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esktop\"/>
    </mc:Choice>
  </mc:AlternateContent>
  <bookViews>
    <workbookView xWindow="0" yWindow="0" windowWidth="7470" windowHeight="2760"/>
  </bookViews>
  <sheets>
    <sheet name="INVENTARIO ACTIVOS FIJOS2024" sheetId="1" r:id="rId1"/>
  </sheets>
  <definedNames>
    <definedName name="_xlnm._FilterDatabase" localSheetId="0" hidden="1">'INVENTARIO ACTIVOS FIJOS2024'!$A$1:$G$24625</definedName>
  </definedNames>
  <calcPr calcId="152511"/>
</workbook>
</file>

<file path=xl/calcChain.xml><?xml version="1.0" encoding="utf-8"?>
<calcChain xmlns="http://schemas.openxmlformats.org/spreadsheetml/2006/main">
  <c r="B2" i="1" l="1"/>
  <c r="A2" i="1"/>
  <c r="E2" i="1"/>
  <c r="F2" i="1"/>
  <c r="B3" i="1"/>
  <c r="A3" i="1"/>
  <c r="E3" i="1"/>
  <c r="F3" i="1"/>
  <c r="B4" i="1"/>
  <c r="A4" i="1"/>
  <c r="E4" i="1"/>
  <c r="F4" i="1"/>
  <c r="B5" i="1"/>
  <c r="A5" i="1"/>
  <c r="E5" i="1"/>
  <c r="F5" i="1"/>
  <c r="B6" i="1"/>
  <c r="A6" i="1"/>
  <c r="E6" i="1"/>
  <c r="F6" i="1"/>
  <c r="B7" i="1"/>
  <c r="A7" i="1"/>
  <c r="E7" i="1"/>
  <c r="F7" i="1"/>
  <c r="B8" i="1"/>
  <c r="A8" i="1"/>
  <c r="E8" i="1"/>
  <c r="F8" i="1"/>
  <c r="B9" i="1"/>
  <c r="A9" i="1"/>
  <c r="E9" i="1"/>
  <c r="F9" i="1"/>
  <c r="G9" i="1"/>
  <c r="B10" i="1"/>
  <c r="A10" i="1"/>
  <c r="E10" i="1"/>
  <c r="F10" i="1"/>
  <c r="B11" i="1"/>
  <c r="A11" i="1"/>
  <c r="E11" i="1"/>
  <c r="F11" i="1"/>
  <c r="B12" i="1"/>
  <c r="A12" i="1"/>
  <c r="E12" i="1"/>
  <c r="F12" i="1"/>
  <c r="B13" i="1"/>
  <c r="A13" i="1"/>
  <c r="E13" i="1"/>
  <c r="F13" i="1"/>
  <c r="B14" i="1"/>
  <c r="A14" i="1"/>
  <c r="E14" i="1"/>
  <c r="F14" i="1"/>
  <c r="B15" i="1"/>
  <c r="A15" i="1"/>
  <c r="E15" i="1"/>
  <c r="F15" i="1"/>
  <c r="B16" i="1"/>
  <c r="A16" i="1"/>
  <c r="E16" i="1"/>
  <c r="F16" i="1"/>
  <c r="B17" i="1"/>
  <c r="A17" i="1"/>
  <c r="E17" i="1"/>
  <c r="F17" i="1"/>
  <c r="G17" i="1"/>
  <c r="B18" i="1"/>
  <c r="A18" i="1"/>
  <c r="E18" i="1"/>
  <c r="F18" i="1"/>
  <c r="B19" i="1"/>
  <c r="A19" i="1"/>
  <c r="E19" i="1"/>
  <c r="F19" i="1"/>
  <c r="B20" i="1"/>
  <c r="A20" i="1"/>
  <c r="E20" i="1"/>
  <c r="F20" i="1"/>
  <c r="B21" i="1"/>
  <c r="A21" i="1"/>
  <c r="E21" i="1"/>
  <c r="F21" i="1"/>
  <c r="B22" i="1"/>
  <c r="A22" i="1"/>
  <c r="E22" i="1"/>
  <c r="F22" i="1"/>
  <c r="B23" i="1"/>
  <c r="A23" i="1"/>
  <c r="E23" i="1"/>
  <c r="F23" i="1"/>
  <c r="B24" i="1"/>
  <c r="A24" i="1"/>
  <c r="E24" i="1"/>
  <c r="F24" i="1"/>
  <c r="B25" i="1"/>
  <c r="A25" i="1"/>
  <c r="E25" i="1"/>
  <c r="F25" i="1"/>
  <c r="B26" i="1"/>
  <c r="A26" i="1"/>
  <c r="E26" i="1"/>
  <c r="F26" i="1"/>
  <c r="B27" i="1"/>
  <c r="A27" i="1"/>
  <c r="E27" i="1"/>
  <c r="F27" i="1"/>
  <c r="B28" i="1"/>
  <c r="A28" i="1"/>
  <c r="E28" i="1"/>
  <c r="F28" i="1"/>
  <c r="B29" i="1"/>
  <c r="A29" i="1"/>
  <c r="E29" i="1"/>
  <c r="F29" i="1"/>
  <c r="B30" i="1"/>
  <c r="A30" i="1"/>
  <c r="E30" i="1"/>
  <c r="F30" i="1"/>
  <c r="B31" i="1"/>
  <c r="A31" i="1"/>
  <c r="E31" i="1"/>
  <c r="F31" i="1"/>
  <c r="B32" i="1"/>
  <c r="A32" i="1"/>
  <c r="E32" i="1"/>
  <c r="F32" i="1"/>
  <c r="G32" i="1"/>
  <c r="B33" i="1"/>
  <c r="A33" i="1"/>
  <c r="E33" i="1"/>
  <c r="F33" i="1"/>
  <c r="G33" i="1"/>
  <c r="B34" i="1"/>
  <c r="A34" i="1"/>
  <c r="E34" i="1"/>
  <c r="B35" i="1"/>
  <c r="A35" i="1"/>
  <c r="E35" i="1"/>
  <c r="B36" i="1"/>
  <c r="A36" i="1"/>
  <c r="E36" i="1"/>
  <c r="B37" i="1"/>
  <c r="A37" i="1"/>
  <c r="E37" i="1"/>
  <c r="B38" i="1"/>
  <c r="A38" i="1"/>
  <c r="E38" i="1"/>
  <c r="B39" i="1"/>
  <c r="A39" i="1"/>
  <c r="E39" i="1"/>
  <c r="B40" i="1"/>
  <c r="A40" i="1"/>
  <c r="E40" i="1"/>
  <c r="B41" i="1"/>
  <c r="A41" i="1"/>
  <c r="E41" i="1"/>
  <c r="B42" i="1"/>
  <c r="A42" i="1"/>
  <c r="E42" i="1"/>
  <c r="B43" i="1"/>
  <c r="A43" i="1"/>
  <c r="E43" i="1"/>
  <c r="B44" i="1"/>
  <c r="A44" i="1"/>
  <c r="E44" i="1"/>
  <c r="B45" i="1"/>
  <c r="A45" i="1"/>
  <c r="E45" i="1"/>
  <c r="B46" i="1"/>
  <c r="A46" i="1"/>
  <c r="E46" i="1"/>
  <c r="B47" i="1"/>
  <c r="A47" i="1"/>
  <c r="E47" i="1"/>
  <c r="B48" i="1"/>
  <c r="A48" i="1"/>
  <c r="E48" i="1"/>
  <c r="B49" i="1"/>
  <c r="A49" i="1"/>
  <c r="E49" i="1"/>
  <c r="G49" i="1"/>
  <c r="B50" i="1"/>
  <c r="A50" i="1"/>
  <c r="E50" i="1"/>
  <c r="A51" i="1"/>
  <c r="E51" i="1"/>
  <c r="B52" i="1"/>
  <c r="A52" i="1"/>
  <c r="E52" i="1"/>
  <c r="B53" i="1"/>
  <c r="A53" i="1"/>
  <c r="E53" i="1"/>
  <c r="A54" i="1"/>
  <c r="E54" i="1"/>
  <c r="B55" i="1"/>
  <c r="A55" i="1"/>
  <c r="E55" i="1"/>
  <c r="B56" i="1"/>
  <c r="A56" i="1"/>
  <c r="E56" i="1"/>
  <c r="B57" i="1"/>
  <c r="A57" i="1"/>
  <c r="E57" i="1"/>
  <c r="B58" i="1"/>
  <c r="A58" i="1"/>
  <c r="E58" i="1"/>
  <c r="B59" i="1"/>
  <c r="A59" i="1"/>
  <c r="E59" i="1"/>
  <c r="B60" i="1"/>
  <c r="A60" i="1"/>
  <c r="E60" i="1"/>
  <c r="B61" i="1"/>
  <c r="A61" i="1"/>
  <c r="E61" i="1"/>
  <c r="B62" i="1"/>
  <c r="A62" i="1"/>
  <c r="E62" i="1"/>
  <c r="B63" i="1"/>
  <c r="A63" i="1"/>
  <c r="E63" i="1"/>
  <c r="B64" i="1"/>
  <c r="A64" i="1"/>
  <c r="E64" i="1"/>
  <c r="B65" i="1"/>
  <c r="A65" i="1"/>
  <c r="E65" i="1"/>
  <c r="B66" i="1"/>
  <c r="A66" i="1"/>
  <c r="E66" i="1"/>
  <c r="B67" i="1"/>
  <c r="A67" i="1"/>
  <c r="E67" i="1"/>
  <c r="B68" i="1"/>
  <c r="A68" i="1"/>
  <c r="E68" i="1"/>
  <c r="F68" i="1"/>
  <c r="G68" i="1"/>
  <c r="B69" i="1"/>
  <c r="A69" i="1"/>
  <c r="E69" i="1"/>
  <c r="F69" i="1"/>
  <c r="B70" i="1"/>
  <c r="A70" i="1"/>
  <c r="E70" i="1"/>
  <c r="F70" i="1"/>
  <c r="B71" i="1"/>
  <c r="A71" i="1"/>
  <c r="E71" i="1"/>
  <c r="F71" i="1"/>
  <c r="B72" i="1"/>
  <c r="A72" i="1"/>
  <c r="E72" i="1"/>
  <c r="F72" i="1"/>
  <c r="B73" i="1"/>
  <c r="A73" i="1"/>
  <c r="E73" i="1"/>
  <c r="F73" i="1"/>
  <c r="B74" i="1"/>
  <c r="A74" i="1"/>
  <c r="E74" i="1"/>
  <c r="F74" i="1"/>
  <c r="B75" i="1"/>
  <c r="A75" i="1"/>
  <c r="E75" i="1"/>
  <c r="F75" i="1"/>
  <c r="G75" i="1"/>
  <c r="B76" i="1"/>
  <c r="A76" i="1"/>
  <c r="E76" i="1"/>
  <c r="F76" i="1"/>
  <c r="G76" i="1"/>
  <c r="B77" i="1"/>
  <c r="A77" i="1"/>
  <c r="E77" i="1"/>
  <c r="F77" i="1"/>
  <c r="G77" i="1"/>
  <c r="B78" i="1"/>
  <c r="A78" i="1"/>
  <c r="E78" i="1"/>
  <c r="F78" i="1"/>
  <c r="B79" i="1"/>
  <c r="A79" i="1"/>
  <c r="E79" i="1"/>
  <c r="F79" i="1"/>
  <c r="B80" i="1"/>
  <c r="A80" i="1"/>
  <c r="E80" i="1"/>
  <c r="F80" i="1"/>
  <c r="B81" i="1"/>
  <c r="A81" i="1"/>
  <c r="E81" i="1"/>
  <c r="F81" i="1"/>
  <c r="G81" i="1"/>
  <c r="B82" i="1"/>
  <c r="A82" i="1"/>
  <c r="E82" i="1"/>
  <c r="F82" i="1"/>
  <c r="B83" i="1"/>
  <c r="A83" i="1"/>
  <c r="E83" i="1"/>
  <c r="F83" i="1"/>
  <c r="G83" i="1"/>
  <c r="B84" i="1"/>
  <c r="A84" i="1"/>
  <c r="E84" i="1"/>
  <c r="F84" i="1"/>
  <c r="G84" i="1"/>
  <c r="B85" i="1"/>
  <c r="A85" i="1"/>
  <c r="E85" i="1"/>
  <c r="F85" i="1"/>
  <c r="B86" i="1"/>
  <c r="A86" i="1"/>
  <c r="E86" i="1"/>
  <c r="F86" i="1"/>
  <c r="B87" i="1"/>
  <c r="A87" i="1"/>
  <c r="E87" i="1"/>
  <c r="F87" i="1"/>
  <c r="G87" i="1"/>
  <c r="B88" i="1"/>
  <c r="A88" i="1"/>
  <c r="E88" i="1"/>
  <c r="F88" i="1"/>
  <c r="B89" i="1"/>
  <c r="A89" i="1"/>
  <c r="E89" i="1"/>
  <c r="F89" i="1"/>
  <c r="G89" i="1"/>
  <c r="B90" i="1"/>
  <c r="A90" i="1"/>
  <c r="E90" i="1"/>
  <c r="F90" i="1"/>
  <c r="B91" i="1"/>
  <c r="A91" i="1"/>
  <c r="E91" i="1"/>
  <c r="B92" i="1"/>
  <c r="A92" i="1"/>
  <c r="E92" i="1"/>
  <c r="G92" i="1"/>
  <c r="B93" i="1"/>
  <c r="A93" i="1"/>
  <c r="E93" i="1"/>
  <c r="B94" i="1"/>
  <c r="A94" i="1"/>
  <c r="E94" i="1"/>
  <c r="B95" i="1"/>
  <c r="A95" i="1"/>
  <c r="E95" i="1"/>
  <c r="B96" i="1"/>
  <c r="A96" i="1"/>
  <c r="E96" i="1"/>
  <c r="B97" i="1"/>
  <c r="A97" i="1"/>
  <c r="E97" i="1"/>
  <c r="B98" i="1"/>
  <c r="A98" i="1"/>
  <c r="E98" i="1"/>
  <c r="B99" i="1"/>
  <c r="A99" i="1"/>
  <c r="E99" i="1"/>
  <c r="B100" i="1"/>
  <c r="A100" i="1"/>
  <c r="E100" i="1"/>
  <c r="B101" i="1"/>
  <c r="A101" i="1"/>
  <c r="E101" i="1"/>
  <c r="B102" i="1"/>
  <c r="A102" i="1"/>
  <c r="E102" i="1"/>
  <c r="B103" i="1"/>
  <c r="A103" i="1"/>
  <c r="E103" i="1"/>
  <c r="B104" i="1"/>
  <c r="A104" i="1"/>
  <c r="E104" i="1"/>
  <c r="B105" i="1"/>
  <c r="A105" i="1"/>
  <c r="E105" i="1"/>
  <c r="B106" i="1"/>
  <c r="A106" i="1"/>
  <c r="E106" i="1"/>
  <c r="B107" i="1"/>
  <c r="A107" i="1"/>
  <c r="E107" i="1"/>
  <c r="B108" i="1"/>
  <c r="A108" i="1"/>
  <c r="E108" i="1"/>
  <c r="B109" i="1"/>
  <c r="A109" i="1"/>
  <c r="E109" i="1"/>
  <c r="B110" i="1"/>
  <c r="A110" i="1"/>
  <c r="E110" i="1"/>
  <c r="B111" i="1"/>
  <c r="A111" i="1"/>
  <c r="E111" i="1"/>
  <c r="G111" i="1"/>
  <c r="B112" i="1"/>
  <c r="A112" i="1"/>
  <c r="E112" i="1"/>
  <c r="B113" i="1"/>
  <c r="A113" i="1"/>
  <c r="E113" i="1"/>
  <c r="B114" i="1"/>
  <c r="A114" i="1"/>
  <c r="E114" i="1"/>
  <c r="G114" i="1"/>
  <c r="B115" i="1"/>
  <c r="A115" i="1"/>
  <c r="E115" i="1"/>
  <c r="B116" i="1"/>
  <c r="A116" i="1"/>
  <c r="E116" i="1"/>
  <c r="B117" i="1"/>
  <c r="A117" i="1"/>
  <c r="E117" i="1"/>
  <c r="B118" i="1"/>
  <c r="A118" i="1"/>
  <c r="E118" i="1"/>
  <c r="B119" i="1"/>
  <c r="A119" i="1"/>
  <c r="E119" i="1"/>
  <c r="B120" i="1"/>
  <c r="A120" i="1"/>
  <c r="E120" i="1"/>
  <c r="B121" i="1"/>
  <c r="A121" i="1"/>
  <c r="E121" i="1"/>
  <c r="B122" i="1"/>
  <c r="A122" i="1"/>
  <c r="E122" i="1"/>
  <c r="B123" i="1"/>
  <c r="A123" i="1"/>
  <c r="E123" i="1"/>
  <c r="B124" i="1"/>
  <c r="A124" i="1"/>
  <c r="E124" i="1"/>
  <c r="B125" i="1"/>
  <c r="A125" i="1"/>
  <c r="E125" i="1"/>
  <c r="B126" i="1"/>
  <c r="A126" i="1"/>
  <c r="E126" i="1"/>
  <c r="B127" i="1"/>
  <c r="A127" i="1"/>
  <c r="E127" i="1"/>
  <c r="B128" i="1"/>
  <c r="A128" i="1"/>
  <c r="E128" i="1"/>
  <c r="B129" i="1"/>
  <c r="A129" i="1"/>
  <c r="E129" i="1"/>
  <c r="G129" i="1"/>
  <c r="B130" i="1"/>
  <c r="A130" i="1"/>
  <c r="E130" i="1"/>
  <c r="G130" i="1"/>
  <c r="B131" i="1"/>
  <c r="A131" i="1"/>
  <c r="E131" i="1"/>
  <c r="B132" i="1"/>
  <c r="A132" i="1"/>
  <c r="E132" i="1"/>
  <c r="B133" i="1"/>
  <c r="A133" i="1"/>
  <c r="E133" i="1"/>
  <c r="B134" i="1"/>
  <c r="A134" i="1"/>
  <c r="E134" i="1"/>
  <c r="B135" i="1"/>
  <c r="A135" i="1"/>
  <c r="E135" i="1"/>
  <c r="B136" i="1"/>
  <c r="A136" i="1"/>
  <c r="E136" i="1"/>
  <c r="B137" i="1"/>
  <c r="A137" i="1"/>
  <c r="E137" i="1"/>
  <c r="B138" i="1"/>
  <c r="A138" i="1"/>
  <c r="E138" i="1"/>
  <c r="B139" i="1"/>
  <c r="A139" i="1"/>
  <c r="E139" i="1"/>
  <c r="B140" i="1"/>
  <c r="A140" i="1"/>
  <c r="E140" i="1"/>
  <c r="B141" i="1"/>
  <c r="A141" i="1"/>
  <c r="E141" i="1"/>
  <c r="B142" i="1"/>
  <c r="A142" i="1"/>
  <c r="E142" i="1"/>
  <c r="F142" i="1"/>
  <c r="B143" i="1"/>
  <c r="A143" i="1"/>
  <c r="E143" i="1"/>
  <c r="F143" i="1"/>
  <c r="B144" i="1"/>
  <c r="A144" i="1"/>
  <c r="E144" i="1"/>
  <c r="F144" i="1"/>
  <c r="B145" i="1"/>
  <c r="A145" i="1"/>
  <c r="E145" i="1"/>
  <c r="F145" i="1"/>
  <c r="B146" i="1"/>
  <c r="A146" i="1"/>
  <c r="E146" i="1"/>
  <c r="F146" i="1"/>
  <c r="B147" i="1"/>
  <c r="A147" i="1"/>
  <c r="E147" i="1"/>
  <c r="F147" i="1"/>
  <c r="B148" i="1"/>
  <c r="A148" i="1"/>
  <c r="E148" i="1"/>
  <c r="F148" i="1"/>
  <c r="B149" i="1"/>
  <c r="A149" i="1"/>
  <c r="E149" i="1"/>
  <c r="F149" i="1"/>
  <c r="B150" i="1"/>
  <c r="A150" i="1"/>
  <c r="E150" i="1"/>
  <c r="F150" i="1"/>
  <c r="B151" i="1"/>
  <c r="A151" i="1"/>
  <c r="E151" i="1"/>
  <c r="F151" i="1"/>
  <c r="B152" i="1"/>
  <c r="A152" i="1"/>
  <c r="E152" i="1"/>
  <c r="F152" i="1"/>
  <c r="B153" i="1"/>
  <c r="A153" i="1"/>
  <c r="E153" i="1"/>
  <c r="F153" i="1"/>
  <c r="B154" i="1"/>
  <c r="A154" i="1"/>
  <c r="E154" i="1"/>
  <c r="F154" i="1"/>
  <c r="B155" i="1"/>
  <c r="A155" i="1"/>
  <c r="E155" i="1"/>
  <c r="F155" i="1"/>
  <c r="B156" i="1"/>
  <c r="A156" i="1"/>
  <c r="E156" i="1"/>
  <c r="F156" i="1"/>
  <c r="B157" i="1"/>
  <c r="A157" i="1"/>
  <c r="E157" i="1"/>
  <c r="F157" i="1"/>
  <c r="B158" i="1"/>
  <c r="A158" i="1"/>
  <c r="E158" i="1"/>
  <c r="F158" i="1"/>
  <c r="B159" i="1"/>
  <c r="A159" i="1"/>
  <c r="E159" i="1"/>
  <c r="F159" i="1"/>
  <c r="B160" i="1"/>
  <c r="A160" i="1"/>
  <c r="E160" i="1"/>
  <c r="F160" i="1"/>
  <c r="B161" i="1"/>
  <c r="A161" i="1"/>
  <c r="E161" i="1"/>
  <c r="F161" i="1"/>
  <c r="B162" i="1"/>
  <c r="A162" i="1"/>
  <c r="E162" i="1"/>
  <c r="F162" i="1"/>
  <c r="B163" i="1"/>
  <c r="A163" i="1"/>
  <c r="E163" i="1"/>
  <c r="F163" i="1"/>
  <c r="B164" i="1"/>
  <c r="A164" i="1"/>
  <c r="E164" i="1"/>
  <c r="F164" i="1"/>
  <c r="B165" i="1"/>
  <c r="A165" i="1"/>
  <c r="E165" i="1"/>
  <c r="F165" i="1"/>
  <c r="B166" i="1"/>
  <c r="A166" i="1"/>
  <c r="E166" i="1"/>
  <c r="F166" i="1"/>
  <c r="B167" i="1"/>
  <c r="A167" i="1"/>
  <c r="E167" i="1"/>
  <c r="F167" i="1"/>
  <c r="B168" i="1"/>
  <c r="A168" i="1"/>
  <c r="E168" i="1"/>
  <c r="F168" i="1"/>
  <c r="B169" i="1"/>
  <c r="A169" i="1"/>
  <c r="E169" i="1"/>
  <c r="F169" i="1"/>
  <c r="B170" i="1"/>
  <c r="A170" i="1"/>
  <c r="E170" i="1"/>
  <c r="F170" i="1"/>
  <c r="B171" i="1"/>
  <c r="A171" i="1"/>
  <c r="E171" i="1"/>
  <c r="F171" i="1"/>
  <c r="B172" i="1"/>
  <c r="A172" i="1"/>
  <c r="E172" i="1"/>
  <c r="F172" i="1"/>
  <c r="B173" i="1"/>
  <c r="A173" i="1"/>
  <c r="E173" i="1"/>
  <c r="F173" i="1"/>
  <c r="B174" i="1"/>
  <c r="A174" i="1"/>
  <c r="E174" i="1"/>
  <c r="F174" i="1"/>
  <c r="B175" i="1"/>
  <c r="A175" i="1"/>
  <c r="E175" i="1"/>
  <c r="F175" i="1"/>
  <c r="B176" i="1"/>
  <c r="A176" i="1"/>
  <c r="E176" i="1"/>
  <c r="F176" i="1"/>
  <c r="B177" i="1"/>
  <c r="A177" i="1"/>
  <c r="E177" i="1"/>
  <c r="F177" i="1"/>
  <c r="B178" i="1"/>
  <c r="A178" i="1"/>
  <c r="E178" i="1"/>
  <c r="F178" i="1"/>
  <c r="B179" i="1"/>
  <c r="A179" i="1"/>
  <c r="E179" i="1"/>
  <c r="F179" i="1"/>
  <c r="B180" i="1"/>
  <c r="A180" i="1"/>
  <c r="E180" i="1"/>
  <c r="F180" i="1"/>
  <c r="B181" i="1"/>
  <c r="A181" i="1"/>
  <c r="E181" i="1"/>
  <c r="F181" i="1"/>
  <c r="B182" i="1"/>
  <c r="A182" i="1"/>
  <c r="E182" i="1"/>
  <c r="F182" i="1"/>
  <c r="B183" i="1"/>
  <c r="A183" i="1"/>
  <c r="E183" i="1"/>
  <c r="F183" i="1"/>
  <c r="B184" i="1"/>
  <c r="A184" i="1"/>
  <c r="E184" i="1"/>
  <c r="F184" i="1"/>
  <c r="B185" i="1"/>
  <c r="A185" i="1"/>
  <c r="E185" i="1"/>
  <c r="F185" i="1"/>
  <c r="B186" i="1"/>
  <c r="A186" i="1"/>
  <c r="E186" i="1"/>
  <c r="F186" i="1"/>
  <c r="B187" i="1"/>
  <c r="A187" i="1"/>
  <c r="E187" i="1"/>
  <c r="F187" i="1"/>
  <c r="B188" i="1"/>
  <c r="A188" i="1"/>
  <c r="E188" i="1"/>
  <c r="F188" i="1"/>
  <c r="B189" i="1"/>
  <c r="A189" i="1"/>
  <c r="E189" i="1"/>
  <c r="F189" i="1"/>
  <c r="B190" i="1"/>
  <c r="A190" i="1"/>
  <c r="E190" i="1"/>
  <c r="F190" i="1"/>
  <c r="B191" i="1"/>
  <c r="A191" i="1"/>
  <c r="E191" i="1"/>
  <c r="F191" i="1"/>
  <c r="B192" i="1"/>
  <c r="A192" i="1"/>
  <c r="E192" i="1"/>
  <c r="F192" i="1"/>
  <c r="B193" i="1"/>
  <c r="A193" i="1"/>
  <c r="E193" i="1"/>
  <c r="F193" i="1"/>
  <c r="B194" i="1"/>
  <c r="A194" i="1"/>
  <c r="E194" i="1"/>
  <c r="F194" i="1"/>
  <c r="B195" i="1"/>
  <c r="A195" i="1"/>
  <c r="E195" i="1"/>
  <c r="F195" i="1"/>
  <c r="B196" i="1"/>
  <c r="A196" i="1"/>
  <c r="E196" i="1"/>
  <c r="F196" i="1"/>
  <c r="B197" i="1"/>
  <c r="A197" i="1"/>
  <c r="E197" i="1"/>
  <c r="F197" i="1"/>
  <c r="B198" i="1"/>
  <c r="A198" i="1"/>
  <c r="E198" i="1"/>
  <c r="F198" i="1"/>
  <c r="B199" i="1"/>
  <c r="A199" i="1"/>
  <c r="E199" i="1"/>
  <c r="F199" i="1"/>
  <c r="B200" i="1"/>
  <c r="A200" i="1"/>
  <c r="E200" i="1"/>
  <c r="F200" i="1"/>
  <c r="B201" i="1"/>
  <c r="A201" i="1"/>
  <c r="E201" i="1"/>
  <c r="F201" i="1"/>
  <c r="B202" i="1"/>
  <c r="A202" i="1"/>
  <c r="E202" i="1"/>
  <c r="F202" i="1"/>
  <c r="B203" i="1"/>
  <c r="A203" i="1"/>
  <c r="E203" i="1"/>
  <c r="F203" i="1"/>
  <c r="B204" i="1"/>
  <c r="A204" i="1"/>
  <c r="E204" i="1"/>
  <c r="F204" i="1"/>
  <c r="B205" i="1"/>
  <c r="A205" i="1"/>
  <c r="E205" i="1"/>
  <c r="F205" i="1"/>
  <c r="B206" i="1"/>
  <c r="A206" i="1"/>
  <c r="E206" i="1"/>
  <c r="F206" i="1"/>
  <c r="B207" i="1"/>
  <c r="A207" i="1"/>
  <c r="E207" i="1"/>
  <c r="F207" i="1"/>
  <c r="B208" i="1"/>
  <c r="A208" i="1"/>
  <c r="E208" i="1"/>
  <c r="F208" i="1"/>
  <c r="B209" i="1"/>
  <c r="A209" i="1"/>
  <c r="E209" i="1"/>
  <c r="F209" i="1"/>
  <c r="B210" i="1"/>
  <c r="A210" i="1"/>
  <c r="E210" i="1"/>
  <c r="F210" i="1"/>
  <c r="B211" i="1"/>
  <c r="A211" i="1"/>
  <c r="E211" i="1"/>
  <c r="F211" i="1"/>
  <c r="B212" i="1"/>
  <c r="A212" i="1"/>
  <c r="E212" i="1"/>
  <c r="F212" i="1"/>
  <c r="B213" i="1"/>
  <c r="A213" i="1"/>
  <c r="E213" i="1"/>
  <c r="F213" i="1"/>
  <c r="B214" i="1"/>
  <c r="A214" i="1"/>
  <c r="E214" i="1"/>
  <c r="F214" i="1"/>
  <c r="B215" i="1"/>
  <c r="A215" i="1"/>
  <c r="E215" i="1"/>
  <c r="F215" i="1"/>
  <c r="B216" i="1"/>
  <c r="A216" i="1"/>
  <c r="E216" i="1"/>
  <c r="F216" i="1"/>
  <c r="B217" i="1"/>
  <c r="A217" i="1"/>
  <c r="E217" i="1"/>
  <c r="F217" i="1"/>
  <c r="B218" i="1"/>
  <c r="A218" i="1"/>
  <c r="E218" i="1"/>
  <c r="F218" i="1"/>
  <c r="B219" i="1"/>
  <c r="A219" i="1"/>
  <c r="E219" i="1"/>
  <c r="F219" i="1"/>
  <c r="G219" i="1"/>
  <c r="B220" i="1"/>
  <c r="A220" i="1"/>
  <c r="E220" i="1"/>
  <c r="F220" i="1"/>
  <c r="G220" i="1"/>
  <c r="B221" i="1"/>
  <c r="A221" i="1"/>
  <c r="E221" i="1"/>
  <c r="F221" i="1"/>
  <c r="B222" i="1"/>
  <c r="A222" i="1"/>
  <c r="E222" i="1"/>
  <c r="F222" i="1"/>
  <c r="B223" i="1"/>
  <c r="A223" i="1"/>
  <c r="E223" i="1"/>
  <c r="F223" i="1"/>
  <c r="G223" i="1"/>
  <c r="B224" i="1"/>
  <c r="A224" i="1"/>
  <c r="E224" i="1"/>
  <c r="F224" i="1"/>
  <c r="G224" i="1"/>
  <c r="B225" i="1"/>
  <c r="A225" i="1"/>
  <c r="E225" i="1"/>
  <c r="F225" i="1"/>
  <c r="B226" i="1"/>
  <c r="A226" i="1"/>
  <c r="E226" i="1"/>
  <c r="F226" i="1"/>
  <c r="B227" i="1"/>
  <c r="A227" i="1"/>
  <c r="E227" i="1"/>
  <c r="F227" i="1"/>
  <c r="B228" i="1"/>
  <c r="A228" i="1"/>
  <c r="E228" i="1"/>
  <c r="F228" i="1"/>
  <c r="B229" i="1"/>
  <c r="A229" i="1"/>
  <c r="E229" i="1"/>
  <c r="F229" i="1"/>
  <c r="B230" i="1"/>
  <c r="A230" i="1"/>
  <c r="E230" i="1"/>
  <c r="F230" i="1"/>
  <c r="B231" i="1"/>
  <c r="A231" i="1"/>
  <c r="E231" i="1"/>
  <c r="F231" i="1"/>
  <c r="G231" i="1"/>
  <c r="B232" i="1"/>
  <c r="A232" i="1"/>
  <c r="E232" i="1"/>
  <c r="F232" i="1"/>
  <c r="B233" i="1"/>
  <c r="A233" i="1"/>
  <c r="E233" i="1"/>
  <c r="F233" i="1"/>
  <c r="B234" i="1"/>
  <c r="A234" i="1"/>
  <c r="E234" i="1"/>
  <c r="F234" i="1"/>
  <c r="B235" i="1"/>
  <c r="A235" i="1"/>
  <c r="E235" i="1"/>
  <c r="F235" i="1"/>
  <c r="B236" i="1"/>
  <c r="A236" i="1"/>
  <c r="E236" i="1"/>
  <c r="F236" i="1"/>
  <c r="B237" i="1"/>
  <c r="A237" i="1"/>
  <c r="E237" i="1"/>
  <c r="F237" i="1"/>
  <c r="B238" i="1"/>
  <c r="A238" i="1"/>
  <c r="E238" i="1"/>
  <c r="F238" i="1"/>
  <c r="B239" i="1"/>
  <c r="A239" i="1"/>
  <c r="E239" i="1"/>
  <c r="F239" i="1"/>
  <c r="B240" i="1"/>
  <c r="A240" i="1"/>
  <c r="E240" i="1"/>
  <c r="F240" i="1"/>
  <c r="B241" i="1"/>
  <c r="A241" i="1"/>
  <c r="E241" i="1"/>
  <c r="F241" i="1"/>
  <c r="G241" i="1"/>
  <c r="B242" i="1"/>
  <c r="A242" i="1"/>
  <c r="E242" i="1"/>
  <c r="F242" i="1"/>
  <c r="B243" i="1"/>
  <c r="A243" i="1"/>
  <c r="E243" i="1"/>
  <c r="F243" i="1"/>
  <c r="B244" i="1"/>
  <c r="A244" i="1"/>
  <c r="E244" i="1"/>
  <c r="F244" i="1"/>
  <c r="B245" i="1"/>
  <c r="A245" i="1"/>
  <c r="E245" i="1"/>
  <c r="F245" i="1"/>
  <c r="B246" i="1"/>
  <c r="A246" i="1"/>
  <c r="E246" i="1"/>
  <c r="F246" i="1"/>
  <c r="B247" i="1"/>
  <c r="A247" i="1"/>
  <c r="E247" i="1"/>
  <c r="F247" i="1"/>
  <c r="B248" i="1"/>
  <c r="A248" i="1"/>
  <c r="E248" i="1"/>
  <c r="F248" i="1"/>
  <c r="B249" i="1"/>
  <c r="A249" i="1"/>
  <c r="E249" i="1"/>
  <c r="F249" i="1"/>
  <c r="B250" i="1"/>
  <c r="A250" i="1"/>
  <c r="E250" i="1"/>
  <c r="F250" i="1"/>
  <c r="B251" i="1"/>
  <c r="A251" i="1"/>
  <c r="E251" i="1"/>
  <c r="F251" i="1"/>
  <c r="B252" i="1"/>
  <c r="A252" i="1"/>
  <c r="E252" i="1"/>
  <c r="F252" i="1"/>
  <c r="B253" i="1"/>
  <c r="A253" i="1"/>
  <c r="E253" i="1"/>
  <c r="F253" i="1"/>
  <c r="B254" i="1"/>
  <c r="A254" i="1"/>
  <c r="E254" i="1"/>
  <c r="F254" i="1"/>
  <c r="B255" i="1"/>
  <c r="A255" i="1"/>
  <c r="E255" i="1"/>
  <c r="F255" i="1"/>
  <c r="B256" i="1"/>
  <c r="A256" i="1"/>
  <c r="E256" i="1"/>
  <c r="F256" i="1"/>
  <c r="B257" i="1"/>
  <c r="A257" i="1"/>
  <c r="E257" i="1"/>
  <c r="F257" i="1"/>
  <c r="B258" i="1"/>
  <c r="A258" i="1"/>
  <c r="E258" i="1"/>
  <c r="F258" i="1"/>
  <c r="B259" i="1"/>
  <c r="A259" i="1"/>
  <c r="E259" i="1"/>
  <c r="F259" i="1"/>
  <c r="B260" i="1"/>
  <c r="A260" i="1"/>
  <c r="E260" i="1"/>
  <c r="F260" i="1"/>
  <c r="B261" i="1"/>
  <c r="A261" i="1"/>
  <c r="E261" i="1"/>
  <c r="F261" i="1"/>
  <c r="G261" i="1"/>
  <c r="B262" i="1"/>
  <c r="A262" i="1"/>
  <c r="E262" i="1"/>
  <c r="F262" i="1"/>
  <c r="G262" i="1"/>
  <c r="B263" i="1"/>
  <c r="A263" i="1"/>
  <c r="E263" i="1"/>
  <c r="F263" i="1"/>
  <c r="B264" i="1"/>
  <c r="A264" i="1"/>
  <c r="E264" i="1"/>
  <c r="F264" i="1"/>
  <c r="B265" i="1"/>
  <c r="A265" i="1"/>
  <c r="E265" i="1"/>
  <c r="F265" i="1"/>
  <c r="B266" i="1"/>
  <c r="A266" i="1"/>
  <c r="E266" i="1"/>
  <c r="F266" i="1"/>
  <c r="B267" i="1"/>
  <c r="A267" i="1"/>
  <c r="E267" i="1"/>
  <c r="F267" i="1"/>
  <c r="B268" i="1"/>
  <c r="A268" i="1"/>
  <c r="E268" i="1"/>
  <c r="F268" i="1"/>
  <c r="B269" i="1"/>
  <c r="A269" i="1"/>
  <c r="E269" i="1"/>
  <c r="F269" i="1"/>
  <c r="B270" i="1"/>
  <c r="A270" i="1"/>
  <c r="E270" i="1"/>
  <c r="F270" i="1"/>
  <c r="B271" i="1"/>
  <c r="A271" i="1"/>
  <c r="E271" i="1"/>
  <c r="F271" i="1"/>
  <c r="B272" i="1"/>
  <c r="A272" i="1"/>
  <c r="E272" i="1"/>
  <c r="F272" i="1"/>
  <c r="B273" i="1"/>
  <c r="A273" i="1"/>
  <c r="E273" i="1"/>
  <c r="F273" i="1"/>
  <c r="B274" i="1"/>
  <c r="A274" i="1"/>
  <c r="E274" i="1"/>
  <c r="F274" i="1"/>
  <c r="B275" i="1"/>
  <c r="A275" i="1"/>
  <c r="E275" i="1"/>
  <c r="F275" i="1"/>
  <c r="B276" i="1"/>
  <c r="A276" i="1"/>
  <c r="E276" i="1"/>
  <c r="F276" i="1"/>
  <c r="B277" i="1"/>
  <c r="A277" i="1"/>
  <c r="E277" i="1"/>
  <c r="F277" i="1"/>
  <c r="B278" i="1"/>
  <c r="A278" i="1"/>
  <c r="E278" i="1"/>
  <c r="F278" i="1"/>
  <c r="B279" i="1"/>
  <c r="A279" i="1"/>
  <c r="E279" i="1"/>
  <c r="F279" i="1"/>
  <c r="B280" i="1"/>
  <c r="A280" i="1"/>
  <c r="E280" i="1"/>
  <c r="F280" i="1"/>
  <c r="B281" i="1"/>
  <c r="A281" i="1"/>
  <c r="E281" i="1"/>
  <c r="F281" i="1"/>
  <c r="B282" i="1"/>
  <c r="A282" i="1"/>
  <c r="E282" i="1"/>
  <c r="F282" i="1"/>
  <c r="B283" i="1"/>
  <c r="A283" i="1"/>
  <c r="E283" i="1"/>
  <c r="F283" i="1"/>
  <c r="B284" i="1"/>
  <c r="A284" i="1"/>
  <c r="E284" i="1"/>
  <c r="F284" i="1"/>
  <c r="B285" i="1"/>
  <c r="A285" i="1"/>
  <c r="E285" i="1"/>
  <c r="F285" i="1"/>
  <c r="B286" i="1"/>
  <c r="A286" i="1"/>
  <c r="E286" i="1"/>
  <c r="F286" i="1"/>
  <c r="B287" i="1"/>
  <c r="A287" i="1"/>
  <c r="E287" i="1"/>
  <c r="F287" i="1"/>
  <c r="B288" i="1"/>
  <c r="A288" i="1"/>
  <c r="E288" i="1"/>
  <c r="F288" i="1"/>
  <c r="B289" i="1"/>
  <c r="A289" i="1"/>
  <c r="E289" i="1"/>
  <c r="F289" i="1"/>
  <c r="B290" i="1"/>
  <c r="A290" i="1"/>
  <c r="E290" i="1"/>
  <c r="F290" i="1"/>
  <c r="B291" i="1"/>
  <c r="A291" i="1"/>
  <c r="E291" i="1"/>
  <c r="F291" i="1"/>
  <c r="B292" i="1"/>
  <c r="A292" i="1"/>
  <c r="E292" i="1"/>
  <c r="F292" i="1"/>
  <c r="B293" i="1"/>
  <c r="A293" i="1"/>
  <c r="E293" i="1"/>
  <c r="F293" i="1"/>
  <c r="B294" i="1"/>
  <c r="A294" i="1"/>
  <c r="E294" i="1"/>
  <c r="F294" i="1"/>
  <c r="B295" i="1"/>
  <c r="A295" i="1"/>
  <c r="E295" i="1"/>
  <c r="F295" i="1"/>
  <c r="B296" i="1"/>
  <c r="A296" i="1"/>
  <c r="E296" i="1"/>
  <c r="F296" i="1"/>
  <c r="B297" i="1"/>
  <c r="A297" i="1"/>
  <c r="E297" i="1"/>
  <c r="F297" i="1"/>
  <c r="B298" i="1"/>
  <c r="A298" i="1"/>
  <c r="E298" i="1"/>
  <c r="F298" i="1"/>
  <c r="B299" i="1"/>
  <c r="A299" i="1"/>
  <c r="E299" i="1"/>
  <c r="F299" i="1"/>
  <c r="B300" i="1"/>
  <c r="A300" i="1"/>
  <c r="E300" i="1"/>
  <c r="F300" i="1"/>
  <c r="B301" i="1"/>
  <c r="A301" i="1"/>
  <c r="E301" i="1"/>
  <c r="F301" i="1"/>
  <c r="B302" i="1"/>
  <c r="A302" i="1"/>
  <c r="E302" i="1"/>
  <c r="F302" i="1"/>
  <c r="B303" i="1"/>
  <c r="A303" i="1"/>
  <c r="E303" i="1"/>
  <c r="F303" i="1"/>
  <c r="B304" i="1"/>
  <c r="A304" i="1"/>
  <c r="E304" i="1"/>
  <c r="F304" i="1"/>
  <c r="B305" i="1"/>
  <c r="A305" i="1"/>
  <c r="E305" i="1"/>
  <c r="F305" i="1"/>
  <c r="B306" i="1"/>
  <c r="A306" i="1"/>
  <c r="E306" i="1"/>
  <c r="F306" i="1"/>
  <c r="B307" i="1"/>
  <c r="A307" i="1"/>
  <c r="E307" i="1"/>
  <c r="F307" i="1"/>
  <c r="B308" i="1"/>
  <c r="A308" i="1"/>
  <c r="E308" i="1"/>
  <c r="F308" i="1"/>
  <c r="B309" i="1"/>
  <c r="A309" i="1"/>
  <c r="E309" i="1"/>
  <c r="F309" i="1"/>
  <c r="B310" i="1"/>
  <c r="A310" i="1"/>
  <c r="E310" i="1"/>
  <c r="F310" i="1"/>
  <c r="G310" i="1"/>
  <c r="B311" i="1"/>
  <c r="A311" i="1"/>
  <c r="E311" i="1"/>
  <c r="F311" i="1"/>
  <c r="B312" i="1"/>
  <c r="A312" i="1"/>
  <c r="E312" i="1"/>
  <c r="F312" i="1"/>
  <c r="G312" i="1"/>
  <c r="B313" i="1"/>
  <c r="A313" i="1"/>
  <c r="E313" i="1"/>
  <c r="F313" i="1"/>
  <c r="B314" i="1"/>
  <c r="A314" i="1"/>
  <c r="E314" i="1"/>
  <c r="F314" i="1"/>
  <c r="G314" i="1"/>
  <c r="B315" i="1"/>
  <c r="A315" i="1"/>
  <c r="E315" i="1"/>
  <c r="F315" i="1"/>
  <c r="B316" i="1"/>
  <c r="A316" i="1"/>
  <c r="E316" i="1"/>
  <c r="F316" i="1"/>
  <c r="B317" i="1"/>
  <c r="A317" i="1"/>
  <c r="E317" i="1"/>
  <c r="F317" i="1"/>
  <c r="B318" i="1"/>
  <c r="A318" i="1"/>
  <c r="E318" i="1"/>
  <c r="F318" i="1"/>
  <c r="B319" i="1"/>
  <c r="A319" i="1"/>
  <c r="E319" i="1"/>
  <c r="F319" i="1"/>
  <c r="B320" i="1"/>
  <c r="A320" i="1"/>
  <c r="E320" i="1"/>
  <c r="F320" i="1"/>
  <c r="B321" i="1"/>
  <c r="A321" i="1"/>
  <c r="E321" i="1"/>
  <c r="F321" i="1"/>
  <c r="B322" i="1"/>
  <c r="A322" i="1"/>
  <c r="E322" i="1"/>
  <c r="F322" i="1"/>
  <c r="B323" i="1"/>
  <c r="A323" i="1"/>
  <c r="E323" i="1"/>
  <c r="F323" i="1"/>
  <c r="B324" i="1"/>
  <c r="A324" i="1"/>
  <c r="E324" i="1"/>
  <c r="F324" i="1"/>
  <c r="B325" i="1"/>
  <c r="A325" i="1"/>
  <c r="E325" i="1"/>
  <c r="F325" i="1"/>
  <c r="B326" i="1"/>
  <c r="A326" i="1"/>
  <c r="E326" i="1"/>
  <c r="F326" i="1"/>
  <c r="B327" i="1"/>
  <c r="A327" i="1"/>
  <c r="E327" i="1"/>
  <c r="F327" i="1"/>
  <c r="B328" i="1"/>
  <c r="A328" i="1"/>
  <c r="E328" i="1"/>
  <c r="F328" i="1"/>
  <c r="B329" i="1"/>
  <c r="A329" i="1"/>
  <c r="E329" i="1"/>
  <c r="F329" i="1"/>
  <c r="B330" i="1"/>
  <c r="A330" i="1"/>
  <c r="E330" i="1"/>
  <c r="F330" i="1"/>
  <c r="G330" i="1"/>
  <c r="B331" i="1"/>
  <c r="A331" i="1"/>
  <c r="E331" i="1"/>
  <c r="F331" i="1"/>
  <c r="G331" i="1"/>
  <c r="B332" i="1"/>
  <c r="A332" i="1"/>
  <c r="E332" i="1"/>
  <c r="F332" i="1"/>
  <c r="G332" i="1"/>
  <c r="B333" i="1"/>
  <c r="A333" i="1"/>
  <c r="E333" i="1"/>
  <c r="F333" i="1"/>
  <c r="G333" i="1"/>
  <c r="B334" i="1"/>
  <c r="A334" i="1"/>
  <c r="E334" i="1"/>
  <c r="F334" i="1"/>
  <c r="B335" i="1"/>
  <c r="A335" i="1"/>
  <c r="E335" i="1"/>
  <c r="F335" i="1"/>
  <c r="B336" i="1"/>
  <c r="A336" i="1"/>
  <c r="E336" i="1"/>
  <c r="F336" i="1"/>
  <c r="B337" i="1"/>
  <c r="A337" i="1"/>
  <c r="E337" i="1"/>
  <c r="F337" i="1"/>
  <c r="B338" i="1"/>
  <c r="A338" i="1"/>
  <c r="E338" i="1"/>
  <c r="F338" i="1"/>
  <c r="B339" i="1"/>
  <c r="A339" i="1"/>
  <c r="E339" i="1"/>
  <c r="F339" i="1"/>
  <c r="B340" i="1"/>
  <c r="A340" i="1"/>
  <c r="E340" i="1"/>
  <c r="F340" i="1"/>
  <c r="B341" i="1"/>
  <c r="A341" i="1"/>
  <c r="E341" i="1"/>
  <c r="F341" i="1"/>
  <c r="B342" i="1"/>
  <c r="A342" i="1"/>
  <c r="E342" i="1"/>
  <c r="F342" i="1"/>
  <c r="B343" i="1"/>
  <c r="A343" i="1"/>
  <c r="E343" i="1"/>
  <c r="F343" i="1"/>
  <c r="B344" i="1"/>
  <c r="A344" i="1"/>
  <c r="E344" i="1"/>
  <c r="F344" i="1"/>
  <c r="B345" i="1"/>
  <c r="A345" i="1"/>
  <c r="E345" i="1"/>
  <c r="F345" i="1"/>
  <c r="B346" i="1"/>
  <c r="A346" i="1"/>
  <c r="E346" i="1"/>
  <c r="F346" i="1"/>
  <c r="B347" i="1"/>
  <c r="A347" i="1"/>
  <c r="E347" i="1"/>
  <c r="F347" i="1"/>
  <c r="B348" i="1"/>
  <c r="A348" i="1"/>
  <c r="E348" i="1"/>
  <c r="F348" i="1"/>
  <c r="B349" i="1"/>
  <c r="A349" i="1"/>
  <c r="E349" i="1"/>
  <c r="F349" i="1"/>
  <c r="B350" i="1"/>
  <c r="A350" i="1"/>
  <c r="E350" i="1"/>
  <c r="F350" i="1"/>
  <c r="B351" i="1"/>
  <c r="A351" i="1"/>
  <c r="E351" i="1"/>
  <c r="F351" i="1"/>
  <c r="B352" i="1"/>
  <c r="A352" i="1"/>
  <c r="E352" i="1"/>
  <c r="F352" i="1"/>
  <c r="B353" i="1"/>
  <c r="A353" i="1"/>
  <c r="E353" i="1"/>
  <c r="F353" i="1"/>
  <c r="B354" i="1"/>
  <c r="A354" i="1"/>
  <c r="E354" i="1"/>
  <c r="F354" i="1"/>
  <c r="B355" i="1"/>
  <c r="A355" i="1"/>
  <c r="E355" i="1"/>
  <c r="F355" i="1"/>
  <c r="B356" i="1"/>
  <c r="A356" i="1"/>
  <c r="E356" i="1"/>
  <c r="F356" i="1"/>
  <c r="B357" i="1"/>
  <c r="A357" i="1"/>
  <c r="E357" i="1"/>
  <c r="F357" i="1"/>
  <c r="B358" i="1"/>
  <c r="A358" i="1"/>
  <c r="E358" i="1"/>
  <c r="F358" i="1"/>
  <c r="B359" i="1"/>
  <c r="A359" i="1"/>
  <c r="E359" i="1"/>
  <c r="F359" i="1"/>
  <c r="B360" i="1"/>
  <c r="A360" i="1"/>
  <c r="E360" i="1"/>
  <c r="F360" i="1"/>
  <c r="B361" i="1"/>
  <c r="A361" i="1"/>
  <c r="E361" i="1"/>
  <c r="F361" i="1"/>
  <c r="B362" i="1"/>
  <c r="A362" i="1"/>
  <c r="E362" i="1"/>
  <c r="F362" i="1"/>
  <c r="B363" i="1"/>
  <c r="A363" i="1"/>
  <c r="E363" i="1"/>
  <c r="F363" i="1"/>
  <c r="B364" i="1"/>
  <c r="A364" i="1"/>
  <c r="E364" i="1"/>
  <c r="F364" i="1"/>
  <c r="B365" i="1"/>
  <c r="A365" i="1"/>
  <c r="E365" i="1"/>
  <c r="F365" i="1"/>
  <c r="B366" i="1"/>
  <c r="A366" i="1"/>
  <c r="E366" i="1"/>
  <c r="F366" i="1"/>
  <c r="B367" i="1"/>
  <c r="A367" i="1"/>
  <c r="E367" i="1"/>
  <c r="F367" i="1"/>
  <c r="B368" i="1"/>
  <c r="A368" i="1"/>
  <c r="E368" i="1"/>
  <c r="F368" i="1"/>
  <c r="B369" i="1"/>
  <c r="A369" i="1"/>
  <c r="E369" i="1"/>
  <c r="F369" i="1"/>
  <c r="B370" i="1"/>
  <c r="A370" i="1"/>
  <c r="E370" i="1"/>
  <c r="F370" i="1"/>
  <c r="B371" i="1"/>
  <c r="A371" i="1"/>
  <c r="E371" i="1"/>
  <c r="F371" i="1"/>
  <c r="B372" i="1"/>
  <c r="A372" i="1"/>
  <c r="E372" i="1"/>
  <c r="F372" i="1"/>
  <c r="B373" i="1"/>
  <c r="A373" i="1"/>
  <c r="E373" i="1"/>
  <c r="F373" i="1"/>
  <c r="B374" i="1"/>
  <c r="A374" i="1"/>
  <c r="E374" i="1"/>
  <c r="F374" i="1"/>
  <c r="G374" i="1"/>
  <c r="B375" i="1"/>
  <c r="A375" i="1"/>
  <c r="E375" i="1"/>
  <c r="F375" i="1"/>
  <c r="B376" i="1"/>
  <c r="A376" i="1"/>
  <c r="E376" i="1"/>
  <c r="F376" i="1"/>
  <c r="B377" i="1"/>
  <c r="A377" i="1"/>
  <c r="E377" i="1"/>
  <c r="F377" i="1"/>
  <c r="B378" i="1"/>
  <c r="A378" i="1"/>
  <c r="E378" i="1"/>
  <c r="F378" i="1"/>
  <c r="B379" i="1"/>
  <c r="A379" i="1"/>
  <c r="E379" i="1"/>
  <c r="F379" i="1"/>
  <c r="B380" i="1"/>
  <c r="A380" i="1"/>
  <c r="E380" i="1"/>
  <c r="F380" i="1"/>
  <c r="B381" i="1"/>
  <c r="A381" i="1"/>
  <c r="E381" i="1"/>
  <c r="F381" i="1"/>
  <c r="B382" i="1"/>
  <c r="A382" i="1"/>
  <c r="E382" i="1"/>
  <c r="F382" i="1"/>
  <c r="B383" i="1"/>
  <c r="A383" i="1"/>
  <c r="E383" i="1"/>
  <c r="F383" i="1"/>
  <c r="B384" i="1"/>
  <c r="A384" i="1"/>
  <c r="E384" i="1"/>
  <c r="F384" i="1"/>
  <c r="B385" i="1"/>
  <c r="A385" i="1"/>
  <c r="E385" i="1"/>
  <c r="F385" i="1"/>
  <c r="B386" i="1"/>
  <c r="A386" i="1"/>
  <c r="E386" i="1"/>
  <c r="F386" i="1"/>
  <c r="B387" i="1"/>
  <c r="A387" i="1"/>
  <c r="E387" i="1"/>
  <c r="F387" i="1"/>
  <c r="B388" i="1"/>
  <c r="A388" i="1"/>
  <c r="E388" i="1"/>
  <c r="F388" i="1"/>
  <c r="B389" i="1"/>
  <c r="A389" i="1"/>
  <c r="E389" i="1"/>
  <c r="F389" i="1"/>
  <c r="B390" i="1"/>
  <c r="A390" i="1"/>
  <c r="E390" i="1"/>
  <c r="F390" i="1"/>
  <c r="B391" i="1"/>
  <c r="A391" i="1"/>
  <c r="E391" i="1"/>
  <c r="F391" i="1"/>
  <c r="B392" i="1"/>
  <c r="A392" i="1"/>
  <c r="E392" i="1"/>
  <c r="F392" i="1"/>
  <c r="B393" i="1"/>
  <c r="A393" i="1"/>
  <c r="E393" i="1"/>
  <c r="F393" i="1"/>
  <c r="B394" i="1"/>
  <c r="A394" i="1"/>
  <c r="E394" i="1"/>
  <c r="F394" i="1"/>
  <c r="B395" i="1"/>
  <c r="A395" i="1"/>
  <c r="E395" i="1"/>
  <c r="F395" i="1"/>
  <c r="B396" i="1"/>
  <c r="A396" i="1"/>
  <c r="E396" i="1"/>
  <c r="F396" i="1"/>
  <c r="B397" i="1"/>
  <c r="A397" i="1"/>
  <c r="E397" i="1"/>
  <c r="F397" i="1"/>
  <c r="B398" i="1"/>
  <c r="A398" i="1"/>
  <c r="E398" i="1"/>
  <c r="F398" i="1"/>
  <c r="B399" i="1"/>
  <c r="A399" i="1"/>
  <c r="E399" i="1"/>
  <c r="F399" i="1"/>
  <c r="B400" i="1"/>
  <c r="A400" i="1"/>
  <c r="E400" i="1"/>
  <c r="F400" i="1"/>
  <c r="B401" i="1"/>
  <c r="A401" i="1"/>
  <c r="E401" i="1"/>
  <c r="F401" i="1"/>
  <c r="B402" i="1"/>
  <c r="A402" i="1"/>
  <c r="E402" i="1"/>
  <c r="F402" i="1"/>
  <c r="B403" i="1"/>
  <c r="A403" i="1"/>
  <c r="E403" i="1"/>
  <c r="F403" i="1"/>
  <c r="B404" i="1"/>
  <c r="A404" i="1"/>
  <c r="E404" i="1"/>
  <c r="F404" i="1"/>
  <c r="B405" i="1"/>
  <c r="A405" i="1"/>
  <c r="E405" i="1"/>
  <c r="F405" i="1"/>
  <c r="B406" i="1"/>
  <c r="A406" i="1"/>
  <c r="E406" i="1"/>
  <c r="F406" i="1"/>
  <c r="B407" i="1"/>
  <c r="A407" i="1"/>
  <c r="E407" i="1"/>
  <c r="F407" i="1"/>
  <c r="B408" i="1"/>
  <c r="A408" i="1"/>
  <c r="E408" i="1"/>
  <c r="F408" i="1"/>
  <c r="B409" i="1"/>
  <c r="A409" i="1"/>
  <c r="E409" i="1"/>
  <c r="F409" i="1"/>
  <c r="B410" i="1"/>
  <c r="A410" i="1"/>
  <c r="E410" i="1"/>
  <c r="F410" i="1"/>
  <c r="B411" i="1"/>
  <c r="A411" i="1"/>
  <c r="E411" i="1"/>
  <c r="F411" i="1"/>
  <c r="B412" i="1"/>
  <c r="A412" i="1"/>
  <c r="E412" i="1"/>
  <c r="F412" i="1"/>
  <c r="B413" i="1"/>
  <c r="A413" i="1"/>
  <c r="E413" i="1"/>
  <c r="F413" i="1"/>
  <c r="B414" i="1"/>
  <c r="A414" i="1"/>
  <c r="E414" i="1"/>
  <c r="F414" i="1"/>
  <c r="B415" i="1"/>
  <c r="A415" i="1"/>
  <c r="E415" i="1"/>
  <c r="F415" i="1"/>
  <c r="B416" i="1"/>
  <c r="A416" i="1"/>
  <c r="E416" i="1"/>
  <c r="F416" i="1"/>
  <c r="B417" i="1"/>
  <c r="A417" i="1"/>
  <c r="E417" i="1"/>
  <c r="F417" i="1"/>
  <c r="B418" i="1"/>
  <c r="A418" i="1"/>
  <c r="E418" i="1"/>
  <c r="F418" i="1"/>
  <c r="B419" i="1"/>
  <c r="A419" i="1"/>
  <c r="E419" i="1"/>
  <c r="F419" i="1"/>
  <c r="B420" i="1"/>
  <c r="A420" i="1"/>
  <c r="E420" i="1"/>
  <c r="F420" i="1"/>
  <c r="B421" i="1"/>
  <c r="A421" i="1"/>
  <c r="E421" i="1"/>
  <c r="F421" i="1"/>
  <c r="B422" i="1"/>
  <c r="A422" i="1"/>
  <c r="E422" i="1"/>
  <c r="F422" i="1"/>
  <c r="B423" i="1"/>
  <c r="A423" i="1"/>
  <c r="E423" i="1"/>
  <c r="F423" i="1"/>
  <c r="B424" i="1"/>
  <c r="A424" i="1"/>
  <c r="E424" i="1"/>
  <c r="F424" i="1"/>
  <c r="B425" i="1"/>
  <c r="A425" i="1"/>
  <c r="E425" i="1"/>
  <c r="F425" i="1"/>
  <c r="B426" i="1"/>
  <c r="A426" i="1"/>
  <c r="E426" i="1"/>
  <c r="F426" i="1"/>
  <c r="B427" i="1"/>
  <c r="A427" i="1"/>
  <c r="E427" i="1"/>
  <c r="F427" i="1"/>
  <c r="B428" i="1"/>
  <c r="A428" i="1"/>
  <c r="E428" i="1"/>
  <c r="F428" i="1"/>
  <c r="B429" i="1"/>
  <c r="A429" i="1"/>
  <c r="E429" i="1"/>
  <c r="F429" i="1"/>
  <c r="B430" i="1"/>
  <c r="A430" i="1"/>
  <c r="E430" i="1"/>
  <c r="F430" i="1"/>
  <c r="B431" i="1"/>
  <c r="A431" i="1"/>
  <c r="E431" i="1"/>
  <c r="F431" i="1"/>
  <c r="B432" i="1"/>
  <c r="A432" i="1"/>
  <c r="E432" i="1"/>
  <c r="F432" i="1"/>
  <c r="B433" i="1"/>
  <c r="A433" i="1"/>
  <c r="E433" i="1"/>
  <c r="F433" i="1"/>
  <c r="B434" i="1"/>
  <c r="A434" i="1"/>
  <c r="E434" i="1"/>
  <c r="F434" i="1"/>
  <c r="B435" i="1"/>
  <c r="A435" i="1"/>
  <c r="E435" i="1"/>
  <c r="F435" i="1"/>
  <c r="B436" i="1"/>
  <c r="A436" i="1"/>
  <c r="E436" i="1"/>
  <c r="F436" i="1"/>
  <c r="B437" i="1"/>
  <c r="A437" i="1"/>
  <c r="E437" i="1"/>
  <c r="F437" i="1"/>
  <c r="B438" i="1"/>
  <c r="A438" i="1"/>
  <c r="E438" i="1"/>
  <c r="F438" i="1"/>
  <c r="B439" i="1"/>
  <c r="A439" i="1"/>
  <c r="E439" i="1"/>
  <c r="G439" i="1"/>
  <c r="B440" i="1"/>
  <c r="A440" i="1"/>
  <c r="E440" i="1"/>
  <c r="B441" i="1"/>
  <c r="A441" i="1"/>
  <c r="E441" i="1"/>
  <c r="B442" i="1"/>
  <c r="A442" i="1"/>
  <c r="E442" i="1"/>
  <c r="F442" i="1"/>
  <c r="B443" i="1"/>
  <c r="A443" i="1"/>
  <c r="E443" i="1"/>
  <c r="F443" i="1"/>
  <c r="B444" i="1"/>
  <c r="A444" i="1"/>
  <c r="E444" i="1"/>
  <c r="F444" i="1"/>
  <c r="B445" i="1"/>
  <c r="A445" i="1"/>
  <c r="E445" i="1"/>
  <c r="F445" i="1"/>
  <c r="B446" i="1"/>
  <c r="A446" i="1"/>
  <c r="E446" i="1"/>
  <c r="F446" i="1"/>
  <c r="B447" i="1"/>
  <c r="A447" i="1"/>
  <c r="E447" i="1"/>
  <c r="F447" i="1"/>
  <c r="B448" i="1"/>
  <c r="A448" i="1"/>
  <c r="E448" i="1"/>
  <c r="B449" i="1"/>
  <c r="A449" i="1"/>
  <c r="E449" i="1"/>
  <c r="B450" i="1"/>
  <c r="A450" i="1"/>
  <c r="E450" i="1"/>
  <c r="B451" i="1"/>
  <c r="A451" i="1"/>
  <c r="E451" i="1"/>
  <c r="B452" i="1"/>
  <c r="A452" i="1"/>
  <c r="E452" i="1"/>
  <c r="B453" i="1"/>
  <c r="A453" i="1"/>
  <c r="E453" i="1"/>
  <c r="B454" i="1"/>
  <c r="A454" i="1"/>
  <c r="E454" i="1"/>
  <c r="B455" i="1"/>
  <c r="A455" i="1"/>
  <c r="E455" i="1"/>
  <c r="B456" i="1"/>
  <c r="A456" i="1"/>
  <c r="E456" i="1"/>
  <c r="B457" i="1"/>
  <c r="A457" i="1"/>
  <c r="E457" i="1"/>
  <c r="B458" i="1"/>
  <c r="A458" i="1"/>
  <c r="E458" i="1"/>
  <c r="B459" i="1"/>
  <c r="A459" i="1"/>
  <c r="E459" i="1"/>
  <c r="B460" i="1"/>
  <c r="A460" i="1"/>
  <c r="E460" i="1"/>
  <c r="B461" i="1"/>
  <c r="A461" i="1"/>
  <c r="E461" i="1"/>
  <c r="B462" i="1"/>
  <c r="A462" i="1"/>
  <c r="E462" i="1"/>
  <c r="B463" i="1"/>
  <c r="A463" i="1"/>
  <c r="E463" i="1"/>
  <c r="B464" i="1"/>
  <c r="A464" i="1"/>
  <c r="E464" i="1"/>
  <c r="B465" i="1"/>
  <c r="A465" i="1"/>
  <c r="E465" i="1"/>
  <c r="B466" i="1"/>
  <c r="A466" i="1"/>
  <c r="E466" i="1"/>
  <c r="B467" i="1"/>
  <c r="A467" i="1"/>
  <c r="E467" i="1"/>
  <c r="B468" i="1"/>
  <c r="A468" i="1"/>
  <c r="E468" i="1"/>
  <c r="B469" i="1"/>
  <c r="A469" i="1"/>
  <c r="E469" i="1"/>
  <c r="B470" i="1"/>
  <c r="A470" i="1"/>
  <c r="E470" i="1"/>
  <c r="B471" i="1"/>
  <c r="A471" i="1"/>
  <c r="E471" i="1"/>
  <c r="B472" i="1"/>
  <c r="A472" i="1"/>
  <c r="E472" i="1"/>
  <c r="B473" i="1"/>
  <c r="A473" i="1"/>
  <c r="E473" i="1"/>
  <c r="B474" i="1"/>
  <c r="A474" i="1"/>
  <c r="E474" i="1"/>
  <c r="B475" i="1"/>
  <c r="A475" i="1"/>
  <c r="E475" i="1"/>
  <c r="B476" i="1"/>
  <c r="A476" i="1"/>
  <c r="E476" i="1"/>
  <c r="B477" i="1"/>
  <c r="A477" i="1"/>
  <c r="E477" i="1"/>
  <c r="B478" i="1"/>
  <c r="A478" i="1"/>
  <c r="E478" i="1"/>
  <c r="B479" i="1"/>
  <c r="A479" i="1"/>
  <c r="E479" i="1"/>
  <c r="B480" i="1"/>
  <c r="A480" i="1"/>
  <c r="E480" i="1"/>
  <c r="B481" i="1"/>
  <c r="A481" i="1"/>
  <c r="E481" i="1"/>
  <c r="B482" i="1"/>
  <c r="A482" i="1"/>
  <c r="E482" i="1"/>
  <c r="B483" i="1"/>
  <c r="A483" i="1"/>
  <c r="E483" i="1"/>
  <c r="B484" i="1"/>
  <c r="A484" i="1"/>
  <c r="E484" i="1"/>
  <c r="B485" i="1"/>
  <c r="A485" i="1"/>
  <c r="E485" i="1"/>
  <c r="B486" i="1"/>
  <c r="A486" i="1"/>
  <c r="E486" i="1"/>
  <c r="B487" i="1"/>
  <c r="A487" i="1"/>
  <c r="E487" i="1"/>
  <c r="B488" i="1"/>
  <c r="A488" i="1"/>
  <c r="E488" i="1"/>
  <c r="B489" i="1"/>
  <c r="A489" i="1"/>
  <c r="E489" i="1"/>
  <c r="A490" i="1"/>
  <c r="E490" i="1"/>
  <c r="A491" i="1"/>
  <c r="E491" i="1"/>
  <c r="A492" i="1"/>
  <c r="E492" i="1"/>
  <c r="A493" i="1"/>
  <c r="E493" i="1"/>
  <c r="A494" i="1"/>
  <c r="E494" i="1"/>
  <c r="A495" i="1"/>
  <c r="E495" i="1"/>
  <c r="A496" i="1"/>
  <c r="E496" i="1"/>
  <c r="A497" i="1"/>
  <c r="E497" i="1"/>
  <c r="A498" i="1"/>
  <c r="E498" i="1"/>
  <c r="A499" i="1"/>
  <c r="E499" i="1"/>
  <c r="A500" i="1"/>
  <c r="E500" i="1"/>
  <c r="A501" i="1"/>
  <c r="E501" i="1"/>
  <c r="A502" i="1"/>
  <c r="E502" i="1"/>
  <c r="A503" i="1"/>
  <c r="E503" i="1"/>
  <c r="A504" i="1"/>
  <c r="E504" i="1"/>
  <c r="A505" i="1"/>
  <c r="E505" i="1"/>
  <c r="A506" i="1"/>
  <c r="E506" i="1"/>
  <c r="A507" i="1"/>
  <c r="E507" i="1"/>
  <c r="A508" i="1"/>
  <c r="E508" i="1"/>
  <c r="A509" i="1"/>
  <c r="E509" i="1"/>
  <c r="A510" i="1"/>
  <c r="E510" i="1"/>
  <c r="A511" i="1"/>
  <c r="E511" i="1"/>
  <c r="A512" i="1"/>
  <c r="E512" i="1"/>
  <c r="A513" i="1"/>
  <c r="E513" i="1"/>
  <c r="A514" i="1"/>
  <c r="E514" i="1"/>
  <c r="A515" i="1"/>
  <c r="E515" i="1"/>
  <c r="A516" i="1"/>
  <c r="E516" i="1"/>
  <c r="A517" i="1"/>
  <c r="E517" i="1"/>
  <c r="A518" i="1"/>
  <c r="E518" i="1"/>
  <c r="B519" i="1"/>
  <c r="A519" i="1"/>
  <c r="E519" i="1"/>
  <c r="B520" i="1"/>
  <c r="A520" i="1"/>
  <c r="E520" i="1"/>
  <c r="B521" i="1"/>
  <c r="A521" i="1"/>
  <c r="E521" i="1"/>
  <c r="B522" i="1"/>
  <c r="A522" i="1"/>
  <c r="E522" i="1"/>
  <c r="B523" i="1"/>
  <c r="A523" i="1"/>
  <c r="E523" i="1"/>
  <c r="B524" i="1"/>
  <c r="A524" i="1"/>
  <c r="E524" i="1"/>
  <c r="B525" i="1"/>
  <c r="A525" i="1"/>
  <c r="E525" i="1"/>
  <c r="B526" i="1"/>
  <c r="A526" i="1"/>
  <c r="E526" i="1"/>
  <c r="B527" i="1"/>
  <c r="A527" i="1"/>
  <c r="E527" i="1"/>
  <c r="B528" i="1"/>
  <c r="A528" i="1"/>
  <c r="E528" i="1"/>
  <c r="B529" i="1"/>
  <c r="A529" i="1"/>
  <c r="E529" i="1"/>
  <c r="B530" i="1"/>
  <c r="A530" i="1"/>
  <c r="E530" i="1"/>
  <c r="B531" i="1"/>
  <c r="A531" i="1"/>
  <c r="E531" i="1"/>
  <c r="B532" i="1"/>
  <c r="A532" i="1"/>
  <c r="E532" i="1"/>
  <c r="B533" i="1"/>
  <c r="A533" i="1"/>
  <c r="E533" i="1"/>
  <c r="B534" i="1"/>
  <c r="A534" i="1"/>
  <c r="E534" i="1"/>
  <c r="B535" i="1"/>
  <c r="A535" i="1"/>
  <c r="E535" i="1"/>
  <c r="B536" i="1"/>
  <c r="A536" i="1"/>
  <c r="E536" i="1"/>
  <c r="B537" i="1"/>
  <c r="A537" i="1"/>
  <c r="E537" i="1"/>
  <c r="B538" i="1"/>
  <c r="A538" i="1"/>
  <c r="E538" i="1"/>
  <c r="B539" i="1"/>
  <c r="A539" i="1"/>
  <c r="E539" i="1"/>
  <c r="B540" i="1"/>
  <c r="A540" i="1"/>
  <c r="E540" i="1"/>
  <c r="B541" i="1"/>
  <c r="A541" i="1"/>
  <c r="E541" i="1"/>
  <c r="B542" i="1"/>
  <c r="A542" i="1"/>
  <c r="E542" i="1"/>
  <c r="B543" i="1"/>
  <c r="A543" i="1"/>
  <c r="E543" i="1"/>
  <c r="B544" i="1"/>
  <c r="A544" i="1"/>
  <c r="E544" i="1"/>
  <c r="B545" i="1"/>
  <c r="A545" i="1"/>
  <c r="E545" i="1"/>
  <c r="B546" i="1"/>
  <c r="A546" i="1"/>
  <c r="E546" i="1"/>
  <c r="B547" i="1"/>
  <c r="A547" i="1"/>
  <c r="E547" i="1"/>
  <c r="B548" i="1"/>
  <c r="A548" i="1"/>
  <c r="E548" i="1"/>
  <c r="B549" i="1"/>
  <c r="A549" i="1"/>
  <c r="E549" i="1"/>
  <c r="B550" i="1"/>
  <c r="A550" i="1"/>
  <c r="E550" i="1"/>
  <c r="B551" i="1"/>
  <c r="A551" i="1"/>
  <c r="E551" i="1"/>
  <c r="B552" i="1"/>
  <c r="A552" i="1"/>
  <c r="E552" i="1"/>
  <c r="B553" i="1"/>
  <c r="A553" i="1"/>
  <c r="E553" i="1"/>
  <c r="B554" i="1"/>
  <c r="A554" i="1"/>
  <c r="E554" i="1"/>
  <c r="B555" i="1"/>
  <c r="A555" i="1"/>
  <c r="E555" i="1"/>
  <c r="B556" i="1"/>
  <c r="A556" i="1"/>
  <c r="E556" i="1"/>
  <c r="B557" i="1"/>
  <c r="A557" i="1"/>
  <c r="E557" i="1"/>
  <c r="B558" i="1"/>
  <c r="A558" i="1"/>
  <c r="E558" i="1"/>
  <c r="B559" i="1"/>
  <c r="A559" i="1"/>
  <c r="E559" i="1"/>
  <c r="B560" i="1"/>
  <c r="A560" i="1"/>
  <c r="E560" i="1"/>
  <c r="B561" i="1"/>
  <c r="A561" i="1"/>
  <c r="E561" i="1"/>
  <c r="B562" i="1"/>
  <c r="A562" i="1"/>
  <c r="E562" i="1"/>
  <c r="B563" i="1"/>
  <c r="A563" i="1"/>
  <c r="E563" i="1"/>
  <c r="B564" i="1"/>
  <c r="A564" i="1"/>
  <c r="E564" i="1"/>
  <c r="B565" i="1"/>
  <c r="A565" i="1"/>
  <c r="E565" i="1"/>
  <c r="B566" i="1"/>
  <c r="A566" i="1"/>
  <c r="E566" i="1"/>
  <c r="B567" i="1"/>
  <c r="A567" i="1"/>
  <c r="E567" i="1"/>
  <c r="B568" i="1"/>
  <c r="A568" i="1"/>
  <c r="E568" i="1"/>
  <c r="B569" i="1"/>
  <c r="A569" i="1"/>
  <c r="E569" i="1"/>
  <c r="B570" i="1"/>
  <c r="A570" i="1"/>
  <c r="E570" i="1"/>
  <c r="B571" i="1"/>
  <c r="A571" i="1"/>
  <c r="E571" i="1"/>
  <c r="B572" i="1"/>
  <c r="A572" i="1"/>
  <c r="E572" i="1"/>
  <c r="B573" i="1"/>
  <c r="A573" i="1"/>
  <c r="E573" i="1"/>
  <c r="B574" i="1"/>
  <c r="A574" i="1"/>
  <c r="E574" i="1"/>
  <c r="B575" i="1"/>
  <c r="A575" i="1"/>
  <c r="E575" i="1"/>
  <c r="B576" i="1"/>
  <c r="A576" i="1"/>
  <c r="E576" i="1"/>
  <c r="B577" i="1"/>
  <c r="A577" i="1"/>
  <c r="E577" i="1"/>
  <c r="B578" i="1"/>
  <c r="A578" i="1"/>
  <c r="E578" i="1"/>
  <c r="B579" i="1"/>
  <c r="A579" i="1"/>
  <c r="E579" i="1"/>
  <c r="B580" i="1"/>
  <c r="A580" i="1"/>
  <c r="E580" i="1"/>
  <c r="B581" i="1"/>
  <c r="A581" i="1"/>
  <c r="E581" i="1"/>
  <c r="B582" i="1"/>
  <c r="A582" i="1"/>
  <c r="E582" i="1"/>
  <c r="B583" i="1"/>
  <c r="A583" i="1"/>
  <c r="E583" i="1"/>
  <c r="B584" i="1"/>
  <c r="A584" i="1"/>
  <c r="E584" i="1"/>
  <c r="B585" i="1"/>
  <c r="A585" i="1"/>
  <c r="E585" i="1"/>
  <c r="B586" i="1"/>
  <c r="A586" i="1"/>
  <c r="E586" i="1"/>
  <c r="B587" i="1"/>
  <c r="A587" i="1"/>
  <c r="E587" i="1"/>
  <c r="B588" i="1"/>
  <c r="A588" i="1"/>
  <c r="E588" i="1"/>
  <c r="B589" i="1"/>
  <c r="A589" i="1"/>
  <c r="E589" i="1"/>
  <c r="B590" i="1"/>
  <c r="A590" i="1"/>
  <c r="E590" i="1"/>
  <c r="B591" i="1"/>
  <c r="A591" i="1"/>
  <c r="E591" i="1"/>
  <c r="B592" i="1"/>
  <c r="A592" i="1"/>
  <c r="E592" i="1"/>
  <c r="B593" i="1"/>
  <c r="A593" i="1"/>
  <c r="E593" i="1"/>
  <c r="G593" i="1"/>
  <c r="B594" i="1"/>
  <c r="A594" i="1"/>
  <c r="E594" i="1"/>
  <c r="G594" i="1"/>
  <c r="B595" i="1"/>
  <c r="A595" i="1"/>
  <c r="E595" i="1"/>
  <c r="B596" i="1"/>
  <c r="A596" i="1"/>
  <c r="E596" i="1"/>
  <c r="B597" i="1"/>
  <c r="A597" i="1"/>
  <c r="E597" i="1"/>
  <c r="B598" i="1"/>
  <c r="A598" i="1"/>
  <c r="E598" i="1"/>
  <c r="B599" i="1"/>
  <c r="A599" i="1"/>
  <c r="E599" i="1"/>
  <c r="B600" i="1"/>
  <c r="A600" i="1"/>
  <c r="E600" i="1"/>
  <c r="B601" i="1"/>
  <c r="A601" i="1"/>
  <c r="E601" i="1"/>
  <c r="B602" i="1"/>
  <c r="A602" i="1"/>
  <c r="E602" i="1"/>
  <c r="B603" i="1"/>
  <c r="A603" i="1"/>
  <c r="E603" i="1"/>
  <c r="B604" i="1"/>
  <c r="A604" i="1"/>
  <c r="E604" i="1"/>
  <c r="B605" i="1"/>
  <c r="A605" i="1"/>
  <c r="E605" i="1"/>
  <c r="B606" i="1"/>
  <c r="A606" i="1"/>
  <c r="E606" i="1"/>
  <c r="B607" i="1"/>
  <c r="A607" i="1"/>
  <c r="E607" i="1"/>
  <c r="B608" i="1"/>
  <c r="A608" i="1"/>
  <c r="E608" i="1"/>
  <c r="B609" i="1"/>
  <c r="A609" i="1"/>
  <c r="E609" i="1"/>
  <c r="B610" i="1"/>
  <c r="A610" i="1"/>
  <c r="E610" i="1"/>
  <c r="B611" i="1"/>
  <c r="A611" i="1"/>
  <c r="E611" i="1"/>
  <c r="B612" i="1"/>
  <c r="A612" i="1"/>
  <c r="E612" i="1"/>
  <c r="B613" i="1"/>
  <c r="A613" i="1"/>
  <c r="E613" i="1"/>
  <c r="B614" i="1"/>
  <c r="A614" i="1"/>
  <c r="E614" i="1"/>
  <c r="B615" i="1"/>
  <c r="A615" i="1"/>
  <c r="E615" i="1"/>
  <c r="B616" i="1"/>
  <c r="A616" i="1"/>
  <c r="E616" i="1"/>
  <c r="B617" i="1"/>
  <c r="A617" i="1"/>
  <c r="E617" i="1"/>
  <c r="B618" i="1"/>
  <c r="A618" i="1"/>
  <c r="E618" i="1"/>
  <c r="B619" i="1"/>
  <c r="A619" i="1"/>
  <c r="E619" i="1"/>
  <c r="B620" i="1"/>
  <c r="A620" i="1"/>
  <c r="E620" i="1"/>
  <c r="B621" i="1"/>
  <c r="A621" i="1"/>
  <c r="E621" i="1"/>
  <c r="B622" i="1"/>
  <c r="A622" i="1"/>
  <c r="E622" i="1"/>
  <c r="B623" i="1"/>
  <c r="A623" i="1"/>
  <c r="E623" i="1"/>
  <c r="B624" i="1"/>
  <c r="A624" i="1"/>
  <c r="E624" i="1"/>
  <c r="B625" i="1"/>
  <c r="A625" i="1"/>
  <c r="E625" i="1"/>
  <c r="B626" i="1"/>
  <c r="A626" i="1"/>
  <c r="E626" i="1"/>
  <c r="B627" i="1"/>
  <c r="A627" i="1"/>
  <c r="E627" i="1"/>
  <c r="B628" i="1"/>
  <c r="A628" i="1"/>
  <c r="E628" i="1"/>
  <c r="B629" i="1"/>
  <c r="A629" i="1"/>
  <c r="E629" i="1"/>
  <c r="B630" i="1"/>
  <c r="A630" i="1"/>
  <c r="E630" i="1"/>
  <c r="B631" i="1"/>
  <c r="A631" i="1"/>
  <c r="E631" i="1"/>
  <c r="B632" i="1"/>
  <c r="A632" i="1"/>
  <c r="E632" i="1"/>
  <c r="B633" i="1"/>
  <c r="A633" i="1"/>
  <c r="E633" i="1"/>
  <c r="B634" i="1"/>
  <c r="A634" i="1"/>
  <c r="E634" i="1"/>
  <c r="B635" i="1"/>
  <c r="A635" i="1"/>
  <c r="E635" i="1"/>
  <c r="B636" i="1"/>
  <c r="A636" i="1"/>
  <c r="E636" i="1"/>
  <c r="B637" i="1"/>
  <c r="A637" i="1"/>
  <c r="E637" i="1"/>
  <c r="B638" i="1"/>
  <c r="A638" i="1"/>
  <c r="E638" i="1"/>
  <c r="B639" i="1"/>
  <c r="A639" i="1"/>
  <c r="E639" i="1"/>
  <c r="B640" i="1"/>
  <c r="A640" i="1"/>
  <c r="E640" i="1"/>
  <c r="B641" i="1"/>
  <c r="A641" i="1"/>
  <c r="E641" i="1"/>
  <c r="B642" i="1"/>
  <c r="A642" i="1"/>
  <c r="E642" i="1"/>
  <c r="B643" i="1"/>
  <c r="A643" i="1"/>
  <c r="E643" i="1"/>
  <c r="B644" i="1"/>
  <c r="A644" i="1"/>
  <c r="E644" i="1"/>
  <c r="B645" i="1"/>
  <c r="A645" i="1"/>
  <c r="E645" i="1"/>
  <c r="B646" i="1"/>
  <c r="A646" i="1"/>
  <c r="E646" i="1"/>
  <c r="B647" i="1"/>
  <c r="A647" i="1"/>
  <c r="E647" i="1"/>
  <c r="B648" i="1"/>
  <c r="A648" i="1"/>
  <c r="E648" i="1"/>
  <c r="B649" i="1"/>
  <c r="A649" i="1"/>
  <c r="E649" i="1"/>
  <c r="B650" i="1"/>
  <c r="A650" i="1"/>
  <c r="E650" i="1"/>
  <c r="B651" i="1"/>
  <c r="A651" i="1"/>
  <c r="E651" i="1"/>
  <c r="B652" i="1"/>
  <c r="A652" i="1"/>
  <c r="E652" i="1"/>
  <c r="A653" i="1"/>
  <c r="E653" i="1"/>
  <c r="A654" i="1"/>
  <c r="E654" i="1"/>
  <c r="A655" i="1"/>
  <c r="E655" i="1"/>
  <c r="A656" i="1"/>
  <c r="E656" i="1"/>
  <c r="A657" i="1"/>
  <c r="E657" i="1"/>
  <c r="A658" i="1"/>
  <c r="E658" i="1"/>
  <c r="A659" i="1"/>
  <c r="E659" i="1"/>
  <c r="A660" i="1"/>
  <c r="E660" i="1"/>
  <c r="A661" i="1"/>
  <c r="E661" i="1"/>
  <c r="A662" i="1"/>
  <c r="E662" i="1"/>
  <c r="A663" i="1"/>
  <c r="E663" i="1"/>
  <c r="A664" i="1"/>
  <c r="E664" i="1"/>
  <c r="A665" i="1"/>
  <c r="E665" i="1"/>
  <c r="A666" i="1"/>
  <c r="E666" i="1"/>
  <c r="A667" i="1"/>
  <c r="E667" i="1"/>
  <c r="A668" i="1"/>
  <c r="E668" i="1"/>
  <c r="A669" i="1"/>
  <c r="E669" i="1"/>
  <c r="A670" i="1"/>
  <c r="E670" i="1"/>
  <c r="A671" i="1"/>
  <c r="E671" i="1"/>
  <c r="A672" i="1"/>
  <c r="E672" i="1"/>
  <c r="A673" i="1"/>
  <c r="E673" i="1"/>
  <c r="A674" i="1"/>
  <c r="E674" i="1"/>
  <c r="A675" i="1"/>
  <c r="E675" i="1"/>
  <c r="A676" i="1"/>
  <c r="E676" i="1"/>
  <c r="B677" i="1"/>
  <c r="A677" i="1"/>
  <c r="E677" i="1"/>
  <c r="B678" i="1"/>
  <c r="A678" i="1"/>
  <c r="E678" i="1"/>
  <c r="B679" i="1"/>
  <c r="A679" i="1"/>
  <c r="E679" i="1"/>
  <c r="B680" i="1"/>
  <c r="A680" i="1"/>
  <c r="E680" i="1"/>
  <c r="B681" i="1"/>
  <c r="A681" i="1"/>
  <c r="E681" i="1"/>
  <c r="B682" i="1"/>
  <c r="A682" i="1"/>
  <c r="E682" i="1"/>
  <c r="B683" i="1"/>
  <c r="A683" i="1"/>
  <c r="E683" i="1"/>
  <c r="B684" i="1"/>
  <c r="A684" i="1"/>
  <c r="E684" i="1"/>
  <c r="B685" i="1"/>
  <c r="A685" i="1"/>
  <c r="E685" i="1"/>
  <c r="B686" i="1"/>
  <c r="A686" i="1"/>
  <c r="E686" i="1"/>
  <c r="B687" i="1"/>
  <c r="A687" i="1"/>
  <c r="E687" i="1"/>
  <c r="B688" i="1"/>
  <c r="A688" i="1"/>
  <c r="E688" i="1"/>
  <c r="B689" i="1"/>
  <c r="A689" i="1"/>
  <c r="E689" i="1"/>
  <c r="B690" i="1"/>
  <c r="A690" i="1"/>
  <c r="E690" i="1"/>
  <c r="B691" i="1"/>
  <c r="A691" i="1"/>
  <c r="E691" i="1"/>
  <c r="B692" i="1"/>
  <c r="A692" i="1"/>
  <c r="E692" i="1"/>
  <c r="B693" i="1"/>
  <c r="A693" i="1"/>
  <c r="E693" i="1"/>
  <c r="B694" i="1"/>
  <c r="A694" i="1"/>
  <c r="E694" i="1"/>
  <c r="B695" i="1"/>
  <c r="A695" i="1"/>
  <c r="E695" i="1"/>
  <c r="B696" i="1"/>
  <c r="A696" i="1"/>
  <c r="E696" i="1"/>
  <c r="B697" i="1"/>
  <c r="A697" i="1"/>
  <c r="E697" i="1"/>
  <c r="B698" i="1"/>
  <c r="A698" i="1"/>
  <c r="E698" i="1"/>
  <c r="B699" i="1"/>
  <c r="A699" i="1"/>
  <c r="E699" i="1"/>
  <c r="B700" i="1"/>
  <c r="A700" i="1"/>
  <c r="E700" i="1"/>
  <c r="B701" i="1"/>
  <c r="A701" i="1"/>
  <c r="E701" i="1"/>
  <c r="B702" i="1"/>
  <c r="A702" i="1"/>
  <c r="E702" i="1"/>
  <c r="B703" i="1"/>
  <c r="A703" i="1"/>
  <c r="E703" i="1"/>
  <c r="B704" i="1"/>
  <c r="A704" i="1"/>
  <c r="E704" i="1"/>
  <c r="B705" i="1"/>
  <c r="A705" i="1"/>
  <c r="E705" i="1"/>
  <c r="B706" i="1"/>
  <c r="A706" i="1"/>
  <c r="E706" i="1"/>
  <c r="B707" i="1"/>
  <c r="A707" i="1"/>
  <c r="E707" i="1"/>
  <c r="B708" i="1"/>
  <c r="A708" i="1"/>
  <c r="E708" i="1"/>
  <c r="B709" i="1"/>
  <c r="A709" i="1"/>
  <c r="E709" i="1"/>
  <c r="B710" i="1"/>
  <c r="A710" i="1"/>
  <c r="E710" i="1"/>
  <c r="B711" i="1"/>
  <c r="A711" i="1"/>
  <c r="E711" i="1"/>
  <c r="B712" i="1"/>
  <c r="A712" i="1"/>
  <c r="E712" i="1"/>
  <c r="B713" i="1"/>
  <c r="A713" i="1"/>
  <c r="E713" i="1"/>
  <c r="B714" i="1"/>
  <c r="A714" i="1"/>
  <c r="E714" i="1"/>
  <c r="B715" i="1"/>
  <c r="A715" i="1"/>
  <c r="E715" i="1"/>
  <c r="B716" i="1"/>
  <c r="A716" i="1"/>
  <c r="E716" i="1"/>
  <c r="B717" i="1"/>
  <c r="A717" i="1"/>
  <c r="E717" i="1"/>
  <c r="B718" i="1"/>
  <c r="A718" i="1"/>
  <c r="E718" i="1"/>
  <c r="B719" i="1"/>
  <c r="A719" i="1"/>
  <c r="E719" i="1"/>
  <c r="B720" i="1"/>
  <c r="A720" i="1"/>
  <c r="E720" i="1"/>
  <c r="B721" i="1"/>
  <c r="A721" i="1"/>
  <c r="E721" i="1"/>
  <c r="B722" i="1"/>
  <c r="A722" i="1"/>
  <c r="E722" i="1"/>
  <c r="B723" i="1"/>
  <c r="A723" i="1"/>
  <c r="E723" i="1"/>
  <c r="B724" i="1"/>
  <c r="A724" i="1"/>
  <c r="E724" i="1"/>
  <c r="B725" i="1"/>
  <c r="A725" i="1"/>
  <c r="E725" i="1"/>
  <c r="B726" i="1"/>
  <c r="A726" i="1"/>
  <c r="E726" i="1"/>
  <c r="B727" i="1"/>
  <c r="A727" i="1"/>
  <c r="E727" i="1"/>
  <c r="B728" i="1"/>
  <c r="A728" i="1"/>
  <c r="E728" i="1"/>
  <c r="B729" i="1"/>
  <c r="A729" i="1"/>
  <c r="E729" i="1"/>
  <c r="B730" i="1"/>
  <c r="A730" i="1"/>
  <c r="E730" i="1"/>
  <c r="B731" i="1"/>
  <c r="A731" i="1"/>
  <c r="E731" i="1"/>
  <c r="B732" i="1"/>
  <c r="A732" i="1"/>
  <c r="E732" i="1"/>
  <c r="B733" i="1"/>
  <c r="A733" i="1"/>
  <c r="E733" i="1"/>
  <c r="B734" i="1"/>
  <c r="A734" i="1"/>
  <c r="E734" i="1"/>
  <c r="B735" i="1"/>
  <c r="A735" i="1"/>
  <c r="E735" i="1"/>
  <c r="B736" i="1"/>
  <c r="A736" i="1"/>
  <c r="E736" i="1"/>
  <c r="B737" i="1"/>
  <c r="A737" i="1"/>
  <c r="E737" i="1"/>
  <c r="B738" i="1"/>
  <c r="A738" i="1"/>
  <c r="E738" i="1"/>
  <c r="B739" i="1"/>
  <c r="A739" i="1"/>
  <c r="E739" i="1"/>
  <c r="B740" i="1"/>
  <c r="A740" i="1"/>
  <c r="E740" i="1"/>
  <c r="B741" i="1"/>
  <c r="A741" i="1"/>
  <c r="E741" i="1"/>
  <c r="B742" i="1"/>
  <c r="A742" i="1"/>
  <c r="E742" i="1"/>
  <c r="B743" i="1"/>
  <c r="A743" i="1"/>
  <c r="E743" i="1"/>
  <c r="B744" i="1"/>
  <c r="A744" i="1"/>
  <c r="E744" i="1"/>
  <c r="B745" i="1"/>
  <c r="A745" i="1"/>
  <c r="E745" i="1"/>
  <c r="B746" i="1"/>
  <c r="A746" i="1"/>
  <c r="E746" i="1"/>
  <c r="B747" i="1"/>
  <c r="A747" i="1"/>
  <c r="E747" i="1"/>
  <c r="B748" i="1"/>
  <c r="A748" i="1"/>
  <c r="E748" i="1"/>
  <c r="B749" i="1"/>
  <c r="A749" i="1"/>
  <c r="E749" i="1"/>
  <c r="B750" i="1"/>
  <c r="A750" i="1"/>
  <c r="E750" i="1"/>
  <c r="B751" i="1"/>
  <c r="A751" i="1"/>
  <c r="E751" i="1"/>
  <c r="B752" i="1"/>
  <c r="A752" i="1"/>
  <c r="E752" i="1"/>
  <c r="B753" i="1"/>
  <c r="A753" i="1"/>
  <c r="E753" i="1"/>
  <c r="B754" i="1"/>
  <c r="A754" i="1"/>
  <c r="E754" i="1"/>
  <c r="B755" i="1"/>
  <c r="A755" i="1"/>
  <c r="E755" i="1"/>
  <c r="B756" i="1"/>
  <c r="A756" i="1"/>
  <c r="E756" i="1"/>
  <c r="B757" i="1"/>
  <c r="A757" i="1"/>
  <c r="E757" i="1"/>
  <c r="B758" i="1"/>
  <c r="A758" i="1"/>
  <c r="E758" i="1"/>
  <c r="B759" i="1"/>
  <c r="A759" i="1"/>
  <c r="E759" i="1"/>
  <c r="B760" i="1"/>
  <c r="A760" i="1"/>
  <c r="E760" i="1"/>
  <c r="B761" i="1"/>
  <c r="A761" i="1"/>
  <c r="E761" i="1"/>
  <c r="B762" i="1"/>
  <c r="A762" i="1"/>
  <c r="E762" i="1"/>
  <c r="B763" i="1"/>
  <c r="A763" i="1"/>
  <c r="E763" i="1"/>
  <c r="B764" i="1"/>
  <c r="A764" i="1"/>
  <c r="E764" i="1"/>
  <c r="B765" i="1"/>
  <c r="A765" i="1"/>
  <c r="E765" i="1"/>
  <c r="B766" i="1"/>
  <c r="A766" i="1"/>
  <c r="E766" i="1"/>
  <c r="B767" i="1"/>
  <c r="A767" i="1"/>
  <c r="E767" i="1"/>
  <c r="B768" i="1"/>
  <c r="A768" i="1"/>
  <c r="E768" i="1"/>
  <c r="B769" i="1"/>
  <c r="A769" i="1"/>
  <c r="E769" i="1"/>
  <c r="B770" i="1"/>
  <c r="A770" i="1"/>
  <c r="E770" i="1"/>
  <c r="B771" i="1"/>
  <c r="A771" i="1"/>
  <c r="E771" i="1"/>
  <c r="B772" i="1"/>
  <c r="A772" i="1"/>
  <c r="E772" i="1"/>
  <c r="B773" i="1"/>
  <c r="A773" i="1"/>
  <c r="E773" i="1"/>
  <c r="B774" i="1"/>
  <c r="A774" i="1"/>
  <c r="E774" i="1"/>
  <c r="B775" i="1"/>
  <c r="A775" i="1"/>
  <c r="E775" i="1"/>
  <c r="G775" i="1"/>
  <c r="B776" i="1"/>
  <c r="A776" i="1"/>
  <c r="E776" i="1"/>
  <c r="G776" i="1"/>
  <c r="B777" i="1"/>
  <c r="A777" i="1"/>
  <c r="E777" i="1"/>
  <c r="B778" i="1"/>
  <c r="A778" i="1"/>
  <c r="E778" i="1"/>
  <c r="B779" i="1"/>
  <c r="A779" i="1"/>
  <c r="E779" i="1"/>
  <c r="B780" i="1"/>
  <c r="A780" i="1"/>
  <c r="E780" i="1"/>
  <c r="B781" i="1"/>
  <c r="A781" i="1"/>
  <c r="E781" i="1"/>
  <c r="B782" i="1"/>
  <c r="A782" i="1"/>
  <c r="E782" i="1"/>
  <c r="B783" i="1"/>
  <c r="A783" i="1"/>
  <c r="E783" i="1"/>
  <c r="B784" i="1"/>
  <c r="A784" i="1"/>
  <c r="E784" i="1"/>
  <c r="B785" i="1"/>
  <c r="A785" i="1"/>
  <c r="E785" i="1"/>
  <c r="A786" i="1"/>
  <c r="E786" i="1"/>
  <c r="G786" i="1"/>
  <c r="A787" i="1"/>
  <c r="E787" i="1"/>
  <c r="B788" i="1"/>
  <c r="A788" i="1"/>
  <c r="E788" i="1"/>
  <c r="G788" i="1"/>
  <c r="B789" i="1"/>
  <c r="A789" i="1"/>
  <c r="E789" i="1"/>
  <c r="B790" i="1"/>
  <c r="A790" i="1"/>
  <c r="E790" i="1"/>
  <c r="B791" i="1"/>
  <c r="A791" i="1"/>
  <c r="E791" i="1"/>
  <c r="B792" i="1"/>
  <c r="A792" i="1"/>
  <c r="E792" i="1"/>
  <c r="B793" i="1"/>
  <c r="A793" i="1"/>
  <c r="E793" i="1"/>
  <c r="B794" i="1"/>
  <c r="A794" i="1"/>
  <c r="E794" i="1"/>
  <c r="B795" i="1"/>
  <c r="A795" i="1"/>
  <c r="E795" i="1"/>
  <c r="B796" i="1"/>
  <c r="A796" i="1"/>
  <c r="E796" i="1"/>
  <c r="B797" i="1"/>
  <c r="A797" i="1"/>
  <c r="E797" i="1"/>
  <c r="B798" i="1"/>
  <c r="A798" i="1"/>
  <c r="E798" i="1"/>
  <c r="B799" i="1"/>
  <c r="A799" i="1"/>
  <c r="E799" i="1"/>
  <c r="B800" i="1"/>
  <c r="A800" i="1"/>
  <c r="E800" i="1"/>
  <c r="B801" i="1"/>
  <c r="A801" i="1"/>
  <c r="E801" i="1"/>
  <c r="B802" i="1"/>
  <c r="A802" i="1"/>
  <c r="E802" i="1"/>
  <c r="B803" i="1"/>
  <c r="A803" i="1"/>
  <c r="E803" i="1"/>
  <c r="B804" i="1"/>
  <c r="A804" i="1"/>
  <c r="E804" i="1"/>
  <c r="B805" i="1"/>
  <c r="A805" i="1"/>
  <c r="E805" i="1"/>
  <c r="B806" i="1"/>
  <c r="A806" i="1"/>
  <c r="E806" i="1"/>
  <c r="B807" i="1"/>
  <c r="A807" i="1"/>
  <c r="E807" i="1"/>
  <c r="B808" i="1"/>
  <c r="A808" i="1"/>
  <c r="E808" i="1"/>
  <c r="B809" i="1"/>
  <c r="A809" i="1"/>
  <c r="E809" i="1"/>
  <c r="B810" i="1"/>
  <c r="A810" i="1"/>
  <c r="E810" i="1"/>
  <c r="B811" i="1"/>
  <c r="A811" i="1"/>
  <c r="E811" i="1"/>
  <c r="B812" i="1"/>
  <c r="A812" i="1"/>
  <c r="E812" i="1"/>
  <c r="B813" i="1"/>
  <c r="A813" i="1"/>
  <c r="E813" i="1"/>
  <c r="B814" i="1"/>
  <c r="A814" i="1"/>
  <c r="E814" i="1"/>
  <c r="B815" i="1"/>
  <c r="A815" i="1"/>
  <c r="E815" i="1"/>
  <c r="B816" i="1"/>
  <c r="A816" i="1"/>
  <c r="E816" i="1"/>
  <c r="B817" i="1"/>
  <c r="A817" i="1"/>
  <c r="E817" i="1"/>
  <c r="B818" i="1"/>
  <c r="A818" i="1"/>
  <c r="E818" i="1"/>
  <c r="B819" i="1"/>
  <c r="A819" i="1"/>
  <c r="E819" i="1"/>
  <c r="B820" i="1"/>
  <c r="A820" i="1"/>
  <c r="E820" i="1"/>
  <c r="B821" i="1"/>
  <c r="A821" i="1"/>
  <c r="E821" i="1"/>
  <c r="B822" i="1"/>
  <c r="A822" i="1"/>
  <c r="E822" i="1"/>
  <c r="B823" i="1"/>
  <c r="A823" i="1"/>
  <c r="E823" i="1"/>
  <c r="B824" i="1"/>
  <c r="A824" i="1"/>
  <c r="E824" i="1"/>
  <c r="B825" i="1"/>
  <c r="A825" i="1"/>
  <c r="E825" i="1"/>
  <c r="B826" i="1"/>
  <c r="A826" i="1"/>
  <c r="E826" i="1"/>
  <c r="B827" i="1"/>
  <c r="A827" i="1"/>
  <c r="E827" i="1"/>
  <c r="B828" i="1"/>
  <c r="A828" i="1"/>
  <c r="E828" i="1"/>
  <c r="B829" i="1"/>
  <c r="A829" i="1"/>
  <c r="E829" i="1"/>
  <c r="B830" i="1"/>
  <c r="A830" i="1"/>
  <c r="E830" i="1"/>
  <c r="B831" i="1"/>
  <c r="A831" i="1"/>
  <c r="E831" i="1"/>
  <c r="G831" i="1"/>
  <c r="B832" i="1"/>
  <c r="A832" i="1"/>
  <c r="E832" i="1"/>
  <c r="G832" i="1"/>
  <c r="B833" i="1"/>
  <c r="A833" i="1"/>
  <c r="E833" i="1"/>
  <c r="B834" i="1"/>
  <c r="A834" i="1"/>
  <c r="E834" i="1"/>
  <c r="B835" i="1"/>
  <c r="A835" i="1"/>
  <c r="E835" i="1"/>
  <c r="B836" i="1"/>
  <c r="A836" i="1"/>
  <c r="E836" i="1"/>
  <c r="B837" i="1"/>
  <c r="A837" i="1"/>
  <c r="E837" i="1"/>
  <c r="B838" i="1"/>
  <c r="A838" i="1"/>
  <c r="E838" i="1"/>
  <c r="B839" i="1"/>
  <c r="A839" i="1"/>
  <c r="E839" i="1"/>
  <c r="B840" i="1"/>
  <c r="A840" i="1"/>
  <c r="E840" i="1"/>
  <c r="B841" i="1"/>
  <c r="A841" i="1"/>
  <c r="E841" i="1"/>
  <c r="B842" i="1"/>
  <c r="A842" i="1"/>
  <c r="E842" i="1"/>
  <c r="B843" i="1"/>
  <c r="A843" i="1"/>
  <c r="E843" i="1"/>
  <c r="B844" i="1"/>
  <c r="A844" i="1"/>
  <c r="E844" i="1"/>
  <c r="B845" i="1"/>
  <c r="A845" i="1"/>
  <c r="E845" i="1"/>
  <c r="B846" i="1"/>
  <c r="A846" i="1"/>
  <c r="E846" i="1"/>
  <c r="B847" i="1"/>
  <c r="A847" i="1"/>
  <c r="E847" i="1"/>
  <c r="B848" i="1"/>
  <c r="A848" i="1"/>
  <c r="E848" i="1"/>
  <c r="B849" i="1"/>
  <c r="A849" i="1"/>
  <c r="E849" i="1"/>
  <c r="B850" i="1"/>
  <c r="A850" i="1"/>
  <c r="E850" i="1"/>
  <c r="B851" i="1"/>
  <c r="A851" i="1"/>
  <c r="E851" i="1"/>
  <c r="B852" i="1"/>
  <c r="A852" i="1"/>
  <c r="E852" i="1"/>
  <c r="B853" i="1"/>
  <c r="A853" i="1"/>
  <c r="E853" i="1"/>
  <c r="B854" i="1"/>
  <c r="A854" i="1"/>
  <c r="E854" i="1"/>
  <c r="B855" i="1"/>
  <c r="A855" i="1"/>
  <c r="E855" i="1"/>
  <c r="B856" i="1"/>
  <c r="A856" i="1"/>
  <c r="E856" i="1"/>
  <c r="B857" i="1"/>
  <c r="A857" i="1"/>
  <c r="E857" i="1"/>
  <c r="B858" i="1"/>
  <c r="A858" i="1"/>
  <c r="E858" i="1"/>
  <c r="B859" i="1"/>
  <c r="A859" i="1"/>
  <c r="E859" i="1"/>
  <c r="B860" i="1"/>
  <c r="A860" i="1"/>
  <c r="E860" i="1"/>
  <c r="B861" i="1"/>
  <c r="A861" i="1"/>
  <c r="E861" i="1"/>
  <c r="B862" i="1"/>
  <c r="A862" i="1"/>
  <c r="E862" i="1"/>
  <c r="B863" i="1"/>
  <c r="A863" i="1"/>
  <c r="E863" i="1"/>
  <c r="B864" i="1"/>
  <c r="A864" i="1"/>
  <c r="E864" i="1"/>
  <c r="B865" i="1"/>
  <c r="A865" i="1"/>
  <c r="E865" i="1"/>
  <c r="B866" i="1"/>
  <c r="A866" i="1"/>
  <c r="E866" i="1"/>
  <c r="B867" i="1"/>
  <c r="A867" i="1"/>
  <c r="E867" i="1"/>
  <c r="B868" i="1"/>
  <c r="A868" i="1"/>
  <c r="E868" i="1"/>
  <c r="B869" i="1"/>
  <c r="A869" i="1"/>
  <c r="E869" i="1"/>
  <c r="B870" i="1"/>
  <c r="A870" i="1"/>
  <c r="E870" i="1"/>
  <c r="B871" i="1"/>
  <c r="A871" i="1"/>
  <c r="E871" i="1"/>
  <c r="B872" i="1"/>
  <c r="A872" i="1"/>
  <c r="E872" i="1"/>
  <c r="B873" i="1"/>
  <c r="A873" i="1"/>
  <c r="E873" i="1"/>
  <c r="B874" i="1"/>
  <c r="A874" i="1"/>
  <c r="E874" i="1"/>
  <c r="B875" i="1"/>
  <c r="A875" i="1"/>
  <c r="E875" i="1"/>
  <c r="B876" i="1"/>
  <c r="A876" i="1"/>
  <c r="E876" i="1"/>
  <c r="B877" i="1"/>
  <c r="A877" i="1"/>
  <c r="E877" i="1"/>
  <c r="B878" i="1"/>
  <c r="A878" i="1"/>
  <c r="E878" i="1"/>
  <c r="B879" i="1"/>
  <c r="A879" i="1"/>
  <c r="E879" i="1"/>
  <c r="B880" i="1"/>
  <c r="A880" i="1"/>
  <c r="E880" i="1"/>
  <c r="B881" i="1"/>
  <c r="A881" i="1"/>
  <c r="E881" i="1"/>
  <c r="B882" i="1"/>
  <c r="A882" i="1"/>
  <c r="E882" i="1"/>
  <c r="B883" i="1"/>
  <c r="A883" i="1"/>
  <c r="E883" i="1"/>
  <c r="B884" i="1"/>
  <c r="A884" i="1"/>
  <c r="E884" i="1"/>
  <c r="B885" i="1"/>
  <c r="A885" i="1"/>
  <c r="E885" i="1"/>
  <c r="B886" i="1"/>
  <c r="A886" i="1"/>
  <c r="E886" i="1"/>
  <c r="B887" i="1"/>
  <c r="A887" i="1"/>
  <c r="E887" i="1"/>
  <c r="B888" i="1"/>
  <c r="A888" i="1"/>
  <c r="E888" i="1"/>
  <c r="B889" i="1"/>
  <c r="A889" i="1"/>
  <c r="E889" i="1"/>
  <c r="B890" i="1"/>
  <c r="A890" i="1"/>
  <c r="E890" i="1"/>
  <c r="B891" i="1"/>
  <c r="A891" i="1"/>
  <c r="E891" i="1"/>
  <c r="B892" i="1"/>
  <c r="A892" i="1"/>
  <c r="E892" i="1"/>
  <c r="B893" i="1"/>
  <c r="A893" i="1"/>
  <c r="E893" i="1"/>
  <c r="B894" i="1"/>
  <c r="A894" i="1"/>
  <c r="E894" i="1"/>
  <c r="B895" i="1"/>
  <c r="A895" i="1"/>
  <c r="E895" i="1"/>
  <c r="B896" i="1"/>
  <c r="A896" i="1"/>
  <c r="E896" i="1"/>
  <c r="B897" i="1"/>
  <c r="A897" i="1"/>
  <c r="E897" i="1"/>
  <c r="B898" i="1"/>
  <c r="A898" i="1"/>
  <c r="E898" i="1"/>
  <c r="B899" i="1"/>
  <c r="A899" i="1"/>
  <c r="E899" i="1"/>
  <c r="B900" i="1"/>
  <c r="A900" i="1"/>
  <c r="E900" i="1"/>
  <c r="B901" i="1"/>
  <c r="A901" i="1"/>
  <c r="E901" i="1"/>
  <c r="B902" i="1"/>
  <c r="A902" i="1"/>
  <c r="E902" i="1"/>
  <c r="B903" i="1"/>
  <c r="A903" i="1"/>
  <c r="E903" i="1"/>
  <c r="B904" i="1"/>
  <c r="A904" i="1"/>
  <c r="E904" i="1"/>
  <c r="B905" i="1"/>
  <c r="A905" i="1"/>
  <c r="E905" i="1"/>
  <c r="B906" i="1"/>
  <c r="A906" i="1"/>
  <c r="E906" i="1"/>
  <c r="B907" i="1"/>
  <c r="A907" i="1"/>
  <c r="E907" i="1"/>
  <c r="B908" i="1"/>
  <c r="A908" i="1"/>
  <c r="E908" i="1"/>
  <c r="B909" i="1"/>
  <c r="A909" i="1"/>
  <c r="E909" i="1"/>
  <c r="B910" i="1"/>
  <c r="A910" i="1"/>
  <c r="E910" i="1"/>
  <c r="B911" i="1"/>
  <c r="A911" i="1"/>
  <c r="E911" i="1"/>
  <c r="B912" i="1"/>
  <c r="A912" i="1"/>
  <c r="E912" i="1"/>
  <c r="B913" i="1"/>
  <c r="A913" i="1"/>
  <c r="E913" i="1"/>
  <c r="B914" i="1"/>
  <c r="A914" i="1"/>
  <c r="E914" i="1"/>
  <c r="B915" i="1"/>
  <c r="A915" i="1"/>
  <c r="E915" i="1"/>
  <c r="B916" i="1"/>
  <c r="A916" i="1"/>
  <c r="E916" i="1"/>
  <c r="B917" i="1"/>
  <c r="A917" i="1"/>
  <c r="E917" i="1"/>
  <c r="B918" i="1"/>
  <c r="A918" i="1"/>
  <c r="E918" i="1"/>
  <c r="B919" i="1"/>
  <c r="A919" i="1"/>
  <c r="E919" i="1"/>
  <c r="B920" i="1"/>
  <c r="A920" i="1"/>
  <c r="E920" i="1"/>
  <c r="B921" i="1"/>
  <c r="A921" i="1"/>
  <c r="E921" i="1"/>
  <c r="B922" i="1"/>
  <c r="A922" i="1"/>
  <c r="E922" i="1"/>
  <c r="B923" i="1"/>
  <c r="A923" i="1"/>
  <c r="E923" i="1"/>
  <c r="B924" i="1"/>
  <c r="A924" i="1"/>
  <c r="E924" i="1"/>
  <c r="B925" i="1"/>
  <c r="A925" i="1"/>
  <c r="E925" i="1"/>
  <c r="B926" i="1"/>
  <c r="A926" i="1"/>
  <c r="E926" i="1"/>
  <c r="B927" i="1"/>
  <c r="A927" i="1"/>
  <c r="E927" i="1"/>
  <c r="B928" i="1"/>
  <c r="A928" i="1"/>
  <c r="E928" i="1"/>
  <c r="B929" i="1"/>
  <c r="A929" i="1"/>
  <c r="E929" i="1"/>
  <c r="B930" i="1"/>
  <c r="A930" i="1"/>
  <c r="E930" i="1"/>
  <c r="B931" i="1"/>
  <c r="A931" i="1"/>
  <c r="E931" i="1"/>
  <c r="B932" i="1"/>
  <c r="A932" i="1"/>
  <c r="E932" i="1"/>
  <c r="B933" i="1"/>
  <c r="A933" i="1"/>
  <c r="E933" i="1"/>
  <c r="B934" i="1"/>
  <c r="A934" i="1"/>
  <c r="E934" i="1"/>
  <c r="B935" i="1"/>
  <c r="A935" i="1"/>
  <c r="E935" i="1"/>
  <c r="B936" i="1"/>
  <c r="A936" i="1"/>
  <c r="E936" i="1"/>
  <c r="B937" i="1"/>
  <c r="A937" i="1"/>
  <c r="E937" i="1"/>
  <c r="B938" i="1"/>
  <c r="A938" i="1"/>
  <c r="E938" i="1"/>
  <c r="B939" i="1"/>
  <c r="A939" i="1"/>
  <c r="E939" i="1"/>
  <c r="B940" i="1"/>
  <c r="A940" i="1"/>
  <c r="E940" i="1"/>
  <c r="B941" i="1"/>
  <c r="A941" i="1"/>
  <c r="E941" i="1"/>
  <c r="B942" i="1"/>
  <c r="A942" i="1"/>
  <c r="E942" i="1"/>
  <c r="B943" i="1"/>
  <c r="A943" i="1"/>
  <c r="E943" i="1"/>
  <c r="B944" i="1"/>
  <c r="A944" i="1"/>
  <c r="E944" i="1"/>
  <c r="B945" i="1"/>
  <c r="A945" i="1"/>
  <c r="E945" i="1"/>
  <c r="B946" i="1"/>
  <c r="A946" i="1"/>
  <c r="E946" i="1"/>
  <c r="B947" i="1"/>
  <c r="A947" i="1"/>
  <c r="E947" i="1"/>
  <c r="B948" i="1"/>
  <c r="A948" i="1"/>
  <c r="E948" i="1"/>
  <c r="B949" i="1"/>
  <c r="A949" i="1"/>
  <c r="E949" i="1"/>
  <c r="B950" i="1"/>
  <c r="A950" i="1"/>
  <c r="E950" i="1"/>
  <c r="B951" i="1"/>
  <c r="A951" i="1"/>
  <c r="E951" i="1"/>
  <c r="B952" i="1"/>
  <c r="A952" i="1"/>
  <c r="E952" i="1"/>
  <c r="B953" i="1"/>
  <c r="A953" i="1"/>
  <c r="E953" i="1"/>
  <c r="B954" i="1"/>
  <c r="A954" i="1"/>
  <c r="E954" i="1"/>
  <c r="F954" i="1"/>
  <c r="G954" i="1"/>
  <c r="B955" i="1"/>
  <c r="A955" i="1"/>
  <c r="E955" i="1"/>
  <c r="F955" i="1"/>
  <c r="B956" i="1"/>
  <c r="A956" i="1"/>
  <c r="E956" i="1"/>
  <c r="F956" i="1"/>
  <c r="G956" i="1"/>
  <c r="B957" i="1"/>
  <c r="A957" i="1"/>
  <c r="E957" i="1"/>
  <c r="F957" i="1"/>
  <c r="G957" i="1"/>
  <c r="B958" i="1"/>
  <c r="A958" i="1"/>
  <c r="E958" i="1"/>
  <c r="F958" i="1"/>
  <c r="B959" i="1"/>
  <c r="A959" i="1"/>
  <c r="E959" i="1"/>
  <c r="F959" i="1"/>
  <c r="G959" i="1"/>
  <c r="B960" i="1"/>
  <c r="A960" i="1"/>
  <c r="E960" i="1"/>
  <c r="F960" i="1"/>
  <c r="B961" i="1"/>
  <c r="A961" i="1"/>
  <c r="E961" i="1"/>
  <c r="F961" i="1"/>
  <c r="G961" i="1"/>
  <c r="B962" i="1"/>
  <c r="A962" i="1"/>
  <c r="E962" i="1"/>
  <c r="F962" i="1"/>
  <c r="B963" i="1"/>
  <c r="A963" i="1"/>
  <c r="E963" i="1"/>
  <c r="F963" i="1"/>
  <c r="G963" i="1"/>
  <c r="B964" i="1"/>
  <c r="A964" i="1"/>
  <c r="E964" i="1"/>
  <c r="F964" i="1"/>
  <c r="B965" i="1"/>
  <c r="A965" i="1"/>
  <c r="E965" i="1"/>
  <c r="F965" i="1"/>
  <c r="B966" i="1"/>
  <c r="A966" i="1"/>
  <c r="E966" i="1"/>
  <c r="F966" i="1"/>
  <c r="G966" i="1"/>
  <c r="B967" i="1"/>
  <c r="A967" i="1"/>
  <c r="E967" i="1"/>
  <c r="F967" i="1"/>
  <c r="B968" i="1"/>
  <c r="A968" i="1"/>
  <c r="E968" i="1"/>
  <c r="F968" i="1"/>
  <c r="G968" i="1"/>
  <c r="B969" i="1"/>
  <c r="A969" i="1"/>
  <c r="E969" i="1"/>
  <c r="F969" i="1"/>
  <c r="B970" i="1"/>
  <c r="A970" i="1"/>
  <c r="E970" i="1"/>
  <c r="F970" i="1"/>
  <c r="G970" i="1"/>
  <c r="B971" i="1"/>
  <c r="A971" i="1"/>
  <c r="E971" i="1"/>
  <c r="F971" i="1"/>
  <c r="G971" i="1"/>
  <c r="B972" i="1"/>
  <c r="A972" i="1"/>
  <c r="E972" i="1"/>
  <c r="F972" i="1"/>
  <c r="B973" i="1"/>
  <c r="A973" i="1"/>
  <c r="E973" i="1"/>
  <c r="F973" i="1"/>
  <c r="B974" i="1"/>
  <c r="A974" i="1"/>
  <c r="E974" i="1"/>
  <c r="F974" i="1"/>
  <c r="G974" i="1"/>
  <c r="B975" i="1"/>
  <c r="A975" i="1"/>
  <c r="E975" i="1"/>
  <c r="F975" i="1"/>
  <c r="B976" i="1"/>
  <c r="A976" i="1"/>
  <c r="E976" i="1"/>
  <c r="F976" i="1"/>
  <c r="G976" i="1"/>
  <c r="B977" i="1"/>
  <c r="A977" i="1"/>
  <c r="E977" i="1"/>
  <c r="F977" i="1"/>
  <c r="B978" i="1"/>
  <c r="A978" i="1"/>
  <c r="E978" i="1"/>
  <c r="F978" i="1"/>
  <c r="B979" i="1"/>
  <c r="A979" i="1"/>
  <c r="E979" i="1"/>
  <c r="F979" i="1"/>
  <c r="B980" i="1"/>
  <c r="A980" i="1"/>
  <c r="E980" i="1"/>
  <c r="F980" i="1"/>
  <c r="B981" i="1"/>
  <c r="A981" i="1"/>
  <c r="E981" i="1"/>
  <c r="F981" i="1"/>
  <c r="B982" i="1"/>
  <c r="A982" i="1"/>
  <c r="E982" i="1"/>
  <c r="F982" i="1"/>
  <c r="B983" i="1"/>
  <c r="A983" i="1"/>
  <c r="E983" i="1"/>
  <c r="F983" i="1"/>
  <c r="B984" i="1"/>
  <c r="A984" i="1"/>
  <c r="E984" i="1"/>
  <c r="F984" i="1"/>
  <c r="B985" i="1"/>
  <c r="A985" i="1"/>
  <c r="E985" i="1"/>
  <c r="F985" i="1"/>
  <c r="G985" i="1"/>
  <c r="B986" i="1"/>
  <c r="A986" i="1"/>
  <c r="E986" i="1"/>
  <c r="F986" i="1"/>
  <c r="B987" i="1"/>
  <c r="A987" i="1"/>
  <c r="E987" i="1"/>
  <c r="F987" i="1"/>
  <c r="B988" i="1"/>
  <c r="A988" i="1"/>
  <c r="E988" i="1"/>
  <c r="F988" i="1"/>
  <c r="B989" i="1"/>
  <c r="A989" i="1"/>
  <c r="E989" i="1"/>
  <c r="F989" i="1"/>
  <c r="B990" i="1"/>
  <c r="A990" i="1"/>
  <c r="E990" i="1"/>
  <c r="F990" i="1"/>
  <c r="B991" i="1"/>
  <c r="A991" i="1"/>
  <c r="E991" i="1"/>
  <c r="F991" i="1"/>
  <c r="B992" i="1"/>
  <c r="A992" i="1"/>
  <c r="E992" i="1"/>
  <c r="F992" i="1"/>
  <c r="B993" i="1"/>
  <c r="A993" i="1"/>
  <c r="E993" i="1"/>
  <c r="F993" i="1"/>
  <c r="B994" i="1"/>
  <c r="A994" i="1"/>
  <c r="E994" i="1"/>
  <c r="F994" i="1"/>
  <c r="B995" i="1"/>
  <c r="A995" i="1"/>
  <c r="E995" i="1"/>
  <c r="F995" i="1"/>
  <c r="B996" i="1"/>
  <c r="A996" i="1"/>
  <c r="E996" i="1"/>
  <c r="F996" i="1"/>
  <c r="B997" i="1"/>
  <c r="A997" i="1"/>
  <c r="E997" i="1"/>
  <c r="F997" i="1"/>
  <c r="B998" i="1"/>
  <c r="A998" i="1"/>
  <c r="E998" i="1"/>
  <c r="F998" i="1"/>
  <c r="B999" i="1"/>
  <c r="A999" i="1"/>
  <c r="E999" i="1"/>
  <c r="F999" i="1"/>
  <c r="B1000" i="1"/>
  <c r="A1000" i="1"/>
  <c r="E1000" i="1"/>
  <c r="F1000" i="1"/>
  <c r="B1001" i="1"/>
  <c r="A1001" i="1"/>
  <c r="E1001" i="1"/>
  <c r="F1001" i="1"/>
  <c r="B1002" i="1"/>
  <c r="A1002" i="1"/>
  <c r="E1002" i="1"/>
  <c r="F1002" i="1"/>
  <c r="B1003" i="1"/>
  <c r="A1003" i="1"/>
  <c r="E1003" i="1"/>
  <c r="F1003" i="1"/>
  <c r="B1004" i="1"/>
  <c r="A1004" i="1"/>
  <c r="E1004" i="1"/>
  <c r="F1004" i="1"/>
  <c r="B1005" i="1"/>
  <c r="A1005" i="1"/>
  <c r="E1005" i="1"/>
  <c r="F1005" i="1"/>
  <c r="B1006" i="1"/>
  <c r="A1006" i="1"/>
  <c r="E1006" i="1"/>
  <c r="F1006" i="1"/>
  <c r="B1007" i="1"/>
  <c r="A1007" i="1"/>
  <c r="E1007" i="1"/>
  <c r="F1007" i="1"/>
  <c r="B1008" i="1"/>
  <c r="A1008" i="1"/>
  <c r="E1008" i="1"/>
  <c r="F1008" i="1"/>
  <c r="B1009" i="1"/>
  <c r="A1009" i="1"/>
  <c r="E1009" i="1"/>
  <c r="B1010" i="1"/>
  <c r="A1010" i="1"/>
  <c r="E1010" i="1"/>
  <c r="B1011" i="1"/>
  <c r="A1011" i="1"/>
  <c r="E1011" i="1"/>
  <c r="B1012" i="1"/>
  <c r="A1012" i="1"/>
  <c r="E1012" i="1"/>
  <c r="B1013" i="1"/>
  <c r="A1013" i="1"/>
  <c r="E1013" i="1"/>
  <c r="B1014" i="1"/>
  <c r="A1014" i="1"/>
  <c r="E1014" i="1"/>
  <c r="B1015" i="1"/>
  <c r="A1015" i="1"/>
  <c r="E1015" i="1"/>
  <c r="B1016" i="1"/>
  <c r="A1016" i="1"/>
  <c r="E1016" i="1"/>
  <c r="B1017" i="1"/>
  <c r="A1017" i="1"/>
  <c r="E1017" i="1"/>
  <c r="B1018" i="1"/>
  <c r="A1018" i="1"/>
  <c r="E1018" i="1"/>
  <c r="B1019" i="1"/>
  <c r="A1019" i="1"/>
  <c r="E1019" i="1"/>
  <c r="B1020" i="1"/>
  <c r="A1020" i="1"/>
  <c r="E1020" i="1"/>
  <c r="B1021" i="1"/>
  <c r="A1021" i="1"/>
  <c r="E1021" i="1"/>
  <c r="B1022" i="1"/>
  <c r="A1022" i="1"/>
  <c r="E1022" i="1"/>
  <c r="B1023" i="1"/>
  <c r="A1023" i="1"/>
  <c r="E1023" i="1"/>
  <c r="B1024" i="1"/>
  <c r="A1024" i="1"/>
  <c r="E1024" i="1"/>
  <c r="B1025" i="1"/>
  <c r="A1025" i="1"/>
  <c r="E1025" i="1"/>
  <c r="B1026" i="1"/>
  <c r="A1026" i="1"/>
  <c r="E1026" i="1"/>
  <c r="B1027" i="1"/>
  <c r="A1027" i="1"/>
  <c r="E1027" i="1"/>
  <c r="B1028" i="1"/>
  <c r="A1028" i="1"/>
  <c r="E1028" i="1"/>
  <c r="B1029" i="1"/>
  <c r="A1029" i="1"/>
  <c r="E1029" i="1"/>
  <c r="B1030" i="1"/>
  <c r="A1030" i="1"/>
  <c r="E1030" i="1"/>
  <c r="B1031" i="1"/>
  <c r="A1031" i="1"/>
  <c r="E1031" i="1"/>
  <c r="B1032" i="1"/>
  <c r="A1032" i="1"/>
  <c r="E1032" i="1"/>
  <c r="B1033" i="1"/>
  <c r="A1033" i="1"/>
  <c r="E1033" i="1"/>
  <c r="B1034" i="1"/>
  <c r="A1034" i="1"/>
  <c r="E1034" i="1"/>
  <c r="B1035" i="1"/>
  <c r="A1035" i="1"/>
  <c r="E1035" i="1"/>
  <c r="F1035" i="1"/>
  <c r="B1036" i="1"/>
  <c r="A1036" i="1"/>
  <c r="E1036" i="1"/>
  <c r="B1037" i="1"/>
  <c r="A1037" i="1"/>
  <c r="E1037" i="1"/>
  <c r="B1038" i="1"/>
  <c r="A1038" i="1"/>
  <c r="E1038" i="1"/>
  <c r="B1039" i="1"/>
  <c r="A1039" i="1"/>
  <c r="E1039" i="1"/>
  <c r="B1040" i="1"/>
  <c r="A1040" i="1"/>
  <c r="E1040" i="1"/>
  <c r="B1041" i="1"/>
  <c r="A1041" i="1"/>
  <c r="E1041" i="1"/>
  <c r="G1041" i="1"/>
  <c r="B1042" i="1"/>
  <c r="A1042" i="1"/>
  <c r="E1042" i="1"/>
  <c r="B1043" i="1"/>
  <c r="A1043" i="1"/>
  <c r="E1043" i="1"/>
  <c r="B1044" i="1"/>
  <c r="A1044" i="1"/>
  <c r="E1044" i="1"/>
  <c r="B1045" i="1"/>
  <c r="A1045" i="1"/>
  <c r="E1045" i="1"/>
  <c r="B1046" i="1"/>
  <c r="A1046" i="1"/>
  <c r="E1046" i="1"/>
  <c r="B1047" i="1"/>
  <c r="A1047" i="1"/>
  <c r="E1047" i="1"/>
  <c r="B1048" i="1"/>
  <c r="A1048" i="1"/>
  <c r="E1048" i="1"/>
  <c r="B1049" i="1"/>
  <c r="A1049" i="1"/>
  <c r="E1049" i="1"/>
  <c r="B1050" i="1"/>
  <c r="A1050" i="1"/>
  <c r="E1050" i="1"/>
  <c r="B1051" i="1"/>
  <c r="A1051" i="1"/>
  <c r="E1051" i="1"/>
  <c r="B1052" i="1"/>
  <c r="A1052" i="1"/>
  <c r="E1052" i="1"/>
  <c r="B1053" i="1"/>
  <c r="A1053" i="1"/>
  <c r="E1053" i="1"/>
  <c r="B1054" i="1"/>
  <c r="A1054" i="1"/>
  <c r="E1054" i="1"/>
  <c r="B1055" i="1"/>
  <c r="A1055" i="1"/>
  <c r="E1055" i="1"/>
  <c r="B1056" i="1"/>
  <c r="A1056" i="1"/>
  <c r="E1056" i="1"/>
  <c r="B1057" i="1"/>
  <c r="A1057" i="1"/>
  <c r="E1057" i="1"/>
  <c r="B1058" i="1"/>
  <c r="A1058" i="1"/>
  <c r="E1058" i="1"/>
  <c r="B1059" i="1"/>
  <c r="A1059" i="1"/>
  <c r="E1059" i="1"/>
  <c r="B1060" i="1"/>
  <c r="A1060" i="1"/>
  <c r="E1060" i="1"/>
  <c r="B1061" i="1"/>
  <c r="A1061" i="1"/>
  <c r="E1061" i="1"/>
  <c r="B1062" i="1"/>
  <c r="A1062" i="1"/>
  <c r="E1062" i="1"/>
  <c r="B1063" i="1"/>
  <c r="A1063" i="1"/>
  <c r="E1063" i="1"/>
  <c r="B1064" i="1"/>
  <c r="A1064" i="1"/>
  <c r="E1064" i="1"/>
  <c r="B1065" i="1"/>
  <c r="A1065" i="1"/>
  <c r="E1065" i="1"/>
  <c r="B1066" i="1"/>
  <c r="A1066" i="1"/>
  <c r="E1066" i="1"/>
  <c r="B1067" i="1"/>
  <c r="A1067" i="1"/>
  <c r="E1067" i="1"/>
  <c r="B1068" i="1"/>
  <c r="A1068" i="1"/>
  <c r="E1068" i="1"/>
  <c r="B1069" i="1"/>
  <c r="A1069" i="1"/>
  <c r="E1069" i="1"/>
  <c r="B1070" i="1"/>
  <c r="A1070" i="1"/>
  <c r="E1070" i="1"/>
  <c r="B1071" i="1"/>
  <c r="A1071" i="1"/>
  <c r="E1071" i="1"/>
  <c r="B1072" i="1"/>
  <c r="A1072" i="1"/>
  <c r="E1072" i="1"/>
  <c r="B1073" i="1"/>
  <c r="A1073" i="1"/>
  <c r="E1073" i="1"/>
  <c r="B1074" i="1"/>
  <c r="A1074" i="1"/>
  <c r="E1074" i="1"/>
  <c r="B1075" i="1"/>
  <c r="A1075" i="1"/>
  <c r="E1075" i="1"/>
  <c r="B1076" i="1"/>
  <c r="A1076" i="1"/>
  <c r="E1076" i="1"/>
  <c r="B1077" i="1"/>
  <c r="A1077" i="1"/>
  <c r="E1077" i="1"/>
  <c r="B1078" i="1"/>
  <c r="A1078" i="1"/>
  <c r="E1078" i="1"/>
  <c r="B1079" i="1"/>
  <c r="A1079" i="1"/>
  <c r="E1079" i="1"/>
  <c r="B1080" i="1"/>
  <c r="A1080" i="1"/>
  <c r="E1080" i="1"/>
  <c r="B1081" i="1"/>
  <c r="A1081" i="1"/>
  <c r="E1081" i="1"/>
  <c r="B1082" i="1"/>
  <c r="A1082" i="1"/>
  <c r="E1082" i="1"/>
  <c r="B1083" i="1"/>
  <c r="A1083" i="1"/>
  <c r="E1083" i="1"/>
  <c r="B1084" i="1"/>
  <c r="A1084" i="1"/>
  <c r="E1084" i="1"/>
  <c r="B1085" i="1"/>
  <c r="A1085" i="1"/>
  <c r="E1085" i="1"/>
  <c r="B1086" i="1"/>
  <c r="A1086" i="1"/>
  <c r="E1086" i="1"/>
  <c r="B1087" i="1"/>
  <c r="A1087" i="1"/>
  <c r="E1087" i="1"/>
  <c r="B1088" i="1"/>
  <c r="A1088" i="1"/>
  <c r="E1088" i="1"/>
  <c r="B1089" i="1"/>
  <c r="A1089" i="1"/>
  <c r="E1089" i="1"/>
  <c r="B1090" i="1"/>
  <c r="A1090" i="1"/>
  <c r="E1090" i="1"/>
  <c r="B1091" i="1"/>
  <c r="A1091" i="1"/>
  <c r="E1091" i="1"/>
  <c r="A1092" i="1"/>
  <c r="E1092" i="1"/>
  <c r="B1093" i="1"/>
  <c r="A1093" i="1"/>
  <c r="E1093" i="1"/>
  <c r="B1094" i="1"/>
  <c r="A1094" i="1"/>
  <c r="E1094" i="1"/>
  <c r="B1095" i="1"/>
  <c r="A1095" i="1"/>
  <c r="E1095" i="1"/>
  <c r="B1096" i="1"/>
  <c r="A1096" i="1"/>
  <c r="E1096" i="1"/>
  <c r="B1097" i="1"/>
  <c r="A1097" i="1"/>
  <c r="E1097" i="1"/>
  <c r="B1098" i="1"/>
  <c r="A1098" i="1"/>
  <c r="E1098" i="1"/>
  <c r="B1099" i="1"/>
  <c r="A1099" i="1"/>
  <c r="E1099" i="1"/>
  <c r="B1100" i="1"/>
  <c r="A1100" i="1"/>
  <c r="E1100" i="1"/>
  <c r="B1101" i="1"/>
  <c r="A1101" i="1"/>
  <c r="E1101" i="1"/>
  <c r="B1102" i="1"/>
  <c r="A1102" i="1"/>
  <c r="E1102" i="1"/>
  <c r="B1103" i="1"/>
  <c r="A1103" i="1"/>
  <c r="E1103" i="1"/>
  <c r="B1104" i="1"/>
  <c r="A1104" i="1"/>
  <c r="E1104" i="1"/>
  <c r="B1105" i="1"/>
  <c r="A1105" i="1"/>
  <c r="E1105" i="1"/>
  <c r="B1106" i="1"/>
  <c r="A1106" i="1"/>
  <c r="E1106" i="1"/>
  <c r="B1107" i="1"/>
  <c r="A1107" i="1"/>
  <c r="E1107" i="1"/>
  <c r="B1108" i="1"/>
  <c r="A1108" i="1"/>
  <c r="E1108" i="1"/>
  <c r="B1109" i="1"/>
  <c r="A1109" i="1"/>
  <c r="E1109" i="1"/>
  <c r="B1110" i="1"/>
  <c r="A1110" i="1"/>
  <c r="E1110" i="1"/>
  <c r="B1111" i="1"/>
  <c r="A1111" i="1"/>
  <c r="E1111" i="1"/>
  <c r="B1112" i="1"/>
  <c r="A1112" i="1"/>
  <c r="E1112" i="1"/>
  <c r="B1113" i="1"/>
  <c r="A1113" i="1"/>
  <c r="E1113" i="1"/>
  <c r="B1114" i="1"/>
  <c r="A1114" i="1"/>
  <c r="E1114" i="1"/>
  <c r="B1115" i="1"/>
  <c r="A1115" i="1"/>
  <c r="E1115" i="1"/>
  <c r="B1116" i="1"/>
  <c r="A1116" i="1"/>
  <c r="E1116" i="1"/>
  <c r="B1117" i="1"/>
  <c r="A1117" i="1"/>
  <c r="E1117" i="1"/>
  <c r="B1118" i="1"/>
  <c r="A1118" i="1"/>
  <c r="E1118" i="1"/>
  <c r="B1119" i="1"/>
  <c r="A1119" i="1"/>
  <c r="E1119" i="1"/>
  <c r="B1120" i="1"/>
  <c r="A1120" i="1"/>
  <c r="E1120" i="1"/>
  <c r="B1121" i="1"/>
  <c r="A1121" i="1"/>
  <c r="E1121" i="1"/>
  <c r="B1122" i="1"/>
  <c r="A1122" i="1"/>
  <c r="E1122" i="1"/>
  <c r="B1123" i="1"/>
  <c r="A1123" i="1"/>
  <c r="E1123" i="1"/>
  <c r="B1124" i="1"/>
  <c r="A1124" i="1"/>
  <c r="E1124" i="1"/>
  <c r="B1125" i="1"/>
  <c r="A1125" i="1"/>
  <c r="E1125" i="1"/>
  <c r="B1126" i="1"/>
  <c r="A1126" i="1"/>
  <c r="E1126" i="1"/>
  <c r="B1127" i="1"/>
  <c r="A1127" i="1"/>
  <c r="E1127" i="1"/>
  <c r="B1128" i="1"/>
  <c r="A1128" i="1"/>
  <c r="E1128" i="1"/>
  <c r="B1129" i="1"/>
  <c r="A1129" i="1"/>
  <c r="E1129" i="1"/>
  <c r="B1130" i="1"/>
  <c r="A1130" i="1"/>
  <c r="E1130" i="1"/>
  <c r="B1131" i="1"/>
  <c r="A1131" i="1"/>
  <c r="E1131" i="1"/>
  <c r="B1132" i="1"/>
  <c r="A1132" i="1"/>
  <c r="E1132" i="1"/>
  <c r="B1133" i="1"/>
  <c r="A1133" i="1"/>
  <c r="E1133" i="1"/>
  <c r="B1134" i="1"/>
  <c r="A1134" i="1"/>
  <c r="E1134" i="1"/>
  <c r="B1135" i="1"/>
  <c r="A1135" i="1"/>
  <c r="E1135" i="1"/>
  <c r="B1136" i="1"/>
  <c r="A1136" i="1"/>
  <c r="E1136" i="1"/>
  <c r="F1136" i="1"/>
  <c r="B1137" i="1"/>
  <c r="A1137" i="1"/>
  <c r="E1137" i="1"/>
  <c r="F1137" i="1"/>
  <c r="B1138" i="1"/>
  <c r="A1138" i="1"/>
  <c r="E1138" i="1"/>
  <c r="F1138" i="1"/>
  <c r="B1139" i="1"/>
  <c r="A1139" i="1"/>
  <c r="E1139" i="1"/>
  <c r="F1139" i="1"/>
  <c r="B1140" i="1"/>
  <c r="A1140" i="1"/>
  <c r="E1140" i="1"/>
  <c r="F1140" i="1"/>
  <c r="B1141" i="1"/>
  <c r="A1141" i="1"/>
  <c r="E1141" i="1"/>
  <c r="F1141" i="1"/>
  <c r="B1142" i="1"/>
  <c r="A1142" i="1"/>
  <c r="E1142" i="1"/>
  <c r="F1142" i="1"/>
  <c r="B1143" i="1"/>
  <c r="A1143" i="1"/>
  <c r="E1143" i="1"/>
  <c r="F1143" i="1"/>
  <c r="B1144" i="1"/>
  <c r="A1144" i="1"/>
  <c r="E1144" i="1"/>
  <c r="F1144" i="1"/>
  <c r="B1145" i="1"/>
  <c r="A1145" i="1"/>
  <c r="E1145" i="1"/>
  <c r="F1145" i="1"/>
  <c r="B1146" i="1"/>
  <c r="A1146" i="1"/>
  <c r="E1146" i="1"/>
  <c r="F1146" i="1"/>
  <c r="B1147" i="1"/>
  <c r="A1147" i="1"/>
  <c r="E1147" i="1"/>
  <c r="F1147" i="1"/>
  <c r="B1148" i="1"/>
  <c r="A1148" i="1"/>
  <c r="E1148" i="1"/>
  <c r="F1148" i="1"/>
  <c r="G1148" i="1"/>
  <c r="B1149" i="1"/>
  <c r="A1149" i="1"/>
  <c r="E1149" i="1"/>
  <c r="F1149" i="1"/>
  <c r="B1150" i="1"/>
  <c r="A1150" i="1"/>
  <c r="E1150" i="1"/>
  <c r="F1150" i="1"/>
  <c r="G1150" i="1"/>
  <c r="B1151" i="1"/>
  <c r="A1151" i="1"/>
  <c r="E1151" i="1"/>
  <c r="F1151" i="1"/>
  <c r="G1151" i="1"/>
  <c r="B1152" i="1"/>
  <c r="A1152" i="1"/>
  <c r="E1152" i="1"/>
  <c r="F1152" i="1"/>
  <c r="G1152" i="1"/>
  <c r="B1153" i="1"/>
  <c r="A1153" i="1"/>
  <c r="E1153" i="1"/>
  <c r="F1153" i="1"/>
  <c r="G1153" i="1"/>
  <c r="B1154" i="1"/>
  <c r="A1154" i="1"/>
  <c r="E1154" i="1"/>
  <c r="F1154" i="1"/>
  <c r="G1154" i="1"/>
  <c r="B1155" i="1"/>
  <c r="A1155" i="1"/>
  <c r="E1155" i="1"/>
  <c r="F1155" i="1"/>
  <c r="G1155" i="1"/>
  <c r="B1156" i="1"/>
  <c r="A1156" i="1"/>
  <c r="E1156" i="1"/>
  <c r="F1156" i="1"/>
  <c r="G1156" i="1"/>
  <c r="B1157" i="1"/>
  <c r="A1157" i="1"/>
  <c r="E1157" i="1"/>
  <c r="F1157" i="1"/>
  <c r="G1157" i="1"/>
  <c r="B1158" i="1"/>
  <c r="A1158" i="1"/>
  <c r="E1158" i="1"/>
  <c r="F1158" i="1"/>
  <c r="B1159" i="1"/>
  <c r="A1159" i="1"/>
  <c r="E1159" i="1"/>
  <c r="F1159" i="1"/>
  <c r="B1160" i="1"/>
  <c r="A1160" i="1"/>
  <c r="E1160" i="1"/>
  <c r="F1160" i="1"/>
  <c r="B1161" i="1"/>
  <c r="A1161" i="1"/>
  <c r="E1161" i="1"/>
  <c r="F1161" i="1"/>
  <c r="B1162" i="1"/>
  <c r="A1162" i="1"/>
  <c r="E1162" i="1"/>
  <c r="F1162" i="1"/>
  <c r="B1163" i="1"/>
  <c r="A1163" i="1"/>
  <c r="E1163" i="1"/>
  <c r="F1163" i="1"/>
  <c r="B1164" i="1"/>
  <c r="A1164" i="1"/>
  <c r="E1164" i="1"/>
  <c r="F1164" i="1"/>
  <c r="B1165" i="1"/>
  <c r="A1165" i="1"/>
  <c r="E1165" i="1"/>
  <c r="F1165" i="1"/>
  <c r="B1166" i="1"/>
  <c r="A1166" i="1"/>
  <c r="E1166" i="1"/>
  <c r="F1166" i="1"/>
  <c r="B1167" i="1"/>
  <c r="A1167" i="1"/>
  <c r="E1167" i="1"/>
  <c r="F1167" i="1"/>
  <c r="B1168" i="1"/>
  <c r="A1168" i="1"/>
  <c r="E1168" i="1"/>
  <c r="F1168" i="1"/>
  <c r="B1169" i="1"/>
  <c r="A1169" i="1"/>
  <c r="E1169" i="1"/>
  <c r="F1169" i="1"/>
  <c r="G1169" i="1"/>
  <c r="B1170" i="1"/>
  <c r="A1170" i="1"/>
  <c r="E1170" i="1"/>
  <c r="F1170" i="1"/>
  <c r="B1171" i="1"/>
  <c r="A1171" i="1"/>
  <c r="E1171" i="1"/>
  <c r="F1171" i="1"/>
  <c r="B1172" i="1"/>
  <c r="A1172" i="1"/>
  <c r="E1172" i="1"/>
  <c r="F1172" i="1"/>
  <c r="G1172" i="1"/>
  <c r="B1173" i="1"/>
  <c r="A1173" i="1"/>
  <c r="E1173" i="1"/>
  <c r="F1173" i="1"/>
  <c r="B1174" i="1"/>
  <c r="A1174" i="1"/>
  <c r="E1174" i="1"/>
  <c r="F1174" i="1"/>
  <c r="B1175" i="1"/>
  <c r="A1175" i="1"/>
  <c r="E1175" i="1"/>
  <c r="F1175" i="1"/>
  <c r="B1176" i="1"/>
  <c r="A1176" i="1"/>
  <c r="E1176" i="1"/>
  <c r="F1176" i="1"/>
  <c r="G1176" i="1"/>
  <c r="B1177" i="1"/>
  <c r="A1177" i="1"/>
  <c r="E1177" i="1"/>
  <c r="F1177" i="1"/>
  <c r="B1178" i="1"/>
  <c r="A1178" i="1"/>
  <c r="E1178" i="1"/>
  <c r="F1178" i="1"/>
  <c r="B1179" i="1"/>
  <c r="A1179" i="1"/>
  <c r="E1179" i="1"/>
  <c r="F1179" i="1"/>
  <c r="B1180" i="1"/>
  <c r="A1180" i="1"/>
  <c r="E1180" i="1"/>
  <c r="F1180" i="1"/>
  <c r="B1181" i="1"/>
  <c r="A1181" i="1"/>
  <c r="E1181" i="1"/>
  <c r="F1181" i="1"/>
  <c r="B1182" i="1"/>
  <c r="A1182" i="1"/>
  <c r="E1182" i="1"/>
  <c r="F1182" i="1"/>
  <c r="B1183" i="1"/>
  <c r="A1183" i="1"/>
  <c r="E1183" i="1"/>
  <c r="F1183" i="1"/>
  <c r="B1184" i="1"/>
  <c r="A1184" i="1"/>
  <c r="E1184" i="1"/>
  <c r="F1184" i="1"/>
  <c r="B1185" i="1"/>
  <c r="A1185" i="1"/>
  <c r="E1185" i="1"/>
  <c r="F1185" i="1"/>
  <c r="B1186" i="1"/>
  <c r="A1186" i="1"/>
  <c r="E1186" i="1"/>
  <c r="F1186" i="1"/>
  <c r="B1187" i="1"/>
  <c r="A1187" i="1"/>
  <c r="E1187" i="1"/>
  <c r="F1187" i="1"/>
  <c r="B1188" i="1"/>
  <c r="A1188" i="1"/>
  <c r="E1188" i="1"/>
  <c r="F1188" i="1"/>
  <c r="B1189" i="1"/>
  <c r="A1189" i="1"/>
  <c r="E1189" i="1"/>
  <c r="F1189" i="1"/>
  <c r="B1190" i="1"/>
  <c r="A1190" i="1"/>
  <c r="E1190" i="1"/>
  <c r="F1190" i="1"/>
  <c r="B1191" i="1"/>
  <c r="A1191" i="1"/>
  <c r="E1191" i="1"/>
  <c r="F1191" i="1"/>
  <c r="B1192" i="1"/>
  <c r="A1192" i="1"/>
  <c r="E1192" i="1"/>
  <c r="F1192" i="1"/>
  <c r="B1193" i="1"/>
  <c r="A1193" i="1"/>
  <c r="E1193" i="1"/>
  <c r="F1193" i="1"/>
  <c r="B1194" i="1"/>
  <c r="A1194" i="1"/>
  <c r="E1194" i="1"/>
  <c r="F1194" i="1"/>
  <c r="B1195" i="1"/>
  <c r="A1195" i="1"/>
  <c r="E1195" i="1"/>
  <c r="F1195" i="1"/>
  <c r="B1196" i="1"/>
  <c r="A1196" i="1"/>
  <c r="E1196" i="1"/>
  <c r="F1196" i="1"/>
  <c r="B1197" i="1"/>
  <c r="A1197" i="1"/>
  <c r="E1197" i="1"/>
  <c r="F1197" i="1"/>
  <c r="B1198" i="1"/>
  <c r="A1198" i="1"/>
  <c r="E1198" i="1"/>
  <c r="F1198" i="1"/>
  <c r="B1199" i="1"/>
  <c r="A1199" i="1"/>
  <c r="E1199" i="1"/>
  <c r="F1199" i="1"/>
  <c r="G1199" i="1"/>
  <c r="B1200" i="1"/>
  <c r="A1200" i="1"/>
  <c r="E1200" i="1"/>
  <c r="F1200" i="1"/>
  <c r="G1200" i="1"/>
  <c r="B1201" i="1"/>
  <c r="A1201" i="1"/>
  <c r="E1201" i="1"/>
  <c r="F1201" i="1"/>
  <c r="G1201" i="1"/>
  <c r="B1202" i="1"/>
  <c r="A1202" i="1"/>
  <c r="E1202" i="1"/>
  <c r="F1202" i="1"/>
  <c r="B1203" i="1"/>
  <c r="A1203" i="1"/>
  <c r="E1203" i="1"/>
  <c r="F1203" i="1"/>
  <c r="B1204" i="1"/>
  <c r="A1204" i="1"/>
  <c r="E1204" i="1"/>
  <c r="F1204" i="1"/>
  <c r="B1205" i="1"/>
  <c r="A1205" i="1"/>
  <c r="E1205" i="1"/>
  <c r="F1205" i="1"/>
  <c r="B1206" i="1"/>
  <c r="A1206" i="1"/>
  <c r="E1206" i="1"/>
  <c r="F1206" i="1"/>
  <c r="B1207" i="1"/>
  <c r="A1207" i="1"/>
  <c r="E1207" i="1"/>
  <c r="F1207" i="1"/>
  <c r="B1208" i="1"/>
  <c r="A1208" i="1"/>
  <c r="E1208" i="1"/>
  <c r="F1208" i="1"/>
  <c r="B1209" i="1"/>
  <c r="A1209" i="1"/>
  <c r="E1209" i="1"/>
  <c r="F1209" i="1"/>
  <c r="B1210" i="1"/>
  <c r="A1210" i="1"/>
  <c r="E1210" i="1"/>
  <c r="F1210" i="1"/>
  <c r="B1211" i="1"/>
  <c r="A1211" i="1"/>
  <c r="E1211" i="1"/>
  <c r="F1211" i="1"/>
  <c r="B1212" i="1"/>
  <c r="A1212" i="1"/>
  <c r="E1212" i="1"/>
  <c r="F1212" i="1"/>
  <c r="B1213" i="1"/>
  <c r="A1213" i="1"/>
  <c r="E1213" i="1"/>
  <c r="F1213" i="1"/>
  <c r="B1214" i="1"/>
  <c r="A1214" i="1"/>
  <c r="E1214" i="1"/>
  <c r="F1214" i="1"/>
  <c r="B1215" i="1"/>
  <c r="A1215" i="1"/>
  <c r="E1215" i="1"/>
  <c r="F1215" i="1"/>
  <c r="B1216" i="1"/>
  <c r="A1216" i="1"/>
  <c r="E1216" i="1"/>
  <c r="F1216" i="1"/>
  <c r="B1217" i="1"/>
  <c r="A1217" i="1"/>
  <c r="E1217" i="1"/>
  <c r="F1217" i="1"/>
  <c r="G1217" i="1"/>
  <c r="B1218" i="1"/>
  <c r="A1218" i="1"/>
  <c r="E1218" i="1"/>
  <c r="F1218" i="1"/>
  <c r="B1219" i="1"/>
  <c r="A1219" i="1"/>
  <c r="E1219" i="1"/>
  <c r="F1219" i="1"/>
  <c r="B1220" i="1"/>
  <c r="A1220" i="1"/>
  <c r="E1220" i="1"/>
  <c r="F1220" i="1"/>
  <c r="B1221" i="1"/>
  <c r="A1221" i="1"/>
  <c r="E1221" i="1"/>
  <c r="F1221" i="1"/>
  <c r="B1222" i="1"/>
  <c r="A1222" i="1"/>
  <c r="E1222" i="1"/>
  <c r="F1222" i="1"/>
  <c r="B1223" i="1"/>
  <c r="A1223" i="1"/>
  <c r="E1223" i="1"/>
  <c r="F1223" i="1"/>
  <c r="B1224" i="1"/>
  <c r="A1224" i="1"/>
  <c r="E1224" i="1"/>
  <c r="F1224" i="1"/>
  <c r="B1225" i="1"/>
  <c r="A1225" i="1"/>
  <c r="E1225" i="1"/>
  <c r="F1225" i="1"/>
  <c r="B1226" i="1"/>
  <c r="A1226" i="1"/>
  <c r="E1226" i="1"/>
  <c r="F1226" i="1"/>
  <c r="G1226" i="1"/>
  <c r="B1227" i="1"/>
  <c r="A1227" i="1"/>
  <c r="E1227" i="1"/>
  <c r="F1227" i="1"/>
  <c r="B1228" i="1"/>
  <c r="A1228" i="1"/>
  <c r="E1228" i="1"/>
  <c r="F1228" i="1"/>
  <c r="G1228" i="1"/>
  <c r="B1229" i="1"/>
  <c r="A1229" i="1"/>
  <c r="E1229" i="1"/>
  <c r="F1229" i="1"/>
  <c r="B1230" i="1"/>
  <c r="A1230" i="1"/>
  <c r="E1230" i="1"/>
  <c r="F1230" i="1"/>
  <c r="G1230" i="1"/>
  <c r="B1231" i="1"/>
  <c r="A1231" i="1"/>
  <c r="E1231" i="1"/>
  <c r="F1231" i="1"/>
  <c r="B1232" i="1"/>
  <c r="A1232" i="1"/>
  <c r="E1232" i="1"/>
  <c r="F1232" i="1"/>
  <c r="B1233" i="1"/>
  <c r="A1233" i="1"/>
  <c r="E1233" i="1"/>
  <c r="F1233" i="1"/>
  <c r="B1234" i="1"/>
  <c r="A1234" i="1"/>
  <c r="E1234" i="1"/>
  <c r="F1234" i="1"/>
  <c r="B1235" i="1"/>
  <c r="A1235" i="1"/>
  <c r="E1235" i="1"/>
  <c r="F1235" i="1"/>
  <c r="B1236" i="1"/>
  <c r="A1236" i="1"/>
  <c r="E1236" i="1"/>
  <c r="F1236" i="1"/>
  <c r="B1237" i="1"/>
  <c r="A1237" i="1"/>
  <c r="E1237" i="1"/>
  <c r="F1237" i="1"/>
  <c r="B1238" i="1"/>
  <c r="A1238" i="1"/>
  <c r="E1238" i="1"/>
  <c r="F1238" i="1"/>
  <c r="B1239" i="1"/>
  <c r="A1239" i="1"/>
  <c r="E1239" i="1"/>
  <c r="F1239" i="1"/>
  <c r="G1239" i="1"/>
  <c r="B1240" i="1"/>
  <c r="A1240" i="1"/>
  <c r="E1240" i="1"/>
  <c r="F1240" i="1"/>
  <c r="B1241" i="1"/>
  <c r="A1241" i="1"/>
  <c r="E1241" i="1"/>
  <c r="F1241" i="1"/>
  <c r="B1242" i="1"/>
  <c r="A1242" i="1"/>
  <c r="E1242" i="1"/>
  <c r="F1242" i="1"/>
  <c r="B1243" i="1"/>
  <c r="A1243" i="1"/>
  <c r="E1243" i="1"/>
  <c r="F1243" i="1"/>
  <c r="G1243" i="1"/>
  <c r="B1244" i="1"/>
  <c r="A1244" i="1"/>
  <c r="E1244" i="1"/>
  <c r="F1244" i="1"/>
  <c r="B1245" i="1"/>
  <c r="A1245" i="1"/>
  <c r="E1245" i="1"/>
  <c r="F1245" i="1"/>
  <c r="B1246" i="1"/>
  <c r="A1246" i="1"/>
  <c r="E1246" i="1"/>
  <c r="F1246" i="1"/>
  <c r="B1247" i="1"/>
  <c r="A1247" i="1"/>
  <c r="E1247" i="1"/>
  <c r="F1247" i="1"/>
  <c r="B1248" i="1"/>
  <c r="A1248" i="1"/>
  <c r="E1248" i="1"/>
  <c r="F1248" i="1"/>
  <c r="G1248" i="1"/>
  <c r="B1249" i="1"/>
  <c r="A1249" i="1"/>
  <c r="E1249" i="1"/>
  <c r="F1249" i="1"/>
  <c r="B1250" i="1"/>
  <c r="A1250" i="1"/>
  <c r="E1250" i="1"/>
  <c r="F1250" i="1"/>
  <c r="G1250" i="1"/>
  <c r="B1251" i="1"/>
  <c r="A1251" i="1"/>
  <c r="E1251" i="1"/>
  <c r="F1251" i="1"/>
  <c r="B1252" i="1"/>
  <c r="A1252" i="1"/>
  <c r="E1252" i="1"/>
  <c r="F1252" i="1"/>
  <c r="B1253" i="1"/>
  <c r="A1253" i="1"/>
  <c r="E1253" i="1"/>
  <c r="F1253" i="1"/>
  <c r="B1254" i="1"/>
  <c r="A1254" i="1"/>
  <c r="E1254" i="1"/>
  <c r="F1254" i="1"/>
  <c r="B1255" i="1"/>
  <c r="A1255" i="1"/>
  <c r="E1255" i="1"/>
  <c r="F1255" i="1"/>
  <c r="B1256" i="1"/>
  <c r="A1256" i="1"/>
  <c r="E1256" i="1"/>
  <c r="F1256" i="1"/>
  <c r="B1257" i="1"/>
  <c r="A1257" i="1"/>
  <c r="E1257" i="1"/>
  <c r="F1257" i="1"/>
  <c r="B1258" i="1"/>
  <c r="A1258" i="1"/>
  <c r="E1258" i="1"/>
  <c r="F1258" i="1"/>
  <c r="B1259" i="1"/>
  <c r="A1259" i="1"/>
  <c r="E1259" i="1"/>
  <c r="F1259" i="1"/>
  <c r="B1260" i="1"/>
  <c r="A1260" i="1"/>
  <c r="E1260" i="1"/>
  <c r="F1260" i="1"/>
  <c r="B1261" i="1"/>
  <c r="A1261" i="1"/>
  <c r="E1261" i="1"/>
  <c r="F1261" i="1"/>
  <c r="B1262" i="1"/>
  <c r="A1262" i="1"/>
  <c r="E1262" i="1"/>
  <c r="F1262" i="1"/>
  <c r="B1263" i="1"/>
  <c r="A1263" i="1"/>
  <c r="E1263" i="1"/>
  <c r="F1263" i="1"/>
  <c r="B1264" i="1"/>
  <c r="A1264" i="1"/>
  <c r="E1264" i="1"/>
  <c r="F1264" i="1"/>
  <c r="B1265" i="1"/>
  <c r="A1265" i="1"/>
  <c r="E1265" i="1"/>
  <c r="F1265" i="1"/>
  <c r="B1266" i="1"/>
  <c r="A1266" i="1"/>
  <c r="E1266" i="1"/>
  <c r="F1266" i="1"/>
  <c r="B1267" i="1"/>
  <c r="A1267" i="1"/>
  <c r="E1267" i="1"/>
  <c r="F1267" i="1"/>
  <c r="B1268" i="1"/>
  <c r="A1268" i="1"/>
  <c r="E1268" i="1"/>
  <c r="F1268" i="1"/>
  <c r="B1269" i="1"/>
  <c r="A1269" i="1"/>
  <c r="E1269" i="1"/>
  <c r="F1269" i="1"/>
  <c r="B1270" i="1"/>
  <c r="A1270" i="1"/>
  <c r="E1270" i="1"/>
  <c r="F1270" i="1"/>
  <c r="B1271" i="1"/>
  <c r="A1271" i="1"/>
  <c r="E1271" i="1"/>
  <c r="F1271" i="1"/>
  <c r="B1272" i="1"/>
  <c r="A1272" i="1"/>
  <c r="E1272" i="1"/>
  <c r="F1272" i="1"/>
  <c r="B1273" i="1"/>
  <c r="A1273" i="1"/>
  <c r="E1273" i="1"/>
  <c r="F1273" i="1"/>
  <c r="B1274" i="1"/>
  <c r="A1274" i="1"/>
  <c r="E1274" i="1"/>
  <c r="F1274" i="1"/>
  <c r="B1275" i="1"/>
  <c r="A1275" i="1"/>
  <c r="E1275" i="1"/>
  <c r="F1275" i="1"/>
  <c r="B1276" i="1"/>
  <c r="A1276" i="1"/>
  <c r="E1276" i="1"/>
  <c r="F1276" i="1"/>
  <c r="B1277" i="1"/>
  <c r="A1277" i="1"/>
  <c r="E1277" i="1"/>
  <c r="F1277" i="1"/>
  <c r="B1278" i="1"/>
  <c r="A1278" i="1"/>
  <c r="E1278" i="1"/>
  <c r="F1278" i="1"/>
  <c r="B1279" i="1"/>
  <c r="A1279" i="1"/>
  <c r="E1279" i="1"/>
  <c r="F1279" i="1"/>
  <c r="B1280" i="1"/>
  <c r="A1280" i="1"/>
  <c r="E1280" i="1"/>
  <c r="F1280" i="1"/>
  <c r="B1281" i="1"/>
  <c r="A1281" i="1"/>
  <c r="E1281" i="1"/>
  <c r="F1281" i="1"/>
  <c r="B1282" i="1"/>
  <c r="A1282" i="1"/>
  <c r="E1282" i="1"/>
  <c r="F1282" i="1"/>
  <c r="B1283" i="1"/>
  <c r="A1283" i="1"/>
  <c r="E1283" i="1"/>
  <c r="F1283" i="1"/>
  <c r="B1284" i="1"/>
  <c r="A1284" i="1"/>
  <c r="E1284" i="1"/>
  <c r="F1284" i="1"/>
  <c r="B1285" i="1"/>
  <c r="A1285" i="1"/>
  <c r="E1285" i="1"/>
  <c r="F1285" i="1"/>
  <c r="B1286" i="1"/>
  <c r="A1286" i="1"/>
  <c r="E1286" i="1"/>
  <c r="F1286" i="1"/>
  <c r="B1287" i="1"/>
  <c r="A1287" i="1"/>
  <c r="E1287" i="1"/>
  <c r="F1287" i="1"/>
  <c r="B1288" i="1"/>
  <c r="A1288" i="1"/>
  <c r="E1288" i="1"/>
  <c r="F1288" i="1"/>
  <c r="B1289" i="1"/>
  <c r="A1289" i="1"/>
  <c r="E1289" i="1"/>
  <c r="F1289" i="1"/>
  <c r="B1290" i="1"/>
  <c r="A1290" i="1"/>
  <c r="E1290" i="1"/>
  <c r="F1290" i="1"/>
  <c r="B1291" i="1"/>
  <c r="A1291" i="1"/>
  <c r="E1291" i="1"/>
  <c r="F1291" i="1"/>
  <c r="B1292" i="1"/>
  <c r="A1292" i="1"/>
  <c r="E1292" i="1"/>
  <c r="F1292" i="1"/>
  <c r="B1293" i="1"/>
  <c r="A1293" i="1"/>
  <c r="E1293" i="1"/>
  <c r="F1293" i="1"/>
  <c r="G1293" i="1"/>
  <c r="B1294" i="1"/>
  <c r="A1294" i="1"/>
  <c r="E1294" i="1"/>
  <c r="F1294" i="1"/>
  <c r="B1295" i="1"/>
  <c r="A1295" i="1"/>
  <c r="E1295" i="1"/>
  <c r="F1295" i="1"/>
  <c r="B1296" i="1"/>
  <c r="A1296" i="1"/>
  <c r="E1296" i="1"/>
  <c r="F1296" i="1"/>
  <c r="B1297" i="1"/>
  <c r="A1297" i="1"/>
  <c r="E1297" i="1"/>
  <c r="F1297" i="1"/>
  <c r="G1297" i="1"/>
  <c r="B1298" i="1"/>
  <c r="A1298" i="1"/>
  <c r="E1298" i="1"/>
  <c r="F1298" i="1"/>
  <c r="B1299" i="1"/>
  <c r="A1299" i="1"/>
  <c r="E1299" i="1"/>
  <c r="F1299" i="1"/>
  <c r="G1299" i="1"/>
  <c r="B1300" i="1"/>
  <c r="A1300" i="1"/>
  <c r="E1300" i="1"/>
  <c r="F1300" i="1"/>
  <c r="B1301" i="1"/>
  <c r="A1301" i="1"/>
  <c r="E1301" i="1"/>
  <c r="F1301" i="1"/>
  <c r="G1301" i="1"/>
  <c r="B1302" i="1"/>
  <c r="A1302" i="1"/>
  <c r="E1302" i="1"/>
  <c r="F1302" i="1"/>
  <c r="B1303" i="1"/>
  <c r="A1303" i="1"/>
  <c r="E1303" i="1"/>
  <c r="F1303" i="1"/>
  <c r="B1304" i="1"/>
  <c r="A1304" i="1"/>
  <c r="E1304" i="1"/>
  <c r="F1304" i="1"/>
  <c r="B1305" i="1"/>
  <c r="A1305" i="1"/>
  <c r="E1305" i="1"/>
  <c r="F1305" i="1"/>
  <c r="B1306" i="1"/>
  <c r="A1306" i="1"/>
  <c r="E1306" i="1"/>
  <c r="F1306" i="1"/>
  <c r="B1307" i="1"/>
  <c r="A1307" i="1"/>
  <c r="E1307" i="1"/>
  <c r="F1307" i="1"/>
  <c r="B1308" i="1"/>
  <c r="A1308" i="1"/>
  <c r="E1308" i="1"/>
  <c r="F1308" i="1"/>
  <c r="B1309" i="1"/>
  <c r="A1309" i="1"/>
  <c r="E1309" i="1"/>
  <c r="F1309" i="1"/>
  <c r="B1310" i="1"/>
  <c r="A1310" i="1"/>
  <c r="E1310" i="1"/>
  <c r="F1310" i="1"/>
  <c r="B1311" i="1"/>
  <c r="A1311" i="1"/>
  <c r="E1311" i="1"/>
  <c r="F1311" i="1"/>
  <c r="B1312" i="1"/>
  <c r="A1312" i="1"/>
  <c r="E1312" i="1"/>
  <c r="F1312" i="1"/>
  <c r="B1313" i="1"/>
  <c r="A1313" i="1"/>
  <c r="E1313" i="1"/>
  <c r="F1313" i="1"/>
  <c r="B1314" i="1"/>
  <c r="A1314" i="1"/>
  <c r="E1314" i="1"/>
  <c r="F1314" i="1"/>
  <c r="B1315" i="1"/>
  <c r="A1315" i="1"/>
  <c r="E1315" i="1"/>
  <c r="F1315" i="1"/>
  <c r="B1316" i="1"/>
  <c r="A1316" i="1"/>
  <c r="E1316" i="1"/>
  <c r="F1316" i="1"/>
  <c r="B1317" i="1"/>
  <c r="A1317" i="1"/>
  <c r="E1317" i="1"/>
  <c r="F1317" i="1"/>
  <c r="G1317" i="1"/>
  <c r="B1318" i="1"/>
  <c r="A1318" i="1"/>
  <c r="E1318" i="1"/>
  <c r="F1318" i="1"/>
  <c r="B1319" i="1"/>
  <c r="A1319" i="1"/>
  <c r="E1319" i="1"/>
  <c r="F1319" i="1"/>
  <c r="B1320" i="1"/>
  <c r="A1320" i="1"/>
  <c r="E1320" i="1"/>
  <c r="F1320" i="1"/>
  <c r="G1320" i="1"/>
  <c r="B1321" i="1"/>
  <c r="A1321" i="1"/>
  <c r="E1321" i="1"/>
  <c r="F1321" i="1"/>
  <c r="G1321" i="1"/>
  <c r="B1322" i="1"/>
  <c r="A1322" i="1"/>
  <c r="E1322" i="1"/>
  <c r="F1322" i="1"/>
  <c r="G1322" i="1"/>
  <c r="B1323" i="1"/>
  <c r="A1323" i="1"/>
  <c r="E1323" i="1"/>
  <c r="F1323" i="1"/>
  <c r="B1324" i="1"/>
  <c r="A1324" i="1"/>
  <c r="E1324" i="1"/>
  <c r="F1324" i="1"/>
  <c r="B1325" i="1"/>
  <c r="A1325" i="1"/>
  <c r="E1325" i="1"/>
  <c r="F1325" i="1"/>
  <c r="B1326" i="1"/>
  <c r="A1326" i="1"/>
  <c r="E1326" i="1"/>
  <c r="F1326" i="1"/>
  <c r="B1327" i="1"/>
  <c r="A1327" i="1"/>
  <c r="E1327" i="1"/>
  <c r="F1327" i="1"/>
  <c r="B1328" i="1"/>
  <c r="A1328" i="1"/>
  <c r="E1328" i="1"/>
  <c r="F1328" i="1"/>
  <c r="B1329" i="1"/>
  <c r="A1329" i="1"/>
  <c r="E1329" i="1"/>
  <c r="F1329" i="1"/>
  <c r="B1330" i="1"/>
  <c r="A1330" i="1"/>
  <c r="E1330" i="1"/>
  <c r="F1330" i="1"/>
  <c r="B1331" i="1"/>
  <c r="A1331" i="1"/>
  <c r="E1331" i="1"/>
  <c r="F1331" i="1"/>
  <c r="B1332" i="1"/>
  <c r="A1332" i="1"/>
  <c r="E1332" i="1"/>
  <c r="F1332" i="1"/>
  <c r="B1333" i="1"/>
  <c r="A1333" i="1"/>
  <c r="E1333" i="1"/>
  <c r="F1333" i="1"/>
  <c r="B1334" i="1"/>
  <c r="A1334" i="1"/>
  <c r="E1334" i="1"/>
  <c r="F1334" i="1"/>
  <c r="B1335" i="1"/>
  <c r="A1335" i="1"/>
  <c r="E1335" i="1"/>
  <c r="F1335" i="1"/>
  <c r="B1336" i="1"/>
  <c r="A1336" i="1"/>
  <c r="E1336" i="1"/>
  <c r="F1336" i="1"/>
  <c r="B1337" i="1"/>
  <c r="A1337" i="1"/>
  <c r="E1337" i="1"/>
  <c r="F1337" i="1"/>
  <c r="G1337" i="1"/>
  <c r="B1338" i="1"/>
  <c r="A1338" i="1"/>
  <c r="E1338" i="1"/>
  <c r="F1338" i="1"/>
  <c r="G1338" i="1"/>
  <c r="B1339" i="1"/>
  <c r="A1339" i="1"/>
  <c r="E1339" i="1"/>
  <c r="F1339" i="1"/>
  <c r="B1340" i="1"/>
  <c r="A1340" i="1"/>
  <c r="E1340" i="1"/>
  <c r="F1340" i="1"/>
  <c r="B1341" i="1"/>
  <c r="A1341" i="1"/>
  <c r="E1341" i="1"/>
  <c r="F1341" i="1"/>
  <c r="B1342" i="1"/>
  <c r="A1342" i="1"/>
  <c r="E1342" i="1"/>
  <c r="F1342" i="1"/>
  <c r="B1343" i="1"/>
  <c r="A1343" i="1"/>
  <c r="E1343" i="1"/>
  <c r="F1343" i="1"/>
  <c r="B1344" i="1"/>
  <c r="A1344" i="1"/>
  <c r="E1344" i="1"/>
  <c r="F1344" i="1"/>
  <c r="B1345" i="1"/>
  <c r="A1345" i="1"/>
  <c r="E1345" i="1"/>
  <c r="F1345" i="1"/>
  <c r="G1345" i="1"/>
  <c r="B1346" i="1"/>
  <c r="A1346" i="1"/>
  <c r="E1346" i="1"/>
  <c r="F1346" i="1"/>
  <c r="B1347" i="1"/>
  <c r="A1347" i="1"/>
  <c r="E1347" i="1"/>
  <c r="F1347" i="1"/>
  <c r="B1348" i="1"/>
  <c r="A1348" i="1"/>
  <c r="E1348" i="1"/>
  <c r="F1348" i="1"/>
  <c r="B1349" i="1"/>
  <c r="A1349" i="1"/>
  <c r="E1349" i="1"/>
  <c r="F1349" i="1"/>
  <c r="B1350" i="1"/>
  <c r="A1350" i="1"/>
  <c r="E1350" i="1"/>
  <c r="F1350" i="1"/>
  <c r="B1351" i="1"/>
  <c r="A1351" i="1"/>
  <c r="E1351" i="1"/>
  <c r="F1351" i="1"/>
  <c r="B1352" i="1"/>
  <c r="A1352" i="1"/>
  <c r="E1352" i="1"/>
  <c r="F1352" i="1"/>
  <c r="G1352" i="1"/>
  <c r="B1353" i="1"/>
  <c r="A1353" i="1"/>
  <c r="E1353" i="1"/>
  <c r="F1353" i="1"/>
  <c r="G1353" i="1"/>
  <c r="B1354" i="1"/>
  <c r="A1354" i="1"/>
  <c r="E1354" i="1"/>
  <c r="F1354" i="1"/>
  <c r="G1354" i="1"/>
  <c r="B1355" i="1"/>
  <c r="A1355" i="1"/>
  <c r="E1355" i="1"/>
  <c r="F1355" i="1"/>
  <c r="G1355" i="1"/>
  <c r="B1356" i="1"/>
  <c r="A1356" i="1"/>
  <c r="E1356" i="1"/>
  <c r="F1356" i="1"/>
  <c r="B1357" i="1"/>
  <c r="A1357" i="1"/>
  <c r="E1357" i="1"/>
  <c r="F1357" i="1"/>
  <c r="G1357" i="1"/>
  <c r="B1358" i="1"/>
  <c r="A1358" i="1"/>
  <c r="E1358" i="1"/>
  <c r="F1358" i="1"/>
  <c r="B1359" i="1"/>
  <c r="A1359" i="1"/>
  <c r="E1359" i="1"/>
  <c r="F1359" i="1"/>
  <c r="B1360" i="1"/>
  <c r="A1360" i="1"/>
  <c r="E1360" i="1"/>
  <c r="F1360" i="1"/>
  <c r="B1361" i="1"/>
  <c r="A1361" i="1"/>
  <c r="E1361" i="1"/>
  <c r="F1361" i="1"/>
  <c r="B1362" i="1"/>
  <c r="A1362" i="1"/>
  <c r="E1362" i="1"/>
  <c r="F1362" i="1"/>
  <c r="G1362" i="1"/>
  <c r="B1363" i="1"/>
  <c r="A1363" i="1"/>
  <c r="E1363" i="1"/>
  <c r="F1363" i="1"/>
  <c r="B1364" i="1"/>
  <c r="A1364" i="1"/>
  <c r="E1364" i="1"/>
  <c r="F1364" i="1"/>
  <c r="G1364" i="1"/>
  <c r="B1365" i="1"/>
  <c r="A1365" i="1"/>
  <c r="E1365" i="1"/>
  <c r="B1366" i="1"/>
  <c r="A1366" i="1"/>
  <c r="E1366" i="1"/>
  <c r="B1367" i="1"/>
  <c r="A1367" i="1"/>
  <c r="E1367" i="1"/>
  <c r="B1368" i="1"/>
  <c r="A1368" i="1"/>
  <c r="E1368" i="1"/>
  <c r="B1369" i="1"/>
  <c r="A1369" i="1"/>
  <c r="E1369" i="1"/>
  <c r="B1370" i="1"/>
  <c r="A1370" i="1"/>
  <c r="E1370" i="1"/>
  <c r="F1370" i="1"/>
  <c r="B1371" i="1"/>
  <c r="A1371" i="1"/>
  <c r="E1371" i="1"/>
  <c r="F1371" i="1"/>
  <c r="B1372" i="1"/>
  <c r="A1372" i="1"/>
  <c r="E1372" i="1"/>
  <c r="F1372" i="1"/>
  <c r="B1373" i="1"/>
  <c r="A1373" i="1"/>
  <c r="E1373" i="1"/>
  <c r="F1373" i="1"/>
  <c r="B1374" i="1"/>
  <c r="A1374" i="1"/>
  <c r="E1374" i="1"/>
  <c r="B1375" i="1"/>
  <c r="A1375" i="1"/>
  <c r="E1375" i="1"/>
  <c r="B1376" i="1"/>
  <c r="A1376" i="1"/>
  <c r="E1376" i="1"/>
  <c r="B1377" i="1"/>
  <c r="A1377" i="1"/>
  <c r="E1377" i="1"/>
  <c r="B1378" i="1"/>
  <c r="A1378" i="1"/>
  <c r="E1378" i="1"/>
  <c r="B1379" i="1"/>
  <c r="A1379" i="1"/>
  <c r="E1379" i="1"/>
  <c r="B1380" i="1"/>
  <c r="A1380" i="1"/>
  <c r="E1380" i="1"/>
  <c r="B1381" i="1"/>
  <c r="A1381" i="1"/>
  <c r="E1381" i="1"/>
  <c r="B1382" i="1"/>
  <c r="A1382" i="1"/>
  <c r="E1382" i="1"/>
  <c r="B1383" i="1"/>
  <c r="A1383" i="1"/>
  <c r="E1383" i="1"/>
  <c r="B1384" i="1"/>
  <c r="A1384" i="1"/>
  <c r="E1384" i="1"/>
  <c r="B1385" i="1"/>
  <c r="A1385" i="1"/>
  <c r="E1385" i="1"/>
  <c r="B1386" i="1"/>
  <c r="A1386" i="1"/>
  <c r="E1386" i="1"/>
  <c r="B1387" i="1"/>
  <c r="A1387" i="1"/>
  <c r="E1387" i="1"/>
  <c r="B1388" i="1"/>
  <c r="A1388" i="1"/>
  <c r="E1388" i="1"/>
  <c r="B1389" i="1"/>
  <c r="A1389" i="1"/>
  <c r="E1389" i="1"/>
  <c r="B1390" i="1"/>
  <c r="A1390" i="1"/>
  <c r="E1390" i="1"/>
  <c r="B1391" i="1"/>
  <c r="A1391" i="1"/>
  <c r="E1391" i="1"/>
  <c r="B1392" i="1"/>
  <c r="A1392" i="1"/>
  <c r="E1392" i="1"/>
  <c r="B1393" i="1"/>
  <c r="A1393" i="1"/>
  <c r="E1393" i="1"/>
  <c r="B1394" i="1"/>
  <c r="A1394" i="1"/>
  <c r="E1394" i="1"/>
  <c r="B1395" i="1"/>
  <c r="A1395" i="1"/>
  <c r="E1395" i="1"/>
  <c r="B1396" i="1"/>
  <c r="A1396" i="1"/>
  <c r="E1396" i="1"/>
  <c r="B1397" i="1"/>
  <c r="A1397" i="1"/>
  <c r="E1397" i="1"/>
  <c r="B1398" i="1"/>
  <c r="A1398" i="1"/>
  <c r="E1398" i="1"/>
  <c r="B1399" i="1"/>
  <c r="A1399" i="1"/>
  <c r="E1399" i="1"/>
  <c r="B1400" i="1"/>
  <c r="A1400" i="1"/>
  <c r="E1400" i="1"/>
  <c r="B1401" i="1"/>
  <c r="A1401" i="1"/>
  <c r="E1401" i="1"/>
  <c r="B1402" i="1"/>
  <c r="A1402" i="1"/>
  <c r="E1402" i="1"/>
  <c r="B1403" i="1"/>
  <c r="A1403" i="1"/>
  <c r="E1403" i="1"/>
  <c r="B1404" i="1"/>
  <c r="A1404" i="1"/>
  <c r="E1404" i="1"/>
  <c r="B1405" i="1"/>
  <c r="A1405" i="1"/>
  <c r="E1405" i="1"/>
  <c r="B1406" i="1"/>
  <c r="A1406" i="1"/>
  <c r="E1406" i="1"/>
  <c r="B1407" i="1"/>
  <c r="A1407" i="1"/>
  <c r="E1407" i="1"/>
  <c r="B1408" i="1"/>
  <c r="A1408" i="1"/>
  <c r="E1408" i="1"/>
  <c r="B1409" i="1"/>
  <c r="A1409" i="1"/>
  <c r="E1409" i="1"/>
  <c r="G1409" i="1"/>
  <c r="B1410" i="1"/>
  <c r="A1410" i="1"/>
  <c r="E1410" i="1"/>
  <c r="A1411" i="1"/>
  <c r="E1411" i="1"/>
  <c r="B1412" i="1"/>
  <c r="A1412" i="1"/>
  <c r="E1412" i="1"/>
  <c r="B1413" i="1"/>
  <c r="A1413" i="1"/>
  <c r="E1413" i="1"/>
  <c r="B1414" i="1"/>
  <c r="A1414" i="1"/>
  <c r="E1414" i="1"/>
  <c r="B1415" i="1"/>
  <c r="A1415" i="1"/>
  <c r="E1415" i="1"/>
  <c r="B1416" i="1"/>
  <c r="A1416" i="1"/>
  <c r="E1416" i="1"/>
  <c r="B1417" i="1"/>
  <c r="A1417" i="1"/>
  <c r="E1417" i="1"/>
  <c r="B1418" i="1"/>
  <c r="A1418" i="1"/>
  <c r="E1418" i="1"/>
  <c r="B1419" i="1"/>
  <c r="A1419" i="1"/>
  <c r="E1419" i="1"/>
  <c r="B1420" i="1"/>
  <c r="A1420" i="1"/>
  <c r="E1420" i="1"/>
  <c r="B1421" i="1"/>
  <c r="A1421" i="1"/>
  <c r="E1421" i="1"/>
  <c r="B1422" i="1"/>
  <c r="A1422" i="1"/>
  <c r="E1422" i="1"/>
  <c r="B1423" i="1"/>
  <c r="A1423" i="1"/>
  <c r="E1423" i="1"/>
  <c r="B1424" i="1"/>
  <c r="A1424" i="1"/>
  <c r="E1424" i="1"/>
  <c r="B1425" i="1"/>
  <c r="A1425" i="1"/>
  <c r="E1425" i="1"/>
  <c r="B1426" i="1"/>
  <c r="A1426" i="1"/>
  <c r="E1426" i="1"/>
  <c r="B1427" i="1"/>
  <c r="A1427" i="1"/>
  <c r="E1427" i="1"/>
  <c r="B1428" i="1"/>
  <c r="A1428" i="1"/>
  <c r="E1428" i="1"/>
  <c r="B1429" i="1"/>
  <c r="A1429" i="1"/>
  <c r="E1429" i="1"/>
  <c r="B1430" i="1"/>
  <c r="A1430" i="1"/>
  <c r="E1430" i="1"/>
  <c r="B1431" i="1"/>
  <c r="A1431" i="1"/>
  <c r="E1431" i="1"/>
  <c r="B1432" i="1"/>
  <c r="A1432" i="1"/>
  <c r="E1432" i="1"/>
  <c r="B1433" i="1"/>
  <c r="A1433" i="1"/>
  <c r="E1433" i="1"/>
  <c r="B1434" i="1"/>
  <c r="A1434" i="1"/>
  <c r="E1434" i="1"/>
  <c r="B1435" i="1"/>
  <c r="A1435" i="1"/>
  <c r="E1435" i="1"/>
  <c r="B1436" i="1"/>
  <c r="A1436" i="1"/>
  <c r="E1436" i="1"/>
  <c r="B1437" i="1"/>
  <c r="A1437" i="1"/>
  <c r="E1437" i="1"/>
  <c r="B1438" i="1"/>
  <c r="A1438" i="1"/>
  <c r="E1438" i="1"/>
  <c r="G1438" i="1"/>
  <c r="B1439" i="1"/>
  <c r="A1439" i="1"/>
  <c r="E1439" i="1"/>
  <c r="B1440" i="1"/>
  <c r="A1440" i="1"/>
  <c r="E1440" i="1"/>
  <c r="B1441" i="1"/>
  <c r="A1441" i="1"/>
  <c r="E1441" i="1"/>
  <c r="B1442" i="1"/>
  <c r="A1442" i="1"/>
  <c r="E1442" i="1"/>
  <c r="B1443" i="1"/>
  <c r="A1443" i="1"/>
  <c r="E1443" i="1"/>
  <c r="B1444" i="1"/>
  <c r="A1444" i="1"/>
  <c r="E1444" i="1"/>
  <c r="B1445" i="1"/>
  <c r="A1445" i="1"/>
  <c r="E1445" i="1"/>
  <c r="B1446" i="1"/>
  <c r="A1446" i="1"/>
  <c r="E1446" i="1"/>
  <c r="B1447" i="1"/>
  <c r="A1447" i="1"/>
  <c r="E1447" i="1"/>
  <c r="B1448" i="1"/>
  <c r="A1448" i="1"/>
  <c r="E1448" i="1"/>
  <c r="B1449" i="1"/>
  <c r="A1449" i="1"/>
  <c r="E1449" i="1"/>
  <c r="B1450" i="1"/>
  <c r="A1450" i="1"/>
  <c r="E1450" i="1"/>
  <c r="B1451" i="1"/>
  <c r="A1451" i="1"/>
  <c r="E1451" i="1"/>
  <c r="B1452" i="1"/>
  <c r="A1452" i="1"/>
  <c r="E1452" i="1"/>
  <c r="B1453" i="1"/>
  <c r="A1453" i="1"/>
  <c r="E1453" i="1"/>
  <c r="B1454" i="1"/>
  <c r="A1454" i="1"/>
  <c r="E1454" i="1"/>
  <c r="B1455" i="1"/>
  <c r="A1455" i="1"/>
  <c r="E1455" i="1"/>
  <c r="B1456" i="1"/>
  <c r="A1456" i="1"/>
  <c r="E1456" i="1"/>
  <c r="B1457" i="1"/>
  <c r="A1457" i="1"/>
  <c r="E1457" i="1"/>
  <c r="B1458" i="1"/>
  <c r="A1458" i="1"/>
  <c r="E1458" i="1"/>
  <c r="B1459" i="1"/>
  <c r="A1459" i="1"/>
  <c r="E1459" i="1"/>
  <c r="B1460" i="1"/>
  <c r="A1460" i="1"/>
  <c r="E1460" i="1"/>
  <c r="B1461" i="1"/>
  <c r="A1461" i="1"/>
  <c r="E1461" i="1"/>
  <c r="B1462" i="1"/>
  <c r="A1462" i="1"/>
  <c r="E1462" i="1"/>
  <c r="B1463" i="1"/>
  <c r="A1463" i="1"/>
  <c r="E1463" i="1"/>
  <c r="B1464" i="1"/>
  <c r="A1464" i="1"/>
  <c r="E1464" i="1"/>
  <c r="B1465" i="1"/>
  <c r="A1465" i="1"/>
  <c r="E1465" i="1"/>
  <c r="B1466" i="1"/>
  <c r="A1466" i="1"/>
  <c r="E1466" i="1"/>
  <c r="B1467" i="1"/>
  <c r="A1467" i="1"/>
  <c r="E1467" i="1"/>
  <c r="B1468" i="1"/>
  <c r="A1468" i="1"/>
  <c r="E1468" i="1"/>
  <c r="B1469" i="1"/>
  <c r="A1469" i="1"/>
  <c r="E1469" i="1"/>
  <c r="B1470" i="1"/>
  <c r="A1470" i="1"/>
  <c r="E1470" i="1"/>
  <c r="B1471" i="1"/>
  <c r="A1471" i="1"/>
  <c r="E1471" i="1"/>
  <c r="B1472" i="1"/>
  <c r="A1472" i="1"/>
  <c r="E1472" i="1"/>
  <c r="B1473" i="1"/>
  <c r="A1473" i="1"/>
  <c r="E1473" i="1"/>
  <c r="B1474" i="1"/>
  <c r="A1474" i="1"/>
  <c r="E1474" i="1"/>
  <c r="B1475" i="1"/>
  <c r="A1475" i="1"/>
  <c r="E1475" i="1"/>
  <c r="B1476" i="1"/>
  <c r="A1476" i="1"/>
  <c r="E1476" i="1"/>
  <c r="B1477" i="1"/>
  <c r="A1477" i="1"/>
  <c r="E1477" i="1"/>
  <c r="B1478" i="1"/>
  <c r="A1478" i="1"/>
  <c r="E1478" i="1"/>
  <c r="B1479" i="1"/>
  <c r="A1479" i="1"/>
  <c r="E1479" i="1"/>
  <c r="B1480" i="1"/>
  <c r="A1480" i="1"/>
  <c r="E1480" i="1"/>
  <c r="B1481" i="1"/>
  <c r="A1481" i="1"/>
  <c r="E1481" i="1"/>
  <c r="B1482" i="1"/>
  <c r="A1482" i="1"/>
  <c r="E1482" i="1"/>
  <c r="B1483" i="1"/>
  <c r="A1483" i="1"/>
  <c r="E1483" i="1"/>
  <c r="B1484" i="1"/>
  <c r="A1484" i="1"/>
  <c r="E1484" i="1"/>
  <c r="B1485" i="1"/>
  <c r="A1485" i="1"/>
  <c r="E1485" i="1"/>
  <c r="B1486" i="1"/>
  <c r="A1486" i="1"/>
  <c r="E1486" i="1"/>
  <c r="B1487" i="1"/>
  <c r="A1487" i="1"/>
  <c r="E1487" i="1"/>
  <c r="B1488" i="1"/>
  <c r="A1488" i="1"/>
  <c r="E1488" i="1"/>
  <c r="B1489" i="1"/>
  <c r="A1489" i="1"/>
  <c r="E1489" i="1"/>
  <c r="B1490" i="1"/>
  <c r="A1490" i="1"/>
  <c r="E1490" i="1"/>
  <c r="B1491" i="1"/>
  <c r="A1491" i="1"/>
  <c r="E1491" i="1"/>
  <c r="G1491" i="1"/>
  <c r="B1492" i="1"/>
  <c r="A1492" i="1"/>
  <c r="E1492" i="1"/>
  <c r="B1493" i="1"/>
  <c r="A1493" i="1"/>
  <c r="E1493" i="1"/>
  <c r="B1494" i="1"/>
  <c r="A1494" i="1"/>
  <c r="E1494" i="1"/>
  <c r="A1495" i="1"/>
  <c r="E1495" i="1"/>
  <c r="A1496" i="1"/>
  <c r="E1496" i="1"/>
  <c r="A1497" i="1"/>
  <c r="E1497" i="1"/>
  <c r="A1498" i="1"/>
  <c r="E1498" i="1"/>
  <c r="A1499" i="1"/>
  <c r="E1499" i="1"/>
  <c r="B1500" i="1"/>
  <c r="A1500" i="1"/>
  <c r="E1500" i="1"/>
  <c r="B1501" i="1"/>
  <c r="A1501" i="1"/>
  <c r="E1501" i="1"/>
  <c r="B1502" i="1"/>
  <c r="A1502" i="1"/>
  <c r="E1502" i="1"/>
  <c r="B1503" i="1"/>
  <c r="A1503" i="1"/>
  <c r="E1503" i="1"/>
  <c r="B1504" i="1"/>
  <c r="A1504" i="1"/>
  <c r="E1504" i="1"/>
  <c r="B1505" i="1"/>
  <c r="A1505" i="1"/>
  <c r="E1505" i="1"/>
  <c r="B1506" i="1"/>
  <c r="A1506" i="1"/>
  <c r="E1506" i="1"/>
  <c r="B1507" i="1"/>
  <c r="A1507" i="1"/>
  <c r="E1507" i="1"/>
  <c r="B1508" i="1"/>
  <c r="A1508" i="1"/>
  <c r="E1508" i="1"/>
  <c r="B1509" i="1"/>
  <c r="A1509" i="1"/>
  <c r="E1509" i="1"/>
  <c r="B1510" i="1"/>
  <c r="A1510" i="1"/>
  <c r="E1510" i="1"/>
  <c r="B1511" i="1"/>
  <c r="A1511" i="1"/>
  <c r="E1511" i="1"/>
  <c r="B1512" i="1"/>
  <c r="A1512" i="1"/>
  <c r="E1512" i="1"/>
  <c r="B1513" i="1"/>
  <c r="A1513" i="1"/>
  <c r="E1513" i="1"/>
  <c r="B1514" i="1"/>
  <c r="A1514" i="1"/>
  <c r="E1514" i="1"/>
  <c r="B1515" i="1"/>
  <c r="A1515" i="1"/>
  <c r="E1515" i="1"/>
  <c r="B1516" i="1"/>
  <c r="A1516" i="1"/>
  <c r="E1516" i="1"/>
  <c r="B1517" i="1"/>
  <c r="A1517" i="1"/>
  <c r="E1517" i="1"/>
  <c r="B1518" i="1"/>
  <c r="A1518" i="1"/>
  <c r="E1518" i="1"/>
  <c r="B1519" i="1"/>
  <c r="A1519" i="1"/>
  <c r="E1519" i="1"/>
  <c r="B1520" i="1"/>
  <c r="A1520" i="1"/>
  <c r="E1520" i="1"/>
  <c r="G1520" i="1"/>
  <c r="B1521" i="1"/>
  <c r="A1521" i="1"/>
  <c r="E1521" i="1"/>
  <c r="B1522" i="1"/>
  <c r="A1522" i="1"/>
  <c r="E1522" i="1"/>
  <c r="B1523" i="1"/>
  <c r="A1523" i="1"/>
  <c r="E1523" i="1"/>
  <c r="B1524" i="1"/>
  <c r="A1524" i="1"/>
  <c r="E1524" i="1"/>
  <c r="B1525" i="1"/>
  <c r="A1525" i="1"/>
  <c r="E1525" i="1"/>
  <c r="B1526" i="1"/>
  <c r="A1526" i="1"/>
  <c r="E1526" i="1"/>
  <c r="B1527" i="1"/>
  <c r="A1527" i="1"/>
  <c r="E1527" i="1"/>
  <c r="B1528" i="1"/>
  <c r="A1528" i="1"/>
  <c r="E1528" i="1"/>
  <c r="B1529" i="1"/>
  <c r="A1529" i="1"/>
  <c r="E1529" i="1"/>
  <c r="B1530" i="1"/>
  <c r="A1530" i="1"/>
  <c r="E1530" i="1"/>
  <c r="B1531" i="1"/>
  <c r="A1531" i="1"/>
  <c r="E1531" i="1"/>
  <c r="B1532" i="1"/>
  <c r="A1532" i="1"/>
  <c r="E1532" i="1"/>
  <c r="B1533" i="1"/>
  <c r="A1533" i="1"/>
  <c r="E1533" i="1"/>
  <c r="B1534" i="1"/>
  <c r="A1534" i="1"/>
  <c r="E1534" i="1"/>
  <c r="B1535" i="1"/>
  <c r="A1535" i="1"/>
  <c r="E1535" i="1"/>
  <c r="B1536" i="1"/>
  <c r="A1536" i="1"/>
  <c r="E1536" i="1"/>
  <c r="B1537" i="1"/>
  <c r="A1537" i="1"/>
  <c r="E1537" i="1"/>
  <c r="B1538" i="1"/>
  <c r="A1538" i="1"/>
  <c r="E1538" i="1"/>
  <c r="B1539" i="1"/>
  <c r="A1539" i="1"/>
  <c r="E1539" i="1"/>
  <c r="B1540" i="1"/>
  <c r="A1540" i="1"/>
  <c r="E1540" i="1"/>
  <c r="B1541" i="1"/>
  <c r="A1541" i="1"/>
  <c r="E1541" i="1"/>
  <c r="B1542" i="1"/>
  <c r="A1542" i="1"/>
  <c r="E1542" i="1"/>
  <c r="B1543" i="1"/>
  <c r="A1543" i="1"/>
  <c r="E1543" i="1"/>
  <c r="B1544" i="1"/>
  <c r="A1544" i="1"/>
  <c r="E1544" i="1"/>
  <c r="B1545" i="1"/>
  <c r="A1545" i="1"/>
  <c r="E1545" i="1"/>
  <c r="B1546" i="1"/>
  <c r="A1546" i="1"/>
  <c r="E1546" i="1"/>
  <c r="B1547" i="1"/>
  <c r="A1547" i="1"/>
  <c r="E1547" i="1"/>
  <c r="B1548" i="1"/>
  <c r="A1548" i="1"/>
  <c r="E1548" i="1"/>
  <c r="B1549" i="1"/>
  <c r="A1549" i="1"/>
  <c r="E1549" i="1"/>
  <c r="B1550" i="1"/>
  <c r="A1550" i="1"/>
  <c r="E1550" i="1"/>
  <c r="B1551" i="1"/>
  <c r="A1551" i="1"/>
  <c r="E1551" i="1"/>
  <c r="B1552" i="1"/>
  <c r="A1552" i="1"/>
  <c r="E1552" i="1"/>
  <c r="B1553" i="1"/>
  <c r="A1553" i="1"/>
  <c r="E1553" i="1"/>
  <c r="B1554" i="1"/>
  <c r="A1554" i="1"/>
  <c r="E1554" i="1"/>
  <c r="B1555" i="1"/>
  <c r="A1555" i="1"/>
  <c r="E1555" i="1"/>
  <c r="B1556" i="1"/>
  <c r="A1556" i="1"/>
  <c r="E1556" i="1"/>
  <c r="B1557" i="1"/>
  <c r="A1557" i="1"/>
  <c r="E1557" i="1"/>
  <c r="B1558" i="1"/>
  <c r="A1558" i="1"/>
  <c r="E1558" i="1"/>
  <c r="B1559" i="1"/>
  <c r="A1559" i="1"/>
  <c r="E1559" i="1"/>
  <c r="A1560" i="1"/>
  <c r="E1560" i="1"/>
  <c r="A1561" i="1"/>
  <c r="E1561" i="1"/>
  <c r="B1562" i="1"/>
  <c r="A1562" i="1"/>
  <c r="E1562" i="1"/>
  <c r="B1563" i="1"/>
  <c r="A1563" i="1"/>
  <c r="E1563" i="1"/>
  <c r="B1564" i="1"/>
  <c r="A1564" i="1"/>
  <c r="E1564" i="1"/>
  <c r="B1565" i="1"/>
  <c r="A1565" i="1"/>
  <c r="E1565" i="1"/>
  <c r="B1566" i="1"/>
  <c r="A1566" i="1"/>
  <c r="E1566" i="1"/>
  <c r="B1567" i="1"/>
  <c r="A1567" i="1"/>
  <c r="E1567" i="1"/>
  <c r="B1568" i="1"/>
  <c r="A1568" i="1"/>
  <c r="E1568" i="1"/>
  <c r="B1569" i="1"/>
  <c r="A1569" i="1"/>
  <c r="E1569" i="1"/>
  <c r="B1570" i="1"/>
  <c r="A1570" i="1"/>
  <c r="E1570" i="1"/>
  <c r="B1571" i="1"/>
  <c r="A1571" i="1"/>
  <c r="E1571" i="1"/>
  <c r="B1572" i="1"/>
  <c r="A1572" i="1"/>
  <c r="E1572" i="1"/>
  <c r="B1573" i="1"/>
  <c r="A1573" i="1"/>
  <c r="E1573" i="1"/>
  <c r="B1574" i="1"/>
  <c r="A1574" i="1"/>
  <c r="E1574" i="1"/>
  <c r="A1575" i="1"/>
  <c r="E1575" i="1"/>
  <c r="B1576" i="1"/>
  <c r="A1576" i="1"/>
  <c r="E1576" i="1"/>
  <c r="G1576" i="1"/>
  <c r="B1577" i="1"/>
  <c r="A1577" i="1"/>
  <c r="E1577" i="1"/>
  <c r="G1577" i="1"/>
  <c r="B1578" i="1"/>
  <c r="A1578" i="1"/>
  <c r="E1578" i="1"/>
  <c r="G1578" i="1"/>
  <c r="B1579" i="1"/>
  <c r="A1579" i="1"/>
  <c r="E1579" i="1"/>
  <c r="G1579" i="1"/>
  <c r="B1580" i="1"/>
  <c r="A1580" i="1"/>
  <c r="E1580" i="1"/>
  <c r="G1580" i="1"/>
  <c r="B1581" i="1"/>
  <c r="A1581" i="1"/>
  <c r="E1581" i="1"/>
  <c r="G1581" i="1"/>
  <c r="B1582" i="1"/>
  <c r="A1582" i="1"/>
  <c r="E1582" i="1"/>
  <c r="G1582" i="1"/>
  <c r="B1583" i="1"/>
  <c r="A1583" i="1"/>
  <c r="E1583" i="1"/>
  <c r="G1583" i="1"/>
  <c r="B1584" i="1"/>
  <c r="A1584" i="1"/>
  <c r="E1584" i="1"/>
  <c r="G1584" i="1"/>
  <c r="B1585" i="1"/>
  <c r="A1585" i="1"/>
  <c r="E1585" i="1"/>
  <c r="G1585" i="1"/>
  <c r="B1586" i="1"/>
  <c r="A1586" i="1"/>
  <c r="E1586" i="1"/>
  <c r="G1586" i="1"/>
  <c r="B1587" i="1"/>
  <c r="A1587" i="1"/>
  <c r="E1587" i="1"/>
  <c r="G1587" i="1"/>
  <c r="B1588" i="1"/>
  <c r="A1588" i="1"/>
  <c r="E1588" i="1"/>
  <c r="G1588" i="1"/>
  <c r="B1589" i="1"/>
  <c r="A1589" i="1"/>
  <c r="E1589" i="1"/>
  <c r="B1590" i="1"/>
  <c r="A1590" i="1"/>
  <c r="E1590" i="1"/>
  <c r="B1591" i="1"/>
  <c r="A1591" i="1"/>
  <c r="E1591" i="1"/>
  <c r="B1592" i="1"/>
  <c r="A1592" i="1"/>
  <c r="E1592" i="1"/>
  <c r="B1593" i="1"/>
  <c r="A1593" i="1"/>
  <c r="E1593" i="1"/>
  <c r="B1594" i="1"/>
  <c r="A1594" i="1"/>
  <c r="E1594" i="1"/>
  <c r="B1595" i="1"/>
  <c r="A1595" i="1"/>
  <c r="E1595" i="1"/>
  <c r="B1596" i="1"/>
  <c r="A1596" i="1"/>
  <c r="E1596" i="1"/>
  <c r="B1597" i="1"/>
  <c r="A1597" i="1"/>
  <c r="E1597" i="1"/>
  <c r="B1598" i="1"/>
  <c r="A1598" i="1"/>
  <c r="E1598" i="1"/>
  <c r="B1599" i="1"/>
  <c r="A1599" i="1"/>
  <c r="E1599" i="1"/>
  <c r="B1600" i="1"/>
  <c r="A1600" i="1"/>
  <c r="E1600" i="1"/>
  <c r="B1601" i="1"/>
  <c r="A1601" i="1"/>
  <c r="E1601" i="1"/>
  <c r="B1602" i="1"/>
  <c r="A1602" i="1"/>
  <c r="E1602" i="1"/>
  <c r="B1603" i="1"/>
  <c r="A1603" i="1"/>
  <c r="E1603" i="1"/>
  <c r="B1604" i="1"/>
  <c r="A1604" i="1"/>
  <c r="E1604" i="1"/>
  <c r="G1604" i="1"/>
  <c r="B1605" i="1"/>
  <c r="A1605" i="1"/>
  <c r="E1605" i="1"/>
  <c r="G1605" i="1"/>
  <c r="B1606" i="1"/>
  <c r="A1606" i="1"/>
  <c r="E1606" i="1"/>
  <c r="G1606" i="1"/>
  <c r="B1607" i="1"/>
  <c r="A1607" i="1"/>
  <c r="E1607" i="1"/>
  <c r="G1607" i="1"/>
  <c r="B1608" i="1"/>
  <c r="A1608" i="1"/>
  <c r="E1608" i="1"/>
  <c r="B1609" i="1"/>
  <c r="A1609" i="1"/>
  <c r="E1609" i="1"/>
  <c r="B1610" i="1"/>
  <c r="A1610" i="1"/>
  <c r="E1610" i="1"/>
  <c r="B1611" i="1"/>
  <c r="A1611" i="1"/>
  <c r="E1611" i="1"/>
  <c r="B1612" i="1"/>
  <c r="A1612" i="1"/>
  <c r="E1612" i="1"/>
  <c r="B1613" i="1"/>
  <c r="A1613" i="1"/>
  <c r="E1613" i="1"/>
  <c r="B1614" i="1"/>
  <c r="A1614" i="1"/>
  <c r="E1614" i="1"/>
  <c r="B1615" i="1"/>
  <c r="A1615" i="1"/>
  <c r="E1615" i="1"/>
  <c r="B1616" i="1"/>
  <c r="A1616" i="1"/>
  <c r="E1616" i="1"/>
  <c r="B1617" i="1"/>
  <c r="A1617" i="1"/>
  <c r="E1617" i="1"/>
  <c r="B1618" i="1"/>
  <c r="A1618" i="1"/>
  <c r="E1618" i="1"/>
  <c r="B1619" i="1"/>
  <c r="A1619" i="1"/>
  <c r="E1619" i="1"/>
  <c r="B1620" i="1"/>
  <c r="A1620" i="1"/>
  <c r="E1620" i="1"/>
  <c r="B1621" i="1"/>
  <c r="A1621" i="1"/>
  <c r="E1621" i="1"/>
  <c r="B1622" i="1"/>
  <c r="A1622" i="1"/>
  <c r="E1622" i="1"/>
  <c r="B1623" i="1"/>
  <c r="A1623" i="1"/>
  <c r="E1623" i="1"/>
  <c r="B1624" i="1"/>
  <c r="A1624" i="1"/>
  <c r="E1624" i="1"/>
  <c r="B1625" i="1"/>
  <c r="A1625" i="1"/>
  <c r="E1625" i="1"/>
  <c r="B1626" i="1"/>
  <c r="A1626" i="1"/>
  <c r="E1626" i="1"/>
  <c r="B1627" i="1"/>
  <c r="A1627" i="1"/>
  <c r="E1627" i="1"/>
  <c r="B1628" i="1"/>
  <c r="A1628" i="1"/>
  <c r="E1628" i="1"/>
  <c r="B1629" i="1"/>
  <c r="A1629" i="1"/>
  <c r="E1629" i="1"/>
  <c r="B1630" i="1"/>
  <c r="A1630" i="1"/>
  <c r="E1630" i="1"/>
  <c r="B1631" i="1"/>
  <c r="A1631" i="1"/>
  <c r="E1631" i="1"/>
  <c r="B1632" i="1"/>
  <c r="A1632" i="1"/>
  <c r="E1632" i="1"/>
  <c r="B1633" i="1"/>
  <c r="A1633" i="1"/>
  <c r="E1633" i="1"/>
  <c r="B1634" i="1"/>
  <c r="A1634" i="1"/>
  <c r="E1634" i="1"/>
  <c r="B1635" i="1"/>
  <c r="A1635" i="1"/>
  <c r="E1635" i="1"/>
  <c r="B1636" i="1"/>
  <c r="A1636" i="1"/>
  <c r="E1636" i="1"/>
  <c r="B1637" i="1"/>
  <c r="A1637" i="1"/>
  <c r="E1637" i="1"/>
  <c r="B1638" i="1"/>
  <c r="A1638" i="1"/>
  <c r="E1638" i="1"/>
  <c r="B1639" i="1"/>
  <c r="A1639" i="1"/>
  <c r="E1639" i="1"/>
  <c r="B1640" i="1"/>
  <c r="A1640" i="1"/>
  <c r="E1640" i="1"/>
  <c r="B1641" i="1"/>
  <c r="A1641" i="1"/>
  <c r="E1641" i="1"/>
  <c r="B1642" i="1"/>
  <c r="A1642" i="1"/>
  <c r="E1642" i="1"/>
  <c r="B1643" i="1"/>
  <c r="A1643" i="1"/>
  <c r="E1643" i="1"/>
  <c r="B1644" i="1"/>
  <c r="A1644" i="1"/>
  <c r="E1644" i="1"/>
  <c r="B1645" i="1"/>
  <c r="A1645" i="1"/>
  <c r="E1645" i="1"/>
  <c r="B1646" i="1"/>
  <c r="A1646" i="1"/>
  <c r="E1646" i="1"/>
  <c r="B1647" i="1"/>
  <c r="A1647" i="1"/>
  <c r="E1647" i="1"/>
  <c r="B1648" i="1"/>
  <c r="A1648" i="1"/>
  <c r="E1648" i="1"/>
  <c r="B1649" i="1"/>
  <c r="A1649" i="1"/>
  <c r="E1649" i="1"/>
  <c r="B1650" i="1"/>
  <c r="A1650" i="1"/>
  <c r="E1650" i="1"/>
  <c r="B1651" i="1"/>
  <c r="A1651" i="1"/>
  <c r="E1651" i="1"/>
  <c r="B1652" i="1"/>
  <c r="A1652" i="1"/>
  <c r="E1652" i="1"/>
  <c r="B1653" i="1"/>
  <c r="A1653" i="1"/>
  <c r="E1653" i="1"/>
  <c r="B1654" i="1"/>
  <c r="A1654" i="1"/>
  <c r="E1654" i="1"/>
  <c r="B1655" i="1"/>
  <c r="A1655" i="1"/>
  <c r="E1655" i="1"/>
  <c r="B1656" i="1"/>
  <c r="A1656" i="1"/>
  <c r="E1656" i="1"/>
  <c r="B1657" i="1"/>
  <c r="A1657" i="1"/>
  <c r="E1657" i="1"/>
  <c r="B1658" i="1"/>
  <c r="A1658" i="1"/>
  <c r="E1658" i="1"/>
  <c r="B1659" i="1"/>
  <c r="A1659" i="1"/>
  <c r="E1659" i="1"/>
  <c r="B1660" i="1"/>
  <c r="A1660" i="1"/>
  <c r="E1660" i="1"/>
  <c r="B1661" i="1"/>
  <c r="A1661" i="1"/>
  <c r="E1661" i="1"/>
  <c r="B1662" i="1"/>
  <c r="A1662" i="1"/>
  <c r="E1662" i="1"/>
  <c r="B1663" i="1"/>
  <c r="A1663" i="1"/>
  <c r="E1663" i="1"/>
  <c r="B1664" i="1"/>
  <c r="A1664" i="1"/>
  <c r="E1664" i="1"/>
  <c r="B1665" i="1"/>
  <c r="A1665" i="1"/>
  <c r="E1665" i="1"/>
  <c r="B1666" i="1"/>
  <c r="A1666" i="1"/>
  <c r="E1666" i="1"/>
  <c r="B1667" i="1"/>
  <c r="A1667" i="1"/>
  <c r="E1667" i="1"/>
  <c r="B1668" i="1"/>
  <c r="A1668" i="1"/>
  <c r="E1668" i="1"/>
  <c r="B1669" i="1"/>
  <c r="A1669" i="1"/>
  <c r="E1669" i="1"/>
  <c r="B1670" i="1"/>
  <c r="A1670" i="1"/>
  <c r="E1670" i="1"/>
  <c r="B1671" i="1"/>
  <c r="A1671" i="1"/>
  <c r="E1671" i="1"/>
  <c r="B1672" i="1"/>
  <c r="A1672" i="1"/>
  <c r="E1672" i="1"/>
  <c r="B1673" i="1"/>
  <c r="A1673" i="1"/>
  <c r="E1673" i="1"/>
  <c r="B1674" i="1"/>
  <c r="A1674" i="1"/>
  <c r="E1674" i="1"/>
  <c r="B1675" i="1"/>
  <c r="A1675" i="1"/>
  <c r="E1675" i="1"/>
  <c r="B1676" i="1"/>
  <c r="A1676" i="1"/>
  <c r="E1676" i="1"/>
  <c r="B1677" i="1"/>
  <c r="A1677" i="1"/>
  <c r="E1677" i="1"/>
  <c r="B1678" i="1"/>
  <c r="A1678" i="1"/>
  <c r="E1678" i="1"/>
  <c r="B1679" i="1"/>
  <c r="A1679" i="1"/>
  <c r="E1679" i="1"/>
  <c r="B1680" i="1"/>
  <c r="A1680" i="1"/>
  <c r="E1680" i="1"/>
  <c r="B1681" i="1"/>
  <c r="A1681" i="1"/>
  <c r="E1681" i="1"/>
  <c r="B1682" i="1"/>
  <c r="A1682" i="1"/>
  <c r="E1682" i="1"/>
  <c r="B1683" i="1"/>
  <c r="A1683" i="1"/>
  <c r="E1683" i="1"/>
  <c r="B1684" i="1"/>
  <c r="A1684" i="1"/>
  <c r="E1684" i="1"/>
  <c r="B1685" i="1"/>
  <c r="A1685" i="1"/>
  <c r="E1685" i="1"/>
  <c r="B1686" i="1"/>
  <c r="A1686" i="1"/>
  <c r="E1686" i="1"/>
  <c r="B1687" i="1"/>
  <c r="A1687" i="1"/>
  <c r="E1687" i="1"/>
  <c r="B1688" i="1"/>
  <c r="A1688" i="1"/>
  <c r="E1688" i="1"/>
  <c r="B1689" i="1"/>
  <c r="A1689" i="1"/>
  <c r="E1689" i="1"/>
  <c r="B1690" i="1"/>
  <c r="A1690" i="1"/>
  <c r="E1690" i="1"/>
  <c r="B1691" i="1"/>
  <c r="A1691" i="1"/>
  <c r="E1691" i="1"/>
  <c r="B1692" i="1"/>
  <c r="A1692" i="1"/>
  <c r="E1692" i="1"/>
  <c r="B1693" i="1"/>
  <c r="A1693" i="1"/>
  <c r="E1693" i="1"/>
  <c r="B1694" i="1"/>
  <c r="A1694" i="1"/>
  <c r="E1694" i="1"/>
  <c r="B1695" i="1"/>
  <c r="A1695" i="1"/>
  <c r="E1695" i="1"/>
  <c r="B1696" i="1"/>
  <c r="A1696" i="1"/>
  <c r="E1696" i="1"/>
  <c r="B1697" i="1"/>
  <c r="A1697" i="1"/>
  <c r="E1697" i="1"/>
  <c r="B1698" i="1"/>
  <c r="A1698" i="1"/>
  <c r="E1698" i="1"/>
  <c r="B1699" i="1"/>
  <c r="A1699" i="1"/>
  <c r="E1699" i="1"/>
  <c r="B1700" i="1"/>
  <c r="A1700" i="1"/>
  <c r="E1700" i="1"/>
  <c r="B1701" i="1"/>
  <c r="A1701" i="1"/>
  <c r="E1701" i="1"/>
  <c r="B1702" i="1"/>
  <c r="A1702" i="1"/>
  <c r="E1702" i="1"/>
  <c r="B1703" i="1"/>
  <c r="A1703" i="1"/>
  <c r="E1703" i="1"/>
  <c r="B1704" i="1"/>
  <c r="A1704" i="1"/>
  <c r="E1704" i="1"/>
  <c r="B1705" i="1"/>
  <c r="A1705" i="1"/>
  <c r="E1705" i="1"/>
  <c r="B1706" i="1"/>
  <c r="A1706" i="1"/>
  <c r="E1706" i="1"/>
  <c r="B1707" i="1"/>
  <c r="A1707" i="1"/>
  <c r="E1707" i="1"/>
  <c r="B1708" i="1"/>
  <c r="A1708" i="1"/>
  <c r="E1708" i="1"/>
  <c r="B1709" i="1"/>
  <c r="A1709" i="1"/>
  <c r="E1709" i="1"/>
  <c r="B1710" i="1"/>
  <c r="A1710" i="1"/>
  <c r="E1710" i="1"/>
  <c r="B1711" i="1"/>
  <c r="A1711" i="1"/>
  <c r="E1711" i="1"/>
  <c r="B1712" i="1"/>
  <c r="A1712" i="1"/>
  <c r="E1712" i="1"/>
  <c r="B1713" i="1"/>
  <c r="A1713" i="1"/>
  <c r="E1713" i="1"/>
  <c r="B1714" i="1"/>
  <c r="A1714" i="1"/>
  <c r="E1714" i="1"/>
  <c r="B1715" i="1"/>
  <c r="A1715" i="1"/>
  <c r="E1715" i="1"/>
  <c r="B1716" i="1"/>
  <c r="A1716" i="1"/>
  <c r="E1716" i="1"/>
  <c r="B1717" i="1"/>
  <c r="A1717" i="1"/>
  <c r="E1717" i="1"/>
  <c r="B1718" i="1"/>
  <c r="A1718" i="1"/>
  <c r="E1718" i="1"/>
  <c r="B1719" i="1"/>
  <c r="A1719" i="1"/>
  <c r="E1719" i="1"/>
  <c r="B1720" i="1"/>
  <c r="A1720" i="1"/>
  <c r="E1720" i="1"/>
  <c r="B1721" i="1"/>
  <c r="A1721" i="1"/>
  <c r="E1721" i="1"/>
  <c r="B1722" i="1"/>
  <c r="A1722" i="1"/>
  <c r="E1722" i="1"/>
  <c r="B1723" i="1"/>
  <c r="A1723" i="1"/>
  <c r="E1723" i="1"/>
  <c r="B1724" i="1"/>
  <c r="A1724" i="1"/>
  <c r="E1724" i="1"/>
  <c r="B1725" i="1"/>
  <c r="A1725" i="1"/>
  <c r="E1725" i="1"/>
  <c r="B1726" i="1"/>
  <c r="A1726" i="1"/>
  <c r="E1726" i="1"/>
  <c r="B1727" i="1"/>
  <c r="A1727" i="1"/>
  <c r="E1727" i="1"/>
  <c r="B1728" i="1"/>
  <c r="A1728" i="1"/>
  <c r="E1728" i="1"/>
  <c r="B1729" i="1"/>
  <c r="A1729" i="1"/>
  <c r="E1729" i="1"/>
  <c r="B1730" i="1"/>
  <c r="A1730" i="1"/>
  <c r="E1730" i="1"/>
  <c r="B1731" i="1"/>
  <c r="A1731" i="1"/>
  <c r="E1731" i="1"/>
  <c r="B1732" i="1"/>
  <c r="A1732" i="1"/>
  <c r="E1732" i="1"/>
  <c r="B1733" i="1"/>
  <c r="A1733" i="1"/>
  <c r="E1733" i="1"/>
  <c r="B1734" i="1"/>
  <c r="A1734" i="1"/>
  <c r="E1734" i="1"/>
  <c r="B1735" i="1"/>
  <c r="A1735" i="1"/>
  <c r="E1735" i="1"/>
  <c r="B1736" i="1"/>
  <c r="A1736" i="1"/>
  <c r="E1736" i="1"/>
  <c r="B1737" i="1"/>
  <c r="A1737" i="1"/>
  <c r="E1737" i="1"/>
  <c r="B1738" i="1"/>
  <c r="A1738" i="1"/>
  <c r="E1738" i="1"/>
  <c r="B1739" i="1"/>
  <c r="A1739" i="1"/>
  <c r="E1739" i="1"/>
  <c r="B1740" i="1"/>
  <c r="A1740" i="1"/>
  <c r="E1740" i="1"/>
  <c r="B1741" i="1"/>
  <c r="A1741" i="1"/>
  <c r="E1741" i="1"/>
  <c r="B1742" i="1"/>
  <c r="A1742" i="1"/>
  <c r="E1742" i="1"/>
  <c r="A1743" i="1"/>
  <c r="E1743" i="1"/>
  <c r="B1744" i="1"/>
  <c r="A1744" i="1"/>
  <c r="E1744" i="1"/>
  <c r="B1745" i="1"/>
  <c r="A1745" i="1"/>
  <c r="E1745" i="1"/>
  <c r="B1746" i="1"/>
  <c r="A1746" i="1"/>
  <c r="E1746" i="1"/>
  <c r="B1747" i="1"/>
  <c r="A1747" i="1"/>
  <c r="E1747" i="1"/>
  <c r="B1748" i="1"/>
  <c r="A1748" i="1"/>
  <c r="E1748" i="1"/>
  <c r="B1749" i="1"/>
  <c r="A1749" i="1"/>
  <c r="E1749" i="1"/>
  <c r="B1750" i="1"/>
  <c r="A1750" i="1"/>
  <c r="E1750" i="1"/>
  <c r="B1751" i="1"/>
  <c r="A1751" i="1"/>
  <c r="E1751" i="1"/>
  <c r="B1752" i="1"/>
  <c r="A1752" i="1"/>
  <c r="E1752" i="1"/>
  <c r="B1753" i="1"/>
  <c r="A1753" i="1"/>
  <c r="E1753" i="1"/>
  <c r="B1754" i="1"/>
  <c r="A1754" i="1"/>
  <c r="E1754" i="1"/>
  <c r="F1754" i="1"/>
  <c r="B1755" i="1"/>
  <c r="A1755" i="1"/>
  <c r="E1755" i="1"/>
  <c r="F1755" i="1"/>
  <c r="G1755" i="1"/>
  <c r="B1756" i="1"/>
  <c r="A1756" i="1"/>
  <c r="E1756" i="1"/>
  <c r="F1756" i="1"/>
  <c r="G1756" i="1"/>
  <c r="B1757" i="1"/>
  <c r="A1757" i="1"/>
  <c r="E1757" i="1"/>
  <c r="F1757" i="1"/>
  <c r="B1758" i="1"/>
  <c r="A1758" i="1"/>
  <c r="E1758" i="1"/>
  <c r="F1758" i="1"/>
  <c r="B1759" i="1"/>
  <c r="A1759" i="1"/>
  <c r="E1759" i="1"/>
  <c r="F1759" i="1"/>
  <c r="B1760" i="1"/>
  <c r="A1760" i="1"/>
  <c r="E1760" i="1"/>
  <c r="F1760" i="1"/>
  <c r="B1761" i="1"/>
  <c r="A1761" i="1"/>
  <c r="E1761" i="1"/>
  <c r="F1761" i="1"/>
  <c r="B1762" i="1"/>
  <c r="A1762" i="1"/>
  <c r="E1762" i="1"/>
  <c r="F1762" i="1"/>
  <c r="B1763" i="1"/>
  <c r="A1763" i="1"/>
  <c r="E1763" i="1"/>
  <c r="F1763" i="1"/>
  <c r="B1764" i="1"/>
  <c r="A1764" i="1"/>
  <c r="E1764" i="1"/>
  <c r="F1764" i="1"/>
  <c r="B1765" i="1"/>
  <c r="A1765" i="1"/>
  <c r="E1765" i="1"/>
  <c r="F1765" i="1"/>
  <c r="B1766" i="1"/>
  <c r="A1766" i="1"/>
  <c r="E1766" i="1"/>
  <c r="F1766" i="1"/>
  <c r="B1767" i="1"/>
  <c r="A1767" i="1"/>
  <c r="E1767" i="1"/>
  <c r="F1767" i="1"/>
  <c r="B1768" i="1"/>
  <c r="A1768" i="1"/>
  <c r="E1768" i="1"/>
  <c r="F1768" i="1"/>
  <c r="G1768" i="1"/>
  <c r="B1769" i="1"/>
  <c r="A1769" i="1"/>
  <c r="E1769" i="1"/>
  <c r="F1769" i="1"/>
  <c r="B1770" i="1"/>
  <c r="A1770" i="1"/>
  <c r="E1770" i="1"/>
  <c r="F1770" i="1"/>
  <c r="B1771" i="1"/>
  <c r="A1771" i="1"/>
  <c r="E1771" i="1"/>
  <c r="F1771" i="1"/>
  <c r="B1772" i="1"/>
  <c r="A1772" i="1"/>
  <c r="E1772" i="1"/>
  <c r="F1772" i="1"/>
  <c r="G1772" i="1"/>
  <c r="B1773" i="1"/>
  <c r="A1773" i="1"/>
  <c r="E1773" i="1"/>
  <c r="F1773" i="1"/>
  <c r="G1773" i="1"/>
  <c r="B1774" i="1"/>
  <c r="A1774" i="1"/>
  <c r="E1774" i="1"/>
  <c r="F1774" i="1"/>
  <c r="B1775" i="1"/>
  <c r="A1775" i="1"/>
  <c r="E1775" i="1"/>
  <c r="F1775" i="1"/>
  <c r="B1776" i="1"/>
  <c r="A1776" i="1"/>
  <c r="E1776" i="1"/>
  <c r="F1776" i="1"/>
  <c r="B1777" i="1"/>
  <c r="A1777" i="1"/>
  <c r="E1777" i="1"/>
  <c r="F1777" i="1"/>
  <c r="B1778" i="1"/>
  <c r="A1778" i="1"/>
  <c r="E1778" i="1"/>
  <c r="F1778" i="1"/>
  <c r="B1779" i="1"/>
  <c r="A1779" i="1"/>
  <c r="E1779" i="1"/>
  <c r="F1779" i="1"/>
  <c r="B1780" i="1"/>
  <c r="A1780" i="1"/>
  <c r="E1780" i="1"/>
  <c r="F1780" i="1"/>
  <c r="B1781" i="1"/>
  <c r="A1781" i="1"/>
  <c r="E1781" i="1"/>
  <c r="F1781" i="1"/>
  <c r="B1782" i="1"/>
  <c r="A1782" i="1"/>
  <c r="E1782" i="1"/>
  <c r="F1782" i="1"/>
  <c r="G1782" i="1"/>
  <c r="B1783" i="1"/>
  <c r="A1783" i="1"/>
  <c r="E1783" i="1"/>
  <c r="F1783" i="1"/>
  <c r="B1784" i="1"/>
  <c r="A1784" i="1"/>
  <c r="E1784" i="1"/>
  <c r="F1784" i="1"/>
  <c r="B1785" i="1"/>
  <c r="A1785" i="1"/>
  <c r="E1785" i="1"/>
  <c r="F1785" i="1"/>
  <c r="B1786" i="1"/>
  <c r="A1786" i="1"/>
  <c r="E1786" i="1"/>
  <c r="F1786" i="1"/>
  <c r="B1787" i="1"/>
  <c r="A1787" i="1"/>
  <c r="E1787" i="1"/>
  <c r="F1787" i="1"/>
  <c r="B1788" i="1"/>
  <c r="A1788" i="1"/>
  <c r="E1788" i="1"/>
  <c r="F1788" i="1"/>
  <c r="B1789" i="1"/>
  <c r="A1789" i="1"/>
  <c r="E1789" i="1"/>
  <c r="F1789" i="1"/>
  <c r="G1789" i="1"/>
  <c r="B1790" i="1"/>
  <c r="A1790" i="1"/>
  <c r="E1790" i="1"/>
  <c r="F1790" i="1"/>
  <c r="G1790" i="1"/>
  <c r="B1791" i="1"/>
  <c r="A1791" i="1"/>
  <c r="E1791" i="1"/>
  <c r="F1791" i="1"/>
  <c r="B1792" i="1"/>
  <c r="A1792" i="1"/>
  <c r="E1792" i="1"/>
  <c r="F1792" i="1"/>
  <c r="B1793" i="1"/>
  <c r="A1793" i="1"/>
  <c r="E1793" i="1"/>
  <c r="F1793" i="1"/>
  <c r="B1794" i="1"/>
  <c r="A1794" i="1"/>
  <c r="E1794" i="1"/>
  <c r="F1794" i="1"/>
  <c r="B1795" i="1"/>
  <c r="A1795" i="1"/>
  <c r="E1795" i="1"/>
  <c r="F1795" i="1"/>
  <c r="B1796" i="1"/>
  <c r="A1796" i="1"/>
  <c r="E1796" i="1"/>
  <c r="F1796" i="1"/>
  <c r="B1797" i="1"/>
  <c r="A1797" i="1"/>
  <c r="E1797" i="1"/>
  <c r="F1797" i="1"/>
  <c r="B1798" i="1"/>
  <c r="A1798" i="1"/>
  <c r="E1798" i="1"/>
  <c r="F1798" i="1"/>
  <c r="B1799" i="1"/>
  <c r="A1799" i="1"/>
  <c r="E1799" i="1"/>
  <c r="F1799" i="1"/>
  <c r="G1799" i="1"/>
  <c r="B1800" i="1"/>
  <c r="A1800" i="1"/>
  <c r="E1800" i="1"/>
  <c r="F1800" i="1"/>
  <c r="B1801" i="1"/>
  <c r="A1801" i="1"/>
  <c r="E1801" i="1"/>
  <c r="F1801" i="1"/>
  <c r="B1802" i="1"/>
  <c r="A1802" i="1"/>
  <c r="E1802" i="1"/>
  <c r="F1802" i="1"/>
  <c r="B1803" i="1"/>
  <c r="A1803" i="1"/>
  <c r="E1803" i="1"/>
  <c r="F1803" i="1"/>
  <c r="B1804" i="1"/>
  <c r="A1804" i="1"/>
  <c r="E1804" i="1"/>
  <c r="B1805" i="1"/>
  <c r="A1805" i="1"/>
  <c r="E1805" i="1"/>
  <c r="F1805" i="1"/>
  <c r="G1805" i="1"/>
  <c r="B1806" i="1"/>
  <c r="A1806" i="1"/>
  <c r="E1806" i="1"/>
  <c r="F1806" i="1"/>
  <c r="G1806" i="1"/>
  <c r="B1807" i="1"/>
  <c r="A1807" i="1"/>
  <c r="E1807" i="1"/>
  <c r="F1807" i="1"/>
  <c r="G1807" i="1"/>
  <c r="B1808" i="1"/>
  <c r="A1808" i="1"/>
  <c r="E1808" i="1"/>
  <c r="F1808" i="1"/>
  <c r="G1808" i="1"/>
  <c r="B1809" i="1"/>
  <c r="A1809" i="1"/>
  <c r="E1809" i="1"/>
  <c r="F1809" i="1"/>
  <c r="G1809" i="1"/>
  <c r="B1810" i="1"/>
  <c r="A1810" i="1"/>
  <c r="E1810" i="1"/>
  <c r="F1810" i="1"/>
  <c r="G1810" i="1"/>
  <c r="B1811" i="1"/>
  <c r="A1811" i="1"/>
  <c r="E1811" i="1"/>
  <c r="G1811" i="1"/>
  <c r="B1812" i="1"/>
  <c r="A1812" i="1"/>
  <c r="E1812" i="1"/>
  <c r="B1813" i="1"/>
  <c r="A1813" i="1"/>
  <c r="E1813" i="1"/>
  <c r="B1814" i="1"/>
  <c r="A1814" i="1"/>
  <c r="E1814" i="1"/>
  <c r="B1815" i="1"/>
  <c r="A1815" i="1"/>
  <c r="E1815" i="1"/>
  <c r="B1816" i="1"/>
  <c r="A1816" i="1"/>
  <c r="E1816" i="1"/>
  <c r="A1817" i="1"/>
  <c r="E1817" i="1"/>
  <c r="A1818" i="1"/>
  <c r="E1818" i="1"/>
  <c r="B1819" i="1"/>
  <c r="A1819" i="1"/>
  <c r="E1819" i="1"/>
  <c r="B1820" i="1"/>
  <c r="A1820" i="1"/>
  <c r="E1820" i="1"/>
  <c r="B1821" i="1"/>
  <c r="A1821" i="1"/>
  <c r="E1821" i="1"/>
  <c r="B1822" i="1"/>
  <c r="A1822" i="1"/>
  <c r="E1822" i="1"/>
  <c r="B1823" i="1"/>
  <c r="A1823" i="1"/>
  <c r="E1823" i="1"/>
  <c r="B1824" i="1"/>
  <c r="A1824" i="1"/>
  <c r="E1824" i="1"/>
  <c r="B1825" i="1"/>
  <c r="A1825" i="1"/>
  <c r="E1825" i="1"/>
  <c r="B1826" i="1"/>
  <c r="A1826" i="1"/>
  <c r="E1826" i="1"/>
  <c r="B1827" i="1"/>
  <c r="A1827" i="1"/>
  <c r="E1827" i="1"/>
  <c r="B1828" i="1"/>
  <c r="A1828" i="1"/>
  <c r="E1828" i="1"/>
  <c r="B1829" i="1"/>
  <c r="A1829" i="1"/>
  <c r="E1829" i="1"/>
  <c r="B1830" i="1"/>
  <c r="A1830" i="1"/>
  <c r="E1830" i="1"/>
  <c r="B1831" i="1"/>
  <c r="A1831" i="1"/>
  <c r="E1831" i="1"/>
  <c r="B1832" i="1"/>
  <c r="A1832" i="1"/>
  <c r="E1832" i="1"/>
  <c r="B1833" i="1"/>
  <c r="A1833" i="1"/>
  <c r="E1833" i="1"/>
  <c r="A1834" i="1"/>
  <c r="E1834" i="1"/>
  <c r="A1835" i="1"/>
  <c r="E1835" i="1"/>
  <c r="A1836" i="1"/>
  <c r="E1836" i="1"/>
  <c r="B1837" i="1"/>
  <c r="A1837" i="1"/>
  <c r="E1837" i="1"/>
  <c r="B1838" i="1"/>
  <c r="A1838" i="1"/>
  <c r="E1838" i="1"/>
  <c r="B1839" i="1"/>
  <c r="A1839" i="1"/>
  <c r="E1839" i="1"/>
  <c r="B1840" i="1"/>
  <c r="A1840" i="1"/>
  <c r="E1840" i="1"/>
  <c r="B1841" i="1"/>
  <c r="A1841" i="1"/>
  <c r="E1841" i="1"/>
  <c r="B1842" i="1"/>
  <c r="A1842" i="1"/>
  <c r="E1842" i="1"/>
  <c r="B1843" i="1"/>
  <c r="A1843" i="1"/>
  <c r="E1843" i="1"/>
  <c r="B1844" i="1"/>
  <c r="A1844" i="1"/>
  <c r="E1844" i="1"/>
  <c r="G1844" i="1"/>
  <c r="A1845" i="1"/>
  <c r="E1845" i="1"/>
  <c r="B1846" i="1"/>
  <c r="A1846" i="1"/>
  <c r="E1846" i="1"/>
  <c r="B1847" i="1"/>
  <c r="A1847" i="1"/>
  <c r="E1847" i="1"/>
  <c r="B1848" i="1"/>
  <c r="A1848" i="1"/>
  <c r="E1848" i="1"/>
  <c r="B1849" i="1"/>
  <c r="A1849" i="1"/>
  <c r="E1849" i="1"/>
  <c r="B1850" i="1"/>
  <c r="A1850" i="1"/>
  <c r="E1850" i="1"/>
  <c r="B1851" i="1"/>
  <c r="A1851" i="1"/>
  <c r="E1851" i="1"/>
  <c r="B1852" i="1"/>
  <c r="A1852" i="1"/>
  <c r="E1852" i="1"/>
  <c r="B1853" i="1"/>
  <c r="A1853" i="1"/>
  <c r="E1853" i="1"/>
  <c r="B1854" i="1"/>
  <c r="A1854" i="1"/>
  <c r="E1854" i="1"/>
  <c r="B1855" i="1"/>
  <c r="A1855" i="1"/>
  <c r="E1855" i="1"/>
  <c r="B1856" i="1"/>
  <c r="A1856" i="1"/>
  <c r="E1856" i="1"/>
  <c r="B1857" i="1"/>
  <c r="A1857" i="1"/>
  <c r="E1857" i="1"/>
  <c r="B1858" i="1"/>
  <c r="A1858" i="1"/>
  <c r="E1858" i="1"/>
  <c r="B1859" i="1"/>
  <c r="A1859" i="1"/>
  <c r="E1859" i="1"/>
  <c r="B1860" i="1"/>
  <c r="A1860" i="1"/>
  <c r="E1860" i="1"/>
  <c r="B1861" i="1"/>
  <c r="A1861" i="1"/>
  <c r="E1861" i="1"/>
  <c r="B1862" i="1"/>
  <c r="A1862" i="1"/>
  <c r="E1862" i="1"/>
  <c r="B1863" i="1"/>
  <c r="A1863" i="1"/>
  <c r="E1863" i="1"/>
  <c r="B1864" i="1"/>
  <c r="A1864" i="1"/>
  <c r="E1864" i="1"/>
  <c r="B1865" i="1"/>
  <c r="A1865" i="1"/>
  <c r="E1865" i="1"/>
  <c r="B1866" i="1"/>
  <c r="A1866" i="1"/>
  <c r="E1866" i="1"/>
  <c r="B1867" i="1"/>
  <c r="A1867" i="1"/>
  <c r="E1867" i="1"/>
  <c r="B1868" i="1"/>
  <c r="A1868" i="1"/>
  <c r="E1868" i="1"/>
  <c r="B1869" i="1"/>
  <c r="A1869" i="1"/>
  <c r="E1869" i="1"/>
  <c r="B1870" i="1"/>
  <c r="A1870" i="1"/>
  <c r="E1870" i="1"/>
  <c r="B1871" i="1"/>
  <c r="A1871" i="1"/>
  <c r="E1871" i="1"/>
  <c r="G1871" i="1"/>
  <c r="B1872" i="1"/>
  <c r="A1872" i="1"/>
  <c r="E1872" i="1"/>
  <c r="B1873" i="1"/>
  <c r="A1873" i="1"/>
  <c r="E1873" i="1"/>
  <c r="B1874" i="1"/>
  <c r="A1874" i="1"/>
  <c r="E1874" i="1"/>
  <c r="B1875" i="1"/>
  <c r="A1875" i="1"/>
  <c r="E1875" i="1"/>
  <c r="B1876" i="1"/>
  <c r="A1876" i="1"/>
  <c r="E1876" i="1"/>
  <c r="B1877" i="1"/>
  <c r="A1877" i="1"/>
  <c r="E1877" i="1"/>
  <c r="B1878" i="1"/>
  <c r="A1878" i="1"/>
  <c r="E1878" i="1"/>
  <c r="B1879" i="1"/>
  <c r="A1879" i="1"/>
  <c r="E1879" i="1"/>
  <c r="B1880" i="1"/>
  <c r="A1880" i="1"/>
  <c r="E1880" i="1"/>
  <c r="B1881" i="1"/>
  <c r="A1881" i="1"/>
  <c r="E1881" i="1"/>
  <c r="B1882" i="1"/>
  <c r="A1882" i="1"/>
  <c r="E1882" i="1"/>
  <c r="B1883" i="1"/>
  <c r="A1883" i="1"/>
  <c r="E1883" i="1"/>
  <c r="G1883" i="1"/>
  <c r="B1884" i="1"/>
  <c r="A1884" i="1"/>
  <c r="E1884" i="1"/>
  <c r="G1884" i="1"/>
  <c r="B1885" i="1"/>
  <c r="A1885" i="1"/>
  <c r="E1885" i="1"/>
  <c r="G1885" i="1"/>
  <c r="B1886" i="1"/>
  <c r="A1886" i="1"/>
  <c r="E1886" i="1"/>
  <c r="G1886" i="1"/>
  <c r="B1887" i="1"/>
  <c r="A1887" i="1"/>
  <c r="E1887" i="1"/>
  <c r="G1887" i="1"/>
  <c r="B1888" i="1"/>
  <c r="A1888" i="1"/>
  <c r="E1888" i="1"/>
  <c r="G1888" i="1"/>
  <c r="B1889" i="1"/>
  <c r="A1889" i="1"/>
  <c r="E1889" i="1"/>
  <c r="G1889" i="1"/>
  <c r="B1890" i="1"/>
  <c r="A1890" i="1"/>
  <c r="E1890" i="1"/>
  <c r="B1891" i="1"/>
  <c r="A1891" i="1"/>
  <c r="E1891" i="1"/>
  <c r="B1892" i="1"/>
  <c r="A1892" i="1"/>
  <c r="E1892" i="1"/>
  <c r="B1893" i="1"/>
  <c r="A1893" i="1"/>
  <c r="E1893" i="1"/>
  <c r="B1894" i="1"/>
  <c r="A1894" i="1"/>
  <c r="E1894" i="1"/>
  <c r="B1895" i="1"/>
  <c r="A1895" i="1"/>
  <c r="E1895" i="1"/>
  <c r="B1896" i="1"/>
  <c r="A1896" i="1"/>
  <c r="E1896" i="1"/>
  <c r="B1897" i="1"/>
  <c r="A1897" i="1"/>
  <c r="E1897" i="1"/>
  <c r="B1898" i="1"/>
  <c r="A1898" i="1"/>
  <c r="E1898" i="1"/>
  <c r="B1899" i="1"/>
  <c r="A1899" i="1"/>
  <c r="E1899" i="1"/>
  <c r="B1900" i="1"/>
  <c r="A1900" i="1"/>
  <c r="E1900" i="1"/>
  <c r="B1901" i="1"/>
  <c r="A1901" i="1"/>
  <c r="E1901" i="1"/>
  <c r="B1902" i="1"/>
  <c r="A1902" i="1"/>
  <c r="E1902" i="1"/>
  <c r="B1903" i="1"/>
  <c r="A1903" i="1"/>
  <c r="E1903" i="1"/>
  <c r="B1904" i="1"/>
  <c r="A1904" i="1"/>
  <c r="E1904" i="1"/>
  <c r="B1905" i="1"/>
  <c r="A1905" i="1"/>
  <c r="E1905" i="1"/>
  <c r="B1906" i="1"/>
  <c r="A1906" i="1"/>
  <c r="E1906" i="1"/>
  <c r="B1907" i="1"/>
  <c r="A1907" i="1"/>
  <c r="E1907" i="1"/>
  <c r="B1908" i="1"/>
  <c r="A1908" i="1"/>
  <c r="E1908" i="1"/>
  <c r="B1909" i="1"/>
  <c r="A1909" i="1"/>
  <c r="E1909" i="1"/>
  <c r="B1910" i="1"/>
  <c r="A1910" i="1"/>
  <c r="E1910" i="1"/>
  <c r="B1911" i="1"/>
  <c r="A1911" i="1"/>
  <c r="E1911" i="1"/>
  <c r="B1912" i="1"/>
  <c r="A1912" i="1"/>
  <c r="E1912" i="1"/>
  <c r="B1913" i="1"/>
  <c r="A1913" i="1"/>
  <c r="E1913" i="1"/>
  <c r="B1914" i="1"/>
  <c r="A1914" i="1"/>
  <c r="E1914" i="1"/>
  <c r="B1915" i="1"/>
  <c r="A1915" i="1"/>
  <c r="E1915" i="1"/>
  <c r="B1916" i="1"/>
  <c r="A1916" i="1"/>
  <c r="E1916" i="1"/>
  <c r="B1917" i="1"/>
  <c r="A1917" i="1"/>
  <c r="E1917" i="1"/>
  <c r="B1918" i="1"/>
  <c r="A1918" i="1"/>
  <c r="E1918" i="1"/>
  <c r="B1919" i="1"/>
  <c r="A1919" i="1"/>
  <c r="E1919" i="1"/>
  <c r="B1920" i="1"/>
  <c r="A1920" i="1"/>
  <c r="E1920" i="1"/>
  <c r="B1921" i="1"/>
  <c r="A1921" i="1"/>
  <c r="E1921" i="1"/>
  <c r="B1922" i="1"/>
  <c r="A1922" i="1"/>
  <c r="E1922" i="1"/>
  <c r="B1923" i="1"/>
  <c r="A1923" i="1"/>
  <c r="E1923" i="1"/>
  <c r="B1924" i="1"/>
  <c r="A1924" i="1"/>
  <c r="E1924" i="1"/>
  <c r="B1925" i="1"/>
  <c r="A1925" i="1"/>
  <c r="E1925" i="1"/>
  <c r="B1926" i="1"/>
  <c r="A1926" i="1"/>
  <c r="E1926" i="1"/>
  <c r="B1927" i="1"/>
  <c r="A1927" i="1"/>
  <c r="E1927" i="1"/>
  <c r="A1928" i="1"/>
  <c r="E1928" i="1"/>
  <c r="A1929" i="1"/>
  <c r="E1929" i="1"/>
  <c r="A1930" i="1"/>
  <c r="E1930" i="1"/>
  <c r="B1931" i="1"/>
  <c r="A1931" i="1"/>
  <c r="E1931" i="1"/>
  <c r="B1932" i="1"/>
  <c r="A1932" i="1"/>
  <c r="E1932" i="1"/>
  <c r="B1933" i="1"/>
  <c r="A1933" i="1"/>
  <c r="E1933" i="1"/>
  <c r="B1934" i="1"/>
  <c r="A1934" i="1"/>
  <c r="E1934" i="1"/>
  <c r="B1935" i="1"/>
  <c r="A1935" i="1"/>
  <c r="E1935" i="1"/>
  <c r="B1936" i="1"/>
  <c r="A1936" i="1"/>
  <c r="E1936" i="1"/>
  <c r="B1937" i="1"/>
  <c r="A1937" i="1"/>
  <c r="E1937" i="1"/>
  <c r="B1938" i="1"/>
  <c r="A1938" i="1"/>
  <c r="E1938" i="1"/>
  <c r="B1939" i="1"/>
  <c r="A1939" i="1"/>
  <c r="E1939" i="1"/>
  <c r="B1940" i="1"/>
  <c r="A1940" i="1"/>
  <c r="E1940" i="1"/>
  <c r="B1941" i="1"/>
  <c r="A1941" i="1"/>
  <c r="E1941" i="1"/>
  <c r="B1942" i="1"/>
  <c r="A1942" i="1"/>
  <c r="E1942" i="1"/>
  <c r="B1943" i="1"/>
  <c r="A1943" i="1"/>
  <c r="E1943" i="1"/>
  <c r="B1944" i="1"/>
  <c r="A1944" i="1"/>
  <c r="E1944" i="1"/>
  <c r="B1945" i="1"/>
  <c r="A1945" i="1"/>
  <c r="E1945" i="1"/>
  <c r="B1946" i="1"/>
  <c r="A1946" i="1"/>
  <c r="E1946" i="1"/>
  <c r="B1947" i="1"/>
  <c r="A1947" i="1"/>
  <c r="E1947" i="1"/>
  <c r="B1948" i="1"/>
  <c r="A1948" i="1"/>
  <c r="E1948" i="1"/>
  <c r="B1949" i="1"/>
  <c r="A1949" i="1"/>
  <c r="E1949" i="1"/>
  <c r="B1950" i="1"/>
  <c r="A1950" i="1"/>
  <c r="E1950" i="1"/>
  <c r="B1951" i="1"/>
  <c r="A1951" i="1"/>
  <c r="E1951" i="1"/>
  <c r="B1952" i="1"/>
  <c r="A1952" i="1"/>
  <c r="E1952" i="1"/>
  <c r="B1953" i="1"/>
  <c r="A1953" i="1"/>
  <c r="E1953" i="1"/>
  <c r="F1953" i="1"/>
  <c r="B1954" i="1"/>
  <c r="A1954" i="1"/>
  <c r="E1954" i="1"/>
  <c r="F1954" i="1"/>
  <c r="B1955" i="1"/>
  <c r="A1955" i="1"/>
  <c r="E1955" i="1"/>
  <c r="F1955" i="1"/>
  <c r="B1956" i="1"/>
  <c r="A1956" i="1"/>
  <c r="E1956" i="1"/>
  <c r="F1956" i="1"/>
  <c r="B1957" i="1"/>
  <c r="A1957" i="1"/>
  <c r="E1957" i="1"/>
  <c r="F1957" i="1"/>
  <c r="B1958" i="1"/>
  <c r="A1958" i="1"/>
  <c r="E1958" i="1"/>
  <c r="F1958" i="1"/>
  <c r="B1959" i="1"/>
  <c r="A1959" i="1"/>
  <c r="E1959" i="1"/>
  <c r="F1959" i="1"/>
  <c r="B1960" i="1"/>
  <c r="A1960" i="1"/>
  <c r="E1960" i="1"/>
  <c r="F1960" i="1"/>
  <c r="B1961" i="1"/>
  <c r="A1961" i="1"/>
  <c r="E1961" i="1"/>
  <c r="F1961" i="1"/>
  <c r="B1962" i="1"/>
  <c r="A1962" i="1"/>
  <c r="E1962" i="1"/>
  <c r="F1962" i="1"/>
  <c r="B1963" i="1"/>
  <c r="A1963" i="1"/>
  <c r="E1963" i="1"/>
  <c r="F1963" i="1"/>
  <c r="B1964" i="1"/>
  <c r="A1964" i="1"/>
  <c r="E1964" i="1"/>
  <c r="F1964" i="1"/>
  <c r="B1965" i="1"/>
  <c r="A1965" i="1"/>
  <c r="E1965" i="1"/>
  <c r="F1965" i="1"/>
  <c r="B1966" i="1"/>
  <c r="A1966" i="1"/>
  <c r="E1966" i="1"/>
  <c r="F1966" i="1"/>
  <c r="B1967" i="1"/>
  <c r="A1967" i="1"/>
  <c r="E1967" i="1"/>
  <c r="F1967" i="1"/>
  <c r="B1968" i="1"/>
  <c r="A1968" i="1"/>
  <c r="E1968" i="1"/>
  <c r="F1968" i="1"/>
  <c r="B1969" i="1"/>
  <c r="A1969" i="1"/>
  <c r="E1969" i="1"/>
  <c r="F1969" i="1"/>
  <c r="B1970" i="1"/>
  <c r="A1970" i="1"/>
  <c r="E1970" i="1"/>
  <c r="F1970" i="1"/>
  <c r="B1971" i="1"/>
  <c r="A1971" i="1"/>
  <c r="E1971" i="1"/>
  <c r="F1971" i="1"/>
  <c r="B1972" i="1"/>
  <c r="A1972" i="1"/>
  <c r="E1972" i="1"/>
  <c r="F1972" i="1"/>
  <c r="B1973" i="1"/>
  <c r="A1973" i="1"/>
  <c r="E1973" i="1"/>
  <c r="F1973" i="1"/>
  <c r="B1974" i="1"/>
  <c r="A1974" i="1"/>
  <c r="E1974" i="1"/>
  <c r="F1974" i="1"/>
  <c r="B1975" i="1"/>
  <c r="A1975" i="1"/>
  <c r="E1975" i="1"/>
  <c r="F1975" i="1"/>
  <c r="B1976" i="1"/>
  <c r="A1976" i="1"/>
  <c r="E1976" i="1"/>
  <c r="F1976" i="1"/>
  <c r="G1976" i="1"/>
  <c r="B1977" i="1"/>
  <c r="A1977" i="1"/>
  <c r="E1977" i="1"/>
  <c r="F1977" i="1"/>
  <c r="B1978" i="1"/>
  <c r="A1978" i="1"/>
  <c r="E1978" i="1"/>
  <c r="F1978" i="1"/>
  <c r="G1978" i="1"/>
  <c r="B1979" i="1"/>
  <c r="A1979" i="1"/>
  <c r="E1979" i="1"/>
  <c r="F1979" i="1"/>
  <c r="B1980" i="1"/>
  <c r="A1980" i="1"/>
  <c r="E1980" i="1"/>
  <c r="F1980" i="1"/>
  <c r="B1981" i="1"/>
  <c r="A1981" i="1"/>
  <c r="E1981" i="1"/>
  <c r="F1981" i="1"/>
  <c r="B1982" i="1"/>
  <c r="A1982" i="1"/>
  <c r="E1982" i="1"/>
  <c r="F1982" i="1"/>
  <c r="B1983" i="1"/>
  <c r="A1983" i="1"/>
  <c r="E1983" i="1"/>
  <c r="F1983" i="1"/>
  <c r="B1984" i="1"/>
  <c r="A1984" i="1"/>
  <c r="E1984" i="1"/>
  <c r="F1984" i="1"/>
  <c r="B1985" i="1"/>
  <c r="A1985" i="1"/>
  <c r="E1985" i="1"/>
  <c r="F1985" i="1"/>
  <c r="B1986" i="1"/>
  <c r="A1986" i="1"/>
  <c r="E1986" i="1"/>
  <c r="F1986" i="1"/>
  <c r="B1987" i="1"/>
  <c r="A1987" i="1"/>
  <c r="E1987" i="1"/>
  <c r="F1987" i="1"/>
  <c r="B1988" i="1"/>
  <c r="A1988" i="1"/>
  <c r="E1988" i="1"/>
  <c r="F1988" i="1"/>
  <c r="B1989" i="1"/>
  <c r="A1989" i="1"/>
  <c r="E1989" i="1"/>
  <c r="F1989" i="1"/>
  <c r="B1990" i="1"/>
  <c r="A1990" i="1"/>
  <c r="E1990" i="1"/>
  <c r="F1990" i="1"/>
  <c r="B1991" i="1"/>
  <c r="A1991" i="1"/>
  <c r="E1991" i="1"/>
  <c r="F1991" i="1"/>
  <c r="B1992" i="1"/>
  <c r="A1992" i="1"/>
  <c r="E1992" i="1"/>
  <c r="F1992" i="1"/>
  <c r="B1993" i="1"/>
  <c r="A1993" i="1"/>
  <c r="E1993" i="1"/>
  <c r="F1993" i="1"/>
  <c r="B1994" i="1"/>
  <c r="A1994" i="1"/>
  <c r="E1994" i="1"/>
  <c r="F1994" i="1"/>
  <c r="B1995" i="1"/>
  <c r="A1995" i="1"/>
  <c r="E1995" i="1"/>
  <c r="F1995" i="1"/>
  <c r="B1996" i="1"/>
  <c r="A1996" i="1"/>
  <c r="E1996" i="1"/>
  <c r="F1996" i="1"/>
  <c r="B1997" i="1"/>
  <c r="A1997" i="1"/>
  <c r="E1997" i="1"/>
  <c r="F1997" i="1"/>
  <c r="B1998" i="1"/>
  <c r="A1998" i="1"/>
  <c r="E1998" i="1"/>
  <c r="F1998" i="1"/>
  <c r="B1999" i="1"/>
  <c r="A1999" i="1"/>
  <c r="E1999" i="1"/>
  <c r="F1999" i="1"/>
  <c r="B2000" i="1"/>
  <c r="A2000" i="1"/>
  <c r="E2000" i="1"/>
  <c r="F2000" i="1"/>
  <c r="B2001" i="1"/>
  <c r="A2001" i="1"/>
  <c r="E2001" i="1"/>
  <c r="F2001" i="1"/>
  <c r="B2002" i="1"/>
  <c r="A2002" i="1"/>
  <c r="E2002" i="1"/>
  <c r="F2002" i="1"/>
  <c r="B2003" i="1"/>
  <c r="A2003" i="1"/>
  <c r="E2003" i="1"/>
  <c r="F2003" i="1"/>
  <c r="B2004" i="1"/>
  <c r="A2004" i="1"/>
  <c r="E2004" i="1"/>
  <c r="F2004" i="1"/>
  <c r="B2005" i="1"/>
  <c r="A2005" i="1"/>
  <c r="E2005" i="1"/>
  <c r="F2005" i="1"/>
  <c r="B2006" i="1"/>
  <c r="A2006" i="1"/>
  <c r="E2006" i="1"/>
  <c r="F2006" i="1"/>
  <c r="B2007" i="1"/>
  <c r="A2007" i="1"/>
  <c r="E2007" i="1"/>
  <c r="F2007" i="1"/>
  <c r="B2008" i="1"/>
  <c r="A2008" i="1"/>
  <c r="E2008" i="1"/>
  <c r="F2008" i="1"/>
  <c r="G2008" i="1"/>
  <c r="B2009" i="1"/>
  <c r="A2009" i="1"/>
  <c r="E2009" i="1"/>
  <c r="F2009" i="1"/>
  <c r="B2010" i="1"/>
  <c r="A2010" i="1"/>
  <c r="E2010" i="1"/>
  <c r="F2010" i="1"/>
  <c r="B2011" i="1"/>
  <c r="A2011" i="1"/>
  <c r="E2011" i="1"/>
  <c r="F2011" i="1"/>
  <c r="B2012" i="1"/>
  <c r="A2012" i="1"/>
  <c r="E2012" i="1"/>
  <c r="F2012" i="1"/>
  <c r="B2013" i="1"/>
  <c r="A2013" i="1"/>
  <c r="E2013" i="1"/>
  <c r="F2013" i="1"/>
  <c r="B2014" i="1"/>
  <c r="A2014" i="1"/>
  <c r="E2014" i="1"/>
  <c r="F2014" i="1"/>
  <c r="B2015" i="1"/>
  <c r="A2015" i="1"/>
  <c r="E2015" i="1"/>
  <c r="F2015" i="1"/>
  <c r="B2016" i="1"/>
  <c r="A2016" i="1"/>
  <c r="E2016" i="1"/>
  <c r="F2016" i="1"/>
  <c r="B2017" i="1"/>
  <c r="A2017" i="1"/>
  <c r="E2017" i="1"/>
  <c r="F2017" i="1"/>
  <c r="B2018" i="1"/>
  <c r="A2018" i="1"/>
  <c r="E2018" i="1"/>
  <c r="F2018" i="1"/>
  <c r="B2019" i="1"/>
  <c r="A2019" i="1"/>
  <c r="E2019" i="1"/>
  <c r="F2019" i="1"/>
  <c r="B2020" i="1"/>
  <c r="A2020" i="1"/>
  <c r="E2020" i="1"/>
  <c r="F2020" i="1"/>
  <c r="B2021" i="1"/>
  <c r="A2021" i="1"/>
  <c r="E2021" i="1"/>
  <c r="F2021" i="1"/>
  <c r="B2022" i="1"/>
  <c r="A2022" i="1"/>
  <c r="E2022" i="1"/>
  <c r="F2022" i="1"/>
  <c r="B2023" i="1"/>
  <c r="A2023" i="1"/>
  <c r="E2023" i="1"/>
  <c r="F2023" i="1"/>
  <c r="B2024" i="1"/>
  <c r="A2024" i="1"/>
  <c r="E2024" i="1"/>
  <c r="F2024" i="1"/>
  <c r="B2025" i="1"/>
  <c r="A2025" i="1"/>
  <c r="E2025" i="1"/>
  <c r="F2025" i="1"/>
  <c r="B2026" i="1"/>
  <c r="A2026" i="1"/>
  <c r="E2026" i="1"/>
  <c r="F2026" i="1"/>
  <c r="B2027" i="1"/>
  <c r="A2027" i="1"/>
  <c r="E2027" i="1"/>
  <c r="F2027" i="1"/>
  <c r="B2028" i="1"/>
  <c r="A2028" i="1"/>
  <c r="E2028" i="1"/>
  <c r="F2028" i="1"/>
  <c r="B2029" i="1"/>
  <c r="A2029" i="1"/>
  <c r="E2029" i="1"/>
  <c r="F2029" i="1"/>
  <c r="B2030" i="1"/>
  <c r="A2030" i="1"/>
  <c r="E2030" i="1"/>
  <c r="F2030" i="1"/>
  <c r="B2031" i="1"/>
  <c r="A2031" i="1"/>
  <c r="E2031" i="1"/>
  <c r="F2031" i="1"/>
  <c r="B2032" i="1"/>
  <c r="A2032" i="1"/>
  <c r="E2032" i="1"/>
  <c r="F2032" i="1"/>
  <c r="B2033" i="1"/>
  <c r="A2033" i="1"/>
  <c r="E2033" i="1"/>
  <c r="F2033" i="1"/>
  <c r="B2034" i="1"/>
  <c r="A2034" i="1"/>
  <c r="E2034" i="1"/>
  <c r="F2034" i="1"/>
  <c r="B2035" i="1"/>
  <c r="A2035" i="1"/>
  <c r="E2035" i="1"/>
  <c r="F2035" i="1"/>
  <c r="B2036" i="1"/>
  <c r="A2036" i="1"/>
  <c r="E2036" i="1"/>
  <c r="F2036" i="1"/>
  <c r="B2037" i="1"/>
  <c r="A2037" i="1"/>
  <c r="E2037" i="1"/>
  <c r="F2037" i="1"/>
  <c r="B2038" i="1"/>
  <c r="A2038" i="1"/>
  <c r="E2038" i="1"/>
  <c r="F2038" i="1"/>
  <c r="B2039" i="1"/>
  <c r="A2039" i="1"/>
  <c r="E2039" i="1"/>
  <c r="F2039" i="1"/>
  <c r="B2040" i="1"/>
  <c r="A2040" i="1"/>
  <c r="E2040" i="1"/>
  <c r="F2040" i="1"/>
  <c r="B2041" i="1"/>
  <c r="A2041" i="1"/>
  <c r="E2041" i="1"/>
  <c r="F2041" i="1"/>
  <c r="B2042" i="1"/>
  <c r="A2042" i="1"/>
  <c r="E2042" i="1"/>
  <c r="F2042" i="1"/>
  <c r="B2043" i="1"/>
  <c r="A2043" i="1"/>
  <c r="E2043" i="1"/>
  <c r="F2043" i="1"/>
  <c r="B2044" i="1"/>
  <c r="A2044" i="1"/>
  <c r="E2044" i="1"/>
  <c r="F2044" i="1"/>
  <c r="B2045" i="1"/>
  <c r="A2045" i="1"/>
  <c r="E2045" i="1"/>
  <c r="F2045" i="1"/>
  <c r="B2046" i="1"/>
  <c r="A2046" i="1"/>
  <c r="E2046" i="1"/>
  <c r="F2046" i="1"/>
  <c r="B2047" i="1"/>
  <c r="A2047" i="1"/>
  <c r="E2047" i="1"/>
  <c r="F2047" i="1"/>
  <c r="B2048" i="1"/>
  <c r="A2048" i="1"/>
  <c r="E2048" i="1"/>
  <c r="F2048" i="1"/>
  <c r="B2049" i="1"/>
  <c r="A2049" i="1"/>
  <c r="E2049" i="1"/>
  <c r="F2049" i="1"/>
  <c r="B2050" i="1"/>
  <c r="A2050" i="1"/>
  <c r="E2050" i="1"/>
  <c r="F2050" i="1"/>
  <c r="B2051" i="1"/>
  <c r="A2051" i="1"/>
  <c r="E2051" i="1"/>
  <c r="F2051" i="1"/>
  <c r="B2052" i="1"/>
  <c r="A2052" i="1"/>
  <c r="E2052" i="1"/>
  <c r="F2052" i="1"/>
  <c r="B2053" i="1"/>
  <c r="A2053" i="1"/>
  <c r="E2053" i="1"/>
  <c r="F2053" i="1"/>
  <c r="B2054" i="1"/>
  <c r="A2054" i="1"/>
  <c r="E2054" i="1"/>
  <c r="F2054" i="1"/>
  <c r="B2055" i="1"/>
  <c r="A2055" i="1"/>
  <c r="E2055" i="1"/>
  <c r="F2055" i="1"/>
  <c r="B2056" i="1"/>
  <c r="A2056" i="1"/>
  <c r="E2056" i="1"/>
  <c r="F2056" i="1"/>
  <c r="G2056" i="1"/>
  <c r="B2057" i="1"/>
  <c r="A2057" i="1"/>
  <c r="E2057" i="1"/>
  <c r="F2057" i="1"/>
  <c r="B2058" i="1"/>
  <c r="A2058" i="1"/>
  <c r="E2058" i="1"/>
  <c r="F2058" i="1"/>
  <c r="B2059" i="1"/>
  <c r="A2059" i="1"/>
  <c r="E2059" i="1"/>
  <c r="F2059" i="1"/>
  <c r="B2060" i="1"/>
  <c r="A2060" i="1"/>
  <c r="E2060" i="1"/>
  <c r="F2060" i="1"/>
  <c r="B2061" i="1"/>
  <c r="A2061" i="1"/>
  <c r="E2061" i="1"/>
  <c r="F2061" i="1"/>
  <c r="B2062" i="1"/>
  <c r="A2062" i="1"/>
  <c r="E2062" i="1"/>
  <c r="F2062" i="1"/>
  <c r="B2063" i="1"/>
  <c r="A2063" i="1"/>
  <c r="E2063" i="1"/>
  <c r="F2063" i="1"/>
  <c r="B2064" i="1"/>
  <c r="A2064" i="1"/>
  <c r="E2064" i="1"/>
  <c r="F2064" i="1"/>
  <c r="B2065" i="1"/>
  <c r="A2065" i="1"/>
  <c r="E2065" i="1"/>
  <c r="F2065" i="1"/>
  <c r="B2066" i="1"/>
  <c r="A2066" i="1"/>
  <c r="E2066" i="1"/>
  <c r="F2066" i="1"/>
  <c r="B2067" i="1"/>
  <c r="A2067" i="1"/>
  <c r="E2067" i="1"/>
  <c r="F2067" i="1"/>
  <c r="B2068" i="1"/>
  <c r="A2068" i="1"/>
  <c r="E2068" i="1"/>
  <c r="F2068" i="1"/>
  <c r="B2069" i="1"/>
  <c r="A2069" i="1"/>
  <c r="E2069" i="1"/>
  <c r="F2069" i="1"/>
  <c r="B2070" i="1"/>
  <c r="A2070" i="1"/>
  <c r="E2070" i="1"/>
  <c r="F2070" i="1"/>
  <c r="B2071" i="1"/>
  <c r="A2071" i="1"/>
  <c r="E2071" i="1"/>
  <c r="F2071" i="1"/>
  <c r="B2072" i="1"/>
  <c r="A2072" i="1"/>
  <c r="E2072" i="1"/>
  <c r="F2072" i="1"/>
  <c r="B2073" i="1"/>
  <c r="A2073" i="1"/>
  <c r="E2073" i="1"/>
  <c r="F2073" i="1"/>
  <c r="B2074" i="1"/>
  <c r="A2074" i="1"/>
  <c r="E2074" i="1"/>
  <c r="F2074" i="1"/>
  <c r="B2075" i="1"/>
  <c r="A2075" i="1"/>
  <c r="E2075" i="1"/>
  <c r="F2075" i="1"/>
  <c r="B2076" i="1"/>
  <c r="A2076" i="1"/>
  <c r="E2076" i="1"/>
  <c r="F2076" i="1"/>
  <c r="B2077" i="1"/>
  <c r="A2077" i="1"/>
  <c r="E2077" i="1"/>
  <c r="F2077" i="1"/>
  <c r="B2078" i="1"/>
  <c r="A2078" i="1"/>
  <c r="E2078" i="1"/>
  <c r="F2078" i="1"/>
  <c r="B2079" i="1"/>
  <c r="A2079" i="1"/>
  <c r="E2079" i="1"/>
  <c r="F2079" i="1"/>
  <c r="B2080" i="1"/>
  <c r="A2080" i="1"/>
  <c r="E2080" i="1"/>
  <c r="F2080" i="1"/>
  <c r="B2081" i="1"/>
  <c r="A2081" i="1"/>
  <c r="E2081" i="1"/>
  <c r="F2081" i="1"/>
  <c r="B2082" i="1"/>
  <c r="A2082" i="1"/>
  <c r="E2082" i="1"/>
  <c r="F2082" i="1"/>
  <c r="B2083" i="1"/>
  <c r="A2083" i="1"/>
  <c r="E2083" i="1"/>
  <c r="F2083" i="1"/>
  <c r="B2084" i="1"/>
  <c r="A2084" i="1"/>
  <c r="E2084" i="1"/>
  <c r="F2084" i="1"/>
  <c r="B2085" i="1"/>
  <c r="A2085" i="1"/>
  <c r="E2085" i="1"/>
  <c r="F2085" i="1"/>
  <c r="B2086" i="1"/>
  <c r="A2086" i="1"/>
  <c r="E2086" i="1"/>
  <c r="F2086" i="1"/>
  <c r="B2087" i="1"/>
  <c r="A2087" i="1"/>
  <c r="E2087" i="1"/>
  <c r="F2087" i="1"/>
  <c r="B2088" i="1"/>
  <c r="A2088" i="1"/>
  <c r="E2088" i="1"/>
  <c r="F2088" i="1"/>
  <c r="B2089" i="1"/>
  <c r="A2089" i="1"/>
  <c r="E2089" i="1"/>
  <c r="F2089" i="1"/>
  <c r="G2089" i="1"/>
  <c r="B2090" i="1"/>
  <c r="A2090" i="1"/>
  <c r="E2090" i="1"/>
  <c r="F2090" i="1"/>
  <c r="B2091" i="1"/>
  <c r="A2091" i="1"/>
  <c r="E2091" i="1"/>
  <c r="F2091" i="1"/>
  <c r="B2092" i="1"/>
  <c r="A2092" i="1"/>
  <c r="E2092" i="1"/>
  <c r="F2092" i="1"/>
  <c r="B2093" i="1"/>
  <c r="A2093" i="1"/>
  <c r="E2093" i="1"/>
  <c r="F2093" i="1"/>
  <c r="B2094" i="1"/>
  <c r="A2094" i="1"/>
  <c r="E2094" i="1"/>
  <c r="F2094" i="1"/>
  <c r="B2095" i="1"/>
  <c r="A2095" i="1"/>
  <c r="E2095" i="1"/>
  <c r="F2095" i="1"/>
  <c r="B2096" i="1"/>
  <c r="A2096" i="1"/>
  <c r="E2096" i="1"/>
  <c r="F2096" i="1"/>
  <c r="B2097" i="1"/>
  <c r="A2097" i="1"/>
  <c r="E2097" i="1"/>
  <c r="F2097" i="1"/>
  <c r="B2098" i="1"/>
  <c r="A2098" i="1"/>
  <c r="E2098" i="1"/>
  <c r="F2098" i="1"/>
  <c r="B2099" i="1"/>
  <c r="A2099" i="1"/>
  <c r="E2099" i="1"/>
  <c r="F2099" i="1"/>
  <c r="B2100" i="1"/>
  <c r="A2100" i="1"/>
  <c r="E2100" i="1"/>
  <c r="F2100" i="1"/>
  <c r="B2101" i="1"/>
  <c r="A2101" i="1"/>
  <c r="E2101" i="1"/>
  <c r="F2101" i="1"/>
  <c r="B2102" i="1"/>
  <c r="A2102" i="1"/>
  <c r="E2102" i="1"/>
  <c r="F2102" i="1"/>
  <c r="B2103" i="1"/>
  <c r="A2103" i="1"/>
  <c r="E2103" i="1"/>
  <c r="F2103" i="1"/>
  <c r="B2104" i="1"/>
  <c r="A2104" i="1"/>
  <c r="E2104" i="1"/>
  <c r="F2104" i="1"/>
  <c r="B2105" i="1"/>
  <c r="A2105" i="1"/>
  <c r="E2105" i="1"/>
  <c r="F2105" i="1"/>
  <c r="B2106" i="1"/>
  <c r="A2106" i="1"/>
  <c r="E2106" i="1"/>
  <c r="F2106" i="1"/>
  <c r="B2107" i="1"/>
  <c r="A2107" i="1"/>
  <c r="E2107" i="1"/>
  <c r="F2107" i="1"/>
  <c r="B2108" i="1"/>
  <c r="A2108" i="1"/>
  <c r="E2108" i="1"/>
  <c r="F2108" i="1"/>
  <c r="B2109" i="1"/>
  <c r="A2109" i="1"/>
  <c r="E2109" i="1"/>
  <c r="F2109" i="1"/>
  <c r="B2110" i="1"/>
  <c r="A2110" i="1"/>
  <c r="E2110" i="1"/>
  <c r="F2110" i="1"/>
  <c r="B2111" i="1"/>
  <c r="A2111" i="1"/>
  <c r="E2111" i="1"/>
  <c r="F2111" i="1"/>
  <c r="B2112" i="1"/>
  <c r="A2112" i="1"/>
  <c r="E2112" i="1"/>
  <c r="F2112" i="1"/>
  <c r="B2113" i="1"/>
  <c r="A2113" i="1"/>
  <c r="E2113" i="1"/>
  <c r="F2113" i="1"/>
  <c r="B2114" i="1"/>
  <c r="A2114" i="1"/>
  <c r="E2114" i="1"/>
  <c r="F2114" i="1"/>
  <c r="B2115" i="1"/>
  <c r="A2115" i="1"/>
  <c r="E2115" i="1"/>
  <c r="F2115" i="1"/>
  <c r="B2116" i="1"/>
  <c r="A2116" i="1"/>
  <c r="E2116" i="1"/>
  <c r="F2116" i="1"/>
  <c r="B2117" i="1"/>
  <c r="A2117" i="1"/>
  <c r="E2117" i="1"/>
  <c r="F2117" i="1"/>
  <c r="B2118" i="1"/>
  <c r="A2118" i="1"/>
  <c r="E2118" i="1"/>
  <c r="F2118" i="1"/>
  <c r="B2119" i="1"/>
  <c r="A2119" i="1"/>
  <c r="E2119" i="1"/>
  <c r="F2119" i="1"/>
  <c r="B2120" i="1"/>
  <c r="A2120" i="1"/>
  <c r="E2120" i="1"/>
  <c r="F2120" i="1"/>
  <c r="B2121" i="1"/>
  <c r="A2121" i="1"/>
  <c r="E2121" i="1"/>
  <c r="F2121" i="1"/>
  <c r="B2122" i="1"/>
  <c r="A2122" i="1"/>
  <c r="E2122" i="1"/>
  <c r="F2122" i="1"/>
  <c r="B2123" i="1"/>
  <c r="A2123" i="1"/>
  <c r="E2123" i="1"/>
  <c r="F2123" i="1"/>
  <c r="B2124" i="1"/>
  <c r="A2124" i="1"/>
  <c r="E2124" i="1"/>
  <c r="F2124" i="1"/>
  <c r="B2125" i="1"/>
  <c r="A2125" i="1"/>
  <c r="E2125" i="1"/>
  <c r="F2125" i="1"/>
  <c r="B2126" i="1"/>
  <c r="A2126" i="1"/>
  <c r="E2126" i="1"/>
  <c r="F2126" i="1"/>
  <c r="B2127" i="1"/>
  <c r="A2127" i="1"/>
  <c r="E2127" i="1"/>
  <c r="B2128" i="1"/>
  <c r="A2128" i="1"/>
  <c r="E2128" i="1"/>
  <c r="F2128" i="1"/>
  <c r="B2129" i="1"/>
  <c r="A2129" i="1"/>
  <c r="E2129" i="1"/>
  <c r="F2129" i="1"/>
  <c r="G2129" i="1"/>
  <c r="B2130" i="1"/>
  <c r="A2130" i="1"/>
  <c r="E2130" i="1"/>
  <c r="F2130" i="1"/>
  <c r="B2131" i="1"/>
  <c r="A2131" i="1"/>
  <c r="E2131" i="1"/>
  <c r="F2131" i="1"/>
  <c r="B2132" i="1"/>
  <c r="A2132" i="1"/>
  <c r="E2132" i="1"/>
  <c r="F2132" i="1"/>
  <c r="B2133" i="1"/>
  <c r="A2133" i="1"/>
  <c r="E2133" i="1"/>
  <c r="F2133" i="1"/>
  <c r="B2134" i="1"/>
  <c r="A2134" i="1"/>
  <c r="E2134" i="1"/>
  <c r="F2134" i="1"/>
  <c r="B2135" i="1"/>
  <c r="A2135" i="1"/>
  <c r="E2135" i="1"/>
  <c r="F2135" i="1"/>
  <c r="G2135" i="1"/>
  <c r="B2136" i="1"/>
  <c r="A2136" i="1"/>
  <c r="E2136" i="1"/>
  <c r="F2136" i="1"/>
  <c r="G2136" i="1"/>
  <c r="B2137" i="1"/>
  <c r="A2137" i="1"/>
  <c r="E2137" i="1"/>
  <c r="F2137" i="1"/>
  <c r="B2138" i="1"/>
  <c r="A2138" i="1"/>
  <c r="E2138" i="1"/>
  <c r="F2138" i="1"/>
  <c r="B2139" i="1"/>
  <c r="A2139" i="1"/>
  <c r="E2139" i="1"/>
  <c r="F2139" i="1"/>
  <c r="B2140" i="1"/>
  <c r="A2140" i="1"/>
  <c r="E2140" i="1"/>
  <c r="F2140" i="1"/>
  <c r="B2141" i="1"/>
  <c r="A2141" i="1"/>
  <c r="E2141" i="1"/>
  <c r="F2141" i="1"/>
  <c r="G2141" i="1"/>
  <c r="B2142" i="1"/>
  <c r="A2142" i="1"/>
  <c r="E2142" i="1"/>
  <c r="F2142" i="1"/>
  <c r="B2143" i="1"/>
  <c r="A2143" i="1"/>
  <c r="E2143" i="1"/>
  <c r="F2143" i="1"/>
  <c r="B2144" i="1"/>
  <c r="A2144" i="1"/>
  <c r="E2144" i="1"/>
  <c r="F2144" i="1"/>
  <c r="B2145" i="1"/>
  <c r="A2145" i="1"/>
  <c r="E2145" i="1"/>
  <c r="F2145" i="1"/>
  <c r="G2145" i="1"/>
  <c r="B2146" i="1"/>
  <c r="A2146" i="1"/>
  <c r="E2146" i="1"/>
  <c r="F2146" i="1"/>
  <c r="B2147" i="1"/>
  <c r="A2147" i="1"/>
  <c r="E2147" i="1"/>
  <c r="F2147" i="1"/>
  <c r="B2148" i="1"/>
  <c r="A2148" i="1"/>
  <c r="E2148" i="1"/>
  <c r="F2148" i="1"/>
  <c r="B2149" i="1"/>
  <c r="A2149" i="1"/>
  <c r="E2149" i="1"/>
  <c r="F2149" i="1"/>
  <c r="B2150" i="1"/>
  <c r="A2150" i="1"/>
  <c r="E2150" i="1"/>
  <c r="F2150" i="1"/>
  <c r="B2151" i="1"/>
  <c r="A2151" i="1"/>
  <c r="E2151" i="1"/>
  <c r="F2151" i="1"/>
  <c r="B2152" i="1"/>
  <c r="A2152" i="1"/>
  <c r="E2152" i="1"/>
  <c r="F2152" i="1"/>
  <c r="B2153" i="1"/>
  <c r="A2153" i="1"/>
  <c r="E2153" i="1"/>
  <c r="B2154" i="1"/>
  <c r="A2154" i="1"/>
  <c r="E2154" i="1"/>
  <c r="B2155" i="1"/>
  <c r="A2155" i="1"/>
  <c r="E2155" i="1"/>
  <c r="B2156" i="1"/>
  <c r="A2156" i="1"/>
  <c r="E2156" i="1"/>
  <c r="B2157" i="1"/>
  <c r="A2157" i="1"/>
  <c r="E2157" i="1"/>
  <c r="B2158" i="1"/>
  <c r="A2158" i="1"/>
  <c r="E2158" i="1"/>
  <c r="B2159" i="1"/>
  <c r="A2159" i="1"/>
  <c r="E2159" i="1"/>
  <c r="B2160" i="1"/>
  <c r="A2160" i="1"/>
  <c r="E2160" i="1"/>
  <c r="B2161" i="1"/>
  <c r="A2161" i="1"/>
  <c r="E2161" i="1"/>
  <c r="B2162" i="1"/>
  <c r="A2162" i="1"/>
  <c r="E2162" i="1"/>
  <c r="B2163" i="1"/>
  <c r="A2163" i="1"/>
  <c r="E2163" i="1"/>
  <c r="B2164" i="1"/>
  <c r="A2164" i="1"/>
  <c r="E2164" i="1"/>
  <c r="B2165" i="1"/>
  <c r="A2165" i="1"/>
  <c r="E2165" i="1"/>
  <c r="B2166" i="1"/>
  <c r="A2166" i="1"/>
  <c r="E2166" i="1"/>
  <c r="B2167" i="1"/>
  <c r="A2167" i="1"/>
  <c r="E2167" i="1"/>
  <c r="B2168" i="1"/>
  <c r="A2168" i="1"/>
  <c r="E2168" i="1"/>
  <c r="B2169" i="1"/>
  <c r="A2169" i="1"/>
  <c r="E2169" i="1"/>
  <c r="B2170" i="1"/>
  <c r="A2170" i="1"/>
  <c r="E2170" i="1"/>
  <c r="B2171" i="1"/>
  <c r="A2171" i="1"/>
  <c r="E2171" i="1"/>
  <c r="B2172" i="1"/>
  <c r="A2172" i="1"/>
  <c r="E2172" i="1"/>
  <c r="B2173" i="1"/>
  <c r="A2173" i="1"/>
  <c r="E2173" i="1"/>
  <c r="B2174" i="1"/>
  <c r="A2174" i="1"/>
  <c r="E2174" i="1"/>
  <c r="B2175" i="1"/>
  <c r="A2175" i="1"/>
  <c r="E2175" i="1"/>
  <c r="B2176" i="1"/>
  <c r="A2176" i="1"/>
  <c r="E2176" i="1"/>
  <c r="B2177" i="1"/>
  <c r="A2177" i="1"/>
  <c r="E2177" i="1"/>
  <c r="B2178" i="1"/>
  <c r="A2178" i="1"/>
  <c r="E2178" i="1"/>
  <c r="B2179" i="1"/>
  <c r="A2179" i="1"/>
  <c r="E2179" i="1"/>
  <c r="B2180" i="1"/>
  <c r="A2180" i="1"/>
  <c r="E2180" i="1"/>
  <c r="A2181" i="1"/>
  <c r="E2181" i="1"/>
  <c r="A2182" i="1"/>
  <c r="E2182" i="1"/>
  <c r="A2183" i="1"/>
  <c r="E2183" i="1"/>
  <c r="A2184" i="1"/>
  <c r="E2184" i="1"/>
  <c r="A2185" i="1"/>
  <c r="E2185" i="1"/>
  <c r="A2186" i="1"/>
  <c r="E2186" i="1"/>
  <c r="A2187" i="1"/>
  <c r="E2187" i="1"/>
  <c r="A2188" i="1"/>
  <c r="E2188" i="1"/>
  <c r="A2189" i="1"/>
  <c r="E2189" i="1"/>
  <c r="A2190" i="1"/>
  <c r="E2190" i="1"/>
  <c r="A2191" i="1"/>
  <c r="E2191" i="1"/>
  <c r="A2192" i="1"/>
  <c r="E2192" i="1"/>
  <c r="A2193" i="1"/>
  <c r="E2193" i="1"/>
  <c r="A2194" i="1"/>
  <c r="E2194" i="1"/>
  <c r="A2195" i="1"/>
  <c r="E2195" i="1"/>
  <c r="A2196" i="1"/>
  <c r="E2196" i="1"/>
  <c r="A2197" i="1"/>
  <c r="E2197" i="1"/>
  <c r="A2198" i="1"/>
  <c r="E2198" i="1"/>
  <c r="A2199" i="1"/>
  <c r="E2199" i="1"/>
  <c r="A2200" i="1"/>
  <c r="E2200" i="1"/>
  <c r="A2201" i="1"/>
  <c r="E2201" i="1"/>
  <c r="A2202" i="1"/>
  <c r="E2202" i="1"/>
  <c r="A2203" i="1"/>
  <c r="E2203" i="1"/>
  <c r="A2204" i="1"/>
  <c r="E2204" i="1"/>
  <c r="A2205" i="1"/>
  <c r="E2205" i="1"/>
  <c r="A2206" i="1"/>
  <c r="E2206" i="1"/>
  <c r="A2207" i="1"/>
  <c r="E2207" i="1"/>
  <c r="A2208" i="1"/>
  <c r="E2208" i="1"/>
  <c r="B2209" i="1"/>
  <c r="A2209" i="1"/>
  <c r="E2209" i="1"/>
  <c r="B2210" i="1"/>
  <c r="A2210" i="1"/>
  <c r="E2210" i="1"/>
  <c r="B2211" i="1"/>
  <c r="A2211" i="1"/>
  <c r="E2211" i="1"/>
  <c r="B2212" i="1"/>
  <c r="A2212" i="1"/>
  <c r="E2212" i="1"/>
  <c r="B2213" i="1"/>
  <c r="A2213" i="1"/>
  <c r="E2213" i="1"/>
  <c r="B2214" i="1"/>
  <c r="A2214" i="1"/>
  <c r="E2214" i="1"/>
  <c r="B2215" i="1"/>
  <c r="A2215" i="1"/>
  <c r="E2215" i="1"/>
  <c r="B2216" i="1"/>
  <c r="A2216" i="1"/>
  <c r="E2216" i="1"/>
  <c r="B2217" i="1"/>
  <c r="A2217" i="1"/>
  <c r="E2217" i="1"/>
  <c r="B2218" i="1"/>
  <c r="A2218" i="1"/>
  <c r="E2218" i="1"/>
  <c r="B2219" i="1"/>
  <c r="A2219" i="1"/>
  <c r="E2219" i="1"/>
  <c r="B2220" i="1"/>
  <c r="A2220" i="1"/>
  <c r="E2220" i="1"/>
  <c r="B2221" i="1"/>
  <c r="A2221" i="1"/>
  <c r="E2221" i="1"/>
  <c r="B2222" i="1"/>
  <c r="A2222" i="1"/>
  <c r="E2222" i="1"/>
  <c r="B2223" i="1"/>
  <c r="A2223" i="1"/>
  <c r="E2223" i="1"/>
  <c r="B2224" i="1"/>
  <c r="A2224" i="1"/>
  <c r="E2224" i="1"/>
  <c r="B2225" i="1"/>
  <c r="A2225" i="1"/>
  <c r="E2225" i="1"/>
  <c r="B2226" i="1"/>
  <c r="A2226" i="1"/>
  <c r="E2226" i="1"/>
  <c r="B2227" i="1"/>
  <c r="A2227" i="1"/>
  <c r="E2227" i="1"/>
  <c r="B2228" i="1"/>
  <c r="A2228" i="1"/>
  <c r="E2228" i="1"/>
  <c r="B2229" i="1"/>
  <c r="A2229" i="1"/>
  <c r="E2229" i="1"/>
  <c r="B2230" i="1"/>
  <c r="A2230" i="1"/>
  <c r="E2230" i="1"/>
  <c r="B2231" i="1"/>
  <c r="A2231" i="1"/>
  <c r="E2231" i="1"/>
  <c r="B2232" i="1"/>
  <c r="A2232" i="1"/>
  <c r="E2232" i="1"/>
  <c r="B2233" i="1"/>
  <c r="A2233" i="1"/>
  <c r="E2233" i="1"/>
  <c r="B2234" i="1"/>
  <c r="A2234" i="1"/>
  <c r="E2234" i="1"/>
  <c r="B2235" i="1"/>
  <c r="A2235" i="1"/>
  <c r="E2235" i="1"/>
  <c r="B2236" i="1"/>
  <c r="A2236" i="1"/>
  <c r="E2236" i="1"/>
  <c r="B2237" i="1"/>
  <c r="A2237" i="1"/>
  <c r="E2237" i="1"/>
  <c r="B2238" i="1"/>
  <c r="A2238" i="1"/>
  <c r="E2238" i="1"/>
  <c r="B2239" i="1"/>
  <c r="A2239" i="1"/>
  <c r="E2239" i="1"/>
  <c r="B2240" i="1"/>
  <c r="A2240" i="1"/>
  <c r="E2240" i="1"/>
  <c r="B2241" i="1"/>
  <c r="A2241" i="1"/>
  <c r="E2241" i="1"/>
  <c r="B2242" i="1"/>
  <c r="A2242" i="1"/>
  <c r="E2242" i="1"/>
  <c r="B2243" i="1"/>
  <c r="A2243" i="1"/>
  <c r="E2243" i="1"/>
  <c r="B2244" i="1"/>
  <c r="A2244" i="1"/>
  <c r="E2244" i="1"/>
  <c r="B2245" i="1"/>
  <c r="A2245" i="1"/>
  <c r="E2245" i="1"/>
  <c r="B2246" i="1"/>
  <c r="A2246" i="1"/>
  <c r="E2246" i="1"/>
  <c r="B2247" i="1"/>
  <c r="A2247" i="1"/>
  <c r="E2247" i="1"/>
  <c r="B2248" i="1"/>
  <c r="A2248" i="1"/>
  <c r="E2248" i="1"/>
  <c r="B2249" i="1"/>
  <c r="A2249" i="1"/>
  <c r="E2249" i="1"/>
  <c r="B2250" i="1"/>
  <c r="A2250" i="1"/>
  <c r="E2250" i="1"/>
  <c r="B2251" i="1"/>
  <c r="A2251" i="1"/>
  <c r="E2251" i="1"/>
  <c r="B2252" i="1"/>
  <c r="A2252" i="1"/>
  <c r="E2252" i="1"/>
  <c r="B2253" i="1"/>
  <c r="A2253" i="1"/>
  <c r="E2253" i="1"/>
  <c r="B2254" i="1"/>
  <c r="A2254" i="1"/>
  <c r="E2254" i="1"/>
  <c r="B2255" i="1"/>
  <c r="A2255" i="1"/>
  <c r="E2255" i="1"/>
  <c r="B2256" i="1"/>
  <c r="A2256" i="1"/>
  <c r="E2256" i="1"/>
  <c r="B2257" i="1"/>
  <c r="A2257" i="1"/>
  <c r="E2257" i="1"/>
  <c r="B2258" i="1"/>
  <c r="A2258" i="1"/>
  <c r="E2258" i="1"/>
  <c r="B2259" i="1"/>
  <c r="A2259" i="1"/>
  <c r="E2259" i="1"/>
  <c r="B2260" i="1"/>
  <c r="A2260" i="1"/>
  <c r="E2260" i="1"/>
  <c r="G2260" i="1"/>
  <c r="B2261" i="1"/>
  <c r="A2261" i="1"/>
  <c r="E2261" i="1"/>
  <c r="B2262" i="1"/>
  <c r="A2262" i="1"/>
  <c r="E2262" i="1"/>
  <c r="B2263" i="1"/>
  <c r="A2263" i="1"/>
  <c r="E2263" i="1"/>
  <c r="B2264" i="1"/>
  <c r="A2264" i="1"/>
  <c r="E2264" i="1"/>
  <c r="G2264" i="1"/>
  <c r="B2265" i="1"/>
  <c r="A2265" i="1"/>
  <c r="E2265" i="1"/>
  <c r="B2266" i="1"/>
  <c r="A2266" i="1"/>
  <c r="E2266" i="1"/>
  <c r="B2267" i="1"/>
  <c r="A2267" i="1"/>
  <c r="E2267" i="1"/>
  <c r="B2268" i="1"/>
  <c r="A2268" i="1"/>
  <c r="E2268" i="1"/>
  <c r="B2269" i="1"/>
  <c r="A2269" i="1"/>
  <c r="E2269" i="1"/>
  <c r="B2270" i="1"/>
  <c r="A2270" i="1"/>
  <c r="E2270" i="1"/>
  <c r="B2271" i="1"/>
  <c r="A2271" i="1"/>
  <c r="E2271" i="1"/>
  <c r="B2272" i="1"/>
  <c r="A2272" i="1"/>
  <c r="E2272" i="1"/>
  <c r="B2273" i="1"/>
  <c r="A2273" i="1"/>
  <c r="E2273" i="1"/>
  <c r="B2274" i="1"/>
  <c r="A2274" i="1"/>
  <c r="E2274" i="1"/>
  <c r="B2275" i="1"/>
  <c r="A2275" i="1"/>
  <c r="E2275" i="1"/>
  <c r="G2275" i="1"/>
  <c r="B2276" i="1"/>
  <c r="A2276" i="1"/>
  <c r="E2276" i="1"/>
  <c r="B2277" i="1"/>
  <c r="A2277" i="1"/>
  <c r="E2277" i="1"/>
  <c r="B2278" i="1"/>
  <c r="A2278" i="1"/>
  <c r="E2278" i="1"/>
  <c r="B2279" i="1"/>
  <c r="A2279" i="1"/>
  <c r="E2279" i="1"/>
  <c r="B2280" i="1"/>
  <c r="A2280" i="1"/>
  <c r="E2280" i="1"/>
  <c r="B2281" i="1"/>
  <c r="A2281" i="1"/>
  <c r="E2281" i="1"/>
  <c r="B2282" i="1"/>
  <c r="A2282" i="1"/>
  <c r="E2282" i="1"/>
  <c r="B2283" i="1"/>
  <c r="A2283" i="1"/>
  <c r="E2283" i="1"/>
  <c r="B2284" i="1"/>
  <c r="A2284" i="1"/>
  <c r="E2284" i="1"/>
  <c r="B2285" i="1"/>
  <c r="A2285" i="1"/>
  <c r="E2285" i="1"/>
  <c r="B2286" i="1"/>
  <c r="A2286" i="1"/>
  <c r="E2286" i="1"/>
  <c r="B2287" i="1"/>
  <c r="A2287" i="1"/>
  <c r="E2287" i="1"/>
  <c r="B2288" i="1"/>
  <c r="A2288" i="1"/>
  <c r="E2288" i="1"/>
  <c r="B2289" i="1"/>
  <c r="A2289" i="1"/>
  <c r="E2289" i="1"/>
  <c r="B2290" i="1"/>
  <c r="A2290" i="1"/>
  <c r="E2290" i="1"/>
  <c r="B2291" i="1"/>
  <c r="A2291" i="1"/>
  <c r="E2291" i="1"/>
  <c r="B2292" i="1"/>
  <c r="A2292" i="1"/>
  <c r="E2292" i="1"/>
  <c r="B2293" i="1"/>
  <c r="A2293" i="1"/>
  <c r="E2293" i="1"/>
  <c r="B2294" i="1"/>
  <c r="A2294" i="1"/>
  <c r="E2294" i="1"/>
  <c r="B2295" i="1"/>
  <c r="A2295" i="1"/>
  <c r="E2295" i="1"/>
  <c r="B2296" i="1"/>
  <c r="A2296" i="1"/>
  <c r="E2296" i="1"/>
  <c r="B2297" i="1"/>
  <c r="A2297" i="1"/>
  <c r="E2297" i="1"/>
  <c r="B2298" i="1"/>
  <c r="A2298" i="1"/>
  <c r="E2298" i="1"/>
  <c r="B2299" i="1"/>
  <c r="A2299" i="1"/>
  <c r="E2299" i="1"/>
  <c r="B2300" i="1"/>
  <c r="A2300" i="1"/>
  <c r="E2300" i="1"/>
  <c r="B2301" i="1"/>
  <c r="A2301" i="1"/>
  <c r="E2301" i="1"/>
  <c r="B2302" i="1"/>
  <c r="A2302" i="1"/>
  <c r="E2302" i="1"/>
  <c r="B2303" i="1"/>
  <c r="A2303" i="1"/>
  <c r="E2303" i="1"/>
  <c r="B2304" i="1"/>
  <c r="A2304" i="1"/>
  <c r="E2304" i="1"/>
  <c r="B2305" i="1"/>
  <c r="A2305" i="1"/>
  <c r="E2305" i="1"/>
  <c r="B2306" i="1"/>
  <c r="A2306" i="1"/>
  <c r="E2306" i="1"/>
  <c r="B2307" i="1"/>
  <c r="A2307" i="1"/>
  <c r="E2307" i="1"/>
  <c r="B2308" i="1"/>
  <c r="A2308" i="1"/>
  <c r="E2308" i="1"/>
  <c r="B2309" i="1"/>
  <c r="A2309" i="1"/>
  <c r="E2309" i="1"/>
  <c r="B2310" i="1"/>
  <c r="A2310" i="1"/>
  <c r="E2310" i="1"/>
  <c r="B2311" i="1"/>
  <c r="A2311" i="1"/>
  <c r="E2311" i="1"/>
  <c r="B2312" i="1"/>
  <c r="A2312" i="1"/>
  <c r="E2312" i="1"/>
  <c r="B2313" i="1"/>
  <c r="A2313" i="1"/>
  <c r="E2313" i="1"/>
  <c r="B2314" i="1"/>
  <c r="A2314" i="1"/>
  <c r="E2314" i="1"/>
  <c r="A2315" i="1"/>
  <c r="E2315" i="1"/>
  <c r="A2316" i="1"/>
  <c r="E2316" i="1"/>
  <c r="A2317" i="1"/>
  <c r="E2317" i="1"/>
  <c r="A2318" i="1"/>
  <c r="E2318" i="1"/>
  <c r="A2319" i="1"/>
  <c r="E2319" i="1"/>
  <c r="B2320" i="1"/>
  <c r="A2320" i="1"/>
  <c r="E2320" i="1"/>
  <c r="B2321" i="1"/>
  <c r="A2321" i="1"/>
  <c r="E2321" i="1"/>
  <c r="B2322" i="1"/>
  <c r="A2322" i="1"/>
  <c r="E2322" i="1"/>
  <c r="B2323" i="1"/>
  <c r="A2323" i="1"/>
  <c r="E2323" i="1"/>
  <c r="B2324" i="1"/>
  <c r="A2324" i="1"/>
  <c r="E2324" i="1"/>
  <c r="B2325" i="1"/>
  <c r="A2325" i="1"/>
  <c r="E2325" i="1"/>
  <c r="B2326" i="1"/>
  <c r="A2326" i="1"/>
  <c r="E2326" i="1"/>
  <c r="B2327" i="1"/>
  <c r="A2327" i="1"/>
  <c r="E2327" i="1"/>
  <c r="B2328" i="1"/>
  <c r="A2328" i="1"/>
  <c r="E2328" i="1"/>
  <c r="B2329" i="1"/>
  <c r="A2329" i="1"/>
  <c r="E2329" i="1"/>
  <c r="B2330" i="1"/>
  <c r="A2330" i="1"/>
  <c r="E2330" i="1"/>
  <c r="B2331" i="1"/>
  <c r="A2331" i="1"/>
  <c r="E2331" i="1"/>
  <c r="B2332" i="1"/>
  <c r="A2332" i="1"/>
  <c r="E2332" i="1"/>
  <c r="B2333" i="1"/>
  <c r="A2333" i="1"/>
  <c r="E2333" i="1"/>
  <c r="B2334" i="1"/>
  <c r="A2334" i="1"/>
  <c r="E2334" i="1"/>
  <c r="B2335" i="1"/>
  <c r="A2335" i="1"/>
  <c r="E2335" i="1"/>
  <c r="B2336" i="1"/>
  <c r="A2336" i="1"/>
  <c r="E2336" i="1"/>
  <c r="B2337" i="1"/>
  <c r="A2337" i="1"/>
  <c r="E2337" i="1"/>
  <c r="B2338" i="1"/>
  <c r="A2338" i="1"/>
  <c r="E2338" i="1"/>
  <c r="B2339" i="1"/>
  <c r="A2339" i="1"/>
  <c r="E2339" i="1"/>
  <c r="B2340" i="1"/>
  <c r="A2340" i="1"/>
  <c r="E2340" i="1"/>
  <c r="B2341" i="1"/>
  <c r="A2341" i="1"/>
  <c r="E2341" i="1"/>
  <c r="B2342" i="1"/>
  <c r="A2342" i="1"/>
  <c r="E2342" i="1"/>
  <c r="B2343" i="1"/>
  <c r="A2343" i="1"/>
  <c r="E2343" i="1"/>
  <c r="B2344" i="1"/>
  <c r="A2344" i="1"/>
  <c r="E2344" i="1"/>
  <c r="B2345" i="1"/>
  <c r="A2345" i="1"/>
  <c r="E2345" i="1"/>
  <c r="B2346" i="1"/>
  <c r="A2346" i="1"/>
  <c r="E2346" i="1"/>
  <c r="B2347" i="1"/>
  <c r="A2347" i="1"/>
  <c r="E2347" i="1"/>
  <c r="B2348" i="1"/>
  <c r="A2348" i="1"/>
  <c r="E2348" i="1"/>
  <c r="B2349" i="1"/>
  <c r="A2349" i="1"/>
  <c r="E2349" i="1"/>
  <c r="B2350" i="1"/>
  <c r="A2350" i="1"/>
  <c r="E2350" i="1"/>
  <c r="B2351" i="1"/>
  <c r="A2351" i="1"/>
  <c r="E2351" i="1"/>
  <c r="B2352" i="1"/>
  <c r="A2352" i="1"/>
  <c r="E2352" i="1"/>
  <c r="B2353" i="1"/>
  <c r="A2353" i="1"/>
  <c r="E2353" i="1"/>
  <c r="B2354" i="1"/>
  <c r="A2354" i="1"/>
  <c r="E2354" i="1"/>
  <c r="B2355" i="1"/>
  <c r="A2355" i="1"/>
  <c r="E2355" i="1"/>
  <c r="B2356" i="1"/>
  <c r="A2356" i="1"/>
  <c r="E2356" i="1"/>
  <c r="B2357" i="1"/>
  <c r="A2357" i="1"/>
  <c r="E2357" i="1"/>
  <c r="B2358" i="1"/>
  <c r="A2358" i="1"/>
  <c r="E2358" i="1"/>
  <c r="B2359" i="1"/>
  <c r="A2359" i="1"/>
  <c r="E2359" i="1"/>
  <c r="B2360" i="1"/>
  <c r="A2360" i="1"/>
  <c r="E2360" i="1"/>
  <c r="B2361" i="1"/>
  <c r="A2361" i="1"/>
  <c r="E2361" i="1"/>
  <c r="B2362" i="1"/>
  <c r="A2362" i="1"/>
  <c r="E2362" i="1"/>
  <c r="B2363" i="1"/>
  <c r="A2363" i="1"/>
  <c r="E2363" i="1"/>
  <c r="B2364" i="1"/>
  <c r="A2364" i="1"/>
  <c r="E2364" i="1"/>
  <c r="B2365" i="1"/>
  <c r="A2365" i="1"/>
  <c r="E2365" i="1"/>
  <c r="B2366" i="1"/>
  <c r="A2366" i="1"/>
  <c r="E2366" i="1"/>
  <c r="B2367" i="1"/>
  <c r="A2367" i="1"/>
  <c r="E2367" i="1"/>
  <c r="B2368" i="1"/>
  <c r="A2368" i="1"/>
  <c r="E2368" i="1"/>
  <c r="B2369" i="1"/>
  <c r="A2369" i="1"/>
  <c r="E2369" i="1"/>
  <c r="B2370" i="1"/>
  <c r="A2370" i="1"/>
  <c r="E2370" i="1"/>
  <c r="B2371" i="1"/>
  <c r="A2371" i="1"/>
  <c r="E2371" i="1"/>
  <c r="B2372" i="1"/>
  <c r="A2372" i="1"/>
  <c r="E2372" i="1"/>
  <c r="B2373" i="1"/>
  <c r="A2373" i="1"/>
  <c r="E2373" i="1"/>
  <c r="B2374" i="1"/>
  <c r="A2374" i="1"/>
  <c r="E2374" i="1"/>
  <c r="B2375" i="1"/>
  <c r="A2375" i="1"/>
  <c r="E2375" i="1"/>
  <c r="B2376" i="1"/>
  <c r="A2376" i="1"/>
  <c r="E2376" i="1"/>
  <c r="B2377" i="1"/>
  <c r="A2377" i="1"/>
  <c r="E2377" i="1"/>
  <c r="B2378" i="1"/>
  <c r="A2378" i="1"/>
  <c r="E2378" i="1"/>
  <c r="B2379" i="1"/>
  <c r="A2379" i="1"/>
  <c r="E2379" i="1"/>
  <c r="B2380" i="1"/>
  <c r="A2380" i="1"/>
  <c r="E2380" i="1"/>
  <c r="B2381" i="1"/>
  <c r="A2381" i="1"/>
  <c r="E2381" i="1"/>
  <c r="B2382" i="1"/>
  <c r="A2382" i="1"/>
  <c r="E2382" i="1"/>
  <c r="B2383" i="1"/>
  <c r="A2383" i="1"/>
  <c r="E2383" i="1"/>
  <c r="B2384" i="1"/>
  <c r="A2384" i="1"/>
  <c r="E2384" i="1"/>
  <c r="B2385" i="1"/>
  <c r="A2385" i="1"/>
  <c r="E2385" i="1"/>
  <c r="B2386" i="1"/>
  <c r="A2386" i="1"/>
  <c r="E2386" i="1"/>
  <c r="B2387" i="1"/>
  <c r="A2387" i="1"/>
  <c r="E2387" i="1"/>
  <c r="B2388" i="1"/>
  <c r="A2388" i="1"/>
  <c r="E2388" i="1"/>
  <c r="B2389" i="1"/>
  <c r="A2389" i="1"/>
  <c r="E2389" i="1"/>
  <c r="B2390" i="1"/>
  <c r="A2390" i="1"/>
  <c r="E2390" i="1"/>
  <c r="B2391" i="1"/>
  <c r="A2391" i="1"/>
  <c r="E2391" i="1"/>
  <c r="B2392" i="1"/>
  <c r="A2392" i="1"/>
  <c r="E2392" i="1"/>
  <c r="B2393" i="1"/>
  <c r="A2393" i="1"/>
  <c r="E2393" i="1"/>
  <c r="B2394" i="1"/>
  <c r="A2394" i="1"/>
  <c r="E2394" i="1"/>
  <c r="B2395" i="1"/>
  <c r="A2395" i="1"/>
  <c r="E2395" i="1"/>
  <c r="B2396" i="1"/>
  <c r="A2396" i="1"/>
  <c r="E2396" i="1"/>
  <c r="B2397" i="1"/>
  <c r="A2397" i="1"/>
  <c r="E2397" i="1"/>
  <c r="B2398" i="1"/>
  <c r="A2398" i="1"/>
  <c r="E2398" i="1"/>
  <c r="B2399" i="1"/>
  <c r="A2399" i="1"/>
  <c r="E2399" i="1"/>
  <c r="B2400" i="1"/>
  <c r="A2400" i="1"/>
  <c r="E2400" i="1"/>
  <c r="B2401" i="1"/>
  <c r="A2401" i="1"/>
  <c r="E2401" i="1"/>
  <c r="B2402" i="1"/>
  <c r="A2402" i="1"/>
  <c r="E2402" i="1"/>
  <c r="B2403" i="1"/>
  <c r="A2403" i="1"/>
  <c r="E2403" i="1"/>
  <c r="B2404" i="1"/>
  <c r="A2404" i="1"/>
  <c r="E2404" i="1"/>
  <c r="B2405" i="1"/>
  <c r="A2405" i="1"/>
  <c r="E2405" i="1"/>
  <c r="B2406" i="1"/>
  <c r="A2406" i="1"/>
  <c r="E2406" i="1"/>
  <c r="B2407" i="1"/>
  <c r="A2407" i="1"/>
  <c r="E2407" i="1"/>
  <c r="B2408" i="1"/>
  <c r="A2408" i="1"/>
  <c r="E2408" i="1"/>
  <c r="B2409" i="1"/>
  <c r="A2409" i="1"/>
  <c r="E2409" i="1"/>
  <c r="B2410" i="1"/>
  <c r="A2410" i="1"/>
  <c r="E2410" i="1"/>
  <c r="B2411" i="1"/>
  <c r="A2411" i="1"/>
  <c r="E2411" i="1"/>
  <c r="B2412" i="1"/>
  <c r="A2412" i="1"/>
  <c r="E2412" i="1"/>
  <c r="B2413" i="1"/>
  <c r="A2413" i="1"/>
  <c r="E2413" i="1"/>
  <c r="B2414" i="1"/>
  <c r="A2414" i="1"/>
  <c r="E2414" i="1"/>
  <c r="B2415" i="1"/>
  <c r="A2415" i="1"/>
  <c r="E2415" i="1"/>
  <c r="B2416" i="1"/>
  <c r="A2416" i="1"/>
  <c r="E2416" i="1"/>
  <c r="B2417" i="1"/>
  <c r="A2417" i="1"/>
  <c r="E2417" i="1"/>
  <c r="B2418" i="1"/>
  <c r="A2418" i="1"/>
  <c r="E2418" i="1"/>
  <c r="B2419" i="1"/>
  <c r="A2419" i="1"/>
  <c r="E2419" i="1"/>
  <c r="B2420" i="1"/>
  <c r="A2420" i="1"/>
  <c r="E2420" i="1"/>
  <c r="B2421" i="1"/>
  <c r="A2421" i="1"/>
  <c r="E2421" i="1"/>
  <c r="B2422" i="1"/>
  <c r="A2422" i="1"/>
  <c r="E2422" i="1"/>
  <c r="B2423" i="1"/>
  <c r="A2423" i="1"/>
  <c r="E2423" i="1"/>
  <c r="B2424" i="1"/>
  <c r="A2424" i="1"/>
  <c r="E2424" i="1"/>
  <c r="B2425" i="1"/>
  <c r="A2425" i="1"/>
  <c r="E2425" i="1"/>
  <c r="B2426" i="1"/>
  <c r="A2426" i="1"/>
  <c r="E2426" i="1"/>
  <c r="B2427" i="1"/>
  <c r="A2427" i="1"/>
  <c r="E2427" i="1"/>
  <c r="B2428" i="1"/>
  <c r="A2428" i="1"/>
  <c r="E2428" i="1"/>
  <c r="B2429" i="1"/>
  <c r="A2429" i="1"/>
  <c r="E2429" i="1"/>
  <c r="B2430" i="1"/>
  <c r="A2430" i="1"/>
  <c r="E2430" i="1"/>
  <c r="B2431" i="1"/>
  <c r="A2431" i="1"/>
  <c r="E2431" i="1"/>
  <c r="B2432" i="1"/>
  <c r="A2432" i="1"/>
  <c r="E2432" i="1"/>
  <c r="B2433" i="1"/>
  <c r="A2433" i="1"/>
  <c r="E2433" i="1"/>
  <c r="B2434" i="1"/>
  <c r="A2434" i="1"/>
  <c r="E2434" i="1"/>
  <c r="B2435" i="1"/>
  <c r="A2435" i="1"/>
  <c r="E2435" i="1"/>
  <c r="B2436" i="1"/>
  <c r="A2436" i="1"/>
  <c r="E2436" i="1"/>
  <c r="B2437" i="1"/>
  <c r="A2437" i="1"/>
  <c r="E2437" i="1"/>
  <c r="G2437" i="1"/>
  <c r="B2438" i="1"/>
  <c r="A2438" i="1"/>
  <c r="E2438" i="1"/>
  <c r="B2439" i="1"/>
  <c r="A2439" i="1"/>
  <c r="E2439" i="1"/>
  <c r="B2440" i="1"/>
  <c r="A2440" i="1"/>
  <c r="E2440" i="1"/>
  <c r="A2441" i="1"/>
  <c r="E2441" i="1"/>
  <c r="G2441" i="1"/>
  <c r="A2442" i="1"/>
  <c r="E2442" i="1"/>
  <c r="G2442" i="1"/>
  <c r="B2443" i="1"/>
  <c r="A2443" i="1"/>
  <c r="E2443" i="1"/>
  <c r="B2444" i="1"/>
  <c r="A2444" i="1"/>
  <c r="E2444" i="1"/>
  <c r="B2445" i="1"/>
  <c r="A2445" i="1"/>
  <c r="E2445" i="1"/>
  <c r="B2446" i="1"/>
  <c r="A2446" i="1"/>
  <c r="E2446" i="1"/>
  <c r="B2447" i="1"/>
  <c r="A2447" i="1"/>
  <c r="E2447" i="1"/>
  <c r="B2448" i="1"/>
  <c r="A2448" i="1"/>
  <c r="E2448" i="1"/>
  <c r="B2449" i="1"/>
  <c r="A2449" i="1"/>
  <c r="E2449" i="1"/>
  <c r="B2450" i="1"/>
  <c r="A2450" i="1"/>
  <c r="E2450" i="1"/>
  <c r="B2451" i="1"/>
  <c r="A2451" i="1"/>
  <c r="E2451" i="1"/>
  <c r="B2452" i="1"/>
  <c r="A2452" i="1"/>
  <c r="E2452" i="1"/>
  <c r="B2453" i="1"/>
  <c r="A2453" i="1"/>
  <c r="E2453" i="1"/>
  <c r="B2454" i="1"/>
  <c r="A2454" i="1"/>
  <c r="E2454" i="1"/>
  <c r="B2455" i="1"/>
  <c r="A2455" i="1"/>
  <c r="E2455" i="1"/>
  <c r="B2456" i="1"/>
  <c r="A2456" i="1"/>
  <c r="E2456" i="1"/>
  <c r="B2457" i="1"/>
  <c r="A2457" i="1"/>
  <c r="E2457" i="1"/>
  <c r="B2458" i="1"/>
  <c r="A2458" i="1"/>
  <c r="E2458" i="1"/>
  <c r="B2459" i="1"/>
  <c r="A2459" i="1"/>
  <c r="E2459" i="1"/>
  <c r="B2460" i="1"/>
  <c r="A2460" i="1"/>
  <c r="E2460" i="1"/>
  <c r="B2461" i="1"/>
  <c r="A2461" i="1"/>
  <c r="E2461" i="1"/>
  <c r="B2462" i="1"/>
  <c r="A2462" i="1"/>
  <c r="E2462" i="1"/>
  <c r="B2463" i="1"/>
  <c r="A2463" i="1"/>
  <c r="E2463" i="1"/>
  <c r="B2464" i="1"/>
  <c r="A2464" i="1"/>
  <c r="E2464" i="1"/>
  <c r="B2465" i="1"/>
  <c r="A2465" i="1"/>
  <c r="E2465" i="1"/>
  <c r="B2466" i="1"/>
  <c r="A2466" i="1"/>
  <c r="E2466" i="1"/>
  <c r="B2467" i="1"/>
  <c r="A2467" i="1"/>
  <c r="E2467" i="1"/>
  <c r="B2468" i="1"/>
  <c r="A2468" i="1"/>
  <c r="E2468" i="1"/>
  <c r="B2469" i="1"/>
  <c r="A2469" i="1"/>
  <c r="E2469" i="1"/>
  <c r="B2470" i="1"/>
  <c r="A2470" i="1"/>
  <c r="E2470" i="1"/>
  <c r="B2471" i="1"/>
  <c r="A2471" i="1"/>
  <c r="E2471" i="1"/>
  <c r="B2472" i="1"/>
  <c r="A2472" i="1"/>
  <c r="E2472" i="1"/>
  <c r="B2473" i="1"/>
  <c r="A2473" i="1"/>
  <c r="E2473" i="1"/>
  <c r="B2474" i="1"/>
  <c r="A2474" i="1"/>
  <c r="E2474" i="1"/>
  <c r="B2475" i="1"/>
  <c r="A2475" i="1"/>
  <c r="E2475" i="1"/>
  <c r="B2476" i="1"/>
  <c r="A2476" i="1"/>
  <c r="E2476" i="1"/>
  <c r="B2477" i="1"/>
  <c r="A2477" i="1"/>
  <c r="E2477" i="1"/>
  <c r="B2478" i="1"/>
  <c r="A2478" i="1"/>
  <c r="E2478" i="1"/>
  <c r="B2479" i="1"/>
  <c r="A2479" i="1"/>
  <c r="E2479" i="1"/>
  <c r="B2480" i="1"/>
  <c r="A2480" i="1"/>
  <c r="E2480" i="1"/>
  <c r="B2481" i="1"/>
  <c r="A2481" i="1"/>
  <c r="E2481" i="1"/>
  <c r="B2482" i="1"/>
  <c r="A2482" i="1"/>
  <c r="E2482" i="1"/>
  <c r="B2483" i="1"/>
  <c r="A2483" i="1"/>
  <c r="E2483" i="1"/>
  <c r="B2484" i="1"/>
  <c r="A2484" i="1"/>
  <c r="E2484" i="1"/>
  <c r="B2485" i="1"/>
  <c r="A2485" i="1"/>
  <c r="E2485" i="1"/>
  <c r="B2486" i="1"/>
  <c r="A2486" i="1"/>
  <c r="E2486" i="1"/>
  <c r="B2487" i="1"/>
  <c r="A2487" i="1"/>
  <c r="E2487" i="1"/>
  <c r="B2488" i="1"/>
  <c r="A2488" i="1"/>
  <c r="E2488" i="1"/>
  <c r="B2489" i="1"/>
  <c r="A2489" i="1"/>
  <c r="E2489" i="1"/>
  <c r="B2490" i="1"/>
  <c r="A2490" i="1"/>
  <c r="E2490" i="1"/>
  <c r="B2491" i="1"/>
  <c r="A2491" i="1"/>
  <c r="E2491" i="1"/>
  <c r="B2492" i="1"/>
  <c r="A2492" i="1"/>
  <c r="E2492" i="1"/>
  <c r="B2493" i="1"/>
  <c r="A2493" i="1"/>
  <c r="E2493" i="1"/>
  <c r="B2494" i="1"/>
  <c r="A2494" i="1"/>
  <c r="E2494" i="1"/>
  <c r="B2495" i="1"/>
  <c r="A2495" i="1"/>
  <c r="E2495" i="1"/>
  <c r="B2496" i="1"/>
  <c r="A2496" i="1"/>
  <c r="E2496" i="1"/>
  <c r="B2497" i="1"/>
  <c r="A2497" i="1"/>
  <c r="E2497" i="1"/>
  <c r="B2498" i="1"/>
  <c r="A2498" i="1"/>
  <c r="E2498" i="1"/>
  <c r="B2499" i="1"/>
  <c r="A2499" i="1"/>
  <c r="E2499" i="1"/>
  <c r="B2500" i="1"/>
  <c r="A2500" i="1"/>
  <c r="E2500" i="1"/>
  <c r="B2501" i="1"/>
  <c r="A2501" i="1"/>
  <c r="E2501" i="1"/>
  <c r="B2502" i="1"/>
  <c r="A2502" i="1"/>
  <c r="E2502" i="1"/>
  <c r="B2503" i="1"/>
  <c r="A2503" i="1"/>
  <c r="E2503" i="1"/>
  <c r="B2504" i="1"/>
  <c r="A2504" i="1"/>
  <c r="E2504" i="1"/>
  <c r="B2505" i="1"/>
  <c r="A2505" i="1"/>
  <c r="E2505" i="1"/>
  <c r="B2506" i="1"/>
  <c r="A2506" i="1"/>
  <c r="E2506" i="1"/>
  <c r="B2507" i="1"/>
  <c r="A2507" i="1"/>
  <c r="E2507" i="1"/>
  <c r="B2508" i="1"/>
  <c r="A2508" i="1"/>
  <c r="E2508" i="1"/>
  <c r="B2509" i="1"/>
  <c r="A2509" i="1"/>
  <c r="E2509" i="1"/>
  <c r="B2510" i="1"/>
  <c r="A2510" i="1"/>
  <c r="E2510" i="1"/>
  <c r="B2511" i="1"/>
  <c r="A2511" i="1"/>
  <c r="E2511" i="1"/>
  <c r="B2512" i="1"/>
  <c r="A2512" i="1"/>
  <c r="E2512" i="1"/>
  <c r="B2513" i="1"/>
  <c r="A2513" i="1"/>
  <c r="E2513" i="1"/>
  <c r="B2514" i="1"/>
  <c r="A2514" i="1"/>
  <c r="E2514" i="1"/>
  <c r="B2515" i="1"/>
  <c r="A2515" i="1"/>
  <c r="E2515" i="1"/>
  <c r="B2516" i="1"/>
  <c r="A2516" i="1"/>
  <c r="E2516" i="1"/>
  <c r="B2517" i="1"/>
  <c r="A2517" i="1"/>
  <c r="E2517" i="1"/>
  <c r="B2518" i="1"/>
  <c r="A2518" i="1"/>
  <c r="E2518" i="1"/>
  <c r="B2519" i="1"/>
  <c r="A2519" i="1"/>
  <c r="E2519" i="1"/>
  <c r="B2520" i="1"/>
  <c r="A2520" i="1"/>
  <c r="E2520" i="1"/>
  <c r="B2521" i="1"/>
  <c r="A2521" i="1"/>
  <c r="E2521" i="1"/>
  <c r="B2522" i="1"/>
  <c r="A2522" i="1"/>
  <c r="E2522" i="1"/>
  <c r="B2523" i="1"/>
  <c r="A2523" i="1"/>
  <c r="E2523" i="1"/>
  <c r="B2524" i="1"/>
  <c r="A2524" i="1"/>
  <c r="E2524" i="1"/>
  <c r="B2525" i="1"/>
  <c r="A2525" i="1"/>
  <c r="E2525" i="1"/>
  <c r="B2526" i="1"/>
  <c r="A2526" i="1"/>
  <c r="E2526" i="1"/>
  <c r="B2527" i="1"/>
  <c r="A2527" i="1"/>
  <c r="E2527" i="1"/>
  <c r="B2528" i="1"/>
  <c r="A2528" i="1"/>
  <c r="E2528" i="1"/>
  <c r="B2529" i="1"/>
  <c r="A2529" i="1"/>
  <c r="E2529" i="1"/>
  <c r="B2530" i="1"/>
  <c r="A2530" i="1"/>
  <c r="E2530" i="1"/>
  <c r="B2531" i="1"/>
  <c r="A2531" i="1"/>
  <c r="E2531" i="1"/>
  <c r="B2532" i="1"/>
  <c r="A2532" i="1"/>
  <c r="E2532" i="1"/>
  <c r="B2533" i="1"/>
  <c r="A2533" i="1"/>
  <c r="E2533" i="1"/>
  <c r="B2534" i="1"/>
  <c r="A2534" i="1"/>
  <c r="E2534" i="1"/>
  <c r="B2535" i="1"/>
  <c r="A2535" i="1"/>
  <c r="E2535" i="1"/>
  <c r="B2536" i="1"/>
  <c r="A2536" i="1"/>
  <c r="E2536" i="1"/>
  <c r="B2537" i="1"/>
  <c r="A2537" i="1"/>
  <c r="E2537" i="1"/>
  <c r="B2538" i="1"/>
  <c r="A2538" i="1"/>
  <c r="E2538" i="1"/>
  <c r="B2539" i="1"/>
  <c r="A2539" i="1"/>
  <c r="E2539" i="1"/>
  <c r="B2540" i="1"/>
  <c r="A2540" i="1"/>
  <c r="E2540" i="1"/>
  <c r="B2541" i="1"/>
  <c r="A2541" i="1"/>
  <c r="E2541" i="1"/>
  <c r="B2542" i="1"/>
  <c r="A2542" i="1"/>
  <c r="E2542" i="1"/>
  <c r="B2543" i="1"/>
  <c r="A2543" i="1"/>
  <c r="E2543" i="1"/>
  <c r="B2544" i="1"/>
  <c r="A2544" i="1"/>
  <c r="E2544" i="1"/>
  <c r="B2545" i="1"/>
  <c r="A2545" i="1"/>
  <c r="E2545" i="1"/>
  <c r="B2546" i="1"/>
  <c r="A2546" i="1"/>
  <c r="E2546" i="1"/>
  <c r="B2547" i="1"/>
  <c r="A2547" i="1"/>
  <c r="E2547" i="1"/>
  <c r="B2548" i="1"/>
  <c r="A2548" i="1"/>
  <c r="E2548" i="1"/>
  <c r="B2549" i="1"/>
  <c r="A2549" i="1"/>
  <c r="E2549" i="1"/>
  <c r="B2550" i="1"/>
  <c r="A2550" i="1"/>
  <c r="E2550" i="1"/>
  <c r="B2551" i="1"/>
  <c r="A2551" i="1"/>
  <c r="E2551" i="1"/>
  <c r="B2552" i="1"/>
  <c r="A2552" i="1"/>
  <c r="E2552" i="1"/>
  <c r="B2553" i="1"/>
  <c r="A2553" i="1"/>
  <c r="E2553" i="1"/>
  <c r="B2554" i="1"/>
  <c r="A2554" i="1"/>
  <c r="E2554" i="1"/>
  <c r="B2555" i="1"/>
  <c r="A2555" i="1"/>
  <c r="E2555" i="1"/>
  <c r="B2556" i="1"/>
  <c r="A2556" i="1"/>
  <c r="E2556" i="1"/>
  <c r="B2557" i="1"/>
  <c r="A2557" i="1"/>
  <c r="E2557" i="1"/>
  <c r="B2558" i="1"/>
  <c r="A2558" i="1"/>
  <c r="E2558" i="1"/>
  <c r="B2559" i="1"/>
  <c r="A2559" i="1"/>
  <c r="E2559" i="1"/>
  <c r="B2560" i="1"/>
  <c r="A2560" i="1"/>
  <c r="E2560" i="1"/>
  <c r="B2561" i="1"/>
  <c r="A2561" i="1"/>
  <c r="E2561" i="1"/>
  <c r="B2562" i="1"/>
  <c r="A2562" i="1"/>
  <c r="E2562" i="1"/>
  <c r="B2563" i="1"/>
  <c r="A2563" i="1"/>
  <c r="E2563" i="1"/>
  <c r="B2564" i="1"/>
  <c r="A2564" i="1"/>
  <c r="E2564" i="1"/>
  <c r="B2565" i="1"/>
  <c r="A2565" i="1"/>
  <c r="E2565" i="1"/>
  <c r="B2566" i="1"/>
  <c r="A2566" i="1"/>
  <c r="E2566" i="1"/>
  <c r="B2567" i="1"/>
  <c r="A2567" i="1"/>
  <c r="E2567" i="1"/>
  <c r="B2568" i="1"/>
  <c r="A2568" i="1"/>
  <c r="E2568" i="1"/>
  <c r="B2569" i="1"/>
  <c r="A2569" i="1"/>
  <c r="E2569" i="1"/>
  <c r="B2570" i="1"/>
  <c r="A2570" i="1"/>
  <c r="E2570" i="1"/>
  <c r="B2571" i="1"/>
  <c r="A2571" i="1"/>
  <c r="E2571" i="1"/>
  <c r="B2572" i="1"/>
  <c r="A2572" i="1"/>
  <c r="E2572" i="1"/>
  <c r="B2573" i="1"/>
  <c r="A2573" i="1"/>
  <c r="E2573" i="1"/>
  <c r="F2573" i="1"/>
  <c r="G2573" i="1"/>
  <c r="B2574" i="1"/>
  <c r="A2574" i="1"/>
  <c r="E2574" i="1"/>
  <c r="F2574" i="1"/>
  <c r="G2574" i="1"/>
  <c r="B2575" i="1"/>
  <c r="A2575" i="1"/>
  <c r="E2575" i="1"/>
  <c r="F2575" i="1"/>
  <c r="B2576" i="1"/>
  <c r="A2576" i="1"/>
  <c r="E2576" i="1"/>
  <c r="F2576" i="1"/>
  <c r="B2577" i="1"/>
  <c r="A2577" i="1"/>
  <c r="E2577" i="1"/>
  <c r="F2577" i="1"/>
  <c r="B2578" i="1"/>
  <c r="A2578" i="1"/>
  <c r="E2578" i="1"/>
  <c r="F2578" i="1"/>
  <c r="B2579" i="1"/>
  <c r="A2579" i="1"/>
  <c r="E2579" i="1"/>
  <c r="F2579" i="1"/>
  <c r="B2580" i="1"/>
  <c r="A2580" i="1"/>
  <c r="E2580" i="1"/>
  <c r="F2580" i="1"/>
  <c r="B2581" i="1"/>
  <c r="A2581" i="1"/>
  <c r="E2581" i="1"/>
  <c r="F2581" i="1"/>
  <c r="B2582" i="1"/>
  <c r="A2582" i="1"/>
  <c r="E2582" i="1"/>
  <c r="F2582" i="1"/>
  <c r="G2582" i="1"/>
  <c r="B2583" i="1"/>
  <c r="A2583" i="1"/>
  <c r="E2583" i="1"/>
  <c r="F2583" i="1"/>
  <c r="B2584" i="1"/>
  <c r="A2584" i="1"/>
  <c r="E2584" i="1"/>
  <c r="F2584" i="1"/>
  <c r="B2585" i="1"/>
  <c r="A2585" i="1"/>
  <c r="E2585" i="1"/>
  <c r="F2585" i="1"/>
  <c r="B2586" i="1"/>
  <c r="A2586" i="1"/>
  <c r="E2586" i="1"/>
  <c r="F2586" i="1"/>
  <c r="B2587" i="1"/>
  <c r="A2587" i="1"/>
  <c r="E2587" i="1"/>
  <c r="F2587" i="1"/>
  <c r="B2588" i="1"/>
  <c r="A2588" i="1"/>
  <c r="E2588" i="1"/>
  <c r="F2588" i="1"/>
  <c r="B2589" i="1"/>
  <c r="A2589" i="1"/>
  <c r="E2589" i="1"/>
  <c r="F2589" i="1"/>
  <c r="B2590" i="1"/>
  <c r="A2590" i="1"/>
  <c r="E2590" i="1"/>
  <c r="F2590" i="1"/>
  <c r="B2591" i="1"/>
  <c r="A2591" i="1"/>
  <c r="E2591" i="1"/>
  <c r="F2591" i="1"/>
  <c r="B2592" i="1"/>
  <c r="A2592" i="1"/>
  <c r="E2592" i="1"/>
  <c r="F2592" i="1"/>
  <c r="B2593" i="1"/>
  <c r="A2593" i="1"/>
  <c r="E2593" i="1"/>
  <c r="F2593" i="1"/>
  <c r="B2594" i="1"/>
  <c r="A2594" i="1"/>
  <c r="E2594" i="1"/>
  <c r="F2594" i="1"/>
  <c r="B2595" i="1"/>
  <c r="A2595" i="1"/>
  <c r="E2595" i="1"/>
  <c r="F2595" i="1"/>
  <c r="B2596" i="1"/>
  <c r="A2596" i="1"/>
  <c r="E2596" i="1"/>
  <c r="F2596" i="1"/>
  <c r="B2597" i="1"/>
  <c r="A2597" i="1"/>
  <c r="E2597" i="1"/>
  <c r="F2597" i="1"/>
  <c r="B2598" i="1"/>
  <c r="A2598" i="1"/>
  <c r="E2598" i="1"/>
  <c r="F2598" i="1"/>
  <c r="B2599" i="1"/>
  <c r="A2599" i="1"/>
  <c r="E2599" i="1"/>
  <c r="F2599" i="1"/>
  <c r="B2600" i="1"/>
  <c r="A2600" i="1"/>
  <c r="E2600" i="1"/>
  <c r="F2600" i="1"/>
  <c r="B2601" i="1"/>
  <c r="A2601" i="1"/>
  <c r="E2601" i="1"/>
  <c r="F2601" i="1"/>
  <c r="B2602" i="1"/>
  <c r="A2602" i="1"/>
  <c r="E2602" i="1"/>
  <c r="F2602" i="1"/>
  <c r="B2603" i="1"/>
  <c r="A2603" i="1"/>
  <c r="E2603" i="1"/>
  <c r="F2603" i="1"/>
  <c r="B2604" i="1"/>
  <c r="A2604" i="1"/>
  <c r="E2604" i="1"/>
  <c r="F2604" i="1"/>
  <c r="B2605" i="1"/>
  <c r="A2605" i="1"/>
  <c r="E2605" i="1"/>
  <c r="F2605" i="1"/>
  <c r="B2606" i="1"/>
  <c r="A2606" i="1"/>
  <c r="E2606" i="1"/>
  <c r="F2606" i="1"/>
  <c r="B2607" i="1"/>
  <c r="A2607" i="1"/>
  <c r="E2607" i="1"/>
  <c r="F2607" i="1"/>
  <c r="B2608" i="1"/>
  <c r="A2608" i="1"/>
  <c r="E2608" i="1"/>
  <c r="F2608" i="1"/>
  <c r="B2609" i="1"/>
  <c r="A2609" i="1"/>
  <c r="E2609" i="1"/>
  <c r="F2609" i="1"/>
  <c r="B2610" i="1"/>
  <c r="A2610" i="1"/>
  <c r="E2610" i="1"/>
  <c r="F2610" i="1"/>
  <c r="B2611" i="1"/>
  <c r="A2611" i="1"/>
  <c r="E2611" i="1"/>
  <c r="F2611" i="1"/>
  <c r="B2612" i="1"/>
  <c r="A2612" i="1"/>
  <c r="E2612" i="1"/>
  <c r="F2612" i="1"/>
  <c r="B2613" i="1"/>
  <c r="A2613" i="1"/>
  <c r="E2613" i="1"/>
  <c r="F2613" i="1"/>
  <c r="B2614" i="1"/>
  <c r="A2614" i="1"/>
  <c r="E2614" i="1"/>
  <c r="F2614" i="1"/>
  <c r="B2615" i="1"/>
  <c r="A2615" i="1"/>
  <c r="E2615" i="1"/>
  <c r="F2615" i="1"/>
  <c r="B2616" i="1"/>
  <c r="A2616" i="1"/>
  <c r="E2616" i="1"/>
  <c r="F2616" i="1"/>
  <c r="B2617" i="1"/>
  <c r="A2617" i="1"/>
  <c r="E2617" i="1"/>
  <c r="F2617" i="1"/>
  <c r="B2618" i="1"/>
  <c r="A2618" i="1"/>
  <c r="E2618" i="1"/>
  <c r="F2618" i="1"/>
  <c r="B2619" i="1"/>
  <c r="A2619" i="1"/>
  <c r="E2619" i="1"/>
  <c r="F2619" i="1"/>
  <c r="B2620" i="1"/>
  <c r="A2620" i="1"/>
  <c r="E2620" i="1"/>
  <c r="F2620" i="1"/>
  <c r="B2621" i="1"/>
  <c r="A2621" i="1"/>
  <c r="E2621" i="1"/>
  <c r="F2621" i="1"/>
  <c r="B2622" i="1"/>
  <c r="A2622" i="1"/>
  <c r="E2622" i="1"/>
  <c r="F2622" i="1"/>
  <c r="B2623" i="1"/>
  <c r="A2623" i="1"/>
  <c r="E2623" i="1"/>
  <c r="F2623" i="1"/>
  <c r="B2624" i="1"/>
  <c r="A2624" i="1"/>
  <c r="E2624" i="1"/>
  <c r="F2624" i="1"/>
  <c r="B2625" i="1"/>
  <c r="A2625" i="1"/>
  <c r="E2625" i="1"/>
  <c r="F2625" i="1"/>
  <c r="B2626" i="1"/>
  <c r="A2626" i="1"/>
  <c r="E2626" i="1"/>
  <c r="F2626" i="1"/>
  <c r="B2627" i="1"/>
  <c r="A2627" i="1"/>
  <c r="E2627" i="1"/>
  <c r="F2627" i="1"/>
  <c r="B2628" i="1"/>
  <c r="A2628" i="1"/>
  <c r="E2628" i="1"/>
  <c r="F2628" i="1"/>
  <c r="B2629" i="1"/>
  <c r="A2629" i="1"/>
  <c r="E2629" i="1"/>
  <c r="F2629" i="1"/>
  <c r="B2630" i="1"/>
  <c r="A2630" i="1"/>
  <c r="E2630" i="1"/>
  <c r="F2630" i="1"/>
  <c r="B2631" i="1"/>
  <c r="A2631" i="1"/>
  <c r="E2631" i="1"/>
  <c r="F2631" i="1"/>
  <c r="B2632" i="1"/>
  <c r="A2632" i="1"/>
  <c r="E2632" i="1"/>
  <c r="F2632" i="1"/>
  <c r="B2633" i="1"/>
  <c r="A2633" i="1"/>
  <c r="E2633" i="1"/>
  <c r="F2633" i="1"/>
  <c r="B2634" i="1"/>
  <c r="A2634" i="1"/>
  <c r="E2634" i="1"/>
  <c r="F2634" i="1"/>
  <c r="G2634" i="1"/>
  <c r="B2635" i="1"/>
  <c r="A2635" i="1"/>
  <c r="E2635" i="1"/>
  <c r="F2635" i="1"/>
  <c r="B2636" i="1"/>
  <c r="A2636" i="1"/>
  <c r="E2636" i="1"/>
  <c r="F2636" i="1"/>
  <c r="B2637" i="1"/>
  <c r="A2637" i="1"/>
  <c r="E2637" i="1"/>
  <c r="F2637" i="1"/>
  <c r="B2638" i="1"/>
  <c r="A2638" i="1"/>
  <c r="E2638" i="1"/>
  <c r="F2638" i="1"/>
  <c r="B2639" i="1"/>
  <c r="A2639" i="1"/>
  <c r="E2639" i="1"/>
  <c r="F2639" i="1"/>
  <c r="B2640" i="1"/>
  <c r="A2640" i="1"/>
  <c r="E2640" i="1"/>
  <c r="F2640" i="1"/>
  <c r="B2641" i="1"/>
  <c r="A2641" i="1"/>
  <c r="E2641" i="1"/>
  <c r="F2641" i="1"/>
  <c r="B2642" i="1"/>
  <c r="A2642" i="1"/>
  <c r="E2642" i="1"/>
  <c r="F2642" i="1"/>
  <c r="B2643" i="1"/>
  <c r="A2643" i="1"/>
  <c r="E2643" i="1"/>
  <c r="F2643" i="1"/>
  <c r="B2644" i="1"/>
  <c r="A2644" i="1"/>
  <c r="E2644" i="1"/>
  <c r="F2644" i="1"/>
  <c r="B2645" i="1"/>
  <c r="A2645" i="1"/>
  <c r="E2645" i="1"/>
  <c r="F2645" i="1"/>
  <c r="B2646" i="1"/>
  <c r="A2646" i="1"/>
  <c r="E2646" i="1"/>
  <c r="F2646" i="1"/>
  <c r="B2647" i="1"/>
  <c r="A2647" i="1"/>
  <c r="E2647" i="1"/>
  <c r="F2647" i="1"/>
  <c r="B2648" i="1"/>
  <c r="A2648" i="1"/>
  <c r="E2648" i="1"/>
  <c r="F2648" i="1"/>
  <c r="B2649" i="1"/>
  <c r="A2649" i="1"/>
  <c r="E2649" i="1"/>
  <c r="F2649" i="1"/>
  <c r="B2650" i="1"/>
  <c r="A2650" i="1"/>
  <c r="E2650" i="1"/>
  <c r="F2650" i="1"/>
  <c r="B2651" i="1"/>
  <c r="A2651" i="1"/>
  <c r="E2651" i="1"/>
  <c r="F2651" i="1"/>
  <c r="B2652" i="1"/>
  <c r="A2652" i="1"/>
  <c r="E2652" i="1"/>
  <c r="F2652" i="1"/>
  <c r="B2653" i="1"/>
  <c r="A2653" i="1"/>
  <c r="E2653" i="1"/>
  <c r="F2653" i="1"/>
  <c r="B2654" i="1"/>
  <c r="A2654" i="1"/>
  <c r="E2654" i="1"/>
  <c r="F2654" i="1"/>
  <c r="B2655" i="1"/>
  <c r="A2655" i="1"/>
  <c r="E2655" i="1"/>
  <c r="F2655" i="1"/>
  <c r="B2656" i="1"/>
  <c r="A2656" i="1"/>
  <c r="E2656" i="1"/>
  <c r="F2656" i="1"/>
  <c r="B2657" i="1"/>
  <c r="A2657" i="1"/>
  <c r="E2657" i="1"/>
  <c r="F2657" i="1"/>
  <c r="B2658" i="1"/>
  <c r="A2658" i="1"/>
  <c r="E2658" i="1"/>
  <c r="F2658" i="1"/>
  <c r="B2659" i="1"/>
  <c r="A2659" i="1"/>
  <c r="E2659" i="1"/>
  <c r="F2659" i="1"/>
  <c r="B2660" i="1"/>
  <c r="A2660" i="1"/>
  <c r="E2660" i="1"/>
  <c r="F2660" i="1"/>
  <c r="B2661" i="1"/>
  <c r="A2661" i="1"/>
  <c r="E2661" i="1"/>
  <c r="F2661" i="1"/>
  <c r="B2662" i="1"/>
  <c r="A2662" i="1"/>
  <c r="E2662" i="1"/>
  <c r="F2662" i="1"/>
  <c r="B2663" i="1"/>
  <c r="A2663" i="1"/>
  <c r="E2663" i="1"/>
  <c r="F2663" i="1"/>
  <c r="B2664" i="1"/>
  <c r="A2664" i="1"/>
  <c r="E2664" i="1"/>
  <c r="F2664" i="1"/>
  <c r="B2665" i="1"/>
  <c r="A2665" i="1"/>
  <c r="E2665" i="1"/>
  <c r="F2665" i="1"/>
  <c r="G2665" i="1"/>
  <c r="B2666" i="1"/>
  <c r="A2666" i="1"/>
  <c r="E2666" i="1"/>
  <c r="F2666" i="1"/>
  <c r="B2667" i="1"/>
  <c r="A2667" i="1"/>
  <c r="E2667" i="1"/>
  <c r="F2667" i="1"/>
  <c r="B2668" i="1"/>
  <c r="A2668" i="1"/>
  <c r="E2668" i="1"/>
  <c r="F2668" i="1"/>
  <c r="B2669" i="1"/>
  <c r="A2669" i="1"/>
  <c r="E2669" i="1"/>
  <c r="F2669" i="1"/>
  <c r="G2669" i="1"/>
  <c r="B2670" i="1"/>
  <c r="A2670" i="1"/>
  <c r="E2670" i="1"/>
  <c r="F2670" i="1"/>
  <c r="B2671" i="1"/>
  <c r="A2671" i="1"/>
  <c r="E2671" i="1"/>
  <c r="F2671" i="1"/>
  <c r="B2672" i="1"/>
  <c r="A2672" i="1"/>
  <c r="E2672" i="1"/>
  <c r="F2672" i="1"/>
  <c r="B2673" i="1"/>
  <c r="A2673" i="1"/>
  <c r="E2673" i="1"/>
  <c r="F2673" i="1"/>
  <c r="B2674" i="1"/>
  <c r="A2674" i="1"/>
  <c r="E2674" i="1"/>
  <c r="F2674" i="1"/>
  <c r="B2675" i="1"/>
  <c r="A2675" i="1"/>
  <c r="E2675" i="1"/>
  <c r="F2675" i="1"/>
  <c r="B2676" i="1"/>
  <c r="A2676" i="1"/>
  <c r="E2676" i="1"/>
  <c r="F2676" i="1"/>
  <c r="B2677" i="1"/>
  <c r="A2677" i="1"/>
  <c r="E2677" i="1"/>
  <c r="F2677" i="1"/>
  <c r="B2678" i="1"/>
  <c r="A2678" i="1"/>
  <c r="E2678" i="1"/>
  <c r="F2678" i="1"/>
  <c r="B2679" i="1"/>
  <c r="A2679" i="1"/>
  <c r="E2679" i="1"/>
  <c r="F2679" i="1"/>
  <c r="B2680" i="1"/>
  <c r="A2680" i="1"/>
  <c r="E2680" i="1"/>
  <c r="F2680" i="1"/>
  <c r="B2681" i="1"/>
  <c r="A2681" i="1"/>
  <c r="E2681" i="1"/>
  <c r="F2681" i="1"/>
  <c r="B2682" i="1"/>
  <c r="A2682" i="1"/>
  <c r="E2682" i="1"/>
  <c r="F2682" i="1"/>
  <c r="B2683" i="1"/>
  <c r="A2683" i="1"/>
  <c r="E2683" i="1"/>
  <c r="F2683" i="1"/>
  <c r="B2684" i="1"/>
  <c r="A2684" i="1"/>
  <c r="E2684" i="1"/>
  <c r="F2684" i="1"/>
  <c r="B2685" i="1"/>
  <c r="A2685" i="1"/>
  <c r="E2685" i="1"/>
  <c r="F2685" i="1"/>
  <c r="B2686" i="1"/>
  <c r="A2686" i="1"/>
  <c r="E2686" i="1"/>
  <c r="F2686" i="1"/>
  <c r="B2687" i="1"/>
  <c r="A2687" i="1"/>
  <c r="E2687" i="1"/>
  <c r="F2687" i="1"/>
  <c r="B2688" i="1"/>
  <c r="A2688" i="1"/>
  <c r="E2688" i="1"/>
  <c r="F2688" i="1"/>
  <c r="G2688" i="1"/>
  <c r="B2689" i="1"/>
  <c r="A2689" i="1"/>
  <c r="E2689" i="1"/>
  <c r="F2689" i="1"/>
  <c r="B2690" i="1"/>
  <c r="A2690" i="1"/>
  <c r="E2690" i="1"/>
  <c r="F2690" i="1"/>
  <c r="B2691" i="1"/>
  <c r="A2691" i="1"/>
  <c r="E2691" i="1"/>
  <c r="F2691" i="1"/>
  <c r="B2692" i="1"/>
  <c r="A2692" i="1"/>
  <c r="E2692" i="1"/>
  <c r="F2692" i="1"/>
  <c r="B2693" i="1"/>
  <c r="A2693" i="1"/>
  <c r="E2693" i="1"/>
  <c r="F2693" i="1"/>
  <c r="B2694" i="1"/>
  <c r="A2694" i="1"/>
  <c r="E2694" i="1"/>
  <c r="F2694" i="1"/>
  <c r="B2695" i="1"/>
  <c r="A2695" i="1"/>
  <c r="E2695" i="1"/>
  <c r="F2695" i="1"/>
  <c r="B2696" i="1"/>
  <c r="A2696" i="1"/>
  <c r="E2696" i="1"/>
  <c r="F2696" i="1"/>
  <c r="B2697" i="1"/>
  <c r="A2697" i="1"/>
  <c r="E2697" i="1"/>
  <c r="F2697" i="1"/>
  <c r="B2698" i="1"/>
  <c r="A2698" i="1"/>
  <c r="E2698" i="1"/>
  <c r="F2698" i="1"/>
  <c r="B2699" i="1"/>
  <c r="A2699" i="1"/>
  <c r="E2699" i="1"/>
  <c r="F2699" i="1"/>
  <c r="B2700" i="1"/>
  <c r="A2700" i="1"/>
  <c r="E2700" i="1"/>
  <c r="F2700" i="1"/>
  <c r="B2701" i="1"/>
  <c r="A2701" i="1"/>
  <c r="E2701" i="1"/>
  <c r="F2701" i="1"/>
  <c r="B2702" i="1"/>
  <c r="A2702" i="1"/>
  <c r="E2702" i="1"/>
  <c r="F2702" i="1"/>
  <c r="B2703" i="1"/>
  <c r="A2703" i="1"/>
  <c r="E2703" i="1"/>
  <c r="F2703" i="1"/>
  <c r="B2704" i="1"/>
  <c r="A2704" i="1"/>
  <c r="E2704" i="1"/>
  <c r="F2704" i="1"/>
  <c r="B2705" i="1"/>
  <c r="A2705" i="1"/>
  <c r="E2705" i="1"/>
  <c r="F2705" i="1"/>
  <c r="G2705" i="1"/>
  <c r="B2706" i="1"/>
  <c r="A2706" i="1"/>
  <c r="E2706" i="1"/>
  <c r="F2706" i="1"/>
  <c r="G2706" i="1"/>
  <c r="B2707" i="1"/>
  <c r="A2707" i="1"/>
  <c r="E2707" i="1"/>
  <c r="F2707" i="1"/>
  <c r="G2707" i="1"/>
  <c r="B2708" i="1"/>
  <c r="A2708" i="1"/>
  <c r="E2708" i="1"/>
  <c r="F2708" i="1"/>
  <c r="B2709" i="1"/>
  <c r="A2709" i="1"/>
  <c r="E2709" i="1"/>
  <c r="F2709" i="1"/>
  <c r="B2710" i="1"/>
  <c r="A2710" i="1"/>
  <c r="E2710" i="1"/>
  <c r="F2710" i="1"/>
  <c r="B2711" i="1"/>
  <c r="A2711" i="1"/>
  <c r="E2711" i="1"/>
  <c r="F2711" i="1"/>
  <c r="B2712" i="1"/>
  <c r="A2712" i="1"/>
  <c r="E2712" i="1"/>
  <c r="F2712" i="1"/>
  <c r="B2713" i="1"/>
  <c r="A2713" i="1"/>
  <c r="E2713" i="1"/>
  <c r="F2713" i="1"/>
  <c r="B2714" i="1"/>
  <c r="A2714" i="1"/>
  <c r="E2714" i="1"/>
  <c r="F2714" i="1"/>
  <c r="G2714" i="1"/>
  <c r="B2715" i="1"/>
  <c r="A2715" i="1"/>
  <c r="E2715" i="1"/>
  <c r="F2715" i="1"/>
  <c r="B2716" i="1"/>
  <c r="A2716" i="1"/>
  <c r="E2716" i="1"/>
  <c r="F2716" i="1"/>
  <c r="B2717" i="1"/>
  <c r="A2717" i="1"/>
  <c r="E2717" i="1"/>
  <c r="F2717" i="1"/>
  <c r="B2718" i="1"/>
  <c r="A2718" i="1"/>
  <c r="E2718" i="1"/>
  <c r="F2718" i="1"/>
  <c r="B2719" i="1"/>
  <c r="A2719" i="1"/>
  <c r="E2719" i="1"/>
  <c r="F2719" i="1"/>
  <c r="B2720" i="1"/>
  <c r="A2720" i="1"/>
  <c r="E2720" i="1"/>
  <c r="F2720" i="1"/>
  <c r="B2721" i="1"/>
  <c r="A2721" i="1"/>
  <c r="E2721" i="1"/>
  <c r="F2721" i="1"/>
  <c r="B2722" i="1"/>
  <c r="A2722" i="1"/>
  <c r="E2722" i="1"/>
  <c r="F2722" i="1"/>
  <c r="G2722" i="1"/>
  <c r="B2723" i="1"/>
  <c r="A2723" i="1"/>
  <c r="E2723" i="1"/>
  <c r="F2723" i="1"/>
  <c r="B2724" i="1"/>
  <c r="A2724" i="1"/>
  <c r="E2724" i="1"/>
  <c r="F2724" i="1"/>
  <c r="B2725" i="1"/>
  <c r="A2725" i="1"/>
  <c r="E2725" i="1"/>
  <c r="F2725" i="1"/>
  <c r="B2726" i="1"/>
  <c r="A2726" i="1"/>
  <c r="E2726" i="1"/>
  <c r="F2726" i="1"/>
  <c r="B2727" i="1"/>
  <c r="A2727" i="1"/>
  <c r="E2727" i="1"/>
  <c r="F2727" i="1"/>
  <c r="B2728" i="1"/>
  <c r="A2728" i="1"/>
  <c r="E2728" i="1"/>
  <c r="F2728" i="1"/>
  <c r="G2728" i="1"/>
  <c r="B2729" i="1"/>
  <c r="A2729" i="1"/>
  <c r="E2729" i="1"/>
  <c r="F2729" i="1"/>
  <c r="G2729" i="1"/>
  <c r="B2730" i="1"/>
  <c r="A2730" i="1"/>
  <c r="E2730" i="1"/>
  <c r="F2730" i="1"/>
  <c r="B2731" i="1"/>
  <c r="A2731" i="1"/>
  <c r="E2731" i="1"/>
  <c r="F2731" i="1"/>
  <c r="B2732" i="1"/>
  <c r="A2732" i="1"/>
  <c r="E2732" i="1"/>
  <c r="B2733" i="1"/>
  <c r="A2733" i="1"/>
  <c r="E2733" i="1"/>
  <c r="B2734" i="1"/>
  <c r="A2734" i="1"/>
  <c r="E2734" i="1"/>
  <c r="G2734" i="1"/>
  <c r="B2735" i="1"/>
  <c r="A2735" i="1"/>
  <c r="E2735" i="1"/>
  <c r="B2736" i="1"/>
  <c r="A2736" i="1"/>
  <c r="E2736" i="1"/>
  <c r="B2737" i="1"/>
  <c r="A2737" i="1"/>
  <c r="E2737" i="1"/>
  <c r="B2738" i="1"/>
  <c r="A2738" i="1"/>
  <c r="E2738" i="1"/>
  <c r="B2739" i="1"/>
  <c r="A2739" i="1"/>
  <c r="E2739" i="1"/>
  <c r="B2740" i="1"/>
  <c r="A2740" i="1"/>
  <c r="E2740" i="1"/>
  <c r="B2741" i="1"/>
  <c r="A2741" i="1"/>
  <c r="E2741" i="1"/>
  <c r="B2742" i="1"/>
  <c r="A2742" i="1"/>
  <c r="E2742" i="1"/>
  <c r="B2743" i="1"/>
  <c r="A2743" i="1"/>
  <c r="E2743" i="1"/>
  <c r="B2744" i="1"/>
  <c r="A2744" i="1"/>
  <c r="E2744" i="1"/>
  <c r="B2745" i="1"/>
  <c r="A2745" i="1"/>
  <c r="E2745" i="1"/>
  <c r="B2746" i="1"/>
  <c r="A2746" i="1"/>
  <c r="E2746" i="1"/>
  <c r="B2747" i="1"/>
  <c r="A2747" i="1"/>
  <c r="E2747" i="1"/>
  <c r="B2748" i="1"/>
  <c r="A2748" i="1"/>
  <c r="E2748" i="1"/>
  <c r="B2749" i="1"/>
  <c r="A2749" i="1"/>
  <c r="E2749" i="1"/>
  <c r="B2750" i="1"/>
  <c r="A2750" i="1"/>
  <c r="E2750" i="1"/>
  <c r="B2751" i="1"/>
  <c r="A2751" i="1"/>
  <c r="E2751" i="1"/>
  <c r="B2752" i="1"/>
  <c r="A2752" i="1"/>
  <c r="E2752" i="1"/>
  <c r="B2753" i="1"/>
  <c r="A2753" i="1"/>
  <c r="E2753" i="1"/>
  <c r="B2754" i="1"/>
  <c r="A2754" i="1"/>
  <c r="E2754" i="1"/>
  <c r="B2755" i="1"/>
  <c r="A2755" i="1"/>
  <c r="E2755" i="1"/>
  <c r="B2756" i="1"/>
  <c r="A2756" i="1"/>
  <c r="E2756" i="1"/>
  <c r="B2757" i="1"/>
  <c r="A2757" i="1"/>
  <c r="E2757" i="1"/>
  <c r="B2758" i="1"/>
  <c r="A2758" i="1"/>
  <c r="E2758" i="1"/>
  <c r="B2759" i="1"/>
  <c r="A2759" i="1"/>
  <c r="E2759" i="1"/>
  <c r="B2760" i="1"/>
  <c r="A2760" i="1"/>
  <c r="E2760" i="1"/>
  <c r="B2761" i="1"/>
  <c r="A2761" i="1"/>
  <c r="E2761" i="1"/>
  <c r="B2762" i="1"/>
  <c r="A2762" i="1"/>
  <c r="E2762" i="1"/>
  <c r="B2763" i="1"/>
  <c r="A2763" i="1"/>
  <c r="E2763" i="1"/>
  <c r="B2764" i="1"/>
  <c r="A2764" i="1"/>
  <c r="E2764" i="1"/>
  <c r="B2765" i="1"/>
  <c r="A2765" i="1"/>
  <c r="E2765" i="1"/>
  <c r="B2766" i="1"/>
  <c r="A2766" i="1"/>
  <c r="E2766" i="1"/>
  <c r="B2767" i="1"/>
  <c r="A2767" i="1"/>
  <c r="E2767" i="1"/>
  <c r="B2768" i="1"/>
  <c r="A2768" i="1"/>
  <c r="E2768" i="1"/>
  <c r="B2769" i="1"/>
  <c r="A2769" i="1"/>
  <c r="E2769" i="1"/>
  <c r="B2770" i="1"/>
  <c r="A2770" i="1"/>
  <c r="E2770" i="1"/>
  <c r="A2771" i="1"/>
  <c r="E2771" i="1"/>
  <c r="A2772" i="1"/>
  <c r="E2772" i="1"/>
  <c r="A2773" i="1"/>
  <c r="E2773" i="1"/>
  <c r="A2774" i="1"/>
  <c r="E2774" i="1"/>
  <c r="A2775" i="1"/>
  <c r="E2775" i="1"/>
  <c r="A2776" i="1"/>
  <c r="E2776" i="1"/>
  <c r="A2777" i="1"/>
  <c r="E2777" i="1"/>
  <c r="A2778" i="1"/>
  <c r="E2778" i="1"/>
  <c r="A2779" i="1"/>
  <c r="E2779" i="1"/>
  <c r="A2780" i="1"/>
  <c r="E2780" i="1"/>
  <c r="A2781" i="1"/>
  <c r="E2781" i="1"/>
  <c r="A2782" i="1"/>
  <c r="E2782" i="1"/>
  <c r="A2783" i="1"/>
  <c r="E2783" i="1"/>
  <c r="A2784" i="1"/>
  <c r="E2784" i="1"/>
  <c r="A2785" i="1"/>
  <c r="E2785" i="1"/>
  <c r="A2786" i="1"/>
  <c r="E2786" i="1"/>
  <c r="A2787" i="1"/>
  <c r="E2787" i="1"/>
  <c r="A2788" i="1"/>
  <c r="E2788" i="1"/>
  <c r="A2789" i="1"/>
  <c r="E2789" i="1"/>
  <c r="A2790" i="1"/>
  <c r="E2790" i="1"/>
  <c r="A2791" i="1"/>
  <c r="E2791" i="1"/>
  <c r="A2792" i="1"/>
  <c r="E2792" i="1"/>
  <c r="A2793" i="1"/>
  <c r="E2793" i="1"/>
  <c r="A2794" i="1"/>
  <c r="E2794" i="1"/>
  <c r="A2795" i="1"/>
  <c r="E2795" i="1"/>
  <c r="A2796" i="1"/>
  <c r="E2796" i="1"/>
  <c r="A2797" i="1"/>
  <c r="E2797" i="1"/>
  <c r="A2798" i="1"/>
  <c r="E2798" i="1"/>
  <c r="A2799" i="1"/>
  <c r="E2799" i="1"/>
  <c r="A2800" i="1"/>
  <c r="E2800" i="1"/>
  <c r="B2801" i="1"/>
  <c r="A2801" i="1"/>
  <c r="E2801" i="1"/>
  <c r="B2802" i="1"/>
  <c r="A2802" i="1"/>
  <c r="E2802" i="1"/>
  <c r="B2803" i="1"/>
  <c r="A2803" i="1"/>
  <c r="E2803" i="1"/>
  <c r="B2804" i="1"/>
  <c r="A2804" i="1"/>
  <c r="E2804" i="1"/>
  <c r="B2805" i="1"/>
  <c r="A2805" i="1"/>
  <c r="E2805" i="1"/>
  <c r="B2806" i="1"/>
  <c r="A2806" i="1"/>
  <c r="E2806" i="1"/>
  <c r="B2807" i="1"/>
  <c r="A2807" i="1"/>
  <c r="E2807" i="1"/>
  <c r="B2808" i="1"/>
  <c r="A2808" i="1"/>
  <c r="E2808" i="1"/>
  <c r="B2809" i="1"/>
  <c r="A2809" i="1"/>
  <c r="E2809" i="1"/>
  <c r="B2810" i="1"/>
  <c r="A2810" i="1"/>
  <c r="E2810" i="1"/>
  <c r="B2811" i="1"/>
  <c r="A2811" i="1"/>
  <c r="E2811" i="1"/>
  <c r="B2812" i="1"/>
  <c r="A2812" i="1"/>
  <c r="E2812" i="1"/>
  <c r="B2813" i="1"/>
  <c r="A2813" i="1"/>
  <c r="E2813" i="1"/>
  <c r="B2814" i="1"/>
  <c r="A2814" i="1"/>
  <c r="E2814" i="1"/>
  <c r="B2815" i="1"/>
  <c r="A2815" i="1"/>
  <c r="E2815" i="1"/>
  <c r="B2816" i="1"/>
  <c r="A2816" i="1"/>
  <c r="E2816" i="1"/>
  <c r="B2817" i="1"/>
  <c r="A2817" i="1"/>
  <c r="E2817" i="1"/>
  <c r="B2818" i="1"/>
  <c r="A2818" i="1"/>
  <c r="E2818" i="1"/>
  <c r="B2819" i="1"/>
  <c r="A2819" i="1"/>
  <c r="E2819" i="1"/>
  <c r="B2820" i="1"/>
  <c r="A2820" i="1"/>
  <c r="E2820" i="1"/>
  <c r="B2821" i="1"/>
  <c r="A2821" i="1"/>
  <c r="E2821" i="1"/>
  <c r="B2822" i="1"/>
  <c r="A2822" i="1"/>
  <c r="E2822" i="1"/>
  <c r="B2823" i="1"/>
  <c r="A2823" i="1"/>
  <c r="E2823" i="1"/>
  <c r="B2824" i="1"/>
  <c r="A2824" i="1"/>
  <c r="E2824" i="1"/>
  <c r="B2825" i="1"/>
  <c r="A2825" i="1"/>
  <c r="E2825" i="1"/>
  <c r="B2826" i="1"/>
  <c r="A2826" i="1"/>
  <c r="E2826" i="1"/>
  <c r="B2827" i="1"/>
  <c r="A2827" i="1"/>
  <c r="E2827" i="1"/>
  <c r="B2828" i="1"/>
  <c r="A2828" i="1"/>
  <c r="E2828" i="1"/>
  <c r="B2829" i="1"/>
  <c r="A2829" i="1"/>
  <c r="E2829" i="1"/>
  <c r="B2830" i="1"/>
  <c r="A2830" i="1"/>
  <c r="E2830" i="1"/>
  <c r="B2831" i="1"/>
  <c r="A2831" i="1"/>
  <c r="E2831" i="1"/>
  <c r="B2832" i="1"/>
  <c r="A2832" i="1"/>
  <c r="E2832" i="1"/>
  <c r="B2833" i="1"/>
  <c r="A2833" i="1"/>
  <c r="E2833" i="1"/>
  <c r="B2834" i="1"/>
  <c r="A2834" i="1"/>
  <c r="E2834" i="1"/>
  <c r="B2835" i="1"/>
  <c r="A2835" i="1"/>
  <c r="E2835" i="1"/>
  <c r="B2836" i="1"/>
  <c r="A2836" i="1"/>
  <c r="E2836" i="1"/>
  <c r="B2837" i="1"/>
  <c r="A2837" i="1"/>
  <c r="E2837" i="1"/>
  <c r="B2838" i="1"/>
  <c r="A2838" i="1"/>
  <c r="E2838" i="1"/>
  <c r="B2839" i="1"/>
  <c r="A2839" i="1"/>
  <c r="E2839" i="1"/>
  <c r="B2840" i="1"/>
  <c r="A2840" i="1"/>
  <c r="E2840" i="1"/>
  <c r="B2841" i="1"/>
  <c r="A2841" i="1"/>
  <c r="E2841" i="1"/>
  <c r="B2842" i="1"/>
  <c r="A2842" i="1"/>
  <c r="E2842" i="1"/>
  <c r="B2843" i="1"/>
  <c r="A2843" i="1"/>
  <c r="E2843" i="1"/>
  <c r="B2844" i="1"/>
  <c r="A2844" i="1"/>
  <c r="E2844" i="1"/>
  <c r="B2845" i="1"/>
  <c r="A2845" i="1"/>
  <c r="E2845" i="1"/>
  <c r="B2846" i="1"/>
  <c r="A2846" i="1"/>
  <c r="E2846" i="1"/>
  <c r="B2847" i="1"/>
  <c r="A2847" i="1"/>
  <c r="E2847" i="1"/>
  <c r="B2848" i="1"/>
  <c r="A2848" i="1"/>
  <c r="E2848" i="1"/>
  <c r="B2849" i="1"/>
  <c r="A2849" i="1"/>
  <c r="E2849" i="1"/>
  <c r="B2850" i="1"/>
  <c r="A2850" i="1"/>
  <c r="E2850" i="1"/>
  <c r="B2851" i="1"/>
  <c r="A2851" i="1"/>
  <c r="E2851" i="1"/>
  <c r="B2852" i="1"/>
  <c r="A2852" i="1"/>
  <c r="E2852" i="1"/>
  <c r="B2853" i="1"/>
  <c r="A2853" i="1"/>
  <c r="E2853" i="1"/>
  <c r="B2854" i="1"/>
  <c r="A2854" i="1"/>
  <c r="E2854" i="1"/>
  <c r="B2855" i="1"/>
  <c r="A2855" i="1"/>
  <c r="E2855" i="1"/>
  <c r="B2856" i="1"/>
  <c r="A2856" i="1"/>
  <c r="E2856" i="1"/>
  <c r="B2857" i="1"/>
  <c r="A2857" i="1"/>
  <c r="E2857" i="1"/>
  <c r="B2858" i="1"/>
  <c r="A2858" i="1"/>
  <c r="E2858" i="1"/>
  <c r="B2859" i="1"/>
  <c r="A2859" i="1"/>
  <c r="E2859" i="1"/>
  <c r="B2860" i="1"/>
  <c r="A2860" i="1"/>
  <c r="E2860" i="1"/>
  <c r="B2861" i="1"/>
  <c r="A2861" i="1"/>
  <c r="E2861" i="1"/>
  <c r="B2862" i="1"/>
  <c r="A2862" i="1"/>
  <c r="E2862" i="1"/>
  <c r="B2863" i="1"/>
  <c r="A2863" i="1"/>
  <c r="E2863" i="1"/>
  <c r="B2864" i="1"/>
  <c r="A2864" i="1"/>
  <c r="E2864" i="1"/>
  <c r="B2865" i="1"/>
  <c r="A2865" i="1"/>
  <c r="E2865" i="1"/>
  <c r="B2866" i="1"/>
  <c r="A2866" i="1"/>
  <c r="E2866" i="1"/>
  <c r="B2867" i="1"/>
  <c r="A2867" i="1"/>
  <c r="E2867" i="1"/>
  <c r="B2868" i="1"/>
  <c r="A2868" i="1"/>
  <c r="E2868" i="1"/>
  <c r="B2869" i="1"/>
  <c r="A2869" i="1"/>
  <c r="E2869" i="1"/>
  <c r="B2870" i="1"/>
  <c r="A2870" i="1"/>
  <c r="E2870" i="1"/>
  <c r="B2871" i="1"/>
  <c r="A2871" i="1"/>
  <c r="E2871" i="1"/>
  <c r="B2872" i="1"/>
  <c r="A2872" i="1"/>
  <c r="E2872" i="1"/>
  <c r="B2873" i="1"/>
  <c r="A2873" i="1"/>
  <c r="E2873" i="1"/>
  <c r="B2874" i="1"/>
  <c r="A2874" i="1"/>
  <c r="E2874" i="1"/>
  <c r="B2875" i="1"/>
  <c r="A2875" i="1"/>
  <c r="E2875" i="1"/>
  <c r="B2876" i="1"/>
  <c r="A2876" i="1"/>
  <c r="E2876" i="1"/>
  <c r="B2877" i="1"/>
  <c r="A2877" i="1"/>
  <c r="E2877" i="1"/>
  <c r="B2878" i="1"/>
  <c r="A2878" i="1"/>
  <c r="E2878" i="1"/>
  <c r="B2879" i="1"/>
  <c r="A2879" i="1"/>
  <c r="E2879" i="1"/>
  <c r="B2880" i="1"/>
  <c r="A2880" i="1"/>
  <c r="E2880" i="1"/>
  <c r="B2881" i="1"/>
  <c r="A2881" i="1"/>
  <c r="E2881" i="1"/>
  <c r="B2882" i="1"/>
  <c r="A2882" i="1"/>
  <c r="E2882" i="1"/>
  <c r="B2883" i="1"/>
  <c r="A2883" i="1"/>
  <c r="E2883" i="1"/>
  <c r="B2884" i="1"/>
  <c r="A2884" i="1"/>
  <c r="E2884" i="1"/>
  <c r="B2885" i="1"/>
  <c r="A2885" i="1"/>
  <c r="E2885" i="1"/>
  <c r="B2886" i="1"/>
  <c r="A2886" i="1"/>
  <c r="E2886" i="1"/>
  <c r="B2887" i="1"/>
  <c r="A2887" i="1"/>
  <c r="E2887" i="1"/>
  <c r="B2888" i="1"/>
  <c r="A2888" i="1"/>
  <c r="E2888" i="1"/>
  <c r="B2889" i="1"/>
  <c r="A2889" i="1"/>
  <c r="E2889" i="1"/>
  <c r="B2890" i="1"/>
  <c r="A2890" i="1"/>
  <c r="E2890" i="1"/>
  <c r="B2891" i="1"/>
  <c r="A2891" i="1"/>
  <c r="E2891" i="1"/>
  <c r="B2892" i="1"/>
  <c r="A2892" i="1"/>
  <c r="E2892" i="1"/>
  <c r="B2893" i="1"/>
  <c r="A2893" i="1"/>
  <c r="E2893" i="1"/>
  <c r="B2894" i="1"/>
  <c r="A2894" i="1"/>
  <c r="E2894" i="1"/>
  <c r="B2895" i="1"/>
  <c r="A2895" i="1"/>
  <c r="E2895" i="1"/>
  <c r="B2896" i="1"/>
  <c r="A2896" i="1"/>
  <c r="E2896" i="1"/>
  <c r="B2897" i="1"/>
  <c r="A2897" i="1"/>
  <c r="E2897" i="1"/>
  <c r="B2898" i="1"/>
  <c r="A2898" i="1"/>
  <c r="E2898" i="1"/>
  <c r="B2899" i="1"/>
  <c r="A2899" i="1"/>
  <c r="E2899" i="1"/>
  <c r="B2900" i="1"/>
  <c r="A2900" i="1"/>
  <c r="E2900" i="1"/>
  <c r="B2901" i="1"/>
  <c r="A2901" i="1"/>
  <c r="E2901" i="1"/>
  <c r="B2902" i="1"/>
  <c r="A2902" i="1"/>
  <c r="E2902" i="1"/>
  <c r="B2903" i="1"/>
  <c r="A2903" i="1"/>
  <c r="E2903" i="1"/>
  <c r="B2904" i="1"/>
  <c r="A2904" i="1"/>
  <c r="E2904" i="1"/>
  <c r="B2905" i="1"/>
  <c r="A2905" i="1"/>
  <c r="E2905" i="1"/>
  <c r="B2906" i="1"/>
  <c r="A2906" i="1"/>
  <c r="E2906" i="1"/>
  <c r="G2906" i="1"/>
  <c r="B2907" i="1"/>
  <c r="A2907" i="1"/>
  <c r="E2907" i="1"/>
  <c r="B2908" i="1"/>
  <c r="A2908" i="1"/>
  <c r="E2908" i="1"/>
  <c r="B2909" i="1"/>
  <c r="A2909" i="1"/>
  <c r="E2909" i="1"/>
  <c r="B2910" i="1"/>
  <c r="A2910" i="1"/>
  <c r="E2910" i="1"/>
  <c r="B2911" i="1"/>
  <c r="A2911" i="1"/>
  <c r="E2911" i="1"/>
  <c r="B2912" i="1"/>
  <c r="A2912" i="1"/>
  <c r="E2912" i="1"/>
  <c r="B2913" i="1"/>
  <c r="A2913" i="1"/>
  <c r="E2913" i="1"/>
  <c r="B2914" i="1"/>
  <c r="A2914" i="1"/>
  <c r="E2914" i="1"/>
  <c r="B2915" i="1"/>
  <c r="A2915" i="1"/>
  <c r="E2915" i="1"/>
  <c r="B2916" i="1"/>
  <c r="A2916" i="1"/>
  <c r="E2916" i="1"/>
  <c r="B2917" i="1"/>
  <c r="A2917" i="1"/>
  <c r="E2917" i="1"/>
  <c r="B2918" i="1"/>
  <c r="A2918" i="1"/>
  <c r="E2918" i="1"/>
  <c r="B2919" i="1"/>
  <c r="A2919" i="1"/>
  <c r="E2919" i="1"/>
  <c r="B2920" i="1"/>
  <c r="A2920" i="1"/>
  <c r="E2920" i="1"/>
  <c r="B2921" i="1"/>
  <c r="A2921" i="1"/>
  <c r="E2921" i="1"/>
  <c r="B2922" i="1"/>
  <c r="A2922" i="1"/>
  <c r="E2922" i="1"/>
  <c r="B2923" i="1"/>
  <c r="A2923" i="1"/>
  <c r="E2923" i="1"/>
  <c r="B2924" i="1"/>
  <c r="A2924" i="1"/>
  <c r="E2924" i="1"/>
  <c r="B2925" i="1"/>
  <c r="A2925" i="1"/>
  <c r="E2925" i="1"/>
  <c r="B2926" i="1"/>
  <c r="A2926" i="1"/>
  <c r="E2926" i="1"/>
  <c r="B2927" i="1"/>
  <c r="A2927" i="1"/>
  <c r="E2927" i="1"/>
  <c r="B2928" i="1"/>
  <c r="A2928" i="1"/>
  <c r="E2928" i="1"/>
  <c r="A2929" i="1"/>
  <c r="E2929" i="1"/>
  <c r="A2930" i="1"/>
  <c r="E2930" i="1"/>
  <c r="A2931" i="1"/>
  <c r="E2931" i="1"/>
  <c r="A2932" i="1"/>
  <c r="E2932" i="1"/>
  <c r="A2933" i="1"/>
  <c r="E2933" i="1"/>
  <c r="A2934" i="1"/>
  <c r="E2934" i="1"/>
  <c r="A2935" i="1"/>
  <c r="E2935" i="1"/>
  <c r="A2936" i="1"/>
  <c r="E2936" i="1"/>
  <c r="A2937" i="1"/>
  <c r="E2937" i="1"/>
  <c r="A2938" i="1"/>
  <c r="E2938" i="1"/>
  <c r="A2939" i="1"/>
  <c r="E2939" i="1"/>
  <c r="B2940" i="1"/>
  <c r="A2940" i="1"/>
  <c r="E2940" i="1"/>
  <c r="B2941" i="1"/>
  <c r="A2941" i="1"/>
  <c r="E2941" i="1"/>
  <c r="B2942" i="1"/>
  <c r="A2942" i="1"/>
  <c r="E2942" i="1"/>
  <c r="B2943" i="1"/>
  <c r="A2943" i="1"/>
  <c r="E2943" i="1"/>
  <c r="B2944" i="1"/>
  <c r="A2944" i="1"/>
  <c r="E2944" i="1"/>
  <c r="A2945" i="1"/>
  <c r="E2945" i="1"/>
  <c r="B2946" i="1"/>
  <c r="A2946" i="1"/>
  <c r="E2946" i="1"/>
  <c r="B2947" i="1"/>
  <c r="A2947" i="1"/>
  <c r="E2947" i="1"/>
  <c r="B2948" i="1"/>
  <c r="A2948" i="1"/>
  <c r="E2948" i="1"/>
  <c r="B2949" i="1"/>
  <c r="A2949" i="1"/>
  <c r="E2949" i="1"/>
  <c r="B2950" i="1"/>
  <c r="A2950" i="1"/>
  <c r="E2950" i="1"/>
  <c r="B2951" i="1"/>
  <c r="A2951" i="1"/>
  <c r="E2951" i="1"/>
  <c r="B2952" i="1"/>
  <c r="A2952" i="1"/>
  <c r="E2952" i="1"/>
  <c r="B2953" i="1"/>
  <c r="A2953" i="1"/>
  <c r="E2953" i="1"/>
  <c r="B2954" i="1"/>
  <c r="A2954" i="1"/>
  <c r="E2954" i="1"/>
  <c r="G2954" i="1"/>
  <c r="B2955" i="1"/>
  <c r="A2955" i="1"/>
  <c r="E2955" i="1"/>
  <c r="G2955" i="1"/>
  <c r="B2956" i="1"/>
  <c r="A2956" i="1"/>
  <c r="E2956" i="1"/>
  <c r="G2956" i="1"/>
  <c r="B2957" i="1"/>
  <c r="A2957" i="1"/>
  <c r="E2957" i="1"/>
  <c r="G2957" i="1"/>
  <c r="B2958" i="1"/>
  <c r="A2958" i="1"/>
  <c r="E2958" i="1"/>
  <c r="B2959" i="1"/>
  <c r="A2959" i="1"/>
  <c r="E2959" i="1"/>
  <c r="B2960" i="1"/>
  <c r="A2960" i="1"/>
  <c r="E2960" i="1"/>
  <c r="B2961" i="1"/>
  <c r="A2961" i="1"/>
  <c r="E2961" i="1"/>
  <c r="B2962" i="1"/>
  <c r="A2962" i="1"/>
  <c r="E2962" i="1"/>
  <c r="B2963" i="1"/>
  <c r="A2963" i="1"/>
  <c r="E2963" i="1"/>
  <c r="B2964" i="1"/>
  <c r="A2964" i="1"/>
  <c r="E2964" i="1"/>
  <c r="B2965" i="1"/>
  <c r="A2965" i="1"/>
  <c r="E2965" i="1"/>
  <c r="B2966" i="1"/>
  <c r="A2966" i="1"/>
  <c r="E2966" i="1"/>
  <c r="B2967" i="1"/>
  <c r="A2967" i="1"/>
  <c r="E2967" i="1"/>
  <c r="B2968" i="1"/>
  <c r="A2968" i="1"/>
  <c r="E2968" i="1"/>
  <c r="B2969" i="1"/>
  <c r="A2969" i="1"/>
  <c r="E2969" i="1"/>
  <c r="B2970" i="1"/>
  <c r="A2970" i="1"/>
  <c r="E2970" i="1"/>
  <c r="B2971" i="1"/>
  <c r="A2971" i="1"/>
  <c r="E2971" i="1"/>
  <c r="B2972" i="1"/>
  <c r="A2972" i="1"/>
  <c r="E2972" i="1"/>
  <c r="B2973" i="1"/>
  <c r="A2973" i="1"/>
  <c r="E2973" i="1"/>
  <c r="B2974" i="1"/>
  <c r="A2974" i="1"/>
  <c r="E2974" i="1"/>
  <c r="B2975" i="1"/>
  <c r="A2975" i="1"/>
  <c r="E2975" i="1"/>
  <c r="B2976" i="1"/>
  <c r="A2976" i="1"/>
  <c r="E2976" i="1"/>
  <c r="B2977" i="1"/>
  <c r="A2977" i="1"/>
  <c r="E2977" i="1"/>
  <c r="B2978" i="1"/>
  <c r="A2978" i="1"/>
  <c r="E2978" i="1"/>
  <c r="B2979" i="1"/>
  <c r="A2979" i="1"/>
  <c r="E2979" i="1"/>
  <c r="B2980" i="1"/>
  <c r="A2980" i="1"/>
  <c r="E2980" i="1"/>
  <c r="B2981" i="1"/>
  <c r="A2981" i="1"/>
  <c r="E2981" i="1"/>
  <c r="B2982" i="1"/>
  <c r="A2982" i="1"/>
  <c r="E2982" i="1"/>
  <c r="B2983" i="1"/>
  <c r="A2983" i="1"/>
  <c r="E2983" i="1"/>
  <c r="B2984" i="1"/>
  <c r="A2984" i="1"/>
  <c r="E2984" i="1"/>
  <c r="B2985" i="1"/>
  <c r="A2985" i="1"/>
  <c r="E2985" i="1"/>
  <c r="B2986" i="1"/>
  <c r="A2986" i="1"/>
  <c r="E2986" i="1"/>
  <c r="B2987" i="1"/>
  <c r="A2987" i="1"/>
  <c r="E2987" i="1"/>
  <c r="A2988" i="1"/>
  <c r="E2988" i="1"/>
  <c r="B2989" i="1"/>
  <c r="A2989" i="1"/>
  <c r="E2989" i="1"/>
  <c r="B2990" i="1"/>
  <c r="A2990" i="1"/>
  <c r="E2990" i="1"/>
  <c r="B2991" i="1"/>
  <c r="A2991" i="1"/>
  <c r="E2991" i="1"/>
  <c r="B2992" i="1"/>
  <c r="A2992" i="1"/>
  <c r="E2992" i="1"/>
  <c r="B2993" i="1"/>
  <c r="A2993" i="1"/>
  <c r="E2993" i="1"/>
  <c r="B2994" i="1"/>
  <c r="A2994" i="1"/>
  <c r="E2994" i="1"/>
  <c r="B2995" i="1"/>
  <c r="A2995" i="1"/>
  <c r="E2995" i="1"/>
  <c r="A2996" i="1"/>
  <c r="E2996" i="1"/>
  <c r="G2996" i="1"/>
  <c r="A2997" i="1"/>
  <c r="E2997" i="1"/>
  <c r="B2998" i="1"/>
  <c r="A2998" i="1"/>
  <c r="E2998" i="1"/>
  <c r="B2999" i="1"/>
  <c r="A2999" i="1"/>
  <c r="E2999" i="1"/>
  <c r="B3000" i="1"/>
  <c r="A3000" i="1"/>
  <c r="E3000" i="1"/>
  <c r="B3001" i="1"/>
  <c r="A3001" i="1"/>
  <c r="E3001" i="1"/>
  <c r="B3002" i="1"/>
  <c r="A3002" i="1"/>
  <c r="E3002" i="1"/>
  <c r="B3003" i="1"/>
  <c r="A3003" i="1"/>
  <c r="E3003" i="1"/>
  <c r="B3004" i="1"/>
  <c r="A3004" i="1"/>
  <c r="E3004" i="1"/>
  <c r="B3005" i="1"/>
  <c r="A3005" i="1"/>
  <c r="E3005" i="1"/>
  <c r="B3006" i="1"/>
  <c r="A3006" i="1"/>
  <c r="E3006" i="1"/>
  <c r="B3007" i="1"/>
  <c r="A3007" i="1"/>
  <c r="E3007" i="1"/>
  <c r="B3008" i="1"/>
  <c r="A3008" i="1"/>
  <c r="E3008" i="1"/>
  <c r="B3009" i="1"/>
  <c r="A3009" i="1"/>
  <c r="E3009" i="1"/>
  <c r="B3010" i="1"/>
  <c r="A3010" i="1"/>
  <c r="E3010" i="1"/>
  <c r="B3011" i="1"/>
  <c r="A3011" i="1"/>
  <c r="E3011" i="1"/>
  <c r="B3012" i="1"/>
  <c r="A3012" i="1"/>
  <c r="E3012" i="1"/>
  <c r="B3013" i="1"/>
  <c r="A3013" i="1"/>
  <c r="E3013" i="1"/>
  <c r="B3014" i="1"/>
  <c r="A3014" i="1"/>
  <c r="E3014" i="1"/>
  <c r="B3015" i="1"/>
  <c r="A3015" i="1"/>
  <c r="E3015" i="1"/>
  <c r="B3016" i="1"/>
  <c r="A3016" i="1"/>
  <c r="E3016" i="1"/>
  <c r="B3017" i="1"/>
  <c r="A3017" i="1"/>
  <c r="E3017" i="1"/>
  <c r="B3018" i="1"/>
  <c r="A3018" i="1"/>
  <c r="E3018" i="1"/>
  <c r="B3019" i="1"/>
  <c r="A3019" i="1"/>
  <c r="E3019" i="1"/>
  <c r="B3020" i="1"/>
  <c r="A3020" i="1"/>
  <c r="E3020" i="1"/>
  <c r="B3021" i="1"/>
  <c r="A3021" i="1"/>
  <c r="E3021" i="1"/>
  <c r="B3022" i="1"/>
  <c r="A3022" i="1"/>
  <c r="E3022" i="1"/>
  <c r="B3023" i="1"/>
  <c r="A3023" i="1"/>
  <c r="E3023" i="1"/>
  <c r="B3024" i="1"/>
  <c r="A3024" i="1"/>
  <c r="E3024" i="1"/>
  <c r="B3025" i="1"/>
  <c r="A3025" i="1"/>
  <c r="E3025" i="1"/>
  <c r="B3026" i="1"/>
  <c r="A3026" i="1"/>
  <c r="E3026" i="1"/>
  <c r="B3027" i="1"/>
  <c r="A3027" i="1"/>
  <c r="E3027" i="1"/>
  <c r="B3028" i="1"/>
  <c r="A3028" i="1"/>
  <c r="E3028" i="1"/>
  <c r="B3029" i="1"/>
  <c r="A3029" i="1"/>
  <c r="E3029" i="1"/>
  <c r="B3030" i="1"/>
  <c r="A3030" i="1"/>
  <c r="E3030" i="1"/>
  <c r="B3031" i="1"/>
  <c r="A3031" i="1"/>
  <c r="E3031" i="1"/>
  <c r="B3032" i="1"/>
  <c r="A3032" i="1"/>
  <c r="E3032" i="1"/>
  <c r="G3032" i="1"/>
  <c r="B3033" i="1"/>
  <c r="A3033" i="1"/>
  <c r="E3033" i="1"/>
  <c r="G3033" i="1"/>
  <c r="B3034" i="1"/>
  <c r="A3034" i="1"/>
  <c r="E3034" i="1"/>
  <c r="B3035" i="1"/>
  <c r="A3035" i="1"/>
  <c r="E3035" i="1"/>
  <c r="B3036" i="1"/>
  <c r="A3036" i="1"/>
  <c r="E3036" i="1"/>
  <c r="B3037" i="1"/>
  <c r="A3037" i="1"/>
  <c r="E3037" i="1"/>
  <c r="B3038" i="1"/>
  <c r="A3038" i="1"/>
  <c r="E3038" i="1"/>
  <c r="B3039" i="1"/>
  <c r="A3039" i="1"/>
  <c r="E3039" i="1"/>
  <c r="B3040" i="1"/>
  <c r="A3040" i="1"/>
  <c r="E3040" i="1"/>
  <c r="B3041" i="1"/>
  <c r="A3041" i="1"/>
  <c r="E3041" i="1"/>
  <c r="B3042" i="1"/>
  <c r="A3042" i="1"/>
  <c r="E3042" i="1"/>
  <c r="B3043" i="1"/>
  <c r="A3043" i="1"/>
  <c r="E3043" i="1"/>
  <c r="B3044" i="1"/>
  <c r="A3044" i="1"/>
  <c r="E3044" i="1"/>
  <c r="B3045" i="1"/>
  <c r="A3045" i="1"/>
  <c r="E3045" i="1"/>
  <c r="B3046" i="1"/>
  <c r="A3046" i="1"/>
  <c r="E3046" i="1"/>
  <c r="B3047" i="1"/>
  <c r="A3047" i="1"/>
  <c r="E3047" i="1"/>
  <c r="B3048" i="1"/>
  <c r="A3048" i="1"/>
  <c r="E3048" i="1"/>
  <c r="B3049" i="1"/>
  <c r="A3049" i="1"/>
  <c r="E3049" i="1"/>
  <c r="B3050" i="1"/>
  <c r="A3050" i="1"/>
  <c r="E3050" i="1"/>
  <c r="B3051" i="1"/>
  <c r="A3051" i="1"/>
  <c r="E3051" i="1"/>
  <c r="B3052" i="1"/>
  <c r="A3052" i="1"/>
  <c r="E3052" i="1"/>
  <c r="B3053" i="1"/>
  <c r="A3053" i="1"/>
  <c r="E3053" i="1"/>
  <c r="B3054" i="1"/>
  <c r="A3054" i="1"/>
  <c r="E3054" i="1"/>
  <c r="B3055" i="1"/>
  <c r="A3055" i="1"/>
  <c r="E3055" i="1"/>
  <c r="B3056" i="1"/>
  <c r="A3056" i="1"/>
  <c r="E3056" i="1"/>
  <c r="B3057" i="1"/>
  <c r="A3057" i="1"/>
  <c r="E3057" i="1"/>
  <c r="B3058" i="1"/>
  <c r="A3058" i="1"/>
  <c r="E3058" i="1"/>
  <c r="B3059" i="1"/>
  <c r="A3059" i="1"/>
  <c r="E3059" i="1"/>
  <c r="B3060" i="1"/>
  <c r="A3060" i="1"/>
  <c r="E3060" i="1"/>
  <c r="B3061" i="1"/>
  <c r="A3061" i="1"/>
  <c r="E3061" i="1"/>
  <c r="B3062" i="1"/>
  <c r="A3062" i="1"/>
  <c r="E3062" i="1"/>
  <c r="B3063" i="1"/>
  <c r="A3063" i="1"/>
  <c r="E3063" i="1"/>
  <c r="B3064" i="1"/>
  <c r="A3064" i="1"/>
  <c r="E3064" i="1"/>
  <c r="B3065" i="1"/>
  <c r="A3065" i="1"/>
  <c r="E3065" i="1"/>
  <c r="B3066" i="1"/>
  <c r="A3066" i="1"/>
  <c r="E3066" i="1"/>
  <c r="B3067" i="1"/>
  <c r="A3067" i="1"/>
  <c r="E3067" i="1"/>
  <c r="B3068" i="1"/>
  <c r="A3068" i="1"/>
  <c r="E3068" i="1"/>
  <c r="B3069" i="1"/>
  <c r="A3069" i="1"/>
  <c r="E3069" i="1"/>
  <c r="B3070" i="1"/>
  <c r="A3070" i="1"/>
  <c r="E3070" i="1"/>
  <c r="B3071" i="1"/>
  <c r="A3071" i="1"/>
  <c r="E3071" i="1"/>
  <c r="B3072" i="1"/>
  <c r="A3072" i="1"/>
  <c r="E3072" i="1"/>
  <c r="B3073" i="1"/>
  <c r="A3073" i="1"/>
  <c r="E3073" i="1"/>
  <c r="B3074" i="1"/>
  <c r="A3074" i="1"/>
  <c r="E3074" i="1"/>
  <c r="B3075" i="1"/>
  <c r="A3075" i="1"/>
  <c r="E3075" i="1"/>
  <c r="B3076" i="1"/>
  <c r="A3076" i="1"/>
  <c r="E3076" i="1"/>
  <c r="B3077" i="1"/>
  <c r="A3077" i="1"/>
  <c r="E3077" i="1"/>
  <c r="B3078" i="1"/>
  <c r="A3078" i="1"/>
  <c r="E3078" i="1"/>
  <c r="B3079" i="1"/>
  <c r="A3079" i="1"/>
  <c r="E3079" i="1"/>
  <c r="B3080" i="1"/>
  <c r="A3080" i="1"/>
  <c r="E3080" i="1"/>
  <c r="B3081" i="1"/>
  <c r="A3081" i="1"/>
  <c r="E3081" i="1"/>
  <c r="B3082" i="1"/>
  <c r="A3082" i="1"/>
  <c r="E3082" i="1"/>
  <c r="B3083" i="1"/>
  <c r="A3083" i="1"/>
  <c r="E3083" i="1"/>
  <c r="B3084" i="1"/>
  <c r="A3084" i="1"/>
  <c r="E3084" i="1"/>
  <c r="B3085" i="1"/>
  <c r="A3085" i="1"/>
  <c r="E3085" i="1"/>
  <c r="B3086" i="1"/>
  <c r="A3086" i="1"/>
  <c r="E3086" i="1"/>
  <c r="B3087" i="1"/>
  <c r="A3087" i="1"/>
  <c r="E3087" i="1"/>
  <c r="B3088" i="1"/>
  <c r="A3088" i="1"/>
  <c r="E3088" i="1"/>
  <c r="B3089" i="1"/>
  <c r="A3089" i="1"/>
  <c r="E3089" i="1"/>
  <c r="B3090" i="1"/>
  <c r="A3090" i="1"/>
  <c r="E3090" i="1"/>
  <c r="B3091" i="1"/>
  <c r="A3091" i="1"/>
  <c r="E3091" i="1"/>
  <c r="B3092" i="1"/>
  <c r="A3092" i="1"/>
  <c r="E3092" i="1"/>
  <c r="B3093" i="1"/>
  <c r="A3093" i="1"/>
  <c r="E3093" i="1"/>
  <c r="B3094" i="1"/>
  <c r="A3094" i="1"/>
  <c r="E3094" i="1"/>
  <c r="B3095" i="1"/>
  <c r="A3095" i="1"/>
  <c r="E3095" i="1"/>
  <c r="B3096" i="1"/>
  <c r="A3096" i="1"/>
  <c r="E3096" i="1"/>
  <c r="B3097" i="1"/>
  <c r="A3097" i="1"/>
  <c r="E3097" i="1"/>
  <c r="B3098" i="1"/>
  <c r="A3098" i="1"/>
  <c r="E3098" i="1"/>
  <c r="B3099" i="1"/>
  <c r="A3099" i="1"/>
  <c r="E3099" i="1"/>
  <c r="B3100" i="1"/>
  <c r="A3100" i="1"/>
  <c r="E3100" i="1"/>
  <c r="B3101" i="1"/>
  <c r="A3101" i="1"/>
  <c r="E3101" i="1"/>
  <c r="B3102" i="1"/>
  <c r="A3102" i="1"/>
  <c r="E3102" i="1"/>
  <c r="B3103" i="1"/>
  <c r="A3103" i="1"/>
  <c r="E3103" i="1"/>
  <c r="B3104" i="1"/>
  <c r="A3104" i="1"/>
  <c r="E3104" i="1"/>
  <c r="B3105" i="1"/>
  <c r="A3105" i="1"/>
  <c r="E3105" i="1"/>
  <c r="B3106" i="1"/>
  <c r="A3106" i="1"/>
  <c r="E3106" i="1"/>
  <c r="B3107" i="1"/>
  <c r="A3107" i="1"/>
  <c r="E3107" i="1"/>
  <c r="B3108" i="1"/>
  <c r="A3108" i="1"/>
  <c r="E3108" i="1"/>
  <c r="B3109" i="1"/>
  <c r="A3109" i="1"/>
  <c r="E3109" i="1"/>
  <c r="B3110" i="1"/>
  <c r="A3110" i="1"/>
  <c r="E3110" i="1"/>
  <c r="B3111" i="1"/>
  <c r="A3111" i="1"/>
  <c r="E3111" i="1"/>
  <c r="B3112" i="1"/>
  <c r="A3112" i="1"/>
  <c r="E3112" i="1"/>
  <c r="B3113" i="1"/>
  <c r="A3113" i="1"/>
  <c r="E3113" i="1"/>
  <c r="B3114" i="1"/>
  <c r="A3114" i="1"/>
  <c r="E3114" i="1"/>
  <c r="B3115" i="1"/>
  <c r="A3115" i="1"/>
  <c r="E3115" i="1"/>
  <c r="B3116" i="1"/>
  <c r="A3116" i="1"/>
  <c r="E3116" i="1"/>
  <c r="B3117" i="1"/>
  <c r="A3117" i="1"/>
  <c r="E3117" i="1"/>
  <c r="B3118" i="1"/>
  <c r="A3118" i="1"/>
  <c r="E3118" i="1"/>
  <c r="B3119" i="1"/>
  <c r="A3119" i="1"/>
  <c r="E3119" i="1"/>
  <c r="B3120" i="1"/>
  <c r="A3120" i="1"/>
  <c r="E3120" i="1"/>
  <c r="B3121" i="1"/>
  <c r="A3121" i="1"/>
  <c r="E3121" i="1"/>
  <c r="B3122" i="1"/>
  <c r="A3122" i="1"/>
  <c r="E3122" i="1"/>
  <c r="B3123" i="1"/>
  <c r="A3123" i="1"/>
  <c r="E3123" i="1"/>
  <c r="B3124" i="1"/>
  <c r="A3124" i="1"/>
  <c r="E3124" i="1"/>
  <c r="B3125" i="1"/>
  <c r="A3125" i="1"/>
  <c r="E3125" i="1"/>
  <c r="B3126" i="1"/>
  <c r="A3126" i="1"/>
  <c r="E3126" i="1"/>
  <c r="B3127" i="1"/>
  <c r="A3127" i="1"/>
  <c r="E3127" i="1"/>
  <c r="B3128" i="1"/>
  <c r="A3128" i="1"/>
  <c r="E3128" i="1"/>
  <c r="B3129" i="1"/>
  <c r="A3129" i="1"/>
  <c r="E3129" i="1"/>
  <c r="B3130" i="1"/>
  <c r="A3130" i="1"/>
  <c r="E3130" i="1"/>
  <c r="B3131" i="1"/>
  <c r="A3131" i="1"/>
  <c r="E3131" i="1"/>
  <c r="B3132" i="1"/>
  <c r="A3132" i="1"/>
  <c r="E3132" i="1"/>
  <c r="B3133" i="1"/>
  <c r="A3133" i="1"/>
  <c r="E3133" i="1"/>
  <c r="B3134" i="1"/>
  <c r="A3134" i="1"/>
  <c r="E3134" i="1"/>
  <c r="B3135" i="1"/>
  <c r="A3135" i="1"/>
  <c r="E3135" i="1"/>
  <c r="B3136" i="1"/>
  <c r="A3136" i="1"/>
  <c r="E3136" i="1"/>
  <c r="B3137" i="1"/>
  <c r="A3137" i="1"/>
  <c r="E3137" i="1"/>
  <c r="B3138" i="1"/>
  <c r="A3138" i="1"/>
  <c r="E3138" i="1"/>
  <c r="B3139" i="1"/>
  <c r="A3139" i="1"/>
  <c r="E3139" i="1"/>
  <c r="B3140" i="1"/>
  <c r="A3140" i="1"/>
  <c r="E3140" i="1"/>
  <c r="B3141" i="1"/>
  <c r="A3141" i="1"/>
  <c r="E3141" i="1"/>
  <c r="B3142" i="1"/>
  <c r="A3142" i="1"/>
  <c r="E3142" i="1"/>
  <c r="B3143" i="1"/>
  <c r="A3143" i="1"/>
  <c r="E3143" i="1"/>
  <c r="B3144" i="1"/>
  <c r="A3144" i="1"/>
  <c r="E3144" i="1"/>
  <c r="B3145" i="1"/>
  <c r="A3145" i="1"/>
  <c r="E3145" i="1"/>
  <c r="B3146" i="1"/>
  <c r="A3146" i="1"/>
  <c r="E3146" i="1"/>
  <c r="B3147" i="1"/>
  <c r="A3147" i="1"/>
  <c r="E3147" i="1"/>
  <c r="B3148" i="1"/>
  <c r="A3148" i="1"/>
  <c r="E3148" i="1"/>
  <c r="B3149" i="1"/>
  <c r="A3149" i="1"/>
  <c r="E3149" i="1"/>
  <c r="B3150" i="1"/>
  <c r="A3150" i="1"/>
  <c r="E3150" i="1"/>
  <c r="B3151" i="1"/>
  <c r="A3151" i="1"/>
  <c r="E3151" i="1"/>
  <c r="B3152" i="1"/>
  <c r="A3152" i="1"/>
  <c r="E3152" i="1"/>
  <c r="B3153" i="1"/>
  <c r="A3153" i="1"/>
  <c r="E3153" i="1"/>
  <c r="B3154" i="1"/>
  <c r="A3154" i="1"/>
  <c r="E3154" i="1"/>
  <c r="B3155" i="1"/>
  <c r="A3155" i="1"/>
  <c r="E3155" i="1"/>
  <c r="B3156" i="1"/>
  <c r="A3156" i="1"/>
  <c r="E3156" i="1"/>
  <c r="B3157" i="1"/>
  <c r="A3157" i="1"/>
  <c r="E3157" i="1"/>
  <c r="B3158" i="1"/>
  <c r="A3158" i="1"/>
  <c r="E3158" i="1"/>
  <c r="B3159" i="1"/>
  <c r="A3159" i="1"/>
  <c r="E3159" i="1"/>
  <c r="B3160" i="1"/>
  <c r="A3160" i="1"/>
  <c r="E3160" i="1"/>
  <c r="B3161" i="1"/>
  <c r="A3161" i="1"/>
  <c r="E3161" i="1"/>
  <c r="B3162" i="1"/>
  <c r="A3162" i="1"/>
  <c r="E3162" i="1"/>
  <c r="B3163" i="1"/>
  <c r="A3163" i="1"/>
  <c r="E3163" i="1"/>
  <c r="B3164" i="1"/>
  <c r="A3164" i="1"/>
  <c r="E3164" i="1"/>
  <c r="B3165" i="1"/>
  <c r="A3165" i="1"/>
  <c r="E3165" i="1"/>
  <c r="B3166" i="1"/>
  <c r="A3166" i="1"/>
  <c r="E3166" i="1"/>
  <c r="B3167" i="1"/>
  <c r="A3167" i="1"/>
  <c r="E3167" i="1"/>
  <c r="B3168" i="1"/>
  <c r="A3168" i="1"/>
  <c r="E3168" i="1"/>
  <c r="F3168" i="1"/>
  <c r="B3169" i="1"/>
  <c r="A3169" i="1"/>
  <c r="E3169" i="1"/>
  <c r="F3169" i="1"/>
  <c r="B3170" i="1"/>
  <c r="A3170" i="1"/>
  <c r="E3170" i="1"/>
  <c r="F3170" i="1"/>
  <c r="B3171" i="1"/>
  <c r="A3171" i="1"/>
  <c r="E3171" i="1"/>
  <c r="F3171" i="1"/>
  <c r="B3172" i="1"/>
  <c r="A3172" i="1"/>
  <c r="E3172" i="1"/>
  <c r="F3172" i="1"/>
  <c r="B3173" i="1"/>
  <c r="A3173" i="1"/>
  <c r="E3173" i="1"/>
  <c r="F3173" i="1"/>
  <c r="B3174" i="1"/>
  <c r="A3174" i="1"/>
  <c r="E3174" i="1"/>
  <c r="F3174" i="1"/>
  <c r="B3175" i="1"/>
  <c r="A3175" i="1"/>
  <c r="E3175" i="1"/>
  <c r="F3175" i="1"/>
  <c r="B3176" i="1"/>
  <c r="A3176" i="1"/>
  <c r="E3176" i="1"/>
  <c r="F3176" i="1"/>
  <c r="B3177" i="1"/>
  <c r="A3177" i="1"/>
  <c r="E3177" i="1"/>
  <c r="F3177" i="1"/>
  <c r="B3178" i="1"/>
  <c r="A3178" i="1"/>
  <c r="E3178" i="1"/>
  <c r="F3178" i="1"/>
  <c r="B3179" i="1"/>
  <c r="A3179" i="1"/>
  <c r="E3179" i="1"/>
  <c r="F3179" i="1"/>
  <c r="B3180" i="1"/>
  <c r="A3180" i="1"/>
  <c r="E3180" i="1"/>
  <c r="F3180" i="1"/>
  <c r="B3181" i="1"/>
  <c r="A3181" i="1"/>
  <c r="E3181" i="1"/>
  <c r="F3181" i="1"/>
  <c r="B3182" i="1"/>
  <c r="A3182" i="1"/>
  <c r="E3182" i="1"/>
  <c r="F3182" i="1"/>
  <c r="B3183" i="1"/>
  <c r="A3183" i="1"/>
  <c r="E3183" i="1"/>
  <c r="F3183" i="1"/>
  <c r="G3183" i="1"/>
  <c r="B3184" i="1"/>
  <c r="A3184" i="1"/>
  <c r="E3184" i="1"/>
  <c r="F3184" i="1"/>
  <c r="G3184" i="1"/>
  <c r="B3185" i="1"/>
  <c r="A3185" i="1"/>
  <c r="E3185" i="1"/>
  <c r="F3185" i="1"/>
  <c r="G3185" i="1"/>
  <c r="B3186" i="1"/>
  <c r="A3186" i="1"/>
  <c r="E3186" i="1"/>
  <c r="F3186" i="1"/>
  <c r="G3186" i="1"/>
  <c r="B3187" i="1"/>
  <c r="A3187" i="1"/>
  <c r="E3187" i="1"/>
  <c r="F3187" i="1"/>
  <c r="B3188" i="1"/>
  <c r="A3188" i="1"/>
  <c r="E3188" i="1"/>
  <c r="F3188" i="1"/>
  <c r="B3189" i="1"/>
  <c r="A3189" i="1"/>
  <c r="E3189" i="1"/>
  <c r="F3189" i="1"/>
  <c r="B3190" i="1"/>
  <c r="A3190" i="1"/>
  <c r="E3190" i="1"/>
  <c r="F3190" i="1"/>
  <c r="G3190" i="1"/>
  <c r="B3191" i="1"/>
  <c r="A3191" i="1"/>
  <c r="E3191" i="1"/>
  <c r="F3191" i="1"/>
  <c r="B3192" i="1"/>
  <c r="A3192" i="1"/>
  <c r="E3192" i="1"/>
  <c r="F3192" i="1"/>
  <c r="B3193" i="1"/>
  <c r="A3193" i="1"/>
  <c r="E3193" i="1"/>
  <c r="F3193" i="1"/>
  <c r="B3194" i="1"/>
  <c r="A3194" i="1"/>
  <c r="E3194" i="1"/>
  <c r="F3194" i="1"/>
  <c r="B3195" i="1"/>
  <c r="A3195" i="1"/>
  <c r="E3195" i="1"/>
  <c r="F3195" i="1"/>
  <c r="B3196" i="1"/>
  <c r="A3196" i="1"/>
  <c r="E3196" i="1"/>
  <c r="F3196" i="1"/>
  <c r="B3197" i="1"/>
  <c r="A3197" i="1"/>
  <c r="E3197" i="1"/>
  <c r="F3197" i="1"/>
  <c r="B3198" i="1"/>
  <c r="A3198" i="1"/>
  <c r="E3198" i="1"/>
  <c r="F3198" i="1"/>
  <c r="B3199" i="1"/>
  <c r="A3199" i="1"/>
  <c r="E3199" i="1"/>
  <c r="F3199" i="1"/>
  <c r="B3200" i="1"/>
  <c r="A3200" i="1"/>
  <c r="E3200" i="1"/>
  <c r="F3200" i="1"/>
  <c r="B3201" i="1"/>
  <c r="A3201" i="1"/>
  <c r="E3201" i="1"/>
  <c r="F3201" i="1"/>
  <c r="B3202" i="1"/>
  <c r="A3202" i="1"/>
  <c r="E3202" i="1"/>
  <c r="F3202" i="1"/>
  <c r="B3203" i="1"/>
  <c r="A3203" i="1"/>
  <c r="E3203" i="1"/>
  <c r="F3203" i="1"/>
  <c r="B3204" i="1"/>
  <c r="A3204" i="1"/>
  <c r="E3204" i="1"/>
  <c r="F3204" i="1"/>
  <c r="B3205" i="1"/>
  <c r="A3205" i="1"/>
  <c r="E3205" i="1"/>
  <c r="F3205" i="1"/>
  <c r="B3206" i="1"/>
  <c r="A3206" i="1"/>
  <c r="E3206" i="1"/>
  <c r="F3206" i="1"/>
  <c r="B3207" i="1"/>
  <c r="A3207" i="1"/>
  <c r="E3207" i="1"/>
  <c r="F3207" i="1"/>
  <c r="B3208" i="1"/>
  <c r="A3208" i="1"/>
  <c r="E3208" i="1"/>
  <c r="F3208" i="1"/>
  <c r="B3209" i="1"/>
  <c r="A3209" i="1"/>
  <c r="E3209" i="1"/>
  <c r="F3209" i="1"/>
  <c r="B3210" i="1"/>
  <c r="A3210" i="1"/>
  <c r="E3210" i="1"/>
  <c r="F3210" i="1"/>
  <c r="B3211" i="1"/>
  <c r="A3211" i="1"/>
  <c r="E3211" i="1"/>
  <c r="F3211" i="1"/>
  <c r="B3212" i="1"/>
  <c r="A3212" i="1"/>
  <c r="E3212" i="1"/>
  <c r="F3212" i="1"/>
  <c r="B3213" i="1"/>
  <c r="A3213" i="1"/>
  <c r="E3213" i="1"/>
  <c r="F3213" i="1"/>
  <c r="G3213" i="1"/>
  <c r="B3214" i="1"/>
  <c r="A3214" i="1"/>
  <c r="E3214" i="1"/>
  <c r="F3214" i="1"/>
  <c r="B3215" i="1"/>
  <c r="A3215" i="1"/>
  <c r="E3215" i="1"/>
  <c r="F3215" i="1"/>
  <c r="B3216" i="1"/>
  <c r="A3216" i="1"/>
  <c r="E3216" i="1"/>
  <c r="F3216" i="1"/>
  <c r="B3217" i="1"/>
  <c r="A3217" i="1"/>
  <c r="E3217" i="1"/>
  <c r="F3217" i="1"/>
  <c r="B3218" i="1"/>
  <c r="A3218" i="1"/>
  <c r="E3218" i="1"/>
  <c r="F3218" i="1"/>
  <c r="B3219" i="1"/>
  <c r="A3219" i="1"/>
  <c r="E3219" i="1"/>
  <c r="F3219" i="1"/>
  <c r="B3220" i="1"/>
  <c r="A3220" i="1"/>
  <c r="E3220" i="1"/>
  <c r="F3220" i="1"/>
  <c r="B3221" i="1"/>
  <c r="A3221" i="1"/>
  <c r="E3221" i="1"/>
  <c r="F3221" i="1"/>
  <c r="G3221" i="1"/>
  <c r="B3222" i="1"/>
  <c r="A3222" i="1"/>
  <c r="E3222" i="1"/>
  <c r="F3222" i="1"/>
  <c r="B3223" i="1"/>
  <c r="A3223" i="1"/>
  <c r="E3223" i="1"/>
  <c r="F3223" i="1"/>
  <c r="G3223" i="1"/>
  <c r="B3224" i="1"/>
  <c r="A3224" i="1"/>
  <c r="E3224" i="1"/>
  <c r="F3224" i="1"/>
  <c r="B3225" i="1"/>
  <c r="A3225" i="1"/>
  <c r="E3225" i="1"/>
  <c r="F3225" i="1"/>
  <c r="B3226" i="1"/>
  <c r="A3226" i="1"/>
  <c r="E3226" i="1"/>
  <c r="F3226" i="1"/>
  <c r="B3227" i="1"/>
  <c r="A3227" i="1"/>
  <c r="E3227" i="1"/>
  <c r="F3227" i="1"/>
  <c r="B3228" i="1"/>
  <c r="A3228" i="1"/>
  <c r="E3228" i="1"/>
  <c r="F3228" i="1"/>
  <c r="B3229" i="1"/>
  <c r="A3229" i="1"/>
  <c r="E3229" i="1"/>
  <c r="F3229" i="1"/>
  <c r="G3229" i="1"/>
  <c r="B3230" i="1"/>
  <c r="A3230" i="1"/>
  <c r="E3230" i="1"/>
  <c r="F3230" i="1"/>
  <c r="B3231" i="1"/>
  <c r="A3231" i="1"/>
  <c r="E3231" i="1"/>
  <c r="F3231" i="1"/>
  <c r="B3232" i="1"/>
  <c r="A3232" i="1"/>
  <c r="E3232" i="1"/>
  <c r="F3232" i="1"/>
  <c r="B3233" i="1"/>
  <c r="A3233" i="1"/>
  <c r="E3233" i="1"/>
  <c r="F3233" i="1"/>
  <c r="B3234" i="1"/>
  <c r="A3234" i="1"/>
  <c r="E3234" i="1"/>
  <c r="F3234" i="1"/>
  <c r="B3235" i="1"/>
  <c r="A3235" i="1"/>
  <c r="E3235" i="1"/>
  <c r="F3235" i="1"/>
  <c r="B3236" i="1"/>
  <c r="A3236" i="1"/>
  <c r="E3236" i="1"/>
  <c r="F3236" i="1"/>
  <c r="B3237" i="1"/>
  <c r="A3237" i="1"/>
  <c r="E3237" i="1"/>
  <c r="F3237" i="1"/>
  <c r="B3238" i="1"/>
  <c r="A3238" i="1"/>
  <c r="E3238" i="1"/>
  <c r="F3238" i="1"/>
  <c r="B3239" i="1"/>
  <c r="A3239" i="1"/>
  <c r="E3239" i="1"/>
  <c r="F3239" i="1"/>
  <c r="B3240" i="1"/>
  <c r="A3240" i="1"/>
  <c r="E3240" i="1"/>
  <c r="F3240" i="1"/>
  <c r="B3241" i="1"/>
  <c r="A3241" i="1"/>
  <c r="E3241" i="1"/>
  <c r="F3241" i="1"/>
  <c r="B3242" i="1"/>
  <c r="A3242" i="1"/>
  <c r="E3242" i="1"/>
  <c r="F3242" i="1"/>
  <c r="G3242" i="1"/>
  <c r="B3243" i="1"/>
  <c r="A3243" i="1"/>
  <c r="E3243" i="1"/>
  <c r="F3243" i="1"/>
  <c r="B3244" i="1"/>
  <c r="A3244" i="1"/>
  <c r="E3244" i="1"/>
  <c r="F3244" i="1"/>
  <c r="B3245" i="1"/>
  <c r="A3245" i="1"/>
  <c r="E3245" i="1"/>
  <c r="F3245" i="1"/>
  <c r="G3245" i="1"/>
  <c r="B3246" i="1"/>
  <c r="A3246" i="1"/>
  <c r="E3246" i="1"/>
  <c r="F3246" i="1"/>
  <c r="B3247" i="1"/>
  <c r="A3247" i="1"/>
  <c r="E3247" i="1"/>
  <c r="F3247" i="1"/>
  <c r="B3248" i="1"/>
  <c r="A3248" i="1"/>
  <c r="E3248" i="1"/>
  <c r="F3248" i="1"/>
  <c r="B3249" i="1"/>
  <c r="A3249" i="1"/>
  <c r="E3249" i="1"/>
  <c r="F3249" i="1"/>
  <c r="G3249" i="1"/>
  <c r="B3250" i="1"/>
  <c r="A3250" i="1"/>
  <c r="E3250" i="1"/>
  <c r="F3250" i="1"/>
  <c r="B3251" i="1"/>
  <c r="A3251" i="1"/>
  <c r="E3251" i="1"/>
  <c r="F3251" i="1"/>
  <c r="B3252" i="1"/>
  <c r="A3252" i="1"/>
  <c r="E3252" i="1"/>
  <c r="F3252" i="1"/>
  <c r="B3253" i="1"/>
  <c r="A3253" i="1"/>
  <c r="E3253" i="1"/>
  <c r="F3253" i="1"/>
  <c r="B3254" i="1"/>
  <c r="A3254" i="1"/>
  <c r="E3254" i="1"/>
  <c r="F3254" i="1"/>
  <c r="B3255" i="1"/>
  <c r="A3255" i="1"/>
  <c r="E3255" i="1"/>
  <c r="F3255" i="1"/>
  <c r="B3256" i="1"/>
  <c r="A3256" i="1"/>
  <c r="E3256" i="1"/>
  <c r="F3256" i="1"/>
  <c r="G3256" i="1"/>
  <c r="B3257" i="1"/>
  <c r="A3257" i="1"/>
  <c r="E3257" i="1"/>
  <c r="F3257" i="1"/>
  <c r="G3257" i="1"/>
  <c r="B3258" i="1"/>
  <c r="A3258" i="1"/>
  <c r="E3258" i="1"/>
  <c r="F3258" i="1"/>
  <c r="B3259" i="1"/>
  <c r="A3259" i="1"/>
  <c r="E3259" i="1"/>
  <c r="F3259" i="1"/>
  <c r="B3260" i="1"/>
  <c r="A3260" i="1"/>
  <c r="E3260" i="1"/>
  <c r="F3260" i="1"/>
  <c r="B3261" i="1"/>
  <c r="A3261" i="1"/>
  <c r="E3261" i="1"/>
  <c r="F3261" i="1"/>
  <c r="B3262" i="1"/>
  <c r="A3262" i="1"/>
  <c r="E3262" i="1"/>
  <c r="F3262" i="1"/>
  <c r="B3263" i="1"/>
  <c r="A3263" i="1"/>
  <c r="E3263" i="1"/>
  <c r="F3263" i="1"/>
  <c r="B3264" i="1"/>
  <c r="A3264" i="1"/>
  <c r="E3264" i="1"/>
  <c r="F3264" i="1"/>
  <c r="G3264" i="1"/>
  <c r="B3265" i="1"/>
  <c r="A3265" i="1"/>
  <c r="E3265" i="1"/>
  <c r="F3265" i="1"/>
  <c r="B3266" i="1"/>
  <c r="A3266" i="1"/>
  <c r="E3266" i="1"/>
  <c r="F3266" i="1"/>
  <c r="G3266" i="1"/>
  <c r="B3267" i="1"/>
  <c r="A3267" i="1"/>
  <c r="E3267" i="1"/>
  <c r="F3267" i="1"/>
  <c r="G3267" i="1"/>
  <c r="B3268" i="1"/>
  <c r="A3268" i="1"/>
  <c r="E3268" i="1"/>
  <c r="F3268" i="1"/>
  <c r="B3269" i="1"/>
  <c r="A3269" i="1"/>
  <c r="E3269" i="1"/>
  <c r="F3269" i="1"/>
  <c r="B3270" i="1"/>
  <c r="A3270" i="1"/>
  <c r="E3270" i="1"/>
  <c r="F3270" i="1"/>
  <c r="B3271" i="1"/>
  <c r="A3271" i="1"/>
  <c r="E3271" i="1"/>
  <c r="F3271" i="1"/>
  <c r="B3272" i="1"/>
  <c r="A3272" i="1"/>
  <c r="E3272" i="1"/>
  <c r="F3272" i="1"/>
  <c r="B3273" i="1"/>
  <c r="A3273" i="1"/>
  <c r="E3273" i="1"/>
  <c r="F3273" i="1"/>
  <c r="B3274" i="1"/>
  <c r="A3274" i="1"/>
  <c r="E3274" i="1"/>
  <c r="F3274" i="1"/>
  <c r="B3275" i="1"/>
  <c r="A3275" i="1"/>
  <c r="E3275" i="1"/>
  <c r="F3275" i="1"/>
  <c r="B3276" i="1"/>
  <c r="A3276" i="1"/>
  <c r="E3276" i="1"/>
  <c r="F3276" i="1"/>
  <c r="B3277" i="1"/>
  <c r="A3277" i="1"/>
  <c r="E3277" i="1"/>
  <c r="F3277" i="1"/>
  <c r="B3278" i="1"/>
  <c r="A3278" i="1"/>
  <c r="E3278" i="1"/>
  <c r="F3278" i="1"/>
  <c r="B3279" i="1"/>
  <c r="A3279" i="1"/>
  <c r="E3279" i="1"/>
  <c r="F3279" i="1"/>
  <c r="G3279" i="1"/>
  <c r="B3280" i="1"/>
  <c r="A3280" i="1"/>
  <c r="E3280" i="1"/>
  <c r="F3280" i="1"/>
  <c r="B3281" i="1"/>
  <c r="A3281" i="1"/>
  <c r="E3281" i="1"/>
  <c r="F3281" i="1"/>
  <c r="B3282" i="1"/>
  <c r="A3282" i="1"/>
  <c r="E3282" i="1"/>
  <c r="F3282" i="1"/>
  <c r="G3282" i="1"/>
  <c r="B3283" i="1"/>
  <c r="A3283" i="1"/>
  <c r="E3283" i="1"/>
  <c r="F3283" i="1"/>
  <c r="B3284" i="1"/>
  <c r="A3284" i="1"/>
  <c r="E3284" i="1"/>
  <c r="F3284" i="1"/>
  <c r="G3284" i="1"/>
  <c r="B3285" i="1"/>
  <c r="A3285" i="1"/>
  <c r="E3285" i="1"/>
  <c r="F3285" i="1"/>
  <c r="G3285" i="1"/>
  <c r="B3286" i="1"/>
  <c r="A3286" i="1"/>
  <c r="E3286" i="1"/>
  <c r="F3286" i="1"/>
  <c r="G3286" i="1"/>
  <c r="B3287" i="1"/>
  <c r="A3287" i="1"/>
  <c r="E3287" i="1"/>
  <c r="F3287" i="1"/>
  <c r="G3287" i="1"/>
  <c r="B3288" i="1"/>
  <c r="A3288" i="1"/>
  <c r="E3288" i="1"/>
  <c r="F3288" i="1"/>
  <c r="G3288" i="1"/>
  <c r="B3289" i="1"/>
  <c r="A3289" i="1"/>
  <c r="E3289" i="1"/>
  <c r="F3289" i="1"/>
  <c r="B3290" i="1"/>
  <c r="A3290" i="1"/>
  <c r="E3290" i="1"/>
  <c r="F3290" i="1"/>
  <c r="G3290" i="1"/>
  <c r="B3291" i="1"/>
  <c r="A3291" i="1"/>
  <c r="E3291" i="1"/>
  <c r="F3291" i="1"/>
  <c r="G3291" i="1"/>
  <c r="B3292" i="1"/>
  <c r="A3292" i="1"/>
  <c r="E3292" i="1"/>
  <c r="F3292" i="1"/>
  <c r="G3292" i="1"/>
  <c r="B3293" i="1"/>
  <c r="A3293" i="1"/>
  <c r="E3293" i="1"/>
  <c r="F3293" i="1"/>
  <c r="B3294" i="1"/>
  <c r="A3294" i="1"/>
  <c r="E3294" i="1"/>
  <c r="F3294" i="1"/>
  <c r="B3295" i="1"/>
  <c r="A3295" i="1"/>
  <c r="E3295" i="1"/>
  <c r="F3295" i="1"/>
  <c r="B3296" i="1"/>
  <c r="A3296" i="1"/>
  <c r="E3296" i="1"/>
  <c r="F3296" i="1"/>
  <c r="B3297" i="1"/>
  <c r="A3297" i="1"/>
  <c r="E3297" i="1"/>
  <c r="F3297" i="1"/>
  <c r="B3298" i="1"/>
  <c r="A3298" i="1"/>
  <c r="E3298" i="1"/>
  <c r="F3298" i="1"/>
  <c r="B3299" i="1"/>
  <c r="A3299" i="1"/>
  <c r="E3299" i="1"/>
  <c r="F3299" i="1"/>
  <c r="B3300" i="1"/>
  <c r="A3300" i="1"/>
  <c r="E3300" i="1"/>
  <c r="F3300" i="1"/>
  <c r="B3301" i="1"/>
  <c r="A3301" i="1"/>
  <c r="E3301" i="1"/>
  <c r="F3301" i="1"/>
  <c r="B3302" i="1"/>
  <c r="A3302" i="1"/>
  <c r="E3302" i="1"/>
  <c r="F3302" i="1"/>
  <c r="B3303" i="1"/>
  <c r="A3303" i="1"/>
  <c r="E3303" i="1"/>
  <c r="F3303" i="1"/>
  <c r="B3304" i="1"/>
  <c r="A3304" i="1"/>
  <c r="E3304" i="1"/>
  <c r="F3304" i="1"/>
  <c r="G3304" i="1"/>
  <c r="B3305" i="1"/>
  <c r="A3305" i="1"/>
  <c r="E3305" i="1"/>
  <c r="F3305" i="1"/>
  <c r="G3305" i="1"/>
  <c r="B3306" i="1"/>
  <c r="A3306" i="1"/>
  <c r="E3306" i="1"/>
  <c r="F3306" i="1"/>
  <c r="G3306" i="1"/>
  <c r="B3307" i="1"/>
  <c r="A3307" i="1"/>
  <c r="E3307" i="1"/>
  <c r="F3307" i="1"/>
  <c r="B3308" i="1"/>
  <c r="A3308" i="1"/>
  <c r="E3308" i="1"/>
  <c r="F3308" i="1"/>
  <c r="B3309" i="1"/>
  <c r="A3309" i="1"/>
  <c r="E3309" i="1"/>
  <c r="F3309" i="1"/>
  <c r="B3310" i="1"/>
  <c r="A3310" i="1"/>
  <c r="E3310" i="1"/>
  <c r="F3310" i="1"/>
  <c r="B3311" i="1"/>
  <c r="A3311" i="1"/>
  <c r="E3311" i="1"/>
  <c r="F3311" i="1"/>
  <c r="B3312" i="1"/>
  <c r="A3312" i="1"/>
  <c r="E3312" i="1"/>
  <c r="F3312" i="1"/>
  <c r="B3313" i="1"/>
  <c r="A3313" i="1"/>
  <c r="E3313" i="1"/>
  <c r="F3313" i="1"/>
  <c r="B3314" i="1"/>
  <c r="A3314" i="1"/>
  <c r="E3314" i="1"/>
  <c r="F3314" i="1"/>
  <c r="B3315" i="1"/>
  <c r="A3315" i="1"/>
  <c r="E3315" i="1"/>
  <c r="F3315" i="1"/>
  <c r="B3316" i="1"/>
  <c r="A3316" i="1"/>
  <c r="E3316" i="1"/>
  <c r="F3316" i="1"/>
  <c r="B3317" i="1"/>
  <c r="A3317" i="1"/>
  <c r="E3317" i="1"/>
  <c r="F3317" i="1"/>
  <c r="B3318" i="1"/>
  <c r="A3318" i="1"/>
  <c r="E3318" i="1"/>
  <c r="F3318" i="1"/>
  <c r="B3319" i="1"/>
  <c r="A3319" i="1"/>
  <c r="E3319" i="1"/>
  <c r="F3319" i="1"/>
  <c r="B3320" i="1"/>
  <c r="A3320" i="1"/>
  <c r="E3320" i="1"/>
  <c r="F3320" i="1"/>
  <c r="B3321" i="1"/>
  <c r="A3321" i="1"/>
  <c r="E3321" i="1"/>
  <c r="F3321" i="1"/>
  <c r="B3322" i="1"/>
  <c r="A3322" i="1"/>
  <c r="E3322" i="1"/>
  <c r="F3322" i="1"/>
  <c r="B3323" i="1"/>
  <c r="A3323" i="1"/>
  <c r="E3323" i="1"/>
  <c r="F3323" i="1"/>
  <c r="B3324" i="1"/>
  <c r="A3324" i="1"/>
  <c r="E3324" i="1"/>
  <c r="F3324" i="1"/>
  <c r="B3325" i="1"/>
  <c r="A3325" i="1"/>
  <c r="E3325" i="1"/>
  <c r="F3325" i="1"/>
  <c r="B3326" i="1"/>
  <c r="A3326" i="1"/>
  <c r="E3326" i="1"/>
  <c r="F3326" i="1"/>
  <c r="B3327" i="1"/>
  <c r="A3327" i="1"/>
  <c r="E3327" i="1"/>
  <c r="F3327" i="1"/>
  <c r="B3328" i="1"/>
  <c r="A3328" i="1"/>
  <c r="E3328" i="1"/>
  <c r="F3328" i="1"/>
  <c r="B3329" i="1"/>
  <c r="A3329" i="1"/>
  <c r="E3329" i="1"/>
  <c r="F3329" i="1"/>
  <c r="B3330" i="1"/>
  <c r="A3330" i="1"/>
  <c r="E3330" i="1"/>
  <c r="F3330" i="1"/>
  <c r="B3331" i="1"/>
  <c r="A3331" i="1"/>
  <c r="E3331" i="1"/>
  <c r="F3331" i="1"/>
  <c r="B3332" i="1"/>
  <c r="A3332" i="1"/>
  <c r="E3332" i="1"/>
  <c r="F3332" i="1"/>
  <c r="B3333" i="1"/>
  <c r="A3333" i="1"/>
  <c r="E3333" i="1"/>
  <c r="F3333" i="1"/>
  <c r="B3334" i="1"/>
  <c r="A3334" i="1"/>
  <c r="E3334" i="1"/>
  <c r="F3334" i="1"/>
  <c r="G3334" i="1"/>
  <c r="B3335" i="1"/>
  <c r="A3335" i="1"/>
  <c r="E3335" i="1"/>
  <c r="F3335" i="1"/>
  <c r="B3336" i="1"/>
  <c r="A3336" i="1"/>
  <c r="E3336" i="1"/>
  <c r="F3336" i="1"/>
  <c r="G3336" i="1"/>
  <c r="B3337" i="1"/>
  <c r="A3337" i="1"/>
  <c r="E3337" i="1"/>
  <c r="F3337" i="1"/>
  <c r="B3338" i="1"/>
  <c r="A3338" i="1"/>
  <c r="E3338" i="1"/>
  <c r="F3338" i="1"/>
  <c r="B3339" i="1"/>
  <c r="A3339" i="1"/>
  <c r="E3339" i="1"/>
  <c r="F3339" i="1"/>
  <c r="B3340" i="1"/>
  <c r="A3340" i="1"/>
  <c r="E3340" i="1"/>
  <c r="F3340" i="1"/>
  <c r="B3341" i="1"/>
  <c r="A3341" i="1"/>
  <c r="E3341" i="1"/>
  <c r="F3341" i="1"/>
  <c r="G3341" i="1"/>
  <c r="B3342" i="1"/>
  <c r="A3342" i="1"/>
  <c r="E3342" i="1"/>
  <c r="F3342" i="1"/>
  <c r="G3342" i="1"/>
  <c r="B3343" i="1"/>
  <c r="A3343" i="1"/>
  <c r="E3343" i="1"/>
  <c r="F3343" i="1"/>
  <c r="B3344" i="1"/>
  <c r="A3344" i="1"/>
  <c r="E3344" i="1"/>
  <c r="F3344" i="1"/>
  <c r="B3345" i="1"/>
  <c r="A3345" i="1"/>
  <c r="E3345" i="1"/>
  <c r="F3345" i="1"/>
  <c r="B3346" i="1"/>
  <c r="A3346" i="1"/>
  <c r="E3346" i="1"/>
  <c r="F3346" i="1"/>
  <c r="B3347" i="1"/>
  <c r="A3347" i="1"/>
  <c r="E3347" i="1"/>
  <c r="F3347" i="1"/>
  <c r="B3348" i="1"/>
  <c r="A3348" i="1"/>
  <c r="E3348" i="1"/>
  <c r="F3348" i="1"/>
  <c r="B3349" i="1"/>
  <c r="A3349" i="1"/>
  <c r="E3349" i="1"/>
  <c r="F3349" i="1"/>
  <c r="B3350" i="1"/>
  <c r="A3350" i="1"/>
  <c r="E3350" i="1"/>
  <c r="F3350" i="1"/>
  <c r="G3350" i="1"/>
  <c r="B3351" i="1"/>
  <c r="A3351" i="1"/>
  <c r="E3351" i="1"/>
  <c r="F3351" i="1"/>
  <c r="B3352" i="1"/>
  <c r="A3352" i="1"/>
  <c r="E3352" i="1"/>
  <c r="F3352" i="1"/>
  <c r="B3353" i="1"/>
  <c r="A3353" i="1"/>
  <c r="E3353" i="1"/>
  <c r="F3353" i="1"/>
  <c r="B3354" i="1"/>
  <c r="A3354" i="1"/>
  <c r="E3354" i="1"/>
  <c r="F3354" i="1"/>
  <c r="B3355" i="1"/>
  <c r="A3355" i="1"/>
  <c r="E3355" i="1"/>
  <c r="F3355" i="1"/>
  <c r="B3356" i="1"/>
  <c r="A3356" i="1"/>
  <c r="E3356" i="1"/>
  <c r="F3356" i="1"/>
  <c r="B3357" i="1"/>
  <c r="A3357" i="1"/>
  <c r="E3357" i="1"/>
  <c r="F3357" i="1"/>
  <c r="B3358" i="1"/>
  <c r="A3358" i="1"/>
  <c r="E3358" i="1"/>
  <c r="F3358" i="1"/>
  <c r="B3359" i="1"/>
  <c r="A3359" i="1"/>
  <c r="E3359" i="1"/>
  <c r="F3359" i="1"/>
  <c r="B3360" i="1"/>
  <c r="A3360" i="1"/>
  <c r="E3360" i="1"/>
  <c r="F3360" i="1"/>
  <c r="B3361" i="1"/>
  <c r="A3361" i="1"/>
  <c r="E3361" i="1"/>
  <c r="F3361" i="1"/>
  <c r="B3362" i="1"/>
  <c r="A3362" i="1"/>
  <c r="E3362" i="1"/>
  <c r="F3362" i="1"/>
  <c r="G3362" i="1"/>
  <c r="B3363" i="1"/>
  <c r="A3363" i="1"/>
  <c r="E3363" i="1"/>
  <c r="F3363" i="1"/>
  <c r="G3363" i="1"/>
  <c r="B3364" i="1"/>
  <c r="A3364" i="1"/>
  <c r="E3364" i="1"/>
  <c r="F3364" i="1"/>
  <c r="G3364" i="1"/>
  <c r="B3365" i="1"/>
  <c r="A3365" i="1"/>
  <c r="E3365" i="1"/>
  <c r="F3365" i="1"/>
  <c r="B3366" i="1"/>
  <c r="A3366" i="1"/>
  <c r="E3366" i="1"/>
  <c r="F3366" i="1"/>
  <c r="B3367" i="1"/>
  <c r="A3367" i="1"/>
  <c r="E3367" i="1"/>
  <c r="F3367" i="1"/>
  <c r="G3367" i="1"/>
  <c r="B3368" i="1"/>
  <c r="A3368" i="1"/>
  <c r="E3368" i="1"/>
  <c r="F3368" i="1"/>
  <c r="B3369" i="1"/>
  <c r="A3369" i="1"/>
  <c r="E3369" i="1"/>
  <c r="F3369" i="1"/>
  <c r="B3370" i="1"/>
  <c r="A3370" i="1"/>
  <c r="E3370" i="1"/>
  <c r="F3370" i="1"/>
  <c r="B3371" i="1"/>
  <c r="A3371" i="1"/>
  <c r="E3371" i="1"/>
  <c r="F3371" i="1"/>
  <c r="B3372" i="1"/>
  <c r="A3372" i="1"/>
  <c r="E3372" i="1"/>
  <c r="F3372" i="1"/>
  <c r="G3372" i="1"/>
  <c r="B3373" i="1"/>
  <c r="A3373" i="1"/>
  <c r="E3373" i="1"/>
  <c r="F3373" i="1"/>
  <c r="G3373" i="1"/>
  <c r="B3374" i="1"/>
  <c r="A3374" i="1"/>
  <c r="E3374" i="1"/>
  <c r="F3374" i="1"/>
  <c r="B3375" i="1"/>
  <c r="A3375" i="1"/>
  <c r="E3375" i="1"/>
  <c r="F3375" i="1"/>
  <c r="B3376" i="1"/>
  <c r="A3376" i="1"/>
  <c r="E3376" i="1"/>
  <c r="F3376" i="1"/>
  <c r="B3377" i="1"/>
  <c r="A3377" i="1"/>
  <c r="E3377" i="1"/>
  <c r="F3377" i="1"/>
  <c r="B3378" i="1"/>
  <c r="A3378" i="1"/>
  <c r="E3378" i="1"/>
  <c r="F3378" i="1"/>
  <c r="B3379" i="1"/>
  <c r="A3379" i="1"/>
  <c r="E3379" i="1"/>
  <c r="F3379" i="1"/>
  <c r="B3380" i="1"/>
  <c r="A3380" i="1"/>
  <c r="E3380" i="1"/>
  <c r="F3380" i="1"/>
  <c r="B3381" i="1"/>
  <c r="A3381" i="1"/>
  <c r="E3381" i="1"/>
  <c r="F3381" i="1"/>
  <c r="B3382" i="1"/>
  <c r="A3382" i="1"/>
  <c r="E3382" i="1"/>
  <c r="F3382" i="1"/>
  <c r="B3383" i="1"/>
  <c r="A3383" i="1"/>
  <c r="E3383" i="1"/>
  <c r="F3383" i="1"/>
  <c r="G3383" i="1"/>
  <c r="B3384" i="1"/>
  <c r="A3384" i="1"/>
  <c r="E3384" i="1"/>
  <c r="F3384" i="1"/>
  <c r="B3385" i="1"/>
  <c r="A3385" i="1"/>
  <c r="E3385" i="1"/>
  <c r="F3385" i="1"/>
  <c r="B3386" i="1"/>
  <c r="A3386" i="1"/>
  <c r="E3386" i="1"/>
  <c r="F3386" i="1"/>
  <c r="B3387" i="1"/>
  <c r="A3387" i="1"/>
  <c r="E3387" i="1"/>
  <c r="F3387" i="1"/>
  <c r="G3387" i="1"/>
  <c r="B3388" i="1"/>
  <c r="A3388" i="1"/>
  <c r="E3388" i="1"/>
  <c r="F3388" i="1"/>
  <c r="B3389" i="1"/>
  <c r="A3389" i="1"/>
  <c r="E3389" i="1"/>
  <c r="F3389" i="1"/>
  <c r="B3390" i="1"/>
  <c r="A3390" i="1"/>
  <c r="E3390" i="1"/>
  <c r="F3390" i="1"/>
  <c r="B3391" i="1"/>
  <c r="A3391" i="1"/>
  <c r="E3391" i="1"/>
  <c r="F3391" i="1"/>
  <c r="B3392" i="1"/>
  <c r="A3392" i="1"/>
  <c r="E3392" i="1"/>
  <c r="F3392" i="1"/>
  <c r="G3392" i="1"/>
  <c r="B3393" i="1"/>
  <c r="A3393" i="1"/>
  <c r="E3393" i="1"/>
  <c r="F3393" i="1"/>
  <c r="B3394" i="1"/>
  <c r="A3394" i="1"/>
  <c r="E3394" i="1"/>
  <c r="F3394" i="1"/>
  <c r="B3395" i="1"/>
  <c r="A3395" i="1"/>
  <c r="E3395" i="1"/>
  <c r="F3395" i="1"/>
  <c r="B3396" i="1"/>
  <c r="A3396" i="1"/>
  <c r="E3396" i="1"/>
  <c r="F3396" i="1"/>
  <c r="G3396" i="1"/>
  <c r="B3397" i="1"/>
  <c r="A3397" i="1"/>
  <c r="E3397" i="1"/>
  <c r="F3397" i="1"/>
  <c r="G3397" i="1"/>
  <c r="B3398" i="1"/>
  <c r="A3398" i="1"/>
  <c r="E3398" i="1"/>
  <c r="F3398" i="1"/>
  <c r="B3399" i="1"/>
  <c r="A3399" i="1"/>
  <c r="E3399" i="1"/>
  <c r="F3399" i="1"/>
  <c r="B3400" i="1"/>
  <c r="A3400" i="1"/>
  <c r="E3400" i="1"/>
  <c r="F3400" i="1"/>
  <c r="B3401" i="1"/>
  <c r="A3401" i="1"/>
  <c r="E3401" i="1"/>
  <c r="F3401" i="1"/>
  <c r="B3402" i="1"/>
  <c r="A3402" i="1"/>
  <c r="E3402" i="1"/>
  <c r="F3402" i="1"/>
  <c r="B3403" i="1"/>
  <c r="A3403" i="1"/>
  <c r="E3403" i="1"/>
  <c r="F3403" i="1"/>
  <c r="G3403" i="1"/>
  <c r="B3404" i="1"/>
  <c r="A3404" i="1"/>
  <c r="E3404" i="1"/>
  <c r="F3404" i="1"/>
  <c r="B3405" i="1"/>
  <c r="A3405" i="1"/>
  <c r="E3405" i="1"/>
  <c r="F3405" i="1"/>
  <c r="G3405" i="1"/>
  <c r="B3406" i="1"/>
  <c r="A3406" i="1"/>
  <c r="E3406" i="1"/>
  <c r="F3406" i="1"/>
  <c r="B3407" i="1"/>
  <c r="A3407" i="1"/>
  <c r="E3407" i="1"/>
  <c r="F3407" i="1"/>
  <c r="B3408" i="1"/>
  <c r="A3408" i="1"/>
  <c r="E3408" i="1"/>
  <c r="F3408" i="1"/>
  <c r="G3408" i="1"/>
  <c r="B3409" i="1"/>
  <c r="A3409" i="1"/>
  <c r="E3409" i="1"/>
  <c r="F3409" i="1"/>
  <c r="G3409" i="1"/>
  <c r="B3410" i="1"/>
  <c r="A3410" i="1"/>
  <c r="E3410" i="1"/>
  <c r="F3410" i="1"/>
  <c r="B3411" i="1"/>
  <c r="A3411" i="1"/>
  <c r="E3411" i="1"/>
  <c r="F3411" i="1"/>
  <c r="B3412" i="1"/>
  <c r="A3412" i="1"/>
  <c r="E3412" i="1"/>
  <c r="F3412" i="1"/>
  <c r="B3413" i="1"/>
  <c r="A3413" i="1"/>
  <c r="E3413" i="1"/>
  <c r="F3413" i="1"/>
  <c r="B3414" i="1"/>
  <c r="A3414" i="1"/>
  <c r="E3414" i="1"/>
  <c r="F3414" i="1"/>
  <c r="B3415" i="1"/>
  <c r="A3415" i="1"/>
  <c r="E3415" i="1"/>
  <c r="F3415" i="1"/>
  <c r="B3416" i="1"/>
  <c r="A3416" i="1"/>
  <c r="E3416" i="1"/>
  <c r="F3416" i="1"/>
  <c r="B3417" i="1"/>
  <c r="A3417" i="1"/>
  <c r="E3417" i="1"/>
  <c r="F3417" i="1"/>
  <c r="G3417" i="1"/>
  <c r="B3418" i="1"/>
  <c r="A3418" i="1"/>
  <c r="E3418" i="1"/>
  <c r="F3418" i="1"/>
  <c r="B3419" i="1"/>
  <c r="A3419" i="1"/>
  <c r="E3419" i="1"/>
  <c r="F3419" i="1"/>
  <c r="B3420" i="1"/>
  <c r="A3420" i="1"/>
  <c r="E3420" i="1"/>
  <c r="F3420" i="1"/>
  <c r="G3420" i="1"/>
  <c r="B3421" i="1"/>
  <c r="A3421" i="1"/>
  <c r="E3421" i="1"/>
  <c r="F3421" i="1"/>
  <c r="G3421" i="1"/>
  <c r="B3422" i="1"/>
  <c r="A3422" i="1"/>
  <c r="E3422" i="1"/>
  <c r="F3422" i="1"/>
  <c r="B3423" i="1"/>
  <c r="A3423" i="1"/>
  <c r="E3423" i="1"/>
  <c r="F3423" i="1"/>
  <c r="B3424" i="1"/>
  <c r="A3424" i="1"/>
  <c r="E3424" i="1"/>
  <c r="F3424" i="1"/>
  <c r="B3425" i="1"/>
  <c r="A3425" i="1"/>
  <c r="E3425" i="1"/>
  <c r="F3425" i="1"/>
  <c r="G3425" i="1"/>
  <c r="B3426" i="1"/>
  <c r="A3426" i="1"/>
  <c r="E3426" i="1"/>
  <c r="F3426" i="1"/>
  <c r="B3427" i="1"/>
  <c r="A3427" i="1"/>
  <c r="E3427" i="1"/>
  <c r="F3427" i="1"/>
  <c r="G3427" i="1"/>
  <c r="B3428" i="1"/>
  <c r="A3428" i="1"/>
  <c r="E3428" i="1"/>
  <c r="F3428" i="1"/>
  <c r="B3429" i="1"/>
  <c r="A3429" i="1"/>
  <c r="E3429" i="1"/>
  <c r="F3429" i="1"/>
  <c r="G3429" i="1"/>
  <c r="B3430" i="1"/>
  <c r="A3430" i="1"/>
  <c r="E3430" i="1"/>
  <c r="F3430" i="1"/>
  <c r="B3431" i="1"/>
  <c r="A3431" i="1"/>
  <c r="E3431" i="1"/>
  <c r="F3431" i="1"/>
  <c r="B3432" i="1"/>
  <c r="A3432" i="1"/>
  <c r="E3432" i="1"/>
  <c r="F3432" i="1"/>
  <c r="B3433" i="1"/>
  <c r="A3433" i="1"/>
  <c r="E3433" i="1"/>
  <c r="F3433" i="1"/>
  <c r="B3434" i="1"/>
  <c r="A3434" i="1"/>
  <c r="E3434" i="1"/>
  <c r="F3434" i="1"/>
  <c r="B3435" i="1"/>
  <c r="A3435" i="1"/>
  <c r="E3435" i="1"/>
  <c r="F3435" i="1"/>
  <c r="B3436" i="1"/>
  <c r="A3436" i="1"/>
  <c r="E3436" i="1"/>
  <c r="F3436" i="1"/>
  <c r="B3437" i="1"/>
  <c r="A3437" i="1"/>
  <c r="E3437" i="1"/>
  <c r="F3437" i="1"/>
  <c r="B3438" i="1"/>
  <c r="A3438" i="1"/>
  <c r="E3438" i="1"/>
  <c r="F3438" i="1"/>
  <c r="G3438" i="1"/>
  <c r="B3439" i="1"/>
  <c r="A3439" i="1"/>
  <c r="E3439" i="1"/>
  <c r="F3439" i="1"/>
  <c r="B3440" i="1"/>
  <c r="A3440" i="1"/>
  <c r="E3440" i="1"/>
  <c r="F3440" i="1"/>
  <c r="B3441" i="1"/>
  <c r="A3441" i="1"/>
  <c r="E3441" i="1"/>
  <c r="F3441" i="1"/>
  <c r="B3442" i="1"/>
  <c r="A3442" i="1"/>
  <c r="E3442" i="1"/>
  <c r="F3442" i="1"/>
  <c r="B3443" i="1"/>
  <c r="A3443" i="1"/>
  <c r="E3443" i="1"/>
  <c r="F3443" i="1"/>
  <c r="B3444" i="1"/>
  <c r="A3444" i="1"/>
  <c r="E3444" i="1"/>
  <c r="F3444" i="1"/>
  <c r="G3444" i="1"/>
  <c r="B3445" i="1"/>
  <c r="A3445" i="1"/>
  <c r="E3445" i="1"/>
  <c r="F3445" i="1"/>
  <c r="B3446" i="1"/>
  <c r="A3446" i="1"/>
  <c r="E3446" i="1"/>
  <c r="F3446" i="1"/>
  <c r="B3447" i="1"/>
  <c r="A3447" i="1"/>
  <c r="E3447" i="1"/>
  <c r="F3447" i="1"/>
  <c r="B3448" i="1"/>
  <c r="A3448" i="1"/>
  <c r="E3448" i="1"/>
  <c r="F3448" i="1"/>
  <c r="B3449" i="1"/>
  <c r="A3449" i="1"/>
  <c r="E3449" i="1"/>
  <c r="F3449" i="1"/>
  <c r="B3450" i="1"/>
  <c r="A3450" i="1"/>
  <c r="E3450" i="1"/>
  <c r="F3450" i="1"/>
  <c r="B3451" i="1"/>
  <c r="A3451" i="1"/>
  <c r="E3451" i="1"/>
  <c r="F3451" i="1"/>
  <c r="B3452" i="1"/>
  <c r="A3452" i="1"/>
  <c r="E3452" i="1"/>
  <c r="F3452" i="1"/>
  <c r="B3453" i="1"/>
  <c r="A3453" i="1"/>
  <c r="E3453" i="1"/>
  <c r="F3453" i="1"/>
  <c r="B3454" i="1"/>
  <c r="A3454" i="1"/>
  <c r="E3454" i="1"/>
  <c r="F3454" i="1"/>
  <c r="B3455" i="1"/>
  <c r="A3455" i="1"/>
  <c r="E3455" i="1"/>
  <c r="F3455" i="1"/>
  <c r="B3456" i="1"/>
  <c r="A3456" i="1"/>
  <c r="E3456" i="1"/>
  <c r="F3456" i="1"/>
  <c r="B3457" i="1"/>
  <c r="A3457" i="1"/>
  <c r="E3457" i="1"/>
  <c r="F3457" i="1"/>
  <c r="B3458" i="1"/>
  <c r="A3458" i="1"/>
  <c r="E3458" i="1"/>
  <c r="F3458" i="1"/>
  <c r="G3458" i="1"/>
  <c r="B3459" i="1"/>
  <c r="A3459" i="1"/>
  <c r="E3459" i="1"/>
  <c r="F3459" i="1"/>
  <c r="G3459" i="1"/>
  <c r="B3460" i="1"/>
  <c r="A3460" i="1"/>
  <c r="E3460" i="1"/>
  <c r="F3460" i="1"/>
  <c r="B3461" i="1"/>
  <c r="A3461" i="1"/>
  <c r="E3461" i="1"/>
  <c r="F3461" i="1"/>
  <c r="B3462" i="1"/>
  <c r="A3462" i="1"/>
  <c r="E3462" i="1"/>
  <c r="F3462" i="1"/>
  <c r="B3463" i="1"/>
  <c r="A3463" i="1"/>
  <c r="E3463" i="1"/>
  <c r="F3463" i="1"/>
  <c r="B3464" i="1"/>
  <c r="A3464" i="1"/>
  <c r="E3464" i="1"/>
  <c r="F3464" i="1"/>
  <c r="B3465" i="1"/>
  <c r="A3465" i="1"/>
  <c r="E3465" i="1"/>
  <c r="F3465" i="1"/>
  <c r="B3466" i="1"/>
  <c r="A3466" i="1"/>
  <c r="E3466" i="1"/>
  <c r="F3466" i="1"/>
  <c r="B3467" i="1"/>
  <c r="A3467" i="1"/>
  <c r="E3467" i="1"/>
  <c r="F3467" i="1"/>
  <c r="B3468" i="1"/>
  <c r="A3468" i="1"/>
  <c r="E3468" i="1"/>
  <c r="F3468" i="1"/>
  <c r="B3469" i="1"/>
  <c r="A3469" i="1"/>
  <c r="E3469" i="1"/>
  <c r="F3469" i="1"/>
  <c r="B3470" i="1"/>
  <c r="A3470" i="1"/>
  <c r="E3470" i="1"/>
  <c r="F3470" i="1"/>
  <c r="B3471" i="1"/>
  <c r="A3471" i="1"/>
  <c r="E3471" i="1"/>
  <c r="F3471" i="1"/>
  <c r="B3472" i="1"/>
  <c r="A3472" i="1"/>
  <c r="E3472" i="1"/>
  <c r="F3472" i="1"/>
  <c r="B3473" i="1"/>
  <c r="A3473" i="1"/>
  <c r="E3473" i="1"/>
  <c r="F3473" i="1"/>
  <c r="B3474" i="1"/>
  <c r="A3474" i="1"/>
  <c r="E3474" i="1"/>
  <c r="F3474" i="1"/>
  <c r="B3475" i="1"/>
  <c r="A3475" i="1"/>
  <c r="E3475" i="1"/>
  <c r="F3475" i="1"/>
  <c r="B3476" i="1"/>
  <c r="A3476" i="1"/>
  <c r="E3476" i="1"/>
  <c r="F3476" i="1"/>
  <c r="B3477" i="1"/>
  <c r="A3477" i="1"/>
  <c r="E3477" i="1"/>
  <c r="F3477" i="1"/>
  <c r="B3478" i="1"/>
  <c r="A3478" i="1"/>
  <c r="E3478" i="1"/>
  <c r="F3478" i="1"/>
  <c r="B3479" i="1"/>
  <c r="A3479" i="1"/>
  <c r="E3479" i="1"/>
  <c r="F3479" i="1"/>
  <c r="G3479" i="1"/>
  <c r="B3480" i="1"/>
  <c r="A3480" i="1"/>
  <c r="E3480" i="1"/>
  <c r="F3480" i="1"/>
  <c r="G3480" i="1"/>
  <c r="B3481" i="1"/>
  <c r="A3481" i="1"/>
  <c r="E3481" i="1"/>
  <c r="F3481" i="1"/>
  <c r="G3481" i="1"/>
  <c r="B3482" i="1"/>
  <c r="A3482" i="1"/>
  <c r="E3482" i="1"/>
  <c r="F3482" i="1"/>
  <c r="G3482" i="1"/>
  <c r="B3483" i="1"/>
  <c r="A3483" i="1"/>
  <c r="E3483" i="1"/>
  <c r="F3483" i="1"/>
  <c r="G3483" i="1"/>
  <c r="B3484" i="1"/>
  <c r="A3484" i="1"/>
  <c r="E3484" i="1"/>
  <c r="B3485" i="1"/>
  <c r="A3485" i="1"/>
  <c r="E3485" i="1"/>
  <c r="B3486" i="1"/>
  <c r="A3486" i="1"/>
  <c r="E3486" i="1"/>
  <c r="G3486" i="1"/>
  <c r="B3487" i="1"/>
  <c r="A3487" i="1"/>
  <c r="E3487" i="1"/>
  <c r="G3487" i="1"/>
  <c r="B3488" i="1"/>
  <c r="A3488" i="1"/>
  <c r="E3488" i="1"/>
  <c r="F3488" i="1"/>
  <c r="B3489" i="1"/>
  <c r="A3489" i="1"/>
  <c r="E3489" i="1"/>
  <c r="F3489" i="1"/>
  <c r="B3490" i="1"/>
  <c r="A3490" i="1"/>
  <c r="E3490" i="1"/>
  <c r="B3491" i="1"/>
  <c r="A3491" i="1"/>
  <c r="E3491" i="1"/>
  <c r="G3491" i="1"/>
  <c r="B3492" i="1"/>
  <c r="A3492" i="1"/>
  <c r="E3492" i="1"/>
  <c r="G3492" i="1"/>
  <c r="B3493" i="1"/>
  <c r="A3493" i="1"/>
  <c r="E3493" i="1"/>
  <c r="F3493" i="1"/>
  <c r="B3494" i="1"/>
  <c r="A3494" i="1"/>
  <c r="E3494" i="1"/>
  <c r="F3494" i="1"/>
  <c r="B3495" i="1"/>
  <c r="A3495" i="1"/>
  <c r="E3495" i="1"/>
  <c r="F3495" i="1"/>
  <c r="G3495" i="1"/>
  <c r="B3496" i="1"/>
  <c r="A3496" i="1"/>
  <c r="E3496" i="1"/>
  <c r="F3496" i="1"/>
  <c r="B3497" i="1"/>
  <c r="A3497" i="1"/>
  <c r="E3497" i="1"/>
  <c r="F3497" i="1"/>
  <c r="B3498" i="1"/>
  <c r="A3498" i="1"/>
  <c r="E3498" i="1"/>
  <c r="B3499" i="1"/>
  <c r="A3499" i="1"/>
  <c r="E3499" i="1"/>
  <c r="B3500" i="1"/>
  <c r="A3500" i="1"/>
  <c r="E3500" i="1"/>
  <c r="B3501" i="1"/>
  <c r="A3501" i="1"/>
  <c r="E3501" i="1"/>
  <c r="B3502" i="1"/>
  <c r="A3502" i="1"/>
  <c r="E3502" i="1"/>
  <c r="G3502" i="1"/>
  <c r="B3503" i="1"/>
  <c r="A3503" i="1"/>
  <c r="E3503" i="1"/>
  <c r="G3503" i="1"/>
  <c r="B3504" i="1"/>
  <c r="A3504" i="1"/>
  <c r="E3504" i="1"/>
  <c r="G3504" i="1"/>
  <c r="B3505" i="1"/>
  <c r="A3505" i="1"/>
  <c r="E3505" i="1"/>
  <c r="B3506" i="1"/>
  <c r="A3506" i="1"/>
  <c r="E3506" i="1"/>
  <c r="G3506" i="1"/>
  <c r="B3507" i="1"/>
  <c r="A3507" i="1"/>
  <c r="E3507" i="1"/>
  <c r="G3507" i="1"/>
  <c r="B3508" i="1"/>
  <c r="A3508" i="1"/>
  <c r="E3508" i="1"/>
  <c r="G3508" i="1"/>
  <c r="B3509" i="1"/>
  <c r="A3509" i="1"/>
  <c r="E3509" i="1"/>
  <c r="G3509" i="1"/>
  <c r="B3510" i="1"/>
  <c r="A3510" i="1"/>
  <c r="E3510" i="1"/>
  <c r="G3510" i="1"/>
  <c r="B3511" i="1"/>
  <c r="A3511" i="1"/>
  <c r="E3511" i="1"/>
  <c r="B3512" i="1"/>
  <c r="A3512" i="1"/>
  <c r="E3512" i="1"/>
  <c r="G3512" i="1"/>
  <c r="B3513" i="1"/>
  <c r="A3513" i="1"/>
  <c r="E3513" i="1"/>
  <c r="G3513" i="1"/>
  <c r="B3514" i="1"/>
  <c r="A3514" i="1"/>
  <c r="E3514" i="1"/>
  <c r="B3515" i="1"/>
  <c r="A3515" i="1"/>
  <c r="E3515" i="1"/>
  <c r="B3516" i="1"/>
  <c r="A3516" i="1"/>
  <c r="E3516" i="1"/>
  <c r="B3517" i="1"/>
  <c r="A3517" i="1"/>
  <c r="E3517" i="1"/>
  <c r="B3518" i="1"/>
  <c r="A3518" i="1"/>
  <c r="E3518" i="1"/>
  <c r="B3519" i="1"/>
  <c r="A3519" i="1"/>
  <c r="E3519" i="1"/>
  <c r="B3520" i="1"/>
  <c r="A3520" i="1"/>
  <c r="E3520" i="1"/>
  <c r="B3521" i="1"/>
  <c r="A3521" i="1"/>
  <c r="E3521" i="1"/>
  <c r="B3522" i="1"/>
  <c r="A3522" i="1"/>
  <c r="E3522" i="1"/>
  <c r="B3523" i="1"/>
  <c r="A3523" i="1"/>
  <c r="E3523" i="1"/>
  <c r="B3524" i="1"/>
  <c r="A3524" i="1"/>
  <c r="E3524" i="1"/>
  <c r="B3525" i="1"/>
  <c r="A3525" i="1"/>
  <c r="E3525" i="1"/>
  <c r="B3526" i="1"/>
  <c r="A3526" i="1"/>
  <c r="E3526" i="1"/>
  <c r="B3527" i="1"/>
  <c r="A3527" i="1"/>
  <c r="E3527" i="1"/>
  <c r="B3528" i="1"/>
  <c r="A3528" i="1"/>
  <c r="E3528" i="1"/>
  <c r="B3529" i="1"/>
  <c r="A3529" i="1"/>
  <c r="E3529" i="1"/>
  <c r="B3530" i="1"/>
  <c r="A3530" i="1"/>
  <c r="E3530" i="1"/>
  <c r="B3531" i="1"/>
  <c r="A3531" i="1"/>
  <c r="E3531" i="1"/>
  <c r="B3532" i="1"/>
  <c r="A3532" i="1"/>
  <c r="E3532" i="1"/>
  <c r="B3533" i="1"/>
  <c r="A3533" i="1"/>
  <c r="E3533" i="1"/>
  <c r="B3534" i="1"/>
  <c r="A3534" i="1"/>
  <c r="E3534" i="1"/>
  <c r="B3535" i="1"/>
  <c r="A3535" i="1"/>
  <c r="E3535" i="1"/>
  <c r="B3536" i="1"/>
  <c r="A3536" i="1"/>
  <c r="E3536" i="1"/>
  <c r="B3537" i="1"/>
  <c r="A3537" i="1"/>
  <c r="E3537" i="1"/>
  <c r="B3538" i="1"/>
  <c r="A3538" i="1"/>
  <c r="E3538" i="1"/>
  <c r="B3539" i="1"/>
  <c r="A3539" i="1"/>
  <c r="E3539" i="1"/>
  <c r="B3540" i="1"/>
  <c r="A3540" i="1"/>
  <c r="E3540" i="1"/>
  <c r="B3541" i="1"/>
  <c r="A3541" i="1"/>
  <c r="E3541" i="1"/>
  <c r="B3542" i="1"/>
  <c r="A3542" i="1"/>
  <c r="E3542" i="1"/>
  <c r="G3542" i="1"/>
  <c r="B3543" i="1"/>
  <c r="A3543" i="1"/>
  <c r="E3543" i="1"/>
  <c r="B3544" i="1"/>
  <c r="A3544" i="1"/>
  <c r="E3544" i="1"/>
  <c r="B3545" i="1"/>
  <c r="A3545" i="1"/>
  <c r="E3545" i="1"/>
  <c r="B3546" i="1"/>
  <c r="A3546" i="1"/>
  <c r="E3546" i="1"/>
  <c r="B3547" i="1"/>
  <c r="A3547" i="1"/>
  <c r="E3547" i="1"/>
  <c r="B3548" i="1"/>
  <c r="A3548" i="1"/>
  <c r="E3548" i="1"/>
  <c r="B3549" i="1"/>
  <c r="A3549" i="1"/>
  <c r="E3549" i="1"/>
  <c r="B3550" i="1"/>
  <c r="A3550" i="1"/>
  <c r="E3550" i="1"/>
  <c r="B3551" i="1"/>
  <c r="A3551" i="1"/>
  <c r="E3551" i="1"/>
  <c r="B3552" i="1"/>
  <c r="A3552" i="1"/>
  <c r="E3552" i="1"/>
  <c r="B3553" i="1"/>
  <c r="A3553" i="1"/>
  <c r="E3553" i="1"/>
  <c r="B3554" i="1"/>
  <c r="A3554" i="1"/>
  <c r="E3554" i="1"/>
  <c r="B3555" i="1"/>
  <c r="A3555" i="1"/>
  <c r="E3555" i="1"/>
  <c r="B3556" i="1"/>
  <c r="A3556" i="1"/>
  <c r="E3556" i="1"/>
  <c r="B3557" i="1"/>
  <c r="A3557" i="1"/>
  <c r="E3557" i="1"/>
  <c r="B3558" i="1"/>
  <c r="A3558" i="1"/>
  <c r="E3558" i="1"/>
  <c r="B3559" i="1"/>
  <c r="A3559" i="1"/>
  <c r="E3559" i="1"/>
  <c r="B3560" i="1"/>
  <c r="A3560" i="1"/>
  <c r="E3560" i="1"/>
  <c r="B3561" i="1"/>
  <c r="A3561" i="1"/>
  <c r="E3561" i="1"/>
  <c r="B3562" i="1"/>
  <c r="A3562" i="1"/>
  <c r="E3562" i="1"/>
  <c r="B3563" i="1"/>
  <c r="A3563" i="1"/>
  <c r="E3563" i="1"/>
  <c r="B3564" i="1"/>
  <c r="A3564" i="1"/>
  <c r="E3564" i="1"/>
  <c r="B3565" i="1"/>
  <c r="A3565" i="1"/>
  <c r="E3565" i="1"/>
  <c r="B3566" i="1"/>
  <c r="A3566" i="1"/>
  <c r="E3566" i="1"/>
  <c r="B3567" i="1"/>
  <c r="A3567" i="1"/>
  <c r="E3567" i="1"/>
  <c r="B3568" i="1"/>
  <c r="A3568" i="1"/>
  <c r="E3568" i="1"/>
  <c r="B3569" i="1"/>
  <c r="A3569" i="1"/>
  <c r="E3569" i="1"/>
  <c r="B3570" i="1"/>
  <c r="A3570" i="1"/>
  <c r="E3570" i="1"/>
  <c r="B3571" i="1"/>
  <c r="A3571" i="1"/>
  <c r="E3571" i="1"/>
  <c r="B3572" i="1"/>
  <c r="A3572" i="1"/>
  <c r="E3572" i="1"/>
  <c r="B3573" i="1"/>
  <c r="A3573" i="1"/>
  <c r="E3573" i="1"/>
  <c r="B3574" i="1"/>
  <c r="A3574" i="1"/>
  <c r="E3574" i="1"/>
  <c r="B3575" i="1"/>
  <c r="A3575" i="1"/>
  <c r="E3575" i="1"/>
  <c r="G3575" i="1"/>
  <c r="B3576" i="1"/>
  <c r="A3576" i="1"/>
  <c r="E3576" i="1"/>
  <c r="G3576" i="1"/>
  <c r="B3577" i="1"/>
  <c r="A3577" i="1"/>
  <c r="E3577" i="1"/>
  <c r="G3577" i="1"/>
  <c r="B3578" i="1"/>
  <c r="A3578" i="1"/>
  <c r="E3578" i="1"/>
  <c r="G3578" i="1"/>
  <c r="B3579" i="1"/>
  <c r="A3579" i="1"/>
  <c r="E3579" i="1"/>
  <c r="G3579" i="1"/>
  <c r="B3580" i="1"/>
  <c r="A3580" i="1"/>
  <c r="E3580" i="1"/>
  <c r="B3581" i="1"/>
  <c r="A3581" i="1"/>
  <c r="E3581" i="1"/>
  <c r="B3582" i="1"/>
  <c r="A3582" i="1"/>
  <c r="E3582" i="1"/>
  <c r="B3583" i="1"/>
  <c r="A3583" i="1"/>
  <c r="E3583" i="1"/>
  <c r="B3584" i="1"/>
  <c r="A3584" i="1"/>
  <c r="E3584" i="1"/>
  <c r="B3585" i="1"/>
  <c r="A3585" i="1"/>
  <c r="E3585" i="1"/>
  <c r="B3586" i="1"/>
  <c r="A3586" i="1"/>
  <c r="E3586" i="1"/>
  <c r="B3587" i="1"/>
  <c r="A3587" i="1"/>
  <c r="E3587" i="1"/>
  <c r="B3588" i="1"/>
  <c r="A3588" i="1"/>
  <c r="E3588" i="1"/>
  <c r="B3589" i="1"/>
  <c r="A3589" i="1"/>
  <c r="E3589" i="1"/>
  <c r="B3590" i="1"/>
  <c r="A3590" i="1"/>
  <c r="E3590" i="1"/>
  <c r="B3591" i="1"/>
  <c r="A3591" i="1"/>
  <c r="E3591" i="1"/>
  <c r="B3592" i="1"/>
  <c r="A3592" i="1"/>
  <c r="E3592" i="1"/>
  <c r="B3593" i="1"/>
  <c r="A3593" i="1"/>
  <c r="E3593" i="1"/>
  <c r="G3593" i="1"/>
  <c r="B3594" i="1"/>
  <c r="A3594" i="1"/>
  <c r="E3594" i="1"/>
  <c r="G3594" i="1"/>
  <c r="B3595" i="1"/>
  <c r="A3595" i="1"/>
  <c r="E3595" i="1"/>
  <c r="B3596" i="1"/>
  <c r="A3596" i="1"/>
  <c r="E3596" i="1"/>
  <c r="B3597" i="1"/>
  <c r="A3597" i="1"/>
  <c r="E3597" i="1"/>
  <c r="B3598" i="1"/>
  <c r="A3598" i="1"/>
  <c r="E3598" i="1"/>
  <c r="B3599" i="1"/>
  <c r="A3599" i="1"/>
  <c r="E3599" i="1"/>
  <c r="B3600" i="1"/>
  <c r="A3600" i="1"/>
  <c r="E3600" i="1"/>
  <c r="B3601" i="1"/>
  <c r="A3601" i="1"/>
  <c r="E3601" i="1"/>
  <c r="B3602" i="1"/>
  <c r="A3602" i="1"/>
  <c r="E3602" i="1"/>
  <c r="B3603" i="1"/>
  <c r="A3603" i="1"/>
  <c r="E3603" i="1"/>
  <c r="B3604" i="1"/>
  <c r="A3604" i="1"/>
  <c r="E3604" i="1"/>
  <c r="B3605" i="1"/>
  <c r="A3605" i="1"/>
  <c r="E3605" i="1"/>
  <c r="B3606" i="1"/>
  <c r="A3606" i="1"/>
  <c r="E3606" i="1"/>
  <c r="B3607" i="1"/>
  <c r="A3607" i="1"/>
  <c r="E3607" i="1"/>
  <c r="B3608" i="1"/>
  <c r="A3608" i="1"/>
  <c r="E3608" i="1"/>
  <c r="B3609" i="1"/>
  <c r="A3609" i="1"/>
  <c r="E3609" i="1"/>
  <c r="B3610" i="1"/>
  <c r="A3610" i="1"/>
  <c r="E3610" i="1"/>
  <c r="B3611" i="1"/>
  <c r="A3611" i="1"/>
  <c r="E3611" i="1"/>
  <c r="B3612" i="1"/>
  <c r="A3612" i="1"/>
  <c r="E3612" i="1"/>
  <c r="B3613" i="1"/>
  <c r="A3613" i="1"/>
  <c r="E3613" i="1"/>
  <c r="B3614" i="1"/>
  <c r="A3614" i="1"/>
  <c r="E3614" i="1"/>
  <c r="B3615" i="1"/>
  <c r="A3615" i="1"/>
  <c r="E3615" i="1"/>
  <c r="B3616" i="1"/>
  <c r="A3616" i="1"/>
  <c r="E3616" i="1"/>
  <c r="B3617" i="1"/>
  <c r="A3617" i="1"/>
  <c r="E3617" i="1"/>
  <c r="B3618" i="1"/>
  <c r="A3618" i="1"/>
  <c r="E3618" i="1"/>
  <c r="B3619" i="1"/>
  <c r="A3619" i="1"/>
  <c r="E3619" i="1"/>
  <c r="B3620" i="1"/>
  <c r="A3620" i="1"/>
  <c r="E3620" i="1"/>
  <c r="B3621" i="1"/>
  <c r="A3621" i="1"/>
  <c r="E3621" i="1"/>
  <c r="B3622" i="1"/>
  <c r="A3622" i="1"/>
  <c r="E3622" i="1"/>
  <c r="B3623" i="1"/>
  <c r="A3623" i="1"/>
  <c r="E3623" i="1"/>
  <c r="B3624" i="1"/>
  <c r="A3624" i="1"/>
  <c r="E3624" i="1"/>
  <c r="B3625" i="1"/>
  <c r="A3625" i="1"/>
  <c r="E3625" i="1"/>
  <c r="B3626" i="1"/>
  <c r="A3626" i="1"/>
  <c r="E3626" i="1"/>
  <c r="B3627" i="1"/>
  <c r="A3627" i="1"/>
  <c r="E3627" i="1"/>
  <c r="B3628" i="1"/>
  <c r="A3628" i="1"/>
  <c r="E3628" i="1"/>
  <c r="B3629" i="1"/>
  <c r="A3629" i="1"/>
  <c r="E3629" i="1"/>
  <c r="B3630" i="1"/>
  <c r="A3630" i="1"/>
  <c r="E3630" i="1"/>
  <c r="B3631" i="1"/>
  <c r="A3631" i="1"/>
  <c r="E3631" i="1"/>
  <c r="B3632" i="1"/>
  <c r="A3632" i="1"/>
  <c r="E3632" i="1"/>
  <c r="B3633" i="1"/>
  <c r="A3633" i="1"/>
  <c r="E3633" i="1"/>
  <c r="B3634" i="1"/>
  <c r="A3634" i="1"/>
  <c r="E3634" i="1"/>
  <c r="B3635" i="1"/>
  <c r="A3635" i="1"/>
  <c r="E3635" i="1"/>
  <c r="B3636" i="1"/>
  <c r="A3636" i="1"/>
  <c r="E3636" i="1"/>
  <c r="B3637" i="1"/>
  <c r="A3637" i="1"/>
  <c r="E3637" i="1"/>
  <c r="B3638" i="1"/>
  <c r="A3638" i="1"/>
  <c r="E3638" i="1"/>
  <c r="B3639" i="1"/>
  <c r="A3639" i="1"/>
  <c r="E3639" i="1"/>
  <c r="B3640" i="1"/>
  <c r="A3640" i="1"/>
  <c r="E3640" i="1"/>
  <c r="B3641" i="1"/>
  <c r="A3641" i="1"/>
  <c r="E3641" i="1"/>
  <c r="B3642" i="1"/>
  <c r="A3642" i="1"/>
  <c r="E3642" i="1"/>
  <c r="B3643" i="1"/>
  <c r="A3643" i="1"/>
  <c r="E3643" i="1"/>
  <c r="B3644" i="1"/>
  <c r="A3644" i="1"/>
  <c r="E3644" i="1"/>
  <c r="B3645" i="1"/>
  <c r="A3645" i="1"/>
  <c r="E3645" i="1"/>
  <c r="B3646" i="1"/>
  <c r="A3646" i="1"/>
  <c r="E3646" i="1"/>
  <c r="B3647" i="1"/>
  <c r="A3647" i="1"/>
  <c r="E3647" i="1"/>
  <c r="B3648" i="1"/>
  <c r="A3648" i="1"/>
  <c r="E3648" i="1"/>
  <c r="B3649" i="1"/>
  <c r="A3649" i="1"/>
  <c r="E3649" i="1"/>
  <c r="B3650" i="1"/>
  <c r="A3650" i="1"/>
  <c r="E3650" i="1"/>
  <c r="B3651" i="1"/>
  <c r="A3651" i="1"/>
  <c r="E3651" i="1"/>
  <c r="B3652" i="1"/>
  <c r="A3652" i="1"/>
  <c r="E3652" i="1"/>
  <c r="B3653" i="1"/>
  <c r="A3653" i="1"/>
  <c r="E3653" i="1"/>
  <c r="B3654" i="1"/>
  <c r="A3654" i="1"/>
  <c r="E3654" i="1"/>
  <c r="B3655" i="1"/>
  <c r="A3655" i="1"/>
  <c r="E3655" i="1"/>
  <c r="B3656" i="1"/>
  <c r="A3656" i="1"/>
  <c r="E3656" i="1"/>
  <c r="B3657" i="1"/>
  <c r="A3657" i="1"/>
  <c r="E3657" i="1"/>
  <c r="B3658" i="1"/>
  <c r="A3658" i="1"/>
  <c r="E3658" i="1"/>
  <c r="B3659" i="1"/>
  <c r="A3659" i="1"/>
  <c r="E3659" i="1"/>
  <c r="B3660" i="1"/>
  <c r="A3660" i="1"/>
  <c r="E3660" i="1"/>
  <c r="B3661" i="1"/>
  <c r="A3661" i="1"/>
  <c r="E3661" i="1"/>
  <c r="B3662" i="1"/>
  <c r="A3662" i="1"/>
  <c r="E3662" i="1"/>
  <c r="B3663" i="1"/>
  <c r="A3663" i="1"/>
  <c r="E3663" i="1"/>
  <c r="B3664" i="1"/>
  <c r="A3664" i="1"/>
  <c r="E3664" i="1"/>
  <c r="B3665" i="1"/>
  <c r="A3665" i="1"/>
  <c r="E3665" i="1"/>
  <c r="B3666" i="1"/>
  <c r="A3666" i="1"/>
  <c r="E3666" i="1"/>
  <c r="B3667" i="1"/>
  <c r="A3667" i="1"/>
  <c r="E3667" i="1"/>
  <c r="B3668" i="1"/>
  <c r="A3668" i="1"/>
  <c r="E3668" i="1"/>
  <c r="B3669" i="1"/>
  <c r="A3669" i="1"/>
  <c r="E3669" i="1"/>
  <c r="B3670" i="1"/>
  <c r="A3670" i="1"/>
  <c r="E3670" i="1"/>
  <c r="B3671" i="1"/>
  <c r="A3671" i="1"/>
  <c r="E3671" i="1"/>
  <c r="B3672" i="1"/>
  <c r="A3672" i="1"/>
  <c r="E3672" i="1"/>
  <c r="B3673" i="1"/>
  <c r="A3673" i="1"/>
  <c r="E3673" i="1"/>
  <c r="B3674" i="1"/>
  <c r="A3674" i="1"/>
  <c r="E3674" i="1"/>
  <c r="B3675" i="1"/>
  <c r="A3675" i="1"/>
  <c r="E3675" i="1"/>
  <c r="B3676" i="1"/>
  <c r="A3676" i="1"/>
  <c r="E3676" i="1"/>
  <c r="B3677" i="1"/>
  <c r="A3677" i="1"/>
  <c r="E3677" i="1"/>
  <c r="B3678" i="1"/>
  <c r="A3678" i="1"/>
  <c r="E3678" i="1"/>
  <c r="B3679" i="1"/>
  <c r="A3679" i="1"/>
  <c r="E3679" i="1"/>
  <c r="B3680" i="1"/>
  <c r="A3680" i="1"/>
  <c r="E3680" i="1"/>
  <c r="B3681" i="1"/>
  <c r="A3681" i="1"/>
  <c r="E3681" i="1"/>
  <c r="B3682" i="1"/>
  <c r="A3682" i="1"/>
  <c r="E3682" i="1"/>
  <c r="G3682" i="1"/>
  <c r="B3683" i="1"/>
  <c r="A3683" i="1"/>
  <c r="E3683" i="1"/>
  <c r="G3683" i="1"/>
  <c r="B3684" i="1"/>
  <c r="A3684" i="1"/>
  <c r="E3684" i="1"/>
  <c r="G3684" i="1"/>
  <c r="B3685" i="1"/>
  <c r="A3685" i="1"/>
  <c r="E3685" i="1"/>
  <c r="G3685" i="1"/>
  <c r="B3686" i="1"/>
  <c r="A3686" i="1"/>
  <c r="E3686" i="1"/>
  <c r="G3686" i="1"/>
  <c r="B3687" i="1"/>
  <c r="A3687" i="1"/>
  <c r="E3687" i="1"/>
  <c r="G3687" i="1"/>
  <c r="B3688" i="1"/>
  <c r="A3688" i="1"/>
  <c r="E3688" i="1"/>
  <c r="G3688" i="1"/>
  <c r="B3689" i="1"/>
  <c r="A3689" i="1"/>
  <c r="E3689" i="1"/>
  <c r="G3689" i="1"/>
  <c r="B3690" i="1"/>
  <c r="A3690" i="1"/>
  <c r="E3690" i="1"/>
  <c r="B3691" i="1"/>
  <c r="A3691" i="1"/>
  <c r="E3691" i="1"/>
  <c r="B3692" i="1"/>
  <c r="A3692" i="1"/>
  <c r="E3692" i="1"/>
  <c r="B3693" i="1"/>
  <c r="A3693" i="1"/>
  <c r="E3693" i="1"/>
  <c r="G3693" i="1"/>
  <c r="B3694" i="1"/>
  <c r="A3694" i="1"/>
  <c r="E3694" i="1"/>
  <c r="B3695" i="1"/>
  <c r="A3695" i="1"/>
  <c r="E3695" i="1"/>
  <c r="B3696" i="1"/>
  <c r="A3696" i="1"/>
  <c r="E3696" i="1"/>
  <c r="B3697" i="1"/>
  <c r="A3697" i="1"/>
  <c r="E3697" i="1"/>
  <c r="B3698" i="1"/>
  <c r="A3698" i="1"/>
  <c r="E3698" i="1"/>
  <c r="B3699" i="1"/>
  <c r="A3699" i="1"/>
  <c r="E3699" i="1"/>
  <c r="B3700" i="1"/>
  <c r="A3700" i="1"/>
  <c r="E3700" i="1"/>
  <c r="B3701" i="1"/>
  <c r="A3701" i="1"/>
  <c r="E3701" i="1"/>
  <c r="B3702" i="1"/>
  <c r="A3702" i="1"/>
  <c r="E3702" i="1"/>
  <c r="B3703" i="1"/>
  <c r="A3703" i="1"/>
  <c r="E3703" i="1"/>
  <c r="B3704" i="1"/>
  <c r="A3704" i="1"/>
  <c r="E3704" i="1"/>
  <c r="B3705" i="1"/>
  <c r="A3705" i="1"/>
  <c r="E3705" i="1"/>
  <c r="B3706" i="1"/>
  <c r="A3706" i="1"/>
  <c r="E3706" i="1"/>
  <c r="B3707" i="1"/>
  <c r="A3707" i="1"/>
  <c r="E3707" i="1"/>
  <c r="B3708" i="1"/>
  <c r="A3708" i="1"/>
  <c r="E3708" i="1"/>
  <c r="B3709" i="1"/>
  <c r="A3709" i="1"/>
  <c r="E3709" i="1"/>
  <c r="B3710" i="1"/>
  <c r="A3710" i="1"/>
  <c r="E3710" i="1"/>
  <c r="B3711" i="1"/>
  <c r="A3711" i="1"/>
  <c r="E3711" i="1"/>
  <c r="B3712" i="1"/>
  <c r="A3712" i="1"/>
  <c r="E3712" i="1"/>
  <c r="B3713" i="1"/>
  <c r="A3713" i="1"/>
  <c r="E3713" i="1"/>
  <c r="B3714" i="1"/>
  <c r="A3714" i="1"/>
  <c r="E3714" i="1"/>
  <c r="B3715" i="1"/>
  <c r="A3715" i="1"/>
  <c r="E3715" i="1"/>
  <c r="B3716" i="1"/>
  <c r="A3716" i="1"/>
  <c r="E3716" i="1"/>
  <c r="B3717" i="1"/>
  <c r="A3717" i="1"/>
  <c r="E3717" i="1"/>
  <c r="A3718" i="1"/>
  <c r="E3718" i="1"/>
  <c r="B3719" i="1"/>
  <c r="A3719" i="1"/>
  <c r="E3719" i="1"/>
  <c r="B3720" i="1"/>
  <c r="A3720" i="1"/>
  <c r="E3720" i="1"/>
  <c r="B3721" i="1"/>
  <c r="A3721" i="1"/>
  <c r="E3721" i="1"/>
  <c r="B3722" i="1"/>
  <c r="A3722" i="1"/>
  <c r="E3722" i="1"/>
  <c r="B3723" i="1"/>
  <c r="A3723" i="1"/>
  <c r="E3723" i="1"/>
  <c r="B3724" i="1"/>
  <c r="A3724" i="1"/>
  <c r="E3724" i="1"/>
  <c r="A3725" i="1"/>
  <c r="E3725" i="1"/>
  <c r="A3726" i="1"/>
  <c r="E3726" i="1"/>
  <c r="A3727" i="1"/>
  <c r="E3727" i="1"/>
  <c r="A3728" i="1"/>
  <c r="E3728" i="1"/>
  <c r="B3729" i="1"/>
  <c r="A3729" i="1"/>
  <c r="E3729" i="1"/>
  <c r="B3730" i="1"/>
  <c r="A3730" i="1"/>
  <c r="E3730" i="1"/>
  <c r="B3731" i="1"/>
  <c r="A3731" i="1"/>
  <c r="E3731" i="1"/>
  <c r="B3732" i="1"/>
  <c r="A3732" i="1"/>
  <c r="E3732" i="1"/>
  <c r="B3733" i="1"/>
  <c r="A3733" i="1"/>
  <c r="E3733" i="1"/>
  <c r="B3734" i="1"/>
  <c r="A3734" i="1"/>
  <c r="E3734" i="1"/>
  <c r="B3735" i="1"/>
  <c r="A3735" i="1"/>
  <c r="E3735" i="1"/>
  <c r="B3736" i="1"/>
  <c r="A3736" i="1"/>
  <c r="E3736" i="1"/>
  <c r="B3737" i="1"/>
  <c r="A3737" i="1"/>
  <c r="E3737" i="1"/>
  <c r="B3738" i="1"/>
  <c r="A3738" i="1"/>
  <c r="E3738" i="1"/>
  <c r="B3739" i="1"/>
  <c r="A3739" i="1"/>
  <c r="E3739" i="1"/>
  <c r="B3740" i="1"/>
  <c r="A3740" i="1"/>
  <c r="E3740" i="1"/>
  <c r="B3741" i="1"/>
  <c r="A3741" i="1"/>
  <c r="E3741" i="1"/>
  <c r="B3742" i="1"/>
  <c r="A3742" i="1"/>
  <c r="E3742" i="1"/>
  <c r="B3743" i="1"/>
  <c r="A3743" i="1"/>
  <c r="E3743" i="1"/>
  <c r="B3744" i="1"/>
  <c r="A3744" i="1"/>
  <c r="E3744" i="1"/>
  <c r="B3745" i="1"/>
  <c r="A3745" i="1"/>
  <c r="E3745" i="1"/>
  <c r="B3746" i="1"/>
  <c r="A3746" i="1"/>
  <c r="E3746" i="1"/>
  <c r="B3747" i="1"/>
  <c r="A3747" i="1"/>
  <c r="E3747" i="1"/>
  <c r="B3748" i="1"/>
  <c r="A3748" i="1"/>
  <c r="E3748" i="1"/>
  <c r="B3749" i="1"/>
  <c r="A3749" i="1"/>
  <c r="E3749" i="1"/>
  <c r="B3750" i="1"/>
  <c r="A3750" i="1"/>
  <c r="E3750" i="1"/>
  <c r="B3751" i="1"/>
  <c r="A3751" i="1"/>
  <c r="E3751" i="1"/>
  <c r="B3752" i="1"/>
  <c r="A3752" i="1"/>
  <c r="E3752" i="1"/>
  <c r="G3752" i="1"/>
  <c r="B3753" i="1"/>
  <c r="A3753" i="1"/>
  <c r="E3753" i="1"/>
  <c r="G3753" i="1"/>
  <c r="B3754" i="1"/>
  <c r="A3754" i="1"/>
  <c r="E3754" i="1"/>
  <c r="B3755" i="1"/>
  <c r="A3755" i="1"/>
  <c r="E3755" i="1"/>
  <c r="G3755" i="1"/>
  <c r="B3756" i="1"/>
  <c r="A3756" i="1"/>
  <c r="E3756" i="1"/>
  <c r="B3757" i="1"/>
  <c r="A3757" i="1"/>
  <c r="E3757" i="1"/>
  <c r="B3758" i="1"/>
  <c r="A3758" i="1"/>
  <c r="E3758" i="1"/>
  <c r="B3759" i="1"/>
  <c r="A3759" i="1"/>
  <c r="E3759" i="1"/>
  <c r="B3760" i="1"/>
  <c r="A3760" i="1"/>
  <c r="E3760" i="1"/>
  <c r="B3761" i="1"/>
  <c r="A3761" i="1"/>
  <c r="E3761" i="1"/>
  <c r="B3762" i="1"/>
  <c r="A3762" i="1"/>
  <c r="E3762" i="1"/>
  <c r="B3763" i="1"/>
  <c r="A3763" i="1"/>
  <c r="E3763" i="1"/>
  <c r="B3764" i="1"/>
  <c r="A3764" i="1"/>
  <c r="E3764" i="1"/>
  <c r="G3764" i="1"/>
  <c r="B3765" i="1"/>
  <c r="A3765" i="1"/>
  <c r="E3765" i="1"/>
  <c r="G3765" i="1"/>
  <c r="B3766" i="1"/>
  <c r="A3766" i="1"/>
  <c r="E3766" i="1"/>
  <c r="B3767" i="1"/>
  <c r="A3767" i="1"/>
  <c r="E3767" i="1"/>
  <c r="B3768" i="1"/>
  <c r="A3768" i="1"/>
  <c r="E3768" i="1"/>
  <c r="B3769" i="1"/>
  <c r="A3769" i="1"/>
  <c r="E3769" i="1"/>
  <c r="B3770" i="1"/>
  <c r="A3770" i="1"/>
  <c r="E3770" i="1"/>
  <c r="B3771" i="1"/>
  <c r="A3771" i="1"/>
  <c r="E3771" i="1"/>
  <c r="B3772" i="1"/>
  <c r="A3772" i="1"/>
  <c r="E3772" i="1"/>
  <c r="B3773" i="1"/>
  <c r="A3773" i="1"/>
  <c r="E3773" i="1"/>
  <c r="B3774" i="1"/>
  <c r="A3774" i="1"/>
  <c r="E3774" i="1"/>
  <c r="B3775" i="1"/>
  <c r="A3775" i="1"/>
  <c r="E3775" i="1"/>
  <c r="B3776" i="1"/>
  <c r="A3776" i="1"/>
  <c r="E3776" i="1"/>
  <c r="B3777" i="1"/>
  <c r="A3777" i="1"/>
  <c r="E3777" i="1"/>
  <c r="B3778" i="1"/>
  <c r="A3778" i="1"/>
  <c r="E3778" i="1"/>
  <c r="B3779" i="1"/>
  <c r="A3779" i="1"/>
  <c r="E3779" i="1"/>
  <c r="F3779" i="1"/>
  <c r="G3779" i="1"/>
  <c r="B3780" i="1"/>
  <c r="A3780" i="1"/>
  <c r="E3780" i="1"/>
  <c r="B3781" i="1"/>
  <c r="A3781" i="1"/>
  <c r="E3781" i="1"/>
  <c r="B3782" i="1"/>
  <c r="A3782" i="1"/>
  <c r="E3782" i="1"/>
  <c r="B3783" i="1"/>
  <c r="A3783" i="1"/>
  <c r="E3783" i="1"/>
  <c r="B3784" i="1"/>
  <c r="A3784" i="1"/>
  <c r="E3784" i="1"/>
  <c r="B3785" i="1"/>
  <c r="A3785" i="1"/>
  <c r="E3785" i="1"/>
  <c r="B3786" i="1"/>
  <c r="A3786" i="1"/>
  <c r="E3786" i="1"/>
  <c r="B3787" i="1"/>
  <c r="A3787" i="1"/>
  <c r="E3787" i="1"/>
  <c r="B3788" i="1"/>
  <c r="A3788" i="1"/>
  <c r="E3788" i="1"/>
  <c r="B3789" i="1"/>
  <c r="A3789" i="1"/>
  <c r="E3789" i="1"/>
  <c r="B3790" i="1"/>
  <c r="A3790" i="1"/>
  <c r="E3790" i="1"/>
  <c r="B3791" i="1"/>
  <c r="A3791" i="1"/>
  <c r="E3791" i="1"/>
  <c r="B3792" i="1"/>
  <c r="A3792" i="1"/>
  <c r="E3792" i="1"/>
  <c r="B3793" i="1"/>
  <c r="A3793" i="1"/>
  <c r="E3793" i="1"/>
  <c r="B3794" i="1"/>
  <c r="A3794" i="1"/>
  <c r="E3794" i="1"/>
  <c r="B3795" i="1"/>
  <c r="A3795" i="1"/>
  <c r="E3795" i="1"/>
  <c r="B3796" i="1"/>
  <c r="A3796" i="1"/>
  <c r="E3796" i="1"/>
  <c r="B3797" i="1"/>
  <c r="A3797" i="1"/>
  <c r="E3797" i="1"/>
  <c r="B3798" i="1"/>
  <c r="A3798" i="1"/>
  <c r="E3798" i="1"/>
  <c r="B3799" i="1"/>
  <c r="A3799" i="1"/>
  <c r="E3799" i="1"/>
  <c r="G3799" i="1"/>
  <c r="B3800" i="1"/>
  <c r="A3800" i="1"/>
  <c r="E3800" i="1"/>
  <c r="G3800" i="1"/>
  <c r="B3801" i="1"/>
  <c r="A3801" i="1"/>
  <c r="E3801" i="1"/>
  <c r="B3802" i="1"/>
  <c r="A3802" i="1"/>
  <c r="E3802" i="1"/>
  <c r="B3803" i="1"/>
  <c r="A3803" i="1"/>
  <c r="E3803" i="1"/>
  <c r="B3804" i="1"/>
  <c r="A3804" i="1"/>
  <c r="E3804" i="1"/>
  <c r="B3805" i="1"/>
  <c r="A3805" i="1"/>
  <c r="E3805" i="1"/>
  <c r="G3805" i="1"/>
  <c r="B3806" i="1"/>
  <c r="A3806" i="1"/>
  <c r="E3806" i="1"/>
  <c r="G3806" i="1"/>
  <c r="B3807" i="1"/>
  <c r="A3807" i="1"/>
  <c r="E3807" i="1"/>
  <c r="B3808" i="1"/>
  <c r="A3808" i="1"/>
  <c r="E3808" i="1"/>
  <c r="G3808" i="1"/>
  <c r="B3809" i="1"/>
  <c r="A3809" i="1"/>
  <c r="E3809" i="1"/>
  <c r="B3810" i="1"/>
  <c r="A3810" i="1"/>
  <c r="E3810" i="1"/>
  <c r="B3811" i="1"/>
  <c r="A3811" i="1"/>
  <c r="E3811" i="1"/>
  <c r="B3812" i="1"/>
  <c r="A3812" i="1"/>
  <c r="E3812" i="1"/>
  <c r="B3813" i="1"/>
  <c r="A3813" i="1"/>
  <c r="E3813" i="1"/>
  <c r="B3814" i="1"/>
  <c r="A3814" i="1"/>
  <c r="E3814" i="1"/>
  <c r="B3815" i="1"/>
  <c r="A3815" i="1"/>
  <c r="E3815" i="1"/>
  <c r="B3816" i="1"/>
  <c r="A3816" i="1"/>
  <c r="E3816" i="1"/>
  <c r="B3817" i="1"/>
  <c r="A3817" i="1"/>
  <c r="E3817" i="1"/>
  <c r="B3818" i="1"/>
  <c r="A3818" i="1"/>
  <c r="E3818" i="1"/>
  <c r="B3819" i="1"/>
  <c r="A3819" i="1"/>
  <c r="E3819" i="1"/>
  <c r="B3820" i="1"/>
  <c r="A3820" i="1"/>
  <c r="E3820" i="1"/>
  <c r="B3821" i="1"/>
  <c r="A3821" i="1"/>
  <c r="E3821" i="1"/>
  <c r="B3822" i="1"/>
  <c r="A3822" i="1"/>
  <c r="E3822" i="1"/>
  <c r="B3823" i="1"/>
  <c r="A3823" i="1"/>
  <c r="E3823" i="1"/>
  <c r="B3824" i="1"/>
  <c r="A3824" i="1"/>
  <c r="E3824" i="1"/>
  <c r="B3825" i="1"/>
  <c r="A3825" i="1"/>
  <c r="E3825" i="1"/>
  <c r="B3826" i="1"/>
  <c r="A3826" i="1"/>
  <c r="E3826" i="1"/>
  <c r="B3827" i="1"/>
  <c r="A3827" i="1"/>
  <c r="E3827" i="1"/>
  <c r="B3828" i="1"/>
  <c r="A3828" i="1"/>
  <c r="E3828" i="1"/>
  <c r="B3829" i="1"/>
  <c r="A3829" i="1"/>
  <c r="E3829" i="1"/>
  <c r="B3830" i="1"/>
  <c r="A3830" i="1"/>
  <c r="E3830" i="1"/>
  <c r="B3831" i="1"/>
  <c r="A3831" i="1"/>
  <c r="E3831" i="1"/>
  <c r="B3832" i="1"/>
  <c r="A3832" i="1"/>
  <c r="E3832" i="1"/>
  <c r="B3833" i="1"/>
  <c r="A3833" i="1"/>
  <c r="E3833" i="1"/>
  <c r="B3834" i="1"/>
  <c r="A3834" i="1"/>
  <c r="E3834" i="1"/>
  <c r="B3835" i="1"/>
  <c r="A3835" i="1"/>
  <c r="E3835" i="1"/>
  <c r="B3836" i="1"/>
  <c r="A3836" i="1"/>
  <c r="E3836" i="1"/>
  <c r="B3837" i="1"/>
  <c r="A3837" i="1"/>
  <c r="E3837" i="1"/>
  <c r="B3838" i="1"/>
  <c r="A3838" i="1"/>
  <c r="E3838" i="1"/>
  <c r="B3839" i="1"/>
  <c r="A3839" i="1"/>
  <c r="E3839" i="1"/>
  <c r="B3840" i="1"/>
  <c r="A3840" i="1"/>
  <c r="E3840" i="1"/>
  <c r="B3841" i="1"/>
  <c r="A3841" i="1"/>
  <c r="E3841" i="1"/>
  <c r="B3842" i="1"/>
  <c r="A3842" i="1"/>
  <c r="E3842" i="1"/>
  <c r="A3843" i="1"/>
  <c r="E3843" i="1"/>
  <c r="A3844" i="1"/>
  <c r="E3844" i="1"/>
  <c r="B3845" i="1"/>
  <c r="A3845" i="1"/>
  <c r="E3845" i="1"/>
  <c r="B3846" i="1"/>
  <c r="A3846" i="1"/>
  <c r="E3846" i="1"/>
  <c r="B3847" i="1"/>
  <c r="A3847" i="1"/>
  <c r="E3847" i="1"/>
  <c r="B3848" i="1"/>
  <c r="A3848" i="1"/>
  <c r="E3848" i="1"/>
  <c r="B3849" i="1"/>
  <c r="A3849" i="1"/>
  <c r="E3849" i="1"/>
  <c r="B3850" i="1"/>
  <c r="A3850" i="1"/>
  <c r="E3850" i="1"/>
  <c r="B3851" i="1"/>
  <c r="A3851" i="1"/>
  <c r="E3851" i="1"/>
  <c r="B3852" i="1"/>
  <c r="A3852" i="1"/>
  <c r="E3852" i="1"/>
  <c r="B3853" i="1"/>
  <c r="A3853" i="1"/>
  <c r="E3853" i="1"/>
  <c r="B3854" i="1"/>
  <c r="A3854" i="1"/>
  <c r="E3854" i="1"/>
  <c r="B3855" i="1"/>
  <c r="A3855" i="1"/>
  <c r="E3855" i="1"/>
  <c r="B3856" i="1"/>
  <c r="A3856" i="1"/>
  <c r="E3856" i="1"/>
  <c r="B3857" i="1"/>
  <c r="A3857" i="1"/>
  <c r="E3857" i="1"/>
  <c r="B3858" i="1"/>
  <c r="A3858" i="1"/>
  <c r="E3858" i="1"/>
  <c r="G3858" i="1"/>
  <c r="B3859" i="1"/>
  <c r="A3859" i="1"/>
  <c r="E3859" i="1"/>
  <c r="G3859" i="1"/>
  <c r="B3860" i="1"/>
  <c r="A3860" i="1"/>
  <c r="E3860" i="1"/>
  <c r="B3861" i="1"/>
  <c r="A3861" i="1"/>
  <c r="E3861" i="1"/>
  <c r="B3862" i="1"/>
  <c r="A3862" i="1"/>
  <c r="E3862" i="1"/>
  <c r="B3863" i="1"/>
  <c r="A3863" i="1"/>
  <c r="E3863" i="1"/>
  <c r="B3864" i="1"/>
  <c r="A3864" i="1"/>
  <c r="E3864" i="1"/>
  <c r="B3865" i="1"/>
  <c r="A3865" i="1"/>
  <c r="E3865" i="1"/>
  <c r="B3866" i="1"/>
  <c r="A3866" i="1"/>
  <c r="E3866" i="1"/>
  <c r="B3867" i="1"/>
  <c r="A3867" i="1"/>
  <c r="E3867" i="1"/>
  <c r="B3868" i="1"/>
  <c r="A3868" i="1"/>
  <c r="E3868" i="1"/>
  <c r="B3869" i="1"/>
  <c r="A3869" i="1"/>
  <c r="E3869" i="1"/>
  <c r="B3870" i="1"/>
  <c r="A3870" i="1"/>
  <c r="E3870" i="1"/>
  <c r="B3871" i="1"/>
  <c r="A3871" i="1"/>
  <c r="E3871" i="1"/>
  <c r="B3872" i="1"/>
  <c r="A3872" i="1"/>
  <c r="E3872" i="1"/>
  <c r="B3873" i="1"/>
  <c r="A3873" i="1"/>
  <c r="E3873" i="1"/>
  <c r="B3874" i="1"/>
  <c r="A3874" i="1"/>
  <c r="E3874" i="1"/>
  <c r="B3875" i="1"/>
  <c r="A3875" i="1"/>
  <c r="E3875" i="1"/>
  <c r="B3876" i="1"/>
  <c r="A3876" i="1"/>
  <c r="E3876" i="1"/>
  <c r="B3877" i="1"/>
  <c r="A3877" i="1"/>
  <c r="E3877" i="1"/>
  <c r="B3878" i="1"/>
  <c r="A3878" i="1"/>
  <c r="E3878" i="1"/>
  <c r="B3879" i="1"/>
  <c r="A3879" i="1"/>
  <c r="E3879" i="1"/>
  <c r="B3880" i="1"/>
  <c r="A3880" i="1"/>
  <c r="E3880" i="1"/>
  <c r="B3881" i="1"/>
  <c r="A3881" i="1"/>
  <c r="E3881" i="1"/>
  <c r="B3882" i="1"/>
  <c r="A3882" i="1"/>
  <c r="E3882" i="1"/>
  <c r="B3883" i="1"/>
  <c r="A3883" i="1"/>
  <c r="E3883" i="1"/>
  <c r="B3884" i="1"/>
  <c r="A3884" i="1"/>
  <c r="E3884" i="1"/>
  <c r="B3885" i="1"/>
  <c r="A3885" i="1"/>
  <c r="E3885" i="1"/>
  <c r="B3886" i="1"/>
  <c r="A3886" i="1"/>
  <c r="E3886" i="1"/>
  <c r="B3887" i="1"/>
  <c r="A3887" i="1"/>
  <c r="E3887" i="1"/>
  <c r="B3888" i="1"/>
  <c r="A3888" i="1"/>
  <c r="E3888" i="1"/>
  <c r="B3889" i="1"/>
  <c r="A3889" i="1"/>
  <c r="E3889" i="1"/>
  <c r="B3890" i="1"/>
  <c r="A3890" i="1"/>
  <c r="E3890" i="1"/>
  <c r="B3891" i="1"/>
  <c r="A3891" i="1"/>
  <c r="E3891" i="1"/>
  <c r="B3892" i="1"/>
  <c r="A3892" i="1"/>
  <c r="E3892" i="1"/>
  <c r="B3893" i="1"/>
  <c r="A3893" i="1"/>
  <c r="E3893" i="1"/>
  <c r="B3894" i="1"/>
  <c r="A3894" i="1"/>
  <c r="E3894" i="1"/>
  <c r="B3895" i="1"/>
  <c r="A3895" i="1"/>
  <c r="E3895" i="1"/>
  <c r="B3896" i="1"/>
  <c r="A3896" i="1"/>
  <c r="E3896" i="1"/>
  <c r="B3897" i="1"/>
  <c r="A3897" i="1"/>
  <c r="E3897" i="1"/>
  <c r="B3898" i="1"/>
  <c r="A3898" i="1"/>
  <c r="E3898" i="1"/>
  <c r="B3899" i="1"/>
  <c r="A3899" i="1"/>
  <c r="E3899" i="1"/>
  <c r="B3900" i="1"/>
  <c r="A3900" i="1"/>
  <c r="E3900" i="1"/>
  <c r="B3901" i="1"/>
  <c r="A3901" i="1"/>
  <c r="E3901" i="1"/>
  <c r="B3902" i="1"/>
  <c r="A3902" i="1"/>
  <c r="E3902" i="1"/>
  <c r="B3903" i="1"/>
  <c r="A3903" i="1"/>
  <c r="E3903" i="1"/>
  <c r="B3904" i="1"/>
  <c r="A3904" i="1"/>
  <c r="E3904" i="1"/>
  <c r="B3905" i="1"/>
  <c r="A3905" i="1"/>
  <c r="E3905" i="1"/>
  <c r="B3906" i="1"/>
  <c r="A3906" i="1"/>
  <c r="E3906" i="1"/>
  <c r="B3907" i="1"/>
  <c r="A3907" i="1"/>
  <c r="E3907" i="1"/>
  <c r="B3908" i="1"/>
  <c r="A3908" i="1"/>
  <c r="E3908" i="1"/>
  <c r="B3909" i="1"/>
  <c r="A3909" i="1"/>
  <c r="E3909" i="1"/>
  <c r="B3910" i="1"/>
  <c r="A3910" i="1"/>
  <c r="E3910" i="1"/>
  <c r="B3911" i="1"/>
  <c r="A3911" i="1"/>
  <c r="E3911" i="1"/>
  <c r="B3912" i="1"/>
  <c r="A3912" i="1"/>
  <c r="E3912" i="1"/>
  <c r="B3913" i="1"/>
  <c r="A3913" i="1"/>
  <c r="E3913" i="1"/>
  <c r="B3914" i="1"/>
  <c r="A3914" i="1"/>
  <c r="E3914" i="1"/>
  <c r="B3915" i="1"/>
  <c r="A3915" i="1"/>
  <c r="E3915" i="1"/>
  <c r="B3916" i="1"/>
  <c r="A3916" i="1"/>
  <c r="E3916" i="1"/>
  <c r="B3917" i="1"/>
  <c r="A3917" i="1"/>
  <c r="E3917" i="1"/>
  <c r="B3918" i="1"/>
  <c r="A3918" i="1"/>
  <c r="E3918" i="1"/>
  <c r="B3919" i="1"/>
  <c r="A3919" i="1"/>
  <c r="E3919" i="1"/>
  <c r="B3920" i="1"/>
  <c r="A3920" i="1"/>
  <c r="E3920" i="1"/>
  <c r="B3921" i="1"/>
  <c r="A3921" i="1"/>
  <c r="E3921" i="1"/>
  <c r="B3922" i="1"/>
  <c r="A3922" i="1"/>
  <c r="E3922" i="1"/>
  <c r="B3923" i="1"/>
  <c r="A3923" i="1"/>
  <c r="E3923" i="1"/>
  <c r="B3924" i="1"/>
  <c r="A3924" i="1"/>
  <c r="E3924" i="1"/>
  <c r="B3925" i="1"/>
  <c r="A3925" i="1"/>
  <c r="E3925" i="1"/>
  <c r="B3926" i="1"/>
  <c r="A3926" i="1"/>
  <c r="E3926" i="1"/>
  <c r="B3927" i="1"/>
  <c r="A3927" i="1"/>
  <c r="E3927" i="1"/>
  <c r="G3927" i="1"/>
  <c r="B3928" i="1"/>
  <c r="A3928" i="1"/>
  <c r="E3928" i="1"/>
  <c r="G3928" i="1"/>
  <c r="B3929" i="1"/>
  <c r="A3929" i="1"/>
  <c r="E3929" i="1"/>
  <c r="F3929" i="1"/>
  <c r="B3930" i="1"/>
  <c r="A3930" i="1"/>
  <c r="E3930" i="1"/>
  <c r="F3930" i="1"/>
  <c r="B3931" i="1"/>
  <c r="A3931" i="1"/>
  <c r="E3931" i="1"/>
  <c r="F3931" i="1"/>
  <c r="B3932" i="1"/>
  <c r="A3932" i="1"/>
  <c r="E3932" i="1"/>
  <c r="F3932" i="1"/>
  <c r="B3933" i="1"/>
  <c r="A3933" i="1"/>
  <c r="E3933" i="1"/>
  <c r="F3933" i="1"/>
  <c r="G3933" i="1"/>
  <c r="B3934" i="1"/>
  <c r="A3934" i="1"/>
  <c r="E3934" i="1"/>
  <c r="F3934" i="1"/>
  <c r="B3935" i="1"/>
  <c r="A3935" i="1"/>
  <c r="E3935" i="1"/>
  <c r="F3935" i="1"/>
  <c r="B3936" i="1"/>
  <c r="A3936" i="1"/>
  <c r="E3936" i="1"/>
  <c r="F3936" i="1"/>
  <c r="G3936" i="1"/>
  <c r="B3937" i="1"/>
  <c r="A3937" i="1"/>
  <c r="E3937" i="1"/>
  <c r="F3937" i="1"/>
  <c r="G3937" i="1"/>
  <c r="B3938" i="1"/>
  <c r="A3938" i="1"/>
  <c r="E3938" i="1"/>
  <c r="F3938" i="1"/>
  <c r="G3938" i="1"/>
  <c r="B3939" i="1"/>
  <c r="A3939" i="1"/>
  <c r="E3939" i="1"/>
  <c r="F3939" i="1"/>
  <c r="G3939" i="1"/>
  <c r="B3940" i="1"/>
  <c r="A3940" i="1"/>
  <c r="E3940" i="1"/>
  <c r="F3940" i="1"/>
  <c r="G3940" i="1"/>
  <c r="B3941" i="1"/>
  <c r="A3941" i="1"/>
  <c r="E3941" i="1"/>
  <c r="F3941" i="1"/>
  <c r="G3941" i="1"/>
  <c r="B3942" i="1"/>
  <c r="A3942" i="1"/>
  <c r="E3942" i="1"/>
  <c r="F3942" i="1"/>
  <c r="B3943" i="1"/>
  <c r="A3943" i="1"/>
  <c r="E3943" i="1"/>
  <c r="F3943" i="1"/>
  <c r="G3943" i="1"/>
  <c r="B3944" i="1"/>
  <c r="A3944" i="1"/>
  <c r="E3944" i="1"/>
  <c r="F3944" i="1"/>
  <c r="G3944" i="1"/>
  <c r="B3945" i="1"/>
  <c r="A3945" i="1"/>
  <c r="E3945" i="1"/>
  <c r="F3945" i="1"/>
  <c r="G3945" i="1"/>
  <c r="B3946" i="1"/>
  <c r="A3946" i="1"/>
  <c r="E3946" i="1"/>
  <c r="F3946" i="1"/>
  <c r="B3947" i="1"/>
  <c r="A3947" i="1"/>
  <c r="E3947" i="1"/>
  <c r="F3947" i="1"/>
  <c r="B3948" i="1"/>
  <c r="A3948" i="1"/>
  <c r="E3948" i="1"/>
  <c r="F3948" i="1"/>
  <c r="B3949" i="1"/>
  <c r="A3949" i="1"/>
  <c r="E3949" i="1"/>
  <c r="F3949" i="1"/>
  <c r="B3950" i="1"/>
  <c r="A3950" i="1"/>
  <c r="E3950" i="1"/>
  <c r="F3950" i="1"/>
  <c r="B3951" i="1"/>
  <c r="A3951" i="1"/>
  <c r="E3951" i="1"/>
  <c r="F3951" i="1"/>
  <c r="B3952" i="1"/>
  <c r="A3952" i="1"/>
  <c r="E3952" i="1"/>
  <c r="F3952" i="1"/>
  <c r="G3952" i="1"/>
  <c r="B3953" i="1"/>
  <c r="A3953" i="1"/>
  <c r="E3953" i="1"/>
  <c r="F3953" i="1"/>
  <c r="G3953" i="1"/>
  <c r="B3954" i="1"/>
  <c r="A3954" i="1"/>
  <c r="E3954" i="1"/>
  <c r="F3954" i="1"/>
  <c r="G3954" i="1"/>
  <c r="B3955" i="1"/>
  <c r="A3955" i="1"/>
  <c r="E3955" i="1"/>
  <c r="F3955" i="1"/>
  <c r="B3956" i="1"/>
  <c r="A3956" i="1"/>
  <c r="E3956" i="1"/>
  <c r="F3956" i="1"/>
  <c r="B3957" i="1"/>
  <c r="A3957" i="1"/>
  <c r="E3957" i="1"/>
  <c r="F3957" i="1"/>
  <c r="B3958" i="1"/>
  <c r="A3958" i="1"/>
  <c r="E3958" i="1"/>
  <c r="F3958" i="1"/>
  <c r="B3959" i="1"/>
  <c r="A3959" i="1"/>
  <c r="E3959" i="1"/>
  <c r="F3959" i="1"/>
  <c r="B3960" i="1"/>
  <c r="A3960" i="1"/>
  <c r="E3960" i="1"/>
  <c r="F3960" i="1"/>
  <c r="B3961" i="1"/>
  <c r="A3961" i="1"/>
  <c r="E3961" i="1"/>
  <c r="F3961" i="1"/>
  <c r="B3962" i="1"/>
  <c r="A3962" i="1"/>
  <c r="E3962" i="1"/>
  <c r="F3962" i="1"/>
  <c r="B3963" i="1"/>
  <c r="A3963" i="1"/>
  <c r="E3963" i="1"/>
  <c r="F3963" i="1"/>
  <c r="B3964" i="1"/>
  <c r="A3964" i="1"/>
  <c r="E3964" i="1"/>
  <c r="F3964" i="1"/>
  <c r="G3964" i="1"/>
  <c r="B3965" i="1"/>
  <c r="A3965" i="1"/>
  <c r="E3965" i="1"/>
  <c r="F3965" i="1"/>
  <c r="B3966" i="1"/>
  <c r="A3966" i="1"/>
  <c r="E3966" i="1"/>
  <c r="F3966" i="1"/>
  <c r="B3967" i="1"/>
  <c r="A3967" i="1"/>
  <c r="E3967" i="1"/>
  <c r="F3967" i="1"/>
  <c r="B3968" i="1"/>
  <c r="A3968" i="1"/>
  <c r="E3968" i="1"/>
  <c r="F3968" i="1"/>
  <c r="B3969" i="1"/>
  <c r="A3969" i="1"/>
  <c r="E3969" i="1"/>
  <c r="F3969" i="1"/>
  <c r="B3970" i="1"/>
  <c r="A3970" i="1"/>
  <c r="E3970" i="1"/>
  <c r="F3970" i="1"/>
  <c r="B3971" i="1"/>
  <c r="A3971" i="1"/>
  <c r="E3971" i="1"/>
  <c r="F3971" i="1"/>
  <c r="B3972" i="1"/>
  <c r="A3972" i="1"/>
  <c r="E3972" i="1"/>
  <c r="F3972" i="1"/>
  <c r="B3973" i="1"/>
  <c r="A3973" i="1"/>
  <c r="E3973" i="1"/>
  <c r="F3973" i="1"/>
  <c r="B3974" i="1"/>
  <c r="A3974" i="1"/>
  <c r="E3974" i="1"/>
  <c r="F3974" i="1"/>
  <c r="B3975" i="1"/>
  <c r="A3975" i="1"/>
  <c r="E3975" i="1"/>
  <c r="F3975" i="1"/>
  <c r="B3976" i="1"/>
  <c r="A3976" i="1"/>
  <c r="E3976" i="1"/>
  <c r="F3976" i="1"/>
  <c r="G3976" i="1"/>
  <c r="B3977" i="1"/>
  <c r="A3977" i="1"/>
  <c r="E3977" i="1"/>
  <c r="F3977" i="1"/>
  <c r="B3978" i="1"/>
  <c r="A3978" i="1"/>
  <c r="E3978" i="1"/>
  <c r="F3978" i="1"/>
  <c r="B3979" i="1"/>
  <c r="A3979" i="1"/>
  <c r="E3979" i="1"/>
  <c r="F3979" i="1"/>
  <c r="G3979" i="1"/>
  <c r="B3980" i="1"/>
  <c r="A3980" i="1"/>
  <c r="E3980" i="1"/>
  <c r="F3980" i="1"/>
  <c r="B3981" i="1"/>
  <c r="A3981" i="1"/>
  <c r="E3981" i="1"/>
  <c r="F3981" i="1"/>
  <c r="B3982" i="1"/>
  <c r="A3982" i="1"/>
  <c r="E3982" i="1"/>
  <c r="F3982" i="1"/>
  <c r="B3983" i="1"/>
  <c r="A3983" i="1"/>
  <c r="E3983" i="1"/>
  <c r="F3983" i="1"/>
  <c r="B3984" i="1"/>
  <c r="A3984" i="1"/>
  <c r="E3984" i="1"/>
  <c r="F3984" i="1"/>
  <c r="B3985" i="1"/>
  <c r="A3985" i="1"/>
  <c r="E3985" i="1"/>
  <c r="F3985" i="1"/>
  <c r="B3986" i="1"/>
  <c r="A3986" i="1"/>
  <c r="E3986" i="1"/>
  <c r="F3986" i="1"/>
  <c r="B3987" i="1"/>
  <c r="A3987" i="1"/>
  <c r="E3987" i="1"/>
  <c r="F3987" i="1"/>
  <c r="B3988" i="1"/>
  <c r="A3988" i="1"/>
  <c r="E3988" i="1"/>
  <c r="F3988" i="1"/>
  <c r="B3989" i="1"/>
  <c r="A3989" i="1"/>
  <c r="E3989" i="1"/>
  <c r="F3989" i="1"/>
  <c r="B3990" i="1"/>
  <c r="A3990" i="1"/>
  <c r="E3990" i="1"/>
  <c r="F3990" i="1"/>
  <c r="B3991" i="1"/>
  <c r="A3991" i="1"/>
  <c r="E3991" i="1"/>
  <c r="F3991" i="1"/>
  <c r="B3992" i="1"/>
  <c r="A3992" i="1"/>
  <c r="E3992" i="1"/>
  <c r="F3992" i="1"/>
  <c r="G3992" i="1"/>
  <c r="B3993" i="1"/>
  <c r="A3993" i="1"/>
  <c r="E3993" i="1"/>
  <c r="F3993" i="1"/>
  <c r="B3994" i="1"/>
  <c r="A3994" i="1"/>
  <c r="E3994" i="1"/>
  <c r="F3994" i="1"/>
  <c r="B3995" i="1"/>
  <c r="A3995" i="1"/>
  <c r="E3995" i="1"/>
  <c r="F3995" i="1"/>
  <c r="B3996" i="1"/>
  <c r="A3996" i="1"/>
  <c r="E3996" i="1"/>
  <c r="F3996" i="1"/>
  <c r="B3997" i="1"/>
  <c r="A3997" i="1"/>
  <c r="E3997" i="1"/>
  <c r="F3997" i="1"/>
  <c r="B3998" i="1"/>
  <c r="A3998" i="1"/>
  <c r="E3998" i="1"/>
  <c r="F3998" i="1"/>
  <c r="B3999" i="1"/>
  <c r="A3999" i="1"/>
  <c r="E3999" i="1"/>
  <c r="F3999" i="1"/>
  <c r="B4000" i="1"/>
  <c r="A4000" i="1"/>
  <c r="E4000" i="1"/>
  <c r="F4000" i="1"/>
  <c r="B4001" i="1"/>
  <c r="A4001" i="1"/>
  <c r="E4001" i="1"/>
  <c r="F4001" i="1"/>
  <c r="B4002" i="1"/>
  <c r="A4002" i="1"/>
  <c r="E4002" i="1"/>
  <c r="F4002" i="1"/>
  <c r="G4002" i="1"/>
  <c r="B4003" i="1"/>
  <c r="A4003" i="1"/>
  <c r="E4003" i="1"/>
  <c r="F4003" i="1"/>
  <c r="B4004" i="1"/>
  <c r="A4004" i="1"/>
  <c r="E4004" i="1"/>
  <c r="F4004" i="1"/>
  <c r="G4004" i="1"/>
  <c r="B4005" i="1"/>
  <c r="A4005" i="1"/>
  <c r="E4005" i="1"/>
  <c r="F4005" i="1"/>
  <c r="B4006" i="1"/>
  <c r="A4006" i="1"/>
  <c r="E4006" i="1"/>
  <c r="F4006" i="1"/>
  <c r="B4007" i="1"/>
  <c r="A4007" i="1"/>
  <c r="E4007" i="1"/>
  <c r="F4007" i="1"/>
  <c r="B4008" i="1"/>
  <c r="A4008" i="1"/>
  <c r="E4008" i="1"/>
  <c r="F4008" i="1"/>
  <c r="B4009" i="1"/>
  <c r="A4009" i="1"/>
  <c r="E4009" i="1"/>
  <c r="F4009" i="1"/>
  <c r="G4009" i="1"/>
  <c r="B4010" i="1"/>
  <c r="A4010" i="1"/>
  <c r="E4010" i="1"/>
  <c r="F4010" i="1"/>
  <c r="B4011" i="1"/>
  <c r="A4011" i="1"/>
  <c r="E4011" i="1"/>
  <c r="F4011" i="1"/>
  <c r="B4012" i="1"/>
  <c r="A4012" i="1"/>
  <c r="E4012" i="1"/>
  <c r="F4012" i="1"/>
  <c r="G4012" i="1"/>
  <c r="B4013" i="1"/>
  <c r="A4013" i="1"/>
  <c r="E4013" i="1"/>
  <c r="F4013" i="1"/>
  <c r="B4014" i="1"/>
  <c r="A4014" i="1"/>
  <c r="E4014" i="1"/>
  <c r="F4014" i="1"/>
  <c r="G4014" i="1"/>
  <c r="B4015" i="1"/>
  <c r="A4015" i="1"/>
  <c r="E4015" i="1"/>
  <c r="F4015" i="1"/>
  <c r="G4015" i="1"/>
  <c r="B4016" i="1"/>
  <c r="A4016" i="1"/>
  <c r="E4016" i="1"/>
  <c r="F4016" i="1"/>
  <c r="G4016" i="1"/>
  <c r="B4017" i="1"/>
  <c r="A4017" i="1"/>
  <c r="E4017" i="1"/>
  <c r="F4017" i="1"/>
  <c r="B4018" i="1"/>
  <c r="A4018" i="1"/>
  <c r="E4018" i="1"/>
  <c r="F4018" i="1"/>
  <c r="B4019" i="1"/>
  <c r="A4019" i="1"/>
  <c r="E4019" i="1"/>
  <c r="F4019" i="1"/>
  <c r="B4020" i="1"/>
  <c r="A4020" i="1"/>
  <c r="E4020" i="1"/>
  <c r="F4020" i="1"/>
  <c r="B4021" i="1"/>
  <c r="A4021" i="1"/>
  <c r="E4021" i="1"/>
  <c r="F4021" i="1"/>
  <c r="B4022" i="1"/>
  <c r="A4022" i="1"/>
  <c r="E4022" i="1"/>
  <c r="F4022" i="1"/>
  <c r="B4023" i="1"/>
  <c r="A4023" i="1"/>
  <c r="E4023" i="1"/>
  <c r="F4023" i="1"/>
  <c r="G4023" i="1"/>
  <c r="B4024" i="1"/>
  <c r="A4024" i="1"/>
  <c r="E4024" i="1"/>
  <c r="F4024" i="1"/>
  <c r="B4025" i="1"/>
  <c r="A4025" i="1"/>
  <c r="E4025" i="1"/>
  <c r="F4025" i="1"/>
  <c r="B4026" i="1"/>
  <c r="A4026" i="1"/>
  <c r="E4026" i="1"/>
  <c r="F4026" i="1"/>
  <c r="B4027" i="1"/>
  <c r="A4027" i="1"/>
  <c r="E4027" i="1"/>
  <c r="F4027" i="1"/>
  <c r="G4027" i="1"/>
  <c r="B4028" i="1"/>
  <c r="A4028" i="1"/>
  <c r="E4028" i="1"/>
  <c r="F4028" i="1"/>
  <c r="B4029" i="1"/>
  <c r="A4029" i="1"/>
  <c r="E4029" i="1"/>
  <c r="F4029" i="1"/>
  <c r="G4029" i="1"/>
  <c r="B4030" i="1"/>
  <c r="A4030" i="1"/>
  <c r="E4030" i="1"/>
  <c r="F4030" i="1"/>
  <c r="B4031" i="1"/>
  <c r="A4031" i="1"/>
  <c r="E4031" i="1"/>
  <c r="F4031" i="1"/>
  <c r="G4031" i="1"/>
  <c r="B4032" i="1"/>
  <c r="A4032" i="1"/>
  <c r="E4032" i="1"/>
  <c r="F4032" i="1"/>
  <c r="B4033" i="1"/>
  <c r="A4033" i="1"/>
  <c r="E4033" i="1"/>
  <c r="F4033" i="1"/>
  <c r="G4033" i="1"/>
  <c r="B4034" i="1"/>
  <c r="A4034" i="1"/>
  <c r="E4034" i="1"/>
  <c r="F4034" i="1"/>
  <c r="B4035" i="1"/>
  <c r="A4035" i="1"/>
  <c r="E4035" i="1"/>
  <c r="F4035" i="1"/>
  <c r="B4036" i="1"/>
  <c r="A4036" i="1"/>
  <c r="E4036" i="1"/>
  <c r="F4036" i="1"/>
  <c r="B4037" i="1"/>
  <c r="A4037" i="1"/>
  <c r="E4037" i="1"/>
  <c r="F4037" i="1"/>
  <c r="G4037" i="1"/>
  <c r="B4038" i="1"/>
  <c r="A4038" i="1"/>
  <c r="E4038" i="1"/>
  <c r="F4038" i="1"/>
  <c r="B4039" i="1"/>
  <c r="A4039" i="1"/>
  <c r="E4039" i="1"/>
  <c r="F4039" i="1"/>
  <c r="B4040" i="1"/>
  <c r="A4040" i="1"/>
  <c r="E4040" i="1"/>
  <c r="F4040" i="1"/>
  <c r="B4041" i="1"/>
  <c r="A4041" i="1"/>
  <c r="E4041" i="1"/>
  <c r="F4041" i="1"/>
  <c r="B4042" i="1"/>
  <c r="A4042" i="1"/>
  <c r="E4042" i="1"/>
  <c r="F4042" i="1"/>
  <c r="B4043" i="1"/>
  <c r="A4043" i="1"/>
  <c r="E4043" i="1"/>
  <c r="F4043" i="1"/>
  <c r="B4044" i="1"/>
  <c r="A4044" i="1"/>
  <c r="E4044" i="1"/>
  <c r="F4044" i="1"/>
  <c r="B4045" i="1"/>
  <c r="A4045" i="1"/>
  <c r="E4045" i="1"/>
  <c r="F4045" i="1"/>
  <c r="B4046" i="1"/>
  <c r="A4046" i="1"/>
  <c r="E4046" i="1"/>
  <c r="F4046" i="1"/>
  <c r="B4047" i="1"/>
  <c r="A4047" i="1"/>
  <c r="E4047" i="1"/>
  <c r="F4047" i="1"/>
  <c r="G4047" i="1"/>
  <c r="B4048" i="1"/>
  <c r="A4048" i="1"/>
  <c r="E4048" i="1"/>
  <c r="F4048" i="1"/>
  <c r="B4049" i="1"/>
  <c r="A4049" i="1"/>
  <c r="E4049" i="1"/>
  <c r="F4049" i="1"/>
  <c r="G4049" i="1"/>
  <c r="B4050" i="1"/>
  <c r="A4050" i="1"/>
  <c r="E4050" i="1"/>
  <c r="F4050" i="1"/>
  <c r="G4050" i="1"/>
  <c r="B4051" i="1"/>
  <c r="A4051" i="1"/>
  <c r="E4051" i="1"/>
  <c r="F4051" i="1"/>
  <c r="B4052" i="1"/>
  <c r="A4052" i="1"/>
  <c r="E4052" i="1"/>
  <c r="F4052" i="1"/>
  <c r="G4052" i="1"/>
  <c r="B4053" i="1"/>
  <c r="A4053" i="1"/>
  <c r="E4053" i="1"/>
  <c r="F4053" i="1"/>
  <c r="B4054" i="1"/>
  <c r="A4054" i="1"/>
  <c r="E4054" i="1"/>
  <c r="F4054" i="1"/>
  <c r="B4055" i="1"/>
  <c r="A4055" i="1"/>
  <c r="E4055" i="1"/>
  <c r="F4055" i="1"/>
  <c r="B4056" i="1"/>
  <c r="A4056" i="1"/>
  <c r="E4056" i="1"/>
  <c r="F4056" i="1"/>
  <c r="G4056" i="1"/>
  <c r="B4057" i="1"/>
  <c r="A4057" i="1"/>
  <c r="E4057" i="1"/>
  <c r="F4057" i="1"/>
  <c r="B4058" i="1"/>
  <c r="A4058" i="1"/>
  <c r="E4058" i="1"/>
  <c r="F4058" i="1"/>
  <c r="B4059" i="1"/>
  <c r="A4059" i="1"/>
  <c r="E4059" i="1"/>
  <c r="F4059" i="1"/>
  <c r="B4060" i="1"/>
  <c r="A4060" i="1"/>
  <c r="E4060" i="1"/>
  <c r="F4060" i="1"/>
  <c r="B4061" i="1"/>
  <c r="A4061" i="1"/>
  <c r="E4061" i="1"/>
  <c r="F4061" i="1"/>
  <c r="B4062" i="1"/>
  <c r="A4062" i="1"/>
  <c r="E4062" i="1"/>
  <c r="F4062" i="1"/>
  <c r="B4063" i="1"/>
  <c r="A4063" i="1"/>
  <c r="E4063" i="1"/>
  <c r="F4063" i="1"/>
  <c r="B4064" i="1"/>
  <c r="A4064" i="1"/>
  <c r="E4064" i="1"/>
  <c r="F4064" i="1"/>
  <c r="B4065" i="1"/>
  <c r="A4065" i="1"/>
  <c r="E4065" i="1"/>
  <c r="F4065" i="1"/>
  <c r="B4066" i="1"/>
  <c r="A4066" i="1"/>
  <c r="E4066" i="1"/>
  <c r="F4066" i="1"/>
  <c r="B4067" i="1"/>
  <c r="A4067" i="1"/>
  <c r="E4067" i="1"/>
  <c r="F4067" i="1"/>
  <c r="B4068" i="1"/>
  <c r="A4068" i="1"/>
  <c r="E4068" i="1"/>
  <c r="F4068" i="1"/>
  <c r="B4069" i="1"/>
  <c r="A4069" i="1"/>
  <c r="E4069" i="1"/>
  <c r="F4069" i="1"/>
  <c r="B4070" i="1"/>
  <c r="A4070" i="1"/>
  <c r="E4070" i="1"/>
  <c r="F4070" i="1"/>
  <c r="B4071" i="1"/>
  <c r="A4071" i="1"/>
  <c r="E4071" i="1"/>
  <c r="F4071" i="1"/>
  <c r="B4072" i="1"/>
  <c r="A4072" i="1"/>
  <c r="E4072" i="1"/>
  <c r="F4072" i="1"/>
  <c r="B4073" i="1"/>
  <c r="A4073" i="1"/>
  <c r="E4073" i="1"/>
  <c r="F4073" i="1"/>
  <c r="B4074" i="1"/>
  <c r="A4074" i="1"/>
  <c r="E4074" i="1"/>
  <c r="F4074" i="1"/>
  <c r="B4075" i="1"/>
  <c r="A4075" i="1"/>
  <c r="E4075" i="1"/>
  <c r="F4075" i="1"/>
  <c r="B4076" i="1"/>
  <c r="A4076" i="1"/>
  <c r="E4076" i="1"/>
  <c r="F4076" i="1"/>
  <c r="G4076" i="1"/>
  <c r="B4077" i="1"/>
  <c r="A4077" i="1"/>
  <c r="E4077" i="1"/>
  <c r="F4077" i="1"/>
  <c r="G4077" i="1"/>
  <c r="B4078" i="1"/>
  <c r="A4078" i="1"/>
  <c r="E4078" i="1"/>
  <c r="F4078" i="1"/>
  <c r="B4079" i="1"/>
  <c r="A4079" i="1"/>
  <c r="E4079" i="1"/>
  <c r="F4079" i="1"/>
  <c r="B4080" i="1"/>
  <c r="A4080" i="1"/>
  <c r="E4080" i="1"/>
  <c r="G4080" i="1"/>
  <c r="B4081" i="1"/>
  <c r="A4081" i="1"/>
  <c r="E4081" i="1"/>
  <c r="G4081" i="1"/>
  <c r="B4082" i="1"/>
  <c r="A4082" i="1"/>
  <c r="E4082" i="1"/>
  <c r="F4082" i="1"/>
  <c r="G4082" i="1"/>
  <c r="B4083" i="1"/>
  <c r="A4083" i="1"/>
  <c r="E4083" i="1"/>
  <c r="F4083" i="1"/>
  <c r="B4084" i="1"/>
  <c r="A4084" i="1"/>
  <c r="E4084" i="1"/>
  <c r="B4085" i="1"/>
  <c r="A4085" i="1"/>
  <c r="E4085" i="1"/>
  <c r="B4086" i="1"/>
  <c r="A4086" i="1"/>
  <c r="E4086" i="1"/>
  <c r="B4087" i="1"/>
  <c r="A4087" i="1"/>
  <c r="E4087" i="1"/>
  <c r="B4088" i="1"/>
  <c r="A4088" i="1"/>
  <c r="E4088" i="1"/>
  <c r="B4089" i="1"/>
  <c r="A4089" i="1"/>
  <c r="E4089" i="1"/>
  <c r="B4090" i="1"/>
  <c r="A4090" i="1"/>
  <c r="E4090" i="1"/>
  <c r="B4091" i="1"/>
  <c r="A4091" i="1"/>
  <c r="E4091" i="1"/>
  <c r="B4092" i="1"/>
  <c r="A4092" i="1"/>
  <c r="E4092" i="1"/>
  <c r="B4093" i="1"/>
  <c r="A4093" i="1"/>
  <c r="E4093" i="1"/>
  <c r="B4094" i="1"/>
  <c r="A4094" i="1"/>
  <c r="E4094" i="1"/>
  <c r="B4095" i="1"/>
  <c r="A4095" i="1"/>
  <c r="E4095" i="1"/>
  <c r="B4096" i="1"/>
  <c r="A4096" i="1"/>
  <c r="E4096" i="1"/>
  <c r="B4097" i="1"/>
  <c r="A4097" i="1"/>
  <c r="E4097" i="1"/>
  <c r="B4098" i="1"/>
  <c r="A4098" i="1"/>
  <c r="E4098" i="1"/>
  <c r="B4099" i="1"/>
  <c r="A4099" i="1"/>
  <c r="E4099" i="1"/>
  <c r="B4100" i="1"/>
  <c r="A4100" i="1"/>
  <c r="E4100" i="1"/>
  <c r="B4101" i="1"/>
  <c r="A4101" i="1"/>
  <c r="E4101" i="1"/>
  <c r="B4102" i="1"/>
  <c r="A4102" i="1"/>
  <c r="E4102" i="1"/>
  <c r="B4103" i="1"/>
  <c r="A4103" i="1"/>
  <c r="E4103" i="1"/>
  <c r="B4104" i="1"/>
  <c r="A4104" i="1"/>
  <c r="E4104" i="1"/>
  <c r="B4105" i="1"/>
  <c r="A4105" i="1"/>
  <c r="E4105" i="1"/>
  <c r="B4106" i="1"/>
  <c r="A4106" i="1"/>
  <c r="E4106" i="1"/>
  <c r="B4107" i="1"/>
  <c r="A4107" i="1"/>
  <c r="E4107" i="1"/>
  <c r="B4108" i="1"/>
  <c r="A4108" i="1"/>
  <c r="E4108" i="1"/>
  <c r="B4109" i="1"/>
  <c r="A4109" i="1"/>
  <c r="E4109" i="1"/>
  <c r="B4110" i="1"/>
  <c r="A4110" i="1"/>
  <c r="E4110" i="1"/>
  <c r="B4111" i="1"/>
  <c r="A4111" i="1"/>
  <c r="E4111" i="1"/>
  <c r="B4112" i="1"/>
  <c r="A4112" i="1"/>
  <c r="E4112" i="1"/>
  <c r="B4113" i="1"/>
  <c r="A4113" i="1"/>
  <c r="E4113" i="1"/>
  <c r="G4113" i="1"/>
  <c r="B4114" i="1"/>
  <c r="A4114" i="1"/>
  <c r="E4114" i="1"/>
  <c r="G4114" i="1"/>
  <c r="B4115" i="1"/>
  <c r="A4115" i="1"/>
  <c r="E4115" i="1"/>
  <c r="B4116" i="1"/>
  <c r="A4116" i="1"/>
  <c r="E4116" i="1"/>
  <c r="B4117" i="1"/>
  <c r="A4117" i="1"/>
  <c r="E4117" i="1"/>
  <c r="G4117" i="1"/>
  <c r="B4118" i="1"/>
  <c r="A4118" i="1"/>
  <c r="E4118" i="1"/>
  <c r="B4119" i="1"/>
  <c r="A4119" i="1"/>
  <c r="E4119" i="1"/>
  <c r="B4120" i="1"/>
  <c r="A4120" i="1"/>
  <c r="E4120" i="1"/>
  <c r="B4121" i="1"/>
  <c r="A4121" i="1"/>
  <c r="E4121" i="1"/>
  <c r="B4122" i="1"/>
  <c r="A4122" i="1"/>
  <c r="E4122" i="1"/>
  <c r="B4123" i="1"/>
  <c r="A4123" i="1"/>
  <c r="E4123" i="1"/>
  <c r="B4124" i="1"/>
  <c r="A4124" i="1"/>
  <c r="E4124" i="1"/>
  <c r="B4125" i="1"/>
  <c r="A4125" i="1"/>
  <c r="E4125" i="1"/>
  <c r="G4125" i="1"/>
  <c r="B4126" i="1"/>
  <c r="A4126" i="1"/>
  <c r="E4126" i="1"/>
  <c r="B4127" i="1"/>
  <c r="A4127" i="1"/>
  <c r="E4127" i="1"/>
  <c r="B4128" i="1"/>
  <c r="A4128" i="1"/>
  <c r="E4128" i="1"/>
  <c r="B4129" i="1"/>
  <c r="A4129" i="1"/>
  <c r="E4129" i="1"/>
  <c r="B4130" i="1"/>
  <c r="A4130" i="1"/>
  <c r="E4130" i="1"/>
  <c r="B4131" i="1"/>
  <c r="A4131" i="1"/>
  <c r="E4131" i="1"/>
  <c r="B4132" i="1"/>
  <c r="A4132" i="1"/>
  <c r="E4132" i="1"/>
  <c r="B4133" i="1"/>
  <c r="A4133" i="1"/>
  <c r="E4133" i="1"/>
  <c r="B4134" i="1"/>
  <c r="A4134" i="1"/>
  <c r="E4134" i="1"/>
  <c r="A4135" i="1"/>
  <c r="E4135" i="1"/>
  <c r="A4136" i="1"/>
  <c r="E4136" i="1"/>
  <c r="B4137" i="1"/>
  <c r="A4137" i="1"/>
  <c r="E4137" i="1"/>
  <c r="B4138" i="1"/>
  <c r="A4138" i="1"/>
  <c r="E4138" i="1"/>
  <c r="B4139" i="1"/>
  <c r="A4139" i="1"/>
  <c r="E4139" i="1"/>
  <c r="B4140" i="1"/>
  <c r="A4140" i="1"/>
  <c r="E4140" i="1"/>
  <c r="B4141" i="1"/>
  <c r="A4141" i="1"/>
  <c r="E4141" i="1"/>
  <c r="B4142" i="1"/>
  <c r="A4142" i="1"/>
  <c r="E4142" i="1"/>
  <c r="B4143" i="1"/>
  <c r="A4143" i="1"/>
  <c r="E4143" i="1"/>
  <c r="B4144" i="1"/>
  <c r="A4144" i="1"/>
  <c r="E4144" i="1"/>
  <c r="B4145" i="1"/>
  <c r="A4145" i="1"/>
  <c r="E4145" i="1"/>
  <c r="B4146" i="1"/>
  <c r="A4146" i="1"/>
  <c r="E4146" i="1"/>
  <c r="B4147" i="1"/>
  <c r="A4147" i="1"/>
  <c r="E4147" i="1"/>
  <c r="B4148" i="1"/>
  <c r="A4148" i="1"/>
  <c r="E4148" i="1"/>
  <c r="B4149" i="1"/>
  <c r="A4149" i="1"/>
  <c r="E4149" i="1"/>
  <c r="B4150" i="1"/>
  <c r="A4150" i="1"/>
  <c r="E4150" i="1"/>
  <c r="B4151" i="1"/>
  <c r="A4151" i="1"/>
  <c r="E4151" i="1"/>
  <c r="B4152" i="1"/>
  <c r="A4152" i="1"/>
  <c r="E4152" i="1"/>
  <c r="B4153" i="1"/>
  <c r="A4153" i="1"/>
  <c r="E4153" i="1"/>
  <c r="B4154" i="1"/>
  <c r="A4154" i="1"/>
  <c r="E4154" i="1"/>
  <c r="B4155" i="1"/>
  <c r="A4155" i="1"/>
  <c r="E4155" i="1"/>
  <c r="B4156" i="1"/>
  <c r="A4156" i="1"/>
  <c r="E4156" i="1"/>
  <c r="B4157" i="1"/>
  <c r="A4157" i="1"/>
  <c r="E4157" i="1"/>
  <c r="B4158" i="1"/>
  <c r="A4158" i="1"/>
  <c r="E4158" i="1"/>
  <c r="B4159" i="1"/>
  <c r="A4159" i="1"/>
  <c r="E4159" i="1"/>
  <c r="B4160" i="1"/>
  <c r="A4160" i="1"/>
  <c r="E4160" i="1"/>
  <c r="B4161" i="1"/>
  <c r="A4161" i="1"/>
  <c r="E4161" i="1"/>
  <c r="G4161" i="1"/>
  <c r="B4162" i="1"/>
  <c r="A4162" i="1"/>
  <c r="E4162" i="1"/>
  <c r="B4163" i="1"/>
  <c r="A4163" i="1"/>
  <c r="E4163" i="1"/>
  <c r="B4164" i="1"/>
  <c r="A4164" i="1"/>
  <c r="E4164" i="1"/>
  <c r="B4165" i="1"/>
  <c r="A4165" i="1"/>
  <c r="E4165" i="1"/>
  <c r="G4165" i="1"/>
  <c r="B4166" i="1"/>
  <c r="A4166" i="1"/>
  <c r="E4166" i="1"/>
  <c r="G4166" i="1"/>
  <c r="B4167" i="1"/>
  <c r="A4167" i="1"/>
  <c r="E4167" i="1"/>
  <c r="B4168" i="1"/>
  <c r="A4168" i="1"/>
  <c r="E4168" i="1"/>
  <c r="B4169" i="1"/>
  <c r="A4169" i="1"/>
  <c r="E4169" i="1"/>
  <c r="B4170" i="1"/>
  <c r="A4170" i="1"/>
  <c r="E4170" i="1"/>
  <c r="B4171" i="1"/>
  <c r="A4171" i="1"/>
  <c r="E4171" i="1"/>
  <c r="B4172" i="1"/>
  <c r="A4172" i="1"/>
  <c r="E4172" i="1"/>
  <c r="B4173" i="1"/>
  <c r="A4173" i="1"/>
  <c r="E4173" i="1"/>
  <c r="B4174" i="1"/>
  <c r="A4174" i="1"/>
  <c r="E4174" i="1"/>
  <c r="B4175" i="1"/>
  <c r="A4175" i="1"/>
  <c r="E4175" i="1"/>
  <c r="B4176" i="1"/>
  <c r="A4176" i="1"/>
  <c r="E4176" i="1"/>
  <c r="B4177" i="1"/>
  <c r="A4177" i="1"/>
  <c r="E4177" i="1"/>
  <c r="B4178" i="1"/>
  <c r="A4178" i="1"/>
  <c r="E4178" i="1"/>
  <c r="B4179" i="1"/>
  <c r="A4179" i="1"/>
  <c r="E4179" i="1"/>
  <c r="B4180" i="1"/>
  <c r="A4180" i="1"/>
  <c r="E4180" i="1"/>
  <c r="B4181" i="1"/>
  <c r="A4181" i="1"/>
  <c r="E4181" i="1"/>
  <c r="B4182" i="1"/>
  <c r="A4182" i="1"/>
  <c r="E4182" i="1"/>
  <c r="B4183" i="1"/>
  <c r="A4183" i="1"/>
  <c r="E4183" i="1"/>
  <c r="B4184" i="1"/>
  <c r="A4184" i="1"/>
  <c r="E4184" i="1"/>
  <c r="B4185" i="1"/>
  <c r="A4185" i="1"/>
  <c r="E4185" i="1"/>
  <c r="B4186" i="1"/>
  <c r="A4186" i="1"/>
  <c r="E4186" i="1"/>
  <c r="B4187" i="1"/>
  <c r="A4187" i="1"/>
  <c r="E4187" i="1"/>
  <c r="B4188" i="1"/>
  <c r="A4188" i="1"/>
  <c r="E4188" i="1"/>
  <c r="B4189" i="1"/>
  <c r="A4189" i="1"/>
  <c r="E4189" i="1"/>
  <c r="B4190" i="1"/>
  <c r="A4190" i="1"/>
  <c r="E4190" i="1"/>
  <c r="B4191" i="1"/>
  <c r="A4191" i="1"/>
  <c r="E4191" i="1"/>
  <c r="B4192" i="1"/>
  <c r="A4192" i="1"/>
  <c r="E4192" i="1"/>
  <c r="B4193" i="1"/>
  <c r="A4193" i="1"/>
  <c r="E4193" i="1"/>
  <c r="B4194" i="1"/>
  <c r="A4194" i="1"/>
  <c r="E4194" i="1"/>
  <c r="B4195" i="1"/>
  <c r="A4195" i="1"/>
  <c r="E4195" i="1"/>
  <c r="B4196" i="1"/>
  <c r="A4196" i="1"/>
  <c r="E4196" i="1"/>
  <c r="B4197" i="1"/>
  <c r="A4197" i="1"/>
  <c r="E4197" i="1"/>
  <c r="B4198" i="1"/>
  <c r="A4198" i="1"/>
  <c r="E4198" i="1"/>
  <c r="B4199" i="1"/>
  <c r="A4199" i="1"/>
  <c r="E4199" i="1"/>
  <c r="B4200" i="1"/>
  <c r="A4200" i="1"/>
  <c r="E4200" i="1"/>
  <c r="B4201" i="1"/>
  <c r="A4201" i="1"/>
  <c r="E4201" i="1"/>
  <c r="B4202" i="1"/>
  <c r="A4202" i="1"/>
  <c r="E4202" i="1"/>
  <c r="B4203" i="1"/>
  <c r="A4203" i="1"/>
  <c r="E4203" i="1"/>
  <c r="B4204" i="1"/>
  <c r="A4204" i="1"/>
  <c r="E4204" i="1"/>
  <c r="B4205" i="1"/>
  <c r="A4205" i="1"/>
  <c r="E4205" i="1"/>
  <c r="B4206" i="1"/>
  <c r="A4206" i="1"/>
  <c r="E4206" i="1"/>
  <c r="B4207" i="1"/>
  <c r="A4207" i="1"/>
  <c r="E4207" i="1"/>
  <c r="B4208" i="1"/>
  <c r="A4208" i="1"/>
  <c r="E4208" i="1"/>
  <c r="B4209" i="1"/>
  <c r="A4209" i="1"/>
  <c r="E4209" i="1"/>
  <c r="B4210" i="1"/>
  <c r="A4210" i="1"/>
  <c r="E4210" i="1"/>
  <c r="B4211" i="1"/>
  <c r="A4211" i="1"/>
  <c r="E4211" i="1"/>
  <c r="B4212" i="1"/>
  <c r="A4212" i="1"/>
  <c r="E4212" i="1"/>
  <c r="B4213" i="1"/>
  <c r="A4213" i="1"/>
  <c r="E4213" i="1"/>
  <c r="B4214" i="1"/>
  <c r="A4214" i="1"/>
  <c r="E4214" i="1"/>
  <c r="B4215" i="1"/>
  <c r="A4215" i="1"/>
  <c r="E4215" i="1"/>
  <c r="B4216" i="1"/>
  <c r="A4216" i="1"/>
  <c r="E4216" i="1"/>
  <c r="B4217" i="1"/>
  <c r="A4217" i="1"/>
  <c r="E4217" i="1"/>
  <c r="B4218" i="1"/>
  <c r="A4218" i="1"/>
  <c r="E4218" i="1"/>
  <c r="B4219" i="1"/>
  <c r="A4219" i="1"/>
  <c r="E4219" i="1"/>
  <c r="B4220" i="1"/>
  <c r="A4220" i="1"/>
  <c r="E4220" i="1"/>
  <c r="B4221" i="1"/>
  <c r="A4221" i="1"/>
  <c r="E4221" i="1"/>
  <c r="B4222" i="1"/>
  <c r="A4222" i="1"/>
  <c r="E4222" i="1"/>
  <c r="B4223" i="1"/>
  <c r="A4223" i="1"/>
  <c r="E4223" i="1"/>
  <c r="B4224" i="1"/>
  <c r="A4224" i="1"/>
  <c r="E4224" i="1"/>
  <c r="B4225" i="1"/>
  <c r="A4225" i="1"/>
  <c r="E4225" i="1"/>
  <c r="B4226" i="1"/>
  <c r="A4226" i="1"/>
  <c r="E4226" i="1"/>
  <c r="B4227" i="1"/>
  <c r="A4227" i="1"/>
  <c r="E4227" i="1"/>
  <c r="B4228" i="1"/>
  <c r="A4228" i="1"/>
  <c r="E4228" i="1"/>
  <c r="B4229" i="1"/>
  <c r="A4229" i="1"/>
  <c r="E4229" i="1"/>
  <c r="B4230" i="1"/>
  <c r="A4230" i="1"/>
  <c r="E4230" i="1"/>
  <c r="B4231" i="1"/>
  <c r="A4231" i="1"/>
  <c r="E4231" i="1"/>
  <c r="B4232" i="1"/>
  <c r="A4232" i="1"/>
  <c r="E4232" i="1"/>
  <c r="B4233" i="1"/>
  <c r="A4233" i="1"/>
  <c r="E4233" i="1"/>
  <c r="B4234" i="1"/>
  <c r="A4234" i="1"/>
  <c r="E4234" i="1"/>
  <c r="B4235" i="1"/>
  <c r="A4235" i="1"/>
  <c r="E4235" i="1"/>
  <c r="B4236" i="1"/>
  <c r="A4236" i="1"/>
  <c r="E4236" i="1"/>
  <c r="B4237" i="1"/>
  <c r="A4237" i="1"/>
  <c r="E4237" i="1"/>
  <c r="B4238" i="1"/>
  <c r="A4238" i="1"/>
  <c r="E4238" i="1"/>
  <c r="B4239" i="1"/>
  <c r="A4239" i="1"/>
  <c r="E4239" i="1"/>
  <c r="B4240" i="1"/>
  <c r="A4240" i="1"/>
  <c r="E4240" i="1"/>
  <c r="B4241" i="1"/>
  <c r="A4241" i="1"/>
  <c r="E4241" i="1"/>
  <c r="B4242" i="1"/>
  <c r="A4242" i="1"/>
  <c r="E4242" i="1"/>
  <c r="B4243" i="1"/>
  <c r="A4243" i="1"/>
  <c r="E4243" i="1"/>
  <c r="B4244" i="1"/>
  <c r="A4244" i="1"/>
  <c r="E4244" i="1"/>
  <c r="B4245" i="1"/>
  <c r="A4245" i="1"/>
  <c r="E4245" i="1"/>
  <c r="B4246" i="1"/>
  <c r="A4246" i="1"/>
  <c r="E4246" i="1"/>
  <c r="B4247" i="1"/>
  <c r="A4247" i="1"/>
  <c r="E4247" i="1"/>
  <c r="B4248" i="1"/>
  <c r="A4248" i="1"/>
  <c r="E4248" i="1"/>
  <c r="B4249" i="1"/>
  <c r="A4249" i="1"/>
  <c r="E4249" i="1"/>
  <c r="B4250" i="1"/>
  <c r="A4250" i="1"/>
  <c r="E4250" i="1"/>
  <c r="B4251" i="1"/>
  <c r="A4251" i="1"/>
  <c r="E4251" i="1"/>
  <c r="B4252" i="1"/>
  <c r="A4252" i="1"/>
  <c r="E4252" i="1"/>
  <c r="B4253" i="1"/>
  <c r="A4253" i="1"/>
  <c r="E4253" i="1"/>
  <c r="B4254" i="1"/>
  <c r="A4254" i="1"/>
  <c r="E4254" i="1"/>
  <c r="B4255" i="1"/>
  <c r="A4255" i="1"/>
  <c r="E4255" i="1"/>
  <c r="B4256" i="1"/>
  <c r="A4256" i="1"/>
  <c r="E4256" i="1"/>
  <c r="B4257" i="1"/>
  <c r="A4257" i="1"/>
  <c r="E4257" i="1"/>
  <c r="B4258" i="1"/>
  <c r="A4258" i="1"/>
  <c r="E4258" i="1"/>
  <c r="B4259" i="1"/>
  <c r="A4259" i="1"/>
  <c r="E4259" i="1"/>
  <c r="B4260" i="1"/>
  <c r="A4260" i="1"/>
  <c r="E4260" i="1"/>
  <c r="B4261" i="1"/>
  <c r="A4261" i="1"/>
  <c r="E4261" i="1"/>
  <c r="B4262" i="1"/>
  <c r="A4262" i="1"/>
  <c r="E4262" i="1"/>
  <c r="B4263" i="1"/>
  <c r="A4263" i="1"/>
  <c r="E4263" i="1"/>
  <c r="B4264" i="1"/>
  <c r="A4264" i="1"/>
  <c r="E4264" i="1"/>
  <c r="B4265" i="1"/>
  <c r="A4265" i="1"/>
  <c r="E4265" i="1"/>
  <c r="B4266" i="1"/>
  <c r="A4266" i="1"/>
  <c r="E4266" i="1"/>
  <c r="B4267" i="1"/>
  <c r="A4267" i="1"/>
  <c r="E4267" i="1"/>
  <c r="B4268" i="1"/>
  <c r="A4268" i="1"/>
  <c r="E4268" i="1"/>
  <c r="B4269" i="1"/>
  <c r="A4269" i="1"/>
  <c r="E4269" i="1"/>
  <c r="B4270" i="1"/>
  <c r="A4270" i="1"/>
  <c r="E4270" i="1"/>
  <c r="B4271" i="1"/>
  <c r="A4271" i="1"/>
  <c r="E4271" i="1"/>
  <c r="B4272" i="1"/>
  <c r="A4272" i="1"/>
  <c r="E4272" i="1"/>
  <c r="B4273" i="1"/>
  <c r="A4273" i="1"/>
  <c r="E4273" i="1"/>
  <c r="B4274" i="1"/>
  <c r="A4274" i="1"/>
  <c r="E4274" i="1"/>
  <c r="B4275" i="1"/>
  <c r="A4275" i="1"/>
  <c r="E4275" i="1"/>
  <c r="B4276" i="1"/>
  <c r="A4276" i="1"/>
  <c r="E4276" i="1"/>
  <c r="B4277" i="1"/>
  <c r="A4277" i="1"/>
  <c r="E4277" i="1"/>
  <c r="B4278" i="1"/>
  <c r="A4278" i="1"/>
  <c r="E4278" i="1"/>
  <c r="B4279" i="1"/>
  <c r="A4279" i="1"/>
  <c r="E4279" i="1"/>
  <c r="B4280" i="1"/>
  <c r="A4280" i="1"/>
  <c r="E4280" i="1"/>
  <c r="B4281" i="1"/>
  <c r="A4281" i="1"/>
  <c r="E4281" i="1"/>
  <c r="B4282" i="1"/>
  <c r="A4282" i="1"/>
  <c r="E4282" i="1"/>
  <c r="B4283" i="1"/>
  <c r="A4283" i="1"/>
  <c r="E4283" i="1"/>
  <c r="B4284" i="1"/>
  <c r="A4284" i="1"/>
  <c r="E4284" i="1"/>
  <c r="B4285" i="1"/>
  <c r="A4285" i="1"/>
  <c r="E4285" i="1"/>
  <c r="G4285" i="1"/>
  <c r="B4286" i="1"/>
  <c r="A4286" i="1"/>
  <c r="E4286" i="1"/>
  <c r="G4286" i="1"/>
  <c r="B4287" i="1"/>
  <c r="A4287" i="1"/>
  <c r="E4287" i="1"/>
  <c r="B4288" i="1"/>
  <c r="A4288" i="1"/>
  <c r="E4288" i="1"/>
  <c r="B4289" i="1"/>
  <c r="A4289" i="1"/>
  <c r="E4289" i="1"/>
  <c r="B4290" i="1"/>
  <c r="A4290" i="1"/>
  <c r="E4290" i="1"/>
  <c r="B4291" i="1"/>
  <c r="A4291" i="1"/>
  <c r="E4291" i="1"/>
  <c r="B4292" i="1"/>
  <c r="A4292" i="1"/>
  <c r="E4292" i="1"/>
  <c r="B4293" i="1"/>
  <c r="A4293" i="1"/>
  <c r="E4293" i="1"/>
  <c r="B4294" i="1"/>
  <c r="A4294" i="1"/>
  <c r="E4294" i="1"/>
  <c r="B4295" i="1"/>
  <c r="A4295" i="1"/>
  <c r="E4295" i="1"/>
  <c r="B4296" i="1"/>
  <c r="A4296" i="1"/>
  <c r="E4296" i="1"/>
  <c r="B4297" i="1"/>
  <c r="A4297" i="1"/>
  <c r="E4297" i="1"/>
  <c r="B4298" i="1"/>
  <c r="A4298" i="1"/>
  <c r="E4298" i="1"/>
  <c r="B4299" i="1"/>
  <c r="A4299" i="1"/>
  <c r="E4299" i="1"/>
  <c r="B4300" i="1"/>
  <c r="A4300" i="1"/>
  <c r="E4300" i="1"/>
  <c r="B4301" i="1"/>
  <c r="A4301" i="1"/>
  <c r="E4301" i="1"/>
  <c r="B4302" i="1"/>
  <c r="A4302" i="1"/>
  <c r="E4302" i="1"/>
  <c r="B4303" i="1"/>
  <c r="A4303" i="1"/>
  <c r="E4303" i="1"/>
  <c r="B4304" i="1"/>
  <c r="A4304" i="1"/>
  <c r="E4304" i="1"/>
  <c r="B4305" i="1"/>
  <c r="A4305" i="1"/>
  <c r="E4305" i="1"/>
  <c r="B4306" i="1"/>
  <c r="A4306" i="1"/>
  <c r="E4306" i="1"/>
  <c r="B4307" i="1"/>
  <c r="A4307" i="1"/>
  <c r="E4307" i="1"/>
  <c r="B4308" i="1"/>
  <c r="A4308" i="1"/>
  <c r="E4308" i="1"/>
  <c r="B4309" i="1"/>
  <c r="A4309" i="1"/>
  <c r="E4309" i="1"/>
  <c r="B4310" i="1"/>
  <c r="A4310" i="1"/>
  <c r="E4310" i="1"/>
  <c r="B4311" i="1"/>
  <c r="A4311" i="1"/>
  <c r="E4311" i="1"/>
  <c r="B4312" i="1"/>
  <c r="A4312" i="1"/>
  <c r="E4312" i="1"/>
  <c r="B4313" i="1"/>
  <c r="A4313" i="1"/>
  <c r="E4313" i="1"/>
  <c r="B4314" i="1"/>
  <c r="A4314" i="1"/>
  <c r="E4314" i="1"/>
  <c r="B4315" i="1"/>
  <c r="A4315" i="1"/>
  <c r="E4315" i="1"/>
  <c r="B4316" i="1"/>
  <c r="A4316" i="1"/>
  <c r="E4316" i="1"/>
  <c r="B4317" i="1"/>
  <c r="A4317" i="1"/>
  <c r="E4317" i="1"/>
  <c r="B4318" i="1"/>
  <c r="A4318" i="1"/>
  <c r="E4318" i="1"/>
  <c r="B4319" i="1"/>
  <c r="A4319" i="1"/>
  <c r="E4319" i="1"/>
  <c r="B4320" i="1"/>
  <c r="A4320" i="1"/>
  <c r="E4320" i="1"/>
  <c r="B4321" i="1"/>
  <c r="A4321" i="1"/>
  <c r="E4321" i="1"/>
  <c r="B4322" i="1"/>
  <c r="A4322" i="1"/>
  <c r="E4322" i="1"/>
  <c r="B4323" i="1"/>
  <c r="A4323" i="1"/>
  <c r="E4323" i="1"/>
  <c r="B4324" i="1"/>
  <c r="A4324" i="1"/>
  <c r="E4324" i="1"/>
  <c r="B4325" i="1"/>
  <c r="A4325" i="1"/>
  <c r="E4325" i="1"/>
  <c r="B4326" i="1"/>
  <c r="A4326" i="1"/>
  <c r="E4326" i="1"/>
  <c r="B4327" i="1"/>
  <c r="A4327" i="1"/>
  <c r="E4327" i="1"/>
  <c r="B4328" i="1"/>
  <c r="A4328" i="1"/>
  <c r="E4328" i="1"/>
  <c r="B4329" i="1"/>
  <c r="A4329" i="1"/>
  <c r="E4329" i="1"/>
  <c r="B4330" i="1"/>
  <c r="A4330" i="1"/>
  <c r="E4330" i="1"/>
  <c r="B4331" i="1"/>
  <c r="A4331" i="1"/>
  <c r="E4331" i="1"/>
  <c r="B4332" i="1"/>
  <c r="A4332" i="1"/>
  <c r="E4332" i="1"/>
  <c r="B4333" i="1"/>
  <c r="A4333" i="1"/>
  <c r="E4333" i="1"/>
  <c r="B4334" i="1"/>
  <c r="A4334" i="1"/>
  <c r="E4334" i="1"/>
  <c r="B4335" i="1"/>
  <c r="A4335" i="1"/>
  <c r="E4335" i="1"/>
  <c r="B4336" i="1"/>
  <c r="A4336" i="1"/>
  <c r="E4336" i="1"/>
  <c r="B4337" i="1"/>
  <c r="A4337" i="1"/>
  <c r="E4337" i="1"/>
  <c r="B4338" i="1"/>
  <c r="A4338" i="1"/>
  <c r="E4338" i="1"/>
  <c r="B4339" i="1"/>
  <c r="A4339" i="1"/>
  <c r="E4339" i="1"/>
  <c r="B4340" i="1"/>
  <c r="A4340" i="1"/>
  <c r="E4340" i="1"/>
  <c r="B4341" i="1"/>
  <c r="A4341" i="1"/>
  <c r="E4341" i="1"/>
  <c r="B4342" i="1"/>
  <c r="A4342" i="1"/>
  <c r="E4342" i="1"/>
  <c r="B4343" i="1"/>
  <c r="A4343" i="1"/>
  <c r="E4343" i="1"/>
  <c r="B4344" i="1"/>
  <c r="A4344" i="1"/>
  <c r="E4344" i="1"/>
  <c r="B4345" i="1"/>
  <c r="A4345" i="1"/>
  <c r="E4345" i="1"/>
  <c r="B4346" i="1"/>
  <c r="A4346" i="1"/>
  <c r="E4346" i="1"/>
  <c r="B4347" i="1"/>
  <c r="A4347" i="1"/>
  <c r="E4347" i="1"/>
  <c r="B4348" i="1"/>
  <c r="A4348" i="1"/>
  <c r="E4348" i="1"/>
  <c r="B4349" i="1"/>
  <c r="A4349" i="1"/>
  <c r="E4349" i="1"/>
  <c r="B4350" i="1"/>
  <c r="A4350" i="1"/>
  <c r="E4350" i="1"/>
  <c r="B4351" i="1"/>
  <c r="A4351" i="1"/>
  <c r="E4351" i="1"/>
  <c r="B4352" i="1"/>
  <c r="A4352" i="1"/>
  <c r="E4352" i="1"/>
  <c r="B4353" i="1"/>
  <c r="A4353" i="1"/>
  <c r="E4353" i="1"/>
  <c r="B4354" i="1"/>
  <c r="A4354" i="1"/>
  <c r="E4354" i="1"/>
  <c r="B4355" i="1"/>
  <c r="A4355" i="1"/>
  <c r="E4355" i="1"/>
  <c r="B4356" i="1"/>
  <c r="A4356" i="1"/>
  <c r="E4356" i="1"/>
  <c r="B4357" i="1"/>
  <c r="A4357" i="1"/>
  <c r="E4357" i="1"/>
  <c r="B4358" i="1"/>
  <c r="A4358" i="1"/>
  <c r="E4358" i="1"/>
  <c r="B4359" i="1"/>
  <c r="A4359" i="1"/>
  <c r="E4359" i="1"/>
  <c r="B4360" i="1"/>
  <c r="A4360" i="1"/>
  <c r="E4360" i="1"/>
  <c r="B4361" i="1"/>
  <c r="A4361" i="1"/>
  <c r="E4361" i="1"/>
  <c r="B4362" i="1"/>
  <c r="A4362" i="1"/>
  <c r="E4362" i="1"/>
  <c r="B4363" i="1"/>
  <c r="A4363" i="1"/>
  <c r="E4363" i="1"/>
  <c r="B4364" i="1"/>
  <c r="A4364" i="1"/>
  <c r="E4364" i="1"/>
  <c r="B4365" i="1"/>
  <c r="A4365" i="1"/>
  <c r="E4365" i="1"/>
  <c r="B4366" i="1"/>
  <c r="A4366" i="1"/>
  <c r="E4366" i="1"/>
  <c r="B4367" i="1"/>
  <c r="A4367" i="1"/>
  <c r="E4367" i="1"/>
  <c r="B4368" i="1"/>
  <c r="A4368" i="1"/>
  <c r="E4368" i="1"/>
  <c r="B4369" i="1"/>
  <c r="A4369" i="1"/>
  <c r="E4369" i="1"/>
  <c r="B4370" i="1"/>
  <c r="A4370" i="1"/>
  <c r="E4370" i="1"/>
  <c r="B4371" i="1"/>
  <c r="A4371" i="1"/>
  <c r="E4371" i="1"/>
  <c r="B4372" i="1"/>
  <c r="A4372" i="1"/>
  <c r="E4372" i="1"/>
  <c r="B4373" i="1"/>
  <c r="A4373" i="1"/>
  <c r="E4373" i="1"/>
  <c r="B4374" i="1"/>
  <c r="A4374" i="1"/>
  <c r="E4374" i="1"/>
  <c r="B4375" i="1"/>
  <c r="A4375" i="1"/>
  <c r="E4375" i="1"/>
  <c r="B4376" i="1"/>
  <c r="A4376" i="1"/>
  <c r="E4376" i="1"/>
  <c r="B4377" i="1"/>
  <c r="A4377" i="1"/>
  <c r="E4377" i="1"/>
  <c r="B4378" i="1"/>
  <c r="A4378" i="1"/>
  <c r="E4378" i="1"/>
  <c r="B4379" i="1"/>
  <c r="A4379" i="1"/>
  <c r="E4379" i="1"/>
  <c r="B4380" i="1"/>
  <c r="A4380" i="1"/>
  <c r="E4380" i="1"/>
  <c r="B4381" i="1"/>
  <c r="A4381" i="1"/>
  <c r="E4381" i="1"/>
  <c r="B4382" i="1"/>
  <c r="A4382" i="1"/>
  <c r="E4382" i="1"/>
  <c r="B4383" i="1"/>
  <c r="A4383" i="1"/>
  <c r="E4383" i="1"/>
  <c r="B4384" i="1"/>
  <c r="A4384" i="1"/>
  <c r="E4384" i="1"/>
  <c r="B4385" i="1"/>
  <c r="A4385" i="1"/>
  <c r="E4385" i="1"/>
  <c r="B4386" i="1"/>
  <c r="A4386" i="1"/>
  <c r="E4386" i="1"/>
  <c r="B4387" i="1"/>
  <c r="A4387" i="1"/>
  <c r="E4387" i="1"/>
  <c r="B4388" i="1"/>
  <c r="A4388" i="1"/>
  <c r="E4388" i="1"/>
  <c r="B4389" i="1"/>
  <c r="A4389" i="1"/>
  <c r="E4389" i="1"/>
  <c r="B4390" i="1"/>
  <c r="A4390" i="1"/>
  <c r="E4390" i="1"/>
  <c r="B4391" i="1"/>
  <c r="A4391" i="1"/>
  <c r="E4391" i="1"/>
  <c r="B4392" i="1"/>
  <c r="A4392" i="1"/>
  <c r="E4392" i="1"/>
  <c r="B4393" i="1"/>
  <c r="A4393" i="1"/>
  <c r="E4393" i="1"/>
  <c r="B4394" i="1"/>
  <c r="A4394" i="1"/>
  <c r="E4394" i="1"/>
  <c r="B4395" i="1"/>
  <c r="A4395" i="1"/>
  <c r="E4395" i="1"/>
  <c r="B4396" i="1"/>
  <c r="A4396" i="1"/>
  <c r="E4396" i="1"/>
  <c r="B4397" i="1"/>
  <c r="A4397" i="1"/>
  <c r="E4397" i="1"/>
  <c r="B4398" i="1"/>
  <c r="A4398" i="1"/>
  <c r="E4398" i="1"/>
  <c r="B4399" i="1"/>
  <c r="A4399" i="1"/>
  <c r="E4399" i="1"/>
  <c r="B4400" i="1"/>
  <c r="A4400" i="1"/>
  <c r="E4400" i="1"/>
  <c r="B4401" i="1"/>
  <c r="A4401" i="1"/>
  <c r="E4401" i="1"/>
  <c r="B4402" i="1"/>
  <c r="A4402" i="1"/>
  <c r="E4402" i="1"/>
  <c r="B4403" i="1"/>
  <c r="A4403" i="1"/>
  <c r="E4403" i="1"/>
  <c r="B4404" i="1"/>
  <c r="A4404" i="1"/>
  <c r="E4404" i="1"/>
  <c r="B4405" i="1"/>
  <c r="A4405" i="1"/>
  <c r="E4405" i="1"/>
  <c r="B4406" i="1"/>
  <c r="A4406" i="1"/>
  <c r="E4406" i="1"/>
  <c r="B4407" i="1"/>
  <c r="A4407" i="1"/>
  <c r="E4407" i="1"/>
  <c r="B4408" i="1"/>
  <c r="A4408" i="1"/>
  <c r="E4408" i="1"/>
  <c r="B4409" i="1"/>
  <c r="A4409" i="1"/>
  <c r="E4409" i="1"/>
  <c r="B4410" i="1"/>
  <c r="A4410" i="1"/>
  <c r="E4410" i="1"/>
  <c r="B4411" i="1"/>
  <c r="A4411" i="1"/>
  <c r="E4411" i="1"/>
  <c r="B4412" i="1"/>
  <c r="A4412" i="1"/>
  <c r="E4412" i="1"/>
  <c r="B4413" i="1"/>
  <c r="A4413" i="1"/>
  <c r="E4413" i="1"/>
  <c r="B4414" i="1"/>
  <c r="A4414" i="1"/>
  <c r="E4414" i="1"/>
  <c r="B4415" i="1"/>
  <c r="A4415" i="1"/>
  <c r="E4415" i="1"/>
  <c r="B4416" i="1"/>
  <c r="A4416" i="1"/>
  <c r="E4416" i="1"/>
  <c r="B4417" i="1"/>
  <c r="A4417" i="1"/>
  <c r="E4417" i="1"/>
  <c r="B4418" i="1"/>
  <c r="A4418" i="1"/>
  <c r="E4418" i="1"/>
  <c r="B4419" i="1"/>
  <c r="A4419" i="1"/>
  <c r="E4419" i="1"/>
  <c r="B4420" i="1"/>
  <c r="A4420" i="1"/>
  <c r="E4420" i="1"/>
  <c r="B4421" i="1"/>
  <c r="A4421" i="1"/>
  <c r="E4421" i="1"/>
  <c r="B4422" i="1"/>
  <c r="A4422" i="1"/>
  <c r="E4422" i="1"/>
  <c r="B4423" i="1"/>
  <c r="A4423" i="1"/>
  <c r="E4423" i="1"/>
  <c r="B4424" i="1"/>
  <c r="A4424" i="1"/>
  <c r="E4424" i="1"/>
  <c r="B4425" i="1"/>
  <c r="A4425" i="1"/>
  <c r="E4425" i="1"/>
  <c r="B4426" i="1"/>
  <c r="A4426" i="1"/>
  <c r="E4426" i="1"/>
  <c r="B4427" i="1"/>
  <c r="A4427" i="1"/>
  <c r="E4427" i="1"/>
  <c r="B4428" i="1"/>
  <c r="A4428" i="1"/>
  <c r="E4428" i="1"/>
  <c r="B4429" i="1"/>
  <c r="A4429" i="1"/>
  <c r="E4429" i="1"/>
  <c r="B4430" i="1"/>
  <c r="A4430" i="1"/>
  <c r="E4430" i="1"/>
  <c r="B4431" i="1"/>
  <c r="A4431" i="1"/>
  <c r="E4431" i="1"/>
  <c r="B4432" i="1"/>
  <c r="A4432" i="1"/>
  <c r="E4432" i="1"/>
  <c r="B4433" i="1"/>
  <c r="A4433" i="1"/>
  <c r="E4433" i="1"/>
  <c r="B4434" i="1"/>
  <c r="A4434" i="1"/>
  <c r="E4434" i="1"/>
  <c r="B4435" i="1"/>
  <c r="A4435" i="1"/>
  <c r="E4435" i="1"/>
  <c r="B4436" i="1"/>
  <c r="A4436" i="1"/>
  <c r="E4436" i="1"/>
  <c r="B4437" i="1"/>
  <c r="A4437" i="1"/>
  <c r="E4437" i="1"/>
  <c r="B4438" i="1"/>
  <c r="A4438" i="1"/>
  <c r="E4438" i="1"/>
  <c r="B4439" i="1"/>
  <c r="A4439" i="1"/>
  <c r="E4439" i="1"/>
  <c r="B4440" i="1"/>
  <c r="A4440" i="1"/>
  <c r="E4440" i="1"/>
  <c r="B4441" i="1"/>
  <c r="A4441" i="1"/>
  <c r="E4441" i="1"/>
  <c r="B4442" i="1"/>
  <c r="A4442" i="1"/>
  <c r="E4442" i="1"/>
  <c r="B4443" i="1"/>
  <c r="A4443" i="1"/>
  <c r="E4443" i="1"/>
  <c r="B4444" i="1"/>
  <c r="A4444" i="1"/>
  <c r="E4444" i="1"/>
  <c r="B4445" i="1"/>
  <c r="A4445" i="1"/>
  <c r="E4445" i="1"/>
  <c r="B4446" i="1"/>
  <c r="A4446" i="1"/>
  <c r="E4446" i="1"/>
  <c r="B4447" i="1"/>
  <c r="A4447" i="1"/>
  <c r="E4447" i="1"/>
  <c r="B4448" i="1"/>
  <c r="A4448" i="1"/>
  <c r="E4448" i="1"/>
  <c r="B4449" i="1"/>
  <c r="A4449" i="1"/>
  <c r="E4449" i="1"/>
  <c r="B4450" i="1"/>
  <c r="A4450" i="1"/>
  <c r="E4450" i="1"/>
  <c r="B4451" i="1"/>
  <c r="A4451" i="1"/>
  <c r="E4451" i="1"/>
  <c r="B4452" i="1"/>
  <c r="A4452" i="1"/>
  <c r="E4452" i="1"/>
  <c r="B4453" i="1"/>
  <c r="A4453" i="1"/>
  <c r="E4453" i="1"/>
  <c r="B4454" i="1"/>
  <c r="A4454" i="1"/>
  <c r="E4454" i="1"/>
  <c r="B4455" i="1"/>
  <c r="A4455" i="1"/>
  <c r="E4455" i="1"/>
  <c r="B4456" i="1"/>
  <c r="A4456" i="1"/>
  <c r="E4456" i="1"/>
  <c r="B4457" i="1"/>
  <c r="A4457" i="1"/>
  <c r="E4457" i="1"/>
  <c r="B4458" i="1"/>
  <c r="A4458" i="1"/>
  <c r="E4458" i="1"/>
  <c r="B4459" i="1"/>
  <c r="A4459" i="1"/>
  <c r="E4459" i="1"/>
  <c r="B4460" i="1"/>
  <c r="A4460" i="1"/>
  <c r="E4460" i="1"/>
  <c r="B4461" i="1"/>
  <c r="A4461" i="1"/>
  <c r="E4461" i="1"/>
  <c r="B4462" i="1"/>
  <c r="A4462" i="1"/>
  <c r="E4462" i="1"/>
  <c r="B4463" i="1"/>
  <c r="A4463" i="1"/>
  <c r="E4463" i="1"/>
  <c r="B4464" i="1"/>
  <c r="A4464" i="1"/>
  <c r="E4464" i="1"/>
  <c r="B4465" i="1"/>
  <c r="A4465" i="1"/>
  <c r="E4465" i="1"/>
  <c r="B4466" i="1"/>
  <c r="A4466" i="1"/>
  <c r="E4466" i="1"/>
  <c r="B4467" i="1"/>
  <c r="A4467" i="1"/>
  <c r="E4467" i="1"/>
  <c r="B4468" i="1"/>
  <c r="A4468" i="1"/>
  <c r="E4468" i="1"/>
  <c r="B4469" i="1"/>
  <c r="A4469" i="1"/>
  <c r="E4469" i="1"/>
  <c r="B4470" i="1"/>
  <c r="A4470" i="1"/>
  <c r="E4470" i="1"/>
  <c r="B4471" i="1"/>
  <c r="A4471" i="1"/>
  <c r="E4471" i="1"/>
  <c r="B4472" i="1"/>
  <c r="A4472" i="1"/>
  <c r="E4472" i="1"/>
  <c r="B4473" i="1"/>
  <c r="A4473" i="1"/>
  <c r="E4473" i="1"/>
  <c r="B4474" i="1"/>
  <c r="A4474" i="1"/>
  <c r="E4474" i="1"/>
  <c r="B4475" i="1"/>
  <c r="A4475" i="1"/>
  <c r="E4475" i="1"/>
  <c r="B4476" i="1"/>
  <c r="A4476" i="1"/>
  <c r="E4476" i="1"/>
  <c r="B4477" i="1"/>
  <c r="A4477" i="1"/>
  <c r="E4477" i="1"/>
  <c r="B4478" i="1"/>
  <c r="A4478" i="1"/>
  <c r="E4478" i="1"/>
  <c r="B4479" i="1"/>
  <c r="A4479" i="1"/>
  <c r="E4479" i="1"/>
  <c r="B4480" i="1"/>
  <c r="A4480" i="1"/>
  <c r="E4480" i="1"/>
  <c r="B4481" i="1"/>
  <c r="A4481" i="1"/>
  <c r="E4481" i="1"/>
  <c r="B4482" i="1"/>
  <c r="A4482" i="1"/>
  <c r="E4482" i="1"/>
  <c r="B4483" i="1"/>
  <c r="A4483" i="1"/>
  <c r="E4483" i="1"/>
  <c r="B4484" i="1"/>
  <c r="A4484" i="1"/>
  <c r="E4484" i="1"/>
  <c r="B4485" i="1"/>
  <c r="A4485" i="1"/>
  <c r="E4485" i="1"/>
  <c r="B4486" i="1"/>
  <c r="A4486" i="1"/>
  <c r="E4486" i="1"/>
  <c r="B4487" i="1"/>
  <c r="A4487" i="1"/>
  <c r="E4487" i="1"/>
  <c r="B4488" i="1"/>
  <c r="A4488" i="1"/>
  <c r="E4488" i="1"/>
  <c r="B4489" i="1"/>
  <c r="A4489" i="1"/>
  <c r="E4489" i="1"/>
  <c r="B4490" i="1"/>
  <c r="A4490" i="1"/>
  <c r="E4490" i="1"/>
  <c r="B4491" i="1"/>
  <c r="A4491" i="1"/>
  <c r="E4491" i="1"/>
  <c r="B4492" i="1"/>
  <c r="A4492" i="1"/>
  <c r="E4492" i="1"/>
  <c r="B4493" i="1"/>
  <c r="A4493" i="1"/>
  <c r="E4493" i="1"/>
  <c r="B4494" i="1"/>
  <c r="A4494" i="1"/>
  <c r="E4494" i="1"/>
  <c r="B4495" i="1"/>
  <c r="A4495" i="1"/>
  <c r="E4495" i="1"/>
  <c r="B4496" i="1"/>
  <c r="A4496" i="1"/>
  <c r="E4496" i="1"/>
  <c r="B4497" i="1"/>
  <c r="A4497" i="1"/>
  <c r="E4497" i="1"/>
  <c r="B4498" i="1"/>
  <c r="A4498" i="1"/>
  <c r="E4498" i="1"/>
  <c r="B4499" i="1"/>
  <c r="A4499" i="1"/>
  <c r="E4499" i="1"/>
  <c r="B4500" i="1"/>
  <c r="A4500" i="1"/>
  <c r="E4500" i="1"/>
  <c r="B4501" i="1"/>
  <c r="A4501" i="1"/>
  <c r="E4501" i="1"/>
  <c r="B4502" i="1"/>
  <c r="A4502" i="1"/>
  <c r="E4502" i="1"/>
  <c r="B4503" i="1"/>
  <c r="A4503" i="1"/>
  <c r="E4503" i="1"/>
  <c r="B4504" i="1"/>
  <c r="A4504" i="1"/>
  <c r="E4504" i="1"/>
  <c r="B4505" i="1"/>
  <c r="A4505" i="1"/>
  <c r="E4505" i="1"/>
  <c r="B4506" i="1"/>
  <c r="A4506" i="1"/>
  <c r="E4506" i="1"/>
  <c r="B4507" i="1"/>
  <c r="A4507" i="1"/>
  <c r="E4507" i="1"/>
  <c r="B4508" i="1"/>
  <c r="A4508" i="1"/>
  <c r="E4508" i="1"/>
  <c r="B4509" i="1"/>
  <c r="A4509" i="1"/>
  <c r="E4509" i="1"/>
  <c r="B4510" i="1"/>
  <c r="A4510" i="1"/>
  <c r="E4510" i="1"/>
  <c r="B4511" i="1"/>
  <c r="A4511" i="1"/>
  <c r="E4511" i="1"/>
  <c r="B4512" i="1"/>
  <c r="A4512" i="1"/>
  <c r="E4512" i="1"/>
  <c r="B4513" i="1"/>
  <c r="A4513" i="1"/>
  <c r="E4513" i="1"/>
  <c r="B4514" i="1"/>
  <c r="A4514" i="1"/>
  <c r="E4514" i="1"/>
  <c r="B4515" i="1"/>
  <c r="A4515" i="1"/>
  <c r="E4515" i="1"/>
  <c r="B4516" i="1"/>
  <c r="A4516" i="1"/>
  <c r="E4516" i="1"/>
  <c r="B4517" i="1"/>
  <c r="A4517" i="1"/>
  <c r="E4517" i="1"/>
  <c r="B4518" i="1"/>
  <c r="A4518" i="1"/>
  <c r="E4518" i="1"/>
  <c r="B4519" i="1"/>
  <c r="A4519" i="1"/>
  <c r="E4519" i="1"/>
  <c r="B4520" i="1"/>
  <c r="A4520" i="1"/>
  <c r="E4520" i="1"/>
  <c r="B4521" i="1"/>
  <c r="A4521" i="1"/>
  <c r="E4521" i="1"/>
  <c r="B4522" i="1"/>
  <c r="A4522" i="1"/>
  <c r="E4522" i="1"/>
  <c r="B4523" i="1"/>
  <c r="A4523" i="1"/>
  <c r="E4523" i="1"/>
  <c r="B4524" i="1"/>
  <c r="A4524" i="1"/>
  <c r="E4524" i="1"/>
  <c r="B4525" i="1"/>
  <c r="A4525" i="1"/>
  <c r="E4525" i="1"/>
  <c r="B4526" i="1"/>
  <c r="A4526" i="1"/>
  <c r="E4526" i="1"/>
  <c r="B4527" i="1"/>
  <c r="A4527" i="1"/>
  <c r="E4527" i="1"/>
  <c r="B4528" i="1"/>
  <c r="A4528" i="1"/>
  <c r="E4528" i="1"/>
  <c r="B4529" i="1"/>
  <c r="A4529" i="1"/>
  <c r="E4529" i="1"/>
  <c r="B4530" i="1"/>
  <c r="A4530" i="1"/>
  <c r="E4530" i="1"/>
  <c r="B4531" i="1"/>
  <c r="A4531" i="1"/>
  <c r="E4531" i="1"/>
  <c r="B4532" i="1"/>
  <c r="A4532" i="1"/>
  <c r="E4532" i="1"/>
  <c r="B4533" i="1"/>
  <c r="A4533" i="1"/>
  <c r="E4533" i="1"/>
  <c r="B4534" i="1"/>
  <c r="A4534" i="1"/>
  <c r="E4534" i="1"/>
  <c r="B4535" i="1"/>
  <c r="A4535" i="1"/>
  <c r="E4535" i="1"/>
  <c r="B4536" i="1"/>
  <c r="A4536" i="1"/>
  <c r="E4536" i="1"/>
  <c r="B4537" i="1"/>
  <c r="A4537" i="1"/>
  <c r="E4537" i="1"/>
  <c r="B4538" i="1"/>
  <c r="A4538" i="1"/>
  <c r="E4538" i="1"/>
  <c r="B4539" i="1"/>
  <c r="A4539" i="1"/>
  <c r="E4539" i="1"/>
  <c r="B4540" i="1"/>
  <c r="A4540" i="1"/>
  <c r="E4540" i="1"/>
  <c r="B4541" i="1"/>
  <c r="A4541" i="1"/>
  <c r="E4541" i="1"/>
  <c r="B4542" i="1"/>
  <c r="A4542" i="1"/>
  <c r="E4542" i="1"/>
  <c r="B4543" i="1"/>
  <c r="A4543" i="1"/>
  <c r="E4543" i="1"/>
  <c r="B4544" i="1"/>
  <c r="A4544" i="1"/>
  <c r="E4544" i="1"/>
  <c r="B4545" i="1"/>
  <c r="A4545" i="1"/>
  <c r="E4545" i="1"/>
  <c r="B4546" i="1"/>
  <c r="A4546" i="1"/>
  <c r="E4546" i="1"/>
  <c r="B4547" i="1"/>
  <c r="A4547" i="1"/>
  <c r="E4547" i="1"/>
  <c r="B4548" i="1"/>
  <c r="A4548" i="1"/>
  <c r="E4548" i="1"/>
  <c r="B4549" i="1"/>
  <c r="A4549" i="1"/>
  <c r="E4549" i="1"/>
  <c r="B4550" i="1"/>
  <c r="A4550" i="1"/>
  <c r="E4550" i="1"/>
  <c r="B4551" i="1"/>
  <c r="A4551" i="1"/>
  <c r="E4551" i="1"/>
  <c r="B4552" i="1"/>
  <c r="A4552" i="1"/>
  <c r="E4552" i="1"/>
  <c r="B4553" i="1"/>
  <c r="A4553" i="1"/>
  <c r="E4553" i="1"/>
  <c r="B4554" i="1"/>
  <c r="A4554" i="1"/>
  <c r="E4554" i="1"/>
  <c r="B4555" i="1"/>
  <c r="A4555" i="1"/>
  <c r="E4555" i="1"/>
  <c r="B4556" i="1"/>
  <c r="A4556" i="1"/>
  <c r="E4556" i="1"/>
  <c r="B4557" i="1"/>
  <c r="A4557" i="1"/>
  <c r="E4557" i="1"/>
  <c r="B4558" i="1"/>
  <c r="A4558" i="1"/>
  <c r="E4558" i="1"/>
  <c r="B4559" i="1"/>
  <c r="A4559" i="1"/>
  <c r="E4559" i="1"/>
  <c r="B4560" i="1"/>
  <c r="A4560" i="1"/>
  <c r="E4560" i="1"/>
  <c r="B4561" i="1"/>
  <c r="A4561" i="1"/>
  <c r="E4561" i="1"/>
  <c r="B4562" i="1"/>
  <c r="A4562" i="1"/>
  <c r="E4562" i="1"/>
  <c r="B4563" i="1"/>
  <c r="A4563" i="1"/>
  <c r="E4563" i="1"/>
  <c r="B4564" i="1"/>
  <c r="A4564" i="1"/>
  <c r="E4564" i="1"/>
  <c r="B4565" i="1"/>
  <c r="A4565" i="1"/>
  <c r="E4565" i="1"/>
  <c r="B4566" i="1"/>
  <c r="A4566" i="1"/>
  <c r="E4566" i="1"/>
  <c r="B4567" i="1"/>
  <c r="A4567" i="1"/>
  <c r="E4567" i="1"/>
  <c r="B4568" i="1"/>
  <c r="A4568" i="1"/>
  <c r="E4568" i="1"/>
  <c r="B4569" i="1"/>
  <c r="A4569" i="1"/>
  <c r="E4569" i="1"/>
  <c r="B4570" i="1"/>
  <c r="A4570" i="1"/>
  <c r="E4570" i="1"/>
  <c r="B4571" i="1"/>
  <c r="A4571" i="1"/>
  <c r="E4571" i="1"/>
  <c r="B4572" i="1"/>
  <c r="A4572" i="1"/>
  <c r="E4572" i="1"/>
  <c r="B4573" i="1"/>
  <c r="A4573" i="1"/>
  <c r="E4573" i="1"/>
  <c r="B4574" i="1"/>
  <c r="A4574" i="1"/>
  <c r="E4574" i="1"/>
  <c r="B4575" i="1"/>
  <c r="A4575" i="1"/>
  <c r="E4575" i="1"/>
  <c r="B4576" i="1"/>
  <c r="A4576" i="1"/>
  <c r="E4576" i="1"/>
  <c r="B4577" i="1"/>
  <c r="A4577" i="1"/>
  <c r="E4577" i="1"/>
  <c r="B4578" i="1"/>
  <c r="A4578" i="1"/>
  <c r="E4578" i="1"/>
  <c r="B4579" i="1"/>
  <c r="A4579" i="1"/>
  <c r="E4579" i="1"/>
  <c r="B4580" i="1"/>
  <c r="A4580" i="1"/>
  <c r="E4580" i="1"/>
  <c r="B4581" i="1"/>
  <c r="A4581" i="1"/>
  <c r="E4581" i="1"/>
  <c r="B4582" i="1"/>
  <c r="A4582" i="1"/>
  <c r="E4582" i="1"/>
  <c r="B4583" i="1"/>
  <c r="A4583" i="1"/>
  <c r="E4583" i="1"/>
  <c r="B4584" i="1"/>
  <c r="A4584" i="1"/>
  <c r="E4584" i="1"/>
  <c r="B4585" i="1"/>
  <c r="A4585" i="1"/>
  <c r="E4585" i="1"/>
  <c r="B4586" i="1"/>
  <c r="A4586" i="1"/>
  <c r="E4586" i="1"/>
  <c r="B4587" i="1"/>
  <c r="A4587" i="1"/>
  <c r="E4587" i="1"/>
  <c r="B4588" i="1"/>
  <c r="A4588" i="1"/>
  <c r="E4588" i="1"/>
  <c r="B4589" i="1"/>
  <c r="A4589" i="1"/>
  <c r="E4589" i="1"/>
  <c r="B4590" i="1"/>
  <c r="A4590" i="1"/>
  <c r="E4590" i="1"/>
  <c r="B4591" i="1"/>
  <c r="A4591" i="1"/>
  <c r="E4591" i="1"/>
  <c r="B4592" i="1"/>
  <c r="A4592" i="1"/>
  <c r="E4592" i="1"/>
  <c r="B4593" i="1"/>
  <c r="A4593" i="1"/>
  <c r="E4593" i="1"/>
  <c r="B4594" i="1"/>
  <c r="A4594" i="1"/>
  <c r="E4594" i="1"/>
  <c r="B4595" i="1"/>
  <c r="A4595" i="1"/>
  <c r="E4595" i="1"/>
  <c r="B4596" i="1"/>
  <c r="A4596" i="1"/>
  <c r="E4596" i="1"/>
  <c r="B4597" i="1"/>
  <c r="A4597" i="1"/>
  <c r="E4597" i="1"/>
  <c r="B4598" i="1"/>
  <c r="A4598" i="1"/>
  <c r="E4598" i="1"/>
  <c r="B4599" i="1"/>
  <c r="A4599" i="1"/>
  <c r="E4599" i="1"/>
  <c r="B4600" i="1"/>
  <c r="A4600" i="1"/>
  <c r="E4600" i="1"/>
  <c r="B4601" i="1"/>
  <c r="A4601" i="1"/>
  <c r="E4601" i="1"/>
  <c r="B4602" i="1"/>
  <c r="A4602" i="1"/>
  <c r="E4602" i="1"/>
  <c r="B4603" i="1"/>
  <c r="A4603" i="1"/>
  <c r="E4603" i="1"/>
  <c r="B4604" i="1"/>
  <c r="A4604" i="1"/>
  <c r="E4604" i="1"/>
  <c r="B4605" i="1"/>
  <c r="A4605" i="1"/>
  <c r="E4605" i="1"/>
  <c r="B4606" i="1"/>
  <c r="A4606" i="1"/>
  <c r="E4606" i="1"/>
  <c r="B4607" i="1"/>
  <c r="A4607" i="1"/>
  <c r="E4607" i="1"/>
  <c r="B4608" i="1"/>
  <c r="A4608" i="1"/>
  <c r="E4608" i="1"/>
  <c r="F4608" i="1"/>
  <c r="B4609" i="1"/>
  <c r="A4609" i="1"/>
  <c r="E4609" i="1"/>
  <c r="F4609" i="1"/>
  <c r="B4610" i="1"/>
  <c r="A4610" i="1"/>
  <c r="E4610" i="1"/>
  <c r="F4610" i="1"/>
  <c r="B4611" i="1"/>
  <c r="A4611" i="1"/>
  <c r="E4611" i="1"/>
  <c r="F4611" i="1"/>
  <c r="B4612" i="1"/>
  <c r="A4612" i="1"/>
  <c r="E4612" i="1"/>
  <c r="F4612" i="1"/>
  <c r="B4613" i="1"/>
  <c r="A4613" i="1"/>
  <c r="E4613" i="1"/>
  <c r="F4613" i="1"/>
  <c r="B4614" i="1"/>
  <c r="A4614" i="1"/>
  <c r="E4614" i="1"/>
  <c r="F4614" i="1"/>
  <c r="B4615" i="1"/>
  <c r="A4615" i="1"/>
  <c r="E4615" i="1"/>
  <c r="F4615" i="1"/>
  <c r="B4616" i="1"/>
  <c r="A4616" i="1"/>
  <c r="E4616" i="1"/>
  <c r="F4616" i="1"/>
  <c r="B4617" i="1"/>
  <c r="A4617" i="1"/>
  <c r="E4617" i="1"/>
  <c r="F4617" i="1"/>
  <c r="B4618" i="1"/>
  <c r="A4618" i="1"/>
  <c r="E4618" i="1"/>
  <c r="F4618" i="1"/>
  <c r="B4619" i="1"/>
  <c r="A4619" i="1"/>
  <c r="E4619" i="1"/>
  <c r="F4619" i="1"/>
  <c r="B4620" i="1"/>
  <c r="A4620" i="1"/>
  <c r="E4620" i="1"/>
  <c r="F4620" i="1"/>
  <c r="B4621" i="1"/>
  <c r="A4621" i="1"/>
  <c r="E4621" i="1"/>
  <c r="F4621" i="1"/>
  <c r="B4622" i="1"/>
  <c r="A4622" i="1"/>
  <c r="E4622" i="1"/>
  <c r="F4622" i="1"/>
  <c r="B4623" i="1"/>
  <c r="A4623" i="1"/>
  <c r="E4623" i="1"/>
  <c r="F4623" i="1"/>
  <c r="B4624" i="1"/>
  <c r="A4624" i="1"/>
  <c r="E4624" i="1"/>
  <c r="F4624" i="1"/>
  <c r="B4625" i="1"/>
  <c r="A4625" i="1"/>
  <c r="E4625" i="1"/>
  <c r="F4625" i="1"/>
  <c r="B4626" i="1"/>
  <c r="A4626" i="1"/>
  <c r="E4626" i="1"/>
  <c r="F4626" i="1"/>
  <c r="B4627" i="1"/>
  <c r="A4627" i="1"/>
  <c r="E4627" i="1"/>
  <c r="F4627" i="1"/>
  <c r="B4628" i="1"/>
  <c r="A4628" i="1"/>
  <c r="E4628" i="1"/>
  <c r="F4628" i="1"/>
  <c r="B4629" i="1"/>
  <c r="A4629" i="1"/>
  <c r="E4629" i="1"/>
  <c r="F4629" i="1"/>
  <c r="B4630" i="1"/>
  <c r="A4630" i="1"/>
  <c r="E4630" i="1"/>
  <c r="F4630" i="1"/>
  <c r="B4631" i="1"/>
  <c r="A4631" i="1"/>
  <c r="E4631" i="1"/>
  <c r="F4631" i="1"/>
  <c r="B4632" i="1"/>
  <c r="A4632" i="1"/>
  <c r="E4632" i="1"/>
  <c r="F4632" i="1"/>
  <c r="B4633" i="1"/>
  <c r="A4633" i="1"/>
  <c r="E4633" i="1"/>
  <c r="F4633" i="1"/>
  <c r="B4634" i="1"/>
  <c r="A4634" i="1"/>
  <c r="E4634" i="1"/>
  <c r="F4634" i="1"/>
  <c r="B4635" i="1"/>
  <c r="A4635" i="1"/>
  <c r="E4635" i="1"/>
  <c r="F4635" i="1"/>
  <c r="B4636" i="1"/>
  <c r="A4636" i="1"/>
  <c r="E4636" i="1"/>
  <c r="F4636" i="1"/>
  <c r="B4637" i="1"/>
  <c r="A4637" i="1"/>
  <c r="E4637" i="1"/>
  <c r="F4637" i="1"/>
  <c r="B4638" i="1"/>
  <c r="A4638" i="1"/>
  <c r="E4638" i="1"/>
  <c r="F4638" i="1"/>
  <c r="B4639" i="1"/>
  <c r="A4639" i="1"/>
  <c r="E4639" i="1"/>
  <c r="F4639" i="1"/>
  <c r="B4640" i="1"/>
  <c r="A4640" i="1"/>
  <c r="E4640" i="1"/>
  <c r="F4640" i="1"/>
  <c r="B4641" i="1"/>
  <c r="A4641" i="1"/>
  <c r="E4641" i="1"/>
  <c r="F4641" i="1"/>
  <c r="B4642" i="1"/>
  <c r="A4642" i="1"/>
  <c r="E4642" i="1"/>
  <c r="F4642" i="1"/>
  <c r="B4643" i="1"/>
  <c r="A4643" i="1"/>
  <c r="E4643" i="1"/>
  <c r="F4643" i="1"/>
  <c r="B4644" i="1"/>
  <c r="A4644" i="1"/>
  <c r="E4644" i="1"/>
  <c r="F4644" i="1"/>
  <c r="B4645" i="1"/>
  <c r="A4645" i="1"/>
  <c r="E4645" i="1"/>
  <c r="F4645" i="1"/>
  <c r="B4646" i="1"/>
  <c r="A4646" i="1"/>
  <c r="E4646" i="1"/>
  <c r="F4646" i="1"/>
  <c r="B4647" i="1"/>
  <c r="A4647" i="1"/>
  <c r="E4647" i="1"/>
  <c r="F4647" i="1"/>
  <c r="B4648" i="1"/>
  <c r="A4648" i="1"/>
  <c r="E4648" i="1"/>
  <c r="F4648" i="1"/>
  <c r="B4649" i="1"/>
  <c r="A4649" i="1"/>
  <c r="E4649" i="1"/>
  <c r="F4649" i="1"/>
  <c r="B4650" i="1"/>
  <c r="A4650" i="1"/>
  <c r="E4650" i="1"/>
  <c r="F4650" i="1"/>
  <c r="B4651" i="1"/>
  <c r="A4651" i="1"/>
  <c r="E4651" i="1"/>
  <c r="F4651" i="1"/>
  <c r="B4652" i="1"/>
  <c r="A4652" i="1"/>
  <c r="E4652" i="1"/>
  <c r="F4652" i="1"/>
  <c r="B4653" i="1"/>
  <c r="A4653" i="1"/>
  <c r="E4653" i="1"/>
  <c r="F4653" i="1"/>
  <c r="B4654" i="1"/>
  <c r="A4654" i="1"/>
  <c r="E4654" i="1"/>
  <c r="F4654" i="1"/>
  <c r="B4655" i="1"/>
  <c r="A4655" i="1"/>
  <c r="E4655" i="1"/>
  <c r="F4655" i="1"/>
  <c r="B4656" i="1"/>
  <c r="A4656" i="1"/>
  <c r="E4656" i="1"/>
  <c r="F4656" i="1"/>
  <c r="B4657" i="1"/>
  <c r="A4657" i="1"/>
  <c r="E4657" i="1"/>
  <c r="F4657" i="1"/>
  <c r="B4658" i="1"/>
  <c r="A4658" i="1"/>
  <c r="E4658" i="1"/>
  <c r="F4658" i="1"/>
  <c r="B4659" i="1"/>
  <c r="A4659" i="1"/>
  <c r="E4659" i="1"/>
  <c r="F4659" i="1"/>
  <c r="B4660" i="1"/>
  <c r="A4660" i="1"/>
  <c r="E4660" i="1"/>
  <c r="F4660" i="1"/>
  <c r="B4661" i="1"/>
  <c r="A4661" i="1"/>
  <c r="E4661" i="1"/>
  <c r="F4661" i="1"/>
  <c r="B4662" i="1"/>
  <c r="A4662" i="1"/>
  <c r="E4662" i="1"/>
  <c r="F4662" i="1"/>
  <c r="B4663" i="1"/>
  <c r="A4663" i="1"/>
  <c r="E4663" i="1"/>
  <c r="F4663" i="1"/>
  <c r="B4664" i="1"/>
  <c r="A4664" i="1"/>
  <c r="E4664" i="1"/>
  <c r="F4664" i="1"/>
  <c r="B4665" i="1"/>
  <c r="A4665" i="1"/>
  <c r="E4665" i="1"/>
  <c r="F4665" i="1"/>
  <c r="B4666" i="1"/>
  <c r="A4666" i="1"/>
  <c r="E4666" i="1"/>
  <c r="F4666" i="1"/>
  <c r="B4667" i="1"/>
  <c r="A4667" i="1"/>
  <c r="E4667" i="1"/>
  <c r="F4667" i="1"/>
  <c r="B4668" i="1"/>
  <c r="A4668" i="1"/>
  <c r="E4668" i="1"/>
  <c r="F4668" i="1"/>
  <c r="B4669" i="1"/>
  <c r="A4669" i="1"/>
  <c r="E4669" i="1"/>
  <c r="F4669" i="1"/>
  <c r="B4670" i="1"/>
  <c r="A4670" i="1"/>
  <c r="E4670" i="1"/>
  <c r="F4670" i="1"/>
  <c r="B4671" i="1"/>
  <c r="A4671" i="1"/>
  <c r="E4671" i="1"/>
  <c r="F4671" i="1"/>
  <c r="B4672" i="1"/>
  <c r="A4672" i="1"/>
  <c r="E4672" i="1"/>
  <c r="F4672" i="1"/>
  <c r="B4673" i="1"/>
  <c r="A4673" i="1"/>
  <c r="E4673" i="1"/>
  <c r="F4673" i="1"/>
  <c r="B4674" i="1"/>
  <c r="A4674" i="1"/>
  <c r="E4674" i="1"/>
  <c r="F4674" i="1"/>
  <c r="B4675" i="1"/>
  <c r="A4675" i="1"/>
  <c r="E4675" i="1"/>
  <c r="F4675" i="1"/>
  <c r="B4676" i="1"/>
  <c r="A4676" i="1"/>
  <c r="E4676" i="1"/>
  <c r="F4676" i="1"/>
  <c r="B4677" i="1"/>
  <c r="A4677" i="1"/>
  <c r="E4677" i="1"/>
  <c r="F4677" i="1"/>
  <c r="B4678" i="1"/>
  <c r="A4678" i="1"/>
  <c r="E4678" i="1"/>
  <c r="F4678" i="1"/>
  <c r="B4679" i="1"/>
  <c r="A4679" i="1"/>
  <c r="E4679" i="1"/>
  <c r="F4679" i="1"/>
  <c r="B4680" i="1"/>
  <c r="A4680" i="1"/>
  <c r="E4680" i="1"/>
  <c r="F4680" i="1"/>
  <c r="B4681" i="1"/>
  <c r="A4681" i="1"/>
  <c r="E4681" i="1"/>
  <c r="F4681" i="1"/>
  <c r="B4682" i="1"/>
  <c r="A4682" i="1"/>
  <c r="E4682" i="1"/>
  <c r="F4682" i="1"/>
  <c r="B4683" i="1"/>
  <c r="A4683" i="1"/>
  <c r="E4683" i="1"/>
  <c r="F4683" i="1"/>
  <c r="B4684" i="1"/>
  <c r="A4684" i="1"/>
  <c r="E4684" i="1"/>
  <c r="F4684" i="1"/>
  <c r="B4685" i="1"/>
  <c r="A4685" i="1"/>
  <c r="E4685" i="1"/>
  <c r="F4685" i="1"/>
  <c r="B4686" i="1"/>
  <c r="A4686" i="1"/>
  <c r="E4686" i="1"/>
  <c r="F4686" i="1"/>
  <c r="B4687" i="1"/>
  <c r="A4687" i="1"/>
  <c r="E4687" i="1"/>
  <c r="F4687" i="1"/>
  <c r="B4688" i="1"/>
  <c r="A4688" i="1"/>
  <c r="E4688" i="1"/>
  <c r="F4688" i="1"/>
  <c r="B4689" i="1"/>
  <c r="A4689" i="1"/>
  <c r="E4689" i="1"/>
  <c r="F4689" i="1"/>
  <c r="B4690" i="1"/>
  <c r="A4690" i="1"/>
  <c r="E4690" i="1"/>
  <c r="F4690" i="1"/>
  <c r="B4691" i="1"/>
  <c r="A4691" i="1"/>
  <c r="E4691" i="1"/>
  <c r="F4691" i="1"/>
  <c r="B4692" i="1"/>
  <c r="A4692" i="1"/>
  <c r="E4692" i="1"/>
  <c r="F4692" i="1"/>
  <c r="B4693" i="1"/>
  <c r="A4693" i="1"/>
  <c r="E4693" i="1"/>
  <c r="F4693" i="1"/>
  <c r="B4694" i="1"/>
  <c r="A4694" i="1"/>
  <c r="E4694" i="1"/>
  <c r="F4694" i="1"/>
  <c r="B4695" i="1"/>
  <c r="A4695" i="1"/>
  <c r="E4695" i="1"/>
  <c r="F4695" i="1"/>
  <c r="B4696" i="1"/>
  <c r="A4696" i="1"/>
  <c r="E4696" i="1"/>
  <c r="F4696" i="1"/>
  <c r="B4697" i="1"/>
  <c r="A4697" i="1"/>
  <c r="E4697" i="1"/>
  <c r="F4697" i="1"/>
  <c r="B4698" i="1"/>
  <c r="A4698" i="1"/>
  <c r="E4698" i="1"/>
  <c r="F4698" i="1"/>
  <c r="B4699" i="1"/>
  <c r="A4699" i="1"/>
  <c r="E4699" i="1"/>
  <c r="F4699" i="1"/>
  <c r="B4700" i="1"/>
  <c r="A4700" i="1"/>
  <c r="E4700" i="1"/>
  <c r="F4700" i="1"/>
  <c r="B4701" i="1"/>
  <c r="A4701" i="1"/>
  <c r="E4701" i="1"/>
  <c r="F4701" i="1"/>
  <c r="B4702" i="1"/>
  <c r="A4702" i="1"/>
  <c r="E4702" i="1"/>
  <c r="F4702" i="1"/>
  <c r="B4703" i="1"/>
  <c r="A4703" i="1"/>
  <c r="E4703" i="1"/>
  <c r="F4703" i="1"/>
  <c r="G4703" i="1"/>
  <c r="B4704" i="1"/>
  <c r="A4704" i="1"/>
  <c r="E4704" i="1"/>
  <c r="G4704" i="1"/>
  <c r="B4705" i="1"/>
  <c r="A4705" i="1"/>
  <c r="E4705" i="1"/>
  <c r="F4705" i="1"/>
  <c r="B4706" i="1"/>
  <c r="A4706" i="1"/>
  <c r="E4706" i="1"/>
  <c r="F4706" i="1"/>
  <c r="B4707" i="1"/>
  <c r="A4707" i="1"/>
  <c r="E4707" i="1"/>
  <c r="F4707" i="1"/>
  <c r="B4708" i="1"/>
  <c r="A4708" i="1"/>
  <c r="E4708" i="1"/>
  <c r="F4708" i="1"/>
  <c r="B4709" i="1"/>
  <c r="A4709" i="1"/>
  <c r="E4709" i="1"/>
  <c r="F4709" i="1"/>
  <c r="B4710" i="1"/>
  <c r="A4710" i="1"/>
  <c r="E4710" i="1"/>
  <c r="F4710" i="1"/>
  <c r="B4711" i="1"/>
  <c r="A4711" i="1"/>
  <c r="E4711" i="1"/>
  <c r="F4711" i="1"/>
  <c r="B4712" i="1"/>
  <c r="A4712" i="1"/>
  <c r="E4712" i="1"/>
  <c r="F4712" i="1"/>
  <c r="B4713" i="1"/>
  <c r="A4713" i="1"/>
  <c r="E4713" i="1"/>
  <c r="F4713" i="1"/>
  <c r="B4714" i="1"/>
  <c r="A4714" i="1"/>
  <c r="E4714" i="1"/>
  <c r="F4714" i="1"/>
  <c r="G4714" i="1"/>
  <c r="B4715" i="1"/>
  <c r="A4715" i="1"/>
  <c r="E4715" i="1"/>
  <c r="F4715" i="1"/>
  <c r="B4716" i="1"/>
  <c r="A4716" i="1"/>
  <c r="E4716" i="1"/>
  <c r="F4716" i="1"/>
  <c r="B4717" i="1"/>
  <c r="A4717" i="1"/>
  <c r="E4717" i="1"/>
  <c r="F4717" i="1"/>
  <c r="B4718" i="1"/>
  <c r="A4718" i="1"/>
  <c r="E4718" i="1"/>
  <c r="F4718" i="1"/>
  <c r="B4719" i="1"/>
  <c r="A4719" i="1"/>
  <c r="E4719" i="1"/>
  <c r="F4719" i="1"/>
  <c r="B4720" i="1"/>
  <c r="A4720" i="1"/>
  <c r="E4720" i="1"/>
  <c r="F4720" i="1"/>
  <c r="B4721" i="1"/>
  <c r="A4721" i="1"/>
  <c r="E4721" i="1"/>
  <c r="F4721" i="1"/>
  <c r="B4722" i="1"/>
  <c r="A4722" i="1"/>
  <c r="E4722" i="1"/>
  <c r="F4722" i="1"/>
  <c r="B4723" i="1"/>
  <c r="A4723" i="1"/>
  <c r="E4723" i="1"/>
  <c r="F4723" i="1"/>
  <c r="B4724" i="1"/>
  <c r="A4724" i="1"/>
  <c r="E4724" i="1"/>
  <c r="F4724" i="1"/>
  <c r="B4725" i="1"/>
  <c r="A4725" i="1"/>
  <c r="E4725" i="1"/>
  <c r="F4725" i="1"/>
  <c r="B4726" i="1"/>
  <c r="A4726" i="1"/>
  <c r="E4726" i="1"/>
  <c r="F4726" i="1"/>
  <c r="B4727" i="1"/>
  <c r="A4727" i="1"/>
  <c r="E4727" i="1"/>
  <c r="F4727" i="1"/>
  <c r="B4728" i="1"/>
  <c r="A4728" i="1"/>
  <c r="E4728" i="1"/>
  <c r="F4728" i="1"/>
  <c r="B4729" i="1"/>
  <c r="A4729" i="1"/>
  <c r="E4729" i="1"/>
  <c r="F4729" i="1"/>
  <c r="B4730" i="1"/>
  <c r="A4730" i="1"/>
  <c r="E4730" i="1"/>
  <c r="F4730" i="1"/>
  <c r="B4731" i="1"/>
  <c r="A4731" i="1"/>
  <c r="E4731" i="1"/>
  <c r="F4731" i="1"/>
  <c r="B4732" i="1"/>
  <c r="A4732" i="1"/>
  <c r="E4732" i="1"/>
  <c r="F4732" i="1"/>
  <c r="B4733" i="1"/>
  <c r="A4733" i="1"/>
  <c r="E4733" i="1"/>
  <c r="F4733" i="1"/>
  <c r="B4734" i="1"/>
  <c r="A4734" i="1"/>
  <c r="E4734" i="1"/>
  <c r="F4734" i="1"/>
  <c r="B4735" i="1"/>
  <c r="A4735" i="1"/>
  <c r="E4735" i="1"/>
  <c r="F4735" i="1"/>
  <c r="B4736" i="1"/>
  <c r="A4736" i="1"/>
  <c r="E4736" i="1"/>
  <c r="F4736" i="1"/>
  <c r="B4737" i="1"/>
  <c r="A4737" i="1"/>
  <c r="E4737" i="1"/>
  <c r="F4737" i="1"/>
  <c r="B4738" i="1"/>
  <c r="A4738" i="1"/>
  <c r="E4738" i="1"/>
  <c r="F4738" i="1"/>
  <c r="B4739" i="1"/>
  <c r="A4739" i="1"/>
  <c r="E4739" i="1"/>
  <c r="F4739" i="1"/>
  <c r="B4740" i="1"/>
  <c r="A4740" i="1"/>
  <c r="E4740" i="1"/>
  <c r="F4740" i="1"/>
  <c r="B4741" i="1"/>
  <c r="A4741" i="1"/>
  <c r="E4741" i="1"/>
  <c r="F4741" i="1"/>
  <c r="B4742" i="1"/>
  <c r="A4742" i="1"/>
  <c r="E4742" i="1"/>
  <c r="F4742" i="1"/>
  <c r="B4743" i="1"/>
  <c r="A4743" i="1"/>
  <c r="E4743" i="1"/>
  <c r="F4743" i="1"/>
  <c r="B4744" i="1"/>
  <c r="A4744" i="1"/>
  <c r="E4744" i="1"/>
  <c r="F4744" i="1"/>
  <c r="G4744" i="1"/>
  <c r="B4745" i="1"/>
  <c r="A4745" i="1"/>
  <c r="E4745" i="1"/>
  <c r="F4745" i="1"/>
  <c r="G4745" i="1"/>
  <c r="B4746" i="1"/>
  <c r="A4746" i="1"/>
  <c r="E4746" i="1"/>
  <c r="F4746" i="1"/>
  <c r="B4747" i="1"/>
  <c r="A4747" i="1"/>
  <c r="E4747" i="1"/>
  <c r="F4747" i="1"/>
  <c r="B4748" i="1"/>
  <c r="A4748" i="1"/>
  <c r="E4748" i="1"/>
  <c r="F4748" i="1"/>
  <c r="B4749" i="1"/>
  <c r="A4749" i="1"/>
  <c r="E4749" i="1"/>
  <c r="F4749" i="1"/>
  <c r="B4750" i="1"/>
  <c r="A4750" i="1"/>
  <c r="E4750" i="1"/>
  <c r="F4750" i="1"/>
  <c r="B4751" i="1"/>
  <c r="A4751" i="1"/>
  <c r="E4751" i="1"/>
  <c r="F4751" i="1"/>
  <c r="B4752" i="1"/>
  <c r="A4752" i="1"/>
  <c r="E4752" i="1"/>
  <c r="F4752" i="1"/>
  <c r="B4753" i="1"/>
  <c r="A4753" i="1"/>
  <c r="E4753" i="1"/>
  <c r="F4753" i="1"/>
  <c r="B4754" i="1"/>
  <c r="A4754" i="1"/>
  <c r="E4754" i="1"/>
  <c r="F4754" i="1"/>
  <c r="B4755" i="1"/>
  <c r="A4755" i="1"/>
  <c r="E4755" i="1"/>
  <c r="F4755" i="1"/>
  <c r="B4756" i="1"/>
  <c r="A4756" i="1"/>
  <c r="E4756" i="1"/>
  <c r="F4756" i="1"/>
  <c r="G4756" i="1"/>
  <c r="B4757" i="1"/>
  <c r="A4757" i="1"/>
  <c r="E4757" i="1"/>
  <c r="F4757" i="1"/>
  <c r="B4758" i="1"/>
  <c r="A4758" i="1"/>
  <c r="E4758" i="1"/>
  <c r="F4758" i="1"/>
  <c r="G4758" i="1"/>
  <c r="B4759" i="1"/>
  <c r="A4759" i="1"/>
  <c r="E4759" i="1"/>
  <c r="F4759" i="1"/>
  <c r="B4760" i="1"/>
  <c r="A4760" i="1"/>
  <c r="E4760" i="1"/>
  <c r="F4760" i="1"/>
  <c r="B4761" i="1"/>
  <c r="A4761" i="1"/>
  <c r="E4761" i="1"/>
  <c r="F4761" i="1"/>
  <c r="B4762" i="1"/>
  <c r="A4762" i="1"/>
  <c r="E4762" i="1"/>
  <c r="F4762" i="1"/>
  <c r="B4763" i="1"/>
  <c r="A4763" i="1"/>
  <c r="E4763" i="1"/>
  <c r="F4763" i="1"/>
  <c r="B4764" i="1"/>
  <c r="A4764" i="1"/>
  <c r="E4764" i="1"/>
  <c r="F4764" i="1"/>
  <c r="B4765" i="1"/>
  <c r="A4765" i="1"/>
  <c r="E4765" i="1"/>
  <c r="F4765" i="1"/>
  <c r="G4765" i="1"/>
  <c r="B4766" i="1"/>
  <c r="A4766" i="1"/>
  <c r="E4766" i="1"/>
  <c r="F4766" i="1"/>
  <c r="B4767" i="1"/>
  <c r="A4767" i="1"/>
  <c r="E4767" i="1"/>
  <c r="F4767" i="1"/>
  <c r="B4768" i="1"/>
  <c r="A4768" i="1"/>
  <c r="E4768" i="1"/>
  <c r="F4768" i="1"/>
  <c r="B4769" i="1"/>
  <c r="A4769" i="1"/>
  <c r="E4769" i="1"/>
  <c r="F4769" i="1"/>
  <c r="B4770" i="1"/>
  <c r="A4770" i="1"/>
  <c r="E4770" i="1"/>
  <c r="F4770" i="1"/>
  <c r="B4771" i="1"/>
  <c r="A4771" i="1"/>
  <c r="E4771" i="1"/>
  <c r="F4771" i="1"/>
  <c r="G4771" i="1"/>
  <c r="B4772" i="1"/>
  <c r="A4772" i="1"/>
  <c r="E4772" i="1"/>
  <c r="F4772" i="1"/>
  <c r="B4773" i="1"/>
  <c r="A4773" i="1"/>
  <c r="E4773" i="1"/>
  <c r="F4773" i="1"/>
  <c r="B4774" i="1"/>
  <c r="A4774" i="1"/>
  <c r="E4774" i="1"/>
  <c r="F4774" i="1"/>
  <c r="B4775" i="1"/>
  <c r="A4775" i="1"/>
  <c r="E4775" i="1"/>
  <c r="F4775" i="1"/>
  <c r="B4776" i="1"/>
  <c r="A4776" i="1"/>
  <c r="E4776" i="1"/>
  <c r="F4776" i="1"/>
  <c r="B4777" i="1"/>
  <c r="A4777" i="1"/>
  <c r="E4777" i="1"/>
  <c r="F4777" i="1"/>
  <c r="B4778" i="1"/>
  <c r="A4778" i="1"/>
  <c r="E4778" i="1"/>
  <c r="F4778" i="1"/>
  <c r="B4779" i="1"/>
  <c r="A4779" i="1"/>
  <c r="E4779" i="1"/>
  <c r="F4779" i="1"/>
  <c r="B4780" i="1"/>
  <c r="A4780" i="1"/>
  <c r="E4780" i="1"/>
  <c r="F4780" i="1"/>
  <c r="B4781" i="1"/>
  <c r="A4781" i="1"/>
  <c r="E4781" i="1"/>
  <c r="F4781" i="1"/>
  <c r="B4782" i="1"/>
  <c r="A4782" i="1"/>
  <c r="E4782" i="1"/>
  <c r="F4782" i="1"/>
  <c r="B4783" i="1"/>
  <c r="A4783" i="1"/>
  <c r="E4783" i="1"/>
  <c r="F4783" i="1"/>
  <c r="B4784" i="1"/>
  <c r="A4784" i="1"/>
  <c r="E4784" i="1"/>
  <c r="F4784" i="1"/>
  <c r="B4785" i="1"/>
  <c r="A4785" i="1"/>
  <c r="E4785" i="1"/>
  <c r="F4785" i="1"/>
  <c r="B4786" i="1"/>
  <c r="A4786" i="1"/>
  <c r="E4786" i="1"/>
  <c r="F4786" i="1"/>
  <c r="B4787" i="1"/>
  <c r="A4787" i="1"/>
  <c r="E4787" i="1"/>
  <c r="F4787" i="1"/>
  <c r="B4788" i="1"/>
  <c r="A4788" i="1"/>
  <c r="E4788" i="1"/>
  <c r="F4788" i="1"/>
  <c r="B4789" i="1"/>
  <c r="A4789" i="1"/>
  <c r="E4789" i="1"/>
  <c r="F4789" i="1"/>
  <c r="B4790" i="1"/>
  <c r="A4790" i="1"/>
  <c r="E4790" i="1"/>
  <c r="F4790" i="1"/>
  <c r="B4791" i="1"/>
  <c r="A4791" i="1"/>
  <c r="E4791" i="1"/>
  <c r="F4791" i="1"/>
  <c r="B4792" i="1"/>
  <c r="A4792" i="1"/>
  <c r="E4792" i="1"/>
  <c r="F4792" i="1"/>
  <c r="B4793" i="1"/>
  <c r="A4793" i="1"/>
  <c r="E4793" i="1"/>
  <c r="F4793" i="1"/>
  <c r="B4794" i="1"/>
  <c r="A4794" i="1"/>
  <c r="E4794" i="1"/>
  <c r="F4794" i="1"/>
  <c r="B4795" i="1"/>
  <c r="A4795" i="1"/>
  <c r="E4795" i="1"/>
  <c r="F4795" i="1"/>
  <c r="G4795" i="1"/>
  <c r="B4796" i="1"/>
  <c r="A4796" i="1"/>
  <c r="E4796" i="1"/>
  <c r="B4797" i="1"/>
  <c r="A4797" i="1"/>
  <c r="E4797" i="1"/>
  <c r="F4797" i="1"/>
  <c r="B4798" i="1"/>
  <c r="A4798" i="1"/>
  <c r="E4798" i="1"/>
  <c r="F4798" i="1"/>
  <c r="B4799" i="1"/>
  <c r="A4799" i="1"/>
  <c r="E4799" i="1"/>
  <c r="F4799" i="1"/>
  <c r="G4799" i="1"/>
  <c r="B4800" i="1"/>
  <c r="A4800" i="1"/>
  <c r="E4800" i="1"/>
  <c r="F4800" i="1"/>
  <c r="B4801" i="1"/>
  <c r="A4801" i="1"/>
  <c r="E4801" i="1"/>
  <c r="F4801" i="1"/>
  <c r="B4802" i="1"/>
  <c r="A4802" i="1"/>
  <c r="E4802" i="1"/>
  <c r="B4803" i="1"/>
  <c r="A4803" i="1"/>
  <c r="E4803" i="1"/>
  <c r="B4804" i="1"/>
  <c r="A4804" i="1"/>
  <c r="E4804" i="1"/>
  <c r="G4804" i="1"/>
  <c r="B4805" i="1"/>
  <c r="A4805" i="1"/>
  <c r="E4805" i="1"/>
  <c r="G4805" i="1"/>
  <c r="B4806" i="1"/>
  <c r="A4806" i="1"/>
  <c r="E4806" i="1"/>
  <c r="B4807" i="1"/>
  <c r="A4807" i="1"/>
  <c r="E4807" i="1"/>
  <c r="B4808" i="1"/>
  <c r="A4808" i="1"/>
  <c r="E4808" i="1"/>
  <c r="B4809" i="1"/>
  <c r="A4809" i="1"/>
  <c r="E4809" i="1"/>
  <c r="B4810" i="1"/>
  <c r="A4810" i="1"/>
  <c r="E4810" i="1"/>
  <c r="B4811" i="1"/>
  <c r="A4811" i="1"/>
  <c r="E4811" i="1"/>
  <c r="B4812" i="1"/>
  <c r="A4812" i="1"/>
  <c r="E4812" i="1"/>
  <c r="B4813" i="1"/>
  <c r="A4813" i="1"/>
  <c r="E4813" i="1"/>
  <c r="B4814" i="1"/>
  <c r="A4814" i="1"/>
  <c r="E4814" i="1"/>
  <c r="B4815" i="1"/>
  <c r="A4815" i="1"/>
  <c r="E4815" i="1"/>
  <c r="B4816" i="1"/>
  <c r="A4816" i="1"/>
  <c r="E4816" i="1"/>
  <c r="B4817" i="1"/>
  <c r="A4817" i="1"/>
  <c r="E4817" i="1"/>
  <c r="B4818" i="1"/>
  <c r="A4818" i="1"/>
  <c r="E4818" i="1"/>
  <c r="B4819" i="1"/>
  <c r="A4819" i="1"/>
  <c r="E4819" i="1"/>
  <c r="B4820" i="1"/>
  <c r="A4820" i="1"/>
  <c r="E4820" i="1"/>
  <c r="B4821" i="1"/>
  <c r="A4821" i="1"/>
  <c r="E4821" i="1"/>
  <c r="B4822" i="1"/>
  <c r="A4822" i="1"/>
  <c r="E4822" i="1"/>
  <c r="B4823" i="1"/>
  <c r="A4823" i="1"/>
  <c r="E4823" i="1"/>
  <c r="B4824" i="1"/>
  <c r="A4824" i="1"/>
  <c r="E4824" i="1"/>
  <c r="B4825" i="1"/>
  <c r="A4825" i="1"/>
  <c r="E4825" i="1"/>
  <c r="B4826" i="1"/>
  <c r="A4826" i="1"/>
  <c r="E4826" i="1"/>
  <c r="B4827" i="1"/>
  <c r="A4827" i="1"/>
  <c r="E4827" i="1"/>
  <c r="B4828" i="1"/>
  <c r="A4828" i="1"/>
  <c r="E4828" i="1"/>
  <c r="B4829" i="1"/>
  <c r="A4829" i="1"/>
  <c r="E4829" i="1"/>
  <c r="B4830" i="1"/>
  <c r="A4830" i="1"/>
  <c r="E4830" i="1"/>
  <c r="B4831" i="1"/>
  <c r="A4831" i="1"/>
  <c r="E4831" i="1"/>
  <c r="B4832" i="1"/>
  <c r="A4832" i="1"/>
  <c r="E4832" i="1"/>
  <c r="B4833" i="1"/>
  <c r="A4833" i="1"/>
  <c r="E4833" i="1"/>
  <c r="B4834" i="1"/>
  <c r="A4834" i="1"/>
  <c r="E4834" i="1"/>
  <c r="B4835" i="1"/>
  <c r="A4835" i="1"/>
  <c r="E4835" i="1"/>
  <c r="B4836" i="1"/>
  <c r="A4836" i="1"/>
  <c r="E4836" i="1"/>
  <c r="B4837" i="1"/>
  <c r="A4837" i="1"/>
  <c r="E4837" i="1"/>
  <c r="B4838" i="1"/>
  <c r="A4838" i="1"/>
  <c r="E4838" i="1"/>
  <c r="B4839" i="1"/>
  <c r="A4839" i="1"/>
  <c r="E4839" i="1"/>
  <c r="B4840" i="1"/>
  <c r="A4840" i="1"/>
  <c r="E4840" i="1"/>
  <c r="B4841" i="1"/>
  <c r="A4841" i="1"/>
  <c r="E4841" i="1"/>
  <c r="B4842" i="1"/>
  <c r="A4842" i="1"/>
  <c r="E4842" i="1"/>
  <c r="B4843" i="1"/>
  <c r="A4843" i="1"/>
  <c r="E4843" i="1"/>
  <c r="B4844" i="1"/>
  <c r="A4844" i="1"/>
  <c r="E4844" i="1"/>
  <c r="B4845" i="1"/>
  <c r="A4845" i="1"/>
  <c r="E4845" i="1"/>
  <c r="B4846" i="1"/>
  <c r="A4846" i="1"/>
  <c r="E4846" i="1"/>
  <c r="B4847" i="1"/>
  <c r="A4847" i="1"/>
  <c r="E4847" i="1"/>
  <c r="B4848" i="1"/>
  <c r="A4848" i="1"/>
  <c r="E4848" i="1"/>
  <c r="B4849" i="1"/>
  <c r="A4849" i="1"/>
  <c r="E4849" i="1"/>
  <c r="B4850" i="1"/>
  <c r="A4850" i="1"/>
  <c r="E4850" i="1"/>
  <c r="B4851" i="1"/>
  <c r="A4851" i="1"/>
  <c r="E4851" i="1"/>
  <c r="B4852" i="1"/>
  <c r="A4852" i="1"/>
  <c r="E4852" i="1"/>
  <c r="B4853" i="1"/>
  <c r="A4853" i="1"/>
  <c r="E4853" i="1"/>
  <c r="B4854" i="1"/>
  <c r="A4854" i="1"/>
  <c r="E4854" i="1"/>
  <c r="B4855" i="1"/>
  <c r="A4855" i="1"/>
  <c r="E4855" i="1"/>
  <c r="B4856" i="1"/>
  <c r="A4856" i="1"/>
  <c r="E4856" i="1"/>
  <c r="B4857" i="1"/>
  <c r="A4857" i="1"/>
  <c r="E4857" i="1"/>
  <c r="B4858" i="1"/>
  <c r="A4858" i="1"/>
  <c r="E4858" i="1"/>
  <c r="B4859" i="1"/>
  <c r="A4859" i="1"/>
  <c r="E4859" i="1"/>
  <c r="B4860" i="1"/>
  <c r="A4860" i="1"/>
  <c r="E4860" i="1"/>
  <c r="B4861" i="1"/>
  <c r="A4861" i="1"/>
  <c r="E4861" i="1"/>
  <c r="B4862" i="1"/>
  <c r="A4862" i="1"/>
  <c r="E4862" i="1"/>
  <c r="B4863" i="1"/>
  <c r="A4863" i="1"/>
  <c r="E4863" i="1"/>
  <c r="B4864" i="1"/>
  <c r="A4864" i="1"/>
  <c r="E4864" i="1"/>
  <c r="B4865" i="1"/>
  <c r="A4865" i="1"/>
  <c r="E4865" i="1"/>
  <c r="B4866" i="1"/>
  <c r="A4866" i="1"/>
  <c r="E4866" i="1"/>
  <c r="B4867" i="1"/>
  <c r="A4867" i="1"/>
  <c r="E4867" i="1"/>
  <c r="B4868" i="1"/>
  <c r="A4868" i="1"/>
  <c r="E4868" i="1"/>
  <c r="B4869" i="1"/>
  <c r="A4869" i="1"/>
  <c r="E4869" i="1"/>
  <c r="B4870" i="1"/>
  <c r="A4870" i="1"/>
  <c r="E4870" i="1"/>
  <c r="B4871" i="1"/>
  <c r="A4871" i="1"/>
  <c r="E4871" i="1"/>
  <c r="B4872" i="1"/>
  <c r="A4872" i="1"/>
  <c r="E4872" i="1"/>
  <c r="B4873" i="1"/>
  <c r="A4873" i="1"/>
  <c r="E4873" i="1"/>
  <c r="B4874" i="1"/>
  <c r="A4874" i="1"/>
  <c r="E4874" i="1"/>
  <c r="B4875" i="1"/>
  <c r="A4875" i="1"/>
  <c r="E4875" i="1"/>
  <c r="B4876" i="1"/>
  <c r="A4876" i="1"/>
  <c r="E4876" i="1"/>
  <c r="B4877" i="1"/>
  <c r="A4877" i="1"/>
  <c r="E4877" i="1"/>
  <c r="B4878" i="1"/>
  <c r="A4878" i="1"/>
  <c r="E4878" i="1"/>
  <c r="B4879" i="1"/>
  <c r="A4879" i="1"/>
  <c r="E4879" i="1"/>
  <c r="B4880" i="1"/>
  <c r="A4880" i="1"/>
  <c r="E4880" i="1"/>
  <c r="B4881" i="1"/>
  <c r="A4881" i="1"/>
  <c r="E4881" i="1"/>
  <c r="B4882" i="1"/>
  <c r="A4882" i="1"/>
  <c r="E4882" i="1"/>
  <c r="B4883" i="1"/>
  <c r="A4883" i="1"/>
  <c r="E4883" i="1"/>
  <c r="B4884" i="1"/>
  <c r="A4884" i="1"/>
  <c r="E4884" i="1"/>
  <c r="B4885" i="1"/>
  <c r="A4885" i="1"/>
  <c r="E4885" i="1"/>
  <c r="B4886" i="1"/>
  <c r="A4886" i="1"/>
  <c r="E4886" i="1"/>
  <c r="B4887" i="1"/>
  <c r="A4887" i="1"/>
  <c r="E4887" i="1"/>
  <c r="B4888" i="1"/>
  <c r="A4888" i="1"/>
  <c r="E4888" i="1"/>
  <c r="B4889" i="1"/>
  <c r="A4889" i="1"/>
  <c r="E4889" i="1"/>
  <c r="B4890" i="1"/>
  <c r="A4890" i="1"/>
  <c r="E4890" i="1"/>
  <c r="B4891" i="1"/>
  <c r="A4891" i="1"/>
  <c r="E4891" i="1"/>
  <c r="B4892" i="1"/>
  <c r="A4892" i="1"/>
  <c r="E4892" i="1"/>
  <c r="B4893" i="1"/>
  <c r="A4893" i="1"/>
  <c r="E4893" i="1"/>
  <c r="B4894" i="1"/>
  <c r="A4894" i="1"/>
  <c r="E4894" i="1"/>
  <c r="B4895" i="1"/>
  <c r="A4895" i="1"/>
  <c r="E4895" i="1"/>
  <c r="B4896" i="1"/>
  <c r="A4896" i="1"/>
  <c r="E4896" i="1"/>
  <c r="B4897" i="1"/>
  <c r="A4897" i="1"/>
  <c r="E4897" i="1"/>
  <c r="B4898" i="1"/>
  <c r="A4898" i="1"/>
  <c r="E4898" i="1"/>
  <c r="B4899" i="1"/>
  <c r="A4899" i="1"/>
  <c r="E4899" i="1"/>
  <c r="B4900" i="1"/>
  <c r="A4900" i="1"/>
  <c r="E4900" i="1"/>
  <c r="B4901" i="1"/>
  <c r="A4901" i="1"/>
  <c r="E4901" i="1"/>
  <c r="B4902" i="1"/>
  <c r="A4902" i="1"/>
  <c r="E4902" i="1"/>
  <c r="B4903" i="1"/>
  <c r="A4903" i="1"/>
  <c r="E4903" i="1"/>
  <c r="B4904" i="1"/>
  <c r="A4904" i="1"/>
  <c r="E4904" i="1"/>
  <c r="B4905" i="1"/>
  <c r="A4905" i="1"/>
  <c r="E4905" i="1"/>
  <c r="B4906" i="1"/>
  <c r="A4906" i="1"/>
  <c r="E4906" i="1"/>
  <c r="B4907" i="1"/>
  <c r="A4907" i="1"/>
  <c r="E4907" i="1"/>
  <c r="B4908" i="1"/>
  <c r="A4908" i="1"/>
  <c r="E4908" i="1"/>
  <c r="B4909" i="1"/>
  <c r="A4909" i="1"/>
  <c r="E4909" i="1"/>
  <c r="B4910" i="1"/>
  <c r="A4910" i="1"/>
  <c r="E4910" i="1"/>
  <c r="B4911" i="1"/>
  <c r="A4911" i="1"/>
  <c r="E4911" i="1"/>
  <c r="B4912" i="1"/>
  <c r="A4912" i="1"/>
  <c r="E4912" i="1"/>
  <c r="B4913" i="1"/>
  <c r="A4913" i="1"/>
  <c r="E4913" i="1"/>
  <c r="B4914" i="1"/>
  <c r="A4914" i="1"/>
  <c r="E4914" i="1"/>
  <c r="B4915" i="1"/>
  <c r="A4915" i="1"/>
  <c r="E4915" i="1"/>
  <c r="B4916" i="1"/>
  <c r="A4916" i="1"/>
  <c r="E4916" i="1"/>
  <c r="B4917" i="1"/>
  <c r="A4917" i="1"/>
  <c r="E4917" i="1"/>
  <c r="B4918" i="1"/>
  <c r="A4918" i="1"/>
  <c r="E4918" i="1"/>
  <c r="B4919" i="1"/>
  <c r="A4919" i="1"/>
  <c r="E4919" i="1"/>
  <c r="B4920" i="1"/>
  <c r="A4920" i="1"/>
  <c r="E4920" i="1"/>
  <c r="B4921" i="1"/>
  <c r="A4921" i="1"/>
  <c r="E4921" i="1"/>
  <c r="B4922" i="1"/>
  <c r="A4922" i="1"/>
  <c r="E4922" i="1"/>
  <c r="B4923" i="1"/>
  <c r="A4923" i="1"/>
  <c r="E4923" i="1"/>
  <c r="B4924" i="1"/>
  <c r="A4924" i="1"/>
  <c r="E4924" i="1"/>
  <c r="B4925" i="1"/>
  <c r="A4925" i="1"/>
  <c r="E4925" i="1"/>
  <c r="B4926" i="1"/>
  <c r="A4926" i="1"/>
  <c r="E4926" i="1"/>
  <c r="B4927" i="1"/>
  <c r="A4927" i="1"/>
  <c r="E4927" i="1"/>
  <c r="B4928" i="1"/>
  <c r="A4928" i="1"/>
  <c r="E4928" i="1"/>
  <c r="B4929" i="1"/>
  <c r="A4929" i="1"/>
  <c r="E4929" i="1"/>
  <c r="B4930" i="1"/>
  <c r="A4930" i="1"/>
  <c r="E4930" i="1"/>
  <c r="B4931" i="1"/>
  <c r="A4931" i="1"/>
  <c r="E4931" i="1"/>
  <c r="B4932" i="1"/>
  <c r="A4932" i="1"/>
  <c r="E4932" i="1"/>
  <c r="B4933" i="1"/>
  <c r="A4933" i="1"/>
  <c r="E4933" i="1"/>
  <c r="B4934" i="1"/>
  <c r="A4934" i="1"/>
  <c r="E4934" i="1"/>
  <c r="B4935" i="1"/>
  <c r="A4935" i="1"/>
  <c r="E4935" i="1"/>
  <c r="B4936" i="1"/>
  <c r="A4936" i="1"/>
  <c r="E4936" i="1"/>
  <c r="B4937" i="1"/>
  <c r="A4937" i="1"/>
  <c r="E4937" i="1"/>
  <c r="B4938" i="1"/>
  <c r="A4938" i="1"/>
  <c r="E4938" i="1"/>
  <c r="B4939" i="1"/>
  <c r="A4939" i="1"/>
  <c r="E4939" i="1"/>
  <c r="B4940" i="1"/>
  <c r="A4940" i="1"/>
  <c r="E4940" i="1"/>
  <c r="B4941" i="1"/>
  <c r="A4941" i="1"/>
  <c r="E4941" i="1"/>
  <c r="B4942" i="1"/>
  <c r="A4942" i="1"/>
  <c r="E4942" i="1"/>
  <c r="B4943" i="1"/>
  <c r="A4943" i="1"/>
  <c r="E4943" i="1"/>
  <c r="B4944" i="1"/>
  <c r="A4944" i="1"/>
  <c r="E4944" i="1"/>
  <c r="B4945" i="1"/>
  <c r="A4945" i="1"/>
  <c r="E4945" i="1"/>
  <c r="B4946" i="1"/>
  <c r="A4946" i="1"/>
  <c r="E4946" i="1"/>
  <c r="B4947" i="1"/>
  <c r="A4947" i="1"/>
  <c r="E4947" i="1"/>
  <c r="B4948" i="1"/>
  <c r="A4948" i="1"/>
  <c r="E4948" i="1"/>
  <c r="B4949" i="1"/>
  <c r="A4949" i="1"/>
  <c r="E4949" i="1"/>
  <c r="B4950" i="1"/>
  <c r="A4950" i="1"/>
  <c r="E4950" i="1"/>
  <c r="B4951" i="1"/>
  <c r="A4951" i="1"/>
  <c r="E4951" i="1"/>
  <c r="B4952" i="1"/>
  <c r="A4952" i="1"/>
  <c r="E4952" i="1"/>
  <c r="B4953" i="1"/>
  <c r="A4953" i="1"/>
  <c r="E4953" i="1"/>
  <c r="B4954" i="1"/>
  <c r="A4954" i="1"/>
  <c r="E4954" i="1"/>
  <c r="B4955" i="1"/>
  <c r="A4955" i="1"/>
  <c r="E4955" i="1"/>
  <c r="B4956" i="1"/>
  <c r="A4956" i="1"/>
  <c r="E4956" i="1"/>
  <c r="B4957" i="1"/>
  <c r="A4957" i="1"/>
  <c r="E4957" i="1"/>
  <c r="B4958" i="1"/>
  <c r="A4958" i="1"/>
  <c r="E4958" i="1"/>
  <c r="B4959" i="1"/>
  <c r="A4959" i="1"/>
  <c r="E4959" i="1"/>
  <c r="B4960" i="1"/>
  <c r="A4960" i="1"/>
  <c r="E4960" i="1"/>
  <c r="B4961" i="1"/>
  <c r="A4961" i="1"/>
  <c r="E4961" i="1"/>
  <c r="B4962" i="1"/>
  <c r="A4962" i="1"/>
  <c r="E4962" i="1"/>
  <c r="B4963" i="1"/>
  <c r="A4963" i="1"/>
  <c r="E4963" i="1"/>
  <c r="B4964" i="1"/>
  <c r="A4964" i="1"/>
  <c r="E4964" i="1"/>
  <c r="B4965" i="1"/>
  <c r="A4965" i="1"/>
  <c r="E4965" i="1"/>
  <c r="B4966" i="1"/>
  <c r="A4966" i="1"/>
  <c r="E4966" i="1"/>
  <c r="B4967" i="1"/>
  <c r="A4967" i="1"/>
  <c r="E4967" i="1"/>
  <c r="B4968" i="1"/>
  <c r="A4968" i="1"/>
  <c r="E4968" i="1"/>
  <c r="B4969" i="1"/>
  <c r="A4969" i="1"/>
  <c r="E4969" i="1"/>
  <c r="B4970" i="1"/>
  <c r="A4970" i="1"/>
  <c r="E4970" i="1"/>
  <c r="B4971" i="1"/>
  <c r="A4971" i="1"/>
  <c r="E4971" i="1"/>
  <c r="B4972" i="1"/>
  <c r="A4972" i="1"/>
  <c r="E4972" i="1"/>
  <c r="B4973" i="1"/>
  <c r="A4973" i="1"/>
  <c r="E4973" i="1"/>
  <c r="B4974" i="1"/>
  <c r="A4974" i="1"/>
  <c r="E4974" i="1"/>
  <c r="B4975" i="1"/>
  <c r="A4975" i="1"/>
  <c r="E4975" i="1"/>
  <c r="B4976" i="1"/>
  <c r="A4976" i="1"/>
  <c r="E4976" i="1"/>
  <c r="B4977" i="1"/>
  <c r="A4977" i="1"/>
  <c r="E4977" i="1"/>
  <c r="B4978" i="1"/>
  <c r="A4978" i="1"/>
  <c r="E4978" i="1"/>
  <c r="B4979" i="1"/>
  <c r="A4979" i="1"/>
  <c r="E4979" i="1"/>
  <c r="B4980" i="1"/>
  <c r="A4980" i="1"/>
  <c r="E4980" i="1"/>
  <c r="B4981" i="1"/>
  <c r="A4981" i="1"/>
  <c r="E4981" i="1"/>
  <c r="B4982" i="1"/>
  <c r="A4982" i="1"/>
  <c r="E4982" i="1"/>
  <c r="B4983" i="1"/>
  <c r="A4983" i="1"/>
  <c r="E4983" i="1"/>
  <c r="B4984" i="1"/>
  <c r="A4984" i="1"/>
  <c r="E4984" i="1"/>
  <c r="B4985" i="1"/>
  <c r="A4985" i="1"/>
  <c r="E4985" i="1"/>
  <c r="B4986" i="1"/>
  <c r="A4986" i="1"/>
  <c r="E4986" i="1"/>
  <c r="B4987" i="1"/>
  <c r="A4987" i="1"/>
  <c r="E4987" i="1"/>
  <c r="B4988" i="1"/>
  <c r="A4988" i="1"/>
  <c r="E4988" i="1"/>
  <c r="B4989" i="1"/>
  <c r="A4989" i="1"/>
  <c r="E4989" i="1"/>
  <c r="B4990" i="1"/>
  <c r="A4990" i="1"/>
  <c r="E4990" i="1"/>
  <c r="B4991" i="1"/>
  <c r="A4991" i="1"/>
  <c r="E4991" i="1"/>
  <c r="B4992" i="1"/>
  <c r="A4992" i="1"/>
  <c r="E4992" i="1"/>
  <c r="B4993" i="1"/>
  <c r="A4993" i="1"/>
  <c r="E4993" i="1"/>
  <c r="B4994" i="1"/>
  <c r="A4994" i="1"/>
  <c r="E4994" i="1"/>
  <c r="B4995" i="1"/>
  <c r="A4995" i="1"/>
  <c r="E4995" i="1"/>
  <c r="B4996" i="1"/>
  <c r="A4996" i="1"/>
  <c r="E4996" i="1"/>
  <c r="B4997" i="1"/>
  <c r="A4997" i="1"/>
  <c r="E4997" i="1"/>
  <c r="B4998" i="1"/>
  <c r="A4998" i="1"/>
  <c r="E4998" i="1"/>
  <c r="B4999" i="1"/>
  <c r="A4999" i="1"/>
  <c r="E4999" i="1"/>
  <c r="B5000" i="1"/>
  <c r="A5000" i="1"/>
  <c r="E5000" i="1"/>
  <c r="B5001" i="1"/>
  <c r="A5001" i="1"/>
  <c r="E5001" i="1"/>
  <c r="B5002" i="1"/>
  <c r="A5002" i="1"/>
  <c r="E5002" i="1"/>
  <c r="B5003" i="1"/>
  <c r="A5003" i="1"/>
  <c r="E5003" i="1"/>
  <c r="B5004" i="1"/>
  <c r="A5004" i="1"/>
  <c r="E5004" i="1"/>
  <c r="B5005" i="1"/>
  <c r="A5005" i="1"/>
  <c r="E5005" i="1"/>
  <c r="B5006" i="1"/>
  <c r="A5006" i="1"/>
  <c r="E5006" i="1"/>
  <c r="B5007" i="1"/>
  <c r="A5007" i="1"/>
  <c r="E5007" i="1"/>
  <c r="B5008" i="1"/>
  <c r="A5008" i="1"/>
  <c r="E5008" i="1"/>
  <c r="B5009" i="1"/>
  <c r="A5009" i="1"/>
  <c r="E5009" i="1"/>
  <c r="B5010" i="1"/>
  <c r="A5010" i="1"/>
  <c r="E5010" i="1"/>
  <c r="B5011" i="1"/>
  <c r="A5011" i="1"/>
  <c r="E5011" i="1"/>
  <c r="B5012" i="1"/>
  <c r="A5012" i="1"/>
  <c r="E5012" i="1"/>
  <c r="B5013" i="1"/>
  <c r="A5013" i="1"/>
  <c r="E5013" i="1"/>
  <c r="B5014" i="1"/>
  <c r="A5014" i="1"/>
  <c r="E5014" i="1"/>
  <c r="B5015" i="1"/>
  <c r="A5015" i="1"/>
  <c r="E5015" i="1"/>
  <c r="B5016" i="1"/>
  <c r="A5016" i="1"/>
  <c r="E5016" i="1"/>
  <c r="B5017" i="1"/>
  <c r="A5017" i="1"/>
  <c r="E5017" i="1"/>
  <c r="B5018" i="1"/>
  <c r="A5018" i="1"/>
  <c r="E5018" i="1"/>
  <c r="B5019" i="1"/>
  <c r="A5019" i="1"/>
  <c r="E5019" i="1"/>
  <c r="B5020" i="1"/>
  <c r="A5020" i="1"/>
  <c r="E5020" i="1"/>
  <c r="B5021" i="1"/>
  <c r="A5021" i="1"/>
  <c r="E5021" i="1"/>
  <c r="B5022" i="1"/>
  <c r="A5022" i="1"/>
  <c r="E5022" i="1"/>
  <c r="B5023" i="1"/>
  <c r="A5023" i="1"/>
  <c r="E5023" i="1"/>
  <c r="B5024" i="1"/>
  <c r="A5024" i="1"/>
  <c r="E5024" i="1"/>
  <c r="B5025" i="1"/>
  <c r="A5025" i="1"/>
  <c r="E5025" i="1"/>
  <c r="B5026" i="1"/>
  <c r="A5026" i="1"/>
  <c r="E5026" i="1"/>
  <c r="B5027" i="1"/>
  <c r="A5027" i="1"/>
  <c r="E5027" i="1"/>
  <c r="B5028" i="1"/>
  <c r="A5028" i="1"/>
  <c r="E5028" i="1"/>
  <c r="B5029" i="1"/>
  <c r="A5029" i="1"/>
  <c r="E5029" i="1"/>
  <c r="B5030" i="1"/>
  <c r="A5030" i="1"/>
  <c r="E5030" i="1"/>
  <c r="B5031" i="1"/>
  <c r="A5031" i="1"/>
  <c r="E5031" i="1"/>
  <c r="B5032" i="1"/>
  <c r="A5032" i="1"/>
  <c r="E5032" i="1"/>
  <c r="B5033" i="1"/>
  <c r="A5033" i="1"/>
  <c r="E5033" i="1"/>
  <c r="B5034" i="1"/>
  <c r="A5034" i="1"/>
  <c r="E5034" i="1"/>
  <c r="B5035" i="1"/>
  <c r="A5035" i="1"/>
  <c r="E5035" i="1"/>
  <c r="B5036" i="1"/>
  <c r="A5036" i="1"/>
  <c r="E5036" i="1"/>
  <c r="B5037" i="1"/>
  <c r="A5037" i="1"/>
  <c r="E5037" i="1"/>
  <c r="B5038" i="1"/>
  <c r="A5038" i="1"/>
  <c r="E5038" i="1"/>
  <c r="B5039" i="1"/>
  <c r="A5039" i="1"/>
  <c r="E5039" i="1"/>
  <c r="B5040" i="1"/>
  <c r="A5040" i="1"/>
  <c r="E5040" i="1"/>
  <c r="B5041" i="1"/>
  <c r="A5041" i="1"/>
  <c r="E5041" i="1"/>
  <c r="B5042" i="1"/>
  <c r="A5042" i="1"/>
  <c r="E5042" i="1"/>
  <c r="B5043" i="1"/>
  <c r="A5043" i="1"/>
  <c r="E5043" i="1"/>
  <c r="B5044" i="1"/>
  <c r="A5044" i="1"/>
  <c r="E5044" i="1"/>
  <c r="B5045" i="1"/>
  <c r="A5045" i="1"/>
  <c r="E5045" i="1"/>
  <c r="B5046" i="1"/>
  <c r="A5046" i="1"/>
  <c r="E5046" i="1"/>
  <c r="B5047" i="1"/>
  <c r="A5047" i="1"/>
  <c r="E5047" i="1"/>
  <c r="B5048" i="1"/>
  <c r="A5048" i="1"/>
  <c r="E5048" i="1"/>
  <c r="B5049" i="1"/>
  <c r="A5049" i="1"/>
  <c r="E5049" i="1"/>
  <c r="B5050" i="1"/>
  <c r="A5050" i="1"/>
  <c r="E5050" i="1"/>
  <c r="B5051" i="1"/>
  <c r="A5051" i="1"/>
  <c r="E5051" i="1"/>
  <c r="B5052" i="1"/>
  <c r="A5052" i="1"/>
  <c r="E5052" i="1"/>
  <c r="B5053" i="1"/>
  <c r="A5053" i="1"/>
  <c r="E5053" i="1"/>
  <c r="G5053" i="1"/>
  <c r="B5054" i="1"/>
  <c r="A5054" i="1"/>
  <c r="E5054" i="1"/>
  <c r="B5055" i="1"/>
  <c r="A5055" i="1"/>
  <c r="E5055" i="1"/>
  <c r="B5056" i="1"/>
  <c r="A5056" i="1"/>
  <c r="E5056" i="1"/>
  <c r="B5057" i="1"/>
  <c r="A5057" i="1"/>
  <c r="E5057" i="1"/>
  <c r="B5058" i="1"/>
  <c r="A5058" i="1"/>
  <c r="E5058" i="1"/>
  <c r="B5059" i="1"/>
  <c r="A5059" i="1"/>
  <c r="E5059" i="1"/>
  <c r="B5060" i="1"/>
  <c r="A5060" i="1"/>
  <c r="E5060" i="1"/>
  <c r="B5061" i="1"/>
  <c r="A5061" i="1"/>
  <c r="E5061" i="1"/>
  <c r="B5062" i="1"/>
  <c r="A5062" i="1"/>
  <c r="E5062" i="1"/>
  <c r="B5063" i="1"/>
  <c r="A5063" i="1"/>
  <c r="E5063" i="1"/>
  <c r="B5064" i="1"/>
  <c r="A5064" i="1"/>
  <c r="E5064" i="1"/>
  <c r="B5065" i="1"/>
  <c r="A5065" i="1"/>
  <c r="E5065" i="1"/>
  <c r="B5066" i="1"/>
  <c r="A5066" i="1"/>
  <c r="E5066" i="1"/>
  <c r="B5067" i="1"/>
  <c r="A5067" i="1"/>
  <c r="E5067" i="1"/>
  <c r="B5068" i="1"/>
  <c r="A5068" i="1"/>
  <c r="E5068" i="1"/>
  <c r="B5069" i="1"/>
  <c r="A5069" i="1"/>
  <c r="E5069" i="1"/>
  <c r="B5070" i="1"/>
  <c r="A5070" i="1"/>
  <c r="E5070" i="1"/>
  <c r="B5071" i="1"/>
  <c r="A5071" i="1"/>
  <c r="E5071" i="1"/>
  <c r="B5072" i="1"/>
  <c r="A5072" i="1"/>
  <c r="E5072" i="1"/>
  <c r="B5073" i="1"/>
  <c r="A5073" i="1"/>
  <c r="E5073" i="1"/>
  <c r="B5074" i="1"/>
  <c r="A5074" i="1"/>
  <c r="E5074" i="1"/>
  <c r="B5075" i="1"/>
  <c r="A5075" i="1"/>
  <c r="E5075" i="1"/>
  <c r="B5076" i="1"/>
  <c r="A5076" i="1"/>
  <c r="E5076" i="1"/>
  <c r="B5077" i="1"/>
  <c r="A5077" i="1"/>
  <c r="E5077" i="1"/>
  <c r="B5078" i="1"/>
  <c r="A5078" i="1"/>
  <c r="E5078" i="1"/>
  <c r="B5079" i="1"/>
  <c r="A5079" i="1"/>
  <c r="E5079" i="1"/>
  <c r="B5080" i="1"/>
  <c r="A5080" i="1"/>
  <c r="E5080" i="1"/>
  <c r="B5081" i="1"/>
  <c r="A5081" i="1"/>
  <c r="E5081" i="1"/>
  <c r="B5082" i="1"/>
  <c r="A5082" i="1"/>
  <c r="E5082" i="1"/>
  <c r="B5083" i="1"/>
  <c r="A5083" i="1"/>
  <c r="E5083" i="1"/>
  <c r="B5084" i="1"/>
  <c r="A5084" i="1"/>
  <c r="E5084" i="1"/>
  <c r="B5085" i="1"/>
  <c r="A5085" i="1"/>
  <c r="E5085" i="1"/>
  <c r="F5085" i="1"/>
  <c r="B5086" i="1"/>
  <c r="A5086" i="1"/>
  <c r="E5086" i="1"/>
  <c r="F5086" i="1"/>
  <c r="B5087" i="1"/>
  <c r="A5087" i="1"/>
  <c r="E5087" i="1"/>
  <c r="F5087" i="1"/>
  <c r="B5088" i="1"/>
  <c r="A5088" i="1"/>
  <c r="E5088" i="1"/>
  <c r="F5088" i="1"/>
  <c r="B5089" i="1"/>
  <c r="A5089" i="1"/>
  <c r="E5089" i="1"/>
  <c r="F5089" i="1"/>
  <c r="B5090" i="1"/>
  <c r="A5090" i="1"/>
  <c r="E5090" i="1"/>
  <c r="F5090" i="1"/>
  <c r="B5091" i="1"/>
  <c r="A5091" i="1"/>
  <c r="E5091" i="1"/>
  <c r="F5091" i="1"/>
  <c r="B5092" i="1"/>
  <c r="A5092" i="1"/>
  <c r="E5092" i="1"/>
  <c r="F5092" i="1"/>
  <c r="B5093" i="1"/>
  <c r="A5093" i="1"/>
  <c r="E5093" i="1"/>
  <c r="F5093" i="1"/>
  <c r="B5094" i="1"/>
  <c r="A5094" i="1"/>
  <c r="E5094" i="1"/>
  <c r="F5094" i="1"/>
  <c r="B5095" i="1"/>
  <c r="A5095" i="1"/>
  <c r="E5095" i="1"/>
  <c r="F5095" i="1"/>
  <c r="B5096" i="1"/>
  <c r="A5096" i="1"/>
  <c r="E5096" i="1"/>
  <c r="F5096" i="1"/>
  <c r="B5097" i="1"/>
  <c r="A5097" i="1"/>
  <c r="E5097" i="1"/>
  <c r="F5097" i="1"/>
  <c r="B5098" i="1"/>
  <c r="A5098" i="1"/>
  <c r="E5098" i="1"/>
  <c r="F5098" i="1"/>
  <c r="B5099" i="1"/>
  <c r="A5099" i="1"/>
  <c r="E5099" i="1"/>
  <c r="F5099" i="1"/>
  <c r="B5100" i="1"/>
  <c r="A5100" i="1"/>
  <c r="E5100" i="1"/>
  <c r="F5100" i="1"/>
  <c r="B5101" i="1"/>
  <c r="A5101" i="1"/>
  <c r="E5101" i="1"/>
  <c r="F5101" i="1"/>
  <c r="B5102" i="1"/>
  <c r="A5102" i="1"/>
  <c r="E5102" i="1"/>
  <c r="F5102" i="1"/>
  <c r="B5103" i="1"/>
  <c r="A5103" i="1"/>
  <c r="E5103" i="1"/>
  <c r="F5103" i="1"/>
  <c r="B5104" i="1"/>
  <c r="A5104" i="1"/>
  <c r="E5104" i="1"/>
  <c r="F5104" i="1"/>
  <c r="B5105" i="1"/>
  <c r="A5105" i="1"/>
  <c r="E5105" i="1"/>
  <c r="F5105" i="1"/>
  <c r="B5106" i="1"/>
  <c r="A5106" i="1"/>
  <c r="E5106" i="1"/>
  <c r="F5106" i="1"/>
  <c r="B5107" i="1"/>
  <c r="A5107" i="1"/>
  <c r="E5107" i="1"/>
  <c r="F5107" i="1"/>
  <c r="B5108" i="1"/>
  <c r="A5108" i="1"/>
  <c r="E5108" i="1"/>
  <c r="F5108" i="1"/>
  <c r="B5109" i="1"/>
  <c r="A5109" i="1"/>
  <c r="E5109" i="1"/>
  <c r="F5109" i="1"/>
  <c r="B5110" i="1"/>
  <c r="A5110" i="1"/>
  <c r="E5110" i="1"/>
  <c r="F5110" i="1"/>
  <c r="B5111" i="1"/>
  <c r="A5111" i="1"/>
  <c r="E5111" i="1"/>
  <c r="F5111" i="1"/>
  <c r="B5112" i="1"/>
  <c r="A5112" i="1"/>
  <c r="E5112" i="1"/>
  <c r="F5112" i="1"/>
  <c r="B5113" i="1"/>
  <c r="A5113" i="1"/>
  <c r="E5113" i="1"/>
  <c r="F5113" i="1"/>
  <c r="B5114" i="1"/>
  <c r="A5114" i="1"/>
  <c r="E5114" i="1"/>
  <c r="F5114" i="1"/>
  <c r="B5115" i="1"/>
  <c r="A5115" i="1"/>
  <c r="E5115" i="1"/>
  <c r="F5115" i="1"/>
  <c r="B5116" i="1"/>
  <c r="A5116" i="1"/>
  <c r="E5116" i="1"/>
  <c r="F5116" i="1"/>
  <c r="B5117" i="1"/>
  <c r="A5117" i="1"/>
  <c r="E5117" i="1"/>
  <c r="F5117" i="1"/>
  <c r="B5118" i="1"/>
  <c r="A5118" i="1"/>
  <c r="E5118" i="1"/>
  <c r="F5118" i="1"/>
  <c r="B5119" i="1"/>
  <c r="A5119" i="1"/>
  <c r="E5119" i="1"/>
  <c r="F5119" i="1"/>
  <c r="B5120" i="1"/>
  <c r="A5120" i="1"/>
  <c r="E5120" i="1"/>
  <c r="F5120" i="1"/>
  <c r="B5121" i="1"/>
  <c r="A5121" i="1"/>
  <c r="E5121" i="1"/>
  <c r="F5121" i="1"/>
  <c r="B5122" i="1"/>
  <c r="A5122" i="1"/>
  <c r="E5122" i="1"/>
  <c r="F5122" i="1"/>
  <c r="B5123" i="1"/>
  <c r="A5123" i="1"/>
  <c r="E5123" i="1"/>
  <c r="F5123" i="1"/>
  <c r="B5124" i="1"/>
  <c r="A5124" i="1"/>
  <c r="E5124" i="1"/>
  <c r="F5124" i="1"/>
  <c r="B5125" i="1"/>
  <c r="A5125" i="1"/>
  <c r="E5125" i="1"/>
  <c r="F5125" i="1"/>
  <c r="B5126" i="1"/>
  <c r="A5126" i="1"/>
  <c r="E5126" i="1"/>
  <c r="F5126" i="1"/>
  <c r="B5127" i="1"/>
  <c r="A5127" i="1"/>
  <c r="E5127" i="1"/>
  <c r="F5127" i="1"/>
  <c r="B5128" i="1"/>
  <c r="A5128" i="1"/>
  <c r="E5128" i="1"/>
  <c r="F5128" i="1"/>
  <c r="B5129" i="1"/>
  <c r="A5129" i="1"/>
  <c r="E5129" i="1"/>
  <c r="F5129" i="1"/>
  <c r="B5130" i="1"/>
  <c r="A5130" i="1"/>
  <c r="E5130" i="1"/>
  <c r="F5130" i="1"/>
  <c r="B5131" i="1"/>
  <c r="A5131" i="1"/>
  <c r="E5131" i="1"/>
  <c r="F5131" i="1"/>
  <c r="B5132" i="1"/>
  <c r="A5132" i="1"/>
  <c r="E5132" i="1"/>
  <c r="F5132" i="1"/>
  <c r="B5133" i="1"/>
  <c r="A5133" i="1"/>
  <c r="E5133" i="1"/>
  <c r="F5133" i="1"/>
  <c r="B5134" i="1"/>
  <c r="A5134" i="1"/>
  <c r="E5134" i="1"/>
  <c r="F5134" i="1"/>
  <c r="B5135" i="1"/>
  <c r="A5135" i="1"/>
  <c r="E5135" i="1"/>
  <c r="F5135" i="1"/>
  <c r="B5136" i="1"/>
  <c r="A5136" i="1"/>
  <c r="E5136" i="1"/>
  <c r="F5136" i="1"/>
  <c r="B5137" i="1"/>
  <c r="A5137" i="1"/>
  <c r="E5137" i="1"/>
  <c r="F5137" i="1"/>
  <c r="B5138" i="1"/>
  <c r="A5138" i="1"/>
  <c r="E5138" i="1"/>
  <c r="F5138" i="1"/>
  <c r="B5139" i="1"/>
  <c r="A5139" i="1"/>
  <c r="E5139" i="1"/>
  <c r="F5139" i="1"/>
  <c r="B5140" i="1"/>
  <c r="A5140" i="1"/>
  <c r="E5140" i="1"/>
  <c r="F5140" i="1"/>
  <c r="B5141" i="1"/>
  <c r="A5141" i="1"/>
  <c r="E5141" i="1"/>
  <c r="F5141" i="1"/>
  <c r="B5142" i="1"/>
  <c r="A5142" i="1"/>
  <c r="E5142" i="1"/>
  <c r="F5142" i="1"/>
  <c r="B5143" i="1"/>
  <c r="A5143" i="1"/>
  <c r="E5143" i="1"/>
  <c r="F5143" i="1"/>
  <c r="B5144" i="1"/>
  <c r="A5144" i="1"/>
  <c r="E5144" i="1"/>
  <c r="F5144" i="1"/>
  <c r="B5145" i="1"/>
  <c r="A5145" i="1"/>
  <c r="E5145" i="1"/>
  <c r="F5145" i="1"/>
  <c r="B5146" i="1"/>
  <c r="A5146" i="1"/>
  <c r="E5146" i="1"/>
  <c r="F5146" i="1"/>
  <c r="B5147" i="1"/>
  <c r="A5147" i="1"/>
  <c r="E5147" i="1"/>
  <c r="F5147" i="1"/>
  <c r="B5148" i="1"/>
  <c r="A5148" i="1"/>
  <c r="E5148" i="1"/>
  <c r="F5148" i="1"/>
  <c r="B5149" i="1"/>
  <c r="A5149" i="1"/>
  <c r="E5149" i="1"/>
  <c r="F5149" i="1"/>
  <c r="B5150" i="1"/>
  <c r="A5150" i="1"/>
  <c r="E5150" i="1"/>
  <c r="F5150" i="1"/>
  <c r="B5151" i="1"/>
  <c r="A5151" i="1"/>
  <c r="E5151" i="1"/>
  <c r="F5151" i="1"/>
  <c r="B5152" i="1"/>
  <c r="A5152" i="1"/>
  <c r="E5152" i="1"/>
  <c r="F5152" i="1"/>
  <c r="B5153" i="1"/>
  <c r="A5153" i="1"/>
  <c r="E5153" i="1"/>
  <c r="F5153" i="1"/>
  <c r="B5154" i="1"/>
  <c r="A5154" i="1"/>
  <c r="E5154" i="1"/>
  <c r="F5154" i="1"/>
  <c r="B5155" i="1"/>
  <c r="A5155" i="1"/>
  <c r="E5155" i="1"/>
  <c r="F5155" i="1"/>
  <c r="B5156" i="1"/>
  <c r="A5156" i="1"/>
  <c r="E5156" i="1"/>
  <c r="F5156" i="1"/>
  <c r="B5157" i="1"/>
  <c r="A5157" i="1"/>
  <c r="E5157" i="1"/>
  <c r="F5157" i="1"/>
  <c r="B5158" i="1"/>
  <c r="A5158" i="1"/>
  <c r="E5158" i="1"/>
  <c r="F5158" i="1"/>
  <c r="B5159" i="1"/>
  <c r="A5159" i="1"/>
  <c r="E5159" i="1"/>
  <c r="F5159" i="1"/>
  <c r="B5160" i="1"/>
  <c r="A5160" i="1"/>
  <c r="E5160" i="1"/>
  <c r="F5160" i="1"/>
  <c r="B5161" i="1"/>
  <c r="A5161" i="1"/>
  <c r="E5161" i="1"/>
  <c r="F5161" i="1"/>
  <c r="B5162" i="1"/>
  <c r="A5162" i="1"/>
  <c r="E5162" i="1"/>
  <c r="F5162" i="1"/>
  <c r="B5163" i="1"/>
  <c r="A5163" i="1"/>
  <c r="E5163" i="1"/>
  <c r="F5163" i="1"/>
  <c r="B5164" i="1"/>
  <c r="A5164" i="1"/>
  <c r="E5164" i="1"/>
  <c r="F5164" i="1"/>
  <c r="B5165" i="1"/>
  <c r="A5165" i="1"/>
  <c r="E5165" i="1"/>
  <c r="F5165" i="1"/>
  <c r="B5166" i="1"/>
  <c r="A5166" i="1"/>
  <c r="E5166" i="1"/>
  <c r="F5166" i="1"/>
  <c r="B5167" i="1"/>
  <c r="A5167" i="1"/>
  <c r="E5167" i="1"/>
  <c r="F5167" i="1"/>
  <c r="B5168" i="1"/>
  <c r="A5168" i="1"/>
  <c r="E5168" i="1"/>
  <c r="F5168" i="1"/>
  <c r="B5169" i="1"/>
  <c r="A5169" i="1"/>
  <c r="E5169" i="1"/>
  <c r="F5169" i="1"/>
  <c r="B5170" i="1"/>
  <c r="A5170" i="1"/>
  <c r="E5170" i="1"/>
  <c r="F5170" i="1"/>
  <c r="B5171" i="1"/>
  <c r="A5171" i="1"/>
  <c r="E5171" i="1"/>
  <c r="F5171" i="1"/>
  <c r="B5172" i="1"/>
  <c r="A5172" i="1"/>
  <c r="E5172" i="1"/>
  <c r="F5172" i="1"/>
  <c r="B5173" i="1"/>
  <c r="A5173" i="1"/>
  <c r="E5173" i="1"/>
  <c r="F5173" i="1"/>
  <c r="B5174" i="1"/>
  <c r="A5174" i="1"/>
  <c r="E5174" i="1"/>
  <c r="F5174" i="1"/>
  <c r="B5175" i="1"/>
  <c r="A5175" i="1"/>
  <c r="E5175" i="1"/>
  <c r="F5175" i="1"/>
  <c r="B5176" i="1"/>
  <c r="A5176" i="1"/>
  <c r="E5176" i="1"/>
  <c r="F5176" i="1"/>
  <c r="B5177" i="1"/>
  <c r="A5177" i="1"/>
  <c r="E5177" i="1"/>
  <c r="F5177" i="1"/>
  <c r="B5178" i="1"/>
  <c r="A5178" i="1"/>
  <c r="E5178" i="1"/>
  <c r="F5178" i="1"/>
  <c r="B5179" i="1"/>
  <c r="A5179" i="1"/>
  <c r="E5179" i="1"/>
  <c r="F5179" i="1"/>
  <c r="B5180" i="1"/>
  <c r="A5180" i="1"/>
  <c r="E5180" i="1"/>
  <c r="F5180" i="1"/>
  <c r="B5181" i="1"/>
  <c r="A5181" i="1"/>
  <c r="E5181" i="1"/>
  <c r="F5181" i="1"/>
  <c r="B5182" i="1"/>
  <c r="A5182" i="1"/>
  <c r="E5182" i="1"/>
  <c r="F5182" i="1"/>
  <c r="B5183" i="1"/>
  <c r="A5183" i="1"/>
  <c r="E5183" i="1"/>
  <c r="F5183" i="1"/>
  <c r="B5184" i="1"/>
  <c r="A5184" i="1"/>
  <c r="E5184" i="1"/>
  <c r="F5184" i="1"/>
  <c r="B5185" i="1"/>
  <c r="A5185" i="1"/>
  <c r="E5185" i="1"/>
  <c r="F5185" i="1"/>
  <c r="B5186" i="1"/>
  <c r="A5186" i="1"/>
  <c r="E5186" i="1"/>
  <c r="F5186" i="1"/>
  <c r="B5187" i="1"/>
  <c r="A5187" i="1"/>
  <c r="E5187" i="1"/>
  <c r="F5187" i="1"/>
  <c r="B5188" i="1"/>
  <c r="A5188" i="1"/>
  <c r="E5188" i="1"/>
  <c r="F5188" i="1"/>
  <c r="B5189" i="1"/>
  <c r="A5189" i="1"/>
  <c r="E5189" i="1"/>
  <c r="F5189" i="1"/>
  <c r="B5190" i="1"/>
  <c r="A5190" i="1"/>
  <c r="E5190" i="1"/>
  <c r="F5190" i="1"/>
  <c r="B5191" i="1"/>
  <c r="A5191" i="1"/>
  <c r="E5191" i="1"/>
  <c r="F5191" i="1"/>
  <c r="B5192" i="1"/>
  <c r="A5192" i="1"/>
  <c r="E5192" i="1"/>
  <c r="F5192" i="1"/>
  <c r="B5193" i="1"/>
  <c r="A5193" i="1"/>
  <c r="E5193" i="1"/>
  <c r="F5193" i="1"/>
  <c r="B5194" i="1"/>
  <c r="A5194" i="1"/>
  <c r="E5194" i="1"/>
  <c r="F5194" i="1"/>
  <c r="B5195" i="1"/>
  <c r="A5195" i="1"/>
  <c r="E5195" i="1"/>
  <c r="F5195" i="1"/>
  <c r="B5196" i="1"/>
  <c r="A5196" i="1"/>
  <c r="E5196" i="1"/>
  <c r="F5196" i="1"/>
  <c r="B5197" i="1"/>
  <c r="A5197" i="1"/>
  <c r="E5197" i="1"/>
  <c r="F5197" i="1"/>
  <c r="B5198" i="1"/>
  <c r="A5198" i="1"/>
  <c r="E5198" i="1"/>
  <c r="F5198" i="1"/>
  <c r="B5199" i="1"/>
  <c r="A5199" i="1"/>
  <c r="E5199" i="1"/>
  <c r="F5199" i="1"/>
  <c r="B5200" i="1"/>
  <c r="A5200" i="1"/>
  <c r="E5200" i="1"/>
  <c r="F5200" i="1"/>
  <c r="B5201" i="1"/>
  <c r="A5201" i="1"/>
  <c r="E5201" i="1"/>
  <c r="F5201" i="1"/>
  <c r="B5202" i="1"/>
  <c r="A5202" i="1"/>
  <c r="E5202" i="1"/>
  <c r="F5202" i="1"/>
  <c r="B5203" i="1"/>
  <c r="A5203" i="1"/>
  <c r="E5203" i="1"/>
  <c r="F5203" i="1"/>
  <c r="B5204" i="1"/>
  <c r="A5204" i="1"/>
  <c r="E5204" i="1"/>
  <c r="F5204" i="1"/>
  <c r="B5205" i="1"/>
  <c r="A5205" i="1"/>
  <c r="E5205" i="1"/>
  <c r="F5205" i="1"/>
  <c r="B5206" i="1"/>
  <c r="A5206" i="1"/>
  <c r="E5206" i="1"/>
  <c r="F5206" i="1"/>
  <c r="B5207" i="1"/>
  <c r="A5207" i="1"/>
  <c r="E5207" i="1"/>
  <c r="F5207" i="1"/>
  <c r="B5208" i="1"/>
  <c r="A5208" i="1"/>
  <c r="E5208" i="1"/>
  <c r="F5208" i="1"/>
  <c r="B5209" i="1"/>
  <c r="A5209" i="1"/>
  <c r="E5209" i="1"/>
  <c r="F5209" i="1"/>
  <c r="B5210" i="1"/>
  <c r="A5210" i="1"/>
  <c r="E5210" i="1"/>
  <c r="F5210" i="1"/>
  <c r="B5211" i="1"/>
  <c r="A5211" i="1"/>
  <c r="E5211" i="1"/>
  <c r="F5211" i="1"/>
  <c r="B5212" i="1"/>
  <c r="A5212" i="1"/>
  <c r="E5212" i="1"/>
  <c r="F5212" i="1"/>
  <c r="B5213" i="1"/>
  <c r="A5213" i="1"/>
  <c r="E5213" i="1"/>
  <c r="F5213" i="1"/>
  <c r="B5214" i="1"/>
  <c r="A5214" i="1"/>
  <c r="E5214" i="1"/>
  <c r="F5214" i="1"/>
  <c r="B5215" i="1"/>
  <c r="A5215" i="1"/>
  <c r="E5215" i="1"/>
  <c r="F5215" i="1"/>
  <c r="B5216" i="1"/>
  <c r="A5216" i="1"/>
  <c r="E5216" i="1"/>
  <c r="F5216" i="1"/>
  <c r="B5217" i="1"/>
  <c r="A5217" i="1"/>
  <c r="E5217" i="1"/>
  <c r="F5217" i="1"/>
  <c r="B5218" i="1"/>
  <c r="A5218" i="1"/>
  <c r="E5218" i="1"/>
  <c r="F5218" i="1"/>
  <c r="B5219" i="1"/>
  <c r="A5219" i="1"/>
  <c r="E5219" i="1"/>
  <c r="F5219" i="1"/>
  <c r="B5220" i="1"/>
  <c r="A5220" i="1"/>
  <c r="E5220" i="1"/>
  <c r="F5220" i="1"/>
  <c r="B5221" i="1"/>
  <c r="A5221" i="1"/>
  <c r="E5221" i="1"/>
  <c r="F5221" i="1"/>
  <c r="B5222" i="1"/>
  <c r="A5222" i="1"/>
  <c r="E5222" i="1"/>
  <c r="F5222" i="1"/>
  <c r="B5223" i="1"/>
  <c r="A5223" i="1"/>
  <c r="E5223" i="1"/>
  <c r="F5223" i="1"/>
  <c r="B5224" i="1"/>
  <c r="A5224" i="1"/>
  <c r="E5224" i="1"/>
  <c r="F5224" i="1"/>
  <c r="B5225" i="1"/>
  <c r="A5225" i="1"/>
  <c r="E5225" i="1"/>
  <c r="F5225" i="1"/>
  <c r="B5226" i="1"/>
  <c r="A5226" i="1"/>
  <c r="E5226" i="1"/>
  <c r="F5226" i="1"/>
  <c r="B5227" i="1"/>
  <c r="A5227" i="1"/>
  <c r="E5227" i="1"/>
  <c r="F5227" i="1"/>
  <c r="B5228" i="1"/>
  <c r="A5228" i="1"/>
  <c r="E5228" i="1"/>
  <c r="F5228" i="1"/>
  <c r="B5229" i="1"/>
  <c r="A5229" i="1"/>
  <c r="E5229" i="1"/>
  <c r="F5229" i="1"/>
  <c r="B5230" i="1"/>
  <c r="A5230" i="1"/>
  <c r="E5230" i="1"/>
  <c r="F5230" i="1"/>
  <c r="B5231" i="1"/>
  <c r="A5231" i="1"/>
  <c r="E5231" i="1"/>
  <c r="F5231" i="1"/>
  <c r="B5232" i="1"/>
  <c r="A5232" i="1"/>
  <c r="E5232" i="1"/>
  <c r="F5232" i="1"/>
  <c r="B5233" i="1"/>
  <c r="A5233" i="1"/>
  <c r="E5233" i="1"/>
  <c r="F5233" i="1"/>
  <c r="B5234" i="1"/>
  <c r="A5234" i="1"/>
  <c r="E5234" i="1"/>
  <c r="F5234" i="1"/>
  <c r="B5235" i="1"/>
  <c r="A5235" i="1"/>
  <c r="E5235" i="1"/>
  <c r="F5235" i="1"/>
  <c r="B5236" i="1"/>
  <c r="A5236" i="1"/>
  <c r="E5236" i="1"/>
  <c r="F5236" i="1"/>
  <c r="B5237" i="1"/>
  <c r="A5237" i="1"/>
  <c r="E5237" i="1"/>
  <c r="F5237" i="1"/>
  <c r="B5238" i="1"/>
  <c r="A5238" i="1"/>
  <c r="E5238" i="1"/>
  <c r="F5238" i="1"/>
  <c r="B5239" i="1"/>
  <c r="A5239" i="1"/>
  <c r="E5239" i="1"/>
  <c r="F5239" i="1"/>
  <c r="B5240" i="1"/>
  <c r="A5240" i="1"/>
  <c r="E5240" i="1"/>
  <c r="F5240" i="1"/>
  <c r="B5241" i="1"/>
  <c r="A5241" i="1"/>
  <c r="E5241" i="1"/>
  <c r="F5241" i="1"/>
  <c r="B5242" i="1"/>
  <c r="A5242" i="1"/>
  <c r="E5242" i="1"/>
  <c r="F5242" i="1"/>
  <c r="B5243" i="1"/>
  <c r="A5243" i="1"/>
  <c r="E5243" i="1"/>
  <c r="F5243" i="1"/>
  <c r="B5244" i="1"/>
  <c r="A5244" i="1"/>
  <c r="E5244" i="1"/>
  <c r="F5244" i="1"/>
  <c r="B5245" i="1"/>
  <c r="A5245" i="1"/>
  <c r="E5245" i="1"/>
  <c r="F5245" i="1"/>
  <c r="B5246" i="1"/>
  <c r="A5246" i="1"/>
  <c r="E5246" i="1"/>
  <c r="F5246" i="1"/>
  <c r="B5247" i="1"/>
  <c r="A5247" i="1"/>
  <c r="E5247" i="1"/>
  <c r="F5247" i="1"/>
  <c r="B5248" i="1"/>
  <c r="A5248" i="1"/>
  <c r="E5248" i="1"/>
  <c r="F5248" i="1"/>
  <c r="B5249" i="1"/>
  <c r="A5249" i="1"/>
  <c r="E5249" i="1"/>
  <c r="F5249" i="1"/>
  <c r="B5250" i="1"/>
  <c r="A5250" i="1"/>
  <c r="E5250" i="1"/>
  <c r="F5250" i="1"/>
  <c r="B5251" i="1"/>
  <c r="A5251" i="1"/>
  <c r="E5251" i="1"/>
  <c r="F5251" i="1"/>
  <c r="B5252" i="1"/>
  <c r="A5252" i="1"/>
  <c r="E5252" i="1"/>
  <c r="F5252" i="1"/>
  <c r="B5253" i="1"/>
  <c r="A5253" i="1"/>
  <c r="E5253" i="1"/>
  <c r="F5253" i="1"/>
  <c r="B5254" i="1"/>
  <c r="A5254" i="1"/>
  <c r="E5254" i="1"/>
  <c r="F5254" i="1"/>
  <c r="B5255" i="1"/>
  <c r="A5255" i="1"/>
  <c r="E5255" i="1"/>
  <c r="F5255" i="1"/>
  <c r="B5256" i="1"/>
  <c r="A5256" i="1"/>
  <c r="E5256" i="1"/>
  <c r="F5256" i="1"/>
  <c r="B5257" i="1"/>
  <c r="A5257" i="1"/>
  <c r="E5257" i="1"/>
  <c r="F5257" i="1"/>
  <c r="B5258" i="1"/>
  <c r="A5258" i="1"/>
  <c r="E5258" i="1"/>
  <c r="F5258" i="1"/>
  <c r="B5259" i="1"/>
  <c r="A5259" i="1"/>
  <c r="E5259" i="1"/>
  <c r="F5259" i="1"/>
  <c r="B5260" i="1"/>
  <c r="A5260" i="1"/>
  <c r="E5260" i="1"/>
  <c r="F5260" i="1"/>
  <c r="B5261" i="1"/>
  <c r="A5261" i="1"/>
  <c r="E5261" i="1"/>
  <c r="F5261" i="1"/>
  <c r="B5262" i="1"/>
  <c r="A5262" i="1"/>
  <c r="E5262" i="1"/>
  <c r="F5262" i="1"/>
  <c r="B5263" i="1"/>
  <c r="A5263" i="1"/>
  <c r="E5263" i="1"/>
  <c r="F5263" i="1"/>
  <c r="B5264" i="1"/>
  <c r="A5264" i="1"/>
  <c r="E5264" i="1"/>
  <c r="F5264" i="1"/>
  <c r="B5265" i="1"/>
  <c r="A5265" i="1"/>
  <c r="E5265" i="1"/>
  <c r="F5265" i="1"/>
  <c r="B5266" i="1"/>
  <c r="A5266" i="1"/>
  <c r="E5266" i="1"/>
  <c r="F5266" i="1"/>
  <c r="B5267" i="1"/>
  <c r="A5267" i="1"/>
  <c r="E5267" i="1"/>
  <c r="F5267" i="1"/>
  <c r="B5268" i="1"/>
  <c r="A5268" i="1"/>
  <c r="E5268" i="1"/>
  <c r="F5268" i="1"/>
  <c r="B5269" i="1"/>
  <c r="A5269" i="1"/>
  <c r="E5269" i="1"/>
  <c r="F5269" i="1"/>
  <c r="B5270" i="1"/>
  <c r="A5270" i="1"/>
  <c r="E5270" i="1"/>
  <c r="F5270" i="1"/>
  <c r="B5271" i="1"/>
  <c r="A5271" i="1"/>
  <c r="E5271" i="1"/>
  <c r="F5271" i="1"/>
  <c r="B5272" i="1"/>
  <c r="A5272" i="1"/>
  <c r="E5272" i="1"/>
  <c r="F5272" i="1"/>
  <c r="B5273" i="1"/>
  <c r="A5273" i="1"/>
  <c r="E5273" i="1"/>
  <c r="F5273" i="1"/>
  <c r="B5274" i="1"/>
  <c r="A5274" i="1"/>
  <c r="E5274" i="1"/>
  <c r="F5274" i="1"/>
  <c r="B5275" i="1"/>
  <c r="A5275" i="1"/>
  <c r="E5275" i="1"/>
  <c r="F5275" i="1"/>
  <c r="B5276" i="1"/>
  <c r="A5276" i="1"/>
  <c r="E5276" i="1"/>
  <c r="F5276" i="1"/>
  <c r="B5277" i="1"/>
  <c r="A5277" i="1"/>
  <c r="E5277" i="1"/>
  <c r="F5277" i="1"/>
  <c r="B5278" i="1"/>
  <c r="A5278" i="1"/>
  <c r="E5278" i="1"/>
  <c r="F5278" i="1"/>
  <c r="B5279" i="1"/>
  <c r="A5279" i="1"/>
  <c r="E5279" i="1"/>
  <c r="F5279" i="1"/>
  <c r="B5280" i="1"/>
  <c r="A5280" i="1"/>
  <c r="E5280" i="1"/>
  <c r="F5280" i="1"/>
  <c r="B5281" i="1"/>
  <c r="A5281" i="1"/>
  <c r="E5281" i="1"/>
  <c r="F5281" i="1"/>
  <c r="B5282" i="1"/>
  <c r="A5282" i="1"/>
  <c r="E5282" i="1"/>
  <c r="F5282" i="1"/>
  <c r="B5283" i="1"/>
  <c r="A5283" i="1"/>
  <c r="E5283" i="1"/>
  <c r="F5283" i="1"/>
  <c r="B5284" i="1"/>
  <c r="A5284" i="1"/>
  <c r="E5284" i="1"/>
  <c r="F5284" i="1"/>
  <c r="B5285" i="1"/>
  <c r="A5285" i="1"/>
  <c r="E5285" i="1"/>
  <c r="F5285" i="1"/>
  <c r="B5286" i="1"/>
  <c r="A5286" i="1"/>
  <c r="E5286" i="1"/>
  <c r="F5286" i="1"/>
  <c r="B5287" i="1"/>
  <c r="A5287" i="1"/>
  <c r="E5287" i="1"/>
  <c r="F5287" i="1"/>
  <c r="B5288" i="1"/>
  <c r="A5288" i="1"/>
  <c r="E5288" i="1"/>
  <c r="F5288" i="1"/>
  <c r="B5289" i="1"/>
  <c r="A5289" i="1"/>
  <c r="E5289" i="1"/>
  <c r="F5289" i="1"/>
  <c r="B5290" i="1"/>
  <c r="A5290" i="1"/>
  <c r="E5290" i="1"/>
  <c r="F5290" i="1"/>
  <c r="B5291" i="1"/>
  <c r="A5291" i="1"/>
  <c r="E5291" i="1"/>
  <c r="F5291" i="1"/>
  <c r="B5292" i="1"/>
  <c r="A5292" i="1"/>
  <c r="E5292" i="1"/>
  <c r="F5292" i="1"/>
  <c r="B5293" i="1"/>
  <c r="A5293" i="1"/>
  <c r="E5293" i="1"/>
  <c r="F5293" i="1"/>
  <c r="B5294" i="1"/>
  <c r="A5294" i="1"/>
  <c r="E5294" i="1"/>
  <c r="F5294" i="1"/>
  <c r="B5295" i="1"/>
  <c r="A5295" i="1"/>
  <c r="E5295" i="1"/>
  <c r="F5295" i="1"/>
  <c r="B5296" i="1"/>
  <c r="A5296" i="1"/>
  <c r="E5296" i="1"/>
  <c r="F5296" i="1"/>
  <c r="B5297" i="1"/>
  <c r="A5297" i="1"/>
  <c r="E5297" i="1"/>
  <c r="F5297" i="1"/>
  <c r="B5298" i="1"/>
  <c r="A5298" i="1"/>
  <c r="E5298" i="1"/>
  <c r="F5298" i="1"/>
  <c r="B5299" i="1"/>
  <c r="A5299" i="1"/>
  <c r="E5299" i="1"/>
  <c r="F5299" i="1"/>
  <c r="B5300" i="1"/>
  <c r="A5300" i="1"/>
  <c r="E5300" i="1"/>
  <c r="F5300" i="1"/>
  <c r="B5301" i="1"/>
  <c r="A5301" i="1"/>
  <c r="E5301" i="1"/>
  <c r="F5301" i="1"/>
  <c r="B5302" i="1"/>
  <c r="A5302" i="1"/>
  <c r="E5302" i="1"/>
  <c r="F5302" i="1"/>
  <c r="B5303" i="1"/>
  <c r="A5303" i="1"/>
  <c r="E5303" i="1"/>
  <c r="F5303" i="1"/>
  <c r="B5304" i="1"/>
  <c r="A5304" i="1"/>
  <c r="E5304" i="1"/>
  <c r="F5304" i="1"/>
  <c r="B5305" i="1"/>
  <c r="A5305" i="1"/>
  <c r="E5305" i="1"/>
  <c r="F5305" i="1"/>
  <c r="B5306" i="1"/>
  <c r="A5306" i="1"/>
  <c r="E5306" i="1"/>
  <c r="F5306" i="1"/>
  <c r="B5307" i="1"/>
  <c r="A5307" i="1"/>
  <c r="E5307" i="1"/>
  <c r="F5307" i="1"/>
  <c r="B5308" i="1"/>
  <c r="A5308" i="1"/>
  <c r="E5308" i="1"/>
  <c r="F5308" i="1"/>
  <c r="B5309" i="1"/>
  <c r="A5309" i="1"/>
  <c r="E5309" i="1"/>
  <c r="F5309" i="1"/>
  <c r="B5310" i="1"/>
  <c r="A5310" i="1"/>
  <c r="E5310" i="1"/>
  <c r="F5310" i="1"/>
  <c r="B5311" i="1"/>
  <c r="A5311" i="1"/>
  <c r="E5311" i="1"/>
  <c r="F5311" i="1"/>
  <c r="B5312" i="1"/>
  <c r="A5312" i="1"/>
  <c r="E5312" i="1"/>
  <c r="F5312" i="1"/>
  <c r="B5313" i="1"/>
  <c r="A5313" i="1"/>
  <c r="E5313" i="1"/>
  <c r="F5313" i="1"/>
  <c r="B5314" i="1"/>
  <c r="A5314" i="1"/>
  <c r="E5314" i="1"/>
  <c r="F5314" i="1"/>
  <c r="B5315" i="1"/>
  <c r="A5315" i="1"/>
  <c r="E5315" i="1"/>
  <c r="F5315" i="1"/>
  <c r="B5316" i="1"/>
  <c r="A5316" i="1"/>
  <c r="E5316" i="1"/>
  <c r="F5316" i="1"/>
  <c r="B5317" i="1"/>
  <c r="A5317" i="1"/>
  <c r="E5317" i="1"/>
  <c r="F5317" i="1"/>
  <c r="B5318" i="1"/>
  <c r="A5318" i="1"/>
  <c r="E5318" i="1"/>
  <c r="F5318" i="1"/>
  <c r="B5319" i="1"/>
  <c r="A5319" i="1"/>
  <c r="E5319" i="1"/>
  <c r="F5319" i="1"/>
  <c r="B5320" i="1"/>
  <c r="A5320" i="1"/>
  <c r="E5320" i="1"/>
  <c r="F5320" i="1"/>
  <c r="B5321" i="1"/>
  <c r="A5321" i="1"/>
  <c r="E5321" i="1"/>
  <c r="F5321" i="1"/>
  <c r="B5322" i="1"/>
  <c r="A5322" i="1"/>
  <c r="E5322" i="1"/>
  <c r="F5322" i="1"/>
  <c r="B5323" i="1"/>
  <c r="A5323" i="1"/>
  <c r="E5323" i="1"/>
  <c r="F5323" i="1"/>
  <c r="B5324" i="1"/>
  <c r="A5324" i="1"/>
  <c r="E5324" i="1"/>
  <c r="F5324" i="1"/>
  <c r="B5325" i="1"/>
  <c r="A5325" i="1"/>
  <c r="E5325" i="1"/>
  <c r="F5325" i="1"/>
  <c r="B5326" i="1"/>
  <c r="A5326" i="1"/>
  <c r="E5326" i="1"/>
  <c r="F5326" i="1"/>
  <c r="B5327" i="1"/>
  <c r="A5327" i="1"/>
  <c r="E5327" i="1"/>
  <c r="F5327" i="1"/>
  <c r="B5328" i="1"/>
  <c r="A5328" i="1"/>
  <c r="E5328" i="1"/>
  <c r="F5328" i="1"/>
  <c r="B5329" i="1"/>
  <c r="A5329" i="1"/>
  <c r="E5329" i="1"/>
  <c r="F5329" i="1"/>
  <c r="B5330" i="1"/>
  <c r="A5330" i="1"/>
  <c r="E5330" i="1"/>
  <c r="F5330" i="1"/>
  <c r="B5331" i="1"/>
  <c r="A5331" i="1"/>
  <c r="E5331" i="1"/>
  <c r="F5331" i="1"/>
  <c r="B5332" i="1"/>
  <c r="A5332" i="1"/>
  <c r="E5332" i="1"/>
  <c r="F5332" i="1"/>
  <c r="B5333" i="1"/>
  <c r="A5333" i="1"/>
  <c r="E5333" i="1"/>
  <c r="F5333" i="1"/>
  <c r="B5334" i="1"/>
  <c r="A5334" i="1"/>
  <c r="E5334" i="1"/>
  <c r="F5334" i="1"/>
  <c r="B5335" i="1"/>
  <c r="A5335" i="1"/>
  <c r="E5335" i="1"/>
  <c r="F5335" i="1"/>
  <c r="B5336" i="1"/>
  <c r="A5336" i="1"/>
  <c r="E5336" i="1"/>
  <c r="F5336" i="1"/>
  <c r="B5337" i="1"/>
  <c r="A5337" i="1"/>
  <c r="E5337" i="1"/>
  <c r="F5337" i="1"/>
  <c r="B5338" i="1"/>
  <c r="A5338" i="1"/>
  <c r="E5338" i="1"/>
  <c r="F5338" i="1"/>
  <c r="B5339" i="1"/>
  <c r="A5339" i="1"/>
  <c r="E5339" i="1"/>
  <c r="F5339" i="1"/>
  <c r="B5340" i="1"/>
  <c r="A5340" i="1"/>
  <c r="E5340" i="1"/>
  <c r="F5340" i="1"/>
  <c r="B5341" i="1"/>
  <c r="A5341" i="1"/>
  <c r="E5341" i="1"/>
  <c r="F5341" i="1"/>
  <c r="B5342" i="1"/>
  <c r="A5342" i="1"/>
  <c r="E5342" i="1"/>
  <c r="F5342" i="1"/>
  <c r="B5343" i="1"/>
  <c r="A5343" i="1"/>
  <c r="E5343" i="1"/>
  <c r="F5343" i="1"/>
  <c r="B5344" i="1"/>
  <c r="A5344" i="1"/>
  <c r="E5344" i="1"/>
  <c r="F5344" i="1"/>
  <c r="B5345" i="1"/>
  <c r="A5345" i="1"/>
  <c r="E5345" i="1"/>
  <c r="F5345" i="1"/>
  <c r="B5346" i="1"/>
  <c r="A5346" i="1"/>
  <c r="E5346" i="1"/>
  <c r="F5346" i="1"/>
  <c r="B5347" i="1"/>
  <c r="A5347" i="1"/>
  <c r="E5347" i="1"/>
  <c r="F5347" i="1"/>
  <c r="B5348" i="1"/>
  <c r="A5348" i="1"/>
  <c r="E5348" i="1"/>
  <c r="F5348" i="1"/>
  <c r="B5349" i="1"/>
  <c r="A5349" i="1"/>
  <c r="E5349" i="1"/>
  <c r="F5349" i="1"/>
  <c r="B5350" i="1"/>
  <c r="A5350" i="1"/>
  <c r="E5350" i="1"/>
  <c r="F5350" i="1"/>
  <c r="B5351" i="1"/>
  <c r="A5351" i="1"/>
  <c r="E5351" i="1"/>
  <c r="F5351" i="1"/>
  <c r="B5352" i="1"/>
  <c r="A5352" i="1"/>
  <c r="E5352" i="1"/>
  <c r="F5352" i="1"/>
  <c r="B5353" i="1"/>
  <c r="A5353" i="1"/>
  <c r="E5353" i="1"/>
  <c r="F5353" i="1"/>
  <c r="B5354" i="1"/>
  <c r="A5354" i="1"/>
  <c r="E5354" i="1"/>
  <c r="F5354" i="1"/>
  <c r="B5355" i="1"/>
  <c r="A5355" i="1"/>
  <c r="E5355" i="1"/>
  <c r="F5355" i="1"/>
  <c r="B5356" i="1"/>
  <c r="A5356" i="1"/>
  <c r="E5356" i="1"/>
  <c r="F5356" i="1"/>
  <c r="B5357" i="1"/>
  <c r="A5357" i="1"/>
  <c r="E5357" i="1"/>
  <c r="F5357" i="1"/>
  <c r="B5358" i="1"/>
  <c r="A5358" i="1"/>
  <c r="E5358" i="1"/>
  <c r="F5358" i="1"/>
  <c r="B5359" i="1"/>
  <c r="A5359" i="1"/>
  <c r="E5359" i="1"/>
  <c r="F5359" i="1"/>
  <c r="B5360" i="1"/>
  <c r="A5360" i="1"/>
  <c r="E5360" i="1"/>
  <c r="F5360" i="1"/>
  <c r="B5361" i="1"/>
  <c r="A5361" i="1"/>
  <c r="E5361" i="1"/>
  <c r="F5361" i="1"/>
  <c r="B5362" i="1"/>
  <c r="A5362" i="1"/>
  <c r="E5362" i="1"/>
  <c r="F5362" i="1"/>
  <c r="B5363" i="1"/>
  <c r="A5363" i="1"/>
  <c r="E5363" i="1"/>
  <c r="F5363" i="1"/>
  <c r="B5364" i="1"/>
  <c r="A5364" i="1"/>
  <c r="E5364" i="1"/>
  <c r="F5364" i="1"/>
  <c r="B5365" i="1"/>
  <c r="A5365" i="1"/>
  <c r="E5365" i="1"/>
  <c r="F5365" i="1"/>
  <c r="B5366" i="1"/>
  <c r="A5366" i="1"/>
  <c r="E5366" i="1"/>
  <c r="F5366" i="1"/>
  <c r="B5367" i="1"/>
  <c r="A5367" i="1"/>
  <c r="E5367" i="1"/>
  <c r="F5367" i="1"/>
  <c r="B5368" i="1"/>
  <c r="A5368" i="1"/>
  <c r="E5368" i="1"/>
  <c r="F5368" i="1"/>
  <c r="B5369" i="1"/>
  <c r="A5369" i="1"/>
  <c r="E5369" i="1"/>
  <c r="F5369" i="1"/>
  <c r="B5370" i="1"/>
  <c r="A5370" i="1"/>
  <c r="E5370" i="1"/>
  <c r="F5370" i="1"/>
  <c r="B5371" i="1"/>
  <c r="A5371" i="1"/>
  <c r="E5371" i="1"/>
  <c r="F5371" i="1"/>
  <c r="B5372" i="1"/>
  <c r="A5372" i="1"/>
  <c r="E5372" i="1"/>
  <c r="F5372" i="1"/>
  <c r="B5373" i="1"/>
  <c r="A5373" i="1"/>
  <c r="E5373" i="1"/>
  <c r="F5373" i="1"/>
  <c r="B5374" i="1"/>
  <c r="A5374" i="1"/>
  <c r="E5374" i="1"/>
  <c r="F5374" i="1"/>
  <c r="B5375" i="1"/>
  <c r="A5375" i="1"/>
  <c r="E5375" i="1"/>
  <c r="F5375" i="1"/>
  <c r="B5376" i="1"/>
  <c r="A5376" i="1"/>
  <c r="E5376" i="1"/>
  <c r="F5376" i="1"/>
  <c r="B5377" i="1"/>
  <c r="A5377" i="1"/>
  <c r="E5377" i="1"/>
  <c r="F5377" i="1"/>
  <c r="B5378" i="1"/>
  <c r="A5378" i="1"/>
  <c r="E5378" i="1"/>
  <c r="F5378" i="1"/>
  <c r="B5379" i="1"/>
  <c r="A5379" i="1"/>
  <c r="E5379" i="1"/>
  <c r="F5379" i="1"/>
  <c r="B5380" i="1"/>
  <c r="A5380" i="1"/>
  <c r="E5380" i="1"/>
  <c r="F5380" i="1"/>
  <c r="B5381" i="1"/>
  <c r="A5381" i="1"/>
  <c r="E5381" i="1"/>
  <c r="F5381" i="1"/>
  <c r="B5382" i="1"/>
  <c r="A5382" i="1"/>
  <c r="E5382" i="1"/>
  <c r="F5382" i="1"/>
  <c r="B5383" i="1"/>
  <c r="A5383" i="1"/>
  <c r="E5383" i="1"/>
  <c r="F5383" i="1"/>
  <c r="B5384" i="1"/>
  <c r="A5384" i="1"/>
  <c r="E5384" i="1"/>
  <c r="F5384" i="1"/>
  <c r="B5385" i="1"/>
  <c r="A5385" i="1"/>
  <c r="E5385" i="1"/>
  <c r="F5385" i="1"/>
  <c r="B5386" i="1"/>
  <c r="A5386" i="1"/>
  <c r="E5386" i="1"/>
  <c r="F5386" i="1"/>
  <c r="B5387" i="1"/>
  <c r="A5387" i="1"/>
  <c r="E5387" i="1"/>
  <c r="F5387" i="1"/>
  <c r="B5388" i="1"/>
  <c r="A5388" i="1"/>
  <c r="E5388" i="1"/>
  <c r="F5388" i="1"/>
  <c r="B5389" i="1"/>
  <c r="A5389" i="1"/>
  <c r="E5389" i="1"/>
  <c r="F5389" i="1"/>
  <c r="B5390" i="1"/>
  <c r="A5390" i="1"/>
  <c r="E5390" i="1"/>
  <c r="F5390" i="1"/>
  <c r="B5391" i="1"/>
  <c r="A5391" i="1"/>
  <c r="E5391" i="1"/>
  <c r="F5391" i="1"/>
  <c r="B5392" i="1"/>
  <c r="A5392" i="1"/>
  <c r="E5392" i="1"/>
  <c r="F5392" i="1"/>
  <c r="B5393" i="1"/>
  <c r="A5393" i="1"/>
  <c r="E5393" i="1"/>
  <c r="F5393" i="1"/>
  <c r="B5394" i="1"/>
  <c r="A5394" i="1"/>
  <c r="E5394" i="1"/>
  <c r="F5394" i="1"/>
  <c r="B5395" i="1"/>
  <c r="A5395" i="1"/>
  <c r="E5395" i="1"/>
  <c r="F5395" i="1"/>
  <c r="B5396" i="1"/>
  <c r="A5396" i="1"/>
  <c r="E5396" i="1"/>
  <c r="F5396" i="1"/>
  <c r="B5397" i="1"/>
  <c r="A5397" i="1"/>
  <c r="E5397" i="1"/>
  <c r="F5397" i="1"/>
  <c r="B5398" i="1"/>
  <c r="A5398" i="1"/>
  <c r="E5398" i="1"/>
  <c r="F5398" i="1"/>
  <c r="B5399" i="1"/>
  <c r="A5399" i="1"/>
  <c r="E5399" i="1"/>
  <c r="F5399" i="1"/>
  <c r="B5400" i="1"/>
  <c r="A5400" i="1"/>
  <c r="E5400" i="1"/>
  <c r="F5400" i="1"/>
  <c r="B5401" i="1"/>
  <c r="A5401" i="1"/>
  <c r="E5401" i="1"/>
  <c r="F5401" i="1"/>
  <c r="B5402" i="1"/>
  <c r="A5402" i="1"/>
  <c r="E5402" i="1"/>
  <c r="F5402" i="1"/>
  <c r="B5403" i="1"/>
  <c r="A5403" i="1"/>
  <c r="E5403" i="1"/>
  <c r="F5403" i="1"/>
  <c r="B5404" i="1"/>
  <c r="A5404" i="1"/>
  <c r="E5404" i="1"/>
  <c r="F5404" i="1"/>
  <c r="B5405" i="1"/>
  <c r="A5405" i="1"/>
  <c r="E5405" i="1"/>
  <c r="F5405" i="1"/>
  <c r="B5406" i="1"/>
  <c r="A5406" i="1"/>
  <c r="E5406" i="1"/>
  <c r="F5406" i="1"/>
  <c r="B5407" i="1"/>
  <c r="A5407" i="1"/>
  <c r="E5407" i="1"/>
  <c r="F5407" i="1"/>
  <c r="B5408" i="1"/>
  <c r="A5408" i="1"/>
  <c r="E5408" i="1"/>
  <c r="F5408" i="1"/>
  <c r="B5409" i="1"/>
  <c r="A5409" i="1"/>
  <c r="E5409" i="1"/>
  <c r="F5409" i="1"/>
  <c r="B5410" i="1"/>
  <c r="A5410" i="1"/>
  <c r="E5410" i="1"/>
  <c r="F5410" i="1"/>
  <c r="B5411" i="1"/>
  <c r="A5411" i="1"/>
  <c r="E5411" i="1"/>
  <c r="F5411" i="1"/>
  <c r="B5412" i="1"/>
  <c r="A5412" i="1"/>
  <c r="E5412" i="1"/>
  <c r="F5412" i="1"/>
  <c r="B5413" i="1"/>
  <c r="A5413" i="1"/>
  <c r="E5413" i="1"/>
  <c r="F5413" i="1"/>
  <c r="B5414" i="1"/>
  <c r="A5414" i="1"/>
  <c r="E5414" i="1"/>
  <c r="F5414" i="1"/>
  <c r="B5415" i="1"/>
  <c r="A5415" i="1"/>
  <c r="E5415" i="1"/>
  <c r="F5415" i="1"/>
  <c r="B5416" i="1"/>
  <c r="A5416" i="1"/>
  <c r="E5416" i="1"/>
  <c r="F5416" i="1"/>
  <c r="B5417" i="1"/>
  <c r="A5417" i="1"/>
  <c r="E5417" i="1"/>
  <c r="F5417" i="1"/>
  <c r="B5418" i="1"/>
  <c r="A5418" i="1"/>
  <c r="E5418" i="1"/>
  <c r="F5418" i="1"/>
  <c r="B5419" i="1"/>
  <c r="A5419" i="1"/>
  <c r="E5419" i="1"/>
  <c r="F5419" i="1"/>
  <c r="B5420" i="1"/>
  <c r="A5420" i="1"/>
  <c r="E5420" i="1"/>
  <c r="F5420" i="1"/>
  <c r="B5421" i="1"/>
  <c r="A5421" i="1"/>
  <c r="E5421" i="1"/>
  <c r="F5421" i="1"/>
  <c r="B5422" i="1"/>
  <c r="A5422" i="1"/>
  <c r="E5422" i="1"/>
  <c r="F5422" i="1"/>
  <c r="B5423" i="1"/>
  <c r="A5423" i="1"/>
  <c r="E5423" i="1"/>
  <c r="F5423" i="1"/>
  <c r="B5424" i="1"/>
  <c r="A5424" i="1"/>
  <c r="E5424" i="1"/>
  <c r="F5424" i="1"/>
  <c r="B5425" i="1"/>
  <c r="A5425" i="1"/>
  <c r="E5425" i="1"/>
  <c r="F5425" i="1"/>
  <c r="B5426" i="1"/>
  <c r="A5426" i="1"/>
  <c r="E5426" i="1"/>
  <c r="F5426" i="1"/>
  <c r="B5427" i="1"/>
  <c r="A5427" i="1"/>
  <c r="E5427" i="1"/>
  <c r="F5427" i="1"/>
  <c r="B5428" i="1"/>
  <c r="A5428" i="1"/>
  <c r="E5428" i="1"/>
  <c r="F5428" i="1"/>
  <c r="B5429" i="1"/>
  <c r="A5429" i="1"/>
  <c r="E5429" i="1"/>
  <c r="F5429" i="1"/>
  <c r="B5430" i="1"/>
  <c r="A5430" i="1"/>
  <c r="E5430" i="1"/>
  <c r="F5430" i="1"/>
  <c r="B5431" i="1"/>
  <c r="A5431" i="1"/>
  <c r="E5431" i="1"/>
  <c r="F5431" i="1"/>
  <c r="B5432" i="1"/>
  <c r="A5432" i="1"/>
  <c r="E5432" i="1"/>
  <c r="F5432" i="1"/>
  <c r="B5433" i="1"/>
  <c r="A5433" i="1"/>
  <c r="E5433" i="1"/>
  <c r="F5433" i="1"/>
  <c r="B5434" i="1"/>
  <c r="A5434" i="1"/>
  <c r="E5434" i="1"/>
  <c r="F5434" i="1"/>
  <c r="B5435" i="1"/>
  <c r="A5435" i="1"/>
  <c r="E5435" i="1"/>
  <c r="F5435" i="1"/>
  <c r="B5436" i="1"/>
  <c r="A5436" i="1"/>
  <c r="E5436" i="1"/>
  <c r="F5436" i="1"/>
  <c r="B5437" i="1"/>
  <c r="A5437" i="1"/>
  <c r="E5437" i="1"/>
  <c r="F5437" i="1"/>
  <c r="B5438" i="1"/>
  <c r="A5438" i="1"/>
  <c r="E5438" i="1"/>
  <c r="F5438" i="1"/>
  <c r="B5439" i="1"/>
  <c r="A5439" i="1"/>
  <c r="E5439" i="1"/>
  <c r="F5439" i="1"/>
  <c r="B5440" i="1"/>
  <c r="A5440" i="1"/>
  <c r="E5440" i="1"/>
  <c r="F5440" i="1"/>
  <c r="B5441" i="1"/>
  <c r="A5441" i="1"/>
  <c r="E5441" i="1"/>
  <c r="F5441" i="1"/>
  <c r="B5442" i="1"/>
  <c r="A5442" i="1"/>
  <c r="E5442" i="1"/>
  <c r="F5442" i="1"/>
  <c r="B5443" i="1"/>
  <c r="A5443" i="1"/>
  <c r="E5443" i="1"/>
  <c r="F5443" i="1"/>
  <c r="B5444" i="1"/>
  <c r="A5444" i="1"/>
  <c r="E5444" i="1"/>
  <c r="F5444" i="1"/>
  <c r="B5445" i="1"/>
  <c r="A5445" i="1"/>
  <c r="E5445" i="1"/>
  <c r="F5445" i="1"/>
  <c r="B5446" i="1"/>
  <c r="A5446" i="1"/>
  <c r="E5446" i="1"/>
  <c r="F5446" i="1"/>
  <c r="B5447" i="1"/>
  <c r="A5447" i="1"/>
  <c r="E5447" i="1"/>
  <c r="F5447" i="1"/>
  <c r="B5448" i="1"/>
  <c r="A5448" i="1"/>
  <c r="E5448" i="1"/>
  <c r="F5448" i="1"/>
  <c r="B5449" i="1"/>
  <c r="A5449" i="1"/>
  <c r="E5449" i="1"/>
  <c r="F5449" i="1"/>
  <c r="B5450" i="1"/>
  <c r="A5450" i="1"/>
  <c r="E5450" i="1"/>
  <c r="F5450" i="1"/>
  <c r="B5451" i="1"/>
  <c r="A5451" i="1"/>
  <c r="E5451" i="1"/>
  <c r="F5451" i="1"/>
  <c r="B5452" i="1"/>
  <c r="A5452" i="1"/>
  <c r="E5452" i="1"/>
  <c r="F5452" i="1"/>
  <c r="B5453" i="1"/>
  <c r="A5453" i="1"/>
  <c r="E5453" i="1"/>
  <c r="F5453" i="1"/>
  <c r="B5454" i="1"/>
  <c r="A5454" i="1"/>
  <c r="E5454" i="1"/>
  <c r="F5454" i="1"/>
  <c r="B5455" i="1"/>
  <c r="A5455" i="1"/>
  <c r="E5455" i="1"/>
  <c r="F5455" i="1"/>
  <c r="B5456" i="1"/>
  <c r="A5456" i="1"/>
  <c r="E5456" i="1"/>
  <c r="F5456" i="1"/>
  <c r="B5457" i="1"/>
  <c r="A5457" i="1"/>
  <c r="E5457" i="1"/>
  <c r="F5457" i="1"/>
  <c r="B5458" i="1"/>
  <c r="A5458" i="1"/>
  <c r="E5458" i="1"/>
  <c r="F5458" i="1"/>
  <c r="B5459" i="1"/>
  <c r="A5459" i="1"/>
  <c r="E5459" i="1"/>
  <c r="F5459" i="1"/>
  <c r="B5460" i="1"/>
  <c r="A5460" i="1"/>
  <c r="E5460" i="1"/>
  <c r="F5460" i="1"/>
  <c r="B5461" i="1"/>
  <c r="A5461" i="1"/>
  <c r="E5461" i="1"/>
  <c r="F5461" i="1"/>
  <c r="B5462" i="1"/>
  <c r="A5462" i="1"/>
  <c r="E5462" i="1"/>
  <c r="F5462" i="1"/>
  <c r="B5463" i="1"/>
  <c r="A5463" i="1"/>
  <c r="E5463" i="1"/>
  <c r="F5463" i="1"/>
  <c r="B5464" i="1"/>
  <c r="A5464" i="1"/>
  <c r="E5464" i="1"/>
  <c r="F5464" i="1"/>
  <c r="B5465" i="1"/>
  <c r="A5465" i="1"/>
  <c r="E5465" i="1"/>
  <c r="F5465" i="1"/>
  <c r="B5466" i="1"/>
  <c r="A5466" i="1"/>
  <c r="E5466" i="1"/>
  <c r="F5466" i="1"/>
  <c r="B5467" i="1"/>
  <c r="A5467" i="1"/>
  <c r="E5467" i="1"/>
  <c r="F5467" i="1"/>
  <c r="B5468" i="1"/>
  <c r="A5468" i="1"/>
  <c r="E5468" i="1"/>
  <c r="F5468" i="1"/>
  <c r="B5469" i="1"/>
  <c r="A5469" i="1"/>
  <c r="E5469" i="1"/>
  <c r="F5469" i="1"/>
  <c r="B5470" i="1"/>
  <c r="A5470" i="1"/>
  <c r="E5470" i="1"/>
  <c r="F5470" i="1"/>
  <c r="B5471" i="1"/>
  <c r="A5471" i="1"/>
  <c r="E5471" i="1"/>
  <c r="F5471" i="1"/>
  <c r="B5472" i="1"/>
  <c r="A5472" i="1"/>
  <c r="E5472" i="1"/>
  <c r="F5472" i="1"/>
  <c r="B5473" i="1"/>
  <c r="A5473" i="1"/>
  <c r="E5473" i="1"/>
  <c r="F5473" i="1"/>
  <c r="B5474" i="1"/>
  <c r="A5474" i="1"/>
  <c r="E5474" i="1"/>
  <c r="F5474" i="1"/>
  <c r="B5475" i="1"/>
  <c r="A5475" i="1"/>
  <c r="E5475" i="1"/>
  <c r="F5475" i="1"/>
  <c r="B5476" i="1"/>
  <c r="A5476" i="1"/>
  <c r="E5476" i="1"/>
  <c r="F5476" i="1"/>
  <c r="B5477" i="1"/>
  <c r="A5477" i="1"/>
  <c r="E5477" i="1"/>
  <c r="F5477" i="1"/>
  <c r="B5478" i="1"/>
  <c r="A5478" i="1"/>
  <c r="E5478" i="1"/>
  <c r="F5478" i="1"/>
  <c r="B5479" i="1"/>
  <c r="A5479" i="1"/>
  <c r="E5479" i="1"/>
  <c r="F5479" i="1"/>
  <c r="B5480" i="1"/>
  <c r="A5480" i="1"/>
  <c r="E5480" i="1"/>
  <c r="F5480" i="1"/>
  <c r="B5481" i="1"/>
  <c r="A5481" i="1"/>
  <c r="E5481" i="1"/>
  <c r="F5481" i="1"/>
  <c r="B5482" i="1"/>
  <c r="A5482" i="1"/>
  <c r="E5482" i="1"/>
  <c r="F5482" i="1"/>
  <c r="B5483" i="1"/>
  <c r="A5483" i="1"/>
  <c r="E5483" i="1"/>
  <c r="F5483" i="1"/>
  <c r="B5484" i="1"/>
  <c r="A5484" i="1"/>
  <c r="E5484" i="1"/>
  <c r="F5484" i="1"/>
  <c r="B5485" i="1"/>
  <c r="A5485" i="1"/>
  <c r="E5485" i="1"/>
  <c r="F5485" i="1"/>
  <c r="B5486" i="1"/>
  <c r="A5486" i="1"/>
  <c r="E5486" i="1"/>
  <c r="F5486" i="1"/>
  <c r="B5487" i="1"/>
  <c r="A5487" i="1"/>
  <c r="E5487" i="1"/>
  <c r="F5487" i="1"/>
  <c r="B5488" i="1"/>
  <c r="A5488" i="1"/>
  <c r="E5488" i="1"/>
  <c r="F5488" i="1"/>
  <c r="B5489" i="1"/>
  <c r="A5489" i="1"/>
  <c r="E5489" i="1"/>
  <c r="F5489" i="1"/>
  <c r="B5490" i="1"/>
  <c r="A5490" i="1"/>
  <c r="E5490" i="1"/>
  <c r="F5490" i="1"/>
  <c r="B5491" i="1"/>
  <c r="A5491" i="1"/>
  <c r="E5491" i="1"/>
  <c r="F5491" i="1"/>
  <c r="B5492" i="1"/>
  <c r="A5492" i="1"/>
  <c r="E5492" i="1"/>
  <c r="F5492" i="1"/>
  <c r="B5493" i="1"/>
  <c r="A5493" i="1"/>
  <c r="E5493" i="1"/>
  <c r="F5493" i="1"/>
  <c r="B5494" i="1"/>
  <c r="A5494" i="1"/>
  <c r="E5494" i="1"/>
  <c r="F5494" i="1"/>
  <c r="B5495" i="1"/>
  <c r="A5495" i="1"/>
  <c r="E5495" i="1"/>
  <c r="F5495" i="1"/>
  <c r="B5496" i="1"/>
  <c r="A5496" i="1"/>
  <c r="E5496" i="1"/>
  <c r="F5496" i="1"/>
  <c r="B5497" i="1"/>
  <c r="A5497" i="1"/>
  <c r="E5497" i="1"/>
  <c r="F5497" i="1"/>
  <c r="B5498" i="1"/>
  <c r="A5498" i="1"/>
  <c r="E5498" i="1"/>
  <c r="F5498" i="1"/>
  <c r="B5499" i="1"/>
  <c r="A5499" i="1"/>
  <c r="E5499" i="1"/>
  <c r="F5499" i="1"/>
  <c r="B5500" i="1"/>
  <c r="A5500" i="1"/>
  <c r="E5500" i="1"/>
  <c r="F5500" i="1"/>
  <c r="B5501" i="1"/>
  <c r="A5501" i="1"/>
  <c r="E5501" i="1"/>
  <c r="F5501" i="1"/>
  <c r="B5502" i="1"/>
  <c r="A5502" i="1"/>
  <c r="E5502" i="1"/>
  <c r="F5502" i="1"/>
  <c r="B5503" i="1"/>
  <c r="A5503" i="1"/>
  <c r="E5503" i="1"/>
  <c r="F5503" i="1"/>
  <c r="B5504" i="1"/>
  <c r="A5504" i="1"/>
  <c r="E5504" i="1"/>
  <c r="F5504" i="1"/>
  <c r="B5505" i="1"/>
  <c r="A5505" i="1"/>
  <c r="E5505" i="1"/>
  <c r="F5505" i="1"/>
  <c r="B5506" i="1"/>
  <c r="A5506" i="1"/>
  <c r="E5506" i="1"/>
  <c r="F5506" i="1"/>
  <c r="B5507" i="1"/>
  <c r="A5507" i="1"/>
  <c r="E5507" i="1"/>
  <c r="F5507" i="1"/>
  <c r="B5508" i="1"/>
  <c r="A5508" i="1"/>
  <c r="E5508" i="1"/>
  <c r="F5508" i="1"/>
  <c r="B5509" i="1"/>
  <c r="A5509" i="1"/>
  <c r="E5509" i="1"/>
  <c r="F5509" i="1"/>
  <c r="B5510" i="1"/>
  <c r="A5510" i="1"/>
  <c r="E5510" i="1"/>
  <c r="F5510" i="1"/>
  <c r="B5511" i="1"/>
  <c r="A5511" i="1"/>
  <c r="E5511" i="1"/>
  <c r="F5511" i="1"/>
  <c r="B5512" i="1"/>
  <c r="A5512" i="1"/>
  <c r="E5512" i="1"/>
  <c r="F5512" i="1"/>
  <c r="B5513" i="1"/>
  <c r="A5513" i="1"/>
  <c r="E5513" i="1"/>
  <c r="F5513" i="1"/>
  <c r="B5514" i="1"/>
  <c r="A5514" i="1"/>
  <c r="E5514" i="1"/>
  <c r="F5514" i="1"/>
  <c r="B5515" i="1"/>
  <c r="A5515" i="1"/>
  <c r="E5515" i="1"/>
  <c r="F5515" i="1"/>
  <c r="B5516" i="1"/>
  <c r="A5516" i="1"/>
  <c r="E5516" i="1"/>
  <c r="F5516" i="1"/>
  <c r="B5517" i="1"/>
  <c r="A5517" i="1"/>
  <c r="E5517" i="1"/>
  <c r="F5517" i="1"/>
  <c r="B5518" i="1"/>
  <c r="A5518" i="1"/>
  <c r="E5518" i="1"/>
  <c r="F5518" i="1"/>
  <c r="B5519" i="1"/>
  <c r="A5519" i="1"/>
  <c r="E5519" i="1"/>
  <c r="F5519" i="1"/>
  <c r="B5520" i="1"/>
  <c r="A5520" i="1"/>
  <c r="E5520" i="1"/>
  <c r="F5520" i="1"/>
  <c r="B5521" i="1"/>
  <c r="A5521" i="1"/>
  <c r="E5521" i="1"/>
  <c r="F5521" i="1"/>
  <c r="B5522" i="1"/>
  <c r="A5522" i="1"/>
  <c r="E5522" i="1"/>
  <c r="F5522" i="1"/>
  <c r="B5523" i="1"/>
  <c r="A5523" i="1"/>
  <c r="E5523" i="1"/>
  <c r="F5523" i="1"/>
  <c r="B5524" i="1"/>
  <c r="A5524" i="1"/>
  <c r="E5524" i="1"/>
  <c r="F5524" i="1"/>
  <c r="B5525" i="1"/>
  <c r="A5525" i="1"/>
  <c r="E5525" i="1"/>
  <c r="F5525" i="1"/>
  <c r="B5526" i="1"/>
  <c r="A5526" i="1"/>
  <c r="E5526" i="1"/>
  <c r="F5526" i="1"/>
  <c r="B5527" i="1"/>
  <c r="A5527" i="1"/>
  <c r="E5527" i="1"/>
  <c r="F5527" i="1"/>
  <c r="B5528" i="1"/>
  <c r="A5528" i="1"/>
  <c r="E5528" i="1"/>
  <c r="F5528" i="1"/>
  <c r="B5529" i="1"/>
  <c r="A5529" i="1"/>
  <c r="E5529" i="1"/>
  <c r="F5529" i="1"/>
  <c r="B5530" i="1"/>
  <c r="A5530" i="1"/>
  <c r="E5530" i="1"/>
  <c r="F5530" i="1"/>
  <c r="B5531" i="1"/>
  <c r="A5531" i="1"/>
  <c r="E5531" i="1"/>
  <c r="F5531" i="1"/>
  <c r="B5532" i="1"/>
  <c r="A5532" i="1"/>
  <c r="E5532" i="1"/>
  <c r="F5532" i="1"/>
  <c r="B5533" i="1"/>
  <c r="A5533" i="1"/>
  <c r="E5533" i="1"/>
  <c r="F5533" i="1"/>
  <c r="B5534" i="1"/>
  <c r="A5534" i="1"/>
  <c r="E5534" i="1"/>
  <c r="F5534" i="1"/>
  <c r="B5535" i="1"/>
  <c r="A5535" i="1"/>
  <c r="E5535" i="1"/>
  <c r="F5535" i="1"/>
  <c r="B5536" i="1"/>
  <c r="A5536" i="1"/>
  <c r="E5536" i="1"/>
  <c r="F5536" i="1"/>
  <c r="B5537" i="1"/>
  <c r="A5537" i="1"/>
  <c r="E5537" i="1"/>
  <c r="F5537" i="1"/>
  <c r="B5538" i="1"/>
  <c r="A5538" i="1"/>
  <c r="E5538" i="1"/>
  <c r="F5538" i="1"/>
  <c r="B5539" i="1"/>
  <c r="A5539" i="1"/>
  <c r="E5539" i="1"/>
  <c r="F5539" i="1"/>
  <c r="B5540" i="1"/>
  <c r="A5540" i="1"/>
  <c r="E5540" i="1"/>
  <c r="F5540" i="1"/>
  <c r="B5541" i="1"/>
  <c r="A5541" i="1"/>
  <c r="E5541" i="1"/>
  <c r="F5541" i="1"/>
  <c r="B5542" i="1"/>
  <c r="A5542" i="1"/>
  <c r="E5542" i="1"/>
  <c r="F5542" i="1"/>
  <c r="B5543" i="1"/>
  <c r="A5543" i="1"/>
  <c r="E5543" i="1"/>
  <c r="F5543" i="1"/>
  <c r="B5544" i="1"/>
  <c r="A5544" i="1"/>
  <c r="E5544" i="1"/>
  <c r="F5544" i="1"/>
  <c r="B5545" i="1"/>
  <c r="A5545" i="1"/>
  <c r="E5545" i="1"/>
  <c r="F5545" i="1"/>
  <c r="B5546" i="1"/>
  <c r="A5546" i="1"/>
  <c r="E5546" i="1"/>
  <c r="F5546" i="1"/>
  <c r="B5547" i="1"/>
  <c r="A5547" i="1"/>
  <c r="E5547" i="1"/>
  <c r="F5547" i="1"/>
  <c r="B5548" i="1"/>
  <c r="A5548" i="1"/>
  <c r="E5548" i="1"/>
  <c r="F5548" i="1"/>
  <c r="B5549" i="1"/>
  <c r="A5549" i="1"/>
  <c r="E5549" i="1"/>
  <c r="F5549" i="1"/>
  <c r="B5550" i="1"/>
  <c r="A5550" i="1"/>
  <c r="E5550" i="1"/>
  <c r="F5550" i="1"/>
  <c r="B5551" i="1"/>
  <c r="A5551" i="1"/>
  <c r="E5551" i="1"/>
  <c r="F5551" i="1"/>
  <c r="B5552" i="1"/>
  <c r="A5552" i="1"/>
  <c r="E5552" i="1"/>
  <c r="F5552" i="1"/>
  <c r="B5553" i="1"/>
  <c r="A5553" i="1"/>
  <c r="E5553" i="1"/>
  <c r="F5553" i="1"/>
  <c r="B5554" i="1"/>
  <c r="A5554" i="1"/>
  <c r="E5554" i="1"/>
  <c r="F5554" i="1"/>
  <c r="B5555" i="1"/>
  <c r="A5555" i="1"/>
  <c r="E5555" i="1"/>
  <c r="F5555" i="1"/>
  <c r="B5556" i="1"/>
  <c r="A5556" i="1"/>
  <c r="E5556" i="1"/>
  <c r="F5556" i="1"/>
  <c r="B5557" i="1"/>
  <c r="A5557" i="1"/>
  <c r="E5557" i="1"/>
  <c r="F5557" i="1"/>
  <c r="B5558" i="1"/>
  <c r="A5558" i="1"/>
  <c r="E5558" i="1"/>
  <c r="F5558" i="1"/>
  <c r="B5559" i="1"/>
  <c r="A5559" i="1"/>
  <c r="E5559" i="1"/>
  <c r="F5559" i="1"/>
  <c r="B5560" i="1"/>
  <c r="A5560" i="1"/>
  <c r="E5560" i="1"/>
  <c r="F5560" i="1"/>
  <c r="B5561" i="1"/>
  <c r="A5561" i="1"/>
  <c r="E5561" i="1"/>
  <c r="F5561" i="1"/>
  <c r="B5562" i="1"/>
  <c r="A5562" i="1"/>
  <c r="E5562" i="1"/>
  <c r="F5562" i="1"/>
  <c r="B5563" i="1"/>
  <c r="A5563" i="1"/>
  <c r="E5563" i="1"/>
  <c r="F5563" i="1"/>
  <c r="B5564" i="1"/>
  <c r="A5564" i="1"/>
  <c r="E5564" i="1"/>
  <c r="F5564" i="1"/>
  <c r="B5565" i="1"/>
  <c r="A5565" i="1"/>
  <c r="E5565" i="1"/>
  <c r="F5565" i="1"/>
  <c r="B5566" i="1"/>
  <c r="A5566" i="1"/>
  <c r="E5566" i="1"/>
  <c r="F5566" i="1"/>
  <c r="B5567" i="1"/>
  <c r="A5567" i="1"/>
  <c r="E5567" i="1"/>
  <c r="F5567" i="1"/>
  <c r="B5568" i="1"/>
  <c r="A5568" i="1"/>
  <c r="E5568" i="1"/>
  <c r="F5568" i="1"/>
  <c r="B5569" i="1"/>
  <c r="A5569" i="1"/>
  <c r="E5569" i="1"/>
  <c r="F5569" i="1"/>
  <c r="B5570" i="1"/>
  <c r="A5570" i="1"/>
  <c r="E5570" i="1"/>
  <c r="F5570" i="1"/>
  <c r="B5571" i="1"/>
  <c r="A5571" i="1"/>
  <c r="E5571" i="1"/>
  <c r="F5571" i="1"/>
  <c r="B5572" i="1"/>
  <c r="A5572" i="1"/>
  <c r="E5572" i="1"/>
  <c r="F5572" i="1"/>
  <c r="B5573" i="1"/>
  <c r="A5573" i="1"/>
  <c r="E5573" i="1"/>
  <c r="F5573" i="1"/>
  <c r="B5574" i="1"/>
  <c r="A5574" i="1"/>
  <c r="E5574" i="1"/>
  <c r="F5574" i="1"/>
  <c r="B5575" i="1"/>
  <c r="A5575" i="1"/>
  <c r="E5575" i="1"/>
  <c r="F5575" i="1"/>
  <c r="B5576" i="1"/>
  <c r="A5576" i="1"/>
  <c r="E5576" i="1"/>
  <c r="F5576" i="1"/>
  <c r="B5577" i="1"/>
  <c r="A5577" i="1"/>
  <c r="E5577" i="1"/>
  <c r="F5577" i="1"/>
  <c r="B5578" i="1"/>
  <c r="A5578" i="1"/>
  <c r="E5578" i="1"/>
  <c r="F5578" i="1"/>
  <c r="B5579" i="1"/>
  <c r="A5579" i="1"/>
  <c r="E5579" i="1"/>
  <c r="F5579" i="1"/>
  <c r="B5580" i="1"/>
  <c r="A5580" i="1"/>
  <c r="E5580" i="1"/>
  <c r="F5580" i="1"/>
  <c r="B5581" i="1"/>
  <c r="A5581" i="1"/>
  <c r="E5581" i="1"/>
  <c r="F5581" i="1"/>
  <c r="B5582" i="1"/>
  <c r="A5582" i="1"/>
  <c r="E5582" i="1"/>
  <c r="F5582" i="1"/>
  <c r="B5583" i="1"/>
  <c r="A5583" i="1"/>
  <c r="E5583" i="1"/>
  <c r="F5583" i="1"/>
  <c r="B5584" i="1"/>
  <c r="A5584" i="1"/>
  <c r="E5584" i="1"/>
  <c r="F5584" i="1"/>
  <c r="B5585" i="1"/>
  <c r="A5585" i="1"/>
  <c r="E5585" i="1"/>
  <c r="F5585" i="1"/>
  <c r="B5586" i="1"/>
  <c r="A5586" i="1"/>
  <c r="E5586" i="1"/>
  <c r="F5586" i="1"/>
  <c r="B5587" i="1"/>
  <c r="A5587" i="1"/>
  <c r="E5587" i="1"/>
  <c r="F5587" i="1"/>
  <c r="B5588" i="1"/>
  <c r="A5588" i="1"/>
  <c r="E5588" i="1"/>
  <c r="F5588" i="1"/>
  <c r="B5589" i="1"/>
  <c r="A5589" i="1"/>
  <c r="E5589" i="1"/>
  <c r="F5589" i="1"/>
  <c r="B5590" i="1"/>
  <c r="A5590" i="1"/>
  <c r="E5590" i="1"/>
  <c r="F5590" i="1"/>
  <c r="B5591" i="1"/>
  <c r="A5591" i="1"/>
  <c r="E5591" i="1"/>
  <c r="F5591" i="1"/>
  <c r="B5592" i="1"/>
  <c r="A5592" i="1"/>
  <c r="E5592" i="1"/>
  <c r="F5592" i="1"/>
  <c r="B5593" i="1"/>
  <c r="A5593" i="1"/>
  <c r="E5593" i="1"/>
  <c r="F5593" i="1"/>
  <c r="B5594" i="1"/>
  <c r="A5594" i="1"/>
  <c r="E5594" i="1"/>
  <c r="F5594" i="1"/>
  <c r="B5595" i="1"/>
  <c r="A5595" i="1"/>
  <c r="E5595" i="1"/>
  <c r="F5595" i="1"/>
  <c r="B5596" i="1"/>
  <c r="A5596" i="1"/>
  <c r="E5596" i="1"/>
  <c r="F5596" i="1"/>
  <c r="B5597" i="1"/>
  <c r="A5597" i="1"/>
  <c r="E5597" i="1"/>
  <c r="F5597" i="1"/>
  <c r="B5598" i="1"/>
  <c r="A5598" i="1"/>
  <c r="E5598" i="1"/>
  <c r="F5598" i="1"/>
  <c r="B5599" i="1"/>
  <c r="A5599" i="1"/>
  <c r="E5599" i="1"/>
  <c r="F5599" i="1"/>
  <c r="B5600" i="1"/>
  <c r="A5600" i="1"/>
  <c r="E5600" i="1"/>
  <c r="F5600" i="1"/>
  <c r="B5601" i="1"/>
  <c r="A5601" i="1"/>
  <c r="E5601" i="1"/>
  <c r="F5601" i="1"/>
  <c r="B5602" i="1"/>
  <c r="A5602" i="1"/>
  <c r="E5602" i="1"/>
  <c r="F5602" i="1"/>
  <c r="B5603" i="1"/>
  <c r="A5603" i="1"/>
  <c r="E5603" i="1"/>
  <c r="F5603" i="1"/>
  <c r="B5604" i="1"/>
  <c r="A5604" i="1"/>
  <c r="E5604" i="1"/>
  <c r="F5604" i="1"/>
  <c r="B5605" i="1"/>
  <c r="A5605" i="1"/>
  <c r="E5605" i="1"/>
  <c r="F5605" i="1"/>
  <c r="B5606" i="1"/>
  <c r="A5606" i="1"/>
  <c r="E5606" i="1"/>
  <c r="F5606" i="1"/>
  <c r="B5607" i="1"/>
  <c r="A5607" i="1"/>
  <c r="E5607" i="1"/>
  <c r="F5607" i="1"/>
  <c r="B5608" i="1"/>
  <c r="A5608" i="1"/>
  <c r="E5608" i="1"/>
  <c r="F5608" i="1"/>
  <c r="B5609" i="1"/>
  <c r="A5609" i="1"/>
  <c r="E5609" i="1"/>
  <c r="F5609" i="1"/>
  <c r="B5610" i="1"/>
  <c r="A5610" i="1"/>
  <c r="E5610" i="1"/>
  <c r="F5610" i="1"/>
  <c r="B5611" i="1"/>
  <c r="A5611" i="1"/>
  <c r="E5611" i="1"/>
  <c r="F5611" i="1"/>
  <c r="B5612" i="1"/>
  <c r="A5612" i="1"/>
  <c r="E5612" i="1"/>
  <c r="F5612" i="1"/>
  <c r="B5613" i="1"/>
  <c r="A5613" i="1"/>
  <c r="E5613" i="1"/>
  <c r="F5613" i="1"/>
  <c r="B5614" i="1"/>
  <c r="A5614" i="1"/>
  <c r="E5614" i="1"/>
  <c r="F5614" i="1"/>
  <c r="B5615" i="1"/>
  <c r="A5615" i="1"/>
  <c r="E5615" i="1"/>
  <c r="F5615" i="1"/>
  <c r="B5616" i="1"/>
  <c r="A5616" i="1"/>
  <c r="E5616" i="1"/>
  <c r="F5616" i="1"/>
  <c r="B5617" i="1"/>
  <c r="A5617" i="1"/>
  <c r="E5617" i="1"/>
  <c r="F5617" i="1"/>
  <c r="B5618" i="1"/>
  <c r="A5618" i="1"/>
  <c r="E5618" i="1"/>
  <c r="F5618" i="1"/>
  <c r="B5619" i="1"/>
  <c r="A5619" i="1"/>
  <c r="E5619" i="1"/>
  <c r="F5619" i="1"/>
  <c r="B5620" i="1"/>
  <c r="A5620" i="1"/>
  <c r="E5620" i="1"/>
  <c r="F5620" i="1"/>
  <c r="B5621" i="1"/>
  <c r="A5621" i="1"/>
  <c r="E5621" i="1"/>
  <c r="F5621" i="1"/>
  <c r="B5622" i="1"/>
  <c r="A5622" i="1"/>
  <c r="E5622" i="1"/>
  <c r="F5622" i="1"/>
  <c r="B5623" i="1"/>
  <c r="A5623" i="1"/>
  <c r="E5623" i="1"/>
  <c r="F5623" i="1"/>
  <c r="B5624" i="1"/>
  <c r="A5624" i="1"/>
  <c r="E5624" i="1"/>
  <c r="F5624" i="1"/>
  <c r="B5625" i="1"/>
  <c r="A5625" i="1"/>
  <c r="E5625" i="1"/>
  <c r="F5625" i="1"/>
  <c r="B5626" i="1"/>
  <c r="A5626" i="1"/>
  <c r="E5626" i="1"/>
  <c r="F5626" i="1"/>
  <c r="B5627" i="1"/>
  <c r="A5627" i="1"/>
  <c r="E5627" i="1"/>
  <c r="F5627" i="1"/>
  <c r="B5628" i="1"/>
  <c r="A5628" i="1"/>
  <c r="E5628" i="1"/>
  <c r="F5628" i="1"/>
  <c r="B5629" i="1"/>
  <c r="A5629" i="1"/>
  <c r="E5629" i="1"/>
  <c r="F5629" i="1"/>
  <c r="B5630" i="1"/>
  <c r="A5630" i="1"/>
  <c r="E5630" i="1"/>
  <c r="F5630" i="1"/>
  <c r="B5631" i="1"/>
  <c r="A5631" i="1"/>
  <c r="E5631" i="1"/>
  <c r="F5631" i="1"/>
  <c r="B5632" i="1"/>
  <c r="A5632" i="1"/>
  <c r="E5632" i="1"/>
  <c r="F5632" i="1"/>
  <c r="B5633" i="1"/>
  <c r="A5633" i="1"/>
  <c r="E5633" i="1"/>
  <c r="F5633" i="1"/>
  <c r="B5634" i="1"/>
  <c r="A5634" i="1"/>
  <c r="E5634" i="1"/>
  <c r="F5634" i="1"/>
  <c r="B5635" i="1"/>
  <c r="A5635" i="1"/>
  <c r="E5635" i="1"/>
  <c r="F5635" i="1"/>
  <c r="B5636" i="1"/>
  <c r="A5636" i="1"/>
  <c r="E5636" i="1"/>
  <c r="F5636" i="1"/>
  <c r="B5637" i="1"/>
  <c r="A5637" i="1"/>
  <c r="E5637" i="1"/>
  <c r="F5637" i="1"/>
  <c r="B5638" i="1"/>
  <c r="A5638" i="1"/>
  <c r="E5638" i="1"/>
  <c r="F5638" i="1"/>
  <c r="B5639" i="1"/>
  <c r="A5639" i="1"/>
  <c r="E5639" i="1"/>
  <c r="F5639" i="1"/>
  <c r="B5640" i="1"/>
  <c r="A5640" i="1"/>
  <c r="E5640" i="1"/>
  <c r="F5640" i="1"/>
  <c r="B5641" i="1"/>
  <c r="A5641" i="1"/>
  <c r="E5641" i="1"/>
  <c r="F5641" i="1"/>
  <c r="B5642" i="1"/>
  <c r="A5642" i="1"/>
  <c r="E5642" i="1"/>
  <c r="F5642" i="1"/>
  <c r="B5643" i="1"/>
  <c r="A5643" i="1"/>
  <c r="E5643" i="1"/>
  <c r="F5643" i="1"/>
  <c r="B5644" i="1"/>
  <c r="A5644" i="1"/>
  <c r="E5644" i="1"/>
  <c r="F5644" i="1"/>
  <c r="B5645" i="1"/>
  <c r="A5645" i="1"/>
  <c r="E5645" i="1"/>
  <c r="F5645" i="1"/>
  <c r="B5646" i="1"/>
  <c r="A5646" i="1"/>
  <c r="E5646" i="1"/>
  <c r="F5646" i="1"/>
  <c r="B5647" i="1"/>
  <c r="A5647" i="1"/>
  <c r="E5647" i="1"/>
  <c r="F5647" i="1"/>
  <c r="B5648" i="1"/>
  <c r="A5648" i="1"/>
  <c r="E5648" i="1"/>
  <c r="F5648" i="1"/>
  <c r="B5649" i="1"/>
  <c r="A5649" i="1"/>
  <c r="E5649" i="1"/>
  <c r="F5649" i="1"/>
  <c r="B5650" i="1"/>
  <c r="A5650" i="1"/>
  <c r="E5650" i="1"/>
  <c r="F5650" i="1"/>
  <c r="B5651" i="1"/>
  <c r="A5651" i="1"/>
  <c r="E5651" i="1"/>
  <c r="F5651" i="1"/>
  <c r="B5652" i="1"/>
  <c r="A5652" i="1"/>
  <c r="E5652" i="1"/>
  <c r="F5652" i="1"/>
  <c r="B5653" i="1"/>
  <c r="A5653" i="1"/>
  <c r="E5653" i="1"/>
  <c r="F5653" i="1"/>
  <c r="B5654" i="1"/>
  <c r="A5654" i="1"/>
  <c r="E5654" i="1"/>
  <c r="F5654" i="1"/>
  <c r="B5655" i="1"/>
  <c r="A5655" i="1"/>
  <c r="E5655" i="1"/>
  <c r="F5655" i="1"/>
  <c r="B5656" i="1"/>
  <c r="A5656" i="1"/>
  <c r="E5656" i="1"/>
  <c r="F5656" i="1"/>
  <c r="B5657" i="1"/>
  <c r="A5657" i="1"/>
  <c r="E5657" i="1"/>
  <c r="F5657" i="1"/>
  <c r="B5658" i="1"/>
  <c r="A5658" i="1"/>
  <c r="E5658" i="1"/>
  <c r="F5658" i="1"/>
  <c r="B5659" i="1"/>
  <c r="A5659" i="1"/>
  <c r="E5659" i="1"/>
  <c r="F5659" i="1"/>
  <c r="B5660" i="1"/>
  <c r="A5660" i="1"/>
  <c r="E5660" i="1"/>
  <c r="F5660" i="1"/>
  <c r="B5661" i="1"/>
  <c r="A5661" i="1"/>
  <c r="E5661" i="1"/>
  <c r="F5661" i="1"/>
  <c r="B5662" i="1"/>
  <c r="A5662" i="1"/>
  <c r="E5662" i="1"/>
  <c r="F5662" i="1"/>
  <c r="B5663" i="1"/>
  <c r="A5663" i="1"/>
  <c r="E5663" i="1"/>
  <c r="F5663" i="1"/>
  <c r="B5664" i="1"/>
  <c r="A5664" i="1"/>
  <c r="E5664" i="1"/>
  <c r="F5664" i="1"/>
  <c r="B5665" i="1"/>
  <c r="A5665" i="1"/>
  <c r="E5665" i="1"/>
  <c r="F5665" i="1"/>
  <c r="B5666" i="1"/>
  <c r="A5666" i="1"/>
  <c r="E5666" i="1"/>
  <c r="F5666" i="1"/>
  <c r="B5667" i="1"/>
  <c r="A5667" i="1"/>
  <c r="E5667" i="1"/>
  <c r="F5667" i="1"/>
  <c r="B5668" i="1"/>
  <c r="A5668" i="1"/>
  <c r="E5668" i="1"/>
  <c r="F5668" i="1"/>
  <c r="B5669" i="1"/>
  <c r="A5669" i="1"/>
  <c r="E5669" i="1"/>
  <c r="F5669" i="1"/>
  <c r="B5670" i="1"/>
  <c r="A5670" i="1"/>
  <c r="E5670" i="1"/>
  <c r="F5670" i="1"/>
  <c r="B5671" i="1"/>
  <c r="A5671" i="1"/>
  <c r="E5671" i="1"/>
  <c r="F5671" i="1"/>
  <c r="B5672" i="1"/>
  <c r="A5672" i="1"/>
  <c r="E5672" i="1"/>
  <c r="F5672" i="1"/>
  <c r="B5673" i="1"/>
  <c r="A5673" i="1"/>
  <c r="E5673" i="1"/>
  <c r="F5673" i="1"/>
  <c r="B5674" i="1"/>
  <c r="A5674" i="1"/>
  <c r="E5674" i="1"/>
  <c r="F5674" i="1"/>
  <c r="B5675" i="1"/>
  <c r="A5675" i="1"/>
  <c r="E5675" i="1"/>
  <c r="F5675" i="1"/>
  <c r="B5676" i="1"/>
  <c r="A5676" i="1"/>
  <c r="E5676" i="1"/>
  <c r="F5676" i="1"/>
  <c r="B5677" i="1"/>
  <c r="A5677" i="1"/>
  <c r="E5677" i="1"/>
  <c r="F5677" i="1"/>
  <c r="B5678" i="1"/>
  <c r="A5678" i="1"/>
  <c r="E5678" i="1"/>
  <c r="F5678" i="1"/>
  <c r="B5679" i="1"/>
  <c r="A5679" i="1"/>
  <c r="E5679" i="1"/>
  <c r="F5679" i="1"/>
  <c r="B5680" i="1"/>
  <c r="A5680" i="1"/>
  <c r="E5680" i="1"/>
  <c r="F5680" i="1"/>
  <c r="B5681" i="1"/>
  <c r="A5681" i="1"/>
  <c r="E5681" i="1"/>
  <c r="F5681" i="1"/>
  <c r="B5682" i="1"/>
  <c r="A5682" i="1"/>
  <c r="E5682" i="1"/>
  <c r="F5682" i="1"/>
  <c r="B5683" i="1"/>
  <c r="A5683" i="1"/>
  <c r="E5683" i="1"/>
  <c r="F5683" i="1"/>
  <c r="B5684" i="1"/>
  <c r="A5684" i="1"/>
  <c r="E5684" i="1"/>
  <c r="F5684" i="1"/>
  <c r="B5685" i="1"/>
  <c r="A5685" i="1"/>
  <c r="E5685" i="1"/>
  <c r="F5685" i="1"/>
  <c r="B5686" i="1"/>
  <c r="A5686" i="1"/>
  <c r="E5686" i="1"/>
  <c r="F5686" i="1"/>
  <c r="B5687" i="1"/>
  <c r="A5687" i="1"/>
  <c r="E5687" i="1"/>
  <c r="F5687" i="1"/>
  <c r="B5688" i="1"/>
  <c r="A5688" i="1"/>
  <c r="E5688" i="1"/>
  <c r="F5688" i="1"/>
  <c r="B5689" i="1"/>
  <c r="A5689" i="1"/>
  <c r="E5689" i="1"/>
  <c r="F5689" i="1"/>
  <c r="B5690" i="1"/>
  <c r="A5690" i="1"/>
  <c r="E5690" i="1"/>
  <c r="F5690" i="1"/>
  <c r="B5691" i="1"/>
  <c r="A5691" i="1"/>
  <c r="E5691" i="1"/>
  <c r="F5691" i="1"/>
  <c r="B5692" i="1"/>
  <c r="A5692" i="1"/>
  <c r="E5692" i="1"/>
  <c r="F5692" i="1"/>
  <c r="B5693" i="1"/>
  <c r="A5693" i="1"/>
  <c r="E5693" i="1"/>
  <c r="F5693" i="1"/>
  <c r="B5694" i="1"/>
  <c r="A5694" i="1"/>
  <c r="E5694" i="1"/>
  <c r="F5694" i="1"/>
  <c r="B5695" i="1"/>
  <c r="A5695" i="1"/>
  <c r="E5695" i="1"/>
  <c r="F5695" i="1"/>
  <c r="B5696" i="1"/>
  <c r="A5696" i="1"/>
  <c r="E5696" i="1"/>
  <c r="F5696" i="1"/>
  <c r="B5697" i="1"/>
  <c r="A5697" i="1"/>
  <c r="E5697" i="1"/>
  <c r="F5697" i="1"/>
  <c r="B5698" i="1"/>
  <c r="A5698" i="1"/>
  <c r="E5698" i="1"/>
  <c r="F5698" i="1"/>
  <c r="B5699" i="1"/>
  <c r="A5699" i="1"/>
  <c r="E5699" i="1"/>
  <c r="F5699" i="1"/>
  <c r="B5700" i="1"/>
  <c r="A5700" i="1"/>
  <c r="E5700" i="1"/>
  <c r="F5700" i="1"/>
  <c r="B5701" i="1"/>
  <c r="A5701" i="1"/>
  <c r="E5701" i="1"/>
  <c r="F5701" i="1"/>
  <c r="B5702" i="1"/>
  <c r="A5702" i="1"/>
  <c r="E5702" i="1"/>
  <c r="F5702" i="1"/>
  <c r="B5703" i="1"/>
  <c r="A5703" i="1"/>
  <c r="E5703" i="1"/>
  <c r="F5703" i="1"/>
  <c r="B5704" i="1"/>
  <c r="A5704" i="1"/>
  <c r="E5704" i="1"/>
  <c r="F5704" i="1"/>
  <c r="B5705" i="1"/>
  <c r="A5705" i="1"/>
  <c r="E5705" i="1"/>
  <c r="F5705" i="1"/>
  <c r="B5706" i="1"/>
  <c r="A5706" i="1"/>
  <c r="E5706" i="1"/>
  <c r="F5706" i="1"/>
  <c r="B5707" i="1"/>
  <c r="A5707" i="1"/>
  <c r="E5707" i="1"/>
  <c r="F5707" i="1"/>
  <c r="B5708" i="1"/>
  <c r="A5708" i="1"/>
  <c r="E5708" i="1"/>
  <c r="F5708" i="1"/>
  <c r="B5709" i="1"/>
  <c r="A5709" i="1"/>
  <c r="E5709" i="1"/>
  <c r="F5709" i="1"/>
  <c r="B5710" i="1"/>
  <c r="A5710" i="1"/>
  <c r="E5710" i="1"/>
  <c r="F5710" i="1"/>
  <c r="B5711" i="1"/>
  <c r="A5711" i="1"/>
  <c r="E5711" i="1"/>
  <c r="F5711" i="1"/>
  <c r="B5712" i="1"/>
  <c r="A5712" i="1"/>
  <c r="E5712" i="1"/>
  <c r="F5712" i="1"/>
  <c r="B5713" i="1"/>
  <c r="A5713" i="1"/>
  <c r="E5713" i="1"/>
  <c r="F5713" i="1"/>
  <c r="B5714" i="1"/>
  <c r="A5714" i="1"/>
  <c r="E5714" i="1"/>
  <c r="F5714" i="1"/>
  <c r="B5715" i="1"/>
  <c r="A5715" i="1"/>
  <c r="E5715" i="1"/>
  <c r="F5715" i="1"/>
  <c r="B5716" i="1"/>
  <c r="A5716" i="1"/>
  <c r="E5716" i="1"/>
  <c r="F5716" i="1"/>
  <c r="B5717" i="1"/>
  <c r="A5717" i="1"/>
  <c r="E5717" i="1"/>
  <c r="F5717" i="1"/>
  <c r="B5718" i="1"/>
  <c r="A5718" i="1"/>
  <c r="E5718" i="1"/>
  <c r="F5718" i="1"/>
  <c r="B5719" i="1"/>
  <c r="A5719" i="1"/>
  <c r="E5719" i="1"/>
  <c r="F5719" i="1"/>
  <c r="B5720" i="1"/>
  <c r="A5720" i="1"/>
  <c r="E5720" i="1"/>
  <c r="F5720" i="1"/>
  <c r="B5721" i="1"/>
  <c r="A5721" i="1"/>
  <c r="E5721" i="1"/>
  <c r="F5721" i="1"/>
  <c r="B5722" i="1"/>
  <c r="A5722" i="1"/>
  <c r="E5722" i="1"/>
  <c r="F5722" i="1"/>
  <c r="B5723" i="1"/>
  <c r="A5723" i="1"/>
  <c r="E5723" i="1"/>
  <c r="F5723" i="1"/>
  <c r="B5724" i="1"/>
  <c r="A5724" i="1"/>
  <c r="E5724" i="1"/>
  <c r="F5724" i="1"/>
  <c r="B5725" i="1"/>
  <c r="A5725" i="1"/>
  <c r="E5725" i="1"/>
  <c r="F5725" i="1"/>
  <c r="B5726" i="1"/>
  <c r="A5726" i="1"/>
  <c r="E5726" i="1"/>
  <c r="F5726" i="1"/>
  <c r="B5727" i="1"/>
  <c r="A5727" i="1"/>
  <c r="E5727" i="1"/>
  <c r="F5727" i="1"/>
  <c r="B5728" i="1"/>
  <c r="A5728" i="1"/>
  <c r="E5728" i="1"/>
  <c r="F5728" i="1"/>
  <c r="B5729" i="1"/>
  <c r="A5729" i="1"/>
  <c r="E5729" i="1"/>
  <c r="F5729" i="1"/>
  <c r="B5730" i="1"/>
  <c r="A5730" i="1"/>
  <c r="E5730" i="1"/>
  <c r="F5730" i="1"/>
  <c r="B5731" i="1"/>
  <c r="A5731" i="1"/>
  <c r="E5731" i="1"/>
  <c r="F5731" i="1"/>
  <c r="B5732" i="1"/>
  <c r="A5732" i="1"/>
  <c r="E5732" i="1"/>
  <c r="F5732" i="1"/>
  <c r="B5733" i="1"/>
  <c r="A5733" i="1"/>
  <c r="E5733" i="1"/>
  <c r="F5733" i="1"/>
  <c r="B5734" i="1"/>
  <c r="A5734" i="1"/>
  <c r="E5734" i="1"/>
  <c r="F5734" i="1"/>
  <c r="B5735" i="1"/>
  <c r="A5735" i="1"/>
  <c r="E5735" i="1"/>
  <c r="F5735" i="1"/>
  <c r="B5736" i="1"/>
  <c r="A5736" i="1"/>
  <c r="E5736" i="1"/>
  <c r="F5736" i="1"/>
  <c r="B5737" i="1"/>
  <c r="A5737" i="1"/>
  <c r="E5737" i="1"/>
  <c r="F5737" i="1"/>
  <c r="B5738" i="1"/>
  <c r="A5738" i="1"/>
  <c r="E5738" i="1"/>
  <c r="F5738" i="1"/>
  <c r="B5739" i="1"/>
  <c r="A5739" i="1"/>
  <c r="E5739" i="1"/>
  <c r="F5739" i="1"/>
  <c r="B5740" i="1"/>
  <c r="A5740" i="1"/>
  <c r="E5740" i="1"/>
  <c r="F5740" i="1"/>
  <c r="B5741" i="1"/>
  <c r="A5741" i="1"/>
  <c r="E5741" i="1"/>
  <c r="F5741" i="1"/>
  <c r="B5742" i="1"/>
  <c r="A5742" i="1"/>
  <c r="E5742" i="1"/>
  <c r="F5742" i="1"/>
  <c r="B5743" i="1"/>
  <c r="A5743" i="1"/>
  <c r="E5743" i="1"/>
  <c r="F5743" i="1"/>
  <c r="B5744" i="1"/>
  <c r="A5744" i="1"/>
  <c r="E5744" i="1"/>
  <c r="F5744" i="1"/>
  <c r="B5745" i="1"/>
  <c r="A5745" i="1"/>
  <c r="E5745" i="1"/>
  <c r="F5745" i="1"/>
  <c r="B5746" i="1"/>
  <c r="A5746" i="1"/>
  <c r="E5746" i="1"/>
  <c r="F5746" i="1"/>
  <c r="B5747" i="1"/>
  <c r="A5747" i="1"/>
  <c r="E5747" i="1"/>
  <c r="F5747" i="1"/>
  <c r="B5748" i="1"/>
  <c r="A5748" i="1"/>
  <c r="E5748" i="1"/>
  <c r="F5748" i="1"/>
  <c r="B5749" i="1"/>
  <c r="A5749" i="1"/>
  <c r="E5749" i="1"/>
  <c r="F5749" i="1"/>
  <c r="B5750" i="1"/>
  <c r="A5750" i="1"/>
  <c r="E5750" i="1"/>
  <c r="F5750" i="1"/>
  <c r="B5751" i="1"/>
  <c r="A5751" i="1"/>
  <c r="E5751" i="1"/>
  <c r="F5751" i="1"/>
  <c r="B5752" i="1"/>
  <c r="A5752" i="1"/>
  <c r="E5752" i="1"/>
  <c r="F5752" i="1"/>
  <c r="B5753" i="1"/>
  <c r="A5753" i="1"/>
  <c r="E5753" i="1"/>
  <c r="F5753" i="1"/>
  <c r="B5754" i="1"/>
  <c r="A5754" i="1"/>
  <c r="E5754" i="1"/>
  <c r="F5754" i="1"/>
  <c r="B5755" i="1"/>
  <c r="A5755" i="1"/>
  <c r="E5755" i="1"/>
  <c r="F5755" i="1"/>
  <c r="B5756" i="1"/>
  <c r="A5756" i="1"/>
  <c r="E5756" i="1"/>
  <c r="F5756" i="1"/>
  <c r="B5757" i="1"/>
  <c r="A5757" i="1"/>
  <c r="E5757" i="1"/>
  <c r="F5757" i="1"/>
  <c r="B5758" i="1"/>
  <c r="A5758" i="1"/>
  <c r="E5758" i="1"/>
  <c r="F5758" i="1"/>
  <c r="B5759" i="1"/>
  <c r="A5759" i="1"/>
  <c r="E5759" i="1"/>
  <c r="F5759" i="1"/>
  <c r="B5760" i="1"/>
  <c r="A5760" i="1"/>
  <c r="E5760" i="1"/>
  <c r="F5760" i="1"/>
  <c r="B5761" i="1"/>
  <c r="A5761" i="1"/>
  <c r="E5761" i="1"/>
  <c r="F5761" i="1"/>
  <c r="B5762" i="1"/>
  <c r="A5762" i="1"/>
  <c r="E5762" i="1"/>
  <c r="F5762" i="1"/>
  <c r="B5763" i="1"/>
  <c r="A5763" i="1"/>
  <c r="E5763" i="1"/>
  <c r="F5763" i="1"/>
  <c r="B5764" i="1"/>
  <c r="A5764" i="1"/>
  <c r="E5764" i="1"/>
  <c r="F5764" i="1"/>
  <c r="B5765" i="1"/>
  <c r="A5765" i="1"/>
  <c r="E5765" i="1"/>
  <c r="F5765" i="1"/>
  <c r="B5766" i="1"/>
  <c r="A5766" i="1"/>
  <c r="E5766" i="1"/>
  <c r="F5766" i="1"/>
  <c r="B5767" i="1"/>
  <c r="A5767" i="1"/>
  <c r="E5767" i="1"/>
  <c r="F5767" i="1"/>
  <c r="B5768" i="1"/>
  <c r="A5768" i="1"/>
  <c r="E5768" i="1"/>
  <c r="F5768" i="1"/>
  <c r="B5769" i="1"/>
  <c r="A5769" i="1"/>
  <c r="E5769" i="1"/>
  <c r="F5769" i="1"/>
  <c r="B5770" i="1"/>
  <c r="A5770" i="1"/>
  <c r="E5770" i="1"/>
  <c r="F5770" i="1"/>
  <c r="B5771" i="1"/>
  <c r="A5771" i="1"/>
  <c r="E5771" i="1"/>
  <c r="F5771" i="1"/>
  <c r="B5772" i="1"/>
  <c r="A5772" i="1"/>
  <c r="E5772" i="1"/>
  <c r="F5772" i="1"/>
  <c r="B5773" i="1"/>
  <c r="A5773" i="1"/>
  <c r="E5773" i="1"/>
  <c r="F5773" i="1"/>
  <c r="B5774" i="1"/>
  <c r="A5774" i="1"/>
  <c r="E5774" i="1"/>
  <c r="F5774" i="1"/>
  <c r="B5775" i="1"/>
  <c r="A5775" i="1"/>
  <c r="E5775" i="1"/>
  <c r="F5775" i="1"/>
  <c r="B5776" i="1"/>
  <c r="A5776" i="1"/>
  <c r="E5776" i="1"/>
  <c r="F5776" i="1"/>
  <c r="B5777" i="1"/>
  <c r="A5777" i="1"/>
  <c r="E5777" i="1"/>
  <c r="F5777" i="1"/>
  <c r="B5778" i="1"/>
  <c r="A5778" i="1"/>
  <c r="E5778" i="1"/>
  <c r="F5778" i="1"/>
  <c r="B5779" i="1"/>
  <c r="A5779" i="1"/>
  <c r="E5779" i="1"/>
  <c r="F5779" i="1"/>
  <c r="B5780" i="1"/>
  <c r="A5780" i="1"/>
  <c r="E5780" i="1"/>
  <c r="F5780" i="1"/>
  <c r="B5781" i="1"/>
  <c r="A5781" i="1"/>
  <c r="E5781" i="1"/>
  <c r="F5781" i="1"/>
  <c r="B5782" i="1"/>
  <c r="A5782" i="1"/>
  <c r="E5782" i="1"/>
  <c r="F5782" i="1"/>
  <c r="B5783" i="1"/>
  <c r="A5783" i="1"/>
  <c r="E5783" i="1"/>
  <c r="F5783" i="1"/>
  <c r="B5784" i="1"/>
  <c r="A5784" i="1"/>
  <c r="E5784" i="1"/>
  <c r="F5784" i="1"/>
  <c r="B5785" i="1"/>
  <c r="A5785" i="1"/>
  <c r="E5785" i="1"/>
  <c r="F5785" i="1"/>
  <c r="B5786" i="1"/>
  <c r="A5786" i="1"/>
  <c r="E5786" i="1"/>
  <c r="F5786" i="1"/>
  <c r="B5787" i="1"/>
  <c r="A5787" i="1"/>
  <c r="E5787" i="1"/>
  <c r="F5787" i="1"/>
  <c r="B5788" i="1"/>
  <c r="A5788" i="1"/>
  <c r="E5788" i="1"/>
  <c r="F5788" i="1"/>
  <c r="B5789" i="1"/>
  <c r="A5789" i="1"/>
  <c r="E5789" i="1"/>
  <c r="F5789" i="1"/>
  <c r="B5790" i="1"/>
  <c r="A5790" i="1"/>
  <c r="E5790" i="1"/>
  <c r="F5790" i="1"/>
  <c r="B5791" i="1"/>
  <c r="A5791" i="1"/>
  <c r="E5791" i="1"/>
  <c r="F5791" i="1"/>
  <c r="B5792" i="1"/>
  <c r="A5792" i="1"/>
  <c r="E5792" i="1"/>
  <c r="F5792" i="1"/>
  <c r="B5793" i="1"/>
  <c r="A5793" i="1"/>
  <c r="E5793" i="1"/>
  <c r="F5793" i="1"/>
  <c r="B5794" i="1"/>
  <c r="A5794" i="1"/>
  <c r="E5794" i="1"/>
  <c r="F5794" i="1"/>
  <c r="B5795" i="1"/>
  <c r="A5795" i="1"/>
  <c r="E5795" i="1"/>
  <c r="F5795" i="1"/>
  <c r="B5796" i="1"/>
  <c r="A5796" i="1"/>
  <c r="E5796" i="1"/>
  <c r="F5796" i="1"/>
  <c r="B5797" i="1"/>
  <c r="A5797" i="1"/>
  <c r="E5797" i="1"/>
  <c r="F5797" i="1"/>
  <c r="B5798" i="1"/>
  <c r="A5798" i="1"/>
  <c r="E5798" i="1"/>
  <c r="F5798" i="1"/>
  <c r="B5799" i="1"/>
  <c r="A5799" i="1"/>
  <c r="E5799" i="1"/>
  <c r="F5799" i="1"/>
  <c r="B5800" i="1"/>
  <c r="A5800" i="1"/>
  <c r="E5800" i="1"/>
  <c r="F5800" i="1"/>
  <c r="B5801" i="1"/>
  <c r="A5801" i="1"/>
  <c r="E5801" i="1"/>
  <c r="F5801" i="1"/>
  <c r="B5802" i="1"/>
  <c r="A5802" i="1"/>
  <c r="E5802" i="1"/>
  <c r="F5802" i="1"/>
  <c r="B5803" i="1"/>
  <c r="A5803" i="1"/>
  <c r="E5803" i="1"/>
  <c r="F5803" i="1"/>
  <c r="B5804" i="1"/>
  <c r="A5804" i="1"/>
  <c r="E5804" i="1"/>
  <c r="F5804" i="1"/>
  <c r="B5805" i="1"/>
  <c r="A5805" i="1"/>
  <c r="E5805" i="1"/>
  <c r="F5805" i="1"/>
  <c r="B5806" i="1"/>
  <c r="A5806" i="1"/>
  <c r="E5806" i="1"/>
  <c r="F5806" i="1"/>
  <c r="B5807" i="1"/>
  <c r="A5807" i="1"/>
  <c r="E5807" i="1"/>
  <c r="F5807" i="1"/>
  <c r="B5808" i="1"/>
  <c r="A5808" i="1"/>
  <c r="E5808" i="1"/>
  <c r="F5808" i="1"/>
  <c r="B5809" i="1"/>
  <c r="A5809" i="1"/>
  <c r="E5809" i="1"/>
  <c r="F5809" i="1"/>
  <c r="B5810" i="1"/>
  <c r="A5810" i="1"/>
  <c r="E5810" i="1"/>
  <c r="F5810" i="1"/>
  <c r="B5811" i="1"/>
  <c r="A5811" i="1"/>
  <c r="E5811" i="1"/>
  <c r="F5811" i="1"/>
  <c r="B5812" i="1"/>
  <c r="A5812" i="1"/>
  <c r="E5812" i="1"/>
  <c r="F5812" i="1"/>
  <c r="B5813" i="1"/>
  <c r="A5813" i="1"/>
  <c r="E5813" i="1"/>
  <c r="F5813" i="1"/>
  <c r="B5814" i="1"/>
  <c r="A5814" i="1"/>
  <c r="E5814" i="1"/>
  <c r="F5814" i="1"/>
  <c r="B5815" i="1"/>
  <c r="A5815" i="1"/>
  <c r="E5815" i="1"/>
  <c r="F5815" i="1"/>
  <c r="B5816" i="1"/>
  <c r="A5816" i="1"/>
  <c r="E5816" i="1"/>
  <c r="F5816" i="1"/>
  <c r="B5817" i="1"/>
  <c r="A5817" i="1"/>
  <c r="E5817" i="1"/>
  <c r="F5817" i="1"/>
  <c r="B5818" i="1"/>
  <c r="A5818" i="1"/>
  <c r="E5818" i="1"/>
  <c r="F5818" i="1"/>
  <c r="B5819" i="1"/>
  <c r="A5819" i="1"/>
  <c r="E5819" i="1"/>
  <c r="F5819" i="1"/>
  <c r="B5820" i="1"/>
  <c r="A5820" i="1"/>
  <c r="E5820" i="1"/>
  <c r="F5820" i="1"/>
  <c r="B5821" i="1"/>
  <c r="A5821" i="1"/>
  <c r="E5821" i="1"/>
  <c r="F5821" i="1"/>
  <c r="B5822" i="1"/>
  <c r="A5822" i="1"/>
  <c r="E5822" i="1"/>
  <c r="F5822" i="1"/>
  <c r="B5823" i="1"/>
  <c r="A5823" i="1"/>
  <c r="E5823" i="1"/>
  <c r="F5823" i="1"/>
  <c r="B5824" i="1"/>
  <c r="A5824" i="1"/>
  <c r="E5824" i="1"/>
  <c r="F5824" i="1"/>
  <c r="B5825" i="1"/>
  <c r="A5825" i="1"/>
  <c r="E5825" i="1"/>
  <c r="F5825" i="1"/>
  <c r="B5826" i="1"/>
  <c r="A5826" i="1"/>
  <c r="E5826" i="1"/>
  <c r="F5826" i="1"/>
  <c r="B5827" i="1"/>
  <c r="A5827" i="1"/>
  <c r="E5827" i="1"/>
  <c r="F5827" i="1"/>
  <c r="B5828" i="1"/>
  <c r="A5828" i="1"/>
  <c r="E5828" i="1"/>
  <c r="F5828" i="1"/>
  <c r="B5829" i="1"/>
  <c r="A5829" i="1"/>
  <c r="E5829" i="1"/>
  <c r="F5829" i="1"/>
  <c r="B5830" i="1"/>
  <c r="A5830" i="1"/>
  <c r="E5830" i="1"/>
  <c r="F5830" i="1"/>
  <c r="B5831" i="1"/>
  <c r="A5831" i="1"/>
  <c r="E5831" i="1"/>
  <c r="F5831" i="1"/>
  <c r="B5832" i="1"/>
  <c r="A5832" i="1"/>
  <c r="E5832" i="1"/>
  <c r="F5832" i="1"/>
  <c r="B5833" i="1"/>
  <c r="A5833" i="1"/>
  <c r="E5833" i="1"/>
  <c r="F5833" i="1"/>
  <c r="B5834" i="1"/>
  <c r="A5834" i="1"/>
  <c r="E5834" i="1"/>
  <c r="F5834" i="1"/>
  <c r="B5835" i="1"/>
  <c r="A5835" i="1"/>
  <c r="E5835" i="1"/>
  <c r="F5835" i="1"/>
  <c r="B5836" i="1"/>
  <c r="A5836" i="1"/>
  <c r="E5836" i="1"/>
  <c r="F5836" i="1"/>
  <c r="B5837" i="1"/>
  <c r="A5837" i="1"/>
  <c r="E5837" i="1"/>
  <c r="F5837" i="1"/>
  <c r="B5838" i="1"/>
  <c r="A5838" i="1"/>
  <c r="E5838" i="1"/>
  <c r="F5838" i="1"/>
  <c r="B5839" i="1"/>
  <c r="A5839" i="1"/>
  <c r="E5839" i="1"/>
  <c r="F5839" i="1"/>
  <c r="B5840" i="1"/>
  <c r="A5840" i="1"/>
  <c r="E5840" i="1"/>
  <c r="F5840" i="1"/>
  <c r="B5841" i="1"/>
  <c r="A5841" i="1"/>
  <c r="E5841" i="1"/>
  <c r="F5841" i="1"/>
  <c r="B5842" i="1"/>
  <c r="A5842" i="1"/>
  <c r="E5842" i="1"/>
  <c r="F5842" i="1"/>
  <c r="B5843" i="1"/>
  <c r="A5843" i="1"/>
  <c r="E5843" i="1"/>
  <c r="F5843" i="1"/>
  <c r="B5844" i="1"/>
  <c r="A5844" i="1"/>
  <c r="E5844" i="1"/>
  <c r="F5844" i="1"/>
  <c r="B5845" i="1"/>
  <c r="A5845" i="1"/>
  <c r="E5845" i="1"/>
  <c r="F5845" i="1"/>
  <c r="B5846" i="1"/>
  <c r="A5846" i="1"/>
  <c r="E5846" i="1"/>
  <c r="F5846" i="1"/>
  <c r="B5847" i="1"/>
  <c r="A5847" i="1"/>
  <c r="E5847" i="1"/>
  <c r="F5847" i="1"/>
  <c r="B5848" i="1"/>
  <c r="A5848" i="1"/>
  <c r="E5848" i="1"/>
  <c r="F5848" i="1"/>
  <c r="B5849" i="1"/>
  <c r="A5849" i="1"/>
  <c r="E5849" i="1"/>
  <c r="F5849" i="1"/>
  <c r="B5850" i="1"/>
  <c r="A5850" i="1"/>
  <c r="E5850" i="1"/>
  <c r="F5850" i="1"/>
  <c r="B5851" i="1"/>
  <c r="A5851" i="1"/>
  <c r="E5851" i="1"/>
  <c r="F5851" i="1"/>
  <c r="B5852" i="1"/>
  <c r="A5852" i="1"/>
  <c r="E5852" i="1"/>
  <c r="F5852" i="1"/>
  <c r="B5853" i="1"/>
  <c r="A5853" i="1"/>
  <c r="E5853" i="1"/>
  <c r="F5853" i="1"/>
  <c r="B5854" i="1"/>
  <c r="A5854" i="1"/>
  <c r="E5854" i="1"/>
  <c r="F5854" i="1"/>
  <c r="B5855" i="1"/>
  <c r="A5855" i="1"/>
  <c r="E5855" i="1"/>
  <c r="F5855" i="1"/>
  <c r="B5856" i="1"/>
  <c r="A5856" i="1"/>
  <c r="E5856" i="1"/>
  <c r="F5856" i="1"/>
  <c r="B5857" i="1"/>
  <c r="A5857" i="1"/>
  <c r="E5857" i="1"/>
  <c r="F5857" i="1"/>
  <c r="B5858" i="1"/>
  <c r="A5858" i="1"/>
  <c r="E5858" i="1"/>
  <c r="F5858" i="1"/>
  <c r="B5859" i="1"/>
  <c r="A5859" i="1"/>
  <c r="E5859" i="1"/>
  <c r="F5859" i="1"/>
  <c r="B5860" i="1"/>
  <c r="A5860" i="1"/>
  <c r="E5860" i="1"/>
  <c r="F5860" i="1"/>
  <c r="B5861" i="1"/>
  <c r="A5861" i="1"/>
  <c r="E5861" i="1"/>
  <c r="F5861" i="1"/>
  <c r="B5862" i="1"/>
  <c r="A5862" i="1"/>
  <c r="E5862" i="1"/>
  <c r="F5862" i="1"/>
  <c r="B5863" i="1"/>
  <c r="A5863" i="1"/>
  <c r="E5863" i="1"/>
  <c r="F5863" i="1"/>
  <c r="B5864" i="1"/>
  <c r="A5864" i="1"/>
  <c r="E5864" i="1"/>
  <c r="F5864" i="1"/>
  <c r="B5865" i="1"/>
  <c r="A5865" i="1"/>
  <c r="E5865" i="1"/>
  <c r="F5865" i="1"/>
  <c r="B5866" i="1"/>
  <c r="A5866" i="1"/>
  <c r="E5866" i="1"/>
  <c r="F5866" i="1"/>
  <c r="B5867" i="1"/>
  <c r="A5867" i="1"/>
  <c r="E5867" i="1"/>
  <c r="F5867" i="1"/>
  <c r="B5868" i="1"/>
  <c r="A5868" i="1"/>
  <c r="E5868" i="1"/>
  <c r="F5868" i="1"/>
  <c r="B5869" i="1"/>
  <c r="A5869" i="1"/>
  <c r="E5869" i="1"/>
  <c r="F5869" i="1"/>
  <c r="B5870" i="1"/>
  <c r="A5870" i="1"/>
  <c r="E5870" i="1"/>
  <c r="F5870" i="1"/>
  <c r="B5871" i="1"/>
  <c r="A5871" i="1"/>
  <c r="E5871" i="1"/>
  <c r="F5871" i="1"/>
  <c r="B5872" i="1"/>
  <c r="A5872" i="1"/>
  <c r="E5872" i="1"/>
  <c r="F5872" i="1"/>
  <c r="B5873" i="1"/>
  <c r="A5873" i="1"/>
  <c r="E5873" i="1"/>
  <c r="F5873" i="1"/>
  <c r="B5874" i="1"/>
  <c r="A5874" i="1"/>
  <c r="E5874" i="1"/>
  <c r="F5874" i="1"/>
  <c r="B5875" i="1"/>
  <c r="A5875" i="1"/>
  <c r="E5875" i="1"/>
  <c r="F5875" i="1"/>
  <c r="B5876" i="1"/>
  <c r="A5876" i="1"/>
  <c r="E5876" i="1"/>
  <c r="F5876" i="1"/>
  <c r="B5877" i="1"/>
  <c r="A5877" i="1"/>
  <c r="E5877" i="1"/>
  <c r="F5877" i="1"/>
  <c r="B5878" i="1"/>
  <c r="A5878" i="1"/>
  <c r="E5878" i="1"/>
  <c r="F5878" i="1"/>
  <c r="B5879" i="1"/>
  <c r="A5879" i="1"/>
  <c r="E5879" i="1"/>
  <c r="F5879" i="1"/>
  <c r="B5880" i="1"/>
  <c r="A5880" i="1"/>
  <c r="E5880" i="1"/>
  <c r="F5880" i="1"/>
  <c r="B5881" i="1"/>
  <c r="A5881" i="1"/>
  <c r="E5881" i="1"/>
  <c r="F5881" i="1"/>
  <c r="B5882" i="1"/>
  <c r="A5882" i="1"/>
  <c r="E5882" i="1"/>
  <c r="F5882" i="1"/>
  <c r="B5883" i="1"/>
  <c r="A5883" i="1"/>
  <c r="E5883" i="1"/>
  <c r="F5883" i="1"/>
  <c r="B5884" i="1"/>
  <c r="A5884" i="1"/>
  <c r="E5884" i="1"/>
  <c r="F5884" i="1"/>
  <c r="B5885" i="1"/>
  <c r="A5885" i="1"/>
  <c r="E5885" i="1"/>
  <c r="F5885" i="1"/>
  <c r="B5886" i="1"/>
  <c r="A5886" i="1"/>
  <c r="E5886" i="1"/>
  <c r="F5886" i="1"/>
  <c r="B5887" i="1"/>
  <c r="A5887" i="1"/>
  <c r="E5887" i="1"/>
  <c r="F5887" i="1"/>
  <c r="B5888" i="1"/>
  <c r="A5888" i="1"/>
  <c r="E5888" i="1"/>
  <c r="F5888" i="1"/>
  <c r="B5889" i="1"/>
  <c r="A5889" i="1"/>
  <c r="E5889" i="1"/>
  <c r="F5889" i="1"/>
  <c r="B5890" i="1"/>
  <c r="A5890" i="1"/>
  <c r="E5890" i="1"/>
  <c r="F5890" i="1"/>
  <c r="B5891" i="1"/>
  <c r="A5891" i="1"/>
  <c r="E5891" i="1"/>
  <c r="F5891" i="1"/>
  <c r="B5892" i="1"/>
  <c r="A5892" i="1"/>
  <c r="E5892" i="1"/>
  <c r="F5892" i="1"/>
  <c r="B5893" i="1"/>
  <c r="A5893" i="1"/>
  <c r="E5893" i="1"/>
  <c r="F5893" i="1"/>
  <c r="B5894" i="1"/>
  <c r="A5894" i="1"/>
  <c r="E5894" i="1"/>
  <c r="F5894" i="1"/>
  <c r="B5895" i="1"/>
  <c r="A5895" i="1"/>
  <c r="E5895" i="1"/>
  <c r="F5895" i="1"/>
  <c r="B5896" i="1"/>
  <c r="A5896" i="1"/>
  <c r="E5896" i="1"/>
  <c r="F5896" i="1"/>
  <c r="B5897" i="1"/>
  <c r="A5897" i="1"/>
  <c r="E5897" i="1"/>
  <c r="F5897" i="1"/>
  <c r="B5898" i="1"/>
  <c r="A5898" i="1"/>
  <c r="E5898" i="1"/>
  <c r="F5898" i="1"/>
  <c r="B5899" i="1"/>
  <c r="A5899" i="1"/>
  <c r="E5899" i="1"/>
  <c r="F5899" i="1"/>
  <c r="B5900" i="1"/>
  <c r="A5900" i="1"/>
  <c r="E5900" i="1"/>
  <c r="F5900" i="1"/>
  <c r="B5901" i="1"/>
  <c r="A5901" i="1"/>
  <c r="E5901" i="1"/>
  <c r="F5901" i="1"/>
  <c r="B5902" i="1"/>
  <c r="A5902" i="1"/>
  <c r="E5902" i="1"/>
  <c r="F5902" i="1"/>
  <c r="B5903" i="1"/>
  <c r="A5903" i="1"/>
  <c r="E5903" i="1"/>
  <c r="F5903" i="1"/>
  <c r="B5904" i="1"/>
  <c r="A5904" i="1"/>
  <c r="E5904" i="1"/>
  <c r="F5904" i="1"/>
  <c r="B5905" i="1"/>
  <c r="A5905" i="1"/>
  <c r="E5905" i="1"/>
  <c r="F5905" i="1"/>
  <c r="B5906" i="1"/>
  <c r="A5906" i="1"/>
  <c r="E5906" i="1"/>
  <c r="F5906" i="1"/>
  <c r="B5907" i="1"/>
  <c r="A5907" i="1"/>
  <c r="E5907" i="1"/>
  <c r="F5907" i="1"/>
  <c r="B5908" i="1"/>
  <c r="A5908" i="1"/>
  <c r="E5908" i="1"/>
  <c r="F5908" i="1"/>
  <c r="B5909" i="1"/>
  <c r="A5909" i="1"/>
  <c r="E5909" i="1"/>
  <c r="F5909" i="1"/>
  <c r="B5910" i="1"/>
  <c r="A5910" i="1"/>
  <c r="E5910" i="1"/>
  <c r="F5910" i="1"/>
  <c r="B5911" i="1"/>
  <c r="A5911" i="1"/>
  <c r="E5911" i="1"/>
  <c r="F5911" i="1"/>
  <c r="B5912" i="1"/>
  <c r="A5912" i="1"/>
  <c r="E5912" i="1"/>
  <c r="F5912" i="1"/>
  <c r="B5913" i="1"/>
  <c r="A5913" i="1"/>
  <c r="E5913" i="1"/>
  <c r="F5913" i="1"/>
  <c r="B5914" i="1"/>
  <c r="A5914" i="1"/>
  <c r="E5914" i="1"/>
  <c r="F5914" i="1"/>
  <c r="B5915" i="1"/>
  <c r="A5915" i="1"/>
  <c r="E5915" i="1"/>
  <c r="F5915" i="1"/>
  <c r="B5916" i="1"/>
  <c r="A5916" i="1"/>
  <c r="E5916" i="1"/>
  <c r="F5916" i="1"/>
  <c r="B5917" i="1"/>
  <c r="A5917" i="1"/>
  <c r="E5917" i="1"/>
  <c r="F5917" i="1"/>
  <c r="B5918" i="1"/>
  <c r="A5918" i="1"/>
  <c r="E5918" i="1"/>
  <c r="F5918" i="1"/>
  <c r="B5919" i="1"/>
  <c r="A5919" i="1"/>
  <c r="E5919" i="1"/>
  <c r="F5919" i="1"/>
  <c r="B5920" i="1"/>
  <c r="A5920" i="1"/>
  <c r="E5920" i="1"/>
  <c r="F5920" i="1"/>
  <c r="B5921" i="1"/>
  <c r="A5921" i="1"/>
  <c r="E5921" i="1"/>
  <c r="F5921" i="1"/>
  <c r="B5922" i="1"/>
  <c r="A5922" i="1"/>
  <c r="E5922" i="1"/>
  <c r="F5922" i="1"/>
  <c r="B5923" i="1"/>
  <c r="A5923" i="1"/>
  <c r="E5923" i="1"/>
  <c r="F5923" i="1"/>
  <c r="B5924" i="1"/>
  <c r="A5924" i="1"/>
  <c r="E5924" i="1"/>
  <c r="F5924" i="1"/>
  <c r="B5925" i="1"/>
  <c r="A5925" i="1"/>
  <c r="E5925" i="1"/>
  <c r="F5925" i="1"/>
  <c r="B5926" i="1"/>
  <c r="A5926" i="1"/>
  <c r="E5926" i="1"/>
  <c r="F5926" i="1"/>
  <c r="B5927" i="1"/>
  <c r="A5927" i="1"/>
  <c r="E5927" i="1"/>
  <c r="F5927" i="1"/>
  <c r="B5928" i="1"/>
  <c r="A5928" i="1"/>
  <c r="E5928" i="1"/>
  <c r="F5928" i="1"/>
  <c r="B5929" i="1"/>
  <c r="A5929" i="1"/>
  <c r="E5929" i="1"/>
  <c r="F5929" i="1"/>
  <c r="B5930" i="1"/>
  <c r="A5930" i="1"/>
  <c r="E5930" i="1"/>
  <c r="F5930" i="1"/>
  <c r="B5931" i="1"/>
  <c r="A5931" i="1"/>
  <c r="E5931" i="1"/>
  <c r="F5931" i="1"/>
  <c r="B5932" i="1"/>
  <c r="A5932" i="1"/>
  <c r="E5932" i="1"/>
  <c r="F5932" i="1"/>
  <c r="B5933" i="1"/>
  <c r="A5933" i="1"/>
  <c r="E5933" i="1"/>
  <c r="F5933" i="1"/>
  <c r="B5934" i="1"/>
  <c r="A5934" i="1"/>
  <c r="E5934" i="1"/>
  <c r="F5934" i="1"/>
  <c r="B5935" i="1"/>
  <c r="A5935" i="1"/>
  <c r="E5935" i="1"/>
  <c r="F5935" i="1"/>
  <c r="B5936" i="1"/>
  <c r="A5936" i="1"/>
  <c r="E5936" i="1"/>
  <c r="F5936" i="1"/>
  <c r="B5937" i="1"/>
  <c r="A5937" i="1"/>
  <c r="E5937" i="1"/>
  <c r="F5937" i="1"/>
  <c r="B5938" i="1"/>
  <c r="A5938" i="1"/>
  <c r="E5938" i="1"/>
  <c r="F5938" i="1"/>
  <c r="B5939" i="1"/>
  <c r="A5939" i="1"/>
  <c r="E5939" i="1"/>
  <c r="F5939" i="1"/>
  <c r="B5940" i="1"/>
  <c r="A5940" i="1"/>
  <c r="E5940" i="1"/>
  <c r="F5940" i="1"/>
  <c r="B5941" i="1"/>
  <c r="A5941" i="1"/>
  <c r="E5941" i="1"/>
  <c r="F5941" i="1"/>
  <c r="B5942" i="1"/>
  <c r="A5942" i="1"/>
  <c r="E5942" i="1"/>
  <c r="F5942" i="1"/>
  <c r="B5943" i="1"/>
  <c r="A5943" i="1"/>
  <c r="E5943" i="1"/>
  <c r="F5943" i="1"/>
  <c r="B5944" i="1"/>
  <c r="A5944" i="1"/>
  <c r="E5944" i="1"/>
  <c r="F5944" i="1"/>
  <c r="B5945" i="1"/>
  <c r="A5945" i="1"/>
  <c r="E5945" i="1"/>
  <c r="F5945" i="1"/>
  <c r="B5946" i="1"/>
  <c r="A5946" i="1"/>
  <c r="E5946" i="1"/>
  <c r="F5946" i="1"/>
  <c r="B5947" i="1"/>
  <c r="A5947" i="1"/>
  <c r="E5947" i="1"/>
  <c r="F5947" i="1"/>
  <c r="B5948" i="1"/>
  <c r="A5948" i="1"/>
  <c r="E5948" i="1"/>
  <c r="F5948" i="1"/>
  <c r="B5949" i="1"/>
  <c r="A5949" i="1"/>
  <c r="E5949" i="1"/>
  <c r="F5949" i="1"/>
  <c r="B5950" i="1"/>
  <c r="A5950" i="1"/>
  <c r="E5950" i="1"/>
  <c r="F5950" i="1"/>
  <c r="B5951" i="1"/>
  <c r="A5951" i="1"/>
  <c r="E5951" i="1"/>
  <c r="F5951" i="1"/>
  <c r="B5952" i="1"/>
  <c r="A5952" i="1"/>
  <c r="E5952" i="1"/>
  <c r="F5952" i="1"/>
  <c r="B5953" i="1"/>
  <c r="A5953" i="1"/>
  <c r="E5953" i="1"/>
  <c r="F5953" i="1"/>
  <c r="B5954" i="1"/>
  <c r="A5954" i="1"/>
  <c r="E5954" i="1"/>
  <c r="F5954" i="1"/>
  <c r="B5955" i="1"/>
  <c r="A5955" i="1"/>
  <c r="E5955" i="1"/>
  <c r="F5955" i="1"/>
  <c r="B5956" i="1"/>
  <c r="A5956" i="1"/>
  <c r="E5956" i="1"/>
  <c r="F5956" i="1"/>
  <c r="B5957" i="1"/>
  <c r="A5957" i="1"/>
  <c r="E5957" i="1"/>
  <c r="F5957" i="1"/>
  <c r="B5958" i="1"/>
  <c r="A5958" i="1"/>
  <c r="E5958" i="1"/>
  <c r="F5958" i="1"/>
  <c r="B5959" i="1"/>
  <c r="A5959" i="1"/>
  <c r="E5959" i="1"/>
  <c r="F5959" i="1"/>
  <c r="B5960" i="1"/>
  <c r="A5960" i="1"/>
  <c r="E5960" i="1"/>
  <c r="F5960" i="1"/>
  <c r="B5961" i="1"/>
  <c r="A5961" i="1"/>
  <c r="E5961" i="1"/>
  <c r="F5961" i="1"/>
  <c r="B5962" i="1"/>
  <c r="A5962" i="1"/>
  <c r="E5962" i="1"/>
  <c r="F5962" i="1"/>
  <c r="B5963" i="1"/>
  <c r="A5963" i="1"/>
  <c r="E5963" i="1"/>
  <c r="F5963" i="1"/>
  <c r="B5964" i="1"/>
  <c r="A5964" i="1"/>
  <c r="E5964" i="1"/>
  <c r="F5964" i="1"/>
  <c r="B5965" i="1"/>
  <c r="A5965" i="1"/>
  <c r="E5965" i="1"/>
  <c r="F5965" i="1"/>
  <c r="B5966" i="1"/>
  <c r="A5966" i="1"/>
  <c r="E5966" i="1"/>
  <c r="F5966" i="1"/>
  <c r="B5967" i="1"/>
  <c r="A5967" i="1"/>
  <c r="E5967" i="1"/>
  <c r="F5967" i="1"/>
  <c r="B5968" i="1"/>
  <c r="A5968" i="1"/>
  <c r="E5968" i="1"/>
  <c r="F5968" i="1"/>
  <c r="B5969" i="1"/>
  <c r="A5969" i="1"/>
  <c r="E5969" i="1"/>
  <c r="F5969" i="1"/>
  <c r="B5970" i="1"/>
  <c r="A5970" i="1"/>
  <c r="E5970" i="1"/>
  <c r="F5970" i="1"/>
  <c r="B5971" i="1"/>
  <c r="A5971" i="1"/>
  <c r="E5971" i="1"/>
  <c r="F5971" i="1"/>
  <c r="B5972" i="1"/>
  <c r="A5972" i="1"/>
  <c r="E5972" i="1"/>
  <c r="F5972" i="1"/>
  <c r="B5973" i="1"/>
  <c r="A5973" i="1"/>
  <c r="E5973" i="1"/>
  <c r="F5973" i="1"/>
  <c r="B5974" i="1"/>
  <c r="A5974" i="1"/>
  <c r="E5974" i="1"/>
  <c r="F5974" i="1"/>
  <c r="B5975" i="1"/>
  <c r="A5975" i="1"/>
  <c r="E5975" i="1"/>
  <c r="F5975" i="1"/>
  <c r="B5976" i="1"/>
  <c r="A5976" i="1"/>
  <c r="E5976" i="1"/>
  <c r="F5976" i="1"/>
  <c r="B5977" i="1"/>
  <c r="A5977" i="1"/>
  <c r="E5977" i="1"/>
  <c r="F5977" i="1"/>
  <c r="B5978" i="1"/>
  <c r="A5978" i="1"/>
  <c r="E5978" i="1"/>
  <c r="F5978" i="1"/>
  <c r="B5979" i="1"/>
  <c r="A5979" i="1"/>
  <c r="E5979" i="1"/>
  <c r="F5979" i="1"/>
  <c r="B5980" i="1"/>
  <c r="A5980" i="1"/>
  <c r="E5980" i="1"/>
  <c r="F5980" i="1"/>
  <c r="B5981" i="1"/>
  <c r="A5981" i="1"/>
  <c r="E5981" i="1"/>
  <c r="F5981" i="1"/>
  <c r="B5982" i="1"/>
  <c r="A5982" i="1"/>
  <c r="E5982" i="1"/>
  <c r="F5982" i="1"/>
  <c r="B5983" i="1"/>
  <c r="A5983" i="1"/>
  <c r="E5983" i="1"/>
  <c r="F5983" i="1"/>
  <c r="B5984" i="1"/>
  <c r="A5984" i="1"/>
  <c r="E5984" i="1"/>
  <c r="F5984" i="1"/>
  <c r="B5985" i="1"/>
  <c r="A5985" i="1"/>
  <c r="E5985" i="1"/>
  <c r="F5985" i="1"/>
  <c r="B5986" i="1"/>
  <c r="A5986" i="1"/>
  <c r="E5986" i="1"/>
  <c r="F5986" i="1"/>
  <c r="B5987" i="1"/>
  <c r="A5987" i="1"/>
  <c r="E5987" i="1"/>
  <c r="F5987" i="1"/>
  <c r="B5988" i="1"/>
  <c r="A5988" i="1"/>
  <c r="E5988" i="1"/>
  <c r="F5988" i="1"/>
  <c r="B5989" i="1"/>
  <c r="A5989" i="1"/>
  <c r="E5989" i="1"/>
  <c r="F5989" i="1"/>
  <c r="B5990" i="1"/>
  <c r="A5990" i="1"/>
  <c r="E5990" i="1"/>
  <c r="F5990" i="1"/>
  <c r="B5991" i="1"/>
  <c r="A5991" i="1"/>
  <c r="E5991" i="1"/>
  <c r="F5991" i="1"/>
  <c r="B5992" i="1"/>
  <c r="A5992" i="1"/>
  <c r="E5992" i="1"/>
  <c r="F5992" i="1"/>
  <c r="B5993" i="1"/>
  <c r="A5993" i="1"/>
  <c r="E5993" i="1"/>
  <c r="F5993" i="1"/>
  <c r="B5994" i="1"/>
  <c r="A5994" i="1"/>
  <c r="E5994" i="1"/>
  <c r="F5994" i="1"/>
  <c r="B5995" i="1"/>
  <c r="A5995" i="1"/>
  <c r="E5995" i="1"/>
  <c r="F5995" i="1"/>
  <c r="B5996" i="1"/>
  <c r="A5996" i="1"/>
  <c r="E5996" i="1"/>
  <c r="F5996" i="1"/>
  <c r="B5997" i="1"/>
  <c r="A5997" i="1"/>
  <c r="E5997" i="1"/>
  <c r="F5997" i="1"/>
  <c r="B5998" i="1"/>
  <c r="A5998" i="1"/>
  <c r="E5998" i="1"/>
  <c r="F5998" i="1"/>
  <c r="B5999" i="1"/>
  <c r="A5999" i="1"/>
  <c r="E5999" i="1"/>
  <c r="F5999" i="1"/>
  <c r="B6000" i="1"/>
  <c r="A6000" i="1"/>
  <c r="E6000" i="1"/>
  <c r="F6000" i="1"/>
  <c r="B6001" i="1"/>
  <c r="A6001" i="1"/>
  <c r="E6001" i="1"/>
  <c r="F6001" i="1"/>
  <c r="B6002" i="1"/>
  <c r="A6002" i="1"/>
  <c r="E6002" i="1"/>
  <c r="F6002" i="1"/>
  <c r="B6003" i="1"/>
  <c r="A6003" i="1"/>
  <c r="E6003" i="1"/>
  <c r="F6003" i="1"/>
  <c r="B6004" i="1"/>
  <c r="A6004" i="1"/>
  <c r="E6004" i="1"/>
  <c r="F6004" i="1"/>
  <c r="B6005" i="1"/>
  <c r="A6005" i="1"/>
  <c r="E6005" i="1"/>
  <c r="F6005" i="1"/>
  <c r="B6006" i="1"/>
  <c r="A6006" i="1"/>
  <c r="E6006" i="1"/>
  <c r="F6006" i="1"/>
  <c r="B6007" i="1"/>
  <c r="A6007" i="1"/>
  <c r="E6007" i="1"/>
  <c r="F6007" i="1"/>
  <c r="B6008" i="1"/>
  <c r="A6008" i="1"/>
  <c r="E6008" i="1"/>
  <c r="F6008" i="1"/>
  <c r="B6009" i="1"/>
  <c r="A6009" i="1"/>
  <c r="E6009" i="1"/>
  <c r="F6009" i="1"/>
  <c r="B6010" i="1"/>
  <c r="A6010" i="1"/>
  <c r="E6010" i="1"/>
  <c r="F6010" i="1"/>
  <c r="B6011" i="1"/>
  <c r="A6011" i="1"/>
  <c r="E6011" i="1"/>
  <c r="F6011" i="1"/>
  <c r="B6012" i="1"/>
  <c r="A6012" i="1"/>
  <c r="E6012" i="1"/>
  <c r="F6012" i="1"/>
  <c r="B6013" i="1"/>
  <c r="A6013" i="1"/>
  <c r="E6013" i="1"/>
  <c r="F6013" i="1"/>
  <c r="B6014" i="1"/>
  <c r="A6014" i="1"/>
  <c r="E6014" i="1"/>
  <c r="F6014" i="1"/>
  <c r="B6015" i="1"/>
  <c r="A6015" i="1"/>
  <c r="E6015" i="1"/>
  <c r="F6015" i="1"/>
  <c r="B6016" i="1"/>
  <c r="A6016" i="1"/>
  <c r="E6016" i="1"/>
  <c r="F6016" i="1"/>
  <c r="B6017" i="1"/>
  <c r="A6017" i="1"/>
  <c r="E6017" i="1"/>
  <c r="F6017" i="1"/>
  <c r="B6018" i="1"/>
  <c r="A6018" i="1"/>
  <c r="E6018" i="1"/>
  <c r="F6018" i="1"/>
  <c r="B6019" i="1"/>
  <c r="A6019" i="1"/>
  <c r="E6019" i="1"/>
  <c r="F6019" i="1"/>
  <c r="B6020" i="1"/>
  <c r="A6020" i="1"/>
  <c r="E6020" i="1"/>
  <c r="F6020" i="1"/>
  <c r="B6021" i="1"/>
  <c r="A6021" i="1"/>
  <c r="E6021" i="1"/>
  <c r="F6021" i="1"/>
  <c r="B6022" i="1"/>
  <c r="A6022" i="1"/>
  <c r="E6022" i="1"/>
  <c r="F6022" i="1"/>
  <c r="B6023" i="1"/>
  <c r="A6023" i="1"/>
  <c r="E6023" i="1"/>
  <c r="F6023" i="1"/>
  <c r="B6024" i="1"/>
  <c r="A6024" i="1"/>
  <c r="E6024" i="1"/>
  <c r="F6024" i="1"/>
  <c r="B6025" i="1"/>
  <c r="A6025" i="1"/>
  <c r="E6025" i="1"/>
  <c r="F6025" i="1"/>
  <c r="B6026" i="1"/>
  <c r="A6026" i="1"/>
  <c r="E6026" i="1"/>
  <c r="F6026" i="1"/>
  <c r="B6027" i="1"/>
  <c r="A6027" i="1"/>
  <c r="E6027" i="1"/>
  <c r="F6027" i="1"/>
  <c r="B6028" i="1"/>
  <c r="A6028" i="1"/>
  <c r="E6028" i="1"/>
  <c r="F6028" i="1"/>
  <c r="B6029" i="1"/>
  <c r="A6029" i="1"/>
  <c r="E6029" i="1"/>
  <c r="F6029" i="1"/>
  <c r="B6030" i="1"/>
  <c r="A6030" i="1"/>
  <c r="E6030" i="1"/>
  <c r="F6030" i="1"/>
  <c r="B6031" i="1"/>
  <c r="A6031" i="1"/>
  <c r="E6031" i="1"/>
  <c r="F6031" i="1"/>
  <c r="B6032" i="1"/>
  <c r="A6032" i="1"/>
  <c r="E6032" i="1"/>
  <c r="F6032" i="1"/>
  <c r="B6033" i="1"/>
  <c r="A6033" i="1"/>
  <c r="E6033" i="1"/>
  <c r="F6033" i="1"/>
  <c r="B6034" i="1"/>
  <c r="A6034" i="1"/>
  <c r="E6034" i="1"/>
  <c r="F6034" i="1"/>
  <c r="B6035" i="1"/>
  <c r="A6035" i="1"/>
  <c r="E6035" i="1"/>
  <c r="F6035" i="1"/>
  <c r="B6036" i="1"/>
  <c r="A6036" i="1"/>
  <c r="E6036" i="1"/>
  <c r="F6036" i="1"/>
  <c r="B6037" i="1"/>
  <c r="A6037" i="1"/>
  <c r="E6037" i="1"/>
  <c r="F6037" i="1"/>
  <c r="B6038" i="1"/>
  <c r="A6038" i="1"/>
  <c r="E6038" i="1"/>
  <c r="F6038" i="1"/>
  <c r="B6039" i="1"/>
  <c r="A6039" i="1"/>
  <c r="E6039" i="1"/>
  <c r="F6039" i="1"/>
  <c r="B6040" i="1"/>
  <c r="A6040" i="1"/>
  <c r="E6040" i="1"/>
  <c r="F6040" i="1"/>
  <c r="B6041" i="1"/>
  <c r="A6041" i="1"/>
  <c r="E6041" i="1"/>
  <c r="F6041" i="1"/>
  <c r="B6042" i="1"/>
  <c r="A6042" i="1"/>
  <c r="E6042" i="1"/>
  <c r="F6042" i="1"/>
  <c r="B6043" i="1"/>
  <c r="A6043" i="1"/>
  <c r="E6043" i="1"/>
  <c r="F6043" i="1"/>
  <c r="B6044" i="1"/>
  <c r="A6044" i="1"/>
  <c r="E6044" i="1"/>
  <c r="F6044" i="1"/>
  <c r="B6045" i="1"/>
  <c r="A6045" i="1"/>
  <c r="E6045" i="1"/>
  <c r="F6045" i="1"/>
  <c r="B6046" i="1"/>
  <c r="A6046" i="1"/>
  <c r="E6046" i="1"/>
  <c r="F6046" i="1"/>
  <c r="B6047" i="1"/>
  <c r="A6047" i="1"/>
  <c r="E6047" i="1"/>
  <c r="F6047" i="1"/>
  <c r="B6048" i="1"/>
  <c r="A6048" i="1"/>
  <c r="E6048" i="1"/>
  <c r="F6048" i="1"/>
  <c r="B6049" i="1"/>
  <c r="A6049" i="1"/>
  <c r="E6049" i="1"/>
  <c r="F6049" i="1"/>
  <c r="B6050" i="1"/>
  <c r="A6050" i="1"/>
  <c r="E6050" i="1"/>
  <c r="F6050" i="1"/>
  <c r="B6051" i="1"/>
  <c r="A6051" i="1"/>
  <c r="E6051" i="1"/>
  <c r="F6051" i="1"/>
  <c r="B6052" i="1"/>
  <c r="A6052" i="1"/>
  <c r="E6052" i="1"/>
  <c r="F6052" i="1"/>
  <c r="B6053" i="1"/>
  <c r="A6053" i="1"/>
  <c r="E6053" i="1"/>
  <c r="F6053" i="1"/>
  <c r="B6054" i="1"/>
  <c r="A6054" i="1"/>
  <c r="E6054" i="1"/>
  <c r="F6054" i="1"/>
  <c r="B6055" i="1"/>
  <c r="A6055" i="1"/>
  <c r="E6055" i="1"/>
  <c r="F6055" i="1"/>
  <c r="B6056" i="1"/>
  <c r="A6056" i="1"/>
  <c r="E6056" i="1"/>
  <c r="F6056" i="1"/>
  <c r="B6057" i="1"/>
  <c r="A6057" i="1"/>
  <c r="E6057" i="1"/>
  <c r="F6057" i="1"/>
  <c r="B6058" i="1"/>
  <c r="A6058" i="1"/>
  <c r="E6058" i="1"/>
  <c r="F6058" i="1"/>
  <c r="B6059" i="1"/>
  <c r="A6059" i="1"/>
  <c r="E6059" i="1"/>
  <c r="F6059" i="1"/>
  <c r="B6060" i="1"/>
  <c r="A6060" i="1"/>
  <c r="E6060" i="1"/>
  <c r="F6060" i="1"/>
  <c r="B6061" i="1"/>
  <c r="A6061" i="1"/>
  <c r="E6061" i="1"/>
  <c r="F6061" i="1"/>
  <c r="B6062" i="1"/>
  <c r="A6062" i="1"/>
  <c r="E6062" i="1"/>
  <c r="F6062" i="1"/>
  <c r="B6063" i="1"/>
  <c r="A6063" i="1"/>
  <c r="E6063" i="1"/>
  <c r="F6063" i="1"/>
  <c r="B6064" i="1"/>
  <c r="A6064" i="1"/>
  <c r="E6064" i="1"/>
  <c r="F6064" i="1"/>
  <c r="B6065" i="1"/>
  <c r="A6065" i="1"/>
  <c r="E6065" i="1"/>
  <c r="F6065" i="1"/>
  <c r="B6066" i="1"/>
  <c r="A6066" i="1"/>
  <c r="E6066" i="1"/>
  <c r="F6066" i="1"/>
  <c r="B6067" i="1"/>
  <c r="A6067" i="1"/>
  <c r="E6067" i="1"/>
  <c r="F6067" i="1"/>
  <c r="B6068" i="1"/>
  <c r="A6068" i="1"/>
  <c r="E6068" i="1"/>
  <c r="F6068" i="1"/>
  <c r="B6069" i="1"/>
  <c r="A6069" i="1"/>
  <c r="E6069" i="1"/>
  <c r="F6069" i="1"/>
  <c r="B6070" i="1"/>
  <c r="A6070" i="1"/>
  <c r="E6070" i="1"/>
  <c r="F6070" i="1"/>
  <c r="B6071" i="1"/>
  <c r="A6071" i="1"/>
  <c r="E6071" i="1"/>
  <c r="F6071" i="1"/>
  <c r="B6072" i="1"/>
  <c r="A6072" i="1"/>
  <c r="E6072" i="1"/>
  <c r="F6072" i="1"/>
  <c r="B6073" i="1"/>
  <c r="A6073" i="1"/>
  <c r="E6073" i="1"/>
  <c r="F6073" i="1"/>
  <c r="B6074" i="1"/>
  <c r="A6074" i="1"/>
  <c r="E6074" i="1"/>
  <c r="F6074" i="1"/>
  <c r="B6075" i="1"/>
  <c r="A6075" i="1"/>
  <c r="E6075" i="1"/>
  <c r="F6075" i="1"/>
  <c r="B6076" i="1"/>
  <c r="A6076" i="1"/>
  <c r="E6076" i="1"/>
  <c r="F6076" i="1"/>
  <c r="B6077" i="1"/>
  <c r="A6077" i="1"/>
  <c r="E6077" i="1"/>
  <c r="F6077" i="1"/>
  <c r="B6078" i="1"/>
  <c r="A6078" i="1"/>
  <c r="E6078" i="1"/>
  <c r="F6078" i="1"/>
  <c r="B6079" i="1"/>
  <c r="A6079" i="1"/>
  <c r="E6079" i="1"/>
  <c r="F6079" i="1"/>
  <c r="B6080" i="1"/>
  <c r="A6080" i="1"/>
  <c r="E6080" i="1"/>
  <c r="F6080" i="1"/>
  <c r="B6081" i="1"/>
  <c r="A6081" i="1"/>
  <c r="E6081" i="1"/>
  <c r="F6081" i="1"/>
  <c r="B6082" i="1"/>
  <c r="A6082" i="1"/>
  <c r="E6082" i="1"/>
  <c r="F6082" i="1"/>
  <c r="B6083" i="1"/>
  <c r="A6083" i="1"/>
  <c r="E6083" i="1"/>
  <c r="F6083" i="1"/>
  <c r="B6084" i="1"/>
  <c r="A6084" i="1"/>
  <c r="E6084" i="1"/>
  <c r="F6084" i="1"/>
  <c r="B6085" i="1"/>
  <c r="A6085" i="1"/>
  <c r="E6085" i="1"/>
  <c r="F6085" i="1"/>
  <c r="B6086" i="1"/>
  <c r="A6086" i="1"/>
  <c r="E6086" i="1"/>
  <c r="F6086" i="1"/>
  <c r="B6087" i="1"/>
  <c r="A6087" i="1"/>
  <c r="E6087" i="1"/>
  <c r="F6087" i="1"/>
  <c r="B6088" i="1"/>
  <c r="A6088" i="1"/>
  <c r="E6088" i="1"/>
  <c r="F6088" i="1"/>
  <c r="B6089" i="1"/>
  <c r="A6089" i="1"/>
  <c r="E6089" i="1"/>
  <c r="F6089" i="1"/>
  <c r="B6090" i="1"/>
  <c r="A6090" i="1"/>
  <c r="E6090" i="1"/>
  <c r="F6090" i="1"/>
  <c r="B6091" i="1"/>
  <c r="A6091" i="1"/>
  <c r="E6091" i="1"/>
  <c r="F6091" i="1"/>
  <c r="B6092" i="1"/>
  <c r="A6092" i="1"/>
  <c r="E6092" i="1"/>
  <c r="F6092" i="1"/>
  <c r="B6093" i="1"/>
  <c r="A6093" i="1"/>
  <c r="E6093" i="1"/>
  <c r="F6093" i="1"/>
  <c r="B6094" i="1"/>
  <c r="A6094" i="1"/>
  <c r="E6094" i="1"/>
  <c r="F6094" i="1"/>
  <c r="B6095" i="1"/>
  <c r="A6095" i="1"/>
  <c r="E6095" i="1"/>
  <c r="F6095" i="1"/>
  <c r="B6096" i="1"/>
  <c r="A6096" i="1"/>
  <c r="E6096" i="1"/>
  <c r="F6096" i="1"/>
  <c r="B6097" i="1"/>
  <c r="A6097" i="1"/>
  <c r="E6097" i="1"/>
  <c r="F6097" i="1"/>
  <c r="B6098" i="1"/>
  <c r="A6098" i="1"/>
  <c r="E6098" i="1"/>
  <c r="F6098" i="1"/>
  <c r="B6099" i="1"/>
  <c r="A6099" i="1"/>
  <c r="E6099" i="1"/>
  <c r="F6099" i="1"/>
  <c r="B6100" i="1"/>
  <c r="A6100" i="1"/>
  <c r="E6100" i="1"/>
  <c r="F6100" i="1"/>
  <c r="B6101" i="1"/>
  <c r="A6101" i="1"/>
  <c r="E6101" i="1"/>
  <c r="F6101" i="1"/>
  <c r="B6102" i="1"/>
  <c r="A6102" i="1"/>
  <c r="E6102" i="1"/>
  <c r="F6102" i="1"/>
  <c r="B6103" i="1"/>
  <c r="A6103" i="1"/>
  <c r="E6103" i="1"/>
  <c r="F6103" i="1"/>
  <c r="B6104" i="1"/>
  <c r="A6104" i="1"/>
  <c r="E6104" i="1"/>
  <c r="F6104" i="1"/>
  <c r="B6105" i="1"/>
  <c r="A6105" i="1"/>
  <c r="E6105" i="1"/>
  <c r="F6105" i="1"/>
  <c r="B6106" i="1"/>
  <c r="A6106" i="1"/>
  <c r="E6106" i="1"/>
  <c r="F6106" i="1"/>
  <c r="B6107" i="1"/>
  <c r="A6107" i="1"/>
  <c r="E6107" i="1"/>
  <c r="F6107" i="1"/>
  <c r="B6108" i="1"/>
  <c r="A6108" i="1"/>
  <c r="E6108" i="1"/>
  <c r="F6108" i="1"/>
  <c r="B6109" i="1"/>
  <c r="A6109" i="1"/>
  <c r="E6109" i="1"/>
  <c r="F6109" i="1"/>
  <c r="B6110" i="1"/>
  <c r="A6110" i="1"/>
  <c r="E6110" i="1"/>
  <c r="F6110" i="1"/>
  <c r="B6111" i="1"/>
  <c r="A6111" i="1"/>
  <c r="E6111" i="1"/>
  <c r="F6111" i="1"/>
  <c r="B6112" i="1"/>
  <c r="A6112" i="1"/>
  <c r="E6112" i="1"/>
  <c r="F6112" i="1"/>
  <c r="B6113" i="1"/>
  <c r="A6113" i="1"/>
  <c r="E6113" i="1"/>
  <c r="F6113" i="1"/>
  <c r="B6114" i="1"/>
  <c r="A6114" i="1"/>
  <c r="E6114" i="1"/>
  <c r="F6114" i="1"/>
  <c r="B6115" i="1"/>
  <c r="A6115" i="1"/>
  <c r="E6115" i="1"/>
  <c r="F6115" i="1"/>
  <c r="B6116" i="1"/>
  <c r="A6116" i="1"/>
  <c r="E6116" i="1"/>
  <c r="F6116" i="1"/>
  <c r="B6117" i="1"/>
  <c r="A6117" i="1"/>
  <c r="E6117" i="1"/>
  <c r="F6117" i="1"/>
  <c r="B6118" i="1"/>
  <c r="A6118" i="1"/>
  <c r="E6118" i="1"/>
  <c r="F6118" i="1"/>
  <c r="B6119" i="1"/>
  <c r="A6119" i="1"/>
  <c r="E6119" i="1"/>
  <c r="F6119" i="1"/>
  <c r="B6120" i="1"/>
  <c r="A6120" i="1"/>
  <c r="E6120" i="1"/>
  <c r="F6120" i="1"/>
  <c r="B6121" i="1"/>
  <c r="A6121" i="1"/>
  <c r="E6121" i="1"/>
  <c r="F6121" i="1"/>
  <c r="B6122" i="1"/>
  <c r="A6122" i="1"/>
  <c r="E6122" i="1"/>
  <c r="F6122" i="1"/>
  <c r="B6123" i="1"/>
  <c r="A6123" i="1"/>
  <c r="E6123" i="1"/>
  <c r="F6123" i="1"/>
  <c r="B6124" i="1"/>
  <c r="A6124" i="1"/>
  <c r="E6124" i="1"/>
  <c r="F6124" i="1"/>
  <c r="B6125" i="1"/>
  <c r="A6125" i="1"/>
  <c r="E6125" i="1"/>
  <c r="F6125" i="1"/>
  <c r="B6126" i="1"/>
  <c r="A6126" i="1"/>
  <c r="E6126" i="1"/>
  <c r="F6126" i="1"/>
  <c r="B6127" i="1"/>
  <c r="A6127" i="1"/>
  <c r="E6127" i="1"/>
  <c r="F6127" i="1"/>
  <c r="B6128" i="1"/>
  <c r="A6128" i="1"/>
  <c r="E6128" i="1"/>
  <c r="F6128" i="1"/>
  <c r="B6129" i="1"/>
  <c r="A6129" i="1"/>
  <c r="E6129" i="1"/>
  <c r="F6129" i="1"/>
  <c r="B6130" i="1"/>
  <c r="A6130" i="1"/>
  <c r="E6130" i="1"/>
  <c r="F6130" i="1"/>
  <c r="B6131" i="1"/>
  <c r="A6131" i="1"/>
  <c r="E6131" i="1"/>
  <c r="F6131" i="1"/>
  <c r="B6132" i="1"/>
  <c r="A6132" i="1"/>
  <c r="E6132" i="1"/>
  <c r="F6132" i="1"/>
  <c r="B6133" i="1"/>
  <c r="A6133" i="1"/>
  <c r="E6133" i="1"/>
  <c r="F6133" i="1"/>
  <c r="B6134" i="1"/>
  <c r="A6134" i="1"/>
  <c r="E6134" i="1"/>
  <c r="F6134" i="1"/>
  <c r="B6135" i="1"/>
  <c r="A6135" i="1"/>
  <c r="E6135" i="1"/>
  <c r="F6135" i="1"/>
  <c r="B6136" i="1"/>
  <c r="A6136" i="1"/>
  <c r="E6136" i="1"/>
  <c r="F6136" i="1"/>
  <c r="B6137" i="1"/>
  <c r="A6137" i="1"/>
  <c r="E6137" i="1"/>
  <c r="F6137" i="1"/>
  <c r="B6138" i="1"/>
  <c r="A6138" i="1"/>
  <c r="E6138" i="1"/>
  <c r="F6138" i="1"/>
  <c r="B6139" i="1"/>
  <c r="A6139" i="1"/>
  <c r="E6139" i="1"/>
  <c r="F6139" i="1"/>
  <c r="B6140" i="1"/>
  <c r="A6140" i="1"/>
  <c r="E6140" i="1"/>
  <c r="F6140" i="1"/>
  <c r="B6141" i="1"/>
  <c r="A6141" i="1"/>
  <c r="E6141" i="1"/>
  <c r="F6141" i="1"/>
  <c r="B6142" i="1"/>
  <c r="A6142" i="1"/>
  <c r="E6142" i="1"/>
  <c r="F6142" i="1"/>
  <c r="B6143" i="1"/>
  <c r="A6143" i="1"/>
  <c r="E6143" i="1"/>
  <c r="F6143" i="1"/>
  <c r="B6144" i="1"/>
  <c r="A6144" i="1"/>
  <c r="E6144" i="1"/>
  <c r="F6144" i="1"/>
  <c r="B6145" i="1"/>
  <c r="A6145" i="1"/>
  <c r="E6145" i="1"/>
  <c r="F6145" i="1"/>
  <c r="B6146" i="1"/>
  <c r="A6146" i="1"/>
  <c r="E6146" i="1"/>
  <c r="F6146" i="1"/>
  <c r="B6147" i="1"/>
  <c r="A6147" i="1"/>
  <c r="E6147" i="1"/>
  <c r="F6147" i="1"/>
  <c r="B6148" i="1"/>
  <c r="A6148" i="1"/>
  <c r="E6148" i="1"/>
  <c r="F6148" i="1"/>
  <c r="B6149" i="1"/>
  <c r="A6149" i="1"/>
  <c r="E6149" i="1"/>
  <c r="F6149" i="1"/>
  <c r="B6150" i="1"/>
  <c r="A6150" i="1"/>
  <c r="E6150" i="1"/>
  <c r="F6150" i="1"/>
  <c r="B6151" i="1"/>
  <c r="A6151" i="1"/>
  <c r="E6151" i="1"/>
  <c r="F6151" i="1"/>
  <c r="B6152" i="1"/>
  <c r="A6152" i="1"/>
  <c r="E6152" i="1"/>
  <c r="F6152" i="1"/>
  <c r="B6153" i="1"/>
  <c r="A6153" i="1"/>
  <c r="E6153" i="1"/>
  <c r="F6153" i="1"/>
  <c r="B6154" i="1"/>
  <c r="A6154" i="1"/>
  <c r="E6154" i="1"/>
  <c r="F6154" i="1"/>
  <c r="B6155" i="1"/>
  <c r="A6155" i="1"/>
  <c r="E6155" i="1"/>
  <c r="F6155" i="1"/>
  <c r="B6156" i="1"/>
  <c r="A6156" i="1"/>
  <c r="E6156" i="1"/>
  <c r="F6156" i="1"/>
  <c r="B6157" i="1"/>
  <c r="A6157" i="1"/>
  <c r="E6157" i="1"/>
  <c r="F6157" i="1"/>
  <c r="B6158" i="1"/>
  <c r="A6158" i="1"/>
  <c r="E6158" i="1"/>
  <c r="F6158" i="1"/>
  <c r="B6159" i="1"/>
  <c r="A6159" i="1"/>
  <c r="E6159" i="1"/>
  <c r="F6159" i="1"/>
  <c r="B6160" i="1"/>
  <c r="A6160" i="1"/>
  <c r="E6160" i="1"/>
  <c r="F6160" i="1"/>
  <c r="B6161" i="1"/>
  <c r="A6161" i="1"/>
  <c r="E6161" i="1"/>
  <c r="F6161" i="1"/>
  <c r="B6162" i="1"/>
  <c r="A6162" i="1"/>
  <c r="E6162" i="1"/>
  <c r="F6162" i="1"/>
  <c r="B6163" i="1"/>
  <c r="A6163" i="1"/>
  <c r="E6163" i="1"/>
  <c r="F6163" i="1"/>
  <c r="B6164" i="1"/>
  <c r="A6164" i="1"/>
  <c r="E6164" i="1"/>
  <c r="F6164" i="1"/>
  <c r="B6165" i="1"/>
  <c r="A6165" i="1"/>
  <c r="E6165" i="1"/>
  <c r="F6165" i="1"/>
  <c r="B6166" i="1"/>
  <c r="A6166" i="1"/>
  <c r="E6166" i="1"/>
  <c r="F6166" i="1"/>
  <c r="B6167" i="1"/>
  <c r="A6167" i="1"/>
  <c r="E6167" i="1"/>
  <c r="F6167" i="1"/>
  <c r="B6168" i="1"/>
  <c r="A6168" i="1"/>
  <c r="E6168" i="1"/>
  <c r="F6168" i="1"/>
  <c r="B6169" i="1"/>
  <c r="A6169" i="1"/>
  <c r="E6169" i="1"/>
  <c r="F6169" i="1"/>
  <c r="B6170" i="1"/>
  <c r="A6170" i="1"/>
  <c r="E6170" i="1"/>
  <c r="F6170" i="1"/>
  <c r="B6171" i="1"/>
  <c r="A6171" i="1"/>
  <c r="E6171" i="1"/>
  <c r="F6171" i="1"/>
  <c r="B6172" i="1"/>
  <c r="A6172" i="1"/>
  <c r="E6172" i="1"/>
  <c r="F6172" i="1"/>
  <c r="B6173" i="1"/>
  <c r="A6173" i="1"/>
  <c r="E6173" i="1"/>
  <c r="F6173" i="1"/>
  <c r="B6174" i="1"/>
  <c r="A6174" i="1"/>
  <c r="E6174" i="1"/>
  <c r="F6174" i="1"/>
  <c r="B6175" i="1"/>
  <c r="A6175" i="1"/>
  <c r="E6175" i="1"/>
  <c r="F6175" i="1"/>
  <c r="B6176" i="1"/>
  <c r="A6176" i="1"/>
  <c r="E6176" i="1"/>
  <c r="F6176" i="1"/>
  <c r="B6177" i="1"/>
  <c r="A6177" i="1"/>
  <c r="E6177" i="1"/>
  <c r="F6177" i="1"/>
  <c r="B6178" i="1"/>
  <c r="A6178" i="1"/>
  <c r="E6178" i="1"/>
  <c r="F6178" i="1"/>
  <c r="B6179" i="1"/>
  <c r="A6179" i="1"/>
  <c r="E6179" i="1"/>
  <c r="F6179" i="1"/>
  <c r="B6180" i="1"/>
  <c r="A6180" i="1"/>
  <c r="E6180" i="1"/>
  <c r="F6180" i="1"/>
  <c r="B6181" i="1"/>
  <c r="A6181" i="1"/>
  <c r="E6181" i="1"/>
  <c r="F6181" i="1"/>
  <c r="B6182" i="1"/>
  <c r="A6182" i="1"/>
  <c r="E6182" i="1"/>
  <c r="F6182" i="1"/>
  <c r="B6183" i="1"/>
  <c r="A6183" i="1"/>
  <c r="E6183" i="1"/>
  <c r="F6183" i="1"/>
  <c r="B6184" i="1"/>
  <c r="A6184" i="1"/>
  <c r="E6184" i="1"/>
  <c r="F6184" i="1"/>
  <c r="B6185" i="1"/>
  <c r="A6185" i="1"/>
  <c r="E6185" i="1"/>
  <c r="F6185" i="1"/>
  <c r="B6186" i="1"/>
  <c r="A6186" i="1"/>
  <c r="E6186" i="1"/>
  <c r="F6186" i="1"/>
  <c r="B6187" i="1"/>
  <c r="A6187" i="1"/>
  <c r="E6187" i="1"/>
  <c r="F6187" i="1"/>
  <c r="B6188" i="1"/>
  <c r="A6188" i="1"/>
  <c r="E6188" i="1"/>
  <c r="F6188" i="1"/>
  <c r="B6189" i="1"/>
  <c r="A6189" i="1"/>
  <c r="E6189" i="1"/>
  <c r="F6189" i="1"/>
  <c r="B6190" i="1"/>
  <c r="A6190" i="1"/>
  <c r="E6190" i="1"/>
  <c r="F6190" i="1"/>
  <c r="B6191" i="1"/>
  <c r="A6191" i="1"/>
  <c r="E6191" i="1"/>
  <c r="F6191" i="1"/>
  <c r="B6192" i="1"/>
  <c r="A6192" i="1"/>
  <c r="E6192" i="1"/>
  <c r="F6192" i="1"/>
  <c r="B6193" i="1"/>
  <c r="A6193" i="1"/>
  <c r="E6193" i="1"/>
  <c r="F6193" i="1"/>
  <c r="B6194" i="1"/>
  <c r="A6194" i="1"/>
  <c r="E6194" i="1"/>
  <c r="F6194" i="1"/>
  <c r="B6195" i="1"/>
  <c r="A6195" i="1"/>
  <c r="E6195" i="1"/>
  <c r="F6195" i="1"/>
  <c r="B6196" i="1"/>
  <c r="A6196" i="1"/>
  <c r="E6196" i="1"/>
  <c r="F6196" i="1"/>
  <c r="B6197" i="1"/>
  <c r="A6197" i="1"/>
  <c r="E6197" i="1"/>
  <c r="F6197" i="1"/>
  <c r="B6198" i="1"/>
  <c r="A6198" i="1"/>
  <c r="E6198" i="1"/>
  <c r="F6198" i="1"/>
  <c r="B6199" i="1"/>
  <c r="A6199" i="1"/>
  <c r="E6199" i="1"/>
  <c r="F6199" i="1"/>
  <c r="B6200" i="1"/>
  <c r="A6200" i="1"/>
  <c r="E6200" i="1"/>
  <c r="F6200" i="1"/>
  <c r="B6201" i="1"/>
  <c r="A6201" i="1"/>
  <c r="E6201" i="1"/>
  <c r="F6201" i="1"/>
  <c r="B6202" i="1"/>
  <c r="A6202" i="1"/>
  <c r="E6202" i="1"/>
  <c r="F6202" i="1"/>
  <c r="B6203" i="1"/>
  <c r="A6203" i="1"/>
  <c r="E6203" i="1"/>
  <c r="F6203" i="1"/>
  <c r="B6204" i="1"/>
  <c r="A6204" i="1"/>
  <c r="E6204" i="1"/>
  <c r="F6204" i="1"/>
  <c r="B6205" i="1"/>
  <c r="A6205" i="1"/>
  <c r="E6205" i="1"/>
  <c r="F6205" i="1"/>
  <c r="B6206" i="1"/>
  <c r="A6206" i="1"/>
  <c r="E6206" i="1"/>
  <c r="F6206" i="1"/>
  <c r="B6207" i="1"/>
  <c r="A6207" i="1"/>
  <c r="E6207" i="1"/>
  <c r="F6207" i="1"/>
  <c r="B6208" i="1"/>
  <c r="A6208" i="1"/>
  <c r="E6208" i="1"/>
  <c r="F6208" i="1"/>
  <c r="B6209" i="1"/>
  <c r="A6209" i="1"/>
  <c r="E6209" i="1"/>
  <c r="F6209" i="1"/>
  <c r="B6210" i="1"/>
  <c r="A6210" i="1"/>
  <c r="E6210" i="1"/>
  <c r="F6210" i="1"/>
  <c r="B6211" i="1"/>
  <c r="A6211" i="1"/>
  <c r="E6211" i="1"/>
  <c r="F6211" i="1"/>
  <c r="B6212" i="1"/>
  <c r="A6212" i="1"/>
  <c r="E6212" i="1"/>
  <c r="F6212" i="1"/>
  <c r="B6213" i="1"/>
  <c r="A6213" i="1"/>
  <c r="E6213" i="1"/>
  <c r="F6213" i="1"/>
  <c r="B6214" i="1"/>
  <c r="A6214" i="1"/>
  <c r="E6214" i="1"/>
  <c r="F6214" i="1"/>
  <c r="B6215" i="1"/>
  <c r="A6215" i="1"/>
  <c r="E6215" i="1"/>
  <c r="F6215" i="1"/>
  <c r="B6216" i="1"/>
  <c r="A6216" i="1"/>
  <c r="E6216" i="1"/>
  <c r="F6216" i="1"/>
  <c r="B6217" i="1"/>
  <c r="A6217" i="1"/>
  <c r="E6217" i="1"/>
  <c r="F6217" i="1"/>
  <c r="B6218" i="1"/>
  <c r="A6218" i="1"/>
  <c r="E6218" i="1"/>
  <c r="F6218" i="1"/>
  <c r="B6219" i="1"/>
  <c r="A6219" i="1"/>
  <c r="E6219" i="1"/>
  <c r="F6219" i="1"/>
  <c r="B6220" i="1"/>
  <c r="A6220" i="1"/>
  <c r="E6220" i="1"/>
  <c r="F6220" i="1"/>
  <c r="B6221" i="1"/>
  <c r="A6221" i="1"/>
  <c r="E6221" i="1"/>
  <c r="F6221" i="1"/>
  <c r="B6222" i="1"/>
  <c r="A6222" i="1"/>
  <c r="E6222" i="1"/>
  <c r="F6222" i="1"/>
  <c r="B6223" i="1"/>
  <c r="A6223" i="1"/>
  <c r="E6223" i="1"/>
  <c r="F6223" i="1"/>
  <c r="B6224" i="1"/>
  <c r="A6224" i="1"/>
  <c r="E6224" i="1"/>
  <c r="F6224" i="1"/>
  <c r="B6225" i="1"/>
  <c r="A6225" i="1"/>
  <c r="E6225" i="1"/>
  <c r="F6225" i="1"/>
  <c r="B6226" i="1"/>
  <c r="A6226" i="1"/>
  <c r="E6226" i="1"/>
  <c r="F6226" i="1"/>
  <c r="B6227" i="1"/>
  <c r="A6227" i="1"/>
  <c r="E6227" i="1"/>
  <c r="F6227" i="1"/>
  <c r="B6228" i="1"/>
  <c r="A6228" i="1"/>
  <c r="E6228" i="1"/>
  <c r="F6228" i="1"/>
  <c r="B6229" i="1"/>
  <c r="A6229" i="1"/>
  <c r="E6229" i="1"/>
  <c r="F6229" i="1"/>
  <c r="B6230" i="1"/>
  <c r="A6230" i="1"/>
  <c r="E6230" i="1"/>
  <c r="F6230" i="1"/>
  <c r="B6231" i="1"/>
  <c r="A6231" i="1"/>
  <c r="E6231" i="1"/>
  <c r="F6231" i="1"/>
  <c r="B6232" i="1"/>
  <c r="A6232" i="1"/>
  <c r="E6232" i="1"/>
  <c r="F6232" i="1"/>
  <c r="B6233" i="1"/>
  <c r="A6233" i="1"/>
  <c r="E6233" i="1"/>
  <c r="F6233" i="1"/>
  <c r="B6234" i="1"/>
  <c r="A6234" i="1"/>
  <c r="E6234" i="1"/>
  <c r="F6234" i="1"/>
  <c r="B6235" i="1"/>
  <c r="A6235" i="1"/>
  <c r="E6235" i="1"/>
  <c r="F6235" i="1"/>
  <c r="B6236" i="1"/>
  <c r="A6236" i="1"/>
  <c r="E6236" i="1"/>
  <c r="F6236" i="1"/>
  <c r="B6237" i="1"/>
  <c r="A6237" i="1"/>
  <c r="E6237" i="1"/>
  <c r="F6237" i="1"/>
  <c r="B6238" i="1"/>
  <c r="A6238" i="1"/>
  <c r="E6238" i="1"/>
  <c r="F6238" i="1"/>
  <c r="B6239" i="1"/>
  <c r="A6239" i="1"/>
  <c r="E6239" i="1"/>
  <c r="F6239" i="1"/>
  <c r="B6240" i="1"/>
  <c r="A6240" i="1"/>
  <c r="E6240" i="1"/>
  <c r="F6240" i="1"/>
  <c r="B6241" i="1"/>
  <c r="A6241" i="1"/>
  <c r="E6241" i="1"/>
  <c r="F6241" i="1"/>
  <c r="B6242" i="1"/>
  <c r="A6242" i="1"/>
  <c r="E6242" i="1"/>
  <c r="F6242" i="1"/>
  <c r="B6243" i="1"/>
  <c r="A6243" i="1"/>
  <c r="E6243" i="1"/>
  <c r="F6243" i="1"/>
  <c r="B6244" i="1"/>
  <c r="A6244" i="1"/>
  <c r="E6244" i="1"/>
  <c r="F6244" i="1"/>
  <c r="B6245" i="1"/>
  <c r="A6245" i="1"/>
  <c r="E6245" i="1"/>
  <c r="F6245" i="1"/>
  <c r="B6246" i="1"/>
  <c r="A6246" i="1"/>
  <c r="E6246" i="1"/>
  <c r="F6246" i="1"/>
  <c r="B6247" i="1"/>
  <c r="A6247" i="1"/>
  <c r="E6247" i="1"/>
  <c r="F6247" i="1"/>
  <c r="B6248" i="1"/>
  <c r="A6248" i="1"/>
  <c r="E6248" i="1"/>
  <c r="F6248" i="1"/>
  <c r="B6249" i="1"/>
  <c r="A6249" i="1"/>
  <c r="E6249" i="1"/>
  <c r="F6249" i="1"/>
  <c r="B6250" i="1"/>
  <c r="A6250" i="1"/>
  <c r="E6250" i="1"/>
  <c r="F6250" i="1"/>
  <c r="B6251" i="1"/>
  <c r="A6251" i="1"/>
  <c r="E6251" i="1"/>
  <c r="F6251" i="1"/>
  <c r="B6252" i="1"/>
  <c r="A6252" i="1"/>
  <c r="E6252" i="1"/>
  <c r="F6252" i="1"/>
  <c r="B6253" i="1"/>
  <c r="A6253" i="1"/>
  <c r="E6253" i="1"/>
  <c r="F6253" i="1"/>
  <c r="B6254" i="1"/>
  <c r="A6254" i="1"/>
  <c r="E6254" i="1"/>
  <c r="F6254" i="1"/>
  <c r="B6255" i="1"/>
  <c r="A6255" i="1"/>
  <c r="E6255" i="1"/>
  <c r="F6255" i="1"/>
  <c r="B6256" i="1"/>
  <c r="A6256" i="1"/>
  <c r="E6256" i="1"/>
  <c r="F6256" i="1"/>
  <c r="B6257" i="1"/>
  <c r="A6257" i="1"/>
  <c r="E6257" i="1"/>
  <c r="F6257" i="1"/>
  <c r="B6258" i="1"/>
  <c r="A6258" i="1"/>
  <c r="E6258" i="1"/>
  <c r="F6258" i="1"/>
  <c r="B6259" i="1"/>
  <c r="A6259" i="1"/>
  <c r="E6259" i="1"/>
  <c r="F6259" i="1"/>
  <c r="B6260" i="1"/>
  <c r="A6260" i="1"/>
  <c r="E6260" i="1"/>
  <c r="F6260" i="1"/>
  <c r="B6261" i="1"/>
  <c r="A6261" i="1"/>
  <c r="E6261" i="1"/>
  <c r="F6261" i="1"/>
  <c r="B6262" i="1"/>
  <c r="A6262" i="1"/>
  <c r="E6262" i="1"/>
  <c r="F6262" i="1"/>
  <c r="B6263" i="1"/>
  <c r="A6263" i="1"/>
  <c r="E6263" i="1"/>
  <c r="F6263" i="1"/>
  <c r="B6264" i="1"/>
  <c r="A6264" i="1"/>
  <c r="E6264" i="1"/>
  <c r="F6264" i="1"/>
  <c r="B6265" i="1"/>
  <c r="A6265" i="1"/>
  <c r="E6265" i="1"/>
  <c r="F6265" i="1"/>
  <c r="B6266" i="1"/>
  <c r="A6266" i="1"/>
  <c r="E6266" i="1"/>
  <c r="F6266" i="1"/>
  <c r="B6267" i="1"/>
  <c r="A6267" i="1"/>
  <c r="E6267" i="1"/>
  <c r="F6267" i="1"/>
  <c r="B6268" i="1"/>
  <c r="A6268" i="1"/>
  <c r="E6268" i="1"/>
  <c r="F6268" i="1"/>
  <c r="B6269" i="1"/>
  <c r="A6269" i="1"/>
  <c r="E6269" i="1"/>
  <c r="F6269" i="1"/>
  <c r="B6270" i="1"/>
  <c r="A6270" i="1"/>
  <c r="E6270" i="1"/>
  <c r="F6270" i="1"/>
  <c r="B6271" i="1"/>
  <c r="A6271" i="1"/>
  <c r="E6271" i="1"/>
  <c r="F6271" i="1"/>
  <c r="B6272" i="1"/>
  <c r="A6272" i="1"/>
  <c r="E6272" i="1"/>
  <c r="F6272" i="1"/>
  <c r="B6273" i="1"/>
  <c r="A6273" i="1"/>
  <c r="E6273" i="1"/>
  <c r="F6273" i="1"/>
  <c r="B6274" i="1"/>
  <c r="A6274" i="1"/>
  <c r="E6274" i="1"/>
  <c r="F6274" i="1"/>
  <c r="B6275" i="1"/>
  <c r="A6275" i="1"/>
  <c r="E6275" i="1"/>
  <c r="F6275" i="1"/>
  <c r="B6276" i="1"/>
  <c r="A6276" i="1"/>
  <c r="E6276" i="1"/>
  <c r="F6276" i="1"/>
  <c r="B6277" i="1"/>
  <c r="A6277" i="1"/>
  <c r="E6277" i="1"/>
  <c r="F6277" i="1"/>
  <c r="B6278" i="1"/>
  <c r="A6278" i="1"/>
  <c r="E6278" i="1"/>
  <c r="F6278" i="1"/>
  <c r="B6279" i="1"/>
  <c r="A6279" i="1"/>
  <c r="E6279" i="1"/>
  <c r="F6279" i="1"/>
  <c r="B6280" i="1"/>
  <c r="A6280" i="1"/>
  <c r="E6280" i="1"/>
  <c r="F6280" i="1"/>
  <c r="B6281" i="1"/>
  <c r="A6281" i="1"/>
  <c r="E6281" i="1"/>
  <c r="F6281" i="1"/>
  <c r="B6282" i="1"/>
  <c r="A6282" i="1"/>
  <c r="E6282" i="1"/>
  <c r="F6282" i="1"/>
  <c r="B6283" i="1"/>
  <c r="A6283" i="1"/>
  <c r="E6283" i="1"/>
  <c r="F6283" i="1"/>
  <c r="B6284" i="1"/>
  <c r="A6284" i="1"/>
  <c r="E6284" i="1"/>
  <c r="F6284" i="1"/>
  <c r="B6285" i="1"/>
  <c r="A6285" i="1"/>
  <c r="E6285" i="1"/>
  <c r="F6285" i="1"/>
  <c r="B6286" i="1"/>
  <c r="A6286" i="1"/>
  <c r="E6286" i="1"/>
  <c r="F6286" i="1"/>
  <c r="B6287" i="1"/>
  <c r="A6287" i="1"/>
  <c r="E6287" i="1"/>
  <c r="F6287" i="1"/>
  <c r="B6288" i="1"/>
  <c r="A6288" i="1"/>
  <c r="E6288" i="1"/>
  <c r="F6288" i="1"/>
  <c r="B6289" i="1"/>
  <c r="A6289" i="1"/>
  <c r="E6289" i="1"/>
  <c r="F6289" i="1"/>
  <c r="B6290" i="1"/>
  <c r="A6290" i="1"/>
  <c r="E6290" i="1"/>
  <c r="F6290" i="1"/>
  <c r="B6291" i="1"/>
  <c r="A6291" i="1"/>
  <c r="E6291" i="1"/>
  <c r="F6291" i="1"/>
  <c r="B6292" i="1"/>
  <c r="A6292" i="1"/>
  <c r="E6292" i="1"/>
  <c r="F6292" i="1"/>
  <c r="B6293" i="1"/>
  <c r="A6293" i="1"/>
  <c r="E6293" i="1"/>
  <c r="F6293" i="1"/>
  <c r="B6294" i="1"/>
  <c r="A6294" i="1"/>
  <c r="E6294" i="1"/>
  <c r="F6294" i="1"/>
  <c r="B6295" i="1"/>
  <c r="A6295" i="1"/>
  <c r="E6295" i="1"/>
  <c r="F6295" i="1"/>
  <c r="B6296" i="1"/>
  <c r="A6296" i="1"/>
  <c r="E6296" i="1"/>
  <c r="F6296" i="1"/>
  <c r="B6297" i="1"/>
  <c r="A6297" i="1"/>
  <c r="E6297" i="1"/>
  <c r="F6297" i="1"/>
  <c r="B6298" i="1"/>
  <c r="A6298" i="1"/>
  <c r="E6298" i="1"/>
  <c r="F6298" i="1"/>
  <c r="B6299" i="1"/>
  <c r="A6299" i="1"/>
  <c r="E6299" i="1"/>
  <c r="F6299" i="1"/>
  <c r="B6300" i="1"/>
  <c r="A6300" i="1"/>
  <c r="E6300" i="1"/>
  <c r="F6300" i="1"/>
  <c r="B6301" i="1"/>
  <c r="A6301" i="1"/>
  <c r="E6301" i="1"/>
  <c r="F6301" i="1"/>
  <c r="B6302" i="1"/>
  <c r="A6302" i="1"/>
  <c r="E6302" i="1"/>
  <c r="F6302" i="1"/>
  <c r="B6303" i="1"/>
  <c r="A6303" i="1"/>
  <c r="E6303" i="1"/>
  <c r="F6303" i="1"/>
  <c r="B6304" i="1"/>
  <c r="A6304" i="1"/>
  <c r="E6304" i="1"/>
  <c r="F6304" i="1"/>
  <c r="B6305" i="1"/>
  <c r="A6305" i="1"/>
  <c r="E6305" i="1"/>
  <c r="F6305" i="1"/>
  <c r="B6306" i="1"/>
  <c r="A6306" i="1"/>
  <c r="E6306" i="1"/>
  <c r="F6306" i="1"/>
  <c r="B6307" i="1"/>
  <c r="A6307" i="1"/>
  <c r="E6307" i="1"/>
  <c r="F6307" i="1"/>
  <c r="B6308" i="1"/>
  <c r="A6308" i="1"/>
  <c r="E6308" i="1"/>
  <c r="F6308" i="1"/>
  <c r="B6309" i="1"/>
  <c r="A6309" i="1"/>
  <c r="E6309" i="1"/>
  <c r="F6309" i="1"/>
  <c r="B6310" i="1"/>
  <c r="A6310" i="1"/>
  <c r="E6310" i="1"/>
  <c r="F6310" i="1"/>
  <c r="B6311" i="1"/>
  <c r="A6311" i="1"/>
  <c r="E6311" i="1"/>
  <c r="F6311" i="1"/>
  <c r="B6312" i="1"/>
  <c r="A6312" i="1"/>
  <c r="E6312" i="1"/>
  <c r="F6312" i="1"/>
  <c r="B6313" i="1"/>
  <c r="A6313" i="1"/>
  <c r="E6313" i="1"/>
  <c r="F6313" i="1"/>
  <c r="B6314" i="1"/>
  <c r="A6314" i="1"/>
  <c r="E6314" i="1"/>
  <c r="F6314" i="1"/>
  <c r="B6315" i="1"/>
  <c r="A6315" i="1"/>
  <c r="E6315" i="1"/>
  <c r="F6315" i="1"/>
  <c r="B6316" i="1"/>
  <c r="A6316" i="1"/>
  <c r="E6316" i="1"/>
  <c r="F6316" i="1"/>
  <c r="B6317" i="1"/>
  <c r="A6317" i="1"/>
  <c r="E6317" i="1"/>
  <c r="F6317" i="1"/>
  <c r="B6318" i="1"/>
  <c r="A6318" i="1"/>
  <c r="E6318" i="1"/>
  <c r="F6318" i="1"/>
  <c r="B6319" i="1"/>
  <c r="A6319" i="1"/>
  <c r="E6319" i="1"/>
  <c r="F6319" i="1"/>
  <c r="B6320" i="1"/>
  <c r="A6320" i="1"/>
  <c r="E6320" i="1"/>
  <c r="F6320" i="1"/>
  <c r="B6321" i="1"/>
  <c r="A6321" i="1"/>
  <c r="E6321" i="1"/>
  <c r="F6321" i="1"/>
  <c r="B6322" i="1"/>
  <c r="A6322" i="1"/>
  <c r="E6322" i="1"/>
  <c r="F6322" i="1"/>
  <c r="B6323" i="1"/>
  <c r="A6323" i="1"/>
  <c r="E6323" i="1"/>
  <c r="F6323" i="1"/>
  <c r="B6324" i="1"/>
  <c r="A6324" i="1"/>
  <c r="E6324" i="1"/>
  <c r="F6324" i="1"/>
  <c r="B6325" i="1"/>
  <c r="A6325" i="1"/>
  <c r="E6325" i="1"/>
  <c r="F6325" i="1"/>
  <c r="B6326" i="1"/>
  <c r="A6326" i="1"/>
  <c r="E6326" i="1"/>
  <c r="F6326" i="1"/>
  <c r="B6327" i="1"/>
  <c r="A6327" i="1"/>
  <c r="E6327" i="1"/>
  <c r="F6327" i="1"/>
  <c r="B6328" i="1"/>
  <c r="A6328" i="1"/>
  <c r="E6328" i="1"/>
  <c r="F6328" i="1"/>
  <c r="B6329" i="1"/>
  <c r="A6329" i="1"/>
  <c r="E6329" i="1"/>
  <c r="F6329" i="1"/>
  <c r="B6330" i="1"/>
  <c r="A6330" i="1"/>
  <c r="E6330" i="1"/>
  <c r="F6330" i="1"/>
  <c r="B6331" i="1"/>
  <c r="A6331" i="1"/>
  <c r="E6331" i="1"/>
  <c r="F6331" i="1"/>
  <c r="B6332" i="1"/>
  <c r="A6332" i="1"/>
  <c r="E6332" i="1"/>
  <c r="F6332" i="1"/>
  <c r="B6333" i="1"/>
  <c r="A6333" i="1"/>
  <c r="E6333" i="1"/>
  <c r="F6333" i="1"/>
  <c r="B6334" i="1"/>
  <c r="A6334" i="1"/>
  <c r="E6334" i="1"/>
  <c r="F6334" i="1"/>
  <c r="B6335" i="1"/>
  <c r="A6335" i="1"/>
  <c r="E6335" i="1"/>
  <c r="F6335" i="1"/>
  <c r="B6336" i="1"/>
  <c r="A6336" i="1"/>
  <c r="E6336" i="1"/>
  <c r="F6336" i="1"/>
  <c r="B6337" i="1"/>
  <c r="A6337" i="1"/>
  <c r="E6337" i="1"/>
  <c r="F6337" i="1"/>
  <c r="B6338" i="1"/>
  <c r="A6338" i="1"/>
  <c r="E6338" i="1"/>
  <c r="F6338" i="1"/>
  <c r="B6339" i="1"/>
  <c r="A6339" i="1"/>
  <c r="E6339" i="1"/>
  <c r="F6339" i="1"/>
  <c r="B6340" i="1"/>
  <c r="A6340" i="1"/>
  <c r="E6340" i="1"/>
  <c r="F6340" i="1"/>
  <c r="B6341" i="1"/>
  <c r="A6341" i="1"/>
  <c r="E6341" i="1"/>
  <c r="F6341" i="1"/>
  <c r="B6342" i="1"/>
  <c r="A6342" i="1"/>
  <c r="E6342" i="1"/>
  <c r="F6342" i="1"/>
  <c r="B6343" i="1"/>
  <c r="A6343" i="1"/>
  <c r="E6343" i="1"/>
  <c r="F6343" i="1"/>
  <c r="B6344" i="1"/>
  <c r="A6344" i="1"/>
  <c r="E6344" i="1"/>
  <c r="F6344" i="1"/>
  <c r="B6345" i="1"/>
  <c r="A6345" i="1"/>
  <c r="E6345" i="1"/>
  <c r="F6345" i="1"/>
  <c r="B6346" i="1"/>
  <c r="A6346" i="1"/>
  <c r="E6346" i="1"/>
  <c r="F6346" i="1"/>
  <c r="B6347" i="1"/>
  <c r="A6347" i="1"/>
  <c r="E6347" i="1"/>
  <c r="F6347" i="1"/>
  <c r="B6348" i="1"/>
  <c r="A6348" i="1"/>
  <c r="E6348" i="1"/>
  <c r="F6348" i="1"/>
  <c r="B6349" i="1"/>
  <c r="A6349" i="1"/>
  <c r="E6349" i="1"/>
  <c r="F6349" i="1"/>
  <c r="B6350" i="1"/>
  <c r="A6350" i="1"/>
  <c r="E6350" i="1"/>
  <c r="F6350" i="1"/>
  <c r="B6351" i="1"/>
  <c r="A6351" i="1"/>
  <c r="E6351" i="1"/>
  <c r="F6351" i="1"/>
  <c r="B6352" i="1"/>
  <c r="A6352" i="1"/>
  <c r="E6352" i="1"/>
  <c r="F6352" i="1"/>
  <c r="B6353" i="1"/>
  <c r="A6353" i="1"/>
  <c r="E6353" i="1"/>
  <c r="F6353" i="1"/>
  <c r="B6354" i="1"/>
  <c r="A6354" i="1"/>
  <c r="E6354" i="1"/>
  <c r="F6354" i="1"/>
  <c r="B6355" i="1"/>
  <c r="A6355" i="1"/>
  <c r="E6355" i="1"/>
  <c r="F6355" i="1"/>
  <c r="B6356" i="1"/>
  <c r="A6356" i="1"/>
  <c r="E6356" i="1"/>
  <c r="F6356" i="1"/>
  <c r="B6357" i="1"/>
  <c r="A6357" i="1"/>
  <c r="E6357" i="1"/>
  <c r="F6357" i="1"/>
  <c r="B6358" i="1"/>
  <c r="A6358" i="1"/>
  <c r="E6358" i="1"/>
  <c r="F6358" i="1"/>
  <c r="B6359" i="1"/>
  <c r="A6359" i="1"/>
  <c r="E6359" i="1"/>
  <c r="F6359" i="1"/>
  <c r="B6360" i="1"/>
  <c r="A6360" i="1"/>
  <c r="E6360" i="1"/>
  <c r="F6360" i="1"/>
  <c r="B6361" i="1"/>
  <c r="A6361" i="1"/>
  <c r="E6361" i="1"/>
  <c r="F6361" i="1"/>
  <c r="B6362" i="1"/>
  <c r="A6362" i="1"/>
  <c r="E6362" i="1"/>
  <c r="F6362" i="1"/>
  <c r="B6363" i="1"/>
  <c r="A6363" i="1"/>
  <c r="E6363" i="1"/>
  <c r="F6363" i="1"/>
  <c r="B6364" i="1"/>
  <c r="A6364" i="1"/>
  <c r="E6364" i="1"/>
  <c r="F6364" i="1"/>
  <c r="B6365" i="1"/>
  <c r="A6365" i="1"/>
  <c r="E6365" i="1"/>
  <c r="F6365" i="1"/>
  <c r="B6366" i="1"/>
  <c r="A6366" i="1"/>
  <c r="E6366" i="1"/>
  <c r="F6366" i="1"/>
  <c r="B6367" i="1"/>
  <c r="A6367" i="1"/>
  <c r="E6367" i="1"/>
  <c r="F6367" i="1"/>
  <c r="B6368" i="1"/>
  <c r="A6368" i="1"/>
  <c r="E6368" i="1"/>
  <c r="F6368" i="1"/>
  <c r="B6369" i="1"/>
  <c r="A6369" i="1"/>
  <c r="E6369" i="1"/>
  <c r="F6369" i="1"/>
  <c r="B6370" i="1"/>
  <c r="A6370" i="1"/>
  <c r="E6370" i="1"/>
  <c r="F6370" i="1"/>
  <c r="B6371" i="1"/>
  <c r="A6371" i="1"/>
  <c r="E6371" i="1"/>
  <c r="F6371" i="1"/>
  <c r="B6372" i="1"/>
  <c r="A6372" i="1"/>
  <c r="E6372" i="1"/>
  <c r="F6372" i="1"/>
  <c r="B6373" i="1"/>
  <c r="A6373" i="1"/>
  <c r="E6373" i="1"/>
  <c r="F6373" i="1"/>
  <c r="B6374" i="1"/>
  <c r="A6374" i="1"/>
  <c r="E6374" i="1"/>
  <c r="F6374" i="1"/>
  <c r="B6375" i="1"/>
  <c r="A6375" i="1"/>
  <c r="E6375" i="1"/>
  <c r="F6375" i="1"/>
  <c r="B6376" i="1"/>
  <c r="A6376" i="1"/>
  <c r="E6376" i="1"/>
  <c r="F6376" i="1"/>
  <c r="B6377" i="1"/>
  <c r="A6377" i="1"/>
  <c r="E6377" i="1"/>
  <c r="F6377" i="1"/>
  <c r="B6378" i="1"/>
  <c r="A6378" i="1"/>
  <c r="E6378" i="1"/>
  <c r="F6378" i="1"/>
  <c r="B6379" i="1"/>
  <c r="A6379" i="1"/>
  <c r="E6379" i="1"/>
  <c r="F6379" i="1"/>
  <c r="B6380" i="1"/>
  <c r="A6380" i="1"/>
  <c r="E6380" i="1"/>
  <c r="F6380" i="1"/>
  <c r="B6381" i="1"/>
  <c r="A6381" i="1"/>
  <c r="E6381" i="1"/>
  <c r="F6381" i="1"/>
  <c r="B6382" i="1"/>
  <c r="A6382" i="1"/>
  <c r="E6382" i="1"/>
  <c r="F6382" i="1"/>
  <c r="B6383" i="1"/>
  <c r="A6383" i="1"/>
  <c r="E6383" i="1"/>
  <c r="F6383" i="1"/>
  <c r="B6384" i="1"/>
  <c r="A6384" i="1"/>
  <c r="E6384" i="1"/>
  <c r="F6384" i="1"/>
  <c r="B6385" i="1"/>
  <c r="A6385" i="1"/>
  <c r="E6385" i="1"/>
  <c r="F6385" i="1"/>
  <c r="B6386" i="1"/>
  <c r="A6386" i="1"/>
  <c r="E6386" i="1"/>
  <c r="F6386" i="1"/>
  <c r="B6387" i="1"/>
  <c r="A6387" i="1"/>
  <c r="E6387" i="1"/>
  <c r="F6387" i="1"/>
  <c r="B6388" i="1"/>
  <c r="A6388" i="1"/>
  <c r="E6388" i="1"/>
  <c r="F6388" i="1"/>
  <c r="B6389" i="1"/>
  <c r="A6389" i="1"/>
  <c r="E6389" i="1"/>
  <c r="F6389" i="1"/>
  <c r="B6390" i="1"/>
  <c r="A6390" i="1"/>
  <c r="E6390" i="1"/>
  <c r="F6390" i="1"/>
  <c r="B6391" i="1"/>
  <c r="A6391" i="1"/>
  <c r="E6391" i="1"/>
  <c r="F6391" i="1"/>
  <c r="B6392" i="1"/>
  <c r="A6392" i="1"/>
  <c r="E6392" i="1"/>
  <c r="F6392" i="1"/>
  <c r="B6393" i="1"/>
  <c r="A6393" i="1"/>
  <c r="E6393" i="1"/>
  <c r="F6393" i="1"/>
  <c r="B6394" i="1"/>
  <c r="A6394" i="1"/>
  <c r="E6394" i="1"/>
  <c r="F6394" i="1"/>
  <c r="B6395" i="1"/>
  <c r="A6395" i="1"/>
  <c r="E6395" i="1"/>
  <c r="F6395" i="1"/>
  <c r="B6396" i="1"/>
  <c r="A6396" i="1"/>
  <c r="E6396" i="1"/>
  <c r="F6396" i="1"/>
  <c r="B6397" i="1"/>
  <c r="A6397" i="1"/>
  <c r="E6397" i="1"/>
  <c r="F6397" i="1"/>
  <c r="B6398" i="1"/>
  <c r="A6398" i="1"/>
  <c r="E6398" i="1"/>
  <c r="F6398" i="1"/>
  <c r="B6399" i="1"/>
  <c r="A6399" i="1"/>
  <c r="E6399" i="1"/>
  <c r="F6399" i="1"/>
  <c r="B6400" i="1"/>
  <c r="A6400" i="1"/>
  <c r="E6400" i="1"/>
  <c r="F6400" i="1"/>
  <c r="B6401" i="1"/>
  <c r="A6401" i="1"/>
  <c r="E6401" i="1"/>
  <c r="F6401" i="1"/>
  <c r="B6402" i="1"/>
  <c r="A6402" i="1"/>
  <c r="E6402" i="1"/>
  <c r="F6402" i="1"/>
  <c r="B6403" i="1"/>
  <c r="A6403" i="1"/>
  <c r="E6403" i="1"/>
  <c r="F6403" i="1"/>
  <c r="B6404" i="1"/>
  <c r="A6404" i="1"/>
  <c r="E6404" i="1"/>
  <c r="F6404" i="1"/>
  <c r="B6405" i="1"/>
  <c r="A6405" i="1"/>
  <c r="E6405" i="1"/>
  <c r="F6405" i="1"/>
  <c r="B6406" i="1"/>
  <c r="A6406" i="1"/>
  <c r="E6406" i="1"/>
  <c r="F6406" i="1"/>
  <c r="B6407" i="1"/>
  <c r="A6407" i="1"/>
  <c r="E6407" i="1"/>
  <c r="F6407" i="1"/>
  <c r="B6408" i="1"/>
  <c r="A6408" i="1"/>
  <c r="E6408" i="1"/>
  <c r="F6408" i="1"/>
  <c r="B6409" i="1"/>
  <c r="A6409" i="1"/>
  <c r="E6409" i="1"/>
  <c r="F6409" i="1"/>
  <c r="B6410" i="1"/>
  <c r="A6410" i="1"/>
  <c r="E6410" i="1"/>
  <c r="F6410" i="1"/>
  <c r="B6411" i="1"/>
  <c r="A6411" i="1"/>
  <c r="E6411" i="1"/>
  <c r="F6411" i="1"/>
  <c r="B6412" i="1"/>
  <c r="A6412" i="1"/>
  <c r="E6412" i="1"/>
  <c r="F6412" i="1"/>
  <c r="B6413" i="1"/>
  <c r="A6413" i="1"/>
  <c r="E6413" i="1"/>
  <c r="F6413" i="1"/>
  <c r="B6414" i="1"/>
  <c r="A6414" i="1"/>
  <c r="E6414" i="1"/>
  <c r="F6414" i="1"/>
  <c r="B6415" i="1"/>
  <c r="A6415" i="1"/>
  <c r="E6415" i="1"/>
  <c r="F6415" i="1"/>
  <c r="B6416" i="1"/>
  <c r="A6416" i="1"/>
  <c r="E6416" i="1"/>
  <c r="F6416" i="1"/>
  <c r="B6417" i="1"/>
  <c r="A6417" i="1"/>
  <c r="E6417" i="1"/>
  <c r="F6417" i="1"/>
  <c r="B6418" i="1"/>
  <c r="A6418" i="1"/>
  <c r="E6418" i="1"/>
  <c r="F6418" i="1"/>
  <c r="B6419" i="1"/>
  <c r="A6419" i="1"/>
  <c r="E6419" i="1"/>
  <c r="F6419" i="1"/>
  <c r="B6420" i="1"/>
  <c r="A6420" i="1"/>
  <c r="E6420" i="1"/>
  <c r="F6420" i="1"/>
  <c r="B6421" i="1"/>
  <c r="A6421" i="1"/>
  <c r="E6421" i="1"/>
  <c r="F6421" i="1"/>
  <c r="B6422" i="1"/>
  <c r="A6422" i="1"/>
  <c r="E6422" i="1"/>
  <c r="F6422" i="1"/>
  <c r="B6423" i="1"/>
  <c r="A6423" i="1"/>
  <c r="E6423" i="1"/>
  <c r="F6423" i="1"/>
  <c r="B6424" i="1"/>
  <c r="A6424" i="1"/>
  <c r="E6424" i="1"/>
  <c r="F6424" i="1"/>
  <c r="B6425" i="1"/>
  <c r="A6425" i="1"/>
  <c r="E6425" i="1"/>
  <c r="F6425" i="1"/>
  <c r="B6426" i="1"/>
  <c r="A6426" i="1"/>
  <c r="E6426" i="1"/>
  <c r="F6426" i="1"/>
  <c r="B6427" i="1"/>
  <c r="A6427" i="1"/>
  <c r="E6427" i="1"/>
  <c r="F6427" i="1"/>
  <c r="B6428" i="1"/>
  <c r="A6428" i="1"/>
  <c r="E6428" i="1"/>
  <c r="F6428" i="1"/>
  <c r="B6429" i="1"/>
  <c r="A6429" i="1"/>
  <c r="E6429" i="1"/>
  <c r="F6429" i="1"/>
  <c r="B6430" i="1"/>
  <c r="A6430" i="1"/>
  <c r="E6430" i="1"/>
  <c r="F6430" i="1"/>
  <c r="B6431" i="1"/>
  <c r="A6431" i="1"/>
  <c r="E6431" i="1"/>
  <c r="F6431" i="1"/>
  <c r="B6432" i="1"/>
  <c r="A6432" i="1"/>
  <c r="E6432" i="1"/>
  <c r="F6432" i="1"/>
  <c r="B6433" i="1"/>
  <c r="A6433" i="1"/>
  <c r="E6433" i="1"/>
  <c r="F6433" i="1"/>
  <c r="B6434" i="1"/>
  <c r="A6434" i="1"/>
  <c r="E6434" i="1"/>
  <c r="F6434" i="1"/>
  <c r="B6435" i="1"/>
  <c r="A6435" i="1"/>
  <c r="E6435" i="1"/>
  <c r="F6435" i="1"/>
  <c r="B6436" i="1"/>
  <c r="A6436" i="1"/>
  <c r="E6436" i="1"/>
  <c r="F6436" i="1"/>
  <c r="B6437" i="1"/>
  <c r="A6437" i="1"/>
  <c r="E6437" i="1"/>
  <c r="F6437" i="1"/>
  <c r="B6438" i="1"/>
  <c r="A6438" i="1"/>
  <c r="E6438" i="1"/>
  <c r="F6438" i="1"/>
  <c r="B6439" i="1"/>
  <c r="A6439" i="1"/>
  <c r="E6439" i="1"/>
  <c r="F6439" i="1"/>
  <c r="B6440" i="1"/>
  <c r="A6440" i="1"/>
  <c r="E6440" i="1"/>
  <c r="F6440" i="1"/>
  <c r="B6441" i="1"/>
  <c r="A6441" i="1"/>
  <c r="E6441" i="1"/>
  <c r="F6441" i="1"/>
  <c r="B6442" i="1"/>
  <c r="A6442" i="1"/>
  <c r="E6442" i="1"/>
  <c r="F6442" i="1"/>
  <c r="B6443" i="1"/>
  <c r="A6443" i="1"/>
  <c r="E6443" i="1"/>
  <c r="F6443" i="1"/>
  <c r="B6444" i="1"/>
  <c r="A6444" i="1"/>
  <c r="E6444" i="1"/>
  <c r="F6444" i="1"/>
  <c r="B6445" i="1"/>
  <c r="A6445" i="1"/>
  <c r="E6445" i="1"/>
  <c r="F6445" i="1"/>
  <c r="B6446" i="1"/>
  <c r="A6446" i="1"/>
  <c r="E6446" i="1"/>
  <c r="F6446" i="1"/>
  <c r="B6447" i="1"/>
  <c r="A6447" i="1"/>
  <c r="E6447" i="1"/>
  <c r="F6447" i="1"/>
  <c r="B6448" i="1"/>
  <c r="A6448" i="1"/>
  <c r="E6448" i="1"/>
  <c r="F6448" i="1"/>
  <c r="B6449" i="1"/>
  <c r="A6449" i="1"/>
  <c r="E6449" i="1"/>
  <c r="F6449" i="1"/>
  <c r="B6450" i="1"/>
  <c r="A6450" i="1"/>
  <c r="E6450" i="1"/>
  <c r="F6450" i="1"/>
  <c r="B6451" i="1"/>
  <c r="A6451" i="1"/>
  <c r="E6451" i="1"/>
  <c r="F6451" i="1"/>
  <c r="B6452" i="1"/>
  <c r="A6452" i="1"/>
  <c r="E6452" i="1"/>
  <c r="F6452" i="1"/>
  <c r="B6453" i="1"/>
  <c r="A6453" i="1"/>
  <c r="E6453" i="1"/>
  <c r="F6453" i="1"/>
  <c r="B6454" i="1"/>
  <c r="A6454" i="1"/>
  <c r="E6454" i="1"/>
  <c r="F6454" i="1"/>
  <c r="B6455" i="1"/>
  <c r="A6455" i="1"/>
  <c r="E6455" i="1"/>
  <c r="F6455" i="1"/>
  <c r="B6456" i="1"/>
  <c r="A6456" i="1"/>
  <c r="E6456" i="1"/>
  <c r="F6456" i="1"/>
  <c r="B6457" i="1"/>
  <c r="A6457" i="1"/>
  <c r="E6457" i="1"/>
  <c r="F6457" i="1"/>
  <c r="B6458" i="1"/>
  <c r="A6458" i="1"/>
  <c r="E6458" i="1"/>
  <c r="F6458" i="1"/>
  <c r="B6459" i="1"/>
  <c r="A6459" i="1"/>
  <c r="E6459" i="1"/>
  <c r="F6459" i="1"/>
  <c r="B6460" i="1"/>
  <c r="A6460" i="1"/>
  <c r="E6460" i="1"/>
  <c r="F6460" i="1"/>
  <c r="B6461" i="1"/>
  <c r="A6461" i="1"/>
  <c r="E6461" i="1"/>
  <c r="F6461" i="1"/>
  <c r="B6462" i="1"/>
  <c r="A6462" i="1"/>
  <c r="E6462" i="1"/>
  <c r="F6462" i="1"/>
  <c r="B6463" i="1"/>
  <c r="A6463" i="1"/>
  <c r="E6463" i="1"/>
  <c r="F6463" i="1"/>
  <c r="B6464" i="1"/>
  <c r="A6464" i="1"/>
  <c r="E6464" i="1"/>
  <c r="F6464" i="1"/>
  <c r="B6465" i="1"/>
  <c r="A6465" i="1"/>
  <c r="E6465" i="1"/>
  <c r="F6465" i="1"/>
  <c r="B6466" i="1"/>
  <c r="A6466" i="1"/>
  <c r="E6466" i="1"/>
  <c r="F6466" i="1"/>
  <c r="B6467" i="1"/>
  <c r="A6467" i="1"/>
  <c r="E6467" i="1"/>
  <c r="F6467" i="1"/>
  <c r="B6468" i="1"/>
  <c r="A6468" i="1"/>
  <c r="E6468" i="1"/>
  <c r="F6468" i="1"/>
  <c r="B6469" i="1"/>
  <c r="A6469" i="1"/>
  <c r="E6469" i="1"/>
  <c r="F6469" i="1"/>
  <c r="B6470" i="1"/>
  <c r="A6470" i="1"/>
  <c r="E6470" i="1"/>
  <c r="F6470" i="1"/>
  <c r="B6471" i="1"/>
  <c r="A6471" i="1"/>
  <c r="E6471" i="1"/>
  <c r="F6471" i="1"/>
  <c r="B6472" i="1"/>
  <c r="A6472" i="1"/>
  <c r="E6472" i="1"/>
  <c r="F6472" i="1"/>
  <c r="B6473" i="1"/>
  <c r="A6473" i="1"/>
  <c r="E6473" i="1"/>
  <c r="F6473" i="1"/>
  <c r="B6474" i="1"/>
  <c r="A6474" i="1"/>
  <c r="E6474" i="1"/>
  <c r="F6474" i="1"/>
  <c r="B6475" i="1"/>
  <c r="A6475" i="1"/>
  <c r="E6475" i="1"/>
  <c r="F6475" i="1"/>
  <c r="B6476" i="1"/>
  <c r="A6476" i="1"/>
  <c r="E6476" i="1"/>
  <c r="F6476" i="1"/>
  <c r="B6477" i="1"/>
  <c r="A6477" i="1"/>
  <c r="E6477" i="1"/>
  <c r="F6477" i="1"/>
  <c r="B6478" i="1"/>
  <c r="A6478" i="1"/>
  <c r="E6478" i="1"/>
  <c r="F6478" i="1"/>
  <c r="B6479" i="1"/>
  <c r="A6479" i="1"/>
  <c r="E6479" i="1"/>
  <c r="F6479" i="1"/>
  <c r="B6480" i="1"/>
  <c r="A6480" i="1"/>
  <c r="E6480" i="1"/>
  <c r="F6480" i="1"/>
  <c r="B6481" i="1"/>
  <c r="A6481" i="1"/>
  <c r="E6481" i="1"/>
  <c r="F6481" i="1"/>
  <c r="B6482" i="1"/>
  <c r="A6482" i="1"/>
  <c r="E6482" i="1"/>
  <c r="F6482" i="1"/>
  <c r="B6483" i="1"/>
  <c r="A6483" i="1"/>
  <c r="E6483" i="1"/>
  <c r="F6483" i="1"/>
  <c r="B6484" i="1"/>
  <c r="A6484" i="1"/>
  <c r="E6484" i="1"/>
  <c r="F6484" i="1"/>
  <c r="B6485" i="1"/>
  <c r="A6485" i="1"/>
  <c r="E6485" i="1"/>
  <c r="F6485" i="1"/>
  <c r="B6486" i="1"/>
  <c r="A6486" i="1"/>
  <c r="E6486" i="1"/>
  <c r="F6486" i="1"/>
  <c r="B6487" i="1"/>
  <c r="A6487" i="1"/>
  <c r="E6487" i="1"/>
  <c r="F6487" i="1"/>
  <c r="B6488" i="1"/>
  <c r="A6488" i="1"/>
  <c r="E6488" i="1"/>
  <c r="F6488" i="1"/>
  <c r="B6489" i="1"/>
  <c r="A6489" i="1"/>
  <c r="E6489" i="1"/>
  <c r="F6489" i="1"/>
  <c r="B6490" i="1"/>
  <c r="A6490" i="1"/>
  <c r="E6490" i="1"/>
  <c r="F6490" i="1"/>
  <c r="B6491" i="1"/>
  <c r="A6491" i="1"/>
  <c r="E6491" i="1"/>
  <c r="F6491" i="1"/>
  <c r="B6492" i="1"/>
  <c r="A6492" i="1"/>
  <c r="E6492" i="1"/>
  <c r="F6492" i="1"/>
  <c r="B6493" i="1"/>
  <c r="A6493" i="1"/>
  <c r="E6493" i="1"/>
  <c r="F6493" i="1"/>
  <c r="B6494" i="1"/>
  <c r="A6494" i="1"/>
  <c r="E6494" i="1"/>
  <c r="F6494" i="1"/>
  <c r="B6495" i="1"/>
  <c r="A6495" i="1"/>
  <c r="E6495" i="1"/>
  <c r="F6495" i="1"/>
  <c r="B6496" i="1"/>
  <c r="A6496" i="1"/>
  <c r="E6496" i="1"/>
  <c r="F6496" i="1"/>
  <c r="B6497" i="1"/>
  <c r="A6497" i="1"/>
  <c r="E6497" i="1"/>
  <c r="F6497" i="1"/>
  <c r="B6498" i="1"/>
  <c r="A6498" i="1"/>
  <c r="E6498" i="1"/>
  <c r="F6498" i="1"/>
  <c r="B6499" i="1"/>
  <c r="A6499" i="1"/>
  <c r="E6499" i="1"/>
  <c r="F6499" i="1"/>
  <c r="B6500" i="1"/>
  <c r="A6500" i="1"/>
  <c r="E6500" i="1"/>
  <c r="F6500" i="1"/>
  <c r="B6501" i="1"/>
  <c r="A6501" i="1"/>
  <c r="E6501" i="1"/>
  <c r="F6501" i="1"/>
  <c r="B6502" i="1"/>
  <c r="A6502" i="1"/>
  <c r="E6502" i="1"/>
  <c r="F6502" i="1"/>
  <c r="B6503" i="1"/>
  <c r="A6503" i="1"/>
  <c r="E6503" i="1"/>
  <c r="F6503" i="1"/>
  <c r="B6504" i="1"/>
  <c r="A6504" i="1"/>
  <c r="E6504" i="1"/>
  <c r="F6504" i="1"/>
  <c r="B6505" i="1"/>
  <c r="A6505" i="1"/>
  <c r="E6505" i="1"/>
  <c r="F6505" i="1"/>
  <c r="B6506" i="1"/>
  <c r="A6506" i="1"/>
  <c r="E6506" i="1"/>
  <c r="F6506" i="1"/>
  <c r="B6507" i="1"/>
  <c r="A6507" i="1"/>
  <c r="E6507" i="1"/>
  <c r="F6507" i="1"/>
  <c r="B6508" i="1"/>
  <c r="A6508" i="1"/>
  <c r="E6508" i="1"/>
  <c r="F6508" i="1"/>
  <c r="B6509" i="1"/>
  <c r="A6509" i="1"/>
  <c r="E6509" i="1"/>
  <c r="F6509" i="1"/>
  <c r="B6510" i="1"/>
  <c r="A6510" i="1"/>
  <c r="E6510" i="1"/>
  <c r="F6510" i="1"/>
  <c r="B6511" i="1"/>
  <c r="A6511" i="1"/>
  <c r="E6511" i="1"/>
  <c r="F6511" i="1"/>
  <c r="B6512" i="1"/>
  <c r="A6512" i="1"/>
  <c r="E6512" i="1"/>
  <c r="F6512" i="1"/>
  <c r="B6513" i="1"/>
  <c r="A6513" i="1"/>
  <c r="E6513" i="1"/>
  <c r="F6513" i="1"/>
  <c r="B6514" i="1"/>
  <c r="A6514" i="1"/>
  <c r="E6514" i="1"/>
  <c r="F6514" i="1"/>
  <c r="B6515" i="1"/>
  <c r="A6515" i="1"/>
  <c r="E6515" i="1"/>
  <c r="F6515" i="1"/>
  <c r="B6516" i="1"/>
  <c r="A6516" i="1"/>
  <c r="E6516" i="1"/>
  <c r="F6516" i="1"/>
  <c r="B6517" i="1"/>
  <c r="A6517" i="1"/>
  <c r="E6517" i="1"/>
  <c r="F6517" i="1"/>
  <c r="B6518" i="1"/>
  <c r="A6518" i="1"/>
  <c r="E6518" i="1"/>
  <c r="F6518" i="1"/>
  <c r="B6519" i="1"/>
  <c r="A6519" i="1"/>
  <c r="E6519" i="1"/>
  <c r="F6519" i="1"/>
  <c r="B6520" i="1"/>
  <c r="A6520" i="1"/>
  <c r="E6520" i="1"/>
  <c r="F6520" i="1"/>
  <c r="B6521" i="1"/>
  <c r="A6521" i="1"/>
  <c r="E6521" i="1"/>
  <c r="F6521" i="1"/>
  <c r="B6522" i="1"/>
  <c r="A6522" i="1"/>
  <c r="E6522" i="1"/>
  <c r="F6522" i="1"/>
  <c r="B6523" i="1"/>
  <c r="A6523" i="1"/>
  <c r="E6523" i="1"/>
  <c r="F6523" i="1"/>
  <c r="B6524" i="1"/>
  <c r="A6524" i="1"/>
  <c r="E6524" i="1"/>
  <c r="F6524" i="1"/>
  <c r="B6525" i="1"/>
  <c r="A6525" i="1"/>
  <c r="E6525" i="1"/>
  <c r="F6525" i="1"/>
  <c r="B6526" i="1"/>
  <c r="A6526" i="1"/>
  <c r="E6526" i="1"/>
  <c r="F6526" i="1"/>
  <c r="B6527" i="1"/>
  <c r="A6527" i="1"/>
  <c r="E6527" i="1"/>
  <c r="F6527" i="1"/>
  <c r="B6528" i="1"/>
  <c r="A6528" i="1"/>
  <c r="E6528" i="1"/>
  <c r="F6528" i="1"/>
  <c r="B6529" i="1"/>
  <c r="A6529" i="1"/>
  <c r="E6529" i="1"/>
  <c r="F6529" i="1"/>
  <c r="B6530" i="1"/>
  <c r="A6530" i="1"/>
  <c r="E6530" i="1"/>
  <c r="F6530" i="1"/>
  <c r="B6531" i="1"/>
  <c r="A6531" i="1"/>
  <c r="E6531" i="1"/>
  <c r="F6531" i="1"/>
  <c r="B6532" i="1"/>
  <c r="A6532" i="1"/>
  <c r="E6532" i="1"/>
  <c r="F6532" i="1"/>
  <c r="B6533" i="1"/>
  <c r="A6533" i="1"/>
  <c r="E6533" i="1"/>
  <c r="F6533" i="1"/>
  <c r="B6534" i="1"/>
  <c r="A6534" i="1"/>
  <c r="E6534" i="1"/>
  <c r="F6534" i="1"/>
  <c r="B6535" i="1"/>
  <c r="A6535" i="1"/>
  <c r="E6535" i="1"/>
  <c r="F6535" i="1"/>
  <c r="B6536" i="1"/>
  <c r="A6536" i="1"/>
  <c r="E6536" i="1"/>
  <c r="F6536" i="1"/>
  <c r="B6537" i="1"/>
  <c r="A6537" i="1"/>
  <c r="E6537" i="1"/>
  <c r="F6537" i="1"/>
  <c r="B6538" i="1"/>
  <c r="A6538" i="1"/>
  <c r="E6538" i="1"/>
  <c r="F6538" i="1"/>
  <c r="B6539" i="1"/>
  <c r="A6539" i="1"/>
  <c r="E6539" i="1"/>
  <c r="F6539" i="1"/>
  <c r="B6540" i="1"/>
  <c r="A6540" i="1"/>
  <c r="E6540" i="1"/>
  <c r="F6540" i="1"/>
  <c r="B6541" i="1"/>
  <c r="A6541" i="1"/>
  <c r="E6541" i="1"/>
  <c r="F6541" i="1"/>
  <c r="B6542" i="1"/>
  <c r="A6542" i="1"/>
  <c r="E6542" i="1"/>
  <c r="F6542" i="1"/>
  <c r="B6543" i="1"/>
  <c r="A6543" i="1"/>
  <c r="E6543" i="1"/>
  <c r="F6543" i="1"/>
  <c r="B6544" i="1"/>
  <c r="A6544" i="1"/>
  <c r="E6544" i="1"/>
  <c r="F6544" i="1"/>
  <c r="B6545" i="1"/>
  <c r="A6545" i="1"/>
  <c r="E6545" i="1"/>
  <c r="F6545" i="1"/>
  <c r="B6546" i="1"/>
  <c r="A6546" i="1"/>
  <c r="E6546" i="1"/>
  <c r="F6546" i="1"/>
  <c r="B6547" i="1"/>
  <c r="A6547" i="1"/>
  <c r="E6547" i="1"/>
  <c r="F6547" i="1"/>
  <c r="B6548" i="1"/>
  <c r="A6548" i="1"/>
  <c r="E6548" i="1"/>
  <c r="F6548" i="1"/>
  <c r="B6549" i="1"/>
  <c r="A6549" i="1"/>
  <c r="E6549" i="1"/>
  <c r="F6549" i="1"/>
  <c r="B6550" i="1"/>
  <c r="A6550" i="1"/>
  <c r="E6550" i="1"/>
  <c r="F6550" i="1"/>
  <c r="B6551" i="1"/>
  <c r="A6551" i="1"/>
  <c r="E6551" i="1"/>
  <c r="F6551" i="1"/>
  <c r="B6552" i="1"/>
  <c r="A6552" i="1"/>
  <c r="E6552" i="1"/>
  <c r="F6552" i="1"/>
  <c r="B6553" i="1"/>
  <c r="A6553" i="1"/>
  <c r="E6553" i="1"/>
  <c r="F6553" i="1"/>
  <c r="B6554" i="1"/>
  <c r="A6554" i="1"/>
  <c r="E6554" i="1"/>
  <c r="F6554" i="1"/>
  <c r="B6555" i="1"/>
  <c r="A6555" i="1"/>
  <c r="E6555" i="1"/>
  <c r="F6555" i="1"/>
  <c r="B6556" i="1"/>
  <c r="A6556" i="1"/>
  <c r="E6556" i="1"/>
  <c r="F6556" i="1"/>
  <c r="B6557" i="1"/>
  <c r="A6557" i="1"/>
  <c r="E6557" i="1"/>
  <c r="F6557" i="1"/>
  <c r="B6558" i="1"/>
  <c r="A6558" i="1"/>
  <c r="E6558" i="1"/>
  <c r="F6558" i="1"/>
  <c r="B6559" i="1"/>
  <c r="A6559" i="1"/>
  <c r="E6559" i="1"/>
  <c r="F6559" i="1"/>
  <c r="B6560" i="1"/>
  <c r="A6560" i="1"/>
  <c r="E6560" i="1"/>
  <c r="F6560" i="1"/>
  <c r="B6561" i="1"/>
  <c r="A6561" i="1"/>
  <c r="E6561" i="1"/>
  <c r="F6561" i="1"/>
  <c r="B6562" i="1"/>
  <c r="A6562" i="1"/>
  <c r="E6562" i="1"/>
  <c r="F6562" i="1"/>
  <c r="B6563" i="1"/>
  <c r="A6563" i="1"/>
  <c r="E6563" i="1"/>
  <c r="F6563" i="1"/>
  <c r="B6564" i="1"/>
  <c r="A6564" i="1"/>
  <c r="E6564" i="1"/>
  <c r="F6564" i="1"/>
  <c r="B6565" i="1"/>
  <c r="A6565" i="1"/>
  <c r="E6565" i="1"/>
  <c r="F6565" i="1"/>
  <c r="B6566" i="1"/>
  <c r="A6566" i="1"/>
  <c r="E6566" i="1"/>
  <c r="F6566" i="1"/>
  <c r="B6567" i="1"/>
  <c r="A6567" i="1"/>
  <c r="E6567" i="1"/>
  <c r="F6567" i="1"/>
  <c r="B6568" i="1"/>
  <c r="A6568" i="1"/>
  <c r="E6568" i="1"/>
  <c r="F6568" i="1"/>
  <c r="B6569" i="1"/>
  <c r="A6569" i="1"/>
  <c r="E6569" i="1"/>
  <c r="F6569" i="1"/>
  <c r="B6570" i="1"/>
  <c r="A6570" i="1"/>
  <c r="E6570" i="1"/>
  <c r="F6570" i="1"/>
  <c r="B6571" i="1"/>
  <c r="A6571" i="1"/>
  <c r="E6571" i="1"/>
  <c r="F6571" i="1"/>
  <c r="B6572" i="1"/>
  <c r="A6572" i="1"/>
  <c r="E6572" i="1"/>
  <c r="F6572" i="1"/>
  <c r="B6573" i="1"/>
  <c r="A6573" i="1"/>
  <c r="E6573" i="1"/>
  <c r="F6573" i="1"/>
  <c r="B6574" i="1"/>
  <c r="A6574" i="1"/>
  <c r="E6574" i="1"/>
  <c r="F6574" i="1"/>
  <c r="B6575" i="1"/>
  <c r="A6575" i="1"/>
  <c r="E6575" i="1"/>
  <c r="F6575" i="1"/>
  <c r="B6576" i="1"/>
  <c r="A6576" i="1"/>
  <c r="E6576" i="1"/>
  <c r="F6576" i="1"/>
  <c r="B6577" i="1"/>
  <c r="A6577" i="1"/>
  <c r="E6577" i="1"/>
  <c r="F6577" i="1"/>
  <c r="B6578" i="1"/>
  <c r="A6578" i="1"/>
  <c r="E6578" i="1"/>
  <c r="F6578" i="1"/>
  <c r="B6579" i="1"/>
  <c r="A6579" i="1"/>
  <c r="E6579" i="1"/>
  <c r="F6579" i="1"/>
  <c r="B6580" i="1"/>
  <c r="A6580" i="1"/>
  <c r="E6580" i="1"/>
  <c r="F6580" i="1"/>
  <c r="B6581" i="1"/>
  <c r="A6581" i="1"/>
  <c r="E6581" i="1"/>
  <c r="F6581" i="1"/>
  <c r="B6582" i="1"/>
  <c r="A6582" i="1"/>
  <c r="E6582" i="1"/>
  <c r="F6582" i="1"/>
  <c r="B6583" i="1"/>
  <c r="A6583" i="1"/>
  <c r="E6583" i="1"/>
  <c r="F6583" i="1"/>
  <c r="B6584" i="1"/>
  <c r="A6584" i="1"/>
  <c r="E6584" i="1"/>
  <c r="F6584" i="1"/>
  <c r="B6585" i="1"/>
  <c r="A6585" i="1"/>
  <c r="E6585" i="1"/>
  <c r="F6585" i="1"/>
  <c r="B6586" i="1"/>
  <c r="A6586" i="1"/>
  <c r="E6586" i="1"/>
  <c r="F6586" i="1"/>
  <c r="B6587" i="1"/>
  <c r="A6587" i="1"/>
  <c r="E6587" i="1"/>
  <c r="F6587" i="1"/>
  <c r="B6588" i="1"/>
  <c r="A6588" i="1"/>
  <c r="E6588" i="1"/>
  <c r="F6588" i="1"/>
  <c r="B6589" i="1"/>
  <c r="A6589" i="1"/>
  <c r="E6589" i="1"/>
  <c r="F6589" i="1"/>
  <c r="B6590" i="1"/>
  <c r="A6590" i="1"/>
  <c r="E6590" i="1"/>
  <c r="F6590" i="1"/>
  <c r="B6591" i="1"/>
  <c r="A6591" i="1"/>
  <c r="E6591" i="1"/>
  <c r="F6591" i="1"/>
  <c r="B6592" i="1"/>
  <c r="A6592" i="1"/>
  <c r="E6592" i="1"/>
  <c r="F6592" i="1"/>
  <c r="B6593" i="1"/>
  <c r="A6593" i="1"/>
  <c r="E6593" i="1"/>
  <c r="F6593" i="1"/>
  <c r="B6594" i="1"/>
  <c r="A6594" i="1"/>
  <c r="E6594" i="1"/>
  <c r="F6594" i="1"/>
  <c r="B6595" i="1"/>
  <c r="A6595" i="1"/>
  <c r="E6595" i="1"/>
  <c r="F6595" i="1"/>
  <c r="B6596" i="1"/>
  <c r="A6596" i="1"/>
  <c r="E6596" i="1"/>
  <c r="F6596" i="1"/>
  <c r="B6597" i="1"/>
  <c r="A6597" i="1"/>
  <c r="E6597" i="1"/>
  <c r="F6597" i="1"/>
  <c r="B6598" i="1"/>
  <c r="A6598" i="1"/>
  <c r="E6598" i="1"/>
  <c r="F6598" i="1"/>
  <c r="B6599" i="1"/>
  <c r="A6599" i="1"/>
  <c r="E6599" i="1"/>
  <c r="F6599" i="1"/>
  <c r="B6600" i="1"/>
  <c r="A6600" i="1"/>
  <c r="E6600" i="1"/>
  <c r="F6600" i="1"/>
  <c r="B6601" i="1"/>
  <c r="A6601" i="1"/>
  <c r="E6601" i="1"/>
  <c r="F6601" i="1"/>
  <c r="B6602" i="1"/>
  <c r="A6602" i="1"/>
  <c r="E6602" i="1"/>
  <c r="F6602" i="1"/>
  <c r="B6603" i="1"/>
  <c r="A6603" i="1"/>
  <c r="E6603" i="1"/>
  <c r="F6603" i="1"/>
  <c r="B6604" i="1"/>
  <c r="A6604" i="1"/>
  <c r="E6604" i="1"/>
  <c r="F6604" i="1"/>
  <c r="B6605" i="1"/>
  <c r="A6605" i="1"/>
  <c r="E6605" i="1"/>
  <c r="F6605" i="1"/>
  <c r="B6606" i="1"/>
  <c r="A6606" i="1"/>
  <c r="E6606" i="1"/>
  <c r="F6606" i="1"/>
  <c r="B6607" i="1"/>
  <c r="A6607" i="1"/>
  <c r="E6607" i="1"/>
  <c r="F6607" i="1"/>
  <c r="B6608" i="1"/>
  <c r="A6608" i="1"/>
  <c r="E6608" i="1"/>
  <c r="F6608" i="1"/>
  <c r="B6609" i="1"/>
  <c r="A6609" i="1"/>
  <c r="E6609" i="1"/>
  <c r="F6609" i="1"/>
  <c r="B6610" i="1"/>
  <c r="A6610" i="1"/>
  <c r="E6610" i="1"/>
  <c r="F6610" i="1"/>
  <c r="B6611" i="1"/>
  <c r="A6611" i="1"/>
  <c r="E6611" i="1"/>
  <c r="F6611" i="1"/>
  <c r="B6612" i="1"/>
  <c r="A6612" i="1"/>
  <c r="E6612" i="1"/>
  <c r="F6612" i="1"/>
  <c r="B6613" i="1"/>
  <c r="A6613" i="1"/>
  <c r="E6613" i="1"/>
  <c r="F6613" i="1"/>
  <c r="B6614" i="1"/>
  <c r="A6614" i="1"/>
  <c r="E6614" i="1"/>
  <c r="F6614" i="1"/>
  <c r="B6615" i="1"/>
  <c r="A6615" i="1"/>
  <c r="E6615" i="1"/>
  <c r="F6615" i="1"/>
  <c r="B6616" i="1"/>
  <c r="A6616" i="1"/>
  <c r="E6616" i="1"/>
  <c r="F6616" i="1"/>
  <c r="B6617" i="1"/>
  <c r="A6617" i="1"/>
  <c r="E6617" i="1"/>
  <c r="F6617" i="1"/>
  <c r="B6618" i="1"/>
  <c r="A6618" i="1"/>
  <c r="E6618" i="1"/>
  <c r="F6618" i="1"/>
  <c r="B6619" i="1"/>
  <c r="A6619" i="1"/>
  <c r="E6619" i="1"/>
  <c r="F6619" i="1"/>
  <c r="B6620" i="1"/>
  <c r="A6620" i="1"/>
  <c r="E6620" i="1"/>
  <c r="F6620" i="1"/>
  <c r="B6621" i="1"/>
  <c r="A6621" i="1"/>
  <c r="E6621" i="1"/>
  <c r="F6621" i="1"/>
  <c r="B6622" i="1"/>
  <c r="A6622" i="1"/>
  <c r="E6622" i="1"/>
  <c r="F6622" i="1"/>
  <c r="B6623" i="1"/>
  <c r="A6623" i="1"/>
  <c r="E6623" i="1"/>
  <c r="F6623" i="1"/>
  <c r="B6624" i="1"/>
  <c r="A6624" i="1"/>
  <c r="E6624" i="1"/>
  <c r="F6624" i="1"/>
  <c r="B6625" i="1"/>
  <c r="A6625" i="1"/>
  <c r="E6625" i="1"/>
  <c r="F6625" i="1"/>
  <c r="B6626" i="1"/>
  <c r="A6626" i="1"/>
  <c r="E6626" i="1"/>
  <c r="F6626" i="1"/>
  <c r="B6627" i="1"/>
  <c r="A6627" i="1"/>
  <c r="E6627" i="1"/>
  <c r="F6627" i="1"/>
  <c r="B6628" i="1"/>
  <c r="A6628" i="1"/>
  <c r="E6628" i="1"/>
  <c r="F6628" i="1"/>
  <c r="B6629" i="1"/>
  <c r="A6629" i="1"/>
  <c r="E6629" i="1"/>
  <c r="F6629" i="1"/>
  <c r="B6630" i="1"/>
  <c r="A6630" i="1"/>
  <c r="E6630" i="1"/>
  <c r="F6630" i="1"/>
  <c r="B6631" i="1"/>
  <c r="A6631" i="1"/>
  <c r="E6631" i="1"/>
  <c r="F6631" i="1"/>
  <c r="B6632" i="1"/>
  <c r="A6632" i="1"/>
  <c r="E6632" i="1"/>
  <c r="F6632" i="1"/>
  <c r="B6633" i="1"/>
  <c r="A6633" i="1"/>
  <c r="E6633" i="1"/>
  <c r="F6633" i="1"/>
  <c r="B6634" i="1"/>
  <c r="A6634" i="1"/>
  <c r="E6634" i="1"/>
  <c r="F6634" i="1"/>
  <c r="B6635" i="1"/>
  <c r="A6635" i="1"/>
  <c r="E6635" i="1"/>
  <c r="F6635" i="1"/>
  <c r="B6636" i="1"/>
  <c r="A6636" i="1"/>
  <c r="E6636" i="1"/>
  <c r="F6636" i="1"/>
  <c r="B6637" i="1"/>
  <c r="A6637" i="1"/>
  <c r="E6637" i="1"/>
  <c r="F6637" i="1"/>
  <c r="B6638" i="1"/>
  <c r="A6638" i="1"/>
  <c r="E6638" i="1"/>
  <c r="F6638" i="1"/>
  <c r="B6639" i="1"/>
  <c r="A6639" i="1"/>
  <c r="E6639" i="1"/>
  <c r="F6639" i="1"/>
  <c r="B6640" i="1"/>
  <c r="A6640" i="1"/>
  <c r="E6640" i="1"/>
  <c r="F6640" i="1"/>
  <c r="B6641" i="1"/>
  <c r="A6641" i="1"/>
  <c r="E6641" i="1"/>
  <c r="F6641" i="1"/>
  <c r="B6642" i="1"/>
  <c r="A6642" i="1"/>
  <c r="E6642" i="1"/>
  <c r="F6642" i="1"/>
  <c r="B6643" i="1"/>
  <c r="A6643" i="1"/>
  <c r="E6643" i="1"/>
  <c r="F6643" i="1"/>
  <c r="B6644" i="1"/>
  <c r="A6644" i="1"/>
  <c r="E6644" i="1"/>
  <c r="F6644" i="1"/>
  <c r="B6645" i="1"/>
  <c r="A6645" i="1"/>
  <c r="E6645" i="1"/>
  <c r="F6645" i="1"/>
  <c r="B6646" i="1"/>
  <c r="A6646" i="1"/>
  <c r="E6646" i="1"/>
  <c r="F6646" i="1"/>
  <c r="B6647" i="1"/>
  <c r="A6647" i="1"/>
  <c r="E6647" i="1"/>
  <c r="F6647" i="1"/>
  <c r="B6648" i="1"/>
  <c r="A6648" i="1"/>
  <c r="E6648" i="1"/>
  <c r="F6648" i="1"/>
  <c r="B6649" i="1"/>
  <c r="A6649" i="1"/>
  <c r="E6649" i="1"/>
  <c r="F6649" i="1"/>
  <c r="B6650" i="1"/>
  <c r="A6650" i="1"/>
  <c r="E6650" i="1"/>
  <c r="F6650" i="1"/>
  <c r="B6651" i="1"/>
  <c r="A6651" i="1"/>
  <c r="E6651" i="1"/>
  <c r="F6651" i="1"/>
  <c r="B6652" i="1"/>
  <c r="A6652" i="1"/>
  <c r="E6652" i="1"/>
  <c r="F6652" i="1"/>
  <c r="B6653" i="1"/>
  <c r="A6653" i="1"/>
  <c r="E6653" i="1"/>
  <c r="F6653" i="1"/>
  <c r="B6654" i="1"/>
  <c r="A6654" i="1"/>
  <c r="E6654" i="1"/>
  <c r="F6654" i="1"/>
  <c r="B6655" i="1"/>
  <c r="A6655" i="1"/>
  <c r="E6655" i="1"/>
  <c r="F6655" i="1"/>
  <c r="B6656" i="1"/>
  <c r="A6656" i="1"/>
  <c r="E6656" i="1"/>
  <c r="F6656" i="1"/>
  <c r="B6657" i="1"/>
  <c r="A6657" i="1"/>
  <c r="E6657" i="1"/>
  <c r="F6657" i="1"/>
  <c r="B6658" i="1"/>
  <c r="A6658" i="1"/>
  <c r="E6658" i="1"/>
  <c r="F6658" i="1"/>
  <c r="B6659" i="1"/>
  <c r="A6659" i="1"/>
  <c r="E6659" i="1"/>
  <c r="F6659" i="1"/>
  <c r="B6660" i="1"/>
  <c r="A6660" i="1"/>
  <c r="E6660" i="1"/>
  <c r="F6660" i="1"/>
  <c r="B6661" i="1"/>
  <c r="A6661" i="1"/>
  <c r="E6661" i="1"/>
  <c r="F6661" i="1"/>
  <c r="B6662" i="1"/>
  <c r="A6662" i="1"/>
  <c r="E6662" i="1"/>
  <c r="F6662" i="1"/>
  <c r="B6663" i="1"/>
  <c r="A6663" i="1"/>
  <c r="E6663" i="1"/>
  <c r="F6663" i="1"/>
  <c r="B6664" i="1"/>
  <c r="A6664" i="1"/>
  <c r="E6664" i="1"/>
  <c r="F6664" i="1"/>
  <c r="B6665" i="1"/>
  <c r="A6665" i="1"/>
  <c r="E6665" i="1"/>
  <c r="F6665" i="1"/>
  <c r="B6666" i="1"/>
  <c r="A6666" i="1"/>
  <c r="E6666" i="1"/>
  <c r="F6666" i="1"/>
  <c r="B6667" i="1"/>
  <c r="A6667" i="1"/>
  <c r="E6667" i="1"/>
  <c r="F6667" i="1"/>
  <c r="B6668" i="1"/>
  <c r="A6668" i="1"/>
  <c r="E6668" i="1"/>
  <c r="F6668" i="1"/>
  <c r="B6669" i="1"/>
  <c r="A6669" i="1"/>
  <c r="E6669" i="1"/>
  <c r="F6669" i="1"/>
  <c r="B6670" i="1"/>
  <c r="A6670" i="1"/>
  <c r="E6670" i="1"/>
  <c r="F6670" i="1"/>
  <c r="B6671" i="1"/>
  <c r="A6671" i="1"/>
  <c r="E6671" i="1"/>
  <c r="F6671" i="1"/>
  <c r="B6672" i="1"/>
  <c r="A6672" i="1"/>
  <c r="E6672" i="1"/>
  <c r="F6672" i="1"/>
  <c r="B6673" i="1"/>
  <c r="A6673" i="1"/>
  <c r="E6673" i="1"/>
  <c r="F6673" i="1"/>
  <c r="B6674" i="1"/>
  <c r="A6674" i="1"/>
  <c r="E6674" i="1"/>
  <c r="F6674" i="1"/>
  <c r="B6675" i="1"/>
  <c r="A6675" i="1"/>
  <c r="E6675" i="1"/>
  <c r="F6675" i="1"/>
  <c r="B6676" i="1"/>
  <c r="A6676" i="1"/>
  <c r="E6676" i="1"/>
  <c r="F6676" i="1"/>
  <c r="B6677" i="1"/>
  <c r="A6677" i="1"/>
  <c r="E6677" i="1"/>
  <c r="F6677" i="1"/>
  <c r="B6678" i="1"/>
  <c r="A6678" i="1"/>
  <c r="E6678" i="1"/>
  <c r="F6678" i="1"/>
  <c r="B6679" i="1"/>
  <c r="A6679" i="1"/>
  <c r="E6679" i="1"/>
  <c r="F6679" i="1"/>
  <c r="B6680" i="1"/>
  <c r="A6680" i="1"/>
  <c r="E6680" i="1"/>
  <c r="F6680" i="1"/>
  <c r="B6681" i="1"/>
  <c r="A6681" i="1"/>
  <c r="E6681" i="1"/>
  <c r="F6681" i="1"/>
  <c r="B6682" i="1"/>
  <c r="A6682" i="1"/>
  <c r="E6682" i="1"/>
  <c r="F6682" i="1"/>
  <c r="B6683" i="1"/>
  <c r="A6683" i="1"/>
  <c r="E6683" i="1"/>
  <c r="F6683" i="1"/>
  <c r="B6684" i="1"/>
  <c r="A6684" i="1"/>
  <c r="E6684" i="1"/>
  <c r="F6684" i="1"/>
  <c r="B6685" i="1"/>
  <c r="A6685" i="1"/>
  <c r="E6685" i="1"/>
  <c r="F6685" i="1"/>
  <c r="B6686" i="1"/>
  <c r="A6686" i="1"/>
  <c r="E6686" i="1"/>
  <c r="F6686" i="1"/>
  <c r="B6687" i="1"/>
  <c r="A6687" i="1"/>
  <c r="E6687" i="1"/>
  <c r="F6687" i="1"/>
  <c r="B6688" i="1"/>
  <c r="A6688" i="1"/>
  <c r="E6688" i="1"/>
  <c r="F6688" i="1"/>
  <c r="B6689" i="1"/>
  <c r="A6689" i="1"/>
  <c r="E6689" i="1"/>
  <c r="F6689" i="1"/>
  <c r="B6690" i="1"/>
  <c r="A6690" i="1"/>
  <c r="E6690" i="1"/>
  <c r="F6690" i="1"/>
  <c r="B6691" i="1"/>
  <c r="A6691" i="1"/>
  <c r="E6691" i="1"/>
  <c r="F6691" i="1"/>
  <c r="B6692" i="1"/>
  <c r="A6692" i="1"/>
  <c r="E6692" i="1"/>
  <c r="F6692" i="1"/>
  <c r="B6693" i="1"/>
  <c r="A6693" i="1"/>
  <c r="E6693" i="1"/>
  <c r="F6693" i="1"/>
  <c r="B6694" i="1"/>
  <c r="A6694" i="1"/>
  <c r="E6694" i="1"/>
  <c r="F6694" i="1"/>
  <c r="B6695" i="1"/>
  <c r="A6695" i="1"/>
  <c r="E6695" i="1"/>
  <c r="F6695" i="1"/>
  <c r="B6696" i="1"/>
  <c r="A6696" i="1"/>
  <c r="E6696" i="1"/>
  <c r="F6696" i="1"/>
  <c r="B6697" i="1"/>
  <c r="A6697" i="1"/>
  <c r="E6697" i="1"/>
  <c r="F6697" i="1"/>
  <c r="B6698" i="1"/>
  <c r="A6698" i="1"/>
  <c r="E6698" i="1"/>
  <c r="F6698" i="1"/>
  <c r="G6698" i="1"/>
  <c r="B6699" i="1"/>
  <c r="A6699" i="1"/>
  <c r="E6699" i="1"/>
  <c r="F6699" i="1"/>
  <c r="G6699" i="1"/>
  <c r="B6700" i="1"/>
  <c r="A6700" i="1"/>
  <c r="E6700" i="1"/>
  <c r="F6700" i="1"/>
  <c r="B6701" i="1"/>
  <c r="A6701" i="1"/>
  <c r="E6701" i="1"/>
  <c r="F6701" i="1"/>
  <c r="B6702" i="1"/>
  <c r="A6702" i="1"/>
  <c r="E6702" i="1"/>
  <c r="F6702" i="1"/>
  <c r="B6703" i="1"/>
  <c r="A6703" i="1"/>
  <c r="E6703" i="1"/>
  <c r="F6703" i="1"/>
  <c r="B6704" i="1"/>
  <c r="A6704" i="1"/>
  <c r="E6704" i="1"/>
  <c r="F6704" i="1"/>
  <c r="B6705" i="1"/>
  <c r="A6705" i="1"/>
  <c r="E6705" i="1"/>
  <c r="F6705" i="1"/>
  <c r="B6706" i="1"/>
  <c r="A6706" i="1"/>
  <c r="E6706" i="1"/>
  <c r="F6706" i="1"/>
  <c r="B6707" i="1"/>
  <c r="A6707" i="1"/>
  <c r="E6707" i="1"/>
  <c r="F6707" i="1"/>
  <c r="B6708" i="1"/>
  <c r="A6708" i="1"/>
  <c r="E6708" i="1"/>
  <c r="F6708" i="1"/>
  <c r="B6709" i="1"/>
  <c r="A6709" i="1"/>
  <c r="E6709" i="1"/>
  <c r="F6709" i="1"/>
  <c r="B6710" i="1"/>
  <c r="A6710" i="1"/>
  <c r="E6710" i="1"/>
  <c r="F6710" i="1"/>
  <c r="B6711" i="1"/>
  <c r="A6711" i="1"/>
  <c r="E6711" i="1"/>
  <c r="F6711" i="1"/>
  <c r="B6712" i="1"/>
  <c r="A6712" i="1"/>
  <c r="E6712" i="1"/>
  <c r="F6712" i="1"/>
  <c r="B6713" i="1"/>
  <c r="A6713" i="1"/>
  <c r="E6713" i="1"/>
  <c r="F6713" i="1"/>
  <c r="B6714" i="1"/>
  <c r="A6714" i="1"/>
  <c r="E6714" i="1"/>
  <c r="F6714" i="1"/>
  <c r="B6715" i="1"/>
  <c r="A6715" i="1"/>
  <c r="E6715" i="1"/>
  <c r="F6715" i="1"/>
  <c r="B6716" i="1"/>
  <c r="A6716" i="1"/>
  <c r="E6716" i="1"/>
  <c r="F6716" i="1"/>
  <c r="B6717" i="1"/>
  <c r="A6717" i="1"/>
  <c r="E6717" i="1"/>
  <c r="F6717" i="1"/>
  <c r="B6718" i="1"/>
  <c r="A6718" i="1"/>
  <c r="E6718" i="1"/>
  <c r="F6718" i="1"/>
  <c r="B6719" i="1"/>
  <c r="A6719" i="1"/>
  <c r="E6719" i="1"/>
  <c r="F6719" i="1"/>
  <c r="B6720" i="1"/>
  <c r="A6720" i="1"/>
  <c r="E6720" i="1"/>
  <c r="F6720" i="1"/>
  <c r="B6721" i="1"/>
  <c r="A6721" i="1"/>
  <c r="E6721" i="1"/>
  <c r="F6721" i="1"/>
  <c r="B6722" i="1"/>
  <c r="A6722" i="1"/>
  <c r="E6722" i="1"/>
  <c r="F6722" i="1"/>
  <c r="B6723" i="1"/>
  <c r="A6723" i="1"/>
  <c r="E6723" i="1"/>
  <c r="F6723" i="1"/>
  <c r="B6724" i="1"/>
  <c r="A6724" i="1"/>
  <c r="E6724" i="1"/>
  <c r="F6724" i="1"/>
  <c r="B6725" i="1"/>
  <c r="A6725" i="1"/>
  <c r="E6725" i="1"/>
  <c r="F6725" i="1"/>
  <c r="B6726" i="1"/>
  <c r="A6726" i="1"/>
  <c r="E6726" i="1"/>
  <c r="F6726" i="1"/>
  <c r="B6727" i="1"/>
  <c r="A6727" i="1"/>
  <c r="E6727" i="1"/>
  <c r="F6727" i="1"/>
  <c r="B6728" i="1"/>
  <c r="A6728" i="1"/>
  <c r="E6728" i="1"/>
  <c r="F6728" i="1"/>
  <c r="B6729" i="1"/>
  <c r="A6729" i="1"/>
  <c r="E6729" i="1"/>
  <c r="F6729" i="1"/>
  <c r="B6730" i="1"/>
  <c r="A6730" i="1"/>
  <c r="E6730" i="1"/>
  <c r="F6730" i="1"/>
  <c r="B6731" i="1"/>
  <c r="A6731" i="1"/>
  <c r="E6731" i="1"/>
  <c r="F6731" i="1"/>
  <c r="B6732" i="1"/>
  <c r="A6732" i="1"/>
  <c r="E6732" i="1"/>
  <c r="F6732" i="1"/>
  <c r="B6733" i="1"/>
  <c r="A6733" i="1"/>
  <c r="E6733" i="1"/>
  <c r="F6733" i="1"/>
  <c r="B6734" i="1"/>
  <c r="A6734" i="1"/>
  <c r="E6734" i="1"/>
  <c r="F6734" i="1"/>
  <c r="B6735" i="1"/>
  <c r="A6735" i="1"/>
  <c r="E6735" i="1"/>
  <c r="F6735" i="1"/>
  <c r="B6736" i="1"/>
  <c r="A6736" i="1"/>
  <c r="E6736" i="1"/>
  <c r="F6736" i="1"/>
  <c r="B6737" i="1"/>
  <c r="A6737" i="1"/>
  <c r="E6737" i="1"/>
  <c r="F6737" i="1"/>
  <c r="B6738" i="1"/>
  <c r="A6738" i="1"/>
  <c r="E6738" i="1"/>
  <c r="F6738" i="1"/>
  <c r="B6739" i="1"/>
  <c r="A6739" i="1"/>
  <c r="E6739" i="1"/>
  <c r="F6739" i="1"/>
  <c r="B6740" i="1"/>
  <c r="A6740" i="1"/>
  <c r="E6740" i="1"/>
  <c r="F6740" i="1"/>
  <c r="B6741" i="1"/>
  <c r="A6741" i="1"/>
  <c r="E6741" i="1"/>
  <c r="F6741" i="1"/>
  <c r="B6742" i="1"/>
  <c r="A6742" i="1"/>
  <c r="E6742" i="1"/>
  <c r="F6742" i="1"/>
  <c r="B6743" i="1"/>
  <c r="A6743" i="1"/>
  <c r="E6743" i="1"/>
  <c r="F6743" i="1"/>
  <c r="B6744" i="1"/>
  <c r="A6744" i="1"/>
  <c r="E6744" i="1"/>
  <c r="F6744" i="1"/>
  <c r="B6745" i="1"/>
  <c r="A6745" i="1"/>
  <c r="E6745" i="1"/>
  <c r="F6745" i="1"/>
  <c r="B6746" i="1"/>
  <c r="A6746" i="1"/>
  <c r="E6746" i="1"/>
  <c r="F6746" i="1"/>
  <c r="B6747" i="1"/>
  <c r="A6747" i="1"/>
  <c r="E6747" i="1"/>
  <c r="F6747" i="1"/>
  <c r="B6748" i="1"/>
  <c r="A6748" i="1"/>
  <c r="E6748" i="1"/>
  <c r="F6748" i="1"/>
  <c r="B6749" i="1"/>
  <c r="A6749" i="1"/>
  <c r="E6749" i="1"/>
  <c r="F6749" i="1"/>
  <c r="B6750" i="1"/>
  <c r="A6750" i="1"/>
  <c r="E6750" i="1"/>
  <c r="F6750" i="1"/>
  <c r="B6751" i="1"/>
  <c r="A6751" i="1"/>
  <c r="E6751" i="1"/>
  <c r="F6751" i="1"/>
  <c r="B6752" i="1"/>
  <c r="A6752" i="1"/>
  <c r="E6752" i="1"/>
  <c r="F6752" i="1"/>
  <c r="B6753" i="1"/>
  <c r="A6753" i="1"/>
  <c r="E6753" i="1"/>
  <c r="F6753" i="1"/>
  <c r="B6754" i="1"/>
  <c r="A6754" i="1"/>
  <c r="E6754" i="1"/>
  <c r="F6754" i="1"/>
  <c r="B6755" i="1"/>
  <c r="A6755" i="1"/>
  <c r="E6755" i="1"/>
  <c r="F6755" i="1"/>
  <c r="B6756" i="1"/>
  <c r="A6756" i="1"/>
  <c r="E6756" i="1"/>
  <c r="F6756" i="1"/>
  <c r="B6757" i="1"/>
  <c r="A6757" i="1"/>
  <c r="E6757" i="1"/>
  <c r="F6757" i="1"/>
  <c r="B6758" i="1"/>
  <c r="A6758" i="1"/>
  <c r="E6758" i="1"/>
  <c r="F6758" i="1"/>
  <c r="B6759" i="1"/>
  <c r="A6759" i="1"/>
  <c r="E6759" i="1"/>
  <c r="F6759" i="1"/>
  <c r="B6760" i="1"/>
  <c r="A6760" i="1"/>
  <c r="E6760" i="1"/>
  <c r="F6760" i="1"/>
  <c r="B6761" i="1"/>
  <c r="A6761" i="1"/>
  <c r="E6761" i="1"/>
  <c r="F6761" i="1"/>
  <c r="B6762" i="1"/>
  <c r="A6762" i="1"/>
  <c r="E6762" i="1"/>
  <c r="F6762" i="1"/>
  <c r="B6763" i="1"/>
  <c r="A6763" i="1"/>
  <c r="E6763" i="1"/>
  <c r="F6763" i="1"/>
  <c r="B6764" i="1"/>
  <c r="A6764" i="1"/>
  <c r="E6764" i="1"/>
  <c r="F6764" i="1"/>
  <c r="B6765" i="1"/>
  <c r="A6765" i="1"/>
  <c r="E6765" i="1"/>
  <c r="F6765" i="1"/>
  <c r="B6766" i="1"/>
  <c r="A6766" i="1"/>
  <c r="E6766" i="1"/>
  <c r="F6766" i="1"/>
  <c r="B6767" i="1"/>
  <c r="A6767" i="1"/>
  <c r="E6767" i="1"/>
  <c r="F6767" i="1"/>
  <c r="B6768" i="1"/>
  <c r="A6768" i="1"/>
  <c r="E6768" i="1"/>
  <c r="F6768" i="1"/>
  <c r="B6769" i="1"/>
  <c r="A6769" i="1"/>
  <c r="E6769" i="1"/>
  <c r="F6769" i="1"/>
  <c r="B6770" i="1"/>
  <c r="A6770" i="1"/>
  <c r="E6770" i="1"/>
  <c r="F6770" i="1"/>
  <c r="B6771" i="1"/>
  <c r="A6771" i="1"/>
  <c r="E6771" i="1"/>
  <c r="F6771" i="1"/>
  <c r="B6772" i="1"/>
  <c r="A6772" i="1"/>
  <c r="E6772" i="1"/>
  <c r="F6772" i="1"/>
  <c r="B6773" i="1"/>
  <c r="A6773" i="1"/>
  <c r="E6773" i="1"/>
  <c r="F6773" i="1"/>
  <c r="B6774" i="1"/>
  <c r="A6774" i="1"/>
  <c r="E6774" i="1"/>
  <c r="F6774" i="1"/>
  <c r="B6775" i="1"/>
  <c r="A6775" i="1"/>
  <c r="E6775" i="1"/>
  <c r="F6775" i="1"/>
  <c r="B6776" i="1"/>
  <c r="A6776" i="1"/>
  <c r="E6776" i="1"/>
  <c r="F6776" i="1"/>
  <c r="B6777" i="1"/>
  <c r="A6777" i="1"/>
  <c r="E6777" i="1"/>
  <c r="F6777" i="1"/>
  <c r="B6778" i="1"/>
  <c r="A6778" i="1"/>
  <c r="E6778" i="1"/>
  <c r="F6778" i="1"/>
  <c r="B6779" i="1"/>
  <c r="A6779" i="1"/>
  <c r="E6779" i="1"/>
  <c r="F6779" i="1"/>
  <c r="B6780" i="1"/>
  <c r="A6780" i="1"/>
  <c r="E6780" i="1"/>
  <c r="F6780" i="1"/>
  <c r="B6781" i="1"/>
  <c r="A6781" i="1"/>
  <c r="E6781" i="1"/>
  <c r="F6781" i="1"/>
  <c r="B6782" i="1"/>
  <c r="A6782" i="1"/>
  <c r="E6782" i="1"/>
  <c r="F6782" i="1"/>
  <c r="B6783" i="1"/>
  <c r="A6783" i="1"/>
  <c r="E6783" i="1"/>
  <c r="F6783" i="1"/>
  <c r="B6784" i="1"/>
  <c r="A6784" i="1"/>
  <c r="E6784" i="1"/>
  <c r="F6784" i="1"/>
  <c r="B6785" i="1"/>
  <c r="A6785" i="1"/>
  <c r="E6785" i="1"/>
  <c r="F6785" i="1"/>
  <c r="B6786" i="1"/>
  <c r="A6786" i="1"/>
  <c r="E6786" i="1"/>
  <c r="F6786" i="1"/>
  <c r="B6787" i="1"/>
  <c r="A6787" i="1"/>
  <c r="E6787" i="1"/>
  <c r="F6787" i="1"/>
  <c r="B6788" i="1"/>
  <c r="A6788" i="1"/>
  <c r="E6788" i="1"/>
  <c r="F6788" i="1"/>
  <c r="B6789" i="1"/>
  <c r="A6789" i="1"/>
  <c r="E6789" i="1"/>
  <c r="F6789" i="1"/>
  <c r="B6790" i="1"/>
  <c r="A6790" i="1"/>
  <c r="E6790" i="1"/>
  <c r="F6790" i="1"/>
  <c r="B6791" i="1"/>
  <c r="A6791" i="1"/>
  <c r="E6791" i="1"/>
  <c r="F6791" i="1"/>
  <c r="B6792" i="1"/>
  <c r="A6792" i="1"/>
  <c r="E6792" i="1"/>
  <c r="F6792" i="1"/>
  <c r="B6793" i="1"/>
  <c r="A6793" i="1"/>
  <c r="E6793" i="1"/>
  <c r="F6793" i="1"/>
  <c r="B6794" i="1"/>
  <c r="A6794" i="1"/>
  <c r="E6794" i="1"/>
  <c r="F6794" i="1"/>
  <c r="B6795" i="1"/>
  <c r="A6795" i="1"/>
  <c r="E6795" i="1"/>
  <c r="F6795" i="1"/>
  <c r="B6796" i="1"/>
  <c r="A6796" i="1"/>
  <c r="E6796" i="1"/>
  <c r="F6796" i="1"/>
  <c r="B6797" i="1"/>
  <c r="A6797" i="1"/>
  <c r="E6797" i="1"/>
  <c r="F6797" i="1"/>
  <c r="B6798" i="1"/>
  <c r="A6798" i="1"/>
  <c r="E6798" i="1"/>
  <c r="F6798" i="1"/>
  <c r="B6799" i="1"/>
  <c r="A6799" i="1"/>
  <c r="E6799" i="1"/>
  <c r="F6799" i="1"/>
  <c r="B6800" i="1"/>
  <c r="A6800" i="1"/>
  <c r="E6800" i="1"/>
  <c r="F6800" i="1"/>
  <c r="B6801" i="1"/>
  <c r="A6801" i="1"/>
  <c r="E6801" i="1"/>
  <c r="F6801" i="1"/>
  <c r="B6802" i="1"/>
  <c r="A6802" i="1"/>
  <c r="E6802" i="1"/>
  <c r="F6802" i="1"/>
  <c r="B6803" i="1"/>
  <c r="A6803" i="1"/>
  <c r="E6803" i="1"/>
  <c r="F6803" i="1"/>
  <c r="B6804" i="1"/>
  <c r="A6804" i="1"/>
  <c r="E6804" i="1"/>
  <c r="F6804" i="1"/>
  <c r="B6805" i="1"/>
  <c r="A6805" i="1"/>
  <c r="E6805" i="1"/>
  <c r="F6805" i="1"/>
  <c r="B6806" i="1"/>
  <c r="A6806" i="1"/>
  <c r="E6806" i="1"/>
  <c r="F6806" i="1"/>
  <c r="B6807" i="1"/>
  <c r="A6807" i="1"/>
  <c r="E6807" i="1"/>
  <c r="F6807" i="1"/>
  <c r="B6808" i="1"/>
  <c r="A6808" i="1"/>
  <c r="E6808" i="1"/>
  <c r="F6808" i="1"/>
  <c r="B6809" i="1"/>
  <c r="A6809" i="1"/>
  <c r="E6809" i="1"/>
  <c r="F6809" i="1"/>
  <c r="B6810" i="1"/>
  <c r="A6810" i="1"/>
  <c r="E6810" i="1"/>
  <c r="F6810" i="1"/>
  <c r="B6811" i="1"/>
  <c r="A6811" i="1"/>
  <c r="E6811" i="1"/>
  <c r="F6811" i="1"/>
  <c r="B6812" i="1"/>
  <c r="A6812" i="1"/>
  <c r="E6812" i="1"/>
  <c r="F6812" i="1"/>
  <c r="B6813" i="1"/>
  <c r="A6813" i="1"/>
  <c r="E6813" i="1"/>
  <c r="F6813" i="1"/>
  <c r="B6814" i="1"/>
  <c r="A6814" i="1"/>
  <c r="E6814" i="1"/>
  <c r="F6814" i="1"/>
  <c r="B6815" i="1"/>
  <c r="A6815" i="1"/>
  <c r="E6815" i="1"/>
  <c r="F6815" i="1"/>
  <c r="B6816" i="1"/>
  <c r="A6816" i="1"/>
  <c r="E6816" i="1"/>
  <c r="F6816" i="1"/>
  <c r="B6817" i="1"/>
  <c r="A6817" i="1"/>
  <c r="E6817" i="1"/>
  <c r="F6817" i="1"/>
  <c r="B6818" i="1"/>
  <c r="A6818" i="1"/>
  <c r="E6818" i="1"/>
  <c r="F6818" i="1"/>
  <c r="B6819" i="1"/>
  <c r="A6819" i="1"/>
  <c r="E6819" i="1"/>
  <c r="F6819" i="1"/>
  <c r="B6820" i="1"/>
  <c r="A6820" i="1"/>
  <c r="E6820" i="1"/>
  <c r="F6820" i="1"/>
  <c r="B6821" i="1"/>
  <c r="A6821" i="1"/>
  <c r="E6821" i="1"/>
  <c r="F6821" i="1"/>
  <c r="B6822" i="1"/>
  <c r="A6822" i="1"/>
  <c r="E6822" i="1"/>
  <c r="F6822" i="1"/>
  <c r="B6823" i="1"/>
  <c r="A6823" i="1"/>
  <c r="E6823" i="1"/>
  <c r="F6823" i="1"/>
  <c r="B6824" i="1"/>
  <c r="A6824" i="1"/>
  <c r="E6824" i="1"/>
  <c r="F6824" i="1"/>
  <c r="B6825" i="1"/>
  <c r="A6825" i="1"/>
  <c r="E6825" i="1"/>
  <c r="F6825" i="1"/>
  <c r="B6826" i="1"/>
  <c r="A6826" i="1"/>
  <c r="E6826" i="1"/>
  <c r="F6826" i="1"/>
  <c r="B6827" i="1"/>
  <c r="A6827" i="1"/>
  <c r="E6827" i="1"/>
  <c r="F6827" i="1"/>
  <c r="B6828" i="1"/>
  <c r="A6828" i="1"/>
  <c r="E6828" i="1"/>
  <c r="F6828" i="1"/>
  <c r="B6829" i="1"/>
  <c r="A6829" i="1"/>
  <c r="E6829" i="1"/>
  <c r="F6829" i="1"/>
  <c r="B6830" i="1"/>
  <c r="A6830" i="1"/>
  <c r="E6830" i="1"/>
  <c r="F6830" i="1"/>
  <c r="B6831" i="1"/>
  <c r="A6831" i="1"/>
  <c r="E6831" i="1"/>
  <c r="F6831" i="1"/>
  <c r="B6832" i="1"/>
  <c r="A6832" i="1"/>
  <c r="E6832" i="1"/>
  <c r="F6832" i="1"/>
  <c r="B6833" i="1"/>
  <c r="A6833" i="1"/>
  <c r="E6833" i="1"/>
  <c r="F6833" i="1"/>
  <c r="B6834" i="1"/>
  <c r="A6834" i="1"/>
  <c r="E6834" i="1"/>
  <c r="F6834" i="1"/>
  <c r="B6835" i="1"/>
  <c r="A6835" i="1"/>
  <c r="E6835" i="1"/>
  <c r="F6835" i="1"/>
  <c r="B6836" i="1"/>
  <c r="A6836" i="1"/>
  <c r="E6836" i="1"/>
  <c r="F6836" i="1"/>
  <c r="B6837" i="1"/>
  <c r="A6837" i="1"/>
  <c r="E6837" i="1"/>
  <c r="F6837" i="1"/>
  <c r="B6838" i="1"/>
  <c r="A6838" i="1"/>
  <c r="E6838" i="1"/>
  <c r="F6838" i="1"/>
  <c r="B6839" i="1"/>
  <c r="A6839" i="1"/>
  <c r="E6839" i="1"/>
  <c r="F6839" i="1"/>
  <c r="B6840" i="1"/>
  <c r="A6840" i="1"/>
  <c r="E6840" i="1"/>
  <c r="F6840" i="1"/>
  <c r="B6841" i="1"/>
  <c r="A6841" i="1"/>
  <c r="E6841" i="1"/>
  <c r="F6841" i="1"/>
  <c r="B6842" i="1"/>
  <c r="A6842" i="1"/>
  <c r="E6842" i="1"/>
  <c r="F6842" i="1"/>
  <c r="B6843" i="1"/>
  <c r="A6843" i="1"/>
  <c r="E6843" i="1"/>
  <c r="F6843" i="1"/>
  <c r="B6844" i="1"/>
  <c r="A6844" i="1"/>
  <c r="E6844" i="1"/>
  <c r="F6844" i="1"/>
  <c r="B6845" i="1"/>
  <c r="A6845" i="1"/>
  <c r="E6845" i="1"/>
  <c r="F6845" i="1"/>
  <c r="B6846" i="1"/>
  <c r="A6846" i="1"/>
  <c r="E6846" i="1"/>
  <c r="F6846" i="1"/>
  <c r="B6847" i="1"/>
  <c r="A6847" i="1"/>
  <c r="E6847" i="1"/>
  <c r="F6847" i="1"/>
  <c r="B6848" i="1"/>
  <c r="A6848" i="1"/>
  <c r="E6848" i="1"/>
  <c r="F6848" i="1"/>
  <c r="B6849" i="1"/>
  <c r="A6849" i="1"/>
  <c r="E6849" i="1"/>
  <c r="F6849" i="1"/>
  <c r="B6850" i="1"/>
  <c r="A6850" i="1"/>
  <c r="E6850" i="1"/>
  <c r="F6850" i="1"/>
  <c r="B6851" i="1"/>
  <c r="A6851" i="1"/>
  <c r="E6851" i="1"/>
  <c r="F6851" i="1"/>
  <c r="B6852" i="1"/>
  <c r="A6852" i="1"/>
  <c r="E6852" i="1"/>
  <c r="F6852" i="1"/>
  <c r="B6853" i="1"/>
  <c r="A6853" i="1"/>
  <c r="E6853" i="1"/>
  <c r="F6853" i="1"/>
  <c r="B6854" i="1"/>
  <c r="A6854" i="1"/>
  <c r="E6854" i="1"/>
  <c r="F6854" i="1"/>
  <c r="B6855" i="1"/>
  <c r="A6855" i="1"/>
  <c r="E6855" i="1"/>
  <c r="F6855" i="1"/>
  <c r="B6856" i="1"/>
  <c r="A6856" i="1"/>
  <c r="E6856" i="1"/>
  <c r="F6856" i="1"/>
  <c r="B6857" i="1"/>
  <c r="A6857" i="1"/>
  <c r="E6857" i="1"/>
  <c r="F6857" i="1"/>
  <c r="B6858" i="1"/>
  <c r="A6858" i="1"/>
  <c r="E6858" i="1"/>
  <c r="F6858" i="1"/>
  <c r="B6859" i="1"/>
  <c r="A6859" i="1"/>
  <c r="E6859" i="1"/>
  <c r="F6859" i="1"/>
  <c r="B6860" i="1"/>
  <c r="A6860" i="1"/>
  <c r="E6860" i="1"/>
  <c r="F6860" i="1"/>
  <c r="B6861" i="1"/>
  <c r="A6861" i="1"/>
  <c r="E6861" i="1"/>
  <c r="F6861" i="1"/>
  <c r="B6862" i="1"/>
  <c r="A6862" i="1"/>
  <c r="E6862" i="1"/>
  <c r="F6862" i="1"/>
  <c r="B6863" i="1"/>
  <c r="A6863" i="1"/>
  <c r="E6863" i="1"/>
  <c r="F6863" i="1"/>
  <c r="B6864" i="1"/>
  <c r="A6864" i="1"/>
  <c r="E6864" i="1"/>
  <c r="F6864" i="1"/>
  <c r="B6865" i="1"/>
  <c r="A6865" i="1"/>
  <c r="E6865" i="1"/>
  <c r="F6865" i="1"/>
  <c r="B6866" i="1"/>
  <c r="A6866" i="1"/>
  <c r="E6866" i="1"/>
  <c r="F6866" i="1"/>
  <c r="B6867" i="1"/>
  <c r="A6867" i="1"/>
  <c r="E6867" i="1"/>
  <c r="F6867" i="1"/>
  <c r="B6868" i="1"/>
  <c r="A6868" i="1"/>
  <c r="E6868" i="1"/>
  <c r="F6868" i="1"/>
  <c r="B6869" i="1"/>
  <c r="A6869" i="1"/>
  <c r="E6869" i="1"/>
  <c r="F6869" i="1"/>
  <c r="B6870" i="1"/>
  <c r="A6870" i="1"/>
  <c r="E6870" i="1"/>
  <c r="F6870" i="1"/>
  <c r="B6871" i="1"/>
  <c r="A6871" i="1"/>
  <c r="E6871" i="1"/>
  <c r="F6871" i="1"/>
  <c r="B6872" i="1"/>
  <c r="A6872" i="1"/>
  <c r="E6872" i="1"/>
  <c r="F6872" i="1"/>
  <c r="B6873" i="1"/>
  <c r="A6873" i="1"/>
  <c r="E6873" i="1"/>
  <c r="F6873" i="1"/>
  <c r="B6874" i="1"/>
  <c r="A6874" i="1"/>
  <c r="E6874" i="1"/>
  <c r="F6874" i="1"/>
  <c r="B6875" i="1"/>
  <c r="A6875" i="1"/>
  <c r="E6875" i="1"/>
  <c r="F6875" i="1"/>
  <c r="B6876" i="1"/>
  <c r="A6876" i="1"/>
  <c r="E6876" i="1"/>
  <c r="F6876" i="1"/>
  <c r="B6877" i="1"/>
  <c r="A6877" i="1"/>
  <c r="E6877" i="1"/>
  <c r="F6877" i="1"/>
  <c r="B6878" i="1"/>
  <c r="A6878" i="1"/>
  <c r="E6878" i="1"/>
  <c r="F6878" i="1"/>
  <c r="B6879" i="1"/>
  <c r="A6879" i="1"/>
  <c r="E6879" i="1"/>
  <c r="F6879" i="1"/>
  <c r="B6880" i="1"/>
  <c r="A6880" i="1"/>
  <c r="E6880" i="1"/>
  <c r="F6880" i="1"/>
  <c r="B6881" i="1"/>
  <c r="A6881" i="1"/>
  <c r="E6881" i="1"/>
  <c r="F6881" i="1"/>
  <c r="B6882" i="1"/>
  <c r="A6882" i="1"/>
  <c r="E6882" i="1"/>
  <c r="F6882" i="1"/>
  <c r="B6883" i="1"/>
  <c r="A6883" i="1"/>
  <c r="E6883" i="1"/>
  <c r="F6883" i="1"/>
  <c r="B6884" i="1"/>
  <c r="A6884" i="1"/>
  <c r="E6884" i="1"/>
  <c r="F6884" i="1"/>
  <c r="B6885" i="1"/>
  <c r="A6885" i="1"/>
  <c r="E6885" i="1"/>
  <c r="F6885" i="1"/>
  <c r="B6886" i="1"/>
  <c r="A6886" i="1"/>
  <c r="E6886" i="1"/>
  <c r="F6886" i="1"/>
  <c r="B6887" i="1"/>
  <c r="A6887" i="1"/>
  <c r="E6887" i="1"/>
  <c r="F6887" i="1"/>
  <c r="B6888" i="1"/>
  <c r="A6888" i="1"/>
  <c r="E6888" i="1"/>
  <c r="F6888" i="1"/>
  <c r="B6889" i="1"/>
  <c r="A6889" i="1"/>
  <c r="E6889" i="1"/>
  <c r="F6889" i="1"/>
  <c r="B6890" i="1"/>
  <c r="A6890" i="1"/>
  <c r="E6890" i="1"/>
  <c r="F6890" i="1"/>
  <c r="B6891" i="1"/>
  <c r="A6891" i="1"/>
  <c r="E6891" i="1"/>
  <c r="F6891" i="1"/>
  <c r="B6892" i="1"/>
  <c r="A6892" i="1"/>
  <c r="E6892" i="1"/>
  <c r="F6892" i="1"/>
  <c r="B6893" i="1"/>
  <c r="A6893" i="1"/>
  <c r="E6893" i="1"/>
  <c r="F6893" i="1"/>
  <c r="B6894" i="1"/>
  <c r="A6894" i="1"/>
  <c r="E6894" i="1"/>
  <c r="F6894" i="1"/>
  <c r="B6895" i="1"/>
  <c r="A6895" i="1"/>
  <c r="E6895" i="1"/>
  <c r="F6895" i="1"/>
  <c r="B6896" i="1"/>
  <c r="A6896" i="1"/>
  <c r="E6896" i="1"/>
  <c r="F6896" i="1"/>
  <c r="B6897" i="1"/>
  <c r="A6897" i="1"/>
  <c r="E6897" i="1"/>
  <c r="F6897" i="1"/>
  <c r="B6898" i="1"/>
  <c r="A6898" i="1"/>
  <c r="E6898" i="1"/>
  <c r="F6898" i="1"/>
  <c r="B6899" i="1"/>
  <c r="A6899" i="1"/>
  <c r="E6899" i="1"/>
  <c r="F6899" i="1"/>
  <c r="B6900" i="1"/>
  <c r="A6900" i="1"/>
  <c r="E6900" i="1"/>
  <c r="F6900" i="1"/>
  <c r="B6901" i="1"/>
  <c r="A6901" i="1"/>
  <c r="E6901" i="1"/>
  <c r="F6901" i="1"/>
  <c r="B6902" i="1"/>
  <c r="A6902" i="1"/>
  <c r="E6902" i="1"/>
  <c r="F6902" i="1"/>
  <c r="B6903" i="1"/>
  <c r="A6903" i="1"/>
  <c r="E6903" i="1"/>
  <c r="F6903" i="1"/>
  <c r="B6904" i="1"/>
  <c r="A6904" i="1"/>
  <c r="E6904" i="1"/>
  <c r="F6904" i="1"/>
  <c r="B6905" i="1"/>
  <c r="A6905" i="1"/>
  <c r="E6905" i="1"/>
  <c r="F6905" i="1"/>
  <c r="B6906" i="1"/>
  <c r="A6906" i="1"/>
  <c r="E6906" i="1"/>
  <c r="F6906" i="1"/>
  <c r="B6907" i="1"/>
  <c r="A6907" i="1"/>
  <c r="E6907" i="1"/>
  <c r="F6907" i="1"/>
  <c r="B6908" i="1"/>
  <c r="A6908" i="1"/>
  <c r="E6908" i="1"/>
  <c r="F6908" i="1"/>
  <c r="B6909" i="1"/>
  <c r="A6909" i="1"/>
  <c r="E6909" i="1"/>
  <c r="F6909" i="1"/>
  <c r="B6910" i="1"/>
  <c r="A6910" i="1"/>
  <c r="E6910" i="1"/>
  <c r="F6910" i="1"/>
  <c r="B6911" i="1"/>
  <c r="A6911" i="1"/>
  <c r="E6911" i="1"/>
  <c r="F6911" i="1"/>
  <c r="B6912" i="1"/>
  <c r="A6912" i="1"/>
  <c r="E6912" i="1"/>
  <c r="F6912" i="1"/>
  <c r="B6913" i="1"/>
  <c r="A6913" i="1"/>
  <c r="E6913" i="1"/>
  <c r="F6913" i="1"/>
  <c r="B6914" i="1"/>
  <c r="A6914" i="1"/>
  <c r="E6914" i="1"/>
  <c r="F6914" i="1"/>
  <c r="B6915" i="1"/>
  <c r="A6915" i="1"/>
  <c r="E6915" i="1"/>
  <c r="F6915" i="1"/>
  <c r="B6916" i="1"/>
  <c r="A6916" i="1"/>
  <c r="E6916" i="1"/>
  <c r="F6916" i="1"/>
  <c r="B6917" i="1"/>
  <c r="A6917" i="1"/>
  <c r="E6917" i="1"/>
  <c r="F6917" i="1"/>
  <c r="B6918" i="1"/>
  <c r="A6918" i="1"/>
  <c r="E6918" i="1"/>
  <c r="F6918" i="1"/>
  <c r="B6919" i="1"/>
  <c r="A6919" i="1"/>
  <c r="E6919" i="1"/>
  <c r="F6919" i="1"/>
  <c r="B6920" i="1"/>
  <c r="A6920" i="1"/>
  <c r="E6920" i="1"/>
  <c r="F6920" i="1"/>
  <c r="B6921" i="1"/>
  <c r="A6921" i="1"/>
  <c r="E6921" i="1"/>
  <c r="F6921" i="1"/>
  <c r="B6922" i="1"/>
  <c r="A6922" i="1"/>
  <c r="E6922" i="1"/>
  <c r="F6922" i="1"/>
  <c r="B6923" i="1"/>
  <c r="A6923" i="1"/>
  <c r="E6923" i="1"/>
  <c r="F6923" i="1"/>
  <c r="B6924" i="1"/>
  <c r="A6924" i="1"/>
  <c r="E6924" i="1"/>
  <c r="F6924" i="1"/>
  <c r="B6925" i="1"/>
  <c r="A6925" i="1"/>
  <c r="E6925" i="1"/>
  <c r="F6925" i="1"/>
  <c r="B6926" i="1"/>
  <c r="A6926" i="1"/>
  <c r="E6926" i="1"/>
  <c r="F6926" i="1"/>
  <c r="B6927" i="1"/>
  <c r="A6927" i="1"/>
  <c r="E6927" i="1"/>
  <c r="F6927" i="1"/>
  <c r="B6928" i="1"/>
  <c r="A6928" i="1"/>
  <c r="E6928" i="1"/>
  <c r="F6928" i="1"/>
  <c r="B6929" i="1"/>
  <c r="A6929" i="1"/>
  <c r="E6929" i="1"/>
  <c r="F6929" i="1"/>
  <c r="B6930" i="1"/>
  <c r="A6930" i="1"/>
  <c r="E6930" i="1"/>
  <c r="F6930" i="1"/>
  <c r="B6931" i="1"/>
  <c r="A6931" i="1"/>
  <c r="E6931" i="1"/>
  <c r="F6931" i="1"/>
  <c r="B6932" i="1"/>
  <c r="A6932" i="1"/>
  <c r="E6932" i="1"/>
  <c r="F6932" i="1"/>
  <c r="B6933" i="1"/>
  <c r="A6933" i="1"/>
  <c r="E6933" i="1"/>
  <c r="F6933" i="1"/>
  <c r="B6934" i="1"/>
  <c r="A6934" i="1"/>
  <c r="E6934" i="1"/>
  <c r="F6934" i="1"/>
  <c r="B6935" i="1"/>
  <c r="A6935" i="1"/>
  <c r="E6935" i="1"/>
  <c r="F6935" i="1"/>
  <c r="B6936" i="1"/>
  <c r="A6936" i="1"/>
  <c r="E6936" i="1"/>
  <c r="F6936" i="1"/>
  <c r="B6937" i="1"/>
  <c r="A6937" i="1"/>
  <c r="E6937" i="1"/>
  <c r="F6937" i="1"/>
  <c r="B6938" i="1"/>
  <c r="A6938" i="1"/>
  <c r="E6938" i="1"/>
  <c r="F6938" i="1"/>
  <c r="B6939" i="1"/>
  <c r="A6939" i="1"/>
  <c r="E6939" i="1"/>
  <c r="F6939" i="1"/>
  <c r="B6940" i="1"/>
  <c r="A6940" i="1"/>
  <c r="E6940" i="1"/>
  <c r="F6940" i="1"/>
  <c r="B6941" i="1"/>
  <c r="A6941" i="1"/>
  <c r="E6941" i="1"/>
  <c r="F6941" i="1"/>
  <c r="B6942" i="1"/>
  <c r="A6942" i="1"/>
  <c r="E6942" i="1"/>
  <c r="F6942" i="1"/>
  <c r="B6943" i="1"/>
  <c r="A6943" i="1"/>
  <c r="E6943" i="1"/>
  <c r="F6943" i="1"/>
  <c r="B6944" i="1"/>
  <c r="A6944" i="1"/>
  <c r="E6944" i="1"/>
  <c r="F6944" i="1"/>
  <c r="B6945" i="1"/>
  <c r="A6945" i="1"/>
  <c r="E6945" i="1"/>
  <c r="F6945" i="1"/>
  <c r="B6946" i="1"/>
  <c r="A6946" i="1"/>
  <c r="E6946" i="1"/>
  <c r="F6946" i="1"/>
  <c r="B6947" i="1"/>
  <c r="A6947" i="1"/>
  <c r="E6947" i="1"/>
  <c r="F6947" i="1"/>
  <c r="B6948" i="1"/>
  <c r="A6948" i="1"/>
  <c r="E6948" i="1"/>
  <c r="F6948" i="1"/>
  <c r="B6949" i="1"/>
  <c r="A6949" i="1"/>
  <c r="E6949" i="1"/>
  <c r="F6949" i="1"/>
  <c r="B6950" i="1"/>
  <c r="A6950" i="1"/>
  <c r="E6950" i="1"/>
  <c r="F6950" i="1"/>
  <c r="B6951" i="1"/>
  <c r="A6951" i="1"/>
  <c r="E6951" i="1"/>
  <c r="F6951" i="1"/>
  <c r="B6952" i="1"/>
  <c r="A6952" i="1"/>
  <c r="E6952" i="1"/>
  <c r="F6952" i="1"/>
  <c r="B6953" i="1"/>
  <c r="A6953" i="1"/>
  <c r="E6953" i="1"/>
  <c r="F6953" i="1"/>
  <c r="B6954" i="1"/>
  <c r="A6954" i="1"/>
  <c r="E6954" i="1"/>
  <c r="F6954" i="1"/>
  <c r="B6955" i="1"/>
  <c r="A6955" i="1"/>
  <c r="E6955" i="1"/>
  <c r="F6955" i="1"/>
  <c r="B6956" i="1"/>
  <c r="A6956" i="1"/>
  <c r="E6956" i="1"/>
  <c r="F6956" i="1"/>
  <c r="B6957" i="1"/>
  <c r="A6957" i="1"/>
  <c r="E6957" i="1"/>
  <c r="F6957" i="1"/>
  <c r="B6958" i="1"/>
  <c r="A6958" i="1"/>
  <c r="E6958" i="1"/>
  <c r="F6958" i="1"/>
  <c r="B6959" i="1"/>
  <c r="A6959" i="1"/>
  <c r="E6959" i="1"/>
  <c r="F6959" i="1"/>
  <c r="B6960" i="1"/>
  <c r="A6960" i="1"/>
  <c r="E6960" i="1"/>
  <c r="F6960" i="1"/>
  <c r="B6961" i="1"/>
  <c r="A6961" i="1"/>
  <c r="E6961" i="1"/>
  <c r="F6961" i="1"/>
  <c r="B6962" i="1"/>
  <c r="A6962" i="1"/>
  <c r="E6962" i="1"/>
  <c r="F6962" i="1"/>
  <c r="B6963" i="1"/>
  <c r="A6963" i="1"/>
  <c r="E6963" i="1"/>
  <c r="F6963" i="1"/>
  <c r="B6964" i="1"/>
  <c r="A6964" i="1"/>
  <c r="E6964" i="1"/>
  <c r="F6964" i="1"/>
  <c r="B6965" i="1"/>
  <c r="A6965" i="1"/>
  <c r="E6965" i="1"/>
  <c r="F6965" i="1"/>
  <c r="B6966" i="1"/>
  <c r="A6966" i="1"/>
  <c r="E6966" i="1"/>
  <c r="F6966" i="1"/>
  <c r="B6967" i="1"/>
  <c r="A6967" i="1"/>
  <c r="E6967" i="1"/>
  <c r="F6967" i="1"/>
  <c r="B6968" i="1"/>
  <c r="A6968" i="1"/>
  <c r="E6968" i="1"/>
  <c r="F6968" i="1"/>
  <c r="B6969" i="1"/>
  <c r="A6969" i="1"/>
  <c r="E6969" i="1"/>
  <c r="F6969" i="1"/>
  <c r="B6970" i="1"/>
  <c r="A6970" i="1"/>
  <c r="E6970" i="1"/>
  <c r="F6970" i="1"/>
  <c r="B6971" i="1"/>
  <c r="A6971" i="1"/>
  <c r="E6971" i="1"/>
  <c r="F6971" i="1"/>
  <c r="B6972" i="1"/>
  <c r="A6972" i="1"/>
  <c r="E6972" i="1"/>
  <c r="F6972" i="1"/>
  <c r="B6973" i="1"/>
  <c r="A6973" i="1"/>
  <c r="E6973" i="1"/>
  <c r="F6973" i="1"/>
  <c r="B6974" i="1"/>
  <c r="A6974" i="1"/>
  <c r="E6974" i="1"/>
  <c r="F6974" i="1"/>
  <c r="B6975" i="1"/>
  <c r="A6975" i="1"/>
  <c r="E6975" i="1"/>
  <c r="F6975" i="1"/>
  <c r="B6976" i="1"/>
  <c r="A6976" i="1"/>
  <c r="E6976" i="1"/>
  <c r="F6976" i="1"/>
  <c r="B6977" i="1"/>
  <c r="A6977" i="1"/>
  <c r="E6977" i="1"/>
  <c r="F6977" i="1"/>
  <c r="B6978" i="1"/>
  <c r="A6978" i="1"/>
  <c r="E6978" i="1"/>
  <c r="F6978" i="1"/>
  <c r="B6979" i="1"/>
  <c r="A6979" i="1"/>
  <c r="E6979" i="1"/>
  <c r="F6979" i="1"/>
  <c r="B6980" i="1"/>
  <c r="A6980" i="1"/>
  <c r="E6980" i="1"/>
  <c r="F6980" i="1"/>
  <c r="B6981" i="1"/>
  <c r="A6981" i="1"/>
  <c r="E6981" i="1"/>
  <c r="F6981" i="1"/>
  <c r="B6982" i="1"/>
  <c r="A6982" i="1"/>
  <c r="E6982" i="1"/>
  <c r="F6982" i="1"/>
  <c r="B6983" i="1"/>
  <c r="A6983" i="1"/>
  <c r="E6983" i="1"/>
  <c r="F6983" i="1"/>
  <c r="B6984" i="1"/>
  <c r="A6984" i="1"/>
  <c r="E6984" i="1"/>
  <c r="F6984" i="1"/>
  <c r="B6985" i="1"/>
  <c r="A6985" i="1"/>
  <c r="E6985" i="1"/>
  <c r="F6985" i="1"/>
  <c r="B6986" i="1"/>
  <c r="A6986" i="1"/>
  <c r="E6986" i="1"/>
  <c r="F6986" i="1"/>
  <c r="B6987" i="1"/>
  <c r="A6987" i="1"/>
  <c r="E6987" i="1"/>
  <c r="F6987" i="1"/>
  <c r="B6988" i="1"/>
  <c r="A6988" i="1"/>
  <c r="E6988" i="1"/>
  <c r="F6988" i="1"/>
  <c r="B6989" i="1"/>
  <c r="A6989" i="1"/>
  <c r="E6989" i="1"/>
  <c r="F6989" i="1"/>
  <c r="B6990" i="1"/>
  <c r="A6990" i="1"/>
  <c r="E6990" i="1"/>
  <c r="F6990" i="1"/>
  <c r="B6991" i="1"/>
  <c r="A6991" i="1"/>
  <c r="E6991" i="1"/>
  <c r="F6991" i="1"/>
  <c r="B6992" i="1"/>
  <c r="A6992" i="1"/>
  <c r="E6992" i="1"/>
  <c r="F6992" i="1"/>
  <c r="B6993" i="1"/>
  <c r="A6993" i="1"/>
  <c r="E6993" i="1"/>
  <c r="F6993" i="1"/>
  <c r="B6994" i="1"/>
  <c r="A6994" i="1"/>
  <c r="E6994" i="1"/>
  <c r="F6994" i="1"/>
  <c r="B6995" i="1"/>
  <c r="A6995" i="1"/>
  <c r="E6995" i="1"/>
  <c r="F6995" i="1"/>
  <c r="B6996" i="1"/>
  <c r="A6996" i="1"/>
  <c r="E6996" i="1"/>
  <c r="F6996" i="1"/>
  <c r="B6997" i="1"/>
  <c r="A6997" i="1"/>
  <c r="E6997" i="1"/>
  <c r="F6997" i="1"/>
  <c r="B6998" i="1"/>
  <c r="A6998" i="1"/>
  <c r="E6998" i="1"/>
  <c r="F6998" i="1"/>
  <c r="B6999" i="1"/>
  <c r="A6999" i="1"/>
  <c r="E6999" i="1"/>
  <c r="F6999" i="1"/>
  <c r="B7000" i="1"/>
  <c r="A7000" i="1"/>
  <c r="E7000" i="1"/>
  <c r="F7000" i="1"/>
  <c r="B7001" i="1"/>
  <c r="A7001" i="1"/>
  <c r="E7001" i="1"/>
  <c r="F7001" i="1"/>
  <c r="B7002" i="1"/>
  <c r="A7002" i="1"/>
  <c r="E7002" i="1"/>
  <c r="B7003" i="1"/>
  <c r="A7003" i="1"/>
  <c r="E7003" i="1"/>
  <c r="F7003" i="1"/>
  <c r="B7004" i="1"/>
  <c r="A7004" i="1"/>
  <c r="E7004" i="1"/>
  <c r="F7004" i="1"/>
  <c r="B7005" i="1"/>
  <c r="A7005" i="1"/>
  <c r="E7005" i="1"/>
  <c r="F7005" i="1"/>
  <c r="B7006" i="1"/>
  <c r="A7006" i="1"/>
  <c r="E7006" i="1"/>
  <c r="F7006" i="1"/>
  <c r="G7006" i="1"/>
  <c r="B7007" i="1"/>
  <c r="A7007" i="1"/>
  <c r="E7007" i="1"/>
  <c r="F7007" i="1"/>
  <c r="B7008" i="1"/>
  <c r="A7008" i="1"/>
  <c r="E7008" i="1"/>
  <c r="F7008" i="1"/>
  <c r="G7008" i="1"/>
  <c r="B7009" i="1"/>
  <c r="A7009" i="1"/>
  <c r="E7009" i="1"/>
  <c r="F7009" i="1"/>
  <c r="G7009" i="1"/>
  <c r="B7010" i="1"/>
  <c r="A7010" i="1"/>
  <c r="E7010" i="1"/>
  <c r="F7010" i="1"/>
  <c r="G7010" i="1"/>
  <c r="B7011" i="1"/>
  <c r="A7011" i="1"/>
  <c r="E7011" i="1"/>
  <c r="B7012" i="1"/>
  <c r="A7012" i="1"/>
  <c r="E7012" i="1"/>
  <c r="B7013" i="1"/>
  <c r="A7013" i="1"/>
  <c r="E7013" i="1"/>
  <c r="F7013" i="1"/>
  <c r="B7014" i="1"/>
  <c r="A7014" i="1"/>
  <c r="E7014" i="1"/>
  <c r="F7014" i="1"/>
  <c r="B7015" i="1"/>
  <c r="A7015" i="1"/>
  <c r="E7015" i="1"/>
  <c r="F7015" i="1"/>
  <c r="B7016" i="1"/>
  <c r="A7016" i="1"/>
  <c r="E7016" i="1"/>
  <c r="F7016" i="1"/>
  <c r="B7017" i="1"/>
  <c r="A7017" i="1"/>
  <c r="E7017" i="1"/>
  <c r="F7017" i="1"/>
  <c r="B7018" i="1"/>
  <c r="A7018" i="1"/>
  <c r="E7018" i="1"/>
  <c r="F7018" i="1"/>
  <c r="B7019" i="1"/>
  <c r="A7019" i="1"/>
  <c r="E7019" i="1"/>
  <c r="F7019" i="1"/>
  <c r="B7020" i="1"/>
  <c r="A7020" i="1"/>
  <c r="E7020" i="1"/>
  <c r="F7020" i="1"/>
  <c r="B7021" i="1"/>
  <c r="A7021" i="1"/>
  <c r="E7021" i="1"/>
  <c r="F7021" i="1"/>
  <c r="B7022" i="1"/>
  <c r="A7022" i="1"/>
  <c r="E7022" i="1"/>
  <c r="F7022" i="1"/>
  <c r="B7023" i="1"/>
  <c r="A7023" i="1"/>
  <c r="E7023" i="1"/>
  <c r="F7023" i="1"/>
  <c r="B7024" i="1"/>
  <c r="A7024" i="1"/>
  <c r="E7024" i="1"/>
  <c r="F7024" i="1"/>
  <c r="B7025" i="1"/>
  <c r="A7025" i="1"/>
  <c r="E7025" i="1"/>
  <c r="F7025" i="1"/>
  <c r="B7026" i="1"/>
  <c r="A7026" i="1"/>
  <c r="E7026" i="1"/>
  <c r="F7026" i="1"/>
  <c r="B7027" i="1"/>
  <c r="A7027" i="1"/>
  <c r="E7027" i="1"/>
  <c r="F7027" i="1"/>
  <c r="B7028" i="1"/>
  <c r="A7028" i="1"/>
  <c r="E7028" i="1"/>
  <c r="F7028" i="1"/>
  <c r="B7029" i="1"/>
  <c r="A7029" i="1"/>
  <c r="E7029" i="1"/>
  <c r="F7029" i="1"/>
  <c r="B7030" i="1"/>
  <c r="A7030" i="1"/>
  <c r="E7030" i="1"/>
  <c r="F7030" i="1"/>
  <c r="B7031" i="1"/>
  <c r="A7031" i="1"/>
  <c r="E7031" i="1"/>
  <c r="F7031" i="1"/>
  <c r="B7032" i="1"/>
  <c r="A7032" i="1"/>
  <c r="E7032" i="1"/>
  <c r="F7032" i="1"/>
  <c r="B7033" i="1"/>
  <c r="A7033" i="1"/>
  <c r="E7033" i="1"/>
  <c r="F7033" i="1"/>
  <c r="B7034" i="1"/>
  <c r="A7034" i="1"/>
  <c r="E7034" i="1"/>
  <c r="F7034" i="1"/>
  <c r="B7035" i="1"/>
  <c r="A7035" i="1"/>
  <c r="E7035" i="1"/>
  <c r="F7035" i="1"/>
  <c r="B7036" i="1"/>
  <c r="A7036" i="1"/>
  <c r="E7036" i="1"/>
  <c r="F7036" i="1"/>
  <c r="B7037" i="1"/>
  <c r="A7037" i="1"/>
  <c r="E7037" i="1"/>
  <c r="F7037" i="1"/>
  <c r="B7038" i="1"/>
  <c r="A7038" i="1"/>
  <c r="E7038" i="1"/>
  <c r="F7038" i="1"/>
  <c r="B7039" i="1"/>
  <c r="A7039" i="1"/>
  <c r="E7039" i="1"/>
  <c r="F7039" i="1"/>
  <c r="G7039" i="1"/>
  <c r="B7040" i="1"/>
  <c r="A7040" i="1"/>
  <c r="E7040" i="1"/>
  <c r="F7040" i="1"/>
  <c r="B7041" i="1"/>
  <c r="A7041" i="1"/>
  <c r="E7041" i="1"/>
  <c r="F7041" i="1"/>
  <c r="B7042" i="1"/>
  <c r="A7042" i="1"/>
  <c r="E7042" i="1"/>
  <c r="F7042" i="1"/>
  <c r="B7043" i="1"/>
  <c r="A7043" i="1"/>
  <c r="E7043" i="1"/>
  <c r="F7043" i="1"/>
  <c r="B7044" i="1"/>
  <c r="A7044" i="1"/>
  <c r="E7044" i="1"/>
  <c r="F7044" i="1"/>
  <c r="B7045" i="1"/>
  <c r="A7045" i="1"/>
  <c r="E7045" i="1"/>
  <c r="F7045" i="1"/>
  <c r="B7046" i="1"/>
  <c r="A7046" i="1"/>
  <c r="E7046" i="1"/>
  <c r="F7046" i="1"/>
  <c r="B7047" i="1"/>
  <c r="A7047" i="1"/>
  <c r="E7047" i="1"/>
  <c r="F7047" i="1"/>
  <c r="B7048" i="1"/>
  <c r="A7048" i="1"/>
  <c r="E7048" i="1"/>
  <c r="F7048" i="1"/>
  <c r="B7049" i="1"/>
  <c r="A7049" i="1"/>
  <c r="E7049" i="1"/>
  <c r="F7049" i="1"/>
  <c r="G7049" i="1"/>
  <c r="B7050" i="1"/>
  <c r="A7050" i="1"/>
  <c r="E7050" i="1"/>
  <c r="F7050" i="1"/>
  <c r="G7050" i="1"/>
  <c r="B7051" i="1"/>
  <c r="A7051" i="1"/>
  <c r="E7051" i="1"/>
  <c r="F7051" i="1"/>
  <c r="B7052" i="1"/>
  <c r="A7052" i="1"/>
  <c r="E7052" i="1"/>
  <c r="F7052" i="1"/>
  <c r="B7053" i="1"/>
  <c r="A7053" i="1"/>
  <c r="E7053" i="1"/>
  <c r="F7053" i="1"/>
  <c r="G7053" i="1"/>
  <c r="B7054" i="1"/>
  <c r="A7054" i="1"/>
  <c r="E7054" i="1"/>
  <c r="F7054" i="1"/>
  <c r="B7055" i="1"/>
  <c r="A7055" i="1"/>
  <c r="E7055" i="1"/>
  <c r="F7055" i="1"/>
  <c r="B7056" i="1"/>
  <c r="A7056" i="1"/>
  <c r="E7056" i="1"/>
  <c r="F7056" i="1"/>
  <c r="B7057" i="1"/>
  <c r="A7057" i="1"/>
  <c r="E7057" i="1"/>
  <c r="F7057" i="1"/>
  <c r="B7058" i="1"/>
  <c r="A7058" i="1"/>
  <c r="E7058" i="1"/>
  <c r="F7058" i="1"/>
  <c r="B7059" i="1"/>
  <c r="A7059" i="1"/>
  <c r="E7059" i="1"/>
  <c r="F7059" i="1"/>
  <c r="B7060" i="1"/>
  <c r="A7060" i="1"/>
  <c r="E7060" i="1"/>
  <c r="F7060" i="1"/>
  <c r="B7061" i="1"/>
  <c r="A7061" i="1"/>
  <c r="E7061" i="1"/>
  <c r="F7061" i="1"/>
  <c r="B7062" i="1"/>
  <c r="A7062" i="1"/>
  <c r="E7062" i="1"/>
  <c r="F7062" i="1"/>
  <c r="B7063" i="1"/>
  <c r="A7063" i="1"/>
  <c r="E7063" i="1"/>
  <c r="F7063" i="1"/>
  <c r="B7064" i="1"/>
  <c r="A7064" i="1"/>
  <c r="E7064" i="1"/>
  <c r="F7064" i="1"/>
  <c r="B7065" i="1"/>
  <c r="A7065" i="1"/>
  <c r="E7065" i="1"/>
  <c r="F7065" i="1"/>
  <c r="B7066" i="1"/>
  <c r="A7066" i="1"/>
  <c r="E7066" i="1"/>
  <c r="F7066" i="1"/>
  <c r="B7067" i="1"/>
  <c r="A7067" i="1"/>
  <c r="E7067" i="1"/>
  <c r="F7067" i="1"/>
  <c r="B7068" i="1"/>
  <c r="A7068" i="1"/>
  <c r="E7068" i="1"/>
  <c r="F7068" i="1"/>
  <c r="B7069" i="1"/>
  <c r="A7069" i="1"/>
  <c r="E7069" i="1"/>
  <c r="F7069" i="1"/>
  <c r="B7070" i="1"/>
  <c r="A7070" i="1"/>
  <c r="E7070" i="1"/>
  <c r="F7070" i="1"/>
  <c r="B7071" i="1"/>
  <c r="A7071" i="1"/>
  <c r="E7071" i="1"/>
  <c r="F7071" i="1"/>
  <c r="B7072" i="1"/>
  <c r="A7072" i="1"/>
  <c r="E7072" i="1"/>
  <c r="F7072" i="1"/>
  <c r="B7073" i="1"/>
  <c r="A7073" i="1"/>
  <c r="E7073" i="1"/>
  <c r="F7073" i="1"/>
  <c r="B7074" i="1"/>
  <c r="A7074" i="1"/>
  <c r="E7074" i="1"/>
  <c r="F7074" i="1"/>
  <c r="B7075" i="1"/>
  <c r="A7075" i="1"/>
  <c r="E7075" i="1"/>
  <c r="F7075" i="1"/>
  <c r="B7076" i="1"/>
  <c r="A7076" i="1"/>
  <c r="E7076" i="1"/>
  <c r="F7076" i="1"/>
  <c r="B7077" i="1"/>
  <c r="A7077" i="1"/>
  <c r="E7077" i="1"/>
  <c r="F7077" i="1"/>
  <c r="B7078" i="1"/>
  <c r="A7078" i="1"/>
  <c r="E7078" i="1"/>
  <c r="F7078" i="1"/>
  <c r="B7079" i="1"/>
  <c r="A7079" i="1"/>
  <c r="E7079" i="1"/>
  <c r="F7079" i="1"/>
  <c r="B7080" i="1"/>
  <c r="A7080" i="1"/>
  <c r="E7080" i="1"/>
  <c r="F7080" i="1"/>
  <c r="B7081" i="1"/>
  <c r="A7081" i="1"/>
  <c r="E7081" i="1"/>
  <c r="F7081" i="1"/>
  <c r="B7082" i="1"/>
  <c r="A7082" i="1"/>
  <c r="E7082" i="1"/>
  <c r="F7082" i="1"/>
  <c r="B7083" i="1"/>
  <c r="A7083" i="1"/>
  <c r="E7083" i="1"/>
  <c r="F7083" i="1"/>
  <c r="B7084" i="1"/>
  <c r="A7084" i="1"/>
  <c r="E7084" i="1"/>
  <c r="F7084" i="1"/>
  <c r="B7085" i="1"/>
  <c r="A7085" i="1"/>
  <c r="E7085" i="1"/>
  <c r="F7085" i="1"/>
  <c r="G7085" i="1"/>
  <c r="B7086" i="1"/>
  <c r="A7086" i="1"/>
  <c r="E7086" i="1"/>
  <c r="F7086" i="1"/>
  <c r="B7087" i="1"/>
  <c r="A7087" i="1"/>
  <c r="E7087" i="1"/>
  <c r="F7087" i="1"/>
  <c r="B7088" i="1"/>
  <c r="A7088" i="1"/>
  <c r="E7088" i="1"/>
  <c r="F7088" i="1"/>
  <c r="B7089" i="1"/>
  <c r="A7089" i="1"/>
  <c r="E7089" i="1"/>
  <c r="F7089" i="1"/>
  <c r="B7090" i="1"/>
  <c r="A7090" i="1"/>
  <c r="E7090" i="1"/>
  <c r="F7090" i="1"/>
  <c r="G7090" i="1"/>
  <c r="B7091" i="1"/>
  <c r="A7091" i="1"/>
  <c r="E7091" i="1"/>
  <c r="F7091" i="1"/>
  <c r="B7092" i="1"/>
  <c r="A7092" i="1"/>
  <c r="E7092" i="1"/>
  <c r="F7092" i="1"/>
  <c r="B7093" i="1"/>
  <c r="A7093" i="1"/>
  <c r="E7093" i="1"/>
  <c r="F7093" i="1"/>
  <c r="G7093" i="1"/>
  <c r="B7094" i="1"/>
  <c r="A7094" i="1"/>
  <c r="E7094" i="1"/>
  <c r="F7094" i="1"/>
  <c r="B7095" i="1"/>
  <c r="A7095" i="1"/>
  <c r="E7095" i="1"/>
  <c r="F7095" i="1"/>
  <c r="B7096" i="1"/>
  <c r="A7096" i="1"/>
  <c r="E7096" i="1"/>
  <c r="F7096" i="1"/>
  <c r="B7097" i="1"/>
  <c r="A7097" i="1"/>
  <c r="E7097" i="1"/>
  <c r="F7097" i="1"/>
  <c r="B7098" i="1"/>
  <c r="A7098" i="1"/>
  <c r="E7098" i="1"/>
  <c r="F7098" i="1"/>
  <c r="B7099" i="1"/>
  <c r="A7099" i="1"/>
  <c r="E7099" i="1"/>
  <c r="F7099" i="1"/>
  <c r="G7099" i="1"/>
  <c r="B7100" i="1"/>
  <c r="A7100" i="1"/>
  <c r="E7100" i="1"/>
  <c r="F7100" i="1"/>
  <c r="B7101" i="1"/>
  <c r="A7101" i="1"/>
  <c r="E7101" i="1"/>
  <c r="F7101" i="1"/>
  <c r="B7102" i="1"/>
  <c r="A7102" i="1"/>
  <c r="E7102" i="1"/>
  <c r="F7102" i="1"/>
  <c r="B7103" i="1"/>
  <c r="A7103" i="1"/>
  <c r="E7103" i="1"/>
  <c r="F7103" i="1"/>
  <c r="G7103" i="1"/>
  <c r="B7104" i="1"/>
  <c r="A7104" i="1"/>
  <c r="E7104" i="1"/>
  <c r="F7104" i="1"/>
  <c r="G7104" i="1"/>
  <c r="B7105" i="1"/>
  <c r="A7105" i="1"/>
  <c r="E7105" i="1"/>
  <c r="F7105" i="1"/>
  <c r="B7106" i="1"/>
  <c r="A7106" i="1"/>
  <c r="E7106" i="1"/>
  <c r="F7106" i="1"/>
  <c r="B7107" i="1"/>
  <c r="A7107" i="1"/>
  <c r="E7107" i="1"/>
  <c r="F7107" i="1"/>
  <c r="B7108" i="1"/>
  <c r="A7108" i="1"/>
  <c r="E7108" i="1"/>
  <c r="F7108" i="1"/>
  <c r="G7108" i="1"/>
  <c r="B7109" i="1"/>
  <c r="A7109" i="1"/>
  <c r="E7109" i="1"/>
  <c r="F7109" i="1"/>
  <c r="B7110" i="1"/>
  <c r="A7110" i="1"/>
  <c r="E7110" i="1"/>
  <c r="F7110" i="1"/>
  <c r="B7111" i="1"/>
  <c r="A7111" i="1"/>
  <c r="E7111" i="1"/>
  <c r="F7111" i="1"/>
  <c r="B7112" i="1"/>
  <c r="A7112" i="1"/>
  <c r="E7112" i="1"/>
  <c r="F7112" i="1"/>
  <c r="B7113" i="1"/>
  <c r="A7113" i="1"/>
  <c r="E7113" i="1"/>
  <c r="F7113" i="1"/>
  <c r="B7114" i="1"/>
  <c r="A7114" i="1"/>
  <c r="E7114" i="1"/>
  <c r="F7114" i="1"/>
  <c r="B7115" i="1"/>
  <c r="A7115" i="1"/>
  <c r="E7115" i="1"/>
  <c r="F7115" i="1"/>
  <c r="B7116" i="1"/>
  <c r="A7116" i="1"/>
  <c r="E7116" i="1"/>
  <c r="F7116" i="1"/>
  <c r="G7116" i="1"/>
  <c r="B7117" i="1"/>
  <c r="A7117" i="1"/>
  <c r="E7117" i="1"/>
  <c r="F7117" i="1"/>
  <c r="B7118" i="1"/>
  <c r="A7118" i="1"/>
  <c r="E7118" i="1"/>
  <c r="F7118" i="1"/>
  <c r="B7119" i="1"/>
  <c r="A7119" i="1"/>
  <c r="E7119" i="1"/>
  <c r="F7119" i="1"/>
  <c r="B7120" i="1"/>
  <c r="A7120" i="1"/>
  <c r="E7120" i="1"/>
  <c r="F7120" i="1"/>
  <c r="B7121" i="1"/>
  <c r="A7121" i="1"/>
  <c r="E7121" i="1"/>
  <c r="F7121" i="1"/>
  <c r="B7122" i="1"/>
  <c r="A7122" i="1"/>
  <c r="E7122" i="1"/>
  <c r="F7122" i="1"/>
  <c r="B7123" i="1"/>
  <c r="A7123" i="1"/>
  <c r="E7123" i="1"/>
  <c r="F7123" i="1"/>
  <c r="B7124" i="1"/>
  <c r="A7124" i="1"/>
  <c r="E7124" i="1"/>
  <c r="F7124" i="1"/>
  <c r="B7125" i="1"/>
  <c r="A7125" i="1"/>
  <c r="E7125" i="1"/>
  <c r="F7125" i="1"/>
  <c r="B7126" i="1"/>
  <c r="A7126" i="1"/>
  <c r="E7126" i="1"/>
  <c r="F7126" i="1"/>
  <c r="B7127" i="1"/>
  <c r="A7127" i="1"/>
  <c r="E7127" i="1"/>
  <c r="F7127" i="1"/>
  <c r="B7128" i="1"/>
  <c r="A7128" i="1"/>
  <c r="E7128" i="1"/>
  <c r="F7128" i="1"/>
  <c r="B7129" i="1"/>
  <c r="A7129" i="1"/>
  <c r="E7129" i="1"/>
  <c r="F7129" i="1"/>
  <c r="B7130" i="1"/>
  <c r="A7130" i="1"/>
  <c r="E7130" i="1"/>
  <c r="F7130" i="1"/>
  <c r="B7131" i="1"/>
  <c r="A7131" i="1"/>
  <c r="E7131" i="1"/>
  <c r="F7131" i="1"/>
  <c r="B7132" i="1"/>
  <c r="A7132" i="1"/>
  <c r="E7132" i="1"/>
  <c r="F7132" i="1"/>
  <c r="B7133" i="1"/>
  <c r="A7133" i="1"/>
  <c r="E7133" i="1"/>
  <c r="F7133" i="1"/>
  <c r="B7134" i="1"/>
  <c r="A7134" i="1"/>
  <c r="E7134" i="1"/>
  <c r="F7134" i="1"/>
  <c r="B7135" i="1"/>
  <c r="A7135" i="1"/>
  <c r="E7135" i="1"/>
  <c r="F7135" i="1"/>
  <c r="B7136" i="1"/>
  <c r="A7136" i="1"/>
  <c r="E7136" i="1"/>
  <c r="F7136" i="1"/>
  <c r="B7137" i="1"/>
  <c r="A7137" i="1"/>
  <c r="E7137" i="1"/>
  <c r="F7137" i="1"/>
  <c r="B7138" i="1"/>
  <c r="A7138" i="1"/>
  <c r="E7138" i="1"/>
  <c r="F7138" i="1"/>
  <c r="B7139" i="1"/>
  <c r="A7139" i="1"/>
  <c r="E7139" i="1"/>
  <c r="F7139" i="1"/>
  <c r="B7140" i="1"/>
  <c r="A7140" i="1"/>
  <c r="E7140" i="1"/>
  <c r="F7140" i="1"/>
  <c r="G7140" i="1"/>
  <c r="B7141" i="1"/>
  <c r="A7141" i="1"/>
  <c r="E7141" i="1"/>
  <c r="F7141" i="1"/>
  <c r="B7142" i="1"/>
  <c r="A7142" i="1"/>
  <c r="E7142" i="1"/>
  <c r="F7142" i="1"/>
  <c r="G7142" i="1"/>
  <c r="B7143" i="1"/>
  <c r="A7143" i="1"/>
  <c r="E7143" i="1"/>
  <c r="F7143" i="1"/>
  <c r="B7144" i="1"/>
  <c r="A7144" i="1"/>
  <c r="E7144" i="1"/>
  <c r="F7144" i="1"/>
  <c r="B7145" i="1"/>
  <c r="A7145" i="1"/>
  <c r="E7145" i="1"/>
  <c r="F7145" i="1"/>
  <c r="B7146" i="1"/>
  <c r="A7146" i="1"/>
  <c r="E7146" i="1"/>
  <c r="F7146" i="1"/>
  <c r="G7146" i="1"/>
  <c r="B7147" i="1"/>
  <c r="A7147" i="1"/>
  <c r="E7147" i="1"/>
  <c r="F7147" i="1"/>
  <c r="G7147" i="1"/>
  <c r="B7148" i="1"/>
  <c r="A7148" i="1"/>
  <c r="E7148" i="1"/>
  <c r="F7148" i="1"/>
  <c r="B7149" i="1"/>
  <c r="A7149" i="1"/>
  <c r="E7149" i="1"/>
  <c r="F7149" i="1"/>
  <c r="B7150" i="1"/>
  <c r="A7150" i="1"/>
  <c r="E7150" i="1"/>
  <c r="F7150" i="1"/>
  <c r="G7150" i="1"/>
  <c r="B7151" i="1"/>
  <c r="A7151" i="1"/>
  <c r="E7151" i="1"/>
  <c r="F7151" i="1"/>
  <c r="B7152" i="1"/>
  <c r="A7152" i="1"/>
  <c r="E7152" i="1"/>
  <c r="F7152" i="1"/>
  <c r="B7153" i="1"/>
  <c r="A7153" i="1"/>
  <c r="E7153" i="1"/>
  <c r="F7153" i="1"/>
  <c r="G7153" i="1"/>
  <c r="B7154" i="1"/>
  <c r="A7154" i="1"/>
  <c r="E7154" i="1"/>
  <c r="F7154" i="1"/>
  <c r="B7155" i="1"/>
  <c r="A7155" i="1"/>
  <c r="E7155" i="1"/>
  <c r="F7155" i="1"/>
  <c r="G7155" i="1"/>
  <c r="B7156" i="1"/>
  <c r="A7156" i="1"/>
  <c r="E7156" i="1"/>
  <c r="F7156" i="1"/>
  <c r="B7157" i="1"/>
  <c r="A7157" i="1"/>
  <c r="E7157" i="1"/>
  <c r="F7157" i="1"/>
  <c r="B7158" i="1"/>
  <c r="A7158" i="1"/>
  <c r="E7158" i="1"/>
  <c r="F7158" i="1"/>
  <c r="B7159" i="1"/>
  <c r="A7159" i="1"/>
  <c r="E7159" i="1"/>
  <c r="F7159" i="1"/>
  <c r="B7160" i="1"/>
  <c r="A7160" i="1"/>
  <c r="E7160" i="1"/>
  <c r="F7160" i="1"/>
  <c r="B7161" i="1"/>
  <c r="A7161" i="1"/>
  <c r="E7161" i="1"/>
  <c r="F7161" i="1"/>
  <c r="B7162" i="1"/>
  <c r="A7162" i="1"/>
  <c r="E7162" i="1"/>
  <c r="F7162" i="1"/>
  <c r="B7163" i="1"/>
  <c r="A7163" i="1"/>
  <c r="E7163" i="1"/>
  <c r="F7163" i="1"/>
  <c r="G7163" i="1"/>
  <c r="B7164" i="1"/>
  <c r="A7164" i="1"/>
  <c r="E7164" i="1"/>
  <c r="F7164" i="1"/>
  <c r="B7165" i="1"/>
  <c r="A7165" i="1"/>
  <c r="E7165" i="1"/>
  <c r="F7165" i="1"/>
  <c r="B7166" i="1"/>
  <c r="A7166" i="1"/>
  <c r="E7166" i="1"/>
  <c r="F7166" i="1"/>
  <c r="B7167" i="1"/>
  <c r="A7167" i="1"/>
  <c r="E7167" i="1"/>
  <c r="F7167" i="1"/>
  <c r="B7168" i="1"/>
  <c r="A7168" i="1"/>
  <c r="E7168" i="1"/>
  <c r="F7168" i="1"/>
  <c r="B7169" i="1"/>
  <c r="A7169" i="1"/>
  <c r="E7169" i="1"/>
  <c r="F7169" i="1"/>
  <c r="G7169" i="1"/>
  <c r="B7170" i="1"/>
  <c r="A7170" i="1"/>
  <c r="E7170" i="1"/>
  <c r="F7170" i="1"/>
  <c r="G7170" i="1"/>
  <c r="B7171" i="1"/>
  <c r="A7171" i="1"/>
  <c r="E7171" i="1"/>
  <c r="F7171" i="1"/>
  <c r="G7171" i="1"/>
  <c r="B7172" i="1"/>
  <c r="A7172" i="1"/>
  <c r="E7172" i="1"/>
  <c r="F7172" i="1"/>
  <c r="G7172" i="1"/>
  <c r="B7173" i="1"/>
  <c r="A7173" i="1"/>
  <c r="E7173" i="1"/>
  <c r="F7173" i="1"/>
  <c r="B7174" i="1"/>
  <c r="A7174" i="1"/>
  <c r="E7174" i="1"/>
  <c r="F7174" i="1"/>
  <c r="B7175" i="1"/>
  <c r="A7175" i="1"/>
  <c r="E7175" i="1"/>
  <c r="F7175" i="1"/>
  <c r="B7176" i="1"/>
  <c r="A7176" i="1"/>
  <c r="E7176" i="1"/>
  <c r="F7176" i="1"/>
  <c r="G7176" i="1"/>
  <c r="B7177" i="1"/>
  <c r="A7177" i="1"/>
  <c r="E7177" i="1"/>
  <c r="F7177" i="1"/>
  <c r="B7178" i="1"/>
  <c r="A7178" i="1"/>
  <c r="E7178" i="1"/>
  <c r="F7178" i="1"/>
  <c r="B7179" i="1"/>
  <c r="A7179" i="1"/>
  <c r="E7179" i="1"/>
  <c r="F7179" i="1"/>
  <c r="B7180" i="1"/>
  <c r="A7180" i="1"/>
  <c r="E7180" i="1"/>
  <c r="F7180" i="1"/>
  <c r="B7181" i="1"/>
  <c r="A7181" i="1"/>
  <c r="E7181" i="1"/>
  <c r="F7181" i="1"/>
  <c r="B7182" i="1"/>
  <c r="A7182" i="1"/>
  <c r="E7182" i="1"/>
  <c r="F7182" i="1"/>
  <c r="B7183" i="1"/>
  <c r="A7183" i="1"/>
  <c r="E7183" i="1"/>
  <c r="F7183" i="1"/>
  <c r="B7184" i="1"/>
  <c r="A7184" i="1"/>
  <c r="E7184" i="1"/>
  <c r="F7184" i="1"/>
  <c r="B7185" i="1"/>
  <c r="A7185" i="1"/>
  <c r="E7185" i="1"/>
  <c r="F7185" i="1"/>
  <c r="G7185" i="1"/>
  <c r="B7186" i="1"/>
  <c r="A7186" i="1"/>
  <c r="E7186" i="1"/>
  <c r="F7186" i="1"/>
  <c r="B7187" i="1"/>
  <c r="A7187" i="1"/>
  <c r="E7187" i="1"/>
  <c r="F7187" i="1"/>
  <c r="G7187" i="1"/>
  <c r="B7188" i="1"/>
  <c r="A7188" i="1"/>
  <c r="E7188" i="1"/>
  <c r="F7188" i="1"/>
  <c r="B7189" i="1"/>
  <c r="A7189" i="1"/>
  <c r="E7189" i="1"/>
  <c r="F7189" i="1"/>
  <c r="G7189" i="1"/>
  <c r="B7190" i="1"/>
  <c r="A7190" i="1"/>
  <c r="E7190" i="1"/>
  <c r="F7190" i="1"/>
  <c r="B7191" i="1"/>
  <c r="A7191" i="1"/>
  <c r="E7191" i="1"/>
  <c r="F7191" i="1"/>
  <c r="B7192" i="1"/>
  <c r="A7192" i="1"/>
  <c r="E7192" i="1"/>
  <c r="F7192" i="1"/>
  <c r="B7193" i="1"/>
  <c r="A7193" i="1"/>
  <c r="E7193" i="1"/>
  <c r="F7193" i="1"/>
  <c r="B7194" i="1"/>
  <c r="A7194" i="1"/>
  <c r="E7194" i="1"/>
  <c r="F7194" i="1"/>
  <c r="B7195" i="1"/>
  <c r="A7195" i="1"/>
  <c r="E7195" i="1"/>
  <c r="F7195" i="1"/>
  <c r="B7196" i="1"/>
  <c r="A7196" i="1"/>
  <c r="E7196" i="1"/>
  <c r="F7196" i="1"/>
  <c r="B7197" i="1"/>
  <c r="A7197" i="1"/>
  <c r="E7197" i="1"/>
  <c r="F7197" i="1"/>
  <c r="G7197" i="1"/>
  <c r="B7198" i="1"/>
  <c r="A7198" i="1"/>
  <c r="E7198" i="1"/>
  <c r="F7198" i="1"/>
  <c r="B7199" i="1"/>
  <c r="A7199" i="1"/>
  <c r="E7199" i="1"/>
  <c r="F7199" i="1"/>
  <c r="G7199" i="1"/>
  <c r="B7200" i="1"/>
  <c r="A7200" i="1"/>
  <c r="E7200" i="1"/>
  <c r="F7200" i="1"/>
  <c r="B7201" i="1"/>
  <c r="A7201" i="1"/>
  <c r="E7201" i="1"/>
  <c r="F7201" i="1"/>
  <c r="B7202" i="1"/>
  <c r="A7202" i="1"/>
  <c r="E7202" i="1"/>
  <c r="F7202" i="1"/>
  <c r="B7203" i="1"/>
  <c r="A7203" i="1"/>
  <c r="E7203" i="1"/>
  <c r="F7203" i="1"/>
  <c r="B7204" i="1"/>
  <c r="A7204" i="1"/>
  <c r="E7204" i="1"/>
  <c r="F7204" i="1"/>
  <c r="B7205" i="1"/>
  <c r="A7205" i="1"/>
  <c r="E7205" i="1"/>
  <c r="F7205" i="1"/>
  <c r="B7206" i="1"/>
  <c r="A7206" i="1"/>
  <c r="E7206" i="1"/>
  <c r="F7206" i="1"/>
  <c r="B7207" i="1"/>
  <c r="A7207" i="1"/>
  <c r="E7207" i="1"/>
  <c r="F7207" i="1"/>
  <c r="B7208" i="1"/>
  <c r="A7208" i="1"/>
  <c r="E7208" i="1"/>
  <c r="F7208" i="1"/>
  <c r="B7209" i="1"/>
  <c r="A7209" i="1"/>
  <c r="E7209" i="1"/>
  <c r="F7209" i="1"/>
  <c r="B7210" i="1"/>
  <c r="A7210" i="1"/>
  <c r="E7210" i="1"/>
  <c r="F7210" i="1"/>
  <c r="B7211" i="1"/>
  <c r="A7211" i="1"/>
  <c r="E7211" i="1"/>
  <c r="F7211" i="1"/>
  <c r="B7212" i="1"/>
  <c r="A7212" i="1"/>
  <c r="E7212" i="1"/>
  <c r="F7212" i="1"/>
  <c r="G7212" i="1"/>
  <c r="B7213" i="1"/>
  <c r="A7213" i="1"/>
  <c r="E7213" i="1"/>
  <c r="F7213" i="1"/>
  <c r="G7213" i="1"/>
  <c r="B7214" i="1"/>
  <c r="A7214" i="1"/>
  <c r="E7214" i="1"/>
  <c r="F7214" i="1"/>
  <c r="B7215" i="1"/>
  <c r="A7215" i="1"/>
  <c r="E7215" i="1"/>
  <c r="F7215" i="1"/>
  <c r="B7216" i="1"/>
  <c r="A7216" i="1"/>
  <c r="E7216" i="1"/>
  <c r="F7216" i="1"/>
  <c r="B7217" i="1"/>
  <c r="A7217" i="1"/>
  <c r="E7217" i="1"/>
  <c r="F7217" i="1"/>
  <c r="B7218" i="1"/>
  <c r="A7218" i="1"/>
  <c r="E7218" i="1"/>
  <c r="F7218" i="1"/>
  <c r="B7219" i="1"/>
  <c r="A7219" i="1"/>
  <c r="E7219" i="1"/>
  <c r="F7219" i="1"/>
  <c r="B7220" i="1"/>
  <c r="A7220" i="1"/>
  <c r="E7220" i="1"/>
  <c r="F7220" i="1"/>
  <c r="B7221" i="1"/>
  <c r="A7221" i="1"/>
  <c r="E7221" i="1"/>
  <c r="F7221" i="1"/>
  <c r="B7222" i="1"/>
  <c r="A7222" i="1"/>
  <c r="E7222" i="1"/>
  <c r="F7222" i="1"/>
  <c r="B7223" i="1"/>
  <c r="A7223" i="1"/>
  <c r="E7223" i="1"/>
  <c r="F7223" i="1"/>
  <c r="B7224" i="1"/>
  <c r="A7224" i="1"/>
  <c r="E7224" i="1"/>
  <c r="F7224" i="1"/>
  <c r="B7225" i="1"/>
  <c r="A7225" i="1"/>
  <c r="E7225" i="1"/>
  <c r="F7225" i="1"/>
  <c r="B7226" i="1"/>
  <c r="A7226" i="1"/>
  <c r="E7226" i="1"/>
  <c r="F7226" i="1"/>
  <c r="B7227" i="1"/>
  <c r="A7227" i="1"/>
  <c r="E7227" i="1"/>
  <c r="F7227" i="1"/>
  <c r="B7228" i="1"/>
  <c r="A7228" i="1"/>
  <c r="E7228" i="1"/>
  <c r="F7228" i="1"/>
  <c r="B7229" i="1"/>
  <c r="A7229" i="1"/>
  <c r="E7229" i="1"/>
  <c r="F7229" i="1"/>
  <c r="B7230" i="1"/>
  <c r="A7230" i="1"/>
  <c r="E7230" i="1"/>
  <c r="F7230" i="1"/>
  <c r="B7231" i="1"/>
  <c r="A7231" i="1"/>
  <c r="E7231" i="1"/>
  <c r="F7231" i="1"/>
  <c r="B7232" i="1"/>
  <c r="A7232" i="1"/>
  <c r="E7232" i="1"/>
  <c r="F7232" i="1"/>
  <c r="B7233" i="1"/>
  <c r="A7233" i="1"/>
  <c r="E7233" i="1"/>
  <c r="F7233" i="1"/>
  <c r="B7234" i="1"/>
  <c r="A7234" i="1"/>
  <c r="E7234" i="1"/>
  <c r="F7234" i="1"/>
  <c r="B7235" i="1"/>
  <c r="A7235" i="1"/>
  <c r="E7235" i="1"/>
  <c r="F7235" i="1"/>
  <c r="B7236" i="1"/>
  <c r="A7236" i="1"/>
  <c r="E7236" i="1"/>
  <c r="F7236" i="1"/>
  <c r="B7237" i="1"/>
  <c r="A7237" i="1"/>
  <c r="E7237" i="1"/>
  <c r="F7237" i="1"/>
  <c r="B7238" i="1"/>
  <c r="A7238" i="1"/>
  <c r="E7238" i="1"/>
  <c r="F7238" i="1"/>
  <c r="B7239" i="1"/>
  <c r="A7239" i="1"/>
  <c r="E7239" i="1"/>
  <c r="F7239" i="1"/>
  <c r="B7240" i="1"/>
  <c r="A7240" i="1"/>
  <c r="E7240" i="1"/>
  <c r="F7240" i="1"/>
  <c r="B7241" i="1"/>
  <c r="A7241" i="1"/>
  <c r="E7241" i="1"/>
  <c r="F7241" i="1"/>
  <c r="B7242" i="1"/>
  <c r="A7242" i="1"/>
  <c r="E7242" i="1"/>
  <c r="F7242" i="1"/>
  <c r="B7243" i="1"/>
  <c r="A7243" i="1"/>
  <c r="E7243" i="1"/>
  <c r="F7243" i="1"/>
  <c r="B7244" i="1"/>
  <c r="A7244" i="1"/>
  <c r="E7244" i="1"/>
  <c r="F7244" i="1"/>
  <c r="B7245" i="1"/>
  <c r="A7245" i="1"/>
  <c r="E7245" i="1"/>
  <c r="F7245" i="1"/>
  <c r="B7246" i="1"/>
  <c r="A7246" i="1"/>
  <c r="E7246" i="1"/>
  <c r="F7246" i="1"/>
  <c r="B7247" i="1"/>
  <c r="A7247" i="1"/>
  <c r="E7247" i="1"/>
  <c r="F7247" i="1"/>
  <c r="B7248" i="1"/>
  <c r="A7248" i="1"/>
  <c r="E7248" i="1"/>
  <c r="F7248" i="1"/>
  <c r="B7249" i="1"/>
  <c r="A7249" i="1"/>
  <c r="E7249" i="1"/>
  <c r="F7249" i="1"/>
  <c r="B7250" i="1"/>
  <c r="A7250" i="1"/>
  <c r="E7250" i="1"/>
  <c r="F7250" i="1"/>
  <c r="B7251" i="1"/>
  <c r="A7251" i="1"/>
  <c r="E7251" i="1"/>
  <c r="F7251" i="1"/>
  <c r="B7252" i="1"/>
  <c r="A7252" i="1"/>
  <c r="E7252" i="1"/>
  <c r="F7252" i="1"/>
  <c r="B7253" i="1"/>
  <c r="A7253" i="1"/>
  <c r="E7253" i="1"/>
  <c r="F7253" i="1"/>
  <c r="B7254" i="1"/>
  <c r="A7254" i="1"/>
  <c r="E7254" i="1"/>
  <c r="F7254" i="1"/>
  <c r="B7255" i="1"/>
  <c r="A7255" i="1"/>
  <c r="E7255" i="1"/>
  <c r="F7255" i="1"/>
  <c r="B7256" i="1"/>
  <c r="A7256" i="1"/>
  <c r="E7256" i="1"/>
  <c r="F7256" i="1"/>
  <c r="B7257" i="1"/>
  <c r="A7257" i="1"/>
  <c r="E7257" i="1"/>
  <c r="F7257" i="1"/>
  <c r="G7257" i="1"/>
  <c r="B7258" i="1"/>
  <c r="A7258" i="1"/>
  <c r="E7258" i="1"/>
  <c r="F7258" i="1"/>
  <c r="B7259" i="1"/>
  <c r="A7259" i="1"/>
  <c r="E7259" i="1"/>
  <c r="F7259" i="1"/>
  <c r="B7260" i="1"/>
  <c r="A7260" i="1"/>
  <c r="E7260" i="1"/>
  <c r="F7260" i="1"/>
  <c r="B7261" i="1"/>
  <c r="A7261" i="1"/>
  <c r="E7261" i="1"/>
  <c r="F7261" i="1"/>
  <c r="B7262" i="1"/>
  <c r="A7262" i="1"/>
  <c r="E7262" i="1"/>
  <c r="F7262" i="1"/>
  <c r="B7263" i="1"/>
  <c r="A7263" i="1"/>
  <c r="E7263" i="1"/>
  <c r="F7263" i="1"/>
  <c r="B7264" i="1"/>
  <c r="A7264" i="1"/>
  <c r="E7264" i="1"/>
  <c r="F7264" i="1"/>
  <c r="B7265" i="1"/>
  <c r="A7265" i="1"/>
  <c r="E7265" i="1"/>
  <c r="F7265" i="1"/>
  <c r="B7266" i="1"/>
  <c r="A7266" i="1"/>
  <c r="E7266" i="1"/>
  <c r="F7266" i="1"/>
  <c r="B7267" i="1"/>
  <c r="A7267" i="1"/>
  <c r="E7267" i="1"/>
  <c r="F7267" i="1"/>
  <c r="B7268" i="1"/>
  <c r="A7268" i="1"/>
  <c r="E7268" i="1"/>
  <c r="F7268" i="1"/>
  <c r="B7269" i="1"/>
  <c r="A7269" i="1"/>
  <c r="E7269" i="1"/>
  <c r="F7269" i="1"/>
  <c r="B7270" i="1"/>
  <c r="A7270" i="1"/>
  <c r="E7270" i="1"/>
  <c r="F7270" i="1"/>
  <c r="B7271" i="1"/>
  <c r="A7271" i="1"/>
  <c r="E7271" i="1"/>
  <c r="F7271" i="1"/>
  <c r="B7272" i="1"/>
  <c r="A7272" i="1"/>
  <c r="E7272" i="1"/>
  <c r="F7272" i="1"/>
  <c r="B7273" i="1"/>
  <c r="A7273" i="1"/>
  <c r="E7273" i="1"/>
  <c r="F7273" i="1"/>
  <c r="B7274" i="1"/>
  <c r="A7274" i="1"/>
  <c r="E7274" i="1"/>
  <c r="F7274" i="1"/>
  <c r="B7275" i="1"/>
  <c r="A7275" i="1"/>
  <c r="E7275" i="1"/>
  <c r="F7275" i="1"/>
  <c r="B7276" i="1"/>
  <c r="A7276" i="1"/>
  <c r="E7276" i="1"/>
  <c r="F7276" i="1"/>
  <c r="B7277" i="1"/>
  <c r="A7277" i="1"/>
  <c r="E7277" i="1"/>
  <c r="F7277" i="1"/>
  <c r="B7278" i="1"/>
  <c r="A7278" i="1"/>
  <c r="E7278" i="1"/>
  <c r="F7278" i="1"/>
  <c r="B7279" i="1"/>
  <c r="A7279" i="1"/>
  <c r="E7279" i="1"/>
  <c r="F7279" i="1"/>
  <c r="B7280" i="1"/>
  <c r="A7280" i="1"/>
  <c r="E7280" i="1"/>
  <c r="F7280" i="1"/>
  <c r="B7281" i="1"/>
  <c r="A7281" i="1"/>
  <c r="E7281" i="1"/>
  <c r="F7281" i="1"/>
  <c r="B7282" i="1"/>
  <c r="A7282" i="1"/>
  <c r="E7282" i="1"/>
  <c r="F7282" i="1"/>
  <c r="B7283" i="1"/>
  <c r="A7283" i="1"/>
  <c r="E7283" i="1"/>
  <c r="F7283" i="1"/>
  <c r="B7284" i="1"/>
  <c r="A7284" i="1"/>
  <c r="E7284" i="1"/>
  <c r="F7284" i="1"/>
  <c r="B7285" i="1"/>
  <c r="A7285" i="1"/>
  <c r="E7285" i="1"/>
  <c r="F7285" i="1"/>
  <c r="B7286" i="1"/>
  <c r="A7286" i="1"/>
  <c r="E7286" i="1"/>
  <c r="F7286" i="1"/>
  <c r="B7287" i="1"/>
  <c r="A7287" i="1"/>
  <c r="E7287" i="1"/>
  <c r="F7287" i="1"/>
  <c r="B7288" i="1"/>
  <c r="A7288" i="1"/>
  <c r="E7288" i="1"/>
  <c r="F7288" i="1"/>
  <c r="B7289" i="1"/>
  <c r="A7289" i="1"/>
  <c r="E7289" i="1"/>
  <c r="F7289" i="1"/>
  <c r="B7290" i="1"/>
  <c r="A7290" i="1"/>
  <c r="E7290" i="1"/>
  <c r="F7290" i="1"/>
  <c r="B7291" i="1"/>
  <c r="A7291" i="1"/>
  <c r="E7291" i="1"/>
  <c r="F7291" i="1"/>
  <c r="B7292" i="1"/>
  <c r="A7292" i="1"/>
  <c r="E7292" i="1"/>
  <c r="F7292" i="1"/>
  <c r="B7293" i="1"/>
  <c r="A7293" i="1"/>
  <c r="E7293" i="1"/>
  <c r="F7293" i="1"/>
  <c r="B7294" i="1"/>
  <c r="A7294" i="1"/>
  <c r="E7294" i="1"/>
  <c r="F7294" i="1"/>
  <c r="B7295" i="1"/>
  <c r="A7295" i="1"/>
  <c r="E7295" i="1"/>
  <c r="F7295" i="1"/>
  <c r="G7295" i="1"/>
  <c r="B7296" i="1"/>
  <c r="A7296" i="1"/>
  <c r="E7296" i="1"/>
  <c r="F7296" i="1"/>
  <c r="B7297" i="1"/>
  <c r="A7297" i="1"/>
  <c r="E7297" i="1"/>
  <c r="F7297" i="1"/>
  <c r="B7298" i="1"/>
  <c r="A7298" i="1"/>
  <c r="E7298" i="1"/>
  <c r="F7298" i="1"/>
  <c r="B7299" i="1"/>
  <c r="A7299" i="1"/>
  <c r="E7299" i="1"/>
  <c r="F7299" i="1"/>
  <c r="B7300" i="1"/>
  <c r="A7300" i="1"/>
  <c r="E7300" i="1"/>
  <c r="F7300" i="1"/>
  <c r="B7301" i="1"/>
  <c r="A7301" i="1"/>
  <c r="E7301" i="1"/>
  <c r="F7301" i="1"/>
  <c r="G7301" i="1"/>
  <c r="B7302" i="1"/>
  <c r="A7302" i="1"/>
  <c r="E7302" i="1"/>
  <c r="F7302" i="1"/>
  <c r="B7303" i="1"/>
  <c r="A7303" i="1"/>
  <c r="E7303" i="1"/>
  <c r="F7303" i="1"/>
  <c r="B7304" i="1"/>
  <c r="A7304" i="1"/>
  <c r="E7304" i="1"/>
  <c r="F7304" i="1"/>
  <c r="B7305" i="1"/>
  <c r="A7305" i="1"/>
  <c r="E7305" i="1"/>
  <c r="F7305" i="1"/>
  <c r="B7306" i="1"/>
  <c r="A7306" i="1"/>
  <c r="E7306" i="1"/>
  <c r="F7306" i="1"/>
  <c r="B7307" i="1"/>
  <c r="A7307" i="1"/>
  <c r="E7307" i="1"/>
  <c r="F7307" i="1"/>
  <c r="B7308" i="1"/>
  <c r="A7308" i="1"/>
  <c r="E7308" i="1"/>
  <c r="F7308" i="1"/>
  <c r="B7309" i="1"/>
  <c r="A7309" i="1"/>
  <c r="E7309" i="1"/>
  <c r="F7309" i="1"/>
  <c r="B7310" i="1"/>
  <c r="A7310" i="1"/>
  <c r="E7310" i="1"/>
  <c r="F7310" i="1"/>
  <c r="G7310" i="1"/>
  <c r="B7311" i="1"/>
  <c r="A7311" i="1"/>
  <c r="E7311" i="1"/>
  <c r="F7311" i="1"/>
  <c r="B7312" i="1"/>
  <c r="A7312" i="1"/>
  <c r="E7312" i="1"/>
  <c r="F7312" i="1"/>
  <c r="B7313" i="1"/>
  <c r="A7313" i="1"/>
  <c r="E7313" i="1"/>
  <c r="F7313" i="1"/>
  <c r="B7314" i="1"/>
  <c r="A7314" i="1"/>
  <c r="E7314" i="1"/>
  <c r="F7314" i="1"/>
  <c r="B7315" i="1"/>
  <c r="A7315" i="1"/>
  <c r="E7315" i="1"/>
  <c r="F7315" i="1"/>
  <c r="B7316" i="1"/>
  <c r="A7316" i="1"/>
  <c r="E7316" i="1"/>
  <c r="F7316" i="1"/>
  <c r="B7317" i="1"/>
  <c r="A7317" i="1"/>
  <c r="E7317" i="1"/>
  <c r="F7317" i="1"/>
  <c r="B7318" i="1"/>
  <c r="A7318" i="1"/>
  <c r="E7318" i="1"/>
  <c r="F7318" i="1"/>
  <c r="B7319" i="1"/>
  <c r="A7319" i="1"/>
  <c r="E7319" i="1"/>
  <c r="F7319" i="1"/>
  <c r="B7320" i="1"/>
  <c r="A7320" i="1"/>
  <c r="E7320" i="1"/>
  <c r="F7320" i="1"/>
  <c r="B7321" i="1"/>
  <c r="A7321" i="1"/>
  <c r="E7321" i="1"/>
  <c r="F7321" i="1"/>
  <c r="B7322" i="1"/>
  <c r="A7322" i="1"/>
  <c r="E7322" i="1"/>
  <c r="F7322" i="1"/>
  <c r="B7323" i="1"/>
  <c r="A7323" i="1"/>
  <c r="E7323" i="1"/>
  <c r="F7323" i="1"/>
  <c r="B7324" i="1"/>
  <c r="A7324" i="1"/>
  <c r="E7324" i="1"/>
  <c r="F7324" i="1"/>
  <c r="G7324" i="1"/>
  <c r="B7325" i="1"/>
  <c r="A7325" i="1"/>
  <c r="E7325" i="1"/>
  <c r="F7325" i="1"/>
  <c r="B7326" i="1"/>
  <c r="A7326" i="1"/>
  <c r="E7326" i="1"/>
  <c r="F7326" i="1"/>
  <c r="G7326" i="1"/>
  <c r="B7327" i="1"/>
  <c r="A7327" i="1"/>
  <c r="E7327" i="1"/>
  <c r="F7327" i="1"/>
  <c r="B7328" i="1"/>
  <c r="A7328" i="1"/>
  <c r="E7328" i="1"/>
  <c r="F7328" i="1"/>
  <c r="G7328" i="1"/>
  <c r="B7329" i="1"/>
  <c r="A7329" i="1"/>
  <c r="E7329" i="1"/>
  <c r="F7329" i="1"/>
  <c r="B7330" i="1"/>
  <c r="A7330" i="1"/>
  <c r="E7330" i="1"/>
  <c r="F7330" i="1"/>
  <c r="B7331" i="1"/>
  <c r="A7331" i="1"/>
  <c r="E7331" i="1"/>
  <c r="F7331" i="1"/>
  <c r="B7332" i="1"/>
  <c r="A7332" i="1"/>
  <c r="E7332" i="1"/>
  <c r="F7332" i="1"/>
  <c r="G7332" i="1"/>
  <c r="B7333" i="1"/>
  <c r="A7333" i="1"/>
  <c r="E7333" i="1"/>
  <c r="F7333" i="1"/>
  <c r="B7334" i="1"/>
  <c r="A7334" i="1"/>
  <c r="E7334" i="1"/>
  <c r="F7334" i="1"/>
  <c r="B7335" i="1"/>
  <c r="A7335" i="1"/>
  <c r="E7335" i="1"/>
  <c r="F7335" i="1"/>
  <c r="B7336" i="1"/>
  <c r="A7336" i="1"/>
  <c r="E7336" i="1"/>
  <c r="F7336" i="1"/>
  <c r="B7337" i="1"/>
  <c r="A7337" i="1"/>
  <c r="E7337" i="1"/>
  <c r="F7337" i="1"/>
  <c r="B7338" i="1"/>
  <c r="A7338" i="1"/>
  <c r="E7338" i="1"/>
  <c r="F7338" i="1"/>
  <c r="B7339" i="1"/>
  <c r="A7339" i="1"/>
  <c r="E7339" i="1"/>
  <c r="F7339" i="1"/>
  <c r="B7340" i="1"/>
  <c r="A7340" i="1"/>
  <c r="E7340" i="1"/>
  <c r="F7340" i="1"/>
  <c r="B7341" i="1"/>
  <c r="A7341" i="1"/>
  <c r="E7341" i="1"/>
  <c r="F7341" i="1"/>
  <c r="B7342" i="1"/>
  <c r="A7342" i="1"/>
  <c r="E7342" i="1"/>
  <c r="F7342" i="1"/>
  <c r="B7343" i="1"/>
  <c r="A7343" i="1"/>
  <c r="E7343" i="1"/>
  <c r="F7343" i="1"/>
  <c r="G7343" i="1"/>
  <c r="B7344" i="1"/>
  <c r="A7344" i="1"/>
  <c r="E7344" i="1"/>
  <c r="F7344" i="1"/>
  <c r="B7345" i="1"/>
  <c r="A7345" i="1"/>
  <c r="E7345" i="1"/>
  <c r="F7345" i="1"/>
  <c r="B7346" i="1"/>
  <c r="A7346" i="1"/>
  <c r="E7346" i="1"/>
  <c r="F7346" i="1"/>
  <c r="B7347" i="1"/>
  <c r="A7347" i="1"/>
  <c r="E7347" i="1"/>
  <c r="F7347" i="1"/>
  <c r="G7347" i="1"/>
  <c r="B7348" i="1"/>
  <c r="A7348" i="1"/>
  <c r="E7348" i="1"/>
  <c r="F7348" i="1"/>
  <c r="B7349" i="1"/>
  <c r="A7349" i="1"/>
  <c r="E7349" i="1"/>
  <c r="F7349" i="1"/>
  <c r="B7350" i="1"/>
  <c r="A7350" i="1"/>
  <c r="E7350" i="1"/>
  <c r="F7350" i="1"/>
  <c r="B7351" i="1"/>
  <c r="A7351" i="1"/>
  <c r="E7351" i="1"/>
  <c r="F7351" i="1"/>
  <c r="B7352" i="1"/>
  <c r="A7352" i="1"/>
  <c r="E7352" i="1"/>
  <c r="F7352" i="1"/>
  <c r="G7352" i="1"/>
  <c r="B7353" i="1"/>
  <c r="A7353" i="1"/>
  <c r="E7353" i="1"/>
  <c r="F7353" i="1"/>
  <c r="B7354" i="1"/>
  <c r="A7354" i="1"/>
  <c r="E7354" i="1"/>
  <c r="F7354" i="1"/>
  <c r="B7355" i="1"/>
  <c r="A7355" i="1"/>
  <c r="E7355" i="1"/>
  <c r="F7355" i="1"/>
  <c r="B7356" i="1"/>
  <c r="A7356" i="1"/>
  <c r="E7356" i="1"/>
  <c r="F7356" i="1"/>
  <c r="B7357" i="1"/>
  <c r="A7357" i="1"/>
  <c r="E7357" i="1"/>
  <c r="F7357" i="1"/>
  <c r="G7357" i="1"/>
  <c r="B7358" i="1"/>
  <c r="A7358" i="1"/>
  <c r="E7358" i="1"/>
  <c r="F7358" i="1"/>
  <c r="G7358" i="1"/>
  <c r="B7359" i="1"/>
  <c r="A7359" i="1"/>
  <c r="E7359" i="1"/>
  <c r="F7359" i="1"/>
  <c r="G7359" i="1"/>
  <c r="B7360" i="1"/>
  <c r="A7360" i="1"/>
  <c r="E7360" i="1"/>
  <c r="F7360" i="1"/>
  <c r="G7360" i="1"/>
  <c r="B7361" i="1"/>
  <c r="A7361" i="1"/>
  <c r="E7361" i="1"/>
  <c r="F7361" i="1"/>
  <c r="B7362" i="1"/>
  <c r="A7362" i="1"/>
  <c r="E7362" i="1"/>
  <c r="F7362" i="1"/>
  <c r="B7363" i="1"/>
  <c r="A7363" i="1"/>
  <c r="E7363" i="1"/>
  <c r="F7363" i="1"/>
  <c r="B7364" i="1"/>
  <c r="A7364" i="1"/>
  <c r="E7364" i="1"/>
  <c r="F7364" i="1"/>
  <c r="B7365" i="1"/>
  <c r="A7365" i="1"/>
  <c r="E7365" i="1"/>
  <c r="F7365" i="1"/>
  <c r="B7366" i="1"/>
  <c r="A7366" i="1"/>
  <c r="E7366" i="1"/>
  <c r="F7366" i="1"/>
  <c r="B7367" i="1"/>
  <c r="A7367" i="1"/>
  <c r="E7367" i="1"/>
  <c r="F7367" i="1"/>
  <c r="G7367" i="1"/>
  <c r="B7368" i="1"/>
  <c r="A7368" i="1"/>
  <c r="E7368" i="1"/>
  <c r="F7368" i="1"/>
  <c r="G7368" i="1"/>
  <c r="B7369" i="1"/>
  <c r="A7369" i="1"/>
  <c r="E7369" i="1"/>
  <c r="F7369" i="1"/>
  <c r="B7370" i="1"/>
  <c r="A7370" i="1"/>
  <c r="E7370" i="1"/>
  <c r="F7370" i="1"/>
  <c r="G7370" i="1"/>
  <c r="B7371" i="1"/>
  <c r="A7371" i="1"/>
  <c r="E7371" i="1"/>
  <c r="F7371" i="1"/>
  <c r="G7371" i="1"/>
  <c r="B7372" i="1"/>
  <c r="A7372" i="1"/>
  <c r="E7372" i="1"/>
  <c r="F7372" i="1"/>
  <c r="G7372" i="1"/>
  <c r="B7373" i="1"/>
  <c r="A7373" i="1"/>
  <c r="E7373" i="1"/>
  <c r="F7373" i="1"/>
  <c r="G7373" i="1"/>
  <c r="B7374" i="1"/>
  <c r="A7374" i="1"/>
  <c r="E7374" i="1"/>
  <c r="F7374" i="1"/>
  <c r="G7374" i="1"/>
  <c r="B7375" i="1"/>
  <c r="A7375" i="1"/>
  <c r="E7375" i="1"/>
  <c r="F7375" i="1"/>
  <c r="G7375" i="1"/>
  <c r="B7376" i="1"/>
  <c r="A7376" i="1"/>
  <c r="E7376" i="1"/>
  <c r="F7376" i="1"/>
  <c r="G7376" i="1"/>
  <c r="B7377" i="1"/>
  <c r="A7377" i="1"/>
  <c r="E7377" i="1"/>
  <c r="F7377" i="1"/>
  <c r="G7377" i="1"/>
  <c r="B7378" i="1"/>
  <c r="A7378" i="1"/>
  <c r="E7378" i="1"/>
  <c r="F7378" i="1"/>
  <c r="G7378" i="1"/>
  <c r="B7379" i="1"/>
  <c r="A7379" i="1"/>
  <c r="E7379" i="1"/>
  <c r="F7379" i="1"/>
  <c r="B7380" i="1"/>
  <c r="A7380" i="1"/>
  <c r="E7380" i="1"/>
  <c r="F7380" i="1"/>
  <c r="B7381" i="1"/>
  <c r="A7381" i="1"/>
  <c r="E7381" i="1"/>
  <c r="F7381" i="1"/>
  <c r="B7382" i="1"/>
  <c r="A7382" i="1"/>
  <c r="E7382" i="1"/>
  <c r="F7382" i="1"/>
  <c r="B7383" i="1"/>
  <c r="A7383" i="1"/>
  <c r="E7383" i="1"/>
  <c r="F7383" i="1"/>
  <c r="B7384" i="1"/>
  <c r="A7384" i="1"/>
  <c r="E7384" i="1"/>
  <c r="F7384" i="1"/>
  <c r="B7385" i="1"/>
  <c r="A7385" i="1"/>
  <c r="E7385" i="1"/>
  <c r="F7385" i="1"/>
  <c r="B7386" i="1"/>
  <c r="A7386" i="1"/>
  <c r="E7386" i="1"/>
  <c r="F7386" i="1"/>
  <c r="G7386" i="1"/>
  <c r="B7387" i="1"/>
  <c r="A7387" i="1"/>
  <c r="E7387" i="1"/>
  <c r="F7387" i="1"/>
  <c r="G7387" i="1"/>
  <c r="B7388" i="1"/>
  <c r="A7388" i="1"/>
  <c r="E7388" i="1"/>
  <c r="F7388" i="1"/>
  <c r="G7388" i="1"/>
  <c r="B7389" i="1"/>
  <c r="A7389" i="1"/>
  <c r="E7389" i="1"/>
  <c r="F7389" i="1"/>
  <c r="G7389" i="1"/>
  <c r="B7390" i="1"/>
  <c r="A7390" i="1"/>
  <c r="E7390" i="1"/>
  <c r="F7390" i="1"/>
  <c r="G7390" i="1"/>
  <c r="B7391" i="1"/>
  <c r="A7391" i="1"/>
  <c r="E7391" i="1"/>
  <c r="F7391" i="1"/>
  <c r="B7392" i="1"/>
  <c r="A7392" i="1"/>
  <c r="E7392" i="1"/>
  <c r="F7392" i="1"/>
  <c r="B7393" i="1"/>
  <c r="A7393" i="1"/>
  <c r="E7393" i="1"/>
  <c r="F7393" i="1"/>
  <c r="G7393" i="1"/>
  <c r="B7394" i="1"/>
  <c r="A7394" i="1"/>
  <c r="E7394" i="1"/>
  <c r="F7394" i="1"/>
  <c r="G7394" i="1"/>
  <c r="B7395" i="1"/>
  <c r="A7395" i="1"/>
  <c r="E7395" i="1"/>
  <c r="F7395" i="1"/>
  <c r="B7396" i="1"/>
  <c r="A7396" i="1"/>
  <c r="E7396" i="1"/>
  <c r="F7396" i="1"/>
  <c r="B7397" i="1"/>
  <c r="A7397" i="1"/>
  <c r="E7397" i="1"/>
  <c r="F7397" i="1"/>
  <c r="B7398" i="1"/>
  <c r="A7398" i="1"/>
  <c r="E7398" i="1"/>
  <c r="F7398" i="1"/>
  <c r="B7399" i="1"/>
  <c r="A7399" i="1"/>
  <c r="E7399" i="1"/>
  <c r="F7399" i="1"/>
  <c r="G7399" i="1"/>
  <c r="B7400" i="1"/>
  <c r="A7400" i="1"/>
  <c r="E7400" i="1"/>
  <c r="F7400" i="1"/>
  <c r="G7400" i="1"/>
  <c r="B7401" i="1"/>
  <c r="A7401" i="1"/>
  <c r="E7401" i="1"/>
  <c r="F7401" i="1"/>
  <c r="G7401" i="1"/>
  <c r="B7402" i="1"/>
  <c r="A7402" i="1"/>
  <c r="E7402" i="1"/>
  <c r="F7402" i="1"/>
  <c r="G7402" i="1"/>
  <c r="B7403" i="1"/>
  <c r="A7403" i="1"/>
  <c r="E7403" i="1"/>
  <c r="F7403" i="1"/>
  <c r="G7403" i="1"/>
  <c r="B7404" i="1"/>
  <c r="A7404" i="1"/>
  <c r="E7404" i="1"/>
  <c r="F7404" i="1"/>
  <c r="B7405" i="1"/>
  <c r="A7405" i="1"/>
  <c r="E7405" i="1"/>
  <c r="F7405" i="1"/>
  <c r="B7406" i="1"/>
  <c r="A7406" i="1"/>
  <c r="E7406" i="1"/>
  <c r="F7406" i="1"/>
  <c r="B7407" i="1"/>
  <c r="A7407" i="1"/>
  <c r="E7407" i="1"/>
  <c r="F7407" i="1"/>
  <c r="B7408" i="1"/>
  <c r="A7408" i="1"/>
  <c r="E7408" i="1"/>
  <c r="F7408" i="1"/>
  <c r="B7409" i="1"/>
  <c r="A7409" i="1"/>
  <c r="E7409" i="1"/>
  <c r="F7409" i="1"/>
  <c r="B7410" i="1"/>
  <c r="A7410" i="1"/>
  <c r="E7410" i="1"/>
  <c r="F7410" i="1"/>
  <c r="B7411" i="1"/>
  <c r="A7411" i="1"/>
  <c r="E7411" i="1"/>
  <c r="F7411" i="1"/>
  <c r="B7412" i="1"/>
  <c r="A7412" i="1"/>
  <c r="E7412" i="1"/>
  <c r="F7412" i="1"/>
  <c r="B7413" i="1"/>
  <c r="A7413" i="1"/>
  <c r="E7413" i="1"/>
  <c r="F7413" i="1"/>
  <c r="B7414" i="1"/>
  <c r="A7414" i="1"/>
  <c r="E7414" i="1"/>
  <c r="F7414" i="1"/>
  <c r="G7414" i="1"/>
  <c r="B7415" i="1"/>
  <c r="A7415" i="1"/>
  <c r="E7415" i="1"/>
  <c r="F7415" i="1"/>
  <c r="G7415" i="1"/>
  <c r="B7416" i="1"/>
  <c r="A7416" i="1"/>
  <c r="E7416" i="1"/>
  <c r="F7416" i="1"/>
  <c r="B7417" i="1"/>
  <c r="A7417" i="1"/>
  <c r="E7417" i="1"/>
  <c r="F7417" i="1"/>
  <c r="G7417" i="1"/>
  <c r="B7418" i="1"/>
  <c r="A7418" i="1"/>
  <c r="E7418" i="1"/>
  <c r="F7418" i="1"/>
  <c r="B7419" i="1"/>
  <c r="A7419" i="1"/>
  <c r="E7419" i="1"/>
  <c r="F7419" i="1"/>
  <c r="B7420" i="1"/>
  <c r="A7420" i="1"/>
  <c r="E7420" i="1"/>
  <c r="F7420" i="1"/>
  <c r="B7421" i="1"/>
  <c r="A7421" i="1"/>
  <c r="E7421" i="1"/>
  <c r="F7421" i="1"/>
  <c r="B7422" i="1"/>
  <c r="A7422" i="1"/>
  <c r="E7422" i="1"/>
  <c r="F7422" i="1"/>
  <c r="G7422" i="1"/>
  <c r="B7423" i="1"/>
  <c r="A7423" i="1"/>
  <c r="E7423" i="1"/>
  <c r="F7423" i="1"/>
  <c r="B7424" i="1"/>
  <c r="A7424" i="1"/>
  <c r="E7424" i="1"/>
  <c r="F7424" i="1"/>
  <c r="B7425" i="1"/>
  <c r="A7425" i="1"/>
  <c r="E7425" i="1"/>
  <c r="F7425" i="1"/>
  <c r="B7426" i="1"/>
  <c r="A7426" i="1"/>
  <c r="E7426" i="1"/>
  <c r="F7426" i="1"/>
  <c r="B7427" i="1"/>
  <c r="A7427" i="1"/>
  <c r="E7427" i="1"/>
  <c r="F7427" i="1"/>
  <c r="G7427" i="1"/>
  <c r="B7428" i="1"/>
  <c r="A7428" i="1"/>
  <c r="E7428" i="1"/>
  <c r="F7428" i="1"/>
  <c r="B7429" i="1"/>
  <c r="A7429" i="1"/>
  <c r="E7429" i="1"/>
  <c r="F7429" i="1"/>
  <c r="B7430" i="1"/>
  <c r="A7430" i="1"/>
  <c r="E7430" i="1"/>
  <c r="F7430" i="1"/>
  <c r="B7431" i="1"/>
  <c r="A7431" i="1"/>
  <c r="E7431" i="1"/>
  <c r="F7431" i="1"/>
  <c r="B7432" i="1"/>
  <c r="A7432" i="1"/>
  <c r="E7432" i="1"/>
  <c r="F7432" i="1"/>
  <c r="B7433" i="1"/>
  <c r="A7433" i="1"/>
  <c r="E7433" i="1"/>
  <c r="F7433" i="1"/>
  <c r="B7434" i="1"/>
  <c r="A7434" i="1"/>
  <c r="E7434" i="1"/>
  <c r="F7434" i="1"/>
  <c r="B7435" i="1"/>
  <c r="A7435" i="1"/>
  <c r="E7435" i="1"/>
  <c r="F7435" i="1"/>
  <c r="G7435" i="1"/>
  <c r="B7436" i="1"/>
  <c r="A7436" i="1"/>
  <c r="E7436" i="1"/>
  <c r="F7436" i="1"/>
  <c r="G7436" i="1"/>
  <c r="B7437" i="1"/>
  <c r="A7437" i="1"/>
  <c r="E7437" i="1"/>
  <c r="F7437" i="1"/>
  <c r="B7438" i="1"/>
  <c r="A7438" i="1"/>
  <c r="E7438" i="1"/>
  <c r="F7438" i="1"/>
  <c r="G7438" i="1"/>
  <c r="B7439" i="1"/>
  <c r="A7439" i="1"/>
  <c r="E7439" i="1"/>
  <c r="F7439" i="1"/>
  <c r="G7439" i="1"/>
  <c r="B7440" i="1"/>
  <c r="A7440" i="1"/>
  <c r="E7440" i="1"/>
  <c r="F7440" i="1"/>
  <c r="B7441" i="1"/>
  <c r="A7441" i="1"/>
  <c r="E7441" i="1"/>
  <c r="F7441" i="1"/>
  <c r="B7442" i="1"/>
  <c r="A7442" i="1"/>
  <c r="E7442" i="1"/>
  <c r="F7442" i="1"/>
  <c r="B7443" i="1"/>
  <c r="A7443" i="1"/>
  <c r="E7443" i="1"/>
  <c r="F7443" i="1"/>
  <c r="B7444" i="1"/>
  <c r="A7444" i="1"/>
  <c r="E7444" i="1"/>
  <c r="F7444" i="1"/>
  <c r="B7445" i="1"/>
  <c r="A7445" i="1"/>
  <c r="E7445" i="1"/>
  <c r="F7445" i="1"/>
  <c r="B7446" i="1"/>
  <c r="A7446" i="1"/>
  <c r="E7446" i="1"/>
  <c r="F7446" i="1"/>
  <c r="B7447" i="1"/>
  <c r="A7447" i="1"/>
  <c r="E7447" i="1"/>
  <c r="F7447" i="1"/>
  <c r="B7448" i="1"/>
  <c r="A7448" i="1"/>
  <c r="E7448" i="1"/>
  <c r="F7448" i="1"/>
  <c r="B7449" i="1"/>
  <c r="A7449" i="1"/>
  <c r="E7449" i="1"/>
  <c r="F7449" i="1"/>
  <c r="B7450" i="1"/>
  <c r="A7450" i="1"/>
  <c r="E7450" i="1"/>
  <c r="F7450" i="1"/>
  <c r="B7451" i="1"/>
  <c r="A7451" i="1"/>
  <c r="E7451" i="1"/>
  <c r="F7451" i="1"/>
  <c r="B7452" i="1"/>
  <c r="A7452" i="1"/>
  <c r="E7452" i="1"/>
  <c r="F7452" i="1"/>
  <c r="B7453" i="1"/>
  <c r="A7453" i="1"/>
  <c r="E7453" i="1"/>
  <c r="F7453" i="1"/>
  <c r="G7453" i="1"/>
  <c r="B7454" i="1"/>
  <c r="A7454" i="1"/>
  <c r="E7454" i="1"/>
  <c r="F7454" i="1"/>
  <c r="B7455" i="1"/>
  <c r="A7455" i="1"/>
  <c r="E7455" i="1"/>
  <c r="F7455" i="1"/>
  <c r="G7455" i="1"/>
  <c r="B7456" i="1"/>
  <c r="A7456" i="1"/>
  <c r="E7456" i="1"/>
  <c r="F7456" i="1"/>
  <c r="G7456" i="1"/>
  <c r="B7457" i="1"/>
  <c r="A7457" i="1"/>
  <c r="E7457" i="1"/>
  <c r="F7457" i="1"/>
  <c r="G7457" i="1"/>
  <c r="B7458" i="1"/>
  <c r="A7458" i="1"/>
  <c r="E7458" i="1"/>
  <c r="F7458" i="1"/>
  <c r="B7459" i="1"/>
  <c r="A7459" i="1"/>
  <c r="E7459" i="1"/>
  <c r="F7459" i="1"/>
  <c r="G7459" i="1"/>
  <c r="B7460" i="1"/>
  <c r="A7460" i="1"/>
  <c r="E7460" i="1"/>
  <c r="F7460" i="1"/>
  <c r="G7460" i="1"/>
  <c r="B7461" i="1"/>
  <c r="A7461" i="1"/>
  <c r="E7461" i="1"/>
  <c r="F7461" i="1"/>
  <c r="B7462" i="1"/>
  <c r="A7462" i="1"/>
  <c r="E7462" i="1"/>
  <c r="F7462" i="1"/>
  <c r="B7463" i="1"/>
  <c r="A7463" i="1"/>
  <c r="E7463" i="1"/>
  <c r="F7463" i="1"/>
  <c r="B7464" i="1"/>
  <c r="A7464" i="1"/>
  <c r="E7464" i="1"/>
  <c r="F7464" i="1"/>
  <c r="B7465" i="1"/>
  <c r="A7465" i="1"/>
  <c r="E7465" i="1"/>
  <c r="F7465" i="1"/>
  <c r="B7466" i="1"/>
  <c r="A7466" i="1"/>
  <c r="E7466" i="1"/>
  <c r="F7466" i="1"/>
  <c r="B7467" i="1"/>
  <c r="A7467" i="1"/>
  <c r="E7467" i="1"/>
  <c r="F7467" i="1"/>
  <c r="B7468" i="1"/>
  <c r="A7468" i="1"/>
  <c r="E7468" i="1"/>
  <c r="F7468" i="1"/>
  <c r="B7469" i="1"/>
  <c r="A7469" i="1"/>
  <c r="E7469" i="1"/>
  <c r="F7469" i="1"/>
  <c r="B7470" i="1"/>
  <c r="A7470" i="1"/>
  <c r="E7470" i="1"/>
  <c r="F7470" i="1"/>
  <c r="B7471" i="1"/>
  <c r="A7471" i="1"/>
  <c r="E7471" i="1"/>
  <c r="F7471" i="1"/>
  <c r="B7472" i="1"/>
  <c r="A7472" i="1"/>
  <c r="E7472" i="1"/>
  <c r="F7472" i="1"/>
  <c r="B7473" i="1"/>
  <c r="A7473" i="1"/>
  <c r="E7473" i="1"/>
  <c r="F7473" i="1"/>
  <c r="B7474" i="1"/>
  <c r="A7474" i="1"/>
  <c r="E7474" i="1"/>
  <c r="F7474" i="1"/>
  <c r="B7475" i="1"/>
  <c r="A7475" i="1"/>
  <c r="E7475" i="1"/>
  <c r="F7475" i="1"/>
  <c r="B7476" i="1"/>
  <c r="A7476" i="1"/>
  <c r="E7476" i="1"/>
  <c r="F7476" i="1"/>
  <c r="B7477" i="1"/>
  <c r="A7477" i="1"/>
  <c r="E7477" i="1"/>
  <c r="F7477" i="1"/>
  <c r="B7478" i="1"/>
  <c r="A7478" i="1"/>
  <c r="E7478" i="1"/>
  <c r="F7478" i="1"/>
  <c r="B7479" i="1"/>
  <c r="A7479" i="1"/>
  <c r="E7479" i="1"/>
  <c r="F7479" i="1"/>
  <c r="G7479" i="1"/>
  <c r="B7480" i="1"/>
  <c r="A7480" i="1"/>
  <c r="E7480" i="1"/>
  <c r="F7480" i="1"/>
  <c r="G7480" i="1"/>
  <c r="B7481" i="1"/>
  <c r="A7481" i="1"/>
  <c r="E7481" i="1"/>
  <c r="F7481" i="1"/>
  <c r="B7482" i="1"/>
  <c r="A7482" i="1"/>
  <c r="E7482" i="1"/>
  <c r="F7482" i="1"/>
  <c r="G7482" i="1"/>
  <c r="B7483" i="1"/>
  <c r="A7483" i="1"/>
  <c r="E7483" i="1"/>
  <c r="F7483" i="1"/>
  <c r="B7484" i="1"/>
  <c r="A7484" i="1"/>
  <c r="E7484" i="1"/>
  <c r="F7484" i="1"/>
  <c r="B7485" i="1"/>
  <c r="A7485" i="1"/>
  <c r="E7485" i="1"/>
  <c r="F7485" i="1"/>
  <c r="G7485" i="1"/>
  <c r="B7486" i="1"/>
  <c r="A7486" i="1"/>
  <c r="E7486" i="1"/>
  <c r="F7486" i="1"/>
  <c r="G7486" i="1"/>
  <c r="B7487" i="1"/>
  <c r="A7487" i="1"/>
  <c r="E7487" i="1"/>
  <c r="F7487" i="1"/>
  <c r="G7487" i="1"/>
  <c r="B7488" i="1"/>
  <c r="A7488" i="1"/>
  <c r="E7488" i="1"/>
  <c r="F7488" i="1"/>
  <c r="G7488" i="1"/>
  <c r="B7489" i="1"/>
  <c r="A7489" i="1"/>
  <c r="E7489" i="1"/>
  <c r="F7489" i="1"/>
  <c r="G7489" i="1"/>
  <c r="B7490" i="1"/>
  <c r="A7490" i="1"/>
  <c r="E7490" i="1"/>
  <c r="F7490" i="1"/>
  <c r="G7490" i="1"/>
  <c r="B7491" i="1"/>
  <c r="A7491" i="1"/>
  <c r="E7491" i="1"/>
  <c r="F7491" i="1"/>
  <c r="B7492" i="1"/>
  <c r="A7492" i="1"/>
  <c r="E7492" i="1"/>
  <c r="F7492" i="1"/>
  <c r="G7492" i="1"/>
  <c r="B7493" i="1"/>
  <c r="A7493" i="1"/>
  <c r="E7493" i="1"/>
  <c r="F7493" i="1"/>
  <c r="G7493" i="1"/>
  <c r="B7494" i="1"/>
  <c r="A7494" i="1"/>
  <c r="E7494" i="1"/>
  <c r="F7494" i="1"/>
  <c r="G7494" i="1"/>
  <c r="B7495" i="1"/>
  <c r="A7495" i="1"/>
  <c r="E7495" i="1"/>
  <c r="F7495" i="1"/>
  <c r="B7496" i="1"/>
  <c r="A7496" i="1"/>
  <c r="E7496" i="1"/>
  <c r="F7496" i="1"/>
  <c r="B7497" i="1"/>
  <c r="A7497" i="1"/>
  <c r="E7497" i="1"/>
  <c r="F7497" i="1"/>
  <c r="B7498" i="1"/>
  <c r="A7498" i="1"/>
  <c r="E7498" i="1"/>
  <c r="F7498" i="1"/>
  <c r="B7499" i="1"/>
  <c r="A7499" i="1"/>
  <c r="E7499" i="1"/>
  <c r="F7499" i="1"/>
  <c r="B7500" i="1"/>
  <c r="A7500" i="1"/>
  <c r="E7500" i="1"/>
  <c r="F7500" i="1"/>
  <c r="B7501" i="1"/>
  <c r="A7501" i="1"/>
  <c r="E7501" i="1"/>
  <c r="F7501" i="1"/>
  <c r="B7502" i="1"/>
  <c r="A7502" i="1"/>
  <c r="E7502" i="1"/>
  <c r="F7502" i="1"/>
  <c r="B7503" i="1"/>
  <c r="A7503" i="1"/>
  <c r="E7503" i="1"/>
  <c r="F7503" i="1"/>
  <c r="B7504" i="1"/>
  <c r="A7504" i="1"/>
  <c r="E7504" i="1"/>
  <c r="F7504" i="1"/>
  <c r="B7505" i="1"/>
  <c r="A7505" i="1"/>
  <c r="E7505" i="1"/>
  <c r="F7505" i="1"/>
  <c r="B7506" i="1"/>
  <c r="A7506" i="1"/>
  <c r="E7506" i="1"/>
  <c r="F7506" i="1"/>
  <c r="B7507" i="1"/>
  <c r="A7507" i="1"/>
  <c r="E7507" i="1"/>
  <c r="F7507" i="1"/>
  <c r="B7508" i="1"/>
  <c r="A7508" i="1"/>
  <c r="E7508" i="1"/>
  <c r="F7508" i="1"/>
  <c r="G7508" i="1"/>
  <c r="B7509" i="1"/>
  <c r="A7509" i="1"/>
  <c r="E7509" i="1"/>
  <c r="F7509" i="1"/>
  <c r="G7509" i="1"/>
  <c r="B7510" i="1"/>
  <c r="A7510" i="1"/>
  <c r="E7510" i="1"/>
  <c r="F7510" i="1"/>
  <c r="G7510" i="1"/>
  <c r="B7511" i="1"/>
  <c r="A7511" i="1"/>
  <c r="E7511" i="1"/>
  <c r="F7511" i="1"/>
  <c r="B7512" i="1"/>
  <c r="A7512" i="1"/>
  <c r="E7512" i="1"/>
  <c r="F7512" i="1"/>
  <c r="B7513" i="1"/>
  <c r="A7513" i="1"/>
  <c r="E7513" i="1"/>
  <c r="F7513" i="1"/>
  <c r="B7514" i="1"/>
  <c r="A7514" i="1"/>
  <c r="E7514" i="1"/>
  <c r="F7514" i="1"/>
  <c r="B7515" i="1"/>
  <c r="A7515" i="1"/>
  <c r="E7515" i="1"/>
  <c r="F7515" i="1"/>
  <c r="B7516" i="1"/>
  <c r="A7516" i="1"/>
  <c r="E7516" i="1"/>
  <c r="F7516" i="1"/>
  <c r="B7517" i="1"/>
  <c r="A7517" i="1"/>
  <c r="E7517" i="1"/>
  <c r="F7517" i="1"/>
  <c r="B7518" i="1"/>
  <c r="A7518" i="1"/>
  <c r="E7518" i="1"/>
  <c r="F7518" i="1"/>
  <c r="B7519" i="1"/>
  <c r="A7519" i="1"/>
  <c r="E7519" i="1"/>
  <c r="F7519" i="1"/>
  <c r="B7520" i="1"/>
  <c r="A7520" i="1"/>
  <c r="E7520" i="1"/>
  <c r="F7520" i="1"/>
  <c r="B7521" i="1"/>
  <c r="A7521" i="1"/>
  <c r="E7521" i="1"/>
  <c r="F7521" i="1"/>
  <c r="B7522" i="1"/>
  <c r="A7522" i="1"/>
  <c r="E7522" i="1"/>
  <c r="F7522" i="1"/>
  <c r="B7523" i="1"/>
  <c r="A7523" i="1"/>
  <c r="E7523" i="1"/>
  <c r="F7523" i="1"/>
  <c r="B7524" i="1"/>
  <c r="A7524" i="1"/>
  <c r="E7524" i="1"/>
  <c r="F7524" i="1"/>
  <c r="B7525" i="1"/>
  <c r="A7525" i="1"/>
  <c r="E7525" i="1"/>
  <c r="F7525" i="1"/>
  <c r="G7525" i="1"/>
  <c r="B7526" i="1"/>
  <c r="A7526" i="1"/>
  <c r="E7526" i="1"/>
  <c r="F7526" i="1"/>
  <c r="B7527" i="1"/>
  <c r="A7527" i="1"/>
  <c r="E7527" i="1"/>
  <c r="B7528" i="1"/>
  <c r="A7528" i="1"/>
  <c r="E7528" i="1"/>
  <c r="G7528" i="1"/>
  <c r="B7529" i="1"/>
  <c r="A7529" i="1"/>
  <c r="E7529" i="1"/>
  <c r="G7529" i="1"/>
  <c r="B7530" i="1"/>
  <c r="A7530" i="1"/>
  <c r="E7530" i="1"/>
  <c r="B7531" i="1"/>
  <c r="A7531" i="1"/>
  <c r="E7531" i="1"/>
  <c r="B7532" i="1"/>
  <c r="A7532" i="1"/>
  <c r="E7532" i="1"/>
  <c r="B7533" i="1"/>
  <c r="A7533" i="1"/>
  <c r="E7533" i="1"/>
  <c r="B7534" i="1"/>
  <c r="A7534" i="1"/>
  <c r="E7534" i="1"/>
  <c r="B7535" i="1"/>
  <c r="A7535" i="1"/>
  <c r="E7535" i="1"/>
  <c r="B7536" i="1"/>
  <c r="A7536" i="1"/>
  <c r="E7536" i="1"/>
  <c r="B7537" i="1"/>
  <c r="A7537" i="1"/>
  <c r="E7537" i="1"/>
  <c r="B7538" i="1"/>
  <c r="A7538" i="1"/>
  <c r="E7538" i="1"/>
  <c r="B7539" i="1"/>
  <c r="A7539" i="1"/>
  <c r="E7539" i="1"/>
  <c r="B7540" i="1"/>
  <c r="A7540" i="1"/>
  <c r="E7540" i="1"/>
  <c r="B7541" i="1"/>
  <c r="A7541" i="1"/>
  <c r="E7541" i="1"/>
  <c r="B7542" i="1"/>
  <c r="A7542" i="1"/>
  <c r="E7542" i="1"/>
  <c r="B7543" i="1"/>
  <c r="A7543" i="1"/>
  <c r="E7543" i="1"/>
  <c r="B7544" i="1"/>
  <c r="A7544" i="1"/>
  <c r="E7544" i="1"/>
  <c r="B7545" i="1"/>
  <c r="A7545" i="1"/>
  <c r="E7545" i="1"/>
  <c r="B7546" i="1"/>
  <c r="A7546" i="1"/>
  <c r="E7546" i="1"/>
  <c r="B7547" i="1"/>
  <c r="A7547" i="1"/>
  <c r="E7547" i="1"/>
  <c r="B7548" i="1"/>
  <c r="A7548" i="1"/>
  <c r="E7548" i="1"/>
  <c r="B7549" i="1"/>
  <c r="A7549" i="1"/>
  <c r="E7549" i="1"/>
  <c r="B7550" i="1"/>
  <c r="A7550" i="1"/>
  <c r="E7550" i="1"/>
  <c r="B7551" i="1"/>
  <c r="A7551" i="1"/>
  <c r="E7551" i="1"/>
  <c r="B7552" i="1"/>
  <c r="A7552" i="1"/>
  <c r="E7552" i="1"/>
  <c r="B7553" i="1"/>
  <c r="A7553" i="1"/>
  <c r="E7553" i="1"/>
  <c r="B7554" i="1"/>
  <c r="A7554" i="1"/>
  <c r="E7554" i="1"/>
  <c r="B7555" i="1"/>
  <c r="A7555" i="1"/>
  <c r="E7555" i="1"/>
  <c r="B7556" i="1"/>
  <c r="A7556" i="1"/>
  <c r="E7556" i="1"/>
  <c r="B7557" i="1"/>
  <c r="A7557" i="1"/>
  <c r="E7557" i="1"/>
  <c r="B7558" i="1"/>
  <c r="A7558" i="1"/>
  <c r="E7558" i="1"/>
  <c r="B7559" i="1"/>
  <c r="A7559" i="1"/>
  <c r="E7559" i="1"/>
  <c r="B7560" i="1"/>
  <c r="A7560" i="1"/>
  <c r="E7560" i="1"/>
  <c r="F7560" i="1"/>
  <c r="B7561" i="1"/>
  <c r="A7561" i="1"/>
  <c r="E7561" i="1"/>
  <c r="F7561" i="1"/>
  <c r="B7562" i="1"/>
  <c r="A7562" i="1"/>
  <c r="E7562" i="1"/>
  <c r="F7562" i="1"/>
  <c r="B7563" i="1"/>
  <c r="A7563" i="1"/>
  <c r="E7563" i="1"/>
  <c r="F7563" i="1"/>
  <c r="B7564" i="1"/>
  <c r="A7564" i="1"/>
  <c r="E7564" i="1"/>
  <c r="F7564" i="1"/>
  <c r="B7565" i="1"/>
  <c r="A7565" i="1"/>
  <c r="E7565" i="1"/>
  <c r="F7565" i="1"/>
  <c r="B7566" i="1"/>
  <c r="A7566" i="1"/>
  <c r="E7566" i="1"/>
  <c r="F7566" i="1"/>
  <c r="B7567" i="1"/>
  <c r="A7567" i="1"/>
  <c r="E7567" i="1"/>
  <c r="F7567" i="1"/>
  <c r="B7568" i="1"/>
  <c r="A7568" i="1"/>
  <c r="E7568" i="1"/>
  <c r="F7568" i="1"/>
  <c r="B7569" i="1"/>
  <c r="A7569" i="1"/>
  <c r="E7569" i="1"/>
  <c r="F7569" i="1"/>
  <c r="B7570" i="1"/>
  <c r="A7570" i="1"/>
  <c r="E7570" i="1"/>
  <c r="F7570" i="1"/>
  <c r="B7571" i="1"/>
  <c r="A7571" i="1"/>
  <c r="E7571" i="1"/>
  <c r="F7571" i="1"/>
  <c r="B7572" i="1"/>
  <c r="A7572" i="1"/>
  <c r="E7572" i="1"/>
  <c r="F7572" i="1"/>
  <c r="B7573" i="1"/>
  <c r="A7573" i="1"/>
  <c r="E7573" i="1"/>
  <c r="F7573" i="1"/>
  <c r="B7574" i="1"/>
  <c r="A7574" i="1"/>
  <c r="E7574" i="1"/>
  <c r="F7574" i="1"/>
  <c r="B7575" i="1"/>
  <c r="A7575" i="1"/>
  <c r="E7575" i="1"/>
  <c r="F7575" i="1"/>
  <c r="B7576" i="1"/>
  <c r="A7576" i="1"/>
  <c r="E7576" i="1"/>
  <c r="F7576" i="1"/>
  <c r="B7577" i="1"/>
  <c r="A7577" i="1"/>
  <c r="E7577" i="1"/>
  <c r="B7578" i="1"/>
  <c r="A7578" i="1"/>
  <c r="E7578" i="1"/>
  <c r="B7579" i="1"/>
  <c r="A7579" i="1"/>
  <c r="E7579" i="1"/>
  <c r="B7580" i="1"/>
  <c r="A7580" i="1"/>
  <c r="E7580" i="1"/>
  <c r="B7581" i="1"/>
  <c r="A7581" i="1"/>
  <c r="E7581" i="1"/>
  <c r="B7582" i="1"/>
  <c r="A7582" i="1"/>
  <c r="E7582" i="1"/>
  <c r="B7583" i="1"/>
  <c r="A7583" i="1"/>
  <c r="E7583" i="1"/>
  <c r="B7584" i="1"/>
  <c r="A7584" i="1"/>
  <c r="E7584" i="1"/>
  <c r="A7585" i="1"/>
  <c r="E7585" i="1"/>
  <c r="B7586" i="1"/>
  <c r="A7586" i="1"/>
  <c r="E7586" i="1"/>
  <c r="B7587" i="1"/>
  <c r="A7587" i="1"/>
  <c r="E7587" i="1"/>
  <c r="B7588" i="1"/>
  <c r="A7588" i="1"/>
  <c r="E7588" i="1"/>
  <c r="B7589" i="1"/>
  <c r="A7589" i="1"/>
  <c r="E7589" i="1"/>
  <c r="B7590" i="1"/>
  <c r="A7590" i="1"/>
  <c r="E7590" i="1"/>
  <c r="B7591" i="1"/>
  <c r="A7591" i="1"/>
  <c r="E7591" i="1"/>
  <c r="B7592" i="1"/>
  <c r="A7592" i="1"/>
  <c r="E7592" i="1"/>
  <c r="B7593" i="1"/>
  <c r="A7593" i="1"/>
  <c r="E7593" i="1"/>
  <c r="B7594" i="1"/>
  <c r="A7594" i="1"/>
  <c r="E7594" i="1"/>
  <c r="B7595" i="1"/>
  <c r="A7595" i="1"/>
  <c r="E7595" i="1"/>
  <c r="B7596" i="1"/>
  <c r="A7596" i="1"/>
  <c r="E7596" i="1"/>
  <c r="B7597" i="1"/>
  <c r="A7597" i="1"/>
  <c r="E7597" i="1"/>
  <c r="B7598" i="1"/>
  <c r="A7598" i="1"/>
  <c r="E7598" i="1"/>
  <c r="B7599" i="1"/>
  <c r="A7599" i="1"/>
  <c r="E7599" i="1"/>
  <c r="B7600" i="1"/>
  <c r="A7600" i="1"/>
  <c r="E7600" i="1"/>
  <c r="B7601" i="1"/>
  <c r="A7601" i="1"/>
  <c r="E7601" i="1"/>
  <c r="B7602" i="1"/>
  <c r="A7602" i="1"/>
  <c r="E7602" i="1"/>
  <c r="B7603" i="1"/>
  <c r="A7603" i="1"/>
  <c r="E7603" i="1"/>
  <c r="B7604" i="1"/>
  <c r="A7604" i="1"/>
  <c r="E7604" i="1"/>
  <c r="B7605" i="1"/>
  <c r="A7605" i="1"/>
  <c r="E7605" i="1"/>
  <c r="B7606" i="1"/>
  <c r="A7606" i="1"/>
  <c r="E7606" i="1"/>
  <c r="B7607" i="1"/>
  <c r="A7607" i="1"/>
  <c r="E7607" i="1"/>
  <c r="B7608" i="1"/>
  <c r="A7608" i="1"/>
  <c r="E7608" i="1"/>
  <c r="B7609" i="1"/>
  <c r="A7609" i="1"/>
  <c r="E7609" i="1"/>
  <c r="B7610" i="1"/>
  <c r="A7610" i="1"/>
  <c r="E7610" i="1"/>
  <c r="B7611" i="1"/>
  <c r="A7611" i="1"/>
  <c r="E7611" i="1"/>
  <c r="B7612" i="1"/>
  <c r="A7612" i="1"/>
  <c r="E7612" i="1"/>
  <c r="B7613" i="1"/>
  <c r="A7613" i="1"/>
  <c r="E7613" i="1"/>
  <c r="B7614" i="1"/>
  <c r="A7614" i="1"/>
  <c r="E7614" i="1"/>
  <c r="B7615" i="1"/>
  <c r="A7615" i="1"/>
  <c r="E7615" i="1"/>
  <c r="B7616" i="1"/>
  <c r="A7616" i="1"/>
  <c r="E7616" i="1"/>
  <c r="B7617" i="1"/>
  <c r="A7617" i="1"/>
  <c r="E7617" i="1"/>
  <c r="B7618" i="1"/>
  <c r="A7618" i="1"/>
  <c r="E7618" i="1"/>
  <c r="B7619" i="1"/>
  <c r="A7619" i="1"/>
  <c r="E7619" i="1"/>
  <c r="B7620" i="1"/>
  <c r="A7620" i="1"/>
  <c r="E7620" i="1"/>
  <c r="B7621" i="1"/>
  <c r="A7621" i="1"/>
  <c r="E7621" i="1"/>
  <c r="B7622" i="1"/>
  <c r="A7622" i="1"/>
  <c r="E7622" i="1"/>
  <c r="B7623" i="1"/>
  <c r="A7623" i="1"/>
  <c r="E7623" i="1"/>
  <c r="B7624" i="1"/>
  <c r="A7624" i="1"/>
  <c r="E7624" i="1"/>
  <c r="B7625" i="1"/>
  <c r="A7625" i="1"/>
  <c r="E7625" i="1"/>
  <c r="B7626" i="1"/>
  <c r="A7626" i="1"/>
  <c r="E7626" i="1"/>
  <c r="B7627" i="1"/>
  <c r="A7627" i="1"/>
  <c r="E7627" i="1"/>
  <c r="B7628" i="1"/>
  <c r="A7628" i="1"/>
  <c r="E7628" i="1"/>
  <c r="B7629" i="1"/>
  <c r="A7629" i="1"/>
  <c r="E7629" i="1"/>
  <c r="B7630" i="1"/>
  <c r="A7630" i="1"/>
  <c r="E7630" i="1"/>
  <c r="B7631" i="1"/>
  <c r="A7631" i="1"/>
  <c r="E7631" i="1"/>
  <c r="B7632" i="1"/>
  <c r="A7632" i="1"/>
  <c r="E7632" i="1"/>
  <c r="B7633" i="1"/>
  <c r="A7633" i="1"/>
  <c r="E7633" i="1"/>
  <c r="B7634" i="1"/>
  <c r="A7634" i="1"/>
  <c r="E7634" i="1"/>
  <c r="B7635" i="1"/>
  <c r="A7635" i="1"/>
  <c r="E7635" i="1"/>
  <c r="B7636" i="1"/>
  <c r="A7636" i="1"/>
  <c r="E7636" i="1"/>
  <c r="B7637" i="1"/>
  <c r="A7637" i="1"/>
  <c r="E7637" i="1"/>
  <c r="B7638" i="1"/>
  <c r="A7638" i="1"/>
  <c r="E7638" i="1"/>
  <c r="B7639" i="1"/>
  <c r="A7639" i="1"/>
  <c r="E7639" i="1"/>
  <c r="B7640" i="1"/>
  <c r="A7640" i="1"/>
  <c r="E7640" i="1"/>
  <c r="B7641" i="1"/>
  <c r="A7641" i="1"/>
  <c r="E7641" i="1"/>
  <c r="B7642" i="1"/>
  <c r="A7642" i="1"/>
  <c r="E7642" i="1"/>
  <c r="B7643" i="1"/>
  <c r="A7643" i="1"/>
  <c r="E7643" i="1"/>
  <c r="B7644" i="1"/>
  <c r="A7644" i="1"/>
  <c r="E7644" i="1"/>
  <c r="B7645" i="1"/>
  <c r="A7645" i="1"/>
  <c r="E7645" i="1"/>
  <c r="B7646" i="1"/>
  <c r="A7646" i="1"/>
  <c r="E7646" i="1"/>
  <c r="B7647" i="1"/>
  <c r="A7647" i="1"/>
  <c r="E7647" i="1"/>
  <c r="B7648" i="1"/>
  <c r="A7648" i="1"/>
  <c r="E7648" i="1"/>
  <c r="G7648" i="1"/>
  <c r="B7649" i="1"/>
  <c r="A7649" i="1"/>
  <c r="E7649" i="1"/>
  <c r="G7649" i="1"/>
  <c r="B7650" i="1"/>
  <c r="A7650" i="1"/>
  <c r="E7650" i="1"/>
  <c r="G7650" i="1"/>
  <c r="B7651" i="1"/>
  <c r="A7651" i="1"/>
  <c r="E7651" i="1"/>
  <c r="B7652" i="1"/>
  <c r="A7652" i="1"/>
  <c r="E7652" i="1"/>
  <c r="B7653" i="1"/>
  <c r="A7653" i="1"/>
  <c r="E7653" i="1"/>
  <c r="B7654" i="1"/>
  <c r="A7654" i="1"/>
  <c r="E7654" i="1"/>
  <c r="B7655" i="1"/>
  <c r="A7655" i="1"/>
  <c r="E7655" i="1"/>
  <c r="B7656" i="1"/>
  <c r="A7656" i="1"/>
  <c r="E7656" i="1"/>
  <c r="B7657" i="1"/>
  <c r="A7657" i="1"/>
  <c r="E7657" i="1"/>
  <c r="B7658" i="1"/>
  <c r="A7658" i="1"/>
  <c r="E7658" i="1"/>
  <c r="G7658" i="1"/>
  <c r="B7659" i="1"/>
  <c r="A7659" i="1"/>
  <c r="E7659" i="1"/>
  <c r="G7659" i="1"/>
  <c r="B7660" i="1"/>
  <c r="A7660" i="1"/>
  <c r="E7660" i="1"/>
  <c r="G7660" i="1"/>
  <c r="B7661" i="1"/>
  <c r="A7661" i="1"/>
  <c r="E7661" i="1"/>
  <c r="B7662" i="1"/>
  <c r="A7662" i="1"/>
  <c r="E7662" i="1"/>
  <c r="B7663" i="1"/>
  <c r="A7663" i="1"/>
  <c r="E7663" i="1"/>
  <c r="B7664" i="1"/>
  <c r="A7664" i="1"/>
  <c r="E7664" i="1"/>
  <c r="B7665" i="1"/>
  <c r="A7665" i="1"/>
  <c r="E7665" i="1"/>
  <c r="B7666" i="1"/>
  <c r="A7666" i="1"/>
  <c r="E7666" i="1"/>
  <c r="B7667" i="1"/>
  <c r="A7667" i="1"/>
  <c r="E7667" i="1"/>
  <c r="B7668" i="1"/>
  <c r="A7668" i="1"/>
  <c r="E7668" i="1"/>
  <c r="B7669" i="1"/>
  <c r="A7669" i="1"/>
  <c r="E7669" i="1"/>
  <c r="B7670" i="1"/>
  <c r="A7670" i="1"/>
  <c r="E7670" i="1"/>
  <c r="B7671" i="1"/>
  <c r="A7671" i="1"/>
  <c r="E7671" i="1"/>
  <c r="B7672" i="1"/>
  <c r="A7672" i="1"/>
  <c r="E7672" i="1"/>
  <c r="B7673" i="1"/>
  <c r="A7673" i="1"/>
  <c r="E7673" i="1"/>
  <c r="B7674" i="1"/>
  <c r="A7674" i="1"/>
  <c r="E7674" i="1"/>
  <c r="B7675" i="1"/>
  <c r="A7675" i="1"/>
  <c r="E7675" i="1"/>
  <c r="B7676" i="1"/>
  <c r="A7676" i="1"/>
  <c r="E7676" i="1"/>
  <c r="B7677" i="1"/>
  <c r="A7677" i="1"/>
  <c r="E7677" i="1"/>
  <c r="B7678" i="1"/>
  <c r="A7678" i="1"/>
  <c r="E7678" i="1"/>
  <c r="B7679" i="1"/>
  <c r="A7679" i="1"/>
  <c r="E7679" i="1"/>
  <c r="B7680" i="1"/>
  <c r="A7680" i="1"/>
  <c r="E7680" i="1"/>
  <c r="B7681" i="1"/>
  <c r="A7681" i="1"/>
  <c r="E7681" i="1"/>
  <c r="B7682" i="1"/>
  <c r="A7682" i="1"/>
  <c r="E7682" i="1"/>
  <c r="B7683" i="1"/>
  <c r="A7683" i="1"/>
  <c r="E7683" i="1"/>
  <c r="B7684" i="1"/>
  <c r="A7684" i="1"/>
  <c r="E7684" i="1"/>
  <c r="B7685" i="1"/>
  <c r="A7685" i="1"/>
  <c r="E7685" i="1"/>
  <c r="B7686" i="1"/>
  <c r="A7686" i="1"/>
  <c r="E7686" i="1"/>
  <c r="B7687" i="1"/>
  <c r="A7687" i="1"/>
  <c r="E7687" i="1"/>
  <c r="B7688" i="1"/>
  <c r="A7688" i="1"/>
  <c r="E7688" i="1"/>
  <c r="B7689" i="1"/>
  <c r="A7689" i="1"/>
  <c r="E7689" i="1"/>
  <c r="B7690" i="1"/>
  <c r="A7690" i="1"/>
  <c r="E7690" i="1"/>
  <c r="B7691" i="1"/>
  <c r="A7691" i="1"/>
  <c r="E7691" i="1"/>
  <c r="B7692" i="1"/>
  <c r="A7692" i="1"/>
  <c r="E7692" i="1"/>
  <c r="B7693" i="1"/>
  <c r="A7693" i="1"/>
  <c r="E7693" i="1"/>
  <c r="B7694" i="1"/>
  <c r="A7694" i="1"/>
  <c r="E7694" i="1"/>
  <c r="B7695" i="1"/>
  <c r="A7695" i="1"/>
  <c r="E7695" i="1"/>
  <c r="B7696" i="1"/>
  <c r="A7696" i="1"/>
  <c r="E7696" i="1"/>
  <c r="B7697" i="1"/>
  <c r="A7697" i="1"/>
  <c r="E7697" i="1"/>
  <c r="G7697" i="1"/>
  <c r="B7698" i="1"/>
  <c r="A7698" i="1"/>
  <c r="E7698" i="1"/>
  <c r="B7699" i="1"/>
  <c r="A7699" i="1"/>
  <c r="E7699" i="1"/>
  <c r="B7700" i="1"/>
  <c r="A7700" i="1"/>
  <c r="E7700" i="1"/>
  <c r="B7701" i="1"/>
  <c r="A7701" i="1"/>
  <c r="E7701" i="1"/>
  <c r="B7702" i="1"/>
  <c r="A7702" i="1"/>
  <c r="E7702" i="1"/>
  <c r="B7703" i="1"/>
  <c r="A7703" i="1"/>
  <c r="E7703" i="1"/>
  <c r="B7704" i="1"/>
  <c r="A7704" i="1"/>
  <c r="E7704" i="1"/>
  <c r="B7705" i="1"/>
  <c r="A7705" i="1"/>
  <c r="E7705" i="1"/>
  <c r="B7706" i="1"/>
  <c r="A7706" i="1"/>
  <c r="E7706" i="1"/>
  <c r="G7706" i="1"/>
  <c r="B7707" i="1"/>
  <c r="A7707" i="1"/>
  <c r="E7707" i="1"/>
  <c r="B7708" i="1"/>
  <c r="A7708" i="1"/>
  <c r="E7708" i="1"/>
  <c r="B7709" i="1"/>
  <c r="A7709" i="1"/>
  <c r="E7709" i="1"/>
  <c r="B7710" i="1"/>
  <c r="A7710" i="1"/>
  <c r="E7710" i="1"/>
  <c r="B7711" i="1"/>
  <c r="A7711" i="1"/>
  <c r="E7711" i="1"/>
  <c r="B7712" i="1"/>
  <c r="A7712" i="1"/>
  <c r="E7712" i="1"/>
  <c r="B7713" i="1"/>
  <c r="A7713" i="1"/>
  <c r="E7713" i="1"/>
  <c r="B7714" i="1"/>
  <c r="A7714" i="1"/>
  <c r="E7714" i="1"/>
  <c r="B7715" i="1"/>
  <c r="A7715" i="1"/>
  <c r="E7715" i="1"/>
  <c r="G7715" i="1"/>
  <c r="B7716" i="1"/>
  <c r="A7716" i="1"/>
  <c r="E7716" i="1"/>
  <c r="B7717" i="1"/>
  <c r="A7717" i="1"/>
  <c r="E7717" i="1"/>
  <c r="B7718" i="1"/>
  <c r="A7718" i="1"/>
  <c r="E7718" i="1"/>
  <c r="B7719" i="1"/>
  <c r="A7719" i="1"/>
  <c r="E7719" i="1"/>
  <c r="B7720" i="1"/>
  <c r="A7720" i="1"/>
  <c r="E7720" i="1"/>
  <c r="B7721" i="1"/>
  <c r="A7721" i="1"/>
  <c r="E7721" i="1"/>
  <c r="B7722" i="1"/>
  <c r="A7722" i="1"/>
  <c r="E7722" i="1"/>
  <c r="B7723" i="1"/>
  <c r="A7723" i="1"/>
  <c r="E7723" i="1"/>
  <c r="B7724" i="1"/>
  <c r="A7724" i="1"/>
  <c r="E7724" i="1"/>
  <c r="B7725" i="1"/>
  <c r="A7725" i="1"/>
  <c r="E7725" i="1"/>
  <c r="G7725" i="1"/>
  <c r="B7726" i="1"/>
  <c r="A7726" i="1"/>
  <c r="E7726" i="1"/>
  <c r="B7727" i="1"/>
  <c r="A7727" i="1"/>
  <c r="E7727" i="1"/>
  <c r="B7728" i="1"/>
  <c r="A7728" i="1"/>
  <c r="E7728" i="1"/>
  <c r="B7729" i="1"/>
  <c r="A7729" i="1"/>
  <c r="E7729" i="1"/>
  <c r="B7730" i="1"/>
  <c r="A7730" i="1"/>
  <c r="E7730" i="1"/>
  <c r="B7731" i="1"/>
  <c r="A7731" i="1"/>
  <c r="E7731" i="1"/>
  <c r="B7732" i="1"/>
  <c r="A7732" i="1"/>
  <c r="E7732" i="1"/>
  <c r="B7733" i="1"/>
  <c r="A7733" i="1"/>
  <c r="E7733" i="1"/>
  <c r="B7734" i="1"/>
  <c r="A7734" i="1"/>
  <c r="E7734" i="1"/>
  <c r="B7735" i="1"/>
  <c r="A7735" i="1"/>
  <c r="E7735" i="1"/>
  <c r="B7736" i="1"/>
  <c r="A7736" i="1"/>
  <c r="E7736" i="1"/>
  <c r="B7737" i="1"/>
  <c r="A7737" i="1"/>
  <c r="E7737" i="1"/>
  <c r="B7738" i="1"/>
  <c r="A7738" i="1"/>
  <c r="E7738" i="1"/>
  <c r="B7739" i="1"/>
  <c r="A7739" i="1"/>
  <c r="E7739" i="1"/>
  <c r="B7740" i="1"/>
  <c r="A7740" i="1"/>
  <c r="E7740" i="1"/>
  <c r="B7741" i="1"/>
  <c r="A7741" i="1"/>
  <c r="E7741" i="1"/>
  <c r="B7742" i="1"/>
  <c r="A7742" i="1"/>
  <c r="E7742" i="1"/>
  <c r="B7743" i="1"/>
  <c r="A7743" i="1"/>
  <c r="E7743" i="1"/>
  <c r="B7744" i="1"/>
  <c r="A7744" i="1"/>
  <c r="E7744" i="1"/>
  <c r="B7745" i="1"/>
  <c r="A7745" i="1"/>
  <c r="E7745" i="1"/>
  <c r="B7746" i="1"/>
  <c r="A7746" i="1"/>
  <c r="E7746" i="1"/>
  <c r="B7747" i="1"/>
  <c r="A7747" i="1"/>
  <c r="E7747" i="1"/>
  <c r="B7748" i="1"/>
  <c r="A7748" i="1"/>
  <c r="E7748" i="1"/>
  <c r="B7749" i="1"/>
  <c r="A7749" i="1"/>
  <c r="E7749" i="1"/>
  <c r="B7750" i="1"/>
  <c r="A7750" i="1"/>
  <c r="E7750" i="1"/>
  <c r="B7751" i="1"/>
  <c r="A7751" i="1"/>
  <c r="E7751" i="1"/>
  <c r="A7752" i="1"/>
  <c r="E7752" i="1"/>
  <c r="A7753" i="1"/>
  <c r="E7753" i="1"/>
  <c r="B7754" i="1"/>
  <c r="A7754" i="1"/>
  <c r="E7754" i="1"/>
  <c r="B7755" i="1"/>
  <c r="A7755" i="1"/>
  <c r="E7755" i="1"/>
  <c r="B7756" i="1"/>
  <c r="A7756" i="1"/>
  <c r="E7756" i="1"/>
  <c r="B7757" i="1"/>
  <c r="A7757" i="1"/>
  <c r="E7757" i="1"/>
  <c r="B7758" i="1"/>
  <c r="A7758" i="1"/>
  <c r="E7758" i="1"/>
  <c r="B7759" i="1"/>
  <c r="A7759" i="1"/>
  <c r="E7759" i="1"/>
  <c r="B7760" i="1"/>
  <c r="A7760" i="1"/>
  <c r="E7760" i="1"/>
  <c r="B7761" i="1"/>
  <c r="A7761" i="1"/>
  <c r="E7761" i="1"/>
  <c r="B7762" i="1"/>
  <c r="A7762" i="1"/>
  <c r="E7762" i="1"/>
  <c r="B7763" i="1"/>
  <c r="A7763" i="1"/>
  <c r="E7763" i="1"/>
  <c r="B7764" i="1"/>
  <c r="A7764" i="1"/>
  <c r="E7764" i="1"/>
  <c r="B7765" i="1"/>
  <c r="A7765" i="1"/>
  <c r="E7765" i="1"/>
  <c r="B7766" i="1"/>
  <c r="A7766" i="1"/>
  <c r="E7766" i="1"/>
  <c r="B7767" i="1"/>
  <c r="A7767" i="1"/>
  <c r="E7767" i="1"/>
  <c r="B7768" i="1"/>
  <c r="A7768" i="1"/>
  <c r="E7768" i="1"/>
  <c r="B7769" i="1"/>
  <c r="A7769" i="1"/>
  <c r="E7769" i="1"/>
  <c r="B7770" i="1"/>
  <c r="A7770" i="1"/>
  <c r="E7770" i="1"/>
  <c r="B7771" i="1"/>
  <c r="A7771" i="1"/>
  <c r="E7771" i="1"/>
  <c r="B7772" i="1"/>
  <c r="A7772" i="1"/>
  <c r="E7772" i="1"/>
  <c r="B7773" i="1"/>
  <c r="A7773" i="1"/>
  <c r="E7773" i="1"/>
  <c r="B7774" i="1"/>
  <c r="A7774" i="1"/>
  <c r="E7774" i="1"/>
  <c r="B7775" i="1"/>
  <c r="A7775" i="1"/>
  <c r="E7775" i="1"/>
  <c r="B7776" i="1"/>
  <c r="A7776" i="1"/>
  <c r="E7776" i="1"/>
  <c r="B7777" i="1"/>
  <c r="A7777" i="1"/>
  <c r="E7777" i="1"/>
  <c r="B7778" i="1"/>
  <c r="A7778" i="1"/>
  <c r="E7778" i="1"/>
  <c r="B7779" i="1"/>
  <c r="A7779" i="1"/>
  <c r="E7779" i="1"/>
  <c r="B7780" i="1"/>
  <c r="A7780" i="1"/>
  <c r="E7780" i="1"/>
  <c r="B7781" i="1"/>
  <c r="A7781" i="1"/>
  <c r="E7781" i="1"/>
  <c r="B7782" i="1"/>
  <c r="A7782" i="1"/>
  <c r="E7782" i="1"/>
  <c r="B7783" i="1"/>
  <c r="A7783" i="1"/>
  <c r="E7783" i="1"/>
  <c r="B7784" i="1"/>
  <c r="A7784" i="1"/>
  <c r="E7784" i="1"/>
  <c r="B7785" i="1"/>
  <c r="A7785" i="1"/>
  <c r="E7785" i="1"/>
  <c r="B7786" i="1"/>
  <c r="A7786" i="1"/>
  <c r="E7786" i="1"/>
  <c r="B7787" i="1"/>
  <c r="A7787" i="1"/>
  <c r="E7787" i="1"/>
  <c r="B7788" i="1"/>
  <c r="A7788" i="1"/>
  <c r="E7788" i="1"/>
  <c r="B7789" i="1"/>
  <c r="A7789" i="1"/>
  <c r="E7789" i="1"/>
  <c r="B7790" i="1"/>
  <c r="A7790" i="1"/>
  <c r="E7790" i="1"/>
  <c r="B7791" i="1"/>
  <c r="A7791" i="1"/>
  <c r="E7791" i="1"/>
  <c r="B7792" i="1"/>
  <c r="A7792" i="1"/>
  <c r="E7792" i="1"/>
  <c r="B7793" i="1"/>
  <c r="A7793" i="1"/>
  <c r="E7793" i="1"/>
  <c r="B7794" i="1"/>
  <c r="A7794" i="1"/>
  <c r="E7794" i="1"/>
  <c r="B7795" i="1"/>
  <c r="A7795" i="1"/>
  <c r="E7795" i="1"/>
  <c r="B7796" i="1"/>
  <c r="A7796" i="1"/>
  <c r="E7796" i="1"/>
  <c r="B7797" i="1"/>
  <c r="A7797" i="1"/>
  <c r="E7797" i="1"/>
  <c r="B7798" i="1"/>
  <c r="A7798" i="1"/>
  <c r="E7798" i="1"/>
  <c r="B7799" i="1"/>
  <c r="A7799" i="1"/>
  <c r="E7799" i="1"/>
  <c r="B7800" i="1"/>
  <c r="A7800" i="1"/>
  <c r="E7800" i="1"/>
  <c r="B7801" i="1"/>
  <c r="A7801" i="1"/>
  <c r="E7801" i="1"/>
  <c r="B7802" i="1"/>
  <c r="A7802" i="1"/>
  <c r="E7802" i="1"/>
  <c r="B7803" i="1"/>
  <c r="A7803" i="1"/>
  <c r="E7803" i="1"/>
  <c r="B7804" i="1"/>
  <c r="A7804" i="1"/>
  <c r="E7804" i="1"/>
  <c r="B7805" i="1"/>
  <c r="A7805" i="1"/>
  <c r="E7805" i="1"/>
  <c r="B7806" i="1"/>
  <c r="A7806" i="1"/>
  <c r="E7806" i="1"/>
  <c r="B7807" i="1"/>
  <c r="A7807" i="1"/>
  <c r="E7807" i="1"/>
  <c r="B7808" i="1"/>
  <c r="A7808" i="1"/>
  <c r="E7808" i="1"/>
  <c r="B7809" i="1"/>
  <c r="A7809" i="1"/>
  <c r="E7809" i="1"/>
  <c r="B7810" i="1"/>
  <c r="A7810" i="1"/>
  <c r="E7810" i="1"/>
  <c r="B7811" i="1"/>
  <c r="A7811" i="1"/>
  <c r="E7811" i="1"/>
  <c r="B7812" i="1"/>
  <c r="A7812" i="1"/>
  <c r="E7812" i="1"/>
  <c r="B7813" i="1"/>
  <c r="A7813" i="1"/>
  <c r="E7813" i="1"/>
  <c r="B7814" i="1"/>
  <c r="A7814" i="1"/>
  <c r="E7814" i="1"/>
  <c r="B7815" i="1"/>
  <c r="A7815" i="1"/>
  <c r="E7815" i="1"/>
  <c r="B7816" i="1"/>
  <c r="A7816" i="1"/>
  <c r="E7816" i="1"/>
  <c r="B7817" i="1"/>
  <c r="A7817" i="1"/>
  <c r="E7817" i="1"/>
  <c r="B7818" i="1"/>
  <c r="A7818" i="1"/>
  <c r="E7818" i="1"/>
  <c r="A7819" i="1"/>
  <c r="E7819" i="1"/>
  <c r="B7820" i="1"/>
  <c r="A7820" i="1"/>
  <c r="E7820" i="1"/>
  <c r="B7821" i="1"/>
  <c r="A7821" i="1"/>
  <c r="E7821" i="1"/>
  <c r="B7822" i="1"/>
  <c r="A7822" i="1"/>
  <c r="E7822" i="1"/>
  <c r="B7823" i="1"/>
  <c r="A7823" i="1"/>
  <c r="E7823" i="1"/>
  <c r="A7824" i="1"/>
  <c r="E7824" i="1"/>
  <c r="A7825" i="1"/>
  <c r="E7825" i="1"/>
  <c r="A7826" i="1"/>
  <c r="E7826" i="1"/>
  <c r="A7827" i="1"/>
  <c r="E7827" i="1"/>
  <c r="A7828" i="1"/>
  <c r="E7828" i="1"/>
  <c r="B7829" i="1"/>
  <c r="A7829" i="1"/>
  <c r="E7829" i="1"/>
  <c r="B7830" i="1"/>
  <c r="A7830" i="1"/>
  <c r="E7830" i="1"/>
  <c r="B7831" i="1"/>
  <c r="A7831" i="1"/>
  <c r="E7831" i="1"/>
  <c r="B7832" i="1"/>
  <c r="A7832" i="1"/>
  <c r="E7832" i="1"/>
  <c r="B7833" i="1"/>
  <c r="A7833" i="1"/>
  <c r="E7833" i="1"/>
  <c r="B7834" i="1"/>
  <c r="A7834" i="1"/>
  <c r="E7834" i="1"/>
  <c r="B7835" i="1"/>
  <c r="A7835" i="1"/>
  <c r="E7835" i="1"/>
  <c r="B7836" i="1"/>
  <c r="A7836" i="1"/>
  <c r="E7836" i="1"/>
  <c r="B7837" i="1"/>
  <c r="A7837" i="1"/>
  <c r="E7837" i="1"/>
  <c r="B7838" i="1"/>
  <c r="A7838" i="1"/>
  <c r="E7838" i="1"/>
  <c r="B7839" i="1"/>
  <c r="A7839" i="1"/>
  <c r="E7839" i="1"/>
  <c r="B7840" i="1"/>
  <c r="A7840" i="1"/>
  <c r="E7840" i="1"/>
  <c r="B7841" i="1"/>
  <c r="A7841" i="1"/>
  <c r="E7841" i="1"/>
  <c r="B7842" i="1"/>
  <c r="A7842" i="1"/>
  <c r="E7842" i="1"/>
  <c r="B7843" i="1"/>
  <c r="A7843" i="1"/>
  <c r="E7843" i="1"/>
  <c r="B7844" i="1"/>
  <c r="A7844" i="1"/>
  <c r="E7844" i="1"/>
  <c r="B7845" i="1"/>
  <c r="A7845" i="1"/>
  <c r="E7845" i="1"/>
  <c r="B7846" i="1"/>
  <c r="A7846" i="1"/>
  <c r="E7846" i="1"/>
  <c r="B7847" i="1"/>
  <c r="A7847" i="1"/>
  <c r="E7847" i="1"/>
  <c r="B7848" i="1"/>
  <c r="A7848" i="1"/>
  <c r="E7848" i="1"/>
  <c r="B7849" i="1"/>
  <c r="A7849" i="1"/>
  <c r="E7849" i="1"/>
  <c r="B7850" i="1"/>
  <c r="A7850" i="1"/>
  <c r="E7850" i="1"/>
  <c r="B7851" i="1"/>
  <c r="A7851" i="1"/>
  <c r="E7851" i="1"/>
  <c r="B7852" i="1"/>
  <c r="A7852" i="1"/>
  <c r="E7852" i="1"/>
  <c r="B7853" i="1"/>
  <c r="A7853" i="1"/>
  <c r="E7853" i="1"/>
  <c r="B7854" i="1"/>
  <c r="A7854" i="1"/>
  <c r="E7854" i="1"/>
  <c r="B7855" i="1"/>
  <c r="A7855" i="1"/>
  <c r="E7855" i="1"/>
  <c r="B7856" i="1"/>
  <c r="A7856" i="1"/>
  <c r="E7856" i="1"/>
  <c r="B7857" i="1"/>
  <c r="A7857" i="1"/>
  <c r="E7857" i="1"/>
  <c r="B7858" i="1"/>
  <c r="A7858" i="1"/>
  <c r="E7858" i="1"/>
  <c r="B7859" i="1"/>
  <c r="A7859" i="1"/>
  <c r="E7859" i="1"/>
  <c r="B7860" i="1"/>
  <c r="A7860" i="1"/>
  <c r="E7860" i="1"/>
  <c r="B7861" i="1"/>
  <c r="A7861" i="1"/>
  <c r="E7861" i="1"/>
  <c r="B7862" i="1"/>
  <c r="A7862" i="1"/>
  <c r="E7862" i="1"/>
  <c r="B7863" i="1"/>
  <c r="A7863" i="1"/>
  <c r="E7863" i="1"/>
  <c r="B7864" i="1"/>
  <c r="A7864" i="1"/>
  <c r="E7864" i="1"/>
  <c r="B7865" i="1"/>
  <c r="A7865" i="1"/>
  <c r="E7865" i="1"/>
  <c r="B7866" i="1"/>
  <c r="A7866" i="1"/>
  <c r="E7866" i="1"/>
  <c r="G7866" i="1"/>
  <c r="B7867" i="1"/>
  <c r="A7867" i="1"/>
  <c r="E7867" i="1"/>
  <c r="G7867" i="1"/>
  <c r="B7868" i="1"/>
  <c r="A7868" i="1"/>
  <c r="E7868" i="1"/>
  <c r="G7868" i="1"/>
  <c r="B7869" i="1"/>
  <c r="A7869" i="1"/>
  <c r="E7869" i="1"/>
  <c r="G7869" i="1"/>
  <c r="B7870" i="1"/>
  <c r="A7870" i="1"/>
  <c r="E7870" i="1"/>
  <c r="G7870" i="1"/>
  <c r="B7871" i="1"/>
  <c r="A7871" i="1"/>
  <c r="E7871" i="1"/>
  <c r="G7871" i="1"/>
  <c r="B7872" i="1"/>
  <c r="A7872" i="1"/>
  <c r="E7872" i="1"/>
  <c r="G7872" i="1"/>
  <c r="B7873" i="1"/>
  <c r="A7873" i="1"/>
  <c r="E7873" i="1"/>
  <c r="G7873" i="1"/>
  <c r="B7874" i="1"/>
  <c r="A7874" i="1"/>
  <c r="E7874" i="1"/>
  <c r="G7874" i="1"/>
  <c r="B7875" i="1"/>
  <c r="A7875" i="1"/>
  <c r="E7875" i="1"/>
  <c r="G7875" i="1"/>
  <c r="B7876" i="1"/>
  <c r="A7876" i="1"/>
  <c r="E7876" i="1"/>
  <c r="G7876" i="1"/>
  <c r="B7877" i="1"/>
  <c r="A7877" i="1"/>
  <c r="E7877" i="1"/>
  <c r="G7877" i="1"/>
  <c r="B7878" i="1"/>
  <c r="A7878" i="1"/>
  <c r="E7878" i="1"/>
  <c r="G7878" i="1"/>
  <c r="B7879" i="1"/>
  <c r="A7879" i="1"/>
  <c r="E7879" i="1"/>
  <c r="G7879" i="1"/>
  <c r="B7880" i="1"/>
  <c r="A7880" i="1"/>
  <c r="E7880" i="1"/>
  <c r="G7880" i="1"/>
  <c r="B7881" i="1"/>
  <c r="A7881" i="1"/>
  <c r="E7881" i="1"/>
  <c r="G7881" i="1"/>
  <c r="B7882" i="1"/>
  <c r="A7882" i="1"/>
  <c r="E7882" i="1"/>
  <c r="G7882" i="1"/>
  <c r="B7883" i="1"/>
  <c r="A7883" i="1"/>
  <c r="E7883" i="1"/>
  <c r="G7883" i="1"/>
  <c r="B7884" i="1"/>
  <c r="A7884" i="1"/>
  <c r="E7884" i="1"/>
  <c r="G7884" i="1"/>
  <c r="B7885" i="1"/>
  <c r="A7885" i="1"/>
  <c r="E7885" i="1"/>
  <c r="G7885" i="1"/>
  <c r="B7886" i="1"/>
  <c r="A7886" i="1"/>
  <c r="E7886" i="1"/>
  <c r="G7886" i="1"/>
  <c r="B7887" i="1"/>
  <c r="A7887" i="1"/>
  <c r="E7887" i="1"/>
  <c r="G7887" i="1"/>
  <c r="B7888" i="1"/>
  <c r="A7888" i="1"/>
  <c r="E7888" i="1"/>
  <c r="G7888" i="1"/>
  <c r="B7889" i="1"/>
  <c r="A7889" i="1"/>
  <c r="E7889" i="1"/>
  <c r="G7889" i="1"/>
  <c r="B7890" i="1"/>
  <c r="A7890" i="1"/>
  <c r="E7890" i="1"/>
  <c r="G7890" i="1"/>
  <c r="B7891" i="1"/>
  <c r="A7891" i="1"/>
  <c r="E7891" i="1"/>
  <c r="G7891" i="1"/>
  <c r="B7892" i="1"/>
  <c r="A7892" i="1"/>
  <c r="E7892" i="1"/>
  <c r="G7892" i="1"/>
  <c r="B7893" i="1"/>
  <c r="A7893" i="1"/>
  <c r="E7893" i="1"/>
  <c r="G7893" i="1"/>
  <c r="B7894" i="1"/>
  <c r="A7894" i="1"/>
  <c r="E7894" i="1"/>
  <c r="G7894" i="1"/>
  <c r="B7895" i="1"/>
  <c r="A7895" i="1"/>
  <c r="E7895" i="1"/>
  <c r="G7895" i="1"/>
  <c r="B7896" i="1"/>
  <c r="A7896" i="1"/>
  <c r="E7896" i="1"/>
  <c r="G7896" i="1"/>
  <c r="B7897" i="1"/>
  <c r="A7897" i="1"/>
  <c r="E7897" i="1"/>
  <c r="G7897" i="1"/>
  <c r="B7898" i="1"/>
  <c r="A7898" i="1"/>
  <c r="E7898" i="1"/>
  <c r="G7898" i="1"/>
  <c r="B7899" i="1"/>
  <c r="A7899" i="1"/>
  <c r="E7899" i="1"/>
  <c r="G7899" i="1"/>
  <c r="B7900" i="1"/>
  <c r="A7900" i="1"/>
  <c r="E7900" i="1"/>
  <c r="G7900" i="1"/>
  <c r="B7901" i="1"/>
  <c r="A7901" i="1"/>
  <c r="E7901" i="1"/>
  <c r="G7901" i="1"/>
  <c r="B7902" i="1"/>
  <c r="A7902" i="1"/>
  <c r="E7902" i="1"/>
  <c r="G7902" i="1"/>
  <c r="B7903" i="1"/>
  <c r="A7903" i="1"/>
  <c r="E7903" i="1"/>
  <c r="G7903" i="1"/>
  <c r="B7904" i="1"/>
  <c r="A7904" i="1"/>
  <c r="E7904" i="1"/>
  <c r="G7904" i="1"/>
  <c r="B7905" i="1"/>
  <c r="A7905" i="1"/>
  <c r="E7905" i="1"/>
  <c r="G7905" i="1"/>
  <c r="B7906" i="1"/>
  <c r="A7906" i="1"/>
  <c r="E7906" i="1"/>
  <c r="G7906" i="1"/>
  <c r="B7907" i="1"/>
  <c r="A7907" i="1"/>
  <c r="E7907" i="1"/>
  <c r="G7907" i="1"/>
  <c r="B7908" i="1"/>
  <c r="A7908" i="1"/>
  <c r="E7908" i="1"/>
  <c r="G7908" i="1"/>
  <c r="B7909" i="1"/>
  <c r="A7909" i="1"/>
  <c r="E7909" i="1"/>
  <c r="G7909" i="1"/>
  <c r="B7910" i="1"/>
  <c r="A7910" i="1"/>
  <c r="E7910" i="1"/>
  <c r="G7910" i="1"/>
  <c r="B7911" i="1"/>
  <c r="A7911" i="1"/>
  <c r="E7911" i="1"/>
  <c r="G7911" i="1"/>
  <c r="B7912" i="1"/>
  <c r="A7912" i="1"/>
  <c r="E7912" i="1"/>
  <c r="G7912" i="1"/>
  <c r="B7913" i="1"/>
  <c r="A7913" i="1"/>
  <c r="E7913" i="1"/>
  <c r="G7913" i="1"/>
  <c r="B7914" i="1"/>
  <c r="A7914" i="1"/>
  <c r="E7914" i="1"/>
  <c r="G7914" i="1"/>
  <c r="B7915" i="1"/>
  <c r="A7915" i="1"/>
  <c r="E7915" i="1"/>
  <c r="G7915" i="1"/>
  <c r="B7916" i="1"/>
  <c r="A7916" i="1"/>
  <c r="E7916" i="1"/>
  <c r="G7916" i="1"/>
  <c r="B7917" i="1"/>
  <c r="A7917" i="1"/>
  <c r="E7917" i="1"/>
  <c r="G7917" i="1"/>
  <c r="B7918" i="1"/>
  <c r="A7918" i="1"/>
  <c r="E7918" i="1"/>
  <c r="G7918" i="1"/>
  <c r="B7919" i="1"/>
  <c r="A7919" i="1"/>
  <c r="E7919" i="1"/>
  <c r="G7919" i="1"/>
  <c r="B7920" i="1"/>
  <c r="A7920" i="1"/>
  <c r="E7920" i="1"/>
  <c r="G7920" i="1"/>
  <c r="B7921" i="1"/>
  <c r="A7921" i="1"/>
  <c r="E7921" i="1"/>
  <c r="G7921" i="1"/>
  <c r="B7922" i="1"/>
  <c r="A7922" i="1"/>
  <c r="E7922" i="1"/>
  <c r="G7922" i="1"/>
  <c r="B7923" i="1"/>
  <c r="A7923" i="1"/>
  <c r="E7923" i="1"/>
  <c r="G7923" i="1"/>
  <c r="B7924" i="1"/>
  <c r="A7924" i="1"/>
  <c r="E7924" i="1"/>
  <c r="G7924" i="1"/>
  <c r="B7925" i="1"/>
  <c r="A7925" i="1"/>
  <c r="E7925" i="1"/>
  <c r="G7925" i="1"/>
  <c r="B7926" i="1"/>
  <c r="A7926" i="1"/>
  <c r="E7926" i="1"/>
  <c r="G7926" i="1"/>
  <c r="B7927" i="1"/>
  <c r="A7927" i="1"/>
  <c r="E7927" i="1"/>
  <c r="G7927" i="1"/>
  <c r="B7928" i="1"/>
  <c r="A7928" i="1"/>
  <c r="E7928" i="1"/>
  <c r="G7928" i="1"/>
  <c r="B7929" i="1"/>
  <c r="A7929" i="1"/>
  <c r="E7929" i="1"/>
  <c r="G7929" i="1"/>
  <c r="B7930" i="1"/>
  <c r="A7930" i="1"/>
  <c r="E7930" i="1"/>
  <c r="G7930" i="1"/>
  <c r="B7931" i="1"/>
  <c r="A7931" i="1"/>
  <c r="E7931" i="1"/>
  <c r="G7931" i="1"/>
  <c r="B7932" i="1"/>
  <c r="A7932" i="1"/>
  <c r="E7932" i="1"/>
  <c r="G7932" i="1"/>
  <c r="B7933" i="1"/>
  <c r="A7933" i="1"/>
  <c r="E7933" i="1"/>
  <c r="G7933" i="1"/>
  <c r="B7934" i="1"/>
  <c r="A7934" i="1"/>
  <c r="E7934" i="1"/>
  <c r="G7934" i="1"/>
  <c r="B7935" i="1"/>
  <c r="A7935" i="1"/>
  <c r="E7935" i="1"/>
  <c r="G7935" i="1"/>
  <c r="B7936" i="1"/>
  <c r="A7936" i="1"/>
  <c r="E7936" i="1"/>
  <c r="G7936" i="1"/>
  <c r="B7937" i="1"/>
  <c r="A7937" i="1"/>
  <c r="E7937" i="1"/>
  <c r="G7937" i="1"/>
  <c r="B7938" i="1"/>
  <c r="A7938" i="1"/>
  <c r="E7938" i="1"/>
  <c r="G7938" i="1"/>
  <c r="B7939" i="1"/>
  <c r="A7939" i="1"/>
  <c r="E7939" i="1"/>
  <c r="G7939" i="1"/>
  <c r="B7940" i="1"/>
  <c r="A7940" i="1"/>
  <c r="E7940" i="1"/>
  <c r="G7940" i="1"/>
  <c r="B7941" i="1"/>
  <c r="A7941" i="1"/>
  <c r="E7941" i="1"/>
  <c r="G7941" i="1"/>
  <c r="B7942" i="1"/>
  <c r="A7942" i="1"/>
  <c r="E7942" i="1"/>
  <c r="G7942" i="1"/>
  <c r="B7943" i="1"/>
  <c r="A7943" i="1"/>
  <c r="E7943" i="1"/>
  <c r="G7943" i="1"/>
  <c r="B7944" i="1"/>
  <c r="A7944" i="1"/>
  <c r="E7944" i="1"/>
  <c r="G7944" i="1"/>
  <c r="B7945" i="1"/>
  <c r="A7945" i="1"/>
  <c r="E7945" i="1"/>
  <c r="G7945" i="1"/>
  <c r="B7946" i="1"/>
  <c r="A7946" i="1"/>
  <c r="E7946" i="1"/>
  <c r="B7947" i="1"/>
  <c r="A7947" i="1"/>
  <c r="E7947" i="1"/>
  <c r="B7948" i="1"/>
  <c r="A7948" i="1"/>
  <c r="E7948" i="1"/>
  <c r="B7949" i="1"/>
  <c r="A7949" i="1"/>
  <c r="E7949" i="1"/>
  <c r="B7950" i="1"/>
  <c r="A7950" i="1"/>
  <c r="E7950" i="1"/>
  <c r="B7951" i="1"/>
  <c r="A7951" i="1"/>
  <c r="E7951" i="1"/>
  <c r="B7952" i="1"/>
  <c r="A7952" i="1"/>
  <c r="E7952" i="1"/>
  <c r="B7953" i="1"/>
  <c r="A7953" i="1"/>
  <c r="E7953" i="1"/>
  <c r="B7954" i="1"/>
  <c r="A7954" i="1"/>
  <c r="E7954" i="1"/>
  <c r="B7955" i="1"/>
  <c r="A7955" i="1"/>
  <c r="E7955" i="1"/>
  <c r="B7956" i="1"/>
  <c r="A7956" i="1"/>
  <c r="E7956" i="1"/>
  <c r="B7957" i="1"/>
  <c r="A7957" i="1"/>
  <c r="E7957" i="1"/>
  <c r="B7958" i="1"/>
  <c r="A7958" i="1"/>
  <c r="E7958" i="1"/>
  <c r="B7959" i="1"/>
  <c r="A7959" i="1"/>
  <c r="E7959" i="1"/>
  <c r="B7960" i="1"/>
  <c r="A7960" i="1"/>
  <c r="E7960" i="1"/>
  <c r="B7961" i="1"/>
  <c r="A7961" i="1"/>
  <c r="E7961" i="1"/>
  <c r="B7962" i="1"/>
  <c r="A7962" i="1"/>
  <c r="E7962" i="1"/>
  <c r="B7963" i="1"/>
  <c r="A7963" i="1"/>
  <c r="E7963" i="1"/>
  <c r="B7964" i="1"/>
  <c r="A7964" i="1"/>
  <c r="E7964" i="1"/>
  <c r="B7965" i="1"/>
  <c r="A7965" i="1"/>
  <c r="E7965" i="1"/>
  <c r="B7966" i="1"/>
  <c r="A7966" i="1"/>
  <c r="E7966" i="1"/>
  <c r="B7967" i="1"/>
  <c r="A7967" i="1"/>
  <c r="E7967" i="1"/>
  <c r="B7968" i="1"/>
  <c r="A7968" i="1"/>
  <c r="E7968" i="1"/>
  <c r="B7969" i="1"/>
  <c r="A7969" i="1"/>
  <c r="E7969" i="1"/>
  <c r="B7970" i="1"/>
  <c r="A7970" i="1"/>
  <c r="E7970" i="1"/>
  <c r="B7971" i="1"/>
  <c r="A7971" i="1"/>
  <c r="E7971" i="1"/>
  <c r="B7972" i="1"/>
  <c r="A7972" i="1"/>
  <c r="E7972" i="1"/>
  <c r="B7973" i="1"/>
  <c r="A7973" i="1"/>
  <c r="E7973" i="1"/>
  <c r="B7974" i="1"/>
  <c r="A7974" i="1"/>
  <c r="E7974" i="1"/>
  <c r="B7975" i="1"/>
  <c r="A7975" i="1"/>
  <c r="E7975" i="1"/>
  <c r="B7976" i="1"/>
  <c r="A7976" i="1"/>
  <c r="E7976" i="1"/>
  <c r="B7977" i="1"/>
  <c r="A7977" i="1"/>
  <c r="E7977" i="1"/>
  <c r="B7978" i="1"/>
  <c r="A7978" i="1"/>
  <c r="E7978" i="1"/>
  <c r="B7979" i="1"/>
  <c r="A7979" i="1"/>
  <c r="E7979" i="1"/>
  <c r="B7980" i="1"/>
  <c r="A7980" i="1"/>
  <c r="E7980" i="1"/>
  <c r="B7981" i="1"/>
  <c r="A7981" i="1"/>
  <c r="E7981" i="1"/>
  <c r="B7982" i="1"/>
  <c r="A7982" i="1"/>
  <c r="E7982" i="1"/>
  <c r="B7983" i="1"/>
  <c r="A7983" i="1"/>
  <c r="E7983" i="1"/>
  <c r="B7984" i="1"/>
  <c r="A7984" i="1"/>
  <c r="E7984" i="1"/>
  <c r="B7985" i="1"/>
  <c r="A7985" i="1"/>
  <c r="E7985" i="1"/>
  <c r="B7986" i="1"/>
  <c r="A7986" i="1"/>
  <c r="E7986" i="1"/>
  <c r="B7987" i="1"/>
  <c r="A7987" i="1"/>
  <c r="E7987" i="1"/>
  <c r="B7988" i="1"/>
  <c r="A7988" i="1"/>
  <c r="E7988" i="1"/>
  <c r="B7989" i="1"/>
  <c r="A7989" i="1"/>
  <c r="E7989" i="1"/>
  <c r="B7990" i="1"/>
  <c r="A7990" i="1"/>
  <c r="E7990" i="1"/>
  <c r="B7991" i="1"/>
  <c r="A7991" i="1"/>
  <c r="E7991" i="1"/>
  <c r="B7992" i="1"/>
  <c r="A7992" i="1"/>
  <c r="E7992" i="1"/>
  <c r="B7993" i="1"/>
  <c r="A7993" i="1"/>
  <c r="E7993" i="1"/>
  <c r="B7994" i="1"/>
  <c r="A7994" i="1"/>
  <c r="E7994" i="1"/>
  <c r="B7995" i="1"/>
  <c r="A7995" i="1"/>
  <c r="E7995" i="1"/>
  <c r="B7996" i="1"/>
  <c r="A7996" i="1"/>
  <c r="E7996" i="1"/>
  <c r="B7997" i="1"/>
  <c r="A7997" i="1"/>
  <c r="E7997" i="1"/>
  <c r="B7998" i="1"/>
  <c r="A7998" i="1"/>
  <c r="E7998" i="1"/>
  <c r="B7999" i="1"/>
  <c r="A7999" i="1"/>
  <c r="E7999" i="1"/>
  <c r="B8000" i="1"/>
  <c r="A8000" i="1"/>
  <c r="E8000" i="1"/>
  <c r="B8001" i="1"/>
  <c r="A8001" i="1"/>
  <c r="E8001" i="1"/>
  <c r="B8002" i="1"/>
  <c r="A8002" i="1"/>
  <c r="E8002" i="1"/>
  <c r="B8003" i="1"/>
  <c r="A8003" i="1"/>
  <c r="E8003" i="1"/>
  <c r="B8004" i="1"/>
  <c r="A8004" i="1"/>
  <c r="E8004" i="1"/>
  <c r="B8005" i="1"/>
  <c r="A8005" i="1"/>
  <c r="E8005" i="1"/>
  <c r="B8006" i="1"/>
  <c r="A8006" i="1"/>
  <c r="E8006" i="1"/>
  <c r="B8007" i="1"/>
  <c r="A8007" i="1"/>
  <c r="E8007" i="1"/>
  <c r="B8008" i="1"/>
  <c r="A8008" i="1"/>
  <c r="E8008" i="1"/>
  <c r="B8009" i="1"/>
  <c r="A8009" i="1"/>
  <c r="E8009" i="1"/>
  <c r="B8010" i="1"/>
  <c r="A8010" i="1"/>
  <c r="E8010" i="1"/>
  <c r="B8011" i="1"/>
  <c r="A8011" i="1"/>
  <c r="E8011" i="1"/>
  <c r="B8012" i="1"/>
  <c r="A8012" i="1"/>
  <c r="E8012" i="1"/>
  <c r="B8013" i="1"/>
  <c r="A8013" i="1"/>
  <c r="E8013" i="1"/>
  <c r="B8014" i="1"/>
  <c r="A8014" i="1"/>
  <c r="E8014" i="1"/>
  <c r="B8015" i="1"/>
  <c r="A8015" i="1"/>
  <c r="E8015" i="1"/>
  <c r="B8016" i="1"/>
  <c r="A8016" i="1"/>
  <c r="E8016" i="1"/>
  <c r="B8017" i="1"/>
  <c r="A8017" i="1"/>
  <c r="E8017" i="1"/>
  <c r="B8018" i="1"/>
  <c r="A8018" i="1"/>
  <c r="E8018" i="1"/>
  <c r="B8019" i="1"/>
  <c r="A8019" i="1"/>
  <c r="E8019" i="1"/>
  <c r="B8020" i="1"/>
  <c r="A8020" i="1"/>
  <c r="E8020" i="1"/>
  <c r="B8021" i="1"/>
  <c r="A8021" i="1"/>
  <c r="E8021" i="1"/>
  <c r="B8022" i="1"/>
  <c r="A8022" i="1"/>
  <c r="E8022" i="1"/>
  <c r="B8023" i="1"/>
  <c r="A8023" i="1"/>
  <c r="E8023" i="1"/>
  <c r="B8024" i="1"/>
  <c r="A8024" i="1"/>
  <c r="E8024" i="1"/>
  <c r="B8025" i="1"/>
  <c r="A8025" i="1"/>
  <c r="E8025" i="1"/>
  <c r="B8026" i="1"/>
  <c r="A8026" i="1"/>
  <c r="E8026" i="1"/>
  <c r="B8027" i="1"/>
  <c r="A8027" i="1"/>
  <c r="E8027" i="1"/>
  <c r="B8028" i="1"/>
  <c r="A8028" i="1"/>
  <c r="E8028" i="1"/>
  <c r="B8029" i="1"/>
  <c r="A8029" i="1"/>
  <c r="E8029" i="1"/>
  <c r="B8030" i="1"/>
  <c r="A8030" i="1"/>
  <c r="E8030" i="1"/>
  <c r="B8031" i="1"/>
  <c r="A8031" i="1"/>
  <c r="E8031" i="1"/>
  <c r="B8032" i="1"/>
  <c r="A8032" i="1"/>
  <c r="E8032" i="1"/>
  <c r="B8033" i="1"/>
  <c r="A8033" i="1"/>
  <c r="E8033" i="1"/>
  <c r="B8034" i="1"/>
  <c r="A8034" i="1"/>
  <c r="E8034" i="1"/>
  <c r="B8035" i="1"/>
  <c r="A8035" i="1"/>
  <c r="E8035" i="1"/>
  <c r="B8036" i="1"/>
  <c r="A8036" i="1"/>
  <c r="E8036" i="1"/>
  <c r="B8037" i="1"/>
  <c r="A8037" i="1"/>
  <c r="E8037" i="1"/>
  <c r="B8038" i="1"/>
  <c r="A8038" i="1"/>
  <c r="E8038" i="1"/>
  <c r="B8039" i="1"/>
  <c r="A8039" i="1"/>
  <c r="E8039" i="1"/>
  <c r="B8040" i="1"/>
  <c r="A8040" i="1"/>
  <c r="E8040" i="1"/>
  <c r="B8041" i="1"/>
  <c r="A8041" i="1"/>
  <c r="E8041" i="1"/>
  <c r="B8042" i="1"/>
  <c r="A8042" i="1"/>
  <c r="E8042" i="1"/>
  <c r="B8043" i="1"/>
  <c r="A8043" i="1"/>
  <c r="E8043" i="1"/>
  <c r="B8044" i="1"/>
  <c r="A8044" i="1"/>
  <c r="E8044" i="1"/>
  <c r="B8045" i="1"/>
  <c r="A8045" i="1"/>
  <c r="E8045" i="1"/>
  <c r="G8045" i="1"/>
  <c r="B8046" i="1"/>
  <c r="A8046" i="1"/>
  <c r="E8046" i="1"/>
  <c r="G8046" i="1"/>
  <c r="B8047" i="1"/>
  <c r="A8047" i="1"/>
  <c r="E8047" i="1"/>
  <c r="G8047" i="1"/>
  <c r="B8048" i="1"/>
  <c r="A8048" i="1"/>
  <c r="E8048" i="1"/>
  <c r="G8048" i="1"/>
  <c r="B8049" i="1"/>
  <c r="A8049" i="1"/>
  <c r="E8049" i="1"/>
  <c r="B8050" i="1"/>
  <c r="A8050" i="1"/>
  <c r="E8050" i="1"/>
  <c r="B8051" i="1"/>
  <c r="A8051" i="1"/>
  <c r="E8051" i="1"/>
  <c r="B8052" i="1"/>
  <c r="A8052" i="1"/>
  <c r="E8052" i="1"/>
  <c r="B8053" i="1"/>
  <c r="A8053" i="1"/>
  <c r="E8053" i="1"/>
  <c r="B8054" i="1"/>
  <c r="A8054" i="1"/>
  <c r="E8054" i="1"/>
  <c r="B8055" i="1"/>
  <c r="A8055" i="1"/>
  <c r="E8055" i="1"/>
  <c r="B8056" i="1"/>
  <c r="A8056" i="1"/>
  <c r="E8056" i="1"/>
  <c r="B8057" i="1"/>
  <c r="A8057" i="1"/>
  <c r="E8057" i="1"/>
  <c r="B8058" i="1"/>
  <c r="A8058" i="1"/>
  <c r="E8058" i="1"/>
  <c r="B8059" i="1"/>
  <c r="A8059" i="1"/>
  <c r="E8059" i="1"/>
  <c r="B8060" i="1"/>
  <c r="A8060" i="1"/>
  <c r="E8060" i="1"/>
  <c r="B8061" i="1"/>
  <c r="A8061" i="1"/>
  <c r="E8061" i="1"/>
  <c r="B8062" i="1"/>
  <c r="A8062" i="1"/>
  <c r="E8062" i="1"/>
  <c r="B8063" i="1"/>
  <c r="A8063" i="1"/>
  <c r="E8063" i="1"/>
  <c r="B8064" i="1"/>
  <c r="A8064" i="1"/>
  <c r="E8064" i="1"/>
  <c r="B8065" i="1"/>
  <c r="A8065" i="1"/>
  <c r="E8065" i="1"/>
  <c r="B8066" i="1"/>
  <c r="A8066" i="1"/>
  <c r="E8066" i="1"/>
  <c r="B8067" i="1"/>
  <c r="A8067" i="1"/>
  <c r="E8067" i="1"/>
  <c r="G8067" i="1"/>
  <c r="B8068" i="1"/>
  <c r="A8068" i="1"/>
  <c r="E8068" i="1"/>
  <c r="G8068" i="1"/>
  <c r="B8069" i="1"/>
  <c r="A8069" i="1"/>
  <c r="E8069" i="1"/>
  <c r="G8069" i="1"/>
  <c r="B8070" i="1"/>
  <c r="A8070" i="1"/>
  <c r="E8070" i="1"/>
  <c r="G8070" i="1"/>
  <c r="B8071" i="1"/>
  <c r="A8071" i="1"/>
  <c r="E8071" i="1"/>
  <c r="G8071" i="1"/>
  <c r="B8072" i="1"/>
  <c r="A8072" i="1"/>
  <c r="E8072" i="1"/>
  <c r="G8072" i="1"/>
  <c r="B8073" i="1"/>
  <c r="A8073" i="1"/>
  <c r="E8073" i="1"/>
  <c r="G8073" i="1"/>
  <c r="B8074" i="1"/>
  <c r="A8074" i="1"/>
  <c r="E8074" i="1"/>
  <c r="G8074" i="1"/>
  <c r="B8075" i="1"/>
  <c r="A8075" i="1"/>
  <c r="E8075" i="1"/>
  <c r="G8075" i="1"/>
  <c r="B8076" i="1"/>
  <c r="A8076" i="1"/>
  <c r="E8076" i="1"/>
  <c r="G8076" i="1"/>
  <c r="B8077" i="1"/>
  <c r="A8077" i="1"/>
  <c r="E8077" i="1"/>
  <c r="B8078" i="1"/>
  <c r="A8078" i="1"/>
  <c r="E8078" i="1"/>
  <c r="B8079" i="1"/>
  <c r="A8079" i="1"/>
  <c r="E8079" i="1"/>
  <c r="B8080" i="1"/>
  <c r="A8080" i="1"/>
  <c r="E8080" i="1"/>
  <c r="B8081" i="1"/>
  <c r="A8081" i="1"/>
  <c r="E8081" i="1"/>
  <c r="G8081" i="1"/>
  <c r="B8082" i="1"/>
  <c r="A8082" i="1"/>
  <c r="E8082" i="1"/>
  <c r="G8082" i="1"/>
  <c r="B8083" i="1"/>
  <c r="A8083" i="1"/>
  <c r="E8083" i="1"/>
  <c r="B8084" i="1"/>
  <c r="A8084" i="1"/>
  <c r="E8084" i="1"/>
  <c r="B8085" i="1"/>
  <c r="A8085" i="1"/>
  <c r="E8085" i="1"/>
  <c r="G8085" i="1"/>
  <c r="B8086" i="1"/>
  <c r="A8086" i="1"/>
  <c r="E8086" i="1"/>
  <c r="G8086" i="1"/>
  <c r="B8087" i="1"/>
  <c r="A8087" i="1"/>
  <c r="E8087" i="1"/>
  <c r="B8088" i="1"/>
  <c r="A8088" i="1"/>
  <c r="E8088" i="1"/>
  <c r="B8089" i="1"/>
  <c r="A8089" i="1"/>
  <c r="E8089" i="1"/>
  <c r="B8090" i="1"/>
  <c r="A8090" i="1"/>
  <c r="E8090" i="1"/>
  <c r="B8091" i="1"/>
  <c r="A8091" i="1"/>
  <c r="E8091" i="1"/>
  <c r="B8092" i="1"/>
  <c r="A8092" i="1"/>
  <c r="E8092" i="1"/>
  <c r="B8093" i="1"/>
  <c r="A8093" i="1"/>
  <c r="E8093" i="1"/>
  <c r="B8094" i="1"/>
  <c r="A8094" i="1"/>
  <c r="E8094" i="1"/>
  <c r="B8095" i="1"/>
  <c r="A8095" i="1"/>
  <c r="E8095" i="1"/>
  <c r="B8096" i="1"/>
  <c r="A8096" i="1"/>
  <c r="E8096" i="1"/>
  <c r="B8097" i="1"/>
  <c r="A8097" i="1"/>
  <c r="E8097" i="1"/>
  <c r="B8098" i="1"/>
  <c r="A8098" i="1"/>
  <c r="E8098" i="1"/>
  <c r="B8099" i="1"/>
  <c r="A8099" i="1"/>
  <c r="E8099" i="1"/>
  <c r="B8100" i="1"/>
  <c r="A8100" i="1"/>
  <c r="E8100" i="1"/>
  <c r="B8101" i="1"/>
  <c r="A8101" i="1"/>
  <c r="E8101" i="1"/>
  <c r="B8102" i="1"/>
  <c r="A8102" i="1"/>
  <c r="E8102" i="1"/>
  <c r="B8103" i="1"/>
  <c r="A8103" i="1"/>
  <c r="E8103" i="1"/>
  <c r="B8104" i="1"/>
  <c r="A8104" i="1"/>
  <c r="E8104" i="1"/>
  <c r="B8105" i="1"/>
  <c r="A8105" i="1"/>
  <c r="E8105" i="1"/>
  <c r="B8106" i="1"/>
  <c r="A8106" i="1"/>
  <c r="E8106" i="1"/>
  <c r="B8107" i="1"/>
  <c r="A8107" i="1"/>
  <c r="E8107" i="1"/>
  <c r="B8108" i="1"/>
  <c r="A8108" i="1"/>
  <c r="E8108" i="1"/>
  <c r="B8109" i="1"/>
  <c r="A8109" i="1"/>
  <c r="E8109" i="1"/>
  <c r="B8110" i="1"/>
  <c r="A8110" i="1"/>
  <c r="E8110" i="1"/>
  <c r="B8111" i="1"/>
  <c r="A8111" i="1"/>
  <c r="E8111" i="1"/>
  <c r="B8112" i="1"/>
  <c r="A8112" i="1"/>
  <c r="E8112" i="1"/>
  <c r="B8113" i="1"/>
  <c r="A8113" i="1"/>
  <c r="E8113" i="1"/>
  <c r="B8114" i="1"/>
  <c r="A8114" i="1"/>
  <c r="E8114" i="1"/>
  <c r="B8115" i="1"/>
  <c r="A8115" i="1"/>
  <c r="E8115" i="1"/>
  <c r="B8116" i="1"/>
  <c r="A8116" i="1"/>
  <c r="E8116" i="1"/>
  <c r="B8117" i="1"/>
  <c r="A8117" i="1"/>
  <c r="E8117" i="1"/>
  <c r="B8118" i="1"/>
  <c r="A8118" i="1"/>
  <c r="E8118" i="1"/>
  <c r="B8119" i="1"/>
  <c r="A8119" i="1"/>
  <c r="E8119" i="1"/>
  <c r="B8120" i="1"/>
  <c r="A8120" i="1"/>
  <c r="E8120" i="1"/>
  <c r="B8121" i="1"/>
  <c r="A8121" i="1"/>
  <c r="E8121" i="1"/>
  <c r="B8122" i="1"/>
  <c r="A8122" i="1"/>
  <c r="E8122" i="1"/>
  <c r="B8123" i="1"/>
  <c r="A8123" i="1"/>
  <c r="E8123" i="1"/>
  <c r="B8124" i="1"/>
  <c r="A8124" i="1"/>
  <c r="E8124" i="1"/>
  <c r="B8125" i="1"/>
  <c r="A8125" i="1"/>
  <c r="E8125" i="1"/>
  <c r="B8126" i="1"/>
  <c r="A8126" i="1"/>
  <c r="E8126" i="1"/>
  <c r="B8127" i="1"/>
  <c r="A8127" i="1"/>
  <c r="E8127" i="1"/>
  <c r="B8128" i="1"/>
  <c r="A8128" i="1"/>
  <c r="E8128" i="1"/>
  <c r="B8129" i="1"/>
  <c r="A8129" i="1"/>
  <c r="E8129" i="1"/>
  <c r="B8130" i="1"/>
  <c r="A8130" i="1"/>
  <c r="E8130" i="1"/>
  <c r="B8131" i="1"/>
  <c r="A8131" i="1"/>
  <c r="E8131" i="1"/>
  <c r="B8132" i="1"/>
  <c r="A8132" i="1"/>
  <c r="E8132" i="1"/>
  <c r="B8133" i="1"/>
  <c r="A8133" i="1"/>
  <c r="E8133" i="1"/>
  <c r="B8134" i="1"/>
  <c r="A8134" i="1"/>
  <c r="E8134" i="1"/>
  <c r="B8135" i="1"/>
  <c r="A8135" i="1"/>
  <c r="E8135" i="1"/>
  <c r="B8136" i="1"/>
  <c r="A8136" i="1"/>
  <c r="E8136" i="1"/>
  <c r="B8137" i="1"/>
  <c r="A8137" i="1"/>
  <c r="E8137" i="1"/>
  <c r="B8138" i="1"/>
  <c r="A8138" i="1"/>
  <c r="E8138" i="1"/>
  <c r="B8139" i="1"/>
  <c r="A8139" i="1"/>
  <c r="E8139" i="1"/>
  <c r="B8140" i="1"/>
  <c r="A8140" i="1"/>
  <c r="E8140" i="1"/>
  <c r="B8141" i="1"/>
  <c r="A8141" i="1"/>
  <c r="E8141" i="1"/>
  <c r="B8142" i="1"/>
  <c r="A8142" i="1"/>
  <c r="E8142" i="1"/>
  <c r="B8143" i="1"/>
  <c r="A8143" i="1"/>
  <c r="E8143" i="1"/>
  <c r="B8144" i="1"/>
  <c r="A8144" i="1"/>
  <c r="E8144" i="1"/>
  <c r="B8145" i="1"/>
  <c r="A8145" i="1"/>
  <c r="E8145" i="1"/>
  <c r="B8146" i="1"/>
  <c r="A8146" i="1"/>
  <c r="E8146" i="1"/>
  <c r="B8147" i="1"/>
  <c r="A8147" i="1"/>
  <c r="E8147" i="1"/>
  <c r="B8148" i="1"/>
  <c r="A8148" i="1"/>
  <c r="E8148" i="1"/>
  <c r="B8149" i="1"/>
  <c r="A8149" i="1"/>
  <c r="E8149" i="1"/>
  <c r="B8150" i="1"/>
  <c r="A8150" i="1"/>
  <c r="E8150" i="1"/>
  <c r="B8151" i="1"/>
  <c r="A8151" i="1"/>
  <c r="E8151" i="1"/>
  <c r="B8152" i="1"/>
  <c r="A8152" i="1"/>
  <c r="E8152" i="1"/>
  <c r="B8153" i="1"/>
  <c r="A8153" i="1"/>
  <c r="E8153" i="1"/>
  <c r="B8154" i="1"/>
  <c r="A8154" i="1"/>
  <c r="E8154" i="1"/>
  <c r="B8155" i="1"/>
  <c r="A8155" i="1"/>
  <c r="E8155" i="1"/>
  <c r="B8156" i="1"/>
  <c r="A8156" i="1"/>
  <c r="E8156" i="1"/>
  <c r="B8157" i="1"/>
  <c r="A8157" i="1"/>
  <c r="E8157" i="1"/>
  <c r="B8158" i="1"/>
  <c r="A8158" i="1"/>
  <c r="E8158" i="1"/>
  <c r="G8158" i="1"/>
  <c r="B8159" i="1"/>
  <c r="A8159" i="1"/>
  <c r="E8159" i="1"/>
  <c r="G8159" i="1"/>
  <c r="B8160" i="1"/>
  <c r="A8160" i="1"/>
  <c r="E8160" i="1"/>
  <c r="B8161" i="1"/>
  <c r="A8161" i="1"/>
  <c r="E8161" i="1"/>
  <c r="B8162" i="1"/>
  <c r="A8162" i="1"/>
  <c r="E8162" i="1"/>
  <c r="B8163" i="1"/>
  <c r="A8163" i="1"/>
  <c r="E8163" i="1"/>
  <c r="B8164" i="1"/>
  <c r="A8164" i="1"/>
  <c r="E8164" i="1"/>
  <c r="B8165" i="1"/>
  <c r="A8165" i="1"/>
  <c r="E8165" i="1"/>
  <c r="B8166" i="1"/>
  <c r="A8166" i="1"/>
  <c r="E8166" i="1"/>
  <c r="B8167" i="1"/>
  <c r="A8167" i="1"/>
  <c r="E8167" i="1"/>
  <c r="B8168" i="1"/>
  <c r="A8168" i="1"/>
  <c r="E8168" i="1"/>
  <c r="B8169" i="1"/>
  <c r="A8169" i="1"/>
  <c r="E8169" i="1"/>
  <c r="B8170" i="1"/>
  <c r="A8170" i="1"/>
  <c r="E8170" i="1"/>
  <c r="B8171" i="1"/>
  <c r="A8171" i="1"/>
  <c r="E8171" i="1"/>
  <c r="B8172" i="1"/>
  <c r="A8172" i="1"/>
  <c r="E8172" i="1"/>
  <c r="B8173" i="1"/>
  <c r="A8173" i="1"/>
  <c r="E8173" i="1"/>
  <c r="B8174" i="1"/>
  <c r="A8174" i="1"/>
  <c r="E8174" i="1"/>
  <c r="B8175" i="1"/>
  <c r="A8175" i="1"/>
  <c r="E8175" i="1"/>
  <c r="B8176" i="1"/>
  <c r="A8176" i="1"/>
  <c r="E8176" i="1"/>
  <c r="B8177" i="1"/>
  <c r="A8177" i="1"/>
  <c r="E8177" i="1"/>
  <c r="B8178" i="1"/>
  <c r="A8178" i="1"/>
  <c r="E8178" i="1"/>
  <c r="B8179" i="1"/>
  <c r="A8179" i="1"/>
  <c r="E8179" i="1"/>
  <c r="B8180" i="1"/>
  <c r="A8180" i="1"/>
  <c r="E8180" i="1"/>
  <c r="B8181" i="1"/>
  <c r="A8181" i="1"/>
  <c r="E8181" i="1"/>
  <c r="B8182" i="1"/>
  <c r="A8182" i="1"/>
  <c r="E8182" i="1"/>
  <c r="B8183" i="1"/>
  <c r="A8183" i="1"/>
  <c r="E8183" i="1"/>
  <c r="B8184" i="1"/>
  <c r="A8184" i="1"/>
  <c r="E8184" i="1"/>
  <c r="B8185" i="1"/>
  <c r="A8185" i="1"/>
  <c r="E8185" i="1"/>
  <c r="B8186" i="1"/>
  <c r="A8186" i="1"/>
  <c r="E8186" i="1"/>
  <c r="B8187" i="1"/>
  <c r="A8187" i="1"/>
  <c r="E8187" i="1"/>
  <c r="B8188" i="1"/>
  <c r="A8188" i="1"/>
  <c r="E8188" i="1"/>
  <c r="B8189" i="1"/>
  <c r="A8189" i="1"/>
  <c r="E8189" i="1"/>
  <c r="B8190" i="1"/>
  <c r="A8190" i="1"/>
  <c r="E8190" i="1"/>
  <c r="B8191" i="1"/>
  <c r="A8191" i="1"/>
  <c r="E8191" i="1"/>
  <c r="B8192" i="1"/>
  <c r="A8192" i="1"/>
  <c r="E8192" i="1"/>
  <c r="B8193" i="1"/>
  <c r="A8193" i="1"/>
  <c r="E8193" i="1"/>
  <c r="B8194" i="1"/>
  <c r="A8194" i="1"/>
  <c r="E8194" i="1"/>
  <c r="B8195" i="1"/>
  <c r="A8195" i="1"/>
  <c r="E8195" i="1"/>
  <c r="B8196" i="1"/>
  <c r="A8196" i="1"/>
  <c r="E8196" i="1"/>
  <c r="B8197" i="1"/>
  <c r="A8197" i="1"/>
  <c r="E8197" i="1"/>
  <c r="B8198" i="1"/>
  <c r="A8198" i="1"/>
  <c r="E8198" i="1"/>
  <c r="B8199" i="1"/>
  <c r="A8199" i="1"/>
  <c r="E8199" i="1"/>
  <c r="B8200" i="1"/>
  <c r="A8200" i="1"/>
  <c r="E8200" i="1"/>
  <c r="B8201" i="1"/>
  <c r="A8201" i="1"/>
  <c r="E8201" i="1"/>
  <c r="B8202" i="1"/>
  <c r="A8202" i="1"/>
  <c r="E8202" i="1"/>
  <c r="B8203" i="1"/>
  <c r="A8203" i="1"/>
  <c r="E8203" i="1"/>
  <c r="B8204" i="1"/>
  <c r="A8204" i="1"/>
  <c r="E8204" i="1"/>
  <c r="B8205" i="1"/>
  <c r="A8205" i="1"/>
  <c r="E8205" i="1"/>
  <c r="B8206" i="1"/>
  <c r="A8206" i="1"/>
  <c r="E8206" i="1"/>
  <c r="B8207" i="1"/>
  <c r="A8207" i="1"/>
  <c r="E8207" i="1"/>
  <c r="A8208" i="1"/>
  <c r="E8208" i="1"/>
  <c r="A8209" i="1"/>
  <c r="E8209" i="1"/>
  <c r="A8210" i="1"/>
  <c r="E8210" i="1"/>
  <c r="A8211" i="1"/>
  <c r="E8211" i="1"/>
  <c r="A8212" i="1"/>
  <c r="E8212" i="1"/>
  <c r="A8213" i="1"/>
  <c r="E8213" i="1"/>
  <c r="A8214" i="1"/>
  <c r="E8214" i="1"/>
  <c r="A8215" i="1"/>
  <c r="E8215" i="1"/>
  <c r="A8216" i="1"/>
  <c r="E8216" i="1"/>
  <c r="B8217" i="1"/>
  <c r="A8217" i="1"/>
  <c r="E8217" i="1"/>
  <c r="B8218" i="1"/>
  <c r="A8218" i="1"/>
  <c r="E8218" i="1"/>
  <c r="B8219" i="1"/>
  <c r="A8219" i="1"/>
  <c r="E8219" i="1"/>
  <c r="B8220" i="1"/>
  <c r="A8220" i="1"/>
  <c r="E8220" i="1"/>
  <c r="B8221" i="1"/>
  <c r="A8221" i="1"/>
  <c r="E8221" i="1"/>
  <c r="B8222" i="1"/>
  <c r="A8222" i="1"/>
  <c r="E8222" i="1"/>
  <c r="B8223" i="1"/>
  <c r="A8223" i="1"/>
  <c r="E8223" i="1"/>
  <c r="B8224" i="1"/>
  <c r="A8224" i="1"/>
  <c r="E8224" i="1"/>
  <c r="B8225" i="1"/>
  <c r="A8225" i="1"/>
  <c r="E8225" i="1"/>
  <c r="B8226" i="1"/>
  <c r="A8226" i="1"/>
  <c r="E8226" i="1"/>
  <c r="B8227" i="1"/>
  <c r="A8227" i="1"/>
  <c r="E8227" i="1"/>
  <c r="B8228" i="1"/>
  <c r="A8228" i="1"/>
  <c r="E8228" i="1"/>
  <c r="B8229" i="1"/>
  <c r="A8229" i="1"/>
  <c r="E8229" i="1"/>
  <c r="B8230" i="1"/>
  <c r="A8230" i="1"/>
  <c r="E8230" i="1"/>
  <c r="B8231" i="1"/>
  <c r="A8231" i="1"/>
  <c r="E8231" i="1"/>
  <c r="B8232" i="1"/>
  <c r="A8232" i="1"/>
  <c r="E8232" i="1"/>
  <c r="B8233" i="1"/>
  <c r="A8233" i="1"/>
  <c r="E8233" i="1"/>
  <c r="B8234" i="1"/>
  <c r="A8234" i="1"/>
  <c r="E8234" i="1"/>
  <c r="B8235" i="1"/>
  <c r="A8235" i="1"/>
  <c r="E8235" i="1"/>
  <c r="G8235" i="1"/>
  <c r="B8236" i="1"/>
  <c r="A8236" i="1"/>
  <c r="E8236" i="1"/>
  <c r="G8236" i="1"/>
  <c r="B8237" i="1"/>
  <c r="A8237" i="1"/>
  <c r="E8237" i="1"/>
  <c r="G8237" i="1"/>
  <c r="B8238" i="1"/>
  <c r="A8238" i="1"/>
  <c r="E8238" i="1"/>
  <c r="G8238" i="1"/>
  <c r="B8239" i="1"/>
  <c r="A8239" i="1"/>
  <c r="E8239" i="1"/>
  <c r="G8239" i="1"/>
  <c r="B8240" i="1"/>
  <c r="A8240" i="1"/>
  <c r="E8240" i="1"/>
  <c r="G8240" i="1"/>
  <c r="B8241" i="1"/>
  <c r="A8241" i="1"/>
  <c r="E8241" i="1"/>
  <c r="B8242" i="1"/>
  <c r="A8242" i="1"/>
  <c r="E8242" i="1"/>
  <c r="G8242" i="1"/>
  <c r="B8243" i="1"/>
  <c r="A8243" i="1"/>
  <c r="E8243" i="1"/>
  <c r="G8243" i="1"/>
  <c r="B8244" i="1"/>
  <c r="A8244" i="1"/>
  <c r="E8244" i="1"/>
  <c r="B8245" i="1"/>
  <c r="A8245" i="1"/>
  <c r="E8245" i="1"/>
  <c r="B8246" i="1"/>
  <c r="A8246" i="1"/>
  <c r="E8246" i="1"/>
  <c r="B8247" i="1"/>
  <c r="A8247" i="1"/>
  <c r="E8247" i="1"/>
  <c r="B8248" i="1"/>
  <c r="A8248" i="1"/>
  <c r="E8248" i="1"/>
  <c r="B8249" i="1"/>
  <c r="A8249" i="1"/>
  <c r="E8249" i="1"/>
  <c r="B8250" i="1"/>
  <c r="A8250" i="1"/>
  <c r="E8250" i="1"/>
  <c r="B8251" i="1"/>
  <c r="A8251" i="1"/>
  <c r="E8251" i="1"/>
  <c r="B8252" i="1"/>
  <c r="A8252" i="1"/>
  <c r="E8252" i="1"/>
  <c r="B8253" i="1"/>
  <c r="A8253" i="1"/>
  <c r="E8253" i="1"/>
  <c r="B8254" i="1"/>
  <c r="A8254" i="1"/>
  <c r="E8254" i="1"/>
  <c r="B8255" i="1"/>
  <c r="A8255" i="1"/>
  <c r="E8255" i="1"/>
  <c r="B8256" i="1"/>
  <c r="A8256" i="1"/>
  <c r="E8256" i="1"/>
  <c r="B8257" i="1"/>
  <c r="A8257" i="1"/>
  <c r="E8257" i="1"/>
  <c r="B8258" i="1"/>
  <c r="A8258" i="1"/>
  <c r="E8258" i="1"/>
  <c r="B8259" i="1"/>
  <c r="A8259" i="1"/>
  <c r="E8259" i="1"/>
  <c r="B8260" i="1"/>
  <c r="A8260" i="1"/>
  <c r="E8260" i="1"/>
  <c r="B8261" i="1"/>
  <c r="A8261" i="1"/>
  <c r="E8261" i="1"/>
  <c r="B8262" i="1"/>
  <c r="A8262" i="1"/>
  <c r="E8262" i="1"/>
  <c r="B8263" i="1"/>
  <c r="A8263" i="1"/>
  <c r="E8263" i="1"/>
  <c r="B8264" i="1"/>
  <c r="A8264" i="1"/>
  <c r="E8264" i="1"/>
  <c r="B8265" i="1"/>
  <c r="A8265" i="1"/>
  <c r="E8265" i="1"/>
  <c r="B8266" i="1"/>
  <c r="A8266" i="1"/>
  <c r="E8266" i="1"/>
  <c r="B8267" i="1"/>
  <c r="A8267" i="1"/>
  <c r="E8267" i="1"/>
  <c r="B8268" i="1"/>
  <c r="A8268" i="1"/>
  <c r="E8268" i="1"/>
  <c r="B8269" i="1"/>
  <c r="A8269" i="1"/>
  <c r="E8269" i="1"/>
  <c r="B8270" i="1"/>
  <c r="A8270" i="1"/>
  <c r="E8270" i="1"/>
  <c r="B8271" i="1"/>
  <c r="A8271" i="1"/>
  <c r="E8271" i="1"/>
  <c r="B8272" i="1"/>
  <c r="A8272" i="1"/>
  <c r="E8272" i="1"/>
  <c r="B8273" i="1"/>
  <c r="A8273" i="1"/>
  <c r="E8273" i="1"/>
  <c r="B8274" i="1"/>
  <c r="A8274" i="1"/>
  <c r="E8274" i="1"/>
  <c r="B8275" i="1"/>
  <c r="A8275" i="1"/>
  <c r="E8275" i="1"/>
  <c r="B8276" i="1"/>
  <c r="A8276" i="1"/>
  <c r="E8276" i="1"/>
  <c r="B8277" i="1"/>
  <c r="A8277" i="1"/>
  <c r="E8277" i="1"/>
  <c r="B8278" i="1"/>
  <c r="A8278" i="1"/>
  <c r="E8278" i="1"/>
  <c r="B8279" i="1"/>
  <c r="A8279" i="1"/>
  <c r="E8279" i="1"/>
  <c r="B8280" i="1"/>
  <c r="A8280" i="1"/>
  <c r="E8280" i="1"/>
  <c r="B8281" i="1"/>
  <c r="A8281" i="1"/>
  <c r="E8281" i="1"/>
  <c r="B8282" i="1"/>
  <c r="A8282" i="1"/>
  <c r="E8282" i="1"/>
  <c r="B8283" i="1"/>
  <c r="A8283" i="1"/>
  <c r="E8283" i="1"/>
  <c r="B8284" i="1"/>
  <c r="A8284" i="1"/>
  <c r="E8284" i="1"/>
  <c r="B8285" i="1"/>
  <c r="A8285" i="1"/>
  <c r="E8285" i="1"/>
  <c r="B8286" i="1"/>
  <c r="A8286" i="1"/>
  <c r="E8286" i="1"/>
  <c r="B8287" i="1"/>
  <c r="A8287" i="1"/>
  <c r="E8287" i="1"/>
  <c r="B8288" i="1"/>
  <c r="A8288" i="1"/>
  <c r="E8288" i="1"/>
  <c r="B8289" i="1"/>
  <c r="A8289" i="1"/>
  <c r="E8289" i="1"/>
  <c r="B8290" i="1"/>
  <c r="A8290" i="1"/>
  <c r="E8290" i="1"/>
  <c r="B8291" i="1"/>
  <c r="A8291" i="1"/>
  <c r="E8291" i="1"/>
  <c r="B8292" i="1"/>
  <c r="A8292" i="1"/>
  <c r="E8292" i="1"/>
  <c r="B8293" i="1"/>
  <c r="A8293" i="1"/>
  <c r="E8293" i="1"/>
  <c r="B8294" i="1"/>
  <c r="A8294" i="1"/>
  <c r="E8294" i="1"/>
  <c r="B8295" i="1"/>
  <c r="A8295" i="1"/>
  <c r="E8295" i="1"/>
  <c r="B8296" i="1"/>
  <c r="A8296" i="1"/>
  <c r="E8296" i="1"/>
  <c r="B8297" i="1"/>
  <c r="A8297" i="1"/>
  <c r="E8297" i="1"/>
  <c r="B8298" i="1"/>
  <c r="A8298" i="1"/>
  <c r="E8298" i="1"/>
  <c r="B8299" i="1"/>
  <c r="A8299" i="1"/>
  <c r="E8299" i="1"/>
  <c r="B8300" i="1"/>
  <c r="A8300" i="1"/>
  <c r="E8300" i="1"/>
  <c r="B8301" i="1"/>
  <c r="A8301" i="1"/>
  <c r="E8301" i="1"/>
  <c r="B8302" i="1"/>
  <c r="A8302" i="1"/>
  <c r="E8302" i="1"/>
  <c r="B8303" i="1"/>
  <c r="A8303" i="1"/>
  <c r="E8303" i="1"/>
  <c r="B8304" i="1"/>
  <c r="A8304" i="1"/>
  <c r="E8304" i="1"/>
  <c r="B8305" i="1"/>
  <c r="A8305" i="1"/>
  <c r="E8305" i="1"/>
  <c r="B8306" i="1"/>
  <c r="A8306" i="1"/>
  <c r="E8306" i="1"/>
  <c r="B8307" i="1"/>
  <c r="A8307" i="1"/>
  <c r="E8307" i="1"/>
  <c r="B8308" i="1"/>
  <c r="A8308" i="1"/>
  <c r="E8308" i="1"/>
  <c r="B8309" i="1"/>
  <c r="A8309" i="1"/>
  <c r="E8309" i="1"/>
  <c r="B8310" i="1"/>
  <c r="A8310" i="1"/>
  <c r="E8310" i="1"/>
  <c r="B8311" i="1"/>
  <c r="A8311" i="1"/>
  <c r="E8311" i="1"/>
  <c r="B8312" i="1"/>
  <c r="A8312" i="1"/>
  <c r="E8312" i="1"/>
  <c r="B8313" i="1"/>
  <c r="A8313" i="1"/>
  <c r="E8313" i="1"/>
  <c r="B8314" i="1"/>
  <c r="A8314" i="1"/>
  <c r="E8314" i="1"/>
  <c r="B8315" i="1"/>
  <c r="A8315" i="1"/>
  <c r="E8315" i="1"/>
  <c r="B8316" i="1"/>
  <c r="A8316" i="1"/>
  <c r="E8316" i="1"/>
  <c r="B8317" i="1"/>
  <c r="A8317" i="1"/>
  <c r="E8317" i="1"/>
  <c r="B8318" i="1"/>
  <c r="A8318" i="1"/>
  <c r="E8318" i="1"/>
  <c r="B8319" i="1"/>
  <c r="A8319" i="1"/>
  <c r="E8319" i="1"/>
  <c r="B8320" i="1"/>
  <c r="A8320" i="1"/>
  <c r="E8320" i="1"/>
  <c r="B8321" i="1"/>
  <c r="A8321" i="1"/>
  <c r="E8321" i="1"/>
  <c r="B8322" i="1"/>
  <c r="A8322" i="1"/>
  <c r="E8322" i="1"/>
  <c r="B8323" i="1"/>
  <c r="A8323" i="1"/>
  <c r="E8323" i="1"/>
  <c r="B8324" i="1"/>
  <c r="A8324" i="1"/>
  <c r="E8324" i="1"/>
  <c r="B8325" i="1"/>
  <c r="A8325" i="1"/>
  <c r="E8325" i="1"/>
  <c r="B8326" i="1"/>
  <c r="A8326" i="1"/>
  <c r="E8326" i="1"/>
  <c r="B8327" i="1"/>
  <c r="A8327" i="1"/>
  <c r="E8327" i="1"/>
  <c r="B8328" i="1"/>
  <c r="A8328" i="1"/>
  <c r="E8328" i="1"/>
  <c r="G8328" i="1"/>
  <c r="B8329" i="1"/>
  <c r="A8329" i="1"/>
  <c r="E8329" i="1"/>
  <c r="G8329" i="1"/>
  <c r="B8330" i="1"/>
  <c r="A8330" i="1"/>
  <c r="E8330" i="1"/>
  <c r="G8330" i="1"/>
  <c r="B8331" i="1"/>
  <c r="A8331" i="1"/>
  <c r="E8331" i="1"/>
  <c r="G8331" i="1"/>
  <c r="B8332" i="1"/>
  <c r="A8332" i="1"/>
  <c r="E8332" i="1"/>
  <c r="G8332" i="1"/>
  <c r="B8333" i="1"/>
  <c r="A8333" i="1"/>
  <c r="E8333" i="1"/>
  <c r="B8334" i="1"/>
  <c r="A8334" i="1"/>
  <c r="E8334" i="1"/>
  <c r="B8335" i="1"/>
  <c r="A8335" i="1"/>
  <c r="E8335" i="1"/>
  <c r="B8336" i="1"/>
  <c r="A8336" i="1"/>
  <c r="E8336" i="1"/>
  <c r="B8337" i="1"/>
  <c r="A8337" i="1"/>
  <c r="E8337" i="1"/>
  <c r="B8338" i="1"/>
  <c r="A8338" i="1"/>
  <c r="E8338" i="1"/>
  <c r="B8339" i="1"/>
  <c r="A8339" i="1"/>
  <c r="E8339" i="1"/>
  <c r="B8340" i="1"/>
  <c r="A8340" i="1"/>
  <c r="E8340" i="1"/>
  <c r="B8341" i="1"/>
  <c r="A8341" i="1"/>
  <c r="E8341" i="1"/>
  <c r="B8342" i="1"/>
  <c r="A8342" i="1"/>
  <c r="E8342" i="1"/>
  <c r="B8343" i="1"/>
  <c r="A8343" i="1"/>
  <c r="E8343" i="1"/>
  <c r="B8344" i="1"/>
  <c r="A8344" i="1"/>
  <c r="E8344" i="1"/>
  <c r="B8345" i="1"/>
  <c r="A8345" i="1"/>
  <c r="E8345" i="1"/>
  <c r="B8346" i="1"/>
  <c r="A8346" i="1"/>
  <c r="E8346" i="1"/>
  <c r="B8347" i="1"/>
  <c r="A8347" i="1"/>
  <c r="E8347" i="1"/>
  <c r="B8348" i="1"/>
  <c r="A8348" i="1"/>
  <c r="E8348" i="1"/>
  <c r="B8349" i="1"/>
  <c r="A8349" i="1"/>
  <c r="E8349" i="1"/>
  <c r="B8350" i="1"/>
  <c r="A8350" i="1"/>
  <c r="E8350" i="1"/>
  <c r="B8351" i="1"/>
  <c r="A8351" i="1"/>
  <c r="E8351" i="1"/>
  <c r="B8352" i="1"/>
  <c r="A8352" i="1"/>
  <c r="E8352" i="1"/>
  <c r="B8353" i="1"/>
  <c r="A8353" i="1"/>
  <c r="E8353" i="1"/>
  <c r="B8354" i="1"/>
  <c r="A8354" i="1"/>
  <c r="E8354" i="1"/>
  <c r="B8355" i="1"/>
  <c r="A8355" i="1"/>
  <c r="E8355" i="1"/>
  <c r="B8356" i="1"/>
  <c r="A8356" i="1"/>
  <c r="E8356" i="1"/>
  <c r="B8357" i="1"/>
  <c r="A8357" i="1"/>
  <c r="E8357" i="1"/>
  <c r="B8358" i="1"/>
  <c r="A8358" i="1"/>
  <c r="E8358" i="1"/>
  <c r="B8359" i="1"/>
  <c r="A8359" i="1"/>
  <c r="E8359" i="1"/>
  <c r="B8360" i="1"/>
  <c r="A8360" i="1"/>
  <c r="E8360" i="1"/>
  <c r="B8361" i="1"/>
  <c r="A8361" i="1"/>
  <c r="E8361" i="1"/>
  <c r="B8362" i="1"/>
  <c r="A8362" i="1"/>
  <c r="E8362" i="1"/>
  <c r="B8363" i="1"/>
  <c r="A8363" i="1"/>
  <c r="E8363" i="1"/>
  <c r="B8364" i="1"/>
  <c r="A8364" i="1"/>
  <c r="E8364" i="1"/>
  <c r="B8365" i="1"/>
  <c r="A8365" i="1"/>
  <c r="E8365" i="1"/>
  <c r="B8366" i="1"/>
  <c r="A8366" i="1"/>
  <c r="E8366" i="1"/>
  <c r="B8367" i="1"/>
  <c r="A8367" i="1"/>
  <c r="E8367" i="1"/>
  <c r="B8368" i="1"/>
  <c r="A8368" i="1"/>
  <c r="E8368" i="1"/>
  <c r="B8369" i="1"/>
  <c r="A8369" i="1"/>
  <c r="E8369" i="1"/>
  <c r="B8370" i="1"/>
  <c r="A8370" i="1"/>
  <c r="E8370" i="1"/>
  <c r="B8371" i="1"/>
  <c r="A8371" i="1"/>
  <c r="E8371" i="1"/>
  <c r="B8372" i="1"/>
  <c r="A8372" i="1"/>
  <c r="E8372" i="1"/>
  <c r="B8373" i="1"/>
  <c r="A8373" i="1"/>
  <c r="E8373" i="1"/>
  <c r="B8374" i="1"/>
  <c r="A8374" i="1"/>
  <c r="E8374" i="1"/>
  <c r="B8375" i="1"/>
  <c r="A8375" i="1"/>
  <c r="E8375" i="1"/>
  <c r="B8376" i="1"/>
  <c r="A8376" i="1"/>
  <c r="E8376" i="1"/>
  <c r="B8377" i="1"/>
  <c r="A8377" i="1"/>
  <c r="E8377" i="1"/>
  <c r="B8378" i="1"/>
  <c r="A8378" i="1"/>
  <c r="E8378" i="1"/>
  <c r="B8379" i="1"/>
  <c r="A8379" i="1"/>
  <c r="E8379" i="1"/>
  <c r="B8380" i="1"/>
  <c r="A8380" i="1"/>
  <c r="E8380" i="1"/>
  <c r="B8381" i="1"/>
  <c r="A8381" i="1"/>
  <c r="E8381" i="1"/>
  <c r="B8382" i="1"/>
  <c r="A8382" i="1"/>
  <c r="E8382" i="1"/>
  <c r="B8383" i="1"/>
  <c r="A8383" i="1"/>
  <c r="E8383" i="1"/>
  <c r="B8384" i="1"/>
  <c r="A8384" i="1"/>
  <c r="E8384" i="1"/>
  <c r="B8385" i="1"/>
  <c r="A8385" i="1"/>
  <c r="E8385" i="1"/>
  <c r="B8386" i="1"/>
  <c r="A8386" i="1"/>
  <c r="E8386" i="1"/>
  <c r="B8387" i="1"/>
  <c r="A8387" i="1"/>
  <c r="E8387" i="1"/>
  <c r="B8388" i="1"/>
  <c r="A8388" i="1"/>
  <c r="E8388" i="1"/>
  <c r="B8389" i="1"/>
  <c r="A8389" i="1"/>
  <c r="E8389" i="1"/>
  <c r="B8390" i="1"/>
  <c r="A8390" i="1"/>
  <c r="E8390" i="1"/>
  <c r="B8391" i="1"/>
  <c r="A8391" i="1"/>
  <c r="E8391" i="1"/>
  <c r="B8392" i="1"/>
  <c r="A8392" i="1"/>
  <c r="E8392" i="1"/>
  <c r="B8393" i="1"/>
  <c r="A8393" i="1"/>
  <c r="E8393" i="1"/>
  <c r="B8394" i="1"/>
  <c r="A8394" i="1"/>
  <c r="E8394" i="1"/>
  <c r="B8395" i="1"/>
  <c r="A8395" i="1"/>
  <c r="E8395" i="1"/>
  <c r="B8396" i="1"/>
  <c r="A8396" i="1"/>
  <c r="E8396" i="1"/>
  <c r="B8397" i="1"/>
  <c r="A8397" i="1"/>
  <c r="E8397" i="1"/>
  <c r="B8398" i="1"/>
  <c r="A8398" i="1"/>
  <c r="E8398" i="1"/>
  <c r="B8399" i="1"/>
  <c r="A8399" i="1"/>
  <c r="E8399" i="1"/>
  <c r="B8400" i="1"/>
  <c r="A8400" i="1"/>
  <c r="E8400" i="1"/>
  <c r="B8401" i="1"/>
  <c r="A8401" i="1"/>
  <c r="E8401" i="1"/>
  <c r="B8402" i="1"/>
  <c r="A8402" i="1"/>
  <c r="E8402" i="1"/>
  <c r="G8402" i="1"/>
  <c r="B8403" i="1"/>
  <c r="A8403" i="1"/>
  <c r="E8403" i="1"/>
  <c r="G8403" i="1"/>
  <c r="B8404" i="1"/>
  <c r="A8404" i="1"/>
  <c r="E8404" i="1"/>
  <c r="G8404" i="1"/>
  <c r="B8405" i="1"/>
  <c r="A8405" i="1"/>
  <c r="E8405" i="1"/>
  <c r="G8405" i="1"/>
  <c r="B8406" i="1"/>
  <c r="A8406" i="1"/>
  <c r="E8406" i="1"/>
  <c r="B8407" i="1"/>
  <c r="A8407" i="1"/>
  <c r="E8407" i="1"/>
  <c r="B8408" i="1"/>
  <c r="A8408" i="1"/>
  <c r="E8408" i="1"/>
  <c r="B8409" i="1"/>
  <c r="A8409" i="1"/>
  <c r="E8409" i="1"/>
  <c r="B8410" i="1"/>
  <c r="A8410" i="1"/>
  <c r="E8410" i="1"/>
  <c r="B8411" i="1"/>
  <c r="A8411" i="1"/>
  <c r="E8411" i="1"/>
  <c r="G8411" i="1"/>
  <c r="B8412" i="1"/>
  <c r="A8412" i="1"/>
  <c r="E8412" i="1"/>
  <c r="G8412" i="1"/>
  <c r="B8413" i="1"/>
  <c r="A8413" i="1"/>
  <c r="E8413" i="1"/>
  <c r="B8414" i="1"/>
  <c r="A8414" i="1"/>
  <c r="E8414" i="1"/>
  <c r="B8415" i="1"/>
  <c r="A8415" i="1"/>
  <c r="E8415" i="1"/>
  <c r="B8416" i="1"/>
  <c r="A8416" i="1"/>
  <c r="E8416" i="1"/>
  <c r="B8417" i="1"/>
  <c r="A8417" i="1"/>
  <c r="E8417" i="1"/>
  <c r="B8418" i="1"/>
  <c r="A8418" i="1"/>
  <c r="E8418" i="1"/>
  <c r="B8419" i="1"/>
  <c r="A8419" i="1"/>
  <c r="E8419" i="1"/>
  <c r="B8420" i="1"/>
  <c r="A8420" i="1"/>
  <c r="E8420" i="1"/>
  <c r="B8421" i="1"/>
  <c r="A8421" i="1"/>
  <c r="E8421" i="1"/>
  <c r="B8422" i="1"/>
  <c r="A8422" i="1"/>
  <c r="E8422" i="1"/>
  <c r="B8423" i="1"/>
  <c r="A8423" i="1"/>
  <c r="E8423" i="1"/>
  <c r="B8424" i="1"/>
  <c r="A8424" i="1"/>
  <c r="E8424" i="1"/>
  <c r="B8425" i="1"/>
  <c r="A8425" i="1"/>
  <c r="E8425" i="1"/>
  <c r="B8426" i="1"/>
  <c r="A8426" i="1"/>
  <c r="E8426" i="1"/>
  <c r="B8427" i="1"/>
  <c r="A8427" i="1"/>
  <c r="E8427" i="1"/>
  <c r="B8428" i="1"/>
  <c r="A8428" i="1"/>
  <c r="E8428" i="1"/>
  <c r="B8429" i="1"/>
  <c r="A8429" i="1"/>
  <c r="E8429" i="1"/>
  <c r="B8430" i="1"/>
  <c r="A8430" i="1"/>
  <c r="E8430" i="1"/>
  <c r="B8431" i="1"/>
  <c r="A8431" i="1"/>
  <c r="E8431" i="1"/>
  <c r="B8432" i="1"/>
  <c r="A8432" i="1"/>
  <c r="E8432" i="1"/>
  <c r="B8433" i="1"/>
  <c r="A8433" i="1"/>
  <c r="E8433" i="1"/>
  <c r="B8434" i="1"/>
  <c r="A8434" i="1"/>
  <c r="E8434" i="1"/>
  <c r="B8435" i="1"/>
  <c r="A8435" i="1"/>
  <c r="E8435" i="1"/>
  <c r="B8436" i="1"/>
  <c r="A8436" i="1"/>
  <c r="E8436" i="1"/>
  <c r="B8437" i="1"/>
  <c r="A8437" i="1"/>
  <c r="E8437" i="1"/>
  <c r="B8438" i="1"/>
  <c r="A8438" i="1"/>
  <c r="E8438" i="1"/>
  <c r="B8439" i="1"/>
  <c r="A8439" i="1"/>
  <c r="E8439" i="1"/>
  <c r="B8440" i="1"/>
  <c r="A8440" i="1"/>
  <c r="E8440" i="1"/>
  <c r="B8441" i="1"/>
  <c r="A8441" i="1"/>
  <c r="E8441" i="1"/>
  <c r="B8442" i="1"/>
  <c r="A8442" i="1"/>
  <c r="E8442" i="1"/>
  <c r="B8443" i="1"/>
  <c r="A8443" i="1"/>
  <c r="E8443" i="1"/>
  <c r="B8444" i="1"/>
  <c r="A8444" i="1"/>
  <c r="E8444" i="1"/>
  <c r="B8445" i="1"/>
  <c r="A8445" i="1"/>
  <c r="E8445" i="1"/>
  <c r="B8446" i="1"/>
  <c r="A8446" i="1"/>
  <c r="E8446" i="1"/>
  <c r="B8447" i="1"/>
  <c r="A8447" i="1"/>
  <c r="E8447" i="1"/>
  <c r="B8448" i="1"/>
  <c r="A8448" i="1"/>
  <c r="E8448" i="1"/>
  <c r="B8449" i="1"/>
  <c r="A8449" i="1"/>
  <c r="E8449" i="1"/>
  <c r="B8450" i="1"/>
  <c r="A8450" i="1"/>
  <c r="E8450" i="1"/>
  <c r="B8451" i="1"/>
  <c r="A8451" i="1"/>
  <c r="E8451" i="1"/>
  <c r="B8452" i="1"/>
  <c r="A8452" i="1"/>
  <c r="E8452" i="1"/>
  <c r="B8453" i="1"/>
  <c r="A8453" i="1"/>
  <c r="E8453" i="1"/>
  <c r="B8454" i="1"/>
  <c r="A8454" i="1"/>
  <c r="E8454" i="1"/>
  <c r="B8455" i="1"/>
  <c r="A8455" i="1"/>
  <c r="E8455" i="1"/>
  <c r="B8456" i="1"/>
  <c r="A8456" i="1"/>
  <c r="E8456" i="1"/>
  <c r="B8457" i="1"/>
  <c r="A8457" i="1"/>
  <c r="E8457" i="1"/>
  <c r="B8458" i="1"/>
  <c r="A8458" i="1"/>
  <c r="E8458" i="1"/>
  <c r="B8459" i="1"/>
  <c r="A8459" i="1"/>
  <c r="E8459" i="1"/>
  <c r="B8460" i="1"/>
  <c r="A8460" i="1"/>
  <c r="E8460" i="1"/>
  <c r="B8461" i="1"/>
  <c r="A8461" i="1"/>
  <c r="E8461" i="1"/>
  <c r="B8462" i="1"/>
  <c r="A8462" i="1"/>
  <c r="E8462" i="1"/>
  <c r="B8463" i="1"/>
  <c r="A8463" i="1"/>
  <c r="E8463" i="1"/>
  <c r="B8464" i="1"/>
  <c r="A8464" i="1"/>
  <c r="E8464" i="1"/>
  <c r="B8465" i="1"/>
  <c r="A8465" i="1"/>
  <c r="E8465" i="1"/>
  <c r="B8466" i="1"/>
  <c r="A8466" i="1"/>
  <c r="E8466" i="1"/>
  <c r="B8467" i="1"/>
  <c r="A8467" i="1"/>
  <c r="E8467" i="1"/>
  <c r="B8468" i="1"/>
  <c r="A8468" i="1"/>
  <c r="E8468" i="1"/>
  <c r="B8469" i="1"/>
  <c r="A8469" i="1"/>
  <c r="E8469" i="1"/>
  <c r="B8470" i="1"/>
  <c r="A8470" i="1"/>
  <c r="E8470" i="1"/>
  <c r="B8471" i="1"/>
  <c r="A8471" i="1"/>
  <c r="E8471" i="1"/>
  <c r="B8472" i="1"/>
  <c r="A8472" i="1"/>
  <c r="E8472" i="1"/>
  <c r="B8473" i="1"/>
  <c r="A8473" i="1"/>
  <c r="E8473" i="1"/>
  <c r="B8474" i="1"/>
  <c r="A8474" i="1"/>
  <c r="E8474" i="1"/>
  <c r="B8475" i="1"/>
  <c r="A8475" i="1"/>
  <c r="E8475" i="1"/>
  <c r="B8476" i="1"/>
  <c r="A8476" i="1"/>
  <c r="E8476" i="1"/>
  <c r="B8477" i="1"/>
  <c r="A8477" i="1"/>
  <c r="E8477" i="1"/>
  <c r="B8478" i="1"/>
  <c r="A8478" i="1"/>
  <c r="E8478" i="1"/>
  <c r="B8479" i="1"/>
  <c r="A8479" i="1"/>
  <c r="E8479" i="1"/>
  <c r="B8480" i="1"/>
  <c r="A8480" i="1"/>
  <c r="E8480" i="1"/>
  <c r="B8481" i="1"/>
  <c r="A8481" i="1"/>
  <c r="E8481" i="1"/>
  <c r="B8482" i="1"/>
  <c r="A8482" i="1"/>
  <c r="E8482" i="1"/>
  <c r="B8483" i="1"/>
  <c r="A8483" i="1"/>
  <c r="E8483" i="1"/>
  <c r="B8484" i="1"/>
  <c r="A8484" i="1"/>
  <c r="E8484" i="1"/>
  <c r="B8485" i="1"/>
  <c r="A8485" i="1"/>
  <c r="E8485" i="1"/>
  <c r="B8486" i="1"/>
  <c r="A8486" i="1"/>
  <c r="E8486" i="1"/>
  <c r="B8487" i="1"/>
  <c r="A8487" i="1"/>
  <c r="E8487" i="1"/>
  <c r="F8487" i="1"/>
  <c r="G8487" i="1"/>
  <c r="B8488" i="1"/>
  <c r="A8488" i="1"/>
  <c r="E8488" i="1"/>
  <c r="B8489" i="1"/>
  <c r="A8489" i="1"/>
  <c r="E8489" i="1"/>
  <c r="B8490" i="1"/>
  <c r="A8490" i="1"/>
  <c r="E8490" i="1"/>
  <c r="B8491" i="1"/>
  <c r="A8491" i="1"/>
  <c r="E8491" i="1"/>
  <c r="B8492" i="1"/>
  <c r="A8492" i="1"/>
  <c r="E8492" i="1"/>
  <c r="B8493" i="1"/>
  <c r="A8493" i="1"/>
  <c r="E8493" i="1"/>
  <c r="F8493" i="1"/>
  <c r="B8494" i="1"/>
  <c r="A8494" i="1"/>
  <c r="E8494" i="1"/>
  <c r="F8494" i="1"/>
  <c r="G8494" i="1"/>
  <c r="B8495" i="1"/>
  <c r="A8495" i="1"/>
  <c r="E8495" i="1"/>
  <c r="F8495" i="1"/>
  <c r="B8496" i="1"/>
  <c r="A8496" i="1"/>
  <c r="E8496" i="1"/>
  <c r="F8496" i="1"/>
  <c r="B8497" i="1"/>
  <c r="A8497" i="1"/>
  <c r="E8497" i="1"/>
  <c r="F8497" i="1"/>
  <c r="B8498" i="1"/>
  <c r="A8498" i="1"/>
  <c r="E8498" i="1"/>
  <c r="F8498" i="1"/>
  <c r="B8499" i="1"/>
  <c r="A8499" i="1"/>
  <c r="E8499" i="1"/>
  <c r="F8499" i="1"/>
  <c r="B8500" i="1"/>
  <c r="A8500" i="1"/>
  <c r="E8500" i="1"/>
  <c r="F8500" i="1"/>
  <c r="B8501" i="1"/>
  <c r="A8501" i="1"/>
  <c r="E8501" i="1"/>
  <c r="F8501" i="1"/>
  <c r="B8502" i="1"/>
  <c r="A8502" i="1"/>
  <c r="E8502" i="1"/>
  <c r="F8502" i="1"/>
  <c r="G8502" i="1"/>
  <c r="B8503" i="1"/>
  <c r="A8503" i="1"/>
  <c r="E8503" i="1"/>
  <c r="F8503" i="1"/>
  <c r="G8503" i="1"/>
  <c r="B8504" i="1"/>
  <c r="A8504" i="1"/>
  <c r="E8504" i="1"/>
  <c r="F8504" i="1"/>
  <c r="B8505" i="1"/>
  <c r="A8505" i="1"/>
  <c r="E8505" i="1"/>
  <c r="F8505" i="1"/>
  <c r="B8506" i="1"/>
  <c r="A8506" i="1"/>
  <c r="E8506" i="1"/>
  <c r="F8506" i="1"/>
  <c r="B8507" i="1"/>
  <c r="A8507" i="1"/>
  <c r="E8507" i="1"/>
  <c r="B8508" i="1"/>
  <c r="A8508" i="1"/>
  <c r="E8508" i="1"/>
  <c r="B8509" i="1"/>
  <c r="A8509" i="1"/>
  <c r="E8509" i="1"/>
  <c r="B8510" i="1"/>
  <c r="A8510" i="1"/>
  <c r="E8510" i="1"/>
  <c r="B8511" i="1"/>
  <c r="A8511" i="1"/>
  <c r="E8511" i="1"/>
  <c r="B8512" i="1"/>
  <c r="A8512" i="1"/>
  <c r="E8512" i="1"/>
  <c r="B8513" i="1"/>
  <c r="A8513" i="1"/>
  <c r="E8513" i="1"/>
  <c r="B8514" i="1"/>
  <c r="A8514" i="1"/>
  <c r="E8514" i="1"/>
  <c r="B8515" i="1"/>
  <c r="A8515" i="1"/>
  <c r="E8515" i="1"/>
  <c r="B8516" i="1"/>
  <c r="A8516" i="1"/>
  <c r="E8516" i="1"/>
  <c r="B8517" i="1"/>
  <c r="A8517" i="1"/>
  <c r="E8517" i="1"/>
  <c r="B8518" i="1"/>
  <c r="A8518" i="1"/>
  <c r="E8518" i="1"/>
  <c r="B8519" i="1"/>
  <c r="A8519" i="1"/>
  <c r="E8519" i="1"/>
  <c r="B8520" i="1"/>
  <c r="A8520" i="1"/>
  <c r="E8520" i="1"/>
  <c r="B8521" i="1"/>
  <c r="A8521" i="1"/>
  <c r="E8521" i="1"/>
  <c r="B8522" i="1"/>
  <c r="A8522" i="1"/>
  <c r="E8522" i="1"/>
  <c r="B8523" i="1"/>
  <c r="A8523" i="1"/>
  <c r="E8523" i="1"/>
  <c r="B8524" i="1"/>
  <c r="A8524" i="1"/>
  <c r="E8524" i="1"/>
  <c r="B8525" i="1"/>
  <c r="A8525" i="1"/>
  <c r="E8525" i="1"/>
  <c r="B8526" i="1"/>
  <c r="A8526" i="1"/>
  <c r="E8526" i="1"/>
  <c r="B8527" i="1"/>
  <c r="A8527" i="1"/>
  <c r="E8527" i="1"/>
  <c r="B8528" i="1"/>
  <c r="A8528" i="1"/>
  <c r="E8528" i="1"/>
  <c r="B8529" i="1"/>
  <c r="A8529" i="1"/>
  <c r="E8529" i="1"/>
  <c r="B8530" i="1"/>
  <c r="A8530" i="1"/>
  <c r="E8530" i="1"/>
  <c r="B8531" i="1"/>
  <c r="A8531" i="1"/>
  <c r="E8531" i="1"/>
  <c r="B8532" i="1"/>
  <c r="A8532" i="1"/>
  <c r="E8532" i="1"/>
  <c r="B8533" i="1"/>
  <c r="A8533" i="1"/>
  <c r="E8533" i="1"/>
  <c r="B8534" i="1"/>
  <c r="A8534" i="1"/>
  <c r="E8534" i="1"/>
  <c r="B8535" i="1"/>
  <c r="A8535" i="1"/>
  <c r="E8535" i="1"/>
  <c r="B8536" i="1"/>
  <c r="A8536" i="1"/>
  <c r="E8536" i="1"/>
  <c r="B8537" i="1"/>
  <c r="A8537" i="1"/>
  <c r="E8537" i="1"/>
  <c r="B8538" i="1"/>
  <c r="A8538" i="1"/>
  <c r="E8538" i="1"/>
  <c r="B8539" i="1"/>
  <c r="A8539" i="1"/>
  <c r="E8539" i="1"/>
  <c r="B8540" i="1"/>
  <c r="A8540" i="1"/>
  <c r="E8540" i="1"/>
  <c r="B8541" i="1"/>
  <c r="A8541" i="1"/>
  <c r="E8541" i="1"/>
  <c r="B8542" i="1"/>
  <c r="A8542" i="1"/>
  <c r="E8542" i="1"/>
  <c r="B8543" i="1"/>
  <c r="A8543" i="1"/>
  <c r="E8543" i="1"/>
  <c r="B8544" i="1"/>
  <c r="A8544" i="1"/>
  <c r="E8544" i="1"/>
  <c r="B8545" i="1"/>
  <c r="A8545" i="1"/>
  <c r="E8545" i="1"/>
  <c r="B8546" i="1"/>
  <c r="A8546" i="1"/>
  <c r="E8546" i="1"/>
  <c r="B8547" i="1"/>
  <c r="A8547" i="1"/>
  <c r="E8547" i="1"/>
  <c r="B8548" i="1"/>
  <c r="A8548" i="1"/>
  <c r="E8548" i="1"/>
  <c r="B8549" i="1"/>
  <c r="A8549" i="1"/>
  <c r="E8549" i="1"/>
  <c r="B8550" i="1"/>
  <c r="A8550" i="1"/>
  <c r="E8550" i="1"/>
  <c r="B8551" i="1"/>
  <c r="A8551" i="1"/>
  <c r="E8551" i="1"/>
  <c r="B8552" i="1"/>
  <c r="A8552" i="1"/>
  <c r="E8552" i="1"/>
  <c r="B8553" i="1"/>
  <c r="A8553" i="1"/>
  <c r="E8553" i="1"/>
  <c r="B8554" i="1"/>
  <c r="A8554" i="1"/>
  <c r="E8554" i="1"/>
  <c r="B8555" i="1"/>
  <c r="A8555" i="1"/>
  <c r="E8555" i="1"/>
  <c r="B8556" i="1"/>
  <c r="A8556" i="1"/>
  <c r="E8556" i="1"/>
  <c r="B8557" i="1"/>
  <c r="A8557" i="1"/>
  <c r="E8557" i="1"/>
  <c r="B8558" i="1"/>
  <c r="A8558" i="1"/>
  <c r="E8558" i="1"/>
  <c r="B8559" i="1"/>
  <c r="A8559" i="1"/>
  <c r="E8559" i="1"/>
  <c r="B8560" i="1"/>
  <c r="A8560" i="1"/>
  <c r="E8560" i="1"/>
  <c r="B8561" i="1"/>
  <c r="A8561" i="1"/>
  <c r="E8561" i="1"/>
  <c r="B8562" i="1"/>
  <c r="A8562" i="1"/>
  <c r="E8562" i="1"/>
  <c r="B8563" i="1"/>
  <c r="A8563" i="1"/>
  <c r="E8563" i="1"/>
  <c r="B8564" i="1"/>
  <c r="A8564" i="1"/>
  <c r="E8564" i="1"/>
  <c r="B8565" i="1"/>
  <c r="A8565" i="1"/>
  <c r="E8565" i="1"/>
  <c r="B8566" i="1"/>
  <c r="A8566" i="1"/>
  <c r="E8566" i="1"/>
  <c r="B8567" i="1"/>
  <c r="A8567" i="1"/>
  <c r="E8567" i="1"/>
  <c r="B8568" i="1"/>
  <c r="A8568" i="1"/>
  <c r="E8568" i="1"/>
  <c r="B8569" i="1"/>
  <c r="A8569" i="1"/>
  <c r="E8569" i="1"/>
  <c r="B8570" i="1"/>
  <c r="A8570" i="1"/>
  <c r="E8570" i="1"/>
  <c r="B8571" i="1"/>
  <c r="A8571" i="1"/>
  <c r="E8571" i="1"/>
  <c r="B8572" i="1"/>
  <c r="A8572" i="1"/>
  <c r="E8572" i="1"/>
  <c r="B8573" i="1"/>
  <c r="A8573" i="1"/>
  <c r="E8573" i="1"/>
  <c r="B8574" i="1"/>
  <c r="A8574" i="1"/>
  <c r="E8574" i="1"/>
  <c r="B8575" i="1"/>
  <c r="A8575" i="1"/>
  <c r="E8575" i="1"/>
  <c r="B8576" i="1"/>
  <c r="A8576" i="1"/>
  <c r="E8576" i="1"/>
  <c r="B8577" i="1"/>
  <c r="A8577" i="1"/>
  <c r="E8577" i="1"/>
  <c r="B8578" i="1"/>
  <c r="A8578" i="1"/>
  <c r="E8578" i="1"/>
  <c r="B8579" i="1"/>
  <c r="A8579" i="1"/>
  <c r="E8579" i="1"/>
  <c r="B8580" i="1"/>
  <c r="A8580" i="1"/>
  <c r="E8580" i="1"/>
  <c r="B8581" i="1"/>
  <c r="A8581" i="1"/>
  <c r="E8581" i="1"/>
  <c r="B8582" i="1"/>
  <c r="A8582" i="1"/>
  <c r="E8582" i="1"/>
  <c r="B8583" i="1"/>
  <c r="A8583" i="1"/>
  <c r="E8583" i="1"/>
  <c r="B8584" i="1"/>
  <c r="A8584" i="1"/>
  <c r="E8584" i="1"/>
  <c r="B8585" i="1"/>
  <c r="A8585" i="1"/>
  <c r="E8585" i="1"/>
  <c r="B8586" i="1"/>
  <c r="A8586" i="1"/>
  <c r="E8586" i="1"/>
  <c r="B8587" i="1"/>
  <c r="A8587" i="1"/>
  <c r="E8587" i="1"/>
  <c r="B8588" i="1"/>
  <c r="A8588" i="1"/>
  <c r="E8588" i="1"/>
  <c r="B8589" i="1"/>
  <c r="A8589" i="1"/>
  <c r="E8589" i="1"/>
  <c r="B8590" i="1"/>
  <c r="A8590" i="1"/>
  <c r="E8590" i="1"/>
  <c r="B8591" i="1"/>
  <c r="A8591" i="1"/>
  <c r="E8591" i="1"/>
  <c r="B8592" i="1"/>
  <c r="A8592" i="1"/>
  <c r="E8592" i="1"/>
  <c r="B8593" i="1"/>
  <c r="A8593" i="1"/>
  <c r="E8593" i="1"/>
  <c r="B8594" i="1"/>
  <c r="A8594" i="1"/>
  <c r="E8594" i="1"/>
  <c r="B8595" i="1"/>
  <c r="A8595" i="1"/>
  <c r="E8595" i="1"/>
  <c r="B8596" i="1"/>
  <c r="A8596" i="1"/>
  <c r="E8596" i="1"/>
  <c r="B8597" i="1"/>
  <c r="A8597" i="1"/>
  <c r="E8597" i="1"/>
  <c r="B8598" i="1"/>
  <c r="A8598" i="1"/>
  <c r="E8598" i="1"/>
  <c r="B8599" i="1"/>
  <c r="A8599" i="1"/>
  <c r="E8599" i="1"/>
  <c r="B8600" i="1"/>
  <c r="A8600" i="1"/>
  <c r="E8600" i="1"/>
  <c r="B8601" i="1"/>
  <c r="A8601" i="1"/>
  <c r="E8601" i="1"/>
  <c r="B8602" i="1"/>
  <c r="A8602" i="1"/>
  <c r="E8602" i="1"/>
  <c r="B8603" i="1"/>
  <c r="A8603" i="1"/>
  <c r="E8603" i="1"/>
  <c r="B8604" i="1"/>
  <c r="A8604" i="1"/>
  <c r="E8604" i="1"/>
  <c r="B8605" i="1"/>
  <c r="A8605" i="1"/>
  <c r="E8605" i="1"/>
  <c r="B8606" i="1"/>
  <c r="A8606" i="1"/>
  <c r="E8606" i="1"/>
  <c r="B8607" i="1"/>
  <c r="A8607" i="1"/>
  <c r="E8607" i="1"/>
  <c r="B8608" i="1"/>
  <c r="A8608" i="1"/>
  <c r="E8608" i="1"/>
  <c r="B8609" i="1"/>
  <c r="A8609" i="1"/>
  <c r="E8609" i="1"/>
  <c r="B8610" i="1"/>
  <c r="A8610" i="1"/>
  <c r="E8610" i="1"/>
  <c r="B8611" i="1"/>
  <c r="A8611" i="1"/>
  <c r="E8611" i="1"/>
  <c r="B8612" i="1"/>
  <c r="A8612" i="1"/>
  <c r="E8612" i="1"/>
  <c r="B8613" i="1"/>
  <c r="A8613" i="1"/>
  <c r="E8613" i="1"/>
  <c r="B8614" i="1"/>
  <c r="A8614" i="1"/>
  <c r="E8614" i="1"/>
  <c r="B8615" i="1"/>
  <c r="A8615" i="1"/>
  <c r="E8615" i="1"/>
  <c r="B8616" i="1"/>
  <c r="A8616" i="1"/>
  <c r="E8616" i="1"/>
  <c r="B8617" i="1"/>
  <c r="A8617" i="1"/>
  <c r="E8617" i="1"/>
  <c r="B8618" i="1"/>
  <c r="A8618" i="1"/>
  <c r="E8618" i="1"/>
  <c r="B8619" i="1"/>
  <c r="A8619" i="1"/>
  <c r="E8619" i="1"/>
  <c r="B8620" i="1"/>
  <c r="A8620" i="1"/>
  <c r="E8620" i="1"/>
  <c r="B8621" i="1"/>
  <c r="A8621" i="1"/>
  <c r="E8621" i="1"/>
  <c r="B8622" i="1"/>
  <c r="A8622" i="1"/>
  <c r="E8622" i="1"/>
  <c r="B8623" i="1"/>
  <c r="A8623" i="1"/>
  <c r="E8623" i="1"/>
  <c r="B8624" i="1"/>
  <c r="A8624" i="1"/>
  <c r="E8624" i="1"/>
  <c r="B8625" i="1"/>
  <c r="A8625" i="1"/>
  <c r="E8625" i="1"/>
  <c r="B8626" i="1"/>
  <c r="A8626" i="1"/>
  <c r="E8626" i="1"/>
  <c r="B8627" i="1"/>
  <c r="A8627" i="1"/>
  <c r="E8627" i="1"/>
  <c r="B8628" i="1"/>
  <c r="A8628" i="1"/>
  <c r="E8628" i="1"/>
  <c r="B8629" i="1"/>
  <c r="A8629" i="1"/>
  <c r="E8629" i="1"/>
  <c r="B8630" i="1"/>
  <c r="A8630" i="1"/>
  <c r="E8630" i="1"/>
  <c r="B8631" i="1"/>
  <c r="A8631" i="1"/>
  <c r="E8631" i="1"/>
  <c r="B8632" i="1"/>
  <c r="A8632" i="1"/>
  <c r="E8632" i="1"/>
  <c r="B8633" i="1"/>
  <c r="A8633" i="1"/>
  <c r="E8633" i="1"/>
  <c r="B8634" i="1"/>
  <c r="A8634" i="1"/>
  <c r="E8634" i="1"/>
  <c r="B8635" i="1"/>
  <c r="A8635" i="1"/>
  <c r="E8635" i="1"/>
  <c r="B8636" i="1"/>
  <c r="A8636" i="1"/>
  <c r="E8636" i="1"/>
  <c r="B8637" i="1"/>
  <c r="A8637" i="1"/>
  <c r="E8637" i="1"/>
  <c r="B8638" i="1"/>
  <c r="A8638" i="1"/>
  <c r="E8638" i="1"/>
  <c r="B8639" i="1"/>
  <c r="A8639" i="1"/>
  <c r="E8639" i="1"/>
  <c r="B8640" i="1"/>
  <c r="A8640" i="1"/>
  <c r="E8640" i="1"/>
  <c r="B8641" i="1"/>
  <c r="A8641" i="1"/>
  <c r="E8641" i="1"/>
  <c r="B8642" i="1"/>
  <c r="A8642" i="1"/>
  <c r="E8642" i="1"/>
  <c r="B8643" i="1"/>
  <c r="A8643" i="1"/>
  <c r="E8643" i="1"/>
  <c r="B8644" i="1"/>
  <c r="A8644" i="1"/>
  <c r="E8644" i="1"/>
  <c r="B8645" i="1"/>
  <c r="A8645" i="1"/>
  <c r="E8645" i="1"/>
  <c r="B8646" i="1"/>
  <c r="A8646" i="1"/>
  <c r="E8646" i="1"/>
  <c r="B8647" i="1"/>
  <c r="A8647" i="1"/>
  <c r="E8647" i="1"/>
  <c r="B8648" i="1"/>
  <c r="A8648" i="1"/>
  <c r="E8648" i="1"/>
  <c r="B8649" i="1"/>
  <c r="A8649" i="1"/>
  <c r="E8649" i="1"/>
  <c r="B8650" i="1"/>
  <c r="A8650" i="1"/>
  <c r="E8650" i="1"/>
  <c r="B8651" i="1"/>
  <c r="A8651" i="1"/>
  <c r="E8651" i="1"/>
  <c r="B8652" i="1"/>
  <c r="A8652" i="1"/>
  <c r="E8652" i="1"/>
  <c r="B8653" i="1"/>
  <c r="A8653" i="1"/>
  <c r="E8653" i="1"/>
  <c r="B8654" i="1"/>
  <c r="A8654" i="1"/>
  <c r="E8654" i="1"/>
  <c r="B8655" i="1"/>
  <c r="A8655" i="1"/>
  <c r="E8655" i="1"/>
  <c r="B8656" i="1"/>
  <c r="A8656" i="1"/>
  <c r="E8656" i="1"/>
  <c r="G8656" i="1"/>
  <c r="B8657" i="1"/>
  <c r="A8657" i="1"/>
  <c r="E8657" i="1"/>
  <c r="G8657" i="1"/>
  <c r="B8658" i="1"/>
  <c r="A8658" i="1"/>
  <c r="E8658" i="1"/>
  <c r="G8658" i="1"/>
  <c r="B8659" i="1"/>
  <c r="A8659" i="1"/>
  <c r="E8659" i="1"/>
  <c r="B8660" i="1"/>
  <c r="A8660" i="1"/>
  <c r="E8660" i="1"/>
  <c r="B8661" i="1"/>
  <c r="A8661" i="1"/>
  <c r="E8661" i="1"/>
  <c r="B8662" i="1"/>
  <c r="A8662" i="1"/>
  <c r="E8662" i="1"/>
  <c r="B8663" i="1"/>
  <c r="A8663" i="1"/>
  <c r="E8663" i="1"/>
  <c r="B8664" i="1"/>
  <c r="A8664" i="1"/>
  <c r="E8664" i="1"/>
  <c r="B8665" i="1"/>
  <c r="A8665" i="1"/>
  <c r="E8665" i="1"/>
  <c r="B8666" i="1"/>
  <c r="A8666" i="1"/>
  <c r="E8666" i="1"/>
  <c r="B8667" i="1"/>
  <c r="A8667" i="1"/>
  <c r="E8667" i="1"/>
  <c r="B8668" i="1"/>
  <c r="A8668" i="1"/>
  <c r="E8668" i="1"/>
  <c r="B8669" i="1"/>
  <c r="A8669" i="1"/>
  <c r="E8669" i="1"/>
  <c r="B8670" i="1"/>
  <c r="A8670" i="1"/>
  <c r="E8670" i="1"/>
  <c r="B8671" i="1"/>
  <c r="A8671" i="1"/>
  <c r="E8671" i="1"/>
  <c r="B8672" i="1"/>
  <c r="A8672" i="1"/>
  <c r="E8672" i="1"/>
  <c r="B8673" i="1"/>
  <c r="A8673" i="1"/>
  <c r="E8673" i="1"/>
  <c r="B8674" i="1"/>
  <c r="A8674" i="1"/>
  <c r="E8674" i="1"/>
  <c r="A8675" i="1"/>
  <c r="E8675" i="1"/>
  <c r="A8676" i="1"/>
  <c r="E8676" i="1"/>
  <c r="A8677" i="1"/>
  <c r="E8677" i="1"/>
  <c r="B8678" i="1"/>
  <c r="A8678" i="1"/>
  <c r="E8678" i="1"/>
  <c r="B8679" i="1"/>
  <c r="A8679" i="1"/>
  <c r="E8679" i="1"/>
  <c r="B8680" i="1"/>
  <c r="A8680" i="1"/>
  <c r="E8680" i="1"/>
  <c r="B8681" i="1"/>
  <c r="A8681" i="1"/>
  <c r="E8681" i="1"/>
  <c r="B8682" i="1"/>
  <c r="A8682" i="1"/>
  <c r="E8682" i="1"/>
  <c r="B8683" i="1"/>
  <c r="A8683" i="1"/>
  <c r="E8683" i="1"/>
  <c r="B8684" i="1"/>
  <c r="A8684" i="1"/>
  <c r="E8684" i="1"/>
  <c r="B8685" i="1"/>
  <c r="A8685" i="1"/>
  <c r="E8685" i="1"/>
  <c r="B8686" i="1"/>
  <c r="A8686" i="1"/>
  <c r="E8686" i="1"/>
  <c r="B8687" i="1"/>
  <c r="A8687" i="1"/>
  <c r="E8687" i="1"/>
  <c r="B8688" i="1"/>
  <c r="A8688" i="1"/>
  <c r="E8688" i="1"/>
  <c r="B8689" i="1"/>
  <c r="A8689" i="1"/>
  <c r="E8689" i="1"/>
  <c r="G8689" i="1"/>
  <c r="B8690" i="1"/>
  <c r="A8690" i="1"/>
  <c r="E8690" i="1"/>
  <c r="G8690" i="1"/>
  <c r="B8691" i="1"/>
  <c r="A8691" i="1"/>
  <c r="E8691" i="1"/>
  <c r="B8692" i="1"/>
  <c r="A8692" i="1"/>
  <c r="E8692" i="1"/>
  <c r="B8693" i="1"/>
  <c r="A8693" i="1"/>
  <c r="E8693" i="1"/>
  <c r="B8694" i="1"/>
  <c r="A8694" i="1"/>
  <c r="E8694" i="1"/>
  <c r="B8695" i="1"/>
  <c r="A8695" i="1"/>
  <c r="E8695" i="1"/>
  <c r="B8696" i="1"/>
  <c r="A8696" i="1"/>
  <c r="E8696" i="1"/>
  <c r="B8697" i="1"/>
  <c r="A8697" i="1"/>
  <c r="E8697" i="1"/>
  <c r="B8698" i="1"/>
  <c r="A8698" i="1"/>
  <c r="E8698" i="1"/>
  <c r="B8699" i="1"/>
  <c r="A8699" i="1"/>
  <c r="E8699" i="1"/>
  <c r="B8700" i="1"/>
  <c r="A8700" i="1"/>
  <c r="E8700" i="1"/>
  <c r="B8701" i="1"/>
  <c r="A8701" i="1"/>
  <c r="E8701" i="1"/>
  <c r="B8702" i="1"/>
  <c r="A8702" i="1"/>
  <c r="E8702" i="1"/>
  <c r="B8703" i="1"/>
  <c r="A8703" i="1"/>
  <c r="E8703" i="1"/>
  <c r="B8704" i="1"/>
  <c r="A8704" i="1"/>
  <c r="E8704" i="1"/>
  <c r="B8705" i="1"/>
  <c r="A8705" i="1"/>
  <c r="E8705" i="1"/>
  <c r="B8706" i="1"/>
  <c r="A8706" i="1"/>
  <c r="E8706" i="1"/>
  <c r="B8707" i="1"/>
  <c r="A8707" i="1"/>
  <c r="E8707" i="1"/>
  <c r="B8708" i="1"/>
  <c r="A8708" i="1"/>
  <c r="E8708" i="1"/>
  <c r="B8709" i="1"/>
  <c r="A8709" i="1"/>
  <c r="E8709" i="1"/>
  <c r="B8710" i="1"/>
  <c r="A8710" i="1"/>
  <c r="E8710" i="1"/>
  <c r="B8711" i="1"/>
  <c r="A8711" i="1"/>
  <c r="E8711" i="1"/>
  <c r="B8712" i="1"/>
  <c r="A8712" i="1"/>
  <c r="E8712" i="1"/>
  <c r="G8712" i="1"/>
  <c r="B8713" i="1"/>
  <c r="A8713" i="1"/>
  <c r="E8713" i="1"/>
  <c r="G8713" i="1"/>
  <c r="B8714" i="1"/>
  <c r="A8714" i="1"/>
  <c r="E8714" i="1"/>
  <c r="B8715" i="1"/>
  <c r="A8715" i="1"/>
  <c r="E8715" i="1"/>
  <c r="B8716" i="1"/>
  <c r="A8716" i="1"/>
  <c r="E8716" i="1"/>
  <c r="B8717" i="1"/>
  <c r="A8717" i="1"/>
  <c r="E8717" i="1"/>
  <c r="B8718" i="1"/>
  <c r="A8718" i="1"/>
  <c r="E8718" i="1"/>
  <c r="B8719" i="1"/>
  <c r="A8719" i="1"/>
  <c r="E8719" i="1"/>
  <c r="B8720" i="1"/>
  <c r="A8720" i="1"/>
  <c r="E8720" i="1"/>
  <c r="B8721" i="1"/>
  <c r="A8721" i="1"/>
  <c r="E8721" i="1"/>
  <c r="B8722" i="1"/>
  <c r="A8722" i="1"/>
  <c r="E8722" i="1"/>
  <c r="B8723" i="1"/>
  <c r="A8723" i="1"/>
  <c r="E8723" i="1"/>
  <c r="B8724" i="1"/>
  <c r="A8724" i="1"/>
  <c r="E8724" i="1"/>
  <c r="B8725" i="1"/>
  <c r="A8725" i="1"/>
  <c r="E8725" i="1"/>
  <c r="B8726" i="1"/>
  <c r="A8726" i="1"/>
  <c r="E8726" i="1"/>
  <c r="B8727" i="1"/>
  <c r="A8727" i="1"/>
  <c r="E8727" i="1"/>
  <c r="B8728" i="1"/>
  <c r="A8728" i="1"/>
  <c r="E8728" i="1"/>
  <c r="B8729" i="1"/>
  <c r="A8729" i="1"/>
  <c r="E8729" i="1"/>
  <c r="B8730" i="1"/>
  <c r="A8730" i="1"/>
  <c r="E8730" i="1"/>
  <c r="B8731" i="1"/>
  <c r="A8731" i="1"/>
  <c r="E8731" i="1"/>
  <c r="B8732" i="1"/>
  <c r="A8732" i="1"/>
  <c r="E8732" i="1"/>
  <c r="B8733" i="1"/>
  <c r="A8733" i="1"/>
  <c r="E8733" i="1"/>
  <c r="B8734" i="1"/>
  <c r="A8734" i="1"/>
  <c r="E8734" i="1"/>
  <c r="A8735" i="1"/>
  <c r="E8735" i="1"/>
  <c r="A8736" i="1"/>
  <c r="E8736" i="1"/>
  <c r="A8737" i="1"/>
  <c r="E8737" i="1"/>
  <c r="B8738" i="1"/>
  <c r="A8738" i="1"/>
  <c r="E8738" i="1"/>
  <c r="B8739" i="1"/>
  <c r="A8739" i="1"/>
  <c r="E8739" i="1"/>
  <c r="B8740" i="1"/>
  <c r="A8740" i="1"/>
  <c r="E8740" i="1"/>
  <c r="A8741" i="1"/>
  <c r="E8741" i="1"/>
  <c r="A8742" i="1"/>
  <c r="E8742" i="1"/>
  <c r="A8743" i="1"/>
  <c r="E8743" i="1"/>
  <c r="A8744" i="1"/>
  <c r="E8744" i="1"/>
  <c r="A8745" i="1"/>
  <c r="E8745" i="1"/>
  <c r="A8746" i="1"/>
  <c r="E8746" i="1"/>
  <c r="A8747" i="1"/>
  <c r="E8747" i="1"/>
  <c r="A8748" i="1"/>
  <c r="E8748" i="1"/>
  <c r="A8749" i="1"/>
  <c r="E8749" i="1"/>
  <c r="B8750" i="1"/>
  <c r="A8750" i="1"/>
  <c r="E8750" i="1"/>
  <c r="B8751" i="1"/>
  <c r="A8751" i="1"/>
  <c r="E8751" i="1"/>
  <c r="B8752" i="1"/>
  <c r="A8752" i="1"/>
  <c r="E8752" i="1"/>
  <c r="B8753" i="1"/>
  <c r="A8753" i="1"/>
  <c r="E8753" i="1"/>
  <c r="B8754" i="1"/>
  <c r="A8754" i="1"/>
  <c r="E8754" i="1"/>
  <c r="B8755" i="1"/>
  <c r="A8755" i="1"/>
  <c r="E8755" i="1"/>
  <c r="B8756" i="1"/>
  <c r="A8756" i="1"/>
  <c r="E8756" i="1"/>
  <c r="B8757" i="1"/>
  <c r="A8757" i="1"/>
  <c r="E8757" i="1"/>
  <c r="B8758" i="1"/>
  <c r="A8758" i="1"/>
  <c r="E8758" i="1"/>
  <c r="B8759" i="1"/>
  <c r="A8759" i="1"/>
  <c r="E8759" i="1"/>
  <c r="B8760" i="1"/>
  <c r="A8760" i="1"/>
  <c r="E8760" i="1"/>
  <c r="B8761" i="1"/>
  <c r="A8761" i="1"/>
  <c r="E8761" i="1"/>
  <c r="B8762" i="1"/>
  <c r="A8762" i="1"/>
  <c r="E8762" i="1"/>
  <c r="B8763" i="1"/>
  <c r="A8763" i="1"/>
  <c r="E8763" i="1"/>
  <c r="B8764" i="1"/>
  <c r="A8764" i="1"/>
  <c r="E8764" i="1"/>
  <c r="B8765" i="1"/>
  <c r="A8765" i="1"/>
  <c r="E8765" i="1"/>
  <c r="B8766" i="1"/>
  <c r="A8766" i="1"/>
  <c r="E8766" i="1"/>
  <c r="B8767" i="1"/>
  <c r="A8767" i="1"/>
  <c r="E8767" i="1"/>
  <c r="B8768" i="1"/>
  <c r="A8768" i="1"/>
  <c r="E8768" i="1"/>
  <c r="B8769" i="1"/>
  <c r="A8769" i="1"/>
  <c r="E8769" i="1"/>
  <c r="B8770" i="1"/>
  <c r="A8770" i="1"/>
  <c r="E8770" i="1"/>
  <c r="B8771" i="1"/>
  <c r="A8771" i="1"/>
  <c r="E8771" i="1"/>
  <c r="B8772" i="1"/>
  <c r="A8772" i="1"/>
  <c r="E8772" i="1"/>
  <c r="B8773" i="1"/>
  <c r="A8773" i="1"/>
  <c r="E8773" i="1"/>
  <c r="B8774" i="1"/>
  <c r="A8774" i="1"/>
  <c r="E8774" i="1"/>
  <c r="B8775" i="1"/>
  <c r="A8775" i="1"/>
  <c r="E8775" i="1"/>
  <c r="B8776" i="1"/>
  <c r="A8776" i="1"/>
  <c r="E8776" i="1"/>
  <c r="B8777" i="1"/>
  <c r="A8777" i="1"/>
  <c r="E8777" i="1"/>
  <c r="B8778" i="1"/>
  <c r="A8778" i="1"/>
  <c r="E8778" i="1"/>
  <c r="B8779" i="1"/>
  <c r="A8779" i="1"/>
  <c r="E8779" i="1"/>
  <c r="B8780" i="1"/>
  <c r="A8780" i="1"/>
  <c r="E8780" i="1"/>
  <c r="B8781" i="1"/>
  <c r="A8781" i="1"/>
  <c r="E8781" i="1"/>
  <c r="B8782" i="1"/>
  <c r="A8782" i="1"/>
  <c r="E8782" i="1"/>
  <c r="B8783" i="1"/>
  <c r="A8783" i="1"/>
  <c r="E8783" i="1"/>
  <c r="B8784" i="1"/>
  <c r="A8784" i="1"/>
  <c r="E8784" i="1"/>
  <c r="B8785" i="1"/>
  <c r="A8785" i="1"/>
  <c r="E8785" i="1"/>
  <c r="B8786" i="1"/>
  <c r="A8786" i="1"/>
  <c r="E8786" i="1"/>
  <c r="B8787" i="1"/>
  <c r="A8787" i="1"/>
  <c r="E8787" i="1"/>
  <c r="B8788" i="1"/>
  <c r="A8788" i="1"/>
  <c r="E8788" i="1"/>
  <c r="B8789" i="1"/>
  <c r="A8789" i="1"/>
  <c r="E8789" i="1"/>
  <c r="B8790" i="1"/>
  <c r="A8790" i="1"/>
  <c r="E8790" i="1"/>
  <c r="B8791" i="1"/>
  <c r="A8791" i="1"/>
  <c r="E8791" i="1"/>
  <c r="B8792" i="1"/>
  <c r="A8792" i="1"/>
  <c r="E8792" i="1"/>
  <c r="B8793" i="1"/>
  <c r="A8793" i="1"/>
  <c r="E8793" i="1"/>
  <c r="B8794" i="1"/>
  <c r="A8794" i="1"/>
  <c r="E8794" i="1"/>
  <c r="B8795" i="1"/>
  <c r="A8795" i="1"/>
  <c r="E8795" i="1"/>
  <c r="A8796" i="1"/>
  <c r="E8796" i="1"/>
  <c r="G8796" i="1"/>
  <c r="A8797" i="1"/>
  <c r="E8797" i="1"/>
  <c r="G8797" i="1"/>
  <c r="A8798" i="1"/>
  <c r="E8798" i="1"/>
  <c r="G8798" i="1"/>
  <c r="A8799" i="1"/>
  <c r="E8799" i="1"/>
  <c r="G8799" i="1"/>
  <c r="A8800" i="1"/>
  <c r="E8800" i="1"/>
  <c r="G8800" i="1"/>
  <c r="B8801" i="1"/>
  <c r="A8801" i="1"/>
  <c r="E8801" i="1"/>
  <c r="B8802" i="1"/>
  <c r="A8802" i="1"/>
  <c r="E8802" i="1"/>
  <c r="B8803" i="1"/>
  <c r="A8803" i="1"/>
  <c r="E8803" i="1"/>
  <c r="B8804" i="1"/>
  <c r="A8804" i="1"/>
  <c r="E8804" i="1"/>
  <c r="B8805" i="1"/>
  <c r="A8805" i="1"/>
  <c r="E8805" i="1"/>
  <c r="B8806" i="1"/>
  <c r="A8806" i="1"/>
  <c r="E8806" i="1"/>
  <c r="B8807" i="1"/>
  <c r="A8807" i="1"/>
  <c r="E8807" i="1"/>
  <c r="B8808" i="1"/>
  <c r="A8808" i="1"/>
  <c r="E8808" i="1"/>
  <c r="B8809" i="1"/>
  <c r="A8809" i="1"/>
  <c r="E8809" i="1"/>
  <c r="B8810" i="1"/>
  <c r="A8810" i="1"/>
  <c r="E8810" i="1"/>
  <c r="B8811" i="1"/>
  <c r="A8811" i="1"/>
  <c r="E8811" i="1"/>
  <c r="B8812" i="1"/>
  <c r="A8812" i="1"/>
  <c r="E8812" i="1"/>
  <c r="B8813" i="1"/>
  <c r="A8813" i="1"/>
  <c r="E8813" i="1"/>
  <c r="B8814" i="1"/>
  <c r="A8814" i="1"/>
  <c r="E8814" i="1"/>
  <c r="B8815" i="1"/>
  <c r="A8815" i="1"/>
  <c r="E8815" i="1"/>
  <c r="B8816" i="1"/>
  <c r="A8816" i="1"/>
  <c r="E8816" i="1"/>
  <c r="B8817" i="1"/>
  <c r="A8817" i="1"/>
  <c r="E8817" i="1"/>
  <c r="B8818" i="1"/>
  <c r="A8818" i="1"/>
  <c r="E8818" i="1"/>
  <c r="B8819" i="1"/>
  <c r="A8819" i="1"/>
  <c r="E8819" i="1"/>
  <c r="B8820" i="1"/>
  <c r="A8820" i="1"/>
  <c r="E8820" i="1"/>
  <c r="B8821" i="1"/>
  <c r="A8821" i="1"/>
  <c r="E8821" i="1"/>
  <c r="B8822" i="1"/>
  <c r="A8822" i="1"/>
  <c r="E8822" i="1"/>
  <c r="B8823" i="1"/>
  <c r="A8823" i="1"/>
  <c r="E8823" i="1"/>
  <c r="B8824" i="1"/>
  <c r="A8824" i="1"/>
  <c r="E8824" i="1"/>
  <c r="B8825" i="1"/>
  <c r="A8825" i="1"/>
  <c r="E8825" i="1"/>
  <c r="B8826" i="1"/>
  <c r="A8826" i="1"/>
  <c r="E8826" i="1"/>
  <c r="B8827" i="1"/>
  <c r="A8827" i="1"/>
  <c r="E8827" i="1"/>
  <c r="B8828" i="1"/>
  <c r="A8828" i="1"/>
  <c r="E8828" i="1"/>
  <c r="B8829" i="1"/>
  <c r="A8829" i="1"/>
  <c r="E8829" i="1"/>
  <c r="B8830" i="1"/>
  <c r="A8830" i="1"/>
  <c r="E8830" i="1"/>
  <c r="B8831" i="1"/>
  <c r="A8831" i="1"/>
  <c r="E8831" i="1"/>
  <c r="B8832" i="1"/>
  <c r="A8832" i="1"/>
  <c r="E8832" i="1"/>
  <c r="B8833" i="1"/>
  <c r="A8833" i="1"/>
  <c r="E8833" i="1"/>
  <c r="B8834" i="1"/>
  <c r="A8834" i="1"/>
  <c r="E8834" i="1"/>
  <c r="B8835" i="1"/>
  <c r="A8835" i="1"/>
  <c r="E8835" i="1"/>
  <c r="F8835" i="1"/>
  <c r="G8835" i="1"/>
  <c r="B8836" i="1"/>
  <c r="A8836" i="1"/>
  <c r="E8836" i="1"/>
  <c r="F8836" i="1"/>
  <c r="G8836" i="1"/>
  <c r="B8837" i="1"/>
  <c r="A8837" i="1"/>
  <c r="E8837" i="1"/>
  <c r="F8837" i="1"/>
  <c r="B8838" i="1"/>
  <c r="A8838" i="1"/>
  <c r="E8838" i="1"/>
  <c r="F8838" i="1"/>
  <c r="B8839" i="1"/>
  <c r="A8839" i="1"/>
  <c r="E8839" i="1"/>
  <c r="F8839" i="1"/>
  <c r="B8840" i="1"/>
  <c r="A8840" i="1"/>
  <c r="E8840" i="1"/>
  <c r="F8840" i="1"/>
  <c r="B8841" i="1"/>
  <c r="A8841" i="1"/>
  <c r="E8841" i="1"/>
  <c r="F8841" i="1"/>
  <c r="B8842" i="1"/>
  <c r="A8842" i="1"/>
  <c r="E8842" i="1"/>
  <c r="F8842" i="1"/>
  <c r="B8843" i="1"/>
  <c r="A8843" i="1"/>
  <c r="E8843" i="1"/>
  <c r="F8843" i="1"/>
  <c r="B8844" i="1"/>
  <c r="A8844" i="1"/>
  <c r="E8844" i="1"/>
  <c r="F8844" i="1"/>
  <c r="B8845" i="1"/>
  <c r="A8845" i="1"/>
  <c r="E8845" i="1"/>
  <c r="F8845" i="1"/>
  <c r="B8846" i="1"/>
  <c r="A8846" i="1"/>
  <c r="E8846" i="1"/>
  <c r="F8846" i="1"/>
  <c r="B8847" i="1"/>
  <c r="A8847" i="1"/>
  <c r="E8847" i="1"/>
  <c r="F8847" i="1"/>
  <c r="B8848" i="1"/>
  <c r="A8848" i="1"/>
  <c r="E8848" i="1"/>
  <c r="F8848" i="1"/>
  <c r="B8849" i="1"/>
  <c r="A8849" i="1"/>
  <c r="E8849" i="1"/>
  <c r="F8849" i="1"/>
  <c r="B8850" i="1"/>
  <c r="A8850" i="1"/>
  <c r="E8850" i="1"/>
  <c r="F8850" i="1"/>
  <c r="B8851" i="1"/>
  <c r="A8851" i="1"/>
  <c r="E8851" i="1"/>
  <c r="F8851" i="1"/>
  <c r="B8852" i="1"/>
  <c r="A8852" i="1"/>
  <c r="E8852" i="1"/>
  <c r="F8852" i="1"/>
  <c r="B8853" i="1"/>
  <c r="A8853" i="1"/>
  <c r="E8853" i="1"/>
  <c r="F8853" i="1"/>
  <c r="B8854" i="1"/>
  <c r="A8854" i="1"/>
  <c r="E8854" i="1"/>
  <c r="F8854" i="1"/>
  <c r="B8855" i="1"/>
  <c r="A8855" i="1"/>
  <c r="E8855" i="1"/>
  <c r="F8855" i="1"/>
  <c r="B8856" i="1"/>
  <c r="A8856" i="1"/>
  <c r="E8856" i="1"/>
  <c r="F8856" i="1"/>
  <c r="B8857" i="1"/>
  <c r="A8857" i="1"/>
  <c r="E8857" i="1"/>
  <c r="F8857" i="1"/>
  <c r="B8858" i="1"/>
  <c r="A8858" i="1"/>
  <c r="E8858" i="1"/>
  <c r="F8858" i="1"/>
  <c r="B8859" i="1"/>
  <c r="A8859" i="1"/>
  <c r="E8859" i="1"/>
  <c r="F8859" i="1"/>
  <c r="B8860" i="1"/>
  <c r="A8860" i="1"/>
  <c r="E8860" i="1"/>
  <c r="F8860" i="1"/>
  <c r="B8861" i="1"/>
  <c r="A8861" i="1"/>
  <c r="E8861" i="1"/>
  <c r="F8861" i="1"/>
  <c r="B8862" i="1"/>
  <c r="A8862" i="1"/>
  <c r="E8862" i="1"/>
  <c r="F8862" i="1"/>
  <c r="B8863" i="1"/>
  <c r="A8863" i="1"/>
  <c r="E8863" i="1"/>
  <c r="F8863" i="1"/>
  <c r="B8864" i="1"/>
  <c r="A8864" i="1"/>
  <c r="E8864" i="1"/>
  <c r="F8864" i="1"/>
  <c r="B8865" i="1"/>
  <c r="A8865" i="1"/>
  <c r="E8865" i="1"/>
  <c r="F8865" i="1"/>
  <c r="B8866" i="1"/>
  <c r="A8866" i="1"/>
  <c r="E8866" i="1"/>
  <c r="F8866" i="1"/>
  <c r="B8867" i="1"/>
  <c r="A8867" i="1"/>
  <c r="E8867" i="1"/>
  <c r="F8867" i="1"/>
  <c r="B8868" i="1"/>
  <c r="A8868" i="1"/>
  <c r="E8868" i="1"/>
  <c r="F8868" i="1"/>
  <c r="B8869" i="1"/>
  <c r="A8869" i="1"/>
  <c r="E8869" i="1"/>
  <c r="F8869" i="1"/>
  <c r="B8870" i="1"/>
  <c r="A8870" i="1"/>
  <c r="E8870" i="1"/>
  <c r="F8870" i="1"/>
  <c r="B8871" i="1"/>
  <c r="A8871" i="1"/>
  <c r="E8871" i="1"/>
  <c r="F8871" i="1"/>
  <c r="B8872" i="1"/>
  <c r="A8872" i="1"/>
  <c r="E8872" i="1"/>
  <c r="F8872" i="1"/>
  <c r="B8873" i="1"/>
  <c r="A8873" i="1"/>
  <c r="E8873" i="1"/>
  <c r="F8873" i="1"/>
  <c r="B8874" i="1"/>
  <c r="A8874" i="1"/>
  <c r="E8874" i="1"/>
  <c r="F8874" i="1"/>
  <c r="B8875" i="1"/>
  <c r="A8875" i="1"/>
  <c r="E8875" i="1"/>
  <c r="F8875" i="1"/>
  <c r="B8876" i="1"/>
  <c r="A8876" i="1"/>
  <c r="E8876" i="1"/>
  <c r="F8876" i="1"/>
  <c r="G8876" i="1"/>
  <c r="B8877" i="1"/>
  <c r="A8877" i="1"/>
  <c r="E8877" i="1"/>
  <c r="F8877" i="1"/>
  <c r="G8877" i="1"/>
  <c r="B8878" i="1"/>
  <c r="A8878" i="1"/>
  <c r="E8878" i="1"/>
  <c r="F8878" i="1"/>
  <c r="G8878" i="1"/>
  <c r="B8879" i="1"/>
  <c r="A8879" i="1"/>
  <c r="E8879" i="1"/>
  <c r="F8879" i="1"/>
  <c r="G8879" i="1"/>
  <c r="B8880" i="1"/>
  <c r="A8880" i="1"/>
  <c r="E8880" i="1"/>
  <c r="F8880" i="1"/>
  <c r="G8880" i="1"/>
  <c r="B8881" i="1"/>
  <c r="A8881" i="1"/>
  <c r="E8881" i="1"/>
  <c r="F8881" i="1"/>
  <c r="G8881" i="1"/>
  <c r="B8882" i="1"/>
  <c r="A8882" i="1"/>
  <c r="E8882" i="1"/>
  <c r="F8882" i="1"/>
  <c r="B8883" i="1"/>
  <c r="A8883" i="1"/>
  <c r="E8883" i="1"/>
  <c r="F8883" i="1"/>
  <c r="B8884" i="1"/>
  <c r="A8884" i="1"/>
  <c r="E8884" i="1"/>
  <c r="F8884" i="1"/>
  <c r="G8884" i="1"/>
  <c r="B8885" i="1"/>
  <c r="A8885" i="1"/>
  <c r="E8885" i="1"/>
  <c r="F8885" i="1"/>
  <c r="B8886" i="1"/>
  <c r="A8886" i="1"/>
  <c r="E8886" i="1"/>
  <c r="F8886" i="1"/>
  <c r="G8886" i="1"/>
  <c r="B8887" i="1"/>
  <c r="A8887" i="1"/>
  <c r="E8887" i="1"/>
  <c r="F8887" i="1"/>
  <c r="B8888" i="1"/>
  <c r="A8888" i="1"/>
  <c r="E8888" i="1"/>
  <c r="F8888" i="1"/>
  <c r="B8889" i="1"/>
  <c r="A8889" i="1"/>
  <c r="E8889" i="1"/>
  <c r="F8889" i="1"/>
  <c r="B8890" i="1"/>
  <c r="A8890" i="1"/>
  <c r="E8890" i="1"/>
  <c r="F8890" i="1"/>
  <c r="B8891" i="1"/>
  <c r="A8891" i="1"/>
  <c r="E8891" i="1"/>
  <c r="F8891" i="1"/>
  <c r="G8891" i="1"/>
  <c r="B8892" i="1"/>
  <c r="A8892" i="1"/>
  <c r="E8892" i="1"/>
  <c r="F8892" i="1"/>
  <c r="B8893" i="1"/>
  <c r="A8893" i="1"/>
  <c r="E8893" i="1"/>
  <c r="F8893" i="1"/>
  <c r="B8894" i="1"/>
  <c r="A8894" i="1"/>
  <c r="E8894" i="1"/>
  <c r="F8894" i="1"/>
  <c r="G8894" i="1"/>
  <c r="B8895" i="1"/>
  <c r="A8895" i="1"/>
  <c r="E8895" i="1"/>
  <c r="F8895" i="1"/>
  <c r="B8896" i="1"/>
  <c r="A8896" i="1"/>
  <c r="E8896" i="1"/>
  <c r="F8896" i="1"/>
  <c r="B8897" i="1"/>
  <c r="A8897" i="1"/>
  <c r="E8897" i="1"/>
  <c r="F8897" i="1"/>
  <c r="G8897" i="1"/>
  <c r="B8898" i="1"/>
  <c r="A8898" i="1"/>
  <c r="E8898" i="1"/>
  <c r="F8898" i="1"/>
  <c r="G8898" i="1"/>
  <c r="B8899" i="1"/>
  <c r="A8899" i="1"/>
  <c r="E8899" i="1"/>
  <c r="F8899" i="1"/>
  <c r="G8899" i="1"/>
  <c r="B8900" i="1"/>
  <c r="A8900" i="1"/>
  <c r="E8900" i="1"/>
  <c r="F8900" i="1"/>
  <c r="B8901" i="1"/>
  <c r="A8901" i="1"/>
  <c r="E8901" i="1"/>
  <c r="F8901" i="1"/>
  <c r="B8902" i="1"/>
  <c r="A8902" i="1"/>
  <c r="E8902" i="1"/>
  <c r="F8902" i="1"/>
  <c r="B8903" i="1"/>
  <c r="A8903" i="1"/>
  <c r="E8903" i="1"/>
  <c r="F8903" i="1"/>
  <c r="B8904" i="1"/>
  <c r="A8904" i="1"/>
  <c r="E8904" i="1"/>
  <c r="F8904" i="1"/>
  <c r="G8904" i="1"/>
  <c r="B8905" i="1"/>
  <c r="A8905" i="1"/>
  <c r="E8905" i="1"/>
  <c r="F8905" i="1"/>
  <c r="B8906" i="1"/>
  <c r="A8906" i="1"/>
  <c r="E8906" i="1"/>
  <c r="F8906" i="1"/>
  <c r="B8907" i="1"/>
  <c r="A8907" i="1"/>
  <c r="E8907" i="1"/>
  <c r="F8907" i="1"/>
  <c r="B8908" i="1"/>
  <c r="A8908" i="1"/>
  <c r="E8908" i="1"/>
  <c r="F8908" i="1"/>
  <c r="B8909" i="1"/>
  <c r="A8909" i="1"/>
  <c r="E8909" i="1"/>
  <c r="F8909" i="1"/>
  <c r="B8910" i="1"/>
  <c r="A8910" i="1"/>
  <c r="E8910" i="1"/>
  <c r="F8910" i="1"/>
  <c r="B8911" i="1"/>
  <c r="A8911" i="1"/>
  <c r="E8911" i="1"/>
  <c r="F8911" i="1"/>
  <c r="B8912" i="1"/>
  <c r="A8912" i="1"/>
  <c r="E8912" i="1"/>
  <c r="F8912" i="1"/>
  <c r="B8913" i="1"/>
  <c r="A8913" i="1"/>
  <c r="E8913" i="1"/>
  <c r="F8913" i="1"/>
  <c r="B8914" i="1"/>
  <c r="A8914" i="1"/>
  <c r="E8914" i="1"/>
  <c r="F8914" i="1"/>
  <c r="B8915" i="1"/>
  <c r="A8915" i="1"/>
  <c r="E8915" i="1"/>
  <c r="F8915" i="1"/>
  <c r="B8916" i="1"/>
  <c r="A8916" i="1"/>
  <c r="E8916" i="1"/>
  <c r="F8916" i="1"/>
  <c r="B8917" i="1"/>
  <c r="A8917" i="1"/>
  <c r="E8917" i="1"/>
  <c r="F8917" i="1"/>
  <c r="B8918" i="1"/>
  <c r="A8918" i="1"/>
  <c r="E8918" i="1"/>
  <c r="F8918" i="1"/>
  <c r="B8919" i="1"/>
  <c r="A8919" i="1"/>
  <c r="E8919" i="1"/>
  <c r="F8919" i="1"/>
  <c r="B8920" i="1"/>
  <c r="A8920" i="1"/>
  <c r="E8920" i="1"/>
  <c r="F8920" i="1"/>
  <c r="B8921" i="1"/>
  <c r="A8921" i="1"/>
  <c r="E8921" i="1"/>
  <c r="F8921" i="1"/>
  <c r="B8922" i="1"/>
  <c r="A8922" i="1"/>
  <c r="E8922" i="1"/>
  <c r="F8922" i="1"/>
  <c r="B8923" i="1"/>
  <c r="A8923" i="1"/>
  <c r="E8923" i="1"/>
  <c r="F8923" i="1"/>
  <c r="B8924" i="1"/>
  <c r="A8924" i="1"/>
  <c r="E8924" i="1"/>
  <c r="F8924" i="1"/>
  <c r="B8925" i="1"/>
  <c r="A8925" i="1"/>
  <c r="E8925" i="1"/>
  <c r="F8925" i="1"/>
  <c r="B8926" i="1"/>
  <c r="A8926" i="1"/>
  <c r="E8926" i="1"/>
  <c r="F8926" i="1"/>
  <c r="B8927" i="1"/>
  <c r="A8927" i="1"/>
  <c r="E8927" i="1"/>
  <c r="F8927" i="1"/>
  <c r="B8928" i="1"/>
  <c r="A8928" i="1"/>
  <c r="E8928" i="1"/>
  <c r="F8928" i="1"/>
  <c r="B8929" i="1"/>
  <c r="A8929" i="1"/>
  <c r="E8929" i="1"/>
  <c r="F8929" i="1"/>
  <c r="B8930" i="1"/>
  <c r="A8930" i="1"/>
  <c r="E8930" i="1"/>
  <c r="F8930" i="1"/>
  <c r="G8930" i="1"/>
  <c r="B8931" i="1"/>
  <c r="A8931" i="1"/>
  <c r="E8931" i="1"/>
  <c r="F8931" i="1"/>
  <c r="B8932" i="1"/>
  <c r="A8932" i="1"/>
  <c r="E8932" i="1"/>
  <c r="F8932" i="1"/>
  <c r="B8933" i="1"/>
  <c r="A8933" i="1"/>
  <c r="E8933" i="1"/>
  <c r="F8933" i="1"/>
  <c r="B8934" i="1"/>
  <c r="A8934" i="1"/>
  <c r="E8934" i="1"/>
  <c r="F8934" i="1"/>
  <c r="B8935" i="1"/>
  <c r="A8935" i="1"/>
  <c r="E8935" i="1"/>
  <c r="F8935" i="1"/>
  <c r="G8935" i="1"/>
  <c r="B8936" i="1"/>
  <c r="A8936" i="1"/>
  <c r="E8936" i="1"/>
  <c r="F8936" i="1"/>
  <c r="G8936" i="1"/>
  <c r="B8937" i="1"/>
  <c r="A8937" i="1"/>
  <c r="E8937" i="1"/>
  <c r="F8937" i="1"/>
  <c r="B8938" i="1"/>
  <c r="A8938" i="1"/>
  <c r="E8938" i="1"/>
  <c r="F8938" i="1"/>
  <c r="B8939" i="1"/>
  <c r="A8939" i="1"/>
  <c r="E8939" i="1"/>
  <c r="F8939" i="1"/>
  <c r="B8940" i="1"/>
  <c r="A8940" i="1"/>
  <c r="E8940" i="1"/>
  <c r="F8940" i="1"/>
  <c r="G8940" i="1"/>
  <c r="B8941" i="1"/>
  <c r="A8941" i="1"/>
  <c r="E8941" i="1"/>
  <c r="F8941" i="1"/>
  <c r="B8942" i="1"/>
  <c r="A8942" i="1"/>
  <c r="E8942" i="1"/>
  <c r="F8942" i="1"/>
  <c r="G8942" i="1"/>
  <c r="B8943" i="1"/>
  <c r="A8943" i="1"/>
  <c r="E8943" i="1"/>
  <c r="F8943" i="1"/>
  <c r="B8944" i="1"/>
  <c r="A8944" i="1"/>
  <c r="E8944" i="1"/>
  <c r="F8944" i="1"/>
  <c r="G8944" i="1"/>
  <c r="B8945" i="1"/>
  <c r="A8945" i="1"/>
  <c r="E8945" i="1"/>
  <c r="F8945" i="1"/>
  <c r="G8945" i="1"/>
  <c r="B8946" i="1"/>
  <c r="A8946" i="1"/>
  <c r="E8946" i="1"/>
  <c r="F8946" i="1"/>
  <c r="B8947" i="1"/>
  <c r="A8947" i="1"/>
  <c r="E8947" i="1"/>
  <c r="F8947" i="1"/>
  <c r="B8948" i="1"/>
  <c r="A8948" i="1"/>
  <c r="E8948" i="1"/>
  <c r="F8948" i="1"/>
  <c r="B8949" i="1"/>
  <c r="A8949" i="1"/>
  <c r="E8949" i="1"/>
  <c r="F8949" i="1"/>
  <c r="B8950" i="1"/>
  <c r="A8950" i="1"/>
  <c r="E8950" i="1"/>
  <c r="F8950" i="1"/>
  <c r="B8951" i="1"/>
  <c r="A8951" i="1"/>
  <c r="E8951" i="1"/>
  <c r="F8951" i="1"/>
  <c r="B8952" i="1"/>
  <c r="A8952" i="1"/>
  <c r="E8952" i="1"/>
  <c r="F8952" i="1"/>
  <c r="B8953" i="1"/>
  <c r="A8953" i="1"/>
  <c r="E8953" i="1"/>
  <c r="F8953" i="1"/>
  <c r="B8954" i="1"/>
  <c r="A8954" i="1"/>
  <c r="E8954" i="1"/>
  <c r="F8954" i="1"/>
  <c r="B8955" i="1"/>
  <c r="A8955" i="1"/>
  <c r="E8955" i="1"/>
  <c r="F8955" i="1"/>
  <c r="B8956" i="1"/>
  <c r="A8956" i="1"/>
  <c r="E8956" i="1"/>
  <c r="F8956" i="1"/>
  <c r="B8957" i="1"/>
  <c r="A8957" i="1"/>
  <c r="E8957" i="1"/>
  <c r="F8957" i="1"/>
  <c r="B8958" i="1"/>
  <c r="A8958" i="1"/>
  <c r="E8958" i="1"/>
  <c r="F8958" i="1"/>
  <c r="B8959" i="1"/>
  <c r="A8959" i="1"/>
  <c r="E8959" i="1"/>
  <c r="F8959" i="1"/>
  <c r="B8960" i="1"/>
  <c r="A8960" i="1"/>
  <c r="E8960" i="1"/>
  <c r="F8960" i="1"/>
  <c r="B8961" i="1"/>
  <c r="A8961" i="1"/>
  <c r="E8961" i="1"/>
  <c r="F8961" i="1"/>
  <c r="B8962" i="1"/>
  <c r="A8962" i="1"/>
  <c r="E8962" i="1"/>
  <c r="F8962" i="1"/>
  <c r="B8963" i="1"/>
  <c r="A8963" i="1"/>
  <c r="E8963" i="1"/>
  <c r="F8963" i="1"/>
  <c r="B8964" i="1"/>
  <c r="A8964" i="1"/>
  <c r="E8964" i="1"/>
  <c r="F8964" i="1"/>
  <c r="B8965" i="1"/>
  <c r="A8965" i="1"/>
  <c r="E8965" i="1"/>
  <c r="F8965" i="1"/>
  <c r="B8966" i="1"/>
  <c r="A8966" i="1"/>
  <c r="E8966" i="1"/>
  <c r="F8966" i="1"/>
  <c r="B8967" i="1"/>
  <c r="A8967" i="1"/>
  <c r="E8967" i="1"/>
  <c r="F8967" i="1"/>
  <c r="B8968" i="1"/>
  <c r="A8968" i="1"/>
  <c r="E8968" i="1"/>
  <c r="F8968" i="1"/>
  <c r="B8969" i="1"/>
  <c r="A8969" i="1"/>
  <c r="E8969" i="1"/>
  <c r="F8969" i="1"/>
  <c r="G8969" i="1"/>
  <c r="B8970" i="1"/>
  <c r="A8970" i="1"/>
  <c r="E8970" i="1"/>
  <c r="F8970" i="1"/>
  <c r="B8971" i="1"/>
  <c r="A8971" i="1"/>
  <c r="E8971" i="1"/>
  <c r="F8971" i="1"/>
  <c r="B8972" i="1"/>
  <c r="A8972" i="1"/>
  <c r="E8972" i="1"/>
  <c r="F8972" i="1"/>
  <c r="B8973" i="1"/>
  <c r="A8973" i="1"/>
  <c r="E8973" i="1"/>
  <c r="F8973" i="1"/>
  <c r="B8974" i="1"/>
  <c r="A8974" i="1"/>
  <c r="E8974" i="1"/>
  <c r="F8974" i="1"/>
  <c r="B8975" i="1"/>
  <c r="A8975" i="1"/>
  <c r="E8975" i="1"/>
  <c r="F8975" i="1"/>
  <c r="B8976" i="1"/>
  <c r="A8976" i="1"/>
  <c r="E8976" i="1"/>
  <c r="F8976" i="1"/>
  <c r="B8977" i="1"/>
  <c r="A8977" i="1"/>
  <c r="E8977" i="1"/>
  <c r="F8977" i="1"/>
  <c r="B8978" i="1"/>
  <c r="A8978" i="1"/>
  <c r="E8978" i="1"/>
  <c r="F8978" i="1"/>
  <c r="B8979" i="1"/>
  <c r="A8979" i="1"/>
  <c r="E8979" i="1"/>
  <c r="F8979" i="1"/>
  <c r="B8980" i="1"/>
  <c r="A8980" i="1"/>
  <c r="E8980" i="1"/>
  <c r="F8980" i="1"/>
  <c r="B8981" i="1"/>
  <c r="A8981" i="1"/>
  <c r="E8981" i="1"/>
  <c r="F8981" i="1"/>
  <c r="B8982" i="1"/>
  <c r="A8982" i="1"/>
  <c r="E8982" i="1"/>
  <c r="F8982" i="1"/>
  <c r="B8983" i="1"/>
  <c r="A8983" i="1"/>
  <c r="E8983" i="1"/>
  <c r="F8983" i="1"/>
  <c r="B8984" i="1"/>
  <c r="A8984" i="1"/>
  <c r="E8984" i="1"/>
  <c r="F8984" i="1"/>
  <c r="B8985" i="1"/>
  <c r="A8985" i="1"/>
  <c r="E8985" i="1"/>
  <c r="F8985" i="1"/>
  <c r="B8986" i="1"/>
  <c r="A8986" i="1"/>
  <c r="E8986" i="1"/>
  <c r="F8986" i="1"/>
  <c r="B8987" i="1"/>
  <c r="A8987" i="1"/>
  <c r="E8987" i="1"/>
  <c r="F8987" i="1"/>
  <c r="B8988" i="1"/>
  <c r="A8988" i="1"/>
  <c r="E8988" i="1"/>
  <c r="F8988" i="1"/>
  <c r="B8989" i="1"/>
  <c r="A8989" i="1"/>
  <c r="E8989" i="1"/>
  <c r="F8989" i="1"/>
  <c r="B8990" i="1"/>
  <c r="A8990" i="1"/>
  <c r="E8990" i="1"/>
  <c r="F8990" i="1"/>
  <c r="B8991" i="1"/>
  <c r="A8991" i="1"/>
  <c r="E8991" i="1"/>
  <c r="F8991" i="1"/>
  <c r="B8992" i="1"/>
  <c r="A8992" i="1"/>
  <c r="E8992" i="1"/>
  <c r="F8992" i="1"/>
  <c r="G8992" i="1"/>
  <c r="B8993" i="1"/>
  <c r="A8993" i="1"/>
  <c r="E8993" i="1"/>
  <c r="F8993" i="1"/>
  <c r="G8993" i="1"/>
  <c r="B8994" i="1"/>
  <c r="A8994" i="1"/>
  <c r="E8994" i="1"/>
  <c r="F8994" i="1"/>
  <c r="G8994" i="1"/>
  <c r="B8995" i="1"/>
  <c r="A8995" i="1"/>
  <c r="E8995" i="1"/>
  <c r="F8995" i="1"/>
  <c r="G8995" i="1"/>
  <c r="B8996" i="1"/>
  <c r="A8996" i="1"/>
  <c r="E8996" i="1"/>
  <c r="F8996" i="1"/>
  <c r="G8996" i="1"/>
  <c r="B8997" i="1"/>
  <c r="A8997" i="1"/>
  <c r="E8997" i="1"/>
  <c r="F8997" i="1"/>
  <c r="G8997" i="1"/>
  <c r="B8998" i="1"/>
  <c r="A8998" i="1"/>
  <c r="E8998" i="1"/>
  <c r="F8998" i="1"/>
  <c r="G8998" i="1"/>
  <c r="B8999" i="1"/>
  <c r="A8999" i="1"/>
  <c r="E8999" i="1"/>
  <c r="F8999" i="1"/>
  <c r="G8999" i="1"/>
  <c r="B9000" i="1"/>
  <c r="A9000" i="1"/>
  <c r="E9000" i="1"/>
  <c r="F9000" i="1"/>
  <c r="B9001" i="1"/>
  <c r="A9001" i="1"/>
  <c r="E9001" i="1"/>
  <c r="F9001" i="1"/>
  <c r="B9002" i="1"/>
  <c r="A9002" i="1"/>
  <c r="E9002" i="1"/>
  <c r="F9002" i="1"/>
  <c r="B9003" i="1"/>
  <c r="A9003" i="1"/>
  <c r="E9003" i="1"/>
  <c r="F9003" i="1"/>
  <c r="B9004" i="1"/>
  <c r="A9004" i="1"/>
  <c r="E9004" i="1"/>
  <c r="F9004" i="1"/>
  <c r="B9005" i="1"/>
  <c r="A9005" i="1"/>
  <c r="E9005" i="1"/>
  <c r="F9005" i="1"/>
  <c r="B9006" i="1"/>
  <c r="A9006" i="1"/>
  <c r="E9006" i="1"/>
  <c r="F9006" i="1"/>
  <c r="B9007" i="1"/>
  <c r="A9007" i="1"/>
  <c r="E9007" i="1"/>
  <c r="F9007" i="1"/>
  <c r="B9008" i="1"/>
  <c r="A9008" i="1"/>
  <c r="E9008" i="1"/>
  <c r="F9008" i="1"/>
  <c r="B9009" i="1"/>
  <c r="A9009" i="1"/>
  <c r="E9009" i="1"/>
  <c r="F9009" i="1"/>
  <c r="B9010" i="1"/>
  <c r="A9010" i="1"/>
  <c r="E9010" i="1"/>
  <c r="F9010" i="1"/>
  <c r="B9011" i="1"/>
  <c r="A9011" i="1"/>
  <c r="E9011" i="1"/>
  <c r="F9011" i="1"/>
  <c r="B9012" i="1"/>
  <c r="A9012" i="1"/>
  <c r="E9012" i="1"/>
  <c r="F9012" i="1"/>
  <c r="B9013" i="1"/>
  <c r="A9013" i="1"/>
  <c r="E9013" i="1"/>
  <c r="F9013" i="1"/>
  <c r="B9014" i="1"/>
  <c r="A9014" i="1"/>
  <c r="E9014" i="1"/>
  <c r="F9014" i="1"/>
  <c r="B9015" i="1"/>
  <c r="A9015" i="1"/>
  <c r="E9015" i="1"/>
  <c r="F9015" i="1"/>
  <c r="B9016" i="1"/>
  <c r="A9016" i="1"/>
  <c r="E9016" i="1"/>
  <c r="F9016" i="1"/>
  <c r="G9016" i="1"/>
  <c r="B9017" i="1"/>
  <c r="A9017" i="1"/>
  <c r="E9017" i="1"/>
  <c r="F9017" i="1"/>
  <c r="B9018" i="1"/>
  <c r="A9018" i="1"/>
  <c r="E9018" i="1"/>
  <c r="F9018" i="1"/>
  <c r="B9019" i="1"/>
  <c r="A9019" i="1"/>
  <c r="E9019" i="1"/>
  <c r="F9019" i="1"/>
  <c r="B9020" i="1"/>
  <c r="A9020" i="1"/>
  <c r="E9020" i="1"/>
  <c r="F9020" i="1"/>
  <c r="B9021" i="1"/>
  <c r="A9021" i="1"/>
  <c r="E9021" i="1"/>
  <c r="F9021" i="1"/>
  <c r="B9022" i="1"/>
  <c r="A9022" i="1"/>
  <c r="E9022" i="1"/>
  <c r="F9022" i="1"/>
  <c r="B9023" i="1"/>
  <c r="A9023" i="1"/>
  <c r="E9023" i="1"/>
  <c r="F9023" i="1"/>
  <c r="B9024" i="1"/>
  <c r="A9024" i="1"/>
  <c r="E9024" i="1"/>
  <c r="F9024" i="1"/>
  <c r="B9025" i="1"/>
  <c r="A9025" i="1"/>
  <c r="E9025" i="1"/>
  <c r="F9025" i="1"/>
  <c r="G9025" i="1"/>
  <c r="B9026" i="1"/>
  <c r="A9026" i="1"/>
  <c r="E9026" i="1"/>
  <c r="F9026" i="1"/>
  <c r="G9026" i="1"/>
  <c r="B9027" i="1"/>
  <c r="A9027" i="1"/>
  <c r="E9027" i="1"/>
  <c r="F9027" i="1"/>
  <c r="B9028" i="1"/>
  <c r="A9028" i="1"/>
  <c r="E9028" i="1"/>
  <c r="F9028" i="1"/>
  <c r="G9028" i="1"/>
  <c r="B9029" i="1"/>
  <c r="A9029" i="1"/>
  <c r="E9029" i="1"/>
  <c r="F9029" i="1"/>
  <c r="B9030" i="1"/>
  <c r="A9030" i="1"/>
  <c r="E9030" i="1"/>
  <c r="F9030" i="1"/>
  <c r="G9030" i="1"/>
  <c r="B9031" i="1"/>
  <c r="A9031" i="1"/>
  <c r="E9031" i="1"/>
  <c r="F9031" i="1"/>
  <c r="B9032" i="1"/>
  <c r="A9032" i="1"/>
  <c r="E9032" i="1"/>
  <c r="F9032" i="1"/>
  <c r="G9032" i="1"/>
  <c r="B9033" i="1"/>
  <c r="A9033" i="1"/>
  <c r="E9033" i="1"/>
  <c r="F9033" i="1"/>
  <c r="B9034" i="1"/>
  <c r="A9034" i="1"/>
  <c r="E9034" i="1"/>
  <c r="F9034" i="1"/>
  <c r="G9034" i="1"/>
  <c r="B9035" i="1"/>
  <c r="A9035" i="1"/>
  <c r="E9035" i="1"/>
  <c r="F9035" i="1"/>
  <c r="B9036" i="1"/>
  <c r="A9036" i="1"/>
  <c r="E9036" i="1"/>
  <c r="F9036" i="1"/>
  <c r="B9037" i="1"/>
  <c r="A9037" i="1"/>
  <c r="E9037" i="1"/>
  <c r="F9037" i="1"/>
  <c r="B9038" i="1"/>
  <c r="A9038" i="1"/>
  <c r="E9038" i="1"/>
  <c r="F9038" i="1"/>
  <c r="G9038" i="1"/>
  <c r="B9039" i="1"/>
  <c r="A9039" i="1"/>
  <c r="E9039" i="1"/>
  <c r="F9039" i="1"/>
  <c r="B9040" i="1"/>
  <c r="A9040" i="1"/>
  <c r="E9040" i="1"/>
  <c r="F9040" i="1"/>
  <c r="B9041" i="1"/>
  <c r="A9041" i="1"/>
  <c r="E9041" i="1"/>
  <c r="F9041" i="1"/>
  <c r="B9042" i="1"/>
  <c r="A9042" i="1"/>
  <c r="E9042" i="1"/>
  <c r="F9042" i="1"/>
  <c r="B9043" i="1"/>
  <c r="A9043" i="1"/>
  <c r="E9043" i="1"/>
  <c r="F9043" i="1"/>
  <c r="B9044" i="1"/>
  <c r="A9044" i="1"/>
  <c r="E9044" i="1"/>
  <c r="F9044" i="1"/>
  <c r="B9045" i="1"/>
  <c r="A9045" i="1"/>
  <c r="E9045" i="1"/>
  <c r="F9045" i="1"/>
  <c r="B9046" i="1"/>
  <c r="A9046" i="1"/>
  <c r="E9046" i="1"/>
  <c r="F9046" i="1"/>
  <c r="B9047" i="1"/>
  <c r="A9047" i="1"/>
  <c r="E9047" i="1"/>
  <c r="F9047" i="1"/>
  <c r="B9048" i="1"/>
  <c r="A9048" i="1"/>
  <c r="E9048" i="1"/>
  <c r="F9048" i="1"/>
  <c r="B9049" i="1"/>
  <c r="A9049" i="1"/>
  <c r="E9049" i="1"/>
  <c r="F9049" i="1"/>
  <c r="B9050" i="1"/>
  <c r="A9050" i="1"/>
  <c r="E9050" i="1"/>
  <c r="F9050" i="1"/>
  <c r="B9051" i="1"/>
  <c r="A9051" i="1"/>
  <c r="E9051" i="1"/>
  <c r="F9051" i="1"/>
  <c r="G9051" i="1"/>
  <c r="B9052" i="1"/>
  <c r="A9052" i="1"/>
  <c r="E9052" i="1"/>
  <c r="F9052" i="1"/>
  <c r="B9053" i="1"/>
  <c r="A9053" i="1"/>
  <c r="E9053" i="1"/>
  <c r="F9053" i="1"/>
  <c r="G9053" i="1"/>
  <c r="B9054" i="1"/>
  <c r="A9054" i="1"/>
  <c r="E9054" i="1"/>
  <c r="F9054" i="1"/>
  <c r="G9054" i="1"/>
  <c r="B9055" i="1"/>
  <c r="A9055" i="1"/>
  <c r="E9055" i="1"/>
  <c r="F9055" i="1"/>
  <c r="G9055" i="1"/>
  <c r="B9056" i="1"/>
  <c r="A9056" i="1"/>
  <c r="E9056" i="1"/>
  <c r="F9056" i="1"/>
  <c r="B9057" i="1"/>
  <c r="A9057" i="1"/>
  <c r="E9057" i="1"/>
  <c r="F9057" i="1"/>
  <c r="B9058" i="1"/>
  <c r="A9058" i="1"/>
  <c r="E9058" i="1"/>
  <c r="F9058" i="1"/>
  <c r="G9058" i="1"/>
  <c r="B9059" i="1"/>
  <c r="A9059" i="1"/>
  <c r="E9059" i="1"/>
  <c r="F9059" i="1"/>
  <c r="B9060" i="1"/>
  <c r="A9060" i="1"/>
  <c r="E9060" i="1"/>
  <c r="F9060" i="1"/>
  <c r="B9061" i="1"/>
  <c r="A9061" i="1"/>
  <c r="E9061" i="1"/>
  <c r="F9061" i="1"/>
  <c r="G9061" i="1"/>
  <c r="B9062" i="1"/>
  <c r="A9062" i="1"/>
  <c r="E9062" i="1"/>
  <c r="F9062" i="1"/>
  <c r="B9063" i="1"/>
  <c r="A9063" i="1"/>
  <c r="E9063" i="1"/>
  <c r="F9063" i="1"/>
  <c r="B9064" i="1"/>
  <c r="A9064" i="1"/>
  <c r="E9064" i="1"/>
  <c r="F9064" i="1"/>
  <c r="B9065" i="1"/>
  <c r="A9065" i="1"/>
  <c r="E9065" i="1"/>
  <c r="F9065" i="1"/>
  <c r="B9066" i="1"/>
  <c r="A9066" i="1"/>
  <c r="E9066" i="1"/>
  <c r="F9066" i="1"/>
  <c r="G9066" i="1"/>
  <c r="B9067" i="1"/>
  <c r="A9067" i="1"/>
  <c r="E9067" i="1"/>
  <c r="F9067" i="1"/>
  <c r="B9068" i="1"/>
  <c r="A9068" i="1"/>
  <c r="E9068" i="1"/>
  <c r="F9068" i="1"/>
  <c r="B9069" i="1"/>
  <c r="A9069" i="1"/>
  <c r="E9069" i="1"/>
  <c r="F9069" i="1"/>
  <c r="B9070" i="1"/>
  <c r="A9070" i="1"/>
  <c r="E9070" i="1"/>
  <c r="F9070" i="1"/>
  <c r="B9071" i="1"/>
  <c r="A9071" i="1"/>
  <c r="E9071" i="1"/>
  <c r="F9071" i="1"/>
  <c r="B9072" i="1"/>
  <c r="A9072" i="1"/>
  <c r="E9072" i="1"/>
  <c r="F9072" i="1"/>
  <c r="G9072" i="1"/>
  <c r="B9073" i="1"/>
  <c r="A9073" i="1"/>
  <c r="E9073" i="1"/>
  <c r="F9073" i="1"/>
  <c r="G9073" i="1"/>
  <c r="B9074" i="1"/>
  <c r="A9074" i="1"/>
  <c r="E9074" i="1"/>
  <c r="F9074" i="1"/>
  <c r="G9074" i="1"/>
  <c r="B9075" i="1"/>
  <c r="A9075" i="1"/>
  <c r="E9075" i="1"/>
  <c r="F9075" i="1"/>
  <c r="B9076" i="1"/>
  <c r="A9076" i="1"/>
  <c r="E9076" i="1"/>
  <c r="F9076" i="1"/>
  <c r="G9076" i="1"/>
  <c r="B9077" i="1"/>
  <c r="A9077" i="1"/>
  <c r="E9077" i="1"/>
  <c r="F9077" i="1"/>
  <c r="B9078" i="1"/>
  <c r="A9078" i="1"/>
  <c r="E9078" i="1"/>
  <c r="F9078" i="1"/>
  <c r="B9079" i="1"/>
  <c r="A9079" i="1"/>
  <c r="E9079" i="1"/>
  <c r="F9079" i="1"/>
  <c r="G9079" i="1"/>
  <c r="B9080" i="1"/>
  <c r="A9080" i="1"/>
  <c r="E9080" i="1"/>
  <c r="F9080" i="1"/>
  <c r="B9081" i="1"/>
  <c r="A9081" i="1"/>
  <c r="E9081" i="1"/>
  <c r="F9081" i="1"/>
  <c r="B9082" i="1"/>
  <c r="A9082" i="1"/>
  <c r="E9082" i="1"/>
  <c r="F9082" i="1"/>
  <c r="B9083" i="1"/>
  <c r="A9083" i="1"/>
  <c r="E9083" i="1"/>
  <c r="F9083" i="1"/>
  <c r="B9084" i="1"/>
  <c r="A9084" i="1"/>
  <c r="E9084" i="1"/>
  <c r="F9084" i="1"/>
  <c r="B9085" i="1"/>
  <c r="A9085" i="1"/>
  <c r="E9085" i="1"/>
  <c r="F9085" i="1"/>
  <c r="B9086" i="1"/>
  <c r="A9086" i="1"/>
  <c r="E9086" i="1"/>
  <c r="F9086" i="1"/>
  <c r="B9087" i="1"/>
  <c r="A9087" i="1"/>
  <c r="E9087" i="1"/>
  <c r="F9087" i="1"/>
  <c r="B9088" i="1"/>
  <c r="A9088" i="1"/>
  <c r="E9088" i="1"/>
  <c r="F9088" i="1"/>
  <c r="B9089" i="1"/>
  <c r="A9089" i="1"/>
  <c r="E9089" i="1"/>
  <c r="F9089" i="1"/>
  <c r="B9090" i="1"/>
  <c r="A9090" i="1"/>
  <c r="E9090" i="1"/>
  <c r="F9090" i="1"/>
  <c r="B9091" i="1"/>
  <c r="A9091" i="1"/>
  <c r="E9091" i="1"/>
  <c r="F9091" i="1"/>
  <c r="B9092" i="1"/>
  <c r="A9092" i="1"/>
  <c r="E9092" i="1"/>
  <c r="F9092" i="1"/>
  <c r="G9092" i="1"/>
  <c r="B9093" i="1"/>
  <c r="A9093" i="1"/>
  <c r="E9093" i="1"/>
  <c r="F9093" i="1"/>
  <c r="B9094" i="1"/>
  <c r="A9094" i="1"/>
  <c r="E9094" i="1"/>
  <c r="F9094" i="1"/>
  <c r="B9095" i="1"/>
  <c r="A9095" i="1"/>
  <c r="E9095" i="1"/>
  <c r="F9095" i="1"/>
  <c r="B9096" i="1"/>
  <c r="A9096" i="1"/>
  <c r="E9096" i="1"/>
  <c r="F9096" i="1"/>
  <c r="B9097" i="1"/>
  <c r="A9097" i="1"/>
  <c r="E9097" i="1"/>
  <c r="F9097" i="1"/>
  <c r="B9098" i="1"/>
  <c r="A9098" i="1"/>
  <c r="E9098" i="1"/>
  <c r="F9098" i="1"/>
  <c r="G9098" i="1"/>
  <c r="B9099" i="1"/>
  <c r="A9099" i="1"/>
  <c r="E9099" i="1"/>
  <c r="F9099" i="1"/>
  <c r="G9099" i="1"/>
  <c r="B9100" i="1"/>
  <c r="A9100" i="1"/>
  <c r="E9100" i="1"/>
  <c r="F9100" i="1"/>
  <c r="G9100" i="1"/>
  <c r="B9101" i="1"/>
  <c r="A9101" i="1"/>
  <c r="E9101" i="1"/>
  <c r="F9101" i="1"/>
  <c r="G9101" i="1"/>
  <c r="B9102" i="1"/>
  <c r="A9102" i="1"/>
  <c r="E9102" i="1"/>
  <c r="F9102" i="1"/>
  <c r="B9103" i="1"/>
  <c r="A9103" i="1"/>
  <c r="E9103" i="1"/>
  <c r="F9103" i="1"/>
  <c r="B9104" i="1"/>
  <c r="A9104" i="1"/>
  <c r="E9104" i="1"/>
  <c r="F9104" i="1"/>
  <c r="B9105" i="1"/>
  <c r="A9105" i="1"/>
  <c r="E9105" i="1"/>
  <c r="F9105" i="1"/>
  <c r="G9105" i="1"/>
  <c r="B9106" i="1"/>
  <c r="A9106" i="1"/>
  <c r="E9106" i="1"/>
  <c r="F9106" i="1"/>
  <c r="B9107" i="1"/>
  <c r="A9107" i="1"/>
  <c r="E9107" i="1"/>
  <c r="F9107" i="1"/>
  <c r="G9107" i="1"/>
  <c r="B9108" i="1"/>
  <c r="A9108" i="1"/>
  <c r="E9108" i="1"/>
  <c r="F9108" i="1"/>
  <c r="B9109" i="1"/>
  <c r="A9109" i="1"/>
  <c r="E9109" i="1"/>
  <c r="F9109" i="1"/>
  <c r="B9110" i="1"/>
  <c r="A9110" i="1"/>
  <c r="E9110" i="1"/>
  <c r="F9110" i="1"/>
  <c r="B9111" i="1"/>
  <c r="A9111" i="1"/>
  <c r="E9111" i="1"/>
  <c r="F9111" i="1"/>
  <c r="B9112" i="1"/>
  <c r="A9112" i="1"/>
  <c r="E9112" i="1"/>
  <c r="F9112" i="1"/>
  <c r="B9113" i="1"/>
  <c r="A9113" i="1"/>
  <c r="E9113" i="1"/>
  <c r="F9113" i="1"/>
  <c r="B9114" i="1"/>
  <c r="A9114" i="1"/>
  <c r="E9114" i="1"/>
  <c r="F9114" i="1"/>
  <c r="B9115" i="1"/>
  <c r="A9115" i="1"/>
  <c r="E9115" i="1"/>
  <c r="B9116" i="1"/>
  <c r="A9116" i="1"/>
  <c r="E9116" i="1"/>
  <c r="B9117" i="1"/>
  <c r="A9117" i="1"/>
  <c r="E9117" i="1"/>
  <c r="B9118" i="1"/>
  <c r="A9118" i="1"/>
  <c r="E9118" i="1"/>
  <c r="B9119" i="1"/>
  <c r="A9119" i="1"/>
  <c r="E9119" i="1"/>
  <c r="F9119" i="1"/>
  <c r="B9120" i="1"/>
  <c r="A9120" i="1"/>
  <c r="E9120" i="1"/>
  <c r="B9121" i="1"/>
  <c r="A9121" i="1"/>
  <c r="E9121" i="1"/>
  <c r="B9122" i="1"/>
  <c r="A9122" i="1"/>
  <c r="E9122" i="1"/>
  <c r="B9123" i="1"/>
  <c r="A9123" i="1"/>
  <c r="E9123" i="1"/>
  <c r="B9124" i="1"/>
  <c r="A9124" i="1"/>
  <c r="E9124" i="1"/>
  <c r="B9125" i="1"/>
  <c r="A9125" i="1"/>
  <c r="E9125" i="1"/>
  <c r="A9126" i="1"/>
  <c r="E9126" i="1"/>
  <c r="A9127" i="1"/>
  <c r="E9127" i="1"/>
  <c r="A9128" i="1"/>
  <c r="E9128" i="1"/>
  <c r="A9129" i="1"/>
  <c r="E9129" i="1"/>
  <c r="B9130" i="1"/>
  <c r="A9130" i="1"/>
  <c r="E9130" i="1"/>
  <c r="B9131" i="1"/>
  <c r="A9131" i="1"/>
  <c r="E9131" i="1"/>
  <c r="B9132" i="1"/>
  <c r="A9132" i="1"/>
  <c r="E9132" i="1"/>
  <c r="G9132" i="1"/>
  <c r="B9133" i="1"/>
  <c r="A9133" i="1"/>
  <c r="E9133" i="1"/>
  <c r="B9134" i="1"/>
  <c r="A9134" i="1"/>
  <c r="E9134" i="1"/>
  <c r="B9135" i="1"/>
  <c r="A9135" i="1"/>
  <c r="E9135" i="1"/>
  <c r="B9136" i="1"/>
  <c r="A9136" i="1"/>
  <c r="E9136" i="1"/>
  <c r="B9137" i="1"/>
  <c r="A9137" i="1"/>
  <c r="E9137" i="1"/>
  <c r="B9138" i="1"/>
  <c r="A9138" i="1"/>
  <c r="E9138" i="1"/>
  <c r="B9139" i="1"/>
  <c r="A9139" i="1"/>
  <c r="E9139" i="1"/>
  <c r="B9140" i="1"/>
  <c r="A9140" i="1"/>
  <c r="E9140" i="1"/>
  <c r="B9141" i="1"/>
  <c r="A9141" i="1"/>
  <c r="E9141" i="1"/>
  <c r="B9142" i="1"/>
  <c r="A9142" i="1"/>
  <c r="E9142" i="1"/>
  <c r="B9143" i="1"/>
  <c r="A9143" i="1"/>
  <c r="E9143" i="1"/>
  <c r="B9144" i="1"/>
  <c r="A9144" i="1"/>
  <c r="E9144" i="1"/>
  <c r="B9145" i="1"/>
  <c r="A9145" i="1"/>
  <c r="E9145" i="1"/>
  <c r="B9146" i="1"/>
  <c r="A9146" i="1"/>
  <c r="E9146" i="1"/>
  <c r="B9147" i="1"/>
  <c r="A9147" i="1"/>
  <c r="E9147" i="1"/>
  <c r="B9148" i="1"/>
  <c r="A9148" i="1"/>
  <c r="E9148" i="1"/>
  <c r="B9149" i="1"/>
  <c r="A9149" i="1"/>
  <c r="E9149" i="1"/>
  <c r="B9150" i="1"/>
  <c r="A9150" i="1"/>
  <c r="E9150" i="1"/>
  <c r="B9151" i="1"/>
  <c r="A9151" i="1"/>
  <c r="E9151" i="1"/>
  <c r="B9152" i="1"/>
  <c r="A9152" i="1"/>
  <c r="E9152" i="1"/>
  <c r="B9153" i="1"/>
  <c r="A9153" i="1"/>
  <c r="E9153" i="1"/>
  <c r="B9154" i="1"/>
  <c r="A9154" i="1"/>
  <c r="E9154" i="1"/>
  <c r="B9155" i="1"/>
  <c r="A9155" i="1"/>
  <c r="E9155" i="1"/>
  <c r="B9156" i="1"/>
  <c r="A9156" i="1"/>
  <c r="E9156" i="1"/>
  <c r="B9157" i="1"/>
  <c r="A9157" i="1"/>
  <c r="E9157" i="1"/>
  <c r="B9158" i="1"/>
  <c r="A9158" i="1"/>
  <c r="E9158" i="1"/>
  <c r="B9159" i="1"/>
  <c r="A9159" i="1"/>
  <c r="E9159" i="1"/>
  <c r="B9160" i="1"/>
  <c r="A9160" i="1"/>
  <c r="E9160" i="1"/>
  <c r="B9161" i="1"/>
  <c r="A9161" i="1"/>
  <c r="E9161" i="1"/>
  <c r="B9162" i="1"/>
  <c r="A9162" i="1"/>
  <c r="E9162" i="1"/>
  <c r="B9163" i="1"/>
  <c r="A9163" i="1"/>
  <c r="E9163" i="1"/>
  <c r="B9164" i="1"/>
  <c r="A9164" i="1"/>
  <c r="E9164" i="1"/>
  <c r="B9165" i="1"/>
  <c r="A9165" i="1"/>
  <c r="E9165" i="1"/>
  <c r="B9166" i="1"/>
  <c r="A9166" i="1"/>
  <c r="E9166" i="1"/>
  <c r="B9167" i="1"/>
  <c r="A9167" i="1"/>
  <c r="E9167" i="1"/>
  <c r="B9168" i="1"/>
  <c r="A9168" i="1"/>
  <c r="E9168" i="1"/>
  <c r="B9169" i="1"/>
  <c r="A9169" i="1"/>
  <c r="E9169" i="1"/>
  <c r="B9170" i="1"/>
  <c r="A9170" i="1"/>
  <c r="E9170" i="1"/>
  <c r="B9171" i="1"/>
  <c r="A9171" i="1"/>
  <c r="E9171" i="1"/>
  <c r="B9172" i="1"/>
  <c r="A9172" i="1"/>
  <c r="E9172" i="1"/>
  <c r="B9173" i="1"/>
  <c r="A9173" i="1"/>
  <c r="E9173" i="1"/>
  <c r="B9174" i="1"/>
  <c r="A9174" i="1"/>
  <c r="E9174" i="1"/>
  <c r="B9175" i="1"/>
  <c r="A9175" i="1"/>
  <c r="E9175" i="1"/>
  <c r="B9176" i="1"/>
  <c r="A9176" i="1"/>
  <c r="E9176" i="1"/>
  <c r="B9177" i="1"/>
  <c r="A9177" i="1"/>
  <c r="E9177" i="1"/>
  <c r="B9178" i="1"/>
  <c r="A9178" i="1"/>
  <c r="E9178" i="1"/>
  <c r="B9179" i="1"/>
  <c r="A9179" i="1"/>
  <c r="E9179" i="1"/>
  <c r="B9180" i="1"/>
  <c r="A9180" i="1"/>
  <c r="E9180" i="1"/>
  <c r="B9181" i="1"/>
  <c r="A9181" i="1"/>
  <c r="E9181" i="1"/>
  <c r="B9182" i="1"/>
  <c r="A9182" i="1"/>
  <c r="E9182" i="1"/>
  <c r="B9183" i="1"/>
  <c r="A9183" i="1"/>
  <c r="E9183" i="1"/>
  <c r="B9184" i="1"/>
  <c r="A9184" i="1"/>
  <c r="E9184" i="1"/>
  <c r="B9185" i="1"/>
  <c r="A9185" i="1"/>
  <c r="E9185" i="1"/>
  <c r="B9186" i="1"/>
  <c r="A9186" i="1"/>
  <c r="E9186" i="1"/>
  <c r="B9187" i="1"/>
  <c r="A9187" i="1"/>
  <c r="E9187" i="1"/>
  <c r="B9188" i="1"/>
  <c r="A9188" i="1"/>
  <c r="E9188" i="1"/>
  <c r="B9189" i="1"/>
  <c r="A9189" i="1"/>
  <c r="E9189" i="1"/>
  <c r="A9190" i="1"/>
  <c r="E9190" i="1"/>
  <c r="A9191" i="1"/>
  <c r="E9191" i="1"/>
  <c r="A9192" i="1"/>
  <c r="E9192" i="1"/>
  <c r="B9193" i="1"/>
  <c r="A9193" i="1"/>
  <c r="E9193" i="1"/>
  <c r="B9194" i="1"/>
  <c r="A9194" i="1"/>
  <c r="E9194" i="1"/>
  <c r="B9195" i="1"/>
  <c r="A9195" i="1"/>
  <c r="E9195" i="1"/>
  <c r="B9196" i="1"/>
  <c r="A9196" i="1"/>
  <c r="E9196" i="1"/>
  <c r="A9197" i="1"/>
  <c r="E9197" i="1"/>
  <c r="A9198" i="1"/>
  <c r="E9198" i="1"/>
  <c r="B9199" i="1"/>
  <c r="A9199" i="1"/>
  <c r="E9199" i="1"/>
  <c r="B9200" i="1"/>
  <c r="A9200" i="1"/>
  <c r="E9200" i="1"/>
  <c r="B9201" i="1"/>
  <c r="A9201" i="1"/>
  <c r="E9201" i="1"/>
  <c r="B9202" i="1"/>
  <c r="A9202" i="1"/>
  <c r="E9202" i="1"/>
  <c r="B9203" i="1"/>
  <c r="A9203" i="1"/>
  <c r="E9203" i="1"/>
  <c r="B9204" i="1"/>
  <c r="A9204" i="1"/>
  <c r="E9204" i="1"/>
  <c r="B9205" i="1"/>
  <c r="A9205" i="1"/>
  <c r="E9205" i="1"/>
  <c r="B9206" i="1"/>
  <c r="A9206" i="1"/>
  <c r="E9206" i="1"/>
  <c r="B9207" i="1"/>
  <c r="A9207" i="1"/>
  <c r="E9207" i="1"/>
  <c r="G9207" i="1"/>
  <c r="B9208" i="1"/>
  <c r="A9208" i="1"/>
  <c r="E9208" i="1"/>
  <c r="B9209" i="1"/>
  <c r="A9209" i="1"/>
  <c r="E9209" i="1"/>
  <c r="B9210" i="1"/>
  <c r="A9210" i="1"/>
  <c r="E9210" i="1"/>
  <c r="A9211" i="1"/>
  <c r="E9211" i="1"/>
  <c r="B9212" i="1"/>
  <c r="A9212" i="1"/>
  <c r="E9212" i="1"/>
  <c r="B9213" i="1"/>
  <c r="A9213" i="1"/>
  <c r="E9213" i="1"/>
  <c r="B9214" i="1"/>
  <c r="A9214" i="1"/>
  <c r="E9214" i="1"/>
  <c r="B9215" i="1"/>
  <c r="A9215" i="1"/>
  <c r="E9215" i="1"/>
  <c r="B9216" i="1"/>
  <c r="A9216" i="1"/>
  <c r="E9216" i="1"/>
  <c r="B9217" i="1"/>
  <c r="A9217" i="1"/>
  <c r="E9217" i="1"/>
  <c r="B9218" i="1"/>
  <c r="A9218" i="1"/>
  <c r="E9218" i="1"/>
  <c r="B9219" i="1"/>
  <c r="A9219" i="1"/>
  <c r="E9219" i="1"/>
  <c r="B9220" i="1"/>
  <c r="A9220" i="1"/>
  <c r="E9220" i="1"/>
  <c r="B9221" i="1"/>
  <c r="A9221" i="1"/>
  <c r="E9221" i="1"/>
  <c r="B9222" i="1"/>
  <c r="A9222" i="1"/>
  <c r="E9222" i="1"/>
  <c r="B9223" i="1"/>
  <c r="A9223" i="1"/>
  <c r="E9223" i="1"/>
  <c r="B9224" i="1"/>
  <c r="A9224" i="1"/>
  <c r="E9224" i="1"/>
  <c r="B9225" i="1"/>
  <c r="A9225" i="1"/>
  <c r="E9225" i="1"/>
  <c r="B9226" i="1"/>
  <c r="A9226" i="1"/>
  <c r="E9226" i="1"/>
  <c r="B9227" i="1"/>
  <c r="A9227" i="1"/>
  <c r="E9227" i="1"/>
  <c r="B9228" i="1"/>
  <c r="A9228" i="1"/>
  <c r="E9228" i="1"/>
  <c r="B9229" i="1"/>
  <c r="A9229" i="1"/>
  <c r="E9229" i="1"/>
  <c r="B9230" i="1"/>
  <c r="A9230" i="1"/>
  <c r="E9230" i="1"/>
  <c r="B9231" i="1"/>
  <c r="A9231" i="1"/>
  <c r="E9231" i="1"/>
  <c r="B9232" i="1"/>
  <c r="A9232" i="1"/>
  <c r="E9232" i="1"/>
  <c r="B9233" i="1"/>
  <c r="A9233" i="1"/>
  <c r="E9233" i="1"/>
  <c r="B9234" i="1"/>
  <c r="A9234" i="1"/>
  <c r="E9234" i="1"/>
  <c r="B9235" i="1"/>
  <c r="A9235" i="1"/>
  <c r="E9235" i="1"/>
  <c r="B9236" i="1"/>
  <c r="A9236" i="1"/>
  <c r="E9236" i="1"/>
  <c r="B9237" i="1"/>
  <c r="A9237" i="1"/>
  <c r="E9237" i="1"/>
  <c r="B9238" i="1"/>
  <c r="A9238" i="1"/>
  <c r="E9238" i="1"/>
  <c r="B9239" i="1"/>
  <c r="A9239" i="1"/>
  <c r="E9239" i="1"/>
  <c r="B9240" i="1"/>
  <c r="A9240" i="1"/>
  <c r="E9240" i="1"/>
  <c r="B9241" i="1"/>
  <c r="A9241" i="1"/>
  <c r="E9241" i="1"/>
  <c r="B9242" i="1"/>
  <c r="A9242" i="1"/>
  <c r="E9242" i="1"/>
  <c r="B9243" i="1"/>
  <c r="A9243" i="1"/>
  <c r="E9243" i="1"/>
  <c r="B9244" i="1"/>
  <c r="A9244" i="1"/>
  <c r="E9244" i="1"/>
  <c r="B9245" i="1"/>
  <c r="A9245" i="1"/>
  <c r="E9245" i="1"/>
  <c r="B9246" i="1"/>
  <c r="A9246" i="1"/>
  <c r="E9246" i="1"/>
  <c r="B9247" i="1"/>
  <c r="A9247" i="1"/>
  <c r="E9247" i="1"/>
  <c r="B9248" i="1"/>
  <c r="A9248" i="1"/>
  <c r="E9248" i="1"/>
  <c r="B9249" i="1"/>
  <c r="A9249" i="1"/>
  <c r="E9249" i="1"/>
  <c r="B9250" i="1"/>
  <c r="A9250" i="1"/>
  <c r="E9250" i="1"/>
  <c r="B9251" i="1"/>
  <c r="A9251" i="1"/>
  <c r="E9251" i="1"/>
  <c r="B9252" i="1"/>
  <c r="A9252" i="1"/>
  <c r="E9252" i="1"/>
  <c r="A9253" i="1"/>
  <c r="E9253" i="1"/>
  <c r="A9254" i="1"/>
  <c r="E9254" i="1"/>
  <c r="B9255" i="1"/>
  <c r="A9255" i="1"/>
  <c r="E9255" i="1"/>
  <c r="B9256" i="1"/>
  <c r="A9256" i="1"/>
  <c r="E9256" i="1"/>
  <c r="G9256" i="1"/>
  <c r="B9257" i="1"/>
  <c r="A9257" i="1"/>
  <c r="E9257" i="1"/>
  <c r="B9258" i="1"/>
  <c r="A9258" i="1"/>
  <c r="E9258" i="1"/>
  <c r="B9259" i="1"/>
  <c r="A9259" i="1"/>
  <c r="E9259" i="1"/>
  <c r="B9260" i="1"/>
  <c r="A9260" i="1"/>
  <c r="E9260" i="1"/>
  <c r="B9261" i="1"/>
  <c r="A9261" i="1"/>
  <c r="E9261" i="1"/>
  <c r="B9262" i="1"/>
  <c r="A9262" i="1"/>
  <c r="E9262" i="1"/>
  <c r="B9263" i="1"/>
  <c r="A9263" i="1"/>
  <c r="E9263" i="1"/>
  <c r="B9264" i="1"/>
  <c r="A9264" i="1"/>
  <c r="E9264" i="1"/>
  <c r="B9265" i="1"/>
  <c r="A9265" i="1"/>
  <c r="E9265" i="1"/>
  <c r="B9266" i="1"/>
  <c r="A9266" i="1"/>
  <c r="E9266" i="1"/>
  <c r="G9266" i="1"/>
  <c r="B9267" i="1"/>
  <c r="A9267" i="1"/>
  <c r="E9267" i="1"/>
  <c r="G9267" i="1"/>
  <c r="B9268" i="1"/>
  <c r="A9268" i="1"/>
  <c r="E9268" i="1"/>
  <c r="G9268" i="1"/>
  <c r="B9269" i="1"/>
  <c r="A9269" i="1"/>
  <c r="E9269" i="1"/>
  <c r="G9269" i="1"/>
  <c r="B9270" i="1"/>
  <c r="A9270" i="1"/>
  <c r="E9270" i="1"/>
  <c r="B9271" i="1"/>
  <c r="A9271" i="1"/>
  <c r="E9271" i="1"/>
  <c r="B9272" i="1"/>
  <c r="A9272" i="1"/>
  <c r="E9272" i="1"/>
  <c r="B9273" i="1"/>
  <c r="A9273" i="1"/>
  <c r="E9273" i="1"/>
  <c r="B9274" i="1"/>
  <c r="A9274" i="1"/>
  <c r="E9274" i="1"/>
  <c r="B9275" i="1"/>
  <c r="A9275" i="1"/>
  <c r="E9275" i="1"/>
  <c r="B9276" i="1"/>
  <c r="A9276" i="1"/>
  <c r="E9276" i="1"/>
  <c r="B9277" i="1"/>
  <c r="A9277" i="1"/>
  <c r="E9277" i="1"/>
  <c r="B9278" i="1"/>
  <c r="A9278" i="1"/>
  <c r="E9278" i="1"/>
  <c r="B9279" i="1"/>
  <c r="A9279" i="1"/>
  <c r="E9279" i="1"/>
  <c r="B9280" i="1"/>
  <c r="A9280" i="1"/>
  <c r="E9280" i="1"/>
  <c r="B9281" i="1"/>
  <c r="A9281" i="1"/>
  <c r="E9281" i="1"/>
  <c r="B9282" i="1"/>
  <c r="A9282" i="1"/>
  <c r="E9282" i="1"/>
  <c r="B9283" i="1"/>
  <c r="A9283" i="1"/>
  <c r="E9283" i="1"/>
  <c r="B9284" i="1"/>
  <c r="A9284" i="1"/>
  <c r="E9284" i="1"/>
  <c r="B9285" i="1"/>
  <c r="A9285" i="1"/>
  <c r="E9285" i="1"/>
  <c r="B9286" i="1"/>
  <c r="A9286" i="1"/>
  <c r="E9286" i="1"/>
  <c r="B9287" i="1"/>
  <c r="A9287" i="1"/>
  <c r="E9287" i="1"/>
  <c r="B9288" i="1"/>
  <c r="A9288" i="1"/>
  <c r="E9288" i="1"/>
  <c r="B9289" i="1"/>
  <c r="A9289" i="1"/>
  <c r="E9289" i="1"/>
  <c r="B9290" i="1"/>
  <c r="A9290" i="1"/>
  <c r="E9290" i="1"/>
  <c r="B9291" i="1"/>
  <c r="A9291" i="1"/>
  <c r="E9291" i="1"/>
  <c r="B9292" i="1"/>
  <c r="A9292" i="1"/>
  <c r="E9292" i="1"/>
  <c r="B9293" i="1"/>
  <c r="A9293" i="1"/>
  <c r="E9293" i="1"/>
  <c r="B9294" i="1"/>
  <c r="A9294" i="1"/>
  <c r="E9294" i="1"/>
  <c r="B9295" i="1"/>
  <c r="A9295" i="1"/>
  <c r="E9295" i="1"/>
  <c r="B9296" i="1"/>
  <c r="A9296" i="1"/>
  <c r="E9296" i="1"/>
  <c r="B9297" i="1"/>
  <c r="A9297" i="1"/>
  <c r="E9297" i="1"/>
  <c r="B9298" i="1"/>
  <c r="A9298" i="1"/>
  <c r="E9298" i="1"/>
  <c r="B9299" i="1"/>
  <c r="A9299" i="1"/>
  <c r="E9299" i="1"/>
  <c r="B9300" i="1"/>
  <c r="A9300" i="1"/>
  <c r="E9300" i="1"/>
  <c r="B9301" i="1"/>
  <c r="A9301" i="1"/>
  <c r="E9301" i="1"/>
  <c r="B9302" i="1"/>
  <c r="A9302" i="1"/>
  <c r="E9302" i="1"/>
  <c r="B9303" i="1"/>
  <c r="A9303" i="1"/>
  <c r="E9303" i="1"/>
  <c r="B9304" i="1"/>
  <c r="A9304" i="1"/>
  <c r="E9304" i="1"/>
  <c r="B9305" i="1"/>
  <c r="A9305" i="1"/>
  <c r="E9305" i="1"/>
  <c r="B9306" i="1"/>
  <c r="A9306" i="1"/>
  <c r="E9306" i="1"/>
  <c r="B9307" i="1"/>
  <c r="A9307" i="1"/>
  <c r="E9307" i="1"/>
  <c r="B9308" i="1"/>
  <c r="A9308" i="1"/>
  <c r="E9308" i="1"/>
  <c r="B9309" i="1"/>
  <c r="A9309" i="1"/>
  <c r="E9309" i="1"/>
  <c r="B9310" i="1"/>
  <c r="A9310" i="1"/>
  <c r="E9310" i="1"/>
  <c r="B9311" i="1"/>
  <c r="A9311" i="1"/>
  <c r="E9311" i="1"/>
  <c r="B9312" i="1"/>
  <c r="A9312" i="1"/>
  <c r="E9312" i="1"/>
  <c r="B9313" i="1"/>
  <c r="A9313" i="1"/>
  <c r="E9313" i="1"/>
  <c r="B9314" i="1"/>
  <c r="A9314" i="1"/>
  <c r="E9314" i="1"/>
  <c r="B9315" i="1"/>
  <c r="A9315" i="1"/>
  <c r="E9315" i="1"/>
  <c r="B9316" i="1"/>
  <c r="A9316" i="1"/>
  <c r="E9316" i="1"/>
  <c r="B9317" i="1"/>
  <c r="A9317" i="1"/>
  <c r="E9317" i="1"/>
  <c r="B9318" i="1"/>
  <c r="A9318" i="1"/>
  <c r="E9318" i="1"/>
  <c r="B9319" i="1"/>
  <c r="A9319" i="1"/>
  <c r="E9319" i="1"/>
  <c r="B9320" i="1"/>
  <c r="A9320" i="1"/>
  <c r="E9320" i="1"/>
  <c r="B9321" i="1"/>
  <c r="A9321" i="1"/>
  <c r="E9321" i="1"/>
  <c r="B9322" i="1"/>
  <c r="A9322" i="1"/>
  <c r="E9322" i="1"/>
  <c r="B9323" i="1"/>
  <c r="A9323" i="1"/>
  <c r="E9323" i="1"/>
  <c r="B9324" i="1"/>
  <c r="A9324" i="1"/>
  <c r="E9324" i="1"/>
  <c r="B9325" i="1"/>
  <c r="A9325" i="1"/>
  <c r="E9325" i="1"/>
  <c r="B9326" i="1"/>
  <c r="A9326" i="1"/>
  <c r="E9326" i="1"/>
  <c r="B9327" i="1"/>
  <c r="A9327" i="1"/>
  <c r="E9327" i="1"/>
  <c r="B9328" i="1"/>
  <c r="A9328" i="1"/>
  <c r="E9328" i="1"/>
  <c r="B9329" i="1"/>
  <c r="A9329" i="1"/>
  <c r="E9329" i="1"/>
  <c r="B9330" i="1"/>
  <c r="A9330" i="1"/>
  <c r="E9330" i="1"/>
  <c r="B9331" i="1"/>
  <c r="A9331" i="1"/>
  <c r="E9331" i="1"/>
  <c r="B9332" i="1"/>
  <c r="A9332" i="1"/>
  <c r="E9332" i="1"/>
  <c r="B9333" i="1"/>
  <c r="A9333" i="1"/>
  <c r="E9333" i="1"/>
  <c r="B9334" i="1"/>
  <c r="A9334" i="1"/>
  <c r="E9334" i="1"/>
  <c r="B9335" i="1"/>
  <c r="A9335" i="1"/>
  <c r="E9335" i="1"/>
  <c r="B9336" i="1"/>
  <c r="A9336" i="1"/>
  <c r="E9336" i="1"/>
  <c r="B9337" i="1"/>
  <c r="A9337" i="1"/>
  <c r="E9337" i="1"/>
  <c r="B9338" i="1"/>
  <c r="A9338" i="1"/>
  <c r="E9338" i="1"/>
  <c r="B9339" i="1"/>
  <c r="A9339" i="1"/>
  <c r="E9339" i="1"/>
  <c r="B9340" i="1"/>
  <c r="A9340" i="1"/>
  <c r="E9340" i="1"/>
  <c r="B9341" i="1"/>
  <c r="A9341" i="1"/>
  <c r="E9341" i="1"/>
  <c r="B9342" i="1"/>
  <c r="A9342" i="1"/>
  <c r="E9342" i="1"/>
  <c r="B9343" i="1"/>
  <c r="A9343" i="1"/>
  <c r="E9343" i="1"/>
  <c r="B9344" i="1"/>
  <c r="A9344" i="1"/>
  <c r="E9344" i="1"/>
  <c r="B9345" i="1"/>
  <c r="A9345" i="1"/>
  <c r="E9345" i="1"/>
  <c r="B9346" i="1"/>
  <c r="A9346" i="1"/>
  <c r="E9346" i="1"/>
  <c r="B9347" i="1"/>
  <c r="A9347" i="1"/>
  <c r="E9347" i="1"/>
  <c r="B9348" i="1"/>
  <c r="A9348" i="1"/>
  <c r="E9348" i="1"/>
  <c r="B9349" i="1"/>
  <c r="A9349" i="1"/>
  <c r="E9349" i="1"/>
  <c r="B9350" i="1"/>
  <c r="A9350" i="1"/>
  <c r="E9350" i="1"/>
  <c r="F9350" i="1"/>
  <c r="B9351" i="1"/>
  <c r="A9351" i="1"/>
  <c r="E9351" i="1"/>
  <c r="F9351" i="1"/>
  <c r="G9351" i="1"/>
  <c r="B9352" i="1"/>
  <c r="A9352" i="1"/>
  <c r="E9352" i="1"/>
  <c r="F9352" i="1"/>
  <c r="B9353" i="1"/>
  <c r="A9353" i="1"/>
  <c r="E9353" i="1"/>
  <c r="F9353" i="1"/>
  <c r="B9354" i="1"/>
  <c r="A9354" i="1"/>
  <c r="E9354" i="1"/>
  <c r="F9354" i="1"/>
  <c r="B9355" i="1"/>
  <c r="A9355" i="1"/>
  <c r="E9355" i="1"/>
  <c r="F9355" i="1"/>
  <c r="B9356" i="1"/>
  <c r="A9356" i="1"/>
  <c r="E9356" i="1"/>
  <c r="F9356" i="1"/>
  <c r="B9357" i="1"/>
  <c r="A9357" i="1"/>
  <c r="E9357" i="1"/>
  <c r="F9357" i="1"/>
  <c r="B9358" i="1"/>
  <c r="A9358" i="1"/>
  <c r="E9358" i="1"/>
  <c r="F9358" i="1"/>
  <c r="G9358" i="1"/>
  <c r="B9359" i="1"/>
  <c r="A9359" i="1"/>
  <c r="E9359" i="1"/>
  <c r="B9360" i="1"/>
  <c r="A9360" i="1"/>
  <c r="E9360" i="1"/>
  <c r="B9361" i="1"/>
  <c r="A9361" i="1"/>
  <c r="E9361" i="1"/>
  <c r="B9362" i="1"/>
  <c r="A9362" i="1"/>
  <c r="E9362" i="1"/>
  <c r="B9363" i="1"/>
  <c r="A9363" i="1"/>
  <c r="E9363" i="1"/>
  <c r="B9364" i="1"/>
  <c r="A9364" i="1"/>
  <c r="E9364" i="1"/>
  <c r="B9365" i="1"/>
  <c r="A9365" i="1"/>
  <c r="E9365" i="1"/>
  <c r="B9366" i="1"/>
  <c r="A9366" i="1"/>
  <c r="E9366" i="1"/>
  <c r="B9367" i="1"/>
  <c r="A9367" i="1"/>
  <c r="E9367" i="1"/>
  <c r="B9368" i="1"/>
  <c r="A9368" i="1"/>
  <c r="E9368" i="1"/>
  <c r="B9369" i="1"/>
  <c r="A9369" i="1"/>
  <c r="E9369" i="1"/>
  <c r="B9370" i="1"/>
  <c r="A9370" i="1"/>
  <c r="E9370" i="1"/>
  <c r="B9371" i="1"/>
  <c r="A9371" i="1"/>
  <c r="E9371" i="1"/>
  <c r="B9372" i="1"/>
  <c r="A9372" i="1"/>
  <c r="E9372" i="1"/>
  <c r="B9373" i="1"/>
  <c r="A9373" i="1"/>
  <c r="E9373" i="1"/>
  <c r="B9374" i="1"/>
  <c r="A9374" i="1"/>
  <c r="E9374" i="1"/>
  <c r="B9375" i="1"/>
  <c r="A9375" i="1"/>
  <c r="E9375" i="1"/>
  <c r="B9376" i="1"/>
  <c r="A9376" i="1"/>
  <c r="E9376" i="1"/>
  <c r="B9377" i="1"/>
  <c r="A9377" i="1"/>
  <c r="E9377" i="1"/>
  <c r="B9378" i="1"/>
  <c r="A9378" i="1"/>
  <c r="E9378" i="1"/>
  <c r="B9379" i="1"/>
  <c r="A9379" i="1"/>
  <c r="E9379" i="1"/>
  <c r="B9380" i="1"/>
  <c r="A9380" i="1"/>
  <c r="E9380" i="1"/>
  <c r="B9381" i="1"/>
  <c r="A9381" i="1"/>
  <c r="E9381" i="1"/>
  <c r="B9382" i="1"/>
  <c r="A9382" i="1"/>
  <c r="E9382" i="1"/>
  <c r="B9383" i="1"/>
  <c r="A9383" i="1"/>
  <c r="E9383" i="1"/>
  <c r="B9384" i="1"/>
  <c r="A9384" i="1"/>
  <c r="E9384" i="1"/>
  <c r="B9385" i="1"/>
  <c r="A9385" i="1"/>
  <c r="E9385" i="1"/>
  <c r="B9386" i="1"/>
  <c r="A9386" i="1"/>
  <c r="E9386" i="1"/>
  <c r="B9387" i="1"/>
  <c r="A9387" i="1"/>
  <c r="E9387" i="1"/>
  <c r="B9388" i="1"/>
  <c r="A9388" i="1"/>
  <c r="E9388" i="1"/>
  <c r="B9389" i="1"/>
  <c r="A9389" i="1"/>
  <c r="E9389" i="1"/>
  <c r="B9390" i="1"/>
  <c r="A9390" i="1"/>
  <c r="E9390" i="1"/>
  <c r="B9391" i="1"/>
  <c r="A9391" i="1"/>
  <c r="E9391" i="1"/>
  <c r="B9392" i="1"/>
  <c r="A9392" i="1"/>
  <c r="E9392" i="1"/>
  <c r="B9393" i="1"/>
  <c r="A9393" i="1"/>
  <c r="E9393" i="1"/>
  <c r="B9394" i="1"/>
  <c r="A9394" i="1"/>
  <c r="E9394" i="1"/>
  <c r="B9395" i="1"/>
  <c r="A9395" i="1"/>
  <c r="E9395" i="1"/>
  <c r="B9396" i="1"/>
  <c r="A9396" i="1"/>
  <c r="E9396" i="1"/>
  <c r="B9397" i="1"/>
  <c r="A9397" i="1"/>
  <c r="E9397" i="1"/>
  <c r="B9398" i="1"/>
  <c r="A9398" i="1"/>
  <c r="E9398" i="1"/>
  <c r="B9399" i="1"/>
  <c r="A9399" i="1"/>
  <c r="E9399" i="1"/>
  <c r="B9400" i="1"/>
  <c r="A9400" i="1"/>
  <c r="E9400" i="1"/>
  <c r="A9401" i="1"/>
  <c r="E9401" i="1"/>
  <c r="B9402" i="1"/>
  <c r="A9402" i="1"/>
  <c r="E9402" i="1"/>
  <c r="B9403" i="1"/>
  <c r="A9403" i="1"/>
  <c r="E9403" i="1"/>
  <c r="B9404" i="1"/>
  <c r="A9404" i="1"/>
  <c r="E9404" i="1"/>
  <c r="B9405" i="1"/>
  <c r="A9405" i="1"/>
  <c r="E9405" i="1"/>
  <c r="B9406" i="1"/>
  <c r="A9406" i="1"/>
  <c r="E9406" i="1"/>
  <c r="B9407" i="1"/>
  <c r="A9407" i="1"/>
  <c r="E9407" i="1"/>
  <c r="B9408" i="1"/>
  <c r="A9408" i="1"/>
  <c r="E9408" i="1"/>
  <c r="B9409" i="1"/>
  <c r="A9409" i="1"/>
  <c r="E9409" i="1"/>
  <c r="B9410" i="1"/>
  <c r="A9410" i="1"/>
  <c r="E9410" i="1"/>
  <c r="B9411" i="1"/>
  <c r="A9411" i="1"/>
  <c r="E9411" i="1"/>
  <c r="B9412" i="1"/>
  <c r="A9412" i="1"/>
  <c r="E9412" i="1"/>
  <c r="B9413" i="1"/>
  <c r="A9413" i="1"/>
  <c r="E9413" i="1"/>
  <c r="B9414" i="1"/>
  <c r="A9414" i="1"/>
  <c r="E9414" i="1"/>
  <c r="B9415" i="1"/>
  <c r="A9415" i="1"/>
  <c r="E9415" i="1"/>
  <c r="B9416" i="1"/>
  <c r="A9416" i="1"/>
  <c r="E9416" i="1"/>
  <c r="B9417" i="1"/>
  <c r="A9417" i="1"/>
  <c r="E9417" i="1"/>
  <c r="B9418" i="1"/>
  <c r="A9418" i="1"/>
  <c r="E9418" i="1"/>
  <c r="B9419" i="1"/>
  <c r="A9419" i="1"/>
  <c r="E9419" i="1"/>
  <c r="B9420" i="1"/>
  <c r="A9420" i="1"/>
  <c r="E9420" i="1"/>
  <c r="B9421" i="1"/>
  <c r="A9421" i="1"/>
  <c r="E9421" i="1"/>
  <c r="B9422" i="1"/>
  <c r="A9422" i="1"/>
  <c r="E9422" i="1"/>
  <c r="B9423" i="1"/>
  <c r="A9423" i="1"/>
  <c r="E9423" i="1"/>
  <c r="B9424" i="1"/>
  <c r="A9424" i="1"/>
  <c r="E9424" i="1"/>
  <c r="B9425" i="1"/>
  <c r="A9425" i="1"/>
  <c r="E9425" i="1"/>
  <c r="B9426" i="1"/>
  <c r="A9426" i="1"/>
  <c r="E9426" i="1"/>
  <c r="B9427" i="1"/>
  <c r="A9427" i="1"/>
  <c r="E9427" i="1"/>
  <c r="B9428" i="1"/>
  <c r="A9428" i="1"/>
  <c r="E9428" i="1"/>
  <c r="A9429" i="1"/>
  <c r="E9429" i="1"/>
  <c r="B9430" i="1"/>
  <c r="A9430" i="1"/>
  <c r="E9430" i="1"/>
  <c r="G9430" i="1"/>
  <c r="B9431" i="1"/>
  <c r="A9431" i="1"/>
  <c r="E9431" i="1"/>
  <c r="F9431" i="1"/>
  <c r="B9432" i="1"/>
  <c r="A9432" i="1"/>
  <c r="E9432" i="1"/>
  <c r="F9432" i="1"/>
  <c r="B9433" i="1"/>
  <c r="A9433" i="1"/>
  <c r="E9433" i="1"/>
  <c r="F9433" i="1"/>
  <c r="B9434" i="1"/>
  <c r="A9434" i="1"/>
  <c r="E9434" i="1"/>
  <c r="F9434" i="1"/>
  <c r="B9435" i="1"/>
  <c r="A9435" i="1"/>
  <c r="E9435" i="1"/>
  <c r="F9435" i="1"/>
  <c r="B9436" i="1"/>
  <c r="A9436" i="1"/>
  <c r="E9436" i="1"/>
  <c r="F9436" i="1"/>
  <c r="B9437" i="1"/>
  <c r="A9437" i="1"/>
  <c r="E9437" i="1"/>
  <c r="F9437" i="1"/>
  <c r="B9438" i="1"/>
  <c r="A9438" i="1"/>
  <c r="E9438" i="1"/>
  <c r="F9438" i="1"/>
  <c r="B9439" i="1"/>
  <c r="A9439" i="1"/>
  <c r="E9439" i="1"/>
  <c r="F9439" i="1"/>
  <c r="B9440" i="1"/>
  <c r="A9440" i="1"/>
  <c r="E9440" i="1"/>
  <c r="F9440" i="1"/>
  <c r="B9441" i="1"/>
  <c r="A9441" i="1"/>
  <c r="E9441" i="1"/>
  <c r="F9441" i="1"/>
  <c r="B9442" i="1"/>
  <c r="A9442" i="1"/>
  <c r="E9442" i="1"/>
  <c r="F9442" i="1"/>
  <c r="B9443" i="1"/>
  <c r="A9443" i="1"/>
  <c r="E9443" i="1"/>
  <c r="F9443" i="1"/>
  <c r="B9444" i="1"/>
  <c r="A9444" i="1"/>
  <c r="E9444" i="1"/>
  <c r="F9444" i="1"/>
  <c r="B9445" i="1"/>
  <c r="A9445" i="1"/>
  <c r="E9445" i="1"/>
  <c r="F9445" i="1"/>
  <c r="B9446" i="1"/>
  <c r="A9446" i="1"/>
  <c r="E9446" i="1"/>
  <c r="F9446" i="1"/>
  <c r="B9447" i="1"/>
  <c r="A9447" i="1"/>
  <c r="E9447" i="1"/>
  <c r="F9447" i="1"/>
  <c r="B9448" i="1"/>
  <c r="A9448" i="1"/>
  <c r="E9448" i="1"/>
  <c r="F9448" i="1"/>
  <c r="B9449" i="1"/>
  <c r="A9449" i="1"/>
  <c r="E9449" i="1"/>
  <c r="F9449" i="1"/>
  <c r="B9450" i="1"/>
  <c r="A9450" i="1"/>
  <c r="E9450" i="1"/>
  <c r="F9450" i="1"/>
  <c r="B9451" i="1"/>
  <c r="A9451" i="1"/>
  <c r="E9451" i="1"/>
  <c r="F9451" i="1"/>
  <c r="B9452" i="1"/>
  <c r="A9452" i="1"/>
  <c r="E9452" i="1"/>
  <c r="F9452" i="1"/>
  <c r="B9453" i="1"/>
  <c r="A9453" i="1"/>
  <c r="E9453" i="1"/>
  <c r="F9453" i="1"/>
  <c r="B9454" i="1"/>
  <c r="A9454" i="1"/>
  <c r="E9454" i="1"/>
  <c r="F9454" i="1"/>
  <c r="G9454" i="1"/>
  <c r="B9455" i="1"/>
  <c r="A9455" i="1"/>
  <c r="E9455" i="1"/>
  <c r="B9456" i="1"/>
  <c r="A9456" i="1"/>
  <c r="E9456" i="1"/>
  <c r="F9456" i="1"/>
  <c r="G9456" i="1"/>
  <c r="B9457" i="1"/>
  <c r="A9457" i="1"/>
  <c r="E9457" i="1"/>
  <c r="F9457" i="1"/>
  <c r="B9458" i="1"/>
  <c r="A9458" i="1"/>
  <c r="E9458" i="1"/>
  <c r="F9458" i="1"/>
  <c r="B9459" i="1"/>
  <c r="A9459" i="1"/>
  <c r="E9459" i="1"/>
  <c r="F9459" i="1"/>
  <c r="B9460" i="1"/>
  <c r="A9460" i="1"/>
  <c r="E9460" i="1"/>
  <c r="F9460" i="1"/>
  <c r="B9461" i="1"/>
  <c r="A9461" i="1"/>
  <c r="E9461" i="1"/>
  <c r="F9461" i="1"/>
  <c r="G9461" i="1"/>
  <c r="B9462" i="1"/>
  <c r="A9462" i="1"/>
  <c r="E9462" i="1"/>
  <c r="F9462" i="1"/>
  <c r="B9463" i="1"/>
  <c r="A9463" i="1"/>
  <c r="E9463" i="1"/>
  <c r="F9463" i="1"/>
  <c r="B9464" i="1"/>
  <c r="A9464" i="1"/>
  <c r="E9464" i="1"/>
  <c r="F9464" i="1"/>
  <c r="G9464" i="1"/>
  <c r="B9465" i="1"/>
  <c r="A9465" i="1"/>
  <c r="E9465" i="1"/>
  <c r="F9465" i="1"/>
  <c r="G9465" i="1"/>
  <c r="B9466" i="1"/>
  <c r="A9466" i="1"/>
  <c r="E9466" i="1"/>
  <c r="F9466" i="1"/>
  <c r="B9467" i="1"/>
  <c r="A9467" i="1"/>
  <c r="E9467" i="1"/>
  <c r="F9467" i="1"/>
  <c r="B9468" i="1"/>
  <c r="A9468" i="1"/>
  <c r="E9468" i="1"/>
  <c r="F9468" i="1"/>
  <c r="B9469" i="1"/>
  <c r="A9469" i="1"/>
  <c r="E9469" i="1"/>
  <c r="F9469" i="1"/>
  <c r="B9470" i="1"/>
  <c r="A9470" i="1"/>
  <c r="E9470" i="1"/>
  <c r="F9470" i="1"/>
  <c r="B9471" i="1"/>
  <c r="A9471" i="1"/>
  <c r="E9471" i="1"/>
  <c r="F9471" i="1"/>
  <c r="B9472" i="1"/>
  <c r="A9472" i="1"/>
  <c r="E9472" i="1"/>
  <c r="F9472" i="1"/>
  <c r="B9473" i="1"/>
  <c r="A9473" i="1"/>
  <c r="E9473" i="1"/>
  <c r="F9473" i="1"/>
  <c r="B9474" i="1"/>
  <c r="A9474" i="1"/>
  <c r="E9474" i="1"/>
  <c r="F9474" i="1"/>
  <c r="B9475" i="1"/>
  <c r="A9475" i="1"/>
  <c r="E9475" i="1"/>
  <c r="F9475" i="1"/>
  <c r="B9476" i="1"/>
  <c r="A9476" i="1"/>
  <c r="E9476" i="1"/>
  <c r="F9476" i="1"/>
  <c r="B9477" i="1"/>
  <c r="A9477" i="1"/>
  <c r="E9477" i="1"/>
  <c r="F9477" i="1"/>
  <c r="B9478" i="1"/>
  <c r="A9478" i="1"/>
  <c r="E9478" i="1"/>
  <c r="F9478" i="1"/>
  <c r="B9479" i="1"/>
  <c r="A9479" i="1"/>
  <c r="E9479" i="1"/>
  <c r="F9479" i="1"/>
  <c r="B9480" i="1"/>
  <c r="A9480" i="1"/>
  <c r="E9480" i="1"/>
  <c r="F9480" i="1"/>
  <c r="B9481" i="1"/>
  <c r="A9481" i="1"/>
  <c r="E9481" i="1"/>
  <c r="F9481" i="1"/>
  <c r="B9482" i="1"/>
  <c r="A9482" i="1"/>
  <c r="E9482" i="1"/>
  <c r="F9482" i="1"/>
  <c r="B9483" i="1"/>
  <c r="A9483" i="1"/>
  <c r="E9483" i="1"/>
  <c r="F9483" i="1"/>
  <c r="B9484" i="1"/>
  <c r="A9484" i="1"/>
  <c r="E9484" i="1"/>
  <c r="F9484" i="1"/>
  <c r="B9485" i="1"/>
  <c r="A9485" i="1"/>
  <c r="E9485" i="1"/>
  <c r="F9485" i="1"/>
  <c r="B9486" i="1"/>
  <c r="A9486" i="1"/>
  <c r="E9486" i="1"/>
  <c r="F9486" i="1"/>
  <c r="B9487" i="1"/>
  <c r="A9487" i="1"/>
  <c r="E9487" i="1"/>
  <c r="F9487" i="1"/>
  <c r="B9488" i="1"/>
  <c r="A9488" i="1"/>
  <c r="E9488" i="1"/>
  <c r="F9488" i="1"/>
  <c r="B9489" i="1"/>
  <c r="A9489" i="1"/>
  <c r="E9489" i="1"/>
  <c r="F9489" i="1"/>
  <c r="B9490" i="1"/>
  <c r="A9490" i="1"/>
  <c r="E9490" i="1"/>
  <c r="F9490" i="1"/>
  <c r="B9491" i="1"/>
  <c r="A9491" i="1"/>
  <c r="E9491" i="1"/>
  <c r="F9491" i="1"/>
  <c r="G9491" i="1"/>
  <c r="B9492" i="1"/>
  <c r="A9492" i="1"/>
  <c r="E9492" i="1"/>
  <c r="F9492" i="1"/>
  <c r="B9493" i="1"/>
  <c r="A9493" i="1"/>
  <c r="E9493" i="1"/>
  <c r="F9493" i="1"/>
  <c r="B9494" i="1"/>
  <c r="A9494" i="1"/>
  <c r="E9494" i="1"/>
  <c r="F9494" i="1"/>
  <c r="B9495" i="1"/>
  <c r="A9495" i="1"/>
  <c r="E9495" i="1"/>
  <c r="F9495" i="1"/>
  <c r="B9496" i="1"/>
  <c r="A9496" i="1"/>
  <c r="E9496" i="1"/>
  <c r="F9496" i="1"/>
  <c r="B9497" i="1"/>
  <c r="A9497" i="1"/>
  <c r="E9497" i="1"/>
  <c r="F9497" i="1"/>
  <c r="G9497" i="1"/>
  <c r="B9498" i="1"/>
  <c r="A9498" i="1"/>
  <c r="E9498" i="1"/>
  <c r="F9498" i="1"/>
  <c r="B9499" i="1"/>
  <c r="A9499" i="1"/>
  <c r="E9499" i="1"/>
  <c r="F9499" i="1"/>
  <c r="G9499" i="1"/>
  <c r="B9500" i="1"/>
  <c r="A9500" i="1"/>
  <c r="E9500" i="1"/>
  <c r="F9500" i="1"/>
  <c r="G9500" i="1"/>
  <c r="B9501" i="1"/>
  <c r="A9501" i="1"/>
  <c r="E9501" i="1"/>
  <c r="F9501" i="1"/>
  <c r="G9501" i="1"/>
  <c r="B9502" i="1"/>
  <c r="A9502" i="1"/>
  <c r="E9502" i="1"/>
  <c r="F9502" i="1"/>
  <c r="B9503" i="1"/>
  <c r="A9503" i="1"/>
  <c r="E9503" i="1"/>
  <c r="F9503" i="1"/>
  <c r="B9504" i="1"/>
  <c r="A9504" i="1"/>
  <c r="E9504" i="1"/>
  <c r="F9504" i="1"/>
  <c r="G9504" i="1"/>
  <c r="B9505" i="1"/>
  <c r="A9505" i="1"/>
  <c r="E9505" i="1"/>
  <c r="F9505" i="1"/>
  <c r="B9506" i="1"/>
  <c r="A9506" i="1"/>
  <c r="E9506" i="1"/>
  <c r="F9506" i="1"/>
  <c r="G9506" i="1"/>
  <c r="B9507" i="1"/>
  <c r="A9507" i="1"/>
  <c r="E9507" i="1"/>
  <c r="F9507" i="1"/>
  <c r="G9507" i="1"/>
  <c r="B9508" i="1"/>
  <c r="A9508" i="1"/>
  <c r="E9508" i="1"/>
  <c r="F9508" i="1"/>
  <c r="B9509" i="1"/>
  <c r="A9509" i="1"/>
  <c r="E9509" i="1"/>
  <c r="F9509" i="1"/>
  <c r="B9510" i="1"/>
  <c r="A9510" i="1"/>
  <c r="E9510" i="1"/>
  <c r="F9510" i="1"/>
  <c r="G9510" i="1"/>
  <c r="B9511" i="1"/>
  <c r="A9511" i="1"/>
  <c r="E9511" i="1"/>
  <c r="F9511" i="1"/>
  <c r="G9511" i="1"/>
  <c r="B9512" i="1"/>
  <c r="A9512" i="1"/>
  <c r="E9512" i="1"/>
  <c r="F9512" i="1"/>
  <c r="B9513" i="1"/>
  <c r="A9513" i="1"/>
  <c r="E9513" i="1"/>
  <c r="F9513" i="1"/>
  <c r="B9514" i="1"/>
  <c r="A9514" i="1"/>
  <c r="E9514" i="1"/>
  <c r="F9514" i="1"/>
  <c r="B9515" i="1"/>
  <c r="A9515" i="1"/>
  <c r="E9515" i="1"/>
  <c r="F9515" i="1"/>
  <c r="B9516" i="1"/>
  <c r="A9516" i="1"/>
  <c r="E9516" i="1"/>
  <c r="F9516" i="1"/>
  <c r="B9517" i="1"/>
  <c r="A9517" i="1"/>
  <c r="E9517" i="1"/>
  <c r="F9517" i="1"/>
  <c r="B9518" i="1"/>
  <c r="A9518" i="1"/>
  <c r="E9518" i="1"/>
  <c r="F9518" i="1"/>
  <c r="B9519" i="1"/>
  <c r="A9519" i="1"/>
  <c r="E9519" i="1"/>
  <c r="F9519" i="1"/>
  <c r="B9520" i="1"/>
  <c r="A9520" i="1"/>
  <c r="E9520" i="1"/>
  <c r="F9520" i="1"/>
  <c r="B9521" i="1"/>
  <c r="A9521" i="1"/>
  <c r="E9521" i="1"/>
  <c r="F9521" i="1"/>
  <c r="B9522" i="1"/>
  <c r="A9522" i="1"/>
  <c r="E9522" i="1"/>
  <c r="F9522" i="1"/>
  <c r="B9523" i="1"/>
  <c r="A9523" i="1"/>
  <c r="E9523" i="1"/>
  <c r="F9523" i="1"/>
  <c r="B9524" i="1"/>
  <c r="A9524" i="1"/>
  <c r="E9524" i="1"/>
  <c r="F9524" i="1"/>
  <c r="B9525" i="1"/>
  <c r="A9525" i="1"/>
  <c r="E9525" i="1"/>
  <c r="F9525" i="1"/>
  <c r="B9526" i="1"/>
  <c r="A9526" i="1"/>
  <c r="E9526" i="1"/>
  <c r="F9526" i="1"/>
  <c r="B9527" i="1"/>
  <c r="A9527" i="1"/>
  <c r="E9527" i="1"/>
  <c r="F9527" i="1"/>
  <c r="B9528" i="1"/>
  <c r="A9528" i="1"/>
  <c r="E9528" i="1"/>
  <c r="F9528" i="1"/>
  <c r="B9529" i="1"/>
  <c r="A9529" i="1"/>
  <c r="E9529" i="1"/>
  <c r="F9529" i="1"/>
  <c r="B9530" i="1"/>
  <c r="A9530" i="1"/>
  <c r="E9530" i="1"/>
  <c r="F9530" i="1"/>
  <c r="B9531" i="1"/>
  <c r="A9531" i="1"/>
  <c r="E9531" i="1"/>
  <c r="F9531" i="1"/>
  <c r="B9532" i="1"/>
  <c r="A9532" i="1"/>
  <c r="E9532" i="1"/>
  <c r="F9532" i="1"/>
  <c r="B9533" i="1"/>
  <c r="A9533" i="1"/>
  <c r="E9533" i="1"/>
  <c r="F9533" i="1"/>
  <c r="G9533" i="1"/>
  <c r="B9534" i="1"/>
  <c r="A9534" i="1"/>
  <c r="E9534" i="1"/>
  <c r="F9534" i="1"/>
  <c r="B9535" i="1"/>
  <c r="A9535" i="1"/>
  <c r="E9535" i="1"/>
  <c r="B9536" i="1"/>
  <c r="A9536" i="1"/>
  <c r="E9536" i="1"/>
  <c r="B9537" i="1"/>
  <c r="A9537" i="1"/>
  <c r="E9537" i="1"/>
  <c r="B9538" i="1"/>
  <c r="A9538" i="1"/>
  <c r="E9538" i="1"/>
  <c r="B9539" i="1"/>
  <c r="A9539" i="1"/>
  <c r="E9539" i="1"/>
  <c r="B9540" i="1"/>
  <c r="A9540" i="1"/>
  <c r="E9540" i="1"/>
  <c r="B9541" i="1"/>
  <c r="A9541" i="1"/>
  <c r="E9541" i="1"/>
  <c r="B9542" i="1"/>
  <c r="A9542" i="1"/>
  <c r="E9542" i="1"/>
  <c r="B9543" i="1"/>
  <c r="A9543" i="1"/>
  <c r="E9543" i="1"/>
  <c r="B9544" i="1"/>
  <c r="A9544" i="1"/>
  <c r="E9544" i="1"/>
  <c r="B9545" i="1"/>
  <c r="A9545" i="1"/>
  <c r="E9545" i="1"/>
  <c r="B9546" i="1"/>
  <c r="A9546" i="1"/>
  <c r="E9546" i="1"/>
  <c r="B9547" i="1"/>
  <c r="A9547" i="1"/>
  <c r="E9547" i="1"/>
  <c r="B9548" i="1"/>
  <c r="A9548" i="1"/>
  <c r="E9548" i="1"/>
  <c r="B9549" i="1"/>
  <c r="A9549" i="1"/>
  <c r="E9549" i="1"/>
  <c r="B9550" i="1"/>
  <c r="A9550" i="1"/>
  <c r="E9550" i="1"/>
  <c r="B9551" i="1"/>
  <c r="A9551" i="1"/>
  <c r="E9551" i="1"/>
  <c r="B9552" i="1"/>
  <c r="A9552" i="1"/>
  <c r="E9552" i="1"/>
  <c r="B9553" i="1"/>
  <c r="A9553" i="1"/>
  <c r="E9553" i="1"/>
  <c r="B9554" i="1"/>
  <c r="A9554" i="1"/>
  <c r="E9554" i="1"/>
  <c r="A9555" i="1"/>
  <c r="E9555" i="1"/>
  <c r="B9556" i="1"/>
  <c r="A9556" i="1"/>
  <c r="E9556" i="1"/>
  <c r="B9557" i="1"/>
  <c r="A9557" i="1"/>
  <c r="E9557" i="1"/>
  <c r="B9558" i="1"/>
  <c r="A9558" i="1"/>
  <c r="E9558" i="1"/>
  <c r="B9559" i="1"/>
  <c r="A9559" i="1"/>
  <c r="E9559" i="1"/>
  <c r="B9560" i="1"/>
  <c r="A9560" i="1"/>
  <c r="E9560" i="1"/>
  <c r="G9560" i="1"/>
  <c r="B9561" i="1"/>
  <c r="A9561" i="1"/>
  <c r="E9561" i="1"/>
  <c r="B9562" i="1"/>
  <c r="A9562" i="1"/>
  <c r="E9562" i="1"/>
  <c r="G9562" i="1"/>
  <c r="B9563" i="1"/>
  <c r="A9563" i="1"/>
  <c r="E9563" i="1"/>
  <c r="B9564" i="1"/>
  <c r="A9564" i="1"/>
  <c r="E9564" i="1"/>
  <c r="B9565" i="1"/>
  <c r="A9565" i="1"/>
  <c r="E9565" i="1"/>
  <c r="B9566" i="1"/>
  <c r="A9566" i="1"/>
  <c r="E9566" i="1"/>
  <c r="B9567" i="1"/>
  <c r="A9567" i="1"/>
  <c r="E9567" i="1"/>
  <c r="B9568" i="1"/>
  <c r="A9568" i="1"/>
  <c r="E9568" i="1"/>
  <c r="B9569" i="1"/>
  <c r="A9569" i="1"/>
  <c r="E9569" i="1"/>
  <c r="B9570" i="1"/>
  <c r="A9570" i="1"/>
  <c r="E9570" i="1"/>
  <c r="B9571" i="1"/>
  <c r="A9571" i="1"/>
  <c r="E9571" i="1"/>
  <c r="B9572" i="1"/>
  <c r="A9572" i="1"/>
  <c r="E9572" i="1"/>
  <c r="B9573" i="1"/>
  <c r="A9573" i="1"/>
  <c r="E9573" i="1"/>
  <c r="B9574" i="1"/>
  <c r="A9574" i="1"/>
  <c r="E9574" i="1"/>
  <c r="B9575" i="1"/>
  <c r="A9575" i="1"/>
  <c r="E9575" i="1"/>
  <c r="B9576" i="1"/>
  <c r="A9576" i="1"/>
  <c r="E9576" i="1"/>
  <c r="B9577" i="1"/>
  <c r="A9577" i="1"/>
  <c r="E9577" i="1"/>
  <c r="B9578" i="1"/>
  <c r="A9578" i="1"/>
  <c r="E9578" i="1"/>
  <c r="B9579" i="1"/>
  <c r="A9579" i="1"/>
  <c r="E9579" i="1"/>
  <c r="B9580" i="1"/>
  <c r="A9580" i="1"/>
  <c r="E9580" i="1"/>
  <c r="B9581" i="1"/>
  <c r="A9581" i="1"/>
  <c r="E9581" i="1"/>
  <c r="B9582" i="1"/>
  <c r="A9582" i="1"/>
  <c r="E9582" i="1"/>
  <c r="G9582" i="1"/>
  <c r="B9583" i="1"/>
  <c r="A9583" i="1"/>
  <c r="E9583" i="1"/>
  <c r="G9583" i="1"/>
  <c r="B9584" i="1"/>
  <c r="A9584" i="1"/>
  <c r="E9584" i="1"/>
  <c r="G9584" i="1"/>
  <c r="B9585" i="1"/>
  <c r="A9585" i="1"/>
  <c r="E9585" i="1"/>
  <c r="B9586" i="1"/>
  <c r="A9586" i="1"/>
  <c r="E9586" i="1"/>
  <c r="B9587" i="1"/>
  <c r="A9587" i="1"/>
  <c r="E9587" i="1"/>
  <c r="B9588" i="1"/>
  <c r="A9588" i="1"/>
  <c r="E9588" i="1"/>
  <c r="B9589" i="1"/>
  <c r="A9589" i="1"/>
  <c r="E9589" i="1"/>
  <c r="B9590" i="1"/>
  <c r="A9590" i="1"/>
  <c r="E9590" i="1"/>
  <c r="B9591" i="1"/>
  <c r="A9591" i="1"/>
  <c r="E9591" i="1"/>
  <c r="B9592" i="1"/>
  <c r="A9592" i="1"/>
  <c r="E9592" i="1"/>
  <c r="B9593" i="1"/>
  <c r="A9593" i="1"/>
  <c r="E9593" i="1"/>
  <c r="B9594" i="1"/>
  <c r="A9594" i="1"/>
  <c r="E9594" i="1"/>
  <c r="B9595" i="1"/>
  <c r="A9595" i="1"/>
  <c r="E9595" i="1"/>
  <c r="B9596" i="1"/>
  <c r="A9596" i="1"/>
  <c r="E9596" i="1"/>
  <c r="B9597" i="1"/>
  <c r="A9597" i="1"/>
  <c r="E9597" i="1"/>
  <c r="B9598" i="1"/>
  <c r="A9598" i="1"/>
  <c r="E9598" i="1"/>
  <c r="B9599" i="1"/>
  <c r="A9599" i="1"/>
  <c r="E9599" i="1"/>
  <c r="G9599" i="1"/>
  <c r="B9600" i="1"/>
  <c r="A9600" i="1"/>
  <c r="E9600" i="1"/>
  <c r="B9601" i="1"/>
  <c r="A9601" i="1"/>
  <c r="E9601" i="1"/>
  <c r="G9601" i="1"/>
  <c r="B9602" i="1"/>
  <c r="A9602" i="1"/>
  <c r="E9602" i="1"/>
  <c r="B9603" i="1"/>
  <c r="A9603" i="1"/>
  <c r="E9603" i="1"/>
  <c r="B9604" i="1"/>
  <c r="A9604" i="1"/>
  <c r="E9604" i="1"/>
  <c r="B9605" i="1"/>
  <c r="A9605" i="1"/>
  <c r="E9605" i="1"/>
  <c r="B9606" i="1"/>
  <c r="A9606" i="1"/>
  <c r="E9606" i="1"/>
  <c r="B9607" i="1"/>
  <c r="A9607" i="1"/>
  <c r="E9607" i="1"/>
  <c r="B9608" i="1"/>
  <c r="A9608" i="1"/>
  <c r="E9608" i="1"/>
  <c r="B9609" i="1"/>
  <c r="A9609" i="1"/>
  <c r="E9609" i="1"/>
  <c r="B9610" i="1"/>
  <c r="A9610" i="1"/>
  <c r="E9610" i="1"/>
  <c r="B9611" i="1"/>
  <c r="A9611" i="1"/>
  <c r="E9611" i="1"/>
  <c r="B9612" i="1"/>
  <c r="A9612" i="1"/>
  <c r="E9612" i="1"/>
  <c r="B9613" i="1"/>
  <c r="A9613" i="1"/>
  <c r="E9613" i="1"/>
  <c r="B9614" i="1"/>
  <c r="A9614" i="1"/>
  <c r="E9614" i="1"/>
  <c r="B9615" i="1"/>
  <c r="A9615" i="1"/>
  <c r="E9615" i="1"/>
  <c r="B9616" i="1"/>
  <c r="A9616" i="1"/>
  <c r="E9616" i="1"/>
  <c r="F9616" i="1"/>
  <c r="B9617" i="1"/>
  <c r="A9617" i="1"/>
  <c r="E9617" i="1"/>
  <c r="F9617" i="1"/>
  <c r="B9618" i="1"/>
  <c r="A9618" i="1"/>
  <c r="E9618" i="1"/>
  <c r="F9618" i="1"/>
  <c r="B9619" i="1"/>
  <c r="A9619" i="1"/>
  <c r="E9619" i="1"/>
  <c r="F9619" i="1"/>
  <c r="B9620" i="1"/>
  <c r="A9620" i="1"/>
  <c r="E9620" i="1"/>
  <c r="F9620" i="1"/>
  <c r="B9621" i="1"/>
  <c r="A9621" i="1"/>
  <c r="E9621" i="1"/>
  <c r="F9621" i="1"/>
  <c r="B9622" i="1"/>
  <c r="A9622" i="1"/>
  <c r="E9622" i="1"/>
  <c r="F9622" i="1"/>
  <c r="B9623" i="1"/>
  <c r="A9623" i="1"/>
  <c r="E9623" i="1"/>
  <c r="F9623" i="1"/>
  <c r="B9624" i="1"/>
  <c r="A9624" i="1"/>
  <c r="E9624" i="1"/>
  <c r="F9624" i="1"/>
  <c r="B9625" i="1"/>
  <c r="A9625" i="1"/>
  <c r="E9625" i="1"/>
  <c r="F9625" i="1"/>
  <c r="B9626" i="1"/>
  <c r="A9626" i="1"/>
  <c r="E9626" i="1"/>
  <c r="F9626" i="1"/>
  <c r="B9627" i="1"/>
  <c r="A9627" i="1"/>
  <c r="E9627" i="1"/>
  <c r="F9627" i="1"/>
  <c r="B9628" i="1"/>
  <c r="A9628" i="1"/>
  <c r="E9628" i="1"/>
  <c r="F9628" i="1"/>
  <c r="B9629" i="1"/>
  <c r="A9629" i="1"/>
  <c r="E9629" i="1"/>
  <c r="F9629" i="1"/>
  <c r="B9630" i="1"/>
  <c r="A9630" i="1"/>
  <c r="E9630" i="1"/>
  <c r="F9630" i="1"/>
  <c r="B9631" i="1"/>
  <c r="A9631" i="1"/>
  <c r="E9631" i="1"/>
  <c r="F9631" i="1"/>
  <c r="B9632" i="1"/>
  <c r="A9632" i="1"/>
  <c r="E9632" i="1"/>
  <c r="F9632" i="1"/>
  <c r="B9633" i="1"/>
  <c r="A9633" i="1"/>
  <c r="E9633" i="1"/>
  <c r="F9633" i="1"/>
  <c r="B9634" i="1"/>
  <c r="A9634" i="1"/>
  <c r="E9634" i="1"/>
  <c r="F9634" i="1"/>
  <c r="B9635" i="1"/>
  <c r="A9635" i="1"/>
  <c r="E9635" i="1"/>
  <c r="F9635" i="1"/>
  <c r="B9636" i="1"/>
  <c r="A9636" i="1"/>
  <c r="E9636" i="1"/>
  <c r="F9636" i="1"/>
  <c r="B9637" i="1"/>
  <c r="A9637" i="1"/>
  <c r="E9637" i="1"/>
  <c r="F9637" i="1"/>
  <c r="B9638" i="1"/>
  <c r="A9638" i="1"/>
  <c r="E9638" i="1"/>
  <c r="F9638" i="1"/>
  <c r="B9639" i="1"/>
  <c r="A9639" i="1"/>
  <c r="E9639" i="1"/>
  <c r="F9639" i="1"/>
  <c r="B9640" i="1"/>
  <c r="A9640" i="1"/>
  <c r="E9640" i="1"/>
  <c r="F9640" i="1"/>
  <c r="B9641" i="1"/>
  <c r="A9641" i="1"/>
  <c r="E9641" i="1"/>
  <c r="F9641" i="1"/>
  <c r="B9642" i="1"/>
  <c r="A9642" i="1"/>
  <c r="E9642" i="1"/>
  <c r="F9642" i="1"/>
  <c r="B9643" i="1"/>
  <c r="A9643" i="1"/>
  <c r="E9643" i="1"/>
  <c r="F9643" i="1"/>
  <c r="B9644" i="1"/>
  <c r="A9644" i="1"/>
  <c r="E9644" i="1"/>
  <c r="F9644" i="1"/>
  <c r="B9645" i="1"/>
  <c r="A9645" i="1"/>
  <c r="E9645" i="1"/>
  <c r="F9645" i="1"/>
  <c r="B9646" i="1"/>
  <c r="A9646" i="1"/>
  <c r="E9646" i="1"/>
  <c r="F9646" i="1"/>
  <c r="B9647" i="1"/>
  <c r="A9647" i="1"/>
  <c r="E9647" i="1"/>
  <c r="F9647" i="1"/>
  <c r="B9648" i="1"/>
  <c r="A9648" i="1"/>
  <c r="E9648" i="1"/>
  <c r="F9648" i="1"/>
  <c r="G9648" i="1"/>
  <c r="B9649" i="1"/>
  <c r="A9649" i="1"/>
  <c r="E9649" i="1"/>
  <c r="F9649" i="1"/>
  <c r="G9649" i="1"/>
  <c r="B9650" i="1"/>
  <c r="A9650" i="1"/>
  <c r="E9650" i="1"/>
  <c r="F9650" i="1"/>
  <c r="G9650" i="1"/>
  <c r="B9651" i="1"/>
  <c r="A9651" i="1"/>
  <c r="E9651" i="1"/>
  <c r="F9651" i="1"/>
  <c r="B9652" i="1"/>
  <c r="A9652" i="1"/>
  <c r="E9652" i="1"/>
  <c r="F9652" i="1"/>
  <c r="G9652" i="1"/>
  <c r="B9653" i="1"/>
  <c r="A9653" i="1"/>
  <c r="E9653" i="1"/>
  <c r="F9653" i="1"/>
  <c r="B9654" i="1"/>
  <c r="A9654" i="1"/>
  <c r="E9654" i="1"/>
  <c r="F9654" i="1"/>
  <c r="B9655" i="1"/>
  <c r="A9655" i="1"/>
  <c r="E9655" i="1"/>
  <c r="F9655" i="1"/>
  <c r="B9656" i="1"/>
  <c r="A9656" i="1"/>
  <c r="E9656" i="1"/>
  <c r="F9656" i="1"/>
  <c r="B9657" i="1"/>
  <c r="A9657" i="1"/>
  <c r="E9657" i="1"/>
  <c r="F9657" i="1"/>
  <c r="B9658" i="1"/>
  <c r="A9658" i="1"/>
  <c r="E9658" i="1"/>
  <c r="F9658" i="1"/>
  <c r="B9659" i="1"/>
  <c r="A9659" i="1"/>
  <c r="E9659" i="1"/>
  <c r="F9659" i="1"/>
  <c r="G9659" i="1"/>
  <c r="B9660" i="1"/>
  <c r="A9660" i="1"/>
  <c r="E9660" i="1"/>
  <c r="F9660" i="1"/>
  <c r="G9660" i="1"/>
  <c r="B9661" i="1"/>
  <c r="A9661" i="1"/>
  <c r="E9661" i="1"/>
  <c r="F9661" i="1"/>
  <c r="G9661" i="1"/>
  <c r="B9662" i="1"/>
  <c r="A9662" i="1"/>
  <c r="E9662" i="1"/>
  <c r="F9662" i="1"/>
  <c r="G9662" i="1"/>
  <c r="B9663" i="1"/>
  <c r="A9663" i="1"/>
  <c r="E9663" i="1"/>
  <c r="F9663" i="1"/>
  <c r="G9663" i="1"/>
  <c r="B9664" i="1"/>
  <c r="A9664" i="1"/>
  <c r="E9664" i="1"/>
  <c r="F9664" i="1"/>
  <c r="B9665" i="1"/>
  <c r="A9665" i="1"/>
  <c r="E9665" i="1"/>
  <c r="F9665" i="1"/>
  <c r="G9665" i="1"/>
  <c r="B9666" i="1"/>
  <c r="A9666" i="1"/>
  <c r="E9666" i="1"/>
  <c r="F9666" i="1"/>
  <c r="B9667" i="1"/>
  <c r="A9667" i="1"/>
  <c r="E9667" i="1"/>
  <c r="F9667" i="1"/>
  <c r="B9668" i="1"/>
  <c r="A9668" i="1"/>
  <c r="E9668" i="1"/>
  <c r="F9668" i="1"/>
  <c r="B9669" i="1"/>
  <c r="A9669" i="1"/>
  <c r="E9669" i="1"/>
  <c r="F9669" i="1"/>
  <c r="B9670" i="1"/>
  <c r="A9670" i="1"/>
  <c r="E9670" i="1"/>
  <c r="F9670" i="1"/>
  <c r="B9671" i="1"/>
  <c r="A9671" i="1"/>
  <c r="E9671" i="1"/>
  <c r="F9671" i="1"/>
  <c r="B9672" i="1"/>
  <c r="A9672" i="1"/>
  <c r="E9672" i="1"/>
  <c r="F9672" i="1"/>
  <c r="B9673" i="1"/>
  <c r="A9673" i="1"/>
  <c r="E9673" i="1"/>
  <c r="F9673" i="1"/>
  <c r="B9674" i="1"/>
  <c r="A9674" i="1"/>
  <c r="E9674" i="1"/>
  <c r="F9674" i="1"/>
  <c r="G9674" i="1"/>
  <c r="B9675" i="1"/>
  <c r="A9675" i="1"/>
  <c r="E9675" i="1"/>
  <c r="F9675" i="1"/>
  <c r="B9676" i="1"/>
  <c r="A9676" i="1"/>
  <c r="E9676" i="1"/>
  <c r="F9676" i="1"/>
  <c r="B9677" i="1"/>
  <c r="A9677" i="1"/>
  <c r="E9677" i="1"/>
  <c r="F9677" i="1"/>
  <c r="B9678" i="1"/>
  <c r="A9678" i="1"/>
  <c r="E9678" i="1"/>
  <c r="F9678" i="1"/>
  <c r="B9679" i="1"/>
  <c r="A9679" i="1"/>
  <c r="E9679" i="1"/>
  <c r="F9679" i="1"/>
  <c r="B9680" i="1"/>
  <c r="A9680" i="1"/>
  <c r="E9680" i="1"/>
  <c r="F9680" i="1"/>
  <c r="B9681" i="1"/>
  <c r="A9681" i="1"/>
  <c r="E9681" i="1"/>
  <c r="F9681" i="1"/>
  <c r="G9681" i="1"/>
  <c r="B9682" i="1"/>
  <c r="A9682" i="1"/>
  <c r="E9682" i="1"/>
  <c r="F9682" i="1"/>
  <c r="B9683" i="1"/>
  <c r="A9683" i="1"/>
  <c r="E9683" i="1"/>
  <c r="F9683" i="1"/>
  <c r="B9684" i="1"/>
  <c r="A9684" i="1"/>
  <c r="E9684" i="1"/>
  <c r="F9684" i="1"/>
  <c r="B9685" i="1"/>
  <c r="A9685" i="1"/>
  <c r="E9685" i="1"/>
  <c r="F9685" i="1"/>
  <c r="B9686" i="1"/>
  <c r="A9686" i="1"/>
  <c r="E9686" i="1"/>
  <c r="B9687" i="1"/>
  <c r="A9687" i="1"/>
  <c r="E9687" i="1"/>
  <c r="B9688" i="1"/>
  <c r="A9688" i="1"/>
  <c r="E9688" i="1"/>
  <c r="F9688" i="1"/>
  <c r="G9688" i="1"/>
  <c r="B9689" i="1"/>
  <c r="A9689" i="1"/>
  <c r="E9689" i="1"/>
  <c r="F9689" i="1"/>
  <c r="G9689" i="1"/>
  <c r="B9690" i="1"/>
  <c r="A9690" i="1"/>
  <c r="E9690" i="1"/>
  <c r="F9690" i="1"/>
  <c r="B9691" i="1"/>
  <c r="A9691" i="1"/>
  <c r="E9691" i="1"/>
  <c r="F9691" i="1"/>
  <c r="G9691" i="1"/>
  <c r="B9692" i="1"/>
  <c r="A9692" i="1"/>
  <c r="E9692" i="1"/>
  <c r="F9692" i="1"/>
  <c r="B9693" i="1"/>
  <c r="A9693" i="1"/>
  <c r="E9693" i="1"/>
  <c r="F9693" i="1"/>
  <c r="B9694" i="1"/>
  <c r="A9694" i="1"/>
  <c r="E9694" i="1"/>
  <c r="F9694" i="1"/>
  <c r="B9695" i="1"/>
  <c r="A9695" i="1"/>
  <c r="E9695" i="1"/>
  <c r="B9696" i="1"/>
  <c r="A9696" i="1"/>
  <c r="E9696" i="1"/>
  <c r="B9697" i="1"/>
  <c r="A9697" i="1"/>
  <c r="E9697" i="1"/>
  <c r="B9698" i="1"/>
  <c r="A9698" i="1"/>
  <c r="E9698" i="1"/>
  <c r="B9699" i="1"/>
  <c r="A9699" i="1"/>
  <c r="E9699" i="1"/>
  <c r="B9700" i="1"/>
  <c r="A9700" i="1"/>
  <c r="E9700" i="1"/>
  <c r="B9701" i="1"/>
  <c r="A9701" i="1"/>
  <c r="E9701" i="1"/>
  <c r="B9702" i="1"/>
  <c r="A9702" i="1"/>
  <c r="E9702" i="1"/>
  <c r="B9703" i="1"/>
  <c r="A9703" i="1"/>
  <c r="E9703" i="1"/>
  <c r="B9704" i="1"/>
  <c r="A9704" i="1"/>
  <c r="E9704" i="1"/>
  <c r="B9705" i="1"/>
  <c r="A9705" i="1"/>
  <c r="E9705" i="1"/>
  <c r="B9706" i="1"/>
  <c r="A9706" i="1"/>
  <c r="E9706" i="1"/>
  <c r="B9707" i="1"/>
  <c r="A9707" i="1"/>
  <c r="E9707" i="1"/>
  <c r="B9708" i="1"/>
  <c r="A9708" i="1"/>
  <c r="E9708" i="1"/>
  <c r="B9709" i="1"/>
  <c r="A9709" i="1"/>
  <c r="E9709" i="1"/>
  <c r="B9710" i="1"/>
  <c r="A9710" i="1"/>
  <c r="E9710" i="1"/>
  <c r="B9711" i="1"/>
  <c r="A9711" i="1"/>
  <c r="E9711" i="1"/>
  <c r="B9712" i="1"/>
  <c r="A9712" i="1"/>
  <c r="E9712" i="1"/>
  <c r="B9713" i="1"/>
  <c r="A9713" i="1"/>
  <c r="E9713" i="1"/>
  <c r="B9714" i="1"/>
  <c r="A9714" i="1"/>
  <c r="E9714" i="1"/>
  <c r="B9715" i="1"/>
  <c r="A9715" i="1"/>
  <c r="E9715" i="1"/>
  <c r="B9716" i="1"/>
  <c r="A9716" i="1"/>
  <c r="E9716" i="1"/>
  <c r="G9716" i="1"/>
  <c r="B9717" i="1"/>
  <c r="A9717" i="1"/>
  <c r="E9717" i="1"/>
  <c r="A9718" i="1"/>
  <c r="E9718" i="1"/>
  <c r="B9719" i="1"/>
  <c r="A9719" i="1"/>
  <c r="E9719" i="1"/>
  <c r="B9720" i="1"/>
  <c r="A9720" i="1"/>
  <c r="E9720" i="1"/>
  <c r="B9721" i="1"/>
  <c r="A9721" i="1"/>
  <c r="E9721" i="1"/>
  <c r="B9722" i="1"/>
  <c r="A9722" i="1"/>
  <c r="E9722" i="1"/>
  <c r="B9723" i="1"/>
  <c r="A9723" i="1"/>
  <c r="E9723" i="1"/>
  <c r="B9724" i="1"/>
  <c r="A9724" i="1"/>
  <c r="E9724" i="1"/>
  <c r="B9725" i="1"/>
  <c r="A9725" i="1"/>
  <c r="E9725" i="1"/>
  <c r="B9726" i="1"/>
  <c r="A9726" i="1"/>
  <c r="E9726" i="1"/>
  <c r="B9727" i="1"/>
  <c r="A9727" i="1"/>
  <c r="E9727" i="1"/>
  <c r="B9728" i="1"/>
  <c r="A9728" i="1"/>
  <c r="E9728" i="1"/>
  <c r="B9729" i="1"/>
  <c r="A9729" i="1"/>
  <c r="E9729" i="1"/>
  <c r="B9730" i="1"/>
  <c r="A9730" i="1"/>
  <c r="E9730" i="1"/>
  <c r="B9731" i="1"/>
  <c r="A9731" i="1"/>
  <c r="E9731" i="1"/>
  <c r="B9732" i="1"/>
  <c r="A9732" i="1"/>
  <c r="E9732" i="1"/>
  <c r="B9733" i="1"/>
  <c r="A9733" i="1"/>
  <c r="E9733" i="1"/>
  <c r="B9734" i="1"/>
  <c r="A9734" i="1"/>
  <c r="E9734" i="1"/>
  <c r="B9735" i="1"/>
  <c r="A9735" i="1"/>
  <c r="E9735" i="1"/>
  <c r="B9736" i="1"/>
  <c r="A9736" i="1"/>
  <c r="E9736" i="1"/>
  <c r="G9736" i="1"/>
  <c r="B9737" i="1"/>
  <c r="A9737" i="1"/>
  <c r="E9737" i="1"/>
  <c r="B9738" i="1"/>
  <c r="A9738" i="1"/>
  <c r="E9738" i="1"/>
  <c r="B9739" i="1"/>
  <c r="A9739" i="1"/>
  <c r="E9739" i="1"/>
  <c r="B9740" i="1"/>
  <c r="A9740" i="1"/>
  <c r="E9740" i="1"/>
  <c r="B9741" i="1"/>
  <c r="A9741" i="1"/>
  <c r="E9741" i="1"/>
  <c r="B9742" i="1"/>
  <c r="A9742" i="1"/>
  <c r="E9742" i="1"/>
  <c r="B9743" i="1"/>
  <c r="A9743" i="1"/>
  <c r="E9743" i="1"/>
  <c r="B9744" i="1"/>
  <c r="A9744" i="1"/>
  <c r="E9744" i="1"/>
  <c r="G9744" i="1"/>
  <c r="B9745" i="1"/>
  <c r="A9745" i="1"/>
  <c r="E9745" i="1"/>
  <c r="B9746" i="1"/>
  <c r="A9746" i="1"/>
  <c r="E9746" i="1"/>
  <c r="B9747" i="1"/>
  <c r="A9747" i="1"/>
  <c r="E9747" i="1"/>
  <c r="B9748" i="1"/>
  <c r="A9748" i="1"/>
  <c r="E9748" i="1"/>
  <c r="B9749" i="1"/>
  <c r="A9749" i="1"/>
  <c r="E9749" i="1"/>
  <c r="B9750" i="1"/>
  <c r="A9750" i="1"/>
  <c r="E9750" i="1"/>
  <c r="B9751" i="1"/>
  <c r="A9751" i="1"/>
  <c r="E9751" i="1"/>
  <c r="B9752" i="1"/>
  <c r="A9752" i="1"/>
  <c r="E9752" i="1"/>
  <c r="B9753" i="1"/>
  <c r="A9753" i="1"/>
  <c r="E9753" i="1"/>
  <c r="B9754" i="1"/>
  <c r="A9754" i="1"/>
  <c r="E9754" i="1"/>
  <c r="B9755" i="1"/>
  <c r="A9755" i="1"/>
  <c r="E9755" i="1"/>
  <c r="B9756" i="1"/>
  <c r="A9756" i="1"/>
  <c r="E9756" i="1"/>
  <c r="B9757" i="1"/>
  <c r="A9757" i="1"/>
  <c r="E9757" i="1"/>
  <c r="B9758" i="1"/>
  <c r="A9758" i="1"/>
  <c r="E9758" i="1"/>
  <c r="B9759" i="1"/>
  <c r="A9759" i="1"/>
  <c r="E9759" i="1"/>
  <c r="B9760" i="1"/>
  <c r="A9760" i="1"/>
  <c r="E9760" i="1"/>
  <c r="B9761" i="1"/>
  <c r="A9761" i="1"/>
  <c r="E9761" i="1"/>
  <c r="B9762" i="1"/>
  <c r="A9762" i="1"/>
  <c r="E9762" i="1"/>
  <c r="B9763" i="1"/>
  <c r="A9763" i="1"/>
  <c r="E9763" i="1"/>
  <c r="B9764" i="1"/>
  <c r="A9764" i="1"/>
  <c r="E9764" i="1"/>
  <c r="B9765" i="1"/>
  <c r="A9765" i="1"/>
  <c r="E9765" i="1"/>
  <c r="B9766" i="1"/>
  <c r="A9766" i="1"/>
  <c r="E9766" i="1"/>
  <c r="B9767" i="1"/>
  <c r="A9767" i="1"/>
  <c r="E9767" i="1"/>
  <c r="B9768" i="1"/>
  <c r="A9768" i="1"/>
  <c r="E9768" i="1"/>
  <c r="B9769" i="1"/>
  <c r="A9769" i="1"/>
  <c r="E9769" i="1"/>
  <c r="G9769" i="1"/>
  <c r="B9770" i="1"/>
  <c r="A9770" i="1"/>
  <c r="E9770" i="1"/>
  <c r="G9770" i="1"/>
  <c r="B9771" i="1"/>
  <c r="A9771" i="1"/>
  <c r="E9771" i="1"/>
  <c r="G9771" i="1"/>
  <c r="B9772" i="1"/>
  <c r="A9772" i="1"/>
  <c r="E9772" i="1"/>
  <c r="F9772" i="1"/>
  <c r="B9773" i="1"/>
  <c r="A9773" i="1"/>
  <c r="E9773" i="1"/>
  <c r="F9773" i="1"/>
  <c r="B9774" i="1"/>
  <c r="A9774" i="1"/>
  <c r="E9774" i="1"/>
  <c r="F9774" i="1"/>
  <c r="B9775" i="1"/>
  <c r="A9775" i="1"/>
  <c r="E9775" i="1"/>
  <c r="F9775" i="1"/>
  <c r="B9776" i="1"/>
  <c r="A9776" i="1"/>
  <c r="E9776" i="1"/>
  <c r="F9776" i="1"/>
  <c r="B9777" i="1"/>
  <c r="A9777" i="1"/>
  <c r="E9777" i="1"/>
  <c r="F9777" i="1"/>
  <c r="B9778" i="1"/>
  <c r="A9778" i="1"/>
  <c r="E9778" i="1"/>
  <c r="F9778" i="1"/>
  <c r="B9779" i="1"/>
  <c r="A9779" i="1"/>
  <c r="E9779" i="1"/>
  <c r="F9779" i="1"/>
  <c r="B9780" i="1"/>
  <c r="A9780" i="1"/>
  <c r="E9780" i="1"/>
  <c r="F9780" i="1"/>
  <c r="B9781" i="1"/>
  <c r="A9781" i="1"/>
  <c r="E9781" i="1"/>
  <c r="F9781" i="1"/>
  <c r="B9782" i="1"/>
  <c r="A9782" i="1"/>
  <c r="E9782" i="1"/>
  <c r="F9782" i="1"/>
  <c r="B9783" i="1"/>
  <c r="A9783" i="1"/>
  <c r="E9783" i="1"/>
  <c r="F9783" i="1"/>
  <c r="B9784" i="1"/>
  <c r="A9784" i="1"/>
  <c r="E9784" i="1"/>
  <c r="F9784" i="1"/>
  <c r="B9785" i="1"/>
  <c r="A9785" i="1"/>
  <c r="E9785" i="1"/>
  <c r="F9785" i="1"/>
  <c r="B9786" i="1"/>
  <c r="A9786" i="1"/>
  <c r="E9786" i="1"/>
  <c r="F9786" i="1"/>
  <c r="B9787" i="1"/>
  <c r="A9787" i="1"/>
  <c r="E9787" i="1"/>
  <c r="F9787" i="1"/>
  <c r="B9788" i="1"/>
  <c r="A9788" i="1"/>
  <c r="E9788" i="1"/>
  <c r="F9788" i="1"/>
  <c r="B9789" i="1"/>
  <c r="A9789" i="1"/>
  <c r="E9789" i="1"/>
  <c r="F9789" i="1"/>
  <c r="B9790" i="1"/>
  <c r="A9790" i="1"/>
  <c r="E9790" i="1"/>
  <c r="F9790" i="1"/>
  <c r="B9791" i="1"/>
  <c r="A9791" i="1"/>
  <c r="E9791" i="1"/>
  <c r="F9791" i="1"/>
  <c r="B9792" i="1"/>
  <c r="A9792" i="1"/>
  <c r="E9792" i="1"/>
  <c r="F9792" i="1"/>
  <c r="B9793" i="1"/>
  <c r="A9793" i="1"/>
  <c r="E9793" i="1"/>
  <c r="F9793" i="1"/>
  <c r="B9794" i="1"/>
  <c r="A9794" i="1"/>
  <c r="E9794" i="1"/>
  <c r="F9794" i="1"/>
  <c r="B9795" i="1"/>
  <c r="A9795" i="1"/>
  <c r="E9795" i="1"/>
  <c r="F9795" i="1"/>
  <c r="B9796" i="1"/>
  <c r="A9796" i="1"/>
  <c r="E9796" i="1"/>
  <c r="F9796" i="1"/>
  <c r="B9797" i="1"/>
  <c r="A9797" i="1"/>
  <c r="E9797" i="1"/>
  <c r="F9797" i="1"/>
  <c r="B9798" i="1"/>
  <c r="A9798" i="1"/>
  <c r="E9798" i="1"/>
  <c r="F9798" i="1"/>
  <c r="B9799" i="1"/>
  <c r="A9799" i="1"/>
  <c r="E9799" i="1"/>
  <c r="F9799" i="1"/>
  <c r="B9800" i="1"/>
  <c r="A9800" i="1"/>
  <c r="E9800" i="1"/>
  <c r="F9800" i="1"/>
  <c r="B9801" i="1"/>
  <c r="A9801" i="1"/>
  <c r="E9801" i="1"/>
  <c r="F9801" i="1"/>
  <c r="B9802" i="1"/>
  <c r="A9802" i="1"/>
  <c r="E9802" i="1"/>
  <c r="F9802" i="1"/>
  <c r="B9803" i="1"/>
  <c r="A9803" i="1"/>
  <c r="E9803" i="1"/>
  <c r="F9803" i="1"/>
  <c r="B9804" i="1"/>
  <c r="A9804" i="1"/>
  <c r="E9804" i="1"/>
  <c r="F9804" i="1"/>
  <c r="B9805" i="1"/>
  <c r="A9805" i="1"/>
  <c r="E9805" i="1"/>
  <c r="F9805" i="1"/>
  <c r="B9806" i="1"/>
  <c r="A9806" i="1"/>
  <c r="E9806" i="1"/>
  <c r="F9806" i="1"/>
  <c r="B9807" i="1"/>
  <c r="A9807" i="1"/>
  <c r="E9807" i="1"/>
  <c r="F9807" i="1"/>
  <c r="B9808" i="1"/>
  <c r="A9808" i="1"/>
  <c r="E9808" i="1"/>
  <c r="F9808" i="1"/>
  <c r="B9809" i="1"/>
  <c r="A9809" i="1"/>
  <c r="E9809" i="1"/>
  <c r="F9809" i="1"/>
  <c r="B9810" i="1"/>
  <c r="A9810" i="1"/>
  <c r="E9810" i="1"/>
  <c r="F9810" i="1"/>
  <c r="G9810" i="1"/>
  <c r="B9811" i="1"/>
  <c r="A9811" i="1"/>
  <c r="E9811" i="1"/>
  <c r="F9811" i="1"/>
  <c r="G9811" i="1"/>
  <c r="B9812" i="1"/>
  <c r="A9812" i="1"/>
  <c r="E9812" i="1"/>
  <c r="F9812" i="1"/>
  <c r="G9812" i="1"/>
  <c r="B9813" i="1"/>
  <c r="A9813" i="1"/>
  <c r="E9813" i="1"/>
  <c r="F9813" i="1"/>
  <c r="B9814" i="1"/>
  <c r="A9814" i="1"/>
  <c r="E9814" i="1"/>
  <c r="F9814" i="1"/>
  <c r="G9814" i="1"/>
  <c r="B9815" i="1"/>
  <c r="A9815" i="1"/>
  <c r="E9815" i="1"/>
  <c r="F9815" i="1"/>
  <c r="G9815" i="1"/>
  <c r="B9816" i="1"/>
  <c r="A9816" i="1"/>
  <c r="E9816" i="1"/>
  <c r="F9816" i="1"/>
  <c r="G9816" i="1"/>
  <c r="B9817" i="1"/>
  <c r="A9817" i="1"/>
  <c r="E9817" i="1"/>
  <c r="F9817" i="1"/>
  <c r="G9817" i="1"/>
  <c r="B9818" i="1"/>
  <c r="A9818" i="1"/>
  <c r="E9818" i="1"/>
  <c r="F9818" i="1"/>
  <c r="B9819" i="1"/>
  <c r="A9819" i="1"/>
  <c r="E9819" i="1"/>
  <c r="F9819" i="1"/>
  <c r="B9820" i="1"/>
  <c r="A9820" i="1"/>
  <c r="E9820" i="1"/>
  <c r="F9820" i="1"/>
  <c r="G9820" i="1"/>
  <c r="B9821" i="1"/>
  <c r="A9821" i="1"/>
  <c r="E9821" i="1"/>
  <c r="F9821" i="1"/>
  <c r="G9821" i="1"/>
  <c r="B9822" i="1"/>
  <c r="A9822" i="1"/>
  <c r="E9822" i="1"/>
  <c r="F9822" i="1"/>
  <c r="B9823" i="1"/>
  <c r="A9823" i="1"/>
  <c r="E9823" i="1"/>
  <c r="F9823" i="1"/>
  <c r="B9824" i="1"/>
  <c r="A9824" i="1"/>
  <c r="E9824" i="1"/>
  <c r="F9824" i="1"/>
  <c r="B9825" i="1"/>
  <c r="A9825" i="1"/>
  <c r="E9825" i="1"/>
  <c r="F9825" i="1"/>
  <c r="B9826" i="1"/>
  <c r="A9826" i="1"/>
  <c r="E9826" i="1"/>
  <c r="F9826" i="1"/>
  <c r="B9827" i="1"/>
  <c r="A9827" i="1"/>
  <c r="E9827" i="1"/>
  <c r="F9827" i="1"/>
  <c r="B9828" i="1"/>
  <c r="A9828" i="1"/>
  <c r="E9828" i="1"/>
  <c r="F9828" i="1"/>
  <c r="B9829" i="1"/>
  <c r="A9829" i="1"/>
  <c r="E9829" i="1"/>
  <c r="F9829" i="1"/>
  <c r="B9830" i="1"/>
  <c r="A9830" i="1"/>
  <c r="E9830" i="1"/>
  <c r="F9830" i="1"/>
  <c r="B9831" i="1"/>
  <c r="A9831" i="1"/>
  <c r="E9831" i="1"/>
  <c r="F9831" i="1"/>
  <c r="B9832" i="1"/>
  <c r="A9832" i="1"/>
  <c r="E9832" i="1"/>
  <c r="F9832" i="1"/>
  <c r="B9833" i="1"/>
  <c r="A9833" i="1"/>
  <c r="E9833" i="1"/>
  <c r="F9833" i="1"/>
  <c r="G9833" i="1"/>
  <c r="B9834" i="1"/>
  <c r="A9834" i="1"/>
  <c r="E9834" i="1"/>
  <c r="F9834" i="1"/>
  <c r="G9834" i="1"/>
  <c r="B9835" i="1"/>
  <c r="A9835" i="1"/>
  <c r="E9835" i="1"/>
  <c r="F9835" i="1"/>
  <c r="B9836" i="1"/>
  <c r="A9836" i="1"/>
  <c r="E9836" i="1"/>
  <c r="F9836" i="1"/>
  <c r="B9837" i="1"/>
  <c r="A9837" i="1"/>
  <c r="E9837" i="1"/>
  <c r="F9837" i="1"/>
  <c r="B9838" i="1"/>
  <c r="A9838" i="1"/>
  <c r="E9838" i="1"/>
  <c r="F9838" i="1"/>
  <c r="G9838" i="1"/>
  <c r="B9839" i="1"/>
  <c r="A9839" i="1"/>
  <c r="E9839" i="1"/>
  <c r="F9839" i="1"/>
  <c r="B9840" i="1"/>
  <c r="A9840" i="1"/>
  <c r="E9840" i="1"/>
  <c r="F9840" i="1"/>
  <c r="B9841" i="1"/>
  <c r="A9841" i="1"/>
  <c r="E9841" i="1"/>
  <c r="F9841" i="1"/>
  <c r="B9842" i="1"/>
  <c r="A9842" i="1"/>
  <c r="E9842" i="1"/>
  <c r="F9842" i="1"/>
  <c r="G9842" i="1"/>
  <c r="B9843" i="1"/>
  <c r="A9843" i="1"/>
  <c r="E9843" i="1"/>
  <c r="F9843" i="1"/>
  <c r="G9843" i="1"/>
  <c r="B9844" i="1"/>
  <c r="A9844" i="1"/>
  <c r="E9844" i="1"/>
  <c r="F9844" i="1"/>
  <c r="B9845" i="1"/>
  <c r="A9845" i="1"/>
  <c r="E9845" i="1"/>
  <c r="F9845" i="1"/>
  <c r="B9846" i="1"/>
  <c r="A9846" i="1"/>
  <c r="E9846" i="1"/>
  <c r="F9846" i="1"/>
  <c r="B9847" i="1"/>
  <c r="A9847" i="1"/>
  <c r="E9847" i="1"/>
  <c r="F9847" i="1"/>
  <c r="B9848" i="1"/>
  <c r="A9848" i="1"/>
  <c r="E9848" i="1"/>
  <c r="F9848" i="1"/>
  <c r="B9849" i="1"/>
  <c r="A9849" i="1"/>
  <c r="E9849" i="1"/>
  <c r="F9849" i="1"/>
  <c r="B9850" i="1"/>
  <c r="A9850" i="1"/>
  <c r="E9850" i="1"/>
  <c r="F9850" i="1"/>
  <c r="B9851" i="1"/>
  <c r="A9851" i="1"/>
  <c r="E9851" i="1"/>
  <c r="F9851" i="1"/>
  <c r="B9852" i="1"/>
  <c r="A9852" i="1"/>
  <c r="E9852" i="1"/>
  <c r="F9852" i="1"/>
  <c r="G9852" i="1"/>
  <c r="B9853" i="1"/>
  <c r="A9853" i="1"/>
  <c r="E9853" i="1"/>
  <c r="F9853" i="1"/>
  <c r="G9853" i="1"/>
  <c r="B9854" i="1"/>
  <c r="A9854" i="1"/>
  <c r="E9854" i="1"/>
  <c r="F9854" i="1"/>
  <c r="G9854" i="1"/>
  <c r="B9855" i="1"/>
  <c r="A9855" i="1"/>
  <c r="E9855" i="1"/>
  <c r="F9855" i="1"/>
  <c r="G9855" i="1"/>
  <c r="B9856" i="1"/>
  <c r="A9856" i="1"/>
  <c r="E9856" i="1"/>
  <c r="F9856" i="1"/>
  <c r="B9857" i="1"/>
  <c r="A9857" i="1"/>
  <c r="E9857" i="1"/>
  <c r="F9857" i="1"/>
  <c r="B9858" i="1"/>
  <c r="A9858" i="1"/>
  <c r="E9858" i="1"/>
  <c r="F9858" i="1"/>
  <c r="B9859" i="1"/>
  <c r="A9859" i="1"/>
  <c r="E9859" i="1"/>
  <c r="F9859" i="1"/>
  <c r="B9860" i="1"/>
  <c r="A9860" i="1"/>
  <c r="E9860" i="1"/>
  <c r="F9860" i="1"/>
  <c r="B9861" i="1"/>
  <c r="A9861" i="1"/>
  <c r="E9861" i="1"/>
  <c r="F9861" i="1"/>
  <c r="B9862" i="1"/>
  <c r="A9862" i="1"/>
  <c r="E9862" i="1"/>
  <c r="F9862" i="1"/>
  <c r="B9863" i="1"/>
  <c r="A9863" i="1"/>
  <c r="E9863" i="1"/>
  <c r="F9863" i="1"/>
  <c r="B9864" i="1"/>
  <c r="A9864" i="1"/>
  <c r="E9864" i="1"/>
  <c r="F9864" i="1"/>
  <c r="B9865" i="1"/>
  <c r="A9865" i="1"/>
  <c r="E9865" i="1"/>
  <c r="F9865" i="1"/>
  <c r="B9866" i="1"/>
  <c r="A9866" i="1"/>
  <c r="E9866" i="1"/>
  <c r="F9866" i="1"/>
  <c r="B9867" i="1"/>
  <c r="A9867" i="1"/>
  <c r="E9867" i="1"/>
  <c r="F9867" i="1"/>
  <c r="B9868" i="1"/>
  <c r="A9868" i="1"/>
  <c r="E9868" i="1"/>
  <c r="F9868" i="1"/>
  <c r="B9869" i="1"/>
  <c r="A9869" i="1"/>
  <c r="E9869" i="1"/>
  <c r="F9869" i="1"/>
  <c r="B9870" i="1"/>
  <c r="A9870" i="1"/>
  <c r="E9870" i="1"/>
  <c r="F9870" i="1"/>
  <c r="B9871" i="1"/>
  <c r="A9871" i="1"/>
  <c r="E9871" i="1"/>
  <c r="F9871" i="1"/>
  <c r="B9872" i="1"/>
  <c r="A9872" i="1"/>
  <c r="E9872" i="1"/>
  <c r="F9872" i="1"/>
  <c r="B9873" i="1"/>
  <c r="A9873" i="1"/>
  <c r="E9873" i="1"/>
  <c r="F9873" i="1"/>
  <c r="B9874" i="1"/>
  <c r="A9874" i="1"/>
  <c r="E9874" i="1"/>
  <c r="F9874" i="1"/>
  <c r="B9875" i="1"/>
  <c r="A9875" i="1"/>
  <c r="E9875" i="1"/>
  <c r="F9875" i="1"/>
  <c r="B9876" i="1"/>
  <c r="A9876" i="1"/>
  <c r="E9876" i="1"/>
  <c r="F9876" i="1"/>
  <c r="B9877" i="1"/>
  <c r="A9877" i="1"/>
  <c r="E9877" i="1"/>
  <c r="F9877" i="1"/>
  <c r="B9878" i="1"/>
  <c r="A9878" i="1"/>
  <c r="E9878" i="1"/>
  <c r="F9878" i="1"/>
  <c r="B9879" i="1"/>
  <c r="A9879" i="1"/>
  <c r="E9879" i="1"/>
  <c r="F9879" i="1"/>
  <c r="B9880" i="1"/>
  <c r="A9880" i="1"/>
  <c r="E9880" i="1"/>
  <c r="F9880" i="1"/>
  <c r="B9881" i="1"/>
  <c r="A9881" i="1"/>
  <c r="E9881" i="1"/>
  <c r="F9881" i="1"/>
  <c r="B9882" i="1"/>
  <c r="A9882" i="1"/>
  <c r="E9882" i="1"/>
  <c r="F9882" i="1"/>
  <c r="B9883" i="1"/>
  <c r="A9883" i="1"/>
  <c r="E9883" i="1"/>
  <c r="F9883" i="1"/>
  <c r="B9884" i="1"/>
  <c r="A9884" i="1"/>
  <c r="E9884" i="1"/>
  <c r="F9884" i="1"/>
  <c r="B9885" i="1"/>
  <c r="A9885" i="1"/>
  <c r="E9885" i="1"/>
  <c r="F9885" i="1"/>
  <c r="B9886" i="1"/>
  <c r="A9886" i="1"/>
  <c r="E9886" i="1"/>
  <c r="F9886" i="1"/>
  <c r="B9887" i="1"/>
  <c r="A9887" i="1"/>
  <c r="E9887" i="1"/>
  <c r="F9887" i="1"/>
  <c r="B9888" i="1"/>
  <c r="A9888" i="1"/>
  <c r="E9888" i="1"/>
  <c r="F9888" i="1"/>
  <c r="B9889" i="1"/>
  <c r="A9889" i="1"/>
  <c r="E9889" i="1"/>
  <c r="F9889" i="1"/>
  <c r="B9890" i="1"/>
  <c r="A9890" i="1"/>
  <c r="E9890" i="1"/>
  <c r="F9890" i="1"/>
  <c r="G9890" i="1"/>
  <c r="B9891" i="1"/>
  <c r="A9891" i="1"/>
  <c r="E9891" i="1"/>
  <c r="F9891" i="1"/>
  <c r="G9891" i="1"/>
  <c r="B9892" i="1"/>
  <c r="A9892" i="1"/>
  <c r="E9892" i="1"/>
  <c r="F9892" i="1"/>
  <c r="B9893" i="1"/>
  <c r="A9893" i="1"/>
  <c r="E9893" i="1"/>
  <c r="F9893" i="1"/>
  <c r="G9893" i="1"/>
  <c r="B9894" i="1"/>
  <c r="A9894" i="1"/>
  <c r="E9894" i="1"/>
  <c r="F9894" i="1"/>
  <c r="G9894" i="1"/>
  <c r="B9895" i="1"/>
  <c r="A9895" i="1"/>
  <c r="E9895" i="1"/>
  <c r="F9895" i="1"/>
  <c r="G9895" i="1"/>
  <c r="B9896" i="1"/>
  <c r="A9896" i="1"/>
  <c r="E9896" i="1"/>
  <c r="B9897" i="1"/>
  <c r="A9897" i="1"/>
  <c r="E9897" i="1"/>
  <c r="F9897" i="1"/>
  <c r="B9898" i="1"/>
  <c r="A9898" i="1"/>
  <c r="E9898" i="1"/>
  <c r="F9898" i="1"/>
  <c r="B9899" i="1"/>
  <c r="A9899" i="1"/>
  <c r="E9899" i="1"/>
  <c r="F9899" i="1"/>
  <c r="B9900" i="1"/>
  <c r="A9900" i="1"/>
  <c r="E9900" i="1"/>
  <c r="F9900" i="1"/>
  <c r="B9901" i="1"/>
  <c r="A9901" i="1"/>
  <c r="E9901" i="1"/>
  <c r="F9901" i="1"/>
  <c r="B9902" i="1"/>
  <c r="A9902" i="1"/>
  <c r="E9902" i="1"/>
  <c r="F9902" i="1"/>
  <c r="B9903" i="1"/>
  <c r="A9903" i="1"/>
  <c r="E9903" i="1"/>
  <c r="F9903" i="1"/>
  <c r="B9904" i="1"/>
  <c r="A9904" i="1"/>
  <c r="E9904" i="1"/>
  <c r="F9904" i="1"/>
  <c r="B9905" i="1"/>
  <c r="A9905" i="1"/>
  <c r="E9905" i="1"/>
  <c r="F9905" i="1"/>
  <c r="B9906" i="1"/>
  <c r="A9906" i="1"/>
  <c r="E9906" i="1"/>
  <c r="F9906" i="1"/>
  <c r="B9907" i="1"/>
  <c r="A9907" i="1"/>
  <c r="E9907" i="1"/>
  <c r="F9907" i="1"/>
  <c r="B9908" i="1"/>
  <c r="A9908" i="1"/>
  <c r="E9908" i="1"/>
  <c r="F9908" i="1"/>
  <c r="B9909" i="1"/>
  <c r="A9909" i="1"/>
  <c r="E9909" i="1"/>
  <c r="F9909" i="1"/>
  <c r="B9910" i="1"/>
  <c r="A9910" i="1"/>
  <c r="E9910" i="1"/>
  <c r="B9911" i="1"/>
  <c r="A9911" i="1"/>
  <c r="E9911" i="1"/>
  <c r="A9912" i="1"/>
  <c r="E9912" i="1"/>
  <c r="G9912" i="1"/>
  <c r="A9913" i="1"/>
  <c r="E9913" i="1"/>
  <c r="G9913" i="1"/>
  <c r="B9914" i="1"/>
  <c r="A9914" i="1"/>
  <c r="E9914" i="1"/>
  <c r="B9915" i="1"/>
  <c r="A9915" i="1"/>
  <c r="E9915" i="1"/>
  <c r="B9916" i="1"/>
  <c r="A9916" i="1"/>
  <c r="E9916" i="1"/>
  <c r="B9917" i="1"/>
  <c r="A9917" i="1"/>
  <c r="E9917" i="1"/>
  <c r="B9918" i="1"/>
  <c r="A9918" i="1"/>
  <c r="E9918" i="1"/>
  <c r="B9919" i="1"/>
  <c r="A9919" i="1"/>
  <c r="E9919" i="1"/>
  <c r="B9920" i="1"/>
  <c r="A9920" i="1"/>
  <c r="E9920" i="1"/>
  <c r="B9921" i="1"/>
  <c r="A9921" i="1"/>
  <c r="E9921" i="1"/>
  <c r="B9922" i="1"/>
  <c r="A9922" i="1"/>
  <c r="E9922" i="1"/>
  <c r="B9923" i="1"/>
  <c r="A9923" i="1"/>
  <c r="E9923" i="1"/>
  <c r="B9924" i="1"/>
  <c r="A9924" i="1"/>
  <c r="E9924" i="1"/>
  <c r="B9925" i="1"/>
  <c r="A9925" i="1"/>
  <c r="E9925" i="1"/>
  <c r="B9926" i="1"/>
  <c r="A9926" i="1"/>
  <c r="E9926" i="1"/>
  <c r="G9926" i="1"/>
  <c r="B9927" i="1"/>
  <c r="A9927" i="1"/>
  <c r="E9927" i="1"/>
  <c r="B9928" i="1"/>
  <c r="A9928" i="1"/>
  <c r="E9928" i="1"/>
  <c r="B9929" i="1"/>
  <c r="A9929" i="1"/>
  <c r="E9929" i="1"/>
  <c r="B9930" i="1"/>
  <c r="A9930" i="1"/>
  <c r="E9930" i="1"/>
  <c r="B9931" i="1"/>
  <c r="A9931" i="1"/>
  <c r="E9931" i="1"/>
  <c r="B9932" i="1"/>
  <c r="A9932" i="1"/>
  <c r="E9932" i="1"/>
  <c r="B9933" i="1"/>
  <c r="A9933" i="1"/>
  <c r="E9933" i="1"/>
  <c r="B9934" i="1"/>
  <c r="A9934" i="1"/>
  <c r="E9934" i="1"/>
  <c r="B9935" i="1"/>
  <c r="A9935" i="1"/>
  <c r="E9935" i="1"/>
  <c r="B9936" i="1"/>
  <c r="A9936" i="1"/>
  <c r="E9936" i="1"/>
  <c r="B9937" i="1"/>
  <c r="A9937" i="1"/>
  <c r="E9937" i="1"/>
  <c r="B9938" i="1"/>
  <c r="A9938" i="1"/>
  <c r="E9938" i="1"/>
  <c r="B9939" i="1"/>
  <c r="A9939" i="1"/>
  <c r="E9939" i="1"/>
  <c r="B9940" i="1"/>
  <c r="A9940" i="1"/>
  <c r="E9940" i="1"/>
  <c r="F9940" i="1"/>
  <c r="G9940" i="1"/>
  <c r="B9941" i="1"/>
  <c r="A9941" i="1"/>
  <c r="E9941" i="1"/>
  <c r="B9942" i="1"/>
  <c r="A9942" i="1"/>
  <c r="E9942" i="1"/>
  <c r="B9943" i="1"/>
  <c r="A9943" i="1"/>
  <c r="E9943" i="1"/>
  <c r="B9944" i="1"/>
  <c r="A9944" i="1"/>
  <c r="E9944" i="1"/>
  <c r="B9945" i="1"/>
  <c r="A9945" i="1"/>
  <c r="E9945" i="1"/>
  <c r="B9946" i="1"/>
  <c r="A9946" i="1"/>
  <c r="E9946" i="1"/>
  <c r="B9947" i="1"/>
  <c r="A9947" i="1"/>
  <c r="E9947" i="1"/>
  <c r="B9948" i="1"/>
  <c r="A9948" i="1"/>
  <c r="E9948" i="1"/>
  <c r="B9949" i="1"/>
  <c r="A9949" i="1"/>
  <c r="E9949" i="1"/>
  <c r="B9950" i="1"/>
  <c r="A9950" i="1"/>
  <c r="E9950" i="1"/>
  <c r="B9951" i="1"/>
  <c r="A9951" i="1"/>
  <c r="E9951" i="1"/>
  <c r="B9952" i="1"/>
  <c r="A9952" i="1"/>
  <c r="E9952" i="1"/>
  <c r="B9953" i="1"/>
  <c r="A9953" i="1"/>
  <c r="E9953" i="1"/>
  <c r="B9954" i="1"/>
  <c r="A9954" i="1"/>
  <c r="E9954" i="1"/>
  <c r="B9955" i="1"/>
  <c r="A9955" i="1"/>
  <c r="E9955" i="1"/>
  <c r="B9956" i="1"/>
  <c r="A9956" i="1"/>
  <c r="E9956" i="1"/>
  <c r="B9957" i="1"/>
  <c r="A9957" i="1"/>
  <c r="E9957" i="1"/>
  <c r="B9958" i="1"/>
  <c r="A9958" i="1"/>
  <c r="E9958" i="1"/>
  <c r="B9959" i="1"/>
  <c r="A9959" i="1"/>
  <c r="E9959" i="1"/>
  <c r="B9960" i="1"/>
  <c r="A9960" i="1"/>
  <c r="E9960" i="1"/>
  <c r="B9961" i="1"/>
  <c r="A9961" i="1"/>
  <c r="E9961" i="1"/>
  <c r="B9962" i="1"/>
  <c r="A9962" i="1"/>
  <c r="E9962" i="1"/>
  <c r="B9963" i="1"/>
  <c r="A9963" i="1"/>
  <c r="E9963" i="1"/>
  <c r="B9964" i="1"/>
  <c r="A9964" i="1"/>
  <c r="E9964" i="1"/>
  <c r="B9965" i="1"/>
  <c r="A9965" i="1"/>
  <c r="E9965" i="1"/>
  <c r="B9966" i="1"/>
  <c r="A9966" i="1"/>
  <c r="E9966" i="1"/>
  <c r="B9967" i="1"/>
  <c r="A9967" i="1"/>
  <c r="E9967" i="1"/>
  <c r="B9968" i="1"/>
  <c r="A9968" i="1"/>
  <c r="E9968" i="1"/>
  <c r="B9969" i="1"/>
  <c r="A9969" i="1"/>
  <c r="E9969" i="1"/>
  <c r="B9970" i="1"/>
  <c r="A9970" i="1"/>
  <c r="E9970" i="1"/>
  <c r="B9971" i="1"/>
  <c r="A9971" i="1"/>
  <c r="E9971" i="1"/>
  <c r="B9972" i="1"/>
  <c r="A9972" i="1"/>
  <c r="E9972" i="1"/>
  <c r="B9973" i="1"/>
  <c r="A9973" i="1"/>
  <c r="E9973" i="1"/>
  <c r="B9974" i="1"/>
  <c r="A9974" i="1"/>
  <c r="E9974" i="1"/>
  <c r="B9975" i="1"/>
  <c r="A9975" i="1"/>
  <c r="E9975" i="1"/>
  <c r="B9976" i="1"/>
  <c r="A9976" i="1"/>
  <c r="E9976" i="1"/>
  <c r="B9977" i="1"/>
  <c r="A9977" i="1"/>
  <c r="E9977" i="1"/>
  <c r="B9978" i="1"/>
  <c r="A9978" i="1"/>
  <c r="E9978" i="1"/>
  <c r="B9979" i="1"/>
  <c r="A9979" i="1"/>
  <c r="E9979" i="1"/>
  <c r="B9980" i="1"/>
  <c r="A9980" i="1"/>
  <c r="E9980" i="1"/>
  <c r="B9981" i="1"/>
  <c r="A9981" i="1"/>
  <c r="E9981" i="1"/>
  <c r="B9982" i="1"/>
  <c r="A9982" i="1"/>
  <c r="E9982" i="1"/>
  <c r="F9982" i="1"/>
  <c r="B9983" i="1"/>
  <c r="A9983" i="1"/>
  <c r="E9983" i="1"/>
  <c r="F9983" i="1"/>
  <c r="B9984" i="1"/>
  <c r="A9984" i="1"/>
  <c r="E9984" i="1"/>
  <c r="F9984" i="1"/>
  <c r="B9985" i="1"/>
  <c r="A9985" i="1"/>
  <c r="E9985" i="1"/>
  <c r="F9985" i="1"/>
  <c r="G9985" i="1"/>
  <c r="B9986" i="1"/>
  <c r="A9986" i="1"/>
  <c r="E9986" i="1"/>
  <c r="F9986" i="1"/>
  <c r="B9987" i="1"/>
  <c r="A9987" i="1"/>
  <c r="E9987" i="1"/>
  <c r="F9987" i="1"/>
  <c r="B9988" i="1"/>
  <c r="A9988" i="1"/>
  <c r="E9988" i="1"/>
  <c r="F9988" i="1"/>
  <c r="B9989" i="1"/>
  <c r="A9989" i="1"/>
  <c r="E9989" i="1"/>
  <c r="F9989" i="1"/>
  <c r="B9990" i="1"/>
  <c r="A9990" i="1"/>
  <c r="E9990" i="1"/>
  <c r="F9990" i="1"/>
  <c r="B9991" i="1"/>
  <c r="A9991" i="1"/>
  <c r="E9991" i="1"/>
  <c r="F9991" i="1"/>
  <c r="B9992" i="1"/>
  <c r="A9992" i="1"/>
  <c r="E9992" i="1"/>
  <c r="F9992" i="1"/>
  <c r="B9993" i="1"/>
  <c r="A9993" i="1"/>
  <c r="E9993" i="1"/>
  <c r="F9993" i="1"/>
  <c r="G9993" i="1"/>
  <c r="B9994" i="1"/>
  <c r="A9994" i="1"/>
  <c r="E9994" i="1"/>
  <c r="F9994" i="1"/>
  <c r="B9995" i="1"/>
  <c r="A9995" i="1"/>
  <c r="E9995" i="1"/>
  <c r="F9995" i="1"/>
  <c r="B9996" i="1"/>
  <c r="A9996" i="1"/>
  <c r="E9996" i="1"/>
  <c r="F9996" i="1"/>
  <c r="B9997" i="1"/>
  <c r="A9997" i="1"/>
  <c r="E9997" i="1"/>
  <c r="F9997" i="1"/>
  <c r="B9998" i="1"/>
  <c r="A9998" i="1"/>
  <c r="E9998" i="1"/>
  <c r="F9998" i="1"/>
  <c r="B9999" i="1"/>
  <c r="A9999" i="1"/>
  <c r="E9999" i="1"/>
  <c r="F9999" i="1"/>
  <c r="G9999" i="1"/>
  <c r="B10000" i="1"/>
  <c r="A10000" i="1"/>
  <c r="E10000" i="1"/>
  <c r="F10000" i="1"/>
  <c r="B10001" i="1"/>
  <c r="A10001" i="1"/>
  <c r="E10001" i="1"/>
  <c r="F10001" i="1"/>
  <c r="B10002" i="1"/>
  <c r="A10002" i="1"/>
  <c r="E10002" i="1"/>
  <c r="F10002" i="1"/>
  <c r="G10002" i="1"/>
  <c r="B10003" i="1"/>
  <c r="A10003" i="1"/>
  <c r="E10003" i="1"/>
  <c r="F10003" i="1"/>
  <c r="B10004" i="1"/>
  <c r="A10004" i="1"/>
  <c r="E10004" i="1"/>
  <c r="F10004" i="1"/>
  <c r="B10005" i="1"/>
  <c r="A10005" i="1"/>
  <c r="E10005" i="1"/>
  <c r="F10005" i="1"/>
  <c r="B10006" i="1"/>
  <c r="A10006" i="1"/>
  <c r="E10006" i="1"/>
  <c r="F10006" i="1"/>
  <c r="B10007" i="1"/>
  <c r="A10007" i="1"/>
  <c r="E10007" i="1"/>
  <c r="F10007" i="1"/>
  <c r="B10008" i="1"/>
  <c r="A10008" i="1"/>
  <c r="E10008" i="1"/>
  <c r="F10008" i="1"/>
  <c r="B10009" i="1"/>
  <c r="A10009" i="1"/>
  <c r="E10009" i="1"/>
  <c r="F10009" i="1"/>
  <c r="B10010" i="1"/>
  <c r="A10010" i="1"/>
  <c r="E10010" i="1"/>
  <c r="F10010" i="1"/>
  <c r="B10011" i="1"/>
  <c r="A10011" i="1"/>
  <c r="E10011" i="1"/>
  <c r="F10011" i="1"/>
  <c r="B10012" i="1"/>
  <c r="A10012" i="1"/>
  <c r="E10012" i="1"/>
  <c r="F10012" i="1"/>
  <c r="B10013" i="1"/>
  <c r="A10013" i="1"/>
  <c r="E10013" i="1"/>
  <c r="F10013" i="1"/>
  <c r="B10014" i="1"/>
  <c r="A10014" i="1"/>
  <c r="E10014" i="1"/>
  <c r="F10014" i="1"/>
  <c r="B10015" i="1"/>
  <c r="A10015" i="1"/>
  <c r="E10015" i="1"/>
  <c r="F10015" i="1"/>
  <c r="B10016" i="1"/>
  <c r="A10016" i="1"/>
  <c r="E10016" i="1"/>
  <c r="F10016" i="1"/>
  <c r="B10017" i="1"/>
  <c r="A10017" i="1"/>
  <c r="E10017" i="1"/>
  <c r="F10017" i="1"/>
  <c r="B10018" i="1"/>
  <c r="A10018" i="1"/>
  <c r="E10018" i="1"/>
  <c r="F10018" i="1"/>
  <c r="B10019" i="1"/>
  <c r="A10019" i="1"/>
  <c r="E10019" i="1"/>
  <c r="F10019" i="1"/>
  <c r="G10019" i="1"/>
  <c r="B10020" i="1"/>
  <c r="A10020" i="1"/>
  <c r="E10020" i="1"/>
  <c r="F10020" i="1"/>
  <c r="G10020" i="1"/>
  <c r="B10021" i="1"/>
  <c r="A10021" i="1"/>
  <c r="E10021" i="1"/>
  <c r="F10021" i="1"/>
  <c r="G10021" i="1"/>
  <c r="B10022" i="1"/>
  <c r="A10022" i="1"/>
  <c r="E10022" i="1"/>
  <c r="F10022" i="1"/>
  <c r="G10022" i="1"/>
  <c r="B10023" i="1"/>
  <c r="A10023" i="1"/>
  <c r="E10023" i="1"/>
  <c r="F10023" i="1"/>
  <c r="B10024" i="1"/>
  <c r="A10024" i="1"/>
  <c r="E10024" i="1"/>
  <c r="F10024" i="1"/>
  <c r="B10025" i="1"/>
  <c r="A10025" i="1"/>
  <c r="E10025" i="1"/>
  <c r="F10025" i="1"/>
  <c r="B10026" i="1"/>
  <c r="A10026" i="1"/>
  <c r="E10026" i="1"/>
  <c r="F10026" i="1"/>
  <c r="B10027" i="1"/>
  <c r="A10027" i="1"/>
  <c r="E10027" i="1"/>
  <c r="F10027" i="1"/>
  <c r="G10027" i="1"/>
  <c r="B10028" i="1"/>
  <c r="A10028" i="1"/>
  <c r="E10028" i="1"/>
  <c r="F10028" i="1"/>
  <c r="G10028" i="1"/>
  <c r="B10029" i="1"/>
  <c r="A10029" i="1"/>
  <c r="E10029" i="1"/>
  <c r="F10029" i="1"/>
  <c r="G10029" i="1"/>
  <c r="B10030" i="1"/>
  <c r="A10030" i="1"/>
  <c r="E10030" i="1"/>
  <c r="F10030" i="1"/>
  <c r="G10030" i="1"/>
  <c r="B10031" i="1"/>
  <c r="A10031" i="1"/>
  <c r="E10031" i="1"/>
  <c r="F10031" i="1"/>
  <c r="G10031" i="1"/>
  <c r="B10032" i="1"/>
  <c r="A10032" i="1"/>
  <c r="E10032" i="1"/>
  <c r="F10032" i="1"/>
  <c r="G10032" i="1"/>
  <c r="B10033" i="1"/>
  <c r="A10033" i="1"/>
  <c r="E10033" i="1"/>
  <c r="F10033" i="1"/>
  <c r="B10034" i="1"/>
  <c r="A10034" i="1"/>
  <c r="E10034" i="1"/>
  <c r="F10034" i="1"/>
  <c r="G10034" i="1"/>
  <c r="B10035" i="1"/>
  <c r="A10035" i="1"/>
  <c r="E10035" i="1"/>
  <c r="F10035" i="1"/>
  <c r="G10035" i="1"/>
  <c r="B10036" i="1"/>
  <c r="A10036" i="1"/>
  <c r="E10036" i="1"/>
  <c r="F10036" i="1"/>
  <c r="B10037" i="1"/>
  <c r="A10037" i="1"/>
  <c r="E10037" i="1"/>
  <c r="F10037" i="1"/>
  <c r="B10038" i="1"/>
  <c r="A10038" i="1"/>
  <c r="E10038" i="1"/>
  <c r="F10038" i="1"/>
  <c r="G10038" i="1"/>
  <c r="B10039" i="1"/>
  <c r="A10039" i="1"/>
  <c r="E10039" i="1"/>
  <c r="F10039" i="1"/>
  <c r="G10039" i="1"/>
  <c r="B10040" i="1"/>
  <c r="A10040" i="1"/>
  <c r="E10040" i="1"/>
  <c r="F10040" i="1"/>
  <c r="B10041" i="1"/>
  <c r="A10041" i="1"/>
  <c r="E10041" i="1"/>
  <c r="F10041" i="1"/>
  <c r="G10041" i="1"/>
  <c r="B10042" i="1"/>
  <c r="A10042" i="1"/>
  <c r="E10042" i="1"/>
  <c r="F10042" i="1"/>
  <c r="G10042" i="1"/>
  <c r="B10043" i="1"/>
  <c r="A10043" i="1"/>
  <c r="E10043" i="1"/>
  <c r="F10043" i="1"/>
  <c r="G10043" i="1"/>
  <c r="B10044" i="1"/>
  <c r="A10044" i="1"/>
  <c r="E10044" i="1"/>
  <c r="F10044" i="1"/>
  <c r="G10044" i="1"/>
  <c r="B10045" i="1"/>
  <c r="A10045" i="1"/>
  <c r="E10045" i="1"/>
  <c r="F10045" i="1"/>
  <c r="B10046" i="1"/>
  <c r="A10046" i="1"/>
  <c r="E10046" i="1"/>
  <c r="F10046" i="1"/>
  <c r="G10046" i="1"/>
  <c r="B10047" i="1"/>
  <c r="A10047" i="1"/>
  <c r="E10047" i="1"/>
  <c r="F10047" i="1"/>
  <c r="G10047" i="1"/>
  <c r="B10048" i="1"/>
  <c r="A10048" i="1"/>
  <c r="E10048" i="1"/>
  <c r="F10048" i="1"/>
  <c r="G10048" i="1"/>
  <c r="B10049" i="1"/>
  <c r="A10049" i="1"/>
  <c r="E10049" i="1"/>
  <c r="F10049" i="1"/>
  <c r="G10049" i="1"/>
  <c r="B10050" i="1"/>
  <c r="A10050" i="1"/>
  <c r="E10050" i="1"/>
  <c r="F10050" i="1"/>
  <c r="G10050" i="1"/>
  <c r="B10051" i="1"/>
  <c r="A10051" i="1"/>
  <c r="E10051" i="1"/>
  <c r="F10051" i="1"/>
  <c r="G10051" i="1"/>
  <c r="B10052" i="1"/>
  <c r="A10052" i="1"/>
  <c r="E10052" i="1"/>
  <c r="F10052" i="1"/>
  <c r="G10052" i="1"/>
  <c r="B10053" i="1"/>
  <c r="A10053" i="1"/>
  <c r="E10053" i="1"/>
  <c r="F10053" i="1"/>
  <c r="G10053" i="1"/>
  <c r="B10054" i="1"/>
  <c r="A10054" i="1"/>
  <c r="E10054" i="1"/>
  <c r="F10054" i="1"/>
  <c r="G10054" i="1"/>
  <c r="B10055" i="1"/>
  <c r="A10055" i="1"/>
  <c r="E10055" i="1"/>
  <c r="F10055" i="1"/>
  <c r="G10055" i="1"/>
  <c r="B10056" i="1"/>
  <c r="A10056" i="1"/>
  <c r="E10056" i="1"/>
  <c r="F10056" i="1"/>
  <c r="G10056" i="1"/>
  <c r="B10057" i="1"/>
  <c r="A10057" i="1"/>
  <c r="E10057" i="1"/>
  <c r="F10057" i="1"/>
  <c r="B10058" i="1"/>
  <c r="A10058" i="1"/>
  <c r="E10058" i="1"/>
  <c r="F10058" i="1"/>
  <c r="G10058" i="1"/>
  <c r="B10059" i="1"/>
  <c r="A10059" i="1"/>
  <c r="E10059" i="1"/>
  <c r="F10059" i="1"/>
  <c r="B10060" i="1"/>
  <c r="A10060" i="1"/>
  <c r="E10060" i="1"/>
  <c r="F10060" i="1"/>
  <c r="G10060" i="1"/>
  <c r="B10061" i="1"/>
  <c r="A10061" i="1"/>
  <c r="E10061" i="1"/>
  <c r="F10061" i="1"/>
  <c r="B10062" i="1"/>
  <c r="A10062" i="1"/>
  <c r="E10062" i="1"/>
  <c r="F10062" i="1"/>
  <c r="B10063" i="1"/>
  <c r="A10063" i="1"/>
  <c r="E10063" i="1"/>
  <c r="F10063" i="1"/>
  <c r="B10064" i="1"/>
  <c r="A10064" i="1"/>
  <c r="E10064" i="1"/>
  <c r="F10064" i="1"/>
  <c r="B10065" i="1"/>
  <c r="A10065" i="1"/>
  <c r="E10065" i="1"/>
  <c r="F10065" i="1"/>
  <c r="B10066" i="1"/>
  <c r="A10066" i="1"/>
  <c r="E10066" i="1"/>
  <c r="F10066" i="1"/>
  <c r="B10067" i="1"/>
  <c r="A10067" i="1"/>
  <c r="E10067" i="1"/>
  <c r="F10067" i="1"/>
  <c r="G10067" i="1"/>
  <c r="B10068" i="1"/>
  <c r="A10068" i="1"/>
  <c r="E10068" i="1"/>
  <c r="F10068" i="1"/>
  <c r="B10069" i="1"/>
  <c r="A10069" i="1"/>
  <c r="E10069" i="1"/>
  <c r="F10069" i="1"/>
  <c r="B10070" i="1"/>
  <c r="A10070" i="1"/>
  <c r="E10070" i="1"/>
  <c r="F10070" i="1"/>
  <c r="G10070" i="1"/>
  <c r="B10071" i="1"/>
  <c r="A10071" i="1"/>
  <c r="E10071" i="1"/>
  <c r="F10071" i="1"/>
  <c r="G10071" i="1"/>
  <c r="B10072" i="1"/>
  <c r="A10072" i="1"/>
  <c r="E10072" i="1"/>
  <c r="F10072" i="1"/>
  <c r="G10072" i="1"/>
  <c r="B10073" i="1"/>
  <c r="A10073" i="1"/>
  <c r="E10073" i="1"/>
  <c r="F10073" i="1"/>
  <c r="B10074" i="1"/>
  <c r="A10074" i="1"/>
  <c r="E10074" i="1"/>
  <c r="F10074" i="1"/>
  <c r="B10075" i="1"/>
  <c r="A10075" i="1"/>
  <c r="E10075" i="1"/>
  <c r="F10075" i="1"/>
  <c r="B10076" i="1"/>
  <c r="A10076" i="1"/>
  <c r="E10076" i="1"/>
  <c r="F10076" i="1"/>
  <c r="B10077" i="1"/>
  <c r="A10077" i="1"/>
  <c r="E10077" i="1"/>
  <c r="F10077" i="1"/>
  <c r="B10078" i="1"/>
  <c r="A10078" i="1"/>
  <c r="E10078" i="1"/>
  <c r="F10078" i="1"/>
  <c r="B10079" i="1"/>
  <c r="A10079" i="1"/>
  <c r="E10079" i="1"/>
  <c r="F10079" i="1"/>
  <c r="G10079" i="1"/>
  <c r="B10080" i="1"/>
  <c r="A10080" i="1"/>
  <c r="E10080" i="1"/>
  <c r="F10080" i="1"/>
  <c r="G10080" i="1"/>
  <c r="B10081" i="1"/>
  <c r="A10081" i="1"/>
  <c r="E10081" i="1"/>
  <c r="B10082" i="1"/>
  <c r="A10082" i="1"/>
  <c r="E10082" i="1"/>
  <c r="B10083" i="1"/>
  <c r="A10083" i="1"/>
  <c r="E10083" i="1"/>
  <c r="B10084" i="1"/>
  <c r="A10084" i="1"/>
  <c r="E10084" i="1"/>
  <c r="B10085" i="1"/>
  <c r="A10085" i="1"/>
  <c r="E10085" i="1"/>
  <c r="B10086" i="1"/>
  <c r="A10086" i="1"/>
  <c r="E10086" i="1"/>
  <c r="B10087" i="1"/>
  <c r="A10087" i="1"/>
  <c r="E10087" i="1"/>
  <c r="B10088" i="1"/>
  <c r="A10088" i="1"/>
  <c r="E10088" i="1"/>
  <c r="B10089" i="1"/>
  <c r="A10089" i="1"/>
  <c r="E10089" i="1"/>
  <c r="B10090" i="1"/>
  <c r="A10090" i="1"/>
  <c r="E10090" i="1"/>
  <c r="B10091" i="1"/>
  <c r="A10091" i="1"/>
  <c r="E10091" i="1"/>
  <c r="B10092" i="1"/>
  <c r="A10092" i="1"/>
  <c r="E10092" i="1"/>
  <c r="B10093" i="1"/>
  <c r="A10093" i="1"/>
  <c r="E10093" i="1"/>
  <c r="B10094" i="1"/>
  <c r="A10094" i="1"/>
  <c r="E10094" i="1"/>
  <c r="F10094" i="1"/>
  <c r="G10094" i="1"/>
  <c r="B10095" i="1"/>
  <c r="A10095" i="1"/>
  <c r="E10095" i="1"/>
  <c r="G10095" i="1"/>
  <c r="B10096" i="1"/>
  <c r="A10096" i="1"/>
  <c r="E10096" i="1"/>
  <c r="F10096" i="1"/>
  <c r="G10096" i="1"/>
  <c r="B10097" i="1"/>
  <c r="A10097" i="1"/>
  <c r="E10097" i="1"/>
  <c r="F10097" i="1"/>
  <c r="G10097" i="1"/>
  <c r="B10098" i="1"/>
  <c r="A10098" i="1"/>
  <c r="E10098" i="1"/>
  <c r="F10098" i="1"/>
  <c r="B10099" i="1"/>
  <c r="A10099" i="1"/>
  <c r="E10099" i="1"/>
  <c r="B10100" i="1"/>
  <c r="A10100" i="1"/>
  <c r="E10100" i="1"/>
  <c r="G10100" i="1"/>
  <c r="B10101" i="1"/>
  <c r="A10101" i="1"/>
  <c r="E10101" i="1"/>
  <c r="B10102" i="1"/>
  <c r="A10102" i="1"/>
  <c r="E10102" i="1"/>
  <c r="B10103" i="1"/>
  <c r="A10103" i="1"/>
  <c r="E10103" i="1"/>
  <c r="B10104" i="1"/>
  <c r="A10104" i="1"/>
  <c r="E10104" i="1"/>
  <c r="B10105" i="1"/>
  <c r="A10105" i="1"/>
  <c r="E10105" i="1"/>
  <c r="B10106" i="1"/>
  <c r="A10106" i="1"/>
  <c r="E10106" i="1"/>
  <c r="B10107" i="1"/>
  <c r="A10107" i="1"/>
  <c r="E10107" i="1"/>
  <c r="B10108" i="1"/>
  <c r="A10108" i="1"/>
  <c r="E10108" i="1"/>
  <c r="B10109" i="1"/>
  <c r="A10109" i="1"/>
  <c r="E10109" i="1"/>
  <c r="G10109" i="1"/>
  <c r="B10110" i="1"/>
  <c r="A10110" i="1"/>
  <c r="E10110" i="1"/>
  <c r="G10110" i="1"/>
  <c r="B10111" i="1"/>
  <c r="A10111" i="1"/>
  <c r="E10111" i="1"/>
  <c r="B10112" i="1"/>
  <c r="A10112" i="1"/>
  <c r="E10112" i="1"/>
  <c r="G10112" i="1"/>
  <c r="B10113" i="1"/>
  <c r="A10113" i="1"/>
  <c r="E10113" i="1"/>
  <c r="G10113" i="1"/>
  <c r="B10114" i="1"/>
  <c r="A10114" i="1"/>
  <c r="E10114" i="1"/>
  <c r="B10115" i="1"/>
  <c r="A10115" i="1"/>
  <c r="E10115" i="1"/>
  <c r="B10116" i="1"/>
  <c r="A10116" i="1"/>
  <c r="E10116" i="1"/>
  <c r="B10117" i="1"/>
  <c r="A10117" i="1"/>
  <c r="E10117" i="1"/>
  <c r="G10117" i="1"/>
  <c r="B10118" i="1"/>
  <c r="A10118" i="1"/>
  <c r="E10118" i="1"/>
  <c r="B10119" i="1"/>
  <c r="A10119" i="1"/>
  <c r="E10119" i="1"/>
  <c r="B10120" i="1"/>
  <c r="A10120" i="1"/>
  <c r="E10120" i="1"/>
  <c r="B10121" i="1"/>
  <c r="A10121" i="1"/>
  <c r="E10121" i="1"/>
  <c r="B10122" i="1"/>
  <c r="A10122" i="1"/>
  <c r="E10122" i="1"/>
  <c r="A10123" i="1"/>
  <c r="E10123" i="1"/>
  <c r="B10124" i="1"/>
  <c r="A10124" i="1"/>
  <c r="E10124" i="1"/>
  <c r="B10125" i="1"/>
  <c r="A10125" i="1"/>
  <c r="E10125" i="1"/>
  <c r="B10126" i="1"/>
  <c r="A10126" i="1"/>
  <c r="E10126" i="1"/>
  <c r="B10127" i="1"/>
  <c r="A10127" i="1"/>
  <c r="E10127" i="1"/>
  <c r="B10128" i="1"/>
  <c r="A10128" i="1"/>
  <c r="E10128" i="1"/>
  <c r="B10129" i="1"/>
  <c r="A10129" i="1"/>
  <c r="E10129" i="1"/>
  <c r="B10130" i="1"/>
  <c r="A10130" i="1"/>
  <c r="E10130" i="1"/>
  <c r="B10131" i="1"/>
  <c r="A10131" i="1"/>
  <c r="E10131" i="1"/>
  <c r="B10132" i="1"/>
  <c r="A10132" i="1"/>
  <c r="E10132" i="1"/>
  <c r="B10133" i="1"/>
  <c r="A10133" i="1"/>
  <c r="E10133" i="1"/>
  <c r="B10134" i="1"/>
  <c r="A10134" i="1"/>
  <c r="E10134" i="1"/>
  <c r="B10135" i="1"/>
  <c r="A10135" i="1"/>
  <c r="E10135" i="1"/>
  <c r="B10136" i="1"/>
  <c r="A10136" i="1"/>
  <c r="E10136" i="1"/>
  <c r="B10137" i="1"/>
  <c r="A10137" i="1"/>
  <c r="E10137" i="1"/>
  <c r="B10138" i="1"/>
  <c r="A10138" i="1"/>
  <c r="E10138" i="1"/>
  <c r="B10139" i="1"/>
  <c r="A10139" i="1"/>
  <c r="E10139" i="1"/>
  <c r="B10140" i="1"/>
  <c r="A10140" i="1"/>
  <c r="E10140" i="1"/>
  <c r="G10140" i="1"/>
  <c r="B10141" i="1"/>
  <c r="A10141" i="1"/>
  <c r="E10141" i="1"/>
  <c r="G10141" i="1"/>
  <c r="B10142" i="1"/>
  <c r="A10142" i="1"/>
  <c r="E10142" i="1"/>
  <c r="B10143" i="1"/>
  <c r="A10143" i="1"/>
  <c r="E10143" i="1"/>
  <c r="B10144" i="1"/>
  <c r="A10144" i="1"/>
  <c r="E10144" i="1"/>
  <c r="B10145" i="1"/>
  <c r="A10145" i="1"/>
  <c r="E10145" i="1"/>
  <c r="B10146" i="1"/>
  <c r="A10146" i="1"/>
  <c r="E10146" i="1"/>
  <c r="B10147" i="1"/>
  <c r="A10147" i="1"/>
  <c r="E10147" i="1"/>
  <c r="B10148" i="1"/>
  <c r="A10148" i="1"/>
  <c r="E10148" i="1"/>
  <c r="B10149" i="1"/>
  <c r="A10149" i="1"/>
  <c r="E10149" i="1"/>
  <c r="B10150" i="1"/>
  <c r="A10150" i="1"/>
  <c r="E10150" i="1"/>
  <c r="B10151" i="1"/>
  <c r="A10151" i="1"/>
  <c r="E10151" i="1"/>
  <c r="B10152" i="1"/>
  <c r="A10152" i="1"/>
  <c r="E10152" i="1"/>
  <c r="B10153" i="1"/>
  <c r="A10153" i="1"/>
  <c r="E10153" i="1"/>
  <c r="B10154" i="1"/>
  <c r="A10154" i="1"/>
  <c r="E10154" i="1"/>
  <c r="B10155" i="1"/>
  <c r="A10155" i="1"/>
  <c r="E10155" i="1"/>
  <c r="B10156" i="1"/>
  <c r="A10156" i="1"/>
  <c r="E10156" i="1"/>
  <c r="B10157" i="1"/>
  <c r="A10157" i="1"/>
  <c r="E10157" i="1"/>
  <c r="B10158" i="1"/>
  <c r="A10158" i="1"/>
  <c r="E10158" i="1"/>
  <c r="B10159" i="1"/>
  <c r="A10159" i="1"/>
  <c r="E10159" i="1"/>
  <c r="B10160" i="1"/>
  <c r="A10160" i="1"/>
  <c r="E10160" i="1"/>
  <c r="B10161" i="1"/>
  <c r="A10161" i="1"/>
  <c r="E10161" i="1"/>
  <c r="B10162" i="1"/>
  <c r="A10162" i="1"/>
  <c r="E10162" i="1"/>
  <c r="B10163" i="1"/>
  <c r="A10163" i="1"/>
  <c r="E10163" i="1"/>
  <c r="B10164" i="1"/>
  <c r="A10164" i="1"/>
  <c r="E10164" i="1"/>
  <c r="B10165" i="1"/>
  <c r="A10165" i="1"/>
  <c r="E10165" i="1"/>
  <c r="B10166" i="1"/>
  <c r="A10166" i="1"/>
  <c r="E10166" i="1"/>
  <c r="B10167" i="1"/>
  <c r="A10167" i="1"/>
  <c r="E10167" i="1"/>
  <c r="F10167" i="1"/>
  <c r="G10167" i="1"/>
  <c r="B10168" i="1"/>
  <c r="A10168" i="1"/>
  <c r="E10168" i="1"/>
  <c r="F10168" i="1"/>
  <c r="B10169" i="1"/>
  <c r="A10169" i="1"/>
  <c r="E10169" i="1"/>
  <c r="F10169" i="1"/>
  <c r="B10170" i="1"/>
  <c r="A10170" i="1"/>
  <c r="E10170" i="1"/>
  <c r="F10170" i="1"/>
  <c r="B10171" i="1"/>
  <c r="A10171" i="1"/>
  <c r="E10171" i="1"/>
  <c r="F10171" i="1"/>
  <c r="B10172" i="1"/>
  <c r="A10172" i="1"/>
  <c r="E10172" i="1"/>
  <c r="F10172" i="1"/>
  <c r="B10173" i="1"/>
  <c r="A10173" i="1"/>
  <c r="E10173" i="1"/>
  <c r="F10173" i="1"/>
  <c r="G10173" i="1"/>
  <c r="B10174" i="1"/>
  <c r="A10174" i="1"/>
  <c r="E10174" i="1"/>
  <c r="F10174" i="1"/>
  <c r="B10175" i="1"/>
  <c r="A10175" i="1"/>
  <c r="E10175" i="1"/>
  <c r="F10175" i="1"/>
  <c r="G10175" i="1"/>
  <c r="B10176" i="1"/>
  <c r="A10176" i="1"/>
  <c r="E10176" i="1"/>
  <c r="F10176" i="1"/>
  <c r="G10176" i="1"/>
  <c r="B10177" i="1"/>
  <c r="A10177" i="1"/>
  <c r="E10177" i="1"/>
  <c r="F10177" i="1"/>
  <c r="B10178" i="1"/>
  <c r="A10178" i="1"/>
  <c r="E10178" i="1"/>
  <c r="F10178" i="1"/>
  <c r="B10179" i="1"/>
  <c r="A10179" i="1"/>
  <c r="E10179" i="1"/>
  <c r="F10179" i="1"/>
  <c r="B10180" i="1"/>
  <c r="A10180" i="1"/>
  <c r="E10180" i="1"/>
  <c r="F10180" i="1"/>
  <c r="B10181" i="1"/>
  <c r="A10181" i="1"/>
  <c r="E10181" i="1"/>
  <c r="F10181" i="1"/>
  <c r="B10182" i="1"/>
  <c r="A10182" i="1"/>
  <c r="E10182" i="1"/>
  <c r="F10182" i="1"/>
  <c r="B10183" i="1"/>
  <c r="A10183" i="1"/>
  <c r="E10183" i="1"/>
  <c r="G10183" i="1"/>
  <c r="B10184" i="1"/>
  <c r="A10184" i="1"/>
  <c r="E10184" i="1"/>
  <c r="B10185" i="1"/>
  <c r="A10185" i="1"/>
  <c r="E10185" i="1"/>
  <c r="B10186" i="1"/>
  <c r="A10186" i="1"/>
  <c r="E10186" i="1"/>
  <c r="B10187" i="1"/>
  <c r="A10187" i="1"/>
  <c r="E10187" i="1"/>
  <c r="B10188" i="1"/>
  <c r="A10188" i="1"/>
  <c r="E10188" i="1"/>
  <c r="B10189" i="1"/>
  <c r="A10189" i="1"/>
  <c r="E10189" i="1"/>
  <c r="B10190" i="1"/>
  <c r="A10190" i="1"/>
  <c r="E10190" i="1"/>
  <c r="B10191" i="1"/>
  <c r="A10191" i="1"/>
  <c r="E10191" i="1"/>
  <c r="F10191" i="1"/>
  <c r="B10192" i="1"/>
  <c r="A10192" i="1"/>
  <c r="E10192" i="1"/>
  <c r="F10192" i="1"/>
  <c r="B10193" i="1"/>
  <c r="A10193" i="1"/>
  <c r="E10193" i="1"/>
  <c r="F10193" i="1"/>
  <c r="B10194" i="1"/>
  <c r="A10194" i="1"/>
  <c r="E10194" i="1"/>
  <c r="F10194" i="1"/>
  <c r="B10195" i="1"/>
  <c r="A10195" i="1"/>
  <c r="E10195" i="1"/>
  <c r="F10195" i="1"/>
  <c r="B10196" i="1"/>
  <c r="A10196" i="1"/>
  <c r="E10196" i="1"/>
  <c r="F10196" i="1"/>
  <c r="B10197" i="1"/>
  <c r="A10197" i="1"/>
  <c r="E10197" i="1"/>
  <c r="F10197" i="1"/>
  <c r="B10198" i="1"/>
  <c r="A10198" i="1"/>
  <c r="E10198" i="1"/>
  <c r="F10198" i="1"/>
  <c r="B10199" i="1"/>
  <c r="A10199" i="1"/>
  <c r="E10199" i="1"/>
  <c r="F10199" i="1"/>
  <c r="B10200" i="1"/>
  <c r="A10200" i="1"/>
  <c r="E10200" i="1"/>
  <c r="F10200" i="1"/>
  <c r="B10201" i="1"/>
  <c r="A10201" i="1"/>
  <c r="E10201" i="1"/>
  <c r="F10201" i="1"/>
  <c r="B10202" i="1"/>
  <c r="A10202" i="1"/>
  <c r="E10202" i="1"/>
  <c r="F10202" i="1"/>
  <c r="B10203" i="1"/>
  <c r="A10203" i="1"/>
  <c r="E10203" i="1"/>
  <c r="F10203" i="1"/>
  <c r="B10204" i="1"/>
  <c r="A10204" i="1"/>
  <c r="E10204" i="1"/>
  <c r="F10204" i="1"/>
  <c r="G10204" i="1"/>
  <c r="B10205" i="1"/>
  <c r="A10205" i="1"/>
  <c r="E10205" i="1"/>
  <c r="F10205" i="1"/>
  <c r="B10206" i="1"/>
  <c r="A10206" i="1"/>
  <c r="E10206" i="1"/>
  <c r="F10206" i="1"/>
  <c r="B10207" i="1"/>
  <c r="A10207" i="1"/>
  <c r="E10207" i="1"/>
  <c r="F10207" i="1"/>
  <c r="B10208" i="1"/>
  <c r="A10208" i="1"/>
  <c r="E10208" i="1"/>
  <c r="F10208" i="1"/>
  <c r="B10209" i="1"/>
  <c r="A10209" i="1"/>
  <c r="E10209" i="1"/>
  <c r="F10209" i="1"/>
  <c r="B10210" i="1"/>
  <c r="A10210" i="1"/>
  <c r="E10210" i="1"/>
  <c r="F10210" i="1"/>
  <c r="B10211" i="1"/>
  <c r="A10211" i="1"/>
  <c r="E10211" i="1"/>
  <c r="F10211" i="1"/>
  <c r="B10212" i="1"/>
  <c r="A10212" i="1"/>
  <c r="E10212" i="1"/>
  <c r="F10212" i="1"/>
  <c r="B10213" i="1"/>
  <c r="A10213" i="1"/>
  <c r="E10213" i="1"/>
  <c r="F10213" i="1"/>
  <c r="B10214" i="1"/>
  <c r="A10214" i="1"/>
  <c r="E10214" i="1"/>
  <c r="F10214" i="1"/>
  <c r="G10214" i="1"/>
  <c r="B10215" i="1"/>
  <c r="A10215" i="1"/>
  <c r="E10215" i="1"/>
  <c r="F10215" i="1"/>
  <c r="G10215" i="1"/>
  <c r="B10216" i="1"/>
  <c r="A10216" i="1"/>
  <c r="E10216" i="1"/>
  <c r="F10216" i="1"/>
  <c r="B10217" i="1"/>
  <c r="A10217" i="1"/>
  <c r="E10217" i="1"/>
  <c r="F10217" i="1"/>
  <c r="B10218" i="1"/>
  <c r="A10218" i="1"/>
  <c r="E10218" i="1"/>
  <c r="F10218" i="1"/>
  <c r="B10219" i="1"/>
  <c r="A10219" i="1"/>
  <c r="E10219" i="1"/>
  <c r="F10219" i="1"/>
  <c r="B10220" i="1"/>
  <c r="A10220" i="1"/>
  <c r="E10220" i="1"/>
  <c r="F10220" i="1"/>
  <c r="B10221" i="1"/>
  <c r="A10221" i="1"/>
  <c r="E10221" i="1"/>
  <c r="F10221" i="1"/>
  <c r="B10222" i="1"/>
  <c r="A10222" i="1"/>
  <c r="E10222" i="1"/>
  <c r="F10222" i="1"/>
  <c r="B10223" i="1"/>
  <c r="A10223" i="1"/>
  <c r="E10223" i="1"/>
  <c r="F10223" i="1"/>
  <c r="B10224" i="1"/>
  <c r="A10224" i="1"/>
  <c r="E10224" i="1"/>
  <c r="F10224" i="1"/>
  <c r="B10225" i="1"/>
  <c r="A10225" i="1"/>
  <c r="E10225" i="1"/>
  <c r="F10225" i="1"/>
  <c r="B10226" i="1"/>
  <c r="A10226" i="1"/>
  <c r="E10226" i="1"/>
  <c r="F10226" i="1"/>
  <c r="B10227" i="1"/>
  <c r="A10227" i="1"/>
  <c r="E10227" i="1"/>
  <c r="F10227" i="1"/>
  <c r="B10228" i="1"/>
  <c r="A10228" i="1"/>
  <c r="E10228" i="1"/>
  <c r="F10228" i="1"/>
  <c r="B10229" i="1"/>
  <c r="A10229" i="1"/>
  <c r="E10229" i="1"/>
  <c r="F10229" i="1"/>
  <c r="B10230" i="1"/>
  <c r="A10230" i="1"/>
  <c r="E10230" i="1"/>
  <c r="F10230" i="1"/>
  <c r="B10231" i="1"/>
  <c r="A10231" i="1"/>
  <c r="E10231" i="1"/>
  <c r="F10231" i="1"/>
  <c r="B10232" i="1"/>
  <c r="A10232" i="1"/>
  <c r="E10232" i="1"/>
  <c r="F10232" i="1"/>
  <c r="B10233" i="1"/>
  <c r="A10233" i="1"/>
  <c r="E10233" i="1"/>
  <c r="F10233" i="1"/>
  <c r="G10233" i="1"/>
  <c r="B10234" i="1"/>
  <c r="A10234" i="1"/>
  <c r="E10234" i="1"/>
  <c r="F10234" i="1"/>
  <c r="B10235" i="1"/>
  <c r="A10235" i="1"/>
  <c r="E10235" i="1"/>
  <c r="F10235" i="1"/>
  <c r="B10236" i="1"/>
  <c r="A10236" i="1"/>
  <c r="E10236" i="1"/>
  <c r="F10236" i="1"/>
  <c r="B10237" i="1"/>
  <c r="A10237" i="1"/>
  <c r="E10237" i="1"/>
  <c r="F10237" i="1"/>
  <c r="G10237" i="1"/>
  <c r="B10238" i="1"/>
  <c r="A10238" i="1"/>
  <c r="E10238" i="1"/>
  <c r="F10238" i="1"/>
  <c r="G10238" i="1"/>
  <c r="B10239" i="1"/>
  <c r="A10239" i="1"/>
  <c r="E10239" i="1"/>
  <c r="F10239" i="1"/>
  <c r="B10240" i="1"/>
  <c r="A10240" i="1"/>
  <c r="E10240" i="1"/>
  <c r="F10240" i="1"/>
  <c r="B10241" i="1"/>
  <c r="A10241" i="1"/>
  <c r="E10241" i="1"/>
  <c r="F10241" i="1"/>
  <c r="B10242" i="1"/>
  <c r="A10242" i="1"/>
  <c r="E10242" i="1"/>
  <c r="F10242" i="1"/>
  <c r="B10243" i="1"/>
  <c r="A10243" i="1"/>
  <c r="E10243" i="1"/>
  <c r="F10243" i="1"/>
  <c r="B10244" i="1"/>
  <c r="A10244" i="1"/>
  <c r="E10244" i="1"/>
  <c r="F10244" i="1"/>
  <c r="B10245" i="1"/>
  <c r="A10245" i="1"/>
  <c r="E10245" i="1"/>
  <c r="F10245" i="1"/>
  <c r="B10246" i="1"/>
  <c r="A10246" i="1"/>
  <c r="E10246" i="1"/>
  <c r="F10246" i="1"/>
  <c r="B10247" i="1"/>
  <c r="A10247" i="1"/>
  <c r="E10247" i="1"/>
  <c r="F10247" i="1"/>
  <c r="B10248" i="1"/>
  <c r="A10248" i="1"/>
  <c r="E10248" i="1"/>
  <c r="F10248" i="1"/>
  <c r="B10249" i="1"/>
  <c r="A10249" i="1"/>
  <c r="E10249" i="1"/>
  <c r="F10249" i="1"/>
  <c r="G10249" i="1"/>
  <c r="B10250" i="1"/>
  <c r="A10250" i="1"/>
  <c r="E10250" i="1"/>
  <c r="F10250" i="1"/>
  <c r="B10251" i="1"/>
  <c r="A10251" i="1"/>
  <c r="E10251" i="1"/>
  <c r="F10251" i="1"/>
  <c r="B10252" i="1"/>
  <c r="A10252" i="1"/>
  <c r="E10252" i="1"/>
  <c r="F10252" i="1"/>
  <c r="B10253" i="1"/>
  <c r="A10253" i="1"/>
  <c r="E10253" i="1"/>
  <c r="F10253" i="1"/>
  <c r="G10253" i="1"/>
  <c r="B10254" i="1"/>
  <c r="A10254" i="1"/>
  <c r="E10254" i="1"/>
  <c r="F10254" i="1"/>
  <c r="B10255" i="1"/>
  <c r="A10255" i="1"/>
  <c r="E10255" i="1"/>
  <c r="F10255" i="1"/>
  <c r="G10255" i="1"/>
  <c r="B10256" i="1"/>
  <c r="A10256" i="1"/>
  <c r="E10256" i="1"/>
  <c r="F10256" i="1"/>
  <c r="G10256" i="1"/>
  <c r="B10257" i="1"/>
  <c r="A10257" i="1"/>
  <c r="E10257" i="1"/>
  <c r="B10258" i="1"/>
  <c r="A10258" i="1"/>
  <c r="E10258" i="1"/>
  <c r="B10259" i="1"/>
  <c r="A10259" i="1"/>
  <c r="E10259" i="1"/>
  <c r="B10260" i="1"/>
  <c r="A10260" i="1"/>
  <c r="E10260" i="1"/>
  <c r="G10260" i="1"/>
  <c r="B10261" i="1"/>
  <c r="A10261" i="1"/>
  <c r="E10261" i="1"/>
  <c r="F10261" i="1"/>
  <c r="B10262" i="1"/>
  <c r="A10262" i="1"/>
  <c r="E10262" i="1"/>
  <c r="F10262" i="1"/>
  <c r="B10263" i="1"/>
  <c r="A10263" i="1"/>
  <c r="E10263" i="1"/>
  <c r="B10264" i="1"/>
  <c r="A10264" i="1"/>
  <c r="E10264" i="1"/>
  <c r="B10265" i="1"/>
  <c r="A10265" i="1"/>
  <c r="E10265" i="1"/>
  <c r="B10266" i="1"/>
  <c r="A10266" i="1"/>
  <c r="E10266" i="1"/>
  <c r="B10267" i="1"/>
  <c r="A10267" i="1"/>
  <c r="E10267" i="1"/>
  <c r="B10268" i="1"/>
  <c r="A10268" i="1"/>
  <c r="E10268" i="1"/>
  <c r="B10269" i="1"/>
  <c r="A10269" i="1"/>
  <c r="E10269" i="1"/>
  <c r="B10270" i="1"/>
  <c r="A10270" i="1"/>
  <c r="E10270" i="1"/>
  <c r="B10271" i="1"/>
  <c r="A10271" i="1"/>
  <c r="E10271" i="1"/>
  <c r="B10272" i="1"/>
  <c r="A10272" i="1"/>
  <c r="E10272" i="1"/>
  <c r="B10273" i="1"/>
  <c r="A10273" i="1"/>
  <c r="E10273" i="1"/>
  <c r="B10274" i="1"/>
  <c r="A10274" i="1"/>
  <c r="E10274" i="1"/>
  <c r="B10275" i="1"/>
  <c r="A10275" i="1"/>
  <c r="E10275" i="1"/>
  <c r="B10276" i="1"/>
  <c r="A10276" i="1"/>
  <c r="E10276" i="1"/>
  <c r="B10277" i="1"/>
  <c r="A10277" i="1"/>
  <c r="E10277" i="1"/>
  <c r="B10278" i="1"/>
  <c r="A10278" i="1"/>
  <c r="E10278" i="1"/>
  <c r="B10279" i="1"/>
  <c r="A10279" i="1"/>
  <c r="E10279" i="1"/>
  <c r="B10280" i="1"/>
  <c r="A10280" i="1"/>
  <c r="E10280" i="1"/>
  <c r="B10281" i="1"/>
  <c r="A10281" i="1"/>
  <c r="E10281" i="1"/>
  <c r="B10282" i="1"/>
  <c r="A10282" i="1"/>
  <c r="E10282" i="1"/>
  <c r="B10283" i="1"/>
  <c r="A10283" i="1"/>
  <c r="E10283" i="1"/>
  <c r="B10284" i="1"/>
  <c r="A10284" i="1"/>
  <c r="E10284" i="1"/>
  <c r="B10285" i="1"/>
  <c r="A10285" i="1"/>
  <c r="E10285" i="1"/>
  <c r="B10286" i="1"/>
  <c r="A10286" i="1"/>
  <c r="E10286" i="1"/>
  <c r="B10287" i="1"/>
  <c r="A10287" i="1"/>
  <c r="E10287" i="1"/>
  <c r="B10288" i="1"/>
  <c r="A10288" i="1"/>
  <c r="E10288" i="1"/>
  <c r="B10289" i="1"/>
  <c r="A10289" i="1"/>
  <c r="E10289" i="1"/>
  <c r="B10290" i="1"/>
  <c r="A10290" i="1"/>
  <c r="E10290" i="1"/>
  <c r="B10291" i="1"/>
  <c r="A10291" i="1"/>
  <c r="E10291" i="1"/>
  <c r="B10292" i="1"/>
  <c r="A10292" i="1"/>
  <c r="E10292" i="1"/>
  <c r="B10293" i="1"/>
  <c r="A10293" i="1"/>
  <c r="E10293" i="1"/>
  <c r="B10294" i="1"/>
  <c r="A10294" i="1"/>
  <c r="E10294" i="1"/>
  <c r="B10295" i="1"/>
  <c r="A10295" i="1"/>
  <c r="E10295" i="1"/>
  <c r="B10296" i="1"/>
  <c r="A10296" i="1"/>
  <c r="E10296" i="1"/>
  <c r="B10297" i="1"/>
  <c r="A10297" i="1"/>
  <c r="E10297" i="1"/>
  <c r="B10298" i="1"/>
  <c r="A10298" i="1"/>
  <c r="E10298" i="1"/>
  <c r="G10298" i="1"/>
  <c r="B10299" i="1"/>
  <c r="A10299" i="1"/>
  <c r="E10299" i="1"/>
  <c r="G10299" i="1"/>
  <c r="B10300" i="1"/>
  <c r="A10300" i="1"/>
  <c r="E10300" i="1"/>
  <c r="G10300" i="1"/>
  <c r="B10301" i="1"/>
  <c r="A10301" i="1"/>
  <c r="E10301" i="1"/>
  <c r="B10302" i="1"/>
  <c r="A10302" i="1"/>
  <c r="E10302" i="1"/>
  <c r="B10303" i="1"/>
  <c r="A10303" i="1"/>
  <c r="E10303" i="1"/>
  <c r="B10304" i="1"/>
  <c r="A10304" i="1"/>
  <c r="E10304" i="1"/>
  <c r="B10305" i="1"/>
  <c r="A10305" i="1"/>
  <c r="E10305" i="1"/>
  <c r="A10306" i="1"/>
  <c r="E10306" i="1"/>
  <c r="A10307" i="1"/>
  <c r="E10307" i="1"/>
  <c r="A10308" i="1"/>
  <c r="E10308" i="1"/>
  <c r="A10309" i="1"/>
  <c r="E10309" i="1"/>
  <c r="A10310" i="1"/>
  <c r="E10310" i="1"/>
  <c r="B10311" i="1"/>
  <c r="A10311" i="1"/>
  <c r="E10311" i="1"/>
  <c r="B10312" i="1"/>
  <c r="A10312" i="1"/>
  <c r="E10312" i="1"/>
  <c r="B10313" i="1"/>
  <c r="A10313" i="1"/>
  <c r="E10313" i="1"/>
  <c r="B10314" i="1"/>
  <c r="A10314" i="1"/>
  <c r="E10314" i="1"/>
  <c r="B10315" i="1"/>
  <c r="A10315" i="1"/>
  <c r="E10315" i="1"/>
  <c r="B10316" i="1"/>
  <c r="A10316" i="1"/>
  <c r="E10316" i="1"/>
  <c r="B10317" i="1"/>
  <c r="A10317" i="1"/>
  <c r="E10317" i="1"/>
  <c r="G10317" i="1"/>
  <c r="B10318" i="1"/>
  <c r="A10318" i="1"/>
  <c r="E10318" i="1"/>
  <c r="B10319" i="1"/>
  <c r="A10319" i="1"/>
  <c r="E10319" i="1"/>
  <c r="B10320" i="1"/>
  <c r="A10320" i="1"/>
  <c r="E10320" i="1"/>
  <c r="B10321" i="1"/>
  <c r="A10321" i="1"/>
  <c r="E10321" i="1"/>
  <c r="B10322" i="1"/>
  <c r="A10322" i="1"/>
  <c r="E10322" i="1"/>
  <c r="B10323" i="1"/>
  <c r="A10323" i="1"/>
  <c r="E10323" i="1"/>
  <c r="B10324" i="1"/>
  <c r="A10324" i="1"/>
  <c r="E10324" i="1"/>
  <c r="B10325" i="1"/>
  <c r="A10325" i="1"/>
  <c r="E10325" i="1"/>
  <c r="B10326" i="1"/>
  <c r="A10326" i="1"/>
  <c r="E10326" i="1"/>
  <c r="B10327" i="1"/>
  <c r="A10327" i="1"/>
  <c r="E10327" i="1"/>
  <c r="B10328" i="1"/>
  <c r="A10328" i="1"/>
  <c r="E10328" i="1"/>
  <c r="B10329" i="1"/>
  <c r="A10329" i="1"/>
  <c r="E10329" i="1"/>
  <c r="B10330" i="1"/>
  <c r="A10330" i="1"/>
  <c r="E10330" i="1"/>
  <c r="B10331" i="1"/>
  <c r="A10331" i="1"/>
  <c r="E10331" i="1"/>
  <c r="B10332" i="1"/>
  <c r="A10332" i="1"/>
  <c r="E10332" i="1"/>
  <c r="F10332" i="1"/>
  <c r="G10332" i="1"/>
  <c r="B10333" i="1"/>
  <c r="A10333" i="1"/>
  <c r="E10333" i="1"/>
  <c r="F10333" i="1"/>
  <c r="G10333" i="1"/>
  <c r="B10334" i="1"/>
  <c r="A10334" i="1"/>
  <c r="E10334" i="1"/>
  <c r="F10334" i="1"/>
  <c r="G10334" i="1"/>
  <c r="B10335" i="1"/>
  <c r="A10335" i="1"/>
  <c r="E10335" i="1"/>
  <c r="F10335" i="1"/>
  <c r="B10336" i="1"/>
  <c r="A10336" i="1"/>
  <c r="E10336" i="1"/>
  <c r="F10336" i="1"/>
  <c r="B10337" i="1"/>
  <c r="A10337" i="1"/>
  <c r="E10337" i="1"/>
  <c r="F10337" i="1"/>
  <c r="G10337" i="1"/>
  <c r="B10338" i="1"/>
  <c r="A10338" i="1"/>
  <c r="E10338" i="1"/>
  <c r="F10338" i="1"/>
  <c r="G10338" i="1"/>
  <c r="B10339" i="1"/>
  <c r="A10339" i="1"/>
  <c r="E10339" i="1"/>
  <c r="F10339" i="1"/>
  <c r="G10339" i="1"/>
  <c r="B10340" i="1"/>
  <c r="A10340" i="1"/>
  <c r="E10340" i="1"/>
  <c r="F10340" i="1"/>
  <c r="G10340" i="1"/>
  <c r="B10341" i="1"/>
  <c r="A10341" i="1"/>
  <c r="E10341" i="1"/>
  <c r="F10341" i="1"/>
  <c r="G10341" i="1"/>
  <c r="B10342" i="1"/>
  <c r="A10342" i="1"/>
  <c r="E10342" i="1"/>
  <c r="F10342" i="1"/>
  <c r="B10343" i="1"/>
  <c r="A10343" i="1"/>
  <c r="E10343" i="1"/>
  <c r="F10343" i="1"/>
  <c r="B10344" i="1"/>
  <c r="A10344" i="1"/>
  <c r="E10344" i="1"/>
  <c r="F10344" i="1"/>
  <c r="B10345" i="1"/>
  <c r="A10345" i="1"/>
  <c r="E10345" i="1"/>
  <c r="F10345" i="1"/>
  <c r="B10346" i="1"/>
  <c r="A10346" i="1"/>
  <c r="E10346" i="1"/>
  <c r="F10346" i="1"/>
  <c r="G10346" i="1"/>
  <c r="B10347" i="1"/>
  <c r="A10347" i="1"/>
  <c r="E10347" i="1"/>
  <c r="F10347" i="1"/>
  <c r="B10348" i="1"/>
  <c r="A10348" i="1"/>
  <c r="E10348" i="1"/>
  <c r="F10348" i="1"/>
  <c r="G10348" i="1"/>
  <c r="B10349" i="1"/>
  <c r="A10349" i="1"/>
  <c r="E10349" i="1"/>
  <c r="F10349" i="1"/>
  <c r="B10350" i="1"/>
  <c r="A10350" i="1"/>
  <c r="E10350" i="1"/>
  <c r="F10350" i="1"/>
  <c r="G10350" i="1"/>
  <c r="B10351" i="1"/>
  <c r="A10351" i="1"/>
  <c r="E10351" i="1"/>
  <c r="F10351" i="1"/>
  <c r="B10352" i="1"/>
  <c r="A10352" i="1"/>
  <c r="E10352" i="1"/>
  <c r="F10352" i="1"/>
  <c r="B10353" i="1"/>
  <c r="A10353" i="1"/>
  <c r="E10353" i="1"/>
  <c r="F10353" i="1"/>
  <c r="B10354" i="1"/>
  <c r="A10354" i="1"/>
  <c r="E10354" i="1"/>
  <c r="F10354" i="1"/>
  <c r="B10355" i="1"/>
  <c r="A10355" i="1"/>
  <c r="E10355" i="1"/>
  <c r="F10355" i="1"/>
  <c r="G10355" i="1"/>
  <c r="B10356" i="1"/>
  <c r="A10356" i="1"/>
  <c r="E10356" i="1"/>
  <c r="F10356" i="1"/>
  <c r="G10356" i="1"/>
  <c r="B10357" i="1"/>
  <c r="A10357" i="1"/>
  <c r="E10357" i="1"/>
  <c r="F10357" i="1"/>
  <c r="B10358" i="1"/>
  <c r="A10358" i="1"/>
  <c r="E10358" i="1"/>
  <c r="F10358" i="1"/>
  <c r="B10359" i="1"/>
  <c r="A10359" i="1"/>
  <c r="E10359" i="1"/>
  <c r="F10359" i="1"/>
  <c r="B10360" i="1"/>
  <c r="A10360" i="1"/>
  <c r="E10360" i="1"/>
  <c r="F10360" i="1"/>
  <c r="B10361" i="1"/>
  <c r="A10361" i="1"/>
  <c r="E10361" i="1"/>
  <c r="F10361" i="1"/>
  <c r="B10362" i="1"/>
  <c r="A10362" i="1"/>
  <c r="E10362" i="1"/>
  <c r="F10362" i="1"/>
  <c r="B10363" i="1"/>
  <c r="A10363" i="1"/>
  <c r="E10363" i="1"/>
  <c r="F10363" i="1"/>
  <c r="B10364" i="1"/>
  <c r="A10364" i="1"/>
  <c r="E10364" i="1"/>
  <c r="F10364" i="1"/>
  <c r="B10365" i="1"/>
  <c r="A10365" i="1"/>
  <c r="E10365" i="1"/>
  <c r="F10365" i="1"/>
  <c r="B10366" i="1"/>
  <c r="A10366" i="1"/>
  <c r="E10366" i="1"/>
  <c r="B10367" i="1"/>
  <c r="A10367" i="1"/>
  <c r="E10367" i="1"/>
  <c r="B10368" i="1"/>
  <c r="A10368" i="1"/>
  <c r="E10368" i="1"/>
  <c r="B10369" i="1"/>
  <c r="A10369" i="1"/>
  <c r="E10369" i="1"/>
  <c r="B10370" i="1"/>
  <c r="A10370" i="1"/>
  <c r="E10370" i="1"/>
  <c r="B10371" i="1"/>
  <c r="A10371" i="1"/>
  <c r="E10371" i="1"/>
  <c r="G10371" i="1"/>
  <c r="B10372" i="1"/>
  <c r="A10372" i="1"/>
  <c r="E10372" i="1"/>
  <c r="B10373" i="1"/>
  <c r="A10373" i="1"/>
  <c r="E10373" i="1"/>
  <c r="B10374" i="1"/>
  <c r="A10374" i="1"/>
  <c r="E10374" i="1"/>
  <c r="B10375" i="1"/>
  <c r="A10375" i="1"/>
  <c r="E10375" i="1"/>
  <c r="B10376" i="1"/>
  <c r="A10376" i="1"/>
  <c r="E10376" i="1"/>
  <c r="B10377" i="1"/>
  <c r="A10377" i="1"/>
  <c r="E10377" i="1"/>
  <c r="B10378" i="1"/>
  <c r="A10378" i="1"/>
  <c r="E10378" i="1"/>
  <c r="B10379" i="1"/>
  <c r="A10379" i="1"/>
  <c r="E10379" i="1"/>
  <c r="B10380" i="1"/>
  <c r="A10380" i="1"/>
  <c r="E10380" i="1"/>
  <c r="B10381" i="1"/>
  <c r="A10381" i="1"/>
  <c r="E10381" i="1"/>
  <c r="B10382" i="1"/>
  <c r="A10382" i="1"/>
  <c r="E10382" i="1"/>
  <c r="B10383" i="1"/>
  <c r="A10383" i="1"/>
  <c r="E10383" i="1"/>
  <c r="G10383" i="1"/>
  <c r="B10384" i="1"/>
  <c r="A10384" i="1"/>
  <c r="E10384" i="1"/>
  <c r="B10385" i="1"/>
  <c r="A10385" i="1"/>
  <c r="E10385" i="1"/>
  <c r="B10386" i="1"/>
  <c r="A10386" i="1"/>
  <c r="E10386" i="1"/>
  <c r="B10387" i="1"/>
  <c r="A10387" i="1"/>
  <c r="E10387" i="1"/>
  <c r="B10388" i="1"/>
  <c r="A10388" i="1"/>
  <c r="E10388" i="1"/>
  <c r="G10388" i="1"/>
  <c r="B10389" i="1"/>
  <c r="A10389" i="1"/>
  <c r="E10389" i="1"/>
  <c r="B10390" i="1"/>
  <c r="A10390" i="1"/>
  <c r="E10390" i="1"/>
  <c r="B10391" i="1"/>
  <c r="A10391" i="1"/>
  <c r="E10391" i="1"/>
  <c r="B10392" i="1"/>
  <c r="A10392" i="1"/>
  <c r="E10392" i="1"/>
  <c r="B10393" i="1"/>
  <c r="A10393" i="1"/>
  <c r="E10393" i="1"/>
  <c r="B10394" i="1"/>
  <c r="A10394" i="1"/>
  <c r="E10394" i="1"/>
  <c r="B10395" i="1"/>
  <c r="A10395" i="1"/>
  <c r="E10395" i="1"/>
  <c r="G10395" i="1"/>
  <c r="B10396" i="1"/>
  <c r="A10396" i="1"/>
  <c r="E10396" i="1"/>
  <c r="B10397" i="1"/>
  <c r="A10397" i="1"/>
  <c r="E10397" i="1"/>
  <c r="B10398" i="1"/>
  <c r="A10398" i="1"/>
  <c r="E10398" i="1"/>
  <c r="B10399" i="1"/>
  <c r="A10399" i="1"/>
  <c r="E10399" i="1"/>
  <c r="B10400" i="1"/>
  <c r="A10400" i="1"/>
  <c r="E10400" i="1"/>
  <c r="B10401" i="1"/>
  <c r="A10401" i="1"/>
  <c r="E10401" i="1"/>
  <c r="B10402" i="1"/>
  <c r="A10402" i="1"/>
  <c r="E10402" i="1"/>
  <c r="B10403" i="1"/>
  <c r="A10403" i="1"/>
  <c r="E10403" i="1"/>
  <c r="B10404" i="1"/>
  <c r="A10404" i="1"/>
  <c r="E10404" i="1"/>
  <c r="B10405" i="1"/>
  <c r="A10405" i="1"/>
  <c r="E10405" i="1"/>
  <c r="B10406" i="1"/>
  <c r="A10406" i="1"/>
  <c r="E10406" i="1"/>
  <c r="B10407" i="1"/>
  <c r="A10407" i="1"/>
  <c r="E10407" i="1"/>
  <c r="B10408" i="1"/>
  <c r="A10408" i="1"/>
  <c r="E10408" i="1"/>
  <c r="B10409" i="1"/>
  <c r="A10409" i="1"/>
  <c r="E10409" i="1"/>
  <c r="B10410" i="1"/>
  <c r="A10410" i="1"/>
  <c r="E10410" i="1"/>
  <c r="B10411" i="1"/>
  <c r="A10411" i="1"/>
  <c r="E10411" i="1"/>
  <c r="B10412" i="1"/>
  <c r="A10412" i="1"/>
  <c r="E10412" i="1"/>
  <c r="B10413" i="1"/>
  <c r="A10413" i="1"/>
  <c r="E10413" i="1"/>
  <c r="B10414" i="1"/>
  <c r="A10414" i="1"/>
  <c r="E10414" i="1"/>
  <c r="B10415" i="1"/>
  <c r="A10415" i="1"/>
  <c r="E10415" i="1"/>
  <c r="B10416" i="1"/>
  <c r="A10416" i="1"/>
  <c r="E10416" i="1"/>
  <c r="B10417" i="1"/>
  <c r="A10417" i="1"/>
  <c r="E10417" i="1"/>
  <c r="B10418" i="1"/>
  <c r="A10418" i="1"/>
  <c r="E10418" i="1"/>
  <c r="B10419" i="1"/>
  <c r="A10419" i="1"/>
  <c r="E10419" i="1"/>
  <c r="B10420" i="1"/>
  <c r="A10420" i="1"/>
  <c r="E10420" i="1"/>
  <c r="B10421" i="1"/>
  <c r="A10421" i="1"/>
  <c r="E10421" i="1"/>
  <c r="B10422" i="1"/>
  <c r="A10422" i="1"/>
  <c r="E10422" i="1"/>
  <c r="B10423" i="1"/>
  <c r="A10423" i="1"/>
  <c r="E10423" i="1"/>
  <c r="B10424" i="1"/>
  <c r="A10424" i="1"/>
  <c r="E10424" i="1"/>
  <c r="B10425" i="1"/>
  <c r="A10425" i="1"/>
  <c r="E10425" i="1"/>
  <c r="B10426" i="1"/>
  <c r="A10426" i="1"/>
  <c r="E10426" i="1"/>
  <c r="B10427" i="1"/>
  <c r="A10427" i="1"/>
  <c r="E10427" i="1"/>
  <c r="B10428" i="1"/>
  <c r="A10428" i="1"/>
  <c r="E10428" i="1"/>
  <c r="B10429" i="1"/>
  <c r="A10429" i="1"/>
  <c r="E10429" i="1"/>
  <c r="B10430" i="1"/>
  <c r="A10430" i="1"/>
  <c r="E10430" i="1"/>
  <c r="B10431" i="1"/>
  <c r="A10431" i="1"/>
  <c r="E10431" i="1"/>
  <c r="B10432" i="1"/>
  <c r="A10432" i="1"/>
  <c r="E10432" i="1"/>
  <c r="B10433" i="1"/>
  <c r="A10433" i="1"/>
  <c r="E10433" i="1"/>
  <c r="B10434" i="1"/>
  <c r="A10434" i="1"/>
  <c r="E10434" i="1"/>
  <c r="B10435" i="1"/>
  <c r="A10435" i="1"/>
  <c r="E10435" i="1"/>
  <c r="B10436" i="1"/>
  <c r="A10436" i="1"/>
  <c r="E10436" i="1"/>
  <c r="B10437" i="1"/>
  <c r="A10437" i="1"/>
  <c r="E10437" i="1"/>
  <c r="B10438" i="1"/>
  <c r="A10438" i="1"/>
  <c r="E10438" i="1"/>
  <c r="B10439" i="1"/>
  <c r="A10439" i="1"/>
  <c r="E10439" i="1"/>
  <c r="B10440" i="1"/>
  <c r="A10440" i="1"/>
  <c r="E10440" i="1"/>
  <c r="B10441" i="1"/>
  <c r="A10441" i="1"/>
  <c r="E10441" i="1"/>
  <c r="B10442" i="1"/>
  <c r="A10442" i="1"/>
  <c r="E10442" i="1"/>
  <c r="B10443" i="1"/>
  <c r="A10443" i="1"/>
  <c r="E10443" i="1"/>
  <c r="B10444" i="1"/>
  <c r="A10444" i="1"/>
  <c r="E10444" i="1"/>
  <c r="B10445" i="1"/>
  <c r="A10445" i="1"/>
  <c r="E10445" i="1"/>
  <c r="B10446" i="1"/>
  <c r="A10446" i="1"/>
  <c r="E10446" i="1"/>
  <c r="B10447" i="1"/>
  <c r="A10447" i="1"/>
  <c r="E10447" i="1"/>
  <c r="B10448" i="1"/>
  <c r="A10448" i="1"/>
  <c r="E10448" i="1"/>
  <c r="B10449" i="1"/>
  <c r="A10449" i="1"/>
  <c r="E10449" i="1"/>
  <c r="B10450" i="1"/>
  <c r="A10450" i="1"/>
  <c r="E10450" i="1"/>
  <c r="A10451" i="1"/>
  <c r="E10451" i="1"/>
  <c r="B10452" i="1"/>
  <c r="A10452" i="1"/>
  <c r="E10452" i="1"/>
  <c r="B10453" i="1"/>
  <c r="A10453" i="1"/>
  <c r="E10453" i="1"/>
  <c r="B10454" i="1"/>
  <c r="A10454" i="1"/>
  <c r="E10454" i="1"/>
  <c r="B10455" i="1"/>
  <c r="A10455" i="1"/>
  <c r="E10455" i="1"/>
  <c r="B10456" i="1"/>
  <c r="A10456" i="1"/>
  <c r="E10456" i="1"/>
  <c r="B10457" i="1"/>
  <c r="A10457" i="1"/>
  <c r="E10457" i="1"/>
  <c r="B10458" i="1"/>
  <c r="A10458" i="1"/>
  <c r="E10458" i="1"/>
  <c r="B10459" i="1"/>
  <c r="A10459" i="1"/>
  <c r="E10459" i="1"/>
  <c r="B10460" i="1"/>
  <c r="A10460" i="1"/>
  <c r="E10460" i="1"/>
  <c r="B10461" i="1"/>
  <c r="A10461" i="1"/>
  <c r="E10461" i="1"/>
  <c r="B10462" i="1"/>
  <c r="A10462" i="1"/>
  <c r="E10462" i="1"/>
  <c r="B10463" i="1"/>
  <c r="A10463" i="1"/>
  <c r="E10463" i="1"/>
  <c r="B10464" i="1"/>
  <c r="A10464" i="1"/>
  <c r="E10464" i="1"/>
  <c r="B10465" i="1"/>
  <c r="A10465" i="1"/>
  <c r="E10465" i="1"/>
  <c r="B10466" i="1"/>
  <c r="A10466" i="1"/>
  <c r="E10466" i="1"/>
  <c r="B10467" i="1"/>
  <c r="A10467" i="1"/>
  <c r="E10467" i="1"/>
  <c r="B10468" i="1"/>
  <c r="A10468" i="1"/>
  <c r="E10468" i="1"/>
  <c r="B10469" i="1"/>
  <c r="A10469" i="1"/>
  <c r="E10469" i="1"/>
  <c r="B10470" i="1"/>
  <c r="A10470" i="1"/>
  <c r="E10470" i="1"/>
  <c r="B10471" i="1"/>
  <c r="A10471" i="1"/>
  <c r="E10471" i="1"/>
  <c r="B10472" i="1"/>
  <c r="A10472" i="1"/>
  <c r="E10472" i="1"/>
  <c r="B10473" i="1"/>
  <c r="A10473" i="1"/>
  <c r="E10473" i="1"/>
  <c r="B10474" i="1"/>
  <c r="A10474" i="1"/>
  <c r="E10474" i="1"/>
  <c r="B10475" i="1"/>
  <c r="A10475" i="1"/>
  <c r="E10475" i="1"/>
  <c r="B10476" i="1"/>
  <c r="A10476" i="1"/>
  <c r="E10476" i="1"/>
  <c r="B10477" i="1"/>
  <c r="A10477" i="1"/>
  <c r="E10477" i="1"/>
  <c r="B10478" i="1"/>
  <c r="A10478" i="1"/>
  <c r="E10478" i="1"/>
  <c r="B10479" i="1"/>
  <c r="A10479" i="1"/>
  <c r="E10479" i="1"/>
  <c r="B10480" i="1"/>
  <c r="A10480" i="1"/>
  <c r="E10480" i="1"/>
  <c r="B10481" i="1"/>
  <c r="A10481" i="1"/>
  <c r="E10481" i="1"/>
  <c r="B10482" i="1"/>
  <c r="A10482" i="1"/>
  <c r="E10482" i="1"/>
  <c r="B10483" i="1"/>
  <c r="A10483" i="1"/>
  <c r="E10483" i="1"/>
  <c r="B10484" i="1"/>
  <c r="A10484" i="1"/>
  <c r="E10484" i="1"/>
  <c r="B10485" i="1"/>
  <c r="A10485" i="1"/>
  <c r="E10485" i="1"/>
  <c r="B10486" i="1"/>
  <c r="A10486" i="1"/>
  <c r="E10486" i="1"/>
  <c r="B10487" i="1"/>
  <c r="A10487" i="1"/>
  <c r="E10487" i="1"/>
  <c r="B10488" i="1"/>
  <c r="A10488" i="1"/>
  <c r="E10488" i="1"/>
  <c r="B10489" i="1"/>
  <c r="A10489" i="1"/>
  <c r="E10489" i="1"/>
  <c r="B10490" i="1"/>
  <c r="A10490" i="1"/>
  <c r="E10490" i="1"/>
  <c r="B10491" i="1"/>
  <c r="A10491" i="1"/>
  <c r="E10491" i="1"/>
  <c r="B10492" i="1"/>
  <c r="A10492" i="1"/>
  <c r="E10492" i="1"/>
  <c r="B10493" i="1"/>
  <c r="A10493" i="1"/>
  <c r="E10493" i="1"/>
  <c r="B10494" i="1"/>
  <c r="A10494" i="1"/>
  <c r="E10494" i="1"/>
  <c r="B10495" i="1"/>
  <c r="A10495" i="1"/>
  <c r="E10495" i="1"/>
  <c r="B10496" i="1"/>
  <c r="A10496" i="1"/>
  <c r="E10496" i="1"/>
  <c r="B10497" i="1"/>
  <c r="A10497" i="1"/>
  <c r="E10497" i="1"/>
  <c r="B10498" i="1"/>
  <c r="A10498" i="1"/>
  <c r="E10498" i="1"/>
  <c r="B10499" i="1"/>
  <c r="A10499" i="1"/>
  <c r="E10499" i="1"/>
  <c r="B10500" i="1"/>
  <c r="A10500" i="1"/>
  <c r="E10500" i="1"/>
  <c r="A10501" i="1"/>
  <c r="E10501" i="1"/>
  <c r="G10501" i="1"/>
  <c r="B10502" i="1"/>
  <c r="A10502" i="1"/>
  <c r="E10502" i="1"/>
  <c r="B10503" i="1"/>
  <c r="A10503" i="1"/>
  <c r="E10503" i="1"/>
  <c r="B10504" i="1"/>
  <c r="A10504" i="1"/>
  <c r="E10504" i="1"/>
  <c r="B10505" i="1"/>
  <c r="A10505" i="1"/>
  <c r="E10505" i="1"/>
  <c r="B10506" i="1"/>
  <c r="A10506" i="1"/>
  <c r="E10506" i="1"/>
  <c r="B10507" i="1"/>
  <c r="A10507" i="1"/>
  <c r="E10507" i="1"/>
  <c r="B10508" i="1"/>
  <c r="A10508" i="1"/>
  <c r="E10508" i="1"/>
  <c r="G10508" i="1"/>
  <c r="B10509" i="1"/>
  <c r="A10509" i="1"/>
  <c r="E10509" i="1"/>
  <c r="A10510" i="1"/>
  <c r="E10510" i="1"/>
  <c r="A10511" i="1"/>
  <c r="E10511" i="1"/>
  <c r="B10512" i="1"/>
  <c r="A10512" i="1"/>
  <c r="E10512" i="1"/>
  <c r="B10513" i="1"/>
  <c r="A10513" i="1"/>
  <c r="E10513" i="1"/>
  <c r="B10514" i="1"/>
  <c r="A10514" i="1"/>
  <c r="E10514" i="1"/>
  <c r="B10515" i="1"/>
  <c r="A10515" i="1"/>
  <c r="E10515" i="1"/>
  <c r="B10516" i="1"/>
  <c r="A10516" i="1"/>
  <c r="E10516" i="1"/>
  <c r="B10517" i="1"/>
  <c r="A10517" i="1"/>
  <c r="E10517" i="1"/>
  <c r="B10518" i="1"/>
  <c r="A10518" i="1"/>
  <c r="E10518" i="1"/>
  <c r="B10519" i="1"/>
  <c r="A10519" i="1"/>
  <c r="E10519" i="1"/>
  <c r="B10520" i="1"/>
  <c r="A10520" i="1"/>
  <c r="E10520" i="1"/>
  <c r="B10521" i="1"/>
  <c r="A10521" i="1"/>
  <c r="E10521" i="1"/>
  <c r="B10522" i="1"/>
  <c r="A10522" i="1"/>
  <c r="E10522" i="1"/>
  <c r="B10523" i="1"/>
  <c r="A10523" i="1"/>
  <c r="E10523" i="1"/>
  <c r="B10524" i="1"/>
  <c r="A10524" i="1"/>
  <c r="E10524" i="1"/>
  <c r="B10525" i="1"/>
  <c r="A10525" i="1"/>
  <c r="E10525" i="1"/>
  <c r="B10526" i="1"/>
  <c r="A10526" i="1"/>
  <c r="E10526" i="1"/>
  <c r="B10527" i="1"/>
  <c r="A10527" i="1"/>
  <c r="E10527" i="1"/>
  <c r="B10528" i="1"/>
  <c r="A10528" i="1"/>
  <c r="E10528" i="1"/>
  <c r="B10529" i="1"/>
  <c r="A10529" i="1"/>
  <c r="E10529" i="1"/>
  <c r="F10529" i="1"/>
  <c r="B10530" i="1"/>
  <c r="A10530" i="1"/>
  <c r="E10530" i="1"/>
  <c r="F10530" i="1"/>
  <c r="G10530" i="1"/>
  <c r="B10531" i="1"/>
  <c r="A10531" i="1"/>
  <c r="E10531" i="1"/>
  <c r="F10531" i="1"/>
  <c r="G10531" i="1"/>
  <c r="B10532" i="1"/>
  <c r="A10532" i="1"/>
  <c r="E10532" i="1"/>
  <c r="F10532" i="1"/>
  <c r="G10532" i="1"/>
  <c r="B10533" i="1"/>
  <c r="A10533" i="1"/>
  <c r="E10533" i="1"/>
  <c r="F10533" i="1"/>
  <c r="G10533" i="1"/>
  <c r="B10534" i="1"/>
  <c r="A10534" i="1"/>
  <c r="E10534" i="1"/>
  <c r="F10534" i="1"/>
  <c r="G10534" i="1"/>
  <c r="B10535" i="1"/>
  <c r="A10535" i="1"/>
  <c r="E10535" i="1"/>
  <c r="F10535" i="1"/>
  <c r="G10535" i="1"/>
  <c r="B10536" i="1"/>
  <c r="A10536" i="1"/>
  <c r="E10536" i="1"/>
  <c r="F10536" i="1"/>
  <c r="B10537" i="1"/>
  <c r="A10537" i="1"/>
  <c r="E10537" i="1"/>
  <c r="F10537" i="1"/>
  <c r="G10537" i="1"/>
  <c r="B10538" i="1"/>
  <c r="A10538" i="1"/>
  <c r="E10538" i="1"/>
  <c r="F10538" i="1"/>
  <c r="G10538" i="1"/>
  <c r="B10539" i="1"/>
  <c r="A10539" i="1"/>
  <c r="E10539" i="1"/>
  <c r="F10539" i="1"/>
  <c r="B10540" i="1"/>
  <c r="A10540" i="1"/>
  <c r="E10540" i="1"/>
  <c r="F10540" i="1"/>
  <c r="G10540" i="1"/>
  <c r="B10541" i="1"/>
  <c r="A10541" i="1"/>
  <c r="E10541" i="1"/>
  <c r="F10541" i="1"/>
  <c r="G10541" i="1"/>
  <c r="B10542" i="1"/>
  <c r="A10542" i="1"/>
  <c r="E10542" i="1"/>
  <c r="F10542" i="1"/>
  <c r="B10543" i="1"/>
  <c r="A10543" i="1"/>
  <c r="E10543" i="1"/>
  <c r="F10543" i="1"/>
  <c r="B10544" i="1"/>
  <c r="A10544" i="1"/>
  <c r="E10544" i="1"/>
  <c r="F10544" i="1"/>
  <c r="G10544" i="1"/>
  <c r="B10545" i="1"/>
  <c r="A10545" i="1"/>
  <c r="E10545" i="1"/>
  <c r="F10545" i="1"/>
  <c r="G10545" i="1"/>
  <c r="B10546" i="1"/>
  <c r="A10546" i="1"/>
  <c r="E10546" i="1"/>
  <c r="B10547" i="1"/>
  <c r="A10547" i="1"/>
  <c r="E10547" i="1"/>
  <c r="B10548" i="1"/>
  <c r="A10548" i="1"/>
  <c r="E10548" i="1"/>
  <c r="B10549" i="1"/>
  <c r="A10549" i="1"/>
  <c r="E10549" i="1"/>
  <c r="B10550" i="1"/>
  <c r="A10550" i="1"/>
  <c r="E10550" i="1"/>
  <c r="B10551" i="1"/>
  <c r="A10551" i="1"/>
  <c r="E10551" i="1"/>
  <c r="B10552" i="1"/>
  <c r="A10552" i="1"/>
  <c r="E10552" i="1"/>
  <c r="B10553" i="1"/>
  <c r="A10553" i="1"/>
  <c r="E10553" i="1"/>
  <c r="B10554" i="1"/>
  <c r="A10554" i="1"/>
  <c r="E10554" i="1"/>
  <c r="B10555" i="1"/>
  <c r="A10555" i="1"/>
  <c r="E10555" i="1"/>
  <c r="B10556" i="1"/>
  <c r="A10556" i="1"/>
  <c r="E10556" i="1"/>
  <c r="B10557" i="1"/>
  <c r="A10557" i="1"/>
  <c r="E10557" i="1"/>
  <c r="B10558" i="1"/>
  <c r="A10558" i="1"/>
  <c r="E10558" i="1"/>
  <c r="A10559" i="1"/>
  <c r="E10559" i="1"/>
  <c r="B10560" i="1"/>
  <c r="A10560" i="1"/>
  <c r="E10560" i="1"/>
  <c r="B10561" i="1"/>
  <c r="A10561" i="1"/>
  <c r="E10561" i="1"/>
  <c r="B10562" i="1"/>
  <c r="A10562" i="1"/>
  <c r="E10562" i="1"/>
  <c r="B10563" i="1"/>
  <c r="A10563" i="1"/>
  <c r="E10563" i="1"/>
  <c r="A10564" i="1"/>
  <c r="E10564" i="1"/>
  <c r="G10564" i="1"/>
  <c r="B10565" i="1"/>
  <c r="A10565" i="1"/>
  <c r="E10565" i="1"/>
  <c r="B10566" i="1"/>
  <c r="A10566" i="1"/>
  <c r="E10566" i="1"/>
  <c r="B10567" i="1"/>
  <c r="A10567" i="1"/>
  <c r="E10567" i="1"/>
  <c r="B10568" i="1"/>
  <c r="A10568" i="1"/>
  <c r="E10568" i="1"/>
  <c r="B10569" i="1"/>
  <c r="A10569" i="1"/>
  <c r="E10569" i="1"/>
  <c r="B10570" i="1"/>
  <c r="A10570" i="1"/>
  <c r="E10570" i="1"/>
  <c r="B10571" i="1"/>
  <c r="A10571" i="1"/>
  <c r="E10571" i="1"/>
  <c r="B10572" i="1"/>
  <c r="A10572" i="1"/>
  <c r="E10572" i="1"/>
  <c r="B10573" i="1"/>
  <c r="A10573" i="1"/>
  <c r="E10573" i="1"/>
  <c r="B10574" i="1"/>
  <c r="A10574" i="1"/>
  <c r="E10574" i="1"/>
  <c r="B10575" i="1"/>
  <c r="A10575" i="1"/>
  <c r="E10575" i="1"/>
  <c r="B10576" i="1"/>
  <c r="A10576" i="1"/>
  <c r="E10576" i="1"/>
  <c r="B10577" i="1"/>
  <c r="A10577" i="1"/>
  <c r="E10577" i="1"/>
  <c r="B10578" i="1"/>
  <c r="A10578" i="1"/>
  <c r="E10578" i="1"/>
  <c r="B10579" i="1"/>
  <c r="A10579" i="1"/>
  <c r="E10579" i="1"/>
  <c r="A10580" i="1"/>
  <c r="E10580" i="1"/>
  <c r="B10581" i="1"/>
  <c r="A10581" i="1"/>
  <c r="E10581" i="1"/>
  <c r="B10582" i="1"/>
  <c r="A10582" i="1"/>
  <c r="E10582" i="1"/>
  <c r="B10583" i="1"/>
  <c r="A10583" i="1"/>
  <c r="E10583" i="1"/>
  <c r="B10584" i="1"/>
  <c r="A10584" i="1"/>
  <c r="E10584" i="1"/>
  <c r="B10585" i="1"/>
  <c r="A10585" i="1"/>
  <c r="E10585" i="1"/>
  <c r="B10586" i="1"/>
  <c r="A10586" i="1"/>
  <c r="E10586" i="1"/>
  <c r="B10587" i="1"/>
  <c r="A10587" i="1"/>
  <c r="E10587" i="1"/>
  <c r="B10588" i="1"/>
  <c r="A10588" i="1"/>
  <c r="E10588" i="1"/>
  <c r="B10589" i="1"/>
  <c r="A10589" i="1"/>
  <c r="E10589" i="1"/>
  <c r="B10590" i="1"/>
  <c r="A10590" i="1"/>
  <c r="E10590" i="1"/>
  <c r="B10591" i="1"/>
  <c r="A10591" i="1"/>
  <c r="E10591" i="1"/>
  <c r="B10592" i="1"/>
  <c r="A10592" i="1"/>
  <c r="E10592" i="1"/>
  <c r="A10593" i="1"/>
  <c r="E10593" i="1"/>
  <c r="A10594" i="1"/>
  <c r="E10594" i="1"/>
  <c r="B10595" i="1"/>
  <c r="A10595" i="1"/>
  <c r="E10595" i="1"/>
  <c r="B10596" i="1"/>
  <c r="A10596" i="1"/>
  <c r="E10596" i="1"/>
  <c r="B10597" i="1"/>
  <c r="A10597" i="1"/>
  <c r="E10597" i="1"/>
  <c r="B10598" i="1"/>
  <c r="A10598" i="1"/>
  <c r="E10598" i="1"/>
  <c r="B10599" i="1"/>
  <c r="A10599" i="1"/>
  <c r="E10599" i="1"/>
  <c r="B10600" i="1"/>
  <c r="A10600" i="1"/>
  <c r="E10600" i="1"/>
  <c r="B10601" i="1"/>
  <c r="A10601" i="1"/>
  <c r="E10601" i="1"/>
  <c r="B10602" i="1"/>
  <c r="A10602" i="1"/>
  <c r="E10602" i="1"/>
  <c r="B10603" i="1"/>
  <c r="A10603" i="1"/>
  <c r="E10603" i="1"/>
  <c r="B10604" i="1"/>
  <c r="A10604" i="1"/>
  <c r="E10604" i="1"/>
  <c r="B10605" i="1"/>
  <c r="A10605" i="1"/>
  <c r="E10605" i="1"/>
  <c r="B10606" i="1"/>
  <c r="A10606" i="1"/>
  <c r="E10606" i="1"/>
  <c r="B10607" i="1"/>
  <c r="A10607" i="1"/>
  <c r="E10607" i="1"/>
  <c r="B10608" i="1"/>
  <c r="A10608" i="1"/>
  <c r="E10608" i="1"/>
  <c r="B10609" i="1"/>
  <c r="A10609" i="1"/>
  <c r="E10609" i="1"/>
  <c r="B10610" i="1"/>
  <c r="A10610" i="1"/>
  <c r="E10610" i="1"/>
  <c r="B10611" i="1"/>
  <c r="A10611" i="1"/>
  <c r="E10611" i="1"/>
  <c r="B10612" i="1"/>
  <c r="A10612" i="1"/>
  <c r="E10612" i="1"/>
  <c r="B10613" i="1"/>
  <c r="A10613" i="1"/>
  <c r="E10613" i="1"/>
  <c r="B10614" i="1"/>
  <c r="A10614" i="1"/>
  <c r="E10614" i="1"/>
  <c r="B10615" i="1"/>
  <c r="A10615" i="1"/>
  <c r="E10615" i="1"/>
  <c r="B10616" i="1"/>
  <c r="A10616" i="1"/>
  <c r="E10616" i="1"/>
  <c r="B10617" i="1"/>
  <c r="A10617" i="1"/>
  <c r="E10617" i="1"/>
  <c r="B10618" i="1"/>
  <c r="A10618" i="1"/>
  <c r="E10618" i="1"/>
  <c r="B10619" i="1"/>
  <c r="A10619" i="1"/>
  <c r="E10619" i="1"/>
  <c r="B10620" i="1"/>
  <c r="A10620" i="1"/>
  <c r="E10620" i="1"/>
  <c r="B10621" i="1"/>
  <c r="A10621" i="1"/>
  <c r="E10621" i="1"/>
  <c r="F10621" i="1"/>
  <c r="B10622" i="1"/>
  <c r="A10622" i="1"/>
  <c r="E10622" i="1"/>
  <c r="F10622" i="1"/>
  <c r="B10623" i="1"/>
  <c r="A10623" i="1"/>
  <c r="E10623" i="1"/>
  <c r="F10623" i="1"/>
  <c r="B10624" i="1"/>
  <c r="A10624" i="1"/>
  <c r="E10624" i="1"/>
  <c r="F10624" i="1"/>
  <c r="B10625" i="1"/>
  <c r="A10625" i="1"/>
  <c r="E10625" i="1"/>
  <c r="F10625" i="1"/>
  <c r="B10626" i="1"/>
  <c r="A10626" i="1"/>
  <c r="E10626" i="1"/>
  <c r="F10626" i="1"/>
  <c r="B10627" i="1"/>
  <c r="A10627" i="1"/>
  <c r="E10627" i="1"/>
  <c r="F10627" i="1"/>
  <c r="B10628" i="1"/>
  <c r="A10628" i="1"/>
  <c r="E10628" i="1"/>
  <c r="F10628" i="1"/>
  <c r="G10628" i="1"/>
  <c r="B10629" i="1"/>
  <c r="A10629" i="1"/>
  <c r="E10629" i="1"/>
  <c r="F10629" i="1"/>
  <c r="G10629" i="1"/>
  <c r="B10630" i="1"/>
  <c r="A10630" i="1"/>
  <c r="E10630" i="1"/>
  <c r="F10630" i="1"/>
  <c r="G10630" i="1"/>
  <c r="B10631" i="1"/>
  <c r="A10631" i="1"/>
  <c r="E10631" i="1"/>
  <c r="F10631" i="1"/>
  <c r="G10631" i="1"/>
  <c r="B10632" i="1"/>
  <c r="A10632" i="1"/>
  <c r="E10632" i="1"/>
  <c r="F10632" i="1"/>
  <c r="G10632" i="1"/>
  <c r="B10633" i="1"/>
  <c r="A10633" i="1"/>
  <c r="E10633" i="1"/>
  <c r="F10633" i="1"/>
  <c r="B10634" i="1"/>
  <c r="A10634" i="1"/>
  <c r="E10634" i="1"/>
  <c r="F10634" i="1"/>
  <c r="B10635" i="1"/>
  <c r="A10635" i="1"/>
  <c r="E10635" i="1"/>
  <c r="F10635" i="1"/>
  <c r="B10636" i="1"/>
  <c r="A10636" i="1"/>
  <c r="E10636" i="1"/>
  <c r="F10636" i="1"/>
  <c r="B10637" i="1"/>
  <c r="A10637" i="1"/>
  <c r="E10637" i="1"/>
  <c r="F10637" i="1"/>
  <c r="B10638" i="1"/>
  <c r="A10638" i="1"/>
  <c r="E10638" i="1"/>
  <c r="F10638" i="1"/>
  <c r="B10639" i="1"/>
  <c r="A10639" i="1"/>
  <c r="E10639" i="1"/>
  <c r="F10639" i="1"/>
  <c r="B10640" i="1"/>
  <c r="A10640" i="1"/>
  <c r="E10640" i="1"/>
  <c r="F10640" i="1"/>
  <c r="B10641" i="1"/>
  <c r="A10641" i="1"/>
  <c r="E10641" i="1"/>
  <c r="F10641" i="1"/>
  <c r="B10642" i="1"/>
  <c r="A10642" i="1"/>
  <c r="E10642" i="1"/>
  <c r="F10642" i="1"/>
  <c r="G10642" i="1"/>
  <c r="B10643" i="1"/>
  <c r="A10643" i="1"/>
  <c r="E10643" i="1"/>
  <c r="F10643" i="1"/>
  <c r="B10644" i="1"/>
  <c r="A10644" i="1"/>
  <c r="E10644" i="1"/>
  <c r="F10644" i="1"/>
  <c r="B10645" i="1"/>
  <c r="A10645" i="1"/>
  <c r="E10645" i="1"/>
  <c r="F10645" i="1"/>
  <c r="G10645" i="1"/>
  <c r="B10646" i="1"/>
  <c r="A10646" i="1"/>
  <c r="E10646" i="1"/>
  <c r="F10646" i="1"/>
  <c r="B10647" i="1"/>
  <c r="A10647" i="1"/>
  <c r="E10647" i="1"/>
  <c r="F10647" i="1"/>
  <c r="B10648" i="1"/>
  <c r="A10648" i="1"/>
  <c r="E10648" i="1"/>
  <c r="F10648" i="1"/>
  <c r="B10649" i="1"/>
  <c r="A10649" i="1"/>
  <c r="E10649" i="1"/>
  <c r="F10649" i="1"/>
  <c r="B10650" i="1"/>
  <c r="A10650" i="1"/>
  <c r="E10650" i="1"/>
  <c r="F10650" i="1"/>
  <c r="B10651" i="1"/>
  <c r="A10651" i="1"/>
  <c r="E10651" i="1"/>
  <c r="F10651" i="1"/>
  <c r="B10652" i="1"/>
  <c r="A10652" i="1"/>
  <c r="E10652" i="1"/>
  <c r="F10652" i="1"/>
  <c r="G10652" i="1"/>
  <c r="B10653" i="1"/>
  <c r="A10653" i="1"/>
  <c r="E10653" i="1"/>
  <c r="F10653" i="1"/>
  <c r="B10654" i="1"/>
  <c r="A10654" i="1"/>
  <c r="E10654" i="1"/>
  <c r="F10654" i="1"/>
  <c r="B10655" i="1"/>
  <c r="A10655" i="1"/>
  <c r="E10655" i="1"/>
  <c r="F10655" i="1"/>
  <c r="B10656" i="1"/>
  <c r="A10656" i="1"/>
  <c r="E10656" i="1"/>
  <c r="F10656" i="1"/>
  <c r="B10657" i="1"/>
  <c r="A10657" i="1"/>
  <c r="E10657" i="1"/>
  <c r="F10657" i="1"/>
  <c r="B10658" i="1"/>
  <c r="A10658" i="1"/>
  <c r="E10658" i="1"/>
  <c r="F10658" i="1"/>
  <c r="B10659" i="1"/>
  <c r="A10659" i="1"/>
  <c r="E10659" i="1"/>
  <c r="F10659" i="1"/>
  <c r="G10659" i="1"/>
  <c r="B10660" i="1"/>
  <c r="A10660" i="1"/>
  <c r="E10660" i="1"/>
  <c r="F10660" i="1"/>
  <c r="B10661" i="1"/>
  <c r="A10661" i="1"/>
  <c r="E10661" i="1"/>
  <c r="F10661" i="1"/>
  <c r="B10662" i="1"/>
  <c r="A10662" i="1"/>
  <c r="E10662" i="1"/>
  <c r="F10662" i="1"/>
  <c r="G10662" i="1"/>
  <c r="B10663" i="1"/>
  <c r="A10663" i="1"/>
  <c r="E10663" i="1"/>
  <c r="F10663" i="1"/>
  <c r="B10664" i="1"/>
  <c r="A10664" i="1"/>
  <c r="E10664" i="1"/>
  <c r="F10664" i="1"/>
  <c r="B10665" i="1"/>
  <c r="A10665" i="1"/>
  <c r="E10665" i="1"/>
  <c r="F10665" i="1"/>
  <c r="G10665" i="1"/>
  <c r="B10666" i="1"/>
  <c r="A10666" i="1"/>
  <c r="E10666" i="1"/>
  <c r="F10666" i="1"/>
  <c r="G10666" i="1"/>
  <c r="B10667" i="1"/>
  <c r="A10667" i="1"/>
  <c r="E10667" i="1"/>
  <c r="F10667" i="1"/>
  <c r="G10667" i="1"/>
  <c r="B10668" i="1"/>
  <c r="A10668" i="1"/>
  <c r="E10668" i="1"/>
  <c r="F10668" i="1"/>
  <c r="B10669" i="1"/>
  <c r="A10669" i="1"/>
  <c r="E10669" i="1"/>
  <c r="F10669" i="1"/>
  <c r="B10670" i="1"/>
  <c r="A10670" i="1"/>
  <c r="E10670" i="1"/>
  <c r="F10670" i="1"/>
  <c r="B10671" i="1"/>
  <c r="A10671" i="1"/>
  <c r="E10671" i="1"/>
  <c r="F10671" i="1"/>
  <c r="B10672" i="1"/>
  <c r="A10672" i="1"/>
  <c r="E10672" i="1"/>
  <c r="F10672" i="1"/>
  <c r="B10673" i="1"/>
  <c r="A10673" i="1"/>
  <c r="E10673" i="1"/>
  <c r="F10673" i="1"/>
  <c r="B10674" i="1"/>
  <c r="A10674" i="1"/>
  <c r="E10674" i="1"/>
  <c r="F10674" i="1"/>
  <c r="B10675" i="1"/>
  <c r="A10675" i="1"/>
  <c r="E10675" i="1"/>
  <c r="F10675" i="1"/>
  <c r="B10676" i="1"/>
  <c r="A10676" i="1"/>
  <c r="E10676" i="1"/>
  <c r="F10676" i="1"/>
  <c r="B10677" i="1"/>
  <c r="A10677" i="1"/>
  <c r="E10677" i="1"/>
  <c r="F10677" i="1"/>
  <c r="B10678" i="1"/>
  <c r="A10678" i="1"/>
  <c r="E10678" i="1"/>
  <c r="F10678" i="1"/>
  <c r="B10679" i="1"/>
  <c r="A10679" i="1"/>
  <c r="E10679" i="1"/>
  <c r="F10679" i="1"/>
  <c r="B10680" i="1"/>
  <c r="A10680" i="1"/>
  <c r="E10680" i="1"/>
  <c r="F10680" i="1"/>
  <c r="B10681" i="1"/>
  <c r="A10681" i="1"/>
  <c r="E10681" i="1"/>
  <c r="F10681" i="1"/>
  <c r="B10682" i="1"/>
  <c r="A10682" i="1"/>
  <c r="E10682" i="1"/>
  <c r="F10682" i="1"/>
  <c r="B10683" i="1"/>
  <c r="A10683" i="1"/>
  <c r="E10683" i="1"/>
  <c r="F10683" i="1"/>
  <c r="B10684" i="1"/>
  <c r="A10684" i="1"/>
  <c r="E10684" i="1"/>
  <c r="F10684" i="1"/>
  <c r="B10685" i="1"/>
  <c r="A10685" i="1"/>
  <c r="E10685" i="1"/>
  <c r="F10685" i="1"/>
  <c r="B10686" i="1"/>
  <c r="A10686" i="1"/>
  <c r="E10686" i="1"/>
  <c r="F10686" i="1"/>
  <c r="B10687" i="1"/>
  <c r="A10687" i="1"/>
  <c r="E10687" i="1"/>
  <c r="F10687" i="1"/>
  <c r="B10688" i="1"/>
  <c r="A10688" i="1"/>
  <c r="E10688" i="1"/>
  <c r="F10688" i="1"/>
  <c r="B10689" i="1"/>
  <c r="A10689" i="1"/>
  <c r="E10689" i="1"/>
  <c r="F10689" i="1"/>
  <c r="B10690" i="1"/>
  <c r="A10690" i="1"/>
  <c r="E10690" i="1"/>
  <c r="F10690" i="1"/>
  <c r="B10691" i="1"/>
  <c r="A10691" i="1"/>
  <c r="E10691" i="1"/>
  <c r="F10691" i="1"/>
  <c r="B10692" i="1"/>
  <c r="A10692" i="1"/>
  <c r="E10692" i="1"/>
  <c r="F10692" i="1"/>
  <c r="B10693" i="1"/>
  <c r="A10693" i="1"/>
  <c r="E10693" i="1"/>
  <c r="F10693" i="1"/>
  <c r="B10694" i="1"/>
  <c r="A10694" i="1"/>
  <c r="E10694" i="1"/>
  <c r="F10694" i="1"/>
  <c r="B10695" i="1"/>
  <c r="A10695" i="1"/>
  <c r="E10695" i="1"/>
  <c r="F10695" i="1"/>
  <c r="B10696" i="1"/>
  <c r="A10696" i="1"/>
  <c r="E10696" i="1"/>
  <c r="F10696" i="1"/>
  <c r="B10697" i="1"/>
  <c r="A10697" i="1"/>
  <c r="E10697" i="1"/>
  <c r="F10697" i="1"/>
  <c r="B10698" i="1"/>
  <c r="A10698" i="1"/>
  <c r="E10698" i="1"/>
  <c r="F10698" i="1"/>
  <c r="B10699" i="1"/>
  <c r="A10699" i="1"/>
  <c r="E10699" i="1"/>
  <c r="F10699" i="1"/>
  <c r="B10700" i="1"/>
  <c r="A10700" i="1"/>
  <c r="E10700" i="1"/>
  <c r="F10700" i="1"/>
  <c r="B10701" i="1"/>
  <c r="A10701" i="1"/>
  <c r="E10701" i="1"/>
  <c r="F10701" i="1"/>
  <c r="B10702" i="1"/>
  <c r="A10702" i="1"/>
  <c r="E10702" i="1"/>
  <c r="F10702" i="1"/>
  <c r="G10702" i="1"/>
  <c r="B10703" i="1"/>
  <c r="A10703" i="1"/>
  <c r="E10703" i="1"/>
  <c r="F10703" i="1"/>
  <c r="B10704" i="1"/>
  <c r="A10704" i="1"/>
  <c r="E10704" i="1"/>
  <c r="F10704" i="1"/>
  <c r="G10704" i="1"/>
  <c r="B10705" i="1"/>
  <c r="A10705" i="1"/>
  <c r="E10705" i="1"/>
  <c r="F10705" i="1"/>
  <c r="B10706" i="1"/>
  <c r="A10706" i="1"/>
  <c r="E10706" i="1"/>
  <c r="F10706" i="1"/>
  <c r="B10707" i="1"/>
  <c r="A10707" i="1"/>
  <c r="E10707" i="1"/>
  <c r="F10707" i="1"/>
  <c r="G10707" i="1"/>
  <c r="B10708" i="1"/>
  <c r="A10708" i="1"/>
  <c r="E10708" i="1"/>
  <c r="F10708" i="1"/>
  <c r="G10708" i="1"/>
  <c r="B10709" i="1"/>
  <c r="A10709" i="1"/>
  <c r="E10709" i="1"/>
  <c r="F10709" i="1"/>
  <c r="B10710" i="1"/>
  <c r="A10710" i="1"/>
  <c r="E10710" i="1"/>
  <c r="F10710" i="1"/>
  <c r="G10710" i="1"/>
  <c r="B10711" i="1"/>
  <c r="A10711" i="1"/>
  <c r="E10711" i="1"/>
  <c r="G10711" i="1"/>
  <c r="B10712" i="1"/>
  <c r="A10712" i="1"/>
  <c r="E10712" i="1"/>
  <c r="F10712" i="1"/>
  <c r="B10713" i="1"/>
  <c r="A10713" i="1"/>
  <c r="E10713" i="1"/>
  <c r="B10714" i="1"/>
  <c r="A10714" i="1"/>
  <c r="E10714" i="1"/>
  <c r="B10715" i="1"/>
  <c r="A10715" i="1"/>
  <c r="E10715" i="1"/>
  <c r="B10716" i="1"/>
  <c r="A10716" i="1"/>
  <c r="E10716" i="1"/>
  <c r="B10717" i="1"/>
  <c r="A10717" i="1"/>
  <c r="E10717" i="1"/>
  <c r="B10718" i="1"/>
  <c r="A10718" i="1"/>
  <c r="E10718" i="1"/>
  <c r="B10719" i="1"/>
  <c r="A10719" i="1"/>
  <c r="E10719" i="1"/>
  <c r="B10720" i="1"/>
  <c r="A10720" i="1"/>
  <c r="E10720" i="1"/>
  <c r="B10721" i="1"/>
  <c r="A10721" i="1"/>
  <c r="E10721" i="1"/>
  <c r="B10722" i="1"/>
  <c r="A10722" i="1"/>
  <c r="E10722" i="1"/>
  <c r="B10723" i="1"/>
  <c r="A10723" i="1"/>
  <c r="E10723" i="1"/>
  <c r="B10724" i="1"/>
  <c r="A10724" i="1"/>
  <c r="E10724" i="1"/>
  <c r="B10725" i="1"/>
  <c r="A10725" i="1"/>
  <c r="E10725" i="1"/>
  <c r="G10725" i="1"/>
  <c r="B10726" i="1"/>
  <c r="A10726" i="1"/>
  <c r="E10726" i="1"/>
  <c r="B10727" i="1"/>
  <c r="A10727" i="1"/>
  <c r="E10727" i="1"/>
  <c r="B10728" i="1"/>
  <c r="A10728" i="1"/>
  <c r="E10728" i="1"/>
  <c r="B10729" i="1"/>
  <c r="A10729" i="1"/>
  <c r="E10729" i="1"/>
  <c r="B10730" i="1"/>
  <c r="A10730" i="1"/>
  <c r="E10730" i="1"/>
  <c r="B10731" i="1"/>
  <c r="A10731" i="1"/>
  <c r="E10731" i="1"/>
  <c r="B10732" i="1"/>
  <c r="A10732" i="1"/>
  <c r="E10732" i="1"/>
  <c r="B10733" i="1"/>
  <c r="A10733" i="1"/>
  <c r="E10733" i="1"/>
  <c r="G10733" i="1"/>
  <c r="B10734" i="1"/>
  <c r="A10734" i="1"/>
  <c r="E10734" i="1"/>
  <c r="B10735" i="1"/>
  <c r="A10735" i="1"/>
  <c r="E10735" i="1"/>
  <c r="B10736" i="1"/>
  <c r="A10736" i="1"/>
  <c r="E10736" i="1"/>
  <c r="B10737" i="1"/>
  <c r="A10737" i="1"/>
  <c r="E10737" i="1"/>
  <c r="B10738" i="1"/>
  <c r="A10738" i="1"/>
  <c r="E10738" i="1"/>
  <c r="B10739" i="1"/>
  <c r="A10739" i="1"/>
  <c r="E10739" i="1"/>
  <c r="B10740" i="1"/>
  <c r="A10740" i="1"/>
  <c r="E10740" i="1"/>
  <c r="B10741" i="1"/>
  <c r="A10741" i="1"/>
  <c r="E10741" i="1"/>
  <c r="B10742" i="1"/>
  <c r="A10742" i="1"/>
  <c r="E10742" i="1"/>
  <c r="B10743" i="1"/>
  <c r="A10743" i="1"/>
  <c r="E10743" i="1"/>
  <c r="B10744" i="1"/>
  <c r="A10744" i="1"/>
  <c r="E10744" i="1"/>
  <c r="B10745" i="1"/>
  <c r="A10745" i="1"/>
  <c r="E10745" i="1"/>
  <c r="B10746" i="1"/>
  <c r="A10746" i="1"/>
  <c r="E10746" i="1"/>
  <c r="B10747" i="1"/>
  <c r="A10747" i="1"/>
  <c r="E10747" i="1"/>
  <c r="B10748" i="1"/>
  <c r="A10748" i="1"/>
  <c r="E10748" i="1"/>
  <c r="B10749" i="1"/>
  <c r="A10749" i="1"/>
  <c r="E10749" i="1"/>
  <c r="B10750" i="1"/>
  <c r="A10750" i="1"/>
  <c r="E10750" i="1"/>
  <c r="B10751" i="1"/>
  <c r="A10751" i="1"/>
  <c r="E10751" i="1"/>
  <c r="B10752" i="1"/>
  <c r="A10752" i="1"/>
  <c r="E10752" i="1"/>
  <c r="B10753" i="1"/>
  <c r="A10753" i="1"/>
  <c r="E10753" i="1"/>
  <c r="B10754" i="1"/>
  <c r="A10754" i="1"/>
  <c r="E10754" i="1"/>
  <c r="B10755" i="1"/>
  <c r="A10755" i="1"/>
  <c r="E10755" i="1"/>
  <c r="B10756" i="1"/>
  <c r="A10756" i="1"/>
  <c r="E10756" i="1"/>
  <c r="B10757" i="1"/>
  <c r="A10757" i="1"/>
  <c r="E10757" i="1"/>
  <c r="B10758" i="1"/>
  <c r="A10758" i="1"/>
  <c r="E10758" i="1"/>
  <c r="B10759" i="1"/>
  <c r="A10759" i="1"/>
  <c r="E10759" i="1"/>
  <c r="B10760" i="1"/>
  <c r="A10760" i="1"/>
  <c r="E10760" i="1"/>
  <c r="B10761" i="1"/>
  <c r="A10761" i="1"/>
  <c r="E10761" i="1"/>
  <c r="B10762" i="1"/>
  <c r="A10762" i="1"/>
  <c r="E10762" i="1"/>
  <c r="B10763" i="1"/>
  <c r="A10763" i="1"/>
  <c r="E10763" i="1"/>
  <c r="B10764" i="1"/>
  <c r="A10764" i="1"/>
  <c r="E10764" i="1"/>
  <c r="B10765" i="1"/>
  <c r="A10765" i="1"/>
  <c r="E10765" i="1"/>
  <c r="B10766" i="1"/>
  <c r="A10766" i="1"/>
  <c r="E10766" i="1"/>
  <c r="A10767" i="1"/>
  <c r="E10767" i="1"/>
  <c r="A10768" i="1"/>
  <c r="E10768" i="1"/>
  <c r="A10769" i="1"/>
  <c r="E10769" i="1"/>
  <c r="A10770" i="1"/>
  <c r="E10770" i="1"/>
  <c r="A10771" i="1"/>
  <c r="E10771" i="1"/>
  <c r="A10772" i="1"/>
  <c r="E10772" i="1"/>
  <c r="B10773" i="1"/>
  <c r="A10773" i="1"/>
  <c r="E10773" i="1"/>
  <c r="B10774" i="1"/>
  <c r="A10774" i="1"/>
  <c r="E10774" i="1"/>
  <c r="B10775" i="1"/>
  <c r="A10775" i="1"/>
  <c r="E10775" i="1"/>
  <c r="B10776" i="1"/>
  <c r="A10776" i="1"/>
  <c r="E10776" i="1"/>
  <c r="B10777" i="1"/>
  <c r="A10777" i="1"/>
  <c r="E10777" i="1"/>
  <c r="B10778" i="1"/>
  <c r="A10778" i="1"/>
  <c r="E10778" i="1"/>
  <c r="B10779" i="1"/>
  <c r="A10779" i="1"/>
  <c r="E10779" i="1"/>
  <c r="B10780" i="1"/>
  <c r="A10780" i="1"/>
  <c r="E10780" i="1"/>
  <c r="B10781" i="1"/>
  <c r="A10781" i="1"/>
  <c r="E10781" i="1"/>
  <c r="B10782" i="1"/>
  <c r="A10782" i="1"/>
  <c r="E10782" i="1"/>
  <c r="B10783" i="1"/>
  <c r="A10783" i="1"/>
  <c r="E10783" i="1"/>
  <c r="B10784" i="1"/>
  <c r="A10784" i="1"/>
  <c r="E10784" i="1"/>
  <c r="G10784" i="1"/>
  <c r="B10785" i="1"/>
  <c r="A10785" i="1"/>
  <c r="E10785" i="1"/>
  <c r="G10785" i="1"/>
  <c r="B10786" i="1"/>
  <c r="A10786" i="1"/>
  <c r="E10786" i="1"/>
  <c r="B10787" i="1"/>
  <c r="A10787" i="1"/>
  <c r="E10787" i="1"/>
  <c r="G10787" i="1"/>
  <c r="B10788" i="1"/>
  <c r="A10788" i="1"/>
  <c r="E10788" i="1"/>
  <c r="G10788" i="1"/>
  <c r="B10789" i="1"/>
  <c r="A10789" i="1"/>
  <c r="E10789" i="1"/>
  <c r="G10789" i="1"/>
  <c r="B10790" i="1"/>
  <c r="A10790" i="1"/>
  <c r="E10790" i="1"/>
  <c r="B10791" i="1"/>
  <c r="A10791" i="1"/>
  <c r="E10791" i="1"/>
  <c r="B10792" i="1"/>
  <c r="A10792" i="1"/>
  <c r="E10792" i="1"/>
  <c r="B10793" i="1"/>
  <c r="A10793" i="1"/>
  <c r="E10793" i="1"/>
  <c r="B10794" i="1"/>
  <c r="A10794" i="1"/>
  <c r="E10794" i="1"/>
  <c r="B10795" i="1"/>
  <c r="A10795" i="1"/>
  <c r="E10795" i="1"/>
  <c r="B10796" i="1"/>
  <c r="A10796" i="1"/>
  <c r="E10796" i="1"/>
  <c r="B10797" i="1"/>
  <c r="A10797" i="1"/>
  <c r="E10797" i="1"/>
  <c r="B10798" i="1"/>
  <c r="A10798" i="1"/>
  <c r="E10798" i="1"/>
  <c r="B10799" i="1"/>
  <c r="A10799" i="1"/>
  <c r="E10799" i="1"/>
  <c r="B10800" i="1"/>
  <c r="A10800" i="1"/>
  <c r="E10800" i="1"/>
  <c r="B10801" i="1"/>
  <c r="A10801" i="1"/>
  <c r="E10801" i="1"/>
  <c r="B10802" i="1"/>
  <c r="A10802" i="1"/>
  <c r="E10802" i="1"/>
  <c r="B10803" i="1"/>
  <c r="A10803" i="1"/>
  <c r="E10803" i="1"/>
  <c r="B10804" i="1"/>
  <c r="A10804" i="1"/>
  <c r="E10804" i="1"/>
  <c r="B10805" i="1"/>
  <c r="A10805" i="1"/>
  <c r="E10805" i="1"/>
  <c r="B10806" i="1"/>
  <c r="A10806" i="1"/>
  <c r="E10806" i="1"/>
  <c r="B10807" i="1"/>
  <c r="A10807" i="1"/>
  <c r="E10807" i="1"/>
  <c r="B10808" i="1"/>
  <c r="A10808" i="1"/>
  <c r="E10808" i="1"/>
  <c r="B10809" i="1"/>
  <c r="A10809" i="1"/>
  <c r="E10809" i="1"/>
  <c r="B10810" i="1"/>
  <c r="A10810" i="1"/>
  <c r="E10810" i="1"/>
  <c r="B10811" i="1"/>
  <c r="A10811" i="1"/>
  <c r="E10811" i="1"/>
  <c r="B10812" i="1"/>
  <c r="A10812" i="1"/>
  <c r="E10812" i="1"/>
  <c r="B10813" i="1"/>
  <c r="A10813" i="1"/>
  <c r="E10813" i="1"/>
  <c r="F10813" i="1"/>
  <c r="B10814" i="1"/>
  <c r="A10814" i="1"/>
  <c r="E10814" i="1"/>
  <c r="F10814" i="1"/>
  <c r="B10815" i="1"/>
  <c r="A10815" i="1"/>
  <c r="E10815" i="1"/>
  <c r="B10816" i="1"/>
  <c r="A10816" i="1"/>
  <c r="E10816" i="1"/>
  <c r="B10817" i="1"/>
  <c r="A10817" i="1"/>
  <c r="E10817" i="1"/>
  <c r="B10818" i="1"/>
  <c r="A10818" i="1"/>
  <c r="E10818" i="1"/>
  <c r="B10819" i="1"/>
  <c r="A10819" i="1"/>
  <c r="E10819" i="1"/>
  <c r="B10820" i="1"/>
  <c r="A10820" i="1"/>
  <c r="E10820" i="1"/>
  <c r="B10821" i="1"/>
  <c r="A10821" i="1"/>
  <c r="E10821" i="1"/>
  <c r="B10822" i="1"/>
  <c r="A10822" i="1"/>
  <c r="E10822" i="1"/>
  <c r="B10823" i="1"/>
  <c r="A10823" i="1"/>
  <c r="E10823" i="1"/>
  <c r="B10824" i="1"/>
  <c r="A10824" i="1"/>
  <c r="E10824" i="1"/>
  <c r="B10825" i="1"/>
  <c r="A10825" i="1"/>
  <c r="E10825" i="1"/>
  <c r="B10826" i="1"/>
  <c r="A10826" i="1"/>
  <c r="E10826" i="1"/>
  <c r="B10827" i="1"/>
  <c r="A10827" i="1"/>
  <c r="E10827" i="1"/>
  <c r="B10828" i="1"/>
  <c r="A10828" i="1"/>
  <c r="E10828" i="1"/>
  <c r="B10829" i="1"/>
  <c r="A10829" i="1"/>
  <c r="E10829" i="1"/>
  <c r="B10830" i="1"/>
  <c r="A10830" i="1"/>
  <c r="E10830" i="1"/>
  <c r="B10831" i="1"/>
  <c r="A10831" i="1"/>
  <c r="E10831" i="1"/>
  <c r="B10832" i="1"/>
  <c r="A10832" i="1"/>
  <c r="E10832" i="1"/>
  <c r="B10833" i="1"/>
  <c r="A10833" i="1"/>
  <c r="E10833" i="1"/>
  <c r="B10834" i="1"/>
  <c r="A10834" i="1"/>
  <c r="E10834" i="1"/>
  <c r="B10835" i="1"/>
  <c r="A10835" i="1"/>
  <c r="E10835" i="1"/>
  <c r="B10836" i="1"/>
  <c r="A10836" i="1"/>
  <c r="E10836" i="1"/>
  <c r="B10837" i="1"/>
  <c r="A10837" i="1"/>
  <c r="E10837" i="1"/>
  <c r="B10838" i="1"/>
  <c r="A10838" i="1"/>
  <c r="E10838" i="1"/>
  <c r="B10839" i="1"/>
  <c r="A10839" i="1"/>
  <c r="E10839" i="1"/>
  <c r="B10840" i="1"/>
  <c r="A10840" i="1"/>
  <c r="E10840" i="1"/>
  <c r="B10841" i="1"/>
  <c r="A10841" i="1"/>
  <c r="E10841" i="1"/>
  <c r="B10842" i="1"/>
  <c r="A10842" i="1"/>
  <c r="E10842" i="1"/>
  <c r="B10843" i="1"/>
  <c r="A10843" i="1"/>
  <c r="E10843" i="1"/>
  <c r="B10844" i="1"/>
  <c r="A10844" i="1"/>
  <c r="E10844" i="1"/>
  <c r="B10845" i="1"/>
  <c r="A10845" i="1"/>
  <c r="E10845" i="1"/>
  <c r="B10846" i="1"/>
  <c r="A10846" i="1"/>
  <c r="E10846" i="1"/>
  <c r="B10847" i="1"/>
  <c r="A10847" i="1"/>
  <c r="E10847" i="1"/>
  <c r="B10848" i="1"/>
  <c r="A10848" i="1"/>
  <c r="E10848" i="1"/>
  <c r="B10849" i="1"/>
  <c r="A10849" i="1"/>
  <c r="E10849" i="1"/>
  <c r="B10850" i="1"/>
  <c r="A10850" i="1"/>
  <c r="E10850" i="1"/>
  <c r="B10851" i="1"/>
  <c r="A10851" i="1"/>
  <c r="E10851" i="1"/>
  <c r="G10851" i="1"/>
  <c r="B10852" i="1"/>
  <c r="A10852" i="1"/>
  <c r="E10852" i="1"/>
  <c r="G10852" i="1"/>
  <c r="B10853" i="1"/>
  <c r="A10853" i="1"/>
  <c r="E10853" i="1"/>
  <c r="B10854" i="1"/>
  <c r="A10854" i="1"/>
  <c r="E10854" i="1"/>
  <c r="B10855" i="1"/>
  <c r="A10855" i="1"/>
  <c r="E10855" i="1"/>
  <c r="B10856" i="1"/>
  <c r="A10856" i="1"/>
  <c r="E10856" i="1"/>
  <c r="B10857" i="1"/>
  <c r="A10857" i="1"/>
  <c r="E10857" i="1"/>
  <c r="B10858" i="1"/>
  <c r="A10858" i="1"/>
  <c r="E10858" i="1"/>
  <c r="B10859" i="1"/>
  <c r="A10859" i="1"/>
  <c r="E10859" i="1"/>
  <c r="B10860" i="1"/>
  <c r="A10860" i="1"/>
  <c r="E10860" i="1"/>
  <c r="B10861" i="1"/>
  <c r="A10861" i="1"/>
  <c r="E10861" i="1"/>
  <c r="B10862" i="1"/>
  <c r="A10862" i="1"/>
  <c r="E10862" i="1"/>
  <c r="B10863" i="1"/>
  <c r="A10863" i="1"/>
  <c r="E10863" i="1"/>
  <c r="B10864" i="1"/>
  <c r="A10864" i="1"/>
  <c r="E10864" i="1"/>
  <c r="B10865" i="1"/>
  <c r="A10865" i="1"/>
  <c r="E10865" i="1"/>
  <c r="B10866" i="1"/>
  <c r="A10866" i="1"/>
  <c r="E10866" i="1"/>
  <c r="B10867" i="1"/>
  <c r="A10867" i="1"/>
  <c r="E10867" i="1"/>
  <c r="B10868" i="1"/>
  <c r="A10868" i="1"/>
  <c r="E10868" i="1"/>
  <c r="B10869" i="1"/>
  <c r="A10869" i="1"/>
  <c r="E10869" i="1"/>
  <c r="B10870" i="1"/>
  <c r="A10870" i="1"/>
  <c r="E10870" i="1"/>
  <c r="B10871" i="1"/>
  <c r="A10871" i="1"/>
  <c r="E10871" i="1"/>
  <c r="B10872" i="1"/>
  <c r="A10872" i="1"/>
  <c r="E10872" i="1"/>
  <c r="B10873" i="1"/>
  <c r="A10873" i="1"/>
  <c r="E10873" i="1"/>
  <c r="B10874" i="1"/>
  <c r="A10874" i="1"/>
  <c r="E10874" i="1"/>
  <c r="B10875" i="1"/>
  <c r="A10875" i="1"/>
  <c r="E10875" i="1"/>
  <c r="B10876" i="1"/>
  <c r="A10876" i="1"/>
  <c r="E10876" i="1"/>
  <c r="B10877" i="1"/>
  <c r="A10877" i="1"/>
  <c r="E10877" i="1"/>
  <c r="B10878" i="1"/>
  <c r="A10878" i="1"/>
  <c r="E10878" i="1"/>
  <c r="B10879" i="1"/>
  <c r="A10879" i="1"/>
  <c r="E10879" i="1"/>
  <c r="B10880" i="1"/>
  <c r="A10880" i="1"/>
  <c r="E10880" i="1"/>
  <c r="A10881" i="1"/>
  <c r="E10881" i="1"/>
  <c r="B10882" i="1"/>
  <c r="A10882" i="1"/>
  <c r="E10882" i="1"/>
  <c r="B10883" i="1"/>
  <c r="A10883" i="1"/>
  <c r="E10883" i="1"/>
  <c r="B10884" i="1"/>
  <c r="A10884" i="1"/>
  <c r="E10884" i="1"/>
  <c r="B10885" i="1"/>
  <c r="A10885" i="1"/>
  <c r="E10885" i="1"/>
  <c r="B10886" i="1"/>
  <c r="A10886" i="1"/>
  <c r="E10886" i="1"/>
  <c r="B10887" i="1"/>
  <c r="A10887" i="1"/>
  <c r="E10887" i="1"/>
  <c r="B10888" i="1"/>
  <c r="A10888" i="1"/>
  <c r="E10888" i="1"/>
  <c r="F10888" i="1"/>
  <c r="B10889" i="1"/>
  <c r="A10889" i="1"/>
  <c r="E10889" i="1"/>
  <c r="F10889" i="1"/>
  <c r="B10890" i="1"/>
  <c r="A10890" i="1"/>
  <c r="E10890" i="1"/>
  <c r="F10890" i="1"/>
  <c r="B10891" i="1"/>
  <c r="A10891" i="1"/>
  <c r="E10891" i="1"/>
  <c r="F10891" i="1"/>
  <c r="G10891" i="1"/>
  <c r="B10892" i="1"/>
  <c r="A10892" i="1"/>
  <c r="E10892" i="1"/>
  <c r="F10892" i="1"/>
  <c r="G10892" i="1"/>
  <c r="B10893" i="1"/>
  <c r="A10893" i="1"/>
  <c r="E10893" i="1"/>
  <c r="F10893" i="1"/>
  <c r="G10893" i="1"/>
  <c r="B10894" i="1"/>
  <c r="A10894" i="1"/>
  <c r="E10894" i="1"/>
  <c r="F10894" i="1"/>
  <c r="G10894" i="1"/>
  <c r="B10895" i="1"/>
  <c r="A10895" i="1"/>
  <c r="E10895" i="1"/>
  <c r="F10895" i="1"/>
  <c r="G10895" i="1"/>
  <c r="B10896" i="1"/>
  <c r="A10896" i="1"/>
  <c r="E10896" i="1"/>
  <c r="F10896" i="1"/>
  <c r="G10896" i="1"/>
  <c r="B10897" i="1"/>
  <c r="A10897" i="1"/>
  <c r="E10897" i="1"/>
  <c r="F10897" i="1"/>
  <c r="G10897" i="1"/>
  <c r="B10898" i="1"/>
  <c r="A10898" i="1"/>
  <c r="E10898" i="1"/>
  <c r="F10898" i="1"/>
  <c r="B10899" i="1"/>
  <c r="A10899" i="1"/>
  <c r="E10899" i="1"/>
  <c r="F10899" i="1"/>
  <c r="B10900" i="1"/>
  <c r="A10900" i="1"/>
  <c r="E10900" i="1"/>
  <c r="F10900" i="1"/>
  <c r="B10901" i="1"/>
  <c r="A10901" i="1"/>
  <c r="E10901" i="1"/>
  <c r="F10901" i="1"/>
  <c r="B10902" i="1"/>
  <c r="A10902" i="1"/>
  <c r="E10902" i="1"/>
  <c r="F10902" i="1"/>
  <c r="B10903" i="1"/>
  <c r="A10903" i="1"/>
  <c r="E10903" i="1"/>
  <c r="F10903" i="1"/>
  <c r="B10904" i="1"/>
  <c r="A10904" i="1"/>
  <c r="E10904" i="1"/>
  <c r="F10904" i="1"/>
  <c r="B10905" i="1"/>
  <c r="A10905" i="1"/>
  <c r="E10905" i="1"/>
  <c r="F10905" i="1"/>
  <c r="B10906" i="1"/>
  <c r="A10906" i="1"/>
  <c r="E10906" i="1"/>
  <c r="F10906" i="1"/>
  <c r="B10907" i="1"/>
  <c r="A10907" i="1"/>
  <c r="E10907" i="1"/>
  <c r="F10907" i="1"/>
  <c r="B10908" i="1"/>
  <c r="A10908" i="1"/>
  <c r="E10908" i="1"/>
  <c r="F10908" i="1"/>
  <c r="B10909" i="1"/>
  <c r="A10909" i="1"/>
  <c r="E10909" i="1"/>
  <c r="F10909" i="1"/>
  <c r="B10910" i="1"/>
  <c r="A10910" i="1"/>
  <c r="E10910" i="1"/>
  <c r="F10910" i="1"/>
  <c r="B10911" i="1"/>
  <c r="A10911" i="1"/>
  <c r="E10911" i="1"/>
  <c r="F10911" i="1"/>
  <c r="B10912" i="1"/>
  <c r="A10912" i="1"/>
  <c r="E10912" i="1"/>
  <c r="F10912" i="1"/>
  <c r="B10913" i="1"/>
  <c r="A10913" i="1"/>
  <c r="E10913" i="1"/>
  <c r="F10913" i="1"/>
  <c r="B10914" i="1"/>
  <c r="A10914" i="1"/>
  <c r="E10914" i="1"/>
  <c r="F10914" i="1"/>
  <c r="B10915" i="1"/>
  <c r="A10915" i="1"/>
  <c r="E10915" i="1"/>
  <c r="F10915" i="1"/>
  <c r="B10916" i="1"/>
  <c r="A10916" i="1"/>
  <c r="E10916" i="1"/>
  <c r="F10916" i="1"/>
  <c r="G10916" i="1"/>
  <c r="B10917" i="1"/>
  <c r="A10917" i="1"/>
  <c r="E10917" i="1"/>
  <c r="F10917" i="1"/>
  <c r="G10917" i="1"/>
  <c r="B10918" i="1"/>
  <c r="A10918" i="1"/>
  <c r="E10918" i="1"/>
  <c r="F10918" i="1"/>
  <c r="G10918" i="1"/>
  <c r="B10919" i="1"/>
  <c r="A10919" i="1"/>
  <c r="E10919" i="1"/>
  <c r="F10919" i="1"/>
  <c r="G10919" i="1"/>
  <c r="B10920" i="1"/>
  <c r="A10920" i="1"/>
  <c r="E10920" i="1"/>
  <c r="F10920" i="1"/>
  <c r="G10920" i="1"/>
  <c r="B10921" i="1"/>
  <c r="A10921" i="1"/>
  <c r="E10921" i="1"/>
  <c r="F10921" i="1"/>
  <c r="G10921" i="1"/>
  <c r="B10922" i="1"/>
  <c r="A10922" i="1"/>
  <c r="E10922" i="1"/>
  <c r="F10922" i="1"/>
  <c r="G10922" i="1"/>
  <c r="B10923" i="1"/>
  <c r="A10923" i="1"/>
  <c r="E10923" i="1"/>
  <c r="F10923" i="1"/>
  <c r="G10923" i="1"/>
  <c r="B10924" i="1"/>
  <c r="A10924" i="1"/>
  <c r="E10924" i="1"/>
  <c r="F10924" i="1"/>
  <c r="G10924" i="1"/>
  <c r="B10925" i="1"/>
  <c r="A10925" i="1"/>
  <c r="E10925" i="1"/>
  <c r="F10925" i="1"/>
  <c r="B10926" i="1"/>
  <c r="A10926" i="1"/>
  <c r="E10926" i="1"/>
  <c r="F10926" i="1"/>
  <c r="B10927" i="1"/>
  <c r="A10927" i="1"/>
  <c r="E10927" i="1"/>
  <c r="F10927" i="1"/>
  <c r="B10928" i="1"/>
  <c r="A10928" i="1"/>
  <c r="E10928" i="1"/>
  <c r="F10928" i="1"/>
  <c r="B10929" i="1"/>
  <c r="A10929" i="1"/>
  <c r="E10929" i="1"/>
  <c r="F10929" i="1"/>
  <c r="B10930" i="1"/>
  <c r="A10930" i="1"/>
  <c r="E10930" i="1"/>
  <c r="F10930" i="1"/>
  <c r="G10930" i="1"/>
  <c r="B10931" i="1"/>
  <c r="A10931" i="1"/>
  <c r="E10931" i="1"/>
  <c r="F10931" i="1"/>
  <c r="B10932" i="1"/>
  <c r="A10932" i="1"/>
  <c r="E10932" i="1"/>
  <c r="F10932" i="1"/>
  <c r="B10933" i="1"/>
  <c r="A10933" i="1"/>
  <c r="E10933" i="1"/>
  <c r="F10933" i="1"/>
  <c r="B10934" i="1"/>
  <c r="A10934" i="1"/>
  <c r="E10934" i="1"/>
  <c r="F10934" i="1"/>
  <c r="B10935" i="1"/>
  <c r="A10935" i="1"/>
  <c r="E10935" i="1"/>
  <c r="F10935" i="1"/>
  <c r="B10936" i="1"/>
  <c r="A10936" i="1"/>
  <c r="E10936" i="1"/>
  <c r="F10936" i="1"/>
  <c r="B10937" i="1"/>
  <c r="A10937" i="1"/>
  <c r="E10937" i="1"/>
  <c r="F10937" i="1"/>
  <c r="B10938" i="1"/>
  <c r="A10938" i="1"/>
  <c r="E10938" i="1"/>
  <c r="F10938" i="1"/>
  <c r="B10939" i="1"/>
  <c r="A10939" i="1"/>
  <c r="E10939" i="1"/>
  <c r="F10939" i="1"/>
  <c r="G10939" i="1"/>
  <c r="B10940" i="1"/>
  <c r="A10940" i="1"/>
  <c r="E10940" i="1"/>
  <c r="F10940" i="1"/>
  <c r="B10941" i="1"/>
  <c r="A10941" i="1"/>
  <c r="E10941" i="1"/>
  <c r="F10941" i="1"/>
  <c r="B10942" i="1"/>
  <c r="A10942" i="1"/>
  <c r="E10942" i="1"/>
  <c r="B10943" i="1"/>
  <c r="A10943" i="1"/>
  <c r="E10943" i="1"/>
  <c r="F10943" i="1"/>
  <c r="B10944" i="1"/>
  <c r="A10944" i="1"/>
  <c r="E10944" i="1"/>
  <c r="F10944" i="1"/>
  <c r="B10945" i="1"/>
  <c r="A10945" i="1"/>
  <c r="E10945" i="1"/>
  <c r="F10945" i="1"/>
  <c r="B10946" i="1"/>
  <c r="A10946" i="1"/>
  <c r="E10946" i="1"/>
  <c r="F10946" i="1"/>
  <c r="B10947" i="1"/>
  <c r="A10947" i="1"/>
  <c r="E10947" i="1"/>
  <c r="F10947" i="1"/>
  <c r="G10947" i="1"/>
  <c r="A10948" i="1"/>
  <c r="E10948" i="1"/>
  <c r="A10949" i="1"/>
  <c r="E10949" i="1"/>
  <c r="B10950" i="1"/>
  <c r="A10950" i="1"/>
  <c r="E10950" i="1"/>
  <c r="B10951" i="1"/>
  <c r="A10951" i="1"/>
  <c r="E10951" i="1"/>
  <c r="B10952" i="1"/>
  <c r="A10952" i="1"/>
  <c r="E10952" i="1"/>
  <c r="B10953" i="1"/>
  <c r="A10953" i="1"/>
  <c r="E10953" i="1"/>
  <c r="B10954" i="1"/>
  <c r="A10954" i="1"/>
  <c r="E10954" i="1"/>
  <c r="B10955" i="1"/>
  <c r="A10955" i="1"/>
  <c r="E10955" i="1"/>
  <c r="B10956" i="1"/>
  <c r="A10956" i="1"/>
  <c r="E10956" i="1"/>
  <c r="B10957" i="1"/>
  <c r="A10957" i="1"/>
  <c r="E10957" i="1"/>
  <c r="B10958" i="1"/>
  <c r="A10958" i="1"/>
  <c r="E10958" i="1"/>
  <c r="B10959" i="1"/>
  <c r="A10959" i="1"/>
  <c r="E10959" i="1"/>
  <c r="B10960" i="1"/>
  <c r="A10960" i="1"/>
  <c r="E10960" i="1"/>
  <c r="B10961" i="1"/>
  <c r="A10961" i="1"/>
  <c r="E10961" i="1"/>
  <c r="B10962" i="1"/>
  <c r="A10962" i="1"/>
  <c r="E10962" i="1"/>
  <c r="B10963" i="1"/>
  <c r="A10963" i="1"/>
  <c r="E10963" i="1"/>
  <c r="B10964" i="1"/>
  <c r="A10964" i="1"/>
  <c r="E10964" i="1"/>
  <c r="B10965" i="1"/>
  <c r="A10965" i="1"/>
  <c r="E10965" i="1"/>
  <c r="B10966" i="1"/>
  <c r="A10966" i="1"/>
  <c r="E10966" i="1"/>
  <c r="B10967" i="1"/>
  <c r="A10967" i="1"/>
  <c r="E10967" i="1"/>
  <c r="B10968" i="1"/>
  <c r="A10968" i="1"/>
  <c r="E10968" i="1"/>
  <c r="B10969" i="1"/>
  <c r="A10969" i="1"/>
  <c r="E10969" i="1"/>
  <c r="B10970" i="1"/>
  <c r="A10970" i="1"/>
  <c r="E10970" i="1"/>
  <c r="B10971" i="1"/>
  <c r="A10971" i="1"/>
  <c r="E10971" i="1"/>
  <c r="B10972" i="1"/>
  <c r="A10972" i="1"/>
  <c r="E10972" i="1"/>
  <c r="B10973" i="1"/>
  <c r="A10973" i="1"/>
  <c r="E10973" i="1"/>
  <c r="B10974" i="1"/>
  <c r="A10974" i="1"/>
  <c r="E10974" i="1"/>
  <c r="B10975" i="1"/>
  <c r="A10975" i="1"/>
  <c r="E10975" i="1"/>
  <c r="B10976" i="1"/>
  <c r="A10976" i="1"/>
  <c r="E10976" i="1"/>
  <c r="B10977" i="1"/>
  <c r="A10977" i="1"/>
  <c r="E10977" i="1"/>
  <c r="B10978" i="1"/>
  <c r="A10978" i="1"/>
  <c r="E10978" i="1"/>
  <c r="B10979" i="1"/>
  <c r="A10979" i="1"/>
  <c r="E10979" i="1"/>
  <c r="B10980" i="1"/>
  <c r="A10980" i="1"/>
  <c r="E10980" i="1"/>
  <c r="B10981" i="1"/>
  <c r="A10981" i="1"/>
  <c r="E10981" i="1"/>
  <c r="B10982" i="1"/>
  <c r="A10982" i="1"/>
  <c r="E10982" i="1"/>
  <c r="B10983" i="1"/>
  <c r="A10983" i="1"/>
  <c r="E10983" i="1"/>
  <c r="B10984" i="1"/>
  <c r="A10984" i="1"/>
  <c r="E10984" i="1"/>
  <c r="B10985" i="1"/>
  <c r="A10985" i="1"/>
  <c r="E10985" i="1"/>
  <c r="B10986" i="1"/>
  <c r="A10986" i="1"/>
  <c r="E10986" i="1"/>
  <c r="B10987" i="1"/>
  <c r="A10987" i="1"/>
  <c r="E10987" i="1"/>
  <c r="B10988" i="1"/>
  <c r="A10988" i="1"/>
  <c r="E10988" i="1"/>
  <c r="B10989" i="1"/>
  <c r="A10989" i="1"/>
  <c r="E10989" i="1"/>
  <c r="B10990" i="1"/>
  <c r="A10990" i="1"/>
  <c r="E10990" i="1"/>
  <c r="B10991" i="1"/>
  <c r="A10991" i="1"/>
  <c r="E10991" i="1"/>
  <c r="G10991" i="1"/>
  <c r="B10992" i="1"/>
  <c r="A10992" i="1"/>
  <c r="E10992" i="1"/>
  <c r="B10993" i="1"/>
  <c r="A10993" i="1"/>
  <c r="E10993" i="1"/>
  <c r="B10994" i="1"/>
  <c r="A10994" i="1"/>
  <c r="E10994" i="1"/>
  <c r="B10995" i="1"/>
  <c r="A10995" i="1"/>
  <c r="E10995" i="1"/>
  <c r="B10996" i="1"/>
  <c r="A10996" i="1"/>
  <c r="E10996" i="1"/>
  <c r="B10997" i="1"/>
  <c r="A10997" i="1"/>
  <c r="E10997" i="1"/>
  <c r="B10998" i="1"/>
  <c r="A10998" i="1"/>
  <c r="E10998" i="1"/>
  <c r="B10999" i="1"/>
  <c r="A10999" i="1"/>
  <c r="E10999" i="1"/>
  <c r="B11000" i="1"/>
  <c r="A11000" i="1"/>
  <c r="E11000" i="1"/>
  <c r="B11001" i="1"/>
  <c r="A11001" i="1"/>
  <c r="E11001" i="1"/>
  <c r="B11002" i="1"/>
  <c r="A11002" i="1"/>
  <c r="E11002" i="1"/>
  <c r="B11003" i="1"/>
  <c r="A11003" i="1"/>
  <c r="E11003" i="1"/>
  <c r="B11004" i="1"/>
  <c r="A11004" i="1"/>
  <c r="E11004" i="1"/>
  <c r="B11005" i="1"/>
  <c r="A11005" i="1"/>
  <c r="E11005" i="1"/>
  <c r="B11006" i="1"/>
  <c r="A11006" i="1"/>
  <c r="E11006" i="1"/>
  <c r="B11007" i="1"/>
  <c r="A11007" i="1"/>
  <c r="E11007" i="1"/>
  <c r="B11008" i="1"/>
  <c r="A11008" i="1"/>
  <c r="E11008" i="1"/>
  <c r="B11009" i="1"/>
  <c r="A11009" i="1"/>
  <c r="E11009" i="1"/>
  <c r="F11009" i="1"/>
  <c r="B11010" i="1"/>
  <c r="A11010" i="1"/>
  <c r="E11010" i="1"/>
  <c r="F11010" i="1"/>
  <c r="B11011" i="1"/>
  <c r="A11011" i="1"/>
  <c r="E11011" i="1"/>
  <c r="F11011" i="1"/>
  <c r="B11012" i="1"/>
  <c r="A11012" i="1"/>
  <c r="E11012" i="1"/>
  <c r="F11012" i="1"/>
  <c r="B11013" i="1"/>
  <c r="A11013" i="1"/>
  <c r="E11013" i="1"/>
  <c r="F11013" i="1"/>
  <c r="B11014" i="1"/>
  <c r="A11014" i="1"/>
  <c r="E11014" i="1"/>
  <c r="F11014" i="1"/>
  <c r="B11015" i="1"/>
  <c r="A11015" i="1"/>
  <c r="E11015" i="1"/>
  <c r="F11015" i="1"/>
  <c r="B11016" i="1"/>
  <c r="A11016" i="1"/>
  <c r="E11016" i="1"/>
  <c r="F11016" i="1"/>
  <c r="B11017" i="1"/>
  <c r="A11017" i="1"/>
  <c r="E11017" i="1"/>
  <c r="F11017" i="1"/>
  <c r="B11018" i="1"/>
  <c r="A11018" i="1"/>
  <c r="E11018" i="1"/>
  <c r="F11018" i="1"/>
  <c r="B11019" i="1"/>
  <c r="A11019" i="1"/>
  <c r="E11019" i="1"/>
  <c r="F11019" i="1"/>
  <c r="B11020" i="1"/>
  <c r="A11020" i="1"/>
  <c r="E11020" i="1"/>
  <c r="F11020" i="1"/>
  <c r="G11020" i="1"/>
  <c r="B11021" i="1"/>
  <c r="A11021" i="1"/>
  <c r="E11021" i="1"/>
  <c r="F11021" i="1"/>
  <c r="G11021" i="1"/>
  <c r="B11022" i="1"/>
  <c r="A11022" i="1"/>
  <c r="E11022" i="1"/>
  <c r="F11022" i="1"/>
  <c r="G11022" i="1"/>
  <c r="B11023" i="1"/>
  <c r="A11023" i="1"/>
  <c r="E11023" i="1"/>
  <c r="F11023" i="1"/>
  <c r="B11024" i="1"/>
  <c r="A11024" i="1"/>
  <c r="E11024" i="1"/>
  <c r="F11024" i="1"/>
  <c r="G11024" i="1"/>
  <c r="B11025" i="1"/>
  <c r="A11025" i="1"/>
  <c r="E11025" i="1"/>
  <c r="F11025" i="1"/>
  <c r="B11026" i="1"/>
  <c r="A11026" i="1"/>
  <c r="E11026" i="1"/>
  <c r="F11026" i="1"/>
  <c r="B11027" i="1"/>
  <c r="A11027" i="1"/>
  <c r="E11027" i="1"/>
  <c r="F11027" i="1"/>
  <c r="B11028" i="1"/>
  <c r="A11028" i="1"/>
  <c r="E11028" i="1"/>
  <c r="F11028" i="1"/>
  <c r="B11029" i="1"/>
  <c r="A11029" i="1"/>
  <c r="E11029" i="1"/>
  <c r="F11029" i="1"/>
  <c r="B11030" i="1"/>
  <c r="A11030" i="1"/>
  <c r="E11030" i="1"/>
  <c r="F11030" i="1"/>
  <c r="B11031" i="1"/>
  <c r="A11031" i="1"/>
  <c r="E11031" i="1"/>
  <c r="F11031" i="1"/>
  <c r="B11032" i="1"/>
  <c r="A11032" i="1"/>
  <c r="E11032" i="1"/>
  <c r="F11032" i="1"/>
  <c r="A11033" i="1"/>
  <c r="E11033" i="1"/>
  <c r="B11034" i="1"/>
  <c r="A11034" i="1"/>
  <c r="E11034" i="1"/>
  <c r="F11034" i="1"/>
  <c r="B11035" i="1"/>
  <c r="A11035" i="1"/>
  <c r="E11035" i="1"/>
  <c r="B11036" i="1"/>
  <c r="A11036" i="1"/>
  <c r="E11036" i="1"/>
  <c r="B11037" i="1"/>
  <c r="A11037" i="1"/>
  <c r="E11037" i="1"/>
  <c r="B11038" i="1"/>
  <c r="A11038" i="1"/>
  <c r="E11038" i="1"/>
  <c r="B11039" i="1"/>
  <c r="A11039" i="1"/>
  <c r="E11039" i="1"/>
  <c r="G11039" i="1"/>
  <c r="B11040" i="1"/>
  <c r="A11040" i="1"/>
  <c r="E11040" i="1"/>
  <c r="B11041" i="1"/>
  <c r="A11041" i="1"/>
  <c r="E11041" i="1"/>
  <c r="B11042" i="1"/>
  <c r="A11042" i="1"/>
  <c r="E11042" i="1"/>
  <c r="B11043" i="1"/>
  <c r="A11043" i="1"/>
  <c r="E11043" i="1"/>
  <c r="B11044" i="1"/>
  <c r="A11044" i="1"/>
  <c r="E11044" i="1"/>
  <c r="B11045" i="1"/>
  <c r="A11045" i="1"/>
  <c r="E11045" i="1"/>
  <c r="G11045" i="1"/>
  <c r="B11046" i="1"/>
  <c r="A11046" i="1"/>
  <c r="E11046" i="1"/>
  <c r="B11047" i="1"/>
  <c r="A11047" i="1"/>
  <c r="E11047" i="1"/>
  <c r="B11048" i="1"/>
  <c r="A11048" i="1"/>
  <c r="E11048" i="1"/>
  <c r="B11049" i="1"/>
  <c r="A11049" i="1"/>
  <c r="E11049" i="1"/>
  <c r="B11050" i="1"/>
  <c r="A11050" i="1"/>
  <c r="E11050" i="1"/>
  <c r="B11051" i="1"/>
  <c r="A11051" i="1"/>
  <c r="E11051" i="1"/>
  <c r="B11052" i="1"/>
  <c r="A11052" i="1"/>
  <c r="E11052" i="1"/>
  <c r="B11053" i="1"/>
  <c r="A11053" i="1"/>
  <c r="E11053" i="1"/>
  <c r="B11054" i="1"/>
  <c r="A11054" i="1"/>
  <c r="E11054" i="1"/>
  <c r="B11055" i="1"/>
  <c r="A11055" i="1"/>
  <c r="E11055" i="1"/>
  <c r="B11056" i="1"/>
  <c r="A11056" i="1"/>
  <c r="E11056" i="1"/>
  <c r="B11057" i="1"/>
  <c r="A11057" i="1"/>
  <c r="E11057" i="1"/>
  <c r="B11058" i="1"/>
  <c r="A11058" i="1"/>
  <c r="E11058" i="1"/>
  <c r="B11059" i="1"/>
  <c r="A11059" i="1"/>
  <c r="E11059" i="1"/>
  <c r="B11060" i="1"/>
  <c r="A11060" i="1"/>
  <c r="E11060" i="1"/>
  <c r="B11061" i="1"/>
  <c r="A11061" i="1"/>
  <c r="E11061" i="1"/>
  <c r="B11062" i="1"/>
  <c r="A11062" i="1"/>
  <c r="E11062" i="1"/>
  <c r="B11063" i="1"/>
  <c r="A11063" i="1"/>
  <c r="E11063" i="1"/>
  <c r="B11064" i="1"/>
  <c r="A11064" i="1"/>
  <c r="E11064" i="1"/>
  <c r="B11065" i="1"/>
  <c r="A11065" i="1"/>
  <c r="E11065" i="1"/>
  <c r="B11066" i="1"/>
  <c r="A11066" i="1"/>
  <c r="E11066" i="1"/>
  <c r="B11067" i="1"/>
  <c r="A11067" i="1"/>
  <c r="E11067" i="1"/>
  <c r="B11068" i="1"/>
  <c r="A11068" i="1"/>
  <c r="E11068" i="1"/>
  <c r="B11069" i="1"/>
  <c r="A11069" i="1"/>
  <c r="E11069" i="1"/>
  <c r="B11070" i="1"/>
  <c r="A11070" i="1"/>
  <c r="E11070" i="1"/>
  <c r="B11071" i="1"/>
  <c r="A11071" i="1"/>
  <c r="E11071" i="1"/>
  <c r="B11072" i="1"/>
  <c r="A11072" i="1"/>
  <c r="E11072" i="1"/>
  <c r="B11073" i="1"/>
  <c r="A11073" i="1"/>
  <c r="E11073" i="1"/>
  <c r="B11074" i="1"/>
  <c r="A11074" i="1"/>
  <c r="E11074" i="1"/>
  <c r="F11074" i="1"/>
  <c r="B11075" i="1"/>
  <c r="A11075" i="1"/>
  <c r="E11075" i="1"/>
  <c r="F11075" i="1"/>
  <c r="B11076" i="1"/>
  <c r="A11076" i="1"/>
  <c r="E11076" i="1"/>
  <c r="B11077" i="1"/>
  <c r="A11077" i="1"/>
  <c r="E11077" i="1"/>
  <c r="B11078" i="1"/>
  <c r="A11078" i="1"/>
  <c r="E11078" i="1"/>
  <c r="A11079" i="1"/>
  <c r="E11079" i="1"/>
  <c r="A11080" i="1"/>
  <c r="E11080" i="1"/>
  <c r="B11081" i="1"/>
  <c r="A11081" i="1"/>
  <c r="E11081" i="1"/>
  <c r="G11081" i="1"/>
  <c r="B11082" i="1"/>
  <c r="A11082" i="1"/>
  <c r="E11082" i="1"/>
  <c r="B11083" i="1"/>
  <c r="A11083" i="1"/>
  <c r="E11083" i="1"/>
  <c r="B11084" i="1"/>
  <c r="A11084" i="1"/>
  <c r="E11084" i="1"/>
  <c r="F11084" i="1"/>
  <c r="B11085" i="1"/>
  <c r="A11085" i="1"/>
  <c r="E11085" i="1"/>
  <c r="F11085" i="1"/>
  <c r="B11086" i="1"/>
  <c r="A11086" i="1"/>
  <c r="E11086" i="1"/>
  <c r="F11086" i="1"/>
  <c r="B11087" i="1"/>
  <c r="A11087" i="1"/>
  <c r="E11087" i="1"/>
  <c r="F11087" i="1"/>
  <c r="B11088" i="1"/>
  <c r="A11088" i="1"/>
  <c r="E11088" i="1"/>
  <c r="F11088" i="1"/>
  <c r="B11089" i="1"/>
  <c r="A11089" i="1"/>
  <c r="E11089" i="1"/>
  <c r="F11089" i="1"/>
  <c r="B11090" i="1"/>
  <c r="A11090" i="1"/>
  <c r="E11090" i="1"/>
  <c r="F11090" i="1"/>
  <c r="B11091" i="1"/>
  <c r="A11091" i="1"/>
  <c r="E11091" i="1"/>
  <c r="F11091" i="1"/>
  <c r="B11092" i="1"/>
  <c r="A11092" i="1"/>
  <c r="E11092" i="1"/>
  <c r="F11092" i="1"/>
  <c r="B11093" i="1"/>
  <c r="A11093" i="1"/>
  <c r="E11093" i="1"/>
  <c r="F11093" i="1"/>
  <c r="G11093" i="1"/>
  <c r="B11094" i="1"/>
  <c r="A11094" i="1"/>
  <c r="E11094" i="1"/>
  <c r="F11094" i="1"/>
  <c r="G11094" i="1"/>
  <c r="B11095" i="1"/>
  <c r="A11095" i="1"/>
  <c r="E11095" i="1"/>
  <c r="F11095" i="1"/>
  <c r="G11095" i="1"/>
  <c r="B11096" i="1"/>
  <c r="A11096" i="1"/>
  <c r="E11096" i="1"/>
  <c r="F11096" i="1"/>
  <c r="B11097" i="1"/>
  <c r="A11097" i="1"/>
  <c r="E11097" i="1"/>
  <c r="F11097" i="1"/>
  <c r="B11098" i="1"/>
  <c r="A11098" i="1"/>
  <c r="E11098" i="1"/>
  <c r="F11098" i="1"/>
  <c r="G11098" i="1"/>
  <c r="B11099" i="1"/>
  <c r="A11099" i="1"/>
  <c r="E11099" i="1"/>
  <c r="F11099" i="1"/>
  <c r="B11100" i="1"/>
  <c r="A11100" i="1"/>
  <c r="E11100" i="1"/>
  <c r="F11100" i="1"/>
  <c r="B11101" i="1"/>
  <c r="A11101" i="1"/>
  <c r="E11101" i="1"/>
  <c r="F11101" i="1"/>
  <c r="B11102" i="1"/>
  <c r="A11102" i="1"/>
  <c r="E11102" i="1"/>
  <c r="F11102" i="1"/>
  <c r="B11103" i="1"/>
  <c r="A11103" i="1"/>
  <c r="E11103" i="1"/>
  <c r="F11103" i="1"/>
  <c r="B11104" i="1"/>
  <c r="A11104" i="1"/>
  <c r="E11104" i="1"/>
  <c r="F11104" i="1"/>
  <c r="B11105" i="1"/>
  <c r="A11105" i="1"/>
  <c r="E11105" i="1"/>
  <c r="F11105" i="1"/>
  <c r="B11106" i="1"/>
  <c r="A11106" i="1"/>
  <c r="E11106" i="1"/>
  <c r="F11106" i="1"/>
  <c r="B11107" i="1"/>
  <c r="A11107" i="1"/>
  <c r="E11107" i="1"/>
  <c r="F11107" i="1"/>
  <c r="B11108" i="1"/>
  <c r="A11108" i="1"/>
  <c r="E11108" i="1"/>
  <c r="F11108" i="1"/>
  <c r="B11109" i="1"/>
  <c r="A11109" i="1"/>
  <c r="E11109" i="1"/>
  <c r="F11109" i="1"/>
  <c r="B11110" i="1"/>
  <c r="A11110" i="1"/>
  <c r="E11110" i="1"/>
  <c r="F11110" i="1"/>
  <c r="B11111" i="1"/>
  <c r="A11111" i="1"/>
  <c r="E11111" i="1"/>
  <c r="F11111" i="1"/>
  <c r="B11112" i="1"/>
  <c r="A11112" i="1"/>
  <c r="E11112" i="1"/>
  <c r="F11112" i="1"/>
  <c r="B11113" i="1"/>
  <c r="A11113" i="1"/>
  <c r="E11113" i="1"/>
  <c r="F11113" i="1"/>
  <c r="B11114" i="1"/>
  <c r="A11114" i="1"/>
  <c r="E11114" i="1"/>
  <c r="F11114" i="1"/>
  <c r="B11115" i="1"/>
  <c r="A11115" i="1"/>
  <c r="E11115" i="1"/>
  <c r="F11115" i="1"/>
  <c r="G11115" i="1"/>
  <c r="B11116" i="1"/>
  <c r="A11116" i="1"/>
  <c r="E11116" i="1"/>
  <c r="F11116" i="1"/>
  <c r="B11117" i="1"/>
  <c r="A11117" i="1"/>
  <c r="E11117" i="1"/>
  <c r="F11117" i="1"/>
  <c r="B11118" i="1"/>
  <c r="A11118" i="1"/>
  <c r="E11118" i="1"/>
  <c r="F11118" i="1"/>
  <c r="B11119" i="1"/>
  <c r="A11119" i="1"/>
  <c r="E11119" i="1"/>
  <c r="F11119" i="1"/>
  <c r="B11120" i="1"/>
  <c r="A11120" i="1"/>
  <c r="E11120" i="1"/>
  <c r="F11120" i="1"/>
  <c r="B11121" i="1"/>
  <c r="A11121" i="1"/>
  <c r="E11121" i="1"/>
  <c r="F11121" i="1"/>
  <c r="B11122" i="1"/>
  <c r="A11122" i="1"/>
  <c r="E11122" i="1"/>
  <c r="F11122" i="1"/>
  <c r="B11123" i="1"/>
  <c r="A11123" i="1"/>
  <c r="E11123" i="1"/>
  <c r="F11123" i="1"/>
  <c r="B11124" i="1"/>
  <c r="A11124" i="1"/>
  <c r="E11124" i="1"/>
  <c r="F11124" i="1"/>
  <c r="B11125" i="1"/>
  <c r="A11125" i="1"/>
  <c r="E11125" i="1"/>
  <c r="F11125" i="1"/>
  <c r="B11126" i="1"/>
  <c r="A11126" i="1"/>
  <c r="E11126" i="1"/>
  <c r="F11126" i="1"/>
  <c r="B11127" i="1"/>
  <c r="A11127" i="1"/>
  <c r="E11127" i="1"/>
  <c r="F11127" i="1"/>
  <c r="B11128" i="1"/>
  <c r="A11128" i="1"/>
  <c r="E11128" i="1"/>
  <c r="F11128" i="1"/>
  <c r="G11128" i="1"/>
  <c r="B11129" i="1"/>
  <c r="A11129" i="1"/>
  <c r="E11129" i="1"/>
  <c r="F11129" i="1"/>
  <c r="G11129" i="1"/>
  <c r="B11130" i="1"/>
  <c r="A11130" i="1"/>
  <c r="E11130" i="1"/>
  <c r="F11130" i="1"/>
  <c r="B11131" i="1"/>
  <c r="A11131" i="1"/>
  <c r="E11131" i="1"/>
  <c r="F11131" i="1"/>
  <c r="B11132" i="1"/>
  <c r="A11132" i="1"/>
  <c r="E11132" i="1"/>
  <c r="F11132" i="1"/>
  <c r="B11133" i="1"/>
  <c r="A11133" i="1"/>
  <c r="E11133" i="1"/>
  <c r="F11133" i="1"/>
  <c r="B11134" i="1"/>
  <c r="A11134" i="1"/>
  <c r="E11134" i="1"/>
  <c r="F11134" i="1"/>
  <c r="G11134" i="1"/>
  <c r="B11135" i="1"/>
  <c r="A11135" i="1"/>
  <c r="E11135" i="1"/>
  <c r="F11135" i="1"/>
  <c r="G11135" i="1"/>
  <c r="B11136" i="1"/>
  <c r="A11136" i="1"/>
  <c r="E11136" i="1"/>
  <c r="F11136" i="1"/>
  <c r="B11137" i="1"/>
  <c r="A11137" i="1"/>
  <c r="E11137" i="1"/>
  <c r="F11137" i="1"/>
  <c r="B11138" i="1"/>
  <c r="A11138" i="1"/>
  <c r="E11138" i="1"/>
  <c r="F11138" i="1"/>
  <c r="B11139" i="1"/>
  <c r="A11139" i="1"/>
  <c r="E11139" i="1"/>
  <c r="F11139" i="1"/>
  <c r="B11140" i="1"/>
  <c r="A11140" i="1"/>
  <c r="E11140" i="1"/>
  <c r="F11140" i="1"/>
  <c r="B11141" i="1"/>
  <c r="A11141" i="1"/>
  <c r="E11141" i="1"/>
  <c r="F11141" i="1"/>
  <c r="B11142" i="1"/>
  <c r="A11142" i="1"/>
  <c r="E11142" i="1"/>
  <c r="F11142" i="1"/>
  <c r="B11143" i="1"/>
  <c r="A11143" i="1"/>
  <c r="E11143" i="1"/>
  <c r="F11143" i="1"/>
  <c r="B11144" i="1"/>
  <c r="A11144" i="1"/>
  <c r="E11144" i="1"/>
  <c r="F11144" i="1"/>
  <c r="B11145" i="1"/>
  <c r="A11145" i="1"/>
  <c r="E11145" i="1"/>
  <c r="F11145" i="1"/>
  <c r="B11146" i="1"/>
  <c r="A11146" i="1"/>
  <c r="E11146" i="1"/>
  <c r="F11146" i="1"/>
  <c r="G11146" i="1"/>
  <c r="B11147" i="1"/>
  <c r="A11147" i="1"/>
  <c r="E11147" i="1"/>
  <c r="F11147" i="1"/>
  <c r="B11148" i="1"/>
  <c r="A11148" i="1"/>
  <c r="E11148" i="1"/>
  <c r="F11148" i="1"/>
  <c r="B11149" i="1"/>
  <c r="A11149" i="1"/>
  <c r="E11149" i="1"/>
  <c r="F11149" i="1"/>
  <c r="B11150" i="1"/>
  <c r="A11150" i="1"/>
  <c r="E11150" i="1"/>
  <c r="F11150" i="1"/>
  <c r="B11151" i="1"/>
  <c r="A11151" i="1"/>
  <c r="E11151" i="1"/>
  <c r="F11151" i="1"/>
  <c r="B11152" i="1"/>
  <c r="A11152" i="1"/>
  <c r="E11152" i="1"/>
  <c r="F11152" i="1"/>
  <c r="B11153" i="1"/>
  <c r="A11153" i="1"/>
  <c r="E11153" i="1"/>
  <c r="F11153" i="1"/>
  <c r="B11154" i="1"/>
  <c r="A11154" i="1"/>
  <c r="E11154" i="1"/>
  <c r="F11154" i="1"/>
  <c r="B11155" i="1"/>
  <c r="A11155" i="1"/>
  <c r="E11155" i="1"/>
  <c r="F11155" i="1"/>
  <c r="B11156" i="1"/>
  <c r="A11156" i="1"/>
  <c r="E11156" i="1"/>
  <c r="F11156" i="1"/>
  <c r="G11156" i="1"/>
  <c r="B11157" i="1"/>
  <c r="A11157" i="1"/>
  <c r="E11157" i="1"/>
  <c r="F11157" i="1"/>
  <c r="B11158" i="1"/>
  <c r="A11158" i="1"/>
  <c r="E11158" i="1"/>
  <c r="F11158" i="1"/>
  <c r="B11159" i="1"/>
  <c r="A11159" i="1"/>
  <c r="E11159" i="1"/>
  <c r="B11160" i="1"/>
  <c r="A11160" i="1"/>
  <c r="E11160" i="1"/>
  <c r="G11160" i="1"/>
  <c r="B11161" i="1"/>
  <c r="A11161" i="1"/>
  <c r="E11161" i="1"/>
  <c r="B11162" i="1"/>
  <c r="A11162" i="1"/>
  <c r="E11162" i="1"/>
  <c r="B11163" i="1"/>
  <c r="A11163" i="1"/>
  <c r="E11163" i="1"/>
  <c r="B11164" i="1"/>
  <c r="A11164" i="1"/>
  <c r="E11164" i="1"/>
  <c r="B11165" i="1"/>
  <c r="A11165" i="1"/>
  <c r="E11165" i="1"/>
  <c r="G11165" i="1"/>
  <c r="B11166" i="1"/>
  <c r="A11166" i="1"/>
  <c r="E11166" i="1"/>
  <c r="G11166" i="1"/>
  <c r="B11167" i="1"/>
  <c r="A11167" i="1"/>
  <c r="E11167" i="1"/>
  <c r="B11168" i="1"/>
  <c r="A11168" i="1"/>
  <c r="E11168" i="1"/>
  <c r="B11169" i="1"/>
  <c r="A11169" i="1"/>
  <c r="E11169" i="1"/>
  <c r="B11170" i="1"/>
  <c r="A11170" i="1"/>
  <c r="E11170" i="1"/>
  <c r="B11171" i="1"/>
  <c r="A11171" i="1"/>
  <c r="E11171" i="1"/>
  <c r="B11172" i="1"/>
  <c r="A11172" i="1"/>
  <c r="E11172" i="1"/>
  <c r="B11173" i="1"/>
  <c r="A11173" i="1"/>
  <c r="E11173" i="1"/>
  <c r="B11174" i="1"/>
  <c r="A11174" i="1"/>
  <c r="E11174" i="1"/>
  <c r="B11175" i="1"/>
  <c r="A11175" i="1"/>
  <c r="E11175" i="1"/>
  <c r="B11176" i="1"/>
  <c r="A11176" i="1"/>
  <c r="E11176" i="1"/>
  <c r="B11177" i="1"/>
  <c r="A11177" i="1"/>
  <c r="E11177" i="1"/>
  <c r="B11178" i="1"/>
  <c r="A11178" i="1"/>
  <c r="E11178" i="1"/>
  <c r="B11179" i="1"/>
  <c r="A11179" i="1"/>
  <c r="E11179" i="1"/>
  <c r="B11180" i="1"/>
  <c r="A11180" i="1"/>
  <c r="E11180" i="1"/>
  <c r="B11181" i="1"/>
  <c r="A11181" i="1"/>
  <c r="E11181" i="1"/>
  <c r="B11182" i="1"/>
  <c r="A11182" i="1"/>
  <c r="E11182" i="1"/>
  <c r="B11183" i="1"/>
  <c r="A11183" i="1"/>
  <c r="E11183" i="1"/>
  <c r="B11184" i="1"/>
  <c r="A11184" i="1"/>
  <c r="E11184" i="1"/>
  <c r="B11185" i="1"/>
  <c r="A11185" i="1"/>
  <c r="E11185" i="1"/>
  <c r="B11186" i="1"/>
  <c r="A11186" i="1"/>
  <c r="E11186" i="1"/>
  <c r="B11187" i="1"/>
  <c r="A11187" i="1"/>
  <c r="E11187" i="1"/>
  <c r="B11188" i="1"/>
  <c r="A11188" i="1"/>
  <c r="E11188" i="1"/>
  <c r="B11189" i="1"/>
  <c r="A11189" i="1"/>
  <c r="E11189" i="1"/>
  <c r="B11190" i="1"/>
  <c r="A11190" i="1"/>
  <c r="E11190" i="1"/>
  <c r="B11191" i="1"/>
  <c r="A11191" i="1"/>
  <c r="E11191" i="1"/>
  <c r="B11192" i="1"/>
  <c r="A11192" i="1"/>
  <c r="E11192" i="1"/>
  <c r="B11193" i="1"/>
  <c r="A11193" i="1"/>
  <c r="E11193" i="1"/>
  <c r="B11194" i="1"/>
  <c r="A11194" i="1"/>
  <c r="E11194" i="1"/>
  <c r="B11195" i="1"/>
  <c r="A11195" i="1"/>
  <c r="E11195" i="1"/>
  <c r="B11196" i="1"/>
  <c r="A11196" i="1"/>
  <c r="E11196" i="1"/>
  <c r="B11197" i="1"/>
  <c r="A11197" i="1"/>
  <c r="E11197" i="1"/>
  <c r="B11198" i="1"/>
  <c r="A11198" i="1"/>
  <c r="E11198" i="1"/>
  <c r="B11199" i="1"/>
  <c r="A11199" i="1"/>
  <c r="E11199" i="1"/>
  <c r="B11200" i="1"/>
  <c r="A11200" i="1"/>
  <c r="E11200" i="1"/>
  <c r="B11201" i="1"/>
  <c r="A11201" i="1"/>
  <c r="E11201" i="1"/>
  <c r="B11202" i="1"/>
  <c r="A11202" i="1"/>
  <c r="E11202" i="1"/>
  <c r="G11202" i="1"/>
  <c r="B11203" i="1"/>
  <c r="A11203" i="1"/>
  <c r="E11203" i="1"/>
  <c r="B11204" i="1"/>
  <c r="A11204" i="1"/>
  <c r="E11204" i="1"/>
  <c r="B11205" i="1"/>
  <c r="A11205" i="1"/>
  <c r="E11205" i="1"/>
  <c r="B11206" i="1"/>
  <c r="A11206" i="1"/>
  <c r="E11206" i="1"/>
  <c r="B11207" i="1"/>
  <c r="A11207" i="1"/>
  <c r="E11207" i="1"/>
  <c r="B11208" i="1"/>
  <c r="A11208" i="1"/>
  <c r="E11208" i="1"/>
  <c r="B11209" i="1"/>
  <c r="A11209" i="1"/>
  <c r="E11209" i="1"/>
  <c r="B11210" i="1"/>
  <c r="A11210" i="1"/>
  <c r="E11210" i="1"/>
  <c r="B11211" i="1"/>
  <c r="A11211" i="1"/>
  <c r="E11211" i="1"/>
  <c r="B11212" i="1"/>
  <c r="A11212" i="1"/>
  <c r="E11212" i="1"/>
  <c r="B11213" i="1"/>
  <c r="A11213" i="1"/>
  <c r="E11213" i="1"/>
  <c r="B11214" i="1"/>
  <c r="A11214" i="1"/>
  <c r="E11214" i="1"/>
  <c r="B11215" i="1"/>
  <c r="A11215" i="1"/>
  <c r="E11215" i="1"/>
  <c r="B11216" i="1"/>
  <c r="A11216" i="1"/>
  <c r="E11216" i="1"/>
  <c r="B11217" i="1"/>
  <c r="A11217" i="1"/>
  <c r="E11217" i="1"/>
  <c r="B11218" i="1"/>
  <c r="A11218" i="1"/>
  <c r="E11218" i="1"/>
  <c r="B11219" i="1"/>
  <c r="A11219" i="1"/>
  <c r="E11219" i="1"/>
  <c r="B11220" i="1"/>
  <c r="A11220" i="1"/>
  <c r="E11220" i="1"/>
  <c r="B11221" i="1"/>
  <c r="A11221" i="1"/>
  <c r="E11221" i="1"/>
  <c r="B11222" i="1"/>
  <c r="A11222" i="1"/>
  <c r="E11222" i="1"/>
  <c r="B11223" i="1"/>
  <c r="A11223" i="1"/>
  <c r="E11223" i="1"/>
  <c r="B11224" i="1"/>
  <c r="A11224" i="1"/>
  <c r="E11224" i="1"/>
  <c r="B11225" i="1"/>
  <c r="A11225" i="1"/>
  <c r="E11225" i="1"/>
  <c r="B11226" i="1"/>
  <c r="A11226" i="1"/>
  <c r="E11226" i="1"/>
  <c r="B11227" i="1"/>
  <c r="A11227" i="1"/>
  <c r="E11227" i="1"/>
  <c r="B11228" i="1"/>
  <c r="A11228" i="1"/>
  <c r="E11228" i="1"/>
  <c r="B11229" i="1"/>
  <c r="A11229" i="1"/>
  <c r="E11229" i="1"/>
  <c r="B11230" i="1"/>
  <c r="A11230" i="1"/>
  <c r="E11230" i="1"/>
  <c r="B11231" i="1"/>
  <c r="A11231" i="1"/>
  <c r="E11231" i="1"/>
  <c r="B11232" i="1"/>
  <c r="A11232" i="1"/>
  <c r="E11232" i="1"/>
  <c r="B11233" i="1"/>
  <c r="A11233" i="1"/>
  <c r="E11233" i="1"/>
  <c r="B11234" i="1"/>
  <c r="A11234" i="1"/>
  <c r="E11234" i="1"/>
  <c r="B11235" i="1"/>
  <c r="A11235" i="1"/>
  <c r="E11235" i="1"/>
  <c r="B11236" i="1"/>
  <c r="A11236" i="1"/>
  <c r="E11236" i="1"/>
  <c r="B11237" i="1"/>
  <c r="A11237" i="1"/>
  <c r="E11237" i="1"/>
  <c r="B11238" i="1"/>
  <c r="A11238" i="1"/>
  <c r="E11238" i="1"/>
  <c r="B11239" i="1"/>
  <c r="A11239" i="1"/>
  <c r="E11239" i="1"/>
  <c r="F11239" i="1"/>
  <c r="B11240" i="1"/>
  <c r="A11240" i="1"/>
  <c r="E11240" i="1"/>
  <c r="F11240" i="1"/>
  <c r="B11241" i="1"/>
  <c r="A11241" i="1"/>
  <c r="E11241" i="1"/>
  <c r="F11241" i="1"/>
  <c r="B11242" i="1"/>
  <c r="A11242" i="1"/>
  <c r="E11242" i="1"/>
  <c r="F11242" i="1"/>
  <c r="B11243" i="1"/>
  <c r="A11243" i="1"/>
  <c r="E11243" i="1"/>
  <c r="F11243" i="1"/>
  <c r="B11244" i="1"/>
  <c r="A11244" i="1"/>
  <c r="E11244" i="1"/>
  <c r="F11244" i="1"/>
  <c r="B11245" i="1"/>
  <c r="A11245" i="1"/>
  <c r="E11245" i="1"/>
  <c r="F11245" i="1"/>
  <c r="B11246" i="1"/>
  <c r="A11246" i="1"/>
  <c r="E11246" i="1"/>
  <c r="F11246" i="1"/>
  <c r="B11247" i="1"/>
  <c r="A11247" i="1"/>
  <c r="E11247" i="1"/>
  <c r="F11247" i="1"/>
  <c r="B11248" i="1"/>
  <c r="A11248" i="1"/>
  <c r="E11248" i="1"/>
  <c r="F11248" i="1"/>
  <c r="B11249" i="1"/>
  <c r="A11249" i="1"/>
  <c r="E11249" i="1"/>
  <c r="F11249" i="1"/>
  <c r="B11250" i="1"/>
  <c r="A11250" i="1"/>
  <c r="E11250" i="1"/>
  <c r="F11250" i="1"/>
  <c r="G11250" i="1"/>
  <c r="B11251" i="1"/>
  <c r="A11251" i="1"/>
  <c r="E11251" i="1"/>
  <c r="F11251" i="1"/>
  <c r="G11251" i="1"/>
  <c r="B11252" i="1"/>
  <c r="A11252" i="1"/>
  <c r="E11252" i="1"/>
  <c r="F11252" i="1"/>
  <c r="G11252" i="1"/>
  <c r="B11253" i="1"/>
  <c r="A11253" i="1"/>
  <c r="E11253" i="1"/>
  <c r="F11253" i="1"/>
  <c r="G11253" i="1"/>
  <c r="B11254" i="1"/>
  <c r="A11254" i="1"/>
  <c r="E11254" i="1"/>
  <c r="F11254" i="1"/>
  <c r="G11254" i="1"/>
  <c r="B11255" i="1"/>
  <c r="A11255" i="1"/>
  <c r="E11255" i="1"/>
  <c r="F11255" i="1"/>
  <c r="G11255" i="1"/>
  <c r="B11256" i="1"/>
  <c r="A11256" i="1"/>
  <c r="E11256" i="1"/>
  <c r="F11256" i="1"/>
  <c r="B11257" i="1"/>
  <c r="A11257" i="1"/>
  <c r="E11257" i="1"/>
  <c r="F11257" i="1"/>
  <c r="B11258" i="1"/>
  <c r="A11258" i="1"/>
  <c r="E11258" i="1"/>
  <c r="F11258" i="1"/>
  <c r="G11258" i="1"/>
  <c r="B11259" i="1"/>
  <c r="A11259" i="1"/>
  <c r="E11259" i="1"/>
  <c r="F11259" i="1"/>
  <c r="B11260" i="1"/>
  <c r="A11260" i="1"/>
  <c r="E11260" i="1"/>
  <c r="F11260" i="1"/>
  <c r="B11261" i="1"/>
  <c r="A11261" i="1"/>
  <c r="E11261" i="1"/>
  <c r="F11261" i="1"/>
  <c r="B11262" i="1"/>
  <c r="A11262" i="1"/>
  <c r="E11262" i="1"/>
  <c r="F11262" i="1"/>
  <c r="B11263" i="1"/>
  <c r="A11263" i="1"/>
  <c r="E11263" i="1"/>
  <c r="F11263" i="1"/>
  <c r="B11264" i="1"/>
  <c r="A11264" i="1"/>
  <c r="E11264" i="1"/>
  <c r="F11264" i="1"/>
  <c r="B11265" i="1"/>
  <c r="A11265" i="1"/>
  <c r="E11265" i="1"/>
  <c r="F11265" i="1"/>
  <c r="B11266" i="1"/>
  <c r="A11266" i="1"/>
  <c r="E11266" i="1"/>
  <c r="F11266" i="1"/>
  <c r="B11267" i="1"/>
  <c r="A11267" i="1"/>
  <c r="E11267" i="1"/>
  <c r="F11267" i="1"/>
  <c r="B11268" i="1"/>
  <c r="A11268" i="1"/>
  <c r="E11268" i="1"/>
  <c r="F11268" i="1"/>
  <c r="B11269" i="1"/>
  <c r="A11269" i="1"/>
  <c r="E11269" i="1"/>
  <c r="F11269" i="1"/>
  <c r="B11270" i="1"/>
  <c r="A11270" i="1"/>
  <c r="E11270" i="1"/>
  <c r="F11270" i="1"/>
  <c r="B11271" i="1"/>
  <c r="A11271" i="1"/>
  <c r="E11271" i="1"/>
  <c r="F11271" i="1"/>
  <c r="B11272" i="1"/>
  <c r="A11272" i="1"/>
  <c r="E11272" i="1"/>
  <c r="F11272" i="1"/>
  <c r="B11273" i="1"/>
  <c r="A11273" i="1"/>
  <c r="E11273" i="1"/>
  <c r="F11273" i="1"/>
  <c r="B11274" i="1"/>
  <c r="A11274" i="1"/>
  <c r="E11274" i="1"/>
  <c r="F11274" i="1"/>
  <c r="B11275" i="1"/>
  <c r="A11275" i="1"/>
  <c r="E11275" i="1"/>
  <c r="F11275" i="1"/>
  <c r="B11276" i="1"/>
  <c r="A11276" i="1"/>
  <c r="E11276" i="1"/>
  <c r="F11276" i="1"/>
  <c r="B11277" i="1"/>
  <c r="A11277" i="1"/>
  <c r="E11277" i="1"/>
  <c r="F11277" i="1"/>
  <c r="B11278" i="1"/>
  <c r="A11278" i="1"/>
  <c r="E11278" i="1"/>
  <c r="F11278" i="1"/>
  <c r="B11279" i="1"/>
  <c r="A11279" i="1"/>
  <c r="E11279" i="1"/>
  <c r="F11279" i="1"/>
  <c r="B11280" i="1"/>
  <c r="A11280" i="1"/>
  <c r="E11280" i="1"/>
  <c r="F11280" i="1"/>
  <c r="B11281" i="1"/>
  <c r="A11281" i="1"/>
  <c r="E11281" i="1"/>
  <c r="F11281" i="1"/>
  <c r="B11282" i="1"/>
  <c r="A11282" i="1"/>
  <c r="E11282" i="1"/>
  <c r="F11282" i="1"/>
  <c r="B11283" i="1"/>
  <c r="A11283" i="1"/>
  <c r="E11283" i="1"/>
  <c r="F11283" i="1"/>
  <c r="B11284" i="1"/>
  <c r="A11284" i="1"/>
  <c r="E11284" i="1"/>
  <c r="F11284" i="1"/>
  <c r="B11285" i="1"/>
  <c r="A11285" i="1"/>
  <c r="E11285" i="1"/>
  <c r="F11285" i="1"/>
  <c r="B11286" i="1"/>
  <c r="A11286" i="1"/>
  <c r="E11286" i="1"/>
  <c r="F11286" i="1"/>
  <c r="B11287" i="1"/>
  <c r="A11287" i="1"/>
  <c r="E11287" i="1"/>
  <c r="F11287" i="1"/>
  <c r="B11288" i="1"/>
  <c r="A11288" i="1"/>
  <c r="E11288" i="1"/>
  <c r="F11288" i="1"/>
  <c r="B11289" i="1"/>
  <c r="A11289" i="1"/>
  <c r="E11289" i="1"/>
  <c r="F11289" i="1"/>
  <c r="B11290" i="1"/>
  <c r="A11290" i="1"/>
  <c r="E11290" i="1"/>
  <c r="F11290" i="1"/>
  <c r="B11291" i="1"/>
  <c r="A11291" i="1"/>
  <c r="E11291" i="1"/>
  <c r="F11291" i="1"/>
  <c r="B11292" i="1"/>
  <c r="A11292" i="1"/>
  <c r="E11292" i="1"/>
  <c r="F11292" i="1"/>
  <c r="B11293" i="1"/>
  <c r="A11293" i="1"/>
  <c r="E11293" i="1"/>
  <c r="F11293" i="1"/>
  <c r="B11294" i="1"/>
  <c r="A11294" i="1"/>
  <c r="E11294" i="1"/>
  <c r="F11294" i="1"/>
  <c r="B11295" i="1"/>
  <c r="A11295" i="1"/>
  <c r="E11295" i="1"/>
  <c r="F11295" i="1"/>
  <c r="B11296" i="1"/>
  <c r="A11296" i="1"/>
  <c r="E11296" i="1"/>
  <c r="F11296" i="1"/>
  <c r="B11297" i="1"/>
  <c r="A11297" i="1"/>
  <c r="E11297" i="1"/>
  <c r="F11297" i="1"/>
  <c r="B11298" i="1"/>
  <c r="A11298" i="1"/>
  <c r="E11298" i="1"/>
  <c r="F11298" i="1"/>
  <c r="B11299" i="1"/>
  <c r="A11299" i="1"/>
  <c r="E11299" i="1"/>
  <c r="F11299" i="1"/>
  <c r="B11300" i="1"/>
  <c r="A11300" i="1"/>
  <c r="E11300" i="1"/>
  <c r="F11300" i="1"/>
  <c r="B11301" i="1"/>
  <c r="A11301" i="1"/>
  <c r="E11301" i="1"/>
  <c r="F11301" i="1"/>
  <c r="B11302" i="1"/>
  <c r="A11302" i="1"/>
  <c r="E11302" i="1"/>
  <c r="F11302" i="1"/>
  <c r="B11303" i="1"/>
  <c r="A11303" i="1"/>
  <c r="E11303" i="1"/>
  <c r="F11303" i="1"/>
  <c r="B11304" i="1"/>
  <c r="A11304" i="1"/>
  <c r="E11304" i="1"/>
  <c r="F11304" i="1"/>
  <c r="B11305" i="1"/>
  <c r="A11305" i="1"/>
  <c r="E11305" i="1"/>
  <c r="F11305" i="1"/>
  <c r="B11306" i="1"/>
  <c r="A11306" i="1"/>
  <c r="E11306" i="1"/>
  <c r="F11306" i="1"/>
  <c r="B11307" i="1"/>
  <c r="A11307" i="1"/>
  <c r="E11307" i="1"/>
  <c r="F11307" i="1"/>
  <c r="B11308" i="1"/>
  <c r="A11308" i="1"/>
  <c r="E11308" i="1"/>
  <c r="F11308" i="1"/>
  <c r="B11309" i="1"/>
  <c r="A11309" i="1"/>
  <c r="E11309" i="1"/>
  <c r="F11309" i="1"/>
  <c r="B11310" i="1"/>
  <c r="A11310" i="1"/>
  <c r="E11310" i="1"/>
  <c r="F11310" i="1"/>
  <c r="B11311" i="1"/>
  <c r="A11311" i="1"/>
  <c r="E11311" i="1"/>
  <c r="F11311" i="1"/>
  <c r="B11312" i="1"/>
  <c r="A11312" i="1"/>
  <c r="E11312" i="1"/>
  <c r="F11312" i="1"/>
  <c r="B11313" i="1"/>
  <c r="A11313" i="1"/>
  <c r="E11313" i="1"/>
  <c r="F11313" i="1"/>
  <c r="B11314" i="1"/>
  <c r="A11314" i="1"/>
  <c r="E11314" i="1"/>
  <c r="F11314" i="1"/>
  <c r="B11315" i="1"/>
  <c r="A11315" i="1"/>
  <c r="E11315" i="1"/>
  <c r="F11315" i="1"/>
  <c r="B11316" i="1"/>
  <c r="A11316" i="1"/>
  <c r="E11316" i="1"/>
  <c r="F11316" i="1"/>
  <c r="B11317" i="1"/>
  <c r="A11317" i="1"/>
  <c r="E11317" i="1"/>
  <c r="F11317" i="1"/>
  <c r="B11318" i="1"/>
  <c r="A11318" i="1"/>
  <c r="E11318" i="1"/>
  <c r="F11318" i="1"/>
  <c r="B11319" i="1"/>
  <c r="A11319" i="1"/>
  <c r="E11319" i="1"/>
  <c r="F11319" i="1"/>
  <c r="B11320" i="1"/>
  <c r="A11320" i="1"/>
  <c r="E11320" i="1"/>
  <c r="F11320" i="1"/>
  <c r="B11321" i="1"/>
  <c r="A11321" i="1"/>
  <c r="E11321" i="1"/>
  <c r="F11321" i="1"/>
  <c r="B11322" i="1"/>
  <c r="A11322" i="1"/>
  <c r="E11322" i="1"/>
  <c r="F11322" i="1"/>
  <c r="B11323" i="1"/>
  <c r="A11323" i="1"/>
  <c r="E11323" i="1"/>
  <c r="F11323" i="1"/>
  <c r="B11324" i="1"/>
  <c r="A11324" i="1"/>
  <c r="E11324" i="1"/>
  <c r="F11324" i="1"/>
  <c r="B11325" i="1"/>
  <c r="A11325" i="1"/>
  <c r="E11325" i="1"/>
  <c r="F11325" i="1"/>
  <c r="B11326" i="1"/>
  <c r="A11326" i="1"/>
  <c r="E11326" i="1"/>
  <c r="F11326" i="1"/>
  <c r="B11327" i="1"/>
  <c r="A11327" i="1"/>
  <c r="E11327" i="1"/>
  <c r="F11327" i="1"/>
  <c r="B11328" i="1"/>
  <c r="A11328" i="1"/>
  <c r="E11328" i="1"/>
  <c r="F11328" i="1"/>
  <c r="B11329" i="1"/>
  <c r="A11329" i="1"/>
  <c r="E11329" i="1"/>
  <c r="F11329" i="1"/>
  <c r="B11330" i="1"/>
  <c r="A11330" i="1"/>
  <c r="E11330" i="1"/>
  <c r="F11330" i="1"/>
  <c r="B11331" i="1"/>
  <c r="A11331" i="1"/>
  <c r="E11331" i="1"/>
  <c r="F11331" i="1"/>
  <c r="B11332" i="1"/>
  <c r="A11332" i="1"/>
  <c r="E11332" i="1"/>
  <c r="F11332" i="1"/>
  <c r="B11333" i="1"/>
  <c r="A11333" i="1"/>
  <c r="E11333" i="1"/>
  <c r="F11333" i="1"/>
  <c r="B11334" i="1"/>
  <c r="A11334" i="1"/>
  <c r="E11334" i="1"/>
  <c r="F11334" i="1"/>
  <c r="B11335" i="1"/>
  <c r="A11335" i="1"/>
  <c r="E11335" i="1"/>
  <c r="F11335" i="1"/>
  <c r="B11336" i="1"/>
  <c r="A11336" i="1"/>
  <c r="E11336" i="1"/>
  <c r="F11336" i="1"/>
  <c r="B11337" i="1"/>
  <c r="A11337" i="1"/>
  <c r="E11337" i="1"/>
  <c r="F11337" i="1"/>
  <c r="B11338" i="1"/>
  <c r="A11338" i="1"/>
  <c r="E11338" i="1"/>
  <c r="F11338" i="1"/>
  <c r="B11339" i="1"/>
  <c r="A11339" i="1"/>
  <c r="E11339" i="1"/>
  <c r="F11339" i="1"/>
  <c r="B11340" i="1"/>
  <c r="A11340" i="1"/>
  <c r="E11340" i="1"/>
  <c r="F11340" i="1"/>
  <c r="B11341" i="1"/>
  <c r="A11341" i="1"/>
  <c r="E11341" i="1"/>
  <c r="F11341" i="1"/>
  <c r="B11342" i="1"/>
  <c r="A11342" i="1"/>
  <c r="E11342" i="1"/>
  <c r="F11342" i="1"/>
  <c r="B11343" i="1"/>
  <c r="A11343" i="1"/>
  <c r="E11343" i="1"/>
  <c r="F11343" i="1"/>
  <c r="B11344" i="1"/>
  <c r="A11344" i="1"/>
  <c r="E11344" i="1"/>
  <c r="F11344" i="1"/>
  <c r="B11345" i="1"/>
  <c r="A11345" i="1"/>
  <c r="E11345" i="1"/>
  <c r="F11345" i="1"/>
  <c r="B11346" i="1"/>
  <c r="A11346" i="1"/>
  <c r="E11346" i="1"/>
  <c r="F11346" i="1"/>
  <c r="B11347" i="1"/>
  <c r="A11347" i="1"/>
  <c r="E11347" i="1"/>
  <c r="F11347" i="1"/>
  <c r="B11348" i="1"/>
  <c r="A11348" i="1"/>
  <c r="E11348" i="1"/>
  <c r="F11348" i="1"/>
  <c r="B11349" i="1"/>
  <c r="A11349" i="1"/>
  <c r="E11349" i="1"/>
  <c r="F11349" i="1"/>
  <c r="B11350" i="1"/>
  <c r="A11350" i="1"/>
  <c r="E11350" i="1"/>
  <c r="F11350" i="1"/>
  <c r="B11351" i="1"/>
  <c r="A11351" i="1"/>
  <c r="E11351" i="1"/>
  <c r="F11351" i="1"/>
  <c r="B11352" i="1"/>
  <c r="A11352" i="1"/>
  <c r="E11352" i="1"/>
  <c r="F11352" i="1"/>
  <c r="B11353" i="1"/>
  <c r="A11353" i="1"/>
  <c r="E11353" i="1"/>
  <c r="F11353" i="1"/>
  <c r="B11354" i="1"/>
  <c r="A11354" i="1"/>
  <c r="E11354" i="1"/>
  <c r="F11354" i="1"/>
  <c r="B11355" i="1"/>
  <c r="A11355" i="1"/>
  <c r="E11355" i="1"/>
  <c r="F11355" i="1"/>
  <c r="B11356" i="1"/>
  <c r="A11356" i="1"/>
  <c r="E11356" i="1"/>
  <c r="F11356" i="1"/>
  <c r="B11357" i="1"/>
  <c r="A11357" i="1"/>
  <c r="E11357" i="1"/>
  <c r="F11357" i="1"/>
  <c r="B11358" i="1"/>
  <c r="A11358" i="1"/>
  <c r="E11358" i="1"/>
  <c r="F11358" i="1"/>
  <c r="B11359" i="1"/>
  <c r="A11359" i="1"/>
  <c r="E11359" i="1"/>
  <c r="F11359" i="1"/>
  <c r="B11360" i="1"/>
  <c r="A11360" i="1"/>
  <c r="E11360" i="1"/>
  <c r="F11360" i="1"/>
  <c r="B11361" i="1"/>
  <c r="A11361" i="1"/>
  <c r="E11361" i="1"/>
  <c r="F11361" i="1"/>
  <c r="B11362" i="1"/>
  <c r="A11362" i="1"/>
  <c r="E11362" i="1"/>
  <c r="F11362" i="1"/>
  <c r="B11363" i="1"/>
  <c r="A11363" i="1"/>
  <c r="E11363" i="1"/>
  <c r="F11363" i="1"/>
  <c r="B11364" i="1"/>
  <c r="A11364" i="1"/>
  <c r="E11364" i="1"/>
  <c r="F11364" i="1"/>
  <c r="B11365" i="1"/>
  <c r="A11365" i="1"/>
  <c r="E11365" i="1"/>
  <c r="F11365" i="1"/>
  <c r="B11366" i="1"/>
  <c r="A11366" i="1"/>
  <c r="E11366" i="1"/>
  <c r="F11366" i="1"/>
  <c r="B11367" i="1"/>
  <c r="A11367" i="1"/>
  <c r="E11367" i="1"/>
  <c r="F11367" i="1"/>
  <c r="B11368" i="1"/>
  <c r="A11368" i="1"/>
  <c r="E11368" i="1"/>
  <c r="F11368" i="1"/>
  <c r="B11369" i="1"/>
  <c r="A11369" i="1"/>
  <c r="E11369" i="1"/>
  <c r="F11369" i="1"/>
  <c r="B11370" i="1"/>
  <c r="A11370" i="1"/>
  <c r="E11370" i="1"/>
  <c r="F11370" i="1"/>
  <c r="B11371" i="1"/>
  <c r="A11371" i="1"/>
  <c r="E11371" i="1"/>
  <c r="F11371" i="1"/>
  <c r="B11372" i="1"/>
  <c r="A11372" i="1"/>
  <c r="E11372" i="1"/>
  <c r="F11372" i="1"/>
  <c r="B11373" i="1"/>
  <c r="A11373" i="1"/>
  <c r="E11373" i="1"/>
  <c r="F11373" i="1"/>
  <c r="B11374" i="1"/>
  <c r="A11374" i="1"/>
  <c r="E11374" i="1"/>
  <c r="F11374" i="1"/>
  <c r="B11375" i="1"/>
  <c r="A11375" i="1"/>
  <c r="E11375" i="1"/>
  <c r="F11375" i="1"/>
  <c r="B11376" i="1"/>
  <c r="A11376" i="1"/>
  <c r="E11376" i="1"/>
  <c r="F11376" i="1"/>
  <c r="B11377" i="1"/>
  <c r="A11377" i="1"/>
  <c r="E11377" i="1"/>
  <c r="F11377" i="1"/>
  <c r="B11378" i="1"/>
  <c r="A11378" i="1"/>
  <c r="E11378" i="1"/>
  <c r="F11378" i="1"/>
  <c r="B11379" i="1"/>
  <c r="A11379" i="1"/>
  <c r="E11379" i="1"/>
  <c r="F11379" i="1"/>
  <c r="B11380" i="1"/>
  <c r="A11380" i="1"/>
  <c r="E11380" i="1"/>
  <c r="F11380" i="1"/>
  <c r="B11381" i="1"/>
  <c r="A11381" i="1"/>
  <c r="E11381" i="1"/>
  <c r="F11381" i="1"/>
  <c r="B11382" i="1"/>
  <c r="A11382" i="1"/>
  <c r="E11382" i="1"/>
  <c r="F11382" i="1"/>
  <c r="B11383" i="1"/>
  <c r="A11383" i="1"/>
  <c r="E11383" i="1"/>
  <c r="F11383" i="1"/>
  <c r="B11384" i="1"/>
  <c r="A11384" i="1"/>
  <c r="E11384" i="1"/>
  <c r="F11384" i="1"/>
  <c r="B11385" i="1"/>
  <c r="A11385" i="1"/>
  <c r="E11385" i="1"/>
  <c r="F11385" i="1"/>
  <c r="B11386" i="1"/>
  <c r="A11386" i="1"/>
  <c r="E11386" i="1"/>
  <c r="F11386" i="1"/>
  <c r="B11387" i="1"/>
  <c r="A11387" i="1"/>
  <c r="E11387" i="1"/>
  <c r="F11387" i="1"/>
  <c r="B11388" i="1"/>
  <c r="A11388" i="1"/>
  <c r="E11388" i="1"/>
  <c r="F11388" i="1"/>
  <c r="B11389" i="1"/>
  <c r="A11389" i="1"/>
  <c r="E11389" i="1"/>
  <c r="F11389" i="1"/>
  <c r="B11390" i="1"/>
  <c r="A11390" i="1"/>
  <c r="E11390" i="1"/>
  <c r="F11390" i="1"/>
  <c r="G11390" i="1"/>
  <c r="B11391" i="1"/>
  <c r="A11391" i="1"/>
  <c r="E11391" i="1"/>
  <c r="F11391" i="1"/>
  <c r="B11392" i="1"/>
  <c r="A11392" i="1"/>
  <c r="E11392" i="1"/>
  <c r="F11392" i="1"/>
  <c r="B11393" i="1"/>
  <c r="A11393" i="1"/>
  <c r="E11393" i="1"/>
  <c r="F11393" i="1"/>
  <c r="B11394" i="1"/>
  <c r="A11394" i="1"/>
  <c r="E11394" i="1"/>
  <c r="F11394" i="1"/>
  <c r="B11395" i="1"/>
  <c r="A11395" i="1"/>
  <c r="E11395" i="1"/>
  <c r="F11395" i="1"/>
  <c r="B11396" i="1"/>
  <c r="A11396" i="1"/>
  <c r="E11396" i="1"/>
  <c r="F11396" i="1"/>
  <c r="B11397" i="1"/>
  <c r="A11397" i="1"/>
  <c r="E11397" i="1"/>
  <c r="F11397" i="1"/>
  <c r="B11398" i="1"/>
  <c r="A11398" i="1"/>
  <c r="E11398" i="1"/>
  <c r="F11398" i="1"/>
  <c r="B11399" i="1"/>
  <c r="A11399" i="1"/>
  <c r="E11399" i="1"/>
  <c r="F11399" i="1"/>
  <c r="G11399" i="1"/>
  <c r="B11400" i="1"/>
  <c r="A11400" i="1"/>
  <c r="E11400" i="1"/>
  <c r="F11400" i="1"/>
  <c r="G11400" i="1"/>
  <c r="B11401" i="1"/>
  <c r="A11401" i="1"/>
  <c r="E11401" i="1"/>
  <c r="F11401" i="1"/>
  <c r="B11402" i="1"/>
  <c r="A11402" i="1"/>
  <c r="E11402" i="1"/>
  <c r="F11402" i="1"/>
  <c r="B11403" i="1"/>
  <c r="A11403" i="1"/>
  <c r="E11403" i="1"/>
  <c r="F11403" i="1"/>
  <c r="B11404" i="1"/>
  <c r="A11404" i="1"/>
  <c r="E11404" i="1"/>
  <c r="F11404" i="1"/>
  <c r="B11405" i="1"/>
  <c r="A11405" i="1"/>
  <c r="E11405" i="1"/>
  <c r="F11405" i="1"/>
  <c r="B11406" i="1"/>
  <c r="A11406" i="1"/>
  <c r="E11406" i="1"/>
  <c r="F11406" i="1"/>
  <c r="B11407" i="1"/>
  <c r="A11407" i="1"/>
  <c r="E11407" i="1"/>
  <c r="F11407" i="1"/>
  <c r="B11408" i="1"/>
  <c r="A11408" i="1"/>
  <c r="E11408" i="1"/>
  <c r="F11408" i="1"/>
  <c r="B11409" i="1"/>
  <c r="A11409" i="1"/>
  <c r="E11409" i="1"/>
  <c r="F11409" i="1"/>
  <c r="B11410" i="1"/>
  <c r="A11410" i="1"/>
  <c r="E11410" i="1"/>
  <c r="F11410" i="1"/>
  <c r="B11411" i="1"/>
  <c r="A11411" i="1"/>
  <c r="E11411" i="1"/>
  <c r="F11411" i="1"/>
  <c r="B11412" i="1"/>
  <c r="A11412" i="1"/>
  <c r="E11412" i="1"/>
  <c r="F11412" i="1"/>
  <c r="B11413" i="1"/>
  <c r="A11413" i="1"/>
  <c r="E11413" i="1"/>
  <c r="F11413" i="1"/>
  <c r="G11413" i="1"/>
  <c r="B11414" i="1"/>
  <c r="A11414" i="1"/>
  <c r="E11414" i="1"/>
  <c r="F11414" i="1"/>
  <c r="B11415" i="1"/>
  <c r="A11415" i="1"/>
  <c r="E11415" i="1"/>
  <c r="F11415" i="1"/>
  <c r="B11416" i="1"/>
  <c r="A11416" i="1"/>
  <c r="E11416" i="1"/>
  <c r="F11416" i="1"/>
  <c r="B11417" i="1"/>
  <c r="A11417" i="1"/>
  <c r="E11417" i="1"/>
  <c r="F11417" i="1"/>
  <c r="B11418" i="1"/>
  <c r="A11418" i="1"/>
  <c r="E11418" i="1"/>
  <c r="F11418" i="1"/>
  <c r="B11419" i="1"/>
  <c r="A11419" i="1"/>
  <c r="E11419" i="1"/>
  <c r="F11419" i="1"/>
  <c r="B11420" i="1"/>
  <c r="A11420" i="1"/>
  <c r="E11420" i="1"/>
  <c r="F11420" i="1"/>
  <c r="B11421" i="1"/>
  <c r="A11421" i="1"/>
  <c r="E11421" i="1"/>
  <c r="F11421" i="1"/>
  <c r="B11422" i="1"/>
  <c r="A11422" i="1"/>
  <c r="E11422" i="1"/>
  <c r="F11422" i="1"/>
  <c r="B11423" i="1"/>
  <c r="A11423" i="1"/>
  <c r="E11423" i="1"/>
  <c r="F11423" i="1"/>
  <c r="B11424" i="1"/>
  <c r="A11424" i="1"/>
  <c r="E11424" i="1"/>
  <c r="F11424" i="1"/>
  <c r="B11425" i="1"/>
  <c r="A11425" i="1"/>
  <c r="E11425" i="1"/>
  <c r="F11425" i="1"/>
  <c r="B11426" i="1"/>
  <c r="A11426" i="1"/>
  <c r="E11426" i="1"/>
  <c r="F11426" i="1"/>
  <c r="B11427" i="1"/>
  <c r="A11427" i="1"/>
  <c r="E11427" i="1"/>
  <c r="F11427" i="1"/>
  <c r="G11427" i="1"/>
  <c r="B11428" i="1"/>
  <c r="A11428" i="1"/>
  <c r="E11428" i="1"/>
  <c r="F11428" i="1"/>
  <c r="B11429" i="1"/>
  <c r="A11429" i="1"/>
  <c r="E11429" i="1"/>
  <c r="F11429" i="1"/>
  <c r="B11430" i="1"/>
  <c r="A11430" i="1"/>
  <c r="E11430" i="1"/>
  <c r="F11430" i="1"/>
  <c r="B11431" i="1"/>
  <c r="A11431" i="1"/>
  <c r="E11431" i="1"/>
  <c r="F11431" i="1"/>
  <c r="B11432" i="1"/>
  <c r="A11432" i="1"/>
  <c r="E11432" i="1"/>
  <c r="F11432" i="1"/>
  <c r="B11433" i="1"/>
  <c r="A11433" i="1"/>
  <c r="E11433" i="1"/>
  <c r="F11433" i="1"/>
  <c r="B11434" i="1"/>
  <c r="A11434" i="1"/>
  <c r="E11434" i="1"/>
  <c r="F11434" i="1"/>
  <c r="B11435" i="1"/>
  <c r="A11435" i="1"/>
  <c r="E11435" i="1"/>
  <c r="F11435" i="1"/>
  <c r="B11436" i="1"/>
  <c r="A11436" i="1"/>
  <c r="E11436" i="1"/>
  <c r="F11436" i="1"/>
  <c r="G11436" i="1"/>
  <c r="B11437" i="1"/>
  <c r="A11437" i="1"/>
  <c r="E11437" i="1"/>
  <c r="F11437" i="1"/>
  <c r="B11438" i="1"/>
  <c r="A11438" i="1"/>
  <c r="E11438" i="1"/>
  <c r="F11438" i="1"/>
  <c r="B11439" i="1"/>
  <c r="A11439" i="1"/>
  <c r="E11439" i="1"/>
  <c r="F11439" i="1"/>
  <c r="B11440" i="1"/>
  <c r="A11440" i="1"/>
  <c r="E11440" i="1"/>
  <c r="F11440" i="1"/>
  <c r="B11441" i="1"/>
  <c r="A11441" i="1"/>
  <c r="E11441" i="1"/>
  <c r="F11441" i="1"/>
  <c r="B11442" i="1"/>
  <c r="A11442" i="1"/>
  <c r="E11442" i="1"/>
  <c r="F11442" i="1"/>
  <c r="B11443" i="1"/>
  <c r="A11443" i="1"/>
  <c r="E11443" i="1"/>
  <c r="F11443" i="1"/>
  <c r="B11444" i="1"/>
  <c r="A11444" i="1"/>
  <c r="E11444" i="1"/>
  <c r="F11444" i="1"/>
  <c r="B11445" i="1"/>
  <c r="A11445" i="1"/>
  <c r="E11445" i="1"/>
  <c r="F11445" i="1"/>
  <c r="B11446" i="1"/>
  <c r="A11446" i="1"/>
  <c r="E11446" i="1"/>
  <c r="F11446" i="1"/>
  <c r="B11447" i="1"/>
  <c r="A11447" i="1"/>
  <c r="E11447" i="1"/>
  <c r="F11447" i="1"/>
  <c r="B11448" i="1"/>
  <c r="A11448" i="1"/>
  <c r="E11448" i="1"/>
  <c r="F11448" i="1"/>
  <c r="B11449" i="1"/>
  <c r="A11449" i="1"/>
  <c r="E11449" i="1"/>
  <c r="F11449" i="1"/>
  <c r="B11450" i="1"/>
  <c r="A11450" i="1"/>
  <c r="E11450" i="1"/>
  <c r="F11450" i="1"/>
  <c r="B11451" i="1"/>
  <c r="A11451" i="1"/>
  <c r="E11451" i="1"/>
  <c r="F11451" i="1"/>
  <c r="B11452" i="1"/>
  <c r="A11452" i="1"/>
  <c r="E11452" i="1"/>
  <c r="F11452" i="1"/>
  <c r="B11453" i="1"/>
  <c r="A11453" i="1"/>
  <c r="E11453" i="1"/>
  <c r="F11453" i="1"/>
  <c r="B11454" i="1"/>
  <c r="A11454" i="1"/>
  <c r="E11454" i="1"/>
  <c r="F11454" i="1"/>
  <c r="B11455" i="1"/>
  <c r="A11455" i="1"/>
  <c r="E11455" i="1"/>
  <c r="F11455" i="1"/>
  <c r="B11456" i="1"/>
  <c r="A11456" i="1"/>
  <c r="E11456" i="1"/>
  <c r="F11456" i="1"/>
  <c r="B11457" i="1"/>
  <c r="A11457" i="1"/>
  <c r="E11457" i="1"/>
  <c r="F11457" i="1"/>
  <c r="B11458" i="1"/>
  <c r="A11458" i="1"/>
  <c r="E11458" i="1"/>
  <c r="F11458" i="1"/>
  <c r="B11459" i="1"/>
  <c r="A11459" i="1"/>
  <c r="E11459" i="1"/>
  <c r="F11459" i="1"/>
  <c r="B11460" i="1"/>
  <c r="A11460" i="1"/>
  <c r="E11460" i="1"/>
  <c r="F11460" i="1"/>
  <c r="B11461" i="1"/>
  <c r="A11461" i="1"/>
  <c r="E11461" i="1"/>
  <c r="F11461" i="1"/>
  <c r="B11462" i="1"/>
  <c r="A11462" i="1"/>
  <c r="E11462" i="1"/>
  <c r="F11462" i="1"/>
  <c r="B11463" i="1"/>
  <c r="A11463" i="1"/>
  <c r="E11463" i="1"/>
  <c r="F11463" i="1"/>
  <c r="B11464" i="1"/>
  <c r="A11464" i="1"/>
  <c r="E11464" i="1"/>
  <c r="F11464" i="1"/>
  <c r="B11465" i="1"/>
  <c r="A11465" i="1"/>
  <c r="E11465" i="1"/>
  <c r="F11465" i="1"/>
  <c r="B11466" i="1"/>
  <c r="A11466" i="1"/>
  <c r="E11466" i="1"/>
  <c r="F11466" i="1"/>
  <c r="B11467" i="1"/>
  <c r="A11467" i="1"/>
  <c r="E11467" i="1"/>
  <c r="F11467" i="1"/>
  <c r="B11468" i="1"/>
  <c r="A11468" i="1"/>
  <c r="E11468" i="1"/>
  <c r="F11468" i="1"/>
  <c r="B11469" i="1"/>
  <c r="A11469" i="1"/>
  <c r="E11469" i="1"/>
  <c r="F11469" i="1"/>
  <c r="B11470" i="1"/>
  <c r="A11470" i="1"/>
  <c r="E11470" i="1"/>
  <c r="F11470" i="1"/>
  <c r="B11471" i="1"/>
  <c r="A11471" i="1"/>
  <c r="E11471" i="1"/>
  <c r="F11471" i="1"/>
  <c r="B11472" i="1"/>
  <c r="A11472" i="1"/>
  <c r="E11472" i="1"/>
  <c r="F11472" i="1"/>
  <c r="B11473" i="1"/>
  <c r="A11473" i="1"/>
  <c r="E11473" i="1"/>
  <c r="F11473" i="1"/>
  <c r="B11474" i="1"/>
  <c r="A11474" i="1"/>
  <c r="E11474" i="1"/>
  <c r="F11474" i="1"/>
  <c r="B11475" i="1"/>
  <c r="A11475" i="1"/>
  <c r="E11475" i="1"/>
  <c r="F11475" i="1"/>
  <c r="B11476" i="1"/>
  <c r="A11476" i="1"/>
  <c r="E11476" i="1"/>
  <c r="F11476" i="1"/>
  <c r="B11477" i="1"/>
  <c r="A11477" i="1"/>
  <c r="E11477" i="1"/>
  <c r="F11477" i="1"/>
  <c r="B11478" i="1"/>
  <c r="A11478" i="1"/>
  <c r="E11478" i="1"/>
  <c r="F11478" i="1"/>
  <c r="B11479" i="1"/>
  <c r="A11479" i="1"/>
  <c r="E11479" i="1"/>
  <c r="F11479" i="1"/>
  <c r="B11480" i="1"/>
  <c r="A11480" i="1"/>
  <c r="E11480" i="1"/>
  <c r="F11480" i="1"/>
  <c r="B11481" i="1"/>
  <c r="A11481" i="1"/>
  <c r="E11481" i="1"/>
  <c r="F11481" i="1"/>
  <c r="B11482" i="1"/>
  <c r="A11482" i="1"/>
  <c r="E11482" i="1"/>
  <c r="F11482" i="1"/>
  <c r="B11483" i="1"/>
  <c r="A11483" i="1"/>
  <c r="E11483" i="1"/>
  <c r="F11483" i="1"/>
  <c r="B11484" i="1"/>
  <c r="A11484" i="1"/>
  <c r="E11484" i="1"/>
  <c r="F11484" i="1"/>
  <c r="B11485" i="1"/>
  <c r="A11485" i="1"/>
  <c r="E11485" i="1"/>
  <c r="F11485" i="1"/>
  <c r="B11486" i="1"/>
  <c r="A11486" i="1"/>
  <c r="E11486" i="1"/>
  <c r="F11486" i="1"/>
  <c r="B11487" i="1"/>
  <c r="A11487" i="1"/>
  <c r="E11487" i="1"/>
  <c r="F11487" i="1"/>
  <c r="B11488" i="1"/>
  <c r="A11488" i="1"/>
  <c r="E11488" i="1"/>
  <c r="F11488" i="1"/>
  <c r="B11489" i="1"/>
  <c r="A11489" i="1"/>
  <c r="E11489" i="1"/>
  <c r="F11489" i="1"/>
  <c r="B11490" i="1"/>
  <c r="A11490" i="1"/>
  <c r="E11490" i="1"/>
  <c r="F11490" i="1"/>
  <c r="B11491" i="1"/>
  <c r="A11491" i="1"/>
  <c r="E11491" i="1"/>
  <c r="F11491" i="1"/>
  <c r="B11492" i="1"/>
  <c r="A11492" i="1"/>
  <c r="E11492" i="1"/>
  <c r="F11492" i="1"/>
  <c r="B11493" i="1"/>
  <c r="A11493" i="1"/>
  <c r="E11493" i="1"/>
  <c r="F11493" i="1"/>
  <c r="B11494" i="1"/>
  <c r="A11494" i="1"/>
  <c r="E11494" i="1"/>
  <c r="F11494" i="1"/>
  <c r="B11495" i="1"/>
  <c r="A11495" i="1"/>
  <c r="E11495" i="1"/>
  <c r="F11495" i="1"/>
  <c r="B11496" i="1"/>
  <c r="A11496" i="1"/>
  <c r="E11496" i="1"/>
  <c r="F11496" i="1"/>
  <c r="B11497" i="1"/>
  <c r="A11497" i="1"/>
  <c r="E11497" i="1"/>
  <c r="F11497" i="1"/>
  <c r="B11498" i="1"/>
  <c r="A11498" i="1"/>
  <c r="E11498" i="1"/>
  <c r="F11498" i="1"/>
  <c r="B11499" i="1"/>
  <c r="A11499" i="1"/>
  <c r="E11499" i="1"/>
  <c r="F11499" i="1"/>
  <c r="B11500" i="1"/>
  <c r="A11500" i="1"/>
  <c r="E11500" i="1"/>
  <c r="F11500" i="1"/>
  <c r="B11501" i="1"/>
  <c r="A11501" i="1"/>
  <c r="E11501" i="1"/>
  <c r="F11501" i="1"/>
  <c r="B11502" i="1"/>
  <c r="A11502" i="1"/>
  <c r="E11502" i="1"/>
  <c r="F11502" i="1"/>
  <c r="B11503" i="1"/>
  <c r="A11503" i="1"/>
  <c r="E11503" i="1"/>
  <c r="F11503" i="1"/>
  <c r="B11504" i="1"/>
  <c r="A11504" i="1"/>
  <c r="E11504" i="1"/>
  <c r="F11504" i="1"/>
  <c r="B11505" i="1"/>
  <c r="A11505" i="1"/>
  <c r="E11505" i="1"/>
  <c r="F11505" i="1"/>
  <c r="B11506" i="1"/>
  <c r="A11506" i="1"/>
  <c r="E11506" i="1"/>
  <c r="F11506" i="1"/>
  <c r="B11507" i="1"/>
  <c r="A11507" i="1"/>
  <c r="E11507" i="1"/>
  <c r="F11507" i="1"/>
  <c r="B11508" i="1"/>
  <c r="A11508" i="1"/>
  <c r="E11508" i="1"/>
  <c r="F11508" i="1"/>
  <c r="B11509" i="1"/>
  <c r="A11509" i="1"/>
  <c r="E11509" i="1"/>
  <c r="F11509" i="1"/>
  <c r="B11510" i="1"/>
  <c r="A11510" i="1"/>
  <c r="E11510" i="1"/>
  <c r="F11510" i="1"/>
  <c r="B11511" i="1"/>
  <c r="A11511" i="1"/>
  <c r="E11511" i="1"/>
  <c r="F11511" i="1"/>
  <c r="B11512" i="1"/>
  <c r="A11512" i="1"/>
  <c r="E11512" i="1"/>
  <c r="F11512" i="1"/>
  <c r="B11513" i="1"/>
  <c r="A11513" i="1"/>
  <c r="E11513" i="1"/>
  <c r="F11513" i="1"/>
  <c r="B11514" i="1"/>
  <c r="A11514" i="1"/>
  <c r="E11514" i="1"/>
  <c r="F11514" i="1"/>
  <c r="B11515" i="1"/>
  <c r="A11515" i="1"/>
  <c r="E11515" i="1"/>
  <c r="F11515" i="1"/>
  <c r="B11516" i="1"/>
  <c r="A11516" i="1"/>
  <c r="E11516" i="1"/>
  <c r="F11516" i="1"/>
  <c r="B11517" i="1"/>
  <c r="A11517" i="1"/>
  <c r="E11517" i="1"/>
  <c r="F11517" i="1"/>
  <c r="B11518" i="1"/>
  <c r="A11518" i="1"/>
  <c r="E11518" i="1"/>
  <c r="F11518" i="1"/>
  <c r="G11518" i="1"/>
  <c r="B11519" i="1"/>
  <c r="A11519" i="1"/>
  <c r="E11519" i="1"/>
  <c r="F11519" i="1"/>
  <c r="B11520" i="1"/>
  <c r="A11520" i="1"/>
  <c r="E11520" i="1"/>
  <c r="F11520" i="1"/>
  <c r="G11520" i="1"/>
  <c r="B11521" i="1"/>
  <c r="A11521" i="1"/>
  <c r="E11521" i="1"/>
  <c r="F11521" i="1"/>
  <c r="B11522" i="1"/>
  <c r="A11522" i="1"/>
  <c r="E11522" i="1"/>
  <c r="F11522" i="1"/>
  <c r="B11523" i="1"/>
  <c r="A11523" i="1"/>
  <c r="E11523" i="1"/>
  <c r="F11523" i="1"/>
  <c r="B11524" i="1"/>
  <c r="A11524" i="1"/>
  <c r="E11524" i="1"/>
  <c r="F11524" i="1"/>
  <c r="B11525" i="1"/>
  <c r="A11525" i="1"/>
  <c r="E11525" i="1"/>
  <c r="F11525" i="1"/>
  <c r="B11526" i="1"/>
  <c r="A11526" i="1"/>
  <c r="E11526" i="1"/>
  <c r="F11526" i="1"/>
  <c r="B11527" i="1"/>
  <c r="A11527" i="1"/>
  <c r="E11527" i="1"/>
  <c r="F11527" i="1"/>
  <c r="B11528" i="1"/>
  <c r="A11528" i="1"/>
  <c r="E11528" i="1"/>
  <c r="F11528" i="1"/>
  <c r="B11529" i="1"/>
  <c r="A11529" i="1"/>
  <c r="E11529" i="1"/>
  <c r="F11529" i="1"/>
  <c r="B11530" i="1"/>
  <c r="A11530" i="1"/>
  <c r="E11530" i="1"/>
  <c r="F11530" i="1"/>
  <c r="B11531" i="1"/>
  <c r="A11531" i="1"/>
  <c r="E11531" i="1"/>
  <c r="F11531" i="1"/>
  <c r="B11532" i="1"/>
  <c r="A11532" i="1"/>
  <c r="E11532" i="1"/>
  <c r="F11532" i="1"/>
  <c r="B11533" i="1"/>
  <c r="A11533" i="1"/>
  <c r="E11533" i="1"/>
  <c r="F11533" i="1"/>
  <c r="B11534" i="1"/>
  <c r="A11534" i="1"/>
  <c r="E11534" i="1"/>
  <c r="F11534" i="1"/>
  <c r="B11535" i="1"/>
  <c r="A11535" i="1"/>
  <c r="E11535" i="1"/>
  <c r="F11535" i="1"/>
  <c r="B11536" i="1"/>
  <c r="A11536" i="1"/>
  <c r="E11536" i="1"/>
  <c r="F11536" i="1"/>
  <c r="B11537" i="1"/>
  <c r="A11537" i="1"/>
  <c r="E11537" i="1"/>
  <c r="F11537" i="1"/>
  <c r="B11538" i="1"/>
  <c r="A11538" i="1"/>
  <c r="E11538" i="1"/>
  <c r="F11538" i="1"/>
  <c r="B11539" i="1"/>
  <c r="A11539" i="1"/>
  <c r="E11539" i="1"/>
  <c r="F11539" i="1"/>
  <c r="B11540" i="1"/>
  <c r="A11540" i="1"/>
  <c r="E11540" i="1"/>
  <c r="F11540" i="1"/>
  <c r="B11541" i="1"/>
  <c r="A11541" i="1"/>
  <c r="E11541" i="1"/>
  <c r="F11541" i="1"/>
  <c r="B11542" i="1"/>
  <c r="A11542" i="1"/>
  <c r="E11542" i="1"/>
  <c r="F11542" i="1"/>
  <c r="B11543" i="1"/>
  <c r="A11543" i="1"/>
  <c r="E11543" i="1"/>
  <c r="F11543" i="1"/>
  <c r="G11543" i="1"/>
  <c r="B11544" i="1"/>
  <c r="A11544" i="1"/>
  <c r="E11544" i="1"/>
  <c r="F11544" i="1"/>
  <c r="B11545" i="1"/>
  <c r="A11545" i="1"/>
  <c r="E11545" i="1"/>
  <c r="F11545" i="1"/>
  <c r="B11546" i="1"/>
  <c r="A11546" i="1"/>
  <c r="E11546" i="1"/>
  <c r="F11546" i="1"/>
  <c r="B11547" i="1"/>
  <c r="A11547" i="1"/>
  <c r="E11547" i="1"/>
  <c r="F11547" i="1"/>
  <c r="B11548" i="1"/>
  <c r="A11548" i="1"/>
  <c r="E11548" i="1"/>
  <c r="F11548" i="1"/>
  <c r="B11549" i="1"/>
  <c r="A11549" i="1"/>
  <c r="E11549" i="1"/>
  <c r="F11549" i="1"/>
  <c r="G11549" i="1"/>
  <c r="B11550" i="1"/>
  <c r="A11550" i="1"/>
  <c r="E11550" i="1"/>
  <c r="F11550" i="1"/>
  <c r="B11551" i="1"/>
  <c r="A11551" i="1"/>
  <c r="E11551" i="1"/>
  <c r="F11551" i="1"/>
  <c r="B11552" i="1"/>
  <c r="A11552" i="1"/>
  <c r="E11552" i="1"/>
  <c r="F11552" i="1"/>
  <c r="B11553" i="1"/>
  <c r="A11553" i="1"/>
  <c r="E11553" i="1"/>
  <c r="F11553" i="1"/>
  <c r="B11554" i="1"/>
  <c r="A11554" i="1"/>
  <c r="E11554" i="1"/>
  <c r="F11554" i="1"/>
  <c r="B11555" i="1"/>
  <c r="A11555" i="1"/>
  <c r="E11555" i="1"/>
  <c r="F11555" i="1"/>
  <c r="G11555" i="1"/>
  <c r="B11556" i="1"/>
  <c r="A11556" i="1"/>
  <c r="E11556" i="1"/>
  <c r="F11556" i="1"/>
  <c r="B11557" i="1"/>
  <c r="A11557" i="1"/>
  <c r="E11557" i="1"/>
  <c r="F11557" i="1"/>
  <c r="B11558" i="1"/>
  <c r="A11558" i="1"/>
  <c r="E11558" i="1"/>
  <c r="F11558" i="1"/>
  <c r="B11559" i="1"/>
  <c r="A11559" i="1"/>
  <c r="E11559" i="1"/>
  <c r="F11559" i="1"/>
  <c r="B11560" i="1"/>
  <c r="A11560" i="1"/>
  <c r="E11560" i="1"/>
  <c r="F11560" i="1"/>
  <c r="B11561" i="1"/>
  <c r="A11561" i="1"/>
  <c r="E11561" i="1"/>
  <c r="F11561" i="1"/>
  <c r="B11562" i="1"/>
  <c r="A11562" i="1"/>
  <c r="E11562" i="1"/>
  <c r="F11562" i="1"/>
  <c r="B11563" i="1"/>
  <c r="A11563" i="1"/>
  <c r="E11563" i="1"/>
  <c r="F11563" i="1"/>
  <c r="B11564" i="1"/>
  <c r="A11564" i="1"/>
  <c r="E11564" i="1"/>
  <c r="F11564" i="1"/>
  <c r="B11565" i="1"/>
  <c r="A11565" i="1"/>
  <c r="E11565" i="1"/>
  <c r="F11565" i="1"/>
  <c r="B11566" i="1"/>
  <c r="A11566" i="1"/>
  <c r="E11566" i="1"/>
  <c r="F11566" i="1"/>
  <c r="B11567" i="1"/>
  <c r="A11567" i="1"/>
  <c r="E11567" i="1"/>
  <c r="F11567" i="1"/>
  <c r="B11568" i="1"/>
  <c r="A11568" i="1"/>
  <c r="E11568" i="1"/>
  <c r="F11568" i="1"/>
  <c r="B11569" i="1"/>
  <c r="A11569" i="1"/>
  <c r="E11569" i="1"/>
  <c r="F11569" i="1"/>
  <c r="B11570" i="1"/>
  <c r="A11570" i="1"/>
  <c r="E11570" i="1"/>
  <c r="F11570" i="1"/>
  <c r="B11571" i="1"/>
  <c r="A11571" i="1"/>
  <c r="E11571" i="1"/>
  <c r="F11571" i="1"/>
  <c r="B11572" i="1"/>
  <c r="A11572" i="1"/>
  <c r="E11572" i="1"/>
  <c r="F11572" i="1"/>
  <c r="B11573" i="1"/>
  <c r="A11573" i="1"/>
  <c r="E11573" i="1"/>
  <c r="F11573" i="1"/>
  <c r="B11574" i="1"/>
  <c r="A11574" i="1"/>
  <c r="E11574" i="1"/>
  <c r="F11574" i="1"/>
  <c r="B11575" i="1"/>
  <c r="A11575" i="1"/>
  <c r="E11575" i="1"/>
  <c r="F11575" i="1"/>
  <c r="B11576" i="1"/>
  <c r="A11576" i="1"/>
  <c r="E11576" i="1"/>
  <c r="F11576" i="1"/>
  <c r="B11577" i="1"/>
  <c r="A11577" i="1"/>
  <c r="E11577" i="1"/>
  <c r="F11577" i="1"/>
  <c r="B11578" i="1"/>
  <c r="A11578" i="1"/>
  <c r="E11578" i="1"/>
  <c r="F11578" i="1"/>
  <c r="B11579" i="1"/>
  <c r="A11579" i="1"/>
  <c r="E11579" i="1"/>
  <c r="F11579" i="1"/>
  <c r="B11580" i="1"/>
  <c r="A11580" i="1"/>
  <c r="E11580" i="1"/>
  <c r="F11580" i="1"/>
  <c r="B11581" i="1"/>
  <c r="A11581" i="1"/>
  <c r="E11581" i="1"/>
  <c r="F11581" i="1"/>
  <c r="B11582" i="1"/>
  <c r="A11582" i="1"/>
  <c r="E11582" i="1"/>
  <c r="F11582" i="1"/>
  <c r="B11583" i="1"/>
  <c r="A11583" i="1"/>
  <c r="E11583" i="1"/>
  <c r="F11583" i="1"/>
  <c r="B11584" i="1"/>
  <c r="A11584" i="1"/>
  <c r="E11584" i="1"/>
  <c r="F11584" i="1"/>
  <c r="B11585" i="1"/>
  <c r="A11585" i="1"/>
  <c r="E11585" i="1"/>
  <c r="F11585" i="1"/>
  <c r="B11586" i="1"/>
  <c r="A11586" i="1"/>
  <c r="E11586" i="1"/>
  <c r="F11586" i="1"/>
  <c r="B11587" i="1"/>
  <c r="A11587" i="1"/>
  <c r="E11587" i="1"/>
  <c r="F11587" i="1"/>
  <c r="B11588" i="1"/>
  <c r="A11588" i="1"/>
  <c r="E11588" i="1"/>
  <c r="F11588" i="1"/>
  <c r="B11589" i="1"/>
  <c r="A11589" i="1"/>
  <c r="E11589" i="1"/>
  <c r="F11589" i="1"/>
  <c r="B11590" i="1"/>
  <c r="A11590" i="1"/>
  <c r="E11590" i="1"/>
  <c r="F11590" i="1"/>
  <c r="B11591" i="1"/>
  <c r="A11591" i="1"/>
  <c r="E11591" i="1"/>
  <c r="F11591" i="1"/>
  <c r="B11592" i="1"/>
  <c r="A11592" i="1"/>
  <c r="E11592" i="1"/>
  <c r="F11592" i="1"/>
  <c r="B11593" i="1"/>
  <c r="A11593" i="1"/>
  <c r="E11593" i="1"/>
  <c r="F11593" i="1"/>
  <c r="B11594" i="1"/>
  <c r="A11594" i="1"/>
  <c r="E11594" i="1"/>
  <c r="F11594" i="1"/>
  <c r="B11595" i="1"/>
  <c r="A11595" i="1"/>
  <c r="E11595" i="1"/>
  <c r="F11595" i="1"/>
  <c r="B11596" i="1"/>
  <c r="A11596" i="1"/>
  <c r="E11596" i="1"/>
  <c r="F11596" i="1"/>
  <c r="B11597" i="1"/>
  <c r="A11597" i="1"/>
  <c r="E11597" i="1"/>
  <c r="F11597" i="1"/>
  <c r="B11598" i="1"/>
  <c r="A11598" i="1"/>
  <c r="E11598" i="1"/>
  <c r="F11598" i="1"/>
  <c r="B11599" i="1"/>
  <c r="A11599" i="1"/>
  <c r="E11599" i="1"/>
  <c r="F11599" i="1"/>
  <c r="B11600" i="1"/>
  <c r="A11600" i="1"/>
  <c r="E11600" i="1"/>
  <c r="F11600" i="1"/>
  <c r="B11601" i="1"/>
  <c r="A11601" i="1"/>
  <c r="E11601" i="1"/>
  <c r="F11601" i="1"/>
  <c r="B11602" i="1"/>
  <c r="A11602" i="1"/>
  <c r="E11602" i="1"/>
  <c r="F11602" i="1"/>
  <c r="B11603" i="1"/>
  <c r="A11603" i="1"/>
  <c r="E11603" i="1"/>
  <c r="F11603" i="1"/>
  <c r="B11604" i="1"/>
  <c r="A11604" i="1"/>
  <c r="E11604" i="1"/>
  <c r="F11604" i="1"/>
  <c r="B11605" i="1"/>
  <c r="A11605" i="1"/>
  <c r="E11605" i="1"/>
  <c r="F11605" i="1"/>
  <c r="B11606" i="1"/>
  <c r="A11606" i="1"/>
  <c r="E11606" i="1"/>
  <c r="F11606" i="1"/>
  <c r="B11607" i="1"/>
  <c r="A11607" i="1"/>
  <c r="E11607" i="1"/>
  <c r="F11607" i="1"/>
  <c r="B11608" i="1"/>
  <c r="A11608" i="1"/>
  <c r="E11608" i="1"/>
  <c r="F11608" i="1"/>
  <c r="B11609" i="1"/>
  <c r="A11609" i="1"/>
  <c r="E11609" i="1"/>
  <c r="F11609" i="1"/>
  <c r="B11610" i="1"/>
  <c r="A11610" i="1"/>
  <c r="E11610" i="1"/>
  <c r="F11610" i="1"/>
  <c r="B11611" i="1"/>
  <c r="A11611" i="1"/>
  <c r="E11611" i="1"/>
  <c r="F11611" i="1"/>
  <c r="B11612" i="1"/>
  <c r="A11612" i="1"/>
  <c r="E11612" i="1"/>
  <c r="F11612" i="1"/>
  <c r="B11613" i="1"/>
  <c r="A11613" i="1"/>
  <c r="E11613" i="1"/>
  <c r="F11613" i="1"/>
  <c r="B11614" i="1"/>
  <c r="A11614" i="1"/>
  <c r="E11614" i="1"/>
  <c r="F11614" i="1"/>
  <c r="B11615" i="1"/>
  <c r="A11615" i="1"/>
  <c r="E11615" i="1"/>
  <c r="F11615" i="1"/>
  <c r="B11616" i="1"/>
  <c r="A11616" i="1"/>
  <c r="E11616" i="1"/>
  <c r="F11616" i="1"/>
  <c r="B11617" i="1"/>
  <c r="A11617" i="1"/>
  <c r="E11617" i="1"/>
  <c r="F11617" i="1"/>
  <c r="B11618" i="1"/>
  <c r="A11618" i="1"/>
  <c r="E11618" i="1"/>
  <c r="F11618" i="1"/>
  <c r="B11619" i="1"/>
  <c r="A11619" i="1"/>
  <c r="E11619" i="1"/>
  <c r="F11619" i="1"/>
  <c r="B11620" i="1"/>
  <c r="A11620" i="1"/>
  <c r="E11620" i="1"/>
  <c r="F11620" i="1"/>
  <c r="B11621" i="1"/>
  <c r="A11621" i="1"/>
  <c r="E11621" i="1"/>
  <c r="F11621" i="1"/>
  <c r="B11622" i="1"/>
  <c r="A11622" i="1"/>
  <c r="E11622" i="1"/>
  <c r="F11622" i="1"/>
  <c r="B11623" i="1"/>
  <c r="A11623" i="1"/>
  <c r="E11623" i="1"/>
  <c r="F11623" i="1"/>
  <c r="B11624" i="1"/>
  <c r="A11624" i="1"/>
  <c r="E11624" i="1"/>
  <c r="F11624" i="1"/>
  <c r="B11625" i="1"/>
  <c r="A11625" i="1"/>
  <c r="E11625" i="1"/>
  <c r="F11625" i="1"/>
  <c r="B11626" i="1"/>
  <c r="A11626" i="1"/>
  <c r="E11626" i="1"/>
  <c r="F11626" i="1"/>
  <c r="B11627" i="1"/>
  <c r="A11627" i="1"/>
  <c r="E11627" i="1"/>
  <c r="F11627" i="1"/>
  <c r="B11628" i="1"/>
  <c r="A11628" i="1"/>
  <c r="E11628" i="1"/>
  <c r="F11628" i="1"/>
  <c r="B11629" i="1"/>
  <c r="A11629" i="1"/>
  <c r="E11629" i="1"/>
  <c r="F11629" i="1"/>
  <c r="B11630" i="1"/>
  <c r="A11630" i="1"/>
  <c r="E11630" i="1"/>
  <c r="F11630" i="1"/>
  <c r="B11631" i="1"/>
  <c r="A11631" i="1"/>
  <c r="E11631" i="1"/>
  <c r="F11631" i="1"/>
  <c r="B11632" i="1"/>
  <c r="A11632" i="1"/>
  <c r="E11632" i="1"/>
  <c r="F11632" i="1"/>
  <c r="B11633" i="1"/>
  <c r="A11633" i="1"/>
  <c r="E11633" i="1"/>
  <c r="F11633" i="1"/>
  <c r="B11634" i="1"/>
  <c r="A11634" i="1"/>
  <c r="E11634" i="1"/>
  <c r="F11634" i="1"/>
  <c r="B11635" i="1"/>
  <c r="A11635" i="1"/>
  <c r="E11635" i="1"/>
  <c r="F11635" i="1"/>
  <c r="B11636" i="1"/>
  <c r="A11636" i="1"/>
  <c r="E11636" i="1"/>
  <c r="F11636" i="1"/>
  <c r="B11637" i="1"/>
  <c r="A11637" i="1"/>
  <c r="E11637" i="1"/>
  <c r="F11637" i="1"/>
  <c r="B11638" i="1"/>
  <c r="A11638" i="1"/>
  <c r="E11638" i="1"/>
  <c r="F11638" i="1"/>
  <c r="B11639" i="1"/>
  <c r="A11639" i="1"/>
  <c r="E11639" i="1"/>
  <c r="F11639" i="1"/>
  <c r="B11640" i="1"/>
  <c r="A11640" i="1"/>
  <c r="E11640" i="1"/>
  <c r="F11640" i="1"/>
  <c r="B11641" i="1"/>
  <c r="A11641" i="1"/>
  <c r="E11641" i="1"/>
  <c r="F11641" i="1"/>
  <c r="B11642" i="1"/>
  <c r="A11642" i="1"/>
  <c r="E11642" i="1"/>
  <c r="F11642" i="1"/>
  <c r="B11643" i="1"/>
  <c r="A11643" i="1"/>
  <c r="E11643" i="1"/>
  <c r="F11643" i="1"/>
  <c r="B11644" i="1"/>
  <c r="A11644" i="1"/>
  <c r="E11644" i="1"/>
  <c r="F11644" i="1"/>
  <c r="B11645" i="1"/>
  <c r="A11645" i="1"/>
  <c r="E11645" i="1"/>
  <c r="F11645" i="1"/>
  <c r="B11646" i="1"/>
  <c r="A11646" i="1"/>
  <c r="E11646" i="1"/>
  <c r="F11646" i="1"/>
  <c r="B11647" i="1"/>
  <c r="A11647" i="1"/>
  <c r="E11647" i="1"/>
  <c r="F11647" i="1"/>
  <c r="B11648" i="1"/>
  <c r="A11648" i="1"/>
  <c r="E11648" i="1"/>
  <c r="F11648" i="1"/>
  <c r="B11649" i="1"/>
  <c r="A11649" i="1"/>
  <c r="E11649" i="1"/>
  <c r="F11649" i="1"/>
  <c r="B11650" i="1"/>
  <c r="A11650" i="1"/>
  <c r="E11650" i="1"/>
  <c r="F11650" i="1"/>
  <c r="B11651" i="1"/>
  <c r="A11651" i="1"/>
  <c r="E11651" i="1"/>
  <c r="F11651" i="1"/>
  <c r="B11652" i="1"/>
  <c r="A11652" i="1"/>
  <c r="E11652" i="1"/>
  <c r="F11652" i="1"/>
  <c r="B11653" i="1"/>
  <c r="A11653" i="1"/>
  <c r="E11653" i="1"/>
  <c r="F11653" i="1"/>
  <c r="B11654" i="1"/>
  <c r="A11654" i="1"/>
  <c r="E11654" i="1"/>
  <c r="F11654" i="1"/>
  <c r="B11655" i="1"/>
  <c r="A11655" i="1"/>
  <c r="E11655" i="1"/>
  <c r="F11655" i="1"/>
  <c r="B11656" i="1"/>
  <c r="A11656" i="1"/>
  <c r="E11656" i="1"/>
  <c r="F11656" i="1"/>
  <c r="B11657" i="1"/>
  <c r="A11657" i="1"/>
  <c r="E11657" i="1"/>
  <c r="F11657" i="1"/>
  <c r="B11658" i="1"/>
  <c r="A11658" i="1"/>
  <c r="E11658" i="1"/>
  <c r="F11658" i="1"/>
  <c r="B11659" i="1"/>
  <c r="A11659" i="1"/>
  <c r="E11659" i="1"/>
  <c r="F11659" i="1"/>
  <c r="B11660" i="1"/>
  <c r="A11660" i="1"/>
  <c r="E11660" i="1"/>
  <c r="F11660" i="1"/>
  <c r="B11661" i="1"/>
  <c r="A11661" i="1"/>
  <c r="E11661" i="1"/>
  <c r="F11661" i="1"/>
  <c r="B11662" i="1"/>
  <c r="A11662" i="1"/>
  <c r="E11662" i="1"/>
  <c r="F11662" i="1"/>
  <c r="B11663" i="1"/>
  <c r="A11663" i="1"/>
  <c r="E11663" i="1"/>
  <c r="F11663" i="1"/>
  <c r="B11664" i="1"/>
  <c r="A11664" i="1"/>
  <c r="E11664" i="1"/>
  <c r="F11664" i="1"/>
  <c r="B11665" i="1"/>
  <c r="A11665" i="1"/>
  <c r="E11665" i="1"/>
  <c r="F11665" i="1"/>
  <c r="B11666" i="1"/>
  <c r="A11666" i="1"/>
  <c r="E11666" i="1"/>
  <c r="F11666" i="1"/>
  <c r="B11667" i="1"/>
  <c r="A11667" i="1"/>
  <c r="E11667" i="1"/>
  <c r="F11667" i="1"/>
  <c r="B11668" i="1"/>
  <c r="A11668" i="1"/>
  <c r="E11668" i="1"/>
  <c r="F11668" i="1"/>
  <c r="B11669" i="1"/>
  <c r="A11669" i="1"/>
  <c r="E11669" i="1"/>
  <c r="F11669" i="1"/>
  <c r="B11670" i="1"/>
  <c r="A11670" i="1"/>
  <c r="E11670" i="1"/>
  <c r="F11670" i="1"/>
  <c r="B11671" i="1"/>
  <c r="A11671" i="1"/>
  <c r="E11671" i="1"/>
  <c r="F11671" i="1"/>
  <c r="B11672" i="1"/>
  <c r="A11672" i="1"/>
  <c r="E11672" i="1"/>
  <c r="F11672" i="1"/>
  <c r="B11673" i="1"/>
  <c r="A11673" i="1"/>
  <c r="E11673" i="1"/>
  <c r="F11673" i="1"/>
  <c r="B11674" i="1"/>
  <c r="A11674" i="1"/>
  <c r="E11674" i="1"/>
  <c r="F11674" i="1"/>
  <c r="B11675" i="1"/>
  <c r="A11675" i="1"/>
  <c r="E11675" i="1"/>
  <c r="F11675" i="1"/>
  <c r="B11676" i="1"/>
  <c r="A11676" i="1"/>
  <c r="E11676" i="1"/>
  <c r="F11676" i="1"/>
  <c r="B11677" i="1"/>
  <c r="A11677" i="1"/>
  <c r="E11677" i="1"/>
  <c r="F11677" i="1"/>
  <c r="B11678" i="1"/>
  <c r="A11678" i="1"/>
  <c r="E11678" i="1"/>
  <c r="F11678" i="1"/>
  <c r="B11679" i="1"/>
  <c r="A11679" i="1"/>
  <c r="E11679" i="1"/>
  <c r="F11679" i="1"/>
  <c r="B11680" i="1"/>
  <c r="A11680" i="1"/>
  <c r="E11680" i="1"/>
  <c r="F11680" i="1"/>
  <c r="B11681" i="1"/>
  <c r="A11681" i="1"/>
  <c r="E11681" i="1"/>
  <c r="F11681" i="1"/>
  <c r="B11682" i="1"/>
  <c r="A11682" i="1"/>
  <c r="E11682" i="1"/>
  <c r="F11682" i="1"/>
  <c r="B11683" i="1"/>
  <c r="A11683" i="1"/>
  <c r="E11683" i="1"/>
  <c r="F11683" i="1"/>
  <c r="B11684" i="1"/>
  <c r="A11684" i="1"/>
  <c r="E11684" i="1"/>
  <c r="F11684" i="1"/>
  <c r="B11685" i="1"/>
  <c r="A11685" i="1"/>
  <c r="E11685" i="1"/>
  <c r="F11685" i="1"/>
  <c r="B11686" i="1"/>
  <c r="A11686" i="1"/>
  <c r="E11686" i="1"/>
  <c r="F11686" i="1"/>
  <c r="B11687" i="1"/>
  <c r="A11687" i="1"/>
  <c r="E11687" i="1"/>
  <c r="F11687" i="1"/>
  <c r="B11688" i="1"/>
  <c r="A11688" i="1"/>
  <c r="E11688" i="1"/>
  <c r="F11688" i="1"/>
  <c r="B11689" i="1"/>
  <c r="A11689" i="1"/>
  <c r="E11689" i="1"/>
  <c r="F11689" i="1"/>
  <c r="B11690" i="1"/>
  <c r="A11690" i="1"/>
  <c r="E11690" i="1"/>
  <c r="F11690" i="1"/>
  <c r="B11691" i="1"/>
  <c r="A11691" i="1"/>
  <c r="E11691" i="1"/>
  <c r="F11691" i="1"/>
  <c r="B11692" i="1"/>
  <c r="A11692" i="1"/>
  <c r="E11692" i="1"/>
  <c r="F11692" i="1"/>
  <c r="B11693" i="1"/>
  <c r="A11693" i="1"/>
  <c r="E11693" i="1"/>
  <c r="F11693" i="1"/>
  <c r="B11694" i="1"/>
  <c r="A11694" i="1"/>
  <c r="E11694" i="1"/>
  <c r="F11694" i="1"/>
  <c r="B11695" i="1"/>
  <c r="A11695" i="1"/>
  <c r="E11695" i="1"/>
  <c r="F11695" i="1"/>
  <c r="B11696" i="1"/>
  <c r="A11696" i="1"/>
  <c r="E11696" i="1"/>
  <c r="F11696" i="1"/>
  <c r="B11697" i="1"/>
  <c r="A11697" i="1"/>
  <c r="E11697" i="1"/>
  <c r="F11697" i="1"/>
  <c r="B11698" i="1"/>
  <c r="A11698" i="1"/>
  <c r="E11698" i="1"/>
  <c r="F11698" i="1"/>
  <c r="B11699" i="1"/>
  <c r="A11699" i="1"/>
  <c r="E11699" i="1"/>
  <c r="F11699" i="1"/>
  <c r="B11700" i="1"/>
  <c r="A11700" i="1"/>
  <c r="E11700" i="1"/>
  <c r="F11700" i="1"/>
  <c r="B11701" i="1"/>
  <c r="A11701" i="1"/>
  <c r="E11701" i="1"/>
  <c r="F11701" i="1"/>
  <c r="B11702" i="1"/>
  <c r="A11702" i="1"/>
  <c r="E11702" i="1"/>
  <c r="F11702" i="1"/>
  <c r="B11703" i="1"/>
  <c r="A11703" i="1"/>
  <c r="E11703" i="1"/>
  <c r="F11703" i="1"/>
  <c r="B11704" i="1"/>
  <c r="A11704" i="1"/>
  <c r="E11704" i="1"/>
  <c r="F11704" i="1"/>
  <c r="B11705" i="1"/>
  <c r="A11705" i="1"/>
  <c r="E11705" i="1"/>
  <c r="F11705" i="1"/>
  <c r="B11706" i="1"/>
  <c r="A11706" i="1"/>
  <c r="E11706" i="1"/>
  <c r="F11706" i="1"/>
  <c r="B11707" i="1"/>
  <c r="A11707" i="1"/>
  <c r="E11707" i="1"/>
  <c r="F11707" i="1"/>
  <c r="B11708" i="1"/>
  <c r="A11708" i="1"/>
  <c r="E11708" i="1"/>
  <c r="F11708" i="1"/>
  <c r="B11709" i="1"/>
  <c r="A11709" i="1"/>
  <c r="E11709" i="1"/>
  <c r="F11709" i="1"/>
  <c r="B11710" i="1"/>
  <c r="A11710" i="1"/>
  <c r="E11710" i="1"/>
  <c r="F11710" i="1"/>
  <c r="B11711" i="1"/>
  <c r="A11711" i="1"/>
  <c r="E11711" i="1"/>
  <c r="F11711" i="1"/>
  <c r="B11712" i="1"/>
  <c r="A11712" i="1"/>
  <c r="E11712" i="1"/>
  <c r="F11712" i="1"/>
  <c r="B11713" i="1"/>
  <c r="A11713" i="1"/>
  <c r="E11713" i="1"/>
  <c r="F11713" i="1"/>
  <c r="B11714" i="1"/>
  <c r="A11714" i="1"/>
  <c r="E11714" i="1"/>
  <c r="F11714" i="1"/>
  <c r="B11715" i="1"/>
  <c r="A11715" i="1"/>
  <c r="E11715" i="1"/>
  <c r="F11715" i="1"/>
  <c r="B11716" i="1"/>
  <c r="A11716" i="1"/>
  <c r="E11716" i="1"/>
  <c r="F11716" i="1"/>
  <c r="B11717" i="1"/>
  <c r="A11717" i="1"/>
  <c r="E11717" i="1"/>
  <c r="F11717" i="1"/>
  <c r="B11718" i="1"/>
  <c r="A11718" i="1"/>
  <c r="E11718" i="1"/>
  <c r="F11718" i="1"/>
  <c r="B11719" i="1"/>
  <c r="A11719" i="1"/>
  <c r="E11719" i="1"/>
  <c r="F11719" i="1"/>
  <c r="B11720" i="1"/>
  <c r="A11720" i="1"/>
  <c r="E11720" i="1"/>
  <c r="F11720" i="1"/>
  <c r="B11721" i="1"/>
  <c r="A11721" i="1"/>
  <c r="E11721" i="1"/>
  <c r="F11721" i="1"/>
  <c r="B11722" i="1"/>
  <c r="A11722" i="1"/>
  <c r="E11722" i="1"/>
  <c r="F11722" i="1"/>
  <c r="B11723" i="1"/>
  <c r="A11723" i="1"/>
  <c r="E11723" i="1"/>
  <c r="F11723" i="1"/>
  <c r="B11724" i="1"/>
  <c r="A11724" i="1"/>
  <c r="E11724" i="1"/>
  <c r="F11724" i="1"/>
  <c r="B11725" i="1"/>
  <c r="A11725" i="1"/>
  <c r="E11725" i="1"/>
  <c r="F11725" i="1"/>
  <c r="B11726" i="1"/>
  <c r="A11726" i="1"/>
  <c r="E11726" i="1"/>
  <c r="F11726" i="1"/>
  <c r="B11727" i="1"/>
  <c r="A11727" i="1"/>
  <c r="E11727" i="1"/>
  <c r="F11727" i="1"/>
  <c r="B11728" i="1"/>
  <c r="A11728" i="1"/>
  <c r="E11728" i="1"/>
  <c r="F11728" i="1"/>
  <c r="B11729" i="1"/>
  <c r="A11729" i="1"/>
  <c r="E11729" i="1"/>
  <c r="F11729" i="1"/>
  <c r="B11730" i="1"/>
  <c r="A11730" i="1"/>
  <c r="E11730" i="1"/>
  <c r="F11730" i="1"/>
  <c r="B11731" i="1"/>
  <c r="A11731" i="1"/>
  <c r="E11731" i="1"/>
  <c r="F11731" i="1"/>
  <c r="B11732" i="1"/>
  <c r="A11732" i="1"/>
  <c r="E11732" i="1"/>
  <c r="F11732" i="1"/>
  <c r="B11733" i="1"/>
  <c r="A11733" i="1"/>
  <c r="E11733" i="1"/>
  <c r="F11733" i="1"/>
  <c r="B11734" i="1"/>
  <c r="A11734" i="1"/>
  <c r="E11734" i="1"/>
  <c r="F11734" i="1"/>
  <c r="B11735" i="1"/>
  <c r="A11735" i="1"/>
  <c r="E11735" i="1"/>
  <c r="F11735" i="1"/>
  <c r="B11736" i="1"/>
  <c r="A11736" i="1"/>
  <c r="E11736" i="1"/>
  <c r="F11736" i="1"/>
  <c r="B11737" i="1"/>
  <c r="A11737" i="1"/>
  <c r="E11737" i="1"/>
  <c r="F11737" i="1"/>
  <c r="B11738" i="1"/>
  <c r="A11738" i="1"/>
  <c r="E11738" i="1"/>
  <c r="F11738" i="1"/>
  <c r="B11739" i="1"/>
  <c r="A11739" i="1"/>
  <c r="E11739" i="1"/>
  <c r="F11739" i="1"/>
  <c r="B11740" i="1"/>
  <c r="A11740" i="1"/>
  <c r="E11740" i="1"/>
  <c r="F11740" i="1"/>
  <c r="B11741" i="1"/>
  <c r="A11741" i="1"/>
  <c r="E11741" i="1"/>
  <c r="F11741" i="1"/>
  <c r="B11742" i="1"/>
  <c r="A11742" i="1"/>
  <c r="E11742" i="1"/>
  <c r="F11742" i="1"/>
  <c r="B11743" i="1"/>
  <c r="A11743" i="1"/>
  <c r="E11743" i="1"/>
  <c r="F11743" i="1"/>
  <c r="B11744" i="1"/>
  <c r="A11744" i="1"/>
  <c r="E11744" i="1"/>
  <c r="F11744" i="1"/>
  <c r="B11745" i="1"/>
  <c r="A11745" i="1"/>
  <c r="E11745" i="1"/>
  <c r="F11745" i="1"/>
  <c r="B11746" i="1"/>
  <c r="A11746" i="1"/>
  <c r="E11746" i="1"/>
  <c r="F11746" i="1"/>
  <c r="B11747" i="1"/>
  <c r="A11747" i="1"/>
  <c r="E11747" i="1"/>
  <c r="F11747" i="1"/>
  <c r="B11748" i="1"/>
  <c r="A11748" i="1"/>
  <c r="E11748" i="1"/>
  <c r="F11748" i="1"/>
  <c r="B11749" i="1"/>
  <c r="A11749" i="1"/>
  <c r="E11749" i="1"/>
  <c r="F11749" i="1"/>
  <c r="B11750" i="1"/>
  <c r="A11750" i="1"/>
  <c r="E11750" i="1"/>
  <c r="F11750" i="1"/>
  <c r="B11751" i="1"/>
  <c r="A11751" i="1"/>
  <c r="E11751" i="1"/>
  <c r="F11751" i="1"/>
  <c r="B11752" i="1"/>
  <c r="A11752" i="1"/>
  <c r="E11752" i="1"/>
  <c r="F11752" i="1"/>
  <c r="B11753" i="1"/>
  <c r="A11753" i="1"/>
  <c r="E11753" i="1"/>
  <c r="F11753" i="1"/>
  <c r="B11754" i="1"/>
  <c r="A11754" i="1"/>
  <c r="E11754" i="1"/>
  <c r="F11754" i="1"/>
  <c r="B11755" i="1"/>
  <c r="A11755" i="1"/>
  <c r="E11755" i="1"/>
  <c r="F11755" i="1"/>
  <c r="B11756" i="1"/>
  <c r="A11756" i="1"/>
  <c r="E11756" i="1"/>
  <c r="F11756" i="1"/>
  <c r="B11757" i="1"/>
  <c r="A11757" i="1"/>
  <c r="E11757" i="1"/>
  <c r="F11757" i="1"/>
  <c r="B11758" i="1"/>
  <c r="A11758" i="1"/>
  <c r="E11758" i="1"/>
  <c r="F11758" i="1"/>
  <c r="B11759" i="1"/>
  <c r="A11759" i="1"/>
  <c r="E11759" i="1"/>
  <c r="F11759" i="1"/>
  <c r="B11760" i="1"/>
  <c r="A11760" i="1"/>
  <c r="E11760" i="1"/>
  <c r="F11760" i="1"/>
  <c r="B11761" i="1"/>
  <c r="A11761" i="1"/>
  <c r="E11761" i="1"/>
  <c r="F11761" i="1"/>
  <c r="B11762" i="1"/>
  <c r="A11762" i="1"/>
  <c r="E11762" i="1"/>
  <c r="F11762" i="1"/>
  <c r="B11763" i="1"/>
  <c r="A11763" i="1"/>
  <c r="E11763" i="1"/>
  <c r="F11763" i="1"/>
  <c r="B11764" i="1"/>
  <c r="A11764" i="1"/>
  <c r="E11764" i="1"/>
  <c r="F11764" i="1"/>
  <c r="B11765" i="1"/>
  <c r="A11765" i="1"/>
  <c r="E11765" i="1"/>
  <c r="F11765" i="1"/>
  <c r="B11766" i="1"/>
  <c r="A11766" i="1"/>
  <c r="E11766" i="1"/>
  <c r="F11766" i="1"/>
  <c r="B11767" i="1"/>
  <c r="A11767" i="1"/>
  <c r="E11767" i="1"/>
  <c r="F11767" i="1"/>
  <c r="B11768" i="1"/>
  <c r="A11768" i="1"/>
  <c r="E11768" i="1"/>
  <c r="F11768" i="1"/>
  <c r="B11769" i="1"/>
  <c r="A11769" i="1"/>
  <c r="E11769" i="1"/>
  <c r="F11769" i="1"/>
  <c r="B11770" i="1"/>
  <c r="A11770" i="1"/>
  <c r="E11770" i="1"/>
  <c r="F11770" i="1"/>
  <c r="B11771" i="1"/>
  <c r="A11771" i="1"/>
  <c r="E11771" i="1"/>
  <c r="F11771" i="1"/>
  <c r="B11772" i="1"/>
  <c r="A11772" i="1"/>
  <c r="E11772" i="1"/>
  <c r="F11772" i="1"/>
  <c r="B11773" i="1"/>
  <c r="A11773" i="1"/>
  <c r="E11773" i="1"/>
  <c r="F11773" i="1"/>
  <c r="B11774" i="1"/>
  <c r="A11774" i="1"/>
  <c r="E11774" i="1"/>
  <c r="F11774" i="1"/>
  <c r="B11775" i="1"/>
  <c r="A11775" i="1"/>
  <c r="E11775" i="1"/>
  <c r="F11775" i="1"/>
  <c r="B11776" i="1"/>
  <c r="A11776" i="1"/>
  <c r="E11776" i="1"/>
  <c r="F11776" i="1"/>
  <c r="B11777" i="1"/>
  <c r="A11777" i="1"/>
  <c r="E11777" i="1"/>
  <c r="F11777" i="1"/>
  <c r="B11778" i="1"/>
  <c r="A11778" i="1"/>
  <c r="E11778" i="1"/>
  <c r="F11778" i="1"/>
  <c r="B11779" i="1"/>
  <c r="A11779" i="1"/>
  <c r="E11779" i="1"/>
  <c r="F11779" i="1"/>
  <c r="B11780" i="1"/>
  <c r="A11780" i="1"/>
  <c r="E11780" i="1"/>
  <c r="F11780" i="1"/>
  <c r="B11781" i="1"/>
  <c r="A11781" i="1"/>
  <c r="E11781" i="1"/>
  <c r="F11781" i="1"/>
  <c r="B11782" i="1"/>
  <c r="A11782" i="1"/>
  <c r="E11782" i="1"/>
  <c r="F11782" i="1"/>
  <c r="B11783" i="1"/>
  <c r="A11783" i="1"/>
  <c r="E11783" i="1"/>
  <c r="F11783" i="1"/>
  <c r="B11784" i="1"/>
  <c r="A11784" i="1"/>
  <c r="E11784" i="1"/>
  <c r="F11784" i="1"/>
  <c r="B11785" i="1"/>
  <c r="A11785" i="1"/>
  <c r="E11785" i="1"/>
  <c r="F11785" i="1"/>
  <c r="B11786" i="1"/>
  <c r="A11786" i="1"/>
  <c r="E11786" i="1"/>
  <c r="F11786" i="1"/>
  <c r="B11787" i="1"/>
  <c r="A11787" i="1"/>
  <c r="E11787" i="1"/>
  <c r="F11787" i="1"/>
  <c r="B11788" i="1"/>
  <c r="A11788" i="1"/>
  <c r="E11788" i="1"/>
  <c r="F11788" i="1"/>
  <c r="B11789" i="1"/>
  <c r="A11789" i="1"/>
  <c r="E11789" i="1"/>
  <c r="F11789" i="1"/>
  <c r="B11790" i="1"/>
  <c r="A11790" i="1"/>
  <c r="E11790" i="1"/>
  <c r="F11790" i="1"/>
  <c r="B11791" i="1"/>
  <c r="A11791" i="1"/>
  <c r="E11791" i="1"/>
  <c r="F11791" i="1"/>
  <c r="B11792" i="1"/>
  <c r="A11792" i="1"/>
  <c r="E11792" i="1"/>
  <c r="F11792" i="1"/>
  <c r="B11793" i="1"/>
  <c r="A11793" i="1"/>
  <c r="E11793" i="1"/>
  <c r="F11793" i="1"/>
  <c r="B11794" i="1"/>
  <c r="A11794" i="1"/>
  <c r="E11794" i="1"/>
  <c r="F11794" i="1"/>
  <c r="B11795" i="1"/>
  <c r="A11795" i="1"/>
  <c r="E11795" i="1"/>
  <c r="F11795" i="1"/>
  <c r="B11796" i="1"/>
  <c r="A11796" i="1"/>
  <c r="E11796" i="1"/>
  <c r="F11796" i="1"/>
  <c r="B11797" i="1"/>
  <c r="A11797" i="1"/>
  <c r="E11797" i="1"/>
  <c r="F11797" i="1"/>
  <c r="B11798" i="1"/>
  <c r="A11798" i="1"/>
  <c r="E11798" i="1"/>
  <c r="F11798" i="1"/>
  <c r="B11799" i="1"/>
  <c r="A11799" i="1"/>
  <c r="E11799" i="1"/>
  <c r="F11799" i="1"/>
  <c r="B11800" i="1"/>
  <c r="A11800" i="1"/>
  <c r="E11800" i="1"/>
  <c r="F11800" i="1"/>
  <c r="B11801" i="1"/>
  <c r="A11801" i="1"/>
  <c r="E11801" i="1"/>
  <c r="F11801" i="1"/>
  <c r="B11802" i="1"/>
  <c r="A11802" i="1"/>
  <c r="E11802" i="1"/>
  <c r="F11802" i="1"/>
  <c r="B11803" i="1"/>
  <c r="A11803" i="1"/>
  <c r="E11803" i="1"/>
  <c r="F11803" i="1"/>
  <c r="B11804" i="1"/>
  <c r="A11804" i="1"/>
  <c r="E11804" i="1"/>
  <c r="F11804" i="1"/>
  <c r="B11805" i="1"/>
  <c r="A11805" i="1"/>
  <c r="E11805" i="1"/>
  <c r="F11805" i="1"/>
  <c r="B11806" i="1"/>
  <c r="A11806" i="1"/>
  <c r="E11806" i="1"/>
  <c r="F11806" i="1"/>
  <c r="B11807" i="1"/>
  <c r="A11807" i="1"/>
  <c r="E11807" i="1"/>
  <c r="F11807" i="1"/>
  <c r="B11808" i="1"/>
  <c r="A11808" i="1"/>
  <c r="E11808" i="1"/>
  <c r="F11808" i="1"/>
  <c r="B11809" i="1"/>
  <c r="A11809" i="1"/>
  <c r="E11809" i="1"/>
  <c r="F11809" i="1"/>
  <c r="B11810" i="1"/>
  <c r="A11810" i="1"/>
  <c r="E11810" i="1"/>
  <c r="F11810" i="1"/>
  <c r="B11811" i="1"/>
  <c r="A11811" i="1"/>
  <c r="E11811" i="1"/>
  <c r="F11811" i="1"/>
  <c r="B11812" i="1"/>
  <c r="A11812" i="1"/>
  <c r="E11812" i="1"/>
  <c r="F11812" i="1"/>
  <c r="B11813" i="1"/>
  <c r="A11813" i="1"/>
  <c r="E11813" i="1"/>
  <c r="F11813" i="1"/>
  <c r="B11814" i="1"/>
  <c r="A11814" i="1"/>
  <c r="E11814" i="1"/>
  <c r="F11814" i="1"/>
  <c r="B11815" i="1"/>
  <c r="A11815" i="1"/>
  <c r="E11815" i="1"/>
  <c r="F11815" i="1"/>
  <c r="B11816" i="1"/>
  <c r="A11816" i="1"/>
  <c r="E11816" i="1"/>
  <c r="F11816" i="1"/>
  <c r="B11817" i="1"/>
  <c r="A11817" i="1"/>
  <c r="E11817" i="1"/>
  <c r="F11817" i="1"/>
  <c r="B11818" i="1"/>
  <c r="A11818" i="1"/>
  <c r="E11818" i="1"/>
  <c r="F11818" i="1"/>
  <c r="B11819" i="1"/>
  <c r="A11819" i="1"/>
  <c r="E11819" i="1"/>
  <c r="F11819" i="1"/>
  <c r="B11820" i="1"/>
  <c r="A11820" i="1"/>
  <c r="E11820" i="1"/>
  <c r="F11820" i="1"/>
  <c r="B11821" i="1"/>
  <c r="A11821" i="1"/>
  <c r="E11821" i="1"/>
  <c r="F11821" i="1"/>
  <c r="B11822" i="1"/>
  <c r="A11822" i="1"/>
  <c r="E11822" i="1"/>
  <c r="F11822" i="1"/>
  <c r="B11823" i="1"/>
  <c r="A11823" i="1"/>
  <c r="E11823" i="1"/>
  <c r="F11823" i="1"/>
  <c r="B11824" i="1"/>
  <c r="A11824" i="1"/>
  <c r="E11824" i="1"/>
  <c r="F11824" i="1"/>
  <c r="B11825" i="1"/>
  <c r="A11825" i="1"/>
  <c r="E11825" i="1"/>
  <c r="F11825" i="1"/>
  <c r="B11826" i="1"/>
  <c r="A11826" i="1"/>
  <c r="E11826" i="1"/>
  <c r="F11826" i="1"/>
  <c r="B11827" i="1"/>
  <c r="A11827" i="1"/>
  <c r="E11827" i="1"/>
  <c r="F11827" i="1"/>
  <c r="B11828" i="1"/>
  <c r="A11828" i="1"/>
  <c r="E11828" i="1"/>
  <c r="F11828" i="1"/>
  <c r="B11829" i="1"/>
  <c r="A11829" i="1"/>
  <c r="E11829" i="1"/>
  <c r="F11829" i="1"/>
  <c r="B11830" i="1"/>
  <c r="A11830" i="1"/>
  <c r="E11830" i="1"/>
  <c r="F11830" i="1"/>
  <c r="B11831" i="1"/>
  <c r="A11831" i="1"/>
  <c r="E11831" i="1"/>
  <c r="F11831" i="1"/>
  <c r="B11832" i="1"/>
  <c r="A11832" i="1"/>
  <c r="E11832" i="1"/>
  <c r="F11832" i="1"/>
  <c r="B11833" i="1"/>
  <c r="A11833" i="1"/>
  <c r="E11833" i="1"/>
  <c r="F11833" i="1"/>
  <c r="B11834" i="1"/>
  <c r="A11834" i="1"/>
  <c r="E11834" i="1"/>
  <c r="F11834" i="1"/>
  <c r="B11835" i="1"/>
  <c r="A11835" i="1"/>
  <c r="E11835" i="1"/>
  <c r="F11835" i="1"/>
  <c r="B11836" i="1"/>
  <c r="A11836" i="1"/>
  <c r="E11836" i="1"/>
  <c r="F11836" i="1"/>
  <c r="B11837" i="1"/>
  <c r="A11837" i="1"/>
  <c r="E11837" i="1"/>
  <c r="F11837" i="1"/>
  <c r="B11838" i="1"/>
  <c r="A11838" i="1"/>
  <c r="E11838" i="1"/>
  <c r="F11838" i="1"/>
  <c r="B11839" i="1"/>
  <c r="A11839" i="1"/>
  <c r="E11839" i="1"/>
  <c r="F11839" i="1"/>
  <c r="B11840" i="1"/>
  <c r="A11840" i="1"/>
  <c r="E11840" i="1"/>
  <c r="F11840" i="1"/>
  <c r="B11841" i="1"/>
  <c r="A11841" i="1"/>
  <c r="E11841" i="1"/>
  <c r="F11841" i="1"/>
  <c r="B11842" i="1"/>
  <c r="A11842" i="1"/>
  <c r="E11842" i="1"/>
  <c r="F11842" i="1"/>
  <c r="B11843" i="1"/>
  <c r="A11843" i="1"/>
  <c r="E11843" i="1"/>
  <c r="F11843" i="1"/>
  <c r="B11844" i="1"/>
  <c r="A11844" i="1"/>
  <c r="E11844" i="1"/>
  <c r="F11844" i="1"/>
  <c r="B11845" i="1"/>
  <c r="A11845" i="1"/>
  <c r="E11845" i="1"/>
  <c r="F11845" i="1"/>
  <c r="B11846" i="1"/>
  <c r="A11846" i="1"/>
  <c r="E11846" i="1"/>
  <c r="F11846" i="1"/>
  <c r="B11847" i="1"/>
  <c r="A11847" i="1"/>
  <c r="E11847" i="1"/>
  <c r="F11847" i="1"/>
  <c r="B11848" i="1"/>
  <c r="A11848" i="1"/>
  <c r="E11848" i="1"/>
  <c r="F11848" i="1"/>
  <c r="B11849" i="1"/>
  <c r="A11849" i="1"/>
  <c r="E11849" i="1"/>
  <c r="F11849" i="1"/>
  <c r="B11850" i="1"/>
  <c r="A11850" i="1"/>
  <c r="E11850" i="1"/>
  <c r="F11850" i="1"/>
  <c r="B11851" i="1"/>
  <c r="A11851" i="1"/>
  <c r="E11851" i="1"/>
  <c r="F11851" i="1"/>
  <c r="B11852" i="1"/>
  <c r="A11852" i="1"/>
  <c r="E11852" i="1"/>
  <c r="F11852" i="1"/>
  <c r="B11853" i="1"/>
  <c r="A11853" i="1"/>
  <c r="E11853" i="1"/>
  <c r="F11853" i="1"/>
  <c r="B11854" i="1"/>
  <c r="A11854" i="1"/>
  <c r="E11854" i="1"/>
  <c r="F11854" i="1"/>
  <c r="B11855" i="1"/>
  <c r="A11855" i="1"/>
  <c r="E11855" i="1"/>
  <c r="F11855" i="1"/>
  <c r="B11856" i="1"/>
  <c r="A11856" i="1"/>
  <c r="E11856" i="1"/>
  <c r="F11856" i="1"/>
  <c r="B11857" i="1"/>
  <c r="A11857" i="1"/>
  <c r="E11857" i="1"/>
  <c r="F11857" i="1"/>
  <c r="B11858" i="1"/>
  <c r="A11858" i="1"/>
  <c r="E11858" i="1"/>
  <c r="F11858" i="1"/>
  <c r="B11859" i="1"/>
  <c r="A11859" i="1"/>
  <c r="E11859" i="1"/>
  <c r="F11859" i="1"/>
  <c r="B11860" i="1"/>
  <c r="A11860" i="1"/>
  <c r="E11860" i="1"/>
  <c r="F11860" i="1"/>
  <c r="B11861" i="1"/>
  <c r="A11861" i="1"/>
  <c r="E11861" i="1"/>
  <c r="F11861" i="1"/>
  <c r="B11862" i="1"/>
  <c r="A11862" i="1"/>
  <c r="E11862" i="1"/>
  <c r="F11862" i="1"/>
  <c r="G11862" i="1"/>
  <c r="B11863" i="1"/>
  <c r="A11863" i="1"/>
  <c r="E11863" i="1"/>
  <c r="F11863" i="1"/>
  <c r="G11863" i="1"/>
  <c r="B11864" i="1"/>
  <c r="A11864" i="1"/>
  <c r="E11864" i="1"/>
  <c r="B11865" i="1"/>
  <c r="A11865" i="1"/>
  <c r="E11865" i="1"/>
  <c r="F11865" i="1"/>
  <c r="B11866" i="1"/>
  <c r="A11866" i="1"/>
  <c r="E11866" i="1"/>
  <c r="F11866" i="1"/>
  <c r="B11867" i="1"/>
  <c r="A11867" i="1"/>
  <c r="E11867" i="1"/>
  <c r="F11867" i="1"/>
  <c r="B11868" i="1"/>
  <c r="A11868" i="1"/>
  <c r="E11868" i="1"/>
  <c r="F11868" i="1"/>
  <c r="B11869" i="1"/>
  <c r="A11869" i="1"/>
  <c r="E11869" i="1"/>
  <c r="F11869" i="1"/>
  <c r="B11870" i="1"/>
  <c r="A11870" i="1"/>
  <c r="E11870" i="1"/>
  <c r="F11870" i="1"/>
  <c r="B11871" i="1"/>
  <c r="A11871" i="1"/>
  <c r="E11871" i="1"/>
  <c r="F11871" i="1"/>
  <c r="B11872" i="1"/>
  <c r="A11872" i="1"/>
  <c r="E11872" i="1"/>
  <c r="F11872" i="1"/>
  <c r="B11873" i="1"/>
  <c r="A11873" i="1"/>
  <c r="E11873" i="1"/>
  <c r="F11873" i="1"/>
  <c r="B11874" i="1"/>
  <c r="A11874" i="1"/>
  <c r="E11874" i="1"/>
  <c r="F11874" i="1"/>
  <c r="B11875" i="1"/>
  <c r="A11875" i="1"/>
  <c r="E11875" i="1"/>
  <c r="F11875" i="1"/>
  <c r="B11876" i="1"/>
  <c r="A11876" i="1"/>
  <c r="E11876" i="1"/>
  <c r="B11877" i="1"/>
  <c r="A11877" i="1"/>
  <c r="E11877" i="1"/>
  <c r="B11878" i="1"/>
  <c r="A11878" i="1"/>
  <c r="E11878" i="1"/>
  <c r="B11879" i="1"/>
  <c r="A11879" i="1"/>
  <c r="E11879" i="1"/>
  <c r="B11880" i="1"/>
  <c r="A11880" i="1"/>
  <c r="E11880" i="1"/>
  <c r="B11881" i="1"/>
  <c r="A11881" i="1"/>
  <c r="E11881" i="1"/>
  <c r="B11882" i="1"/>
  <c r="A11882" i="1"/>
  <c r="E11882" i="1"/>
  <c r="B11883" i="1"/>
  <c r="A11883" i="1"/>
  <c r="E11883" i="1"/>
  <c r="B11884" i="1"/>
  <c r="A11884" i="1"/>
  <c r="E11884" i="1"/>
  <c r="B11885" i="1"/>
  <c r="A11885" i="1"/>
  <c r="E11885" i="1"/>
  <c r="B11886" i="1"/>
  <c r="A11886" i="1"/>
  <c r="E11886" i="1"/>
  <c r="B11887" i="1"/>
  <c r="A11887" i="1"/>
  <c r="E11887" i="1"/>
  <c r="G11887" i="1"/>
  <c r="B11888" i="1"/>
  <c r="A11888" i="1"/>
  <c r="E11888" i="1"/>
  <c r="B11889" i="1"/>
  <c r="A11889" i="1"/>
  <c r="E11889" i="1"/>
  <c r="B11890" i="1"/>
  <c r="A11890" i="1"/>
  <c r="E11890" i="1"/>
  <c r="B11891" i="1"/>
  <c r="A11891" i="1"/>
  <c r="E11891" i="1"/>
  <c r="B11892" i="1"/>
  <c r="A11892" i="1"/>
  <c r="E11892" i="1"/>
  <c r="G11892" i="1"/>
  <c r="B11893" i="1"/>
  <c r="A11893" i="1"/>
  <c r="E11893" i="1"/>
  <c r="B11894" i="1"/>
  <c r="A11894" i="1"/>
  <c r="E11894" i="1"/>
  <c r="B11895" i="1"/>
  <c r="A11895" i="1"/>
  <c r="E11895" i="1"/>
  <c r="B11896" i="1"/>
  <c r="A11896" i="1"/>
  <c r="E11896" i="1"/>
  <c r="B11897" i="1"/>
  <c r="A11897" i="1"/>
  <c r="E11897" i="1"/>
  <c r="B11898" i="1"/>
  <c r="A11898" i="1"/>
  <c r="E11898" i="1"/>
  <c r="G11898" i="1"/>
  <c r="B11899" i="1"/>
  <c r="A11899" i="1"/>
  <c r="E11899" i="1"/>
  <c r="G11899" i="1"/>
  <c r="B11900" i="1"/>
  <c r="A11900" i="1"/>
  <c r="E11900" i="1"/>
  <c r="B11901" i="1"/>
  <c r="A11901" i="1"/>
  <c r="E11901" i="1"/>
  <c r="B11902" i="1"/>
  <c r="A11902" i="1"/>
  <c r="E11902" i="1"/>
  <c r="B11903" i="1"/>
  <c r="A11903" i="1"/>
  <c r="E11903" i="1"/>
  <c r="B11904" i="1"/>
  <c r="A11904" i="1"/>
  <c r="E11904" i="1"/>
  <c r="B11905" i="1"/>
  <c r="A11905" i="1"/>
  <c r="E11905" i="1"/>
  <c r="B11906" i="1"/>
  <c r="A11906" i="1"/>
  <c r="E11906" i="1"/>
  <c r="B11907" i="1"/>
  <c r="A11907" i="1"/>
  <c r="E11907" i="1"/>
  <c r="B11908" i="1"/>
  <c r="A11908" i="1"/>
  <c r="E11908" i="1"/>
  <c r="B11909" i="1"/>
  <c r="A11909" i="1"/>
  <c r="E11909" i="1"/>
  <c r="B11910" i="1"/>
  <c r="A11910" i="1"/>
  <c r="E11910" i="1"/>
  <c r="B11911" i="1"/>
  <c r="A11911" i="1"/>
  <c r="E11911" i="1"/>
  <c r="B11912" i="1"/>
  <c r="A11912" i="1"/>
  <c r="E11912" i="1"/>
  <c r="B11913" i="1"/>
  <c r="A11913" i="1"/>
  <c r="E11913" i="1"/>
  <c r="B11914" i="1"/>
  <c r="A11914" i="1"/>
  <c r="E11914" i="1"/>
  <c r="B11915" i="1"/>
  <c r="A11915" i="1"/>
  <c r="E11915" i="1"/>
  <c r="B11916" i="1"/>
  <c r="A11916" i="1"/>
  <c r="E11916" i="1"/>
  <c r="B11917" i="1"/>
  <c r="A11917" i="1"/>
  <c r="E11917" i="1"/>
  <c r="B11918" i="1"/>
  <c r="A11918" i="1"/>
  <c r="E11918" i="1"/>
  <c r="B11919" i="1"/>
  <c r="A11919" i="1"/>
  <c r="E11919" i="1"/>
  <c r="B11920" i="1"/>
  <c r="A11920" i="1"/>
  <c r="E11920" i="1"/>
  <c r="B11921" i="1"/>
  <c r="A11921" i="1"/>
  <c r="E11921" i="1"/>
  <c r="B11922" i="1"/>
  <c r="A11922" i="1"/>
  <c r="E11922" i="1"/>
  <c r="B11923" i="1"/>
  <c r="A11923" i="1"/>
  <c r="E11923" i="1"/>
  <c r="B11924" i="1"/>
  <c r="A11924" i="1"/>
  <c r="E11924" i="1"/>
  <c r="B11925" i="1"/>
  <c r="A11925" i="1"/>
  <c r="E11925" i="1"/>
  <c r="B11926" i="1"/>
  <c r="A11926" i="1"/>
  <c r="E11926" i="1"/>
  <c r="B11927" i="1"/>
  <c r="A11927" i="1"/>
  <c r="E11927" i="1"/>
  <c r="B11928" i="1"/>
  <c r="A11928" i="1"/>
  <c r="E11928" i="1"/>
  <c r="B11929" i="1"/>
  <c r="A11929" i="1"/>
  <c r="E11929" i="1"/>
  <c r="B11930" i="1"/>
  <c r="A11930" i="1"/>
  <c r="E11930" i="1"/>
  <c r="B11931" i="1"/>
  <c r="A11931" i="1"/>
  <c r="E11931" i="1"/>
  <c r="B11932" i="1"/>
  <c r="A11932" i="1"/>
  <c r="E11932" i="1"/>
  <c r="B11933" i="1"/>
  <c r="A11933" i="1"/>
  <c r="E11933" i="1"/>
  <c r="B11934" i="1"/>
  <c r="A11934" i="1"/>
  <c r="E11934" i="1"/>
  <c r="B11935" i="1"/>
  <c r="A11935" i="1"/>
  <c r="E11935" i="1"/>
  <c r="B11936" i="1"/>
  <c r="A11936" i="1"/>
  <c r="E11936" i="1"/>
  <c r="B11937" i="1"/>
  <c r="A11937" i="1"/>
  <c r="E11937" i="1"/>
  <c r="B11938" i="1"/>
  <c r="A11938" i="1"/>
  <c r="E11938" i="1"/>
  <c r="B11939" i="1"/>
  <c r="A11939" i="1"/>
  <c r="E11939" i="1"/>
  <c r="B11940" i="1"/>
  <c r="A11940" i="1"/>
  <c r="E11940" i="1"/>
  <c r="B11941" i="1"/>
  <c r="A11941" i="1"/>
  <c r="E11941" i="1"/>
  <c r="B11942" i="1"/>
  <c r="A11942" i="1"/>
  <c r="E11942" i="1"/>
  <c r="B11943" i="1"/>
  <c r="A11943" i="1"/>
  <c r="E11943" i="1"/>
  <c r="B11944" i="1"/>
  <c r="A11944" i="1"/>
  <c r="E11944" i="1"/>
  <c r="B11945" i="1"/>
  <c r="A11945" i="1"/>
  <c r="E11945" i="1"/>
  <c r="B11946" i="1"/>
  <c r="A11946" i="1"/>
  <c r="E11946" i="1"/>
  <c r="B11947" i="1"/>
  <c r="A11947" i="1"/>
  <c r="E11947" i="1"/>
  <c r="B11948" i="1"/>
  <c r="A11948" i="1"/>
  <c r="E11948" i="1"/>
  <c r="B11949" i="1"/>
  <c r="A11949" i="1"/>
  <c r="E11949" i="1"/>
  <c r="B11950" i="1"/>
  <c r="A11950" i="1"/>
  <c r="E11950" i="1"/>
  <c r="B11951" i="1"/>
  <c r="A11951" i="1"/>
  <c r="E11951" i="1"/>
  <c r="B11952" i="1"/>
  <c r="A11952" i="1"/>
  <c r="E11952" i="1"/>
  <c r="B11953" i="1"/>
  <c r="A11953" i="1"/>
  <c r="E11953" i="1"/>
  <c r="B11954" i="1"/>
  <c r="A11954" i="1"/>
  <c r="E11954" i="1"/>
  <c r="B11955" i="1"/>
  <c r="A11955" i="1"/>
  <c r="E11955" i="1"/>
  <c r="F11955" i="1"/>
  <c r="B11956" i="1"/>
  <c r="A11956" i="1"/>
  <c r="E11956" i="1"/>
  <c r="F11956" i="1"/>
  <c r="B11957" i="1"/>
  <c r="A11957" i="1"/>
  <c r="E11957" i="1"/>
  <c r="F11957" i="1"/>
  <c r="B11958" i="1"/>
  <c r="A11958" i="1"/>
  <c r="E11958" i="1"/>
  <c r="F11958" i="1"/>
  <c r="B11959" i="1"/>
  <c r="A11959" i="1"/>
  <c r="E11959" i="1"/>
  <c r="F11959" i="1"/>
  <c r="B11960" i="1"/>
  <c r="A11960" i="1"/>
  <c r="E11960" i="1"/>
  <c r="F11960" i="1"/>
  <c r="B11961" i="1"/>
  <c r="A11961" i="1"/>
  <c r="E11961" i="1"/>
  <c r="F11961" i="1"/>
  <c r="B11962" i="1"/>
  <c r="A11962" i="1"/>
  <c r="E11962" i="1"/>
  <c r="F11962" i="1"/>
  <c r="G11962" i="1"/>
  <c r="B11963" i="1"/>
  <c r="A11963" i="1"/>
  <c r="E11963" i="1"/>
  <c r="F11963" i="1"/>
  <c r="B11964" i="1"/>
  <c r="A11964" i="1"/>
  <c r="E11964" i="1"/>
  <c r="B11965" i="1"/>
  <c r="A11965" i="1"/>
  <c r="E11965" i="1"/>
  <c r="B11966" i="1"/>
  <c r="A11966" i="1"/>
  <c r="E11966" i="1"/>
  <c r="B11967" i="1"/>
  <c r="A11967" i="1"/>
  <c r="E11967" i="1"/>
  <c r="B11968" i="1"/>
  <c r="A11968" i="1"/>
  <c r="E11968" i="1"/>
  <c r="B11969" i="1"/>
  <c r="A11969" i="1"/>
  <c r="E11969" i="1"/>
  <c r="B11970" i="1"/>
  <c r="A11970" i="1"/>
  <c r="E11970" i="1"/>
  <c r="B11971" i="1"/>
  <c r="A11971" i="1"/>
  <c r="E11971" i="1"/>
  <c r="B11972" i="1"/>
  <c r="A11972" i="1"/>
  <c r="E11972" i="1"/>
  <c r="B11973" i="1"/>
  <c r="A11973" i="1"/>
  <c r="E11973" i="1"/>
  <c r="B11974" i="1"/>
  <c r="A11974" i="1"/>
  <c r="E11974" i="1"/>
  <c r="B11975" i="1"/>
  <c r="A11975" i="1"/>
  <c r="E11975" i="1"/>
  <c r="B11976" i="1"/>
  <c r="A11976" i="1"/>
  <c r="E11976" i="1"/>
  <c r="B11977" i="1"/>
  <c r="A11977" i="1"/>
  <c r="E11977" i="1"/>
  <c r="B11978" i="1"/>
  <c r="A11978" i="1"/>
  <c r="E11978" i="1"/>
  <c r="B11979" i="1"/>
  <c r="A11979" i="1"/>
  <c r="E11979" i="1"/>
  <c r="B11980" i="1"/>
  <c r="A11980" i="1"/>
  <c r="E11980" i="1"/>
  <c r="B11981" i="1"/>
  <c r="A11981" i="1"/>
  <c r="E11981" i="1"/>
  <c r="B11982" i="1"/>
  <c r="A11982" i="1"/>
  <c r="E11982" i="1"/>
  <c r="B11983" i="1"/>
  <c r="A11983" i="1"/>
  <c r="E11983" i="1"/>
  <c r="B11984" i="1"/>
  <c r="A11984" i="1"/>
  <c r="E11984" i="1"/>
  <c r="F11984" i="1"/>
  <c r="B11985" i="1"/>
  <c r="A11985" i="1"/>
  <c r="E11985" i="1"/>
  <c r="F11985" i="1"/>
  <c r="G11985" i="1"/>
  <c r="B11986" i="1"/>
  <c r="A11986" i="1"/>
  <c r="E11986" i="1"/>
  <c r="F11986" i="1"/>
  <c r="B11987" i="1"/>
  <c r="A11987" i="1"/>
  <c r="E11987" i="1"/>
  <c r="F11987" i="1"/>
  <c r="B11988" i="1"/>
  <c r="A11988" i="1"/>
  <c r="E11988" i="1"/>
  <c r="F11988" i="1"/>
  <c r="B11989" i="1"/>
  <c r="A11989" i="1"/>
  <c r="E11989" i="1"/>
  <c r="F11989" i="1"/>
  <c r="B11990" i="1"/>
  <c r="A11990" i="1"/>
  <c r="E11990" i="1"/>
  <c r="F11990" i="1"/>
  <c r="B11991" i="1"/>
  <c r="A11991" i="1"/>
  <c r="E11991" i="1"/>
  <c r="F11991" i="1"/>
  <c r="B11992" i="1"/>
  <c r="A11992" i="1"/>
  <c r="E11992" i="1"/>
  <c r="F11992" i="1"/>
  <c r="B11993" i="1"/>
  <c r="A11993" i="1"/>
  <c r="E11993" i="1"/>
  <c r="B11994" i="1"/>
  <c r="A11994" i="1"/>
  <c r="E11994" i="1"/>
  <c r="B11995" i="1"/>
  <c r="A11995" i="1"/>
  <c r="E11995" i="1"/>
  <c r="B11996" i="1"/>
  <c r="A11996" i="1"/>
  <c r="E11996" i="1"/>
  <c r="B11997" i="1"/>
  <c r="A11997" i="1"/>
  <c r="E11997" i="1"/>
  <c r="B11998" i="1"/>
  <c r="A11998" i="1"/>
  <c r="E11998" i="1"/>
  <c r="B11999" i="1"/>
  <c r="A11999" i="1"/>
  <c r="E11999" i="1"/>
  <c r="B12000" i="1"/>
  <c r="A12000" i="1"/>
  <c r="E12000" i="1"/>
  <c r="B12001" i="1"/>
  <c r="A12001" i="1"/>
  <c r="E12001" i="1"/>
  <c r="G12001" i="1"/>
  <c r="B12002" i="1"/>
  <c r="A12002" i="1"/>
  <c r="E12002" i="1"/>
  <c r="B12003" i="1"/>
  <c r="A12003" i="1"/>
  <c r="E12003" i="1"/>
  <c r="F12003" i="1"/>
  <c r="B12004" i="1"/>
  <c r="A12004" i="1"/>
  <c r="E12004" i="1"/>
  <c r="F12004" i="1"/>
  <c r="B12005" i="1"/>
  <c r="A12005" i="1"/>
  <c r="E12005" i="1"/>
  <c r="F12005" i="1"/>
  <c r="G12005" i="1"/>
  <c r="B12006" i="1"/>
  <c r="A12006" i="1"/>
  <c r="E12006" i="1"/>
  <c r="F12006" i="1"/>
  <c r="G12006" i="1"/>
  <c r="B12007" i="1"/>
  <c r="A12007" i="1"/>
  <c r="E12007" i="1"/>
  <c r="B12008" i="1"/>
  <c r="A12008" i="1"/>
  <c r="E12008" i="1"/>
  <c r="F12008" i="1"/>
  <c r="B12009" i="1"/>
  <c r="A12009" i="1"/>
  <c r="E12009" i="1"/>
  <c r="F12009" i="1"/>
  <c r="B12010" i="1"/>
  <c r="A12010" i="1"/>
  <c r="E12010" i="1"/>
  <c r="F12010" i="1"/>
  <c r="B12011" i="1"/>
  <c r="A12011" i="1"/>
  <c r="E12011" i="1"/>
  <c r="F12011" i="1"/>
  <c r="B12012" i="1"/>
  <c r="A12012" i="1"/>
  <c r="E12012" i="1"/>
  <c r="F12012" i="1"/>
  <c r="B12013" i="1"/>
  <c r="A12013" i="1"/>
  <c r="E12013" i="1"/>
  <c r="F12013" i="1"/>
  <c r="B12014" i="1"/>
  <c r="A12014" i="1"/>
  <c r="E12014" i="1"/>
  <c r="F12014" i="1"/>
  <c r="B12015" i="1"/>
  <c r="A12015" i="1"/>
  <c r="E12015" i="1"/>
  <c r="F12015" i="1"/>
  <c r="B12016" i="1"/>
  <c r="A12016" i="1"/>
  <c r="E12016" i="1"/>
  <c r="F12016" i="1"/>
  <c r="B12017" i="1"/>
  <c r="A12017" i="1"/>
  <c r="E12017" i="1"/>
  <c r="F12017" i="1"/>
  <c r="G12017" i="1"/>
  <c r="B12018" i="1"/>
  <c r="A12018" i="1"/>
  <c r="E12018" i="1"/>
  <c r="F12018" i="1"/>
  <c r="B12019" i="1"/>
  <c r="A12019" i="1"/>
  <c r="E12019" i="1"/>
  <c r="F12019" i="1"/>
  <c r="B12020" i="1"/>
  <c r="A12020" i="1"/>
  <c r="E12020" i="1"/>
  <c r="F12020" i="1"/>
  <c r="B12021" i="1"/>
  <c r="A12021" i="1"/>
  <c r="E12021" i="1"/>
  <c r="F12021" i="1"/>
  <c r="B12022" i="1"/>
  <c r="A12022" i="1"/>
  <c r="E12022" i="1"/>
  <c r="F12022" i="1"/>
  <c r="B12023" i="1"/>
  <c r="A12023" i="1"/>
  <c r="E12023" i="1"/>
  <c r="F12023" i="1"/>
  <c r="B12024" i="1"/>
  <c r="A12024" i="1"/>
  <c r="E12024" i="1"/>
  <c r="F12024" i="1"/>
  <c r="B12025" i="1"/>
  <c r="A12025" i="1"/>
  <c r="E12025" i="1"/>
  <c r="F12025" i="1"/>
  <c r="B12026" i="1"/>
  <c r="A12026" i="1"/>
  <c r="E12026" i="1"/>
  <c r="F12026" i="1"/>
  <c r="B12027" i="1"/>
  <c r="A12027" i="1"/>
  <c r="E12027" i="1"/>
  <c r="F12027" i="1"/>
  <c r="B12028" i="1"/>
  <c r="A12028" i="1"/>
  <c r="E12028" i="1"/>
  <c r="F12028" i="1"/>
  <c r="B12029" i="1"/>
  <c r="A12029" i="1"/>
  <c r="E12029" i="1"/>
  <c r="F12029" i="1"/>
  <c r="B12030" i="1"/>
  <c r="A12030" i="1"/>
  <c r="E12030" i="1"/>
  <c r="F12030" i="1"/>
  <c r="B12031" i="1"/>
  <c r="A12031" i="1"/>
  <c r="E12031" i="1"/>
  <c r="F12031" i="1"/>
  <c r="B12032" i="1"/>
  <c r="A12032" i="1"/>
  <c r="E12032" i="1"/>
  <c r="F12032" i="1"/>
  <c r="B12033" i="1"/>
  <c r="A12033" i="1"/>
  <c r="E12033" i="1"/>
  <c r="F12033" i="1"/>
  <c r="B12034" i="1"/>
  <c r="A12034" i="1"/>
  <c r="E12034" i="1"/>
  <c r="F12034" i="1"/>
  <c r="B12035" i="1"/>
  <c r="A12035" i="1"/>
  <c r="E12035" i="1"/>
  <c r="F12035" i="1"/>
  <c r="B12036" i="1"/>
  <c r="A12036" i="1"/>
  <c r="E12036" i="1"/>
  <c r="F12036" i="1"/>
  <c r="B12037" i="1"/>
  <c r="A12037" i="1"/>
  <c r="E12037" i="1"/>
  <c r="F12037" i="1"/>
  <c r="B12038" i="1"/>
  <c r="A12038" i="1"/>
  <c r="E12038" i="1"/>
  <c r="F12038" i="1"/>
  <c r="B12039" i="1"/>
  <c r="A12039" i="1"/>
  <c r="E12039" i="1"/>
  <c r="F12039" i="1"/>
  <c r="B12040" i="1"/>
  <c r="A12040" i="1"/>
  <c r="E12040" i="1"/>
  <c r="F12040" i="1"/>
  <c r="B12041" i="1"/>
  <c r="A12041" i="1"/>
  <c r="E12041" i="1"/>
  <c r="F12041" i="1"/>
  <c r="B12042" i="1"/>
  <c r="A12042" i="1"/>
  <c r="E12042" i="1"/>
  <c r="F12042" i="1"/>
  <c r="B12043" i="1"/>
  <c r="A12043" i="1"/>
  <c r="E12043" i="1"/>
  <c r="F12043" i="1"/>
  <c r="B12044" i="1"/>
  <c r="A12044" i="1"/>
  <c r="E12044" i="1"/>
  <c r="F12044" i="1"/>
  <c r="B12045" i="1"/>
  <c r="A12045" i="1"/>
  <c r="E12045" i="1"/>
  <c r="F12045" i="1"/>
  <c r="B12046" i="1"/>
  <c r="A12046" i="1"/>
  <c r="E12046" i="1"/>
  <c r="F12046" i="1"/>
  <c r="B12047" i="1"/>
  <c r="A12047" i="1"/>
  <c r="E12047" i="1"/>
  <c r="F12047" i="1"/>
  <c r="B12048" i="1"/>
  <c r="A12048" i="1"/>
  <c r="E12048" i="1"/>
  <c r="F12048" i="1"/>
  <c r="G12048" i="1"/>
  <c r="B12049" i="1"/>
  <c r="A12049" i="1"/>
  <c r="E12049" i="1"/>
  <c r="F12049" i="1"/>
  <c r="B12050" i="1"/>
  <c r="A12050" i="1"/>
  <c r="E12050" i="1"/>
  <c r="F12050" i="1"/>
  <c r="B12051" i="1"/>
  <c r="A12051" i="1"/>
  <c r="E12051" i="1"/>
  <c r="F12051" i="1"/>
  <c r="B12052" i="1"/>
  <c r="A12052" i="1"/>
  <c r="E12052" i="1"/>
  <c r="F12052" i="1"/>
  <c r="G12052" i="1"/>
  <c r="B12053" i="1"/>
  <c r="A12053" i="1"/>
  <c r="E12053" i="1"/>
  <c r="F12053" i="1"/>
  <c r="B12054" i="1"/>
  <c r="A12054" i="1"/>
  <c r="E12054" i="1"/>
  <c r="F12054" i="1"/>
  <c r="B12055" i="1"/>
  <c r="A12055" i="1"/>
  <c r="E12055" i="1"/>
  <c r="F12055" i="1"/>
  <c r="B12056" i="1"/>
  <c r="A12056" i="1"/>
  <c r="E12056" i="1"/>
  <c r="G12056" i="1"/>
  <c r="B12057" i="1"/>
  <c r="A12057" i="1"/>
  <c r="E12057" i="1"/>
  <c r="B12058" i="1"/>
  <c r="A12058" i="1"/>
  <c r="E12058" i="1"/>
  <c r="B12059" i="1"/>
  <c r="A12059" i="1"/>
  <c r="E12059" i="1"/>
  <c r="B12060" i="1"/>
  <c r="A12060" i="1"/>
  <c r="E12060" i="1"/>
  <c r="B12061" i="1"/>
  <c r="A12061" i="1"/>
  <c r="E12061" i="1"/>
  <c r="B12062" i="1"/>
  <c r="A12062" i="1"/>
  <c r="E12062" i="1"/>
  <c r="B12063" i="1"/>
  <c r="A12063" i="1"/>
  <c r="E12063" i="1"/>
  <c r="B12064" i="1"/>
  <c r="A12064" i="1"/>
  <c r="E12064" i="1"/>
  <c r="B12065" i="1"/>
  <c r="A12065" i="1"/>
  <c r="E12065" i="1"/>
  <c r="B12066" i="1"/>
  <c r="A12066" i="1"/>
  <c r="E12066" i="1"/>
  <c r="G12066" i="1"/>
  <c r="B12067" i="1"/>
  <c r="A12067" i="1"/>
  <c r="E12067" i="1"/>
  <c r="B12068" i="1"/>
  <c r="A12068" i="1"/>
  <c r="E12068" i="1"/>
  <c r="B12069" i="1"/>
  <c r="A12069" i="1"/>
  <c r="E12069" i="1"/>
  <c r="B12070" i="1"/>
  <c r="A12070" i="1"/>
  <c r="E12070" i="1"/>
  <c r="B12071" i="1"/>
  <c r="A12071" i="1"/>
  <c r="E12071" i="1"/>
  <c r="B12072" i="1"/>
  <c r="A12072" i="1"/>
  <c r="E12072" i="1"/>
  <c r="B12073" i="1"/>
  <c r="A12073" i="1"/>
  <c r="E12073" i="1"/>
  <c r="B12074" i="1"/>
  <c r="A12074" i="1"/>
  <c r="E12074" i="1"/>
  <c r="B12075" i="1"/>
  <c r="A12075" i="1"/>
  <c r="E12075" i="1"/>
  <c r="B12076" i="1"/>
  <c r="A12076" i="1"/>
  <c r="E12076" i="1"/>
  <c r="B12077" i="1"/>
  <c r="A12077" i="1"/>
  <c r="E12077" i="1"/>
  <c r="B12078" i="1"/>
  <c r="A12078" i="1"/>
  <c r="E12078" i="1"/>
  <c r="B12079" i="1"/>
  <c r="A12079" i="1"/>
  <c r="E12079" i="1"/>
  <c r="B12080" i="1"/>
  <c r="A12080" i="1"/>
  <c r="E12080" i="1"/>
  <c r="B12081" i="1"/>
  <c r="A12081" i="1"/>
  <c r="E12081" i="1"/>
  <c r="B12082" i="1"/>
  <c r="A12082" i="1"/>
  <c r="E12082" i="1"/>
  <c r="B12083" i="1"/>
  <c r="A12083" i="1"/>
  <c r="E12083" i="1"/>
  <c r="B12084" i="1"/>
  <c r="A12084" i="1"/>
  <c r="E12084" i="1"/>
  <c r="B12085" i="1"/>
  <c r="A12085" i="1"/>
  <c r="E12085" i="1"/>
  <c r="B12086" i="1"/>
  <c r="A12086" i="1"/>
  <c r="E12086" i="1"/>
  <c r="B12087" i="1"/>
  <c r="A12087" i="1"/>
  <c r="E12087" i="1"/>
  <c r="F12087" i="1"/>
  <c r="B12088" i="1"/>
  <c r="A12088" i="1"/>
  <c r="E12088" i="1"/>
  <c r="F12088" i="1"/>
  <c r="B12089" i="1"/>
  <c r="A12089" i="1"/>
  <c r="E12089" i="1"/>
  <c r="F12089" i="1"/>
  <c r="B12090" i="1"/>
  <c r="A12090" i="1"/>
  <c r="E12090" i="1"/>
  <c r="F12090" i="1"/>
  <c r="B12091" i="1"/>
  <c r="A12091" i="1"/>
  <c r="E12091" i="1"/>
  <c r="F12091" i="1"/>
  <c r="B12092" i="1"/>
  <c r="A12092" i="1"/>
  <c r="E12092" i="1"/>
  <c r="F12092" i="1"/>
  <c r="B12093" i="1"/>
  <c r="A12093" i="1"/>
  <c r="E12093" i="1"/>
  <c r="F12093" i="1"/>
  <c r="B12094" i="1"/>
  <c r="A12094" i="1"/>
  <c r="E12094" i="1"/>
  <c r="F12094" i="1"/>
  <c r="B12095" i="1"/>
  <c r="A12095" i="1"/>
  <c r="E12095" i="1"/>
  <c r="F12095" i="1"/>
  <c r="B12096" i="1"/>
  <c r="A12096" i="1"/>
  <c r="E12096" i="1"/>
  <c r="F12096" i="1"/>
  <c r="B12097" i="1"/>
  <c r="A12097" i="1"/>
  <c r="E12097" i="1"/>
  <c r="F12097" i="1"/>
  <c r="B12098" i="1"/>
  <c r="A12098" i="1"/>
  <c r="E12098" i="1"/>
  <c r="F12098" i="1"/>
  <c r="B12099" i="1"/>
  <c r="A12099" i="1"/>
  <c r="E12099" i="1"/>
  <c r="F12099" i="1"/>
  <c r="B12100" i="1"/>
  <c r="A12100" i="1"/>
  <c r="E12100" i="1"/>
  <c r="F12100" i="1"/>
  <c r="B12101" i="1"/>
  <c r="A12101" i="1"/>
  <c r="E12101" i="1"/>
  <c r="F12101" i="1"/>
  <c r="B12102" i="1"/>
  <c r="A12102" i="1"/>
  <c r="E12102" i="1"/>
  <c r="F12102" i="1"/>
  <c r="B12103" i="1"/>
  <c r="A12103" i="1"/>
  <c r="E12103" i="1"/>
  <c r="F12103" i="1"/>
  <c r="B12104" i="1"/>
  <c r="A12104" i="1"/>
  <c r="E12104" i="1"/>
  <c r="F12104" i="1"/>
  <c r="G12104" i="1"/>
  <c r="B12105" i="1"/>
  <c r="A12105" i="1"/>
  <c r="E12105" i="1"/>
  <c r="F12105" i="1"/>
  <c r="B12106" i="1"/>
  <c r="A12106" i="1"/>
  <c r="E12106" i="1"/>
  <c r="F12106" i="1"/>
  <c r="B12107" i="1"/>
  <c r="A12107" i="1"/>
  <c r="E12107" i="1"/>
  <c r="F12107" i="1"/>
  <c r="B12108" i="1"/>
  <c r="A12108" i="1"/>
  <c r="E12108" i="1"/>
  <c r="F12108" i="1"/>
  <c r="B12109" i="1"/>
  <c r="A12109" i="1"/>
  <c r="E12109" i="1"/>
  <c r="F12109" i="1"/>
  <c r="B12110" i="1"/>
  <c r="A12110" i="1"/>
  <c r="E12110" i="1"/>
  <c r="F12110" i="1"/>
  <c r="B12111" i="1"/>
  <c r="A12111" i="1"/>
  <c r="E12111" i="1"/>
  <c r="F12111" i="1"/>
  <c r="B12112" i="1"/>
  <c r="A12112" i="1"/>
  <c r="E12112" i="1"/>
  <c r="F12112" i="1"/>
  <c r="B12113" i="1"/>
  <c r="A12113" i="1"/>
  <c r="E12113" i="1"/>
  <c r="F12113" i="1"/>
  <c r="G12113" i="1"/>
  <c r="B12114" i="1"/>
  <c r="A12114" i="1"/>
  <c r="E12114" i="1"/>
  <c r="F12114" i="1"/>
  <c r="G12114" i="1"/>
  <c r="B12115" i="1"/>
  <c r="A12115" i="1"/>
  <c r="E12115" i="1"/>
  <c r="F12115" i="1"/>
  <c r="G12115" i="1"/>
  <c r="B12116" i="1"/>
  <c r="A12116" i="1"/>
  <c r="E12116" i="1"/>
  <c r="F12116" i="1"/>
  <c r="B12117" i="1"/>
  <c r="A12117" i="1"/>
  <c r="E12117" i="1"/>
  <c r="F12117" i="1"/>
  <c r="B12118" i="1"/>
  <c r="A12118" i="1"/>
  <c r="E12118" i="1"/>
  <c r="F12118" i="1"/>
  <c r="G12118" i="1"/>
  <c r="B12119" i="1"/>
  <c r="A12119" i="1"/>
  <c r="E12119" i="1"/>
  <c r="F12119" i="1"/>
  <c r="B12120" i="1"/>
  <c r="A12120" i="1"/>
  <c r="E12120" i="1"/>
  <c r="F12120" i="1"/>
  <c r="B12121" i="1"/>
  <c r="A12121" i="1"/>
  <c r="E12121" i="1"/>
  <c r="F12121" i="1"/>
  <c r="B12122" i="1"/>
  <c r="A12122" i="1"/>
  <c r="E12122" i="1"/>
  <c r="F12122" i="1"/>
  <c r="B12123" i="1"/>
  <c r="A12123" i="1"/>
  <c r="E12123" i="1"/>
  <c r="F12123" i="1"/>
  <c r="B12124" i="1"/>
  <c r="A12124" i="1"/>
  <c r="E12124" i="1"/>
  <c r="F12124" i="1"/>
  <c r="B12125" i="1"/>
  <c r="A12125" i="1"/>
  <c r="E12125" i="1"/>
  <c r="F12125" i="1"/>
  <c r="B12126" i="1"/>
  <c r="A12126" i="1"/>
  <c r="E12126" i="1"/>
  <c r="F12126" i="1"/>
  <c r="B12127" i="1"/>
  <c r="A12127" i="1"/>
  <c r="E12127" i="1"/>
  <c r="F12127" i="1"/>
  <c r="B12128" i="1"/>
  <c r="A12128" i="1"/>
  <c r="E12128" i="1"/>
  <c r="F12128" i="1"/>
  <c r="G12128" i="1"/>
  <c r="B12129" i="1"/>
  <c r="A12129" i="1"/>
  <c r="E12129" i="1"/>
  <c r="F12129" i="1"/>
  <c r="G12129" i="1"/>
  <c r="B12130" i="1"/>
  <c r="A12130" i="1"/>
  <c r="E12130" i="1"/>
  <c r="F12130" i="1"/>
  <c r="B12131" i="1"/>
  <c r="A12131" i="1"/>
  <c r="E12131" i="1"/>
  <c r="F12131" i="1"/>
  <c r="B12132" i="1"/>
  <c r="A12132" i="1"/>
  <c r="E12132" i="1"/>
  <c r="F12132" i="1"/>
  <c r="B12133" i="1"/>
  <c r="A12133" i="1"/>
  <c r="E12133" i="1"/>
  <c r="F12133" i="1"/>
  <c r="G12133" i="1"/>
  <c r="B12134" i="1"/>
  <c r="A12134" i="1"/>
  <c r="E12134" i="1"/>
  <c r="F12134" i="1"/>
  <c r="G12134" i="1"/>
  <c r="B12135" i="1"/>
  <c r="A12135" i="1"/>
  <c r="E12135" i="1"/>
  <c r="F12135" i="1"/>
  <c r="B12136" i="1"/>
  <c r="A12136" i="1"/>
  <c r="E12136" i="1"/>
  <c r="F12136" i="1"/>
  <c r="B12137" i="1"/>
  <c r="A12137" i="1"/>
  <c r="E12137" i="1"/>
  <c r="F12137" i="1"/>
  <c r="B12138" i="1"/>
  <c r="A12138" i="1"/>
  <c r="E12138" i="1"/>
  <c r="F12138" i="1"/>
  <c r="B12139" i="1"/>
  <c r="A12139" i="1"/>
  <c r="E12139" i="1"/>
  <c r="F12139" i="1"/>
  <c r="G12139" i="1"/>
  <c r="B12140" i="1"/>
  <c r="A12140" i="1"/>
  <c r="E12140" i="1"/>
  <c r="F12140" i="1"/>
  <c r="B12141" i="1"/>
  <c r="A12141" i="1"/>
  <c r="E12141" i="1"/>
  <c r="F12141" i="1"/>
  <c r="B12142" i="1"/>
  <c r="A12142" i="1"/>
  <c r="E12142" i="1"/>
  <c r="F12142" i="1"/>
  <c r="B12143" i="1"/>
  <c r="A12143" i="1"/>
  <c r="E12143" i="1"/>
  <c r="F12143" i="1"/>
  <c r="B12144" i="1"/>
  <c r="A12144" i="1"/>
  <c r="E12144" i="1"/>
  <c r="F12144" i="1"/>
  <c r="G12144" i="1"/>
  <c r="B12145" i="1"/>
  <c r="A12145" i="1"/>
  <c r="E12145" i="1"/>
  <c r="F12145" i="1"/>
  <c r="B12146" i="1"/>
  <c r="A12146" i="1"/>
  <c r="E12146" i="1"/>
  <c r="F12146" i="1"/>
  <c r="B12147" i="1"/>
  <c r="A12147" i="1"/>
  <c r="E12147" i="1"/>
  <c r="F12147" i="1"/>
  <c r="B12148" i="1"/>
  <c r="A12148" i="1"/>
  <c r="E12148" i="1"/>
  <c r="F12148" i="1"/>
  <c r="B12149" i="1"/>
  <c r="A12149" i="1"/>
  <c r="E12149" i="1"/>
  <c r="F12149" i="1"/>
  <c r="B12150" i="1"/>
  <c r="A12150" i="1"/>
  <c r="E12150" i="1"/>
  <c r="F12150" i="1"/>
  <c r="G12150" i="1"/>
  <c r="B12151" i="1"/>
  <c r="A12151" i="1"/>
  <c r="E12151" i="1"/>
  <c r="F12151" i="1"/>
  <c r="B12152" i="1"/>
  <c r="A12152" i="1"/>
  <c r="E12152" i="1"/>
  <c r="F12152" i="1"/>
  <c r="B12153" i="1"/>
  <c r="A12153" i="1"/>
  <c r="E12153" i="1"/>
  <c r="F12153" i="1"/>
  <c r="B12154" i="1"/>
  <c r="A12154" i="1"/>
  <c r="E12154" i="1"/>
  <c r="F12154" i="1"/>
  <c r="B12155" i="1"/>
  <c r="A12155" i="1"/>
  <c r="E12155" i="1"/>
  <c r="F12155" i="1"/>
  <c r="B12156" i="1"/>
  <c r="A12156" i="1"/>
  <c r="E12156" i="1"/>
  <c r="F12156" i="1"/>
  <c r="B12157" i="1"/>
  <c r="A12157" i="1"/>
  <c r="E12157" i="1"/>
  <c r="F12157" i="1"/>
  <c r="B12158" i="1"/>
  <c r="A12158" i="1"/>
  <c r="E12158" i="1"/>
  <c r="F12158" i="1"/>
  <c r="B12159" i="1"/>
  <c r="A12159" i="1"/>
  <c r="E12159" i="1"/>
  <c r="F12159" i="1"/>
  <c r="B12160" i="1"/>
  <c r="A12160" i="1"/>
  <c r="E12160" i="1"/>
  <c r="F12160" i="1"/>
  <c r="B12161" i="1"/>
  <c r="A12161" i="1"/>
  <c r="E12161" i="1"/>
  <c r="F12161" i="1"/>
  <c r="B12162" i="1"/>
  <c r="A12162" i="1"/>
  <c r="E12162" i="1"/>
  <c r="F12162" i="1"/>
  <c r="B12163" i="1"/>
  <c r="A12163" i="1"/>
  <c r="E12163" i="1"/>
  <c r="F12163" i="1"/>
  <c r="B12164" i="1"/>
  <c r="A12164" i="1"/>
  <c r="E12164" i="1"/>
  <c r="F12164" i="1"/>
  <c r="G12164" i="1"/>
  <c r="B12165" i="1"/>
  <c r="A12165" i="1"/>
  <c r="E12165" i="1"/>
  <c r="F12165" i="1"/>
  <c r="B12166" i="1"/>
  <c r="A12166" i="1"/>
  <c r="E12166" i="1"/>
  <c r="F12166" i="1"/>
  <c r="B12167" i="1"/>
  <c r="A12167" i="1"/>
  <c r="E12167" i="1"/>
  <c r="F12167" i="1"/>
  <c r="B12168" i="1"/>
  <c r="A12168" i="1"/>
  <c r="E12168" i="1"/>
  <c r="F12168" i="1"/>
  <c r="G12168" i="1"/>
  <c r="B12169" i="1"/>
  <c r="A12169" i="1"/>
  <c r="E12169" i="1"/>
  <c r="F12169" i="1"/>
  <c r="B12170" i="1"/>
  <c r="A12170" i="1"/>
  <c r="E12170" i="1"/>
  <c r="F12170" i="1"/>
  <c r="B12171" i="1"/>
  <c r="A12171" i="1"/>
  <c r="E12171" i="1"/>
  <c r="F12171" i="1"/>
  <c r="B12172" i="1"/>
  <c r="A12172" i="1"/>
  <c r="E12172" i="1"/>
  <c r="F12172" i="1"/>
  <c r="B12173" i="1"/>
  <c r="A12173" i="1"/>
  <c r="E12173" i="1"/>
  <c r="F12173" i="1"/>
  <c r="B12174" i="1"/>
  <c r="A12174" i="1"/>
  <c r="E12174" i="1"/>
  <c r="F12174" i="1"/>
  <c r="B12175" i="1"/>
  <c r="A12175" i="1"/>
  <c r="E12175" i="1"/>
  <c r="F12175" i="1"/>
  <c r="B12176" i="1"/>
  <c r="A12176" i="1"/>
  <c r="E12176" i="1"/>
  <c r="F12176" i="1"/>
  <c r="B12177" i="1"/>
  <c r="A12177" i="1"/>
  <c r="E12177" i="1"/>
  <c r="F12177" i="1"/>
  <c r="B12178" i="1"/>
  <c r="A12178" i="1"/>
  <c r="E12178" i="1"/>
  <c r="F12178" i="1"/>
  <c r="B12179" i="1"/>
  <c r="A12179" i="1"/>
  <c r="E12179" i="1"/>
  <c r="F12179" i="1"/>
  <c r="G12179" i="1"/>
  <c r="B12180" i="1"/>
  <c r="A12180" i="1"/>
  <c r="E12180" i="1"/>
  <c r="F12180" i="1"/>
  <c r="B12181" i="1"/>
  <c r="A12181" i="1"/>
  <c r="E12181" i="1"/>
  <c r="F12181" i="1"/>
  <c r="B12182" i="1"/>
  <c r="A12182" i="1"/>
  <c r="E12182" i="1"/>
  <c r="F12182" i="1"/>
  <c r="B12183" i="1"/>
  <c r="A12183" i="1"/>
  <c r="E12183" i="1"/>
  <c r="F12183" i="1"/>
  <c r="G12183" i="1"/>
  <c r="B12184" i="1"/>
  <c r="A12184" i="1"/>
  <c r="E12184" i="1"/>
  <c r="F12184" i="1"/>
  <c r="G12184" i="1"/>
  <c r="B12185" i="1"/>
  <c r="A12185" i="1"/>
  <c r="E12185" i="1"/>
  <c r="F12185" i="1"/>
  <c r="B12186" i="1"/>
  <c r="A12186" i="1"/>
  <c r="E12186" i="1"/>
  <c r="F12186" i="1"/>
  <c r="B12187" i="1"/>
  <c r="A12187" i="1"/>
  <c r="E12187" i="1"/>
  <c r="F12187" i="1"/>
  <c r="B12188" i="1"/>
  <c r="A12188" i="1"/>
  <c r="E12188" i="1"/>
  <c r="F12188" i="1"/>
  <c r="G12188" i="1"/>
  <c r="B12189" i="1"/>
  <c r="A12189" i="1"/>
  <c r="E12189" i="1"/>
  <c r="F12189" i="1"/>
  <c r="B12190" i="1"/>
  <c r="A12190" i="1"/>
  <c r="E12190" i="1"/>
  <c r="F12190" i="1"/>
  <c r="B12191" i="1"/>
  <c r="A12191" i="1"/>
  <c r="E12191" i="1"/>
  <c r="F12191" i="1"/>
  <c r="B12192" i="1"/>
  <c r="A12192" i="1"/>
  <c r="E12192" i="1"/>
  <c r="F12192" i="1"/>
  <c r="B12193" i="1"/>
  <c r="A12193" i="1"/>
  <c r="E12193" i="1"/>
  <c r="F12193" i="1"/>
  <c r="B12194" i="1"/>
  <c r="A12194" i="1"/>
  <c r="E12194" i="1"/>
  <c r="F12194" i="1"/>
  <c r="B12195" i="1"/>
  <c r="A12195" i="1"/>
  <c r="E12195" i="1"/>
  <c r="F12195" i="1"/>
  <c r="B12196" i="1"/>
  <c r="A12196" i="1"/>
  <c r="E12196" i="1"/>
  <c r="F12196" i="1"/>
  <c r="B12197" i="1"/>
  <c r="A12197" i="1"/>
  <c r="E12197" i="1"/>
  <c r="F12197" i="1"/>
  <c r="B12198" i="1"/>
  <c r="A12198" i="1"/>
  <c r="E12198" i="1"/>
  <c r="F12198" i="1"/>
  <c r="B12199" i="1"/>
  <c r="A12199" i="1"/>
  <c r="E12199" i="1"/>
  <c r="F12199" i="1"/>
  <c r="B12200" i="1"/>
  <c r="A12200" i="1"/>
  <c r="E12200" i="1"/>
  <c r="F12200" i="1"/>
  <c r="B12201" i="1"/>
  <c r="A12201" i="1"/>
  <c r="E12201" i="1"/>
  <c r="F12201" i="1"/>
  <c r="B12202" i="1"/>
  <c r="A12202" i="1"/>
  <c r="E12202" i="1"/>
  <c r="F12202" i="1"/>
  <c r="G12202" i="1"/>
  <c r="B12203" i="1"/>
  <c r="A12203" i="1"/>
  <c r="E12203" i="1"/>
  <c r="F12203" i="1"/>
  <c r="B12204" i="1"/>
  <c r="A12204" i="1"/>
  <c r="E12204" i="1"/>
  <c r="F12204" i="1"/>
  <c r="B12205" i="1"/>
  <c r="A12205" i="1"/>
  <c r="E12205" i="1"/>
  <c r="F12205" i="1"/>
  <c r="B12206" i="1"/>
  <c r="A12206" i="1"/>
  <c r="E12206" i="1"/>
  <c r="F12206" i="1"/>
  <c r="B12207" i="1"/>
  <c r="A12207" i="1"/>
  <c r="E12207" i="1"/>
  <c r="F12207" i="1"/>
  <c r="B12208" i="1"/>
  <c r="A12208" i="1"/>
  <c r="E12208" i="1"/>
  <c r="B12209" i="1"/>
  <c r="A12209" i="1"/>
  <c r="E12209" i="1"/>
  <c r="B12210" i="1"/>
  <c r="A12210" i="1"/>
  <c r="E12210" i="1"/>
  <c r="B12211" i="1"/>
  <c r="A12211" i="1"/>
  <c r="E12211" i="1"/>
  <c r="B12212" i="1"/>
  <c r="A12212" i="1"/>
  <c r="E12212" i="1"/>
  <c r="B12213" i="1"/>
  <c r="A12213" i="1"/>
  <c r="E12213" i="1"/>
  <c r="B12214" i="1"/>
  <c r="A12214" i="1"/>
  <c r="E12214" i="1"/>
  <c r="B12215" i="1"/>
  <c r="A12215" i="1"/>
  <c r="E12215" i="1"/>
  <c r="B12216" i="1"/>
  <c r="A12216" i="1"/>
  <c r="E12216" i="1"/>
  <c r="B12217" i="1"/>
  <c r="A12217" i="1"/>
  <c r="E12217" i="1"/>
  <c r="A12218" i="1"/>
  <c r="E12218" i="1"/>
  <c r="A12219" i="1"/>
  <c r="E12219" i="1"/>
  <c r="A12220" i="1"/>
  <c r="E12220" i="1"/>
  <c r="A12221" i="1"/>
  <c r="E12221" i="1"/>
  <c r="A12222" i="1"/>
  <c r="E12222" i="1"/>
  <c r="B12223" i="1"/>
  <c r="A12223" i="1"/>
  <c r="E12223" i="1"/>
  <c r="B12224" i="1"/>
  <c r="A12224" i="1"/>
  <c r="E12224" i="1"/>
  <c r="B12225" i="1"/>
  <c r="A12225" i="1"/>
  <c r="E12225" i="1"/>
  <c r="B12226" i="1"/>
  <c r="A12226" i="1"/>
  <c r="E12226" i="1"/>
  <c r="A12227" i="1"/>
  <c r="E12227" i="1"/>
  <c r="A12228" i="1"/>
  <c r="E12228" i="1"/>
  <c r="A12229" i="1"/>
  <c r="E12229" i="1"/>
  <c r="B12230" i="1"/>
  <c r="A12230" i="1"/>
  <c r="E12230" i="1"/>
  <c r="B12231" i="1"/>
  <c r="A12231" i="1"/>
  <c r="E12231" i="1"/>
  <c r="B12232" i="1"/>
  <c r="A12232" i="1"/>
  <c r="E12232" i="1"/>
  <c r="B12233" i="1"/>
  <c r="A12233" i="1"/>
  <c r="E12233" i="1"/>
  <c r="B12234" i="1"/>
  <c r="A12234" i="1"/>
  <c r="E12234" i="1"/>
  <c r="B12235" i="1"/>
  <c r="A12235" i="1"/>
  <c r="E12235" i="1"/>
  <c r="B12236" i="1"/>
  <c r="A12236" i="1"/>
  <c r="E12236" i="1"/>
  <c r="B12237" i="1"/>
  <c r="A12237" i="1"/>
  <c r="E12237" i="1"/>
  <c r="B12238" i="1"/>
  <c r="A12238" i="1"/>
  <c r="E12238" i="1"/>
  <c r="B12239" i="1"/>
  <c r="A12239" i="1"/>
  <c r="E12239" i="1"/>
  <c r="B12240" i="1"/>
  <c r="A12240" i="1"/>
  <c r="E12240" i="1"/>
  <c r="B12241" i="1"/>
  <c r="A12241" i="1"/>
  <c r="E12241" i="1"/>
  <c r="B12242" i="1"/>
  <c r="A12242" i="1"/>
  <c r="E12242" i="1"/>
  <c r="B12243" i="1"/>
  <c r="A12243" i="1"/>
  <c r="E12243" i="1"/>
  <c r="B12244" i="1"/>
  <c r="A12244" i="1"/>
  <c r="E12244" i="1"/>
  <c r="B12245" i="1"/>
  <c r="A12245" i="1"/>
  <c r="E12245" i="1"/>
  <c r="B12246" i="1"/>
  <c r="A12246" i="1"/>
  <c r="E12246" i="1"/>
  <c r="B12247" i="1"/>
  <c r="A12247" i="1"/>
  <c r="E12247" i="1"/>
  <c r="B12248" i="1"/>
  <c r="A12248" i="1"/>
  <c r="E12248" i="1"/>
  <c r="B12249" i="1"/>
  <c r="A12249" i="1"/>
  <c r="E12249" i="1"/>
  <c r="B12250" i="1"/>
  <c r="A12250" i="1"/>
  <c r="E12250" i="1"/>
  <c r="F12250" i="1"/>
  <c r="B12251" i="1"/>
  <c r="A12251" i="1"/>
  <c r="E12251" i="1"/>
  <c r="F12251" i="1"/>
  <c r="B12252" i="1"/>
  <c r="A12252" i="1"/>
  <c r="E12252" i="1"/>
  <c r="F12252" i="1"/>
  <c r="B12253" i="1"/>
  <c r="A12253" i="1"/>
  <c r="E12253" i="1"/>
  <c r="F12253" i="1"/>
  <c r="B12254" i="1"/>
  <c r="A12254" i="1"/>
  <c r="E12254" i="1"/>
  <c r="F12254" i="1"/>
  <c r="B12255" i="1"/>
  <c r="A12255" i="1"/>
  <c r="E12255" i="1"/>
  <c r="F12255" i="1"/>
  <c r="B12256" i="1"/>
  <c r="A12256" i="1"/>
  <c r="E12256" i="1"/>
  <c r="F12256" i="1"/>
  <c r="B12257" i="1"/>
  <c r="A12257" i="1"/>
  <c r="E12257" i="1"/>
  <c r="F12257" i="1"/>
  <c r="B12258" i="1"/>
  <c r="A12258" i="1"/>
  <c r="E12258" i="1"/>
  <c r="F12258" i="1"/>
  <c r="B12259" i="1"/>
  <c r="A12259" i="1"/>
  <c r="E12259" i="1"/>
  <c r="F12259" i="1"/>
  <c r="B12260" i="1"/>
  <c r="A12260" i="1"/>
  <c r="E12260" i="1"/>
  <c r="F12260" i="1"/>
  <c r="B12261" i="1"/>
  <c r="A12261" i="1"/>
  <c r="E12261" i="1"/>
  <c r="F12261" i="1"/>
  <c r="G12261" i="1"/>
  <c r="B12262" i="1"/>
  <c r="A12262" i="1"/>
  <c r="E12262" i="1"/>
  <c r="F12262" i="1"/>
  <c r="B12263" i="1"/>
  <c r="A12263" i="1"/>
  <c r="E12263" i="1"/>
  <c r="F12263" i="1"/>
  <c r="B12264" i="1"/>
  <c r="A12264" i="1"/>
  <c r="E12264" i="1"/>
  <c r="F12264" i="1"/>
  <c r="B12265" i="1"/>
  <c r="A12265" i="1"/>
  <c r="E12265" i="1"/>
  <c r="F12265" i="1"/>
  <c r="B12266" i="1"/>
  <c r="A12266" i="1"/>
  <c r="E12266" i="1"/>
  <c r="F12266" i="1"/>
  <c r="B12267" i="1"/>
  <c r="A12267" i="1"/>
  <c r="E12267" i="1"/>
  <c r="F12267" i="1"/>
  <c r="B12268" i="1"/>
  <c r="A12268" i="1"/>
  <c r="E12268" i="1"/>
  <c r="F12268" i="1"/>
  <c r="B12269" i="1"/>
  <c r="A12269" i="1"/>
  <c r="E12269" i="1"/>
  <c r="F12269" i="1"/>
  <c r="B12270" i="1"/>
  <c r="A12270" i="1"/>
  <c r="E12270" i="1"/>
  <c r="F12270" i="1"/>
  <c r="B12271" i="1"/>
  <c r="A12271" i="1"/>
  <c r="E12271" i="1"/>
  <c r="F12271" i="1"/>
  <c r="B12272" i="1"/>
  <c r="A12272" i="1"/>
  <c r="E12272" i="1"/>
  <c r="F12272" i="1"/>
  <c r="B12273" i="1"/>
  <c r="A12273" i="1"/>
  <c r="E12273" i="1"/>
  <c r="F12273" i="1"/>
  <c r="B12274" i="1"/>
  <c r="A12274" i="1"/>
  <c r="E12274" i="1"/>
  <c r="F12274" i="1"/>
  <c r="B12275" i="1"/>
  <c r="A12275" i="1"/>
  <c r="E12275" i="1"/>
  <c r="F12275" i="1"/>
  <c r="B12276" i="1"/>
  <c r="A12276" i="1"/>
  <c r="E12276" i="1"/>
  <c r="F12276" i="1"/>
  <c r="B12277" i="1"/>
  <c r="A12277" i="1"/>
  <c r="E12277" i="1"/>
  <c r="F12277" i="1"/>
  <c r="B12278" i="1"/>
  <c r="A12278" i="1"/>
  <c r="E12278" i="1"/>
  <c r="F12278" i="1"/>
  <c r="B12279" i="1"/>
  <c r="A12279" i="1"/>
  <c r="E12279" i="1"/>
  <c r="F12279" i="1"/>
  <c r="B12280" i="1"/>
  <c r="A12280" i="1"/>
  <c r="E12280" i="1"/>
  <c r="F12280" i="1"/>
  <c r="B12281" i="1"/>
  <c r="A12281" i="1"/>
  <c r="E12281" i="1"/>
  <c r="F12281" i="1"/>
  <c r="B12282" i="1"/>
  <c r="A12282" i="1"/>
  <c r="E12282" i="1"/>
  <c r="F12282" i="1"/>
  <c r="B12283" i="1"/>
  <c r="A12283" i="1"/>
  <c r="E12283" i="1"/>
  <c r="F12283" i="1"/>
  <c r="B12284" i="1"/>
  <c r="A12284" i="1"/>
  <c r="E12284" i="1"/>
  <c r="F12284" i="1"/>
  <c r="B12285" i="1"/>
  <c r="A12285" i="1"/>
  <c r="E12285" i="1"/>
  <c r="F12285" i="1"/>
  <c r="B12286" i="1"/>
  <c r="A12286" i="1"/>
  <c r="E12286" i="1"/>
  <c r="F12286" i="1"/>
  <c r="B12287" i="1"/>
  <c r="A12287" i="1"/>
  <c r="E12287" i="1"/>
  <c r="F12287" i="1"/>
  <c r="B12288" i="1"/>
  <c r="A12288" i="1"/>
  <c r="E12288" i="1"/>
  <c r="F12288" i="1"/>
  <c r="B12289" i="1"/>
  <c r="A12289" i="1"/>
  <c r="E12289" i="1"/>
  <c r="F12289" i="1"/>
  <c r="B12290" i="1"/>
  <c r="A12290" i="1"/>
  <c r="E12290" i="1"/>
  <c r="F12290" i="1"/>
  <c r="B12291" i="1"/>
  <c r="A12291" i="1"/>
  <c r="E12291" i="1"/>
  <c r="F12291" i="1"/>
  <c r="B12292" i="1"/>
  <c r="A12292" i="1"/>
  <c r="E12292" i="1"/>
  <c r="F12292" i="1"/>
  <c r="B12293" i="1"/>
  <c r="A12293" i="1"/>
  <c r="E12293" i="1"/>
  <c r="F12293" i="1"/>
  <c r="B12294" i="1"/>
  <c r="A12294" i="1"/>
  <c r="E12294" i="1"/>
  <c r="F12294" i="1"/>
  <c r="B12295" i="1"/>
  <c r="A12295" i="1"/>
  <c r="E12295" i="1"/>
  <c r="F12295" i="1"/>
  <c r="B12296" i="1"/>
  <c r="A12296" i="1"/>
  <c r="E12296" i="1"/>
  <c r="F12296" i="1"/>
  <c r="B12297" i="1"/>
  <c r="A12297" i="1"/>
  <c r="E12297" i="1"/>
  <c r="F12297" i="1"/>
  <c r="B12298" i="1"/>
  <c r="A12298" i="1"/>
  <c r="E12298" i="1"/>
  <c r="F12298" i="1"/>
  <c r="B12299" i="1"/>
  <c r="A12299" i="1"/>
  <c r="E12299" i="1"/>
  <c r="F12299" i="1"/>
  <c r="B12300" i="1"/>
  <c r="A12300" i="1"/>
  <c r="E12300" i="1"/>
  <c r="F12300" i="1"/>
  <c r="B12301" i="1"/>
  <c r="A12301" i="1"/>
  <c r="E12301" i="1"/>
  <c r="F12301" i="1"/>
  <c r="B12302" i="1"/>
  <c r="A12302" i="1"/>
  <c r="E12302" i="1"/>
  <c r="F12302" i="1"/>
  <c r="B12303" i="1"/>
  <c r="A12303" i="1"/>
  <c r="E12303" i="1"/>
  <c r="F12303" i="1"/>
  <c r="B12304" i="1"/>
  <c r="A12304" i="1"/>
  <c r="E12304" i="1"/>
  <c r="F12304" i="1"/>
  <c r="B12305" i="1"/>
  <c r="A12305" i="1"/>
  <c r="E12305" i="1"/>
  <c r="F12305" i="1"/>
  <c r="B12306" i="1"/>
  <c r="A12306" i="1"/>
  <c r="E12306" i="1"/>
  <c r="F12306" i="1"/>
  <c r="B12307" i="1"/>
  <c r="A12307" i="1"/>
  <c r="E12307" i="1"/>
  <c r="F12307" i="1"/>
  <c r="B12308" i="1"/>
  <c r="A12308" i="1"/>
  <c r="E12308" i="1"/>
  <c r="F12308" i="1"/>
  <c r="B12309" i="1"/>
  <c r="A12309" i="1"/>
  <c r="E12309" i="1"/>
  <c r="F12309" i="1"/>
  <c r="B12310" i="1"/>
  <c r="A12310" i="1"/>
  <c r="E12310" i="1"/>
  <c r="F12310" i="1"/>
  <c r="B12311" i="1"/>
  <c r="A12311" i="1"/>
  <c r="E12311" i="1"/>
  <c r="F12311" i="1"/>
  <c r="B12312" i="1"/>
  <c r="A12312" i="1"/>
  <c r="E12312" i="1"/>
  <c r="F12312" i="1"/>
  <c r="B12313" i="1"/>
  <c r="A12313" i="1"/>
  <c r="E12313" i="1"/>
  <c r="F12313" i="1"/>
  <c r="B12314" i="1"/>
  <c r="A12314" i="1"/>
  <c r="E12314" i="1"/>
  <c r="F12314" i="1"/>
  <c r="B12315" i="1"/>
  <c r="A12315" i="1"/>
  <c r="E12315" i="1"/>
  <c r="F12315" i="1"/>
  <c r="B12316" i="1"/>
  <c r="A12316" i="1"/>
  <c r="E12316" i="1"/>
  <c r="F12316" i="1"/>
  <c r="B12317" i="1"/>
  <c r="A12317" i="1"/>
  <c r="E12317" i="1"/>
  <c r="F12317" i="1"/>
  <c r="G12317" i="1"/>
  <c r="B12318" i="1"/>
  <c r="A12318" i="1"/>
  <c r="E12318" i="1"/>
  <c r="F12318" i="1"/>
  <c r="B12319" i="1"/>
  <c r="A12319" i="1"/>
  <c r="E12319" i="1"/>
  <c r="F12319" i="1"/>
  <c r="B12320" i="1"/>
  <c r="A12320" i="1"/>
  <c r="E12320" i="1"/>
  <c r="F12320" i="1"/>
  <c r="B12321" i="1"/>
  <c r="A12321" i="1"/>
  <c r="E12321" i="1"/>
  <c r="F12321" i="1"/>
  <c r="B12322" i="1"/>
  <c r="A12322" i="1"/>
  <c r="E12322" i="1"/>
  <c r="F12322" i="1"/>
  <c r="B12323" i="1"/>
  <c r="A12323" i="1"/>
  <c r="E12323" i="1"/>
  <c r="F12323" i="1"/>
  <c r="B12324" i="1"/>
  <c r="A12324" i="1"/>
  <c r="E12324" i="1"/>
  <c r="F12324" i="1"/>
  <c r="B12325" i="1"/>
  <c r="A12325" i="1"/>
  <c r="E12325" i="1"/>
  <c r="F12325" i="1"/>
  <c r="B12326" i="1"/>
  <c r="A12326" i="1"/>
  <c r="E12326" i="1"/>
  <c r="F12326" i="1"/>
  <c r="B12327" i="1"/>
  <c r="A12327" i="1"/>
  <c r="E12327" i="1"/>
  <c r="F12327" i="1"/>
  <c r="B12328" i="1"/>
  <c r="A12328" i="1"/>
  <c r="E12328" i="1"/>
  <c r="F12328" i="1"/>
  <c r="G12328" i="1"/>
  <c r="B12329" i="1"/>
  <c r="A12329" i="1"/>
  <c r="E12329" i="1"/>
  <c r="F12329" i="1"/>
  <c r="B12330" i="1"/>
  <c r="A12330" i="1"/>
  <c r="E12330" i="1"/>
  <c r="F12330" i="1"/>
  <c r="B12331" i="1"/>
  <c r="A12331" i="1"/>
  <c r="E12331" i="1"/>
  <c r="F12331" i="1"/>
  <c r="G12331" i="1"/>
  <c r="B12332" i="1"/>
  <c r="A12332" i="1"/>
  <c r="E12332" i="1"/>
  <c r="F12332" i="1"/>
  <c r="B12333" i="1"/>
  <c r="A12333" i="1"/>
  <c r="E12333" i="1"/>
  <c r="F12333" i="1"/>
  <c r="B12334" i="1"/>
  <c r="A12334" i="1"/>
  <c r="E12334" i="1"/>
  <c r="F12334" i="1"/>
  <c r="B12335" i="1"/>
  <c r="A12335" i="1"/>
  <c r="E12335" i="1"/>
  <c r="F12335" i="1"/>
  <c r="B12336" i="1"/>
  <c r="A12336" i="1"/>
  <c r="E12336" i="1"/>
  <c r="F12336" i="1"/>
  <c r="B12337" i="1"/>
  <c r="A12337" i="1"/>
  <c r="E12337" i="1"/>
  <c r="F12337" i="1"/>
  <c r="B12338" i="1"/>
  <c r="A12338" i="1"/>
  <c r="E12338" i="1"/>
  <c r="F12338" i="1"/>
  <c r="B12339" i="1"/>
  <c r="A12339" i="1"/>
  <c r="E12339" i="1"/>
  <c r="F12339" i="1"/>
  <c r="B12340" i="1"/>
  <c r="A12340" i="1"/>
  <c r="E12340" i="1"/>
  <c r="F12340" i="1"/>
  <c r="B12341" i="1"/>
  <c r="A12341" i="1"/>
  <c r="E12341" i="1"/>
  <c r="F12341" i="1"/>
  <c r="B12342" i="1"/>
  <c r="A12342" i="1"/>
  <c r="E12342" i="1"/>
  <c r="F12342" i="1"/>
  <c r="B12343" i="1"/>
  <c r="A12343" i="1"/>
  <c r="E12343" i="1"/>
  <c r="F12343" i="1"/>
  <c r="B12344" i="1"/>
  <c r="A12344" i="1"/>
  <c r="E12344" i="1"/>
  <c r="F12344" i="1"/>
  <c r="B12345" i="1"/>
  <c r="A12345" i="1"/>
  <c r="E12345" i="1"/>
  <c r="F12345" i="1"/>
  <c r="B12346" i="1"/>
  <c r="A12346" i="1"/>
  <c r="E12346" i="1"/>
  <c r="F12346" i="1"/>
  <c r="B12347" i="1"/>
  <c r="A12347" i="1"/>
  <c r="E12347" i="1"/>
  <c r="F12347" i="1"/>
  <c r="B12348" i="1"/>
  <c r="A12348" i="1"/>
  <c r="E12348" i="1"/>
  <c r="F12348" i="1"/>
  <c r="B12349" i="1"/>
  <c r="A12349" i="1"/>
  <c r="E12349" i="1"/>
  <c r="F12349" i="1"/>
  <c r="B12350" i="1"/>
  <c r="A12350" i="1"/>
  <c r="E12350" i="1"/>
  <c r="F12350" i="1"/>
  <c r="B12351" i="1"/>
  <c r="A12351" i="1"/>
  <c r="E12351" i="1"/>
  <c r="F12351" i="1"/>
  <c r="B12352" i="1"/>
  <c r="A12352" i="1"/>
  <c r="E12352" i="1"/>
  <c r="F12352" i="1"/>
  <c r="B12353" i="1"/>
  <c r="A12353" i="1"/>
  <c r="E12353" i="1"/>
  <c r="F12353" i="1"/>
  <c r="B12354" i="1"/>
  <c r="A12354" i="1"/>
  <c r="E12354" i="1"/>
  <c r="F12354" i="1"/>
  <c r="B12355" i="1"/>
  <c r="A12355" i="1"/>
  <c r="E12355" i="1"/>
  <c r="F12355" i="1"/>
  <c r="B12356" i="1"/>
  <c r="A12356" i="1"/>
  <c r="E12356" i="1"/>
  <c r="F12356" i="1"/>
  <c r="B12357" i="1"/>
  <c r="A12357" i="1"/>
  <c r="E12357" i="1"/>
  <c r="F12357" i="1"/>
  <c r="B12358" i="1"/>
  <c r="A12358" i="1"/>
  <c r="E12358" i="1"/>
  <c r="F12358" i="1"/>
  <c r="B12359" i="1"/>
  <c r="A12359" i="1"/>
  <c r="E12359" i="1"/>
  <c r="F12359" i="1"/>
  <c r="B12360" i="1"/>
  <c r="A12360" i="1"/>
  <c r="E12360" i="1"/>
  <c r="F12360" i="1"/>
  <c r="B12361" i="1"/>
  <c r="A12361" i="1"/>
  <c r="E12361" i="1"/>
  <c r="F12361" i="1"/>
  <c r="B12362" i="1"/>
  <c r="A12362" i="1"/>
  <c r="E12362" i="1"/>
  <c r="F12362" i="1"/>
  <c r="B12363" i="1"/>
  <c r="A12363" i="1"/>
  <c r="E12363" i="1"/>
  <c r="F12363" i="1"/>
  <c r="B12364" i="1"/>
  <c r="A12364" i="1"/>
  <c r="E12364" i="1"/>
  <c r="F12364" i="1"/>
  <c r="B12365" i="1"/>
  <c r="A12365" i="1"/>
  <c r="E12365" i="1"/>
  <c r="F12365" i="1"/>
  <c r="B12366" i="1"/>
  <c r="A12366" i="1"/>
  <c r="E12366" i="1"/>
  <c r="F12366" i="1"/>
  <c r="B12367" i="1"/>
  <c r="A12367" i="1"/>
  <c r="E12367" i="1"/>
  <c r="F12367" i="1"/>
  <c r="G12367" i="1"/>
  <c r="B12368" i="1"/>
  <c r="A12368" i="1"/>
  <c r="E12368" i="1"/>
  <c r="F12368" i="1"/>
  <c r="B12369" i="1"/>
  <c r="A12369" i="1"/>
  <c r="E12369" i="1"/>
  <c r="F12369" i="1"/>
  <c r="B12370" i="1"/>
  <c r="A12370" i="1"/>
  <c r="E12370" i="1"/>
  <c r="F12370" i="1"/>
  <c r="B12371" i="1"/>
  <c r="A12371" i="1"/>
  <c r="E12371" i="1"/>
  <c r="F12371" i="1"/>
  <c r="B12372" i="1"/>
  <c r="A12372" i="1"/>
  <c r="E12372" i="1"/>
  <c r="F12372" i="1"/>
  <c r="B12373" i="1"/>
  <c r="A12373" i="1"/>
  <c r="E12373" i="1"/>
  <c r="F12373" i="1"/>
  <c r="B12374" i="1"/>
  <c r="A12374" i="1"/>
  <c r="E12374" i="1"/>
  <c r="F12374" i="1"/>
  <c r="B12375" i="1"/>
  <c r="A12375" i="1"/>
  <c r="E12375" i="1"/>
  <c r="F12375" i="1"/>
  <c r="B12376" i="1"/>
  <c r="A12376" i="1"/>
  <c r="E12376" i="1"/>
  <c r="F12376" i="1"/>
  <c r="B12377" i="1"/>
  <c r="A12377" i="1"/>
  <c r="E12377" i="1"/>
  <c r="F12377" i="1"/>
  <c r="B12378" i="1"/>
  <c r="A12378" i="1"/>
  <c r="E12378" i="1"/>
  <c r="F12378" i="1"/>
  <c r="B12379" i="1"/>
  <c r="A12379" i="1"/>
  <c r="E12379" i="1"/>
  <c r="F12379" i="1"/>
  <c r="B12380" i="1"/>
  <c r="A12380" i="1"/>
  <c r="E12380" i="1"/>
  <c r="F12380" i="1"/>
  <c r="B12381" i="1"/>
  <c r="A12381" i="1"/>
  <c r="E12381" i="1"/>
  <c r="F12381" i="1"/>
  <c r="B12382" i="1"/>
  <c r="A12382" i="1"/>
  <c r="E12382" i="1"/>
  <c r="F12382" i="1"/>
  <c r="B12383" i="1"/>
  <c r="A12383" i="1"/>
  <c r="E12383" i="1"/>
  <c r="F12383" i="1"/>
  <c r="B12384" i="1"/>
  <c r="A12384" i="1"/>
  <c r="E12384" i="1"/>
  <c r="F12384" i="1"/>
  <c r="B12385" i="1"/>
  <c r="A12385" i="1"/>
  <c r="E12385" i="1"/>
  <c r="F12385" i="1"/>
  <c r="B12386" i="1"/>
  <c r="A12386" i="1"/>
  <c r="E12386" i="1"/>
  <c r="F12386" i="1"/>
  <c r="B12387" i="1"/>
  <c r="A12387" i="1"/>
  <c r="E12387" i="1"/>
  <c r="F12387" i="1"/>
  <c r="B12388" i="1"/>
  <c r="A12388" i="1"/>
  <c r="E12388" i="1"/>
  <c r="F12388" i="1"/>
  <c r="B12389" i="1"/>
  <c r="A12389" i="1"/>
  <c r="E12389" i="1"/>
  <c r="F12389" i="1"/>
  <c r="B12390" i="1"/>
  <c r="A12390" i="1"/>
  <c r="E12390" i="1"/>
  <c r="F12390" i="1"/>
  <c r="B12391" i="1"/>
  <c r="A12391" i="1"/>
  <c r="E12391" i="1"/>
  <c r="F12391" i="1"/>
  <c r="B12392" i="1"/>
  <c r="A12392" i="1"/>
  <c r="E12392" i="1"/>
  <c r="F12392" i="1"/>
  <c r="B12393" i="1"/>
  <c r="A12393" i="1"/>
  <c r="E12393" i="1"/>
  <c r="F12393" i="1"/>
  <c r="B12394" i="1"/>
  <c r="A12394" i="1"/>
  <c r="E12394" i="1"/>
  <c r="F12394" i="1"/>
  <c r="B12395" i="1"/>
  <c r="A12395" i="1"/>
  <c r="E12395" i="1"/>
  <c r="F12395" i="1"/>
  <c r="B12396" i="1"/>
  <c r="A12396" i="1"/>
  <c r="E12396" i="1"/>
  <c r="F12396" i="1"/>
  <c r="B12397" i="1"/>
  <c r="A12397" i="1"/>
  <c r="E12397" i="1"/>
  <c r="F12397" i="1"/>
  <c r="B12398" i="1"/>
  <c r="A12398" i="1"/>
  <c r="E12398" i="1"/>
  <c r="F12398" i="1"/>
  <c r="B12399" i="1"/>
  <c r="A12399" i="1"/>
  <c r="E12399" i="1"/>
  <c r="F12399" i="1"/>
  <c r="B12400" i="1"/>
  <c r="A12400" i="1"/>
  <c r="E12400" i="1"/>
  <c r="F12400" i="1"/>
  <c r="B12401" i="1"/>
  <c r="A12401" i="1"/>
  <c r="E12401" i="1"/>
  <c r="F12401" i="1"/>
  <c r="B12402" i="1"/>
  <c r="A12402" i="1"/>
  <c r="E12402" i="1"/>
  <c r="F12402" i="1"/>
  <c r="B12403" i="1"/>
  <c r="A12403" i="1"/>
  <c r="E12403" i="1"/>
  <c r="F12403" i="1"/>
  <c r="B12404" i="1"/>
  <c r="A12404" i="1"/>
  <c r="E12404" i="1"/>
  <c r="F12404" i="1"/>
  <c r="B12405" i="1"/>
  <c r="A12405" i="1"/>
  <c r="E12405" i="1"/>
  <c r="F12405" i="1"/>
  <c r="B12406" i="1"/>
  <c r="A12406" i="1"/>
  <c r="E12406" i="1"/>
  <c r="F12406" i="1"/>
  <c r="B12407" i="1"/>
  <c r="A12407" i="1"/>
  <c r="E12407" i="1"/>
  <c r="F12407" i="1"/>
  <c r="B12408" i="1"/>
  <c r="A12408" i="1"/>
  <c r="E12408" i="1"/>
  <c r="F12408" i="1"/>
  <c r="B12409" i="1"/>
  <c r="A12409" i="1"/>
  <c r="E12409" i="1"/>
  <c r="F12409" i="1"/>
  <c r="B12410" i="1"/>
  <c r="A12410" i="1"/>
  <c r="E12410" i="1"/>
  <c r="F12410" i="1"/>
  <c r="B12411" i="1"/>
  <c r="A12411" i="1"/>
  <c r="E12411" i="1"/>
  <c r="F12411" i="1"/>
  <c r="B12412" i="1"/>
  <c r="A12412" i="1"/>
  <c r="E12412" i="1"/>
  <c r="F12412" i="1"/>
  <c r="B12413" i="1"/>
  <c r="A12413" i="1"/>
  <c r="E12413" i="1"/>
  <c r="F12413" i="1"/>
  <c r="B12414" i="1"/>
  <c r="A12414" i="1"/>
  <c r="E12414" i="1"/>
  <c r="F12414" i="1"/>
  <c r="B12415" i="1"/>
  <c r="A12415" i="1"/>
  <c r="E12415" i="1"/>
  <c r="F12415" i="1"/>
  <c r="B12416" i="1"/>
  <c r="A12416" i="1"/>
  <c r="E12416" i="1"/>
  <c r="F12416" i="1"/>
  <c r="B12417" i="1"/>
  <c r="A12417" i="1"/>
  <c r="E12417" i="1"/>
  <c r="F12417" i="1"/>
  <c r="B12418" i="1"/>
  <c r="A12418" i="1"/>
  <c r="E12418" i="1"/>
  <c r="F12418" i="1"/>
  <c r="B12419" i="1"/>
  <c r="A12419" i="1"/>
  <c r="E12419" i="1"/>
  <c r="F12419" i="1"/>
  <c r="B12420" i="1"/>
  <c r="A12420" i="1"/>
  <c r="E12420" i="1"/>
  <c r="F12420" i="1"/>
  <c r="B12421" i="1"/>
  <c r="A12421" i="1"/>
  <c r="E12421" i="1"/>
  <c r="F12421" i="1"/>
  <c r="B12422" i="1"/>
  <c r="A12422" i="1"/>
  <c r="E12422" i="1"/>
  <c r="F12422" i="1"/>
  <c r="B12423" i="1"/>
  <c r="A12423" i="1"/>
  <c r="E12423" i="1"/>
  <c r="F12423" i="1"/>
  <c r="B12424" i="1"/>
  <c r="A12424" i="1"/>
  <c r="E12424" i="1"/>
  <c r="F12424" i="1"/>
  <c r="B12425" i="1"/>
  <c r="A12425" i="1"/>
  <c r="E12425" i="1"/>
  <c r="F12425" i="1"/>
  <c r="B12426" i="1"/>
  <c r="A12426" i="1"/>
  <c r="E12426" i="1"/>
  <c r="F12426" i="1"/>
  <c r="B12427" i="1"/>
  <c r="A12427" i="1"/>
  <c r="E12427" i="1"/>
  <c r="F12427" i="1"/>
  <c r="B12428" i="1"/>
  <c r="A12428" i="1"/>
  <c r="E12428" i="1"/>
  <c r="F12428" i="1"/>
  <c r="B12429" i="1"/>
  <c r="A12429" i="1"/>
  <c r="E12429" i="1"/>
  <c r="F12429" i="1"/>
  <c r="G12429" i="1"/>
  <c r="B12430" i="1"/>
  <c r="A12430" i="1"/>
  <c r="E12430" i="1"/>
  <c r="F12430" i="1"/>
  <c r="B12431" i="1"/>
  <c r="A12431" i="1"/>
  <c r="E12431" i="1"/>
  <c r="F12431" i="1"/>
  <c r="B12432" i="1"/>
  <c r="A12432" i="1"/>
  <c r="E12432" i="1"/>
  <c r="F12432" i="1"/>
  <c r="B12433" i="1"/>
  <c r="A12433" i="1"/>
  <c r="E12433" i="1"/>
  <c r="F12433" i="1"/>
  <c r="B12434" i="1"/>
  <c r="A12434" i="1"/>
  <c r="E12434" i="1"/>
  <c r="F12434" i="1"/>
  <c r="B12435" i="1"/>
  <c r="A12435" i="1"/>
  <c r="E12435" i="1"/>
  <c r="F12435" i="1"/>
  <c r="B12436" i="1"/>
  <c r="A12436" i="1"/>
  <c r="E12436" i="1"/>
  <c r="F12436" i="1"/>
  <c r="B12437" i="1"/>
  <c r="A12437" i="1"/>
  <c r="E12437" i="1"/>
  <c r="F12437" i="1"/>
  <c r="B12438" i="1"/>
  <c r="A12438" i="1"/>
  <c r="E12438" i="1"/>
  <c r="F12438" i="1"/>
  <c r="B12439" i="1"/>
  <c r="A12439" i="1"/>
  <c r="E12439" i="1"/>
  <c r="F12439" i="1"/>
  <c r="B12440" i="1"/>
  <c r="A12440" i="1"/>
  <c r="E12440" i="1"/>
  <c r="F12440" i="1"/>
  <c r="B12441" i="1"/>
  <c r="A12441" i="1"/>
  <c r="E12441" i="1"/>
  <c r="F12441" i="1"/>
  <c r="B12442" i="1"/>
  <c r="A12442" i="1"/>
  <c r="E12442" i="1"/>
  <c r="F12442" i="1"/>
  <c r="B12443" i="1"/>
  <c r="A12443" i="1"/>
  <c r="E12443" i="1"/>
  <c r="F12443" i="1"/>
  <c r="B12444" i="1"/>
  <c r="A12444" i="1"/>
  <c r="E12444" i="1"/>
  <c r="F12444" i="1"/>
  <c r="B12445" i="1"/>
  <c r="A12445" i="1"/>
  <c r="E12445" i="1"/>
  <c r="F12445" i="1"/>
  <c r="B12446" i="1"/>
  <c r="A12446" i="1"/>
  <c r="E12446" i="1"/>
  <c r="F12446" i="1"/>
  <c r="B12447" i="1"/>
  <c r="A12447" i="1"/>
  <c r="E12447" i="1"/>
  <c r="F12447" i="1"/>
  <c r="B12448" i="1"/>
  <c r="A12448" i="1"/>
  <c r="E12448" i="1"/>
  <c r="F12448" i="1"/>
  <c r="B12449" i="1"/>
  <c r="A12449" i="1"/>
  <c r="E12449" i="1"/>
  <c r="F12449" i="1"/>
  <c r="B12450" i="1"/>
  <c r="A12450" i="1"/>
  <c r="E12450" i="1"/>
  <c r="F12450" i="1"/>
  <c r="B12451" i="1"/>
  <c r="A12451" i="1"/>
  <c r="E12451" i="1"/>
  <c r="F12451" i="1"/>
  <c r="B12452" i="1"/>
  <c r="A12452" i="1"/>
  <c r="E12452" i="1"/>
  <c r="F12452" i="1"/>
  <c r="B12453" i="1"/>
  <c r="A12453" i="1"/>
  <c r="E12453" i="1"/>
  <c r="F12453" i="1"/>
  <c r="B12454" i="1"/>
  <c r="A12454" i="1"/>
  <c r="E12454" i="1"/>
  <c r="B12455" i="1"/>
  <c r="A12455" i="1"/>
  <c r="E12455" i="1"/>
  <c r="F12455" i="1"/>
  <c r="B12456" i="1"/>
  <c r="A12456" i="1"/>
  <c r="E12456" i="1"/>
  <c r="F12456" i="1"/>
  <c r="B12457" i="1"/>
  <c r="A12457" i="1"/>
  <c r="E12457" i="1"/>
  <c r="F12457" i="1"/>
  <c r="B12458" i="1"/>
  <c r="A12458" i="1"/>
  <c r="E12458" i="1"/>
  <c r="F12458" i="1"/>
  <c r="B12459" i="1"/>
  <c r="A12459" i="1"/>
  <c r="E12459" i="1"/>
  <c r="F12459" i="1"/>
  <c r="B12460" i="1"/>
  <c r="A12460" i="1"/>
  <c r="E12460" i="1"/>
  <c r="F12460" i="1"/>
  <c r="B12461" i="1"/>
  <c r="A12461" i="1"/>
  <c r="E12461" i="1"/>
  <c r="F12461" i="1"/>
  <c r="B12462" i="1"/>
  <c r="A12462" i="1"/>
  <c r="E12462" i="1"/>
  <c r="F12462" i="1"/>
  <c r="B12463" i="1"/>
  <c r="A12463" i="1"/>
  <c r="E12463" i="1"/>
  <c r="F12463" i="1"/>
  <c r="B12464" i="1"/>
  <c r="A12464" i="1"/>
  <c r="E12464" i="1"/>
  <c r="F12464" i="1"/>
  <c r="B12465" i="1"/>
  <c r="A12465" i="1"/>
  <c r="E12465" i="1"/>
  <c r="F12465" i="1"/>
  <c r="B12466" i="1"/>
  <c r="A12466" i="1"/>
  <c r="E12466" i="1"/>
  <c r="F12466" i="1"/>
  <c r="B12467" i="1"/>
  <c r="A12467" i="1"/>
  <c r="E12467" i="1"/>
  <c r="B12468" i="1"/>
  <c r="A12468" i="1"/>
  <c r="E12468" i="1"/>
  <c r="B12469" i="1"/>
  <c r="A12469" i="1"/>
  <c r="E12469" i="1"/>
  <c r="B12470" i="1"/>
  <c r="A12470" i="1"/>
  <c r="E12470" i="1"/>
  <c r="B12471" i="1"/>
  <c r="A12471" i="1"/>
  <c r="E12471" i="1"/>
  <c r="B12472" i="1"/>
  <c r="A12472" i="1"/>
  <c r="E12472" i="1"/>
  <c r="B12473" i="1"/>
  <c r="A12473" i="1"/>
  <c r="E12473" i="1"/>
  <c r="B12474" i="1"/>
  <c r="A12474" i="1"/>
  <c r="E12474" i="1"/>
  <c r="B12475" i="1"/>
  <c r="A12475" i="1"/>
  <c r="E12475" i="1"/>
  <c r="B12476" i="1"/>
  <c r="A12476" i="1"/>
  <c r="E12476" i="1"/>
  <c r="B12477" i="1"/>
  <c r="A12477" i="1"/>
  <c r="E12477" i="1"/>
  <c r="B12478" i="1"/>
  <c r="A12478" i="1"/>
  <c r="E12478" i="1"/>
  <c r="B12479" i="1"/>
  <c r="A12479" i="1"/>
  <c r="E12479" i="1"/>
  <c r="B12480" i="1"/>
  <c r="A12480" i="1"/>
  <c r="E12480" i="1"/>
  <c r="B12481" i="1"/>
  <c r="A12481" i="1"/>
  <c r="E12481" i="1"/>
  <c r="B12482" i="1"/>
  <c r="A12482" i="1"/>
  <c r="E12482" i="1"/>
  <c r="B12483" i="1"/>
  <c r="A12483" i="1"/>
  <c r="E12483" i="1"/>
  <c r="B12484" i="1"/>
  <c r="A12484" i="1"/>
  <c r="E12484" i="1"/>
  <c r="B12485" i="1"/>
  <c r="A12485" i="1"/>
  <c r="E12485" i="1"/>
  <c r="B12486" i="1"/>
  <c r="A12486" i="1"/>
  <c r="E12486" i="1"/>
  <c r="B12487" i="1"/>
  <c r="A12487" i="1"/>
  <c r="E12487" i="1"/>
  <c r="B12488" i="1"/>
  <c r="A12488" i="1"/>
  <c r="E12488" i="1"/>
  <c r="B12489" i="1"/>
  <c r="A12489" i="1"/>
  <c r="E12489" i="1"/>
  <c r="B12490" i="1"/>
  <c r="A12490" i="1"/>
  <c r="E12490" i="1"/>
  <c r="B12491" i="1"/>
  <c r="A12491" i="1"/>
  <c r="E12491" i="1"/>
  <c r="B12492" i="1"/>
  <c r="A12492" i="1"/>
  <c r="E12492" i="1"/>
  <c r="B12493" i="1"/>
  <c r="A12493" i="1"/>
  <c r="E12493" i="1"/>
  <c r="B12494" i="1"/>
  <c r="A12494" i="1"/>
  <c r="E12494" i="1"/>
  <c r="B12495" i="1"/>
  <c r="A12495" i="1"/>
  <c r="E12495" i="1"/>
  <c r="B12496" i="1"/>
  <c r="A12496" i="1"/>
  <c r="E12496" i="1"/>
  <c r="B12497" i="1"/>
  <c r="A12497" i="1"/>
  <c r="E12497" i="1"/>
  <c r="B12498" i="1"/>
  <c r="A12498" i="1"/>
  <c r="E12498" i="1"/>
  <c r="B12499" i="1"/>
  <c r="A12499" i="1"/>
  <c r="E12499" i="1"/>
  <c r="B12500" i="1"/>
  <c r="A12500" i="1"/>
  <c r="E12500" i="1"/>
  <c r="B12501" i="1"/>
  <c r="A12501" i="1"/>
  <c r="E12501" i="1"/>
  <c r="B12502" i="1"/>
  <c r="A12502" i="1"/>
  <c r="E12502" i="1"/>
  <c r="B12503" i="1"/>
  <c r="A12503" i="1"/>
  <c r="E12503" i="1"/>
  <c r="B12504" i="1"/>
  <c r="A12504" i="1"/>
  <c r="E12504" i="1"/>
  <c r="B12505" i="1"/>
  <c r="A12505" i="1"/>
  <c r="E12505" i="1"/>
  <c r="B12506" i="1"/>
  <c r="A12506" i="1"/>
  <c r="E12506" i="1"/>
  <c r="B12507" i="1"/>
  <c r="A12507" i="1"/>
  <c r="E12507" i="1"/>
  <c r="B12508" i="1"/>
  <c r="A12508" i="1"/>
  <c r="E12508" i="1"/>
  <c r="B12509" i="1"/>
  <c r="A12509" i="1"/>
  <c r="E12509" i="1"/>
  <c r="B12510" i="1"/>
  <c r="A12510" i="1"/>
  <c r="E12510" i="1"/>
  <c r="A12511" i="1"/>
  <c r="E12511" i="1"/>
  <c r="B12512" i="1"/>
  <c r="A12512" i="1"/>
  <c r="E12512" i="1"/>
  <c r="G12512" i="1"/>
  <c r="B12513" i="1"/>
  <c r="A12513" i="1"/>
  <c r="E12513" i="1"/>
  <c r="B12514" i="1"/>
  <c r="A12514" i="1"/>
  <c r="E12514" i="1"/>
  <c r="B12515" i="1"/>
  <c r="A12515" i="1"/>
  <c r="E12515" i="1"/>
  <c r="B12516" i="1"/>
  <c r="A12516" i="1"/>
  <c r="E12516" i="1"/>
  <c r="B12517" i="1"/>
  <c r="A12517" i="1"/>
  <c r="E12517" i="1"/>
  <c r="B12518" i="1"/>
  <c r="A12518" i="1"/>
  <c r="E12518" i="1"/>
  <c r="B12519" i="1"/>
  <c r="A12519" i="1"/>
  <c r="E12519" i="1"/>
  <c r="B12520" i="1"/>
  <c r="A12520" i="1"/>
  <c r="E12520" i="1"/>
  <c r="B12521" i="1"/>
  <c r="A12521" i="1"/>
  <c r="E12521" i="1"/>
  <c r="B12522" i="1"/>
  <c r="A12522" i="1"/>
  <c r="E12522" i="1"/>
  <c r="B12523" i="1"/>
  <c r="A12523" i="1"/>
  <c r="E12523" i="1"/>
  <c r="B12524" i="1"/>
  <c r="A12524" i="1"/>
  <c r="E12524" i="1"/>
  <c r="B12525" i="1"/>
  <c r="A12525" i="1"/>
  <c r="E12525" i="1"/>
  <c r="B12526" i="1"/>
  <c r="A12526" i="1"/>
  <c r="E12526" i="1"/>
  <c r="B12527" i="1"/>
  <c r="A12527" i="1"/>
  <c r="E12527" i="1"/>
  <c r="B12528" i="1"/>
  <c r="A12528" i="1"/>
  <c r="E12528" i="1"/>
  <c r="B12529" i="1"/>
  <c r="A12529" i="1"/>
  <c r="E12529" i="1"/>
  <c r="B12530" i="1"/>
  <c r="A12530" i="1"/>
  <c r="E12530" i="1"/>
  <c r="B12531" i="1"/>
  <c r="A12531" i="1"/>
  <c r="E12531" i="1"/>
  <c r="B12532" i="1"/>
  <c r="A12532" i="1"/>
  <c r="E12532" i="1"/>
  <c r="B12533" i="1"/>
  <c r="A12533" i="1"/>
  <c r="E12533" i="1"/>
  <c r="B12534" i="1"/>
  <c r="A12534" i="1"/>
  <c r="E12534" i="1"/>
  <c r="B12535" i="1"/>
  <c r="A12535" i="1"/>
  <c r="E12535" i="1"/>
  <c r="B12536" i="1"/>
  <c r="A12536" i="1"/>
  <c r="E12536" i="1"/>
  <c r="B12537" i="1"/>
  <c r="A12537" i="1"/>
  <c r="E12537" i="1"/>
  <c r="B12538" i="1"/>
  <c r="A12538" i="1"/>
  <c r="E12538" i="1"/>
  <c r="B12539" i="1"/>
  <c r="A12539" i="1"/>
  <c r="E12539" i="1"/>
  <c r="B12540" i="1"/>
  <c r="A12540" i="1"/>
  <c r="E12540" i="1"/>
  <c r="B12541" i="1"/>
  <c r="A12541" i="1"/>
  <c r="E12541" i="1"/>
  <c r="B12542" i="1"/>
  <c r="A12542" i="1"/>
  <c r="E12542" i="1"/>
  <c r="B12543" i="1"/>
  <c r="A12543" i="1"/>
  <c r="E12543" i="1"/>
  <c r="B12544" i="1"/>
  <c r="A12544" i="1"/>
  <c r="E12544" i="1"/>
  <c r="B12545" i="1"/>
  <c r="A12545" i="1"/>
  <c r="E12545" i="1"/>
  <c r="B12546" i="1"/>
  <c r="A12546" i="1"/>
  <c r="E12546" i="1"/>
  <c r="B12547" i="1"/>
  <c r="A12547" i="1"/>
  <c r="E12547" i="1"/>
  <c r="B12548" i="1"/>
  <c r="A12548" i="1"/>
  <c r="E12548" i="1"/>
  <c r="B12549" i="1"/>
  <c r="A12549" i="1"/>
  <c r="E12549" i="1"/>
  <c r="B12550" i="1"/>
  <c r="A12550" i="1"/>
  <c r="E12550" i="1"/>
  <c r="B12551" i="1"/>
  <c r="A12551" i="1"/>
  <c r="E12551" i="1"/>
  <c r="B12552" i="1"/>
  <c r="A12552" i="1"/>
  <c r="E12552" i="1"/>
  <c r="B12553" i="1"/>
  <c r="A12553" i="1"/>
  <c r="E12553" i="1"/>
  <c r="B12554" i="1"/>
  <c r="A12554" i="1"/>
  <c r="E12554" i="1"/>
  <c r="B12555" i="1"/>
  <c r="A12555" i="1"/>
  <c r="E12555" i="1"/>
  <c r="B12556" i="1"/>
  <c r="A12556" i="1"/>
  <c r="E12556" i="1"/>
  <c r="B12557" i="1"/>
  <c r="A12557" i="1"/>
  <c r="E12557" i="1"/>
  <c r="B12558" i="1"/>
  <c r="A12558" i="1"/>
  <c r="E12558" i="1"/>
  <c r="B12559" i="1"/>
  <c r="A12559" i="1"/>
  <c r="E12559" i="1"/>
  <c r="B12560" i="1"/>
  <c r="A12560" i="1"/>
  <c r="E12560" i="1"/>
  <c r="B12561" i="1"/>
  <c r="A12561" i="1"/>
  <c r="E12561" i="1"/>
  <c r="B12562" i="1"/>
  <c r="A12562" i="1"/>
  <c r="E12562" i="1"/>
  <c r="B12563" i="1"/>
  <c r="A12563" i="1"/>
  <c r="E12563" i="1"/>
  <c r="B12564" i="1"/>
  <c r="A12564" i="1"/>
  <c r="E12564" i="1"/>
  <c r="B12565" i="1"/>
  <c r="A12565" i="1"/>
  <c r="E12565" i="1"/>
  <c r="B12566" i="1"/>
  <c r="A12566" i="1"/>
  <c r="E12566" i="1"/>
  <c r="B12567" i="1"/>
  <c r="A12567" i="1"/>
  <c r="E12567" i="1"/>
  <c r="B12568" i="1"/>
  <c r="A12568" i="1"/>
  <c r="E12568" i="1"/>
  <c r="B12569" i="1"/>
  <c r="A12569" i="1"/>
  <c r="E12569" i="1"/>
  <c r="B12570" i="1"/>
  <c r="A12570" i="1"/>
  <c r="E12570" i="1"/>
  <c r="B12571" i="1"/>
  <c r="A12571" i="1"/>
  <c r="E12571" i="1"/>
  <c r="B12572" i="1"/>
  <c r="A12572" i="1"/>
  <c r="E12572" i="1"/>
  <c r="B12573" i="1"/>
  <c r="A12573" i="1"/>
  <c r="E12573" i="1"/>
  <c r="B12574" i="1"/>
  <c r="A12574" i="1"/>
  <c r="E12574" i="1"/>
  <c r="B12575" i="1"/>
  <c r="A12575" i="1"/>
  <c r="E12575" i="1"/>
  <c r="B12576" i="1"/>
  <c r="A12576" i="1"/>
  <c r="E12576" i="1"/>
  <c r="B12577" i="1"/>
  <c r="A12577" i="1"/>
  <c r="E12577" i="1"/>
  <c r="B12578" i="1"/>
  <c r="A12578" i="1"/>
  <c r="E12578" i="1"/>
  <c r="B12579" i="1"/>
  <c r="A12579" i="1"/>
  <c r="E12579" i="1"/>
  <c r="B12580" i="1"/>
  <c r="A12580" i="1"/>
  <c r="E12580" i="1"/>
  <c r="B12581" i="1"/>
  <c r="A12581" i="1"/>
  <c r="E12581" i="1"/>
  <c r="B12582" i="1"/>
  <c r="A12582" i="1"/>
  <c r="E12582" i="1"/>
  <c r="B12583" i="1"/>
  <c r="A12583" i="1"/>
  <c r="E12583" i="1"/>
  <c r="B12584" i="1"/>
  <c r="A12584" i="1"/>
  <c r="E12584" i="1"/>
  <c r="B12585" i="1"/>
  <c r="A12585" i="1"/>
  <c r="E12585" i="1"/>
  <c r="B12586" i="1"/>
  <c r="A12586" i="1"/>
  <c r="E12586" i="1"/>
  <c r="A12587" i="1"/>
  <c r="E12587" i="1"/>
  <c r="A12588" i="1"/>
  <c r="E12588" i="1"/>
  <c r="A12589" i="1"/>
  <c r="E12589" i="1"/>
  <c r="A12590" i="1"/>
  <c r="E12590" i="1"/>
  <c r="A12591" i="1"/>
  <c r="E12591" i="1"/>
  <c r="A12592" i="1"/>
  <c r="E12592" i="1"/>
  <c r="A12593" i="1"/>
  <c r="E12593" i="1"/>
  <c r="A12594" i="1"/>
  <c r="E12594" i="1"/>
  <c r="A12595" i="1"/>
  <c r="E12595" i="1"/>
  <c r="B12596" i="1"/>
  <c r="A12596" i="1"/>
  <c r="E12596" i="1"/>
  <c r="B12597" i="1"/>
  <c r="A12597" i="1"/>
  <c r="E12597" i="1"/>
  <c r="B12598" i="1"/>
  <c r="A12598" i="1"/>
  <c r="E12598" i="1"/>
  <c r="B12599" i="1"/>
  <c r="A12599" i="1"/>
  <c r="E12599" i="1"/>
  <c r="B12600" i="1"/>
  <c r="A12600" i="1"/>
  <c r="E12600" i="1"/>
  <c r="B12601" i="1"/>
  <c r="A12601" i="1"/>
  <c r="E12601" i="1"/>
  <c r="B12602" i="1"/>
  <c r="A12602" i="1"/>
  <c r="E12602" i="1"/>
  <c r="B12603" i="1"/>
  <c r="A12603" i="1"/>
  <c r="E12603" i="1"/>
  <c r="B12604" i="1"/>
  <c r="A12604" i="1"/>
  <c r="E12604" i="1"/>
  <c r="B12605" i="1"/>
  <c r="A12605" i="1"/>
  <c r="E12605" i="1"/>
  <c r="B12606" i="1"/>
  <c r="A12606" i="1"/>
  <c r="E12606" i="1"/>
  <c r="B12607" i="1"/>
  <c r="A12607" i="1"/>
  <c r="E12607" i="1"/>
  <c r="B12608" i="1"/>
  <c r="A12608" i="1"/>
  <c r="E12608" i="1"/>
  <c r="B12609" i="1"/>
  <c r="A12609" i="1"/>
  <c r="E12609" i="1"/>
  <c r="B12610" i="1"/>
  <c r="A12610" i="1"/>
  <c r="E12610" i="1"/>
  <c r="B12611" i="1"/>
  <c r="A12611" i="1"/>
  <c r="E12611" i="1"/>
  <c r="B12612" i="1"/>
  <c r="A12612" i="1"/>
  <c r="E12612" i="1"/>
  <c r="B12613" i="1"/>
  <c r="A12613" i="1"/>
  <c r="E12613" i="1"/>
  <c r="B12614" i="1"/>
  <c r="A12614" i="1"/>
  <c r="E12614" i="1"/>
  <c r="B12615" i="1"/>
  <c r="A12615" i="1"/>
  <c r="E12615" i="1"/>
  <c r="B12616" i="1"/>
  <c r="A12616" i="1"/>
  <c r="E12616" i="1"/>
  <c r="B12617" i="1"/>
  <c r="A12617" i="1"/>
  <c r="E12617" i="1"/>
  <c r="B12618" i="1"/>
  <c r="A12618" i="1"/>
  <c r="E12618" i="1"/>
  <c r="B12619" i="1"/>
  <c r="A12619" i="1"/>
  <c r="E12619" i="1"/>
  <c r="B12620" i="1"/>
  <c r="A12620" i="1"/>
  <c r="E12620" i="1"/>
  <c r="A12621" i="1"/>
  <c r="E12621" i="1"/>
  <c r="A12622" i="1"/>
  <c r="E12622" i="1"/>
  <c r="A12623" i="1"/>
  <c r="E12623" i="1"/>
  <c r="A12624" i="1"/>
  <c r="E12624" i="1"/>
  <c r="A12625" i="1"/>
  <c r="E12625" i="1"/>
  <c r="A12626" i="1"/>
  <c r="E12626" i="1"/>
  <c r="A12627" i="1"/>
  <c r="E12627" i="1"/>
  <c r="A12628" i="1"/>
  <c r="E12628" i="1"/>
  <c r="A12629" i="1"/>
  <c r="E12629" i="1"/>
  <c r="A12630" i="1"/>
  <c r="E12630" i="1"/>
  <c r="A12631" i="1"/>
  <c r="E12631" i="1"/>
  <c r="A12632" i="1"/>
  <c r="E12632" i="1"/>
  <c r="A12633" i="1"/>
  <c r="E12633" i="1"/>
  <c r="A12634" i="1"/>
  <c r="E12634" i="1"/>
  <c r="A12635" i="1"/>
  <c r="E12635" i="1"/>
  <c r="A12636" i="1"/>
  <c r="E12636" i="1"/>
  <c r="A12637" i="1"/>
  <c r="E12637" i="1"/>
  <c r="A12638" i="1"/>
  <c r="E12638" i="1"/>
  <c r="A12639" i="1"/>
  <c r="E12639" i="1"/>
  <c r="A12640" i="1"/>
  <c r="E12640" i="1"/>
  <c r="A12641" i="1"/>
  <c r="E12641" i="1"/>
  <c r="B12642" i="1"/>
  <c r="A12642" i="1"/>
  <c r="E12642" i="1"/>
  <c r="B12643" i="1"/>
  <c r="A12643" i="1"/>
  <c r="E12643" i="1"/>
  <c r="B12644" i="1"/>
  <c r="A12644" i="1"/>
  <c r="E12644" i="1"/>
  <c r="B12645" i="1"/>
  <c r="A12645" i="1"/>
  <c r="E12645" i="1"/>
  <c r="B12646" i="1"/>
  <c r="A12646" i="1"/>
  <c r="E12646" i="1"/>
  <c r="B12647" i="1"/>
  <c r="A12647" i="1"/>
  <c r="E12647" i="1"/>
  <c r="B12648" i="1"/>
  <c r="A12648" i="1"/>
  <c r="E12648" i="1"/>
  <c r="B12649" i="1"/>
  <c r="A12649" i="1"/>
  <c r="E12649" i="1"/>
  <c r="B12650" i="1"/>
  <c r="A12650" i="1"/>
  <c r="E12650" i="1"/>
  <c r="B12651" i="1"/>
  <c r="A12651" i="1"/>
  <c r="E12651" i="1"/>
  <c r="B12652" i="1"/>
  <c r="A12652" i="1"/>
  <c r="E12652" i="1"/>
  <c r="B12653" i="1"/>
  <c r="A12653" i="1"/>
  <c r="E12653" i="1"/>
  <c r="B12654" i="1"/>
  <c r="A12654" i="1"/>
  <c r="E12654" i="1"/>
  <c r="B12655" i="1"/>
  <c r="A12655" i="1"/>
  <c r="E12655" i="1"/>
  <c r="B12656" i="1"/>
  <c r="A12656" i="1"/>
  <c r="E12656" i="1"/>
  <c r="B12657" i="1"/>
  <c r="A12657" i="1"/>
  <c r="E12657" i="1"/>
  <c r="B12658" i="1"/>
  <c r="A12658" i="1"/>
  <c r="E12658" i="1"/>
  <c r="B12659" i="1"/>
  <c r="A12659" i="1"/>
  <c r="E12659" i="1"/>
  <c r="B12660" i="1"/>
  <c r="A12660" i="1"/>
  <c r="E12660" i="1"/>
  <c r="B12661" i="1"/>
  <c r="A12661" i="1"/>
  <c r="E12661" i="1"/>
  <c r="B12662" i="1"/>
  <c r="A12662" i="1"/>
  <c r="E12662" i="1"/>
  <c r="B12663" i="1"/>
  <c r="A12663" i="1"/>
  <c r="E12663" i="1"/>
  <c r="B12664" i="1"/>
  <c r="A12664" i="1"/>
  <c r="E12664" i="1"/>
  <c r="B12665" i="1"/>
  <c r="A12665" i="1"/>
  <c r="E12665" i="1"/>
  <c r="B12666" i="1"/>
  <c r="A12666" i="1"/>
  <c r="E12666" i="1"/>
  <c r="B12667" i="1"/>
  <c r="A12667" i="1"/>
  <c r="E12667" i="1"/>
  <c r="B12668" i="1"/>
  <c r="A12668" i="1"/>
  <c r="E12668" i="1"/>
  <c r="B12669" i="1"/>
  <c r="A12669" i="1"/>
  <c r="E12669" i="1"/>
  <c r="B12670" i="1"/>
  <c r="A12670" i="1"/>
  <c r="E12670" i="1"/>
  <c r="B12671" i="1"/>
  <c r="A12671" i="1"/>
  <c r="E12671" i="1"/>
  <c r="B12672" i="1"/>
  <c r="A12672" i="1"/>
  <c r="E12672" i="1"/>
  <c r="B12673" i="1"/>
  <c r="A12673" i="1"/>
  <c r="E12673" i="1"/>
  <c r="B12674" i="1"/>
  <c r="A12674" i="1"/>
  <c r="E12674" i="1"/>
  <c r="B12675" i="1"/>
  <c r="A12675" i="1"/>
  <c r="E12675" i="1"/>
  <c r="B12676" i="1"/>
  <c r="A12676" i="1"/>
  <c r="E12676" i="1"/>
  <c r="B12677" i="1"/>
  <c r="A12677" i="1"/>
  <c r="E12677" i="1"/>
  <c r="B12678" i="1"/>
  <c r="A12678" i="1"/>
  <c r="E12678" i="1"/>
  <c r="B12679" i="1"/>
  <c r="A12679" i="1"/>
  <c r="E12679" i="1"/>
  <c r="B12680" i="1"/>
  <c r="A12680" i="1"/>
  <c r="E12680" i="1"/>
  <c r="B12681" i="1"/>
  <c r="A12681" i="1"/>
  <c r="E12681" i="1"/>
  <c r="B12682" i="1"/>
  <c r="A12682" i="1"/>
  <c r="E12682" i="1"/>
  <c r="B12683" i="1"/>
  <c r="A12683" i="1"/>
  <c r="E12683" i="1"/>
  <c r="B12684" i="1"/>
  <c r="A12684" i="1"/>
  <c r="E12684" i="1"/>
  <c r="B12685" i="1"/>
  <c r="A12685" i="1"/>
  <c r="E12685" i="1"/>
  <c r="B12686" i="1"/>
  <c r="A12686" i="1"/>
  <c r="E12686" i="1"/>
  <c r="B12687" i="1"/>
  <c r="A12687" i="1"/>
  <c r="E12687" i="1"/>
  <c r="B12688" i="1"/>
  <c r="A12688" i="1"/>
  <c r="E12688" i="1"/>
  <c r="B12689" i="1"/>
  <c r="A12689" i="1"/>
  <c r="E12689" i="1"/>
  <c r="B12690" i="1"/>
  <c r="A12690" i="1"/>
  <c r="E12690" i="1"/>
  <c r="B12691" i="1"/>
  <c r="A12691" i="1"/>
  <c r="E12691" i="1"/>
  <c r="B12692" i="1"/>
  <c r="A12692" i="1"/>
  <c r="E12692" i="1"/>
  <c r="B12693" i="1"/>
  <c r="A12693" i="1"/>
  <c r="E12693" i="1"/>
  <c r="B12694" i="1"/>
  <c r="A12694" i="1"/>
  <c r="E12694" i="1"/>
  <c r="B12695" i="1"/>
  <c r="A12695" i="1"/>
  <c r="E12695" i="1"/>
  <c r="B12696" i="1"/>
  <c r="A12696" i="1"/>
  <c r="E12696" i="1"/>
  <c r="B12697" i="1"/>
  <c r="A12697" i="1"/>
  <c r="E12697" i="1"/>
  <c r="B12698" i="1"/>
  <c r="A12698" i="1"/>
  <c r="E12698" i="1"/>
  <c r="B12699" i="1"/>
  <c r="A12699" i="1"/>
  <c r="E12699" i="1"/>
  <c r="B12700" i="1"/>
  <c r="A12700" i="1"/>
  <c r="E12700" i="1"/>
  <c r="B12701" i="1"/>
  <c r="A12701" i="1"/>
  <c r="E12701" i="1"/>
  <c r="A12702" i="1"/>
  <c r="E12702" i="1"/>
  <c r="A12703" i="1"/>
  <c r="E12703" i="1"/>
  <c r="A12704" i="1"/>
  <c r="E12704" i="1"/>
  <c r="A12705" i="1"/>
  <c r="E12705" i="1"/>
  <c r="A12706" i="1"/>
  <c r="E12706" i="1"/>
  <c r="A12707" i="1"/>
  <c r="E12707" i="1"/>
  <c r="A12708" i="1"/>
  <c r="E12708" i="1"/>
  <c r="A12709" i="1"/>
  <c r="E12709" i="1"/>
  <c r="A12710" i="1"/>
  <c r="E12710" i="1"/>
  <c r="A12711" i="1"/>
  <c r="E12711" i="1"/>
  <c r="A12712" i="1"/>
  <c r="E12712" i="1"/>
  <c r="A12713" i="1"/>
  <c r="E12713" i="1"/>
  <c r="A12714" i="1"/>
  <c r="E12714" i="1"/>
  <c r="A12715" i="1"/>
  <c r="E12715" i="1"/>
  <c r="B12716" i="1"/>
  <c r="A12716" i="1"/>
  <c r="E12716" i="1"/>
  <c r="B12717" i="1"/>
  <c r="A12717" i="1"/>
  <c r="E12717" i="1"/>
  <c r="B12718" i="1"/>
  <c r="A12718" i="1"/>
  <c r="E12718" i="1"/>
  <c r="B12719" i="1"/>
  <c r="A12719" i="1"/>
  <c r="E12719" i="1"/>
  <c r="B12720" i="1"/>
  <c r="A12720" i="1"/>
  <c r="E12720" i="1"/>
  <c r="B12721" i="1"/>
  <c r="A12721" i="1"/>
  <c r="E12721" i="1"/>
  <c r="B12722" i="1"/>
  <c r="A12722" i="1"/>
  <c r="E12722" i="1"/>
  <c r="B12723" i="1"/>
  <c r="A12723" i="1"/>
  <c r="E12723" i="1"/>
  <c r="B12724" i="1"/>
  <c r="A12724" i="1"/>
  <c r="E12724" i="1"/>
  <c r="B12725" i="1"/>
  <c r="A12725" i="1"/>
  <c r="E12725" i="1"/>
  <c r="B12726" i="1"/>
  <c r="A12726" i="1"/>
  <c r="E12726" i="1"/>
  <c r="B12727" i="1"/>
  <c r="A12727" i="1"/>
  <c r="E12727" i="1"/>
  <c r="B12728" i="1"/>
  <c r="A12728" i="1"/>
  <c r="E12728" i="1"/>
  <c r="B12729" i="1"/>
  <c r="A12729" i="1"/>
  <c r="E12729" i="1"/>
  <c r="B12730" i="1"/>
  <c r="A12730" i="1"/>
  <c r="E12730" i="1"/>
  <c r="B12731" i="1"/>
  <c r="A12731" i="1"/>
  <c r="E12731" i="1"/>
  <c r="B12732" i="1"/>
  <c r="A12732" i="1"/>
  <c r="E12732" i="1"/>
  <c r="B12733" i="1"/>
  <c r="A12733" i="1"/>
  <c r="E12733" i="1"/>
  <c r="B12734" i="1"/>
  <c r="A12734" i="1"/>
  <c r="E12734" i="1"/>
  <c r="B12735" i="1"/>
  <c r="A12735" i="1"/>
  <c r="E12735" i="1"/>
  <c r="B12736" i="1"/>
  <c r="A12736" i="1"/>
  <c r="E12736" i="1"/>
  <c r="B12737" i="1"/>
  <c r="A12737" i="1"/>
  <c r="E12737" i="1"/>
  <c r="B12738" i="1"/>
  <c r="A12738" i="1"/>
  <c r="E12738" i="1"/>
  <c r="B12739" i="1"/>
  <c r="A12739" i="1"/>
  <c r="E12739" i="1"/>
  <c r="B12740" i="1"/>
  <c r="A12740" i="1"/>
  <c r="E12740" i="1"/>
  <c r="B12741" i="1"/>
  <c r="A12741" i="1"/>
  <c r="E12741" i="1"/>
  <c r="B12742" i="1"/>
  <c r="A12742" i="1"/>
  <c r="E12742" i="1"/>
  <c r="B12743" i="1"/>
  <c r="A12743" i="1"/>
  <c r="E12743" i="1"/>
  <c r="B12744" i="1"/>
  <c r="A12744" i="1"/>
  <c r="E12744" i="1"/>
  <c r="B12745" i="1"/>
  <c r="A12745" i="1"/>
  <c r="E12745" i="1"/>
  <c r="A12746" i="1"/>
  <c r="E12746" i="1"/>
  <c r="A12747" i="1"/>
  <c r="E12747" i="1"/>
  <c r="A12748" i="1"/>
  <c r="E12748" i="1"/>
  <c r="A12749" i="1"/>
  <c r="E12749" i="1"/>
  <c r="A12750" i="1"/>
  <c r="E12750" i="1"/>
  <c r="A12751" i="1"/>
  <c r="E12751" i="1"/>
  <c r="A12752" i="1"/>
  <c r="E12752" i="1"/>
  <c r="A12753" i="1"/>
  <c r="E12753" i="1"/>
  <c r="A12754" i="1"/>
  <c r="E12754" i="1"/>
  <c r="A12755" i="1"/>
  <c r="E12755" i="1"/>
  <c r="A12756" i="1"/>
  <c r="E12756" i="1"/>
  <c r="A12757" i="1"/>
  <c r="E12757" i="1"/>
  <c r="A12758" i="1"/>
  <c r="E12758" i="1"/>
  <c r="A12759" i="1"/>
  <c r="E12759" i="1"/>
  <c r="A12760" i="1"/>
  <c r="E12760" i="1"/>
  <c r="A12761" i="1"/>
  <c r="E12761" i="1"/>
  <c r="A12762" i="1"/>
  <c r="E12762" i="1"/>
  <c r="A12763" i="1"/>
  <c r="E12763" i="1"/>
  <c r="A12764" i="1"/>
  <c r="E12764" i="1"/>
  <c r="A12765" i="1"/>
  <c r="E12765" i="1"/>
  <c r="A12766" i="1"/>
  <c r="E12766" i="1"/>
  <c r="A12767" i="1"/>
  <c r="E12767" i="1"/>
  <c r="A12768" i="1"/>
  <c r="E12768" i="1"/>
  <c r="A12769" i="1"/>
  <c r="E12769" i="1"/>
  <c r="A12770" i="1"/>
  <c r="E12770" i="1"/>
  <c r="A12771" i="1"/>
  <c r="E12771" i="1"/>
  <c r="B12772" i="1"/>
  <c r="A12772" i="1"/>
  <c r="E12772" i="1"/>
  <c r="B12773" i="1"/>
  <c r="A12773" i="1"/>
  <c r="E12773" i="1"/>
  <c r="B12774" i="1"/>
  <c r="A12774" i="1"/>
  <c r="E12774" i="1"/>
  <c r="B12775" i="1"/>
  <c r="A12775" i="1"/>
  <c r="E12775" i="1"/>
  <c r="B12776" i="1"/>
  <c r="A12776" i="1"/>
  <c r="E12776" i="1"/>
  <c r="G12776" i="1"/>
  <c r="B12777" i="1"/>
  <c r="A12777" i="1"/>
  <c r="E12777" i="1"/>
  <c r="G12777" i="1"/>
  <c r="B12778" i="1"/>
  <c r="A12778" i="1"/>
  <c r="E12778" i="1"/>
  <c r="B12779" i="1"/>
  <c r="A12779" i="1"/>
  <c r="E12779" i="1"/>
  <c r="B12780" i="1"/>
  <c r="A12780" i="1"/>
  <c r="E12780" i="1"/>
  <c r="B12781" i="1"/>
  <c r="A12781" i="1"/>
  <c r="E12781" i="1"/>
  <c r="B12782" i="1"/>
  <c r="A12782" i="1"/>
  <c r="E12782" i="1"/>
  <c r="B12783" i="1"/>
  <c r="A12783" i="1"/>
  <c r="E12783" i="1"/>
  <c r="B12784" i="1"/>
  <c r="A12784" i="1"/>
  <c r="E12784" i="1"/>
  <c r="B12785" i="1"/>
  <c r="A12785" i="1"/>
  <c r="E12785" i="1"/>
  <c r="B12786" i="1"/>
  <c r="A12786" i="1"/>
  <c r="E12786" i="1"/>
  <c r="B12787" i="1"/>
  <c r="A12787" i="1"/>
  <c r="E12787" i="1"/>
  <c r="B12788" i="1"/>
  <c r="A12788" i="1"/>
  <c r="E12788" i="1"/>
  <c r="B12789" i="1"/>
  <c r="A12789" i="1"/>
  <c r="E12789" i="1"/>
  <c r="B12790" i="1"/>
  <c r="A12790" i="1"/>
  <c r="E12790" i="1"/>
  <c r="B12791" i="1"/>
  <c r="A12791" i="1"/>
  <c r="E12791" i="1"/>
  <c r="B12792" i="1"/>
  <c r="A12792" i="1"/>
  <c r="E12792" i="1"/>
  <c r="B12793" i="1"/>
  <c r="A12793" i="1"/>
  <c r="E12793" i="1"/>
  <c r="B12794" i="1"/>
  <c r="A12794" i="1"/>
  <c r="E12794" i="1"/>
  <c r="B12795" i="1"/>
  <c r="A12795" i="1"/>
  <c r="E12795" i="1"/>
  <c r="B12796" i="1"/>
  <c r="A12796" i="1"/>
  <c r="E12796" i="1"/>
  <c r="B12797" i="1"/>
  <c r="A12797" i="1"/>
  <c r="E12797" i="1"/>
  <c r="B12798" i="1"/>
  <c r="A12798" i="1"/>
  <c r="E12798" i="1"/>
  <c r="B12799" i="1"/>
  <c r="A12799" i="1"/>
  <c r="E12799" i="1"/>
  <c r="B12800" i="1"/>
  <c r="A12800" i="1"/>
  <c r="E12800" i="1"/>
  <c r="B12801" i="1"/>
  <c r="A12801" i="1"/>
  <c r="E12801" i="1"/>
  <c r="B12802" i="1"/>
  <c r="A12802" i="1"/>
  <c r="E12802" i="1"/>
  <c r="B12803" i="1"/>
  <c r="A12803" i="1"/>
  <c r="E12803" i="1"/>
  <c r="B12804" i="1"/>
  <c r="A12804" i="1"/>
  <c r="E12804" i="1"/>
  <c r="B12805" i="1"/>
  <c r="A12805" i="1"/>
  <c r="E12805" i="1"/>
  <c r="B12806" i="1"/>
  <c r="A12806" i="1"/>
  <c r="E12806" i="1"/>
  <c r="B12807" i="1"/>
  <c r="A12807" i="1"/>
  <c r="E12807" i="1"/>
  <c r="B12808" i="1"/>
  <c r="A12808" i="1"/>
  <c r="E12808" i="1"/>
  <c r="B12809" i="1"/>
  <c r="A12809" i="1"/>
  <c r="E12809" i="1"/>
  <c r="B12810" i="1"/>
  <c r="A12810" i="1"/>
  <c r="E12810" i="1"/>
  <c r="B12811" i="1"/>
  <c r="A12811" i="1"/>
  <c r="E12811" i="1"/>
  <c r="B12812" i="1"/>
  <c r="A12812" i="1"/>
  <c r="E12812" i="1"/>
  <c r="B12813" i="1"/>
  <c r="A12813" i="1"/>
  <c r="E12813" i="1"/>
  <c r="B12814" i="1"/>
  <c r="A12814" i="1"/>
  <c r="E12814" i="1"/>
  <c r="B12815" i="1"/>
  <c r="A12815" i="1"/>
  <c r="E12815" i="1"/>
  <c r="B12816" i="1"/>
  <c r="A12816" i="1"/>
  <c r="E12816" i="1"/>
  <c r="B12817" i="1"/>
  <c r="A12817" i="1"/>
  <c r="E12817" i="1"/>
  <c r="B12818" i="1"/>
  <c r="A12818" i="1"/>
  <c r="E12818" i="1"/>
  <c r="B12819" i="1"/>
  <c r="A12819" i="1"/>
  <c r="E12819" i="1"/>
  <c r="B12820" i="1"/>
  <c r="A12820" i="1"/>
  <c r="E12820" i="1"/>
  <c r="B12821" i="1"/>
  <c r="A12821" i="1"/>
  <c r="E12821" i="1"/>
  <c r="B12822" i="1"/>
  <c r="A12822" i="1"/>
  <c r="E12822" i="1"/>
  <c r="B12823" i="1"/>
  <c r="A12823" i="1"/>
  <c r="E12823" i="1"/>
  <c r="B12824" i="1"/>
  <c r="A12824" i="1"/>
  <c r="E12824" i="1"/>
  <c r="B12825" i="1"/>
  <c r="A12825" i="1"/>
  <c r="E12825" i="1"/>
  <c r="B12826" i="1"/>
  <c r="A12826" i="1"/>
  <c r="E12826" i="1"/>
  <c r="B12827" i="1"/>
  <c r="A12827" i="1"/>
  <c r="E12827" i="1"/>
  <c r="B12828" i="1"/>
  <c r="A12828" i="1"/>
  <c r="E12828" i="1"/>
  <c r="B12829" i="1"/>
  <c r="A12829" i="1"/>
  <c r="E12829" i="1"/>
  <c r="B12830" i="1"/>
  <c r="A12830" i="1"/>
  <c r="E12830" i="1"/>
  <c r="B12831" i="1"/>
  <c r="A12831" i="1"/>
  <c r="E12831" i="1"/>
  <c r="B12832" i="1"/>
  <c r="A12832" i="1"/>
  <c r="E12832" i="1"/>
  <c r="B12833" i="1"/>
  <c r="A12833" i="1"/>
  <c r="E12833" i="1"/>
  <c r="B12834" i="1"/>
  <c r="A12834" i="1"/>
  <c r="E12834" i="1"/>
  <c r="B12835" i="1"/>
  <c r="A12835" i="1"/>
  <c r="E12835" i="1"/>
  <c r="B12836" i="1"/>
  <c r="A12836" i="1"/>
  <c r="E12836" i="1"/>
  <c r="B12837" i="1"/>
  <c r="A12837" i="1"/>
  <c r="E12837" i="1"/>
  <c r="B12838" i="1"/>
  <c r="A12838" i="1"/>
  <c r="E12838" i="1"/>
  <c r="B12839" i="1"/>
  <c r="A12839" i="1"/>
  <c r="E12839" i="1"/>
  <c r="B12840" i="1"/>
  <c r="A12840" i="1"/>
  <c r="E12840" i="1"/>
  <c r="B12841" i="1"/>
  <c r="A12841" i="1"/>
  <c r="E12841" i="1"/>
  <c r="B12842" i="1"/>
  <c r="A12842" i="1"/>
  <c r="E12842" i="1"/>
  <c r="B12843" i="1"/>
  <c r="A12843" i="1"/>
  <c r="E12843" i="1"/>
  <c r="B12844" i="1"/>
  <c r="A12844" i="1"/>
  <c r="E12844" i="1"/>
  <c r="B12845" i="1"/>
  <c r="A12845" i="1"/>
  <c r="E12845" i="1"/>
  <c r="B12846" i="1"/>
  <c r="A12846" i="1"/>
  <c r="E12846" i="1"/>
  <c r="B12847" i="1"/>
  <c r="A12847" i="1"/>
  <c r="E12847" i="1"/>
  <c r="B12848" i="1"/>
  <c r="A12848" i="1"/>
  <c r="E12848" i="1"/>
  <c r="B12849" i="1"/>
  <c r="A12849" i="1"/>
  <c r="E12849" i="1"/>
  <c r="B12850" i="1"/>
  <c r="A12850" i="1"/>
  <c r="E12850" i="1"/>
  <c r="B12851" i="1"/>
  <c r="A12851" i="1"/>
  <c r="E12851" i="1"/>
  <c r="B12852" i="1"/>
  <c r="A12852" i="1"/>
  <c r="E12852" i="1"/>
  <c r="B12853" i="1"/>
  <c r="A12853" i="1"/>
  <c r="E12853" i="1"/>
  <c r="B12854" i="1"/>
  <c r="A12854" i="1"/>
  <c r="E12854" i="1"/>
  <c r="B12855" i="1"/>
  <c r="A12855" i="1"/>
  <c r="E12855" i="1"/>
  <c r="B12856" i="1"/>
  <c r="A12856" i="1"/>
  <c r="E12856" i="1"/>
  <c r="B12857" i="1"/>
  <c r="A12857" i="1"/>
  <c r="E12857" i="1"/>
  <c r="B12858" i="1"/>
  <c r="A12858" i="1"/>
  <c r="E12858" i="1"/>
  <c r="B12859" i="1"/>
  <c r="A12859" i="1"/>
  <c r="E12859" i="1"/>
  <c r="B12860" i="1"/>
  <c r="A12860" i="1"/>
  <c r="E12860" i="1"/>
  <c r="B12861" i="1"/>
  <c r="A12861" i="1"/>
  <c r="E12861" i="1"/>
  <c r="B12862" i="1"/>
  <c r="A12862" i="1"/>
  <c r="E12862" i="1"/>
  <c r="B12863" i="1"/>
  <c r="A12863" i="1"/>
  <c r="E12863" i="1"/>
  <c r="B12864" i="1"/>
  <c r="A12864" i="1"/>
  <c r="E12864" i="1"/>
  <c r="B12865" i="1"/>
  <c r="A12865" i="1"/>
  <c r="E12865" i="1"/>
  <c r="B12866" i="1"/>
  <c r="A12866" i="1"/>
  <c r="E12866" i="1"/>
  <c r="B12867" i="1"/>
  <c r="A12867" i="1"/>
  <c r="E12867" i="1"/>
  <c r="B12868" i="1"/>
  <c r="A12868" i="1"/>
  <c r="E12868" i="1"/>
  <c r="B12869" i="1"/>
  <c r="A12869" i="1"/>
  <c r="E12869" i="1"/>
  <c r="F12869" i="1"/>
  <c r="G12869" i="1"/>
  <c r="B12870" i="1"/>
  <c r="A12870" i="1"/>
  <c r="E12870" i="1"/>
  <c r="F12870" i="1"/>
  <c r="B12871" i="1"/>
  <c r="A12871" i="1"/>
  <c r="E12871" i="1"/>
  <c r="F12871" i="1"/>
  <c r="G12871" i="1"/>
  <c r="B12872" i="1"/>
  <c r="A12872" i="1"/>
  <c r="E12872" i="1"/>
  <c r="F12872" i="1"/>
  <c r="G12872" i="1"/>
  <c r="B12873" i="1"/>
  <c r="A12873" i="1"/>
  <c r="E12873" i="1"/>
  <c r="F12873" i="1"/>
  <c r="G12873" i="1"/>
  <c r="B12874" i="1"/>
  <c r="A12874" i="1"/>
  <c r="E12874" i="1"/>
  <c r="F12874" i="1"/>
  <c r="B12875" i="1"/>
  <c r="A12875" i="1"/>
  <c r="E12875" i="1"/>
  <c r="F12875" i="1"/>
  <c r="B12876" i="1"/>
  <c r="A12876" i="1"/>
  <c r="E12876" i="1"/>
  <c r="F12876" i="1"/>
  <c r="B12877" i="1"/>
  <c r="A12877" i="1"/>
  <c r="E12877" i="1"/>
  <c r="F12877" i="1"/>
  <c r="B12878" i="1"/>
  <c r="A12878" i="1"/>
  <c r="E12878" i="1"/>
  <c r="F12878" i="1"/>
  <c r="B12879" i="1"/>
  <c r="A12879" i="1"/>
  <c r="E12879" i="1"/>
  <c r="F12879" i="1"/>
  <c r="B12880" i="1"/>
  <c r="A12880" i="1"/>
  <c r="E12880" i="1"/>
  <c r="F12880" i="1"/>
  <c r="G12880" i="1"/>
  <c r="B12881" i="1"/>
  <c r="A12881" i="1"/>
  <c r="E12881" i="1"/>
  <c r="F12881" i="1"/>
  <c r="B12882" i="1"/>
  <c r="A12882" i="1"/>
  <c r="E12882" i="1"/>
  <c r="F12882" i="1"/>
  <c r="B12883" i="1"/>
  <c r="A12883" i="1"/>
  <c r="E12883" i="1"/>
  <c r="F12883" i="1"/>
  <c r="B12884" i="1"/>
  <c r="A12884" i="1"/>
  <c r="E12884" i="1"/>
  <c r="F12884" i="1"/>
  <c r="B12885" i="1"/>
  <c r="A12885" i="1"/>
  <c r="E12885" i="1"/>
  <c r="F12885" i="1"/>
  <c r="B12886" i="1"/>
  <c r="A12886" i="1"/>
  <c r="E12886" i="1"/>
  <c r="F12886" i="1"/>
  <c r="B12887" i="1"/>
  <c r="A12887" i="1"/>
  <c r="E12887" i="1"/>
  <c r="F12887" i="1"/>
  <c r="B12888" i="1"/>
  <c r="A12888" i="1"/>
  <c r="E12888" i="1"/>
  <c r="F12888" i="1"/>
  <c r="B12889" i="1"/>
  <c r="A12889" i="1"/>
  <c r="E12889" i="1"/>
  <c r="F12889" i="1"/>
  <c r="B12890" i="1"/>
  <c r="A12890" i="1"/>
  <c r="E12890" i="1"/>
  <c r="F12890" i="1"/>
  <c r="B12891" i="1"/>
  <c r="A12891" i="1"/>
  <c r="E12891" i="1"/>
  <c r="F12891" i="1"/>
  <c r="B12892" i="1"/>
  <c r="A12892" i="1"/>
  <c r="E12892" i="1"/>
  <c r="F12892" i="1"/>
  <c r="B12893" i="1"/>
  <c r="A12893" i="1"/>
  <c r="E12893" i="1"/>
  <c r="F12893" i="1"/>
  <c r="B12894" i="1"/>
  <c r="A12894" i="1"/>
  <c r="E12894" i="1"/>
  <c r="F12894" i="1"/>
  <c r="B12895" i="1"/>
  <c r="A12895" i="1"/>
  <c r="E12895" i="1"/>
  <c r="F12895" i="1"/>
  <c r="B12896" i="1"/>
  <c r="A12896" i="1"/>
  <c r="E12896" i="1"/>
  <c r="F12896" i="1"/>
  <c r="B12897" i="1"/>
  <c r="A12897" i="1"/>
  <c r="E12897" i="1"/>
  <c r="F12897" i="1"/>
  <c r="B12898" i="1"/>
  <c r="A12898" i="1"/>
  <c r="E12898" i="1"/>
  <c r="F12898" i="1"/>
  <c r="B12899" i="1"/>
  <c r="A12899" i="1"/>
  <c r="E12899" i="1"/>
  <c r="F12899" i="1"/>
  <c r="B12900" i="1"/>
  <c r="A12900" i="1"/>
  <c r="E12900" i="1"/>
  <c r="F12900" i="1"/>
  <c r="B12901" i="1"/>
  <c r="A12901" i="1"/>
  <c r="E12901" i="1"/>
  <c r="F12901" i="1"/>
  <c r="B12902" i="1"/>
  <c r="A12902" i="1"/>
  <c r="E12902" i="1"/>
  <c r="F12902" i="1"/>
  <c r="B12903" i="1"/>
  <c r="A12903" i="1"/>
  <c r="E12903" i="1"/>
  <c r="F12903" i="1"/>
  <c r="B12904" i="1"/>
  <c r="A12904" i="1"/>
  <c r="E12904" i="1"/>
  <c r="F12904" i="1"/>
  <c r="B12905" i="1"/>
  <c r="A12905" i="1"/>
  <c r="E12905" i="1"/>
  <c r="F12905" i="1"/>
  <c r="B12906" i="1"/>
  <c r="A12906" i="1"/>
  <c r="E12906" i="1"/>
  <c r="F12906" i="1"/>
  <c r="B12907" i="1"/>
  <c r="A12907" i="1"/>
  <c r="E12907" i="1"/>
  <c r="F12907" i="1"/>
  <c r="B12908" i="1"/>
  <c r="A12908" i="1"/>
  <c r="E12908" i="1"/>
  <c r="F12908" i="1"/>
  <c r="B12909" i="1"/>
  <c r="A12909" i="1"/>
  <c r="E12909" i="1"/>
  <c r="F12909" i="1"/>
  <c r="G12909" i="1"/>
  <c r="B12910" i="1"/>
  <c r="A12910" i="1"/>
  <c r="E12910" i="1"/>
  <c r="F12910" i="1"/>
  <c r="B12911" i="1"/>
  <c r="A12911" i="1"/>
  <c r="E12911" i="1"/>
  <c r="F12911" i="1"/>
  <c r="B12912" i="1"/>
  <c r="A12912" i="1"/>
  <c r="E12912" i="1"/>
  <c r="F12912" i="1"/>
  <c r="B12913" i="1"/>
  <c r="A12913" i="1"/>
  <c r="E12913" i="1"/>
  <c r="F12913" i="1"/>
  <c r="B12914" i="1"/>
  <c r="A12914" i="1"/>
  <c r="E12914" i="1"/>
  <c r="F12914" i="1"/>
  <c r="B12915" i="1"/>
  <c r="A12915" i="1"/>
  <c r="E12915" i="1"/>
  <c r="F12915" i="1"/>
  <c r="B12916" i="1"/>
  <c r="A12916" i="1"/>
  <c r="E12916" i="1"/>
  <c r="F12916" i="1"/>
  <c r="B12917" i="1"/>
  <c r="A12917" i="1"/>
  <c r="E12917" i="1"/>
  <c r="F12917" i="1"/>
  <c r="B12918" i="1"/>
  <c r="A12918" i="1"/>
  <c r="E12918" i="1"/>
  <c r="F12918" i="1"/>
  <c r="B12919" i="1"/>
  <c r="A12919" i="1"/>
  <c r="E12919" i="1"/>
  <c r="F12919" i="1"/>
  <c r="B12920" i="1"/>
  <c r="A12920" i="1"/>
  <c r="E12920" i="1"/>
  <c r="F12920" i="1"/>
  <c r="B12921" i="1"/>
  <c r="A12921" i="1"/>
  <c r="E12921" i="1"/>
  <c r="F12921" i="1"/>
  <c r="B12922" i="1"/>
  <c r="A12922" i="1"/>
  <c r="E12922" i="1"/>
  <c r="F12922" i="1"/>
  <c r="B12923" i="1"/>
  <c r="A12923" i="1"/>
  <c r="E12923" i="1"/>
  <c r="F12923" i="1"/>
  <c r="B12924" i="1"/>
  <c r="A12924" i="1"/>
  <c r="E12924" i="1"/>
  <c r="F12924" i="1"/>
  <c r="B12925" i="1"/>
  <c r="A12925" i="1"/>
  <c r="E12925" i="1"/>
  <c r="F12925" i="1"/>
  <c r="B12926" i="1"/>
  <c r="A12926" i="1"/>
  <c r="E12926" i="1"/>
  <c r="F12926" i="1"/>
  <c r="B12927" i="1"/>
  <c r="A12927" i="1"/>
  <c r="E12927" i="1"/>
  <c r="F12927" i="1"/>
  <c r="B12928" i="1"/>
  <c r="A12928" i="1"/>
  <c r="E12928" i="1"/>
  <c r="F12928" i="1"/>
  <c r="B12929" i="1"/>
  <c r="A12929" i="1"/>
  <c r="E12929" i="1"/>
  <c r="F12929" i="1"/>
  <c r="B12930" i="1"/>
  <c r="A12930" i="1"/>
  <c r="E12930" i="1"/>
  <c r="F12930" i="1"/>
  <c r="B12931" i="1"/>
  <c r="A12931" i="1"/>
  <c r="E12931" i="1"/>
  <c r="F12931" i="1"/>
  <c r="B12932" i="1"/>
  <c r="A12932" i="1"/>
  <c r="E12932" i="1"/>
  <c r="F12932" i="1"/>
  <c r="B12933" i="1"/>
  <c r="A12933" i="1"/>
  <c r="E12933" i="1"/>
  <c r="F12933" i="1"/>
  <c r="B12934" i="1"/>
  <c r="A12934" i="1"/>
  <c r="E12934" i="1"/>
  <c r="F12934" i="1"/>
  <c r="B12935" i="1"/>
  <c r="A12935" i="1"/>
  <c r="E12935" i="1"/>
  <c r="F12935" i="1"/>
  <c r="B12936" i="1"/>
  <c r="A12936" i="1"/>
  <c r="E12936" i="1"/>
  <c r="F12936" i="1"/>
  <c r="B12937" i="1"/>
  <c r="A12937" i="1"/>
  <c r="E12937" i="1"/>
  <c r="F12937" i="1"/>
  <c r="G12937" i="1"/>
  <c r="B12938" i="1"/>
  <c r="A12938" i="1"/>
  <c r="E12938" i="1"/>
  <c r="F12938" i="1"/>
  <c r="G12938" i="1"/>
  <c r="B12939" i="1"/>
  <c r="A12939" i="1"/>
  <c r="E12939" i="1"/>
  <c r="F12939" i="1"/>
  <c r="B12940" i="1"/>
  <c r="A12940" i="1"/>
  <c r="E12940" i="1"/>
  <c r="F12940" i="1"/>
  <c r="B12941" i="1"/>
  <c r="A12941" i="1"/>
  <c r="E12941" i="1"/>
  <c r="F12941" i="1"/>
  <c r="B12942" i="1"/>
  <c r="A12942" i="1"/>
  <c r="E12942" i="1"/>
  <c r="F12942" i="1"/>
  <c r="B12943" i="1"/>
  <c r="A12943" i="1"/>
  <c r="E12943" i="1"/>
  <c r="F12943" i="1"/>
  <c r="B12944" i="1"/>
  <c r="A12944" i="1"/>
  <c r="E12944" i="1"/>
  <c r="F12944" i="1"/>
  <c r="B12945" i="1"/>
  <c r="A12945" i="1"/>
  <c r="E12945" i="1"/>
  <c r="F12945" i="1"/>
  <c r="B12946" i="1"/>
  <c r="A12946" i="1"/>
  <c r="E12946" i="1"/>
  <c r="F12946" i="1"/>
  <c r="B12947" i="1"/>
  <c r="A12947" i="1"/>
  <c r="E12947" i="1"/>
  <c r="F12947" i="1"/>
  <c r="B12948" i="1"/>
  <c r="A12948" i="1"/>
  <c r="E12948" i="1"/>
  <c r="F12948" i="1"/>
  <c r="B12949" i="1"/>
  <c r="A12949" i="1"/>
  <c r="E12949" i="1"/>
  <c r="F12949" i="1"/>
  <c r="B12950" i="1"/>
  <c r="A12950" i="1"/>
  <c r="E12950" i="1"/>
  <c r="F12950" i="1"/>
  <c r="B12951" i="1"/>
  <c r="A12951" i="1"/>
  <c r="E12951" i="1"/>
  <c r="F12951" i="1"/>
  <c r="G12951" i="1"/>
  <c r="B12952" i="1"/>
  <c r="A12952" i="1"/>
  <c r="E12952" i="1"/>
  <c r="F12952" i="1"/>
  <c r="G12952" i="1"/>
  <c r="B12953" i="1"/>
  <c r="A12953" i="1"/>
  <c r="E12953" i="1"/>
  <c r="F12953" i="1"/>
  <c r="B12954" i="1"/>
  <c r="A12954" i="1"/>
  <c r="E12954" i="1"/>
  <c r="F12954" i="1"/>
  <c r="B12955" i="1"/>
  <c r="A12955" i="1"/>
  <c r="E12955" i="1"/>
  <c r="F12955" i="1"/>
  <c r="B12956" i="1"/>
  <c r="A12956" i="1"/>
  <c r="E12956" i="1"/>
  <c r="F12956" i="1"/>
  <c r="B12957" i="1"/>
  <c r="A12957" i="1"/>
  <c r="E12957" i="1"/>
  <c r="F12957" i="1"/>
  <c r="G12957" i="1"/>
  <c r="B12958" i="1"/>
  <c r="A12958" i="1"/>
  <c r="E12958" i="1"/>
  <c r="F12958" i="1"/>
  <c r="B12959" i="1"/>
  <c r="A12959" i="1"/>
  <c r="E12959" i="1"/>
  <c r="F12959" i="1"/>
  <c r="G12959" i="1"/>
  <c r="B12960" i="1"/>
  <c r="A12960" i="1"/>
  <c r="E12960" i="1"/>
  <c r="F12960" i="1"/>
  <c r="B12961" i="1"/>
  <c r="A12961" i="1"/>
  <c r="E12961" i="1"/>
  <c r="F12961" i="1"/>
  <c r="B12962" i="1"/>
  <c r="A12962" i="1"/>
  <c r="E12962" i="1"/>
  <c r="F12962" i="1"/>
  <c r="B12963" i="1"/>
  <c r="A12963" i="1"/>
  <c r="E12963" i="1"/>
  <c r="F12963" i="1"/>
  <c r="B12964" i="1"/>
  <c r="A12964" i="1"/>
  <c r="E12964" i="1"/>
  <c r="F12964" i="1"/>
  <c r="B12965" i="1"/>
  <c r="A12965" i="1"/>
  <c r="E12965" i="1"/>
  <c r="F12965" i="1"/>
  <c r="B12966" i="1"/>
  <c r="A12966" i="1"/>
  <c r="E12966" i="1"/>
  <c r="F12966" i="1"/>
  <c r="G12966" i="1"/>
  <c r="B12967" i="1"/>
  <c r="A12967" i="1"/>
  <c r="E12967" i="1"/>
  <c r="F12967" i="1"/>
  <c r="B12968" i="1"/>
  <c r="A12968" i="1"/>
  <c r="E12968" i="1"/>
  <c r="F12968" i="1"/>
  <c r="G12968" i="1"/>
  <c r="B12969" i="1"/>
  <c r="A12969" i="1"/>
  <c r="E12969" i="1"/>
  <c r="F12969" i="1"/>
  <c r="B12970" i="1"/>
  <c r="A12970" i="1"/>
  <c r="E12970" i="1"/>
  <c r="F12970" i="1"/>
  <c r="G12970" i="1"/>
  <c r="B12971" i="1"/>
  <c r="A12971" i="1"/>
  <c r="E12971" i="1"/>
  <c r="F12971" i="1"/>
  <c r="B12972" i="1"/>
  <c r="A12972" i="1"/>
  <c r="E12972" i="1"/>
  <c r="F12972" i="1"/>
  <c r="B12973" i="1"/>
  <c r="A12973" i="1"/>
  <c r="E12973" i="1"/>
  <c r="F12973" i="1"/>
  <c r="B12974" i="1"/>
  <c r="A12974" i="1"/>
  <c r="E12974" i="1"/>
  <c r="F12974" i="1"/>
  <c r="B12975" i="1"/>
  <c r="A12975" i="1"/>
  <c r="E12975" i="1"/>
  <c r="F12975" i="1"/>
  <c r="B12976" i="1"/>
  <c r="A12976" i="1"/>
  <c r="E12976" i="1"/>
  <c r="F12976" i="1"/>
  <c r="B12977" i="1"/>
  <c r="A12977" i="1"/>
  <c r="E12977" i="1"/>
  <c r="B12978" i="1"/>
  <c r="A12978" i="1"/>
  <c r="E12978" i="1"/>
  <c r="G12978" i="1"/>
  <c r="B12979" i="1"/>
  <c r="A12979" i="1"/>
  <c r="E12979" i="1"/>
  <c r="F12979" i="1"/>
  <c r="G12979" i="1"/>
  <c r="B12980" i="1"/>
  <c r="A12980" i="1"/>
  <c r="E12980" i="1"/>
  <c r="B12981" i="1"/>
  <c r="A12981" i="1"/>
  <c r="E12981" i="1"/>
  <c r="B12982" i="1"/>
  <c r="A12982" i="1"/>
  <c r="E12982" i="1"/>
  <c r="B12983" i="1"/>
  <c r="A12983" i="1"/>
  <c r="E12983" i="1"/>
  <c r="B12984" i="1"/>
  <c r="A12984" i="1"/>
  <c r="E12984" i="1"/>
  <c r="B12985" i="1"/>
  <c r="A12985" i="1"/>
  <c r="E12985" i="1"/>
  <c r="B12986" i="1"/>
  <c r="A12986" i="1"/>
  <c r="E12986" i="1"/>
  <c r="B12987" i="1"/>
  <c r="A12987" i="1"/>
  <c r="E12987" i="1"/>
  <c r="B12988" i="1"/>
  <c r="A12988" i="1"/>
  <c r="E12988" i="1"/>
  <c r="B12989" i="1"/>
  <c r="A12989" i="1"/>
  <c r="E12989" i="1"/>
  <c r="B12990" i="1"/>
  <c r="A12990" i="1"/>
  <c r="E12990" i="1"/>
  <c r="B12991" i="1"/>
  <c r="A12991" i="1"/>
  <c r="E12991" i="1"/>
  <c r="B12992" i="1"/>
  <c r="A12992" i="1"/>
  <c r="E12992" i="1"/>
  <c r="B12993" i="1"/>
  <c r="A12993" i="1"/>
  <c r="E12993" i="1"/>
  <c r="B12994" i="1"/>
  <c r="A12994" i="1"/>
  <c r="E12994" i="1"/>
  <c r="B12995" i="1"/>
  <c r="A12995" i="1"/>
  <c r="E12995" i="1"/>
  <c r="B12996" i="1"/>
  <c r="A12996" i="1"/>
  <c r="E12996" i="1"/>
  <c r="B12997" i="1"/>
  <c r="A12997" i="1"/>
  <c r="E12997" i="1"/>
  <c r="B12998" i="1"/>
  <c r="A12998" i="1"/>
  <c r="E12998" i="1"/>
  <c r="B12999" i="1"/>
  <c r="A12999" i="1"/>
  <c r="E12999" i="1"/>
  <c r="B13000" i="1"/>
  <c r="A13000" i="1"/>
  <c r="E13000" i="1"/>
  <c r="B13001" i="1"/>
  <c r="A13001" i="1"/>
  <c r="E13001" i="1"/>
  <c r="B13002" i="1"/>
  <c r="A13002" i="1"/>
  <c r="E13002" i="1"/>
  <c r="B13003" i="1"/>
  <c r="A13003" i="1"/>
  <c r="E13003" i="1"/>
  <c r="B13004" i="1"/>
  <c r="A13004" i="1"/>
  <c r="E13004" i="1"/>
  <c r="B13005" i="1"/>
  <c r="A13005" i="1"/>
  <c r="E13005" i="1"/>
  <c r="B13006" i="1"/>
  <c r="A13006" i="1"/>
  <c r="E13006" i="1"/>
  <c r="B13007" i="1"/>
  <c r="A13007" i="1"/>
  <c r="E13007" i="1"/>
  <c r="B13008" i="1"/>
  <c r="A13008" i="1"/>
  <c r="E13008" i="1"/>
  <c r="B13009" i="1"/>
  <c r="A13009" i="1"/>
  <c r="E13009" i="1"/>
  <c r="B13010" i="1"/>
  <c r="A13010" i="1"/>
  <c r="E13010" i="1"/>
  <c r="B13011" i="1"/>
  <c r="A13011" i="1"/>
  <c r="E13011" i="1"/>
  <c r="B13012" i="1"/>
  <c r="A13012" i="1"/>
  <c r="E13012" i="1"/>
  <c r="B13013" i="1"/>
  <c r="A13013" i="1"/>
  <c r="E13013" i="1"/>
  <c r="B13014" i="1"/>
  <c r="A13014" i="1"/>
  <c r="E13014" i="1"/>
  <c r="B13015" i="1"/>
  <c r="A13015" i="1"/>
  <c r="E13015" i="1"/>
  <c r="B13016" i="1"/>
  <c r="A13016" i="1"/>
  <c r="E13016" i="1"/>
  <c r="B13017" i="1"/>
  <c r="A13017" i="1"/>
  <c r="E13017" i="1"/>
  <c r="A13018" i="1"/>
  <c r="E13018" i="1"/>
  <c r="A13019" i="1"/>
  <c r="E13019" i="1"/>
  <c r="A13020" i="1"/>
  <c r="E13020" i="1"/>
  <c r="A13021" i="1"/>
  <c r="E13021" i="1"/>
  <c r="A13022" i="1"/>
  <c r="E13022" i="1"/>
  <c r="B13023" i="1"/>
  <c r="A13023" i="1"/>
  <c r="E13023" i="1"/>
  <c r="B13024" i="1"/>
  <c r="A13024" i="1"/>
  <c r="E13024" i="1"/>
  <c r="B13025" i="1"/>
  <c r="A13025" i="1"/>
  <c r="E13025" i="1"/>
  <c r="B13026" i="1"/>
  <c r="A13026" i="1"/>
  <c r="E13026" i="1"/>
  <c r="B13027" i="1"/>
  <c r="A13027" i="1"/>
  <c r="E13027" i="1"/>
  <c r="B13028" i="1"/>
  <c r="A13028" i="1"/>
  <c r="E13028" i="1"/>
  <c r="B13029" i="1"/>
  <c r="A13029" i="1"/>
  <c r="E13029" i="1"/>
  <c r="B13030" i="1"/>
  <c r="A13030" i="1"/>
  <c r="E13030" i="1"/>
  <c r="B13031" i="1"/>
  <c r="A13031" i="1"/>
  <c r="E13031" i="1"/>
  <c r="B13032" i="1"/>
  <c r="A13032" i="1"/>
  <c r="E13032" i="1"/>
  <c r="B13033" i="1"/>
  <c r="A13033" i="1"/>
  <c r="E13033" i="1"/>
  <c r="B13034" i="1"/>
  <c r="A13034" i="1"/>
  <c r="E13034" i="1"/>
  <c r="B13035" i="1"/>
  <c r="A13035" i="1"/>
  <c r="E13035" i="1"/>
  <c r="B13036" i="1"/>
  <c r="A13036" i="1"/>
  <c r="E13036" i="1"/>
  <c r="B13037" i="1"/>
  <c r="A13037" i="1"/>
  <c r="E13037" i="1"/>
  <c r="B13038" i="1"/>
  <c r="A13038" i="1"/>
  <c r="E13038" i="1"/>
  <c r="B13039" i="1"/>
  <c r="A13039" i="1"/>
  <c r="E13039" i="1"/>
  <c r="B13040" i="1"/>
  <c r="A13040" i="1"/>
  <c r="E13040" i="1"/>
  <c r="A13041" i="1"/>
  <c r="E13041" i="1"/>
  <c r="B13042" i="1"/>
  <c r="A13042" i="1"/>
  <c r="E13042" i="1"/>
  <c r="B13043" i="1"/>
  <c r="A13043" i="1"/>
  <c r="E13043" i="1"/>
  <c r="B13044" i="1"/>
  <c r="A13044" i="1"/>
  <c r="E13044" i="1"/>
  <c r="B13045" i="1"/>
  <c r="A13045" i="1"/>
  <c r="E13045" i="1"/>
  <c r="B13046" i="1"/>
  <c r="A13046" i="1"/>
  <c r="E13046" i="1"/>
  <c r="B13047" i="1"/>
  <c r="A13047" i="1"/>
  <c r="E13047" i="1"/>
  <c r="B13048" i="1"/>
  <c r="A13048" i="1"/>
  <c r="E13048" i="1"/>
  <c r="B13049" i="1"/>
  <c r="A13049" i="1"/>
  <c r="E13049" i="1"/>
  <c r="B13050" i="1"/>
  <c r="A13050" i="1"/>
  <c r="E13050" i="1"/>
  <c r="B13051" i="1"/>
  <c r="A13051" i="1"/>
  <c r="E13051" i="1"/>
  <c r="B13052" i="1"/>
  <c r="A13052" i="1"/>
  <c r="E13052" i="1"/>
  <c r="B13053" i="1"/>
  <c r="A13053" i="1"/>
  <c r="E13053" i="1"/>
  <c r="B13054" i="1"/>
  <c r="A13054" i="1"/>
  <c r="E13054" i="1"/>
  <c r="B13055" i="1"/>
  <c r="A13055" i="1"/>
  <c r="E13055" i="1"/>
  <c r="B13056" i="1"/>
  <c r="A13056" i="1"/>
  <c r="E13056" i="1"/>
  <c r="B13057" i="1"/>
  <c r="A13057" i="1"/>
  <c r="E13057" i="1"/>
  <c r="B13058" i="1"/>
  <c r="A13058" i="1"/>
  <c r="E13058" i="1"/>
  <c r="B13059" i="1"/>
  <c r="A13059" i="1"/>
  <c r="E13059" i="1"/>
  <c r="B13060" i="1"/>
  <c r="A13060" i="1"/>
  <c r="E13060" i="1"/>
  <c r="B13061" i="1"/>
  <c r="A13061" i="1"/>
  <c r="E13061" i="1"/>
  <c r="B13062" i="1"/>
  <c r="A13062" i="1"/>
  <c r="E13062" i="1"/>
  <c r="A13063" i="1"/>
  <c r="E13063" i="1"/>
  <c r="A13064" i="1"/>
  <c r="E13064" i="1"/>
  <c r="A13065" i="1"/>
  <c r="E13065" i="1"/>
  <c r="A13066" i="1"/>
  <c r="E13066" i="1"/>
  <c r="A13067" i="1"/>
  <c r="E13067" i="1"/>
  <c r="A13068" i="1"/>
  <c r="E13068" i="1"/>
  <c r="A13069" i="1"/>
  <c r="E13069" i="1"/>
  <c r="B13070" i="1"/>
  <c r="A13070" i="1"/>
  <c r="E13070" i="1"/>
  <c r="B13071" i="1"/>
  <c r="A13071" i="1"/>
  <c r="E13071" i="1"/>
  <c r="B13072" i="1"/>
  <c r="A13072" i="1"/>
  <c r="E13072" i="1"/>
  <c r="B13073" i="1"/>
  <c r="A13073" i="1"/>
  <c r="E13073" i="1"/>
  <c r="B13074" i="1"/>
  <c r="A13074" i="1"/>
  <c r="E13074" i="1"/>
  <c r="B13075" i="1"/>
  <c r="A13075" i="1"/>
  <c r="E13075" i="1"/>
  <c r="B13076" i="1"/>
  <c r="A13076" i="1"/>
  <c r="E13076" i="1"/>
  <c r="B13077" i="1"/>
  <c r="A13077" i="1"/>
  <c r="E13077" i="1"/>
  <c r="B13078" i="1"/>
  <c r="A13078" i="1"/>
  <c r="E13078" i="1"/>
  <c r="B13079" i="1"/>
  <c r="A13079" i="1"/>
  <c r="E13079" i="1"/>
  <c r="B13080" i="1"/>
  <c r="A13080" i="1"/>
  <c r="E13080" i="1"/>
  <c r="B13081" i="1"/>
  <c r="A13081" i="1"/>
  <c r="E13081" i="1"/>
  <c r="B13082" i="1"/>
  <c r="A13082" i="1"/>
  <c r="E13082" i="1"/>
  <c r="B13083" i="1"/>
  <c r="A13083" i="1"/>
  <c r="E13083" i="1"/>
  <c r="B13084" i="1"/>
  <c r="A13084" i="1"/>
  <c r="E13084" i="1"/>
  <c r="B13085" i="1"/>
  <c r="A13085" i="1"/>
  <c r="E13085" i="1"/>
  <c r="B13086" i="1"/>
  <c r="A13086" i="1"/>
  <c r="E13086" i="1"/>
  <c r="B13087" i="1"/>
  <c r="A13087" i="1"/>
  <c r="E13087" i="1"/>
  <c r="B13088" i="1"/>
  <c r="A13088" i="1"/>
  <c r="E13088" i="1"/>
  <c r="B13089" i="1"/>
  <c r="A13089" i="1"/>
  <c r="E13089" i="1"/>
  <c r="B13090" i="1"/>
  <c r="A13090" i="1"/>
  <c r="E13090" i="1"/>
  <c r="B13091" i="1"/>
  <c r="A13091" i="1"/>
  <c r="E13091" i="1"/>
  <c r="B13092" i="1"/>
  <c r="A13092" i="1"/>
  <c r="E13092" i="1"/>
  <c r="B13093" i="1"/>
  <c r="A13093" i="1"/>
  <c r="E13093" i="1"/>
  <c r="B13094" i="1"/>
  <c r="A13094" i="1"/>
  <c r="E13094" i="1"/>
  <c r="B13095" i="1"/>
  <c r="A13095" i="1"/>
  <c r="E13095" i="1"/>
  <c r="B13096" i="1"/>
  <c r="A13096" i="1"/>
  <c r="E13096" i="1"/>
  <c r="B13097" i="1"/>
  <c r="A13097" i="1"/>
  <c r="E13097" i="1"/>
  <c r="B13098" i="1"/>
  <c r="A13098" i="1"/>
  <c r="E13098" i="1"/>
  <c r="B13099" i="1"/>
  <c r="A13099" i="1"/>
  <c r="E13099" i="1"/>
  <c r="B13100" i="1"/>
  <c r="A13100" i="1"/>
  <c r="E13100" i="1"/>
  <c r="B13101" i="1"/>
  <c r="A13101" i="1"/>
  <c r="E13101" i="1"/>
  <c r="B13102" i="1"/>
  <c r="A13102" i="1"/>
  <c r="E13102" i="1"/>
  <c r="B13103" i="1"/>
  <c r="A13103" i="1"/>
  <c r="E13103" i="1"/>
  <c r="B13104" i="1"/>
  <c r="A13104" i="1"/>
  <c r="E13104" i="1"/>
  <c r="B13105" i="1"/>
  <c r="A13105" i="1"/>
  <c r="E13105" i="1"/>
  <c r="B13106" i="1"/>
  <c r="A13106" i="1"/>
  <c r="E13106" i="1"/>
  <c r="B13107" i="1"/>
  <c r="A13107" i="1"/>
  <c r="E13107" i="1"/>
  <c r="B13108" i="1"/>
  <c r="A13108" i="1"/>
  <c r="E13108" i="1"/>
  <c r="B13109" i="1"/>
  <c r="A13109" i="1"/>
  <c r="E13109" i="1"/>
  <c r="B13110" i="1"/>
  <c r="A13110" i="1"/>
  <c r="E13110" i="1"/>
  <c r="B13111" i="1"/>
  <c r="A13111" i="1"/>
  <c r="E13111" i="1"/>
  <c r="B13112" i="1"/>
  <c r="A13112" i="1"/>
  <c r="E13112" i="1"/>
  <c r="B13113" i="1"/>
  <c r="A13113" i="1"/>
  <c r="E13113" i="1"/>
  <c r="B13114" i="1"/>
  <c r="A13114" i="1"/>
  <c r="E13114" i="1"/>
  <c r="B13115" i="1"/>
  <c r="A13115" i="1"/>
  <c r="E13115" i="1"/>
  <c r="B13116" i="1"/>
  <c r="A13116" i="1"/>
  <c r="E13116" i="1"/>
  <c r="B13117" i="1"/>
  <c r="A13117" i="1"/>
  <c r="E13117" i="1"/>
  <c r="B13118" i="1"/>
  <c r="A13118" i="1"/>
  <c r="E13118" i="1"/>
  <c r="B13119" i="1"/>
  <c r="A13119" i="1"/>
  <c r="E13119" i="1"/>
  <c r="B13120" i="1"/>
  <c r="A13120" i="1"/>
  <c r="E13120" i="1"/>
  <c r="B13121" i="1"/>
  <c r="A13121" i="1"/>
  <c r="E13121" i="1"/>
  <c r="B13122" i="1"/>
  <c r="A13122" i="1"/>
  <c r="E13122" i="1"/>
  <c r="B13123" i="1"/>
  <c r="A13123" i="1"/>
  <c r="E13123" i="1"/>
  <c r="B13124" i="1"/>
  <c r="A13124" i="1"/>
  <c r="E13124" i="1"/>
  <c r="B13125" i="1"/>
  <c r="A13125" i="1"/>
  <c r="E13125" i="1"/>
  <c r="B13126" i="1"/>
  <c r="A13126" i="1"/>
  <c r="E13126" i="1"/>
  <c r="B13127" i="1"/>
  <c r="A13127" i="1"/>
  <c r="E13127" i="1"/>
  <c r="B13128" i="1"/>
  <c r="A13128" i="1"/>
  <c r="E13128" i="1"/>
  <c r="B13129" i="1"/>
  <c r="A13129" i="1"/>
  <c r="E13129" i="1"/>
  <c r="B13130" i="1"/>
  <c r="A13130" i="1"/>
  <c r="E13130" i="1"/>
  <c r="B13131" i="1"/>
  <c r="A13131" i="1"/>
  <c r="E13131" i="1"/>
  <c r="B13132" i="1"/>
  <c r="A13132" i="1"/>
  <c r="E13132" i="1"/>
  <c r="B13133" i="1"/>
  <c r="A13133" i="1"/>
  <c r="E13133" i="1"/>
  <c r="B13134" i="1"/>
  <c r="A13134" i="1"/>
  <c r="E13134" i="1"/>
  <c r="B13135" i="1"/>
  <c r="A13135" i="1"/>
  <c r="E13135" i="1"/>
  <c r="B13136" i="1"/>
  <c r="A13136" i="1"/>
  <c r="E13136" i="1"/>
  <c r="B13137" i="1"/>
  <c r="A13137" i="1"/>
  <c r="E13137" i="1"/>
  <c r="B13138" i="1"/>
  <c r="A13138" i="1"/>
  <c r="E13138" i="1"/>
  <c r="B13139" i="1"/>
  <c r="A13139" i="1"/>
  <c r="E13139" i="1"/>
  <c r="B13140" i="1"/>
  <c r="A13140" i="1"/>
  <c r="E13140" i="1"/>
  <c r="B13141" i="1"/>
  <c r="A13141" i="1"/>
  <c r="E13141" i="1"/>
  <c r="B13142" i="1"/>
  <c r="A13142" i="1"/>
  <c r="E13142" i="1"/>
  <c r="B13143" i="1"/>
  <c r="A13143" i="1"/>
  <c r="E13143" i="1"/>
  <c r="B13144" i="1"/>
  <c r="A13144" i="1"/>
  <c r="E13144" i="1"/>
  <c r="G13144" i="1"/>
  <c r="B13145" i="1"/>
  <c r="A13145" i="1"/>
  <c r="E13145" i="1"/>
  <c r="B13146" i="1"/>
  <c r="A13146" i="1"/>
  <c r="E13146" i="1"/>
  <c r="B13147" i="1"/>
  <c r="A13147" i="1"/>
  <c r="E13147" i="1"/>
  <c r="B13148" i="1"/>
  <c r="A13148" i="1"/>
  <c r="E13148" i="1"/>
  <c r="B13149" i="1"/>
  <c r="A13149" i="1"/>
  <c r="E13149" i="1"/>
  <c r="B13150" i="1"/>
  <c r="A13150" i="1"/>
  <c r="E13150" i="1"/>
  <c r="B13151" i="1"/>
  <c r="A13151" i="1"/>
  <c r="E13151" i="1"/>
  <c r="B13152" i="1"/>
  <c r="A13152" i="1"/>
  <c r="E13152" i="1"/>
  <c r="B13153" i="1"/>
  <c r="A13153" i="1"/>
  <c r="E13153" i="1"/>
  <c r="B13154" i="1"/>
  <c r="A13154" i="1"/>
  <c r="E13154" i="1"/>
  <c r="B13155" i="1"/>
  <c r="A13155" i="1"/>
  <c r="E13155" i="1"/>
  <c r="B13156" i="1"/>
  <c r="A13156" i="1"/>
  <c r="E13156" i="1"/>
  <c r="B13157" i="1"/>
  <c r="A13157" i="1"/>
  <c r="E13157" i="1"/>
  <c r="A13158" i="1"/>
  <c r="E13158" i="1"/>
  <c r="B13159" i="1"/>
  <c r="A13159" i="1"/>
  <c r="E13159" i="1"/>
  <c r="G13159" i="1"/>
  <c r="B13160" i="1"/>
  <c r="A13160" i="1"/>
  <c r="E13160" i="1"/>
  <c r="G13160" i="1"/>
  <c r="B13161" i="1"/>
  <c r="A13161" i="1"/>
  <c r="E13161" i="1"/>
  <c r="G13161" i="1"/>
  <c r="B13162" i="1"/>
  <c r="A13162" i="1"/>
  <c r="E13162" i="1"/>
  <c r="G13162" i="1"/>
  <c r="B13163" i="1"/>
  <c r="A13163" i="1"/>
  <c r="E13163" i="1"/>
  <c r="G13163" i="1"/>
  <c r="B13164" i="1"/>
  <c r="A13164" i="1"/>
  <c r="E13164" i="1"/>
  <c r="B13165" i="1"/>
  <c r="A13165" i="1"/>
  <c r="E13165" i="1"/>
  <c r="B13166" i="1"/>
  <c r="A13166" i="1"/>
  <c r="E13166" i="1"/>
  <c r="B13167" i="1"/>
  <c r="A13167" i="1"/>
  <c r="E13167" i="1"/>
  <c r="B13168" i="1"/>
  <c r="A13168" i="1"/>
  <c r="E13168" i="1"/>
  <c r="B13169" i="1"/>
  <c r="A13169" i="1"/>
  <c r="E13169" i="1"/>
  <c r="B13170" i="1"/>
  <c r="A13170" i="1"/>
  <c r="E13170" i="1"/>
  <c r="B13171" i="1"/>
  <c r="A13171" i="1"/>
  <c r="E13171" i="1"/>
  <c r="B13172" i="1"/>
  <c r="A13172" i="1"/>
  <c r="E13172" i="1"/>
  <c r="B13173" i="1"/>
  <c r="A13173" i="1"/>
  <c r="E13173" i="1"/>
  <c r="B13174" i="1"/>
  <c r="A13174" i="1"/>
  <c r="E13174" i="1"/>
  <c r="B13175" i="1"/>
  <c r="A13175" i="1"/>
  <c r="E13175" i="1"/>
  <c r="B13176" i="1"/>
  <c r="A13176" i="1"/>
  <c r="E13176" i="1"/>
  <c r="B13177" i="1"/>
  <c r="A13177" i="1"/>
  <c r="E13177" i="1"/>
  <c r="B13178" i="1"/>
  <c r="A13178" i="1"/>
  <c r="E13178" i="1"/>
  <c r="B13179" i="1"/>
  <c r="A13179" i="1"/>
  <c r="E13179" i="1"/>
  <c r="B13180" i="1"/>
  <c r="A13180" i="1"/>
  <c r="E13180" i="1"/>
  <c r="B13181" i="1"/>
  <c r="A13181" i="1"/>
  <c r="E13181" i="1"/>
  <c r="B13182" i="1"/>
  <c r="A13182" i="1"/>
  <c r="E13182" i="1"/>
  <c r="B13183" i="1"/>
  <c r="A13183" i="1"/>
  <c r="E13183" i="1"/>
  <c r="B13184" i="1"/>
  <c r="A13184" i="1"/>
  <c r="E13184" i="1"/>
  <c r="B13185" i="1"/>
  <c r="A13185" i="1"/>
  <c r="E13185" i="1"/>
  <c r="B13186" i="1"/>
  <c r="A13186" i="1"/>
  <c r="E13186" i="1"/>
  <c r="B13187" i="1"/>
  <c r="A13187" i="1"/>
  <c r="E13187" i="1"/>
  <c r="B13188" i="1"/>
  <c r="A13188" i="1"/>
  <c r="E13188" i="1"/>
  <c r="B13189" i="1"/>
  <c r="A13189" i="1"/>
  <c r="E13189" i="1"/>
  <c r="B13190" i="1"/>
  <c r="A13190" i="1"/>
  <c r="E13190" i="1"/>
  <c r="B13191" i="1"/>
  <c r="A13191" i="1"/>
  <c r="E13191" i="1"/>
  <c r="B13192" i="1"/>
  <c r="A13192" i="1"/>
  <c r="E13192" i="1"/>
  <c r="B13193" i="1"/>
  <c r="A13193" i="1"/>
  <c r="E13193" i="1"/>
  <c r="B13194" i="1"/>
  <c r="A13194" i="1"/>
  <c r="E13194" i="1"/>
  <c r="B13195" i="1"/>
  <c r="A13195" i="1"/>
  <c r="E13195" i="1"/>
  <c r="B13196" i="1"/>
  <c r="A13196" i="1"/>
  <c r="E13196" i="1"/>
  <c r="B13197" i="1"/>
  <c r="A13197" i="1"/>
  <c r="E13197" i="1"/>
  <c r="B13198" i="1"/>
  <c r="A13198" i="1"/>
  <c r="E13198" i="1"/>
  <c r="B13199" i="1"/>
  <c r="A13199" i="1"/>
  <c r="E13199" i="1"/>
  <c r="B13200" i="1"/>
  <c r="A13200" i="1"/>
  <c r="E13200" i="1"/>
  <c r="B13201" i="1"/>
  <c r="A13201" i="1"/>
  <c r="E13201" i="1"/>
  <c r="B13202" i="1"/>
  <c r="A13202" i="1"/>
  <c r="E13202" i="1"/>
  <c r="B13203" i="1"/>
  <c r="A13203" i="1"/>
  <c r="E13203" i="1"/>
  <c r="B13204" i="1"/>
  <c r="A13204" i="1"/>
  <c r="E13204" i="1"/>
  <c r="B13205" i="1"/>
  <c r="A13205" i="1"/>
  <c r="E13205" i="1"/>
  <c r="B13206" i="1"/>
  <c r="A13206" i="1"/>
  <c r="E13206" i="1"/>
  <c r="B13207" i="1"/>
  <c r="A13207" i="1"/>
  <c r="E13207" i="1"/>
  <c r="B13208" i="1"/>
  <c r="A13208" i="1"/>
  <c r="E13208" i="1"/>
  <c r="B13209" i="1"/>
  <c r="A13209" i="1"/>
  <c r="E13209" i="1"/>
  <c r="B13210" i="1"/>
  <c r="A13210" i="1"/>
  <c r="E13210" i="1"/>
  <c r="B13211" i="1"/>
  <c r="A13211" i="1"/>
  <c r="E13211" i="1"/>
  <c r="B13212" i="1"/>
  <c r="A13212" i="1"/>
  <c r="E13212" i="1"/>
  <c r="B13213" i="1"/>
  <c r="A13213" i="1"/>
  <c r="E13213" i="1"/>
  <c r="B13214" i="1"/>
  <c r="A13214" i="1"/>
  <c r="E13214" i="1"/>
  <c r="B13215" i="1"/>
  <c r="A13215" i="1"/>
  <c r="E13215" i="1"/>
  <c r="B13216" i="1"/>
  <c r="A13216" i="1"/>
  <c r="E13216" i="1"/>
  <c r="B13217" i="1"/>
  <c r="A13217" i="1"/>
  <c r="E13217" i="1"/>
  <c r="B13218" i="1"/>
  <c r="A13218" i="1"/>
  <c r="E13218" i="1"/>
  <c r="B13219" i="1"/>
  <c r="A13219" i="1"/>
  <c r="E13219" i="1"/>
  <c r="B13220" i="1"/>
  <c r="A13220" i="1"/>
  <c r="E13220" i="1"/>
  <c r="B13221" i="1"/>
  <c r="A13221" i="1"/>
  <c r="E13221" i="1"/>
  <c r="B13222" i="1"/>
  <c r="A13222" i="1"/>
  <c r="E13222" i="1"/>
  <c r="B13223" i="1"/>
  <c r="A13223" i="1"/>
  <c r="E13223" i="1"/>
  <c r="B13224" i="1"/>
  <c r="A13224" i="1"/>
  <c r="E13224" i="1"/>
  <c r="B13225" i="1"/>
  <c r="A13225" i="1"/>
  <c r="E13225" i="1"/>
  <c r="B13226" i="1"/>
  <c r="A13226" i="1"/>
  <c r="E13226" i="1"/>
  <c r="B13227" i="1"/>
  <c r="A13227" i="1"/>
  <c r="E13227" i="1"/>
  <c r="F13227" i="1"/>
  <c r="B13228" i="1"/>
  <c r="A13228" i="1"/>
  <c r="E13228" i="1"/>
  <c r="F13228" i="1"/>
  <c r="G13228" i="1"/>
  <c r="B13229" i="1"/>
  <c r="A13229" i="1"/>
  <c r="E13229" i="1"/>
  <c r="F13229" i="1"/>
  <c r="B13230" i="1"/>
  <c r="A13230" i="1"/>
  <c r="E13230" i="1"/>
  <c r="F13230" i="1"/>
  <c r="B13231" i="1"/>
  <c r="A13231" i="1"/>
  <c r="E13231" i="1"/>
  <c r="F13231" i="1"/>
  <c r="B13232" i="1"/>
  <c r="A13232" i="1"/>
  <c r="E13232" i="1"/>
  <c r="F13232" i="1"/>
  <c r="B13233" i="1"/>
  <c r="A13233" i="1"/>
  <c r="E13233" i="1"/>
  <c r="F13233" i="1"/>
  <c r="B13234" i="1"/>
  <c r="A13234" i="1"/>
  <c r="E13234" i="1"/>
  <c r="F13234" i="1"/>
  <c r="G13234" i="1"/>
  <c r="B13235" i="1"/>
  <c r="A13235" i="1"/>
  <c r="E13235" i="1"/>
  <c r="F13235" i="1"/>
  <c r="B13236" i="1"/>
  <c r="A13236" i="1"/>
  <c r="E13236" i="1"/>
  <c r="F13236" i="1"/>
  <c r="G13236" i="1"/>
  <c r="B13237" i="1"/>
  <c r="A13237" i="1"/>
  <c r="E13237" i="1"/>
  <c r="F13237" i="1"/>
  <c r="B13238" i="1"/>
  <c r="A13238" i="1"/>
  <c r="E13238" i="1"/>
  <c r="F13238" i="1"/>
  <c r="B13239" i="1"/>
  <c r="A13239" i="1"/>
  <c r="E13239" i="1"/>
  <c r="F13239" i="1"/>
  <c r="B13240" i="1"/>
  <c r="A13240" i="1"/>
  <c r="E13240" i="1"/>
  <c r="F13240" i="1"/>
  <c r="B13241" i="1"/>
  <c r="A13241" i="1"/>
  <c r="E13241" i="1"/>
  <c r="F13241" i="1"/>
  <c r="B13242" i="1"/>
  <c r="A13242" i="1"/>
  <c r="E13242" i="1"/>
  <c r="F13242" i="1"/>
  <c r="B13243" i="1"/>
  <c r="A13243" i="1"/>
  <c r="E13243" i="1"/>
  <c r="F13243" i="1"/>
  <c r="B13244" i="1"/>
  <c r="A13244" i="1"/>
  <c r="E13244" i="1"/>
  <c r="F13244" i="1"/>
  <c r="B13245" i="1"/>
  <c r="A13245" i="1"/>
  <c r="E13245" i="1"/>
  <c r="F13245" i="1"/>
  <c r="B13246" i="1"/>
  <c r="A13246" i="1"/>
  <c r="E13246" i="1"/>
  <c r="F13246" i="1"/>
  <c r="B13247" i="1"/>
  <c r="A13247" i="1"/>
  <c r="E13247" i="1"/>
  <c r="F13247" i="1"/>
  <c r="B13248" i="1"/>
  <c r="A13248" i="1"/>
  <c r="E13248" i="1"/>
  <c r="F13248" i="1"/>
  <c r="B13249" i="1"/>
  <c r="A13249" i="1"/>
  <c r="E13249" i="1"/>
  <c r="F13249" i="1"/>
  <c r="B13250" i="1"/>
  <c r="A13250" i="1"/>
  <c r="E13250" i="1"/>
  <c r="F13250" i="1"/>
  <c r="B13251" i="1"/>
  <c r="A13251" i="1"/>
  <c r="E13251" i="1"/>
  <c r="F13251" i="1"/>
  <c r="B13252" i="1"/>
  <c r="A13252" i="1"/>
  <c r="E13252" i="1"/>
  <c r="F13252" i="1"/>
  <c r="B13253" i="1"/>
  <c r="A13253" i="1"/>
  <c r="E13253" i="1"/>
  <c r="F13253" i="1"/>
  <c r="G13253" i="1"/>
  <c r="B13254" i="1"/>
  <c r="A13254" i="1"/>
  <c r="E13254" i="1"/>
  <c r="F13254" i="1"/>
  <c r="B13255" i="1"/>
  <c r="A13255" i="1"/>
  <c r="E13255" i="1"/>
  <c r="F13255" i="1"/>
  <c r="B13256" i="1"/>
  <c r="A13256" i="1"/>
  <c r="E13256" i="1"/>
  <c r="F13256" i="1"/>
  <c r="B13257" i="1"/>
  <c r="A13257" i="1"/>
  <c r="E13257" i="1"/>
  <c r="F13257" i="1"/>
  <c r="B13258" i="1"/>
  <c r="A13258" i="1"/>
  <c r="E13258" i="1"/>
  <c r="F13258" i="1"/>
  <c r="G13258" i="1"/>
  <c r="B13259" i="1"/>
  <c r="A13259" i="1"/>
  <c r="E13259" i="1"/>
  <c r="F13259" i="1"/>
  <c r="B13260" i="1"/>
  <c r="A13260" i="1"/>
  <c r="E13260" i="1"/>
  <c r="F13260" i="1"/>
  <c r="B13261" i="1"/>
  <c r="A13261" i="1"/>
  <c r="E13261" i="1"/>
  <c r="F13261" i="1"/>
  <c r="B13262" i="1"/>
  <c r="A13262" i="1"/>
  <c r="E13262" i="1"/>
  <c r="F13262" i="1"/>
  <c r="B13263" i="1"/>
  <c r="A13263" i="1"/>
  <c r="E13263" i="1"/>
  <c r="F13263" i="1"/>
  <c r="B13264" i="1"/>
  <c r="A13264" i="1"/>
  <c r="E13264" i="1"/>
  <c r="F13264" i="1"/>
  <c r="B13265" i="1"/>
  <c r="A13265" i="1"/>
  <c r="E13265" i="1"/>
  <c r="F13265" i="1"/>
  <c r="B13266" i="1"/>
  <c r="A13266" i="1"/>
  <c r="E13266" i="1"/>
  <c r="F13266" i="1"/>
  <c r="B13267" i="1"/>
  <c r="A13267" i="1"/>
  <c r="E13267" i="1"/>
  <c r="F13267" i="1"/>
  <c r="B13268" i="1"/>
  <c r="A13268" i="1"/>
  <c r="E13268" i="1"/>
  <c r="F13268" i="1"/>
  <c r="B13269" i="1"/>
  <c r="A13269" i="1"/>
  <c r="E13269" i="1"/>
  <c r="F13269" i="1"/>
  <c r="B13270" i="1"/>
  <c r="A13270" i="1"/>
  <c r="E13270" i="1"/>
  <c r="F13270" i="1"/>
  <c r="G13270" i="1"/>
  <c r="B13271" i="1"/>
  <c r="A13271" i="1"/>
  <c r="E13271" i="1"/>
  <c r="F13271" i="1"/>
  <c r="G13271" i="1"/>
  <c r="B13272" i="1"/>
  <c r="A13272" i="1"/>
  <c r="E13272" i="1"/>
  <c r="F13272" i="1"/>
  <c r="B13273" i="1"/>
  <c r="A13273" i="1"/>
  <c r="E13273" i="1"/>
  <c r="F13273" i="1"/>
  <c r="B13274" i="1"/>
  <c r="A13274" i="1"/>
  <c r="E13274" i="1"/>
  <c r="F13274" i="1"/>
  <c r="B13275" i="1"/>
  <c r="A13275" i="1"/>
  <c r="E13275" i="1"/>
  <c r="F13275" i="1"/>
  <c r="B13276" i="1"/>
  <c r="A13276" i="1"/>
  <c r="E13276" i="1"/>
  <c r="F13276" i="1"/>
  <c r="B13277" i="1"/>
  <c r="A13277" i="1"/>
  <c r="E13277" i="1"/>
  <c r="F13277" i="1"/>
  <c r="B13278" i="1"/>
  <c r="A13278" i="1"/>
  <c r="E13278" i="1"/>
  <c r="F13278" i="1"/>
  <c r="B13279" i="1"/>
  <c r="A13279" i="1"/>
  <c r="E13279" i="1"/>
  <c r="F13279" i="1"/>
  <c r="B13280" i="1"/>
  <c r="A13280" i="1"/>
  <c r="E13280" i="1"/>
  <c r="F13280" i="1"/>
  <c r="B13281" i="1"/>
  <c r="A13281" i="1"/>
  <c r="E13281" i="1"/>
  <c r="B13282" i="1"/>
  <c r="A13282" i="1"/>
  <c r="E13282" i="1"/>
  <c r="F13282" i="1"/>
  <c r="B13283" i="1"/>
  <c r="A13283" i="1"/>
  <c r="E13283" i="1"/>
  <c r="F13283" i="1"/>
  <c r="G13283" i="1"/>
  <c r="B13284" i="1"/>
  <c r="A13284" i="1"/>
  <c r="E13284" i="1"/>
  <c r="F13284" i="1"/>
  <c r="G13284" i="1"/>
  <c r="B13285" i="1"/>
  <c r="A13285" i="1"/>
  <c r="E13285" i="1"/>
  <c r="F13285" i="1"/>
  <c r="G13285" i="1"/>
  <c r="B13286" i="1"/>
  <c r="A13286" i="1"/>
  <c r="E13286" i="1"/>
  <c r="F13286" i="1"/>
  <c r="G13286" i="1"/>
  <c r="B13287" i="1"/>
  <c r="A13287" i="1"/>
  <c r="E13287" i="1"/>
  <c r="F13287" i="1"/>
  <c r="G13287" i="1"/>
  <c r="B13288" i="1"/>
  <c r="A13288" i="1"/>
  <c r="E13288" i="1"/>
  <c r="B13289" i="1"/>
  <c r="A13289" i="1"/>
  <c r="E13289" i="1"/>
  <c r="B13290" i="1"/>
  <c r="A13290" i="1"/>
  <c r="E13290" i="1"/>
  <c r="B13291" i="1"/>
  <c r="A13291" i="1"/>
  <c r="E13291" i="1"/>
  <c r="B13292" i="1"/>
  <c r="A13292" i="1"/>
  <c r="E13292" i="1"/>
  <c r="B13293" i="1"/>
  <c r="A13293" i="1"/>
  <c r="E13293" i="1"/>
  <c r="B13294" i="1"/>
  <c r="A13294" i="1"/>
  <c r="E13294" i="1"/>
  <c r="B13295" i="1"/>
  <c r="A13295" i="1"/>
  <c r="E13295" i="1"/>
  <c r="B13296" i="1"/>
  <c r="A13296" i="1"/>
  <c r="E13296" i="1"/>
  <c r="B13297" i="1"/>
  <c r="A13297" i="1"/>
  <c r="E13297" i="1"/>
  <c r="B13298" i="1"/>
  <c r="A13298" i="1"/>
  <c r="E13298" i="1"/>
  <c r="B13299" i="1"/>
  <c r="A13299" i="1"/>
  <c r="E13299" i="1"/>
  <c r="B13300" i="1"/>
  <c r="A13300" i="1"/>
  <c r="E13300" i="1"/>
  <c r="B13301" i="1"/>
  <c r="A13301" i="1"/>
  <c r="E13301" i="1"/>
  <c r="B13302" i="1"/>
  <c r="A13302" i="1"/>
  <c r="E13302" i="1"/>
  <c r="B13303" i="1"/>
  <c r="A13303" i="1"/>
  <c r="E13303" i="1"/>
  <c r="B13304" i="1"/>
  <c r="A13304" i="1"/>
  <c r="E13304" i="1"/>
  <c r="B13305" i="1"/>
  <c r="A13305" i="1"/>
  <c r="E13305" i="1"/>
  <c r="B13306" i="1"/>
  <c r="A13306" i="1"/>
  <c r="E13306" i="1"/>
  <c r="B13307" i="1"/>
  <c r="A13307" i="1"/>
  <c r="E13307" i="1"/>
  <c r="B13308" i="1"/>
  <c r="A13308" i="1"/>
  <c r="E13308" i="1"/>
  <c r="B13309" i="1"/>
  <c r="A13309" i="1"/>
  <c r="E13309" i="1"/>
  <c r="B13310" i="1"/>
  <c r="A13310" i="1"/>
  <c r="E13310" i="1"/>
  <c r="B13311" i="1"/>
  <c r="A13311" i="1"/>
  <c r="E13311" i="1"/>
  <c r="B13312" i="1"/>
  <c r="A13312" i="1"/>
  <c r="E13312" i="1"/>
  <c r="B13313" i="1"/>
  <c r="A13313" i="1"/>
  <c r="E13313" i="1"/>
  <c r="B13314" i="1"/>
  <c r="A13314" i="1"/>
  <c r="E13314" i="1"/>
  <c r="B13315" i="1"/>
  <c r="A13315" i="1"/>
  <c r="E13315" i="1"/>
  <c r="B13316" i="1"/>
  <c r="A13316" i="1"/>
  <c r="E13316" i="1"/>
  <c r="B13317" i="1"/>
  <c r="A13317" i="1"/>
  <c r="E13317" i="1"/>
  <c r="B13318" i="1"/>
  <c r="A13318" i="1"/>
  <c r="E13318" i="1"/>
  <c r="B13319" i="1"/>
  <c r="A13319" i="1"/>
  <c r="E13319" i="1"/>
  <c r="B13320" i="1"/>
  <c r="A13320" i="1"/>
  <c r="E13320" i="1"/>
  <c r="B13321" i="1"/>
  <c r="A13321" i="1"/>
  <c r="E13321" i="1"/>
  <c r="B13322" i="1"/>
  <c r="A13322" i="1"/>
  <c r="E13322" i="1"/>
  <c r="B13323" i="1"/>
  <c r="A13323" i="1"/>
  <c r="E13323" i="1"/>
  <c r="B13324" i="1"/>
  <c r="A13324" i="1"/>
  <c r="E13324" i="1"/>
  <c r="B13325" i="1"/>
  <c r="A13325" i="1"/>
  <c r="E13325" i="1"/>
  <c r="B13326" i="1"/>
  <c r="A13326" i="1"/>
  <c r="E13326" i="1"/>
  <c r="B13327" i="1"/>
  <c r="A13327" i="1"/>
  <c r="E13327" i="1"/>
  <c r="B13328" i="1"/>
  <c r="A13328" i="1"/>
  <c r="E13328" i="1"/>
  <c r="B13329" i="1"/>
  <c r="A13329" i="1"/>
  <c r="E13329" i="1"/>
  <c r="B13330" i="1"/>
  <c r="A13330" i="1"/>
  <c r="E13330" i="1"/>
  <c r="B13331" i="1"/>
  <c r="A13331" i="1"/>
  <c r="E13331" i="1"/>
  <c r="B13332" i="1"/>
  <c r="A13332" i="1"/>
  <c r="E13332" i="1"/>
  <c r="B13333" i="1"/>
  <c r="A13333" i="1"/>
  <c r="E13333" i="1"/>
  <c r="B13334" i="1"/>
  <c r="A13334" i="1"/>
  <c r="E13334" i="1"/>
  <c r="B13335" i="1"/>
  <c r="A13335" i="1"/>
  <c r="E13335" i="1"/>
  <c r="B13336" i="1"/>
  <c r="A13336" i="1"/>
  <c r="E13336" i="1"/>
  <c r="B13337" i="1"/>
  <c r="A13337" i="1"/>
  <c r="E13337" i="1"/>
  <c r="B13338" i="1"/>
  <c r="A13338" i="1"/>
  <c r="E13338" i="1"/>
  <c r="B13339" i="1"/>
  <c r="A13339" i="1"/>
  <c r="E13339" i="1"/>
  <c r="B13340" i="1"/>
  <c r="A13340" i="1"/>
  <c r="E13340" i="1"/>
  <c r="B13341" i="1"/>
  <c r="A13341" i="1"/>
  <c r="E13341" i="1"/>
  <c r="B13342" i="1"/>
  <c r="A13342" i="1"/>
  <c r="E13342" i="1"/>
  <c r="B13343" i="1"/>
  <c r="A13343" i="1"/>
  <c r="E13343" i="1"/>
  <c r="B13344" i="1"/>
  <c r="A13344" i="1"/>
  <c r="E13344" i="1"/>
  <c r="B13345" i="1"/>
  <c r="A13345" i="1"/>
  <c r="E13345" i="1"/>
  <c r="B13346" i="1"/>
  <c r="A13346" i="1"/>
  <c r="E13346" i="1"/>
  <c r="B13347" i="1"/>
  <c r="A13347" i="1"/>
  <c r="E13347" i="1"/>
  <c r="B13348" i="1"/>
  <c r="A13348" i="1"/>
  <c r="E13348" i="1"/>
  <c r="A13349" i="1"/>
  <c r="E13349" i="1"/>
  <c r="G13349" i="1"/>
  <c r="A13350" i="1"/>
  <c r="E13350" i="1"/>
  <c r="G13350" i="1"/>
  <c r="A13351" i="1"/>
  <c r="E13351" i="1"/>
  <c r="A13352" i="1"/>
  <c r="E13352" i="1"/>
  <c r="A13353" i="1"/>
  <c r="E13353" i="1"/>
  <c r="B13354" i="1"/>
  <c r="A13354" i="1"/>
  <c r="E13354" i="1"/>
  <c r="B13355" i="1"/>
  <c r="A13355" i="1"/>
  <c r="E13355" i="1"/>
  <c r="B13356" i="1"/>
  <c r="A13356" i="1"/>
  <c r="E13356" i="1"/>
  <c r="B13357" i="1"/>
  <c r="A13357" i="1"/>
  <c r="E13357" i="1"/>
  <c r="B13358" i="1"/>
  <c r="A13358" i="1"/>
  <c r="E13358" i="1"/>
  <c r="B13359" i="1"/>
  <c r="A13359" i="1"/>
  <c r="E13359" i="1"/>
  <c r="B13360" i="1"/>
  <c r="A13360" i="1"/>
  <c r="E13360" i="1"/>
  <c r="B13361" i="1"/>
  <c r="A13361" i="1"/>
  <c r="E13361" i="1"/>
  <c r="B13362" i="1"/>
  <c r="A13362" i="1"/>
  <c r="E13362" i="1"/>
  <c r="B13363" i="1"/>
  <c r="A13363" i="1"/>
  <c r="E13363" i="1"/>
  <c r="B13364" i="1"/>
  <c r="A13364" i="1"/>
  <c r="E13364" i="1"/>
  <c r="B13365" i="1"/>
  <c r="A13365" i="1"/>
  <c r="E13365" i="1"/>
  <c r="B13366" i="1"/>
  <c r="A13366" i="1"/>
  <c r="E13366" i="1"/>
  <c r="B13367" i="1"/>
  <c r="A13367" i="1"/>
  <c r="E13367" i="1"/>
  <c r="B13368" i="1"/>
  <c r="A13368" i="1"/>
  <c r="E13368" i="1"/>
  <c r="B13369" i="1"/>
  <c r="A13369" i="1"/>
  <c r="E13369" i="1"/>
  <c r="B13370" i="1"/>
  <c r="A13370" i="1"/>
  <c r="E13370" i="1"/>
  <c r="B13371" i="1"/>
  <c r="A13371" i="1"/>
  <c r="E13371" i="1"/>
  <c r="B13372" i="1"/>
  <c r="A13372" i="1"/>
  <c r="E13372" i="1"/>
  <c r="B13373" i="1"/>
  <c r="A13373" i="1"/>
  <c r="E13373" i="1"/>
  <c r="B13374" i="1"/>
  <c r="A13374" i="1"/>
  <c r="E13374" i="1"/>
  <c r="B13375" i="1"/>
  <c r="A13375" i="1"/>
  <c r="E13375" i="1"/>
  <c r="B13376" i="1"/>
  <c r="A13376" i="1"/>
  <c r="E13376" i="1"/>
  <c r="B13377" i="1"/>
  <c r="A13377" i="1"/>
  <c r="E13377" i="1"/>
  <c r="B13378" i="1"/>
  <c r="A13378" i="1"/>
  <c r="E13378" i="1"/>
  <c r="B13379" i="1"/>
  <c r="A13379" i="1"/>
  <c r="E13379" i="1"/>
  <c r="B13380" i="1"/>
  <c r="A13380" i="1"/>
  <c r="E13380" i="1"/>
  <c r="B13381" i="1"/>
  <c r="A13381" i="1"/>
  <c r="E13381" i="1"/>
  <c r="B13382" i="1"/>
  <c r="A13382" i="1"/>
  <c r="E13382" i="1"/>
  <c r="B13383" i="1"/>
  <c r="A13383" i="1"/>
  <c r="E13383" i="1"/>
  <c r="G13383" i="1"/>
  <c r="B13384" i="1"/>
  <c r="A13384" i="1"/>
  <c r="E13384" i="1"/>
  <c r="B13385" i="1"/>
  <c r="A13385" i="1"/>
  <c r="E13385" i="1"/>
  <c r="B13386" i="1"/>
  <c r="A13386" i="1"/>
  <c r="E13386" i="1"/>
  <c r="B13387" i="1"/>
  <c r="A13387" i="1"/>
  <c r="E13387" i="1"/>
  <c r="B13388" i="1"/>
  <c r="A13388" i="1"/>
  <c r="E13388" i="1"/>
  <c r="B13389" i="1"/>
  <c r="A13389" i="1"/>
  <c r="E13389" i="1"/>
  <c r="B13390" i="1"/>
  <c r="A13390" i="1"/>
  <c r="E13390" i="1"/>
  <c r="B13391" i="1"/>
  <c r="A13391" i="1"/>
  <c r="E13391" i="1"/>
  <c r="B13392" i="1"/>
  <c r="A13392" i="1"/>
  <c r="E13392" i="1"/>
  <c r="F13392" i="1"/>
  <c r="B13393" i="1"/>
  <c r="A13393" i="1"/>
  <c r="E13393" i="1"/>
  <c r="F13393" i="1"/>
  <c r="B13394" i="1"/>
  <c r="A13394" i="1"/>
  <c r="E13394" i="1"/>
  <c r="F13394" i="1"/>
  <c r="B13395" i="1"/>
  <c r="A13395" i="1"/>
  <c r="E13395" i="1"/>
  <c r="F13395" i="1"/>
  <c r="B13396" i="1"/>
  <c r="A13396" i="1"/>
  <c r="E13396" i="1"/>
  <c r="F13396" i="1"/>
  <c r="B13397" i="1"/>
  <c r="A13397" i="1"/>
  <c r="E13397" i="1"/>
  <c r="F13397" i="1"/>
  <c r="B13398" i="1"/>
  <c r="A13398" i="1"/>
  <c r="E13398" i="1"/>
  <c r="F13398" i="1"/>
  <c r="G13398" i="1"/>
  <c r="B13399" i="1"/>
  <c r="A13399" i="1"/>
  <c r="E13399" i="1"/>
  <c r="F13399" i="1"/>
  <c r="B13400" i="1"/>
  <c r="A13400" i="1"/>
  <c r="E13400" i="1"/>
  <c r="F13400" i="1"/>
  <c r="B13401" i="1"/>
  <c r="A13401" i="1"/>
  <c r="E13401" i="1"/>
  <c r="F13401" i="1"/>
  <c r="B13402" i="1"/>
  <c r="A13402" i="1"/>
  <c r="E13402" i="1"/>
  <c r="F13402" i="1"/>
  <c r="B13403" i="1"/>
  <c r="A13403" i="1"/>
  <c r="E13403" i="1"/>
  <c r="B13404" i="1"/>
  <c r="A13404" i="1"/>
  <c r="E13404" i="1"/>
  <c r="B13405" i="1"/>
  <c r="A13405" i="1"/>
  <c r="E13405" i="1"/>
  <c r="B13406" i="1"/>
  <c r="A13406" i="1"/>
  <c r="E13406" i="1"/>
  <c r="B13407" i="1"/>
  <c r="A13407" i="1"/>
  <c r="E13407" i="1"/>
  <c r="B13408" i="1"/>
  <c r="A13408" i="1"/>
  <c r="E13408" i="1"/>
  <c r="B13409" i="1"/>
  <c r="A13409" i="1"/>
  <c r="E13409" i="1"/>
  <c r="A13410" i="1"/>
  <c r="E13410" i="1"/>
  <c r="B13411" i="1"/>
  <c r="A13411" i="1"/>
  <c r="E13411" i="1"/>
  <c r="B13412" i="1"/>
  <c r="A13412" i="1"/>
  <c r="E13412" i="1"/>
  <c r="B13413" i="1"/>
  <c r="A13413" i="1"/>
  <c r="E13413" i="1"/>
  <c r="B13414" i="1"/>
  <c r="A13414" i="1"/>
  <c r="E13414" i="1"/>
  <c r="F13414" i="1"/>
  <c r="G13414" i="1"/>
  <c r="B13415" i="1"/>
  <c r="A13415" i="1"/>
  <c r="E13415" i="1"/>
  <c r="F13415" i="1"/>
  <c r="G13415" i="1"/>
  <c r="B13416" i="1"/>
  <c r="A13416" i="1"/>
  <c r="E13416" i="1"/>
  <c r="F13416" i="1"/>
  <c r="B13417" i="1"/>
  <c r="A13417" i="1"/>
  <c r="E13417" i="1"/>
  <c r="F13417" i="1"/>
  <c r="B13418" i="1"/>
  <c r="A13418" i="1"/>
  <c r="E13418" i="1"/>
  <c r="F13418" i="1"/>
  <c r="B13419" i="1"/>
  <c r="A13419" i="1"/>
  <c r="E13419" i="1"/>
  <c r="F13419" i="1"/>
  <c r="G13419" i="1"/>
  <c r="B13420" i="1"/>
  <c r="A13420" i="1"/>
  <c r="E13420" i="1"/>
  <c r="F13420" i="1"/>
  <c r="B13421" i="1"/>
  <c r="A13421" i="1"/>
  <c r="E13421" i="1"/>
  <c r="F13421" i="1"/>
  <c r="G13421" i="1"/>
  <c r="B13422" i="1"/>
  <c r="A13422" i="1"/>
  <c r="E13422" i="1"/>
  <c r="F13422" i="1"/>
  <c r="B13423" i="1"/>
  <c r="A13423" i="1"/>
  <c r="E13423" i="1"/>
  <c r="F13423" i="1"/>
  <c r="B13424" i="1"/>
  <c r="A13424" i="1"/>
  <c r="E13424" i="1"/>
  <c r="F13424" i="1"/>
  <c r="B13425" i="1"/>
  <c r="A13425" i="1"/>
  <c r="E13425" i="1"/>
  <c r="F13425" i="1"/>
  <c r="B13426" i="1"/>
  <c r="A13426" i="1"/>
  <c r="E13426" i="1"/>
  <c r="F13426" i="1"/>
  <c r="B13427" i="1"/>
  <c r="A13427" i="1"/>
  <c r="E13427" i="1"/>
  <c r="F13427" i="1"/>
  <c r="G13427" i="1"/>
  <c r="B13428" i="1"/>
  <c r="A13428" i="1"/>
  <c r="E13428" i="1"/>
  <c r="F13428" i="1"/>
  <c r="B13429" i="1"/>
  <c r="A13429" i="1"/>
  <c r="E13429" i="1"/>
  <c r="F13429" i="1"/>
  <c r="B13430" i="1"/>
  <c r="A13430" i="1"/>
  <c r="E13430" i="1"/>
  <c r="F13430" i="1"/>
  <c r="B13431" i="1"/>
  <c r="A13431" i="1"/>
  <c r="E13431" i="1"/>
  <c r="F13431" i="1"/>
  <c r="B13432" i="1"/>
  <c r="A13432" i="1"/>
  <c r="E13432" i="1"/>
  <c r="F13432" i="1"/>
  <c r="G13432" i="1"/>
  <c r="B13433" i="1"/>
  <c r="A13433" i="1"/>
  <c r="E13433" i="1"/>
  <c r="F13433" i="1"/>
  <c r="B13434" i="1"/>
  <c r="A13434" i="1"/>
  <c r="E13434" i="1"/>
  <c r="F13434" i="1"/>
  <c r="B13435" i="1"/>
  <c r="A13435" i="1"/>
  <c r="E13435" i="1"/>
  <c r="F13435" i="1"/>
  <c r="B13436" i="1"/>
  <c r="A13436" i="1"/>
  <c r="E13436" i="1"/>
  <c r="F13436" i="1"/>
  <c r="B13437" i="1"/>
  <c r="A13437" i="1"/>
  <c r="E13437" i="1"/>
  <c r="F13437" i="1"/>
  <c r="B13438" i="1"/>
  <c r="A13438" i="1"/>
  <c r="E13438" i="1"/>
  <c r="F13438" i="1"/>
  <c r="B13439" i="1"/>
  <c r="A13439" i="1"/>
  <c r="E13439" i="1"/>
  <c r="F13439" i="1"/>
  <c r="B13440" i="1"/>
  <c r="A13440" i="1"/>
  <c r="E13440" i="1"/>
  <c r="F13440" i="1"/>
  <c r="G13440" i="1"/>
  <c r="B13441" i="1"/>
  <c r="A13441" i="1"/>
  <c r="E13441" i="1"/>
  <c r="F13441" i="1"/>
  <c r="B13442" i="1"/>
  <c r="A13442" i="1"/>
  <c r="E13442" i="1"/>
  <c r="F13442" i="1"/>
  <c r="B13443" i="1"/>
  <c r="A13443" i="1"/>
  <c r="E13443" i="1"/>
  <c r="F13443" i="1"/>
  <c r="B13444" i="1"/>
  <c r="A13444" i="1"/>
  <c r="E13444" i="1"/>
  <c r="F13444" i="1"/>
  <c r="B13445" i="1"/>
  <c r="A13445" i="1"/>
  <c r="E13445" i="1"/>
  <c r="F13445" i="1"/>
  <c r="B13446" i="1"/>
  <c r="A13446" i="1"/>
  <c r="E13446" i="1"/>
  <c r="F13446" i="1"/>
  <c r="B13447" i="1"/>
  <c r="A13447" i="1"/>
  <c r="E13447" i="1"/>
  <c r="F13447" i="1"/>
  <c r="B13448" i="1"/>
  <c r="A13448" i="1"/>
  <c r="E13448" i="1"/>
  <c r="F13448" i="1"/>
  <c r="B13449" i="1"/>
  <c r="A13449" i="1"/>
  <c r="E13449" i="1"/>
  <c r="F13449" i="1"/>
  <c r="G13449" i="1"/>
  <c r="B13450" i="1"/>
  <c r="A13450" i="1"/>
  <c r="E13450" i="1"/>
  <c r="F13450" i="1"/>
  <c r="B13451" i="1"/>
  <c r="A13451" i="1"/>
  <c r="E13451" i="1"/>
  <c r="F13451" i="1"/>
  <c r="B13452" i="1"/>
  <c r="A13452" i="1"/>
  <c r="E13452" i="1"/>
  <c r="F13452" i="1"/>
  <c r="B13453" i="1"/>
  <c r="A13453" i="1"/>
  <c r="E13453" i="1"/>
  <c r="F13453" i="1"/>
  <c r="B13454" i="1"/>
  <c r="A13454" i="1"/>
  <c r="E13454" i="1"/>
  <c r="F13454" i="1"/>
  <c r="B13455" i="1"/>
  <c r="A13455" i="1"/>
  <c r="E13455" i="1"/>
  <c r="B13456" i="1"/>
  <c r="A13456" i="1"/>
  <c r="E13456" i="1"/>
  <c r="B13457" i="1"/>
  <c r="A13457" i="1"/>
  <c r="E13457" i="1"/>
  <c r="B13458" i="1"/>
  <c r="A13458" i="1"/>
  <c r="E13458" i="1"/>
  <c r="G13458" i="1"/>
  <c r="B13459" i="1"/>
  <c r="A13459" i="1"/>
  <c r="E13459" i="1"/>
  <c r="B13460" i="1"/>
  <c r="A13460" i="1"/>
  <c r="E13460" i="1"/>
  <c r="B13461" i="1"/>
  <c r="A13461" i="1"/>
  <c r="E13461" i="1"/>
  <c r="B13462" i="1"/>
  <c r="A13462" i="1"/>
  <c r="E13462" i="1"/>
  <c r="B13463" i="1"/>
  <c r="A13463" i="1"/>
  <c r="E13463" i="1"/>
  <c r="B13464" i="1"/>
  <c r="A13464" i="1"/>
  <c r="E13464" i="1"/>
  <c r="B13465" i="1"/>
  <c r="A13465" i="1"/>
  <c r="E13465" i="1"/>
  <c r="F13465" i="1"/>
  <c r="G13465" i="1"/>
  <c r="B13466" i="1"/>
  <c r="A13466" i="1"/>
  <c r="E13466" i="1"/>
  <c r="F13466" i="1"/>
  <c r="G13466" i="1"/>
  <c r="B13467" i="1"/>
  <c r="A13467" i="1"/>
  <c r="E13467" i="1"/>
  <c r="F13467" i="1"/>
  <c r="B13468" i="1"/>
  <c r="A13468" i="1"/>
  <c r="E13468" i="1"/>
  <c r="F13468" i="1"/>
  <c r="B13469" i="1"/>
  <c r="A13469" i="1"/>
  <c r="E13469" i="1"/>
  <c r="F13469" i="1"/>
  <c r="B13470" i="1"/>
  <c r="A13470" i="1"/>
  <c r="E13470" i="1"/>
  <c r="F13470" i="1"/>
  <c r="B13471" i="1"/>
  <c r="A13471" i="1"/>
  <c r="E13471" i="1"/>
  <c r="F13471" i="1"/>
  <c r="B13472" i="1"/>
  <c r="A13472" i="1"/>
  <c r="E13472" i="1"/>
  <c r="F13472" i="1"/>
  <c r="B13473" i="1"/>
  <c r="A13473" i="1"/>
  <c r="E13473" i="1"/>
  <c r="F13473" i="1"/>
  <c r="B13474" i="1"/>
  <c r="A13474" i="1"/>
  <c r="E13474" i="1"/>
  <c r="F13474" i="1"/>
  <c r="B13475" i="1"/>
  <c r="A13475" i="1"/>
  <c r="E13475" i="1"/>
  <c r="F13475" i="1"/>
  <c r="B13476" i="1"/>
  <c r="A13476" i="1"/>
  <c r="E13476" i="1"/>
  <c r="F13476" i="1"/>
  <c r="B13477" i="1"/>
  <c r="A13477" i="1"/>
  <c r="E13477" i="1"/>
  <c r="F13477" i="1"/>
  <c r="B13478" i="1"/>
  <c r="A13478" i="1"/>
  <c r="E13478" i="1"/>
  <c r="F13478" i="1"/>
  <c r="B13479" i="1"/>
  <c r="A13479" i="1"/>
  <c r="E13479" i="1"/>
  <c r="F13479" i="1"/>
  <c r="B13480" i="1"/>
  <c r="A13480" i="1"/>
  <c r="E13480" i="1"/>
  <c r="F13480" i="1"/>
  <c r="B13481" i="1"/>
  <c r="A13481" i="1"/>
  <c r="E13481" i="1"/>
  <c r="F13481" i="1"/>
  <c r="B13482" i="1"/>
  <c r="A13482" i="1"/>
  <c r="E13482" i="1"/>
  <c r="F13482" i="1"/>
  <c r="B13483" i="1"/>
  <c r="A13483" i="1"/>
  <c r="E13483" i="1"/>
  <c r="F13483" i="1"/>
  <c r="B13484" i="1"/>
  <c r="A13484" i="1"/>
  <c r="E13484" i="1"/>
  <c r="F13484" i="1"/>
  <c r="B13485" i="1"/>
  <c r="A13485" i="1"/>
  <c r="E13485" i="1"/>
  <c r="F13485" i="1"/>
  <c r="B13486" i="1"/>
  <c r="A13486" i="1"/>
  <c r="E13486" i="1"/>
  <c r="F13486" i="1"/>
  <c r="B13487" i="1"/>
  <c r="A13487" i="1"/>
  <c r="E13487" i="1"/>
  <c r="F13487" i="1"/>
  <c r="B13488" i="1"/>
  <c r="A13488" i="1"/>
  <c r="E13488" i="1"/>
  <c r="F13488" i="1"/>
  <c r="B13489" i="1"/>
  <c r="A13489" i="1"/>
  <c r="E13489" i="1"/>
  <c r="F13489" i="1"/>
  <c r="B13490" i="1"/>
  <c r="A13490" i="1"/>
  <c r="E13490" i="1"/>
  <c r="F13490" i="1"/>
  <c r="B13491" i="1"/>
  <c r="A13491" i="1"/>
  <c r="E13491" i="1"/>
  <c r="F13491" i="1"/>
  <c r="B13492" i="1"/>
  <c r="A13492" i="1"/>
  <c r="E13492" i="1"/>
  <c r="F13492" i="1"/>
  <c r="B13493" i="1"/>
  <c r="A13493" i="1"/>
  <c r="E13493" i="1"/>
  <c r="F13493" i="1"/>
  <c r="B13494" i="1"/>
  <c r="A13494" i="1"/>
  <c r="E13494" i="1"/>
  <c r="F13494" i="1"/>
  <c r="B13495" i="1"/>
  <c r="A13495" i="1"/>
  <c r="E13495" i="1"/>
  <c r="F13495" i="1"/>
  <c r="B13496" i="1"/>
  <c r="A13496" i="1"/>
  <c r="E13496" i="1"/>
  <c r="F13496" i="1"/>
  <c r="B13497" i="1"/>
  <c r="A13497" i="1"/>
  <c r="E13497" i="1"/>
  <c r="F13497" i="1"/>
  <c r="B13498" i="1"/>
  <c r="A13498" i="1"/>
  <c r="E13498" i="1"/>
  <c r="F13498" i="1"/>
  <c r="B13499" i="1"/>
  <c r="A13499" i="1"/>
  <c r="E13499" i="1"/>
  <c r="F13499" i="1"/>
  <c r="B13500" i="1"/>
  <c r="A13500" i="1"/>
  <c r="E13500" i="1"/>
  <c r="F13500" i="1"/>
  <c r="B13501" i="1"/>
  <c r="A13501" i="1"/>
  <c r="E13501" i="1"/>
  <c r="F13501" i="1"/>
  <c r="B13502" i="1"/>
  <c r="A13502" i="1"/>
  <c r="E13502" i="1"/>
  <c r="F13502" i="1"/>
  <c r="B13503" i="1"/>
  <c r="A13503" i="1"/>
  <c r="E13503" i="1"/>
  <c r="F13503" i="1"/>
  <c r="B13504" i="1"/>
  <c r="A13504" i="1"/>
  <c r="E13504" i="1"/>
  <c r="F13504" i="1"/>
  <c r="G13504" i="1"/>
  <c r="B13505" i="1"/>
  <c r="A13505" i="1"/>
  <c r="E13505" i="1"/>
  <c r="F13505" i="1"/>
  <c r="B13506" i="1"/>
  <c r="A13506" i="1"/>
  <c r="E13506" i="1"/>
  <c r="F13506" i="1"/>
  <c r="B13507" i="1"/>
  <c r="A13507" i="1"/>
  <c r="E13507" i="1"/>
  <c r="F13507" i="1"/>
  <c r="B13508" i="1"/>
  <c r="A13508" i="1"/>
  <c r="E13508" i="1"/>
  <c r="F13508" i="1"/>
  <c r="B13509" i="1"/>
  <c r="A13509" i="1"/>
  <c r="E13509" i="1"/>
  <c r="F13509" i="1"/>
  <c r="B13510" i="1"/>
  <c r="A13510" i="1"/>
  <c r="E13510" i="1"/>
  <c r="F13510" i="1"/>
  <c r="G13510" i="1"/>
  <c r="B13511" i="1"/>
  <c r="A13511" i="1"/>
  <c r="E13511" i="1"/>
  <c r="F13511" i="1"/>
  <c r="G13511" i="1"/>
  <c r="B13512" i="1"/>
  <c r="A13512" i="1"/>
  <c r="E13512" i="1"/>
  <c r="F13512" i="1"/>
  <c r="G13512" i="1"/>
  <c r="B13513" i="1"/>
  <c r="A13513" i="1"/>
  <c r="E13513" i="1"/>
  <c r="F13513" i="1"/>
  <c r="B13514" i="1"/>
  <c r="A13514" i="1"/>
  <c r="E13514" i="1"/>
  <c r="F13514" i="1"/>
  <c r="B13515" i="1"/>
  <c r="A13515" i="1"/>
  <c r="E13515" i="1"/>
  <c r="F13515" i="1"/>
  <c r="B13516" i="1"/>
  <c r="A13516" i="1"/>
  <c r="E13516" i="1"/>
  <c r="F13516" i="1"/>
  <c r="B13517" i="1"/>
  <c r="A13517" i="1"/>
  <c r="E13517" i="1"/>
  <c r="F13517" i="1"/>
  <c r="B13518" i="1"/>
  <c r="A13518" i="1"/>
  <c r="E13518" i="1"/>
  <c r="F13518" i="1"/>
  <c r="B13519" i="1"/>
  <c r="A13519" i="1"/>
  <c r="E13519" i="1"/>
  <c r="F13519" i="1"/>
  <c r="B13520" i="1"/>
  <c r="A13520" i="1"/>
  <c r="E13520" i="1"/>
  <c r="F13520" i="1"/>
  <c r="G13520" i="1"/>
  <c r="B13521" i="1"/>
  <c r="A13521" i="1"/>
  <c r="E13521" i="1"/>
  <c r="G13521" i="1"/>
  <c r="B13522" i="1"/>
  <c r="A13522" i="1"/>
  <c r="E13522" i="1"/>
  <c r="B13523" i="1"/>
  <c r="A13523" i="1"/>
  <c r="E13523" i="1"/>
  <c r="B13524" i="1"/>
  <c r="A13524" i="1"/>
  <c r="E13524" i="1"/>
  <c r="B13525" i="1"/>
  <c r="A13525" i="1"/>
  <c r="E13525" i="1"/>
  <c r="B13526" i="1"/>
  <c r="A13526" i="1"/>
  <c r="E13526" i="1"/>
  <c r="B13527" i="1"/>
  <c r="A13527" i="1"/>
  <c r="E13527" i="1"/>
  <c r="F13527" i="1"/>
  <c r="B13528" i="1"/>
  <c r="A13528" i="1"/>
  <c r="E13528" i="1"/>
  <c r="F13528" i="1"/>
  <c r="B13529" i="1"/>
  <c r="A13529" i="1"/>
  <c r="E13529" i="1"/>
  <c r="F13529" i="1"/>
  <c r="G13529" i="1"/>
  <c r="B13530" i="1"/>
  <c r="A13530" i="1"/>
  <c r="E13530" i="1"/>
  <c r="F13530" i="1"/>
  <c r="G13530" i="1"/>
  <c r="B13531" i="1"/>
  <c r="A13531" i="1"/>
  <c r="E13531" i="1"/>
  <c r="F13531" i="1"/>
  <c r="B13532" i="1"/>
  <c r="A13532" i="1"/>
  <c r="E13532" i="1"/>
  <c r="F13532" i="1"/>
  <c r="G13532" i="1"/>
  <c r="B13533" i="1"/>
  <c r="A13533" i="1"/>
  <c r="E13533" i="1"/>
  <c r="F13533" i="1"/>
  <c r="B13534" i="1"/>
  <c r="A13534" i="1"/>
  <c r="E13534" i="1"/>
  <c r="F13534" i="1"/>
  <c r="B13535" i="1"/>
  <c r="A13535" i="1"/>
  <c r="E13535" i="1"/>
  <c r="F13535" i="1"/>
  <c r="B13536" i="1"/>
  <c r="A13536" i="1"/>
  <c r="E13536" i="1"/>
  <c r="F13536" i="1"/>
  <c r="B13537" i="1"/>
  <c r="A13537" i="1"/>
  <c r="E13537" i="1"/>
  <c r="F13537" i="1"/>
  <c r="G13537" i="1"/>
  <c r="B13538" i="1"/>
  <c r="A13538" i="1"/>
  <c r="E13538" i="1"/>
  <c r="F13538" i="1"/>
  <c r="G13538" i="1"/>
  <c r="B13539" i="1"/>
  <c r="A13539" i="1"/>
  <c r="E13539" i="1"/>
  <c r="F13539" i="1"/>
  <c r="B13540" i="1"/>
  <c r="A13540" i="1"/>
  <c r="E13540" i="1"/>
  <c r="F13540" i="1"/>
  <c r="B13541" i="1"/>
  <c r="A13541" i="1"/>
  <c r="E13541" i="1"/>
  <c r="F13541" i="1"/>
  <c r="B13542" i="1"/>
  <c r="A13542" i="1"/>
  <c r="E13542" i="1"/>
  <c r="F13542" i="1"/>
  <c r="B13543" i="1"/>
  <c r="A13543" i="1"/>
  <c r="E13543" i="1"/>
  <c r="F13543" i="1"/>
  <c r="B13544" i="1"/>
  <c r="A13544" i="1"/>
  <c r="E13544" i="1"/>
  <c r="F13544" i="1"/>
  <c r="B13545" i="1"/>
  <c r="A13545" i="1"/>
  <c r="E13545" i="1"/>
  <c r="F13545" i="1"/>
  <c r="B13546" i="1"/>
  <c r="A13546" i="1"/>
  <c r="E13546" i="1"/>
  <c r="F13546" i="1"/>
  <c r="B13547" i="1"/>
  <c r="A13547" i="1"/>
  <c r="E13547" i="1"/>
  <c r="F13547" i="1"/>
  <c r="B13548" i="1"/>
  <c r="A13548" i="1"/>
  <c r="E13548" i="1"/>
  <c r="F13548" i="1"/>
  <c r="B13549" i="1"/>
  <c r="A13549" i="1"/>
  <c r="E13549" i="1"/>
  <c r="F13549" i="1"/>
  <c r="B13550" i="1"/>
  <c r="A13550" i="1"/>
  <c r="E13550" i="1"/>
  <c r="F13550" i="1"/>
  <c r="G13550" i="1"/>
  <c r="B13551" i="1"/>
  <c r="A13551" i="1"/>
  <c r="E13551" i="1"/>
  <c r="F13551" i="1"/>
  <c r="B13552" i="1"/>
  <c r="A13552" i="1"/>
  <c r="E13552" i="1"/>
  <c r="F13552" i="1"/>
  <c r="B13553" i="1"/>
  <c r="A13553" i="1"/>
  <c r="E13553" i="1"/>
  <c r="F13553" i="1"/>
  <c r="B13554" i="1"/>
  <c r="A13554" i="1"/>
  <c r="E13554" i="1"/>
  <c r="F13554" i="1"/>
  <c r="B13555" i="1"/>
  <c r="A13555" i="1"/>
  <c r="E13555" i="1"/>
  <c r="F13555" i="1"/>
  <c r="B13556" i="1"/>
  <c r="A13556" i="1"/>
  <c r="E13556" i="1"/>
  <c r="F13556" i="1"/>
  <c r="B13557" i="1"/>
  <c r="A13557" i="1"/>
  <c r="E13557" i="1"/>
  <c r="B13558" i="1"/>
  <c r="A13558" i="1"/>
  <c r="E13558" i="1"/>
  <c r="B13559" i="1"/>
  <c r="A13559" i="1"/>
  <c r="E13559" i="1"/>
  <c r="B13560" i="1"/>
  <c r="A13560" i="1"/>
  <c r="E13560" i="1"/>
  <c r="F13560" i="1"/>
  <c r="B13561" i="1"/>
  <c r="A13561" i="1"/>
  <c r="E13561" i="1"/>
  <c r="B13562" i="1"/>
  <c r="A13562" i="1"/>
  <c r="E13562" i="1"/>
  <c r="B13563" i="1"/>
  <c r="A13563" i="1"/>
  <c r="E13563" i="1"/>
  <c r="B13564" i="1"/>
  <c r="A13564" i="1"/>
  <c r="E13564" i="1"/>
  <c r="B13565" i="1"/>
  <c r="A13565" i="1"/>
  <c r="E13565" i="1"/>
  <c r="B13566" i="1"/>
  <c r="A13566" i="1"/>
  <c r="E13566" i="1"/>
  <c r="B13567" i="1"/>
  <c r="A13567" i="1"/>
  <c r="E13567" i="1"/>
  <c r="B13568" i="1"/>
  <c r="A13568" i="1"/>
  <c r="E13568" i="1"/>
  <c r="B13569" i="1"/>
  <c r="A13569" i="1"/>
  <c r="E13569" i="1"/>
  <c r="B13570" i="1"/>
  <c r="A13570" i="1"/>
  <c r="E13570" i="1"/>
  <c r="G13570" i="1"/>
  <c r="B13571" i="1"/>
  <c r="A13571" i="1"/>
  <c r="E13571" i="1"/>
  <c r="G13571" i="1"/>
  <c r="B13572" i="1"/>
  <c r="A13572" i="1"/>
  <c r="E13572" i="1"/>
  <c r="G13572" i="1"/>
  <c r="B13573" i="1"/>
  <c r="A13573" i="1"/>
  <c r="E13573" i="1"/>
  <c r="B13574" i="1"/>
  <c r="A13574" i="1"/>
  <c r="E13574" i="1"/>
  <c r="F13574" i="1"/>
  <c r="B13575" i="1"/>
  <c r="A13575" i="1"/>
  <c r="E13575" i="1"/>
  <c r="F13575" i="1"/>
  <c r="B13576" i="1"/>
  <c r="A13576" i="1"/>
  <c r="E13576" i="1"/>
  <c r="B13577" i="1"/>
  <c r="A13577" i="1"/>
  <c r="E13577" i="1"/>
  <c r="B13578" i="1"/>
  <c r="A13578" i="1"/>
  <c r="E13578" i="1"/>
  <c r="B13579" i="1"/>
  <c r="A13579" i="1"/>
  <c r="E13579" i="1"/>
  <c r="B13580" i="1"/>
  <c r="A13580" i="1"/>
  <c r="E13580" i="1"/>
  <c r="B13581" i="1"/>
  <c r="A13581" i="1"/>
  <c r="E13581" i="1"/>
  <c r="B13582" i="1"/>
  <c r="A13582" i="1"/>
  <c r="E13582" i="1"/>
  <c r="B13583" i="1"/>
  <c r="A13583" i="1"/>
  <c r="E13583" i="1"/>
  <c r="B13584" i="1"/>
  <c r="A13584" i="1"/>
  <c r="E13584" i="1"/>
  <c r="B13585" i="1"/>
  <c r="A13585" i="1"/>
  <c r="E13585" i="1"/>
  <c r="G13585" i="1"/>
  <c r="B13586" i="1"/>
  <c r="A13586" i="1"/>
  <c r="E13586" i="1"/>
  <c r="B13587" i="1"/>
  <c r="A13587" i="1"/>
  <c r="E13587" i="1"/>
  <c r="B13588" i="1"/>
  <c r="A13588" i="1"/>
  <c r="E13588" i="1"/>
  <c r="B13589" i="1"/>
  <c r="A13589" i="1"/>
  <c r="E13589" i="1"/>
  <c r="B13590" i="1"/>
  <c r="A13590" i="1"/>
  <c r="E13590" i="1"/>
  <c r="B13591" i="1"/>
  <c r="A13591" i="1"/>
  <c r="E13591" i="1"/>
  <c r="B13592" i="1"/>
  <c r="A13592" i="1"/>
  <c r="E13592" i="1"/>
  <c r="B13593" i="1"/>
  <c r="A13593" i="1"/>
  <c r="E13593" i="1"/>
  <c r="B13594" i="1"/>
  <c r="A13594" i="1"/>
  <c r="E13594" i="1"/>
  <c r="F13594" i="1"/>
  <c r="B13595" i="1"/>
  <c r="A13595" i="1"/>
  <c r="E13595" i="1"/>
  <c r="F13595" i="1"/>
  <c r="G13595" i="1"/>
  <c r="B13596" i="1"/>
  <c r="A13596" i="1"/>
  <c r="E13596" i="1"/>
  <c r="F13596" i="1"/>
  <c r="B13597" i="1"/>
  <c r="A13597" i="1"/>
  <c r="E13597" i="1"/>
  <c r="F13597" i="1"/>
  <c r="B13598" i="1"/>
  <c r="A13598" i="1"/>
  <c r="E13598" i="1"/>
  <c r="B13599" i="1"/>
  <c r="A13599" i="1"/>
  <c r="E13599" i="1"/>
  <c r="B13600" i="1"/>
  <c r="A13600" i="1"/>
  <c r="E13600" i="1"/>
  <c r="B13601" i="1"/>
  <c r="A13601" i="1"/>
  <c r="E13601" i="1"/>
  <c r="B13602" i="1"/>
  <c r="A13602" i="1"/>
  <c r="E13602" i="1"/>
  <c r="B13603" i="1"/>
  <c r="A13603" i="1"/>
  <c r="E13603" i="1"/>
  <c r="B13604" i="1"/>
  <c r="A13604" i="1"/>
  <c r="E13604" i="1"/>
  <c r="F13604" i="1"/>
  <c r="G13604" i="1"/>
  <c r="B13605" i="1"/>
  <c r="A13605" i="1"/>
  <c r="E13605" i="1"/>
  <c r="F13605" i="1"/>
  <c r="B13606" i="1"/>
  <c r="A13606" i="1"/>
  <c r="E13606" i="1"/>
  <c r="F13606" i="1"/>
  <c r="B13607" i="1"/>
  <c r="A13607" i="1"/>
  <c r="E13607" i="1"/>
  <c r="F13607" i="1"/>
  <c r="B13608" i="1"/>
  <c r="A13608" i="1"/>
  <c r="E13608" i="1"/>
  <c r="F13608" i="1"/>
  <c r="B13609" i="1"/>
  <c r="A13609" i="1"/>
  <c r="E13609" i="1"/>
  <c r="F13609" i="1"/>
  <c r="B13610" i="1"/>
  <c r="A13610" i="1"/>
  <c r="E13610" i="1"/>
  <c r="F13610" i="1"/>
  <c r="B13611" i="1"/>
  <c r="A13611" i="1"/>
  <c r="E13611" i="1"/>
  <c r="F13611" i="1"/>
  <c r="B13612" i="1"/>
  <c r="A13612" i="1"/>
  <c r="E13612" i="1"/>
  <c r="F13612" i="1"/>
  <c r="B13613" i="1"/>
  <c r="A13613" i="1"/>
  <c r="E13613" i="1"/>
  <c r="F13613" i="1"/>
  <c r="B13614" i="1"/>
  <c r="A13614" i="1"/>
  <c r="E13614" i="1"/>
  <c r="F13614" i="1"/>
  <c r="B13615" i="1"/>
  <c r="A13615" i="1"/>
  <c r="E13615" i="1"/>
  <c r="F13615" i="1"/>
  <c r="B13616" i="1"/>
  <c r="A13616" i="1"/>
  <c r="E13616" i="1"/>
  <c r="F13616" i="1"/>
  <c r="B13617" i="1"/>
  <c r="A13617" i="1"/>
  <c r="E13617" i="1"/>
  <c r="F13617" i="1"/>
  <c r="B13618" i="1"/>
  <c r="A13618" i="1"/>
  <c r="E13618" i="1"/>
  <c r="F13618" i="1"/>
  <c r="B13619" i="1"/>
  <c r="A13619" i="1"/>
  <c r="E13619" i="1"/>
  <c r="F13619" i="1"/>
  <c r="B13620" i="1"/>
  <c r="A13620" i="1"/>
  <c r="E13620" i="1"/>
  <c r="F13620" i="1"/>
  <c r="B13621" i="1"/>
  <c r="A13621" i="1"/>
  <c r="E13621" i="1"/>
  <c r="F13621" i="1"/>
  <c r="B13622" i="1"/>
  <c r="A13622" i="1"/>
  <c r="E13622" i="1"/>
  <c r="F13622" i="1"/>
  <c r="B13623" i="1"/>
  <c r="A13623" i="1"/>
  <c r="E13623" i="1"/>
  <c r="F13623" i="1"/>
  <c r="B13624" i="1"/>
  <c r="A13624" i="1"/>
  <c r="E13624" i="1"/>
  <c r="F13624" i="1"/>
  <c r="B13625" i="1"/>
  <c r="A13625" i="1"/>
  <c r="E13625" i="1"/>
  <c r="F13625" i="1"/>
  <c r="B13626" i="1"/>
  <c r="A13626" i="1"/>
  <c r="E13626" i="1"/>
  <c r="F13626" i="1"/>
  <c r="G13626" i="1"/>
  <c r="B13627" i="1"/>
  <c r="A13627" i="1"/>
  <c r="E13627" i="1"/>
  <c r="F13627" i="1"/>
  <c r="B13628" i="1"/>
  <c r="A13628" i="1"/>
  <c r="E13628" i="1"/>
  <c r="F13628" i="1"/>
  <c r="B13629" i="1"/>
  <c r="A13629" i="1"/>
  <c r="E13629" i="1"/>
  <c r="F13629" i="1"/>
  <c r="B13630" i="1"/>
  <c r="A13630" i="1"/>
  <c r="E13630" i="1"/>
  <c r="F13630" i="1"/>
  <c r="B13631" i="1"/>
  <c r="A13631" i="1"/>
  <c r="E13631" i="1"/>
  <c r="F13631" i="1"/>
  <c r="G13631" i="1"/>
  <c r="B13632" i="1"/>
  <c r="A13632" i="1"/>
  <c r="E13632" i="1"/>
  <c r="F13632" i="1"/>
  <c r="B13633" i="1"/>
  <c r="A13633" i="1"/>
  <c r="E13633" i="1"/>
  <c r="F13633" i="1"/>
  <c r="B13634" i="1"/>
  <c r="A13634" i="1"/>
  <c r="E13634" i="1"/>
  <c r="F13634" i="1"/>
  <c r="G13634" i="1"/>
  <c r="B13635" i="1"/>
  <c r="A13635" i="1"/>
  <c r="E13635" i="1"/>
  <c r="F13635" i="1"/>
  <c r="B13636" i="1"/>
  <c r="A13636" i="1"/>
  <c r="E13636" i="1"/>
  <c r="F13636" i="1"/>
  <c r="G13636" i="1"/>
  <c r="B13637" i="1"/>
  <c r="A13637" i="1"/>
  <c r="E13637" i="1"/>
  <c r="F13637" i="1"/>
  <c r="B13638" i="1"/>
  <c r="A13638" i="1"/>
  <c r="E13638" i="1"/>
  <c r="F13638" i="1"/>
  <c r="G13638" i="1"/>
  <c r="B13639" i="1"/>
  <c r="A13639" i="1"/>
  <c r="E13639" i="1"/>
  <c r="F13639" i="1"/>
  <c r="G13639" i="1"/>
  <c r="B13640" i="1"/>
  <c r="A13640" i="1"/>
  <c r="E13640" i="1"/>
  <c r="F13640" i="1"/>
  <c r="B13641" i="1"/>
  <c r="A13641" i="1"/>
  <c r="E13641" i="1"/>
  <c r="F13641" i="1"/>
  <c r="B13642" i="1"/>
  <c r="A13642" i="1"/>
  <c r="E13642" i="1"/>
  <c r="F13642" i="1"/>
  <c r="G13642" i="1"/>
  <c r="B13643" i="1"/>
  <c r="A13643" i="1"/>
  <c r="E13643" i="1"/>
  <c r="F13643" i="1"/>
  <c r="G13643" i="1"/>
  <c r="B13644" i="1"/>
  <c r="A13644" i="1"/>
  <c r="E13644" i="1"/>
  <c r="B13645" i="1"/>
  <c r="A13645" i="1"/>
  <c r="E13645" i="1"/>
  <c r="B13646" i="1"/>
  <c r="A13646" i="1"/>
  <c r="E13646" i="1"/>
  <c r="B13647" i="1"/>
  <c r="A13647" i="1"/>
  <c r="E13647" i="1"/>
  <c r="B13648" i="1"/>
  <c r="A13648" i="1"/>
  <c r="E13648" i="1"/>
  <c r="G13648" i="1"/>
  <c r="B13649" i="1"/>
  <c r="A13649" i="1"/>
  <c r="E13649" i="1"/>
  <c r="B13650" i="1"/>
  <c r="A13650" i="1"/>
  <c r="E13650" i="1"/>
  <c r="B13651" i="1"/>
  <c r="A13651" i="1"/>
  <c r="E13651" i="1"/>
  <c r="B13652" i="1"/>
  <c r="A13652" i="1"/>
  <c r="E13652" i="1"/>
  <c r="B13653" i="1"/>
  <c r="A13653" i="1"/>
  <c r="E13653" i="1"/>
  <c r="F13653" i="1"/>
  <c r="B13654" i="1"/>
  <c r="A13654" i="1"/>
  <c r="E13654" i="1"/>
  <c r="F13654" i="1"/>
  <c r="B13655" i="1"/>
  <c r="A13655" i="1"/>
  <c r="E13655" i="1"/>
  <c r="F13655" i="1"/>
  <c r="B13656" i="1"/>
  <c r="A13656" i="1"/>
  <c r="E13656" i="1"/>
  <c r="F13656" i="1"/>
  <c r="B13657" i="1"/>
  <c r="A13657" i="1"/>
  <c r="E13657" i="1"/>
  <c r="F13657" i="1"/>
  <c r="B13658" i="1"/>
  <c r="A13658" i="1"/>
  <c r="E13658" i="1"/>
  <c r="F13658" i="1"/>
  <c r="B13659" i="1"/>
  <c r="A13659" i="1"/>
  <c r="E13659" i="1"/>
  <c r="F13659" i="1"/>
  <c r="B13660" i="1"/>
  <c r="A13660" i="1"/>
  <c r="E13660" i="1"/>
  <c r="F13660" i="1"/>
  <c r="B13661" i="1"/>
  <c r="A13661" i="1"/>
  <c r="E13661" i="1"/>
  <c r="F13661" i="1"/>
  <c r="B13662" i="1"/>
  <c r="A13662" i="1"/>
  <c r="E13662" i="1"/>
  <c r="F13662" i="1"/>
  <c r="B13663" i="1"/>
  <c r="A13663" i="1"/>
  <c r="E13663" i="1"/>
  <c r="F13663" i="1"/>
  <c r="B13664" i="1"/>
  <c r="A13664" i="1"/>
  <c r="E13664" i="1"/>
  <c r="F13664" i="1"/>
  <c r="B13665" i="1"/>
  <c r="A13665" i="1"/>
  <c r="E13665" i="1"/>
  <c r="F13665" i="1"/>
  <c r="G13665" i="1"/>
  <c r="B13666" i="1"/>
  <c r="A13666" i="1"/>
  <c r="E13666" i="1"/>
  <c r="F13666" i="1"/>
  <c r="B13667" i="1"/>
  <c r="A13667" i="1"/>
  <c r="E13667" i="1"/>
  <c r="F13667" i="1"/>
  <c r="B13668" i="1"/>
  <c r="A13668" i="1"/>
  <c r="E13668" i="1"/>
  <c r="F13668" i="1"/>
  <c r="B13669" i="1"/>
  <c r="A13669" i="1"/>
  <c r="E13669" i="1"/>
  <c r="F13669" i="1"/>
  <c r="B13670" i="1"/>
  <c r="A13670" i="1"/>
  <c r="E13670" i="1"/>
  <c r="F13670" i="1"/>
  <c r="B13671" i="1"/>
  <c r="A13671" i="1"/>
  <c r="E13671" i="1"/>
  <c r="F13671" i="1"/>
  <c r="B13672" i="1"/>
  <c r="A13672" i="1"/>
  <c r="E13672" i="1"/>
  <c r="F13672" i="1"/>
  <c r="B13673" i="1"/>
  <c r="A13673" i="1"/>
  <c r="E13673" i="1"/>
  <c r="F13673" i="1"/>
  <c r="B13674" i="1"/>
  <c r="A13674" i="1"/>
  <c r="E13674" i="1"/>
  <c r="F13674" i="1"/>
  <c r="B13675" i="1"/>
  <c r="A13675" i="1"/>
  <c r="E13675" i="1"/>
  <c r="F13675" i="1"/>
  <c r="G13675" i="1"/>
  <c r="B13676" i="1"/>
  <c r="A13676" i="1"/>
  <c r="E13676" i="1"/>
  <c r="F13676" i="1"/>
  <c r="B13677" i="1"/>
  <c r="A13677" i="1"/>
  <c r="E13677" i="1"/>
  <c r="F13677" i="1"/>
  <c r="G13677" i="1"/>
  <c r="B13678" i="1"/>
  <c r="A13678" i="1"/>
  <c r="E13678" i="1"/>
  <c r="F13678" i="1"/>
  <c r="B13679" i="1"/>
  <c r="A13679" i="1"/>
  <c r="E13679" i="1"/>
  <c r="F13679" i="1"/>
  <c r="B13680" i="1"/>
  <c r="A13680" i="1"/>
  <c r="E13680" i="1"/>
  <c r="F13680" i="1"/>
  <c r="B13681" i="1"/>
  <c r="A13681" i="1"/>
  <c r="E13681" i="1"/>
  <c r="F13681" i="1"/>
  <c r="B13682" i="1"/>
  <c r="A13682" i="1"/>
  <c r="E13682" i="1"/>
  <c r="F13682" i="1"/>
  <c r="B13683" i="1"/>
  <c r="A13683" i="1"/>
  <c r="E13683" i="1"/>
  <c r="F13683" i="1"/>
  <c r="G13683" i="1"/>
  <c r="B13684" i="1"/>
  <c r="A13684" i="1"/>
  <c r="E13684" i="1"/>
  <c r="F13684" i="1"/>
  <c r="B13685" i="1"/>
  <c r="A13685" i="1"/>
  <c r="E13685" i="1"/>
  <c r="F13685" i="1"/>
  <c r="B13686" i="1"/>
  <c r="A13686" i="1"/>
  <c r="E13686" i="1"/>
  <c r="F13686" i="1"/>
  <c r="B13687" i="1"/>
  <c r="A13687" i="1"/>
  <c r="E13687" i="1"/>
  <c r="F13687" i="1"/>
  <c r="B13688" i="1"/>
  <c r="A13688" i="1"/>
  <c r="E13688" i="1"/>
  <c r="F13688" i="1"/>
  <c r="B13689" i="1"/>
  <c r="A13689" i="1"/>
  <c r="E13689" i="1"/>
  <c r="F13689" i="1"/>
  <c r="B13690" i="1"/>
  <c r="A13690" i="1"/>
  <c r="E13690" i="1"/>
  <c r="F13690" i="1"/>
  <c r="B13691" i="1"/>
  <c r="A13691" i="1"/>
  <c r="E13691" i="1"/>
  <c r="F13691" i="1"/>
  <c r="B13692" i="1"/>
  <c r="A13692" i="1"/>
  <c r="E13692" i="1"/>
  <c r="F13692" i="1"/>
  <c r="B13693" i="1"/>
  <c r="A13693" i="1"/>
  <c r="E13693" i="1"/>
  <c r="F13693" i="1"/>
  <c r="B13694" i="1"/>
  <c r="A13694" i="1"/>
  <c r="E13694" i="1"/>
  <c r="F13694" i="1"/>
  <c r="G13694" i="1"/>
  <c r="B13695" i="1"/>
  <c r="A13695" i="1"/>
  <c r="E13695" i="1"/>
  <c r="B13696" i="1"/>
  <c r="A13696" i="1"/>
  <c r="E13696" i="1"/>
  <c r="B13697" i="1"/>
  <c r="A13697" i="1"/>
  <c r="E13697" i="1"/>
  <c r="B13698" i="1"/>
  <c r="A13698" i="1"/>
  <c r="E13698" i="1"/>
  <c r="B13699" i="1"/>
  <c r="A13699" i="1"/>
  <c r="E13699" i="1"/>
  <c r="G13699" i="1"/>
  <c r="B13700" i="1"/>
  <c r="A13700" i="1"/>
  <c r="E13700" i="1"/>
  <c r="G13700" i="1"/>
  <c r="B13701" i="1"/>
  <c r="A13701" i="1"/>
  <c r="E13701" i="1"/>
  <c r="B13702" i="1"/>
  <c r="A13702" i="1"/>
  <c r="E13702" i="1"/>
  <c r="B13703" i="1"/>
  <c r="A13703" i="1"/>
  <c r="E13703" i="1"/>
  <c r="B13704" i="1"/>
  <c r="A13704" i="1"/>
  <c r="E13704" i="1"/>
  <c r="B13705" i="1"/>
  <c r="A13705" i="1"/>
  <c r="E13705" i="1"/>
  <c r="B13706" i="1"/>
  <c r="A13706" i="1"/>
  <c r="E13706" i="1"/>
  <c r="B13707" i="1"/>
  <c r="A13707" i="1"/>
  <c r="E13707" i="1"/>
  <c r="B13708" i="1"/>
  <c r="A13708" i="1"/>
  <c r="E13708" i="1"/>
  <c r="B13709" i="1"/>
  <c r="A13709" i="1"/>
  <c r="E13709" i="1"/>
  <c r="B13710" i="1"/>
  <c r="A13710" i="1"/>
  <c r="E13710" i="1"/>
  <c r="B13711" i="1"/>
  <c r="A13711" i="1"/>
  <c r="E13711" i="1"/>
  <c r="B13712" i="1"/>
  <c r="A13712" i="1"/>
  <c r="E13712" i="1"/>
  <c r="B13713" i="1"/>
  <c r="A13713" i="1"/>
  <c r="E13713" i="1"/>
  <c r="B13714" i="1"/>
  <c r="A13714" i="1"/>
  <c r="E13714" i="1"/>
  <c r="F13714" i="1"/>
  <c r="B13715" i="1"/>
  <c r="A13715" i="1"/>
  <c r="E13715" i="1"/>
  <c r="F13715" i="1"/>
  <c r="G13715" i="1"/>
  <c r="B13716" i="1"/>
  <c r="A13716" i="1"/>
  <c r="E13716" i="1"/>
  <c r="B13717" i="1"/>
  <c r="A13717" i="1"/>
  <c r="E13717" i="1"/>
  <c r="B13718" i="1"/>
  <c r="A13718" i="1"/>
  <c r="E13718" i="1"/>
  <c r="B13719" i="1"/>
  <c r="A13719" i="1"/>
  <c r="E13719" i="1"/>
  <c r="F13719" i="1"/>
  <c r="B13720" i="1"/>
  <c r="A13720" i="1"/>
  <c r="E13720" i="1"/>
  <c r="F13720" i="1"/>
  <c r="G13720" i="1"/>
  <c r="B13721" i="1"/>
  <c r="A13721" i="1"/>
  <c r="E13721" i="1"/>
  <c r="F13721" i="1"/>
  <c r="G13721" i="1"/>
  <c r="B13722" i="1"/>
  <c r="A13722" i="1"/>
  <c r="E13722" i="1"/>
  <c r="F13722" i="1"/>
  <c r="G13722" i="1"/>
  <c r="B13723" i="1"/>
  <c r="A13723" i="1"/>
  <c r="E13723" i="1"/>
  <c r="F13723" i="1"/>
  <c r="G13723" i="1"/>
  <c r="B13724" i="1"/>
  <c r="A13724" i="1"/>
  <c r="E13724" i="1"/>
  <c r="F13724" i="1"/>
  <c r="G13724" i="1"/>
  <c r="B13725" i="1"/>
  <c r="A13725" i="1"/>
  <c r="E13725" i="1"/>
  <c r="F13725" i="1"/>
  <c r="G13725" i="1"/>
  <c r="B13726" i="1"/>
  <c r="A13726" i="1"/>
  <c r="E13726" i="1"/>
  <c r="F13726" i="1"/>
  <c r="B13727" i="1"/>
  <c r="A13727" i="1"/>
  <c r="E13727" i="1"/>
  <c r="F13727" i="1"/>
  <c r="B13728" i="1"/>
  <c r="A13728" i="1"/>
  <c r="E13728" i="1"/>
  <c r="F13728" i="1"/>
  <c r="B13729" i="1"/>
  <c r="A13729" i="1"/>
  <c r="E13729" i="1"/>
  <c r="F13729" i="1"/>
  <c r="B13730" i="1"/>
  <c r="A13730" i="1"/>
  <c r="E13730" i="1"/>
  <c r="F13730" i="1"/>
  <c r="B13731" i="1"/>
  <c r="A13731" i="1"/>
  <c r="E13731" i="1"/>
  <c r="F13731" i="1"/>
  <c r="B13732" i="1"/>
  <c r="A13732" i="1"/>
  <c r="E13732" i="1"/>
  <c r="F13732" i="1"/>
  <c r="B13733" i="1"/>
  <c r="A13733" i="1"/>
  <c r="E13733" i="1"/>
  <c r="F13733" i="1"/>
  <c r="G13733" i="1"/>
  <c r="B13734" i="1"/>
  <c r="A13734" i="1"/>
  <c r="E13734" i="1"/>
  <c r="F13734" i="1"/>
  <c r="G13734" i="1"/>
  <c r="B13735" i="1"/>
  <c r="A13735" i="1"/>
  <c r="E13735" i="1"/>
  <c r="F13735" i="1"/>
  <c r="B13736" i="1"/>
  <c r="A13736" i="1"/>
  <c r="E13736" i="1"/>
  <c r="F13736" i="1"/>
  <c r="B13737" i="1"/>
  <c r="A13737" i="1"/>
  <c r="E13737" i="1"/>
  <c r="F13737" i="1"/>
  <c r="G13737" i="1"/>
  <c r="B13738" i="1"/>
  <c r="A13738" i="1"/>
  <c r="E13738" i="1"/>
  <c r="F13738" i="1"/>
  <c r="B13739" i="1"/>
  <c r="A13739" i="1"/>
  <c r="E13739" i="1"/>
  <c r="F13739" i="1"/>
  <c r="G13739" i="1"/>
  <c r="B13740" i="1"/>
  <c r="A13740" i="1"/>
  <c r="E13740" i="1"/>
  <c r="F13740" i="1"/>
  <c r="G13740" i="1"/>
  <c r="B13741" i="1"/>
  <c r="A13741" i="1"/>
  <c r="E13741" i="1"/>
  <c r="F13741" i="1"/>
  <c r="B13742" i="1"/>
  <c r="A13742" i="1"/>
  <c r="E13742" i="1"/>
  <c r="F13742" i="1"/>
  <c r="B13743" i="1"/>
  <c r="A13743" i="1"/>
  <c r="E13743" i="1"/>
  <c r="F13743" i="1"/>
  <c r="B13744" i="1"/>
  <c r="A13744" i="1"/>
  <c r="E13744" i="1"/>
  <c r="F13744" i="1"/>
  <c r="G13744" i="1"/>
  <c r="B13745" i="1"/>
  <c r="A13745" i="1"/>
  <c r="E13745" i="1"/>
  <c r="F13745" i="1"/>
  <c r="G13745" i="1"/>
  <c r="B13746" i="1"/>
  <c r="A13746" i="1"/>
  <c r="E13746" i="1"/>
  <c r="F13746" i="1"/>
  <c r="G13746" i="1"/>
  <c r="B13747" i="1"/>
  <c r="A13747" i="1"/>
  <c r="E13747" i="1"/>
  <c r="G13747" i="1"/>
  <c r="B13748" i="1"/>
  <c r="A13748" i="1"/>
  <c r="E13748" i="1"/>
  <c r="B13749" i="1"/>
  <c r="A13749" i="1"/>
  <c r="E13749" i="1"/>
  <c r="G13749" i="1"/>
  <c r="B13750" i="1"/>
  <c r="A13750" i="1"/>
  <c r="E13750" i="1"/>
  <c r="B13751" i="1"/>
  <c r="A13751" i="1"/>
  <c r="E13751" i="1"/>
  <c r="B13752" i="1"/>
  <c r="A13752" i="1"/>
  <c r="E13752" i="1"/>
  <c r="B13753" i="1"/>
  <c r="A13753" i="1"/>
  <c r="E13753" i="1"/>
  <c r="B13754" i="1"/>
  <c r="A13754" i="1"/>
  <c r="E13754" i="1"/>
  <c r="B13755" i="1"/>
  <c r="A13755" i="1"/>
  <c r="E13755" i="1"/>
  <c r="B13756" i="1"/>
  <c r="A13756" i="1"/>
  <c r="E13756" i="1"/>
  <c r="F13756" i="1"/>
  <c r="B13757" i="1"/>
  <c r="A13757" i="1"/>
  <c r="E13757" i="1"/>
  <c r="F13757" i="1"/>
  <c r="B13758" i="1"/>
  <c r="A13758" i="1"/>
  <c r="E13758" i="1"/>
  <c r="F13758" i="1"/>
  <c r="B13759" i="1"/>
  <c r="A13759" i="1"/>
  <c r="E13759" i="1"/>
  <c r="F13759" i="1"/>
  <c r="B13760" i="1"/>
  <c r="A13760" i="1"/>
  <c r="E13760" i="1"/>
  <c r="F13760" i="1"/>
  <c r="B13761" i="1"/>
  <c r="A13761" i="1"/>
  <c r="E13761" i="1"/>
  <c r="F13761" i="1"/>
  <c r="B13762" i="1"/>
  <c r="A13762" i="1"/>
  <c r="E13762" i="1"/>
  <c r="F13762" i="1"/>
  <c r="B13763" i="1"/>
  <c r="A13763" i="1"/>
  <c r="E13763" i="1"/>
  <c r="F13763" i="1"/>
  <c r="B13764" i="1"/>
  <c r="A13764" i="1"/>
  <c r="E13764" i="1"/>
  <c r="F13764" i="1"/>
  <c r="B13765" i="1"/>
  <c r="A13765" i="1"/>
  <c r="E13765" i="1"/>
  <c r="F13765" i="1"/>
  <c r="B13766" i="1"/>
  <c r="A13766" i="1"/>
  <c r="E13766" i="1"/>
  <c r="F13766" i="1"/>
  <c r="B13767" i="1"/>
  <c r="A13767" i="1"/>
  <c r="E13767" i="1"/>
  <c r="F13767" i="1"/>
  <c r="B13768" i="1"/>
  <c r="A13768" i="1"/>
  <c r="E13768" i="1"/>
  <c r="F13768" i="1"/>
  <c r="B13769" i="1"/>
  <c r="A13769" i="1"/>
  <c r="E13769" i="1"/>
  <c r="F13769" i="1"/>
  <c r="B13770" i="1"/>
  <c r="A13770" i="1"/>
  <c r="E13770" i="1"/>
  <c r="F13770" i="1"/>
  <c r="B13771" i="1"/>
  <c r="A13771" i="1"/>
  <c r="E13771" i="1"/>
  <c r="F13771" i="1"/>
  <c r="B13772" i="1"/>
  <c r="A13772" i="1"/>
  <c r="E13772" i="1"/>
  <c r="F13772" i="1"/>
  <c r="B13773" i="1"/>
  <c r="A13773" i="1"/>
  <c r="E13773" i="1"/>
  <c r="F13773" i="1"/>
  <c r="B13774" i="1"/>
  <c r="A13774" i="1"/>
  <c r="E13774" i="1"/>
  <c r="F13774" i="1"/>
  <c r="B13775" i="1"/>
  <c r="A13775" i="1"/>
  <c r="E13775" i="1"/>
  <c r="F13775" i="1"/>
  <c r="B13776" i="1"/>
  <c r="A13776" i="1"/>
  <c r="E13776" i="1"/>
  <c r="F13776" i="1"/>
  <c r="B13777" i="1"/>
  <c r="A13777" i="1"/>
  <c r="E13777" i="1"/>
  <c r="F13777" i="1"/>
  <c r="B13778" i="1"/>
  <c r="A13778" i="1"/>
  <c r="E13778" i="1"/>
  <c r="F13778" i="1"/>
  <c r="B13779" i="1"/>
  <c r="A13779" i="1"/>
  <c r="E13779" i="1"/>
  <c r="F13779" i="1"/>
  <c r="B13780" i="1"/>
  <c r="A13780" i="1"/>
  <c r="E13780" i="1"/>
  <c r="F13780" i="1"/>
  <c r="B13781" i="1"/>
  <c r="A13781" i="1"/>
  <c r="E13781" i="1"/>
  <c r="F13781" i="1"/>
  <c r="B13782" i="1"/>
  <c r="A13782" i="1"/>
  <c r="E13782" i="1"/>
  <c r="F13782" i="1"/>
  <c r="B13783" i="1"/>
  <c r="A13783" i="1"/>
  <c r="E13783" i="1"/>
  <c r="F13783" i="1"/>
  <c r="B13784" i="1"/>
  <c r="A13784" i="1"/>
  <c r="E13784" i="1"/>
  <c r="F13784" i="1"/>
  <c r="B13785" i="1"/>
  <c r="A13785" i="1"/>
  <c r="E13785" i="1"/>
  <c r="F13785" i="1"/>
  <c r="B13786" i="1"/>
  <c r="A13786" i="1"/>
  <c r="E13786" i="1"/>
  <c r="F13786" i="1"/>
  <c r="B13787" i="1"/>
  <c r="A13787" i="1"/>
  <c r="E13787" i="1"/>
  <c r="F13787" i="1"/>
  <c r="B13788" i="1"/>
  <c r="A13788" i="1"/>
  <c r="E13788" i="1"/>
  <c r="F13788" i="1"/>
  <c r="B13789" i="1"/>
  <c r="A13789" i="1"/>
  <c r="E13789" i="1"/>
  <c r="F13789" i="1"/>
  <c r="B13790" i="1"/>
  <c r="A13790" i="1"/>
  <c r="E13790" i="1"/>
  <c r="F13790" i="1"/>
  <c r="B13791" i="1"/>
  <c r="A13791" i="1"/>
  <c r="E13791" i="1"/>
  <c r="F13791" i="1"/>
  <c r="B13792" i="1"/>
  <c r="A13792" i="1"/>
  <c r="E13792" i="1"/>
  <c r="F13792" i="1"/>
  <c r="B13793" i="1"/>
  <c r="A13793" i="1"/>
  <c r="E13793" i="1"/>
  <c r="F13793" i="1"/>
  <c r="B13794" i="1"/>
  <c r="A13794" i="1"/>
  <c r="E13794" i="1"/>
  <c r="F13794" i="1"/>
  <c r="B13795" i="1"/>
  <c r="A13795" i="1"/>
  <c r="E13795" i="1"/>
  <c r="F13795" i="1"/>
  <c r="B13796" i="1"/>
  <c r="A13796" i="1"/>
  <c r="E13796" i="1"/>
  <c r="F13796" i="1"/>
  <c r="B13797" i="1"/>
  <c r="A13797" i="1"/>
  <c r="E13797" i="1"/>
  <c r="F13797" i="1"/>
  <c r="B13798" i="1"/>
  <c r="A13798" i="1"/>
  <c r="E13798" i="1"/>
  <c r="F13798" i="1"/>
  <c r="B13799" i="1"/>
  <c r="A13799" i="1"/>
  <c r="E13799" i="1"/>
  <c r="F13799" i="1"/>
  <c r="B13800" i="1"/>
  <c r="A13800" i="1"/>
  <c r="E13800" i="1"/>
  <c r="F13800" i="1"/>
  <c r="B13801" i="1"/>
  <c r="A13801" i="1"/>
  <c r="E13801" i="1"/>
  <c r="F13801" i="1"/>
  <c r="B13802" i="1"/>
  <c r="A13802" i="1"/>
  <c r="E13802" i="1"/>
  <c r="F13802" i="1"/>
  <c r="B13803" i="1"/>
  <c r="A13803" i="1"/>
  <c r="E13803" i="1"/>
  <c r="F13803" i="1"/>
  <c r="B13804" i="1"/>
  <c r="A13804" i="1"/>
  <c r="E13804" i="1"/>
  <c r="F13804" i="1"/>
  <c r="B13805" i="1"/>
  <c r="A13805" i="1"/>
  <c r="E13805" i="1"/>
  <c r="F13805" i="1"/>
  <c r="B13806" i="1"/>
  <c r="A13806" i="1"/>
  <c r="E13806" i="1"/>
  <c r="F13806" i="1"/>
  <c r="B13807" i="1"/>
  <c r="A13807" i="1"/>
  <c r="E13807" i="1"/>
  <c r="F13807" i="1"/>
  <c r="B13808" i="1"/>
  <c r="A13808" i="1"/>
  <c r="E13808" i="1"/>
  <c r="F13808" i="1"/>
  <c r="B13809" i="1"/>
  <c r="A13809" i="1"/>
  <c r="E13809" i="1"/>
  <c r="F13809" i="1"/>
  <c r="B13810" i="1"/>
  <c r="A13810" i="1"/>
  <c r="E13810" i="1"/>
  <c r="F13810" i="1"/>
  <c r="B13811" i="1"/>
  <c r="A13811" i="1"/>
  <c r="E13811" i="1"/>
  <c r="F13811" i="1"/>
  <c r="B13812" i="1"/>
  <c r="A13812" i="1"/>
  <c r="E13812" i="1"/>
  <c r="F13812" i="1"/>
  <c r="B13813" i="1"/>
  <c r="A13813" i="1"/>
  <c r="E13813" i="1"/>
  <c r="F13813" i="1"/>
  <c r="B13814" i="1"/>
  <c r="A13814" i="1"/>
  <c r="E13814" i="1"/>
  <c r="F13814" i="1"/>
  <c r="B13815" i="1"/>
  <c r="A13815" i="1"/>
  <c r="E13815" i="1"/>
  <c r="F13815" i="1"/>
  <c r="B13816" i="1"/>
  <c r="A13816" i="1"/>
  <c r="E13816" i="1"/>
  <c r="F13816" i="1"/>
  <c r="B13817" i="1"/>
  <c r="A13817" i="1"/>
  <c r="E13817" i="1"/>
  <c r="F13817" i="1"/>
  <c r="B13818" i="1"/>
  <c r="A13818" i="1"/>
  <c r="E13818" i="1"/>
  <c r="F13818" i="1"/>
  <c r="B13819" i="1"/>
  <c r="A13819" i="1"/>
  <c r="E13819" i="1"/>
  <c r="F13819" i="1"/>
  <c r="B13820" i="1"/>
  <c r="A13820" i="1"/>
  <c r="E13820" i="1"/>
  <c r="F13820" i="1"/>
  <c r="B13821" i="1"/>
  <c r="A13821" i="1"/>
  <c r="E13821" i="1"/>
  <c r="F13821" i="1"/>
  <c r="B13822" i="1"/>
  <c r="A13822" i="1"/>
  <c r="E13822" i="1"/>
  <c r="F13822" i="1"/>
  <c r="B13823" i="1"/>
  <c r="A13823" i="1"/>
  <c r="E13823" i="1"/>
  <c r="F13823" i="1"/>
  <c r="B13824" i="1"/>
  <c r="A13824" i="1"/>
  <c r="E13824" i="1"/>
  <c r="F13824" i="1"/>
  <c r="B13825" i="1"/>
  <c r="A13825" i="1"/>
  <c r="E13825" i="1"/>
  <c r="F13825" i="1"/>
  <c r="B13826" i="1"/>
  <c r="A13826" i="1"/>
  <c r="E13826" i="1"/>
  <c r="F13826" i="1"/>
  <c r="B13827" i="1"/>
  <c r="A13827" i="1"/>
  <c r="E13827" i="1"/>
  <c r="F13827" i="1"/>
  <c r="B13828" i="1"/>
  <c r="A13828" i="1"/>
  <c r="E13828" i="1"/>
  <c r="F13828" i="1"/>
  <c r="B13829" i="1"/>
  <c r="A13829" i="1"/>
  <c r="E13829" i="1"/>
  <c r="F13829" i="1"/>
  <c r="B13830" i="1"/>
  <c r="A13830" i="1"/>
  <c r="E13830" i="1"/>
  <c r="F13830" i="1"/>
  <c r="B13831" i="1"/>
  <c r="A13831" i="1"/>
  <c r="E13831" i="1"/>
  <c r="F13831" i="1"/>
  <c r="B13832" i="1"/>
  <c r="A13832" i="1"/>
  <c r="E13832" i="1"/>
  <c r="F13832" i="1"/>
  <c r="B13833" i="1"/>
  <c r="A13833" i="1"/>
  <c r="E13833" i="1"/>
  <c r="F13833" i="1"/>
  <c r="B13834" i="1"/>
  <c r="A13834" i="1"/>
  <c r="E13834" i="1"/>
  <c r="F13834" i="1"/>
  <c r="B13835" i="1"/>
  <c r="A13835" i="1"/>
  <c r="E13835" i="1"/>
  <c r="F13835" i="1"/>
  <c r="B13836" i="1"/>
  <c r="A13836" i="1"/>
  <c r="E13836" i="1"/>
  <c r="F13836" i="1"/>
  <c r="B13837" i="1"/>
  <c r="A13837" i="1"/>
  <c r="E13837" i="1"/>
  <c r="F13837" i="1"/>
  <c r="B13838" i="1"/>
  <c r="A13838" i="1"/>
  <c r="E13838" i="1"/>
  <c r="F13838" i="1"/>
  <c r="B13839" i="1"/>
  <c r="A13839" i="1"/>
  <c r="E13839" i="1"/>
  <c r="F13839" i="1"/>
  <c r="B13840" i="1"/>
  <c r="A13840" i="1"/>
  <c r="E13840" i="1"/>
  <c r="F13840" i="1"/>
  <c r="B13841" i="1"/>
  <c r="A13841" i="1"/>
  <c r="E13841" i="1"/>
  <c r="F13841" i="1"/>
  <c r="B13842" i="1"/>
  <c r="A13842" i="1"/>
  <c r="E13842" i="1"/>
  <c r="F13842" i="1"/>
  <c r="B13843" i="1"/>
  <c r="A13843" i="1"/>
  <c r="E13843" i="1"/>
  <c r="F13843" i="1"/>
  <c r="B13844" i="1"/>
  <c r="A13844" i="1"/>
  <c r="E13844" i="1"/>
  <c r="F13844" i="1"/>
  <c r="B13845" i="1"/>
  <c r="A13845" i="1"/>
  <c r="E13845" i="1"/>
  <c r="F13845" i="1"/>
  <c r="B13846" i="1"/>
  <c r="A13846" i="1"/>
  <c r="E13846" i="1"/>
  <c r="F13846" i="1"/>
  <c r="B13847" i="1"/>
  <c r="A13847" i="1"/>
  <c r="E13847" i="1"/>
  <c r="F13847" i="1"/>
  <c r="B13848" i="1"/>
  <c r="A13848" i="1"/>
  <c r="E13848" i="1"/>
  <c r="F13848" i="1"/>
  <c r="B13849" i="1"/>
  <c r="A13849" i="1"/>
  <c r="E13849" i="1"/>
  <c r="F13849" i="1"/>
  <c r="B13850" i="1"/>
  <c r="A13850" i="1"/>
  <c r="E13850" i="1"/>
  <c r="F13850" i="1"/>
  <c r="B13851" i="1"/>
  <c r="A13851" i="1"/>
  <c r="E13851" i="1"/>
  <c r="F13851" i="1"/>
  <c r="B13852" i="1"/>
  <c r="A13852" i="1"/>
  <c r="E13852" i="1"/>
  <c r="F13852" i="1"/>
  <c r="B13853" i="1"/>
  <c r="A13853" i="1"/>
  <c r="E13853" i="1"/>
  <c r="F13853" i="1"/>
  <c r="B13854" i="1"/>
  <c r="A13854" i="1"/>
  <c r="E13854" i="1"/>
  <c r="F13854" i="1"/>
  <c r="B13855" i="1"/>
  <c r="A13855" i="1"/>
  <c r="E13855" i="1"/>
  <c r="F13855" i="1"/>
  <c r="B13856" i="1"/>
  <c r="A13856" i="1"/>
  <c r="E13856" i="1"/>
  <c r="F13856" i="1"/>
  <c r="B13857" i="1"/>
  <c r="A13857" i="1"/>
  <c r="E13857" i="1"/>
  <c r="F13857" i="1"/>
  <c r="B13858" i="1"/>
  <c r="A13858" i="1"/>
  <c r="E13858" i="1"/>
  <c r="F13858" i="1"/>
  <c r="B13859" i="1"/>
  <c r="A13859" i="1"/>
  <c r="E13859" i="1"/>
  <c r="F13859" i="1"/>
  <c r="B13860" i="1"/>
  <c r="A13860" i="1"/>
  <c r="E13860" i="1"/>
  <c r="F13860" i="1"/>
  <c r="B13861" i="1"/>
  <c r="A13861" i="1"/>
  <c r="E13861" i="1"/>
  <c r="F13861" i="1"/>
  <c r="B13862" i="1"/>
  <c r="A13862" i="1"/>
  <c r="E13862" i="1"/>
  <c r="F13862" i="1"/>
  <c r="B13863" i="1"/>
  <c r="A13863" i="1"/>
  <c r="E13863" i="1"/>
  <c r="F13863" i="1"/>
  <c r="B13864" i="1"/>
  <c r="A13864" i="1"/>
  <c r="E13864" i="1"/>
  <c r="F13864" i="1"/>
  <c r="B13865" i="1"/>
  <c r="A13865" i="1"/>
  <c r="E13865" i="1"/>
  <c r="F13865" i="1"/>
  <c r="B13866" i="1"/>
  <c r="A13866" i="1"/>
  <c r="E13866" i="1"/>
  <c r="F13866" i="1"/>
  <c r="B13867" i="1"/>
  <c r="A13867" i="1"/>
  <c r="E13867" i="1"/>
  <c r="F13867" i="1"/>
  <c r="B13868" i="1"/>
  <c r="A13868" i="1"/>
  <c r="E13868" i="1"/>
  <c r="F13868" i="1"/>
  <c r="B13869" i="1"/>
  <c r="A13869" i="1"/>
  <c r="E13869" i="1"/>
  <c r="F13869" i="1"/>
  <c r="B13870" i="1"/>
  <c r="A13870" i="1"/>
  <c r="E13870" i="1"/>
  <c r="F13870" i="1"/>
  <c r="B13871" i="1"/>
  <c r="A13871" i="1"/>
  <c r="E13871" i="1"/>
  <c r="F13871" i="1"/>
  <c r="B13872" i="1"/>
  <c r="A13872" i="1"/>
  <c r="E13872" i="1"/>
  <c r="F13872" i="1"/>
  <c r="B13873" i="1"/>
  <c r="A13873" i="1"/>
  <c r="E13873" i="1"/>
  <c r="F13873" i="1"/>
  <c r="B13874" i="1"/>
  <c r="A13874" i="1"/>
  <c r="E13874" i="1"/>
  <c r="F13874" i="1"/>
  <c r="B13875" i="1"/>
  <c r="A13875" i="1"/>
  <c r="E13875" i="1"/>
  <c r="F13875" i="1"/>
  <c r="B13876" i="1"/>
  <c r="A13876" i="1"/>
  <c r="E13876" i="1"/>
  <c r="F13876" i="1"/>
  <c r="B13877" i="1"/>
  <c r="A13877" i="1"/>
  <c r="E13877" i="1"/>
  <c r="F13877" i="1"/>
  <c r="B13878" i="1"/>
  <c r="A13878" i="1"/>
  <c r="E13878" i="1"/>
  <c r="F13878" i="1"/>
  <c r="B13879" i="1"/>
  <c r="A13879" i="1"/>
  <c r="E13879" i="1"/>
  <c r="F13879" i="1"/>
  <c r="B13880" i="1"/>
  <c r="A13880" i="1"/>
  <c r="E13880" i="1"/>
  <c r="F13880" i="1"/>
  <c r="B13881" i="1"/>
  <c r="A13881" i="1"/>
  <c r="E13881" i="1"/>
  <c r="F13881" i="1"/>
  <c r="B13882" i="1"/>
  <c r="A13882" i="1"/>
  <c r="E13882" i="1"/>
  <c r="F13882" i="1"/>
  <c r="B13883" i="1"/>
  <c r="A13883" i="1"/>
  <c r="E13883" i="1"/>
  <c r="F13883" i="1"/>
  <c r="B13884" i="1"/>
  <c r="A13884" i="1"/>
  <c r="E13884" i="1"/>
  <c r="F13884" i="1"/>
  <c r="B13885" i="1"/>
  <c r="A13885" i="1"/>
  <c r="E13885" i="1"/>
  <c r="F13885" i="1"/>
  <c r="B13886" i="1"/>
  <c r="A13886" i="1"/>
  <c r="E13886" i="1"/>
  <c r="F13886" i="1"/>
  <c r="B13887" i="1"/>
  <c r="A13887" i="1"/>
  <c r="E13887" i="1"/>
  <c r="F13887" i="1"/>
  <c r="G13887" i="1"/>
  <c r="B13888" i="1"/>
  <c r="A13888" i="1"/>
  <c r="E13888" i="1"/>
  <c r="F13888" i="1"/>
  <c r="B13889" i="1"/>
  <c r="A13889" i="1"/>
  <c r="E13889" i="1"/>
  <c r="F13889" i="1"/>
  <c r="B13890" i="1"/>
  <c r="A13890" i="1"/>
  <c r="E13890" i="1"/>
  <c r="F13890" i="1"/>
  <c r="B13891" i="1"/>
  <c r="A13891" i="1"/>
  <c r="E13891" i="1"/>
  <c r="F13891" i="1"/>
  <c r="B13892" i="1"/>
  <c r="A13892" i="1"/>
  <c r="E13892" i="1"/>
  <c r="F13892" i="1"/>
  <c r="B13893" i="1"/>
  <c r="A13893" i="1"/>
  <c r="E13893" i="1"/>
  <c r="F13893" i="1"/>
  <c r="B13894" i="1"/>
  <c r="A13894" i="1"/>
  <c r="E13894" i="1"/>
  <c r="F13894" i="1"/>
  <c r="B13895" i="1"/>
  <c r="A13895" i="1"/>
  <c r="E13895" i="1"/>
  <c r="F13895" i="1"/>
  <c r="B13896" i="1"/>
  <c r="A13896" i="1"/>
  <c r="E13896" i="1"/>
  <c r="F13896" i="1"/>
  <c r="B13897" i="1"/>
  <c r="A13897" i="1"/>
  <c r="E13897" i="1"/>
  <c r="F13897" i="1"/>
  <c r="G13897" i="1"/>
  <c r="B13898" i="1"/>
  <c r="A13898" i="1"/>
  <c r="E13898" i="1"/>
  <c r="F13898" i="1"/>
  <c r="B13899" i="1"/>
  <c r="A13899" i="1"/>
  <c r="E13899" i="1"/>
  <c r="B13900" i="1"/>
  <c r="A13900" i="1"/>
  <c r="E13900" i="1"/>
  <c r="B13901" i="1"/>
  <c r="A13901" i="1"/>
  <c r="E13901" i="1"/>
  <c r="B13902" i="1"/>
  <c r="A13902" i="1"/>
  <c r="E13902" i="1"/>
  <c r="B13903" i="1"/>
  <c r="A13903" i="1"/>
  <c r="E13903" i="1"/>
  <c r="B13904" i="1"/>
  <c r="A13904" i="1"/>
  <c r="E13904" i="1"/>
  <c r="F13904" i="1"/>
  <c r="B13905" i="1"/>
  <c r="A13905" i="1"/>
  <c r="E13905" i="1"/>
  <c r="F13905" i="1"/>
  <c r="B13906" i="1"/>
  <c r="A13906" i="1"/>
  <c r="E13906" i="1"/>
  <c r="F13906" i="1"/>
  <c r="B13907" i="1"/>
  <c r="A13907" i="1"/>
  <c r="E13907" i="1"/>
  <c r="F13907" i="1"/>
  <c r="B13908" i="1"/>
  <c r="A13908" i="1"/>
  <c r="E13908" i="1"/>
  <c r="F13908" i="1"/>
  <c r="B13909" i="1"/>
  <c r="A13909" i="1"/>
  <c r="E13909" i="1"/>
  <c r="F13909" i="1"/>
  <c r="B13910" i="1"/>
  <c r="A13910" i="1"/>
  <c r="E13910" i="1"/>
  <c r="F13910" i="1"/>
  <c r="B13911" i="1"/>
  <c r="A13911" i="1"/>
  <c r="E13911" i="1"/>
  <c r="F13911" i="1"/>
  <c r="B13912" i="1"/>
  <c r="A13912" i="1"/>
  <c r="E13912" i="1"/>
  <c r="F13912" i="1"/>
  <c r="B13913" i="1"/>
  <c r="A13913" i="1"/>
  <c r="E13913" i="1"/>
  <c r="F13913" i="1"/>
  <c r="B13914" i="1"/>
  <c r="A13914" i="1"/>
  <c r="E13914" i="1"/>
  <c r="F13914" i="1"/>
  <c r="G13914" i="1"/>
  <c r="B13915" i="1"/>
  <c r="A13915" i="1"/>
  <c r="E13915" i="1"/>
  <c r="F13915" i="1"/>
  <c r="G13915" i="1"/>
  <c r="B13916" i="1"/>
  <c r="A13916" i="1"/>
  <c r="E13916" i="1"/>
  <c r="F13916" i="1"/>
  <c r="B13917" i="1"/>
  <c r="A13917" i="1"/>
  <c r="E13917" i="1"/>
  <c r="F13917" i="1"/>
  <c r="G13917" i="1"/>
  <c r="B13918" i="1"/>
  <c r="A13918" i="1"/>
  <c r="E13918" i="1"/>
  <c r="F13918" i="1"/>
  <c r="B13919" i="1"/>
  <c r="A13919" i="1"/>
  <c r="E13919" i="1"/>
  <c r="F13919" i="1"/>
  <c r="B13920" i="1"/>
  <c r="A13920" i="1"/>
  <c r="E13920" i="1"/>
  <c r="F13920" i="1"/>
  <c r="B13921" i="1"/>
  <c r="A13921" i="1"/>
  <c r="E13921" i="1"/>
  <c r="F13921" i="1"/>
  <c r="B13922" i="1"/>
  <c r="A13922" i="1"/>
  <c r="E13922" i="1"/>
  <c r="F13922" i="1"/>
  <c r="G13922" i="1"/>
  <c r="B13923" i="1"/>
  <c r="A13923" i="1"/>
  <c r="E13923" i="1"/>
  <c r="F13923" i="1"/>
  <c r="G13923" i="1"/>
  <c r="B13924" i="1"/>
  <c r="A13924" i="1"/>
  <c r="E13924" i="1"/>
  <c r="B13925" i="1"/>
  <c r="A13925" i="1"/>
  <c r="E13925" i="1"/>
  <c r="B13926" i="1"/>
  <c r="A13926" i="1"/>
  <c r="E13926" i="1"/>
  <c r="B13927" i="1"/>
  <c r="A13927" i="1"/>
  <c r="E13927" i="1"/>
  <c r="B13928" i="1"/>
  <c r="A13928" i="1"/>
  <c r="E13928" i="1"/>
  <c r="B13929" i="1"/>
  <c r="A13929" i="1"/>
  <c r="E13929" i="1"/>
  <c r="B13930" i="1"/>
  <c r="A13930" i="1"/>
  <c r="E13930" i="1"/>
  <c r="B13931" i="1"/>
  <c r="A13931" i="1"/>
  <c r="E13931" i="1"/>
  <c r="F13931" i="1"/>
  <c r="G13931" i="1"/>
  <c r="B13932" i="1"/>
  <c r="A13932" i="1"/>
  <c r="E13932" i="1"/>
  <c r="F13932" i="1"/>
  <c r="G13932" i="1"/>
  <c r="B13933" i="1"/>
  <c r="A13933" i="1"/>
  <c r="E13933" i="1"/>
  <c r="F13933" i="1"/>
  <c r="B13934" i="1"/>
  <c r="A13934" i="1"/>
  <c r="E13934" i="1"/>
  <c r="F13934" i="1"/>
  <c r="B13935" i="1"/>
  <c r="A13935" i="1"/>
  <c r="E13935" i="1"/>
  <c r="F13935" i="1"/>
  <c r="B13936" i="1"/>
  <c r="A13936" i="1"/>
  <c r="E13936" i="1"/>
  <c r="F13936" i="1"/>
  <c r="B13937" i="1"/>
  <c r="A13937" i="1"/>
  <c r="E13937" i="1"/>
  <c r="F13937" i="1"/>
  <c r="B13938" i="1"/>
  <c r="A13938" i="1"/>
  <c r="E13938" i="1"/>
  <c r="F13938" i="1"/>
  <c r="G13938" i="1"/>
  <c r="B13939" i="1"/>
  <c r="A13939" i="1"/>
  <c r="E13939" i="1"/>
  <c r="F13939" i="1"/>
  <c r="G13939" i="1"/>
  <c r="B13940" i="1"/>
  <c r="A13940" i="1"/>
  <c r="E13940" i="1"/>
  <c r="F13940" i="1"/>
  <c r="B13941" i="1"/>
  <c r="A13941" i="1"/>
  <c r="E13941" i="1"/>
  <c r="F13941" i="1"/>
  <c r="B13942" i="1"/>
  <c r="A13942" i="1"/>
  <c r="E13942" i="1"/>
  <c r="F13942" i="1"/>
  <c r="B13943" i="1"/>
  <c r="A13943" i="1"/>
  <c r="E13943" i="1"/>
  <c r="F13943" i="1"/>
  <c r="G13943" i="1"/>
  <c r="B13944" i="1"/>
  <c r="A13944" i="1"/>
  <c r="E13944" i="1"/>
  <c r="F13944" i="1"/>
  <c r="B13945" i="1"/>
  <c r="A13945" i="1"/>
  <c r="E13945" i="1"/>
  <c r="F13945" i="1"/>
  <c r="B13946" i="1"/>
  <c r="A13946" i="1"/>
  <c r="E13946" i="1"/>
  <c r="F13946" i="1"/>
  <c r="B13947" i="1"/>
  <c r="A13947" i="1"/>
  <c r="E13947" i="1"/>
  <c r="F13947" i="1"/>
  <c r="B13948" i="1"/>
  <c r="A13948" i="1"/>
  <c r="E13948" i="1"/>
  <c r="F13948" i="1"/>
  <c r="G13948" i="1"/>
  <c r="B13949" i="1"/>
  <c r="A13949" i="1"/>
  <c r="E13949" i="1"/>
  <c r="F13949" i="1"/>
  <c r="G13949" i="1"/>
  <c r="B13950" i="1"/>
  <c r="A13950" i="1"/>
  <c r="E13950" i="1"/>
  <c r="F13950" i="1"/>
  <c r="G13950" i="1"/>
  <c r="B13951" i="1"/>
  <c r="A13951" i="1"/>
  <c r="E13951" i="1"/>
  <c r="B13952" i="1"/>
  <c r="A13952" i="1"/>
  <c r="E13952" i="1"/>
  <c r="B13953" i="1"/>
  <c r="A13953" i="1"/>
  <c r="E13953" i="1"/>
  <c r="B13954" i="1"/>
  <c r="A13954" i="1"/>
  <c r="E13954" i="1"/>
  <c r="B13955" i="1"/>
  <c r="A13955" i="1"/>
  <c r="E13955" i="1"/>
  <c r="B13956" i="1"/>
  <c r="A13956" i="1"/>
  <c r="E13956" i="1"/>
  <c r="B13957" i="1"/>
  <c r="A13957" i="1"/>
  <c r="E13957" i="1"/>
  <c r="B13958" i="1"/>
  <c r="A13958" i="1"/>
  <c r="E13958" i="1"/>
  <c r="B13959" i="1"/>
  <c r="A13959" i="1"/>
  <c r="E13959" i="1"/>
  <c r="B13960" i="1"/>
  <c r="A13960" i="1"/>
  <c r="E13960" i="1"/>
  <c r="F13960" i="1"/>
  <c r="B13961" i="1"/>
  <c r="A13961" i="1"/>
  <c r="E13961" i="1"/>
  <c r="F13961" i="1"/>
  <c r="B13962" i="1"/>
  <c r="A13962" i="1"/>
  <c r="E13962" i="1"/>
  <c r="F13962" i="1"/>
  <c r="B13963" i="1"/>
  <c r="A13963" i="1"/>
  <c r="E13963" i="1"/>
  <c r="F13963" i="1"/>
  <c r="B13964" i="1"/>
  <c r="A13964" i="1"/>
  <c r="E13964" i="1"/>
  <c r="F13964" i="1"/>
  <c r="B13965" i="1"/>
  <c r="A13965" i="1"/>
  <c r="E13965" i="1"/>
  <c r="F13965" i="1"/>
  <c r="B13966" i="1"/>
  <c r="A13966" i="1"/>
  <c r="E13966" i="1"/>
  <c r="F13966" i="1"/>
  <c r="B13967" i="1"/>
  <c r="A13967" i="1"/>
  <c r="E13967" i="1"/>
  <c r="F13967" i="1"/>
  <c r="B13968" i="1"/>
  <c r="A13968" i="1"/>
  <c r="E13968" i="1"/>
  <c r="F13968" i="1"/>
  <c r="B13969" i="1"/>
  <c r="A13969" i="1"/>
  <c r="E13969" i="1"/>
  <c r="F13969" i="1"/>
  <c r="B13970" i="1"/>
  <c r="A13970" i="1"/>
  <c r="E13970" i="1"/>
  <c r="F13970" i="1"/>
  <c r="B13971" i="1"/>
  <c r="A13971" i="1"/>
  <c r="E13971" i="1"/>
  <c r="F13971" i="1"/>
  <c r="B13972" i="1"/>
  <c r="A13972" i="1"/>
  <c r="E13972" i="1"/>
  <c r="F13972" i="1"/>
  <c r="B13973" i="1"/>
  <c r="A13973" i="1"/>
  <c r="E13973" i="1"/>
  <c r="F13973" i="1"/>
  <c r="B13974" i="1"/>
  <c r="A13974" i="1"/>
  <c r="E13974" i="1"/>
  <c r="F13974" i="1"/>
  <c r="B13975" i="1"/>
  <c r="A13975" i="1"/>
  <c r="E13975" i="1"/>
  <c r="F13975" i="1"/>
  <c r="B13976" i="1"/>
  <c r="A13976" i="1"/>
  <c r="E13976" i="1"/>
  <c r="F13976" i="1"/>
  <c r="B13977" i="1"/>
  <c r="A13977" i="1"/>
  <c r="E13977" i="1"/>
  <c r="F13977" i="1"/>
  <c r="B13978" i="1"/>
  <c r="A13978" i="1"/>
  <c r="E13978" i="1"/>
  <c r="F13978" i="1"/>
  <c r="B13979" i="1"/>
  <c r="A13979" i="1"/>
  <c r="E13979" i="1"/>
  <c r="F13979" i="1"/>
  <c r="B13980" i="1"/>
  <c r="A13980" i="1"/>
  <c r="E13980" i="1"/>
  <c r="F13980" i="1"/>
  <c r="B13981" i="1"/>
  <c r="A13981" i="1"/>
  <c r="E13981" i="1"/>
  <c r="F13981" i="1"/>
  <c r="B13982" i="1"/>
  <c r="A13982" i="1"/>
  <c r="E13982" i="1"/>
  <c r="F13982" i="1"/>
  <c r="B13983" i="1"/>
  <c r="A13983" i="1"/>
  <c r="E13983" i="1"/>
  <c r="F13983" i="1"/>
  <c r="B13984" i="1"/>
  <c r="A13984" i="1"/>
  <c r="E13984" i="1"/>
  <c r="F13984" i="1"/>
  <c r="B13985" i="1"/>
  <c r="A13985" i="1"/>
  <c r="E13985" i="1"/>
  <c r="F13985" i="1"/>
  <c r="B13986" i="1"/>
  <c r="A13986" i="1"/>
  <c r="E13986" i="1"/>
  <c r="F13986" i="1"/>
  <c r="B13987" i="1"/>
  <c r="A13987" i="1"/>
  <c r="E13987" i="1"/>
  <c r="F13987" i="1"/>
  <c r="B13988" i="1"/>
  <c r="A13988" i="1"/>
  <c r="E13988" i="1"/>
  <c r="F13988" i="1"/>
  <c r="B13989" i="1"/>
  <c r="A13989" i="1"/>
  <c r="E13989" i="1"/>
  <c r="F13989" i="1"/>
  <c r="B13990" i="1"/>
  <c r="A13990" i="1"/>
  <c r="E13990" i="1"/>
  <c r="F13990" i="1"/>
  <c r="B13991" i="1"/>
  <c r="A13991" i="1"/>
  <c r="E13991" i="1"/>
  <c r="F13991" i="1"/>
  <c r="B13992" i="1"/>
  <c r="A13992" i="1"/>
  <c r="E13992" i="1"/>
  <c r="F13992" i="1"/>
  <c r="B13993" i="1"/>
  <c r="A13993" i="1"/>
  <c r="E13993" i="1"/>
  <c r="F13993" i="1"/>
  <c r="G13993" i="1"/>
  <c r="B13994" i="1"/>
  <c r="A13994" i="1"/>
  <c r="E13994" i="1"/>
  <c r="F13994" i="1"/>
  <c r="G13994" i="1"/>
  <c r="B13995" i="1"/>
  <c r="A13995" i="1"/>
  <c r="E13995" i="1"/>
  <c r="F13995" i="1"/>
  <c r="B13996" i="1"/>
  <c r="A13996" i="1"/>
  <c r="E13996" i="1"/>
  <c r="B13997" i="1"/>
  <c r="A13997" i="1"/>
  <c r="E13997" i="1"/>
  <c r="B13998" i="1"/>
  <c r="A13998" i="1"/>
  <c r="E13998" i="1"/>
  <c r="B13999" i="1"/>
  <c r="A13999" i="1"/>
  <c r="E13999" i="1"/>
  <c r="B14000" i="1"/>
  <c r="A14000" i="1"/>
  <c r="E14000" i="1"/>
  <c r="B14001" i="1"/>
  <c r="A14001" i="1"/>
  <c r="E14001" i="1"/>
  <c r="F14001" i="1"/>
  <c r="G14001" i="1"/>
  <c r="B14002" i="1"/>
  <c r="A14002" i="1"/>
  <c r="E14002" i="1"/>
  <c r="F14002" i="1"/>
  <c r="B14003" i="1"/>
  <c r="A14003" i="1"/>
  <c r="E14003" i="1"/>
  <c r="F14003" i="1"/>
  <c r="B14004" i="1"/>
  <c r="A14004" i="1"/>
  <c r="E14004" i="1"/>
  <c r="F14004" i="1"/>
  <c r="B14005" i="1"/>
  <c r="A14005" i="1"/>
  <c r="E14005" i="1"/>
  <c r="F14005" i="1"/>
  <c r="G14005" i="1"/>
  <c r="B14006" i="1"/>
  <c r="A14006" i="1"/>
  <c r="E14006" i="1"/>
  <c r="F14006" i="1"/>
  <c r="B14007" i="1"/>
  <c r="A14007" i="1"/>
  <c r="E14007" i="1"/>
  <c r="F14007" i="1"/>
  <c r="B14008" i="1"/>
  <c r="A14008" i="1"/>
  <c r="E14008" i="1"/>
  <c r="F14008" i="1"/>
  <c r="B14009" i="1"/>
  <c r="A14009" i="1"/>
  <c r="E14009" i="1"/>
  <c r="F14009" i="1"/>
  <c r="B14010" i="1"/>
  <c r="A14010" i="1"/>
  <c r="E14010" i="1"/>
  <c r="F14010" i="1"/>
  <c r="B14011" i="1"/>
  <c r="A14011" i="1"/>
  <c r="E14011" i="1"/>
  <c r="F14011" i="1"/>
  <c r="G14011" i="1"/>
  <c r="B14012" i="1"/>
  <c r="A14012" i="1"/>
  <c r="E14012" i="1"/>
  <c r="F14012" i="1"/>
  <c r="G14012" i="1"/>
  <c r="B14013" i="1"/>
  <c r="A14013" i="1"/>
  <c r="E14013" i="1"/>
  <c r="F14013" i="1"/>
  <c r="B14014" i="1"/>
  <c r="A14014" i="1"/>
  <c r="E14014" i="1"/>
  <c r="F14014" i="1"/>
  <c r="G14014" i="1"/>
  <c r="B14015" i="1"/>
  <c r="A14015" i="1"/>
  <c r="E14015" i="1"/>
  <c r="B14016" i="1"/>
  <c r="A14016" i="1"/>
  <c r="E14016" i="1"/>
  <c r="B14017" i="1"/>
  <c r="A14017" i="1"/>
  <c r="E14017" i="1"/>
  <c r="B14018" i="1"/>
  <c r="A14018" i="1"/>
  <c r="E14018" i="1"/>
  <c r="B14019" i="1"/>
  <c r="A14019" i="1"/>
  <c r="E14019" i="1"/>
  <c r="F14019" i="1"/>
  <c r="G14019" i="1"/>
  <c r="B14020" i="1"/>
  <c r="A14020" i="1"/>
  <c r="E14020" i="1"/>
  <c r="F14020" i="1"/>
  <c r="B14021" i="1"/>
  <c r="A14021" i="1"/>
  <c r="E14021" i="1"/>
  <c r="F14021" i="1"/>
  <c r="B14022" i="1"/>
  <c r="A14022" i="1"/>
  <c r="E14022" i="1"/>
  <c r="F14022" i="1"/>
  <c r="B14023" i="1"/>
  <c r="A14023" i="1"/>
  <c r="E14023" i="1"/>
  <c r="F14023" i="1"/>
  <c r="B14024" i="1"/>
  <c r="A14024" i="1"/>
  <c r="E14024" i="1"/>
  <c r="F14024" i="1"/>
  <c r="B14025" i="1"/>
  <c r="A14025" i="1"/>
  <c r="E14025" i="1"/>
  <c r="F14025" i="1"/>
  <c r="B14026" i="1"/>
  <c r="A14026" i="1"/>
  <c r="E14026" i="1"/>
  <c r="F14026" i="1"/>
  <c r="B14027" i="1"/>
  <c r="A14027" i="1"/>
  <c r="E14027" i="1"/>
  <c r="F14027" i="1"/>
  <c r="G14027" i="1"/>
  <c r="B14028" i="1"/>
  <c r="A14028" i="1"/>
  <c r="E14028" i="1"/>
  <c r="F14028" i="1"/>
  <c r="G14028" i="1"/>
  <c r="B14029" i="1"/>
  <c r="A14029" i="1"/>
  <c r="E14029" i="1"/>
  <c r="F14029" i="1"/>
  <c r="G14029" i="1"/>
  <c r="B14030" i="1"/>
  <c r="A14030" i="1"/>
  <c r="E14030" i="1"/>
  <c r="F14030" i="1"/>
  <c r="B14031" i="1"/>
  <c r="A14031" i="1"/>
  <c r="E14031" i="1"/>
  <c r="F14031" i="1"/>
  <c r="B14032" i="1"/>
  <c r="A14032" i="1"/>
  <c r="E14032" i="1"/>
  <c r="F14032" i="1"/>
  <c r="B14033" i="1"/>
  <c r="A14033" i="1"/>
  <c r="E14033" i="1"/>
  <c r="F14033" i="1"/>
  <c r="B14034" i="1"/>
  <c r="A14034" i="1"/>
  <c r="E14034" i="1"/>
  <c r="F14034" i="1"/>
  <c r="B14035" i="1"/>
  <c r="A14035" i="1"/>
  <c r="E14035" i="1"/>
  <c r="F14035" i="1"/>
  <c r="B14036" i="1"/>
  <c r="A14036" i="1"/>
  <c r="E14036" i="1"/>
  <c r="F14036" i="1"/>
  <c r="B14037" i="1"/>
  <c r="A14037" i="1"/>
  <c r="E14037" i="1"/>
  <c r="F14037" i="1"/>
  <c r="G14037" i="1"/>
  <c r="B14038" i="1"/>
  <c r="A14038" i="1"/>
  <c r="E14038" i="1"/>
  <c r="F14038" i="1"/>
  <c r="B14039" i="1"/>
  <c r="A14039" i="1"/>
  <c r="E14039" i="1"/>
  <c r="F14039" i="1"/>
  <c r="G14039" i="1"/>
  <c r="B14040" i="1"/>
  <c r="A14040" i="1"/>
  <c r="E14040" i="1"/>
  <c r="B14041" i="1"/>
  <c r="A14041" i="1"/>
  <c r="E14041" i="1"/>
  <c r="B14042" i="1"/>
  <c r="A14042" i="1"/>
  <c r="E14042" i="1"/>
  <c r="A14043" i="1"/>
  <c r="E14043" i="1"/>
  <c r="B14044" i="1"/>
  <c r="A14044" i="1"/>
  <c r="E14044" i="1"/>
  <c r="F14044" i="1"/>
  <c r="B14045" i="1"/>
  <c r="A14045" i="1"/>
  <c r="E14045" i="1"/>
  <c r="F14045" i="1"/>
  <c r="B14046" i="1"/>
  <c r="A14046" i="1"/>
  <c r="E14046" i="1"/>
  <c r="F14046" i="1"/>
  <c r="B14047" i="1"/>
  <c r="A14047" i="1"/>
  <c r="E14047" i="1"/>
  <c r="F14047" i="1"/>
  <c r="B14048" i="1"/>
  <c r="A14048" i="1"/>
  <c r="E14048" i="1"/>
  <c r="F14048" i="1"/>
  <c r="B14049" i="1"/>
  <c r="A14049" i="1"/>
  <c r="E14049" i="1"/>
  <c r="F14049" i="1"/>
  <c r="B14050" i="1"/>
  <c r="A14050" i="1"/>
  <c r="E14050" i="1"/>
  <c r="F14050" i="1"/>
  <c r="B14051" i="1"/>
  <c r="A14051" i="1"/>
  <c r="E14051" i="1"/>
  <c r="F14051" i="1"/>
  <c r="B14052" i="1"/>
  <c r="A14052" i="1"/>
  <c r="E14052" i="1"/>
  <c r="F14052" i="1"/>
  <c r="B14053" i="1"/>
  <c r="A14053" i="1"/>
  <c r="E14053" i="1"/>
  <c r="F14053" i="1"/>
  <c r="B14054" i="1"/>
  <c r="A14054" i="1"/>
  <c r="E14054" i="1"/>
  <c r="F14054" i="1"/>
  <c r="B14055" i="1"/>
  <c r="A14055" i="1"/>
  <c r="E14055" i="1"/>
  <c r="F14055" i="1"/>
  <c r="G14055" i="1"/>
  <c r="B14056" i="1"/>
  <c r="A14056" i="1"/>
  <c r="E14056" i="1"/>
  <c r="F14056" i="1"/>
  <c r="G14056" i="1"/>
  <c r="B14057" i="1"/>
  <c r="A14057" i="1"/>
  <c r="E14057" i="1"/>
  <c r="F14057" i="1"/>
  <c r="G14057" i="1"/>
  <c r="B14058" i="1"/>
  <c r="A14058" i="1"/>
  <c r="E14058" i="1"/>
  <c r="F14058" i="1"/>
  <c r="B14059" i="1"/>
  <c r="A14059" i="1"/>
  <c r="E14059" i="1"/>
  <c r="F14059" i="1"/>
  <c r="B14060" i="1"/>
  <c r="A14060" i="1"/>
  <c r="E14060" i="1"/>
  <c r="F14060" i="1"/>
  <c r="B14061" i="1"/>
  <c r="A14061" i="1"/>
  <c r="E14061" i="1"/>
  <c r="F14061" i="1"/>
  <c r="B14062" i="1"/>
  <c r="A14062" i="1"/>
  <c r="E14062" i="1"/>
  <c r="F14062" i="1"/>
  <c r="B14063" i="1"/>
  <c r="A14063" i="1"/>
  <c r="E14063" i="1"/>
  <c r="F14063" i="1"/>
  <c r="B14064" i="1"/>
  <c r="A14064" i="1"/>
  <c r="E14064" i="1"/>
  <c r="F14064" i="1"/>
  <c r="G14064" i="1"/>
  <c r="B14065" i="1"/>
  <c r="A14065" i="1"/>
  <c r="E14065" i="1"/>
  <c r="F14065" i="1"/>
  <c r="B14066" i="1"/>
  <c r="A14066" i="1"/>
  <c r="E14066" i="1"/>
  <c r="F14066" i="1"/>
  <c r="B14067" i="1"/>
  <c r="A14067" i="1"/>
  <c r="E14067" i="1"/>
  <c r="F14067" i="1"/>
  <c r="B14068" i="1"/>
  <c r="A14068" i="1"/>
  <c r="E14068" i="1"/>
  <c r="F14068" i="1"/>
  <c r="G14068" i="1"/>
  <c r="B14069" i="1"/>
  <c r="A14069" i="1"/>
  <c r="E14069" i="1"/>
  <c r="F14069" i="1"/>
  <c r="B14070" i="1"/>
  <c r="A14070" i="1"/>
  <c r="E14070" i="1"/>
  <c r="F14070" i="1"/>
  <c r="B14071" i="1"/>
  <c r="A14071" i="1"/>
  <c r="E14071" i="1"/>
  <c r="F14071" i="1"/>
  <c r="B14072" i="1"/>
  <c r="A14072" i="1"/>
  <c r="E14072" i="1"/>
  <c r="F14072" i="1"/>
  <c r="G14072" i="1"/>
  <c r="B14073" i="1"/>
  <c r="A14073" i="1"/>
  <c r="E14073" i="1"/>
  <c r="F14073" i="1"/>
  <c r="B14074" i="1"/>
  <c r="A14074" i="1"/>
  <c r="E14074" i="1"/>
  <c r="F14074" i="1"/>
  <c r="B14075" i="1"/>
  <c r="A14075" i="1"/>
  <c r="E14075" i="1"/>
  <c r="F14075" i="1"/>
  <c r="G14075" i="1"/>
  <c r="B14076" i="1"/>
  <c r="A14076" i="1"/>
  <c r="E14076" i="1"/>
  <c r="F14076" i="1"/>
  <c r="G14076" i="1"/>
  <c r="B14077" i="1"/>
  <c r="A14077" i="1"/>
  <c r="E14077" i="1"/>
  <c r="F14077" i="1"/>
  <c r="G14077" i="1"/>
  <c r="B14078" i="1"/>
  <c r="A14078" i="1"/>
  <c r="E14078" i="1"/>
  <c r="F14078" i="1"/>
  <c r="B14079" i="1"/>
  <c r="A14079" i="1"/>
  <c r="E14079" i="1"/>
  <c r="F14079" i="1"/>
  <c r="B14080" i="1"/>
  <c r="A14080" i="1"/>
  <c r="E14080" i="1"/>
  <c r="F14080" i="1"/>
  <c r="B14081" i="1"/>
  <c r="A14081" i="1"/>
  <c r="E14081" i="1"/>
  <c r="F14081" i="1"/>
  <c r="B14082" i="1"/>
  <c r="A14082" i="1"/>
  <c r="E14082" i="1"/>
  <c r="F14082" i="1"/>
  <c r="B14083" i="1"/>
  <c r="A14083" i="1"/>
  <c r="E14083" i="1"/>
  <c r="F14083" i="1"/>
  <c r="B14084" i="1"/>
  <c r="A14084" i="1"/>
  <c r="E14084" i="1"/>
  <c r="F14084" i="1"/>
  <c r="B14085" i="1"/>
  <c r="A14085" i="1"/>
  <c r="E14085" i="1"/>
  <c r="F14085" i="1"/>
  <c r="B14086" i="1"/>
  <c r="A14086" i="1"/>
  <c r="E14086" i="1"/>
  <c r="F14086" i="1"/>
  <c r="B14087" i="1"/>
  <c r="A14087" i="1"/>
  <c r="E14087" i="1"/>
  <c r="F14087" i="1"/>
  <c r="B14088" i="1"/>
  <c r="A14088" i="1"/>
  <c r="E14088" i="1"/>
  <c r="F14088" i="1"/>
  <c r="B14089" i="1"/>
  <c r="A14089" i="1"/>
  <c r="E14089" i="1"/>
  <c r="F14089" i="1"/>
  <c r="B14090" i="1"/>
  <c r="A14090" i="1"/>
  <c r="E14090" i="1"/>
  <c r="F14090" i="1"/>
  <c r="B14091" i="1"/>
  <c r="A14091" i="1"/>
  <c r="E14091" i="1"/>
  <c r="F14091" i="1"/>
  <c r="B14092" i="1"/>
  <c r="A14092" i="1"/>
  <c r="E14092" i="1"/>
  <c r="F14092" i="1"/>
  <c r="B14093" i="1"/>
  <c r="A14093" i="1"/>
  <c r="E14093" i="1"/>
  <c r="F14093" i="1"/>
  <c r="B14094" i="1"/>
  <c r="A14094" i="1"/>
  <c r="E14094" i="1"/>
  <c r="F14094" i="1"/>
  <c r="G14094" i="1"/>
  <c r="B14095" i="1"/>
  <c r="A14095" i="1"/>
  <c r="E14095" i="1"/>
  <c r="F14095" i="1"/>
  <c r="G14095" i="1"/>
  <c r="B14096" i="1"/>
  <c r="A14096" i="1"/>
  <c r="E14096" i="1"/>
  <c r="F14096" i="1"/>
  <c r="B14097" i="1"/>
  <c r="A14097" i="1"/>
  <c r="E14097" i="1"/>
  <c r="B14098" i="1"/>
  <c r="A14098" i="1"/>
  <c r="E14098" i="1"/>
  <c r="B14099" i="1"/>
  <c r="A14099" i="1"/>
  <c r="E14099" i="1"/>
  <c r="B14100" i="1"/>
  <c r="A14100" i="1"/>
  <c r="E14100" i="1"/>
  <c r="B14101" i="1"/>
  <c r="A14101" i="1"/>
  <c r="E14101" i="1"/>
  <c r="F14101" i="1"/>
  <c r="B14102" i="1"/>
  <c r="A14102" i="1"/>
  <c r="E14102" i="1"/>
  <c r="B14103" i="1"/>
  <c r="A14103" i="1"/>
  <c r="E14103" i="1"/>
  <c r="B14104" i="1"/>
  <c r="A14104" i="1"/>
  <c r="E14104" i="1"/>
  <c r="B14105" i="1"/>
  <c r="A14105" i="1"/>
  <c r="E14105" i="1"/>
  <c r="B14106" i="1"/>
  <c r="A14106" i="1"/>
  <c r="E14106" i="1"/>
  <c r="B14107" i="1"/>
  <c r="A14107" i="1"/>
  <c r="E14107" i="1"/>
  <c r="B14108" i="1"/>
  <c r="A14108" i="1"/>
  <c r="E14108" i="1"/>
  <c r="B14109" i="1"/>
  <c r="A14109" i="1"/>
  <c r="E14109" i="1"/>
  <c r="B14110" i="1"/>
  <c r="A14110" i="1"/>
  <c r="E14110" i="1"/>
  <c r="B14111" i="1"/>
  <c r="A14111" i="1"/>
  <c r="E14111" i="1"/>
  <c r="B14112" i="1"/>
  <c r="A14112" i="1"/>
  <c r="E14112" i="1"/>
  <c r="B14113" i="1"/>
  <c r="A14113" i="1"/>
  <c r="E14113" i="1"/>
  <c r="B14114" i="1"/>
  <c r="A14114" i="1"/>
  <c r="E14114" i="1"/>
  <c r="B14115" i="1"/>
  <c r="A14115" i="1"/>
  <c r="E14115" i="1"/>
  <c r="A14116" i="1"/>
  <c r="E14116" i="1"/>
  <c r="A14117" i="1"/>
  <c r="E14117" i="1"/>
  <c r="A14118" i="1"/>
  <c r="E14118" i="1"/>
  <c r="A14119" i="1"/>
  <c r="E14119" i="1"/>
  <c r="A14120" i="1"/>
  <c r="E14120" i="1"/>
  <c r="B14121" i="1"/>
  <c r="A14121" i="1"/>
  <c r="E14121" i="1"/>
  <c r="B14122" i="1"/>
  <c r="A14122" i="1"/>
  <c r="E14122" i="1"/>
  <c r="A14123" i="1"/>
  <c r="E14123" i="1"/>
  <c r="A14124" i="1"/>
  <c r="E14124" i="1"/>
  <c r="B14125" i="1"/>
  <c r="A14125" i="1"/>
  <c r="E14125" i="1"/>
  <c r="B14126" i="1"/>
  <c r="A14126" i="1"/>
  <c r="E14126" i="1"/>
  <c r="B14127" i="1"/>
  <c r="A14127" i="1"/>
  <c r="E14127" i="1"/>
  <c r="B14128" i="1"/>
  <c r="A14128" i="1"/>
  <c r="E14128" i="1"/>
  <c r="B14129" i="1"/>
  <c r="A14129" i="1"/>
  <c r="E14129" i="1"/>
  <c r="B14130" i="1"/>
  <c r="A14130" i="1"/>
  <c r="E14130" i="1"/>
  <c r="B14131" i="1"/>
  <c r="A14131" i="1"/>
  <c r="E14131" i="1"/>
  <c r="B14132" i="1"/>
  <c r="A14132" i="1"/>
  <c r="E14132" i="1"/>
  <c r="B14133" i="1"/>
  <c r="A14133" i="1"/>
  <c r="E14133" i="1"/>
  <c r="B14134" i="1"/>
  <c r="A14134" i="1"/>
  <c r="E14134" i="1"/>
  <c r="B14135" i="1"/>
  <c r="A14135" i="1"/>
  <c r="E14135" i="1"/>
  <c r="B14136" i="1"/>
  <c r="A14136" i="1"/>
  <c r="E14136" i="1"/>
  <c r="B14137" i="1"/>
  <c r="A14137" i="1"/>
  <c r="E14137" i="1"/>
  <c r="B14138" i="1"/>
  <c r="A14138" i="1"/>
  <c r="E14138" i="1"/>
  <c r="B14139" i="1"/>
  <c r="A14139" i="1"/>
  <c r="E14139" i="1"/>
  <c r="B14140" i="1"/>
  <c r="A14140" i="1"/>
  <c r="E14140" i="1"/>
  <c r="B14141" i="1"/>
  <c r="A14141" i="1"/>
  <c r="E14141" i="1"/>
  <c r="B14142" i="1"/>
  <c r="A14142" i="1"/>
  <c r="E14142" i="1"/>
  <c r="B14143" i="1"/>
  <c r="A14143" i="1"/>
  <c r="E14143" i="1"/>
  <c r="A14144" i="1"/>
  <c r="E14144" i="1"/>
  <c r="B14145" i="1"/>
  <c r="A14145" i="1"/>
  <c r="E14145" i="1"/>
  <c r="B14146" i="1"/>
  <c r="A14146" i="1"/>
  <c r="E14146" i="1"/>
  <c r="B14147" i="1"/>
  <c r="A14147" i="1"/>
  <c r="E14147" i="1"/>
  <c r="B14148" i="1"/>
  <c r="A14148" i="1"/>
  <c r="E14148" i="1"/>
  <c r="B14149" i="1"/>
  <c r="A14149" i="1"/>
  <c r="E14149" i="1"/>
  <c r="B14150" i="1"/>
  <c r="A14150" i="1"/>
  <c r="E14150" i="1"/>
  <c r="B14151" i="1"/>
  <c r="A14151" i="1"/>
  <c r="E14151" i="1"/>
  <c r="B14152" i="1"/>
  <c r="A14152" i="1"/>
  <c r="E14152" i="1"/>
  <c r="B14153" i="1"/>
  <c r="A14153" i="1"/>
  <c r="E14153" i="1"/>
  <c r="B14154" i="1"/>
  <c r="A14154" i="1"/>
  <c r="E14154" i="1"/>
  <c r="B14155" i="1"/>
  <c r="A14155" i="1"/>
  <c r="E14155" i="1"/>
  <c r="B14156" i="1"/>
  <c r="A14156" i="1"/>
  <c r="E14156" i="1"/>
  <c r="B14157" i="1"/>
  <c r="A14157" i="1"/>
  <c r="E14157" i="1"/>
  <c r="B14158" i="1"/>
  <c r="A14158" i="1"/>
  <c r="E14158" i="1"/>
  <c r="B14159" i="1"/>
  <c r="A14159" i="1"/>
  <c r="E14159" i="1"/>
  <c r="B14160" i="1"/>
  <c r="A14160" i="1"/>
  <c r="E14160" i="1"/>
  <c r="B14161" i="1"/>
  <c r="A14161" i="1"/>
  <c r="E14161" i="1"/>
  <c r="B14162" i="1"/>
  <c r="A14162" i="1"/>
  <c r="E14162" i="1"/>
  <c r="B14163" i="1"/>
  <c r="A14163" i="1"/>
  <c r="E14163" i="1"/>
  <c r="B14164" i="1"/>
  <c r="A14164" i="1"/>
  <c r="E14164" i="1"/>
  <c r="B14165" i="1"/>
  <c r="A14165" i="1"/>
  <c r="E14165" i="1"/>
  <c r="B14166" i="1"/>
  <c r="A14166" i="1"/>
  <c r="E14166" i="1"/>
  <c r="B14167" i="1"/>
  <c r="A14167" i="1"/>
  <c r="E14167" i="1"/>
  <c r="B14168" i="1"/>
  <c r="A14168" i="1"/>
  <c r="E14168" i="1"/>
  <c r="B14169" i="1"/>
  <c r="A14169" i="1"/>
  <c r="E14169" i="1"/>
  <c r="B14170" i="1"/>
  <c r="A14170" i="1"/>
  <c r="E14170" i="1"/>
  <c r="B14171" i="1"/>
  <c r="A14171" i="1"/>
  <c r="E14171" i="1"/>
  <c r="B14172" i="1"/>
  <c r="A14172" i="1"/>
  <c r="E14172" i="1"/>
  <c r="B14173" i="1"/>
  <c r="A14173" i="1"/>
  <c r="E14173" i="1"/>
  <c r="B14174" i="1"/>
  <c r="A14174" i="1"/>
  <c r="E14174" i="1"/>
  <c r="F14174" i="1"/>
  <c r="B14175" i="1"/>
  <c r="A14175" i="1"/>
  <c r="E14175" i="1"/>
  <c r="F14175" i="1"/>
  <c r="B14176" i="1"/>
  <c r="A14176" i="1"/>
  <c r="E14176" i="1"/>
  <c r="F14176" i="1"/>
  <c r="B14177" i="1"/>
  <c r="A14177" i="1"/>
  <c r="E14177" i="1"/>
  <c r="F14177" i="1"/>
  <c r="B14178" i="1"/>
  <c r="A14178" i="1"/>
  <c r="E14178" i="1"/>
  <c r="F14178" i="1"/>
  <c r="G14178" i="1"/>
  <c r="B14179" i="1"/>
  <c r="A14179" i="1"/>
  <c r="E14179" i="1"/>
  <c r="F14179" i="1"/>
  <c r="B14180" i="1"/>
  <c r="A14180" i="1"/>
  <c r="E14180" i="1"/>
  <c r="F14180" i="1"/>
  <c r="G14180" i="1"/>
  <c r="B14181" i="1"/>
  <c r="A14181" i="1"/>
  <c r="E14181" i="1"/>
  <c r="F14181" i="1"/>
  <c r="B14182" i="1"/>
  <c r="A14182" i="1"/>
  <c r="E14182" i="1"/>
  <c r="F14182" i="1"/>
  <c r="B14183" i="1"/>
  <c r="A14183" i="1"/>
  <c r="E14183" i="1"/>
  <c r="F14183" i="1"/>
  <c r="B14184" i="1"/>
  <c r="A14184" i="1"/>
  <c r="E14184" i="1"/>
  <c r="F14184" i="1"/>
  <c r="B14185" i="1"/>
  <c r="A14185" i="1"/>
  <c r="E14185" i="1"/>
  <c r="F14185" i="1"/>
  <c r="B14186" i="1"/>
  <c r="A14186" i="1"/>
  <c r="E14186" i="1"/>
  <c r="F14186" i="1"/>
  <c r="B14187" i="1"/>
  <c r="A14187" i="1"/>
  <c r="E14187" i="1"/>
  <c r="F14187" i="1"/>
  <c r="B14188" i="1"/>
  <c r="A14188" i="1"/>
  <c r="E14188" i="1"/>
  <c r="F14188" i="1"/>
  <c r="B14189" i="1"/>
  <c r="A14189" i="1"/>
  <c r="E14189" i="1"/>
  <c r="F14189" i="1"/>
  <c r="B14190" i="1"/>
  <c r="A14190" i="1"/>
  <c r="E14190" i="1"/>
  <c r="F14190" i="1"/>
  <c r="B14191" i="1"/>
  <c r="A14191" i="1"/>
  <c r="E14191" i="1"/>
  <c r="F14191" i="1"/>
  <c r="B14192" i="1"/>
  <c r="A14192" i="1"/>
  <c r="E14192" i="1"/>
  <c r="F14192" i="1"/>
  <c r="B14193" i="1"/>
  <c r="A14193" i="1"/>
  <c r="E14193" i="1"/>
  <c r="F14193" i="1"/>
  <c r="B14194" i="1"/>
  <c r="A14194" i="1"/>
  <c r="E14194" i="1"/>
  <c r="F14194" i="1"/>
  <c r="B14195" i="1"/>
  <c r="A14195" i="1"/>
  <c r="E14195" i="1"/>
  <c r="F14195" i="1"/>
  <c r="G14195" i="1"/>
  <c r="B14196" i="1"/>
  <c r="A14196" i="1"/>
  <c r="E14196" i="1"/>
  <c r="F14196" i="1"/>
  <c r="B14197" i="1"/>
  <c r="A14197" i="1"/>
  <c r="E14197" i="1"/>
  <c r="F14197" i="1"/>
  <c r="B14198" i="1"/>
  <c r="A14198" i="1"/>
  <c r="E14198" i="1"/>
  <c r="F14198" i="1"/>
  <c r="B14199" i="1"/>
  <c r="A14199" i="1"/>
  <c r="E14199" i="1"/>
  <c r="F14199" i="1"/>
  <c r="B14200" i="1"/>
  <c r="A14200" i="1"/>
  <c r="E14200" i="1"/>
  <c r="F14200" i="1"/>
  <c r="B14201" i="1"/>
  <c r="A14201" i="1"/>
  <c r="E14201" i="1"/>
  <c r="F14201" i="1"/>
  <c r="B14202" i="1"/>
  <c r="A14202" i="1"/>
  <c r="E14202" i="1"/>
  <c r="F14202" i="1"/>
  <c r="B14203" i="1"/>
  <c r="A14203" i="1"/>
  <c r="E14203" i="1"/>
  <c r="F14203" i="1"/>
  <c r="B14204" i="1"/>
  <c r="A14204" i="1"/>
  <c r="E14204" i="1"/>
  <c r="F14204" i="1"/>
  <c r="B14205" i="1"/>
  <c r="A14205" i="1"/>
  <c r="E14205" i="1"/>
  <c r="F14205" i="1"/>
  <c r="B14206" i="1"/>
  <c r="A14206" i="1"/>
  <c r="E14206" i="1"/>
  <c r="F14206" i="1"/>
  <c r="B14207" i="1"/>
  <c r="A14207" i="1"/>
  <c r="E14207" i="1"/>
  <c r="F14207" i="1"/>
  <c r="B14208" i="1"/>
  <c r="A14208" i="1"/>
  <c r="E14208" i="1"/>
  <c r="F14208" i="1"/>
  <c r="B14209" i="1"/>
  <c r="A14209" i="1"/>
  <c r="E14209" i="1"/>
  <c r="F14209" i="1"/>
  <c r="G14209" i="1"/>
  <c r="B14210" i="1"/>
  <c r="A14210" i="1"/>
  <c r="E14210" i="1"/>
  <c r="F14210" i="1"/>
  <c r="B14211" i="1"/>
  <c r="A14211" i="1"/>
  <c r="E14211" i="1"/>
  <c r="F14211" i="1"/>
  <c r="B14212" i="1"/>
  <c r="A14212" i="1"/>
  <c r="E14212" i="1"/>
  <c r="F14212" i="1"/>
  <c r="B14213" i="1"/>
  <c r="A14213" i="1"/>
  <c r="E14213" i="1"/>
  <c r="F14213" i="1"/>
  <c r="B14214" i="1"/>
  <c r="A14214" i="1"/>
  <c r="E14214" i="1"/>
  <c r="F14214" i="1"/>
  <c r="B14215" i="1"/>
  <c r="A14215" i="1"/>
  <c r="E14215" i="1"/>
  <c r="F14215" i="1"/>
  <c r="G14215" i="1"/>
  <c r="B14216" i="1"/>
  <c r="A14216" i="1"/>
  <c r="E14216" i="1"/>
  <c r="F14216" i="1"/>
  <c r="B14217" i="1"/>
  <c r="A14217" i="1"/>
  <c r="E14217" i="1"/>
  <c r="F14217" i="1"/>
  <c r="B14218" i="1"/>
  <c r="A14218" i="1"/>
  <c r="E14218" i="1"/>
  <c r="F14218" i="1"/>
  <c r="B14219" i="1"/>
  <c r="A14219" i="1"/>
  <c r="E14219" i="1"/>
  <c r="F14219" i="1"/>
  <c r="B14220" i="1"/>
  <c r="A14220" i="1"/>
  <c r="E14220" i="1"/>
  <c r="F14220" i="1"/>
  <c r="B14221" i="1"/>
  <c r="A14221" i="1"/>
  <c r="E14221" i="1"/>
  <c r="F14221" i="1"/>
  <c r="B14222" i="1"/>
  <c r="A14222" i="1"/>
  <c r="E14222" i="1"/>
  <c r="F14222" i="1"/>
  <c r="B14223" i="1"/>
  <c r="A14223" i="1"/>
  <c r="E14223" i="1"/>
  <c r="F14223" i="1"/>
  <c r="B14224" i="1"/>
  <c r="A14224" i="1"/>
  <c r="E14224" i="1"/>
  <c r="F14224" i="1"/>
  <c r="B14225" i="1"/>
  <c r="A14225" i="1"/>
  <c r="E14225" i="1"/>
  <c r="F14225" i="1"/>
  <c r="B14226" i="1"/>
  <c r="A14226" i="1"/>
  <c r="E14226" i="1"/>
  <c r="F14226" i="1"/>
  <c r="B14227" i="1"/>
  <c r="A14227" i="1"/>
  <c r="E14227" i="1"/>
  <c r="F14227" i="1"/>
  <c r="G14227" i="1"/>
  <c r="B14228" i="1"/>
  <c r="A14228" i="1"/>
  <c r="E14228" i="1"/>
  <c r="F14228" i="1"/>
  <c r="G14228" i="1"/>
  <c r="B14229" i="1"/>
  <c r="A14229" i="1"/>
  <c r="E14229" i="1"/>
  <c r="F14229" i="1"/>
  <c r="B14230" i="1"/>
  <c r="A14230" i="1"/>
  <c r="E14230" i="1"/>
  <c r="F14230" i="1"/>
  <c r="B14231" i="1"/>
  <c r="A14231" i="1"/>
  <c r="E14231" i="1"/>
  <c r="F14231" i="1"/>
  <c r="B14232" i="1"/>
  <c r="A14232" i="1"/>
  <c r="E14232" i="1"/>
  <c r="F14232" i="1"/>
  <c r="B14233" i="1"/>
  <c r="A14233" i="1"/>
  <c r="E14233" i="1"/>
  <c r="F14233" i="1"/>
  <c r="B14234" i="1"/>
  <c r="A14234" i="1"/>
  <c r="E14234" i="1"/>
  <c r="F14234" i="1"/>
  <c r="B14235" i="1"/>
  <c r="A14235" i="1"/>
  <c r="E14235" i="1"/>
  <c r="F14235" i="1"/>
  <c r="B14236" i="1"/>
  <c r="A14236" i="1"/>
  <c r="E14236" i="1"/>
  <c r="F14236" i="1"/>
  <c r="B14237" i="1"/>
  <c r="A14237" i="1"/>
  <c r="E14237" i="1"/>
  <c r="F14237" i="1"/>
  <c r="B14238" i="1"/>
  <c r="A14238" i="1"/>
  <c r="E14238" i="1"/>
  <c r="F14238" i="1"/>
  <c r="B14239" i="1"/>
  <c r="A14239" i="1"/>
  <c r="E14239" i="1"/>
  <c r="F14239" i="1"/>
  <c r="G14239" i="1"/>
  <c r="B14240" i="1"/>
  <c r="A14240" i="1"/>
  <c r="E14240" i="1"/>
  <c r="F14240" i="1"/>
  <c r="B14241" i="1"/>
  <c r="A14241" i="1"/>
  <c r="E14241" i="1"/>
  <c r="F14241" i="1"/>
  <c r="B14242" i="1"/>
  <c r="A14242" i="1"/>
  <c r="E14242" i="1"/>
  <c r="F14242" i="1"/>
  <c r="B14243" i="1"/>
  <c r="A14243" i="1"/>
  <c r="E14243" i="1"/>
  <c r="F14243" i="1"/>
  <c r="B14244" i="1"/>
  <c r="A14244" i="1"/>
  <c r="E14244" i="1"/>
  <c r="F14244" i="1"/>
  <c r="B14245" i="1"/>
  <c r="A14245" i="1"/>
  <c r="E14245" i="1"/>
  <c r="F14245" i="1"/>
  <c r="B14246" i="1"/>
  <c r="A14246" i="1"/>
  <c r="E14246" i="1"/>
  <c r="F14246" i="1"/>
  <c r="B14247" i="1"/>
  <c r="A14247" i="1"/>
  <c r="E14247" i="1"/>
  <c r="F14247" i="1"/>
  <c r="B14248" i="1"/>
  <c r="A14248" i="1"/>
  <c r="E14248" i="1"/>
  <c r="F14248" i="1"/>
  <c r="B14249" i="1"/>
  <c r="A14249" i="1"/>
  <c r="E14249" i="1"/>
  <c r="F14249" i="1"/>
  <c r="B14250" i="1"/>
  <c r="A14250" i="1"/>
  <c r="E14250" i="1"/>
  <c r="F14250" i="1"/>
  <c r="B14251" i="1"/>
  <c r="A14251" i="1"/>
  <c r="E14251" i="1"/>
  <c r="F14251" i="1"/>
  <c r="G14251" i="1"/>
  <c r="B14252" i="1"/>
  <c r="A14252" i="1"/>
  <c r="E14252" i="1"/>
  <c r="F14252" i="1"/>
  <c r="B14253" i="1"/>
  <c r="A14253" i="1"/>
  <c r="E14253" i="1"/>
  <c r="F14253" i="1"/>
  <c r="B14254" i="1"/>
  <c r="A14254" i="1"/>
  <c r="E14254" i="1"/>
  <c r="F14254" i="1"/>
  <c r="B14255" i="1"/>
  <c r="A14255" i="1"/>
  <c r="E14255" i="1"/>
  <c r="F14255" i="1"/>
  <c r="B14256" i="1"/>
  <c r="A14256" i="1"/>
  <c r="E14256" i="1"/>
  <c r="F14256" i="1"/>
  <c r="G14256" i="1"/>
  <c r="B14257" i="1"/>
  <c r="A14257" i="1"/>
  <c r="E14257" i="1"/>
  <c r="F14257" i="1"/>
  <c r="B14258" i="1"/>
  <c r="A14258" i="1"/>
  <c r="E14258" i="1"/>
  <c r="F14258" i="1"/>
  <c r="G14258" i="1"/>
  <c r="B14259" i="1"/>
  <c r="A14259" i="1"/>
  <c r="E14259" i="1"/>
  <c r="F14259" i="1"/>
  <c r="B14260" i="1"/>
  <c r="A14260" i="1"/>
  <c r="E14260" i="1"/>
  <c r="F14260" i="1"/>
  <c r="B14261" i="1"/>
  <c r="A14261" i="1"/>
  <c r="E14261" i="1"/>
  <c r="F14261" i="1"/>
  <c r="G14261" i="1"/>
  <c r="B14262" i="1"/>
  <c r="A14262" i="1"/>
  <c r="E14262" i="1"/>
  <c r="F14262" i="1"/>
  <c r="B14263" i="1"/>
  <c r="A14263" i="1"/>
  <c r="E14263" i="1"/>
  <c r="F14263" i="1"/>
  <c r="B14264" i="1"/>
  <c r="A14264" i="1"/>
  <c r="E14264" i="1"/>
  <c r="F14264" i="1"/>
  <c r="B14265" i="1"/>
  <c r="A14265" i="1"/>
  <c r="E14265" i="1"/>
  <c r="F14265" i="1"/>
  <c r="B14266" i="1"/>
  <c r="A14266" i="1"/>
  <c r="E14266" i="1"/>
  <c r="F14266" i="1"/>
  <c r="B14267" i="1"/>
  <c r="A14267" i="1"/>
  <c r="E14267" i="1"/>
  <c r="F14267" i="1"/>
  <c r="G14267" i="1"/>
  <c r="B14268" i="1"/>
  <c r="A14268" i="1"/>
  <c r="E14268" i="1"/>
  <c r="F14268" i="1"/>
  <c r="B14269" i="1"/>
  <c r="A14269" i="1"/>
  <c r="E14269" i="1"/>
  <c r="F14269" i="1"/>
  <c r="B14270" i="1"/>
  <c r="A14270" i="1"/>
  <c r="E14270" i="1"/>
  <c r="F14270" i="1"/>
  <c r="G14270" i="1"/>
  <c r="B14271" i="1"/>
  <c r="A14271" i="1"/>
  <c r="E14271" i="1"/>
  <c r="F14271" i="1"/>
  <c r="B14272" i="1"/>
  <c r="A14272" i="1"/>
  <c r="E14272" i="1"/>
  <c r="F14272" i="1"/>
  <c r="B14273" i="1"/>
  <c r="A14273" i="1"/>
  <c r="E14273" i="1"/>
  <c r="F14273" i="1"/>
  <c r="B14274" i="1"/>
  <c r="A14274" i="1"/>
  <c r="E14274" i="1"/>
  <c r="F14274" i="1"/>
  <c r="B14275" i="1"/>
  <c r="A14275" i="1"/>
  <c r="E14275" i="1"/>
  <c r="F14275" i="1"/>
  <c r="B14276" i="1"/>
  <c r="A14276" i="1"/>
  <c r="E14276" i="1"/>
  <c r="F14276" i="1"/>
  <c r="G14276" i="1"/>
  <c r="B14277" i="1"/>
  <c r="A14277" i="1"/>
  <c r="E14277" i="1"/>
  <c r="F14277" i="1"/>
  <c r="B14278" i="1"/>
  <c r="A14278" i="1"/>
  <c r="E14278" i="1"/>
  <c r="F14278" i="1"/>
  <c r="B14279" i="1"/>
  <c r="A14279" i="1"/>
  <c r="E14279" i="1"/>
  <c r="F14279" i="1"/>
  <c r="B14280" i="1"/>
  <c r="A14280" i="1"/>
  <c r="E14280" i="1"/>
  <c r="F14280" i="1"/>
  <c r="B14281" i="1"/>
  <c r="A14281" i="1"/>
  <c r="E14281" i="1"/>
  <c r="F14281" i="1"/>
  <c r="B14282" i="1"/>
  <c r="A14282" i="1"/>
  <c r="E14282" i="1"/>
  <c r="F14282" i="1"/>
  <c r="G14282" i="1"/>
  <c r="B14283" i="1"/>
  <c r="A14283" i="1"/>
  <c r="E14283" i="1"/>
  <c r="F14283" i="1"/>
  <c r="G14283" i="1"/>
  <c r="B14284" i="1"/>
  <c r="A14284" i="1"/>
  <c r="E14284" i="1"/>
  <c r="F14284" i="1"/>
  <c r="B14285" i="1"/>
  <c r="A14285" i="1"/>
  <c r="E14285" i="1"/>
  <c r="F14285" i="1"/>
  <c r="B14286" i="1"/>
  <c r="A14286" i="1"/>
  <c r="E14286" i="1"/>
  <c r="F14286" i="1"/>
  <c r="B14287" i="1"/>
  <c r="A14287" i="1"/>
  <c r="E14287" i="1"/>
  <c r="F14287" i="1"/>
  <c r="B14288" i="1"/>
  <c r="A14288" i="1"/>
  <c r="E14288" i="1"/>
  <c r="F14288" i="1"/>
  <c r="B14289" i="1"/>
  <c r="A14289" i="1"/>
  <c r="E14289" i="1"/>
  <c r="F14289" i="1"/>
  <c r="G14289" i="1"/>
  <c r="B14290" i="1"/>
  <c r="A14290" i="1"/>
  <c r="E14290" i="1"/>
  <c r="F14290" i="1"/>
  <c r="G14290" i="1"/>
  <c r="B14291" i="1"/>
  <c r="A14291" i="1"/>
  <c r="E14291" i="1"/>
  <c r="F14291" i="1"/>
  <c r="B14292" i="1"/>
  <c r="A14292" i="1"/>
  <c r="E14292" i="1"/>
  <c r="F14292" i="1"/>
  <c r="B14293" i="1"/>
  <c r="A14293" i="1"/>
  <c r="E14293" i="1"/>
  <c r="F14293" i="1"/>
  <c r="B14294" i="1"/>
  <c r="A14294" i="1"/>
  <c r="E14294" i="1"/>
  <c r="F14294" i="1"/>
  <c r="G14294" i="1"/>
  <c r="B14295" i="1"/>
  <c r="A14295" i="1"/>
  <c r="E14295" i="1"/>
  <c r="F14295" i="1"/>
  <c r="B14296" i="1"/>
  <c r="A14296" i="1"/>
  <c r="E14296" i="1"/>
  <c r="F14296" i="1"/>
  <c r="B14297" i="1"/>
  <c r="A14297" i="1"/>
  <c r="E14297" i="1"/>
  <c r="F14297" i="1"/>
  <c r="G14297" i="1"/>
  <c r="B14298" i="1"/>
  <c r="A14298" i="1"/>
  <c r="E14298" i="1"/>
  <c r="F14298" i="1"/>
  <c r="B14299" i="1"/>
  <c r="A14299" i="1"/>
  <c r="E14299" i="1"/>
  <c r="F14299" i="1"/>
  <c r="G14299" i="1"/>
  <c r="B14300" i="1"/>
  <c r="A14300" i="1"/>
  <c r="E14300" i="1"/>
  <c r="F14300" i="1"/>
  <c r="G14300" i="1"/>
  <c r="B14301" i="1"/>
  <c r="A14301" i="1"/>
  <c r="E14301" i="1"/>
  <c r="F14301" i="1"/>
  <c r="G14301" i="1"/>
  <c r="B14302" i="1"/>
  <c r="A14302" i="1"/>
  <c r="E14302" i="1"/>
  <c r="F14302" i="1"/>
  <c r="B14303" i="1"/>
  <c r="A14303" i="1"/>
  <c r="E14303" i="1"/>
  <c r="F14303" i="1"/>
  <c r="B14304" i="1"/>
  <c r="A14304" i="1"/>
  <c r="E14304" i="1"/>
  <c r="F14304" i="1"/>
  <c r="B14305" i="1"/>
  <c r="A14305" i="1"/>
  <c r="E14305" i="1"/>
  <c r="F14305" i="1"/>
  <c r="B14306" i="1"/>
  <c r="A14306" i="1"/>
  <c r="E14306" i="1"/>
  <c r="B14307" i="1"/>
  <c r="A14307" i="1"/>
  <c r="E14307" i="1"/>
  <c r="F14307" i="1"/>
  <c r="B14308" i="1"/>
  <c r="A14308" i="1"/>
  <c r="E14308" i="1"/>
  <c r="F14308" i="1"/>
  <c r="B14309" i="1"/>
  <c r="A14309" i="1"/>
  <c r="E14309" i="1"/>
  <c r="B14310" i="1"/>
  <c r="A14310" i="1"/>
  <c r="E14310" i="1"/>
  <c r="B14311" i="1"/>
  <c r="A14311" i="1"/>
  <c r="E14311" i="1"/>
  <c r="B14312" i="1"/>
  <c r="A14312" i="1"/>
  <c r="E14312" i="1"/>
  <c r="B14313" i="1"/>
  <c r="A14313" i="1"/>
  <c r="E14313" i="1"/>
  <c r="B14314" i="1"/>
  <c r="A14314" i="1"/>
  <c r="E14314" i="1"/>
  <c r="B14315" i="1"/>
  <c r="A14315" i="1"/>
  <c r="E14315" i="1"/>
  <c r="B14316" i="1"/>
  <c r="A14316" i="1"/>
  <c r="E14316" i="1"/>
  <c r="B14317" i="1"/>
  <c r="A14317" i="1"/>
  <c r="E14317" i="1"/>
  <c r="B14318" i="1"/>
  <c r="A14318" i="1"/>
  <c r="E14318" i="1"/>
  <c r="B14319" i="1"/>
  <c r="A14319" i="1"/>
  <c r="E14319" i="1"/>
  <c r="B14320" i="1"/>
  <c r="A14320" i="1"/>
  <c r="E14320" i="1"/>
  <c r="B14321" i="1"/>
  <c r="A14321" i="1"/>
  <c r="E14321" i="1"/>
  <c r="B14322" i="1"/>
  <c r="A14322" i="1"/>
  <c r="E14322" i="1"/>
  <c r="B14323" i="1"/>
  <c r="A14323" i="1"/>
  <c r="E14323" i="1"/>
  <c r="B14324" i="1"/>
  <c r="A14324" i="1"/>
  <c r="E14324" i="1"/>
  <c r="B14325" i="1"/>
  <c r="A14325" i="1"/>
  <c r="E14325" i="1"/>
  <c r="B14326" i="1"/>
  <c r="A14326" i="1"/>
  <c r="E14326" i="1"/>
  <c r="B14327" i="1"/>
  <c r="A14327" i="1"/>
  <c r="E14327" i="1"/>
  <c r="B14328" i="1"/>
  <c r="A14328" i="1"/>
  <c r="E14328" i="1"/>
  <c r="B14329" i="1"/>
  <c r="A14329" i="1"/>
  <c r="E14329" i="1"/>
  <c r="B14330" i="1"/>
  <c r="A14330" i="1"/>
  <c r="E14330" i="1"/>
  <c r="B14331" i="1"/>
  <c r="A14331" i="1"/>
  <c r="E14331" i="1"/>
  <c r="B14332" i="1"/>
  <c r="A14332" i="1"/>
  <c r="E14332" i="1"/>
  <c r="B14333" i="1"/>
  <c r="A14333" i="1"/>
  <c r="E14333" i="1"/>
  <c r="B14334" i="1"/>
  <c r="A14334" i="1"/>
  <c r="E14334" i="1"/>
  <c r="B14335" i="1"/>
  <c r="A14335" i="1"/>
  <c r="E14335" i="1"/>
  <c r="B14336" i="1"/>
  <c r="A14336" i="1"/>
  <c r="E14336" i="1"/>
  <c r="B14337" i="1"/>
  <c r="A14337" i="1"/>
  <c r="E14337" i="1"/>
  <c r="B14338" i="1"/>
  <c r="A14338" i="1"/>
  <c r="E14338" i="1"/>
  <c r="B14339" i="1"/>
  <c r="A14339" i="1"/>
  <c r="E14339" i="1"/>
  <c r="B14340" i="1"/>
  <c r="A14340" i="1"/>
  <c r="E14340" i="1"/>
  <c r="B14341" i="1"/>
  <c r="A14341" i="1"/>
  <c r="E14341" i="1"/>
  <c r="A14342" i="1"/>
  <c r="E14342" i="1"/>
  <c r="A14343" i="1"/>
  <c r="E14343" i="1"/>
  <c r="B14344" i="1"/>
  <c r="A14344" i="1"/>
  <c r="E14344" i="1"/>
  <c r="B14345" i="1"/>
  <c r="A14345" i="1"/>
  <c r="E14345" i="1"/>
  <c r="B14346" i="1"/>
  <c r="A14346" i="1"/>
  <c r="E14346" i="1"/>
  <c r="B14347" i="1"/>
  <c r="A14347" i="1"/>
  <c r="E14347" i="1"/>
  <c r="B14348" i="1"/>
  <c r="A14348" i="1"/>
  <c r="E14348" i="1"/>
  <c r="B14349" i="1"/>
  <c r="A14349" i="1"/>
  <c r="E14349" i="1"/>
  <c r="B14350" i="1"/>
  <c r="A14350" i="1"/>
  <c r="E14350" i="1"/>
  <c r="B14351" i="1"/>
  <c r="A14351" i="1"/>
  <c r="E14351" i="1"/>
  <c r="B14352" i="1"/>
  <c r="A14352" i="1"/>
  <c r="E14352" i="1"/>
  <c r="B14353" i="1"/>
  <c r="A14353" i="1"/>
  <c r="E14353" i="1"/>
  <c r="B14354" i="1"/>
  <c r="A14354" i="1"/>
  <c r="E14354" i="1"/>
  <c r="G14354" i="1"/>
  <c r="B14355" i="1"/>
  <c r="A14355" i="1"/>
  <c r="E14355" i="1"/>
  <c r="B14356" i="1"/>
  <c r="A14356" i="1"/>
  <c r="E14356" i="1"/>
  <c r="B14357" i="1"/>
  <c r="A14357" i="1"/>
  <c r="E14357" i="1"/>
  <c r="B14358" i="1"/>
  <c r="A14358" i="1"/>
  <c r="E14358" i="1"/>
  <c r="B14359" i="1"/>
  <c r="A14359" i="1"/>
  <c r="E14359" i="1"/>
  <c r="B14360" i="1"/>
  <c r="A14360" i="1"/>
  <c r="E14360" i="1"/>
  <c r="B14361" i="1"/>
  <c r="A14361" i="1"/>
  <c r="E14361" i="1"/>
  <c r="G14361" i="1"/>
  <c r="B14362" i="1"/>
  <c r="A14362" i="1"/>
  <c r="E14362" i="1"/>
  <c r="B14363" i="1"/>
  <c r="A14363" i="1"/>
  <c r="E14363" i="1"/>
  <c r="B14364" i="1"/>
  <c r="A14364" i="1"/>
  <c r="E14364" i="1"/>
  <c r="B14365" i="1"/>
  <c r="A14365" i="1"/>
  <c r="E14365" i="1"/>
  <c r="B14366" i="1"/>
  <c r="A14366" i="1"/>
  <c r="E14366" i="1"/>
  <c r="B14367" i="1"/>
  <c r="A14367" i="1"/>
  <c r="E14367" i="1"/>
  <c r="B14368" i="1"/>
  <c r="A14368" i="1"/>
  <c r="E14368" i="1"/>
  <c r="B14369" i="1"/>
  <c r="A14369" i="1"/>
  <c r="E14369" i="1"/>
  <c r="B14370" i="1"/>
  <c r="A14370" i="1"/>
  <c r="E14370" i="1"/>
  <c r="B14371" i="1"/>
  <c r="A14371" i="1"/>
  <c r="E14371" i="1"/>
  <c r="B14372" i="1"/>
  <c r="A14372" i="1"/>
  <c r="E14372" i="1"/>
  <c r="B14373" i="1"/>
  <c r="A14373" i="1"/>
  <c r="E14373" i="1"/>
  <c r="A14374" i="1"/>
  <c r="E14374" i="1"/>
  <c r="A14375" i="1"/>
  <c r="E14375" i="1"/>
  <c r="B14376" i="1"/>
  <c r="A14376" i="1"/>
  <c r="E14376" i="1"/>
  <c r="G14376" i="1"/>
  <c r="B14377" i="1"/>
  <c r="A14377" i="1"/>
  <c r="E14377" i="1"/>
  <c r="B14378" i="1"/>
  <c r="A14378" i="1"/>
  <c r="E14378" i="1"/>
  <c r="G14378" i="1"/>
  <c r="B14379" i="1"/>
  <c r="A14379" i="1"/>
  <c r="E14379" i="1"/>
  <c r="G14379" i="1"/>
  <c r="B14380" i="1"/>
  <c r="A14380" i="1"/>
  <c r="E14380" i="1"/>
  <c r="G14380" i="1"/>
  <c r="B14381" i="1"/>
  <c r="A14381" i="1"/>
  <c r="E14381" i="1"/>
  <c r="G14381" i="1"/>
  <c r="B14382" i="1"/>
  <c r="A14382" i="1"/>
  <c r="E14382" i="1"/>
  <c r="G14382" i="1"/>
  <c r="B14383" i="1"/>
  <c r="A14383" i="1"/>
  <c r="E14383" i="1"/>
  <c r="G14383" i="1"/>
  <c r="B14384" i="1"/>
  <c r="A14384" i="1"/>
  <c r="E14384" i="1"/>
  <c r="G14384" i="1"/>
  <c r="B14385" i="1"/>
  <c r="A14385" i="1"/>
  <c r="E14385" i="1"/>
  <c r="G14385" i="1"/>
  <c r="B14386" i="1"/>
  <c r="A14386" i="1"/>
  <c r="E14386" i="1"/>
  <c r="G14386" i="1"/>
  <c r="B14387" i="1"/>
  <c r="A14387" i="1"/>
  <c r="E14387" i="1"/>
  <c r="G14387" i="1"/>
  <c r="B14388" i="1"/>
  <c r="A14388" i="1"/>
  <c r="E14388" i="1"/>
  <c r="G14388" i="1"/>
  <c r="B14389" i="1"/>
  <c r="A14389" i="1"/>
  <c r="E14389" i="1"/>
  <c r="G14389" i="1"/>
  <c r="B14390" i="1"/>
  <c r="A14390" i="1"/>
  <c r="E14390" i="1"/>
  <c r="G14390" i="1"/>
  <c r="B14391" i="1"/>
  <c r="A14391" i="1"/>
  <c r="E14391" i="1"/>
  <c r="B14392" i="1"/>
  <c r="A14392" i="1"/>
  <c r="E14392" i="1"/>
  <c r="G14392" i="1"/>
  <c r="B14393" i="1"/>
  <c r="A14393" i="1"/>
  <c r="E14393" i="1"/>
  <c r="G14393" i="1"/>
  <c r="B14394" i="1"/>
  <c r="A14394" i="1"/>
  <c r="E14394" i="1"/>
  <c r="G14394" i="1"/>
  <c r="B14395" i="1"/>
  <c r="A14395" i="1"/>
  <c r="E14395" i="1"/>
  <c r="G14395" i="1"/>
  <c r="B14396" i="1"/>
  <c r="A14396" i="1"/>
  <c r="E14396" i="1"/>
  <c r="G14396" i="1"/>
  <c r="B14397" i="1"/>
  <c r="A14397" i="1"/>
  <c r="E14397" i="1"/>
  <c r="G14397" i="1"/>
  <c r="B14398" i="1"/>
  <c r="A14398" i="1"/>
  <c r="E14398" i="1"/>
  <c r="G14398" i="1"/>
  <c r="B14399" i="1"/>
  <c r="A14399" i="1"/>
  <c r="E14399" i="1"/>
  <c r="G14399" i="1"/>
  <c r="B14400" i="1"/>
  <c r="A14400" i="1"/>
  <c r="E14400" i="1"/>
  <c r="G14400" i="1"/>
  <c r="B14401" i="1"/>
  <c r="A14401" i="1"/>
  <c r="E14401" i="1"/>
  <c r="G14401" i="1"/>
  <c r="B14402" i="1"/>
  <c r="A14402" i="1"/>
  <c r="E14402" i="1"/>
  <c r="G14402" i="1"/>
  <c r="B14403" i="1"/>
  <c r="A14403" i="1"/>
  <c r="E14403" i="1"/>
  <c r="G14403" i="1"/>
  <c r="B14404" i="1"/>
  <c r="A14404" i="1"/>
  <c r="E14404" i="1"/>
  <c r="G14404" i="1"/>
  <c r="B14405" i="1"/>
  <c r="A14405" i="1"/>
  <c r="E14405" i="1"/>
  <c r="G14405" i="1"/>
  <c r="B14406" i="1"/>
  <c r="A14406" i="1"/>
  <c r="E14406" i="1"/>
  <c r="G14406" i="1"/>
  <c r="B14407" i="1"/>
  <c r="A14407" i="1"/>
  <c r="E14407" i="1"/>
  <c r="G14407" i="1"/>
  <c r="B14408" i="1"/>
  <c r="A14408" i="1"/>
  <c r="E14408" i="1"/>
  <c r="G14408" i="1"/>
  <c r="B14409" i="1"/>
  <c r="A14409" i="1"/>
  <c r="E14409" i="1"/>
  <c r="G14409" i="1"/>
  <c r="B14410" i="1"/>
  <c r="A14410" i="1"/>
  <c r="E14410" i="1"/>
  <c r="G14410" i="1"/>
  <c r="B14411" i="1"/>
  <c r="A14411" i="1"/>
  <c r="E14411" i="1"/>
  <c r="G14411" i="1"/>
  <c r="B14412" i="1"/>
  <c r="A14412" i="1"/>
  <c r="E14412" i="1"/>
  <c r="G14412" i="1"/>
  <c r="B14413" i="1"/>
  <c r="A14413" i="1"/>
  <c r="E14413" i="1"/>
  <c r="G14413" i="1"/>
  <c r="B14414" i="1"/>
  <c r="A14414" i="1"/>
  <c r="E14414" i="1"/>
  <c r="G14414" i="1"/>
  <c r="B14415" i="1"/>
  <c r="A14415" i="1"/>
  <c r="E14415" i="1"/>
  <c r="G14415" i="1"/>
  <c r="B14416" i="1"/>
  <c r="A14416" i="1"/>
  <c r="E14416" i="1"/>
  <c r="G14416" i="1"/>
  <c r="B14417" i="1"/>
  <c r="A14417" i="1"/>
  <c r="E14417" i="1"/>
  <c r="G14417" i="1"/>
  <c r="B14418" i="1"/>
  <c r="A14418" i="1"/>
  <c r="E14418" i="1"/>
  <c r="G14418" i="1"/>
  <c r="B14419" i="1"/>
  <c r="A14419" i="1"/>
  <c r="E14419" i="1"/>
  <c r="B14420" i="1"/>
  <c r="A14420" i="1"/>
  <c r="E14420" i="1"/>
  <c r="B14421" i="1"/>
  <c r="A14421" i="1"/>
  <c r="E14421" i="1"/>
  <c r="B14422" i="1"/>
  <c r="A14422" i="1"/>
  <c r="E14422" i="1"/>
  <c r="B14423" i="1"/>
  <c r="A14423" i="1"/>
  <c r="E14423" i="1"/>
  <c r="B14424" i="1"/>
  <c r="A14424" i="1"/>
  <c r="E14424" i="1"/>
  <c r="B14425" i="1"/>
  <c r="A14425" i="1"/>
  <c r="E14425" i="1"/>
  <c r="B14426" i="1"/>
  <c r="A14426" i="1"/>
  <c r="E14426" i="1"/>
  <c r="A14427" i="1"/>
  <c r="E14427" i="1"/>
  <c r="A14428" i="1"/>
  <c r="E14428" i="1"/>
  <c r="A14429" i="1"/>
  <c r="E14429" i="1"/>
  <c r="A14430" i="1"/>
  <c r="E14430" i="1"/>
  <c r="A14431" i="1"/>
  <c r="E14431" i="1"/>
  <c r="A14432" i="1"/>
  <c r="E14432" i="1"/>
  <c r="A14433" i="1"/>
  <c r="E14433" i="1"/>
  <c r="A14434" i="1"/>
  <c r="E14434" i="1"/>
  <c r="A14435" i="1"/>
  <c r="E14435" i="1"/>
  <c r="A14436" i="1"/>
  <c r="E14436" i="1"/>
  <c r="A14437" i="1"/>
  <c r="E14437" i="1"/>
  <c r="A14438" i="1"/>
  <c r="E14438" i="1"/>
  <c r="A14439" i="1"/>
  <c r="E14439" i="1"/>
  <c r="A14440" i="1"/>
  <c r="E14440" i="1"/>
  <c r="A14441" i="1"/>
  <c r="E14441" i="1"/>
  <c r="A14442" i="1"/>
  <c r="E14442" i="1"/>
  <c r="A14443" i="1"/>
  <c r="E14443" i="1"/>
  <c r="A14444" i="1"/>
  <c r="E14444" i="1"/>
  <c r="A14445" i="1"/>
  <c r="E14445" i="1"/>
  <c r="A14446" i="1"/>
  <c r="E14446" i="1"/>
  <c r="A14447" i="1"/>
  <c r="E14447" i="1"/>
  <c r="A14448" i="1"/>
  <c r="E14448" i="1"/>
  <c r="A14449" i="1"/>
  <c r="E14449" i="1"/>
  <c r="B14450" i="1"/>
  <c r="A14450" i="1"/>
  <c r="E14450" i="1"/>
  <c r="B14451" i="1"/>
  <c r="A14451" i="1"/>
  <c r="E14451" i="1"/>
  <c r="B14452" i="1"/>
  <c r="A14452" i="1"/>
  <c r="E14452" i="1"/>
  <c r="B14453" i="1"/>
  <c r="A14453" i="1"/>
  <c r="E14453" i="1"/>
  <c r="B14454" i="1"/>
  <c r="A14454" i="1"/>
  <c r="E14454" i="1"/>
  <c r="B14455" i="1"/>
  <c r="A14455" i="1"/>
  <c r="E14455" i="1"/>
  <c r="B14456" i="1"/>
  <c r="A14456" i="1"/>
  <c r="E14456" i="1"/>
  <c r="B14457" i="1"/>
  <c r="A14457" i="1"/>
  <c r="E14457" i="1"/>
  <c r="B14458" i="1"/>
  <c r="A14458" i="1"/>
  <c r="E14458" i="1"/>
  <c r="B14459" i="1"/>
  <c r="A14459" i="1"/>
  <c r="E14459" i="1"/>
  <c r="B14460" i="1"/>
  <c r="A14460" i="1"/>
  <c r="E14460" i="1"/>
  <c r="B14461" i="1"/>
  <c r="A14461" i="1"/>
  <c r="E14461" i="1"/>
  <c r="B14462" i="1"/>
  <c r="A14462" i="1"/>
  <c r="E14462" i="1"/>
  <c r="B14463" i="1"/>
  <c r="A14463" i="1"/>
  <c r="E14463" i="1"/>
  <c r="B14464" i="1"/>
  <c r="A14464" i="1"/>
  <c r="E14464" i="1"/>
  <c r="B14465" i="1"/>
  <c r="A14465" i="1"/>
  <c r="E14465" i="1"/>
  <c r="B14466" i="1"/>
  <c r="A14466" i="1"/>
  <c r="E14466" i="1"/>
  <c r="G14466" i="1"/>
  <c r="B14467" i="1"/>
  <c r="A14467" i="1"/>
  <c r="E14467" i="1"/>
  <c r="B14468" i="1"/>
  <c r="A14468" i="1"/>
  <c r="E14468" i="1"/>
  <c r="B14469" i="1"/>
  <c r="A14469" i="1"/>
  <c r="E14469" i="1"/>
  <c r="B14470" i="1"/>
  <c r="A14470" i="1"/>
  <c r="E14470" i="1"/>
  <c r="B14471" i="1"/>
  <c r="A14471" i="1"/>
  <c r="E14471" i="1"/>
  <c r="B14472" i="1"/>
  <c r="A14472" i="1"/>
  <c r="E14472" i="1"/>
  <c r="B14473" i="1"/>
  <c r="A14473" i="1"/>
  <c r="E14473" i="1"/>
  <c r="B14474" i="1"/>
  <c r="A14474" i="1"/>
  <c r="E14474" i="1"/>
  <c r="B14475" i="1"/>
  <c r="A14475" i="1"/>
  <c r="E14475" i="1"/>
  <c r="B14476" i="1"/>
  <c r="A14476" i="1"/>
  <c r="E14476" i="1"/>
  <c r="B14477" i="1"/>
  <c r="A14477" i="1"/>
  <c r="E14477" i="1"/>
  <c r="B14478" i="1"/>
  <c r="A14478" i="1"/>
  <c r="E14478" i="1"/>
  <c r="B14479" i="1"/>
  <c r="A14479" i="1"/>
  <c r="E14479" i="1"/>
  <c r="B14480" i="1"/>
  <c r="A14480" i="1"/>
  <c r="E14480" i="1"/>
  <c r="B14481" i="1"/>
  <c r="A14481" i="1"/>
  <c r="E14481" i="1"/>
  <c r="B14482" i="1"/>
  <c r="A14482" i="1"/>
  <c r="E14482" i="1"/>
  <c r="B14483" i="1"/>
  <c r="A14483" i="1"/>
  <c r="E14483" i="1"/>
  <c r="B14484" i="1"/>
  <c r="A14484" i="1"/>
  <c r="E14484" i="1"/>
  <c r="B14485" i="1"/>
  <c r="A14485" i="1"/>
  <c r="E14485" i="1"/>
  <c r="B14486" i="1"/>
  <c r="A14486" i="1"/>
  <c r="E14486" i="1"/>
  <c r="B14487" i="1"/>
  <c r="A14487" i="1"/>
  <c r="E14487" i="1"/>
  <c r="A14488" i="1"/>
  <c r="E14488" i="1"/>
  <c r="A14489" i="1"/>
  <c r="E14489" i="1"/>
  <c r="A14490" i="1"/>
  <c r="E14490" i="1"/>
  <c r="A14491" i="1"/>
  <c r="E14491" i="1"/>
  <c r="A14492" i="1"/>
  <c r="E14492" i="1"/>
  <c r="A14493" i="1"/>
  <c r="E14493" i="1"/>
  <c r="A14494" i="1"/>
  <c r="E14494" i="1"/>
  <c r="A14495" i="1"/>
  <c r="E14495" i="1"/>
  <c r="A14496" i="1"/>
  <c r="E14496" i="1"/>
  <c r="A14497" i="1"/>
  <c r="E14497" i="1"/>
  <c r="A14498" i="1"/>
  <c r="E14498" i="1"/>
  <c r="A14499" i="1"/>
  <c r="E14499" i="1"/>
  <c r="B14500" i="1"/>
  <c r="A14500" i="1"/>
  <c r="E14500" i="1"/>
  <c r="B14501" i="1"/>
  <c r="A14501" i="1"/>
  <c r="E14501" i="1"/>
  <c r="B14502" i="1"/>
  <c r="A14502" i="1"/>
  <c r="E14502" i="1"/>
  <c r="B14503" i="1"/>
  <c r="A14503" i="1"/>
  <c r="E14503" i="1"/>
  <c r="B14504" i="1"/>
  <c r="A14504" i="1"/>
  <c r="E14504" i="1"/>
  <c r="B14505" i="1"/>
  <c r="A14505" i="1"/>
  <c r="E14505" i="1"/>
  <c r="B14506" i="1"/>
  <c r="A14506" i="1"/>
  <c r="E14506" i="1"/>
  <c r="B14507" i="1"/>
  <c r="A14507" i="1"/>
  <c r="E14507" i="1"/>
  <c r="B14508" i="1"/>
  <c r="A14508" i="1"/>
  <c r="E14508" i="1"/>
  <c r="B14509" i="1"/>
  <c r="A14509" i="1"/>
  <c r="E14509" i="1"/>
  <c r="B14510" i="1"/>
  <c r="A14510" i="1"/>
  <c r="E14510" i="1"/>
  <c r="B14511" i="1"/>
  <c r="A14511" i="1"/>
  <c r="E14511" i="1"/>
  <c r="B14512" i="1"/>
  <c r="A14512" i="1"/>
  <c r="E14512" i="1"/>
  <c r="B14513" i="1"/>
  <c r="A14513" i="1"/>
  <c r="E14513" i="1"/>
  <c r="B14514" i="1"/>
  <c r="A14514" i="1"/>
  <c r="E14514" i="1"/>
  <c r="B14515" i="1"/>
  <c r="A14515" i="1"/>
  <c r="E14515" i="1"/>
  <c r="B14516" i="1"/>
  <c r="A14516" i="1"/>
  <c r="E14516" i="1"/>
  <c r="B14517" i="1"/>
  <c r="A14517" i="1"/>
  <c r="E14517" i="1"/>
  <c r="B14518" i="1"/>
  <c r="A14518" i="1"/>
  <c r="E14518" i="1"/>
  <c r="B14519" i="1"/>
  <c r="A14519" i="1"/>
  <c r="E14519" i="1"/>
  <c r="B14520" i="1"/>
  <c r="A14520" i="1"/>
  <c r="E14520" i="1"/>
  <c r="B14521" i="1"/>
  <c r="A14521" i="1"/>
  <c r="E14521" i="1"/>
  <c r="B14522" i="1"/>
  <c r="A14522" i="1"/>
  <c r="E14522" i="1"/>
  <c r="B14523" i="1"/>
  <c r="A14523" i="1"/>
  <c r="E14523" i="1"/>
  <c r="B14524" i="1"/>
  <c r="A14524" i="1"/>
  <c r="E14524" i="1"/>
  <c r="A14525" i="1"/>
  <c r="E14525" i="1"/>
  <c r="A14526" i="1"/>
  <c r="E14526" i="1"/>
  <c r="A14527" i="1"/>
  <c r="E14527" i="1"/>
  <c r="A14528" i="1"/>
  <c r="E14528" i="1"/>
  <c r="A14529" i="1"/>
  <c r="E14529" i="1"/>
  <c r="A14530" i="1"/>
  <c r="E14530" i="1"/>
  <c r="A14531" i="1"/>
  <c r="E14531" i="1"/>
  <c r="A14532" i="1"/>
  <c r="E14532" i="1"/>
  <c r="A14533" i="1"/>
  <c r="E14533" i="1"/>
  <c r="A14534" i="1"/>
  <c r="E14534" i="1"/>
  <c r="A14535" i="1"/>
  <c r="E14535" i="1"/>
  <c r="A14536" i="1"/>
  <c r="E14536" i="1"/>
  <c r="A14537" i="1"/>
  <c r="E14537" i="1"/>
  <c r="A14538" i="1"/>
  <c r="E14538" i="1"/>
  <c r="A14539" i="1"/>
  <c r="E14539" i="1"/>
  <c r="A14540" i="1"/>
  <c r="E14540" i="1"/>
  <c r="A14541" i="1"/>
  <c r="E14541" i="1"/>
  <c r="A14542" i="1"/>
  <c r="E14542" i="1"/>
  <c r="A14543" i="1"/>
  <c r="E14543" i="1"/>
  <c r="A14544" i="1"/>
  <c r="E14544" i="1"/>
  <c r="A14545" i="1"/>
  <c r="E14545" i="1"/>
  <c r="A14546" i="1"/>
  <c r="E14546" i="1"/>
  <c r="B14547" i="1"/>
  <c r="A14547" i="1"/>
  <c r="E14547" i="1"/>
  <c r="B14548" i="1"/>
  <c r="A14548" i="1"/>
  <c r="E14548" i="1"/>
  <c r="B14549" i="1"/>
  <c r="A14549" i="1"/>
  <c r="E14549" i="1"/>
  <c r="G14549" i="1"/>
  <c r="B14550" i="1"/>
  <c r="A14550" i="1"/>
  <c r="E14550" i="1"/>
  <c r="G14550" i="1"/>
  <c r="B14551" i="1"/>
  <c r="A14551" i="1"/>
  <c r="E14551" i="1"/>
  <c r="G14551" i="1"/>
  <c r="B14552" i="1"/>
  <c r="A14552" i="1"/>
  <c r="E14552" i="1"/>
  <c r="G14552" i="1"/>
  <c r="B14553" i="1"/>
  <c r="A14553" i="1"/>
  <c r="E14553" i="1"/>
  <c r="G14553" i="1"/>
  <c r="B14554" i="1"/>
  <c r="A14554" i="1"/>
  <c r="E14554" i="1"/>
  <c r="G14554" i="1"/>
  <c r="A14555" i="1"/>
  <c r="E14555" i="1"/>
  <c r="A14556" i="1"/>
  <c r="E14556" i="1"/>
  <c r="A14557" i="1"/>
  <c r="E14557" i="1"/>
  <c r="A14558" i="1"/>
  <c r="E14558" i="1"/>
  <c r="A14559" i="1"/>
  <c r="E14559" i="1"/>
  <c r="B14560" i="1"/>
  <c r="A14560" i="1"/>
  <c r="E14560" i="1"/>
  <c r="B14561" i="1"/>
  <c r="A14561" i="1"/>
  <c r="E14561" i="1"/>
  <c r="G14561" i="1"/>
  <c r="B14562" i="1"/>
  <c r="A14562" i="1"/>
  <c r="E14562" i="1"/>
  <c r="B14563" i="1"/>
  <c r="A14563" i="1"/>
  <c r="E14563" i="1"/>
  <c r="B14564" i="1"/>
  <c r="A14564" i="1"/>
  <c r="E14564" i="1"/>
  <c r="B14565" i="1"/>
  <c r="A14565" i="1"/>
  <c r="E14565" i="1"/>
  <c r="B14566" i="1"/>
  <c r="A14566" i="1"/>
  <c r="E14566" i="1"/>
  <c r="B14567" i="1"/>
  <c r="A14567" i="1"/>
  <c r="E14567" i="1"/>
  <c r="B14568" i="1"/>
  <c r="A14568" i="1"/>
  <c r="E14568" i="1"/>
  <c r="B14569" i="1"/>
  <c r="A14569" i="1"/>
  <c r="E14569" i="1"/>
  <c r="B14570" i="1"/>
  <c r="A14570" i="1"/>
  <c r="E14570" i="1"/>
  <c r="B14571" i="1"/>
  <c r="A14571" i="1"/>
  <c r="E14571" i="1"/>
  <c r="B14572" i="1"/>
  <c r="A14572" i="1"/>
  <c r="E14572" i="1"/>
  <c r="B14573" i="1"/>
  <c r="A14573" i="1"/>
  <c r="E14573" i="1"/>
  <c r="B14574" i="1"/>
  <c r="A14574" i="1"/>
  <c r="E14574" i="1"/>
  <c r="B14575" i="1"/>
  <c r="A14575" i="1"/>
  <c r="E14575" i="1"/>
  <c r="B14576" i="1"/>
  <c r="A14576" i="1"/>
  <c r="E14576" i="1"/>
  <c r="B14577" i="1"/>
  <c r="A14577" i="1"/>
  <c r="E14577" i="1"/>
  <c r="B14578" i="1"/>
  <c r="A14578" i="1"/>
  <c r="E14578" i="1"/>
  <c r="B14579" i="1"/>
  <c r="A14579" i="1"/>
  <c r="E14579" i="1"/>
  <c r="B14580" i="1"/>
  <c r="A14580" i="1"/>
  <c r="E14580" i="1"/>
  <c r="B14581" i="1"/>
  <c r="A14581" i="1"/>
  <c r="E14581" i="1"/>
  <c r="B14582" i="1"/>
  <c r="A14582" i="1"/>
  <c r="E14582" i="1"/>
  <c r="B14583" i="1"/>
  <c r="A14583" i="1"/>
  <c r="E14583" i="1"/>
  <c r="B14584" i="1"/>
  <c r="A14584" i="1"/>
  <c r="E14584" i="1"/>
  <c r="B14585" i="1"/>
  <c r="A14585" i="1"/>
  <c r="E14585" i="1"/>
  <c r="B14586" i="1"/>
  <c r="A14586" i="1"/>
  <c r="E14586" i="1"/>
  <c r="B14587" i="1"/>
  <c r="A14587" i="1"/>
  <c r="E14587" i="1"/>
  <c r="B14588" i="1"/>
  <c r="A14588" i="1"/>
  <c r="E14588" i="1"/>
  <c r="B14589" i="1"/>
  <c r="A14589" i="1"/>
  <c r="E14589" i="1"/>
  <c r="B14590" i="1"/>
  <c r="A14590" i="1"/>
  <c r="E14590" i="1"/>
  <c r="B14591" i="1"/>
  <c r="A14591" i="1"/>
  <c r="E14591" i="1"/>
  <c r="B14592" i="1"/>
  <c r="A14592" i="1"/>
  <c r="E14592" i="1"/>
  <c r="B14593" i="1"/>
  <c r="A14593" i="1"/>
  <c r="E14593" i="1"/>
  <c r="B14594" i="1"/>
  <c r="A14594" i="1"/>
  <c r="E14594" i="1"/>
  <c r="B14595" i="1"/>
  <c r="A14595" i="1"/>
  <c r="E14595" i="1"/>
  <c r="B14596" i="1"/>
  <c r="A14596" i="1"/>
  <c r="E14596" i="1"/>
  <c r="B14597" i="1"/>
  <c r="A14597" i="1"/>
  <c r="E14597" i="1"/>
  <c r="B14598" i="1"/>
  <c r="A14598" i="1"/>
  <c r="E14598" i="1"/>
  <c r="B14599" i="1"/>
  <c r="A14599" i="1"/>
  <c r="E14599" i="1"/>
  <c r="B14600" i="1"/>
  <c r="A14600" i="1"/>
  <c r="E14600" i="1"/>
  <c r="B14601" i="1"/>
  <c r="A14601" i="1"/>
  <c r="E14601" i="1"/>
  <c r="B14602" i="1"/>
  <c r="A14602" i="1"/>
  <c r="E14602" i="1"/>
  <c r="B14603" i="1"/>
  <c r="A14603" i="1"/>
  <c r="E14603" i="1"/>
  <c r="F14603" i="1"/>
  <c r="B14604" i="1"/>
  <c r="A14604" i="1"/>
  <c r="E14604" i="1"/>
  <c r="F14604" i="1"/>
  <c r="B14605" i="1"/>
  <c r="A14605" i="1"/>
  <c r="E14605" i="1"/>
  <c r="F14605" i="1"/>
  <c r="B14606" i="1"/>
  <c r="A14606" i="1"/>
  <c r="E14606" i="1"/>
  <c r="F14606" i="1"/>
  <c r="B14607" i="1"/>
  <c r="A14607" i="1"/>
  <c r="E14607" i="1"/>
  <c r="F14607" i="1"/>
  <c r="B14608" i="1"/>
  <c r="A14608" i="1"/>
  <c r="E14608" i="1"/>
  <c r="F14608" i="1"/>
  <c r="B14609" i="1"/>
  <c r="A14609" i="1"/>
  <c r="E14609" i="1"/>
  <c r="F14609" i="1"/>
  <c r="G14609" i="1"/>
  <c r="B14610" i="1"/>
  <c r="A14610" i="1"/>
  <c r="E14610" i="1"/>
  <c r="F14610" i="1"/>
  <c r="B14611" i="1"/>
  <c r="A14611" i="1"/>
  <c r="E14611" i="1"/>
  <c r="F14611" i="1"/>
  <c r="B14612" i="1"/>
  <c r="A14612" i="1"/>
  <c r="E14612" i="1"/>
  <c r="F14612" i="1"/>
  <c r="B14613" i="1"/>
  <c r="A14613" i="1"/>
  <c r="E14613" i="1"/>
  <c r="F14613" i="1"/>
  <c r="B14614" i="1"/>
  <c r="A14614" i="1"/>
  <c r="E14614" i="1"/>
  <c r="F14614" i="1"/>
  <c r="B14615" i="1"/>
  <c r="A14615" i="1"/>
  <c r="E14615" i="1"/>
  <c r="F14615" i="1"/>
  <c r="B14616" i="1"/>
  <c r="A14616" i="1"/>
  <c r="E14616" i="1"/>
  <c r="F14616" i="1"/>
  <c r="B14617" i="1"/>
  <c r="A14617" i="1"/>
  <c r="E14617" i="1"/>
  <c r="F14617" i="1"/>
  <c r="G14617" i="1"/>
  <c r="B14618" i="1"/>
  <c r="A14618" i="1"/>
  <c r="E14618" i="1"/>
  <c r="F14618" i="1"/>
  <c r="B14619" i="1"/>
  <c r="A14619" i="1"/>
  <c r="E14619" i="1"/>
  <c r="F14619" i="1"/>
  <c r="B14620" i="1"/>
  <c r="A14620" i="1"/>
  <c r="E14620" i="1"/>
  <c r="F14620" i="1"/>
  <c r="B14621" i="1"/>
  <c r="A14621" i="1"/>
  <c r="E14621" i="1"/>
  <c r="F14621" i="1"/>
  <c r="B14622" i="1"/>
  <c r="A14622" i="1"/>
  <c r="E14622" i="1"/>
  <c r="F14622" i="1"/>
  <c r="B14623" i="1"/>
  <c r="A14623" i="1"/>
  <c r="E14623" i="1"/>
  <c r="F14623" i="1"/>
  <c r="B14624" i="1"/>
  <c r="A14624" i="1"/>
  <c r="E14624" i="1"/>
  <c r="F14624" i="1"/>
  <c r="B14625" i="1"/>
  <c r="A14625" i="1"/>
  <c r="E14625" i="1"/>
  <c r="F14625" i="1"/>
  <c r="B14626" i="1"/>
  <c r="A14626" i="1"/>
  <c r="E14626" i="1"/>
  <c r="F14626" i="1"/>
  <c r="B14627" i="1"/>
  <c r="A14627" i="1"/>
  <c r="E14627" i="1"/>
  <c r="F14627" i="1"/>
  <c r="B14628" i="1"/>
  <c r="A14628" i="1"/>
  <c r="E14628" i="1"/>
  <c r="F14628" i="1"/>
  <c r="G14628" i="1"/>
  <c r="B14629" i="1"/>
  <c r="A14629" i="1"/>
  <c r="E14629" i="1"/>
  <c r="F14629" i="1"/>
  <c r="G14629" i="1"/>
  <c r="B14630" i="1"/>
  <c r="A14630" i="1"/>
  <c r="E14630" i="1"/>
  <c r="F14630" i="1"/>
  <c r="B14631" i="1"/>
  <c r="A14631" i="1"/>
  <c r="E14631" i="1"/>
  <c r="F14631" i="1"/>
  <c r="B14632" i="1"/>
  <c r="A14632" i="1"/>
  <c r="E14632" i="1"/>
  <c r="F14632" i="1"/>
  <c r="B14633" i="1"/>
  <c r="A14633" i="1"/>
  <c r="E14633" i="1"/>
  <c r="F14633" i="1"/>
  <c r="B14634" i="1"/>
  <c r="A14634" i="1"/>
  <c r="E14634" i="1"/>
  <c r="F14634" i="1"/>
  <c r="B14635" i="1"/>
  <c r="A14635" i="1"/>
  <c r="E14635" i="1"/>
  <c r="F14635" i="1"/>
  <c r="B14636" i="1"/>
  <c r="A14636" i="1"/>
  <c r="E14636" i="1"/>
  <c r="F14636" i="1"/>
  <c r="B14637" i="1"/>
  <c r="A14637" i="1"/>
  <c r="E14637" i="1"/>
  <c r="F14637" i="1"/>
  <c r="G14637" i="1"/>
  <c r="B14638" i="1"/>
  <c r="A14638" i="1"/>
  <c r="E14638" i="1"/>
  <c r="F14638" i="1"/>
  <c r="G14638" i="1"/>
  <c r="B14639" i="1"/>
  <c r="A14639" i="1"/>
  <c r="E14639" i="1"/>
  <c r="F14639" i="1"/>
  <c r="B14640" i="1"/>
  <c r="A14640" i="1"/>
  <c r="E14640" i="1"/>
  <c r="F14640" i="1"/>
  <c r="B14641" i="1"/>
  <c r="A14641" i="1"/>
  <c r="E14641" i="1"/>
  <c r="F14641" i="1"/>
  <c r="B14642" i="1"/>
  <c r="A14642" i="1"/>
  <c r="E14642" i="1"/>
  <c r="F14642" i="1"/>
  <c r="B14643" i="1"/>
  <c r="A14643" i="1"/>
  <c r="E14643" i="1"/>
  <c r="F14643" i="1"/>
  <c r="G14643" i="1"/>
  <c r="B14644" i="1"/>
  <c r="A14644" i="1"/>
  <c r="E14644" i="1"/>
  <c r="F14644" i="1"/>
  <c r="B14645" i="1"/>
  <c r="A14645" i="1"/>
  <c r="E14645" i="1"/>
  <c r="F14645" i="1"/>
  <c r="B14646" i="1"/>
  <c r="A14646" i="1"/>
  <c r="E14646" i="1"/>
  <c r="F14646" i="1"/>
  <c r="B14647" i="1"/>
  <c r="A14647" i="1"/>
  <c r="E14647" i="1"/>
  <c r="F14647" i="1"/>
  <c r="B14648" i="1"/>
  <c r="A14648" i="1"/>
  <c r="E14648" i="1"/>
  <c r="F14648" i="1"/>
  <c r="B14649" i="1"/>
  <c r="A14649" i="1"/>
  <c r="E14649" i="1"/>
  <c r="F14649" i="1"/>
  <c r="G14649" i="1"/>
  <c r="B14650" i="1"/>
  <c r="A14650" i="1"/>
  <c r="E14650" i="1"/>
  <c r="F14650" i="1"/>
  <c r="B14651" i="1"/>
  <c r="A14651" i="1"/>
  <c r="E14651" i="1"/>
  <c r="F14651" i="1"/>
  <c r="B14652" i="1"/>
  <c r="A14652" i="1"/>
  <c r="E14652" i="1"/>
  <c r="F14652" i="1"/>
  <c r="B14653" i="1"/>
  <c r="A14653" i="1"/>
  <c r="E14653" i="1"/>
  <c r="F14653" i="1"/>
  <c r="B14654" i="1"/>
  <c r="A14654" i="1"/>
  <c r="E14654" i="1"/>
  <c r="F14654" i="1"/>
  <c r="B14655" i="1"/>
  <c r="A14655" i="1"/>
  <c r="E14655" i="1"/>
  <c r="F14655" i="1"/>
  <c r="B14656" i="1"/>
  <c r="A14656" i="1"/>
  <c r="E14656" i="1"/>
  <c r="F14656" i="1"/>
  <c r="B14657" i="1"/>
  <c r="A14657" i="1"/>
  <c r="E14657" i="1"/>
  <c r="F14657" i="1"/>
  <c r="B14658" i="1"/>
  <c r="A14658" i="1"/>
  <c r="E14658" i="1"/>
  <c r="F14658" i="1"/>
  <c r="G14658" i="1"/>
  <c r="B14659" i="1"/>
  <c r="A14659" i="1"/>
  <c r="E14659" i="1"/>
  <c r="F14659" i="1"/>
  <c r="G14659" i="1"/>
  <c r="B14660" i="1"/>
  <c r="A14660" i="1"/>
  <c r="E14660" i="1"/>
  <c r="F14660" i="1"/>
  <c r="B14661" i="1"/>
  <c r="A14661" i="1"/>
  <c r="E14661" i="1"/>
  <c r="F14661" i="1"/>
  <c r="B14662" i="1"/>
  <c r="A14662" i="1"/>
  <c r="E14662" i="1"/>
  <c r="F14662" i="1"/>
  <c r="B14663" i="1"/>
  <c r="A14663" i="1"/>
  <c r="E14663" i="1"/>
  <c r="F14663" i="1"/>
  <c r="B14664" i="1"/>
  <c r="A14664" i="1"/>
  <c r="E14664" i="1"/>
  <c r="F14664" i="1"/>
  <c r="B14665" i="1"/>
  <c r="A14665" i="1"/>
  <c r="E14665" i="1"/>
  <c r="F14665" i="1"/>
  <c r="B14666" i="1"/>
  <c r="A14666" i="1"/>
  <c r="E14666" i="1"/>
  <c r="F14666" i="1"/>
  <c r="B14667" i="1"/>
  <c r="A14667" i="1"/>
  <c r="E14667" i="1"/>
  <c r="F14667" i="1"/>
  <c r="B14668" i="1"/>
  <c r="A14668" i="1"/>
  <c r="E14668" i="1"/>
  <c r="F14668" i="1"/>
  <c r="B14669" i="1"/>
  <c r="A14669" i="1"/>
  <c r="E14669" i="1"/>
  <c r="F14669" i="1"/>
  <c r="G14669" i="1"/>
  <c r="B14670" i="1"/>
  <c r="A14670" i="1"/>
  <c r="E14670" i="1"/>
  <c r="F14670" i="1"/>
  <c r="G14670" i="1"/>
  <c r="B14671" i="1"/>
  <c r="A14671" i="1"/>
  <c r="E14671" i="1"/>
  <c r="F14671" i="1"/>
  <c r="B14672" i="1"/>
  <c r="A14672" i="1"/>
  <c r="E14672" i="1"/>
  <c r="F14672" i="1"/>
  <c r="G14672" i="1"/>
  <c r="B14673" i="1"/>
  <c r="A14673" i="1"/>
  <c r="E14673" i="1"/>
  <c r="F14673" i="1"/>
  <c r="B14674" i="1"/>
  <c r="A14674" i="1"/>
  <c r="E14674" i="1"/>
  <c r="F14674" i="1"/>
  <c r="B14675" i="1"/>
  <c r="A14675" i="1"/>
  <c r="E14675" i="1"/>
  <c r="F14675" i="1"/>
  <c r="G14675" i="1"/>
  <c r="B14676" i="1"/>
  <c r="A14676" i="1"/>
  <c r="E14676" i="1"/>
  <c r="F14676" i="1"/>
  <c r="B14677" i="1"/>
  <c r="A14677" i="1"/>
  <c r="E14677" i="1"/>
  <c r="F14677" i="1"/>
  <c r="B14678" i="1"/>
  <c r="A14678" i="1"/>
  <c r="E14678" i="1"/>
  <c r="F14678" i="1"/>
  <c r="G14678" i="1"/>
  <c r="B14679" i="1"/>
  <c r="A14679" i="1"/>
  <c r="E14679" i="1"/>
  <c r="F14679" i="1"/>
  <c r="B14680" i="1"/>
  <c r="A14680" i="1"/>
  <c r="E14680" i="1"/>
  <c r="F14680" i="1"/>
  <c r="B14681" i="1"/>
  <c r="A14681" i="1"/>
  <c r="E14681" i="1"/>
  <c r="F14681" i="1"/>
  <c r="B14682" i="1"/>
  <c r="A14682" i="1"/>
  <c r="E14682" i="1"/>
  <c r="F14682" i="1"/>
  <c r="G14682" i="1"/>
  <c r="B14683" i="1"/>
  <c r="A14683" i="1"/>
  <c r="E14683" i="1"/>
  <c r="F14683" i="1"/>
  <c r="B14684" i="1"/>
  <c r="A14684" i="1"/>
  <c r="E14684" i="1"/>
  <c r="F14684" i="1"/>
  <c r="B14685" i="1"/>
  <c r="A14685" i="1"/>
  <c r="E14685" i="1"/>
  <c r="F14685" i="1"/>
  <c r="G14685" i="1"/>
  <c r="B14686" i="1"/>
  <c r="A14686" i="1"/>
  <c r="E14686" i="1"/>
  <c r="F14686" i="1"/>
  <c r="B14687" i="1"/>
  <c r="A14687" i="1"/>
  <c r="E14687" i="1"/>
  <c r="F14687" i="1"/>
  <c r="B14688" i="1"/>
  <c r="A14688" i="1"/>
  <c r="E14688" i="1"/>
  <c r="F14688" i="1"/>
  <c r="B14689" i="1"/>
  <c r="A14689" i="1"/>
  <c r="E14689" i="1"/>
  <c r="F14689" i="1"/>
  <c r="B14690" i="1"/>
  <c r="A14690" i="1"/>
  <c r="E14690" i="1"/>
  <c r="F14690" i="1"/>
  <c r="B14691" i="1"/>
  <c r="A14691" i="1"/>
  <c r="E14691" i="1"/>
  <c r="F14691" i="1"/>
  <c r="B14692" i="1"/>
  <c r="A14692" i="1"/>
  <c r="E14692" i="1"/>
  <c r="F14692" i="1"/>
  <c r="B14693" i="1"/>
  <c r="A14693" i="1"/>
  <c r="E14693" i="1"/>
  <c r="F14693" i="1"/>
  <c r="B14694" i="1"/>
  <c r="A14694" i="1"/>
  <c r="E14694" i="1"/>
  <c r="F14694" i="1"/>
  <c r="B14695" i="1"/>
  <c r="A14695" i="1"/>
  <c r="E14695" i="1"/>
  <c r="F14695" i="1"/>
  <c r="B14696" i="1"/>
  <c r="A14696" i="1"/>
  <c r="E14696" i="1"/>
  <c r="F14696" i="1"/>
  <c r="B14697" i="1"/>
  <c r="A14697" i="1"/>
  <c r="E14697" i="1"/>
  <c r="F14697" i="1"/>
  <c r="B14698" i="1"/>
  <c r="A14698" i="1"/>
  <c r="E14698" i="1"/>
  <c r="F14698" i="1"/>
  <c r="B14699" i="1"/>
  <c r="A14699" i="1"/>
  <c r="E14699" i="1"/>
  <c r="F14699" i="1"/>
  <c r="B14700" i="1"/>
  <c r="A14700" i="1"/>
  <c r="E14700" i="1"/>
  <c r="F14700" i="1"/>
  <c r="B14701" i="1"/>
  <c r="A14701" i="1"/>
  <c r="E14701" i="1"/>
  <c r="F14701" i="1"/>
  <c r="B14702" i="1"/>
  <c r="A14702" i="1"/>
  <c r="E14702" i="1"/>
  <c r="F14702" i="1"/>
  <c r="B14703" i="1"/>
  <c r="A14703" i="1"/>
  <c r="E14703" i="1"/>
  <c r="F14703" i="1"/>
  <c r="B14704" i="1"/>
  <c r="A14704" i="1"/>
  <c r="E14704" i="1"/>
  <c r="F14704" i="1"/>
  <c r="B14705" i="1"/>
  <c r="A14705" i="1"/>
  <c r="E14705" i="1"/>
  <c r="F14705" i="1"/>
  <c r="B14706" i="1"/>
  <c r="A14706" i="1"/>
  <c r="E14706" i="1"/>
  <c r="F14706" i="1"/>
  <c r="B14707" i="1"/>
  <c r="A14707" i="1"/>
  <c r="E14707" i="1"/>
  <c r="F14707" i="1"/>
  <c r="B14708" i="1"/>
  <c r="A14708" i="1"/>
  <c r="E14708" i="1"/>
  <c r="F14708" i="1"/>
  <c r="B14709" i="1"/>
  <c r="A14709" i="1"/>
  <c r="E14709" i="1"/>
  <c r="F14709" i="1"/>
  <c r="G14709" i="1"/>
  <c r="B14710" i="1"/>
  <c r="A14710" i="1"/>
  <c r="E14710" i="1"/>
  <c r="F14710" i="1"/>
  <c r="G14710" i="1"/>
  <c r="B14711" i="1"/>
  <c r="A14711" i="1"/>
  <c r="E14711" i="1"/>
  <c r="F14711" i="1"/>
  <c r="G14711" i="1"/>
  <c r="B14712" i="1"/>
  <c r="A14712" i="1"/>
  <c r="E14712" i="1"/>
  <c r="F14712" i="1"/>
  <c r="G14712" i="1"/>
  <c r="B14713" i="1"/>
  <c r="A14713" i="1"/>
  <c r="E14713" i="1"/>
  <c r="F14713" i="1"/>
  <c r="G14713" i="1"/>
  <c r="B14714" i="1"/>
  <c r="A14714" i="1"/>
  <c r="E14714" i="1"/>
  <c r="F14714" i="1"/>
  <c r="G14714" i="1"/>
  <c r="B14715" i="1"/>
  <c r="A14715" i="1"/>
  <c r="E14715" i="1"/>
  <c r="F14715" i="1"/>
  <c r="G14715" i="1"/>
  <c r="B14716" i="1"/>
  <c r="A14716" i="1"/>
  <c r="E14716" i="1"/>
  <c r="F14716" i="1"/>
  <c r="G14716" i="1"/>
  <c r="B14717" i="1"/>
  <c r="A14717" i="1"/>
  <c r="E14717" i="1"/>
  <c r="F14717" i="1"/>
  <c r="G14717" i="1"/>
  <c r="B14718" i="1"/>
  <c r="A14718" i="1"/>
  <c r="E14718" i="1"/>
  <c r="F14718" i="1"/>
  <c r="G14718" i="1"/>
  <c r="B14719" i="1"/>
  <c r="A14719" i="1"/>
  <c r="E14719" i="1"/>
  <c r="F14719" i="1"/>
  <c r="G14719" i="1"/>
  <c r="B14720" i="1"/>
  <c r="A14720" i="1"/>
  <c r="E14720" i="1"/>
  <c r="F14720" i="1"/>
  <c r="G14720" i="1"/>
  <c r="B14721" i="1"/>
  <c r="A14721" i="1"/>
  <c r="E14721" i="1"/>
  <c r="F14721" i="1"/>
  <c r="B14722" i="1"/>
  <c r="A14722" i="1"/>
  <c r="E14722" i="1"/>
  <c r="B14723" i="1"/>
  <c r="A14723" i="1"/>
  <c r="E14723" i="1"/>
  <c r="B14724" i="1"/>
  <c r="A14724" i="1"/>
  <c r="E14724" i="1"/>
  <c r="B14725" i="1"/>
  <c r="A14725" i="1"/>
  <c r="E14725" i="1"/>
  <c r="B14726" i="1"/>
  <c r="A14726" i="1"/>
  <c r="E14726" i="1"/>
  <c r="B14727" i="1"/>
  <c r="A14727" i="1"/>
  <c r="E14727" i="1"/>
  <c r="B14728" i="1"/>
  <c r="A14728" i="1"/>
  <c r="E14728" i="1"/>
  <c r="B14729" i="1"/>
  <c r="A14729" i="1"/>
  <c r="E14729" i="1"/>
  <c r="B14730" i="1"/>
  <c r="A14730" i="1"/>
  <c r="E14730" i="1"/>
  <c r="B14731" i="1"/>
  <c r="A14731" i="1"/>
  <c r="E14731" i="1"/>
  <c r="B14732" i="1"/>
  <c r="A14732" i="1"/>
  <c r="E14732" i="1"/>
  <c r="B14733" i="1"/>
  <c r="A14733" i="1"/>
  <c r="E14733" i="1"/>
  <c r="B14734" i="1"/>
  <c r="A14734" i="1"/>
  <c r="E14734" i="1"/>
  <c r="B14735" i="1"/>
  <c r="A14735" i="1"/>
  <c r="E14735" i="1"/>
  <c r="B14736" i="1"/>
  <c r="A14736" i="1"/>
  <c r="E14736" i="1"/>
  <c r="B14737" i="1"/>
  <c r="A14737" i="1"/>
  <c r="E14737" i="1"/>
  <c r="B14738" i="1"/>
  <c r="A14738" i="1"/>
  <c r="E14738" i="1"/>
  <c r="B14739" i="1"/>
  <c r="A14739" i="1"/>
  <c r="E14739" i="1"/>
  <c r="B14740" i="1"/>
  <c r="A14740" i="1"/>
  <c r="E14740" i="1"/>
  <c r="B14741" i="1"/>
  <c r="A14741" i="1"/>
  <c r="E14741" i="1"/>
  <c r="B14742" i="1"/>
  <c r="A14742" i="1"/>
  <c r="E14742" i="1"/>
  <c r="B14743" i="1"/>
  <c r="A14743" i="1"/>
  <c r="E14743" i="1"/>
  <c r="B14744" i="1"/>
  <c r="A14744" i="1"/>
  <c r="E14744" i="1"/>
  <c r="B14745" i="1"/>
  <c r="A14745" i="1"/>
  <c r="E14745" i="1"/>
  <c r="B14746" i="1"/>
  <c r="A14746" i="1"/>
  <c r="E14746" i="1"/>
  <c r="B14747" i="1"/>
  <c r="A14747" i="1"/>
  <c r="E14747" i="1"/>
  <c r="B14748" i="1"/>
  <c r="A14748" i="1"/>
  <c r="E14748" i="1"/>
  <c r="A14749" i="1"/>
  <c r="E14749" i="1"/>
  <c r="A14750" i="1"/>
  <c r="E14750" i="1"/>
  <c r="A14751" i="1"/>
  <c r="E14751" i="1"/>
  <c r="A14752" i="1"/>
  <c r="E14752" i="1"/>
  <c r="A14753" i="1"/>
  <c r="E14753" i="1"/>
  <c r="A14754" i="1"/>
  <c r="E14754" i="1"/>
  <c r="A14755" i="1"/>
  <c r="E14755" i="1"/>
  <c r="A14756" i="1"/>
  <c r="E14756" i="1"/>
  <c r="B14757" i="1"/>
  <c r="A14757" i="1"/>
  <c r="E14757" i="1"/>
  <c r="G14757" i="1"/>
  <c r="B14758" i="1"/>
  <c r="A14758" i="1"/>
  <c r="E14758" i="1"/>
  <c r="G14758" i="1"/>
  <c r="B14759" i="1"/>
  <c r="A14759" i="1"/>
  <c r="E14759" i="1"/>
  <c r="G14759" i="1"/>
  <c r="B14760" i="1"/>
  <c r="A14760" i="1"/>
  <c r="E14760" i="1"/>
  <c r="G14760" i="1"/>
  <c r="B14761" i="1"/>
  <c r="A14761" i="1"/>
  <c r="E14761" i="1"/>
  <c r="G14761" i="1"/>
  <c r="B14762" i="1"/>
  <c r="A14762" i="1"/>
  <c r="E14762" i="1"/>
  <c r="B14763" i="1"/>
  <c r="A14763" i="1"/>
  <c r="E14763" i="1"/>
  <c r="G14763" i="1"/>
  <c r="B14764" i="1"/>
  <c r="A14764" i="1"/>
  <c r="E14764" i="1"/>
  <c r="B14765" i="1"/>
  <c r="A14765" i="1"/>
  <c r="E14765" i="1"/>
  <c r="G14765" i="1"/>
  <c r="B14766" i="1"/>
  <c r="A14766" i="1"/>
  <c r="E14766" i="1"/>
  <c r="G14766" i="1"/>
  <c r="B14767" i="1"/>
  <c r="A14767" i="1"/>
  <c r="E14767" i="1"/>
  <c r="G14767" i="1"/>
  <c r="B14768" i="1"/>
  <c r="A14768" i="1"/>
  <c r="E14768" i="1"/>
  <c r="G14768" i="1"/>
  <c r="B14769" i="1"/>
  <c r="A14769" i="1"/>
  <c r="E14769" i="1"/>
  <c r="G14769" i="1"/>
  <c r="B14770" i="1"/>
  <c r="A14770" i="1"/>
  <c r="E14770" i="1"/>
  <c r="B14771" i="1"/>
  <c r="A14771" i="1"/>
  <c r="E14771" i="1"/>
  <c r="B14772" i="1"/>
  <c r="A14772" i="1"/>
  <c r="E14772" i="1"/>
  <c r="B14773" i="1"/>
  <c r="A14773" i="1"/>
  <c r="E14773" i="1"/>
  <c r="B14774" i="1"/>
  <c r="A14774" i="1"/>
  <c r="E14774" i="1"/>
  <c r="A14775" i="1"/>
  <c r="E14775" i="1"/>
  <c r="A14776" i="1"/>
  <c r="E14776" i="1"/>
  <c r="A14777" i="1"/>
  <c r="E14777" i="1"/>
  <c r="B14778" i="1"/>
  <c r="A14778" i="1"/>
  <c r="E14778" i="1"/>
  <c r="B14779" i="1"/>
  <c r="A14779" i="1"/>
  <c r="E14779" i="1"/>
  <c r="B14780" i="1"/>
  <c r="A14780" i="1"/>
  <c r="E14780" i="1"/>
  <c r="B14781" i="1"/>
  <c r="A14781" i="1"/>
  <c r="E14781" i="1"/>
  <c r="B14782" i="1"/>
  <c r="A14782" i="1"/>
  <c r="E14782" i="1"/>
  <c r="B14783" i="1"/>
  <c r="A14783" i="1"/>
  <c r="E14783" i="1"/>
  <c r="B14784" i="1"/>
  <c r="A14784" i="1"/>
  <c r="E14784" i="1"/>
  <c r="B14785" i="1"/>
  <c r="A14785" i="1"/>
  <c r="E14785" i="1"/>
  <c r="B14786" i="1"/>
  <c r="A14786" i="1"/>
  <c r="E14786" i="1"/>
  <c r="B14787" i="1"/>
  <c r="A14787" i="1"/>
  <c r="E14787" i="1"/>
  <c r="B14788" i="1"/>
  <c r="A14788" i="1"/>
  <c r="E14788" i="1"/>
  <c r="B14789" i="1"/>
  <c r="A14789" i="1"/>
  <c r="E14789" i="1"/>
  <c r="B14790" i="1"/>
  <c r="A14790" i="1"/>
  <c r="E14790" i="1"/>
  <c r="B14791" i="1"/>
  <c r="A14791" i="1"/>
  <c r="E14791" i="1"/>
  <c r="B14792" i="1"/>
  <c r="A14792" i="1"/>
  <c r="E14792" i="1"/>
  <c r="B14793" i="1"/>
  <c r="A14793" i="1"/>
  <c r="E14793" i="1"/>
  <c r="B14794" i="1"/>
  <c r="A14794" i="1"/>
  <c r="E14794" i="1"/>
  <c r="B14795" i="1"/>
  <c r="A14795" i="1"/>
  <c r="E14795" i="1"/>
  <c r="B14796" i="1"/>
  <c r="A14796" i="1"/>
  <c r="E14796" i="1"/>
  <c r="A14797" i="1"/>
  <c r="E14797" i="1"/>
  <c r="A14798" i="1"/>
  <c r="E14798" i="1"/>
  <c r="A14799" i="1"/>
  <c r="E14799" i="1"/>
  <c r="A14800" i="1"/>
  <c r="E14800" i="1"/>
  <c r="A14801" i="1"/>
  <c r="E14801" i="1"/>
  <c r="A14802" i="1"/>
  <c r="E14802" i="1"/>
  <c r="A14803" i="1"/>
  <c r="E14803" i="1"/>
  <c r="A14804" i="1"/>
  <c r="E14804" i="1"/>
  <c r="A14805" i="1"/>
  <c r="E14805" i="1"/>
  <c r="A14806" i="1"/>
  <c r="E14806" i="1"/>
  <c r="A14807" i="1"/>
  <c r="E14807" i="1"/>
  <c r="A14808" i="1"/>
  <c r="E14808" i="1"/>
  <c r="B14809" i="1"/>
  <c r="A14809" i="1"/>
  <c r="E14809" i="1"/>
  <c r="B14810" i="1"/>
  <c r="A14810" i="1"/>
  <c r="E14810" i="1"/>
  <c r="B14811" i="1"/>
  <c r="A14811" i="1"/>
  <c r="E14811" i="1"/>
  <c r="B14812" i="1"/>
  <c r="A14812" i="1"/>
  <c r="E14812" i="1"/>
  <c r="B14813" i="1"/>
  <c r="A14813" i="1"/>
  <c r="E14813" i="1"/>
  <c r="B14814" i="1"/>
  <c r="A14814" i="1"/>
  <c r="E14814" i="1"/>
  <c r="B14815" i="1"/>
  <c r="A14815" i="1"/>
  <c r="E14815" i="1"/>
  <c r="B14816" i="1"/>
  <c r="A14816" i="1"/>
  <c r="E14816" i="1"/>
  <c r="B14817" i="1"/>
  <c r="A14817" i="1"/>
  <c r="E14817" i="1"/>
  <c r="B14818" i="1"/>
  <c r="A14818" i="1"/>
  <c r="E14818" i="1"/>
  <c r="B14819" i="1"/>
  <c r="A14819" i="1"/>
  <c r="E14819" i="1"/>
  <c r="B14820" i="1"/>
  <c r="A14820" i="1"/>
  <c r="E14820" i="1"/>
  <c r="B14821" i="1"/>
  <c r="A14821" i="1"/>
  <c r="E14821" i="1"/>
  <c r="B14822" i="1"/>
  <c r="A14822" i="1"/>
  <c r="E14822" i="1"/>
  <c r="B14823" i="1"/>
  <c r="A14823" i="1"/>
  <c r="E14823" i="1"/>
  <c r="B14824" i="1"/>
  <c r="A14824" i="1"/>
  <c r="E14824" i="1"/>
  <c r="B14825" i="1"/>
  <c r="A14825" i="1"/>
  <c r="E14825" i="1"/>
  <c r="B14826" i="1"/>
  <c r="A14826" i="1"/>
  <c r="E14826" i="1"/>
  <c r="B14827" i="1"/>
  <c r="A14827" i="1"/>
  <c r="E14827" i="1"/>
  <c r="B14828" i="1"/>
  <c r="A14828" i="1"/>
  <c r="E14828" i="1"/>
  <c r="B14829" i="1"/>
  <c r="A14829" i="1"/>
  <c r="E14829" i="1"/>
  <c r="B14830" i="1"/>
  <c r="A14830" i="1"/>
  <c r="E14830" i="1"/>
  <c r="B14831" i="1"/>
  <c r="A14831" i="1"/>
  <c r="E14831" i="1"/>
  <c r="B14832" i="1"/>
  <c r="A14832" i="1"/>
  <c r="E14832" i="1"/>
  <c r="B14833" i="1"/>
  <c r="A14833" i="1"/>
  <c r="E14833" i="1"/>
  <c r="B14834" i="1"/>
  <c r="A14834" i="1"/>
  <c r="E14834" i="1"/>
  <c r="B14835" i="1"/>
  <c r="A14835" i="1"/>
  <c r="E14835" i="1"/>
  <c r="B14836" i="1"/>
  <c r="A14836" i="1"/>
  <c r="E14836" i="1"/>
  <c r="B14837" i="1"/>
  <c r="A14837" i="1"/>
  <c r="E14837" i="1"/>
  <c r="B14838" i="1"/>
  <c r="A14838" i="1"/>
  <c r="E14838" i="1"/>
  <c r="B14839" i="1"/>
  <c r="A14839" i="1"/>
  <c r="E14839" i="1"/>
  <c r="B14840" i="1"/>
  <c r="A14840" i="1"/>
  <c r="E14840" i="1"/>
  <c r="B14841" i="1"/>
  <c r="A14841" i="1"/>
  <c r="E14841" i="1"/>
  <c r="B14842" i="1"/>
  <c r="A14842" i="1"/>
  <c r="E14842" i="1"/>
  <c r="B14843" i="1"/>
  <c r="A14843" i="1"/>
  <c r="E14843" i="1"/>
  <c r="B14844" i="1"/>
  <c r="A14844" i="1"/>
  <c r="E14844" i="1"/>
  <c r="B14845" i="1"/>
  <c r="A14845" i="1"/>
  <c r="E14845" i="1"/>
  <c r="B14846" i="1"/>
  <c r="A14846" i="1"/>
  <c r="E14846" i="1"/>
  <c r="B14847" i="1"/>
  <c r="A14847" i="1"/>
  <c r="E14847" i="1"/>
  <c r="B14848" i="1"/>
  <c r="A14848" i="1"/>
  <c r="E14848" i="1"/>
  <c r="B14849" i="1"/>
  <c r="A14849" i="1"/>
  <c r="E14849" i="1"/>
  <c r="B14850" i="1"/>
  <c r="A14850" i="1"/>
  <c r="E14850" i="1"/>
  <c r="B14851" i="1"/>
  <c r="A14851" i="1"/>
  <c r="E14851" i="1"/>
  <c r="B14852" i="1"/>
  <c r="A14852" i="1"/>
  <c r="E14852" i="1"/>
  <c r="B14853" i="1"/>
  <c r="A14853" i="1"/>
  <c r="E14853" i="1"/>
  <c r="B14854" i="1"/>
  <c r="A14854" i="1"/>
  <c r="E14854" i="1"/>
  <c r="B14855" i="1"/>
  <c r="A14855" i="1"/>
  <c r="E14855" i="1"/>
  <c r="B14856" i="1"/>
  <c r="A14856" i="1"/>
  <c r="E14856" i="1"/>
  <c r="B14857" i="1"/>
  <c r="A14857" i="1"/>
  <c r="E14857" i="1"/>
  <c r="B14858" i="1"/>
  <c r="A14858" i="1"/>
  <c r="E14858" i="1"/>
  <c r="B14859" i="1"/>
  <c r="A14859" i="1"/>
  <c r="E14859" i="1"/>
  <c r="B14860" i="1"/>
  <c r="A14860" i="1"/>
  <c r="E14860" i="1"/>
  <c r="B14861" i="1"/>
  <c r="A14861" i="1"/>
  <c r="E14861" i="1"/>
  <c r="B14862" i="1"/>
  <c r="A14862" i="1"/>
  <c r="E14862" i="1"/>
  <c r="B14863" i="1"/>
  <c r="A14863" i="1"/>
  <c r="E14863" i="1"/>
  <c r="B14864" i="1"/>
  <c r="A14864" i="1"/>
  <c r="E14864" i="1"/>
  <c r="B14865" i="1"/>
  <c r="A14865" i="1"/>
  <c r="E14865" i="1"/>
  <c r="B14866" i="1"/>
  <c r="A14866" i="1"/>
  <c r="E14866" i="1"/>
  <c r="B14867" i="1"/>
  <c r="A14867" i="1"/>
  <c r="E14867" i="1"/>
  <c r="B14868" i="1"/>
  <c r="A14868" i="1"/>
  <c r="E14868" i="1"/>
  <c r="B14869" i="1"/>
  <c r="A14869" i="1"/>
  <c r="E14869" i="1"/>
  <c r="B14870" i="1"/>
  <c r="A14870" i="1"/>
  <c r="E14870" i="1"/>
  <c r="B14871" i="1"/>
  <c r="A14871" i="1"/>
  <c r="E14871" i="1"/>
  <c r="B14872" i="1"/>
  <c r="A14872" i="1"/>
  <c r="E14872" i="1"/>
  <c r="B14873" i="1"/>
  <c r="A14873" i="1"/>
  <c r="E14873" i="1"/>
  <c r="B14874" i="1"/>
  <c r="A14874" i="1"/>
  <c r="E14874" i="1"/>
  <c r="B14875" i="1"/>
  <c r="A14875" i="1"/>
  <c r="E14875" i="1"/>
  <c r="B14876" i="1"/>
  <c r="A14876" i="1"/>
  <c r="E14876" i="1"/>
  <c r="B14877" i="1"/>
  <c r="A14877" i="1"/>
  <c r="E14877" i="1"/>
  <c r="B14878" i="1"/>
  <c r="A14878" i="1"/>
  <c r="E14878" i="1"/>
  <c r="B14879" i="1"/>
  <c r="A14879" i="1"/>
  <c r="E14879" i="1"/>
  <c r="B14880" i="1"/>
  <c r="A14880" i="1"/>
  <c r="E14880" i="1"/>
  <c r="B14881" i="1"/>
  <c r="A14881" i="1"/>
  <c r="E14881" i="1"/>
  <c r="B14882" i="1"/>
  <c r="A14882" i="1"/>
  <c r="E14882" i="1"/>
  <c r="B14883" i="1"/>
  <c r="A14883" i="1"/>
  <c r="E14883" i="1"/>
  <c r="B14884" i="1"/>
  <c r="A14884" i="1"/>
  <c r="E14884" i="1"/>
  <c r="B14885" i="1"/>
  <c r="A14885" i="1"/>
  <c r="E14885" i="1"/>
  <c r="B14886" i="1"/>
  <c r="A14886" i="1"/>
  <c r="E14886" i="1"/>
  <c r="F14886" i="1"/>
  <c r="B14887" i="1"/>
  <c r="A14887" i="1"/>
  <c r="E14887" i="1"/>
  <c r="F14887" i="1"/>
  <c r="B14888" i="1"/>
  <c r="A14888" i="1"/>
  <c r="E14888" i="1"/>
  <c r="F14888" i="1"/>
  <c r="B14889" i="1"/>
  <c r="A14889" i="1"/>
  <c r="E14889" i="1"/>
  <c r="F14889" i="1"/>
  <c r="B14890" i="1"/>
  <c r="A14890" i="1"/>
  <c r="E14890" i="1"/>
  <c r="F14890" i="1"/>
  <c r="B14891" i="1"/>
  <c r="A14891" i="1"/>
  <c r="E14891" i="1"/>
  <c r="F14891" i="1"/>
  <c r="B14892" i="1"/>
  <c r="A14892" i="1"/>
  <c r="E14892" i="1"/>
  <c r="F14892" i="1"/>
  <c r="B14893" i="1"/>
  <c r="A14893" i="1"/>
  <c r="E14893" i="1"/>
  <c r="F14893" i="1"/>
  <c r="G14893" i="1"/>
  <c r="B14894" i="1"/>
  <c r="A14894" i="1"/>
  <c r="E14894" i="1"/>
  <c r="F14894" i="1"/>
  <c r="B14895" i="1"/>
  <c r="A14895" i="1"/>
  <c r="E14895" i="1"/>
  <c r="F14895" i="1"/>
  <c r="B14896" i="1"/>
  <c r="A14896" i="1"/>
  <c r="E14896" i="1"/>
  <c r="F14896" i="1"/>
  <c r="B14897" i="1"/>
  <c r="A14897" i="1"/>
  <c r="E14897" i="1"/>
  <c r="F14897" i="1"/>
  <c r="B14898" i="1"/>
  <c r="A14898" i="1"/>
  <c r="E14898" i="1"/>
  <c r="F14898" i="1"/>
  <c r="B14899" i="1"/>
  <c r="A14899" i="1"/>
  <c r="E14899" i="1"/>
  <c r="F14899" i="1"/>
  <c r="B14900" i="1"/>
  <c r="A14900" i="1"/>
  <c r="E14900" i="1"/>
  <c r="F14900" i="1"/>
  <c r="B14901" i="1"/>
  <c r="A14901" i="1"/>
  <c r="E14901" i="1"/>
  <c r="F14901" i="1"/>
  <c r="B14902" i="1"/>
  <c r="A14902" i="1"/>
  <c r="E14902" i="1"/>
  <c r="F14902" i="1"/>
  <c r="B14903" i="1"/>
  <c r="A14903" i="1"/>
  <c r="E14903" i="1"/>
  <c r="F14903" i="1"/>
  <c r="B14904" i="1"/>
  <c r="A14904" i="1"/>
  <c r="E14904" i="1"/>
  <c r="F14904" i="1"/>
  <c r="B14905" i="1"/>
  <c r="A14905" i="1"/>
  <c r="E14905" i="1"/>
  <c r="F14905" i="1"/>
  <c r="B14906" i="1"/>
  <c r="A14906" i="1"/>
  <c r="E14906" i="1"/>
  <c r="F14906" i="1"/>
  <c r="B14907" i="1"/>
  <c r="A14907" i="1"/>
  <c r="E14907" i="1"/>
  <c r="F14907" i="1"/>
  <c r="B14908" i="1"/>
  <c r="A14908" i="1"/>
  <c r="E14908" i="1"/>
  <c r="F14908" i="1"/>
  <c r="B14909" i="1"/>
  <c r="A14909" i="1"/>
  <c r="E14909" i="1"/>
  <c r="F14909" i="1"/>
  <c r="B14910" i="1"/>
  <c r="A14910" i="1"/>
  <c r="E14910" i="1"/>
  <c r="F14910" i="1"/>
  <c r="B14911" i="1"/>
  <c r="A14911" i="1"/>
  <c r="E14911" i="1"/>
  <c r="F14911" i="1"/>
  <c r="B14912" i="1"/>
  <c r="A14912" i="1"/>
  <c r="E14912" i="1"/>
  <c r="F14912" i="1"/>
  <c r="B14913" i="1"/>
  <c r="A14913" i="1"/>
  <c r="E14913" i="1"/>
  <c r="F14913" i="1"/>
  <c r="B14914" i="1"/>
  <c r="A14914" i="1"/>
  <c r="E14914" i="1"/>
  <c r="F14914" i="1"/>
  <c r="G14914" i="1"/>
  <c r="B14915" i="1"/>
  <c r="A14915" i="1"/>
  <c r="E14915" i="1"/>
  <c r="F14915" i="1"/>
  <c r="B14916" i="1"/>
  <c r="A14916" i="1"/>
  <c r="E14916" i="1"/>
  <c r="F14916" i="1"/>
  <c r="B14917" i="1"/>
  <c r="A14917" i="1"/>
  <c r="E14917" i="1"/>
  <c r="F14917" i="1"/>
  <c r="B14918" i="1"/>
  <c r="A14918" i="1"/>
  <c r="E14918" i="1"/>
  <c r="F14918" i="1"/>
  <c r="B14919" i="1"/>
  <c r="A14919" i="1"/>
  <c r="E14919" i="1"/>
  <c r="F14919" i="1"/>
  <c r="B14920" i="1"/>
  <c r="A14920" i="1"/>
  <c r="E14920" i="1"/>
  <c r="F14920" i="1"/>
  <c r="B14921" i="1"/>
  <c r="A14921" i="1"/>
  <c r="E14921" i="1"/>
  <c r="F14921" i="1"/>
  <c r="G14921" i="1"/>
  <c r="B14922" i="1"/>
  <c r="A14922" i="1"/>
  <c r="E14922" i="1"/>
  <c r="F14922" i="1"/>
  <c r="B14923" i="1"/>
  <c r="A14923" i="1"/>
  <c r="E14923" i="1"/>
  <c r="F14923" i="1"/>
  <c r="B14924" i="1"/>
  <c r="A14924" i="1"/>
  <c r="E14924" i="1"/>
  <c r="F14924" i="1"/>
  <c r="B14925" i="1"/>
  <c r="A14925" i="1"/>
  <c r="E14925" i="1"/>
  <c r="F14925" i="1"/>
  <c r="B14926" i="1"/>
  <c r="A14926" i="1"/>
  <c r="E14926" i="1"/>
  <c r="F14926" i="1"/>
  <c r="B14927" i="1"/>
  <c r="A14927" i="1"/>
  <c r="E14927" i="1"/>
  <c r="F14927" i="1"/>
  <c r="B14928" i="1"/>
  <c r="A14928" i="1"/>
  <c r="E14928" i="1"/>
  <c r="F14928" i="1"/>
  <c r="B14929" i="1"/>
  <c r="A14929" i="1"/>
  <c r="E14929" i="1"/>
  <c r="F14929" i="1"/>
  <c r="B14930" i="1"/>
  <c r="A14930" i="1"/>
  <c r="E14930" i="1"/>
  <c r="F14930" i="1"/>
  <c r="G14930" i="1"/>
  <c r="B14931" i="1"/>
  <c r="A14931" i="1"/>
  <c r="E14931" i="1"/>
  <c r="F14931" i="1"/>
  <c r="B14932" i="1"/>
  <c r="A14932" i="1"/>
  <c r="E14932" i="1"/>
  <c r="F14932" i="1"/>
  <c r="G14932" i="1"/>
  <c r="B14933" i="1"/>
  <c r="A14933" i="1"/>
  <c r="E14933" i="1"/>
  <c r="F14933" i="1"/>
  <c r="B14934" i="1"/>
  <c r="A14934" i="1"/>
  <c r="E14934" i="1"/>
  <c r="F14934" i="1"/>
  <c r="G14934" i="1"/>
  <c r="B14935" i="1"/>
  <c r="A14935" i="1"/>
  <c r="E14935" i="1"/>
  <c r="F14935" i="1"/>
  <c r="B14936" i="1"/>
  <c r="A14936" i="1"/>
  <c r="E14936" i="1"/>
  <c r="F14936" i="1"/>
  <c r="G14936" i="1"/>
  <c r="B14937" i="1"/>
  <c r="A14937" i="1"/>
  <c r="E14937" i="1"/>
  <c r="F14937" i="1"/>
  <c r="B14938" i="1"/>
  <c r="A14938" i="1"/>
  <c r="E14938" i="1"/>
  <c r="F14938" i="1"/>
  <c r="G14938" i="1"/>
  <c r="B14939" i="1"/>
  <c r="A14939" i="1"/>
  <c r="E14939" i="1"/>
  <c r="F14939" i="1"/>
  <c r="B14940" i="1"/>
  <c r="A14940" i="1"/>
  <c r="E14940" i="1"/>
  <c r="F14940" i="1"/>
  <c r="G14940" i="1"/>
  <c r="B14941" i="1"/>
  <c r="A14941" i="1"/>
  <c r="E14941" i="1"/>
  <c r="F14941" i="1"/>
  <c r="B14942" i="1"/>
  <c r="A14942" i="1"/>
  <c r="E14942" i="1"/>
  <c r="F14942" i="1"/>
  <c r="G14942" i="1"/>
  <c r="B14943" i="1"/>
  <c r="A14943" i="1"/>
  <c r="E14943" i="1"/>
  <c r="F14943" i="1"/>
  <c r="G14943" i="1"/>
  <c r="B14944" i="1"/>
  <c r="A14944" i="1"/>
  <c r="E14944" i="1"/>
  <c r="F14944" i="1"/>
  <c r="B14945" i="1"/>
  <c r="A14945" i="1"/>
  <c r="E14945" i="1"/>
  <c r="F14945" i="1"/>
  <c r="B14946" i="1"/>
  <c r="A14946" i="1"/>
  <c r="E14946" i="1"/>
  <c r="F14946" i="1"/>
  <c r="G14946" i="1"/>
  <c r="B14947" i="1"/>
  <c r="A14947" i="1"/>
  <c r="E14947" i="1"/>
  <c r="F14947" i="1"/>
  <c r="B14948" i="1"/>
  <c r="A14948" i="1"/>
  <c r="E14948" i="1"/>
  <c r="F14948" i="1"/>
  <c r="B14949" i="1"/>
  <c r="A14949" i="1"/>
  <c r="E14949" i="1"/>
  <c r="F14949" i="1"/>
  <c r="B14950" i="1"/>
  <c r="A14950" i="1"/>
  <c r="E14950" i="1"/>
  <c r="F14950" i="1"/>
  <c r="B14951" i="1"/>
  <c r="A14951" i="1"/>
  <c r="E14951" i="1"/>
  <c r="F14951" i="1"/>
  <c r="B14952" i="1"/>
  <c r="A14952" i="1"/>
  <c r="E14952" i="1"/>
  <c r="F14952" i="1"/>
  <c r="G14952" i="1"/>
  <c r="B14953" i="1"/>
  <c r="A14953" i="1"/>
  <c r="E14953" i="1"/>
  <c r="F14953" i="1"/>
  <c r="B14954" i="1"/>
  <c r="A14954" i="1"/>
  <c r="E14954" i="1"/>
  <c r="F14954" i="1"/>
  <c r="B14955" i="1"/>
  <c r="A14955" i="1"/>
  <c r="E14955" i="1"/>
  <c r="F14955" i="1"/>
  <c r="B14956" i="1"/>
  <c r="A14956" i="1"/>
  <c r="E14956" i="1"/>
  <c r="F14956" i="1"/>
  <c r="B14957" i="1"/>
  <c r="A14957" i="1"/>
  <c r="E14957" i="1"/>
  <c r="F14957" i="1"/>
  <c r="B14958" i="1"/>
  <c r="A14958" i="1"/>
  <c r="E14958" i="1"/>
  <c r="F14958" i="1"/>
  <c r="B14959" i="1"/>
  <c r="A14959" i="1"/>
  <c r="E14959" i="1"/>
  <c r="F14959" i="1"/>
  <c r="B14960" i="1"/>
  <c r="A14960" i="1"/>
  <c r="E14960" i="1"/>
  <c r="F14960" i="1"/>
  <c r="B14961" i="1"/>
  <c r="A14961" i="1"/>
  <c r="E14961" i="1"/>
  <c r="F14961" i="1"/>
  <c r="B14962" i="1"/>
  <c r="A14962" i="1"/>
  <c r="E14962" i="1"/>
  <c r="B14963" i="1"/>
  <c r="A14963" i="1"/>
  <c r="E14963" i="1"/>
  <c r="B14964" i="1"/>
  <c r="A14964" i="1"/>
  <c r="E14964" i="1"/>
  <c r="B14965" i="1"/>
  <c r="A14965" i="1"/>
  <c r="E14965" i="1"/>
  <c r="B14966" i="1"/>
  <c r="A14966" i="1"/>
  <c r="E14966" i="1"/>
  <c r="B14967" i="1"/>
  <c r="A14967" i="1"/>
  <c r="E14967" i="1"/>
  <c r="B14968" i="1"/>
  <c r="A14968" i="1"/>
  <c r="E14968" i="1"/>
  <c r="B14969" i="1"/>
  <c r="A14969" i="1"/>
  <c r="E14969" i="1"/>
  <c r="G14969" i="1"/>
  <c r="B14970" i="1"/>
  <c r="A14970" i="1"/>
  <c r="E14970" i="1"/>
  <c r="B14971" i="1"/>
  <c r="A14971" i="1"/>
  <c r="E14971" i="1"/>
  <c r="B14972" i="1"/>
  <c r="A14972" i="1"/>
  <c r="E14972" i="1"/>
  <c r="B14973" i="1"/>
  <c r="A14973" i="1"/>
  <c r="E14973" i="1"/>
  <c r="G14973" i="1"/>
  <c r="B14974" i="1"/>
  <c r="A14974" i="1"/>
  <c r="E14974" i="1"/>
  <c r="B14975" i="1"/>
  <c r="A14975" i="1"/>
  <c r="E14975" i="1"/>
  <c r="B14976" i="1"/>
  <c r="A14976" i="1"/>
  <c r="E14976" i="1"/>
  <c r="B14977" i="1"/>
  <c r="A14977" i="1"/>
  <c r="E14977" i="1"/>
  <c r="B14978" i="1"/>
  <c r="A14978" i="1"/>
  <c r="E14978" i="1"/>
  <c r="B14979" i="1"/>
  <c r="A14979" i="1"/>
  <c r="E14979" i="1"/>
  <c r="B14980" i="1"/>
  <c r="A14980" i="1"/>
  <c r="E14980" i="1"/>
  <c r="B14981" i="1"/>
  <c r="A14981" i="1"/>
  <c r="E14981" i="1"/>
  <c r="B14982" i="1"/>
  <c r="A14982" i="1"/>
  <c r="E14982" i="1"/>
  <c r="B14983" i="1"/>
  <c r="A14983" i="1"/>
  <c r="E14983" i="1"/>
  <c r="B14984" i="1"/>
  <c r="A14984" i="1"/>
  <c r="E14984" i="1"/>
  <c r="B14985" i="1"/>
  <c r="A14985" i="1"/>
  <c r="E14985" i="1"/>
  <c r="B14986" i="1"/>
  <c r="A14986" i="1"/>
  <c r="E14986" i="1"/>
  <c r="B14987" i="1"/>
  <c r="A14987" i="1"/>
  <c r="E14987" i="1"/>
  <c r="B14988" i="1"/>
  <c r="A14988" i="1"/>
  <c r="E14988" i="1"/>
  <c r="B14989" i="1"/>
  <c r="A14989" i="1"/>
  <c r="E14989" i="1"/>
  <c r="B14990" i="1"/>
  <c r="A14990" i="1"/>
  <c r="E14990" i="1"/>
  <c r="B14991" i="1"/>
  <c r="A14991" i="1"/>
  <c r="E14991" i="1"/>
  <c r="B14992" i="1"/>
  <c r="A14992" i="1"/>
  <c r="E14992" i="1"/>
  <c r="B14993" i="1"/>
  <c r="A14993" i="1"/>
  <c r="E14993" i="1"/>
  <c r="B14994" i="1"/>
  <c r="A14994" i="1"/>
  <c r="E14994" i="1"/>
  <c r="B14995" i="1"/>
  <c r="A14995" i="1"/>
  <c r="E14995" i="1"/>
  <c r="B14996" i="1"/>
  <c r="A14996" i="1"/>
  <c r="E14996" i="1"/>
  <c r="B14997" i="1"/>
  <c r="A14997" i="1"/>
  <c r="E14997" i="1"/>
  <c r="B14998" i="1"/>
  <c r="A14998" i="1"/>
  <c r="E14998" i="1"/>
  <c r="B14999" i="1"/>
  <c r="A14999" i="1"/>
  <c r="E14999" i="1"/>
  <c r="B15000" i="1"/>
  <c r="A15000" i="1"/>
  <c r="E15000" i="1"/>
  <c r="B15001" i="1"/>
  <c r="A15001" i="1"/>
  <c r="E15001" i="1"/>
  <c r="B15002" i="1"/>
  <c r="A15002" i="1"/>
  <c r="E15002" i="1"/>
  <c r="B15003" i="1"/>
  <c r="A15003" i="1"/>
  <c r="E15003" i="1"/>
  <c r="B15004" i="1"/>
  <c r="A15004" i="1"/>
  <c r="E15004" i="1"/>
  <c r="B15005" i="1"/>
  <c r="A15005" i="1"/>
  <c r="E15005" i="1"/>
  <c r="B15006" i="1"/>
  <c r="A15006" i="1"/>
  <c r="E15006" i="1"/>
  <c r="B15007" i="1"/>
  <c r="A15007" i="1"/>
  <c r="E15007" i="1"/>
  <c r="B15008" i="1"/>
  <c r="A15008" i="1"/>
  <c r="E15008" i="1"/>
  <c r="B15009" i="1"/>
  <c r="A15009" i="1"/>
  <c r="E15009" i="1"/>
  <c r="B15010" i="1"/>
  <c r="A15010" i="1"/>
  <c r="E15010" i="1"/>
  <c r="B15011" i="1"/>
  <c r="A15011" i="1"/>
  <c r="E15011" i="1"/>
  <c r="B15012" i="1"/>
  <c r="A15012" i="1"/>
  <c r="E15012" i="1"/>
  <c r="B15013" i="1"/>
  <c r="A15013" i="1"/>
  <c r="E15013" i="1"/>
  <c r="B15014" i="1"/>
  <c r="A15014" i="1"/>
  <c r="E15014" i="1"/>
  <c r="B15015" i="1"/>
  <c r="A15015" i="1"/>
  <c r="E15015" i="1"/>
  <c r="B15016" i="1"/>
  <c r="A15016" i="1"/>
  <c r="E15016" i="1"/>
  <c r="B15017" i="1"/>
  <c r="A15017" i="1"/>
  <c r="E15017" i="1"/>
  <c r="B15018" i="1"/>
  <c r="A15018" i="1"/>
  <c r="E15018" i="1"/>
  <c r="B15019" i="1"/>
  <c r="A15019" i="1"/>
  <c r="E15019" i="1"/>
  <c r="B15020" i="1"/>
  <c r="A15020" i="1"/>
  <c r="E15020" i="1"/>
  <c r="B15021" i="1"/>
  <c r="A15021" i="1"/>
  <c r="E15021" i="1"/>
  <c r="B15022" i="1"/>
  <c r="A15022" i="1"/>
  <c r="E15022" i="1"/>
  <c r="B15023" i="1"/>
  <c r="A15023" i="1"/>
  <c r="E15023" i="1"/>
  <c r="B15024" i="1"/>
  <c r="A15024" i="1"/>
  <c r="E15024" i="1"/>
  <c r="B15025" i="1"/>
  <c r="A15025" i="1"/>
  <c r="E15025" i="1"/>
  <c r="B15026" i="1"/>
  <c r="A15026" i="1"/>
  <c r="E15026" i="1"/>
  <c r="B15027" i="1"/>
  <c r="A15027" i="1"/>
  <c r="E15027" i="1"/>
  <c r="B15028" i="1"/>
  <c r="A15028" i="1"/>
  <c r="E15028" i="1"/>
  <c r="B15029" i="1"/>
  <c r="A15029" i="1"/>
  <c r="E15029" i="1"/>
  <c r="B15030" i="1"/>
  <c r="A15030" i="1"/>
  <c r="E15030" i="1"/>
  <c r="B15031" i="1"/>
  <c r="A15031" i="1"/>
  <c r="E15031" i="1"/>
  <c r="B15032" i="1"/>
  <c r="A15032" i="1"/>
  <c r="E15032" i="1"/>
  <c r="B15033" i="1"/>
  <c r="A15033" i="1"/>
  <c r="E15033" i="1"/>
  <c r="B15034" i="1"/>
  <c r="A15034" i="1"/>
  <c r="E15034" i="1"/>
  <c r="B15035" i="1"/>
  <c r="A15035" i="1"/>
  <c r="E15035" i="1"/>
  <c r="B15036" i="1"/>
  <c r="A15036" i="1"/>
  <c r="E15036" i="1"/>
  <c r="B15037" i="1"/>
  <c r="A15037" i="1"/>
  <c r="E15037" i="1"/>
  <c r="B15038" i="1"/>
  <c r="A15038" i="1"/>
  <c r="E15038" i="1"/>
  <c r="B15039" i="1"/>
  <c r="A15039" i="1"/>
  <c r="E15039" i="1"/>
  <c r="B15040" i="1"/>
  <c r="A15040" i="1"/>
  <c r="E15040" i="1"/>
  <c r="B15041" i="1"/>
  <c r="A15041" i="1"/>
  <c r="E15041" i="1"/>
  <c r="B15042" i="1"/>
  <c r="A15042" i="1"/>
  <c r="E15042" i="1"/>
  <c r="B15043" i="1"/>
  <c r="A15043" i="1"/>
  <c r="E15043" i="1"/>
  <c r="B15044" i="1"/>
  <c r="A15044" i="1"/>
  <c r="E15044" i="1"/>
  <c r="B15045" i="1"/>
  <c r="A15045" i="1"/>
  <c r="E15045" i="1"/>
  <c r="B15046" i="1"/>
  <c r="A15046" i="1"/>
  <c r="E15046" i="1"/>
  <c r="B15047" i="1"/>
  <c r="A15047" i="1"/>
  <c r="E15047" i="1"/>
  <c r="B15048" i="1"/>
  <c r="A15048" i="1"/>
  <c r="E15048" i="1"/>
  <c r="B15049" i="1"/>
  <c r="A15049" i="1"/>
  <c r="E15049" i="1"/>
  <c r="B15050" i="1"/>
  <c r="A15050" i="1"/>
  <c r="E15050" i="1"/>
  <c r="A15051" i="1"/>
  <c r="E15051" i="1"/>
  <c r="B15052" i="1"/>
  <c r="A15052" i="1"/>
  <c r="E15052" i="1"/>
  <c r="B15053" i="1"/>
  <c r="A15053" i="1"/>
  <c r="E15053" i="1"/>
  <c r="B15054" i="1"/>
  <c r="A15054" i="1"/>
  <c r="E15054" i="1"/>
  <c r="B15055" i="1"/>
  <c r="A15055" i="1"/>
  <c r="E15055" i="1"/>
  <c r="B15056" i="1"/>
  <c r="A15056" i="1"/>
  <c r="E15056" i="1"/>
  <c r="B15057" i="1"/>
  <c r="A15057" i="1"/>
  <c r="E15057" i="1"/>
  <c r="B15058" i="1"/>
  <c r="A15058" i="1"/>
  <c r="E15058" i="1"/>
  <c r="B15059" i="1"/>
  <c r="A15059" i="1"/>
  <c r="E15059" i="1"/>
  <c r="B15060" i="1"/>
  <c r="A15060" i="1"/>
  <c r="E15060" i="1"/>
  <c r="B15061" i="1"/>
  <c r="A15061" i="1"/>
  <c r="E15061" i="1"/>
  <c r="B15062" i="1"/>
  <c r="A15062" i="1"/>
  <c r="E15062" i="1"/>
  <c r="B15063" i="1"/>
  <c r="A15063" i="1"/>
  <c r="E15063" i="1"/>
  <c r="B15064" i="1"/>
  <c r="A15064" i="1"/>
  <c r="E15064" i="1"/>
  <c r="B15065" i="1"/>
  <c r="A15065" i="1"/>
  <c r="E15065" i="1"/>
  <c r="B15066" i="1"/>
  <c r="A15066" i="1"/>
  <c r="E15066" i="1"/>
  <c r="B15067" i="1"/>
  <c r="A15067" i="1"/>
  <c r="E15067" i="1"/>
  <c r="B15068" i="1"/>
  <c r="A15068" i="1"/>
  <c r="E15068" i="1"/>
  <c r="B15069" i="1"/>
  <c r="A15069" i="1"/>
  <c r="E15069" i="1"/>
  <c r="B15070" i="1"/>
  <c r="A15070" i="1"/>
  <c r="E15070" i="1"/>
  <c r="B15071" i="1"/>
  <c r="A15071" i="1"/>
  <c r="E15071" i="1"/>
  <c r="B15072" i="1"/>
  <c r="A15072" i="1"/>
  <c r="E15072" i="1"/>
  <c r="B15073" i="1"/>
  <c r="A15073" i="1"/>
  <c r="E15073" i="1"/>
  <c r="B15074" i="1"/>
  <c r="A15074" i="1"/>
  <c r="E15074" i="1"/>
  <c r="B15075" i="1"/>
  <c r="A15075" i="1"/>
  <c r="E15075" i="1"/>
  <c r="B15076" i="1"/>
  <c r="A15076" i="1"/>
  <c r="E15076" i="1"/>
  <c r="B15077" i="1"/>
  <c r="A15077" i="1"/>
  <c r="E15077" i="1"/>
  <c r="B15078" i="1"/>
  <c r="A15078" i="1"/>
  <c r="E15078" i="1"/>
  <c r="B15079" i="1"/>
  <c r="A15079" i="1"/>
  <c r="E15079" i="1"/>
  <c r="B15080" i="1"/>
  <c r="A15080" i="1"/>
  <c r="E15080" i="1"/>
  <c r="B15081" i="1"/>
  <c r="A15081" i="1"/>
  <c r="E15081" i="1"/>
  <c r="B15082" i="1"/>
  <c r="A15082" i="1"/>
  <c r="E15082" i="1"/>
  <c r="B15083" i="1"/>
  <c r="A15083" i="1"/>
  <c r="E15083" i="1"/>
  <c r="B15084" i="1"/>
  <c r="A15084" i="1"/>
  <c r="E15084" i="1"/>
  <c r="B15085" i="1"/>
  <c r="A15085" i="1"/>
  <c r="E15085" i="1"/>
  <c r="B15086" i="1"/>
  <c r="A15086" i="1"/>
  <c r="E15086" i="1"/>
  <c r="B15087" i="1"/>
  <c r="A15087" i="1"/>
  <c r="E15087" i="1"/>
  <c r="B15088" i="1"/>
  <c r="A15088" i="1"/>
  <c r="E15088" i="1"/>
  <c r="B15089" i="1"/>
  <c r="A15089" i="1"/>
  <c r="E15089" i="1"/>
  <c r="B15090" i="1"/>
  <c r="A15090" i="1"/>
  <c r="E15090" i="1"/>
  <c r="B15091" i="1"/>
  <c r="A15091" i="1"/>
  <c r="E15091" i="1"/>
  <c r="B15092" i="1"/>
  <c r="A15092" i="1"/>
  <c r="E15092" i="1"/>
  <c r="B15093" i="1"/>
  <c r="A15093" i="1"/>
  <c r="E15093" i="1"/>
  <c r="B15094" i="1"/>
  <c r="A15094" i="1"/>
  <c r="E15094" i="1"/>
  <c r="B15095" i="1"/>
  <c r="A15095" i="1"/>
  <c r="E15095" i="1"/>
  <c r="B15096" i="1"/>
  <c r="A15096" i="1"/>
  <c r="E15096" i="1"/>
  <c r="B15097" i="1"/>
  <c r="A15097" i="1"/>
  <c r="E15097" i="1"/>
  <c r="B15098" i="1"/>
  <c r="A15098" i="1"/>
  <c r="E15098" i="1"/>
  <c r="B15099" i="1"/>
  <c r="A15099" i="1"/>
  <c r="E15099" i="1"/>
  <c r="B15100" i="1"/>
  <c r="A15100" i="1"/>
  <c r="E15100" i="1"/>
  <c r="B15101" i="1"/>
  <c r="A15101" i="1"/>
  <c r="E15101" i="1"/>
  <c r="A15102" i="1"/>
  <c r="E15102" i="1"/>
  <c r="B15103" i="1"/>
  <c r="A15103" i="1"/>
  <c r="E15103" i="1"/>
  <c r="B15104" i="1"/>
  <c r="A15104" i="1"/>
  <c r="E15104" i="1"/>
  <c r="B15105" i="1"/>
  <c r="A15105" i="1"/>
  <c r="E15105" i="1"/>
  <c r="B15106" i="1"/>
  <c r="A15106" i="1"/>
  <c r="E15106" i="1"/>
  <c r="B15107" i="1"/>
  <c r="A15107" i="1"/>
  <c r="E15107" i="1"/>
  <c r="B15108" i="1"/>
  <c r="A15108" i="1"/>
  <c r="E15108" i="1"/>
  <c r="B15109" i="1"/>
  <c r="A15109" i="1"/>
  <c r="E15109" i="1"/>
  <c r="B15110" i="1"/>
  <c r="A15110" i="1"/>
  <c r="E15110" i="1"/>
  <c r="B15111" i="1"/>
  <c r="A15111" i="1"/>
  <c r="E15111" i="1"/>
  <c r="B15112" i="1"/>
  <c r="A15112" i="1"/>
  <c r="E15112" i="1"/>
  <c r="B15113" i="1"/>
  <c r="A15113" i="1"/>
  <c r="E15113" i="1"/>
  <c r="B15114" i="1"/>
  <c r="A15114" i="1"/>
  <c r="E15114" i="1"/>
  <c r="B15115" i="1"/>
  <c r="A15115" i="1"/>
  <c r="E15115" i="1"/>
  <c r="B15116" i="1"/>
  <c r="A15116" i="1"/>
  <c r="E15116" i="1"/>
  <c r="B15117" i="1"/>
  <c r="A15117" i="1"/>
  <c r="E15117" i="1"/>
  <c r="B15118" i="1"/>
  <c r="A15118" i="1"/>
  <c r="E15118" i="1"/>
  <c r="B15119" i="1"/>
  <c r="A15119" i="1"/>
  <c r="E15119" i="1"/>
  <c r="B15120" i="1"/>
  <c r="A15120" i="1"/>
  <c r="E15120" i="1"/>
  <c r="B15121" i="1"/>
  <c r="A15121" i="1"/>
  <c r="E15121" i="1"/>
  <c r="B15122" i="1"/>
  <c r="A15122" i="1"/>
  <c r="E15122" i="1"/>
  <c r="B15123" i="1"/>
  <c r="A15123" i="1"/>
  <c r="E15123" i="1"/>
  <c r="B15124" i="1"/>
  <c r="A15124" i="1"/>
  <c r="E15124" i="1"/>
  <c r="B15125" i="1"/>
  <c r="A15125" i="1"/>
  <c r="E15125" i="1"/>
  <c r="B15126" i="1"/>
  <c r="A15126" i="1"/>
  <c r="E15126" i="1"/>
  <c r="B15127" i="1"/>
  <c r="A15127" i="1"/>
  <c r="E15127" i="1"/>
  <c r="B15128" i="1"/>
  <c r="A15128" i="1"/>
  <c r="E15128" i="1"/>
  <c r="B15129" i="1"/>
  <c r="A15129" i="1"/>
  <c r="E15129" i="1"/>
  <c r="B15130" i="1"/>
  <c r="A15130" i="1"/>
  <c r="E15130" i="1"/>
  <c r="B15131" i="1"/>
  <c r="A15131" i="1"/>
  <c r="E15131" i="1"/>
  <c r="B15132" i="1"/>
  <c r="A15132" i="1"/>
  <c r="E15132" i="1"/>
  <c r="B15133" i="1"/>
  <c r="A15133" i="1"/>
  <c r="E15133" i="1"/>
  <c r="B15134" i="1"/>
  <c r="A15134" i="1"/>
  <c r="E15134" i="1"/>
  <c r="B15135" i="1"/>
  <c r="A15135" i="1"/>
  <c r="E15135" i="1"/>
  <c r="B15136" i="1"/>
  <c r="A15136" i="1"/>
  <c r="E15136" i="1"/>
  <c r="B15137" i="1"/>
  <c r="A15137" i="1"/>
  <c r="E15137" i="1"/>
  <c r="B15138" i="1"/>
  <c r="A15138" i="1"/>
  <c r="E15138" i="1"/>
  <c r="B15139" i="1"/>
  <c r="A15139" i="1"/>
  <c r="E15139" i="1"/>
  <c r="B15140" i="1"/>
  <c r="A15140" i="1"/>
  <c r="E15140" i="1"/>
  <c r="B15141" i="1"/>
  <c r="A15141" i="1"/>
  <c r="E15141" i="1"/>
  <c r="B15142" i="1"/>
  <c r="A15142" i="1"/>
  <c r="E15142" i="1"/>
  <c r="B15143" i="1"/>
  <c r="A15143" i="1"/>
  <c r="E15143" i="1"/>
  <c r="B15144" i="1"/>
  <c r="A15144" i="1"/>
  <c r="E15144" i="1"/>
  <c r="B15145" i="1"/>
  <c r="A15145" i="1"/>
  <c r="E15145" i="1"/>
  <c r="B15146" i="1"/>
  <c r="A15146" i="1"/>
  <c r="E15146" i="1"/>
  <c r="B15147" i="1"/>
  <c r="A15147" i="1"/>
  <c r="E15147" i="1"/>
  <c r="B15148" i="1"/>
  <c r="A15148" i="1"/>
  <c r="E15148" i="1"/>
  <c r="B15149" i="1"/>
  <c r="A15149" i="1"/>
  <c r="E15149" i="1"/>
  <c r="B15150" i="1"/>
  <c r="A15150" i="1"/>
  <c r="E15150" i="1"/>
  <c r="B15151" i="1"/>
  <c r="A15151" i="1"/>
  <c r="E15151" i="1"/>
  <c r="B15152" i="1"/>
  <c r="A15152" i="1"/>
  <c r="E15152" i="1"/>
  <c r="B15153" i="1"/>
  <c r="A15153" i="1"/>
  <c r="E15153" i="1"/>
  <c r="B15154" i="1"/>
  <c r="A15154" i="1"/>
  <c r="E15154" i="1"/>
  <c r="B15155" i="1"/>
  <c r="A15155" i="1"/>
  <c r="E15155" i="1"/>
  <c r="B15156" i="1"/>
  <c r="A15156" i="1"/>
  <c r="E15156" i="1"/>
  <c r="B15157" i="1"/>
  <c r="A15157" i="1"/>
  <c r="E15157" i="1"/>
  <c r="B15158" i="1"/>
  <c r="A15158" i="1"/>
  <c r="E15158" i="1"/>
  <c r="B15159" i="1"/>
  <c r="A15159" i="1"/>
  <c r="E15159" i="1"/>
  <c r="B15160" i="1"/>
  <c r="A15160" i="1"/>
  <c r="E15160" i="1"/>
  <c r="B15161" i="1"/>
  <c r="A15161" i="1"/>
  <c r="E15161" i="1"/>
  <c r="B15162" i="1"/>
  <c r="A15162" i="1"/>
  <c r="E15162" i="1"/>
  <c r="B15163" i="1"/>
  <c r="A15163" i="1"/>
  <c r="E15163" i="1"/>
  <c r="B15164" i="1"/>
  <c r="A15164" i="1"/>
  <c r="E15164" i="1"/>
  <c r="B15165" i="1"/>
  <c r="A15165" i="1"/>
  <c r="E15165" i="1"/>
  <c r="B15166" i="1"/>
  <c r="A15166" i="1"/>
  <c r="E15166" i="1"/>
  <c r="B15167" i="1"/>
  <c r="A15167" i="1"/>
  <c r="E15167" i="1"/>
  <c r="B15168" i="1"/>
  <c r="A15168" i="1"/>
  <c r="E15168" i="1"/>
  <c r="B15169" i="1"/>
  <c r="A15169" i="1"/>
  <c r="E15169" i="1"/>
  <c r="B15170" i="1"/>
  <c r="A15170" i="1"/>
  <c r="E15170" i="1"/>
  <c r="B15171" i="1"/>
  <c r="A15171" i="1"/>
  <c r="E15171" i="1"/>
  <c r="B15172" i="1"/>
  <c r="A15172" i="1"/>
  <c r="E15172" i="1"/>
  <c r="B15173" i="1"/>
  <c r="A15173" i="1"/>
  <c r="E15173" i="1"/>
  <c r="B15174" i="1"/>
  <c r="A15174" i="1"/>
  <c r="E15174" i="1"/>
  <c r="B15175" i="1"/>
  <c r="A15175" i="1"/>
  <c r="E15175" i="1"/>
  <c r="B15176" i="1"/>
  <c r="A15176" i="1"/>
  <c r="E15176" i="1"/>
  <c r="B15177" i="1"/>
  <c r="A15177" i="1"/>
  <c r="E15177" i="1"/>
  <c r="B15178" i="1"/>
  <c r="A15178" i="1"/>
  <c r="E15178" i="1"/>
  <c r="B15179" i="1"/>
  <c r="A15179" i="1"/>
  <c r="E15179" i="1"/>
  <c r="B15180" i="1"/>
  <c r="A15180" i="1"/>
  <c r="E15180" i="1"/>
  <c r="B15181" i="1"/>
  <c r="A15181" i="1"/>
  <c r="E15181" i="1"/>
  <c r="B15182" i="1"/>
  <c r="A15182" i="1"/>
  <c r="E15182" i="1"/>
  <c r="F15182" i="1"/>
  <c r="B15183" i="1"/>
  <c r="A15183" i="1"/>
  <c r="E15183" i="1"/>
  <c r="F15183" i="1"/>
  <c r="B15184" i="1"/>
  <c r="A15184" i="1"/>
  <c r="E15184" i="1"/>
  <c r="F15184" i="1"/>
  <c r="B15185" i="1"/>
  <c r="A15185" i="1"/>
  <c r="E15185" i="1"/>
  <c r="F15185" i="1"/>
  <c r="B15186" i="1"/>
  <c r="A15186" i="1"/>
  <c r="E15186" i="1"/>
  <c r="F15186" i="1"/>
  <c r="G15186" i="1"/>
  <c r="B15187" i="1"/>
  <c r="A15187" i="1"/>
  <c r="E15187" i="1"/>
  <c r="F15187" i="1"/>
  <c r="G15187" i="1"/>
  <c r="B15188" i="1"/>
  <c r="A15188" i="1"/>
  <c r="E15188" i="1"/>
  <c r="F15188" i="1"/>
  <c r="G15188" i="1"/>
  <c r="B15189" i="1"/>
  <c r="A15189" i="1"/>
  <c r="E15189" i="1"/>
  <c r="F15189" i="1"/>
  <c r="B15190" i="1"/>
  <c r="A15190" i="1"/>
  <c r="E15190" i="1"/>
  <c r="F15190" i="1"/>
  <c r="B15191" i="1"/>
  <c r="A15191" i="1"/>
  <c r="E15191" i="1"/>
  <c r="F15191" i="1"/>
  <c r="B15192" i="1"/>
  <c r="A15192" i="1"/>
  <c r="E15192" i="1"/>
  <c r="F15192" i="1"/>
  <c r="G15192" i="1"/>
  <c r="B15193" i="1"/>
  <c r="A15193" i="1"/>
  <c r="E15193" i="1"/>
  <c r="F15193" i="1"/>
  <c r="B15194" i="1"/>
  <c r="A15194" i="1"/>
  <c r="E15194" i="1"/>
  <c r="F15194" i="1"/>
  <c r="B15195" i="1"/>
  <c r="A15195" i="1"/>
  <c r="E15195" i="1"/>
  <c r="F15195" i="1"/>
  <c r="B15196" i="1"/>
  <c r="A15196" i="1"/>
  <c r="E15196" i="1"/>
  <c r="F15196" i="1"/>
  <c r="B15197" i="1"/>
  <c r="A15197" i="1"/>
  <c r="E15197" i="1"/>
  <c r="F15197" i="1"/>
  <c r="B15198" i="1"/>
  <c r="A15198" i="1"/>
  <c r="E15198" i="1"/>
  <c r="F15198" i="1"/>
  <c r="G15198" i="1"/>
  <c r="B15199" i="1"/>
  <c r="A15199" i="1"/>
  <c r="E15199" i="1"/>
  <c r="F15199" i="1"/>
  <c r="B15200" i="1"/>
  <c r="A15200" i="1"/>
  <c r="E15200" i="1"/>
  <c r="F15200" i="1"/>
  <c r="G15200" i="1"/>
  <c r="B15201" i="1"/>
  <c r="A15201" i="1"/>
  <c r="E15201" i="1"/>
  <c r="F15201" i="1"/>
  <c r="B15202" i="1"/>
  <c r="A15202" i="1"/>
  <c r="E15202" i="1"/>
  <c r="F15202" i="1"/>
  <c r="B15203" i="1"/>
  <c r="A15203" i="1"/>
  <c r="E15203" i="1"/>
  <c r="F15203" i="1"/>
  <c r="G15203" i="1"/>
  <c r="B15204" i="1"/>
  <c r="A15204" i="1"/>
  <c r="E15204" i="1"/>
  <c r="F15204" i="1"/>
  <c r="B15205" i="1"/>
  <c r="A15205" i="1"/>
  <c r="E15205" i="1"/>
  <c r="F15205" i="1"/>
  <c r="B15206" i="1"/>
  <c r="A15206" i="1"/>
  <c r="E15206" i="1"/>
  <c r="B15207" i="1"/>
  <c r="A15207" i="1"/>
  <c r="E15207" i="1"/>
  <c r="B15208" i="1"/>
  <c r="A15208" i="1"/>
  <c r="E15208" i="1"/>
  <c r="B15209" i="1"/>
  <c r="A15209" i="1"/>
  <c r="E15209" i="1"/>
  <c r="G15209" i="1"/>
  <c r="B15210" i="1"/>
  <c r="A15210" i="1"/>
  <c r="E15210" i="1"/>
  <c r="B15211" i="1"/>
  <c r="A15211" i="1"/>
  <c r="E15211" i="1"/>
  <c r="B15212" i="1"/>
  <c r="A15212" i="1"/>
  <c r="E15212" i="1"/>
  <c r="B15213" i="1"/>
  <c r="A15213" i="1"/>
  <c r="E15213" i="1"/>
  <c r="B15214" i="1"/>
  <c r="A15214" i="1"/>
  <c r="E15214" i="1"/>
  <c r="B15215" i="1"/>
  <c r="A15215" i="1"/>
  <c r="E15215" i="1"/>
  <c r="G15215" i="1"/>
  <c r="B15216" i="1"/>
  <c r="A15216" i="1"/>
  <c r="E15216" i="1"/>
  <c r="B15217" i="1"/>
  <c r="A15217" i="1"/>
  <c r="E15217" i="1"/>
  <c r="B15218" i="1"/>
  <c r="A15218" i="1"/>
  <c r="E15218" i="1"/>
  <c r="A15219" i="1"/>
  <c r="E15219" i="1"/>
  <c r="B15220" i="1"/>
  <c r="A15220" i="1"/>
  <c r="E15220" i="1"/>
  <c r="B15221" i="1"/>
  <c r="A15221" i="1"/>
  <c r="E15221" i="1"/>
  <c r="B15222" i="1"/>
  <c r="A15222" i="1"/>
  <c r="E15222" i="1"/>
  <c r="B15223" i="1"/>
  <c r="A15223" i="1"/>
  <c r="E15223" i="1"/>
  <c r="B15224" i="1"/>
  <c r="A15224" i="1"/>
  <c r="E15224" i="1"/>
  <c r="B15225" i="1"/>
  <c r="A15225" i="1"/>
  <c r="E15225" i="1"/>
  <c r="B15226" i="1"/>
  <c r="A15226" i="1"/>
  <c r="E15226" i="1"/>
  <c r="G15226" i="1"/>
  <c r="B15227" i="1"/>
  <c r="A15227" i="1"/>
  <c r="E15227" i="1"/>
  <c r="B15228" i="1"/>
  <c r="A15228" i="1"/>
  <c r="E15228" i="1"/>
  <c r="B15229" i="1"/>
  <c r="A15229" i="1"/>
  <c r="E15229" i="1"/>
  <c r="B15230" i="1"/>
  <c r="A15230" i="1"/>
  <c r="E15230" i="1"/>
  <c r="B15231" i="1"/>
  <c r="A15231" i="1"/>
  <c r="E15231" i="1"/>
  <c r="B15232" i="1"/>
  <c r="A15232" i="1"/>
  <c r="E15232" i="1"/>
  <c r="B15233" i="1"/>
  <c r="A15233" i="1"/>
  <c r="E15233" i="1"/>
  <c r="B15234" i="1"/>
  <c r="A15234" i="1"/>
  <c r="E15234" i="1"/>
  <c r="F15234" i="1"/>
  <c r="B15235" i="1"/>
  <c r="A15235" i="1"/>
  <c r="E15235" i="1"/>
  <c r="F15235" i="1"/>
  <c r="B15236" i="1"/>
  <c r="A15236" i="1"/>
  <c r="E15236" i="1"/>
  <c r="F15236" i="1"/>
  <c r="B15237" i="1"/>
  <c r="A15237" i="1"/>
  <c r="E15237" i="1"/>
  <c r="F15237" i="1"/>
  <c r="B15238" i="1"/>
  <c r="A15238" i="1"/>
  <c r="E15238" i="1"/>
  <c r="F15238" i="1"/>
  <c r="B15239" i="1"/>
  <c r="A15239" i="1"/>
  <c r="E15239" i="1"/>
  <c r="F15239" i="1"/>
  <c r="B15240" i="1"/>
  <c r="A15240" i="1"/>
  <c r="E15240" i="1"/>
  <c r="F15240" i="1"/>
  <c r="B15241" i="1"/>
  <c r="A15241" i="1"/>
  <c r="E15241" i="1"/>
  <c r="F15241" i="1"/>
  <c r="B15242" i="1"/>
  <c r="A15242" i="1"/>
  <c r="E15242" i="1"/>
  <c r="F15242" i="1"/>
  <c r="G15242" i="1"/>
  <c r="B15243" i="1"/>
  <c r="A15243" i="1"/>
  <c r="E15243" i="1"/>
  <c r="F15243" i="1"/>
  <c r="B15244" i="1"/>
  <c r="A15244" i="1"/>
  <c r="E15244" i="1"/>
  <c r="F15244" i="1"/>
  <c r="B15245" i="1"/>
  <c r="A15245" i="1"/>
  <c r="E15245" i="1"/>
  <c r="F15245" i="1"/>
  <c r="B15246" i="1"/>
  <c r="A15246" i="1"/>
  <c r="E15246" i="1"/>
  <c r="F15246" i="1"/>
  <c r="B15247" i="1"/>
  <c r="A15247" i="1"/>
  <c r="E15247" i="1"/>
  <c r="F15247" i="1"/>
  <c r="B15248" i="1"/>
  <c r="A15248" i="1"/>
  <c r="E15248" i="1"/>
  <c r="F15248" i="1"/>
  <c r="B15249" i="1"/>
  <c r="A15249" i="1"/>
  <c r="E15249" i="1"/>
  <c r="F15249" i="1"/>
  <c r="B15250" i="1"/>
  <c r="A15250" i="1"/>
  <c r="E15250" i="1"/>
  <c r="F15250" i="1"/>
  <c r="B15251" i="1"/>
  <c r="A15251" i="1"/>
  <c r="E15251" i="1"/>
  <c r="F15251" i="1"/>
  <c r="B15252" i="1"/>
  <c r="A15252" i="1"/>
  <c r="E15252" i="1"/>
  <c r="F15252" i="1"/>
  <c r="B15253" i="1"/>
  <c r="A15253" i="1"/>
  <c r="E15253" i="1"/>
  <c r="F15253" i="1"/>
  <c r="B15254" i="1"/>
  <c r="A15254" i="1"/>
  <c r="E15254" i="1"/>
  <c r="F15254" i="1"/>
  <c r="B15255" i="1"/>
  <c r="A15255" i="1"/>
  <c r="E15255" i="1"/>
  <c r="F15255" i="1"/>
  <c r="B15256" i="1"/>
  <c r="A15256" i="1"/>
  <c r="E15256" i="1"/>
  <c r="F15256" i="1"/>
  <c r="B15257" i="1"/>
  <c r="A15257" i="1"/>
  <c r="E15257" i="1"/>
  <c r="F15257" i="1"/>
  <c r="B15258" i="1"/>
  <c r="A15258" i="1"/>
  <c r="E15258" i="1"/>
  <c r="F15258" i="1"/>
  <c r="B15259" i="1"/>
  <c r="A15259" i="1"/>
  <c r="E15259" i="1"/>
  <c r="F15259" i="1"/>
  <c r="B15260" i="1"/>
  <c r="A15260" i="1"/>
  <c r="E15260" i="1"/>
  <c r="F15260" i="1"/>
  <c r="B15261" i="1"/>
  <c r="A15261" i="1"/>
  <c r="E15261" i="1"/>
  <c r="F15261" i="1"/>
  <c r="B15262" i="1"/>
  <c r="A15262" i="1"/>
  <c r="E15262" i="1"/>
  <c r="F15262" i="1"/>
  <c r="B15263" i="1"/>
  <c r="A15263" i="1"/>
  <c r="E15263" i="1"/>
  <c r="F15263" i="1"/>
  <c r="B15264" i="1"/>
  <c r="A15264" i="1"/>
  <c r="E15264" i="1"/>
  <c r="F15264" i="1"/>
  <c r="B15265" i="1"/>
  <c r="A15265" i="1"/>
  <c r="E15265" i="1"/>
  <c r="F15265" i="1"/>
  <c r="B15266" i="1"/>
  <c r="A15266" i="1"/>
  <c r="E15266" i="1"/>
  <c r="F15266" i="1"/>
  <c r="B15267" i="1"/>
  <c r="A15267" i="1"/>
  <c r="E15267" i="1"/>
  <c r="F15267" i="1"/>
  <c r="B15268" i="1"/>
  <c r="A15268" i="1"/>
  <c r="E15268" i="1"/>
  <c r="F15268" i="1"/>
  <c r="B15269" i="1"/>
  <c r="A15269" i="1"/>
  <c r="E15269" i="1"/>
  <c r="F15269" i="1"/>
  <c r="B15270" i="1"/>
  <c r="A15270" i="1"/>
  <c r="E15270" i="1"/>
  <c r="F15270" i="1"/>
  <c r="B15271" i="1"/>
  <c r="A15271" i="1"/>
  <c r="E15271" i="1"/>
  <c r="F15271" i="1"/>
  <c r="B15272" i="1"/>
  <c r="A15272" i="1"/>
  <c r="E15272" i="1"/>
  <c r="F15272" i="1"/>
  <c r="B15273" i="1"/>
  <c r="A15273" i="1"/>
  <c r="E15273" i="1"/>
  <c r="F15273" i="1"/>
  <c r="B15274" i="1"/>
  <c r="A15274" i="1"/>
  <c r="E15274" i="1"/>
  <c r="F15274" i="1"/>
  <c r="B15275" i="1"/>
  <c r="A15275" i="1"/>
  <c r="E15275" i="1"/>
  <c r="F15275" i="1"/>
  <c r="B15276" i="1"/>
  <c r="A15276" i="1"/>
  <c r="E15276" i="1"/>
  <c r="F15276" i="1"/>
  <c r="G15276" i="1"/>
  <c r="B15277" i="1"/>
  <c r="A15277" i="1"/>
  <c r="E15277" i="1"/>
  <c r="F15277" i="1"/>
  <c r="B15278" i="1"/>
  <c r="A15278" i="1"/>
  <c r="E15278" i="1"/>
  <c r="F15278" i="1"/>
  <c r="G15278" i="1"/>
  <c r="B15279" i="1"/>
  <c r="A15279" i="1"/>
  <c r="E15279" i="1"/>
  <c r="F15279" i="1"/>
  <c r="B15280" i="1"/>
  <c r="A15280" i="1"/>
  <c r="E15280" i="1"/>
  <c r="F15280" i="1"/>
  <c r="G15280" i="1"/>
  <c r="B15281" i="1"/>
  <c r="A15281" i="1"/>
  <c r="E15281" i="1"/>
  <c r="F15281" i="1"/>
  <c r="G15281" i="1"/>
  <c r="B15282" i="1"/>
  <c r="A15282" i="1"/>
  <c r="E15282" i="1"/>
  <c r="F15282" i="1"/>
  <c r="G15282" i="1"/>
  <c r="B15283" i="1"/>
  <c r="A15283" i="1"/>
  <c r="E15283" i="1"/>
  <c r="F15283" i="1"/>
  <c r="G15283" i="1"/>
  <c r="B15284" i="1"/>
  <c r="A15284" i="1"/>
  <c r="E15284" i="1"/>
  <c r="F15284" i="1"/>
  <c r="G15284" i="1"/>
  <c r="B15285" i="1"/>
  <c r="A15285" i="1"/>
  <c r="E15285" i="1"/>
  <c r="F15285" i="1"/>
  <c r="B15286" i="1"/>
  <c r="A15286" i="1"/>
  <c r="E15286" i="1"/>
  <c r="F15286" i="1"/>
  <c r="B15287" i="1"/>
  <c r="A15287" i="1"/>
  <c r="E15287" i="1"/>
  <c r="F15287" i="1"/>
  <c r="B15288" i="1"/>
  <c r="A15288" i="1"/>
  <c r="E15288" i="1"/>
  <c r="G15288" i="1"/>
  <c r="B15289" i="1"/>
  <c r="A15289" i="1"/>
  <c r="E15289" i="1"/>
  <c r="B15290" i="1"/>
  <c r="A15290" i="1"/>
  <c r="E15290" i="1"/>
  <c r="B15291" i="1"/>
  <c r="A15291" i="1"/>
  <c r="E15291" i="1"/>
  <c r="B15292" i="1"/>
  <c r="A15292" i="1"/>
  <c r="E15292" i="1"/>
  <c r="B15293" i="1"/>
  <c r="A15293" i="1"/>
  <c r="E15293" i="1"/>
  <c r="B15294" i="1"/>
  <c r="A15294" i="1"/>
  <c r="E15294" i="1"/>
  <c r="B15295" i="1"/>
  <c r="A15295" i="1"/>
  <c r="E15295" i="1"/>
  <c r="B15296" i="1"/>
  <c r="A15296" i="1"/>
  <c r="E15296" i="1"/>
  <c r="F15296" i="1"/>
  <c r="G15296" i="1"/>
  <c r="B15297" i="1"/>
  <c r="A15297" i="1"/>
  <c r="E15297" i="1"/>
  <c r="F15297" i="1"/>
  <c r="B15298" i="1"/>
  <c r="A15298" i="1"/>
  <c r="E15298" i="1"/>
  <c r="F15298" i="1"/>
  <c r="B15299" i="1"/>
  <c r="A15299" i="1"/>
  <c r="E15299" i="1"/>
  <c r="F15299" i="1"/>
  <c r="B15300" i="1"/>
  <c r="A15300" i="1"/>
  <c r="E15300" i="1"/>
  <c r="F15300" i="1"/>
  <c r="B15301" i="1"/>
  <c r="A15301" i="1"/>
  <c r="E15301" i="1"/>
  <c r="F15301" i="1"/>
  <c r="B15302" i="1"/>
  <c r="A15302" i="1"/>
  <c r="E15302" i="1"/>
  <c r="F15302" i="1"/>
  <c r="B15303" i="1"/>
  <c r="A15303" i="1"/>
  <c r="E15303" i="1"/>
  <c r="F15303" i="1"/>
  <c r="B15304" i="1"/>
  <c r="A15304" i="1"/>
  <c r="E15304" i="1"/>
  <c r="F15304" i="1"/>
  <c r="B15305" i="1"/>
  <c r="A15305" i="1"/>
  <c r="E15305" i="1"/>
  <c r="F15305" i="1"/>
  <c r="B15306" i="1"/>
  <c r="A15306" i="1"/>
  <c r="E15306" i="1"/>
  <c r="F15306" i="1"/>
  <c r="B15307" i="1"/>
  <c r="A15307" i="1"/>
  <c r="E15307" i="1"/>
  <c r="F15307" i="1"/>
  <c r="B15308" i="1"/>
  <c r="A15308" i="1"/>
  <c r="E15308" i="1"/>
  <c r="F15308" i="1"/>
  <c r="B15309" i="1"/>
  <c r="A15309" i="1"/>
  <c r="E15309" i="1"/>
  <c r="F15309" i="1"/>
  <c r="B15310" i="1"/>
  <c r="A15310" i="1"/>
  <c r="E15310" i="1"/>
  <c r="F15310" i="1"/>
  <c r="B15311" i="1"/>
  <c r="A15311" i="1"/>
  <c r="E15311" i="1"/>
  <c r="F15311" i="1"/>
  <c r="B15312" i="1"/>
  <c r="A15312" i="1"/>
  <c r="E15312" i="1"/>
  <c r="F15312" i="1"/>
  <c r="B15313" i="1"/>
  <c r="A15313" i="1"/>
  <c r="E15313" i="1"/>
  <c r="F15313" i="1"/>
  <c r="B15314" i="1"/>
  <c r="A15314" i="1"/>
  <c r="E15314" i="1"/>
  <c r="F15314" i="1"/>
  <c r="B15315" i="1"/>
  <c r="A15315" i="1"/>
  <c r="E15315" i="1"/>
  <c r="F15315" i="1"/>
  <c r="B15316" i="1"/>
  <c r="A15316" i="1"/>
  <c r="E15316" i="1"/>
  <c r="F15316" i="1"/>
  <c r="B15317" i="1"/>
  <c r="A15317" i="1"/>
  <c r="E15317" i="1"/>
  <c r="F15317" i="1"/>
  <c r="B15318" i="1"/>
  <c r="A15318" i="1"/>
  <c r="E15318" i="1"/>
  <c r="F15318" i="1"/>
  <c r="B15319" i="1"/>
  <c r="A15319" i="1"/>
  <c r="E15319" i="1"/>
  <c r="F15319" i="1"/>
  <c r="B15320" i="1"/>
  <c r="A15320" i="1"/>
  <c r="E15320" i="1"/>
  <c r="F15320" i="1"/>
  <c r="B15321" i="1"/>
  <c r="A15321" i="1"/>
  <c r="E15321" i="1"/>
  <c r="F15321" i="1"/>
  <c r="B15322" i="1"/>
  <c r="A15322" i="1"/>
  <c r="E15322" i="1"/>
  <c r="F15322" i="1"/>
  <c r="B15323" i="1"/>
  <c r="A15323" i="1"/>
  <c r="E15323" i="1"/>
  <c r="F15323" i="1"/>
  <c r="B15324" i="1"/>
  <c r="A15324" i="1"/>
  <c r="E15324" i="1"/>
  <c r="F15324" i="1"/>
  <c r="B15325" i="1"/>
  <c r="A15325" i="1"/>
  <c r="E15325" i="1"/>
  <c r="F15325" i="1"/>
  <c r="B15326" i="1"/>
  <c r="A15326" i="1"/>
  <c r="E15326" i="1"/>
  <c r="F15326" i="1"/>
  <c r="B15327" i="1"/>
  <c r="A15327" i="1"/>
  <c r="E15327" i="1"/>
  <c r="F15327" i="1"/>
  <c r="B15328" i="1"/>
  <c r="A15328" i="1"/>
  <c r="E15328" i="1"/>
  <c r="F15328" i="1"/>
  <c r="B15329" i="1"/>
  <c r="A15329" i="1"/>
  <c r="E15329" i="1"/>
  <c r="F15329" i="1"/>
  <c r="B15330" i="1"/>
  <c r="A15330" i="1"/>
  <c r="E15330" i="1"/>
  <c r="F15330" i="1"/>
  <c r="B15331" i="1"/>
  <c r="A15331" i="1"/>
  <c r="E15331" i="1"/>
  <c r="F15331" i="1"/>
  <c r="B15332" i="1"/>
  <c r="A15332" i="1"/>
  <c r="E15332" i="1"/>
  <c r="F15332" i="1"/>
  <c r="B15333" i="1"/>
  <c r="A15333" i="1"/>
  <c r="E15333" i="1"/>
  <c r="F15333" i="1"/>
  <c r="B15334" i="1"/>
  <c r="A15334" i="1"/>
  <c r="E15334" i="1"/>
  <c r="F15334" i="1"/>
  <c r="B15335" i="1"/>
  <c r="A15335" i="1"/>
  <c r="E15335" i="1"/>
  <c r="F15335" i="1"/>
  <c r="B15336" i="1"/>
  <c r="A15336" i="1"/>
  <c r="E15336" i="1"/>
  <c r="F15336" i="1"/>
  <c r="B15337" i="1"/>
  <c r="A15337" i="1"/>
  <c r="E15337" i="1"/>
  <c r="F15337" i="1"/>
  <c r="B15338" i="1"/>
  <c r="A15338" i="1"/>
  <c r="E15338" i="1"/>
  <c r="F15338" i="1"/>
  <c r="B15339" i="1"/>
  <c r="A15339" i="1"/>
  <c r="E15339" i="1"/>
  <c r="F15339" i="1"/>
  <c r="B15340" i="1"/>
  <c r="A15340" i="1"/>
  <c r="E15340" i="1"/>
  <c r="F15340" i="1"/>
  <c r="B15341" i="1"/>
  <c r="A15341" i="1"/>
  <c r="E15341" i="1"/>
  <c r="F15341" i="1"/>
  <c r="B15342" i="1"/>
  <c r="A15342" i="1"/>
  <c r="E15342" i="1"/>
  <c r="F15342" i="1"/>
  <c r="B15343" i="1"/>
  <c r="A15343" i="1"/>
  <c r="E15343" i="1"/>
  <c r="F15343" i="1"/>
  <c r="B15344" i="1"/>
  <c r="A15344" i="1"/>
  <c r="E15344" i="1"/>
  <c r="F15344" i="1"/>
  <c r="B15345" i="1"/>
  <c r="A15345" i="1"/>
  <c r="E15345" i="1"/>
  <c r="F15345" i="1"/>
  <c r="B15346" i="1"/>
  <c r="A15346" i="1"/>
  <c r="E15346" i="1"/>
  <c r="F15346" i="1"/>
  <c r="B15347" i="1"/>
  <c r="A15347" i="1"/>
  <c r="E15347" i="1"/>
  <c r="F15347" i="1"/>
  <c r="B15348" i="1"/>
  <c r="A15348" i="1"/>
  <c r="E15348" i="1"/>
  <c r="F15348" i="1"/>
  <c r="G15348" i="1"/>
  <c r="B15349" i="1"/>
  <c r="A15349" i="1"/>
  <c r="E15349" i="1"/>
  <c r="F15349" i="1"/>
  <c r="B15350" i="1"/>
  <c r="A15350" i="1"/>
  <c r="E15350" i="1"/>
  <c r="F15350" i="1"/>
  <c r="G15350" i="1"/>
  <c r="B15351" i="1"/>
  <c r="A15351" i="1"/>
  <c r="E15351" i="1"/>
  <c r="F15351" i="1"/>
  <c r="B15352" i="1"/>
  <c r="A15352" i="1"/>
  <c r="E15352" i="1"/>
  <c r="F15352" i="1"/>
  <c r="G15352" i="1"/>
  <c r="B15353" i="1"/>
  <c r="A15353" i="1"/>
  <c r="E15353" i="1"/>
  <c r="F15353" i="1"/>
  <c r="G15353" i="1"/>
  <c r="B15354" i="1"/>
  <c r="A15354" i="1"/>
  <c r="E15354" i="1"/>
  <c r="F15354" i="1"/>
  <c r="G15354" i="1"/>
  <c r="B15355" i="1"/>
  <c r="A15355" i="1"/>
  <c r="E15355" i="1"/>
  <c r="F15355" i="1"/>
  <c r="B15356" i="1"/>
  <c r="A15356" i="1"/>
  <c r="E15356" i="1"/>
  <c r="F15356" i="1"/>
  <c r="G15356" i="1"/>
  <c r="B15357" i="1"/>
  <c r="A15357" i="1"/>
  <c r="E15357" i="1"/>
  <c r="F15357" i="1"/>
  <c r="G15357" i="1"/>
  <c r="B15358" i="1"/>
  <c r="A15358" i="1"/>
  <c r="E15358" i="1"/>
  <c r="F15358" i="1"/>
  <c r="G15358" i="1"/>
  <c r="B15359" i="1"/>
  <c r="A15359" i="1"/>
  <c r="E15359" i="1"/>
  <c r="F15359" i="1"/>
  <c r="B15360" i="1"/>
  <c r="A15360" i="1"/>
  <c r="E15360" i="1"/>
  <c r="F15360" i="1"/>
  <c r="B15361" i="1"/>
  <c r="A15361" i="1"/>
  <c r="E15361" i="1"/>
  <c r="F15361" i="1"/>
  <c r="B15362" i="1"/>
  <c r="A15362" i="1"/>
  <c r="E15362" i="1"/>
  <c r="F15362" i="1"/>
  <c r="B15363" i="1"/>
  <c r="A15363" i="1"/>
  <c r="E15363" i="1"/>
  <c r="F15363" i="1"/>
  <c r="B15364" i="1"/>
  <c r="A15364" i="1"/>
  <c r="E15364" i="1"/>
  <c r="F15364" i="1"/>
  <c r="B15365" i="1"/>
  <c r="A15365" i="1"/>
  <c r="E15365" i="1"/>
  <c r="F15365" i="1"/>
  <c r="B15366" i="1"/>
  <c r="A15366" i="1"/>
  <c r="E15366" i="1"/>
  <c r="F15366" i="1"/>
  <c r="B15367" i="1"/>
  <c r="A15367" i="1"/>
  <c r="E15367" i="1"/>
  <c r="F15367" i="1"/>
  <c r="B15368" i="1"/>
  <c r="A15368" i="1"/>
  <c r="E15368" i="1"/>
  <c r="F15368" i="1"/>
  <c r="B15369" i="1"/>
  <c r="A15369" i="1"/>
  <c r="E15369" i="1"/>
  <c r="F15369" i="1"/>
  <c r="B15370" i="1"/>
  <c r="A15370" i="1"/>
  <c r="E15370" i="1"/>
  <c r="F15370" i="1"/>
  <c r="B15371" i="1"/>
  <c r="A15371" i="1"/>
  <c r="E15371" i="1"/>
  <c r="F15371" i="1"/>
  <c r="B15372" i="1"/>
  <c r="A15372" i="1"/>
  <c r="E15372" i="1"/>
  <c r="F15372" i="1"/>
  <c r="B15373" i="1"/>
  <c r="A15373" i="1"/>
  <c r="E15373" i="1"/>
  <c r="F15373" i="1"/>
  <c r="B15374" i="1"/>
  <c r="A15374" i="1"/>
  <c r="E15374" i="1"/>
  <c r="F15374" i="1"/>
  <c r="B15375" i="1"/>
  <c r="A15375" i="1"/>
  <c r="E15375" i="1"/>
  <c r="F15375" i="1"/>
  <c r="B15376" i="1"/>
  <c r="A15376" i="1"/>
  <c r="E15376" i="1"/>
  <c r="F15376" i="1"/>
  <c r="B15377" i="1"/>
  <c r="A15377" i="1"/>
  <c r="E15377" i="1"/>
  <c r="F15377" i="1"/>
  <c r="B15378" i="1"/>
  <c r="A15378" i="1"/>
  <c r="E15378" i="1"/>
  <c r="F15378" i="1"/>
  <c r="B15379" i="1"/>
  <c r="A15379" i="1"/>
  <c r="E15379" i="1"/>
  <c r="F15379" i="1"/>
  <c r="B15380" i="1"/>
  <c r="A15380" i="1"/>
  <c r="E15380" i="1"/>
  <c r="F15380" i="1"/>
  <c r="B15381" i="1"/>
  <c r="A15381" i="1"/>
  <c r="E15381" i="1"/>
  <c r="B15382" i="1"/>
  <c r="A15382" i="1"/>
  <c r="E15382" i="1"/>
  <c r="B15383" i="1"/>
  <c r="A15383" i="1"/>
  <c r="E15383" i="1"/>
  <c r="B15384" i="1"/>
  <c r="A15384" i="1"/>
  <c r="E15384" i="1"/>
  <c r="B15385" i="1"/>
  <c r="A15385" i="1"/>
  <c r="E15385" i="1"/>
  <c r="B15386" i="1"/>
  <c r="A15386" i="1"/>
  <c r="E15386" i="1"/>
  <c r="B15387" i="1"/>
  <c r="A15387" i="1"/>
  <c r="E15387" i="1"/>
  <c r="B15388" i="1"/>
  <c r="A15388" i="1"/>
  <c r="E15388" i="1"/>
  <c r="B15389" i="1"/>
  <c r="A15389" i="1"/>
  <c r="E15389" i="1"/>
  <c r="B15390" i="1"/>
  <c r="A15390" i="1"/>
  <c r="E15390" i="1"/>
  <c r="F15390" i="1"/>
  <c r="B15391" i="1"/>
  <c r="A15391" i="1"/>
  <c r="E15391" i="1"/>
  <c r="F15391" i="1"/>
  <c r="B15392" i="1"/>
  <c r="A15392" i="1"/>
  <c r="E15392" i="1"/>
  <c r="F15392" i="1"/>
  <c r="B15393" i="1"/>
  <c r="A15393" i="1"/>
  <c r="E15393" i="1"/>
  <c r="F15393" i="1"/>
  <c r="B15394" i="1"/>
  <c r="A15394" i="1"/>
  <c r="E15394" i="1"/>
  <c r="F15394" i="1"/>
  <c r="B15395" i="1"/>
  <c r="A15395" i="1"/>
  <c r="E15395" i="1"/>
  <c r="F15395" i="1"/>
  <c r="B15396" i="1"/>
  <c r="A15396" i="1"/>
  <c r="E15396" i="1"/>
  <c r="F15396" i="1"/>
  <c r="G15396" i="1"/>
  <c r="B15397" i="1"/>
  <c r="A15397" i="1"/>
  <c r="E15397" i="1"/>
  <c r="F15397" i="1"/>
  <c r="G15397" i="1"/>
  <c r="B15398" i="1"/>
  <c r="A15398" i="1"/>
  <c r="E15398" i="1"/>
  <c r="F15398" i="1"/>
  <c r="G15398" i="1"/>
  <c r="B15399" i="1"/>
  <c r="A15399" i="1"/>
  <c r="E15399" i="1"/>
  <c r="F15399" i="1"/>
  <c r="G15399" i="1"/>
  <c r="B15400" i="1"/>
  <c r="A15400" i="1"/>
  <c r="E15400" i="1"/>
  <c r="F15400" i="1"/>
  <c r="B15401" i="1"/>
  <c r="A15401" i="1"/>
  <c r="E15401" i="1"/>
  <c r="F15401" i="1"/>
  <c r="B15402" i="1"/>
  <c r="A15402" i="1"/>
  <c r="E15402" i="1"/>
  <c r="F15402" i="1"/>
  <c r="B15403" i="1"/>
  <c r="A15403" i="1"/>
  <c r="E15403" i="1"/>
  <c r="F15403" i="1"/>
  <c r="B15404" i="1"/>
  <c r="A15404" i="1"/>
  <c r="E15404" i="1"/>
  <c r="F15404" i="1"/>
  <c r="B15405" i="1"/>
  <c r="A15405" i="1"/>
  <c r="E15405" i="1"/>
  <c r="F15405" i="1"/>
  <c r="B15406" i="1"/>
  <c r="A15406" i="1"/>
  <c r="E15406" i="1"/>
  <c r="F15406" i="1"/>
  <c r="B15407" i="1"/>
  <c r="A15407" i="1"/>
  <c r="E15407" i="1"/>
  <c r="F15407" i="1"/>
  <c r="B15408" i="1"/>
  <c r="A15408" i="1"/>
  <c r="E15408" i="1"/>
  <c r="F15408" i="1"/>
  <c r="B15409" i="1"/>
  <c r="A15409" i="1"/>
  <c r="E15409" i="1"/>
  <c r="F15409" i="1"/>
  <c r="B15410" i="1"/>
  <c r="A15410" i="1"/>
  <c r="E15410" i="1"/>
  <c r="F15410" i="1"/>
  <c r="B15411" i="1"/>
  <c r="A15411" i="1"/>
  <c r="E15411" i="1"/>
  <c r="F15411" i="1"/>
  <c r="B15412" i="1"/>
  <c r="A15412" i="1"/>
  <c r="E15412" i="1"/>
  <c r="F15412" i="1"/>
  <c r="B15413" i="1"/>
  <c r="A15413" i="1"/>
  <c r="E15413" i="1"/>
  <c r="F15413" i="1"/>
  <c r="B15414" i="1"/>
  <c r="A15414" i="1"/>
  <c r="E15414" i="1"/>
  <c r="F15414" i="1"/>
  <c r="B15415" i="1"/>
  <c r="A15415" i="1"/>
  <c r="E15415" i="1"/>
  <c r="F15415" i="1"/>
  <c r="B15416" i="1"/>
  <c r="A15416" i="1"/>
  <c r="E15416" i="1"/>
  <c r="F15416" i="1"/>
  <c r="B15417" i="1"/>
  <c r="A15417" i="1"/>
  <c r="E15417" i="1"/>
  <c r="F15417" i="1"/>
  <c r="B15418" i="1"/>
  <c r="A15418" i="1"/>
  <c r="E15418" i="1"/>
  <c r="F15418" i="1"/>
  <c r="B15419" i="1"/>
  <c r="A15419" i="1"/>
  <c r="E15419" i="1"/>
  <c r="F15419" i="1"/>
  <c r="B15420" i="1"/>
  <c r="A15420" i="1"/>
  <c r="E15420" i="1"/>
  <c r="F15420" i="1"/>
  <c r="B15421" i="1"/>
  <c r="A15421" i="1"/>
  <c r="E15421" i="1"/>
  <c r="F15421" i="1"/>
  <c r="B15422" i="1"/>
  <c r="A15422" i="1"/>
  <c r="E15422" i="1"/>
  <c r="F15422" i="1"/>
  <c r="B15423" i="1"/>
  <c r="A15423" i="1"/>
  <c r="E15423" i="1"/>
  <c r="F15423" i="1"/>
  <c r="B15424" i="1"/>
  <c r="A15424" i="1"/>
  <c r="E15424" i="1"/>
  <c r="F15424" i="1"/>
  <c r="B15425" i="1"/>
  <c r="A15425" i="1"/>
  <c r="E15425" i="1"/>
  <c r="F15425" i="1"/>
  <c r="B15426" i="1"/>
  <c r="A15426" i="1"/>
  <c r="E15426" i="1"/>
  <c r="F15426" i="1"/>
  <c r="B15427" i="1"/>
  <c r="A15427" i="1"/>
  <c r="E15427" i="1"/>
  <c r="F15427" i="1"/>
  <c r="G15427" i="1"/>
  <c r="B15428" i="1"/>
  <c r="A15428" i="1"/>
  <c r="E15428" i="1"/>
  <c r="F15428" i="1"/>
  <c r="G15428" i="1"/>
  <c r="B15429" i="1"/>
  <c r="A15429" i="1"/>
  <c r="E15429" i="1"/>
  <c r="F15429" i="1"/>
  <c r="B15430" i="1"/>
  <c r="A15430" i="1"/>
  <c r="E15430" i="1"/>
  <c r="F15430" i="1"/>
  <c r="B15431" i="1"/>
  <c r="A15431" i="1"/>
  <c r="E15431" i="1"/>
  <c r="F15431" i="1"/>
  <c r="B15432" i="1"/>
  <c r="A15432" i="1"/>
  <c r="E15432" i="1"/>
  <c r="B15433" i="1"/>
  <c r="A15433" i="1"/>
  <c r="E15433" i="1"/>
  <c r="A15434" i="1"/>
  <c r="E15434" i="1"/>
  <c r="B15435" i="1"/>
  <c r="A15435" i="1"/>
  <c r="E15435" i="1"/>
  <c r="B15436" i="1"/>
  <c r="A15436" i="1"/>
  <c r="E15436" i="1"/>
  <c r="B15437" i="1"/>
  <c r="A15437" i="1"/>
  <c r="E15437" i="1"/>
  <c r="B15438" i="1"/>
  <c r="A15438" i="1"/>
  <c r="E15438" i="1"/>
  <c r="B15439" i="1"/>
  <c r="A15439" i="1"/>
  <c r="E15439" i="1"/>
  <c r="F15439" i="1"/>
  <c r="B15440" i="1"/>
  <c r="A15440" i="1"/>
  <c r="E15440" i="1"/>
  <c r="F15440" i="1"/>
  <c r="B15441" i="1"/>
  <c r="A15441" i="1"/>
  <c r="E15441" i="1"/>
  <c r="F15441" i="1"/>
  <c r="B15442" i="1"/>
  <c r="A15442" i="1"/>
  <c r="E15442" i="1"/>
  <c r="F15442" i="1"/>
  <c r="B15443" i="1"/>
  <c r="A15443" i="1"/>
  <c r="E15443" i="1"/>
  <c r="F15443" i="1"/>
  <c r="B15444" i="1"/>
  <c r="A15444" i="1"/>
  <c r="E15444" i="1"/>
  <c r="F15444" i="1"/>
  <c r="B15445" i="1"/>
  <c r="A15445" i="1"/>
  <c r="E15445" i="1"/>
  <c r="F15445" i="1"/>
  <c r="B15446" i="1"/>
  <c r="A15446" i="1"/>
  <c r="E15446" i="1"/>
  <c r="F15446" i="1"/>
  <c r="B15447" i="1"/>
  <c r="A15447" i="1"/>
  <c r="E15447" i="1"/>
  <c r="F15447" i="1"/>
  <c r="G15447" i="1"/>
  <c r="B15448" i="1"/>
  <c r="A15448" i="1"/>
  <c r="E15448" i="1"/>
  <c r="F15448" i="1"/>
  <c r="G15448" i="1"/>
  <c r="B15449" i="1"/>
  <c r="A15449" i="1"/>
  <c r="E15449" i="1"/>
  <c r="F15449" i="1"/>
  <c r="B15450" i="1"/>
  <c r="A15450" i="1"/>
  <c r="E15450" i="1"/>
  <c r="F15450" i="1"/>
  <c r="B15451" i="1"/>
  <c r="A15451" i="1"/>
  <c r="E15451" i="1"/>
  <c r="F15451" i="1"/>
  <c r="B15452" i="1"/>
  <c r="A15452" i="1"/>
  <c r="E15452" i="1"/>
  <c r="F15452" i="1"/>
  <c r="B15453" i="1"/>
  <c r="A15453" i="1"/>
  <c r="E15453" i="1"/>
  <c r="F15453" i="1"/>
  <c r="B15454" i="1"/>
  <c r="A15454" i="1"/>
  <c r="E15454" i="1"/>
  <c r="F15454" i="1"/>
  <c r="B15455" i="1"/>
  <c r="A15455" i="1"/>
  <c r="E15455" i="1"/>
  <c r="B15456" i="1"/>
  <c r="A15456" i="1"/>
  <c r="E15456" i="1"/>
  <c r="B15457" i="1"/>
  <c r="A15457" i="1"/>
  <c r="E15457" i="1"/>
  <c r="B15458" i="1"/>
  <c r="A15458" i="1"/>
  <c r="E15458" i="1"/>
  <c r="B15459" i="1"/>
  <c r="A15459" i="1"/>
  <c r="E15459" i="1"/>
  <c r="B15460" i="1"/>
  <c r="A15460" i="1"/>
  <c r="E15460" i="1"/>
  <c r="F15460" i="1"/>
  <c r="B15461" i="1"/>
  <c r="A15461" i="1"/>
  <c r="E15461" i="1"/>
  <c r="B15462" i="1"/>
  <c r="A15462" i="1"/>
  <c r="E15462" i="1"/>
  <c r="B15463" i="1"/>
  <c r="A15463" i="1"/>
  <c r="E15463" i="1"/>
  <c r="F15463" i="1"/>
  <c r="B15464" i="1"/>
  <c r="A15464" i="1"/>
  <c r="E15464" i="1"/>
  <c r="F15464" i="1"/>
  <c r="B15465" i="1"/>
  <c r="A15465" i="1"/>
  <c r="E15465" i="1"/>
  <c r="F15465" i="1"/>
  <c r="B15466" i="1"/>
  <c r="A15466" i="1"/>
  <c r="E15466" i="1"/>
  <c r="F15466" i="1"/>
  <c r="B15467" i="1"/>
  <c r="A15467" i="1"/>
  <c r="E15467" i="1"/>
  <c r="F15467" i="1"/>
  <c r="B15468" i="1"/>
  <c r="A15468" i="1"/>
  <c r="E15468" i="1"/>
  <c r="F15468" i="1"/>
  <c r="B15469" i="1"/>
  <c r="A15469" i="1"/>
  <c r="E15469" i="1"/>
  <c r="F15469" i="1"/>
  <c r="B15470" i="1"/>
  <c r="A15470" i="1"/>
  <c r="E15470" i="1"/>
  <c r="F15470" i="1"/>
  <c r="B15471" i="1"/>
  <c r="A15471" i="1"/>
  <c r="E15471" i="1"/>
  <c r="F15471" i="1"/>
  <c r="B15472" i="1"/>
  <c r="A15472" i="1"/>
  <c r="E15472" i="1"/>
  <c r="F15472" i="1"/>
  <c r="B15473" i="1"/>
  <c r="A15473" i="1"/>
  <c r="E15473" i="1"/>
  <c r="F15473" i="1"/>
  <c r="B15474" i="1"/>
  <c r="A15474" i="1"/>
  <c r="E15474" i="1"/>
  <c r="F15474" i="1"/>
  <c r="G15474" i="1"/>
  <c r="B15475" i="1"/>
  <c r="A15475" i="1"/>
  <c r="E15475" i="1"/>
  <c r="F15475" i="1"/>
  <c r="B15476" i="1"/>
  <c r="A15476" i="1"/>
  <c r="E15476" i="1"/>
  <c r="F15476" i="1"/>
  <c r="B15477" i="1"/>
  <c r="A15477" i="1"/>
  <c r="E15477" i="1"/>
  <c r="F15477" i="1"/>
  <c r="B15478" i="1"/>
  <c r="A15478" i="1"/>
  <c r="E15478" i="1"/>
  <c r="F15478" i="1"/>
  <c r="B15479" i="1"/>
  <c r="A15479" i="1"/>
  <c r="E15479" i="1"/>
  <c r="F15479" i="1"/>
  <c r="G15479" i="1"/>
  <c r="B15480" i="1"/>
  <c r="A15480" i="1"/>
  <c r="E15480" i="1"/>
  <c r="F15480" i="1"/>
  <c r="G15480" i="1"/>
  <c r="B15481" i="1"/>
  <c r="A15481" i="1"/>
  <c r="E15481" i="1"/>
  <c r="F15481" i="1"/>
  <c r="G15481" i="1"/>
  <c r="B15482" i="1"/>
  <c r="A15482" i="1"/>
  <c r="E15482" i="1"/>
  <c r="F15482" i="1"/>
  <c r="G15482" i="1"/>
  <c r="B15483" i="1"/>
  <c r="A15483" i="1"/>
  <c r="E15483" i="1"/>
  <c r="F15483" i="1"/>
  <c r="B15484" i="1"/>
  <c r="A15484" i="1"/>
  <c r="E15484" i="1"/>
  <c r="F15484" i="1"/>
  <c r="B15485" i="1"/>
  <c r="A15485" i="1"/>
  <c r="E15485" i="1"/>
  <c r="F15485" i="1"/>
  <c r="B15486" i="1"/>
  <c r="A15486" i="1"/>
  <c r="E15486" i="1"/>
  <c r="F15486" i="1"/>
  <c r="B15487" i="1"/>
  <c r="A15487" i="1"/>
  <c r="E15487" i="1"/>
  <c r="F15487" i="1"/>
  <c r="B15488" i="1"/>
  <c r="A15488" i="1"/>
  <c r="E15488" i="1"/>
  <c r="F15488" i="1"/>
  <c r="B15489" i="1"/>
  <c r="A15489" i="1"/>
  <c r="E15489" i="1"/>
  <c r="F15489" i="1"/>
  <c r="B15490" i="1"/>
  <c r="A15490" i="1"/>
  <c r="E15490" i="1"/>
  <c r="B15491" i="1"/>
  <c r="A15491" i="1"/>
  <c r="E15491" i="1"/>
  <c r="B15492" i="1"/>
  <c r="A15492" i="1"/>
  <c r="E15492" i="1"/>
  <c r="B15493" i="1"/>
  <c r="A15493" i="1"/>
  <c r="E15493" i="1"/>
  <c r="F15493" i="1"/>
  <c r="B15494" i="1"/>
  <c r="A15494" i="1"/>
  <c r="E15494" i="1"/>
  <c r="F15494" i="1"/>
  <c r="B15495" i="1"/>
  <c r="A15495" i="1"/>
  <c r="E15495" i="1"/>
  <c r="B15496" i="1"/>
  <c r="A15496" i="1"/>
  <c r="E15496" i="1"/>
  <c r="B15497" i="1"/>
  <c r="A15497" i="1"/>
  <c r="E15497" i="1"/>
  <c r="B15498" i="1"/>
  <c r="A15498" i="1"/>
  <c r="E15498" i="1"/>
  <c r="B15499" i="1"/>
  <c r="A15499" i="1"/>
  <c r="E15499" i="1"/>
  <c r="B15500" i="1"/>
  <c r="A15500" i="1"/>
  <c r="E15500" i="1"/>
  <c r="B15501" i="1"/>
  <c r="A15501" i="1"/>
  <c r="E15501" i="1"/>
  <c r="B15502" i="1"/>
  <c r="A15502" i="1"/>
  <c r="E15502" i="1"/>
  <c r="B15503" i="1"/>
  <c r="A15503" i="1"/>
  <c r="E15503" i="1"/>
  <c r="B15504" i="1"/>
  <c r="A15504" i="1"/>
  <c r="E15504" i="1"/>
  <c r="A15505" i="1"/>
  <c r="E15505" i="1"/>
  <c r="B15506" i="1"/>
  <c r="A15506" i="1"/>
  <c r="E15506" i="1"/>
  <c r="B15507" i="1"/>
  <c r="A15507" i="1"/>
  <c r="E15507" i="1"/>
  <c r="B15508" i="1"/>
  <c r="A15508" i="1"/>
  <c r="E15508" i="1"/>
  <c r="F15508" i="1"/>
  <c r="G15508" i="1"/>
  <c r="B15509" i="1"/>
  <c r="A15509" i="1"/>
  <c r="E15509" i="1"/>
  <c r="B15510" i="1"/>
  <c r="A15510" i="1"/>
  <c r="E15510" i="1"/>
  <c r="B15511" i="1"/>
  <c r="A15511" i="1"/>
  <c r="E15511" i="1"/>
  <c r="B15512" i="1"/>
  <c r="A15512" i="1"/>
  <c r="E15512" i="1"/>
  <c r="B15513" i="1"/>
  <c r="A15513" i="1"/>
  <c r="E15513" i="1"/>
  <c r="B15514" i="1"/>
  <c r="A15514" i="1"/>
  <c r="E15514" i="1"/>
  <c r="B15515" i="1"/>
  <c r="A15515" i="1"/>
  <c r="E15515" i="1"/>
  <c r="B15516" i="1"/>
  <c r="A15516" i="1"/>
  <c r="E15516" i="1"/>
  <c r="B15517" i="1"/>
  <c r="A15517" i="1"/>
  <c r="E15517" i="1"/>
  <c r="B15518" i="1"/>
  <c r="A15518" i="1"/>
  <c r="E15518" i="1"/>
  <c r="B15519" i="1"/>
  <c r="A15519" i="1"/>
  <c r="E15519" i="1"/>
  <c r="B15520" i="1"/>
  <c r="A15520" i="1"/>
  <c r="E15520" i="1"/>
  <c r="F15520" i="1"/>
  <c r="B15521" i="1"/>
  <c r="A15521" i="1"/>
  <c r="E15521" i="1"/>
  <c r="F15521" i="1"/>
  <c r="B15522" i="1"/>
  <c r="A15522" i="1"/>
  <c r="E15522" i="1"/>
  <c r="F15522" i="1"/>
  <c r="B15523" i="1"/>
  <c r="A15523" i="1"/>
  <c r="E15523" i="1"/>
  <c r="F15523" i="1"/>
  <c r="B15524" i="1"/>
  <c r="A15524" i="1"/>
  <c r="E15524" i="1"/>
  <c r="F15524" i="1"/>
  <c r="B15525" i="1"/>
  <c r="A15525" i="1"/>
  <c r="E15525" i="1"/>
  <c r="F15525" i="1"/>
  <c r="B15526" i="1"/>
  <c r="A15526" i="1"/>
  <c r="E15526" i="1"/>
  <c r="F15526" i="1"/>
  <c r="B15527" i="1"/>
  <c r="A15527" i="1"/>
  <c r="E15527" i="1"/>
  <c r="F15527" i="1"/>
  <c r="B15528" i="1"/>
  <c r="A15528" i="1"/>
  <c r="E15528" i="1"/>
  <c r="F15528" i="1"/>
  <c r="B15529" i="1"/>
  <c r="A15529" i="1"/>
  <c r="E15529" i="1"/>
  <c r="F15529" i="1"/>
  <c r="B15530" i="1"/>
  <c r="A15530" i="1"/>
  <c r="E15530" i="1"/>
  <c r="F15530" i="1"/>
  <c r="B15531" i="1"/>
  <c r="A15531" i="1"/>
  <c r="E15531" i="1"/>
  <c r="F15531" i="1"/>
  <c r="B15532" i="1"/>
  <c r="A15532" i="1"/>
  <c r="E15532" i="1"/>
  <c r="F15532" i="1"/>
  <c r="B15533" i="1"/>
  <c r="A15533" i="1"/>
  <c r="E15533" i="1"/>
  <c r="F15533" i="1"/>
  <c r="B15534" i="1"/>
  <c r="A15534" i="1"/>
  <c r="E15534" i="1"/>
  <c r="F15534" i="1"/>
  <c r="B15535" i="1"/>
  <c r="A15535" i="1"/>
  <c r="E15535" i="1"/>
  <c r="F15535" i="1"/>
  <c r="B15536" i="1"/>
  <c r="A15536" i="1"/>
  <c r="E15536" i="1"/>
  <c r="F15536" i="1"/>
  <c r="B15537" i="1"/>
  <c r="A15537" i="1"/>
  <c r="E15537" i="1"/>
  <c r="F15537" i="1"/>
  <c r="B15538" i="1"/>
  <c r="A15538" i="1"/>
  <c r="E15538" i="1"/>
  <c r="F15538" i="1"/>
  <c r="B15539" i="1"/>
  <c r="A15539" i="1"/>
  <c r="E15539" i="1"/>
  <c r="F15539" i="1"/>
  <c r="B15540" i="1"/>
  <c r="A15540" i="1"/>
  <c r="E15540" i="1"/>
  <c r="F15540" i="1"/>
  <c r="B15541" i="1"/>
  <c r="A15541" i="1"/>
  <c r="E15541" i="1"/>
  <c r="F15541" i="1"/>
  <c r="B15542" i="1"/>
  <c r="A15542" i="1"/>
  <c r="E15542" i="1"/>
  <c r="F15542" i="1"/>
  <c r="G15542" i="1"/>
  <c r="B15543" i="1"/>
  <c r="A15543" i="1"/>
  <c r="E15543" i="1"/>
  <c r="F15543" i="1"/>
  <c r="B15544" i="1"/>
  <c r="A15544" i="1"/>
  <c r="E15544" i="1"/>
  <c r="F15544" i="1"/>
  <c r="B15545" i="1"/>
  <c r="A15545" i="1"/>
  <c r="E15545" i="1"/>
  <c r="F15545" i="1"/>
  <c r="B15546" i="1"/>
  <c r="A15546" i="1"/>
  <c r="E15546" i="1"/>
  <c r="F15546" i="1"/>
  <c r="B15547" i="1"/>
  <c r="A15547" i="1"/>
  <c r="E15547" i="1"/>
  <c r="F15547" i="1"/>
  <c r="B15548" i="1"/>
  <c r="A15548" i="1"/>
  <c r="E15548" i="1"/>
  <c r="F15548" i="1"/>
  <c r="B15549" i="1"/>
  <c r="A15549" i="1"/>
  <c r="E15549" i="1"/>
  <c r="F15549" i="1"/>
  <c r="B15550" i="1"/>
  <c r="A15550" i="1"/>
  <c r="E15550" i="1"/>
  <c r="F15550" i="1"/>
  <c r="G15550" i="1"/>
  <c r="B15551" i="1"/>
  <c r="A15551" i="1"/>
  <c r="E15551" i="1"/>
  <c r="F15551" i="1"/>
  <c r="G15551" i="1"/>
  <c r="B15552" i="1"/>
  <c r="A15552" i="1"/>
  <c r="E15552" i="1"/>
  <c r="F15552" i="1"/>
  <c r="B15553" i="1"/>
  <c r="A15553" i="1"/>
  <c r="E15553" i="1"/>
  <c r="F15553" i="1"/>
  <c r="G15553" i="1"/>
  <c r="B15554" i="1"/>
  <c r="A15554" i="1"/>
  <c r="E15554" i="1"/>
  <c r="F15554" i="1"/>
  <c r="G15554" i="1"/>
  <c r="B15555" i="1"/>
  <c r="A15555" i="1"/>
  <c r="E15555" i="1"/>
  <c r="F15555" i="1"/>
  <c r="B15556" i="1"/>
  <c r="A15556" i="1"/>
  <c r="E15556" i="1"/>
  <c r="F15556" i="1"/>
  <c r="B15557" i="1"/>
  <c r="A15557" i="1"/>
  <c r="E15557" i="1"/>
  <c r="F15557" i="1"/>
  <c r="B15558" i="1"/>
  <c r="A15558" i="1"/>
  <c r="E15558" i="1"/>
  <c r="F15558" i="1"/>
  <c r="B15559" i="1"/>
  <c r="A15559" i="1"/>
  <c r="E15559" i="1"/>
  <c r="F15559" i="1"/>
  <c r="B15560" i="1"/>
  <c r="A15560" i="1"/>
  <c r="E15560" i="1"/>
  <c r="F15560" i="1"/>
  <c r="B15561" i="1"/>
  <c r="A15561" i="1"/>
  <c r="E15561" i="1"/>
  <c r="F15561" i="1"/>
  <c r="B15562" i="1"/>
  <c r="A15562" i="1"/>
  <c r="E15562" i="1"/>
  <c r="F15562" i="1"/>
  <c r="B15563" i="1"/>
  <c r="A15563" i="1"/>
  <c r="E15563" i="1"/>
  <c r="F15563" i="1"/>
  <c r="B15564" i="1"/>
  <c r="A15564" i="1"/>
  <c r="E15564" i="1"/>
  <c r="F15564" i="1"/>
  <c r="B15565" i="1"/>
  <c r="A15565" i="1"/>
  <c r="E15565" i="1"/>
  <c r="F15565" i="1"/>
  <c r="B15566" i="1"/>
  <c r="A15566" i="1"/>
  <c r="E15566" i="1"/>
  <c r="F15566" i="1"/>
  <c r="B15567" i="1"/>
  <c r="A15567" i="1"/>
  <c r="E15567" i="1"/>
  <c r="F15567" i="1"/>
  <c r="B15568" i="1"/>
  <c r="A15568" i="1"/>
  <c r="E15568" i="1"/>
  <c r="F15568" i="1"/>
  <c r="B15569" i="1"/>
  <c r="A15569" i="1"/>
  <c r="E15569" i="1"/>
  <c r="F15569" i="1"/>
  <c r="B15570" i="1"/>
  <c r="A15570" i="1"/>
  <c r="E15570" i="1"/>
  <c r="F15570" i="1"/>
  <c r="G15570" i="1"/>
  <c r="B15571" i="1"/>
  <c r="A15571" i="1"/>
  <c r="E15571" i="1"/>
  <c r="F15571" i="1"/>
  <c r="B15572" i="1"/>
  <c r="A15572" i="1"/>
  <c r="E15572" i="1"/>
  <c r="F15572" i="1"/>
  <c r="G15572" i="1"/>
  <c r="B15573" i="1"/>
  <c r="A15573" i="1"/>
  <c r="E15573" i="1"/>
  <c r="F15573" i="1"/>
  <c r="B15574" i="1"/>
  <c r="A15574" i="1"/>
  <c r="E15574" i="1"/>
  <c r="F15574" i="1"/>
  <c r="B15575" i="1"/>
  <c r="A15575" i="1"/>
  <c r="E15575" i="1"/>
  <c r="F15575" i="1"/>
  <c r="B15576" i="1"/>
  <c r="A15576" i="1"/>
  <c r="E15576" i="1"/>
  <c r="F15576" i="1"/>
  <c r="G15576" i="1"/>
  <c r="B15577" i="1"/>
  <c r="A15577" i="1"/>
  <c r="E15577" i="1"/>
  <c r="F15577" i="1"/>
  <c r="B15578" i="1"/>
  <c r="A15578" i="1"/>
  <c r="E15578" i="1"/>
  <c r="F15578" i="1"/>
  <c r="B15579" i="1"/>
  <c r="A15579" i="1"/>
  <c r="E15579" i="1"/>
  <c r="F15579" i="1"/>
  <c r="B15580" i="1"/>
  <c r="A15580" i="1"/>
  <c r="E15580" i="1"/>
  <c r="F15580" i="1"/>
  <c r="B15581" i="1"/>
  <c r="A15581" i="1"/>
  <c r="E15581" i="1"/>
  <c r="F15581" i="1"/>
  <c r="B15582" i="1"/>
  <c r="A15582" i="1"/>
  <c r="E15582" i="1"/>
  <c r="F15582" i="1"/>
  <c r="B15583" i="1"/>
  <c r="A15583" i="1"/>
  <c r="E15583" i="1"/>
  <c r="F15583" i="1"/>
  <c r="G15583" i="1"/>
  <c r="B15584" i="1"/>
  <c r="A15584" i="1"/>
  <c r="E15584" i="1"/>
  <c r="F15584" i="1"/>
  <c r="G15584" i="1"/>
  <c r="B15585" i="1"/>
  <c r="A15585" i="1"/>
  <c r="E15585" i="1"/>
  <c r="F15585" i="1"/>
  <c r="G15585" i="1"/>
  <c r="B15586" i="1"/>
  <c r="A15586" i="1"/>
  <c r="E15586" i="1"/>
  <c r="F15586" i="1"/>
  <c r="B15587" i="1"/>
  <c r="A15587" i="1"/>
  <c r="E15587" i="1"/>
  <c r="F15587" i="1"/>
  <c r="B15588" i="1"/>
  <c r="A15588" i="1"/>
  <c r="E15588" i="1"/>
  <c r="F15588" i="1"/>
  <c r="B15589" i="1"/>
  <c r="A15589" i="1"/>
  <c r="E15589" i="1"/>
  <c r="F15589" i="1"/>
  <c r="B15590" i="1"/>
  <c r="A15590" i="1"/>
  <c r="E15590" i="1"/>
  <c r="F15590" i="1"/>
  <c r="B15591" i="1"/>
  <c r="A15591" i="1"/>
  <c r="E15591" i="1"/>
  <c r="F15591" i="1"/>
  <c r="G15591" i="1"/>
  <c r="B15592" i="1"/>
  <c r="A15592" i="1"/>
  <c r="E15592" i="1"/>
  <c r="F15592" i="1"/>
  <c r="G15592" i="1"/>
  <c r="B15593" i="1"/>
  <c r="A15593" i="1"/>
  <c r="E15593" i="1"/>
  <c r="F15593" i="1"/>
  <c r="G15593" i="1"/>
  <c r="B15594" i="1"/>
  <c r="A15594" i="1"/>
  <c r="E15594" i="1"/>
  <c r="F15594" i="1"/>
  <c r="G15594" i="1"/>
  <c r="B15595" i="1"/>
  <c r="A15595" i="1"/>
  <c r="E15595" i="1"/>
  <c r="F15595" i="1"/>
  <c r="G15595" i="1"/>
  <c r="B15596" i="1"/>
  <c r="A15596" i="1"/>
  <c r="E15596" i="1"/>
  <c r="F15596" i="1"/>
  <c r="B15597" i="1"/>
  <c r="A15597" i="1"/>
  <c r="E15597" i="1"/>
  <c r="F15597" i="1"/>
  <c r="B15598" i="1"/>
  <c r="A15598" i="1"/>
  <c r="E15598" i="1"/>
  <c r="F15598" i="1"/>
  <c r="G15598" i="1"/>
  <c r="B15599" i="1"/>
  <c r="A15599" i="1"/>
  <c r="E15599" i="1"/>
  <c r="F15599" i="1"/>
  <c r="B15600" i="1"/>
  <c r="A15600" i="1"/>
  <c r="E15600" i="1"/>
  <c r="F15600" i="1"/>
  <c r="B15601" i="1"/>
  <c r="A15601" i="1"/>
  <c r="E15601" i="1"/>
  <c r="F15601" i="1"/>
  <c r="B15602" i="1"/>
  <c r="A15602" i="1"/>
  <c r="E15602" i="1"/>
  <c r="F15602" i="1"/>
  <c r="B15603" i="1"/>
  <c r="A15603" i="1"/>
  <c r="E15603" i="1"/>
  <c r="F15603" i="1"/>
  <c r="G15603" i="1"/>
  <c r="B15604" i="1"/>
  <c r="A15604" i="1"/>
  <c r="E15604" i="1"/>
  <c r="F15604" i="1"/>
  <c r="B15605" i="1"/>
  <c r="A15605" i="1"/>
  <c r="E15605" i="1"/>
  <c r="F15605" i="1"/>
  <c r="B15606" i="1"/>
  <c r="A15606" i="1"/>
  <c r="E15606" i="1"/>
  <c r="F15606" i="1"/>
  <c r="G15606" i="1"/>
  <c r="B15607" i="1"/>
  <c r="A15607" i="1"/>
  <c r="E15607" i="1"/>
  <c r="F15607" i="1"/>
  <c r="B15608" i="1"/>
  <c r="A15608" i="1"/>
  <c r="E15608" i="1"/>
  <c r="F15608" i="1"/>
  <c r="B15609" i="1"/>
  <c r="A15609" i="1"/>
  <c r="E15609" i="1"/>
  <c r="F15609" i="1"/>
  <c r="B15610" i="1"/>
  <c r="A15610" i="1"/>
  <c r="E15610" i="1"/>
  <c r="F15610" i="1"/>
  <c r="B15611" i="1"/>
  <c r="A15611" i="1"/>
  <c r="E15611" i="1"/>
  <c r="F15611" i="1"/>
  <c r="B15612" i="1"/>
  <c r="A15612" i="1"/>
  <c r="E15612" i="1"/>
  <c r="F15612" i="1"/>
  <c r="G15612" i="1"/>
  <c r="B15613" i="1"/>
  <c r="A15613" i="1"/>
  <c r="E15613" i="1"/>
  <c r="F15613" i="1"/>
  <c r="B15614" i="1"/>
  <c r="A15614" i="1"/>
  <c r="E15614" i="1"/>
  <c r="F15614" i="1"/>
  <c r="B15615" i="1"/>
  <c r="A15615" i="1"/>
  <c r="E15615" i="1"/>
  <c r="F15615" i="1"/>
  <c r="B15616" i="1"/>
  <c r="A15616" i="1"/>
  <c r="E15616" i="1"/>
  <c r="F15616" i="1"/>
  <c r="B15617" i="1"/>
  <c r="A15617" i="1"/>
  <c r="E15617" i="1"/>
  <c r="F15617" i="1"/>
  <c r="B15618" i="1"/>
  <c r="A15618" i="1"/>
  <c r="E15618" i="1"/>
  <c r="F15618" i="1"/>
  <c r="B15619" i="1"/>
  <c r="A15619" i="1"/>
  <c r="E15619" i="1"/>
  <c r="F15619" i="1"/>
  <c r="B15620" i="1"/>
  <c r="A15620" i="1"/>
  <c r="E15620" i="1"/>
  <c r="F15620" i="1"/>
  <c r="B15621" i="1"/>
  <c r="A15621" i="1"/>
  <c r="E15621" i="1"/>
  <c r="F15621" i="1"/>
  <c r="B15622" i="1"/>
  <c r="A15622" i="1"/>
  <c r="E15622" i="1"/>
  <c r="F15622" i="1"/>
  <c r="B15623" i="1"/>
  <c r="A15623" i="1"/>
  <c r="E15623" i="1"/>
  <c r="F15623" i="1"/>
  <c r="B15624" i="1"/>
  <c r="A15624" i="1"/>
  <c r="E15624" i="1"/>
  <c r="F15624" i="1"/>
  <c r="B15625" i="1"/>
  <c r="A15625" i="1"/>
  <c r="E15625" i="1"/>
  <c r="F15625" i="1"/>
  <c r="B15626" i="1"/>
  <c r="A15626" i="1"/>
  <c r="E15626" i="1"/>
  <c r="F15626" i="1"/>
  <c r="B15627" i="1"/>
  <c r="A15627" i="1"/>
  <c r="E15627" i="1"/>
  <c r="F15627" i="1"/>
  <c r="B15628" i="1"/>
  <c r="A15628" i="1"/>
  <c r="E15628" i="1"/>
  <c r="F15628" i="1"/>
  <c r="B15629" i="1"/>
  <c r="A15629" i="1"/>
  <c r="E15629" i="1"/>
  <c r="F15629" i="1"/>
  <c r="B15630" i="1"/>
  <c r="A15630" i="1"/>
  <c r="E15630" i="1"/>
  <c r="F15630" i="1"/>
  <c r="B15631" i="1"/>
  <c r="A15631" i="1"/>
  <c r="E15631" i="1"/>
  <c r="F15631" i="1"/>
  <c r="B15632" i="1"/>
  <c r="A15632" i="1"/>
  <c r="E15632" i="1"/>
  <c r="F15632" i="1"/>
  <c r="B15633" i="1"/>
  <c r="A15633" i="1"/>
  <c r="E15633" i="1"/>
  <c r="F15633" i="1"/>
  <c r="B15634" i="1"/>
  <c r="A15634" i="1"/>
  <c r="E15634" i="1"/>
  <c r="F15634" i="1"/>
  <c r="B15635" i="1"/>
  <c r="A15635" i="1"/>
  <c r="E15635" i="1"/>
  <c r="F15635" i="1"/>
  <c r="B15636" i="1"/>
  <c r="A15636" i="1"/>
  <c r="E15636" i="1"/>
  <c r="F15636" i="1"/>
  <c r="B15637" i="1"/>
  <c r="A15637" i="1"/>
  <c r="E15637" i="1"/>
  <c r="F15637" i="1"/>
  <c r="B15638" i="1"/>
  <c r="A15638" i="1"/>
  <c r="E15638" i="1"/>
  <c r="F15638" i="1"/>
  <c r="B15639" i="1"/>
  <c r="A15639" i="1"/>
  <c r="E15639" i="1"/>
  <c r="F15639" i="1"/>
  <c r="G15639" i="1"/>
  <c r="B15640" i="1"/>
  <c r="A15640" i="1"/>
  <c r="E15640" i="1"/>
  <c r="F15640" i="1"/>
  <c r="B15641" i="1"/>
  <c r="A15641" i="1"/>
  <c r="E15641" i="1"/>
  <c r="F15641" i="1"/>
  <c r="G15641" i="1"/>
  <c r="B15642" i="1"/>
  <c r="A15642" i="1"/>
  <c r="E15642" i="1"/>
  <c r="F15642" i="1"/>
  <c r="B15643" i="1"/>
  <c r="A15643" i="1"/>
  <c r="E15643" i="1"/>
  <c r="F15643" i="1"/>
  <c r="B15644" i="1"/>
  <c r="A15644" i="1"/>
  <c r="E15644" i="1"/>
  <c r="F15644" i="1"/>
  <c r="B15645" i="1"/>
  <c r="A15645" i="1"/>
  <c r="E15645" i="1"/>
  <c r="F15645" i="1"/>
  <c r="G15645" i="1"/>
  <c r="B15646" i="1"/>
  <c r="A15646" i="1"/>
  <c r="E15646" i="1"/>
  <c r="F15646" i="1"/>
  <c r="B15647" i="1"/>
  <c r="A15647" i="1"/>
  <c r="E15647" i="1"/>
  <c r="B15648" i="1"/>
  <c r="A15648" i="1"/>
  <c r="E15648" i="1"/>
  <c r="G15648" i="1"/>
  <c r="B15649" i="1"/>
  <c r="A15649" i="1"/>
  <c r="E15649" i="1"/>
  <c r="B15650" i="1"/>
  <c r="A15650" i="1"/>
  <c r="E15650" i="1"/>
  <c r="B15651" i="1"/>
  <c r="A15651" i="1"/>
  <c r="E15651" i="1"/>
  <c r="B15652" i="1"/>
  <c r="A15652" i="1"/>
  <c r="E15652" i="1"/>
  <c r="B15653" i="1"/>
  <c r="A15653" i="1"/>
  <c r="E15653" i="1"/>
  <c r="F15653" i="1"/>
  <c r="B15654" i="1"/>
  <c r="A15654" i="1"/>
  <c r="E15654" i="1"/>
  <c r="F15654" i="1"/>
  <c r="B15655" i="1"/>
  <c r="A15655" i="1"/>
  <c r="E15655" i="1"/>
  <c r="F15655" i="1"/>
  <c r="G15655" i="1"/>
  <c r="B15656" i="1"/>
  <c r="A15656" i="1"/>
  <c r="E15656" i="1"/>
  <c r="F15656" i="1"/>
  <c r="G15656" i="1"/>
  <c r="B15657" i="1"/>
  <c r="A15657" i="1"/>
  <c r="E15657" i="1"/>
  <c r="F15657" i="1"/>
  <c r="G15657" i="1"/>
  <c r="B15658" i="1"/>
  <c r="A15658" i="1"/>
  <c r="E15658" i="1"/>
  <c r="F15658" i="1"/>
  <c r="G15658" i="1"/>
  <c r="B15659" i="1"/>
  <c r="A15659" i="1"/>
  <c r="E15659" i="1"/>
  <c r="F15659" i="1"/>
  <c r="G15659" i="1"/>
  <c r="B15660" i="1"/>
  <c r="A15660" i="1"/>
  <c r="E15660" i="1"/>
  <c r="F15660" i="1"/>
  <c r="G15660" i="1"/>
  <c r="B15661" i="1"/>
  <c r="A15661" i="1"/>
  <c r="E15661" i="1"/>
  <c r="F15661" i="1"/>
  <c r="G15661" i="1"/>
  <c r="B15662" i="1"/>
  <c r="A15662" i="1"/>
  <c r="E15662" i="1"/>
  <c r="F15662" i="1"/>
  <c r="G15662" i="1"/>
  <c r="B15663" i="1"/>
  <c r="A15663" i="1"/>
  <c r="E15663" i="1"/>
  <c r="F15663" i="1"/>
  <c r="G15663" i="1"/>
  <c r="B15664" i="1"/>
  <c r="A15664" i="1"/>
  <c r="E15664" i="1"/>
  <c r="F15664" i="1"/>
  <c r="G15664" i="1"/>
  <c r="B15665" i="1"/>
  <c r="A15665" i="1"/>
  <c r="E15665" i="1"/>
  <c r="F15665" i="1"/>
  <c r="G15665" i="1"/>
  <c r="B15666" i="1"/>
  <c r="A15666" i="1"/>
  <c r="E15666" i="1"/>
  <c r="F15666" i="1"/>
  <c r="G15666" i="1"/>
  <c r="B15667" i="1"/>
  <c r="A15667" i="1"/>
  <c r="E15667" i="1"/>
  <c r="F15667" i="1"/>
  <c r="G15667" i="1"/>
  <c r="B15668" i="1"/>
  <c r="A15668" i="1"/>
  <c r="E15668" i="1"/>
  <c r="F15668" i="1"/>
  <c r="G15668" i="1"/>
  <c r="B15669" i="1"/>
  <c r="A15669" i="1"/>
  <c r="E15669" i="1"/>
  <c r="F15669" i="1"/>
  <c r="G15669" i="1"/>
  <c r="B15670" i="1"/>
  <c r="A15670" i="1"/>
  <c r="E15670" i="1"/>
  <c r="F15670" i="1"/>
  <c r="G15670" i="1"/>
  <c r="B15671" i="1"/>
  <c r="A15671" i="1"/>
  <c r="E15671" i="1"/>
  <c r="F15671" i="1"/>
  <c r="G15671" i="1"/>
  <c r="B15672" i="1"/>
  <c r="A15672" i="1"/>
  <c r="E15672" i="1"/>
  <c r="F15672" i="1"/>
  <c r="G15672" i="1"/>
  <c r="B15673" i="1"/>
  <c r="A15673" i="1"/>
  <c r="E15673" i="1"/>
  <c r="F15673" i="1"/>
  <c r="B15674" i="1"/>
  <c r="A15674" i="1"/>
  <c r="E15674" i="1"/>
  <c r="F15674" i="1"/>
  <c r="B15675" i="1"/>
  <c r="A15675" i="1"/>
  <c r="E15675" i="1"/>
  <c r="F15675" i="1"/>
  <c r="B15676" i="1"/>
  <c r="A15676" i="1"/>
  <c r="E15676" i="1"/>
  <c r="F15676" i="1"/>
  <c r="B15677" i="1"/>
  <c r="A15677" i="1"/>
  <c r="E15677" i="1"/>
  <c r="F15677" i="1"/>
  <c r="B15678" i="1"/>
  <c r="A15678" i="1"/>
  <c r="E15678" i="1"/>
  <c r="F15678" i="1"/>
  <c r="B15679" i="1"/>
  <c r="A15679" i="1"/>
  <c r="E15679" i="1"/>
  <c r="F15679" i="1"/>
  <c r="B15680" i="1"/>
  <c r="A15680" i="1"/>
  <c r="E15680" i="1"/>
  <c r="F15680" i="1"/>
  <c r="B15681" i="1"/>
  <c r="A15681" i="1"/>
  <c r="E15681" i="1"/>
  <c r="F15681" i="1"/>
  <c r="B15682" i="1"/>
  <c r="A15682" i="1"/>
  <c r="E15682" i="1"/>
  <c r="F15682" i="1"/>
  <c r="B15683" i="1"/>
  <c r="A15683" i="1"/>
  <c r="E15683" i="1"/>
  <c r="F15683" i="1"/>
  <c r="B15684" i="1"/>
  <c r="A15684" i="1"/>
  <c r="E15684" i="1"/>
  <c r="F15684" i="1"/>
  <c r="B15685" i="1"/>
  <c r="A15685" i="1"/>
  <c r="E15685" i="1"/>
  <c r="F15685" i="1"/>
  <c r="B15686" i="1"/>
  <c r="A15686" i="1"/>
  <c r="E15686" i="1"/>
  <c r="F15686" i="1"/>
  <c r="B15687" i="1"/>
  <c r="A15687" i="1"/>
  <c r="E15687" i="1"/>
  <c r="F15687" i="1"/>
  <c r="B15688" i="1"/>
  <c r="A15688" i="1"/>
  <c r="E15688" i="1"/>
  <c r="F15688" i="1"/>
  <c r="G15688" i="1"/>
  <c r="B15689" i="1"/>
  <c r="A15689" i="1"/>
  <c r="E15689" i="1"/>
  <c r="F15689" i="1"/>
  <c r="G15689" i="1"/>
  <c r="B15690" i="1"/>
  <c r="A15690" i="1"/>
  <c r="E15690" i="1"/>
  <c r="F15690" i="1"/>
  <c r="G15690" i="1"/>
  <c r="B15691" i="1"/>
  <c r="A15691" i="1"/>
  <c r="E15691" i="1"/>
  <c r="F15691" i="1"/>
  <c r="B15692" i="1"/>
  <c r="A15692" i="1"/>
  <c r="E15692" i="1"/>
  <c r="F15692" i="1"/>
  <c r="B15693" i="1"/>
  <c r="A15693" i="1"/>
  <c r="E15693" i="1"/>
  <c r="F15693" i="1"/>
  <c r="B15694" i="1"/>
  <c r="A15694" i="1"/>
  <c r="E15694" i="1"/>
  <c r="F15694" i="1"/>
  <c r="B15695" i="1"/>
  <c r="A15695" i="1"/>
  <c r="E15695" i="1"/>
  <c r="F15695" i="1"/>
  <c r="B15696" i="1"/>
  <c r="A15696" i="1"/>
  <c r="E15696" i="1"/>
  <c r="F15696" i="1"/>
  <c r="B15697" i="1"/>
  <c r="A15697" i="1"/>
  <c r="E15697" i="1"/>
  <c r="F15697" i="1"/>
  <c r="B15698" i="1"/>
  <c r="A15698" i="1"/>
  <c r="E15698" i="1"/>
  <c r="F15698" i="1"/>
  <c r="B15699" i="1"/>
  <c r="A15699" i="1"/>
  <c r="E15699" i="1"/>
  <c r="F15699" i="1"/>
  <c r="B15700" i="1"/>
  <c r="A15700" i="1"/>
  <c r="E15700" i="1"/>
  <c r="F15700" i="1"/>
  <c r="B15701" i="1"/>
  <c r="A15701" i="1"/>
  <c r="E15701" i="1"/>
  <c r="F15701" i="1"/>
  <c r="B15702" i="1"/>
  <c r="A15702" i="1"/>
  <c r="E15702" i="1"/>
  <c r="F15702" i="1"/>
  <c r="B15703" i="1"/>
  <c r="A15703" i="1"/>
  <c r="E15703" i="1"/>
  <c r="F15703" i="1"/>
  <c r="B15704" i="1"/>
  <c r="A15704" i="1"/>
  <c r="E15704" i="1"/>
  <c r="F15704" i="1"/>
  <c r="B15705" i="1"/>
  <c r="A15705" i="1"/>
  <c r="E15705" i="1"/>
  <c r="F15705" i="1"/>
  <c r="B15706" i="1"/>
  <c r="A15706" i="1"/>
  <c r="E15706" i="1"/>
  <c r="F15706" i="1"/>
  <c r="B15707" i="1"/>
  <c r="A15707" i="1"/>
  <c r="E15707" i="1"/>
  <c r="F15707" i="1"/>
  <c r="G15707" i="1"/>
  <c r="B15708" i="1"/>
  <c r="A15708" i="1"/>
  <c r="E15708" i="1"/>
  <c r="B15709" i="1"/>
  <c r="A15709" i="1"/>
  <c r="E15709" i="1"/>
  <c r="B15710" i="1"/>
  <c r="A15710" i="1"/>
  <c r="E15710" i="1"/>
  <c r="B15711" i="1"/>
  <c r="A15711" i="1"/>
  <c r="E15711" i="1"/>
  <c r="B15712" i="1"/>
  <c r="A15712" i="1"/>
  <c r="E15712" i="1"/>
  <c r="B15713" i="1"/>
  <c r="A15713" i="1"/>
  <c r="E15713" i="1"/>
  <c r="B15714" i="1"/>
  <c r="A15714" i="1"/>
  <c r="E15714" i="1"/>
  <c r="B15715" i="1"/>
  <c r="A15715" i="1"/>
  <c r="E15715" i="1"/>
  <c r="B15716" i="1"/>
  <c r="A15716" i="1"/>
  <c r="E15716" i="1"/>
  <c r="B15717" i="1"/>
  <c r="A15717" i="1"/>
  <c r="E15717" i="1"/>
  <c r="B15718" i="1"/>
  <c r="A15718" i="1"/>
  <c r="E15718" i="1"/>
  <c r="B15719" i="1"/>
  <c r="A15719" i="1"/>
  <c r="E15719" i="1"/>
  <c r="B15720" i="1"/>
  <c r="A15720" i="1"/>
  <c r="E15720" i="1"/>
  <c r="B15721" i="1"/>
  <c r="A15721" i="1"/>
  <c r="E15721" i="1"/>
  <c r="B15722" i="1"/>
  <c r="A15722" i="1"/>
  <c r="E15722" i="1"/>
  <c r="B15723" i="1"/>
  <c r="A15723" i="1"/>
  <c r="E15723" i="1"/>
  <c r="B15724" i="1"/>
  <c r="A15724" i="1"/>
  <c r="E15724" i="1"/>
  <c r="B15725" i="1"/>
  <c r="A15725" i="1"/>
  <c r="E15725" i="1"/>
  <c r="B15726" i="1"/>
  <c r="A15726" i="1"/>
  <c r="E15726" i="1"/>
  <c r="B15727" i="1"/>
  <c r="A15727" i="1"/>
  <c r="E15727" i="1"/>
  <c r="B15728" i="1"/>
  <c r="A15728" i="1"/>
  <c r="E15728" i="1"/>
  <c r="B15729" i="1"/>
  <c r="A15729" i="1"/>
  <c r="E15729" i="1"/>
  <c r="B15730" i="1"/>
  <c r="A15730" i="1"/>
  <c r="E15730" i="1"/>
  <c r="B15731" i="1"/>
  <c r="A15731" i="1"/>
  <c r="E15731" i="1"/>
  <c r="B15732" i="1"/>
  <c r="A15732" i="1"/>
  <c r="E15732" i="1"/>
  <c r="B15733" i="1"/>
  <c r="A15733" i="1"/>
  <c r="E15733" i="1"/>
  <c r="G15733" i="1"/>
  <c r="B15734" i="1"/>
  <c r="A15734" i="1"/>
  <c r="E15734" i="1"/>
  <c r="G15734" i="1"/>
  <c r="A15735" i="1"/>
  <c r="E15735" i="1"/>
  <c r="A15736" i="1"/>
  <c r="E15736" i="1"/>
  <c r="B15737" i="1"/>
  <c r="A15737" i="1"/>
  <c r="E15737" i="1"/>
  <c r="B15738" i="1"/>
  <c r="A15738" i="1"/>
  <c r="E15738" i="1"/>
  <c r="B15739" i="1"/>
  <c r="A15739" i="1"/>
  <c r="E15739" i="1"/>
  <c r="G15739" i="1"/>
  <c r="B15740" i="1"/>
  <c r="A15740" i="1"/>
  <c r="E15740" i="1"/>
  <c r="B15741" i="1"/>
  <c r="A15741" i="1"/>
  <c r="E15741" i="1"/>
  <c r="B15742" i="1"/>
  <c r="A15742" i="1"/>
  <c r="E15742" i="1"/>
  <c r="B15743" i="1"/>
  <c r="A15743" i="1"/>
  <c r="E15743" i="1"/>
  <c r="B15744" i="1"/>
  <c r="A15744" i="1"/>
  <c r="E15744" i="1"/>
  <c r="B15745" i="1"/>
  <c r="A15745" i="1"/>
  <c r="E15745" i="1"/>
  <c r="B15746" i="1"/>
  <c r="A15746" i="1"/>
  <c r="E15746" i="1"/>
  <c r="B15747" i="1"/>
  <c r="A15747" i="1"/>
  <c r="E15747" i="1"/>
  <c r="B15748" i="1"/>
  <c r="A15748" i="1"/>
  <c r="E15748" i="1"/>
  <c r="B15749" i="1"/>
  <c r="A15749" i="1"/>
  <c r="E15749" i="1"/>
  <c r="B15750" i="1"/>
  <c r="A15750" i="1"/>
  <c r="E15750" i="1"/>
  <c r="B15751" i="1"/>
  <c r="A15751" i="1"/>
  <c r="E15751" i="1"/>
  <c r="B15752" i="1"/>
  <c r="A15752" i="1"/>
  <c r="E15752" i="1"/>
  <c r="B15753" i="1"/>
  <c r="A15753" i="1"/>
  <c r="E15753" i="1"/>
  <c r="B15754" i="1"/>
  <c r="A15754" i="1"/>
  <c r="E15754" i="1"/>
  <c r="B15755" i="1"/>
  <c r="A15755" i="1"/>
  <c r="E15755" i="1"/>
  <c r="B15756" i="1"/>
  <c r="A15756" i="1"/>
  <c r="E15756" i="1"/>
  <c r="B15757" i="1"/>
  <c r="A15757" i="1"/>
  <c r="E15757" i="1"/>
  <c r="B15758" i="1"/>
  <c r="A15758" i="1"/>
  <c r="E15758" i="1"/>
  <c r="B15759" i="1"/>
  <c r="A15759" i="1"/>
  <c r="E15759" i="1"/>
  <c r="B15760" i="1"/>
  <c r="A15760" i="1"/>
  <c r="E15760" i="1"/>
  <c r="B15761" i="1"/>
  <c r="A15761" i="1"/>
  <c r="E15761" i="1"/>
  <c r="B15762" i="1"/>
  <c r="A15762" i="1"/>
  <c r="E15762" i="1"/>
  <c r="B15763" i="1"/>
  <c r="A15763" i="1"/>
  <c r="E15763" i="1"/>
  <c r="B15764" i="1"/>
  <c r="A15764" i="1"/>
  <c r="E15764" i="1"/>
  <c r="B15765" i="1"/>
  <c r="A15765" i="1"/>
  <c r="E15765" i="1"/>
  <c r="B15766" i="1"/>
  <c r="A15766" i="1"/>
  <c r="E15766" i="1"/>
  <c r="B15767" i="1"/>
  <c r="A15767" i="1"/>
  <c r="E15767" i="1"/>
  <c r="B15768" i="1"/>
  <c r="A15768" i="1"/>
  <c r="E15768" i="1"/>
  <c r="B15769" i="1"/>
  <c r="A15769" i="1"/>
  <c r="E15769" i="1"/>
  <c r="B15770" i="1"/>
  <c r="A15770" i="1"/>
  <c r="E15770" i="1"/>
  <c r="B15771" i="1"/>
  <c r="A15771" i="1"/>
  <c r="E15771" i="1"/>
  <c r="B15772" i="1"/>
  <c r="A15772" i="1"/>
  <c r="E15772" i="1"/>
  <c r="B15773" i="1"/>
  <c r="A15773" i="1"/>
  <c r="E15773" i="1"/>
  <c r="B15774" i="1"/>
  <c r="A15774" i="1"/>
  <c r="E15774" i="1"/>
  <c r="B15775" i="1"/>
  <c r="A15775" i="1"/>
  <c r="E15775" i="1"/>
  <c r="G15775" i="1"/>
  <c r="B15776" i="1"/>
  <c r="A15776" i="1"/>
  <c r="E15776" i="1"/>
  <c r="G15776" i="1"/>
  <c r="B15777" i="1"/>
  <c r="A15777" i="1"/>
  <c r="E15777" i="1"/>
  <c r="G15777" i="1"/>
  <c r="B15778" i="1"/>
  <c r="A15778" i="1"/>
  <c r="E15778" i="1"/>
  <c r="G15778" i="1"/>
  <c r="B15779" i="1"/>
  <c r="A15779" i="1"/>
  <c r="E15779" i="1"/>
  <c r="G15779" i="1"/>
  <c r="B15780" i="1"/>
  <c r="A15780" i="1"/>
  <c r="E15780" i="1"/>
  <c r="G15780" i="1"/>
  <c r="B15781" i="1"/>
  <c r="A15781" i="1"/>
  <c r="E15781" i="1"/>
  <c r="G15781" i="1"/>
  <c r="B15782" i="1"/>
  <c r="A15782" i="1"/>
  <c r="E15782" i="1"/>
  <c r="G15782" i="1"/>
  <c r="B15783" i="1"/>
  <c r="A15783" i="1"/>
  <c r="E15783" i="1"/>
  <c r="G15783" i="1"/>
  <c r="B15784" i="1"/>
  <c r="A15784" i="1"/>
  <c r="E15784" i="1"/>
  <c r="G15784" i="1"/>
  <c r="B15785" i="1"/>
  <c r="A15785" i="1"/>
  <c r="E15785" i="1"/>
  <c r="G15785" i="1"/>
  <c r="B15786" i="1"/>
  <c r="A15786" i="1"/>
  <c r="E15786" i="1"/>
  <c r="G15786" i="1"/>
  <c r="B15787" i="1"/>
  <c r="A15787" i="1"/>
  <c r="E15787" i="1"/>
  <c r="G15787" i="1"/>
  <c r="B15788" i="1"/>
  <c r="A15788" i="1"/>
  <c r="E15788" i="1"/>
  <c r="B15789" i="1"/>
  <c r="A15789" i="1"/>
  <c r="E15789" i="1"/>
  <c r="B15790" i="1"/>
  <c r="A15790" i="1"/>
  <c r="E15790" i="1"/>
  <c r="B15791" i="1"/>
  <c r="A15791" i="1"/>
  <c r="E15791" i="1"/>
  <c r="B15792" i="1"/>
  <c r="A15792" i="1"/>
  <c r="E15792" i="1"/>
  <c r="B15793" i="1"/>
  <c r="A15793" i="1"/>
  <c r="E15793" i="1"/>
  <c r="B15794" i="1"/>
  <c r="A15794" i="1"/>
  <c r="E15794" i="1"/>
  <c r="G15794" i="1"/>
  <c r="B15795" i="1"/>
  <c r="A15795" i="1"/>
  <c r="E15795" i="1"/>
  <c r="B15796" i="1"/>
  <c r="A15796" i="1"/>
  <c r="E15796" i="1"/>
  <c r="B15797" i="1"/>
  <c r="A15797" i="1"/>
  <c r="E15797" i="1"/>
  <c r="B15798" i="1"/>
  <c r="A15798" i="1"/>
  <c r="E15798" i="1"/>
  <c r="G15798" i="1"/>
  <c r="B15799" i="1"/>
  <c r="A15799" i="1"/>
  <c r="E15799" i="1"/>
  <c r="G15799" i="1"/>
  <c r="B15800" i="1"/>
  <c r="A15800" i="1"/>
  <c r="E15800" i="1"/>
  <c r="G15800" i="1"/>
  <c r="B15801" i="1"/>
  <c r="A15801" i="1"/>
  <c r="E15801" i="1"/>
  <c r="G15801" i="1"/>
  <c r="A15802" i="1"/>
  <c r="E15802" i="1"/>
  <c r="A15803" i="1"/>
  <c r="E15803" i="1"/>
  <c r="A15804" i="1"/>
  <c r="E15804" i="1"/>
  <c r="A15805" i="1"/>
  <c r="E15805" i="1"/>
  <c r="A15806" i="1"/>
  <c r="E15806" i="1"/>
  <c r="B15807" i="1"/>
  <c r="A15807" i="1"/>
  <c r="E15807" i="1"/>
  <c r="B15808" i="1"/>
  <c r="A15808" i="1"/>
  <c r="E15808" i="1"/>
  <c r="B15809" i="1"/>
  <c r="A15809" i="1"/>
  <c r="E15809" i="1"/>
  <c r="B15810" i="1"/>
  <c r="A15810" i="1"/>
  <c r="E15810" i="1"/>
  <c r="B15811" i="1"/>
  <c r="A15811" i="1"/>
  <c r="E15811" i="1"/>
  <c r="B15812" i="1"/>
  <c r="A15812" i="1"/>
  <c r="E15812" i="1"/>
  <c r="B15813" i="1"/>
  <c r="A15813" i="1"/>
  <c r="E15813" i="1"/>
  <c r="B15814" i="1"/>
  <c r="A15814" i="1"/>
  <c r="E15814" i="1"/>
  <c r="B15815" i="1"/>
  <c r="A15815" i="1"/>
  <c r="E15815" i="1"/>
  <c r="B15816" i="1"/>
  <c r="A15816" i="1"/>
  <c r="E15816" i="1"/>
  <c r="B15817" i="1"/>
  <c r="A15817" i="1"/>
  <c r="E15817" i="1"/>
  <c r="B15818" i="1"/>
  <c r="A15818" i="1"/>
  <c r="E15818" i="1"/>
  <c r="B15819" i="1"/>
  <c r="A15819" i="1"/>
  <c r="E15819" i="1"/>
  <c r="B15820" i="1"/>
  <c r="A15820" i="1"/>
  <c r="E15820" i="1"/>
  <c r="B15821" i="1"/>
  <c r="A15821" i="1"/>
  <c r="E15821" i="1"/>
  <c r="B15822" i="1"/>
  <c r="A15822" i="1"/>
  <c r="E15822" i="1"/>
  <c r="B15823" i="1"/>
  <c r="A15823" i="1"/>
  <c r="E15823" i="1"/>
  <c r="B15824" i="1"/>
  <c r="A15824" i="1"/>
  <c r="E15824" i="1"/>
  <c r="B15825" i="1"/>
  <c r="A15825" i="1"/>
  <c r="E15825" i="1"/>
  <c r="B15826" i="1"/>
  <c r="A15826" i="1"/>
  <c r="E15826" i="1"/>
  <c r="B15827" i="1"/>
  <c r="A15827" i="1"/>
  <c r="E15827" i="1"/>
  <c r="B15828" i="1"/>
  <c r="A15828" i="1"/>
  <c r="E15828" i="1"/>
  <c r="B15829" i="1"/>
  <c r="A15829" i="1"/>
  <c r="E15829" i="1"/>
  <c r="B15830" i="1"/>
  <c r="A15830" i="1"/>
  <c r="E15830" i="1"/>
  <c r="B15831" i="1"/>
  <c r="A15831" i="1"/>
  <c r="E15831" i="1"/>
  <c r="B15832" i="1"/>
  <c r="A15832" i="1"/>
  <c r="E15832" i="1"/>
  <c r="B15833" i="1"/>
  <c r="A15833" i="1"/>
  <c r="E15833" i="1"/>
  <c r="B15834" i="1"/>
  <c r="A15834" i="1"/>
  <c r="E15834" i="1"/>
  <c r="B15835" i="1"/>
  <c r="A15835" i="1"/>
  <c r="E15835" i="1"/>
  <c r="B15836" i="1"/>
  <c r="A15836" i="1"/>
  <c r="E15836" i="1"/>
  <c r="B15837" i="1"/>
  <c r="A15837" i="1"/>
  <c r="E15837" i="1"/>
  <c r="B15838" i="1"/>
  <c r="A15838" i="1"/>
  <c r="E15838" i="1"/>
  <c r="B15839" i="1"/>
  <c r="A15839" i="1"/>
  <c r="E15839" i="1"/>
  <c r="B15840" i="1"/>
  <c r="A15840" i="1"/>
  <c r="E15840" i="1"/>
  <c r="B15841" i="1"/>
  <c r="A15841" i="1"/>
  <c r="E15841" i="1"/>
  <c r="B15842" i="1"/>
  <c r="A15842" i="1"/>
  <c r="E15842" i="1"/>
  <c r="B15843" i="1"/>
  <c r="A15843" i="1"/>
  <c r="E15843" i="1"/>
  <c r="B15844" i="1"/>
  <c r="A15844" i="1"/>
  <c r="E15844" i="1"/>
  <c r="B15845" i="1"/>
  <c r="A15845" i="1"/>
  <c r="E15845" i="1"/>
  <c r="B15846" i="1"/>
  <c r="A15846" i="1"/>
  <c r="E15846" i="1"/>
  <c r="B15847" i="1"/>
  <c r="A15847" i="1"/>
  <c r="E15847" i="1"/>
  <c r="B15848" i="1"/>
  <c r="A15848" i="1"/>
  <c r="E15848" i="1"/>
  <c r="G15848" i="1"/>
  <c r="B15849" i="1"/>
  <c r="A15849" i="1"/>
  <c r="E15849" i="1"/>
  <c r="B15850" i="1"/>
  <c r="A15850" i="1"/>
  <c r="E15850" i="1"/>
  <c r="B15851" i="1"/>
  <c r="A15851" i="1"/>
  <c r="E15851" i="1"/>
  <c r="B15852" i="1"/>
  <c r="A15852" i="1"/>
  <c r="E15852" i="1"/>
  <c r="B15853" i="1"/>
  <c r="A15853" i="1"/>
  <c r="E15853" i="1"/>
  <c r="B15854" i="1"/>
  <c r="A15854" i="1"/>
  <c r="E15854" i="1"/>
  <c r="B15855" i="1"/>
  <c r="A15855" i="1"/>
  <c r="E15855" i="1"/>
  <c r="B15856" i="1"/>
  <c r="A15856" i="1"/>
  <c r="E15856" i="1"/>
  <c r="B15857" i="1"/>
  <c r="A15857" i="1"/>
  <c r="E15857" i="1"/>
  <c r="B15858" i="1"/>
  <c r="A15858" i="1"/>
  <c r="E15858" i="1"/>
  <c r="B15859" i="1"/>
  <c r="A15859" i="1"/>
  <c r="E15859" i="1"/>
  <c r="B15860" i="1"/>
  <c r="A15860" i="1"/>
  <c r="E15860" i="1"/>
  <c r="B15861" i="1"/>
  <c r="A15861" i="1"/>
  <c r="E15861" i="1"/>
  <c r="B15862" i="1"/>
  <c r="A15862" i="1"/>
  <c r="E15862" i="1"/>
  <c r="B15863" i="1"/>
  <c r="A15863" i="1"/>
  <c r="E15863" i="1"/>
  <c r="B15864" i="1"/>
  <c r="A15864" i="1"/>
  <c r="E15864" i="1"/>
  <c r="B15865" i="1"/>
  <c r="A15865" i="1"/>
  <c r="E15865" i="1"/>
  <c r="B15866" i="1"/>
  <c r="A15866" i="1"/>
  <c r="E15866" i="1"/>
  <c r="B15867" i="1"/>
  <c r="A15867" i="1"/>
  <c r="E15867" i="1"/>
  <c r="B15868" i="1"/>
  <c r="A15868" i="1"/>
  <c r="E15868" i="1"/>
  <c r="B15869" i="1"/>
  <c r="A15869" i="1"/>
  <c r="E15869" i="1"/>
  <c r="B15870" i="1"/>
  <c r="A15870" i="1"/>
  <c r="E15870" i="1"/>
  <c r="B15871" i="1"/>
  <c r="A15871" i="1"/>
  <c r="E15871" i="1"/>
  <c r="B15872" i="1"/>
  <c r="A15872" i="1"/>
  <c r="E15872" i="1"/>
  <c r="B15873" i="1"/>
  <c r="A15873" i="1"/>
  <c r="E15873" i="1"/>
  <c r="B15874" i="1"/>
  <c r="A15874" i="1"/>
  <c r="E15874" i="1"/>
  <c r="B15875" i="1"/>
  <c r="A15875" i="1"/>
  <c r="E15875" i="1"/>
  <c r="B15876" i="1"/>
  <c r="A15876" i="1"/>
  <c r="E15876" i="1"/>
  <c r="B15877" i="1"/>
  <c r="A15877" i="1"/>
  <c r="E15877" i="1"/>
  <c r="B15878" i="1"/>
  <c r="A15878" i="1"/>
  <c r="E15878" i="1"/>
  <c r="B15879" i="1"/>
  <c r="A15879" i="1"/>
  <c r="E15879" i="1"/>
  <c r="B15880" i="1"/>
  <c r="A15880" i="1"/>
  <c r="E15880" i="1"/>
  <c r="B15881" i="1"/>
  <c r="A15881" i="1"/>
  <c r="E15881" i="1"/>
  <c r="B15882" i="1"/>
  <c r="A15882" i="1"/>
  <c r="E15882" i="1"/>
  <c r="B15883" i="1"/>
  <c r="A15883" i="1"/>
  <c r="E15883" i="1"/>
  <c r="B15884" i="1"/>
  <c r="A15884" i="1"/>
  <c r="E15884" i="1"/>
  <c r="B15885" i="1"/>
  <c r="A15885" i="1"/>
  <c r="E15885" i="1"/>
  <c r="B15886" i="1"/>
  <c r="A15886" i="1"/>
  <c r="E15886" i="1"/>
  <c r="B15887" i="1"/>
  <c r="A15887" i="1"/>
  <c r="E15887" i="1"/>
  <c r="B15888" i="1"/>
  <c r="A15888" i="1"/>
  <c r="E15888" i="1"/>
  <c r="B15889" i="1"/>
  <c r="A15889" i="1"/>
  <c r="E15889" i="1"/>
  <c r="B15890" i="1"/>
  <c r="A15890" i="1"/>
  <c r="E15890" i="1"/>
  <c r="B15891" i="1"/>
  <c r="A15891" i="1"/>
  <c r="E15891" i="1"/>
  <c r="B15892" i="1"/>
  <c r="A15892" i="1"/>
  <c r="E15892" i="1"/>
  <c r="B15893" i="1"/>
  <c r="A15893" i="1"/>
  <c r="E15893" i="1"/>
  <c r="B15894" i="1"/>
  <c r="A15894" i="1"/>
  <c r="E15894" i="1"/>
  <c r="B15895" i="1"/>
  <c r="A15895" i="1"/>
  <c r="E15895" i="1"/>
  <c r="B15896" i="1"/>
  <c r="A15896" i="1"/>
  <c r="E15896" i="1"/>
  <c r="B15897" i="1"/>
  <c r="A15897" i="1"/>
  <c r="E15897" i="1"/>
  <c r="B15898" i="1"/>
  <c r="A15898" i="1"/>
  <c r="E15898" i="1"/>
  <c r="B15899" i="1"/>
  <c r="A15899" i="1"/>
  <c r="E15899" i="1"/>
  <c r="B15900" i="1"/>
  <c r="A15900" i="1"/>
  <c r="E15900" i="1"/>
  <c r="B15901" i="1"/>
  <c r="A15901" i="1"/>
  <c r="E15901" i="1"/>
  <c r="B15902" i="1"/>
  <c r="A15902" i="1"/>
  <c r="E15902" i="1"/>
  <c r="B15903" i="1"/>
  <c r="A15903" i="1"/>
  <c r="E15903" i="1"/>
  <c r="B15904" i="1"/>
  <c r="A15904" i="1"/>
  <c r="E15904" i="1"/>
  <c r="B15905" i="1"/>
  <c r="A15905" i="1"/>
  <c r="E15905" i="1"/>
  <c r="B15906" i="1"/>
  <c r="A15906" i="1"/>
  <c r="E15906" i="1"/>
  <c r="B15907" i="1"/>
  <c r="A15907" i="1"/>
  <c r="E15907" i="1"/>
  <c r="B15908" i="1"/>
  <c r="A15908" i="1"/>
  <c r="E15908" i="1"/>
  <c r="B15909" i="1"/>
  <c r="A15909" i="1"/>
  <c r="E15909" i="1"/>
  <c r="B15910" i="1"/>
  <c r="A15910" i="1"/>
  <c r="E15910" i="1"/>
  <c r="B15911" i="1"/>
  <c r="A15911" i="1"/>
  <c r="E15911" i="1"/>
  <c r="B15912" i="1"/>
  <c r="A15912" i="1"/>
  <c r="E15912" i="1"/>
  <c r="B15913" i="1"/>
  <c r="A15913" i="1"/>
  <c r="E15913" i="1"/>
  <c r="B15914" i="1"/>
  <c r="A15914" i="1"/>
  <c r="E15914" i="1"/>
  <c r="B15915" i="1"/>
  <c r="A15915" i="1"/>
  <c r="E15915" i="1"/>
  <c r="B15916" i="1"/>
  <c r="A15916" i="1"/>
  <c r="E15916" i="1"/>
  <c r="B15917" i="1"/>
  <c r="A15917" i="1"/>
  <c r="E15917" i="1"/>
  <c r="B15918" i="1"/>
  <c r="A15918" i="1"/>
  <c r="E15918" i="1"/>
  <c r="B15919" i="1"/>
  <c r="A15919" i="1"/>
  <c r="E15919" i="1"/>
  <c r="B15920" i="1"/>
  <c r="A15920" i="1"/>
  <c r="E15920" i="1"/>
  <c r="B15921" i="1"/>
  <c r="A15921" i="1"/>
  <c r="E15921" i="1"/>
  <c r="B15922" i="1"/>
  <c r="A15922" i="1"/>
  <c r="E15922" i="1"/>
  <c r="B15923" i="1"/>
  <c r="A15923" i="1"/>
  <c r="E15923" i="1"/>
  <c r="B15924" i="1"/>
  <c r="A15924" i="1"/>
  <c r="E15924" i="1"/>
  <c r="B15925" i="1"/>
  <c r="A15925" i="1"/>
  <c r="E15925" i="1"/>
  <c r="B15926" i="1"/>
  <c r="A15926" i="1"/>
  <c r="E15926" i="1"/>
  <c r="B15927" i="1"/>
  <c r="A15927" i="1"/>
  <c r="E15927" i="1"/>
  <c r="B15928" i="1"/>
  <c r="A15928" i="1"/>
  <c r="E15928" i="1"/>
  <c r="B15929" i="1"/>
  <c r="A15929" i="1"/>
  <c r="E15929" i="1"/>
  <c r="B15930" i="1"/>
  <c r="A15930" i="1"/>
  <c r="E15930" i="1"/>
  <c r="B15931" i="1"/>
  <c r="A15931" i="1"/>
  <c r="E15931" i="1"/>
  <c r="B15932" i="1"/>
  <c r="A15932" i="1"/>
  <c r="E15932" i="1"/>
  <c r="B15933" i="1"/>
  <c r="A15933" i="1"/>
  <c r="E15933" i="1"/>
  <c r="B15934" i="1"/>
  <c r="A15934" i="1"/>
  <c r="E15934" i="1"/>
  <c r="B15935" i="1"/>
  <c r="A15935" i="1"/>
  <c r="E15935" i="1"/>
  <c r="B15936" i="1"/>
  <c r="A15936" i="1"/>
  <c r="E15936" i="1"/>
  <c r="B15937" i="1"/>
  <c r="A15937" i="1"/>
  <c r="E15937" i="1"/>
  <c r="B15938" i="1"/>
  <c r="A15938" i="1"/>
  <c r="E15938" i="1"/>
  <c r="B15939" i="1"/>
  <c r="A15939" i="1"/>
  <c r="E15939" i="1"/>
  <c r="B15940" i="1"/>
  <c r="A15940" i="1"/>
  <c r="E15940" i="1"/>
  <c r="B15941" i="1"/>
  <c r="A15941" i="1"/>
  <c r="E15941" i="1"/>
  <c r="B15942" i="1"/>
  <c r="A15942" i="1"/>
  <c r="E15942" i="1"/>
  <c r="B15943" i="1"/>
  <c r="A15943" i="1"/>
  <c r="E15943" i="1"/>
  <c r="B15944" i="1"/>
  <c r="A15944" i="1"/>
  <c r="E15944" i="1"/>
  <c r="B15945" i="1"/>
  <c r="A15945" i="1"/>
  <c r="E15945" i="1"/>
  <c r="B15946" i="1"/>
  <c r="A15946" i="1"/>
  <c r="E15946" i="1"/>
  <c r="B15947" i="1"/>
  <c r="A15947" i="1"/>
  <c r="E15947" i="1"/>
  <c r="B15948" i="1"/>
  <c r="A15948" i="1"/>
  <c r="E15948" i="1"/>
  <c r="B15949" i="1"/>
  <c r="A15949" i="1"/>
  <c r="E15949" i="1"/>
  <c r="B15950" i="1"/>
  <c r="A15950" i="1"/>
  <c r="E15950" i="1"/>
  <c r="B15951" i="1"/>
  <c r="A15951" i="1"/>
  <c r="E15951" i="1"/>
  <c r="B15952" i="1"/>
  <c r="A15952" i="1"/>
  <c r="E15952" i="1"/>
  <c r="B15953" i="1"/>
  <c r="A15953" i="1"/>
  <c r="E15953" i="1"/>
  <c r="B15954" i="1"/>
  <c r="A15954" i="1"/>
  <c r="E15954" i="1"/>
  <c r="B15955" i="1"/>
  <c r="A15955" i="1"/>
  <c r="E15955" i="1"/>
  <c r="B15956" i="1"/>
  <c r="A15956" i="1"/>
  <c r="E15956" i="1"/>
  <c r="B15957" i="1"/>
  <c r="A15957" i="1"/>
  <c r="E15957" i="1"/>
  <c r="B15958" i="1"/>
  <c r="A15958" i="1"/>
  <c r="E15958" i="1"/>
  <c r="B15959" i="1"/>
  <c r="A15959" i="1"/>
  <c r="E15959" i="1"/>
  <c r="B15960" i="1"/>
  <c r="A15960" i="1"/>
  <c r="E15960" i="1"/>
  <c r="B15961" i="1"/>
  <c r="A15961" i="1"/>
  <c r="E15961" i="1"/>
  <c r="B15962" i="1"/>
  <c r="A15962" i="1"/>
  <c r="E15962" i="1"/>
  <c r="B15963" i="1"/>
  <c r="A15963" i="1"/>
  <c r="E15963" i="1"/>
  <c r="B15964" i="1"/>
  <c r="A15964" i="1"/>
  <c r="E15964" i="1"/>
  <c r="B15965" i="1"/>
  <c r="A15965" i="1"/>
  <c r="E15965" i="1"/>
  <c r="B15966" i="1"/>
  <c r="A15966" i="1"/>
  <c r="E15966" i="1"/>
  <c r="B15967" i="1"/>
  <c r="A15967" i="1"/>
  <c r="E15967" i="1"/>
  <c r="B15968" i="1"/>
  <c r="A15968" i="1"/>
  <c r="E15968" i="1"/>
  <c r="B15969" i="1"/>
  <c r="A15969" i="1"/>
  <c r="E15969" i="1"/>
  <c r="B15970" i="1"/>
  <c r="A15970" i="1"/>
  <c r="E15970" i="1"/>
  <c r="B15971" i="1"/>
  <c r="A15971" i="1"/>
  <c r="E15971" i="1"/>
  <c r="B15972" i="1"/>
  <c r="A15972" i="1"/>
  <c r="E15972" i="1"/>
  <c r="B15973" i="1"/>
  <c r="A15973" i="1"/>
  <c r="E15973" i="1"/>
  <c r="B15974" i="1"/>
  <c r="A15974" i="1"/>
  <c r="E15974" i="1"/>
  <c r="B15975" i="1"/>
  <c r="A15975" i="1"/>
  <c r="E15975" i="1"/>
  <c r="B15976" i="1"/>
  <c r="A15976" i="1"/>
  <c r="E15976" i="1"/>
  <c r="B15977" i="1"/>
  <c r="A15977" i="1"/>
  <c r="E15977" i="1"/>
  <c r="B15978" i="1"/>
  <c r="A15978" i="1"/>
  <c r="E15978" i="1"/>
  <c r="B15979" i="1"/>
  <c r="A15979" i="1"/>
  <c r="E15979" i="1"/>
  <c r="B15980" i="1"/>
  <c r="A15980" i="1"/>
  <c r="E15980" i="1"/>
  <c r="B15981" i="1"/>
  <c r="A15981" i="1"/>
  <c r="E15981" i="1"/>
  <c r="B15982" i="1"/>
  <c r="A15982" i="1"/>
  <c r="E15982" i="1"/>
  <c r="B15983" i="1"/>
  <c r="A15983" i="1"/>
  <c r="E15983" i="1"/>
  <c r="B15984" i="1"/>
  <c r="A15984" i="1"/>
  <c r="E15984" i="1"/>
  <c r="B15985" i="1"/>
  <c r="A15985" i="1"/>
  <c r="E15985" i="1"/>
  <c r="B15986" i="1"/>
  <c r="A15986" i="1"/>
  <c r="E15986" i="1"/>
  <c r="B15987" i="1"/>
  <c r="A15987" i="1"/>
  <c r="E15987" i="1"/>
  <c r="B15988" i="1"/>
  <c r="A15988" i="1"/>
  <c r="E15988" i="1"/>
  <c r="B15989" i="1"/>
  <c r="A15989" i="1"/>
  <c r="E15989" i="1"/>
  <c r="B15990" i="1"/>
  <c r="A15990" i="1"/>
  <c r="E15990" i="1"/>
  <c r="B15991" i="1"/>
  <c r="A15991" i="1"/>
  <c r="E15991" i="1"/>
  <c r="B15992" i="1"/>
  <c r="A15992" i="1"/>
  <c r="E15992" i="1"/>
  <c r="B15993" i="1"/>
  <c r="A15993" i="1"/>
  <c r="E15993" i="1"/>
  <c r="B15994" i="1"/>
  <c r="A15994" i="1"/>
  <c r="E15994" i="1"/>
  <c r="B15995" i="1"/>
  <c r="A15995" i="1"/>
  <c r="E15995" i="1"/>
  <c r="B15996" i="1"/>
  <c r="A15996" i="1"/>
  <c r="E15996" i="1"/>
  <c r="B15997" i="1"/>
  <c r="A15997" i="1"/>
  <c r="E15997" i="1"/>
  <c r="B15998" i="1"/>
  <c r="A15998" i="1"/>
  <c r="E15998" i="1"/>
  <c r="B15999" i="1"/>
  <c r="A15999" i="1"/>
  <c r="E15999" i="1"/>
  <c r="B16000" i="1"/>
  <c r="A16000" i="1"/>
  <c r="E16000" i="1"/>
  <c r="B16001" i="1"/>
  <c r="A16001" i="1"/>
  <c r="E16001" i="1"/>
  <c r="B16002" i="1"/>
  <c r="A16002" i="1"/>
  <c r="E16002" i="1"/>
  <c r="B16003" i="1"/>
  <c r="A16003" i="1"/>
  <c r="E16003" i="1"/>
  <c r="B16004" i="1"/>
  <c r="A16004" i="1"/>
  <c r="E16004" i="1"/>
  <c r="B16005" i="1"/>
  <c r="A16005" i="1"/>
  <c r="E16005" i="1"/>
  <c r="B16006" i="1"/>
  <c r="A16006" i="1"/>
  <c r="E16006" i="1"/>
  <c r="B16007" i="1"/>
  <c r="A16007" i="1"/>
  <c r="E16007" i="1"/>
  <c r="B16008" i="1"/>
  <c r="A16008" i="1"/>
  <c r="E16008" i="1"/>
  <c r="B16009" i="1"/>
  <c r="A16009" i="1"/>
  <c r="E16009" i="1"/>
  <c r="B16010" i="1"/>
  <c r="A16010" i="1"/>
  <c r="E16010" i="1"/>
  <c r="B16011" i="1"/>
  <c r="A16011" i="1"/>
  <c r="E16011" i="1"/>
  <c r="B16012" i="1"/>
  <c r="A16012" i="1"/>
  <c r="E16012" i="1"/>
  <c r="B16013" i="1"/>
  <c r="A16013" i="1"/>
  <c r="E16013" i="1"/>
  <c r="B16014" i="1"/>
  <c r="A16014" i="1"/>
  <c r="E16014" i="1"/>
  <c r="B16015" i="1"/>
  <c r="A16015" i="1"/>
  <c r="E16015" i="1"/>
  <c r="B16016" i="1"/>
  <c r="A16016" i="1"/>
  <c r="E16016" i="1"/>
  <c r="B16017" i="1"/>
  <c r="A16017" i="1"/>
  <c r="E16017" i="1"/>
  <c r="B16018" i="1"/>
  <c r="A16018" i="1"/>
  <c r="E16018" i="1"/>
  <c r="B16019" i="1"/>
  <c r="A16019" i="1"/>
  <c r="E16019" i="1"/>
  <c r="B16020" i="1"/>
  <c r="A16020" i="1"/>
  <c r="E16020" i="1"/>
  <c r="B16021" i="1"/>
  <c r="A16021" i="1"/>
  <c r="E16021" i="1"/>
  <c r="B16022" i="1"/>
  <c r="A16022" i="1"/>
  <c r="E16022" i="1"/>
  <c r="B16023" i="1"/>
  <c r="A16023" i="1"/>
  <c r="E16023" i="1"/>
  <c r="B16024" i="1"/>
  <c r="A16024" i="1"/>
  <c r="E16024" i="1"/>
  <c r="B16025" i="1"/>
  <c r="A16025" i="1"/>
  <c r="E16025" i="1"/>
  <c r="B16026" i="1"/>
  <c r="A16026" i="1"/>
  <c r="E16026" i="1"/>
  <c r="B16027" i="1"/>
  <c r="A16027" i="1"/>
  <c r="E16027" i="1"/>
  <c r="B16028" i="1"/>
  <c r="A16028" i="1"/>
  <c r="E16028" i="1"/>
  <c r="B16029" i="1"/>
  <c r="A16029" i="1"/>
  <c r="E16029" i="1"/>
  <c r="B16030" i="1"/>
  <c r="A16030" i="1"/>
  <c r="E16030" i="1"/>
  <c r="B16031" i="1"/>
  <c r="A16031" i="1"/>
  <c r="E16031" i="1"/>
  <c r="B16032" i="1"/>
  <c r="A16032" i="1"/>
  <c r="E16032" i="1"/>
  <c r="B16033" i="1"/>
  <c r="A16033" i="1"/>
  <c r="E16033" i="1"/>
  <c r="B16034" i="1"/>
  <c r="A16034" i="1"/>
  <c r="E16034" i="1"/>
  <c r="B16035" i="1"/>
  <c r="A16035" i="1"/>
  <c r="E16035" i="1"/>
  <c r="B16036" i="1"/>
  <c r="A16036" i="1"/>
  <c r="E16036" i="1"/>
  <c r="B16037" i="1"/>
  <c r="A16037" i="1"/>
  <c r="E16037" i="1"/>
  <c r="B16038" i="1"/>
  <c r="A16038" i="1"/>
  <c r="E16038" i="1"/>
  <c r="B16039" i="1"/>
  <c r="A16039" i="1"/>
  <c r="E16039" i="1"/>
  <c r="B16040" i="1"/>
  <c r="A16040" i="1"/>
  <c r="E16040" i="1"/>
  <c r="B16041" i="1"/>
  <c r="A16041" i="1"/>
  <c r="E16041" i="1"/>
  <c r="B16042" i="1"/>
  <c r="A16042" i="1"/>
  <c r="E16042" i="1"/>
  <c r="B16043" i="1"/>
  <c r="A16043" i="1"/>
  <c r="E16043" i="1"/>
  <c r="B16044" i="1"/>
  <c r="A16044" i="1"/>
  <c r="E16044" i="1"/>
  <c r="B16045" i="1"/>
  <c r="A16045" i="1"/>
  <c r="E16045" i="1"/>
  <c r="B16046" i="1"/>
  <c r="A16046" i="1"/>
  <c r="E16046" i="1"/>
  <c r="B16047" i="1"/>
  <c r="A16047" i="1"/>
  <c r="E16047" i="1"/>
  <c r="B16048" i="1"/>
  <c r="A16048" i="1"/>
  <c r="E16048" i="1"/>
  <c r="B16049" i="1"/>
  <c r="A16049" i="1"/>
  <c r="E16049" i="1"/>
  <c r="B16050" i="1"/>
  <c r="A16050" i="1"/>
  <c r="E16050" i="1"/>
  <c r="B16051" i="1"/>
  <c r="A16051" i="1"/>
  <c r="E16051" i="1"/>
  <c r="B16052" i="1"/>
  <c r="A16052" i="1"/>
  <c r="E16052" i="1"/>
  <c r="B16053" i="1"/>
  <c r="A16053" i="1"/>
  <c r="E16053" i="1"/>
  <c r="B16054" i="1"/>
  <c r="A16054" i="1"/>
  <c r="E16054" i="1"/>
  <c r="B16055" i="1"/>
  <c r="A16055" i="1"/>
  <c r="E16055" i="1"/>
  <c r="B16056" i="1"/>
  <c r="A16056" i="1"/>
  <c r="E16056" i="1"/>
  <c r="B16057" i="1"/>
  <c r="A16057" i="1"/>
  <c r="E16057" i="1"/>
  <c r="B16058" i="1"/>
  <c r="A16058" i="1"/>
  <c r="E16058" i="1"/>
  <c r="B16059" i="1"/>
  <c r="A16059" i="1"/>
  <c r="E16059" i="1"/>
  <c r="B16060" i="1"/>
  <c r="A16060" i="1"/>
  <c r="E16060" i="1"/>
  <c r="B16061" i="1"/>
  <c r="A16061" i="1"/>
  <c r="E16061" i="1"/>
  <c r="B16062" i="1"/>
  <c r="A16062" i="1"/>
  <c r="E16062" i="1"/>
  <c r="B16063" i="1"/>
  <c r="A16063" i="1"/>
  <c r="E16063" i="1"/>
  <c r="B16064" i="1"/>
  <c r="A16064" i="1"/>
  <c r="E16064" i="1"/>
  <c r="B16065" i="1"/>
  <c r="A16065" i="1"/>
  <c r="E16065" i="1"/>
  <c r="B16066" i="1"/>
  <c r="A16066" i="1"/>
  <c r="E16066" i="1"/>
  <c r="B16067" i="1"/>
  <c r="A16067" i="1"/>
  <c r="E16067" i="1"/>
  <c r="B16068" i="1"/>
  <c r="A16068" i="1"/>
  <c r="E16068" i="1"/>
  <c r="B16069" i="1"/>
  <c r="A16069" i="1"/>
  <c r="E16069" i="1"/>
  <c r="B16070" i="1"/>
  <c r="A16070" i="1"/>
  <c r="E16070" i="1"/>
  <c r="B16071" i="1"/>
  <c r="A16071" i="1"/>
  <c r="E16071" i="1"/>
  <c r="B16072" i="1"/>
  <c r="A16072" i="1"/>
  <c r="E16072" i="1"/>
  <c r="B16073" i="1"/>
  <c r="A16073" i="1"/>
  <c r="E16073" i="1"/>
  <c r="B16074" i="1"/>
  <c r="A16074" i="1"/>
  <c r="E16074" i="1"/>
  <c r="B16075" i="1"/>
  <c r="A16075" i="1"/>
  <c r="E16075" i="1"/>
  <c r="B16076" i="1"/>
  <c r="A16076" i="1"/>
  <c r="E16076" i="1"/>
  <c r="B16077" i="1"/>
  <c r="A16077" i="1"/>
  <c r="E16077" i="1"/>
  <c r="B16078" i="1"/>
  <c r="A16078" i="1"/>
  <c r="E16078" i="1"/>
  <c r="B16079" i="1"/>
  <c r="A16079" i="1"/>
  <c r="E16079" i="1"/>
  <c r="B16080" i="1"/>
  <c r="A16080" i="1"/>
  <c r="E16080" i="1"/>
  <c r="B16081" i="1"/>
  <c r="A16081" i="1"/>
  <c r="E16081" i="1"/>
  <c r="B16082" i="1"/>
  <c r="A16082" i="1"/>
  <c r="E16082" i="1"/>
  <c r="B16083" i="1"/>
  <c r="A16083" i="1"/>
  <c r="E16083" i="1"/>
  <c r="B16084" i="1"/>
  <c r="A16084" i="1"/>
  <c r="E16084" i="1"/>
  <c r="B16085" i="1"/>
  <c r="A16085" i="1"/>
  <c r="E16085" i="1"/>
  <c r="B16086" i="1"/>
  <c r="A16086" i="1"/>
  <c r="E16086" i="1"/>
  <c r="B16087" i="1"/>
  <c r="A16087" i="1"/>
  <c r="E16087" i="1"/>
  <c r="B16088" i="1"/>
  <c r="A16088" i="1"/>
  <c r="E16088" i="1"/>
  <c r="B16089" i="1"/>
  <c r="A16089" i="1"/>
  <c r="E16089" i="1"/>
  <c r="B16090" i="1"/>
  <c r="A16090" i="1"/>
  <c r="E16090" i="1"/>
  <c r="B16091" i="1"/>
  <c r="A16091" i="1"/>
  <c r="E16091" i="1"/>
  <c r="B16092" i="1"/>
  <c r="A16092" i="1"/>
  <c r="E16092" i="1"/>
  <c r="B16093" i="1"/>
  <c r="A16093" i="1"/>
  <c r="E16093" i="1"/>
  <c r="B16094" i="1"/>
  <c r="A16094" i="1"/>
  <c r="E16094" i="1"/>
  <c r="B16095" i="1"/>
  <c r="A16095" i="1"/>
  <c r="E16095" i="1"/>
  <c r="B16096" i="1"/>
  <c r="A16096" i="1"/>
  <c r="E16096" i="1"/>
  <c r="B16097" i="1"/>
  <c r="A16097" i="1"/>
  <c r="E16097" i="1"/>
  <c r="B16098" i="1"/>
  <c r="A16098" i="1"/>
  <c r="E16098" i="1"/>
  <c r="B16099" i="1"/>
  <c r="A16099" i="1"/>
  <c r="E16099" i="1"/>
  <c r="B16100" i="1"/>
  <c r="A16100" i="1"/>
  <c r="E16100" i="1"/>
  <c r="B16101" i="1"/>
  <c r="A16101" i="1"/>
  <c r="E16101" i="1"/>
  <c r="B16102" i="1"/>
  <c r="A16102" i="1"/>
  <c r="E16102" i="1"/>
  <c r="B16103" i="1"/>
  <c r="A16103" i="1"/>
  <c r="E16103" i="1"/>
  <c r="B16104" i="1"/>
  <c r="A16104" i="1"/>
  <c r="E16104" i="1"/>
  <c r="B16105" i="1"/>
  <c r="A16105" i="1"/>
  <c r="E16105" i="1"/>
  <c r="B16106" i="1"/>
  <c r="A16106" i="1"/>
  <c r="E16106" i="1"/>
  <c r="B16107" i="1"/>
  <c r="A16107" i="1"/>
  <c r="E16107" i="1"/>
  <c r="B16108" i="1"/>
  <c r="A16108" i="1"/>
  <c r="E16108" i="1"/>
  <c r="B16109" i="1"/>
  <c r="A16109" i="1"/>
  <c r="E16109" i="1"/>
  <c r="B16110" i="1"/>
  <c r="A16110" i="1"/>
  <c r="E16110" i="1"/>
  <c r="B16111" i="1"/>
  <c r="A16111" i="1"/>
  <c r="E16111" i="1"/>
  <c r="B16112" i="1"/>
  <c r="A16112" i="1"/>
  <c r="E16112" i="1"/>
  <c r="B16113" i="1"/>
  <c r="A16113" i="1"/>
  <c r="E16113" i="1"/>
  <c r="B16114" i="1"/>
  <c r="A16114" i="1"/>
  <c r="E16114" i="1"/>
  <c r="B16115" i="1"/>
  <c r="A16115" i="1"/>
  <c r="E16115" i="1"/>
  <c r="B16116" i="1"/>
  <c r="A16116" i="1"/>
  <c r="E16116" i="1"/>
  <c r="B16117" i="1"/>
  <c r="A16117" i="1"/>
  <c r="E16117" i="1"/>
  <c r="B16118" i="1"/>
  <c r="A16118" i="1"/>
  <c r="E16118" i="1"/>
  <c r="B16119" i="1"/>
  <c r="A16119" i="1"/>
  <c r="E16119" i="1"/>
  <c r="B16120" i="1"/>
  <c r="A16120" i="1"/>
  <c r="E16120" i="1"/>
  <c r="B16121" i="1"/>
  <c r="A16121" i="1"/>
  <c r="E16121" i="1"/>
  <c r="B16122" i="1"/>
  <c r="A16122" i="1"/>
  <c r="E16122" i="1"/>
  <c r="B16123" i="1"/>
  <c r="A16123" i="1"/>
  <c r="E16123" i="1"/>
  <c r="B16124" i="1"/>
  <c r="A16124" i="1"/>
  <c r="E16124" i="1"/>
  <c r="B16125" i="1"/>
  <c r="A16125" i="1"/>
  <c r="E16125" i="1"/>
  <c r="B16126" i="1"/>
  <c r="A16126" i="1"/>
  <c r="E16126" i="1"/>
  <c r="B16127" i="1"/>
  <c r="A16127" i="1"/>
  <c r="E16127" i="1"/>
  <c r="F16127" i="1"/>
  <c r="B16128" i="1"/>
  <c r="A16128" i="1"/>
  <c r="E16128" i="1"/>
  <c r="B16129" i="1"/>
  <c r="A16129" i="1"/>
  <c r="E16129" i="1"/>
  <c r="B16130" i="1"/>
  <c r="A16130" i="1"/>
  <c r="E16130" i="1"/>
  <c r="B16131" i="1"/>
  <c r="A16131" i="1"/>
  <c r="E16131" i="1"/>
  <c r="B16132" i="1"/>
  <c r="A16132" i="1"/>
  <c r="E16132" i="1"/>
  <c r="B16133" i="1"/>
  <c r="A16133" i="1"/>
  <c r="E16133" i="1"/>
  <c r="B16134" i="1"/>
  <c r="A16134" i="1"/>
  <c r="E16134" i="1"/>
  <c r="B16135" i="1"/>
  <c r="A16135" i="1"/>
  <c r="E16135" i="1"/>
  <c r="B16136" i="1"/>
  <c r="A16136" i="1"/>
  <c r="E16136" i="1"/>
  <c r="B16137" i="1"/>
  <c r="A16137" i="1"/>
  <c r="E16137" i="1"/>
  <c r="B16138" i="1"/>
  <c r="A16138" i="1"/>
  <c r="E16138" i="1"/>
  <c r="B16139" i="1"/>
  <c r="A16139" i="1"/>
  <c r="E16139" i="1"/>
  <c r="B16140" i="1"/>
  <c r="A16140" i="1"/>
  <c r="E16140" i="1"/>
  <c r="B16141" i="1"/>
  <c r="A16141" i="1"/>
  <c r="E16141" i="1"/>
  <c r="B16142" i="1"/>
  <c r="A16142" i="1"/>
  <c r="E16142" i="1"/>
  <c r="B16143" i="1"/>
  <c r="A16143" i="1"/>
  <c r="E16143" i="1"/>
  <c r="B16144" i="1"/>
  <c r="A16144" i="1"/>
  <c r="E16144" i="1"/>
  <c r="B16145" i="1"/>
  <c r="A16145" i="1"/>
  <c r="E16145" i="1"/>
  <c r="B16146" i="1"/>
  <c r="A16146" i="1"/>
  <c r="E16146" i="1"/>
  <c r="B16147" i="1"/>
  <c r="A16147" i="1"/>
  <c r="E16147" i="1"/>
  <c r="B16148" i="1"/>
  <c r="A16148" i="1"/>
  <c r="E16148" i="1"/>
  <c r="B16149" i="1"/>
  <c r="A16149" i="1"/>
  <c r="E16149" i="1"/>
  <c r="B16150" i="1"/>
  <c r="A16150" i="1"/>
  <c r="E16150" i="1"/>
  <c r="B16151" i="1"/>
  <c r="A16151" i="1"/>
  <c r="E16151" i="1"/>
  <c r="B16152" i="1"/>
  <c r="A16152" i="1"/>
  <c r="E16152" i="1"/>
  <c r="B16153" i="1"/>
  <c r="A16153" i="1"/>
  <c r="E16153" i="1"/>
  <c r="B16154" i="1"/>
  <c r="A16154" i="1"/>
  <c r="E16154" i="1"/>
  <c r="B16155" i="1"/>
  <c r="A16155" i="1"/>
  <c r="E16155" i="1"/>
  <c r="B16156" i="1"/>
  <c r="A16156" i="1"/>
  <c r="E16156" i="1"/>
  <c r="B16157" i="1"/>
  <c r="A16157" i="1"/>
  <c r="E16157" i="1"/>
  <c r="B16158" i="1"/>
  <c r="A16158" i="1"/>
  <c r="E16158" i="1"/>
  <c r="B16159" i="1"/>
  <c r="A16159" i="1"/>
  <c r="E16159" i="1"/>
  <c r="B16160" i="1"/>
  <c r="A16160" i="1"/>
  <c r="E16160" i="1"/>
  <c r="B16161" i="1"/>
  <c r="A16161" i="1"/>
  <c r="E16161" i="1"/>
  <c r="B16162" i="1"/>
  <c r="A16162" i="1"/>
  <c r="E16162" i="1"/>
  <c r="B16163" i="1"/>
  <c r="A16163" i="1"/>
  <c r="E16163" i="1"/>
  <c r="B16164" i="1"/>
  <c r="A16164" i="1"/>
  <c r="E16164" i="1"/>
  <c r="B16165" i="1"/>
  <c r="A16165" i="1"/>
  <c r="E16165" i="1"/>
  <c r="B16166" i="1"/>
  <c r="A16166" i="1"/>
  <c r="E16166" i="1"/>
  <c r="B16167" i="1"/>
  <c r="A16167" i="1"/>
  <c r="E16167" i="1"/>
  <c r="B16168" i="1"/>
  <c r="A16168" i="1"/>
  <c r="E16168" i="1"/>
  <c r="B16169" i="1"/>
  <c r="A16169" i="1"/>
  <c r="E16169" i="1"/>
  <c r="B16170" i="1"/>
  <c r="A16170" i="1"/>
  <c r="E16170" i="1"/>
  <c r="B16171" i="1"/>
  <c r="A16171" i="1"/>
  <c r="E16171" i="1"/>
  <c r="F16171" i="1"/>
  <c r="B16172" i="1"/>
  <c r="A16172" i="1"/>
  <c r="E16172" i="1"/>
  <c r="F16172" i="1"/>
  <c r="B16173" i="1"/>
  <c r="A16173" i="1"/>
  <c r="E16173" i="1"/>
  <c r="F16173" i="1"/>
  <c r="B16174" i="1"/>
  <c r="A16174" i="1"/>
  <c r="E16174" i="1"/>
  <c r="F16174" i="1"/>
  <c r="B16175" i="1"/>
  <c r="A16175" i="1"/>
  <c r="E16175" i="1"/>
  <c r="F16175" i="1"/>
  <c r="B16176" i="1"/>
  <c r="A16176" i="1"/>
  <c r="E16176" i="1"/>
  <c r="F16176" i="1"/>
  <c r="B16177" i="1"/>
  <c r="A16177" i="1"/>
  <c r="E16177" i="1"/>
  <c r="F16177" i="1"/>
  <c r="B16178" i="1"/>
  <c r="A16178" i="1"/>
  <c r="E16178" i="1"/>
  <c r="F16178" i="1"/>
  <c r="B16179" i="1"/>
  <c r="A16179" i="1"/>
  <c r="E16179" i="1"/>
  <c r="B16180" i="1"/>
  <c r="A16180" i="1"/>
  <c r="E16180" i="1"/>
  <c r="F16180" i="1"/>
  <c r="B16181" i="1"/>
  <c r="A16181" i="1"/>
  <c r="E16181" i="1"/>
  <c r="F16181" i="1"/>
  <c r="B16182" i="1"/>
  <c r="A16182" i="1"/>
  <c r="E16182" i="1"/>
  <c r="F16182" i="1"/>
  <c r="B16183" i="1"/>
  <c r="A16183" i="1"/>
  <c r="E16183" i="1"/>
  <c r="F16183" i="1"/>
  <c r="B16184" i="1"/>
  <c r="A16184" i="1"/>
  <c r="E16184" i="1"/>
  <c r="F16184" i="1"/>
  <c r="B16185" i="1"/>
  <c r="A16185" i="1"/>
  <c r="E16185" i="1"/>
  <c r="F16185" i="1"/>
  <c r="B16186" i="1"/>
  <c r="A16186" i="1"/>
  <c r="E16186" i="1"/>
  <c r="F16186" i="1"/>
  <c r="B16187" i="1"/>
  <c r="A16187" i="1"/>
  <c r="E16187" i="1"/>
  <c r="F16187" i="1"/>
  <c r="B16188" i="1"/>
  <c r="A16188" i="1"/>
  <c r="E16188" i="1"/>
  <c r="B16189" i="1"/>
  <c r="A16189" i="1"/>
  <c r="E16189" i="1"/>
  <c r="B16190" i="1"/>
  <c r="A16190" i="1"/>
  <c r="E16190" i="1"/>
  <c r="F16190" i="1"/>
  <c r="B16191" i="1"/>
  <c r="A16191" i="1"/>
  <c r="E16191" i="1"/>
  <c r="F16191" i="1"/>
  <c r="B16192" i="1"/>
  <c r="A16192" i="1"/>
  <c r="E16192" i="1"/>
  <c r="F16192" i="1"/>
  <c r="G16192" i="1"/>
  <c r="B16193" i="1"/>
  <c r="A16193" i="1"/>
  <c r="E16193" i="1"/>
  <c r="F16193" i="1"/>
  <c r="G16193" i="1"/>
  <c r="B16194" i="1"/>
  <c r="A16194" i="1"/>
  <c r="E16194" i="1"/>
  <c r="F16194" i="1"/>
  <c r="B16195" i="1"/>
  <c r="A16195" i="1"/>
  <c r="E16195" i="1"/>
  <c r="F16195" i="1"/>
  <c r="G16195" i="1"/>
  <c r="B16196" i="1"/>
  <c r="A16196" i="1"/>
  <c r="E16196" i="1"/>
  <c r="F16196" i="1"/>
  <c r="G16196" i="1"/>
  <c r="B16197" i="1"/>
  <c r="A16197" i="1"/>
  <c r="E16197" i="1"/>
  <c r="F16197" i="1"/>
  <c r="G16197" i="1"/>
  <c r="B16198" i="1"/>
  <c r="A16198" i="1"/>
  <c r="E16198" i="1"/>
  <c r="F16198" i="1"/>
  <c r="G16198" i="1"/>
  <c r="B16199" i="1"/>
  <c r="A16199" i="1"/>
  <c r="E16199" i="1"/>
  <c r="F16199" i="1"/>
  <c r="G16199" i="1"/>
  <c r="B16200" i="1"/>
  <c r="A16200" i="1"/>
  <c r="E16200" i="1"/>
  <c r="F16200" i="1"/>
  <c r="G16200" i="1"/>
  <c r="B16201" i="1"/>
  <c r="A16201" i="1"/>
  <c r="E16201" i="1"/>
  <c r="F16201" i="1"/>
  <c r="G16201" i="1"/>
  <c r="B16202" i="1"/>
  <c r="A16202" i="1"/>
  <c r="E16202" i="1"/>
  <c r="F16202" i="1"/>
  <c r="G16202" i="1"/>
  <c r="B16203" i="1"/>
  <c r="A16203" i="1"/>
  <c r="E16203" i="1"/>
  <c r="F16203" i="1"/>
  <c r="B16204" i="1"/>
  <c r="A16204" i="1"/>
  <c r="E16204" i="1"/>
  <c r="F16204" i="1"/>
  <c r="G16204" i="1"/>
  <c r="B16205" i="1"/>
  <c r="A16205" i="1"/>
  <c r="E16205" i="1"/>
  <c r="F16205" i="1"/>
  <c r="G16205" i="1"/>
  <c r="B16206" i="1"/>
  <c r="A16206" i="1"/>
  <c r="E16206" i="1"/>
  <c r="F16206" i="1"/>
  <c r="B16207" i="1"/>
  <c r="A16207" i="1"/>
  <c r="E16207" i="1"/>
  <c r="F16207" i="1"/>
  <c r="B16208" i="1"/>
  <c r="A16208" i="1"/>
  <c r="E16208" i="1"/>
  <c r="F16208" i="1"/>
  <c r="B16209" i="1"/>
  <c r="A16209" i="1"/>
  <c r="E16209" i="1"/>
  <c r="F16209" i="1"/>
  <c r="B16210" i="1"/>
  <c r="A16210" i="1"/>
  <c r="E16210" i="1"/>
  <c r="F16210" i="1"/>
  <c r="G16210" i="1"/>
  <c r="B16211" i="1"/>
  <c r="A16211" i="1"/>
  <c r="E16211" i="1"/>
  <c r="F16211" i="1"/>
  <c r="B16212" i="1"/>
  <c r="A16212" i="1"/>
  <c r="E16212" i="1"/>
  <c r="F16212" i="1"/>
  <c r="G16212" i="1"/>
  <c r="B16213" i="1"/>
  <c r="A16213" i="1"/>
  <c r="E16213" i="1"/>
  <c r="F16213" i="1"/>
  <c r="B16214" i="1"/>
  <c r="A16214" i="1"/>
  <c r="E16214" i="1"/>
  <c r="F16214" i="1"/>
  <c r="G16214" i="1"/>
  <c r="B16215" i="1"/>
  <c r="A16215" i="1"/>
  <c r="E16215" i="1"/>
  <c r="F16215" i="1"/>
  <c r="B16216" i="1"/>
  <c r="A16216" i="1"/>
  <c r="E16216" i="1"/>
  <c r="F16216" i="1"/>
  <c r="B16217" i="1"/>
  <c r="A16217" i="1"/>
  <c r="E16217" i="1"/>
  <c r="F16217" i="1"/>
  <c r="G16217" i="1"/>
  <c r="B16218" i="1"/>
  <c r="A16218" i="1"/>
  <c r="E16218" i="1"/>
  <c r="F16218" i="1"/>
  <c r="G16218" i="1"/>
  <c r="B16219" i="1"/>
  <c r="A16219" i="1"/>
  <c r="E16219" i="1"/>
  <c r="F16219" i="1"/>
  <c r="B16220" i="1"/>
  <c r="A16220" i="1"/>
  <c r="E16220" i="1"/>
  <c r="F16220" i="1"/>
  <c r="G16220" i="1"/>
  <c r="B16221" i="1"/>
  <c r="A16221" i="1"/>
  <c r="E16221" i="1"/>
  <c r="F16221" i="1"/>
  <c r="B16222" i="1"/>
  <c r="A16222" i="1"/>
  <c r="E16222" i="1"/>
  <c r="F16222" i="1"/>
  <c r="B16223" i="1"/>
  <c r="A16223" i="1"/>
  <c r="E16223" i="1"/>
  <c r="F16223" i="1"/>
  <c r="B16224" i="1"/>
  <c r="A16224" i="1"/>
  <c r="E16224" i="1"/>
  <c r="F16224" i="1"/>
  <c r="B16225" i="1"/>
  <c r="A16225" i="1"/>
  <c r="E16225" i="1"/>
  <c r="F16225" i="1"/>
  <c r="B16226" i="1"/>
  <c r="A16226" i="1"/>
  <c r="E16226" i="1"/>
  <c r="F16226" i="1"/>
  <c r="B16227" i="1"/>
  <c r="A16227" i="1"/>
  <c r="E16227" i="1"/>
  <c r="F16227" i="1"/>
  <c r="B16228" i="1"/>
  <c r="A16228" i="1"/>
  <c r="E16228" i="1"/>
  <c r="F16228" i="1"/>
  <c r="B16229" i="1"/>
  <c r="A16229" i="1"/>
  <c r="E16229" i="1"/>
  <c r="F16229" i="1"/>
  <c r="B16230" i="1"/>
  <c r="A16230" i="1"/>
  <c r="E16230" i="1"/>
  <c r="F16230" i="1"/>
  <c r="B16231" i="1"/>
  <c r="A16231" i="1"/>
  <c r="E16231" i="1"/>
  <c r="F16231" i="1"/>
  <c r="B16232" i="1"/>
  <c r="A16232" i="1"/>
  <c r="E16232" i="1"/>
  <c r="F16232" i="1"/>
  <c r="B16233" i="1"/>
  <c r="A16233" i="1"/>
  <c r="E16233" i="1"/>
  <c r="F16233" i="1"/>
  <c r="B16234" i="1"/>
  <c r="A16234" i="1"/>
  <c r="E16234" i="1"/>
  <c r="F16234" i="1"/>
  <c r="B16235" i="1"/>
  <c r="A16235" i="1"/>
  <c r="E16235" i="1"/>
  <c r="F16235" i="1"/>
  <c r="B16236" i="1"/>
  <c r="A16236" i="1"/>
  <c r="E16236" i="1"/>
  <c r="F16236" i="1"/>
  <c r="B16237" i="1"/>
  <c r="A16237" i="1"/>
  <c r="E16237" i="1"/>
  <c r="F16237" i="1"/>
  <c r="B16238" i="1"/>
  <c r="A16238" i="1"/>
  <c r="E16238" i="1"/>
  <c r="F16238" i="1"/>
  <c r="B16239" i="1"/>
  <c r="A16239" i="1"/>
  <c r="E16239" i="1"/>
  <c r="F16239" i="1"/>
  <c r="B16240" i="1"/>
  <c r="A16240" i="1"/>
  <c r="E16240" i="1"/>
  <c r="F16240" i="1"/>
  <c r="B16241" i="1"/>
  <c r="A16241" i="1"/>
  <c r="E16241" i="1"/>
  <c r="F16241" i="1"/>
  <c r="B16242" i="1"/>
  <c r="A16242" i="1"/>
  <c r="E16242" i="1"/>
  <c r="F16242" i="1"/>
  <c r="B16243" i="1"/>
  <c r="A16243" i="1"/>
  <c r="E16243" i="1"/>
  <c r="F16243" i="1"/>
  <c r="B16244" i="1"/>
  <c r="A16244" i="1"/>
  <c r="E16244" i="1"/>
  <c r="F16244" i="1"/>
  <c r="B16245" i="1"/>
  <c r="A16245" i="1"/>
  <c r="E16245" i="1"/>
  <c r="F16245" i="1"/>
  <c r="B16246" i="1"/>
  <c r="A16246" i="1"/>
  <c r="E16246" i="1"/>
  <c r="F16246" i="1"/>
  <c r="B16247" i="1"/>
  <c r="A16247" i="1"/>
  <c r="E16247" i="1"/>
  <c r="F16247" i="1"/>
  <c r="B16248" i="1"/>
  <c r="A16248" i="1"/>
  <c r="E16248" i="1"/>
  <c r="F16248" i="1"/>
  <c r="B16249" i="1"/>
  <c r="A16249" i="1"/>
  <c r="E16249" i="1"/>
  <c r="F16249" i="1"/>
  <c r="B16250" i="1"/>
  <c r="A16250" i="1"/>
  <c r="E16250" i="1"/>
  <c r="F16250" i="1"/>
  <c r="B16251" i="1"/>
  <c r="A16251" i="1"/>
  <c r="E16251" i="1"/>
  <c r="F16251" i="1"/>
  <c r="B16252" i="1"/>
  <c r="A16252" i="1"/>
  <c r="E16252" i="1"/>
  <c r="F16252" i="1"/>
  <c r="B16253" i="1"/>
  <c r="A16253" i="1"/>
  <c r="E16253" i="1"/>
  <c r="F16253" i="1"/>
  <c r="B16254" i="1"/>
  <c r="A16254" i="1"/>
  <c r="E16254" i="1"/>
  <c r="F16254" i="1"/>
  <c r="B16255" i="1"/>
  <c r="A16255" i="1"/>
  <c r="E16255" i="1"/>
  <c r="F16255" i="1"/>
  <c r="B16256" i="1"/>
  <c r="A16256" i="1"/>
  <c r="E16256" i="1"/>
  <c r="F16256" i="1"/>
  <c r="B16257" i="1"/>
  <c r="A16257" i="1"/>
  <c r="E16257" i="1"/>
  <c r="F16257" i="1"/>
  <c r="B16258" i="1"/>
  <c r="A16258" i="1"/>
  <c r="E16258" i="1"/>
  <c r="F16258" i="1"/>
  <c r="B16259" i="1"/>
  <c r="A16259" i="1"/>
  <c r="E16259" i="1"/>
  <c r="F16259" i="1"/>
  <c r="B16260" i="1"/>
  <c r="A16260" i="1"/>
  <c r="E16260" i="1"/>
  <c r="F16260" i="1"/>
  <c r="B16261" i="1"/>
  <c r="A16261" i="1"/>
  <c r="E16261" i="1"/>
  <c r="F16261" i="1"/>
  <c r="B16262" i="1"/>
  <c r="A16262" i="1"/>
  <c r="E16262" i="1"/>
  <c r="F16262" i="1"/>
  <c r="B16263" i="1"/>
  <c r="A16263" i="1"/>
  <c r="E16263" i="1"/>
  <c r="F16263" i="1"/>
  <c r="B16264" i="1"/>
  <c r="A16264" i="1"/>
  <c r="E16264" i="1"/>
  <c r="F16264" i="1"/>
  <c r="B16265" i="1"/>
  <c r="A16265" i="1"/>
  <c r="E16265" i="1"/>
  <c r="F16265" i="1"/>
  <c r="B16266" i="1"/>
  <c r="A16266" i="1"/>
  <c r="E16266" i="1"/>
  <c r="F16266" i="1"/>
  <c r="B16267" i="1"/>
  <c r="A16267" i="1"/>
  <c r="E16267" i="1"/>
  <c r="F16267" i="1"/>
  <c r="B16268" i="1"/>
  <c r="A16268" i="1"/>
  <c r="E16268" i="1"/>
  <c r="F16268" i="1"/>
  <c r="B16269" i="1"/>
  <c r="A16269" i="1"/>
  <c r="E16269" i="1"/>
  <c r="F16269" i="1"/>
  <c r="B16270" i="1"/>
  <c r="A16270" i="1"/>
  <c r="E16270" i="1"/>
  <c r="F16270" i="1"/>
  <c r="B16271" i="1"/>
  <c r="A16271" i="1"/>
  <c r="E16271" i="1"/>
  <c r="F16271" i="1"/>
  <c r="B16272" i="1"/>
  <c r="A16272" i="1"/>
  <c r="E16272" i="1"/>
  <c r="F16272" i="1"/>
  <c r="B16273" i="1"/>
  <c r="A16273" i="1"/>
  <c r="E16273" i="1"/>
  <c r="F16273" i="1"/>
  <c r="B16274" i="1"/>
  <c r="A16274" i="1"/>
  <c r="E16274" i="1"/>
  <c r="F16274" i="1"/>
  <c r="B16275" i="1"/>
  <c r="A16275" i="1"/>
  <c r="E16275" i="1"/>
  <c r="F16275" i="1"/>
  <c r="B16276" i="1"/>
  <c r="A16276" i="1"/>
  <c r="E16276" i="1"/>
  <c r="F16276" i="1"/>
  <c r="B16277" i="1"/>
  <c r="A16277" i="1"/>
  <c r="E16277" i="1"/>
  <c r="F16277" i="1"/>
  <c r="B16278" i="1"/>
  <c r="A16278" i="1"/>
  <c r="E16278" i="1"/>
  <c r="F16278" i="1"/>
  <c r="B16279" i="1"/>
  <c r="A16279" i="1"/>
  <c r="E16279" i="1"/>
  <c r="F16279" i="1"/>
  <c r="B16280" i="1"/>
  <c r="A16280" i="1"/>
  <c r="E16280" i="1"/>
  <c r="F16280" i="1"/>
  <c r="B16281" i="1"/>
  <c r="A16281" i="1"/>
  <c r="E16281" i="1"/>
  <c r="F16281" i="1"/>
  <c r="B16282" i="1"/>
  <c r="A16282" i="1"/>
  <c r="E16282" i="1"/>
  <c r="F16282" i="1"/>
  <c r="B16283" i="1"/>
  <c r="A16283" i="1"/>
  <c r="E16283" i="1"/>
  <c r="F16283" i="1"/>
  <c r="B16284" i="1"/>
  <c r="A16284" i="1"/>
  <c r="E16284" i="1"/>
  <c r="F16284" i="1"/>
  <c r="B16285" i="1"/>
  <c r="A16285" i="1"/>
  <c r="E16285" i="1"/>
  <c r="F16285" i="1"/>
  <c r="B16286" i="1"/>
  <c r="A16286" i="1"/>
  <c r="E16286" i="1"/>
  <c r="F16286" i="1"/>
  <c r="B16287" i="1"/>
  <c r="A16287" i="1"/>
  <c r="E16287" i="1"/>
  <c r="F16287" i="1"/>
  <c r="B16288" i="1"/>
  <c r="A16288" i="1"/>
  <c r="E16288" i="1"/>
  <c r="F16288" i="1"/>
  <c r="B16289" i="1"/>
  <c r="A16289" i="1"/>
  <c r="E16289" i="1"/>
  <c r="F16289" i="1"/>
  <c r="B16290" i="1"/>
  <c r="A16290" i="1"/>
  <c r="E16290" i="1"/>
  <c r="F16290" i="1"/>
  <c r="B16291" i="1"/>
  <c r="A16291" i="1"/>
  <c r="E16291" i="1"/>
  <c r="F16291" i="1"/>
  <c r="B16292" i="1"/>
  <c r="A16292" i="1"/>
  <c r="E16292" i="1"/>
  <c r="F16292" i="1"/>
  <c r="B16293" i="1"/>
  <c r="A16293" i="1"/>
  <c r="E16293" i="1"/>
  <c r="F16293" i="1"/>
  <c r="B16294" i="1"/>
  <c r="A16294" i="1"/>
  <c r="E16294" i="1"/>
  <c r="F16294" i="1"/>
  <c r="B16295" i="1"/>
  <c r="A16295" i="1"/>
  <c r="E16295" i="1"/>
  <c r="F16295" i="1"/>
  <c r="B16296" i="1"/>
  <c r="A16296" i="1"/>
  <c r="E16296" i="1"/>
  <c r="F16296" i="1"/>
  <c r="B16297" i="1"/>
  <c r="A16297" i="1"/>
  <c r="E16297" i="1"/>
  <c r="F16297" i="1"/>
  <c r="B16298" i="1"/>
  <c r="A16298" i="1"/>
  <c r="E16298" i="1"/>
  <c r="F16298" i="1"/>
  <c r="B16299" i="1"/>
  <c r="A16299" i="1"/>
  <c r="E16299" i="1"/>
  <c r="F16299" i="1"/>
  <c r="B16300" i="1"/>
  <c r="A16300" i="1"/>
  <c r="E16300" i="1"/>
  <c r="F16300" i="1"/>
  <c r="B16301" i="1"/>
  <c r="A16301" i="1"/>
  <c r="E16301" i="1"/>
  <c r="F16301" i="1"/>
  <c r="B16302" i="1"/>
  <c r="A16302" i="1"/>
  <c r="E16302" i="1"/>
  <c r="F16302" i="1"/>
  <c r="B16303" i="1"/>
  <c r="A16303" i="1"/>
  <c r="E16303" i="1"/>
  <c r="F16303" i="1"/>
  <c r="B16304" i="1"/>
  <c r="A16304" i="1"/>
  <c r="E16304" i="1"/>
  <c r="F16304" i="1"/>
  <c r="B16305" i="1"/>
  <c r="A16305" i="1"/>
  <c r="E16305" i="1"/>
  <c r="F16305" i="1"/>
  <c r="B16306" i="1"/>
  <c r="A16306" i="1"/>
  <c r="E16306" i="1"/>
  <c r="F16306" i="1"/>
  <c r="B16307" i="1"/>
  <c r="A16307" i="1"/>
  <c r="E16307" i="1"/>
  <c r="F16307" i="1"/>
  <c r="B16308" i="1"/>
  <c r="A16308" i="1"/>
  <c r="E16308" i="1"/>
  <c r="F16308" i="1"/>
  <c r="B16309" i="1"/>
  <c r="A16309" i="1"/>
  <c r="E16309" i="1"/>
  <c r="F16309" i="1"/>
  <c r="B16310" i="1"/>
  <c r="A16310" i="1"/>
  <c r="E16310" i="1"/>
  <c r="F16310" i="1"/>
  <c r="B16311" i="1"/>
  <c r="A16311" i="1"/>
  <c r="E16311" i="1"/>
  <c r="F16311" i="1"/>
  <c r="B16312" i="1"/>
  <c r="A16312" i="1"/>
  <c r="E16312" i="1"/>
  <c r="F16312" i="1"/>
  <c r="B16313" i="1"/>
  <c r="A16313" i="1"/>
  <c r="E16313" i="1"/>
  <c r="F16313" i="1"/>
  <c r="B16314" i="1"/>
  <c r="A16314" i="1"/>
  <c r="E16314" i="1"/>
  <c r="F16314" i="1"/>
  <c r="B16315" i="1"/>
  <c r="A16315" i="1"/>
  <c r="E16315" i="1"/>
  <c r="F16315" i="1"/>
  <c r="B16316" i="1"/>
  <c r="A16316" i="1"/>
  <c r="E16316" i="1"/>
  <c r="F16316" i="1"/>
  <c r="B16317" i="1"/>
  <c r="A16317" i="1"/>
  <c r="E16317" i="1"/>
  <c r="F16317" i="1"/>
  <c r="B16318" i="1"/>
  <c r="A16318" i="1"/>
  <c r="E16318" i="1"/>
  <c r="F16318" i="1"/>
  <c r="B16319" i="1"/>
  <c r="A16319" i="1"/>
  <c r="E16319" i="1"/>
  <c r="F16319" i="1"/>
  <c r="B16320" i="1"/>
  <c r="A16320" i="1"/>
  <c r="E16320" i="1"/>
  <c r="F16320" i="1"/>
  <c r="B16321" i="1"/>
  <c r="A16321" i="1"/>
  <c r="E16321" i="1"/>
  <c r="F16321" i="1"/>
  <c r="B16322" i="1"/>
  <c r="A16322" i="1"/>
  <c r="E16322" i="1"/>
  <c r="F16322" i="1"/>
  <c r="B16323" i="1"/>
  <c r="A16323" i="1"/>
  <c r="E16323" i="1"/>
  <c r="F16323" i="1"/>
  <c r="B16324" i="1"/>
  <c r="A16324" i="1"/>
  <c r="E16324" i="1"/>
  <c r="F16324" i="1"/>
  <c r="B16325" i="1"/>
  <c r="A16325" i="1"/>
  <c r="E16325" i="1"/>
  <c r="F16325" i="1"/>
  <c r="B16326" i="1"/>
  <c r="A16326" i="1"/>
  <c r="E16326" i="1"/>
  <c r="F16326" i="1"/>
  <c r="B16327" i="1"/>
  <c r="A16327" i="1"/>
  <c r="E16327" i="1"/>
  <c r="F16327" i="1"/>
  <c r="B16328" i="1"/>
  <c r="A16328" i="1"/>
  <c r="E16328" i="1"/>
  <c r="F16328" i="1"/>
  <c r="B16329" i="1"/>
  <c r="A16329" i="1"/>
  <c r="E16329" i="1"/>
  <c r="F16329" i="1"/>
  <c r="B16330" i="1"/>
  <c r="A16330" i="1"/>
  <c r="E16330" i="1"/>
  <c r="F16330" i="1"/>
  <c r="B16331" i="1"/>
  <c r="A16331" i="1"/>
  <c r="E16331" i="1"/>
  <c r="F16331" i="1"/>
  <c r="B16332" i="1"/>
  <c r="A16332" i="1"/>
  <c r="E16332" i="1"/>
  <c r="F16332" i="1"/>
  <c r="B16333" i="1"/>
  <c r="A16333" i="1"/>
  <c r="E16333" i="1"/>
  <c r="F16333" i="1"/>
  <c r="B16334" i="1"/>
  <c r="A16334" i="1"/>
  <c r="E16334" i="1"/>
  <c r="F16334" i="1"/>
  <c r="B16335" i="1"/>
  <c r="A16335" i="1"/>
  <c r="E16335" i="1"/>
  <c r="F16335" i="1"/>
  <c r="B16336" i="1"/>
  <c r="A16336" i="1"/>
  <c r="E16336" i="1"/>
  <c r="F16336" i="1"/>
  <c r="B16337" i="1"/>
  <c r="A16337" i="1"/>
  <c r="E16337" i="1"/>
  <c r="F16337" i="1"/>
  <c r="B16338" i="1"/>
  <c r="A16338" i="1"/>
  <c r="E16338" i="1"/>
  <c r="F16338" i="1"/>
  <c r="B16339" i="1"/>
  <c r="A16339" i="1"/>
  <c r="E16339" i="1"/>
  <c r="F16339" i="1"/>
  <c r="B16340" i="1"/>
  <c r="A16340" i="1"/>
  <c r="E16340" i="1"/>
  <c r="F16340" i="1"/>
  <c r="B16341" i="1"/>
  <c r="A16341" i="1"/>
  <c r="E16341" i="1"/>
  <c r="F16341" i="1"/>
  <c r="B16342" i="1"/>
  <c r="A16342" i="1"/>
  <c r="E16342" i="1"/>
  <c r="F16342" i="1"/>
  <c r="B16343" i="1"/>
  <c r="A16343" i="1"/>
  <c r="E16343" i="1"/>
  <c r="F16343" i="1"/>
  <c r="B16344" i="1"/>
  <c r="A16344" i="1"/>
  <c r="E16344" i="1"/>
  <c r="F16344" i="1"/>
  <c r="B16345" i="1"/>
  <c r="A16345" i="1"/>
  <c r="E16345" i="1"/>
  <c r="F16345" i="1"/>
  <c r="B16346" i="1"/>
  <c r="A16346" i="1"/>
  <c r="E16346" i="1"/>
  <c r="F16346" i="1"/>
  <c r="B16347" i="1"/>
  <c r="A16347" i="1"/>
  <c r="E16347" i="1"/>
  <c r="F16347" i="1"/>
  <c r="B16348" i="1"/>
  <c r="A16348" i="1"/>
  <c r="E16348" i="1"/>
  <c r="F16348" i="1"/>
  <c r="B16349" i="1"/>
  <c r="A16349" i="1"/>
  <c r="E16349" i="1"/>
  <c r="F16349" i="1"/>
  <c r="B16350" i="1"/>
  <c r="A16350" i="1"/>
  <c r="E16350" i="1"/>
  <c r="F16350" i="1"/>
  <c r="B16351" i="1"/>
  <c r="A16351" i="1"/>
  <c r="E16351" i="1"/>
  <c r="F16351" i="1"/>
  <c r="B16352" i="1"/>
  <c r="A16352" i="1"/>
  <c r="E16352" i="1"/>
  <c r="F16352" i="1"/>
  <c r="B16353" i="1"/>
  <c r="A16353" i="1"/>
  <c r="E16353" i="1"/>
  <c r="F16353" i="1"/>
  <c r="B16354" i="1"/>
  <c r="A16354" i="1"/>
  <c r="E16354" i="1"/>
  <c r="F16354" i="1"/>
  <c r="B16355" i="1"/>
  <c r="A16355" i="1"/>
  <c r="E16355" i="1"/>
  <c r="F16355" i="1"/>
  <c r="B16356" i="1"/>
  <c r="A16356" i="1"/>
  <c r="E16356" i="1"/>
  <c r="F16356" i="1"/>
  <c r="B16357" i="1"/>
  <c r="A16357" i="1"/>
  <c r="E16357" i="1"/>
  <c r="F16357" i="1"/>
  <c r="B16358" i="1"/>
  <c r="A16358" i="1"/>
  <c r="E16358" i="1"/>
  <c r="F16358" i="1"/>
  <c r="B16359" i="1"/>
  <c r="A16359" i="1"/>
  <c r="E16359" i="1"/>
  <c r="F16359" i="1"/>
  <c r="B16360" i="1"/>
  <c r="A16360" i="1"/>
  <c r="E16360" i="1"/>
  <c r="F16360" i="1"/>
  <c r="B16361" i="1"/>
  <c r="A16361" i="1"/>
  <c r="E16361" i="1"/>
  <c r="F16361" i="1"/>
  <c r="B16362" i="1"/>
  <c r="A16362" i="1"/>
  <c r="E16362" i="1"/>
  <c r="F16362" i="1"/>
  <c r="B16363" i="1"/>
  <c r="A16363" i="1"/>
  <c r="E16363" i="1"/>
  <c r="F16363" i="1"/>
  <c r="B16364" i="1"/>
  <c r="A16364" i="1"/>
  <c r="E16364" i="1"/>
  <c r="F16364" i="1"/>
  <c r="B16365" i="1"/>
  <c r="A16365" i="1"/>
  <c r="E16365" i="1"/>
  <c r="F16365" i="1"/>
  <c r="B16366" i="1"/>
  <c r="A16366" i="1"/>
  <c r="E16366" i="1"/>
  <c r="F16366" i="1"/>
  <c r="B16367" i="1"/>
  <c r="A16367" i="1"/>
  <c r="E16367" i="1"/>
  <c r="F16367" i="1"/>
  <c r="B16368" i="1"/>
  <c r="A16368" i="1"/>
  <c r="E16368" i="1"/>
  <c r="F16368" i="1"/>
  <c r="B16369" i="1"/>
  <c r="A16369" i="1"/>
  <c r="E16369" i="1"/>
  <c r="F16369" i="1"/>
  <c r="B16370" i="1"/>
  <c r="A16370" i="1"/>
  <c r="E16370" i="1"/>
  <c r="F16370" i="1"/>
  <c r="B16371" i="1"/>
  <c r="A16371" i="1"/>
  <c r="E16371" i="1"/>
  <c r="F16371" i="1"/>
  <c r="B16372" i="1"/>
  <c r="A16372" i="1"/>
  <c r="E16372" i="1"/>
  <c r="F16372" i="1"/>
  <c r="B16373" i="1"/>
  <c r="A16373" i="1"/>
  <c r="E16373" i="1"/>
  <c r="F16373" i="1"/>
  <c r="B16374" i="1"/>
  <c r="A16374" i="1"/>
  <c r="E16374" i="1"/>
  <c r="F16374" i="1"/>
  <c r="B16375" i="1"/>
  <c r="A16375" i="1"/>
  <c r="E16375" i="1"/>
  <c r="F16375" i="1"/>
  <c r="B16376" i="1"/>
  <c r="A16376" i="1"/>
  <c r="E16376" i="1"/>
  <c r="F16376" i="1"/>
  <c r="B16377" i="1"/>
  <c r="A16377" i="1"/>
  <c r="E16377" i="1"/>
  <c r="F16377" i="1"/>
  <c r="B16378" i="1"/>
  <c r="A16378" i="1"/>
  <c r="E16378" i="1"/>
  <c r="F16378" i="1"/>
  <c r="B16379" i="1"/>
  <c r="A16379" i="1"/>
  <c r="E16379" i="1"/>
  <c r="F16379" i="1"/>
  <c r="B16380" i="1"/>
  <c r="A16380" i="1"/>
  <c r="E16380" i="1"/>
  <c r="F16380" i="1"/>
  <c r="B16381" i="1"/>
  <c r="A16381" i="1"/>
  <c r="E16381" i="1"/>
  <c r="F16381" i="1"/>
  <c r="B16382" i="1"/>
  <c r="A16382" i="1"/>
  <c r="E16382" i="1"/>
  <c r="F16382" i="1"/>
  <c r="B16383" i="1"/>
  <c r="A16383" i="1"/>
  <c r="E16383" i="1"/>
  <c r="F16383" i="1"/>
  <c r="B16384" i="1"/>
  <c r="A16384" i="1"/>
  <c r="E16384" i="1"/>
  <c r="F16384" i="1"/>
  <c r="B16385" i="1"/>
  <c r="A16385" i="1"/>
  <c r="E16385" i="1"/>
  <c r="F16385" i="1"/>
  <c r="B16386" i="1"/>
  <c r="A16386" i="1"/>
  <c r="E16386" i="1"/>
  <c r="F16386" i="1"/>
  <c r="B16387" i="1"/>
  <c r="A16387" i="1"/>
  <c r="E16387" i="1"/>
  <c r="F16387" i="1"/>
  <c r="B16388" i="1"/>
  <c r="A16388" i="1"/>
  <c r="E16388" i="1"/>
  <c r="F16388" i="1"/>
  <c r="B16389" i="1"/>
  <c r="A16389" i="1"/>
  <c r="E16389" i="1"/>
  <c r="F16389" i="1"/>
  <c r="B16390" i="1"/>
  <c r="A16390" i="1"/>
  <c r="E16390" i="1"/>
  <c r="F16390" i="1"/>
  <c r="B16391" i="1"/>
  <c r="A16391" i="1"/>
  <c r="E16391" i="1"/>
  <c r="F16391" i="1"/>
  <c r="B16392" i="1"/>
  <c r="A16392" i="1"/>
  <c r="E16392" i="1"/>
  <c r="F16392" i="1"/>
  <c r="B16393" i="1"/>
  <c r="A16393" i="1"/>
  <c r="E16393" i="1"/>
  <c r="F16393" i="1"/>
  <c r="B16394" i="1"/>
  <c r="A16394" i="1"/>
  <c r="E16394" i="1"/>
  <c r="F16394" i="1"/>
  <c r="B16395" i="1"/>
  <c r="A16395" i="1"/>
  <c r="E16395" i="1"/>
  <c r="F16395" i="1"/>
  <c r="B16396" i="1"/>
  <c r="A16396" i="1"/>
  <c r="E16396" i="1"/>
  <c r="F16396" i="1"/>
  <c r="B16397" i="1"/>
  <c r="A16397" i="1"/>
  <c r="E16397" i="1"/>
  <c r="F16397" i="1"/>
  <c r="B16398" i="1"/>
  <c r="A16398" i="1"/>
  <c r="E16398" i="1"/>
  <c r="F16398" i="1"/>
  <c r="B16399" i="1"/>
  <c r="A16399" i="1"/>
  <c r="E16399" i="1"/>
  <c r="F16399" i="1"/>
  <c r="B16400" i="1"/>
  <c r="A16400" i="1"/>
  <c r="E16400" i="1"/>
  <c r="F16400" i="1"/>
  <c r="B16401" i="1"/>
  <c r="A16401" i="1"/>
  <c r="E16401" i="1"/>
  <c r="F16401" i="1"/>
  <c r="B16402" i="1"/>
  <c r="A16402" i="1"/>
  <c r="E16402" i="1"/>
  <c r="F16402" i="1"/>
  <c r="B16403" i="1"/>
  <c r="A16403" i="1"/>
  <c r="E16403" i="1"/>
  <c r="F16403" i="1"/>
  <c r="B16404" i="1"/>
  <c r="A16404" i="1"/>
  <c r="E16404" i="1"/>
  <c r="F16404" i="1"/>
  <c r="B16405" i="1"/>
  <c r="A16405" i="1"/>
  <c r="E16405" i="1"/>
  <c r="F16405" i="1"/>
  <c r="B16406" i="1"/>
  <c r="A16406" i="1"/>
  <c r="E16406" i="1"/>
  <c r="F16406" i="1"/>
  <c r="B16407" i="1"/>
  <c r="A16407" i="1"/>
  <c r="E16407" i="1"/>
  <c r="F16407" i="1"/>
  <c r="B16408" i="1"/>
  <c r="A16408" i="1"/>
  <c r="E16408" i="1"/>
  <c r="F16408" i="1"/>
  <c r="B16409" i="1"/>
  <c r="A16409" i="1"/>
  <c r="E16409" i="1"/>
  <c r="F16409" i="1"/>
  <c r="B16410" i="1"/>
  <c r="A16410" i="1"/>
  <c r="E16410" i="1"/>
  <c r="F16410" i="1"/>
  <c r="B16411" i="1"/>
  <c r="A16411" i="1"/>
  <c r="E16411" i="1"/>
  <c r="F16411" i="1"/>
  <c r="B16412" i="1"/>
  <c r="A16412" i="1"/>
  <c r="E16412" i="1"/>
  <c r="F16412" i="1"/>
  <c r="B16413" i="1"/>
  <c r="A16413" i="1"/>
  <c r="E16413" i="1"/>
  <c r="F16413" i="1"/>
  <c r="B16414" i="1"/>
  <c r="A16414" i="1"/>
  <c r="E16414" i="1"/>
  <c r="F16414" i="1"/>
  <c r="B16415" i="1"/>
  <c r="A16415" i="1"/>
  <c r="E16415" i="1"/>
  <c r="F16415" i="1"/>
  <c r="B16416" i="1"/>
  <c r="A16416" i="1"/>
  <c r="E16416" i="1"/>
  <c r="F16416" i="1"/>
  <c r="B16417" i="1"/>
  <c r="A16417" i="1"/>
  <c r="E16417" i="1"/>
  <c r="F16417" i="1"/>
  <c r="B16418" i="1"/>
  <c r="A16418" i="1"/>
  <c r="E16418" i="1"/>
  <c r="F16418" i="1"/>
  <c r="B16419" i="1"/>
  <c r="A16419" i="1"/>
  <c r="E16419" i="1"/>
  <c r="F16419" i="1"/>
  <c r="B16420" i="1"/>
  <c r="A16420" i="1"/>
  <c r="E16420" i="1"/>
  <c r="F16420" i="1"/>
  <c r="B16421" i="1"/>
  <c r="A16421" i="1"/>
  <c r="E16421" i="1"/>
  <c r="F16421" i="1"/>
  <c r="B16422" i="1"/>
  <c r="A16422" i="1"/>
  <c r="E16422" i="1"/>
  <c r="F16422" i="1"/>
  <c r="B16423" i="1"/>
  <c r="A16423" i="1"/>
  <c r="E16423" i="1"/>
  <c r="F16423" i="1"/>
  <c r="B16424" i="1"/>
  <c r="A16424" i="1"/>
  <c r="E16424" i="1"/>
  <c r="F16424" i="1"/>
  <c r="B16425" i="1"/>
  <c r="A16425" i="1"/>
  <c r="E16425" i="1"/>
  <c r="F16425" i="1"/>
  <c r="B16426" i="1"/>
  <c r="A16426" i="1"/>
  <c r="E16426" i="1"/>
  <c r="F16426" i="1"/>
  <c r="B16427" i="1"/>
  <c r="A16427" i="1"/>
  <c r="E16427" i="1"/>
  <c r="F16427" i="1"/>
  <c r="B16428" i="1"/>
  <c r="A16428" i="1"/>
  <c r="E16428" i="1"/>
  <c r="F16428" i="1"/>
  <c r="B16429" i="1"/>
  <c r="A16429" i="1"/>
  <c r="E16429" i="1"/>
  <c r="F16429" i="1"/>
  <c r="B16430" i="1"/>
  <c r="A16430" i="1"/>
  <c r="E16430" i="1"/>
  <c r="F16430" i="1"/>
  <c r="B16431" i="1"/>
  <c r="A16431" i="1"/>
  <c r="E16431" i="1"/>
  <c r="F16431" i="1"/>
  <c r="B16432" i="1"/>
  <c r="A16432" i="1"/>
  <c r="E16432" i="1"/>
  <c r="F16432" i="1"/>
  <c r="B16433" i="1"/>
  <c r="A16433" i="1"/>
  <c r="E16433" i="1"/>
  <c r="F16433" i="1"/>
  <c r="B16434" i="1"/>
  <c r="A16434" i="1"/>
  <c r="E16434" i="1"/>
  <c r="F16434" i="1"/>
  <c r="B16435" i="1"/>
  <c r="A16435" i="1"/>
  <c r="E16435" i="1"/>
  <c r="F16435" i="1"/>
  <c r="B16436" i="1"/>
  <c r="A16436" i="1"/>
  <c r="E16436" i="1"/>
  <c r="F16436" i="1"/>
  <c r="B16437" i="1"/>
  <c r="A16437" i="1"/>
  <c r="E16437" i="1"/>
  <c r="F16437" i="1"/>
  <c r="B16438" i="1"/>
  <c r="A16438" i="1"/>
  <c r="E16438" i="1"/>
  <c r="F16438" i="1"/>
  <c r="B16439" i="1"/>
  <c r="A16439" i="1"/>
  <c r="E16439" i="1"/>
  <c r="F16439" i="1"/>
  <c r="B16440" i="1"/>
  <c r="A16440" i="1"/>
  <c r="E16440" i="1"/>
  <c r="F16440" i="1"/>
  <c r="B16441" i="1"/>
  <c r="A16441" i="1"/>
  <c r="E16441" i="1"/>
  <c r="F16441" i="1"/>
  <c r="B16442" i="1"/>
  <c r="A16442" i="1"/>
  <c r="E16442" i="1"/>
  <c r="F16442" i="1"/>
  <c r="B16443" i="1"/>
  <c r="A16443" i="1"/>
  <c r="E16443" i="1"/>
  <c r="F16443" i="1"/>
  <c r="B16444" i="1"/>
  <c r="A16444" i="1"/>
  <c r="E16444" i="1"/>
  <c r="F16444" i="1"/>
  <c r="B16445" i="1"/>
  <c r="A16445" i="1"/>
  <c r="E16445" i="1"/>
  <c r="F16445" i="1"/>
  <c r="B16446" i="1"/>
  <c r="A16446" i="1"/>
  <c r="E16446" i="1"/>
  <c r="F16446" i="1"/>
  <c r="B16447" i="1"/>
  <c r="A16447" i="1"/>
  <c r="E16447" i="1"/>
  <c r="F16447" i="1"/>
  <c r="B16448" i="1"/>
  <c r="A16448" i="1"/>
  <c r="E16448" i="1"/>
  <c r="F16448" i="1"/>
  <c r="B16449" i="1"/>
  <c r="A16449" i="1"/>
  <c r="E16449" i="1"/>
  <c r="F16449" i="1"/>
  <c r="B16450" i="1"/>
  <c r="A16450" i="1"/>
  <c r="E16450" i="1"/>
  <c r="F16450" i="1"/>
  <c r="B16451" i="1"/>
  <c r="A16451" i="1"/>
  <c r="E16451" i="1"/>
  <c r="F16451" i="1"/>
  <c r="B16452" i="1"/>
  <c r="A16452" i="1"/>
  <c r="E16452" i="1"/>
  <c r="F16452" i="1"/>
  <c r="B16453" i="1"/>
  <c r="A16453" i="1"/>
  <c r="E16453" i="1"/>
  <c r="F16453" i="1"/>
  <c r="B16454" i="1"/>
  <c r="A16454" i="1"/>
  <c r="E16454" i="1"/>
  <c r="F16454" i="1"/>
  <c r="B16455" i="1"/>
  <c r="A16455" i="1"/>
  <c r="E16455" i="1"/>
  <c r="F16455" i="1"/>
  <c r="B16456" i="1"/>
  <c r="A16456" i="1"/>
  <c r="E16456" i="1"/>
  <c r="F16456" i="1"/>
  <c r="B16457" i="1"/>
  <c r="A16457" i="1"/>
  <c r="E16457" i="1"/>
  <c r="F16457" i="1"/>
  <c r="B16458" i="1"/>
  <c r="A16458" i="1"/>
  <c r="E16458" i="1"/>
  <c r="F16458" i="1"/>
  <c r="B16459" i="1"/>
  <c r="A16459" i="1"/>
  <c r="E16459" i="1"/>
  <c r="F16459" i="1"/>
  <c r="B16460" i="1"/>
  <c r="A16460" i="1"/>
  <c r="E16460" i="1"/>
  <c r="F16460" i="1"/>
  <c r="B16461" i="1"/>
  <c r="A16461" i="1"/>
  <c r="E16461" i="1"/>
  <c r="F16461" i="1"/>
  <c r="B16462" i="1"/>
  <c r="A16462" i="1"/>
  <c r="E16462" i="1"/>
  <c r="F16462" i="1"/>
  <c r="B16463" i="1"/>
  <c r="A16463" i="1"/>
  <c r="E16463" i="1"/>
  <c r="F16463" i="1"/>
  <c r="G16463" i="1"/>
  <c r="B16464" i="1"/>
  <c r="A16464" i="1"/>
  <c r="E16464" i="1"/>
  <c r="F16464" i="1"/>
  <c r="G16464" i="1"/>
  <c r="B16465" i="1"/>
  <c r="A16465" i="1"/>
  <c r="E16465" i="1"/>
  <c r="F16465" i="1"/>
  <c r="B16466" i="1"/>
  <c r="A16466" i="1"/>
  <c r="E16466" i="1"/>
  <c r="F16466" i="1"/>
  <c r="B16467" i="1"/>
  <c r="A16467" i="1"/>
  <c r="E16467" i="1"/>
  <c r="F16467" i="1"/>
  <c r="G16467" i="1"/>
  <c r="B16468" i="1"/>
  <c r="A16468" i="1"/>
  <c r="E16468" i="1"/>
  <c r="F16468" i="1"/>
  <c r="B16469" i="1"/>
  <c r="A16469" i="1"/>
  <c r="E16469" i="1"/>
  <c r="F16469" i="1"/>
  <c r="G16469" i="1"/>
  <c r="B16470" i="1"/>
  <c r="A16470" i="1"/>
  <c r="E16470" i="1"/>
  <c r="F16470" i="1"/>
  <c r="G16470" i="1"/>
  <c r="B16471" i="1"/>
  <c r="A16471" i="1"/>
  <c r="E16471" i="1"/>
  <c r="F16471" i="1"/>
  <c r="G16471" i="1"/>
  <c r="B16472" i="1"/>
  <c r="A16472" i="1"/>
  <c r="E16472" i="1"/>
  <c r="F16472" i="1"/>
  <c r="B16473" i="1"/>
  <c r="A16473" i="1"/>
  <c r="E16473" i="1"/>
  <c r="F16473" i="1"/>
  <c r="B16474" i="1"/>
  <c r="A16474" i="1"/>
  <c r="E16474" i="1"/>
  <c r="F16474" i="1"/>
  <c r="B16475" i="1"/>
  <c r="A16475" i="1"/>
  <c r="E16475" i="1"/>
  <c r="F16475" i="1"/>
  <c r="B16476" i="1"/>
  <c r="A16476" i="1"/>
  <c r="E16476" i="1"/>
  <c r="F16476" i="1"/>
  <c r="B16477" i="1"/>
  <c r="A16477" i="1"/>
  <c r="E16477" i="1"/>
  <c r="F16477" i="1"/>
  <c r="B16478" i="1"/>
  <c r="A16478" i="1"/>
  <c r="E16478" i="1"/>
  <c r="F16478" i="1"/>
  <c r="G16478" i="1"/>
  <c r="B16479" i="1"/>
  <c r="A16479" i="1"/>
  <c r="E16479" i="1"/>
  <c r="F16479" i="1"/>
  <c r="G16479" i="1"/>
  <c r="B16480" i="1"/>
  <c r="A16480" i="1"/>
  <c r="E16480" i="1"/>
  <c r="F16480" i="1"/>
  <c r="G16480" i="1"/>
  <c r="B16481" i="1"/>
  <c r="A16481" i="1"/>
  <c r="E16481" i="1"/>
  <c r="F16481" i="1"/>
  <c r="G16481" i="1"/>
  <c r="B16482" i="1"/>
  <c r="A16482" i="1"/>
  <c r="E16482" i="1"/>
  <c r="F16482" i="1"/>
  <c r="G16482" i="1"/>
  <c r="B16483" i="1"/>
  <c r="A16483" i="1"/>
  <c r="E16483" i="1"/>
  <c r="B16484" i="1"/>
  <c r="A16484" i="1"/>
  <c r="E16484" i="1"/>
  <c r="B16485" i="1"/>
  <c r="A16485" i="1"/>
  <c r="E16485" i="1"/>
  <c r="B16486" i="1"/>
  <c r="A16486" i="1"/>
  <c r="E16486" i="1"/>
  <c r="B16487" i="1"/>
  <c r="A16487" i="1"/>
  <c r="E16487" i="1"/>
  <c r="B16488" i="1"/>
  <c r="A16488" i="1"/>
  <c r="E16488" i="1"/>
  <c r="B16489" i="1"/>
  <c r="A16489" i="1"/>
  <c r="E16489" i="1"/>
  <c r="G16489" i="1"/>
  <c r="B16490" i="1"/>
  <c r="A16490" i="1"/>
  <c r="E16490" i="1"/>
  <c r="B16491" i="1"/>
  <c r="A16491" i="1"/>
  <c r="E16491" i="1"/>
  <c r="B16492" i="1"/>
  <c r="A16492" i="1"/>
  <c r="E16492" i="1"/>
  <c r="B16493" i="1"/>
  <c r="A16493" i="1"/>
  <c r="E16493" i="1"/>
  <c r="B16494" i="1"/>
  <c r="A16494" i="1"/>
  <c r="E16494" i="1"/>
  <c r="B16495" i="1"/>
  <c r="A16495" i="1"/>
  <c r="E16495" i="1"/>
  <c r="B16496" i="1"/>
  <c r="A16496" i="1"/>
  <c r="E16496" i="1"/>
  <c r="G16496" i="1"/>
  <c r="B16497" i="1"/>
  <c r="A16497" i="1"/>
  <c r="E16497" i="1"/>
  <c r="B16498" i="1"/>
  <c r="A16498" i="1"/>
  <c r="E16498" i="1"/>
  <c r="B16499" i="1"/>
  <c r="A16499" i="1"/>
  <c r="E16499" i="1"/>
  <c r="B16500" i="1"/>
  <c r="A16500" i="1"/>
  <c r="E16500" i="1"/>
  <c r="B16501" i="1"/>
  <c r="A16501" i="1"/>
  <c r="E16501" i="1"/>
  <c r="B16502" i="1"/>
  <c r="A16502" i="1"/>
  <c r="E16502" i="1"/>
  <c r="B16503" i="1"/>
  <c r="A16503" i="1"/>
  <c r="E16503" i="1"/>
  <c r="B16504" i="1"/>
  <c r="A16504" i="1"/>
  <c r="E16504" i="1"/>
  <c r="B16505" i="1"/>
  <c r="A16505" i="1"/>
  <c r="E16505" i="1"/>
  <c r="B16506" i="1"/>
  <c r="A16506" i="1"/>
  <c r="E16506" i="1"/>
  <c r="B16507" i="1"/>
  <c r="A16507" i="1"/>
  <c r="E16507" i="1"/>
  <c r="B16508" i="1"/>
  <c r="A16508" i="1"/>
  <c r="E16508" i="1"/>
  <c r="B16509" i="1"/>
  <c r="A16509" i="1"/>
  <c r="E16509" i="1"/>
  <c r="B16510" i="1"/>
  <c r="A16510" i="1"/>
  <c r="E16510" i="1"/>
  <c r="B16511" i="1"/>
  <c r="A16511" i="1"/>
  <c r="E16511" i="1"/>
  <c r="B16512" i="1"/>
  <c r="A16512" i="1"/>
  <c r="E16512" i="1"/>
  <c r="B16513" i="1"/>
  <c r="A16513" i="1"/>
  <c r="E16513" i="1"/>
  <c r="B16514" i="1"/>
  <c r="A16514" i="1"/>
  <c r="E16514" i="1"/>
  <c r="B16515" i="1"/>
  <c r="A16515" i="1"/>
  <c r="E16515" i="1"/>
  <c r="B16516" i="1"/>
  <c r="A16516" i="1"/>
  <c r="E16516" i="1"/>
  <c r="B16517" i="1"/>
  <c r="A16517" i="1"/>
  <c r="E16517" i="1"/>
  <c r="B16518" i="1"/>
  <c r="A16518" i="1"/>
  <c r="E16518" i="1"/>
  <c r="B16519" i="1"/>
  <c r="A16519" i="1"/>
  <c r="E16519" i="1"/>
  <c r="B16520" i="1"/>
  <c r="A16520" i="1"/>
  <c r="E16520" i="1"/>
  <c r="B16521" i="1"/>
  <c r="A16521" i="1"/>
  <c r="E16521" i="1"/>
  <c r="B16522" i="1"/>
  <c r="A16522" i="1"/>
  <c r="E16522" i="1"/>
  <c r="B16523" i="1"/>
  <c r="A16523" i="1"/>
  <c r="E16523" i="1"/>
  <c r="B16524" i="1"/>
  <c r="A16524" i="1"/>
  <c r="E16524" i="1"/>
  <c r="B16525" i="1"/>
  <c r="A16525" i="1"/>
  <c r="E16525" i="1"/>
  <c r="B16526" i="1"/>
  <c r="A16526" i="1"/>
  <c r="E16526" i="1"/>
  <c r="B16527" i="1"/>
  <c r="A16527" i="1"/>
  <c r="E16527" i="1"/>
  <c r="B16528" i="1"/>
  <c r="A16528" i="1"/>
  <c r="E16528" i="1"/>
  <c r="B16529" i="1"/>
  <c r="A16529" i="1"/>
  <c r="E16529" i="1"/>
  <c r="B16530" i="1"/>
  <c r="A16530" i="1"/>
  <c r="E16530" i="1"/>
  <c r="B16531" i="1"/>
  <c r="A16531" i="1"/>
  <c r="E16531" i="1"/>
  <c r="B16532" i="1"/>
  <c r="A16532" i="1"/>
  <c r="E16532" i="1"/>
  <c r="B16533" i="1"/>
  <c r="A16533" i="1"/>
  <c r="E16533" i="1"/>
  <c r="B16534" i="1"/>
  <c r="A16534" i="1"/>
  <c r="E16534" i="1"/>
  <c r="B16535" i="1"/>
  <c r="A16535" i="1"/>
  <c r="E16535" i="1"/>
  <c r="B16536" i="1"/>
  <c r="A16536" i="1"/>
  <c r="E16536" i="1"/>
  <c r="B16537" i="1"/>
  <c r="A16537" i="1"/>
  <c r="E16537" i="1"/>
  <c r="B16538" i="1"/>
  <c r="A16538" i="1"/>
  <c r="E16538" i="1"/>
  <c r="B16539" i="1"/>
  <c r="A16539" i="1"/>
  <c r="E16539" i="1"/>
  <c r="B16540" i="1"/>
  <c r="A16540" i="1"/>
  <c r="E16540" i="1"/>
  <c r="B16541" i="1"/>
  <c r="A16541" i="1"/>
  <c r="E16541" i="1"/>
  <c r="B16542" i="1"/>
  <c r="A16542" i="1"/>
  <c r="E16542" i="1"/>
  <c r="A16543" i="1"/>
  <c r="E16543" i="1"/>
  <c r="A16544" i="1"/>
  <c r="E16544" i="1"/>
  <c r="B16545" i="1"/>
  <c r="A16545" i="1"/>
  <c r="E16545" i="1"/>
  <c r="B16546" i="1"/>
  <c r="A16546" i="1"/>
  <c r="E16546" i="1"/>
  <c r="B16547" i="1"/>
  <c r="A16547" i="1"/>
  <c r="E16547" i="1"/>
  <c r="B16548" i="1"/>
  <c r="A16548" i="1"/>
  <c r="E16548" i="1"/>
  <c r="G16548" i="1"/>
  <c r="B16549" i="1"/>
  <c r="A16549" i="1"/>
  <c r="E16549" i="1"/>
  <c r="B16550" i="1"/>
  <c r="A16550" i="1"/>
  <c r="E16550" i="1"/>
  <c r="B16551" i="1"/>
  <c r="A16551" i="1"/>
  <c r="E16551" i="1"/>
  <c r="B16552" i="1"/>
  <c r="A16552" i="1"/>
  <c r="E16552" i="1"/>
  <c r="B16553" i="1"/>
  <c r="A16553" i="1"/>
  <c r="E16553" i="1"/>
  <c r="B16554" i="1"/>
  <c r="A16554" i="1"/>
  <c r="E16554" i="1"/>
  <c r="B16555" i="1"/>
  <c r="A16555" i="1"/>
  <c r="E16555" i="1"/>
  <c r="B16556" i="1"/>
  <c r="A16556" i="1"/>
  <c r="E16556" i="1"/>
  <c r="B16557" i="1"/>
  <c r="A16557" i="1"/>
  <c r="E16557" i="1"/>
  <c r="B16558" i="1"/>
  <c r="A16558" i="1"/>
  <c r="E16558" i="1"/>
  <c r="B16559" i="1"/>
  <c r="A16559" i="1"/>
  <c r="E16559" i="1"/>
  <c r="B16560" i="1"/>
  <c r="A16560" i="1"/>
  <c r="E16560" i="1"/>
  <c r="G16560" i="1"/>
  <c r="B16561" i="1"/>
  <c r="A16561" i="1"/>
  <c r="E16561" i="1"/>
  <c r="B16562" i="1"/>
  <c r="A16562" i="1"/>
  <c r="E16562" i="1"/>
  <c r="B16563" i="1"/>
  <c r="A16563" i="1"/>
  <c r="E16563" i="1"/>
  <c r="F16563" i="1"/>
  <c r="B16564" i="1"/>
  <c r="A16564" i="1"/>
  <c r="E16564" i="1"/>
  <c r="F16564" i="1"/>
  <c r="B16565" i="1"/>
  <c r="A16565" i="1"/>
  <c r="E16565" i="1"/>
  <c r="F16565" i="1"/>
  <c r="B16566" i="1"/>
  <c r="A16566" i="1"/>
  <c r="E16566" i="1"/>
  <c r="F16566" i="1"/>
  <c r="B16567" i="1"/>
  <c r="A16567" i="1"/>
  <c r="E16567" i="1"/>
  <c r="F16567" i="1"/>
  <c r="B16568" i="1"/>
  <c r="A16568" i="1"/>
  <c r="E16568" i="1"/>
  <c r="F16568" i="1"/>
  <c r="B16569" i="1"/>
  <c r="A16569" i="1"/>
  <c r="E16569" i="1"/>
  <c r="F16569" i="1"/>
  <c r="B16570" i="1"/>
  <c r="A16570" i="1"/>
  <c r="E16570" i="1"/>
  <c r="F16570" i="1"/>
  <c r="B16571" i="1"/>
  <c r="A16571" i="1"/>
  <c r="E16571" i="1"/>
  <c r="F16571" i="1"/>
  <c r="B16572" i="1"/>
  <c r="A16572" i="1"/>
  <c r="E16572" i="1"/>
  <c r="F16572" i="1"/>
  <c r="B16573" i="1"/>
  <c r="A16573" i="1"/>
  <c r="E16573" i="1"/>
  <c r="F16573" i="1"/>
  <c r="B16574" i="1"/>
  <c r="A16574" i="1"/>
  <c r="E16574" i="1"/>
  <c r="F16574" i="1"/>
  <c r="G16574" i="1"/>
  <c r="B16575" i="1"/>
  <c r="A16575" i="1"/>
  <c r="E16575" i="1"/>
  <c r="F16575" i="1"/>
  <c r="G16575" i="1"/>
  <c r="B16576" i="1"/>
  <c r="A16576" i="1"/>
  <c r="E16576" i="1"/>
  <c r="F16576" i="1"/>
  <c r="B16577" i="1"/>
  <c r="A16577" i="1"/>
  <c r="E16577" i="1"/>
  <c r="F16577" i="1"/>
  <c r="B16578" i="1"/>
  <c r="A16578" i="1"/>
  <c r="E16578" i="1"/>
  <c r="F16578" i="1"/>
  <c r="B16579" i="1"/>
  <c r="A16579" i="1"/>
  <c r="E16579" i="1"/>
  <c r="B16580" i="1"/>
  <c r="A16580" i="1"/>
  <c r="E16580" i="1"/>
  <c r="G16580" i="1"/>
  <c r="B16581" i="1"/>
  <c r="A16581" i="1"/>
  <c r="E16581" i="1"/>
  <c r="B16582" i="1"/>
  <c r="A16582" i="1"/>
  <c r="E16582" i="1"/>
  <c r="B16583" i="1"/>
  <c r="A16583" i="1"/>
  <c r="E16583" i="1"/>
  <c r="B16584" i="1"/>
  <c r="A16584" i="1"/>
  <c r="E16584" i="1"/>
  <c r="B16585" i="1"/>
  <c r="A16585" i="1"/>
  <c r="E16585" i="1"/>
  <c r="F16585" i="1"/>
  <c r="B16586" i="1"/>
  <c r="A16586" i="1"/>
  <c r="E16586" i="1"/>
  <c r="F16586" i="1"/>
  <c r="B16587" i="1"/>
  <c r="A16587" i="1"/>
  <c r="E16587" i="1"/>
  <c r="B16588" i="1"/>
  <c r="A16588" i="1"/>
  <c r="E16588" i="1"/>
  <c r="B16589" i="1"/>
  <c r="A16589" i="1"/>
  <c r="E16589" i="1"/>
  <c r="B16590" i="1"/>
  <c r="A16590" i="1"/>
  <c r="E16590" i="1"/>
  <c r="B16591" i="1"/>
  <c r="A16591" i="1"/>
  <c r="E16591" i="1"/>
  <c r="B16592" i="1"/>
  <c r="A16592" i="1"/>
  <c r="E16592" i="1"/>
  <c r="B16593" i="1"/>
  <c r="A16593" i="1"/>
  <c r="E16593" i="1"/>
  <c r="B16594" i="1"/>
  <c r="A16594" i="1"/>
  <c r="E16594" i="1"/>
  <c r="B16595" i="1"/>
  <c r="A16595" i="1"/>
  <c r="E16595" i="1"/>
  <c r="B16596" i="1"/>
  <c r="A16596" i="1"/>
  <c r="E16596" i="1"/>
  <c r="B16597" i="1"/>
  <c r="A16597" i="1"/>
  <c r="E16597" i="1"/>
  <c r="A16598" i="1"/>
  <c r="E16598" i="1"/>
  <c r="B16599" i="1"/>
  <c r="A16599" i="1"/>
  <c r="E16599" i="1"/>
  <c r="B16600" i="1"/>
  <c r="A16600" i="1"/>
  <c r="E16600" i="1"/>
  <c r="B16601" i="1"/>
  <c r="A16601" i="1"/>
  <c r="E16601" i="1"/>
  <c r="B16602" i="1"/>
  <c r="A16602" i="1"/>
  <c r="E16602" i="1"/>
  <c r="B16603" i="1"/>
  <c r="A16603" i="1"/>
  <c r="E16603" i="1"/>
  <c r="B16604" i="1"/>
  <c r="A16604" i="1"/>
  <c r="E16604" i="1"/>
  <c r="F16604" i="1"/>
  <c r="B16605" i="1"/>
  <c r="A16605" i="1"/>
  <c r="E16605" i="1"/>
  <c r="F16605" i="1"/>
  <c r="B16606" i="1"/>
  <c r="A16606" i="1"/>
  <c r="E16606" i="1"/>
  <c r="F16606" i="1"/>
  <c r="B16607" i="1"/>
  <c r="A16607" i="1"/>
  <c r="E16607" i="1"/>
  <c r="F16607" i="1"/>
  <c r="B16608" i="1"/>
  <c r="A16608" i="1"/>
  <c r="E16608" i="1"/>
  <c r="B16609" i="1"/>
  <c r="A16609" i="1"/>
  <c r="E16609" i="1"/>
  <c r="B16610" i="1"/>
  <c r="A16610" i="1"/>
  <c r="E16610" i="1"/>
  <c r="B16611" i="1"/>
  <c r="A16611" i="1"/>
  <c r="E16611" i="1"/>
  <c r="F16611" i="1"/>
  <c r="B16612" i="1"/>
  <c r="A16612" i="1"/>
  <c r="E16612" i="1"/>
  <c r="F16612" i="1"/>
  <c r="G16612" i="1"/>
  <c r="B16613" i="1"/>
  <c r="A16613" i="1"/>
  <c r="E16613" i="1"/>
  <c r="F16613" i="1"/>
  <c r="B16614" i="1"/>
  <c r="A16614" i="1"/>
  <c r="E16614" i="1"/>
  <c r="F16614" i="1"/>
  <c r="B16615" i="1"/>
  <c r="A16615" i="1"/>
  <c r="E16615" i="1"/>
  <c r="F16615" i="1"/>
  <c r="G16615" i="1"/>
  <c r="B16616" i="1"/>
  <c r="A16616" i="1"/>
  <c r="E16616" i="1"/>
  <c r="F16616" i="1"/>
  <c r="G16616" i="1"/>
  <c r="B16617" i="1"/>
  <c r="A16617" i="1"/>
  <c r="E16617" i="1"/>
  <c r="F16617" i="1"/>
  <c r="B16618" i="1"/>
  <c r="A16618" i="1"/>
  <c r="E16618" i="1"/>
  <c r="F16618" i="1"/>
  <c r="B16619" i="1"/>
  <c r="A16619" i="1"/>
  <c r="E16619" i="1"/>
  <c r="F16619" i="1"/>
  <c r="B16620" i="1"/>
  <c r="A16620" i="1"/>
  <c r="E16620" i="1"/>
  <c r="F16620" i="1"/>
  <c r="G16620" i="1"/>
  <c r="B16621" i="1"/>
  <c r="A16621" i="1"/>
  <c r="E16621" i="1"/>
  <c r="F16621" i="1"/>
  <c r="G16621" i="1"/>
  <c r="B16622" i="1"/>
  <c r="A16622" i="1"/>
  <c r="E16622" i="1"/>
  <c r="F16622" i="1"/>
  <c r="G16622" i="1"/>
  <c r="B16623" i="1"/>
  <c r="A16623" i="1"/>
  <c r="E16623" i="1"/>
  <c r="F16623" i="1"/>
  <c r="G16623" i="1"/>
  <c r="B16624" i="1"/>
  <c r="A16624" i="1"/>
  <c r="E16624" i="1"/>
  <c r="F16624" i="1"/>
  <c r="G16624" i="1"/>
  <c r="B16625" i="1"/>
  <c r="A16625" i="1"/>
  <c r="E16625" i="1"/>
  <c r="F16625" i="1"/>
  <c r="G16625" i="1"/>
  <c r="B16626" i="1"/>
  <c r="A16626" i="1"/>
  <c r="E16626" i="1"/>
  <c r="F16626" i="1"/>
  <c r="B16627" i="1"/>
  <c r="A16627" i="1"/>
  <c r="E16627" i="1"/>
  <c r="F16627" i="1"/>
  <c r="B16628" i="1"/>
  <c r="A16628" i="1"/>
  <c r="E16628" i="1"/>
  <c r="F16628" i="1"/>
  <c r="B16629" i="1"/>
  <c r="A16629" i="1"/>
  <c r="E16629" i="1"/>
  <c r="F16629" i="1"/>
  <c r="G16629" i="1"/>
  <c r="B16630" i="1"/>
  <c r="A16630" i="1"/>
  <c r="E16630" i="1"/>
  <c r="F16630" i="1"/>
  <c r="G16630" i="1"/>
  <c r="B16631" i="1"/>
  <c r="A16631" i="1"/>
  <c r="E16631" i="1"/>
  <c r="F16631" i="1"/>
  <c r="G16631" i="1"/>
  <c r="B16632" i="1"/>
  <c r="A16632" i="1"/>
  <c r="E16632" i="1"/>
  <c r="F16632" i="1"/>
  <c r="G16632" i="1"/>
  <c r="B16633" i="1"/>
  <c r="A16633" i="1"/>
  <c r="E16633" i="1"/>
  <c r="F16633" i="1"/>
  <c r="G16633" i="1"/>
  <c r="B16634" i="1"/>
  <c r="A16634" i="1"/>
  <c r="E16634" i="1"/>
  <c r="F16634" i="1"/>
  <c r="B16635" i="1"/>
  <c r="A16635" i="1"/>
  <c r="E16635" i="1"/>
  <c r="F16635" i="1"/>
  <c r="B16636" i="1"/>
  <c r="A16636" i="1"/>
  <c r="E16636" i="1"/>
  <c r="F16636" i="1"/>
  <c r="B16637" i="1"/>
  <c r="A16637" i="1"/>
  <c r="E16637" i="1"/>
  <c r="F16637" i="1"/>
  <c r="G16637" i="1"/>
  <c r="B16638" i="1"/>
  <c r="A16638" i="1"/>
  <c r="E16638" i="1"/>
  <c r="F16638" i="1"/>
  <c r="B16639" i="1"/>
  <c r="A16639" i="1"/>
  <c r="E16639" i="1"/>
  <c r="F16639" i="1"/>
  <c r="G16639" i="1"/>
  <c r="B16640" i="1"/>
  <c r="A16640" i="1"/>
  <c r="E16640" i="1"/>
  <c r="F16640" i="1"/>
  <c r="B16641" i="1"/>
  <c r="A16641" i="1"/>
  <c r="E16641" i="1"/>
  <c r="F16641" i="1"/>
  <c r="B16642" i="1"/>
  <c r="A16642" i="1"/>
  <c r="E16642" i="1"/>
  <c r="F16642" i="1"/>
  <c r="B16643" i="1"/>
  <c r="A16643" i="1"/>
  <c r="E16643" i="1"/>
  <c r="F16643" i="1"/>
  <c r="G16643" i="1"/>
  <c r="B16644" i="1"/>
  <c r="A16644" i="1"/>
  <c r="E16644" i="1"/>
  <c r="F16644" i="1"/>
  <c r="G16644" i="1"/>
  <c r="B16645" i="1"/>
  <c r="A16645" i="1"/>
  <c r="E16645" i="1"/>
  <c r="F16645" i="1"/>
  <c r="G16645" i="1"/>
  <c r="B16646" i="1"/>
  <c r="A16646" i="1"/>
  <c r="E16646" i="1"/>
  <c r="F16646" i="1"/>
  <c r="B16647" i="1"/>
  <c r="A16647" i="1"/>
  <c r="E16647" i="1"/>
  <c r="F16647" i="1"/>
  <c r="G16647" i="1"/>
  <c r="B16648" i="1"/>
  <c r="A16648" i="1"/>
  <c r="E16648" i="1"/>
  <c r="F16648" i="1"/>
  <c r="B16649" i="1"/>
  <c r="A16649" i="1"/>
  <c r="E16649" i="1"/>
  <c r="F16649" i="1"/>
  <c r="B16650" i="1"/>
  <c r="A16650" i="1"/>
  <c r="E16650" i="1"/>
  <c r="F16650" i="1"/>
  <c r="B16651" i="1"/>
  <c r="A16651" i="1"/>
  <c r="E16651" i="1"/>
  <c r="F16651" i="1"/>
  <c r="B16652" i="1"/>
  <c r="A16652" i="1"/>
  <c r="E16652" i="1"/>
  <c r="F16652" i="1"/>
  <c r="B16653" i="1"/>
  <c r="A16653" i="1"/>
  <c r="E16653" i="1"/>
  <c r="F16653" i="1"/>
  <c r="B16654" i="1"/>
  <c r="A16654" i="1"/>
  <c r="E16654" i="1"/>
  <c r="F16654" i="1"/>
  <c r="B16655" i="1"/>
  <c r="A16655" i="1"/>
  <c r="E16655" i="1"/>
  <c r="F16655" i="1"/>
  <c r="B16656" i="1"/>
  <c r="A16656" i="1"/>
  <c r="E16656" i="1"/>
  <c r="F16656" i="1"/>
  <c r="B16657" i="1"/>
  <c r="A16657" i="1"/>
  <c r="E16657" i="1"/>
  <c r="F16657" i="1"/>
  <c r="B16658" i="1"/>
  <c r="A16658" i="1"/>
  <c r="E16658" i="1"/>
  <c r="F16658" i="1"/>
  <c r="B16659" i="1"/>
  <c r="A16659" i="1"/>
  <c r="E16659" i="1"/>
  <c r="F16659" i="1"/>
  <c r="G16659" i="1"/>
  <c r="B16660" i="1"/>
  <c r="A16660" i="1"/>
  <c r="E16660" i="1"/>
  <c r="F16660" i="1"/>
  <c r="B16661" i="1"/>
  <c r="A16661" i="1"/>
  <c r="E16661" i="1"/>
  <c r="F16661" i="1"/>
  <c r="B16662" i="1"/>
  <c r="A16662" i="1"/>
  <c r="E16662" i="1"/>
  <c r="F16662" i="1"/>
  <c r="B16663" i="1"/>
  <c r="A16663" i="1"/>
  <c r="E16663" i="1"/>
  <c r="F16663" i="1"/>
  <c r="B16664" i="1"/>
  <c r="A16664" i="1"/>
  <c r="E16664" i="1"/>
  <c r="F16664" i="1"/>
  <c r="B16665" i="1"/>
  <c r="A16665" i="1"/>
  <c r="E16665" i="1"/>
  <c r="F16665" i="1"/>
  <c r="B16666" i="1"/>
  <c r="A16666" i="1"/>
  <c r="E16666" i="1"/>
  <c r="F16666" i="1"/>
  <c r="B16667" i="1"/>
  <c r="A16667" i="1"/>
  <c r="E16667" i="1"/>
  <c r="F16667" i="1"/>
  <c r="G16667" i="1"/>
  <c r="B16668" i="1"/>
  <c r="A16668" i="1"/>
  <c r="E16668" i="1"/>
  <c r="F16668" i="1"/>
  <c r="G16668" i="1"/>
  <c r="B16669" i="1"/>
  <c r="A16669" i="1"/>
  <c r="E16669" i="1"/>
  <c r="F16669" i="1"/>
  <c r="B16670" i="1"/>
  <c r="A16670" i="1"/>
  <c r="E16670" i="1"/>
  <c r="F16670" i="1"/>
  <c r="B16671" i="1"/>
  <c r="A16671" i="1"/>
  <c r="E16671" i="1"/>
  <c r="F16671" i="1"/>
  <c r="B16672" i="1"/>
  <c r="A16672" i="1"/>
  <c r="E16672" i="1"/>
  <c r="F16672" i="1"/>
  <c r="B16673" i="1"/>
  <c r="A16673" i="1"/>
  <c r="E16673" i="1"/>
  <c r="F16673" i="1"/>
  <c r="B16674" i="1"/>
  <c r="A16674" i="1"/>
  <c r="E16674" i="1"/>
  <c r="F16674" i="1"/>
  <c r="B16675" i="1"/>
  <c r="A16675" i="1"/>
  <c r="E16675" i="1"/>
  <c r="F16675" i="1"/>
  <c r="B16676" i="1"/>
  <c r="A16676" i="1"/>
  <c r="E16676" i="1"/>
  <c r="F16676" i="1"/>
  <c r="B16677" i="1"/>
  <c r="A16677" i="1"/>
  <c r="E16677" i="1"/>
  <c r="F16677" i="1"/>
  <c r="B16678" i="1"/>
  <c r="A16678" i="1"/>
  <c r="E16678" i="1"/>
  <c r="F16678" i="1"/>
  <c r="B16679" i="1"/>
  <c r="A16679" i="1"/>
  <c r="E16679" i="1"/>
  <c r="F16679" i="1"/>
  <c r="B16680" i="1"/>
  <c r="A16680" i="1"/>
  <c r="E16680" i="1"/>
  <c r="F16680" i="1"/>
  <c r="B16681" i="1"/>
  <c r="A16681" i="1"/>
  <c r="E16681" i="1"/>
  <c r="F16681" i="1"/>
  <c r="B16682" i="1"/>
  <c r="A16682" i="1"/>
  <c r="E16682" i="1"/>
  <c r="F16682" i="1"/>
  <c r="B16683" i="1"/>
  <c r="A16683" i="1"/>
  <c r="E16683" i="1"/>
  <c r="F16683" i="1"/>
  <c r="B16684" i="1"/>
  <c r="A16684" i="1"/>
  <c r="E16684" i="1"/>
  <c r="F16684" i="1"/>
  <c r="B16685" i="1"/>
  <c r="A16685" i="1"/>
  <c r="E16685" i="1"/>
  <c r="F16685" i="1"/>
  <c r="B16686" i="1"/>
  <c r="A16686" i="1"/>
  <c r="E16686" i="1"/>
  <c r="F16686" i="1"/>
  <c r="B16687" i="1"/>
  <c r="A16687" i="1"/>
  <c r="E16687" i="1"/>
  <c r="F16687" i="1"/>
  <c r="B16688" i="1"/>
  <c r="A16688" i="1"/>
  <c r="E16688" i="1"/>
  <c r="F16688" i="1"/>
  <c r="B16689" i="1"/>
  <c r="A16689" i="1"/>
  <c r="E16689" i="1"/>
  <c r="F16689" i="1"/>
  <c r="B16690" i="1"/>
  <c r="A16690" i="1"/>
  <c r="E16690" i="1"/>
  <c r="F16690" i="1"/>
  <c r="B16691" i="1"/>
  <c r="A16691" i="1"/>
  <c r="E16691" i="1"/>
  <c r="F16691" i="1"/>
  <c r="B16692" i="1"/>
  <c r="A16692" i="1"/>
  <c r="E16692" i="1"/>
  <c r="F16692" i="1"/>
  <c r="B16693" i="1"/>
  <c r="A16693" i="1"/>
  <c r="E16693" i="1"/>
  <c r="F16693" i="1"/>
  <c r="B16694" i="1"/>
  <c r="A16694" i="1"/>
  <c r="E16694" i="1"/>
  <c r="F16694" i="1"/>
  <c r="B16695" i="1"/>
  <c r="A16695" i="1"/>
  <c r="E16695" i="1"/>
  <c r="F16695" i="1"/>
  <c r="G16695" i="1"/>
  <c r="B16696" i="1"/>
  <c r="A16696" i="1"/>
  <c r="E16696" i="1"/>
  <c r="F16696" i="1"/>
  <c r="G16696" i="1"/>
  <c r="B16697" i="1"/>
  <c r="A16697" i="1"/>
  <c r="E16697" i="1"/>
  <c r="F16697" i="1"/>
  <c r="G16697" i="1"/>
  <c r="B16698" i="1"/>
  <c r="A16698" i="1"/>
  <c r="E16698" i="1"/>
  <c r="F16698" i="1"/>
  <c r="G16698" i="1"/>
  <c r="B16699" i="1"/>
  <c r="A16699" i="1"/>
  <c r="E16699" i="1"/>
  <c r="F16699" i="1"/>
  <c r="B16700" i="1"/>
  <c r="A16700" i="1"/>
  <c r="E16700" i="1"/>
  <c r="F16700" i="1"/>
  <c r="B16701" i="1"/>
  <c r="A16701" i="1"/>
  <c r="E16701" i="1"/>
  <c r="F16701" i="1"/>
  <c r="B16702" i="1"/>
  <c r="A16702" i="1"/>
  <c r="E16702" i="1"/>
  <c r="F16702" i="1"/>
  <c r="G16702" i="1"/>
  <c r="B16703" i="1"/>
  <c r="A16703" i="1"/>
  <c r="E16703" i="1"/>
  <c r="F16703" i="1"/>
  <c r="G16703" i="1"/>
  <c r="B16704" i="1"/>
  <c r="A16704" i="1"/>
  <c r="E16704" i="1"/>
  <c r="F16704" i="1"/>
  <c r="B16705" i="1"/>
  <c r="A16705" i="1"/>
  <c r="E16705" i="1"/>
  <c r="F16705" i="1"/>
  <c r="G16705" i="1"/>
  <c r="B16706" i="1"/>
  <c r="A16706" i="1"/>
  <c r="E16706" i="1"/>
  <c r="F16706" i="1"/>
  <c r="G16706" i="1"/>
  <c r="B16707" i="1"/>
  <c r="A16707" i="1"/>
  <c r="E16707" i="1"/>
  <c r="F16707" i="1"/>
  <c r="G16707" i="1"/>
  <c r="B16708" i="1"/>
  <c r="A16708" i="1"/>
  <c r="E16708" i="1"/>
  <c r="F16708" i="1"/>
  <c r="B16709" i="1"/>
  <c r="A16709" i="1"/>
  <c r="E16709" i="1"/>
  <c r="F16709" i="1"/>
  <c r="G16709" i="1"/>
  <c r="B16710" i="1"/>
  <c r="A16710" i="1"/>
  <c r="E16710" i="1"/>
  <c r="F16710" i="1"/>
  <c r="G16710" i="1"/>
  <c r="B16711" i="1"/>
  <c r="A16711" i="1"/>
  <c r="E16711" i="1"/>
  <c r="F16711" i="1"/>
  <c r="G16711" i="1"/>
  <c r="B16712" i="1"/>
  <c r="A16712" i="1"/>
  <c r="E16712" i="1"/>
  <c r="F16712" i="1"/>
  <c r="G16712" i="1"/>
  <c r="B16713" i="1"/>
  <c r="A16713" i="1"/>
  <c r="E16713" i="1"/>
  <c r="F16713" i="1"/>
  <c r="B16714" i="1"/>
  <c r="A16714" i="1"/>
  <c r="E16714" i="1"/>
  <c r="F16714" i="1"/>
  <c r="G16714" i="1"/>
  <c r="B16715" i="1"/>
  <c r="A16715" i="1"/>
  <c r="E16715" i="1"/>
  <c r="F16715" i="1"/>
  <c r="G16715" i="1"/>
  <c r="B16716" i="1"/>
  <c r="A16716" i="1"/>
  <c r="E16716" i="1"/>
  <c r="F16716" i="1"/>
  <c r="G16716" i="1"/>
  <c r="B16717" i="1"/>
  <c r="A16717" i="1"/>
  <c r="E16717" i="1"/>
  <c r="F16717" i="1"/>
  <c r="B16718" i="1"/>
  <c r="A16718" i="1"/>
  <c r="E16718" i="1"/>
  <c r="F16718" i="1"/>
  <c r="B16719" i="1"/>
  <c r="A16719" i="1"/>
  <c r="E16719" i="1"/>
  <c r="F16719" i="1"/>
  <c r="G16719" i="1"/>
  <c r="B16720" i="1"/>
  <c r="A16720" i="1"/>
  <c r="E16720" i="1"/>
  <c r="F16720" i="1"/>
  <c r="G16720" i="1"/>
  <c r="B16721" i="1"/>
  <c r="A16721" i="1"/>
  <c r="E16721" i="1"/>
  <c r="F16721" i="1"/>
  <c r="G16721" i="1"/>
  <c r="B16722" i="1"/>
  <c r="A16722" i="1"/>
  <c r="E16722" i="1"/>
  <c r="F16722" i="1"/>
  <c r="B16723" i="1"/>
  <c r="A16723" i="1"/>
  <c r="E16723" i="1"/>
  <c r="F16723" i="1"/>
  <c r="B16724" i="1"/>
  <c r="A16724" i="1"/>
  <c r="E16724" i="1"/>
  <c r="F16724" i="1"/>
  <c r="G16724" i="1"/>
  <c r="B16725" i="1"/>
  <c r="A16725" i="1"/>
  <c r="E16725" i="1"/>
  <c r="F16725" i="1"/>
  <c r="B16726" i="1"/>
  <c r="A16726" i="1"/>
  <c r="E16726" i="1"/>
  <c r="F16726" i="1"/>
  <c r="B16727" i="1"/>
  <c r="A16727" i="1"/>
  <c r="E16727" i="1"/>
  <c r="F16727" i="1"/>
  <c r="B16728" i="1"/>
  <c r="A16728" i="1"/>
  <c r="E16728" i="1"/>
  <c r="F16728" i="1"/>
  <c r="B16729" i="1"/>
  <c r="A16729" i="1"/>
  <c r="E16729" i="1"/>
  <c r="F16729" i="1"/>
  <c r="B16730" i="1"/>
  <c r="A16730" i="1"/>
  <c r="E16730" i="1"/>
  <c r="F16730" i="1"/>
  <c r="B16731" i="1"/>
  <c r="A16731" i="1"/>
  <c r="E16731" i="1"/>
  <c r="F16731" i="1"/>
  <c r="B16732" i="1"/>
  <c r="A16732" i="1"/>
  <c r="E16732" i="1"/>
  <c r="F16732" i="1"/>
  <c r="B16733" i="1"/>
  <c r="A16733" i="1"/>
  <c r="E16733" i="1"/>
  <c r="F16733" i="1"/>
  <c r="B16734" i="1"/>
  <c r="A16734" i="1"/>
  <c r="E16734" i="1"/>
  <c r="F16734" i="1"/>
  <c r="B16735" i="1"/>
  <c r="A16735" i="1"/>
  <c r="E16735" i="1"/>
  <c r="F16735" i="1"/>
  <c r="B16736" i="1"/>
  <c r="A16736" i="1"/>
  <c r="E16736" i="1"/>
  <c r="F16736" i="1"/>
  <c r="B16737" i="1"/>
  <c r="A16737" i="1"/>
  <c r="E16737" i="1"/>
  <c r="F16737" i="1"/>
  <c r="B16738" i="1"/>
  <c r="A16738" i="1"/>
  <c r="E16738" i="1"/>
  <c r="F16738" i="1"/>
  <c r="B16739" i="1"/>
  <c r="A16739" i="1"/>
  <c r="E16739" i="1"/>
  <c r="F16739" i="1"/>
  <c r="G16739" i="1"/>
  <c r="B16740" i="1"/>
  <c r="A16740" i="1"/>
  <c r="E16740" i="1"/>
  <c r="F16740" i="1"/>
  <c r="B16741" i="1"/>
  <c r="A16741" i="1"/>
  <c r="E16741" i="1"/>
  <c r="F16741" i="1"/>
  <c r="B16742" i="1"/>
  <c r="A16742" i="1"/>
  <c r="E16742" i="1"/>
  <c r="F16742" i="1"/>
  <c r="B16743" i="1"/>
  <c r="A16743" i="1"/>
  <c r="E16743" i="1"/>
  <c r="F16743" i="1"/>
  <c r="B16744" i="1"/>
  <c r="A16744" i="1"/>
  <c r="E16744" i="1"/>
  <c r="F16744" i="1"/>
  <c r="B16745" i="1"/>
  <c r="A16745" i="1"/>
  <c r="E16745" i="1"/>
  <c r="F16745" i="1"/>
  <c r="G16745" i="1"/>
  <c r="B16746" i="1"/>
  <c r="A16746" i="1"/>
  <c r="E16746" i="1"/>
  <c r="F16746" i="1"/>
  <c r="B16747" i="1"/>
  <c r="A16747" i="1"/>
  <c r="E16747" i="1"/>
  <c r="F16747" i="1"/>
  <c r="B16748" i="1"/>
  <c r="A16748" i="1"/>
  <c r="E16748" i="1"/>
  <c r="F16748" i="1"/>
  <c r="B16749" i="1"/>
  <c r="A16749" i="1"/>
  <c r="E16749" i="1"/>
  <c r="F16749" i="1"/>
  <c r="B16750" i="1"/>
  <c r="A16750" i="1"/>
  <c r="E16750" i="1"/>
  <c r="F16750" i="1"/>
  <c r="B16751" i="1"/>
  <c r="A16751" i="1"/>
  <c r="E16751" i="1"/>
  <c r="F16751" i="1"/>
  <c r="B16752" i="1"/>
  <c r="A16752" i="1"/>
  <c r="E16752" i="1"/>
  <c r="F16752" i="1"/>
  <c r="B16753" i="1"/>
  <c r="A16753" i="1"/>
  <c r="E16753" i="1"/>
  <c r="F16753" i="1"/>
  <c r="B16754" i="1"/>
  <c r="A16754" i="1"/>
  <c r="E16754" i="1"/>
  <c r="F16754" i="1"/>
  <c r="G16754" i="1"/>
  <c r="B16755" i="1"/>
  <c r="A16755" i="1"/>
  <c r="E16755" i="1"/>
  <c r="F16755" i="1"/>
  <c r="G16755" i="1"/>
  <c r="B16756" i="1"/>
  <c r="A16756" i="1"/>
  <c r="E16756" i="1"/>
  <c r="F16756" i="1"/>
  <c r="B16757" i="1"/>
  <c r="A16757" i="1"/>
  <c r="E16757" i="1"/>
  <c r="F16757" i="1"/>
  <c r="B16758" i="1"/>
  <c r="A16758" i="1"/>
  <c r="E16758" i="1"/>
  <c r="F16758" i="1"/>
  <c r="B16759" i="1"/>
  <c r="A16759" i="1"/>
  <c r="E16759" i="1"/>
  <c r="F16759" i="1"/>
  <c r="B16760" i="1"/>
  <c r="A16760" i="1"/>
  <c r="E16760" i="1"/>
  <c r="F16760" i="1"/>
  <c r="B16761" i="1"/>
  <c r="A16761" i="1"/>
  <c r="E16761" i="1"/>
  <c r="F16761" i="1"/>
  <c r="G16761" i="1"/>
  <c r="B16762" i="1"/>
  <c r="A16762" i="1"/>
  <c r="E16762" i="1"/>
  <c r="G16762" i="1"/>
  <c r="B16763" i="1"/>
  <c r="A16763" i="1"/>
  <c r="E16763" i="1"/>
  <c r="F16763" i="1"/>
  <c r="G16763" i="1"/>
  <c r="B16764" i="1"/>
  <c r="A16764" i="1"/>
  <c r="E16764" i="1"/>
  <c r="F16764" i="1"/>
  <c r="G16764" i="1"/>
  <c r="B16765" i="1"/>
  <c r="A16765" i="1"/>
  <c r="E16765" i="1"/>
  <c r="F16765" i="1"/>
  <c r="G16765" i="1"/>
  <c r="B16766" i="1"/>
  <c r="A16766" i="1"/>
  <c r="E16766" i="1"/>
  <c r="F16766" i="1"/>
  <c r="G16766" i="1"/>
  <c r="B16767" i="1"/>
  <c r="A16767" i="1"/>
  <c r="E16767" i="1"/>
  <c r="F16767" i="1"/>
  <c r="B16768" i="1"/>
  <c r="A16768" i="1"/>
  <c r="E16768" i="1"/>
  <c r="F16768" i="1"/>
  <c r="B16769" i="1"/>
  <c r="A16769" i="1"/>
  <c r="E16769" i="1"/>
  <c r="F16769" i="1"/>
  <c r="G16769" i="1"/>
  <c r="B16770" i="1"/>
  <c r="A16770" i="1"/>
  <c r="E16770" i="1"/>
  <c r="F16770" i="1"/>
  <c r="G16770" i="1"/>
  <c r="B16771" i="1"/>
  <c r="A16771" i="1"/>
  <c r="E16771" i="1"/>
  <c r="G16771" i="1"/>
  <c r="B16772" i="1"/>
  <c r="A16772" i="1"/>
  <c r="E16772" i="1"/>
  <c r="G16772" i="1"/>
  <c r="B16773" i="1"/>
  <c r="A16773" i="1"/>
  <c r="E16773" i="1"/>
  <c r="G16773" i="1"/>
  <c r="B16774" i="1"/>
  <c r="A16774" i="1"/>
  <c r="E16774" i="1"/>
  <c r="G16774" i="1"/>
  <c r="B16775" i="1"/>
  <c r="A16775" i="1"/>
  <c r="E16775" i="1"/>
  <c r="G16775" i="1"/>
  <c r="B16776" i="1"/>
  <c r="A16776" i="1"/>
  <c r="E16776" i="1"/>
  <c r="G16776" i="1"/>
  <c r="B16777" i="1"/>
  <c r="A16777" i="1"/>
  <c r="E16777" i="1"/>
  <c r="F16777" i="1"/>
  <c r="G16777" i="1"/>
  <c r="B16778" i="1"/>
  <c r="A16778" i="1"/>
  <c r="E16778" i="1"/>
  <c r="G16778" i="1"/>
  <c r="B16779" i="1"/>
  <c r="A16779" i="1"/>
  <c r="E16779" i="1"/>
  <c r="F16779" i="1"/>
  <c r="B16780" i="1"/>
  <c r="A16780" i="1"/>
  <c r="E16780" i="1"/>
  <c r="F16780" i="1"/>
  <c r="B16781" i="1"/>
  <c r="A16781" i="1"/>
  <c r="E16781" i="1"/>
  <c r="F16781" i="1"/>
  <c r="B16782" i="1"/>
  <c r="A16782" i="1"/>
  <c r="E16782" i="1"/>
  <c r="F16782" i="1"/>
  <c r="B16783" i="1"/>
  <c r="A16783" i="1"/>
  <c r="E16783" i="1"/>
  <c r="F16783" i="1"/>
  <c r="B16784" i="1"/>
  <c r="A16784" i="1"/>
  <c r="E16784" i="1"/>
  <c r="F16784" i="1"/>
  <c r="B16785" i="1"/>
  <c r="A16785" i="1"/>
  <c r="E16785" i="1"/>
  <c r="F16785" i="1"/>
  <c r="B16786" i="1"/>
  <c r="A16786" i="1"/>
  <c r="E16786" i="1"/>
  <c r="F16786" i="1"/>
  <c r="B16787" i="1"/>
  <c r="A16787" i="1"/>
  <c r="E16787" i="1"/>
  <c r="F16787" i="1"/>
  <c r="B16788" i="1"/>
  <c r="A16788" i="1"/>
  <c r="E16788" i="1"/>
  <c r="F16788" i="1"/>
  <c r="B16789" i="1"/>
  <c r="A16789" i="1"/>
  <c r="E16789" i="1"/>
  <c r="F16789" i="1"/>
  <c r="B16790" i="1"/>
  <c r="A16790" i="1"/>
  <c r="E16790" i="1"/>
  <c r="F16790" i="1"/>
  <c r="B16791" i="1"/>
  <c r="A16791" i="1"/>
  <c r="E16791" i="1"/>
  <c r="F16791" i="1"/>
  <c r="B16792" i="1"/>
  <c r="A16792" i="1"/>
  <c r="E16792" i="1"/>
  <c r="F16792" i="1"/>
  <c r="B16793" i="1"/>
  <c r="A16793" i="1"/>
  <c r="E16793" i="1"/>
  <c r="F16793" i="1"/>
  <c r="B16794" i="1"/>
  <c r="A16794" i="1"/>
  <c r="E16794" i="1"/>
  <c r="F16794" i="1"/>
  <c r="B16795" i="1"/>
  <c r="A16795" i="1"/>
  <c r="E16795" i="1"/>
  <c r="F16795" i="1"/>
  <c r="B16796" i="1"/>
  <c r="A16796" i="1"/>
  <c r="E16796" i="1"/>
  <c r="F16796" i="1"/>
  <c r="B16797" i="1"/>
  <c r="A16797" i="1"/>
  <c r="E16797" i="1"/>
  <c r="F16797" i="1"/>
  <c r="B16798" i="1"/>
  <c r="A16798" i="1"/>
  <c r="E16798" i="1"/>
  <c r="F16798" i="1"/>
  <c r="B16799" i="1"/>
  <c r="A16799" i="1"/>
  <c r="E16799" i="1"/>
  <c r="F16799" i="1"/>
  <c r="B16800" i="1"/>
  <c r="A16800" i="1"/>
  <c r="E16800" i="1"/>
  <c r="F16800" i="1"/>
  <c r="B16801" i="1"/>
  <c r="A16801" i="1"/>
  <c r="E16801" i="1"/>
  <c r="F16801" i="1"/>
  <c r="B16802" i="1"/>
  <c r="A16802" i="1"/>
  <c r="E16802" i="1"/>
  <c r="F16802" i="1"/>
  <c r="B16803" i="1"/>
  <c r="A16803" i="1"/>
  <c r="E16803" i="1"/>
  <c r="F16803" i="1"/>
  <c r="G16803" i="1"/>
  <c r="B16804" i="1"/>
  <c r="A16804" i="1"/>
  <c r="E16804" i="1"/>
  <c r="F16804" i="1"/>
  <c r="B16805" i="1"/>
  <c r="A16805" i="1"/>
  <c r="E16805" i="1"/>
  <c r="B16806" i="1"/>
  <c r="A16806" i="1"/>
  <c r="E16806" i="1"/>
  <c r="B16807" i="1"/>
  <c r="A16807" i="1"/>
  <c r="E16807" i="1"/>
  <c r="B16808" i="1"/>
  <c r="A16808" i="1"/>
  <c r="E16808" i="1"/>
  <c r="G16808" i="1"/>
  <c r="B16809" i="1"/>
  <c r="A16809" i="1"/>
  <c r="E16809" i="1"/>
  <c r="F16809" i="1"/>
  <c r="B16810" i="1"/>
  <c r="A16810" i="1"/>
  <c r="E16810" i="1"/>
  <c r="F16810" i="1"/>
  <c r="B16811" i="1"/>
  <c r="A16811" i="1"/>
  <c r="E16811" i="1"/>
  <c r="F16811" i="1"/>
  <c r="B16812" i="1"/>
  <c r="A16812" i="1"/>
  <c r="E16812" i="1"/>
  <c r="F16812" i="1"/>
  <c r="G16812" i="1"/>
  <c r="B16813" i="1"/>
  <c r="A16813" i="1"/>
  <c r="E16813" i="1"/>
  <c r="F16813" i="1"/>
  <c r="B16814" i="1"/>
  <c r="A16814" i="1"/>
  <c r="E16814" i="1"/>
  <c r="F16814" i="1"/>
  <c r="B16815" i="1"/>
  <c r="A16815" i="1"/>
  <c r="E16815" i="1"/>
  <c r="F16815" i="1"/>
  <c r="G16815" i="1"/>
  <c r="B16816" i="1"/>
  <c r="A16816" i="1"/>
  <c r="E16816" i="1"/>
  <c r="F16816" i="1"/>
  <c r="G16816" i="1"/>
  <c r="B16817" i="1"/>
  <c r="A16817" i="1"/>
  <c r="E16817" i="1"/>
  <c r="F16817" i="1"/>
  <c r="G16817" i="1"/>
  <c r="B16818" i="1"/>
  <c r="A16818" i="1"/>
  <c r="E16818" i="1"/>
  <c r="B16819" i="1"/>
  <c r="A16819" i="1"/>
  <c r="E16819" i="1"/>
  <c r="B16820" i="1"/>
  <c r="A16820" i="1"/>
  <c r="E16820" i="1"/>
  <c r="B16821" i="1"/>
  <c r="A16821" i="1"/>
  <c r="E16821" i="1"/>
  <c r="B16822" i="1"/>
  <c r="A16822" i="1"/>
  <c r="E16822" i="1"/>
  <c r="B16823" i="1"/>
  <c r="A16823" i="1"/>
  <c r="E16823" i="1"/>
  <c r="B16824" i="1"/>
  <c r="A16824" i="1"/>
  <c r="E16824" i="1"/>
  <c r="B16825" i="1"/>
  <c r="A16825" i="1"/>
  <c r="E16825" i="1"/>
  <c r="B16826" i="1"/>
  <c r="A16826" i="1"/>
  <c r="E16826" i="1"/>
  <c r="G16826" i="1"/>
  <c r="B16827" i="1"/>
  <c r="A16827" i="1"/>
  <c r="E16827" i="1"/>
  <c r="G16827" i="1"/>
  <c r="B16828" i="1"/>
  <c r="A16828" i="1"/>
  <c r="E16828" i="1"/>
  <c r="B16829" i="1"/>
  <c r="A16829" i="1"/>
  <c r="E16829" i="1"/>
  <c r="B16830" i="1"/>
  <c r="A16830" i="1"/>
  <c r="E16830" i="1"/>
  <c r="B16831" i="1"/>
  <c r="A16831" i="1"/>
  <c r="E16831" i="1"/>
  <c r="B16832" i="1"/>
  <c r="A16832" i="1"/>
  <c r="E16832" i="1"/>
  <c r="B16833" i="1"/>
  <c r="A16833" i="1"/>
  <c r="E16833" i="1"/>
  <c r="B16834" i="1"/>
  <c r="A16834" i="1"/>
  <c r="E16834" i="1"/>
  <c r="B16835" i="1"/>
  <c r="A16835" i="1"/>
  <c r="E16835" i="1"/>
  <c r="B16836" i="1"/>
  <c r="A16836" i="1"/>
  <c r="E16836" i="1"/>
  <c r="B16837" i="1"/>
  <c r="A16837" i="1"/>
  <c r="E16837" i="1"/>
  <c r="B16838" i="1"/>
  <c r="A16838" i="1"/>
  <c r="E16838" i="1"/>
  <c r="B16839" i="1"/>
  <c r="A16839" i="1"/>
  <c r="E16839" i="1"/>
  <c r="B16840" i="1"/>
  <c r="A16840" i="1"/>
  <c r="E16840" i="1"/>
  <c r="B16841" i="1"/>
  <c r="A16841" i="1"/>
  <c r="E16841" i="1"/>
  <c r="B16842" i="1"/>
  <c r="A16842" i="1"/>
  <c r="E16842" i="1"/>
  <c r="B16843" i="1"/>
  <c r="A16843" i="1"/>
  <c r="E16843" i="1"/>
  <c r="B16844" i="1"/>
  <c r="A16844" i="1"/>
  <c r="E16844" i="1"/>
  <c r="B16845" i="1"/>
  <c r="A16845" i="1"/>
  <c r="E16845" i="1"/>
  <c r="B16846" i="1"/>
  <c r="A16846" i="1"/>
  <c r="E16846" i="1"/>
  <c r="B16847" i="1"/>
  <c r="A16847" i="1"/>
  <c r="E16847" i="1"/>
  <c r="B16848" i="1"/>
  <c r="A16848" i="1"/>
  <c r="E16848" i="1"/>
  <c r="B16849" i="1"/>
  <c r="A16849" i="1"/>
  <c r="E16849" i="1"/>
  <c r="B16850" i="1"/>
  <c r="A16850" i="1"/>
  <c r="E16850" i="1"/>
  <c r="B16851" i="1"/>
  <c r="A16851" i="1"/>
  <c r="E16851" i="1"/>
  <c r="B16852" i="1"/>
  <c r="A16852" i="1"/>
  <c r="E16852" i="1"/>
  <c r="B16853" i="1"/>
  <c r="A16853" i="1"/>
  <c r="E16853" i="1"/>
  <c r="B16854" i="1"/>
  <c r="A16854" i="1"/>
  <c r="E16854" i="1"/>
  <c r="G16854" i="1"/>
  <c r="B16855" i="1"/>
  <c r="A16855" i="1"/>
  <c r="E16855" i="1"/>
  <c r="B16856" i="1"/>
  <c r="A16856" i="1"/>
  <c r="E16856" i="1"/>
  <c r="B16857" i="1"/>
  <c r="A16857" i="1"/>
  <c r="E16857" i="1"/>
  <c r="B16858" i="1"/>
  <c r="A16858" i="1"/>
  <c r="E16858" i="1"/>
  <c r="B16859" i="1"/>
  <c r="A16859" i="1"/>
  <c r="E16859" i="1"/>
  <c r="B16860" i="1"/>
  <c r="A16860" i="1"/>
  <c r="E16860" i="1"/>
  <c r="B16861" i="1"/>
  <c r="A16861" i="1"/>
  <c r="E16861" i="1"/>
  <c r="B16862" i="1"/>
  <c r="A16862" i="1"/>
  <c r="E16862" i="1"/>
  <c r="B16863" i="1"/>
  <c r="A16863" i="1"/>
  <c r="E16863" i="1"/>
  <c r="B16864" i="1"/>
  <c r="A16864" i="1"/>
  <c r="E16864" i="1"/>
  <c r="G16864" i="1"/>
  <c r="B16865" i="1"/>
  <c r="A16865" i="1"/>
  <c r="E16865" i="1"/>
  <c r="G16865" i="1"/>
  <c r="B16866" i="1"/>
  <c r="A16866" i="1"/>
  <c r="E16866" i="1"/>
  <c r="G16866" i="1"/>
  <c r="B16867" i="1"/>
  <c r="A16867" i="1"/>
  <c r="E16867" i="1"/>
  <c r="G16867" i="1"/>
  <c r="B16868" i="1"/>
  <c r="A16868" i="1"/>
  <c r="E16868" i="1"/>
  <c r="B16869" i="1"/>
  <c r="A16869" i="1"/>
  <c r="E16869" i="1"/>
  <c r="B16870" i="1"/>
  <c r="A16870" i="1"/>
  <c r="E16870" i="1"/>
  <c r="B16871" i="1"/>
  <c r="A16871" i="1"/>
  <c r="E16871" i="1"/>
  <c r="B16872" i="1"/>
  <c r="A16872" i="1"/>
  <c r="E16872" i="1"/>
  <c r="B16873" i="1"/>
  <c r="A16873" i="1"/>
  <c r="E16873" i="1"/>
  <c r="B16874" i="1"/>
  <c r="A16874" i="1"/>
  <c r="E16874" i="1"/>
  <c r="B16875" i="1"/>
  <c r="A16875" i="1"/>
  <c r="E16875" i="1"/>
  <c r="B16876" i="1"/>
  <c r="A16876" i="1"/>
  <c r="E16876" i="1"/>
  <c r="B16877" i="1"/>
  <c r="A16877" i="1"/>
  <c r="E16877" i="1"/>
  <c r="B16878" i="1"/>
  <c r="A16878" i="1"/>
  <c r="E16878" i="1"/>
  <c r="B16879" i="1"/>
  <c r="A16879" i="1"/>
  <c r="E16879" i="1"/>
  <c r="B16880" i="1"/>
  <c r="A16880" i="1"/>
  <c r="E16880" i="1"/>
  <c r="B16881" i="1"/>
  <c r="A16881" i="1"/>
  <c r="E16881" i="1"/>
  <c r="B16882" i="1"/>
  <c r="A16882" i="1"/>
  <c r="E16882" i="1"/>
  <c r="B16883" i="1"/>
  <c r="A16883" i="1"/>
  <c r="E16883" i="1"/>
  <c r="B16884" i="1"/>
  <c r="A16884" i="1"/>
  <c r="E16884" i="1"/>
  <c r="B16885" i="1"/>
  <c r="A16885" i="1"/>
  <c r="E16885" i="1"/>
  <c r="B16886" i="1"/>
  <c r="A16886" i="1"/>
  <c r="E16886" i="1"/>
  <c r="B16887" i="1"/>
  <c r="A16887" i="1"/>
  <c r="E16887" i="1"/>
  <c r="B16888" i="1"/>
  <c r="A16888" i="1"/>
  <c r="E16888" i="1"/>
  <c r="B16889" i="1"/>
  <c r="A16889" i="1"/>
  <c r="E16889" i="1"/>
  <c r="A16890" i="1"/>
  <c r="E16890" i="1"/>
  <c r="A16891" i="1"/>
  <c r="E16891" i="1"/>
  <c r="B16892" i="1"/>
  <c r="A16892" i="1"/>
  <c r="E16892" i="1"/>
  <c r="B16893" i="1"/>
  <c r="A16893" i="1"/>
  <c r="E16893" i="1"/>
  <c r="B16894" i="1"/>
  <c r="A16894" i="1"/>
  <c r="E16894" i="1"/>
  <c r="B16895" i="1"/>
  <c r="A16895" i="1"/>
  <c r="E16895" i="1"/>
  <c r="B16896" i="1"/>
  <c r="A16896" i="1"/>
  <c r="E16896" i="1"/>
  <c r="B16897" i="1"/>
  <c r="A16897" i="1"/>
  <c r="E16897" i="1"/>
  <c r="B16898" i="1"/>
  <c r="A16898" i="1"/>
  <c r="E16898" i="1"/>
  <c r="B16899" i="1"/>
  <c r="A16899" i="1"/>
  <c r="E16899" i="1"/>
  <c r="B16900" i="1"/>
  <c r="A16900" i="1"/>
  <c r="E16900" i="1"/>
  <c r="B16901" i="1"/>
  <c r="A16901" i="1"/>
  <c r="E16901" i="1"/>
  <c r="B16902" i="1"/>
  <c r="A16902" i="1"/>
  <c r="E16902" i="1"/>
  <c r="B16903" i="1"/>
  <c r="A16903" i="1"/>
  <c r="E16903" i="1"/>
  <c r="B16904" i="1"/>
  <c r="A16904" i="1"/>
  <c r="E16904" i="1"/>
  <c r="B16905" i="1"/>
  <c r="A16905" i="1"/>
  <c r="E16905" i="1"/>
  <c r="B16906" i="1"/>
  <c r="A16906" i="1"/>
  <c r="E16906" i="1"/>
  <c r="B16907" i="1"/>
  <c r="A16907" i="1"/>
  <c r="E16907" i="1"/>
  <c r="B16908" i="1"/>
  <c r="A16908" i="1"/>
  <c r="E16908" i="1"/>
  <c r="B16909" i="1"/>
  <c r="A16909" i="1"/>
  <c r="E16909" i="1"/>
  <c r="B16910" i="1"/>
  <c r="A16910" i="1"/>
  <c r="E16910" i="1"/>
  <c r="B16911" i="1"/>
  <c r="A16911" i="1"/>
  <c r="E16911" i="1"/>
  <c r="B16912" i="1"/>
  <c r="A16912" i="1"/>
  <c r="E16912" i="1"/>
  <c r="B16913" i="1"/>
  <c r="A16913" i="1"/>
  <c r="E16913" i="1"/>
  <c r="B16914" i="1"/>
  <c r="A16914" i="1"/>
  <c r="E16914" i="1"/>
  <c r="B16915" i="1"/>
  <c r="A16915" i="1"/>
  <c r="E16915" i="1"/>
  <c r="B16916" i="1"/>
  <c r="A16916" i="1"/>
  <c r="E16916" i="1"/>
  <c r="B16917" i="1"/>
  <c r="A16917" i="1"/>
  <c r="E16917" i="1"/>
  <c r="B16918" i="1"/>
  <c r="A16918" i="1"/>
  <c r="E16918" i="1"/>
  <c r="B16919" i="1"/>
  <c r="A16919" i="1"/>
  <c r="E16919" i="1"/>
  <c r="B16920" i="1"/>
  <c r="A16920" i="1"/>
  <c r="E16920" i="1"/>
  <c r="B16921" i="1"/>
  <c r="A16921" i="1"/>
  <c r="E16921" i="1"/>
  <c r="B16922" i="1"/>
  <c r="A16922" i="1"/>
  <c r="E16922" i="1"/>
  <c r="B16923" i="1"/>
  <c r="A16923" i="1"/>
  <c r="E16923" i="1"/>
  <c r="B16924" i="1"/>
  <c r="A16924" i="1"/>
  <c r="E16924" i="1"/>
  <c r="B16925" i="1"/>
  <c r="A16925" i="1"/>
  <c r="E16925" i="1"/>
  <c r="B16926" i="1"/>
  <c r="A16926" i="1"/>
  <c r="E16926" i="1"/>
  <c r="B16927" i="1"/>
  <c r="A16927" i="1"/>
  <c r="E16927" i="1"/>
  <c r="B16928" i="1"/>
  <c r="A16928" i="1"/>
  <c r="E16928" i="1"/>
  <c r="B16929" i="1"/>
  <c r="A16929" i="1"/>
  <c r="E16929" i="1"/>
  <c r="B16930" i="1"/>
  <c r="A16930" i="1"/>
  <c r="E16930" i="1"/>
  <c r="B16931" i="1"/>
  <c r="A16931" i="1"/>
  <c r="E16931" i="1"/>
  <c r="B16932" i="1"/>
  <c r="A16932" i="1"/>
  <c r="E16932" i="1"/>
  <c r="B16933" i="1"/>
  <c r="A16933" i="1"/>
  <c r="E16933" i="1"/>
  <c r="B16934" i="1"/>
  <c r="A16934" i="1"/>
  <c r="E16934" i="1"/>
  <c r="B16935" i="1"/>
  <c r="A16935" i="1"/>
  <c r="E16935" i="1"/>
  <c r="B16936" i="1"/>
  <c r="A16936" i="1"/>
  <c r="E16936" i="1"/>
  <c r="B16937" i="1"/>
  <c r="A16937" i="1"/>
  <c r="E16937" i="1"/>
  <c r="B16938" i="1"/>
  <c r="A16938" i="1"/>
  <c r="E16938" i="1"/>
  <c r="B16939" i="1"/>
  <c r="A16939" i="1"/>
  <c r="E16939" i="1"/>
  <c r="B16940" i="1"/>
  <c r="A16940" i="1"/>
  <c r="E16940" i="1"/>
  <c r="B16941" i="1"/>
  <c r="A16941" i="1"/>
  <c r="E16941" i="1"/>
  <c r="B16942" i="1"/>
  <c r="A16942" i="1"/>
  <c r="E16942" i="1"/>
  <c r="G16942" i="1"/>
  <c r="B16943" i="1"/>
  <c r="A16943" i="1"/>
  <c r="E16943" i="1"/>
  <c r="B16944" i="1"/>
  <c r="A16944" i="1"/>
  <c r="E16944" i="1"/>
  <c r="G16944" i="1"/>
  <c r="B16945" i="1"/>
  <c r="A16945" i="1"/>
  <c r="E16945" i="1"/>
  <c r="G16945" i="1"/>
  <c r="B16946" i="1"/>
  <c r="A16946" i="1"/>
  <c r="E16946" i="1"/>
  <c r="G16946" i="1"/>
  <c r="B16947" i="1"/>
  <c r="A16947" i="1"/>
  <c r="E16947" i="1"/>
  <c r="G16947" i="1"/>
  <c r="B16948" i="1"/>
  <c r="A16948" i="1"/>
  <c r="E16948" i="1"/>
  <c r="G16948" i="1"/>
  <c r="B16949" i="1"/>
  <c r="A16949" i="1"/>
  <c r="E16949" i="1"/>
  <c r="B16950" i="1"/>
  <c r="A16950" i="1"/>
  <c r="E16950" i="1"/>
  <c r="B16951" i="1"/>
  <c r="A16951" i="1"/>
  <c r="E16951" i="1"/>
  <c r="B16952" i="1"/>
  <c r="A16952" i="1"/>
  <c r="E16952" i="1"/>
  <c r="B16953" i="1"/>
  <c r="A16953" i="1"/>
  <c r="E16953" i="1"/>
  <c r="G16953" i="1"/>
  <c r="B16954" i="1"/>
  <c r="A16954" i="1"/>
  <c r="E16954" i="1"/>
  <c r="F16954" i="1"/>
  <c r="B16955" i="1"/>
  <c r="A16955" i="1"/>
  <c r="E16955" i="1"/>
  <c r="G16955" i="1"/>
  <c r="B16956" i="1"/>
  <c r="A16956" i="1"/>
  <c r="E16956" i="1"/>
  <c r="B16957" i="1"/>
  <c r="A16957" i="1"/>
  <c r="E16957" i="1"/>
  <c r="B16958" i="1"/>
  <c r="A16958" i="1"/>
  <c r="E16958" i="1"/>
  <c r="B16959" i="1"/>
  <c r="A16959" i="1"/>
  <c r="E16959" i="1"/>
  <c r="B16960" i="1"/>
  <c r="A16960" i="1"/>
  <c r="E16960" i="1"/>
  <c r="B16961" i="1"/>
  <c r="A16961" i="1"/>
  <c r="E16961" i="1"/>
  <c r="B16962" i="1"/>
  <c r="A16962" i="1"/>
  <c r="E16962" i="1"/>
  <c r="B16963" i="1"/>
  <c r="A16963" i="1"/>
  <c r="E16963" i="1"/>
  <c r="B16964" i="1"/>
  <c r="A16964" i="1"/>
  <c r="E16964" i="1"/>
  <c r="B16965" i="1"/>
  <c r="A16965" i="1"/>
  <c r="E16965" i="1"/>
  <c r="B16966" i="1"/>
  <c r="A16966" i="1"/>
  <c r="E16966" i="1"/>
  <c r="B16967" i="1"/>
  <c r="A16967" i="1"/>
  <c r="E16967" i="1"/>
  <c r="B16968" i="1"/>
  <c r="A16968" i="1"/>
  <c r="E16968" i="1"/>
  <c r="B16969" i="1"/>
  <c r="A16969" i="1"/>
  <c r="E16969" i="1"/>
  <c r="B16970" i="1"/>
  <c r="A16970" i="1"/>
  <c r="E16970" i="1"/>
  <c r="B16971" i="1"/>
  <c r="A16971" i="1"/>
  <c r="E16971" i="1"/>
  <c r="B16972" i="1"/>
  <c r="A16972" i="1"/>
  <c r="E16972" i="1"/>
  <c r="B16973" i="1"/>
  <c r="A16973" i="1"/>
  <c r="E16973" i="1"/>
  <c r="B16974" i="1"/>
  <c r="A16974" i="1"/>
  <c r="E16974" i="1"/>
  <c r="B16975" i="1"/>
  <c r="A16975" i="1"/>
  <c r="E16975" i="1"/>
  <c r="B16976" i="1"/>
  <c r="A16976" i="1"/>
  <c r="E16976" i="1"/>
  <c r="B16977" i="1"/>
  <c r="A16977" i="1"/>
  <c r="E16977" i="1"/>
  <c r="B16978" i="1"/>
  <c r="A16978" i="1"/>
  <c r="E16978" i="1"/>
  <c r="B16979" i="1"/>
  <c r="A16979" i="1"/>
  <c r="E16979" i="1"/>
  <c r="B16980" i="1"/>
  <c r="A16980" i="1"/>
  <c r="E16980" i="1"/>
  <c r="B16981" i="1"/>
  <c r="A16981" i="1"/>
  <c r="E16981" i="1"/>
  <c r="B16982" i="1"/>
  <c r="A16982" i="1"/>
  <c r="E16982" i="1"/>
  <c r="B16983" i="1"/>
  <c r="A16983" i="1"/>
  <c r="E16983" i="1"/>
  <c r="B16984" i="1"/>
  <c r="A16984" i="1"/>
  <c r="E16984" i="1"/>
  <c r="B16985" i="1"/>
  <c r="A16985" i="1"/>
  <c r="E16985" i="1"/>
  <c r="B16986" i="1"/>
  <c r="A16986" i="1"/>
  <c r="E16986" i="1"/>
  <c r="B16987" i="1"/>
  <c r="A16987" i="1"/>
  <c r="E16987" i="1"/>
  <c r="B16988" i="1"/>
  <c r="A16988" i="1"/>
  <c r="E16988" i="1"/>
  <c r="B16989" i="1"/>
  <c r="A16989" i="1"/>
  <c r="E16989" i="1"/>
  <c r="B16990" i="1"/>
  <c r="A16990" i="1"/>
  <c r="E16990" i="1"/>
  <c r="B16991" i="1"/>
  <c r="A16991" i="1"/>
  <c r="E16991" i="1"/>
  <c r="B16992" i="1"/>
  <c r="A16992" i="1"/>
  <c r="E16992" i="1"/>
  <c r="B16993" i="1"/>
  <c r="A16993" i="1"/>
  <c r="E16993" i="1"/>
  <c r="B16994" i="1"/>
  <c r="A16994" i="1"/>
  <c r="E16994" i="1"/>
  <c r="B16995" i="1"/>
  <c r="A16995" i="1"/>
  <c r="E16995" i="1"/>
  <c r="B16996" i="1"/>
  <c r="A16996" i="1"/>
  <c r="E16996" i="1"/>
  <c r="B16997" i="1"/>
  <c r="A16997" i="1"/>
  <c r="E16997" i="1"/>
  <c r="B16998" i="1"/>
  <c r="A16998" i="1"/>
  <c r="E16998" i="1"/>
  <c r="B16999" i="1"/>
  <c r="A16999" i="1"/>
  <c r="E16999" i="1"/>
  <c r="B17000" i="1"/>
  <c r="A17000" i="1"/>
  <c r="E17000" i="1"/>
  <c r="B17001" i="1"/>
  <c r="A17001" i="1"/>
  <c r="E17001" i="1"/>
  <c r="B17002" i="1"/>
  <c r="A17002" i="1"/>
  <c r="E17002" i="1"/>
  <c r="B17003" i="1"/>
  <c r="A17003" i="1"/>
  <c r="E17003" i="1"/>
  <c r="B17004" i="1"/>
  <c r="A17004" i="1"/>
  <c r="E17004" i="1"/>
  <c r="B17005" i="1"/>
  <c r="A17005" i="1"/>
  <c r="E17005" i="1"/>
  <c r="B17006" i="1"/>
  <c r="A17006" i="1"/>
  <c r="E17006" i="1"/>
  <c r="B17007" i="1"/>
  <c r="A17007" i="1"/>
  <c r="E17007" i="1"/>
  <c r="B17008" i="1"/>
  <c r="A17008" i="1"/>
  <c r="E17008" i="1"/>
  <c r="B17009" i="1"/>
  <c r="A17009" i="1"/>
  <c r="E17009" i="1"/>
  <c r="B17010" i="1"/>
  <c r="A17010" i="1"/>
  <c r="E17010" i="1"/>
  <c r="B17011" i="1"/>
  <c r="A17011" i="1"/>
  <c r="E17011" i="1"/>
  <c r="B17012" i="1"/>
  <c r="A17012" i="1"/>
  <c r="E17012" i="1"/>
  <c r="B17013" i="1"/>
  <c r="A17013" i="1"/>
  <c r="E17013" i="1"/>
  <c r="B17014" i="1"/>
  <c r="A17014" i="1"/>
  <c r="E17014" i="1"/>
  <c r="B17015" i="1"/>
  <c r="A17015" i="1"/>
  <c r="E17015" i="1"/>
  <c r="B17016" i="1"/>
  <c r="A17016" i="1"/>
  <c r="E17016" i="1"/>
  <c r="B17017" i="1"/>
  <c r="A17017" i="1"/>
  <c r="E17017" i="1"/>
  <c r="B17018" i="1"/>
  <c r="A17018" i="1"/>
  <c r="E17018" i="1"/>
  <c r="B17019" i="1"/>
  <c r="A17019" i="1"/>
  <c r="E17019" i="1"/>
  <c r="B17020" i="1"/>
  <c r="A17020" i="1"/>
  <c r="E17020" i="1"/>
  <c r="B17021" i="1"/>
  <c r="A17021" i="1"/>
  <c r="E17021" i="1"/>
  <c r="B17022" i="1"/>
  <c r="A17022" i="1"/>
  <c r="E17022" i="1"/>
  <c r="B17023" i="1"/>
  <c r="A17023" i="1"/>
  <c r="E17023" i="1"/>
  <c r="B17024" i="1"/>
  <c r="A17024" i="1"/>
  <c r="E17024" i="1"/>
  <c r="B17025" i="1"/>
  <c r="A17025" i="1"/>
  <c r="E17025" i="1"/>
  <c r="B17026" i="1"/>
  <c r="A17026" i="1"/>
  <c r="E17026" i="1"/>
  <c r="B17027" i="1"/>
  <c r="A17027" i="1"/>
  <c r="E17027" i="1"/>
  <c r="B17028" i="1"/>
  <c r="A17028" i="1"/>
  <c r="E17028" i="1"/>
  <c r="B17029" i="1"/>
  <c r="A17029" i="1"/>
  <c r="E17029" i="1"/>
  <c r="B17030" i="1"/>
  <c r="A17030" i="1"/>
  <c r="E17030" i="1"/>
  <c r="B17031" i="1"/>
  <c r="A17031" i="1"/>
  <c r="E17031" i="1"/>
  <c r="B17032" i="1"/>
  <c r="A17032" i="1"/>
  <c r="E17032" i="1"/>
  <c r="B17033" i="1"/>
  <c r="A17033" i="1"/>
  <c r="E17033" i="1"/>
  <c r="B17034" i="1"/>
  <c r="A17034" i="1"/>
  <c r="E17034" i="1"/>
  <c r="B17035" i="1"/>
  <c r="A17035" i="1"/>
  <c r="E17035" i="1"/>
  <c r="B17036" i="1"/>
  <c r="A17036" i="1"/>
  <c r="E17036" i="1"/>
  <c r="B17037" i="1"/>
  <c r="A17037" i="1"/>
  <c r="E17037" i="1"/>
  <c r="B17038" i="1"/>
  <c r="A17038" i="1"/>
  <c r="E17038" i="1"/>
  <c r="B17039" i="1"/>
  <c r="A17039" i="1"/>
  <c r="E17039" i="1"/>
  <c r="B17040" i="1"/>
  <c r="A17040" i="1"/>
  <c r="E17040" i="1"/>
  <c r="B17041" i="1"/>
  <c r="A17041" i="1"/>
  <c r="E17041" i="1"/>
  <c r="B17042" i="1"/>
  <c r="A17042" i="1"/>
  <c r="E17042" i="1"/>
  <c r="B17043" i="1"/>
  <c r="A17043" i="1"/>
  <c r="E17043" i="1"/>
  <c r="B17044" i="1"/>
  <c r="A17044" i="1"/>
  <c r="E17044" i="1"/>
  <c r="B17045" i="1"/>
  <c r="A17045" i="1"/>
  <c r="E17045" i="1"/>
  <c r="B17046" i="1"/>
  <c r="A17046" i="1"/>
  <c r="E17046" i="1"/>
  <c r="B17047" i="1"/>
  <c r="A17047" i="1"/>
  <c r="E17047" i="1"/>
  <c r="B17048" i="1"/>
  <c r="A17048" i="1"/>
  <c r="E17048" i="1"/>
  <c r="B17049" i="1"/>
  <c r="A17049" i="1"/>
  <c r="E17049" i="1"/>
  <c r="B17050" i="1"/>
  <c r="A17050" i="1"/>
  <c r="E17050" i="1"/>
  <c r="B17051" i="1"/>
  <c r="A17051" i="1"/>
  <c r="E17051" i="1"/>
  <c r="B17052" i="1"/>
  <c r="A17052" i="1"/>
  <c r="E17052" i="1"/>
  <c r="B17053" i="1"/>
  <c r="A17053" i="1"/>
  <c r="E17053" i="1"/>
  <c r="B17054" i="1"/>
  <c r="A17054" i="1"/>
  <c r="E17054" i="1"/>
  <c r="B17055" i="1"/>
  <c r="A17055" i="1"/>
  <c r="E17055" i="1"/>
  <c r="B17056" i="1"/>
  <c r="A17056" i="1"/>
  <c r="E17056" i="1"/>
  <c r="B17057" i="1"/>
  <c r="A17057" i="1"/>
  <c r="E17057" i="1"/>
  <c r="B17058" i="1"/>
  <c r="A17058" i="1"/>
  <c r="E17058" i="1"/>
  <c r="B17059" i="1"/>
  <c r="A17059" i="1"/>
  <c r="E17059" i="1"/>
  <c r="B17060" i="1"/>
  <c r="A17060" i="1"/>
  <c r="E17060" i="1"/>
  <c r="B17061" i="1"/>
  <c r="A17061" i="1"/>
  <c r="E17061" i="1"/>
  <c r="B17062" i="1"/>
  <c r="A17062" i="1"/>
  <c r="E17062" i="1"/>
  <c r="B17063" i="1"/>
  <c r="A17063" i="1"/>
  <c r="E17063" i="1"/>
  <c r="B17064" i="1"/>
  <c r="A17064" i="1"/>
  <c r="E17064" i="1"/>
  <c r="B17065" i="1"/>
  <c r="A17065" i="1"/>
  <c r="E17065" i="1"/>
  <c r="B17066" i="1"/>
  <c r="A17066" i="1"/>
  <c r="E17066" i="1"/>
  <c r="B17067" i="1"/>
  <c r="A17067" i="1"/>
  <c r="E17067" i="1"/>
  <c r="B17068" i="1"/>
  <c r="A17068" i="1"/>
  <c r="E17068" i="1"/>
  <c r="B17069" i="1"/>
  <c r="A17069" i="1"/>
  <c r="E17069" i="1"/>
  <c r="B17070" i="1"/>
  <c r="A17070" i="1"/>
  <c r="E17070" i="1"/>
  <c r="B17071" i="1"/>
  <c r="A17071" i="1"/>
  <c r="E17071" i="1"/>
  <c r="B17072" i="1"/>
  <c r="A17072" i="1"/>
  <c r="E17072" i="1"/>
  <c r="B17073" i="1"/>
  <c r="A17073" i="1"/>
  <c r="E17073" i="1"/>
  <c r="B17074" i="1"/>
  <c r="A17074" i="1"/>
  <c r="E17074" i="1"/>
  <c r="B17075" i="1"/>
  <c r="A17075" i="1"/>
  <c r="E17075" i="1"/>
  <c r="B17076" i="1"/>
  <c r="A17076" i="1"/>
  <c r="E17076" i="1"/>
  <c r="B17077" i="1"/>
  <c r="A17077" i="1"/>
  <c r="E17077" i="1"/>
  <c r="B17078" i="1"/>
  <c r="A17078" i="1"/>
  <c r="E17078" i="1"/>
  <c r="B17079" i="1"/>
  <c r="A17079" i="1"/>
  <c r="E17079" i="1"/>
  <c r="B17080" i="1"/>
  <c r="A17080" i="1"/>
  <c r="E17080" i="1"/>
  <c r="B17081" i="1"/>
  <c r="A17081" i="1"/>
  <c r="E17081" i="1"/>
  <c r="B17082" i="1"/>
  <c r="A17082" i="1"/>
  <c r="E17082" i="1"/>
  <c r="B17083" i="1"/>
  <c r="A17083" i="1"/>
  <c r="E17083" i="1"/>
  <c r="B17084" i="1"/>
  <c r="A17084" i="1"/>
  <c r="E17084" i="1"/>
  <c r="B17085" i="1"/>
  <c r="A17085" i="1"/>
  <c r="E17085" i="1"/>
  <c r="B17086" i="1"/>
  <c r="A17086" i="1"/>
  <c r="E17086" i="1"/>
  <c r="B17087" i="1"/>
  <c r="A17087" i="1"/>
  <c r="E17087" i="1"/>
  <c r="B17088" i="1"/>
  <c r="A17088" i="1"/>
  <c r="E17088" i="1"/>
  <c r="B17089" i="1"/>
  <c r="A17089" i="1"/>
  <c r="E17089" i="1"/>
  <c r="B17090" i="1"/>
  <c r="A17090" i="1"/>
  <c r="E17090" i="1"/>
  <c r="B17091" i="1"/>
  <c r="A17091" i="1"/>
  <c r="E17091" i="1"/>
  <c r="B17092" i="1"/>
  <c r="A17092" i="1"/>
  <c r="E17092" i="1"/>
  <c r="B17093" i="1"/>
  <c r="A17093" i="1"/>
  <c r="E17093" i="1"/>
  <c r="B17094" i="1"/>
  <c r="A17094" i="1"/>
  <c r="E17094" i="1"/>
  <c r="B17095" i="1"/>
  <c r="A17095" i="1"/>
  <c r="E17095" i="1"/>
  <c r="B17096" i="1"/>
  <c r="A17096" i="1"/>
  <c r="E17096" i="1"/>
  <c r="B17097" i="1"/>
  <c r="A17097" i="1"/>
  <c r="E17097" i="1"/>
  <c r="B17098" i="1"/>
  <c r="A17098" i="1"/>
  <c r="E17098" i="1"/>
  <c r="B17099" i="1"/>
  <c r="A17099" i="1"/>
  <c r="E17099" i="1"/>
  <c r="B17100" i="1"/>
  <c r="A17100" i="1"/>
  <c r="E17100" i="1"/>
  <c r="B17101" i="1"/>
  <c r="A17101" i="1"/>
  <c r="E17101" i="1"/>
  <c r="B17102" i="1"/>
  <c r="A17102" i="1"/>
  <c r="E17102" i="1"/>
  <c r="B17103" i="1"/>
  <c r="A17103" i="1"/>
  <c r="E17103" i="1"/>
  <c r="B17104" i="1"/>
  <c r="A17104" i="1"/>
  <c r="E17104" i="1"/>
  <c r="B17105" i="1"/>
  <c r="A17105" i="1"/>
  <c r="E17105" i="1"/>
  <c r="B17106" i="1"/>
  <c r="A17106" i="1"/>
  <c r="E17106" i="1"/>
  <c r="B17107" i="1"/>
  <c r="A17107" i="1"/>
  <c r="E17107" i="1"/>
  <c r="B17108" i="1"/>
  <c r="A17108" i="1"/>
  <c r="E17108" i="1"/>
  <c r="B17109" i="1"/>
  <c r="A17109" i="1"/>
  <c r="E17109" i="1"/>
  <c r="B17110" i="1"/>
  <c r="A17110" i="1"/>
  <c r="E17110" i="1"/>
  <c r="B17111" i="1"/>
  <c r="A17111" i="1"/>
  <c r="E17111" i="1"/>
  <c r="B17112" i="1"/>
  <c r="A17112" i="1"/>
  <c r="E17112" i="1"/>
  <c r="B17113" i="1"/>
  <c r="A17113" i="1"/>
  <c r="E17113" i="1"/>
  <c r="B17114" i="1"/>
  <c r="A17114" i="1"/>
  <c r="E17114" i="1"/>
  <c r="B17115" i="1"/>
  <c r="A17115" i="1"/>
  <c r="E17115" i="1"/>
  <c r="B17116" i="1"/>
  <c r="A17116" i="1"/>
  <c r="E17116" i="1"/>
  <c r="B17117" i="1"/>
  <c r="A17117" i="1"/>
  <c r="E17117" i="1"/>
  <c r="B17118" i="1"/>
  <c r="A17118" i="1"/>
  <c r="E17118" i="1"/>
  <c r="B17119" i="1"/>
  <c r="A17119" i="1"/>
  <c r="E17119" i="1"/>
  <c r="B17120" i="1"/>
  <c r="A17120" i="1"/>
  <c r="E17120" i="1"/>
  <c r="B17121" i="1"/>
  <c r="A17121" i="1"/>
  <c r="E17121" i="1"/>
  <c r="B17122" i="1"/>
  <c r="A17122" i="1"/>
  <c r="E17122" i="1"/>
  <c r="B17123" i="1"/>
  <c r="A17123" i="1"/>
  <c r="E17123" i="1"/>
  <c r="B17124" i="1"/>
  <c r="A17124" i="1"/>
  <c r="E17124" i="1"/>
  <c r="B17125" i="1"/>
  <c r="A17125" i="1"/>
  <c r="E17125" i="1"/>
  <c r="B17126" i="1"/>
  <c r="A17126" i="1"/>
  <c r="E17126" i="1"/>
  <c r="B17127" i="1"/>
  <c r="A17127" i="1"/>
  <c r="E17127" i="1"/>
  <c r="B17128" i="1"/>
  <c r="A17128" i="1"/>
  <c r="E17128" i="1"/>
  <c r="B17129" i="1"/>
  <c r="A17129" i="1"/>
  <c r="E17129" i="1"/>
  <c r="B17130" i="1"/>
  <c r="A17130" i="1"/>
  <c r="E17130" i="1"/>
  <c r="B17131" i="1"/>
  <c r="A17131" i="1"/>
  <c r="E17131" i="1"/>
  <c r="B17132" i="1"/>
  <c r="A17132" i="1"/>
  <c r="E17132" i="1"/>
  <c r="B17133" i="1"/>
  <c r="A17133" i="1"/>
  <c r="E17133" i="1"/>
  <c r="B17134" i="1"/>
  <c r="A17134" i="1"/>
  <c r="E17134" i="1"/>
  <c r="B17135" i="1"/>
  <c r="A17135" i="1"/>
  <c r="E17135" i="1"/>
  <c r="B17136" i="1"/>
  <c r="A17136" i="1"/>
  <c r="E17136" i="1"/>
  <c r="B17137" i="1"/>
  <c r="A17137" i="1"/>
  <c r="E17137" i="1"/>
  <c r="B17138" i="1"/>
  <c r="A17138" i="1"/>
  <c r="E17138" i="1"/>
  <c r="B17139" i="1"/>
  <c r="A17139" i="1"/>
  <c r="E17139" i="1"/>
  <c r="B17140" i="1"/>
  <c r="A17140" i="1"/>
  <c r="E17140" i="1"/>
  <c r="B17141" i="1"/>
  <c r="A17141" i="1"/>
  <c r="E17141" i="1"/>
  <c r="B17142" i="1"/>
  <c r="A17142" i="1"/>
  <c r="E17142" i="1"/>
  <c r="B17143" i="1"/>
  <c r="A17143" i="1"/>
  <c r="E17143" i="1"/>
  <c r="B17144" i="1"/>
  <c r="A17144" i="1"/>
  <c r="E17144" i="1"/>
  <c r="B17145" i="1"/>
  <c r="A17145" i="1"/>
  <c r="E17145" i="1"/>
  <c r="B17146" i="1"/>
  <c r="A17146" i="1"/>
  <c r="E17146" i="1"/>
  <c r="B17147" i="1"/>
  <c r="A17147" i="1"/>
  <c r="E17147" i="1"/>
  <c r="B17148" i="1"/>
  <c r="A17148" i="1"/>
  <c r="E17148" i="1"/>
  <c r="B17149" i="1"/>
  <c r="A17149" i="1"/>
  <c r="E17149" i="1"/>
  <c r="B17150" i="1"/>
  <c r="A17150" i="1"/>
  <c r="E17150" i="1"/>
  <c r="B17151" i="1"/>
  <c r="A17151" i="1"/>
  <c r="E17151" i="1"/>
  <c r="B17152" i="1"/>
  <c r="A17152" i="1"/>
  <c r="E17152" i="1"/>
  <c r="B17153" i="1"/>
  <c r="A17153" i="1"/>
  <c r="E17153" i="1"/>
  <c r="B17154" i="1"/>
  <c r="A17154" i="1"/>
  <c r="E17154" i="1"/>
  <c r="B17155" i="1"/>
  <c r="A17155" i="1"/>
  <c r="E17155" i="1"/>
  <c r="B17156" i="1"/>
  <c r="A17156" i="1"/>
  <c r="E17156" i="1"/>
  <c r="B17157" i="1"/>
  <c r="A17157" i="1"/>
  <c r="E17157" i="1"/>
  <c r="B17158" i="1"/>
  <c r="A17158" i="1"/>
  <c r="E17158" i="1"/>
  <c r="B17159" i="1"/>
  <c r="A17159" i="1"/>
  <c r="E17159" i="1"/>
  <c r="B17160" i="1"/>
  <c r="A17160" i="1"/>
  <c r="E17160" i="1"/>
  <c r="B17161" i="1"/>
  <c r="A17161" i="1"/>
  <c r="E17161" i="1"/>
  <c r="B17162" i="1"/>
  <c r="A17162" i="1"/>
  <c r="E17162" i="1"/>
  <c r="B17163" i="1"/>
  <c r="A17163" i="1"/>
  <c r="E17163" i="1"/>
  <c r="B17164" i="1"/>
  <c r="A17164" i="1"/>
  <c r="E17164" i="1"/>
  <c r="B17165" i="1"/>
  <c r="A17165" i="1"/>
  <c r="E17165" i="1"/>
  <c r="B17166" i="1"/>
  <c r="A17166" i="1"/>
  <c r="E17166" i="1"/>
  <c r="B17167" i="1"/>
  <c r="A17167" i="1"/>
  <c r="E17167" i="1"/>
  <c r="B17168" i="1"/>
  <c r="A17168" i="1"/>
  <c r="E17168" i="1"/>
  <c r="B17169" i="1"/>
  <c r="A17169" i="1"/>
  <c r="E17169" i="1"/>
  <c r="B17170" i="1"/>
  <c r="A17170" i="1"/>
  <c r="E17170" i="1"/>
  <c r="B17171" i="1"/>
  <c r="A17171" i="1"/>
  <c r="E17171" i="1"/>
  <c r="B17172" i="1"/>
  <c r="A17172" i="1"/>
  <c r="E17172" i="1"/>
  <c r="B17173" i="1"/>
  <c r="A17173" i="1"/>
  <c r="E17173" i="1"/>
  <c r="B17174" i="1"/>
  <c r="A17174" i="1"/>
  <c r="E17174" i="1"/>
  <c r="B17175" i="1"/>
  <c r="A17175" i="1"/>
  <c r="E17175" i="1"/>
  <c r="B17176" i="1"/>
  <c r="A17176" i="1"/>
  <c r="E17176" i="1"/>
  <c r="B17177" i="1"/>
  <c r="A17177" i="1"/>
  <c r="E17177" i="1"/>
  <c r="B17178" i="1"/>
  <c r="A17178" i="1"/>
  <c r="E17178" i="1"/>
  <c r="B17179" i="1"/>
  <c r="A17179" i="1"/>
  <c r="E17179" i="1"/>
  <c r="B17180" i="1"/>
  <c r="A17180" i="1"/>
  <c r="E17180" i="1"/>
  <c r="B17181" i="1"/>
  <c r="A17181" i="1"/>
  <c r="E17181" i="1"/>
  <c r="B17182" i="1"/>
  <c r="A17182" i="1"/>
  <c r="E17182" i="1"/>
  <c r="B17183" i="1"/>
  <c r="A17183" i="1"/>
  <c r="E17183" i="1"/>
  <c r="B17184" i="1"/>
  <c r="A17184" i="1"/>
  <c r="E17184" i="1"/>
  <c r="B17185" i="1"/>
  <c r="A17185" i="1"/>
  <c r="E17185" i="1"/>
  <c r="B17186" i="1"/>
  <c r="A17186" i="1"/>
  <c r="E17186" i="1"/>
  <c r="B17187" i="1"/>
  <c r="A17187" i="1"/>
  <c r="E17187" i="1"/>
  <c r="B17188" i="1"/>
  <c r="A17188" i="1"/>
  <c r="E17188" i="1"/>
  <c r="B17189" i="1"/>
  <c r="A17189" i="1"/>
  <c r="E17189" i="1"/>
  <c r="B17190" i="1"/>
  <c r="A17190" i="1"/>
  <c r="E17190" i="1"/>
  <c r="B17191" i="1"/>
  <c r="A17191" i="1"/>
  <c r="E17191" i="1"/>
  <c r="B17192" i="1"/>
  <c r="A17192" i="1"/>
  <c r="E17192" i="1"/>
  <c r="B17193" i="1"/>
  <c r="A17193" i="1"/>
  <c r="E17193" i="1"/>
  <c r="B17194" i="1"/>
  <c r="A17194" i="1"/>
  <c r="E17194" i="1"/>
  <c r="B17195" i="1"/>
  <c r="A17195" i="1"/>
  <c r="E17195" i="1"/>
  <c r="B17196" i="1"/>
  <c r="A17196" i="1"/>
  <c r="E17196" i="1"/>
  <c r="B17197" i="1"/>
  <c r="A17197" i="1"/>
  <c r="E17197" i="1"/>
  <c r="B17198" i="1"/>
  <c r="A17198" i="1"/>
  <c r="E17198" i="1"/>
  <c r="B17199" i="1"/>
  <c r="A17199" i="1"/>
  <c r="E17199" i="1"/>
  <c r="B17200" i="1"/>
  <c r="A17200" i="1"/>
  <c r="E17200" i="1"/>
  <c r="B17201" i="1"/>
  <c r="A17201" i="1"/>
  <c r="E17201" i="1"/>
  <c r="B17202" i="1"/>
  <c r="A17202" i="1"/>
  <c r="E17202" i="1"/>
  <c r="B17203" i="1"/>
  <c r="A17203" i="1"/>
  <c r="E17203" i="1"/>
  <c r="B17204" i="1"/>
  <c r="A17204" i="1"/>
  <c r="E17204" i="1"/>
  <c r="B17205" i="1"/>
  <c r="A17205" i="1"/>
  <c r="E17205" i="1"/>
  <c r="B17206" i="1"/>
  <c r="A17206" i="1"/>
  <c r="E17206" i="1"/>
  <c r="B17207" i="1"/>
  <c r="A17207" i="1"/>
  <c r="E17207" i="1"/>
  <c r="B17208" i="1"/>
  <c r="A17208" i="1"/>
  <c r="E17208" i="1"/>
  <c r="B17209" i="1"/>
  <c r="A17209" i="1"/>
  <c r="E17209" i="1"/>
  <c r="B17210" i="1"/>
  <c r="A17210" i="1"/>
  <c r="E17210" i="1"/>
  <c r="B17211" i="1"/>
  <c r="A17211" i="1"/>
  <c r="E17211" i="1"/>
  <c r="B17212" i="1"/>
  <c r="A17212" i="1"/>
  <c r="E17212" i="1"/>
  <c r="B17213" i="1"/>
  <c r="A17213" i="1"/>
  <c r="E17213" i="1"/>
  <c r="B17214" i="1"/>
  <c r="A17214" i="1"/>
  <c r="E17214" i="1"/>
  <c r="B17215" i="1"/>
  <c r="A17215" i="1"/>
  <c r="E17215" i="1"/>
  <c r="B17216" i="1"/>
  <c r="A17216" i="1"/>
  <c r="E17216" i="1"/>
  <c r="B17217" i="1"/>
  <c r="A17217" i="1"/>
  <c r="E17217" i="1"/>
  <c r="B17218" i="1"/>
  <c r="A17218" i="1"/>
  <c r="E17218" i="1"/>
  <c r="B17219" i="1"/>
  <c r="A17219" i="1"/>
  <c r="E17219" i="1"/>
  <c r="B17220" i="1"/>
  <c r="A17220" i="1"/>
  <c r="E17220" i="1"/>
  <c r="B17221" i="1"/>
  <c r="A17221" i="1"/>
  <c r="E17221" i="1"/>
  <c r="B17222" i="1"/>
  <c r="A17222" i="1"/>
  <c r="E17222" i="1"/>
  <c r="B17223" i="1"/>
  <c r="A17223" i="1"/>
  <c r="E17223" i="1"/>
  <c r="B17224" i="1"/>
  <c r="A17224" i="1"/>
  <c r="E17224" i="1"/>
  <c r="B17225" i="1"/>
  <c r="A17225" i="1"/>
  <c r="E17225" i="1"/>
  <c r="B17226" i="1"/>
  <c r="A17226" i="1"/>
  <c r="E17226" i="1"/>
  <c r="B17227" i="1"/>
  <c r="A17227" i="1"/>
  <c r="E17227" i="1"/>
  <c r="B17228" i="1"/>
  <c r="A17228" i="1"/>
  <c r="E17228" i="1"/>
  <c r="B17229" i="1"/>
  <c r="A17229" i="1"/>
  <c r="E17229" i="1"/>
  <c r="B17230" i="1"/>
  <c r="A17230" i="1"/>
  <c r="E17230" i="1"/>
  <c r="B17231" i="1"/>
  <c r="A17231" i="1"/>
  <c r="E17231" i="1"/>
  <c r="B17232" i="1"/>
  <c r="A17232" i="1"/>
  <c r="E17232" i="1"/>
  <c r="B17233" i="1"/>
  <c r="A17233" i="1"/>
  <c r="E17233" i="1"/>
  <c r="B17234" i="1"/>
  <c r="A17234" i="1"/>
  <c r="E17234" i="1"/>
  <c r="B17235" i="1"/>
  <c r="A17235" i="1"/>
  <c r="E17235" i="1"/>
  <c r="B17236" i="1"/>
  <c r="A17236" i="1"/>
  <c r="E17236" i="1"/>
  <c r="B17237" i="1"/>
  <c r="A17237" i="1"/>
  <c r="E17237" i="1"/>
  <c r="B17238" i="1"/>
  <c r="A17238" i="1"/>
  <c r="E17238" i="1"/>
  <c r="B17239" i="1"/>
  <c r="A17239" i="1"/>
  <c r="E17239" i="1"/>
  <c r="B17240" i="1"/>
  <c r="A17240" i="1"/>
  <c r="E17240" i="1"/>
  <c r="B17241" i="1"/>
  <c r="A17241" i="1"/>
  <c r="E17241" i="1"/>
  <c r="B17242" i="1"/>
  <c r="A17242" i="1"/>
  <c r="E17242" i="1"/>
  <c r="B17243" i="1"/>
  <c r="A17243" i="1"/>
  <c r="E17243" i="1"/>
  <c r="B17244" i="1"/>
  <c r="A17244" i="1"/>
  <c r="E17244" i="1"/>
  <c r="B17245" i="1"/>
  <c r="A17245" i="1"/>
  <c r="E17245" i="1"/>
  <c r="B17246" i="1"/>
  <c r="A17246" i="1"/>
  <c r="E17246" i="1"/>
  <c r="B17247" i="1"/>
  <c r="A17247" i="1"/>
  <c r="E17247" i="1"/>
  <c r="B17248" i="1"/>
  <c r="A17248" i="1"/>
  <c r="E17248" i="1"/>
  <c r="B17249" i="1"/>
  <c r="A17249" i="1"/>
  <c r="E17249" i="1"/>
  <c r="B17250" i="1"/>
  <c r="A17250" i="1"/>
  <c r="E17250" i="1"/>
  <c r="B17251" i="1"/>
  <c r="A17251" i="1"/>
  <c r="E17251" i="1"/>
  <c r="B17252" i="1"/>
  <c r="A17252" i="1"/>
  <c r="E17252" i="1"/>
  <c r="B17253" i="1"/>
  <c r="A17253" i="1"/>
  <c r="E17253" i="1"/>
  <c r="B17254" i="1"/>
  <c r="A17254" i="1"/>
  <c r="E17254" i="1"/>
  <c r="B17255" i="1"/>
  <c r="A17255" i="1"/>
  <c r="E17255" i="1"/>
  <c r="B17256" i="1"/>
  <c r="A17256" i="1"/>
  <c r="E17256" i="1"/>
  <c r="B17257" i="1"/>
  <c r="A17257" i="1"/>
  <c r="E17257" i="1"/>
  <c r="B17258" i="1"/>
  <c r="A17258" i="1"/>
  <c r="E17258" i="1"/>
  <c r="B17259" i="1"/>
  <c r="A17259" i="1"/>
  <c r="E17259" i="1"/>
  <c r="B17260" i="1"/>
  <c r="A17260" i="1"/>
  <c r="E17260" i="1"/>
  <c r="B17261" i="1"/>
  <c r="A17261" i="1"/>
  <c r="E17261" i="1"/>
  <c r="B17262" i="1"/>
  <c r="A17262" i="1"/>
  <c r="E17262" i="1"/>
  <c r="B17263" i="1"/>
  <c r="A17263" i="1"/>
  <c r="E17263" i="1"/>
  <c r="B17264" i="1"/>
  <c r="A17264" i="1"/>
  <c r="E17264" i="1"/>
  <c r="B17265" i="1"/>
  <c r="A17265" i="1"/>
  <c r="E17265" i="1"/>
  <c r="B17266" i="1"/>
  <c r="A17266" i="1"/>
  <c r="E17266" i="1"/>
  <c r="B17267" i="1"/>
  <c r="A17267" i="1"/>
  <c r="E17267" i="1"/>
  <c r="B17268" i="1"/>
  <c r="A17268" i="1"/>
  <c r="E17268" i="1"/>
  <c r="B17269" i="1"/>
  <c r="A17269" i="1"/>
  <c r="E17269" i="1"/>
  <c r="B17270" i="1"/>
  <c r="A17270" i="1"/>
  <c r="E17270" i="1"/>
  <c r="B17271" i="1"/>
  <c r="A17271" i="1"/>
  <c r="E17271" i="1"/>
  <c r="B17272" i="1"/>
  <c r="A17272" i="1"/>
  <c r="E17272" i="1"/>
  <c r="B17273" i="1"/>
  <c r="A17273" i="1"/>
  <c r="E17273" i="1"/>
  <c r="B17274" i="1"/>
  <c r="A17274" i="1"/>
  <c r="E17274" i="1"/>
  <c r="B17275" i="1"/>
  <c r="A17275" i="1"/>
  <c r="E17275" i="1"/>
  <c r="B17276" i="1"/>
  <c r="A17276" i="1"/>
  <c r="E17276" i="1"/>
  <c r="G17276" i="1"/>
  <c r="B17277" i="1"/>
  <c r="A17277" i="1"/>
  <c r="E17277" i="1"/>
  <c r="G17277" i="1"/>
  <c r="B17278" i="1"/>
  <c r="A17278" i="1"/>
  <c r="E17278" i="1"/>
  <c r="G17278" i="1"/>
  <c r="B17279" i="1"/>
  <c r="A17279" i="1"/>
  <c r="E17279" i="1"/>
  <c r="G17279" i="1"/>
  <c r="B17280" i="1"/>
  <c r="A17280" i="1"/>
  <c r="E17280" i="1"/>
  <c r="G17280" i="1"/>
  <c r="B17281" i="1"/>
  <c r="A17281" i="1"/>
  <c r="E17281" i="1"/>
  <c r="G17281" i="1"/>
  <c r="B17282" i="1"/>
  <c r="A17282" i="1"/>
  <c r="E17282" i="1"/>
  <c r="G17282" i="1"/>
  <c r="B17283" i="1"/>
  <c r="A17283" i="1"/>
  <c r="E17283" i="1"/>
  <c r="G17283" i="1"/>
  <c r="B17284" i="1"/>
  <c r="A17284" i="1"/>
  <c r="E17284" i="1"/>
  <c r="G17284" i="1"/>
  <c r="B17285" i="1"/>
  <c r="A17285" i="1"/>
  <c r="E17285" i="1"/>
  <c r="G17285" i="1"/>
  <c r="B17286" i="1"/>
  <c r="A17286" i="1"/>
  <c r="E17286" i="1"/>
  <c r="G17286" i="1"/>
  <c r="B17287" i="1"/>
  <c r="A17287" i="1"/>
  <c r="E17287" i="1"/>
  <c r="G17287" i="1"/>
  <c r="B17288" i="1"/>
  <c r="A17288" i="1"/>
  <c r="E17288" i="1"/>
  <c r="G17288" i="1"/>
  <c r="B17289" i="1"/>
  <c r="A17289" i="1"/>
  <c r="E17289" i="1"/>
  <c r="G17289" i="1"/>
  <c r="B17290" i="1"/>
  <c r="A17290" i="1"/>
  <c r="E17290" i="1"/>
  <c r="G17290" i="1"/>
  <c r="B17291" i="1"/>
  <c r="A17291" i="1"/>
  <c r="E17291" i="1"/>
  <c r="G17291" i="1"/>
  <c r="B17292" i="1"/>
  <c r="A17292" i="1"/>
  <c r="E17292" i="1"/>
  <c r="G17292" i="1"/>
  <c r="B17293" i="1"/>
  <c r="A17293" i="1"/>
  <c r="E17293" i="1"/>
  <c r="B17294" i="1"/>
  <c r="A17294" i="1"/>
  <c r="E17294" i="1"/>
  <c r="B17295" i="1"/>
  <c r="A17295" i="1"/>
  <c r="E17295" i="1"/>
  <c r="B17296" i="1"/>
  <c r="A17296" i="1"/>
  <c r="E17296" i="1"/>
  <c r="B17297" i="1"/>
  <c r="A17297" i="1"/>
  <c r="E17297" i="1"/>
  <c r="B17298" i="1"/>
  <c r="A17298" i="1"/>
  <c r="E17298" i="1"/>
  <c r="B17299" i="1"/>
  <c r="A17299" i="1"/>
  <c r="E17299" i="1"/>
  <c r="B17300" i="1"/>
  <c r="A17300" i="1"/>
  <c r="E17300" i="1"/>
  <c r="B17301" i="1"/>
  <c r="A17301" i="1"/>
  <c r="E17301" i="1"/>
  <c r="B17302" i="1"/>
  <c r="A17302" i="1"/>
  <c r="E17302" i="1"/>
  <c r="B17303" i="1"/>
  <c r="A17303" i="1"/>
  <c r="E17303" i="1"/>
  <c r="B17304" i="1"/>
  <c r="A17304" i="1"/>
  <c r="E17304" i="1"/>
  <c r="B17305" i="1"/>
  <c r="A17305" i="1"/>
  <c r="E17305" i="1"/>
  <c r="B17306" i="1"/>
  <c r="A17306" i="1"/>
  <c r="E17306" i="1"/>
  <c r="B17307" i="1"/>
  <c r="A17307" i="1"/>
  <c r="E17307" i="1"/>
  <c r="B17308" i="1"/>
  <c r="A17308" i="1"/>
  <c r="E17308" i="1"/>
  <c r="B17309" i="1"/>
  <c r="A17309" i="1"/>
  <c r="E17309" i="1"/>
  <c r="B17310" i="1"/>
  <c r="A17310" i="1"/>
  <c r="E17310" i="1"/>
  <c r="B17311" i="1"/>
  <c r="A17311" i="1"/>
  <c r="E17311" i="1"/>
  <c r="B17312" i="1"/>
  <c r="A17312" i="1"/>
  <c r="E17312" i="1"/>
  <c r="B17313" i="1"/>
  <c r="A17313" i="1"/>
  <c r="E17313" i="1"/>
  <c r="B17314" i="1"/>
  <c r="A17314" i="1"/>
  <c r="E17314" i="1"/>
  <c r="B17315" i="1"/>
  <c r="A17315" i="1"/>
  <c r="E17315" i="1"/>
  <c r="B17316" i="1"/>
  <c r="A17316" i="1"/>
  <c r="E17316" i="1"/>
  <c r="B17317" i="1"/>
  <c r="A17317" i="1"/>
  <c r="E17317" i="1"/>
  <c r="B17318" i="1"/>
  <c r="A17318" i="1"/>
  <c r="E17318" i="1"/>
  <c r="B17319" i="1"/>
  <c r="A17319" i="1"/>
  <c r="E17319" i="1"/>
  <c r="B17320" i="1"/>
  <c r="A17320" i="1"/>
  <c r="E17320" i="1"/>
  <c r="B17321" i="1"/>
  <c r="A17321" i="1"/>
  <c r="E17321" i="1"/>
  <c r="B17322" i="1"/>
  <c r="A17322" i="1"/>
  <c r="E17322" i="1"/>
  <c r="B17323" i="1"/>
  <c r="A17323" i="1"/>
  <c r="E17323" i="1"/>
  <c r="B17324" i="1"/>
  <c r="A17324" i="1"/>
  <c r="E17324" i="1"/>
  <c r="B17325" i="1"/>
  <c r="A17325" i="1"/>
  <c r="E17325" i="1"/>
  <c r="B17326" i="1"/>
  <c r="A17326" i="1"/>
  <c r="E17326" i="1"/>
  <c r="B17327" i="1"/>
  <c r="A17327" i="1"/>
  <c r="E17327" i="1"/>
  <c r="B17328" i="1"/>
  <c r="A17328" i="1"/>
  <c r="E17328" i="1"/>
  <c r="B17329" i="1"/>
  <c r="A17329" i="1"/>
  <c r="E17329" i="1"/>
  <c r="B17330" i="1"/>
  <c r="A17330" i="1"/>
  <c r="E17330" i="1"/>
  <c r="B17331" i="1"/>
  <c r="A17331" i="1"/>
  <c r="E17331" i="1"/>
  <c r="B17332" i="1"/>
  <c r="A17332" i="1"/>
  <c r="E17332" i="1"/>
  <c r="B17333" i="1"/>
  <c r="A17333" i="1"/>
  <c r="E17333" i="1"/>
  <c r="B17334" i="1"/>
  <c r="A17334" i="1"/>
  <c r="E17334" i="1"/>
  <c r="B17335" i="1"/>
  <c r="A17335" i="1"/>
  <c r="E17335" i="1"/>
  <c r="B17336" i="1"/>
  <c r="A17336" i="1"/>
  <c r="E17336" i="1"/>
  <c r="B17337" i="1"/>
  <c r="A17337" i="1"/>
  <c r="E17337" i="1"/>
  <c r="B17338" i="1"/>
  <c r="A17338" i="1"/>
  <c r="E17338" i="1"/>
  <c r="B17339" i="1"/>
  <c r="A17339" i="1"/>
  <c r="E17339" i="1"/>
  <c r="B17340" i="1"/>
  <c r="A17340" i="1"/>
  <c r="E17340" i="1"/>
  <c r="B17341" i="1"/>
  <c r="A17341" i="1"/>
  <c r="E17341" i="1"/>
  <c r="B17342" i="1"/>
  <c r="A17342" i="1"/>
  <c r="E17342" i="1"/>
  <c r="B17343" i="1"/>
  <c r="A17343" i="1"/>
  <c r="E17343" i="1"/>
  <c r="B17344" i="1"/>
  <c r="A17344" i="1"/>
  <c r="E17344" i="1"/>
  <c r="B17345" i="1"/>
  <c r="A17345" i="1"/>
  <c r="E17345" i="1"/>
  <c r="B17346" i="1"/>
  <c r="A17346" i="1"/>
  <c r="E17346" i="1"/>
  <c r="B17347" i="1"/>
  <c r="A17347" i="1"/>
  <c r="E17347" i="1"/>
  <c r="B17348" i="1"/>
  <c r="A17348" i="1"/>
  <c r="E17348" i="1"/>
  <c r="B17349" i="1"/>
  <c r="A17349" i="1"/>
  <c r="E17349" i="1"/>
  <c r="B17350" i="1"/>
  <c r="A17350" i="1"/>
  <c r="E17350" i="1"/>
  <c r="B17351" i="1"/>
  <c r="A17351" i="1"/>
  <c r="E17351" i="1"/>
  <c r="B17352" i="1"/>
  <c r="A17352" i="1"/>
  <c r="E17352" i="1"/>
  <c r="B17353" i="1"/>
  <c r="A17353" i="1"/>
  <c r="E17353" i="1"/>
  <c r="B17354" i="1"/>
  <c r="A17354" i="1"/>
  <c r="E17354" i="1"/>
  <c r="B17355" i="1"/>
  <c r="A17355" i="1"/>
  <c r="E17355" i="1"/>
  <c r="B17356" i="1"/>
  <c r="A17356" i="1"/>
  <c r="E17356" i="1"/>
  <c r="B17357" i="1"/>
  <c r="A17357" i="1"/>
  <c r="E17357" i="1"/>
  <c r="B17358" i="1"/>
  <c r="A17358" i="1"/>
  <c r="E17358" i="1"/>
  <c r="B17359" i="1"/>
  <c r="A17359" i="1"/>
  <c r="E17359" i="1"/>
  <c r="B17360" i="1"/>
  <c r="A17360" i="1"/>
  <c r="E17360" i="1"/>
  <c r="B17361" i="1"/>
  <c r="A17361" i="1"/>
  <c r="E17361" i="1"/>
  <c r="B17362" i="1"/>
  <c r="A17362" i="1"/>
  <c r="E17362" i="1"/>
  <c r="B17363" i="1"/>
  <c r="A17363" i="1"/>
  <c r="E17363" i="1"/>
  <c r="B17364" i="1"/>
  <c r="A17364" i="1"/>
  <c r="E17364" i="1"/>
  <c r="B17365" i="1"/>
  <c r="A17365" i="1"/>
  <c r="E17365" i="1"/>
  <c r="B17366" i="1"/>
  <c r="A17366" i="1"/>
  <c r="E17366" i="1"/>
  <c r="B17367" i="1"/>
  <c r="A17367" i="1"/>
  <c r="E17367" i="1"/>
  <c r="B17368" i="1"/>
  <c r="A17368" i="1"/>
  <c r="E17368" i="1"/>
  <c r="B17369" i="1"/>
  <c r="A17369" i="1"/>
  <c r="E17369" i="1"/>
  <c r="B17370" i="1"/>
  <c r="A17370" i="1"/>
  <c r="E17370" i="1"/>
  <c r="B17371" i="1"/>
  <c r="A17371" i="1"/>
  <c r="E17371" i="1"/>
  <c r="B17372" i="1"/>
  <c r="A17372" i="1"/>
  <c r="E17372" i="1"/>
  <c r="B17373" i="1"/>
  <c r="A17373" i="1"/>
  <c r="E17373" i="1"/>
  <c r="B17374" i="1"/>
  <c r="A17374" i="1"/>
  <c r="E17374" i="1"/>
  <c r="B17375" i="1"/>
  <c r="A17375" i="1"/>
  <c r="E17375" i="1"/>
  <c r="B17376" i="1"/>
  <c r="A17376" i="1"/>
  <c r="E17376" i="1"/>
  <c r="B17377" i="1"/>
  <c r="A17377" i="1"/>
  <c r="E17377" i="1"/>
  <c r="B17378" i="1"/>
  <c r="A17378" i="1"/>
  <c r="E17378" i="1"/>
  <c r="B17379" i="1"/>
  <c r="A17379" i="1"/>
  <c r="E17379" i="1"/>
  <c r="B17380" i="1"/>
  <c r="A17380" i="1"/>
  <c r="E17380" i="1"/>
  <c r="B17381" i="1"/>
  <c r="A17381" i="1"/>
  <c r="E17381" i="1"/>
  <c r="B17382" i="1"/>
  <c r="A17382" i="1"/>
  <c r="E17382" i="1"/>
  <c r="B17383" i="1"/>
  <c r="A17383" i="1"/>
  <c r="E17383" i="1"/>
  <c r="B17384" i="1"/>
  <c r="A17384" i="1"/>
  <c r="E17384" i="1"/>
  <c r="B17385" i="1"/>
  <c r="A17385" i="1"/>
  <c r="E17385" i="1"/>
  <c r="B17386" i="1"/>
  <c r="A17386" i="1"/>
  <c r="E17386" i="1"/>
  <c r="B17387" i="1"/>
  <c r="A17387" i="1"/>
  <c r="E17387" i="1"/>
  <c r="B17388" i="1"/>
  <c r="A17388" i="1"/>
  <c r="E17388" i="1"/>
  <c r="B17389" i="1"/>
  <c r="A17389" i="1"/>
  <c r="E17389" i="1"/>
  <c r="B17390" i="1"/>
  <c r="A17390" i="1"/>
  <c r="E17390" i="1"/>
  <c r="B17391" i="1"/>
  <c r="A17391" i="1"/>
  <c r="E17391" i="1"/>
  <c r="B17392" i="1"/>
  <c r="A17392" i="1"/>
  <c r="E17392" i="1"/>
  <c r="B17393" i="1"/>
  <c r="A17393" i="1"/>
  <c r="E17393" i="1"/>
  <c r="B17394" i="1"/>
  <c r="A17394" i="1"/>
  <c r="E17394" i="1"/>
  <c r="B17395" i="1"/>
  <c r="A17395" i="1"/>
  <c r="E17395" i="1"/>
  <c r="B17396" i="1"/>
  <c r="A17396" i="1"/>
  <c r="E17396" i="1"/>
  <c r="B17397" i="1"/>
  <c r="A17397" i="1"/>
  <c r="E17397" i="1"/>
  <c r="B17398" i="1"/>
  <c r="A17398" i="1"/>
  <c r="E17398" i="1"/>
  <c r="B17399" i="1"/>
  <c r="A17399" i="1"/>
  <c r="E17399" i="1"/>
  <c r="B17400" i="1"/>
  <c r="A17400" i="1"/>
  <c r="E17400" i="1"/>
  <c r="B17401" i="1"/>
  <c r="A17401" i="1"/>
  <c r="E17401" i="1"/>
  <c r="B17402" i="1"/>
  <c r="A17402" i="1"/>
  <c r="E17402" i="1"/>
  <c r="B17403" i="1"/>
  <c r="A17403" i="1"/>
  <c r="E17403" i="1"/>
  <c r="B17404" i="1"/>
  <c r="A17404" i="1"/>
  <c r="E17404" i="1"/>
  <c r="B17405" i="1"/>
  <c r="A17405" i="1"/>
  <c r="E17405" i="1"/>
  <c r="B17406" i="1"/>
  <c r="A17406" i="1"/>
  <c r="E17406" i="1"/>
  <c r="B17407" i="1"/>
  <c r="A17407" i="1"/>
  <c r="E17407" i="1"/>
  <c r="B17408" i="1"/>
  <c r="A17408" i="1"/>
  <c r="E17408" i="1"/>
  <c r="B17409" i="1"/>
  <c r="A17409" i="1"/>
  <c r="E17409" i="1"/>
  <c r="B17410" i="1"/>
  <c r="A17410" i="1"/>
  <c r="E17410" i="1"/>
  <c r="B17411" i="1"/>
  <c r="A17411" i="1"/>
  <c r="E17411" i="1"/>
  <c r="B17412" i="1"/>
  <c r="A17412" i="1"/>
  <c r="E17412" i="1"/>
  <c r="B17413" i="1"/>
  <c r="A17413" i="1"/>
  <c r="E17413" i="1"/>
  <c r="B17414" i="1"/>
  <c r="A17414" i="1"/>
  <c r="E17414" i="1"/>
  <c r="B17415" i="1"/>
  <c r="A17415" i="1"/>
  <c r="E17415" i="1"/>
  <c r="B17416" i="1"/>
  <c r="A17416" i="1"/>
  <c r="E17416" i="1"/>
  <c r="B17417" i="1"/>
  <c r="A17417" i="1"/>
  <c r="E17417" i="1"/>
  <c r="B17418" i="1"/>
  <c r="A17418" i="1"/>
  <c r="E17418" i="1"/>
  <c r="B17419" i="1"/>
  <c r="A17419" i="1"/>
  <c r="E17419" i="1"/>
  <c r="B17420" i="1"/>
  <c r="A17420" i="1"/>
  <c r="E17420" i="1"/>
  <c r="B17421" i="1"/>
  <c r="A17421" i="1"/>
  <c r="E17421" i="1"/>
  <c r="B17422" i="1"/>
  <c r="A17422" i="1"/>
  <c r="E17422" i="1"/>
  <c r="B17423" i="1"/>
  <c r="A17423" i="1"/>
  <c r="E17423" i="1"/>
  <c r="B17424" i="1"/>
  <c r="A17424" i="1"/>
  <c r="E17424" i="1"/>
  <c r="B17425" i="1"/>
  <c r="A17425" i="1"/>
  <c r="E17425" i="1"/>
  <c r="B17426" i="1"/>
  <c r="A17426" i="1"/>
  <c r="E17426" i="1"/>
  <c r="B17427" i="1"/>
  <c r="A17427" i="1"/>
  <c r="E17427" i="1"/>
  <c r="B17428" i="1"/>
  <c r="A17428" i="1"/>
  <c r="E17428" i="1"/>
  <c r="B17429" i="1"/>
  <c r="A17429" i="1"/>
  <c r="E17429" i="1"/>
  <c r="B17430" i="1"/>
  <c r="A17430" i="1"/>
  <c r="E17430" i="1"/>
  <c r="B17431" i="1"/>
  <c r="A17431" i="1"/>
  <c r="E17431" i="1"/>
  <c r="B17432" i="1"/>
  <c r="A17432" i="1"/>
  <c r="E17432" i="1"/>
  <c r="B17433" i="1"/>
  <c r="A17433" i="1"/>
  <c r="E17433" i="1"/>
  <c r="B17434" i="1"/>
  <c r="A17434" i="1"/>
  <c r="E17434" i="1"/>
  <c r="B17435" i="1"/>
  <c r="A17435" i="1"/>
  <c r="E17435" i="1"/>
  <c r="B17436" i="1"/>
  <c r="A17436" i="1"/>
  <c r="E17436" i="1"/>
  <c r="B17437" i="1"/>
  <c r="A17437" i="1"/>
  <c r="E17437" i="1"/>
  <c r="B17438" i="1"/>
  <c r="A17438" i="1"/>
  <c r="E17438" i="1"/>
  <c r="B17439" i="1"/>
  <c r="A17439" i="1"/>
  <c r="E17439" i="1"/>
  <c r="B17440" i="1"/>
  <c r="A17440" i="1"/>
  <c r="E17440" i="1"/>
  <c r="B17441" i="1"/>
  <c r="A17441" i="1"/>
  <c r="E17441" i="1"/>
  <c r="B17442" i="1"/>
  <c r="A17442" i="1"/>
  <c r="E17442" i="1"/>
  <c r="B17443" i="1"/>
  <c r="A17443" i="1"/>
  <c r="E17443" i="1"/>
  <c r="B17444" i="1"/>
  <c r="A17444" i="1"/>
  <c r="E17444" i="1"/>
  <c r="B17445" i="1"/>
  <c r="A17445" i="1"/>
  <c r="E17445" i="1"/>
  <c r="B17446" i="1"/>
  <c r="A17446" i="1"/>
  <c r="E17446" i="1"/>
  <c r="B17447" i="1"/>
  <c r="A17447" i="1"/>
  <c r="E17447" i="1"/>
  <c r="B17448" i="1"/>
  <c r="A17448" i="1"/>
  <c r="E17448" i="1"/>
  <c r="B17449" i="1"/>
  <c r="A17449" i="1"/>
  <c r="E17449" i="1"/>
  <c r="B17450" i="1"/>
  <c r="A17450" i="1"/>
  <c r="E17450" i="1"/>
  <c r="B17451" i="1"/>
  <c r="A17451" i="1"/>
  <c r="E17451" i="1"/>
  <c r="B17452" i="1"/>
  <c r="A17452" i="1"/>
  <c r="E17452" i="1"/>
  <c r="B17453" i="1"/>
  <c r="A17453" i="1"/>
  <c r="E17453" i="1"/>
  <c r="B17454" i="1"/>
  <c r="A17454" i="1"/>
  <c r="E17454" i="1"/>
  <c r="B17455" i="1"/>
  <c r="A17455" i="1"/>
  <c r="E17455" i="1"/>
  <c r="B17456" i="1"/>
  <c r="A17456" i="1"/>
  <c r="E17456" i="1"/>
  <c r="B17457" i="1"/>
  <c r="A17457" i="1"/>
  <c r="E17457" i="1"/>
  <c r="B17458" i="1"/>
  <c r="A17458" i="1"/>
  <c r="E17458" i="1"/>
  <c r="B17459" i="1"/>
  <c r="A17459" i="1"/>
  <c r="E17459" i="1"/>
  <c r="B17460" i="1"/>
  <c r="A17460" i="1"/>
  <c r="E17460" i="1"/>
  <c r="B17461" i="1"/>
  <c r="A17461" i="1"/>
  <c r="E17461" i="1"/>
  <c r="B17462" i="1"/>
  <c r="A17462" i="1"/>
  <c r="E17462" i="1"/>
  <c r="B17463" i="1"/>
  <c r="A17463" i="1"/>
  <c r="E17463" i="1"/>
  <c r="B17464" i="1"/>
  <c r="A17464" i="1"/>
  <c r="E17464" i="1"/>
  <c r="B17465" i="1"/>
  <c r="A17465" i="1"/>
  <c r="E17465" i="1"/>
  <c r="B17466" i="1"/>
  <c r="A17466" i="1"/>
  <c r="E17466" i="1"/>
  <c r="B17467" i="1"/>
  <c r="A17467" i="1"/>
  <c r="E17467" i="1"/>
  <c r="B17468" i="1"/>
  <c r="A17468" i="1"/>
  <c r="E17468" i="1"/>
  <c r="B17469" i="1"/>
  <c r="A17469" i="1"/>
  <c r="E17469" i="1"/>
  <c r="B17470" i="1"/>
  <c r="A17470" i="1"/>
  <c r="E17470" i="1"/>
  <c r="G17470" i="1"/>
  <c r="B17471" i="1"/>
  <c r="A17471" i="1"/>
  <c r="E17471" i="1"/>
  <c r="B17472" i="1"/>
  <c r="A17472" i="1"/>
  <c r="E17472" i="1"/>
  <c r="B17473" i="1"/>
  <c r="A17473" i="1"/>
  <c r="E17473" i="1"/>
  <c r="B17474" i="1"/>
  <c r="A17474" i="1"/>
  <c r="E17474" i="1"/>
  <c r="B17475" i="1"/>
  <c r="A17475" i="1"/>
  <c r="E17475" i="1"/>
  <c r="B17476" i="1"/>
  <c r="A17476" i="1"/>
  <c r="E17476" i="1"/>
  <c r="B17477" i="1"/>
  <c r="A17477" i="1"/>
  <c r="E17477" i="1"/>
  <c r="B17478" i="1"/>
  <c r="A17478" i="1"/>
  <c r="E17478" i="1"/>
  <c r="B17479" i="1"/>
  <c r="A17479" i="1"/>
  <c r="E17479" i="1"/>
  <c r="B17480" i="1"/>
  <c r="A17480" i="1"/>
  <c r="E17480" i="1"/>
  <c r="B17481" i="1"/>
  <c r="A17481" i="1"/>
  <c r="E17481" i="1"/>
  <c r="G17481" i="1"/>
  <c r="B17482" i="1"/>
  <c r="A17482" i="1"/>
  <c r="E17482" i="1"/>
  <c r="G17482" i="1"/>
  <c r="B17483" i="1"/>
  <c r="A17483" i="1"/>
  <c r="E17483" i="1"/>
  <c r="G17483" i="1"/>
  <c r="B17484" i="1"/>
  <c r="A17484" i="1"/>
  <c r="E17484" i="1"/>
  <c r="G17484" i="1"/>
  <c r="B17485" i="1"/>
  <c r="A17485" i="1"/>
  <c r="E17485" i="1"/>
  <c r="G17485" i="1"/>
  <c r="B17486" i="1"/>
  <c r="A17486" i="1"/>
  <c r="E17486" i="1"/>
  <c r="G17486" i="1"/>
  <c r="B17487" i="1"/>
  <c r="A17487" i="1"/>
  <c r="E17487" i="1"/>
  <c r="G17487" i="1"/>
  <c r="B17488" i="1"/>
  <c r="A17488" i="1"/>
  <c r="E17488" i="1"/>
  <c r="G17488" i="1"/>
  <c r="B17489" i="1"/>
  <c r="A17489" i="1"/>
  <c r="E17489" i="1"/>
  <c r="G17489" i="1"/>
  <c r="B17490" i="1"/>
  <c r="A17490" i="1"/>
  <c r="E17490" i="1"/>
  <c r="G17490" i="1"/>
  <c r="B17491" i="1"/>
  <c r="A17491" i="1"/>
  <c r="E17491" i="1"/>
  <c r="G17491" i="1"/>
  <c r="B17492" i="1"/>
  <c r="A17492" i="1"/>
  <c r="E17492" i="1"/>
  <c r="G17492" i="1"/>
  <c r="B17493" i="1"/>
  <c r="A17493" i="1"/>
  <c r="E17493" i="1"/>
  <c r="G17493" i="1"/>
  <c r="B17494" i="1"/>
  <c r="A17494" i="1"/>
  <c r="E17494" i="1"/>
  <c r="B17495" i="1"/>
  <c r="A17495" i="1"/>
  <c r="E17495" i="1"/>
  <c r="B17496" i="1"/>
  <c r="A17496" i="1"/>
  <c r="E17496" i="1"/>
  <c r="B17497" i="1"/>
  <c r="A17497" i="1"/>
  <c r="E17497" i="1"/>
  <c r="B17498" i="1"/>
  <c r="A17498" i="1"/>
  <c r="E17498" i="1"/>
  <c r="B17499" i="1"/>
  <c r="A17499" i="1"/>
  <c r="E17499" i="1"/>
  <c r="B17500" i="1"/>
  <c r="A17500" i="1"/>
  <c r="E17500" i="1"/>
  <c r="B17501" i="1"/>
  <c r="A17501" i="1"/>
  <c r="E17501" i="1"/>
  <c r="B17502" i="1"/>
  <c r="A17502" i="1"/>
  <c r="E17502" i="1"/>
  <c r="B17503" i="1"/>
  <c r="A17503" i="1"/>
  <c r="E17503" i="1"/>
  <c r="B17504" i="1"/>
  <c r="A17504" i="1"/>
  <c r="E17504" i="1"/>
  <c r="B17505" i="1"/>
  <c r="A17505" i="1"/>
  <c r="E17505" i="1"/>
  <c r="B17506" i="1"/>
  <c r="A17506" i="1"/>
  <c r="E17506" i="1"/>
  <c r="B17507" i="1"/>
  <c r="A17507" i="1"/>
  <c r="E17507" i="1"/>
  <c r="B17508" i="1"/>
  <c r="A17508" i="1"/>
  <c r="E17508" i="1"/>
  <c r="B17509" i="1"/>
  <c r="A17509" i="1"/>
  <c r="E17509" i="1"/>
  <c r="B17510" i="1"/>
  <c r="A17510" i="1"/>
  <c r="E17510" i="1"/>
  <c r="B17511" i="1"/>
  <c r="A17511" i="1"/>
  <c r="E17511" i="1"/>
  <c r="B17512" i="1"/>
  <c r="A17512" i="1"/>
  <c r="E17512" i="1"/>
  <c r="B17513" i="1"/>
  <c r="A17513" i="1"/>
  <c r="E17513" i="1"/>
  <c r="B17514" i="1"/>
  <c r="A17514" i="1"/>
  <c r="E17514" i="1"/>
  <c r="B17515" i="1"/>
  <c r="A17515" i="1"/>
  <c r="E17515" i="1"/>
  <c r="B17516" i="1"/>
  <c r="A17516" i="1"/>
  <c r="E17516" i="1"/>
  <c r="B17517" i="1"/>
  <c r="A17517" i="1"/>
  <c r="E17517" i="1"/>
  <c r="B17518" i="1"/>
  <c r="A17518" i="1"/>
  <c r="E17518" i="1"/>
  <c r="B17519" i="1"/>
  <c r="A17519" i="1"/>
  <c r="E17519" i="1"/>
  <c r="B17520" i="1"/>
  <c r="A17520" i="1"/>
  <c r="E17520" i="1"/>
  <c r="B17521" i="1"/>
  <c r="A17521" i="1"/>
  <c r="E17521" i="1"/>
  <c r="B17522" i="1"/>
  <c r="A17522" i="1"/>
  <c r="E17522" i="1"/>
  <c r="B17523" i="1"/>
  <c r="A17523" i="1"/>
  <c r="E17523" i="1"/>
  <c r="B17524" i="1"/>
  <c r="A17524" i="1"/>
  <c r="E17524" i="1"/>
  <c r="B17525" i="1"/>
  <c r="A17525" i="1"/>
  <c r="E17525" i="1"/>
  <c r="B17526" i="1"/>
  <c r="A17526" i="1"/>
  <c r="E17526" i="1"/>
  <c r="B17527" i="1"/>
  <c r="A17527" i="1"/>
  <c r="E17527" i="1"/>
  <c r="B17528" i="1"/>
  <c r="A17528" i="1"/>
  <c r="E17528" i="1"/>
  <c r="B17529" i="1"/>
  <c r="A17529" i="1"/>
  <c r="E17529" i="1"/>
  <c r="B17530" i="1"/>
  <c r="A17530" i="1"/>
  <c r="E17530" i="1"/>
  <c r="B17531" i="1"/>
  <c r="A17531" i="1"/>
  <c r="E17531" i="1"/>
  <c r="B17532" i="1"/>
  <c r="A17532" i="1"/>
  <c r="E17532" i="1"/>
  <c r="B17533" i="1"/>
  <c r="A17533" i="1"/>
  <c r="E17533" i="1"/>
  <c r="B17534" i="1"/>
  <c r="A17534" i="1"/>
  <c r="E17534" i="1"/>
  <c r="B17535" i="1"/>
  <c r="A17535" i="1"/>
  <c r="E17535" i="1"/>
  <c r="B17536" i="1"/>
  <c r="A17536" i="1"/>
  <c r="E17536" i="1"/>
  <c r="B17537" i="1"/>
  <c r="A17537" i="1"/>
  <c r="E17537" i="1"/>
  <c r="B17538" i="1"/>
  <c r="A17538" i="1"/>
  <c r="E17538" i="1"/>
  <c r="B17539" i="1"/>
  <c r="A17539" i="1"/>
  <c r="E17539" i="1"/>
  <c r="B17540" i="1"/>
  <c r="A17540" i="1"/>
  <c r="E17540" i="1"/>
  <c r="B17541" i="1"/>
  <c r="A17541" i="1"/>
  <c r="E17541" i="1"/>
  <c r="B17542" i="1"/>
  <c r="A17542" i="1"/>
  <c r="E17542" i="1"/>
  <c r="B17543" i="1"/>
  <c r="A17543" i="1"/>
  <c r="E17543" i="1"/>
  <c r="B17544" i="1"/>
  <c r="A17544" i="1"/>
  <c r="E17544" i="1"/>
  <c r="G17544" i="1"/>
  <c r="B17545" i="1"/>
  <c r="A17545" i="1"/>
  <c r="E17545" i="1"/>
  <c r="B17546" i="1"/>
  <c r="A17546" i="1"/>
  <c r="E17546" i="1"/>
  <c r="B17547" i="1"/>
  <c r="A17547" i="1"/>
  <c r="E17547" i="1"/>
  <c r="B17548" i="1"/>
  <c r="A17548" i="1"/>
  <c r="E17548" i="1"/>
  <c r="B17549" i="1"/>
  <c r="A17549" i="1"/>
  <c r="E17549" i="1"/>
  <c r="B17550" i="1"/>
  <c r="A17550" i="1"/>
  <c r="E17550" i="1"/>
  <c r="B17551" i="1"/>
  <c r="A17551" i="1"/>
  <c r="E17551" i="1"/>
  <c r="B17552" i="1"/>
  <c r="A17552" i="1"/>
  <c r="E17552" i="1"/>
  <c r="B17553" i="1"/>
  <c r="A17553" i="1"/>
  <c r="E17553" i="1"/>
  <c r="B17554" i="1"/>
  <c r="A17554" i="1"/>
  <c r="E17554" i="1"/>
  <c r="B17555" i="1"/>
  <c r="A17555" i="1"/>
  <c r="E17555" i="1"/>
  <c r="G17555" i="1"/>
  <c r="B17556" i="1"/>
  <c r="A17556" i="1"/>
  <c r="E17556" i="1"/>
  <c r="G17556" i="1"/>
  <c r="B17557" i="1"/>
  <c r="A17557" i="1"/>
  <c r="E17557" i="1"/>
  <c r="G17557" i="1"/>
  <c r="B17558" i="1"/>
  <c r="A17558" i="1"/>
  <c r="E17558" i="1"/>
  <c r="G17558" i="1"/>
  <c r="B17559" i="1"/>
  <c r="A17559" i="1"/>
  <c r="E17559" i="1"/>
  <c r="G17559" i="1"/>
  <c r="B17560" i="1"/>
  <c r="A17560" i="1"/>
  <c r="E17560" i="1"/>
  <c r="G17560" i="1"/>
  <c r="B17561" i="1"/>
  <c r="A17561" i="1"/>
  <c r="E17561" i="1"/>
  <c r="G17561" i="1"/>
  <c r="B17562" i="1"/>
  <c r="A17562" i="1"/>
  <c r="E17562" i="1"/>
  <c r="G17562" i="1"/>
  <c r="B17563" i="1"/>
  <c r="A17563" i="1"/>
  <c r="E17563" i="1"/>
  <c r="G17563" i="1"/>
  <c r="B17564" i="1"/>
  <c r="A17564" i="1"/>
  <c r="E17564" i="1"/>
  <c r="G17564" i="1"/>
  <c r="B17565" i="1"/>
  <c r="A17565" i="1"/>
  <c r="E17565" i="1"/>
  <c r="G17565" i="1"/>
  <c r="B17566" i="1"/>
  <c r="A17566" i="1"/>
  <c r="E17566" i="1"/>
  <c r="B17567" i="1"/>
  <c r="A17567" i="1"/>
  <c r="E17567" i="1"/>
  <c r="G17567" i="1"/>
  <c r="B17568" i="1"/>
  <c r="A17568" i="1"/>
  <c r="E17568" i="1"/>
  <c r="G17568" i="1"/>
  <c r="B17569" i="1"/>
  <c r="A17569" i="1"/>
  <c r="E17569" i="1"/>
  <c r="G17569" i="1"/>
  <c r="B17570" i="1"/>
  <c r="A17570" i="1"/>
  <c r="E17570" i="1"/>
  <c r="G17570" i="1"/>
  <c r="B17571" i="1"/>
  <c r="A17571" i="1"/>
  <c r="E17571" i="1"/>
  <c r="B17572" i="1"/>
  <c r="A17572" i="1"/>
  <c r="E17572" i="1"/>
  <c r="B17573" i="1"/>
  <c r="A17573" i="1"/>
  <c r="E17573" i="1"/>
  <c r="B17574" i="1"/>
  <c r="A17574" i="1"/>
  <c r="E17574" i="1"/>
  <c r="B17575" i="1"/>
  <c r="A17575" i="1"/>
  <c r="E17575" i="1"/>
  <c r="B17576" i="1"/>
  <c r="A17576" i="1"/>
  <c r="E17576" i="1"/>
  <c r="B17577" i="1"/>
  <c r="A17577" i="1"/>
  <c r="E17577" i="1"/>
  <c r="B17578" i="1"/>
  <c r="A17578" i="1"/>
  <c r="E17578" i="1"/>
  <c r="B17579" i="1"/>
  <c r="A17579" i="1"/>
  <c r="E17579" i="1"/>
  <c r="B17580" i="1"/>
  <c r="A17580" i="1"/>
  <c r="E17580" i="1"/>
  <c r="B17581" i="1"/>
  <c r="A17581" i="1"/>
  <c r="E17581" i="1"/>
  <c r="B17582" i="1"/>
  <c r="A17582" i="1"/>
  <c r="E17582" i="1"/>
  <c r="B17583" i="1"/>
  <c r="A17583" i="1"/>
  <c r="E17583" i="1"/>
  <c r="B17584" i="1"/>
  <c r="A17584" i="1"/>
  <c r="E17584" i="1"/>
  <c r="B17585" i="1"/>
  <c r="A17585" i="1"/>
  <c r="E17585" i="1"/>
  <c r="B17586" i="1"/>
  <c r="A17586" i="1"/>
  <c r="E17586" i="1"/>
  <c r="G17586" i="1"/>
  <c r="B17587" i="1"/>
  <c r="A17587" i="1"/>
  <c r="E17587" i="1"/>
  <c r="B17588" i="1"/>
  <c r="A17588" i="1"/>
  <c r="E17588" i="1"/>
  <c r="B17589" i="1"/>
  <c r="A17589" i="1"/>
  <c r="E17589" i="1"/>
  <c r="B17590" i="1"/>
  <c r="A17590" i="1"/>
  <c r="E17590" i="1"/>
  <c r="B17591" i="1"/>
  <c r="A17591" i="1"/>
  <c r="E17591" i="1"/>
  <c r="B17592" i="1"/>
  <c r="A17592" i="1"/>
  <c r="E17592" i="1"/>
  <c r="F17592" i="1"/>
  <c r="B17593" i="1"/>
  <c r="A17593" i="1"/>
  <c r="E17593" i="1"/>
  <c r="B17594" i="1"/>
  <c r="A17594" i="1"/>
  <c r="E17594" i="1"/>
  <c r="B17595" i="1"/>
  <c r="A17595" i="1"/>
  <c r="E17595" i="1"/>
  <c r="B17596" i="1"/>
  <c r="A17596" i="1"/>
  <c r="E17596" i="1"/>
  <c r="B17597" i="1"/>
  <c r="A17597" i="1"/>
  <c r="E17597" i="1"/>
  <c r="B17598" i="1"/>
  <c r="A17598" i="1"/>
  <c r="E17598" i="1"/>
  <c r="B17599" i="1"/>
  <c r="A17599" i="1"/>
  <c r="E17599" i="1"/>
  <c r="B17600" i="1"/>
  <c r="A17600" i="1"/>
  <c r="E17600" i="1"/>
  <c r="B17601" i="1"/>
  <c r="A17601" i="1"/>
  <c r="E17601" i="1"/>
  <c r="B17602" i="1"/>
  <c r="A17602" i="1"/>
  <c r="E17602" i="1"/>
  <c r="B17603" i="1"/>
  <c r="A17603" i="1"/>
  <c r="E17603" i="1"/>
  <c r="B17604" i="1"/>
  <c r="A17604" i="1"/>
  <c r="E17604" i="1"/>
  <c r="B17605" i="1"/>
  <c r="A17605" i="1"/>
  <c r="E17605" i="1"/>
  <c r="F17605" i="1"/>
  <c r="B17606" i="1"/>
  <c r="A17606" i="1"/>
  <c r="E17606" i="1"/>
  <c r="F17606" i="1"/>
  <c r="B17607" i="1"/>
  <c r="A17607" i="1"/>
  <c r="E17607" i="1"/>
  <c r="F17607" i="1"/>
  <c r="B17608" i="1"/>
  <c r="A17608" i="1"/>
  <c r="E17608" i="1"/>
  <c r="F17608" i="1"/>
  <c r="G17608" i="1"/>
  <c r="B17609" i="1"/>
  <c r="A17609" i="1"/>
  <c r="E17609" i="1"/>
  <c r="F17609" i="1"/>
  <c r="B17610" i="1"/>
  <c r="A17610" i="1"/>
  <c r="E17610" i="1"/>
  <c r="F17610" i="1"/>
  <c r="B17611" i="1"/>
  <c r="A17611" i="1"/>
  <c r="E17611" i="1"/>
  <c r="F17611" i="1"/>
  <c r="B17612" i="1"/>
  <c r="A17612" i="1"/>
  <c r="E17612" i="1"/>
  <c r="F17612" i="1"/>
  <c r="G17612" i="1"/>
  <c r="B17613" i="1"/>
  <c r="A17613" i="1"/>
  <c r="E17613" i="1"/>
  <c r="F17613" i="1"/>
  <c r="B17614" i="1"/>
  <c r="A17614" i="1"/>
  <c r="E17614" i="1"/>
  <c r="F17614" i="1"/>
  <c r="B17615" i="1"/>
  <c r="A17615" i="1"/>
  <c r="E17615" i="1"/>
  <c r="F17615" i="1"/>
  <c r="B17616" i="1"/>
  <c r="A17616" i="1"/>
  <c r="E17616" i="1"/>
  <c r="B17617" i="1"/>
  <c r="A17617" i="1"/>
  <c r="E17617" i="1"/>
  <c r="B17618" i="1"/>
  <c r="A17618" i="1"/>
  <c r="E17618" i="1"/>
  <c r="B17619" i="1"/>
  <c r="A17619" i="1"/>
  <c r="E17619" i="1"/>
  <c r="B17620" i="1"/>
  <c r="A17620" i="1"/>
  <c r="E17620" i="1"/>
  <c r="B17621" i="1"/>
  <c r="A17621" i="1"/>
  <c r="E17621" i="1"/>
  <c r="B17622" i="1"/>
  <c r="A17622" i="1"/>
  <c r="E17622" i="1"/>
  <c r="B17623" i="1"/>
  <c r="A17623" i="1"/>
  <c r="E17623" i="1"/>
  <c r="B17624" i="1"/>
  <c r="A17624" i="1"/>
  <c r="E17624" i="1"/>
  <c r="B17625" i="1"/>
  <c r="A17625" i="1"/>
  <c r="E17625" i="1"/>
  <c r="B17626" i="1"/>
  <c r="A17626" i="1"/>
  <c r="E17626" i="1"/>
  <c r="B17627" i="1"/>
  <c r="A17627" i="1"/>
  <c r="E17627" i="1"/>
  <c r="G17627" i="1"/>
  <c r="B17628" i="1"/>
  <c r="A17628" i="1"/>
  <c r="E17628" i="1"/>
  <c r="B17629" i="1"/>
  <c r="A17629" i="1"/>
  <c r="E17629" i="1"/>
  <c r="B17630" i="1"/>
  <c r="A17630" i="1"/>
  <c r="E17630" i="1"/>
  <c r="B17631" i="1"/>
  <c r="A17631" i="1"/>
  <c r="E17631" i="1"/>
  <c r="B17632" i="1"/>
  <c r="A17632" i="1"/>
  <c r="E17632" i="1"/>
  <c r="B17633" i="1"/>
  <c r="A17633" i="1"/>
  <c r="E17633" i="1"/>
  <c r="F17633" i="1"/>
  <c r="B17634" i="1"/>
  <c r="A17634" i="1"/>
  <c r="E17634" i="1"/>
  <c r="F17634" i="1"/>
  <c r="B17635" i="1"/>
  <c r="A17635" i="1"/>
  <c r="E17635" i="1"/>
  <c r="F17635" i="1"/>
  <c r="B17636" i="1"/>
  <c r="A17636" i="1"/>
  <c r="E17636" i="1"/>
  <c r="F17636" i="1"/>
  <c r="B17637" i="1"/>
  <c r="A17637" i="1"/>
  <c r="E17637" i="1"/>
  <c r="F17637" i="1"/>
  <c r="B17638" i="1"/>
  <c r="A17638" i="1"/>
  <c r="E17638" i="1"/>
  <c r="F17638" i="1"/>
  <c r="G17638" i="1"/>
  <c r="B17639" i="1"/>
  <c r="A17639" i="1"/>
  <c r="E17639" i="1"/>
  <c r="F17639" i="1"/>
  <c r="B17640" i="1"/>
  <c r="A17640" i="1"/>
  <c r="E17640" i="1"/>
  <c r="F17640" i="1"/>
  <c r="B17641" i="1"/>
  <c r="A17641" i="1"/>
  <c r="E17641" i="1"/>
  <c r="F17641" i="1"/>
  <c r="G17641" i="1"/>
  <c r="B17642" i="1"/>
  <c r="A17642" i="1"/>
  <c r="E17642" i="1"/>
  <c r="F17642" i="1"/>
  <c r="B17643" i="1"/>
  <c r="A17643" i="1"/>
  <c r="E17643" i="1"/>
  <c r="F17643" i="1"/>
  <c r="B17644" i="1"/>
  <c r="A17644" i="1"/>
  <c r="E17644" i="1"/>
  <c r="F17644" i="1"/>
  <c r="B17645" i="1"/>
  <c r="A17645" i="1"/>
  <c r="E17645" i="1"/>
  <c r="G17645" i="1"/>
  <c r="B17646" i="1"/>
  <c r="A17646" i="1"/>
  <c r="E17646" i="1"/>
  <c r="G17646" i="1"/>
  <c r="B17647" i="1"/>
  <c r="A17647" i="1"/>
  <c r="E17647" i="1"/>
  <c r="G17647" i="1"/>
  <c r="B17648" i="1"/>
  <c r="A17648" i="1"/>
  <c r="E17648" i="1"/>
  <c r="B17649" i="1"/>
  <c r="A17649" i="1"/>
  <c r="E17649" i="1"/>
  <c r="B17650" i="1"/>
  <c r="A17650" i="1"/>
  <c r="E17650" i="1"/>
  <c r="B17651" i="1"/>
  <c r="A17651" i="1"/>
  <c r="E17651" i="1"/>
  <c r="B17652" i="1"/>
  <c r="A17652" i="1"/>
  <c r="E17652" i="1"/>
  <c r="B17653" i="1"/>
  <c r="A17653" i="1"/>
  <c r="E17653" i="1"/>
  <c r="B17654" i="1"/>
  <c r="A17654" i="1"/>
  <c r="E17654" i="1"/>
  <c r="B17655" i="1"/>
  <c r="A17655" i="1"/>
  <c r="E17655" i="1"/>
  <c r="B17656" i="1"/>
  <c r="A17656" i="1"/>
  <c r="E17656" i="1"/>
  <c r="B17657" i="1"/>
  <c r="A17657" i="1"/>
  <c r="E17657" i="1"/>
  <c r="B17658" i="1"/>
  <c r="A17658" i="1"/>
  <c r="E17658" i="1"/>
  <c r="G17658" i="1"/>
  <c r="B17659" i="1"/>
  <c r="A17659" i="1"/>
  <c r="E17659" i="1"/>
  <c r="B17660" i="1"/>
  <c r="A17660" i="1"/>
  <c r="E17660" i="1"/>
  <c r="B17661" i="1"/>
  <c r="A17661" i="1"/>
  <c r="E17661" i="1"/>
  <c r="B17662" i="1"/>
  <c r="A17662" i="1"/>
  <c r="E17662" i="1"/>
  <c r="F17662" i="1"/>
  <c r="B17663" i="1"/>
  <c r="A17663" i="1"/>
  <c r="E17663" i="1"/>
  <c r="F17663" i="1"/>
  <c r="B17664" i="1"/>
  <c r="A17664" i="1"/>
  <c r="E17664" i="1"/>
  <c r="F17664" i="1"/>
  <c r="B17665" i="1"/>
  <c r="A17665" i="1"/>
  <c r="E17665" i="1"/>
  <c r="F17665" i="1"/>
  <c r="B17666" i="1"/>
  <c r="A17666" i="1"/>
  <c r="E17666" i="1"/>
  <c r="F17666" i="1"/>
  <c r="B17667" i="1"/>
  <c r="A17667" i="1"/>
  <c r="E17667" i="1"/>
  <c r="F17667" i="1"/>
  <c r="B17668" i="1"/>
  <c r="A17668" i="1"/>
  <c r="E17668" i="1"/>
  <c r="B17669" i="1"/>
  <c r="A17669" i="1"/>
  <c r="E17669" i="1"/>
  <c r="B17670" i="1"/>
  <c r="A17670" i="1"/>
  <c r="E17670" i="1"/>
  <c r="B17671" i="1"/>
  <c r="A17671" i="1"/>
  <c r="E17671" i="1"/>
  <c r="G17671" i="1"/>
  <c r="B17672" i="1"/>
  <c r="A17672" i="1"/>
  <c r="E17672" i="1"/>
  <c r="F17672" i="1"/>
  <c r="B17673" i="1"/>
  <c r="A17673" i="1"/>
  <c r="E17673" i="1"/>
  <c r="F17673" i="1"/>
  <c r="B17674" i="1"/>
  <c r="A17674" i="1"/>
  <c r="E17674" i="1"/>
  <c r="F17674" i="1"/>
  <c r="B17675" i="1"/>
  <c r="A17675" i="1"/>
  <c r="E17675" i="1"/>
  <c r="F17675" i="1"/>
  <c r="B17676" i="1"/>
  <c r="A17676" i="1"/>
  <c r="E17676" i="1"/>
  <c r="F17676" i="1"/>
  <c r="B17677" i="1"/>
  <c r="A17677" i="1"/>
  <c r="E17677" i="1"/>
  <c r="F17677" i="1"/>
  <c r="B17678" i="1"/>
  <c r="A17678" i="1"/>
  <c r="E17678" i="1"/>
  <c r="F17678" i="1"/>
  <c r="B17679" i="1"/>
  <c r="A17679" i="1"/>
  <c r="E17679" i="1"/>
  <c r="F17679" i="1"/>
  <c r="B17680" i="1"/>
  <c r="A17680" i="1"/>
  <c r="E17680" i="1"/>
  <c r="F17680" i="1"/>
  <c r="B17681" i="1"/>
  <c r="A17681" i="1"/>
  <c r="E17681" i="1"/>
  <c r="F17681" i="1"/>
  <c r="B17682" i="1"/>
  <c r="A17682" i="1"/>
  <c r="E17682" i="1"/>
  <c r="F17682" i="1"/>
  <c r="B17683" i="1"/>
  <c r="A17683" i="1"/>
  <c r="E17683" i="1"/>
  <c r="F17683" i="1"/>
  <c r="G17683" i="1"/>
  <c r="B17684" i="1"/>
  <c r="A17684" i="1"/>
  <c r="E17684" i="1"/>
  <c r="F17684" i="1"/>
  <c r="G17684" i="1"/>
  <c r="B17685" i="1"/>
  <c r="A17685" i="1"/>
  <c r="E17685" i="1"/>
  <c r="F17685" i="1"/>
  <c r="G17685" i="1"/>
  <c r="B17686" i="1"/>
  <c r="A17686" i="1"/>
  <c r="E17686" i="1"/>
  <c r="F17686" i="1"/>
  <c r="G17686" i="1"/>
  <c r="B17687" i="1"/>
  <c r="A17687" i="1"/>
  <c r="E17687" i="1"/>
  <c r="F17687" i="1"/>
  <c r="B17688" i="1"/>
  <c r="A17688" i="1"/>
  <c r="E17688" i="1"/>
  <c r="F17688" i="1"/>
  <c r="G17688" i="1"/>
  <c r="B17689" i="1"/>
  <c r="A17689" i="1"/>
  <c r="E17689" i="1"/>
  <c r="F17689" i="1"/>
  <c r="G17689" i="1"/>
  <c r="B17690" i="1"/>
  <c r="A17690" i="1"/>
  <c r="E17690" i="1"/>
  <c r="F17690" i="1"/>
  <c r="G17690" i="1"/>
  <c r="B17691" i="1"/>
  <c r="A17691" i="1"/>
  <c r="E17691" i="1"/>
  <c r="F17691" i="1"/>
  <c r="G17691" i="1"/>
  <c r="B17692" i="1"/>
  <c r="A17692" i="1"/>
  <c r="E17692" i="1"/>
  <c r="F17692" i="1"/>
  <c r="G17692" i="1"/>
  <c r="B17693" i="1"/>
  <c r="A17693" i="1"/>
  <c r="E17693" i="1"/>
  <c r="F17693" i="1"/>
  <c r="G17693" i="1"/>
  <c r="B17694" i="1"/>
  <c r="A17694" i="1"/>
  <c r="E17694" i="1"/>
  <c r="F17694" i="1"/>
  <c r="B17695" i="1"/>
  <c r="A17695" i="1"/>
  <c r="E17695" i="1"/>
  <c r="F17695" i="1"/>
  <c r="B17696" i="1"/>
  <c r="A17696" i="1"/>
  <c r="E17696" i="1"/>
  <c r="F17696" i="1"/>
  <c r="B17697" i="1"/>
  <c r="A17697" i="1"/>
  <c r="E17697" i="1"/>
  <c r="F17697" i="1"/>
  <c r="B17698" i="1"/>
  <c r="A17698" i="1"/>
  <c r="E17698" i="1"/>
  <c r="F17698" i="1"/>
  <c r="G17698" i="1"/>
  <c r="B17699" i="1"/>
  <c r="A17699" i="1"/>
  <c r="E17699" i="1"/>
  <c r="F17699" i="1"/>
  <c r="B17700" i="1"/>
  <c r="A17700" i="1"/>
  <c r="E17700" i="1"/>
  <c r="F17700" i="1"/>
  <c r="B17701" i="1"/>
  <c r="A17701" i="1"/>
  <c r="E17701" i="1"/>
  <c r="F17701" i="1"/>
  <c r="B17702" i="1"/>
  <c r="A17702" i="1"/>
  <c r="E17702" i="1"/>
  <c r="F17702" i="1"/>
  <c r="B17703" i="1"/>
  <c r="A17703" i="1"/>
  <c r="E17703" i="1"/>
  <c r="F17703" i="1"/>
  <c r="B17704" i="1"/>
  <c r="A17704" i="1"/>
  <c r="E17704" i="1"/>
  <c r="F17704" i="1"/>
  <c r="G17704" i="1"/>
  <c r="B17705" i="1"/>
  <c r="A17705" i="1"/>
  <c r="E17705" i="1"/>
  <c r="F17705" i="1"/>
  <c r="B17706" i="1"/>
  <c r="A17706" i="1"/>
  <c r="E17706" i="1"/>
  <c r="F17706" i="1"/>
  <c r="B17707" i="1"/>
  <c r="A17707" i="1"/>
  <c r="E17707" i="1"/>
  <c r="F17707" i="1"/>
  <c r="G17707" i="1"/>
  <c r="B17708" i="1"/>
  <c r="A17708" i="1"/>
  <c r="E17708" i="1"/>
  <c r="F17708" i="1"/>
  <c r="G17708" i="1"/>
  <c r="B17709" i="1"/>
  <c r="A17709" i="1"/>
  <c r="E17709" i="1"/>
  <c r="F17709" i="1"/>
  <c r="G17709" i="1"/>
  <c r="B17710" i="1"/>
  <c r="A17710" i="1"/>
  <c r="E17710" i="1"/>
  <c r="F17710" i="1"/>
  <c r="B17711" i="1"/>
  <c r="A17711" i="1"/>
  <c r="E17711" i="1"/>
  <c r="F17711" i="1"/>
  <c r="B17712" i="1"/>
  <c r="A17712" i="1"/>
  <c r="E17712" i="1"/>
  <c r="F17712" i="1"/>
  <c r="B17713" i="1"/>
  <c r="A17713" i="1"/>
  <c r="E17713" i="1"/>
  <c r="F17713" i="1"/>
  <c r="B17714" i="1"/>
  <c r="A17714" i="1"/>
  <c r="E17714" i="1"/>
  <c r="F17714" i="1"/>
  <c r="B17715" i="1"/>
  <c r="A17715" i="1"/>
  <c r="E17715" i="1"/>
  <c r="F17715" i="1"/>
  <c r="B17716" i="1"/>
  <c r="A17716" i="1"/>
  <c r="E17716" i="1"/>
  <c r="F17716" i="1"/>
  <c r="G17716" i="1"/>
  <c r="B17717" i="1"/>
  <c r="A17717" i="1"/>
  <c r="E17717" i="1"/>
  <c r="F17717" i="1"/>
  <c r="B17718" i="1"/>
  <c r="A17718" i="1"/>
  <c r="E17718" i="1"/>
  <c r="F17718" i="1"/>
  <c r="B17719" i="1"/>
  <c r="A17719" i="1"/>
  <c r="E17719" i="1"/>
  <c r="F17719" i="1"/>
  <c r="B17720" i="1"/>
  <c r="A17720" i="1"/>
  <c r="E17720" i="1"/>
  <c r="F17720" i="1"/>
  <c r="B17721" i="1"/>
  <c r="A17721" i="1"/>
  <c r="E17721" i="1"/>
  <c r="F17721" i="1"/>
  <c r="B17722" i="1"/>
  <c r="A17722" i="1"/>
  <c r="E17722" i="1"/>
  <c r="F17722" i="1"/>
  <c r="B17723" i="1"/>
  <c r="A17723" i="1"/>
  <c r="E17723" i="1"/>
  <c r="F17723" i="1"/>
  <c r="B17724" i="1"/>
  <c r="A17724" i="1"/>
  <c r="E17724" i="1"/>
  <c r="F17724" i="1"/>
  <c r="B17725" i="1"/>
  <c r="A17725" i="1"/>
  <c r="E17725" i="1"/>
  <c r="F17725" i="1"/>
  <c r="B17726" i="1"/>
  <c r="A17726" i="1"/>
  <c r="E17726" i="1"/>
  <c r="F17726" i="1"/>
  <c r="B17727" i="1"/>
  <c r="A17727" i="1"/>
  <c r="E17727" i="1"/>
  <c r="F17727" i="1"/>
  <c r="B17728" i="1"/>
  <c r="A17728" i="1"/>
  <c r="E17728" i="1"/>
  <c r="F17728" i="1"/>
  <c r="B17729" i="1"/>
  <c r="A17729" i="1"/>
  <c r="E17729" i="1"/>
  <c r="F17729" i="1"/>
  <c r="B17730" i="1"/>
  <c r="A17730" i="1"/>
  <c r="E17730" i="1"/>
  <c r="F17730" i="1"/>
  <c r="B17731" i="1"/>
  <c r="A17731" i="1"/>
  <c r="E17731" i="1"/>
  <c r="F17731" i="1"/>
  <c r="B17732" i="1"/>
  <c r="A17732" i="1"/>
  <c r="E17732" i="1"/>
  <c r="F17732" i="1"/>
  <c r="B17733" i="1"/>
  <c r="A17733" i="1"/>
  <c r="E17733" i="1"/>
  <c r="F17733" i="1"/>
  <c r="G17733" i="1"/>
  <c r="B17734" i="1"/>
  <c r="A17734" i="1"/>
  <c r="E17734" i="1"/>
  <c r="F17734" i="1"/>
  <c r="G17734" i="1"/>
  <c r="B17735" i="1"/>
  <c r="A17735" i="1"/>
  <c r="E17735" i="1"/>
  <c r="F17735" i="1"/>
  <c r="B17736" i="1"/>
  <c r="A17736" i="1"/>
  <c r="E17736" i="1"/>
  <c r="F17736" i="1"/>
  <c r="B17737" i="1"/>
  <c r="A17737" i="1"/>
  <c r="E17737" i="1"/>
  <c r="F17737" i="1"/>
  <c r="B17738" i="1"/>
  <c r="A17738" i="1"/>
  <c r="E17738" i="1"/>
  <c r="F17738" i="1"/>
  <c r="B17739" i="1"/>
  <c r="A17739" i="1"/>
  <c r="E17739" i="1"/>
  <c r="F17739" i="1"/>
  <c r="B17740" i="1"/>
  <c r="A17740" i="1"/>
  <c r="E17740" i="1"/>
  <c r="F17740" i="1"/>
  <c r="B17741" i="1"/>
  <c r="A17741" i="1"/>
  <c r="E17741" i="1"/>
  <c r="F17741" i="1"/>
  <c r="G17741" i="1"/>
  <c r="B17742" i="1"/>
  <c r="A17742" i="1"/>
  <c r="E17742" i="1"/>
  <c r="F17742" i="1"/>
  <c r="B17743" i="1"/>
  <c r="A17743" i="1"/>
  <c r="E17743" i="1"/>
  <c r="F17743" i="1"/>
  <c r="B17744" i="1"/>
  <c r="A17744" i="1"/>
  <c r="E17744" i="1"/>
  <c r="F17744" i="1"/>
  <c r="B17745" i="1"/>
  <c r="A17745" i="1"/>
  <c r="E17745" i="1"/>
  <c r="F17745" i="1"/>
  <c r="B17746" i="1"/>
  <c r="A17746" i="1"/>
  <c r="E17746" i="1"/>
  <c r="F17746" i="1"/>
  <c r="B17747" i="1"/>
  <c r="A17747" i="1"/>
  <c r="E17747" i="1"/>
  <c r="F17747" i="1"/>
  <c r="B17748" i="1"/>
  <c r="A17748" i="1"/>
  <c r="E17748" i="1"/>
  <c r="F17748" i="1"/>
  <c r="B17749" i="1"/>
  <c r="A17749" i="1"/>
  <c r="E17749" i="1"/>
  <c r="F17749" i="1"/>
  <c r="B17750" i="1"/>
  <c r="A17750" i="1"/>
  <c r="E17750" i="1"/>
  <c r="F17750" i="1"/>
  <c r="B17751" i="1"/>
  <c r="A17751" i="1"/>
  <c r="E17751" i="1"/>
  <c r="F17751" i="1"/>
  <c r="B17752" i="1"/>
  <c r="A17752" i="1"/>
  <c r="E17752" i="1"/>
  <c r="F17752" i="1"/>
  <c r="G17752" i="1"/>
  <c r="B17753" i="1"/>
  <c r="A17753" i="1"/>
  <c r="E17753" i="1"/>
  <c r="F17753" i="1"/>
  <c r="B17754" i="1"/>
  <c r="A17754" i="1"/>
  <c r="E17754" i="1"/>
  <c r="F17754" i="1"/>
  <c r="B17755" i="1"/>
  <c r="A17755" i="1"/>
  <c r="E17755" i="1"/>
  <c r="F17755" i="1"/>
  <c r="B17756" i="1"/>
  <c r="A17756" i="1"/>
  <c r="E17756" i="1"/>
  <c r="F17756" i="1"/>
  <c r="B17757" i="1"/>
  <c r="A17757" i="1"/>
  <c r="E17757" i="1"/>
  <c r="F17757" i="1"/>
  <c r="B17758" i="1"/>
  <c r="A17758" i="1"/>
  <c r="E17758" i="1"/>
  <c r="F17758" i="1"/>
  <c r="B17759" i="1"/>
  <c r="A17759" i="1"/>
  <c r="E17759" i="1"/>
  <c r="F17759" i="1"/>
  <c r="B17760" i="1"/>
  <c r="A17760" i="1"/>
  <c r="E17760" i="1"/>
  <c r="F17760" i="1"/>
  <c r="B17761" i="1"/>
  <c r="A17761" i="1"/>
  <c r="E17761" i="1"/>
  <c r="F17761" i="1"/>
  <c r="B17762" i="1"/>
  <c r="A17762" i="1"/>
  <c r="E17762" i="1"/>
  <c r="F17762" i="1"/>
  <c r="G17762" i="1"/>
  <c r="B17763" i="1"/>
  <c r="A17763" i="1"/>
  <c r="E17763" i="1"/>
  <c r="F17763" i="1"/>
  <c r="G17763" i="1"/>
  <c r="B17764" i="1"/>
  <c r="A17764" i="1"/>
  <c r="E17764" i="1"/>
  <c r="F17764" i="1"/>
  <c r="B17765" i="1"/>
  <c r="A17765" i="1"/>
  <c r="E17765" i="1"/>
  <c r="F17765" i="1"/>
  <c r="B17766" i="1"/>
  <c r="A17766" i="1"/>
  <c r="E17766" i="1"/>
  <c r="F17766" i="1"/>
  <c r="B17767" i="1"/>
  <c r="A17767" i="1"/>
  <c r="E17767" i="1"/>
  <c r="F17767" i="1"/>
  <c r="B17768" i="1"/>
  <c r="A17768" i="1"/>
  <c r="E17768" i="1"/>
  <c r="F17768" i="1"/>
  <c r="G17768" i="1"/>
  <c r="B17769" i="1"/>
  <c r="A17769" i="1"/>
  <c r="E17769" i="1"/>
  <c r="F17769" i="1"/>
  <c r="B17770" i="1"/>
  <c r="A17770" i="1"/>
  <c r="E17770" i="1"/>
  <c r="F17770" i="1"/>
  <c r="B17771" i="1"/>
  <c r="A17771" i="1"/>
  <c r="E17771" i="1"/>
  <c r="F17771" i="1"/>
  <c r="G17771" i="1"/>
  <c r="B17772" i="1"/>
  <c r="A17772" i="1"/>
  <c r="E17772" i="1"/>
  <c r="F17772" i="1"/>
  <c r="B17773" i="1"/>
  <c r="A17773" i="1"/>
  <c r="E17773" i="1"/>
  <c r="F17773" i="1"/>
  <c r="B17774" i="1"/>
  <c r="A17774" i="1"/>
  <c r="E17774" i="1"/>
  <c r="F17774" i="1"/>
  <c r="B17775" i="1"/>
  <c r="A17775" i="1"/>
  <c r="E17775" i="1"/>
  <c r="F17775" i="1"/>
  <c r="B17776" i="1"/>
  <c r="A17776" i="1"/>
  <c r="E17776" i="1"/>
  <c r="F17776" i="1"/>
  <c r="B17777" i="1"/>
  <c r="A17777" i="1"/>
  <c r="E17777" i="1"/>
  <c r="F17777" i="1"/>
  <c r="B17778" i="1"/>
  <c r="A17778" i="1"/>
  <c r="E17778" i="1"/>
  <c r="F17778" i="1"/>
  <c r="B17779" i="1"/>
  <c r="A17779" i="1"/>
  <c r="E17779" i="1"/>
  <c r="F17779" i="1"/>
  <c r="B17780" i="1"/>
  <c r="A17780" i="1"/>
  <c r="E17780" i="1"/>
  <c r="F17780" i="1"/>
  <c r="B17781" i="1"/>
  <c r="A17781" i="1"/>
  <c r="E17781" i="1"/>
  <c r="F17781" i="1"/>
  <c r="B17782" i="1"/>
  <c r="A17782" i="1"/>
  <c r="E17782" i="1"/>
  <c r="F17782" i="1"/>
  <c r="B17783" i="1"/>
  <c r="A17783" i="1"/>
  <c r="E17783" i="1"/>
  <c r="F17783" i="1"/>
  <c r="B17784" i="1"/>
  <c r="A17784" i="1"/>
  <c r="E17784" i="1"/>
  <c r="F17784" i="1"/>
  <c r="B17785" i="1"/>
  <c r="A17785" i="1"/>
  <c r="E17785" i="1"/>
  <c r="B17786" i="1"/>
  <c r="A17786" i="1"/>
  <c r="E17786" i="1"/>
  <c r="B17787" i="1"/>
  <c r="A17787" i="1"/>
  <c r="E17787" i="1"/>
  <c r="B17788" i="1"/>
  <c r="A17788" i="1"/>
  <c r="E17788" i="1"/>
  <c r="A17789" i="1"/>
  <c r="E17789" i="1"/>
  <c r="A17790" i="1"/>
  <c r="E17790" i="1"/>
  <c r="A17791" i="1"/>
  <c r="E17791" i="1"/>
  <c r="A17792" i="1"/>
  <c r="E17792" i="1"/>
  <c r="A17793" i="1"/>
  <c r="E17793" i="1"/>
  <c r="A17794" i="1"/>
  <c r="E17794" i="1"/>
  <c r="A17795" i="1"/>
  <c r="E17795" i="1"/>
  <c r="A17796" i="1"/>
  <c r="E17796" i="1"/>
  <c r="A17797" i="1"/>
  <c r="E17797" i="1"/>
  <c r="A17798" i="1"/>
  <c r="E17798" i="1"/>
  <c r="A17799" i="1"/>
  <c r="E17799" i="1"/>
  <c r="A17800" i="1"/>
  <c r="E17800" i="1"/>
  <c r="B17801" i="1"/>
  <c r="A17801" i="1"/>
  <c r="E17801" i="1"/>
  <c r="B17802" i="1"/>
  <c r="A17802" i="1"/>
  <c r="E17802" i="1"/>
  <c r="B17803" i="1"/>
  <c r="A17803" i="1"/>
  <c r="E17803" i="1"/>
  <c r="B17804" i="1"/>
  <c r="A17804" i="1"/>
  <c r="E17804" i="1"/>
  <c r="B17805" i="1"/>
  <c r="A17805" i="1"/>
  <c r="E17805" i="1"/>
  <c r="B17806" i="1"/>
  <c r="A17806" i="1"/>
  <c r="E17806" i="1"/>
  <c r="B17807" i="1"/>
  <c r="A17807" i="1"/>
  <c r="E17807" i="1"/>
  <c r="B17808" i="1"/>
  <c r="A17808" i="1"/>
  <c r="E17808" i="1"/>
  <c r="B17809" i="1"/>
  <c r="A17809" i="1"/>
  <c r="E17809" i="1"/>
  <c r="B17810" i="1"/>
  <c r="A17810" i="1"/>
  <c r="E17810" i="1"/>
  <c r="B17811" i="1"/>
  <c r="A17811" i="1"/>
  <c r="E17811" i="1"/>
  <c r="B17812" i="1"/>
  <c r="A17812" i="1"/>
  <c r="E17812" i="1"/>
  <c r="B17813" i="1"/>
  <c r="A17813" i="1"/>
  <c r="E17813" i="1"/>
  <c r="B17814" i="1"/>
  <c r="A17814" i="1"/>
  <c r="E17814" i="1"/>
  <c r="B17815" i="1"/>
  <c r="A17815" i="1"/>
  <c r="E17815" i="1"/>
  <c r="B17816" i="1"/>
  <c r="A17816" i="1"/>
  <c r="E17816" i="1"/>
  <c r="B17817" i="1"/>
  <c r="A17817" i="1"/>
  <c r="E17817" i="1"/>
  <c r="B17818" i="1"/>
  <c r="A17818" i="1"/>
  <c r="E17818" i="1"/>
  <c r="B17819" i="1"/>
  <c r="A17819" i="1"/>
  <c r="E17819" i="1"/>
  <c r="B17820" i="1"/>
  <c r="A17820" i="1"/>
  <c r="E17820" i="1"/>
  <c r="B17821" i="1"/>
  <c r="A17821" i="1"/>
  <c r="E17821" i="1"/>
  <c r="B17822" i="1"/>
  <c r="A17822" i="1"/>
  <c r="E17822" i="1"/>
  <c r="B17823" i="1"/>
  <c r="A17823" i="1"/>
  <c r="E17823" i="1"/>
  <c r="B17824" i="1"/>
  <c r="A17824" i="1"/>
  <c r="E17824" i="1"/>
  <c r="B17825" i="1"/>
  <c r="A17825" i="1"/>
  <c r="E17825" i="1"/>
  <c r="B17826" i="1"/>
  <c r="A17826" i="1"/>
  <c r="E17826" i="1"/>
  <c r="B17827" i="1"/>
  <c r="A17827" i="1"/>
  <c r="E17827" i="1"/>
  <c r="B17828" i="1"/>
  <c r="A17828" i="1"/>
  <c r="E17828" i="1"/>
  <c r="B17829" i="1"/>
  <c r="A17829" i="1"/>
  <c r="E17829" i="1"/>
  <c r="B17830" i="1"/>
  <c r="A17830" i="1"/>
  <c r="E17830" i="1"/>
  <c r="B17831" i="1"/>
  <c r="A17831" i="1"/>
  <c r="E17831" i="1"/>
  <c r="B17832" i="1"/>
  <c r="A17832" i="1"/>
  <c r="E17832" i="1"/>
  <c r="B17833" i="1"/>
  <c r="A17833" i="1"/>
  <c r="E17833" i="1"/>
  <c r="B17834" i="1"/>
  <c r="A17834" i="1"/>
  <c r="E17834" i="1"/>
  <c r="B17835" i="1"/>
  <c r="A17835" i="1"/>
  <c r="E17835" i="1"/>
  <c r="B17836" i="1"/>
  <c r="A17836" i="1"/>
  <c r="E17836" i="1"/>
  <c r="B17837" i="1"/>
  <c r="A17837" i="1"/>
  <c r="E17837" i="1"/>
  <c r="B17838" i="1"/>
  <c r="A17838" i="1"/>
  <c r="E17838" i="1"/>
  <c r="B17839" i="1"/>
  <c r="A17839" i="1"/>
  <c r="E17839" i="1"/>
  <c r="B17840" i="1"/>
  <c r="A17840" i="1"/>
  <c r="E17840" i="1"/>
  <c r="B17841" i="1"/>
  <c r="A17841" i="1"/>
  <c r="E17841" i="1"/>
  <c r="B17842" i="1"/>
  <c r="A17842" i="1"/>
  <c r="E17842" i="1"/>
  <c r="B17843" i="1"/>
  <c r="A17843" i="1"/>
  <c r="E17843" i="1"/>
  <c r="B17844" i="1"/>
  <c r="A17844" i="1"/>
  <c r="E17844" i="1"/>
  <c r="B17845" i="1"/>
  <c r="A17845" i="1"/>
  <c r="E17845" i="1"/>
  <c r="B17846" i="1"/>
  <c r="A17846" i="1"/>
  <c r="E17846" i="1"/>
  <c r="B17847" i="1"/>
  <c r="A17847" i="1"/>
  <c r="E17847" i="1"/>
  <c r="B17848" i="1"/>
  <c r="A17848" i="1"/>
  <c r="E17848" i="1"/>
  <c r="B17849" i="1"/>
  <c r="A17849" i="1"/>
  <c r="E17849" i="1"/>
  <c r="B17850" i="1"/>
  <c r="A17850" i="1"/>
  <c r="E17850" i="1"/>
  <c r="B17851" i="1"/>
  <c r="A17851" i="1"/>
  <c r="E17851" i="1"/>
  <c r="B17852" i="1"/>
  <c r="A17852" i="1"/>
  <c r="E17852" i="1"/>
  <c r="B17853" i="1"/>
  <c r="A17853" i="1"/>
  <c r="E17853" i="1"/>
  <c r="B17854" i="1"/>
  <c r="A17854" i="1"/>
  <c r="E17854" i="1"/>
  <c r="B17855" i="1"/>
  <c r="A17855" i="1"/>
  <c r="E17855" i="1"/>
  <c r="B17856" i="1"/>
  <c r="A17856" i="1"/>
  <c r="E17856" i="1"/>
  <c r="B17857" i="1"/>
  <c r="A17857" i="1"/>
  <c r="E17857" i="1"/>
  <c r="B17858" i="1"/>
  <c r="A17858" i="1"/>
  <c r="E17858" i="1"/>
  <c r="B17859" i="1"/>
  <c r="A17859" i="1"/>
  <c r="E17859" i="1"/>
  <c r="B17860" i="1"/>
  <c r="A17860" i="1"/>
  <c r="E17860" i="1"/>
  <c r="B17861" i="1"/>
  <c r="A17861" i="1"/>
  <c r="E17861" i="1"/>
  <c r="B17862" i="1"/>
  <c r="A17862" i="1"/>
  <c r="E17862" i="1"/>
  <c r="B17863" i="1"/>
  <c r="A17863" i="1"/>
  <c r="E17863" i="1"/>
  <c r="B17864" i="1"/>
  <c r="A17864" i="1"/>
  <c r="E17864" i="1"/>
  <c r="B17865" i="1"/>
  <c r="A17865" i="1"/>
  <c r="E17865" i="1"/>
  <c r="B17866" i="1"/>
  <c r="A17866" i="1"/>
  <c r="E17866" i="1"/>
  <c r="B17867" i="1"/>
  <c r="A17867" i="1"/>
  <c r="E17867" i="1"/>
  <c r="B17868" i="1"/>
  <c r="A17868" i="1"/>
  <c r="E17868" i="1"/>
  <c r="A17869" i="1"/>
  <c r="E17869" i="1"/>
  <c r="A17870" i="1"/>
  <c r="E17870" i="1"/>
  <c r="A17871" i="1"/>
  <c r="E17871" i="1"/>
  <c r="A17872" i="1"/>
  <c r="E17872" i="1"/>
  <c r="A17873" i="1"/>
  <c r="E17873" i="1"/>
  <c r="A17874" i="1"/>
  <c r="E17874" i="1"/>
  <c r="A17875" i="1"/>
  <c r="E17875" i="1"/>
  <c r="A17876" i="1"/>
  <c r="E17876" i="1"/>
  <c r="A17877" i="1"/>
  <c r="E17877" i="1"/>
  <c r="B17878" i="1"/>
  <c r="A17878" i="1"/>
  <c r="E17878" i="1"/>
  <c r="B17879" i="1"/>
  <c r="A17879" i="1"/>
  <c r="E17879" i="1"/>
  <c r="B17880" i="1"/>
  <c r="A17880" i="1"/>
  <c r="E17880" i="1"/>
  <c r="B17881" i="1"/>
  <c r="A17881" i="1"/>
  <c r="E17881" i="1"/>
  <c r="B17882" i="1"/>
  <c r="A17882" i="1"/>
  <c r="E17882" i="1"/>
  <c r="B17883" i="1"/>
  <c r="A17883" i="1"/>
  <c r="E17883" i="1"/>
  <c r="B17884" i="1"/>
  <c r="A17884" i="1"/>
  <c r="E17884" i="1"/>
  <c r="G17884" i="1"/>
  <c r="B17885" i="1"/>
  <c r="A17885" i="1"/>
  <c r="E17885" i="1"/>
  <c r="B17886" i="1"/>
  <c r="A17886" i="1"/>
  <c r="E17886" i="1"/>
  <c r="B17887" i="1"/>
  <c r="A17887" i="1"/>
  <c r="E17887" i="1"/>
  <c r="B17888" i="1"/>
  <c r="A17888" i="1"/>
  <c r="E17888" i="1"/>
  <c r="B17889" i="1"/>
  <c r="A17889" i="1"/>
  <c r="E17889" i="1"/>
  <c r="B17890" i="1"/>
  <c r="A17890" i="1"/>
  <c r="E17890" i="1"/>
  <c r="B17891" i="1"/>
  <c r="A17891" i="1"/>
  <c r="E17891" i="1"/>
  <c r="B17892" i="1"/>
  <c r="A17892" i="1"/>
  <c r="E17892" i="1"/>
  <c r="B17893" i="1"/>
  <c r="A17893" i="1"/>
  <c r="E17893" i="1"/>
  <c r="A17894" i="1"/>
  <c r="E17894" i="1"/>
  <c r="A17895" i="1"/>
  <c r="E17895" i="1"/>
  <c r="A17896" i="1"/>
  <c r="E17896" i="1"/>
  <c r="B17897" i="1"/>
  <c r="A17897" i="1"/>
  <c r="E17897" i="1"/>
  <c r="B17898" i="1"/>
  <c r="A17898" i="1"/>
  <c r="E17898" i="1"/>
  <c r="B17899" i="1"/>
  <c r="A17899" i="1"/>
  <c r="E17899" i="1"/>
  <c r="B17900" i="1"/>
  <c r="A17900" i="1"/>
  <c r="E17900" i="1"/>
  <c r="B17901" i="1"/>
  <c r="A17901" i="1"/>
  <c r="E17901" i="1"/>
  <c r="B17902" i="1"/>
  <c r="A17902" i="1"/>
  <c r="E17902" i="1"/>
  <c r="B17903" i="1"/>
  <c r="A17903" i="1"/>
  <c r="E17903" i="1"/>
  <c r="B17904" i="1"/>
  <c r="A17904" i="1"/>
  <c r="E17904" i="1"/>
  <c r="B17905" i="1"/>
  <c r="A17905" i="1"/>
  <c r="E17905" i="1"/>
  <c r="B17906" i="1"/>
  <c r="A17906" i="1"/>
  <c r="E17906" i="1"/>
  <c r="G17906" i="1"/>
  <c r="A17907" i="1"/>
  <c r="E17907" i="1"/>
  <c r="G17907" i="1"/>
  <c r="A17908" i="1"/>
  <c r="E17908" i="1"/>
  <c r="G17908" i="1"/>
  <c r="A17909" i="1"/>
  <c r="E17909" i="1"/>
  <c r="B17910" i="1"/>
  <c r="A17910" i="1"/>
  <c r="E17910" i="1"/>
  <c r="B17911" i="1"/>
  <c r="A17911" i="1"/>
  <c r="E17911" i="1"/>
  <c r="B17912" i="1"/>
  <c r="A17912" i="1"/>
  <c r="E17912" i="1"/>
  <c r="B17913" i="1"/>
  <c r="A17913" i="1"/>
  <c r="E17913" i="1"/>
  <c r="B17914" i="1"/>
  <c r="A17914" i="1"/>
  <c r="E17914" i="1"/>
  <c r="B17915" i="1"/>
  <c r="A17915" i="1"/>
  <c r="E17915" i="1"/>
  <c r="B17916" i="1"/>
  <c r="A17916" i="1"/>
  <c r="E17916" i="1"/>
  <c r="B17917" i="1"/>
  <c r="A17917" i="1"/>
  <c r="E17917" i="1"/>
  <c r="B17918" i="1"/>
  <c r="A17918" i="1"/>
  <c r="E17918" i="1"/>
  <c r="B17919" i="1"/>
  <c r="A17919" i="1"/>
  <c r="E17919" i="1"/>
  <c r="B17920" i="1"/>
  <c r="A17920" i="1"/>
  <c r="E17920" i="1"/>
  <c r="B17921" i="1"/>
  <c r="A17921" i="1"/>
  <c r="E17921" i="1"/>
  <c r="B17922" i="1"/>
  <c r="A17922" i="1"/>
  <c r="E17922" i="1"/>
  <c r="B17923" i="1"/>
  <c r="A17923" i="1"/>
  <c r="E17923" i="1"/>
  <c r="B17924" i="1"/>
  <c r="A17924" i="1"/>
  <c r="E17924" i="1"/>
  <c r="B17925" i="1"/>
  <c r="A17925" i="1"/>
  <c r="E17925" i="1"/>
  <c r="B17926" i="1"/>
  <c r="A17926" i="1"/>
  <c r="E17926" i="1"/>
  <c r="B17927" i="1"/>
  <c r="A17927" i="1"/>
  <c r="E17927" i="1"/>
  <c r="B17928" i="1"/>
  <c r="A17928" i="1"/>
  <c r="E17928" i="1"/>
  <c r="B17929" i="1"/>
  <c r="A17929" i="1"/>
  <c r="E17929" i="1"/>
  <c r="B17930" i="1"/>
  <c r="A17930" i="1"/>
  <c r="E17930" i="1"/>
  <c r="B17931" i="1"/>
  <c r="A17931" i="1"/>
  <c r="E17931" i="1"/>
  <c r="B17932" i="1"/>
  <c r="A17932" i="1"/>
  <c r="E17932" i="1"/>
  <c r="B17933" i="1"/>
  <c r="A17933" i="1"/>
  <c r="E17933" i="1"/>
  <c r="B17934" i="1"/>
  <c r="A17934" i="1"/>
  <c r="E17934" i="1"/>
  <c r="B17935" i="1"/>
  <c r="A17935" i="1"/>
  <c r="E17935" i="1"/>
  <c r="B17936" i="1"/>
  <c r="A17936" i="1"/>
  <c r="E17936" i="1"/>
  <c r="B17937" i="1"/>
  <c r="A17937" i="1"/>
  <c r="E17937" i="1"/>
  <c r="B17938" i="1"/>
  <c r="A17938" i="1"/>
  <c r="E17938" i="1"/>
  <c r="B17939" i="1"/>
  <c r="A17939" i="1"/>
  <c r="E17939" i="1"/>
  <c r="B17940" i="1"/>
  <c r="A17940" i="1"/>
  <c r="E17940" i="1"/>
  <c r="B17941" i="1"/>
  <c r="A17941" i="1"/>
  <c r="E17941" i="1"/>
  <c r="B17942" i="1"/>
  <c r="A17942" i="1"/>
  <c r="E17942" i="1"/>
  <c r="B17943" i="1"/>
  <c r="A17943" i="1"/>
  <c r="E17943" i="1"/>
  <c r="B17944" i="1"/>
  <c r="A17944" i="1"/>
  <c r="E17944" i="1"/>
  <c r="B17945" i="1"/>
  <c r="A17945" i="1"/>
  <c r="E17945" i="1"/>
  <c r="B17946" i="1"/>
  <c r="A17946" i="1"/>
  <c r="E17946" i="1"/>
  <c r="B17947" i="1"/>
  <c r="A17947" i="1"/>
  <c r="E17947" i="1"/>
  <c r="B17948" i="1"/>
  <c r="A17948" i="1"/>
  <c r="E17948" i="1"/>
  <c r="B17949" i="1"/>
  <c r="A17949" i="1"/>
  <c r="E17949" i="1"/>
  <c r="B17950" i="1"/>
  <c r="A17950" i="1"/>
  <c r="E17950" i="1"/>
  <c r="B17951" i="1"/>
  <c r="A17951" i="1"/>
  <c r="E17951" i="1"/>
  <c r="B17952" i="1"/>
  <c r="A17952" i="1"/>
  <c r="E17952" i="1"/>
  <c r="B17953" i="1"/>
  <c r="A17953" i="1"/>
  <c r="E17953" i="1"/>
  <c r="B17954" i="1"/>
  <c r="A17954" i="1"/>
  <c r="E17954" i="1"/>
  <c r="B17955" i="1"/>
  <c r="A17955" i="1"/>
  <c r="E17955" i="1"/>
  <c r="B17956" i="1"/>
  <c r="A17956" i="1"/>
  <c r="E17956" i="1"/>
  <c r="B17957" i="1"/>
  <c r="A17957" i="1"/>
  <c r="E17957" i="1"/>
  <c r="B17958" i="1"/>
  <c r="A17958" i="1"/>
  <c r="E17958" i="1"/>
  <c r="B17959" i="1"/>
  <c r="A17959" i="1"/>
  <c r="E17959" i="1"/>
  <c r="B17960" i="1"/>
  <c r="A17960" i="1"/>
  <c r="E17960" i="1"/>
  <c r="B17961" i="1"/>
  <c r="A17961" i="1"/>
  <c r="E17961" i="1"/>
  <c r="G17961" i="1"/>
  <c r="B17962" i="1"/>
  <c r="A17962" i="1"/>
  <c r="E17962" i="1"/>
  <c r="G17962" i="1"/>
  <c r="B17963" i="1"/>
  <c r="A17963" i="1"/>
  <c r="E17963" i="1"/>
  <c r="G17963" i="1"/>
  <c r="B17964" i="1"/>
  <c r="A17964" i="1"/>
  <c r="E17964" i="1"/>
  <c r="G17964" i="1"/>
  <c r="B17965" i="1"/>
  <c r="A17965" i="1"/>
  <c r="E17965" i="1"/>
  <c r="G17965" i="1"/>
  <c r="B17966" i="1"/>
  <c r="A17966" i="1"/>
  <c r="E17966" i="1"/>
  <c r="G17966" i="1"/>
  <c r="B17967" i="1"/>
  <c r="A17967" i="1"/>
  <c r="E17967" i="1"/>
  <c r="G17967" i="1"/>
  <c r="B17968" i="1"/>
  <c r="A17968" i="1"/>
  <c r="E17968" i="1"/>
  <c r="G17968" i="1"/>
  <c r="B17969" i="1"/>
  <c r="A17969" i="1"/>
  <c r="E17969" i="1"/>
  <c r="G17969" i="1"/>
  <c r="B17970" i="1"/>
  <c r="A17970" i="1"/>
  <c r="E17970" i="1"/>
  <c r="G17970" i="1"/>
  <c r="B17971" i="1"/>
  <c r="A17971" i="1"/>
  <c r="E17971" i="1"/>
  <c r="G17971" i="1"/>
  <c r="B17972" i="1"/>
  <c r="A17972" i="1"/>
  <c r="E17972" i="1"/>
  <c r="G17972" i="1"/>
  <c r="B17973" i="1"/>
  <c r="A17973" i="1"/>
  <c r="E17973" i="1"/>
  <c r="G17973" i="1"/>
  <c r="B17974" i="1"/>
  <c r="A17974" i="1"/>
  <c r="E17974" i="1"/>
  <c r="G17974" i="1"/>
  <c r="B17975" i="1"/>
  <c r="A17975" i="1"/>
  <c r="E17975" i="1"/>
  <c r="B17976" i="1"/>
  <c r="A17976" i="1"/>
  <c r="E17976" i="1"/>
  <c r="B17977" i="1"/>
  <c r="A17977" i="1"/>
  <c r="E17977" i="1"/>
  <c r="B17978" i="1"/>
  <c r="A17978" i="1"/>
  <c r="E17978" i="1"/>
  <c r="B17979" i="1"/>
  <c r="A17979" i="1"/>
  <c r="E17979" i="1"/>
  <c r="B17980" i="1"/>
  <c r="A17980" i="1"/>
  <c r="E17980" i="1"/>
  <c r="B17981" i="1"/>
  <c r="A17981" i="1"/>
  <c r="E17981" i="1"/>
  <c r="B17982" i="1"/>
  <c r="A17982" i="1"/>
  <c r="E17982" i="1"/>
  <c r="B17983" i="1"/>
  <c r="A17983" i="1"/>
  <c r="E17983" i="1"/>
  <c r="B17984" i="1"/>
  <c r="A17984" i="1"/>
  <c r="E17984" i="1"/>
  <c r="B17985" i="1"/>
  <c r="A17985" i="1"/>
  <c r="E17985" i="1"/>
  <c r="B17986" i="1"/>
  <c r="A17986" i="1"/>
  <c r="E17986" i="1"/>
  <c r="B17987" i="1"/>
  <c r="A17987" i="1"/>
  <c r="E17987" i="1"/>
  <c r="B17988" i="1"/>
  <c r="A17988" i="1"/>
  <c r="E17988" i="1"/>
  <c r="B17989" i="1"/>
  <c r="A17989" i="1"/>
  <c r="E17989" i="1"/>
  <c r="B17990" i="1"/>
  <c r="A17990" i="1"/>
  <c r="E17990" i="1"/>
  <c r="B17991" i="1"/>
  <c r="A17991" i="1"/>
  <c r="E17991" i="1"/>
  <c r="B17992" i="1"/>
  <c r="A17992" i="1"/>
  <c r="E17992" i="1"/>
  <c r="B17993" i="1"/>
  <c r="A17993" i="1"/>
  <c r="E17993" i="1"/>
  <c r="B17994" i="1"/>
  <c r="A17994" i="1"/>
  <c r="E17994" i="1"/>
  <c r="B17995" i="1"/>
  <c r="A17995" i="1"/>
  <c r="E17995" i="1"/>
  <c r="B17996" i="1"/>
  <c r="A17996" i="1"/>
  <c r="E17996" i="1"/>
  <c r="B17997" i="1"/>
  <c r="A17997" i="1"/>
  <c r="E17997" i="1"/>
  <c r="B17998" i="1"/>
  <c r="A17998" i="1"/>
  <c r="E17998" i="1"/>
  <c r="B17999" i="1"/>
  <c r="A17999" i="1"/>
  <c r="E17999" i="1"/>
  <c r="B18000" i="1"/>
  <c r="A18000" i="1"/>
  <c r="E18000" i="1"/>
  <c r="B18001" i="1"/>
  <c r="A18001" i="1"/>
  <c r="E18001" i="1"/>
  <c r="B18002" i="1"/>
  <c r="A18002" i="1"/>
  <c r="E18002" i="1"/>
  <c r="B18003" i="1"/>
  <c r="A18003" i="1"/>
  <c r="E18003" i="1"/>
  <c r="B18004" i="1"/>
  <c r="A18004" i="1"/>
  <c r="E18004" i="1"/>
  <c r="B18005" i="1"/>
  <c r="A18005" i="1"/>
  <c r="E18005" i="1"/>
  <c r="B18006" i="1"/>
  <c r="A18006" i="1"/>
  <c r="E18006" i="1"/>
  <c r="B18007" i="1"/>
  <c r="A18007" i="1"/>
  <c r="E18007" i="1"/>
  <c r="B18008" i="1"/>
  <c r="A18008" i="1"/>
  <c r="E18008" i="1"/>
  <c r="B18009" i="1"/>
  <c r="A18009" i="1"/>
  <c r="E18009" i="1"/>
  <c r="B18010" i="1"/>
  <c r="A18010" i="1"/>
  <c r="E18010" i="1"/>
  <c r="B18011" i="1"/>
  <c r="A18011" i="1"/>
  <c r="E18011" i="1"/>
  <c r="B18012" i="1"/>
  <c r="A18012" i="1"/>
  <c r="E18012" i="1"/>
  <c r="B18013" i="1"/>
  <c r="A18013" i="1"/>
  <c r="E18013" i="1"/>
  <c r="B18014" i="1"/>
  <c r="A18014" i="1"/>
  <c r="E18014" i="1"/>
  <c r="B18015" i="1"/>
  <c r="A18015" i="1"/>
  <c r="E18015" i="1"/>
  <c r="B18016" i="1"/>
  <c r="A18016" i="1"/>
  <c r="E18016" i="1"/>
  <c r="B18017" i="1"/>
  <c r="A18017" i="1"/>
  <c r="E18017" i="1"/>
  <c r="B18018" i="1"/>
  <c r="A18018" i="1"/>
  <c r="E18018" i="1"/>
  <c r="B18019" i="1"/>
  <c r="A18019" i="1"/>
  <c r="E18019" i="1"/>
  <c r="B18020" i="1"/>
  <c r="A18020" i="1"/>
  <c r="E18020" i="1"/>
  <c r="B18021" i="1"/>
  <c r="A18021" i="1"/>
  <c r="E18021" i="1"/>
  <c r="B18022" i="1"/>
  <c r="A18022" i="1"/>
  <c r="E18022" i="1"/>
  <c r="B18023" i="1"/>
  <c r="A18023" i="1"/>
  <c r="E18023" i="1"/>
  <c r="B18024" i="1"/>
  <c r="A18024" i="1"/>
  <c r="E18024" i="1"/>
  <c r="B18025" i="1"/>
  <c r="A18025" i="1"/>
  <c r="E18025" i="1"/>
  <c r="B18026" i="1"/>
  <c r="A18026" i="1"/>
  <c r="E18026" i="1"/>
  <c r="B18027" i="1"/>
  <c r="A18027" i="1"/>
  <c r="E18027" i="1"/>
  <c r="B18028" i="1"/>
  <c r="A18028" i="1"/>
  <c r="E18028" i="1"/>
  <c r="B18029" i="1"/>
  <c r="A18029" i="1"/>
  <c r="E18029" i="1"/>
  <c r="B18030" i="1"/>
  <c r="A18030" i="1"/>
  <c r="E18030" i="1"/>
  <c r="B18031" i="1"/>
  <c r="A18031" i="1"/>
  <c r="E18031" i="1"/>
  <c r="B18032" i="1"/>
  <c r="A18032" i="1"/>
  <c r="E18032" i="1"/>
  <c r="B18033" i="1"/>
  <c r="A18033" i="1"/>
  <c r="E18033" i="1"/>
  <c r="B18034" i="1"/>
  <c r="A18034" i="1"/>
  <c r="E18034" i="1"/>
  <c r="B18035" i="1"/>
  <c r="A18035" i="1"/>
  <c r="E18035" i="1"/>
  <c r="F18035" i="1"/>
  <c r="B18036" i="1"/>
  <c r="A18036" i="1"/>
  <c r="E18036" i="1"/>
  <c r="F18036" i="1"/>
  <c r="G18036" i="1"/>
  <c r="B18037" i="1"/>
  <c r="A18037" i="1"/>
  <c r="E18037" i="1"/>
  <c r="F18037" i="1"/>
  <c r="B18038" i="1"/>
  <c r="A18038" i="1"/>
  <c r="E18038" i="1"/>
  <c r="F18038" i="1"/>
  <c r="G18038" i="1"/>
  <c r="B18039" i="1"/>
  <c r="A18039" i="1"/>
  <c r="E18039" i="1"/>
  <c r="F18039" i="1"/>
  <c r="B18040" i="1"/>
  <c r="A18040" i="1"/>
  <c r="E18040" i="1"/>
  <c r="F18040" i="1"/>
  <c r="B18041" i="1"/>
  <c r="A18041" i="1"/>
  <c r="E18041" i="1"/>
  <c r="F18041" i="1"/>
  <c r="A18042" i="1"/>
  <c r="E18042" i="1"/>
  <c r="B18043" i="1"/>
  <c r="A18043" i="1"/>
  <c r="E18043" i="1"/>
  <c r="B18044" i="1"/>
  <c r="A18044" i="1"/>
  <c r="E18044" i="1"/>
  <c r="B18045" i="1"/>
  <c r="A18045" i="1"/>
  <c r="E18045" i="1"/>
  <c r="B18046" i="1"/>
  <c r="A18046" i="1"/>
  <c r="E18046" i="1"/>
  <c r="B18047" i="1"/>
  <c r="A18047" i="1"/>
  <c r="E18047" i="1"/>
  <c r="B18048" i="1"/>
  <c r="A18048" i="1"/>
  <c r="E18048" i="1"/>
  <c r="B18049" i="1"/>
  <c r="A18049" i="1"/>
  <c r="E18049" i="1"/>
  <c r="B18050" i="1"/>
  <c r="A18050" i="1"/>
  <c r="E18050" i="1"/>
  <c r="B18051" i="1"/>
  <c r="A18051" i="1"/>
  <c r="E18051" i="1"/>
  <c r="F18051" i="1"/>
  <c r="B18052" i="1"/>
  <c r="A18052" i="1"/>
  <c r="E18052" i="1"/>
  <c r="F18052" i="1"/>
  <c r="B18053" i="1"/>
  <c r="A18053" i="1"/>
  <c r="E18053" i="1"/>
  <c r="F18053" i="1"/>
  <c r="B18054" i="1"/>
  <c r="A18054" i="1"/>
  <c r="E18054" i="1"/>
  <c r="F18054" i="1"/>
  <c r="B18055" i="1"/>
  <c r="A18055" i="1"/>
  <c r="E18055" i="1"/>
  <c r="F18055" i="1"/>
  <c r="B18056" i="1"/>
  <c r="A18056" i="1"/>
  <c r="E18056" i="1"/>
  <c r="F18056" i="1"/>
  <c r="B18057" i="1"/>
  <c r="A18057" i="1"/>
  <c r="E18057" i="1"/>
  <c r="F18057" i="1"/>
  <c r="B18058" i="1"/>
  <c r="A18058" i="1"/>
  <c r="E18058" i="1"/>
  <c r="F18058" i="1"/>
  <c r="B18059" i="1"/>
  <c r="A18059" i="1"/>
  <c r="E18059" i="1"/>
  <c r="F18059" i="1"/>
  <c r="G18059" i="1"/>
  <c r="B18060" i="1"/>
  <c r="A18060" i="1"/>
  <c r="E18060" i="1"/>
  <c r="F18060" i="1"/>
  <c r="B18061" i="1"/>
  <c r="A18061" i="1"/>
  <c r="E18061" i="1"/>
  <c r="F18061" i="1"/>
  <c r="G18061" i="1"/>
  <c r="B18062" i="1"/>
  <c r="A18062" i="1"/>
  <c r="E18062" i="1"/>
  <c r="F18062" i="1"/>
  <c r="B18063" i="1"/>
  <c r="A18063" i="1"/>
  <c r="E18063" i="1"/>
  <c r="F18063" i="1"/>
  <c r="G18063" i="1"/>
  <c r="B18064" i="1"/>
  <c r="A18064" i="1"/>
  <c r="E18064" i="1"/>
  <c r="F18064" i="1"/>
  <c r="B18065" i="1"/>
  <c r="A18065" i="1"/>
  <c r="E18065" i="1"/>
  <c r="F18065" i="1"/>
  <c r="G18065" i="1"/>
  <c r="B18066" i="1"/>
  <c r="A18066" i="1"/>
  <c r="E18066" i="1"/>
  <c r="F18066" i="1"/>
  <c r="B18067" i="1"/>
  <c r="A18067" i="1"/>
  <c r="E18067" i="1"/>
  <c r="F18067" i="1"/>
  <c r="G18067" i="1"/>
  <c r="B18068" i="1"/>
  <c r="A18068" i="1"/>
  <c r="E18068" i="1"/>
  <c r="F18068" i="1"/>
  <c r="B18069" i="1"/>
  <c r="A18069" i="1"/>
  <c r="E18069" i="1"/>
  <c r="F18069" i="1"/>
  <c r="G18069" i="1"/>
  <c r="B18070" i="1"/>
  <c r="A18070" i="1"/>
  <c r="E18070" i="1"/>
  <c r="F18070" i="1"/>
  <c r="B18071" i="1"/>
  <c r="A18071" i="1"/>
  <c r="E18071" i="1"/>
  <c r="F18071" i="1"/>
  <c r="B18072" i="1"/>
  <c r="A18072" i="1"/>
  <c r="E18072" i="1"/>
  <c r="F18072" i="1"/>
  <c r="B18073" i="1"/>
  <c r="A18073" i="1"/>
  <c r="E18073" i="1"/>
  <c r="F18073" i="1"/>
  <c r="G18073" i="1"/>
  <c r="B18074" i="1"/>
  <c r="A18074" i="1"/>
  <c r="E18074" i="1"/>
  <c r="F18074" i="1"/>
  <c r="B18075" i="1"/>
  <c r="A18075" i="1"/>
  <c r="E18075" i="1"/>
  <c r="F18075" i="1"/>
  <c r="B18076" i="1"/>
  <c r="A18076" i="1"/>
  <c r="E18076" i="1"/>
  <c r="F18076" i="1"/>
  <c r="B18077" i="1"/>
  <c r="A18077" i="1"/>
  <c r="E18077" i="1"/>
  <c r="F18077" i="1"/>
  <c r="B18078" i="1"/>
  <c r="A18078" i="1"/>
  <c r="E18078" i="1"/>
  <c r="F18078" i="1"/>
  <c r="B18079" i="1"/>
  <c r="A18079" i="1"/>
  <c r="E18079" i="1"/>
  <c r="F18079" i="1"/>
  <c r="B18080" i="1"/>
  <c r="A18080" i="1"/>
  <c r="E18080" i="1"/>
  <c r="F18080" i="1"/>
  <c r="B18081" i="1"/>
  <c r="A18081" i="1"/>
  <c r="E18081" i="1"/>
  <c r="F18081" i="1"/>
  <c r="B18082" i="1"/>
  <c r="A18082" i="1"/>
  <c r="E18082" i="1"/>
  <c r="F18082" i="1"/>
  <c r="B18083" i="1"/>
  <c r="A18083" i="1"/>
  <c r="E18083" i="1"/>
  <c r="F18083" i="1"/>
  <c r="B18084" i="1"/>
  <c r="A18084" i="1"/>
  <c r="E18084" i="1"/>
  <c r="F18084" i="1"/>
  <c r="G18084" i="1"/>
  <c r="B18085" i="1"/>
  <c r="A18085" i="1"/>
  <c r="E18085" i="1"/>
  <c r="F18085" i="1"/>
  <c r="B18086" i="1"/>
  <c r="A18086" i="1"/>
  <c r="E18086" i="1"/>
  <c r="F18086" i="1"/>
  <c r="B18087" i="1"/>
  <c r="A18087" i="1"/>
  <c r="E18087" i="1"/>
  <c r="F18087" i="1"/>
  <c r="B18088" i="1"/>
  <c r="A18088" i="1"/>
  <c r="E18088" i="1"/>
  <c r="F18088" i="1"/>
  <c r="G18088" i="1"/>
  <c r="B18089" i="1"/>
  <c r="A18089" i="1"/>
  <c r="E18089" i="1"/>
  <c r="F18089" i="1"/>
  <c r="B18090" i="1"/>
  <c r="A18090" i="1"/>
  <c r="E18090" i="1"/>
  <c r="F18090" i="1"/>
  <c r="B18091" i="1"/>
  <c r="A18091" i="1"/>
  <c r="E18091" i="1"/>
  <c r="F18091" i="1"/>
  <c r="B18092" i="1"/>
  <c r="A18092" i="1"/>
  <c r="E18092" i="1"/>
  <c r="F18092" i="1"/>
  <c r="G18092" i="1"/>
  <c r="B18093" i="1"/>
  <c r="A18093" i="1"/>
  <c r="E18093" i="1"/>
  <c r="F18093" i="1"/>
  <c r="B18094" i="1"/>
  <c r="A18094" i="1"/>
  <c r="E18094" i="1"/>
  <c r="F18094" i="1"/>
  <c r="B18095" i="1"/>
  <c r="A18095" i="1"/>
  <c r="E18095" i="1"/>
  <c r="F18095" i="1"/>
  <c r="B18096" i="1"/>
  <c r="A18096" i="1"/>
  <c r="E18096" i="1"/>
  <c r="F18096" i="1"/>
  <c r="B18097" i="1"/>
  <c r="A18097" i="1"/>
  <c r="E18097" i="1"/>
  <c r="F18097" i="1"/>
  <c r="B18098" i="1"/>
  <c r="A18098" i="1"/>
  <c r="E18098" i="1"/>
  <c r="F18098" i="1"/>
  <c r="B18099" i="1"/>
  <c r="A18099" i="1"/>
  <c r="E18099" i="1"/>
  <c r="F18099" i="1"/>
  <c r="B18100" i="1"/>
  <c r="A18100" i="1"/>
  <c r="E18100" i="1"/>
  <c r="F18100" i="1"/>
  <c r="B18101" i="1"/>
  <c r="A18101" i="1"/>
  <c r="E18101" i="1"/>
  <c r="F18101" i="1"/>
  <c r="G18101" i="1"/>
  <c r="B18102" i="1"/>
  <c r="A18102" i="1"/>
  <c r="E18102" i="1"/>
  <c r="F18102" i="1"/>
  <c r="G18102" i="1"/>
  <c r="B18103" i="1"/>
  <c r="A18103" i="1"/>
  <c r="E18103" i="1"/>
  <c r="F18103" i="1"/>
  <c r="G18103" i="1"/>
  <c r="B18104" i="1"/>
  <c r="A18104" i="1"/>
  <c r="E18104" i="1"/>
  <c r="F18104" i="1"/>
  <c r="G18104" i="1"/>
  <c r="B18105" i="1"/>
  <c r="A18105" i="1"/>
  <c r="E18105" i="1"/>
  <c r="F18105" i="1"/>
  <c r="G18105" i="1"/>
  <c r="B18106" i="1"/>
  <c r="A18106" i="1"/>
  <c r="E18106" i="1"/>
  <c r="B18107" i="1"/>
  <c r="A18107" i="1"/>
  <c r="E18107" i="1"/>
  <c r="B18108" i="1"/>
  <c r="A18108" i="1"/>
  <c r="E18108" i="1"/>
  <c r="B18109" i="1"/>
  <c r="A18109" i="1"/>
  <c r="E18109" i="1"/>
  <c r="B18110" i="1"/>
  <c r="A18110" i="1"/>
  <c r="E18110" i="1"/>
  <c r="B18111" i="1"/>
  <c r="A18111" i="1"/>
  <c r="E18111" i="1"/>
  <c r="B18112" i="1"/>
  <c r="A18112" i="1"/>
  <c r="E18112" i="1"/>
  <c r="B18113" i="1"/>
  <c r="A18113" i="1"/>
  <c r="E18113" i="1"/>
  <c r="B18114" i="1"/>
  <c r="A18114" i="1"/>
  <c r="E18114" i="1"/>
  <c r="B18115" i="1"/>
  <c r="A18115" i="1"/>
  <c r="E18115" i="1"/>
  <c r="B18116" i="1"/>
  <c r="A18116" i="1"/>
  <c r="E18116" i="1"/>
  <c r="B18117" i="1"/>
  <c r="A18117" i="1"/>
  <c r="E18117" i="1"/>
  <c r="B18118" i="1"/>
  <c r="A18118" i="1"/>
  <c r="E18118" i="1"/>
  <c r="B18119" i="1"/>
  <c r="A18119" i="1"/>
  <c r="E18119" i="1"/>
  <c r="B18120" i="1"/>
  <c r="A18120" i="1"/>
  <c r="E18120" i="1"/>
  <c r="B18121" i="1"/>
  <c r="A18121" i="1"/>
  <c r="E18121" i="1"/>
  <c r="B18122" i="1"/>
  <c r="A18122" i="1"/>
  <c r="E18122" i="1"/>
  <c r="B18123" i="1"/>
  <c r="A18123" i="1"/>
  <c r="E18123" i="1"/>
  <c r="B18124" i="1"/>
  <c r="A18124" i="1"/>
  <c r="E18124" i="1"/>
  <c r="B18125" i="1"/>
  <c r="A18125" i="1"/>
  <c r="E18125" i="1"/>
  <c r="B18126" i="1"/>
  <c r="A18126" i="1"/>
  <c r="E18126" i="1"/>
  <c r="B18127" i="1"/>
  <c r="A18127" i="1"/>
  <c r="E18127" i="1"/>
  <c r="B18128" i="1"/>
  <c r="A18128" i="1"/>
  <c r="E18128" i="1"/>
  <c r="B18129" i="1"/>
  <c r="A18129" i="1"/>
  <c r="E18129" i="1"/>
  <c r="B18130" i="1"/>
  <c r="A18130" i="1"/>
  <c r="E18130" i="1"/>
  <c r="B18131" i="1"/>
  <c r="A18131" i="1"/>
  <c r="E18131" i="1"/>
  <c r="B18132" i="1"/>
  <c r="A18132" i="1"/>
  <c r="E18132" i="1"/>
  <c r="B18133" i="1"/>
  <c r="A18133" i="1"/>
  <c r="E18133" i="1"/>
  <c r="B18134" i="1"/>
  <c r="A18134" i="1"/>
  <c r="E18134" i="1"/>
  <c r="B18135" i="1"/>
  <c r="A18135" i="1"/>
  <c r="E18135" i="1"/>
  <c r="B18136" i="1"/>
  <c r="A18136" i="1"/>
  <c r="E18136" i="1"/>
  <c r="B18137" i="1"/>
  <c r="A18137" i="1"/>
  <c r="E18137" i="1"/>
  <c r="B18138" i="1"/>
  <c r="A18138" i="1"/>
  <c r="E18138" i="1"/>
  <c r="B18139" i="1"/>
  <c r="A18139" i="1"/>
  <c r="E18139" i="1"/>
  <c r="B18140" i="1"/>
  <c r="A18140" i="1"/>
  <c r="E18140" i="1"/>
  <c r="B18141" i="1"/>
  <c r="A18141" i="1"/>
  <c r="E18141" i="1"/>
  <c r="B18142" i="1"/>
  <c r="A18142" i="1"/>
  <c r="E18142" i="1"/>
  <c r="B18143" i="1"/>
  <c r="A18143" i="1"/>
  <c r="E18143" i="1"/>
  <c r="G18143" i="1"/>
  <c r="B18144" i="1"/>
  <c r="A18144" i="1"/>
  <c r="E18144" i="1"/>
  <c r="G18144" i="1"/>
  <c r="B18145" i="1"/>
  <c r="A18145" i="1"/>
  <c r="E18145" i="1"/>
  <c r="B18146" i="1"/>
  <c r="A18146" i="1"/>
  <c r="E18146" i="1"/>
  <c r="B18147" i="1"/>
  <c r="A18147" i="1"/>
  <c r="E18147" i="1"/>
  <c r="B18148" i="1"/>
  <c r="A18148" i="1"/>
  <c r="E18148" i="1"/>
  <c r="B18149" i="1"/>
  <c r="A18149" i="1"/>
  <c r="E18149" i="1"/>
  <c r="B18150" i="1"/>
  <c r="A18150" i="1"/>
  <c r="E18150" i="1"/>
  <c r="F18150" i="1"/>
  <c r="B18151" i="1"/>
  <c r="A18151" i="1"/>
  <c r="E18151" i="1"/>
  <c r="F18151" i="1"/>
  <c r="G18151" i="1"/>
  <c r="B18152" i="1"/>
  <c r="A18152" i="1"/>
  <c r="E18152" i="1"/>
  <c r="F18152" i="1"/>
  <c r="G18152" i="1"/>
  <c r="B18153" i="1"/>
  <c r="A18153" i="1"/>
  <c r="E18153" i="1"/>
  <c r="F18153" i="1"/>
  <c r="B18154" i="1"/>
  <c r="A18154" i="1"/>
  <c r="E18154" i="1"/>
  <c r="F18154" i="1"/>
  <c r="B18155" i="1"/>
  <c r="A18155" i="1"/>
  <c r="E18155" i="1"/>
  <c r="F18155" i="1"/>
  <c r="B18156" i="1"/>
  <c r="A18156" i="1"/>
  <c r="E18156" i="1"/>
  <c r="F18156" i="1"/>
  <c r="B18157" i="1"/>
  <c r="A18157" i="1"/>
  <c r="E18157" i="1"/>
  <c r="F18157" i="1"/>
  <c r="G18157" i="1"/>
  <c r="B18158" i="1"/>
  <c r="A18158" i="1"/>
  <c r="E18158" i="1"/>
  <c r="F18158" i="1"/>
  <c r="G18158" i="1"/>
  <c r="B18159" i="1"/>
  <c r="A18159" i="1"/>
  <c r="E18159" i="1"/>
  <c r="F18159" i="1"/>
  <c r="B18160" i="1"/>
  <c r="A18160" i="1"/>
  <c r="E18160" i="1"/>
  <c r="F18160" i="1"/>
  <c r="B18161" i="1"/>
  <c r="A18161" i="1"/>
  <c r="E18161" i="1"/>
  <c r="F18161" i="1"/>
  <c r="B18162" i="1"/>
  <c r="A18162" i="1"/>
  <c r="E18162" i="1"/>
  <c r="F18162" i="1"/>
  <c r="B18163" i="1"/>
  <c r="A18163" i="1"/>
  <c r="E18163" i="1"/>
  <c r="F18163" i="1"/>
  <c r="B18164" i="1"/>
  <c r="A18164" i="1"/>
  <c r="E18164" i="1"/>
  <c r="F18164" i="1"/>
  <c r="B18165" i="1"/>
  <c r="A18165" i="1"/>
  <c r="E18165" i="1"/>
  <c r="F18165" i="1"/>
  <c r="G18165" i="1"/>
  <c r="B18166" i="1"/>
  <c r="A18166" i="1"/>
  <c r="E18166" i="1"/>
  <c r="F18166" i="1"/>
  <c r="B18167" i="1"/>
  <c r="A18167" i="1"/>
  <c r="E18167" i="1"/>
  <c r="F18167" i="1"/>
  <c r="B18168" i="1"/>
  <c r="A18168" i="1"/>
  <c r="E18168" i="1"/>
  <c r="F18168" i="1"/>
  <c r="B18169" i="1"/>
  <c r="A18169" i="1"/>
  <c r="E18169" i="1"/>
  <c r="F18169" i="1"/>
  <c r="G18169" i="1"/>
  <c r="B18170" i="1"/>
  <c r="A18170" i="1"/>
  <c r="E18170" i="1"/>
  <c r="F18170" i="1"/>
  <c r="B18171" i="1"/>
  <c r="A18171" i="1"/>
  <c r="E18171" i="1"/>
  <c r="F18171" i="1"/>
  <c r="G18171" i="1"/>
  <c r="B18172" i="1"/>
  <c r="A18172" i="1"/>
  <c r="E18172" i="1"/>
  <c r="F18172" i="1"/>
  <c r="B18173" i="1"/>
  <c r="A18173" i="1"/>
  <c r="E18173" i="1"/>
  <c r="F18173" i="1"/>
  <c r="B18174" i="1"/>
  <c r="A18174" i="1"/>
  <c r="E18174" i="1"/>
  <c r="F18174" i="1"/>
  <c r="B18175" i="1"/>
  <c r="A18175" i="1"/>
  <c r="E18175" i="1"/>
  <c r="F18175" i="1"/>
  <c r="B18176" i="1"/>
  <c r="A18176" i="1"/>
  <c r="E18176" i="1"/>
  <c r="F18176" i="1"/>
  <c r="B18177" i="1"/>
  <c r="A18177" i="1"/>
  <c r="E18177" i="1"/>
  <c r="F18177" i="1"/>
  <c r="B18178" i="1"/>
  <c r="A18178" i="1"/>
  <c r="E18178" i="1"/>
  <c r="F18178" i="1"/>
  <c r="G18178" i="1"/>
  <c r="B18179" i="1"/>
  <c r="A18179" i="1"/>
  <c r="E18179" i="1"/>
  <c r="F18179" i="1"/>
  <c r="B18180" i="1"/>
  <c r="A18180" i="1"/>
  <c r="E18180" i="1"/>
  <c r="F18180" i="1"/>
  <c r="B18181" i="1"/>
  <c r="A18181" i="1"/>
  <c r="E18181" i="1"/>
  <c r="F18181" i="1"/>
  <c r="B18182" i="1"/>
  <c r="A18182" i="1"/>
  <c r="E18182" i="1"/>
  <c r="F18182" i="1"/>
  <c r="G18182" i="1"/>
  <c r="B18183" i="1"/>
  <c r="A18183" i="1"/>
  <c r="E18183" i="1"/>
  <c r="F18183" i="1"/>
  <c r="B18184" i="1"/>
  <c r="A18184" i="1"/>
  <c r="E18184" i="1"/>
  <c r="F18184" i="1"/>
  <c r="G18184" i="1"/>
  <c r="B18185" i="1"/>
  <c r="A18185" i="1"/>
  <c r="E18185" i="1"/>
  <c r="F18185" i="1"/>
  <c r="B18186" i="1"/>
  <c r="A18186" i="1"/>
  <c r="E18186" i="1"/>
  <c r="F18186" i="1"/>
  <c r="G18186" i="1"/>
  <c r="B18187" i="1"/>
  <c r="A18187" i="1"/>
  <c r="E18187" i="1"/>
  <c r="F18187" i="1"/>
  <c r="B18188" i="1"/>
  <c r="A18188" i="1"/>
  <c r="E18188" i="1"/>
  <c r="F18188" i="1"/>
  <c r="B18189" i="1"/>
  <c r="A18189" i="1"/>
  <c r="E18189" i="1"/>
  <c r="F18189" i="1"/>
  <c r="B18190" i="1"/>
  <c r="A18190" i="1"/>
  <c r="E18190" i="1"/>
  <c r="F18190" i="1"/>
  <c r="G18190" i="1"/>
  <c r="B18191" i="1"/>
  <c r="A18191" i="1"/>
  <c r="E18191" i="1"/>
  <c r="F18191" i="1"/>
  <c r="B18192" i="1"/>
  <c r="A18192" i="1"/>
  <c r="E18192" i="1"/>
  <c r="F18192" i="1"/>
  <c r="B18193" i="1"/>
  <c r="A18193" i="1"/>
  <c r="E18193" i="1"/>
  <c r="F18193" i="1"/>
  <c r="G18193" i="1"/>
  <c r="B18194" i="1"/>
  <c r="A18194" i="1"/>
  <c r="E18194" i="1"/>
  <c r="F18194" i="1"/>
  <c r="B18195" i="1"/>
  <c r="A18195" i="1"/>
  <c r="E18195" i="1"/>
  <c r="F18195" i="1"/>
  <c r="G18195" i="1"/>
  <c r="B18196" i="1"/>
  <c r="A18196" i="1"/>
  <c r="E18196" i="1"/>
  <c r="F18196" i="1"/>
  <c r="B18197" i="1"/>
  <c r="A18197" i="1"/>
  <c r="E18197" i="1"/>
  <c r="F18197" i="1"/>
  <c r="B18198" i="1"/>
  <c r="A18198" i="1"/>
  <c r="E18198" i="1"/>
  <c r="F18198" i="1"/>
  <c r="B18199" i="1"/>
  <c r="A18199" i="1"/>
  <c r="E18199" i="1"/>
  <c r="F18199" i="1"/>
  <c r="B18200" i="1"/>
  <c r="A18200" i="1"/>
  <c r="E18200" i="1"/>
  <c r="F18200" i="1"/>
  <c r="B18201" i="1"/>
  <c r="A18201" i="1"/>
  <c r="E18201" i="1"/>
  <c r="F18201" i="1"/>
  <c r="B18202" i="1"/>
  <c r="A18202" i="1"/>
  <c r="E18202" i="1"/>
  <c r="F18202" i="1"/>
  <c r="G18202" i="1"/>
  <c r="B18203" i="1"/>
  <c r="A18203" i="1"/>
  <c r="E18203" i="1"/>
  <c r="F18203" i="1"/>
  <c r="B18204" i="1"/>
  <c r="A18204" i="1"/>
  <c r="E18204" i="1"/>
  <c r="F18204" i="1"/>
  <c r="B18205" i="1"/>
  <c r="A18205" i="1"/>
  <c r="E18205" i="1"/>
  <c r="F18205" i="1"/>
  <c r="B18206" i="1"/>
  <c r="A18206" i="1"/>
  <c r="E18206" i="1"/>
  <c r="F18206" i="1"/>
  <c r="B18207" i="1"/>
  <c r="A18207" i="1"/>
  <c r="E18207" i="1"/>
  <c r="F18207" i="1"/>
  <c r="B18208" i="1"/>
  <c r="A18208" i="1"/>
  <c r="E18208" i="1"/>
  <c r="F18208" i="1"/>
  <c r="B18209" i="1"/>
  <c r="A18209" i="1"/>
  <c r="E18209" i="1"/>
  <c r="F18209" i="1"/>
  <c r="B18210" i="1"/>
  <c r="A18210" i="1"/>
  <c r="E18210" i="1"/>
  <c r="F18210" i="1"/>
  <c r="B18211" i="1"/>
  <c r="A18211" i="1"/>
  <c r="E18211" i="1"/>
  <c r="F18211" i="1"/>
  <c r="B18212" i="1"/>
  <c r="A18212" i="1"/>
  <c r="E18212" i="1"/>
  <c r="F18212" i="1"/>
  <c r="B18213" i="1"/>
  <c r="A18213" i="1"/>
  <c r="E18213" i="1"/>
  <c r="B18214" i="1"/>
  <c r="A18214" i="1"/>
  <c r="E18214" i="1"/>
  <c r="F18214" i="1"/>
  <c r="B18215" i="1"/>
  <c r="A18215" i="1"/>
  <c r="E18215" i="1"/>
  <c r="F18215" i="1"/>
  <c r="B18216" i="1"/>
  <c r="A18216" i="1"/>
  <c r="E18216" i="1"/>
  <c r="B18217" i="1"/>
  <c r="A18217" i="1"/>
  <c r="E18217" i="1"/>
  <c r="B18218" i="1"/>
  <c r="A18218" i="1"/>
  <c r="E18218" i="1"/>
  <c r="B18219" i="1"/>
  <c r="A18219" i="1"/>
  <c r="E18219" i="1"/>
  <c r="B18220" i="1"/>
  <c r="A18220" i="1"/>
  <c r="E18220" i="1"/>
  <c r="B18221" i="1"/>
  <c r="A18221" i="1"/>
  <c r="E18221" i="1"/>
  <c r="B18222" i="1"/>
  <c r="A18222" i="1"/>
  <c r="E18222" i="1"/>
  <c r="B18223" i="1"/>
  <c r="A18223" i="1"/>
  <c r="E18223" i="1"/>
  <c r="B18224" i="1"/>
  <c r="A18224" i="1"/>
  <c r="E18224" i="1"/>
  <c r="B18225" i="1"/>
  <c r="A18225" i="1"/>
  <c r="E18225" i="1"/>
  <c r="B18226" i="1"/>
  <c r="A18226" i="1"/>
  <c r="E18226" i="1"/>
  <c r="B18227" i="1"/>
  <c r="A18227" i="1"/>
  <c r="E18227" i="1"/>
  <c r="B18228" i="1"/>
  <c r="A18228" i="1"/>
  <c r="E18228" i="1"/>
  <c r="B18229" i="1"/>
  <c r="A18229" i="1"/>
  <c r="E18229" i="1"/>
  <c r="B18230" i="1"/>
  <c r="A18230" i="1"/>
  <c r="E18230" i="1"/>
  <c r="B18231" i="1"/>
  <c r="A18231" i="1"/>
  <c r="E18231" i="1"/>
  <c r="B18232" i="1"/>
  <c r="A18232" i="1"/>
  <c r="E18232" i="1"/>
  <c r="B18233" i="1"/>
  <c r="A18233" i="1"/>
  <c r="E18233" i="1"/>
  <c r="B18234" i="1"/>
  <c r="A18234" i="1"/>
  <c r="E18234" i="1"/>
  <c r="B18235" i="1"/>
  <c r="A18235" i="1"/>
  <c r="E18235" i="1"/>
  <c r="B18236" i="1"/>
  <c r="A18236" i="1"/>
  <c r="E18236" i="1"/>
  <c r="B18237" i="1"/>
  <c r="A18237" i="1"/>
  <c r="E18237" i="1"/>
  <c r="B18238" i="1"/>
  <c r="A18238" i="1"/>
  <c r="E18238" i="1"/>
  <c r="B18239" i="1"/>
  <c r="A18239" i="1"/>
  <c r="E18239" i="1"/>
  <c r="B18240" i="1"/>
  <c r="A18240" i="1"/>
  <c r="E18240" i="1"/>
  <c r="B18241" i="1"/>
  <c r="A18241" i="1"/>
  <c r="E18241" i="1"/>
  <c r="B18242" i="1"/>
  <c r="A18242" i="1"/>
  <c r="E18242" i="1"/>
  <c r="B18243" i="1"/>
  <c r="A18243" i="1"/>
  <c r="E18243" i="1"/>
  <c r="B18244" i="1"/>
  <c r="A18244" i="1"/>
  <c r="E18244" i="1"/>
  <c r="B18245" i="1"/>
  <c r="A18245" i="1"/>
  <c r="E18245" i="1"/>
  <c r="B18246" i="1"/>
  <c r="A18246" i="1"/>
  <c r="E18246" i="1"/>
  <c r="B18247" i="1"/>
  <c r="A18247" i="1"/>
  <c r="E18247" i="1"/>
  <c r="B18248" i="1"/>
  <c r="A18248" i="1"/>
  <c r="E18248" i="1"/>
  <c r="B18249" i="1"/>
  <c r="A18249" i="1"/>
  <c r="E18249" i="1"/>
  <c r="B18250" i="1"/>
  <c r="A18250" i="1"/>
  <c r="E18250" i="1"/>
  <c r="B18251" i="1"/>
  <c r="A18251" i="1"/>
  <c r="E18251" i="1"/>
  <c r="B18252" i="1"/>
  <c r="A18252" i="1"/>
  <c r="E18252" i="1"/>
  <c r="B18253" i="1"/>
  <c r="A18253" i="1"/>
  <c r="E18253" i="1"/>
  <c r="B18254" i="1"/>
  <c r="A18254" i="1"/>
  <c r="E18254" i="1"/>
  <c r="B18255" i="1"/>
  <c r="A18255" i="1"/>
  <c r="E18255" i="1"/>
  <c r="A18256" i="1"/>
  <c r="E18256" i="1"/>
  <c r="B18257" i="1"/>
  <c r="A18257" i="1"/>
  <c r="E18257" i="1"/>
  <c r="B18258" i="1"/>
  <c r="A18258" i="1"/>
  <c r="E18258" i="1"/>
  <c r="B18259" i="1"/>
  <c r="A18259" i="1"/>
  <c r="E18259" i="1"/>
  <c r="B18260" i="1"/>
  <c r="A18260" i="1"/>
  <c r="E18260" i="1"/>
  <c r="B18261" i="1"/>
  <c r="A18261" i="1"/>
  <c r="E18261" i="1"/>
  <c r="B18262" i="1"/>
  <c r="A18262" i="1"/>
  <c r="E18262" i="1"/>
  <c r="B18263" i="1"/>
  <c r="A18263" i="1"/>
  <c r="E18263" i="1"/>
  <c r="B18264" i="1"/>
  <c r="A18264" i="1"/>
  <c r="E18264" i="1"/>
  <c r="B18265" i="1"/>
  <c r="A18265" i="1"/>
  <c r="E18265" i="1"/>
  <c r="B18266" i="1"/>
  <c r="A18266" i="1"/>
  <c r="E18266" i="1"/>
  <c r="B18267" i="1"/>
  <c r="A18267" i="1"/>
  <c r="E18267" i="1"/>
  <c r="B18268" i="1"/>
  <c r="A18268" i="1"/>
  <c r="E18268" i="1"/>
  <c r="B18269" i="1"/>
  <c r="A18269" i="1"/>
  <c r="E18269" i="1"/>
  <c r="B18270" i="1"/>
  <c r="A18270" i="1"/>
  <c r="E18270" i="1"/>
  <c r="B18271" i="1"/>
  <c r="A18271" i="1"/>
  <c r="E18271" i="1"/>
  <c r="B18272" i="1"/>
  <c r="A18272" i="1"/>
  <c r="E18272" i="1"/>
  <c r="B18273" i="1"/>
  <c r="A18273" i="1"/>
  <c r="E18273" i="1"/>
  <c r="B18274" i="1"/>
  <c r="A18274" i="1"/>
  <c r="E18274" i="1"/>
  <c r="B18275" i="1"/>
  <c r="A18275" i="1"/>
  <c r="E18275" i="1"/>
  <c r="B18276" i="1"/>
  <c r="A18276" i="1"/>
  <c r="E18276" i="1"/>
  <c r="B18277" i="1"/>
  <c r="A18277" i="1"/>
  <c r="E18277" i="1"/>
  <c r="B18278" i="1"/>
  <c r="A18278" i="1"/>
  <c r="E18278" i="1"/>
  <c r="B18279" i="1"/>
  <c r="A18279" i="1"/>
  <c r="E18279" i="1"/>
  <c r="B18280" i="1"/>
  <c r="A18280" i="1"/>
  <c r="E18280" i="1"/>
  <c r="B18281" i="1"/>
  <c r="A18281" i="1"/>
  <c r="E18281" i="1"/>
  <c r="B18282" i="1"/>
  <c r="A18282" i="1"/>
  <c r="E18282" i="1"/>
  <c r="B18283" i="1"/>
  <c r="A18283" i="1"/>
  <c r="E18283" i="1"/>
  <c r="B18284" i="1"/>
  <c r="A18284" i="1"/>
  <c r="E18284" i="1"/>
  <c r="G18284" i="1"/>
  <c r="A18285" i="1"/>
  <c r="E18285" i="1"/>
  <c r="A18286" i="1"/>
  <c r="E18286" i="1"/>
  <c r="B18287" i="1"/>
  <c r="A18287" i="1"/>
  <c r="E18287" i="1"/>
  <c r="B18288" i="1"/>
  <c r="A18288" i="1"/>
  <c r="E18288" i="1"/>
  <c r="B18289" i="1"/>
  <c r="A18289" i="1"/>
  <c r="E18289" i="1"/>
  <c r="B18290" i="1"/>
  <c r="A18290" i="1"/>
  <c r="E18290" i="1"/>
  <c r="B18291" i="1"/>
  <c r="A18291" i="1"/>
  <c r="E18291" i="1"/>
  <c r="B18292" i="1"/>
  <c r="A18292" i="1"/>
  <c r="E18292" i="1"/>
  <c r="B18293" i="1"/>
  <c r="A18293" i="1"/>
  <c r="E18293" i="1"/>
  <c r="B18294" i="1"/>
  <c r="A18294" i="1"/>
  <c r="E18294" i="1"/>
  <c r="B18295" i="1"/>
  <c r="A18295" i="1"/>
  <c r="E18295" i="1"/>
  <c r="B18296" i="1"/>
  <c r="A18296" i="1"/>
  <c r="E18296" i="1"/>
  <c r="B18297" i="1"/>
  <c r="A18297" i="1"/>
  <c r="E18297" i="1"/>
  <c r="B18298" i="1"/>
  <c r="A18298" i="1"/>
  <c r="E18298" i="1"/>
  <c r="B18299" i="1"/>
  <c r="A18299" i="1"/>
  <c r="E18299" i="1"/>
  <c r="B18300" i="1"/>
  <c r="A18300" i="1"/>
  <c r="E18300" i="1"/>
  <c r="B18301" i="1"/>
  <c r="A18301" i="1"/>
  <c r="E18301" i="1"/>
  <c r="B18302" i="1"/>
  <c r="A18302" i="1"/>
  <c r="E18302" i="1"/>
  <c r="B18303" i="1"/>
  <c r="A18303" i="1"/>
  <c r="E18303" i="1"/>
  <c r="B18304" i="1"/>
  <c r="A18304" i="1"/>
  <c r="E18304" i="1"/>
  <c r="B18305" i="1"/>
  <c r="A18305" i="1"/>
  <c r="E18305" i="1"/>
  <c r="B18306" i="1"/>
  <c r="A18306" i="1"/>
  <c r="E18306" i="1"/>
  <c r="G18306" i="1"/>
  <c r="B18307" i="1"/>
  <c r="A18307" i="1"/>
  <c r="E18307" i="1"/>
  <c r="G18307" i="1"/>
  <c r="B18308" i="1"/>
  <c r="A18308" i="1"/>
  <c r="E18308" i="1"/>
  <c r="B18309" i="1"/>
  <c r="A18309" i="1"/>
  <c r="E18309" i="1"/>
  <c r="B18310" i="1"/>
  <c r="A18310" i="1"/>
  <c r="E18310" i="1"/>
  <c r="B18311" i="1"/>
  <c r="A18311" i="1"/>
  <c r="E18311" i="1"/>
  <c r="B18312" i="1"/>
  <c r="A18312" i="1"/>
  <c r="E18312" i="1"/>
  <c r="B18313" i="1"/>
  <c r="A18313" i="1"/>
  <c r="E18313" i="1"/>
  <c r="B18314" i="1"/>
  <c r="A18314" i="1"/>
  <c r="E18314" i="1"/>
  <c r="B18315" i="1"/>
  <c r="A18315" i="1"/>
  <c r="E18315" i="1"/>
  <c r="B18316" i="1"/>
  <c r="A18316" i="1"/>
  <c r="E18316" i="1"/>
  <c r="B18317" i="1"/>
  <c r="A18317" i="1"/>
  <c r="E18317" i="1"/>
  <c r="B18318" i="1"/>
  <c r="A18318" i="1"/>
  <c r="E18318" i="1"/>
  <c r="B18319" i="1"/>
  <c r="A18319" i="1"/>
  <c r="E18319" i="1"/>
  <c r="B18320" i="1"/>
  <c r="A18320" i="1"/>
  <c r="E18320" i="1"/>
  <c r="B18321" i="1"/>
  <c r="A18321" i="1"/>
  <c r="E18321" i="1"/>
  <c r="B18322" i="1"/>
  <c r="A18322" i="1"/>
  <c r="E18322" i="1"/>
  <c r="B18323" i="1"/>
  <c r="A18323" i="1"/>
  <c r="E18323" i="1"/>
  <c r="B18324" i="1"/>
  <c r="A18324" i="1"/>
  <c r="E18324" i="1"/>
  <c r="B18325" i="1"/>
  <c r="A18325" i="1"/>
  <c r="E18325" i="1"/>
  <c r="B18326" i="1"/>
  <c r="A18326" i="1"/>
  <c r="E18326" i="1"/>
  <c r="B18327" i="1"/>
  <c r="A18327" i="1"/>
  <c r="E18327" i="1"/>
  <c r="B18328" i="1"/>
  <c r="A18328" i="1"/>
  <c r="E18328" i="1"/>
  <c r="B18329" i="1"/>
  <c r="A18329" i="1"/>
  <c r="E18329" i="1"/>
  <c r="B18330" i="1"/>
  <c r="A18330" i="1"/>
  <c r="E18330" i="1"/>
  <c r="B18331" i="1"/>
  <c r="A18331" i="1"/>
  <c r="E18331" i="1"/>
  <c r="B18332" i="1"/>
  <c r="A18332" i="1"/>
  <c r="E18332" i="1"/>
  <c r="B18333" i="1"/>
  <c r="A18333" i="1"/>
  <c r="E18333" i="1"/>
  <c r="B18334" i="1"/>
  <c r="A18334" i="1"/>
  <c r="E18334" i="1"/>
  <c r="B18335" i="1"/>
  <c r="A18335" i="1"/>
  <c r="E18335" i="1"/>
  <c r="B18336" i="1"/>
  <c r="A18336" i="1"/>
  <c r="E18336" i="1"/>
  <c r="B18337" i="1"/>
  <c r="A18337" i="1"/>
  <c r="E18337" i="1"/>
  <c r="B18338" i="1"/>
  <c r="A18338" i="1"/>
  <c r="E18338" i="1"/>
  <c r="B18339" i="1"/>
  <c r="A18339" i="1"/>
  <c r="E18339" i="1"/>
  <c r="B18340" i="1"/>
  <c r="A18340" i="1"/>
  <c r="E18340" i="1"/>
  <c r="B18341" i="1"/>
  <c r="A18341" i="1"/>
  <c r="E18341" i="1"/>
  <c r="B18342" i="1"/>
  <c r="A18342" i="1"/>
  <c r="E18342" i="1"/>
  <c r="B18343" i="1"/>
  <c r="A18343" i="1"/>
  <c r="E18343" i="1"/>
  <c r="B18344" i="1"/>
  <c r="A18344" i="1"/>
  <c r="E18344" i="1"/>
  <c r="B18345" i="1"/>
  <c r="A18345" i="1"/>
  <c r="E18345" i="1"/>
  <c r="B18346" i="1"/>
  <c r="A18346" i="1"/>
  <c r="E18346" i="1"/>
  <c r="B18347" i="1"/>
  <c r="A18347" i="1"/>
  <c r="E18347" i="1"/>
  <c r="B18348" i="1"/>
  <c r="A18348" i="1"/>
  <c r="E18348" i="1"/>
  <c r="B18349" i="1"/>
  <c r="A18349" i="1"/>
  <c r="E18349" i="1"/>
  <c r="B18350" i="1"/>
  <c r="A18350" i="1"/>
  <c r="E18350" i="1"/>
  <c r="B18351" i="1"/>
  <c r="A18351" i="1"/>
  <c r="E18351" i="1"/>
  <c r="B18352" i="1"/>
  <c r="A18352" i="1"/>
  <c r="E18352" i="1"/>
  <c r="B18353" i="1"/>
  <c r="A18353" i="1"/>
  <c r="E18353" i="1"/>
  <c r="B18354" i="1"/>
  <c r="A18354" i="1"/>
  <c r="E18354" i="1"/>
  <c r="B18355" i="1"/>
  <c r="A18355" i="1"/>
  <c r="E18355" i="1"/>
  <c r="B18356" i="1"/>
  <c r="A18356" i="1"/>
  <c r="E18356" i="1"/>
  <c r="B18357" i="1"/>
  <c r="A18357" i="1"/>
  <c r="E18357" i="1"/>
  <c r="B18358" i="1"/>
  <c r="A18358" i="1"/>
  <c r="E18358" i="1"/>
  <c r="B18359" i="1"/>
  <c r="A18359" i="1"/>
  <c r="E18359" i="1"/>
  <c r="B18360" i="1"/>
  <c r="A18360" i="1"/>
  <c r="E18360" i="1"/>
  <c r="B18361" i="1"/>
  <c r="A18361" i="1"/>
  <c r="E18361" i="1"/>
  <c r="B18362" i="1"/>
  <c r="A18362" i="1"/>
  <c r="E18362" i="1"/>
  <c r="B18363" i="1"/>
  <c r="A18363" i="1"/>
  <c r="E18363" i="1"/>
  <c r="B18364" i="1"/>
  <c r="A18364" i="1"/>
  <c r="E18364" i="1"/>
  <c r="B18365" i="1"/>
  <c r="A18365" i="1"/>
  <c r="E18365" i="1"/>
  <c r="F18365" i="1"/>
  <c r="B18366" i="1"/>
  <c r="A18366" i="1"/>
  <c r="E18366" i="1"/>
  <c r="F18366" i="1"/>
  <c r="B18367" i="1"/>
  <c r="A18367" i="1"/>
  <c r="E18367" i="1"/>
  <c r="F18367" i="1"/>
  <c r="B18368" i="1"/>
  <c r="A18368" i="1"/>
  <c r="E18368" i="1"/>
  <c r="B18369" i="1"/>
  <c r="A18369" i="1"/>
  <c r="E18369" i="1"/>
  <c r="B18370" i="1"/>
  <c r="A18370" i="1"/>
  <c r="E18370" i="1"/>
  <c r="B18371" i="1"/>
  <c r="A18371" i="1"/>
  <c r="E18371" i="1"/>
  <c r="B18372" i="1"/>
  <c r="A18372" i="1"/>
  <c r="E18372" i="1"/>
  <c r="B18373" i="1"/>
  <c r="A18373" i="1"/>
  <c r="E18373" i="1"/>
  <c r="B18374" i="1"/>
  <c r="A18374" i="1"/>
  <c r="E18374" i="1"/>
  <c r="B18375" i="1"/>
  <c r="A18375" i="1"/>
  <c r="E18375" i="1"/>
  <c r="B18376" i="1"/>
  <c r="A18376" i="1"/>
  <c r="E18376" i="1"/>
  <c r="B18377" i="1"/>
  <c r="A18377" i="1"/>
  <c r="E18377" i="1"/>
  <c r="B18378" i="1"/>
  <c r="A18378" i="1"/>
  <c r="E18378" i="1"/>
  <c r="B18379" i="1"/>
  <c r="A18379" i="1"/>
  <c r="E18379" i="1"/>
  <c r="B18380" i="1"/>
  <c r="A18380" i="1"/>
  <c r="E18380" i="1"/>
  <c r="B18381" i="1"/>
  <c r="A18381" i="1"/>
  <c r="E18381" i="1"/>
  <c r="B18382" i="1"/>
  <c r="A18382" i="1"/>
  <c r="E18382" i="1"/>
  <c r="B18383" i="1"/>
  <c r="A18383" i="1"/>
  <c r="E18383" i="1"/>
  <c r="B18384" i="1"/>
  <c r="A18384" i="1"/>
  <c r="E18384" i="1"/>
  <c r="B18385" i="1"/>
  <c r="A18385" i="1"/>
  <c r="E18385" i="1"/>
  <c r="B18386" i="1"/>
  <c r="A18386" i="1"/>
  <c r="E18386" i="1"/>
  <c r="B18387" i="1"/>
  <c r="A18387" i="1"/>
  <c r="E18387" i="1"/>
  <c r="B18388" i="1"/>
  <c r="A18388" i="1"/>
  <c r="E18388" i="1"/>
  <c r="B18389" i="1"/>
  <c r="A18389" i="1"/>
  <c r="E18389" i="1"/>
  <c r="F18389" i="1"/>
  <c r="G18389" i="1"/>
  <c r="B18390" i="1"/>
  <c r="A18390" i="1"/>
  <c r="E18390" i="1"/>
  <c r="F18390" i="1"/>
  <c r="G18390" i="1"/>
  <c r="B18391" i="1"/>
  <c r="A18391" i="1"/>
  <c r="E18391" i="1"/>
  <c r="F18391" i="1"/>
  <c r="G18391" i="1"/>
  <c r="B18392" i="1"/>
  <c r="A18392" i="1"/>
  <c r="E18392" i="1"/>
  <c r="F18392" i="1"/>
  <c r="G18392" i="1"/>
  <c r="B18393" i="1"/>
  <c r="A18393" i="1"/>
  <c r="E18393" i="1"/>
  <c r="F18393" i="1"/>
  <c r="B18394" i="1"/>
  <c r="A18394" i="1"/>
  <c r="E18394" i="1"/>
  <c r="F18394" i="1"/>
  <c r="G18394" i="1"/>
  <c r="B18395" i="1"/>
  <c r="A18395" i="1"/>
  <c r="E18395" i="1"/>
  <c r="F18395" i="1"/>
  <c r="B18396" i="1"/>
  <c r="A18396" i="1"/>
  <c r="E18396" i="1"/>
  <c r="F18396" i="1"/>
  <c r="B18397" i="1"/>
  <c r="A18397" i="1"/>
  <c r="E18397" i="1"/>
  <c r="F18397" i="1"/>
  <c r="B18398" i="1"/>
  <c r="A18398" i="1"/>
  <c r="E18398" i="1"/>
  <c r="F18398" i="1"/>
  <c r="B18399" i="1"/>
  <c r="A18399" i="1"/>
  <c r="E18399" i="1"/>
  <c r="F18399" i="1"/>
  <c r="B18400" i="1"/>
  <c r="A18400" i="1"/>
  <c r="E18400" i="1"/>
  <c r="F18400" i="1"/>
  <c r="G18400" i="1"/>
  <c r="B18401" i="1"/>
  <c r="A18401" i="1"/>
  <c r="E18401" i="1"/>
  <c r="F18401" i="1"/>
  <c r="B18402" i="1"/>
  <c r="A18402" i="1"/>
  <c r="E18402" i="1"/>
  <c r="F18402" i="1"/>
  <c r="B18403" i="1"/>
  <c r="A18403" i="1"/>
  <c r="E18403" i="1"/>
  <c r="F18403" i="1"/>
  <c r="G18403" i="1"/>
  <c r="B18404" i="1"/>
  <c r="A18404" i="1"/>
  <c r="E18404" i="1"/>
  <c r="F18404" i="1"/>
  <c r="B18405" i="1"/>
  <c r="A18405" i="1"/>
  <c r="E18405" i="1"/>
  <c r="F18405" i="1"/>
  <c r="G18405" i="1"/>
  <c r="B18406" i="1"/>
  <c r="A18406" i="1"/>
  <c r="E18406" i="1"/>
  <c r="F18406" i="1"/>
  <c r="G18406" i="1"/>
  <c r="B18407" i="1"/>
  <c r="A18407" i="1"/>
  <c r="E18407" i="1"/>
  <c r="F18407" i="1"/>
  <c r="B18408" i="1"/>
  <c r="A18408" i="1"/>
  <c r="E18408" i="1"/>
  <c r="F18408" i="1"/>
  <c r="B18409" i="1"/>
  <c r="A18409" i="1"/>
  <c r="E18409" i="1"/>
  <c r="F18409" i="1"/>
  <c r="B18410" i="1"/>
  <c r="A18410" i="1"/>
  <c r="E18410" i="1"/>
  <c r="F18410" i="1"/>
  <c r="B18411" i="1"/>
  <c r="A18411" i="1"/>
  <c r="E18411" i="1"/>
  <c r="F18411" i="1"/>
  <c r="B18412" i="1"/>
  <c r="A18412" i="1"/>
  <c r="E18412" i="1"/>
  <c r="F18412" i="1"/>
  <c r="B18413" i="1"/>
  <c r="A18413" i="1"/>
  <c r="E18413" i="1"/>
  <c r="F18413" i="1"/>
  <c r="B18414" i="1"/>
  <c r="A18414" i="1"/>
  <c r="E18414" i="1"/>
  <c r="F18414" i="1"/>
  <c r="G18414" i="1"/>
  <c r="B18415" i="1"/>
  <c r="A18415" i="1"/>
  <c r="E18415" i="1"/>
  <c r="F18415" i="1"/>
  <c r="B18416" i="1"/>
  <c r="A18416" i="1"/>
  <c r="E18416" i="1"/>
  <c r="F18416" i="1"/>
  <c r="B18417" i="1"/>
  <c r="A18417" i="1"/>
  <c r="E18417" i="1"/>
  <c r="F18417" i="1"/>
  <c r="B18418" i="1"/>
  <c r="A18418" i="1"/>
  <c r="E18418" i="1"/>
  <c r="F18418" i="1"/>
  <c r="G18418" i="1"/>
  <c r="B18419" i="1"/>
  <c r="A18419" i="1"/>
  <c r="E18419" i="1"/>
  <c r="F18419" i="1"/>
  <c r="B18420" i="1"/>
  <c r="A18420" i="1"/>
  <c r="E18420" i="1"/>
  <c r="F18420" i="1"/>
  <c r="G18420" i="1"/>
  <c r="B18421" i="1"/>
  <c r="A18421" i="1"/>
  <c r="E18421" i="1"/>
  <c r="F18421" i="1"/>
  <c r="B18422" i="1"/>
  <c r="A18422" i="1"/>
  <c r="E18422" i="1"/>
  <c r="F18422" i="1"/>
  <c r="B18423" i="1"/>
  <c r="A18423" i="1"/>
  <c r="E18423" i="1"/>
  <c r="F18423" i="1"/>
  <c r="B18424" i="1"/>
  <c r="A18424" i="1"/>
  <c r="E18424" i="1"/>
  <c r="F18424" i="1"/>
  <c r="G18424" i="1"/>
  <c r="B18425" i="1"/>
  <c r="A18425" i="1"/>
  <c r="E18425" i="1"/>
  <c r="F18425" i="1"/>
  <c r="G18425" i="1"/>
  <c r="B18426" i="1"/>
  <c r="A18426" i="1"/>
  <c r="E18426" i="1"/>
  <c r="F18426" i="1"/>
  <c r="B18427" i="1"/>
  <c r="A18427" i="1"/>
  <c r="E18427" i="1"/>
  <c r="F18427" i="1"/>
  <c r="B18428" i="1"/>
  <c r="A18428" i="1"/>
  <c r="E18428" i="1"/>
  <c r="F18428" i="1"/>
  <c r="B18429" i="1"/>
  <c r="A18429" i="1"/>
  <c r="E18429" i="1"/>
  <c r="F18429" i="1"/>
  <c r="B18430" i="1"/>
  <c r="A18430" i="1"/>
  <c r="E18430" i="1"/>
  <c r="F18430" i="1"/>
  <c r="B18431" i="1"/>
  <c r="A18431" i="1"/>
  <c r="E18431" i="1"/>
  <c r="F18431" i="1"/>
  <c r="B18432" i="1"/>
  <c r="A18432" i="1"/>
  <c r="E18432" i="1"/>
  <c r="F18432" i="1"/>
  <c r="B18433" i="1"/>
  <c r="A18433" i="1"/>
  <c r="E18433" i="1"/>
  <c r="F18433" i="1"/>
  <c r="B18434" i="1"/>
  <c r="A18434" i="1"/>
  <c r="E18434" i="1"/>
  <c r="F18434" i="1"/>
  <c r="G18434" i="1"/>
  <c r="B18435" i="1"/>
  <c r="A18435" i="1"/>
  <c r="E18435" i="1"/>
  <c r="F18435" i="1"/>
  <c r="G18435" i="1"/>
  <c r="B18436" i="1"/>
  <c r="A18436" i="1"/>
  <c r="E18436" i="1"/>
  <c r="F18436" i="1"/>
  <c r="G18436" i="1"/>
  <c r="B18437" i="1"/>
  <c r="A18437" i="1"/>
  <c r="E18437" i="1"/>
  <c r="F18437" i="1"/>
  <c r="G18437" i="1"/>
  <c r="B18438" i="1"/>
  <c r="A18438" i="1"/>
  <c r="E18438" i="1"/>
  <c r="G18438" i="1"/>
  <c r="B18439" i="1"/>
  <c r="A18439" i="1"/>
  <c r="E18439" i="1"/>
  <c r="B18440" i="1"/>
  <c r="A18440" i="1"/>
  <c r="E18440" i="1"/>
  <c r="B18441" i="1"/>
  <c r="A18441" i="1"/>
  <c r="E18441" i="1"/>
  <c r="B18442" i="1"/>
  <c r="A18442" i="1"/>
  <c r="E18442" i="1"/>
  <c r="B18443" i="1"/>
  <c r="A18443" i="1"/>
  <c r="E18443" i="1"/>
  <c r="B18444" i="1"/>
  <c r="A18444" i="1"/>
  <c r="E18444" i="1"/>
  <c r="B18445" i="1"/>
  <c r="A18445" i="1"/>
  <c r="E18445" i="1"/>
  <c r="G18445" i="1"/>
  <c r="B18446" i="1"/>
  <c r="A18446" i="1"/>
  <c r="E18446" i="1"/>
  <c r="G18446" i="1"/>
  <c r="B18447" i="1"/>
  <c r="A18447" i="1"/>
  <c r="E18447" i="1"/>
  <c r="B18448" i="1"/>
  <c r="A18448" i="1"/>
  <c r="E18448" i="1"/>
  <c r="B18449" i="1"/>
  <c r="A18449" i="1"/>
  <c r="E18449" i="1"/>
  <c r="B18450" i="1"/>
  <c r="A18450" i="1"/>
  <c r="E18450" i="1"/>
  <c r="F18450" i="1"/>
  <c r="G18450" i="1"/>
  <c r="B18451" i="1"/>
  <c r="A18451" i="1"/>
  <c r="E18451" i="1"/>
  <c r="B18452" i="1"/>
  <c r="A18452" i="1"/>
  <c r="E18452" i="1"/>
  <c r="B18453" i="1"/>
  <c r="A18453" i="1"/>
  <c r="E18453" i="1"/>
  <c r="F18453" i="1"/>
  <c r="G18453" i="1"/>
  <c r="B18454" i="1"/>
  <c r="A18454" i="1"/>
  <c r="E18454" i="1"/>
  <c r="B18455" i="1"/>
  <c r="A18455" i="1"/>
  <c r="E18455" i="1"/>
  <c r="B18456" i="1"/>
  <c r="A18456" i="1"/>
  <c r="E18456" i="1"/>
  <c r="F18456" i="1"/>
  <c r="G18456" i="1"/>
  <c r="B18457" i="1"/>
  <c r="A18457" i="1"/>
  <c r="E18457" i="1"/>
  <c r="G18457" i="1"/>
  <c r="B18458" i="1"/>
  <c r="A18458" i="1"/>
  <c r="E18458" i="1"/>
  <c r="G18458" i="1"/>
  <c r="B18459" i="1"/>
  <c r="A18459" i="1"/>
  <c r="E18459" i="1"/>
  <c r="G18459" i="1"/>
  <c r="B18460" i="1"/>
  <c r="A18460" i="1"/>
  <c r="E18460" i="1"/>
  <c r="G18460" i="1"/>
  <c r="B18461" i="1"/>
  <c r="A18461" i="1"/>
  <c r="E18461" i="1"/>
  <c r="G18461" i="1"/>
  <c r="B18462" i="1"/>
  <c r="A18462" i="1"/>
  <c r="E18462" i="1"/>
  <c r="B18463" i="1"/>
  <c r="A18463" i="1"/>
  <c r="E18463" i="1"/>
  <c r="B18464" i="1"/>
  <c r="A18464" i="1"/>
  <c r="E18464" i="1"/>
  <c r="B18465" i="1"/>
  <c r="A18465" i="1"/>
  <c r="E18465" i="1"/>
  <c r="B18466" i="1"/>
  <c r="A18466" i="1"/>
  <c r="E18466" i="1"/>
  <c r="B18467" i="1"/>
  <c r="A18467" i="1"/>
  <c r="E18467" i="1"/>
  <c r="B18468" i="1"/>
  <c r="A18468" i="1"/>
  <c r="E18468" i="1"/>
  <c r="B18469" i="1"/>
  <c r="A18469" i="1"/>
  <c r="E18469" i="1"/>
  <c r="B18470" i="1"/>
  <c r="A18470" i="1"/>
  <c r="E18470" i="1"/>
  <c r="B18471" i="1"/>
  <c r="A18471" i="1"/>
  <c r="E18471" i="1"/>
  <c r="B18472" i="1"/>
  <c r="A18472" i="1"/>
  <c r="E18472" i="1"/>
  <c r="B18473" i="1"/>
  <c r="A18473" i="1"/>
  <c r="E18473" i="1"/>
  <c r="A18474" i="1"/>
  <c r="E18474" i="1"/>
  <c r="B18475" i="1"/>
  <c r="A18475" i="1"/>
  <c r="E18475" i="1"/>
  <c r="B18476" i="1"/>
  <c r="A18476" i="1"/>
  <c r="E18476" i="1"/>
  <c r="B18477" i="1"/>
  <c r="A18477" i="1"/>
  <c r="E18477" i="1"/>
  <c r="B18478" i="1"/>
  <c r="A18478" i="1"/>
  <c r="E18478" i="1"/>
  <c r="A18479" i="1"/>
  <c r="E18479" i="1"/>
  <c r="A18480" i="1"/>
  <c r="E18480" i="1"/>
  <c r="B18481" i="1"/>
  <c r="A18481" i="1"/>
  <c r="E18481" i="1"/>
  <c r="B18482" i="1"/>
  <c r="A18482" i="1"/>
  <c r="E18482" i="1"/>
  <c r="B18483" i="1"/>
  <c r="A18483" i="1"/>
  <c r="E18483" i="1"/>
  <c r="A18484" i="1"/>
  <c r="E18484" i="1"/>
  <c r="A18485" i="1"/>
  <c r="E18485" i="1"/>
  <c r="A18486" i="1"/>
  <c r="E18486" i="1"/>
  <c r="A18487" i="1"/>
  <c r="E18487" i="1"/>
  <c r="A18488" i="1"/>
  <c r="E18488" i="1"/>
  <c r="B18489" i="1"/>
  <c r="A18489" i="1"/>
  <c r="E18489" i="1"/>
  <c r="B18490" i="1"/>
  <c r="A18490" i="1"/>
  <c r="E18490" i="1"/>
  <c r="B18491" i="1"/>
  <c r="A18491" i="1"/>
  <c r="E18491" i="1"/>
  <c r="B18492" i="1"/>
  <c r="A18492" i="1"/>
  <c r="E18492" i="1"/>
  <c r="B18493" i="1"/>
  <c r="A18493" i="1"/>
  <c r="E18493" i="1"/>
  <c r="A18494" i="1"/>
  <c r="E18494" i="1"/>
  <c r="B18495" i="1"/>
  <c r="A18495" i="1"/>
  <c r="E18495" i="1"/>
  <c r="G18495" i="1"/>
  <c r="B18496" i="1"/>
  <c r="A18496" i="1"/>
  <c r="E18496" i="1"/>
  <c r="B18497" i="1"/>
  <c r="A18497" i="1"/>
  <c r="E18497" i="1"/>
  <c r="B18498" i="1"/>
  <c r="A18498" i="1"/>
  <c r="E18498" i="1"/>
  <c r="B18499" i="1"/>
  <c r="A18499" i="1"/>
  <c r="E18499" i="1"/>
  <c r="B18500" i="1"/>
  <c r="A18500" i="1"/>
  <c r="E18500" i="1"/>
  <c r="B18501" i="1"/>
  <c r="A18501" i="1"/>
  <c r="E18501" i="1"/>
  <c r="B18502" i="1"/>
  <c r="A18502" i="1"/>
  <c r="E18502" i="1"/>
  <c r="B18503" i="1"/>
  <c r="A18503" i="1"/>
  <c r="E18503" i="1"/>
  <c r="B18504" i="1"/>
  <c r="A18504" i="1"/>
  <c r="E18504" i="1"/>
  <c r="B18505" i="1"/>
  <c r="A18505" i="1"/>
  <c r="E18505" i="1"/>
  <c r="B18506" i="1"/>
  <c r="A18506" i="1"/>
  <c r="E18506" i="1"/>
  <c r="B18507" i="1"/>
  <c r="A18507" i="1"/>
  <c r="E18507" i="1"/>
  <c r="B18508" i="1"/>
  <c r="A18508" i="1"/>
  <c r="E18508" i="1"/>
  <c r="B18509" i="1"/>
  <c r="A18509" i="1"/>
  <c r="E18509" i="1"/>
  <c r="B18510" i="1"/>
  <c r="A18510" i="1"/>
  <c r="E18510" i="1"/>
  <c r="B18511" i="1"/>
  <c r="A18511" i="1"/>
  <c r="E18511" i="1"/>
  <c r="B18512" i="1"/>
  <c r="A18512" i="1"/>
  <c r="E18512" i="1"/>
  <c r="F18512" i="1"/>
  <c r="B18513" i="1"/>
  <c r="A18513" i="1"/>
  <c r="E18513" i="1"/>
  <c r="F18513" i="1"/>
  <c r="B18514" i="1"/>
  <c r="A18514" i="1"/>
  <c r="E18514" i="1"/>
  <c r="F18514" i="1"/>
  <c r="B18515" i="1"/>
  <c r="A18515" i="1"/>
  <c r="E18515" i="1"/>
  <c r="F18515" i="1"/>
  <c r="B18516" i="1"/>
  <c r="A18516" i="1"/>
  <c r="E18516" i="1"/>
  <c r="F18516" i="1"/>
  <c r="B18517" i="1"/>
  <c r="A18517" i="1"/>
  <c r="E18517" i="1"/>
  <c r="F18517" i="1"/>
  <c r="B18518" i="1"/>
  <c r="A18518" i="1"/>
  <c r="E18518" i="1"/>
  <c r="F18518" i="1"/>
  <c r="B18519" i="1"/>
  <c r="A18519" i="1"/>
  <c r="E18519" i="1"/>
  <c r="F18519" i="1"/>
  <c r="B18520" i="1"/>
  <c r="A18520" i="1"/>
  <c r="E18520" i="1"/>
  <c r="F18520" i="1"/>
  <c r="B18521" i="1"/>
  <c r="A18521" i="1"/>
  <c r="E18521" i="1"/>
  <c r="F18521" i="1"/>
  <c r="B18522" i="1"/>
  <c r="A18522" i="1"/>
  <c r="E18522" i="1"/>
  <c r="F18522" i="1"/>
  <c r="B18523" i="1"/>
  <c r="A18523" i="1"/>
  <c r="E18523" i="1"/>
  <c r="F18523" i="1"/>
  <c r="B18524" i="1"/>
  <c r="A18524" i="1"/>
  <c r="E18524" i="1"/>
  <c r="F18524" i="1"/>
  <c r="B18525" i="1"/>
  <c r="A18525" i="1"/>
  <c r="E18525" i="1"/>
  <c r="F18525" i="1"/>
  <c r="B18526" i="1"/>
  <c r="A18526" i="1"/>
  <c r="E18526" i="1"/>
  <c r="F18526" i="1"/>
  <c r="B18527" i="1"/>
  <c r="A18527" i="1"/>
  <c r="E18527" i="1"/>
  <c r="F18527" i="1"/>
  <c r="B18528" i="1"/>
  <c r="A18528" i="1"/>
  <c r="E18528" i="1"/>
  <c r="F18528" i="1"/>
  <c r="B18529" i="1"/>
  <c r="A18529" i="1"/>
  <c r="E18529" i="1"/>
  <c r="F18529" i="1"/>
  <c r="B18530" i="1"/>
  <c r="A18530" i="1"/>
  <c r="E18530" i="1"/>
  <c r="F18530" i="1"/>
  <c r="B18531" i="1"/>
  <c r="A18531" i="1"/>
  <c r="E18531" i="1"/>
  <c r="F18531" i="1"/>
  <c r="B18532" i="1"/>
  <c r="A18532" i="1"/>
  <c r="E18532" i="1"/>
  <c r="F18532" i="1"/>
  <c r="B18533" i="1"/>
  <c r="A18533" i="1"/>
  <c r="E18533" i="1"/>
  <c r="F18533" i="1"/>
  <c r="B18534" i="1"/>
  <c r="A18534" i="1"/>
  <c r="E18534" i="1"/>
  <c r="F18534" i="1"/>
  <c r="B18535" i="1"/>
  <c r="A18535" i="1"/>
  <c r="E18535" i="1"/>
  <c r="F18535" i="1"/>
  <c r="B18536" i="1"/>
  <c r="A18536" i="1"/>
  <c r="E18536" i="1"/>
  <c r="F18536" i="1"/>
  <c r="B18537" i="1"/>
  <c r="A18537" i="1"/>
  <c r="E18537" i="1"/>
  <c r="F18537" i="1"/>
  <c r="B18538" i="1"/>
  <c r="A18538" i="1"/>
  <c r="E18538" i="1"/>
  <c r="F18538" i="1"/>
  <c r="B18539" i="1"/>
  <c r="A18539" i="1"/>
  <c r="E18539" i="1"/>
  <c r="F18539" i="1"/>
  <c r="B18540" i="1"/>
  <c r="A18540" i="1"/>
  <c r="E18540" i="1"/>
  <c r="F18540" i="1"/>
  <c r="G18540" i="1"/>
  <c r="B18541" i="1"/>
  <c r="A18541" i="1"/>
  <c r="E18541" i="1"/>
  <c r="F18541" i="1"/>
  <c r="B18542" i="1"/>
  <c r="A18542" i="1"/>
  <c r="E18542" i="1"/>
  <c r="F18542" i="1"/>
  <c r="B18543" i="1"/>
  <c r="A18543" i="1"/>
  <c r="E18543" i="1"/>
  <c r="F18543" i="1"/>
  <c r="G18543" i="1"/>
  <c r="B18544" i="1"/>
  <c r="A18544" i="1"/>
  <c r="E18544" i="1"/>
  <c r="F18544" i="1"/>
  <c r="G18544" i="1"/>
  <c r="B18545" i="1"/>
  <c r="A18545" i="1"/>
  <c r="E18545" i="1"/>
  <c r="F18545" i="1"/>
  <c r="G18545" i="1"/>
  <c r="B18546" i="1"/>
  <c r="A18546" i="1"/>
  <c r="E18546" i="1"/>
  <c r="F18546" i="1"/>
  <c r="B18547" i="1"/>
  <c r="A18547" i="1"/>
  <c r="E18547" i="1"/>
  <c r="F18547" i="1"/>
  <c r="B18548" i="1"/>
  <c r="A18548" i="1"/>
  <c r="E18548" i="1"/>
  <c r="B18549" i="1"/>
  <c r="A18549" i="1"/>
  <c r="E18549" i="1"/>
  <c r="F18549" i="1"/>
  <c r="B18550" i="1"/>
  <c r="A18550" i="1"/>
  <c r="E18550" i="1"/>
  <c r="B18551" i="1"/>
  <c r="A18551" i="1"/>
  <c r="E18551" i="1"/>
  <c r="B18552" i="1"/>
  <c r="A18552" i="1"/>
  <c r="E18552" i="1"/>
  <c r="B18553" i="1"/>
  <c r="A18553" i="1"/>
  <c r="E18553" i="1"/>
  <c r="B18554" i="1"/>
  <c r="A18554" i="1"/>
  <c r="E18554" i="1"/>
  <c r="B18555" i="1"/>
  <c r="A18555" i="1"/>
  <c r="E18555" i="1"/>
  <c r="B18556" i="1"/>
  <c r="A18556" i="1"/>
  <c r="E18556" i="1"/>
  <c r="B18557" i="1"/>
  <c r="A18557" i="1"/>
  <c r="E18557" i="1"/>
  <c r="B18558" i="1"/>
  <c r="A18558" i="1"/>
  <c r="E18558" i="1"/>
  <c r="B18559" i="1"/>
  <c r="A18559" i="1"/>
  <c r="E18559" i="1"/>
  <c r="B18560" i="1"/>
  <c r="A18560" i="1"/>
  <c r="E18560" i="1"/>
  <c r="B18561" i="1"/>
  <c r="A18561" i="1"/>
  <c r="E18561" i="1"/>
  <c r="B18562" i="1"/>
  <c r="A18562" i="1"/>
  <c r="E18562" i="1"/>
  <c r="B18563" i="1"/>
  <c r="A18563" i="1"/>
  <c r="E18563" i="1"/>
  <c r="F18563" i="1"/>
  <c r="G18563" i="1"/>
  <c r="B18564" i="1"/>
  <c r="A18564" i="1"/>
  <c r="E18564" i="1"/>
  <c r="F18564" i="1"/>
  <c r="B18565" i="1"/>
  <c r="A18565" i="1"/>
  <c r="E18565" i="1"/>
  <c r="F18565" i="1"/>
  <c r="B18566" i="1"/>
  <c r="A18566" i="1"/>
  <c r="E18566" i="1"/>
  <c r="F18566" i="1"/>
  <c r="B18567" i="1"/>
  <c r="A18567" i="1"/>
  <c r="E18567" i="1"/>
  <c r="F18567" i="1"/>
  <c r="B18568" i="1"/>
  <c r="A18568" i="1"/>
  <c r="E18568" i="1"/>
  <c r="F18568" i="1"/>
  <c r="B18569" i="1"/>
  <c r="A18569" i="1"/>
  <c r="E18569" i="1"/>
  <c r="F18569" i="1"/>
  <c r="B18570" i="1"/>
  <c r="A18570" i="1"/>
  <c r="E18570" i="1"/>
  <c r="F18570" i="1"/>
  <c r="B18571" i="1"/>
  <c r="A18571" i="1"/>
  <c r="E18571" i="1"/>
  <c r="F18571" i="1"/>
  <c r="B18572" i="1"/>
  <c r="A18572" i="1"/>
  <c r="E18572" i="1"/>
  <c r="F18572" i="1"/>
  <c r="B18573" i="1"/>
  <c r="A18573" i="1"/>
  <c r="E18573" i="1"/>
  <c r="F18573" i="1"/>
  <c r="B18574" i="1"/>
  <c r="A18574" i="1"/>
  <c r="E18574" i="1"/>
  <c r="F18574" i="1"/>
  <c r="B18575" i="1"/>
  <c r="A18575" i="1"/>
  <c r="E18575" i="1"/>
  <c r="F18575" i="1"/>
  <c r="B18576" i="1"/>
  <c r="A18576" i="1"/>
  <c r="E18576" i="1"/>
  <c r="F18576" i="1"/>
  <c r="B18577" i="1"/>
  <c r="A18577" i="1"/>
  <c r="E18577" i="1"/>
  <c r="F18577" i="1"/>
  <c r="B18578" i="1"/>
  <c r="A18578" i="1"/>
  <c r="E18578" i="1"/>
  <c r="F18578" i="1"/>
  <c r="B18579" i="1"/>
  <c r="A18579" i="1"/>
  <c r="E18579" i="1"/>
  <c r="F18579" i="1"/>
  <c r="B18580" i="1"/>
  <c r="A18580" i="1"/>
  <c r="E18580" i="1"/>
  <c r="F18580" i="1"/>
  <c r="B18581" i="1"/>
  <c r="A18581" i="1"/>
  <c r="E18581" i="1"/>
  <c r="F18581" i="1"/>
  <c r="B18582" i="1"/>
  <c r="A18582" i="1"/>
  <c r="E18582" i="1"/>
  <c r="F18582" i="1"/>
  <c r="B18583" i="1"/>
  <c r="A18583" i="1"/>
  <c r="E18583" i="1"/>
  <c r="F18583" i="1"/>
  <c r="B18584" i="1"/>
  <c r="A18584" i="1"/>
  <c r="E18584" i="1"/>
  <c r="F18584" i="1"/>
  <c r="B18585" i="1"/>
  <c r="A18585" i="1"/>
  <c r="E18585" i="1"/>
  <c r="F18585" i="1"/>
  <c r="B18586" i="1"/>
  <c r="A18586" i="1"/>
  <c r="E18586" i="1"/>
  <c r="F18586" i="1"/>
  <c r="B18587" i="1"/>
  <c r="A18587" i="1"/>
  <c r="E18587" i="1"/>
  <c r="F18587" i="1"/>
  <c r="B18588" i="1"/>
  <c r="A18588" i="1"/>
  <c r="E18588" i="1"/>
  <c r="F18588" i="1"/>
  <c r="B18589" i="1"/>
  <c r="A18589" i="1"/>
  <c r="E18589" i="1"/>
  <c r="F18589" i="1"/>
  <c r="B18590" i="1"/>
  <c r="A18590" i="1"/>
  <c r="E18590" i="1"/>
  <c r="F18590" i="1"/>
  <c r="B18591" i="1"/>
  <c r="A18591" i="1"/>
  <c r="E18591" i="1"/>
  <c r="F18591" i="1"/>
  <c r="B18592" i="1"/>
  <c r="A18592" i="1"/>
  <c r="E18592" i="1"/>
  <c r="F18592" i="1"/>
  <c r="B18593" i="1"/>
  <c r="A18593" i="1"/>
  <c r="E18593" i="1"/>
  <c r="F18593" i="1"/>
  <c r="B18594" i="1"/>
  <c r="A18594" i="1"/>
  <c r="E18594" i="1"/>
  <c r="F18594" i="1"/>
  <c r="B18595" i="1"/>
  <c r="A18595" i="1"/>
  <c r="E18595" i="1"/>
  <c r="F18595" i="1"/>
  <c r="B18596" i="1"/>
  <c r="A18596" i="1"/>
  <c r="E18596" i="1"/>
  <c r="F18596" i="1"/>
  <c r="B18597" i="1"/>
  <c r="A18597" i="1"/>
  <c r="E18597" i="1"/>
  <c r="F18597" i="1"/>
  <c r="B18598" i="1"/>
  <c r="A18598" i="1"/>
  <c r="E18598" i="1"/>
  <c r="F18598" i="1"/>
  <c r="B18599" i="1"/>
  <c r="A18599" i="1"/>
  <c r="E18599" i="1"/>
  <c r="F18599" i="1"/>
  <c r="B18600" i="1"/>
  <c r="A18600" i="1"/>
  <c r="E18600" i="1"/>
  <c r="F18600" i="1"/>
  <c r="B18601" i="1"/>
  <c r="A18601" i="1"/>
  <c r="E18601" i="1"/>
  <c r="F18601" i="1"/>
  <c r="B18602" i="1"/>
  <c r="A18602" i="1"/>
  <c r="E18602" i="1"/>
  <c r="F18602" i="1"/>
  <c r="B18603" i="1"/>
  <c r="A18603" i="1"/>
  <c r="E18603" i="1"/>
  <c r="F18603" i="1"/>
  <c r="B18604" i="1"/>
  <c r="A18604" i="1"/>
  <c r="E18604" i="1"/>
  <c r="F18604" i="1"/>
  <c r="B18605" i="1"/>
  <c r="A18605" i="1"/>
  <c r="E18605" i="1"/>
  <c r="F18605" i="1"/>
  <c r="B18606" i="1"/>
  <c r="A18606" i="1"/>
  <c r="E18606" i="1"/>
  <c r="F18606" i="1"/>
  <c r="B18607" i="1"/>
  <c r="A18607" i="1"/>
  <c r="E18607" i="1"/>
  <c r="F18607" i="1"/>
  <c r="B18608" i="1"/>
  <c r="A18608" i="1"/>
  <c r="E18608" i="1"/>
  <c r="F18608" i="1"/>
  <c r="G18608" i="1"/>
  <c r="B18609" i="1"/>
  <c r="A18609" i="1"/>
  <c r="E18609" i="1"/>
  <c r="F18609" i="1"/>
  <c r="G18609" i="1"/>
  <c r="B18610" i="1"/>
  <c r="A18610" i="1"/>
  <c r="E18610" i="1"/>
  <c r="F18610" i="1"/>
  <c r="B18611" i="1"/>
  <c r="A18611" i="1"/>
  <c r="E18611" i="1"/>
  <c r="B18612" i="1"/>
  <c r="A18612" i="1"/>
  <c r="E18612" i="1"/>
  <c r="A18613" i="1"/>
  <c r="E18613" i="1"/>
  <c r="A18614" i="1"/>
  <c r="E18614" i="1"/>
  <c r="A18615" i="1"/>
  <c r="E18615" i="1"/>
  <c r="A18616" i="1"/>
  <c r="E18616" i="1"/>
  <c r="A18617" i="1"/>
  <c r="E18617" i="1"/>
  <c r="B18618" i="1"/>
  <c r="A18618" i="1"/>
  <c r="E18618" i="1"/>
  <c r="B18619" i="1"/>
  <c r="A18619" i="1"/>
  <c r="E18619" i="1"/>
  <c r="B18620" i="1"/>
  <c r="A18620" i="1"/>
  <c r="E18620" i="1"/>
  <c r="B18621" i="1"/>
  <c r="A18621" i="1"/>
  <c r="E18621" i="1"/>
  <c r="B18622" i="1"/>
  <c r="A18622" i="1"/>
  <c r="E18622" i="1"/>
  <c r="B18623" i="1"/>
  <c r="A18623" i="1"/>
  <c r="E18623" i="1"/>
  <c r="F18623" i="1"/>
  <c r="B18624" i="1"/>
  <c r="A18624" i="1"/>
  <c r="E18624" i="1"/>
  <c r="F18624" i="1"/>
  <c r="B18625" i="1"/>
  <c r="A18625" i="1"/>
  <c r="E18625" i="1"/>
  <c r="F18625" i="1"/>
  <c r="B18626" i="1"/>
  <c r="A18626" i="1"/>
  <c r="E18626" i="1"/>
  <c r="F18626" i="1"/>
  <c r="G18626" i="1"/>
  <c r="B18627" i="1"/>
  <c r="A18627" i="1"/>
  <c r="E18627" i="1"/>
  <c r="F18627" i="1"/>
  <c r="B18628" i="1"/>
  <c r="A18628" i="1"/>
  <c r="E18628" i="1"/>
  <c r="F18628" i="1"/>
  <c r="B18629" i="1"/>
  <c r="A18629" i="1"/>
  <c r="E18629" i="1"/>
  <c r="F18629" i="1"/>
  <c r="B18630" i="1"/>
  <c r="A18630" i="1"/>
  <c r="E18630" i="1"/>
  <c r="F18630" i="1"/>
  <c r="B18631" i="1"/>
  <c r="A18631" i="1"/>
  <c r="E18631" i="1"/>
  <c r="F18631" i="1"/>
  <c r="B18632" i="1"/>
  <c r="A18632" i="1"/>
  <c r="E18632" i="1"/>
  <c r="F18632" i="1"/>
  <c r="B18633" i="1"/>
  <c r="A18633" i="1"/>
  <c r="E18633" i="1"/>
  <c r="F18633" i="1"/>
  <c r="G18633" i="1"/>
  <c r="B18634" i="1"/>
  <c r="A18634" i="1"/>
  <c r="E18634" i="1"/>
  <c r="F18634" i="1"/>
  <c r="B18635" i="1"/>
  <c r="A18635" i="1"/>
  <c r="E18635" i="1"/>
  <c r="F18635" i="1"/>
  <c r="B18636" i="1"/>
  <c r="A18636" i="1"/>
  <c r="E18636" i="1"/>
  <c r="F18636" i="1"/>
  <c r="G18636" i="1"/>
  <c r="B18637" i="1"/>
  <c r="A18637" i="1"/>
  <c r="E18637" i="1"/>
  <c r="F18637" i="1"/>
  <c r="B18638" i="1"/>
  <c r="A18638" i="1"/>
  <c r="E18638" i="1"/>
  <c r="F18638" i="1"/>
  <c r="B18639" i="1"/>
  <c r="A18639" i="1"/>
  <c r="E18639" i="1"/>
  <c r="F18639" i="1"/>
  <c r="B18640" i="1"/>
  <c r="A18640" i="1"/>
  <c r="E18640" i="1"/>
  <c r="F18640" i="1"/>
  <c r="B18641" i="1"/>
  <c r="A18641" i="1"/>
  <c r="E18641" i="1"/>
  <c r="F18641" i="1"/>
  <c r="B18642" i="1"/>
  <c r="A18642" i="1"/>
  <c r="E18642" i="1"/>
  <c r="B18643" i="1"/>
  <c r="A18643" i="1"/>
  <c r="E18643" i="1"/>
  <c r="B18644" i="1"/>
  <c r="A18644" i="1"/>
  <c r="E18644" i="1"/>
  <c r="B18645" i="1"/>
  <c r="A18645" i="1"/>
  <c r="E18645" i="1"/>
  <c r="F18645" i="1"/>
  <c r="B18646" i="1"/>
  <c r="A18646" i="1"/>
  <c r="E18646" i="1"/>
  <c r="F18646" i="1"/>
  <c r="B18647" i="1"/>
  <c r="A18647" i="1"/>
  <c r="E18647" i="1"/>
  <c r="F18647" i="1"/>
  <c r="B18648" i="1"/>
  <c r="A18648" i="1"/>
  <c r="E18648" i="1"/>
  <c r="F18648" i="1"/>
  <c r="B18649" i="1"/>
  <c r="A18649" i="1"/>
  <c r="E18649" i="1"/>
  <c r="F18649" i="1"/>
  <c r="B18650" i="1"/>
  <c r="A18650" i="1"/>
  <c r="E18650" i="1"/>
  <c r="F18650" i="1"/>
  <c r="B18651" i="1"/>
  <c r="A18651" i="1"/>
  <c r="E18651" i="1"/>
  <c r="F18651" i="1"/>
  <c r="B18652" i="1"/>
  <c r="A18652" i="1"/>
  <c r="E18652" i="1"/>
  <c r="F18652" i="1"/>
  <c r="G18652" i="1"/>
  <c r="B18653" i="1"/>
  <c r="A18653" i="1"/>
  <c r="E18653" i="1"/>
  <c r="F18653" i="1"/>
  <c r="B18654" i="1"/>
  <c r="A18654" i="1"/>
  <c r="E18654" i="1"/>
  <c r="F18654" i="1"/>
  <c r="B18655" i="1"/>
  <c r="A18655" i="1"/>
  <c r="E18655" i="1"/>
  <c r="F18655" i="1"/>
  <c r="B18656" i="1"/>
  <c r="A18656" i="1"/>
  <c r="E18656" i="1"/>
  <c r="F18656" i="1"/>
  <c r="B18657" i="1"/>
  <c r="A18657" i="1"/>
  <c r="E18657" i="1"/>
  <c r="F18657" i="1"/>
  <c r="G18657" i="1"/>
  <c r="B18658" i="1"/>
  <c r="A18658" i="1"/>
  <c r="E18658" i="1"/>
  <c r="F18658" i="1"/>
  <c r="B18659" i="1"/>
  <c r="A18659" i="1"/>
  <c r="E18659" i="1"/>
  <c r="F18659" i="1"/>
  <c r="G18659" i="1"/>
  <c r="B18660" i="1"/>
  <c r="A18660" i="1"/>
  <c r="E18660" i="1"/>
  <c r="F18660" i="1"/>
  <c r="G18660" i="1"/>
  <c r="B18661" i="1"/>
  <c r="A18661" i="1"/>
  <c r="E18661" i="1"/>
  <c r="F18661" i="1"/>
  <c r="B18662" i="1"/>
  <c r="A18662" i="1"/>
  <c r="E18662" i="1"/>
  <c r="F18662" i="1"/>
  <c r="B18663" i="1"/>
  <c r="A18663" i="1"/>
  <c r="E18663" i="1"/>
  <c r="F18663" i="1"/>
  <c r="B18664" i="1"/>
  <c r="A18664" i="1"/>
  <c r="E18664" i="1"/>
  <c r="F18664" i="1"/>
  <c r="B18665" i="1"/>
  <c r="A18665" i="1"/>
  <c r="E18665" i="1"/>
  <c r="F18665" i="1"/>
  <c r="B18666" i="1"/>
  <c r="A18666" i="1"/>
  <c r="E18666" i="1"/>
  <c r="F18666" i="1"/>
  <c r="B18667" i="1"/>
  <c r="A18667" i="1"/>
  <c r="E18667" i="1"/>
  <c r="F18667" i="1"/>
  <c r="B18668" i="1"/>
  <c r="A18668" i="1"/>
  <c r="E18668" i="1"/>
  <c r="F18668" i="1"/>
  <c r="B18669" i="1"/>
  <c r="A18669" i="1"/>
  <c r="E18669" i="1"/>
  <c r="F18669" i="1"/>
  <c r="B18670" i="1"/>
  <c r="A18670" i="1"/>
  <c r="E18670" i="1"/>
  <c r="F18670" i="1"/>
  <c r="B18671" i="1"/>
  <c r="A18671" i="1"/>
  <c r="E18671" i="1"/>
  <c r="F18671" i="1"/>
  <c r="B18672" i="1"/>
  <c r="A18672" i="1"/>
  <c r="E18672" i="1"/>
  <c r="F18672" i="1"/>
  <c r="B18673" i="1"/>
  <c r="A18673" i="1"/>
  <c r="E18673" i="1"/>
  <c r="F18673" i="1"/>
  <c r="B18674" i="1"/>
  <c r="A18674" i="1"/>
  <c r="E18674" i="1"/>
  <c r="F18674" i="1"/>
  <c r="B18675" i="1"/>
  <c r="A18675" i="1"/>
  <c r="E18675" i="1"/>
  <c r="F18675" i="1"/>
  <c r="B18676" i="1"/>
  <c r="A18676" i="1"/>
  <c r="E18676" i="1"/>
  <c r="F18676" i="1"/>
  <c r="B18677" i="1"/>
  <c r="A18677" i="1"/>
  <c r="E18677" i="1"/>
  <c r="F18677" i="1"/>
  <c r="B18678" i="1"/>
  <c r="A18678" i="1"/>
  <c r="E18678" i="1"/>
  <c r="F18678" i="1"/>
  <c r="B18679" i="1"/>
  <c r="A18679" i="1"/>
  <c r="E18679" i="1"/>
  <c r="F18679" i="1"/>
  <c r="B18680" i="1"/>
  <c r="A18680" i="1"/>
  <c r="E18680" i="1"/>
  <c r="F18680" i="1"/>
  <c r="B18681" i="1"/>
  <c r="A18681" i="1"/>
  <c r="E18681" i="1"/>
  <c r="F18681" i="1"/>
  <c r="B18682" i="1"/>
  <c r="A18682" i="1"/>
  <c r="E18682" i="1"/>
  <c r="F18682" i="1"/>
  <c r="B18683" i="1"/>
  <c r="A18683" i="1"/>
  <c r="E18683" i="1"/>
  <c r="F18683" i="1"/>
  <c r="B18684" i="1"/>
  <c r="A18684" i="1"/>
  <c r="E18684" i="1"/>
  <c r="F18684" i="1"/>
  <c r="B18685" i="1"/>
  <c r="A18685" i="1"/>
  <c r="E18685" i="1"/>
  <c r="F18685" i="1"/>
  <c r="B18686" i="1"/>
  <c r="A18686" i="1"/>
  <c r="E18686" i="1"/>
  <c r="F18686" i="1"/>
  <c r="B18687" i="1"/>
  <c r="A18687" i="1"/>
  <c r="E18687" i="1"/>
  <c r="F18687" i="1"/>
  <c r="B18688" i="1"/>
  <c r="A18688" i="1"/>
  <c r="E18688" i="1"/>
  <c r="F18688" i="1"/>
  <c r="B18689" i="1"/>
  <c r="A18689" i="1"/>
  <c r="E18689" i="1"/>
  <c r="F18689" i="1"/>
  <c r="B18690" i="1"/>
  <c r="A18690" i="1"/>
  <c r="E18690" i="1"/>
  <c r="F18690" i="1"/>
  <c r="B18691" i="1"/>
  <c r="A18691" i="1"/>
  <c r="E18691" i="1"/>
  <c r="F18691" i="1"/>
  <c r="B18692" i="1"/>
  <c r="A18692" i="1"/>
  <c r="E18692" i="1"/>
  <c r="F18692" i="1"/>
  <c r="B18693" i="1"/>
  <c r="A18693" i="1"/>
  <c r="E18693" i="1"/>
  <c r="F18693" i="1"/>
  <c r="B18694" i="1"/>
  <c r="A18694" i="1"/>
  <c r="E18694" i="1"/>
  <c r="F18694" i="1"/>
  <c r="B18695" i="1"/>
  <c r="A18695" i="1"/>
  <c r="E18695" i="1"/>
  <c r="F18695" i="1"/>
  <c r="B18696" i="1"/>
  <c r="A18696" i="1"/>
  <c r="E18696" i="1"/>
  <c r="F18696" i="1"/>
  <c r="B18697" i="1"/>
  <c r="A18697" i="1"/>
  <c r="E18697" i="1"/>
  <c r="F18697" i="1"/>
  <c r="B18698" i="1"/>
  <c r="A18698" i="1"/>
  <c r="E18698" i="1"/>
  <c r="F18698" i="1"/>
  <c r="B18699" i="1"/>
  <c r="A18699" i="1"/>
  <c r="E18699" i="1"/>
  <c r="F18699" i="1"/>
  <c r="B18700" i="1"/>
  <c r="A18700" i="1"/>
  <c r="E18700" i="1"/>
  <c r="F18700" i="1"/>
  <c r="B18701" i="1"/>
  <c r="A18701" i="1"/>
  <c r="E18701" i="1"/>
  <c r="G18701" i="1"/>
  <c r="B18702" i="1"/>
  <c r="A18702" i="1"/>
  <c r="E18702" i="1"/>
  <c r="G18702" i="1"/>
  <c r="B18703" i="1"/>
  <c r="A18703" i="1"/>
  <c r="E18703" i="1"/>
  <c r="G18703" i="1"/>
  <c r="B18704" i="1"/>
  <c r="A18704" i="1"/>
  <c r="E18704" i="1"/>
  <c r="B18705" i="1"/>
  <c r="A18705" i="1"/>
  <c r="E18705" i="1"/>
  <c r="B18706" i="1"/>
  <c r="A18706" i="1"/>
  <c r="E18706" i="1"/>
  <c r="B18707" i="1"/>
  <c r="A18707" i="1"/>
  <c r="E18707" i="1"/>
  <c r="B18708" i="1"/>
  <c r="A18708" i="1"/>
  <c r="E18708" i="1"/>
  <c r="G18708" i="1"/>
  <c r="B18709" i="1"/>
  <c r="A18709" i="1"/>
  <c r="E18709" i="1"/>
  <c r="G18709" i="1"/>
  <c r="B18710" i="1"/>
  <c r="A18710" i="1"/>
  <c r="E18710" i="1"/>
  <c r="B18711" i="1"/>
  <c r="A18711" i="1"/>
  <c r="E18711" i="1"/>
  <c r="B18712" i="1"/>
  <c r="A18712" i="1"/>
  <c r="E18712" i="1"/>
  <c r="B18713" i="1"/>
  <c r="A18713" i="1"/>
  <c r="E18713" i="1"/>
  <c r="G18713" i="1"/>
  <c r="B18714" i="1"/>
  <c r="A18714" i="1"/>
  <c r="E18714" i="1"/>
  <c r="B18715" i="1"/>
  <c r="A18715" i="1"/>
  <c r="E18715" i="1"/>
  <c r="G18715" i="1"/>
  <c r="B18716" i="1"/>
  <c r="A18716" i="1"/>
  <c r="E18716" i="1"/>
  <c r="B18717" i="1"/>
  <c r="A18717" i="1"/>
  <c r="E18717" i="1"/>
  <c r="B18718" i="1"/>
  <c r="A18718" i="1"/>
  <c r="E18718" i="1"/>
  <c r="B18719" i="1"/>
  <c r="A18719" i="1"/>
  <c r="E18719" i="1"/>
  <c r="B18720" i="1"/>
  <c r="A18720" i="1"/>
  <c r="E18720" i="1"/>
  <c r="B18721" i="1"/>
  <c r="A18721" i="1"/>
  <c r="E18721" i="1"/>
  <c r="B18722" i="1"/>
  <c r="A18722" i="1"/>
  <c r="E18722" i="1"/>
  <c r="F18722" i="1"/>
  <c r="B18723" i="1"/>
  <c r="A18723" i="1"/>
  <c r="E18723" i="1"/>
  <c r="F18723" i="1"/>
  <c r="B18724" i="1"/>
  <c r="A18724" i="1"/>
  <c r="E18724" i="1"/>
  <c r="F18724" i="1"/>
  <c r="B18725" i="1"/>
  <c r="A18725" i="1"/>
  <c r="E18725" i="1"/>
  <c r="F18725" i="1"/>
  <c r="B18726" i="1"/>
  <c r="A18726" i="1"/>
  <c r="E18726" i="1"/>
  <c r="F18726" i="1"/>
  <c r="B18727" i="1"/>
  <c r="A18727" i="1"/>
  <c r="E18727" i="1"/>
  <c r="F18727" i="1"/>
  <c r="G18727" i="1"/>
  <c r="B18728" i="1"/>
  <c r="A18728" i="1"/>
  <c r="E18728" i="1"/>
  <c r="F18728" i="1"/>
  <c r="B18729" i="1"/>
  <c r="A18729" i="1"/>
  <c r="E18729" i="1"/>
  <c r="F18729" i="1"/>
  <c r="B18730" i="1"/>
  <c r="A18730" i="1"/>
  <c r="E18730" i="1"/>
  <c r="F18730" i="1"/>
  <c r="B18731" i="1"/>
  <c r="A18731" i="1"/>
  <c r="E18731" i="1"/>
  <c r="F18731" i="1"/>
  <c r="G18731" i="1"/>
  <c r="B18732" i="1"/>
  <c r="A18732" i="1"/>
  <c r="E18732" i="1"/>
  <c r="F18732" i="1"/>
  <c r="G18732" i="1"/>
  <c r="B18733" i="1"/>
  <c r="A18733" i="1"/>
  <c r="E18733" i="1"/>
  <c r="F18733" i="1"/>
  <c r="B18734" i="1"/>
  <c r="A18734" i="1"/>
  <c r="E18734" i="1"/>
  <c r="F18734" i="1"/>
  <c r="G18734" i="1"/>
  <c r="B18735" i="1"/>
  <c r="A18735" i="1"/>
  <c r="E18735" i="1"/>
  <c r="F18735" i="1"/>
  <c r="G18735" i="1"/>
  <c r="B18736" i="1"/>
  <c r="A18736" i="1"/>
  <c r="E18736" i="1"/>
  <c r="F18736" i="1"/>
  <c r="G18736" i="1"/>
  <c r="B18737" i="1"/>
  <c r="A18737" i="1"/>
  <c r="E18737" i="1"/>
  <c r="F18737" i="1"/>
  <c r="G18737" i="1"/>
  <c r="B18738" i="1"/>
  <c r="A18738" i="1"/>
  <c r="E18738" i="1"/>
  <c r="F18738" i="1"/>
  <c r="B18739" i="1"/>
  <c r="A18739" i="1"/>
  <c r="E18739" i="1"/>
  <c r="F18739" i="1"/>
  <c r="B18740" i="1"/>
  <c r="A18740" i="1"/>
  <c r="E18740" i="1"/>
  <c r="F18740" i="1"/>
  <c r="B18741" i="1"/>
  <c r="A18741" i="1"/>
  <c r="E18741" i="1"/>
  <c r="F18741" i="1"/>
  <c r="B18742" i="1"/>
  <c r="A18742" i="1"/>
  <c r="E18742" i="1"/>
  <c r="F18742" i="1"/>
  <c r="B18743" i="1"/>
  <c r="A18743" i="1"/>
  <c r="E18743" i="1"/>
  <c r="F18743" i="1"/>
  <c r="B18744" i="1"/>
  <c r="A18744" i="1"/>
  <c r="E18744" i="1"/>
  <c r="F18744" i="1"/>
  <c r="B18745" i="1"/>
  <c r="A18745" i="1"/>
  <c r="E18745" i="1"/>
  <c r="F18745" i="1"/>
  <c r="B18746" i="1"/>
  <c r="A18746" i="1"/>
  <c r="E18746" i="1"/>
  <c r="F18746" i="1"/>
  <c r="B18747" i="1"/>
  <c r="A18747" i="1"/>
  <c r="E18747" i="1"/>
  <c r="F18747" i="1"/>
  <c r="B18748" i="1"/>
  <c r="A18748" i="1"/>
  <c r="E18748" i="1"/>
  <c r="F18748" i="1"/>
  <c r="B18749" i="1"/>
  <c r="A18749" i="1"/>
  <c r="E18749" i="1"/>
  <c r="F18749" i="1"/>
  <c r="B18750" i="1"/>
  <c r="A18750" i="1"/>
  <c r="E18750" i="1"/>
  <c r="B18751" i="1"/>
  <c r="A18751" i="1"/>
  <c r="E18751" i="1"/>
  <c r="B18752" i="1"/>
  <c r="A18752" i="1"/>
  <c r="E18752" i="1"/>
  <c r="B18753" i="1"/>
  <c r="A18753" i="1"/>
  <c r="E18753" i="1"/>
  <c r="B18754" i="1"/>
  <c r="A18754" i="1"/>
  <c r="E18754" i="1"/>
  <c r="B18755" i="1"/>
  <c r="A18755" i="1"/>
  <c r="E18755" i="1"/>
  <c r="F18755" i="1"/>
  <c r="B18756" i="1"/>
  <c r="A18756" i="1"/>
  <c r="E18756" i="1"/>
  <c r="F18756" i="1"/>
  <c r="G18756" i="1"/>
  <c r="B18757" i="1"/>
  <c r="A18757" i="1"/>
  <c r="E18757" i="1"/>
  <c r="F18757" i="1"/>
  <c r="G18757" i="1"/>
  <c r="B18758" i="1"/>
  <c r="A18758" i="1"/>
  <c r="E18758" i="1"/>
  <c r="F18758" i="1"/>
  <c r="G18758" i="1"/>
  <c r="B18759" i="1"/>
  <c r="A18759" i="1"/>
  <c r="E18759" i="1"/>
  <c r="F18759" i="1"/>
  <c r="G18759" i="1"/>
  <c r="B18760" i="1"/>
  <c r="A18760" i="1"/>
  <c r="E18760" i="1"/>
  <c r="F18760" i="1"/>
  <c r="B18761" i="1"/>
  <c r="A18761" i="1"/>
  <c r="E18761" i="1"/>
  <c r="F18761" i="1"/>
  <c r="B18762" i="1"/>
  <c r="A18762" i="1"/>
  <c r="E18762" i="1"/>
  <c r="F18762" i="1"/>
  <c r="G18762" i="1"/>
  <c r="B18763" i="1"/>
  <c r="A18763" i="1"/>
  <c r="E18763" i="1"/>
  <c r="F18763" i="1"/>
  <c r="G18763" i="1"/>
  <c r="B18764" i="1"/>
  <c r="A18764" i="1"/>
  <c r="E18764" i="1"/>
  <c r="F18764" i="1"/>
  <c r="G18764" i="1"/>
  <c r="B18765" i="1"/>
  <c r="A18765" i="1"/>
  <c r="E18765" i="1"/>
  <c r="F18765" i="1"/>
  <c r="G18765" i="1"/>
  <c r="B18766" i="1"/>
  <c r="A18766" i="1"/>
  <c r="E18766" i="1"/>
  <c r="F18766" i="1"/>
  <c r="G18766" i="1"/>
  <c r="B18767" i="1"/>
  <c r="A18767" i="1"/>
  <c r="E18767" i="1"/>
  <c r="F18767" i="1"/>
  <c r="G18767" i="1"/>
  <c r="B18768" i="1"/>
  <c r="A18768" i="1"/>
  <c r="E18768" i="1"/>
  <c r="F18768" i="1"/>
  <c r="G18768" i="1"/>
  <c r="B18769" i="1"/>
  <c r="A18769" i="1"/>
  <c r="E18769" i="1"/>
  <c r="F18769" i="1"/>
  <c r="G18769" i="1"/>
  <c r="B18770" i="1"/>
  <c r="A18770" i="1"/>
  <c r="E18770" i="1"/>
  <c r="F18770" i="1"/>
  <c r="B18771" i="1"/>
  <c r="A18771" i="1"/>
  <c r="E18771" i="1"/>
  <c r="F18771" i="1"/>
  <c r="G18771" i="1"/>
  <c r="B18772" i="1"/>
  <c r="A18772" i="1"/>
  <c r="E18772" i="1"/>
  <c r="F18772" i="1"/>
  <c r="B18773" i="1"/>
  <c r="A18773" i="1"/>
  <c r="E18773" i="1"/>
  <c r="F18773" i="1"/>
  <c r="B18774" i="1"/>
  <c r="A18774" i="1"/>
  <c r="E18774" i="1"/>
  <c r="B18775" i="1"/>
  <c r="A18775" i="1"/>
  <c r="E18775" i="1"/>
  <c r="B18776" i="1"/>
  <c r="A18776" i="1"/>
  <c r="E18776" i="1"/>
  <c r="B18777" i="1"/>
  <c r="A18777" i="1"/>
  <c r="E18777" i="1"/>
  <c r="B18778" i="1"/>
  <c r="A18778" i="1"/>
  <c r="E18778" i="1"/>
  <c r="B18779" i="1"/>
  <c r="A18779" i="1"/>
  <c r="E18779" i="1"/>
  <c r="G18779" i="1"/>
  <c r="B18780" i="1"/>
  <c r="A18780" i="1"/>
  <c r="E18780" i="1"/>
  <c r="B18781" i="1"/>
  <c r="A18781" i="1"/>
  <c r="E18781" i="1"/>
  <c r="B18782" i="1"/>
  <c r="A18782" i="1"/>
  <c r="E18782" i="1"/>
  <c r="G18782" i="1"/>
  <c r="B18783" i="1"/>
  <c r="A18783" i="1"/>
  <c r="E18783" i="1"/>
  <c r="B18784" i="1"/>
  <c r="A18784" i="1"/>
  <c r="E18784" i="1"/>
  <c r="B18785" i="1"/>
  <c r="A18785" i="1"/>
  <c r="E18785" i="1"/>
  <c r="B18786" i="1"/>
  <c r="A18786" i="1"/>
  <c r="E18786" i="1"/>
  <c r="B18787" i="1"/>
  <c r="A18787" i="1"/>
  <c r="E18787" i="1"/>
  <c r="B18788" i="1"/>
  <c r="A18788" i="1"/>
  <c r="E18788" i="1"/>
  <c r="B18789" i="1"/>
  <c r="A18789" i="1"/>
  <c r="E18789" i="1"/>
  <c r="B18790" i="1"/>
  <c r="A18790" i="1"/>
  <c r="E18790" i="1"/>
  <c r="B18791" i="1"/>
  <c r="A18791" i="1"/>
  <c r="E18791" i="1"/>
  <c r="B18792" i="1"/>
  <c r="A18792" i="1"/>
  <c r="E18792" i="1"/>
  <c r="B18793" i="1"/>
  <c r="A18793" i="1"/>
  <c r="E18793" i="1"/>
  <c r="B18794" i="1"/>
  <c r="A18794" i="1"/>
  <c r="E18794" i="1"/>
  <c r="B18795" i="1"/>
  <c r="A18795" i="1"/>
  <c r="E18795" i="1"/>
  <c r="B18796" i="1"/>
  <c r="A18796" i="1"/>
  <c r="E18796" i="1"/>
  <c r="B18797" i="1"/>
  <c r="A18797" i="1"/>
  <c r="E18797" i="1"/>
  <c r="B18798" i="1"/>
  <c r="A18798" i="1"/>
  <c r="E18798" i="1"/>
  <c r="B18799" i="1"/>
  <c r="A18799" i="1"/>
  <c r="E18799" i="1"/>
  <c r="A18800" i="1"/>
  <c r="E18800" i="1"/>
  <c r="B18801" i="1"/>
  <c r="A18801" i="1"/>
  <c r="E18801" i="1"/>
  <c r="B18802" i="1"/>
  <c r="A18802" i="1"/>
  <c r="E18802" i="1"/>
  <c r="A18803" i="1"/>
  <c r="E18803" i="1"/>
  <c r="B18804" i="1"/>
  <c r="A18804" i="1"/>
  <c r="E18804" i="1"/>
  <c r="F18804" i="1"/>
  <c r="G18804" i="1"/>
  <c r="B18805" i="1"/>
  <c r="A18805" i="1"/>
  <c r="E18805" i="1"/>
  <c r="F18805" i="1"/>
  <c r="G18805" i="1"/>
  <c r="B18806" i="1"/>
  <c r="A18806" i="1"/>
  <c r="E18806" i="1"/>
  <c r="G18806" i="1"/>
  <c r="B18807" i="1"/>
  <c r="A18807" i="1"/>
  <c r="E18807" i="1"/>
  <c r="B18808" i="1"/>
  <c r="A18808" i="1"/>
  <c r="E18808" i="1"/>
  <c r="B18809" i="1"/>
  <c r="A18809" i="1"/>
  <c r="E18809" i="1"/>
  <c r="B18810" i="1"/>
  <c r="A18810" i="1"/>
  <c r="E18810" i="1"/>
  <c r="A18811" i="1"/>
  <c r="E18811" i="1"/>
  <c r="G18811" i="1"/>
  <c r="B18812" i="1"/>
  <c r="A18812" i="1"/>
  <c r="E18812" i="1"/>
  <c r="B18813" i="1"/>
  <c r="A18813" i="1"/>
  <c r="E18813" i="1"/>
  <c r="B18814" i="1"/>
  <c r="A18814" i="1"/>
  <c r="E18814" i="1"/>
  <c r="B18815" i="1"/>
  <c r="A18815" i="1"/>
  <c r="E18815" i="1"/>
  <c r="B18816" i="1"/>
  <c r="A18816" i="1"/>
  <c r="E18816" i="1"/>
  <c r="B18817" i="1"/>
  <c r="A18817" i="1"/>
  <c r="E18817" i="1"/>
  <c r="B18818" i="1"/>
  <c r="A18818" i="1"/>
  <c r="E18818" i="1"/>
  <c r="B18819" i="1"/>
  <c r="A18819" i="1"/>
  <c r="E18819" i="1"/>
  <c r="B18820" i="1"/>
  <c r="A18820" i="1"/>
  <c r="E18820" i="1"/>
  <c r="B18821" i="1"/>
  <c r="A18821" i="1"/>
  <c r="E18821" i="1"/>
  <c r="G18821" i="1"/>
  <c r="B18822" i="1"/>
  <c r="A18822" i="1"/>
  <c r="E18822" i="1"/>
  <c r="B18823" i="1"/>
  <c r="A18823" i="1"/>
  <c r="E18823" i="1"/>
  <c r="B18824" i="1"/>
  <c r="A18824" i="1"/>
  <c r="E18824" i="1"/>
  <c r="B18825" i="1"/>
  <c r="A18825" i="1"/>
  <c r="E18825" i="1"/>
  <c r="G18825" i="1"/>
  <c r="B18826" i="1"/>
  <c r="A18826" i="1"/>
  <c r="E18826" i="1"/>
  <c r="B18827" i="1"/>
  <c r="A18827" i="1"/>
  <c r="E18827" i="1"/>
  <c r="B18828" i="1"/>
  <c r="A18828" i="1"/>
  <c r="E18828" i="1"/>
  <c r="B18829" i="1"/>
  <c r="A18829" i="1"/>
  <c r="E18829" i="1"/>
  <c r="B18830" i="1"/>
  <c r="A18830" i="1"/>
  <c r="E18830" i="1"/>
  <c r="B18831" i="1"/>
  <c r="A18831" i="1"/>
  <c r="E18831" i="1"/>
  <c r="B18832" i="1"/>
  <c r="A18832" i="1"/>
  <c r="E18832" i="1"/>
  <c r="B18833" i="1"/>
  <c r="A18833" i="1"/>
  <c r="E18833" i="1"/>
  <c r="B18834" i="1"/>
  <c r="A18834" i="1"/>
  <c r="E18834" i="1"/>
  <c r="B18835" i="1"/>
  <c r="A18835" i="1"/>
  <c r="E18835" i="1"/>
  <c r="B18836" i="1"/>
  <c r="A18836" i="1"/>
  <c r="E18836" i="1"/>
  <c r="B18837" i="1"/>
  <c r="A18837" i="1"/>
  <c r="E18837" i="1"/>
  <c r="B18838" i="1"/>
  <c r="A18838" i="1"/>
  <c r="E18838" i="1"/>
  <c r="B18839" i="1"/>
  <c r="A18839" i="1"/>
  <c r="E18839" i="1"/>
  <c r="B18840" i="1"/>
  <c r="A18840" i="1"/>
  <c r="E18840" i="1"/>
  <c r="B18841" i="1"/>
  <c r="A18841" i="1"/>
  <c r="E18841" i="1"/>
  <c r="F18841" i="1"/>
  <c r="G18841" i="1"/>
  <c r="B18842" i="1"/>
  <c r="A18842" i="1"/>
  <c r="E18842" i="1"/>
  <c r="F18842" i="1"/>
  <c r="B18843" i="1"/>
  <c r="A18843" i="1"/>
  <c r="E18843" i="1"/>
  <c r="F18843" i="1"/>
  <c r="G18843" i="1"/>
  <c r="B18844" i="1"/>
  <c r="A18844" i="1"/>
  <c r="E18844" i="1"/>
  <c r="F18844" i="1"/>
  <c r="G18844" i="1"/>
  <c r="B18845" i="1"/>
  <c r="A18845" i="1"/>
  <c r="E18845" i="1"/>
  <c r="B18846" i="1"/>
  <c r="A18846" i="1"/>
  <c r="E18846" i="1"/>
  <c r="B18847" i="1"/>
  <c r="A18847" i="1"/>
  <c r="E18847" i="1"/>
  <c r="B18848" i="1"/>
  <c r="A18848" i="1"/>
  <c r="E18848" i="1"/>
  <c r="B18849" i="1"/>
  <c r="A18849" i="1"/>
  <c r="E18849" i="1"/>
  <c r="B18850" i="1"/>
  <c r="A18850" i="1"/>
  <c r="E18850" i="1"/>
  <c r="B18851" i="1"/>
  <c r="A18851" i="1"/>
  <c r="E18851" i="1"/>
  <c r="G18851" i="1"/>
  <c r="B18852" i="1"/>
  <c r="A18852" i="1"/>
  <c r="E18852" i="1"/>
  <c r="F18852" i="1"/>
  <c r="B18853" i="1"/>
  <c r="A18853" i="1"/>
  <c r="E18853" i="1"/>
  <c r="F18853" i="1"/>
  <c r="G18853" i="1"/>
  <c r="B18854" i="1"/>
  <c r="A18854" i="1"/>
  <c r="E18854" i="1"/>
  <c r="F18854" i="1"/>
  <c r="B18855" i="1"/>
  <c r="A18855" i="1"/>
  <c r="E18855" i="1"/>
  <c r="F18855" i="1"/>
  <c r="B18856" i="1"/>
  <c r="A18856" i="1"/>
  <c r="E18856" i="1"/>
  <c r="F18856" i="1"/>
  <c r="G18856" i="1"/>
  <c r="B18857" i="1"/>
  <c r="A18857" i="1"/>
  <c r="E18857" i="1"/>
  <c r="F18857" i="1"/>
  <c r="B18858" i="1"/>
  <c r="A18858" i="1"/>
  <c r="E18858" i="1"/>
  <c r="F18858" i="1"/>
  <c r="B18859" i="1"/>
  <c r="A18859" i="1"/>
  <c r="E18859" i="1"/>
  <c r="F18859" i="1"/>
  <c r="B18860" i="1"/>
  <c r="A18860" i="1"/>
  <c r="E18860" i="1"/>
  <c r="F18860" i="1"/>
  <c r="G18860" i="1"/>
  <c r="B18861" i="1"/>
  <c r="A18861" i="1"/>
  <c r="E18861" i="1"/>
  <c r="F18861" i="1"/>
  <c r="B18862" i="1"/>
  <c r="A18862" i="1"/>
  <c r="E18862" i="1"/>
  <c r="F18862" i="1"/>
  <c r="G18862" i="1"/>
  <c r="B18863" i="1"/>
  <c r="A18863" i="1"/>
  <c r="E18863" i="1"/>
  <c r="F18863" i="1"/>
  <c r="B18864" i="1"/>
  <c r="A18864" i="1"/>
  <c r="E18864" i="1"/>
  <c r="B18865" i="1"/>
  <c r="A18865" i="1"/>
  <c r="E18865" i="1"/>
  <c r="F18865" i="1"/>
  <c r="B18866" i="1"/>
  <c r="A18866" i="1"/>
  <c r="E18866" i="1"/>
  <c r="B18867" i="1"/>
  <c r="A18867" i="1"/>
  <c r="E18867" i="1"/>
  <c r="B18868" i="1"/>
  <c r="A18868" i="1"/>
  <c r="E18868" i="1"/>
  <c r="B18869" i="1"/>
  <c r="A18869" i="1"/>
  <c r="E18869" i="1"/>
  <c r="B18870" i="1"/>
  <c r="A18870" i="1"/>
  <c r="E18870" i="1"/>
  <c r="B18871" i="1"/>
  <c r="A18871" i="1"/>
  <c r="E18871" i="1"/>
  <c r="B18872" i="1"/>
  <c r="A18872" i="1"/>
  <c r="E18872" i="1"/>
  <c r="B18873" i="1"/>
  <c r="A18873" i="1"/>
  <c r="E18873" i="1"/>
  <c r="B18874" i="1"/>
  <c r="A18874" i="1"/>
  <c r="E18874" i="1"/>
  <c r="B18875" i="1"/>
  <c r="A18875" i="1"/>
  <c r="E18875" i="1"/>
  <c r="B18876" i="1"/>
  <c r="A18876" i="1"/>
  <c r="E18876" i="1"/>
  <c r="B18877" i="1"/>
  <c r="A18877" i="1"/>
  <c r="E18877" i="1"/>
  <c r="B18878" i="1"/>
  <c r="A18878" i="1"/>
  <c r="E18878" i="1"/>
  <c r="B18879" i="1"/>
  <c r="A18879" i="1"/>
  <c r="E18879" i="1"/>
  <c r="B18880" i="1"/>
  <c r="A18880" i="1"/>
  <c r="E18880" i="1"/>
  <c r="B18881" i="1"/>
  <c r="A18881" i="1"/>
  <c r="E18881" i="1"/>
  <c r="B18882" i="1"/>
  <c r="A18882" i="1"/>
  <c r="E18882" i="1"/>
  <c r="B18883" i="1"/>
  <c r="A18883" i="1"/>
  <c r="E18883" i="1"/>
  <c r="B18884" i="1"/>
  <c r="A18884" i="1"/>
  <c r="E18884" i="1"/>
  <c r="B18885" i="1"/>
  <c r="A18885" i="1"/>
  <c r="E18885" i="1"/>
  <c r="B18886" i="1"/>
  <c r="A18886" i="1"/>
  <c r="E18886" i="1"/>
  <c r="A18887" i="1"/>
  <c r="E18887" i="1"/>
  <c r="B18888" i="1"/>
  <c r="A18888" i="1"/>
  <c r="E18888" i="1"/>
  <c r="B18889" i="1"/>
  <c r="A18889" i="1"/>
  <c r="E18889" i="1"/>
  <c r="B18890" i="1"/>
  <c r="A18890" i="1"/>
  <c r="E18890" i="1"/>
  <c r="B18891" i="1"/>
  <c r="A18891" i="1"/>
  <c r="E18891" i="1"/>
  <c r="G18891" i="1"/>
  <c r="B18892" i="1"/>
  <c r="A18892" i="1"/>
  <c r="E18892" i="1"/>
  <c r="B18893" i="1"/>
  <c r="A18893" i="1"/>
  <c r="E18893" i="1"/>
  <c r="B18894" i="1"/>
  <c r="A18894" i="1"/>
  <c r="E18894" i="1"/>
  <c r="B18895" i="1"/>
  <c r="A18895" i="1"/>
  <c r="E18895" i="1"/>
  <c r="B18896" i="1"/>
  <c r="A18896" i="1"/>
  <c r="E18896" i="1"/>
  <c r="B18897" i="1"/>
  <c r="A18897" i="1"/>
  <c r="E18897" i="1"/>
  <c r="B18898" i="1"/>
  <c r="A18898" i="1"/>
  <c r="E18898" i="1"/>
  <c r="B18899" i="1"/>
  <c r="A18899" i="1"/>
  <c r="E18899" i="1"/>
  <c r="B18900" i="1"/>
  <c r="A18900" i="1"/>
  <c r="E18900" i="1"/>
  <c r="B18901" i="1"/>
  <c r="A18901" i="1"/>
  <c r="E18901" i="1"/>
  <c r="B18902" i="1"/>
  <c r="A18902" i="1"/>
  <c r="E18902" i="1"/>
  <c r="B18903" i="1"/>
  <c r="A18903" i="1"/>
  <c r="E18903" i="1"/>
  <c r="B18904" i="1"/>
  <c r="A18904" i="1"/>
  <c r="E18904" i="1"/>
  <c r="B18905" i="1"/>
  <c r="A18905" i="1"/>
  <c r="E18905" i="1"/>
  <c r="F18905" i="1"/>
  <c r="B18906" i="1"/>
  <c r="A18906" i="1"/>
  <c r="E18906" i="1"/>
  <c r="F18906" i="1"/>
  <c r="B18907" i="1"/>
  <c r="A18907" i="1"/>
  <c r="E18907" i="1"/>
  <c r="F18907" i="1"/>
  <c r="B18908" i="1"/>
  <c r="A18908" i="1"/>
  <c r="E18908" i="1"/>
  <c r="F18908" i="1"/>
  <c r="B18909" i="1"/>
  <c r="A18909" i="1"/>
  <c r="E18909" i="1"/>
  <c r="F18909" i="1"/>
  <c r="G18909" i="1"/>
  <c r="B18910" i="1"/>
  <c r="A18910" i="1"/>
  <c r="E18910" i="1"/>
  <c r="F18910" i="1"/>
  <c r="B18911" i="1"/>
  <c r="A18911" i="1"/>
  <c r="E18911" i="1"/>
  <c r="F18911" i="1"/>
  <c r="G18911" i="1"/>
  <c r="B18912" i="1"/>
  <c r="A18912" i="1"/>
  <c r="E18912" i="1"/>
  <c r="F18912" i="1"/>
  <c r="B18913" i="1"/>
  <c r="A18913" i="1"/>
  <c r="E18913" i="1"/>
  <c r="F18913" i="1"/>
  <c r="B18914" i="1"/>
  <c r="A18914" i="1"/>
  <c r="E18914" i="1"/>
  <c r="F18914" i="1"/>
  <c r="B18915" i="1"/>
  <c r="A18915" i="1"/>
  <c r="E18915" i="1"/>
  <c r="F18915" i="1"/>
  <c r="B18916" i="1"/>
  <c r="A18916" i="1"/>
  <c r="E18916" i="1"/>
  <c r="F18916" i="1"/>
  <c r="B18917" i="1"/>
  <c r="A18917" i="1"/>
  <c r="E18917" i="1"/>
  <c r="B18918" i="1"/>
  <c r="A18918" i="1"/>
  <c r="E18918" i="1"/>
  <c r="B18919" i="1"/>
  <c r="A18919" i="1"/>
  <c r="E18919" i="1"/>
  <c r="B18920" i="1"/>
  <c r="A18920" i="1"/>
  <c r="E18920" i="1"/>
  <c r="B18921" i="1"/>
  <c r="A18921" i="1"/>
  <c r="E18921" i="1"/>
  <c r="B18922" i="1"/>
  <c r="A18922" i="1"/>
  <c r="E18922" i="1"/>
  <c r="B18923" i="1"/>
  <c r="A18923" i="1"/>
  <c r="E18923" i="1"/>
  <c r="B18924" i="1"/>
  <c r="A18924" i="1"/>
  <c r="E18924" i="1"/>
  <c r="B18925" i="1"/>
  <c r="A18925" i="1"/>
  <c r="E18925" i="1"/>
  <c r="B18926" i="1"/>
  <c r="A18926" i="1"/>
  <c r="E18926" i="1"/>
  <c r="B18927" i="1"/>
  <c r="A18927" i="1"/>
  <c r="E18927" i="1"/>
  <c r="B18928" i="1"/>
  <c r="A18928" i="1"/>
  <c r="E18928" i="1"/>
  <c r="B18929" i="1"/>
  <c r="A18929" i="1"/>
  <c r="E18929" i="1"/>
  <c r="B18930" i="1"/>
  <c r="A18930" i="1"/>
  <c r="E18930" i="1"/>
  <c r="B18931" i="1"/>
  <c r="A18931" i="1"/>
  <c r="E18931" i="1"/>
  <c r="B18932" i="1"/>
  <c r="A18932" i="1"/>
  <c r="E18932" i="1"/>
  <c r="B18933" i="1"/>
  <c r="A18933" i="1"/>
  <c r="E18933" i="1"/>
  <c r="B18934" i="1"/>
  <c r="A18934" i="1"/>
  <c r="E18934" i="1"/>
  <c r="B18935" i="1"/>
  <c r="A18935" i="1"/>
  <c r="E18935" i="1"/>
  <c r="B18936" i="1"/>
  <c r="A18936" i="1"/>
  <c r="E18936" i="1"/>
  <c r="B18937" i="1"/>
  <c r="A18937" i="1"/>
  <c r="E18937" i="1"/>
  <c r="G18937" i="1"/>
  <c r="B18938" i="1"/>
  <c r="A18938" i="1"/>
  <c r="E18938" i="1"/>
  <c r="B18939" i="1"/>
  <c r="A18939" i="1"/>
  <c r="E18939" i="1"/>
  <c r="B18940" i="1"/>
  <c r="A18940" i="1"/>
  <c r="E18940" i="1"/>
  <c r="B18941" i="1"/>
  <c r="A18941" i="1"/>
  <c r="E18941" i="1"/>
  <c r="F18941" i="1"/>
  <c r="B18942" i="1"/>
  <c r="A18942" i="1"/>
  <c r="E18942" i="1"/>
  <c r="F18942" i="1"/>
  <c r="B18943" i="1"/>
  <c r="A18943" i="1"/>
  <c r="E18943" i="1"/>
  <c r="F18943" i="1"/>
  <c r="B18944" i="1"/>
  <c r="A18944" i="1"/>
  <c r="E18944" i="1"/>
  <c r="F18944" i="1"/>
  <c r="B18945" i="1"/>
  <c r="A18945" i="1"/>
  <c r="E18945" i="1"/>
  <c r="F18945" i="1"/>
  <c r="B18946" i="1"/>
  <c r="A18946" i="1"/>
  <c r="E18946" i="1"/>
  <c r="F18946" i="1"/>
  <c r="B18947" i="1"/>
  <c r="A18947" i="1"/>
  <c r="E18947" i="1"/>
  <c r="F18947" i="1"/>
  <c r="B18948" i="1"/>
  <c r="A18948" i="1"/>
  <c r="E18948" i="1"/>
  <c r="F18948" i="1"/>
  <c r="B18949" i="1"/>
  <c r="A18949" i="1"/>
  <c r="E18949" i="1"/>
  <c r="F18949" i="1"/>
  <c r="B18950" i="1"/>
  <c r="A18950" i="1"/>
  <c r="E18950" i="1"/>
  <c r="F18950" i="1"/>
  <c r="B18951" i="1"/>
  <c r="A18951" i="1"/>
  <c r="E18951" i="1"/>
  <c r="F18951" i="1"/>
  <c r="B18952" i="1"/>
  <c r="A18952" i="1"/>
  <c r="E18952" i="1"/>
  <c r="F18952" i="1"/>
  <c r="B18953" i="1"/>
  <c r="A18953" i="1"/>
  <c r="E18953" i="1"/>
  <c r="F18953" i="1"/>
  <c r="B18954" i="1"/>
  <c r="A18954" i="1"/>
  <c r="E18954" i="1"/>
  <c r="F18954" i="1"/>
  <c r="B18955" i="1"/>
  <c r="A18955" i="1"/>
  <c r="E18955" i="1"/>
  <c r="F18955" i="1"/>
  <c r="B18956" i="1"/>
  <c r="A18956" i="1"/>
  <c r="E18956" i="1"/>
  <c r="F18956" i="1"/>
  <c r="B18957" i="1"/>
  <c r="A18957" i="1"/>
  <c r="E18957" i="1"/>
  <c r="F18957" i="1"/>
  <c r="B18958" i="1"/>
  <c r="A18958" i="1"/>
  <c r="E18958" i="1"/>
  <c r="F18958" i="1"/>
  <c r="B18959" i="1"/>
  <c r="A18959" i="1"/>
  <c r="E18959" i="1"/>
  <c r="F18959" i="1"/>
  <c r="B18960" i="1"/>
  <c r="A18960" i="1"/>
  <c r="E18960" i="1"/>
  <c r="F18960" i="1"/>
  <c r="B18961" i="1"/>
  <c r="A18961" i="1"/>
  <c r="E18961" i="1"/>
  <c r="F18961" i="1"/>
  <c r="B18962" i="1"/>
  <c r="A18962" i="1"/>
  <c r="E18962" i="1"/>
  <c r="F18962" i="1"/>
  <c r="B18963" i="1"/>
  <c r="A18963" i="1"/>
  <c r="E18963" i="1"/>
  <c r="F18963" i="1"/>
  <c r="B18964" i="1"/>
  <c r="A18964" i="1"/>
  <c r="E18964" i="1"/>
  <c r="F18964" i="1"/>
  <c r="B18965" i="1"/>
  <c r="A18965" i="1"/>
  <c r="E18965" i="1"/>
  <c r="F18965" i="1"/>
  <c r="B18966" i="1"/>
  <c r="A18966" i="1"/>
  <c r="E18966" i="1"/>
  <c r="F18966" i="1"/>
  <c r="B18967" i="1"/>
  <c r="A18967" i="1"/>
  <c r="E18967" i="1"/>
  <c r="F18967" i="1"/>
  <c r="B18968" i="1"/>
  <c r="A18968" i="1"/>
  <c r="E18968" i="1"/>
  <c r="F18968" i="1"/>
  <c r="B18969" i="1"/>
  <c r="A18969" i="1"/>
  <c r="E18969" i="1"/>
  <c r="F18969" i="1"/>
  <c r="B18970" i="1"/>
  <c r="A18970" i="1"/>
  <c r="E18970" i="1"/>
  <c r="F18970" i="1"/>
  <c r="B18971" i="1"/>
  <c r="A18971" i="1"/>
  <c r="E18971" i="1"/>
  <c r="F18971" i="1"/>
  <c r="B18972" i="1"/>
  <c r="A18972" i="1"/>
  <c r="E18972" i="1"/>
  <c r="F18972" i="1"/>
  <c r="B18973" i="1"/>
  <c r="A18973" i="1"/>
  <c r="E18973" i="1"/>
  <c r="F18973" i="1"/>
  <c r="B18974" i="1"/>
  <c r="A18974" i="1"/>
  <c r="E18974" i="1"/>
  <c r="F18974" i="1"/>
  <c r="B18975" i="1"/>
  <c r="A18975" i="1"/>
  <c r="E18975" i="1"/>
  <c r="F18975" i="1"/>
  <c r="B18976" i="1"/>
  <c r="A18976" i="1"/>
  <c r="E18976" i="1"/>
  <c r="F18976" i="1"/>
  <c r="B18977" i="1"/>
  <c r="A18977" i="1"/>
  <c r="E18977" i="1"/>
  <c r="F18977" i="1"/>
  <c r="B18978" i="1"/>
  <c r="A18978" i="1"/>
  <c r="E18978" i="1"/>
  <c r="F18978" i="1"/>
  <c r="B18979" i="1"/>
  <c r="A18979" i="1"/>
  <c r="E18979" i="1"/>
  <c r="F18979" i="1"/>
  <c r="B18980" i="1"/>
  <c r="A18980" i="1"/>
  <c r="E18980" i="1"/>
  <c r="F18980" i="1"/>
  <c r="B18981" i="1"/>
  <c r="A18981" i="1"/>
  <c r="E18981" i="1"/>
  <c r="F18981" i="1"/>
  <c r="B18982" i="1"/>
  <c r="A18982" i="1"/>
  <c r="E18982" i="1"/>
  <c r="F18982" i="1"/>
  <c r="B18983" i="1"/>
  <c r="A18983" i="1"/>
  <c r="E18983" i="1"/>
  <c r="F18983" i="1"/>
  <c r="B18984" i="1"/>
  <c r="A18984" i="1"/>
  <c r="E18984" i="1"/>
  <c r="F18984" i="1"/>
  <c r="B18985" i="1"/>
  <c r="A18985" i="1"/>
  <c r="E18985" i="1"/>
  <c r="F18985" i="1"/>
  <c r="B18986" i="1"/>
  <c r="A18986" i="1"/>
  <c r="E18986" i="1"/>
  <c r="F18986" i="1"/>
  <c r="B18987" i="1"/>
  <c r="A18987" i="1"/>
  <c r="E18987" i="1"/>
  <c r="F18987" i="1"/>
  <c r="B18988" i="1"/>
  <c r="A18988" i="1"/>
  <c r="E18988" i="1"/>
  <c r="F18988" i="1"/>
  <c r="B18989" i="1"/>
  <c r="A18989" i="1"/>
  <c r="E18989" i="1"/>
  <c r="F18989" i="1"/>
  <c r="B18990" i="1"/>
  <c r="A18990" i="1"/>
  <c r="E18990" i="1"/>
  <c r="F18990" i="1"/>
  <c r="B18991" i="1"/>
  <c r="A18991" i="1"/>
  <c r="E18991" i="1"/>
  <c r="F18991" i="1"/>
  <c r="B18992" i="1"/>
  <c r="A18992" i="1"/>
  <c r="E18992" i="1"/>
  <c r="F18992" i="1"/>
  <c r="B18993" i="1"/>
  <c r="A18993" i="1"/>
  <c r="E18993" i="1"/>
  <c r="F18993" i="1"/>
  <c r="B18994" i="1"/>
  <c r="A18994" i="1"/>
  <c r="E18994" i="1"/>
  <c r="F18994" i="1"/>
  <c r="B18995" i="1"/>
  <c r="A18995" i="1"/>
  <c r="E18995" i="1"/>
  <c r="F18995" i="1"/>
  <c r="B18996" i="1"/>
  <c r="A18996" i="1"/>
  <c r="E18996" i="1"/>
  <c r="F18996" i="1"/>
  <c r="B18997" i="1"/>
  <c r="A18997" i="1"/>
  <c r="E18997" i="1"/>
  <c r="F18997" i="1"/>
  <c r="B18998" i="1"/>
  <c r="A18998" i="1"/>
  <c r="E18998" i="1"/>
  <c r="F18998" i="1"/>
  <c r="B18999" i="1"/>
  <c r="A18999" i="1"/>
  <c r="E18999" i="1"/>
  <c r="F18999" i="1"/>
  <c r="B19000" i="1"/>
  <c r="A19000" i="1"/>
  <c r="E19000" i="1"/>
  <c r="F19000" i="1"/>
  <c r="B19001" i="1"/>
  <c r="A19001" i="1"/>
  <c r="E19001" i="1"/>
  <c r="F19001" i="1"/>
  <c r="B19002" i="1"/>
  <c r="A19002" i="1"/>
  <c r="E19002" i="1"/>
  <c r="F19002" i="1"/>
  <c r="B19003" i="1"/>
  <c r="A19003" i="1"/>
  <c r="E19003" i="1"/>
  <c r="F19003" i="1"/>
  <c r="B19004" i="1"/>
  <c r="A19004" i="1"/>
  <c r="E19004" i="1"/>
  <c r="F19004" i="1"/>
  <c r="B19005" i="1"/>
  <c r="A19005" i="1"/>
  <c r="E19005" i="1"/>
  <c r="F19005" i="1"/>
  <c r="B19006" i="1"/>
  <c r="A19006" i="1"/>
  <c r="E19006" i="1"/>
  <c r="F19006" i="1"/>
  <c r="B19007" i="1"/>
  <c r="A19007" i="1"/>
  <c r="E19007" i="1"/>
  <c r="F19007" i="1"/>
  <c r="B19008" i="1"/>
  <c r="A19008" i="1"/>
  <c r="E19008" i="1"/>
  <c r="F19008" i="1"/>
  <c r="B19009" i="1"/>
  <c r="A19009" i="1"/>
  <c r="E19009" i="1"/>
  <c r="F19009" i="1"/>
  <c r="B19010" i="1"/>
  <c r="A19010" i="1"/>
  <c r="E19010" i="1"/>
  <c r="F19010" i="1"/>
  <c r="B19011" i="1"/>
  <c r="A19011" i="1"/>
  <c r="E19011" i="1"/>
  <c r="F19011" i="1"/>
  <c r="B19012" i="1"/>
  <c r="A19012" i="1"/>
  <c r="E19012" i="1"/>
  <c r="F19012" i="1"/>
  <c r="B19013" i="1"/>
  <c r="A19013" i="1"/>
  <c r="E19013" i="1"/>
  <c r="F19013" i="1"/>
  <c r="B19014" i="1"/>
  <c r="A19014" i="1"/>
  <c r="E19014" i="1"/>
  <c r="F19014" i="1"/>
  <c r="B19015" i="1"/>
  <c r="A19015" i="1"/>
  <c r="E19015" i="1"/>
  <c r="F19015" i="1"/>
  <c r="B19016" i="1"/>
  <c r="A19016" i="1"/>
  <c r="E19016" i="1"/>
  <c r="F19016" i="1"/>
  <c r="B19017" i="1"/>
  <c r="A19017" i="1"/>
  <c r="E19017" i="1"/>
  <c r="F19017" i="1"/>
  <c r="B19018" i="1"/>
  <c r="A19018" i="1"/>
  <c r="E19018" i="1"/>
  <c r="F19018" i="1"/>
  <c r="B19019" i="1"/>
  <c r="A19019" i="1"/>
  <c r="E19019" i="1"/>
  <c r="F19019" i="1"/>
  <c r="B19020" i="1"/>
  <c r="A19020" i="1"/>
  <c r="E19020" i="1"/>
  <c r="F19020" i="1"/>
  <c r="B19021" i="1"/>
  <c r="A19021" i="1"/>
  <c r="E19021" i="1"/>
  <c r="F19021" i="1"/>
  <c r="B19022" i="1"/>
  <c r="A19022" i="1"/>
  <c r="E19022" i="1"/>
  <c r="F19022" i="1"/>
  <c r="B19023" i="1"/>
  <c r="A19023" i="1"/>
  <c r="E19023" i="1"/>
  <c r="F19023" i="1"/>
  <c r="B19024" i="1"/>
  <c r="A19024" i="1"/>
  <c r="E19024" i="1"/>
  <c r="F19024" i="1"/>
  <c r="B19025" i="1"/>
  <c r="A19025" i="1"/>
  <c r="E19025" i="1"/>
  <c r="F19025" i="1"/>
  <c r="B19026" i="1"/>
  <c r="A19026" i="1"/>
  <c r="E19026" i="1"/>
  <c r="F19026" i="1"/>
  <c r="B19027" i="1"/>
  <c r="A19027" i="1"/>
  <c r="E19027" i="1"/>
  <c r="F19027" i="1"/>
  <c r="B19028" i="1"/>
  <c r="A19028" i="1"/>
  <c r="E19028" i="1"/>
  <c r="F19028" i="1"/>
  <c r="B19029" i="1"/>
  <c r="A19029" i="1"/>
  <c r="E19029" i="1"/>
  <c r="F19029" i="1"/>
  <c r="B19030" i="1"/>
  <c r="A19030" i="1"/>
  <c r="E19030" i="1"/>
  <c r="F19030" i="1"/>
  <c r="B19031" i="1"/>
  <c r="A19031" i="1"/>
  <c r="E19031" i="1"/>
  <c r="F19031" i="1"/>
  <c r="B19032" i="1"/>
  <c r="A19032" i="1"/>
  <c r="E19032" i="1"/>
  <c r="F19032" i="1"/>
  <c r="B19033" i="1"/>
  <c r="A19033" i="1"/>
  <c r="E19033" i="1"/>
  <c r="F19033" i="1"/>
  <c r="B19034" i="1"/>
  <c r="A19034" i="1"/>
  <c r="E19034" i="1"/>
  <c r="F19034" i="1"/>
  <c r="B19035" i="1"/>
  <c r="A19035" i="1"/>
  <c r="E19035" i="1"/>
  <c r="F19035" i="1"/>
  <c r="B19036" i="1"/>
  <c r="A19036" i="1"/>
  <c r="E19036" i="1"/>
  <c r="F19036" i="1"/>
  <c r="B19037" i="1"/>
  <c r="A19037" i="1"/>
  <c r="E19037" i="1"/>
  <c r="F19037" i="1"/>
  <c r="B19038" i="1"/>
  <c r="A19038" i="1"/>
  <c r="E19038" i="1"/>
  <c r="F19038" i="1"/>
  <c r="B19039" i="1"/>
  <c r="A19039" i="1"/>
  <c r="E19039" i="1"/>
  <c r="F19039" i="1"/>
  <c r="B19040" i="1"/>
  <c r="A19040" i="1"/>
  <c r="E19040" i="1"/>
  <c r="F19040" i="1"/>
  <c r="B19041" i="1"/>
  <c r="A19041" i="1"/>
  <c r="E19041" i="1"/>
  <c r="F19041" i="1"/>
  <c r="B19042" i="1"/>
  <c r="A19042" i="1"/>
  <c r="E19042" i="1"/>
  <c r="F19042" i="1"/>
  <c r="B19043" i="1"/>
  <c r="A19043" i="1"/>
  <c r="E19043" i="1"/>
  <c r="F19043" i="1"/>
  <c r="B19044" i="1"/>
  <c r="A19044" i="1"/>
  <c r="E19044" i="1"/>
  <c r="F19044" i="1"/>
  <c r="B19045" i="1"/>
  <c r="A19045" i="1"/>
  <c r="E19045" i="1"/>
  <c r="F19045" i="1"/>
  <c r="B19046" i="1"/>
  <c r="A19046" i="1"/>
  <c r="E19046" i="1"/>
  <c r="F19046" i="1"/>
  <c r="B19047" i="1"/>
  <c r="A19047" i="1"/>
  <c r="E19047" i="1"/>
  <c r="F19047" i="1"/>
  <c r="B19048" i="1"/>
  <c r="A19048" i="1"/>
  <c r="E19048" i="1"/>
  <c r="F19048" i="1"/>
  <c r="B19049" i="1"/>
  <c r="A19049" i="1"/>
  <c r="E19049" i="1"/>
  <c r="F19049" i="1"/>
  <c r="B19050" i="1"/>
  <c r="A19050" i="1"/>
  <c r="E19050" i="1"/>
  <c r="F19050" i="1"/>
  <c r="B19051" i="1"/>
  <c r="A19051" i="1"/>
  <c r="E19051" i="1"/>
  <c r="F19051" i="1"/>
  <c r="B19052" i="1"/>
  <c r="A19052" i="1"/>
  <c r="E19052" i="1"/>
  <c r="F19052" i="1"/>
  <c r="B19053" i="1"/>
  <c r="A19053" i="1"/>
  <c r="E19053" i="1"/>
  <c r="F19053" i="1"/>
  <c r="B19054" i="1"/>
  <c r="A19054" i="1"/>
  <c r="E19054" i="1"/>
  <c r="F19054" i="1"/>
  <c r="B19055" i="1"/>
  <c r="A19055" i="1"/>
  <c r="E19055" i="1"/>
  <c r="F19055" i="1"/>
  <c r="B19056" i="1"/>
  <c r="A19056" i="1"/>
  <c r="E19056" i="1"/>
  <c r="F19056" i="1"/>
  <c r="B19057" i="1"/>
  <c r="A19057" i="1"/>
  <c r="E19057" i="1"/>
  <c r="F19057" i="1"/>
  <c r="B19058" i="1"/>
  <c r="A19058" i="1"/>
  <c r="E19058" i="1"/>
  <c r="F19058" i="1"/>
  <c r="B19059" i="1"/>
  <c r="A19059" i="1"/>
  <c r="E19059" i="1"/>
  <c r="F19059" i="1"/>
  <c r="B19060" i="1"/>
  <c r="A19060" i="1"/>
  <c r="E19060" i="1"/>
  <c r="F19060" i="1"/>
  <c r="B19061" i="1"/>
  <c r="A19061" i="1"/>
  <c r="E19061" i="1"/>
  <c r="F19061" i="1"/>
  <c r="B19062" i="1"/>
  <c r="A19062" i="1"/>
  <c r="E19062" i="1"/>
  <c r="F19062" i="1"/>
  <c r="B19063" i="1"/>
  <c r="A19063" i="1"/>
  <c r="E19063" i="1"/>
  <c r="F19063" i="1"/>
  <c r="B19064" i="1"/>
  <c r="A19064" i="1"/>
  <c r="E19064" i="1"/>
  <c r="F19064" i="1"/>
  <c r="B19065" i="1"/>
  <c r="A19065" i="1"/>
  <c r="E19065" i="1"/>
  <c r="F19065" i="1"/>
  <c r="B19066" i="1"/>
  <c r="A19066" i="1"/>
  <c r="E19066" i="1"/>
  <c r="F19066" i="1"/>
  <c r="B19067" i="1"/>
  <c r="A19067" i="1"/>
  <c r="E19067" i="1"/>
  <c r="F19067" i="1"/>
  <c r="B19068" i="1"/>
  <c r="A19068" i="1"/>
  <c r="E19068" i="1"/>
  <c r="F19068" i="1"/>
  <c r="B19069" i="1"/>
  <c r="A19069" i="1"/>
  <c r="E19069" i="1"/>
  <c r="F19069" i="1"/>
  <c r="B19070" i="1"/>
  <c r="A19070" i="1"/>
  <c r="E19070" i="1"/>
  <c r="F19070" i="1"/>
  <c r="B19071" i="1"/>
  <c r="A19071" i="1"/>
  <c r="E19071" i="1"/>
  <c r="F19071" i="1"/>
  <c r="B19072" i="1"/>
  <c r="A19072" i="1"/>
  <c r="E19072" i="1"/>
  <c r="F19072" i="1"/>
  <c r="B19073" i="1"/>
  <c r="A19073" i="1"/>
  <c r="E19073" i="1"/>
  <c r="F19073" i="1"/>
  <c r="B19074" i="1"/>
  <c r="A19074" i="1"/>
  <c r="E19074" i="1"/>
  <c r="F19074" i="1"/>
  <c r="B19075" i="1"/>
  <c r="A19075" i="1"/>
  <c r="E19075" i="1"/>
  <c r="F19075" i="1"/>
  <c r="B19076" i="1"/>
  <c r="A19076" i="1"/>
  <c r="E19076" i="1"/>
  <c r="F19076" i="1"/>
  <c r="B19077" i="1"/>
  <c r="A19077" i="1"/>
  <c r="E19077" i="1"/>
  <c r="F19077" i="1"/>
  <c r="B19078" i="1"/>
  <c r="A19078" i="1"/>
  <c r="E19078" i="1"/>
  <c r="F19078" i="1"/>
  <c r="B19079" i="1"/>
  <c r="A19079" i="1"/>
  <c r="E19079" i="1"/>
  <c r="F19079" i="1"/>
  <c r="B19080" i="1"/>
  <c r="A19080" i="1"/>
  <c r="E19080" i="1"/>
  <c r="F19080" i="1"/>
  <c r="B19081" i="1"/>
  <c r="A19081" i="1"/>
  <c r="E19081" i="1"/>
  <c r="F19081" i="1"/>
  <c r="B19082" i="1"/>
  <c r="A19082" i="1"/>
  <c r="E19082" i="1"/>
  <c r="F19082" i="1"/>
  <c r="B19083" i="1"/>
  <c r="A19083" i="1"/>
  <c r="E19083" i="1"/>
  <c r="F19083" i="1"/>
  <c r="B19084" i="1"/>
  <c r="A19084" i="1"/>
  <c r="E19084" i="1"/>
  <c r="F19084" i="1"/>
  <c r="B19085" i="1"/>
  <c r="A19085" i="1"/>
  <c r="E19085" i="1"/>
  <c r="F19085" i="1"/>
  <c r="B19086" i="1"/>
  <c r="A19086" i="1"/>
  <c r="E19086" i="1"/>
  <c r="F19086" i="1"/>
  <c r="B19087" i="1"/>
  <c r="A19087" i="1"/>
  <c r="E19087" i="1"/>
  <c r="F19087" i="1"/>
  <c r="B19088" i="1"/>
  <c r="A19088" i="1"/>
  <c r="E19088" i="1"/>
  <c r="F19088" i="1"/>
  <c r="B19089" i="1"/>
  <c r="A19089" i="1"/>
  <c r="E19089" i="1"/>
  <c r="F19089" i="1"/>
  <c r="B19090" i="1"/>
  <c r="A19090" i="1"/>
  <c r="E19090" i="1"/>
  <c r="F19090" i="1"/>
  <c r="B19091" i="1"/>
  <c r="A19091" i="1"/>
  <c r="E19091" i="1"/>
  <c r="F19091" i="1"/>
  <c r="B19092" i="1"/>
  <c r="A19092" i="1"/>
  <c r="E19092" i="1"/>
  <c r="F19092" i="1"/>
  <c r="B19093" i="1"/>
  <c r="A19093" i="1"/>
  <c r="E19093" i="1"/>
  <c r="F19093" i="1"/>
  <c r="B19094" i="1"/>
  <c r="A19094" i="1"/>
  <c r="E19094" i="1"/>
  <c r="F19094" i="1"/>
  <c r="B19095" i="1"/>
  <c r="A19095" i="1"/>
  <c r="E19095" i="1"/>
  <c r="F19095" i="1"/>
  <c r="B19096" i="1"/>
  <c r="A19096" i="1"/>
  <c r="E19096" i="1"/>
  <c r="F19096" i="1"/>
  <c r="B19097" i="1"/>
  <c r="A19097" i="1"/>
  <c r="E19097" i="1"/>
  <c r="F19097" i="1"/>
  <c r="B19098" i="1"/>
  <c r="A19098" i="1"/>
  <c r="E19098" i="1"/>
  <c r="F19098" i="1"/>
  <c r="B19099" i="1"/>
  <c r="A19099" i="1"/>
  <c r="E19099" i="1"/>
  <c r="F19099" i="1"/>
  <c r="B19100" i="1"/>
  <c r="A19100" i="1"/>
  <c r="E19100" i="1"/>
  <c r="F19100" i="1"/>
  <c r="B19101" i="1"/>
  <c r="A19101" i="1"/>
  <c r="E19101" i="1"/>
  <c r="F19101" i="1"/>
  <c r="B19102" i="1"/>
  <c r="A19102" i="1"/>
  <c r="E19102" i="1"/>
  <c r="F19102" i="1"/>
  <c r="B19103" i="1"/>
  <c r="A19103" i="1"/>
  <c r="E19103" i="1"/>
  <c r="F19103" i="1"/>
  <c r="B19104" i="1"/>
  <c r="A19104" i="1"/>
  <c r="E19104" i="1"/>
  <c r="F19104" i="1"/>
  <c r="B19105" i="1"/>
  <c r="A19105" i="1"/>
  <c r="E19105" i="1"/>
  <c r="F19105" i="1"/>
  <c r="B19106" i="1"/>
  <c r="A19106" i="1"/>
  <c r="E19106" i="1"/>
  <c r="F19106" i="1"/>
  <c r="B19107" i="1"/>
  <c r="A19107" i="1"/>
  <c r="E19107" i="1"/>
  <c r="F19107" i="1"/>
  <c r="B19108" i="1"/>
  <c r="A19108" i="1"/>
  <c r="E19108" i="1"/>
  <c r="F19108" i="1"/>
  <c r="B19109" i="1"/>
  <c r="A19109" i="1"/>
  <c r="E19109" i="1"/>
  <c r="F19109" i="1"/>
  <c r="B19110" i="1"/>
  <c r="A19110" i="1"/>
  <c r="E19110" i="1"/>
  <c r="F19110" i="1"/>
  <c r="B19111" i="1"/>
  <c r="A19111" i="1"/>
  <c r="E19111" i="1"/>
  <c r="F19111" i="1"/>
  <c r="B19112" i="1"/>
  <c r="A19112" i="1"/>
  <c r="E19112" i="1"/>
  <c r="F19112" i="1"/>
  <c r="B19113" i="1"/>
  <c r="A19113" i="1"/>
  <c r="E19113" i="1"/>
  <c r="F19113" i="1"/>
  <c r="B19114" i="1"/>
  <c r="A19114" i="1"/>
  <c r="E19114" i="1"/>
  <c r="F19114" i="1"/>
  <c r="B19115" i="1"/>
  <c r="A19115" i="1"/>
  <c r="E19115" i="1"/>
  <c r="F19115" i="1"/>
  <c r="B19116" i="1"/>
  <c r="A19116" i="1"/>
  <c r="E19116" i="1"/>
  <c r="F19116" i="1"/>
  <c r="B19117" i="1"/>
  <c r="A19117" i="1"/>
  <c r="E19117" i="1"/>
  <c r="F19117" i="1"/>
  <c r="B19118" i="1"/>
  <c r="A19118" i="1"/>
  <c r="E19118" i="1"/>
  <c r="F19118" i="1"/>
  <c r="B19119" i="1"/>
  <c r="A19119" i="1"/>
  <c r="E19119" i="1"/>
  <c r="F19119" i="1"/>
  <c r="B19120" i="1"/>
  <c r="A19120" i="1"/>
  <c r="E19120" i="1"/>
  <c r="F19120" i="1"/>
  <c r="B19121" i="1"/>
  <c r="A19121" i="1"/>
  <c r="E19121" i="1"/>
  <c r="F19121" i="1"/>
  <c r="B19122" i="1"/>
  <c r="A19122" i="1"/>
  <c r="E19122" i="1"/>
  <c r="F19122" i="1"/>
  <c r="B19123" i="1"/>
  <c r="A19123" i="1"/>
  <c r="E19123" i="1"/>
  <c r="F19123" i="1"/>
  <c r="B19124" i="1"/>
  <c r="A19124" i="1"/>
  <c r="E19124" i="1"/>
  <c r="F19124" i="1"/>
  <c r="B19125" i="1"/>
  <c r="A19125" i="1"/>
  <c r="E19125" i="1"/>
  <c r="F19125" i="1"/>
  <c r="B19126" i="1"/>
  <c r="A19126" i="1"/>
  <c r="E19126" i="1"/>
  <c r="F19126" i="1"/>
  <c r="B19127" i="1"/>
  <c r="A19127" i="1"/>
  <c r="E19127" i="1"/>
  <c r="F19127" i="1"/>
  <c r="B19128" i="1"/>
  <c r="A19128" i="1"/>
  <c r="E19128" i="1"/>
  <c r="F19128" i="1"/>
  <c r="B19129" i="1"/>
  <c r="A19129" i="1"/>
  <c r="E19129" i="1"/>
  <c r="F19129" i="1"/>
  <c r="B19130" i="1"/>
  <c r="A19130" i="1"/>
  <c r="E19130" i="1"/>
  <c r="F19130" i="1"/>
  <c r="B19131" i="1"/>
  <c r="A19131" i="1"/>
  <c r="E19131" i="1"/>
  <c r="F19131" i="1"/>
  <c r="B19132" i="1"/>
  <c r="A19132" i="1"/>
  <c r="E19132" i="1"/>
  <c r="F19132" i="1"/>
  <c r="B19133" i="1"/>
  <c r="A19133" i="1"/>
  <c r="E19133" i="1"/>
  <c r="F19133" i="1"/>
  <c r="B19134" i="1"/>
  <c r="A19134" i="1"/>
  <c r="E19134" i="1"/>
  <c r="F19134" i="1"/>
  <c r="B19135" i="1"/>
  <c r="A19135" i="1"/>
  <c r="E19135" i="1"/>
  <c r="F19135" i="1"/>
  <c r="B19136" i="1"/>
  <c r="A19136" i="1"/>
  <c r="E19136" i="1"/>
  <c r="F19136" i="1"/>
  <c r="B19137" i="1"/>
  <c r="A19137" i="1"/>
  <c r="E19137" i="1"/>
  <c r="F19137" i="1"/>
  <c r="B19138" i="1"/>
  <c r="A19138" i="1"/>
  <c r="E19138" i="1"/>
  <c r="F19138" i="1"/>
  <c r="B19139" i="1"/>
  <c r="A19139" i="1"/>
  <c r="E19139" i="1"/>
  <c r="F19139" i="1"/>
  <c r="B19140" i="1"/>
  <c r="A19140" i="1"/>
  <c r="E19140" i="1"/>
  <c r="F19140" i="1"/>
  <c r="B19141" i="1"/>
  <c r="A19141" i="1"/>
  <c r="E19141" i="1"/>
  <c r="F19141" i="1"/>
  <c r="B19142" i="1"/>
  <c r="A19142" i="1"/>
  <c r="E19142" i="1"/>
  <c r="F19142" i="1"/>
  <c r="B19143" i="1"/>
  <c r="A19143" i="1"/>
  <c r="E19143" i="1"/>
  <c r="F19143" i="1"/>
  <c r="B19144" i="1"/>
  <c r="A19144" i="1"/>
  <c r="E19144" i="1"/>
  <c r="F19144" i="1"/>
  <c r="B19145" i="1"/>
  <c r="A19145" i="1"/>
  <c r="E19145" i="1"/>
  <c r="F19145" i="1"/>
  <c r="B19146" i="1"/>
  <c r="A19146" i="1"/>
  <c r="E19146" i="1"/>
  <c r="F19146" i="1"/>
  <c r="B19147" i="1"/>
  <c r="A19147" i="1"/>
  <c r="E19147" i="1"/>
  <c r="F19147" i="1"/>
  <c r="B19148" i="1"/>
  <c r="A19148" i="1"/>
  <c r="E19148" i="1"/>
  <c r="F19148" i="1"/>
  <c r="B19149" i="1"/>
  <c r="A19149" i="1"/>
  <c r="E19149" i="1"/>
  <c r="F19149" i="1"/>
  <c r="B19150" i="1"/>
  <c r="A19150" i="1"/>
  <c r="E19150" i="1"/>
  <c r="F19150" i="1"/>
  <c r="B19151" i="1"/>
  <c r="A19151" i="1"/>
  <c r="E19151" i="1"/>
  <c r="F19151" i="1"/>
  <c r="B19152" i="1"/>
  <c r="A19152" i="1"/>
  <c r="E19152" i="1"/>
  <c r="F19152" i="1"/>
  <c r="B19153" i="1"/>
  <c r="A19153" i="1"/>
  <c r="E19153" i="1"/>
  <c r="F19153" i="1"/>
  <c r="B19154" i="1"/>
  <c r="A19154" i="1"/>
  <c r="E19154" i="1"/>
  <c r="F19154" i="1"/>
  <c r="B19155" i="1"/>
  <c r="A19155" i="1"/>
  <c r="E19155" i="1"/>
  <c r="F19155" i="1"/>
  <c r="B19156" i="1"/>
  <c r="A19156" i="1"/>
  <c r="E19156" i="1"/>
  <c r="F19156" i="1"/>
  <c r="B19157" i="1"/>
  <c r="A19157" i="1"/>
  <c r="E19157" i="1"/>
  <c r="F19157" i="1"/>
  <c r="B19158" i="1"/>
  <c r="A19158" i="1"/>
  <c r="E19158" i="1"/>
  <c r="F19158" i="1"/>
  <c r="B19159" i="1"/>
  <c r="A19159" i="1"/>
  <c r="E19159" i="1"/>
  <c r="F19159" i="1"/>
  <c r="B19160" i="1"/>
  <c r="A19160" i="1"/>
  <c r="E19160" i="1"/>
  <c r="F19160" i="1"/>
  <c r="B19161" i="1"/>
  <c r="A19161" i="1"/>
  <c r="E19161" i="1"/>
  <c r="F19161" i="1"/>
  <c r="B19162" i="1"/>
  <c r="A19162" i="1"/>
  <c r="E19162" i="1"/>
  <c r="F19162" i="1"/>
  <c r="B19163" i="1"/>
  <c r="A19163" i="1"/>
  <c r="E19163" i="1"/>
  <c r="F19163" i="1"/>
  <c r="B19164" i="1"/>
  <c r="A19164" i="1"/>
  <c r="E19164" i="1"/>
  <c r="F19164" i="1"/>
  <c r="B19165" i="1"/>
  <c r="A19165" i="1"/>
  <c r="E19165" i="1"/>
  <c r="F19165" i="1"/>
  <c r="B19166" i="1"/>
  <c r="A19166" i="1"/>
  <c r="E19166" i="1"/>
  <c r="F19166" i="1"/>
  <c r="B19167" i="1"/>
  <c r="A19167" i="1"/>
  <c r="E19167" i="1"/>
  <c r="F19167" i="1"/>
  <c r="B19168" i="1"/>
  <c r="A19168" i="1"/>
  <c r="E19168" i="1"/>
  <c r="F19168" i="1"/>
  <c r="B19169" i="1"/>
  <c r="A19169" i="1"/>
  <c r="E19169" i="1"/>
  <c r="F19169" i="1"/>
  <c r="B19170" i="1"/>
  <c r="A19170" i="1"/>
  <c r="E19170" i="1"/>
  <c r="F19170" i="1"/>
  <c r="B19171" i="1"/>
  <c r="A19171" i="1"/>
  <c r="E19171" i="1"/>
  <c r="F19171" i="1"/>
  <c r="B19172" i="1"/>
  <c r="A19172" i="1"/>
  <c r="E19172" i="1"/>
  <c r="F19172" i="1"/>
  <c r="B19173" i="1"/>
  <c r="A19173" i="1"/>
  <c r="E19173" i="1"/>
  <c r="F19173" i="1"/>
  <c r="B19174" i="1"/>
  <c r="A19174" i="1"/>
  <c r="E19174" i="1"/>
  <c r="F19174" i="1"/>
  <c r="B19175" i="1"/>
  <c r="A19175" i="1"/>
  <c r="E19175" i="1"/>
  <c r="F19175" i="1"/>
  <c r="B19176" i="1"/>
  <c r="A19176" i="1"/>
  <c r="E19176" i="1"/>
  <c r="F19176" i="1"/>
  <c r="B19177" i="1"/>
  <c r="A19177" i="1"/>
  <c r="E19177" i="1"/>
  <c r="F19177" i="1"/>
  <c r="B19178" i="1"/>
  <c r="A19178" i="1"/>
  <c r="E19178" i="1"/>
  <c r="F19178" i="1"/>
  <c r="B19179" i="1"/>
  <c r="A19179" i="1"/>
  <c r="E19179" i="1"/>
  <c r="F19179" i="1"/>
  <c r="B19180" i="1"/>
  <c r="A19180" i="1"/>
  <c r="E19180" i="1"/>
  <c r="F19180" i="1"/>
  <c r="B19181" i="1"/>
  <c r="A19181" i="1"/>
  <c r="E19181" i="1"/>
  <c r="F19181" i="1"/>
  <c r="B19182" i="1"/>
  <c r="A19182" i="1"/>
  <c r="E19182" i="1"/>
  <c r="F19182" i="1"/>
  <c r="B19183" i="1"/>
  <c r="A19183" i="1"/>
  <c r="E19183" i="1"/>
  <c r="F19183" i="1"/>
  <c r="B19184" i="1"/>
  <c r="A19184" i="1"/>
  <c r="E19184" i="1"/>
  <c r="F19184" i="1"/>
  <c r="B19185" i="1"/>
  <c r="A19185" i="1"/>
  <c r="E19185" i="1"/>
  <c r="F19185" i="1"/>
  <c r="B19186" i="1"/>
  <c r="A19186" i="1"/>
  <c r="E19186" i="1"/>
  <c r="F19186" i="1"/>
  <c r="B19187" i="1"/>
  <c r="A19187" i="1"/>
  <c r="E19187" i="1"/>
  <c r="F19187" i="1"/>
  <c r="B19188" i="1"/>
  <c r="A19188" i="1"/>
  <c r="E19188" i="1"/>
  <c r="F19188" i="1"/>
  <c r="B19189" i="1"/>
  <c r="A19189" i="1"/>
  <c r="E19189" i="1"/>
  <c r="F19189" i="1"/>
  <c r="B19190" i="1"/>
  <c r="A19190" i="1"/>
  <c r="E19190" i="1"/>
  <c r="F19190" i="1"/>
  <c r="B19191" i="1"/>
  <c r="A19191" i="1"/>
  <c r="E19191" i="1"/>
  <c r="F19191" i="1"/>
  <c r="B19192" i="1"/>
  <c r="A19192" i="1"/>
  <c r="E19192" i="1"/>
  <c r="F19192" i="1"/>
  <c r="B19193" i="1"/>
  <c r="A19193" i="1"/>
  <c r="E19193" i="1"/>
  <c r="F19193" i="1"/>
  <c r="B19194" i="1"/>
  <c r="A19194" i="1"/>
  <c r="E19194" i="1"/>
  <c r="F19194" i="1"/>
  <c r="B19195" i="1"/>
  <c r="A19195" i="1"/>
  <c r="E19195" i="1"/>
  <c r="F19195" i="1"/>
  <c r="B19196" i="1"/>
  <c r="A19196" i="1"/>
  <c r="E19196" i="1"/>
  <c r="F19196" i="1"/>
  <c r="B19197" i="1"/>
  <c r="A19197" i="1"/>
  <c r="E19197" i="1"/>
  <c r="F19197" i="1"/>
  <c r="B19198" i="1"/>
  <c r="A19198" i="1"/>
  <c r="E19198" i="1"/>
  <c r="F19198" i="1"/>
  <c r="B19199" i="1"/>
  <c r="A19199" i="1"/>
  <c r="E19199" i="1"/>
  <c r="F19199" i="1"/>
  <c r="B19200" i="1"/>
  <c r="A19200" i="1"/>
  <c r="E19200" i="1"/>
  <c r="F19200" i="1"/>
  <c r="B19201" i="1"/>
  <c r="A19201" i="1"/>
  <c r="E19201" i="1"/>
  <c r="F19201" i="1"/>
  <c r="B19202" i="1"/>
  <c r="A19202" i="1"/>
  <c r="E19202" i="1"/>
  <c r="F19202" i="1"/>
  <c r="B19203" i="1"/>
  <c r="A19203" i="1"/>
  <c r="E19203" i="1"/>
  <c r="F19203" i="1"/>
  <c r="B19204" i="1"/>
  <c r="A19204" i="1"/>
  <c r="E19204" i="1"/>
  <c r="F19204" i="1"/>
  <c r="B19205" i="1"/>
  <c r="A19205" i="1"/>
  <c r="E19205" i="1"/>
  <c r="F19205" i="1"/>
  <c r="B19206" i="1"/>
  <c r="A19206" i="1"/>
  <c r="E19206" i="1"/>
  <c r="F19206" i="1"/>
  <c r="B19207" i="1"/>
  <c r="A19207" i="1"/>
  <c r="E19207" i="1"/>
  <c r="F19207" i="1"/>
  <c r="B19208" i="1"/>
  <c r="A19208" i="1"/>
  <c r="E19208" i="1"/>
  <c r="F19208" i="1"/>
  <c r="B19209" i="1"/>
  <c r="A19209" i="1"/>
  <c r="E19209" i="1"/>
  <c r="F19209" i="1"/>
  <c r="B19210" i="1"/>
  <c r="A19210" i="1"/>
  <c r="E19210" i="1"/>
  <c r="F19210" i="1"/>
  <c r="B19211" i="1"/>
  <c r="A19211" i="1"/>
  <c r="E19211" i="1"/>
  <c r="F19211" i="1"/>
  <c r="B19212" i="1"/>
  <c r="A19212" i="1"/>
  <c r="E19212" i="1"/>
  <c r="F19212" i="1"/>
  <c r="B19213" i="1"/>
  <c r="A19213" i="1"/>
  <c r="E19213" i="1"/>
  <c r="F19213" i="1"/>
  <c r="B19214" i="1"/>
  <c r="A19214" i="1"/>
  <c r="E19214" i="1"/>
  <c r="F19214" i="1"/>
  <c r="B19215" i="1"/>
  <c r="A19215" i="1"/>
  <c r="E19215" i="1"/>
  <c r="F19215" i="1"/>
  <c r="B19216" i="1"/>
  <c r="A19216" i="1"/>
  <c r="E19216" i="1"/>
  <c r="F19216" i="1"/>
  <c r="B19217" i="1"/>
  <c r="A19217" i="1"/>
  <c r="E19217" i="1"/>
  <c r="F19217" i="1"/>
  <c r="B19218" i="1"/>
  <c r="A19218" i="1"/>
  <c r="E19218" i="1"/>
  <c r="F19218" i="1"/>
  <c r="B19219" i="1"/>
  <c r="A19219" i="1"/>
  <c r="E19219" i="1"/>
  <c r="F19219" i="1"/>
  <c r="B19220" i="1"/>
  <c r="A19220" i="1"/>
  <c r="E19220" i="1"/>
  <c r="F19220" i="1"/>
  <c r="B19221" i="1"/>
  <c r="A19221" i="1"/>
  <c r="E19221" i="1"/>
  <c r="F19221" i="1"/>
  <c r="B19222" i="1"/>
  <c r="A19222" i="1"/>
  <c r="E19222" i="1"/>
  <c r="F19222" i="1"/>
  <c r="B19223" i="1"/>
  <c r="A19223" i="1"/>
  <c r="E19223" i="1"/>
  <c r="F19223" i="1"/>
  <c r="B19224" i="1"/>
  <c r="A19224" i="1"/>
  <c r="E19224" i="1"/>
  <c r="F19224" i="1"/>
  <c r="B19225" i="1"/>
  <c r="A19225" i="1"/>
  <c r="E19225" i="1"/>
  <c r="F19225" i="1"/>
  <c r="B19226" i="1"/>
  <c r="A19226" i="1"/>
  <c r="E19226" i="1"/>
  <c r="F19226" i="1"/>
  <c r="B19227" i="1"/>
  <c r="A19227" i="1"/>
  <c r="E19227" i="1"/>
  <c r="F19227" i="1"/>
  <c r="B19228" i="1"/>
  <c r="A19228" i="1"/>
  <c r="E19228" i="1"/>
  <c r="F19228" i="1"/>
  <c r="B19229" i="1"/>
  <c r="A19229" i="1"/>
  <c r="E19229" i="1"/>
  <c r="F19229" i="1"/>
  <c r="B19230" i="1"/>
  <c r="A19230" i="1"/>
  <c r="E19230" i="1"/>
  <c r="F19230" i="1"/>
  <c r="B19231" i="1"/>
  <c r="A19231" i="1"/>
  <c r="E19231" i="1"/>
  <c r="F19231" i="1"/>
  <c r="B19232" i="1"/>
  <c r="A19232" i="1"/>
  <c r="E19232" i="1"/>
  <c r="F19232" i="1"/>
  <c r="B19233" i="1"/>
  <c r="A19233" i="1"/>
  <c r="E19233" i="1"/>
  <c r="F19233" i="1"/>
  <c r="B19234" i="1"/>
  <c r="A19234" i="1"/>
  <c r="E19234" i="1"/>
  <c r="F19234" i="1"/>
  <c r="B19235" i="1"/>
  <c r="A19235" i="1"/>
  <c r="E19235" i="1"/>
  <c r="F19235" i="1"/>
  <c r="B19236" i="1"/>
  <c r="A19236" i="1"/>
  <c r="E19236" i="1"/>
  <c r="F19236" i="1"/>
  <c r="B19237" i="1"/>
  <c r="A19237" i="1"/>
  <c r="E19237" i="1"/>
  <c r="F19237" i="1"/>
  <c r="B19238" i="1"/>
  <c r="A19238" i="1"/>
  <c r="E19238" i="1"/>
  <c r="F19238" i="1"/>
  <c r="B19239" i="1"/>
  <c r="A19239" i="1"/>
  <c r="E19239" i="1"/>
  <c r="F19239" i="1"/>
  <c r="B19240" i="1"/>
  <c r="A19240" i="1"/>
  <c r="E19240" i="1"/>
  <c r="F19240" i="1"/>
  <c r="B19241" i="1"/>
  <c r="A19241" i="1"/>
  <c r="E19241" i="1"/>
  <c r="F19241" i="1"/>
  <c r="B19242" i="1"/>
  <c r="A19242" i="1"/>
  <c r="E19242" i="1"/>
  <c r="F19242" i="1"/>
  <c r="B19243" i="1"/>
  <c r="A19243" i="1"/>
  <c r="E19243" i="1"/>
  <c r="F19243" i="1"/>
  <c r="B19244" i="1"/>
  <c r="A19244" i="1"/>
  <c r="E19244" i="1"/>
  <c r="F19244" i="1"/>
  <c r="B19245" i="1"/>
  <c r="A19245" i="1"/>
  <c r="E19245" i="1"/>
  <c r="F19245" i="1"/>
  <c r="B19246" i="1"/>
  <c r="A19246" i="1"/>
  <c r="E19246" i="1"/>
  <c r="F19246" i="1"/>
  <c r="B19247" i="1"/>
  <c r="A19247" i="1"/>
  <c r="E19247" i="1"/>
  <c r="F19247" i="1"/>
  <c r="B19248" i="1"/>
  <c r="A19248" i="1"/>
  <c r="E19248" i="1"/>
  <c r="F19248" i="1"/>
  <c r="B19249" i="1"/>
  <c r="A19249" i="1"/>
  <c r="E19249" i="1"/>
  <c r="F19249" i="1"/>
  <c r="B19250" i="1"/>
  <c r="A19250" i="1"/>
  <c r="E19250" i="1"/>
  <c r="F19250" i="1"/>
  <c r="B19251" i="1"/>
  <c r="A19251" i="1"/>
  <c r="E19251" i="1"/>
  <c r="F19251" i="1"/>
  <c r="B19252" i="1"/>
  <c r="A19252" i="1"/>
  <c r="E19252" i="1"/>
  <c r="F19252" i="1"/>
  <c r="B19253" i="1"/>
  <c r="A19253" i="1"/>
  <c r="E19253" i="1"/>
  <c r="F19253" i="1"/>
  <c r="B19254" i="1"/>
  <c r="A19254" i="1"/>
  <c r="E19254" i="1"/>
  <c r="F19254" i="1"/>
  <c r="B19255" i="1"/>
  <c r="A19255" i="1"/>
  <c r="E19255" i="1"/>
  <c r="F19255" i="1"/>
  <c r="B19256" i="1"/>
  <c r="A19256" i="1"/>
  <c r="E19256" i="1"/>
  <c r="F19256" i="1"/>
  <c r="B19257" i="1"/>
  <c r="A19257" i="1"/>
  <c r="E19257" i="1"/>
  <c r="F19257" i="1"/>
  <c r="B19258" i="1"/>
  <c r="A19258" i="1"/>
  <c r="E19258" i="1"/>
  <c r="F19258" i="1"/>
  <c r="B19259" i="1"/>
  <c r="A19259" i="1"/>
  <c r="E19259" i="1"/>
  <c r="F19259" i="1"/>
  <c r="B19260" i="1"/>
  <c r="A19260" i="1"/>
  <c r="E19260" i="1"/>
  <c r="F19260" i="1"/>
  <c r="B19261" i="1"/>
  <c r="A19261" i="1"/>
  <c r="E19261" i="1"/>
  <c r="F19261" i="1"/>
  <c r="B19262" i="1"/>
  <c r="A19262" i="1"/>
  <c r="E19262" i="1"/>
  <c r="F19262" i="1"/>
  <c r="B19263" i="1"/>
  <c r="A19263" i="1"/>
  <c r="E19263" i="1"/>
  <c r="F19263" i="1"/>
  <c r="B19264" i="1"/>
  <c r="A19264" i="1"/>
  <c r="E19264" i="1"/>
  <c r="F19264" i="1"/>
  <c r="B19265" i="1"/>
  <c r="A19265" i="1"/>
  <c r="E19265" i="1"/>
  <c r="F19265" i="1"/>
  <c r="B19266" i="1"/>
  <c r="A19266" i="1"/>
  <c r="E19266" i="1"/>
  <c r="F19266" i="1"/>
  <c r="B19267" i="1"/>
  <c r="A19267" i="1"/>
  <c r="E19267" i="1"/>
  <c r="F19267" i="1"/>
  <c r="B19268" i="1"/>
  <c r="A19268" i="1"/>
  <c r="E19268" i="1"/>
  <c r="F19268" i="1"/>
  <c r="B19269" i="1"/>
  <c r="A19269" i="1"/>
  <c r="E19269" i="1"/>
  <c r="F19269" i="1"/>
  <c r="B19270" i="1"/>
  <c r="A19270" i="1"/>
  <c r="E19270" i="1"/>
  <c r="F19270" i="1"/>
  <c r="B19271" i="1"/>
  <c r="A19271" i="1"/>
  <c r="E19271" i="1"/>
  <c r="F19271" i="1"/>
  <c r="B19272" i="1"/>
  <c r="A19272" i="1"/>
  <c r="E19272" i="1"/>
  <c r="F19272" i="1"/>
  <c r="B19273" i="1"/>
  <c r="A19273" i="1"/>
  <c r="E19273" i="1"/>
  <c r="F19273" i="1"/>
  <c r="B19274" i="1"/>
  <c r="A19274" i="1"/>
  <c r="E19274" i="1"/>
  <c r="F19274" i="1"/>
  <c r="B19275" i="1"/>
  <c r="A19275" i="1"/>
  <c r="E19275" i="1"/>
  <c r="F19275" i="1"/>
  <c r="B19276" i="1"/>
  <c r="A19276" i="1"/>
  <c r="E19276" i="1"/>
  <c r="F19276" i="1"/>
  <c r="B19277" i="1"/>
  <c r="A19277" i="1"/>
  <c r="E19277" i="1"/>
  <c r="F19277" i="1"/>
  <c r="B19278" i="1"/>
  <c r="A19278" i="1"/>
  <c r="E19278" i="1"/>
  <c r="F19278" i="1"/>
  <c r="B19279" i="1"/>
  <c r="A19279" i="1"/>
  <c r="E19279" i="1"/>
  <c r="F19279" i="1"/>
  <c r="B19280" i="1"/>
  <c r="A19280" i="1"/>
  <c r="E19280" i="1"/>
  <c r="F19280" i="1"/>
  <c r="B19281" i="1"/>
  <c r="A19281" i="1"/>
  <c r="E19281" i="1"/>
  <c r="F19281" i="1"/>
  <c r="B19282" i="1"/>
  <c r="A19282" i="1"/>
  <c r="E19282" i="1"/>
  <c r="F19282" i="1"/>
  <c r="B19283" i="1"/>
  <c r="A19283" i="1"/>
  <c r="E19283" i="1"/>
  <c r="F19283" i="1"/>
  <c r="B19284" i="1"/>
  <c r="A19284" i="1"/>
  <c r="E19284" i="1"/>
  <c r="F19284" i="1"/>
  <c r="B19285" i="1"/>
  <c r="A19285" i="1"/>
  <c r="E19285" i="1"/>
  <c r="F19285" i="1"/>
  <c r="B19286" i="1"/>
  <c r="A19286" i="1"/>
  <c r="E19286" i="1"/>
  <c r="F19286" i="1"/>
  <c r="B19287" i="1"/>
  <c r="A19287" i="1"/>
  <c r="E19287" i="1"/>
  <c r="F19287" i="1"/>
  <c r="B19288" i="1"/>
  <c r="A19288" i="1"/>
  <c r="E19288" i="1"/>
  <c r="F19288" i="1"/>
  <c r="B19289" i="1"/>
  <c r="A19289" i="1"/>
  <c r="E19289" i="1"/>
  <c r="F19289" i="1"/>
  <c r="B19290" i="1"/>
  <c r="A19290" i="1"/>
  <c r="E19290" i="1"/>
  <c r="F19290" i="1"/>
  <c r="B19291" i="1"/>
  <c r="A19291" i="1"/>
  <c r="E19291" i="1"/>
  <c r="F19291" i="1"/>
  <c r="B19292" i="1"/>
  <c r="A19292" i="1"/>
  <c r="E19292" i="1"/>
  <c r="F19292" i="1"/>
  <c r="B19293" i="1"/>
  <c r="A19293" i="1"/>
  <c r="E19293" i="1"/>
  <c r="F19293" i="1"/>
  <c r="B19294" i="1"/>
  <c r="A19294" i="1"/>
  <c r="E19294" i="1"/>
  <c r="F19294" i="1"/>
  <c r="B19295" i="1"/>
  <c r="A19295" i="1"/>
  <c r="E19295" i="1"/>
  <c r="F19295" i="1"/>
  <c r="B19296" i="1"/>
  <c r="A19296" i="1"/>
  <c r="E19296" i="1"/>
  <c r="F19296" i="1"/>
  <c r="B19297" i="1"/>
  <c r="A19297" i="1"/>
  <c r="E19297" i="1"/>
  <c r="F19297" i="1"/>
  <c r="B19298" i="1"/>
  <c r="A19298" i="1"/>
  <c r="E19298" i="1"/>
  <c r="F19298" i="1"/>
  <c r="B19299" i="1"/>
  <c r="A19299" i="1"/>
  <c r="E19299" i="1"/>
  <c r="F19299" i="1"/>
  <c r="B19300" i="1"/>
  <c r="A19300" i="1"/>
  <c r="E19300" i="1"/>
  <c r="F19300" i="1"/>
  <c r="B19301" i="1"/>
  <c r="A19301" i="1"/>
  <c r="E19301" i="1"/>
  <c r="F19301" i="1"/>
  <c r="B19302" i="1"/>
  <c r="A19302" i="1"/>
  <c r="E19302" i="1"/>
  <c r="F19302" i="1"/>
  <c r="B19303" i="1"/>
  <c r="A19303" i="1"/>
  <c r="E19303" i="1"/>
  <c r="F19303" i="1"/>
  <c r="B19304" i="1"/>
  <c r="A19304" i="1"/>
  <c r="E19304" i="1"/>
  <c r="F19304" i="1"/>
  <c r="B19305" i="1"/>
  <c r="A19305" i="1"/>
  <c r="E19305" i="1"/>
  <c r="F19305" i="1"/>
  <c r="B19306" i="1"/>
  <c r="A19306" i="1"/>
  <c r="E19306" i="1"/>
  <c r="F19306" i="1"/>
  <c r="B19307" i="1"/>
  <c r="A19307" i="1"/>
  <c r="E19307" i="1"/>
  <c r="F19307" i="1"/>
  <c r="B19308" i="1"/>
  <c r="A19308" i="1"/>
  <c r="E19308" i="1"/>
  <c r="F19308" i="1"/>
  <c r="B19309" i="1"/>
  <c r="A19309" i="1"/>
  <c r="E19309" i="1"/>
  <c r="F19309" i="1"/>
  <c r="B19310" i="1"/>
  <c r="A19310" i="1"/>
  <c r="E19310" i="1"/>
  <c r="F19310" i="1"/>
  <c r="B19311" i="1"/>
  <c r="A19311" i="1"/>
  <c r="E19311" i="1"/>
  <c r="F19311" i="1"/>
  <c r="B19312" i="1"/>
  <c r="A19312" i="1"/>
  <c r="E19312" i="1"/>
  <c r="F19312" i="1"/>
  <c r="B19313" i="1"/>
  <c r="A19313" i="1"/>
  <c r="E19313" i="1"/>
  <c r="F19313" i="1"/>
  <c r="B19314" i="1"/>
  <c r="A19314" i="1"/>
  <c r="E19314" i="1"/>
  <c r="F19314" i="1"/>
  <c r="B19315" i="1"/>
  <c r="A19315" i="1"/>
  <c r="E19315" i="1"/>
  <c r="F19315" i="1"/>
  <c r="B19316" i="1"/>
  <c r="A19316" i="1"/>
  <c r="E19316" i="1"/>
  <c r="F19316" i="1"/>
  <c r="B19317" i="1"/>
  <c r="A19317" i="1"/>
  <c r="E19317" i="1"/>
  <c r="F19317" i="1"/>
  <c r="B19318" i="1"/>
  <c r="A19318" i="1"/>
  <c r="E19318" i="1"/>
  <c r="F19318" i="1"/>
  <c r="B19319" i="1"/>
  <c r="A19319" i="1"/>
  <c r="E19319" i="1"/>
  <c r="F19319" i="1"/>
  <c r="B19320" i="1"/>
  <c r="A19320" i="1"/>
  <c r="E19320" i="1"/>
  <c r="F19320" i="1"/>
  <c r="B19321" i="1"/>
  <c r="A19321" i="1"/>
  <c r="E19321" i="1"/>
  <c r="F19321" i="1"/>
  <c r="B19322" i="1"/>
  <c r="A19322" i="1"/>
  <c r="E19322" i="1"/>
  <c r="F19322" i="1"/>
  <c r="B19323" i="1"/>
  <c r="A19323" i="1"/>
  <c r="E19323" i="1"/>
  <c r="F19323" i="1"/>
  <c r="B19324" i="1"/>
  <c r="A19324" i="1"/>
  <c r="E19324" i="1"/>
  <c r="F19324" i="1"/>
  <c r="B19325" i="1"/>
  <c r="A19325" i="1"/>
  <c r="E19325" i="1"/>
  <c r="F19325" i="1"/>
  <c r="B19326" i="1"/>
  <c r="A19326" i="1"/>
  <c r="E19326" i="1"/>
  <c r="F19326" i="1"/>
  <c r="B19327" i="1"/>
  <c r="A19327" i="1"/>
  <c r="E19327" i="1"/>
  <c r="F19327" i="1"/>
  <c r="B19328" i="1"/>
  <c r="A19328" i="1"/>
  <c r="E19328" i="1"/>
  <c r="F19328" i="1"/>
  <c r="B19329" i="1"/>
  <c r="A19329" i="1"/>
  <c r="E19329" i="1"/>
  <c r="F19329" i="1"/>
  <c r="B19330" i="1"/>
  <c r="A19330" i="1"/>
  <c r="E19330" i="1"/>
  <c r="F19330" i="1"/>
  <c r="B19331" i="1"/>
  <c r="A19331" i="1"/>
  <c r="E19331" i="1"/>
  <c r="F19331" i="1"/>
  <c r="B19332" i="1"/>
  <c r="A19332" i="1"/>
  <c r="E19332" i="1"/>
  <c r="F19332" i="1"/>
  <c r="B19333" i="1"/>
  <c r="A19333" i="1"/>
  <c r="E19333" i="1"/>
  <c r="F19333" i="1"/>
  <c r="B19334" i="1"/>
  <c r="A19334" i="1"/>
  <c r="E19334" i="1"/>
  <c r="F19334" i="1"/>
  <c r="B19335" i="1"/>
  <c r="A19335" i="1"/>
  <c r="E19335" i="1"/>
  <c r="F19335" i="1"/>
  <c r="B19336" i="1"/>
  <c r="A19336" i="1"/>
  <c r="E19336" i="1"/>
  <c r="F19336" i="1"/>
  <c r="B19337" i="1"/>
  <c r="A19337" i="1"/>
  <c r="E19337" i="1"/>
  <c r="F19337" i="1"/>
  <c r="B19338" i="1"/>
  <c r="A19338" i="1"/>
  <c r="E19338" i="1"/>
  <c r="F19338" i="1"/>
  <c r="B19339" i="1"/>
  <c r="A19339" i="1"/>
  <c r="E19339" i="1"/>
  <c r="F19339" i="1"/>
  <c r="B19340" i="1"/>
  <c r="A19340" i="1"/>
  <c r="E19340" i="1"/>
  <c r="F19340" i="1"/>
  <c r="B19341" i="1"/>
  <c r="A19341" i="1"/>
  <c r="E19341" i="1"/>
  <c r="F19341" i="1"/>
  <c r="B19342" i="1"/>
  <c r="A19342" i="1"/>
  <c r="E19342" i="1"/>
  <c r="F19342" i="1"/>
  <c r="B19343" i="1"/>
  <c r="A19343" i="1"/>
  <c r="E19343" i="1"/>
  <c r="F19343" i="1"/>
  <c r="B19344" i="1"/>
  <c r="A19344" i="1"/>
  <c r="E19344" i="1"/>
  <c r="F19344" i="1"/>
  <c r="B19345" i="1"/>
  <c r="A19345" i="1"/>
  <c r="E19345" i="1"/>
  <c r="F19345" i="1"/>
  <c r="B19346" i="1"/>
  <c r="A19346" i="1"/>
  <c r="E19346" i="1"/>
  <c r="F19346" i="1"/>
  <c r="B19347" i="1"/>
  <c r="A19347" i="1"/>
  <c r="E19347" i="1"/>
  <c r="F19347" i="1"/>
  <c r="B19348" i="1"/>
  <c r="A19348" i="1"/>
  <c r="E19348" i="1"/>
  <c r="F19348" i="1"/>
  <c r="B19349" i="1"/>
  <c r="A19349" i="1"/>
  <c r="E19349" i="1"/>
  <c r="F19349" i="1"/>
  <c r="B19350" i="1"/>
  <c r="A19350" i="1"/>
  <c r="E19350" i="1"/>
  <c r="F19350" i="1"/>
  <c r="B19351" i="1"/>
  <c r="A19351" i="1"/>
  <c r="E19351" i="1"/>
  <c r="F19351" i="1"/>
  <c r="B19352" i="1"/>
  <c r="A19352" i="1"/>
  <c r="E19352" i="1"/>
  <c r="F19352" i="1"/>
  <c r="B19353" i="1"/>
  <c r="A19353" i="1"/>
  <c r="E19353" i="1"/>
  <c r="F19353" i="1"/>
  <c r="B19354" i="1"/>
  <c r="A19354" i="1"/>
  <c r="E19354" i="1"/>
  <c r="F19354" i="1"/>
  <c r="B19355" i="1"/>
  <c r="A19355" i="1"/>
  <c r="E19355" i="1"/>
  <c r="F19355" i="1"/>
  <c r="B19356" i="1"/>
  <c r="A19356" i="1"/>
  <c r="E19356" i="1"/>
  <c r="F19356" i="1"/>
  <c r="B19357" i="1"/>
  <c r="A19357" i="1"/>
  <c r="E19357" i="1"/>
  <c r="F19357" i="1"/>
  <c r="B19358" i="1"/>
  <c r="A19358" i="1"/>
  <c r="E19358" i="1"/>
  <c r="F19358" i="1"/>
  <c r="B19359" i="1"/>
  <c r="A19359" i="1"/>
  <c r="E19359" i="1"/>
  <c r="F19359" i="1"/>
  <c r="B19360" i="1"/>
  <c r="A19360" i="1"/>
  <c r="E19360" i="1"/>
  <c r="F19360" i="1"/>
  <c r="B19361" i="1"/>
  <c r="A19361" i="1"/>
  <c r="E19361" i="1"/>
  <c r="F19361" i="1"/>
  <c r="B19362" i="1"/>
  <c r="A19362" i="1"/>
  <c r="E19362" i="1"/>
  <c r="F19362" i="1"/>
  <c r="B19363" i="1"/>
  <c r="A19363" i="1"/>
  <c r="E19363" i="1"/>
  <c r="F19363" i="1"/>
  <c r="B19364" i="1"/>
  <c r="A19364" i="1"/>
  <c r="E19364" i="1"/>
  <c r="F19364" i="1"/>
  <c r="B19365" i="1"/>
  <c r="A19365" i="1"/>
  <c r="E19365" i="1"/>
  <c r="F19365" i="1"/>
  <c r="B19366" i="1"/>
  <c r="A19366" i="1"/>
  <c r="E19366" i="1"/>
  <c r="F19366" i="1"/>
  <c r="B19367" i="1"/>
  <c r="A19367" i="1"/>
  <c r="E19367" i="1"/>
  <c r="F19367" i="1"/>
  <c r="B19368" i="1"/>
  <c r="A19368" i="1"/>
  <c r="E19368" i="1"/>
  <c r="F19368" i="1"/>
  <c r="B19369" i="1"/>
  <c r="A19369" i="1"/>
  <c r="E19369" i="1"/>
  <c r="F19369" i="1"/>
  <c r="B19370" i="1"/>
  <c r="A19370" i="1"/>
  <c r="E19370" i="1"/>
  <c r="F19370" i="1"/>
  <c r="B19371" i="1"/>
  <c r="A19371" i="1"/>
  <c r="E19371" i="1"/>
  <c r="F19371" i="1"/>
  <c r="B19372" i="1"/>
  <c r="A19372" i="1"/>
  <c r="E19372" i="1"/>
  <c r="F19372" i="1"/>
  <c r="B19373" i="1"/>
  <c r="A19373" i="1"/>
  <c r="E19373" i="1"/>
  <c r="F19373" i="1"/>
  <c r="B19374" i="1"/>
  <c r="A19374" i="1"/>
  <c r="E19374" i="1"/>
  <c r="F19374" i="1"/>
  <c r="B19375" i="1"/>
  <c r="A19375" i="1"/>
  <c r="E19375" i="1"/>
  <c r="F19375" i="1"/>
  <c r="B19376" i="1"/>
  <c r="A19376" i="1"/>
  <c r="E19376" i="1"/>
  <c r="F19376" i="1"/>
  <c r="B19377" i="1"/>
  <c r="A19377" i="1"/>
  <c r="E19377" i="1"/>
  <c r="F19377" i="1"/>
  <c r="B19378" i="1"/>
  <c r="A19378" i="1"/>
  <c r="E19378" i="1"/>
  <c r="F19378" i="1"/>
  <c r="B19379" i="1"/>
  <c r="A19379" i="1"/>
  <c r="E19379" i="1"/>
  <c r="F19379" i="1"/>
  <c r="B19380" i="1"/>
  <c r="A19380" i="1"/>
  <c r="E19380" i="1"/>
  <c r="F19380" i="1"/>
  <c r="B19381" i="1"/>
  <c r="A19381" i="1"/>
  <c r="E19381" i="1"/>
  <c r="F19381" i="1"/>
  <c r="B19382" i="1"/>
  <c r="A19382" i="1"/>
  <c r="E19382" i="1"/>
  <c r="F19382" i="1"/>
  <c r="B19383" i="1"/>
  <c r="A19383" i="1"/>
  <c r="E19383" i="1"/>
  <c r="F19383" i="1"/>
  <c r="B19384" i="1"/>
  <c r="A19384" i="1"/>
  <c r="E19384" i="1"/>
  <c r="F19384" i="1"/>
  <c r="B19385" i="1"/>
  <c r="A19385" i="1"/>
  <c r="E19385" i="1"/>
  <c r="F19385" i="1"/>
  <c r="B19386" i="1"/>
  <c r="A19386" i="1"/>
  <c r="E19386" i="1"/>
  <c r="F19386" i="1"/>
  <c r="B19387" i="1"/>
  <c r="A19387" i="1"/>
  <c r="E19387" i="1"/>
  <c r="F19387" i="1"/>
  <c r="B19388" i="1"/>
  <c r="A19388" i="1"/>
  <c r="E19388" i="1"/>
  <c r="F19388" i="1"/>
  <c r="B19389" i="1"/>
  <c r="A19389" i="1"/>
  <c r="E19389" i="1"/>
  <c r="F19389" i="1"/>
  <c r="B19390" i="1"/>
  <c r="A19390" i="1"/>
  <c r="E19390" i="1"/>
  <c r="F19390" i="1"/>
  <c r="B19391" i="1"/>
  <c r="A19391" i="1"/>
  <c r="E19391" i="1"/>
  <c r="F19391" i="1"/>
  <c r="B19392" i="1"/>
  <c r="A19392" i="1"/>
  <c r="E19392" i="1"/>
  <c r="F19392" i="1"/>
  <c r="B19393" i="1"/>
  <c r="A19393" i="1"/>
  <c r="E19393" i="1"/>
  <c r="F19393" i="1"/>
  <c r="B19394" i="1"/>
  <c r="A19394" i="1"/>
  <c r="E19394" i="1"/>
  <c r="F19394" i="1"/>
  <c r="B19395" i="1"/>
  <c r="A19395" i="1"/>
  <c r="E19395" i="1"/>
  <c r="F19395" i="1"/>
  <c r="B19396" i="1"/>
  <c r="A19396" i="1"/>
  <c r="E19396" i="1"/>
  <c r="F19396" i="1"/>
  <c r="B19397" i="1"/>
  <c r="A19397" i="1"/>
  <c r="E19397" i="1"/>
  <c r="F19397" i="1"/>
  <c r="B19398" i="1"/>
  <c r="A19398" i="1"/>
  <c r="E19398" i="1"/>
  <c r="F19398" i="1"/>
  <c r="B19399" i="1"/>
  <c r="A19399" i="1"/>
  <c r="E19399" i="1"/>
  <c r="F19399" i="1"/>
  <c r="B19400" i="1"/>
  <c r="A19400" i="1"/>
  <c r="E19400" i="1"/>
  <c r="F19400" i="1"/>
  <c r="B19401" i="1"/>
  <c r="A19401" i="1"/>
  <c r="E19401" i="1"/>
  <c r="F19401" i="1"/>
  <c r="B19402" i="1"/>
  <c r="A19402" i="1"/>
  <c r="E19402" i="1"/>
  <c r="F19402" i="1"/>
  <c r="B19403" i="1"/>
  <c r="A19403" i="1"/>
  <c r="E19403" i="1"/>
  <c r="F19403" i="1"/>
  <c r="B19404" i="1"/>
  <c r="A19404" i="1"/>
  <c r="E19404" i="1"/>
  <c r="F19404" i="1"/>
  <c r="B19405" i="1"/>
  <c r="A19405" i="1"/>
  <c r="E19405" i="1"/>
  <c r="F19405" i="1"/>
  <c r="B19406" i="1"/>
  <c r="A19406" i="1"/>
  <c r="E19406" i="1"/>
  <c r="F19406" i="1"/>
  <c r="B19407" i="1"/>
  <c r="A19407" i="1"/>
  <c r="E19407" i="1"/>
  <c r="F19407" i="1"/>
  <c r="B19408" i="1"/>
  <c r="A19408" i="1"/>
  <c r="E19408" i="1"/>
  <c r="F19408" i="1"/>
  <c r="B19409" i="1"/>
  <c r="A19409" i="1"/>
  <c r="E19409" i="1"/>
  <c r="F19409" i="1"/>
  <c r="B19410" i="1"/>
  <c r="A19410" i="1"/>
  <c r="E19410" i="1"/>
  <c r="F19410" i="1"/>
  <c r="B19411" i="1"/>
  <c r="A19411" i="1"/>
  <c r="E19411" i="1"/>
  <c r="F19411" i="1"/>
  <c r="B19412" i="1"/>
  <c r="A19412" i="1"/>
  <c r="E19412" i="1"/>
  <c r="F19412" i="1"/>
  <c r="B19413" i="1"/>
  <c r="A19413" i="1"/>
  <c r="E19413" i="1"/>
  <c r="F19413" i="1"/>
  <c r="B19414" i="1"/>
  <c r="A19414" i="1"/>
  <c r="E19414" i="1"/>
  <c r="F19414" i="1"/>
  <c r="B19415" i="1"/>
  <c r="A19415" i="1"/>
  <c r="E19415" i="1"/>
  <c r="F19415" i="1"/>
  <c r="B19416" i="1"/>
  <c r="A19416" i="1"/>
  <c r="E19416" i="1"/>
  <c r="F19416" i="1"/>
  <c r="B19417" i="1"/>
  <c r="A19417" i="1"/>
  <c r="E19417" i="1"/>
  <c r="F19417" i="1"/>
  <c r="B19418" i="1"/>
  <c r="A19418" i="1"/>
  <c r="E19418" i="1"/>
  <c r="F19418" i="1"/>
  <c r="B19419" i="1"/>
  <c r="A19419" i="1"/>
  <c r="E19419" i="1"/>
  <c r="F19419" i="1"/>
  <c r="B19420" i="1"/>
  <c r="A19420" i="1"/>
  <c r="E19420" i="1"/>
  <c r="F19420" i="1"/>
  <c r="B19421" i="1"/>
  <c r="A19421" i="1"/>
  <c r="E19421" i="1"/>
  <c r="F19421" i="1"/>
  <c r="B19422" i="1"/>
  <c r="A19422" i="1"/>
  <c r="E19422" i="1"/>
  <c r="F19422" i="1"/>
  <c r="B19423" i="1"/>
  <c r="A19423" i="1"/>
  <c r="E19423" i="1"/>
  <c r="F19423" i="1"/>
  <c r="B19424" i="1"/>
  <c r="A19424" i="1"/>
  <c r="E19424" i="1"/>
  <c r="F19424" i="1"/>
  <c r="B19425" i="1"/>
  <c r="A19425" i="1"/>
  <c r="E19425" i="1"/>
  <c r="F19425" i="1"/>
  <c r="B19426" i="1"/>
  <c r="A19426" i="1"/>
  <c r="E19426" i="1"/>
  <c r="F19426" i="1"/>
  <c r="B19427" i="1"/>
  <c r="A19427" i="1"/>
  <c r="E19427" i="1"/>
  <c r="F19427" i="1"/>
  <c r="B19428" i="1"/>
  <c r="A19428" i="1"/>
  <c r="E19428" i="1"/>
  <c r="F19428" i="1"/>
  <c r="B19429" i="1"/>
  <c r="A19429" i="1"/>
  <c r="E19429" i="1"/>
  <c r="F19429" i="1"/>
  <c r="B19430" i="1"/>
  <c r="A19430" i="1"/>
  <c r="E19430" i="1"/>
  <c r="F19430" i="1"/>
  <c r="B19431" i="1"/>
  <c r="A19431" i="1"/>
  <c r="E19431" i="1"/>
  <c r="F19431" i="1"/>
  <c r="B19432" i="1"/>
  <c r="A19432" i="1"/>
  <c r="E19432" i="1"/>
  <c r="F19432" i="1"/>
  <c r="B19433" i="1"/>
  <c r="A19433" i="1"/>
  <c r="E19433" i="1"/>
  <c r="F19433" i="1"/>
  <c r="B19434" i="1"/>
  <c r="A19434" i="1"/>
  <c r="E19434" i="1"/>
  <c r="F19434" i="1"/>
  <c r="B19435" i="1"/>
  <c r="A19435" i="1"/>
  <c r="E19435" i="1"/>
  <c r="F19435" i="1"/>
  <c r="B19436" i="1"/>
  <c r="A19436" i="1"/>
  <c r="E19436" i="1"/>
  <c r="F19436" i="1"/>
  <c r="B19437" i="1"/>
  <c r="A19437" i="1"/>
  <c r="E19437" i="1"/>
  <c r="F19437" i="1"/>
  <c r="B19438" i="1"/>
  <c r="A19438" i="1"/>
  <c r="E19438" i="1"/>
  <c r="F19438" i="1"/>
  <c r="B19439" i="1"/>
  <c r="A19439" i="1"/>
  <c r="E19439" i="1"/>
  <c r="F19439" i="1"/>
  <c r="B19440" i="1"/>
  <c r="A19440" i="1"/>
  <c r="E19440" i="1"/>
  <c r="F19440" i="1"/>
  <c r="B19441" i="1"/>
  <c r="A19441" i="1"/>
  <c r="E19441" i="1"/>
  <c r="F19441" i="1"/>
  <c r="B19442" i="1"/>
  <c r="A19442" i="1"/>
  <c r="E19442" i="1"/>
  <c r="F19442" i="1"/>
  <c r="B19443" i="1"/>
  <c r="A19443" i="1"/>
  <c r="E19443" i="1"/>
  <c r="F19443" i="1"/>
  <c r="B19444" i="1"/>
  <c r="A19444" i="1"/>
  <c r="E19444" i="1"/>
  <c r="F19444" i="1"/>
  <c r="B19445" i="1"/>
  <c r="A19445" i="1"/>
  <c r="E19445" i="1"/>
  <c r="F19445" i="1"/>
  <c r="B19446" i="1"/>
  <c r="A19446" i="1"/>
  <c r="E19446" i="1"/>
  <c r="F19446" i="1"/>
  <c r="B19447" i="1"/>
  <c r="A19447" i="1"/>
  <c r="E19447" i="1"/>
  <c r="F19447" i="1"/>
  <c r="B19448" i="1"/>
  <c r="A19448" i="1"/>
  <c r="E19448" i="1"/>
  <c r="F19448" i="1"/>
  <c r="B19449" i="1"/>
  <c r="A19449" i="1"/>
  <c r="E19449" i="1"/>
  <c r="F19449" i="1"/>
  <c r="B19450" i="1"/>
  <c r="A19450" i="1"/>
  <c r="E19450" i="1"/>
  <c r="F19450" i="1"/>
  <c r="B19451" i="1"/>
  <c r="A19451" i="1"/>
  <c r="E19451" i="1"/>
  <c r="F19451" i="1"/>
  <c r="B19452" i="1"/>
  <c r="A19452" i="1"/>
  <c r="E19452" i="1"/>
  <c r="F19452" i="1"/>
  <c r="B19453" i="1"/>
  <c r="A19453" i="1"/>
  <c r="E19453" i="1"/>
  <c r="F19453" i="1"/>
  <c r="B19454" i="1"/>
  <c r="A19454" i="1"/>
  <c r="E19454" i="1"/>
  <c r="F19454" i="1"/>
  <c r="B19455" i="1"/>
  <c r="A19455" i="1"/>
  <c r="E19455" i="1"/>
  <c r="F19455" i="1"/>
  <c r="B19456" i="1"/>
  <c r="A19456" i="1"/>
  <c r="E19456" i="1"/>
  <c r="F19456" i="1"/>
  <c r="B19457" i="1"/>
  <c r="A19457" i="1"/>
  <c r="E19457" i="1"/>
  <c r="F19457" i="1"/>
  <c r="B19458" i="1"/>
  <c r="A19458" i="1"/>
  <c r="E19458" i="1"/>
  <c r="F19458" i="1"/>
  <c r="B19459" i="1"/>
  <c r="A19459" i="1"/>
  <c r="E19459" i="1"/>
  <c r="F19459" i="1"/>
  <c r="B19460" i="1"/>
  <c r="A19460" i="1"/>
  <c r="E19460" i="1"/>
  <c r="F19460" i="1"/>
  <c r="B19461" i="1"/>
  <c r="A19461" i="1"/>
  <c r="E19461" i="1"/>
  <c r="F19461" i="1"/>
  <c r="B19462" i="1"/>
  <c r="A19462" i="1"/>
  <c r="E19462" i="1"/>
  <c r="F19462" i="1"/>
  <c r="B19463" i="1"/>
  <c r="A19463" i="1"/>
  <c r="E19463" i="1"/>
  <c r="F19463" i="1"/>
  <c r="B19464" i="1"/>
  <c r="A19464" i="1"/>
  <c r="E19464" i="1"/>
  <c r="F19464" i="1"/>
  <c r="B19465" i="1"/>
  <c r="A19465" i="1"/>
  <c r="E19465" i="1"/>
  <c r="F19465" i="1"/>
  <c r="B19466" i="1"/>
  <c r="A19466" i="1"/>
  <c r="E19466" i="1"/>
  <c r="F19466" i="1"/>
  <c r="B19467" i="1"/>
  <c r="A19467" i="1"/>
  <c r="E19467" i="1"/>
  <c r="F19467" i="1"/>
  <c r="B19468" i="1"/>
  <c r="A19468" i="1"/>
  <c r="E19468" i="1"/>
  <c r="F19468" i="1"/>
  <c r="B19469" i="1"/>
  <c r="A19469" i="1"/>
  <c r="E19469" i="1"/>
  <c r="F19469" i="1"/>
  <c r="B19470" i="1"/>
  <c r="A19470" i="1"/>
  <c r="E19470" i="1"/>
  <c r="F19470" i="1"/>
  <c r="B19471" i="1"/>
  <c r="A19471" i="1"/>
  <c r="E19471" i="1"/>
  <c r="F19471" i="1"/>
  <c r="B19472" i="1"/>
  <c r="A19472" i="1"/>
  <c r="E19472" i="1"/>
  <c r="F19472" i="1"/>
  <c r="B19473" i="1"/>
  <c r="A19473" i="1"/>
  <c r="E19473" i="1"/>
  <c r="F19473" i="1"/>
  <c r="B19474" i="1"/>
  <c r="A19474" i="1"/>
  <c r="E19474" i="1"/>
  <c r="F19474" i="1"/>
  <c r="B19475" i="1"/>
  <c r="A19475" i="1"/>
  <c r="E19475" i="1"/>
  <c r="F19475" i="1"/>
  <c r="B19476" i="1"/>
  <c r="A19476" i="1"/>
  <c r="E19476" i="1"/>
  <c r="F19476" i="1"/>
  <c r="B19477" i="1"/>
  <c r="A19477" i="1"/>
  <c r="E19477" i="1"/>
  <c r="F19477" i="1"/>
  <c r="B19478" i="1"/>
  <c r="A19478" i="1"/>
  <c r="E19478" i="1"/>
  <c r="F19478" i="1"/>
  <c r="B19479" i="1"/>
  <c r="A19479" i="1"/>
  <c r="E19479" i="1"/>
  <c r="F19479" i="1"/>
  <c r="B19480" i="1"/>
  <c r="A19480" i="1"/>
  <c r="E19480" i="1"/>
  <c r="F19480" i="1"/>
  <c r="B19481" i="1"/>
  <c r="A19481" i="1"/>
  <c r="E19481" i="1"/>
  <c r="F19481" i="1"/>
  <c r="B19482" i="1"/>
  <c r="A19482" i="1"/>
  <c r="E19482" i="1"/>
  <c r="F19482" i="1"/>
  <c r="B19483" i="1"/>
  <c r="A19483" i="1"/>
  <c r="E19483" i="1"/>
  <c r="F19483" i="1"/>
  <c r="B19484" i="1"/>
  <c r="A19484" i="1"/>
  <c r="E19484" i="1"/>
  <c r="F19484" i="1"/>
  <c r="B19485" i="1"/>
  <c r="A19485" i="1"/>
  <c r="E19485" i="1"/>
  <c r="F19485" i="1"/>
  <c r="B19486" i="1"/>
  <c r="A19486" i="1"/>
  <c r="E19486" i="1"/>
  <c r="F19486" i="1"/>
  <c r="B19487" i="1"/>
  <c r="A19487" i="1"/>
  <c r="E19487" i="1"/>
  <c r="F19487" i="1"/>
  <c r="B19488" i="1"/>
  <c r="A19488" i="1"/>
  <c r="E19488" i="1"/>
  <c r="F19488" i="1"/>
  <c r="B19489" i="1"/>
  <c r="A19489" i="1"/>
  <c r="E19489" i="1"/>
  <c r="F19489" i="1"/>
  <c r="B19490" i="1"/>
  <c r="A19490" i="1"/>
  <c r="E19490" i="1"/>
  <c r="F19490" i="1"/>
  <c r="B19491" i="1"/>
  <c r="A19491" i="1"/>
  <c r="E19491" i="1"/>
  <c r="F19491" i="1"/>
  <c r="B19492" i="1"/>
  <c r="A19492" i="1"/>
  <c r="E19492" i="1"/>
  <c r="F19492" i="1"/>
  <c r="B19493" i="1"/>
  <c r="A19493" i="1"/>
  <c r="E19493" i="1"/>
  <c r="F19493" i="1"/>
  <c r="B19494" i="1"/>
  <c r="A19494" i="1"/>
  <c r="E19494" i="1"/>
  <c r="F19494" i="1"/>
  <c r="B19495" i="1"/>
  <c r="A19495" i="1"/>
  <c r="E19495" i="1"/>
  <c r="F19495" i="1"/>
  <c r="B19496" i="1"/>
  <c r="A19496" i="1"/>
  <c r="E19496" i="1"/>
  <c r="F19496" i="1"/>
  <c r="B19497" i="1"/>
  <c r="A19497" i="1"/>
  <c r="E19497" i="1"/>
  <c r="F19497" i="1"/>
  <c r="B19498" i="1"/>
  <c r="A19498" i="1"/>
  <c r="E19498" i="1"/>
  <c r="F19498" i="1"/>
  <c r="B19499" i="1"/>
  <c r="A19499" i="1"/>
  <c r="E19499" i="1"/>
  <c r="F19499" i="1"/>
  <c r="B19500" i="1"/>
  <c r="A19500" i="1"/>
  <c r="E19500" i="1"/>
  <c r="F19500" i="1"/>
  <c r="B19501" i="1"/>
  <c r="A19501" i="1"/>
  <c r="E19501" i="1"/>
  <c r="F19501" i="1"/>
  <c r="B19502" i="1"/>
  <c r="A19502" i="1"/>
  <c r="E19502" i="1"/>
  <c r="F19502" i="1"/>
  <c r="B19503" i="1"/>
  <c r="A19503" i="1"/>
  <c r="E19503" i="1"/>
  <c r="F19503" i="1"/>
  <c r="B19504" i="1"/>
  <c r="A19504" i="1"/>
  <c r="E19504" i="1"/>
  <c r="F19504" i="1"/>
  <c r="B19505" i="1"/>
  <c r="A19505" i="1"/>
  <c r="E19505" i="1"/>
  <c r="F19505" i="1"/>
  <c r="B19506" i="1"/>
  <c r="A19506" i="1"/>
  <c r="E19506" i="1"/>
  <c r="F19506" i="1"/>
  <c r="B19507" i="1"/>
  <c r="A19507" i="1"/>
  <c r="E19507" i="1"/>
  <c r="F19507" i="1"/>
  <c r="B19508" i="1"/>
  <c r="A19508" i="1"/>
  <c r="E19508" i="1"/>
  <c r="F19508" i="1"/>
  <c r="B19509" i="1"/>
  <c r="A19509" i="1"/>
  <c r="E19509" i="1"/>
  <c r="F19509" i="1"/>
  <c r="B19510" i="1"/>
  <c r="A19510" i="1"/>
  <c r="E19510" i="1"/>
  <c r="F19510" i="1"/>
  <c r="B19511" i="1"/>
  <c r="A19511" i="1"/>
  <c r="E19511" i="1"/>
  <c r="F19511" i="1"/>
  <c r="B19512" i="1"/>
  <c r="A19512" i="1"/>
  <c r="E19512" i="1"/>
  <c r="F19512" i="1"/>
  <c r="B19513" i="1"/>
  <c r="A19513" i="1"/>
  <c r="E19513" i="1"/>
  <c r="F19513" i="1"/>
  <c r="B19514" i="1"/>
  <c r="A19514" i="1"/>
  <c r="E19514" i="1"/>
  <c r="F19514" i="1"/>
  <c r="B19515" i="1"/>
  <c r="A19515" i="1"/>
  <c r="E19515" i="1"/>
  <c r="F19515" i="1"/>
  <c r="B19516" i="1"/>
  <c r="A19516" i="1"/>
  <c r="E19516" i="1"/>
  <c r="F19516" i="1"/>
  <c r="B19517" i="1"/>
  <c r="A19517" i="1"/>
  <c r="E19517" i="1"/>
  <c r="F19517" i="1"/>
  <c r="B19518" i="1"/>
  <c r="A19518" i="1"/>
  <c r="E19518" i="1"/>
  <c r="F19518" i="1"/>
  <c r="B19519" i="1"/>
  <c r="A19519" i="1"/>
  <c r="E19519" i="1"/>
  <c r="F19519" i="1"/>
  <c r="B19520" i="1"/>
  <c r="A19520" i="1"/>
  <c r="E19520" i="1"/>
  <c r="F19520" i="1"/>
  <c r="B19521" i="1"/>
  <c r="A19521" i="1"/>
  <c r="E19521" i="1"/>
  <c r="F19521" i="1"/>
  <c r="B19522" i="1"/>
  <c r="A19522" i="1"/>
  <c r="E19522" i="1"/>
  <c r="F19522" i="1"/>
  <c r="B19523" i="1"/>
  <c r="A19523" i="1"/>
  <c r="E19523" i="1"/>
  <c r="F19523" i="1"/>
  <c r="B19524" i="1"/>
  <c r="A19524" i="1"/>
  <c r="E19524" i="1"/>
  <c r="F19524" i="1"/>
  <c r="B19525" i="1"/>
  <c r="A19525" i="1"/>
  <c r="E19525" i="1"/>
  <c r="F19525" i="1"/>
  <c r="B19526" i="1"/>
  <c r="A19526" i="1"/>
  <c r="E19526" i="1"/>
  <c r="F19526" i="1"/>
  <c r="B19527" i="1"/>
  <c r="A19527" i="1"/>
  <c r="E19527" i="1"/>
  <c r="F19527" i="1"/>
  <c r="B19528" i="1"/>
  <c r="A19528" i="1"/>
  <c r="E19528" i="1"/>
  <c r="F19528" i="1"/>
  <c r="B19529" i="1"/>
  <c r="A19529" i="1"/>
  <c r="E19529" i="1"/>
  <c r="F19529" i="1"/>
  <c r="B19530" i="1"/>
  <c r="A19530" i="1"/>
  <c r="E19530" i="1"/>
  <c r="F19530" i="1"/>
  <c r="B19531" i="1"/>
  <c r="A19531" i="1"/>
  <c r="E19531" i="1"/>
  <c r="F19531" i="1"/>
  <c r="B19532" i="1"/>
  <c r="A19532" i="1"/>
  <c r="E19532" i="1"/>
  <c r="F19532" i="1"/>
  <c r="B19533" i="1"/>
  <c r="A19533" i="1"/>
  <c r="E19533" i="1"/>
  <c r="F19533" i="1"/>
  <c r="B19534" i="1"/>
  <c r="A19534" i="1"/>
  <c r="E19534" i="1"/>
  <c r="F19534" i="1"/>
  <c r="B19535" i="1"/>
  <c r="A19535" i="1"/>
  <c r="E19535" i="1"/>
  <c r="F19535" i="1"/>
  <c r="B19536" i="1"/>
  <c r="A19536" i="1"/>
  <c r="E19536" i="1"/>
  <c r="F19536" i="1"/>
  <c r="B19537" i="1"/>
  <c r="A19537" i="1"/>
  <c r="E19537" i="1"/>
  <c r="F19537" i="1"/>
  <c r="B19538" i="1"/>
  <c r="A19538" i="1"/>
  <c r="E19538" i="1"/>
  <c r="F19538" i="1"/>
  <c r="B19539" i="1"/>
  <c r="A19539" i="1"/>
  <c r="E19539" i="1"/>
  <c r="F19539" i="1"/>
  <c r="B19540" i="1"/>
  <c r="A19540" i="1"/>
  <c r="E19540" i="1"/>
  <c r="F19540" i="1"/>
  <c r="B19541" i="1"/>
  <c r="A19541" i="1"/>
  <c r="E19541" i="1"/>
  <c r="F19541" i="1"/>
  <c r="B19542" i="1"/>
  <c r="A19542" i="1"/>
  <c r="E19542" i="1"/>
  <c r="F19542" i="1"/>
  <c r="B19543" i="1"/>
  <c r="A19543" i="1"/>
  <c r="E19543" i="1"/>
  <c r="F19543" i="1"/>
  <c r="B19544" i="1"/>
  <c r="A19544" i="1"/>
  <c r="E19544" i="1"/>
  <c r="F19544" i="1"/>
  <c r="B19545" i="1"/>
  <c r="A19545" i="1"/>
  <c r="E19545" i="1"/>
  <c r="F19545" i="1"/>
  <c r="B19546" i="1"/>
  <c r="A19546" i="1"/>
  <c r="E19546" i="1"/>
  <c r="F19546" i="1"/>
  <c r="B19547" i="1"/>
  <c r="A19547" i="1"/>
  <c r="E19547" i="1"/>
  <c r="F19547" i="1"/>
  <c r="B19548" i="1"/>
  <c r="A19548" i="1"/>
  <c r="E19548" i="1"/>
  <c r="F19548" i="1"/>
  <c r="B19549" i="1"/>
  <c r="A19549" i="1"/>
  <c r="E19549" i="1"/>
  <c r="F19549" i="1"/>
  <c r="B19550" i="1"/>
  <c r="A19550" i="1"/>
  <c r="E19550" i="1"/>
  <c r="F19550" i="1"/>
  <c r="B19551" i="1"/>
  <c r="A19551" i="1"/>
  <c r="E19551" i="1"/>
  <c r="F19551" i="1"/>
  <c r="B19552" i="1"/>
  <c r="A19552" i="1"/>
  <c r="E19552" i="1"/>
  <c r="F19552" i="1"/>
  <c r="B19553" i="1"/>
  <c r="A19553" i="1"/>
  <c r="E19553" i="1"/>
  <c r="F19553" i="1"/>
  <c r="B19554" i="1"/>
  <c r="A19554" i="1"/>
  <c r="E19554" i="1"/>
  <c r="F19554" i="1"/>
  <c r="B19555" i="1"/>
  <c r="A19555" i="1"/>
  <c r="E19555" i="1"/>
  <c r="F19555" i="1"/>
  <c r="B19556" i="1"/>
  <c r="A19556" i="1"/>
  <c r="E19556" i="1"/>
  <c r="F19556" i="1"/>
  <c r="B19557" i="1"/>
  <c r="A19557" i="1"/>
  <c r="E19557" i="1"/>
  <c r="F19557" i="1"/>
  <c r="B19558" i="1"/>
  <c r="A19558" i="1"/>
  <c r="E19558" i="1"/>
  <c r="F19558" i="1"/>
  <c r="B19559" i="1"/>
  <c r="A19559" i="1"/>
  <c r="E19559" i="1"/>
  <c r="F19559" i="1"/>
  <c r="B19560" i="1"/>
  <c r="A19560" i="1"/>
  <c r="E19560" i="1"/>
  <c r="F19560" i="1"/>
  <c r="B19561" i="1"/>
  <c r="A19561" i="1"/>
  <c r="E19561" i="1"/>
  <c r="F19561" i="1"/>
  <c r="G19561" i="1"/>
  <c r="B19562" i="1"/>
  <c r="A19562" i="1"/>
  <c r="E19562" i="1"/>
  <c r="F19562" i="1"/>
  <c r="G19562" i="1"/>
  <c r="B19563" i="1"/>
  <c r="A19563" i="1"/>
  <c r="E19563" i="1"/>
  <c r="F19563" i="1"/>
  <c r="G19563" i="1"/>
  <c r="B19564" i="1"/>
  <c r="A19564" i="1"/>
  <c r="E19564" i="1"/>
  <c r="F19564" i="1"/>
  <c r="G19564" i="1"/>
  <c r="B19565" i="1"/>
  <c r="A19565" i="1"/>
  <c r="E19565" i="1"/>
  <c r="F19565" i="1"/>
  <c r="G19565" i="1"/>
  <c r="B19566" i="1"/>
  <c r="A19566" i="1"/>
  <c r="E19566" i="1"/>
  <c r="F19566" i="1"/>
  <c r="G19566" i="1"/>
  <c r="B19567" i="1"/>
  <c r="A19567" i="1"/>
  <c r="E19567" i="1"/>
  <c r="F19567" i="1"/>
  <c r="G19567" i="1"/>
  <c r="B19568" i="1"/>
  <c r="A19568" i="1"/>
  <c r="E19568" i="1"/>
  <c r="F19568" i="1"/>
  <c r="G19568" i="1"/>
  <c r="B19569" i="1"/>
  <c r="A19569" i="1"/>
  <c r="E19569" i="1"/>
  <c r="F19569" i="1"/>
  <c r="G19569" i="1"/>
  <c r="B19570" i="1"/>
  <c r="A19570" i="1"/>
  <c r="E19570" i="1"/>
  <c r="F19570" i="1"/>
  <c r="G19570" i="1"/>
  <c r="B19571" i="1"/>
  <c r="A19571" i="1"/>
  <c r="E19571" i="1"/>
  <c r="F19571" i="1"/>
  <c r="G19571" i="1"/>
  <c r="B19572" i="1"/>
  <c r="A19572" i="1"/>
  <c r="E19572" i="1"/>
  <c r="F19572" i="1"/>
  <c r="G19572" i="1"/>
  <c r="B19573" i="1"/>
  <c r="A19573" i="1"/>
  <c r="E19573" i="1"/>
  <c r="F19573" i="1"/>
  <c r="G19573" i="1"/>
  <c r="B19574" i="1"/>
  <c r="A19574" i="1"/>
  <c r="E19574" i="1"/>
  <c r="F19574" i="1"/>
  <c r="G19574" i="1"/>
  <c r="B19575" i="1"/>
  <c r="A19575" i="1"/>
  <c r="E19575" i="1"/>
  <c r="F19575" i="1"/>
  <c r="G19575" i="1"/>
  <c r="B19576" i="1"/>
  <c r="A19576" i="1"/>
  <c r="E19576" i="1"/>
  <c r="F19576" i="1"/>
  <c r="G19576" i="1"/>
  <c r="B19577" i="1"/>
  <c r="A19577" i="1"/>
  <c r="E19577" i="1"/>
  <c r="F19577" i="1"/>
  <c r="B19578" i="1"/>
  <c r="A19578" i="1"/>
  <c r="E19578" i="1"/>
  <c r="F19578" i="1"/>
  <c r="B19579" i="1"/>
  <c r="A19579" i="1"/>
  <c r="E19579" i="1"/>
  <c r="F19579" i="1"/>
  <c r="B19580" i="1"/>
  <c r="A19580" i="1"/>
  <c r="E19580" i="1"/>
  <c r="F19580" i="1"/>
  <c r="B19581" i="1"/>
  <c r="A19581" i="1"/>
  <c r="E19581" i="1"/>
  <c r="F19581" i="1"/>
  <c r="B19582" i="1"/>
  <c r="A19582" i="1"/>
  <c r="E19582" i="1"/>
  <c r="F19582" i="1"/>
  <c r="B19583" i="1"/>
  <c r="A19583" i="1"/>
  <c r="E19583" i="1"/>
  <c r="F19583" i="1"/>
  <c r="B19584" i="1"/>
  <c r="A19584" i="1"/>
  <c r="E19584" i="1"/>
  <c r="F19584" i="1"/>
  <c r="B19585" i="1"/>
  <c r="A19585" i="1"/>
  <c r="E19585" i="1"/>
  <c r="F19585" i="1"/>
  <c r="B19586" i="1"/>
  <c r="A19586" i="1"/>
  <c r="E19586" i="1"/>
  <c r="F19586" i="1"/>
  <c r="B19587" i="1"/>
  <c r="A19587" i="1"/>
  <c r="E19587" i="1"/>
  <c r="F19587" i="1"/>
  <c r="B19588" i="1"/>
  <c r="A19588" i="1"/>
  <c r="E19588" i="1"/>
  <c r="F19588" i="1"/>
  <c r="B19589" i="1"/>
  <c r="A19589" i="1"/>
  <c r="E19589" i="1"/>
  <c r="F19589" i="1"/>
  <c r="B19590" i="1"/>
  <c r="A19590" i="1"/>
  <c r="E19590" i="1"/>
  <c r="F19590" i="1"/>
  <c r="B19591" i="1"/>
  <c r="A19591" i="1"/>
  <c r="E19591" i="1"/>
  <c r="F19591" i="1"/>
  <c r="B19592" i="1"/>
  <c r="A19592" i="1"/>
  <c r="E19592" i="1"/>
  <c r="F19592" i="1"/>
  <c r="B19593" i="1"/>
  <c r="A19593" i="1"/>
  <c r="E19593" i="1"/>
  <c r="F19593" i="1"/>
  <c r="B19594" i="1"/>
  <c r="A19594" i="1"/>
  <c r="E19594" i="1"/>
  <c r="F19594" i="1"/>
  <c r="B19595" i="1"/>
  <c r="A19595" i="1"/>
  <c r="E19595" i="1"/>
  <c r="F19595" i="1"/>
  <c r="B19596" i="1"/>
  <c r="A19596" i="1"/>
  <c r="E19596" i="1"/>
  <c r="F19596" i="1"/>
  <c r="B19597" i="1"/>
  <c r="A19597" i="1"/>
  <c r="E19597" i="1"/>
  <c r="F19597" i="1"/>
  <c r="B19598" i="1"/>
  <c r="A19598" i="1"/>
  <c r="E19598" i="1"/>
  <c r="F19598" i="1"/>
  <c r="B19599" i="1"/>
  <c r="A19599" i="1"/>
  <c r="E19599" i="1"/>
  <c r="F19599" i="1"/>
  <c r="B19600" i="1"/>
  <c r="A19600" i="1"/>
  <c r="E19600" i="1"/>
  <c r="F19600" i="1"/>
  <c r="B19601" i="1"/>
  <c r="A19601" i="1"/>
  <c r="E19601" i="1"/>
  <c r="F19601" i="1"/>
  <c r="B19602" i="1"/>
  <c r="A19602" i="1"/>
  <c r="E19602" i="1"/>
  <c r="F19602" i="1"/>
  <c r="B19603" i="1"/>
  <c r="A19603" i="1"/>
  <c r="E19603" i="1"/>
  <c r="F19603" i="1"/>
  <c r="B19604" i="1"/>
  <c r="A19604" i="1"/>
  <c r="E19604" i="1"/>
  <c r="F19604" i="1"/>
  <c r="B19605" i="1"/>
  <c r="A19605" i="1"/>
  <c r="E19605" i="1"/>
  <c r="F19605" i="1"/>
  <c r="B19606" i="1"/>
  <c r="A19606" i="1"/>
  <c r="E19606" i="1"/>
  <c r="F19606" i="1"/>
  <c r="B19607" i="1"/>
  <c r="A19607" i="1"/>
  <c r="E19607" i="1"/>
  <c r="F19607" i="1"/>
  <c r="B19608" i="1"/>
  <c r="A19608" i="1"/>
  <c r="E19608" i="1"/>
  <c r="F19608" i="1"/>
  <c r="B19609" i="1"/>
  <c r="A19609" i="1"/>
  <c r="E19609" i="1"/>
  <c r="F19609" i="1"/>
  <c r="B19610" i="1"/>
  <c r="A19610" i="1"/>
  <c r="E19610" i="1"/>
  <c r="F19610" i="1"/>
  <c r="B19611" i="1"/>
  <c r="A19611" i="1"/>
  <c r="E19611" i="1"/>
  <c r="F19611" i="1"/>
  <c r="B19612" i="1"/>
  <c r="A19612" i="1"/>
  <c r="E19612" i="1"/>
  <c r="F19612" i="1"/>
  <c r="B19613" i="1"/>
  <c r="A19613" i="1"/>
  <c r="E19613" i="1"/>
  <c r="F19613" i="1"/>
  <c r="B19614" i="1"/>
  <c r="A19614" i="1"/>
  <c r="E19614" i="1"/>
  <c r="F19614" i="1"/>
  <c r="B19615" i="1"/>
  <c r="A19615" i="1"/>
  <c r="E19615" i="1"/>
  <c r="F19615" i="1"/>
  <c r="B19616" i="1"/>
  <c r="A19616" i="1"/>
  <c r="E19616" i="1"/>
  <c r="F19616" i="1"/>
  <c r="B19617" i="1"/>
  <c r="A19617" i="1"/>
  <c r="E19617" i="1"/>
  <c r="F19617" i="1"/>
  <c r="B19618" i="1"/>
  <c r="A19618" i="1"/>
  <c r="E19618" i="1"/>
  <c r="F19618" i="1"/>
  <c r="B19619" i="1"/>
  <c r="A19619" i="1"/>
  <c r="E19619" i="1"/>
  <c r="F19619" i="1"/>
  <c r="B19620" i="1"/>
  <c r="A19620" i="1"/>
  <c r="E19620" i="1"/>
  <c r="F19620" i="1"/>
  <c r="B19621" i="1"/>
  <c r="A19621" i="1"/>
  <c r="E19621" i="1"/>
  <c r="F19621" i="1"/>
  <c r="B19622" i="1"/>
  <c r="A19622" i="1"/>
  <c r="E19622" i="1"/>
  <c r="F19622" i="1"/>
  <c r="B19623" i="1"/>
  <c r="A19623" i="1"/>
  <c r="E19623" i="1"/>
  <c r="F19623" i="1"/>
  <c r="B19624" i="1"/>
  <c r="A19624" i="1"/>
  <c r="E19624" i="1"/>
  <c r="F19624" i="1"/>
  <c r="B19625" i="1"/>
  <c r="A19625" i="1"/>
  <c r="E19625" i="1"/>
  <c r="F19625" i="1"/>
  <c r="B19626" i="1"/>
  <c r="A19626" i="1"/>
  <c r="E19626" i="1"/>
  <c r="F19626" i="1"/>
  <c r="B19627" i="1"/>
  <c r="A19627" i="1"/>
  <c r="E19627" i="1"/>
  <c r="F19627" i="1"/>
  <c r="B19628" i="1"/>
  <c r="A19628" i="1"/>
  <c r="E19628" i="1"/>
  <c r="F19628" i="1"/>
  <c r="B19629" i="1"/>
  <c r="A19629" i="1"/>
  <c r="E19629" i="1"/>
  <c r="F19629" i="1"/>
  <c r="B19630" i="1"/>
  <c r="A19630" i="1"/>
  <c r="E19630" i="1"/>
  <c r="F19630" i="1"/>
  <c r="B19631" i="1"/>
  <c r="A19631" i="1"/>
  <c r="E19631" i="1"/>
  <c r="F19631" i="1"/>
  <c r="B19632" i="1"/>
  <c r="A19632" i="1"/>
  <c r="E19632" i="1"/>
  <c r="F19632" i="1"/>
  <c r="B19633" i="1"/>
  <c r="A19633" i="1"/>
  <c r="E19633" i="1"/>
  <c r="F19633" i="1"/>
  <c r="B19634" i="1"/>
  <c r="A19634" i="1"/>
  <c r="E19634" i="1"/>
  <c r="F19634" i="1"/>
  <c r="B19635" i="1"/>
  <c r="A19635" i="1"/>
  <c r="E19635" i="1"/>
  <c r="F19635" i="1"/>
  <c r="B19636" i="1"/>
  <c r="A19636" i="1"/>
  <c r="E19636" i="1"/>
  <c r="F19636" i="1"/>
  <c r="B19637" i="1"/>
  <c r="A19637" i="1"/>
  <c r="E19637" i="1"/>
  <c r="F19637" i="1"/>
  <c r="B19638" i="1"/>
  <c r="A19638" i="1"/>
  <c r="E19638" i="1"/>
  <c r="F19638" i="1"/>
  <c r="B19639" i="1"/>
  <c r="A19639" i="1"/>
  <c r="E19639" i="1"/>
  <c r="F19639" i="1"/>
  <c r="B19640" i="1"/>
  <c r="A19640" i="1"/>
  <c r="E19640" i="1"/>
  <c r="F19640" i="1"/>
  <c r="B19641" i="1"/>
  <c r="A19641" i="1"/>
  <c r="E19641" i="1"/>
  <c r="F19641" i="1"/>
  <c r="B19642" i="1"/>
  <c r="A19642" i="1"/>
  <c r="E19642" i="1"/>
  <c r="F19642" i="1"/>
  <c r="B19643" i="1"/>
  <c r="A19643" i="1"/>
  <c r="E19643" i="1"/>
  <c r="F19643" i="1"/>
  <c r="B19644" i="1"/>
  <c r="A19644" i="1"/>
  <c r="E19644" i="1"/>
  <c r="F19644" i="1"/>
  <c r="B19645" i="1"/>
  <c r="A19645" i="1"/>
  <c r="E19645" i="1"/>
  <c r="F19645" i="1"/>
  <c r="B19646" i="1"/>
  <c r="A19646" i="1"/>
  <c r="E19646" i="1"/>
  <c r="F19646" i="1"/>
  <c r="B19647" i="1"/>
  <c r="A19647" i="1"/>
  <c r="E19647" i="1"/>
  <c r="F19647" i="1"/>
  <c r="B19648" i="1"/>
  <c r="A19648" i="1"/>
  <c r="E19648" i="1"/>
  <c r="F19648" i="1"/>
  <c r="B19649" i="1"/>
  <c r="A19649" i="1"/>
  <c r="E19649" i="1"/>
  <c r="F19649" i="1"/>
  <c r="B19650" i="1"/>
  <c r="A19650" i="1"/>
  <c r="E19650" i="1"/>
  <c r="F19650" i="1"/>
  <c r="B19651" i="1"/>
  <c r="A19651" i="1"/>
  <c r="E19651" i="1"/>
  <c r="F19651" i="1"/>
  <c r="B19652" i="1"/>
  <c r="A19652" i="1"/>
  <c r="E19652" i="1"/>
  <c r="F19652" i="1"/>
  <c r="B19653" i="1"/>
  <c r="A19653" i="1"/>
  <c r="E19653" i="1"/>
  <c r="F19653" i="1"/>
  <c r="B19654" i="1"/>
  <c r="A19654" i="1"/>
  <c r="E19654" i="1"/>
  <c r="F19654" i="1"/>
  <c r="B19655" i="1"/>
  <c r="A19655" i="1"/>
  <c r="E19655" i="1"/>
  <c r="F19655" i="1"/>
  <c r="B19656" i="1"/>
  <c r="A19656" i="1"/>
  <c r="E19656" i="1"/>
  <c r="F19656" i="1"/>
  <c r="B19657" i="1"/>
  <c r="A19657" i="1"/>
  <c r="E19657" i="1"/>
  <c r="F19657" i="1"/>
  <c r="B19658" i="1"/>
  <c r="A19658" i="1"/>
  <c r="E19658" i="1"/>
  <c r="F19658" i="1"/>
  <c r="B19659" i="1"/>
  <c r="A19659" i="1"/>
  <c r="E19659" i="1"/>
  <c r="F19659" i="1"/>
  <c r="B19660" i="1"/>
  <c r="A19660" i="1"/>
  <c r="E19660" i="1"/>
  <c r="F19660" i="1"/>
  <c r="B19661" i="1"/>
  <c r="A19661" i="1"/>
  <c r="E19661" i="1"/>
  <c r="F19661" i="1"/>
  <c r="B19662" i="1"/>
  <c r="A19662" i="1"/>
  <c r="E19662" i="1"/>
  <c r="F19662" i="1"/>
  <c r="B19663" i="1"/>
  <c r="A19663" i="1"/>
  <c r="E19663" i="1"/>
  <c r="F19663" i="1"/>
  <c r="B19664" i="1"/>
  <c r="A19664" i="1"/>
  <c r="E19664" i="1"/>
  <c r="F19664" i="1"/>
  <c r="B19665" i="1"/>
  <c r="A19665" i="1"/>
  <c r="E19665" i="1"/>
  <c r="F19665" i="1"/>
  <c r="B19666" i="1"/>
  <c r="A19666" i="1"/>
  <c r="E19666" i="1"/>
  <c r="F19666" i="1"/>
  <c r="B19667" i="1"/>
  <c r="A19667" i="1"/>
  <c r="E19667" i="1"/>
  <c r="F19667" i="1"/>
  <c r="B19668" i="1"/>
  <c r="A19668" i="1"/>
  <c r="E19668" i="1"/>
  <c r="F19668" i="1"/>
  <c r="B19669" i="1"/>
  <c r="A19669" i="1"/>
  <c r="E19669" i="1"/>
  <c r="F19669" i="1"/>
  <c r="B19670" i="1"/>
  <c r="A19670" i="1"/>
  <c r="E19670" i="1"/>
  <c r="F19670" i="1"/>
  <c r="B19671" i="1"/>
  <c r="A19671" i="1"/>
  <c r="E19671" i="1"/>
  <c r="F19671" i="1"/>
  <c r="B19672" i="1"/>
  <c r="A19672" i="1"/>
  <c r="E19672" i="1"/>
  <c r="F19672" i="1"/>
  <c r="B19673" i="1"/>
  <c r="A19673" i="1"/>
  <c r="E19673" i="1"/>
  <c r="F19673" i="1"/>
  <c r="B19674" i="1"/>
  <c r="A19674" i="1"/>
  <c r="E19674" i="1"/>
  <c r="F19674" i="1"/>
  <c r="B19675" i="1"/>
  <c r="A19675" i="1"/>
  <c r="E19675" i="1"/>
  <c r="F19675" i="1"/>
  <c r="B19676" i="1"/>
  <c r="A19676" i="1"/>
  <c r="E19676" i="1"/>
  <c r="F19676" i="1"/>
  <c r="B19677" i="1"/>
  <c r="A19677" i="1"/>
  <c r="E19677" i="1"/>
  <c r="F19677" i="1"/>
  <c r="B19678" i="1"/>
  <c r="A19678" i="1"/>
  <c r="E19678" i="1"/>
  <c r="F19678" i="1"/>
  <c r="B19679" i="1"/>
  <c r="A19679" i="1"/>
  <c r="E19679" i="1"/>
  <c r="F19679" i="1"/>
  <c r="B19680" i="1"/>
  <c r="A19680" i="1"/>
  <c r="E19680" i="1"/>
  <c r="F19680" i="1"/>
  <c r="B19681" i="1"/>
  <c r="A19681" i="1"/>
  <c r="E19681" i="1"/>
  <c r="F19681" i="1"/>
  <c r="B19682" i="1"/>
  <c r="A19682" i="1"/>
  <c r="E19682" i="1"/>
  <c r="F19682" i="1"/>
  <c r="B19683" i="1"/>
  <c r="A19683" i="1"/>
  <c r="E19683" i="1"/>
  <c r="F19683" i="1"/>
  <c r="B19684" i="1"/>
  <c r="A19684" i="1"/>
  <c r="E19684" i="1"/>
  <c r="F19684" i="1"/>
  <c r="B19685" i="1"/>
  <c r="A19685" i="1"/>
  <c r="E19685" i="1"/>
  <c r="F19685" i="1"/>
  <c r="B19686" i="1"/>
  <c r="A19686" i="1"/>
  <c r="E19686" i="1"/>
  <c r="F19686" i="1"/>
  <c r="B19687" i="1"/>
  <c r="A19687" i="1"/>
  <c r="E19687" i="1"/>
  <c r="F19687" i="1"/>
  <c r="B19688" i="1"/>
  <c r="A19688" i="1"/>
  <c r="E19688" i="1"/>
  <c r="F19688" i="1"/>
  <c r="B19689" i="1"/>
  <c r="A19689" i="1"/>
  <c r="E19689" i="1"/>
  <c r="F19689" i="1"/>
  <c r="B19690" i="1"/>
  <c r="A19690" i="1"/>
  <c r="E19690" i="1"/>
  <c r="F19690" i="1"/>
  <c r="B19691" i="1"/>
  <c r="A19691" i="1"/>
  <c r="E19691" i="1"/>
  <c r="F19691" i="1"/>
  <c r="B19692" i="1"/>
  <c r="A19692" i="1"/>
  <c r="E19692" i="1"/>
  <c r="F19692" i="1"/>
  <c r="B19693" i="1"/>
  <c r="A19693" i="1"/>
  <c r="E19693" i="1"/>
  <c r="F19693" i="1"/>
  <c r="B19694" i="1"/>
  <c r="A19694" i="1"/>
  <c r="E19694" i="1"/>
  <c r="F19694" i="1"/>
  <c r="B19695" i="1"/>
  <c r="A19695" i="1"/>
  <c r="E19695" i="1"/>
  <c r="F19695" i="1"/>
  <c r="B19696" i="1"/>
  <c r="A19696" i="1"/>
  <c r="E19696" i="1"/>
  <c r="F19696" i="1"/>
  <c r="B19697" i="1"/>
  <c r="A19697" i="1"/>
  <c r="E19697" i="1"/>
  <c r="F19697" i="1"/>
  <c r="B19698" i="1"/>
  <c r="A19698" i="1"/>
  <c r="E19698" i="1"/>
  <c r="F19698" i="1"/>
  <c r="B19699" i="1"/>
  <c r="A19699" i="1"/>
  <c r="E19699" i="1"/>
  <c r="F19699" i="1"/>
  <c r="B19700" i="1"/>
  <c r="A19700" i="1"/>
  <c r="E19700" i="1"/>
  <c r="F19700" i="1"/>
  <c r="B19701" i="1"/>
  <c r="A19701" i="1"/>
  <c r="E19701" i="1"/>
  <c r="F19701" i="1"/>
  <c r="B19702" i="1"/>
  <c r="A19702" i="1"/>
  <c r="E19702" i="1"/>
  <c r="F19702" i="1"/>
  <c r="B19703" i="1"/>
  <c r="A19703" i="1"/>
  <c r="E19703" i="1"/>
  <c r="F19703" i="1"/>
  <c r="B19704" i="1"/>
  <c r="A19704" i="1"/>
  <c r="E19704" i="1"/>
  <c r="F19704" i="1"/>
  <c r="B19705" i="1"/>
  <c r="A19705" i="1"/>
  <c r="E19705" i="1"/>
  <c r="F19705" i="1"/>
  <c r="B19706" i="1"/>
  <c r="A19706" i="1"/>
  <c r="E19706" i="1"/>
  <c r="F19706" i="1"/>
  <c r="B19707" i="1"/>
  <c r="A19707" i="1"/>
  <c r="E19707" i="1"/>
  <c r="F19707" i="1"/>
  <c r="B19708" i="1"/>
  <c r="A19708" i="1"/>
  <c r="E19708" i="1"/>
  <c r="F19708" i="1"/>
  <c r="B19709" i="1"/>
  <c r="A19709" i="1"/>
  <c r="E19709" i="1"/>
  <c r="F19709" i="1"/>
  <c r="B19710" i="1"/>
  <c r="A19710" i="1"/>
  <c r="E19710" i="1"/>
  <c r="F19710" i="1"/>
  <c r="B19711" i="1"/>
  <c r="A19711" i="1"/>
  <c r="E19711" i="1"/>
  <c r="F19711" i="1"/>
  <c r="B19712" i="1"/>
  <c r="A19712" i="1"/>
  <c r="E19712" i="1"/>
  <c r="F19712" i="1"/>
  <c r="B19713" i="1"/>
  <c r="A19713" i="1"/>
  <c r="E19713" i="1"/>
  <c r="F19713" i="1"/>
  <c r="B19714" i="1"/>
  <c r="A19714" i="1"/>
  <c r="E19714" i="1"/>
  <c r="F19714" i="1"/>
  <c r="B19715" i="1"/>
  <c r="A19715" i="1"/>
  <c r="E19715" i="1"/>
  <c r="F19715" i="1"/>
  <c r="B19716" i="1"/>
  <c r="A19716" i="1"/>
  <c r="E19716" i="1"/>
  <c r="F19716" i="1"/>
  <c r="B19717" i="1"/>
  <c r="A19717" i="1"/>
  <c r="E19717" i="1"/>
  <c r="F19717" i="1"/>
  <c r="B19718" i="1"/>
  <c r="A19718" i="1"/>
  <c r="E19718" i="1"/>
  <c r="F19718" i="1"/>
  <c r="B19719" i="1"/>
  <c r="A19719" i="1"/>
  <c r="E19719" i="1"/>
  <c r="F19719" i="1"/>
  <c r="B19720" i="1"/>
  <c r="A19720" i="1"/>
  <c r="E19720" i="1"/>
  <c r="F19720" i="1"/>
  <c r="B19721" i="1"/>
  <c r="A19721" i="1"/>
  <c r="E19721" i="1"/>
  <c r="F19721" i="1"/>
  <c r="B19722" i="1"/>
  <c r="A19722" i="1"/>
  <c r="E19722" i="1"/>
  <c r="F19722" i="1"/>
  <c r="B19723" i="1"/>
  <c r="A19723" i="1"/>
  <c r="E19723" i="1"/>
  <c r="F19723" i="1"/>
  <c r="B19724" i="1"/>
  <c r="A19724" i="1"/>
  <c r="E19724" i="1"/>
  <c r="F19724" i="1"/>
  <c r="B19725" i="1"/>
  <c r="A19725" i="1"/>
  <c r="E19725" i="1"/>
  <c r="F19725" i="1"/>
  <c r="B19726" i="1"/>
  <c r="A19726" i="1"/>
  <c r="E19726" i="1"/>
  <c r="F19726" i="1"/>
  <c r="B19727" i="1"/>
  <c r="A19727" i="1"/>
  <c r="E19727" i="1"/>
  <c r="F19727" i="1"/>
  <c r="B19728" i="1"/>
  <c r="A19728" i="1"/>
  <c r="E19728" i="1"/>
  <c r="F19728" i="1"/>
  <c r="B19729" i="1"/>
  <c r="A19729" i="1"/>
  <c r="E19729" i="1"/>
  <c r="F19729" i="1"/>
  <c r="B19730" i="1"/>
  <c r="A19730" i="1"/>
  <c r="E19730" i="1"/>
  <c r="F19730" i="1"/>
  <c r="B19731" i="1"/>
  <c r="A19731" i="1"/>
  <c r="E19731" i="1"/>
  <c r="F19731" i="1"/>
  <c r="B19732" i="1"/>
  <c r="A19732" i="1"/>
  <c r="E19732" i="1"/>
  <c r="F19732" i="1"/>
  <c r="B19733" i="1"/>
  <c r="A19733" i="1"/>
  <c r="E19733" i="1"/>
  <c r="F19733" i="1"/>
  <c r="B19734" i="1"/>
  <c r="A19734" i="1"/>
  <c r="E19734" i="1"/>
  <c r="F19734" i="1"/>
  <c r="B19735" i="1"/>
  <c r="A19735" i="1"/>
  <c r="E19735" i="1"/>
  <c r="F19735" i="1"/>
  <c r="B19736" i="1"/>
  <c r="A19736" i="1"/>
  <c r="E19736" i="1"/>
  <c r="F19736" i="1"/>
  <c r="B19737" i="1"/>
  <c r="A19737" i="1"/>
  <c r="E19737" i="1"/>
  <c r="F19737" i="1"/>
  <c r="B19738" i="1"/>
  <c r="A19738" i="1"/>
  <c r="E19738" i="1"/>
  <c r="F19738" i="1"/>
  <c r="B19739" i="1"/>
  <c r="A19739" i="1"/>
  <c r="E19739" i="1"/>
  <c r="F19739" i="1"/>
  <c r="B19740" i="1"/>
  <c r="A19740" i="1"/>
  <c r="E19740" i="1"/>
  <c r="F19740" i="1"/>
  <c r="B19741" i="1"/>
  <c r="A19741" i="1"/>
  <c r="E19741" i="1"/>
  <c r="F19741" i="1"/>
  <c r="B19742" i="1"/>
  <c r="A19742" i="1"/>
  <c r="E19742" i="1"/>
  <c r="F19742" i="1"/>
  <c r="B19743" i="1"/>
  <c r="A19743" i="1"/>
  <c r="E19743" i="1"/>
  <c r="F19743" i="1"/>
  <c r="B19744" i="1"/>
  <c r="A19744" i="1"/>
  <c r="E19744" i="1"/>
  <c r="F19744" i="1"/>
  <c r="B19745" i="1"/>
  <c r="A19745" i="1"/>
  <c r="E19745" i="1"/>
  <c r="F19745" i="1"/>
  <c r="B19746" i="1"/>
  <c r="A19746" i="1"/>
  <c r="E19746" i="1"/>
  <c r="F19746" i="1"/>
  <c r="B19747" i="1"/>
  <c r="A19747" i="1"/>
  <c r="E19747" i="1"/>
  <c r="F19747" i="1"/>
  <c r="B19748" i="1"/>
  <c r="A19748" i="1"/>
  <c r="E19748" i="1"/>
  <c r="F19748" i="1"/>
  <c r="B19749" i="1"/>
  <c r="A19749" i="1"/>
  <c r="E19749" i="1"/>
  <c r="F19749" i="1"/>
  <c r="B19750" i="1"/>
  <c r="A19750" i="1"/>
  <c r="E19750" i="1"/>
  <c r="F19750" i="1"/>
  <c r="B19751" i="1"/>
  <c r="A19751" i="1"/>
  <c r="E19751" i="1"/>
  <c r="F19751" i="1"/>
  <c r="B19752" i="1"/>
  <c r="A19752" i="1"/>
  <c r="E19752" i="1"/>
  <c r="F19752" i="1"/>
  <c r="B19753" i="1"/>
  <c r="A19753" i="1"/>
  <c r="E19753" i="1"/>
  <c r="F19753" i="1"/>
  <c r="B19754" i="1"/>
  <c r="A19754" i="1"/>
  <c r="E19754" i="1"/>
  <c r="F19754" i="1"/>
  <c r="B19755" i="1"/>
  <c r="A19755" i="1"/>
  <c r="E19755" i="1"/>
  <c r="F19755" i="1"/>
  <c r="B19756" i="1"/>
  <c r="A19756" i="1"/>
  <c r="E19756" i="1"/>
  <c r="F19756" i="1"/>
  <c r="B19757" i="1"/>
  <c r="A19757" i="1"/>
  <c r="E19757" i="1"/>
  <c r="F19757" i="1"/>
  <c r="B19758" i="1"/>
  <c r="A19758" i="1"/>
  <c r="E19758" i="1"/>
  <c r="F19758" i="1"/>
  <c r="B19759" i="1"/>
  <c r="A19759" i="1"/>
  <c r="E19759" i="1"/>
  <c r="F19759" i="1"/>
  <c r="B19760" i="1"/>
  <c r="A19760" i="1"/>
  <c r="E19760" i="1"/>
  <c r="F19760" i="1"/>
  <c r="B19761" i="1"/>
  <c r="A19761" i="1"/>
  <c r="E19761" i="1"/>
  <c r="F19761" i="1"/>
  <c r="B19762" i="1"/>
  <c r="A19762" i="1"/>
  <c r="E19762" i="1"/>
  <c r="F19762" i="1"/>
  <c r="B19763" i="1"/>
  <c r="A19763" i="1"/>
  <c r="E19763" i="1"/>
  <c r="F19763" i="1"/>
  <c r="B19764" i="1"/>
  <c r="A19764" i="1"/>
  <c r="E19764" i="1"/>
  <c r="F19764" i="1"/>
  <c r="B19765" i="1"/>
  <c r="A19765" i="1"/>
  <c r="E19765" i="1"/>
  <c r="F19765" i="1"/>
  <c r="B19766" i="1"/>
  <c r="A19766" i="1"/>
  <c r="E19766" i="1"/>
  <c r="F19766" i="1"/>
  <c r="B19767" i="1"/>
  <c r="A19767" i="1"/>
  <c r="E19767" i="1"/>
  <c r="F19767" i="1"/>
  <c r="B19768" i="1"/>
  <c r="A19768" i="1"/>
  <c r="E19768" i="1"/>
  <c r="F19768" i="1"/>
  <c r="B19769" i="1"/>
  <c r="A19769" i="1"/>
  <c r="E19769" i="1"/>
  <c r="F19769" i="1"/>
  <c r="B19770" i="1"/>
  <c r="A19770" i="1"/>
  <c r="E19770" i="1"/>
  <c r="F19770" i="1"/>
  <c r="B19771" i="1"/>
  <c r="A19771" i="1"/>
  <c r="E19771" i="1"/>
  <c r="F19771" i="1"/>
  <c r="B19772" i="1"/>
  <c r="A19772" i="1"/>
  <c r="E19772" i="1"/>
  <c r="F19772" i="1"/>
  <c r="B19773" i="1"/>
  <c r="A19773" i="1"/>
  <c r="E19773" i="1"/>
  <c r="F19773" i="1"/>
  <c r="B19774" i="1"/>
  <c r="A19774" i="1"/>
  <c r="E19774" i="1"/>
  <c r="F19774" i="1"/>
  <c r="B19775" i="1"/>
  <c r="A19775" i="1"/>
  <c r="E19775" i="1"/>
  <c r="F19775" i="1"/>
  <c r="B19776" i="1"/>
  <c r="A19776" i="1"/>
  <c r="E19776" i="1"/>
  <c r="F19776" i="1"/>
  <c r="B19777" i="1"/>
  <c r="A19777" i="1"/>
  <c r="E19777" i="1"/>
  <c r="F19777" i="1"/>
  <c r="B19778" i="1"/>
  <c r="A19778" i="1"/>
  <c r="E19778" i="1"/>
  <c r="F19778" i="1"/>
  <c r="B19779" i="1"/>
  <c r="A19779" i="1"/>
  <c r="E19779" i="1"/>
  <c r="F19779" i="1"/>
  <c r="B19780" i="1"/>
  <c r="A19780" i="1"/>
  <c r="E19780" i="1"/>
  <c r="F19780" i="1"/>
  <c r="B19781" i="1"/>
  <c r="A19781" i="1"/>
  <c r="E19781" i="1"/>
  <c r="F19781" i="1"/>
  <c r="B19782" i="1"/>
  <c r="A19782" i="1"/>
  <c r="E19782" i="1"/>
  <c r="F19782" i="1"/>
  <c r="B19783" i="1"/>
  <c r="A19783" i="1"/>
  <c r="E19783" i="1"/>
  <c r="F19783" i="1"/>
  <c r="B19784" i="1"/>
  <c r="A19784" i="1"/>
  <c r="E19784" i="1"/>
  <c r="F19784" i="1"/>
  <c r="B19785" i="1"/>
  <c r="A19785" i="1"/>
  <c r="E19785" i="1"/>
  <c r="F19785" i="1"/>
  <c r="B19786" i="1"/>
  <c r="A19786" i="1"/>
  <c r="E19786" i="1"/>
  <c r="F19786" i="1"/>
  <c r="B19787" i="1"/>
  <c r="A19787" i="1"/>
  <c r="E19787" i="1"/>
  <c r="F19787" i="1"/>
  <c r="B19788" i="1"/>
  <c r="A19788" i="1"/>
  <c r="E19788" i="1"/>
  <c r="F19788" i="1"/>
  <c r="B19789" i="1"/>
  <c r="A19789" i="1"/>
  <c r="E19789" i="1"/>
  <c r="F19789" i="1"/>
  <c r="B19790" i="1"/>
  <c r="A19790" i="1"/>
  <c r="E19790" i="1"/>
  <c r="F19790" i="1"/>
  <c r="B19791" i="1"/>
  <c r="A19791" i="1"/>
  <c r="E19791" i="1"/>
  <c r="F19791" i="1"/>
  <c r="B19792" i="1"/>
  <c r="A19792" i="1"/>
  <c r="E19792" i="1"/>
  <c r="F19792" i="1"/>
  <c r="B19793" i="1"/>
  <c r="A19793" i="1"/>
  <c r="E19793" i="1"/>
  <c r="F19793" i="1"/>
  <c r="B19794" i="1"/>
  <c r="A19794" i="1"/>
  <c r="E19794" i="1"/>
  <c r="F19794" i="1"/>
  <c r="B19795" i="1"/>
  <c r="A19795" i="1"/>
  <c r="E19795" i="1"/>
  <c r="F19795" i="1"/>
  <c r="B19796" i="1"/>
  <c r="A19796" i="1"/>
  <c r="E19796" i="1"/>
  <c r="F19796" i="1"/>
  <c r="B19797" i="1"/>
  <c r="A19797" i="1"/>
  <c r="E19797" i="1"/>
  <c r="F19797" i="1"/>
  <c r="B19798" i="1"/>
  <c r="A19798" i="1"/>
  <c r="E19798" i="1"/>
  <c r="F19798" i="1"/>
  <c r="B19799" i="1"/>
  <c r="A19799" i="1"/>
  <c r="E19799" i="1"/>
  <c r="F19799" i="1"/>
  <c r="B19800" i="1"/>
  <c r="A19800" i="1"/>
  <c r="E19800" i="1"/>
  <c r="F19800" i="1"/>
  <c r="B19801" i="1"/>
  <c r="A19801" i="1"/>
  <c r="E19801" i="1"/>
  <c r="F19801" i="1"/>
  <c r="B19802" i="1"/>
  <c r="A19802" i="1"/>
  <c r="E19802" i="1"/>
  <c r="F19802" i="1"/>
  <c r="B19803" i="1"/>
  <c r="A19803" i="1"/>
  <c r="E19803" i="1"/>
  <c r="F19803" i="1"/>
  <c r="B19804" i="1"/>
  <c r="A19804" i="1"/>
  <c r="E19804" i="1"/>
  <c r="F19804" i="1"/>
  <c r="B19805" i="1"/>
  <c r="A19805" i="1"/>
  <c r="E19805" i="1"/>
  <c r="F19805" i="1"/>
  <c r="B19806" i="1"/>
  <c r="A19806" i="1"/>
  <c r="E19806" i="1"/>
  <c r="F19806" i="1"/>
  <c r="B19807" i="1"/>
  <c r="A19807" i="1"/>
  <c r="E19807" i="1"/>
  <c r="F19807" i="1"/>
  <c r="B19808" i="1"/>
  <c r="A19808" i="1"/>
  <c r="E19808" i="1"/>
  <c r="F19808" i="1"/>
  <c r="B19809" i="1"/>
  <c r="A19809" i="1"/>
  <c r="E19809" i="1"/>
  <c r="F19809" i="1"/>
  <c r="B19810" i="1"/>
  <c r="A19810" i="1"/>
  <c r="E19810" i="1"/>
  <c r="F19810" i="1"/>
  <c r="B19811" i="1"/>
  <c r="A19811" i="1"/>
  <c r="E19811" i="1"/>
  <c r="F19811" i="1"/>
  <c r="B19812" i="1"/>
  <c r="A19812" i="1"/>
  <c r="E19812" i="1"/>
  <c r="F19812" i="1"/>
  <c r="B19813" i="1"/>
  <c r="A19813" i="1"/>
  <c r="E19813" i="1"/>
  <c r="F19813" i="1"/>
  <c r="B19814" i="1"/>
  <c r="A19814" i="1"/>
  <c r="E19814" i="1"/>
  <c r="F19814" i="1"/>
  <c r="B19815" i="1"/>
  <c r="A19815" i="1"/>
  <c r="E19815" i="1"/>
  <c r="F19815" i="1"/>
  <c r="B19816" i="1"/>
  <c r="A19816" i="1"/>
  <c r="E19816" i="1"/>
  <c r="F19816" i="1"/>
  <c r="B19817" i="1"/>
  <c r="A19817" i="1"/>
  <c r="E19817" i="1"/>
  <c r="F19817" i="1"/>
  <c r="B19818" i="1"/>
  <c r="A19818" i="1"/>
  <c r="E19818" i="1"/>
  <c r="F19818" i="1"/>
  <c r="B19819" i="1"/>
  <c r="A19819" i="1"/>
  <c r="E19819" i="1"/>
  <c r="F19819" i="1"/>
  <c r="B19820" i="1"/>
  <c r="A19820" i="1"/>
  <c r="E19820" i="1"/>
  <c r="F19820" i="1"/>
  <c r="B19821" i="1"/>
  <c r="A19821" i="1"/>
  <c r="E19821" i="1"/>
  <c r="F19821" i="1"/>
  <c r="B19822" i="1"/>
  <c r="A19822" i="1"/>
  <c r="E19822" i="1"/>
  <c r="F19822" i="1"/>
  <c r="B19823" i="1"/>
  <c r="A19823" i="1"/>
  <c r="E19823" i="1"/>
  <c r="F19823" i="1"/>
  <c r="B19824" i="1"/>
  <c r="A19824" i="1"/>
  <c r="E19824" i="1"/>
  <c r="F19824" i="1"/>
  <c r="B19825" i="1"/>
  <c r="A19825" i="1"/>
  <c r="E19825" i="1"/>
  <c r="F19825" i="1"/>
  <c r="B19826" i="1"/>
  <c r="A19826" i="1"/>
  <c r="E19826" i="1"/>
  <c r="F19826" i="1"/>
  <c r="B19827" i="1"/>
  <c r="A19827" i="1"/>
  <c r="E19827" i="1"/>
  <c r="F19827" i="1"/>
  <c r="B19828" i="1"/>
  <c r="A19828" i="1"/>
  <c r="E19828" i="1"/>
  <c r="F19828" i="1"/>
  <c r="B19829" i="1"/>
  <c r="A19829" i="1"/>
  <c r="E19829" i="1"/>
  <c r="F19829" i="1"/>
  <c r="B19830" i="1"/>
  <c r="A19830" i="1"/>
  <c r="E19830" i="1"/>
  <c r="F19830" i="1"/>
  <c r="B19831" i="1"/>
  <c r="A19831" i="1"/>
  <c r="E19831" i="1"/>
  <c r="F19831" i="1"/>
  <c r="B19832" i="1"/>
  <c r="A19832" i="1"/>
  <c r="E19832" i="1"/>
  <c r="F19832" i="1"/>
  <c r="B19833" i="1"/>
  <c r="A19833" i="1"/>
  <c r="E19833" i="1"/>
  <c r="F19833" i="1"/>
  <c r="B19834" i="1"/>
  <c r="A19834" i="1"/>
  <c r="E19834" i="1"/>
  <c r="F19834" i="1"/>
  <c r="B19835" i="1"/>
  <c r="A19835" i="1"/>
  <c r="E19835" i="1"/>
  <c r="F19835" i="1"/>
  <c r="B19836" i="1"/>
  <c r="A19836" i="1"/>
  <c r="E19836" i="1"/>
  <c r="F19836" i="1"/>
  <c r="B19837" i="1"/>
  <c r="A19837" i="1"/>
  <c r="E19837" i="1"/>
  <c r="F19837" i="1"/>
  <c r="B19838" i="1"/>
  <c r="A19838" i="1"/>
  <c r="E19838" i="1"/>
  <c r="F19838" i="1"/>
  <c r="B19839" i="1"/>
  <c r="A19839" i="1"/>
  <c r="E19839" i="1"/>
  <c r="F19839" i="1"/>
  <c r="B19840" i="1"/>
  <c r="A19840" i="1"/>
  <c r="E19840" i="1"/>
  <c r="F19840" i="1"/>
  <c r="B19841" i="1"/>
  <c r="A19841" i="1"/>
  <c r="E19841" i="1"/>
  <c r="F19841" i="1"/>
  <c r="B19842" i="1"/>
  <c r="A19842" i="1"/>
  <c r="E19842" i="1"/>
  <c r="F19842" i="1"/>
  <c r="B19843" i="1"/>
  <c r="A19843" i="1"/>
  <c r="E19843" i="1"/>
  <c r="F19843" i="1"/>
  <c r="B19844" i="1"/>
  <c r="A19844" i="1"/>
  <c r="E19844" i="1"/>
  <c r="F19844" i="1"/>
  <c r="B19845" i="1"/>
  <c r="A19845" i="1"/>
  <c r="E19845" i="1"/>
  <c r="F19845" i="1"/>
  <c r="B19846" i="1"/>
  <c r="A19846" i="1"/>
  <c r="E19846" i="1"/>
  <c r="F19846" i="1"/>
  <c r="B19847" i="1"/>
  <c r="A19847" i="1"/>
  <c r="E19847" i="1"/>
  <c r="F19847" i="1"/>
  <c r="B19848" i="1"/>
  <c r="A19848" i="1"/>
  <c r="E19848" i="1"/>
  <c r="F19848" i="1"/>
  <c r="B19849" i="1"/>
  <c r="A19849" i="1"/>
  <c r="E19849" i="1"/>
  <c r="F19849" i="1"/>
  <c r="B19850" i="1"/>
  <c r="A19850" i="1"/>
  <c r="E19850" i="1"/>
  <c r="F19850" i="1"/>
  <c r="B19851" i="1"/>
  <c r="A19851" i="1"/>
  <c r="E19851" i="1"/>
  <c r="F19851" i="1"/>
  <c r="B19852" i="1"/>
  <c r="A19852" i="1"/>
  <c r="E19852" i="1"/>
  <c r="F19852" i="1"/>
  <c r="B19853" i="1"/>
  <c r="A19853" i="1"/>
  <c r="E19853" i="1"/>
  <c r="F19853" i="1"/>
  <c r="B19854" i="1"/>
  <c r="A19854" i="1"/>
  <c r="E19854" i="1"/>
  <c r="F19854" i="1"/>
  <c r="B19855" i="1"/>
  <c r="A19855" i="1"/>
  <c r="E19855" i="1"/>
  <c r="F19855" i="1"/>
  <c r="B19856" i="1"/>
  <c r="A19856" i="1"/>
  <c r="E19856" i="1"/>
  <c r="F19856" i="1"/>
  <c r="B19857" i="1"/>
  <c r="A19857" i="1"/>
  <c r="E19857" i="1"/>
  <c r="F19857" i="1"/>
  <c r="B19858" i="1"/>
  <c r="A19858" i="1"/>
  <c r="E19858" i="1"/>
  <c r="F19858" i="1"/>
  <c r="B19859" i="1"/>
  <c r="A19859" i="1"/>
  <c r="E19859" i="1"/>
  <c r="F19859" i="1"/>
  <c r="B19860" i="1"/>
  <c r="A19860" i="1"/>
  <c r="E19860" i="1"/>
  <c r="F19860" i="1"/>
  <c r="B19861" i="1"/>
  <c r="A19861" i="1"/>
  <c r="E19861" i="1"/>
  <c r="F19861" i="1"/>
  <c r="B19862" i="1"/>
  <c r="A19862" i="1"/>
  <c r="E19862" i="1"/>
  <c r="F19862" i="1"/>
  <c r="B19863" i="1"/>
  <c r="A19863" i="1"/>
  <c r="E19863" i="1"/>
  <c r="F19863" i="1"/>
  <c r="B19864" i="1"/>
  <c r="A19864" i="1"/>
  <c r="E19864" i="1"/>
  <c r="F19864" i="1"/>
  <c r="B19865" i="1"/>
  <c r="A19865" i="1"/>
  <c r="E19865" i="1"/>
  <c r="F19865" i="1"/>
  <c r="B19866" i="1"/>
  <c r="A19866" i="1"/>
  <c r="E19866" i="1"/>
  <c r="F19866" i="1"/>
  <c r="B19867" i="1"/>
  <c r="A19867" i="1"/>
  <c r="E19867" i="1"/>
  <c r="F19867" i="1"/>
  <c r="B19868" i="1"/>
  <c r="A19868" i="1"/>
  <c r="E19868" i="1"/>
  <c r="F19868" i="1"/>
  <c r="B19869" i="1"/>
  <c r="A19869" i="1"/>
  <c r="E19869" i="1"/>
  <c r="F19869" i="1"/>
  <c r="B19870" i="1"/>
  <c r="A19870" i="1"/>
  <c r="E19870" i="1"/>
  <c r="F19870" i="1"/>
  <c r="B19871" i="1"/>
  <c r="A19871" i="1"/>
  <c r="E19871" i="1"/>
  <c r="F19871" i="1"/>
  <c r="B19872" i="1"/>
  <c r="A19872" i="1"/>
  <c r="E19872" i="1"/>
  <c r="F19872" i="1"/>
  <c r="B19873" i="1"/>
  <c r="A19873" i="1"/>
  <c r="E19873" i="1"/>
  <c r="F19873" i="1"/>
  <c r="B19874" i="1"/>
  <c r="A19874" i="1"/>
  <c r="E19874" i="1"/>
  <c r="F19874" i="1"/>
  <c r="B19875" i="1"/>
  <c r="A19875" i="1"/>
  <c r="E19875" i="1"/>
  <c r="F19875" i="1"/>
  <c r="B19876" i="1"/>
  <c r="A19876" i="1"/>
  <c r="E19876" i="1"/>
  <c r="F19876" i="1"/>
  <c r="B19877" i="1"/>
  <c r="A19877" i="1"/>
  <c r="E19877" i="1"/>
  <c r="F19877" i="1"/>
  <c r="B19878" i="1"/>
  <c r="A19878" i="1"/>
  <c r="E19878" i="1"/>
  <c r="F19878" i="1"/>
  <c r="B19879" i="1"/>
  <c r="A19879" i="1"/>
  <c r="E19879" i="1"/>
  <c r="F19879" i="1"/>
  <c r="B19880" i="1"/>
  <c r="A19880" i="1"/>
  <c r="E19880" i="1"/>
  <c r="F19880" i="1"/>
  <c r="B19881" i="1"/>
  <c r="A19881" i="1"/>
  <c r="E19881" i="1"/>
  <c r="F19881" i="1"/>
  <c r="B19882" i="1"/>
  <c r="A19882" i="1"/>
  <c r="E19882" i="1"/>
  <c r="F19882" i="1"/>
  <c r="B19883" i="1"/>
  <c r="A19883" i="1"/>
  <c r="E19883" i="1"/>
  <c r="F19883" i="1"/>
  <c r="B19884" i="1"/>
  <c r="A19884" i="1"/>
  <c r="E19884" i="1"/>
  <c r="F19884" i="1"/>
  <c r="B19885" i="1"/>
  <c r="A19885" i="1"/>
  <c r="E19885" i="1"/>
  <c r="F19885" i="1"/>
  <c r="B19886" i="1"/>
  <c r="A19886" i="1"/>
  <c r="E19886" i="1"/>
  <c r="F19886" i="1"/>
  <c r="B19887" i="1"/>
  <c r="A19887" i="1"/>
  <c r="E19887" i="1"/>
  <c r="F19887" i="1"/>
  <c r="B19888" i="1"/>
  <c r="A19888" i="1"/>
  <c r="E19888" i="1"/>
  <c r="F19888" i="1"/>
  <c r="B19889" i="1"/>
  <c r="A19889" i="1"/>
  <c r="E19889" i="1"/>
  <c r="F19889" i="1"/>
  <c r="G19889" i="1"/>
  <c r="B19890" i="1"/>
  <c r="A19890" i="1"/>
  <c r="E19890" i="1"/>
  <c r="F19890" i="1"/>
  <c r="G19890" i="1"/>
  <c r="B19891" i="1"/>
  <c r="A19891" i="1"/>
  <c r="E19891" i="1"/>
  <c r="F19891" i="1"/>
  <c r="G19891" i="1"/>
  <c r="B19892" i="1"/>
  <c r="A19892" i="1"/>
  <c r="E19892" i="1"/>
  <c r="F19892" i="1"/>
  <c r="G19892" i="1"/>
  <c r="B19893" i="1"/>
  <c r="A19893" i="1"/>
  <c r="E19893" i="1"/>
  <c r="F19893" i="1"/>
  <c r="G19893" i="1"/>
  <c r="B19894" i="1"/>
  <c r="A19894" i="1"/>
  <c r="E19894" i="1"/>
  <c r="F19894" i="1"/>
  <c r="G19894" i="1"/>
  <c r="B19895" i="1"/>
  <c r="A19895" i="1"/>
  <c r="E19895" i="1"/>
  <c r="F19895" i="1"/>
  <c r="G19895" i="1"/>
  <c r="B19896" i="1"/>
  <c r="A19896" i="1"/>
  <c r="E19896" i="1"/>
  <c r="F19896" i="1"/>
  <c r="G19896" i="1"/>
  <c r="B19897" i="1"/>
  <c r="A19897" i="1"/>
  <c r="E19897" i="1"/>
  <c r="F19897" i="1"/>
  <c r="G19897" i="1"/>
  <c r="B19898" i="1"/>
  <c r="A19898" i="1"/>
  <c r="E19898" i="1"/>
  <c r="F19898" i="1"/>
  <c r="G19898" i="1"/>
  <c r="B19899" i="1"/>
  <c r="A19899" i="1"/>
  <c r="E19899" i="1"/>
  <c r="F19899" i="1"/>
  <c r="G19899" i="1"/>
  <c r="B19900" i="1"/>
  <c r="A19900" i="1"/>
  <c r="E19900" i="1"/>
  <c r="F19900" i="1"/>
  <c r="G19900" i="1"/>
  <c r="B19901" i="1"/>
  <c r="A19901" i="1"/>
  <c r="E19901" i="1"/>
  <c r="F19901" i="1"/>
  <c r="G19901" i="1"/>
  <c r="B19902" i="1"/>
  <c r="A19902" i="1"/>
  <c r="E19902" i="1"/>
  <c r="F19902" i="1"/>
  <c r="G19902" i="1"/>
  <c r="B19903" i="1"/>
  <c r="A19903" i="1"/>
  <c r="E19903" i="1"/>
  <c r="F19903" i="1"/>
  <c r="G19903" i="1"/>
  <c r="B19904" i="1"/>
  <c r="A19904" i="1"/>
  <c r="E19904" i="1"/>
  <c r="F19904" i="1"/>
  <c r="G19904" i="1"/>
  <c r="B19905" i="1"/>
  <c r="A19905" i="1"/>
  <c r="E19905" i="1"/>
  <c r="F19905" i="1"/>
  <c r="G19905" i="1"/>
  <c r="B19906" i="1"/>
  <c r="A19906" i="1"/>
  <c r="E19906" i="1"/>
  <c r="F19906" i="1"/>
  <c r="G19906" i="1"/>
  <c r="B19907" i="1"/>
  <c r="A19907" i="1"/>
  <c r="E19907" i="1"/>
  <c r="F19907" i="1"/>
  <c r="B19908" i="1"/>
  <c r="A19908" i="1"/>
  <c r="E19908" i="1"/>
  <c r="F19908" i="1"/>
  <c r="B19909" i="1"/>
  <c r="A19909" i="1"/>
  <c r="E19909" i="1"/>
  <c r="F19909" i="1"/>
  <c r="B19910" i="1"/>
  <c r="A19910" i="1"/>
  <c r="E19910" i="1"/>
  <c r="F19910" i="1"/>
  <c r="B19911" i="1"/>
  <c r="A19911" i="1"/>
  <c r="E19911" i="1"/>
  <c r="F19911" i="1"/>
  <c r="B19912" i="1"/>
  <c r="A19912" i="1"/>
  <c r="E19912" i="1"/>
  <c r="F19912" i="1"/>
  <c r="B19913" i="1"/>
  <c r="A19913" i="1"/>
  <c r="E19913" i="1"/>
  <c r="F19913" i="1"/>
  <c r="B19914" i="1"/>
  <c r="A19914" i="1"/>
  <c r="E19914" i="1"/>
  <c r="F19914" i="1"/>
  <c r="B19915" i="1"/>
  <c r="A19915" i="1"/>
  <c r="E19915" i="1"/>
  <c r="F19915" i="1"/>
  <c r="B19916" i="1"/>
  <c r="A19916" i="1"/>
  <c r="E19916" i="1"/>
  <c r="F19916" i="1"/>
  <c r="B19917" i="1"/>
  <c r="A19917" i="1"/>
  <c r="E19917" i="1"/>
  <c r="F19917" i="1"/>
  <c r="B19918" i="1"/>
  <c r="A19918" i="1"/>
  <c r="E19918" i="1"/>
  <c r="F19918" i="1"/>
  <c r="B19919" i="1"/>
  <c r="A19919" i="1"/>
  <c r="E19919" i="1"/>
  <c r="F19919" i="1"/>
  <c r="B19920" i="1"/>
  <c r="A19920" i="1"/>
  <c r="E19920" i="1"/>
  <c r="F19920" i="1"/>
  <c r="B19921" i="1"/>
  <c r="A19921" i="1"/>
  <c r="E19921" i="1"/>
  <c r="F19921" i="1"/>
  <c r="B19922" i="1"/>
  <c r="A19922" i="1"/>
  <c r="E19922" i="1"/>
  <c r="F19922" i="1"/>
  <c r="B19923" i="1"/>
  <c r="A19923" i="1"/>
  <c r="E19923" i="1"/>
  <c r="F19923" i="1"/>
  <c r="B19924" i="1"/>
  <c r="A19924" i="1"/>
  <c r="E19924" i="1"/>
  <c r="F19924" i="1"/>
  <c r="B19925" i="1"/>
  <c r="A19925" i="1"/>
  <c r="E19925" i="1"/>
  <c r="F19925" i="1"/>
  <c r="B19926" i="1"/>
  <c r="A19926" i="1"/>
  <c r="E19926" i="1"/>
  <c r="F19926" i="1"/>
  <c r="B19927" i="1"/>
  <c r="A19927" i="1"/>
  <c r="E19927" i="1"/>
  <c r="F19927" i="1"/>
  <c r="B19928" i="1"/>
  <c r="A19928" i="1"/>
  <c r="E19928" i="1"/>
  <c r="F19928" i="1"/>
  <c r="B19929" i="1"/>
  <c r="A19929" i="1"/>
  <c r="E19929" i="1"/>
  <c r="F19929" i="1"/>
  <c r="B19930" i="1"/>
  <c r="A19930" i="1"/>
  <c r="E19930" i="1"/>
  <c r="F19930" i="1"/>
  <c r="B19931" i="1"/>
  <c r="A19931" i="1"/>
  <c r="E19931" i="1"/>
  <c r="F19931" i="1"/>
  <c r="G19931" i="1"/>
  <c r="B19932" i="1"/>
  <c r="A19932" i="1"/>
  <c r="E19932" i="1"/>
  <c r="F19932" i="1"/>
  <c r="G19932" i="1"/>
  <c r="B19933" i="1"/>
  <c r="A19933" i="1"/>
  <c r="E19933" i="1"/>
  <c r="F19933" i="1"/>
  <c r="G19933" i="1"/>
  <c r="B19934" i="1"/>
  <c r="A19934" i="1"/>
  <c r="E19934" i="1"/>
  <c r="F19934" i="1"/>
  <c r="G19934" i="1"/>
  <c r="B19935" i="1"/>
  <c r="A19935" i="1"/>
  <c r="E19935" i="1"/>
  <c r="F19935" i="1"/>
  <c r="G19935" i="1"/>
  <c r="B19936" i="1"/>
  <c r="A19936" i="1"/>
  <c r="E19936" i="1"/>
  <c r="F19936" i="1"/>
  <c r="G19936" i="1"/>
  <c r="B19937" i="1"/>
  <c r="A19937" i="1"/>
  <c r="E19937" i="1"/>
  <c r="F19937" i="1"/>
  <c r="G19937" i="1"/>
  <c r="B19938" i="1"/>
  <c r="A19938" i="1"/>
  <c r="E19938" i="1"/>
  <c r="F19938" i="1"/>
  <c r="G19938" i="1"/>
  <c r="B19939" i="1"/>
  <c r="A19939" i="1"/>
  <c r="E19939" i="1"/>
  <c r="F19939" i="1"/>
  <c r="G19939" i="1"/>
  <c r="B19940" i="1"/>
  <c r="A19940" i="1"/>
  <c r="E19940" i="1"/>
  <c r="F19940" i="1"/>
  <c r="G19940" i="1"/>
  <c r="B19941" i="1"/>
  <c r="A19941" i="1"/>
  <c r="E19941" i="1"/>
  <c r="F19941" i="1"/>
  <c r="G19941" i="1"/>
  <c r="B19942" i="1"/>
  <c r="A19942" i="1"/>
  <c r="E19942" i="1"/>
  <c r="F19942" i="1"/>
  <c r="G19942" i="1"/>
  <c r="B19943" i="1"/>
  <c r="A19943" i="1"/>
  <c r="E19943" i="1"/>
  <c r="F19943" i="1"/>
  <c r="G19943" i="1"/>
  <c r="B19944" i="1"/>
  <c r="A19944" i="1"/>
  <c r="E19944" i="1"/>
  <c r="F19944" i="1"/>
  <c r="G19944" i="1"/>
  <c r="B19945" i="1"/>
  <c r="A19945" i="1"/>
  <c r="E19945" i="1"/>
  <c r="F19945" i="1"/>
  <c r="G19945" i="1"/>
  <c r="B19946" i="1"/>
  <c r="A19946" i="1"/>
  <c r="E19946" i="1"/>
  <c r="F19946" i="1"/>
  <c r="G19946" i="1"/>
  <c r="B19947" i="1"/>
  <c r="A19947" i="1"/>
  <c r="E19947" i="1"/>
  <c r="F19947" i="1"/>
  <c r="G19947" i="1"/>
  <c r="B19948" i="1"/>
  <c r="A19948" i="1"/>
  <c r="E19948" i="1"/>
  <c r="F19948" i="1"/>
  <c r="G19948" i="1"/>
  <c r="B19949" i="1"/>
  <c r="A19949" i="1"/>
  <c r="E19949" i="1"/>
  <c r="F19949" i="1"/>
  <c r="G19949" i="1"/>
  <c r="B19950" i="1"/>
  <c r="A19950" i="1"/>
  <c r="E19950" i="1"/>
  <c r="F19950" i="1"/>
  <c r="G19950" i="1"/>
  <c r="B19951" i="1"/>
  <c r="A19951" i="1"/>
  <c r="E19951" i="1"/>
  <c r="F19951" i="1"/>
  <c r="G19951" i="1"/>
  <c r="B19952" i="1"/>
  <c r="A19952" i="1"/>
  <c r="E19952" i="1"/>
  <c r="F19952" i="1"/>
  <c r="G19952" i="1"/>
  <c r="B19953" i="1"/>
  <c r="A19953" i="1"/>
  <c r="E19953" i="1"/>
  <c r="F19953" i="1"/>
  <c r="G19953" i="1"/>
  <c r="B19954" i="1"/>
  <c r="A19954" i="1"/>
  <c r="E19954" i="1"/>
  <c r="F19954" i="1"/>
  <c r="B19955" i="1"/>
  <c r="A19955" i="1"/>
  <c r="E19955" i="1"/>
  <c r="F19955" i="1"/>
  <c r="B19956" i="1"/>
  <c r="A19956" i="1"/>
  <c r="E19956" i="1"/>
  <c r="F19956" i="1"/>
  <c r="G19956" i="1"/>
  <c r="B19957" i="1"/>
  <c r="A19957" i="1"/>
  <c r="E19957" i="1"/>
  <c r="F19957" i="1"/>
  <c r="B19958" i="1"/>
  <c r="A19958" i="1"/>
  <c r="E19958" i="1"/>
  <c r="F19958" i="1"/>
  <c r="B19959" i="1"/>
  <c r="A19959" i="1"/>
  <c r="E19959" i="1"/>
  <c r="F19959" i="1"/>
  <c r="G19959" i="1"/>
  <c r="B19960" i="1"/>
  <c r="A19960" i="1"/>
  <c r="E19960" i="1"/>
  <c r="F19960" i="1"/>
  <c r="G19960" i="1"/>
  <c r="B19961" i="1"/>
  <c r="A19961" i="1"/>
  <c r="E19961" i="1"/>
  <c r="F19961" i="1"/>
  <c r="B19962" i="1"/>
  <c r="A19962" i="1"/>
  <c r="E19962" i="1"/>
  <c r="F19962" i="1"/>
  <c r="B19963" i="1"/>
  <c r="A19963" i="1"/>
  <c r="E19963" i="1"/>
  <c r="F19963" i="1"/>
  <c r="B19964" i="1"/>
  <c r="A19964" i="1"/>
  <c r="E19964" i="1"/>
  <c r="F19964" i="1"/>
  <c r="B19965" i="1"/>
  <c r="A19965" i="1"/>
  <c r="E19965" i="1"/>
  <c r="F19965" i="1"/>
  <c r="B19966" i="1"/>
  <c r="A19966" i="1"/>
  <c r="E19966" i="1"/>
  <c r="F19966" i="1"/>
  <c r="B19967" i="1"/>
  <c r="A19967" i="1"/>
  <c r="E19967" i="1"/>
  <c r="F19967" i="1"/>
  <c r="G19967" i="1"/>
  <c r="B19968" i="1"/>
  <c r="A19968" i="1"/>
  <c r="E19968" i="1"/>
  <c r="F19968" i="1"/>
  <c r="B19969" i="1"/>
  <c r="A19969" i="1"/>
  <c r="E19969" i="1"/>
  <c r="F19969" i="1"/>
  <c r="G19969" i="1"/>
  <c r="B19970" i="1"/>
  <c r="A19970" i="1"/>
  <c r="E19970" i="1"/>
  <c r="F19970" i="1"/>
  <c r="G19970" i="1"/>
  <c r="B19971" i="1"/>
  <c r="A19971" i="1"/>
  <c r="E19971" i="1"/>
  <c r="F19971" i="1"/>
  <c r="B19972" i="1"/>
  <c r="A19972" i="1"/>
  <c r="E19972" i="1"/>
  <c r="F19972" i="1"/>
  <c r="B19973" i="1"/>
  <c r="A19973" i="1"/>
  <c r="E19973" i="1"/>
  <c r="F19973" i="1"/>
  <c r="B19974" i="1"/>
  <c r="A19974" i="1"/>
  <c r="E19974" i="1"/>
  <c r="F19974" i="1"/>
  <c r="B19975" i="1"/>
  <c r="A19975" i="1"/>
  <c r="E19975" i="1"/>
  <c r="F19975" i="1"/>
  <c r="B19976" i="1"/>
  <c r="A19976" i="1"/>
  <c r="E19976" i="1"/>
  <c r="F19976" i="1"/>
  <c r="G19976" i="1"/>
  <c r="B19977" i="1"/>
  <c r="A19977" i="1"/>
  <c r="E19977" i="1"/>
  <c r="F19977" i="1"/>
  <c r="B19978" i="1"/>
  <c r="A19978" i="1"/>
  <c r="E19978" i="1"/>
  <c r="F19978" i="1"/>
  <c r="B19979" i="1"/>
  <c r="A19979" i="1"/>
  <c r="E19979" i="1"/>
  <c r="F19979" i="1"/>
  <c r="B19980" i="1"/>
  <c r="A19980" i="1"/>
  <c r="E19980" i="1"/>
  <c r="F19980" i="1"/>
  <c r="G19980" i="1"/>
  <c r="B19981" i="1"/>
  <c r="A19981" i="1"/>
  <c r="E19981" i="1"/>
  <c r="F19981" i="1"/>
  <c r="B19982" i="1"/>
  <c r="A19982" i="1"/>
  <c r="E19982" i="1"/>
  <c r="F19982" i="1"/>
  <c r="B19983" i="1"/>
  <c r="A19983" i="1"/>
  <c r="E19983" i="1"/>
  <c r="F19983" i="1"/>
  <c r="G19983" i="1"/>
  <c r="B19984" i="1"/>
  <c r="A19984" i="1"/>
  <c r="E19984" i="1"/>
  <c r="F19984" i="1"/>
  <c r="B19985" i="1"/>
  <c r="A19985" i="1"/>
  <c r="E19985" i="1"/>
  <c r="F19985" i="1"/>
  <c r="B19986" i="1"/>
  <c r="A19986" i="1"/>
  <c r="E19986" i="1"/>
  <c r="F19986" i="1"/>
  <c r="B19987" i="1"/>
  <c r="A19987" i="1"/>
  <c r="E19987" i="1"/>
  <c r="F19987" i="1"/>
  <c r="B19988" i="1"/>
  <c r="A19988" i="1"/>
  <c r="E19988" i="1"/>
  <c r="F19988" i="1"/>
  <c r="B19989" i="1"/>
  <c r="A19989" i="1"/>
  <c r="E19989" i="1"/>
  <c r="F19989" i="1"/>
  <c r="B19990" i="1"/>
  <c r="A19990" i="1"/>
  <c r="E19990" i="1"/>
  <c r="F19990" i="1"/>
  <c r="B19991" i="1"/>
  <c r="A19991" i="1"/>
  <c r="E19991" i="1"/>
  <c r="F19991" i="1"/>
  <c r="B19992" i="1"/>
  <c r="A19992" i="1"/>
  <c r="E19992" i="1"/>
  <c r="F19992" i="1"/>
  <c r="B19993" i="1"/>
  <c r="A19993" i="1"/>
  <c r="E19993" i="1"/>
  <c r="F19993" i="1"/>
  <c r="G19993" i="1"/>
  <c r="B19994" i="1"/>
  <c r="A19994" i="1"/>
  <c r="E19994" i="1"/>
  <c r="F19994" i="1"/>
  <c r="G19994" i="1"/>
  <c r="B19995" i="1"/>
  <c r="A19995" i="1"/>
  <c r="E19995" i="1"/>
  <c r="F19995" i="1"/>
  <c r="G19995" i="1"/>
  <c r="B19996" i="1"/>
  <c r="A19996" i="1"/>
  <c r="E19996" i="1"/>
  <c r="F19996" i="1"/>
  <c r="G19996" i="1"/>
  <c r="B19997" i="1"/>
  <c r="A19997" i="1"/>
  <c r="E19997" i="1"/>
  <c r="F19997" i="1"/>
  <c r="G19997" i="1"/>
  <c r="B19998" i="1"/>
  <c r="A19998" i="1"/>
  <c r="E19998" i="1"/>
  <c r="F19998" i="1"/>
  <c r="G19998" i="1"/>
  <c r="B19999" i="1"/>
  <c r="A19999" i="1"/>
  <c r="E19999" i="1"/>
  <c r="F19999" i="1"/>
  <c r="G19999" i="1"/>
  <c r="B20000" i="1"/>
  <c r="A20000" i="1"/>
  <c r="E20000" i="1"/>
  <c r="F20000" i="1"/>
  <c r="G20000" i="1"/>
  <c r="B20001" i="1"/>
  <c r="A20001" i="1"/>
  <c r="E20001" i="1"/>
  <c r="F20001" i="1"/>
  <c r="G20001" i="1"/>
  <c r="B20002" i="1"/>
  <c r="A20002" i="1"/>
  <c r="E20002" i="1"/>
  <c r="F20002" i="1"/>
  <c r="G20002" i="1"/>
  <c r="B20003" i="1"/>
  <c r="A20003" i="1"/>
  <c r="E20003" i="1"/>
  <c r="F20003" i="1"/>
  <c r="G20003" i="1"/>
  <c r="B20004" i="1"/>
  <c r="A20004" i="1"/>
  <c r="E20004" i="1"/>
  <c r="F20004" i="1"/>
  <c r="B20005" i="1"/>
  <c r="A20005" i="1"/>
  <c r="E20005" i="1"/>
  <c r="F20005" i="1"/>
  <c r="B20006" i="1"/>
  <c r="A20006" i="1"/>
  <c r="E20006" i="1"/>
  <c r="F20006" i="1"/>
  <c r="B20007" i="1"/>
  <c r="A20007" i="1"/>
  <c r="E20007" i="1"/>
  <c r="F20007" i="1"/>
  <c r="B20008" i="1"/>
  <c r="A20008" i="1"/>
  <c r="E20008" i="1"/>
  <c r="F20008" i="1"/>
  <c r="G20008" i="1"/>
  <c r="B20009" i="1"/>
  <c r="A20009" i="1"/>
  <c r="E20009" i="1"/>
  <c r="F20009" i="1"/>
  <c r="B20010" i="1"/>
  <c r="A20010" i="1"/>
  <c r="E20010" i="1"/>
  <c r="F20010" i="1"/>
  <c r="G20010" i="1"/>
  <c r="B20011" i="1"/>
  <c r="A20011" i="1"/>
  <c r="E20011" i="1"/>
  <c r="F20011" i="1"/>
  <c r="G20011" i="1"/>
  <c r="B20012" i="1"/>
  <c r="A20012" i="1"/>
  <c r="E20012" i="1"/>
  <c r="F20012" i="1"/>
  <c r="G20012" i="1"/>
  <c r="B20013" i="1"/>
  <c r="A20013" i="1"/>
  <c r="E20013" i="1"/>
  <c r="F20013" i="1"/>
  <c r="G20013" i="1"/>
  <c r="B20014" i="1"/>
  <c r="A20014" i="1"/>
  <c r="E20014" i="1"/>
  <c r="F20014" i="1"/>
  <c r="G20014" i="1"/>
  <c r="B20015" i="1"/>
  <c r="A20015" i="1"/>
  <c r="E20015" i="1"/>
  <c r="F20015" i="1"/>
  <c r="B20016" i="1"/>
  <c r="A20016" i="1"/>
  <c r="E20016" i="1"/>
  <c r="F20016" i="1"/>
  <c r="B20017" i="1"/>
  <c r="A20017" i="1"/>
  <c r="E20017" i="1"/>
  <c r="F20017" i="1"/>
  <c r="B20018" i="1"/>
  <c r="A20018" i="1"/>
  <c r="E20018" i="1"/>
  <c r="F20018" i="1"/>
  <c r="G20018" i="1"/>
  <c r="B20019" i="1"/>
  <c r="A20019" i="1"/>
  <c r="E20019" i="1"/>
  <c r="F20019" i="1"/>
  <c r="B20020" i="1"/>
  <c r="A20020" i="1"/>
  <c r="E20020" i="1"/>
  <c r="F20020" i="1"/>
  <c r="G20020" i="1"/>
  <c r="B20021" i="1"/>
  <c r="A20021" i="1"/>
  <c r="E20021" i="1"/>
  <c r="F20021" i="1"/>
  <c r="G20021" i="1"/>
  <c r="B20022" i="1"/>
  <c r="A20022" i="1"/>
  <c r="E20022" i="1"/>
  <c r="F20022" i="1"/>
  <c r="G20022" i="1"/>
  <c r="B20023" i="1"/>
  <c r="A20023" i="1"/>
  <c r="E20023" i="1"/>
  <c r="F20023" i="1"/>
  <c r="B20024" i="1"/>
  <c r="A20024" i="1"/>
  <c r="E20024" i="1"/>
  <c r="F20024" i="1"/>
  <c r="G20024" i="1"/>
  <c r="B20025" i="1"/>
  <c r="A20025" i="1"/>
  <c r="E20025" i="1"/>
  <c r="F20025" i="1"/>
  <c r="B20026" i="1"/>
  <c r="A20026" i="1"/>
  <c r="E20026" i="1"/>
  <c r="F20026" i="1"/>
  <c r="G20026" i="1"/>
  <c r="B20027" i="1"/>
  <c r="A20027" i="1"/>
  <c r="E20027" i="1"/>
  <c r="F20027" i="1"/>
  <c r="G20027" i="1"/>
  <c r="B20028" i="1"/>
  <c r="A20028" i="1"/>
  <c r="E20028" i="1"/>
  <c r="F20028" i="1"/>
  <c r="B20029" i="1"/>
  <c r="A20029" i="1"/>
  <c r="E20029" i="1"/>
  <c r="F20029" i="1"/>
  <c r="G20029" i="1"/>
  <c r="B20030" i="1"/>
  <c r="A20030" i="1"/>
  <c r="E20030" i="1"/>
  <c r="F20030" i="1"/>
  <c r="B20031" i="1"/>
  <c r="A20031" i="1"/>
  <c r="E20031" i="1"/>
  <c r="F20031" i="1"/>
  <c r="G20031" i="1"/>
  <c r="B20032" i="1"/>
  <c r="A20032" i="1"/>
  <c r="E20032" i="1"/>
  <c r="F20032" i="1"/>
  <c r="B20033" i="1"/>
  <c r="A20033" i="1"/>
  <c r="E20033" i="1"/>
  <c r="F20033" i="1"/>
  <c r="B20034" i="1"/>
  <c r="A20034" i="1"/>
  <c r="E20034" i="1"/>
  <c r="F20034" i="1"/>
  <c r="B20035" i="1"/>
  <c r="A20035" i="1"/>
  <c r="E20035" i="1"/>
  <c r="F20035" i="1"/>
  <c r="B20036" i="1"/>
  <c r="A20036" i="1"/>
  <c r="E20036" i="1"/>
  <c r="F20036" i="1"/>
  <c r="B20037" i="1"/>
  <c r="A20037" i="1"/>
  <c r="E20037" i="1"/>
  <c r="F20037" i="1"/>
  <c r="B20038" i="1"/>
  <c r="A20038" i="1"/>
  <c r="E20038" i="1"/>
  <c r="F20038" i="1"/>
  <c r="B20039" i="1"/>
  <c r="A20039" i="1"/>
  <c r="E20039" i="1"/>
  <c r="F20039" i="1"/>
  <c r="B20040" i="1"/>
  <c r="A20040" i="1"/>
  <c r="E20040" i="1"/>
  <c r="F20040" i="1"/>
  <c r="G20040" i="1"/>
  <c r="B20041" i="1"/>
  <c r="A20041" i="1"/>
  <c r="E20041" i="1"/>
  <c r="F20041" i="1"/>
  <c r="G20041" i="1"/>
  <c r="B20042" i="1"/>
  <c r="A20042" i="1"/>
  <c r="E20042" i="1"/>
  <c r="F20042" i="1"/>
  <c r="G20042" i="1"/>
  <c r="B20043" i="1"/>
  <c r="A20043" i="1"/>
  <c r="E20043" i="1"/>
  <c r="F20043" i="1"/>
  <c r="B20044" i="1"/>
  <c r="A20044" i="1"/>
  <c r="E20044" i="1"/>
  <c r="F20044" i="1"/>
  <c r="B20045" i="1"/>
  <c r="A20045" i="1"/>
  <c r="E20045" i="1"/>
  <c r="F20045" i="1"/>
  <c r="G20045" i="1"/>
  <c r="B20046" i="1"/>
  <c r="A20046" i="1"/>
  <c r="E20046" i="1"/>
  <c r="F20046" i="1"/>
  <c r="G20046" i="1"/>
  <c r="B20047" i="1"/>
  <c r="A20047" i="1"/>
  <c r="E20047" i="1"/>
  <c r="F20047" i="1"/>
  <c r="G20047" i="1"/>
  <c r="B20048" i="1"/>
  <c r="A20048" i="1"/>
  <c r="E20048" i="1"/>
  <c r="F20048" i="1"/>
  <c r="G20048" i="1"/>
  <c r="B20049" i="1"/>
  <c r="A20049" i="1"/>
  <c r="E20049" i="1"/>
  <c r="F20049" i="1"/>
  <c r="G20049" i="1"/>
  <c r="B20050" i="1"/>
  <c r="A20050" i="1"/>
  <c r="E20050" i="1"/>
  <c r="F20050" i="1"/>
  <c r="G20050" i="1"/>
  <c r="B20051" i="1"/>
  <c r="A20051" i="1"/>
  <c r="E20051" i="1"/>
  <c r="F20051" i="1"/>
  <c r="G20051" i="1"/>
  <c r="B20052" i="1"/>
  <c r="A20052" i="1"/>
  <c r="E20052" i="1"/>
  <c r="F20052" i="1"/>
  <c r="G20052" i="1"/>
  <c r="B20053" i="1"/>
  <c r="A20053" i="1"/>
  <c r="E20053" i="1"/>
  <c r="F20053" i="1"/>
  <c r="G20053" i="1"/>
  <c r="B20054" i="1"/>
  <c r="A20054" i="1"/>
  <c r="E20054" i="1"/>
  <c r="F20054" i="1"/>
  <c r="B20055" i="1"/>
  <c r="A20055" i="1"/>
  <c r="E20055" i="1"/>
  <c r="F20055" i="1"/>
  <c r="G20055" i="1"/>
  <c r="B20056" i="1"/>
  <c r="A20056" i="1"/>
  <c r="E20056" i="1"/>
  <c r="F20056" i="1"/>
  <c r="B20057" i="1"/>
  <c r="A20057" i="1"/>
  <c r="E20057" i="1"/>
  <c r="F20057" i="1"/>
  <c r="B20058" i="1"/>
  <c r="A20058" i="1"/>
  <c r="E20058" i="1"/>
  <c r="F20058" i="1"/>
  <c r="B20059" i="1"/>
  <c r="A20059" i="1"/>
  <c r="E20059" i="1"/>
  <c r="F20059" i="1"/>
  <c r="B20060" i="1"/>
  <c r="A20060" i="1"/>
  <c r="E20060" i="1"/>
  <c r="F20060" i="1"/>
  <c r="B20061" i="1"/>
  <c r="A20061" i="1"/>
  <c r="E20061" i="1"/>
  <c r="F20061" i="1"/>
  <c r="G20061" i="1"/>
  <c r="B20062" i="1"/>
  <c r="A20062" i="1"/>
  <c r="E20062" i="1"/>
  <c r="F20062" i="1"/>
  <c r="G20062" i="1"/>
  <c r="B20063" i="1"/>
  <c r="A20063" i="1"/>
  <c r="E20063" i="1"/>
  <c r="F20063" i="1"/>
  <c r="B20064" i="1"/>
  <c r="A20064" i="1"/>
  <c r="E20064" i="1"/>
  <c r="B20065" i="1"/>
  <c r="A20065" i="1"/>
  <c r="E20065" i="1"/>
  <c r="B20066" i="1"/>
  <c r="A20066" i="1"/>
  <c r="E20066" i="1"/>
  <c r="B20067" i="1"/>
  <c r="A20067" i="1"/>
  <c r="E20067" i="1"/>
  <c r="B20068" i="1"/>
  <c r="A20068" i="1"/>
  <c r="E20068" i="1"/>
  <c r="B20069" i="1"/>
  <c r="A20069" i="1"/>
  <c r="E20069" i="1"/>
  <c r="B20070" i="1"/>
  <c r="A20070" i="1"/>
  <c r="E20070" i="1"/>
  <c r="B20071" i="1"/>
  <c r="A20071" i="1"/>
  <c r="E20071" i="1"/>
  <c r="B20072" i="1"/>
  <c r="A20072" i="1"/>
  <c r="E20072" i="1"/>
  <c r="B20073" i="1"/>
  <c r="A20073" i="1"/>
  <c r="E20073" i="1"/>
  <c r="B20074" i="1"/>
  <c r="A20074" i="1"/>
  <c r="E20074" i="1"/>
  <c r="B20075" i="1"/>
  <c r="A20075" i="1"/>
  <c r="E20075" i="1"/>
  <c r="B20076" i="1"/>
  <c r="A20076" i="1"/>
  <c r="E20076" i="1"/>
  <c r="B20077" i="1"/>
  <c r="A20077" i="1"/>
  <c r="E20077" i="1"/>
  <c r="B20078" i="1"/>
  <c r="A20078" i="1"/>
  <c r="E20078" i="1"/>
  <c r="B20079" i="1"/>
  <c r="A20079" i="1"/>
  <c r="E20079" i="1"/>
  <c r="B20080" i="1"/>
  <c r="A20080" i="1"/>
  <c r="E20080" i="1"/>
  <c r="B20081" i="1"/>
  <c r="A20081" i="1"/>
  <c r="E20081" i="1"/>
  <c r="B20082" i="1"/>
  <c r="A20082" i="1"/>
  <c r="E20082" i="1"/>
  <c r="B20083" i="1"/>
  <c r="A20083" i="1"/>
  <c r="E20083" i="1"/>
  <c r="B20084" i="1"/>
  <c r="A20084" i="1"/>
  <c r="E20084" i="1"/>
  <c r="B20085" i="1"/>
  <c r="A20085" i="1"/>
  <c r="E20085" i="1"/>
  <c r="B20086" i="1"/>
  <c r="A20086" i="1"/>
  <c r="E20086" i="1"/>
  <c r="B20087" i="1"/>
  <c r="A20087" i="1"/>
  <c r="E20087" i="1"/>
  <c r="B20088" i="1"/>
  <c r="A20088" i="1"/>
  <c r="E20088" i="1"/>
  <c r="B20089" i="1"/>
  <c r="A20089" i="1"/>
  <c r="E20089" i="1"/>
  <c r="B20090" i="1"/>
  <c r="A20090" i="1"/>
  <c r="E20090" i="1"/>
  <c r="B20091" i="1"/>
  <c r="A20091" i="1"/>
  <c r="E20091" i="1"/>
  <c r="B20092" i="1"/>
  <c r="A20092" i="1"/>
  <c r="E20092" i="1"/>
  <c r="B20093" i="1"/>
  <c r="A20093" i="1"/>
  <c r="E20093" i="1"/>
  <c r="B20094" i="1"/>
  <c r="A20094" i="1"/>
  <c r="E20094" i="1"/>
  <c r="B20095" i="1"/>
  <c r="A20095" i="1"/>
  <c r="E20095" i="1"/>
  <c r="B20096" i="1"/>
  <c r="A20096" i="1"/>
  <c r="E20096" i="1"/>
  <c r="B20097" i="1"/>
  <c r="A20097" i="1"/>
  <c r="E20097" i="1"/>
  <c r="B20098" i="1"/>
  <c r="A20098" i="1"/>
  <c r="E20098" i="1"/>
  <c r="B20099" i="1"/>
  <c r="A20099" i="1"/>
  <c r="E20099" i="1"/>
  <c r="B20100" i="1"/>
  <c r="A20100" i="1"/>
  <c r="E20100" i="1"/>
  <c r="B20101" i="1"/>
  <c r="A20101" i="1"/>
  <c r="E20101" i="1"/>
  <c r="B20102" i="1"/>
  <c r="A20102" i="1"/>
  <c r="E20102" i="1"/>
  <c r="B20103" i="1"/>
  <c r="A20103" i="1"/>
  <c r="E20103" i="1"/>
  <c r="B20104" i="1"/>
  <c r="A20104" i="1"/>
  <c r="E20104" i="1"/>
  <c r="B20105" i="1"/>
  <c r="A20105" i="1"/>
  <c r="E20105" i="1"/>
  <c r="B20106" i="1"/>
  <c r="A20106" i="1"/>
  <c r="E20106" i="1"/>
  <c r="G20106" i="1"/>
  <c r="B20107" i="1"/>
  <c r="A20107" i="1"/>
  <c r="E20107" i="1"/>
  <c r="G20107" i="1"/>
  <c r="B20108" i="1"/>
  <c r="A20108" i="1"/>
  <c r="E20108" i="1"/>
  <c r="B20109" i="1"/>
  <c r="A20109" i="1"/>
  <c r="E20109" i="1"/>
  <c r="B20110" i="1"/>
  <c r="A20110" i="1"/>
  <c r="E20110" i="1"/>
  <c r="B20111" i="1"/>
  <c r="A20111" i="1"/>
  <c r="E20111" i="1"/>
  <c r="A20112" i="1"/>
  <c r="E20112" i="1"/>
  <c r="A20113" i="1"/>
  <c r="E20113" i="1"/>
  <c r="A20114" i="1"/>
  <c r="E20114" i="1"/>
  <c r="A20115" i="1"/>
  <c r="E20115" i="1"/>
  <c r="A20116" i="1"/>
  <c r="E20116" i="1"/>
  <c r="A20117" i="1"/>
  <c r="E20117" i="1"/>
  <c r="A20118" i="1"/>
  <c r="E20118" i="1"/>
  <c r="A20119" i="1"/>
  <c r="E20119" i="1"/>
  <c r="A20120" i="1"/>
  <c r="E20120" i="1"/>
  <c r="A20121" i="1"/>
  <c r="E20121" i="1"/>
  <c r="A20122" i="1"/>
  <c r="E20122" i="1"/>
  <c r="A20123" i="1"/>
  <c r="E20123" i="1"/>
  <c r="A20124" i="1"/>
  <c r="E20124" i="1"/>
  <c r="A20125" i="1"/>
  <c r="E20125" i="1"/>
  <c r="A20126" i="1"/>
  <c r="E20126" i="1"/>
  <c r="A20127" i="1"/>
  <c r="E20127" i="1"/>
  <c r="A20128" i="1"/>
  <c r="E20128" i="1"/>
  <c r="A20129" i="1"/>
  <c r="E20129" i="1"/>
  <c r="A20130" i="1"/>
  <c r="E20130" i="1"/>
  <c r="A20131" i="1"/>
  <c r="E20131" i="1"/>
  <c r="A20132" i="1"/>
  <c r="E20132" i="1"/>
  <c r="B20133" i="1"/>
  <c r="A20133" i="1"/>
  <c r="E20133" i="1"/>
  <c r="B20134" i="1"/>
  <c r="A20134" i="1"/>
  <c r="E20134" i="1"/>
  <c r="B20135" i="1"/>
  <c r="A20135" i="1"/>
  <c r="E20135" i="1"/>
  <c r="B20136" i="1"/>
  <c r="A20136" i="1"/>
  <c r="E20136" i="1"/>
  <c r="B20137" i="1"/>
  <c r="A20137" i="1"/>
  <c r="E20137" i="1"/>
  <c r="B20138" i="1"/>
  <c r="A20138" i="1"/>
  <c r="E20138" i="1"/>
  <c r="B20139" i="1"/>
  <c r="A20139" i="1"/>
  <c r="E20139" i="1"/>
  <c r="B20140" i="1"/>
  <c r="A20140" i="1"/>
  <c r="E20140" i="1"/>
  <c r="B20141" i="1"/>
  <c r="A20141" i="1"/>
  <c r="E20141" i="1"/>
  <c r="B20142" i="1"/>
  <c r="A20142" i="1"/>
  <c r="E20142" i="1"/>
  <c r="B20143" i="1"/>
  <c r="A20143" i="1"/>
  <c r="E20143" i="1"/>
  <c r="B20144" i="1"/>
  <c r="A20144" i="1"/>
  <c r="E20144" i="1"/>
  <c r="B20145" i="1"/>
  <c r="A20145" i="1"/>
  <c r="E20145" i="1"/>
  <c r="B20146" i="1"/>
  <c r="A20146" i="1"/>
  <c r="E20146" i="1"/>
  <c r="B20147" i="1"/>
  <c r="A20147" i="1"/>
  <c r="E20147" i="1"/>
  <c r="A20148" i="1"/>
  <c r="E20148" i="1"/>
  <c r="G20148" i="1"/>
  <c r="B20149" i="1"/>
  <c r="A20149" i="1"/>
  <c r="E20149" i="1"/>
  <c r="A20150" i="1"/>
  <c r="E20150" i="1"/>
  <c r="B20151" i="1"/>
  <c r="A20151" i="1"/>
  <c r="E20151" i="1"/>
  <c r="B20152" i="1"/>
  <c r="A20152" i="1"/>
  <c r="E20152" i="1"/>
  <c r="B20153" i="1"/>
  <c r="A20153" i="1"/>
  <c r="E20153" i="1"/>
  <c r="B20154" i="1"/>
  <c r="A20154" i="1"/>
  <c r="E20154" i="1"/>
  <c r="B20155" i="1"/>
  <c r="A20155" i="1"/>
  <c r="E20155" i="1"/>
  <c r="B20156" i="1"/>
  <c r="A20156" i="1"/>
  <c r="E20156" i="1"/>
  <c r="B20157" i="1"/>
  <c r="A20157" i="1"/>
  <c r="E20157" i="1"/>
  <c r="B20158" i="1"/>
  <c r="A20158" i="1"/>
  <c r="E20158" i="1"/>
  <c r="B20159" i="1"/>
  <c r="A20159" i="1"/>
  <c r="E20159" i="1"/>
  <c r="B20160" i="1"/>
  <c r="A20160" i="1"/>
  <c r="E20160" i="1"/>
  <c r="B20161" i="1"/>
  <c r="A20161" i="1"/>
  <c r="E20161" i="1"/>
  <c r="B20162" i="1"/>
  <c r="A20162" i="1"/>
  <c r="E20162" i="1"/>
  <c r="B20163" i="1"/>
  <c r="A20163" i="1"/>
  <c r="E20163" i="1"/>
  <c r="B20164" i="1"/>
  <c r="A20164" i="1"/>
  <c r="E20164" i="1"/>
  <c r="B20165" i="1"/>
  <c r="A20165" i="1"/>
  <c r="E20165" i="1"/>
  <c r="B20166" i="1"/>
  <c r="A20166" i="1"/>
  <c r="E20166" i="1"/>
  <c r="B20167" i="1"/>
  <c r="A20167" i="1"/>
  <c r="E20167" i="1"/>
  <c r="B20168" i="1"/>
  <c r="A20168" i="1"/>
  <c r="E20168" i="1"/>
  <c r="B20169" i="1"/>
  <c r="A20169" i="1"/>
  <c r="E20169" i="1"/>
  <c r="B20170" i="1"/>
  <c r="A20170" i="1"/>
  <c r="E20170" i="1"/>
  <c r="B20171" i="1"/>
  <c r="A20171" i="1"/>
  <c r="E20171" i="1"/>
  <c r="B20172" i="1"/>
  <c r="A20172" i="1"/>
  <c r="E20172" i="1"/>
  <c r="B20173" i="1"/>
  <c r="A20173" i="1"/>
  <c r="E20173" i="1"/>
  <c r="B20174" i="1"/>
  <c r="A20174" i="1"/>
  <c r="E20174" i="1"/>
  <c r="B20175" i="1"/>
  <c r="A20175" i="1"/>
  <c r="E20175" i="1"/>
  <c r="B20176" i="1"/>
  <c r="A20176" i="1"/>
  <c r="E20176" i="1"/>
  <c r="B20177" i="1"/>
  <c r="A20177" i="1"/>
  <c r="E20177" i="1"/>
  <c r="B20178" i="1"/>
  <c r="A20178" i="1"/>
  <c r="E20178" i="1"/>
  <c r="B20179" i="1"/>
  <c r="A20179" i="1"/>
  <c r="E20179" i="1"/>
  <c r="B20180" i="1"/>
  <c r="A20180" i="1"/>
  <c r="E20180" i="1"/>
  <c r="B20181" i="1"/>
  <c r="A20181" i="1"/>
  <c r="E20181" i="1"/>
  <c r="B20182" i="1"/>
  <c r="A20182" i="1"/>
  <c r="E20182" i="1"/>
  <c r="B20183" i="1"/>
  <c r="A20183" i="1"/>
  <c r="E20183" i="1"/>
  <c r="B20184" i="1"/>
  <c r="A20184" i="1"/>
  <c r="E20184" i="1"/>
  <c r="B20185" i="1"/>
  <c r="A20185" i="1"/>
  <c r="E20185" i="1"/>
  <c r="B20186" i="1"/>
  <c r="A20186" i="1"/>
  <c r="E20186" i="1"/>
  <c r="B20187" i="1"/>
  <c r="A20187" i="1"/>
  <c r="E20187" i="1"/>
  <c r="B20188" i="1"/>
  <c r="A20188" i="1"/>
  <c r="E20188" i="1"/>
  <c r="B20189" i="1"/>
  <c r="A20189" i="1"/>
  <c r="E20189" i="1"/>
  <c r="B20190" i="1"/>
  <c r="A20190" i="1"/>
  <c r="E20190" i="1"/>
  <c r="B20191" i="1"/>
  <c r="A20191" i="1"/>
  <c r="E20191" i="1"/>
  <c r="B20192" i="1"/>
  <c r="A20192" i="1"/>
  <c r="E20192" i="1"/>
  <c r="B20193" i="1"/>
  <c r="A20193" i="1"/>
  <c r="E20193" i="1"/>
  <c r="B20194" i="1"/>
  <c r="A20194" i="1"/>
  <c r="E20194" i="1"/>
  <c r="B20195" i="1"/>
  <c r="A20195" i="1"/>
  <c r="E20195" i="1"/>
  <c r="B20196" i="1"/>
  <c r="A20196" i="1"/>
  <c r="E20196" i="1"/>
  <c r="B20197" i="1"/>
  <c r="A20197" i="1"/>
  <c r="E20197" i="1"/>
  <c r="B20198" i="1"/>
  <c r="A20198" i="1"/>
  <c r="E20198" i="1"/>
  <c r="B20199" i="1"/>
  <c r="A20199" i="1"/>
  <c r="E20199" i="1"/>
  <c r="B20200" i="1"/>
  <c r="A20200" i="1"/>
  <c r="E20200" i="1"/>
  <c r="B20201" i="1"/>
  <c r="A20201" i="1"/>
  <c r="E20201" i="1"/>
  <c r="B20202" i="1"/>
  <c r="A20202" i="1"/>
  <c r="E20202" i="1"/>
  <c r="B20203" i="1"/>
  <c r="A20203" i="1"/>
  <c r="E20203" i="1"/>
  <c r="B20204" i="1"/>
  <c r="A20204" i="1"/>
  <c r="E20204" i="1"/>
  <c r="B20205" i="1"/>
  <c r="A20205" i="1"/>
  <c r="E20205" i="1"/>
  <c r="B20206" i="1"/>
  <c r="A20206" i="1"/>
  <c r="E20206" i="1"/>
  <c r="B20207" i="1"/>
  <c r="A20207" i="1"/>
  <c r="E20207" i="1"/>
  <c r="B20208" i="1"/>
  <c r="A20208" i="1"/>
  <c r="E20208" i="1"/>
  <c r="B20209" i="1"/>
  <c r="A20209" i="1"/>
  <c r="E20209" i="1"/>
  <c r="B20210" i="1"/>
  <c r="A20210" i="1"/>
  <c r="E20210" i="1"/>
  <c r="B20211" i="1"/>
  <c r="A20211" i="1"/>
  <c r="E20211" i="1"/>
  <c r="B20212" i="1"/>
  <c r="A20212" i="1"/>
  <c r="E20212" i="1"/>
  <c r="B20213" i="1"/>
  <c r="A20213" i="1"/>
  <c r="E20213" i="1"/>
  <c r="B20214" i="1"/>
  <c r="A20214" i="1"/>
  <c r="E20214" i="1"/>
  <c r="B20215" i="1"/>
  <c r="A20215" i="1"/>
  <c r="E20215" i="1"/>
  <c r="B20216" i="1"/>
  <c r="A20216" i="1"/>
  <c r="E20216" i="1"/>
  <c r="B20217" i="1"/>
  <c r="A20217" i="1"/>
  <c r="E20217" i="1"/>
  <c r="B20218" i="1"/>
  <c r="A20218" i="1"/>
  <c r="E20218" i="1"/>
  <c r="B20219" i="1"/>
  <c r="A20219" i="1"/>
  <c r="E20219" i="1"/>
  <c r="B20220" i="1"/>
  <c r="A20220" i="1"/>
  <c r="E20220" i="1"/>
  <c r="B20221" i="1"/>
  <c r="A20221" i="1"/>
  <c r="E20221" i="1"/>
  <c r="B20222" i="1"/>
  <c r="A20222" i="1"/>
  <c r="E20222" i="1"/>
  <c r="B20223" i="1"/>
  <c r="A20223" i="1"/>
  <c r="E20223" i="1"/>
  <c r="B20224" i="1"/>
  <c r="A20224" i="1"/>
  <c r="E20224" i="1"/>
  <c r="B20225" i="1"/>
  <c r="A20225" i="1"/>
  <c r="E20225" i="1"/>
  <c r="B20226" i="1"/>
  <c r="A20226" i="1"/>
  <c r="E20226" i="1"/>
  <c r="B20227" i="1"/>
  <c r="A20227" i="1"/>
  <c r="E20227" i="1"/>
  <c r="B20228" i="1"/>
  <c r="A20228" i="1"/>
  <c r="E20228" i="1"/>
  <c r="B20229" i="1"/>
  <c r="A20229" i="1"/>
  <c r="E20229" i="1"/>
  <c r="B20230" i="1"/>
  <c r="A20230" i="1"/>
  <c r="E20230" i="1"/>
  <c r="B20231" i="1"/>
  <c r="A20231" i="1"/>
  <c r="E20231" i="1"/>
  <c r="B20232" i="1"/>
  <c r="A20232" i="1"/>
  <c r="E20232" i="1"/>
  <c r="B20233" i="1"/>
  <c r="A20233" i="1"/>
  <c r="E20233" i="1"/>
  <c r="B20234" i="1"/>
  <c r="A20234" i="1"/>
  <c r="E20234" i="1"/>
  <c r="B20235" i="1"/>
  <c r="A20235" i="1"/>
  <c r="E20235" i="1"/>
  <c r="B20236" i="1"/>
  <c r="A20236" i="1"/>
  <c r="E20236" i="1"/>
  <c r="B20237" i="1"/>
  <c r="A20237" i="1"/>
  <c r="E20237" i="1"/>
  <c r="B20238" i="1"/>
  <c r="A20238" i="1"/>
  <c r="E20238" i="1"/>
  <c r="B20239" i="1"/>
  <c r="A20239" i="1"/>
  <c r="E20239" i="1"/>
  <c r="B20240" i="1"/>
  <c r="A20240" i="1"/>
  <c r="E20240" i="1"/>
  <c r="B20241" i="1"/>
  <c r="A20241" i="1"/>
  <c r="E20241" i="1"/>
  <c r="B20242" i="1"/>
  <c r="A20242" i="1"/>
  <c r="E20242" i="1"/>
  <c r="B20243" i="1"/>
  <c r="A20243" i="1"/>
  <c r="E20243" i="1"/>
  <c r="B20244" i="1"/>
  <c r="A20244" i="1"/>
  <c r="E20244" i="1"/>
  <c r="B20245" i="1"/>
  <c r="A20245" i="1"/>
  <c r="E20245" i="1"/>
  <c r="B20246" i="1"/>
  <c r="A20246" i="1"/>
  <c r="E20246" i="1"/>
  <c r="B20247" i="1"/>
  <c r="A20247" i="1"/>
  <c r="E20247" i="1"/>
  <c r="B20248" i="1"/>
  <c r="A20248" i="1"/>
  <c r="E20248" i="1"/>
  <c r="B20249" i="1"/>
  <c r="A20249" i="1"/>
  <c r="E20249" i="1"/>
  <c r="B20250" i="1"/>
  <c r="A20250" i="1"/>
  <c r="E20250" i="1"/>
  <c r="B20251" i="1"/>
  <c r="A20251" i="1"/>
  <c r="E20251" i="1"/>
  <c r="B20252" i="1"/>
  <c r="A20252" i="1"/>
  <c r="E20252" i="1"/>
  <c r="B20253" i="1"/>
  <c r="A20253" i="1"/>
  <c r="E20253" i="1"/>
  <c r="B20254" i="1"/>
  <c r="A20254" i="1"/>
  <c r="E20254" i="1"/>
  <c r="B20255" i="1"/>
  <c r="A20255" i="1"/>
  <c r="E20255" i="1"/>
  <c r="B20256" i="1"/>
  <c r="A20256" i="1"/>
  <c r="E20256" i="1"/>
  <c r="B20257" i="1"/>
  <c r="A20257" i="1"/>
  <c r="E20257" i="1"/>
  <c r="B20258" i="1"/>
  <c r="A20258" i="1"/>
  <c r="E20258" i="1"/>
  <c r="B20259" i="1"/>
  <c r="A20259" i="1"/>
  <c r="E20259" i="1"/>
  <c r="B20260" i="1"/>
  <c r="A20260" i="1"/>
  <c r="E20260" i="1"/>
  <c r="B20261" i="1"/>
  <c r="A20261" i="1"/>
  <c r="E20261" i="1"/>
  <c r="B20262" i="1"/>
  <c r="A20262" i="1"/>
  <c r="E20262" i="1"/>
  <c r="B20263" i="1"/>
  <c r="A20263" i="1"/>
  <c r="E20263" i="1"/>
  <c r="B20264" i="1"/>
  <c r="A20264" i="1"/>
  <c r="E20264" i="1"/>
  <c r="B20265" i="1"/>
  <c r="A20265" i="1"/>
  <c r="E20265" i="1"/>
  <c r="B20266" i="1"/>
  <c r="A20266" i="1"/>
  <c r="E20266" i="1"/>
  <c r="B20267" i="1"/>
  <c r="A20267" i="1"/>
  <c r="E20267" i="1"/>
  <c r="B20268" i="1"/>
  <c r="A20268" i="1"/>
  <c r="E20268" i="1"/>
  <c r="B20269" i="1"/>
  <c r="A20269" i="1"/>
  <c r="E20269" i="1"/>
  <c r="B20270" i="1"/>
  <c r="A20270" i="1"/>
  <c r="E20270" i="1"/>
  <c r="B20271" i="1"/>
  <c r="A20271" i="1"/>
  <c r="E20271" i="1"/>
  <c r="B20272" i="1"/>
  <c r="A20272" i="1"/>
  <c r="E20272" i="1"/>
  <c r="B20273" i="1"/>
  <c r="A20273" i="1"/>
  <c r="E20273" i="1"/>
  <c r="B20274" i="1"/>
  <c r="A20274" i="1"/>
  <c r="E20274" i="1"/>
  <c r="B20275" i="1"/>
  <c r="A20275" i="1"/>
  <c r="E20275" i="1"/>
  <c r="B20276" i="1"/>
  <c r="A20276" i="1"/>
  <c r="E20276" i="1"/>
  <c r="B20277" i="1"/>
  <c r="A20277" i="1"/>
  <c r="E20277" i="1"/>
  <c r="B20278" i="1"/>
  <c r="A20278" i="1"/>
  <c r="E20278" i="1"/>
  <c r="B20279" i="1"/>
  <c r="A20279" i="1"/>
  <c r="E20279" i="1"/>
  <c r="B20280" i="1"/>
  <c r="A20280" i="1"/>
  <c r="E20280" i="1"/>
  <c r="B20281" i="1"/>
  <c r="A20281" i="1"/>
  <c r="E20281" i="1"/>
  <c r="B20282" i="1"/>
  <c r="A20282" i="1"/>
  <c r="E20282" i="1"/>
  <c r="B20283" i="1"/>
  <c r="A20283" i="1"/>
  <c r="E20283" i="1"/>
  <c r="B20284" i="1"/>
  <c r="A20284" i="1"/>
  <c r="E20284" i="1"/>
  <c r="B20285" i="1"/>
  <c r="A20285" i="1"/>
  <c r="E20285" i="1"/>
  <c r="B20286" i="1"/>
  <c r="A20286" i="1"/>
  <c r="E20286" i="1"/>
  <c r="B20287" i="1"/>
  <c r="A20287" i="1"/>
  <c r="E20287" i="1"/>
  <c r="B20288" i="1"/>
  <c r="A20288" i="1"/>
  <c r="E20288" i="1"/>
  <c r="B20289" i="1"/>
  <c r="A20289" i="1"/>
  <c r="E20289" i="1"/>
  <c r="B20290" i="1"/>
  <c r="A20290" i="1"/>
  <c r="E20290" i="1"/>
  <c r="B20291" i="1"/>
  <c r="A20291" i="1"/>
  <c r="E20291" i="1"/>
  <c r="B20292" i="1"/>
  <c r="A20292" i="1"/>
  <c r="E20292" i="1"/>
  <c r="B20293" i="1"/>
  <c r="A20293" i="1"/>
  <c r="E20293" i="1"/>
  <c r="B20294" i="1"/>
  <c r="A20294" i="1"/>
  <c r="E20294" i="1"/>
  <c r="B20295" i="1"/>
  <c r="A20295" i="1"/>
  <c r="E20295" i="1"/>
  <c r="B20296" i="1"/>
  <c r="A20296" i="1"/>
  <c r="E20296" i="1"/>
  <c r="B20297" i="1"/>
  <c r="A20297" i="1"/>
  <c r="E20297" i="1"/>
  <c r="B20298" i="1"/>
  <c r="A20298" i="1"/>
  <c r="E20298" i="1"/>
  <c r="B20299" i="1"/>
  <c r="A20299" i="1"/>
  <c r="E20299" i="1"/>
  <c r="B20300" i="1"/>
  <c r="A20300" i="1"/>
  <c r="E20300" i="1"/>
  <c r="B20301" i="1"/>
  <c r="A20301" i="1"/>
  <c r="E20301" i="1"/>
  <c r="B20302" i="1"/>
  <c r="A20302" i="1"/>
  <c r="E20302" i="1"/>
  <c r="B20303" i="1"/>
  <c r="A20303" i="1"/>
  <c r="E20303" i="1"/>
  <c r="B20304" i="1"/>
  <c r="A20304" i="1"/>
  <c r="E20304" i="1"/>
  <c r="B20305" i="1"/>
  <c r="A20305" i="1"/>
  <c r="E20305" i="1"/>
  <c r="B20306" i="1"/>
  <c r="A20306" i="1"/>
  <c r="E20306" i="1"/>
  <c r="B20307" i="1"/>
  <c r="A20307" i="1"/>
  <c r="E20307" i="1"/>
  <c r="B20308" i="1"/>
  <c r="A20308" i="1"/>
  <c r="E20308" i="1"/>
  <c r="B20309" i="1"/>
  <c r="A20309" i="1"/>
  <c r="E20309" i="1"/>
  <c r="B20310" i="1"/>
  <c r="A20310" i="1"/>
  <c r="E20310" i="1"/>
  <c r="B20311" i="1"/>
  <c r="A20311" i="1"/>
  <c r="E20311" i="1"/>
  <c r="B20312" i="1"/>
  <c r="A20312" i="1"/>
  <c r="E20312" i="1"/>
  <c r="B20313" i="1"/>
  <c r="A20313" i="1"/>
  <c r="E20313" i="1"/>
  <c r="B20314" i="1"/>
  <c r="A20314" i="1"/>
  <c r="E20314" i="1"/>
  <c r="B20315" i="1"/>
  <c r="A20315" i="1"/>
  <c r="E20315" i="1"/>
  <c r="B20316" i="1"/>
  <c r="A20316" i="1"/>
  <c r="E20316" i="1"/>
  <c r="B20317" i="1"/>
  <c r="A20317" i="1"/>
  <c r="E20317" i="1"/>
  <c r="B20318" i="1"/>
  <c r="A20318" i="1"/>
  <c r="E20318" i="1"/>
  <c r="B20319" i="1"/>
  <c r="A20319" i="1"/>
  <c r="E20319" i="1"/>
  <c r="B20320" i="1"/>
  <c r="A20320" i="1"/>
  <c r="E20320" i="1"/>
  <c r="B20321" i="1"/>
  <c r="A20321" i="1"/>
  <c r="E20321" i="1"/>
  <c r="B20322" i="1"/>
  <c r="A20322" i="1"/>
  <c r="E20322" i="1"/>
  <c r="B20323" i="1"/>
  <c r="A20323" i="1"/>
  <c r="E20323" i="1"/>
  <c r="B20324" i="1"/>
  <c r="A20324" i="1"/>
  <c r="E20324" i="1"/>
  <c r="B20325" i="1"/>
  <c r="A20325" i="1"/>
  <c r="E20325" i="1"/>
  <c r="B20326" i="1"/>
  <c r="A20326" i="1"/>
  <c r="E20326" i="1"/>
  <c r="B20327" i="1"/>
  <c r="A20327" i="1"/>
  <c r="E20327" i="1"/>
  <c r="B20328" i="1"/>
  <c r="A20328" i="1"/>
  <c r="E20328" i="1"/>
  <c r="B20329" i="1"/>
  <c r="A20329" i="1"/>
  <c r="E20329" i="1"/>
  <c r="B20330" i="1"/>
  <c r="A20330" i="1"/>
  <c r="E20330" i="1"/>
  <c r="B20331" i="1"/>
  <c r="A20331" i="1"/>
  <c r="E20331" i="1"/>
  <c r="B20332" i="1"/>
  <c r="A20332" i="1"/>
  <c r="E20332" i="1"/>
  <c r="B20333" i="1"/>
  <c r="A20333" i="1"/>
  <c r="E20333" i="1"/>
  <c r="B20334" i="1"/>
  <c r="A20334" i="1"/>
  <c r="E20334" i="1"/>
  <c r="B20335" i="1"/>
  <c r="A20335" i="1"/>
  <c r="E20335" i="1"/>
  <c r="B20336" i="1"/>
  <c r="A20336" i="1"/>
  <c r="E20336" i="1"/>
  <c r="B20337" i="1"/>
  <c r="A20337" i="1"/>
  <c r="E20337" i="1"/>
  <c r="B20338" i="1"/>
  <c r="A20338" i="1"/>
  <c r="E20338" i="1"/>
  <c r="B20339" i="1"/>
  <c r="A20339" i="1"/>
  <c r="E20339" i="1"/>
  <c r="B20340" i="1"/>
  <c r="A20340" i="1"/>
  <c r="E20340" i="1"/>
  <c r="B20341" i="1"/>
  <c r="A20341" i="1"/>
  <c r="E20341" i="1"/>
  <c r="B20342" i="1"/>
  <c r="A20342" i="1"/>
  <c r="E20342" i="1"/>
  <c r="B20343" i="1"/>
  <c r="A20343" i="1"/>
  <c r="E20343" i="1"/>
  <c r="B20344" i="1"/>
  <c r="A20344" i="1"/>
  <c r="E20344" i="1"/>
  <c r="B20345" i="1"/>
  <c r="A20345" i="1"/>
  <c r="E20345" i="1"/>
  <c r="B20346" i="1"/>
  <c r="A20346" i="1"/>
  <c r="E20346" i="1"/>
  <c r="B20347" i="1"/>
  <c r="A20347" i="1"/>
  <c r="E20347" i="1"/>
  <c r="B20348" i="1"/>
  <c r="A20348" i="1"/>
  <c r="E20348" i="1"/>
  <c r="B20349" i="1"/>
  <c r="A20349" i="1"/>
  <c r="E20349" i="1"/>
  <c r="B20350" i="1"/>
  <c r="A20350" i="1"/>
  <c r="E20350" i="1"/>
  <c r="B20351" i="1"/>
  <c r="A20351" i="1"/>
  <c r="E20351" i="1"/>
  <c r="B20352" i="1"/>
  <c r="A20352" i="1"/>
  <c r="E20352" i="1"/>
  <c r="B20353" i="1"/>
  <c r="A20353" i="1"/>
  <c r="E20353" i="1"/>
  <c r="B20354" i="1"/>
  <c r="A20354" i="1"/>
  <c r="E20354" i="1"/>
  <c r="B20355" i="1"/>
  <c r="A20355" i="1"/>
  <c r="E20355" i="1"/>
  <c r="B20356" i="1"/>
  <c r="A20356" i="1"/>
  <c r="E20356" i="1"/>
  <c r="B20357" i="1"/>
  <c r="A20357" i="1"/>
  <c r="E20357" i="1"/>
  <c r="B20358" i="1"/>
  <c r="A20358" i="1"/>
  <c r="E20358" i="1"/>
  <c r="B20359" i="1"/>
  <c r="A20359" i="1"/>
  <c r="E20359" i="1"/>
  <c r="B20360" i="1"/>
  <c r="A20360" i="1"/>
  <c r="E20360" i="1"/>
  <c r="B20361" i="1"/>
  <c r="A20361" i="1"/>
  <c r="E20361" i="1"/>
  <c r="B20362" i="1"/>
  <c r="A20362" i="1"/>
  <c r="E20362" i="1"/>
  <c r="B20363" i="1"/>
  <c r="A20363" i="1"/>
  <c r="E20363" i="1"/>
  <c r="B20364" i="1"/>
  <c r="A20364" i="1"/>
  <c r="E20364" i="1"/>
  <c r="B20365" i="1"/>
  <c r="A20365" i="1"/>
  <c r="E20365" i="1"/>
  <c r="B20366" i="1"/>
  <c r="A20366" i="1"/>
  <c r="E20366" i="1"/>
  <c r="B20367" i="1"/>
  <c r="A20367" i="1"/>
  <c r="E20367" i="1"/>
  <c r="B20368" i="1"/>
  <c r="A20368" i="1"/>
  <c r="E20368" i="1"/>
  <c r="B20369" i="1"/>
  <c r="A20369" i="1"/>
  <c r="E20369" i="1"/>
  <c r="B20370" i="1"/>
  <c r="A20370" i="1"/>
  <c r="E20370" i="1"/>
  <c r="B20371" i="1"/>
  <c r="A20371" i="1"/>
  <c r="E20371" i="1"/>
  <c r="B20372" i="1"/>
  <c r="A20372" i="1"/>
  <c r="E20372" i="1"/>
  <c r="B20373" i="1"/>
  <c r="A20373" i="1"/>
  <c r="E20373" i="1"/>
  <c r="B20374" i="1"/>
  <c r="A20374" i="1"/>
  <c r="E20374" i="1"/>
  <c r="B20375" i="1"/>
  <c r="A20375" i="1"/>
  <c r="E20375" i="1"/>
  <c r="B20376" i="1"/>
  <c r="A20376" i="1"/>
  <c r="E20376" i="1"/>
  <c r="B20377" i="1"/>
  <c r="A20377" i="1"/>
  <c r="E20377" i="1"/>
  <c r="B20378" i="1"/>
  <c r="A20378" i="1"/>
  <c r="E20378" i="1"/>
  <c r="B20379" i="1"/>
  <c r="A20379" i="1"/>
  <c r="E20379" i="1"/>
  <c r="B20380" i="1"/>
  <c r="A20380" i="1"/>
  <c r="E20380" i="1"/>
  <c r="B20381" i="1"/>
  <c r="A20381" i="1"/>
  <c r="E20381" i="1"/>
  <c r="B20382" i="1"/>
  <c r="A20382" i="1"/>
  <c r="E20382" i="1"/>
  <c r="B20383" i="1"/>
  <c r="A20383" i="1"/>
  <c r="E20383" i="1"/>
  <c r="B20384" i="1"/>
  <c r="A20384" i="1"/>
  <c r="E20384" i="1"/>
  <c r="B20385" i="1"/>
  <c r="A20385" i="1"/>
  <c r="E20385" i="1"/>
  <c r="B20386" i="1"/>
  <c r="A20386" i="1"/>
  <c r="E20386" i="1"/>
  <c r="B20387" i="1"/>
  <c r="A20387" i="1"/>
  <c r="E20387" i="1"/>
  <c r="B20388" i="1"/>
  <c r="A20388" i="1"/>
  <c r="E20388" i="1"/>
  <c r="B20389" i="1"/>
  <c r="A20389" i="1"/>
  <c r="E20389" i="1"/>
  <c r="B20390" i="1"/>
  <c r="A20390" i="1"/>
  <c r="E20390" i="1"/>
  <c r="B20391" i="1"/>
  <c r="A20391" i="1"/>
  <c r="E20391" i="1"/>
  <c r="B20392" i="1"/>
  <c r="A20392" i="1"/>
  <c r="E20392" i="1"/>
  <c r="B20393" i="1"/>
  <c r="A20393" i="1"/>
  <c r="E20393" i="1"/>
  <c r="B20394" i="1"/>
  <c r="A20394" i="1"/>
  <c r="E20394" i="1"/>
  <c r="B20395" i="1"/>
  <c r="A20395" i="1"/>
  <c r="E20395" i="1"/>
  <c r="B20396" i="1"/>
  <c r="A20396" i="1"/>
  <c r="E20396" i="1"/>
  <c r="B20397" i="1"/>
  <c r="A20397" i="1"/>
  <c r="E20397" i="1"/>
  <c r="B20398" i="1"/>
  <c r="A20398" i="1"/>
  <c r="E20398" i="1"/>
  <c r="B20399" i="1"/>
  <c r="A20399" i="1"/>
  <c r="E20399" i="1"/>
  <c r="B20400" i="1"/>
  <c r="A20400" i="1"/>
  <c r="E20400" i="1"/>
  <c r="B20401" i="1"/>
  <c r="A20401" i="1"/>
  <c r="E20401" i="1"/>
  <c r="B20402" i="1"/>
  <c r="A20402" i="1"/>
  <c r="E20402" i="1"/>
  <c r="B20403" i="1"/>
  <c r="A20403" i="1"/>
  <c r="E20403" i="1"/>
  <c r="B20404" i="1"/>
  <c r="A20404" i="1"/>
  <c r="E20404" i="1"/>
  <c r="B20405" i="1"/>
  <c r="A20405" i="1"/>
  <c r="E20405" i="1"/>
  <c r="B20406" i="1"/>
  <c r="A20406" i="1"/>
  <c r="E20406" i="1"/>
  <c r="B20407" i="1"/>
  <c r="A20407" i="1"/>
  <c r="E20407" i="1"/>
  <c r="B20408" i="1"/>
  <c r="A20408" i="1"/>
  <c r="E20408" i="1"/>
  <c r="B20409" i="1"/>
  <c r="A20409" i="1"/>
  <c r="E20409" i="1"/>
  <c r="B20410" i="1"/>
  <c r="A20410" i="1"/>
  <c r="E20410" i="1"/>
  <c r="B20411" i="1"/>
  <c r="A20411" i="1"/>
  <c r="E20411" i="1"/>
  <c r="B20412" i="1"/>
  <c r="A20412" i="1"/>
  <c r="E20412" i="1"/>
  <c r="B20413" i="1"/>
  <c r="A20413" i="1"/>
  <c r="E20413" i="1"/>
  <c r="B20414" i="1"/>
  <c r="A20414" i="1"/>
  <c r="E20414" i="1"/>
  <c r="B20415" i="1"/>
  <c r="A20415" i="1"/>
  <c r="E20415" i="1"/>
  <c r="B20416" i="1"/>
  <c r="A20416" i="1"/>
  <c r="E20416" i="1"/>
  <c r="B20417" i="1"/>
  <c r="A20417" i="1"/>
  <c r="E20417" i="1"/>
  <c r="B20418" i="1"/>
  <c r="A20418" i="1"/>
  <c r="E20418" i="1"/>
  <c r="B20419" i="1"/>
  <c r="A20419" i="1"/>
  <c r="E20419" i="1"/>
  <c r="B20420" i="1"/>
  <c r="A20420" i="1"/>
  <c r="E20420" i="1"/>
  <c r="B20421" i="1"/>
  <c r="A20421" i="1"/>
  <c r="E20421" i="1"/>
  <c r="B20422" i="1"/>
  <c r="A20422" i="1"/>
  <c r="E20422" i="1"/>
  <c r="B20423" i="1"/>
  <c r="A20423" i="1"/>
  <c r="E20423" i="1"/>
  <c r="B20424" i="1"/>
  <c r="A20424" i="1"/>
  <c r="E20424" i="1"/>
  <c r="B20425" i="1"/>
  <c r="A20425" i="1"/>
  <c r="E20425" i="1"/>
  <c r="B20426" i="1"/>
  <c r="A20426" i="1"/>
  <c r="E20426" i="1"/>
  <c r="B20427" i="1"/>
  <c r="A20427" i="1"/>
  <c r="E20427" i="1"/>
  <c r="B20428" i="1"/>
  <c r="A20428" i="1"/>
  <c r="E20428" i="1"/>
  <c r="B20429" i="1"/>
  <c r="A20429" i="1"/>
  <c r="E20429" i="1"/>
  <c r="B20430" i="1"/>
  <c r="A20430" i="1"/>
  <c r="E20430" i="1"/>
  <c r="B20431" i="1"/>
  <c r="A20431" i="1"/>
  <c r="E20431" i="1"/>
  <c r="B20432" i="1"/>
  <c r="A20432" i="1"/>
  <c r="E20432" i="1"/>
  <c r="B20433" i="1"/>
  <c r="A20433" i="1"/>
  <c r="E20433" i="1"/>
  <c r="B20434" i="1"/>
  <c r="A20434" i="1"/>
  <c r="E20434" i="1"/>
  <c r="B20435" i="1"/>
  <c r="A20435" i="1"/>
  <c r="E20435" i="1"/>
  <c r="B20436" i="1"/>
  <c r="A20436" i="1"/>
  <c r="E20436" i="1"/>
  <c r="B20437" i="1"/>
  <c r="A20437" i="1"/>
  <c r="E20437" i="1"/>
  <c r="B20438" i="1"/>
  <c r="A20438" i="1"/>
  <c r="E20438" i="1"/>
  <c r="B20439" i="1"/>
  <c r="A20439" i="1"/>
  <c r="E20439" i="1"/>
  <c r="B20440" i="1"/>
  <c r="A20440" i="1"/>
  <c r="E20440" i="1"/>
  <c r="B20441" i="1"/>
  <c r="A20441" i="1"/>
  <c r="E20441" i="1"/>
  <c r="B20442" i="1"/>
  <c r="A20442" i="1"/>
  <c r="E20442" i="1"/>
  <c r="B20443" i="1"/>
  <c r="A20443" i="1"/>
  <c r="E20443" i="1"/>
  <c r="B20444" i="1"/>
  <c r="A20444" i="1"/>
  <c r="E20444" i="1"/>
  <c r="B20445" i="1"/>
  <c r="A20445" i="1"/>
  <c r="E20445" i="1"/>
  <c r="B20446" i="1"/>
  <c r="A20446" i="1"/>
  <c r="E20446" i="1"/>
  <c r="B20447" i="1"/>
  <c r="A20447" i="1"/>
  <c r="E20447" i="1"/>
  <c r="B20448" i="1"/>
  <c r="A20448" i="1"/>
  <c r="E20448" i="1"/>
  <c r="B20449" i="1"/>
  <c r="A20449" i="1"/>
  <c r="E20449" i="1"/>
  <c r="B20450" i="1"/>
  <c r="A20450" i="1"/>
  <c r="E20450" i="1"/>
  <c r="B20451" i="1"/>
  <c r="A20451" i="1"/>
  <c r="E20451" i="1"/>
  <c r="B20452" i="1"/>
  <c r="A20452" i="1"/>
  <c r="E20452" i="1"/>
  <c r="B20453" i="1"/>
  <c r="A20453" i="1"/>
  <c r="E20453" i="1"/>
  <c r="B20454" i="1"/>
  <c r="A20454" i="1"/>
  <c r="E20454" i="1"/>
  <c r="B20455" i="1"/>
  <c r="A20455" i="1"/>
  <c r="E20455" i="1"/>
  <c r="B20456" i="1"/>
  <c r="A20456" i="1"/>
  <c r="E20456" i="1"/>
  <c r="B20457" i="1"/>
  <c r="A20457" i="1"/>
  <c r="E20457" i="1"/>
  <c r="B20458" i="1"/>
  <c r="A20458" i="1"/>
  <c r="E20458" i="1"/>
  <c r="B20459" i="1"/>
  <c r="A20459" i="1"/>
  <c r="E20459" i="1"/>
  <c r="B20460" i="1"/>
  <c r="A20460" i="1"/>
  <c r="E20460" i="1"/>
  <c r="B20461" i="1"/>
  <c r="A20461" i="1"/>
  <c r="E20461" i="1"/>
  <c r="B20462" i="1"/>
  <c r="A20462" i="1"/>
  <c r="E20462" i="1"/>
  <c r="B20463" i="1"/>
  <c r="A20463" i="1"/>
  <c r="E20463" i="1"/>
  <c r="B20464" i="1"/>
  <c r="A20464" i="1"/>
  <c r="E20464" i="1"/>
  <c r="B20465" i="1"/>
  <c r="A20465" i="1"/>
  <c r="E20465" i="1"/>
  <c r="B20466" i="1"/>
  <c r="A20466" i="1"/>
  <c r="E20466" i="1"/>
  <c r="B20467" i="1"/>
  <c r="A20467" i="1"/>
  <c r="E20467" i="1"/>
  <c r="B20468" i="1"/>
  <c r="A20468" i="1"/>
  <c r="E20468" i="1"/>
  <c r="B20469" i="1"/>
  <c r="A20469" i="1"/>
  <c r="E20469" i="1"/>
  <c r="B20470" i="1"/>
  <c r="A20470" i="1"/>
  <c r="E20470" i="1"/>
  <c r="B20471" i="1"/>
  <c r="A20471" i="1"/>
  <c r="E20471" i="1"/>
  <c r="B20472" i="1"/>
  <c r="A20472" i="1"/>
  <c r="E20472" i="1"/>
  <c r="B20473" i="1"/>
  <c r="A20473" i="1"/>
  <c r="E20473" i="1"/>
  <c r="B20474" i="1"/>
  <c r="A20474" i="1"/>
  <c r="E20474" i="1"/>
  <c r="B20475" i="1"/>
  <c r="A20475" i="1"/>
  <c r="E20475" i="1"/>
  <c r="B20476" i="1"/>
  <c r="A20476" i="1"/>
  <c r="E20476" i="1"/>
  <c r="B20477" i="1"/>
  <c r="A20477" i="1"/>
  <c r="E20477" i="1"/>
  <c r="B20478" i="1"/>
  <c r="A20478" i="1"/>
  <c r="E20478" i="1"/>
  <c r="B20479" i="1"/>
  <c r="A20479" i="1"/>
  <c r="E20479" i="1"/>
  <c r="B20480" i="1"/>
  <c r="A20480" i="1"/>
  <c r="E20480" i="1"/>
  <c r="B20481" i="1"/>
  <c r="A20481" i="1"/>
  <c r="E20481" i="1"/>
  <c r="B20482" i="1"/>
  <c r="A20482" i="1"/>
  <c r="E20482" i="1"/>
  <c r="B20483" i="1"/>
  <c r="A20483" i="1"/>
  <c r="E20483" i="1"/>
  <c r="B20484" i="1"/>
  <c r="A20484" i="1"/>
  <c r="E20484" i="1"/>
  <c r="B20485" i="1"/>
  <c r="A20485" i="1"/>
  <c r="E20485" i="1"/>
  <c r="B20486" i="1"/>
  <c r="A20486" i="1"/>
  <c r="E20486" i="1"/>
  <c r="B20487" i="1"/>
  <c r="A20487" i="1"/>
  <c r="E20487" i="1"/>
  <c r="B20488" i="1"/>
  <c r="A20488" i="1"/>
  <c r="E20488" i="1"/>
  <c r="B20489" i="1"/>
  <c r="A20489" i="1"/>
  <c r="E20489" i="1"/>
  <c r="B20490" i="1"/>
  <c r="A20490" i="1"/>
  <c r="E20490" i="1"/>
  <c r="B20491" i="1"/>
  <c r="A20491" i="1"/>
  <c r="E20491" i="1"/>
  <c r="B20492" i="1"/>
  <c r="A20492" i="1"/>
  <c r="E20492" i="1"/>
  <c r="B20493" i="1"/>
  <c r="A20493" i="1"/>
  <c r="E20493" i="1"/>
  <c r="B20494" i="1"/>
  <c r="A20494" i="1"/>
  <c r="E20494" i="1"/>
  <c r="B20495" i="1"/>
  <c r="A20495" i="1"/>
  <c r="E20495" i="1"/>
  <c r="B20496" i="1"/>
  <c r="A20496" i="1"/>
  <c r="E20496" i="1"/>
  <c r="B20497" i="1"/>
  <c r="A20497" i="1"/>
  <c r="E20497" i="1"/>
  <c r="B20498" i="1"/>
  <c r="A20498" i="1"/>
  <c r="E20498" i="1"/>
  <c r="B20499" i="1"/>
  <c r="A20499" i="1"/>
  <c r="E20499" i="1"/>
  <c r="B20500" i="1"/>
  <c r="A20500" i="1"/>
  <c r="E20500" i="1"/>
  <c r="B20501" i="1"/>
  <c r="A20501" i="1"/>
  <c r="E20501" i="1"/>
  <c r="B20502" i="1"/>
  <c r="A20502" i="1"/>
  <c r="E20502" i="1"/>
  <c r="B20503" i="1"/>
  <c r="A20503" i="1"/>
  <c r="E20503" i="1"/>
  <c r="B20504" i="1"/>
  <c r="A20504" i="1"/>
  <c r="E20504" i="1"/>
  <c r="B20505" i="1"/>
  <c r="A20505" i="1"/>
  <c r="E20505" i="1"/>
  <c r="B20506" i="1"/>
  <c r="A20506" i="1"/>
  <c r="E20506" i="1"/>
  <c r="B20507" i="1"/>
  <c r="A20507" i="1"/>
  <c r="E20507" i="1"/>
  <c r="B20508" i="1"/>
  <c r="A20508" i="1"/>
  <c r="E20508" i="1"/>
  <c r="B20509" i="1"/>
  <c r="A20509" i="1"/>
  <c r="E20509" i="1"/>
  <c r="B20510" i="1"/>
  <c r="A20510" i="1"/>
  <c r="E20510" i="1"/>
  <c r="B20511" i="1"/>
  <c r="A20511" i="1"/>
  <c r="E20511" i="1"/>
  <c r="B20512" i="1"/>
  <c r="A20512" i="1"/>
  <c r="E20512" i="1"/>
  <c r="B20513" i="1"/>
  <c r="A20513" i="1"/>
  <c r="E20513" i="1"/>
  <c r="B20514" i="1"/>
  <c r="A20514" i="1"/>
  <c r="E20514" i="1"/>
  <c r="B20515" i="1"/>
  <c r="A20515" i="1"/>
  <c r="E20515" i="1"/>
  <c r="B20516" i="1"/>
  <c r="A20516" i="1"/>
  <c r="E20516" i="1"/>
  <c r="B20517" i="1"/>
  <c r="A20517" i="1"/>
  <c r="E20517" i="1"/>
  <c r="B20518" i="1"/>
  <c r="A20518" i="1"/>
  <c r="E20518" i="1"/>
  <c r="B20519" i="1"/>
  <c r="A20519" i="1"/>
  <c r="E20519" i="1"/>
  <c r="B20520" i="1"/>
  <c r="A20520" i="1"/>
  <c r="E20520" i="1"/>
  <c r="B20521" i="1"/>
  <c r="A20521" i="1"/>
  <c r="E20521" i="1"/>
  <c r="B20522" i="1"/>
  <c r="A20522" i="1"/>
  <c r="E20522" i="1"/>
  <c r="B20523" i="1"/>
  <c r="A20523" i="1"/>
  <c r="E20523" i="1"/>
  <c r="B20524" i="1"/>
  <c r="A20524" i="1"/>
  <c r="E20524" i="1"/>
  <c r="B20525" i="1"/>
  <c r="A20525" i="1"/>
  <c r="E20525" i="1"/>
  <c r="B20526" i="1"/>
  <c r="A20526" i="1"/>
  <c r="E20526" i="1"/>
  <c r="B20527" i="1"/>
  <c r="A20527" i="1"/>
  <c r="E20527" i="1"/>
  <c r="B20528" i="1"/>
  <c r="A20528" i="1"/>
  <c r="E20528" i="1"/>
  <c r="B20529" i="1"/>
  <c r="A20529" i="1"/>
  <c r="E20529" i="1"/>
  <c r="B20530" i="1"/>
  <c r="A20530" i="1"/>
  <c r="E20530" i="1"/>
  <c r="B20531" i="1"/>
  <c r="A20531" i="1"/>
  <c r="E20531" i="1"/>
  <c r="B20532" i="1"/>
  <c r="A20532" i="1"/>
  <c r="E20532" i="1"/>
  <c r="B20533" i="1"/>
  <c r="A20533" i="1"/>
  <c r="E20533" i="1"/>
  <c r="B20534" i="1"/>
  <c r="A20534" i="1"/>
  <c r="E20534" i="1"/>
  <c r="B20535" i="1"/>
  <c r="A20535" i="1"/>
  <c r="E20535" i="1"/>
  <c r="B20536" i="1"/>
  <c r="A20536" i="1"/>
  <c r="E20536" i="1"/>
  <c r="B20537" i="1"/>
  <c r="A20537" i="1"/>
  <c r="E20537" i="1"/>
  <c r="B20538" i="1"/>
  <c r="A20538" i="1"/>
  <c r="E20538" i="1"/>
  <c r="B20539" i="1"/>
  <c r="A20539" i="1"/>
  <c r="E20539" i="1"/>
  <c r="B20540" i="1"/>
  <c r="A20540" i="1"/>
  <c r="E20540" i="1"/>
  <c r="B20541" i="1"/>
  <c r="A20541" i="1"/>
  <c r="E20541" i="1"/>
  <c r="B20542" i="1"/>
  <c r="A20542" i="1"/>
  <c r="E20542" i="1"/>
  <c r="B20543" i="1"/>
  <c r="A20543" i="1"/>
  <c r="E20543" i="1"/>
  <c r="B20544" i="1"/>
  <c r="A20544" i="1"/>
  <c r="E20544" i="1"/>
  <c r="B20545" i="1"/>
  <c r="A20545" i="1"/>
  <c r="E20545" i="1"/>
  <c r="B20546" i="1"/>
  <c r="A20546" i="1"/>
  <c r="E20546" i="1"/>
  <c r="B20547" i="1"/>
  <c r="A20547" i="1"/>
  <c r="E20547" i="1"/>
  <c r="B20548" i="1"/>
  <c r="A20548" i="1"/>
  <c r="E20548" i="1"/>
  <c r="B20549" i="1"/>
  <c r="A20549" i="1"/>
  <c r="E20549" i="1"/>
  <c r="B20550" i="1"/>
  <c r="A20550" i="1"/>
  <c r="E20550" i="1"/>
  <c r="B20551" i="1"/>
  <c r="A20551" i="1"/>
  <c r="E20551" i="1"/>
  <c r="B20552" i="1"/>
  <c r="A20552" i="1"/>
  <c r="E20552" i="1"/>
  <c r="B20553" i="1"/>
  <c r="A20553" i="1"/>
  <c r="E20553" i="1"/>
  <c r="B20554" i="1"/>
  <c r="A20554" i="1"/>
  <c r="E20554" i="1"/>
  <c r="B20555" i="1"/>
  <c r="A20555" i="1"/>
  <c r="E20555" i="1"/>
  <c r="B20556" i="1"/>
  <c r="A20556" i="1"/>
  <c r="E20556" i="1"/>
  <c r="B20557" i="1"/>
  <c r="A20557" i="1"/>
  <c r="E20557" i="1"/>
  <c r="B20558" i="1"/>
  <c r="A20558" i="1"/>
  <c r="E20558" i="1"/>
  <c r="B20559" i="1"/>
  <c r="A20559" i="1"/>
  <c r="E20559" i="1"/>
  <c r="B20560" i="1"/>
  <c r="A20560" i="1"/>
  <c r="E20560" i="1"/>
  <c r="B20561" i="1"/>
  <c r="A20561" i="1"/>
  <c r="E20561" i="1"/>
  <c r="B20562" i="1"/>
  <c r="A20562" i="1"/>
  <c r="E20562" i="1"/>
  <c r="B20563" i="1"/>
  <c r="A20563" i="1"/>
  <c r="E20563" i="1"/>
  <c r="B20564" i="1"/>
  <c r="A20564" i="1"/>
  <c r="E20564" i="1"/>
  <c r="B20565" i="1"/>
  <c r="A20565" i="1"/>
  <c r="E20565" i="1"/>
  <c r="B20566" i="1"/>
  <c r="A20566" i="1"/>
  <c r="E20566" i="1"/>
  <c r="B20567" i="1"/>
  <c r="A20567" i="1"/>
  <c r="E20567" i="1"/>
  <c r="B20568" i="1"/>
  <c r="A20568" i="1"/>
  <c r="E20568" i="1"/>
  <c r="B20569" i="1"/>
  <c r="A20569" i="1"/>
  <c r="E20569" i="1"/>
  <c r="B20570" i="1"/>
  <c r="A20570" i="1"/>
  <c r="E20570" i="1"/>
  <c r="B20571" i="1"/>
  <c r="A20571" i="1"/>
  <c r="E20571" i="1"/>
  <c r="B20572" i="1"/>
  <c r="A20572" i="1"/>
  <c r="E20572" i="1"/>
  <c r="B20573" i="1"/>
  <c r="A20573" i="1"/>
  <c r="E20573" i="1"/>
  <c r="B20574" i="1"/>
  <c r="A20574" i="1"/>
  <c r="E20574" i="1"/>
  <c r="B20575" i="1"/>
  <c r="A20575" i="1"/>
  <c r="E20575" i="1"/>
  <c r="B20576" i="1"/>
  <c r="A20576" i="1"/>
  <c r="E20576" i="1"/>
  <c r="B20577" i="1"/>
  <c r="A20577" i="1"/>
  <c r="E20577" i="1"/>
  <c r="B20578" i="1"/>
  <c r="A20578" i="1"/>
  <c r="E20578" i="1"/>
  <c r="B20579" i="1"/>
  <c r="A20579" i="1"/>
  <c r="E20579" i="1"/>
  <c r="B20580" i="1"/>
  <c r="A20580" i="1"/>
  <c r="E20580" i="1"/>
  <c r="B20581" i="1"/>
  <c r="A20581" i="1"/>
  <c r="E20581" i="1"/>
  <c r="B20582" i="1"/>
  <c r="A20582" i="1"/>
  <c r="E20582" i="1"/>
  <c r="B20583" i="1"/>
  <c r="A20583" i="1"/>
  <c r="E20583" i="1"/>
  <c r="B20584" i="1"/>
  <c r="A20584" i="1"/>
  <c r="E20584" i="1"/>
  <c r="B20585" i="1"/>
  <c r="A20585" i="1"/>
  <c r="E20585" i="1"/>
  <c r="B20586" i="1"/>
  <c r="A20586" i="1"/>
  <c r="E20586" i="1"/>
  <c r="B20587" i="1"/>
  <c r="A20587" i="1"/>
  <c r="E20587" i="1"/>
  <c r="B20588" i="1"/>
  <c r="A20588" i="1"/>
  <c r="E20588" i="1"/>
  <c r="B20589" i="1"/>
  <c r="A20589" i="1"/>
  <c r="E20589" i="1"/>
  <c r="B20590" i="1"/>
  <c r="A20590" i="1"/>
  <c r="E20590" i="1"/>
  <c r="B20591" i="1"/>
  <c r="A20591" i="1"/>
  <c r="E20591" i="1"/>
  <c r="B20592" i="1"/>
  <c r="A20592" i="1"/>
  <c r="E20592" i="1"/>
  <c r="B20593" i="1"/>
  <c r="A20593" i="1"/>
  <c r="E20593" i="1"/>
  <c r="B20594" i="1"/>
  <c r="A20594" i="1"/>
  <c r="E20594" i="1"/>
  <c r="B20595" i="1"/>
  <c r="A20595" i="1"/>
  <c r="E20595" i="1"/>
  <c r="B20596" i="1"/>
  <c r="A20596" i="1"/>
  <c r="E20596" i="1"/>
  <c r="B20597" i="1"/>
  <c r="A20597" i="1"/>
  <c r="E20597" i="1"/>
  <c r="B20598" i="1"/>
  <c r="A20598" i="1"/>
  <c r="E20598" i="1"/>
  <c r="B20599" i="1"/>
  <c r="A20599" i="1"/>
  <c r="E20599" i="1"/>
  <c r="B20600" i="1"/>
  <c r="A20600" i="1"/>
  <c r="E20600" i="1"/>
  <c r="B20601" i="1"/>
  <c r="A20601" i="1"/>
  <c r="E20601" i="1"/>
  <c r="B20602" i="1"/>
  <c r="A20602" i="1"/>
  <c r="E20602" i="1"/>
  <c r="B20603" i="1"/>
  <c r="A20603" i="1"/>
  <c r="E20603" i="1"/>
  <c r="B20604" i="1"/>
  <c r="A20604" i="1"/>
  <c r="E20604" i="1"/>
  <c r="B20605" i="1"/>
  <c r="A20605" i="1"/>
  <c r="E20605" i="1"/>
  <c r="B20606" i="1"/>
  <c r="A20606" i="1"/>
  <c r="E20606" i="1"/>
  <c r="B20607" i="1"/>
  <c r="A20607" i="1"/>
  <c r="E20607" i="1"/>
  <c r="B20608" i="1"/>
  <c r="A20608" i="1"/>
  <c r="E20608" i="1"/>
  <c r="B20609" i="1"/>
  <c r="A20609" i="1"/>
  <c r="E20609" i="1"/>
  <c r="B20610" i="1"/>
  <c r="A20610" i="1"/>
  <c r="E20610" i="1"/>
  <c r="B20611" i="1"/>
  <c r="A20611" i="1"/>
  <c r="E20611" i="1"/>
  <c r="B20612" i="1"/>
  <c r="A20612" i="1"/>
  <c r="E20612" i="1"/>
  <c r="B20613" i="1"/>
  <c r="A20613" i="1"/>
  <c r="E20613" i="1"/>
  <c r="B20614" i="1"/>
  <c r="A20614" i="1"/>
  <c r="E20614" i="1"/>
  <c r="B20615" i="1"/>
  <c r="A20615" i="1"/>
  <c r="E20615" i="1"/>
  <c r="B20616" i="1"/>
  <c r="A20616" i="1"/>
  <c r="E20616" i="1"/>
  <c r="B20617" i="1"/>
  <c r="A20617" i="1"/>
  <c r="E20617" i="1"/>
  <c r="B20618" i="1"/>
  <c r="A20618" i="1"/>
  <c r="E20618" i="1"/>
  <c r="B20619" i="1"/>
  <c r="A20619" i="1"/>
  <c r="E20619" i="1"/>
  <c r="B20620" i="1"/>
  <c r="A20620" i="1"/>
  <c r="E20620" i="1"/>
  <c r="B20621" i="1"/>
  <c r="A20621" i="1"/>
  <c r="E20621" i="1"/>
  <c r="B20622" i="1"/>
  <c r="A20622" i="1"/>
  <c r="E20622" i="1"/>
  <c r="B20623" i="1"/>
  <c r="A20623" i="1"/>
  <c r="E20623" i="1"/>
  <c r="B20624" i="1"/>
  <c r="A20624" i="1"/>
  <c r="E20624" i="1"/>
  <c r="B20625" i="1"/>
  <c r="A20625" i="1"/>
  <c r="E20625" i="1"/>
  <c r="B20626" i="1"/>
  <c r="A20626" i="1"/>
  <c r="E20626" i="1"/>
  <c r="B20627" i="1"/>
  <c r="A20627" i="1"/>
  <c r="E20627" i="1"/>
  <c r="B20628" i="1"/>
  <c r="A20628" i="1"/>
  <c r="E20628" i="1"/>
  <c r="B20629" i="1"/>
  <c r="A20629" i="1"/>
  <c r="E20629" i="1"/>
  <c r="B20630" i="1"/>
  <c r="A20630" i="1"/>
  <c r="E20630" i="1"/>
  <c r="B20631" i="1"/>
  <c r="A20631" i="1"/>
  <c r="E20631" i="1"/>
  <c r="B20632" i="1"/>
  <c r="A20632" i="1"/>
  <c r="E20632" i="1"/>
  <c r="B20633" i="1"/>
  <c r="A20633" i="1"/>
  <c r="E20633" i="1"/>
  <c r="B20634" i="1"/>
  <c r="A20634" i="1"/>
  <c r="E20634" i="1"/>
  <c r="B20635" i="1"/>
  <c r="A20635" i="1"/>
  <c r="E20635" i="1"/>
  <c r="B20636" i="1"/>
  <c r="A20636" i="1"/>
  <c r="E20636" i="1"/>
  <c r="B20637" i="1"/>
  <c r="A20637" i="1"/>
  <c r="E20637" i="1"/>
  <c r="B20638" i="1"/>
  <c r="A20638" i="1"/>
  <c r="E20638" i="1"/>
  <c r="B20639" i="1"/>
  <c r="A20639" i="1"/>
  <c r="E20639" i="1"/>
  <c r="B20640" i="1"/>
  <c r="A20640" i="1"/>
  <c r="E20640" i="1"/>
  <c r="B20641" i="1"/>
  <c r="A20641" i="1"/>
  <c r="E20641" i="1"/>
  <c r="B20642" i="1"/>
  <c r="A20642" i="1"/>
  <c r="E20642" i="1"/>
  <c r="B20643" i="1"/>
  <c r="A20643" i="1"/>
  <c r="E20643" i="1"/>
  <c r="B20644" i="1"/>
  <c r="A20644" i="1"/>
  <c r="E20644" i="1"/>
  <c r="B20645" i="1"/>
  <c r="A20645" i="1"/>
  <c r="E20645" i="1"/>
  <c r="B20646" i="1"/>
  <c r="A20646" i="1"/>
  <c r="E20646" i="1"/>
  <c r="B20647" i="1"/>
  <c r="A20647" i="1"/>
  <c r="E20647" i="1"/>
  <c r="B20648" i="1"/>
  <c r="A20648" i="1"/>
  <c r="E20648" i="1"/>
  <c r="B20649" i="1"/>
  <c r="A20649" i="1"/>
  <c r="E20649" i="1"/>
  <c r="B20650" i="1"/>
  <c r="A20650" i="1"/>
  <c r="E20650" i="1"/>
  <c r="B20651" i="1"/>
  <c r="A20651" i="1"/>
  <c r="E20651" i="1"/>
  <c r="B20652" i="1"/>
  <c r="A20652" i="1"/>
  <c r="E20652" i="1"/>
  <c r="B20653" i="1"/>
  <c r="A20653" i="1"/>
  <c r="E20653" i="1"/>
  <c r="B20654" i="1"/>
  <c r="A20654" i="1"/>
  <c r="E20654" i="1"/>
  <c r="B20655" i="1"/>
  <c r="A20655" i="1"/>
  <c r="E20655" i="1"/>
  <c r="B20656" i="1"/>
  <c r="A20656" i="1"/>
  <c r="E20656" i="1"/>
  <c r="B20657" i="1"/>
  <c r="A20657" i="1"/>
  <c r="E20657" i="1"/>
  <c r="B20658" i="1"/>
  <c r="A20658" i="1"/>
  <c r="E20658" i="1"/>
  <c r="B20659" i="1"/>
  <c r="A20659" i="1"/>
  <c r="E20659" i="1"/>
  <c r="B20660" i="1"/>
  <c r="A20660" i="1"/>
  <c r="E20660" i="1"/>
  <c r="B20661" i="1"/>
  <c r="A20661" i="1"/>
  <c r="E20661" i="1"/>
  <c r="B20662" i="1"/>
  <c r="A20662" i="1"/>
  <c r="E20662" i="1"/>
  <c r="B20663" i="1"/>
  <c r="A20663" i="1"/>
  <c r="E20663" i="1"/>
  <c r="B20664" i="1"/>
  <c r="A20664" i="1"/>
  <c r="E20664" i="1"/>
  <c r="B20665" i="1"/>
  <c r="A20665" i="1"/>
  <c r="E20665" i="1"/>
  <c r="B20666" i="1"/>
  <c r="A20666" i="1"/>
  <c r="E20666" i="1"/>
  <c r="B20667" i="1"/>
  <c r="A20667" i="1"/>
  <c r="E20667" i="1"/>
  <c r="B20668" i="1"/>
  <c r="A20668" i="1"/>
  <c r="E20668" i="1"/>
  <c r="B20669" i="1"/>
  <c r="A20669" i="1"/>
  <c r="E20669" i="1"/>
  <c r="B20670" i="1"/>
  <c r="A20670" i="1"/>
  <c r="E20670" i="1"/>
  <c r="B20671" i="1"/>
  <c r="A20671" i="1"/>
  <c r="E20671" i="1"/>
  <c r="B20672" i="1"/>
  <c r="A20672" i="1"/>
  <c r="E20672" i="1"/>
  <c r="B20673" i="1"/>
  <c r="A20673" i="1"/>
  <c r="E20673" i="1"/>
  <c r="B20674" i="1"/>
  <c r="A20674" i="1"/>
  <c r="E20674" i="1"/>
  <c r="B20675" i="1"/>
  <c r="A20675" i="1"/>
  <c r="E20675" i="1"/>
  <c r="B20676" i="1"/>
  <c r="A20676" i="1"/>
  <c r="E20676" i="1"/>
  <c r="B20677" i="1"/>
  <c r="A20677" i="1"/>
  <c r="E20677" i="1"/>
  <c r="B20678" i="1"/>
  <c r="A20678" i="1"/>
  <c r="E20678" i="1"/>
  <c r="B20679" i="1"/>
  <c r="A20679" i="1"/>
  <c r="E20679" i="1"/>
  <c r="B20680" i="1"/>
  <c r="A20680" i="1"/>
  <c r="E20680" i="1"/>
  <c r="B20681" i="1"/>
  <c r="A20681" i="1"/>
  <c r="E20681" i="1"/>
  <c r="B20682" i="1"/>
  <c r="A20682" i="1"/>
  <c r="E20682" i="1"/>
  <c r="B20683" i="1"/>
  <c r="A20683" i="1"/>
  <c r="E20683" i="1"/>
  <c r="B20684" i="1"/>
  <c r="A20684" i="1"/>
  <c r="E20684" i="1"/>
  <c r="B20685" i="1"/>
  <c r="A20685" i="1"/>
  <c r="E20685" i="1"/>
  <c r="B20686" i="1"/>
  <c r="A20686" i="1"/>
  <c r="E20686" i="1"/>
  <c r="B20687" i="1"/>
  <c r="A20687" i="1"/>
  <c r="E20687" i="1"/>
  <c r="B20688" i="1"/>
  <c r="A20688" i="1"/>
  <c r="E20688" i="1"/>
  <c r="B20689" i="1"/>
  <c r="A20689" i="1"/>
  <c r="E20689" i="1"/>
  <c r="B20690" i="1"/>
  <c r="A20690" i="1"/>
  <c r="E20690" i="1"/>
  <c r="B20691" i="1"/>
  <c r="A20691" i="1"/>
  <c r="E20691" i="1"/>
  <c r="B20692" i="1"/>
  <c r="A20692" i="1"/>
  <c r="E20692" i="1"/>
  <c r="B20693" i="1"/>
  <c r="A20693" i="1"/>
  <c r="E20693" i="1"/>
  <c r="B20694" i="1"/>
  <c r="A20694" i="1"/>
  <c r="E20694" i="1"/>
  <c r="B20695" i="1"/>
  <c r="A20695" i="1"/>
  <c r="E20695" i="1"/>
  <c r="B20696" i="1"/>
  <c r="A20696" i="1"/>
  <c r="E20696" i="1"/>
  <c r="B20697" i="1"/>
  <c r="A20697" i="1"/>
  <c r="E20697" i="1"/>
  <c r="B20698" i="1"/>
  <c r="A20698" i="1"/>
  <c r="E20698" i="1"/>
  <c r="B20699" i="1"/>
  <c r="A20699" i="1"/>
  <c r="E20699" i="1"/>
  <c r="B20700" i="1"/>
  <c r="A20700" i="1"/>
  <c r="E20700" i="1"/>
  <c r="B20701" i="1"/>
  <c r="A20701" i="1"/>
  <c r="E20701" i="1"/>
  <c r="B20702" i="1"/>
  <c r="A20702" i="1"/>
  <c r="E20702" i="1"/>
  <c r="B20703" i="1"/>
  <c r="A20703" i="1"/>
  <c r="E20703" i="1"/>
  <c r="B20704" i="1"/>
  <c r="A20704" i="1"/>
  <c r="E20704" i="1"/>
  <c r="B20705" i="1"/>
  <c r="A20705" i="1"/>
  <c r="E20705" i="1"/>
  <c r="B20706" i="1"/>
  <c r="A20706" i="1"/>
  <c r="E20706" i="1"/>
  <c r="B20707" i="1"/>
  <c r="A20707" i="1"/>
  <c r="E20707" i="1"/>
  <c r="B20708" i="1"/>
  <c r="A20708" i="1"/>
  <c r="E20708" i="1"/>
  <c r="B20709" i="1"/>
  <c r="A20709" i="1"/>
  <c r="E20709" i="1"/>
  <c r="B20710" i="1"/>
  <c r="A20710" i="1"/>
  <c r="E20710" i="1"/>
  <c r="B20711" i="1"/>
  <c r="A20711" i="1"/>
  <c r="E20711" i="1"/>
  <c r="B20712" i="1"/>
  <c r="A20712" i="1"/>
  <c r="E20712" i="1"/>
  <c r="B20713" i="1"/>
  <c r="A20713" i="1"/>
  <c r="E20713" i="1"/>
  <c r="B20714" i="1"/>
  <c r="A20714" i="1"/>
  <c r="E20714" i="1"/>
  <c r="B20715" i="1"/>
  <c r="A20715" i="1"/>
  <c r="E20715" i="1"/>
  <c r="B20716" i="1"/>
  <c r="A20716" i="1"/>
  <c r="E20716" i="1"/>
  <c r="B20717" i="1"/>
  <c r="A20717" i="1"/>
  <c r="E20717" i="1"/>
  <c r="B20718" i="1"/>
  <c r="A20718" i="1"/>
  <c r="E20718" i="1"/>
  <c r="B20719" i="1"/>
  <c r="A20719" i="1"/>
  <c r="E20719" i="1"/>
  <c r="B20720" i="1"/>
  <c r="A20720" i="1"/>
  <c r="E20720" i="1"/>
  <c r="B20721" i="1"/>
  <c r="A20721" i="1"/>
  <c r="E20721" i="1"/>
  <c r="B20722" i="1"/>
  <c r="A20722" i="1"/>
  <c r="E20722" i="1"/>
  <c r="B20723" i="1"/>
  <c r="A20723" i="1"/>
  <c r="E20723" i="1"/>
  <c r="B20724" i="1"/>
  <c r="A20724" i="1"/>
  <c r="E20724" i="1"/>
  <c r="B20725" i="1"/>
  <c r="A20725" i="1"/>
  <c r="E20725" i="1"/>
  <c r="B20726" i="1"/>
  <c r="A20726" i="1"/>
  <c r="E20726" i="1"/>
  <c r="B20727" i="1"/>
  <c r="A20727" i="1"/>
  <c r="E20727" i="1"/>
  <c r="B20728" i="1"/>
  <c r="A20728" i="1"/>
  <c r="E20728" i="1"/>
  <c r="B20729" i="1"/>
  <c r="A20729" i="1"/>
  <c r="E20729" i="1"/>
  <c r="B20730" i="1"/>
  <c r="A20730" i="1"/>
  <c r="E20730" i="1"/>
  <c r="B20731" i="1"/>
  <c r="A20731" i="1"/>
  <c r="E20731" i="1"/>
  <c r="B20732" i="1"/>
  <c r="A20732" i="1"/>
  <c r="E20732" i="1"/>
  <c r="B20733" i="1"/>
  <c r="A20733" i="1"/>
  <c r="E20733" i="1"/>
  <c r="B20734" i="1"/>
  <c r="A20734" i="1"/>
  <c r="E20734" i="1"/>
  <c r="B20735" i="1"/>
  <c r="A20735" i="1"/>
  <c r="E20735" i="1"/>
  <c r="B20736" i="1"/>
  <c r="A20736" i="1"/>
  <c r="E20736" i="1"/>
  <c r="B20737" i="1"/>
  <c r="A20737" i="1"/>
  <c r="E20737" i="1"/>
  <c r="B20738" i="1"/>
  <c r="A20738" i="1"/>
  <c r="E20738" i="1"/>
  <c r="B20739" i="1"/>
  <c r="A20739" i="1"/>
  <c r="E20739" i="1"/>
  <c r="B20740" i="1"/>
  <c r="A20740" i="1"/>
  <c r="E20740" i="1"/>
  <c r="B20741" i="1"/>
  <c r="A20741" i="1"/>
  <c r="E20741" i="1"/>
  <c r="B20742" i="1"/>
  <c r="A20742" i="1"/>
  <c r="E20742" i="1"/>
  <c r="B20743" i="1"/>
  <c r="A20743" i="1"/>
  <c r="E20743" i="1"/>
  <c r="B20744" i="1"/>
  <c r="A20744" i="1"/>
  <c r="E20744" i="1"/>
  <c r="B20745" i="1"/>
  <c r="A20745" i="1"/>
  <c r="E20745" i="1"/>
  <c r="B20746" i="1"/>
  <c r="A20746" i="1"/>
  <c r="E20746" i="1"/>
  <c r="B20747" i="1"/>
  <c r="A20747" i="1"/>
  <c r="E20747" i="1"/>
  <c r="B20748" i="1"/>
  <c r="A20748" i="1"/>
  <c r="E20748" i="1"/>
  <c r="B20749" i="1"/>
  <c r="A20749" i="1"/>
  <c r="E20749" i="1"/>
  <c r="B20750" i="1"/>
  <c r="A20750" i="1"/>
  <c r="E20750" i="1"/>
  <c r="B20751" i="1"/>
  <c r="A20751" i="1"/>
  <c r="E20751" i="1"/>
  <c r="B20752" i="1"/>
  <c r="A20752" i="1"/>
  <c r="E20752" i="1"/>
  <c r="B20753" i="1"/>
  <c r="A20753" i="1"/>
  <c r="E20753" i="1"/>
  <c r="B20754" i="1"/>
  <c r="A20754" i="1"/>
  <c r="E20754" i="1"/>
  <c r="B20755" i="1"/>
  <c r="A20755" i="1"/>
  <c r="E20755" i="1"/>
  <c r="B20756" i="1"/>
  <c r="A20756" i="1"/>
  <c r="E20756" i="1"/>
  <c r="B20757" i="1"/>
  <c r="A20757" i="1"/>
  <c r="E20757" i="1"/>
  <c r="B20758" i="1"/>
  <c r="A20758" i="1"/>
  <c r="E20758" i="1"/>
  <c r="B20759" i="1"/>
  <c r="A20759" i="1"/>
  <c r="E20759" i="1"/>
  <c r="B20760" i="1"/>
  <c r="A20760" i="1"/>
  <c r="E20760" i="1"/>
  <c r="B20761" i="1"/>
  <c r="A20761" i="1"/>
  <c r="E20761" i="1"/>
  <c r="B20762" i="1"/>
  <c r="A20762" i="1"/>
  <c r="E20762" i="1"/>
  <c r="B20763" i="1"/>
  <c r="A20763" i="1"/>
  <c r="E20763" i="1"/>
  <c r="B20764" i="1"/>
  <c r="A20764" i="1"/>
  <c r="E20764" i="1"/>
  <c r="B20765" i="1"/>
  <c r="A20765" i="1"/>
  <c r="E20765" i="1"/>
  <c r="B20766" i="1"/>
  <c r="A20766" i="1"/>
  <c r="E20766" i="1"/>
  <c r="B20767" i="1"/>
  <c r="A20767" i="1"/>
  <c r="E20767" i="1"/>
  <c r="B20768" i="1"/>
  <c r="A20768" i="1"/>
  <c r="E20768" i="1"/>
  <c r="B20769" i="1"/>
  <c r="A20769" i="1"/>
  <c r="E20769" i="1"/>
  <c r="B20770" i="1"/>
  <c r="A20770" i="1"/>
  <c r="E20770" i="1"/>
  <c r="B20771" i="1"/>
  <c r="A20771" i="1"/>
  <c r="E20771" i="1"/>
  <c r="B20772" i="1"/>
  <c r="A20772" i="1"/>
  <c r="E20772" i="1"/>
  <c r="B20773" i="1"/>
  <c r="A20773" i="1"/>
  <c r="E20773" i="1"/>
  <c r="B20774" i="1"/>
  <c r="A20774" i="1"/>
  <c r="E20774" i="1"/>
  <c r="B20775" i="1"/>
  <c r="A20775" i="1"/>
  <c r="E20775" i="1"/>
  <c r="B20776" i="1"/>
  <c r="A20776" i="1"/>
  <c r="E20776" i="1"/>
  <c r="B20777" i="1"/>
  <c r="A20777" i="1"/>
  <c r="E20777" i="1"/>
  <c r="B20778" i="1"/>
  <c r="A20778" i="1"/>
  <c r="E20778" i="1"/>
  <c r="B20779" i="1"/>
  <c r="A20779" i="1"/>
  <c r="E20779" i="1"/>
  <c r="B20780" i="1"/>
  <c r="A20780" i="1"/>
  <c r="E20780" i="1"/>
  <c r="B20781" i="1"/>
  <c r="A20781" i="1"/>
  <c r="E20781" i="1"/>
  <c r="B20782" i="1"/>
  <c r="A20782" i="1"/>
  <c r="E20782" i="1"/>
  <c r="B20783" i="1"/>
  <c r="A20783" i="1"/>
  <c r="E20783" i="1"/>
  <c r="B20784" i="1"/>
  <c r="A20784" i="1"/>
  <c r="E20784" i="1"/>
  <c r="B20785" i="1"/>
  <c r="A20785" i="1"/>
  <c r="E20785" i="1"/>
  <c r="B20786" i="1"/>
  <c r="A20786" i="1"/>
  <c r="E20786" i="1"/>
  <c r="B20787" i="1"/>
  <c r="A20787" i="1"/>
  <c r="E20787" i="1"/>
  <c r="B20788" i="1"/>
  <c r="A20788" i="1"/>
  <c r="E20788" i="1"/>
  <c r="B20789" i="1"/>
  <c r="A20789" i="1"/>
  <c r="E20789" i="1"/>
  <c r="B20790" i="1"/>
  <c r="A20790" i="1"/>
  <c r="E20790" i="1"/>
  <c r="B20791" i="1"/>
  <c r="A20791" i="1"/>
  <c r="E20791" i="1"/>
  <c r="B20792" i="1"/>
  <c r="A20792" i="1"/>
  <c r="E20792" i="1"/>
  <c r="B20793" i="1"/>
  <c r="A20793" i="1"/>
  <c r="E20793" i="1"/>
  <c r="B20794" i="1"/>
  <c r="A20794" i="1"/>
  <c r="E20794" i="1"/>
  <c r="B20795" i="1"/>
  <c r="A20795" i="1"/>
  <c r="E20795" i="1"/>
  <c r="B20796" i="1"/>
  <c r="A20796" i="1"/>
  <c r="E20796" i="1"/>
  <c r="B20797" i="1"/>
  <c r="A20797" i="1"/>
  <c r="E20797" i="1"/>
  <c r="B20798" i="1"/>
  <c r="A20798" i="1"/>
  <c r="E20798" i="1"/>
  <c r="B20799" i="1"/>
  <c r="A20799" i="1"/>
  <c r="E20799" i="1"/>
  <c r="A20800" i="1"/>
  <c r="E20800" i="1"/>
  <c r="B20801" i="1"/>
  <c r="A20801" i="1"/>
  <c r="E20801" i="1"/>
  <c r="B20802" i="1"/>
  <c r="A20802" i="1"/>
  <c r="E20802" i="1"/>
  <c r="B20803" i="1"/>
  <c r="A20803" i="1"/>
  <c r="E20803" i="1"/>
  <c r="B20804" i="1"/>
  <c r="A20804" i="1"/>
  <c r="E20804" i="1"/>
  <c r="B20805" i="1"/>
  <c r="A20805" i="1"/>
  <c r="E20805" i="1"/>
  <c r="A20806" i="1"/>
  <c r="E20806" i="1"/>
  <c r="G20806" i="1"/>
  <c r="A20807" i="1"/>
  <c r="E20807" i="1"/>
  <c r="B20808" i="1"/>
  <c r="A20808" i="1"/>
  <c r="E20808" i="1"/>
  <c r="B20809" i="1"/>
  <c r="A20809" i="1"/>
  <c r="E20809" i="1"/>
  <c r="B20810" i="1"/>
  <c r="A20810" i="1"/>
  <c r="E20810" i="1"/>
  <c r="B20811" i="1"/>
  <c r="A20811" i="1"/>
  <c r="E20811" i="1"/>
  <c r="B20812" i="1"/>
  <c r="A20812" i="1"/>
  <c r="E20812" i="1"/>
  <c r="B20813" i="1"/>
  <c r="A20813" i="1"/>
  <c r="E20813" i="1"/>
  <c r="B20814" i="1"/>
  <c r="A20814" i="1"/>
  <c r="E20814" i="1"/>
  <c r="B20815" i="1"/>
  <c r="A20815" i="1"/>
  <c r="E20815" i="1"/>
  <c r="B20816" i="1"/>
  <c r="A20816" i="1"/>
  <c r="E20816" i="1"/>
  <c r="B20817" i="1"/>
  <c r="A20817" i="1"/>
  <c r="E20817" i="1"/>
  <c r="B20818" i="1"/>
  <c r="A20818" i="1"/>
  <c r="E20818" i="1"/>
  <c r="B20819" i="1"/>
  <c r="A20819" i="1"/>
  <c r="E20819" i="1"/>
  <c r="B20820" i="1"/>
  <c r="A20820" i="1"/>
  <c r="E20820" i="1"/>
  <c r="B20821" i="1"/>
  <c r="A20821" i="1"/>
  <c r="E20821" i="1"/>
  <c r="B20822" i="1"/>
  <c r="A20822" i="1"/>
  <c r="E20822" i="1"/>
  <c r="B20823" i="1"/>
  <c r="A20823" i="1"/>
  <c r="E20823" i="1"/>
  <c r="B20824" i="1"/>
  <c r="A20824" i="1"/>
  <c r="E20824" i="1"/>
  <c r="B20825" i="1"/>
  <c r="A20825" i="1"/>
  <c r="E20825" i="1"/>
  <c r="B20826" i="1"/>
  <c r="A20826" i="1"/>
  <c r="E20826" i="1"/>
  <c r="B20827" i="1"/>
  <c r="A20827" i="1"/>
  <c r="E20827" i="1"/>
  <c r="B20828" i="1"/>
  <c r="A20828" i="1"/>
  <c r="E20828" i="1"/>
  <c r="B20829" i="1"/>
  <c r="A20829" i="1"/>
  <c r="E20829" i="1"/>
  <c r="B20830" i="1"/>
  <c r="A20830" i="1"/>
  <c r="E20830" i="1"/>
  <c r="B20831" i="1"/>
  <c r="A20831" i="1"/>
  <c r="E20831" i="1"/>
  <c r="B20832" i="1"/>
  <c r="A20832" i="1"/>
  <c r="E20832" i="1"/>
  <c r="B20833" i="1"/>
  <c r="A20833" i="1"/>
  <c r="E20833" i="1"/>
  <c r="B20834" i="1"/>
  <c r="A20834" i="1"/>
  <c r="E20834" i="1"/>
  <c r="B20835" i="1"/>
  <c r="A20835" i="1"/>
  <c r="E20835" i="1"/>
  <c r="B20836" i="1"/>
  <c r="A20836" i="1"/>
  <c r="E20836" i="1"/>
  <c r="B20837" i="1"/>
  <c r="A20837" i="1"/>
  <c r="E20837" i="1"/>
  <c r="B20838" i="1"/>
  <c r="A20838" i="1"/>
  <c r="E20838" i="1"/>
  <c r="B20839" i="1"/>
  <c r="A20839" i="1"/>
  <c r="E20839" i="1"/>
  <c r="B20840" i="1"/>
  <c r="A20840" i="1"/>
  <c r="E20840" i="1"/>
  <c r="B20841" i="1"/>
  <c r="A20841" i="1"/>
  <c r="E20841" i="1"/>
  <c r="B20842" i="1"/>
  <c r="A20842" i="1"/>
  <c r="E20842" i="1"/>
  <c r="B20843" i="1"/>
  <c r="A20843" i="1"/>
  <c r="E20843" i="1"/>
  <c r="B20844" i="1"/>
  <c r="A20844" i="1"/>
  <c r="E20844" i="1"/>
  <c r="B20845" i="1"/>
  <c r="A20845" i="1"/>
  <c r="E20845" i="1"/>
  <c r="B20846" i="1"/>
  <c r="A20846" i="1"/>
  <c r="E20846" i="1"/>
  <c r="B20847" i="1"/>
  <c r="A20847" i="1"/>
  <c r="E20847" i="1"/>
  <c r="B20848" i="1"/>
  <c r="A20848" i="1"/>
  <c r="E20848" i="1"/>
  <c r="B20849" i="1"/>
  <c r="A20849" i="1"/>
  <c r="E20849" i="1"/>
  <c r="B20850" i="1"/>
  <c r="A20850" i="1"/>
  <c r="E20850" i="1"/>
  <c r="B20851" i="1"/>
  <c r="A20851" i="1"/>
  <c r="E20851" i="1"/>
  <c r="B20852" i="1"/>
  <c r="A20852" i="1"/>
  <c r="E20852" i="1"/>
  <c r="B20853" i="1"/>
  <c r="A20853" i="1"/>
  <c r="E20853" i="1"/>
  <c r="B20854" i="1"/>
  <c r="A20854" i="1"/>
  <c r="E20854" i="1"/>
  <c r="B20855" i="1"/>
  <c r="A20855" i="1"/>
  <c r="E20855" i="1"/>
  <c r="B20856" i="1"/>
  <c r="A20856" i="1"/>
  <c r="E20856" i="1"/>
  <c r="B20857" i="1"/>
  <c r="A20857" i="1"/>
  <c r="E20857" i="1"/>
  <c r="B20858" i="1"/>
  <c r="A20858" i="1"/>
  <c r="E20858" i="1"/>
  <c r="B20859" i="1"/>
  <c r="A20859" i="1"/>
  <c r="E20859" i="1"/>
  <c r="B20860" i="1"/>
  <c r="A20860" i="1"/>
  <c r="E20860" i="1"/>
  <c r="B20861" i="1"/>
  <c r="A20861" i="1"/>
  <c r="E20861" i="1"/>
  <c r="B20862" i="1"/>
  <c r="A20862" i="1"/>
  <c r="E20862" i="1"/>
  <c r="B20863" i="1"/>
  <c r="A20863" i="1"/>
  <c r="E20863" i="1"/>
  <c r="B20864" i="1"/>
  <c r="A20864" i="1"/>
  <c r="E20864" i="1"/>
  <c r="B20865" i="1"/>
  <c r="A20865" i="1"/>
  <c r="E20865" i="1"/>
  <c r="B20866" i="1"/>
  <c r="A20866" i="1"/>
  <c r="E20866" i="1"/>
  <c r="B20867" i="1"/>
  <c r="A20867" i="1"/>
  <c r="E20867" i="1"/>
  <c r="B20868" i="1"/>
  <c r="A20868" i="1"/>
  <c r="E20868" i="1"/>
  <c r="B20869" i="1"/>
  <c r="A20869" i="1"/>
  <c r="E20869" i="1"/>
  <c r="B20870" i="1"/>
  <c r="A20870" i="1"/>
  <c r="E20870" i="1"/>
  <c r="B20871" i="1"/>
  <c r="A20871" i="1"/>
  <c r="E20871" i="1"/>
  <c r="B20872" i="1"/>
  <c r="A20872" i="1"/>
  <c r="E20872" i="1"/>
  <c r="B20873" i="1"/>
  <c r="A20873" i="1"/>
  <c r="E20873" i="1"/>
  <c r="B20874" i="1"/>
  <c r="A20874" i="1"/>
  <c r="E20874" i="1"/>
  <c r="B20875" i="1"/>
  <c r="A20875" i="1"/>
  <c r="E20875" i="1"/>
  <c r="B20876" i="1"/>
  <c r="A20876" i="1"/>
  <c r="E20876" i="1"/>
  <c r="B20877" i="1"/>
  <c r="A20877" i="1"/>
  <c r="E20877" i="1"/>
  <c r="B20878" i="1"/>
  <c r="A20878" i="1"/>
  <c r="E20878" i="1"/>
  <c r="B20879" i="1"/>
  <c r="A20879" i="1"/>
  <c r="E20879" i="1"/>
  <c r="B20880" i="1"/>
  <c r="A20880" i="1"/>
  <c r="E20880" i="1"/>
  <c r="B20881" i="1"/>
  <c r="A20881" i="1"/>
  <c r="E20881" i="1"/>
  <c r="B20882" i="1"/>
  <c r="A20882" i="1"/>
  <c r="E20882" i="1"/>
  <c r="B20883" i="1"/>
  <c r="A20883" i="1"/>
  <c r="E20883" i="1"/>
  <c r="B20884" i="1"/>
  <c r="A20884" i="1"/>
  <c r="E20884" i="1"/>
  <c r="B20885" i="1"/>
  <c r="A20885" i="1"/>
  <c r="E20885" i="1"/>
  <c r="B20886" i="1"/>
  <c r="A20886" i="1"/>
  <c r="E20886" i="1"/>
  <c r="B20887" i="1"/>
  <c r="A20887" i="1"/>
  <c r="E20887" i="1"/>
  <c r="B20888" i="1"/>
  <c r="A20888" i="1"/>
  <c r="E20888" i="1"/>
  <c r="B20889" i="1"/>
  <c r="A20889" i="1"/>
  <c r="E20889" i="1"/>
  <c r="B20890" i="1"/>
  <c r="A20890" i="1"/>
  <c r="E20890" i="1"/>
  <c r="B20891" i="1"/>
  <c r="A20891" i="1"/>
  <c r="E20891" i="1"/>
  <c r="B20892" i="1"/>
  <c r="A20892" i="1"/>
  <c r="E20892" i="1"/>
  <c r="B20893" i="1"/>
  <c r="A20893" i="1"/>
  <c r="E20893" i="1"/>
  <c r="B20894" i="1"/>
  <c r="A20894" i="1"/>
  <c r="E20894" i="1"/>
  <c r="B20895" i="1"/>
  <c r="A20895" i="1"/>
  <c r="E20895" i="1"/>
  <c r="B20896" i="1"/>
  <c r="A20896" i="1"/>
  <c r="E20896" i="1"/>
  <c r="B20897" i="1"/>
  <c r="A20897" i="1"/>
  <c r="E20897" i="1"/>
  <c r="B20898" i="1"/>
  <c r="A20898" i="1"/>
  <c r="E20898" i="1"/>
  <c r="B20899" i="1"/>
  <c r="A20899" i="1"/>
  <c r="E20899" i="1"/>
  <c r="B20900" i="1"/>
  <c r="A20900" i="1"/>
  <c r="E20900" i="1"/>
  <c r="B20901" i="1"/>
  <c r="A20901" i="1"/>
  <c r="E20901" i="1"/>
  <c r="B20902" i="1"/>
  <c r="A20902" i="1"/>
  <c r="E20902" i="1"/>
  <c r="B20903" i="1"/>
  <c r="A20903" i="1"/>
  <c r="E20903" i="1"/>
  <c r="B20904" i="1"/>
  <c r="A20904" i="1"/>
  <c r="E20904" i="1"/>
  <c r="B20905" i="1"/>
  <c r="A20905" i="1"/>
  <c r="E20905" i="1"/>
  <c r="B20906" i="1"/>
  <c r="A20906" i="1"/>
  <c r="E20906" i="1"/>
  <c r="B20907" i="1"/>
  <c r="A20907" i="1"/>
  <c r="E20907" i="1"/>
  <c r="B20908" i="1"/>
  <c r="A20908" i="1"/>
  <c r="E20908" i="1"/>
  <c r="B20909" i="1"/>
  <c r="A20909" i="1"/>
  <c r="E20909" i="1"/>
  <c r="B20910" i="1"/>
  <c r="A20910" i="1"/>
  <c r="E20910" i="1"/>
  <c r="B20911" i="1"/>
  <c r="A20911" i="1"/>
  <c r="E20911" i="1"/>
  <c r="B20912" i="1"/>
  <c r="A20912" i="1"/>
  <c r="E20912" i="1"/>
  <c r="B20913" i="1"/>
  <c r="A20913" i="1"/>
  <c r="E20913" i="1"/>
  <c r="B20914" i="1"/>
  <c r="A20914" i="1"/>
  <c r="E20914" i="1"/>
  <c r="B20915" i="1"/>
  <c r="A20915" i="1"/>
  <c r="E20915" i="1"/>
  <c r="B20916" i="1"/>
  <c r="A20916" i="1"/>
  <c r="E20916" i="1"/>
  <c r="B20917" i="1"/>
  <c r="A20917" i="1"/>
  <c r="E20917" i="1"/>
  <c r="B20918" i="1"/>
  <c r="A20918" i="1"/>
  <c r="E20918" i="1"/>
  <c r="B20919" i="1"/>
  <c r="A20919" i="1"/>
  <c r="E20919" i="1"/>
  <c r="B20920" i="1"/>
  <c r="A20920" i="1"/>
  <c r="E20920" i="1"/>
  <c r="B20921" i="1"/>
  <c r="A20921" i="1"/>
  <c r="E20921" i="1"/>
  <c r="B20922" i="1"/>
  <c r="A20922" i="1"/>
  <c r="E20922" i="1"/>
  <c r="B20923" i="1"/>
  <c r="A20923" i="1"/>
  <c r="E20923" i="1"/>
  <c r="B20924" i="1"/>
  <c r="A20924" i="1"/>
  <c r="E20924" i="1"/>
  <c r="B20925" i="1"/>
  <c r="A20925" i="1"/>
  <c r="E20925" i="1"/>
  <c r="B20926" i="1"/>
  <c r="A20926" i="1"/>
  <c r="E20926" i="1"/>
  <c r="B20927" i="1"/>
  <c r="A20927" i="1"/>
  <c r="E20927" i="1"/>
  <c r="B20928" i="1"/>
  <c r="A20928" i="1"/>
  <c r="E20928" i="1"/>
  <c r="B20929" i="1"/>
  <c r="A20929" i="1"/>
  <c r="E20929" i="1"/>
  <c r="B20930" i="1"/>
  <c r="A20930" i="1"/>
  <c r="E20930" i="1"/>
  <c r="B20931" i="1"/>
  <c r="A20931" i="1"/>
  <c r="E20931" i="1"/>
  <c r="B20932" i="1"/>
  <c r="A20932" i="1"/>
  <c r="E20932" i="1"/>
  <c r="B20933" i="1"/>
  <c r="A20933" i="1"/>
  <c r="E20933" i="1"/>
  <c r="B20934" i="1"/>
  <c r="A20934" i="1"/>
  <c r="E20934" i="1"/>
  <c r="B20935" i="1"/>
  <c r="A20935" i="1"/>
  <c r="E20935" i="1"/>
  <c r="B20936" i="1"/>
  <c r="A20936" i="1"/>
  <c r="E20936" i="1"/>
  <c r="B20937" i="1"/>
  <c r="A20937" i="1"/>
  <c r="E20937" i="1"/>
  <c r="B20938" i="1"/>
  <c r="A20938" i="1"/>
  <c r="E20938" i="1"/>
  <c r="B20939" i="1"/>
  <c r="A20939" i="1"/>
  <c r="E20939" i="1"/>
  <c r="B20940" i="1"/>
  <c r="A20940" i="1"/>
  <c r="E20940" i="1"/>
  <c r="B20941" i="1"/>
  <c r="A20941" i="1"/>
  <c r="E20941" i="1"/>
  <c r="B20942" i="1"/>
  <c r="A20942" i="1"/>
  <c r="E20942" i="1"/>
  <c r="B20943" i="1"/>
  <c r="A20943" i="1"/>
  <c r="E20943" i="1"/>
  <c r="B20944" i="1"/>
  <c r="A20944" i="1"/>
  <c r="E20944" i="1"/>
  <c r="B20945" i="1"/>
  <c r="A20945" i="1"/>
  <c r="E20945" i="1"/>
  <c r="B20946" i="1"/>
  <c r="A20946" i="1"/>
  <c r="E20946" i="1"/>
  <c r="B20947" i="1"/>
  <c r="A20947" i="1"/>
  <c r="E20947" i="1"/>
  <c r="B20948" i="1"/>
  <c r="A20948" i="1"/>
  <c r="E20948" i="1"/>
  <c r="B20949" i="1"/>
  <c r="A20949" i="1"/>
  <c r="E20949" i="1"/>
  <c r="B20950" i="1"/>
  <c r="A20950" i="1"/>
  <c r="E20950" i="1"/>
  <c r="B20951" i="1"/>
  <c r="A20951" i="1"/>
  <c r="E20951" i="1"/>
  <c r="B20952" i="1"/>
  <c r="A20952" i="1"/>
  <c r="E20952" i="1"/>
  <c r="B20953" i="1"/>
  <c r="A20953" i="1"/>
  <c r="E20953" i="1"/>
  <c r="B20954" i="1"/>
  <c r="A20954" i="1"/>
  <c r="E20954" i="1"/>
  <c r="B20955" i="1"/>
  <c r="A20955" i="1"/>
  <c r="E20955" i="1"/>
  <c r="B20956" i="1"/>
  <c r="A20956" i="1"/>
  <c r="E20956" i="1"/>
  <c r="B20957" i="1"/>
  <c r="A20957" i="1"/>
  <c r="E20957" i="1"/>
  <c r="B20958" i="1"/>
  <c r="A20958" i="1"/>
  <c r="E20958" i="1"/>
  <c r="B20959" i="1"/>
  <c r="A20959" i="1"/>
  <c r="E20959" i="1"/>
  <c r="B20960" i="1"/>
  <c r="A20960" i="1"/>
  <c r="E20960" i="1"/>
  <c r="B20961" i="1"/>
  <c r="A20961" i="1"/>
  <c r="E20961" i="1"/>
  <c r="B20962" i="1"/>
  <c r="A20962" i="1"/>
  <c r="E20962" i="1"/>
  <c r="B20963" i="1"/>
  <c r="A20963" i="1"/>
  <c r="E20963" i="1"/>
  <c r="B20964" i="1"/>
  <c r="A20964" i="1"/>
  <c r="E20964" i="1"/>
  <c r="B20965" i="1"/>
  <c r="A20965" i="1"/>
  <c r="E20965" i="1"/>
  <c r="B20966" i="1"/>
  <c r="A20966" i="1"/>
  <c r="E20966" i="1"/>
  <c r="B20967" i="1"/>
  <c r="A20967" i="1"/>
  <c r="E20967" i="1"/>
  <c r="B20968" i="1"/>
  <c r="A20968" i="1"/>
  <c r="E20968" i="1"/>
  <c r="B20969" i="1"/>
  <c r="A20969" i="1"/>
  <c r="E20969" i="1"/>
  <c r="B20970" i="1"/>
  <c r="A20970" i="1"/>
  <c r="E20970" i="1"/>
  <c r="B20971" i="1"/>
  <c r="A20971" i="1"/>
  <c r="E20971" i="1"/>
  <c r="B20972" i="1"/>
  <c r="A20972" i="1"/>
  <c r="E20972" i="1"/>
  <c r="B20973" i="1"/>
  <c r="A20973" i="1"/>
  <c r="E20973" i="1"/>
  <c r="B20974" i="1"/>
  <c r="A20974" i="1"/>
  <c r="E20974" i="1"/>
  <c r="B20975" i="1"/>
  <c r="A20975" i="1"/>
  <c r="E20975" i="1"/>
  <c r="B20976" i="1"/>
  <c r="A20976" i="1"/>
  <c r="E20976" i="1"/>
  <c r="B20977" i="1"/>
  <c r="A20977" i="1"/>
  <c r="E20977" i="1"/>
  <c r="B20978" i="1"/>
  <c r="A20978" i="1"/>
  <c r="E20978" i="1"/>
  <c r="B20979" i="1"/>
  <c r="A20979" i="1"/>
  <c r="E20979" i="1"/>
  <c r="B20980" i="1"/>
  <c r="A20980" i="1"/>
  <c r="E20980" i="1"/>
  <c r="B20981" i="1"/>
  <c r="A20981" i="1"/>
  <c r="E20981" i="1"/>
  <c r="B20982" i="1"/>
  <c r="A20982" i="1"/>
  <c r="E20982" i="1"/>
  <c r="B20983" i="1"/>
  <c r="A20983" i="1"/>
  <c r="E20983" i="1"/>
  <c r="B20984" i="1"/>
  <c r="A20984" i="1"/>
  <c r="E20984" i="1"/>
  <c r="B20985" i="1"/>
  <c r="A20985" i="1"/>
  <c r="E20985" i="1"/>
  <c r="B20986" i="1"/>
  <c r="A20986" i="1"/>
  <c r="E20986" i="1"/>
  <c r="B20987" i="1"/>
  <c r="A20987" i="1"/>
  <c r="E20987" i="1"/>
  <c r="B20988" i="1"/>
  <c r="A20988" i="1"/>
  <c r="E20988" i="1"/>
  <c r="B20989" i="1"/>
  <c r="A20989" i="1"/>
  <c r="E20989" i="1"/>
  <c r="B20990" i="1"/>
  <c r="A20990" i="1"/>
  <c r="E20990" i="1"/>
  <c r="B20991" i="1"/>
  <c r="A20991" i="1"/>
  <c r="E20991" i="1"/>
  <c r="B20992" i="1"/>
  <c r="A20992" i="1"/>
  <c r="E20992" i="1"/>
  <c r="B20993" i="1"/>
  <c r="A20993" i="1"/>
  <c r="E20993" i="1"/>
  <c r="B20994" i="1"/>
  <c r="A20994" i="1"/>
  <c r="E20994" i="1"/>
  <c r="B20995" i="1"/>
  <c r="A20995" i="1"/>
  <c r="E20995" i="1"/>
  <c r="B20996" i="1"/>
  <c r="A20996" i="1"/>
  <c r="E20996" i="1"/>
  <c r="B20997" i="1"/>
  <c r="A20997" i="1"/>
  <c r="E20997" i="1"/>
  <c r="B20998" i="1"/>
  <c r="A20998" i="1"/>
  <c r="E20998" i="1"/>
  <c r="B20999" i="1"/>
  <c r="A20999" i="1"/>
  <c r="E20999" i="1"/>
  <c r="B21000" i="1"/>
  <c r="A21000" i="1"/>
  <c r="E21000" i="1"/>
  <c r="B21001" i="1"/>
  <c r="A21001" i="1"/>
  <c r="E21001" i="1"/>
  <c r="B21002" i="1"/>
  <c r="A21002" i="1"/>
  <c r="E21002" i="1"/>
  <c r="B21003" i="1"/>
  <c r="A21003" i="1"/>
  <c r="E21003" i="1"/>
  <c r="B21004" i="1"/>
  <c r="A21004" i="1"/>
  <c r="E21004" i="1"/>
  <c r="B21005" i="1"/>
  <c r="A21005" i="1"/>
  <c r="E21005" i="1"/>
  <c r="B21006" i="1"/>
  <c r="A21006" i="1"/>
  <c r="E21006" i="1"/>
  <c r="B21007" i="1"/>
  <c r="A21007" i="1"/>
  <c r="E21007" i="1"/>
  <c r="B21008" i="1"/>
  <c r="A21008" i="1"/>
  <c r="E21008" i="1"/>
  <c r="B21009" i="1"/>
  <c r="A21009" i="1"/>
  <c r="E21009" i="1"/>
  <c r="B21010" i="1"/>
  <c r="A21010" i="1"/>
  <c r="E21010" i="1"/>
  <c r="B21011" i="1"/>
  <c r="A21011" i="1"/>
  <c r="E21011" i="1"/>
  <c r="B21012" i="1"/>
  <c r="A21012" i="1"/>
  <c r="E21012" i="1"/>
  <c r="B21013" i="1"/>
  <c r="A21013" i="1"/>
  <c r="E21013" i="1"/>
  <c r="B21014" i="1"/>
  <c r="A21014" i="1"/>
  <c r="E21014" i="1"/>
  <c r="B21015" i="1"/>
  <c r="A21015" i="1"/>
  <c r="E21015" i="1"/>
  <c r="B21016" i="1"/>
  <c r="A21016" i="1"/>
  <c r="E21016" i="1"/>
  <c r="B21017" i="1"/>
  <c r="A21017" i="1"/>
  <c r="E21017" i="1"/>
  <c r="B21018" i="1"/>
  <c r="A21018" i="1"/>
  <c r="E21018" i="1"/>
  <c r="B21019" i="1"/>
  <c r="A21019" i="1"/>
  <c r="E21019" i="1"/>
  <c r="B21020" i="1"/>
  <c r="A21020" i="1"/>
  <c r="E21020" i="1"/>
  <c r="B21021" i="1"/>
  <c r="A21021" i="1"/>
  <c r="E21021" i="1"/>
  <c r="B21022" i="1"/>
  <c r="A21022" i="1"/>
  <c r="E21022" i="1"/>
  <c r="B21023" i="1"/>
  <c r="A21023" i="1"/>
  <c r="E21023" i="1"/>
  <c r="B21024" i="1"/>
  <c r="A21024" i="1"/>
  <c r="E21024" i="1"/>
  <c r="B21025" i="1"/>
  <c r="A21025" i="1"/>
  <c r="E21025" i="1"/>
  <c r="B21026" i="1"/>
  <c r="A21026" i="1"/>
  <c r="E21026" i="1"/>
  <c r="B21027" i="1"/>
  <c r="A21027" i="1"/>
  <c r="E21027" i="1"/>
  <c r="B21028" i="1"/>
  <c r="A21028" i="1"/>
  <c r="E21028" i="1"/>
  <c r="B21029" i="1"/>
  <c r="A21029" i="1"/>
  <c r="E21029" i="1"/>
  <c r="B21030" i="1"/>
  <c r="A21030" i="1"/>
  <c r="E21030" i="1"/>
  <c r="B21031" i="1"/>
  <c r="A21031" i="1"/>
  <c r="E21031" i="1"/>
  <c r="B21032" i="1"/>
  <c r="A21032" i="1"/>
  <c r="E21032" i="1"/>
  <c r="B21033" i="1"/>
  <c r="A21033" i="1"/>
  <c r="E21033" i="1"/>
  <c r="B21034" i="1"/>
  <c r="A21034" i="1"/>
  <c r="E21034" i="1"/>
  <c r="B21035" i="1"/>
  <c r="A21035" i="1"/>
  <c r="E21035" i="1"/>
  <c r="B21036" i="1"/>
  <c r="A21036" i="1"/>
  <c r="E21036" i="1"/>
  <c r="B21037" i="1"/>
  <c r="A21037" i="1"/>
  <c r="E21037" i="1"/>
  <c r="B21038" i="1"/>
  <c r="A21038" i="1"/>
  <c r="E21038" i="1"/>
  <c r="B21039" i="1"/>
  <c r="A21039" i="1"/>
  <c r="E21039" i="1"/>
  <c r="B21040" i="1"/>
  <c r="A21040" i="1"/>
  <c r="E21040" i="1"/>
  <c r="B21041" i="1"/>
  <c r="A21041" i="1"/>
  <c r="E21041" i="1"/>
  <c r="B21042" i="1"/>
  <c r="A21042" i="1"/>
  <c r="E21042" i="1"/>
  <c r="B21043" i="1"/>
  <c r="A21043" i="1"/>
  <c r="E21043" i="1"/>
  <c r="B21044" i="1"/>
  <c r="A21044" i="1"/>
  <c r="E21044" i="1"/>
  <c r="B21045" i="1"/>
  <c r="A21045" i="1"/>
  <c r="E21045" i="1"/>
  <c r="B21046" i="1"/>
  <c r="A21046" i="1"/>
  <c r="E21046" i="1"/>
  <c r="B21047" i="1"/>
  <c r="A21047" i="1"/>
  <c r="E21047" i="1"/>
  <c r="B21048" i="1"/>
  <c r="A21048" i="1"/>
  <c r="E21048" i="1"/>
  <c r="B21049" i="1"/>
  <c r="A21049" i="1"/>
  <c r="E21049" i="1"/>
  <c r="B21050" i="1"/>
  <c r="A21050" i="1"/>
  <c r="E21050" i="1"/>
  <c r="B21051" i="1"/>
  <c r="A21051" i="1"/>
  <c r="E21051" i="1"/>
  <c r="B21052" i="1"/>
  <c r="A21052" i="1"/>
  <c r="E21052" i="1"/>
  <c r="B21053" i="1"/>
  <c r="A21053" i="1"/>
  <c r="E21053" i="1"/>
  <c r="B21054" i="1"/>
  <c r="A21054" i="1"/>
  <c r="E21054" i="1"/>
  <c r="B21055" i="1"/>
  <c r="A21055" i="1"/>
  <c r="E21055" i="1"/>
  <c r="B21056" i="1"/>
  <c r="A21056" i="1"/>
  <c r="E21056" i="1"/>
  <c r="B21057" i="1"/>
  <c r="A21057" i="1"/>
  <c r="E21057" i="1"/>
  <c r="B21058" i="1"/>
  <c r="A21058" i="1"/>
  <c r="E21058" i="1"/>
  <c r="B21059" i="1"/>
  <c r="A21059" i="1"/>
  <c r="E21059" i="1"/>
  <c r="B21060" i="1"/>
  <c r="A21060" i="1"/>
  <c r="E21060" i="1"/>
  <c r="B21061" i="1"/>
  <c r="A21061" i="1"/>
  <c r="E21061" i="1"/>
  <c r="B21062" i="1"/>
  <c r="A21062" i="1"/>
  <c r="E21062" i="1"/>
  <c r="B21063" i="1"/>
  <c r="A21063" i="1"/>
  <c r="E21063" i="1"/>
  <c r="B21064" i="1"/>
  <c r="A21064" i="1"/>
  <c r="E21064" i="1"/>
  <c r="B21065" i="1"/>
  <c r="A21065" i="1"/>
  <c r="E21065" i="1"/>
  <c r="B21066" i="1"/>
  <c r="A21066" i="1"/>
  <c r="E21066" i="1"/>
  <c r="B21067" i="1"/>
  <c r="A21067" i="1"/>
  <c r="E21067" i="1"/>
  <c r="B21068" i="1"/>
  <c r="A21068" i="1"/>
  <c r="E21068" i="1"/>
  <c r="B21069" i="1"/>
  <c r="A21069" i="1"/>
  <c r="E21069" i="1"/>
  <c r="B21070" i="1"/>
  <c r="A21070" i="1"/>
  <c r="E21070" i="1"/>
  <c r="B21071" i="1"/>
  <c r="A21071" i="1"/>
  <c r="E21071" i="1"/>
  <c r="B21072" i="1"/>
  <c r="A21072" i="1"/>
  <c r="E21072" i="1"/>
  <c r="B21073" i="1"/>
  <c r="A21073" i="1"/>
  <c r="E21073" i="1"/>
  <c r="B21074" i="1"/>
  <c r="A21074" i="1"/>
  <c r="E21074" i="1"/>
  <c r="B21075" i="1"/>
  <c r="A21075" i="1"/>
  <c r="E21075" i="1"/>
  <c r="B21076" i="1"/>
  <c r="A21076" i="1"/>
  <c r="E21076" i="1"/>
  <c r="B21077" i="1"/>
  <c r="A21077" i="1"/>
  <c r="E21077" i="1"/>
  <c r="B21078" i="1"/>
  <c r="A21078" i="1"/>
  <c r="E21078" i="1"/>
  <c r="B21079" i="1"/>
  <c r="A21079" i="1"/>
  <c r="E21079" i="1"/>
  <c r="B21080" i="1"/>
  <c r="A21080" i="1"/>
  <c r="E21080" i="1"/>
  <c r="B21081" i="1"/>
  <c r="A21081" i="1"/>
  <c r="E21081" i="1"/>
  <c r="B21082" i="1"/>
  <c r="A21082" i="1"/>
  <c r="E21082" i="1"/>
  <c r="B21083" i="1"/>
  <c r="A21083" i="1"/>
  <c r="E21083" i="1"/>
  <c r="B21084" i="1"/>
  <c r="A21084" i="1"/>
  <c r="E21084" i="1"/>
  <c r="B21085" i="1"/>
  <c r="A21085" i="1"/>
  <c r="E21085" i="1"/>
  <c r="B21086" i="1"/>
  <c r="A21086" i="1"/>
  <c r="E21086" i="1"/>
  <c r="B21087" i="1"/>
  <c r="A21087" i="1"/>
  <c r="E21087" i="1"/>
  <c r="B21088" i="1"/>
  <c r="A21088" i="1"/>
  <c r="E21088" i="1"/>
  <c r="B21089" i="1"/>
  <c r="A21089" i="1"/>
  <c r="E21089" i="1"/>
  <c r="B21090" i="1"/>
  <c r="A21090" i="1"/>
  <c r="E21090" i="1"/>
  <c r="B21091" i="1"/>
  <c r="A21091" i="1"/>
  <c r="E21091" i="1"/>
  <c r="B21092" i="1"/>
  <c r="A21092" i="1"/>
  <c r="E21092" i="1"/>
  <c r="B21093" i="1"/>
  <c r="A21093" i="1"/>
  <c r="E21093" i="1"/>
  <c r="B21094" i="1"/>
  <c r="A21094" i="1"/>
  <c r="E21094" i="1"/>
  <c r="B21095" i="1"/>
  <c r="A21095" i="1"/>
  <c r="E21095" i="1"/>
  <c r="B21096" i="1"/>
  <c r="A21096" i="1"/>
  <c r="E21096" i="1"/>
  <c r="B21097" i="1"/>
  <c r="A21097" i="1"/>
  <c r="E21097" i="1"/>
  <c r="B21098" i="1"/>
  <c r="A21098" i="1"/>
  <c r="E21098" i="1"/>
  <c r="B21099" i="1"/>
  <c r="A21099" i="1"/>
  <c r="E21099" i="1"/>
  <c r="B21100" i="1"/>
  <c r="A21100" i="1"/>
  <c r="E21100" i="1"/>
  <c r="B21101" i="1"/>
  <c r="A21101" i="1"/>
  <c r="E21101" i="1"/>
  <c r="B21102" i="1"/>
  <c r="A21102" i="1"/>
  <c r="E21102" i="1"/>
  <c r="B21103" i="1"/>
  <c r="A21103" i="1"/>
  <c r="E21103" i="1"/>
  <c r="B21104" i="1"/>
  <c r="A21104" i="1"/>
  <c r="E21104" i="1"/>
  <c r="B21105" i="1"/>
  <c r="A21105" i="1"/>
  <c r="E21105" i="1"/>
  <c r="B21106" i="1"/>
  <c r="A21106" i="1"/>
  <c r="E21106" i="1"/>
  <c r="B21107" i="1"/>
  <c r="A21107" i="1"/>
  <c r="E21107" i="1"/>
  <c r="B21108" i="1"/>
  <c r="A21108" i="1"/>
  <c r="E21108" i="1"/>
  <c r="B21109" i="1"/>
  <c r="A21109" i="1"/>
  <c r="E21109" i="1"/>
  <c r="B21110" i="1"/>
  <c r="A21110" i="1"/>
  <c r="E21110" i="1"/>
  <c r="B21111" i="1"/>
  <c r="A21111" i="1"/>
  <c r="E21111" i="1"/>
  <c r="B21112" i="1"/>
  <c r="A21112" i="1"/>
  <c r="E21112" i="1"/>
  <c r="B21113" i="1"/>
  <c r="A21113" i="1"/>
  <c r="E21113" i="1"/>
  <c r="B21114" i="1"/>
  <c r="A21114" i="1"/>
  <c r="E21114" i="1"/>
  <c r="B21115" i="1"/>
  <c r="A21115" i="1"/>
  <c r="E21115" i="1"/>
  <c r="B21116" i="1"/>
  <c r="A21116" i="1"/>
  <c r="E21116" i="1"/>
  <c r="B21117" i="1"/>
  <c r="A21117" i="1"/>
  <c r="E21117" i="1"/>
  <c r="B21118" i="1"/>
  <c r="A21118" i="1"/>
  <c r="E21118" i="1"/>
  <c r="B21119" i="1"/>
  <c r="A21119" i="1"/>
  <c r="E21119" i="1"/>
  <c r="B21120" i="1"/>
  <c r="A21120" i="1"/>
  <c r="E21120" i="1"/>
  <c r="B21121" i="1"/>
  <c r="A21121" i="1"/>
  <c r="E21121" i="1"/>
  <c r="B21122" i="1"/>
  <c r="A21122" i="1"/>
  <c r="E21122" i="1"/>
  <c r="B21123" i="1"/>
  <c r="A21123" i="1"/>
  <c r="E21123" i="1"/>
  <c r="B21124" i="1"/>
  <c r="A21124" i="1"/>
  <c r="E21124" i="1"/>
  <c r="B21125" i="1"/>
  <c r="A21125" i="1"/>
  <c r="E21125" i="1"/>
  <c r="B21126" i="1"/>
  <c r="A21126" i="1"/>
  <c r="E21126" i="1"/>
  <c r="B21127" i="1"/>
  <c r="A21127" i="1"/>
  <c r="E21127" i="1"/>
  <c r="B21128" i="1"/>
  <c r="A21128" i="1"/>
  <c r="E21128" i="1"/>
  <c r="B21129" i="1"/>
  <c r="A21129" i="1"/>
  <c r="E21129" i="1"/>
  <c r="B21130" i="1"/>
  <c r="A21130" i="1"/>
  <c r="E21130" i="1"/>
  <c r="B21131" i="1"/>
  <c r="A21131" i="1"/>
  <c r="E21131" i="1"/>
  <c r="B21132" i="1"/>
  <c r="A21132" i="1"/>
  <c r="E21132" i="1"/>
  <c r="B21133" i="1"/>
  <c r="A21133" i="1"/>
  <c r="E21133" i="1"/>
  <c r="B21134" i="1"/>
  <c r="A21134" i="1"/>
  <c r="E21134" i="1"/>
  <c r="B21135" i="1"/>
  <c r="A21135" i="1"/>
  <c r="E21135" i="1"/>
  <c r="B21136" i="1"/>
  <c r="A21136" i="1"/>
  <c r="E21136" i="1"/>
  <c r="B21137" i="1"/>
  <c r="A21137" i="1"/>
  <c r="E21137" i="1"/>
  <c r="B21138" i="1"/>
  <c r="A21138" i="1"/>
  <c r="E21138" i="1"/>
  <c r="B21139" i="1"/>
  <c r="A21139" i="1"/>
  <c r="E21139" i="1"/>
  <c r="B21140" i="1"/>
  <c r="A21140" i="1"/>
  <c r="E21140" i="1"/>
  <c r="B21141" i="1"/>
  <c r="A21141" i="1"/>
  <c r="E21141" i="1"/>
  <c r="B21142" i="1"/>
  <c r="A21142" i="1"/>
  <c r="E21142" i="1"/>
  <c r="B21143" i="1"/>
  <c r="A21143" i="1"/>
  <c r="E21143" i="1"/>
  <c r="B21144" i="1"/>
  <c r="A21144" i="1"/>
  <c r="E21144" i="1"/>
  <c r="B21145" i="1"/>
  <c r="A21145" i="1"/>
  <c r="E21145" i="1"/>
  <c r="B21146" i="1"/>
  <c r="A21146" i="1"/>
  <c r="E21146" i="1"/>
  <c r="B21147" i="1"/>
  <c r="A21147" i="1"/>
  <c r="E21147" i="1"/>
  <c r="B21148" i="1"/>
  <c r="A21148" i="1"/>
  <c r="E21148" i="1"/>
  <c r="B21149" i="1"/>
  <c r="A21149" i="1"/>
  <c r="E21149" i="1"/>
  <c r="B21150" i="1"/>
  <c r="A21150" i="1"/>
  <c r="E21150" i="1"/>
  <c r="B21151" i="1"/>
  <c r="A21151" i="1"/>
  <c r="E21151" i="1"/>
  <c r="B21152" i="1"/>
  <c r="A21152" i="1"/>
  <c r="E21152" i="1"/>
  <c r="B21153" i="1"/>
  <c r="A21153" i="1"/>
  <c r="E21153" i="1"/>
  <c r="B21154" i="1"/>
  <c r="A21154" i="1"/>
  <c r="E21154" i="1"/>
  <c r="B21155" i="1"/>
  <c r="A21155" i="1"/>
  <c r="E21155" i="1"/>
  <c r="B21156" i="1"/>
  <c r="A21156" i="1"/>
  <c r="E21156" i="1"/>
  <c r="B21157" i="1"/>
  <c r="A21157" i="1"/>
  <c r="E21157" i="1"/>
  <c r="B21158" i="1"/>
  <c r="A21158" i="1"/>
  <c r="E21158" i="1"/>
  <c r="B21159" i="1"/>
  <c r="A21159" i="1"/>
  <c r="E21159" i="1"/>
  <c r="B21160" i="1"/>
  <c r="A21160" i="1"/>
  <c r="E21160" i="1"/>
  <c r="B21161" i="1"/>
  <c r="A21161" i="1"/>
  <c r="E21161" i="1"/>
  <c r="B21162" i="1"/>
  <c r="A21162" i="1"/>
  <c r="E21162" i="1"/>
  <c r="B21163" i="1"/>
  <c r="A21163" i="1"/>
  <c r="E21163" i="1"/>
  <c r="B21164" i="1"/>
  <c r="A21164" i="1"/>
  <c r="E21164" i="1"/>
  <c r="B21165" i="1"/>
  <c r="A21165" i="1"/>
  <c r="E21165" i="1"/>
  <c r="B21166" i="1"/>
  <c r="A21166" i="1"/>
  <c r="E21166" i="1"/>
  <c r="B21167" i="1"/>
  <c r="A21167" i="1"/>
  <c r="E21167" i="1"/>
  <c r="B21168" i="1"/>
  <c r="A21168" i="1"/>
  <c r="E21168" i="1"/>
  <c r="B21169" i="1"/>
  <c r="A21169" i="1"/>
  <c r="E21169" i="1"/>
  <c r="B21170" i="1"/>
  <c r="A21170" i="1"/>
  <c r="E21170" i="1"/>
  <c r="B21171" i="1"/>
  <c r="A21171" i="1"/>
  <c r="E21171" i="1"/>
  <c r="B21172" i="1"/>
  <c r="A21172" i="1"/>
  <c r="E21172" i="1"/>
  <c r="B21173" i="1"/>
  <c r="A21173" i="1"/>
  <c r="E21173" i="1"/>
  <c r="B21174" i="1"/>
  <c r="A21174" i="1"/>
  <c r="E21174" i="1"/>
  <c r="B21175" i="1"/>
  <c r="A21175" i="1"/>
  <c r="E21175" i="1"/>
  <c r="B21176" i="1"/>
  <c r="A21176" i="1"/>
  <c r="E21176" i="1"/>
  <c r="B21177" i="1"/>
  <c r="A21177" i="1"/>
  <c r="E21177" i="1"/>
  <c r="B21178" i="1"/>
  <c r="A21178" i="1"/>
  <c r="E21178" i="1"/>
  <c r="B21179" i="1"/>
  <c r="A21179" i="1"/>
  <c r="E21179" i="1"/>
  <c r="B21180" i="1"/>
  <c r="A21180" i="1"/>
  <c r="E21180" i="1"/>
  <c r="B21181" i="1"/>
  <c r="A21181" i="1"/>
  <c r="E21181" i="1"/>
  <c r="B21182" i="1"/>
  <c r="A21182" i="1"/>
  <c r="E21182" i="1"/>
  <c r="B21183" i="1"/>
  <c r="A21183" i="1"/>
  <c r="E21183" i="1"/>
  <c r="B21184" i="1"/>
  <c r="A21184" i="1"/>
  <c r="E21184" i="1"/>
  <c r="B21185" i="1"/>
  <c r="A21185" i="1"/>
  <c r="E21185" i="1"/>
  <c r="B21186" i="1"/>
  <c r="A21186" i="1"/>
  <c r="E21186" i="1"/>
  <c r="B21187" i="1"/>
  <c r="A21187" i="1"/>
  <c r="E21187" i="1"/>
  <c r="B21188" i="1"/>
  <c r="A21188" i="1"/>
  <c r="E21188" i="1"/>
  <c r="B21189" i="1"/>
  <c r="A21189" i="1"/>
  <c r="E21189" i="1"/>
  <c r="B21190" i="1"/>
  <c r="A21190" i="1"/>
  <c r="E21190" i="1"/>
  <c r="B21191" i="1"/>
  <c r="A21191" i="1"/>
  <c r="E21191" i="1"/>
  <c r="B21192" i="1"/>
  <c r="A21192" i="1"/>
  <c r="E21192" i="1"/>
  <c r="B21193" i="1"/>
  <c r="A21193" i="1"/>
  <c r="E21193" i="1"/>
  <c r="B21194" i="1"/>
  <c r="A21194" i="1"/>
  <c r="E21194" i="1"/>
  <c r="B21195" i="1"/>
  <c r="A21195" i="1"/>
  <c r="E21195" i="1"/>
  <c r="B21196" i="1"/>
  <c r="A21196" i="1"/>
  <c r="E21196" i="1"/>
  <c r="B21197" i="1"/>
  <c r="A21197" i="1"/>
  <c r="E21197" i="1"/>
  <c r="B21198" i="1"/>
  <c r="A21198" i="1"/>
  <c r="E21198" i="1"/>
  <c r="B21199" i="1"/>
  <c r="A21199" i="1"/>
  <c r="E21199" i="1"/>
  <c r="B21200" i="1"/>
  <c r="A21200" i="1"/>
  <c r="E21200" i="1"/>
  <c r="B21201" i="1"/>
  <c r="A21201" i="1"/>
  <c r="E21201" i="1"/>
  <c r="B21202" i="1"/>
  <c r="A21202" i="1"/>
  <c r="E21202" i="1"/>
  <c r="B21203" i="1"/>
  <c r="A21203" i="1"/>
  <c r="E21203" i="1"/>
  <c r="B21204" i="1"/>
  <c r="A21204" i="1"/>
  <c r="E21204" i="1"/>
  <c r="B21205" i="1"/>
  <c r="A21205" i="1"/>
  <c r="E21205" i="1"/>
  <c r="B21206" i="1"/>
  <c r="A21206" i="1"/>
  <c r="E21206" i="1"/>
  <c r="B21207" i="1"/>
  <c r="A21207" i="1"/>
  <c r="E21207" i="1"/>
  <c r="B21208" i="1"/>
  <c r="A21208" i="1"/>
  <c r="E21208" i="1"/>
  <c r="B21209" i="1"/>
  <c r="A21209" i="1"/>
  <c r="E21209" i="1"/>
  <c r="B21210" i="1"/>
  <c r="A21210" i="1"/>
  <c r="E21210" i="1"/>
  <c r="B21211" i="1"/>
  <c r="A21211" i="1"/>
  <c r="E21211" i="1"/>
  <c r="B21212" i="1"/>
  <c r="A21212" i="1"/>
  <c r="E21212" i="1"/>
  <c r="B21213" i="1"/>
  <c r="A21213" i="1"/>
  <c r="E21213" i="1"/>
  <c r="B21214" i="1"/>
  <c r="A21214" i="1"/>
  <c r="E21214" i="1"/>
  <c r="B21215" i="1"/>
  <c r="A21215" i="1"/>
  <c r="E21215" i="1"/>
  <c r="B21216" i="1"/>
  <c r="A21216" i="1"/>
  <c r="E21216" i="1"/>
  <c r="B21217" i="1"/>
  <c r="A21217" i="1"/>
  <c r="E21217" i="1"/>
  <c r="B21218" i="1"/>
  <c r="A21218" i="1"/>
  <c r="E21218" i="1"/>
  <c r="B21219" i="1"/>
  <c r="A21219" i="1"/>
  <c r="E21219" i="1"/>
  <c r="B21220" i="1"/>
  <c r="A21220" i="1"/>
  <c r="E21220" i="1"/>
  <c r="B21221" i="1"/>
  <c r="A21221" i="1"/>
  <c r="E21221" i="1"/>
  <c r="B21222" i="1"/>
  <c r="A21222" i="1"/>
  <c r="E21222" i="1"/>
  <c r="B21223" i="1"/>
  <c r="A21223" i="1"/>
  <c r="E21223" i="1"/>
  <c r="B21224" i="1"/>
  <c r="A21224" i="1"/>
  <c r="E21224" i="1"/>
  <c r="B21225" i="1"/>
  <c r="A21225" i="1"/>
  <c r="E21225" i="1"/>
  <c r="B21226" i="1"/>
  <c r="A21226" i="1"/>
  <c r="E21226" i="1"/>
  <c r="B21227" i="1"/>
  <c r="A21227" i="1"/>
  <c r="E21227" i="1"/>
  <c r="B21228" i="1"/>
  <c r="A21228" i="1"/>
  <c r="E21228" i="1"/>
  <c r="B21229" i="1"/>
  <c r="A21229" i="1"/>
  <c r="E21229" i="1"/>
  <c r="B21230" i="1"/>
  <c r="A21230" i="1"/>
  <c r="E21230" i="1"/>
  <c r="B21231" i="1"/>
  <c r="A21231" i="1"/>
  <c r="E21231" i="1"/>
  <c r="B21232" i="1"/>
  <c r="A21232" i="1"/>
  <c r="E21232" i="1"/>
  <c r="B21233" i="1"/>
  <c r="A21233" i="1"/>
  <c r="E21233" i="1"/>
  <c r="B21234" i="1"/>
  <c r="A21234" i="1"/>
  <c r="E21234" i="1"/>
  <c r="B21235" i="1"/>
  <c r="A21235" i="1"/>
  <c r="E21235" i="1"/>
  <c r="B21236" i="1"/>
  <c r="A21236" i="1"/>
  <c r="E21236" i="1"/>
  <c r="B21237" i="1"/>
  <c r="A21237" i="1"/>
  <c r="E21237" i="1"/>
  <c r="B21238" i="1"/>
  <c r="A21238" i="1"/>
  <c r="E21238" i="1"/>
  <c r="B21239" i="1"/>
  <c r="A21239" i="1"/>
  <c r="E21239" i="1"/>
  <c r="B21240" i="1"/>
  <c r="A21240" i="1"/>
  <c r="E21240" i="1"/>
  <c r="B21241" i="1"/>
  <c r="A21241" i="1"/>
  <c r="E21241" i="1"/>
  <c r="B21242" i="1"/>
  <c r="A21242" i="1"/>
  <c r="E21242" i="1"/>
  <c r="B21243" i="1"/>
  <c r="A21243" i="1"/>
  <c r="E21243" i="1"/>
  <c r="B21244" i="1"/>
  <c r="A21244" i="1"/>
  <c r="E21244" i="1"/>
  <c r="B21245" i="1"/>
  <c r="A21245" i="1"/>
  <c r="E21245" i="1"/>
  <c r="B21246" i="1"/>
  <c r="A21246" i="1"/>
  <c r="E21246" i="1"/>
  <c r="B21247" i="1"/>
  <c r="A21247" i="1"/>
  <c r="E21247" i="1"/>
  <c r="B21248" i="1"/>
  <c r="A21248" i="1"/>
  <c r="E21248" i="1"/>
  <c r="B21249" i="1"/>
  <c r="A21249" i="1"/>
  <c r="E21249" i="1"/>
  <c r="B21250" i="1"/>
  <c r="A21250" i="1"/>
  <c r="E21250" i="1"/>
  <c r="B21251" i="1"/>
  <c r="A21251" i="1"/>
  <c r="E21251" i="1"/>
  <c r="B21252" i="1"/>
  <c r="A21252" i="1"/>
  <c r="E21252" i="1"/>
  <c r="B21253" i="1"/>
  <c r="A21253" i="1"/>
  <c r="E21253" i="1"/>
  <c r="B21254" i="1"/>
  <c r="A21254" i="1"/>
  <c r="E21254" i="1"/>
  <c r="B21255" i="1"/>
  <c r="A21255" i="1"/>
  <c r="E21255" i="1"/>
  <c r="B21256" i="1"/>
  <c r="A21256" i="1"/>
  <c r="E21256" i="1"/>
  <c r="B21257" i="1"/>
  <c r="A21257" i="1"/>
  <c r="E21257" i="1"/>
  <c r="B21258" i="1"/>
  <c r="A21258" i="1"/>
  <c r="E21258" i="1"/>
  <c r="B21259" i="1"/>
  <c r="A21259" i="1"/>
  <c r="E21259" i="1"/>
  <c r="B21260" i="1"/>
  <c r="A21260" i="1"/>
  <c r="E21260" i="1"/>
  <c r="B21261" i="1"/>
  <c r="A21261" i="1"/>
  <c r="E21261" i="1"/>
  <c r="B21262" i="1"/>
  <c r="A21262" i="1"/>
  <c r="E21262" i="1"/>
  <c r="B21263" i="1"/>
  <c r="A21263" i="1"/>
  <c r="E21263" i="1"/>
  <c r="B21264" i="1"/>
  <c r="A21264" i="1"/>
  <c r="E21264" i="1"/>
  <c r="B21265" i="1"/>
  <c r="A21265" i="1"/>
  <c r="E21265" i="1"/>
  <c r="B21266" i="1"/>
  <c r="A21266" i="1"/>
  <c r="E21266" i="1"/>
  <c r="B21267" i="1"/>
  <c r="A21267" i="1"/>
  <c r="E21267" i="1"/>
  <c r="B21268" i="1"/>
  <c r="A21268" i="1"/>
  <c r="E21268" i="1"/>
  <c r="B21269" i="1"/>
  <c r="A21269" i="1"/>
  <c r="E21269" i="1"/>
  <c r="B21270" i="1"/>
  <c r="A21270" i="1"/>
  <c r="E21270" i="1"/>
  <c r="B21271" i="1"/>
  <c r="A21271" i="1"/>
  <c r="E21271" i="1"/>
  <c r="B21272" i="1"/>
  <c r="A21272" i="1"/>
  <c r="E21272" i="1"/>
  <c r="B21273" i="1"/>
  <c r="A21273" i="1"/>
  <c r="E21273" i="1"/>
  <c r="B21274" i="1"/>
  <c r="A21274" i="1"/>
  <c r="E21274" i="1"/>
  <c r="B21275" i="1"/>
  <c r="A21275" i="1"/>
  <c r="E21275" i="1"/>
  <c r="B21276" i="1"/>
  <c r="A21276" i="1"/>
  <c r="E21276" i="1"/>
  <c r="B21277" i="1"/>
  <c r="A21277" i="1"/>
  <c r="E21277" i="1"/>
  <c r="B21278" i="1"/>
  <c r="A21278" i="1"/>
  <c r="E21278" i="1"/>
  <c r="B21279" i="1"/>
  <c r="A21279" i="1"/>
  <c r="E21279" i="1"/>
  <c r="B21280" i="1"/>
  <c r="A21280" i="1"/>
  <c r="E21280" i="1"/>
  <c r="B21281" i="1"/>
  <c r="A21281" i="1"/>
  <c r="E21281" i="1"/>
  <c r="B21282" i="1"/>
  <c r="A21282" i="1"/>
  <c r="E21282" i="1"/>
  <c r="B21283" i="1"/>
  <c r="A21283" i="1"/>
  <c r="E21283" i="1"/>
  <c r="B21284" i="1"/>
  <c r="A21284" i="1"/>
  <c r="E21284" i="1"/>
  <c r="B21285" i="1"/>
  <c r="A21285" i="1"/>
  <c r="E21285" i="1"/>
  <c r="B21286" i="1"/>
  <c r="A21286" i="1"/>
  <c r="E21286" i="1"/>
  <c r="B21287" i="1"/>
  <c r="A21287" i="1"/>
  <c r="E21287" i="1"/>
  <c r="B21288" i="1"/>
  <c r="A21288" i="1"/>
  <c r="E21288" i="1"/>
  <c r="B21289" i="1"/>
  <c r="A21289" i="1"/>
  <c r="E21289" i="1"/>
  <c r="B21290" i="1"/>
  <c r="A21290" i="1"/>
  <c r="E21290" i="1"/>
  <c r="B21291" i="1"/>
  <c r="A21291" i="1"/>
  <c r="E21291" i="1"/>
  <c r="B21292" i="1"/>
  <c r="A21292" i="1"/>
  <c r="E21292" i="1"/>
  <c r="B21293" i="1"/>
  <c r="A21293" i="1"/>
  <c r="E21293" i="1"/>
  <c r="B21294" i="1"/>
  <c r="A21294" i="1"/>
  <c r="E21294" i="1"/>
  <c r="B21295" i="1"/>
  <c r="A21295" i="1"/>
  <c r="E21295" i="1"/>
  <c r="B21296" i="1"/>
  <c r="A21296" i="1"/>
  <c r="E21296" i="1"/>
  <c r="B21297" i="1"/>
  <c r="A21297" i="1"/>
  <c r="E21297" i="1"/>
  <c r="B21298" i="1"/>
  <c r="A21298" i="1"/>
  <c r="E21298" i="1"/>
  <c r="B21299" i="1"/>
  <c r="A21299" i="1"/>
  <c r="E21299" i="1"/>
  <c r="B21300" i="1"/>
  <c r="A21300" i="1"/>
  <c r="E21300" i="1"/>
  <c r="B21301" i="1"/>
  <c r="A21301" i="1"/>
  <c r="E21301" i="1"/>
  <c r="B21302" i="1"/>
  <c r="A21302" i="1"/>
  <c r="E21302" i="1"/>
  <c r="B21303" i="1"/>
  <c r="A21303" i="1"/>
  <c r="E21303" i="1"/>
  <c r="B21304" i="1"/>
  <c r="A21304" i="1"/>
  <c r="E21304" i="1"/>
  <c r="B21305" i="1"/>
  <c r="A21305" i="1"/>
  <c r="E21305" i="1"/>
  <c r="B21306" i="1"/>
  <c r="A21306" i="1"/>
  <c r="E21306" i="1"/>
  <c r="B21307" i="1"/>
  <c r="A21307" i="1"/>
  <c r="E21307" i="1"/>
  <c r="B21308" i="1"/>
  <c r="A21308" i="1"/>
  <c r="E21308" i="1"/>
  <c r="B21309" i="1"/>
  <c r="A21309" i="1"/>
  <c r="E21309" i="1"/>
  <c r="B21310" i="1"/>
  <c r="A21310" i="1"/>
  <c r="E21310" i="1"/>
  <c r="B21311" i="1"/>
  <c r="A21311" i="1"/>
  <c r="E21311" i="1"/>
  <c r="B21312" i="1"/>
  <c r="A21312" i="1"/>
  <c r="E21312" i="1"/>
  <c r="B21313" i="1"/>
  <c r="A21313" i="1"/>
  <c r="E21313" i="1"/>
  <c r="B21314" i="1"/>
  <c r="A21314" i="1"/>
  <c r="E21314" i="1"/>
  <c r="B21315" i="1"/>
  <c r="A21315" i="1"/>
  <c r="E21315" i="1"/>
  <c r="B21316" i="1"/>
  <c r="A21316" i="1"/>
  <c r="E21316" i="1"/>
  <c r="B21317" i="1"/>
  <c r="A21317" i="1"/>
  <c r="E21317" i="1"/>
  <c r="B21318" i="1"/>
  <c r="A21318" i="1"/>
  <c r="E21318" i="1"/>
  <c r="B21319" i="1"/>
  <c r="A21319" i="1"/>
  <c r="E21319" i="1"/>
  <c r="B21320" i="1"/>
  <c r="A21320" i="1"/>
  <c r="E21320" i="1"/>
  <c r="B21321" i="1"/>
  <c r="A21321" i="1"/>
  <c r="E21321" i="1"/>
  <c r="B21322" i="1"/>
  <c r="A21322" i="1"/>
  <c r="E21322" i="1"/>
  <c r="B21323" i="1"/>
  <c r="A21323" i="1"/>
  <c r="E21323" i="1"/>
  <c r="B21324" i="1"/>
  <c r="A21324" i="1"/>
  <c r="E21324" i="1"/>
  <c r="B21325" i="1"/>
  <c r="A21325" i="1"/>
  <c r="E21325" i="1"/>
  <c r="B21326" i="1"/>
  <c r="A21326" i="1"/>
  <c r="E21326" i="1"/>
  <c r="B21327" i="1"/>
  <c r="A21327" i="1"/>
  <c r="E21327" i="1"/>
  <c r="B21328" i="1"/>
  <c r="A21328" i="1"/>
  <c r="E21328" i="1"/>
  <c r="B21329" i="1"/>
  <c r="A21329" i="1"/>
  <c r="E21329" i="1"/>
  <c r="B21330" i="1"/>
  <c r="A21330" i="1"/>
  <c r="E21330" i="1"/>
  <c r="B21331" i="1"/>
  <c r="A21331" i="1"/>
  <c r="E21331" i="1"/>
  <c r="B21332" i="1"/>
  <c r="A21332" i="1"/>
  <c r="E21332" i="1"/>
  <c r="B21333" i="1"/>
  <c r="A21333" i="1"/>
  <c r="E21333" i="1"/>
  <c r="B21334" i="1"/>
  <c r="A21334" i="1"/>
  <c r="E21334" i="1"/>
  <c r="B21335" i="1"/>
  <c r="A21335" i="1"/>
  <c r="E21335" i="1"/>
  <c r="B21336" i="1"/>
  <c r="A21336" i="1"/>
  <c r="E21336" i="1"/>
  <c r="B21337" i="1"/>
  <c r="A21337" i="1"/>
  <c r="E21337" i="1"/>
  <c r="B21338" i="1"/>
  <c r="A21338" i="1"/>
  <c r="E21338" i="1"/>
  <c r="B21339" i="1"/>
  <c r="A21339" i="1"/>
  <c r="E21339" i="1"/>
  <c r="B21340" i="1"/>
  <c r="A21340" i="1"/>
  <c r="E21340" i="1"/>
  <c r="B21341" i="1"/>
  <c r="A21341" i="1"/>
  <c r="E21341" i="1"/>
  <c r="B21342" i="1"/>
  <c r="A21342" i="1"/>
  <c r="E21342" i="1"/>
  <c r="B21343" i="1"/>
  <c r="A21343" i="1"/>
  <c r="E21343" i="1"/>
  <c r="B21344" i="1"/>
  <c r="A21344" i="1"/>
  <c r="E21344" i="1"/>
  <c r="B21345" i="1"/>
  <c r="A21345" i="1"/>
  <c r="E21345" i="1"/>
  <c r="B21346" i="1"/>
  <c r="A21346" i="1"/>
  <c r="E21346" i="1"/>
  <c r="B21347" i="1"/>
  <c r="A21347" i="1"/>
  <c r="E21347" i="1"/>
  <c r="B21348" i="1"/>
  <c r="A21348" i="1"/>
  <c r="E21348" i="1"/>
  <c r="B21349" i="1"/>
  <c r="A21349" i="1"/>
  <c r="E21349" i="1"/>
  <c r="B21350" i="1"/>
  <c r="A21350" i="1"/>
  <c r="E21350" i="1"/>
  <c r="B21351" i="1"/>
  <c r="A21351" i="1"/>
  <c r="E21351" i="1"/>
  <c r="B21352" i="1"/>
  <c r="A21352" i="1"/>
  <c r="E21352" i="1"/>
  <c r="B21353" i="1"/>
  <c r="A21353" i="1"/>
  <c r="E21353" i="1"/>
  <c r="B21354" i="1"/>
  <c r="A21354" i="1"/>
  <c r="E21354" i="1"/>
  <c r="B21355" i="1"/>
  <c r="A21355" i="1"/>
  <c r="E21355" i="1"/>
  <c r="B21356" i="1"/>
  <c r="A21356" i="1"/>
  <c r="E21356" i="1"/>
  <c r="B21357" i="1"/>
  <c r="A21357" i="1"/>
  <c r="E21357" i="1"/>
  <c r="B21358" i="1"/>
  <c r="A21358" i="1"/>
  <c r="E21358" i="1"/>
  <c r="B21359" i="1"/>
  <c r="A21359" i="1"/>
  <c r="E21359" i="1"/>
  <c r="B21360" i="1"/>
  <c r="A21360" i="1"/>
  <c r="E21360" i="1"/>
  <c r="B21361" i="1"/>
  <c r="A21361" i="1"/>
  <c r="E21361" i="1"/>
  <c r="B21362" i="1"/>
  <c r="A21362" i="1"/>
  <c r="E21362" i="1"/>
  <c r="B21363" i="1"/>
  <c r="A21363" i="1"/>
  <c r="E21363" i="1"/>
  <c r="B21364" i="1"/>
  <c r="A21364" i="1"/>
  <c r="E21364" i="1"/>
  <c r="B21365" i="1"/>
  <c r="A21365" i="1"/>
  <c r="E21365" i="1"/>
  <c r="B21366" i="1"/>
  <c r="A21366" i="1"/>
  <c r="E21366" i="1"/>
  <c r="B21367" i="1"/>
  <c r="A21367" i="1"/>
  <c r="E21367" i="1"/>
  <c r="B21368" i="1"/>
  <c r="A21368" i="1"/>
  <c r="E21368" i="1"/>
  <c r="B21369" i="1"/>
  <c r="A21369" i="1"/>
  <c r="E21369" i="1"/>
  <c r="B21370" i="1"/>
  <c r="A21370" i="1"/>
  <c r="E21370" i="1"/>
  <c r="B21371" i="1"/>
  <c r="A21371" i="1"/>
  <c r="E21371" i="1"/>
  <c r="B21372" i="1"/>
  <c r="A21372" i="1"/>
  <c r="E21372" i="1"/>
  <c r="B21373" i="1"/>
  <c r="A21373" i="1"/>
  <c r="E21373" i="1"/>
  <c r="B21374" i="1"/>
  <c r="A21374" i="1"/>
  <c r="E21374" i="1"/>
  <c r="B21375" i="1"/>
  <c r="A21375" i="1"/>
  <c r="E21375" i="1"/>
  <c r="B21376" i="1"/>
  <c r="A21376" i="1"/>
  <c r="E21376" i="1"/>
  <c r="B21377" i="1"/>
  <c r="A21377" i="1"/>
  <c r="E21377" i="1"/>
  <c r="B21378" i="1"/>
  <c r="A21378" i="1"/>
  <c r="E21378" i="1"/>
  <c r="B21379" i="1"/>
  <c r="A21379" i="1"/>
  <c r="E21379" i="1"/>
  <c r="B21380" i="1"/>
  <c r="A21380" i="1"/>
  <c r="E21380" i="1"/>
  <c r="B21381" i="1"/>
  <c r="A21381" i="1"/>
  <c r="E21381" i="1"/>
  <c r="B21382" i="1"/>
  <c r="A21382" i="1"/>
  <c r="E21382" i="1"/>
  <c r="B21383" i="1"/>
  <c r="A21383" i="1"/>
  <c r="E21383" i="1"/>
  <c r="B21384" i="1"/>
  <c r="A21384" i="1"/>
  <c r="E21384" i="1"/>
  <c r="B21385" i="1"/>
  <c r="A21385" i="1"/>
  <c r="E21385" i="1"/>
  <c r="B21386" i="1"/>
  <c r="A21386" i="1"/>
  <c r="E21386" i="1"/>
  <c r="B21387" i="1"/>
  <c r="A21387" i="1"/>
  <c r="E21387" i="1"/>
  <c r="B21388" i="1"/>
  <c r="A21388" i="1"/>
  <c r="E21388" i="1"/>
  <c r="B21389" i="1"/>
  <c r="A21389" i="1"/>
  <c r="E21389" i="1"/>
  <c r="B21390" i="1"/>
  <c r="A21390" i="1"/>
  <c r="E21390" i="1"/>
  <c r="B21391" i="1"/>
  <c r="A21391" i="1"/>
  <c r="E21391" i="1"/>
  <c r="B21392" i="1"/>
  <c r="A21392" i="1"/>
  <c r="E21392" i="1"/>
  <c r="B21393" i="1"/>
  <c r="A21393" i="1"/>
  <c r="E21393" i="1"/>
  <c r="B21394" i="1"/>
  <c r="A21394" i="1"/>
  <c r="E21394" i="1"/>
  <c r="B21395" i="1"/>
  <c r="A21395" i="1"/>
  <c r="E21395" i="1"/>
  <c r="B21396" i="1"/>
  <c r="A21396" i="1"/>
  <c r="E21396" i="1"/>
  <c r="B21397" i="1"/>
  <c r="A21397" i="1"/>
  <c r="E21397" i="1"/>
  <c r="B21398" i="1"/>
  <c r="A21398" i="1"/>
  <c r="E21398" i="1"/>
  <c r="B21399" i="1"/>
  <c r="A21399" i="1"/>
  <c r="E21399" i="1"/>
  <c r="B21400" i="1"/>
  <c r="A21400" i="1"/>
  <c r="E21400" i="1"/>
  <c r="B21401" i="1"/>
  <c r="A21401" i="1"/>
  <c r="E21401" i="1"/>
  <c r="B21402" i="1"/>
  <c r="A21402" i="1"/>
  <c r="E21402" i="1"/>
  <c r="B21403" i="1"/>
  <c r="A21403" i="1"/>
  <c r="E21403" i="1"/>
  <c r="B21404" i="1"/>
  <c r="A21404" i="1"/>
  <c r="E21404" i="1"/>
  <c r="B21405" i="1"/>
  <c r="A21405" i="1"/>
  <c r="E21405" i="1"/>
  <c r="B21406" i="1"/>
  <c r="A21406" i="1"/>
  <c r="E21406" i="1"/>
  <c r="B21407" i="1"/>
  <c r="A21407" i="1"/>
  <c r="E21407" i="1"/>
  <c r="B21408" i="1"/>
  <c r="A21408" i="1"/>
  <c r="E21408" i="1"/>
  <c r="B21409" i="1"/>
  <c r="A21409" i="1"/>
  <c r="E21409" i="1"/>
  <c r="B21410" i="1"/>
  <c r="A21410" i="1"/>
  <c r="E21410" i="1"/>
  <c r="B21411" i="1"/>
  <c r="A21411" i="1"/>
  <c r="E21411" i="1"/>
  <c r="B21412" i="1"/>
  <c r="A21412" i="1"/>
  <c r="E21412" i="1"/>
  <c r="B21413" i="1"/>
  <c r="A21413" i="1"/>
  <c r="E21413" i="1"/>
  <c r="B21414" i="1"/>
  <c r="A21414" i="1"/>
  <c r="E21414" i="1"/>
  <c r="B21415" i="1"/>
  <c r="A21415" i="1"/>
  <c r="E21415" i="1"/>
  <c r="B21416" i="1"/>
  <c r="A21416" i="1"/>
  <c r="E21416" i="1"/>
  <c r="B21417" i="1"/>
  <c r="A21417" i="1"/>
  <c r="E21417" i="1"/>
  <c r="B21418" i="1"/>
  <c r="A21418" i="1"/>
  <c r="E21418" i="1"/>
  <c r="B21419" i="1"/>
  <c r="A21419" i="1"/>
  <c r="E21419" i="1"/>
  <c r="B21420" i="1"/>
  <c r="A21420" i="1"/>
  <c r="E21420" i="1"/>
  <c r="B21421" i="1"/>
  <c r="A21421" i="1"/>
  <c r="E21421" i="1"/>
  <c r="B21422" i="1"/>
  <c r="A21422" i="1"/>
  <c r="E21422" i="1"/>
  <c r="B21423" i="1"/>
  <c r="A21423" i="1"/>
  <c r="E21423" i="1"/>
  <c r="B21424" i="1"/>
  <c r="A21424" i="1"/>
  <c r="E21424" i="1"/>
  <c r="B21425" i="1"/>
  <c r="A21425" i="1"/>
  <c r="E21425" i="1"/>
  <c r="B21426" i="1"/>
  <c r="A21426" i="1"/>
  <c r="E21426" i="1"/>
  <c r="B21427" i="1"/>
  <c r="A21427" i="1"/>
  <c r="E21427" i="1"/>
  <c r="B21428" i="1"/>
  <c r="A21428" i="1"/>
  <c r="E21428" i="1"/>
  <c r="B21429" i="1"/>
  <c r="A21429" i="1"/>
  <c r="E21429" i="1"/>
  <c r="B21430" i="1"/>
  <c r="A21430" i="1"/>
  <c r="E21430" i="1"/>
  <c r="B21431" i="1"/>
  <c r="A21431" i="1"/>
  <c r="E21431" i="1"/>
  <c r="B21432" i="1"/>
  <c r="A21432" i="1"/>
  <c r="E21432" i="1"/>
  <c r="B21433" i="1"/>
  <c r="A21433" i="1"/>
  <c r="E21433" i="1"/>
  <c r="B21434" i="1"/>
  <c r="A21434" i="1"/>
  <c r="E21434" i="1"/>
  <c r="B21435" i="1"/>
  <c r="A21435" i="1"/>
  <c r="E21435" i="1"/>
  <c r="B21436" i="1"/>
  <c r="A21436" i="1"/>
  <c r="E21436" i="1"/>
  <c r="B21437" i="1"/>
  <c r="A21437" i="1"/>
  <c r="E21437" i="1"/>
  <c r="B21438" i="1"/>
  <c r="A21438" i="1"/>
  <c r="E21438" i="1"/>
  <c r="B21439" i="1"/>
  <c r="A21439" i="1"/>
  <c r="E21439" i="1"/>
  <c r="B21440" i="1"/>
  <c r="A21440" i="1"/>
  <c r="E21440" i="1"/>
  <c r="B21441" i="1"/>
  <c r="A21441" i="1"/>
  <c r="E21441" i="1"/>
  <c r="B21442" i="1"/>
  <c r="A21442" i="1"/>
  <c r="E21442" i="1"/>
  <c r="B21443" i="1"/>
  <c r="A21443" i="1"/>
  <c r="E21443" i="1"/>
  <c r="B21444" i="1"/>
  <c r="A21444" i="1"/>
  <c r="E21444" i="1"/>
  <c r="B21445" i="1"/>
  <c r="A21445" i="1"/>
  <c r="E21445" i="1"/>
  <c r="B21446" i="1"/>
  <c r="A21446" i="1"/>
  <c r="E21446" i="1"/>
  <c r="B21447" i="1"/>
  <c r="A21447" i="1"/>
  <c r="E21447" i="1"/>
  <c r="B21448" i="1"/>
  <c r="A21448" i="1"/>
  <c r="E21448" i="1"/>
  <c r="B21449" i="1"/>
  <c r="A21449" i="1"/>
  <c r="E21449" i="1"/>
  <c r="B21450" i="1"/>
  <c r="A21450" i="1"/>
  <c r="E21450" i="1"/>
  <c r="B21451" i="1"/>
  <c r="A21451" i="1"/>
  <c r="E21451" i="1"/>
  <c r="B21452" i="1"/>
  <c r="A21452" i="1"/>
  <c r="E21452" i="1"/>
  <c r="B21453" i="1"/>
  <c r="A21453" i="1"/>
  <c r="E21453" i="1"/>
  <c r="B21454" i="1"/>
  <c r="A21454" i="1"/>
  <c r="E21454" i="1"/>
  <c r="B21455" i="1"/>
  <c r="A21455" i="1"/>
  <c r="E21455" i="1"/>
  <c r="B21456" i="1"/>
  <c r="A21456" i="1"/>
  <c r="E21456" i="1"/>
  <c r="B21457" i="1"/>
  <c r="A21457" i="1"/>
  <c r="E21457" i="1"/>
  <c r="B21458" i="1"/>
  <c r="A21458" i="1"/>
  <c r="E21458" i="1"/>
  <c r="B21459" i="1"/>
  <c r="A21459" i="1"/>
  <c r="E21459" i="1"/>
  <c r="B21460" i="1"/>
  <c r="A21460" i="1"/>
  <c r="E21460" i="1"/>
  <c r="B21461" i="1"/>
  <c r="A21461" i="1"/>
  <c r="E21461" i="1"/>
  <c r="B21462" i="1"/>
  <c r="A21462" i="1"/>
  <c r="E21462" i="1"/>
  <c r="B21463" i="1"/>
  <c r="A21463" i="1"/>
  <c r="E21463" i="1"/>
  <c r="B21464" i="1"/>
  <c r="A21464" i="1"/>
  <c r="E21464" i="1"/>
  <c r="B21465" i="1"/>
  <c r="A21465" i="1"/>
  <c r="E21465" i="1"/>
  <c r="B21466" i="1"/>
  <c r="A21466" i="1"/>
  <c r="E21466" i="1"/>
  <c r="B21467" i="1"/>
  <c r="A21467" i="1"/>
  <c r="E21467" i="1"/>
  <c r="B21468" i="1"/>
  <c r="A21468" i="1"/>
  <c r="E21468" i="1"/>
  <c r="B21469" i="1"/>
  <c r="A21469" i="1"/>
  <c r="E21469" i="1"/>
  <c r="B21470" i="1"/>
  <c r="A21470" i="1"/>
  <c r="E21470" i="1"/>
  <c r="B21471" i="1"/>
  <c r="A21471" i="1"/>
  <c r="E21471" i="1"/>
  <c r="B21472" i="1"/>
  <c r="A21472" i="1"/>
  <c r="E21472" i="1"/>
  <c r="B21473" i="1"/>
  <c r="A21473" i="1"/>
  <c r="E21473" i="1"/>
  <c r="B21474" i="1"/>
  <c r="A21474" i="1"/>
  <c r="E21474" i="1"/>
  <c r="B21475" i="1"/>
  <c r="A21475" i="1"/>
  <c r="E21475" i="1"/>
  <c r="B21476" i="1"/>
  <c r="A21476" i="1"/>
  <c r="E21476" i="1"/>
  <c r="B21477" i="1"/>
  <c r="A21477" i="1"/>
  <c r="E21477" i="1"/>
  <c r="B21478" i="1"/>
  <c r="A21478" i="1"/>
  <c r="E21478" i="1"/>
  <c r="B21479" i="1"/>
  <c r="A21479" i="1"/>
  <c r="E21479" i="1"/>
  <c r="B21480" i="1"/>
  <c r="A21480" i="1"/>
  <c r="E21480" i="1"/>
  <c r="B21481" i="1"/>
  <c r="A21481" i="1"/>
  <c r="E21481" i="1"/>
  <c r="A21482" i="1"/>
  <c r="E21482" i="1"/>
  <c r="A21483" i="1"/>
  <c r="E21483" i="1"/>
  <c r="A21484" i="1"/>
  <c r="E21484" i="1"/>
  <c r="A21485" i="1"/>
  <c r="E21485" i="1"/>
  <c r="A21486" i="1"/>
  <c r="E21486" i="1"/>
  <c r="A21487" i="1"/>
  <c r="E21487" i="1"/>
  <c r="A21488" i="1"/>
  <c r="E21488" i="1"/>
  <c r="A21489" i="1"/>
  <c r="E21489" i="1"/>
  <c r="A21490" i="1"/>
  <c r="E21490" i="1"/>
  <c r="A21491" i="1"/>
  <c r="E21491" i="1"/>
  <c r="A21492" i="1"/>
  <c r="E21492" i="1"/>
  <c r="A21493" i="1"/>
  <c r="E21493" i="1"/>
  <c r="A21494" i="1"/>
  <c r="E21494" i="1"/>
  <c r="A21495" i="1"/>
  <c r="E21495" i="1"/>
  <c r="A21496" i="1"/>
  <c r="E21496" i="1"/>
  <c r="A21497" i="1"/>
  <c r="E21497" i="1"/>
  <c r="A21498" i="1"/>
  <c r="E21498" i="1"/>
  <c r="A21499" i="1"/>
  <c r="E21499" i="1"/>
  <c r="B21500" i="1"/>
  <c r="A21500" i="1"/>
  <c r="E21500" i="1"/>
  <c r="G21500" i="1"/>
  <c r="B21501" i="1"/>
  <c r="A21501" i="1"/>
  <c r="E21501" i="1"/>
  <c r="B21502" i="1"/>
  <c r="A21502" i="1"/>
  <c r="E21502" i="1"/>
  <c r="B21503" i="1"/>
  <c r="A21503" i="1"/>
  <c r="E21503" i="1"/>
  <c r="B21504" i="1"/>
  <c r="A21504" i="1"/>
  <c r="E21504" i="1"/>
  <c r="B21505" i="1"/>
  <c r="A21505" i="1"/>
  <c r="E21505" i="1"/>
  <c r="B21506" i="1"/>
  <c r="A21506" i="1"/>
  <c r="E21506" i="1"/>
  <c r="B21507" i="1"/>
  <c r="A21507" i="1"/>
  <c r="E21507" i="1"/>
  <c r="B21508" i="1"/>
  <c r="A21508" i="1"/>
  <c r="E21508" i="1"/>
  <c r="B21509" i="1"/>
  <c r="A21509" i="1"/>
  <c r="E21509" i="1"/>
  <c r="B21510" i="1"/>
  <c r="A21510" i="1"/>
  <c r="E21510" i="1"/>
  <c r="B21511" i="1"/>
  <c r="A21511" i="1"/>
  <c r="E21511" i="1"/>
  <c r="B21512" i="1"/>
  <c r="A21512" i="1"/>
  <c r="E21512" i="1"/>
  <c r="B21513" i="1"/>
  <c r="A21513" i="1"/>
  <c r="E21513" i="1"/>
  <c r="B21514" i="1"/>
  <c r="A21514" i="1"/>
  <c r="E21514" i="1"/>
  <c r="B21515" i="1"/>
  <c r="A21515" i="1"/>
  <c r="E21515" i="1"/>
  <c r="B21516" i="1"/>
  <c r="A21516" i="1"/>
  <c r="E21516" i="1"/>
  <c r="B21517" i="1"/>
  <c r="A21517" i="1"/>
  <c r="E21517" i="1"/>
  <c r="B21518" i="1"/>
  <c r="A21518" i="1"/>
  <c r="E21518" i="1"/>
  <c r="B21519" i="1"/>
  <c r="A21519" i="1"/>
  <c r="E21519" i="1"/>
  <c r="B21520" i="1"/>
  <c r="A21520" i="1"/>
  <c r="E21520" i="1"/>
  <c r="B21521" i="1"/>
  <c r="A21521" i="1"/>
  <c r="E21521" i="1"/>
  <c r="B21522" i="1"/>
  <c r="A21522" i="1"/>
  <c r="E21522" i="1"/>
  <c r="B21523" i="1"/>
  <c r="A21523" i="1"/>
  <c r="E21523" i="1"/>
  <c r="B21524" i="1"/>
  <c r="A21524" i="1"/>
  <c r="E21524" i="1"/>
  <c r="B21525" i="1"/>
  <c r="A21525" i="1"/>
  <c r="E21525" i="1"/>
  <c r="A21526" i="1"/>
  <c r="E21526" i="1"/>
  <c r="A21527" i="1"/>
  <c r="E21527" i="1"/>
  <c r="A21528" i="1"/>
  <c r="E21528" i="1"/>
  <c r="A21529" i="1"/>
  <c r="E21529" i="1"/>
  <c r="A21530" i="1"/>
  <c r="E21530" i="1"/>
  <c r="A21531" i="1"/>
  <c r="E21531" i="1"/>
  <c r="B21532" i="1"/>
  <c r="A21532" i="1"/>
  <c r="E21532" i="1"/>
  <c r="B21533" i="1"/>
  <c r="A21533" i="1"/>
  <c r="E21533" i="1"/>
  <c r="B21534" i="1"/>
  <c r="A21534" i="1"/>
  <c r="E21534" i="1"/>
  <c r="B21535" i="1"/>
  <c r="A21535" i="1"/>
  <c r="E21535" i="1"/>
  <c r="B21536" i="1"/>
  <c r="A21536" i="1"/>
  <c r="E21536" i="1"/>
  <c r="B21537" i="1"/>
  <c r="A21537" i="1"/>
  <c r="E21537" i="1"/>
  <c r="B21538" i="1"/>
  <c r="A21538" i="1"/>
  <c r="E21538" i="1"/>
  <c r="B21539" i="1"/>
  <c r="A21539" i="1"/>
  <c r="E21539" i="1"/>
  <c r="B21540" i="1"/>
  <c r="A21540" i="1"/>
  <c r="E21540" i="1"/>
  <c r="B21541" i="1"/>
  <c r="A21541" i="1"/>
  <c r="E21541" i="1"/>
  <c r="B21542" i="1"/>
  <c r="A21542" i="1"/>
  <c r="E21542" i="1"/>
  <c r="B21543" i="1"/>
  <c r="A21543" i="1"/>
  <c r="E21543" i="1"/>
  <c r="B21544" i="1"/>
  <c r="A21544" i="1"/>
  <c r="E21544" i="1"/>
  <c r="B21545" i="1"/>
  <c r="A21545" i="1"/>
  <c r="E21545" i="1"/>
  <c r="B21546" i="1"/>
  <c r="A21546" i="1"/>
  <c r="E21546" i="1"/>
  <c r="B21547" i="1"/>
  <c r="A21547" i="1"/>
  <c r="E21547" i="1"/>
  <c r="B21548" i="1"/>
  <c r="A21548" i="1"/>
  <c r="E21548" i="1"/>
  <c r="B21549" i="1"/>
  <c r="A21549" i="1"/>
  <c r="E21549" i="1"/>
  <c r="B21550" i="1"/>
  <c r="A21550" i="1"/>
  <c r="E21550" i="1"/>
  <c r="B21551" i="1"/>
  <c r="A21551" i="1"/>
  <c r="E21551" i="1"/>
  <c r="B21552" i="1"/>
  <c r="A21552" i="1"/>
  <c r="E21552" i="1"/>
  <c r="B21553" i="1"/>
  <c r="A21553" i="1"/>
  <c r="E21553" i="1"/>
  <c r="B21554" i="1"/>
  <c r="A21554" i="1"/>
  <c r="E21554" i="1"/>
  <c r="B21555" i="1"/>
  <c r="A21555" i="1"/>
  <c r="E21555" i="1"/>
  <c r="B21556" i="1"/>
  <c r="A21556" i="1"/>
  <c r="E21556" i="1"/>
  <c r="B21557" i="1"/>
  <c r="A21557" i="1"/>
  <c r="E21557" i="1"/>
  <c r="B21558" i="1"/>
  <c r="A21558" i="1"/>
  <c r="E21558" i="1"/>
  <c r="B21559" i="1"/>
  <c r="A21559" i="1"/>
  <c r="E21559" i="1"/>
  <c r="B21560" i="1"/>
  <c r="A21560" i="1"/>
  <c r="E21560" i="1"/>
  <c r="B21561" i="1"/>
  <c r="A21561" i="1"/>
  <c r="E21561" i="1"/>
  <c r="B21562" i="1"/>
  <c r="A21562" i="1"/>
  <c r="E21562" i="1"/>
  <c r="B21563" i="1"/>
  <c r="A21563" i="1"/>
  <c r="E21563" i="1"/>
  <c r="B21564" i="1"/>
  <c r="A21564" i="1"/>
  <c r="E21564" i="1"/>
  <c r="B21565" i="1"/>
  <c r="A21565" i="1"/>
  <c r="E21565" i="1"/>
  <c r="B21566" i="1"/>
  <c r="A21566" i="1"/>
  <c r="E21566" i="1"/>
  <c r="B21567" i="1"/>
  <c r="A21567" i="1"/>
  <c r="E21567" i="1"/>
  <c r="B21568" i="1"/>
  <c r="A21568" i="1"/>
  <c r="E21568" i="1"/>
  <c r="B21569" i="1"/>
  <c r="A21569" i="1"/>
  <c r="E21569" i="1"/>
  <c r="B21570" i="1"/>
  <c r="A21570" i="1"/>
  <c r="E21570" i="1"/>
  <c r="B21571" i="1"/>
  <c r="A21571" i="1"/>
  <c r="E21571" i="1"/>
  <c r="B21572" i="1"/>
  <c r="A21572" i="1"/>
  <c r="E21572" i="1"/>
  <c r="B21573" i="1"/>
  <c r="A21573" i="1"/>
  <c r="E21573" i="1"/>
  <c r="B21574" i="1"/>
  <c r="A21574" i="1"/>
  <c r="E21574" i="1"/>
  <c r="B21575" i="1"/>
  <c r="A21575" i="1"/>
  <c r="E21575" i="1"/>
  <c r="B21576" i="1"/>
  <c r="A21576" i="1"/>
  <c r="E21576" i="1"/>
  <c r="B21577" i="1"/>
  <c r="A21577" i="1"/>
  <c r="E21577" i="1"/>
  <c r="B21578" i="1"/>
  <c r="A21578" i="1"/>
  <c r="E21578" i="1"/>
  <c r="B21579" i="1"/>
  <c r="A21579" i="1"/>
  <c r="E21579" i="1"/>
  <c r="B21580" i="1"/>
  <c r="A21580" i="1"/>
  <c r="E21580" i="1"/>
  <c r="B21581" i="1"/>
  <c r="A21581" i="1"/>
  <c r="E21581" i="1"/>
  <c r="B21582" i="1"/>
  <c r="A21582" i="1"/>
  <c r="E21582" i="1"/>
  <c r="B21583" i="1"/>
  <c r="A21583" i="1"/>
  <c r="E21583" i="1"/>
  <c r="B21584" i="1"/>
  <c r="A21584" i="1"/>
  <c r="E21584" i="1"/>
  <c r="B21585" i="1"/>
  <c r="A21585" i="1"/>
  <c r="E21585" i="1"/>
  <c r="B21586" i="1"/>
  <c r="A21586" i="1"/>
  <c r="E21586" i="1"/>
  <c r="B21587" i="1"/>
  <c r="A21587" i="1"/>
  <c r="E21587" i="1"/>
  <c r="B21588" i="1"/>
  <c r="A21588" i="1"/>
  <c r="E21588" i="1"/>
  <c r="B21589" i="1"/>
  <c r="A21589" i="1"/>
  <c r="E21589" i="1"/>
  <c r="B21590" i="1"/>
  <c r="A21590" i="1"/>
  <c r="E21590" i="1"/>
  <c r="A21591" i="1"/>
  <c r="E21591" i="1"/>
  <c r="B21592" i="1"/>
  <c r="A21592" i="1"/>
  <c r="E21592" i="1"/>
  <c r="B21593" i="1"/>
  <c r="A21593" i="1"/>
  <c r="E21593" i="1"/>
  <c r="B21594" i="1"/>
  <c r="A21594" i="1"/>
  <c r="E21594" i="1"/>
  <c r="B21595" i="1"/>
  <c r="A21595" i="1"/>
  <c r="E21595" i="1"/>
  <c r="B21596" i="1"/>
  <c r="A21596" i="1"/>
  <c r="E21596" i="1"/>
  <c r="B21597" i="1"/>
  <c r="A21597" i="1"/>
  <c r="E21597" i="1"/>
  <c r="B21598" i="1"/>
  <c r="A21598" i="1"/>
  <c r="E21598" i="1"/>
  <c r="B21599" i="1"/>
  <c r="A21599" i="1"/>
  <c r="E21599" i="1"/>
  <c r="B21600" i="1"/>
  <c r="A21600" i="1"/>
  <c r="E21600" i="1"/>
  <c r="B21601" i="1"/>
  <c r="A21601" i="1"/>
  <c r="E21601" i="1"/>
  <c r="B21602" i="1"/>
  <c r="A21602" i="1"/>
  <c r="E21602" i="1"/>
  <c r="B21603" i="1"/>
  <c r="A21603" i="1"/>
  <c r="E21603" i="1"/>
  <c r="B21604" i="1"/>
  <c r="A21604" i="1"/>
  <c r="E21604" i="1"/>
  <c r="B21605" i="1"/>
  <c r="A21605" i="1"/>
  <c r="E21605" i="1"/>
  <c r="B21606" i="1"/>
  <c r="A21606" i="1"/>
  <c r="E21606" i="1"/>
  <c r="B21607" i="1"/>
  <c r="A21607" i="1"/>
  <c r="E21607" i="1"/>
  <c r="B21608" i="1"/>
  <c r="A21608" i="1"/>
  <c r="E21608" i="1"/>
  <c r="B21609" i="1"/>
  <c r="A21609" i="1"/>
  <c r="E21609" i="1"/>
  <c r="B21610" i="1"/>
  <c r="A21610" i="1"/>
  <c r="E21610" i="1"/>
  <c r="B21611" i="1"/>
  <c r="A21611" i="1"/>
  <c r="E21611" i="1"/>
  <c r="B21612" i="1"/>
  <c r="A21612" i="1"/>
  <c r="E21612" i="1"/>
  <c r="B21613" i="1"/>
  <c r="A21613" i="1"/>
  <c r="E21613" i="1"/>
  <c r="B21614" i="1"/>
  <c r="A21614" i="1"/>
  <c r="E21614" i="1"/>
  <c r="B21615" i="1"/>
  <c r="A21615" i="1"/>
  <c r="E21615" i="1"/>
  <c r="B21616" i="1"/>
  <c r="A21616" i="1"/>
  <c r="E21616" i="1"/>
  <c r="B21617" i="1"/>
  <c r="A21617" i="1"/>
  <c r="E21617" i="1"/>
  <c r="B21618" i="1"/>
  <c r="A21618" i="1"/>
  <c r="E21618" i="1"/>
  <c r="B21619" i="1"/>
  <c r="A21619" i="1"/>
  <c r="E21619" i="1"/>
  <c r="B21620" i="1"/>
  <c r="A21620" i="1"/>
  <c r="E21620" i="1"/>
  <c r="B21621" i="1"/>
  <c r="A21621" i="1"/>
  <c r="E21621" i="1"/>
  <c r="B21622" i="1"/>
  <c r="A21622" i="1"/>
  <c r="E21622" i="1"/>
  <c r="B21623" i="1"/>
  <c r="A21623" i="1"/>
  <c r="E21623" i="1"/>
  <c r="B21624" i="1"/>
  <c r="A21624" i="1"/>
  <c r="E21624" i="1"/>
  <c r="B21625" i="1"/>
  <c r="A21625" i="1"/>
  <c r="E21625" i="1"/>
  <c r="B21626" i="1"/>
  <c r="A21626" i="1"/>
  <c r="E21626" i="1"/>
  <c r="B21627" i="1"/>
  <c r="A21627" i="1"/>
  <c r="E21627" i="1"/>
  <c r="B21628" i="1"/>
  <c r="A21628" i="1"/>
  <c r="E21628" i="1"/>
  <c r="B21629" i="1"/>
  <c r="A21629" i="1"/>
  <c r="E21629" i="1"/>
  <c r="B21630" i="1"/>
  <c r="A21630" i="1"/>
  <c r="E21630" i="1"/>
  <c r="B21631" i="1"/>
  <c r="A21631" i="1"/>
  <c r="E21631" i="1"/>
  <c r="A21632" i="1"/>
  <c r="E21632" i="1"/>
  <c r="G21632" i="1"/>
  <c r="A21633" i="1"/>
  <c r="E21633" i="1"/>
  <c r="A21634" i="1"/>
  <c r="E21634" i="1"/>
  <c r="B21635" i="1"/>
  <c r="A21635" i="1"/>
  <c r="E21635" i="1"/>
  <c r="B21636" i="1"/>
  <c r="A21636" i="1"/>
  <c r="E21636" i="1"/>
  <c r="B21637" i="1"/>
  <c r="A21637" i="1"/>
  <c r="E21637" i="1"/>
  <c r="B21638" i="1"/>
  <c r="A21638" i="1"/>
  <c r="E21638" i="1"/>
  <c r="B21639" i="1"/>
  <c r="A21639" i="1"/>
  <c r="E21639" i="1"/>
  <c r="B21640" i="1"/>
  <c r="A21640" i="1"/>
  <c r="E21640" i="1"/>
  <c r="B21641" i="1"/>
  <c r="A21641" i="1"/>
  <c r="E21641" i="1"/>
  <c r="B21642" i="1"/>
  <c r="A21642" i="1"/>
  <c r="E21642" i="1"/>
  <c r="B21643" i="1"/>
  <c r="A21643" i="1"/>
  <c r="E21643" i="1"/>
  <c r="B21644" i="1"/>
  <c r="A21644" i="1"/>
  <c r="E21644" i="1"/>
  <c r="B21645" i="1"/>
  <c r="A21645" i="1"/>
  <c r="E21645" i="1"/>
  <c r="B21646" i="1"/>
  <c r="A21646" i="1"/>
  <c r="E21646" i="1"/>
  <c r="B21647" i="1"/>
  <c r="A21647" i="1"/>
  <c r="E21647" i="1"/>
  <c r="B21648" i="1"/>
  <c r="A21648" i="1"/>
  <c r="E21648" i="1"/>
  <c r="B21649" i="1"/>
  <c r="A21649" i="1"/>
  <c r="E21649" i="1"/>
  <c r="B21650" i="1"/>
  <c r="A21650" i="1"/>
  <c r="E21650" i="1"/>
  <c r="B21651" i="1"/>
  <c r="A21651" i="1"/>
  <c r="E21651" i="1"/>
  <c r="B21652" i="1"/>
  <c r="A21652" i="1"/>
  <c r="E21652" i="1"/>
  <c r="B21653" i="1"/>
  <c r="A21653" i="1"/>
  <c r="E21653" i="1"/>
  <c r="B21654" i="1"/>
  <c r="A21654" i="1"/>
  <c r="E21654" i="1"/>
  <c r="B21655" i="1"/>
  <c r="A21655" i="1"/>
  <c r="E21655" i="1"/>
  <c r="B21656" i="1"/>
  <c r="A21656" i="1"/>
  <c r="E21656" i="1"/>
  <c r="B21657" i="1"/>
  <c r="A21657" i="1"/>
  <c r="E21657" i="1"/>
  <c r="B21658" i="1"/>
  <c r="A21658" i="1"/>
  <c r="E21658" i="1"/>
  <c r="B21659" i="1"/>
  <c r="A21659" i="1"/>
  <c r="E21659" i="1"/>
  <c r="G21659" i="1"/>
  <c r="B21660" i="1"/>
  <c r="A21660" i="1"/>
  <c r="E21660" i="1"/>
  <c r="G21660" i="1"/>
  <c r="B21661" i="1"/>
  <c r="A21661" i="1"/>
  <c r="E21661" i="1"/>
  <c r="G21661" i="1"/>
  <c r="B21662" i="1"/>
  <c r="A21662" i="1"/>
  <c r="E21662" i="1"/>
  <c r="B21663" i="1"/>
  <c r="A21663" i="1"/>
  <c r="E21663" i="1"/>
  <c r="B21664" i="1"/>
  <c r="A21664" i="1"/>
  <c r="E21664" i="1"/>
  <c r="G21664" i="1"/>
  <c r="B21665" i="1"/>
  <c r="A21665" i="1"/>
  <c r="E21665" i="1"/>
  <c r="G21665" i="1"/>
  <c r="B21666" i="1"/>
  <c r="A21666" i="1"/>
  <c r="E21666" i="1"/>
  <c r="G21666" i="1"/>
  <c r="B21667" i="1"/>
  <c r="A21667" i="1"/>
  <c r="E21667" i="1"/>
  <c r="G21667" i="1"/>
  <c r="B21668" i="1"/>
  <c r="A21668" i="1"/>
  <c r="E21668" i="1"/>
  <c r="B21669" i="1"/>
  <c r="A21669" i="1"/>
  <c r="E21669" i="1"/>
  <c r="B21670" i="1"/>
  <c r="A21670" i="1"/>
  <c r="E21670" i="1"/>
  <c r="B21671" i="1"/>
  <c r="A21671" i="1"/>
  <c r="E21671" i="1"/>
  <c r="B21672" i="1"/>
  <c r="A21672" i="1"/>
  <c r="E21672" i="1"/>
  <c r="B21673" i="1"/>
  <c r="A21673" i="1"/>
  <c r="E21673" i="1"/>
  <c r="B21674" i="1"/>
  <c r="A21674" i="1"/>
  <c r="E21674" i="1"/>
  <c r="B21675" i="1"/>
  <c r="A21675" i="1"/>
  <c r="E21675" i="1"/>
  <c r="B21676" i="1"/>
  <c r="A21676" i="1"/>
  <c r="E21676" i="1"/>
  <c r="B21677" i="1"/>
  <c r="A21677" i="1"/>
  <c r="E21677" i="1"/>
  <c r="B21678" i="1"/>
  <c r="A21678" i="1"/>
  <c r="E21678" i="1"/>
  <c r="B21679" i="1"/>
  <c r="A21679" i="1"/>
  <c r="E21679" i="1"/>
  <c r="B21680" i="1"/>
  <c r="A21680" i="1"/>
  <c r="E21680" i="1"/>
  <c r="B21681" i="1"/>
  <c r="A21681" i="1"/>
  <c r="E21681" i="1"/>
  <c r="B21682" i="1"/>
  <c r="A21682" i="1"/>
  <c r="E21682" i="1"/>
  <c r="B21683" i="1"/>
  <c r="A21683" i="1"/>
  <c r="E21683" i="1"/>
  <c r="B21684" i="1"/>
  <c r="A21684" i="1"/>
  <c r="E21684" i="1"/>
  <c r="B21685" i="1"/>
  <c r="A21685" i="1"/>
  <c r="E21685" i="1"/>
  <c r="B21686" i="1"/>
  <c r="A21686" i="1"/>
  <c r="E21686" i="1"/>
  <c r="B21687" i="1"/>
  <c r="A21687" i="1"/>
  <c r="E21687" i="1"/>
  <c r="B21688" i="1"/>
  <c r="A21688" i="1"/>
  <c r="E21688" i="1"/>
  <c r="B21689" i="1"/>
  <c r="A21689" i="1"/>
  <c r="E21689" i="1"/>
  <c r="B21690" i="1"/>
  <c r="A21690" i="1"/>
  <c r="E21690" i="1"/>
  <c r="F21690" i="1"/>
  <c r="B21691" i="1"/>
  <c r="A21691" i="1"/>
  <c r="E21691" i="1"/>
  <c r="F21691" i="1"/>
  <c r="B21692" i="1"/>
  <c r="A21692" i="1"/>
  <c r="E21692" i="1"/>
  <c r="B21693" i="1"/>
  <c r="A21693" i="1"/>
  <c r="E21693" i="1"/>
  <c r="B21694" i="1"/>
  <c r="A21694" i="1"/>
  <c r="E21694" i="1"/>
  <c r="B21695" i="1"/>
  <c r="A21695" i="1"/>
  <c r="E21695" i="1"/>
  <c r="B21696" i="1"/>
  <c r="A21696" i="1"/>
  <c r="E21696" i="1"/>
  <c r="B21697" i="1"/>
  <c r="A21697" i="1"/>
  <c r="E21697" i="1"/>
  <c r="B21698" i="1"/>
  <c r="A21698" i="1"/>
  <c r="E21698" i="1"/>
  <c r="B21699" i="1"/>
  <c r="A21699" i="1"/>
  <c r="E21699" i="1"/>
  <c r="B21700" i="1"/>
  <c r="A21700" i="1"/>
  <c r="E21700" i="1"/>
  <c r="B21701" i="1"/>
  <c r="A21701" i="1"/>
  <c r="E21701" i="1"/>
  <c r="B21702" i="1"/>
  <c r="A21702" i="1"/>
  <c r="E21702" i="1"/>
  <c r="B21703" i="1"/>
  <c r="A21703" i="1"/>
  <c r="E21703" i="1"/>
  <c r="B21704" i="1"/>
  <c r="A21704" i="1"/>
  <c r="E21704" i="1"/>
  <c r="B21705" i="1"/>
  <c r="A21705" i="1"/>
  <c r="E21705" i="1"/>
  <c r="B21706" i="1"/>
  <c r="A21706" i="1"/>
  <c r="E21706" i="1"/>
  <c r="B21707" i="1"/>
  <c r="A21707" i="1"/>
  <c r="E21707" i="1"/>
  <c r="B21708" i="1"/>
  <c r="A21708" i="1"/>
  <c r="E21708" i="1"/>
  <c r="B21709" i="1"/>
  <c r="A21709" i="1"/>
  <c r="E21709" i="1"/>
  <c r="B21710" i="1"/>
  <c r="A21710" i="1"/>
  <c r="E21710" i="1"/>
  <c r="B21711" i="1"/>
  <c r="A21711" i="1"/>
  <c r="E21711" i="1"/>
  <c r="B21712" i="1"/>
  <c r="A21712" i="1"/>
  <c r="E21712" i="1"/>
  <c r="B21713" i="1"/>
  <c r="A21713" i="1"/>
  <c r="E21713" i="1"/>
  <c r="B21714" i="1"/>
  <c r="A21714" i="1"/>
  <c r="E21714" i="1"/>
  <c r="B21715" i="1"/>
  <c r="A21715" i="1"/>
  <c r="E21715" i="1"/>
  <c r="B21716" i="1"/>
  <c r="A21716" i="1"/>
  <c r="E21716" i="1"/>
  <c r="B21717" i="1"/>
  <c r="A21717" i="1"/>
  <c r="E21717" i="1"/>
  <c r="B21718" i="1"/>
  <c r="A21718" i="1"/>
  <c r="E21718" i="1"/>
  <c r="B21719" i="1"/>
  <c r="A21719" i="1"/>
  <c r="E21719" i="1"/>
  <c r="B21720" i="1"/>
  <c r="A21720" i="1"/>
  <c r="E21720" i="1"/>
  <c r="B21721" i="1"/>
  <c r="A21721" i="1"/>
  <c r="E21721" i="1"/>
  <c r="B21722" i="1"/>
  <c r="A21722" i="1"/>
  <c r="E21722" i="1"/>
  <c r="B21723" i="1"/>
  <c r="A21723" i="1"/>
  <c r="E21723" i="1"/>
  <c r="B21724" i="1"/>
  <c r="A21724" i="1"/>
  <c r="E21724" i="1"/>
  <c r="B21725" i="1"/>
  <c r="A21725" i="1"/>
  <c r="E21725" i="1"/>
  <c r="B21726" i="1"/>
  <c r="A21726" i="1"/>
  <c r="E21726" i="1"/>
  <c r="B21727" i="1"/>
  <c r="A21727" i="1"/>
  <c r="E21727" i="1"/>
  <c r="B21728" i="1"/>
  <c r="A21728" i="1"/>
  <c r="E21728" i="1"/>
  <c r="B21729" i="1"/>
  <c r="A21729" i="1"/>
  <c r="E21729" i="1"/>
  <c r="B21730" i="1"/>
  <c r="A21730" i="1"/>
  <c r="E21730" i="1"/>
  <c r="B21731" i="1"/>
  <c r="A21731" i="1"/>
  <c r="E21731" i="1"/>
  <c r="B21732" i="1"/>
  <c r="A21732" i="1"/>
  <c r="E21732" i="1"/>
  <c r="B21733" i="1"/>
  <c r="A21733" i="1"/>
  <c r="E21733" i="1"/>
  <c r="B21734" i="1"/>
  <c r="A21734" i="1"/>
  <c r="E21734" i="1"/>
  <c r="B21735" i="1"/>
  <c r="A21735" i="1"/>
  <c r="E21735" i="1"/>
  <c r="B21736" i="1"/>
  <c r="A21736" i="1"/>
  <c r="E21736" i="1"/>
  <c r="B21737" i="1"/>
  <c r="A21737" i="1"/>
  <c r="E21737" i="1"/>
  <c r="B21738" i="1"/>
  <c r="A21738" i="1"/>
  <c r="E21738" i="1"/>
  <c r="B21739" i="1"/>
  <c r="A21739" i="1"/>
  <c r="E21739" i="1"/>
  <c r="B21740" i="1"/>
  <c r="A21740" i="1"/>
  <c r="E21740" i="1"/>
  <c r="B21741" i="1"/>
  <c r="A21741" i="1"/>
  <c r="E21741" i="1"/>
  <c r="B21742" i="1"/>
  <c r="A21742" i="1"/>
  <c r="E21742" i="1"/>
  <c r="B21743" i="1"/>
  <c r="A21743" i="1"/>
  <c r="E21743" i="1"/>
  <c r="B21744" i="1"/>
  <c r="A21744" i="1"/>
  <c r="E21744" i="1"/>
  <c r="B21745" i="1"/>
  <c r="A21745" i="1"/>
  <c r="E21745" i="1"/>
  <c r="B21746" i="1"/>
  <c r="A21746" i="1"/>
  <c r="E21746" i="1"/>
  <c r="B21747" i="1"/>
  <c r="A21747" i="1"/>
  <c r="E21747" i="1"/>
  <c r="B21748" i="1"/>
  <c r="A21748" i="1"/>
  <c r="E21748" i="1"/>
  <c r="B21749" i="1"/>
  <c r="A21749" i="1"/>
  <c r="E21749" i="1"/>
  <c r="B21750" i="1"/>
  <c r="A21750" i="1"/>
  <c r="E21750" i="1"/>
  <c r="B21751" i="1"/>
  <c r="A21751" i="1"/>
  <c r="E21751" i="1"/>
  <c r="B21752" i="1"/>
  <c r="A21752" i="1"/>
  <c r="E21752" i="1"/>
  <c r="B21753" i="1"/>
  <c r="A21753" i="1"/>
  <c r="E21753" i="1"/>
  <c r="B21754" i="1"/>
  <c r="A21754" i="1"/>
  <c r="E21754" i="1"/>
  <c r="B21755" i="1"/>
  <c r="A21755" i="1"/>
  <c r="E21755" i="1"/>
  <c r="B21756" i="1"/>
  <c r="A21756" i="1"/>
  <c r="E21756" i="1"/>
  <c r="B21757" i="1"/>
  <c r="A21757" i="1"/>
  <c r="E21757" i="1"/>
  <c r="B21758" i="1"/>
  <c r="A21758" i="1"/>
  <c r="E21758" i="1"/>
  <c r="B21759" i="1"/>
  <c r="A21759" i="1"/>
  <c r="E21759" i="1"/>
  <c r="B21760" i="1"/>
  <c r="A21760" i="1"/>
  <c r="E21760" i="1"/>
  <c r="B21761" i="1"/>
  <c r="A21761" i="1"/>
  <c r="E21761" i="1"/>
  <c r="B21762" i="1"/>
  <c r="A21762" i="1"/>
  <c r="E21762" i="1"/>
  <c r="F21762" i="1"/>
  <c r="B21763" i="1"/>
  <c r="A21763" i="1"/>
  <c r="E21763" i="1"/>
  <c r="F21763" i="1"/>
  <c r="B21764" i="1"/>
  <c r="A21764" i="1"/>
  <c r="E21764" i="1"/>
  <c r="F21764" i="1"/>
  <c r="B21765" i="1"/>
  <c r="A21765" i="1"/>
  <c r="E21765" i="1"/>
  <c r="F21765" i="1"/>
  <c r="B21766" i="1"/>
  <c r="A21766" i="1"/>
  <c r="E21766" i="1"/>
  <c r="F21766" i="1"/>
  <c r="B21767" i="1"/>
  <c r="A21767" i="1"/>
  <c r="E21767" i="1"/>
  <c r="F21767" i="1"/>
  <c r="B21768" i="1"/>
  <c r="A21768" i="1"/>
  <c r="E21768" i="1"/>
  <c r="F21768" i="1"/>
  <c r="B21769" i="1"/>
  <c r="A21769" i="1"/>
  <c r="E21769" i="1"/>
  <c r="F21769" i="1"/>
  <c r="B21770" i="1"/>
  <c r="A21770" i="1"/>
  <c r="E21770" i="1"/>
  <c r="F21770" i="1"/>
  <c r="G21770" i="1"/>
  <c r="B21771" i="1"/>
  <c r="A21771" i="1"/>
  <c r="E21771" i="1"/>
  <c r="F21771" i="1"/>
  <c r="G21771" i="1"/>
  <c r="B21772" i="1"/>
  <c r="A21772" i="1"/>
  <c r="E21772" i="1"/>
  <c r="F21772" i="1"/>
  <c r="G21772" i="1"/>
  <c r="B21773" i="1"/>
  <c r="A21773" i="1"/>
  <c r="E21773" i="1"/>
  <c r="F21773" i="1"/>
  <c r="G21773" i="1"/>
  <c r="B21774" i="1"/>
  <c r="A21774" i="1"/>
  <c r="E21774" i="1"/>
  <c r="F21774" i="1"/>
  <c r="B21775" i="1"/>
  <c r="A21775" i="1"/>
  <c r="E21775" i="1"/>
  <c r="F21775" i="1"/>
  <c r="G21775" i="1"/>
  <c r="B21776" i="1"/>
  <c r="A21776" i="1"/>
  <c r="E21776" i="1"/>
  <c r="F21776" i="1"/>
  <c r="G21776" i="1"/>
  <c r="B21777" i="1"/>
  <c r="A21777" i="1"/>
  <c r="E21777" i="1"/>
  <c r="F21777" i="1"/>
  <c r="B21778" i="1"/>
  <c r="A21778" i="1"/>
  <c r="E21778" i="1"/>
  <c r="F21778" i="1"/>
  <c r="G21778" i="1"/>
  <c r="B21779" i="1"/>
  <c r="A21779" i="1"/>
  <c r="E21779" i="1"/>
  <c r="F21779" i="1"/>
  <c r="G21779" i="1"/>
  <c r="B21780" i="1"/>
  <c r="A21780" i="1"/>
  <c r="E21780" i="1"/>
  <c r="F21780" i="1"/>
  <c r="B21781" i="1"/>
  <c r="A21781" i="1"/>
  <c r="E21781" i="1"/>
  <c r="F21781" i="1"/>
  <c r="G21781" i="1"/>
  <c r="B21782" i="1"/>
  <c r="A21782" i="1"/>
  <c r="E21782" i="1"/>
  <c r="F21782" i="1"/>
  <c r="B21783" i="1"/>
  <c r="A21783" i="1"/>
  <c r="E21783" i="1"/>
  <c r="F21783" i="1"/>
  <c r="B21784" i="1"/>
  <c r="A21784" i="1"/>
  <c r="E21784" i="1"/>
  <c r="F21784" i="1"/>
  <c r="B21785" i="1"/>
  <c r="A21785" i="1"/>
  <c r="E21785" i="1"/>
  <c r="F21785" i="1"/>
  <c r="G21785" i="1"/>
  <c r="B21786" i="1"/>
  <c r="A21786" i="1"/>
  <c r="E21786" i="1"/>
  <c r="F21786" i="1"/>
  <c r="B21787" i="1"/>
  <c r="A21787" i="1"/>
  <c r="E21787" i="1"/>
  <c r="F21787" i="1"/>
  <c r="G21787" i="1"/>
  <c r="B21788" i="1"/>
  <c r="A21788" i="1"/>
  <c r="E21788" i="1"/>
  <c r="F21788" i="1"/>
  <c r="G21788" i="1"/>
  <c r="B21789" i="1"/>
  <c r="A21789" i="1"/>
  <c r="E21789" i="1"/>
  <c r="F21789" i="1"/>
  <c r="G21789" i="1"/>
  <c r="B21790" i="1"/>
  <c r="A21790" i="1"/>
  <c r="E21790" i="1"/>
  <c r="F21790" i="1"/>
  <c r="G21790" i="1"/>
  <c r="B21791" i="1"/>
  <c r="A21791" i="1"/>
  <c r="E21791" i="1"/>
  <c r="F21791" i="1"/>
  <c r="G21791" i="1"/>
  <c r="B21792" i="1"/>
  <c r="A21792" i="1"/>
  <c r="E21792" i="1"/>
  <c r="F21792" i="1"/>
  <c r="B21793" i="1"/>
  <c r="A21793" i="1"/>
  <c r="E21793" i="1"/>
  <c r="F21793" i="1"/>
  <c r="B21794" i="1"/>
  <c r="A21794" i="1"/>
  <c r="E21794" i="1"/>
  <c r="F21794" i="1"/>
  <c r="B21795" i="1"/>
  <c r="A21795" i="1"/>
  <c r="E21795" i="1"/>
  <c r="F21795" i="1"/>
  <c r="B21796" i="1"/>
  <c r="A21796" i="1"/>
  <c r="E21796" i="1"/>
  <c r="F21796" i="1"/>
  <c r="B21797" i="1"/>
  <c r="A21797" i="1"/>
  <c r="E21797" i="1"/>
  <c r="F21797" i="1"/>
  <c r="B21798" i="1"/>
  <c r="A21798" i="1"/>
  <c r="E21798" i="1"/>
  <c r="F21798" i="1"/>
  <c r="B21799" i="1"/>
  <c r="A21799" i="1"/>
  <c r="E21799" i="1"/>
  <c r="F21799" i="1"/>
  <c r="B21800" i="1"/>
  <c r="A21800" i="1"/>
  <c r="E21800" i="1"/>
  <c r="F21800" i="1"/>
  <c r="G21800" i="1"/>
  <c r="B21801" i="1"/>
  <c r="A21801" i="1"/>
  <c r="E21801" i="1"/>
  <c r="F21801" i="1"/>
  <c r="G21801" i="1"/>
  <c r="B21802" i="1"/>
  <c r="A21802" i="1"/>
  <c r="E21802" i="1"/>
  <c r="B21803" i="1"/>
  <c r="A21803" i="1"/>
  <c r="E21803" i="1"/>
  <c r="B21804" i="1"/>
  <c r="A21804" i="1"/>
  <c r="E21804" i="1"/>
  <c r="B21805" i="1"/>
  <c r="A21805" i="1"/>
  <c r="E21805" i="1"/>
  <c r="B21806" i="1"/>
  <c r="A21806" i="1"/>
  <c r="E21806" i="1"/>
  <c r="B21807" i="1"/>
  <c r="A21807" i="1"/>
  <c r="E21807" i="1"/>
  <c r="B21808" i="1"/>
  <c r="A21808" i="1"/>
  <c r="E21808" i="1"/>
  <c r="B21809" i="1"/>
  <c r="A21809" i="1"/>
  <c r="E21809" i="1"/>
  <c r="B21810" i="1"/>
  <c r="A21810" i="1"/>
  <c r="E21810" i="1"/>
  <c r="B21811" i="1"/>
  <c r="A21811" i="1"/>
  <c r="E21811" i="1"/>
  <c r="B21812" i="1"/>
  <c r="A21812" i="1"/>
  <c r="E21812" i="1"/>
  <c r="B21813" i="1"/>
  <c r="A21813" i="1"/>
  <c r="E21813" i="1"/>
  <c r="B21814" i="1"/>
  <c r="A21814" i="1"/>
  <c r="E21814" i="1"/>
  <c r="B21815" i="1"/>
  <c r="A21815" i="1"/>
  <c r="E21815" i="1"/>
  <c r="B21816" i="1"/>
  <c r="A21816" i="1"/>
  <c r="E21816" i="1"/>
  <c r="B21817" i="1"/>
  <c r="A21817" i="1"/>
  <c r="E21817" i="1"/>
  <c r="B21818" i="1"/>
  <c r="A21818" i="1"/>
  <c r="E21818" i="1"/>
  <c r="B21819" i="1"/>
  <c r="A21819" i="1"/>
  <c r="E21819" i="1"/>
  <c r="B21820" i="1"/>
  <c r="A21820" i="1"/>
  <c r="E21820" i="1"/>
  <c r="B21821" i="1"/>
  <c r="A21821" i="1"/>
  <c r="E21821" i="1"/>
  <c r="B21822" i="1"/>
  <c r="A21822" i="1"/>
  <c r="E21822" i="1"/>
  <c r="B21823" i="1"/>
  <c r="A21823" i="1"/>
  <c r="E21823" i="1"/>
  <c r="B21824" i="1"/>
  <c r="A21824" i="1"/>
  <c r="E21824" i="1"/>
  <c r="B21825" i="1"/>
  <c r="A21825" i="1"/>
  <c r="E21825" i="1"/>
  <c r="B21826" i="1"/>
  <c r="A21826" i="1"/>
  <c r="E21826" i="1"/>
  <c r="B21827" i="1"/>
  <c r="A21827" i="1"/>
  <c r="E21827" i="1"/>
  <c r="A21828" i="1"/>
  <c r="E21828" i="1"/>
  <c r="G21828" i="1"/>
  <c r="B21829" i="1"/>
  <c r="A21829" i="1"/>
  <c r="E21829" i="1"/>
  <c r="B21830" i="1"/>
  <c r="A21830" i="1"/>
  <c r="E21830" i="1"/>
  <c r="B21831" i="1"/>
  <c r="A21831" i="1"/>
  <c r="E21831" i="1"/>
  <c r="B21832" i="1"/>
  <c r="A21832" i="1"/>
  <c r="E21832" i="1"/>
  <c r="B21833" i="1"/>
  <c r="A21833" i="1"/>
  <c r="E21833" i="1"/>
  <c r="B21834" i="1"/>
  <c r="A21834" i="1"/>
  <c r="E21834" i="1"/>
  <c r="B21835" i="1"/>
  <c r="A21835" i="1"/>
  <c r="E21835" i="1"/>
  <c r="A21836" i="1"/>
  <c r="E21836" i="1"/>
  <c r="A21837" i="1"/>
  <c r="E21837" i="1"/>
  <c r="G21837" i="1"/>
  <c r="B21838" i="1"/>
  <c r="A21838" i="1"/>
  <c r="E21838" i="1"/>
  <c r="B21839" i="1"/>
  <c r="A21839" i="1"/>
  <c r="E21839" i="1"/>
  <c r="B21840" i="1"/>
  <c r="A21840" i="1"/>
  <c r="E21840" i="1"/>
  <c r="B21841" i="1"/>
  <c r="A21841" i="1"/>
  <c r="E21841" i="1"/>
  <c r="B21842" i="1"/>
  <c r="A21842" i="1"/>
  <c r="E21842" i="1"/>
  <c r="B21843" i="1"/>
  <c r="A21843" i="1"/>
  <c r="E21843" i="1"/>
  <c r="B21844" i="1"/>
  <c r="A21844" i="1"/>
  <c r="E21844" i="1"/>
  <c r="A21845" i="1"/>
  <c r="E21845" i="1"/>
  <c r="A21846" i="1"/>
  <c r="E21846" i="1"/>
  <c r="A21847" i="1"/>
  <c r="E21847" i="1"/>
  <c r="B21848" i="1"/>
  <c r="A21848" i="1"/>
  <c r="E21848" i="1"/>
  <c r="B21849" i="1"/>
  <c r="A21849" i="1"/>
  <c r="E21849" i="1"/>
  <c r="A21850" i="1"/>
  <c r="E21850" i="1"/>
  <c r="G21850" i="1"/>
  <c r="B21851" i="1"/>
  <c r="A21851" i="1"/>
  <c r="E21851" i="1"/>
  <c r="B21852" i="1"/>
  <c r="A21852" i="1"/>
  <c r="E21852" i="1"/>
  <c r="B21853" i="1"/>
  <c r="A21853" i="1"/>
  <c r="E21853" i="1"/>
  <c r="B21854" i="1"/>
  <c r="A21854" i="1"/>
  <c r="E21854" i="1"/>
  <c r="B21855" i="1"/>
  <c r="A21855" i="1"/>
  <c r="E21855" i="1"/>
  <c r="B21856" i="1"/>
  <c r="A21856" i="1"/>
  <c r="E21856" i="1"/>
  <c r="B21857" i="1"/>
  <c r="A21857" i="1"/>
  <c r="E21857" i="1"/>
  <c r="G21857" i="1"/>
  <c r="B21858" i="1"/>
  <c r="A21858" i="1"/>
  <c r="E21858" i="1"/>
  <c r="B21859" i="1"/>
  <c r="A21859" i="1"/>
  <c r="E21859" i="1"/>
  <c r="B21860" i="1"/>
  <c r="A21860" i="1"/>
  <c r="E21860" i="1"/>
  <c r="B21861" i="1"/>
  <c r="A21861" i="1"/>
  <c r="E21861" i="1"/>
  <c r="B21862" i="1"/>
  <c r="A21862" i="1"/>
  <c r="E21862" i="1"/>
  <c r="B21863" i="1"/>
  <c r="A21863" i="1"/>
  <c r="E21863" i="1"/>
  <c r="B21864" i="1"/>
  <c r="A21864" i="1"/>
  <c r="E21864" i="1"/>
  <c r="B21865" i="1"/>
  <c r="A21865" i="1"/>
  <c r="E21865" i="1"/>
  <c r="B21866" i="1"/>
  <c r="A21866" i="1"/>
  <c r="E21866" i="1"/>
  <c r="B21867" i="1"/>
  <c r="A21867" i="1"/>
  <c r="E21867" i="1"/>
  <c r="B21868" i="1"/>
  <c r="A21868" i="1"/>
  <c r="E21868" i="1"/>
  <c r="B21869" i="1"/>
  <c r="A21869" i="1"/>
  <c r="E21869" i="1"/>
  <c r="B21870" i="1"/>
  <c r="A21870" i="1"/>
  <c r="E21870" i="1"/>
  <c r="B21871" i="1"/>
  <c r="A21871" i="1"/>
  <c r="E21871" i="1"/>
  <c r="B21872" i="1"/>
  <c r="A21872" i="1"/>
  <c r="E21872" i="1"/>
  <c r="B21873" i="1"/>
  <c r="A21873" i="1"/>
  <c r="E21873" i="1"/>
  <c r="B21874" i="1"/>
  <c r="A21874" i="1"/>
  <c r="E21874" i="1"/>
  <c r="B21875" i="1"/>
  <c r="A21875" i="1"/>
  <c r="E21875" i="1"/>
  <c r="B21876" i="1"/>
  <c r="A21876" i="1"/>
  <c r="E21876" i="1"/>
  <c r="B21877" i="1"/>
  <c r="A21877" i="1"/>
  <c r="E21877" i="1"/>
  <c r="B21878" i="1"/>
  <c r="A21878" i="1"/>
  <c r="E21878" i="1"/>
  <c r="F21878" i="1"/>
  <c r="B21879" i="1"/>
  <c r="A21879" i="1"/>
  <c r="E21879" i="1"/>
  <c r="F21879" i="1"/>
  <c r="B21880" i="1"/>
  <c r="A21880" i="1"/>
  <c r="E21880" i="1"/>
  <c r="F21880" i="1"/>
  <c r="B21881" i="1"/>
  <c r="A21881" i="1"/>
  <c r="E21881" i="1"/>
  <c r="F21881" i="1"/>
  <c r="B21882" i="1"/>
  <c r="A21882" i="1"/>
  <c r="E21882" i="1"/>
  <c r="F21882" i="1"/>
  <c r="B21883" i="1"/>
  <c r="A21883" i="1"/>
  <c r="E21883" i="1"/>
  <c r="F21883" i="1"/>
  <c r="G21883" i="1"/>
  <c r="B21884" i="1"/>
  <c r="A21884" i="1"/>
  <c r="E21884" i="1"/>
  <c r="F21884" i="1"/>
  <c r="B21885" i="1"/>
  <c r="A21885" i="1"/>
  <c r="E21885" i="1"/>
  <c r="F21885" i="1"/>
  <c r="B21886" i="1"/>
  <c r="A21886" i="1"/>
  <c r="E21886" i="1"/>
  <c r="F21886" i="1"/>
  <c r="B21887" i="1"/>
  <c r="A21887" i="1"/>
  <c r="E21887" i="1"/>
  <c r="F21887" i="1"/>
  <c r="B21888" i="1"/>
  <c r="A21888" i="1"/>
  <c r="E21888" i="1"/>
  <c r="F21888" i="1"/>
  <c r="B21889" i="1"/>
  <c r="A21889" i="1"/>
  <c r="E21889" i="1"/>
  <c r="F21889" i="1"/>
  <c r="B21890" i="1"/>
  <c r="A21890" i="1"/>
  <c r="E21890" i="1"/>
  <c r="F21890" i="1"/>
  <c r="B21891" i="1"/>
  <c r="A21891" i="1"/>
  <c r="E21891" i="1"/>
  <c r="F21891" i="1"/>
  <c r="B21892" i="1"/>
  <c r="A21892" i="1"/>
  <c r="E21892" i="1"/>
  <c r="F21892" i="1"/>
  <c r="B21893" i="1"/>
  <c r="A21893" i="1"/>
  <c r="E21893" i="1"/>
  <c r="F21893" i="1"/>
  <c r="B21894" i="1"/>
  <c r="A21894" i="1"/>
  <c r="E21894" i="1"/>
  <c r="F21894" i="1"/>
  <c r="B21895" i="1"/>
  <c r="A21895" i="1"/>
  <c r="E21895" i="1"/>
  <c r="F21895" i="1"/>
  <c r="B21896" i="1"/>
  <c r="A21896" i="1"/>
  <c r="E21896" i="1"/>
  <c r="F21896" i="1"/>
  <c r="B21897" i="1"/>
  <c r="A21897" i="1"/>
  <c r="E21897" i="1"/>
  <c r="F21897" i="1"/>
  <c r="B21898" i="1"/>
  <c r="A21898" i="1"/>
  <c r="E21898" i="1"/>
  <c r="F21898" i="1"/>
  <c r="B21899" i="1"/>
  <c r="A21899" i="1"/>
  <c r="E21899" i="1"/>
  <c r="F21899" i="1"/>
  <c r="B21900" i="1"/>
  <c r="A21900" i="1"/>
  <c r="E21900" i="1"/>
  <c r="F21900" i="1"/>
  <c r="B21901" i="1"/>
  <c r="A21901" i="1"/>
  <c r="E21901" i="1"/>
  <c r="F21901" i="1"/>
  <c r="B21902" i="1"/>
  <c r="A21902" i="1"/>
  <c r="E21902" i="1"/>
  <c r="F21902" i="1"/>
  <c r="B21903" i="1"/>
  <c r="A21903" i="1"/>
  <c r="E21903" i="1"/>
  <c r="F21903" i="1"/>
  <c r="B21904" i="1"/>
  <c r="A21904" i="1"/>
  <c r="E21904" i="1"/>
  <c r="F21904" i="1"/>
  <c r="B21905" i="1"/>
  <c r="A21905" i="1"/>
  <c r="E21905" i="1"/>
  <c r="F21905" i="1"/>
  <c r="B21906" i="1"/>
  <c r="A21906" i="1"/>
  <c r="E21906" i="1"/>
  <c r="F21906" i="1"/>
  <c r="B21907" i="1"/>
  <c r="A21907" i="1"/>
  <c r="E21907" i="1"/>
  <c r="F21907" i="1"/>
  <c r="B21908" i="1"/>
  <c r="A21908" i="1"/>
  <c r="E21908" i="1"/>
  <c r="F21908" i="1"/>
  <c r="B21909" i="1"/>
  <c r="A21909" i="1"/>
  <c r="E21909" i="1"/>
  <c r="F21909" i="1"/>
  <c r="B21910" i="1"/>
  <c r="A21910" i="1"/>
  <c r="E21910" i="1"/>
  <c r="F21910" i="1"/>
  <c r="B21911" i="1"/>
  <c r="A21911" i="1"/>
  <c r="E21911" i="1"/>
  <c r="F21911" i="1"/>
  <c r="B21912" i="1"/>
  <c r="A21912" i="1"/>
  <c r="E21912" i="1"/>
  <c r="F21912" i="1"/>
  <c r="B21913" i="1"/>
  <c r="A21913" i="1"/>
  <c r="E21913" i="1"/>
  <c r="F21913" i="1"/>
  <c r="B21914" i="1"/>
  <c r="A21914" i="1"/>
  <c r="E21914" i="1"/>
  <c r="F21914" i="1"/>
  <c r="B21915" i="1"/>
  <c r="A21915" i="1"/>
  <c r="E21915" i="1"/>
  <c r="F21915" i="1"/>
  <c r="B21916" i="1"/>
  <c r="A21916" i="1"/>
  <c r="E21916" i="1"/>
  <c r="F21916" i="1"/>
  <c r="B21917" i="1"/>
  <c r="A21917" i="1"/>
  <c r="E21917" i="1"/>
  <c r="F21917" i="1"/>
  <c r="B21918" i="1"/>
  <c r="A21918" i="1"/>
  <c r="E21918" i="1"/>
  <c r="F21918" i="1"/>
  <c r="B21919" i="1"/>
  <c r="A21919" i="1"/>
  <c r="E21919" i="1"/>
  <c r="F21919" i="1"/>
  <c r="B21920" i="1"/>
  <c r="A21920" i="1"/>
  <c r="E21920" i="1"/>
  <c r="F21920" i="1"/>
  <c r="B21921" i="1"/>
  <c r="A21921" i="1"/>
  <c r="E21921" i="1"/>
  <c r="F21921" i="1"/>
  <c r="B21922" i="1"/>
  <c r="A21922" i="1"/>
  <c r="E21922" i="1"/>
  <c r="F21922" i="1"/>
  <c r="B21923" i="1"/>
  <c r="A21923" i="1"/>
  <c r="E21923" i="1"/>
  <c r="F21923" i="1"/>
  <c r="B21924" i="1"/>
  <c r="A21924" i="1"/>
  <c r="E21924" i="1"/>
  <c r="F21924" i="1"/>
  <c r="B21925" i="1"/>
  <c r="A21925" i="1"/>
  <c r="E21925" i="1"/>
  <c r="F21925" i="1"/>
  <c r="B21926" i="1"/>
  <c r="A21926" i="1"/>
  <c r="E21926" i="1"/>
  <c r="F21926" i="1"/>
  <c r="B21927" i="1"/>
  <c r="A21927" i="1"/>
  <c r="E21927" i="1"/>
  <c r="F21927" i="1"/>
  <c r="B21928" i="1"/>
  <c r="A21928" i="1"/>
  <c r="E21928" i="1"/>
  <c r="F21928" i="1"/>
  <c r="B21929" i="1"/>
  <c r="A21929" i="1"/>
  <c r="E21929" i="1"/>
  <c r="F21929" i="1"/>
  <c r="B21930" i="1"/>
  <c r="A21930" i="1"/>
  <c r="E21930" i="1"/>
  <c r="F21930" i="1"/>
  <c r="B21931" i="1"/>
  <c r="A21931" i="1"/>
  <c r="E21931" i="1"/>
  <c r="F21931" i="1"/>
  <c r="B21932" i="1"/>
  <c r="A21932" i="1"/>
  <c r="E21932" i="1"/>
  <c r="F21932" i="1"/>
  <c r="B21933" i="1"/>
  <c r="A21933" i="1"/>
  <c r="E21933" i="1"/>
  <c r="F21933" i="1"/>
  <c r="B21934" i="1"/>
  <c r="A21934" i="1"/>
  <c r="E21934" i="1"/>
  <c r="F21934" i="1"/>
  <c r="B21935" i="1"/>
  <c r="A21935" i="1"/>
  <c r="E21935" i="1"/>
  <c r="F21935" i="1"/>
  <c r="B21936" i="1"/>
  <c r="A21936" i="1"/>
  <c r="E21936" i="1"/>
  <c r="F21936" i="1"/>
  <c r="B21937" i="1"/>
  <c r="A21937" i="1"/>
  <c r="E21937" i="1"/>
  <c r="F21937" i="1"/>
  <c r="B21938" i="1"/>
  <c r="A21938" i="1"/>
  <c r="E21938" i="1"/>
  <c r="F21938" i="1"/>
  <c r="B21939" i="1"/>
  <c r="A21939" i="1"/>
  <c r="E21939" i="1"/>
  <c r="F21939" i="1"/>
  <c r="B21940" i="1"/>
  <c r="A21940" i="1"/>
  <c r="E21940" i="1"/>
  <c r="F21940" i="1"/>
  <c r="B21941" i="1"/>
  <c r="A21941" i="1"/>
  <c r="E21941" i="1"/>
  <c r="F21941" i="1"/>
  <c r="B21942" i="1"/>
  <c r="A21942" i="1"/>
  <c r="E21942" i="1"/>
  <c r="F21942" i="1"/>
  <c r="B21943" i="1"/>
  <c r="A21943" i="1"/>
  <c r="E21943" i="1"/>
  <c r="F21943" i="1"/>
  <c r="B21944" i="1"/>
  <c r="A21944" i="1"/>
  <c r="E21944" i="1"/>
  <c r="F21944" i="1"/>
  <c r="B21945" i="1"/>
  <c r="A21945" i="1"/>
  <c r="E21945" i="1"/>
  <c r="F21945" i="1"/>
  <c r="B21946" i="1"/>
  <c r="A21946" i="1"/>
  <c r="E21946" i="1"/>
  <c r="F21946" i="1"/>
  <c r="B21947" i="1"/>
  <c r="A21947" i="1"/>
  <c r="E21947" i="1"/>
  <c r="F21947" i="1"/>
  <c r="B21948" i="1"/>
  <c r="A21948" i="1"/>
  <c r="E21948" i="1"/>
  <c r="F21948" i="1"/>
  <c r="B21949" i="1"/>
  <c r="A21949" i="1"/>
  <c r="E21949" i="1"/>
  <c r="F21949" i="1"/>
  <c r="B21950" i="1"/>
  <c r="A21950" i="1"/>
  <c r="E21950" i="1"/>
  <c r="F21950" i="1"/>
  <c r="B21951" i="1"/>
  <c r="A21951" i="1"/>
  <c r="E21951" i="1"/>
  <c r="F21951" i="1"/>
  <c r="B21952" i="1"/>
  <c r="A21952" i="1"/>
  <c r="E21952" i="1"/>
  <c r="F21952" i="1"/>
  <c r="B21953" i="1"/>
  <c r="A21953" i="1"/>
  <c r="E21953" i="1"/>
  <c r="F21953" i="1"/>
  <c r="B21954" i="1"/>
  <c r="A21954" i="1"/>
  <c r="E21954" i="1"/>
  <c r="F21954" i="1"/>
  <c r="B21955" i="1"/>
  <c r="A21955" i="1"/>
  <c r="E21955" i="1"/>
  <c r="F21955" i="1"/>
  <c r="B21956" i="1"/>
  <c r="A21956" i="1"/>
  <c r="E21956" i="1"/>
  <c r="F21956" i="1"/>
  <c r="B21957" i="1"/>
  <c r="A21957" i="1"/>
  <c r="E21957" i="1"/>
  <c r="F21957" i="1"/>
  <c r="B21958" i="1"/>
  <c r="A21958" i="1"/>
  <c r="E21958" i="1"/>
  <c r="F21958" i="1"/>
  <c r="B21959" i="1"/>
  <c r="A21959" i="1"/>
  <c r="E21959" i="1"/>
  <c r="F21959" i="1"/>
  <c r="B21960" i="1"/>
  <c r="A21960" i="1"/>
  <c r="E21960" i="1"/>
  <c r="F21960" i="1"/>
  <c r="B21961" i="1"/>
  <c r="A21961" i="1"/>
  <c r="E21961" i="1"/>
  <c r="F21961" i="1"/>
  <c r="B21962" i="1"/>
  <c r="A21962" i="1"/>
  <c r="E21962" i="1"/>
  <c r="F21962" i="1"/>
  <c r="B21963" i="1"/>
  <c r="A21963" i="1"/>
  <c r="E21963" i="1"/>
  <c r="F21963" i="1"/>
  <c r="B21964" i="1"/>
  <c r="A21964" i="1"/>
  <c r="E21964" i="1"/>
  <c r="F21964" i="1"/>
  <c r="B21965" i="1"/>
  <c r="A21965" i="1"/>
  <c r="E21965" i="1"/>
  <c r="F21965" i="1"/>
  <c r="B21966" i="1"/>
  <c r="A21966" i="1"/>
  <c r="E21966" i="1"/>
  <c r="F21966" i="1"/>
  <c r="B21967" i="1"/>
  <c r="A21967" i="1"/>
  <c r="E21967" i="1"/>
  <c r="F21967" i="1"/>
  <c r="B21968" i="1"/>
  <c r="A21968" i="1"/>
  <c r="E21968" i="1"/>
  <c r="F21968" i="1"/>
  <c r="B21969" i="1"/>
  <c r="A21969" i="1"/>
  <c r="E21969" i="1"/>
  <c r="F21969" i="1"/>
  <c r="B21970" i="1"/>
  <c r="A21970" i="1"/>
  <c r="E21970" i="1"/>
  <c r="F21970" i="1"/>
  <c r="B21971" i="1"/>
  <c r="A21971" i="1"/>
  <c r="E21971" i="1"/>
  <c r="F21971" i="1"/>
  <c r="B21972" i="1"/>
  <c r="A21972" i="1"/>
  <c r="E21972" i="1"/>
  <c r="F21972" i="1"/>
  <c r="B21973" i="1"/>
  <c r="A21973" i="1"/>
  <c r="E21973" i="1"/>
  <c r="F21973" i="1"/>
  <c r="B21974" i="1"/>
  <c r="A21974" i="1"/>
  <c r="E21974" i="1"/>
  <c r="F21974" i="1"/>
  <c r="B21975" i="1"/>
  <c r="A21975" i="1"/>
  <c r="E21975" i="1"/>
  <c r="F21975" i="1"/>
  <c r="B21976" i="1"/>
  <c r="A21976" i="1"/>
  <c r="E21976" i="1"/>
  <c r="F21976" i="1"/>
  <c r="B21977" i="1"/>
  <c r="A21977" i="1"/>
  <c r="E21977" i="1"/>
  <c r="F21977" i="1"/>
  <c r="B21978" i="1"/>
  <c r="A21978" i="1"/>
  <c r="E21978" i="1"/>
  <c r="F21978" i="1"/>
  <c r="B21979" i="1"/>
  <c r="A21979" i="1"/>
  <c r="E21979" i="1"/>
  <c r="F21979" i="1"/>
  <c r="B21980" i="1"/>
  <c r="A21980" i="1"/>
  <c r="E21980" i="1"/>
  <c r="F21980" i="1"/>
  <c r="B21981" i="1"/>
  <c r="A21981" i="1"/>
  <c r="E21981" i="1"/>
  <c r="F21981" i="1"/>
  <c r="B21982" i="1"/>
  <c r="A21982" i="1"/>
  <c r="E21982" i="1"/>
  <c r="F21982" i="1"/>
  <c r="B21983" i="1"/>
  <c r="A21983" i="1"/>
  <c r="E21983" i="1"/>
  <c r="F21983" i="1"/>
  <c r="B21984" i="1"/>
  <c r="A21984" i="1"/>
  <c r="E21984" i="1"/>
  <c r="F21984" i="1"/>
  <c r="B21985" i="1"/>
  <c r="A21985" i="1"/>
  <c r="E21985" i="1"/>
  <c r="F21985" i="1"/>
  <c r="B21986" i="1"/>
  <c r="A21986" i="1"/>
  <c r="E21986" i="1"/>
  <c r="F21986" i="1"/>
  <c r="B21987" i="1"/>
  <c r="A21987" i="1"/>
  <c r="E21987" i="1"/>
  <c r="F21987" i="1"/>
  <c r="B21988" i="1"/>
  <c r="A21988" i="1"/>
  <c r="E21988" i="1"/>
  <c r="F21988" i="1"/>
  <c r="B21989" i="1"/>
  <c r="A21989" i="1"/>
  <c r="E21989" i="1"/>
  <c r="F21989" i="1"/>
  <c r="B21990" i="1"/>
  <c r="A21990" i="1"/>
  <c r="E21990" i="1"/>
  <c r="F21990" i="1"/>
  <c r="B21991" i="1"/>
  <c r="A21991" i="1"/>
  <c r="E21991" i="1"/>
  <c r="F21991" i="1"/>
  <c r="B21992" i="1"/>
  <c r="A21992" i="1"/>
  <c r="E21992" i="1"/>
  <c r="F21992" i="1"/>
  <c r="B21993" i="1"/>
  <c r="A21993" i="1"/>
  <c r="E21993" i="1"/>
  <c r="F21993" i="1"/>
  <c r="B21994" i="1"/>
  <c r="A21994" i="1"/>
  <c r="E21994" i="1"/>
  <c r="F21994" i="1"/>
  <c r="B21995" i="1"/>
  <c r="A21995" i="1"/>
  <c r="E21995" i="1"/>
  <c r="F21995" i="1"/>
  <c r="B21996" i="1"/>
  <c r="A21996" i="1"/>
  <c r="E21996" i="1"/>
  <c r="F21996" i="1"/>
  <c r="B21997" i="1"/>
  <c r="A21997" i="1"/>
  <c r="E21997" i="1"/>
  <c r="F21997" i="1"/>
  <c r="B21998" i="1"/>
  <c r="A21998" i="1"/>
  <c r="E21998" i="1"/>
  <c r="F21998" i="1"/>
  <c r="B21999" i="1"/>
  <c r="A21999" i="1"/>
  <c r="E21999" i="1"/>
  <c r="F21999" i="1"/>
  <c r="B22000" i="1"/>
  <c r="A22000" i="1"/>
  <c r="E22000" i="1"/>
  <c r="F22000" i="1"/>
  <c r="B22001" i="1"/>
  <c r="A22001" i="1"/>
  <c r="E22001" i="1"/>
  <c r="F22001" i="1"/>
  <c r="B22002" i="1"/>
  <c r="A22002" i="1"/>
  <c r="E22002" i="1"/>
  <c r="F22002" i="1"/>
  <c r="B22003" i="1"/>
  <c r="A22003" i="1"/>
  <c r="E22003" i="1"/>
  <c r="F22003" i="1"/>
  <c r="B22004" i="1"/>
  <c r="A22004" i="1"/>
  <c r="E22004" i="1"/>
  <c r="F22004" i="1"/>
  <c r="B22005" i="1"/>
  <c r="A22005" i="1"/>
  <c r="E22005" i="1"/>
  <c r="F22005" i="1"/>
  <c r="B22006" i="1"/>
  <c r="A22006" i="1"/>
  <c r="E22006" i="1"/>
  <c r="F22006" i="1"/>
  <c r="B22007" i="1"/>
  <c r="A22007" i="1"/>
  <c r="E22007" i="1"/>
  <c r="F22007" i="1"/>
  <c r="B22008" i="1"/>
  <c r="A22008" i="1"/>
  <c r="E22008" i="1"/>
  <c r="F22008" i="1"/>
  <c r="B22009" i="1"/>
  <c r="A22009" i="1"/>
  <c r="E22009" i="1"/>
  <c r="F22009" i="1"/>
  <c r="B22010" i="1"/>
  <c r="A22010" i="1"/>
  <c r="E22010" i="1"/>
  <c r="F22010" i="1"/>
  <c r="B22011" i="1"/>
  <c r="A22011" i="1"/>
  <c r="E22011" i="1"/>
  <c r="F22011" i="1"/>
  <c r="B22012" i="1"/>
  <c r="A22012" i="1"/>
  <c r="E22012" i="1"/>
  <c r="F22012" i="1"/>
  <c r="B22013" i="1"/>
  <c r="A22013" i="1"/>
  <c r="E22013" i="1"/>
  <c r="F22013" i="1"/>
  <c r="B22014" i="1"/>
  <c r="A22014" i="1"/>
  <c r="E22014" i="1"/>
  <c r="F22014" i="1"/>
  <c r="B22015" i="1"/>
  <c r="A22015" i="1"/>
  <c r="E22015" i="1"/>
  <c r="F22015" i="1"/>
  <c r="B22016" i="1"/>
  <c r="A22016" i="1"/>
  <c r="E22016" i="1"/>
  <c r="F22016" i="1"/>
  <c r="B22017" i="1"/>
  <c r="A22017" i="1"/>
  <c r="E22017" i="1"/>
  <c r="F22017" i="1"/>
  <c r="B22018" i="1"/>
  <c r="A22018" i="1"/>
  <c r="E22018" i="1"/>
  <c r="F22018" i="1"/>
  <c r="B22019" i="1"/>
  <c r="A22019" i="1"/>
  <c r="E22019" i="1"/>
  <c r="F22019" i="1"/>
  <c r="B22020" i="1"/>
  <c r="A22020" i="1"/>
  <c r="E22020" i="1"/>
  <c r="F22020" i="1"/>
  <c r="B22021" i="1"/>
  <c r="A22021" i="1"/>
  <c r="E22021" i="1"/>
  <c r="F22021" i="1"/>
  <c r="B22022" i="1"/>
  <c r="A22022" i="1"/>
  <c r="E22022" i="1"/>
  <c r="F22022" i="1"/>
  <c r="B22023" i="1"/>
  <c r="A22023" i="1"/>
  <c r="E22023" i="1"/>
  <c r="F22023" i="1"/>
  <c r="B22024" i="1"/>
  <c r="A22024" i="1"/>
  <c r="E22024" i="1"/>
  <c r="F22024" i="1"/>
  <c r="B22025" i="1"/>
  <c r="A22025" i="1"/>
  <c r="E22025" i="1"/>
  <c r="F22025" i="1"/>
  <c r="B22026" i="1"/>
  <c r="A22026" i="1"/>
  <c r="E22026" i="1"/>
  <c r="F22026" i="1"/>
  <c r="B22027" i="1"/>
  <c r="A22027" i="1"/>
  <c r="E22027" i="1"/>
  <c r="F22027" i="1"/>
  <c r="B22028" i="1"/>
  <c r="A22028" i="1"/>
  <c r="E22028" i="1"/>
  <c r="F22028" i="1"/>
  <c r="B22029" i="1"/>
  <c r="A22029" i="1"/>
  <c r="E22029" i="1"/>
  <c r="F22029" i="1"/>
  <c r="B22030" i="1"/>
  <c r="A22030" i="1"/>
  <c r="E22030" i="1"/>
  <c r="F22030" i="1"/>
  <c r="B22031" i="1"/>
  <c r="A22031" i="1"/>
  <c r="E22031" i="1"/>
  <c r="F22031" i="1"/>
  <c r="B22032" i="1"/>
  <c r="A22032" i="1"/>
  <c r="E22032" i="1"/>
  <c r="F22032" i="1"/>
  <c r="B22033" i="1"/>
  <c r="A22033" i="1"/>
  <c r="E22033" i="1"/>
  <c r="F22033" i="1"/>
  <c r="B22034" i="1"/>
  <c r="A22034" i="1"/>
  <c r="E22034" i="1"/>
  <c r="F22034" i="1"/>
  <c r="B22035" i="1"/>
  <c r="A22035" i="1"/>
  <c r="E22035" i="1"/>
  <c r="F22035" i="1"/>
  <c r="B22036" i="1"/>
  <c r="A22036" i="1"/>
  <c r="E22036" i="1"/>
  <c r="F22036" i="1"/>
  <c r="B22037" i="1"/>
  <c r="A22037" i="1"/>
  <c r="E22037" i="1"/>
  <c r="F22037" i="1"/>
  <c r="B22038" i="1"/>
  <c r="A22038" i="1"/>
  <c r="E22038" i="1"/>
  <c r="F22038" i="1"/>
  <c r="B22039" i="1"/>
  <c r="A22039" i="1"/>
  <c r="E22039" i="1"/>
  <c r="F22039" i="1"/>
  <c r="B22040" i="1"/>
  <c r="A22040" i="1"/>
  <c r="E22040" i="1"/>
  <c r="F22040" i="1"/>
  <c r="B22041" i="1"/>
  <c r="A22041" i="1"/>
  <c r="E22041" i="1"/>
  <c r="F22041" i="1"/>
  <c r="B22042" i="1"/>
  <c r="A22042" i="1"/>
  <c r="E22042" i="1"/>
  <c r="F22042" i="1"/>
  <c r="B22043" i="1"/>
  <c r="A22043" i="1"/>
  <c r="E22043" i="1"/>
  <c r="F22043" i="1"/>
  <c r="B22044" i="1"/>
  <c r="A22044" i="1"/>
  <c r="E22044" i="1"/>
  <c r="F22044" i="1"/>
  <c r="B22045" i="1"/>
  <c r="A22045" i="1"/>
  <c r="E22045" i="1"/>
  <c r="F22045" i="1"/>
  <c r="B22046" i="1"/>
  <c r="A22046" i="1"/>
  <c r="E22046" i="1"/>
  <c r="F22046" i="1"/>
  <c r="B22047" i="1"/>
  <c r="A22047" i="1"/>
  <c r="E22047" i="1"/>
  <c r="F22047" i="1"/>
  <c r="B22048" i="1"/>
  <c r="A22048" i="1"/>
  <c r="E22048" i="1"/>
  <c r="F22048" i="1"/>
  <c r="B22049" i="1"/>
  <c r="A22049" i="1"/>
  <c r="E22049" i="1"/>
  <c r="F22049" i="1"/>
  <c r="B22050" i="1"/>
  <c r="A22050" i="1"/>
  <c r="E22050" i="1"/>
  <c r="F22050" i="1"/>
  <c r="B22051" i="1"/>
  <c r="A22051" i="1"/>
  <c r="E22051" i="1"/>
  <c r="F22051" i="1"/>
  <c r="B22052" i="1"/>
  <c r="A22052" i="1"/>
  <c r="E22052" i="1"/>
  <c r="F22052" i="1"/>
  <c r="B22053" i="1"/>
  <c r="A22053" i="1"/>
  <c r="E22053" i="1"/>
  <c r="F22053" i="1"/>
  <c r="B22054" i="1"/>
  <c r="A22054" i="1"/>
  <c r="E22054" i="1"/>
  <c r="F22054" i="1"/>
  <c r="B22055" i="1"/>
  <c r="A22055" i="1"/>
  <c r="E22055" i="1"/>
  <c r="F22055" i="1"/>
  <c r="B22056" i="1"/>
  <c r="A22056" i="1"/>
  <c r="E22056" i="1"/>
  <c r="F22056" i="1"/>
  <c r="B22057" i="1"/>
  <c r="A22057" i="1"/>
  <c r="E22057" i="1"/>
  <c r="F22057" i="1"/>
  <c r="B22058" i="1"/>
  <c r="A22058" i="1"/>
  <c r="E22058" i="1"/>
  <c r="F22058" i="1"/>
  <c r="B22059" i="1"/>
  <c r="A22059" i="1"/>
  <c r="E22059" i="1"/>
  <c r="F22059" i="1"/>
  <c r="B22060" i="1"/>
  <c r="A22060" i="1"/>
  <c r="E22060" i="1"/>
  <c r="F22060" i="1"/>
  <c r="B22061" i="1"/>
  <c r="A22061" i="1"/>
  <c r="E22061" i="1"/>
  <c r="F22061" i="1"/>
  <c r="B22062" i="1"/>
  <c r="A22062" i="1"/>
  <c r="E22062" i="1"/>
  <c r="F22062" i="1"/>
  <c r="B22063" i="1"/>
  <c r="A22063" i="1"/>
  <c r="E22063" i="1"/>
  <c r="F22063" i="1"/>
  <c r="B22064" i="1"/>
  <c r="A22064" i="1"/>
  <c r="E22064" i="1"/>
  <c r="F22064" i="1"/>
  <c r="B22065" i="1"/>
  <c r="A22065" i="1"/>
  <c r="E22065" i="1"/>
  <c r="F22065" i="1"/>
  <c r="B22066" i="1"/>
  <c r="A22066" i="1"/>
  <c r="E22066" i="1"/>
  <c r="F22066" i="1"/>
  <c r="B22067" i="1"/>
  <c r="A22067" i="1"/>
  <c r="E22067" i="1"/>
  <c r="F22067" i="1"/>
  <c r="B22068" i="1"/>
  <c r="A22068" i="1"/>
  <c r="E22068" i="1"/>
  <c r="F22068" i="1"/>
  <c r="B22069" i="1"/>
  <c r="A22069" i="1"/>
  <c r="E22069" i="1"/>
  <c r="F22069" i="1"/>
  <c r="B22070" i="1"/>
  <c r="A22070" i="1"/>
  <c r="E22070" i="1"/>
  <c r="F22070" i="1"/>
  <c r="B22071" i="1"/>
  <c r="A22071" i="1"/>
  <c r="E22071" i="1"/>
  <c r="F22071" i="1"/>
  <c r="B22072" i="1"/>
  <c r="A22072" i="1"/>
  <c r="E22072" i="1"/>
  <c r="F22072" i="1"/>
  <c r="B22073" i="1"/>
  <c r="A22073" i="1"/>
  <c r="E22073" i="1"/>
  <c r="F22073" i="1"/>
  <c r="B22074" i="1"/>
  <c r="A22074" i="1"/>
  <c r="E22074" i="1"/>
  <c r="F22074" i="1"/>
  <c r="B22075" i="1"/>
  <c r="A22075" i="1"/>
  <c r="E22075" i="1"/>
  <c r="F22075" i="1"/>
  <c r="B22076" i="1"/>
  <c r="A22076" i="1"/>
  <c r="E22076" i="1"/>
  <c r="F22076" i="1"/>
  <c r="B22077" i="1"/>
  <c r="A22077" i="1"/>
  <c r="E22077" i="1"/>
  <c r="F22077" i="1"/>
  <c r="B22078" i="1"/>
  <c r="A22078" i="1"/>
  <c r="E22078" i="1"/>
  <c r="F22078" i="1"/>
  <c r="B22079" i="1"/>
  <c r="A22079" i="1"/>
  <c r="E22079" i="1"/>
  <c r="F22079" i="1"/>
  <c r="B22080" i="1"/>
  <c r="A22080" i="1"/>
  <c r="E22080" i="1"/>
  <c r="F22080" i="1"/>
  <c r="B22081" i="1"/>
  <c r="A22081" i="1"/>
  <c r="E22081" i="1"/>
  <c r="F22081" i="1"/>
  <c r="B22082" i="1"/>
  <c r="A22082" i="1"/>
  <c r="E22082" i="1"/>
  <c r="F22082" i="1"/>
  <c r="B22083" i="1"/>
  <c r="A22083" i="1"/>
  <c r="E22083" i="1"/>
  <c r="F22083" i="1"/>
  <c r="B22084" i="1"/>
  <c r="A22084" i="1"/>
  <c r="E22084" i="1"/>
  <c r="F22084" i="1"/>
  <c r="B22085" i="1"/>
  <c r="A22085" i="1"/>
  <c r="E22085" i="1"/>
  <c r="F22085" i="1"/>
  <c r="B22086" i="1"/>
  <c r="A22086" i="1"/>
  <c r="E22086" i="1"/>
  <c r="F22086" i="1"/>
  <c r="B22087" i="1"/>
  <c r="A22087" i="1"/>
  <c r="E22087" i="1"/>
  <c r="F22087" i="1"/>
  <c r="B22088" i="1"/>
  <c r="A22088" i="1"/>
  <c r="E22088" i="1"/>
  <c r="F22088" i="1"/>
  <c r="B22089" i="1"/>
  <c r="A22089" i="1"/>
  <c r="E22089" i="1"/>
  <c r="F22089" i="1"/>
  <c r="B22090" i="1"/>
  <c r="A22090" i="1"/>
  <c r="E22090" i="1"/>
  <c r="F22090" i="1"/>
  <c r="B22091" i="1"/>
  <c r="A22091" i="1"/>
  <c r="E22091" i="1"/>
  <c r="F22091" i="1"/>
  <c r="B22092" i="1"/>
  <c r="A22092" i="1"/>
  <c r="E22092" i="1"/>
  <c r="F22092" i="1"/>
  <c r="B22093" i="1"/>
  <c r="A22093" i="1"/>
  <c r="E22093" i="1"/>
  <c r="F22093" i="1"/>
  <c r="B22094" i="1"/>
  <c r="A22094" i="1"/>
  <c r="E22094" i="1"/>
  <c r="F22094" i="1"/>
  <c r="B22095" i="1"/>
  <c r="A22095" i="1"/>
  <c r="E22095" i="1"/>
  <c r="F22095" i="1"/>
  <c r="B22096" i="1"/>
  <c r="A22096" i="1"/>
  <c r="E22096" i="1"/>
  <c r="F22096" i="1"/>
  <c r="B22097" i="1"/>
  <c r="A22097" i="1"/>
  <c r="E22097" i="1"/>
  <c r="F22097" i="1"/>
  <c r="B22098" i="1"/>
  <c r="A22098" i="1"/>
  <c r="E22098" i="1"/>
  <c r="F22098" i="1"/>
  <c r="B22099" i="1"/>
  <c r="A22099" i="1"/>
  <c r="E22099" i="1"/>
  <c r="F22099" i="1"/>
  <c r="B22100" i="1"/>
  <c r="A22100" i="1"/>
  <c r="E22100" i="1"/>
  <c r="F22100" i="1"/>
  <c r="B22101" i="1"/>
  <c r="A22101" i="1"/>
  <c r="E22101" i="1"/>
  <c r="F22101" i="1"/>
  <c r="B22102" i="1"/>
  <c r="A22102" i="1"/>
  <c r="E22102" i="1"/>
  <c r="F22102" i="1"/>
  <c r="B22103" i="1"/>
  <c r="A22103" i="1"/>
  <c r="E22103" i="1"/>
  <c r="F22103" i="1"/>
  <c r="B22104" i="1"/>
  <c r="A22104" i="1"/>
  <c r="E22104" i="1"/>
  <c r="F22104" i="1"/>
  <c r="B22105" i="1"/>
  <c r="A22105" i="1"/>
  <c r="E22105" i="1"/>
  <c r="F22105" i="1"/>
  <c r="B22106" i="1"/>
  <c r="A22106" i="1"/>
  <c r="E22106" i="1"/>
  <c r="F22106" i="1"/>
  <c r="B22107" i="1"/>
  <c r="A22107" i="1"/>
  <c r="E22107" i="1"/>
  <c r="F22107" i="1"/>
  <c r="B22108" i="1"/>
  <c r="A22108" i="1"/>
  <c r="E22108" i="1"/>
  <c r="F22108" i="1"/>
  <c r="B22109" i="1"/>
  <c r="A22109" i="1"/>
  <c r="E22109" i="1"/>
  <c r="F22109" i="1"/>
  <c r="B22110" i="1"/>
  <c r="A22110" i="1"/>
  <c r="E22110" i="1"/>
  <c r="F22110" i="1"/>
  <c r="B22111" i="1"/>
  <c r="A22111" i="1"/>
  <c r="E22111" i="1"/>
  <c r="F22111" i="1"/>
  <c r="B22112" i="1"/>
  <c r="A22112" i="1"/>
  <c r="E22112" i="1"/>
  <c r="F22112" i="1"/>
  <c r="B22113" i="1"/>
  <c r="A22113" i="1"/>
  <c r="E22113" i="1"/>
  <c r="F22113" i="1"/>
  <c r="B22114" i="1"/>
  <c r="A22114" i="1"/>
  <c r="E22114" i="1"/>
  <c r="F22114" i="1"/>
  <c r="B22115" i="1"/>
  <c r="A22115" i="1"/>
  <c r="E22115" i="1"/>
  <c r="F22115" i="1"/>
  <c r="B22116" i="1"/>
  <c r="A22116" i="1"/>
  <c r="E22116" i="1"/>
  <c r="F22116" i="1"/>
  <c r="B22117" i="1"/>
  <c r="A22117" i="1"/>
  <c r="E22117" i="1"/>
  <c r="F22117" i="1"/>
  <c r="B22118" i="1"/>
  <c r="A22118" i="1"/>
  <c r="E22118" i="1"/>
  <c r="F22118" i="1"/>
  <c r="B22119" i="1"/>
  <c r="A22119" i="1"/>
  <c r="E22119" i="1"/>
  <c r="F22119" i="1"/>
  <c r="B22120" i="1"/>
  <c r="A22120" i="1"/>
  <c r="E22120" i="1"/>
  <c r="F22120" i="1"/>
  <c r="B22121" i="1"/>
  <c r="A22121" i="1"/>
  <c r="E22121" i="1"/>
  <c r="F22121" i="1"/>
  <c r="B22122" i="1"/>
  <c r="A22122" i="1"/>
  <c r="E22122" i="1"/>
  <c r="F22122" i="1"/>
  <c r="B22123" i="1"/>
  <c r="A22123" i="1"/>
  <c r="E22123" i="1"/>
  <c r="F22123" i="1"/>
  <c r="B22124" i="1"/>
  <c r="A22124" i="1"/>
  <c r="E22124" i="1"/>
  <c r="F22124" i="1"/>
  <c r="B22125" i="1"/>
  <c r="A22125" i="1"/>
  <c r="E22125" i="1"/>
  <c r="F22125" i="1"/>
  <c r="B22126" i="1"/>
  <c r="A22126" i="1"/>
  <c r="E22126" i="1"/>
  <c r="F22126" i="1"/>
  <c r="B22127" i="1"/>
  <c r="A22127" i="1"/>
  <c r="E22127" i="1"/>
  <c r="F22127" i="1"/>
  <c r="B22128" i="1"/>
  <c r="A22128" i="1"/>
  <c r="E22128" i="1"/>
  <c r="F22128" i="1"/>
  <c r="B22129" i="1"/>
  <c r="A22129" i="1"/>
  <c r="E22129" i="1"/>
  <c r="F22129" i="1"/>
  <c r="B22130" i="1"/>
  <c r="A22130" i="1"/>
  <c r="E22130" i="1"/>
  <c r="F22130" i="1"/>
  <c r="B22131" i="1"/>
  <c r="A22131" i="1"/>
  <c r="E22131" i="1"/>
  <c r="F22131" i="1"/>
  <c r="B22132" i="1"/>
  <c r="A22132" i="1"/>
  <c r="E22132" i="1"/>
  <c r="F22132" i="1"/>
  <c r="B22133" i="1"/>
  <c r="A22133" i="1"/>
  <c r="E22133" i="1"/>
  <c r="F22133" i="1"/>
  <c r="B22134" i="1"/>
  <c r="A22134" i="1"/>
  <c r="E22134" i="1"/>
  <c r="F22134" i="1"/>
  <c r="B22135" i="1"/>
  <c r="A22135" i="1"/>
  <c r="E22135" i="1"/>
  <c r="F22135" i="1"/>
  <c r="B22136" i="1"/>
  <c r="A22136" i="1"/>
  <c r="E22136" i="1"/>
  <c r="F22136" i="1"/>
  <c r="B22137" i="1"/>
  <c r="A22137" i="1"/>
  <c r="E22137" i="1"/>
  <c r="F22137" i="1"/>
  <c r="B22138" i="1"/>
  <c r="A22138" i="1"/>
  <c r="E22138" i="1"/>
  <c r="F22138" i="1"/>
  <c r="B22139" i="1"/>
  <c r="A22139" i="1"/>
  <c r="E22139" i="1"/>
  <c r="F22139" i="1"/>
  <c r="B22140" i="1"/>
  <c r="A22140" i="1"/>
  <c r="E22140" i="1"/>
  <c r="F22140" i="1"/>
  <c r="B22141" i="1"/>
  <c r="A22141" i="1"/>
  <c r="E22141" i="1"/>
  <c r="F22141" i="1"/>
  <c r="B22142" i="1"/>
  <c r="A22142" i="1"/>
  <c r="E22142" i="1"/>
  <c r="F22142" i="1"/>
  <c r="B22143" i="1"/>
  <c r="A22143" i="1"/>
  <c r="E22143" i="1"/>
  <c r="F22143" i="1"/>
  <c r="B22144" i="1"/>
  <c r="A22144" i="1"/>
  <c r="E22144" i="1"/>
  <c r="F22144" i="1"/>
  <c r="B22145" i="1"/>
  <c r="A22145" i="1"/>
  <c r="E22145" i="1"/>
  <c r="F22145" i="1"/>
  <c r="B22146" i="1"/>
  <c r="A22146" i="1"/>
  <c r="E22146" i="1"/>
  <c r="F22146" i="1"/>
  <c r="B22147" i="1"/>
  <c r="A22147" i="1"/>
  <c r="E22147" i="1"/>
  <c r="F22147" i="1"/>
  <c r="B22148" i="1"/>
  <c r="A22148" i="1"/>
  <c r="E22148" i="1"/>
  <c r="F22148" i="1"/>
  <c r="B22149" i="1"/>
  <c r="A22149" i="1"/>
  <c r="E22149" i="1"/>
  <c r="F22149" i="1"/>
  <c r="B22150" i="1"/>
  <c r="A22150" i="1"/>
  <c r="E22150" i="1"/>
  <c r="F22150" i="1"/>
  <c r="B22151" i="1"/>
  <c r="A22151" i="1"/>
  <c r="E22151" i="1"/>
  <c r="F22151" i="1"/>
  <c r="B22152" i="1"/>
  <c r="A22152" i="1"/>
  <c r="E22152" i="1"/>
  <c r="F22152" i="1"/>
  <c r="B22153" i="1"/>
  <c r="A22153" i="1"/>
  <c r="E22153" i="1"/>
  <c r="F22153" i="1"/>
  <c r="B22154" i="1"/>
  <c r="A22154" i="1"/>
  <c r="E22154" i="1"/>
  <c r="F22154" i="1"/>
  <c r="B22155" i="1"/>
  <c r="A22155" i="1"/>
  <c r="E22155" i="1"/>
  <c r="F22155" i="1"/>
  <c r="B22156" i="1"/>
  <c r="A22156" i="1"/>
  <c r="E22156" i="1"/>
  <c r="F22156" i="1"/>
  <c r="B22157" i="1"/>
  <c r="A22157" i="1"/>
  <c r="E22157" i="1"/>
  <c r="F22157" i="1"/>
  <c r="B22158" i="1"/>
  <c r="A22158" i="1"/>
  <c r="E22158" i="1"/>
  <c r="F22158" i="1"/>
  <c r="B22159" i="1"/>
  <c r="A22159" i="1"/>
  <c r="E22159" i="1"/>
  <c r="F22159" i="1"/>
  <c r="B22160" i="1"/>
  <c r="A22160" i="1"/>
  <c r="E22160" i="1"/>
  <c r="F22160" i="1"/>
  <c r="B22161" i="1"/>
  <c r="A22161" i="1"/>
  <c r="E22161" i="1"/>
  <c r="F22161" i="1"/>
  <c r="B22162" i="1"/>
  <c r="A22162" i="1"/>
  <c r="E22162" i="1"/>
  <c r="F22162" i="1"/>
  <c r="B22163" i="1"/>
  <c r="A22163" i="1"/>
  <c r="E22163" i="1"/>
  <c r="F22163" i="1"/>
  <c r="B22164" i="1"/>
  <c r="A22164" i="1"/>
  <c r="E22164" i="1"/>
  <c r="F22164" i="1"/>
  <c r="B22165" i="1"/>
  <c r="A22165" i="1"/>
  <c r="E22165" i="1"/>
  <c r="F22165" i="1"/>
  <c r="B22166" i="1"/>
  <c r="A22166" i="1"/>
  <c r="E22166" i="1"/>
  <c r="F22166" i="1"/>
  <c r="B22167" i="1"/>
  <c r="A22167" i="1"/>
  <c r="E22167" i="1"/>
  <c r="F22167" i="1"/>
  <c r="B22168" i="1"/>
  <c r="A22168" i="1"/>
  <c r="E22168" i="1"/>
  <c r="F22168" i="1"/>
  <c r="B22169" i="1"/>
  <c r="A22169" i="1"/>
  <c r="E22169" i="1"/>
  <c r="F22169" i="1"/>
  <c r="B22170" i="1"/>
  <c r="A22170" i="1"/>
  <c r="E22170" i="1"/>
  <c r="F22170" i="1"/>
  <c r="B22171" i="1"/>
  <c r="A22171" i="1"/>
  <c r="E22171" i="1"/>
  <c r="F22171" i="1"/>
  <c r="B22172" i="1"/>
  <c r="A22172" i="1"/>
  <c r="E22172" i="1"/>
  <c r="F22172" i="1"/>
  <c r="B22173" i="1"/>
  <c r="A22173" i="1"/>
  <c r="E22173" i="1"/>
  <c r="F22173" i="1"/>
  <c r="B22174" i="1"/>
  <c r="A22174" i="1"/>
  <c r="E22174" i="1"/>
  <c r="F22174" i="1"/>
  <c r="B22175" i="1"/>
  <c r="A22175" i="1"/>
  <c r="E22175" i="1"/>
  <c r="F22175" i="1"/>
  <c r="B22176" i="1"/>
  <c r="A22176" i="1"/>
  <c r="E22176" i="1"/>
  <c r="F22176" i="1"/>
  <c r="B22177" i="1"/>
  <c r="A22177" i="1"/>
  <c r="E22177" i="1"/>
  <c r="F22177" i="1"/>
  <c r="B22178" i="1"/>
  <c r="A22178" i="1"/>
  <c r="E22178" i="1"/>
  <c r="F22178" i="1"/>
  <c r="B22179" i="1"/>
  <c r="A22179" i="1"/>
  <c r="E22179" i="1"/>
  <c r="F22179" i="1"/>
  <c r="B22180" i="1"/>
  <c r="A22180" i="1"/>
  <c r="E22180" i="1"/>
  <c r="F22180" i="1"/>
  <c r="B22181" i="1"/>
  <c r="A22181" i="1"/>
  <c r="E22181" i="1"/>
  <c r="F22181" i="1"/>
  <c r="B22182" i="1"/>
  <c r="A22182" i="1"/>
  <c r="E22182" i="1"/>
  <c r="F22182" i="1"/>
  <c r="B22183" i="1"/>
  <c r="A22183" i="1"/>
  <c r="E22183" i="1"/>
  <c r="F22183" i="1"/>
  <c r="B22184" i="1"/>
  <c r="A22184" i="1"/>
  <c r="E22184" i="1"/>
  <c r="F22184" i="1"/>
  <c r="B22185" i="1"/>
  <c r="A22185" i="1"/>
  <c r="E22185" i="1"/>
  <c r="F22185" i="1"/>
  <c r="B22186" i="1"/>
  <c r="A22186" i="1"/>
  <c r="E22186" i="1"/>
  <c r="F22186" i="1"/>
  <c r="B22187" i="1"/>
  <c r="A22187" i="1"/>
  <c r="E22187" i="1"/>
  <c r="F22187" i="1"/>
  <c r="B22188" i="1"/>
  <c r="A22188" i="1"/>
  <c r="E22188" i="1"/>
  <c r="F22188" i="1"/>
  <c r="B22189" i="1"/>
  <c r="A22189" i="1"/>
  <c r="E22189" i="1"/>
  <c r="F22189" i="1"/>
  <c r="B22190" i="1"/>
  <c r="A22190" i="1"/>
  <c r="E22190" i="1"/>
  <c r="F22190" i="1"/>
  <c r="B22191" i="1"/>
  <c r="A22191" i="1"/>
  <c r="E22191" i="1"/>
  <c r="F22191" i="1"/>
  <c r="B22192" i="1"/>
  <c r="A22192" i="1"/>
  <c r="E22192" i="1"/>
  <c r="F22192" i="1"/>
  <c r="B22193" i="1"/>
  <c r="A22193" i="1"/>
  <c r="E22193" i="1"/>
  <c r="F22193" i="1"/>
  <c r="B22194" i="1"/>
  <c r="A22194" i="1"/>
  <c r="E22194" i="1"/>
  <c r="F22194" i="1"/>
  <c r="B22195" i="1"/>
  <c r="A22195" i="1"/>
  <c r="E22195" i="1"/>
  <c r="F22195" i="1"/>
  <c r="B22196" i="1"/>
  <c r="A22196" i="1"/>
  <c r="E22196" i="1"/>
  <c r="F22196" i="1"/>
  <c r="B22197" i="1"/>
  <c r="A22197" i="1"/>
  <c r="E22197" i="1"/>
  <c r="F22197" i="1"/>
  <c r="B22198" i="1"/>
  <c r="A22198" i="1"/>
  <c r="E22198" i="1"/>
  <c r="F22198" i="1"/>
  <c r="B22199" i="1"/>
  <c r="A22199" i="1"/>
  <c r="E22199" i="1"/>
  <c r="F22199" i="1"/>
  <c r="B22200" i="1"/>
  <c r="A22200" i="1"/>
  <c r="E22200" i="1"/>
  <c r="F22200" i="1"/>
  <c r="B22201" i="1"/>
  <c r="A22201" i="1"/>
  <c r="E22201" i="1"/>
  <c r="F22201" i="1"/>
  <c r="B22202" i="1"/>
  <c r="A22202" i="1"/>
  <c r="E22202" i="1"/>
  <c r="F22202" i="1"/>
  <c r="B22203" i="1"/>
  <c r="A22203" i="1"/>
  <c r="E22203" i="1"/>
  <c r="F22203" i="1"/>
  <c r="B22204" i="1"/>
  <c r="A22204" i="1"/>
  <c r="E22204" i="1"/>
  <c r="F22204" i="1"/>
  <c r="B22205" i="1"/>
  <c r="A22205" i="1"/>
  <c r="E22205" i="1"/>
  <c r="F22205" i="1"/>
  <c r="B22206" i="1"/>
  <c r="A22206" i="1"/>
  <c r="E22206" i="1"/>
  <c r="F22206" i="1"/>
  <c r="B22207" i="1"/>
  <c r="A22207" i="1"/>
  <c r="E22207" i="1"/>
  <c r="F22207" i="1"/>
  <c r="B22208" i="1"/>
  <c r="A22208" i="1"/>
  <c r="E22208" i="1"/>
  <c r="F22208" i="1"/>
  <c r="B22209" i="1"/>
  <c r="A22209" i="1"/>
  <c r="E22209" i="1"/>
  <c r="F22209" i="1"/>
  <c r="B22210" i="1"/>
  <c r="A22210" i="1"/>
  <c r="E22210" i="1"/>
  <c r="F22210" i="1"/>
  <c r="B22211" i="1"/>
  <c r="A22211" i="1"/>
  <c r="E22211" i="1"/>
  <c r="F22211" i="1"/>
  <c r="B22212" i="1"/>
  <c r="A22212" i="1"/>
  <c r="E22212" i="1"/>
  <c r="F22212" i="1"/>
  <c r="B22213" i="1"/>
  <c r="A22213" i="1"/>
  <c r="E22213" i="1"/>
  <c r="F22213" i="1"/>
  <c r="B22214" i="1"/>
  <c r="A22214" i="1"/>
  <c r="E22214" i="1"/>
  <c r="F22214" i="1"/>
  <c r="B22215" i="1"/>
  <c r="A22215" i="1"/>
  <c r="E22215" i="1"/>
  <c r="F22215" i="1"/>
  <c r="B22216" i="1"/>
  <c r="A22216" i="1"/>
  <c r="E22216" i="1"/>
  <c r="F22216" i="1"/>
  <c r="B22217" i="1"/>
  <c r="A22217" i="1"/>
  <c r="E22217" i="1"/>
  <c r="F22217" i="1"/>
  <c r="B22218" i="1"/>
  <c r="A22218" i="1"/>
  <c r="E22218" i="1"/>
  <c r="F22218" i="1"/>
  <c r="B22219" i="1"/>
  <c r="A22219" i="1"/>
  <c r="E22219" i="1"/>
  <c r="F22219" i="1"/>
  <c r="B22220" i="1"/>
  <c r="A22220" i="1"/>
  <c r="E22220" i="1"/>
  <c r="F22220" i="1"/>
  <c r="B22221" i="1"/>
  <c r="A22221" i="1"/>
  <c r="E22221" i="1"/>
  <c r="F22221" i="1"/>
  <c r="B22222" i="1"/>
  <c r="A22222" i="1"/>
  <c r="E22222" i="1"/>
  <c r="F22222" i="1"/>
  <c r="B22223" i="1"/>
  <c r="A22223" i="1"/>
  <c r="E22223" i="1"/>
  <c r="F22223" i="1"/>
  <c r="B22224" i="1"/>
  <c r="A22224" i="1"/>
  <c r="E22224" i="1"/>
  <c r="F22224" i="1"/>
  <c r="B22225" i="1"/>
  <c r="A22225" i="1"/>
  <c r="E22225" i="1"/>
  <c r="F22225" i="1"/>
  <c r="B22226" i="1"/>
  <c r="A22226" i="1"/>
  <c r="E22226" i="1"/>
  <c r="F22226" i="1"/>
  <c r="B22227" i="1"/>
  <c r="A22227" i="1"/>
  <c r="E22227" i="1"/>
  <c r="F22227" i="1"/>
  <c r="B22228" i="1"/>
  <c r="A22228" i="1"/>
  <c r="E22228" i="1"/>
  <c r="F22228" i="1"/>
  <c r="B22229" i="1"/>
  <c r="A22229" i="1"/>
  <c r="E22229" i="1"/>
  <c r="F22229" i="1"/>
  <c r="B22230" i="1"/>
  <c r="A22230" i="1"/>
  <c r="E22230" i="1"/>
  <c r="F22230" i="1"/>
  <c r="B22231" i="1"/>
  <c r="A22231" i="1"/>
  <c r="E22231" i="1"/>
  <c r="F22231" i="1"/>
  <c r="B22232" i="1"/>
  <c r="A22232" i="1"/>
  <c r="E22232" i="1"/>
  <c r="F22232" i="1"/>
  <c r="B22233" i="1"/>
  <c r="A22233" i="1"/>
  <c r="E22233" i="1"/>
  <c r="F22233" i="1"/>
  <c r="B22234" i="1"/>
  <c r="A22234" i="1"/>
  <c r="E22234" i="1"/>
  <c r="F22234" i="1"/>
  <c r="B22235" i="1"/>
  <c r="A22235" i="1"/>
  <c r="E22235" i="1"/>
  <c r="F22235" i="1"/>
  <c r="B22236" i="1"/>
  <c r="A22236" i="1"/>
  <c r="E22236" i="1"/>
  <c r="F22236" i="1"/>
  <c r="B22237" i="1"/>
  <c r="A22237" i="1"/>
  <c r="E22237" i="1"/>
  <c r="F22237" i="1"/>
  <c r="B22238" i="1"/>
  <c r="A22238" i="1"/>
  <c r="E22238" i="1"/>
  <c r="F22238" i="1"/>
  <c r="B22239" i="1"/>
  <c r="A22239" i="1"/>
  <c r="E22239" i="1"/>
  <c r="F22239" i="1"/>
  <c r="B22240" i="1"/>
  <c r="A22240" i="1"/>
  <c r="E22240" i="1"/>
  <c r="F22240" i="1"/>
  <c r="B22241" i="1"/>
  <c r="A22241" i="1"/>
  <c r="E22241" i="1"/>
  <c r="F22241" i="1"/>
  <c r="B22242" i="1"/>
  <c r="A22242" i="1"/>
  <c r="E22242" i="1"/>
  <c r="F22242" i="1"/>
  <c r="B22243" i="1"/>
  <c r="A22243" i="1"/>
  <c r="E22243" i="1"/>
  <c r="F22243" i="1"/>
  <c r="B22244" i="1"/>
  <c r="A22244" i="1"/>
  <c r="E22244" i="1"/>
  <c r="F22244" i="1"/>
  <c r="B22245" i="1"/>
  <c r="A22245" i="1"/>
  <c r="E22245" i="1"/>
  <c r="F22245" i="1"/>
  <c r="B22246" i="1"/>
  <c r="A22246" i="1"/>
  <c r="E22246" i="1"/>
  <c r="F22246" i="1"/>
  <c r="B22247" i="1"/>
  <c r="A22247" i="1"/>
  <c r="E22247" i="1"/>
  <c r="F22247" i="1"/>
  <c r="B22248" i="1"/>
  <c r="A22248" i="1"/>
  <c r="E22248" i="1"/>
  <c r="F22248" i="1"/>
  <c r="B22249" i="1"/>
  <c r="A22249" i="1"/>
  <c r="E22249" i="1"/>
  <c r="F22249" i="1"/>
  <c r="B22250" i="1"/>
  <c r="A22250" i="1"/>
  <c r="E22250" i="1"/>
  <c r="F22250" i="1"/>
  <c r="G22250" i="1"/>
  <c r="B22251" i="1"/>
  <c r="A22251" i="1"/>
  <c r="E22251" i="1"/>
  <c r="F22251" i="1"/>
  <c r="B22252" i="1"/>
  <c r="A22252" i="1"/>
  <c r="E22252" i="1"/>
  <c r="F22252" i="1"/>
  <c r="B22253" i="1"/>
  <c r="A22253" i="1"/>
  <c r="E22253" i="1"/>
  <c r="F22253" i="1"/>
  <c r="B22254" i="1"/>
  <c r="A22254" i="1"/>
  <c r="E22254" i="1"/>
  <c r="F22254" i="1"/>
  <c r="B22255" i="1"/>
  <c r="A22255" i="1"/>
  <c r="E22255" i="1"/>
  <c r="F22255" i="1"/>
  <c r="G22255" i="1"/>
  <c r="B22256" i="1"/>
  <c r="A22256" i="1"/>
  <c r="E22256" i="1"/>
  <c r="F22256" i="1"/>
  <c r="B22257" i="1"/>
  <c r="A22257" i="1"/>
  <c r="E22257" i="1"/>
  <c r="F22257" i="1"/>
  <c r="B22258" i="1"/>
  <c r="A22258" i="1"/>
  <c r="E22258" i="1"/>
  <c r="F22258" i="1"/>
  <c r="G22258" i="1"/>
  <c r="B22259" i="1"/>
  <c r="A22259" i="1"/>
  <c r="E22259" i="1"/>
  <c r="F22259" i="1"/>
  <c r="B22260" i="1"/>
  <c r="A22260" i="1"/>
  <c r="E22260" i="1"/>
  <c r="F22260" i="1"/>
  <c r="B22261" i="1"/>
  <c r="A22261" i="1"/>
  <c r="E22261" i="1"/>
  <c r="F22261" i="1"/>
  <c r="G22261" i="1"/>
  <c r="B22262" i="1"/>
  <c r="A22262" i="1"/>
  <c r="E22262" i="1"/>
  <c r="F22262" i="1"/>
  <c r="G22262" i="1"/>
  <c r="B22263" i="1"/>
  <c r="A22263" i="1"/>
  <c r="E22263" i="1"/>
  <c r="F22263" i="1"/>
  <c r="B22264" i="1"/>
  <c r="A22264" i="1"/>
  <c r="E22264" i="1"/>
  <c r="F22264" i="1"/>
  <c r="B22265" i="1"/>
  <c r="A22265" i="1"/>
  <c r="E22265" i="1"/>
  <c r="F22265" i="1"/>
  <c r="B22266" i="1"/>
  <c r="A22266" i="1"/>
  <c r="E22266" i="1"/>
  <c r="F22266" i="1"/>
  <c r="B22267" i="1"/>
  <c r="A22267" i="1"/>
  <c r="E22267" i="1"/>
  <c r="F22267" i="1"/>
  <c r="B22268" i="1"/>
  <c r="A22268" i="1"/>
  <c r="E22268" i="1"/>
  <c r="F22268" i="1"/>
  <c r="B22269" i="1"/>
  <c r="A22269" i="1"/>
  <c r="E22269" i="1"/>
  <c r="F22269" i="1"/>
  <c r="B22270" i="1"/>
  <c r="A22270" i="1"/>
  <c r="E22270" i="1"/>
  <c r="F22270" i="1"/>
  <c r="B22271" i="1"/>
  <c r="A22271" i="1"/>
  <c r="E22271" i="1"/>
  <c r="F22271" i="1"/>
  <c r="B22272" i="1"/>
  <c r="A22272" i="1"/>
  <c r="E22272" i="1"/>
  <c r="F22272" i="1"/>
  <c r="B22273" i="1"/>
  <c r="A22273" i="1"/>
  <c r="E22273" i="1"/>
  <c r="F22273" i="1"/>
  <c r="B22274" i="1"/>
  <c r="A22274" i="1"/>
  <c r="E22274" i="1"/>
  <c r="F22274" i="1"/>
  <c r="B22275" i="1"/>
  <c r="A22275" i="1"/>
  <c r="E22275" i="1"/>
  <c r="F22275" i="1"/>
  <c r="B22276" i="1"/>
  <c r="A22276" i="1"/>
  <c r="E22276" i="1"/>
  <c r="F22276" i="1"/>
  <c r="B22277" i="1"/>
  <c r="A22277" i="1"/>
  <c r="E22277" i="1"/>
  <c r="F22277" i="1"/>
  <c r="B22278" i="1"/>
  <c r="A22278" i="1"/>
  <c r="E22278" i="1"/>
  <c r="F22278" i="1"/>
  <c r="B22279" i="1"/>
  <c r="A22279" i="1"/>
  <c r="E22279" i="1"/>
  <c r="F22279" i="1"/>
  <c r="G22279" i="1"/>
  <c r="B22280" i="1"/>
  <c r="A22280" i="1"/>
  <c r="E22280" i="1"/>
  <c r="F22280" i="1"/>
  <c r="B22281" i="1"/>
  <c r="A22281" i="1"/>
  <c r="E22281" i="1"/>
  <c r="F22281" i="1"/>
  <c r="B22282" i="1"/>
  <c r="A22282" i="1"/>
  <c r="E22282" i="1"/>
  <c r="F22282" i="1"/>
  <c r="B22283" i="1"/>
  <c r="A22283" i="1"/>
  <c r="E22283" i="1"/>
  <c r="F22283" i="1"/>
  <c r="B22284" i="1"/>
  <c r="A22284" i="1"/>
  <c r="E22284" i="1"/>
  <c r="F22284" i="1"/>
  <c r="B22285" i="1"/>
  <c r="A22285" i="1"/>
  <c r="E22285" i="1"/>
  <c r="F22285" i="1"/>
  <c r="B22286" i="1"/>
  <c r="A22286" i="1"/>
  <c r="E22286" i="1"/>
  <c r="F22286" i="1"/>
  <c r="B22287" i="1"/>
  <c r="A22287" i="1"/>
  <c r="E22287" i="1"/>
  <c r="F22287" i="1"/>
  <c r="B22288" i="1"/>
  <c r="A22288" i="1"/>
  <c r="E22288" i="1"/>
  <c r="F22288" i="1"/>
  <c r="B22289" i="1"/>
  <c r="A22289" i="1"/>
  <c r="E22289" i="1"/>
  <c r="F22289" i="1"/>
  <c r="B22290" i="1"/>
  <c r="A22290" i="1"/>
  <c r="E22290" i="1"/>
  <c r="F22290" i="1"/>
  <c r="B22291" i="1"/>
  <c r="A22291" i="1"/>
  <c r="E22291" i="1"/>
  <c r="F22291" i="1"/>
  <c r="B22292" i="1"/>
  <c r="A22292" i="1"/>
  <c r="E22292" i="1"/>
  <c r="F22292" i="1"/>
  <c r="B22293" i="1"/>
  <c r="A22293" i="1"/>
  <c r="E22293" i="1"/>
  <c r="F22293" i="1"/>
  <c r="B22294" i="1"/>
  <c r="A22294" i="1"/>
  <c r="E22294" i="1"/>
  <c r="F22294" i="1"/>
  <c r="B22295" i="1"/>
  <c r="A22295" i="1"/>
  <c r="E22295" i="1"/>
  <c r="F22295" i="1"/>
  <c r="B22296" i="1"/>
  <c r="A22296" i="1"/>
  <c r="E22296" i="1"/>
  <c r="F22296" i="1"/>
  <c r="B22297" i="1"/>
  <c r="A22297" i="1"/>
  <c r="E22297" i="1"/>
  <c r="F22297" i="1"/>
  <c r="B22298" i="1"/>
  <c r="A22298" i="1"/>
  <c r="E22298" i="1"/>
  <c r="F22298" i="1"/>
  <c r="B22299" i="1"/>
  <c r="A22299" i="1"/>
  <c r="E22299" i="1"/>
  <c r="F22299" i="1"/>
  <c r="B22300" i="1"/>
  <c r="A22300" i="1"/>
  <c r="E22300" i="1"/>
  <c r="F22300" i="1"/>
  <c r="B22301" i="1"/>
  <c r="A22301" i="1"/>
  <c r="E22301" i="1"/>
  <c r="F22301" i="1"/>
  <c r="B22302" i="1"/>
  <c r="A22302" i="1"/>
  <c r="E22302" i="1"/>
  <c r="F22302" i="1"/>
  <c r="B22303" i="1"/>
  <c r="A22303" i="1"/>
  <c r="E22303" i="1"/>
  <c r="F22303" i="1"/>
  <c r="B22304" i="1"/>
  <c r="A22304" i="1"/>
  <c r="E22304" i="1"/>
  <c r="F22304" i="1"/>
  <c r="B22305" i="1"/>
  <c r="A22305" i="1"/>
  <c r="E22305" i="1"/>
  <c r="F22305" i="1"/>
  <c r="B22306" i="1"/>
  <c r="A22306" i="1"/>
  <c r="E22306" i="1"/>
  <c r="F22306" i="1"/>
  <c r="B22307" i="1"/>
  <c r="A22307" i="1"/>
  <c r="E22307" i="1"/>
  <c r="F22307" i="1"/>
  <c r="B22308" i="1"/>
  <c r="A22308" i="1"/>
  <c r="E22308" i="1"/>
  <c r="F22308" i="1"/>
  <c r="B22309" i="1"/>
  <c r="A22309" i="1"/>
  <c r="E22309" i="1"/>
  <c r="F22309" i="1"/>
  <c r="B22310" i="1"/>
  <c r="A22310" i="1"/>
  <c r="E22310" i="1"/>
  <c r="F22310" i="1"/>
  <c r="B22311" i="1"/>
  <c r="A22311" i="1"/>
  <c r="E22311" i="1"/>
  <c r="F22311" i="1"/>
  <c r="B22312" i="1"/>
  <c r="A22312" i="1"/>
  <c r="E22312" i="1"/>
  <c r="F22312" i="1"/>
  <c r="B22313" i="1"/>
  <c r="A22313" i="1"/>
  <c r="E22313" i="1"/>
  <c r="F22313" i="1"/>
  <c r="B22314" i="1"/>
  <c r="A22314" i="1"/>
  <c r="E22314" i="1"/>
  <c r="F22314" i="1"/>
  <c r="B22315" i="1"/>
  <c r="A22315" i="1"/>
  <c r="E22315" i="1"/>
  <c r="F22315" i="1"/>
  <c r="B22316" i="1"/>
  <c r="A22316" i="1"/>
  <c r="E22316" i="1"/>
  <c r="F22316" i="1"/>
  <c r="B22317" i="1"/>
  <c r="A22317" i="1"/>
  <c r="E22317" i="1"/>
  <c r="F22317" i="1"/>
  <c r="B22318" i="1"/>
  <c r="A22318" i="1"/>
  <c r="E22318" i="1"/>
  <c r="F22318" i="1"/>
  <c r="B22319" i="1"/>
  <c r="A22319" i="1"/>
  <c r="E22319" i="1"/>
  <c r="F22319" i="1"/>
  <c r="B22320" i="1"/>
  <c r="A22320" i="1"/>
  <c r="E22320" i="1"/>
  <c r="F22320" i="1"/>
  <c r="B22321" i="1"/>
  <c r="A22321" i="1"/>
  <c r="E22321" i="1"/>
  <c r="F22321" i="1"/>
  <c r="B22322" i="1"/>
  <c r="A22322" i="1"/>
  <c r="E22322" i="1"/>
  <c r="F22322" i="1"/>
  <c r="B22323" i="1"/>
  <c r="A22323" i="1"/>
  <c r="E22323" i="1"/>
  <c r="F22323" i="1"/>
  <c r="B22324" i="1"/>
  <c r="A22324" i="1"/>
  <c r="E22324" i="1"/>
  <c r="F22324" i="1"/>
  <c r="B22325" i="1"/>
  <c r="A22325" i="1"/>
  <c r="E22325" i="1"/>
  <c r="F22325" i="1"/>
  <c r="B22326" i="1"/>
  <c r="A22326" i="1"/>
  <c r="E22326" i="1"/>
  <c r="F22326" i="1"/>
  <c r="B22327" i="1"/>
  <c r="A22327" i="1"/>
  <c r="E22327" i="1"/>
  <c r="F22327" i="1"/>
  <c r="B22328" i="1"/>
  <c r="A22328" i="1"/>
  <c r="E22328" i="1"/>
  <c r="F22328" i="1"/>
  <c r="B22329" i="1"/>
  <c r="A22329" i="1"/>
  <c r="E22329" i="1"/>
  <c r="F22329" i="1"/>
  <c r="B22330" i="1"/>
  <c r="A22330" i="1"/>
  <c r="E22330" i="1"/>
  <c r="F22330" i="1"/>
  <c r="B22331" i="1"/>
  <c r="A22331" i="1"/>
  <c r="E22331" i="1"/>
  <c r="F22331" i="1"/>
  <c r="B22332" i="1"/>
  <c r="A22332" i="1"/>
  <c r="E22332" i="1"/>
  <c r="F22332" i="1"/>
  <c r="B22333" i="1"/>
  <c r="A22333" i="1"/>
  <c r="E22333" i="1"/>
  <c r="F22333" i="1"/>
  <c r="B22334" i="1"/>
  <c r="A22334" i="1"/>
  <c r="E22334" i="1"/>
  <c r="F22334" i="1"/>
  <c r="B22335" i="1"/>
  <c r="A22335" i="1"/>
  <c r="E22335" i="1"/>
  <c r="F22335" i="1"/>
  <c r="B22336" i="1"/>
  <c r="A22336" i="1"/>
  <c r="E22336" i="1"/>
  <c r="F22336" i="1"/>
  <c r="G22336" i="1"/>
  <c r="B22337" i="1"/>
  <c r="A22337" i="1"/>
  <c r="E22337" i="1"/>
  <c r="F22337" i="1"/>
  <c r="B22338" i="1"/>
  <c r="A22338" i="1"/>
  <c r="E22338" i="1"/>
  <c r="F22338" i="1"/>
  <c r="G22338" i="1"/>
  <c r="B22339" i="1"/>
  <c r="A22339" i="1"/>
  <c r="E22339" i="1"/>
  <c r="F22339" i="1"/>
  <c r="B22340" i="1"/>
  <c r="A22340" i="1"/>
  <c r="E22340" i="1"/>
  <c r="F22340" i="1"/>
  <c r="B22341" i="1"/>
  <c r="A22341" i="1"/>
  <c r="E22341" i="1"/>
  <c r="F22341" i="1"/>
  <c r="B22342" i="1"/>
  <c r="A22342" i="1"/>
  <c r="E22342" i="1"/>
  <c r="F22342" i="1"/>
  <c r="B22343" i="1"/>
  <c r="A22343" i="1"/>
  <c r="E22343" i="1"/>
  <c r="F22343" i="1"/>
  <c r="B22344" i="1"/>
  <c r="A22344" i="1"/>
  <c r="E22344" i="1"/>
  <c r="F22344" i="1"/>
  <c r="B22345" i="1"/>
  <c r="A22345" i="1"/>
  <c r="E22345" i="1"/>
  <c r="F22345" i="1"/>
  <c r="B22346" i="1"/>
  <c r="A22346" i="1"/>
  <c r="E22346" i="1"/>
  <c r="F22346" i="1"/>
  <c r="B22347" i="1"/>
  <c r="A22347" i="1"/>
  <c r="E22347" i="1"/>
  <c r="F22347" i="1"/>
  <c r="B22348" i="1"/>
  <c r="A22348" i="1"/>
  <c r="E22348" i="1"/>
  <c r="F22348" i="1"/>
  <c r="B22349" i="1"/>
  <c r="A22349" i="1"/>
  <c r="E22349" i="1"/>
  <c r="F22349" i="1"/>
  <c r="B22350" i="1"/>
  <c r="A22350" i="1"/>
  <c r="E22350" i="1"/>
  <c r="F22350" i="1"/>
  <c r="B22351" i="1"/>
  <c r="A22351" i="1"/>
  <c r="E22351" i="1"/>
  <c r="F22351" i="1"/>
  <c r="B22352" i="1"/>
  <c r="A22352" i="1"/>
  <c r="E22352" i="1"/>
  <c r="F22352" i="1"/>
  <c r="B22353" i="1"/>
  <c r="A22353" i="1"/>
  <c r="E22353" i="1"/>
  <c r="F22353" i="1"/>
  <c r="B22354" i="1"/>
  <c r="A22354" i="1"/>
  <c r="E22354" i="1"/>
  <c r="F22354" i="1"/>
  <c r="B22355" i="1"/>
  <c r="A22355" i="1"/>
  <c r="E22355" i="1"/>
  <c r="F22355" i="1"/>
  <c r="B22356" i="1"/>
  <c r="A22356" i="1"/>
  <c r="E22356" i="1"/>
  <c r="F22356" i="1"/>
  <c r="B22357" i="1"/>
  <c r="A22357" i="1"/>
  <c r="E22357" i="1"/>
  <c r="F22357" i="1"/>
  <c r="B22358" i="1"/>
  <c r="A22358" i="1"/>
  <c r="E22358" i="1"/>
  <c r="F22358" i="1"/>
  <c r="B22359" i="1"/>
  <c r="A22359" i="1"/>
  <c r="E22359" i="1"/>
  <c r="F22359" i="1"/>
  <c r="B22360" i="1"/>
  <c r="A22360" i="1"/>
  <c r="E22360" i="1"/>
  <c r="F22360" i="1"/>
  <c r="B22361" i="1"/>
  <c r="A22361" i="1"/>
  <c r="E22361" i="1"/>
  <c r="F22361" i="1"/>
  <c r="B22362" i="1"/>
  <c r="A22362" i="1"/>
  <c r="E22362" i="1"/>
  <c r="F22362" i="1"/>
  <c r="B22363" i="1"/>
  <c r="A22363" i="1"/>
  <c r="E22363" i="1"/>
  <c r="F22363" i="1"/>
  <c r="B22364" i="1"/>
  <c r="A22364" i="1"/>
  <c r="E22364" i="1"/>
  <c r="F22364" i="1"/>
  <c r="B22365" i="1"/>
  <c r="A22365" i="1"/>
  <c r="E22365" i="1"/>
  <c r="F22365" i="1"/>
  <c r="B22366" i="1"/>
  <c r="A22366" i="1"/>
  <c r="E22366" i="1"/>
  <c r="F22366" i="1"/>
  <c r="B22367" i="1"/>
  <c r="A22367" i="1"/>
  <c r="E22367" i="1"/>
  <c r="F22367" i="1"/>
  <c r="B22368" i="1"/>
  <c r="A22368" i="1"/>
  <c r="E22368" i="1"/>
  <c r="F22368" i="1"/>
  <c r="B22369" i="1"/>
  <c r="A22369" i="1"/>
  <c r="E22369" i="1"/>
  <c r="F22369" i="1"/>
  <c r="B22370" i="1"/>
  <c r="A22370" i="1"/>
  <c r="E22370" i="1"/>
  <c r="F22370" i="1"/>
  <c r="B22371" i="1"/>
  <c r="A22371" i="1"/>
  <c r="E22371" i="1"/>
  <c r="F22371" i="1"/>
  <c r="B22372" i="1"/>
  <c r="A22372" i="1"/>
  <c r="E22372" i="1"/>
  <c r="F22372" i="1"/>
  <c r="B22373" i="1"/>
  <c r="A22373" i="1"/>
  <c r="E22373" i="1"/>
  <c r="F22373" i="1"/>
  <c r="B22374" i="1"/>
  <c r="A22374" i="1"/>
  <c r="E22374" i="1"/>
  <c r="F22374" i="1"/>
  <c r="B22375" i="1"/>
  <c r="A22375" i="1"/>
  <c r="E22375" i="1"/>
  <c r="F22375" i="1"/>
  <c r="B22376" i="1"/>
  <c r="A22376" i="1"/>
  <c r="E22376" i="1"/>
  <c r="F22376" i="1"/>
  <c r="B22377" i="1"/>
  <c r="A22377" i="1"/>
  <c r="E22377" i="1"/>
  <c r="F22377" i="1"/>
  <c r="B22378" i="1"/>
  <c r="A22378" i="1"/>
  <c r="E22378" i="1"/>
  <c r="F22378" i="1"/>
  <c r="B22379" i="1"/>
  <c r="A22379" i="1"/>
  <c r="E22379" i="1"/>
  <c r="F22379" i="1"/>
  <c r="B22380" i="1"/>
  <c r="A22380" i="1"/>
  <c r="E22380" i="1"/>
  <c r="F22380" i="1"/>
  <c r="B22381" i="1"/>
  <c r="A22381" i="1"/>
  <c r="E22381" i="1"/>
  <c r="F22381" i="1"/>
  <c r="B22382" i="1"/>
  <c r="A22382" i="1"/>
  <c r="E22382" i="1"/>
  <c r="F22382" i="1"/>
  <c r="B22383" i="1"/>
  <c r="A22383" i="1"/>
  <c r="E22383" i="1"/>
  <c r="F22383" i="1"/>
  <c r="B22384" i="1"/>
  <c r="A22384" i="1"/>
  <c r="E22384" i="1"/>
  <c r="F22384" i="1"/>
  <c r="B22385" i="1"/>
  <c r="A22385" i="1"/>
  <c r="E22385" i="1"/>
  <c r="F22385" i="1"/>
  <c r="B22386" i="1"/>
  <c r="A22386" i="1"/>
  <c r="E22386" i="1"/>
  <c r="F22386" i="1"/>
  <c r="B22387" i="1"/>
  <c r="A22387" i="1"/>
  <c r="E22387" i="1"/>
  <c r="F22387" i="1"/>
  <c r="B22388" i="1"/>
  <c r="A22388" i="1"/>
  <c r="E22388" i="1"/>
  <c r="F22388" i="1"/>
  <c r="B22389" i="1"/>
  <c r="A22389" i="1"/>
  <c r="E22389" i="1"/>
  <c r="F22389" i="1"/>
  <c r="B22390" i="1"/>
  <c r="A22390" i="1"/>
  <c r="E22390" i="1"/>
  <c r="F22390" i="1"/>
  <c r="B22391" i="1"/>
  <c r="A22391" i="1"/>
  <c r="E22391" i="1"/>
  <c r="F22391" i="1"/>
  <c r="B22392" i="1"/>
  <c r="A22392" i="1"/>
  <c r="E22392" i="1"/>
  <c r="F22392" i="1"/>
  <c r="B22393" i="1"/>
  <c r="A22393" i="1"/>
  <c r="E22393" i="1"/>
  <c r="F22393" i="1"/>
  <c r="B22394" i="1"/>
  <c r="A22394" i="1"/>
  <c r="E22394" i="1"/>
  <c r="F22394" i="1"/>
  <c r="B22395" i="1"/>
  <c r="A22395" i="1"/>
  <c r="E22395" i="1"/>
  <c r="F22395" i="1"/>
  <c r="B22396" i="1"/>
  <c r="A22396" i="1"/>
  <c r="E22396" i="1"/>
  <c r="F22396" i="1"/>
  <c r="G22396" i="1"/>
  <c r="B22397" i="1"/>
  <c r="A22397" i="1"/>
  <c r="E22397" i="1"/>
  <c r="F22397" i="1"/>
  <c r="G22397" i="1"/>
  <c r="B22398" i="1"/>
  <c r="A22398" i="1"/>
  <c r="E22398" i="1"/>
  <c r="F22398" i="1"/>
  <c r="G22398" i="1"/>
  <c r="B22399" i="1"/>
  <c r="A22399" i="1"/>
  <c r="E22399" i="1"/>
  <c r="F22399" i="1"/>
  <c r="B22400" i="1"/>
  <c r="A22400" i="1"/>
  <c r="E22400" i="1"/>
  <c r="F22400" i="1"/>
  <c r="G22400" i="1"/>
  <c r="B22401" i="1"/>
  <c r="A22401" i="1"/>
  <c r="E22401" i="1"/>
  <c r="F22401" i="1"/>
  <c r="B22402" i="1"/>
  <c r="A22402" i="1"/>
  <c r="E22402" i="1"/>
  <c r="F22402" i="1"/>
  <c r="G22402" i="1"/>
  <c r="B22403" i="1"/>
  <c r="A22403" i="1"/>
  <c r="E22403" i="1"/>
  <c r="F22403" i="1"/>
  <c r="B22404" i="1"/>
  <c r="A22404" i="1"/>
  <c r="E22404" i="1"/>
  <c r="F22404" i="1"/>
  <c r="B22405" i="1"/>
  <c r="A22405" i="1"/>
  <c r="E22405" i="1"/>
  <c r="F22405" i="1"/>
  <c r="B22406" i="1"/>
  <c r="A22406" i="1"/>
  <c r="E22406" i="1"/>
  <c r="F22406" i="1"/>
  <c r="B22407" i="1"/>
  <c r="A22407" i="1"/>
  <c r="E22407" i="1"/>
  <c r="F22407" i="1"/>
  <c r="B22408" i="1"/>
  <c r="A22408" i="1"/>
  <c r="E22408" i="1"/>
  <c r="F22408" i="1"/>
  <c r="B22409" i="1"/>
  <c r="A22409" i="1"/>
  <c r="E22409" i="1"/>
  <c r="F22409" i="1"/>
  <c r="B22410" i="1"/>
  <c r="A22410" i="1"/>
  <c r="E22410" i="1"/>
  <c r="F22410" i="1"/>
  <c r="B22411" i="1"/>
  <c r="A22411" i="1"/>
  <c r="E22411" i="1"/>
  <c r="F22411" i="1"/>
  <c r="B22412" i="1"/>
  <c r="A22412" i="1"/>
  <c r="E22412" i="1"/>
  <c r="F22412" i="1"/>
  <c r="B22413" i="1"/>
  <c r="A22413" i="1"/>
  <c r="E22413" i="1"/>
  <c r="F22413" i="1"/>
  <c r="B22414" i="1"/>
  <c r="A22414" i="1"/>
  <c r="E22414" i="1"/>
  <c r="F22414" i="1"/>
  <c r="B22415" i="1"/>
  <c r="A22415" i="1"/>
  <c r="E22415" i="1"/>
  <c r="F22415" i="1"/>
  <c r="B22416" i="1"/>
  <c r="A22416" i="1"/>
  <c r="E22416" i="1"/>
  <c r="F22416" i="1"/>
  <c r="B22417" i="1"/>
  <c r="A22417" i="1"/>
  <c r="E22417" i="1"/>
  <c r="F22417" i="1"/>
  <c r="B22418" i="1"/>
  <c r="A22418" i="1"/>
  <c r="E22418" i="1"/>
  <c r="F22418" i="1"/>
  <c r="B22419" i="1"/>
  <c r="A22419" i="1"/>
  <c r="E22419" i="1"/>
  <c r="F22419" i="1"/>
  <c r="B22420" i="1"/>
  <c r="A22420" i="1"/>
  <c r="E22420" i="1"/>
  <c r="F22420" i="1"/>
  <c r="B22421" i="1"/>
  <c r="A22421" i="1"/>
  <c r="E22421" i="1"/>
  <c r="F22421" i="1"/>
  <c r="B22422" i="1"/>
  <c r="A22422" i="1"/>
  <c r="E22422" i="1"/>
  <c r="F22422" i="1"/>
  <c r="B22423" i="1"/>
  <c r="A22423" i="1"/>
  <c r="E22423" i="1"/>
  <c r="F22423" i="1"/>
  <c r="B22424" i="1"/>
  <c r="A22424" i="1"/>
  <c r="E22424" i="1"/>
  <c r="F22424" i="1"/>
  <c r="B22425" i="1"/>
  <c r="A22425" i="1"/>
  <c r="E22425" i="1"/>
  <c r="F22425" i="1"/>
  <c r="B22426" i="1"/>
  <c r="A22426" i="1"/>
  <c r="E22426" i="1"/>
  <c r="F22426" i="1"/>
  <c r="B22427" i="1"/>
  <c r="A22427" i="1"/>
  <c r="E22427" i="1"/>
  <c r="F22427" i="1"/>
  <c r="B22428" i="1"/>
  <c r="A22428" i="1"/>
  <c r="E22428" i="1"/>
  <c r="F22428" i="1"/>
  <c r="B22429" i="1"/>
  <c r="A22429" i="1"/>
  <c r="E22429" i="1"/>
  <c r="F22429" i="1"/>
  <c r="B22430" i="1"/>
  <c r="A22430" i="1"/>
  <c r="E22430" i="1"/>
  <c r="F22430" i="1"/>
  <c r="B22431" i="1"/>
  <c r="A22431" i="1"/>
  <c r="E22431" i="1"/>
  <c r="F22431" i="1"/>
  <c r="B22432" i="1"/>
  <c r="A22432" i="1"/>
  <c r="E22432" i="1"/>
  <c r="F22432" i="1"/>
  <c r="B22433" i="1"/>
  <c r="A22433" i="1"/>
  <c r="E22433" i="1"/>
  <c r="F22433" i="1"/>
  <c r="B22434" i="1"/>
  <c r="A22434" i="1"/>
  <c r="E22434" i="1"/>
  <c r="F22434" i="1"/>
  <c r="B22435" i="1"/>
  <c r="A22435" i="1"/>
  <c r="E22435" i="1"/>
  <c r="F22435" i="1"/>
  <c r="B22436" i="1"/>
  <c r="A22436" i="1"/>
  <c r="E22436" i="1"/>
  <c r="F22436" i="1"/>
  <c r="B22437" i="1"/>
  <c r="A22437" i="1"/>
  <c r="E22437" i="1"/>
  <c r="F22437" i="1"/>
  <c r="B22438" i="1"/>
  <c r="A22438" i="1"/>
  <c r="E22438" i="1"/>
  <c r="F22438" i="1"/>
  <c r="B22439" i="1"/>
  <c r="A22439" i="1"/>
  <c r="E22439" i="1"/>
  <c r="F22439" i="1"/>
  <c r="B22440" i="1"/>
  <c r="A22440" i="1"/>
  <c r="E22440" i="1"/>
  <c r="F22440" i="1"/>
  <c r="B22441" i="1"/>
  <c r="A22441" i="1"/>
  <c r="E22441" i="1"/>
  <c r="F22441" i="1"/>
  <c r="B22442" i="1"/>
  <c r="A22442" i="1"/>
  <c r="E22442" i="1"/>
  <c r="F22442" i="1"/>
  <c r="B22443" i="1"/>
  <c r="A22443" i="1"/>
  <c r="E22443" i="1"/>
  <c r="F22443" i="1"/>
  <c r="B22444" i="1"/>
  <c r="A22444" i="1"/>
  <c r="E22444" i="1"/>
  <c r="F22444" i="1"/>
  <c r="B22445" i="1"/>
  <c r="A22445" i="1"/>
  <c r="E22445" i="1"/>
  <c r="F22445" i="1"/>
  <c r="B22446" i="1"/>
  <c r="A22446" i="1"/>
  <c r="E22446" i="1"/>
  <c r="F22446" i="1"/>
  <c r="B22447" i="1"/>
  <c r="A22447" i="1"/>
  <c r="E22447" i="1"/>
  <c r="F22447" i="1"/>
  <c r="B22448" i="1"/>
  <c r="A22448" i="1"/>
  <c r="E22448" i="1"/>
  <c r="F22448" i="1"/>
  <c r="B22449" i="1"/>
  <c r="A22449" i="1"/>
  <c r="E22449" i="1"/>
  <c r="F22449" i="1"/>
  <c r="B22450" i="1"/>
  <c r="A22450" i="1"/>
  <c r="E22450" i="1"/>
  <c r="F22450" i="1"/>
  <c r="B22451" i="1"/>
  <c r="A22451" i="1"/>
  <c r="E22451" i="1"/>
  <c r="F22451" i="1"/>
  <c r="B22452" i="1"/>
  <c r="A22452" i="1"/>
  <c r="E22452" i="1"/>
  <c r="F22452" i="1"/>
  <c r="B22453" i="1"/>
  <c r="A22453" i="1"/>
  <c r="E22453" i="1"/>
  <c r="F22453" i="1"/>
  <c r="B22454" i="1"/>
  <c r="A22454" i="1"/>
  <c r="E22454" i="1"/>
  <c r="F22454" i="1"/>
  <c r="B22455" i="1"/>
  <c r="A22455" i="1"/>
  <c r="E22455" i="1"/>
  <c r="F22455" i="1"/>
  <c r="B22456" i="1"/>
  <c r="A22456" i="1"/>
  <c r="E22456" i="1"/>
  <c r="F22456" i="1"/>
  <c r="B22457" i="1"/>
  <c r="A22457" i="1"/>
  <c r="E22457" i="1"/>
  <c r="F22457" i="1"/>
  <c r="B22458" i="1"/>
  <c r="A22458" i="1"/>
  <c r="E22458" i="1"/>
  <c r="F22458" i="1"/>
  <c r="B22459" i="1"/>
  <c r="A22459" i="1"/>
  <c r="E22459" i="1"/>
  <c r="F22459" i="1"/>
  <c r="B22460" i="1"/>
  <c r="A22460" i="1"/>
  <c r="E22460" i="1"/>
  <c r="F22460" i="1"/>
  <c r="B22461" i="1"/>
  <c r="A22461" i="1"/>
  <c r="E22461" i="1"/>
  <c r="F22461" i="1"/>
  <c r="B22462" i="1"/>
  <c r="A22462" i="1"/>
  <c r="E22462" i="1"/>
  <c r="F22462" i="1"/>
  <c r="B22463" i="1"/>
  <c r="A22463" i="1"/>
  <c r="E22463" i="1"/>
  <c r="F22463" i="1"/>
  <c r="B22464" i="1"/>
  <c r="A22464" i="1"/>
  <c r="E22464" i="1"/>
  <c r="F22464" i="1"/>
  <c r="B22465" i="1"/>
  <c r="A22465" i="1"/>
  <c r="E22465" i="1"/>
  <c r="F22465" i="1"/>
  <c r="B22466" i="1"/>
  <c r="A22466" i="1"/>
  <c r="E22466" i="1"/>
  <c r="F22466" i="1"/>
  <c r="B22467" i="1"/>
  <c r="A22467" i="1"/>
  <c r="E22467" i="1"/>
  <c r="F22467" i="1"/>
  <c r="B22468" i="1"/>
  <c r="A22468" i="1"/>
  <c r="E22468" i="1"/>
  <c r="F22468" i="1"/>
  <c r="B22469" i="1"/>
  <c r="A22469" i="1"/>
  <c r="E22469" i="1"/>
  <c r="F22469" i="1"/>
  <c r="B22470" i="1"/>
  <c r="A22470" i="1"/>
  <c r="E22470" i="1"/>
  <c r="F22470" i="1"/>
  <c r="B22471" i="1"/>
  <c r="A22471" i="1"/>
  <c r="E22471" i="1"/>
  <c r="F22471" i="1"/>
  <c r="B22472" i="1"/>
  <c r="A22472" i="1"/>
  <c r="E22472" i="1"/>
  <c r="F22472" i="1"/>
  <c r="B22473" i="1"/>
  <c r="A22473" i="1"/>
  <c r="E22473" i="1"/>
  <c r="F22473" i="1"/>
  <c r="B22474" i="1"/>
  <c r="A22474" i="1"/>
  <c r="E22474" i="1"/>
  <c r="F22474" i="1"/>
  <c r="B22475" i="1"/>
  <c r="A22475" i="1"/>
  <c r="E22475" i="1"/>
  <c r="F22475" i="1"/>
  <c r="B22476" i="1"/>
  <c r="A22476" i="1"/>
  <c r="E22476" i="1"/>
  <c r="F22476" i="1"/>
  <c r="B22477" i="1"/>
  <c r="A22477" i="1"/>
  <c r="E22477" i="1"/>
  <c r="F22477" i="1"/>
  <c r="B22478" i="1"/>
  <c r="A22478" i="1"/>
  <c r="E22478" i="1"/>
  <c r="F22478" i="1"/>
  <c r="B22479" i="1"/>
  <c r="A22479" i="1"/>
  <c r="E22479" i="1"/>
  <c r="F22479" i="1"/>
  <c r="B22480" i="1"/>
  <c r="A22480" i="1"/>
  <c r="E22480" i="1"/>
  <c r="F22480" i="1"/>
  <c r="B22481" i="1"/>
  <c r="A22481" i="1"/>
  <c r="E22481" i="1"/>
  <c r="F22481" i="1"/>
  <c r="B22482" i="1"/>
  <c r="A22482" i="1"/>
  <c r="E22482" i="1"/>
  <c r="F22482" i="1"/>
  <c r="B22483" i="1"/>
  <c r="A22483" i="1"/>
  <c r="E22483" i="1"/>
  <c r="F22483" i="1"/>
  <c r="B22484" i="1"/>
  <c r="A22484" i="1"/>
  <c r="E22484" i="1"/>
  <c r="F22484" i="1"/>
  <c r="B22485" i="1"/>
  <c r="A22485" i="1"/>
  <c r="E22485" i="1"/>
  <c r="F22485" i="1"/>
  <c r="B22486" i="1"/>
  <c r="A22486" i="1"/>
  <c r="E22486" i="1"/>
  <c r="F22486" i="1"/>
  <c r="B22487" i="1"/>
  <c r="A22487" i="1"/>
  <c r="E22487" i="1"/>
  <c r="F22487" i="1"/>
  <c r="B22488" i="1"/>
  <c r="A22488" i="1"/>
  <c r="E22488" i="1"/>
  <c r="F22488" i="1"/>
  <c r="B22489" i="1"/>
  <c r="A22489" i="1"/>
  <c r="E22489" i="1"/>
  <c r="F22489" i="1"/>
  <c r="B22490" i="1"/>
  <c r="A22490" i="1"/>
  <c r="E22490" i="1"/>
  <c r="F22490" i="1"/>
  <c r="B22491" i="1"/>
  <c r="A22491" i="1"/>
  <c r="E22491" i="1"/>
  <c r="F22491" i="1"/>
  <c r="B22492" i="1"/>
  <c r="A22492" i="1"/>
  <c r="E22492" i="1"/>
  <c r="F22492" i="1"/>
  <c r="B22493" i="1"/>
  <c r="A22493" i="1"/>
  <c r="E22493" i="1"/>
  <c r="F22493" i="1"/>
  <c r="B22494" i="1"/>
  <c r="A22494" i="1"/>
  <c r="E22494" i="1"/>
  <c r="F22494" i="1"/>
  <c r="B22495" i="1"/>
  <c r="A22495" i="1"/>
  <c r="E22495" i="1"/>
  <c r="F22495" i="1"/>
  <c r="B22496" i="1"/>
  <c r="A22496" i="1"/>
  <c r="E22496" i="1"/>
  <c r="F22496" i="1"/>
  <c r="B22497" i="1"/>
  <c r="A22497" i="1"/>
  <c r="E22497" i="1"/>
  <c r="F22497" i="1"/>
  <c r="B22498" i="1"/>
  <c r="A22498" i="1"/>
  <c r="E22498" i="1"/>
  <c r="F22498" i="1"/>
  <c r="B22499" i="1"/>
  <c r="A22499" i="1"/>
  <c r="E22499" i="1"/>
  <c r="F22499" i="1"/>
  <c r="B22500" i="1"/>
  <c r="A22500" i="1"/>
  <c r="E22500" i="1"/>
  <c r="F22500" i="1"/>
  <c r="G22500" i="1"/>
  <c r="B22501" i="1"/>
  <c r="A22501" i="1"/>
  <c r="E22501" i="1"/>
  <c r="B22502" i="1"/>
  <c r="A22502" i="1"/>
  <c r="E22502" i="1"/>
  <c r="B22503" i="1"/>
  <c r="A22503" i="1"/>
  <c r="E22503" i="1"/>
  <c r="B22504" i="1"/>
  <c r="A22504" i="1"/>
  <c r="E22504" i="1"/>
  <c r="B22505" i="1"/>
  <c r="A22505" i="1"/>
  <c r="E22505" i="1"/>
  <c r="B22506" i="1"/>
  <c r="A22506" i="1"/>
  <c r="E22506" i="1"/>
  <c r="B22507" i="1"/>
  <c r="A22507" i="1"/>
  <c r="E22507" i="1"/>
  <c r="B22508" i="1"/>
  <c r="A22508" i="1"/>
  <c r="E22508" i="1"/>
  <c r="B22509" i="1"/>
  <c r="A22509" i="1"/>
  <c r="E22509" i="1"/>
  <c r="B22510" i="1"/>
  <c r="A22510" i="1"/>
  <c r="E22510" i="1"/>
  <c r="B22511" i="1"/>
  <c r="A22511" i="1"/>
  <c r="E22511" i="1"/>
  <c r="B22512" i="1"/>
  <c r="A22512" i="1"/>
  <c r="E22512" i="1"/>
  <c r="B22513" i="1"/>
  <c r="A22513" i="1"/>
  <c r="E22513" i="1"/>
  <c r="B22514" i="1"/>
  <c r="A22514" i="1"/>
  <c r="E22514" i="1"/>
  <c r="B22515" i="1"/>
  <c r="A22515" i="1"/>
  <c r="E22515" i="1"/>
  <c r="B22516" i="1"/>
  <c r="A22516" i="1"/>
  <c r="E22516" i="1"/>
  <c r="B22517" i="1"/>
  <c r="A22517" i="1"/>
  <c r="E22517" i="1"/>
  <c r="B22518" i="1"/>
  <c r="A22518" i="1"/>
  <c r="E22518" i="1"/>
  <c r="B22519" i="1"/>
  <c r="A22519" i="1"/>
  <c r="E22519" i="1"/>
  <c r="B22520" i="1"/>
  <c r="A22520" i="1"/>
  <c r="E22520" i="1"/>
  <c r="B22521" i="1"/>
  <c r="A22521" i="1"/>
  <c r="E22521" i="1"/>
  <c r="B22522" i="1"/>
  <c r="A22522" i="1"/>
  <c r="E22522" i="1"/>
  <c r="B22523" i="1"/>
  <c r="A22523" i="1"/>
  <c r="E22523" i="1"/>
  <c r="B22524" i="1"/>
  <c r="A22524" i="1"/>
  <c r="E22524" i="1"/>
  <c r="B22525" i="1"/>
  <c r="A22525" i="1"/>
  <c r="E22525" i="1"/>
  <c r="B22526" i="1"/>
  <c r="A22526" i="1"/>
  <c r="E22526" i="1"/>
  <c r="B22527" i="1"/>
  <c r="A22527" i="1"/>
  <c r="E22527" i="1"/>
  <c r="B22528" i="1"/>
  <c r="A22528" i="1"/>
  <c r="E22528" i="1"/>
  <c r="B22529" i="1"/>
  <c r="A22529" i="1"/>
  <c r="E22529" i="1"/>
  <c r="B22530" i="1"/>
  <c r="A22530" i="1"/>
  <c r="E22530" i="1"/>
  <c r="B22531" i="1"/>
  <c r="A22531" i="1"/>
  <c r="E22531" i="1"/>
  <c r="B22532" i="1"/>
  <c r="A22532" i="1"/>
  <c r="E22532" i="1"/>
  <c r="B22533" i="1"/>
  <c r="A22533" i="1"/>
  <c r="E22533" i="1"/>
  <c r="B22534" i="1"/>
  <c r="A22534" i="1"/>
  <c r="E22534" i="1"/>
  <c r="B22535" i="1"/>
  <c r="A22535" i="1"/>
  <c r="E22535" i="1"/>
  <c r="B22536" i="1"/>
  <c r="A22536" i="1"/>
  <c r="E22536" i="1"/>
  <c r="B22537" i="1"/>
  <c r="A22537" i="1"/>
  <c r="E22537" i="1"/>
  <c r="B22538" i="1"/>
  <c r="A22538" i="1"/>
  <c r="E22538" i="1"/>
  <c r="B22539" i="1"/>
  <c r="A22539" i="1"/>
  <c r="E22539" i="1"/>
  <c r="B22540" i="1"/>
  <c r="A22540" i="1"/>
  <c r="E22540" i="1"/>
  <c r="B22541" i="1"/>
  <c r="A22541" i="1"/>
  <c r="E22541" i="1"/>
  <c r="B22542" i="1"/>
  <c r="A22542" i="1"/>
  <c r="E22542" i="1"/>
  <c r="B22543" i="1"/>
  <c r="A22543" i="1"/>
  <c r="E22543" i="1"/>
  <c r="B22544" i="1"/>
  <c r="A22544" i="1"/>
  <c r="E22544" i="1"/>
  <c r="B22545" i="1"/>
  <c r="A22545" i="1"/>
  <c r="E22545" i="1"/>
  <c r="B22546" i="1"/>
  <c r="A22546" i="1"/>
  <c r="E22546" i="1"/>
  <c r="B22547" i="1"/>
  <c r="A22547" i="1"/>
  <c r="E22547" i="1"/>
  <c r="B22548" i="1"/>
  <c r="A22548" i="1"/>
  <c r="E22548" i="1"/>
  <c r="B22549" i="1"/>
  <c r="A22549" i="1"/>
  <c r="E22549" i="1"/>
  <c r="B22550" i="1"/>
  <c r="A22550" i="1"/>
  <c r="E22550" i="1"/>
  <c r="B22551" i="1"/>
  <c r="A22551" i="1"/>
  <c r="E22551" i="1"/>
  <c r="B22552" i="1"/>
  <c r="A22552" i="1"/>
  <c r="E22552" i="1"/>
  <c r="B22553" i="1"/>
  <c r="A22553" i="1"/>
  <c r="E22553" i="1"/>
  <c r="B22554" i="1"/>
  <c r="A22554" i="1"/>
  <c r="E22554" i="1"/>
  <c r="B22555" i="1"/>
  <c r="A22555" i="1"/>
  <c r="E22555" i="1"/>
  <c r="B22556" i="1"/>
  <c r="A22556" i="1"/>
  <c r="E22556" i="1"/>
  <c r="B22557" i="1"/>
  <c r="A22557" i="1"/>
  <c r="E22557" i="1"/>
  <c r="B22558" i="1"/>
  <c r="A22558" i="1"/>
  <c r="E22558" i="1"/>
  <c r="B22559" i="1"/>
  <c r="A22559" i="1"/>
  <c r="E22559" i="1"/>
  <c r="B22560" i="1"/>
  <c r="A22560" i="1"/>
  <c r="E22560" i="1"/>
  <c r="B22561" i="1"/>
  <c r="A22561" i="1"/>
  <c r="E22561" i="1"/>
  <c r="B22562" i="1"/>
  <c r="A22562" i="1"/>
  <c r="E22562" i="1"/>
  <c r="B22563" i="1"/>
  <c r="A22563" i="1"/>
  <c r="E22563" i="1"/>
  <c r="B22564" i="1"/>
  <c r="A22564" i="1"/>
  <c r="E22564" i="1"/>
  <c r="B22565" i="1"/>
  <c r="A22565" i="1"/>
  <c r="E22565" i="1"/>
  <c r="B22566" i="1"/>
  <c r="A22566" i="1"/>
  <c r="E22566" i="1"/>
  <c r="B22567" i="1"/>
  <c r="A22567" i="1"/>
  <c r="E22567" i="1"/>
  <c r="B22568" i="1"/>
  <c r="A22568" i="1"/>
  <c r="E22568" i="1"/>
  <c r="B22569" i="1"/>
  <c r="A22569" i="1"/>
  <c r="E22569" i="1"/>
  <c r="B22570" i="1"/>
  <c r="A22570" i="1"/>
  <c r="E22570" i="1"/>
  <c r="B22571" i="1"/>
  <c r="A22571" i="1"/>
  <c r="E22571" i="1"/>
  <c r="B22572" i="1"/>
  <c r="A22572" i="1"/>
  <c r="E22572" i="1"/>
  <c r="B22573" i="1"/>
  <c r="A22573" i="1"/>
  <c r="E22573" i="1"/>
  <c r="B22574" i="1"/>
  <c r="A22574" i="1"/>
  <c r="E22574" i="1"/>
  <c r="B22575" i="1"/>
  <c r="A22575" i="1"/>
  <c r="E22575" i="1"/>
  <c r="B22576" i="1"/>
  <c r="A22576" i="1"/>
  <c r="E22576" i="1"/>
  <c r="B22577" i="1"/>
  <c r="A22577" i="1"/>
  <c r="E22577" i="1"/>
  <c r="B22578" i="1"/>
  <c r="A22578" i="1"/>
  <c r="E22578" i="1"/>
  <c r="B22579" i="1"/>
  <c r="A22579" i="1"/>
  <c r="E22579" i="1"/>
  <c r="B22580" i="1"/>
  <c r="A22580" i="1"/>
  <c r="E22580" i="1"/>
  <c r="B22581" i="1"/>
  <c r="A22581" i="1"/>
  <c r="E22581" i="1"/>
  <c r="B22582" i="1"/>
  <c r="A22582" i="1"/>
  <c r="E22582" i="1"/>
  <c r="B22583" i="1"/>
  <c r="A22583" i="1"/>
  <c r="E22583" i="1"/>
  <c r="B22584" i="1"/>
  <c r="A22584" i="1"/>
  <c r="E22584" i="1"/>
  <c r="B22585" i="1"/>
  <c r="A22585" i="1"/>
  <c r="E22585" i="1"/>
  <c r="B22586" i="1"/>
  <c r="A22586" i="1"/>
  <c r="E22586" i="1"/>
  <c r="B22587" i="1"/>
  <c r="A22587" i="1"/>
  <c r="E22587" i="1"/>
  <c r="B22588" i="1"/>
  <c r="A22588" i="1"/>
  <c r="E22588" i="1"/>
  <c r="B22589" i="1"/>
  <c r="A22589" i="1"/>
  <c r="E22589" i="1"/>
  <c r="B22590" i="1"/>
  <c r="A22590" i="1"/>
  <c r="E22590" i="1"/>
  <c r="B22591" i="1"/>
  <c r="A22591" i="1"/>
  <c r="E22591" i="1"/>
  <c r="B22592" i="1"/>
  <c r="A22592" i="1"/>
  <c r="E22592" i="1"/>
  <c r="B22593" i="1"/>
  <c r="A22593" i="1"/>
  <c r="E22593" i="1"/>
  <c r="B22594" i="1"/>
  <c r="A22594" i="1"/>
  <c r="E22594" i="1"/>
  <c r="B22595" i="1"/>
  <c r="A22595" i="1"/>
  <c r="E22595" i="1"/>
  <c r="B22596" i="1"/>
  <c r="A22596" i="1"/>
  <c r="E22596" i="1"/>
  <c r="B22597" i="1"/>
  <c r="A22597" i="1"/>
  <c r="E22597" i="1"/>
  <c r="B22598" i="1"/>
  <c r="A22598" i="1"/>
  <c r="E22598" i="1"/>
  <c r="B22599" i="1"/>
  <c r="A22599" i="1"/>
  <c r="E22599" i="1"/>
  <c r="B22600" i="1"/>
  <c r="A22600" i="1"/>
  <c r="E22600" i="1"/>
  <c r="B22601" i="1"/>
  <c r="A22601" i="1"/>
  <c r="E22601" i="1"/>
  <c r="B22602" i="1"/>
  <c r="A22602" i="1"/>
  <c r="E22602" i="1"/>
  <c r="B22603" i="1"/>
  <c r="A22603" i="1"/>
  <c r="E22603" i="1"/>
  <c r="B22604" i="1"/>
  <c r="A22604" i="1"/>
  <c r="E22604" i="1"/>
  <c r="B22605" i="1"/>
  <c r="A22605" i="1"/>
  <c r="E22605" i="1"/>
  <c r="B22606" i="1"/>
  <c r="A22606" i="1"/>
  <c r="E22606" i="1"/>
  <c r="B22607" i="1"/>
  <c r="A22607" i="1"/>
  <c r="E22607" i="1"/>
  <c r="B22608" i="1"/>
  <c r="A22608" i="1"/>
  <c r="E22608" i="1"/>
  <c r="B22609" i="1"/>
  <c r="A22609" i="1"/>
  <c r="E22609" i="1"/>
  <c r="B22610" i="1"/>
  <c r="A22610" i="1"/>
  <c r="E22610" i="1"/>
  <c r="B22611" i="1"/>
  <c r="A22611" i="1"/>
  <c r="E22611" i="1"/>
  <c r="B22612" i="1"/>
  <c r="A22612" i="1"/>
  <c r="E22612" i="1"/>
  <c r="B22613" i="1"/>
  <c r="A22613" i="1"/>
  <c r="E22613" i="1"/>
  <c r="B22614" i="1"/>
  <c r="A22614" i="1"/>
  <c r="E22614" i="1"/>
  <c r="B22615" i="1"/>
  <c r="A22615" i="1"/>
  <c r="E22615" i="1"/>
  <c r="B22616" i="1"/>
  <c r="A22616" i="1"/>
  <c r="E22616" i="1"/>
  <c r="B22617" i="1"/>
  <c r="A22617" i="1"/>
  <c r="E22617" i="1"/>
  <c r="B22618" i="1"/>
  <c r="A22618" i="1"/>
  <c r="E22618" i="1"/>
  <c r="B22619" i="1"/>
  <c r="A22619" i="1"/>
  <c r="E22619" i="1"/>
  <c r="B22620" i="1"/>
  <c r="A22620" i="1"/>
  <c r="E22620" i="1"/>
  <c r="B22621" i="1"/>
  <c r="A22621" i="1"/>
  <c r="E22621" i="1"/>
  <c r="B22622" i="1"/>
  <c r="A22622" i="1"/>
  <c r="E22622" i="1"/>
  <c r="B22623" i="1"/>
  <c r="A22623" i="1"/>
  <c r="E22623" i="1"/>
  <c r="B22624" i="1"/>
  <c r="A22624" i="1"/>
  <c r="E22624" i="1"/>
  <c r="B22625" i="1"/>
  <c r="A22625" i="1"/>
  <c r="E22625" i="1"/>
  <c r="B22626" i="1"/>
  <c r="A22626" i="1"/>
  <c r="E22626" i="1"/>
  <c r="B22627" i="1"/>
  <c r="A22627" i="1"/>
  <c r="E22627" i="1"/>
  <c r="B22628" i="1"/>
  <c r="A22628" i="1"/>
  <c r="E22628" i="1"/>
  <c r="B22629" i="1"/>
  <c r="A22629" i="1"/>
  <c r="E22629" i="1"/>
  <c r="B22630" i="1"/>
  <c r="A22630" i="1"/>
  <c r="E22630" i="1"/>
  <c r="B22631" i="1"/>
  <c r="A22631" i="1"/>
  <c r="E22631" i="1"/>
  <c r="B22632" i="1"/>
  <c r="A22632" i="1"/>
  <c r="E22632" i="1"/>
  <c r="B22633" i="1"/>
  <c r="A22633" i="1"/>
  <c r="E22633" i="1"/>
  <c r="A22634" i="1"/>
  <c r="E22634" i="1"/>
  <c r="A22635" i="1"/>
  <c r="E22635" i="1"/>
  <c r="B22636" i="1"/>
  <c r="A22636" i="1"/>
  <c r="E22636" i="1"/>
  <c r="B22637" i="1"/>
  <c r="A22637" i="1"/>
  <c r="E22637" i="1"/>
  <c r="B22638" i="1"/>
  <c r="A22638" i="1"/>
  <c r="E22638" i="1"/>
  <c r="B22639" i="1"/>
  <c r="A22639" i="1"/>
  <c r="E22639" i="1"/>
  <c r="B22640" i="1"/>
  <c r="A22640" i="1"/>
  <c r="E22640" i="1"/>
  <c r="B22641" i="1"/>
  <c r="A22641" i="1"/>
  <c r="E22641" i="1"/>
  <c r="G22641" i="1"/>
  <c r="B22642" i="1"/>
  <c r="A22642" i="1"/>
  <c r="E22642" i="1"/>
  <c r="G22642" i="1"/>
  <c r="B22643" i="1"/>
  <c r="A22643" i="1"/>
  <c r="E22643" i="1"/>
  <c r="G22643" i="1"/>
  <c r="B22644" i="1"/>
  <c r="A22644" i="1"/>
  <c r="E22644" i="1"/>
  <c r="B22645" i="1"/>
  <c r="A22645" i="1"/>
  <c r="E22645" i="1"/>
  <c r="B22646" i="1"/>
  <c r="A22646" i="1"/>
  <c r="E22646" i="1"/>
  <c r="B22647" i="1"/>
  <c r="A22647" i="1"/>
  <c r="E22647" i="1"/>
  <c r="B22648" i="1"/>
  <c r="A22648" i="1"/>
  <c r="E22648" i="1"/>
  <c r="B22649" i="1"/>
  <c r="A22649" i="1"/>
  <c r="E22649" i="1"/>
  <c r="B22650" i="1"/>
  <c r="A22650" i="1"/>
  <c r="E22650" i="1"/>
  <c r="B22651" i="1"/>
  <c r="A22651" i="1"/>
  <c r="E22651" i="1"/>
  <c r="B22652" i="1"/>
  <c r="A22652" i="1"/>
  <c r="E22652" i="1"/>
  <c r="B22653" i="1"/>
  <c r="A22653" i="1"/>
  <c r="E22653" i="1"/>
  <c r="B22654" i="1"/>
  <c r="A22654" i="1"/>
  <c r="E22654" i="1"/>
  <c r="B22655" i="1"/>
  <c r="A22655" i="1"/>
  <c r="E22655" i="1"/>
  <c r="B22656" i="1"/>
  <c r="A22656" i="1"/>
  <c r="E22656" i="1"/>
  <c r="B22657" i="1"/>
  <c r="A22657" i="1"/>
  <c r="E22657" i="1"/>
  <c r="B22658" i="1"/>
  <c r="A22658" i="1"/>
  <c r="E22658" i="1"/>
  <c r="A22659" i="1"/>
  <c r="E22659" i="1"/>
  <c r="G22659" i="1"/>
  <c r="B22660" i="1"/>
  <c r="A22660" i="1"/>
  <c r="E22660" i="1"/>
  <c r="B22661" i="1"/>
  <c r="A22661" i="1"/>
  <c r="E22661" i="1"/>
  <c r="B22662" i="1"/>
  <c r="A22662" i="1"/>
  <c r="E22662" i="1"/>
  <c r="B22663" i="1"/>
  <c r="A22663" i="1"/>
  <c r="E22663" i="1"/>
  <c r="B22664" i="1"/>
  <c r="A22664" i="1"/>
  <c r="E22664" i="1"/>
  <c r="B22665" i="1"/>
  <c r="A22665" i="1"/>
  <c r="E22665" i="1"/>
  <c r="B22666" i="1"/>
  <c r="A22666" i="1"/>
  <c r="E22666" i="1"/>
  <c r="B22667" i="1"/>
  <c r="A22667" i="1"/>
  <c r="E22667" i="1"/>
  <c r="B22668" i="1"/>
  <c r="A22668" i="1"/>
  <c r="E22668" i="1"/>
  <c r="B22669" i="1"/>
  <c r="A22669" i="1"/>
  <c r="E22669" i="1"/>
  <c r="B22670" i="1"/>
  <c r="A22670" i="1"/>
  <c r="E22670" i="1"/>
  <c r="B22671" i="1"/>
  <c r="A22671" i="1"/>
  <c r="E22671" i="1"/>
  <c r="B22672" i="1"/>
  <c r="A22672" i="1"/>
  <c r="E22672" i="1"/>
  <c r="B22673" i="1"/>
  <c r="A22673" i="1"/>
  <c r="E22673" i="1"/>
  <c r="B22674" i="1"/>
  <c r="A22674" i="1"/>
  <c r="E22674" i="1"/>
  <c r="B22675" i="1"/>
  <c r="A22675" i="1"/>
  <c r="E22675" i="1"/>
  <c r="B22676" i="1"/>
  <c r="A22676" i="1"/>
  <c r="E22676" i="1"/>
  <c r="B22677" i="1"/>
  <c r="A22677" i="1"/>
  <c r="E22677" i="1"/>
  <c r="B22678" i="1"/>
  <c r="A22678" i="1"/>
  <c r="E22678" i="1"/>
  <c r="B22679" i="1"/>
  <c r="A22679" i="1"/>
  <c r="E22679" i="1"/>
  <c r="B22680" i="1"/>
  <c r="A22680" i="1"/>
  <c r="E22680" i="1"/>
  <c r="B22681" i="1"/>
  <c r="A22681" i="1"/>
  <c r="E22681" i="1"/>
  <c r="B22682" i="1"/>
  <c r="A22682" i="1"/>
  <c r="E22682" i="1"/>
  <c r="B22683" i="1"/>
  <c r="A22683" i="1"/>
  <c r="E22683" i="1"/>
  <c r="B22684" i="1"/>
  <c r="A22684" i="1"/>
  <c r="E22684" i="1"/>
  <c r="B22685" i="1"/>
  <c r="A22685" i="1"/>
  <c r="E22685" i="1"/>
  <c r="B22686" i="1"/>
  <c r="A22686" i="1"/>
  <c r="E22686" i="1"/>
  <c r="B22687" i="1"/>
  <c r="A22687" i="1"/>
  <c r="E22687" i="1"/>
  <c r="B22688" i="1"/>
  <c r="A22688" i="1"/>
  <c r="E22688" i="1"/>
  <c r="B22689" i="1"/>
  <c r="A22689" i="1"/>
  <c r="E22689" i="1"/>
  <c r="B22690" i="1"/>
  <c r="A22690" i="1"/>
  <c r="E22690" i="1"/>
  <c r="B22691" i="1"/>
  <c r="A22691" i="1"/>
  <c r="E22691" i="1"/>
  <c r="B22692" i="1"/>
  <c r="A22692" i="1"/>
  <c r="E22692" i="1"/>
  <c r="B22693" i="1"/>
  <c r="A22693" i="1"/>
  <c r="E22693" i="1"/>
  <c r="B22694" i="1"/>
  <c r="A22694" i="1"/>
  <c r="E22694" i="1"/>
  <c r="B22695" i="1"/>
  <c r="A22695" i="1"/>
  <c r="E22695" i="1"/>
  <c r="B22696" i="1"/>
  <c r="A22696" i="1"/>
  <c r="E22696" i="1"/>
  <c r="B22697" i="1"/>
  <c r="A22697" i="1"/>
  <c r="E22697" i="1"/>
  <c r="B22698" i="1"/>
  <c r="A22698" i="1"/>
  <c r="E22698" i="1"/>
  <c r="B22699" i="1"/>
  <c r="A22699" i="1"/>
  <c r="E22699" i="1"/>
  <c r="B22700" i="1"/>
  <c r="A22700" i="1"/>
  <c r="E22700" i="1"/>
  <c r="B22701" i="1"/>
  <c r="A22701" i="1"/>
  <c r="E22701" i="1"/>
  <c r="B22702" i="1"/>
  <c r="A22702" i="1"/>
  <c r="E22702" i="1"/>
  <c r="B22703" i="1"/>
  <c r="A22703" i="1"/>
  <c r="E22703" i="1"/>
  <c r="B22704" i="1"/>
  <c r="A22704" i="1"/>
  <c r="E22704" i="1"/>
  <c r="B22705" i="1"/>
  <c r="A22705" i="1"/>
  <c r="E22705" i="1"/>
  <c r="B22706" i="1"/>
  <c r="A22706" i="1"/>
  <c r="E22706" i="1"/>
  <c r="B22707" i="1"/>
  <c r="A22707" i="1"/>
  <c r="E22707" i="1"/>
  <c r="B22708" i="1"/>
  <c r="A22708" i="1"/>
  <c r="E22708" i="1"/>
  <c r="B22709" i="1"/>
  <c r="A22709" i="1"/>
  <c r="E22709" i="1"/>
  <c r="B22710" i="1"/>
  <c r="A22710" i="1"/>
  <c r="E22710" i="1"/>
  <c r="B22711" i="1"/>
  <c r="A22711" i="1"/>
  <c r="E22711" i="1"/>
  <c r="B22712" i="1"/>
  <c r="A22712" i="1"/>
  <c r="E22712" i="1"/>
  <c r="B22713" i="1"/>
  <c r="A22713" i="1"/>
  <c r="E22713" i="1"/>
  <c r="B22714" i="1"/>
  <c r="A22714" i="1"/>
  <c r="E22714" i="1"/>
  <c r="B22715" i="1"/>
  <c r="A22715" i="1"/>
  <c r="E22715" i="1"/>
  <c r="B22716" i="1"/>
  <c r="A22716" i="1"/>
  <c r="E22716" i="1"/>
  <c r="B22717" i="1"/>
  <c r="A22717" i="1"/>
  <c r="E22717" i="1"/>
  <c r="B22718" i="1"/>
  <c r="A22718" i="1"/>
  <c r="E22718" i="1"/>
  <c r="B22719" i="1"/>
  <c r="A22719" i="1"/>
  <c r="E22719" i="1"/>
  <c r="B22720" i="1"/>
  <c r="A22720" i="1"/>
  <c r="E22720" i="1"/>
  <c r="B22721" i="1"/>
  <c r="A22721" i="1"/>
  <c r="E22721" i="1"/>
  <c r="B22722" i="1"/>
  <c r="A22722" i="1"/>
  <c r="E22722" i="1"/>
  <c r="B22723" i="1"/>
  <c r="A22723" i="1"/>
  <c r="E22723" i="1"/>
  <c r="B22724" i="1"/>
  <c r="A22724" i="1"/>
  <c r="E22724" i="1"/>
  <c r="B22725" i="1"/>
  <c r="A22725" i="1"/>
  <c r="E22725" i="1"/>
  <c r="B22726" i="1"/>
  <c r="A22726" i="1"/>
  <c r="E22726" i="1"/>
  <c r="B22727" i="1"/>
  <c r="A22727" i="1"/>
  <c r="E22727" i="1"/>
  <c r="B22728" i="1"/>
  <c r="A22728" i="1"/>
  <c r="E22728" i="1"/>
  <c r="B22729" i="1"/>
  <c r="A22729" i="1"/>
  <c r="E22729" i="1"/>
  <c r="B22730" i="1"/>
  <c r="A22730" i="1"/>
  <c r="E22730" i="1"/>
  <c r="B22731" i="1"/>
  <c r="A22731" i="1"/>
  <c r="E22731" i="1"/>
  <c r="B22732" i="1"/>
  <c r="A22732" i="1"/>
  <c r="E22732" i="1"/>
  <c r="B22733" i="1"/>
  <c r="A22733" i="1"/>
  <c r="E22733" i="1"/>
  <c r="B22734" i="1"/>
  <c r="A22734" i="1"/>
  <c r="E22734" i="1"/>
  <c r="B22735" i="1"/>
  <c r="A22735" i="1"/>
  <c r="E22735" i="1"/>
  <c r="B22736" i="1"/>
  <c r="A22736" i="1"/>
  <c r="E22736" i="1"/>
  <c r="B22737" i="1"/>
  <c r="A22737" i="1"/>
  <c r="E22737" i="1"/>
  <c r="B22738" i="1"/>
  <c r="A22738" i="1"/>
  <c r="E22738" i="1"/>
  <c r="B22739" i="1"/>
  <c r="A22739" i="1"/>
  <c r="E22739" i="1"/>
  <c r="B22740" i="1"/>
  <c r="A22740" i="1"/>
  <c r="E22740" i="1"/>
  <c r="B22741" i="1"/>
  <c r="A22741" i="1"/>
  <c r="E22741" i="1"/>
  <c r="B22742" i="1"/>
  <c r="A22742" i="1"/>
  <c r="E22742" i="1"/>
  <c r="B22743" i="1"/>
  <c r="A22743" i="1"/>
  <c r="E22743" i="1"/>
  <c r="B22744" i="1"/>
  <c r="A22744" i="1"/>
  <c r="E22744" i="1"/>
  <c r="B22745" i="1"/>
  <c r="A22745" i="1"/>
  <c r="E22745" i="1"/>
  <c r="B22746" i="1"/>
  <c r="A22746" i="1"/>
  <c r="E22746" i="1"/>
  <c r="B22747" i="1"/>
  <c r="A22747" i="1"/>
  <c r="E22747" i="1"/>
  <c r="B22748" i="1"/>
  <c r="A22748" i="1"/>
  <c r="E22748" i="1"/>
  <c r="B22749" i="1"/>
  <c r="A22749" i="1"/>
  <c r="E22749" i="1"/>
  <c r="B22750" i="1"/>
  <c r="A22750" i="1"/>
  <c r="E22750" i="1"/>
  <c r="B22751" i="1"/>
  <c r="A22751" i="1"/>
  <c r="E22751" i="1"/>
  <c r="B22752" i="1"/>
  <c r="A22752" i="1"/>
  <c r="E22752" i="1"/>
  <c r="B22753" i="1"/>
  <c r="A22753" i="1"/>
  <c r="E22753" i="1"/>
  <c r="B22754" i="1"/>
  <c r="A22754" i="1"/>
  <c r="E22754" i="1"/>
  <c r="B22755" i="1"/>
  <c r="A22755" i="1"/>
  <c r="E22755" i="1"/>
  <c r="B22756" i="1"/>
  <c r="A22756" i="1"/>
  <c r="E22756" i="1"/>
  <c r="B22757" i="1"/>
  <c r="A22757" i="1"/>
  <c r="E22757" i="1"/>
  <c r="B22758" i="1"/>
  <c r="A22758" i="1"/>
  <c r="E22758" i="1"/>
  <c r="B22759" i="1"/>
  <c r="A22759" i="1"/>
  <c r="E22759" i="1"/>
  <c r="B22760" i="1"/>
  <c r="A22760" i="1"/>
  <c r="E22760" i="1"/>
  <c r="B22761" i="1"/>
  <c r="A22761" i="1"/>
  <c r="E22761" i="1"/>
  <c r="B22762" i="1"/>
  <c r="A22762" i="1"/>
  <c r="E22762" i="1"/>
  <c r="B22763" i="1"/>
  <c r="A22763" i="1"/>
  <c r="E22763" i="1"/>
  <c r="B22764" i="1"/>
  <c r="A22764" i="1"/>
  <c r="E22764" i="1"/>
  <c r="B22765" i="1"/>
  <c r="A22765" i="1"/>
  <c r="E22765" i="1"/>
  <c r="B22766" i="1"/>
  <c r="A22766" i="1"/>
  <c r="E22766" i="1"/>
  <c r="B22767" i="1"/>
  <c r="A22767" i="1"/>
  <c r="E22767" i="1"/>
  <c r="B22768" i="1"/>
  <c r="A22768" i="1"/>
  <c r="E22768" i="1"/>
  <c r="B22769" i="1"/>
  <c r="A22769" i="1"/>
  <c r="E22769" i="1"/>
  <c r="B22770" i="1"/>
  <c r="A22770" i="1"/>
  <c r="E22770" i="1"/>
  <c r="B22771" i="1"/>
  <c r="A22771" i="1"/>
  <c r="E22771" i="1"/>
  <c r="B22772" i="1"/>
  <c r="A22772" i="1"/>
  <c r="E22772" i="1"/>
  <c r="B22773" i="1"/>
  <c r="A22773" i="1"/>
  <c r="E22773" i="1"/>
  <c r="B22774" i="1"/>
  <c r="A22774" i="1"/>
  <c r="E22774" i="1"/>
  <c r="B22775" i="1"/>
  <c r="A22775" i="1"/>
  <c r="E22775" i="1"/>
  <c r="B22776" i="1"/>
  <c r="A22776" i="1"/>
  <c r="E22776" i="1"/>
  <c r="B22777" i="1"/>
  <c r="A22777" i="1"/>
  <c r="E22777" i="1"/>
  <c r="B22778" i="1"/>
  <c r="A22778" i="1"/>
  <c r="E22778" i="1"/>
  <c r="B22779" i="1"/>
  <c r="A22779" i="1"/>
  <c r="E22779" i="1"/>
  <c r="B22780" i="1"/>
  <c r="A22780" i="1"/>
  <c r="E22780" i="1"/>
  <c r="B22781" i="1"/>
  <c r="A22781" i="1"/>
  <c r="E22781" i="1"/>
  <c r="B22782" i="1"/>
  <c r="A22782" i="1"/>
  <c r="E22782" i="1"/>
  <c r="B22783" i="1"/>
  <c r="A22783" i="1"/>
  <c r="E22783" i="1"/>
  <c r="B22784" i="1"/>
  <c r="A22784" i="1"/>
  <c r="E22784" i="1"/>
  <c r="B22785" i="1"/>
  <c r="A22785" i="1"/>
  <c r="E22785" i="1"/>
  <c r="B22786" i="1"/>
  <c r="A22786" i="1"/>
  <c r="E22786" i="1"/>
  <c r="B22787" i="1"/>
  <c r="A22787" i="1"/>
  <c r="E22787" i="1"/>
  <c r="B22788" i="1"/>
  <c r="A22788" i="1"/>
  <c r="E22788" i="1"/>
  <c r="B22789" i="1"/>
  <c r="A22789" i="1"/>
  <c r="E22789" i="1"/>
  <c r="B22790" i="1"/>
  <c r="A22790" i="1"/>
  <c r="E22790" i="1"/>
  <c r="B22791" i="1"/>
  <c r="A22791" i="1"/>
  <c r="E22791" i="1"/>
  <c r="B22792" i="1"/>
  <c r="A22792" i="1"/>
  <c r="E22792" i="1"/>
  <c r="B22793" i="1"/>
  <c r="A22793" i="1"/>
  <c r="E22793" i="1"/>
  <c r="B22794" i="1"/>
  <c r="A22794" i="1"/>
  <c r="E22794" i="1"/>
  <c r="B22795" i="1"/>
  <c r="A22795" i="1"/>
  <c r="E22795" i="1"/>
  <c r="B22796" i="1"/>
  <c r="A22796" i="1"/>
  <c r="E22796" i="1"/>
  <c r="B22797" i="1"/>
  <c r="A22797" i="1"/>
  <c r="E22797" i="1"/>
  <c r="B22798" i="1"/>
  <c r="A22798" i="1"/>
  <c r="E22798" i="1"/>
  <c r="B22799" i="1"/>
  <c r="A22799" i="1"/>
  <c r="E22799" i="1"/>
  <c r="B22800" i="1"/>
  <c r="A22800" i="1"/>
  <c r="E22800" i="1"/>
  <c r="B22801" i="1"/>
  <c r="A22801" i="1"/>
  <c r="E22801" i="1"/>
  <c r="B22802" i="1"/>
  <c r="A22802" i="1"/>
  <c r="E22802" i="1"/>
  <c r="B22803" i="1"/>
  <c r="A22803" i="1"/>
  <c r="E22803" i="1"/>
  <c r="B22804" i="1"/>
  <c r="A22804" i="1"/>
  <c r="E22804" i="1"/>
  <c r="B22805" i="1"/>
  <c r="A22805" i="1"/>
  <c r="E22805" i="1"/>
  <c r="B22806" i="1"/>
  <c r="A22806" i="1"/>
  <c r="E22806" i="1"/>
  <c r="B22807" i="1"/>
  <c r="A22807" i="1"/>
  <c r="E22807" i="1"/>
  <c r="B22808" i="1"/>
  <c r="A22808" i="1"/>
  <c r="E22808" i="1"/>
  <c r="B22809" i="1"/>
  <c r="A22809" i="1"/>
  <c r="E22809" i="1"/>
  <c r="B22810" i="1"/>
  <c r="A22810" i="1"/>
  <c r="E22810" i="1"/>
  <c r="B22811" i="1"/>
  <c r="A22811" i="1"/>
  <c r="E22811" i="1"/>
  <c r="B22812" i="1"/>
  <c r="A22812" i="1"/>
  <c r="E22812" i="1"/>
  <c r="B22813" i="1"/>
  <c r="A22813" i="1"/>
  <c r="E22813" i="1"/>
  <c r="B22814" i="1"/>
  <c r="A22814" i="1"/>
  <c r="E22814" i="1"/>
  <c r="B22815" i="1"/>
  <c r="A22815" i="1"/>
  <c r="E22815" i="1"/>
  <c r="B22816" i="1"/>
  <c r="A22816" i="1"/>
  <c r="E22816" i="1"/>
  <c r="B22817" i="1"/>
  <c r="A22817" i="1"/>
  <c r="E22817" i="1"/>
  <c r="B22818" i="1"/>
  <c r="A22818" i="1"/>
  <c r="E22818" i="1"/>
  <c r="B22819" i="1"/>
  <c r="A22819" i="1"/>
  <c r="E22819" i="1"/>
  <c r="B22820" i="1"/>
  <c r="A22820" i="1"/>
  <c r="E22820" i="1"/>
  <c r="B22821" i="1"/>
  <c r="A22821" i="1"/>
  <c r="E22821" i="1"/>
  <c r="B22822" i="1"/>
  <c r="A22822" i="1"/>
  <c r="E22822" i="1"/>
  <c r="B22823" i="1"/>
  <c r="A22823" i="1"/>
  <c r="E22823" i="1"/>
  <c r="B22824" i="1"/>
  <c r="A22824" i="1"/>
  <c r="E22824" i="1"/>
  <c r="B22825" i="1"/>
  <c r="A22825" i="1"/>
  <c r="E22825" i="1"/>
  <c r="B22826" i="1"/>
  <c r="A22826" i="1"/>
  <c r="E22826" i="1"/>
  <c r="B22827" i="1"/>
  <c r="A22827" i="1"/>
  <c r="E22827" i="1"/>
  <c r="B22828" i="1"/>
  <c r="A22828" i="1"/>
  <c r="E22828" i="1"/>
  <c r="B22829" i="1"/>
  <c r="A22829" i="1"/>
  <c r="E22829" i="1"/>
  <c r="B22830" i="1"/>
  <c r="A22830" i="1"/>
  <c r="E22830" i="1"/>
  <c r="B22831" i="1"/>
  <c r="A22831" i="1"/>
  <c r="E22831" i="1"/>
  <c r="B22832" i="1"/>
  <c r="A22832" i="1"/>
  <c r="E22832" i="1"/>
  <c r="B22833" i="1"/>
  <c r="A22833" i="1"/>
  <c r="E22833" i="1"/>
  <c r="B22834" i="1"/>
  <c r="A22834" i="1"/>
  <c r="E22834" i="1"/>
  <c r="B22835" i="1"/>
  <c r="A22835" i="1"/>
  <c r="E22835" i="1"/>
  <c r="B22836" i="1"/>
  <c r="A22836" i="1"/>
  <c r="E22836" i="1"/>
  <c r="B22837" i="1"/>
  <c r="A22837" i="1"/>
  <c r="E22837" i="1"/>
  <c r="B22838" i="1"/>
  <c r="A22838" i="1"/>
  <c r="E22838" i="1"/>
  <c r="B22839" i="1"/>
  <c r="A22839" i="1"/>
  <c r="E22839" i="1"/>
  <c r="B22840" i="1"/>
  <c r="A22840" i="1"/>
  <c r="E22840" i="1"/>
  <c r="B22841" i="1"/>
  <c r="A22841" i="1"/>
  <c r="E22841" i="1"/>
  <c r="B22842" i="1"/>
  <c r="A22842" i="1"/>
  <c r="E22842" i="1"/>
  <c r="B22843" i="1"/>
  <c r="A22843" i="1"/>
  <c r="E22843" i="1"/>
  <c r="B22844" i="1"/>
  <c r="A22844" i="1"/>
  <c r="E22844" i="1"/>
  <c r="B22845" i="1"/>
  <c r="A22845" i="1"/>
  <c r="E22845" i="1"/>
  <c r="B22846" i="1"/>
  <c r="A22846" i="1"/>
  <c r="E22846" i="1"/>
  <c r="B22847" i="1"/>
  <c r="A22847" i="1"/>
  <c r="E22847" i="1"/>
  <c r="B22848" i="1"/>
  <c r="A22848" i="1"/>
  <c r="E22848" i="1"/>
  <c r="B22849" i="1"/>
  <c r="A22849" i="1"/>
  <c r="E22849" i="1"/>
  <c r="B22850" i="1"/>
  <c r="A22850" i="1"/>
  <c r="E22850" i="1"/>
  <c r="B22851" i="1"/>
  <c r="A22851" i="1"/>
  <c r="E22851" i="1"/>
  <c r="B22852" i="1"/>
  <c r="A22852" i="1"/>
  <c r="E22852" i="1"/>
  <c r="B22853" i="1"/>
  <c r="A22853" i="1"/>
  <c r="E22853" i="1"/>
  <c r="B22854" i="1"/>
  <c r="A22854" i="1"/>
  <c r="E22854" i="1"/>
  <c r="B22855" i="1"/>
  <c r="A22855" i="1"/>
  <c r="E22855" i="1"/>
  <c r="B22856" i="1"/>
  <c r="A22856" i="1"/>
  <c r="E22856" i="1"/>
  <c r="B22857" i="1"/>
  <c r="A22857" i="1"/>
  <c r="E22857" i="1"/>
  <c r="B22858" i="1"/>
  <c r="A22858" i="1"/>
  <c r="E22858" i="1"/>
  <c r="B22859" i="1"/>
  <c r="A22859" i="1"/>
  <c r="E22859" i="1"/>
  <c r="B22860" i="1"/>
  <c r="A22860" i="1"/>
  <c r="E22860" i="1"/>
  <c r="B22861" i="1"/>
  <c r="A22861" i="1"/>
  <c r="E22861" i="1"/>
  <c r="B22862" i="1"/>
  <c r="A22862" i="1"/>
  <c r="E22862" i="1"/>
  <c r="B22863" i="1"/>
  <c r="A22863" i="1"/>
  <c r="E22863" i="1"/>
  <c r="B22864" i="1"/>
  <c r="A22864" i="1"/>
  <c r="E22864" i="1"/>
  <c r="B22865" i="1"/>
  <c r="A22865" i="1"/>
  <c r="E22865" i="1"/>
  <c r="B22866" i="1"/>
  <c r="A22866" i="1"/>
  <c r="E22866" i="1"/>
  <c r="B22867" i="1"/>
  <c r="A22867" i="1"/>
  <c r="E22867" i="1"/>
  <c r="B22868" i="1"/>
  <c r="A22868" i="1"/>
  <c r="E22868" i="1"/>
  <c r="B22869" i="1"/>
  <c r="A22869" i="1"/>
  <c r="E22869" i="1"/>
  <c r="B22870" i="1"/>
  <c r="A22870" i="1"/>
  <c r="E22870" i="1"/>
  <c r="B22871" i="1"/>
  <c r="A22871" i="1"/>
  <c r="E22871" i="1"/>
  <c r="B22872" i="1"/>
  <c r="A22872" i="1"/>
  <c r="E22872" i="1"/>
  <c r="B22873" i="1"/>
  <c r="A22873" i="1"/>
  <c r="E22873" i="1"/>
  <c r="B22874" i="1"/>
  <c r="A22874" i="1"/>
  <c r="E22874" i="1"/>
  <c r="B22875" i="1"/>
  <c r="A22875" i="1"/>
  <c r="E22875" i="1"/>
  <c r="B22876" i="1"/>
  <c r="A22876" i="1"/>
  <c r="E22876" i="1"/>
  <c r="B22877" i="1"/>
  <c r="A22877" i="1"/>
  <c r="E22877" i="1"/>
  <c r="B22878" i="1"/>
  <c r="A22878" i="1"/>
  <c r="E22878" i="1"/>
  <c r="B22879" i="1"/>
  <c r="A22879" i="1"/>
  <c r="E22879" i="1"/>
  <c r="B22880" i="1"/>
  <c r="A22880" i="1"/>
  <c r="E22880" i="1"/>
  <c r="B22881" i="1"/>
  <c r="A22881" i="1"/>
  <c r="E22881" i="1"/>
  <c r="B22882" i="1"/>
  <c r="A22882" i="1"/>
  <c r="E22882" i="1"/>
  <c r="B22883" i="1"/>
  <c r="A22883" i="1"/>
  <c r="E22883" i="1"/>
  <c r="B22884" i="1"/>
  <c r="A22884" i="1"/>
  <c r="E22884" i="1"/>
  <c r="B22885" i="1"/>
  <c r="A22885" i="1"/>
  <c r="E22885" i="1"/>
  <c r="B22886" i="1"/>
  <c r="A22886" i="1"/>
  <c r="E22886" i="1"/>
  <c r="B22887" i="1"/>
  <c r="A22887" i="1"/>
  <c r="E22887" i="1"/>
  <c r="B22888" i="1"/>
  <c r="A22888" i="1"/>
  <c r="E22888" i="1"/>
  <c r="B22889" i="1"/>
  <c r="A22889" i="1"/>
  <c r="E22889" i="1"/>
  <c r="B22890" i="1"/>
  <c r="A22890" i="1"/>
  <c r="E22890" i="1"/>
  <c r="B22891" i="1"/>
  <c r="A22891" i="1"/>
  <c r="E22891" i="1"/>
  <c r="B22892" i="1"/>
  <c r="A22892" i="1"/>
  <c r="E22892" i="1"/>
  <c r="B22893" i="1"/>
  <c r="A22893" i="1"/>
  <c r="E22893" i="1"/>
  <c r="B22894" i="1"/>
  <c r="A22894" i="1"/>
  <c r="E22894" i="1"/>
  <c r="B22895" i="1"/>
  <c r="A22895" i="1"/>
  <c r="E22895" i="1"/>
  <c r="B22896" i="1"/>
  <c r="A22896" i="1"/>
  <c r="E22896" i="1"/>
  <c r="B22897" i="1"/>
  <c r="A22897" i="1"/>
  <c r="E22897" i="1"/>
  <c r="B22898" i="1"/>
  <c r="A22898" i="1"/>
  <c r="E22898" i="1"/>
  <c r="B22899" i="1"/>
  <c r="A22899" i="1"/>
  <c r="E22899" i="1"/>
  <c r="B22900" i="1"/>
  <c r="A22900" i="1"/>
  <c r="E22900" i="1"/>
  <c r="B22901" i="1"/>
  <c r="A22901" i="1"/>
  <c r="E22901" i="1"/>
  <c r="B22902" i="1"/>
  <c r="A22902" i="1"/>
  <c r="E22902" i="1"/>
  <c r="B22903" i="1"/>
  <c r="A22903" i="1"/>
  <c r="E22903" i="1"/>
  <c r="B22904" i="1"/>
  <c r="A22904" i="1"/>
  <c r="E22904" i="1"/>
  <c r="B22905" i="1"/>
  <c r="A22905" i="1"/>
  <c r="E22905" i="1"/>
  <c r="B22906" i="1"/>
  <c r="A22906" i="1"/>
  <c r="E22906" i="1"/>
  <c r="B22907" i="1"/>
  <c r="A22907" i="1"/>
  <c r="E22907" i="1"/>
  <c r="B22908" i="1"/>
  <c r="A22908" i="1"/>
  <c r="E22908" i="1"/>
  <c r="B22909" i="1"/>
  <c r="A22909" i="1"/>
  <c r="E22909" i="1"/>
  <c r="B22910" i="1"/>
  <c r="A22910" i="1"/>
  <c r="E22910" i="1"/>
  <c r="B22911" i="1"/>
  <c r="A22911" i="1"/>
  <c r="E22911" i="1"/>
  <c r="B22912" i="1"/>
  <c r="A22912" i="1"/>
  <c r="E22912" i="1"/>
  <c r="B22913" i="1"/>
  <c r="A22913" i="1"/>
  <c r="E22913" i="1"/>
  <c r="B22914" i="1"/>
  <c r="A22914" i="1"/>
  <c r="E22914" i="1"/>
  <c r="B22915" i="1"/>
  <c r="A22915" i="1"/>
  <c r="E22915" i="1"/>
  <c r="B22916" i="1"/>
  <c r="A22916" i="1"/>
  <c r="E22916" i="1"/>
  <c r="B22917" i="1"/>
  <c r="A22917" i="1"/>
  <c r="E22917" i="1"/>
  <c r="B22918" i="1"/>
  <c r="A22918" i="1"/>
  <c r="E22918" i="1"/>
  <c r="B22919" i="1"/>
  <c r="A22919" i="1"/>
  <c r="E22919" i="1"/>
  <c r="B22920" i="1"/>
  <c r="A22920" i="1"/>
  <c r="E22920" i="1"/>
  <c r="B22921" i="1"/>
  <c r="A22921" i="1"/>
  <c r="E22921" i="1"/>
  <c r="B22922" i="1"/>
  <c r="A22922" i="1"/>
  <c r="E22922" i="1"/>
  <c r="B22923" i="1"/>
  <c r="A22923" i="1"/>
  <c r="E22923" i="1"/>
  <c r="B22924" i="1"/>
  <c r="A22924" i="1"/>
  <c r="E22924" i="1"/>
  <c r="B22925" i="1"/>
  <c r="A22925" i="1"/>
  <c r="E22925" i="1"/>
  <c r="B22926" i="1"/>
  <c r="A22926" i="1"/>
  <c r="E22926" i="1"/>
  <c r="B22927" i="1"/>
  <c r="A22927" i="1"/>
  <c r="E22927" i="1"/>
  <c r="B22928" i="1"/>
  <c r="A22928" i="1"/>
  <c r="E22928" i="1"/>
  <c r="B22929" i="1"/>
  <c r="A22929" i="1"/>
  <c r="E22929" i="1"/>
  <c r="B22930" i="1"/>
  <c r="A22930" i="1"/>
  <c r="E22930" i="1"/>
  <c r="B22931" i="1"/>
  <c r="A22931" i="1"/>
  <c r="E22931" i="1"/>
  <c r="B22932" i="1"/>
  <c r="A22932" i="1"/>
  <c r="E22932" i="1"/>
  <c r="B22933" i="1"/>
  <c r="A22933" i="1"/>
  <c r="E22933" i="1"/>
  <c r="B22934" i="1"/>
  <c r="A22934" i="1"/>
  <c r="E22934" i="1"/>
  <c r="B22935" i="1"/>
  <c r="A22935" i="1"/>
  <c r="E22935" i="1"/>
  <c r="B22936" i="1"/>
  <c r="A22936" i="1"/>
  <c r="E22936" i="1"/>
  <c r="B22937" i="1"/>
  <c r="A22937" i="1"/>
  <c r="E22937" i="1"/>
  <c r="B22938" i="1"/>
  <c r="A22938" i="1"/>
  <c r="E22938" i="1"/>
  <c r="B22939" i="1"/>
  <c r="A22939" i="1"/>
  <c r="E22939" i="1"/>
  <c r="B22940" i="1"/>
  <c r="A22940" i="1"/>
  <c r="E22940" i="1"/>
  <c r="B22941" i="1"/>
  <c r="A22941" i="1"/>
  <c r="E22941" i="1"/>
  <c r="B22942" i="1"/>
  <c r="A22942" i="1"/>
  <c r="E22942" i="1"/>
  <c r="B22943" i="1"/>
  <c r="A22943" i="1"/>
  <c r="E22943" i="1"/>
  <c r="B22944" i="1"/>
  <c r="A22944" i="1"/>
  <c r="E22944" i="1"/>
  <c r="B22945" i="1"/>
  <c r="A22945" i="1"/>
  <c r="E22945" i="1"/>
  <c r="B22946" i="1"/>
  <c r="A22946" i="1"/>
  <c r="E22946" i="1"/>
  <c r="B22947" i="1"/>
  <c r="A22947" i="1"/>
  <c r="E22947" i="1"/>
  <c r="B22948" i="1"/>
  <c r="A22948" i="1"/>
  <c r="E22948" i="1"/>
  <c r="B22949" i="1"/>
  <c r="A22949" i="1"/>
  <c r="E22949" i="1"/>
  <c r="B22950" i="1"/>
  <c r="A22950" i="1"/>
  <c r="E22950" i="1"/>
  <c r="B22951" i="1"/>
  <c r="A22951" i="1"/>
  <c r="E22951" i="1"/>
  <c r="B22952" i="1"/>
  <c r="A22952" i="1"/>
  <c r="E22952" i="1"/>
  <c r="B22953" i="1"/>
  <c r="A22953" i="1"/>
  <c r="E22953" i="1"/>
  <c r="B22954" i="1"/>
  <c r="A22954" i="1"/>
  <c r="E22954" i="1"/>
  <c r="B22955" i="1"/>
  <c r="A22955" i="1"/>
  <c r="E22955" i="1"/>
  <c r="B22956" i="1"/>
  <c r="A22956" i="1"/>
  <c r="E22956" i="1"/>
  <c r="B22957" i="1"/>
  <c r="A22957" i="1"/>
  <c r="E22957" i="1"/>
  <c r="B22958" i="1"/>
  <c r="A22958" i="1"/>
  <c r="E22958" i="1"/>
  <c r="B22959" i="1"/>
  <c r="A22959" i="1"/>
  <c r="E22959" i="1"/>
  <c r="B22960" i="1"/>
  <c r="A22960" i="1"/>
  <c r="E22960" i="1"/>
  <c r="B22961" i="1"/>
  <c r="A22961" i="1"/>
  <c r="E22961" i="1"/>
  <c r="B22962" i="1"/>
  <c r="A22962" i="1"/>
  <c r="E22962" i="1"/>
  <c r="B22963" i="1"/>
  <c r="A22963" i="1"/>
  <c r="E22963" i="1"/>
  <c r="B22964" i="1"/>
  <c r="A22964" i="1"/>
  <c r="E22964" i="1"/>
  <c r="B22965" i="1"/>
  <c r="A22965" i="1"/>
  <c r="E22965" i="1"/>
  <c r="B22966" i="1"/>
  <c r="A22966" i="1"/>
  <c r="E22966" i="1"/>
  <c r="B22967" i="1"/>
  <c r="A22967" i="1"/>
  <c r="E22967" i="1"/>
  <c r="B22968" i="1"/>
  <c r="A22968" i="1"/>
  <c r="E22968" i="1"/>
  <c r="G22968" i="1"/>
  <c r="B22969" i="1"/>
  <c r="A22969" i="1"/>
  <c r="E22969" i="1"/>
  <c r="G22969" i="1"/>
  <c r="B22970" i="1"/>
  <c r="A22970" i="1"/>
  <c r="E22970" i="1"/>
  <c r="G22970" i="1"/>
  <c r="B22971" i="1"/>
  <c r="A22971" i="1"/>
  <c r="E22971" i="1"/>
  <c r="B22972" i="1"/>
  <c r="A22972" i="1"/>
  <c r="E22972" i="1"/>
  <c r="B22973" i="1"/>
  <c r="A22973" i="1"/>
  <c r="E22973" i="1"/>
  <c r="B22974" i="1"/>
  <c r="A22974" i="1"/>
  <c r="E22974" i="1"/>
  <c r="B22975" i="1"/>
  <c r="A22975" i="1"/>
  <c r="E22975" i="1"/>
  <c r="B22976" i="1"/>
  <c r="A22976" i="1"/>
  <c r="E22976" i="1"/>
  <c r="B22977" i="1"/>
  <c r="A22977" i="1"/>
  <c r="E22977" i="1"/>
  <c r="B22978" i="1"/>
  <c r="A22978" i="1"/>
  <c r="E22978" i="1"/>
  <c r="B22979" i="1"/>
  <c r="A22979" i="1"/>
  <c r="E22979" i="1"/>
  <c r="B22980" i="1"/>
  <c r="A22980" i="1"/>
  <c r="E22980" i="1"/>
  <c r="B22981" i="1"/>
  <c r="A22981" i="1"/>
  <c r="E22981" i="1"/>
  <c r="B22982" i="1"/>
  <c r="A22982" i="1"/>
  <c r="E22982" i="1"/>
  <c r="B22983" i="1"/>
  <c r="A22983" i="1"/>
  <c r="E22983" i="1"/>
  <c r="B22984" i="1"/>
  <c r="A22984" i="1"/>
  <c r="E22984" i="1"/>
  <c r="B22985" i="1"/>
  <c r="A22985" i="1"/>
  <c r="E22985" i="1"/>
  <c r="B22986" i="1"/>
  <c r="A22986" i="1"/>
  <c r="E22986" i="1"/>
  <c r="B22987" i="1"/>
  <c r="A22987" i="1"/>
  <c r="E22987" i="1"/>
  <c r="B22988" i="1"/>
  <c r="A22988" i="1"/>
  <c r="E22988" i="1"/>
  <c r="B22989" i="1"/>
  <c r="A22989" i="1"/>
  <c r="E22989" i="1"/>
  <c r="B22990" i="1"/>
  <c r="A22990" i="1"/>
  <c r="E22990" i="1"/>
  <c r="B22991" i="1"/>
  <c r="A22991" i="1"/>
  <c r="E22991" i="1"/>
  <c r="B22992" i="1"/>
  <c r="A22992" i="1"/>
  <c r="E22992" i="1"/>
  <c r="B22993" i="1"/>
  <c r="A22993" i="1"/>
  <c r="E22993" i="1"/>
  <c r="B22994" i="1"/>
  <c r="A22994" i="1"/>
  <c r="E22994" i="1"/>
  <c r="B22995" i="1"/>
  <c r="A22995" i="1"/>
  <c r="E22995" i="1"/>
  <c r="B22996" i="1"/>
  <c r="A22996" i="1"/>
  <c r="E22996" i="1"/>
  <c r="B22997" i="1"/>
  <c r="A22997" i="1"/>
  <c r="E22997" i="1"/>
  <c r="B22998" i="1"/>
  <c r="A22998" i="1"/>
  <c r="E22998" i="1"/>
  <c r="B22999" i="1"/>
  <c r="A22999" i="1"/>
  <c r="E22999" i="1"/>
  <c r="B23000" i="1"/>
  <c r="A23000" i="1"/>
  <c r="E23000" i="1"/>
  <c r="B23001" i="1"/>
  <c r="A23001" i="1"/>
  <c r="E23001" i="1"/>
  <c r="B23002" i="1"/>
  <c r="A23002" i="1"/>
  <c r="E23002" i="1"/>
  <c r="F23002" i="1"/>
  <c r="B23003" i="1"/>
  <c r="A23003" i="1"/>
  <c r="E23003" i="1"/>
  <c r="F23003" i="1"/>
  <c r="B23004" i="1"/>
  <c r="A23004" i="1"/>
  <c r="E23004" i="1"/>
  <c r="F23004" i="1"/>
  <c r="B23005" i="1"/>
  <c r="A23005" i="1"/>
  <c r="E23005" i="1"/>
  <c r="F23005" i="1"/>
  <c r="B23006" i="1"/>
  <c r="A23006" i="1"/>
  <c r="E23006" i="1"/>
  <c r="F23006" i="1"/>
  <c r="B23007" i="1"/>
  <c r="A23007" i="1"/>
  <c r="E23007" i="1"/>
  <c r="F23007" i="1"/>
  <c r="B23008" i="1"/>
  <c r="A23008" i="1"/>
  <c r="E23008" i="1"/>
  <c r="F23008" i="1"/>
  <c r="B23009" i="1"/>
  <c r="A23009" i="1"/>
  <c r="E23009" i="1"/>
  <c r="F23009" i="1"/>
  <c r="B23010" i="1"/>
  <c r="A23010" i="1"/>
  <c r="E23010" i="1"/>
  <c r="F23010" i="1"/>
  <c r="B23011" i="1"/>
  <c r="A23011" i="1"/>
  <c r="E23011" i="1"/>
  <c r="F23011" i="1"/>
  <c r="B23012" i="1"/>
  <c r="A23012" i="1"/>
  <c r="E23012" i="1"/>
  <c r="F23012" i="1"/>
  <c r="B23013" i="1"/>
  <c r="A23013" i="1"/>
  <c r="E23013" i="1"/>
  <c r="F23013" i="1"/>
  <c r="B23014" i="1"/>
  <c r="A23014" i="1"/>
  <c r="E23014" i="1"/>
  <c r="F23014" i="1"/>
  <c r="B23015" i="1"/>
  <c r="A23015" i="1"/>
  <c r="E23015" i="1"/>
  <c r="F23015" i="1"/>
  <c r="B23016" i="1"/>
  <c r="A23016" i="1"/>
  <c r="E23016" i="1"/>
  <c r="F23016" i="1"/>
  <c r="B23017" i="1"/>
  <c r="A23017" i="1"/>
  <c r="E23017" i="1"/>
  <c r="F23017" i="1"/>
  <c r="G23017" i="1"/>
  <c r="B23018" i="1"/>
  <c r="A23018" i="1"/>
  <c r="E23018" i="1"/>
  <c r="F23018" i="1"/>
  <c r="B23019" i="1"/>
  <c r="A23019" i="1"/>
  <c r="E23019" i="1"/>
  <c r="F23019" i="1"/>
  <c r="B23020" i="1"/>
  <c r="A23020" i="1"/>
  <c r="E23020" i="1"/>
  <c r="F23020" i="1"/>
  <c r="B23021" i="1"/>
  <c r="A23021" i="1"/>
  <c r="E23021" i="1"/>
  <c r="F23021" i="1"/>
  <c r="G23021" i="1"/>
  <c r="B23022" i="1"/>
  <c r="A23022" i="1"/>
  <c r="E23022" i="1"/>
  <c r="F23022" i="1"/>
  <c r="G23022" i="1"/>
  <c r="B23023" i="1"/>
  <c r="A23023" i="1"/>
  <c r="E23023" i="1"/>
  <c r="F23023" i="1"/>
  <c r="G23023" i="1"/>
  <c r="B23024" i="1"/>
  <c r="A23024" i="1"/>
  <c r="E23024" i="1"/>
  <c r="F23024" i="1"/>
  <c r="G23024" i="1"/>
  <c r="B23025" i="1"/>
  <c r="A23025" i="1"/>
  <c r="E23025" i="1"/>
  <c r="F23025" i="1"/>
  <c r="B23026" i="1"/>
  <c r="A23026" i="1"/>
  <c r="E23026" i="1"/>
  <c r="F23026" i="1"/>
  <c r="B23027" i="1"/>
  <c r="A23027" i="1"/>
  <c r="E23027" i="1"/>
  <c r="F23027" i="1"/>
  <c r="B23028" i="1"/>
  <c r="A23028" i="1"/>
  <c r="E23028" i="1"/>
  <c r="F23028" i="1"/>
  <c r="B23029" i="1"/>
  <c r="A23029" i="1"/>
  <c r="E23029" i="1"/>
  <c r="F23029" i="1"/>
  <c r="B23030" i="1"/>
  <c r="A23030" i="1"/>
  <c r="E23030" i="1"/>
  <c r="F23030" i="1"/>
  <c r="G23030" i="1"/>
  <c r="B23031" i="1"/>
  <c r="A23031" i="1"/>
  <c r="E23031" i="1"/>
  <c r="F23031" i="1"/>
  <c r="B23032" i="1"/>
  <c r="A23032" i="1"/>
  <c r="E23032" i="1"/>
  <c r="F23032" i="1"/>
  <c r="B23033" i="1"/>
  <c r="A23033" i="1"/>
  <c r="E23033" i="1"/>
  <c r="F23033" i="1"/>
  <c r="B23034" i="1"/>
  <c r="A23034" i="1"/>
  <c r="E23034" i="1"/>
  <c r="F23034" i="1"/>
  <c r="B23035" i="1"/>
  <c r="A23035" i="1"/>
  <c r="E23035" i="1"/>
  <c r="F23035" i="1"/>
  <c r="B23036" i="1"/>
  <c r="A23036" i="1"/>
  <c r="E23036" i="1"/>
  <c r="F23036" i="1"/>
  <c r="B23037" i="1"/>
  <c r="A23037" i="1"/>
  <c r="E23037" i="1"/>
  <c r="F23037" i="1"/>
  <c r="B23038" i="1"/>
  <c r="A23038" i="1"/>
  <c r="E23038" i="1"/>
  <c r="B23039" i="1"/>
  <c r="A23039" i="1"/>
  <c r="E23039" i="1"/>
  <c r="F23039" i="1"/>
  <c r="B23040" i="1"/>
  <c r="A23040" i="1"/>
  <c r="E23040" i="1"/>
  <c r="F23040" i="1"/>
  <c r="B23041" i="1"/>
  <c r="A23041" i="1"/>
  <c r="E23041" i="1"/>
  <c r="F23041" i="1"/>
  <c r="B23042" i="1"/>
  <c r="A23042" i="1"/>
  <c r="E23042" i="1"/>
  <c r="F23042" i="1"/>
  <c r="B23043" i="1"/>
  <c r="A23043" i="1"/>
  <c r="E23043" i="1"/>
  <c r="F23043" i="1"/>
  <c r="B23044" i="1"/>
  <c r="A23044" i="1"/>
  <c r="E23044" i="1"/>
  <c r="F23044" i="1"/>
  <c r="B23045" i="1"/>
  <c r="A23045" i="1"/>
  <c r="E23045" i="1"/>
  <c r="F23045" i="1"/>
  <c r="B23046" i="1"/>
  <c r="A23046" i="1"/>
  <c r="E23046" i="1"/>
  <c r="F23046" i="1"/>
  <c r="B23047" i="1"/>
  <c r="A23047" i="1"/>
  <c r="E23047" i="1"/>
  <c r="F23047" i="1"/>
  <c r="B23048" i="1"/>
  <c r="A23048" i="1"/>
  <c r="E23048" i="1"/>
  <c r="F23048" i="1"/>
  <c r="B23049" i="1"/>
  <c r="A23049" i="1"/>
  <c r="E23049" i="1"/>
  <c r="F23049" i="1"/>
  <c r="B23050" i="1"/>
  <c r="A23050" i="1"/>
  <c r="E23050" i="1"/>
  <c r="F23050" i="1"/>
  <c r="B23051" i="1"/>
  <c r="A23051" i="1"/>
  <c r="E23051" i="1"/>
  <c r="F23051" i="1"/>
  <c r="B23052" i="1"/>
  <c r="A23052" i="1"/>
  <c r="E23052" i="1"/>
  <c r="F23052" i="1"/>
  <c r="B23053" i="1"/>
  <c r="A23053" i="1"/>
  <c r="E23053" i="1"/>
  <c r="F23053" i="1"/>
  <c r="B23054" i="1"/>
  <c r="A23054" i="1"/>
  <c r="E23054" i="1"/>
  <c r="F23054" i="1"/>
  <c r="B23055" i="1"/>
  <c r="A23055" i="1"/>
  <c r="E23055" i="1"/>
  <c r="F23055" i="1"/>
  <c r="B23056" i="1"/>
  <c r="A23056" i="1"/>
  <c r="E23056" i="1"/>
  <c r="F23056" i="1"/>
  <c r="B23057" i="1"/>
  <c r="A23057" i="1"/>
  <c r="E23057" i="1"/>
  <c r="F23057" i="1"/>
  <c r="B23058" i="1"/>
  <c r="A23058" i="1"/>
  <c r="E23058" i="1"/>
  <c r="F23058" i="1"/>
  <c r="B23059" i="1"/>
  <c r="A23059" i="1"/>
  <c r="E23059" i="1"/>
  <c r="F23059" i="1"/>
  <c r="B23060" i="1"/>
  <c r="A23060" i="1"/>
  <c r="E23060" i="1"/>
  <c r="F23060" i="1"/>
  <c r="B23061" i="1"/>
  <c r="A23061" i="1"/>
  <c r="E23061" i="1"/>
  <c r="F23061" i="1"/>
  <c r="B23062" i="1"/>
  <c r="A23062" i="1"/>
  <c r="E23062" i="1"/>
  <c r="F23062" i="1"/>
  <c r="B23063" i="1"/>
  <c r="A23063" i="1"/>
  <c r="E23063" i="1"/>
  <c r="F23063" i="1"/>
  <c r="B23064" i="1"/>
  <c r="A23064" i="1"/>
  <c r="E23064" i="1"/>
  <c r="F23064" i="1"/>
  <c r="B23065" i="1"/>
  <c r="A23065" i="1"/>
  <c r="E23065" i="1"/>
  <c r="F23065" i="1"/>
  <c r="B23066" i="1"/>
  <c r="A23066" i="1"/>
  <c r="E23066" i="1"/>
  <c r="F23066" i="1"/>
  <c r="B23067" i="1"/>
  <c r="A23067" i="1"/>
  <c r="E23067" i="1"/>
  <c r="F23067" i="1"/>
  <c r="B23068" i="1"/>
  <c r="A23068" i="1"/>
  <c r="E23068" i="1"/>
  <c r="F23068" i="1"/>
  <c r="B23069" i="1"/>
  <c r="A23069" i="1"/>
  <c r="E23069" i="1"/>
  <c r="F23069" i="1"/>
  <c r="B23070" i="1"/>
  <c r="A23070" i="1"/>
  <c r="E23070" i="1"/>
  <c r="F23070" i="1"/>
  <c r="B23071" i="1"/>
  <c r="A23071" i="1"/>
  <c r="E23071" i="1"/>
  <c r="F23071" i="1"/>
  <c r="B23072" i="1"/>
  <c r="A23072" i="1"/>
  <c r="E23072" i="1"/>
  <c r="F23072" i="1"/>
  <c r="B23073" i="1"/>
  <c r="A23073" i="1"/>
  <c r="E23073" i="1"/>
  <c r="F23073" i="1"/>
  <c r="B23074" i="1"/>
  <c r="A23074" i="1"/>
  <c r="E23074" i="1"/>
  <c r="F23074" i="1"/>
  <c r="B23075" i="1"/>
  <c r="A23075" i="1"/>
  <c r="E23075" i="1"/>
  <c r="B23076" i="1"/>
  <c r="A23076" i="1"/>
  <c r="E23076" i="1"/>
  <c r="F23076" i="1"/>
  <c r="G23076" i="1"/>
  <c r="B23077" i="1"/>
  <c r="A23077" i="1"/>
  <c r="E23077" i="1"/>
  <c r="B23078" i="1"/>
  <c r="A23078" i="1"/>
  <c r="E23078" i="1"/>
  <c r="B23079" i="1"/>
  <c r="A23079" i="1"/>
  <c r="E23079" i="1"/>
  <c r="B23080" i="1"/>
  <c r="A23080" i="1"/>
  <c r="E23080" i="1"/>
  <c r="B23081" i="1"/>
  <c r="A23081" i="1"/>
  <c r="E23081" i="1"/>
  <c r="B23082" i="1"/>
  <c r="A23082" i="1"/>
  <c r="E23082" i="1"/>
  <c r="B23083" i="1"/>
  <c r="A23083" i="1"/>
  <c r="E23083" i="1"/>
  <c r="B23084" i="1"/>
  <c r="A23084" i="1"/>
  <c r="E23084" i="1"/>
  <c r="B23085" i="1"/>
  <c r="A23085" i="1"/>
  <c r="E23085" i="1"/>
  <c r="B23086" i="1"/>
  <c r="A23086" i="1"/>
  <c r="E23086" i="1"/>
  <c r="B23087" i="1"/>
  <c r="A23087" i="1"/>
  <c r="E23087" i="1"/>
  <c r="B23088" i="1"/>
  <c r="A23088" i="1"/>
  <c r="E23088" i="1"/>
  <c r="B23089" i="1"/>
  <c r="A23089" i="1"/>
  <c r="E23089" i="1"/>
  <c r="B23090" i="1"/>
  <c r="A23090" i="1"/>
  <c r="E23090" i="1"/>
  <c r="B23091" i="1"/>
  <c r="A23091" i="1"/>
  <c r="E23091" i="1"/>
  <c r="B23092" i="1"/>
  <c r="A23092" i="1"/>
  <c r="E23092" i="1"/>
  <c r="B23093" i="1"/>
  <c r="A23093" i="1"/>
  <c r="E23093" i="1"/>
  <c r="B23094" i="1"/>
  <c r="A23094" i="1"/>
  <c r="E23094" i="1"/>
  <c r="B23095" i="1"/>
  <c r="A23095" i="1"/>
  <c r="E23095" i="1"/>
  <c r="B23096" i="1"/>
  <c r="A23096" i="1"/>
  <c r="E23096" i="1"/>
  <c r="B23097" i="1"/>
  <c r="A23097" i="1"/>
  <c r="E23097" i="1"/>
  <c r="B23098" i="1"/>
  <c r="A23098" i="1"/>
  <c r="E23098" i="1"/>
  <c r="B23099" i="1"/>
  <c r="A23099" i="1"/>
  <c r="E23099" i="1"/>
  <c r="B23100" i="1"/>
  <c r="A23100" i="1"/>
  <c r="E23100" i="1"/>
  <c r="B23101" i="1"/>
  <c r="A23101" i="1"/>
  <c r="E23101" i="1"/>
  <c r="B23102" i="1"/>
  <c r="A23102" i="1"/>
  <c r="E23102" i="1"/>
  <c r="B23103" i="1"/>
  <c r="A23103" i="1"/>
  <c r="E23103" i="1"/>
  <c r="B23104" i="1"/>
  <c r="A23104" i="1"/>
  <c r="E23104" i="1"/>
  <c r="B23105" i="1"/>
  <c r="A23105" i="1"/>
  <c r="E23105" i="1"/>
  <c r="B23106" i="1"/>
  <c r="A23106" i="1"/>
  <c r="E23106" i="1"/>
  <c r="B23107" i="1"/>
  <c r="A23107" i="1"/>
  <c r="E23107" i="1"/>
  <c r="B23108" i="1"/>
  <c r="A23108" i="1"/>
  <c r="E23108" i="1"/>
  <c r="B23109" i="1"/>
  <c r="A23109" i="1"/>
  <c r="E23109" i="1"/>
  <c r="B23110" i="1"/>
  <c r="A23110" i="1"/>
  <c r="E23110" i="1"/>
  <c r="B23111" i="1"/>
  <c r="A23111" i="1"/>
  <c r="E23111" i="1"/>
  <c r="B23112" i="1"/>
  <c r="A23112" i="1"/>
  <c r="E23112" i="1"/>
  <c r="B23113" i="1"/>
  <c r="A23113" i="1"/>
  <c r="E23113" i="1"/>
  <c r="B23114" i="1"/>
  <c r="A23114" i="1"/>
  <c r="E23114" i="1"/>
  <c r="B23115" i="1"/>
  <c r="A23115" i="1"/>
  <c r="E23115" i="1"/>
  <c r="B23116" i="1"/>
  <c r="A23116" i="1"/>
  <c r="E23116" i="1"/>
  <c r="B23117" i="1"/>
  <c r="A23117" i="1"/>
  <c r="E23117" i="1"/>
  <c r="B23118" i="1"/>
  <c r="A23118" i="1"/>
  <c r="E23118" i="1"/>
  <c r="B23119" i="1"/>
  <c r="A23119" i="1"/>
  <c r="E23119" i="1"/>
  <c r="B23120" i="1"/>
  <c r="A23120" i="1"/>
  <c r="E23120" i="1"/>
  <c r="B23121" i="1"/>
  <c r="A23121" i="1"/>
  <c r="E23121" i="1"/>
  <c r="B23122" i="1"/>
  <c r="A23122" i="1"/>
  <c r="E23122" i="1"/>
  <c r="B23123" i="1"/>
  <c r="A23123" i="1"/>
  <c r="E23123" i="1"/>
  <c r="B23124" i="1"/>
  <c r="A23124" i="1"/>
  <c r="E23124" i="1"/>
  <c r="B23125" i="1"/>
  <c r="A23125" i="1"/>
  <c r="E23125" i="1"/>
  <c r="B23126" i="1"/>
  <c r="A23126" i="1"/>
  <c r="E23126" i="1"/>
  <c r="B23127" i="1"/>
  <c r="A23127" i="1"/>
  <c r="E23127" i="1"/>
  <c r="B23128" i="1"/>
  <c r="A23128" i="1"/>
  <c r="E23128" i="1"/>
  <c r="B23129" i="1"/>
  <c r="A23129" i="1"/>
  <c r="E23129" i="1"/>
  <c r="B23130" i="1"/>
  <c r="A23130" i="1"/>
  <c r="E23130" i="1"/>
  <c r="B23131" i="1"/>
  <c r="A23131" i="1"/>
  <c r="E23131" i="1"/>
  <c r="B23132" i="1"/>
  <c r="A23132" i="1"/>
  <c r="E23132" i="1"/>
  <c r="B23133" i="1"/>
  <c r="A23133" i="1"/>
  <c r="E23133" i="1"/>
  <c r="B23134" i="1"/>
  <c r="A23134" i="1"/>
  <c r="E23134" i="1"/>
  <c r="B23135" i="1"/>
  <c r="A23135" i="1"/>
  <c r="E23135" i="1"/>
  <c r="B23136" i="1"/>
  <c r="A23136" i="1"/>
  <c r="E23136" i="1"/>
  <c r="B23137" i="1"/>
  <c r="A23137" i="1"/>
  <c r="E23137" i="1"/>
  <c r="B23138" i="1"/>
  <c r="A23138" i="1"/>
  <c r="E23138" i="1"/>
  <c r="B23139" i="1"/>
  <c r="A23139" i="1"/>
  <c r="E23139" i="1"/>
  <c r="B23140" i="1"/>
  <c r="A23140" i="1"/>
  <c r="E23140" i="1"/>
  <c r="B23141" i="1"/>
  <c r="A23141" i="1"/>
  <c r="E23141" i="1"/>
  <c r="B23142" i="1"/>
  <c r="A23142" i="1"/>
  <c r="E23142" i="1"/>
  <c r="B23143" i="1"/>
  <c r="A23143" i="1"/>
  <c r="E23143" i="1"/>
  <c r="B23144" i="1"/>
  <c r="A23144" i="1"/>
  <c r="E23144" i="1"/>
  <c r="B23145" i="1"/>
  <c r="A23145" i="1"/>
  <c r="E23145" i="1"/>
  <c r="B23146" i="1"/>
  <c r="A23146" i="1"/>
  <c r="E23146" i="1"/>
  <c r="B23147" i="1"/>
  <c r="A23147" i="1"/>
  <c r="E23147" i="1"/>
  <c r="B23148" i="1"/>
  <c r="A23148" i="1"/>
  <c r="E23148" i="1"/>
  <c r="B23149" i="1"/>
  <c r="A23149" i="1"/>
  <c r="E23149" i="1"/>
  <c r="B23150" i="1"/>
  <c r="A23150" i="1"/>
  <c r="E23150" i="1"/>
  <c r="B23151" i="1"/>
  <c r="A23151" i="1"/>
  <c r="E23151" i="1"/>
  <c r="B23152" i="1"/>
  <c r="A23152" i="1"/>
  <c r="E23152" i="1"/>
  <c r="B23153" i="1"/>
  <c r="A23153" i="1"/>
  <c r="E23153" i="1"/>
  <c r="B23154" i="1"/>
  <c r="A23154" i="1"/>
  <c r="E23154" i="1"/>
  <c r="B23155" i="1"/>
  <c r="A23155" i="1"/>
  <c r="E23155" i="1"/>
  <c r="B23156" i="1"/>
  <c r="A23156" i="1"/>
  <c r="E23156" i="1"/>
  <c r="B23157" i="1"/>
  <c r="A23157" i="1"/>
  <c r="E23157" i="1"/>
  <c r="B23158" i="1"/>
  <c r="A23158" i="1"/>
  <c r="E23158" i="1"/>
  <c r="B23159" i="1"/>
  <c r="A23159" i="1"/>
  <c r="E23159" i="1"/>
  <c r="B23160" i="1"/>
  <c r="A23160" i="1"/>
  <c r="E23160" i="1"/>
  <c r="B23161" i="1"/>
  <c r="A23161" i="1"/>
  <c r="E23161" i="1"/>
  <c r="B23162" i="1"/>
  <c r="A23162" i="1"/>
  <c r="E23162" i="1"/>
  <c r="B23163" i="1"/>
  <c r="A23163" i="1"/>
  <c r="E23163" i="1"/>
  <c r="B23164" i="1"/>
  <c r="A23164" i="1"/>
  <c r="E23164" i="1"/>
  <c r="B23165" i="1"/>
  <c r="A23165" i="1"/>
  <c r="E23165" i="1"/>
  <c r="B23166" i="1"/>
  <c r="A23166" i="1"/>
  <c r="E23166" i="1"/>
  <c r="B23167" i="1"/>
  <c r="A23167" i="1"/>
  <c r="E23167" i="1"/>
  <c r="B23168" i="1"/>
  <c r="A23168" i="1"/>
  <c r="E23168" i="1"/>
  <c r="B23169" i="1"/>
  <c r="A23169" i="1"/>
  <c r="E23169" i="1"/>
  <c r="B23170" i="1"/>
  <c r="A23170" i="1"/>
  <c r="E23170" i="1"/>
  <c r="B23171" i="1"/>
  <c r="A23171" i="1"/>
  <c r="E23171" i="1"/>
  <c r="B23172" i="1"/>
  <c r="A23172" i="1"/>
  <c r="E23172" i="1"/>
  <c r="B23173" i="1"/>
  <c r="A23173" i="1"/>
  <c r="E23173" i="1"/>
  <c r="B23174" i="1"/>
  <c r="A23174" i="1"/>
  <c r="E23174" i="1"/>
  <c r="B23175" i="1"/>
  <c r="A23175" i="1"/>
  <c r="E23175" i="1"/>
  <c r="B23176" i="1"/>
  <c r="A23176" i="1"/>
  <c r="E23176" i="1"/>
  <c r="B23177" i="1"/>
  <c r="A23177" i="1"/>
  <c r="E23177" i="1"/>
  <c r="B23178" i="1"/>
  <c r="A23178" i="1"/>
  <c r="E23178" i="1"/>
  <c r="B23179" i="1"/>
  <c r="A23179" i="1"/>
  <c r="E23179" i="1"/>
  <c r="B23180" i="1"/>
  <c r="A23180" i="1"/>
  <c r="E23180" i="1"/>
  <c r="B23181" i="1"/>
  <c r="A23181" i="1"/>
  <c r="E23181" i="1"/>
  <c r="B23182" i="1"/>
  <c r="A23182" i="1"/>
  <c r="E23182" i="1"/>
  <c r="B23183" i="1"/>
  <c r="A23183" i="1"/>
  <c r="E23183" i="1"/>
  <c r="B23184" i="1"/>
  <c r="A23184" i="1"/>
  <c r="E23184" i="1"/>
  <c r="B23185" i="1"/>
  <c r="A23185" i="1"/>
  <c r="E23185" i="1"/>
  <c r="B23186" i="1"/>
  <c r="A23186" i="1"/>
  <c r="E23186" i="1"/>
  <c r="B23187" i="1"/>
  <c r="A23187" i="1"/>
  <c r="E23187" i="1"/>
  <c r="B23188" i="1"/>
  <c r="A23188" i="1"/>
  <c r="E23188" i="1"/>
  <c r="B23189" i="1"/>
  <c r="A23189" i="1"/>
  <c r="E23189" i="1"/>
  <c r="B23190" i="1"/>
  <c r="A23190" i="1"/>
  <c r="E23190" i="1"/>
  <c r="B23191" i="1"/>
  <c r="A23191" i="1"/>
  <c r="E23191" i="1"/>
  <c r="B23192" i="1"/>
  <c r="A23192" i="1"/>
  <c r="E23192" i="1"/>
  <c r="B23193" i="1"/>
  <c r="A23193" i="1"/>
  <c r="E23193" i="1"/>
  <c r="B23194" i="1"/>
  <c r="A23194" i="1"/>
  <c r="E23194" i="1"/>
  <c r="B23195" i="1"/>
  <c r="A23195" i="1"/>
  <c r="E23195" i="1"/>
  <c r="B23196" i="1"/>
  <c r="A23196" i="1"/>
  <c r="E23196" i="1"/>
  <c r="B23197" i="1"/>
  <c r="A23197" i="1"/>
  <c r="E23197" i="1"/>
  <c r="B23198" i="1"/>
  <c r="A23198" i="1"/>
  <c r="E23198" i="1"/>
  <c r="B23199" i="1"/>
  <c r="A23199" i="1"/>
  <c r="E23199" i="1"/>
  <c r="B23200" i="1"/>
  <c r="A23200" i="1"/>
  <c r="E23200" i="1"/>
  <c r="B23201" i="1"/>
  <c r="A23201" i="1"/>
  <c r="E23201" i="1"/>
  <c r="B23202" i="1"/>
  <c r="A23202" i="1"/>
  <c r="E23202" i="1"/>
  <c r="B23203" i="1"/>
  <c r="A23203" i="1"/>
  <c r="E23203" i="1"/>
  <c r="B23204" i="1"/>
  <c r="A23204" i="1"/>
  <c r="E23204" i="1"/>
  <c r="B23205" i="1"/>
  <c r="A23205" i="1"/>
  <c r="E23205" i="1"/>
  <c r="B23206" i="1"/>
  <c r="A23206" i="1"/>
  <c r="E23206" i="1"/>
  <c r="B23207" i="1"/>
  <c r="A23207" i="1"/>
  <c r="E23207" i="1"/>
  <c r="B23208" i="1"/>
  <c r="A23208" i="1"/>
  <c r="E23208" i="1"/>
  <c r="B23209" i="1"/>
  <c r="A23209" i="1"/>
  <c r="E23209" i="1"/>
  <c r="B23210" i="1"/>
  <c r="A23210" i="1"/>
  <c r="E23210" i="1"/>
  <c r="B23211" i="1"/>
  <c r="A23211" i="1"/>
  <c r="E23211" i="1"/>
  <c r="B23212" i="1"/>
  <c r="A23212" i="1"/>
  <c r="E23212" i="1"/>
  <c r="B23213" i="1"/>
  <c r="A23213" i="1"/>
  <c r="E23213" i="1"/>
  <c r="B23214" i="1"/>
  <c r="A23214" i="1"/>
  <c r="E23214" i="1"/>
  <c r="B23215" i="1"/>
  <c r="A23215" i="1"/>
  <c r="E23215" i="1"/>
  <c r="B23216" i="1"/>
  <c r="A23216" i="1"/>
  <c r="E23216" i="1"/>
  <c r="B23217" i="1"/>
  <c r="A23217" i="1"/>
  <c r="E23217" i="1"/>
  <c r="B23218" i="1"/>
  <c r="A23218" i="1"/>
  <c r="E23218" i="1"/>
  <c r="B23219" i="1"/>
  <c r="A23219" i="1"/>
  <c r="E23219" i="1"/>
  <c r="B23220" i="1"/>
  <c r="A23220" i="1"/>
  <c r="E23220" i="1"/>
  <c r="B23221" i="1"/>
  <c r="A23221" i="1"/>
  <c r="E23221" i="1"/>
  <c r="B23222" i="1"/>
  <c r="A23222" i="1"/>
  <c r="E23222" i="1"/>
  <c r="B23223" i="1"/>
  <c r="A23223" i="1"/>
  <c r="E23223" i="1"/>
  <c r="B23224" i="1"/>
  <c r="A23224" i="1"/>
  <c r="E23224" i="1"/>
  <c r="B23225" i="1"/>
  <c r="A23225" i="1"/>
  <c r="E23225" i="1"/>
  <c r="B23226" i="1"/>
  <c r="A23226" i="1"/>
  <c r="E23226" i="1"/>
  <c r="B23227" i="1"/>
  <c r="A23227" i="1"/>
  <c r="E23227" i="1"/>
  <c r="B23228" i="1"/>
  <c r="A23228" i="1"/>
  <c r="E23228" i="1"/>
  <c r="B23229" i="1"/>
  <c r="A23229" i="1"/>
  <c r="E23229" i="1"/>
  <c r="B23230" i="1"/>
  <c r="A23230" i="1"/>
  <c r="E23230" i="1"/>
  <c r="B23231" i="1"/>
  <c r="A23231" i="1"/>
  <c r="E23231" i="1"/>
  <c r="B23232" i="1"/>
  <c r="A23232" i="1"/>
  <c r="E23232" i="1"/>
  <c r="B23233" i="1"/>
  <c r="A23233" i="1"/>
  <c r="E23233" i="1"/>
  <c r="B23234" i="1"/>
  <c r="A23234" i="1"/>
  <c r="E23234" i="1"/>
  <c r="B23235" i="1"/>
  <c r="A23235" i="1"/>
  <c r="E23235" i="1"/>
  <c r="B23236" i="1"/>
  <c r="A23236" i="1"/>
  <c r="E23236" i="1"/>
  <c r="B23237" i="1"/>
  <c r="A23237" i="1"/>
  <c r="E23237" i="1"/>
  <c r="B23238" i="1"/>
  <c r="A23238" i="1"/>
  <c r="E23238" i="1"/>
  <c r="B23239" i="1"/>
  <c r="A23239" i="1"/>
  <c r="E23239" i="1"/>
  <c r="B23240" i="1"/>
  <c r="A23240" i="1"/>
  <c r="E23240" i="1"/>
  <c r="B23241" i="1"/>
  <c r="A23241" i="1"/>
  <c r="E23241" i="1"/>
  <c r="B23242" i="1"/>
  <c r="A23242" i="1"/>
  <c r="E23242" i="1"/>
  <c r="B23243" i="1"/>
  <c r="A23243" i="1"/>
  <c r="E23243" i="1"/>
  <c r="B23244" i="1"/>
  <c r="A23244" i="1"/>
  <c r="E23244" i="1"/>
  <c r="B23245" i="1"/>
  <c r="A23245" i="1"/>
  <c r="E23245" i="1"/>
  <c r="B23246" i="1"/>
  <c r="A23246" i="1"/>
  <c r="E23246" i="1"/>
  <c r="B23247" i="1"/>
  <c r="A23247" i="1"/>
  <c r="E23247" i="1"/>
  <c r="B23248" i="1"/>
  <c r="A23248" i="1"/>
  <c r="E23248" i="1"/>
  <c r="B23249" i="1"/>
  <c r="A23249" i="1"/>
  <c r="E23249" i="1"/>
  <c r="B23250" i="1"/>
  <c r="A23250" i="1"/>
  <c r="E23250" i="1"/>
  <c r="B23251" i="1"/>
  <c r="A23251" i="1"/>
  <c r="E23251" i="1"/>
  <c r="B23252" i="1"/>
  <c r="A23252" i="1"/>
  <c r="E23252" i="1"/>
  <c r="B23253" i="1"/>
  <c r="A23253" i="1"/>
  <c r="E23253" i="1"/>
  <c r="B23254" i="1"/>
  <c r="A23254" i="1"/>
  <c r="E23254" i="1"/>
  <c r="B23255" i="1"/>
  <c r="A23255" i="1"/>
  <c r="E23255" i="1"/>
  <c r="B23256" i="1"/>
  <c r="A23256" i="1"/>
  <c r="E23256" i="1"/>
  <c r="B23257" i="1"/>
  <c r="A23257" i="1"/>
  <c r="E23257" i="1"/>
  <c r="B23258" i="1"/>
  <c r="A23258" i="1"/>
  <c r="E23258" i="1"/>
  <c r="B23259" i="1"/>
  <c r="A23259" i="1"/>
  <c r="E23259" i="1"/>
  <c r="B23260" i="1"/>
  <c r="A23260" i="1"/>
  <c r="E23260" i="1"/>
  <c r="B23261" i="1"/>
  <c r="A23261" i="1"/>
  <c r="E23261" i="1"/>
  <c r="B23262" i="1"/>
  <c r="A23262" i="1"/>
  <c r="E23262" i="1"/>
  <c r="B23263" i="1"/>
  <c r="A23263" i="1"/>
  <c r="E23263" i="1"/>
  <c r="B23264" i="1"/>
  <c r="A23264" i="1"/>
  <c r="E23264" i="1"/>
  <c r="B23265" i="1"/>
  <c r="A23265" i="1"/>
  <c r="E23265" i="1"/>
  <c r="B23266" i="1"/>
  <c r="A23266" i="1"/>
  <c r="E23266" i="1"/>
  <c r="B23267" i="1"/>
  <c r="A23267" i="1"/>
  <c r="E23267" i="1"/>
  <c r="B23268" i="1"/>
  <c r="A23268" i="1"/>
  <c r="E23268" i="1"/>
  <c r="B23269" i="1"/>
  <c r="A23269" i="1"/>
  <c r="E23269" i="1"/>
  <c r="B23270" i="1"/>
  <c r="A23270" i="1"/>
  <c r="E23270" i="1"/>
  <c r="B23271" i="1"/>
  <c r="A23271" i="1"/>
  <c r="E23271" i="1"/>
  <c r="B23272" i="1"/>
  <c r="A23272" i="1"/>
  <c r="E23272" i="1"/>
  <c r="B23273" i="1"/>
  <c r="A23273" i="1"/>
  <c r="E23273" i="1"/>
  <c r="B23274" i="1"/>
  <c r="A23274" i="1"/>
  <c r="E23274" i="1"/>
  <c r="B23275" i="1"/>
  <c r="A23275" i="1"/>
  <c r="E23275" i="1"/>
  <c r="B23276" i="1"/>
  <c r="A23276" i="1"/>
  <c r="E23276" i="1"/>
  <c r="B23277" i="1"/>
  <c r="A23277" i="1"/>
  <c r="E23277" i="1"/>
  <c r="B23278" i="1"/>
  <c r="A23278" i="1"/>
  <c r="E23278" i="1"/>
  <c r="B23279" i="1"/>
  <c r="A23279" i="1"/>
  <c r="E23279" i="1"/>
  <c r="B23280" i="1"/>
  <c r="A23280" i="1"/>
  <c r="E23280" i="1"/>
  <c r="B23281" i="1"/>
  <c r="A23281" i="1"/>
  <c r="E23281" i="1"/>
  <c r="B23282" i="1"/>
  <c r="A23282" i="1"/>
  <c r="E23282" i="1"/>
  <c r="B23283" i="1"/>
  <c r="A23283" i="1"/>
  <c r="E23283" i="1"/>
  <c r="B23284" i="1"/>
  <c r="A23284" i="1"/>
  <c r="E23284" i="1"/>
  <c r="B23285" i="1"/>
  <c r="A23285" i="1"/>
  <c r="E23285" i="1"/>
  <c r="B23286" i="1"/>
  <c r="A23286" i="1"/>
  <c r="E23286" i="1"/>
  <c r="B23287" i="1"/>
  <c r="A23287" i="1"/>
  <c r="E23287" i="1"/>
  <c r="B23288" i="1"/>
  <c r="A23288" i="1"/>
  <c r="E23288" i="1"/>
  <c r="B23289" i="1"/>
  <c r="A23289" i="1"/>
  <c r="E23289" i="1"/>
  <c r="B23290" i="1"/>
  <c r="A23290" i="1"/>
  <c r="E23290" i="1"/>
  <c r="B23291" i="1"/>
  <c r="A23291" i="1"/>
  <c r="E23291" i="1"/>
  <c r="B23292" i="1"/>
  <c r="A23292" i="1"/>
  <c r="E23292" i="1"/>
  <c r="B23293" i="1"/>
  <c r="A23293" i="1"/>
  <c r="E23293" i="1"/>
  <c r="B23294" i="1"/>
  <c r="A23294" i="1"/>
  <c r="E23294" i="1"/>
  <c r="B23295" i="1"/>
  <c r="A23295" i="1"/>
  <c r="E23295" i="1"/>
  <c r="B23296" i="1"/>
  <c r="A23296" i="1"/>
  <c r="E23296" i="1"/>
  <c r="B23297" i="1"/>
  <c r="A23297" i="1"/>
  <c r="E23297" i="1"/>
  <c r="B23298" i="1"/>
  <c r="A23298" i="1"/>
  <c r="E23298" i="1"/>
  <c r="B23299" i="1"/>
  <c r="A23299" i="1"/>
  <c r="E23299" i="1"/>
  <c r="B23300" i="1"/>
  <c r="A23300" i="1"/>
  <c r="E23300" i="1"/>
  <c r="B23301" i="1"/>
  <c r="A23301" i="1"/>
  <c r="E23301" i="1"/>
  <c r="B23302" i="1"/>
  <c r="A23302" i="1"/>
  <c r="E23302" i="1"/>
  <c r="B23303" i="1"/>
  <c r="A23303" i="1"/>
  <c r="E23303" i="1"/>
  <c r="B23304" i="1"/>
  <c r="A23304" i="1"/>
  <c r="E23304" i="1"/>
  <c r="B23305" i="1"/>
  <c r="A23305" i="1"/>
  <c r="E23305" i="1"/>
  <c r="B23306" i="1"/>
  <c r="A23306" i="1"/>
  <c r="E23306" i="1"/>
  <c r="B23307" i="1"/>
  <c r="A23307" i="1"/>
  <c r="E23307" i="1"/>
  <c r="B23308" i="1"/>
  <c r="A23308" i="1"/>
  <c r="E23308" i="1"/>
  <c r="B23309" i="1"/>
  <c r="A23309" i="1"/>
  <c r="E23309" i="1"/>
  <c r="B23310" i="1"/>
  <c r="A23310" i="1"/>
  <c r="E23310" i="1"/>
  <c r="B23311" i="1"/>
  <c r="A23311" i="1"/>
  <c r="E23311" i="1"/>
  <c r="B23312" i="1"/>
  <c r="A23312" i="1"/>
  <c r="E23312" i="1"/>
  <c r="B23313" i="1"/>
  <c r="A23313" i="1"/>
  <c r="E23313" i="1"/>
  <c r="B23314" i="1"/>
  <c r="A23314" i="1"/>
  <c r="E23314" i="1"/>
  <c r="B23315" i="1"/>
  <c r="A23315" i="1"/>
  <c r="E23315" i="1"/>
  <c r="B23316" i="1"/>
  <c r="A23316" i="1"/>
  <c r="E23316" i="1"/>
  <c r="B23317" i="1"/>
  <c r="A23317" i="1"/>
  <c r="E23317" i="1"/>
  <c r="B23318" i="1"/>
  <c r="A23318" i="1"/>
  <c r="E23318" i="1"/>
  <c r="B23319" i="1"/>
  <c r="A23319" i="1"/>
  <c r="E23319" i="1"/>
  <c r="B23320" i="1"/>
  <c r="A23320" i="1"/>
  <c r="E23320" i="1"/>
  <c r="B23321" i="1"/>
  <c r="A23321" i="1"/>
  <c r="E23321" i="1"/>
  <c r="B23322" i="1"/>
  <c r="A23322" i="1"/>
  <c r="E23322" i="1"/>
  <c r="B23323" i="1"/>
  <c r="A23323" i="1"/>
  <c r="E23323" i="1"/>
  <c r="B23324" i="1"/>
  <c r="A23324" i="1"/>
  <c r="E23324" i="1"/>
  <c r="B23325" i="1"/>
  <c r="A23325" i="1"/>
  <c r="E23325" i="1"/>
  <c r="B23326" i="1"/>
  <c r="A23326" i="1"/>
  <c r="E23326" i="1"/>
  <c r="B23327" i="1"/>
  <c r="A23327" i="1"/>
  <c r="E23327" i="1"/>
  <c r="B23328" i="1"/>
  <c r="A23328" i="1"/>
  <c r="E23328" i="1"/>
  <c r="B23329" i="1"/>
  <c r="A23329" i="1"/>
  <c r="E23329" i="1"/>
  <c r="B23330" i="1"/>
  <c r="A23330" i="1"/>
  <c r="E23330" i="1"/>
  <c r="B23331" i="1"/>
  <c r="A23331" i="1"/>
  <c r="E23331" i="1"/>
  <c r="B23332" i="1"/>
  <c r="A23332" i="1"/>
  <c r="E23332" i="1"/>
  <c r="B23333" i="1"/>
  <c r="A23333" i="1"/>
  <c r="E23333" i="1"/>
  <c r="B23334" i="1"/>
  <c r="A23334" i="1"/>
  <c r="E23334" i="1"/>
  <c r="B23335" i="1"/>
  <c r="A23335" i="1"/>
  <c r="E23335" i="1"/>
  <c r="B23336" i="1"/>
  <c r="A23336" i="1"/>
  <c r="E23336" i="1"/>
  <c r="B23337" i="1"/>
  <c r="A23337" i="1"/>
  <c r="E23337" i="1"/>
  <c r="B23338" i="1"/>
  <c r="A23338" i="1"/>
  <c r="E23338" i="1"/>
  <c r="B23339" i="1"/>
  <c r="A23339" i="1"/>
  <c r="E23339" i="1"/>
  <c r="B23340" i="1"/>
  <c r="A23340" i="1"/>
  <c r="E23340" i="1"/>
  <c r="B23341" i="1"/>
  <c r="A23341" i="1"/>
  <c r="E23341" i="1"/>
  <c r="B23342" i="1"/>
  <c r="A23342" i="1"/>
  <c r="E23342" i="1"/>
  <c r="B23343" i="1"/>
  <c r="A23343" i="1"/>
  <c r="E23343" i="1"/>
  <c r="B23344" i="1"/>
  <c r="A23344" i="1"/>
  <c r="E23344" i="1"/>
  <c r="B23345" i="1"/>
  <c r="A23345" i="1"/>
  <c r="E23345" i="1"/>
  <c r="B23346" i="1"/>
  <c r="A23346" i="1"/>
  <c r="E23346" i="1"/>
  <c r="B23347" i="1"/>
  <c r="A23347" i="1"/>
  <c r="E23347" i="1"/>
  <c r="B23348" i="1"/>
  <c r="A23348" i="1"/>
  <c r="E23348" i="1"/>
  <c r="B23349" i="1"/>
  <c r="A23349" i="1"/>
  <c r="E23349" i="1"/>
  <c r="B23350" i="1"/>
  <c r="A23350" i="1"/>
  <c r="E23350" i="1"/>
  <c r="B23351" i="1"/>
  <c r="A23351" i="1"/>
  <c r="E23351" i="1"/>
  <c r="B23352" i="1"/>
  <c r="A23352" i="1"/>
  <c r="E23352" i="1"/>
  <c r="B23353" i="1"/>
  <c r="A23353" i="1"/>
  <c r="E23353" i="1"/>
  <c r="B23354" i="1"/>
  <c r="A23354" i="1"/>
  <c r="E23354" i="1"/>
  <c r="B23355" i="1"/>
  <c r="A23355" i="1"/>
  <c r="E23355" i="1"/>
  <c r="B23356" i="1"/>
  <c r="A23356" i="1"/>
  <c r="E23356" i="1"/>
  <c r="B23357" i="1"/>
  <c r="A23357" i="1"/>
  <c r="E23357" i="1"/>
  <c r="B23358" i="1"/>
  <c r="A23358" i="1"/>
  <c r="E23358" i="1"/>
  <c r="B23359" i="1"/>
  <c r="A23359" i="1"/>
  <c r="E23359" i="1"/>
  <c r="B23360" i="1"/>
  <c r="A23360" i="1"/>
  <c r="E23360" i="1"/>
  <c r="B23361" i="1"/>
  <c r="A23361" i="1"/>
  <c r="E23361" i="1"/>
  <c r="B23362" i="1"/>
  <c r="A23362" i="1"/>
  <c r="E23362" i="1"/>
  <c r="B23363" i="1"/>
  <c r="A23363" i="1"/>
  <c r="E23363" i="1"/>
  <c r="B23364" i="1"/>
  <c r="A23364" i="1"/>
  <c r="E23364" i="1"/>
  <c r="B23365" i="1"/>
  <c r="A23365" i="1"/>
  <c r="E23365" i="1"/>
  <c r="B23366" i="1"/>
  <c r="A23366" i="1"/>
  <c r="E23366" i="1"/>
  <c r="B23367" i="1"/>
  <c r="A23367" i="1"/>
  <c r="E23367" i="1"/>
  <c r="B23368" i="1"/>
  <c r="A23368" i="1"/>
  <c r="E23368" i="1"/>
  <c r="B23369" i="1"/>
  <c r="A23369" i="1"/>
  <c r="E23369" i="1"/>
  <c r="B23370" i="1"/>
  <c r="A23370" i="1"/>
  <c r="E23370" i="1"/>
  <c r="B23371" i="1"/>
  <c r="A23371" i="1"/>
  <c r="E23371" i="1"/>
  <c r="B23372" i="1"/>
  <c r="A23372" i="1"/>
  <c r="E23372" i="1"/>
  <c r="B23373" i="1"/>
  <c r="A23373" i="1"/>
  <c r="E23373" i="1"/>
  <c r="B23374" i="1"/>
  <c r="A23374" i="1"/>
  <c r="E23374" i="1"/>
  <c r="B23375" i="1"/>
  <c r="A23375" i="1"/>
  <c r="E23375" i="1"/>
  <c r="B23376" i="1"/>
  <c r="A23376" i="1"/>
  <c r="E23376" i="1"/>
  <c r="B23377" i="1"/>
  <c r="A23377" i="1"/>
  <c r="E23377" i="1"/>
  <c r="B23378" i="1"/>
  <c r="A23378" i="1"/>
  <c r="E23378" i="1"/>
  <c r="B23379" i="1"/>
  <c r="A23379" i="1"/>
  <c r="E23379" i="1"/>
  <c r="B23380" i="1"/>
  <c r="A23380" i="1"/>
  <c r="E23380" i="1"/>
  <c r="B23381" i="1"/>
  <c r="A23381" i="1"/>
  <c r="E23381" i="1"/>
  <c r="B23382" i="1"/>
  <c r="A23382" i="1"/>
  <c r="E23382" i="1"/>
  <c r="B23383" i="1"/>
  <c r="A23383" i="1"/>
  <c r="E23383" i="1"/>
  <c r="B23384" i="1"/>
  <c r="A23384" i="1"/>
  <c r="E23384" i="1"/>
  <c r="B23385" i="1"/>
  <c r="A23385" i="1"/>
  <c r="E23385" i="1"/>
  <c r="B23386" i="1"/>
  <c r="A23386" i="1"/>
  <c r="E23386" i="1"/>
  <c r="B23387" i="1"/>
  <c r="A23387" i="1"/>
  <c r="E23387" i="1"/>
  <c r="B23388" i="1"/>
  <c r="A23388" i="1"/>
  <c r="E23388" i="1"/>
  <c r="B23389" i="1"/>
  <c r="A23389" i="1"/>
  <c r="E23389" i="1"/>
  <c r="B23390" i="1"/>
  <c r="A23390" i="1"/>
  <c r="E23390" i="1"/>
  <c r="B23391" i="1"/>
  <c r="A23391" i="1"/>
  <c r="E23391" i="1"/>
  <c r="B23392" i="1"/>
  <c r="A23392" i="1"/>
  <c r="E23392" i="1"/>
  <c r="B23393" i="1"/>
  <c r="A23393" i="1"/>
  <c r="E23393" i="1"/>
  <c r="B23394" i="1"/>
  <c r="A23394" i="1"/>
  <c r="E23394" i="1"/>
  <c r="B23395" i="1"/>
  <c r="A23395" i="1"/>
  <c r="E23395" i="1"/>
  <c r="B23396" i="1"/>
  <c r="A23396" i="1"/>
  <c r="E23396" i="1"/>
  <c r="B23397" i="1"/>
  <c r="A23397" i="1"/>
  <c r="E23397" i="1"/>
  <c r="B23398" i="1"/>
  <c r="A23398" i="1"/>
  <c r="E23398" i="1"/>
  <c r="B23399" i="1"/>
  <c r="A23399" i="1"/>
  <c r="E23399" i="1"/>
  <c r="B23400" i="1"/>
  <c r="A23400" i="1"/>
  <c r="E23400" i="1"/>
  <c r="B23401" i="1"/>
  <c r="A23401" i="1"/>
  <c r="E23401" i="1"/>
  <c r="B23402" i="1"/>
  <c r="A23402" i="1"/>
  <c r="E23402" i="1"/>
  <c r="B23403" i="1"/>
  <c r="A23403" i="1"/>
  <c r="E23403" i="1"/>
  <c r="B23404" i="1"/>
  <c r="A23404" i="1"/>
  <c r="E23404" i="1"/>
  <c r="B23405" i="1"/>
  <c r="A23405" i="1"/>
  <c r="E23405" i="1"/>
  <c r="B23406" i="1"/>
  <c r="A23406" i="1"/>
  <c r="E23406" i="1"/>
  <c r="B23407" i="1"/>
  <c r="A23407" i="1"/>
  <c r="E23407" i="1"/>
  <c r="B23408" i="1"/>
  <c r="A23408" i="1"/>
  <c r="E23408" i="1"/>
  <c r="B23409" i="1"/>
  <c r="A23409" i="1"/>
  <c r="E23409" i="1"/>
  <c r="B23410" i="1"/>
  <c r="A23410" i="1"/>
  <c r="E23410" i="1"/>
  <c r="B23411" i="1"/>
  <c r="A23411" i="1"/>
  <c r="E23411" i="1"/>
  <c r="B23412" i="1"/>
  <c r="A23412" i="1"/>
  <c r="E23412" i="1"/>
  <c r="B23413" i="1"/>
  <c r="A23413" i="1"/>
  <c r="E23413" i="1"/>
  <c r="B23414" i="1"/>
  <c r="A23414" i="1"/>
  <c r="E23414" i="1"/>
  <c r="B23415" i="1"/>
  <c r="A23415" i="1"/>
  <c r="E23415" i="1"/>
  <c r="B23416" i="1"/>
  <c r="A23416" i="1"/>
  <c r="E23416" i="1"/>
  <c r="B23417" i="1"/>
  <c r="A23417" i="1"/>
  <c r="E23417" i="1"/>
  <c r="B23418" i="1"/>
  <c r="A23418" i="1"/>
  <c r="E23418" i="1"/>
  <c r="B23419" i="1"/>
  <c r="A23419" i="1"/>
  <c r="E23419" i="1"/>
  <c r="B23420" i="1"/>
  <c r="A23420" i="1"/>
  <c r="E23420" i="1"/>
  <c r="B23421" i="1"/>
  <c r="A23421" i="1"/>
  <c r="E23421" i="1"/>
  <c r="B23422" i="1"/>
  <c r="A23422" i="1"/>
  <c r="E23422" i="1"/>
  <c r="B23423" i="1"/>
  <c r="A23423" i="1"/>
  <c r="E23423" i="1"/>
  <c r="B23424" i="1"/>
  <c r="A23424" i="1"/>
  <c r="E23424" i="1"/>
  <c r="B23425" i="1"/>
  <c r="A23425" i="1"/>
  <c r="E23425" i="1"/>
  <c r="B23426" i="1"/>
  <c r="A23426" i="1"/>
  <c r="E23426" i="1"/>
  <c r="B23427" i="1"/>
  <c r="A23427" i="1"/>
  <c r="E23427" i="1"/>
  <c r="B23428" i="1"/>
  <c r="A23428" i="1"/>
  <c r="E23428" i="1"/>
  <c r="B23429" i="1"/>
  <c r="A23429" i="1"/>
  <c r="E23429" i="1"/>
  <c r="B23430" i="1"/>
  <c r="A23430" i="1"/>
  <c r="E23430" i="1"/>
  <c r="B23431" i="1"/>
  <c r="A23431" i="1"/>
  <c r="E23431" i="1"/>
  <c r="B23432" i="1"/>
  <c r="A23432" i="1"/>
  <c r="E23432" i="1"/>
  <c r="B23433" i="1"/>
  <c r="A23433" i="1"/>
  <c r="E23433" i="1"/>
  <c r="B23434" i="1"/>
  <c r="A23434" i="1"/>
  <c r="E23434" i="1"/>
  <c r="B23435" i="1"/>
  <c r="A23435" i="1"/>
  <c r="E23435" i="1"/>
  <c r="A23436" i="1"/>
  <c r="E23436" i="1"/>
  <c r="A23437" i="1"/>
  <c r="E23437" i="1"/>
  <c r="A23438" i="1"/>
  <c r="E23438" i="1"/>
  <c r="A23439" i="1"/>
  <c r="E23439" i="1"/>
  <c r="A23440" i="1"/>
  <c r="E23440" i="1"/>
  <c r="B23441" i="1"/>
  <c r="A23441" i="1"/>
  <c r="E23441" i="1"/>
  <c r="G23441" i="1"/>
  <c r="B23442" i="1"/>
  <c r="A23442" i="1"/>
  <c r="E23442" i="1"/>
  <c r="B23443" i="1"/>
  <c r="A23443" i="1"/>
  <c r="E23443" i="1"/>
  <c r="B23444" i="1"/>
  <c r="A23444" i="1"/>
  <c r="E23444" i="1"/>
  <c r="B23445" i="1"/>
  <c r="A23445" i="1"/>
  <c r="E23445" i="1"/>
  <c r="B23446" i="1"/>
  <c r="A23446" i="1"/>
  <c r="E23446" i="1"/>
  <c r="B23447" i="1"/>
  <c r="A23447" i="1"/>
  <c r="E23447" i="1"/>
  <c r="B23448" i="1"/>
  <c r="A23448" i="1"/>
  <c r="E23448" i="1"/>
  <c r="B23449" i="1"/>
  <c r="A23449" i="1"/>
  <c r="E23449" i="1"/>
  <c r="B23450" i="1"/>
  <c r="A23450" i="1"/>
  <c r="E23450" i="1"/>
  <c r="B23451" i="1"/>
  <c r="A23451" i="1"/>
  <c r="E23451" i="1"/>
  <c r="B23452" i="1"/>
  <c r="A23452" i="1"/>
  <c r="E23452" i="1"/>
  <c r="A23453" i="1"/>
  <c r="E23453" i="1"/>
  <c r="B23454" i="1"/>
  <c r="A23454" i="1"/>
  <c r="E23454" i="1"/>
  <c r="B23455" i="1"/>
  <c r="A23455" i="1"/>
  <c r="E23455" i="1"/>
  <c r="G23455" i="1"/>
  <c r="B23456" i="1"/>
  <c r="A23456" i="1"/>
  <c r="E23456" i="1"/>
  <c r="B23457" i="1"/>
  <c r="A23457" i="1"/>
  <c r="E23457" i="1"/>
  <c r="B23458" i="1"/>
  <c r="A23458" i="1"/>
  <c r="E23458" i="1"/>
  <c r="B23459" i="1"/>
  <c r="A23459" i="1"/>
  <c r="E23459" i="1"/>
  <c r="B23460" i="1"/>
  <c r="A23460" i="1"/>
  <c r="E23460" i="1"/>
  <c r="B23461" i="1"/>
  <c r="A23461" i="1"/>
  <c r="E23461" i="1"/>
  <c r="B23462" i="1"/>
  <c r="A23462" i="1"/>
  <c r="E23462" i="1"/>
  <c r="B23463" i="1"/>
  <c r="A23463" i="1"/>
  <c r="E23463" i="1"/>
  <c r="B23464" i="1"/>
  <c r="A23464" i="1"/>
  <c r="E23464" i="1"/>
  <c r="B23465" i="1"/>
  <c r="A23465" i="1"/>
  <c r="E23465" i="1"/>
  <c r="B23466" i="1"/>
  <c r="A23466" i="1"/>
  <c r="E23466" i="1"/>
  <c r="B23467" i="1"/>
  <c r="A23467" i="1"/>
  <c r="E23467" i="1"/>
  <c r="B23468" i="1"/>
  <c r="A23468" i="1"/>
  <c r="E23468" i="1"/>
  <c r="B23469" i="1"/>
  <c r="A23469" i="1"/>
  <c r="E23469" i="1"/>
  <c r="B23470" i="1"/>
  <c r="A23470" i="1"/>
  <c r="E23470" i="1"/>
  <c r="B23471" i="1"/>
  <c r="A23471" i="1"/>
  <c r="E23471" i="1"/>
  <c r="B23472" i="1"/>
  <c r="A23472" i="1"/>
  <c r="E23472" i="1"/>
  <c r="B23473" i="1"/>
  <c r="A23473" i="1"/>
  <c r="E23473" i="1"/>
  <c r="B23474" i="1"/>
  <c r="A23474" i="1"/>
  <c r="E23474" i="1"/>
  <c r="B23475" i="1"/>
  <c r="A23475" i="1"/>
  <c r="E23475" i="1"/>
  <c r="B23476" i="1"/>
  <c r="A23476" i="1"/>
  <c r="E23476" i="1"/>
  <c r="B23477" i="1"/>
  <c r="A23477" i="1"/>
  <c r="E23477" i="1"/>
  <c r="B23478" i="1"/>
  <c r="A23478" i="1"/>
  <c r="E23478" i="1"/>
  <c r="B23479" i="1"/>
  <c r="A23479" i="1"/>
  <c r="E23479" i="1"/>
  <c r="B23480" i="1"/>
  <c r="A23480" i="1"/>
  <c r="E23480" i="1"/>
  <c r="B23481" i="1"/>
  <c r="A23481" i="1"/>
  <c r="E23481" i="1"/>
  <c r="B23482" i="1"/>
  <c r="A23482" i="1"/>
  <c r="E23482" i="1"/>
  <c r="B23483" i="1"/>
  <c r="A23483" i="1"/>
  <c r="E23483" i="1"/>
  <c r="B23484" i="1"/>
  <c r="A23484" i="1"/>
  <c r="E23484" i="1"/>
  <c r="B23485" i="1"/>
  <c r="A23485" i="1"/>
  <c r="E23485" i="1"/>
  <c r="B23486" i="1"/>
  <c r="A23486" i="1"/>
  <c r="E23486" i="1"/>
  <c r="B23487" i="1"/>
  <c r="A23487" i="1"/>
  <c r="E23487" i="1"/>
  <c r="B23488" i="1"/>
  <c r="A23488" i="1"/>
  <c r="E23488" i="1"/>
  <c r="B23489" i="1"/>
  <c r="A23489" i="1"/>
  <c r="E23489" i="1"/>
  <c r="B23490" i="1"/>
  <c r="A23490" i="1"/>
  <c r="E23490" i="1"/>
  <c r="B23491" i="1"/>
  <c r="A23491" i="1"/>
  <c r="E23491" i="1"/>
  <c r="B23492" i="1"/>
  <c r="A23492" i="1"/>
  <c r="E23492" i="1"/>
  <c r="B23493" i="1"/>
  <c r="A23493" i="1"/>
  <c r="E23493" i="1"/>
  <c r="B23494" i="1"/>
  <c r="A23494" i="1"/>
  <c r="E23494" i="1"/>
  <c r="B23495" i="1"/>
  <c r="A23495" i="1"/>
  <c r="E23495" i="1"/>
  <c r="B23496" i="1"/>
  <c r="A23496" i="1"/>
  <c r="E23496" i="1"/>
  <c r="B23497" i="1"/>
  <c r="A23497" i="1"/>
  <c r="E23497" i="1"/>
  <c r="B23498" i="1"/>
  <c r="A23498" i="1"/>
  <c r="E23498" i="1"/>
  <c r="B23499" i="1"/>
  <c r="A23499" i="1"/>
  <c r="E23499" i="1"/>
  <c r="B23500" i="1"/>
  <c r="A23500" i="1"/>
  <c r="E23500" i="1"/>
  <c r="B23501" i="1"/>
  <c r="A23501" i="1"/>
  <c r="E23501" i="1"/>
  <c r="B23502" i="1"/>
  <c r="A23502" i="1"/>
  <c r="E23502" i="1"/>
  <c r="B23503" i="1"/>
  <c r="A23503" i="1"/>
  <c r="E23503" i="1"/>
  <c r="B23504" i="1"/>
  <c r="A23504" i="1"/>
  <c r="E23504" i="1"/>
  <c r="B23505" i="1"/>
  <c r="A23505" i="1"/>
  <c r="E23505" i="1"/>
  <c r="B23506" i="1"/>
  <c r="A23506" i="1"/>
  <c r="E23506" i="1"/>
  <c r="B23507" i="1"/>
  <c r="A23507" i="1"/>
  <c r="E23507" i="1"/>
  <c r="B23508" i="1"/>
  <c r="A23508" i="1"/>
  <c r="E23508" i="1"/>
  <c r="B23509" i="1"/>
  <c r="A23509" i="1"/>
  <c r="E23509" i="1"/>
  <c r="B23510" i="1"/>
  <c r="A23510" i="1"/>
  <c r="E23510" i="1"/>
  <c r="B23511" i="1"/>
  <c r="A23511" i="1"/>
  <c r="E23511" i="1"/>
  <c r="B23512" i="1"/>
  <c r="A23512" i="1"/>
  <c r="E23512" i="1"/>
  <c r="B23513" i="1"/>
  <c r="A23513" i="1"/>
  <c r="E23513" i="1"/>
  <c r="B23514" i="1"/>
  <c r="A23514" i="1"/>
  <c r="E23514" i="1"/>
  <c r="B23515" i="1"/>
  <c r="A23515" i="1"/>
  <c r="E23515" i="1"/>
  <c r="B23516" i="1"/>
  <c r="A23516" i="1"/>
  <c r="E23516" i="1"/>
  <c r="B23517" i="1"/>
  <c r="A23517" i="1"/>
  <c r="E23517" i="1"/>
  <c r="B23518" i="1"/>
  <c r="A23518" i="1"/>
  <c r="E23518" i="1"/>
  <c r="B23519" i="1"/>
  <c r="A23519" i="1"/>
  <c r="E23519" i="1"/>
  <c r="B23520" i="1"/>
  <c r="A23520" i="1"/>
  <c r="E23520" i="1"/>
  <c r="B23521" i="1"/>
  <c r="A23521" i="1"/>
  <c r="E23521" i="1"/>
  <c r="F23521" i="1"/>
  <c r="G23521" i="1"/>
  <c r="B23522" i="1"/>
  <c r="A23522" i="1"/>
  <c r="E23522" i="1"/>
  <c r="F23522" i="1"/>
  <c r="B23523" i="1"/>
  <c r="A23523" i="1"/>
  <c r="E23523" i="1"/>
  <c r="F23523" i="1"/>
  <c r="B23524" i="1"/>
  <c r="A23524" i="1"/>
  <c r="E23524" i="1"/>
  <c r="F23524" i="1"/>
  <c r="B23525" i="1"/>
  <c r="A23525" i="1"/>
  <c r="E23525" i="1"/>
  <c r="F23525" i="1"/>
  <c r="B23526" i="1"/>
  <c r="A23526" i="1"/>
  <c r="E23526" i="1"/>
  <c r="F23526" i="1"/>
  <c r="B23527" i="1"/>
  <c r="A23527" i="1"/>
  <c r="E23527" i="1"/>
  <c r="F23527" i="1"/>
  <c r="B23528" i="1"/>
  <c r="A23528" i="1"/>
  <c r="E23528" i="1"/>
  <c r="F23528" i="1"/>
  <c r="G23528" i="1"/>
  <c r="B23529" i="1"/>
  <c r="A23529" i="1"/>
  <c r="E23529" i="1"/>
  <c r="F23529" i="1"/>
  <c r="B23530" i="1"/>
  <c r="A23530" i="1"/>
  <c r="E23530" i="1"/>
  <c r="F23530" i="1"/>
  <c r="B23531" i="1"/>
  <c r="A23531" i="1"/>
  <c r="E23531" i="1"/>
  <c r="F23531" i="1"/>
  <c r="B23532" i="1"/>
  <c r="A23532" i="1"/>
  <c r="E23532" i="1"/>
  <c r="F23532" i="1"/>
  <c r="B23533" i="1"/>
  <c r="A23533" i="1"/>
  <c r="E23533" i="1"/>
  <c r="B23534" i="1"/>
  <c r="A23534" i="1"/>
  <c r="E23534" i="1"/>
  <c r="B23535" i="1"/>
  <c r="A23535" i="1"/>
  <c r="E23535" i="1"/>
  <c r="B23536" i="1"/>
  <c r="A23536" i="1"/>
  <c r="E23536" i="1"/>
  <c r="B23537" i="1"/>
  <c r="A23537" i="1"/>
  <c r="E23537" i="1"/>
  <c r="B23538" i="1"/>
  <c r="A23538" i="1"/>
  <c r="E23538" i="1"/>
  <c r="B23539" i="1"/>
  <c r="A23539" i="1"/>
  <c r="E23539" i="1"/>
  <c r="B23540" i="1"/>
  <c r="A23540" i="1"/>
  <c r="E23540" i="1"/>
  <c r="B23541" i="1"/>
  <c r="A23541" i="1"/>
  <c r="E23541" i="1"/>
  <c r="B23542" i="1"/>
  <c r="A23542" i="1"/>
  <c r="E23542" i="1"/>
  <c r="B23543" i="1"/>
  <c r="A23543" i="1"/>
  <c r="E23543" i="1"/>
  <c r="G23543" i="1"/>
  <c r="B23544" i="1"/>
  <c r="A23544" i="1"/>
  <c r="E23544" i="1"/>
  <c r="A23545" i="1"/>
  <c r="E23545" i="1"/>
  <c r="B23546" i="1"/>
  <c r="A23546" i="1"/>
  <c r="E23546" i="1"/>
  <c r="B23547" i="1"/>
  <c r="A23547" i="1"/>
  <c r="E23547" i="1"/>
  <c r="B23548" i="1"/>
  <c r="A23548" i="1"/>
  <c r="E23548" i="1"/>
  <c r="B23549" i="1"/>
  <c r="A23549" i="1"/>
  <c r="E23549" i="1"/>
  <c r="G23549" i="1"/>
  <c r="B23550" i="1"/>
  <c r="A23550" i="1"/>
  <c r="E23550" i="1"/>
  <c r="B23551" i="1"/>
  <c r="A23551" i="1"/>
  <c r="E23551" i="1"/>
  <c r="G23551" i="1"/>
  <c r="B23552" i="1"/>
  <c r="A23552" i="1"/>
  <c r="E23552" i="1"/>
  <c r="B23553" i="1"/>
  <c r="A23553" i="1"/>
  <c r="E23553" i="1"/>
  <c r="B23554" i="1"/>
  <c r="A23554" i="1"/>
  <c r="E23554" i="1"/>
  <c r="B23555" i="1"/>
  <c r="A23555" i="1"/>
  <c r="E23555" i="1"/>
  <c r="F23555" i="1"/>
  <c r="B23556" i="1"/>
  <c r="A23556" i="1"/>
  <c r="E23556" i="1"/>
  <c r="F23556" i="1"/>
  <c r="B23557" i="1"/>
  <c r="A23557" i="1"/>
  <c r="E23557" i="1"/>
  <c r="F23557" i="1"/>
  <c r="B23558" i="1"/>
  <c r="A23558" i="1"/>
  <c r="E23558" i="1"/>
  <c r="F23558" i="1"/>
  <c r="B23559" i="1"/>
  <c r="A23559" i="1"/>
  <c r="E23559" i="1"/>
  <c r="F23559" i="1"/>
  <c r="G23559" i="1"/>
  <c r="B23560" i="1"/>
  <c r="A23560" i="1"/>
  <c r="E23560" i="1"/>
  <c r="F23560" i="1"/>
  <c r="B23561" i="1"/>
  <c r="A23561" i="1"/>
  <c r="E23561" i="1"/>
  <c r="F23561" i="1"/>
  <c r="G23561" i="1"/>
  <c r="B23562" i="1"/>
  <c r="A23562" i="1"/>
  <c r="E23562" i="1"/>
  <c r="F23562" i="1"/>
  <c r="B23563" i="1"/>
  <c r="A23563" i="1"/>
  <c r="E23563" i="1"/>
  <c r="F23563" i="1"/>
  <c r="B23564" i="1"/>
  <c r="A23564" i="1"/>
  <c r="E23564" i="1"/>
  <c r="F23564" i="1"/>
  <c r="B23565" i="1"/>
  <c r="A23565" i="1"/>
  <c r="E23565" i="1"/>
  <c r="F23565" i="1"/>
  <c r="B23566" i="1"/>
  <c r="A23566" i="1"/>
  <c r="E23566" i="1"/>
  <c r="F23566" i="1"/>
  <c r="B23567" i="1"/>
  <c r="A23567" i="1"/>
  <c r="E23567" i="1"/>
  <c r="F23567" i="1"/>
  <c r="B23568" i="1"/>
  <c r="A23568" i="1"/>
  <c r="E23568" i="1"/>
  <c r="F23568" i="1"/>
  <c r="B23569" i="1"/>
  <c r="A23569" i="1"/>
  <c r="E23569" i="1"/>
  <c r="F23569" i="1"/>
  <c r="B23570" i="1"/>
  <c r="A23570" i="1"/>
  <c r="E23570" i="1"/>
  <c r="F23570" i="1"/>
  <c r="B23571" i="1"/>
  <c r="A23571" i="1"/>
  <c r="E23571" i="1"/>
  <c r="F23571" i="1"/>
  <c r="B23572" i="1"/>
  <c r="A23572" i="1"/>
  <c r="E23572" i="1"/>
  <c r="F23572" i="1"/>
  <c r="B23573" i="1"/>
  <c r="A23573" i="1"/>
  <c r="E23573" i="1"/>
  <c r="F23573" i="1"/>
  <c r="B23574" i="1"/>
  <c r="A23574" i="1"/>
  <c r="E23574" i="1"/>
  <c r="F23574" i="1"/>
  <c r="B23575" i="1"/>
  <c r="A23575" i="1"/>
  <c r="E23575" i="1"/>
  <c r="F23575" i="1"/>
  <c r="B23576" i="1"/>
  <c r="A23576" i="1"/>
  <c r="E23576" i="1"/>
  <c r="F23576" i="1"/>
  <c r="B23577" i="1"/>
  <c r="A23577" i="1"/>
  <c r="E23577" i="1"/>
  <c r="F23577" i="1"/>
  <c r="B23578" i="1"/>
  <c r="A23578" i="1"/>
  <c r="E23578" i="1"/>
  <c r="F23578" i="1"/>
  <c r="B23579" i="1"/>
  <c r="A23579" i="1"/>
  <c r="E23579" i="1"/>
  <c r="F23579" i="1"/>
  <c r="B23580" i="1"/>
  <c r="A23580" i="1"/>
  <c r="E23580" i="1"/>
  <c r="F23580" i="1"/>
  <c r="B23581" i="1"/>
  <c r="A23581" i="1"/>
  <c r="E23581" i="1"/>
  <c r="F23581" i="1"/>
  <c r="B23582" i="1"/>
  <c r="A23582" i="1"/>
  <c r="E23582" i="1"/>
  <c r="F23582" i="1"/>
  <c r="B23583" i="1"/>
  <c r="A23583" i="1"/>
  <c r="E23583" i="1"/>
  <c r="F23583" i="1"/>
  <c r="B23584" i="1"/>
  <c r="A23584" i="1"/>
  <c r="E23584" i="1"/>
  <c r="F23584" i="1"/>
  <c r="B23585" i="1"/>
  <c r="A23585" i="1"/>
  <c r="E23585" i="1"/>
  <c r="F23585" i="1"/>
  <c r="B23586" i="1"/>
  <c r="A23586" i="1"/>
  <c r="E23586" i="1"/>
  <c r="F23586" i="1"/>
  <c r="B23587" i="1"/>
  <c r="A23587" i="1"/>
  <c r="E23587" i="1"/>
  <c r="F23587" i="1"/>
  <c r="B23588" i="1"/>
  <c r="A23588" i="1"/>
  <c r="E23588" i="1"/>
  <c r="F23588" i="1"/>
  <c r="B23589" i="1"/>
  <c r="A23589" i="1"/>
  <c r="E23589" i="1"/>
  <c r="F23589" i="1"/>
  <c r="B23590" i="1"/>
  <c r="A23590" i="1"/>
  <c r="E23590" i="1"/>
  <c r="F23590" i="1"/>
  <c r="B23591" i="1"/>
  <c r="A23591" i="1"/>
  <c r="E23591" i="1"/>
  <c r="F23591" i="1"/>
  <c r="B23592" i="1"/>
  <c r="A23592" i="1"/>
  <c r="E23592" i="1"/>
  <c r="F23592" i="1"/>
  <c r="B23593" i="1"/>
  <c r="A23593" i="1"/>
  <c r="E23593" i="1"/>
  <c r="F23593" i="1"/>
  <c r="G23593" i="1"/>
  <c r="B23594" i="1"/>
  <c r="A23594" i="1"/>
  <c r="E23594" i="1"/>
  <c r="F23594" i="1"/>
  <c r="B23595" i="1"/>
  <c r="A23595" i="1"/>
  <c r="E23595" i="1"/>
  <c r="B23596" i="1"/>
  <c r="A23596" i="1"/>
  <c r="E23596" i="1"/>
  <c r="A23597" i="1"/>
  <c r="E23597" i="1"/>
  <c r="B23598" i="1"/>
  <c r="A23598" i="1"/>
  <c r="E23598" i="1"/>
  <c r="B23599" i="1"/>
  <c r="A23599" i="1"/>
  <c r="E23599" i="1"/>
  <c r="B23600" i="1"/>
  <c r="A23600" i="1"/>
  <c r="E23600" i="1"/>
  <c r="B23601" i="1"/>
  <c r="A23601" i="1"/>
  <c r="E23601" i="1"/>
  <c r="B23602" i="1"/>
  <c r="A23602" i="1"/>
  <c r="E23602" i="1"/>
  <c r="B23603" i="1"/>
  <c r="A23603" i="1"/>
  <c r="E23603" i="1"/>
  <c r="G23603" i="1"/>
  <c r="B23604" i="1"/>
  <c r="A23604" i="1"/>
  <c r="E23604" i="1"/>
  <c r="B23605" i="1"/>
  <c r="A23605" i="1"/>
  <c r="E23605" i="1"/>
  <c r="F23605" i="1"/>
  <c r="B23606" i="1"/>
  <c r="A23606" i="1"/>
  <c r="E23606" i="1"/>
  <c r="F23606" i="1"/>
  <c r="G23606" i="1"/>
  <c r="B23607" i="1"/>
  <c r="A23607" i="1"/>
  <c r="E23607" i="1"/>
  <c r="F23607" i="1"/>
  <c r="B23608" i="1"/>
  <c r="A23608" i="1"/>
  <c r="E23608" i="1"/>
  <c r="F23608" i="1"/>
  <c r="B23609" i="1"/>
  <c r="A23609" i="1"/>
  <c r="E23609" i="1"/>
  <c r="F23609" i="1"/>
  <c r="B23610" i="1"/>
  <c r="A23610" i="1"/>
  <c r="E23610" i="1"/>
  <c r="F23610" i="1"/>
  <c r="B23611" i="1"/>
  <c r="A23611" i="1"/>
  <c r="E23611" i="1"/>
  <c r="F23611" i="1"/>
  <c r="B23612" i="1"/>
  <c r="A23612" i="1"/>
  <c r="E23612" i="1"/>
  <c r="F23612" i="1"/>
  <c r="B23613" i="1"/>
  <c r="A23613" i="1"/>
  <c r="E23613" i="1"/>
  <c r="F23613" i="1"/>
  <c r="B23614" i="1"/>
  <c r="A23614" i="1"/>
  <c r="E23614" i="1"/>
  <c r="F23614" i="1"/>
  <c r="G23614" i="1"/>
  <c r="B23615" i="1"/>
  <c r="A23615" i="1"/>
  <c r="E23615" i="1"/>
  <c r="F23615" i="1"/>
  <c r="B23616" i="1"/>
  <c r="A23616" i="1"/>
  <c r="E23616" i="1"/>
  <c r="F23616" i="1"/>
  <c r="B23617" i="1"/>
  <c r="A23617" i="1"/>
  <c r="E23617" i="1"/>
  <c r="F23617" i="1"/>
  <c r="B23618" i="1"/>
  <c r="A23618" i="1"/>
  <c r="E23618" i="1"/>
  <c r="F23618" i="1"/>
  <c r="G23618" i="1"/>
  <c r="B23619" i="1"/>
  <c r="A23619" i="1"/>
  <c r="E23619" i="1"/>
  <c r="F23619" i="1"/>
  <c r="B23620" i="1"/>
  <c r="A23620" i="1"/>
  <c r="E23620" i="1"/>
  <c r="F23620" i="1"/>
  <c r="B23621" i="1"/>
  <c r="A23621" i="1"/>
  <c r="E23621" i="1"/>
  <c r="F23621" i="1"/>
  <c r="B23622" i="1"/>
  <c r="A23622" i="1"/>
  <c r="E23622" i="1"/>
  <c r="B23623" i="1"/>
  <c r="A23623" i="1"/>
  <c r="E23623" i="1"/>
  <c r="B23624" i="1"/>
  <c r="A23624" i="1"/>
  <c r="E23624" i="1"/>
  <c r="B23625" i="1"/>
  <c r="A23625" i="1"/>
  <c r="E23625" i="1"/>
  <c r="B23626" i="1"/>
  <c r="A23626" i="1"/>
  <c r="E23626" i="1"/>
  <c r="B23627" i="1"/>
  <c r="A23627" i="1"/>
  <c r="E23627" i="1"/>
  <c r="B23628" i="1"/>
  <c r="A23628" i="1"/>
  <c r="E23628" i="1"/>
  <c r="B23629" i="1"/>
  <c r="A23629" i="1"/>
  <c r="E23629" i="1"/>
  <c r="B23630" i="1"/>
  <c r="A23630" i="1"/>
  <c r="E23630" i="1"/>
  <c r="B23631" i="1"/>
  <c r="A23631" i="1"/>
  <c r="E23631" i="1"/>
  <c r="B23632" i="1"/>
  <c r="A23632" i="1"/>
  <c r="E23632" i="1"/>
  <c r="B23633" i="1"/>
  <c r="A23633" i="1"/>
  <c r="E23633" i="1"/>
  <c r="B23634" i="1"/>
  <c r="A23634" i="1"/>
  <c r="E23634" i="1"/>
  <c r="B23635" i="1"/>
  <c r="A23635" i="1"/>
  <c r="E23635" i="1"/>
  <c r="B23636" i="1"/>
  <c r="A23636" i="1"/>
  <c r="E23636" i="1"/>
  <c r="B23637" i="1"/>
  <c r="A23637" i="1"/>
  <c r="E23637" i="1"/>
  <c r="B23638" i="1"/>
  <c r="A23638" i="1"/>
  <c r="E23638" i="1"/>
  <c r="B23639" i="1"/>
  <c r="A23639" i="1"/>
  <c r="E23639" i="1"/>
  <c r="B23640" i="1"/>
  <c r="A23640" i="1"/>
  <c r="E23640" i="1"/>
  <c r="B23641" i="1"/>
  <c r="A23641" i="1"/>
  <c r="E23641" i="1"/>
  <c r="B23642" i="1"/>
  <c r="A23642" i="1"/>
  <c r="E23642" i="1"/>
  <c r="B23643" i="1"/>
  <c r="A23643" i="1"/>
  <c r="E23643" i="1"/>
  <c r="B23644" i="1"/>
  <c r="A23644" i="1"/>
  <c r="E23644" i="1"/>
  <c r="B23645" i="1"/>
  <c r="A23645" i="1"/>
  <c r="E23645" i="1"/>
  <c r="B23646" i="1"/>
  <c r="A23646" i="1"/>
  <c r="E23646" i="1"/>
  <c r="B23647" i="1"/>
  <c r="A23647" i="1"/>
  <c r="E23647" i="1"/>
  <c r="B23648" i="1"/>
  <c r="A23648" i="1"/>
  <c r="E23648" i="1"/>
  <c r="B23649" i="1"/>
  <c r="A23649" i="1"/>
  <c r="E23649" i="1"/>
  <c r="B23650" i="1"/>
  <c r="A23650" i="1"/>
  <c r="E23650" i="1"/>
  <c r="B23651" i="1"/>
  <c r="A23651" i="1"/>
  <c r="E23651" i="1"/>
  <c r="B23652" i="1"/>
  <c r="A23652" i="1"/>
  <c r="E23652" i="1"/>
  <c r="B23653" i="1"/>
  <c r="A23653" i="1"/>
  <c r="E23653" i="1"/>
  <c r="B23654" i="1"/>
  <c r="A23654" i="1"/>
  <c r="E23654" i="1"/>
  <c r="B23655" i="1"/>
  <c r="A23655" i="1"/>
  <c r="E23655" i="1"/>
  <c r="B23656" i="1"/>
  <c r="A23656" i="1"/>
  <c r="E23656" i="1"/>
  <c r="B23657" i="1"/>
  <c r="A23657" i="1"/>
  <c r="E23657" i="1"/>
  <c r="B23658" i="1"/>
  <c r="A23658" i="1"/>
  <c r="E23658" i="1"/>
  <c r="A23659" i="1"/>
  <c r="E23659" i="1"/>
  <c r="B23660" i="1"/>
  <c r="A23660" i="1"/>
  <c r="E23660" i="1"/>
  <c r="B23661" i="1"/>
  <c r="A23661" i="1"/>
  <c r="E23661" i="1"/>
  <c r="B23662" i="1"/>
  <c r="A23662" i="1"/>
  <c r="E23662" i="1"/>
  <c r="B23663" i="1"/>
  <c r="A23663" i="1"/>
  <c r="E23663" i="1"/>
  <c r="B23664" i="1"/>
  <c r="A23664" i="1"/>
  <c r="E23664" i="1"/>
  <c r="B23665" i="1"/>
  <c r="A23665" i="1"/>
  <c r="E23665" i="1"/>
  <c r="G23665" i="1"/>
  <c r="B23666" i="1"/>
  <c r="A23666" i="1"/>
  <c r="E23666" i="1"/>
  <c r="B23667" i="1"/>
  <c r="A23667" i="1"/>
  <c r="E23667" i="1"/>
  <c r="B23668" i="1"/>
  <c r="A23668" i="1"/>
  <c r="E23668" i="1"/>
  <c r="B23669" i="1"/>
  <c r="A23669" i="1"/>
  <c r="E23669" i="1"/>
  <c r="B23670" i="1"/>
  <c r="A23670" i="1"/>
  <c r="E23670" i="1"/>
  <c r="B23671" i="1"/>
  <c r="A23671" i="1"/>
  <c r="E23671" i="1"/>
  <c r="B23672" i="1"/>
  <c r="A23672" i="1"/>
  <c r="E23672" i="1"/>
  <c r="B23673" i="1"/>
  <c r="A23673" i="1"/>
  <c r="E23673" i="1"/>
  <c r="B23674" i="1"/>
  <c r="A23674" i="1"/>
  <c r="E23674" i="1"/>
  <c r="B23675" i="1"/>
  <c r="A23675" i="1"/>
  <c r="E23675" i="1"/>
  <c r="B23676" i="1"/>
  <c r="A23676" i="1"/>
  <c r="E23676" i="1"/>
  <c r="F23676" i="1"/>
  <c r="B23677" i="1"/>
  <c r="A23677" i="1"/>
  <c r="E23677" i="1"/>
  <c r="F23677" i="1"/>
  <c r="B23678" i="1"/>
  <c r="A23678" i="1"/>
  <c r="E23678" i="1"/>
  <c r="F23678" i="1"/>
  <c r="B23679" i="1"/>
  <c r="A23679" i="1"/>
  <c r="E23679" i="1"/>
  <c r="F23679" i="1"/>
  <c r="B23680" i="1"/>
  <c r="A23680" i="1"/>
  <c r="E23680" i="1"/>
  <c r="F23680" i="1"/>
  <c r="G23680" i="1"/>
  <c r="B23681" i="1"/>
  <c r="A23681" i="1"/>
  <c r="E23681" i="1"/>
  <c r="F23681" i="1"/>
  <c r="B23682" i="1"/>
  <c r="A23682" i="1"/>
  <c r="E23682" i="1"/>
  <c r="F23682" i="1"/>
  <c r="G23682" i="1"/>
  <c r="B23683" i="1"/>
  <c r="A23683" i="1"/>
  <c r="E23683" i="1"/>
  <c r="F23683" i="1"/>
  <c r="B23684" i="1"/>
  <c r="A23684" i="1"/>
  <c r="E23684" i="1"/>
  <c r="F23684" i="1"/>
  <c r="G23684" i="1"/>
  <c r="B23685" i="1"/>
  <c r="A23685" i="1"/>
  <c r="E23685" i="1"/>
  <c r="F23685" i="1"/>
  <c r="G23685" i="1"/>
  <c r="B23686" i="1"/>
  <c r="A23686" i="1"/>
  <c r="E23686" i="1"/>
  <c r="F23686" i="1"/>
  <c r="G23686" i="1"/>
  <c r="B23687" i="1"/>
  <c r="A23687" i="1"/>
  <c r="E23687" i="1"/>
  <c r="B23688" i="1"/>
  <c r="A23688" i="1"/>
  <c r="E23688" i="1"/>
  <c r="B23689" i="1"/>
  <c r="A23689" i="1"/>
  <c r="E23689" i="1"/>
  <c r="B23690" i="1"/>
  <c r="A23690" i="1"/>
  <c r="E23690" i="1"/>
  <c r="B23691" i="1"/>
  <c r="A23691" i="1"/>
  <c r="E23691" i="1"/>
  <c r="B23692" i="1"/>
  <c r="A23692" i="1"/>
  <c r="E23692" i="1"/>
  <c r="B23693" i="1"/>
  <c r="A23693" i="1"/>
  <c r="E23693" i="1"/>
  <c r="B23694" i="1"/>
  <c r="A23694" i="1"/>
  <c r="E23694" i="1"/>
  <c r="B23695" i="1"/>
  <c r="A23695" i="1"/>
  <c r="E23695" i="1"/>
  <c r="B23696" i="1"/>
  <c r="A23696" i="1"/>
  <c r="E23696" i="1"/>
  <c r="G23696" i="1"/>
  <c r="B23697" i="1"/>
  <c r="A23697" i="1"/>
  <c r="E23697" i="1"/>
  <c r="B23698" i="1"/>
  <c r="A23698" i="1"/>
  <c r="E23698" i="1"/>
  <c r="G23698" i="1"/>
  <c r="A23699" i="1"/>
  <c r="E23699" i="1"/>
  <c r="G23699" i="1"/>
  <c r="B23700" i="1"/>
  <c r="A23700" i="1"/>
  <c r="E23700" i="1"/>
  <c r="B23701" i="1"/>
  <c r="A23701" i="1"/>
  <c r="E23701" i="1"/>
  <c r="B23702" i="1"/>
  <c r="A23702" i="1"/>
  <c r="E23702" i="1"/>
  <c r="B23703" i="1"/>
  <c r="A23703" i="1"/>
  <c r="E23703" i="1"/>
  <c r="B23704" i="1"/>
  <c r="A23704" i="1"/>
  <c r="E23704" i="1"/>
  <c r="B23705" i="1"/>
  <c r="A23705" i="1"/>
  <c r="E23705" i="1"/>
  <c r="G23705" i="1"/>
  <c r="B23706" i="1"/>
  <c r="A23706" i="1"/>
  <c r="E23706" i="1"/>
  <c r="B23707" i="1"/>
  <c r="A23707" i="1"/>
  <c r="E23707" i="1"/>
  <c r="B23708" i="1"/>
  <c r="A23708" i="1"/>
  <c r="E23708" i="1"/>
  <c r="B23709" i="1"/>
  <c r="A23709" i="1"/>
  <c r="E23709" i="1"/>
  <c r="F23709" i="1"/>
  <c r="B23710" i="1"/>
  <c r="A23710" i="1"/>
  <c r="E23710" i="1"/>
  <c r="F23710" i="1"/>
  <c r="B23711" i="1"/>
  <c r="A23711" i="1"/>
  <c r="E23711" i="1"/>
  <c r="F23711" i="1"/>
  <c r="B23712" i="1"/>
  <c r="A23712" i="1"/>
  <c r="E23712" i="1"/>
  <c r="B23713" i="1"/>
  <c r="A23713" i="1"/>
  <c r="E23713" i="1"/>
  <c r="B23714" i="1"/>
  <c r="A23714" i="1"/>
  <c r="E23714" i="1"/>
  <c r="B23715" i="1"/>
  <c r="A23715" i="1"/>
  <c r="E23715" i="1"/>
  <c r="B23716" i="1"/>
  <c r="A23716" i="1"/>
  <c r="E23716" i="1"/>
  <c r="B23717" i="1"/>
  <c r="A23717" i="1"/>
  <c r="E23717" i="1"/>
  <c r="F23717" i="1"/>
  <c r="G23717" i="1"/>
  <c r="B23718" i="1"/>
  <c r="A23718" i="1"/>
  <c r="E23718" i="1"/>
  <c r="F23718" i="1"/>
  <c r="B23719" i="1"/>
  <c r="A23719" i="1"/>
  <c r="E23719" i="1"/>
  <c r="F23719" i="1"/>
  <c r="B23720" i="1"/>
  <c r="A23720" i="1"/>
  <c r="E23720" i="1"/>
  <c r="F23720" i="1"/>
  <c r="B23721" i="1"/>
  <c r="A23721" i="1"/>
  <c r="E23721" i="1"/>
  <c r="F23721" i="1"/>
  <c r="B23722" i="1"/>
  <c r="A23722" i="1"/>
  <c r="E23722" i="1"/>
  <c r="F23722" i="1"/>
  <c r="B23723" i="1"/>
  <c r="A23723" i="1"/>
  <c r="E23723" i="1"/>
  <c r="F23723" i="1"/>
  <c r="B23724" i="1"/>
  <c r="A23724" i="1"/>
  <c r="E23724" i="1"/>
  <c r="F23724" i="1"/>
  <c r="B23725" i="1"/>
  <c r="A23725" i="1"/>
  <c r="E23725" i="1"/>
  <c r="F23725" i="1"/>
  <c r="B23726" i="1"/>
  <c r="A23726" i="1"/>
  <c r="E23726" i="1"/>
  <c r="F23726" i="1"/>
  <c r="B23727" i="1"/>
  <c r="A23727" i="1"/>
  <c r="E23727" i="1"/>
  <c r="F23727" i="1"/>
  <c r="B23728" i="1"/>
  <c r="A23728" i="1"/>
  <c r="E23728" i="1"/>
  <c r="F23728" i="1"/>
  <c r="G23728" i="1"/>
  <c r="B23729" i="1"/>
  <c r="A23729" i="1"/>
  <c r="E23729" i="1"/>
  <c r="F23729" i="1"/>
  <c r="B23730" i="1"/>
  <c r="A23730" i="1"/>
  <c r="E23730" i="1"/>
  <c r="F23730" i="1"/>
  <c r="B23731" i="1"/>
  <c r="A23731" i="1"/>
  <c r="E23731" i="1"/>
  <c r="F23731" i="1"/>
  <c r="B23732" i="1"/>
  <c r="A23732" i="1"/>
  <c r="E23732" i="1"/>
  <c r="F23732" i="1"/>
  <c r="B23733" i="1"/>
  <c r="A23733" i="1"/>
  <c r="E23733" i="1"/>
  <c r="F23733" i="1"/>
  <c r="B23734" i="1"/>
  <c r="A23734" i="1"/>
  <c r="E23734" i="1"/>
  <c r="F23734" i="1"/>
  <c r="B23735" i="1"/>
  <c r="A23735" i="1"/>
  <c r="E23735" i="1"/>
  <c r="F23735" i="1"/>
  <c r="B23736" i="1"/>
  <c r="A23736" i="1"/>
  <c r="E23736" i="1"/>
  <c r="F23736" i="1"/>
  <c r="B23737" i="1"/>
  <c r="A23737" i="1"/>
  <c r="E23737" i="1"/>
  <c r="F23737" i="1"/>
  <c r="B23738" i="1"/>
  <c r="A23738" i="1"/>
  <c r="E23738" i="1"/>
  <c r="F23738" i="1"/>
  <c r="B23739" i="1"/>
  <c r="A23739" i="1"/>
  <c r="E23739" i="1"/>
  <c r="F23739" i="1"/>
  <c r="B23740" i="1"/>
  <c r="A23740" i="1"/>
  <c r="E23740" i="1"/>
  <c r="F23740" i="1"/>
  <c r="B23741" i="1"/>
  <c r="A23741" i="1"/>
  <c r="E23741" i="1"/>
  <c r="F23741" i="1"/>
  <c r="B23742" i="1"/>
  <c r="A23742" i="1"/>
  <c r="E23742" i="1"/>
  <c r="F23742" i="1"/>
  <c r="G23742" i="1"/>
  <c r="B23743" i="1"/>
  <c r="A23743" i="1"/>
  <c r="E23743" i="1"/>
  <c r="F23743" i="1"/>
  <c r="B23744" i="1"/>
  <c r="A23744" i="1"/>
  <c r="E23744" i="1"/>
  <c r="F23744" i="1"/>
  <c r="B23745" i="1"/>
  <c r="A23745" i="1"/>
  <c r="E23745" i="1"/>
  <c r="F23745" i="1"/>
  <c r="B23746" i="1"/>
  <c r="A23746" i="1"/>
  <c r="E23746" i="1"/>
  <c r="F23746" i="1"/>
  <c r="G23746" i="1"/>
  <c r="B23747" i="1"/>
  <c r="A23747" i="1"/>
  <c r="E23747" i="1"/>
  <c r="F23747" i="1"/>
  <c r="B23748" i="1"/>
  <c r="A23748" i="1"/>
  <c r="E23748" i="1"/>
  <c r="F23748" i="1"/>
  <c r="B23749" i="1"/>
  <c r="A23749" i="1"/>
  <c r="E23749" i="1"/>
  <c r="F23749" i="1"/>
  <c r="B23750" i="1"/>
  <c r="A23750" i="1"/>
  <c r="E23750" i="1"/>
  <c r="F23750" i="1"/>
  <c r="G23750" i="1"/>
  <c r="B23751" i="1"/>
  <c r="A23751" i="1"/>
  <c r="E23751" i="1"/>
  <c r="F23751" i="1"/>
  <c r="B23752" i="1"/>
  <c r="A23752" i="1"/>
  <c r="E23752" i="1"/>
  <c r="F23752" i="1"/>
  <c r="G23752" i="1"/>
  <c r="B23753" i="1"/>
  <c r="A23753" i="1"/>
  <c r="E23753" i="1"/>
  <c r="F23753" i="1"/>
  <c r="B23754" i="1"/>
  <c r="A23754" i="1"/>
  <c r="E23754" i="1"/>
  <c r="F23754" i="1"/>
  <c r="B23755" i="1"/>
  <c r="A23755" i="1"/>
  <c r="E23755" i="1"/>
  <c r="F23755" i="1"/>
  <c r="B23756" i="1"/>
  <c r="A23756" i="1"/>
  <c r="E23756" i="1"/>
  <c r="F23756" i="1"/>
  <c r="B23757" i="1"/>
  <c r="A23757" i="1"/>
  <c r="E23757" i="1"/>
  <c r="F23757" i="1"/>
  <c r="B23758" i="1"/>
  <c r="A23758" i="1"/>
  <c r="E23758" i="1"/>
  <c r="F23758" i="1"/>
  <c r="G23758" i="1"/>
  <c r="B23759" i="1"/>
  <c r="A23759" i="1"/>
  <c r="E23759" i="1"/>
  <c r="F23759" i="1"/>
  <c r="B23760" i="1"/>
  <c r="A23760" i="1"/>
  <c r="E23760" i="1"/>
  <c r="F23760" i="1"/>
  <c r="B23761" i="1"/>
  <c r="A23761" i="1"/>
  <c r="E23761" i="1"/>
  <c r="F23761" i="1"/>
  <c r="B23762" i="1"/>
  <c r="A23762" i="1"/>
  <c r="E23762" i="1"/>
  <c r="F23762" i="1"/>
  <c r="B23763" i="1"/>
  <c r="A23763" i="1"/>
  <c r="E23763" i="1"/>
  <c r="F23763" i="1"/>
  <c r="B23764" i="1"/>
  <c r="A23764" i="1"/>
  <c r="E23764" i="1"/>
  <c r="F23764" i="1"/>
  <c r="B23765" i="1"/>
  <c r="A23765" i="1"/>
  <c r="E23765" i="1"/>
  <c r="F23765" i="1"/>
  <c r="B23766" i="1"/>
  <c r="A23766" i="1"/>
  <c r="E23766" i="1"/>
  <c r="F23766" i="1"/>
  <c r="B23767" i="1"/>
  <c r="A23767" i="1"/>
  <c r="E23767" i="1"/>
  <c r="F23767" i="1"/>
  <c r="B23768" i="1"/>
  <c r="A23768" i="1"/>
  <c r="E23768" i="1"/>
  <c r="F23768" i="1"/>
  <c r="B23769" i="1"/>
  <c r="A23769" i="1"/>
  <c r="E23769" i="1"/>
  <c r="F23769" i="1"/>
  <c r="B23770" i="1"/>
  <c r="A23770" i="1"/>
  <c r="E23770" i="1"/>
  <c r="F23770" i="1"/>
  <c r="B23771" i="1"/>
  <c r="A23771" i="1"/>
  <c r="E23771" i="1"/>
  <c r="F23771" i="1"/>
  <c r="B23772" i="1"/>
  <c r="A23772" i="1"/>
  <c r="E23772" i="1"/>
  <c r="F23772" i="1"/>
  <c r="B23773" i="1"/>
  <c r="A23773" i="1"/>
  <c r="E23773" i="1"/>
  <c r="F23773" i="1"/>
  <c r="B23774" i="1"/>
  <c r="A23774" i="1"/>
  <c r="E23774" i="1"/>
  <c r="F23774" i="1"/>
  <c r="G23774" i="1"/>
  <c r="B23775" i="1"/>
  <c r="A23775" i="1"/>
  <c r="E23775" i="1"/>
  <c r="F23775" i="1"/>
  <c r="B23776" i="1"/>
  <c r="A23776" i="1"/>
  <c r="E23776" i="1"/>
  <c r="F23776" i="1"/>
  <c r="B23777" i="1"/>
  <c r="A23777" i="1"/>
  <c r="E23777" i="1"/>
  <c r="F23777" i="1"/>
  <c r="B23778" i="1"/>
  <c r="A23778" i="1"/>
  <c r="E23778" i="1"/>
  <c r="F23778" i="1"/>
  <c r="B23779" i="1"/>
  <c r="A23779" i="1"/>
  <c r="E23779" i="1"/>
  <c r="F23779" i="1"/>
  <c r="B23780" i="1"/>
  <c r="A23780" i="1"/>
  <c r="E23780" i="1"/>
  <c r="F23780" i="1"/>
  <c r="B23781" i="1"/>
  <c r="A23781" i="1"/>
  <c r="E23781" i="1"/>
  <c r="F23781" i="1"/>
  <c r="B23782" i="1"/>
  <c r="A23782" i="1"/>
  <c r="E23782" i="1"/>
  <c r="F23782" i="1"/>
  <c r="B23783" i="1"/>
  <c r="A23783" i="1"/>
  <c r="E23783" i="1"/>
  <c r="F23783" i="1"/>
  <c r="B23784" i="1"/>
  <c r="A23784" i="1"/>
  <c r="E23784" i="1"/>
  <c r="F23784" i="1"/>
  <c r="B23785" i="1"/>
  <c r="A23785" i="1"/>
  <c r="E23785" i="1"/>
  <c r="F23785" i="1"/>
  <c r="G23785" i="1"/>
  <c r="B23786" i="1"/>
  <c r="A23786" i="1"/>
  <c r="E23786" i="1"/>
  <c r="F23786" i="1"/>
  <c r="G23786" i="1"/>
  <c r="B23787" i="1"/>
  <c r="A23787" i="1"/>
  <c r="E23787" i="1"/>
  <c r="F23787" i="1"/>
  <c r="B23788" i="1"/>
  <c r="A23788" i="1"/>
  <c r="E23788" i="1"/>
  <c r="F23788" i="1"/>
  <c r="B23789" i="1"/>
  <c r="A23789" i="1"/>
  <c r="E23789" i="1"/>
  <c r="F23789" i="1"/>
  <c r="B23790" i="1"/>
  <c r="A23790" i="1"/>
  <c r="E23790" i="1"/>
  <c r="F23790" i="1"/>
  <c r="B23791" i="1"/>
  <c r="A23791" i="1"/>
  <c r="E23791" i="1"/>
  <c r="F23791" i="1"/>
  <c r="B23792" i="1"/>
  <c r="A23792" i="1"/>
  <c r="E23792" i="1"/>
  <c r="F23792" i="1"/>
  <c r="B23793" i="1"/>
  <c r="A23793" i="1"/>
  <c r="E23793" i="1"/>
  <c r="F23793" i="1"/>
  <c r="B23794" i="1"/>
  <c r="A23794" i="1"/>
  <c r="E23794" i="1"/>
  <c r="F23794" i="1"/>
  <c r="B23795" i="1"/>
  <c r="A23795" i="1"/>
  <c r="E23795" i="1"/>
  <c r="F23795" i="1"/>
  <c r="B23796" i="1"/>
  <c r="A23796" i="1"/>
  <c r="E23796" i="1"/>
  <c r="F23796" i="1"/>
  <c r="G23796" i="1"/>
  <c r="B23797" i="1"/>
  <c r="A23797" i="1"/>
  <c r="E23797" i="1"/>
  <c r="F23797" i="1"/>
  <c r="B23798" i="1"/>
  <c r="A23798" i="1"/>
  <c r="E23798" i="1"/>
  <c r="F23798" i="1"/>
  <c r="B23799" i="1"/>
  <c r="A23799" i="1"/>
  <c r="E23799" i="1"/>
  <c r="F23799" i="1"/>
  <c r="B23800" i="1"/>
  <c r="A23800" i="1"/>
  <c r="E23800" i="1"/>
  <c r="F23800" i="1"/>
  <c r="B23801" i="1"/>
  <c r="A23801" i="1"/>
  <c r="E23801" i="1"/>
  <c r="F23801" i="1"/>
  <c r="B23802" i="1"/>
  <c r="A23802" i="1"/>
  <c r="E23802" i="1"/>
  <c r="F23802" i="1"/>
  <c r="B23803" i="1"/>
  <c r="A23803" i="1"/>
  <c r="E23803" i="1"/>
  <c r="F23803" i="1"/>
  <c r="G23803" i="1"/>
  <c r="B23804" i="1"/>
  <c r="A23804" i="1"/>
  <c r="E23804" i="1"/>
  <c r="F23804" i="1"/>
  <c r="B23805" i="1"/>
  <c r="A23805" i="1"/>
  <c r="E23805" i="1"/>
  <c r="F23805" i="1"/>
  <c r="B23806" i="1"/>
  <c r="A23806" i="1"/>
  <c r="E23806" i="1"/>
  <c r="F23806" i="1"/>
  <c r="B23807" i="1"/>
  <c r="A23807" i="1"/>
  <c r="E23807" i="1"/>
  <c r="F23807" i="1"/>
  <c r="B23808" i="1"/>
  <c r="A23808" i="1"/>
  <c r="E23808" i="1"/>
  <c r="F23808" i="1"/>
  <c r="B23809" i="1"/>
  <c r="A23809" i="1"/>
  <c r="E23809" i="1"/>
  <c r="F23809" i="1"/>
  <c r="B23810" i="1"/>
  <c r="A23810" i="1"/>
  <c r="E23810" i="1"/>
  <c r="F23810" i="1"/>
  <c r="G23810" i="1"/>
  <c r="B23811" i="1"/>
  <c r="A23811" i="1"/>
  <c r="E23811" i="1"/>
  <c r="F23811" i="1"/>
  <c r="G23811" i="1"/>
  <c r="B23812" i="1"/>
  <c r="A23812" i="1"/>
  <c r="E23812" i="1"/>
  <c r="F23812" i="1"/>
  <c r="G23812" i="1"/>
  <c r="B23813" i="1"/>
  <c r="A23813" i="1"/>
  <c r="E23813" i="1"/>
  <c r="F23813" i="1"/>
  <c r="B23814" i="1"/>
  <c r="A23814" i="1"/>
  <c r="E23814" i="1"/>
  <c r="F23814" i="1"/>
  <c r="B23815" i="1"/>
  <c r="A23815" i="1"/>
  <c r="E23815" i="1"/>
  <c r="F23815" i="1"/>
  <c r="B23816" i="1"/>
  <c r="A23816" i="1"/>
  <c r="E23816" i="1"/>
  <c r="F23816" i="1"/>
  <c r="B23817" i="1"/>
  <c r="A23817" i="1"/>
  <c r="E23817" i="1"/>
  <c r="F23817" i="1"/>
  <c r="B23818" i="1"/>
  <c r="A23818" i="1"/>
  <c r="E23818" i="1"/>
  <c r="F23818" i="1"/>
  <c r="B23819" i="1"/>
  <c r="A23819" i="1"/>
  <c r="E23819" i="1"/>
  <c r="F23819" i="1"/>
  <c r="B23820" i="1"/>
  <c r="A23820" i="1"/>
  <c r="E23820" i="1"/>
  <c r="F23820" i="1"/>
  <c r="B23821" i="1"/>
  <c r="A23821" i="1"/>
  <c r="E23821" i="1"/>
  <c r="B23822" i="1"/>
  <c r="A23822" i="1"/>
  <c r="E23822" i="1"/>
  <c r="F23822" i="1"/>
  <c r="B23823" i="1"/>
  <c r="A23823" i="1"/>
  <c r="E23823" i="1"/>
  <c r="B23824" i="1"/>
  <c r="A23824" i="1"/>
  <c r="E23824" i="1"/>
  <c r="B23825" i="1"/>
  <c r="A23825" i="1"/>
  <c r="E23825" i="1"/>
  <c r="B23826" i="1"/>
  <c r="A23826" i="1"/>
  <c r="E23826" i="1"/>
  <c r="B23827" i="1"/>
  <c r="A23827" i="1"/>
  <c r="E23827" i="1"/>
  <c r="B23828" i="1"/>
  <c r="A23828" i="1"/>
  <c r="E23828" i="1"/>
  <c r="G23828" i="1"/>
  <c r="B23829" i="1"/>
  <c r="A23829" i="1"/>
  <c r="E23829" i="1"/>
  <c r="G23829" i="1"/>
  <c r="B23830" i="1"/>
  <c r="A23830" i="1"/>
  <c r="E23830" i="1"/>
  <c r="B23831" i="1"/>
  <c r="A23831" i="1"/>
  <c r="E23831" i="1"/>
  <c r="B23832" i="1"/>
  <c r="A23832" i="1"/>
  <c r="E23832" i="1"/>
  <c r="B23833" i="1"/>
  <c r="A23833" i="1"/>
  <c r="E23833" i="1"/>
  <c r="B23834" i="1"/>
  <c r="A23834" i="1"/>
  <c r="E23834" i="1"/>
  <c r="B23835" i="1"/>
  <c r="A23835" i="1"/>
  <c r="E23835" i="1"/>
  <c r="B23836" i="1"/>
  <c r="A23836" i="1"/>
  <c r="E23836" i="1"/>
  <c r="B23837" i="1"/>
  <c r="A23837" i="1"/>
  <c r="E23837" i="1"/>
  <c r="B23838" i="1"/>
  <c r="A23838" i="1"/>
  <c r="E23838" i="1"/>
  <c r="B23839" i="1"/>
  <c r="A23839" i="1"/>
  <c r="E23839" i="1"/>
  <c r="B23840" i="1"/>
  <c r="A23840" i="1"/>
  <c r="E23840" i="1"/>
  <c r="B23841" i="1"/>
  <c r="A23841" i="1"/>
  <c r="E23841" i="1"/>
  <c r="B23842" i="1"/>
  <c r="A23842" i="1"/>
  <c r="E23842" i="1"/>
  <c r="B23843" i="1"/>
  <c r="A23843" i="1"/>
  <c r="E23843" i="1"/>
  <c r="B23844" i="1"/>
  <c r="A23844" i="1"/>
  <c r="E23844" i="1"/>
  <c r="B23845" i="1"/>
  <c r="A23845" i="1"/>
  <c r="E23845" i="1"/>
  <c r="B23846" i="1"/>
  <c r="A23846" i="1"/>
  <c r="E23846" i="1"/>
  <c r="B23847" i="1"/>
  <c r="A23847" i="1"/>
  <c r="E23847" i="1"/>
  <c r="B23848" i="1"/>
  <c r="A23848" i="1"/>
  <c r="E23848" i="1"/>
  <c r="B23849" i="1"/>
  <c r="A23849" i="1"/>
  <c r="E23849" i="1"/>
  <c r="B23850" i="1"/>
  <c r="A23850" i="1"/>
  <c r="E23850" i="1"/>
  <c r="B23851" i="1"/>
  <c r="A23851" i="1"/>
  <c r="E23851" i="1"/>
  <c r="B23852" i="1"/>
  <c r="A23852" i="1"/>
  <c r="E23852" i="1"/>
  <c r="B23853" i="1"/>
  <c r="A23853" i="1"/>
  <c r="E23853" i="1"/>
  <c r="B23854" i="1"/>
  <c r="A23854" i="1"/>
  <c r="E23854" i="1"/>
  <c r="B23855" i="1"/>
  <c r="A23855" i="1"/>
  <c r="E23855" i="1"/>
  <c r="B23856" i="1"/>
  <c r="A23856" i="1"/>
  <c r="E23856" i="1"/>
  <c r="B23857" i="1"/>
  <c r="A23857" i="1"/>
  <c r="E23857" i="1"/>
  <c r="B23858" i="1"/>
  <c r="A23858" i="1"/>
  <c r="E23858" i="1"/>
  <c r="B23859" i="1"/>
  <c r="A23859" i="1"/>
  <c r="E23859" i="1"/>
  <c r="B23860" i="1"/>
  <c r="A23860" i="1"/>
  <c r="E23860" i="1"/>
  <c r="B23861" i="1"/>
  <c r="A23861" i="1"/>
  <c r="E23861" i="1"/>
  <c r="G23861" i="1"/>
  <c r="B23862" i="1"/>
  <c r="A23862" i="1"/>
  <c r="E23862" i="1"/>
  <c r="G23862" i="1"/>
  <c r="B23863" i="1"/>
  <c r="A23863" i="1"/>
  <c r="E23863" i="1"/>
  <c r="B23864" i="1"/>
  <c r="A23864" i="1"/>
  <c r="E23864" i="1"/>
  <c r="B23865" i="1"/>
  <c r="A23865" i="1"/>
  <c r="E23865" i="1"/>
  <c r="B23866" i="1"/>
  <c r="A23866" i="1"/>
  <c r="E23866" i="1"/>
  <c r="B23867" i="1"/>
  <c r="A23867" i="1"/>
  <c r="E23867" i="1"/>
  <c r="B23868" i="1"/>
  <c r="A23868" i="1"/>
  <c r="E23868" i="1"/>
  <c r="B23869" i="1"/>
  <c r="A23869" i="1"/>
  <c r="E23869" i="1"/>
  <c r="B23870" i="1"/>
  <c r="A23870" i="1"/>
  <c r="E23870" i="1"/>
  <c r="B23871" i="1"/>
  <c r="A23871" i="1"/>
  <c r="E23871" i="1"/>
  <c r="B23872" i="1"/>
  <c r="A23872" i="1"/>
  <c r="E23872" i="1"/>
  <c r="B23873" i="1"/>
  <c r="A23873" i="1"/>
  <c r="E23873" i="1"/>
  <c r="B23874" i="1"/>
  <c r="A23874" i="1"/>
  <c r="E23874" i="1"/>
  <c r="B23875" i="1"/>
  <c r="A23875" i="1"/>
  <c r="E23875" i="1"/>
  <c r="B23876" i="1"/>
  <c r="A23876" i="1"/>
  <c r="E23876" i="1"/>
  <c r="B23877" i="1"/>
  <c r="A23877" i="1"/>
  <c r="E23877" i="1"/>
  <c r="B23878" i="1"/>
  <c r="A23878" i="1"/>
  <c r="E23878" i="1"/>
  <c r="B23879" i="1"/>
  <c r="A23879" i="1"/>
  <c r="E23879" i="1"/>
  <c r="B23880" i="1"/>
  <c r="A23880" i="1"/>
  <c r="E23880" i="1"/>
  <c r="B23881" i="1"/>
  <c r="A23881" i="1"/>
  <c r="E23881" i="1"/>
  <c r="B23882" i="1"/>
  <c r="A23882" i="1"/>
  <c r="E23882" i="1"/>
  <c r="B23883" i="1"/>
  <c r="A23883" i="1"/>
  <c r="E23883" i="1"/>
  <c r="B23884" i="1"/>
  <c r="A23884" i="1"/>
  <c r="E23884" i="1"/>
  <c r="B23885" i="1"/>
  <c r="A23885" i="1"/>
  <c r="E23885" i="1"/>
  <c r="B23886" i="1"/>
  <c r="A23886" i="1"/>
  <c r="E23886" i="1"/>
  <c r="B23887" i="1"/>
  <c r="A23887" i="1"/>
  <c r="E23887" i="1"/>
  <c r="B23888" i="1"/>
  <c r="A23888" i="1"/>
  <c r="E23888" i="1"/>
  <c r="B23889" i="1"/>
  <c r="A23889" i="1"/>
  <c r="E23889" i="1"/>
  <c r="B23890" i="1"/>
  <c r="A23890" i="1"/>
  <c r="E23890" i="1"/>
  <c r="B23891" i="1"/>
  <c r="A23891" i="1"/>
  <c r="E23891" i="1"/>
  <c r="B23892" i="1"/>
  <c r="A23892" i="1"/>
  <c r="E23892" i="1"/>
  <c r="B23893" i="1"/>
  <c r="A23893" i="1"/>
  <c r="E23893" i="1"/>
  <c r="B23894" i="1"/>
  <c r="A23894" i="1"/>
  <c r="E23894" i="1"/>
  <c r="B23895" i="1"/>
  <c r="A23895" i="1"/>
  <c r="E23895" i="1"/>
  <c r="B23896" i="1"/>
  <c r="A23896" i="1"/>
  <c r="E23896" i="1"/>
  <c r="B23897" i="1"/>
  <c r="A23897" i="1"/>
  <c r="E23897" i="1"/>
  <c r="B23898" i="1"/>
  <c r="A23898" i="1"/>
  <c r="E23898" i="1"/>
  <c r="B23899" i="1"/>
  <c r="A23899" i="1"/>
  <c r="E23899" i="1"/>
  <c r="B23900" i="1"/>
  <c r="A23900" i="1"/>
  <c r="E23900" i="1"/>
  <c r="B23901" i="1"/>
  <c r="A23901" i="1"/>
  <c r="E23901" i="1"/>
  <c r="B23902" i="1"/>
  <c r="A23902" i="1"/>
  <c r="E23902" i="1"/>
  <c r="B23903" i="1"/>
  <c r="A23903" i="1"/>
  <c r="E23903" i="1"/>
  <c r="B23904" i="1"/>
  <c r="A23904" i="1"/>
  <c r="E23904" i="1"/>
  <c r="B23905" i="1"/>
  <c r="A23905" i="1"/>
  <c r="E23905" i="1"/>
  <c r="B23906" i="1"/>
  <c r="A23906" i="1"/>
  <c r="E23906" i="1"/>
  <c r="B23907" i="1"/>
  <c r="A23907" i="1"/>
  <c r="E23907" i="1"/>
  <c r="B23908" i="1"/>
  <c r="A23908" i="1"/>
  <c r="E23908" i="1"/>
  <c r="B23909" i="1"/>
  <c r="A23909" i="1"/>
  <c r="E23909" i="1"/>
  <c r="B23910" i="1"/>
  <c r="A23910" i="1"/>
  <c r="E23910" i="1"/>
  <c r="B23911" i="1"/>
  <c r="A23911" i="1"/>
  <c r="E23911" i="1"/>
  <c r="B23912" i="1"/>
  <c r="A23912" i="1"/>
  <c r="E23912" i="1"/>
  <c r="B23913" i="1"/>
  <c r="A23913" i="1"/>
  <c r="E23913" i="1"/>
  <c r="B23914" i="1"/>
  <c r="A23914" i="1"/>
  <c r="E23914" i="1"/>
  <c r="B23915" i="1"/>
  <c r="A23915" i="1"/>
  <c r="E23915" i="1"/>
  <c r="B23916" i="1"/>
  <c r="A23916" i="1"/>
  <c r="E23916" i="1"/>
  <c r="B23917" i="1"/>
  <c r="A23917" i="1"/>
  <c r="E23917" i="1"/>
  <c r="B23918" i="1"/>
  <c r="A23918" i="1"/>
  <c r="E23918" i="1"/>
  <c r="B23919" i="1"/>
  <c r="A23919" i="1"/>
  <c r="E23919" i="1"/>
  <c r="B23920" i="1"/>
  <c r="A23920" i="1"/>
  <c r="E23920" i="1"/>
  <c r="B23921" i="1"/>
  <c r="A23921" i="1"/>
  <c r="E23921" i="1"/>
  <c r="B23922" i="1"/>
  <c r="A23922" i="1"/>
  <c r="E23922" i="1"/>
  <c r="B23923" i="1"/>
  <c r="A23923" i="1"/>
  <c r="E23923" i="1"/>
  <c r="B23924" i="1"/>
  <c r="A23924" i="1"/>
  <c r="E23924" i="1"/>
  <c r="B23925" i="1"/>
  <c r="A23925" i="1"/>
  <c r="E23925" i="1"/>
  <c r="B23926" i="1"/>
  <c r="A23926" i="1"/>
  <c r="E23926" i="1"/>
  <c r="B23927" i="1"/>
  <c r="A23927" i="1"/>
  <c r="E23927" i="1"/>
  <c r="B23928" i="1"/>
  <c r="A23928" i="1"/>
  <c r="E23928" i="1"/>
  <c r="B23929" i="1"/>
  <c r="A23929" i="1"/>
  <c r="E23929" i="1"/>
  <c r="B23930" i="1"/>
  <c r="A23930" i="1"/>
  <c r="E23930" i="1"/>
  <c r="B23931" i="1"/>
  <c r="A23931" i="1"/>
  <c r="E23931" i="1"/>
  <c r="B23932" i="1"/>
  <c r="A23932" i="1"/>
  <c r="E23932" i="1"/>
  <c r="B23933" i="1"/>
  <c r="A23933" i="1"/>
  <c r="E23933" i="1"/>
  <c r="B23934" i="1"/>
  <c r="A23934" i="1"/>
  <c r="E23934" i="1"/>
  <c r="B23935" i="1"/>
  <c r="A23935" i="1"/>
  <c r="E23935" i="1"/>
  <c r="B23936" i="1"/>
  <c r="A23936" i="1"/>
  <c r="E23936" i="1"/>
  <c r="B23937" i="1"/>
  <c r="A23937" i="1"/>
  <c r="E23937" i="1"/>
  <c r="B23938" i="1"/>
  <c r="A23938" i="1"/>
  <c r="E23938" i="1"/>
  <c r="B23939" i="1"/>
  <c r="A23939" i="1"/>
  <c r="E23939" i="1"/>
  <c r="B23940" i="1"/>
  <c r="A23940" i="1"/>
  <c r="E23940" i="1"/>
  <c r="B23941" i="1"/>
  <c r="A23941" i="1"/>
  <c r="E23941" i="1"/>
  <c r="B23942" i="1"/>
  <c r="A23942" i="1"/>
  <c r="E23942" i="1"/>
  <c r="B23943" i="1"/>
  <c r="A23943" i="1"/>
  <c r="E23943" i="1"/>
  <c r="B23944" i="1"/>
  <c r="A23944" i="1"/>
  <c r="E23944" i="1"/>
  <c r="B23945" i="1"/>
  <c r="A23945" i="1"/>
  <c r="E23945" i="1"/>
  <c r="B23946" i="1"/>
  <c r="A23946" i="1"/>
  <c r="E23946" i="1"/>
  <c r="B23947" i="1"/>
  <c r="A23947" i="1"/>
  <c r="E23947" i="1"/>
  <c r="G23947" i="1"/>
  <c r="B23948" i="1"/>
  <c r="A23948" i="1"/>
  <c r="E23948" i="1"/>
  <c r="G23948" i="1"/>
  <c r="B23949" i="1"/>
  <c r="A23949" i="1"/>
  <c r="E23949" i="1"/>
  <c r="G23949" i="1"/>
  <c r="B23950" i="1"/>
  <c r="A23950" i="1"/>
  <c r="E23950" i="1"/>
  <c r="G23950" i="1"/>
  <c r="B23951" i="1"/>
  <c r="A23951" i="1"/>
  <c r="E23951" i="1"/>
  <c r="G23951" i="1"/>
  <c r="B23952" i="1"/>
  <c r="A23952" i="1"/>
  <c r="E23952" i="1"/>
  <c r="G23952" i="1"/>
  <c r="B23953" i="1"/>
  <c r="A23953" i="1"/>
  <c r="E23953" i="1"/>
  <c r="G23953" i="1"/>
  <c r="B23954" i="1"/>
  <c r="A23954" i="1"/>
  <c r="E23954" i="1"/>
  <c r="B23955" i="1"/>
  <c r="A23955" i="1"/>
  <c r="E23955" i="1"/>
  <c r="B23956" i="1"/>
  <c r="A23956" i="1"/>
  <c r="E23956" i="1"/>
  <c r="B23957" i="1"/>
  <c r="A23957" i="1"/>
  <c r="E23957" i="1"/>
  <c r="B23958" i="1"/>
  <c r="A23958" i="1"/>
  <c r="E23958" i="1"/>
  <c r="B23959" i="1"/>
  <c r="A23959" i="1"/>
  <c r="E23959" i="1"/>
  <c r="B23960" i="1"/>
  <c r="A23960" i="1"/>
  <c r="E23960" i="1"/>
  <c r="B23961" i="1"/>
  <c r="A23961" i="1"/>
  <c r="E23961" i="1"/>
  <c r="B23962" i="1"/>
  <c r="A23962" i="1"/>
  <c r="E23962" i="1"/>
  <c r="B23963" i="1"/>
  <c r="A23963" i="1"/>
  <c r="E23963" i="1"/>
  <c r="B23964" i="1"/>
  <c r="A23964" i="1"/>
  <c r="E23964" i="1"/>
  <c r="B23965" i="1"/>
  <c r="A23965" i="1"/>
  <c r="E23965" i="1"/>
  <c r="B23966" i="1"/>
  <c r="A23966" i="1"/>
  <c r="E23966" i="1"/>
  <c r="G23966" i="1"/>
  <c r="B23967" i="1"/>
  <c r="A23967" i="1"/>
  <c r="E23967" i="1"/>
  <c r="G23967" i="1"/>
  <c r="B23968" i="1"/>
  <c r="A23968" i="1"/>
  <c r="E23968" i="1"/>
  <c r="G23968" i="1"/>
  <c r="B23969" i="1"/>
  <c r="A23969" i="1"/>
  <c r="E23969" i="1"/>
  <c r="G23969" i="1"/>
  <c r="B23970" i="1"/>
  <c r="A23970" i="1"/>
  <c r="E23970" i="1"/>
  <c r="G23970" i="1"/>
  <c r="B23971" i="1"/>
  <c r="A23971" i="1"/>
  <c r="E23971" i="1"/>
  <c r="G23971" i="1"/>
  <c r="B23972" i="1"/>
  <c r="A23972" i="1"/>
  <c r="E23972" i="1"/>
  <c r="G23972" i="1"/>
  <c r="B23973" i="1"/>
  <c r="A23973" i="1"/>
  <c r="E23973" i="1"/>
  <c r="G23973" i="1"/>
  <c r="B23974" i="1"/>
  <c r="A23974" i="1"/>
  <c r="E23974" i="1"/>
  <c r="G23974" i="1"/>
  <c r="B23975" i="1"/>
  <c r="A23975" i="1"/>
  <c r="E23975" i="1"/>
  <c r="B23976" i="1"/>
  <c r="A23976" i="1"/>
  <c r="E23976" i="1"/>
  <c r="B23977" i="1"/>
  <c r="A23977" i="1"/>
  <c r="E23977" i="1"/>
  <c r="B23978" i="1"/>
  <c r="A23978" i="1"/>
  <c r="E23978" i="1"/>
  <c r="B23979" i="1"/>
  <c r="A23979" i="1"/>
  <c r="E23979" i="1"/>
  <c r="B23980" i="1"/>
  <c r="A23980" i="1"/>
  <c r="E23980" i="1"/>
  <c r="B23981" i="1"/>
  <c r="A23981" i="1"/>
  <c r="E23981" i="1"/>
  <c r="B23982" i="1"/>
  <c r="A23982" i="1"/>
  <c r="E23982" i="1"/>
  <c r="B23983" i="1"/>
  <c r="A23983" i="1"/>
  <c r="E23983" i="1"/>
  <c r="B23984" i="1"/>
  <c r="A23984" i="1"/>
  <c r="E23984" i="1"/>
  <c r="B23985" i="1"/>
  <c r="A23985" i="1"/>
  <c r="E23985" i="1"/>
  <c r="B23986" i="1"/>
  <c r="A23986" i="1"/>
  <c r="E23986" i="1"/>
  <c r="B23987" i="1"/>
  <c r="A23987" i="1"/>
  <c r="E23987" i="1"/>
  <c r="B23988" i="1"/>
  <c r="A23988" i="1"/>
  <c r="E23988" i="1"/>
  <c r="B23989" i="1"/>
  <c r="A23989" i="1"/>
  <c r="E23989" i="1"/>
  <c r="B23990" i="1"/>
  <c r="A23990" i="1"/>
  <c r="E23990" i="1"/>
  <c r="B23991" i="1"/>
  <c r="A23991" i="1"/>
  <c r="E23991" i="1"/>
  <c r="B23992" i="1"/>
  <c r="A23992" i="1"/>
  <c r="E23992" i="1"/>
  <c r="B23993" i="1"/>
  <c r="A23993" i="1"/>
  <c r="E23993" i="1"/>
  <c r="B23994" i="1"/>
  <c r="A23994" i="1"/>
  <c r="E23994" i="1"/>
  <c r="B23995" i="1"/>
  <c r="A23995" i="1"/>
  <c r="E23995" i="1"/>
  <c r="B23996" i="1"/>
  <c r="A23996" i="1"/>
  <c r="E23996" i="1"/>
  <c r="B23997" i="1"/>
  <c r="A23997" i="1"/>
  <c r="E23997" i="1"/>
  <c r="G23997" i="1"/>
  <c r="B23998" i="1"/>
  <c r="A23998" i="1"/>
  <c r="E23998" i="1"/>
  <c r="B23999" i="1"/>
  <c r="A23999" i="1"/>
  <c r="E23999" i="1"/>
  <c r="B24000" i="1"/>
  <c r="A24000" i="1"/>
  <c r="E24000" i="1"/>
  <c r="B24001" i="1"/>
  <c r="A24001" i="1"/>
  <c r="E24001" i="1"/>
  <c r="B24002" i="1"/>
  <c r="A24002" i="1"/>
  <c r="E24002" i="1"/>
  <c r="B24003" i="1"/>
  <c r="A24003" i="1"/>
  <c r="E24003" i="1"/>
  <c r="B24004" i="1"/>
  <c r="A24004" i="1"/>
  <c r="E24004" i="1"/>
  <c r="B24005" i="1"/>
  <c r="A24005" i="1"/>
  <c r="E24005" i="1"/>
  <c r="B24006" i="1"/>
  <c r="A24006" i="1"/>
  <c r="E24006" i="1"/>
  <c r="B24007" i="1"/>
  <c r="A24007" i="1"/>
  <c r="E24007" i="1"/>
  <c r="B24008" i="1"/>
  <c r="A24008" i="1"/>
  <c r="E24008" i="1"/>
  <c r="F24008" i="1"/>
  <c r="G24008" i="1"/>
  <c r="B24009" i="1"/>
  <c r="A24009" i="1"/>
  <c r="E24009" i="1"/>
  <c r="F24009" i="1"/>
  <c r="G24009" i="1"/>
  <c r="B24010" i="1"/>
  <c r="A24010" i="1"/>
  <c r="E24010" i="1"/>
  <c r="F24010" i="1"/>
  <c r="G24010" i="1"/>
  <c r="B24011" i="1"/>
  <c r="A24011" i="1"/>
  <c r="E24011" i="1"/>
  <c r="B24012" i="1"/>
  <c r="A24012" i="1"/>
  <c r="E24012" i="1"/>
  <c r="B24013" i="1"/>
  <c r="A24013" i="1"/>
  <c r="E24013" i="1"/>
  <c r="B24014" i="1"/>
  <c r="A24014" i="1"/>
  <c r="E24014" i="1"/>
  <c r="B24015" i="1"/>
  <c r="A24015" i="1"/>
  <c r="E24015" i="1"/>
  <c r="B24016" i="1"/>
  <c r="A24016" i="1"/>
  <c r="E24016" i="1"/>
  <c r="B24017" i="1"/>
  <c r="A24017" i="1"/>
  <c r="E24017" i="1"/>
  <c r="B24018" i="1"/>
  <c r="A24018" i="1"/>
  <c r="E24018" i="1"/>
  <c r="B24019" i="1"/>
  <c r="A24019" i="1"/>
  <c r="E24019" i="1"/>
  <c r="B24020" i="1"/>
  <c r="A24020" i="1"/>
  <c r="E24020" i="1"/>
  <c r="F24020" i="1"/>
  <c r="G24020" i="1"/>
  <c r="B24021" i="1"/>
  <c r="A24021" i="1"/>
  <c r="E24021" i="1"/>
  <c r="B24022" i="1"/>
  <c r="A24022" i="1"/>
  <c r="E24022" i="1"/>
  <c r="F24022" i="1"/>
  <c r="B24023" i="1"/>
  <c r="A24023" i="1"/>
  <c r="E24023" i="1"/>
  <c r="F24023" i="1"/>
  <c r="B24024" i="1"/>
  <c r="A24024" i="1"/>
  <c r="E24024" i="1"/>
  <c r="F24024" i="1"/>
  <c r="B24025" i="1"/>
  <c r="A24025" i="1"/>
  <c r="E24025" i="1"/>
  <c r="F24025" i="1"/>
  <c r="B24026" i="1"/>
  <c r="A24026" i="1"/>
  <c r="E24026" i="1"/>
  <c r="F24026" i="1"/>
  <c r="B24027" i="1"/>
  <c r="A24027" i="1"/>
  <c r="E24027" i="1"/>
  <c r="F24027" i="1"/>
  <c r="B24028" i="1"/>
  <c r="A24028" i="1"/>
  <c r="E24028" i="1"/>
  <c r="F24028" i="1"/>
  <c r="B24029" i="1"/>
  <c r="A24029" i="1"/>
  <c r="E24029" i="1"/>
  <c r="F24029" i="1"/>
  <c r="B24030" i="1"/>
  <c r="A24030" i="1"/>
  <c r="E24030" i="1"/>
  <c r="B24031" i="1"/>
  <c r="A24031" i="1"/>
  <c r="E24031" i="1"/>
  <c r="B24032" i="1"/>
  <c r="A24032" i="1"/>
  <c r="E24032" i="1"/>
  <c r="B24033" i="1"/>
  <c r="A24033" i="1"/>
  <c r="E24033" i="1"/>
  <c r="B24034" i="1"/>
  <c r="A24034" i="1"/>
  <c r="E24034" i="1"/>
  <c r="B24035" i="1"/>
  <c r="A24035" i="1"/>
  <c r="E24035" i="1"/>
  <c r="F24035" i="1"/>
  <c r="B24036" i="1"/>
  <c r="A24036" i="1"/>
  <c r="E24036" i="1"/>
  <c r="F24036" i="1"/>
  <c r="G24036" i="1"/>
  <c r="B24037" i="1"/>
  <c r="A24037" i="1"/>
  <c r="E24037" i="1"/>
  <c r="F24037" i="1"/>
  <c r="B24038" i="1"/>
  <c r="A24038" i="1"/>
  <c r="E24038" i="1"/>
  <c r="F24038" i="1"/>
  <c r="G24038" i="1"/>
  <c r="B24039" i="1"/>
  <c r="A24039" i="1"/>
  <c r="E24039" i="1"/>
  <c r="F24039" i="1"/>
  <c r="G24039" i="1"/>
  <c r="B24040" i="1"/>
  <c r="A24040" i="1"/>
  <c r="E24040" i="1"/>
  <c r="F24040" i="1"/>
  <c r="B24041" i="1"/>
  <c r="A24041" i="1"/>
  <c r="E24041" i="1"/>
  <c r="F24041" i="1"/>
  <c r="B24042" i="1"/>
  <c r="A24042" i="1"/>
  <c r="E24042" i="1"/>
  <c r="F24042" i="1"/>
  <c r="B24043" i="1"/>
  <c r="A24043" i="1"/>
  <c r="E24043" i="1"/>
  <c r="F24043" i="1"/>
  <c r="B24044" i="1"/>
  <c r="A24044" i="1"/>
  <c r="E24044" i="1"/>
  <c r="F24044" i="1"/>
  <c r="B24045" i="1"/>
  <c r="A24045" i="1"/>
  <c r="E24045" i="1"/>
  <c r="F24045" i="1"/>
  <c r="B24046" i="1"/>
  <c r="A24046" i="1"/>
  <c r="E24046" i="1"/>
  <c r="F24046" i="1"/>
  <c r="B24047" i="1"/>
  <c r="A24047" i="1"/>
  <c r="E24047" i="1"/>
  <c r="F24047" i="1"/>
  <c r="B24048" i="1"/>
  <c r="A24048" i="1"/>
  <c r="E24048" i="1"/>
  <c r="F24048" i="1"/>
  <c r="B24049" i="1"/>
  <c r="A24049" i="1"/>
  <c r="E24049" i="1"/>
  <c r="F24049" i="1"/>
  <c r="B24050" i="1"/>
  <c r="A24050" i="1"/>
  <c r="E24050" i="1"/>
  <c r="F24050" i="1"/>
  <c r="G24050" i="1"/>
  <c r="B24051" i="1"/>
  <c r="A24051" i="1"/>
  <c r="E24051" i="1"/>
  <c r="F24051" i="1"/>
  <c r="B24052" i="1"/>
  <c r="A24052" i="1"/>
  <c r="E24052" i="1"/>
  <c r="F24052" i="1"/>
  <c r="B24053" i="1"/>
  <c r="A24053" i="1"/>
  <c r="E24053" i="1"/>
  <c r="F24053" i="1"/>
  <c r="B24054" i="1"/>
  <c r="A24054" i="1"/>
  <c r="E24054" i="1"/>
  <c r="F24054" i="1"/>
  <c r="B24055" i="1"/>
  <c r="A24055" i="1"/>
  <c r="E24055" i="1"/>
  <c r="F24055" i="1"/>
  <c r="B24056" i="1"/>
  <c r="A24056" i="1"/>
  <c r="E24056" i="1"/>
  <c r="F24056" i="1"/>
  <c r="B24057" i="1"/>
  <c r="A24057" i="1"/>
  <c r="E24057" i="1"/>
  <c r="F24057" i="1"/>
  <c r="B24058" i="1"/>
  <c r="A24058" i="1"/>
  <c r="E24058" i="1"/>
  <c r="F24058" i="1"/>
  <c r="B24059" i="1"/>
  <c r="A24059" i="1"/>
  <c r="E24059" i="1"/>
  <c r="F24059" i="1"/>
  <c r="B24060" i="1"/>
  <c r="A24060" i="1"/>
  <c r="E24060" i="1"/>
  <c r="F24060" i="1"/>
  <c r="B24061" i="1"/>
  <c r="A24061" i="1"/>
  <c r="E24061" i="1"/>
  <c r="F24061" i="1"/>
  <c r="B24062" i="1"/>
  <c r="A24062" i="1"/>
  <c r="E24062" i="1"/>
  <c r="F24062" i="1"/>
  <c r="B24063" i="1"/>
  <c r="A24063" i="1"/>
  <c r="E24063" i="1"/>
  <c r="F24063" i="1"/>
  <c r="B24064" i="1"/>
  <c r="A24064" i="1"/>
  <c r="E24064" i="1"/>
  <c r="F24064" i="1"/>
  <c r="B24065" i="1"/>
  <c r="A24065" i="1"/>
  <c r="E24065" i="1"/>
  <c r="F24065" i="1"/>
  <c r="B24066" i="1"/>
  <c r="A24066" i="1"/>
  <c r="E24066" i="1"/>
  <c r="F24066" i="1"/>
  <c r="B24067" i="1"/>
  <c r="A24067" i="1"/>
  <c r="E24067" i="1"/>
  <c r="F24067" i="1"/>
  <c r="B24068" i="1"/>
  <c r="A24068" i="1"/>
  <c r="E24068" i="1"/>
  <c r="F24068" i="1"/>
  <c r="B24069" i="1"/>
  <c r="A24069" i="1"/>
  <c r="E24069" i="1"/>
  <c r="F24069" i="1"/>
  <c r="G24069" i="1"/>
  <c r="B24070" i="1"/>
  <c r="A24070" i="1"/>
  <c r="E24070" i="1"/>
  <c r="F24070" i="1"/>
  <c r="B24071" i="1"/>
  <c r="A24071" i="1"/>
  <c r="E24071" i="1"/>
  <c r="F24071" i="1"/>
  <c r="B24072" i="1"/>
  <c r="A24072" i="1"/>
  <c r="E24072" i="1"/>
  <c r="F24072" i="1"/>
  <c r="B24073" i="1"/>
  <c r="A24073" i="1"/>
  <c r="E24073" i="1"/>
  <c r="F24073" i="1"/>
  <c r="B24074" i="1"/>
  <c r="A24074" i="1"/>
  <c r="E24074" i="1"/>
  <c r="F24074" i="1"/>
  <c r="B24075" i="1"/>
  <c r="A24075" i="1"/>
  <c r="E24075" i="1"/>
  <c r="F24075" i="1"/>
  <c r="B24076" i="1"/>
  <c r="A24076" i="1"/>
  <c r="E24076" i="1"/>
  <c r="F24076" i="1"/>
  <c r="B24077" i="1"/>
  <c r="A24077" i="1"/>
  <c r="E24077" i="1"/>
  <c r="F24077" i="1"/>
  <c r="B24078" i="1"/>
  <c r="A24078" i="1"/>
  <c r="E24078" i="1"/>
  <c r="F24078" i="1"/>
  <c r="G24078" i="1"/>
  <c r="B24079" i="1"/>
  <c r="A24079" i="1"/>
  <c r="E24079" i="1"/>
  <c r="F24079" i="1"/>
  <c r="G24079" i="1"/>
  <c r="B24080" i="1"/>
  <c r="A24080" i="1"/>
  <c r="E24080" i="1"/>
  <c r="F24080" i="1"/>
  <c r="B24081" i="1"/>
  <c r="A24081" i="1"/>
  <c r="E24081" i="1"/>
  <c r="F24081" i="1"/>
  <c r="B24082" i="1"/>
  <c r="A24082" i="1"/>
  <c r="E24082" i="1"/>
  <c r="F24082" i="1"/>
  <c r="B24083" i="1"/>
  <c r="A24083" i="1"/>
  <c r="E24083" i="1"/>
  <c r="F24083" i="1"/>
  <c r="B24084" i="1"/>
  <c r="A24084" i="1"/>
  <c r="E24084" i="1"/>
  <c r="F24084" i="1"/>
  <c r="B24085" i="1"/>
  <c r="A24085" i="1"/>
  <c r="E24085" i="1"/>
  <c r="F24085" i="1"/>
  <c r="B24086" i="1"/>
  <c r="A24086" i="1"/>
  <c r="E24086" i="1"/>
  <c r="F24086" i="1"/>
  <c r="B24087" i="1"/>
  <c r="A24087" i="1"/>
  <c r="E24087" i="1"/>
  <c r="F24087" i="1"/>
  <c r="B24088" i="1"/>
  <c r="A24088" i="1"/>
  <c r="E24088" i="1"/>
  <c r="F24088" i="1"/>
  <c r="G24088" i="1"/>
  <c r="B24089" i="1"/>
  <c r="A24089" i="1"/>
  <c r="E24089" i="1"/>
  <c r="F24089" i="1"/>
  <c r="G24089" i="1"/>
  <c r="B24090" i="1"/>
  <c r="A24090" i="1"/>
  <c r="E24090" i="1"/>
  <c r="F24090" i="1"/>
  <c r="G24090" i="1"/>
  <c r="B24091" i="1"/>
  <c r="A24091" i="1"/>
  <c r="E24091" i="1"/>
  <c r="F24091" i="1"/>
  <c r="B24092" i="1"/>
  <c r="A24092" i="1"/>
  <c r="E24092" i="1"/>
  <c r="F24092" i="1"/>
  <c r="B24093" i="1"/>
  <c r="A24093" i="1"/>
  <c r="E24093" i="1"/>
  <c r="F24093" i="1"/>
  <c r="G24093" i="1"/>
  <c r="B24094" i="1"/>
  <c r="A24094" i="1"/>
  <c r="E24094" i="1"/>
  <c r="F24094" i="1"/>
  <c r="B24095" i="1"/>
  <c r="A24095" i="1"/>
  <c r="E24095" i="1"/>
  <c r="F24095" i="1"/>
  <c r="B24096" i="1"/>
  <c r="A24096" i="1"/>
  <c r="E24096" i="1"/>
  <c r="F24096" i="1"/>
  <c r="B24097" i="1"/>
  <c r="A24097" i="1"/>
  <c r="E24097" i="1"/>
  <c r="F24097" i="1"/>
  <c r="B24098" i="1"/>
  <c r="A24098" i="1"/>
  <c r="E24098" i="1"/>
  <c r="F24098" i="1"/>
  <c r="B24099" i="1"/>
  <c r="A24099" i="1"/>
  <c r="E24099" i="1"/>
  <c r="F24099" i="1"/>
  <c r="B24100" i="1"/>
  <c r="A24100" i="1"/>
  <c r="E24100" i="1"/>
  <c r="F24100" i="1"/>
  <c r="B24101" i="1"/>
  <c r="A24101" i="1"/>
  <c r="E24101" i="1"/>
  <c r="F24101" i="1"/>
  <c r="G24101" i="1"/>
  <c r="B24102" i="1"/>
  <c r="A24102" i="1"/>
  <c r="E24102" i="1"/>
  <c r="F24102" i="1"/>
  <c r="G24102" i="1"/>
  <c r="B24103" i="1"/>
  <c r="A24103" i="1"/>
  <c r="E24103" i="1"/>
  <c r="F24103" i="1"/>
  <c r="B24104" i="1"/>
  <c r="A24104" i="1"/>
  <c r="E24104" i="1"/>
  <c r="F24104" i="1"/>
  <c r="B24105" i="1"/>
  <c r="A24105" i="1"/>
  <c r="E24105" i="1"/>
  <c r="F24105" i="1"/>
  <c r="B24106" i="1"/>
  <c r="A24106" i="1"/>
  <c r="E24106" i="1"/>
  <c r="F24106" i="1"/>
  <c r="B24107" i="1"/>
  <c r="A24107" i="1"/>
  <c r="E24107" i="1"/>
  <c r="F24107" i="1"/>
  <c r="B24108" i="1"/>
  <c r="A24108" i="1"/>
  <c r="E24108" i="1"/>
  <c r="F24108" i="1"/>
  <c r="B24109" i="1"/>
  <c r="A24109" i="1"/>
  <c r="E24109" i="1"/>
  <c r="F24109" i="1"/>
  <c r="B24110" i="1"/>
  <c r="A24110" i="1"/>
  <c r="E24110" i="1"/>
  <c r="F24110" i="1"/>
  <c r="B24111" i="1"/>
  <c r="A24111" i="1"/>
  <c r="E24111" i="1"/>
  <c r="F24111" i="1"/>
  <c r="B24112" i="1"/>
  <c r="A24112" i="1"/>
  <c r="E24112" i="1"/>
  <c r="F24112" i="1"/>
  <c r="B24113" i="1"/>
  <c r="A24113" i="1"/>
  <c r="E24113" i="1"/>
  <c r="F24113" i="1"/>
  <c r="B24114" i="1"/>
  <c r="A24114" i="1"/>
  <c r="E24114" i="1"/>
  <c r="F24114" i="1"/>
  <c r="B24115" i="1"/>
  <c r="A24115" i="1"/>
  <c r="E24115" i="1"/>
  <c r="F24115" i="1"/>
  <c r="B24116" i="1"/>
  <c r="A24116" i="1"/>
  <c r="E24116" i="1"/>
  <c r="F24116" i="1"/>
  <c r="B24117" i="1"/>
  <c r="A24117" i="1"/>
  <c r="E24117" i="1"/>
  <c r="F24117" i="1"/>
  <c r="A24118" i="1"/>
  <c r="E24118" i="1"/>
  <c r="A24119" i="1"/>
  <c r="E24119" i="1"/>
  <c r="B24120" i="1"/>
  <c r="A24120" i="1"/>
  <c r="E24120" i="1"/>
  <c r="B24121" i="1"/>
  <c r="A24121" i="1"/>
  <c r="E24121" i="1"/>
  <c r="F24121" i="1"/>
  <c r="B24122" i="1"/>
  <c r="A24122" i="1"/>
  <c r="E24122" i="1"/>
  <c r="F24122" i="1"/>
  <c r="B24123" i="1"/>
  <c r="A24123" i="1"/>
  <c r="E24123" i="1"/>
  <c r="F24123" i="1"/>
  <c r="B24124" i="1"/>
  <c r="A24124" i="1"/>
  <c r="E24124" i="1"/>
  <c r="F24124" i="1"/>
  <c r="B24125" i="1"/>
  <c r="A24125" i="1"/>
  <c r="E24125" i="1"/>
  <c r="F24125" i="1"/>
  <c r="B24126" i="1"/>
  <c r="A24126" i="1"/>
  <c r="E24126" i="1"/>
  <c r="F24126" i="1"/>
  <c r="B24127" i="1"/>
  <c r="A24127" i="1"/>
  <c r="E24127" i="1"/>
  <c r="F24127" i="1"/>
  <c r="B24128" i="1"/>
  <c r="A24128" i="1"/>
  <c r="E24128" i="1"/>
  <c r="F24128" i="1"/>
  <c r="B24129" i="1"/>
  <c r="A24129" i="1"/>
  <c r="E24129" i="1"/>
  <c r="F24129" i="1"/>
  <c r="B24130" i="1"/>
  <c r="A24130" i="1"/>
  <c r="E24130" i="1"/>
  <c r="F24130" i="1"/>
  <c r="B24131" i="1"/>
  <c r="A24131" i="1"/>
  <c r="E24131" i="1"/>
  <c r="F24131" i="1"/>
  <c r="B24132" i="1"/>
  <c r="A24132" i="1"/>
  <c r="E24132" i="1"/>
  <c r="F24132" i="1"/>
  <c r="B24133" i="1"/>
  <c r="A24133" i="1"/>
  <c r="E24133" i="1"/>
  <c r="F24133" i="1"/>
  <c r="B24134" i="1"/>
  <c r="A24134" i="1"/>
  <c r="E24134" i="1"/>
  <c r="F24134" i="1"/>
  <c r="B24135" i="1"/>
  <c r="A24135" i="1"/>
  <c r="E24135" i="1"/>
  <c r="F24135" i="1"/>
  <c r="B24136" i="1"/>
  <c r="A24136" i="1"/>
  <c r="E24136" i="1"/>
  <c r="F24136" i="1"/>
  <c r="B24137" i="1"/>
  <c r="A24137" i="1"/>
  <c r="E24137" i="1"/>
  <c r="F24137" i="1"/>
  <c r="B24138" i="1"/>
  <c r="A24138" i="1"/>
  <c r="E24138" i="1"/>
  <c r="B24139" i="1"/>
  <c r="A24139" i="1"/>
  <c r="E24139" i="1"/>
  <c r="B24140" i="1"/>
  <c r="A24140" i="1"/>
  <c r="E24140" i="1"/>
  <c r="B24141" i="1"/>
  <c r="A24141" i="1"/>
  <c r="E24141" i="1"/>
  <c r="B24142" i="1"/>
  <c r="A24142" i="1"/>
  <c r="E24142" i="1"/>
  <c r="B24143" i="1"/>
  <c r="A24143" i="1"/>
  <c r="E24143" i="1"/>
  <c r="B24144" i="1"/>
  <c r="A24144" i="1"/>
  <c r="E24144" i="1"/>
  <c r="B24145" i="1"/>
  <c r="A24145" i="1"/>
  <c r="E24145" i="1"/>
  <c r="A24146" i="1"/>
  <c r="E24146" i="1"/>
  <c r="B24147" i="1"/>
  <c r="A24147" i="1"/>
  <c r="E24147" i="1"/>
  <c r="B24148" i="1"/>
  <c r="A24148" i="1"/>
  <c r="E24148" i="1"/>
  <c r="B24149" i="1"/>
  <c r="A24149" i="1"/>
  <c r="E24149" i="1"/>
  <c r="B24150" i="1"/>
  <c r="A24150" i="1"/>
  <c r="E24150" i="1"/>
  <c r="B24151" i="1"/>
  <c r="A24151" i="1"/>
  <c r="E24151" i="1"/>
  <c r="B24152" i="1"/>
  <c r="A24152" i="1"/>
  <c r="E24152" i="1"/>
  <c r="B24153" i="1"/>
  <c r="A24153" i="1"/>
  <c r="E24153" i="1"/>
  <c r="A24154" i="1"/>
  <c r="E24154" i="1"/>
  <c r="A24155" i="1"/>
  <c r="E24155" i="1"/>
  <c r="B24156" i="1"/>
  <c r="A24156" i="1"/>
  <c r="E24156" i="1"/>
  <c r="B24157" i="1"/>
  <c r="A24157" i="1"/>
  <c r="E24157" i="1"/>
  <c r="B24158" i="1"/>
  <c r="A24158" i="1"/>
  <c r="E24158" i="1"/>
  <c r="B24159" i="1"/>
  <c r="A24159" i="1"/>
  <c r="E24159" i="1"/>
  <c r="B24160" i="1"/>
  <c r="A24160" i="1"/>
  <c r="E24160" i="1"/>
  <c r="B24161" i="1"/>
  <c r="A24161" i="1"/>
  <c r="E24161" i="1"/>
  <c r="B24162" i="1"/>
  <c r="A24162" i="1"/>
  <c r="E24162" i="1"/>
  <c r="B24163" i="1"/>
  <c r="A24163" i="1"/>
  <c r="E24163" i="1"/>
  <c r="B24164" i="1"/>
  <c r="A24164" i="1"/>
  <c r="E24164" i="1"/>
  <c r="B24165" i="1"/>
  <c r="A24165" i="1"/>
  <c r="E24165" i="1"/>
  <c r="A24166" i="1"/>
  <c r="E24166" i="1"/>
  <c r="B24167" i="1"/>
  <c r="A24167" i="1"/>
  <c r="E24167" i="1"/>
  <c r="B24168" i="1"/>
  <c r="A24168" i="1"/>
  <c r="E24168" i="1"/>
  <c r="B24169" i="1"/>
  <c r="A24169" i="1"/>
  <c r="E24169" i="1"/>
  <c r="B24170" i="1"/>
  <c r="A24170" i="1"/>
  <c r="E24170" i="1"/>
  <c r="B24171" i="1"/>
  <c r="A24171" i="1"/>
  <c r="E24171" i="1"/>
  <c r="B24172" i="1"/>
  <c r="A24172" i="1"/>
  <c r="E24172" i="1"/>
  <c r="B24173" i="1"/>
  <c r="A24173" i="1"/>
  <c r="E24173" i="1"/>
  <c r="G24173" i="1"/>
  <c r="A24174" i="1"/>
  <c r="E24174" i="1"/>
  <c r="G24174" i="1"/>
  <c r="B24175" i="1"/>
  <c r="A24175" i="1"/>
  <c r="E24175" i="1"/>
  <c r="G24175" i="1"/>
  <c r="B24176" i="1"/>
  <c r="A24176" i="1"/>
  <c r="E24176" i="1"/>
  <c r="G24176" i="1"/>
  <c r="B24177" i="1"/>
  <c r="A24177" i="1"/>
  <c r="E24177" i="1"/>
  <c r="G24177" i="1"/>
  <c r="B24178" i="1"/>
  <c r="A24178" i="1"/>
  <c r="E24178" i="1"/>
  <c r="B24179" i="1"/>
  <c r="A24179" i="1"/>
  <c r="E24179" i="1"/>
  <c r="B24180" i="1"/>
  <c r="A24180" i="1"/>
  <c r="E24180" i="1"/>
  <c r="B24181" i="1"/>
  <c r="A24181" i="1"/>
  <c r="E24181" i="1"/>
  <c r="A24182" i="1"/>
  <c r="E24182" i="1"/>
  <c r="G24182" i="1"/>
  <c r="A24183" i="1"/>
  <c r="E24183" i="1"/>
  <c r="G24183" i="1"/>
  <c r="A24184" i="1"/>
  <c r="E24184" i="1"/>
  <c r="G24184" i="1"/>
  <c r="A24185" i="1"/>
  <c r="E24185" i="1"/>
  <c r="G24185" i="1"/>
  <c r="A24186" i="1"/>
  <c r="E24186" i="1"/>
  <c r="G24186" i="1"/>
  <c r="A24187" i="1"/>
  <c r="E24187" i="1"/>
  <c r="G24187" i="1"/>
  <c r="A24188" i="1"/>
  <c r="E24188" i="1"/>
  <c r="G24188" i="1"/>
  <c r="A24189" i="1"/>
  <c r="E24189" i="1"/>
  <c r="G24189" i="1"/>
  <c r="B24190" i="1"/>
  <c r="A24190" i="1"/>
  <c r="E24190" i="1"/>
  <c r="G24190" i="1"/>
  <c r="B24191" i="1"/>
  <c r="A24191" i="1"/>
  <c r="E24191" i="1"/>
  <c r="B24192" i="1"/>
  <c r="A24192" i="1"/>
  <c r="E24192" i="1"/>
  <c r="B24193" i="1"/>
  <c r="A24193" i="1"/>
  <c r="E24193" i="1"/>
  <c r="B24194" i="1"/>
  <c r="A24194" i="1"/>
  <c r="E24194" i="1"/>
  <c r="B24195" i="1"/>
  <c r="A24195" i="1"/>
  <c r="E24195" i="1"/>
  <c r="A24196" i="1"/>
  <c r="E24196" i="1"/>
  <c r="A24197" i="1"/>
  <c r="E24197" i="1"/>
  <c r="B24198" i="1"/>
  <c r="A24198" i="1"/>
  <c r="E24198" i="1"/>
  <c r="B24199" i="1"/>
  <c r="A24199" i="1"/>
  <c r="E24199" i="1"/>
  <c r="A24200" i="1"/>
  <c r="E24200" i="1"/>
  <c r="B24201" i="1"/>
  <c r="A24201" i="1"/>
  <c r="E24201" i="1"/>
  <c r="B24202" i="1"/>
  <c r="A24202" i="1"/>
  <c r="E24202" i="1"/>
  <c r="B24203" i="1"/>
  <c r="A24203" i="1"/>
  <c r="E24203" i="1"/>
  <c r="B24204" i="1"/>
  <c r="A24204" i="1"/>
  <c r="E24204" i="1"/>
  <c r="B24205" i="1"/>
  <c r="A24205" i="1"/>
  <c r="E24205" i="1"/>
  <c r="B24206" i="1"/>
  <c r="A24206" i="1"/>
  <c r="E24206" i="1"/>
  <c r="B24207" i="1"/>
  <c r="A24207" i="1"/>
  <c r="E24207" i="1"/>
  <c r="B24208" i="1"/>
  <c r="A24208" i="1"/>
  <c r="E24208" i="1"/>
  <c r="B24209" i="1"/>
  <c r="A24209" i="1"/>
  <c r="E24209" i="1"/>
  <c r="B24210" i="1"/>
  <c r="A24210" i="1"/>
  <c r="E24210" i="1"/>
  <c r="B24211" i="1"/>
  <c r="A24211" i="1"/>
  <c r="E24211" i="1"/>
  <c r="B24212" i="1"/>
  <c r="A24212" i="1"/>
  <c r="E24212" i="1"/>
  <c r="B24213" i="1"/>
  <c r="A24213" i="1"/>
  <c r="E24213" i="1"/>
  <c r="B24214" i="1"/>
  <c r="A24214" i="1"/>
  <c r="E24214" i="1"/>
  <c r="B24215" i="1"/>
  <c r="A24215" i="1"/>
  <c r="E24215" i="1"/>
  <c r="B24216" i="1"/>
  <c r="A24216" i="1"/>
  <c r="E24216" i="1"/>
  <c r="B24217" i="1"/>
  <c r="A24217" i="1"/>
  <c r="E24217" i="1"/>
  <c r="B24218" i="1"/>
  <c r="A24218" i="1"/>
  <c r="E24218" i="1"/>
  <c r="B24219" i="1"/>
  <c r="A24219" i="1"/>
  <c r="E24219" i="1"/>
  <c r="B24220" i="1"/>
  <c r="A24220" i="1"/>
  <c r="E24220" i="1"/>
  <c r="B24221" i="1"/>
  <c r="A24221" i="1"/>
  <c r="E24221" i="1"/>
  <c r="B24222" i="1"/>
  <c r="A24222" i="1"/>
  <c r="E24222" i="1"/>
  <c r="B24223" i="1"/>
  <c r="A24223" i="1"/>
  <c r="E24223" i="1"/>
  <c r="B24224" i="1"/>
  <c r="A24224" i="1"/>
  <c r="E24224" i="1"/>
  <c r="F24224" i="1"/>
  <c r="B24225" i="1"/>
  <c r="A24225" i="1"/>
  <c r="E24225" i="1"/>
  <c r="F24225" i="1"/>
  <c r="B24226" i="1"/>
  <c r="A24226" i="1"/>
  <c r="E24226" i="1"/>
  <c r="F24226" i="1"/>
  <c r="B24227" i="1"/>
  <c r="A24227" i="1"/>
  <c r="E24227" i="1"/>
  <c r="F24227" i="1"/>
  <c r="B24228" i="1"/>
  <c r="A24228" i="1"/>
  <c r="E24228" i="1"/>
  <c r="F24228" i="1"/>
  <c r="B24229" i="1"/>
  <c r="A24229" i="1"/>
  <c r="E24229" i="1"/>
  <c r="F24229" i="1"/>
  <c r="B24230" i="1"/>
  <c r="A24230" i="1"/>
  <c r="E24230" i="1"/>
  <c r="F24230" i="1"/>
  <c r="B24231" i="1"/>
  <c r="A24231" i="1"/>
  <c r="E24231" i="1"/>
  <c r="F24231" i="1"/>
  <c r="B24232" i="1"/>
  <c r="A24232" i="1"/>
  <c r="E24232" i="1"/>
  <c r="F24232" i="1"/>
  <c r="B24233" i="1"/>
  <c r="A24233" i="1"/>
  <c r="E24233" i="1"/>
  <c r="F24233" i="1"/>
  <c r="B24234" i="1"/>
  <c r="A24234" i="1"/>
  <c r="E24234" i="1"/>
  <c r="F24234" i="1"/>
  <c r="B24235" i="1"/>
  <c r="A24235" i="1"/>
  <c r="E24235" i="1"/>
  <c r="F24235" i="1"/>
  <c r="B24236" i="1"/>
  <c r="A24236" i="1"/>
  <c r="E24236" i="1"/>
  <c r="F24236" i="1"/>
  <c r="B24237" i="1"/>
  <c r="A24237" i="1"/>
  <c r="E24237" i="1"/>
  <c r="F24237" i="1"/>
  <c r="B24238" i="1"/>
  <c r="A24238" i="1"/>
  <c r="E24238" i="1"/>
  <c r="F24238" i="1"/>
  <c r="B24239" i="1"/>
  <c r="A24239" i="1"/>
  <c r="E24239" i="1"/>
  <c r="F24239" i="1"/>
  <c r="B24240" i="1"/>
  <c r="A24240" i="1"/>
  <c r="E24240" i="1"/>
  <c r="F24240" i="1"/>
  <c r="B24241" i="1"/>
  <c r="A24241" i="1"/>
  <c r="E24241" i="1"/>
  <c r="F24241" i="1"/>
  <c r="B24242" i="1"/>
  <c r="A24242" i="1"/>
  <c r="E24242" i="1"/>
  <c r="F24242" i="1"/>
  <c r="B24243" i="1"/>
  <c r="A24243" i="1"/>
  <c r="E24243" i="1"/>
  <c r="F24243" i="1"/>
  <c r="B24244" i="1"/>
  <c r="A24244" i="1"/>
  <c r="E24244" i="1"/>
  <c r="F24244" i="1"/>
  <c r="B24245" i="1"/>
  <c r="A24245" i="1"/>
  <c r="E24245" i="1"/>
  <c r="F24245" i="1"/>
  <c r="B24246" i="1"/>
  <c r="A24246" i="1"/>
  <c r="E24246" i="1"/>
  <c r="F24246" i="1"/>
  <c r="B24247" i="1"/>
  <c r="A24247" i="1"/>
  <c r="E24247" i="1"/>
  <c r="F24247" i="1"/>
  <c r="B24248" i="1"/>
  <c r="A24248" i="1"/>
  <c r="E24248" i="1"/>
  <c r="F24248" i="1"/>
  <c r="B24249" i="1"/>
  <c r="A24249" i="1"/>
  <c r="E24249" i="1"/>
  <c r="F24249" i="1"/>
  <c r="B24250" i="1"/>
  <c r="A24250" i="1"/>
  <c r="E24250" i="1"/>
  <c r="F24250" i="1"/>
  <c r="B24251" i="1"/>
  <c r="A24251" i="1"/>
  <c r="E24251" i="1"/>
  <c r="F24251" i="1"/>
  <c r="B24252" i="1"/>
  <c r="A24252" i="1"/>
  <c r="E24252" i="1"/>
  <c r="F24252" i="1"/>
  <c r="B24253" i="1"/>
  <c r="A24253" i="1"/>
  <c r="E24253" i="1"/>
  <c r="F24253" i="1"/>
  <c r="B24254" i="1"/>
  <c r="A24254" i="1"/>
  <c r="E24254" i="1"/>
  <c r="F24254" i="1"/>
  <c r="B24255" i="1"/>
  <c r="A24255" i="1"/>
  <c r="E24255" i="1"/>
  <c r="F24255" i="1"/>
  <c r="B24256" i="1"/>
  <c r="A24256" i="1"/>
  <c r="E24256" i="1"/>
  <c r="F24256" i="1"/>
  <c r="B24257" i="1"/>
  <c r="A24257" i="1"/>
  <c r="E24257" i="1"/>
  <c r="F24257" i="1"/>
  <c r="B24258" i="1"/>
  <c r="A24258" i="1"/>
  <c r="E24258" i="1"/>
  <c r="F24258" i="1"/>
  <c r="B24259" i="1"/>
  <c r="A24259" i="1"/>
  <c r="E24259" i="1"/>
  <c r="F24259" i="1"/>
  <c r="B24260" i="1"/>
  <c r="A24260" i="1"/>
  <c r="E24260" i="1"/>
  <c r="F24260" i="1"/>
  <c r="B24261" i="1"/>
  <c r="A24261" i="1"/>
  <c r="E24261" i="1"/>
  <c r="F24261" i="1"/>
  <c r="B24262" i="1"/>
  <c r="A24262" i="1"/>
  <c r="E24262" i="1"/>
  <c r="F24262" i="1"/>
  <c r="B24263" i="1"/>
  <c r="A24263" i="1"/>
  <c r="E24263" i="1"/>
  <c r="F24263" i="1"/>
  <c r="B24264" i="1"/>
  <c r="A24264" i="1"/>
  <c r="E24264" i="1"/>
  <c r="F24264" i="1"/>
  <c r="B24265" i="1"/>
  <c r="A24265" i="1"/>
  <c r="E24265" i="1"/>
  <c r="F24265" i="1"/>
  <c r="B24266" i="1"/>
  <c r="A24266" i="1"/>
  <c r="E24266" i="1"/>
  <c r="F24266" i="1"/>
  <c r="G24266" i="1"/>
  <c r="B24267" i="1"/>
  <c r="A24267" i="1"/>
  <c r="E24267" i="1"/>
  <c r="F24267" i="1"/>
  <c r="B24268" i="1"/>
  <c r="A24268" i="1"/>
  <c r="E24268" i="1"/>
  <c r="F24268" i="1"/>
  <c r="B24269" i="1"/>
  <c r="A24269" i="1"/>
  <c r="E24269" i="1"/>
  <c r="F24269" i="1"/>
  <c r="B24270" i="1"/>
  <c r="A24270" i="1"/>
  <c r="E24270" i="1"/>
  <c r="F24270" i="1"/>
  <c r="B24271" i="1"/>
  <c r="A24271" i="1"/>
  <c r="E24271" i="1"/>
  <c r="F24271" i="1"/>
  <c r="B24272" i="1"/>
  <c r="A24272" i="1"/>
  <c r="E24272" i="1"/>
  <c r="F24272" i="1"/>
  <c r="B24273" i="1"/>
  <c r="A24273" i="1"/>
  <c r="E24273" i="1"/>
  <c r="G24273" i="1"/>
  <c r="B24274" i="1"/>
  <c r="A24274" i="1"/>
  <c r="E24274" i="1"/>
  <c r="F24274" i="1"/>
  <c r="B24275" i="1"/>
  <c r="A24275" i="1"/>
  <c r="E24275" i="1"/>
  <c r="B24276" i="1"/>
  <c r="A24276" i="1"/>
  <c r="E24276" i="1"/>
  <c r="B24277" i="1"/>
  <c r="A24277" i="1"/>
  <c r="E24277" i="1"/>
  <c r="B24278" i="1"/>
  <c r="A24278" i="1"/>
  <c r="E24278" i="1"/>
  <c r="B24279" i="1"/>
  <c r="A24279" i="1"/>
  <c r="E24279" i="1"/>
  <c r="B24280" i="1"/>
  <c r="A24280" i="1"/>
  <c r="E24280" i="1"/>
  <c r="F24280" i="1"/>
  <c r="B24281" i="1"/>
  <c r="A24281" i="1"/>
  <c r="E24281" i="1"/>
  <c r="F24281" i="1"/>
  <c r="G24281" i="1"/>
  <c r="B24282" i="1"/>
  <c r="A24282" i="1"/>
  <c r="E24282" i="1"/>
  <c r="F24282" i="1"/>
  <c r="B24283" i="1"/>
  <c r="A24283" i="1"/>
  <c r="E24283" i="1"/>
  <c r="F24283" i="1"/>
  <c r="B24284" i="1"/>
  <c r="A24284" i="1"/>
  <c r="E24284" i="1"/>
  <c r="F24284" i="1"/>
  <c r="B24285" i="1"/>
  <c r="A24285" i="1"/>
  <c r="E24285" i="1"/>
  <c r="F24285" i="1"/>
  <c r="B24286" i="1"/>
  <c r="A24286" i="1"/>
  <c r="E24286" i="1"/>
  <c r="F24286" i="1"/>
  <c r="B24287" i="1"/>
  <c r="A24287" i="1"/>
  <c r="E24287" i="1"/>
  <c r="F24287" i="1"/>
  <c r="B24288" i="1"/>
  <c r="A24288" i="1"/>
  <c r="E24288" i="1"/>
  <c r="F24288" i="1"/>
  <c r="B24289" i="1"/>
  <c r="A24289" i="1"/>
  <c r="E24289" i="1"/>
  <c r="F24289" i="1"/>
  <c r="B24290" i="1"/>
  <c r="A24290" i="1"/>
  <c r="E24290" i="1"/>
  <c r="F24290" i="1"/>
  <c r="B24291" i="1"/>
  <c r="A24291" i="1"/>
  <c r="E24291" i="1"/>
  <c r="F24291" i="1"/>
  <c r="B24292" i="1"/>
  <c r="A24292" i="1"/>
  <c r="E24292" i="1"/>
  <c r="F24292" i="1"/>
  <c r="B24293" i="1"/>
  <c r="A24293" i="1"/>
  <c r="E24293" i="1"/>
  <c r="F24293" i="1"/>
  <c r="B24294" i="1"/>
  <c r="A24294" i="1"/>
  <c r="E24294" i="1"/>
  <c r="F24294" i="1"/>
  <c r="B24295" i="1"/>
  <c r="A24295" i="1"/>
  <c r="E24295" i="1"/>
  <c r="F24295" i="1"/>
  <c r="B24296" i="1"/>
  <c r="A24296" i="1"/>
  <c r="E24296" i="1"/>
  <c r="F24296" i="1"/>
  <c r="B24297" i="1"/>
  <c r="A24297" i="1"/>
  <c r="E24297" i="1"/>
  <c r="F24297" i="1"/>
  <c r="B24298" i="1"/>
  <c r="A24298" i="1"/>
  <c r="E24298" i="1"/>
  <c r="F24298" i="1"/>
  <c r="B24299" i="1"/>
  <c r="A24299" i="1"/>
  <c r="E24299" i="1"/>
  <c r="F24299" i="1"/>
  <c r="B24300" i="1"/>
  <c r="A24300" i="1"/>
  <c r="E24300" i="1"/>
  <c r="F24300" i="1"/>
  <c r="B24301" i="1"/>
  <c r="A24301" i="1"/>
  <c r="E24301" i="1"/>
  <c r="F24301" i="1"/>
  <c r="B24302" i="1"/>
  <c r="A24302" i="1"/>
  <c r="E24302" i="1"/>
  <c r="F24302" i="1"/>
  <c r="B24303" i="1"/>
  <c r="A24303" i="1"/>
  <c r="E24303" i="1"/>
  <c r="F24303" i="1"/>
  <c r="B24304" i="1"/>
  <c r="A24304" i="1"/>
  <c r="E24304" i="1"/>
  <c r="F24304" i="1"/>
  <c r="B24305" i="1"/>
  <c r="A24305" i="1"/>
  <c r="E24305" i="1"/>
  <c r="F24305" i="1"/>
  <c r="B24306" i="1"/>
  <c r="A24306" i="1"/>
  <c r="E24306" i="1"/>
  <c r="F24306" i="1"/>
  <c r="B24307" i="1"/>
  <c r="A24307" i="1"/>
  <c r="E24307" i="1"/>
  <c r="F24307" i="1"/>
  <c r="B24308" i="1"/>
  <c r="A24308" i="1"/>
  <c r="E24308" i="1"/>
  <c r="F24308" i="1"/>
  <c r="B24309" i="1"/>
  <c r="A24309" i="1"/>
  <c r="E24309" i="1"/>
  <c r="F24309" i="1"/>
  <c r="B24310" i="1"/>
  <c r="A24310" i="1"/>
  <c r="E24310" i="1"/>
  <c r="F24310" i="1"/>
  <c r="B24311" i="1"/>
  <c r="A24311" i="1"/>
  <c r="E24311" i="1"/>
  <c r="F24311" i="1"/>
  <c r="B24312" i="1"/>
  <c r="A24312" i="1"/>
  <c r="E24312" i="1"/>
  <c r="F24312" i="1"/>
  <c r="B24313" i="1"/>
  <c r="A24313" i="1"/>
  <c r="E24313" i="1"/>
  <c r="F24313" i="1"/>
  <c r="B24314" i="1"/>
  <c r="A24314" i="1"/>
  <c r="E24314" i="1"/>
  <c r="F24314" i="1"/>
  <c r="B24315" i="1"/>
  <c r="A24315" i="1"/>
  <c r="E24315" i="1"/>
  <c r="F24315" i="1"/>
  <c r="B24316" i="1"/>
  <c r="A24316" i="1"/>
  <c r="E24316" i="1"/>
  <c r="F24316" i="1"/>
  <c r="G24316" i="1"/>
  <c r="B24317" i="1"/>
  <c r="A24317" i="1"/>
  <c r="E24317" i="1"/>
  <c r="F24317" i="1"/>
  <c r="B24318" i="1"/>
  <c r="A24318" i="1"/>
  <c r="E24318" i="1"/>
  <c r="F24318" i="1"/>
  <c r="B24319" i="1"/>
  <c r="A24319" i="1"/>
  <c r="E24319" i="1"/>
  <c r="F24319" i="1"/>
  <c r="B24320" i="1"/>
  <c r="A24320" i="1"/>
  <c r="E24320" i="1"/>
  <c r="F24320" i="1"/>
  <c r="B24321" i="1"/>
  <c r="A24321" i="1"/>
  <c r="E24321" i="1"/>
  <c r="F24321" i="1"/>
  <c r="B24322" i="1"/>
  <c r="A24322" i="1"/>
  <c r="E24322" i="1"/>
  <c r="F24322" i="1"/>
  <c r="B24323" i="1"/>
  <c r="A24323" i="1"/>
  <c r="E24323" i="1"/>
  <c r="F24323" i="1"/>
  <c r="G24323" i="1"/>
  <c r="B24324" i="1"/>
  <c r="A24324" i="1"/>
  <c r="E24324" i="1"/>
  <c r="F24324" i="1"/>
  <c r="B24325" i="1"/>
  <c r="A24325" i="1"/>
  <c r="E24325" i="1"/>
  <c r="F24325" i="1"/>
  <c r="B24326" i="1"/>
  <c r="A24326" i="1"/>
  <c r="E24326" i="1"/>
  <c r="F24326" i="1"/>
  <c r="B24327" i="1"/>
  <c r="A24327" i="1"/>
  <c r="E24327" i="1"/>
  <c r="F24327" i="1"/>
  <c r="G24327" i="1"/>
  <c r="B24328" i="1"/>
  <c r="A24328" i="1"/>
  <c r="E24328" i="1"/>
  <c r="F24328" i="1"/>
  <c r="B24329" i="1"/>
  <c r="A24329" i="1"/>
  <c r="E24329" i="1"/>
  <c r="F24329" i="1"/>
  <c r="B24330" i="1"/>
  <c r="A24330" i="1"/>
  <c r="E24330" i="1"/>
  <c r="F24330" i="1"/>
  <c r="B24331" i="1"/>
  <c r="A24331" i="1"/>
  <c r="E24331" i="1"/>
  <c r="F24331" i="1"/>
  <c r="B24332" i="1"/>
  <c r="A24332" i="1"/>
  <c r="E24332" i="1"/>
  <c r="F24332" i="1"/>
  <c r="B24333" i="1"/>
  <c r="A24333" i="1"/>
  <c r="E24333" i="1"/>
  <c r="F24333" i="1"/>
  <c r="B24334" i="1"/>
  <c r="A24334" i="1"/>
  <c r="E24334" i="1"/>
  <c r="F24334" i="1"/>
  <c r="B24335" i="1"/>
  <c r="A24335" i="1"/>
  <c r="E24335" i="1"/>
  <c r="F24335" i="1"/>
  <c r="B24336" i="1"/>
  <c r="A24336" i="1"/>
  <c r="E24336" i="1"/>
  <c r="F24336" i="1"/>
  <c r="G24336" i="1"/>
  <c r="B24337" i="1"/>
  <c r="A24337" i="1"/>
  <c r="E24337" i="1"/>
  <c r="F24337" i="1"/>
  <c r="B24338" i="1"/>
  <c r="A24338" i="1"/>
  <c r="E24338" i="1"/>
  <c r="F24338" i="1"/>
  <c r="B24339" i="1"/>
  <c r="A24339" i="1"/>
  <c r="E24339" i="1"/>
  <c r="B24340" i="1"/>
  <c r="A24340" i="1"/>
  <c r="E24340" i="1"/>
  <c r="B24341" i="1"/>
  <c r="A24341" i="1"/>
  <c r="E24341" i="1"/>
  <c r="B24342" i="1"/>
  <c r="A24342" i="1"/>
  <c r="E24342" i="1"/>
  <c r="B24343" i="1"/>
  <c r="A24343" i="1"/>
  <c r="E24343" i="1"/>
  <c r="B24344" i="1"/>
  <c r="A24344" i="1"/>
  <c r="E24344" i="1"/>
  <c r="B24345" i="1"/>
  <c r="A24345" i="1"/>
  <c r="E24345" i="1"/>
  <c r="B24346" i="1"/>
  <c r="A24346" i="1"/>
  <c r="E24346" i="1"/>
  <c r="B24347" i="1"/>
  <c r="A24347" i="1"/>
  <c r="E24347" i="1"/>
  <c r="B24348" i="1"/>
  <c r="A24348" i="1"/>
  <c r="E24348" i="1"/>
  <c r="B24349" i="1"/>
  <c r="A24349" i="1"/>
  <c r="E24349" i="1"/>
  <c r="B24350" i="1"/>
  <c r="A24350" i="1"/>
  <c r="E24350" i="1"/>
  <c r="B24351" i="1"/>
  <c r="A24351" i="1"/>
  <c r="E24351" i="1"/>
  <c r="B24352" i="1"/>
  <c r="A24352" i="1"/>
  <c r="E24352" i="1"/>
  <c r="B24353" i="1"/>
  <c r="A24353" i="1"/>
  <c r="E24353" i="1"/>
  <c r="B24354" i="1"/>
  <c r="A24354" i="1"/>
  <c r="E24354" i="1"/>
  <c r="B24355" i="1"/>
  <c r="A24355" i="1"/>
  <c r="E24355" i="1"/>
  <c r="B24356" i="1"/>
  <c r="A24356" i="1"/>
  <c r="E24356" i="1"/>
  <c r="B24357" i="1"/>
  <c r="A24357" i="1"/>
  <c r="E24357" i="1"/>
  <c r="B24358" i="1"/>
  <c r="A24358" i="1"/>
  <c r="E24358" i="1"/>
  <c r="B24359" i="1"/>
  <c r="A24359" i="1"/>
  <c r="E24359" i="1"/>
  <c r="B24360" i="1"/>
  <c r="A24360" i="1"/>
  <c r="E24360" i="1"/>
  <c r="B24361" i="1"/>
  <c r="A24361" i="1"/>
  <c r="E24361" i="1"/>
  <c r="B24362" i="1"/>
  <c r="A24362" i="1"/>
  <c r="E24362" i="1"/>
  <c r="B24363" i="1"/>
  <c r="A24363" i="1"/>
  <c r="E24363" i="1"/>
  <c r="B24364" i="1"/>
  <c r="A24364" i="1"/>
  <c r="E24364" i="1"/>
  <c r="B24365" i="1"/>
  <c r="A24365" i="1"/>
  <c r="E24365" i="1"/>
  <c r="B24366" i="1"/>
  <c r="A24366" i="1"/>
  <c r="E24366" i="1"/>
  <c r="B24367" i="1"/>
  <c r="A24367" i="1"/>
  <c r="E24367" i="1"/>
  <c r="B24368" i="1"/>
  <c r="A24368" i="1"/>
  <c r="E24368" i="1"/>
  <c r="B24369" i="1"/>
  <c r="A24369" i="1"/>
  <c r="E24369" i="1"/>
  <c r="A24370" i="1"/>
  <c r="E24370" i="1"/>
  <c r="B24371" i="1"/>
  <c r="A24371" i="1"/>
  <c r="E24371" i="1"/>
  <c r="B24372" i="1"/>
  <c r="A24372" i="1"/>
  <c r="E24372" i="1"/>
  <c r="B24373" i="1"/>
  <c r="A24373" i="1"/>
  <c r="E24373" i="1"/>
  <c r="B24374" i="1"/>
  <c r="A24374" i="1"/>
  <c r="E24374" i="1"/>
  <c r="B24375" i="1"/>
  <c r="A24375" i="1"/>
  <c r="E24375" i="1"/>
  <c r="B24376" i="1"/>
  <c r="A24376" i="1"/>
  <c r="E24376" i="1"/>
  <c r="B24377" i="1"/>
  <c r="A24377" i="1"/>
  <c r="E24377" i="1"/>
  <c r="B24378" i="1"/>
  <c r="A24378" i="1"/>
  <c r="E24378" i="1"/>
  <c r="B24379" i="1"/>
  <c r="A24379" i="1"/>
  <c r="E24379" i="1"/>
  <c r="B24380" i="1"/>
  <c r="A24380" i="1"/>
  <c r="E24380" i="1"/>
  <c r="B24381" i="1"/>
  <c r="A24381" i="1"/>
  <c r="E24381" i="1"/>
  <c r="B24382" i="1"/>
  <c r="A24382" i="1"/>
  <c r="E24382" i="1"/>
  <c r="B24383" i="1"/>
  <c r="A24383" i="1"/>
  <c r="E24383" i="1"/>
  <c r="B24384" i="1"/>
  <c r="A24384" i="1"/>
  <c r="E24384" i="1"/>
  <c r="B24385" i="1"/>
  <c r="A24385" i="1"/>
  <c r="E24385" i="1"/>
  <c r="B24386" i="1"/>
  <c r="A24386" i="1"/>
  <c r="E24386" i="1"/>
  <c r="B24387" i="1"/>
  <c r="A24387" i="1"/>
  <c r="E24387" i="1"/>
  <c r="B24388" i="1"/>
  <c r="A24388" i="1"/>
  <c r="E24388" i="1"/>
  <c r="B24389" i="1"/>
  <c r="A24389" i="1"/>
  <c r="E24389" i="1"/>
  <c r="B24390" i="1"/>
  <c r="A24390" i="1"/>
  <c r="E24390" i="1"/>
  <c r="B24391" i="1"/>
  <c r="A24391" i="1"/>
  <c r="E24391" i="1"/>
  <c r="B24392" i="1"/>
  <c r="A24392" i="1"/>
  <c r="E24392" i="1"/>
  <c r="B24393" i="1"/>
  <c r="A24393" i="1"/>
  <c r="E24393" i="1"/>
  <c r="B24394" i="1"/>
  <c r="A24394" i="1"/>
  <c r="E24394" i="1"/>
  <c r="A24395" i="1"/>
  <c r="E24395" i="1"/>
  <c r="B24396" i="1"/>
  <c r="A24396" i="1"/>
  <c r="E24396" i="1"/>
  <c r="B24397" i="1"/>
  <c r="A24397" i="1"/>
  <c r="E24397" i="1"/>
  <c r="B24398" i="1"/>
  <c r="A24398" i="1"/>
  <c r="E24398" i="1"/>
  <c r="B24399" i="1"/>
  <c r="A24399" i="1"/>
  <c r="E24399" i="1"/>
  <c r="B24400" i="1"/>
  <c r="A24400" i="1"/>
  <c r="E24400" i="1"/>
  <c r="B24401" i="1"/>
  <c r="A24401" i="1"/>
  <c r="E24401" i="1"/>
  <c r="G24401" i="1"/>
  <c r="B24402" i="1"/>
  <c r="A24402" i="1"/>
  <c r="E24402" i="1"/>
  <c r="B24403" i="1"/>
  <c r="A24403" i="1"/>
  <c r="E24403" i="1"/>
  <c r="B24404" i="1"/>
  <c r="A24404" i="1"/>
  <c r="E24404" i="1"/>
  <c r="B24405" i="1"/>
  <c r="A24405" i="1"/>
  <c r="E24405" i="1"/>
  <c r="B24406" i="1"/>
  <c r="A24406" i="1"/>
  <c r="E24406" i="1"/>
  <c r="B24407" i="1"/>
  <c r="A24407" i="1"/>
  <c r="E24407" i="1"/>
  <c r="B24408" i="1"/>
  <c r="A24408" i="1"/>
  <c r="E24408" i="1"/>
  <c r="B24409" i="1"/>
  <c r="A24409" i="1"/>
  <c r="E24409" i="1"/>
  <c r="B24410" i="1"/>
  <c r="A24410" i="1"/>
  <c r="E24410" i="1"/>
  <c r="B24411" i="1"/>
  <c r="A24411" i="1"/>
  <c r="E24411" i="1"/>
  <c r="B24412" i="1"/>
  <c r="A24412" i="1"/>
  <c r="E24412" i="1"/>
  <c r="B24413" i="1"/>
  <c r="A24413" i="1"/>
  <c r="E24413" i="1"/>
  <c r="B24414" i="1"/>
  <c r="A24414" i="1"/>
  <c r="E24414" i="1"/>
  <c r="B24415" i="1"/>
  <c r="A24415" i="1"/>
  <c r="E24415" i="1"/>
  <c r="B24416" i="1"/>
  <c r="A24416" i="1"/>
  <c r="E24416" i="1"/>
  <c r="B24417" i="1"/>
  <c r="A24417" i="1"/>
  <c r="E24417" i="1"/>
  <c r="B24418" i="1"/>
  <c r="A24418" i="1"/>
  <c r="E24418" i="1"/>
  <c r="B24419" i="1"/>
  <c r="A24419" i="1"/>
  <c r="E24419" i="1"/>
  <c r="B24420" i="1"/>
  <c r="A24420" i="1"/>
  <c r="E24420" i="1"/>
  <c r="B24421" i="1"/>
  <c r="A24421" i="1"/>
  <c r="E24421" i="1"/>
  <c r="B24422" i="1"/>
  <c r="A24422" i="1"/>
  <c r="E24422" i="1"/>
  <c r="B24423" i="1"/>
  <c r="A24423" i="1"/>
  <c r="E24423" i="1"/>
  <c r="B24424" i="1"/>
  <c r="A24424" i="1"/>
  <c r="E24424" i="1"/>
  <c r="B24425" i="1"/>
  <c r="A24425" i="1"/>
  <c r="E24425" i="1"/>
  <c r="G24425" i="1"/>
  <c r="B24426" i="1"/>
  <c r="A24426" i="1"/>
  <c r="E24426" i="1"/>
  <c r="B24427" i="1"/>
  <c r="A24427" i="1"/>
  <c r="E24427" i="1"/>
  <c r="B24428" i="1"/>
  <c r="A24428" i="1"/>
  <c r="E24428" i="1"/>
  <c r="B24429" i="1"/>
  <c r="A24429" i="1"/>
  <c r="E24429" i="1"/>
  <c r="B24430" i="1"/>
  <c r="A24430" i="1"/>
  <c r="E24430" i="1"/>
  <c r="B24431" i="1"/>
  <c r="A24431" i="1"/>
  <c r="E24431" i="1"/>
  <c r="B24432" i="1"/>
  <c r="A24432" i="1"/>
  <c r="E24432" i="1"/>
  <c r="B24433" i="1"/>
  <c r="A24433" i="1"/>
  <c r="E24433" i="1"/>
  <c r="B24434" i="1"/>
  <c r="A24434" i="1"/>
  <c r="E24434" i="1"/>
  <c r="B24435" i="1"/>
  <c r="A24435" i="1"/>
  <c r="E24435" i="1"/>
  <c r="B24436" i="1"/>
  <c r="A24436" i="1"/>
  <c r="E24436" i="1"/>
  <c r="B24437" i="1"/>
  <c r="A24437" i="1"/>
  <c r="E24437" i="1"/>
  <c r="B24438" i="1"/>
  <c r="A24438" i="1"/>
  <c r="E24438" i="1"/>
  <c r="B24439" i="1"/>
  <c r="A24439" i="1"/>
  <c r="E24439" i="1"/>
  <c r="B24440" i="1"/>
  <c r="A24440" i="1"/>
  <c r="E24440" i="1"/>
  <c r="B24441" i="1"/>
  <c r="A24441" i="1"/>
  <c r="E24441" i="1"/>
  <c r="B24442" i="1"/>
  <c r="A24442" i="1"/>
  <c r="E24442" i="1"/>
  <c r="B24443" i="1"/>
  <c r="A24443" i="1"/>
  <c r="E24443" i="1"/>
  <c r="B24444" i="1"/>
  <c r="A24444" i="1"/>
  <c r="E24444" i="1"/>
  <c r="B24445" i="1"/>
  <c r="A24445" i="1"/>
  <c r="E24445" i="1"/>
  <c r="B24446" i="1"/>
  <c r="A24446" i="1"/>
  <c r="E24446" i="1"/>
  <c r="B24447" i="1"/>
  <c r="A24447" i="1"/>
  <c r="E24447" i="1"/>
  <c r="B24448" i="1"/>
  <c r="A24448" i="1"/>
  <c r="E24448" i="1"/>
  <c r="B24449" i="1"/>
  <c r="A24449" i="1"/>
  <c r="E24449" i="1"/>
  <c r="B24450" i="1"/>
  <c r="A24450" i="1"/>
  <c r="E24450" i="1"/>
  <c r="B24451" i="1"/>
  <c r="A24451" i="1"/>
  <c r="E24451" i="1"/>
  <c r="B24452" i="1"/>
  <c r="A24452" i="1"/>
  <c r="E24452" i="1"/>
  <c r="B24453" i="1"/>
  <c r="A24453" i="1"/>
  <c r="E24453" i="1"/>
  <c r="B24454" i="1"/>
  <c r="A24454" i="1"/>
  <c r="E24454" i="1"/>
  <c r="B24455" i="1"/>
  <c r="A24455" i="1"/>
  <c r="E24455" i="1"/>
  <c r="B24456" i="1"/>
  <c r="A24456" i="1"/>
  <c r="E24456" i="1"/>
  <c r="B24457" i="1"/>
  <c r="A24457" i="1"/>
  <c r="E24457" i="1"/>
  <c r="B24458" i="1"/>
  <c r="A24458" i="1"/>
  <c r="E24458" i="1"/>
  <c r="B24459" i="1"/>
  <c r="A24459" i="1"/>
  <c r="E24459" i="1"/>
  <c r="B24460" i="1"/>
  <c r="A24460" i="1"/>
  <c r="E24460" i="1"/>
  <c r="B24461" i="1"/>
  <c r="A24461" i="1"/>
  <c r="E24461" i="1"/>
  <c r="B24462" i="1"/>
  <c r="A24462" i="1"/>
  <c r="E24462" i="1"/>
  <c r="B24463" i="1"/>
  <c r="A24463" i="1"/>
  <c r="E24463" i="1"/>
  <c r="B24464" i="1"/>
  <c r="A24464" i="1"/>
  <c r="E24464" i="1"/>
  <c r="B24465" i="1"/>
  <c r="A24465" i="1"/>
  <c r="E24465" i="1"/>
  <c r="B24466" i="1"/>
  <c r="A24466" i="1"/>
  <c r="E24466" i="1"/>
  <c r="B24467" i="1"/>
  <c r="A24467" i="1"/>
  <c r="E24467" i="1"/>
  <c r="B24468" i="1"/>
  <c r="A24468" i="1"/>
  <c r="E24468" i="1"/>
  <c r="B24469" i="1"/>
  <c r="A24469" i="1"/>
  <c r="E24469" i="1"/>
  <c r="B24470" i="1"/>
  <c r="A24470" i="1"/>
  <c r="E24470" i="1"/>
  <c r="B24471" i="1"/>
  <c r="A24471" i="1"/>
  <c r="E24471" i="1"/>
  <c r="B24472" i="1"/>
  <c r="A24472" i="1"/>
  <c r="E24472" i="1"/>
  <c r="B24473" i="1"/>
  <c r="A24473" i="1"/>
  <c r="E24473" i="1"/>
  <c r="B24474" i="1"/>
  <c r="A24474" i="1"/>
  <c r="E24474" i="1"/>
  <c r="B24475" i="1"/>
  <c r="A24475" i="1"/>
  <c r="E24475" i="1"/>
  <c r="B24476" i="1"/>
  <c r="A24476" i="1"/>
  <c r="E24476" i="1"/>
  <c r="B24477" i="1"/>
  <c r="A24477" i="1"/>
  <c r="E24477" i="1"/>
  <c r="B24478" i="1"/>
  <c r="A24478" i="1"/>
  <c r="E24478" i="1"/>
  <c r="B24479" i="1"/>
  <c r="A24479" i="1"/>
  <c r="E24479" i="1"/>
  <c r="B24480" i="1"/>
  <c r="A24480" i="1"/>
  <c r="E24480" i="1"/>
  <c r="B24481" i="1"/>
  <c r="A24481" i="1"/>
  <c r="E24481" i="1"/>
  <c r="B24482" i="1"/>
  <c r="A24482" i="1"/>
  <c r="E24482" i="1"/>
  <c r="B24483" i="1"/>
  <c r="A24483" i="1"/>
  <c r="E24483" i="1"/>
  <c r="B24484" i="1"/>
  <c r="A24484" i="1"/>
  <c r="E24484" i="1"/>
  <c r="B24485" i="1"/>
  <c r="A24485" i="1"/>
  <c r="E24485" i="1"/>
  <c r="B24486" i="1"/>
  <c r="A24486" i="1"/>
  <c r="E24486" i="1"/>
  <c r="B24487" i="1"/>
  <c r="A24487" i="1"/>
  <c r="E24487" i="1"/>
  <c r="F24487" i="1"/>
  <c r="B24488" i="1"/>
  <c r="A24488" i="1"/>
  <c r="E24488" i="1"/>
  <c r="F24488" i="1"/>
  <c r="G24488" i="1"/>
  <c r="B24489" i="1"/>
  <c r="A24489" i="1"/>
  <c r="E24489" i="1"/>
  <c r="F24489" i="1"/>
  <c r="G24489" i="1"/>
  <c r="B24490" i="1"/>
  <c r="A24490" i="1"/>
  <c r="E24490" i="1"/>
  <c r="F24490" i="1"/>
  <c r="B24491" i="1"/>
  <c r="A24491" i="1"/>
  <c r="E24491" i="1"/>
  <c r="F24491" i="1"/>
  <c r="B24492" i="1"/>
  <c r="A24492" i="1"/>
  <c r="E24492" i="1"/>
  <c r="F24492" i="1"/>
  <c r="G24492" i="1"/>
  <c r="B24493" i="1"/>
  <c r="A24493" i="1"/>
  <c r="E24493" i="1"/>
  <c r="F24493" i="1"/>
  <c r="G24493" i="1"/>
  <c r="B24494" i="1"/>
  <c r="A24494" i="1"/>
  <c r="E24494" i="1"/>
  <c r="F24494" i="1"/>
  <c r="B24495" i="1"/>
  <c r="A24495" i="1"/>
  <c r="E24495" i="1"/>
  <c r="F24495" i="1"/>
  <c r="B24496" i="1"/>
  <c r="A24496" i="1"/>
  <c r="E24496" i="1"/>
  <c r="F24496" i="1"/>
  <c r="B24497" i="1"/>
  <c r="A24497" i="1"/>
  <c r="E24497" i="1"/>
  <c r="F24497" i="1"/>
  <c r="G24497" i="1"/>
  <c r="B24498" i="1"/>
  <c r="A24498" i="1"/>
  <c r="E24498" i="1"/>
  <c r="F24498" i="1"/>
  <c r="G24498" i="1"/>
  <c r="B24499" i="1"/>
  <c r="A24499" i="1"/>
  <c r="E24499" i="1"/>
  <c r="F24499" i="1"/>
  <c r="B24500" i="1"/>
  <c r="A24500" i="1"/>
  <c r="E24500" i="1"/>
  <c r="F24500" i="1"/>
  <c r="B24501" i="1"/>
  <c r="A24501" i="1"/>
  <c r="E24501" i="1"/>
  <c r="F24501" i="1"/>
  <c r="B24502" i="1"/>
  <c r="A24502" i="1"/>
  <c r="E24502" i="1"/>
  <c r="F24502" i="1"/>
  <c r="B24503" i="1"/>
  <c r="A24503" i="1"/>
  <c r="E24503" i="1"/>
  <c r="F24503" i="1"/>
  <c r="B24504" i="1"/>
  <c r="A24504" i="1"/>
  <c r="E24504" i="1"/>
  <c r="B24505" i="1"/>
  <c r="A24505" i="1"/>
  <c r="E24505" i="1"/>
  <c r="B24506" i="1"/>
  <c r="A24506" i="1"/>
  <c r="E24506" i="1"/>
  <c r="B24507" i="1"/>
  <c r="A24507" i="1"/>
  <c r="E24507" i="1"/>
  <c r="B24508" i="1"/>
  <c r="A24508" i="1"/>
  <c r="E24508" i="1"/>
  <c r="B24509" i="1"/>
  <c r="A24509" i="1"/>
  <c r="E24509" i="1"/>
  <c r="B24510" i="1"/>
  <c r="A24510" i="1"/>
  <c r="E24510" i="1"/>
  <c r="B24511" i="1"/>
  <c r="A24511" i="1"/>
  <c r="E24511" i="1"/>
  <c r="B24512" i="1"/>
  <c r="A24512" i="1"/>
  <c r="E24512" i="1"/>
  <c r="B24513" i="1"/>
  <c r="A24513" i="1"/>
  <c r="E24513" i="1"/>
  <c r="B24514" i="1"/>
  <c r="A24514" i="1"/>
  <c r="E24514" i="1"/>
  <c r="B24515" i="1"/>
  <c r="A24515" i="1"/>
  <c r="E24515" i="1"/>
  <c r="B24516" i="1"/>
  <c r="A24516" i="1"/>
  <c r="E24516" i="1"/>
  <c r="B24517" i="1"/>
  <c r="A24517" i="1"/>
  <c r="E24517" i="1"/>
  <c r="B24518" i="1"/>
  <c r="A24518" i="1"/>
  <c r="E24518" i="1"/>
  <c r="B24519" i="1"/>
  <c r="A24519" i="1"/>
  <c r="E24519" i="1"/>
  <c r="B24520" i="1"/>
  <c r="A24520" i="1"/>
  <c r="E24520" i="1"/>
  <c r="B24521" i="1"/>
  <c r="A24521" i="1"/>
  <c r="E24521" i="1"/>
  <c r="B24522" i="1"/>
  <c r="A24522" i="1"/>
  <c r="E24522" i="1"/>
  <c r="B24523" i="1"/>
  <c r="A24523" i="1"/>
  <c r="E24523" i="1"/>
  <c r="B24524" i="1"/>
  <c r="A24524" i="1"/>
  <c r="E24524" i="1"/>
  <c r="B24525" i="1"/>
  <c r="A24525" i="1"/>
  <c r="E24525" i="1"/>
  <c r="B24526" i="1"/>
  <c r="A24526" i="1"/>
  <c r="E24526" i="1"/>
  <c r="B24527" i="1"/>
  <c r="A24527" i="1"/>
  <c r="E24527" i="1"/>
  <c r="B24528" i="1"/>
  <c r="A24528" i="1"/>
  <c r="E24528" i="1"/>
  <c r="B24529" i="1"/>
  <c r="A24529" i="1"/>
  <c r="E24529" i="1"/>
  <c r="B24530" i="1"/>
  <c r="A24530" i="1"/>
  <c r="E24530" i="1"/>
  <c r="B24531" i="1"/>
  <c r="A24531" i="1"/>
  <c r="E24531" i="1"/>
  <c r="B24532" i="1"/>
  <c r="A24532" i="1"/>
  <c r="E24532" i="1"/>
  <c r="B24533" i="1"/>
  <c r="A24533" i="1"/>
  <c r="E24533" i="1"/>
  <c r="B24534" i="1"/>
  <c r="A24534" i="1"/>
  <c r="E24534" i="1"/>
  <c r="G24534" i="1"/>
  <c r="B24535" i="1"/>
  <c r="A24535" i="1"/>
  <c r="E24535" i="1"/>
  <c r="B24536" i="1"/>
  <c r="A24536" i="1"/>
  <c r="E24536" i="1"/>
  <c r="G24536" i="1"/>
  <c r="B24537" i="1"/>
  <c r="A24537" i="1"/>
  <c r="E24537" i="1"/>
  <c r="B24538" i="1"/>
  <c r="A24538" i="1"/>
  <c r="E24538" i="1"/>
  <c r="B24539" i="1"/>
  <c r="A24539" i="1"/>
  <c r="E24539" i="1"/>
  <c r="B24540" i="1"/>
  <c r="A24540" i="1"/>
  <c r="E24540" i="1"/>
  <c r="B24541" i="1"/>
  <c r="A24541" i="1"/>
  <c r="E24541" i="1"/>
  <c r="B24542" i="1"/>
  <c r="A24542" i="1"/>
  <c r="E24542" i="1"/>
  <c r="B24543" i="1"/>
  <c r="A24543" i="1"/>
  <c r="E24543" i="1"/>
  <c r="B24544" i="1"/>
  <c r="A24544" i="1"/>
  <c r="E24544" i="1"/>
  <c r="B24545" i="1"/>
  <c r="A24545" i="1"/>
  <c r="E24545" i="1"/>
  <c r="B24546" i="1"/>
  <c r="A24546" i="1"/>
  <c r="E24546" i="1"/>
  <c r="B24547" i="1"/>
  <c r="A24547" i="1"/>
  <c r="E24547" i="1"/>
  <c r="B24548" i="1"/>
  <c r="A24548" i="1"/>
  <c r="E24548" i="1"/>
  <c r="B24549" i="1"/>
  <c r="A24549" i="1"/>
  <c r="E24549" i="1"/>
  <c r="B24550" i="1"/>
  <c r="A24550" i="1"/>
  <c r="E24550" i="1"/>
  <c r="B24551" i="1"/>
  <c r="A24551" i="1"/>
  <c r="E24551" i="1"/>
  <c r="F24551" i="1"/>
  <c r="G24551" i="1"/>
  <c r="B24552" i="1"/>
  <c r="A24552" i="1"/>
  <c r="E24552" i="1"/>
  <c r="G24552" i="1"/>
  <c r="B24553" i="1"/>
  <c r="A24553" i="1"/>
  <c r="E24553" i="1"/>
  <c r="B24554" i="1"/>
  <c r="A24554" i="1"/>
  <c r="E24554" i="1"/>
  <c r="A24555" i="1"/>
  <c r="E24555" i="1"/>
  <c r="B24556" i="1"/>
  <c r="A24556" i="1"/>
  <c r="E24556" i="1"/>
  <c r="G24556" i="1"/>
  <c r="B24557" i="1"/>
  <c r="A24557" i="1"/>
  <c r="E24557" i="1"/>
  <c r="G24557" i="1"/>
  <c r="B24558" i="1"/>
  <c r="A24558" i="1"/>
  <c r="E24558" i="1"/>
  <c r="B24559" i="1"/>
  <c r="A24559" i="1"/>
  <c r="E24559" i="1"/>
  <c r="B24560" i="1"/>
  <c r="A24560" i="1"/>
  <c r="E24560" i="1"/>
  <c r="B24561" i="1"/>
  <c r="A24561" i="1"/>
  <c r="E24561" i="1"/>
  <c r="B24562" i="1"/>
  <c r="A24562" i="1"/>
  <c r="E24562" i="1"/>
  <c r="B24563" i="1"/>
  <c r="A24563" i="1"/>
  <c r="E24563" i="1"/>
  <c r="B24564" i="1"/>
  <c r="A24564" i="1"/>
  <c r="E24564" i="1"/>
  <c r="B24565" i="1"/>
  <c r="A24565" i="1"/>
  <c r="E24565" i="1"/>
  <c r="B24566" i="1"/>
  <c r="A24566" i="1"/>
  <c r="E24566" i="1"/>
  <c r="B24567" i="1"/>
  <c r="A24567" i="1"/>
  <c r="E24567" i="1"/>
  <c r="B24568" i="1"/>
  <c r="A24568" i="1"/>
  <c r="E24568" i="1"/>
  <c r="B24569" i="1"/>
  <c r="A24569" i="1"/>
  <c r="E24569" i="1"/>
  <c r="B24570" i="1"/>
  <c r="A24570" i="1"/>
  <c r="E24570" i="1"/>
  <c r="G24570" i="1"/>
  <c r="B24571" i="1"/>
  <c r="A24571" i="1"/>
  <c r="E24571" i="1"/>
  <c r="G24571" i="1"/>
  <c r="B24572" i="1"/>
  <c r="A24572" i="1"/>
  <c r="E24572" i="1"/>
  <c r="B24573" i="1"/>
  <c r="A24573" i="1"/>
  <c r="E24573" i="1"/>
  <c r="B24574" i="1"/>
  <c r="A24574" i="1"/>
  <c r="E24574" i="1"/>
  <c r="G24574" i="1"/>
  <c r="B24575" i="1"/>
  <c r="A24575" i="1"/>
  <c r="E24575" i="1"/>
  <c r="B24576" i="1"/>
  <c r="A24576" i="1"/>
  <c r="E24576" i="1"/>
  <c r="F24576" i="1"/>
  <c r="G24576" i="1"/>
  <c r="B24577" i="1"/>
  <c r="A24577" i="1"/>
  <c r="E24577" i="1"/>
  <c r="F24577" i="1"/>
  <c r="B24578" i="1"/>
  <c r="A24578" i="1"/>
  <c r="E24578" i="1"/>
  <c r="F24578" i="1"/>
  <c r="B24579" i="1"/>
  <c r="A24579" i="1"/>
  <c r="E24579" i="1"/>
  <c r="F24579" i="1"/>
  <c r="B24580" i="1"/>
  <c r="A24580" i="1"/>
  <c r="E24580" i="1"/>
  <c r="F24580" i="1"/>
  <c r="B24581" i="1"/>
  <c r="A24581" i="1"/>
  <c r="E24581" i="1"/>
  <c r="F24581" i="1"/>
  <c r="B24582" i="1"/>
  <c r="A24582" i="1"/>
  <c r="E24582" i="1"/>
  <c r="F24582" i="1"/>
  <c r="B24583" i="1"/>
  <c r="A24583" i="1"/>
  <c r="E24583" i="1"/>
  <c r="F24583" i="1"/>
  <c r="B24584" i="1"/>
  <c r="A24584" i="1"/>
  <c r="E24584" i="1"/>
  <c r="F24584" i="1"/>
  <c r="B24585" i="1"/>
  <c r="A24585" i="1"/>
  <c r="E24585" i="1"/>
  <c r="F24585" i="1"/>
  <c r="B24586" i="1"/>
  <c r="A24586" i="1"/>
  <c r="E24586" i="1"/>
  <c r="B24587" i="1"/>
  <c r="A24587" i="1"/>
  <c r="E24587" i="1"/>
  <c r="B24588" i="1"/>
  <c r="A24588" i="1"/>
  <c r="E24588" i="1"/>
  <c r="B24589" i="1"/>
  <c r="A24589" i="1"/>
  <c r="E24589" i="1"/>
  <c r="B24590" i="1"/>
  <c r="A24590" i="1"/>
  <c r="E24590" i="1"/>
  <c r="B24591" i="1"/>
  <c r="A24591" i="1"/>
  <c r="E24591" i="1"/>
  <c r="B24592" i="1"/>
  <c r="A24592" i="1"/>
  <c r="E24592" i="1"/>
  <c r="B24593" i="1"/>
  <c r="A24593" i="1"/>
  <c r="E24593" i="1"/>
  <c r="B24594" i="1"/>
  <c r="A24594" i="1"/>
  <c r="E24594" i="1"/>
  <c r="B24595" i="1"/>
  <c r="A24595" i="1"/>
  <c r="E24595" i="1"/>
  <c r="A24596" i="1"/>
  <c r="E24596" i="1"/>
  <c r="B24597" i="1"/>
  <c r="A24597" i="1"/>
  <c r="E24597" i="1"/>
  <c r="B24598" i="1"/>
  <c r="A24598" i="1"/>
  <c r="E24598" i="1"/>
  <c r="B24599" i="1"/>
  <c r="A24599" i="1"/>
  <c r="E24599" i="1"/>
  <c r="B24600" i="1"/>
  <c r="A24600" i="1"/>
  <c r="E24600" i="1"/>
  <c r="B24601" i="1"/>
  <c r="A24601" i="1"/>
  <c r="E24601" i="1"/>
  <c r="B24602" i="1"/>
  <c r="A24602" i="1"/>
  <c r="E24602" i="1"/>
  <c r="B24603" i="1"/>
  <c r="A24603" i="1"/>
  <c r="E24603" i="1"/>
  <c r="B24604" i="1"/>
  <c r="A24604" i="1"/>
  <c r="E24604" i="1"/>
  <c r="B24605" i="1"/>
  <c r="A24605" i="1"/>
  <c r="E24605" i="1"/>
  <c r="B24606" i="1"/>
  <c r="A24606" i="1"/>
  <c r="E24606" i="1"/>
  <c r="B24607" i="1"/>
  <c r="A24607" i="1"/>
  <c r="E24607" i="1"/>
  <c r="B24608" i="1"/>
  <c r="A24608" i="1"/>
  <c r="E24608" i="1"/>
  <c r="B24609" i="1"/>
  <c r="A24609" i="1"/>
  <c r="E24609" i="1"/>
  <c r="B24610" i="1"/>
  <c r="A24610" i="1"/>
  <c r="E24610" i="1"/>
  <c r="G24610" i="1"/>
  <c r="A24611" i="1"/>
  <c r="E24611" i="1"/>
  <c r="G24611" i="1"/>
  <c r="A24612" i="1"/>
  <c r="E24612" i="1"/>
  <c r="B24613" i="1"/>
  <c r="A24613" i="1"/>
  <c r="E24613" i="1"/>
  <c r="B24614" i="1"/>
  <c r="A24614" i="1"/>
  <c r="E24614" i="1"/>
  <c r="G24614" i="1"/>
  <c r="B24615" i="1"/>
  <c r="A24615" i="1"/>
  <c r="E24615" i="1"/>
  <c r="B24616" i="1"/>
  <c r="A24616" i="1"/>
  <c r="E24616" i="1"/>
  <c r="B24617" i="1"/>
  <c r="A24617" i="1"/>
  <c r="E24617" i="1"/>
  <c r="F24617" i="1"/>
  <c r="B24618" i="1"/>
  <c r="A24618" i="1"/>
  <c r="E24618" i="1"/>
  <c r="F24618" i="1"/>
  <c r="B24619" i="1"/>
  <c r="A24619" i="1"/>
  <c r="E24619" i="1"/>
  <c r="F24619" i="1"/>
  <c r="G24619" i="1"/>
  <c r="B24620" i="1"/>
  <c r="A24620" i="1"/>
  <c r="E24620" i="1"/>
  <c r="F24620" i="1"/>
  <c r="B24621" i="1"/>
  <c r="A24621" i="1"/>
  <c r="E24621" i="1"/>
  <c r="G24621" i="1"/>
  <c r="B24622" i="1"/>
  <c r="A24622" i="1"/>
  <c r="E24622" i="1"/>
  <c r="B24623" i="1"/>
  <c r="A24623" i="1"/>
  <c r="E24623" i="1"/>
  <c r="B24624" i="1"/>
  <c r="A24624" i="1"/>
  <c r="E24624" i="1"/>
  <c r="B24625" i="1"/>
  <c r="A24625" i="1"/>
  <c r="E24625" i="1"/>
</calcChain>
</file>

<file path=xl/sharedStrings.xml><?xml version="1.0" encoding="utf-8"?>
<sst xmlns="http://schemas.openxmlformats.org/spreadsheetml/2006/main" count="17107" uniqueCount="959">
  <si>
    <t>Placa</t>
  </si>
  <si>
    <t>24/02/2014 12:00:00 a. m.</t>
  </si>
  <si>
    <t>30/04/2014 12:00:00 a. m.</t>
  </si>
  <si>
    <t>31/05/2010 12:00:00 a. m.</t>
  </si>
  <si>
    <t>17/09/2014 12:00:00 a. m.</t>
  </si>
  <si>
    <t>25/04/2011 12:00:00 a. m.</t>
  </si>
  <si>
    <t>17/09/2015 12:00:00 a. m.</t>
  </si>
  <si>
    <t>22/04/2014 12:00:00 a. m.</t>
  </si>
  <si>
    <t>11/12/2012 12:00:00 a. m.</t>
  </si>
  <si>
    <t>31/01/2017 12:00:00 a. m.</t>
  </si>
  <si>
    <t>30/12/2016 12:00:00 a. m.</t>
  </si>
  <si>
    <t>13/06/2017 12:00:00 a. m.</t>
  </si>
  <si>
    <t>19/07/2018 12:00:00 a. m.</t>
  </si>
  <si>
    <t>18/12/2018 12:00:00 a. m.</t>
  </si>
  <si>
    <t>16/04/2019 12:00:00 a. m.</t>
  </si>
  <si>
    <t>5/06/2019 12:00:00 a. m.</t>
  </si>
  <si>
    <t>25/12/2019 12:00:00 a. m.</t>
  </si>
  <si>
    <t>7/07/2020 12:00:00 a. m.</t>
  </si>
  <si>
    <t>30/10/2020 12:00:00 a. m.</t>
  </si>
  <si>
    <t>17/11/2020 12:00:00 a. m.</t>
  </si>
  <si>
    <t>27/11/2020 12:00:00 a. m.</t>
  </si>
  <si>
    <t>5/12/2020 12:00:00 a. m.</t>
  </si>
  <si>
    <t>24/12/2020 12:00:00 a. m.</t>
  </si>
  <si>
    <t>=""Impresora Laser Jet  M521DN MFP Multifuncional Hasta 40 ppm; Hasta 21 ppm a doble cara,Velocidad del procesador 800 MHz, Memoria : Estándar: 256 MB; Máximo: 256 MB, Disco duro N/A, AAD de 50 hojas co"</t>
  </si>
  <si>
    <t>15/12/2020 12:00:00 a. m.</t>
  </si>
  <si>
    <t>28/12/2020 12:00:00 a. m.</t>
  </si>
  <si>
    <t>="TELEVISOR LED 65""</t>
  </si>
  <si>
    <t>13/09/2021 12:00:00 a. m.</t>
  </si>
  <si>
    <t>8/07/2022 12:00:00 a. m.</t>
  </si>
  <si>
    <t>15/09/2023 12:00:00 a. m.</t>
  </si>
  <si>
    <t>18/10/2023 12:00:00 a. m.</t>
  </si>
  <si>
    <t>23/11/2023 12:00:00 a. m.</t>
  </si>
  <si>
    <t>21/02/2014 12:00:00 a. m.</t>
  </si>
  <si>
    <t>9/07/2013 12:00:00 a. m.</t>
  </si>
  <si>
    <t>8/07/2013 12:00:00 a. m.</t>
  </si>
  <si>
    <t>22/07/2011 12:00:00 a. m.</t>
  </si>
  <si>
    <t>17/12/2016 12:00:00 a. m.</t>
  </si>
  <si>
    <t>26/01/2018 12:00:00 a. m.</t>
  </si>
  <si>
    <t>14/06/2018 12:00:00 a. m.</t>
  </si>
  <si>
    <t>30/11/2018 12:00:00 a. m.</t>
  </si>
  <si>
    <t>30/12/2018 12:00:00 a. m.</t>
  </si>
  <si>
    <t>16/07/2019 12:00:00 a. m.</t>
  </si>
  <si>
    <t>27/12/2019 12:00:00 a. m.</t>
  </si>
  <si>
    <t>12/03/2020 12:00:00 a. m.</t>
  </si>
  <si>
    <t>19/03/2020 12:00:00 a. m.</t>
  </si>
  <si>
    <t>14/05/2020 12:00:00 a. m.</t>
  </si>
  <si>
    <t>8/09/2021 12:00:00 a. m.</t>
  </si>
  <si>
    <t>9/09/2021 12:00:00 a. m.</t>
  </si>
  <si>
    <t>11/02/2022 12:00:00 a. m.</t>
  </si>
  <si>
    <t>9/02/2012 12:00:00 a. m.</t>
  </si>
  <si>
    <t>27/10/2011 12:00:00 a. m.</t>
  </si>
  <si>
    <t>28/11/2014 12:00:00 a. m.</t>
  </si>
  <si>
    <t>31/12/2014 12:00:00 a. m.</t>
  </si>
  <si>
    <t>25/08/2014 12:00:00 a. m.</t>
  </si>
  <si>
    <t>25/09/2015 12:00:00 a. m.</t>
  </si>
  <si>
    <t>28/02/2013 12:00:00 a. m.</t>
  </si>
  <si>
    <t>12/06/2014 12:00:00 a. m.</t>
  </si>
  <si>
    <t>8/08/2013 12:00:00 a. m.</t>
  </si>
  <si>
    <t>30/04/2013 12:00:00 a. m.</t>
  </si>
  <si>
    <t>18/09/2014 12:00:00 a. m.</t>
  </si>
  <si>
    <t>16/04/2010 12:00:00 a. m.</t>
  </si>
  <si>
    <t>8/07/2016 12:00:00 a. m.</t>
  </si>
  <si>
    <t>29/06/2016 12:00:00 a. m.</t>
  </si>
  <si>
    <t>30/10/2015 12:00:00 a. m.</t>
  </si>
  <si>
    <t>21/12/2016 12:00:00 a. m.</t>
  </si>
  <si>
    <t>="VENTILADOR DE PARED DE 18""</t>
  </si>
  <si>
    <t>13/03/2017 12:00:00 a. m.</t>
  </si>
  <si>
    <t>13/03/2017 8:33:17 a. m.</t>
  </si>
  <si>
    <t>13/03/2017 11:28:13 a. m.</t>
  </si>
  <si>
    <t>28/04/2017 12:00:00 a. m.</t>
  </si>
  <si>
    <t>24/04/2017 12:00:00 a. m.</t>
  </si>
  <si>
    <t>28/04/2017 2:20:36 p. m.</t>
  </si>
  <si>
    <t>23/05/2017 12:00:00 a. m.</t>
  </si>
  <si>
    <t>10/08/2017 12:00:00 a. m.</t>
  </si>
  <si>
    <t>7/09/2017 12:00:00 a. m.</t>
  </si>
  <si>
    <t>11/07/2017 12:00:00 a. m.</t>
  </si>
  <si>
    <t>26/12/2017 11:19:54 a. m.</t>
  </si>
  <si>
    <t>26/12/2017 12:00:00 a. m.</t>
  </si>
  <si>
    <t>29/12/2017 12:00:00 a. m.</t>
  </si>
  <si>
    <t>10/04/2018 12:00:00 a. m.</t>
  </si>
  <si>
    <t>22/05/2018 12:00:00 a. m.</t>
  </si>
  <si>
    <t>31/05/2018 12:00:00 a. m.</t>
  </si>
  <si>
    <t>1/06/2018 12:00:00 a. m.</t>
  </si>
  <si>
    <t>15/08/2018 12:00:00 a. m.</t>
  </si>
  <si>
    <t>16/08/2018 12:00:00 a. m.</t>
  </si>
  <si>
    <t>13/09/2018 12:00:00 a. m.</t>
  </si>
  <si>
    <t>19/09/2018 12:00:00 a. m.</t>
  </si>
  <si>
    <t>26/11/2018 12:00:00 a. m.</t>
  </si>
  <si>
    <t>6/12/2018 12:00:00 a. m.</t>
  </si>
  <si>
    <t>31/12/2018 12:00:00 a. m.</t>
  </si>
  <si>
    <t>3/04/2019 12:00:00 a. m.</t>
  </si>
  <si>
    <t>4/04/2019 12:00:00 a. m.</t>
  </si>
  <si>
    <t>11/06/2019 12:00:00 a. m.</t>
  </si>
  <si>
    <t>18/06/2019 12:00:00 a. m.</t>
  </si>
  <si>
    <t>="VENTILADOR DE PARED 18" COLOR BLANCO"</t>
  </si>
  <si>
    <t>17/06/2019 12:00:00 a. m.</t>
  </si>
  <si>
    <t>="VENTILADOR DE PIE 18" COLOR BLANCO"</t>
  </si>
  <si>
    <t>15/08/2019 12:00:00 a. m.</t>
  </si>
  <si>
    <t>16/08/2019 12:00:00 a. m.</t>
  </si>
  <si>
    <t>21/08/2019 12:00:00 a. m.</t>
  </si>
  <si>
    <t>30/08/2019 12:00:00 a. m.</t>
  </si>
  <si>
    <t>5/09/2019 12:00:00 a. m.</t>
  </si>
  <si>
    <t>18/10/2019 12:00:00 a. m.</t>
  </si>
  <si>
    <t>14/11/2019 12:00:00 a. m.</t>
  </si>
  <si>
    <t>18/11/2019 12:00:00 a. m.</t>
  </si>
  <si>
    <t>26/11/2019 12:00:00 a. m.</t>
  </si>
  <si>
    <t>29/11/2019 12:00:00 a. m.</t>
  </si>
  <si>
    <t>30/03/2020 12:00:00 a. m.</t>
  </si>
  <si>
    <t>26/04/2020 12:00:00 a. m.</t>
  </si>
  <si>
    <t>6/04/2020 12:00:00 a. m.</t>
  </si>
  <si>
    <t>16/06/2020 12:00:00 a. m.</t>
  </si>
  <si>
    <t>17/06/2020 12:00:00 a. m.</t>
  </si>
  <si>
    <t>14/07/2020 12:00:00 a. m.</t>
  </si>
  <si>
    <t>24/07/2020 12:00:00 a. m.</t>
  </si>
  <si>
    <t>27/07/2020 12:00:00 a. m.</t>
  </si>
  <si>
    <t>3/08/2020 12:00:00 a. m.</t>
  </si>
  <si>
    <t>10/08/2020 12:00:00 a. m.</t>
  </si>
  <si>
    <t>13/08/2020 12:00:00 a. m.</t>
  </si>
  <si>
    <t>20/08/2020 12:00:00 a. m.</t>
  </si>
  <si>
    <t>31/08/2020 12:00:00 a. m.</t>
  </si>
  <si>
    <t>8/09/2020 12:00:00 a. m.</t>
  </si>
  <si>
    <t>5/09/2020 12:00:00 a. m.</t>
  </si>
  <si>
    <t>17/09/2020 12:00:00 a. m.</t>
  </si>
  <si>
    <t>30/11/2020 12:00:00 a. m.</t>
  </si>
  <si>
    <t>9/12/2020 12:00:00 a. m.</t>
  </si>
  <si>
    <t>14/01/2021 12:00:00 a. m.</t>
  </si>
  <si>
    <t>24/03/2021 12:00:00 a. m.</t>
  </si>
  <si>
    <t>23/04/2021 12:00:00 a. m.</t>
  </si>
  <si>
    <t>="COMPUTADOR TODO EN UNO HP AIO 200 G4 21.5" NT diagonal HD+ anti-glare WLED-backlit 200 G4 AiO  Intel® Core™ i5-10210U 10ma generación), Disco Duro 240 S"</t>
  </si>
  <si>
    <t>25/05/2021 12:00:00 a. m.</t>
  </si>
  <si>
    <t>19/07/2021 12:00:00 a. m.</t>
  </si>
  <si>
    <t>17/12/2021 12:00:00 a. m.</t>
  </si>
  <si>
    <t>3/02/2022 12:00:00 a. m.</t>
  </si>
  <si>
    <t>17/02/2022 12:00:00 a. m.</t>
  </si>
  <si>
    <t>21/04/2022 12:00:00 a. m.</t>
  </si>
  <si>
    <t>29/04/2022 12:00:00 a. m.</t>
  </si>
  <si>
    <t>24/11/2022 12:00:00 a. m.</t>
  </si>
  <si>
    <t>29/05/2023 12:00:00 a. m.</t>
  </si>
  <si>
    <t>17/06/2023 12:00:00 a. m.</t>
  </si>
  <si>
    <t>5/07/2023 12:00:00 a. m.</t>
  </si>
  <si>
    <t>14/07/2023 12:00:00 a. m.</t>
  </si>
  <si>
    <t>6/10/2023 12:00:00 a. m.</t>
  </si>
  <si>
    <t>28/11/2023 12:00:00 a. m.</t>
  </si>
  <si>
    <t>11/12/2023 12:00:00 a. m.</t>
  </si>
  <si>
    <t>1/12/2023 12:00:00 a. m.</t>
  </si>
  <si>
    <t>19/12/2023 12:00:00 a. m.</t>
  </si>
  <si>
    <t>23/12/2014 12:00:00 a. m.</t>
  </si>
  <si>
    <t>28/10/2015 12:00:00 a. m.</t>
  </si>
  <si>
    <t>16/06/2016 7:43:37 a. m.</t>
  </si>
  <si>
    <t>14/03/2017 12:00:00 a. m.</t>
  </si>
  <si>
    <t>27/04/2017 12:00:00 a. m.</t>
  </si>
  <si>
    <t>3/08/2018 12:00:00 a. m.</t>
  </si>
  <si>
    <t>22/10/2018 12:00:00 a. m.</t>
  </si>
  <si>
    <t>27/11/2018 12:00:00 a. m.</t>
  </si>
  <si>
    <t>16/09/2019 12:00:00 a. m.</t>
  </si>
  <si>
    <t>26/09/2019 12:00:00 a. m.</t>
  </si>
  <si>
    <t>31/12/2019 12:00:00 a. m.</t>
  </si>
  <si>
    <t>28/08/2020 12:00:00 a. m.</t>
  </si>
  <si>
    <t>8/04/2021 12:00:00 a. m.</t>
  </si>
  <si>
    <t>28/07/2021 12:00:00 a. m.</t>
  </si>
  <si>
    <t>12/12/2022 12:00:00 a. m.</t>
  </si>
  <si>
    <t>21/07/2014 12:00:00 a. m.</t>
  </si>
  <si>
    <t>15/12/2015 12:00:00 a. m.</t>
  </si>
  <si>
    <t>13/03/2012 12:00:00 a. m.</t>
  </si>
  <si>
    <t>23/10/2013 12:00:00 a. m.</t>
  </si>
  <si>
    <t>21/08/2014 12:00:00 a. m.</t>
  </si>
  <si>
    <t>17/07/2014 12:00:00 a. m.</t>
  </si>
  <si>
    <t>9/02/2011 12:00:00 a. m.</t>
  </si>
  <si>
    <t>17/06/2015 12:00:00 a. m.</t>
  </si>
  <si>
    <t>27/04/2015 12:00:00 a. m.</t>
  </si>
  <si>
    <t>10/02/2014 12:00:00 a. m.</t>
  </si>
  <si>
    <t>17/12/2015 12:00:00 a. m.</t>
  </si>
  <si>
    <t>25/04/2015 12:00:00 a. m.</t>
  </si>
  <si>
    <t>23/07/2014 12:00:00 a. m.</t>
  </si>
  <si>
    <t>22/09/2015 12:00:00 a. m.</t>
  </si>
  <si>
    <t>21/01/2013 12:00:00 a. m.</t>
  </si>
  <si>
    <t>17/06/2016 12:00:00 a. m.</t>
  </si>
  <si>
    <t>30/06/2016 12:00:00 a. m.</t>
  </si>
  <si>
    <t>25/06/2016 12:00:00 a. m.</t>
  </si>
  <si>
    <t>23/08/2016 12:00:00 a. m.</t>
  </si>
  <si>
    <t>15/03/2017 12:00:00 a. m.</t>
  </si>
  <si>
    <t>10/08/2017 9:37:30 a. m.</t>
  </si>
  <si>
    <t>15/11/2017 12:00:00 a. m.</t>
  </si>
  <si>
    <t>19/01/2018 12:00:00 a. m.</t>
  </si>
  <si>
    <t>="TELEVISOR HYUNDAI LED 32" SERIAL HYLED3234D1709002433 3 piso Torre B (DONACION)"</t>
  </si>
  <si>
    <t>28/09/2018 9:01:10 a. m.</t>
  </si>
  <si>
    <t>27/09/2018 12:00:00 a. m.</t>
  </si>
  <si>
    <t>26/09/2018 12:00:00 a. m.</t>
  </si>
  <si>
    <t>15/11/2018 12:00:00 a. m.</t>
  </si>
  <si>
    <t>11/07/2019 12:00:00 a. m.</t>
  </si>
  <si>
    <t>6/09/2019 12:00:00 a. m.</t>
  </si>
  <si>
    <t>8/06/2020 12:00:00 a. m.</t>
  </si>
  <si>
    <t>22/10/2020 12:00:00 a. m.</t>
  </si>
  <si>
    <t>14/10/2020 12:00:00 a. m.</t>
  </si>
  <si>
    <t>6/11/2020 12:00:00 a. m.</t>
  </si>
  <si>
    <t>6/11/2020 3:04:39 p. m.</t>
  </si>
  <si>
    <t>="Filtro HEPA de 99,99% de asepsia en marco metálico de 24"x48"x11+1/2" caida de presión estática inicial de 1,4" terminal de 2,2""</t>
  </si>
  <si>
    <t>9/06/2021 12:00:00 a. m.</t>
  </si>
  <si>
    <t>23/11/2021 12:00:00 a. m.</t>
  </si>
  <si>
    <t>29/03/2022 12:00:00 a. m.</t>
  </si>
  <si>
    <t>22/04/2022 12:00:00 a. m.</t>
  </si>
  <si>
    <t>26/12/2022 12:00:00 a. m.</t>
  </si>
  <si>
    <t>9/06/2023 12:00:00 a. m.</t>
  </si>
  <si>
    <t>10/12/2023 12:00:00 a. m.</t>
  </si>
  <si>
    <t>28/12/2023 12:00:00 a. m.</t>
  </si>
  <si>
    <t>21/04/2022 11:36:13 a. m.</t>
  </si>
  <si>
    <t>31/03/2017 12:00:00 a. m.</t>
  </si>
  <si>
    <t>="CONVERTIBLE LENOVO FLEX 14 " (PORTATIL)"</t>
  </si>
  <si>
    <t>31/03/2015 12:00:00 a. m.</t>
  </si>
  <si>
    <t>27/02/2014 12:00:00 a. m.</t>
  </si>
  <si>
    <t>28/04/2014 12:00:00 a. m.</t>
  </si>
  <si>
    <t>7/10/2014 12:00:00 a. m.</t>
  </si>
  <si>
    <t>18/09/2012 12:00:00 a. m.</t>
  </si>
  <si>
    <t>24/11/2015 12:00:00 a. m.</t>
  </si>
  <si>
    <t>30/11/2016 11:51:30 a. m.</t>
  </si>
  <si>
    <t>3/11/2016 12:00:00 a. m.</t>
  </si>
  <si>
    <t>29/11/2016 12:00:00 a. m.</t>
  </si>
  <si>
    <t>="MONITOR MULTIPARAMETROS TOUCH SCREEN 8.4" ECG.NIBP, SPO2, 2 TEMP.INCLUYE ACCESORIOS ADULTO Y BATERIA LITIO (SENSOR DE T° OPCIONAL)"</t>
  </si>
  <si>
    <t>30/11/2016 12:00:00 a. m.</t>
  </si>
  <si>
    <t>28/11/2016 12:00:00 a. m.</t>
  </si>
  <si>
    <t>27/12/2017 12:00:00 a. m.</t>
  </si>
  <si>
    <t>="CAMARA IP 2 MEGAPIXEL CMOS ICR INFRARED CAMERE LENTE 4mm@ F2.0, ANGLE OF VIEW:85" MARCA HKVISION"</t>
  </si>
  <si>
    <t>10/04/2018 4:33:14 p. m.</t>
  </si>
  <si>
    <t>21/12/2018 12:00:00 a. m.</t>
  </si>
  <si>
    <t>29/07/2019 12:00:00 a. m.</t>
  </si>
  <si>
    <t>31/07/2019 12:00:00 a. m.</t>
  </si>
  <si>
    <t>31/07/2019 9:48:48 a. m.</t>
  </si>
  <si>
    <t>13/08/2019 12:00:00 a. m.</t>
  </si>
  <si>
    <t>10/09/2019 12:00:00 a. m.</t>
  </si>
  <si>
    <t>11/10/2019 12:00:00 a. m.</t>
  </si>
  <si>
    <t>18/12/2019 12:00:00 a. m.</t>
  </si>
  <si>
    <t>6/05/2020 12:00:00 a. m.</t>
  </si>
  <si>
    <t>21/05/2020 12:00:00 a. m.</t>
  </si>
  <si>
    <t>10/10/2020 12:00:00 a. m.</t>
  </si>
  <si>
    <t>20/11/2020 12:00:00 a. m.</t>
  </si>
  <si>
    <t>7/09/2021 12:00:00 a. m.</t>
  </si>
  <si>
    <t>7/09/2021 1:57:11 p. m.</t>
  </si>
  <si>
    <t>12/09/2022 12:00:00 a. m.</t>
  </si>
  <si>
    <t>23/11/2022 12:00:00 a. m.</t>
  </si>
  <si>
    <t>16/03/2010 12:00:00 a. m.</t>
  </si>
  <si>
    <t>6/03/2012 12:00:00 a. m.</t>
  </si>
  <si>
    <t>22/09/2017 12:00:00 a. m.</t>
  </si>
  <si>
    <t>12/10/2017 12:00:00 a. m.</t>
  </si>
  <si>
    <t>29/12/2017 10:07:55 a. m.</t>
  </si>
  <si>
    <t>12/06/2018 12:00:00 a. m.</t>
  </si>
  <si>
    <t>1/11/2018 12:00:00 a. m.</t>
  </si>
  <si>
    <t>8/11/2018 12:00:00 a. m.</t>
  </si>
  <si>
    <t>17/11/2018 12:00:00 a. m.</t>
  </si>
  <si>
    <t>20/11/2018 12:00:00 a. m.</t>
  </si>
  <si>
    <t>24/12/2018 12:00:00 a. m.</t>
  </si>
  <si>
    <t>21/09/2019 12:00:00 a. m.</t>
  </si>
  <si>
    <t>7/11/2019 12:00:00 a. m.</t>
  </si>
  <si>
    <t>30/12/2019 12:00:00 a. m.</t>
  </si>
  <si>
    <t>10/03/2020 12:00:00 a. m.</t>
  </si>
  <si>
    <t>28/05/2020 12:00:00 a. m.</t>
  </si>
  <si>
    <t>13/12/2023 3:22:26 p. m.</t>
  </si>
  <si>
    <t>30/11/2010 12:00:00 a. m.</t>
  </si>
  <si>
    <t>24/12/2015 12:00:00 a. m.</t>
  </si>
  <si>
    <t>12/04/2012 12:00:00 a. m.</t>
  </si>
  <si>
    <t>11/10/2010 12:00:00 a. m.</t>
  </si>
  <si>
    <t>30/08/2010 12:00:00 a. m.</t>
  </si>
  <si>
    <t>27/06/2016 12:00:00 a. m.</t>
  </si>
  <si>
    <t>25/07/2016 12:00:00 a. m.</t>
  </si>
  <si>
    <t>4/11/2016 12:00:00 a. m.</t>
  </si>
  <si>
    <t>17/12/2016 10:05:23 a. m.</t>
  </si>
  <si>
    <t>31/07/2017 12:00:00 a. m.</t>
  </si>
  <si>
    <t>20/09/2017 12:00:00 a. m.</t>
  </si>
  <si>
    <t>20/09/2017 11:25:21 a. m.</t>
  </si>
  <si>
    <t>8/06/2018 10:24:44 a. m.</t>
  </si>
  <si>
    <t>28/06/2018 12:00:00 a. m.</t>
  </si>
  <si>
    <t>19/11/2018 12:00:00 a. m.</t>
  </si>
  <si>
    <t>2/04/2019 12:00:00 a. m.</t>
  </si>
  <si>
    <t>2/04/2019 9:26:17 a. m.</t>
  </si>
  <si>
    <t>="HP INTEL 240, I5, 4gb RAM, 14", WIN"</t>
  </si>
  <si>
    <t>11/11/2019 12:00:00 a. m.</t>
  </si>
  <si>
    <t>13/07/2020 12:00:00 a. m.</t>
  </si>
  <si>
    <t>12/08/2020 12:00:00 a. m.</t>
  </si>
  <si>
    <t>="SM-T500NZAACOO_B SAMSUNGTABLETS Tablet Samsung  Galaxy Tab A7 10.4" WIFI – 3GB/32GB – Gris 12 MESES"</t>
  </si>
  <si>
    <t>19/02/2021 12:00:00 a. m.</t>
  </si>
  <si>
    <t>29/03/2021 12:00:00 a. m.</t>
  </si>
  <si>
    <t>10/08/2021 12:00:00 a. m.</t>
  </si>
  <si>
    <t>11/09/2021 12:00:00 a. m.</t>
  </si>
  <si>
    <t>22/03/2023 12:00:00 a. m.</t>
  </si>
  <si>
    <t>30/03/2023 12:00:00 a. m.</t>
  </si>
  <si>
    <t>31/07/2014 12:00:00 a. m.</t>
  </si>
  <si>
    <t>25/05/2012 12:00:00 a. m.</t>
  </si>
  <si>
    <t>30/12/2015 12:00:00 a. m.</t>
  </si>
  <si>
    <t>12/09/2014 12:00:00 a. m.</t>
  </si>
  <si>
    <t>4/12/2015 12:00:00 a. m.</t>
  </si>
  <si>
    <t>2/08/2013 12:00:00 a. m.</t>
  </si>
  <si>
    <t>31/05/2011 12:00:00 a. m.</t>
  </si>
  <si>
    <t>30/09/2014 12:00:00 a. m.</t>
  </si>
  <si>
    <t>30/09/2015 12:00:00 a. m.</t>
  </si>
  <si>
    <t>10/02/2015 12:00:00 a. m.</t>
  </si>
  <si>
    <t>22/10/2015 12:00:00 a. m.</t>
  </si>
  <si>
    <t>19/02/2015 12:00:00 a. m.</t>
  </si>
  <si>
    <t>18/05/2016 12:00:00 a. m.</t>
  </si>
  <si>
    <t>18/06/2016 12:00:00 a. m.</t>
  </si>
  <si>
    <t>10/03/2017 12:00:00 a. m.</t>
  </si>
  <si>
    <t>28/12/2016 12:00:00 a. m.</t>
  </si>
  <si>
    <t>30/06/2017 12:00:00 a. m.</t>
  </si>
  <si>
    <t>2/10/2017 12:00:00 a. m.</t>
  </si>
  <si>
    <t>13/10/2017 12:00:00 a. m.</t>
  </si>
  <si>
    <t>17/11/2017 12:00:00 a. m.</t>
  </si>
  <si>
    <t>31/01/2018 12:00:00 a. m.</t>
  </si>
  <si>
    <t>3/08/2018 10:04:45 a. m.</t>
  </si>
  <si>
    <t>15/08/2018 12:29:20 p. m.</t>
  </si>
  <si>
    <t>10/10/2018 12:00:00 a. m.</t>
  </si>
  <si>
    <t>10/12/2018 12:00:00 a. m.</t>
  </si>
  <si>
    <t>17/12/2018 12:00:00 a. m.</t>
  </si>
  <si>
    <t>12/12/2018 12:00:00 a. m.</t>
  </si>
  <si>
    <t>27/12/2018 12:00:00 a. m.</t>
  </si>
  <si>
    <t>24/12/2018 2:25:43 p. m.</t>
  </si>
  <si>
    <t>30/07/2019 12:00:00 a. m.</t>
  </si>
  <si>
    <t>28/08/2019 12:00:00 a. m.</t>
  </si>
  <si>
    <t>23/09/2019 12:00:00 a. m.</t>
  </si>
  <si>
    <t>23/09/2019 1:08:38 p. m.</t>
  </si>
  <si>
    <t>28/12/2019 12:00:00 a. m.</t>
  </si>
  <si>
    <t>31/12/2020 12:00:00 a. m.</t>
  </si>
  <si>
    <t>26/02/2020 12:00:00 a. m.</t>
  </si>
  <si>
    <t>16/03/2020 12:00:00 a. m.</t>
  </si>
  <si>
    <t>3/04/2020 12:00:00 a. m.</t>
  </si>
  <si>
    <t>13/04/2020 12:00:00 a. m.</t>
  </si>
  <si>
    <t>7/05/2020 12:00:00 a. m.</t>
  </si>
  <si>
    <t>16/07/2020 12:00:00 a. m.</t>
  </si>
  <si>
    <t>22/07/2020 12:00:00 a. m.</t>
  </si>
  <si>
    <t>10/08/2020 11:13:49 a. m.</t>
  </si>
  <si>
    <t>25/08/2020 12:00:00 a. m.</t>
  </si>
  <si>
    <t>7/09/2020 12:00:00 a. m.</t>
  </si>
  <si>
    <t>="CAMARA IP 2 MP CMOS ICR INFRARED LENTE 4mm@ F2.0, ANGLE OF VIEW:85" BALA MARCA HKVISION"</t>
  </si>
  <si>
    <t>2/10/2020 12:00:00 a. m.</t>
  </si>
  <si>
    <t>19/10/2020 12:00:00 a. m.</t>
  </si>
  <si>
    <t>24/10/2020 12:00:00 a. m.</t>
  </si>
  <si>
    <t>26/11/2020 12:00:00 a. m.</t>
  </si>
  <si>
    <t>8/06/2021 12:00:00 a. m.</t>
  </si>
  <si>
    <t>29/12/2021 12:00:00 a. m.</t>
  </si>
  <si>
    <t>30/12/2021 12:00:00 a. m.</t>
  </si>
  <si>
    <t>9/02/2022 12:00:00 a. m.</t>
  </si>
  <si>
    <t>12/05/2023 12:00:00 a. m.</t>
  </si>
  <si>
    <t>4/10/2023 12:00:00 a. m.</t>
  </si>
  <si>
    <t>6/12/2023 12:00:00 a. m.</t>
  </si>
  <si>
    <t>21/12/2023 12:00:00 a. m.</t>
  </si>
  <si>
    <t>11/03/2024 12:00:00 a. m.</t>
  </si>
  <si>
    <t>11/03/2024 5:31:51 p. m.</t>
  </si>
  <si>
    <t>31/08/2023 10:03:49 a. m.</t>
  </si>
  <si>
    <t>20/03/2012 12:00:00 a. m.</t>
  </si>
  <si>
    <t>15/04/2014 12:00:00 a. m.</t>
  </si>
  <si>
    <t>23/09/2014 12:00:00 a. m.</t>
  </si>
  <si>
    <t>6/12/2013 12:00:00 a. m.</t>
  </si>
  <si>
    <t>21/07/2015 12:00:00 a. m.</t>
  </si>
  <si>
    <t>29/09/2016 12:00:00 a. m.</t>
  </si>
  <si>
    <t>27/03/2018 12:00:00 a. m.</t>
  </si>
  <si>
    <t>31/07/2018 12:00:00 a. m.</t>
  </si>
  <si>
    <t>31/07/2018 12:44:20 p. m.</t>
  </si>
  <si>
    <t>15/08/2018 1:44:52 p. m.</t>
  </si>
  <si>
    <t>23/08/2018 12:00:00 a. m.</t>
  </si>
  <si>
    <t>13/09/2018 3:12:20 p. m.</t>
  </si>
  <si>
    <t>="MONITOR M50 (Pantalla 8.4", 5 parametros)"</t>
  </si>
  <si>
    <t>="MONITOR FETAL F3 DUAL (Pantalla color 5,6".gemelar, no incluye bateria)"</t>
  </si>
  <si>
    <t>15/09/2018 12:00:00 a. m.</t>
  </si>
  <si>
    <t>19/12/2018 12:06:52 p. m.</t>
  </si>
  <si>
    <t>9/12/2018 12:00:00 a. m.</t>
  </si>
  <si>
    <t>30/09/2019 12:00:00 a. m.</t>
  </si>
  <si>
    <t>11/12/2019 12:00:00 a. m.</t>
  </si>
  <si>
    <t>31/01/2020 12:00:00 a. m.</t>
  </si>
  <si>
    <t>25/03/2020 12:00:00 a. m.</t>
  </si>
  <si>
    <t>8/07/2020 12:00:00 a. m.</t>
  </si>
  <si>
    <t>1/12/2020 12:00:00 a. m.</t>
  </si>
  <si>
    <t>7/04/2022 12:00:00 a. m.</t>
  </si>
  <si>
    <t>6/07/2022 12:00:00 a. m.</t>
  </si>
  <si>
    <t>27/10/2022 12:00:00 a. m.</t>
  </si>
  <si>
    <t>23/12/2016 12:00:00 a. m.</t>
  </si>
  <si>
    <t>2/12/2016 12:00:00 a. m.</t>
  </si>
  <si>
    <t>23/12/2016 2:21:22 p. m.</t>
  </si>
  <si>
    <t>24/12/2016 12:00:00 a. m.</t>
  </si>
  <si>
    <t>24/12/2016 9:54:09 a. m.</t>
  </si>
  <si>
    <t>26/12/2016 12:00:00 a. m.</t>
  </si>
  <si>
    <t>5/12/2016 12:00:00 a. m.</t>
  </si>
  <si>
    <t>31/01/2016 12:00:00 a. m.</t>
  </si>
  <si>
    <t>31/12/2016 9:51:03 a. m.</t>
  </si>
  <si>
    <t>31/12/2016 12:00:00 a. m.</t>
  </si>
  <si>
    <t>12/04/2016 11:05:37 a. m.</t>
  </si>
  <si>
    <t>31/12/2015 12:00:00 a. m.</t>
  </si>
  <si>
    <t>25/02/2015 12:00:00 a. m.</t>
  </si>
  <si>
    <t>28/06/2016 12:00:00 a. m.</t>
  </si>
  <si>
    <t>31/03/2018 4:16:30 p. m.</t>
  </si>
  <si>
    <t>14/06/2018 1:07:04 p. m.</t>
  </si>
  <si>
    <t>24/07/2018 11:57:07 a. m.</t>
  </si>
  <si>
    <t>26/12/2019 12:00:00 a. m.</t>
  </si>
  <si>
    <t>10/03/2022 12:00:00 a. m.</t>
  </si>
  <si>
    <t>16/03/2022 12:00:00 a. m.</t>
  </si>
  <si>
    <t>23/03/2022 12:00:00 a. m.</t>
  </si>
  <si>
    <t>23/08/2016 3:41:18 p. m.</t>
  </si>
  <si>
    <t>30/07/2016 12:00:00 a. m.</t>
  </si>
  <si>
    <t>30/08/2016 12:00:00 a. m.</t>
  </si>
  <si>
    <t>30/07/2015 12:00:00 a. m.</t>
  </si>
  <si>
    <t>30/01/2016 12:00:00 a. m.</t>
  </si>
  <si>
    <t>28/08/2017 12:00:00 a. m.</t>
  </si>
  <si>
    <t>1/09/2017 12:00:00 a. m.</t>
  </si>
  <si>
    <t>14/09/2017 12:00:00 a. m.</t>
  </si>
  <si>
    <t>26/09/2017 12:00:00 a. m.</t>
  </si>
  <si>
    <t>5/09/2017 12:00:00 a. m.</t>
  </si>
  <si>
    <t>9/11/2017 12:00:00 a. m.</t>
  </si>
  <si>
    <t>10/11/2017 12:00:00 a. m.</t>
  </si>
  <si>
    <t>28/06/2018 8:27:48 a. m.</t>
  </si>
  <si>
    <t>24/07/2018 12:00:00 a. m.</t>
  </si>
  <si>
    <t>30/07/2018 10:29:32 a. m.</t>
  </si>
  <si>
    <t>30/07/2018 12:00:00 a. m.</t>
  </si>
  <si>
    <t>4/10/2018 12:00:00 a. m.</t>
  </si>
  <si>
    <t>19/10/2018 12:00:00 a. m.</t>
  </si>
  <si>
    <t>24/10/2018 12:00:00 a. m.</t>
  </si>
  <si>
    <t>31/10/2018 12:00:00 a. m.</t>
  </si>
  <si>
    <t>31/10/2018 9:16:30 a. m.</t>
  </si>
  <si>
    <t>8/05/2020 12:00:00 a. m.</t>
  </si>
  <si>
    <t>6/10/2020 12:00:00 a. m.</t>
  </si>
  <si>
    <t>7/10/2020 12:00:00 a. m.</t>
  </si>
  <si>
    <t>26/11/2021 12:00:00 a. m.</t>
  </si>
  <si>
    <t>26/11/2021 9:00:26 a. m.</t>
  </si>
  <si>
    <t>17/03/2022 12:00:00 a. m.</t>
  </si>
  <si>
    <t>22/06/2022 12:00:00 a. m.</t>
  </si>
  <si>
    <t>24/05/2022 12:00:00 a. m.</t>
  </si>
  <si>
    <t>13/09/2022 12:00:00 a. m.</t>
  </si>
  <si>
    <t>13/09/2022 10:36:11 a. m.</t>
  </si>
  <si>
    <t>24/09/2022 12:00:00 a. m.</t>
  </si>
  <si>
    <t>7/10/2022 12:00:00 a. m.</t>
  </si>
  <si>
    <t>22/12/2022 12:00:00 a. m.</t>
  </si>
  <si>
    <t>24/11/2023 12:00:00 a. m.</t>
  </si>
  <si>
    <t>15/03/2024 12:00:00 a. m.</t>
  </si>
  <si>
    <t>15/03/2024 4:30:51 p. m.</t>
  </si>
  <si>
    <t>22/04/2024 12:00:00 a. m.</t>
  </si>
  <si>
    <t>12/02/2010 12:00:00 a. m.</t>
  </si>
  <si>
    <t>6/06/2012 12:00:00 a. m.</t>
  </si>
  <si>
    <t>30/04/2012 12:00:00 a. m.</t>
  </si>
  <si>
    <t>28/07/2014 12:00:00 a. m.</t>
  </si>
  <si>
    <t>25/06/2012 12:00:00 a. m.</t>
  </si>
  <si>
    <t>5/12/2014 12:00:00 a. m.</t>
  </si>
  <si>
    <t>24/04/2015 12:00:00 a. m.</t>
  </si>
  <si>
    <t>16/07/2010 12:00:00 a. m.</t>
  </si>
  <si>
    <t>29/07/2011 12:00:00 a. m.</t>
  </si>
  <si>
    <t>24/05/2013 12:00:00 a. m.</t>
  </si>
  <si>
    <t>25/07/2014 12:00:00 a. m.</t>
  </si>
  <si>
    <t>8/02/2011 12:00:00 a. m.</t>
  </si>
  <si>
    <t>28/02/2011 12:00:00 a. m.</t>
  </si>
  <si>
    <t>30/12/2010 12:00:00 a. m.</t>
  </si>
  <si>
    <t>18/05/2012 12:00:00 a. m.</t>
  </si>
  <si>
    <t>27/10/2015 12:00:00 a. m.</t>
  </si>
  <si>
    <t>24/01/2013 12:00:00 a. m.</t>
  </si>
  <si>
    <t>11/03/2010 12:00:00 a. m.</t>
  </si>
  <si>
    <t>12/12/2013 12:00:00 a. m.</t>
  </si>
  <si>
    <t>26/12/2013 12:00:00 a. m.</t>
  </si>
  <si>
    <t>22/07/2014 12:00:00 a. m.</t>
  </si>
  <si>
    <t>23/12/2013 12:00:00 a. m.</t>
  </si>
  <si>
    <t>26/04/2010 12:00:00 a. m.</t>
  </si>
  <si>
    <t>27/02/2010 12:00:00 a. m.</t>
  </si>
  <si>
    <t>29/09/2016 1:24:22 p. m.</t>
  </si>
  <si>
    <t>10/08/2016 12:00:00 a. m.</t>
  </si>
  <si>
    <t>10/08/2016 9:13:44 a. m.</t>
  </si>
  <si>
    <t>12/08/2016 12:00:00 a. m.</t>
  </si>
  <si>
    <t>28/10/2016 12:00:00 a. m.</t>
  </si>
  <si>
    <t>24/05/2018 12:00:00 a. m.</t>
  </si>
  <si>
    <t>25/05/2018 12:00:00 a. m.</t>
  </si>
  <si>
    <t>27/07/2018 12:00:00 a. m.</t>
  </si>
  <si>
    <t>13/08/2018 12:00:00 a. m.</t>
  </si>
  <si>
    <t>17/08/2018 12:00:00 a. m.</t>
  </si>
  <si>
    <t>12/10/2018 12:00:00 a. m.</t>
  </si>
  <si>
    <t>31/12/2018 3:11:33 p. m.</t>
  </si>
  <si>
    <t>31/08/2019 12:00:00 a. m.</t>
  </si>
  <si>
    <t>1/07/2019 12:00:00 a. m.</t>
  </si>
  <si>
    <t>12/09/2019 12:00:00 a. m.</t>
  </si>
  <si>
    <t>26/09/2019 11:23:53 a. m.</t>
  </si>
  <si>
    <t>18/11/2019 11:40:50 a. m.</t>
  </si>
  <si>
    <t>30/11/2019 12:00:00 a. m.</t>
  </si>
  <si>
    <t>22/11/2019 12:00:00 a. m.</t>
  </si>
  <si>
    <t>12/12/2019 12:00:00 a. m.</t>
  </si>
  <si>
    <t>24/01/2020 12:00:00 a. m.</t>
  </si>
  <si>
    <t>24/12/2019 12:00:00 a. m.</t>
  </si>
  <si>
    <t>24/02/2020 12:00:00 a. m.</t>
  </si>
  <si>
    <t>6/03/2020 12:00:00 a. m.</t>
  </si>
  <si>
    <t>27/03/2020 12:00:00 a. m.</t>
  </si>
  <si>
    <t>26/03/2020 12:00:00 a. m.</t>
  </si>
  <si>
    <t>7/04/2020 12:00:00 a. m.</t>
  </si>
  <si>
    <t>17/04/2020 12:00:00 a. m.</t>
  </si>
  <si>
    <t>23/04/2020 12:00:00 a. m.</t>
  </si>
  <si>
    <t>28/04/2020 12:00:00 a. m.</t>
  </si>
  <si>
    <t>26/05/2020 12:00:00 a. m.</t>
  </si>
  <si>
    <t>18/06/2020 12:00:00 a. m.</t>
  </si>
  <si>
    <t>26/06/2020 12:00:00 a. m.</t>
  </si>
  <si>
    <t>8/09/2020 2:41:56 p. m.</t>
  </si>
  <si>
    <t>16/09/2020 12:00:00 a. m.</t>
  </si>
  <si>
    <t>9/10/2020 12:00:00 a. m.</t>
  </si>
  <si>
    <t>17/12/2020 12:00:00 a. m.</t>
  </si>
  <si>
    <t>22/12/2020 12:00:00 a. m.</t>
  </si>
  <si>
    <t>12/08/2021 12:00:00 a. m.</t>
  </si>
  <si>
    <t>30/08/2021 12:00:00 a. m.</t>
  </si>
  <si>
    <t>4/09/2021 12:00:00 a. m.</t>
  </si>
  <si>
    <t>27/09/2021 12:00:00 a. m.</t>
  </si>
  <si>
    <t>9/07/2022 12:00:00 a. m.</t>
  </si>
  <si>
    <t>11/03/2015 12:00:00 a. m.</t>
  </si>
  <si>
    <t>4/05/2016 12:00:00 a. m.</t>
  </si>
  <si>
    <t>22/06/2016 12:00:00 a. m.</t>
  </si>
  <si>
    <t>28/02/2020 9:15:25 a. m.</t>
  </si>
  <si>
    <t>30/04/2020 12:00:00 a. m.</t>
  </si>
  <si>
    <t>25/06/2020 12:00:00 a. m.</t>
  </si>
  <si>
    <t>24/08/2020 12:00:00 a. m.</t>
  </si>
  <si>
    <t>31/08/2020 9:20:52 a. m.</t>
  </si>
  <si>
    <t>8/10/2020 12:00:00 a. m.</t>
  </si>
  <si>
    <t>9/11/2020 12:00:00 a. m.</t>
  </si>
  <si>
    <t>9/12/2020 12:25:40 p. m.</t>
  </si>
  <si>
    <t>26/12/2020 12:00:00 a. m.</t>
  </si>
  <si>
    <t>16/02/2021 12:00:00 a. m.</t>
  </si>
  <si>
    <t>21/01/2021 12:00:00 a. m.</t>
  </si>
  <si>
    <t>14/04/2021 12:00:00 a. m.</t>
  </si>
  <si>
    <t>9/06/2021 11:46:39 a. m.</t>
  </si>
  <si>
    <t>28/07/2021 9:25:34 a. m.</t>
  </si>
  <si>
    <t>30/07/2021 12:00:00 a. m.</t>
  </si>
  <si>
    <t>6/08/2021 12:00:00 a. m.</t>
  </si>
  <si>
    <t>11/09/2014 12:00:00 a. m.</t>
  </si>
  <si>
    <t>28/12/2011 12:00:00 a. m.</t>
  </si>
  <si>
    <t>28/12/2012 12:00:00 a. m.</t>
  </si>
  <si>
    <t>19/06/2012 12:00:00 a. m.</t>
  </si>
  <si>
    <t>18/06/2014 12:00:00 a. m.</t>
  </si>
  <si>
    <t>13/11/2015 12:00:00 a. m.</t>
  </si>
  <si>
    <t>29/07/2019 1:28:12 p. m.</t>
  </si>
  <si>
    <t>14/04/2020 12:00:00 a. m.</t>
  </si>
  <si>
    <t>8/09/2020 8:03:23 a. m.</t>
  </si>
  <si>
    <t>26/04/2017 12:00:00 a. m.</t>
  </si>
  <si>
    <t>30/12/2020 12:00:00 a. m.</t>
  </si>
  <si>
    <t>23/03/2021 12:00:00 a. m.</t>
  </si>
  <si>
    <t>23/06/2012 12:00:00 a. m.</t>
  </si>
  <si>
    <t>28/09/2015 12:00:00 a. m.</t>
  </si>
  <si>
    <t>20/04/2012 12:00:00 a. m.</t>
  </si>
  <si>
    <t>15/04/2016 12:00:00 a. m.</t>
  </si>
  <si>
    <t>20/05/2010 12:00:00 a. m.</t>
  </si>
  <si>
    <t>12/06/2017 9:46:21 a. m.</t>
  </si>
  <si>
    <t>15/06/2017 12:00:00 a. m.</t>
  </si>
  <si>
    <t>21/07/2017 12:00:00 a. m.</t>
  </si>
  <si>
    <t>14/11/2017 12:00:00 a. m.</t>
  </si>
  <si>
    <t>28/11/2017 12:00:00 a. m.</t>
  </si>
  <si>
    <t>8/05/2018 12:00:00 a. m.</t>
  </si>
  <si>
    <t>11/12/2018 2:47:47 p. m.</t>
  </si>
  <si>
    <t>20/12/2018 12:00:00 a. m.</t>
  </si>
  <si>
    <t>30/05/2019 12:00:00 a. m.</t>
  </si>
  <si>
    <t>12/05/2020 12:00:00 a. m.</t>
  </si>
  <si>
    <t>12/08/2022 12:00:00 a. m.</t>
  </si>
  <si>
    <t>28/12/2022 12:00:00 a. m.</t>
  </si>
  <si>
    <t>27/07/2023 12:00:00 a. m.</t>
  </si>
  <si>
    <t>26/10/2010 12:00:00 a. m.</t>
  </si>
  <si>
    <t>30/05/2014 12:00:00 a. m.</t>
  </si>
  <si>
    <t>16/07/2014 12:00:00 a. m.</t>
  </si>
  <si>
    <t>22/11/2011 12:00:00 a. m.</t>
  </si>
  <si>
    <t>22/12/2015 12:00:00 a. m.</t>
  </si>
  <si>
    <t>29/06/2010 12:00:00 a. m.</t>
  </si>
  <si>
    <t>3/09/2015 12:00:00 a. m.</t>
  </si>
  <si>
    <t>22/04/2015 12:00:00 a. m.</t>
  </si>
  <si>
    <t>21/06/2010 12:00:00 a. m.</t>
  </si>
  <si>
    <t>20/08/2010 12:00:00 a. m.</t>
  </si>
  <si>
    <t>26/11/2010 12:00:00 a. m.</t>
  </si>
  <si>
    <t>14/03/2015 12:00:00 a. m.</t>
  </si>
  <si>
    <t>25/01/2013 12:00:00 a. m.</t>
  </si>
  <si>
    <t>9/07/2016 12:00:00 a. m.</t>
  </si>
  <si>
    <t>="TELEVISOR LED 40" SMARTHD"</t>
  </si>
  <si>
    <t>10/03/2017 2:29:55 p. m.</t>
  </si>
  <si>
    <t>20/12/2017 12:00:00 a. m.</t>
  </si>
  <si>
    <t>14/11/2018 12:00:00 a. m.</t>
  </si>
  <si>
    <t>14/05/2019 12:00:00 a. m.</t>
  </si>
  <si>
    <t>25/07/2019 12:00:00 a. m.</t>
  </si>
  <si>
    <t>4/09/2019 12:00:00 a. m.</t>
  </si>
  <si>
    <t>5/11/2019 11:06:07 a. m.</t>
  </si>
  <si>
    <t>4/09/2020 12:00:00 a. m.</t>
  </si>
  <si>
    <t>28/01/2022 10:52:49 a. m.</t>
  </si>
  <si>
    <t>11/05/2022 12:00:00 a. m.</t>
  </si>
  <si>
    <t>18/10/2023 4:40:28 p. m.</t>
  </si>
  <si>
    <t>27/02/2015 12:00:00 a. m.</t>
  </si>
  <si>
    <t>30/06/2014 12:00:00 a. m.</t>
  </si>
  <si>
    <t>22/06/2015 12:00:00 a. m.</t>
  </si>
  <si>
    <t>18/08/2015 12:00:00 a. m.</t>
  </si>
  <si>
    <t>14/08/2014 12:00:00 a. m.</t>
  </si>
  <si>
    <t>21/04/2015 12:00:00 a. m.</t>
  </si>
  <si>
    <t>29/12/2016 12:00:00 a. m.</t>
  </si>
  <si>
    <t>28/06/2017 3:58:01 p. m.</t>
  </si>
  <si>
    <t>27/06/2017 12:00:00 a. m.</t>
  </si>
  <si>
    <t>28/09/2017 11:14:44 a. m.</t>
  </si>
  <si>
    <t>5/10/2017 12:00:00 a. m.</t>
  </si>
  <si>
    <t>26/12/2018 12:00:00 a. m.</t>
  </si>
  <si>
    <t>23/01/2019 12:00:00 a. m.</t>
  </si>
  <si>
    <t>27/11/2019 12:00:00 a. m.</t>
  </si>
  <si>
    <t>13/12/2019 12:00:00 a. m.</t>
  </si>
  <si>
    <t>23/09/2020 12:00:00 a. m.</t>
  </si>
  <si>
    <t>2/02/2021 12:00:00 a. m.</t>
  </si>
  <si>
    <t>2/02/2021 8:32:52 a. m.</t>
  </si>
  <si>
    <t>14/09/2023 12:00:00 a. m.</t>
  </si>
  <si>
    <t>5/12/2023 12:00:00 a. m.</t>
  </si>
  <si>
    <t>5/02/2015 12:00:00 a. m.</t>
  </si>
  <si>
    <t>16/06/2017 12:00:00 a. m.</t>
  </si>
  <si>
    <t>21/09/2021 12:00:00 a. m.</t>
  </si>
  <si>
    <t>11/07/2014 12:00:00 a. m.</t>
  </si>
  <si>
    <t>30/07/2018 2:41:27 p. m.</t>
  </si>
  <si>
    <t>28/11/2019 4:57:47 p. m.</t>
  </si>
  <si>
    <t>5/04/2022 12:00:00 a. m.</t>
  </si>
  <si>
    <t>31/08/2022 12:00:00 a. m.</t>
  </si>
  <si>
    <t>30/04/2024 12:00:00 a. m.</t>
  </si>
  <si>
    <t>9/03/2016 5:32:45 p. m.</t>
  </si>
  <si>
    <t>25/05/2016 12:00:00 a. m.</t>
  </si>
  <si>
    <t>27/05/2016 12:00:00 a. m.</t>
  </si>
  <si>
    <t>27/05/2016 11:01:46 a. m.</t>
  </si>
  <si>
    <t>26/06/2018 12:00:00 a. m.</t>
  </si>
  <si>
    <t>7/06/2018 12:00:00 a. m.</t>
  </si>
  <si>
    <t>8/12/2018 12:00:00 a. m.</t>
  </si>
  <si>
    <t>28/11/2018 12:00:00 a. m.</t>
  </si>
  <si>
    <t>30/11/2018 10:54:46 a. m.</t>
  </si>
  <si>
    <t>13/12/2018 12:00:00 a. m.</t>
  </si>
  <si>
    <t>="MUBLE FIJO PARA MATERIALES, INSUMOS Y ROPA LIMPIA ("2,96 METROS DE ANCHO, 60 CMS DE PROFUNDIDAD Y 2,10 METROS DE ALTO. DIVIDIDO EN 3 CUERPOS EQUIDISTANTES. CADA DIVISÓN CON ENTREPAÑOS (5) DE 35 CMS DE SEPARACIÓN. CON PUERTA CORREDISA")"</t>
  </si>
  <si>
    <t>20/12/2018 9:32:19 a. m.</t>
  </si>
  <si>
    <t>19/12/2018 12:00:00 a. m.</t>
  </si>
  <si>
    <t>29/01/2019 12:00:00 a. m.</t>
  </si>
  <si>
    <t>14/10/2021 12:00:00 a. m.</t>
  </si>
  <si>
    <t>19/01/2022 12:00:00 a. m.</t>
  </si>
  <si>
    <t>28/01/2022 12:00:00 a. m.</t>
  </si>
  <si>
    <t>6/09/2022 12:00:00 a. m.</t>
  </si>
  <si>
    <t>="CAMINADORA Y/O BANDA TROTADORA.PINTURA ELECTROSTATICA MOTOR DC 2.5HP, VALOCIDAD: 1.0-20 KM/H, INCLINACION: 0°-15, PANTALLA 7"LCD (VELOCIDAD, DISTANCIA, TIEMPO, CALORIAS, RITMO CARDIACO, INCLINACION) P"</t>
  </si>
  <si>
    <t>18/04/2023 12:00:00 a. m.</t>
  </si>
  <si>
    <t>2/12/2023 12:00:00 a. m.</t>
  </si>
  <si>
    <t>14/12/2023 12:00:00 a. m.</t>
  </si>
  <si>
    <t>29/04/2024 12:00:00 a. m.</t>
  </si>
  <si>
    <t>="TELÉFONO IP SECRETARIAL CON 6 LÍNEAS TELEFÓNICAS. DOBLE INTERFAZ DE RED 10/100/1000 MBPS CON PoE INTEGRADO. PANTALLA INTEGRADA TFT LCD CON LUZ DE FONDO DE 4.3". ALTAVOZ. QoS. FUENTE DE ALIMENTACIÓN. FUNCIONES DE RETENCIÓN, TRANSFERENCIA, REENVÍO, CONFER</t>
  </si>
  <si>
    <t>31/01/2019 12:00:00 a. m.</t>
  </si>
  <si>
    <t>27/10/2020 12:00:00 a. m.</t>
  </si>
  <si>
    <t>27/03/2013 12:00:00 a. m.</t>
  </si>
  <si>
    <t>19/09/2013 12:00:00 a. m.</t>
  </si>
  <si>
    <t>10/07/2016 12:00:00 a. m.</t>
  </si>
  <si>
    <t>27/10/2016 12:00:00 a. m.</t>
  </si>
  <si>
    <t>26/01/2018 2:16:53 p. m.</t>
  </si>
  <si>
    <t>10/06/2019 12:00:00 a. m.</t>
  </si>
  <si>
    <t>26/06/2019 12:00:00 a. m.</t>
  </si>
  <si>
    <t>15/07/2019 12:00:00 a. m.</t>
  </si>
  <si>
    <t>19/10/2021 12:00:00 a. m.</t>
  </si>
  <si>
    <t>9/10/2023 12:00:00 a. m.</t>
  </si>
  <si>
    <t>26/07/2019 12:00:00 a. m.</t>
  </si>
  <si>
    <t>10/05/2019 12:00:00 a. m.</t>
  </si>
  <si>
    <t>12/06/2019 12:00:00 a. m.</t>
  </si>
  <si>
    <t>14/06/2019 12:00:00 a. m.</t>
  </si>
  <si>
    <t>15/11/2019 12:00:00 a. m.</t>
  </si>
  <si>
    <t>17/12/2014 12:00:00 a. m.</t>
  </si>
  <si>
    <t>="COMPUTADOR DE ESCRITORIO MARCA LENOVO, INTEL CORE I5, MEMORIA 8GB, DISCO DURO 500GB, ETHERNET, PUERTO PARALELO, LECTOR MULTIPAREJA, MONITOR 18.5" LED LCD."</t>
  </si>
  <si>
    <t>27/12/2016 12:00:00 a. m.</t>
  </si>
  <si>
    <t>26/11/2019 1:46:26 p. m.</t>
  </si>
  <si>
    <t>13/08/2021 12:00:00 a. m.</t>
  </si>
  <si>
    <t>22/09/2021 12:00:00 a. m.</t>
  </si>
  <si>
    <t>14/12/2022 12:00:00 a. m.</t>
  </si>
  <si>
    <t>23/03/2023 12:00:00 a. m.</t>
  </si>
  <si>
    <t>26/12/2023 12:00:00 a. m.</t>
  </si>
  <si>
    <t>9/10/2014 12:00:00 a. m.</t>
  </si>
  <si>
    <t>22/08/2014 12:00:00 a. m.</t>
  </si>
  <si>
    <t>13/07/2016 12:00:00 a. m.</t>
  </si>
  <si>
    <t>="TELEVISOR SMAT TV -LED-4K DE 43""</t>
  </si>
  <si>
    <t>18/04/2018 12:00:00 a. m.</t>
  </si>
  <si>
    <t>18/04/2018 3:09:29 p. m.</t>
  </si>
  <si>
    <t>16/06/2020 2:37:46 p. m.</t>
  </si>
  <si>
    <t>30/05/2017 12:00:00 a. m.</t>
  </si>
  <si>
    <t>29/12/2014 12:00:00 a. m.</t>
  </si>
  <si>
    <t>3/10/2017 12:00:00 a. m.</t>
  </si>
  <si>
    <t>3/10/2017 7:39:02 a. m.</t>
  </si>
  <si>
    <t>30/11/2017 12:00:00 a. m.</t>
  </si>
  <si>
    <t>27/10/2018 12:00:00 a. m.</t>
  </si>
  <si>
    <t>29/05/2019 12:00:00 a. m.</t>
  </si>
  <si>
    <t>27/09/2023 12:00:00 a. m.</t>
  </si>
  <si>
    <t>3/10/2023 12:00:00 a. m.</t>
  </si>
  <si>
    <t>20/03/2015 12:00:00 a. m.</t>
  </si>
  <si>
    <t>6/05/2015 12:00:00 a. m.</t>
  </si>
  <si>
    <t>5/03/2015 12:00:00 a. m.</t>
  </si>
  <si>
    <t>18/03/2015 12:00:00 a. m.</t>
  </si>
  <si>
    <t>8/04/2016 12:00:00 a. m.</t>
  </si>
  <si>
    <t>14/07/2016 12:00:00 a. m.</t>
  </si>
  <si>
    <t>29/10/2016 12:00:00 a. m.</t>
  </si>
  <si>
    <t>27/10/2016 4:04:31 p. m.</t>
  </si>
  <si>
    <t>17/03/2017 12:00:00 a. m.</t>
  </si>
  <si>
    <t>21/07/2020 12:00:00 a. m.</t>
  </si>
  <si>
    <t>19/08/2020 12:00:00 a. m.</t>
  </si>
  <si>
    <t>3/10/2020 12:00:00 a. m.</t>
  </si>
  <si>
    <t>20/09/2021 12:00:00 a. m.</t>
  </si>
  <si>
    <t>10/12/2021 12:00:00 a. m.</t>
  </si>
  <si>
    <t>26/08/2022 12:00:00 a. m.</t>
  </si>
  <si>
    <t>25/11/2022 12:00:00 a. m.</t>
  </si>
  <si>
    <t>29/12/2022 12:00:00 a. m.</t>
  </si>
  <si>
    <t>15/10/2015 12:00:00 a. m.</t>
  </si>
  <si>
    <t>28/10/2020 12:00:00 a. m.</t>
  </si>
  <si>
    <t>13/10/2015 12:00:00 a. m.</t>
  </si>
  <si>
    <t>16/12/2015 12:00:00 a. m.</t>
  </si>
  <si>
    <t>20/10/2015 12:00:00 a. m.</t>
  </si>
  <si>
    <t>29/10/2015 12:00:00 a. m.</t>
  </si>
  <si>
    <t>18/11/2013 12:00:00 a. m.</t>
  </si>
  <si>
    <t>28/02/2018 4:30:50 p. m.</t>
  </si>
  <si>
    <t>5/11/2021 12:00:00 a. m.</t>
  </si>
  <si>
    <t>21/03/2012 12:00:00 a. m.</t>
  </si>
  <si>
    <t>17/08/2019 12:00:00 a. m.</t>
  </si>
  <si>
    <t>18/09/2020 12:00:00 a. m.</t>
  </si>
  <si>
    <t>13/05/2010 12:00:00 a. m.</t>
  </si>
  <si>
    <t>20/10/2010 12:00:00 a. m.</t>
  </si>
  <si>
    <t>25/07/2016 8:20:05 a. m.</t>
  </si>
  <si>
    <t>28/09/2016 12:00:00 a. m.</t>
  </si>
  <si>
    <t>="TELEVISOR LED DE 43 " MARCA SAMSUNG (DONACION)"</t>
  </si>
  <si>
    <t>26/11/2018 10:53:52 a. m.</t>
  </si>
  <si>
    <t>10/04/2019 12:00:00 a. m.</t>
  </si>
  <si>
    <t>18/11/2019 1:44:42 p. m.</t>
  </si>
  <si>
    <t>24/04/2022 12:00:00 a. m.</t>
  </si>
  <si>
    <t>12/05/2010 12:00:00 a. m.</t>
  </si>
  <si>
    <t>9/11/2016 12:00:00 a. m.</t>
  </si>
  <si>
    <t>26/04/2017 7:29:53 a. m.</t>
  </si>
  <si>
    <t>11/08/2017 12:00:00 a. m.</t>
  </si>
  <si>
    <t>17/12/2016 2:54:54 p. m.</t>
  </si>
  <si>
    <t>="MÓDULO DE RECEPTCIÓN EN "L" FABRICADO EN MADERA AGLOMERADA, TOTALMENTE ENCHAPADA EN GENERIKA HETRE."</t>
  </si>
  <si>
    <t>17/08/2016 12:00:00 a. m.</t>
  </si>
  <si>
    <t>16/08/2016 12:00:00 a. m.</t>
  </si>
  <si>
    <t>16/08/2016 10:45:33 a. m.</t>
  </si>
  <si>
    <t>1/09/2016 12:00:00 a. m.</t>
  </si>
  <si>
    <t>18/12/2016 12:00:00 a. m.</t>
  </si>
  <si>
    <t>12/07/2017 12:00:00 a. m.</t>
  </si>
  <si>
    <t>25/09/2019 12:00:00 a. m.</t>
  </si>
  <si>
    <t>17/02/2021 12:00:00 a. m.</t>
  </si>
  <si>
    <t>21/09/2022 12:00:00 a. m.</t>
  </si>
  <si>
    <t>28/08/2023 12:00:00 a. m.</t>
  </si>
  <si>
    <t>18/08/2016 12:00:00 a. m.</t>
  </si>
  <si>
    <t>27/11/2017 12:00:00 a. m.</t>
  </si>
  <si>
    <t>21/02/2022 12:00:00 a. m.</t>
  </si>
  <si>
    <t>28/07/2015 12:00:00 a. m.</t>
  </si>
  <si>
    <t>30/09/2010 12:00:00 a. m.</t>
  </si>
  <si>
    <t>25/05/2015 12:00:00 a. m.</t>
  </si>
  <si>
    <t>8/07/2016 11:18:41 a. m.</t>
  </si>
  <si>
    <t>15/11/2016 11:02:34 a. m.</t>
  </si>
  <si>
    <t>="KIOSCO DIGITURNO con Pantalla táctil de 15". Impresora térmica corte automático. Material en lámina coll rolled. Pintura electrostática. con PC Controlador. Inlcuye Licencia Software gestión de turnos y contenidos"</t>
  </si>
  <si>
    <t>="MONITOR INDUSTRIAL de 49" FHD. 16:9. 350 nit. Entrada HDMI, USB, VGA, AV. Incluye Base para instalación"</t>
  </si>
  <si>
    <t>27/02/2021 12:00:00 a. m.</t>
  </si>
  <si>
    <t>23/10/2020 12:00:00 a. m.</t>
  </si>
  <si>
    <t>22/11/2023 12:00:00 a. m.</t>
  </si>
  <si>
    <t>17/12/2016 11:09:44 a. m.</t>
  </si>
  <si>
    <t>10/03/2020 2:06:52 p. m.</t>
  </si>
  <si>
    <t>19/08/2020 11:50:16 a. m.</t>
  </si>
  <si>
    <t>5/11/2018 12:00:00 a. m.</t>
  </si>
  <si>
    <t>13/04/2019 12:00:00 a. m.</t>
  </si>
  <si>
    <t>12/08/2021 8:29:20 a. m.</t>
  </si>
  <si>
    <t>9/08/2016 12:00:00 a. m.</t>
  </si>
  <si>
    <t>13/03/2015 12:00:00 a. m.</t>
  </si>
  <si>
    <t>30/03/2015 12:00:00 a. m.</t>
  </si>
  <si>
    <t>28/02/2015 12:00:00 a. m.</t>
  </si>
  <si>
    <t>23/11/2015 12:00:00 a. m.</t>
  </si>
  <si>
    <t>6/07/2015 12:00:00 a. m.</t>
  </si>
  <si>
    <t>19/07/2017 11:42:28 a. m.</t>
  </si>
  <si>
    <t>29/08/2018 12:00:00 a. m.</t>
  </si>
  <si>
    <t>12/04/2021 12:00:00 a. m.</t>
  </si>
  <si>
    <t>12/04/2021 2:16:50 p. m.</t>
  </si>
  <si>
    <t>19/05/2014 12:00:00 a. m.</t>
  </si>
  <si>
    <t>23/12/2015 12:00:00 a. m.</t>
  </si>
  <si>
    <t>19/03/2015 12:00:00 a. m.</t>
  </si>
  <si>
    <t>10/07/2017 12:00:00 a. m.</t>
  </si>
  <si>
    <t>21/09/2018 12:00:00 a. m.</t>
  </si>
  <si>
    <t>="TRONZADORA 14" 2400W"</t>
  </si>
  <si>
    <t>29/12/2019 12:00:00 a. m.</t>
  </si>
  <si>
    <t>30/05/2020 12:00:00 a. m.</t>
  </si>
  <si>
    <t>19/07/2017 12:00:00 a. m.</t>
  </si>
  <si>
    <t>19/06/2018 12:00:00 a. m.</t>
  </si>
  <si>
    <t>9/06/2020 12:00:00 a. m.</t>
  </si>
  <si>
    <t>29/09/2017 12:00:00 a. m.</t>
  </si>
  <si>
    <t>9/07/2019 12:00:00 a. m.</t>
  </si>
  <si>
    <t>="ROTOMARTILLO SDS PLUS 1" DEWALT 7AMP"</t>
  </si>
  <si>
    <t>31/03/2021 12:00:00 a. m.</t>
  </si>
  <si>
    <t>6/04/2021 12:00:00 a. m.</t>
  </si>
  <si>
    <t>6/04/2021 7:23:58 a. m.</t>
  </si>
  <si>
    <t>31/07/2015 12:00:00 a. m.</t>
  </si>
  <si>
    <t>27/12/2012 12:00:00 a. m.</t>
  </si>
  <si>
    <t>30/07/2017 9:29:27 a. m.</t>
  </si>
  <si>
    <t>21/05/2018 12:00:00 a. m.</t>
  </si>
  <si>
    <t>11/08/2016 12:00:00 a. m.</t>
  </si>
  <si>
    <t>="TV 32" LED HD TDTD2 MARCA VISIVO GARANTIA POR UN AÑO REF: VTL-HD3230T2"</t>
  </si>
  <si>
    <t>21/11/2019 3:03:49 p. m.</t>
  </si>
  <si>
    <t>24/06/2021 12:00:00 a. m.</t>
  </si>
  <si>
    <t>5/08/2021 1:21:23 p. m.</t>
  </si>
  <si>
    <t>8/12/2021 12:00:00 a. m.</t>
  </si>
  <si>
    <t>9/10/2023 4:56:48 p. m.</t>
  </si>
  <si>
    <t>1/11/2023 12:00:00 a. m.</t>
  </si>
  <si>
    <t>15/11/2023 12:00:00 a. m.</t>
  </si>
  <si>
    <t>16/11/2023 12:00:00 a. m.</t>
  </si>
  <si>
    <t>27/12/2023 12:00:00 a. m.</t>
  </si>
  <si>
    <t>16/01/2024 12:00:00 a. m.</t>
  </si>
  <si>
    <t>18/01/2024 12:00:00 a. m.</t>
  </si>
  <si>
    <t>5/02/2024 12:00:00 a. m.</t>
  </si>
  <si>
    <t>14/02/2024 12:00:00 a. m.</t>
  </si>
  <si>
    <t>15/02/2024 12:00:00 a. m.</t>
  </si>
  <si>
    <t>13/02/2024 12:00:00 a. m.</t>
  </si>
  <si>
    <t>23/04/2024 12:00:00 a. m.</t>
  </si>
  <si>
    <t>9/12/2013 12:00:00 a. m.</t>
  </si>
  <si>
    <t>30/07/2010 12:00:00 a. m.</t>
  </si>
  <si>
    <t>12/12/2016 12:00:00 a. m.</t>
  </si>
  <si>
    <t>3/12/2018 12:00:00 a. m.</t>
  </si>
  <si>
    <t>11/08/2020 12:00:00 a. m.</t>
  </si>
  <si>
    <t>24/05/2017 12:00:00 a. m.</t>
  </si>
  <si>
    <t>22/06/2017 12:00:00 a. m.</t>
  </si>
  <si>
    <t>8/06/2018 12:00:00 a. m.</t>
  </si>
  <si>
    <t>28/09/2018 9:57:57 a. m.</t>
  </si>
  <si>
    <t>7/11/2018 12:00:00 a. m.</t>
  </si>
  <si>
    <t>7/12/2018 12:00:00 a. m.</t>
  </si>
  <si>
    <t>13/03/2020 12:00:00 a. m.</t>
  </si>
  <si>
    <t>9/08/2019 12:00:00 a. m.</t>
  </si>
  <si>
    <t>9/03/2016 6:47:08 p. m.</t>
  </si>
  <si>
    <t>9/03/2016 6:29:56 p. m.</t>
  </si>
  <si>
    <t>10/07/2015 12:00:00 a. m.</t>
  </si>
  <si>
    <t>8/10/2014 12:00:00 a. m.</t>
  </si>
  <si>
    <t>9/08/2011 12:00:00 a. m.</t>
  </si>
  <si>
    <t>30/06/2011 12:00:00 a. m.</t>
  </si>
  <si>
    <t>22/04/2016 12:00:00 a. m.</t>
  </si>
  <si>
    <t>17/06/2016 1:00:10 p. m.</t>
  </si>
  <si>
    <t>23/06/2016 12:00:00 a. m.</t>
  </si>
  <si>
    <t>2/11/2016 12:00:00 a. m.</t>
  </si>
  <si>
    <t>28/05/2019 12:00:00 a. m.</t>
  </si>
  <si>
    <t>4/06/2019 12:00:00 a. m.</t>
  </si>
  <si>
    <t>28/02/2020 12:00:00 a. m.</t>
  </si>
  <si>
    <t>3/07/2020 12:00:00 a. m.</t>
  </si>
  <si>
    <t>5/08/2020 12:00:00 a. m.</t>
  </si>
  <si>
    <t>6/08/2020 12:00:00 a. m.</t>
  </si>
  <si>
    <t>31/05/2020 12:00:00 a. m.</t>
  </si>
  <si>
    <t>11/09/2020 12:00:00 a. m.</t>
  </si>
  <si>
    <t>17/11/2020 2:31:41 p. m.</t>
  </si>
  <si>
    <t>24/10/2020 10:46:16 a. m.</t>
  </si>
  <si>
    <t>9/08/2017 12:00:00 a. m.</t>
  </si>
  <si>
    <t>22/01/2010 12:00:00 a. m.</t>
  </si>
  <si>
    <t>19/06/2016 12:00:00 a. m.</t>
  </si>
  <si>
    <t>20/06/2011 12:00:00 a. m.</t>
  </si>
  <si>
    <t>13/02/2018 12:00:00 a. m.</t>
  </si>
  <si>
    <t>26/03/2013 12:00:00 a. m.</t>
  </si>
  <si>
    <t>4/10/2017 12:00:00 a. m.</t>
  </si>
  <si>
    <t>21/09/2020 12:00:00 a. m.</t>
  </si>
  <si>
    <t>29/12/2021 12:30:29 p. m.</t>
  </si>
  <si>
    <t>9/07/2023 12:00:00 a. m.</t>
  </si>
  <si>
    <t>27/05/2016 8:32:37 a. m.</t>
  </si>
  <si>
    <t>22/06/2017 3:04:13 p. m.</t>
  </si>
  <si>
    <t>27/09/2022 12:00:00 a. m.</t>
  </si>
  <si>
    <t>4/04/2013 12:00:00 a. m.</t>
  </si>
  <si>
    <t>15/11/2016 12:00:00 a. m.</t>
  </si>
  <si>
    <t>11/11/2018 12:00:00 a. m.</t>
  </si>
  <si>
    <t>="CENTRAL SCADA DE EMERGENCIA Y PÁNICO Y TV DE 32""</t>
  </si>
  <si>
    <t>14/07/2020 11:10:41 a. m.</t>
  </si>
  <si>
    <t>1/09/2021 12:00:00 a. m.</t>
  </si>
  <si>
    <t>11/05/2016 12:00:00 a. m.</t>
  </si>
  <si>
    <t>22/08/2011 12:00:00 a. m.</t>
  </si>
  <si>
    <t>29/12/2015 12:00:00 a. m.</t>
  </si>
  <si>
    <t>17/07/2018 12:00:00 a. m.</t>
  </si>
  <si>
    <t>14/03/2013 12:00:00 a. m.</t>
  </si>
  <si>
    <t>2/05/2016 12:00:00 a. m.</t>
  </si>
  <si>
    <t>4/05/2016 8:08:20 a. m.</t>
  </si>
  <si>
    <t>24/11/2021 12:00:00 a. m.</t>
  </si>
  <si>
    <t>28/08/2012 12:00:00 a. m.</t>
  </si>
  <si>
    <t>23/07/2010 12:00:00 a. m.</t>
  </si>
  <si>
    <t>21/05/2018 10:40:30 a. m.</t>
  </si>
  <si>
    <t>27/07/2022 12:00:00 a. m.</t>
  </si>
  <si>
    <t>18/07/2022 12:00:00 a. m.</t>
  </si>
  <si>
    <t>29/07/2014 12:00:00 a. m.</t>
  </si>
  <si>
    <t>5/10/2021 12:00:00 a. m.</t>
  </si>
  <si>
    <t>19/10/2015 12:00:00 a. m.</t>
  </si>
  <si>
    <t>24/12/2013 12:00:00 a. m.</t>
  </si>
  <si>
    <t>14/04/2015 12:00:00 a. m.</t>
  </si>
  <si>
    <t>20/04/2010 12:00:00 a. m.</t>
  </si>
  <si>
    <t>27/05/2014 12:00:00 a. m.</t>
  </si>
  <si>
    <t>20/02/2014 12:00:00 a. m.</t>
  </si>
  <si>
    <t>22/05/2013 12:00:00 a. m.</t>
  </si>
  <si>
    <t>1/12/2014 12:00:00 a. m.</t>
  </si>
  <si>
    <t>29/11/2014 12:00:00 a. m.</t>
  </si>
  <si>
    <t>28/09/2016 3:31:54 p. m.</t>
  </si>
  <si>
    <t>17/12/2016 8:22:23 a. m.</t>
  </si>
  <si>
    <t>27/12/2017 12:41:41 p. m.</t>
  </si>
  <si>
    <t>13/06/2018 12:00:00 a. m.</t>
  </si>
  <si>
    <t>="EQUIPO DE COMPUTO DE ESCRITORIO con - Procesador Intel core i7 de septima generación de 2.7 Ghz o superior - Memoria RAM 16 GB DDR4-2666 o superior - 1 disco duro 7.2K de 1 TB o superior - Puerto Ethernet RJ45 base 1000 - Pantalla de 21" FHD - Salida VG</t>
  </si>
  <si>
    <t>18/06/2018 12:00:00 a. m.</t>
  </si>
  <si>
    <t xml:space="preserve">="EQUIPO PORTÁTIL con - Procesador Intel core i7 de septima generación de 2.7 Ghz o superior - Memoria RAM 12 GB DDR4-2666 o superior - 1 disco duro SSD de 512 GB o superior - Puerto Ethernet RJ45 base 1000 - Tarjeta inalámbrica compatible 802.11ac (2x2) </t>
  </si>
  <si>
    <t>24/07/2018 11:47:51 a. m.</t>
  </si>
  <si>
    <t>17/09/2018 12:00:00 a. m.</t>
  </si>
  <si>
    <t>17/09/2018 3:33:24 p. m.</t>
  </si>
  <si>
    <t>10/09/2018 12:00:00 a. m.</t>
  </si>
  <si>
    <t>18/09/2018 12:00:00 a. m.</t>
  </si>
  <si>
    <t>25/12/2018 12:00:00 a. m.</t>
  </si>
  <si>
    <t>="MONITOR LED 22" ENTRADAS VGA Y HDMI"</t>
  </si>
  <si>
    <t>="COMPUTADOR DE ESCRITORIO MARCA HP PAVILION DESKTOP 570 - P002 LA ADM A12, 3,4 GHZ, 8GB RAM DDR-4 TERA DISCO, WINDOWS 10 PROFESIONAL PANTALLAS 24" LED HD"</t>
  </si>
  <si>
    <t>30/01/2019 12:00:00 a. m.</t>
  </si>
  <si>
    <t>1/09/2019 12:00:00 a. m.</t>
  </si>
  <si>
    <t>30/09/2019 11:04:09 a. m.</t>
  </si>
  <si>
    <t>30/10/2019 12:00:00 a. m.</t>
  </si>
  <si>
    <t>15/11/2019 8:30:00 a. m.</t>
  </si>
  <si>
    <t>25/12/2020 12:00:00 a. m.</t>
  </si>
  <si>
    <t>7/12/2020 12:00:00 a. m.</t>
  </si>
  <si>
    <t>26/07/2021 12:00:00 a. m.</t>
  </si>
  <si>
    <t>15/10/2021 12:00:00 a. m.</t>
  </si>
  <si>
    <t>8/10/2021 12:00:00 a. m.</t>
  </si>
  <si>
    <t>3/08/2022 12:00:00 a. m.</t>
  </si>
  <si>
    <t>1/09/2022 12:00:00 a. m.</t>
  </si>
  <si>
    <t>5/11/2022 12:00:00 a. m.</t>
  </si>
  <si>
    <t>27/12/2022 12:00:00 a. m.</t>
  </si>
  <si>
    <t>2/03/2023 12:00:00 a. m.</t>
  </si>
  <si>
    <t>12/07/2023 12:00:00 a. m.</t>
  </si>
  <si>
    <t>30/10/2023 12:00:00 a. m.</t>
  </si>
  <si>
    <t>31/10/2023 12:00:00 a. m.</t>
  </si>
  <si>
    <t>22/02/2024 12:00:00 a. m.</t>
  </si>
  <si>
    <t>22/05/2017 12:00:00 a. m.</t>
  </si>
  <si>
    <t>1/08/2020 12:00:00 a. m.</t>
  </si>
  <si>
    <t>8/09/2021 11:45:20 a. m.</t>
  </si>
  <si>
    <t>24/06/2016 12:00:00 a. m.</t>
  </si>
  <si>
    <t>2/06/2016 12:00:00 a. m.</t>
  </si>
  <si>
    <t>28/09/2021 12:00:00 a. m.</t>
  </si>
  <si>
    <t>29/09/2021 12:00:00 a. m.</t>
  </si>
  <si>
    <t>28/09/2021 8:16:16 a. m.</t>
  </si>
  <si>
    <t>23/11/2023 4:10:16 p. m.</t>
  </si>
  <si>
    <t>9/03/2016 5:42:31 p. m.</t>
  </si>
  <si>
    <t>15/10/2014 12:00:00 a. m.</t>
  </si>
  <si>
    <t>22/06/2016 9:25:55 a. m.</t>
  </si>
  <si>
    <t>29/12/2018 12:00:00 a. m.</t>
  </si>
  <si>
    <t>31/01/1898 12:00:00 a. m.</t>
  </si>
  <si>
    <t>26/02/2017 12:00:00 a. m.</t>
  </si>
  <si>
    <t>29/12/2017 11:55:10 a. m.</t>
  </si>
  <si>
    <t>16/12/2017 12:00:00 a. m.</t>
  </si>
  <si>
    <t>25/12/2017 12:00:00 a. m.</t>
  </si>
  <si>
    <t>8/11/2018 8:07:16 a. m.</t>
  </si>
  <si>
    <t>14/04/2020 2:48:56 p. m.</t>
  </si>
  <si>
    <t>4/06/2018 12:00:00 a. m.</t>
  </si>
  <si>
    <t>22/01/2015 12:00:00 a. m.</t>
  </si>
  <si>
    <t>1/01/2019 12:00:00 a. m.</t>
  </si>
  <si>
    <t>8/04/2021 2:44:43 p. m.</t>
  </si>
  <si>
    <t>4/12/2013 12:00:00 a. m.</t>
  </si>
  <si>
    <t>13/04/2018 12:00:00 a. m.</t>
  </si>
  <si>
    <t>23/10/2018 12:00:00 a. m.</t>
  </si>
  <si>
    <t>19/12/2018 12:38:18 p. m.</t>
  </si>
  <si>
    <t>20/12/2019 12:00:00 a. m.</t>
  </si>
  <si>
    <t>31/08/2020 11:38:58 a. m.</t>
  </si>
  <si>
    <t>14/08/2019 12:00:00 a. m.</t>
  </si>
  <si>
    <t>22/08/2013 12:00:00 a. m.</t>
  </si>
  <si>
    <t>5/04/2013 12:00:00 a. m.</t>
  </si>
  <si>
    <t>27/09/2012 12:00:00 a. m.</t>
  </si>
  <si>
    <t>="CABINA ACTIVA DE 15" CON PUERTO USB, FM LINEA PROFESIONAL, MARCA PROFJ CON SUS RESPECTIVOS TRIPOIDES DE COLOR NEGRO CON CABLE X 10 MTS POR LINEA PRODJ Y CABLE DE SEÑAL PARA MICROFONO"</t>
  </si>
  <si>
    <t>="TELEVISOR DE 40" (Donación UDES)"</t>
  </si>
  <si>
    <t>="TELEVISOR DE 55" (Donación UDES)"</t>
  </si>
  <si>
    <t>18/05/2020 12:00:00 a. m.</t>
  </si>
  <si>
    <t>="CONSOLA AUDIO DIGITAL. DSP. EQ, EFECTOS, GATES, SEND. 16 IN XLR Preamp. 48V PHANTOM. 8 OUT XLR. 6 IN 1/4" TRS. 6 OUT 1/4" TRS. 1 OUT PHONES 1/4" TRS. 17 Faders 100 mm motor. 5" LCD. LAN. manejo local"</t>
  </si>
  <si>
    <t>="ALTAVOZ DE SOBREPONER PASIVO. 2 vías 8" y 1.5". 75Hz-18KHz. 8 Ohm. (RMS): 100 W. Incluye Base de pared ecualizable. Dimensiones (WxDxH): 277X257 mm. Plást"</t>
  </si>
  <si>
    <t>="ALTAVOCES DE MONITOREO ACTIVO. Biamplificado Clase D. 2 vías 5" y 3/4". 55Hz-20KHz. 2 IN XLR. 2 IN 1/4" TRS. 150 W. 100-240V 50/60 Hz. 254x204x178 mm. Plástico"</t>
  </si>
  <si>
    <t>="BAJO ACTIVO DE AUDIO 12". Amplificador Clase H. RMS: 300 W. 1 IN XLR. 1 OUT XLR. 40-250Hz. 120-240 V. 460x452x370 mm. Abedul"</t>
  </si>
  <si>
    <t>22/09/2020 12:00:00 a. m.</t>
  </si>
  <si>
    <t>12/09/2020 12:00:00 a. m.</t>
  </si>
  <si>
    <t>="CAMARA IP  PTZ 2MP DARK 25X ZOOM H265 + 5" 120DB IR 150m  24 VAC/POE+ IP166"</t>
  </si>
  <si>
    <t>20/01/2022 12:00:00 a. m.</t>
  </si>
  <si>
    <t>8/09/2022 12:00:00 a. m.</t>
  </si>
  <si>
    <t>29/04/2016 12:00:00 a. m.</t>
  </si>
  <si>
    <t>16/08/2018 10:25:52 a. m.</t>
  </si>
  <si>
    <t>26/12/2016 10:35:54 a. m.</t>
  </si>
  <si>
    <t>23/04/2018 12:00:00 a. m.</t>
  </si>
  <si>
    <t>18/12/2018 1:07:04 p. m.</t>
  </si>
  <si>
    <t>27/07/2016 12:00:00 a. m.</t>
  </si>
  <si>
    <t>1/05/2018 12:00:00 a. m.</t>
  </si>
  <si>
    <t>Valor Historico</t>
  </si>
  <si>
    <t>Producto</t>
  </si>
  <si>
    <t>Fecha Compra</t>
  </si>
  <si>
    <t>Activo Responsable</t>
  </si>
  <si>
    <t xml:space="preserve">Detalle Activos </t>
  </si>
  <si>
    <t>Detalle Activos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</si>
</sst>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1"/>
      <name val="Arial"/>
      <family val="2"/>
    </font>
    <font>
      <sz val="9"/>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43" fontId="0" fillId="0" borderId="0" xfId="1" applyFont="1"/>
    <xf numFmtId="0" fontId="0" fillId="0" borderId="0" xfId="0" applyAlignment="1">
      <alignment wrapText="1"/>
    </xf>
    <xf numFmtId="0" fontId="18" fillId="0" borderId="10" xfId="0" applyFont="1" applyBorder="1" applyAlignment="1">
      <alignment horizontal="center" vertical="center" wrapText="1"/>
    </xf>
    <xf numFmtId="43" fontId="18" fillId="0" borderId="10" xfId="1" applyFont="1" applyBorder="1" applyAlignment="1">
      <alignment horizontal="center" vertical="center"/>
    </xf>
    <xf numFmtId="0" fontId="19" fillId="0" borderId="10" xfId="0" applyFont="1" applyBorder="1" applyAlignment="1">
      <alignment wrapText="1"/>
    </xf>
    <xf numFmtId="43" fontId="19" fillId="0" borderId="10" xfId="1" applyFont="1" applyBorder="1"/>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25"/>
  <sheetViews>
    <sheetView tabSelected="1" workbookViewId="0">
      <selection activeCell="F6" sqref="F6"/>
    </sheetView>
  </sheetViews>
  <sheetFormatPr baseColWidth="10" defaultRowHeight="58.5" customHeight="1" x14ac:dyDescent="0.25"/>
  <cols>
    <col min="1" max="1" width="11.42578125" style="2"/>
    <col min="2" max="2" width="43.28515625" style="2" customWidth="1"/>
    <col min="3" max="3" width="18.5703125" style="1" bestFit="1" customWidth="1"/>
    <col min="4" max="4" width="26" style="2" customWidth="1"/>
    <col min="5" max="5" width="38.85546875" style="2" customWidth="1"/>
    <col min="6" max="6" width="47.7109375" style="2" customWidth="1"/>
    <col min="7" max="7" width="12.140625" style="2" customWidth="1"/>
  </cols>
  <sheetData>
    <row r="1" spans="1:7" ht="35.25" customHeight="1" x14ac:dyDescent="0.25">
      <c r="A1" s="3" t="s">
        <v>0</v>
      </c>
      <c r="B1" s="3" t="s">
        <v>954</v>
      </c>
      <c r="C1" s="4" t="s">
        <v>953</v>
      </c>
      <c r="D1" s="3" t="s">
        <v>955</v>
      </c>
      <c r="E1" s="3" t="s">
        <v>956</v>
      </c>
      <c r="F1" s="3" t="s">
        <v>957</v>
      </c>
      <c r="G1" s="3" t="s">
        <v>958</v>
      </c>
    </row>
    <row r="2" spans="1:7" ht="58.5" customHeight="1" x14ac:dyDescent="0.25">
      <c r="A2" s="5" t="str">
        <f>"B0004948"</f>
        <v>B0004948</v>
      </c>
      <c r="B2" s="5" t="str">
        <f>"LICENCIA OFFICE HOME AND BUSINEES"</f>
        <v>LICENCIA OFFICE HOME AND BUSINEES</v>
      </c>
      <c r="C2" s="6">
        <v>440800</v>
      </c>
      <c r="D2" s="5" t="s">
        <v>1</v>
      </c>
      <c r="E2" s="5" t="str">
        <f t="shared" ref="E2:E33" si="0">"GERENCIA-HERNANDO JOSE MORA GONZALEZ"</f>
        <v>GERENCIA-HERNANDO JOSE MORA GONZALEZ</v>
      </c>
      <c r="F2" s="5" t="str">
        <f>"Descripcion: LICENCIA OFFICE HOME AND BUSIMESS 2013 Estado: Bueno Placa anterior: 000030595 Material:  Color:  Referencia:  Observacion:  Placa padre: Tipo adquisicion: Entidad"</f>
        <v>Descripcion: LICENCIA OFFICE HOME AND BUSIMESS 2013 Estado: Bueno Placa anterior: 000030595 Material:  Color:  Referencia:  Observacion:  Placa padre: Tipo adquisicion: Entidad</v>
      </c>
      <c r="G2" s="5"/>
    </row>
    <row r="3" spans="1:7" ht="58.5" customHeight="1" x14ac:dyDescent="0.25">
      <c r="A3" s="5" t="str">
        <f>"B0004949"</f>
        <v>B0004949</v>
      </c>
      <c r="B3" s="5" t="str">
        <f>"LICENCIA OFFICE HOME AND BUSINEES"</f>
        <v>LICENCIA OFFICE HOME AND BUSINEES</v>
      </c>
      <c r="C3" s="6">
        <v>440800</v>
      </c>
      <c r="D3" s="5" t="s">
        <v>1</v>
      </c>
      <c r="E3" s="5" t="str">
        <f t="shared" si="0"/>
        <v>GERENCIA-HERNANDO JOSE MORA GONZALEZ</v>
      </c>
      <c r="F3" s="5" t="str">
        <f>"Descripcion: LICENCIA OFFICE HOME AND BUSIMESS 2013 Estado: Bueno Placa anterior: 000030598 Material:  Color:  Referencia:  Observacion:  Placa padre: Tipo adquisicion: Entidad"</f>
        <v>Descripcion: LICENCIA OFFICE HOME AND BUSIMESS 2013 Estado: Bueno Placa anterior: 000030598 Material:  Color:  Referencia:  Observacion:  Placa padre: Tipo adquisicion: Entidad</v>
      </c>
      <c r="G3" s="5"/>
    </row>
    <row r="4" spans="1:7" ht="58.5" customHeight="1" x14ac:dyDescent="0.25">
      <c r="A4" s="5" t="str">
        <f>"B0004950"</f>
        <v>B0004950</v>
      </c>
      <c r="B4" s="5" t="str">
        <f>"LICENCIA OFFICE HOME AND BUSINEES"</f>
        <v>LICENCIA OFFICE HOME AND BUSINEES</v>
      </c>
      <c r="C4" s="6">
        <v>440800</v>
      </c>
      <c r="D4" s="5" t="s">
        <v>2</v>
      </c>
      <c r="E4" s="5" t="str">
        <f t="shared" si="0"/>
        <v>GERENCIA-HERNANDO JOSE MORA GONZALEZ</v>
      </c>
      <c r="F4" s="5" t="str">
        <f>"Descripcion: LICENCIA OFFICE HOME AND BUSIMESS 2013 Estado: Bueno Placa anterior: 000030817 Material:  Color:  Referencia:  Observacion:  Placa padre: Tipo adquisicion: Entidad"</f>
        <v>Descripcion: LICENCIA OFFICE HOME AND BUSIMESS 2013 Estado: Bueno Placa anterior: 000030817 Material:  Color:  Referencia:  Observacion:  Placa padre: Tipo adquisicion: Entidad</v>
      </c>
      <c r="G4" s="5"/>
    </row>
    <row r="5" spans="1:7" ht="58.5" customHeight="1" x14ac:dyDescent="0.25">
      <c r="A5" s="5" t="str">
        <f>"H0005197"</f>
        <v>H0005197</v>
      </c>
      <c r="B5" s="5" t="str">
        <f>"MUEBLE DE MADERA"</f>
        <v>MUEBLE DE MADERA</v>
      </c>
      <c r="C5" s="6">
        <v>780000</v>
      </c>
      <c r="D5" s="5" t="s">
        <v>3</v>
      </c>
      <c r="E5" s="5" t="str">
        <f t="shared" si="0"/>
        <v>GERENCIA-HERNANDO JOSE MORA GONZALEZ</v>
      </c>
      <c r="F5" s="5" t="str">
        <f>"Descripcion: MUEBLE ESPECIAL CON 4 ARCHIVOS EN MADERA Estado: Bueno Placa anterior: 000029324 Material: MADERA Color: WENGUE Referencia:  Observacion:  Placa padre: Tipo adquisicion: Entidad"</f>
        <v>Descripcion: MUEBLE ESPECIAL CON 4 ARCHIVOS EN MADERA Estado: Bueno Placa anterior: 000029324 Material: MADERA Color: WENGUE Referencia:  Observacion:  Placa padre: Tipo adquisicion: Entidad</v>
      </c>
      <c r="G5" s="5"/>
    </row>
    <row r="6" spans="1:7" ht="58.5" customHeight="1" x14ac:dyDescent="0.25">
      <c r="A6" s="5" t="str">
        <f>"H0005267"</f>
        <v>H0005267</v>
      </c>
      <c r="B6" s="5" t="str">
        <f>"NEVERA DE 66 LTS"</f>
        <v>NEVERA DE 66 LTS</v>
      </c>
      <c r="C6" s="6">
        <v>123375</v>
      </c>
      <c r="D6" s="5"/>
      <c r="E6" s="5" t="str">
        <f t="shared" si="0"/>
        <v>GERENCIA-HERNANDO JOSE MORA GONZALEZ</v>
      </c>
      <c r="F6" s="5" t="str">
        <f>"Descripcion:133X60X58,5&lt;br /&gt;SIN SERIAL, SIN REFERENCIA Estado: Bueno Placa anterior: 000000488 Material: METALICO Color: BEIGE Referencia:  Observacion:  Placa padre:  Tipo adquisicion : Entidad"</f>
        <v>Descripcion:133X60X58,5&lt;br /&gt;SIN SERIAL, SIN REFERENCIA Estado: Bueno Placa anterior: 000000488 Material: METALICO Color: BEIGE Referencia:  Observacion:  Placa padre:  Tipo adquisicion : Entidad</v>
      </c>
      <c r="G6" s="5"/>
    </row>
    <row r="7" spans="1:7" ht="58.5" customHeight="1" x14ac:dyDescent="0.25">
      <c r="A7" s="5" t="str">
        <f>"H0005992"</f>
        <v>H0005992</v>
      </c>
      <c r="B7" s="5" t="str">
        <f>"SILLON (SOFA)"</f>
        <v>SILLON (SOFA)</v>
      </c>
      <c r="C7" s="6">
        <v>580000</v>
      </c>
      <c r="D7" s="5" t="s">
        <v>3</v>
      </c>
      <c r="E7" s="5" t="str">
        <f t="shared" si="0"/>
        <v>GERENCIA-HERNANDO JOSE MORA GONZALEZ</v>
      </c>
      <c r="F7" s="5" t="str">
        <f>"Descripcion: SOFA DOBLE TAPIZADO 70X90X70CM Estado: Bueno Placa anterior: 000029323 Material: TAPIZADO Color: AZUL Referencia:  Observacion: PLACA ANTERIOR NO ENCONTRADA Y NO COINCIDE 000028307 NOS INDICA LA TESTIGO QUE FUE COLOCADA POR EL SEÑOR ORLANDO F"&amp; "UNCIONARIO AUTORIZA SE CONCILIE CON PLACA  000029323 Placa padre: Tipo adquisicion: Entidad"</f>
        <v>Descripcion: SOFA DOBLE TAPIZADO 70X90X70CM Estado: Bueno Placa anterior: 000029323 Material: TAPIZADO Color: AZUL Referencia:  Observacion: PLACA ANTERIOR NO ENCONTRADA Y NO COINCIDE 000028307 NOS INDICA LA TESTIGO QUE FUE COLOCADA POR EL SEÑOR ORLANDO FUNCIONARIO AUTORIZA SE CONCILIE CON PLACA  000029323 Placa padre: Tipo adquisicion: Entidad</v>
      </c>
      <c r="G7" s="5"/>
    </row>
    <row r="8" spans="1:7" ht="58.5" customHeight="1" x14ac:dyDescent="0.25">
      <c r="A8" s="5" t="str">
        <f>"H0005994"</f>
        <v>H0005994</v>
      </c>
      <c r="B8" s="5" t="str">
        <f>"SILLON (SOFA)"</f>
        <v>SILLON (SOFA)</v>
      </c>
      <c r="C8" s="6">
        <v>580000</v>
      </c>
      <c r="D8" s="5" t="s">
        <v>3</v>
      </c>
      <c r="E8" s="5" t="str">
        <f t="shared" si="0"/>
        <v>GERENCIA-HERNANDO JOSE MORA GONZALEZ</v>
      </c>
      <c r="F8" s="5" t="str">
        <f>"Descripcion: SOFA DOBLE TAPIZADO 70X90X70CM Estado: Bueno Placa anterior: 000029322 Material: TAPIZADO  Color: AZUL Referencia:  Observacion:  Placa padre: Tipo adquisicion: Entidad"</f>
        <v>Descripcion: SOFA DOBLE TAPIZADO 70X90X70CM Estado: Bueno Placa anterior: 000029322 Material: TAPIZADO  Color: AZUL Referencia:  Observacion:  Placa padre: Tipo adquisicion: Entidad</v>
      </c>
      <c r="G8" s="5"/>
    </row>
    <row r="9" spans="1:7" ht="58.5" customHeight="1" x14ac:dyDescent="0.25">
      <c r="A9" s="5" t="str">
        <f>"H0005998"</f>
        <v>H0005998</v>
      </c>
      <c r="B9" s="5" t="str">
        <f>"VENTILADOR DE PARED"</f>
        <v>VENTILADOR DE PARED</v>
      </c>
      <c r="C9" s="6">
        <v>83000</v>
      </c>
      <c r="D9" s="5" t="s">
        <v>4</v>
      </c>
      <c r="E9" s="5" t="str">
        <f t="shared" si="0"/>
        <v>GERENCIA-HERNANDO JOSE MORA GONZALEZ</v>
      </c>
      <c r="F9" s="5" t="str">
        <f>"Descripcion: VENTILADOR DE PARED MARCA SAMURAI Estado: Bueno Placa anterior: 000036250 Material: PLASTICO Color: BLANCO Referencia:  Observacion:  Placa padre: Tipo adquisicion: Donacion"</f>
        <v>Descripcion: VENTILADOR DE PARED MARCA SAMURAI Estado: Bueno Placa anterior: 000036250 Material: PLASTICO Color: BLANCO Referencia:  Observacion:  Placa padre: Tipo adquisicion: Donacion</v>
      </c>
      <c r="G9" s="5" t="str">
        <f>"TURBO SILENCE"</f>
        <v>TURBO SILENCE</v>
      </c>
    </row>
    <row r="10" spans="1:7" ht="58.5" customHeight="1" x14ac:dyDescent="0.25">
      <c r="A10" s="5" t="str">
        <f>"H0006007"</f>
        <v>H0006007</v>
      </c>
      <c r="B10" s="5" t="str">
        <f>"SILLA INTERLOCUTORA (FIJA) SIN BRAZOS"</f>
        <v>SILLA INTERLOCUTORA (FIJA) SIN BRAZOS</v>
      </c>
      <c r="C10" s="6">
        <v>336400</v>
      </c>
      <c r="D10" s="5" t="s">
        <v>5</v>
      </c>
      <c r="E10" s="5" t="str">
        <f t="shared" si="0"/>
        <v>GERENCIA-HERNANDO JOSE MORA GONZALEZ</v>
      </c>
      <c r="F10" s="5" t="str">
        <f>"Descripcion: SILLA INTERLOCUTORA FIJA HERRAJE CROMADO TAPIZADO ASIENTO REF. BUTTERFLY Estado: Bueno Placa anterior: 000029484 Material: METALICO CROMADO ASIENTO TAPIZADO Y ESPALDAR PLASTICO Color: NEGRO Referencia:  Observacion:  Placa padre: Tipo adquisi"&amp; "cion: Entidad"</f>
        <v>Descripcion: SILLA INTERLOCUTORA FIJA HERRAJE CROMADO TAPIZADO ASIENTO REF. BUTTERFLY Estado: Bueno Placa anterior: 000029484 Material: METALICO CROMADO ASIENTO TAPIZADO Y ESPALDAR PLASTICO Color: NEGRO Referencia:  Observacion:  Placa padre: Tipo adquisicion: Entidad</v>
      </c>
      <c r="G10" s="5"/>
    </row>
    <row r="11" spans="1:7" ht="58.5" customHeight="1" x14ac:dyDescent="0.25">
      <c r="A11" s="5" t="str">
        <f>"H0006008"</f>
        <v>H0006008</v>
      </c>
      <c r="B11" s="5" t="str">
        <f>"SILLA INTERLOCUTORA (FIJA) SIN BRAZOS"</f>
        <v>SILLA INTERLOCUTORA (FIJA) SIN BRAZOS</v>
      </c>
      <c r="C11" s="6">
        <v>406000</v>
      </c>
      <c r="D11" s="5" t="s">
        <v>5</v>
      </c>
      <c r="E11" s="5" t="str">
        <f t="shared" si="0"/>
        <v>GERENCIA-HERNANDO JOSE MORA GONZALEZ</v>
      </c>
      <c r="F11" s="5" t="str">
        <f>"Descripcion: SILLA INTERLOCUTORA ESTRUCTURA CROMADA TAPIZADO ASIENTO SIN BRAZOS Estado: Bueno Placa anterior: 000029488 Material: METALICO CROMADO ASIENTO TAPIZADO Y ESPALDAR PLASTICO Color: NEGRO Referencia:  Observacion: LAS CARACTERISTICAS NO CORRESPON"&amp; "DEN LA SILLA ES SIN BRAZOS Placa padre: Tipo adquisicion: Entidad"</f>
        <v>Descripcion: SILLA INTERLOCUTORA ESTRUCTURA CROMADA TAPIZADO ASIENTO SIN BRAZOS Estado: Bueno Placa anterior: 000029488 Material: METALICO CROMADO ASIENTO TAPIZADO Y ESPALDAR PLASTICO Color: NEGRO Referencia:  Observacion: LAS CARACTERISTICAS NO CORRESPONDEN LA SILLA ES SIN BRAZOS Placa padre: Tipo adquisicion: Entidad</v>
      </c>
      <c r="G11" s="5"/>
    </row>
    <row r="12" spans="1:7" ht="58.5" customHeight="1" x14ac:dyDescent="0.25">
      <c r="A12" s="5" t="str">
        <f>"H0006013"</f>
        <v>H0006013</v>
      </c>
      <c r="B12" s="5" t="str">
        <f>"SILLA INTERLOCUTORA (FIJA) SIN BRAZOS"</f>
        <v>SILLA INTERLOCUTORA (FIJA) SIN BRAZOS</v>
      </c>
      <c r="C12" s="6">
        <v>498800</v>
      </c>
      <c r="D12" s="5" t="s">
        <v>5</v>
      </c>
      <c r="E12" s="5" t="str">
        <f t="shared" si="0"/>
        <v>GERENCIA-HERNANDO JOSE MORA GONZALEZ</v>
      </c>
      <c r="F12" s="5" t="str">
        <f>"Descripcion: SILLA INTERLOCUTORA FIJA HERRAJE ASIENTO Y ESPALDAR EN LAMMA CON BRAZO AJUSTABLE Estado: Bueno Placa anterior: 000029487 Material: METALICO CROMADO ASIENTO TAPIZADO Y ESPALDAR PLASTICO Color: NEGRO Referencia:  Observacion:  Placa padre: Tipo"&amp; " adquisicion: Entidad"</f>
        <v>Descripcion: SILLA INTERLOCUTORA FIJA HERRAJE ASIENTO Y ESPALDAR EN LAMMA CON BRAZO AJUSTABLE Estado: Bueno Placa anterior: 000029487 Material: METALICO CROMADO ASIENTO TAPIZADO Y ESPALDAR PLASTICO Color: NEGRO Referencia:  Observacion:  Placa padre: Tipo adquisicion: Entidad</v>
      </c>
      <c r="G12" s="5"/>
    </row>
    <row r="13" spans="1:7" ht="58.5" customHeight="1" x14ac:dyDescent="0.25">
      <c r="A13" s="5" t="str">
        <f>"H0006016"</f>
        <v>H0006016</v>
      </c>
      <c r="B13" s="5" t="str">
        <f>"SILLA INTERLOCUTORA (FIJA) SIN BRAZOS"</f>
        <v>SILLA INTERLOCUTORA (FIJA) SIN BRAZOS</v>
      </c>
      <c r="C13" s="6">
        <v>336400</v>
      </c>
      <c r="D13" s="5" t="s">
        <v>5</v>
      </c>
      <c r="E13" s="5" t="str">
        <f t="shared" si="0"/>
        <v>GERENCIA-HERNANDO JOSE MORA GONZALEZ</v>
      </c>
      <c r="F13" s="5" t="str">
        <f>"Descripcion: SILLA INTERLOCUTORA FIJA HERRAJE CROMADO TAPIZADO ASIENTO REF. BUTTERFLY Estado: Bueno Placa anterior: 000029480 Material: METALICO CROMADO ASIENTO TAPIZADO Y ESPALDAR PLASTICO Color: NEGRO Referencia:  Observacion:  Placa padre: Tipo adquisi"&amp; "cion: Entidad"</f>
        <v>Descripcion: SILLA INTERLOCUTORA FIJA HERRAJE CROMADO TAPIZADO ASIENTO REF. BUTTERFLY Estado: Bueno Placa anterior: 000029480 Material: METALICO CROMADO ASIENTO TAPIZADO Y ESPALDAR PLASTICO Color: NEGRO Referencia:  Observacion:  Placa padre: Tipo adquisicion: Entidad</v>
      </c>
      <c r="G13" s="5"/>
    </row>
    <row r="14" spans="1:7" ht="58.5" customHeight="1" x14ac:dyDescent="0.25">
      <c r="A14" s="5" t="str">
        <f>"H0006020"</f>
        <v>H0006020</v>
      </c>
      <c r="B14" s="5" t="str">
        <f>"MESA DE MADERA CON 1 GAVETA"</f>
        <v>MESA DE MADERA CON 1 GAVETA</v>
      </c>
      <c r="C14" s="6">
        <v>12161</v>
      </c>
      <c r="D14" s="5"/>
      <c r="E14" s="5" t="str">
        <f t="shared" si="0"/>
        <v>GERENCIA-HERNANDO JOSE MORA GONZALEZ</v>
      </c>
      <c r="F14" s="5" t="str">
        <f>"Descripcion: MESA EN MADERA PARA TELEFONO LINEA 2000 CON 1 GAVETA Estado: Bueno Placa anterior: 000031282 Material: MADERA Color: WENGUE Referencia:  Observacion:  Placa padre: Tipo adquisicion: Entidad"</f>
        <v>Descripcion: MESA EN MADERA PARA TELEFONO LINEA 2000 CON 1 GAVETA Estado: Bueno Placa anterior: 000031282 Material: MADERA Color: WENGUE Referencia:  Observacion:  Placa padre: Tipo adquisicion: Entidad</v>
      </c>
      <c r="G14" s="5"/>
    </row>
    <row r="15" spans="1:7" ht="58.5" customHeight="1" x14ac:dyDescent="0.25">
      <c r="A15" s="5" t="str">
        <f>"H0006022"</f>
        <v>H0006022</v>
      </c>
      <c r="B15" s="5" t="str">
        <f>"COMPUTADOR PORTATIL"</f>
        <v>COMPUTADOR PORTATIL</v>
      </c>
      <c r="C15" s="6">
        <v>2250000</v>
      </c>
      <c r="D15" s="5" t="s">
        <v>6</v>
      </c>
      <c r="E15" s="5" t="str">
        <f t="shared" si="0"/>
        <v>GERENCIA-HERNANDO JOSE MORA GONZALEZ</v>
      </c>
      <c r="F15" s="5" t="str">
        <f>"Descripcion: PC PORTATIL LENOVO PROCESADOR CORE I5 500gb DISCO DURO 4GB EN MEMORIA RAM Estado: Bueno Placa anterior: 000037037 Material: PLASTICO Color: NEGRO Referencia:  Observacion:  Placa padre: Tipo adquisicion: Entidad"</f>
        <v>Descripcion: PC PORTATIL LENOVO PROCESADOR CORE I5 500gb DISCO DURO 4GB EN MEMORIA RAM Estado: Bueno Placa anterior: 000037037 Material: PLASTICO Color: NEGRO Referencia:  Observacion:  Placa padre: Tipo adquisicion: Entidad</v>
      </c>
      <c r="G15" s="5"/>
    </row>
    <row r="16" spans="1:7" ht="58.5" customHeight="1" x14ac:dyDescent="0.25">
      <c r="A16" s="5" t="str">
        <f>"H0006024"</f>
        <v>H0006024</v>
      </c>
      <c r="B16" s="5" t="str">
        <f>"BANDEJA ESCRITORIO (PORTAPAPELES)"</f>
        <v>BANDEJA ESCRITORIO (PORTAPAPELES)</v>
      </c>
      <c r="C16" s="6">
        <v>7500</v>
      </c>
      <c r="D16" s="5"/>
      <c r="E16" s="5" t="str">
        <f t="shared" si="0"/>
        <v>GERENCIA-HERNANDO JOSE MORA GONZALEZ</v>
      </c>
      <c r="F16" s="5" t="str">
        <f>"Descripcion: PAPELERAS DE MESA 1 COMPARTIMIENTO Estado: Bueno Placa anterior: 000000225 Material: MADERA Color: CAFE Referencia:  Observacion:  Placa padre: Tipo adquisicion: Entidad"</f>
        <v>Descripcion: PAPELERAS DE MESA 1 COMPARTIMIENTO Estado: Bueno Placa anterior: 000000225 Material: MADERA Color: CAFE Referencia:  Observacion:  Placa padre: Tipo adquisicion: Entidad</v>
      </c>
      <c r="G16" s="5"/>
    </row>
    <row r="17" spans="1:7" ht="58.5" customHeight="1" x14ac:dyDescent="0.25">
      <c r="A17" s="5" t="str">
        <f>"H0006025"</f>
        <v>H0006025</v>
      </c>
      <c r="B17" s="5" t="str">
        <f>"VIDEOBEAM (VIDEO PROYECTOR)"</f>
        <v>VIDEOBEAM (VIDEO PROYECTOR)</v>
      </c>
      <c r="C17" s="6">
        <v>2137600</v>
      </c>
      <c r="D17" s="5" t="s">
        <v>6</v>
      </c>
      <c r="E17" s="5" t="str">
        <f t="shared" si="0"/>
        <v>GERENCIA-HERNANDO JOSE MORA GONZALEZ</v>
      </c>
      <c r="F17" s="5" t="str">
        <f>"Descripcion: Video Proyector Video Beam Resolución XGA (1024x768) Duración de Lampara 6000 H.Razón de Contraste 10000:1.Salida de Luz de calor 3500 lumniex Estado: Bueno Placa anterior: 000037050 Material: PLASTICO Color: BLANCO Referencia:  Observacion: "&amp; " Placa padre: Tipo adquisicion: Entidad"</f>
        <v>Descripcion: Video Proyector Video Beam Resolución XGA (1024x768) Duración de Lampara 6000 H.Razón de Contraste 10000:1.Salida de Luz de calor 3500 lumniex Estado: Bueno Placa anterior: 000037050 Material: PLASTICO Color: BLANCO Referencia:  Observacion:  Placa padre: Tipo adquisicion: Entidad</v>
      </c>
      <c r="G17" s="5" t="str">
        <f>"H553A"</f>
        <v>H553A</v>
      </c>
    </row>
    <row r="18" spans="1:7" ht="58.5" customHeight="1" x14ac:dyDescent="0.25">
      <c r="A18" s="5" t="str">
        <f>"H0006039"</f>
        <v>H0006039</v>
      </c>
      <c r="B18" s="5" t="str">
        <f>"UNIDAD ININTERRUMPIDA DE POTENCIA (UPS)"</f>
        <v>UNIDAD ININTERRUMPIDA DE POTENCIA (UPS)</v>
      </c>
      <c r="C18" s="6">
        <v>220400</v>
      </c>
      <c r="D18" s="5"/>
      <c r="E18" s="5" t="str">
        <f t="shared" si="0"/>
        <v>GERENCIA-HERNANDO JOSE MORA GONZALEZ</v>
      </c>
      <c r="F18" s="5" t="str">
        <f>"Descripcion: ESABILIZADOR UPS 550 V.A. TRIPO LITE 6 TOMACORRIENTE Estado: Bueno Placa anterior: 000031284 Material: METALICO Color: NEGRO Referencia:  Observacion:  Placa padre: Tipo adquisicion: Entidad"</f>
        <v>Descripcion: ESABILIZADOR UPS 550 V.A. TRIPO LITE 6 TOMACORRIENTE Estado: Bueno Placa anterior: 000031284 Material: METALICO Color: NEGRO Referencia:  Observacion:  Placa padre: Tipo adquisicion: Entidad</v>
      </c>
      <c r="G18" s="5"/>
    </row>
    <row r="19" spans="1:7" ht="58.5" customHeight="1" x14ac:dyDescent="0.25">
      <c r="A19" s="5" t="str">
        <f>"H0006040"</f>
        <v>H0006040</v>
      </c>
      <c r="B19" s="5" t="str">
        <f>"UNIDAD ININTERRUMPIDA DE POTENCIA (UPS)"</f>
        <v>UNIDAD ININTERRUMPIDA DE POTENCIA (UPS)</v>
      </c>
      <c r="C19" s="6">
        <v>1000000</v>
      </c>
      <c r="D19" s="5" t="s">
        <v>7</v>
      </c>
      <c r="E19" s="5" t="str">
        <f t="shared" si="0"/>
        <v>GERENCIA-HERNANDO JOSE MORA GONZALEZ</v>
      </c>
      <c r="F19" s="5" t="str">
        <f>"Descripcion: ESTABILIZADOR UPS 550 V.A. TRIPO LITE 4 TOMACORRIENTE Estado: Bueno Placa anterior: 000030703 Material: METALICO Color: NEGRO Referencia:  Observacion: EL BIEN TIENE PLACA ANTERIOR  000028312 AUTORIZADO CRUZAR POR SISTEMAS Placa padre: Tipo a"&amp; "dquisicion: Entidad"</f>
        <v>Descripcion: ESTABILIZADOR UPS 550 V.A. TRIPO LITE 4 TOMACORRIENTE Estado: Bueno Placa anterior: 000030703 Material: METALICO Color: NEGRO Referencia:  Observacion: EL BIEN TIENE PLACA ANTERIOR  000028312 AUTORIZADO CRUZAR POR SISTEMAS Placa padre: Tipo adquisicion: Entidad</v>
      </c>
      <c r="G19" s="5"/>
    </row>
    <row r="20" spans="1:7" ht="58.5" customHeight="1" x14ac:dyDescent="0.25">
      <c r="A20" s="5" t="str">
        <f>"H0006046"</f>
        <v>H0006046</v>
      </c>
      <c r="B20" s="5" t="str">
        <f>"ESCRITORIO DE VIDRIO SIN GAVETAS"</f>
        <v>ESCRITORIO DE VIDRIO SIN GAVETAS</v>
      </c>
      <c r="C20" s="6">
        <v>3306000</v>
      </c>
      <c r="D20" s="5" t="s">
        <v>5</v>
      </c>
      <c r="E20" s="5" t="str">
        <f t="shared" si="0"/>
        <v>GERENCIA-HERNANDO JOSE MORA GONZALEZ</v>
      </c>
      <c r="F20" s="5" t="str">
        <f>"Descripcion: ESCRITORIO PRESIDENTE MEDIDAS: 73X210X150 MESON EN VIDRIO LINEA VETRO CRISTAL DE 19 LINEAS ACCESORIOS CROMADOS Estado: Bueno Placa anterior: 000029490 Material: METALICO, VIDRIO, MADERA Color: NEGRO Referencia:  Observacion:  Placa padre: Tip"&amp; "o adquisicion: Entidad"</f>
        <v>Descripcion: ESCRITORIO PRESIDENTE MEDIDAS: 73X210X150 MESON EN VIDRIO LINEA VETRO CRISTAL DE 19 LINEAS ACCESORIOS CROMADOS Estado: Bueno Placa anterior: 000029490 Material: METALICO, VIDRIO, MADERA Color: NEGRO Referencia:  Observacion:  Placa padre: Tipo adquisicion: Entidad</v>
      </c>
      <c r="G20" s="5"/>
    </row>
    <row r="21" spans="1:7" ht="58.5" customHeight="1" x14ac:dyDescent="0.25">
      <c r="A21" s="5" t="str">
        <f>"H0006087"</f>
        <v>H0006087</v>
      </c>
      <c r="B21" s="5" t="str">
        <f>"ESTANTE METALICO 5 ENTREPAÑOS"</f>
        <v>ESTANTE METALICO 5 ENTREPAÑOS</v>
      </c>
      <c r="C21" s="6">
        <v>19819.73</v>
      </c>
      <c r="D21" s="5"/>
      <c r="E21" s="5" t="str">
        <f t="shared" si="0"/>
        <v>GERENCIA-HERNANDO JOSE MORA GONZALEZ</v>
      </c>
      <c r="F21" s="5" t="str">
        <f>"Descripcion: ESTANTE METALICO 5 ENTREPAÑOS Estado: Bueno Placa anterior: 000000175 Material: METALICO Color: GRIS OSCURO Referencia:  Observacion:  Placa padre: Tipo adquisicion: Entidad"</f>
        <v>Descripcion: ESTANTE METALICO 5 ENTREPAÑOS Estado: Bueno Placa anterior: 000000175 Material: METALICO Color: GRIS OSCURO Referencia:  Observacion:  Placa padre: Tipo adquisicion: Entidad</v>
      </c>
      <c r="G21" s="5"/>
    </row>
    <row r="22" spans="1:7" ht="58.5" customHeight="1" x14ac:dyDescent="0.25">
      <c r="A22" s="5" t="str">
        <f>"H0006088"</f>
        <v>H0006088</v>
      </c>
      <c r="B22" s="5" t="str">
        <f>"ESTANTE METALICO 5 ENTREPAÑOS"</f>
        <v>ESTANTE METALICO 5 ENTREPAÑOS</v>
      </c>
      <c r="C22" s="6">
        <v>170000</v>
      </c>
      <c r="D22" s="5"/>
      <c r="E22" s="5" t="str">
        <f t="shared" si="0"/>
        <v>GERENCIA-HERNANDO JOSE MORA GONZALEZ</v>
      </c>
      <c r="F22" s="5" t="str">
        <f>"Descripcion: ESTANTE METALICO 5 ENTREPAÑOS Estado: Bueno Placa anterior: 000022173 Material: METALICO Color: GRIS OSCURO Referencia:  Observacion:  Placa padre: Tipo adquisicion: Entidad"</f>
        <v>Descripcion: ESTANTE METALICO 5 ENTREPAÑOS Estado: Bueno Placa anterior: 000022173 Material: METALICO Color: GRIS OSCURO Referencia:  Observacion:  Placa padre: Tipo adquisicion: Entidad</v>
      </c>
      <c r="G22" s="5"/>
    </row>
    <row r="23" spans="1:7" ht="58.5" customHeight="1" x14ac:dyDescent="0.25">
      <c r="A23" s="5" t="str">
        <f>"H0006089"</f>
        <v>H0006089</v>
      </c>
      <c r="B23" s="5" t="str">
        <f>"ESTANTE METALICO 5 ENTREPAÑOS"</f>
        <v>ESTANTE METALICO 5 ENTREPAÑOS</v>
      </c>
      <c r="C23" s="6">
        <v>170000</v>
      </c>
      <c r="D23" s="5"/>
      <c r="E23" s="5" t="str">
        <f t="shared" si="0"/>
        <v>GERENCIA-HERNANDO JOSE MORA GONZALEZ</v>
      </c>
      <c r="F23" s="5" t="str">
        <f>"Descripcion: ESTANTE METALICO 5 ENTREPAÑOS Estado: Bueno Placa anterior: 000022174 Material: METALICO Color: GRIS OSCURO Referencia:  Observacion:  Placa padre: Tipo adquisicion: Entidad"</f>
        <v>Descripcion: ESTANTE METALICO 5 ENTREPAÑOS Estado: Bueno Placa anterior: 000022174 Material: METALICO Color: GRIS OSCURO Referencia:  Observacion:  Placa padre: Tipo adquisicion: Entidad</v>
      </c>
      <c r="G23" s="5"/>
    </row>
    <row r="24" spans="1:7" ht="58.5" customHeight="1" x14ac:dyDescent="0.25">
      <c r="A24" s="5" t="str">
        <f>"H0006090"</f>
        <v>H0006090</v>
      </c>
      <c r="B24" s="5" t="str">
        <f>"ESTANTE METALICO 6 ENTREPAÑOS"</f>
        <v>ESTANTE METALICO 6 ENTREPAÑOS</v>
      </c>
      <c r="C24" s="6">
        <v>19819.73</v>
      </c>
      <c r="D24" s="5"/>
      <c r="E24" s="5" t="str">
        <f t="shared" si="0"/>
        <v>GERENCIA-HERNANDO JOSE MORA GONZALEZ</v>
      </c>
      <c r="F24" s="5" t="str">
        <f>"Descripcion: ESTANTE METALICO 5 ENTREPAÑOS Estado: Bueno Placa anterior: 000000172 Material: METALICO Color: GRIS OSCURO Referencia:  Observacion:  Placa padre: Tipo adquisicion: Entidad"</f>
        <v>Descripcion: ESTANTE METALICO 5 ENTREPAÑOS Estado: Bueno Placa anterior: 000000172 Material: METALICO Color: GRIS OSCURO Referencia:  Observacion:  Placa padre: Tipo adquisicion: Entidad</v>
      </c>
      <c r="G24" s="5"/>
    </row>
    <row r="25" spans="1:7" ht="58.5" customHeight="1" x14ac:dyDescent="0.25">
      <c r="A25" s="5" t="str">
        <f>"H0006091"</f>
        <v>H0006091</v>
      </c>
      <c r="B25" s="5" t="str">
        <f>"ESTANTE METALICO 5 ENTREPAÑOS"</f>
        <v>ESTANTE METALICO 5 ENTREPAÑOS</v>
      </c>
      <c r="C25" s="6">
        <v>19819.73</v>
      </c>
      <c r="D25" s="5"/>
      <c r="E25" s="5" t="str">
        <f t="shared" si="0"/>
        <v>GERENCIA-HERNANDO JOSE MORA GONZALEZ</v>
      </c>
      <c r="F25" s="5" t="str">
        <f>"Descripcion: ESTANTE METALICO 5 ENTREPAÑOS Estado: Bueno Placa anterior: 000000174 Material: METALICO Color: GRIS OSCURO Referencia:  Observacion:  Placa padre: Tipo adquisicion: Entidad"</f>
        <v>Descripcion: ESTANTE METALICO 5 ENTREPAÑOS Estado: Bueno Placa anterior: 000000174 Material: METALICO Color: GRIS OSCURO Referencia:  Observacion:  Placa padre: Tipo adquisicion: Entidad</v>
      </c>
      <c r="G25" s="5"/>
    </row>
    <row r="26" spans="1:7" ht="58.5" customHeight="1" x14ac:dyDescent="0.25">
      <c r="A26" s="5" t="str">
        <f>"H0006092"</f>
        <v>H0006092</v>
      </c>
      <c r="B26" s="5" t="str">
        <f>"ESTANTE METALICO 5 ENTREPAÑOS"</f>
        <v>ESTANTE METALICO 5 ENTREPAÑOS</v>
      </c>
      <c r="C26" s="6">
        <v>19819.73</v>
      </c>
      <c r="D26" s="5"/>
      <c r="E26" s="5" t="str">
        <f t="shared" si="0"/>
        <v>GERENCIA-HERNANDO JOSE MORA GONZALEZ</v>
      </c>
      <c r="F26" s="5" t="str">
        <f>"Descripcion: ESTANTE METALICO 5 ENTREPAÑOS Estado: Bueno Placa anterior: 000000173 Material: METALICO Color: GRIS OSCURO Referencia:  Observacion:  Placa padre: Tipo adquisicion: Entidad"</f>
        <v>Descripcion: ESTANTE METALICO 5 ENTREPAÑOS Estado: Bueno Placa anterior: 000000173 Material: METALICO Color: GRIS OSCURO Referencia:  Observacion:  Placa padre: Tipo adquisicion: Entidad</v>
      </c>
      <c r="G26" s="5"/>
    </row>
    <row r="27" spans="1:7" ht="58.5" customHeight="1" x14ac:dyDescent="0.25">
      <c r="A27" s="5" t="str">
        <f>"H0006099"</f>
        <v>H0006099</v>
      </c>
      <c r="B27" s="5" t="str">
        <f>"VITRINA DE 2 CUERPOS"</f>
        <v>VITRINA DE 2 CUERPOS</v>
      </c>
      <c r="C27" s="6">
        <v>37375</v>
      </c>
      <c r="D27" s="5"/>
      <c r="E27" s="5" t="str">
        <f t="shared" si="0"/>
        <v>GERENCIA-HERNANDO JOSE MORA GONZALEZ</v>
      </c>
      <c r="F27" s="5" t="str">
        <f>"Descripcion: BIBLIOTECA METALICA DOS CUERPOS TIPO VITRINA Estado: Bueno Placa anterior: 000000168 Material: METALICA CON VIDRIO Color: BEIGE Referencia:  Observacion:  Placa padre: Tipo adquisicion: Entidad"</f>
        <v>Descripcion: BIBLIOTECA METALICA DOS CUERPOS TIPO VITRINA Estado: Bueno Placa anterior: 000000168 Material: METALICA CON VIDRIO Color: BEIGE Referencia:  Observacion:  Placa padre: Tipo adquisicion: Entidad</v>
      </c>
      <c r="G27" s="5"/>
    </row>
    <row r="28" spans="1:7" ht="58.5" customHeight="1" x14ac:dyDescent="0.25">
      <c r="A28" s="5" t="str">
        <f>"H0006103"</f>
        <v>H0006103</v>
      </c>
      <c r="B28" s="5" t="str">
        <f>"SILLA INTERLOCUTORA (FIJA) SIN BRAZOS"</f>
        <v>SILLA INTERLOCUTORA (FIJA) SIN BRAZOS</v>
      </c>
      <c r="C28" s="6">
        <v>6191.94</v>
      </c>
      <c r="D28" s="5"/>
      <c r="E28" s="5" t="str">
        <f t="shared" si="0"/>
        <v>GERENCIA-HERNANDO JOSE MORA GONZALEZ</v>
      </c>
      <c r="F28" s="5" t="str">
        <f>"Descripcion: SILLA FIJA SIN BRAZOS COLOR MARRON (TAPIZADO DE ASIENTO DAÑADO) Estado: Regular Placa anterior: 000000208 Material: METALICO CON TAPIZADO EN SEMICUERO Color: MARRON Referencia:  Observacion:  Placa padre: Tipo adquisicion: Entidad"</f>
        <v>Descripcion: SILLA FIJA SIN BRAZOS COLOR MARRON (TAPIZADO DE ASIENTO DAÑADO) Estado: Regular Placa anterior: 000000208 Material: METALICO CON TAPIZADO EN SEMICUERO Color: MARRON Referencia:  Observacion:  Placa padre: Tipo adquisicion: Entidad</v>
      </c>
      <c r="G28" s="5"/>
    </row>
    <row r="29" spans="1:7" ht="58.5" customHeight="1" x14ac:dyDescent="0.25">
      <c r="A29" s="5" t="str">
        <f>"H0006104"</f>
        <v>H0006104</v>
      </c>
      <c r="B29" s="5" t="str">
        <f>"PERCHERO"</f>
        <v>PERCHERO</v>
      </c>
      <c r="C29" s="6">
        <v>5080</v>
      </c>
      <c r="D29" s="5"/>
      <c r="E29" s="5" t="str">
        <f t="shared" si="0"/>
        <v>GERENCIA-HERNANDO JOSE MORA GONZALEZ</v>
      </c>
      <c r="F29" s="5" t="str">
        <f>"Descripcion: PERCHERO METALICO Estado: Regular Placa anterior: 000001372 Material: METALICO Color: CROMADO Referencia:  Observacion:  Placa padre: Tipo adquisicion: Entidad"</f>
        <v>Descripcion: PERCHERO METALICO Estado: Regular Placa anterior: 000001372 Material: METALICO Color: CROMADO Referencia:  Observacion:  Placa padre: Tipo adquisicion: Entidad</v>
      </c>
      <c r="G29" s="5"/>
    </row>
    <row r="30" spans="1:7" ht="58.5" customHeight="1" x14ac:dyDescent="0.25">
      <c r="A30" s="5" t="str">
        <f>"H0006107"</f>
        <v>H0006107</v>
      </c>
      <c r="B30" s="5" t="str">
        <f>"BANDEJA ESCRITORIO (PORTAPAPELES)"</f>
        <v>BANDEJA ESCRITORIO (PORTAPAPELES)</v>
      </c>
      <c r="C30" s="6">
        <v>7500</v>
      </c>
      <c r="D30" s="5"/>
      <c r="E30" s="5" t="str">
        <f t="shared" si="0"/>
        <v>GERENCIA-HERNANDO JOSE MORA GONZALEZ</v>
      </c>
      <c r="F30" s="5" t="str">
        <f>"Descripcion: PAPELERAS DE MESA  Estado: Bueno Placa anterior: 000031283 Material: MADERA Color: MARRON Referencia:  Observacion:  Placa padre: Tipo adquisicion: Entidad"</f>
        <v>Descripcion: PAPELERAS DE MESA  Estado: Bueno Placa anterior: 000031283 Material: MADERA Color: MARRON Referencia:  Observacion:  Placa padre: Tipo adquisicion: Entidad</v>
      </c>
      <c r="G30" s="5"/>
    </row>
    <row r="31" spans="1:7" ht="58.5" customHeight="1" x14ac:dyDescent="0.25">
      <c r="A31" s="5" t="str">
        <f>"H0006108"</f>
        <v>H0006108</v>
      </c>
      <c r="B31" s="5" t="str">
        <f>"BANDEJA ESCRITORIO (PORTAPAPELES)"</f>
        <v>BANDEJA ESCRITORIO (PORTAPAPELES)</v>
      </c>
      <c r="C31" s="6">
        <v>7500</v>
      </c>
      <c r="D31" s="5"/>
      <c r="E31" s="5" t="str">
        <f t="shared" si="0"/>
        <v>GERENCIA-HERNANDO JOSE MORA GONZALEZ</v>
      </c>
      <c r="F31" s="5" t="str">
        <f>"Descripcion: PAPELERAS DE MESA Estado: Bueno Placa anterior: 000000226 Material: MADERA Color:  Referencia:  Observacion:  Placa padre: Tipo adquisicion: Entidad"</f>
        <v>Descripcion: PAPELERAS DE MESA Estado: Bueno Placa anterior: 000000226 Material: MADERA Color:  Referencia:  Observacion:  Placa padre: Tipo adquisicion: Entidad</v>
      </c>
      <c r="G31" s="5"/>
    </row>
    <row r="32" spans="1:7" ht="58.5" customHeight="1" x14ac:dyDescent="0.25">
      <c r="A32" s="5" t="str">
        <f>"H0007074"</f>
        <v>H0007074</v>
      </c>
      <c r="B32" s="5" t="str">
        <f>"IMPRESORA LASER"</f>
        <v>IMPRESORA LASER</v>
      </c>
      <c r="C32" s="6">
        <v>330600</v>
      </c>
      <c r="D32" s="5"/>
      <c r="E32" s="5" t="str">
        <f t="shared" si="0"/>
        <v>GERENCIA-HERNANDO JOSE MORA GONZALEZ</v>
      </c>
      <c r="F32" s="5" t="str">
        <f>"Descripcion: IMPRESORA HP 1005 VELOCIDAD 17 PPM MEMORIA ESTAMDAR 8 MB, RESOLUCION 1200 DPI Estado: Excelente Placa anterior: 000025891 Material: PLASTICO Color: GRIS Referencia: CB411A Observacion:  Placa padre: Tipo adquisicion: Entidad"</f>
        <v>Descripcion: IMPRESORA HP 1005 VELOCIDAD 17 PPM MEMORIA ESTAMDAR 8 MB, RESOLUCION 1200 DPI Estado: Excelente Placa anterior: 000025891 Material: PLASTICO Color: GRIS Referencia: CB411A Observacion:  Placa padre: Tipo adquisicion: Entidad</v>
      </c>
      <c r="G32" s="5" t="str">
        <f>"HP LASERJET P1006"</f>
        <v>HP LASERJET P1006</v>
      </c>
    </row>
    <row r="33" spans="1:7" ht="58.5" customHeight="1" x14ac:dyDescent="0.25">
      <c r="A33" s="5" t="str">
        <f>"H0020515"</f>
        <v>H0020515</v>
      </c>
      <c r="B33" s="5" t="str">
        <f>"CAMIONETA"</f>
        <v>CAMIONETA</v>
      </c>
      <c r="C33" s="6">
        <v>57000000</v>
      </c>
      <c r="D33" s="5" t="s">
        <v>8</v>
      </c>
      <c r="E33" s="5" t="str">
        <f t="shared" si="0"/>
        <v>GERENCIA-HERNANDO JOSE MORA GONZALEZ</v>
      </c>
      <c r="F33" s="5" t="str">
        <f>"Descripcion: CAMIONETA CON PLATON Doble Cabina cuatro puertas Aire acondicionado Motor igual o mayor a 2400c.c. Combustible gasolina Doble tracciòn (4x4). Vidrios electricos. Ring igual o superior a 16 Estado: Bueno Placa anterior: 000030233 Material:  Co"&amp; "lor: BLANCO NEVADO BICAPA Referencia: NUMERO MOTOR G6406292 Observacion:  Placa anterior:, Placa nueva=H0020516, Descripcion:ESTUCHE EN PAÑO COLOR NEGRO, 1 GATO, 1 LINTERNA, 1 EXTINTOR, 1 MINIBOTIQUIN , Serial:, Marca:, Modelo:, Material:, Color:,   Refer"&amp; "encia: Placa padre: Tipo adquisicion: Entidad:OWN 275"</f>
        <v>Descripcion: CAMIONETA CON PLATON Doble Cabina cuatro puertas Aire acondicionado Motor igual o mayor a 2400c.c. Combustible gasolina Doble tracciòn (4x4). Vidrios electricos. Ring igual o superior a 16 Estado: Bueno Placa anterior: 000030233 Material:  Color: BLANCO NEVADO BICAPA Referencia: NUMERO MOTOR G6406292 Observacion:  Placa anterior:, Placa nueva=H0020516, Descripcion:ESTUCHE EN PAÑO COLOR NEGRO, 1 GATO, 1 LINTERNA, 1 EXTINTOR, 1 MINIBOTIQUIN , Serial:, Marca:, Modelo:, Material:, Color:,   Referencia: Placa padre: Tipo adquisicion: Entidad:OWN 275</v>
      </c>
      <c r="G33" s="5" t="str">
        <f>"BT50 - 2013"</f>
        <v>BT50 - 2013</v>
      </c>
    </row>
    <row r="34" spans="1:7" ht="58.5" customHeight="1" x14ac:dyDescent="0.25">
      <c r="A34" s="5" t="str">
        <f>"H0025292"</f>
        <v>H0025292</v>
      </c>
      <c r="B34" s="5" t="str">
        <f>"DISPENSADOR DE AGUA (Donación )"</f>
        <v>DISPENSADOR DE AGUA (Donación )</v>
      </c>
      <c r="C34" s="6">
        <v>285450</v>
      </c>
      <c r="D34" s="5" t="s">
        <v>9</v>
      </c>
      <c r="E34" s="5" t="str">
        <f t="shared" ref="E34:E67" si="1">"GERENCIA-HERNANDO JOSE MORA GONZALEZ"</f>
        <v>GERENCIA-HERNANDO JOSE MORA GONZALEZ</v>
      </c>
      <c r="F34" s="5"/>
      <c r="G34" s="5"/>
    </row>
    <row r="35" spans="1:7" ht="58.5" customHeight="1" x14ac:dyDescent="0.25">
      <c r="A35" s="5" t="str">
        <f>"H0025320"</f>
        <v>H0025320</v>
      </c>
      <c r="B3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5" s="6">
        <v>312156</v>
      </c>
      <c r="D35" s="5" t="s">
        <v>10</v>
      </c>
      <c r="E35" s="5" t="str">
        <f t="shared" si="1"/>
        <v>GERENCIA-HERNANDO JOSE MORA GONZALEZ</v>
      </c>
      <c r="F35" s="5"/>
      <c r="G35" s="5"/>
    </row>
    <row r="36" spans="1:7" ht="58.5" customHeight="1" x14ac:dyDescent="0.25">
      <c r="A36" s="5" t="str">
        <f>"H0025447"</f>
        <v>H0025447</v>
      </c>
      <c r="B3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6" s="6">
        <v>312156</v>
      </c>
      <c r="D36" s="5" t="s">
        <v>10</v>
      </c>
      <c r="E36" s="5" t="str">
        <f t="shared" si="1"/>
        <v>GERENCIA-HERNANDO JOSE MORA GONZALEZ</v>
      </c>
      <c r="F36" s="5"/>
      <c r="G36" s="5"/>
    </row>
    <row r="37" spans="1:7" ht="58.5" customHeight="1" x14ac:dyDescent="0.25">
      <c r="A37" s="5" t="str">
        <f>"H0025448"</f>
        <v>H0025448</v>
      </c>
      <c r="B3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7" s="6">
        <v>312156</v>
      </c>
      <c r="D37" s="5" t="s">
        <v>10</v>
      </c>
      <c r="E37" s="5" t="str">
        <f t="shared" si="1"/>
        <v>GERENCIA-HERNANDO JOSE MORA GONZALEZ</v>
      </c>
      <c r="F37" s="5"/>
      <c r="G37" s="5"/>
    </row>
    <row r="38" spans="1:7" ht="58.5" customHeight="1" x14ac:dyDescent="0.25">
      <c r="A38" s="5" t="str">
        <f>"H0025696"</f>
        <v>H0025696</v>
      </c>
      <c r="B38" s="5"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38" s="6">
        <v>666400</v>
      </c>
      <c r="D38" s="5" t="s">
        <v>11</v>
      </c>
      <c r="E38" s="5" t="str">
        <f t="shared" si="1"/>
        <v>GERENCIA-HERNANDO JOSE MORA GONZALEZ</v>
      </c>
      <c r="F38" s="5"/>
      <c r="G38" s="5"/>
    </row>
    <row r="39" spans="1:7" ht="58.5" customHeight="1" x14ac:dyDescent="0.25">
      <c r="A39" s="5" t="str">
        <f>"H0025697"</f>
        <v>H0025697</v>
      </c>
      <c r="B39" s="5"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39" s="6">
        <v>666400</v>
      </c>
      <c r="D39" s="5" t="s">
        <v>11</v>
      </c>
      <c r="E39" s="5" t="str">
        <f t="shared" si="1"/>
        <v>GERENCIA-HERNANDO JOSE MORA GONZALEZ</v>
      </c>
      <c r="F39" s="5"/>
      <c r="G39" s="5"/>
    </row>
    <row r="40" spans="1:7" ht="58.5" customHeight="1" x14ac:dyDescent="0.25">
      <c r="A40" s="5" t="str">
        <f>"H0027314"</f>
        <v>H0027314</v>
      </c>
      <c r="B40" s="5" t="str">
        <f>"ESCANER DE ALTA VELOCIDAD 35 PPM"</f>
        <v>ESCANER DE ALTA VELOCIDAD 35 PPM</v>
      </c>
      <c r="C40" s="6">
        <v>1237171.56</v>
      </c>
      <c r="D40" s="5" t="s">
        <v>12</v>
      </c>
      <c r="E40" s="5" t="str">
        <f t="shared" si="1"/>
        <v>GERENCIA-HERNANDO JOSE MORA GONZALEZ</v>
      </c>
      <c r="F40" s="5"/>
      <c r="G40" s="5"/>
    </row>
    <row r="41" spans="1:7" ht="58.5" customHeight="1" x14ac:dyDescent="0.25">
      <c r="A41" s="5" t="str">
        <f>"H0029158"</f>
        <v>H0029158</v>
      </c>
      <c r="B4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41" s="6">
        <v>2425000</v>
      </c>
      <c r="D41" s="5" t="s">
        <v>13</v>
      </c>
      <c r="E41" s="5" t="str">
        <f t="shared" si="1"/>
        <v>GERENCIA-HERNANDO JOSE MORA GONZALEZ</v>
      </c>
      <c r="F41" s="5"/>
      <c r="G41" s="5"/>
    </row>
    <row r="42" spans="1:7" ht="58.5" customHeight="1" x14ac:dyDescent="0.25">
      <c r="A42" s="5" t="str">
        <f>"H0029487"</f>
        <v>H0029487</v>
      </c>
      <c r="B42" s="5" t="str">
        <f>"TABLETA DIGITALIZADORA DE 200 x 160 x 8.8 mm RESOLUCIÓN DE 2540 lpi. 4096 PUNTOS DE PRESIÓN. VELOCIDAD DE LECTURA DE 133 pps. TECNOLOGÍA DE RESONANCIA ELECTROMAGNÉTICA. CONEXIÓN MICRO USB. INCLUYE LAPICERO"</f>
        <v>TABLETA DIGITALIZADORA DE 200 x 160 x 8.8 mm RESOLUCIÓN DE 2540 lpi. 4096 PUNTOS DE PRESIÓN. VELOCIDAD DE LECTURA DE 133 pps. TECNOLOGÍA DE RESONANCIA ELECTROMAGNÉTICA. CONEXIÓN MICRO USB. INCLUYE LAPICERO</v>
      </c>
      <c r="C42" s="6">
        <v>291550</v>
      </c>
      <c r="D42" s="5" t="s">
        <v>14</v>
      </c>
      <c r="E42" s="5" t="str">
        <f t="shared" si="1"/>
        <v>GERENCIA-HERNANDO JOSE MORA GONZALEZ</v>
      </c>
      <c r="F42" s="5"/>
      <c r="G42" s="5"/>
    </row>
    <row r="43" spans="1:7" ht="58.5" customHeight="1" x14ac:dyDescent="0.25">
      <c r="A43" s="5" t="str">
        <f>"H0029587"</f>
        <v>H0029587</v>
      </c>
      <c r="B4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43" s="6">
        <v>252400.18</v>
      </c>
      <c r="D43" s="5" t="s">
        <v>15</v>
      </c>
      <c r="E43" s="5" t="str">
        <f t="shared" si="1"/>
        <v>GERENCIA-HERNANDO JOSE MORA GONZALEZ</v>
      </c>
      <c r="F43" s="5"/>
      <c r="G43" s="5"/>
    </row>
    <row r="44" spans="1:7" ht="58.5" customHeight="1" x14ac:dyDescent="0.25">
      <c r="A44" s="5" t="str">
        <f>"H0031501"</f>
        <v>H0031501</v>
      </c>
      <c r="B44"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44" s="6">
        <v>3209500</v>
      </c>
      <c r="D44" s="5" t="s">
        <v>16</v>
      </c>
      <c r="E44" s="5" t="str">
        <f t="shared" si="1"/>
        <v>GERENCIA-HERNANDO JOSE MORA GONZALEZ</v>
      </c>
      <c r="F44" s="5"/>
      <c r="G44" s="5"/>
    </row>
    <row r="45" spans="1:7" ht="58.5" customHeight="1" x14ac:dyDescent="0.25">
      <c r="A45" s="5" t="str">
        <f>"H0031502"</f>
        <v>H0031502</v>
      </c>
      <c r="B4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45" s="6">
        <v>3209500</v>
      </c>
      <c r="D45" s="5" t="s">
        <v>16</v>
      </c>
      <c r="E45" s="5" t="str">
        <f t="shared" si="1"/>
        <v>GERENCIA-HERNANDO JOSE MORA GONZALEZ</v>
      </c>
      <c r="F45" s="5"/>
      <c r="G45" s="5"/>
    </row>
    <row r="46" spans="1:7" ht="58.5" customHeight="1" x14ac:dyDescent="0.25">
      <c r="A46" s="5" t="str">
        <f>"H0032496"</f>
        <v>H0032496</v>
      </c>
      <c r="B46"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46" s="6">
        <v>420090</v>
      </c>
      <c r="D46" s="5" t="s">
        <v>17</v>
      </c>
      <c r="E46" s="5" t="str">
        <f t="shared" si="1"/>
        <v>GERENCIA-HERNANDO JOSE MORA GONZALEZ</v>
      </c>
      <c r="F46" s="5"/>
      <c r="G46" s="5"/>
    </row>
    <row r="47" spans="1:7" ht="58.5" customHeight="1" x14ac:dyDescent="0.25">
      <c r="A47" s="5" t="str">
        <f>"H0034460"</f>
        <v>H0034460</v>
      </c>
      <c r="B47" s="5" t="str">
        <f>"COMPRESOR MARCA DANFOSS MODELO HCM120T4LCG 460V 3-60 HZ  R-22"</f>
        <v>COMPRESOR MARCA DANFOSS MODELO HCM120T4LCG 460V 3-60 HZ  R-22</v>
      </c>
      <c r="C47" s="6">
        <v>7750000.04</v>
      </c>
      <c r="D47" s="5" t="s">
        <v>18</v>
      </c>
      <c r="E47" s="5" t="str">
        <f t="shared" si="1"/>
        <v>GERENCIA-HERNANDO JOSE MORA GONZALEZ</v>
      </c>
      <c r="F47" s="5"/>
      <c r="G47" s="5"/>
    </row>
    <row r="48" spans="1:7" ht="58.5" customHeight="1" x14ac:dyDescent="0.25">
      <c r="A48" s="5" t="str">
        <f>"H0034590"</f>
        <v>H0034590</v>
      </c>
      <c r="B48" s="5" t="str">
        <f>"Persiana en panel japonés en tela referencia naturale moka 646-3. Medida: 1.65 x 1.20 m"</f>
        <v>Persiana en panel japonés en tela referencia naturale moka 646-3. Medida: 1.65 x 1.20 m</v>
      </c>
      <c r="C48" s="6">
        <v>280000</v>
      </c>
      <c r="D48" s="5" t="s">
        <v>19</v>
      </c>
      <c r="E48" s="5" t="str">
        <f t="shared" si="1"/>
        <v>GERENCIA-HERNANDO JOSE MORA GONZALEZ</v>
      </c>
      <c r="F48" s="5"/>
      <c r="G48" s="5"/>
    </row>
    <row r="49" spans="1:7" ht="58.5" customHeight="1" x14ac:dyDescent="0.25">
      <c r="A49" s="5" t="str">
        <f>"H0034639"</f>
        <v>H0034639</v>
      </c>
      <c r="B49" s="5" t="str">
        <f>"AIRE ACONDICIONADO TIPO PISO TECHO CAPACIDAD 40.000 BTUTECNOLOGIA INVERTER DUAL"</f>
        <v>AIRE ACONDICIONADO TIPO PISO TECHO CAPACIDAD 40.000 BTUTECNOLOGIA INVERTER DUAL</v>
      </c>
      <c r="C49" s="6">
        <v>6757400</v>
      </c>
      <c r="D49" s="5" t="s">
        <v>20</v>
      </c>
      <c r="E49" s="5" t="str">
        <f t="shared" si="1"/>
        <v>GERENCIA-HERNANDO JOSE MORA GONZALEZ</v>
      </c>
      <c r="F49" s="5"/>
      <c r="G49" s="5" t="str">
        <f>"909TALBCE368"</f>
        <v>909TALBCE368</v>
      </c>
    </row>
    <row r="50" spans="1:7" ht="58.5" customHeight="1" x14ac:dyDescent="0.25">
      <c r="A50" s="5" t="str">
        <f>"H0034821"</f>
        <v>H0034821</v>
      </c>
      <c r="B50" s="5" t="str">
        <f>"Pistola para desinfección por niebla"</f>
        <v>Pistola para desinfección por niebla</v>
      </c>
      <c r="C50" s="6">
        <v>425000</v>
      </c>
      <c r="D50" s="5" t="s">
        <v>21</v>
      </c>
      <c r="E50" s="5" t="str">
        <f t="shared" si="1"/>
        <v>GERENCIA-HERNANDO JOSE MORA GONZALEZ</v>
      </c>
      <c r="F50" s="5"/>
      <c r="G50" s="5"/>
    </row>
    <row r="51" spans="1:7" ht="58.5" customHeight="1" x14ac:dyDescent="0.25">
      <c r="A51" s="5" t="str">
        <f>"H0034845"</f>
        <v>H0034845</v>
      </c>
      <c r="B51" s="5" t="s">
        <v>23</v>
      </c>
      <c r="C51" s="6">
        <v>4403000</v>
      </c>
      <c r="D51" s="5" t="s">
        <v>22</v>
      </c>
      <c r="E51" s="5" t="str">
        <f t="shared" si="1"/>
        <v>GERENCIA-HERNANDO JOSE MORA GONZALEZ</v>
      </c>
      <c r="F51" s="5"/>
      <c r="G51" s="5"/>
    </row>
    <row r="52" spans="1:7" ht="58.5" customHeight="1" x14ac:dyDescent="0.25">
      <c r="A52" s="5" t="str">
        <f>"h0034851"</f>
        <v>h0034851</v>
      </c>
      <c r="B52" s="5" t="str">
        <f>"COMPUTADOR TODO EN UNO"</f>
        <v>COMPUTADOR TODO EN UNO</v>
      </c>
      <c r="C52" s="6">
        <v>5291396.9000000004</v>
      </c>
      <c r="D52" s="5" t="s">
        <v>24</v>
      </c>
      <c r="E52" s="5" t="str">
        <f t="shared" si="1"/>
        <v>GERENCIA-HERNANDO JOSE MORA GONZALEZ</v>
      </c>
      <c r="F52" s="5"/>
      <c r="G52" s="5"/>
    </row>
    <row r="53" spans="1:7" ht="58.5" customHeight="1" x14ac:dyDescent="0.25">
      <c r="A53" s="5" t="str">
        <f>"H0035009"</f>
        <v>H0035009</v>
      </c>
      <c r="B53" s="5" t="str">
        <f>"Altavoces Estéreo Ac Logitech S120, Control Volumen / 3.5mm"</f>
        <v>Altavoces Estéreo Ac Logitech S120, Control Volumen / 3.5mm</v>
      </c>
      <c r="C53" s="6">
        <v>83300</v>
      </c>
      <c r="D53" s="5" t="s">
        <v>22</v>
      </c>
      <c r="E53" s="5" t="str">
        <f t="shared" si="1"/>
        <v>GERENCIA-HERNANDO JOSE MORA GONZALEZ</v>
      </c>
      <c r="F53" s="5"/>
      <c r="G53" s="5"/>
    </row>
    <row r="54" spans="1:7" ht="58.5" customHeight="1" x14ac:dyDescent="0.25">
      <c r="A54" s="5" t="str">
        <f>"H0035136"</f>
        <v>H0035136</v>
      </c>
      <c r="B54" s="5" t="s">
        <v>26</v>
      </c>
      <c r="C54" s="6">
        <v>3808000</v>
      </c>
      <c r="D54" s="5" t="s">
        <v>25</v>
      </c>
      <c r="E54" s="5" t="str">
        <f t="shared" si="1"/>
        <v>GERENCIA-HERNANDO JOSE MORA GONZALEZ</v>
      </c>
      <c r="F54" s="5"/>
      <c r="G54" s="5"/>
    </row>
    <row r="55" spans="1:7" ht="58.5" customHeight="1" x14ac:dyDescent="0.25">
      <c r="A55" s="5" t="str">
        <f>"H0035991"</f>
        <v>H0035991</v>
      </c>
      <c r="B55" s="5" t="str">
        <f t="shared" ref="B55:B62" si="2">"SILLA INTERLOCUTORA BUTTERFLY ASIENTO"</f>
        <v>SILLA INTERLOCUTORA BUTTERFLY ASIENTO</v>
      </c>
      <c r="C55" s="6">
        <v>351000</v>
      </c>
      <c r="D55" s="5" t="s">
        <v>27</v>
      </c>
      <c r="E55" s="5" t="str">
        <f t="shared" si="1"/>
        <v>GERENCIA-HERNANDO JOSE MORA GONZALEZ</v>
      </c>
      <c r="F55" s="5"/>
      <c r="G55" s="5"/>
    </row>
    <row r="56" spans="1:7" ht="58.5" customHeight="1" x14ac:dyDescent="0.25">
      <c r="A56" s="5" t="str">
        <f>"H0035992"</f>
        <v>H0035992</v>
      </c>
      <c r="B56" s="5" t="str">
        <f t="shared" si="2"/>
        <v>SILLA INTERLOCUTORA BUTTERFLY ASIENTO</v>
      </c>
      <c r="C56" s="6">
        <v>351000</v>
      </c>
      <c r="D56" s="5" t="s">
        <v>27</v>
      </c>
      <c r="E56" s="5" t="str">
        <f t="shared" si="1"/>
        <v>GERENCIA-HERNANDO JOSE MORA GONZALEZ</v>
      </c>
      <c r="F56" s="5"/>
      <c r="G56" s="5"/>
    </row>
    <row r="57" spans="1:7" ht="58.5" customHeight="1" x14ac:dyDescent="0.25">
      <c r="A57" s="5" t="str">
        <f>"H0035993"</f>
        <v>H0035993</v>
      </c>
      <c r="B57" s="5" t="str">
        <f t="shared" si="2"/>
        <v>SILLA INTERLOCUTORA BUTTERFLY ASIENTO</v>
      </c>
      <c r="C57" s="6">
        <v>351000</v>
      </c>
      <c r="D57" s="5" t="s">
        <v>27</v>
      </c>
      <c r="E57" s="5" t="str">
        <f t="shared" si="1"/>
        <v>GERENCIA-HERNANDO JOSE MORA GONZALEZ</v>
      </c>
      <c r="F57" s="5"/>
      <c r="G57" s="5"/>
    </row>
    <row r="58" spans="1:7" ht="58.5" customHeight="1" x14ac:dyDescent="0.25">
      <c r="A58" s="5" t="str">
        <f>"H0035994"</f>
        <v>H0035994</v>
      </c>
      <c r="B58" s="5" t="str">
        <f t="shared" si="2"/>
        <v>SILLA INTERLOCUTORA BUTTERFLY ASIENTO</v>
      </c>
      <c r="C58" s="6">
        <v>351000</v>
      </c>
      <c r="D58" s="5" t="s">
        <v>27</v>
      </c>
      <c r="E58" s="5" t="str">
        <f t="shared" si="1"/>
        <v>GERENCIA-HERNANDO JOSE MORA GONZALEZ</v>
      </c>
      <c r="F58" s="5"/>
      <c r="G58" s="5"/>
    </row>
    <row r="59" spans="1:7" ht="58.5" customHeight="1" x14ac:dyDescent="0.25">
      <c r="A59" s="5" t="str">
        <f>"H0035995"</f>
        <v>H0035995</v>
      </c>
      <c r="B59" s="5" t="str">
        <f t="shared" si="2"/>
        <v>SILLA INTERLOCUTORA BUTTERFLY ASIENTO</v>
      </c>
      <c r="C59" s="6">
        <v>351000</v>
      </c>
      <c r="D59" s="5" t="s">
        <v>27</v>
      </c>
      <c r="E59" s="5" t="str">
        <f t="shared" si="1"/>
        <v>GERENCIA-HERNANDO JOSE MORA GONZALEZ</v>
      </c>
      <c r="F59" s="5"/>
      <c r="G59" s="5"/>
    </row>
    <row r="60" spans="1:7" ht="58.5" customHeight="1" x14ac:dyDescent="0.25">
      <c r="A60" s="5" t="str">
        <f>"H0035998"</f>
        <v>H0035998</v>
      </c>
      <c r="B60" s="5" t="str">
        <f t="shared" si="2"/>
        <v>SILLA INTERLOCUTORA BUTTERFLY ASIENTO</v>
      </c>
      <c r="C60" s="6">
        <v>351000</v>
      </c>
      <c r="D60" s="5" t="s">
        <v>27</v>
      </c>
      <c r="E60" s="5" t="str">
        <f t="shared" si="1"/>
        <v>GERENCIA-HERNANDO JOSE MORA GONZALEZ</v>
      </c>
      <c r="F60" s="5"/>
      <c r="G60" s="5"/>
    </row>
    <row r="61" spans="1:7" ht="58.5" customHeight="1" x14ac:dyDescent="0.25">
      <c r="A61" s="5" t="str">
        <f>"H0036002"</f>
        <v>H0036002</v>
      </c>
      <c r="B61" s="5" t="str">
        <f t="shared" si="2"/>
        <v>SILLA INTERLOCUTORA BUTTERFLY ASIENTO</v>
      </c>
      <c r="C61" s="6">
        <v>351000</v>
      </c>
      <c r="D61" s="5" t="s">
        <v>27</v>
      </c>
      <c r="E61" s="5" t="str">
        <f t="shared" si="1"/>
        <v>GERENCIA-HERNANDO JOSE MORA GONZALEZ</v>
      </c>
      <c r="F61" s="5"/>
      <c r="G61" s="5"/>
    </row>
    <row r="62" spans="1:7" ht="58.5" customHeight="1" x14ac:dyDescent="0.25">
      <c r="A62" s="5" t="str">
        <f>"H0036004"</f>
        <v>H0036004</v>
      </c>
      <c r="B62" s="5" t="str">
        <f t="shared" si="2"/>
        <v>SILLA INTERLOCUTORA BUTTERFLY ASIENTO</v>
      </c>
      <c r="C62" s="6">
        <v>351000</v>
      </c>
      <c r="D62" s="5" t="s">
        <v>27</v>
      </c>
      <c r="E62" s="5" t="str">
        <f t="shared" si="1"/>
        <v>GERENCIA-HERNANDO JOSE MORA GONZALEZ</v>
      </c>
      <c r="F62" s="5"/>
      <c r="G62" s="5"/>
    </row>
    <row r="63" spans="1:7" ht="58.5" customHeight="1" x14ac:dyDescent="0.25">
      <c r="A63" s="5" t="str">
        <f>"H0036908"</f>
        <v>H0036908</v>
      </c>
      <c r="B63" s="5" t="str">
        <f>"AIRE ACONDICIONADO DE 24000 BTU CONVENCIONAL R410"</f>
        <v>AIRE ACONDICIONADO DE 24000 BTU CONVENCIONAL R410</v>
      </c>
      <c r="C63" s="6">
        <v>4950000</v>
      </c>
      <c r="D63" s="5" t="s">
        <v>28</v>
      </c>
      <c r="E63" s="5" t="str">
        <f t="shared" si="1"/>
        <v>GERENCIA-HERNANDO JOSE MORA GONZALEZ</v>
      </c>
      <c r="F63" s="5"/>
      <c r="G63" s="5"/>
    </row>
    <row r="64" spans="1:7" ht="58.5" customHeight="1" x14ac:dyDescent="0.25">
      <c r="A64" s="5" t="str">
        <f>"H0036911"</f>
        <v>H0036911</v>
      </c>
      <c r="B64" s="5" t="str">
        <f>"AIRE ACONDICIONADO DE 24000 BTU CONVENCIONAL R410"</f>
        <v>AIRE ACONDICIONADO DE 24000 BTU CONVENCIONAL R410</v>
      </c>
      <c r="C64" s="6">
        <v>4950000</v>
      </c>
      <c r="D64" s="5" t="s">
        <v>28</v>
      </c>
      <c r="E64" s="5" t="str">
        <f t="shared" si="1"/>
        <v>GERENCIA-HERNANDO JOSE MORA GONZALEZ</v>
      </c>
      <c r="F64" s="5"/>
      <c r="G64" s="5"/>
    </row>
    <row r="65" spans="1:7" ht="58.5" customHeight="1" x14ac:dyDescent="0.25">
      <c r="A65" s="5" t="str">
        <f>"H0037578"</f>
        <v>H0037578</v>
      </c>
      <c r="B65"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65" s="6">
        <v>1837598</v>
      </c>
      <c r="D65" s="5" t="s">
        <v>29</v>
      </c>
      <c r="E65" s="5" t="str">
        <f t="shared" si="1"/>
        <v>GERENCIA-HERNANDO JOSE MORA GONZALEZ</v>
      </c>
      <c r="F65" s="5"/>
      <c r="G65" s="5"/>
    </row>
    <row r="66" spans="1:7" ht="58.5" customHeight="1" x14ac:dyDescent="0.25">
      <c r="A66" s="5" t="str">
        <f>"H0037924"</f>
        <v>H0037924</v>
      </c>
      <c r="B66" s="5" t="str">
        <f>"SILLA GERENTE NIZA MEC. BASCULANTE CON BRAZOS."</f>
        <v>SILLA GERENTE NIZA MEC. BASCULANTE CON BRAZOS.</v>
      </c>
      <c r="C66" s="6">
        <v>710000.01</v>
      </c>
      <c r="D66" s="5" t="s">
        <v>30</v>
      </c>
      <c r="E66" s="5" t="str">
        <f t="shared" si="1"/>
        <v>GERENCIA-HERNANDO JOSE MORA GONZALEZ</v>
      </c>
      <c r="F66" s="5"/>
      <c r="G66" s="5"/>
    </row>
    <row r="67" spans="1:7" ht="58.5" customHeight="1" x14ac:dyDescent="0.25">
      <c r="A67" s="5" t="str">
        <f>"H0038114"</f>
        <v>H0038114</v>
      </c>
      <c r="B67" s="5" t="str">
        <f>"COMPUTADOR TODO EN UNO"</f>
        <v>COMPUTADOR TODO EN UNO</v>
      </c>
      <c r="C67" s="6">
        <v>7497000</v>
      </c>
      <c r="D67" s="5" t="s">
        <v>31</v>
      </c>
      <c r="E67" s="5" t="str">
        <f t="shared" si="1"/>
        <v>GERENCIA-HERNANDO JOSE MORA GONZALEZ</v>
      </c>
      <c r="F67" s="5"/>
      <c r="G67" s="5"/>
    </row>
    <row r="68" spans="1:7" ht="58.5" customHeight="1" x14ac:dyDescent="0.25">
      <c r="A68" s="5" t="str">
        <f>"B0000760"</f>
        <v>B0000760</v>
      </c>
      <c r="B68" s="5" t="str">
        <f>"LICENCIA OFFICE HOME AND BUSINEES"</f>
        <v>LICENCIA OFFICE HOME AND BUSINEES</v>
      </c>
      <c r="C68" s="6">
        <v>440800</v>
      </c>
      <c r="D68" s="5" t="s">
        <v>1</v>
      </c>
      <c r="E68" s="5" t="str">
        <f t="shared" ref="E68:E99" si="3">"SUBGERENCIA DE SALUD-MARIBEL TRUJILLO BOTELLO"</f>
        <v>SUBGERENCIA DE SALUD-MARIBEL TRUJILLO BOTELLO</v>
      </c>
      <c r="F68" s="5" t="str">
        <f>"Descripcion: LICENCIA OFFICE HOME AND BUSIMESS 2013HOGAR Y EMPRESAS 2013CAJA Estado: Excelente Placa anterior: 000030641 Material:  Color:  Referencia: X18-08791 Observacion:  Placa padre: Tipo adquisicion: Entidad"</f>
        <v>Descripcion: LICENCIA OFFICE HOME AND BUSIMESS 2013HOGAR Y EMPRESAS 2013CAJA Estado: Excelente Placa anterior: 000030641 Material:  Color:  Referencia: X18-08791 Observacion:  Placa padre: Tipo adquisicion: Entidad</v>
      </c>
      <c r="G68" s="5" t="str">
        <f>"SKU-T5D-01634"</f>
        <v>SKU-T5D-01634</v>
      </c>
    </row>
    <row r="69" spans="1:7" ht="58.5" customHeight="1" x14ac:dyDescent="0.25">
      <c r="A69" s="5" t="str">
        <f>"B0004955"</f>
        <v>B0004955</v>
      </c>
      <c r="B69" s="5" t="str">
        <f>"LICENCIA OFFICE HOME AND BUSINEES"</f>
        <v>LICENCIA OFFICE HOME AND BUSINEES</v>
      </c>
      <c r="C69" s="6">
        <v>440800</v>
      </c>
      <c r="D69" s="5" t="s">
        <v>1</v>
      </c>
      <c r="E69" s="5" t="str">
        <f t="shared" si="3"/>
        <v>SUBGERENCIA DE SALUD-MARIBEL TRUJILLO BOTELLO</v>
      </c>
      <c r="F69" s="5" t="str">
        <f>"Descripcion: LICENCIA OFFICE HOME AND BUSIMESS 2013 Estado: Bueno Placa anterior: 000030597 Material:  Color:  Referencia:  Observacion:  Placa padre: Tipo adquisicion: Entidad"</f>
        <v>Descripcion: LICENCIA OFFICE HOME AND BUSIMESS 2013 Estado: Bueno Placa anterior: 000030597 Material:  Color:  Referencia:  Observacion:  Placa padre: Tipo adquisicion: Entidad</v>
      </c>
      <c r="G69" s="5"/>
    </row>
    <row r="70" spans="1:7" ht="58.5" customHeight="1" x14ac:dyDescent="0.25">
      <c r="A70" s="5" t="str">
        <f>"B0004956"</f>
        <v>B0004956</v>
      </c>
      <c r="B70" s="5" t="str">
        <f>"LICENCIA OFFICE HOME AND BUSINEES"</f>
        <v>LICENCIA OFFICE HOME AND BUSINEES</v>
      </c>
      <c r="C70" s="6">
        <v>440800</v>
      </c>
      <c r="D70" s="5" t="s">
        <v>1</v>
      </c>
      <c r="E70" s="5" t="str">
        <f t="shared" si="3"/>
        <v>SUBGERENCIA DE SALUD-MARIBEL TRUJILLO BOTELLO</v>
      </c>
      <c r="F70" s="5" t="str">
        <f>"Descripcion: LICENCIA OFFICE HOME AND BUSIMESS 2013 Estado: Bueno Placa anterior: 000030602 Material:  Color:  Referencia:  Observacion:  Placa padre: Tipo adquisicion: Entidad"</f>
        <v>Descripcion: LICENCIA OFFICE HOME AND BUSIMESS 2013 Estado: Bueno Placa anterior: 000030602 Material:  Color:  Referencia:  Observacion:  Placa padre: Tipo adquisicion: Entidad</v>
      </c>
      <c r="G70" s="5"/>
    </row>
    <row r="71" spans="1:7" ht="58.5" customHeight="1" x14ac:dyDescent="0.25">
      <c r="A71" s="5" t="str">
        <f>"B0004957"</f>
        <v>B0004957</v>
      </c>
      <c r="B71" s="5" t="str">
        <f>"LICENCIA OFFICE HOME AND BUSINEES"</f>
        <v>LICENCIA OFFICE HOME AND BUSINEES</v>
      </c>
      <c r="C71" s="6">
        <v>440800</v>
      </c>
      <c r="D71" s="5" t="s">
        <v>1</v>
      </c>
      <c r="E71" s="5" t="str">
        <f t="shared" si="3"/>
        <v>SUBGERENCIA DE SALUD-MARIBEL TRUJILLO BOTELLO</v>
      </c>
      <c r="F71" s="5" t="str">
        <f>"Descripcion: LICENCIA OFFICE HOME AND BUSIMESS 2013 Estado: Bueno Placa anterior: 000030608 Material:  Color:  Referencia:  Observacion:  Placa padre: Tipo adquisicion: Entidad"</f>
        <v>Descripcion: LICENCIA OFFICE HOME AND BUSIMESS 2013 Estado: Bueno Placa anterior: 000030608 Material:  Color:  Referencia:  Observacion:  Placa padre: Tipo adquisicion: Entidad</v>
      </c>
      <c r="G71" s="5"/>
    </row>
    <row r="72" spans="1:7" ht="58.5" customHeight="1" x14ac:dyDescent="0.25">
      <c r="A72" s="5" t="str">
        <f>"B0004958"</f>
        <v>B0004958</v>
      </c>
      <c r="B72" s="5" t="str">
        <f>"LICENCIA OFFICE HOME AND BUSINEES"</f>
        <v>LICENCIA OFFICE HOME AND BUSINEES</v>
      </c>
      <c r="C72" s="6">
        <v>440800</v>
      </c>
      <c r="D72" s="5" t="s">
        <v>2</v>
      </c>
      <c r="E72" s="5" t="str">
        <f t="shared" si="3"/>
        <v>SUBGERENCIA DE SALUD-MARIBEL TRUJILLO BOTELLO</v>
      </c>
      <c r="F72" s="5" t="str">
        <f>"Descripcion: LICENCIA OFFICE HOME AND BUSIMESS 2013 Estado: Bueno Placa anterior: 000030809 Material:  Color:  Referencia:  Observacion:  Placa padre: Tipo adquisicion: Entidad"</f>
        <v>Descripcion: LICENCIA OFFICE HOME AND BUSIMESS 2013 Estado: Bueno Placa anterior: 000030809 Material:  Color:  Referencia:  Observacion:  Placa padre: Tipo adquisicion: Entidad</v>
      </c>
      <c r="G72" s="5"/>
    </row>
    <row r="73" spans="1:7" ht="58.5" customHeight="1" x14ac:dyDescent="0.25">
      <c r="A73" s="5" t="str">
        <f>"H0001072"</f>
        <v>H0001072</v>
      </c>
      <c r="B73" s="5" t="str">
        <f>"ESCRITORIO DE MADERA 2 GAVETAS"</f>
        <v>ESCRITORIO DE MADERA 2 GAVETAS</v>
      </c>
      <c r="C73" s="6">
        <v>16526</v>
      </c>
      <c r="D73" s="5"/>
      <c r="E73" s="5" t="str">
        <f t="shared" si="3"/>
        <v>SUBGERENCIA DE SALUD-MARIBEL TRUJILLO BOTELLO</v>
      </c>
      <c r="F73" s="5" t="str">
        <f>"Descripcion: ESCRITORIO DE 2 GAVETAS MADERA (UNA GAVETA ESTA TOTALMENTE SUELTA) Estado: Malo Placa anterior: 000004779 Material: MADERA Color: MADERA CLARO Referencia:  Observacion:  Placa padre: Tipo adquisicion: Entidad"</f>
        <v>Descripcion: ESCRITORIO DE 2 GAVETAS MADERA (UNA GAVETA ESTA TOTALMENTE SUELTA) Estado: Malo Placa anterior: 000004779 Material: MADERA Color: MADERA CLARO Referencia:  Observacion:  Placa padre: Tipo adquisicion: Entidad</v>
      </c>
      <c r="G73" s="5"/>
    </row>
    <row r="74" spans="1:7" ht="58.5" customHeight="1" x14ac:dyDescent="0.25">
      <c r="A74" s="5" t="str">
        <f>"H0001088"</f>
        <v>H0001088</v>
      </c>
      <c r="B74" s="5" t="str">
        <f>"MESA DE NOCHE"</f>
        <v>MESA DE NOCHE</v>
      </c>
      <c r="C74" s="6">
        <v>327586</v>
      </c>
      <c r="D74" s="5"/>
      <c r="E74" s="5" t="str">
        <f t="shared" si="3"/>
        <v>SUBGERENCIA DE SALUD-MARIBEL TRUJILLO BOTELLO</v>
      </c>
      <c r="F74" s="5" t="str">
        <f>"Descripcion: MESA DE NOCHE EN ACERO 1 GAVETA 1 PUERTA Estado: Bueno Placa anterior: 000033025 Material: ACERO INOXIDABLE Color:  Referencia:  Observacion:  Placa padre: Tipo adquisicion: Entidad"</f>
        <v>Descripcion: MESA DE NOCHE EN ACERO 1 GAVETA 1 PUERTA Estado: Bueno Placa anterior: 000033025 Material: ACERO INOXIDABLE Color:  Referencia:  Observacion:  Placa padre: Tipo adquisicion: Entidad</v>
      </c>
      <c r="G74" s="5"/>
    </row>
    <row r="75" spans="1:7" ht="58.5" customHeight="1" x14ac:dyDescent="0.25">
      <c r="A75" s="5" t="str">
        <f>"H0001470"</f>
        <v>H0001470</v>
      </c>
      <c r="B75" s="5" t="str">
        <f>"COMPUTADOR TODO EN UNO"</f>
        <v>COMPUTADOR TODO EN UNO</v>
      </c>
      <c r="C75" s="6">
        <v>1572000</v>
      </c>
      <c r="D75" s="5" t="s">
        <v>32</v>
      </c>
      <c r="E75" s="5" t="str">
        <f t="shared" si="3"/>
        <v>SUBGERENCIA DE SALUD-MARIBEL TRUJILLO BOTELLO</v>
      </c>
      <c r="F75" s="5" t="str">
        <f>"Descripcion: COMPUTADOR TODO EN UNO PROCESADOR CORE 3.0 PANTALLA 21  Estado: Bueno Placa anterior: 000030581 Material:  Color: NEGRO Referencia:  Observacion:  Placa anterior:, Placa nueva=H0001472, Descripcion:MOUSE OPTICO, Serial:672552-001, Marca:HP, M"&amp; "odelo:, Material:, Color:NEGRO,   Referencia:, Placa anterior:, Placa nueva=H0001471, Descripcion:TECLADO, Serial:BDMHE0CVB516J4, Marca:HP, Modelo:, Material:, Color:NEGRO,   Referencia: Placa padre: Tipo adquisicion: Entidad"</f>
        <v>Descripcion: COMPUTADOR TODO EN UNO PROCESADOR CORE 3.0 PANTALLA 21  Estado: Bueno Placa anterior: 000030581 Material:  Color: NEGRO Referencia:  Observacion:  Placa anterior:, Placa nueva=H0001472, Descripcion:MOUSE OPTICO, Serial:672552-001, Marca:HP, Modelo:, Material:, Color:NEGRO,   Referencia:, Placa anterior:, Placa nueva=H0001471, Descripcion:TECLADO, Serial:BDMHE0CVB516J4, Marca:HP, Modelo:, Material:, Color:NEGRO,   Referencia: Placa padre: Tipo adquisicion: Entidad</v>
      </c>
      <c r="G75" s="5" t="str">
        <f>"COMPAQ PRO 4300"</f>
        <v>COMPAQ PRO 4300</v>
      </c>
    </row>
    <row r="76" spans="1:7" ht="58.5" customHeight="1" x14ac:dyDescent="0.25">
      <c r="A76" s="5" t="str">
        <f>"H0002394"</f>
        <v>H0002394</v>
      </c>
      <c r="B76" s="5" t="str">
        <f>"COMPUTADOR TODO EN UNO"</f>
        <v>COMPUTADOR TODO EN UNO</v>
      </c>
      <c r="C76" s="6">
        <v>2470000</v>
      </c>
      <c r="D76" s="5"/>
      <c r="E76" s="5" t="str">
        <f t="shared" si="3"/>
        <v>SUBGERENCIA DE SALUD-MARIBEL TRUJILLO BOTELLO</v>
      </c>
      <c r="F76" s="5" t="str">
        <f>"Descripcion:EQUIPO DE COMPUTO TODO EN UNO CON PROCESADOR INTEL i5 Estado: Excelente Placa anterior: 000037292 Material: PASTA Color: NEGRO Referencia: 10BD00FDLS Observacion:  Placa anterior:, Placa nueva=H0002395, Descripcion:TECLADO USB LENOVO, Serial:8"&amp; "258855, Marca:LENOVO, Modelo:KU-0225, Material:PASTA, Color:NEGRO,   Referencia:54Y9424, Placa anterior:, Placa nueva=H0002396, Descripcion:MOUSE USB  3 BOTONES, Serial:44MG075, Marca:LENOVO, Modelo:45J4889, Material:PASTA, Color:NEGRO,   Referencia: Plac"&amp; "a padre:  Tipo adquisicion : Entidad"</f>
        <v>Descripcion:EQUIPO DE COMPUTO TODO EN UNO CON PROCESADOR INTEL i5 Estado: Excelente Placa anterior: 000037292 Material: PASTA Color: NEGRO Referencia: 10BD00FDLS Observacion:  Placa anterior:, Placa nueva=H0002395, Descripcion:TECLADO USB LENOVO, Serial:8258855, Marca:LENOVO, Modelo:KU-0225, Material:PASTA, Color:NEGRO,   Referencia:54Y9424, Placa anterior:, Placa nueva=H0002396, Descripcion:MOUSE USB  3 BOTONES, Serial:44MG075, Marca:LENOVO, Modelo:45J4889, Material:PASTA, Color:NEGRO,   Referencia: Placa padre:  Tipo adquisicion : Entidad</v>
      </c>
      <c r="G76" s="5" t="str">
        <f>"00FDLS"</f>
        <v>00FDLS</v>
      </c>
    </row>
    <row r="77" spans="1:7" ht="58.5" customHeight="1" x14ac:dyDescent="0.25">
      <c r="A77" s="5" t="str">
        <f>"H0002789"</f>
        <v>H0002789</v>
      </c>
      <c r="B77" s="5" t="str">
        <f>"VIDEOBEAM (VIDEO PROYECTOR)"</f>
        <v>VIDEOBEAM (VIDEO PROYECTOR)</v>
      </c>
      <c r="C77" s="6">
        <v>2137600</v>
      </c>
      <c r="D77" s="5"/>
      <c r="E77" s="5" t="str">
        <f t="shared" si="3"/>
        <v>SUBGERENCIA DE SALUD-MARIBEL TRUJILLO BOTELLO</v>
      </c>
      <c r="F77" s="5" t="str">
        <f>"Descripcion:Video Proyector Video Beam Resolución XGA (1024x768) Duración de Lampara 6000 H.Razón de Contraste 10000:1.Salida de Luz de calor 3500 lumniex Estado: Excelente Placa anterior: 000037054 Material: PASTA Color: BLANCO Referencia:  Observacion: "&amp; "PROYECTOR LCD CON ESTUCHE NEGRO, RESOL. XGA, CON CONTROL REMOTO, Placa anterior:, Placa nueva=B0000481, Descripcion:MODEM USB- WIFI  - WIRELES LAN 802, Serial:64EB8CC1231A, Marca:EPSON, Modelo:WN7512BEP, Material:PASTA, Color:BLANCO,   Referencia: Placa p"&amp; "adre:  Tipo adquisicion : Entidad"</f>
        <v>Descripcion:Video Proyector Video Beam Resolución XGA (1024x768) Duración de Lampara 6000 H.Razón de Contraste 10000:1.Salida de Luz de calor 3500 lumniex Estado: Excelente Placa anterior: 000037054 Material: PASTA Color: BLANCO Referencia:  Observacion: PROYECTOR LCD CON ESTUCHE NEGRO, RESOL. XGA, CON CONTROL REMOTO, Placa anterior:, Placa nueva=B0000481, Descripcion:MODEM USB- WIFI  - WIRELES LAN 802, Serial:64EB8CC1231A, Marca:EPSON, Modelo:WN7512BEP, Material:PASTA, Color:BLANCO,   Referencia: Placa padre:  Tipo adquisicion : Entidad</v>
      </c>
      <c r="G77" s="5" t="str">
        <f>"H553A"</f>
        <v>H553A</v>
      </c>
    </row>
    <row r="78" spans="1:7" ht="58.5" customHeight="1" x14ac:dyDescent="0.25">
      <c r="A78" s="5" t="str">
        <f>"H0005462"</f>
        <v>H0005462</v>
      </c>
      <c r="B78" s="5" t="str">
        <f>"MULTIMUEBLE DE MADERA"</f>
        <v>MULTIMUEBLE DE MADERA</v>
      </c>
      <c r="C78" s="6">
        <v>387931</v>
      </c>
      <c r="D78" s="5"/>
      <c r="E78" s="5" t="str">
        <f t="shared" si="3"/>
        <v>SUBGERENCIA DE SALUD-MARIBEL TRUJILLO BOTELLO</v>
      </c>
      <c r="F78" s="5" t="str">
        <f>"Descripcion: BIBLIOTECA ESPECIAL 2 MTS X 1.20 MTS FONDO 30 CMS, ENTREPAÑOS SEPARADOS PARA AZ TAMAÑO OFICIO, COLOR NEGRO Estado: Bueno Placa anterior: 000032763 Material: FORMICA Color: NEGRO Referencia:  Observacion:  Placa anterior:, Placa nueva=H0005463"&amp; ", Descripcion:203X120X306 ENTREPAÑOS, Serial:, Marca:, Modelo:, Material:FORMICA, Color:NEGRO,   Referencia: Placa padre: Tipo adquisicion: Entidad"</f>
        <v>Descripcion: BIBLIOTECA ESPECIAL 2 MTS X 1.20 MTS FONDO 30 CMS, ENTREPAÑOS SEPARADOS PARA AZ TAMAÑO OFICIO, COLOR NEGRO Estado: Bueno Placa anterior: 000032763 Material: FORMICA Color: NEGRO Referencia:  Observacion:  Placa anterior:, Placa nueva=H0005463, Descripcion:203X120X306 ENTREPAÑOS, Serial:, Marca:, Modelo:, Material:FORMICA, Color:NEGRO,   Referencia: Placa padre: Tipo adquisicion: Entidad</v>
      </c>
      <c r="G78" s="5"/>
    </row>
    <row r="79" spans="1:7" ht="58.5" customHeight="1" x14ac:dyDescent="0.25">
      <c r="A79" s="5" t="str">
        <f>"H0005472"</f>
        <v>H0005472</v>
      </c>
      <c r="B79" s="5" t="str">
        <f>"SILLA ERGONOMICA TIPO GERENTE CON BRAZOS"</f>
        <v>SILLA ERGONOMICA TIPO GERENTE CON BRAZOS</v>
      </c>
      <c r="C79" s="6">
        <v>530120</v>
      </c>
      <c r="D79" s="5" t="s">
        <v>33</v>
      </c>
      <c r="E79" s="5" t="str">
        <f t="shared" si="3"/>
        <v>SUBGERENCIA DE SALUD-MARIBEL TRUJILLO BOTELLO</v>
      </c>
      <c r="F79" s="5" t="str">
        <f>"Descripcion: SILLAS TIPO GERENTE NEUMATICA ESPALDAR EN MALLA ROMA-ALMOHADA REF. 3-736 Estado: Bueno Placa anterior: 000030380 Material: PASTA METALICA Color: NEGRO Referencia:  Observacion:  Placa padre: Tipo adquisicion: Entidad"</f>
        <v>Descripcion: SILLAS TIPO GERENTE NEUMATICA ESPALDAR EN MALLA ROMA-ALMOHADA REF. 3-736 Estado: Bueno Placa anterior: 000030380 Material: PASTA METALICA Color: NEGRO Referencia:  Observacion:  Placa padre: Tipo adquisicion: Entidad</v>
      </c>
      <c r="G79" s="5"/>
    </row>
    <row r="80" spans="1:7" ht="58.5" customHeight="1" x14ac:dyDescent="0.25">
      <c r="A80" s="5" t="str">
        <f>"H0007035"</f>
        <v>H0007035</v>
      </c>
      <c r="B80" s="5" t="str">
        <f>"TABLERO ACRILICO"</f>
        <v>TABLERO ACRILICO</v>
      </c>
      <c r="C80" s="6">
        <v>139200</v>
      </c>
      <c r="D80" s="5"/>
      <c r="E80" s="5" t="str">
        <f t="shared" si="3"/>
        <v>SUBGERENCIA DE SALUD-MARIBEL TRUJILLO BOTELLO</v>
      </c>
      <c r="F80" s="5" t="str">
        <f>"Descripcion: 90X60MARCO EN ALUMINIO Estado: Bueno Placa anterior: 000030388 Material: ACRILICO Color: BLANCO Referencia:  Observacion:  Placa padre: Tipo adquisicion: Entidad"</f>
        <v>Descripcion: 90X60MARCO EN ALUMINIO Estado: Bueno Placa anterior: 000030388 Material: ACRILICO Color: BLANCO Referencia:  Observacion:  Placa padre: Tipo adquisicion: Entidad</v>
      </c>
      <c r="G80" s="5"/>
    </row>
    <row r="81" spans="1:7" ht="58.5" customHeight="1" x14ac:dyDescent="0.25">
      <c r="A81" s="5" t="str">
        <f>"H0007042"</f>
        <v>H0007042</v>
      </c>
      <c r="B81" s="5" t="str">
        <f>"AIRE ACONDICIONADO 18000 BTU"</f>
        <v>AIRE ACONDICIONADO 18000 BTU</v>
      </c>
      <c r="C81" s="6">
        <v>1914000</v>
      </c>
      <c r="D81" s="5"/>
      <c r="E81" s="5" t="str">
        <f t="shared" si="3"/>
        <v>SUBGERENCIA DE SALUD-MARIBEL TRUJILLO BOTELLO</v>
      </c>
      <c r="F81" s="5" t="str">
        <f>"Descripcion: . Estado: Bueno Placa anterior: 000026171 Material: PLASTICO Color: BLANCO Referencia:  Observacion: AUTORIZADO CONCILIAR EN CRUCE GENERAL Placa padre: Tipo adquisicion: Entidad"</f>
        <v>Descripcion: . Estado: Bueno Placa anterior: 000026171 Material: PLASTICO Color: BLANCO Referencia:  Observacion: AUTORIZADO CONCILIAR EN CRUCE GENERAL Placa padre: Tipo adquisicion: Entidad</v>
      </c>
      <c r="G81" s="5" t="str">
        <f>"AS18USBAN"</f>
        <v>AS18USBAN</v>
      </c>
    </row>
    <row r="82" spans="1:7" ht="58.5" customHeight="1" x14ac:dyDescent="0.25">
      <c r="A82" s="5" t="str">
        <f>"H0007045"</f>
        <v>H0007045</v>
      </c>
      <c r="B82" s="5" t="str">
        <f>"SILLA INTERLOCUTORA (FIJA) SIN BRAZOS"</f>
        <v>SILLA INTERLOCUTORA (FIJA) SIN BRAZOS</v>
      </c>
      <c r="C82" s="6">
        <v>81200</v>
      </c>
      <c r="D82" s="5" t="s">
        <v>34</v>
      </c>
      <c r="E82" s="5" t="str">
        <f t="shared" si="3"/>
        <v>SUBGERENCIA DE SALUD-MARIBEL TRUJILLO BOTELLO</v>
      </c>
      <c r="F82" s="5" t="str">
        <f>"Descripcion: SILLAS INTERLOCUTORAS TAPIZADO DE ALTA DENSIDAD EN ASIENTO Y ESPALDAR PAÑO AZUL Estado: Bueno Placa anterior: 000030394 Material: METALICO Color: AZUL Referencia:  Observacion:  Placa padre: Tipo adquisicion: Entidad"</f>
        <v>Descripcion: SILLAS INTERLOCUTORAS TAPIZADO DE ALTA DENSIDAD EN ASIENTO Y ESPALDAR PAÑO AZUL Estado: Bueno Placa anterior: 000030394 Material: METALICO Color: AZUL Referencia:  Observacion:  Placa padre: Tipo adquisicion: Entidad</v>
      </c>
      <c r="G82" s="5"/>
    </row>
    <row r="83" spans="1:7" ht="58.5" customHeight="1" x14ac:dyDescent="0.25">
      <c r="A83" s="5" t="str">
        <f>"H0007058"</f>
        <v>H0007058</v>
      </c>
      <c r="B83" s="5" t="str">
        <f>"NEVERA DE 66 LTS"</f>
        <v>NEVERA DE 66 LTS</v>
      </c>
      <c r="C83" s="6">
        <v>612069</v>
      </c>
      <c r="D83" s="5"/>
      <c r="E83" s="5" t="str">
        <f t="shared" si="3"/>
        <v>SUBGERENCIA DE SALUD-MARIBEL TRUJILLO BOTELLO</v>
      </c>
      <c r="F83" s="5" t="str">
        <f>"Descripcion: NEVERA TIPO EJECUTIVO MARCA LG MODELO GC-131C1 PUERTA83X46,5X47 Estado: Bueno Placa anterior: 000033351 Material: METALICO Color: BLANCO Referencia:  Observacion:  Placa padre: Tipo adquisicion: Entidad"</f>
        <v>Descripcion: NEVERA TIPO EJECUTIVO MARCA LG MODELO GC-131C1 PUERTA83X46,5X47 Estado: Bueno Placa anterior: 000033351 Material: METALICO Color: BLANCO Referencia:  Observacion:  Placa padre: Tipo adquisicion: Entidad</v>
      </c>
      <c r="G83" s="5" t="str">
        <f>"GC-131S"</f>
        <v>GC-131S</v>
      </c>
    </row>
    <row r="84" spans="1:7" ht="58.5" customHeight="1" x14ac:dyDescent="0.25">
      <c r="A84" s="5" t="str">
        <f>"H0007093"</f>
        <v>H0007093</v>
      </c>
      <c r="B84" s="5" t="str">
        <f>"COMPUTADOR TODO EN UNO"</f>
        <v>COMPUTADOR TODO EN UNO</v>
      </c>
      <c r="C84" s="6">
        <v>1200000</v>
      </c>
      <c r="D84" s="5" t="s">
        <v>2</v>
      </c>
      <c r="E84" s="5" t="str">
        <f t="shared" si="3"/>
        <v>SUBGERENCIA DE SALUD-MARIBEL TRUJILLO BOTELLO</v>
      </c>
      <c r="F84" s="5" t="str">
        <f>"Descripcion: COMPUTADOR TODO EN UNO PROCESADOR: Intel pentiun G645 (2.9 Ghz/3MB/2 nucleos) memoria RAM 4GB DDR3-1600 SODIMM (1X4GB) Disco duro 500GB 7200 RPMSATA-6G Multi DVD/RM Licencia win 8 pro 64 Downgrade to Win 7 pro 64 o supervisor USB Keyboard Usb"&amp; "e Optical, m Estado: Excelente Placa anterior: 000030783 Material: PLASTICO Color: NEGRO Referencia: C9K24LT#ABM Observacion:  Placa anterior:, Placa nueva=H0007094, Descripcion:., Serial:BCZZN0BVB4C2JG, Marca:HP, Modelo:KU-1156, Material:PLASTICO, Color:"&amp; "NEGRO,  Referencia:672647-162la, Placa anterior:, Placa nueva=H0007095, Descripcion:OPTICO, Serial:FCMHH0CAUKFFPD, Marca:HP, Modelo:APOLLO-OU, Material:PLASTICO, Color:NEGRO,  Referencia:674316-001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Excelente Placa anterior: 000030783 Material: PLASTICO Color: NEGRO Referencia: C9K24LT#ABM Observacion:  Placa anterior:, Placa nueva=H0007094, Descripcion:., Serial:BCZZN0BVB4C2JG, Marca:HP, Modelo:KU-1156, Material:PLASTICO, Color:NEGRO,  Referencia:672647-162la, Placa anterior:, Placa nueva=H0007095, Descripcion:OPTICO, Serial:FCMHH0CAUKFFPD, Marca:HP, Modelo:APOLLO-OU, Material:PLASTICO, Color:NEGRO,  Referencia:674316-001 Placa padre: Tipo adquisicion: Entidad</v>
      </c>
      <c r="G84" s="5" t="str">
        <f>"HP COMPAQ PRO4300"</f>
        <v>HP COMPAQ PRO4300</v>
      </c>
    </row>
    <row r="85" spans="1:7" ht="58.5" customHeight="1" x14ac:dyDescent="0.25">
      <c r="A85" s="5" t="str">
        <f>"H0007119"</f>
        <v>H0007119</v>
      </c>
      <c r="B85" s="5" t="str">
        <f>"COMPUTADOR DE MESA"</f>
        <v>COMPUTADOR DE MESA</v>
      </c>
      <c r="C85" s="6">
        <v>1914000</v>
      </c>
      <c r="D85" s="5"/>
      <c r="E85" s="5" t="str">
        <f t="shared" si="3"/>
        <v>SUBGERENCIA DE SALUD-MARIBEL TRUJILLO BOTELLO</v>
      </c>
      <c r="F85" s="5" t="str">
        <f>"Descripcion: . Estado: Excelente Placa anterior: 000025631 Material: METALICO Color: BEIGE Referencia:  Observacion: AUTORIZADO CRUZAR POR SISTEMAS Placa padre: Tipo adquisicion: Entidad"</f>
        <v>Descripcion: . Estado: Excelente Placa anterior: 000025631 Material: METALICO Color: BEIGE Referencia:  Observacion: AUTORIZADO CRUZAR POR SISTEMAS Placa padre: Tipo adquisicion: Entidad</v>
      </c>
      <c r="G85" s="5"/>
    </row>
    <row r="86" spans="1:7" ht="58.5" customHeight="1" x14ac:dyDescent="0.25">
      <c r="A86" s="5" t="str">
        <f>"H0008090"</f>
        <v>H0008090</v>
      </c>
      <c r="B86" s="5" t="str">
        <f>"SILLA INTERLOCUTORA (FIJA) CON BRAZOS"</f>
        <v>SILLA INTERLOCUTORA (FIJA) CON BRAZOS</v>
      </c>
      <c r="C86" s="6">
        <v>10120</v>
      </c>
      <c r="D86" s="5"/>
      <c r="E86" s="5" t="str">
        <f t="shared" si="3"/>
        <v>SUBGERENCIA DE SALUD-MARIBEL TRUJILLO BOTELLO</v>
      </c>
      <c r="F86" s="5" t="str">
        <f>"Descripcion: SILLA INTERLOCUTORA (FIJA) CON BRAZOS EN MADERA CON TAPIZADO Estado: Bueno Placa anterior: 000006786 Material: MADERA, TAPIZADO EN SEMICUERO Color: NEGRO Referencia:  Observacion:  PLACA ANTERIOR NO ENCONTRADA000013304 Placa padre: Tipo adqui"&amp; "sicion: Entidad"</f>
        <v>Descripcion: SILLA INTERLOCUTORA (FIJA) CON BRAZOS EN MADERA CON TAPIZADO Estado: Bueno Placa anterior: 000006786 Material: MADERA, TAPIZADO EN SEMICUERO Color: NEGRO Referencia:  Observacion:  PLACA ANTERIOR NO ENCONTRADA000013304 Placa padre: Tipo adquisicion: Entidad</v>
      </c>
      <c r="G86" s="5"/>
    </row>
    <row r="87" spans="1:7" ht="58.5" customHeight="1" x14ac:dyDescent="0.25">
      <c r="A87" s="5" t="str">
        <f>"H0009850"</f>
        <v>H0009850</v>
      </c>
      <c r="B87" s="5" t="str">
        <f>"COMPUTADOR TODO EN UNO"</f>
        <v>COMPUTADOR TODO EN UNO</v>
      </c>
      <c r="C87" s="6">
        <v>2470000</v>
      </c>
      <c r="D87" s="5" t="s">
        <v>6</v>
      </c>
      <c r="E87" s="5" t="str">
        <f t="shared" si="3"/>
        <v>SUBGERENCIA DE SALUD-MARIBEL TRUJILLO BOTELLO</v>
      </c>
      <c r="F87" s="5" t="str">
        <f>"Descripcion: EQUIPO DE COMPUTO TODO EN UNO CON PROCESADOR INTEL i5 Estado: Bueno Placa anterior: 000036990 Material: PASTA Color: NEGRO Referencia: 10BD-00FDLS Observacion:  Placa padre: Tipo adquisicion: Entidad"</f>
        <v>Descripcion: EQUIPO DE COMPUTO TODO EN UNO CON PROCESADOR INTEL i5 Estado: Bueno Placa anterior: 000036990 Material: PASTA Color: NEGRO Referencia: 10BD-00FDLS Observacion:  Placa padre: Tipo adquisicion: Entidad</v>
      </c>
      <c r="G87" s="5" t="str">
        <f>"THINCENTRE"</f>
        <v>THINCENTRE</v>
      </c>
    </row>
    <row r="88" spans="1:7" ht="58.5" customHeight="1" x14ac:dyDescent="0.25">
      <c r="A88" s="5" t="str">
        <f>"H0016516"</f>
        <v>H0016516</v>
      </c>
      <c r="B88" s="5" t="str">
        <f>"SILLA INTERLOCUTORA (FIJA) SIN BRAZOS"</f>
        <v>SILLA INTERLOCUTORA (FIJA) SIN BRAZOS</v>
      </c>
      <c r="C88" s="6">
        <v>190000</v>
      </c>
      <c r="D88" s="5" t="s">
        <v>35</v>
      </c>
      <c r="E88" s="5" t="str">
        <f t="shared" si="3"/>
        <v>SUBGERENCIA DE SALUD-MARIBEL TRUJILLO BOTELLO</v>
      </c>
      <c r="F88" s="5" t="str">
        <f>"Descripcion: SILLA SPRISMAS INTERLOCUTORAS Estado: Bueno Placa anterior: 000029640 Material: METALICO Color: NEGRO Referencia:  Observacion:  Placa padre: Tipo adquisicion: Entidad"</f>
        <v>Descripcion: SILLA SPRISMAS INTERLOCUTORAS Estado: Bueno Placa anterior: 000029640 Material: METALICO Color: NEGRO Referencia:  Observacion:  Placa padre: Tipo adquisicion: Entidad</v>
      </c>
      <c r="G88" s="5"/>
    </row>
    <row r="89" spans="1:7" ht="58.5" customHeight="1" x14ac:dyDescent="0.25">
      <c r="A89" s="5" t="str">
        <f>"H0017746"</f>
        <v>H0017746</v>
      </c>
      <c r="B89" s="5" t="str">
        <f>"COMPUTADOR PORTATIL"</f>
        <v>COMPUTADOR PORTATIL</v>
      </c>
      <c r="C89" s="6">
        <v>2250000</v>
      </c>
      <c r="D89" s="5" t="s">
        <v>6</v>
      </c>
      <c r="E89" s="5" t="str">
        <f t="shared" si="3"/>
        <v>SUBGERENCIA DE SALUD-MARIBEL TRUJILLO BOTELLO</v>
      </c>
      <c r="F89" s="5" t="str">
        <f>"Descripcion:PC PORTATIL CON PROCESADOR 15 500gb DISCO DURO 4GB EN MEMORIA RAM Estado: Bueno Placa anterior: 000037039 Material: PLASTICO Color: NEGRO  Referencia:  Observacion:  Placa padre:  Tipo adquisicion : Entidad"</f>
        <v>Descripcion:PC PORTATIL CON PROCESADOR 15 500gb DISCO DURO 4GB EN MEMORIA RAM Estado: Bueno Placa anterior: 000037039 Material: PLASTICO Color: NEGRO  Referencia:  Observacion:  Placa padre:  Tipo adquisicion : Entidad</v>
      </c>
      <c r="G89" s="5" t="str">
        <f>"B40-70"</f>
        <v>B40-70</v>
      </c>
    </row>
    <row r="90" spans="1:7" ht="58.5" customHeight="1" x14ac:dyDescent="0.25">
      <c r="A90" s="5" t="str">
        <f>"H0020518"</f>
        <v>H0020518</v>
      </c>
      <c r="B90" s="5" t="str">
        <f>"SILLA ERGONOMICA TIPO SECRETARIA SIN BRAZOS"</f>
        <v>SILLA ERGONOMICA TIPO SECRETARIA SIN BRAZOS</v>
      </c>
      <c r="C90" s="6">
        <v>211120</v>
      </c>
      <c r="D90" s="5"/>
      <c r="E90" s="5" t="str">
        <f t="shared" si="3"/>
        <v>SUBGERENCIA DE SALUD-MARIBEL TRUJILLO BOTELLO</v>
      </c>
      <c r="F90" s="5" t="str">
        <f>"Descripcion: SILLA ERGONOMICA AT 02 (TA-SECRETARIAL)SILLA ERGONOMICA EN PAÑO NEGRO EJECUTIVA SIN BRAOZS Estado: Bueno Placa anterior: 000028260 Material: PASTA Y PAÑO Color: NEGRO Referencia:  Observacion:  Placa padre: Tipo adquisicion: Entidad"</f>
        <v>Descripcion: SILLA ERGONOMICA AT 02 (TA-SECRETARIAL)SILLA ERGONOMICA EN PAÑO NEGRO EJECUTIVA SIN BRAOZS Estado: Bueno Placa anterior: 000028260 Material: PASTA Y PAÑO Color: NEGRO Referencia:  Observacion:  Placa padre: Tipo adquisicion: Entidad</v>
      </c>
      <c r="G90" s="5"/>
    </row>
    <row r="91" spans="1:7" ht="58.5" customHeight="1" x14ac:dyDescent="0.25">
      <c r="A91" s="5" t="str">
        <f>"H0024590"</f>
        <v>H0024590</v>
      </c>
      <c r="B9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 s="6">
        <v>2600000</v>
      </c>
      <c r="D91" s="5" t="s">
        <v>36</v>
      </c>
      <c r="E91" s="5" t="str">
        <f t="shared" si="3"/>
        <v>SUBGERENCIA DE SALUD-MARIBEL TRUJILLO BOTELLO</v>
      </c>
      <c r="F91" s="5"/>
      <c r="G91" s="5"/>
    </row>
    <row r="92" spans="1:7" ht="58.5" customHeight="1" x14ac:dyDescent="0.25">
      <c r="A92" s="5" t="str">
        <f>"H0025350"</f>
        <v>H0025350</v>
      </c>
      <c r="B9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2" s="6">
        <v>312156</v>
      </c>
      <c r="D92" s="5" t="s">
        <v>10</v>
      </c>
      <c r="E92" s="5" t="str">
        <f t="shared" si="3"/>
        <v>SUBGERENCIA DE SALUD-MARIBEL TRUJILLO BOTELLO</v>
      </c>
      <c r="F92" s="5"/>
      <c r="G92" s="5" t="str">
        <f>"GXP1628"</f>
        <v>GXP1628</v>
      </c>
    </row>
    <row r="93" spans="1:7" ht="58.5" customHeight="1" x14ac:dyDescent="0.25">
      <c r="A93" s="5" t="str">
        <f>"H0025380"</f>
        <v>H0025380</v>
      </c>
      <c r="B9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3" s="6">
        <v>312156</v>
      </c>
      <c r="D93" s="5" t="s">
        <v>10</v>
      </c>
      <c r="E93" s="5" t="str">
        <f t="shared" si="3"/>
        <v>SUBGERENCIA DE SALUD-MARIBEL TRUJILLO BOTELLO</v>
      </c>
      <c r="F93" s="5"/>
      <c r="G93" s="5"/>
    </row>
    <row r="94" spans="1:7" ht="58.5" customHeight="1" x14ac:dyDescent="0.25">
      <c r="A94" s="5" t="str">
        <f>"H0025442"</f>
        <v>H0025442</v>
      </c>
      <c r="B9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4" s="6">
        <v>312156</v>
      </c>
      <c r="D94" s="5" t="s">
        <v>10</v>
      </c>
      <c r="E94" s="5" t="str">
        <f t="shared" si="3"/>
        <v>SUBGERENCIA DE SALUD-MARIBEL TRUJILLO BOTELLO</v>
      </c>
      <c r="F94" s="5"/>
      <c r="G94" s="5"/>
    </row>
    <row r="95" spans="1:7" ht="58.5" customHeight="1" x14ac:dyDescent="0.25">
      <c r="A95" s="5" t="str">
        <f>"H0026794"</f>
        <v>H0026794</v>
      </c>
      <c r="B95"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 s="6">
        <v>3296300</v>
      </c>
      <c r="D95" s="5" t="s">
        <v>37</v>
      </c>
      <c r="E95" s="5" t="str">
        <f t="shared" si="3"/>
        <v>SUBGERENCIA DE SALUD-MARIBEL TRUJILLO BOTELLO</v>
      </c>
      <c r="F95" s="5"/>
      <c r="G95" s="5"/>
    </row>
    <row r="96" spans="1:7" ht="58.5" customHeight="1" x14ac:dyDescent="0.25">
      <c r="A96" s="5" t="str">
        <f>"H0027176"</f>
        <v>H0027176</v>
      </c>
      <c r="B9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6" s="6">
        <v>2641800</v>
      </c>
      <c r="D96" s="5" t="s">
        <v>38</v>
      </c>
      <c r="E96" s="5" t="str">
        <f t="shared" si="3"/>
        <v>SUBGERENCIA DE SALUD-MARIBEL TRUJILLO BOTELLO</v>
      </c>
      <c r="F96" s="5"/>
      <c r="G96" s="5"/>
    </row>
    <row r="97" spans="1:7" ht="58.5" customHeight="1" x14ac:dyDescent="0.25">
      <c r="A97" s="5" t="str">
        <f>"H0027179"</f>
        <v>H0027179</v>
      </c>
      <c r="B9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7" s="6">
        <v>2641800</v>
      </c>
      <c r="D97" s="5" t="s">
        <v>38</v>
      </c>
      <c r="E97" s="5" t="str">
        <f t="shared" si="3"/>
        <v>SUBGERENCIA DE SALUD-MARIBEL TRUJILLO BOTELLO</v>
      </c>
      <c r="F97" s="5"/>
      <c r="G97" s="5"/>
    </row>
    <row r="98" spans="1:7" ht="58.5" customHeight="1" x14ac:dyDescent="0.25">
      <c r="A98" s="5" t="str">
        <f>"H0027203"</f>
        <v>H0027203</v>
      </c>
      <c r="B98"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8" s="6">
        <v>2641800</v>
      </c>
      <c r="D98" s="5" t="s">
        <v>38</v>
      </c>
      <c r="E98" s="5" t="str">
        <f t="shared" si="3"/>
        <v>SUBGERENCIA DE SALUD-MARIBEL TRUJILLO BOTELLO</v>
      </c>
      <c r="F98" s="5"/>
      <c r="G98" s="5"/>
    </row>
    <row r="99" spans="1:7" ht="58.5" customHeight="1" x14ac:dyDescent="0.25">
      <c r="A99" s="5" t="str">
        <f>"H0027259"</f>
        <v>H0027259</v>
      </c>
      <c r="B9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9" s="6">
        <v>2641800</v>
      </c>
      <c r="D99" s="5" t="s">
        <v>38</v>
      </c>
      <c r="E99" s="5" t="str">
        <f t="shared" si="3"/>
        <v>SUBGERENCIA DE SALUD-MARIBEL TRUJILLO BOTELLO</v>
      </c>
      <c r="F99" s="5"/>
      <c r="G99" s="5"/>
    </row>
    <row r="100" spans="1:7" ht="58.5" customHeight="1" x14ac:dyDescent="0.25">
      <c r="A100" s="5" t="str">
        <f>"H0028758"</f>
        <v>H0028758</v>
      </c>
      <c r="B100" s="5" t="str">
        <f>"SILLA HERGONOMICA CON SISTEMA HIDRAULICO"</f>
        <v>SILLA HERGONOMICA CON SISTEMA HIDRAULICO</v>
      </c>
      <c r="C100" s="6">
        <v>174900</v>
      </c>
      <c r="D100" s="5" t="s">
        <v>39</v>
      </c>
      <c r="E100" s="5" t="str">
        <f t="shared" ref="E100:E131" si="4">"SUBGERENCIA DE SALUD-MARIBEL TRUJILLO BOTELLO"</f>
        <v>SUBGERENCIA DE SALUD-MARIBEL TRUJILLO BOTELLO</v>
      </c>
      <c r="F100" s="5"/>
      <c r="G100" s="5"/>
    </row>
    <row r="101" spans="1:7" ht="58.5" customHeight="1" x14ac:dyDescent="0.25">
      <c r="A101" s="5" t="str">
        <f>"H0028823"</f>
        <v>H0028823</v>
      </c>
      <c r="B101" s="5" t="str">
        <f>"SILLA HERGONOMICA CON SISTEMA HIDRAULICO"</f>
        <v>SILLA HERGONOMICA CON SISTEMA HIDRAULICO</v>
      </c>
      <c r="C101" s="6">
        <v>174900</v>
      </c>
      <c r="D101" s="5" t="s">
        <v>40</v>
      </c>
      <c r="E101" s="5" t="str">
        <f t="shared" si="4"/>
        <v>SUBGERENCIA DE SALUD-MARIBEL TRUJILLO BOTELLO</v>
      </c>
      <c r="F101" s="5"/>
      <c r="G101" s="5"/>
    </row>
    <row r="102" spans="1:7" ht="58.5" customHeight="1" x14ac:dyDescent="0.25">
      <c r="A102" s="5" t="str">
        <f>"H0029496"</f>
        <v>H0029496</v>
      </c>
      <c r="B10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2" s="6">
        <v>257040</v>
      </c>
      <c r="D102" s="5" t="s">
        <v>14</v>
      </c>
      <c r="E102" s="5" t="str">
        <f t="shared" si="4"/>
        <v>SUBGERENCIA DE SALUD-MARIBEL TRUJILLO BOTELLO</v>
      </c>
      <c r="F102" s="5"/>
      <c r="G102" s="5"/>
    </row>
    <row r="103" spans="1:7" ht="58.5" customHeight="1" x14ac:dyDescent="0.25">
      <c r="A103" s="5" t="str">
        <f>"H0029812"</f>
        <v>H0029812</v>
      </c>
      <c r="B103" s="5" t="str">
        <f>"TELON DE PROYECCION ELECTRICO 2 x 2 (metros)"</f>
        <v>TELON DE PROYECCION ELECTRICO 2 x 2 (metros)</v>
      </c>
      <c r="C103" s="6">
        <v>404600</v>
      </c>
      <c r="D103" s="5" t="s">
        <v>41</v>
      </c>
      <c r="E103" s="5" t="str">
        <f t="shared" si="4"/>
        <v>SUBGERENCIA DE SALUD-MARIBEL TRUJILLO BOTELLO</v>
      </c>
      <c r="F103" s="5"/>
      <c r="G103" s="5"/>
    </row>
    <row r="104" spans="1:7" ht="58.5" customHeight="1" x14ac:dyDescent="0.25">
      <c r="A104" s="5" t="str">
        <f>"H0031423"</f>
        <v>H0031423</v>
      </c>
      <c r="B104" s="5" t="str">
        <f>"IMPRESORA EPSON WORKFORCE PRO 6090 WIFI"</f>
        <v>IMPRESORA EPSON WORKFORCE PRO 6090 WIFI</v>
      </c>
      <c r="C104" s="6">
        <v>1249500</v>
      </c>
      <c r="D104" s="5" t="s">
        <v>16</v>
      </c>
      <c r="E104" s="5" t="str">
        <f t="shared" si="4"/>
        <v>SUBGERENCIA DE SALUD-MARIBEL TRUJILLO BOTELLO</v>
      </c>
      <c r="F104" s="5"/>
      <c r="G104" s="5"/>
    </row>
    <row r="105" spans="1:7" ht="58.5" customHeight="1" x14ac:dyDescent="0.25">
      <c r="A105" s="5" t="str">
        <f>"H0031429"</f>
        <v>H0031429</v>
      </c>
      <c r="B10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5" s="6">
        <v>3209500</v>
      </c>
      <c r="D105" s="5" t="s">
        <v>16</v>
      </c>
      <c r="E105" s="5" t="str">
        <f t="shared" si="4"/>
        <v>SUBGERENCIA DE SALUD-MARIBEL TRUJILLO BOTELLO</v>
      </c>
      <c r="F105" s="5"/>
      <c r="G105" s="5"/>
    </row>
    <row r="106" spans="1:7" ht="58.5" customHeight="1" x14ac:dyDescent="0.25">
      <c r="A106" s="5" t="str">
        <f>"H0031440"</f>
        <v>H0031440</v>
      </c>
      <c r="B10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6" s="6">
        <v>3209500</v>
      </c>
      <c r="D106" s="5" t="s">
        <v>16</v>
      </c>
      <c r="E106" s="5" t="str">
        <f t="shared" si="4"/>
        <v>SUBGERENCIA DE SALUD-MARIBEL TRUJILLO BOTELLO</v>
      </c>
      <c r="F106" s="5"/>
      <c r="G106" s="5"/>
    </row>
    <row r="107" spans="1:7" ht="58.5" customHeight="1" x14ac:dyDescent="0.25">
      <c r="A107" s="5" t="str">
        <f>"H0031457"</f>
        <v>H0031457</v>
      </c>
      <c r="B10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7" s="6">
        <v>3209500</v>
      </c>
      <c r="D107" s="5" t="s">
        <v>16</v>
      </c>
      <c r="E107" s="5" t="str">
        <f t="shared" si="4"/>
        <v>SUBGERENCIA DE SALUD-MARIBEL TRUJILLO BOTELLO</v>
      </c>
      <c r="F107" s="5"/>
      <c r="G107" s="5"/>
    </row>
    <row r="108" spans="1:7" ht="58.5" customHeight="1" x14ac:dyDescent="0.25">
      <c r="A108" s="5" t="str">
        <f>"H0031504"</f>
        <v>H0031504</v>
      </c>
      <c r="B10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8" s="6">
        <v>3209500</v>
      </c>
      <c r="D108" s="5" t="s">
        <v>16</v>
      </c>
      <c r="E108" s="5" t="str">
        <f t="shared" si="4"/>
        <v>SUBGERENCIA DE SALUD-MARIBEL TRUJILLO BOTELLO</v>
      </c>
      <c r="F108" s="5"/>
      <c r="G108" s="5"/>
    </row>
    <row r="109" spans="1:7" ht="58.5" customHeight="1" x14ac:dyDescent="0.25">
      <c r="A109" s="5" t="str">
        <f>"H0031606"</f>
        <v>H0031606</v>
      </c>
      <c r="B109" s="5" t="str">
        <f>"MODUARES DE 4 PUESTOS, CON COMPARTIMIENTO DE 3 GAVETAS. MATERIAL MELAMINA RH, MEDIDAS 2.20 MTS * 0.80 MTS"</f>
        <v>MODUARES DE 4 PUESTOS, CON COMPARTIMIENTO DE 3 GAVETAS. MATERIAL MELAMINA RH, MEDIDAS 2.20 MTS * 0.80 MTS</v>
      </c>
      <c r="C109" s="6">
        <v>3200000</v>
      </c>
      <c r="D109" s="5" t="s">
        <v>42</v>
      </c>
      <c r="E109" s="5" t="str">
        <f t="shared" si="4"/>
        <v>SUBGERENCIA DE SALUD-MARIBEL TRUJILLO BOTELLO</v>
      </c>
      <c r="F109" s="5"/>
      <c r="G109" s="5"/>
    </row>
    <row r="110" spans="1:7" ht="58.5" customHeight="1" x14ac:dyDescent="0.25">
      <c r="A110" s="5" t="str">
        <f>"H0031836"</f>
        <v>H0031836</v>
      </c>
      <c r="B110" s="5" t="str">
        <f>"ESCRITORIO LARGO 1.25X0.6 MELAMINA"</f>
        <v>ESCRITORIO LARGO 1.25X0.6 MELAMINA</v>
      </c>
      <c r="C110" s="6">
        <v>620000</v>
      </c>
      <c r="D110" s="5" t="s">
        <v>43</v>
      </c>
      <c r="E110" s="5" t="str">
        <f t="shared" si="4"/>
        <v>SUBGERENCIA DE SALUD-MARIBEL TRUJILLO BOTELLO</v>
      </c>
      <c r="F110" s="5"/>
      <c r="G110" s="5"/>
    </row>
    <row r="111" spans="1:7" ht="58.5" customHeight="1" x14ac:dyDescent="0.25">
      <c r="A111" s="5" t="str">
        <f>"H0031893"</f>
        <v>H0031893</v>
      </c>
      <c r="B111"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11" s="6">
        <v>2647750</v>
      </c>
      <c r="D111" s="5" t="s">
        <v>44</v>
      </c>
      <c r="E111" s="5" t="str">
        <f t="shared" si="4"/>
        <v>SUBGERENCIA DE SALUD-MARIBEL TRUJILLO BOTELLO</v>
      </c>
      <c r="F111" s="5"/>
      <c r="G111" s="5" t="str">
        <f>"DS-870"</f>
        <v>DS-870</v>
      </c>
    </row>
    <row r="112" spans="1:7" ht="58.5" customHeight="1" x14ac:dyDescent="0.25">
      <c r="A112" s="5" t="str">
        <f>"H0032280"</f>
        <v>H0032280</v>
      </c>
      <c r="B112" s="5" t="str">
        <f>"Escritorio lineal superficie en formica con archivador 3 gabetas (DONACION)"</f>
        <v>Escritorio lineal superficie en formica con archivador 3 gabetas (DONACION)</v>
      </c>
      <c r="C112" s="6">
        <v>400000</v>
      </c>
      <c r="D112" s="5" t="s">
        <v>45</v>
      </c>
      <c r="E112" s="5" t="str">
        <f t="shared" si="4"/>
        <v>SUBGERENCIA DE SALUD-MARIBEL TRUJILLO BOTELLO</v>
      </c>
      <c r="F112" s="5"/>
      <c r="G112" s="5"/>
    </row>
    <row r="113" spans="1:7" ht="58.5" customHeight="1" x14ac:dyDescent="0.25">
      <c r="A113" s="5" t="str">
        <f>"H0032281"</f>
        <v>H0032281</v>
      </c>
      <c r="B113" s="5" t="str">
        <f>"Escritorio lineal superficie en formica con archivador 3 gabetas (DONACION)"</f>
        <v>Escritorio lineal superficie en formica con archivador 3 gabetas (DONACION)</v>
      </c>
      <c r="C113" s="6">
        <v>400000</v>
      </c>
      <c r="D113" s="5" t="s">
        <v>45</v>
      </c>
      <c r="E113" s="5" t="str">
        <f t="shared" si="4"/>
        <v>SUBGERENCIA DE SALUD-MARIBEL TRUJILLO BOTELLO</v>
      </c>
      <c r="F113" s="5"/>
      <c r="G113" s="5"/>
    </row>
    <row r="114" spans="1:7" ht="58.5" customHeight="1" x14ac:dyDescent="0.25">
      <c r="A114" s="5" t="str">
        <f>"H0034637"</f>
        <v>H0034637</v>
      </c>
      <c r="B114" s="5" t="str">
        <f>"AIRE ACONDICIONADO TIPO MINISPLIT CAPACIDAD 24.000 BTU TECNOLOGIA INVERTER DUAL"</f>
        <v>AIRE ACONDICIONADO TIPO MINISPLIT CAPACIDAD 24.000 BTU TECNOLOGIA INVERTER DUAL</v>
      </c>
      <c r="C114" s="6">
        <v>3385716.67</v>
      </c>
      <c r="D114" s="5" t="s">
        <v>20</v>
      </c>
      <c r="E114" s="5" t="str">
        <f t="shared" si="4"/>
        <v>SUBGERENCIA DE SALUD-MARIBEL TRUJILLO BOTELLO</v>
      </c>
      <c r="F114" s="5"/>
      <c r="G114" s="5" t="str">
        <f>"006TAFCF629"</f>
        <v>006TAFCF629</v>
      </c>
    </row>
    <row r="115" spans="1:7" ht="58.5" customHeight="1" x14ac:dyDescent="0.25">
      <c r="A115" s="5" t="str">
        <f>"H0035018"</f>
        <v>H0035018</v>
      </c>
      <c r="B115"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15" s="6">
        <v>5289550</v>
      </c>
      <c r="D115" s="5" t="s">
        <v>22</v>
      </c>
      <c r="E115" s="5" t="str">
        <f t="shared" si="4"/>
        <v>SUBGERENCIA DE SALUD-MARIBEL TRUJILLO BOTELLO</v>
      </c>
      <c r="F115" s="5"/>
      <c r="G115" s="5"/>
    </row>
    <row r="116" spans="1:7" ht="58.5" customHeight="1" x14ac:dyDescent="0.25">
      <c r="A116" s="5" t="str">
        <f>"H0035020"</f>
        <v>H0035020</v>
      </c>
      <c r="B116"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16" s="6">
        <v>5289550</v>
      </c>
      <c r="D116" s="5" t="s">
        <v>22</v>
      </c>
      <c r="E116" s="5" t="str">
        <f t="shared" si="4"/>
        <v>SUBGERENCIA DE SALUD-MARIBEL TRUJILLO BOTELLO</v>
      </c>
      <c r="F116" s="5"/>
      <c r="G116" s="5"/>
    </row>
    <row r="117" spans="1:7" ht="58.5" customHeight="1" x14ac:dyDescent="0.25">
      <c r="A117" s="5" t="str">
        <f>"H0035103"</f>
        <v>H0035103</v>
      </c>
      <c r="B117" s="5" t="str">
        <f>"VENTILADOR DE PARED"</f>
        <v>VENTILADOR DE PARED</v>
      </c>
      <c r="C117" s="6">
        <v>130000.37</v>
      </c>
      <c r="D117" s="5" t="s">
        <v>25</v>
      </c>
      <c r="E117" s="5" t="str">
        <f t="shared" si="4"/>
        <v>SUBGERENCIA DE SALUD-MARIBEL TRUJILLO BOTELLO</v>
      </c>
      <c r="F117" s="5"/>
      <c r="G117" s="5"/>
    </row>
    <row r="118" spans="1:7" ht="58.5" customHeight="1" x14ac:dyDescent="0.25">
      <c r="A118" s="5" t="str">
        <f>"H0035112"</f>
        <v>H0035112</v>
      </c>
      <c r="B118" s="5" t="str">
        <f>"VENTILADOR DE PARED"</f>
        <v>VENTILADOR DE PARED</v>
      </c>
      <c r="C118" s="6">
        <v>130000.37</v>
      </c>
      <c r="D118" s="5" t="s">
        <v>25</v>
      </c>
      <c r="E118" s="5" t="str">
        <f t="shared" si="4"/>
        <v>SUBGERENCIA DE SALUD-MARIBEL TRUJILLO BOTELLO</v>
      </c>
      <c r="F118" s="5"/>
      <c r="G118" s="5"/>
    </row>
    <row r="119" spans="1:7" ht="58.5" customHeight="1" x14ac:dyDescent="0.25">
      <c r="A119" s="5" t="str">
        <f>"H0035751"</f>
        <v>H0035751</v>
      </c>
      <c r="B119" s="5" t="str">
        <f>"SILLA GERENTE NIZA MEC. BASCULANTE CON BRAZOS."</f>
        <v>SILLA GERENTE NIZA MEC. BASCULANTE CON BRAZOS.</v>
      </c>
      <c r="C119" s="6">
        <v>639999.86</v>
      </c>
      <c r="D119" s="5" t="s">
        <v>46</v>
      </c>
      <c r="E119" s="5" t="str">
        <f t="shared" si="4"/>
        <v>SUBGERENCIA DE SALUD-MARIBEL TRUJILLO BOTELLO</v>
      </c>
      <c r="F119" s="5"/>
      <c r="G119" s="5"/>
    </row>
    <row r="120" spans="1:7" ht="58.5" customHeight="1" x14ac:dyDescent="0.25">
      <c r="A120" s="5" t="str">
        <f>"H0035781"</f>
        <v>H0035781</v>
      </c>
      <c r="B120" s="5" t="str">
        <f>"SILLA GERENTE NIZA MEC. BASCULANTE CON BRAZOS."</f>
        <v>SILLA GERENTE NIZA MEC. BASCULANTE CON BRAZOS.</v>
      </c>
      <c r="C120" s="6">
        <v>640002.24</v>
      </c>
      <c r="D120" s="5" t="s">
        <v>47</v>
      </c>
      <c r="E120" s="5" t="str">
        <f t="shared" si="4"/>
        <v>SUBGERENCIA DE SALUD-MARIBEL TRUJILLO BOTELLO</v>
      </c>
      <c r="F120" s="5"/>
      <c r="G120" s="5"/>
    </row>
    <row r="121" spans="1:7" ht="58.5" customHeight="1" x14ac:dyDescent="0.25">
      <c r="A121" s="5" t="str">
        <f>"H0035785"</f>
        <v>H0035785</v>
      </c>
      <c r="B121" s="5" t="str">
        <f>"SILLA GERENTE NIZA MEC. BASCULANTE CON BRAZOS."</f>
        <v>SILLA GERENTE NIZA MEC. BASCULANTE CON BRAZOS.</v>
      </c>
      <c r="C121" s="6">
        <v>640002.24</v>
      </c>
      <c r="D121" s="5" t="s">
        <v>47</v>
      </c>
      <c r="E121" s="5" t="str">
        <f t="shared" si="4"/>
        <v>SUBGERENCIA DE SALUD-MARIBEL TRUJILLO BOTELLO</v>
      </c>
      <c r="F121" s="5"/>
      <c r="G121" s="5"/>
    </row>
    <row r="122" spans="1:7" ht="58.5" customHeight="1" x14ac:dyDescent="0.25">
      <c r="A122" s="5" t="str">
        <f>"H0035862"</f>
        <v>H0035862</v>
      </c>
      <c r="B122" s="5" t="str">
        <f>"SILLA GERENTE NIZA MEC. BASCULANTE CON BRAZOS."</f>
        <v>SILLA GERENTE NIZA MEC. BASCULANTE CON BRAZOS.</v>
      </c>
      <c r="C122" s="6">
        <v>639999.86</v>
      </c>
      <c r="D122" s="5" t="s">
        <v>47</v>
      </c>
      <c r="E122" s="5" t="str">
        <f t="shared" si="4"/>
        <v>SUBGERENCIA DE SALUD-MARIBEL TRUJILLO BOTELLO</v>
      </c>
      <c r="F122" s="5"/>
      <c r="G122" s="5"/>
    </row>
    <row r="123" spans="1:7" ht="58.5" customHeight="1" x14ac:dyDescent="0.25">
      <c r="A123" s="5" t="str">
        <f>"H0035996"</f>
        <v>H0035996</v>
      </c>
      <c r="B123" s="5" t="str">
        <f t="shared" ref="B123:B128" si="5">"SILLA INTERLOCUTORA BUTTERFLY ASIENTO"</f>
        <v>SILLA INTERLOCUTORA BUTTERFLY ASIENTO</v>
      </c>
      <c r="C123" s="6">
        <v>351000</v>
      </c>
      <c r="D123" s="5" t="s">
        <v>27</v>
      </c>
      <c r="E123" s="5" t="str">
        <f t="shared" si="4"/>
        <v>SUBGERENCIA DE SALUD-MARIBEL TRUJILLO BOTELLO</v>
      </c>
      <c r="F123" s="5"/>
      <c r="G123" s="5"/>
    </row>
    <row r="124" spans="1:7" ht="58.5" customHeight="1" x14ac:dyDescent="0.25">
      <c r="A124" s="5" t="str">
        <f>"H0035997"</f>
        <v>H0035997</v>
      </c>
      <c r="B124" s="5" t="str">
        <f t="shared" si="5"/>
        <v>SILLA INTERLOCUTORA BUTTERFLY ASIENTO</v>
      </c>
      <c r="C124" s="6">
        <v>351000</v>
      </c>
      <c r="D124" s="5" t="s">
        <v>27</v>
      </c>
      <c r="E124" s="5" t="str">
        <f t="shared" si="4"/>
        <v>SUBGERENCIA DE SALUD-MARIBEL TRUJILLO BOTELLO</v>
      </c>
      <c r="F124" s="5"/>
      <c r="G124" s="5"/>
    </row>
    <row r="125" spans="1:7" ht="58.5" customHeight="1" x14ac:dyDescent="0.25">
      <c r="A125" s="5" t="str">
        <f>"H0035999"</f>
        <v>H0035999</v>
      </c>
      <c r="B125" s="5" t="str">
        <f t="shared" si="5"/>
        <v>SILLA INTERLOCUTORA BUTTERFLY ASIENTO</v>
      </c>
      <c r="C125" s="6">
        <v>351000</v>
      </c>
      <c r="D125" s="5" t="s">
        <v>27</v>
      </c>
      <c r="E125" s="5" t="str">
        <f t="shared" si="4"/>
        <v>SUBGERENCIA DE SALUD-MARIBEL TRUJILLO BOTELLO</v>
      </c>
      <c r="F125" s="5"/>
      <c r="G125" s="5"/>
    </row>
    <row r="126" spans="1:7" ht="58.5" customHeight="1" x14ac:dyDescent="0.25">
      <c r="A126" s="5" t="str">
        <f>"H0036000"</f>
        <v>H0036000</v>
      </c>
      <c r="B126" s="5" t="str">
        <f t="shared" si="5"/>
        <v>SILLA INTERLOCUTORA BUTTERFLY ASIENTO</v>
      </c>
      <c r="C126" s="6">
        <v>351000</v>
      </c>
      <c r="D126" s="5" t="s">
        <v>27</v>
      </c>
      <c r="E126" s="5" t="str">
        <f t="shared" si="4"/>
        <v>SUBGERENCIA DE SALUD-MARIBEL TRUJILLO BOTELLO</v>
      </c>
      <c r="F126" s="5"/>
      <c r="G126" s="5"/>
    </row>
    <row r="127" spans="1:7" ht="58.5" customHeight="1" x14ac:dyDescent="0.25">
      <c r="A127" s="5" t="str">
        <f>"H0036001"</f>
        <v>H0036001</v>
      </c>
      <c r="B127" s="5" t="str">
        <f t="shared" si="5"/>
        <v>SILLA INTERLOCUTORA BUTTERFLY ASIENTO</v>
      </c>
      <c r="C127" s="6">
        <v>351000</v>
      </c>
      <c r="D127" s="5" t="s">
        <v>27</v>
      </c>
      <c r="E127" s="5" t="str">
        <f t="shared" si="4"/>
        <v>SUBGERENCIA DE SALUD-MARIBEL TRUJILLO BOTELLO</v>
      </c>
      <c r="F127" s="5"/>
      <c r="G127" s="5"/>
    </row>
    <row r="128" spans="1:7" ht="58.5" customHeight="1" x14ac:dyDescent="0.25">
      <c r="A128" s="5" t="str">
        <f>"H0036003"</f>
        <v>H0036003</v>
      </c>
      <c r="B128" s="5" t="str">
        <f t="shared" si="5"/>
        <v>SILLA INTERLOCUTORA BUTTERFLY ASIENTO</v>
      </c>
      <c r="C128" s="6">
        <v>351000</v>
      </c>
      <c r="D128" s="5" t="s">
        <v>27</v>
      </c>
      <c r="E128" s="5" t="str">
        <f t="shared" si="4"/>
        <v>SUBGERENCIA DE SALUD-MARIBEL TRUJILLO BOTELLO</v>
      </c>
      <c r="F128" s="5"/>
      <c r="G128" s="5"/>
    </row>
    <row r="129" spans="1:7" ht="58.5" customHeight="1" x14ac:dyDescent="0.25">
      <c r="A129" s="5" t="str">
        <f>"H0036527"</f>
        <v>H0036527</v>
      </c>
      <c r="B12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29" s="6">
        <v>6307000</v>
      </c>
      <c r="D129" s="5" t="s">
        <v>48</v>
      </c>
      <c r="E129" s="5" t="str">
        <f t="shared" si="4"/>
        <v>SUBGERENCIA DE SALUD-MARIBEL TRUJILLO BOTELLO</v>
      </c>
      <c r="F129" s="5"/>
      <c r="G129" s="5" t="str">
        <f>"VZ4680G"</f>
        <v>VZ4680G</v>
      </c>
    </row>
    <row r="130" spans="1:7" ht="58.5" customHeight="1" x14ac:dyDescent="0.25">
      <c r="A130" s="5" t="str">
        <f>"H0036532"</f>
        <v>H0036532</v>
      </c>
      <c r="B130"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30" s="6">
        <v>6307000</v>
      </c>
      <c r="D130" s="5" t="s">
        <v>48</v>
      </c>
      <c r="E130" s="5" t="str">
        <f t="shared" si="4"/>
        <v>SUBGERENCIA DE SALUD-MARIBEL TRUJILLO BOTELLO</v>
      </c>
      <c r="F130" s="5"/>
      <c r="G130" s="5" t="str">
        <f>"VZ4680G"</f>
        <v>VZ4680G</v>
      </c>
    </row>
    <row r="131" spans="1:7" ht="58.5" customHeight="1" x14ac:dyDescent="0.25">
      <c r="A131" s="5" t="str">
        <f>"H0036896"</f>
        <v>H0036896</v>
      </c>
      <c r="B131" s="5" t="str">
        <f>"AIRE ACONDICIONADO TIPO MINISPLIT CAPACIDAD 18.000 BTU TECNOLOGIA INVERTER DUAL"</f>
        <v>AIRE ACONDICIONADO TIPO MINISPLIT CAPACIDAD 18.000 BTU TECNOLOGIA INVERTER DUAL</v>
      </c>
      <c r="C131" s="6">
        <v>3900000</v>
      </c>
      <c r="D131" s="5" t="s">
        <v>28</v>
      </c>
      <c r="E131" s="5" t="str">
        <f t="shared" si="4"/>
        <v>SUBGERENCIA DE SALUD-MARIBEL TRUJILLO BOTELLO</v>
      </c>
      <c r="F131" s="5"/>
      <c r="G131" s="5"/>
    </row>
    <row r="132" spans="1:7" ht="58.5" customHeight="1" x14ac:dyDescent="0.25">
      <c r="A132" s="5" t="str">
        <f>"H0036909"</f>
        <v>H0036909</v>
      </c>
      <c r="B132" s="5" t="str">
        <f>"AIRE ACONDICIONADO DE 24000 BTU CONVENCIONAL R410"</f>
        <v>AIRE ACONDICIONADO DE 24000 BTU CONVENCIONAL R410</v>
      </c>
      <c r="C132" s="6">
        <v>4950000</v>
      </c>
      <c r="D132" s="5" t="s">
        <v>28</v>
      </c>
      <c r="E132" s="5" t="str">
        <f t="shared" ref="E132:E141" si="6">"SUBGERENCIA DE SALUD-MARIBEL TRUJILLO BOTELLO"</f>
        <v>SUBGERENCIA DE SALUD-MARIBEL TRUJILLO BOTELLO</v>
      </c>
      <c r="F132" s="5"/>
      <c r="G132" s="5"/>
    </row>
    <row r="133" spans="1:7" ht="58.5" customHeight="1" x14ac:dyDescent="0.25">
      <c r="A133" s="5" t="str">
        <f>"H0037575"</f>
        <v>H0037575</v>
      </c>
      <c r="B133"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33" s="6">
        <v>1837598</v>
      </c>
      <c r="D133" s="5" t="s">
        <v>29</v>
      </c>
      <c r="E133" s="5" t="str">
        <f t="shared" si="6"/>
        <v>SUBGERENCIA DE SALUD-MARIBEL TRUJILLO BOTELLO</v>
      </c>
      <c r="F133" s="5"/>
      <c r="G133" s="5"/>
    </row>
    <row r="134" spans="1:7" ht="58.5" customHeight="1" x14ac:dyDescent="0.25">
      <c r="A134" s="5" t="str">
        <f>"H0037656"</f>
        <v>H0037656</v>
      </c>
      <c r="B134" s="5" t="str">
        <f t="shared" ref="B134:B140" si="7">"SILLA GERENTE NIZA MEC. BASCULANTE CON BRAZOS."</f>
        <v>SILLA GERENTE NIZA MEC. BASCULANTE CON BRAZOS.</v>
      </c>
      <c r="C134" s="6">
        <v>710000.01</v>
      </c>
      <c r="D134" s="5" t="s">
        <v>30</v>
      </c>
      <c r="E134" s="5" t="str">
        <f t="shared" si="6"/>
        <v>SUBGERENCIA DE SALUD-MARIBEL TRUJILLO BOTELLO</v>
      </c>
      <c r="F134" s="5"/>
      <c r="G134" s="5"/>
    </row>
    <row r="135" spans="1:7" ht="58.5" customHeight="1" x14ac:dyDescent="0.25">
      <c r="A135" s="5" t="str">
        <f>"H0037657"</f>
        <v>H0037657</v>
      </c>
      <c r="B135" s="5" t="str">
        <f t="shared" si="7"/>
        <v>SILLA GERENTE NIZA MEC. BASCULANTE CON BRAZOS.</v>
      </c>
      <c r="C135" s="6">
        <v>710000.01</v>
      </c>
      <c r="D135" s="5" t="s">
        <v>30</v>
      </c>
      <c r="E135" s="5" t="str">
        <f t="shared" si="6"/>
        <v>SUBGERENCIA DE SALUD-MARIBEL TRUJILLO BOTELLO</v>
      </c>
      <c r="F135" s="5"/>
      <c r="G135" s="5"/>
    </row>
    <row r="136" spans="1:7" ht="58.5" customHeight="1" x14ac:dyDescent="0.25">
      <c r="A136" s="5" t="str">
        <f>"H0037658"</f>
        <v>H0037658</v>
      </c>
      <c r="B136" s="5" t="str">
        <f t="shared" si="7"/>
        <v>SILLA GERENTE NIZA MEC. BASCULANTE CON BRAZOS.</v>
      </c>
      <c r="C136" s="6">
        <v>710000.01</v>
      </c>
      <c r="D136" s="5" t="s">
        <v>30</v>
      </c>
      <c r="E136" s="5" t="str">
        <f t="shared" si="6"/>
        <v>SUBGERENCIA DE SALUD-MARIBEL TRUJILLO BOTELLO</v>
      </c>
      <c r="F136" s="5"/>
      <c r="G136" s="5"/>
    </row>
    <row r="137" spans="1:7" ht="58.5" customHeight="1" x14ac:dyDescent="0.25">
      <c r="A137" s="5" t="str">
        <f>"H0037659"</f>
        <v>H0037659</v>
      </c>
      <c r="B137" s="5" t="str">
        <f t="shared" si="7"/>
        <v>SILLA GERENTE NIZA MEC. BASCULANTE CON BRAZOS.</v>
      </c>
      <c r="C137" s="6">
        <v>710000.01</v>
      </c>
      <c r="D137" s="5" t="s">
        <v>30</v>
      </c>
      <c r="E137" s="5" t="str">
        <f t="shared" si="6"/>
        <v>SUBGERENCIA DE SALUD-MARIBEL TRUJILLO BOTELLO</v>
      </c>
      <c r="F137" s="5"/>
      <c r="G137" s="5"/>
    </row>
    <row r="138" spans="1:7" ht="58.5" customHeight="1" x14ac:dyDescent="0.25">
      <c r="A138" s="5" t="str">
        <f>"H0037923"</f>
        <v>H0037923</v>
      </c>
      <c r="B138" s="5" t="str">
        <f t="shared" si="7"/>
        <v>SILLA GERENTE NIZA MEC. BASCULANTE CON BRAZOS.</v>
      </c>
      <c r="C138" s="6">
        <v>710000.01</v>
      </c>
      <c r="D138" s="5" t="s">
        <v>30</v>
      </c>
      <c r="E138" s="5" t="str">
        <f t="shared" si="6"/>
        <v>SUBGERENCIA DE SALUD-MARIBEL TRUJILLO BOTELLO</v>
      </c>
      <c r="F138" s="5"/>
      <c r="G138" s="5"/>
    </row>
    <row r="139" spans="1:7" ht="58.5" customHeight="1" x14ac:dyDescent="0.25">
      <c r="A139" s="5" t="str">
        <f>"H0037925"</f>
        <v>H0037925</v>
      </c>
      <c r="B139" s="5" t="str">
        <f t="shared" si="7"/>
        <v>SILLA GERENTE NIZA MEC. BASCULANTE CON BRAZOS.</v>
      </c>
      <c r="C139" s="6">
        <v>710000.01</v>
      </c>
      <c r="D139" s="5" t="s">
        <v>30</v>
      </c>
      <c r="E139" s="5" t="str">
        <f t="shared" si="6"/>
        <v>SUBGERENCIA DE SALUD-MARIBEL TRUJILLO BOTELLO</v>
      </c>
      <c r="F139" s="5"/>
      <c r="G139" s="5"/>
    </row>
    <row r="140" spans="1:7" ht="58.5" customHeight="1" x14ac:dyDescent="0.25">
      <c r="A140" s="5" t="str">
        <f>"H0037926"</f>
        <v>H0037926</v>
      </c>
      <c r="B140" s="5" t="str">
        <f t="shared" si="7"/>
        <v>SILLA GERENTE NIZA MEC. BASCULANTE CON BRAZOS.</v>
      </c>
      <c r="C140" s="6">
        <v>710000.01</v>
      </c>
      <c r="D140" s="5" t="s">
        <v>30</v>
      </c>
      <c r="E140" s="5" t="str">
        <f t="shared" si="6"/>
        <v>SUBGERENCIA DE SALUD-MARIBEL TRUJILLO BOTELLO</v>
      </c>
      <c r="F140" s="5"/>
      <c r="G140" s="5"/>
    </row>
    <row r="141" spans="1:7" ht="58.5" customHeight="1" x14ac:dyDescent="0.25">
      <c r="A141" s="5" t="str">
        <f>"H0038113"</f>
        <v>H0038113</v>
      </c>
      <c r="B141" s="5" t="str">
        <f>"COMPUTADOR TODO EN UNO"</f>
        <v>COMPUTADOR TODO EN UNO</v>
      </c>
      <c r="C141" s="6">
        <v>7497000</v>
      </c>
      <c r="D141" s="5" t="s">
        <v>31</v>
      </c>
      <c r="E141" s="5" t="str">
        <f t="shared" si="6"/>
        <v>SUBGERENCIA DE SALUD-MARIBEL TRUJILLO BOTELLO</v>
      </c>
      <c r="F141" s="5"/>
      <c r="G141" s="5"/>
    </row>
    <row r="142" spans="1:7" ht="58.5" customHeight="1" x14ac:dyDescent="0.25">
      <c r="A142" s="5" t="str">
        <f>"B0003814"</f>
        <v>B0003814</v>
      </c>
      <c r="B142" s="5" t="str">
        <f>"RIÑONERA HOSPITALARIA EN ACERO INOXIDABLE"</f>
        <v>RIÑONERA HOSPITALARIA EN ACERO INOXIDABLE</v>
      </c>
      <c r="C142" s="6">
        <v>2163.9299999999998</v>
      </c>
      <c r="D142" s="5"/>
      <c r="E142" s="5" t="str">
        <f t="shared" ref="E142:E205" si="8">"ACTISALUD-MEDICINA INTERNA- PISO 7"</f>
        <v>ACTISALUD-MEDICINA INTERNA- PISO 7</v>
      </c>
      <c r="F142" s="5" t="str">
        <f>"Descripcion: RIÑONERA EN ACERO INOX. Estado: Bueno Placa anterior: 000004422 Material: ACERO INOX. Color: PLATEADO Referencia:  Observacion: ESTERILIZADO Placa padre: Tipo adquisicion: Entidad"</f>
        <v>Descripcion: RIÑONERA EN ACERO INOX. Estado: Bueno Placa anterior: 000004422 Material: ACERO INOX. Color: PLATEADO Referencia:  Observacion: ESTERILIZADO Placa padre: Tipo adquisicion: Entidad</v>
      </c>
      <c r="G142" s="5"/>
    </row>
    <row r="143" spans="1:7" ht="58.5" customHeight="1" x14ac:dyDescent="0.25">
      <c r="A143" s="5" t="str">
        <f>"B0003815"</f>
        <v>B0003815</v>
      </c>
      <c r="B143" s="5" t="str">
        <f>"RIÑONERA HOSPITALARIA EN ACERO INOXIDABLE"</f>
        <v>RIÑONERA HOSPITALARIA EN ACERO INOXIDABLE</v>
      </c>
      <c r="C143" s="6">
        <v>2163.9299999999998</v>
      </c>
      <c r="D143" s="5"/>
      <c r="E143" s="5" t="str">
        <f t="shared" si="8"/>
        <v>ACTISALUD-MEDICINA INTERNA- PISO 7</v>
      </c>
      <c r="F143" s="5" t="str">
        <f>"Descripcion: RIÑONERA EN ACERO INOX. Estado: Bueno Placa anterior: 000004485 Material: ACERO INOX. Color: PLATEADO Referencia:  Observacion: ESTERILIZADO Placa padre: Tipo adquisicion: Entidad"</f>
        <v>Descripcion: RIÑONERA EN ACERO INOX. Estado: Bueno Placa anterior: 000004485 Material: ACERO INOX. Color: PLATEADO Referencia:  Observacion: ESTERILIZADO Placa padre: Tipo adquisicion: Entidad</v>
      </c>
      <c r="G143" s="5"/>
    </row>
    <row r="144" spans="1:7" ht="58.5" customHeight="1" x14ac:dyDescent="0.25">
      <c r="A144" s="5" t="str">
        <f>"B0003816"</f>
        <v>B0003816</v>
      </c>
      <c r="B144" s="5" t="str">
        <f>"RIÑONERA HOSPITALARIA EN ACERO INOXIDABLE"</f>
        <v>RIÑONERA HOSPITALARIA EN ACERO INOXIDABLE</v>
      </c>
      <c r="C144" s="6">
        <v>2163.9299999999998</v>
      </c>
      <c r="D144" s="5"/>
      <c r="E144" s="5" t="str">
        <f t="shared" si="8"/>
        <v>ACTISALUD-MEDICINA INTERNA- PISO 7</v>
      </c>
      <c r="F144" s="5" t="str">
        <f>"Descripcion: RIÑONERA EN ACERO INOX. Estado: Bueno Placa anterior: 000004547 Material: ACERO INOX. Color: PLATEADO Referencia:  Observacion: ESTERILIZADO Placa padre: Tipo adquisicion: Entidad"</f>
        <v>Descripcion: RIÑONERA EN ACERO INOX. Estado: Bueno Placa anterior: 000004547 Material: ACERO INOX. Color: PLATEADO Referencia:  Observacion: ESTERILIZADO Placa padre: Tipo adquisicion: Entidad</v>
      </c>
      <c r="G144" s="5"/>
    </row>
    <row r="145" spans="1:7" ht="58.5" customHeight="1" x14ac:dyDescent="0.25">
      <c r="A145" s="5" t="str">
        <f>"B0003817"</f>
        <v>B0003817</v>
      </c>
      <c r="B145" s="5" t="str">
        <f>"CUBETA DE ACERO INOXIDABLE CON TAPA PEQUEÑA"</f>
        <v>CUBETA DE ACERO INOXIDABLE CON TAPA PEQUEÑA</v>
      </c>
      <c r="C145" s="6">
        <v>18602.580000000002</v>
      </c>
      <c r="D145" s="5"/>
      <c r="E145" s="5" t="str">
        <f t="shared" si="8"/>
        <v>ACTISALUD-MEDICINA INTERNA- PISO 7</v>
      </c>
      <c r="F145" s="5" t="str">
        <f>"Descripcion: CUBETA EN ACERO INOX. PEQ. CON TAPA Estado: Bueno Placa anterior: 000004682 Material: ACERO INOX. Color: PLATEADO Referencia:  Observacion: ESTERILIZADO Placa padre: Tipo adquisicion: Entidad"</f>
        <v>Descripcion: CUBETA EN ACERO INOX. PEQ. CON TAPA Estado: Bueno Placa anterior: 000004682 Material: ACERO INOX. Color: PLATEADO Referencia:  Observacion: ESTERILIZADO Placa padre: Tipo adquisicion: Entidad</v>
      </c>
      <c r="G145" s="5"/>
    </row>
    <row r="146" spans="1:7" ht="58.5" customHeight="1" x14ac:dyDescent="0.25">
      <c r="A146" s="5" t="str">
        <f>"B0003818"</f>
        <v>B0003818</v>
      </c>
      <c r="B146" s="5" t="str">
        <f>"CUBETA DE ACERO INOXIDABLE CON TAPA PEQUEÑA"</f>
        <v>CUBETA DE ACERO INOXIDABLE CON TAPA PEQUEÑA</v>
      </c>
      <c r="C146" s="6">
        <v>18602.580000000002</v>
      </c>
      <c r="D146" s="5"/>
      <c r="E146" s="5" t="str">
        <f t="shared" si="8"/>
        <v>ACTISALUD-MEDICINA INTERNA- PISO 7</v>
      </c>
      <c r="F146" s="5" t="str">
        <f>"Descripcion: CUBETA EN ACERO INOX. PEQ. CON TAPA Estado: Bueno Placa anterior: 000004683 Material: ACERO INOX. Color: PLATEADO Referencia:  Observacion: ESTERILIZADO Placa padre: Tipo adquisicion: Entidad"</f>
        <v>Descripcion: CUBETA EN ACERO INOX. PEQ. CON TAPA Estado: Bueno Placa anterior: 000004683 Material: ACERO INOX. Color: PLATEADO Referencia:  Observacion: ESTERILIZADO Placa padre: Tipo adquisicion: Entidad</v>
      </c>
      <c r="G146" s="5"/>
    </row>
    <row r="147" spans="1:7" ht="58.5" customHeight="1" x14ac:dyDescent="0.25">
      <c r="A147" s="5" t="str">
        <f>"B0003819"</f>
        <v>B0003819</v>
      </c>
      <c r="B147" s="5" t="str">
        <f>"PLATON EN ACERO INOXIDABLE PEQUEÑO"</f>
        <v>PLATON EN ACERO INOXIDABLE PEQUEÑO</v>
      </c>
      <c r="C147" s="6">
        <v>8394.65</v>
      </c>
      <c r="D147" s="5"/>
      <c r="E147" s="5" t="str">
        <f t="shared" si="8"/>
        <v>ACTISALUD-MEDICINA INTERNA- PISO 7</v>
      </c>
      <c r="F147" s="5" t="str">
        <f>"Descripcion: PLATON EN ACERO INOX. PEQ. Estado: Bueno Placa anterior: 000004680 Material: ACERO INOX. Color: PLATEADO Referencia:  Observacion: ESTERILIZADO Placa padre: Tipo adquisicion: Entidad"</f>
        <v>Descripcion: PLATON EN ACERO INOX. PEQ. Estado: Bueno Placa anterior: 000004680 Material: ACERO INOX. Color: PLATEADO Referencia:  Observacion: ESTERILIZADO Placa padre: Tipo adquisicion: Entidad</v>
      </c>
      <c r="G147" s="5"/>
    </row>
    <row r="148" spans="1:7" ht="58.5" customHeight="1" x14ac:dyDescent="0.25">
      <c r="A148" s="5" t="str">
        <f>"B0003820"</f>
        <v>B0003820</v>
      </c>
      <c r="B148" s="5" t="str">
        <f>"PLATON NIQUELADO – INOXIDABLE"</f>
        <v>PLATON NIQUELADO – INOXIDABLE</v>
      </c>
      <c r="C148" s="6">
        <v>187</v>
      </c>
      <c r="D148" s="5"/>
      <c r="E148" s="5" t="str">
        <f t="shared" si="8"/>
        <v>ACTISALUD-MEDICINA INTERNA- PISO 7</v>
      </c>
      <c r="F148" s="5" t="str">
        <f>"Descripcion: PLATON GRANDE Estado: Bueno Placa anterior: 000006792 Material: ACERO INOX. Color: PLATEADO Referencia:  Observacion: ESTERILIZADO Placa padre: Tipo adquisicion: Entidad"</f>
        <v>Descripcion: PLATON GRANDE Estado: Bueno Placa anterior: 000006792 Material: ACERO INOX. Color: PLATEADO Referencia:  Observacion: ESTERILIZADO Placa padre: Tipo adquisicion: Entidad</v>
      </c>
      <c r="G148" s="5"/>
    </row>
    <row r="149" spans="1:7" ht="58.5" customHeight="1" x14ac:dyDescent="0.25">
      <c r="A149" s="5" t="str">
        <f>"B0003821"</f>
        <v>B0003821</v>
      </c>
      <c r="B149" s="5" t="str">
        <f>"PLATON NIQUELADO – INOXIDABLE"</f>
        <v>PLATON NIQUELADO – INOXIDABLE</v>
      </c>
      <c r="C149" s="6">
        <v>187</v>
      </c>
      <c r="D149" s="5"/>
      <c r="E149" s="5" t="str">
        <f t="shared" si="8"/>
        <v>ACTISALUD-MEDICINA INTERNA- PISO 7</v>
      </c>
      <c r="F149" s="5" t="str">
        <f>"Descripcion: PLATON GRANDE Estado: Bueno Placa anterior: 000006794 Material: ACERO INOX. Color: PLATEADO Referencia:  Observacion: ESTERILIZADO Placa padre: Tipo adquisicion: Entidad"</f>
        <v>Descripcion: PLATON GRANDE Estado: Bueno Placa anterior: 000006794 Material: ACERO INOX. Color: PLATEADO Referencia:  Observacion: ESTERILIZADO Placa padre: Tipo adquisicion: Entidad</v>
      </c>
      <c r="G149" s="5"/>
    </row>
    <row r="150" spans="1:7" ht="58.5" customHeight="1" x14ac:dyDescent="0.25">
      <c r="A150" s="5" t="str">
        <f>"B0003822"</f>
        <v>B0003822</v>
      </c>
      <c r="B150" s="5" t="str">
        <f>"PLATON NIQUELADO – INOXIDABLE"</f>
        <v>PLATON NIQUELADO – INOXIDABLE</v>
      </c>
      <c r="C150" s="6">
        <v>841.5</v>
      </c>
      <c r="D150" s="5"/>
      <c r="E150" s="5" t="str">
        <f t="shared" si="8"/>
        <v>ACTISALUD-MEDICINA INTERNA- PISO 7</v>
      </c>
      <c r="F150" s="5" t="str">
        <f>"Descripcion: PLATON GRANDE Estado: Bueno Placa anterior: 000006796 Material: ACERO INOX. Color: PLATEADO Referencia:  Observacion: ESTERILIZADO Placa padre: Tipo adquisicion: Entidad"</f>
        <v>Descripcion: PLATON GRANDE Estado: Bueno Placa anterior: 000006796 Material: ACERO INOX. Color: PLATEADO Referencia:  Observacion: ESTERILIZADO Placa padre: Tipo adquisicion: Entidad</v>
      </c>
      <c r="G150" s="5"/>
    </row>
    <row r="151" spans="1:7" ht="58.5" customHeight="1" x14ac:dyDescent="0.25">
      <c r="A151" s="5" t="str">
        <f>"B0003823"</f>
        <v>B0003823</v>
      </c>
      <c r="B151" s="5" t="str">
        <f>"RIÑONERA HOSPITALARIA EN ACERO INOXIDABLE"</f>
        <v>RIÑONERA HOSPITALARIA EN ACERO INOXIDABLE</v>
      </c>
      <c r="C151" s="6">
        <v>2163.9299999999998</v>
      </c>
      <c r="D151" s="5"/>
      <c r="E151" s="5" t="str">
        <f t="shared" si="8"/>
        <v>ACTISALUD-MEDICINA INTERNA- PISO 7</v>
      </c>
      <c r="F151" s="5" t="str">
        <f>"Descripcion: RIÑONERA EN ACERO INOX. Estado: Bueno Placa anterior: 000004573 Material: ACERO INOX. Color: PLATEADO Referencia:  Observacion: ESTERILIZADO Placa padre: Tipo adquisicion: Entidad"</f>
        <v>Descripcion: RIÑONERA EN ACERO INOX. Estado: Bueno Placa anterior: 000004573 Material: ACERO INOX. Color: PLATEADO Referencia:  Observacion: ESTERILIZADO Placa padre: Tipo adquisicion: Entidad</v>
      </c>
      <c r="G151" s="5"/>
    </row>
    <row r="152" spans="1:7" ht="58.5" customHeight="1" x14ac:dyDescent="0.25">
      <c r="A152" s="5" t="str">
        <f>"B0005369"</f>
        <v>B0005369</v>
      </c>
      <c r="B152" s="5" t="str">
        <f>"MARTILLO PARA REFLEJOS"</f>
        <v>MARTILLO PARA REFLEJOS</v>
      </c>
      <c r="C152" s="6">
        <v>751.77</v>
      </c>
      <c r="D152" s="5"/>
      <c r="E152" s="5" t="str">
        <f t="shared" si="8"/>
        <v>ACTISALUD-MEDICINA INTERNA- PISO 7</v>
      </c>
      <c r="F152" s="5" t="str">
        <f>"Descripcion: MARTILLO DE REFLEJOS Estado: Bueno Placa anterior: 000006444 Material: METAL Color:  Referencia:  Observacion:  Placa padre: Tipo adquisicion: Entidad"</f>
        <v>Descripcion: MARTILLO DE REFLEJOS Estado: Bueno Placa anterior: 000006444 Material: METAL Color:  Referencia:  Observacion:  Placa padre: Tipo adquisicion: Entidad</v>
      </c>
      <c r="G152" s="5"/>
    </row>
    <row r="153" spans="1:7" ht="58.5" customHeight="1" x14ac:dyDescent="0.25">
      <c r="A153" s="5" t="str">
        <f>"H0000970"</f>
        <v>H0000970</v>
      </c>
      <c r="B153" s="5" t="str">
        <f>"ESCALERILLA DE 2 PASOS"</f>
        <v>ESCALERILLA DE 2 PASOS</v>
      </c>
      <c r="C153" s="6">
        <v>100000</v>
      </c>
      <c r="D153" s="5" t="s">
        <v>49</v>
      </c>
      <c r="E153" s="5" t="str">
        <f t="shared" si="8"/>
        <v>ACTISALUD-MEDICINA INTERNA- PISO 7</v>
      </c>
      <c r="F153" s="5" t="str">
        <f>"Descripcion: ESCALERA DE DOS PASOS CON PASOS EN PLASTICO Estado: Bueno Placa anterior: 000029853 Material: METALICO CON PASOS EN PLASTICO Color: BLANCO Referencia:  Observacion:  Placa padre: Tipo adquisicion: Entidad"</f>
        <v>Descripcion: ESCALERA DE DOS PASOS CON PASOS EN PLASTICO Estado: Bueno Placa anterior: 000029853 Material: METALICO CON PASOS EN PLASTICO Color: BLANCO Referencia:  Observacion:  Placa padre: Tipo adquisicion: Entidad</v>
      </c>
      <c r="G153" s="5"/>
    </row>
    <row r="154" spans="1:7" ht="58.5" customHeight="1" x14ac:dyDescent="0.25">
      <c r="A154" s="5" t="str">
        <f>"H0001011"</f>
        <v>H0001011</v>
      </c>
      <c r="B154" s="5" t="str">
        <f>"ATRIL PORTASUERO MOVIL"</f>
        <v>ATRIL PORTASUERO MOVIL</v>
      </c>
      <c r="C154" s="6">
        <v>210000</v>
      </c>
      <c r="D154" s="5" t="s">
        <v>50</v>
      </c>
      <c r="E154" s="5" t="str">
        <f t="shared" si="8"/>
        <v>ACTISALUD-MEDICINA INTERNA- PISO 7</v>
      </c>
      <c r="F154" s="5" t="str">
        <f>"Descripcion: ATRIL PORTASUERO MOVIL Estado: Bueno Placa anterior: 000029750 Material: CROMADO Color:  Referencia:  Observacion:  Placa padre: Tipo adquisicion: Entidad"</f>
        <v>Descripcion: ATRIL PORTASUERO MOVIL Estado: Bueno Placa anterior: 000029750 Material: CROMADO Color:  Referencia:  Observacion:  Placa padre: Tipo adquisicion: Entidad</v>
      </c>
      <c r="G154" s="5"/>
    </row>
    <row r="155" spans="1:7" ht="58.5" customHeight="1" x14ac:dyDescent="0.25">
      <c r="A155" s="5" t="str">
        <f>"H0001044"</f>
        <v>H0001044</v>
      </c>
      <c r="B155" s="5" t="str">
        <f>"ESCALERILLA DE 2 PASOS"</f>
        <v>ESCALERILLA DE 2 PASOS</v>
      </c>
      <c r="C155" s="6">
        <v>5034.04</v>
      </c>
      <c r="D155" s="5"/>
      <c r="E155" s="5" t="str">
        <f t="shared" si="8"/>
        <v>ACTISALUD-MEDICINA INTERNA- PISO 7</v>
      </c>
      <c r="F155" s="5" t="str">
        <f>"Descripcion: ESCALERA DE DOS PASOS Estado: Excelente Placa anterior: 000018401 Material: METALICA CON PASOS EN MADERA Color: NEGRO Referencia:  Observacion: FUNCIONARIO AUTORIZA SE CONCILIE CON PLACA  000018401 Placa padre: Tipo adquisicion: Entidad"</f>
        <v>Descripcion: ESCALERA DE DOS PASOS Estado: Excelente Placa anterior: 000018401 Material: METALICA CON PASOS EN MADERA Color: NEGRO Referencia:  Observacion: FUNCIONARIO AUTORIZA SE CONCILIE CON PLACA  000018401 Placa padre: Tipo adquisicion: Entidad</v>
      </c>
      <c r="G155" s="5"/>
    </row>
    <row r="156" spans="1:7" ht="58.5" customHeight="1" x14ac:dyDescent="0.25">
      <c r="A156" s="5" t="str">
        <f>"H0001616"</f>
        <v>H0001616</v>
      </c>
      <c r="B156" s="5" t="str">
        <f>"MESA PUENTE (ALIMENTACION) (INSTRUMENTAL)"</f>
        <v>MESA PUENTE (ALIMENTACION) (INSTRUMENTAL)</v>
      </c>
      <c r="C156" s="6">
        <v>603200</v>
      </c>
      <c r="D156" s="5" t="s">
        <v>51</v>
      </c>
      <c r="E156" s="5" t="str">
        <f t="shared" si="8"/>
        <v>ACTISALUD-MEDICINA INTERNA- PISO 7</v>
      </c>
      <c r="F156" s="5" t="str">
        <f>"Descripcion: MESA PUENTE METALICA Estado: Bueno Placa anterior: 000028515 Material: METALICO CON MESON EN FORMICA Color: BEIGE CON MARRON Referencia:  Observacion:  Placa padre: Tipo adquisicion: Donacion"</f>
        <v>Descripcion: MESA PUENTE METALICA Estado: Bueno Placa anterior: 000028515 Material: METALICO CON MESON EN FORMICA Color: BEIGE CON MARRON Referencia:  Observacion:  Placa padre: Tipo adquisicion: Donacion</v>
      </c>
      <c r="G156" s="5"/>
    </row>
    <row r="157" spans="1:7" ht="58.5" customHeight="1" x14ac:dyDescent="0.25">
      <c r="A157" s="5" t="str">
        <f>"H0001620"</f>
        <v>H0001620</v>
      </c>
      <c r="B157" s="5" t="str">
        <f>"PATO (PISINGO) HOMBRE"</f>
        <v>PATO (PISINGO) HOMBRE</v>
      </c>
      <c r="C157" s="6">
        <v>57246</v>
      </c>
      <c r="D157" s="5"/>
      <c r="E157" s="5" t="str">
        <f t="shared" si="8"/>
        <v>ACTISALUD-MEDICINA INTERNA- PISO 7</v>
      </c>
      <c r="F157" s="5" t="str">
        <f>"Descripcion: PISINGO HOMBRE Estado: Bueno Placa anterior: 000004027 Material: ACERO INOXIDABLE Color:  Referencia:  Observacion:  Placa padre: Tipo adquisicion: Entidad"</f>
        <v>Descripcion: PISINGO HOMBRE Estado: Bueno Placa anterior: 000004027 Material: ACERO INOXIDABLE Color:  Referencia:  Observacion:  Placa padre: Tipo adquisicion: Entidad</v>
      </c>
      <c r="G157" s="5"/>
    </row>
    <row r="158" spans="1:7" ht="58.5" customHeight="1" x14ac:dyDescent="0.25">
      <c r="A158" s="5" t="str">
        <f>"H0001623"</f>
        <v>H0001623</v>
      </c>
      <c r="B158" s="5" t="str">
        <f>"MESA PUENTE (ALIMENTACION) (INSTRUMENTAL)"</f>
        <v>MESA PUENTE (ALIMENTACION) (INSTRUMENTAL)</v>
      </c>
      <c r="C158" s="6">
        <v>603200</v>
      </c>
      <c r="D158" s="5" t="s">
        <v>51</v>
      </c>
      <c r="E158" s="5" t="str">
        <f t="shared" si="8"/>
        <v>ACTISALUD-MEDICINA INTERNA- PISO 7</v>
      </c>
      <c r="F158" s="5" t="str">
        <f>"Descripcion: MESA PUENTE METALICA (DAÑADA SIN MESON) Estado: Malo Placa anterior: 000028522 Material: METALICO Color: BEIGE Referencia:  Observacion:  Placa padre: Tipo adquisicion: Donacion"</f>
        <v>Descripcion: MESA PUENTE METALICA (DAÑADA SIN MESON) Estado: Malo Placa anterior: 000028522 Material: METALICO Color: BEIGE Referencia:  Observacion:  Placa padre: Tipo adquisicion: Donacion</v>
      </c>
      <c r="G158" s="5"/>
    </row>
    <row r="159" spans="1:7" ht="58.5" customHeight="1" x14ac:dyDescent="0.25">
      <c r="A159" s="5" t="str">
        <f>"H0001634"</f>
        <v>H0001634</v>
      </c>
      <c r="B159" s="5" t="str">
        <f>"MESA PUENTE (ALIMENTACION) (INSTRUMENTAL)"</f>
        <v>MESA PUENTE (ALIMENTACION) (INSTRUMENTAL)</v>
      </c>
      <c r="C159" s="6">
        <v>603200</v>
      </c>
      <c r="D159" s="5" t="s">
        <v>51</v>
      </c>
      <c r="E159" s="5" t="str">
        <f t="shared" si="8"/>
        <v>ACTISALUD-MEDICINA INTERNA- PISO 7</v>
      </c>
      <c r="F159" s="5" t="str">
        <f>"Descripcion:    MESA PUENTE PARA ALIMENTACION (NO SIRVE EL MESON, ESTA CAIDO) Estado: Regular Placa anterior: 000028516 Material: METALICO CON MESON EN FORMICA Color: BEIGE CON MARRON Referencia:  Observacion:  Placa padre: Tipo adquisicion: Donacion"</f>
        <v>Descripcion:    MESA PUENTE PARA ALIMENTACION (NO SIRVE EL MESON, ESTA CAIDO) Estado: Regular Placa anterior: 000028516 Material: METALICO CON MESON EN FORMICA Color: BEIGE CON MARRON Referencia:  Observacion:  Placa padre: Tipo adquisicion: Donacion</v>
      </c>
      <c r="G159" s="5"/>
    </row>
    <row r="160" spans="1:7" ht="58.5" customHeight="1" x14ac:dyDescent="0.25">
      <c r="A160" s="5" t="str">
        <f>"H0001638"</f>
        <v>H0001638</v>
      </c>
      <c r="B160" s="5" t="str">
        <f>"ESCALERILLA DE 2 PASOS"</f>
        <v>ESCALERILLA DE 2 PASOS</v>
      </c>
      <c r="C160" s="6">
        <v>4455</v>
      </c>
      <c r="D160" s="5"/>
      <c r="E160" s="5" t="str">
        <f t="shared" si="8"/>
        <v>ACTISALUD-MEDICINA INTERNA- PISO 7</v>
      </c>
      <c r="F160" s="5" t="str">
        <f>"Descripcion:   ESCALERA DE DOS PASOS Estado: Bueno Placa anterior: 000004568 Material: METALICA CON PASOS EN MADERA Color: NEGRO Referencia:  Observacion: ESCALA TIPO B (2 PASOS)  Placa padre: Tipo adquisicion: Entidad"</f>
        <v>Descripcion:   ESCALERA DE DOS PASOS Estado: Bueno Placa anterior: 000004568 Material: METALICA CON PASOS EN MADERA Color: NEGRO Referencia:  Observacion: ESCALA TIPO B (2 PASOS)  Placa padre: Tipo adquisicion: Entidad</v>
      </c>
      <c r="G160" s="5"/>
    </row>
    <row r="161" spans="1:7" ht="58.5" customHeight="1" x14ac:dyDescent="0.25">
      <c r="A161" s="5" t="str">
        <f>"H0001640"</f>
        <v>H0001640</v>
      </c>
      <c r="B161" s="5" t="str">
        <f>"SILLA PLASTICA CON BRAZOS"</f>
        <v>SILLA PLASTICA CON BRAZOS</v>
      </c>
      <c r="C161" s="6">
        <v>14000</v>
      </c>
      <c r="D161" s="5"/>
      <c r="E161" s="5" t="str">
        <f t="shared" si="8"/>
        <v>ACTISALUD-MEDICINA INTERNA- PISO 7</v>
      </c>
      <c r="F161" s="5" t="str">
        <f>"Descripcion: SILLA PLASTICA BLANCA Estado: Bueno Placa anterior: 000005332 Material: PLASTICA Color: BLANCO Referencia:  Observacion:  Placa padre: Tipo adquisicion: Entidad"</f>
        <v>Descripcion: SILLA PLASTICA BLANCA Estado: Bueno Placa anterior: 000005332 Material: PLASTICA Color: BLANCO Referencia:  Observacion:  Placa padre: Tipo adquisicion: Entidad</v>
      </c>
      <c r="G161" s="5"/>
    </row>
    <row r="162" spans="1:7" ht="58.5" customHeight="1" x14ac:dyDescent="0.25">
      <c r="A162" s="5" t="str">
        <f>"H0001650"</f>
        <v>H0001650</v>
      </c>
      <c r="B162" s="5" t="str">
        <f>"MESA PUENTE (ALIMENTACION) (INSTRUMENTAL)"</f>
        <v>MESA PUENTE (ALIMENTACION) (INSTRUMENTAL)</v>
      </c>
      <c r="C162" s="6">
        <v>603200</v>
      </c>
      <c r="D162" s="5" t="s">
        <v>51</v>
      </c>
      <c r="E162" s="5" t="str">
        <f t="shared" si="8"/>
        <v>ACTISALUD-MEDICINA INTERNA- PISO 7</v>
      </c>
      <c r="F162" s="5" t="str">
        <f>"Descripcion:    MESA PUENTE PARA ALIMENTACION Estado: Bueno Placa anterior: 000028519 Material: METALICA CON MESON EN FORMICA Color: BEIGE CON MARRON Referencia:  Observacion:  Placa padre: Tipo adquisicion: Donacion"</f>
        <v>Descripcion:    MESA PUENTE PARA ALIMENTACION Estado: Bueno Placa anterior: 000028519 Material: METALICA CON MESON EN FORMICA Color: BEIGE CON MARRON Referencia:  Observacion:  Placa padre: Tipo adquisicion: Donacion</v>
      </c>
      <c r="G162" s="5"/>
    </row>
    <row r="163" spans="1:7" ht="58.5" customHeight="1" x14ac:dyDescent="0.25">
      <c r="A163" s="5" t="str">
        <f>"H0001653"</f>
        <v>H0001653</v>
      </c>
      <c r="B163" s="5" t="str">
        <f>"SILLA PLASTICA CON BRAZOS"</f>
        <v>SILLA PLASTICA CON BRAZOS</v>
      </c>
      <c r="C163" s="6">
        <v>12240.32</v>
      </c>
      <c r="D163" s="5"/>
      <c r="E163" s="5" t="str">
        <f t="shared" si="8"/>
        <v>ACTISALUD-MEDICINA INTERNA- PISO 7</v>
      </c>
      <c r="F163" s="5" t="str">
        <f>"Descripcion:  SILLA PLASTICA CON BRAZOS Estado: Bueno Placa anterior: 000004429 Material: PLASTICO Color: BLANCO Referencia:  Observacion: PLACA ANTERIOR NO ENCONTRADA 27212 SILLA PLASTICA BLANCA Placa padre: Tipo adquisicion: Entidad"</f>
        <v>Descripcion:  SILLA PLASTICA CON BRAZOS Estado: Bueno Placa anterior: 000004429 Material: PLASTICO Color: BLANCO Referencia:  Observacion: PLACA ANTERIOR NO ENCONTRADA 27212 SILLA PLASTICA BLANCA Placa padre: Tipo adquisicion: Entidad</v>
      </c>
      <c r="G163" s="5"/>
    </row>
    <row r="164" spans="1:7" ht="58.5" customHeight="1" x14ac:dyDescent="0.25">
      <c r="A164" s="5" t="str">
        <f>"H0001657"</f>
        <v>H0001657</v>
      </c>
      <c r="B164" s="5" t="str">
        <f>"MESA PUENTE (ALIMENTACION) (INSTRUMENTAL)"</f>
        <v>MESA PUENTE (ALIMENTACION) (INSTRUMENTAL)</v>
      </c>
      <c r="C164" s="6">
        <v>603200</v>
      </c>
      <c r="D164" s="5" t="s">
        <v>51</v>
      </c>
      <c r="E164" s="5" t="str">
        <f t="shared" si="8"/>
        <v>ACTISALUD-MEDICINA INTERNA- PISO 7</v>
      </c>
      <c r="F164" s="5" t="str">
        <f>"Descripcion:    MESA PUENTE PARA ALIMENTACION (SIN MESON) Estado: Malo Placa anterior: 000028518 Material: METALICO Color: BEIGE Referencia:  Observacion:  Placa padre: Tipo adquisicion: Donacion"</f>
        <v>Descripcion:    MESA PUENTE PARA ALIMENTACION (SIN MESON) Estado: Malo Placa anterior: 000028518 Material: METALICO Color: BEIGE Referencia:  Observacion:  Placa padre: Tipo adquisicion: Donacion</v>
      </c>
      <c r="G164" s="5"/>
    </row>
    <row r="165" spans="1:7" ht="58.5" customHeight="1" x14ac:dyDescent="0.25">
      <c r="A165" s="5" t="str">
        <f>"H0001659"</f>
        <v>H0001659</v>
      </c>
      <c r="B165" s="5" t="str">
        <f>"SILLA PLASTICA CON BRAZOS"</f>
        <v>SILLA PLASTICA CON BRAZOS</v>
      </c>
      <c r="C165" s="6">
        <v>12240.32</v>
      </c>
      <c r="D165" s="5"/>
      <c r="E165" s="5" t="str">
        <f t="shared" si="8"/>
        <v>ACTISALUD-MEDICINA INTERNA- PISO 7</v>
      </c>
      <c r="F165" s="5" t="str">
        <f>"Descripcion: SILLA PLASTICA BLANCA (ESPALDAR PARTIDO) Estado: Regular Placa anterior: 000026912 Material: PLASTICO Color: BLANCO Referencia:  Observacion: AUTORIZADO CONCILIAR EN CRUCE GENERAL Placa padre: Tipo adquisicion: Entidad"</f>
        <v>Descripcion: SILLA PLASTICA BLANCA (ESPALDAR PARTIDO) Estado: Regular Placa anterior: 000026912 Material: PLASTICO Color: BLANCO Referencia:  Observacion: AUTORIZADO CONCILIAR EN CRUCE GENERAL Placa padre: Tipo adquisicion: Entidad</v>
      </c>
      <c r="G165" s="5"/>
    </row>
    <row r="166" spans="1:7" ht="58.5" customHeight="1" x14ac:dyDescent="0.25">
      <c r="A166" s="5" t="str">
        <f>"H0001660"</f>
        <v>H0001660</v>
      </c>
      <c r="B166" s="5" t="str">
        <f>"MESA DE NOCHE"</f>
        <v>MESA DE NOCHE</v>
      </c>
      <c r="C166" s="6">
        <v>327586</v>
      </c>
      <c r="D166" s="5"/>
      <c r="E166" s="5" t="str">
        <f t="shared" si="8"/>
        <v>ACTISALUD-MEDICINA INTERNA- PISO 7</v>
      </c>
      <c r="F166" s="5" t="str">
        <f>"Descripcion: MESA DE NOCHE EN ACERO Estado: Bueno Placa anterior: 000033054 Material: METALICO Color: ACERO INOXIDABLE Referencia:  Observacion:  Placa padre: Tipo adquisicion: Entidad"</f>
        <v>Descripcion: MESA DE NOCHE EN ACERO Estado: Bueno Placa anterior: 000033054 Material: METALICO Color: ACERO INOXIDABLE Referencia:  Observacion:  Placa padre: Tipo adquisicion: Entidad</v>
      </c>
      <c r="G166" s="5"/>
    </row>
    <row r="167" spans="1:7" ht="58.5" customHeight="1" x14ac:dyDescent="0.25">
      <c r="A167" s="5" t="str">
        <f>"H0001667"</f>
        <v>H0001667</v>
      </c>
      <c r="B167" s="5" t="str">
        <f>"CAMA HOSPITALARIA 2 PLANOS"</f>
        <v>CAMA HOSPITALARIA 2 PLANOS</v>
      </c>
      <c r="C167" s="6">
        <v>43240.639999999999</v>
      </c>
      <c r="D167" s="5"/>
      <c r="E167" s="5" t="str">
        <f t="shared" si="8"/>
        <v>ACTISALUD-MEDICINA INTERNA- PISO 7</v>
      </c>
      <c r="F167" s="5" t="str">
        <f>"Descripcion:    CAMA HOSPITALARIA 4 PLANOS CON BARANDA Estado: Bueno Placa anterior: 000028623 Material: METALICO Color: BEIGE Referencia:  Observacion:  Placa padre: Tipo adquisicion: Entidad"</f>
        <v>Descripcion:    CAMA HOSPITALARIA 4 PLANOS CON BARANDA Estado: Bueno Placa anterior: 000028623 Material: METALICO Color: BEIGE Referencia:  Observacion:  Placa padre: Tipo adquisicion: Entidad</v>
      </c>
      <c r="G167" s="5"/>
    </row>
    <row r="168" spans="1:7" ht="58.5" customHeight="1" x14ac:dyDescent="0.25">
      <c r="A168" s="5" t="str">
        <f>"H0001671"</f>
        <v>H0001671</v>
      </c>
      <c r="B168" s="5" t="str">
        <f>"ATRIL PORTASUERO MOVIL"</f>
        <v>ATRIL PORTASUERO MOVIL</v>
      </c>
      <c r="C168" s="6">
        <v>210000</v>
      </c>
      <c r="D168" s="5" t="s">
        <v>50</v>
      </c>
      <c r="E168" s="5" t="str">
        <f t="shared" si="8"/>
        <v>ACTISALUD-MEDICINA INTERNA- PISO 7</v>
      </c>
      <c r="F168" s="5" t="str">
        <f>"Descripcion:    ATRIL PORTASUERO MOVIL CON RODACHINES Estado: Bueno Placa anterior: 000029756 Material: CROMADO Color:  Referencia:  Observacion: AUTORIZADO CONCILIAR EN CRUCE GENERAL Placa padre: Tipo adquisicion: Entidad"</f>
        <v>Descripcion:    ATRIL PORTASUERO MOVIL CON RODACHINES Estado: Bueno Placa anterior: 000029756 Material: CROMADO Color:  Referencia:  Observacion: AUTORIZADO CONCILIAR EN CRUCE GENERAL Placa padre: Tipo adquisicion: Entidad</v>
      </c>
      <c r="G168" s="5"/>
    </row>
    <row r="169" spans="1:7" ht="58.5" customHeight="1" x14ac:dyDescent="0.25">
      <c r="A169" s="5" t="str">
        <f>"H0001676"</f>
        <v>H0001676</v>
      </c>
      <c r="B169" s="5" t="str">
        <f>"PATO (COPROLOGICO) MUJER"</f>
        <v>PATO (COPROLOGICO) MUJER</v>
      </c>
      <c r="C169" s="6">
        <v>9821.3799999999992</v>
      </c>
      <c r="D169" s="5"/>
      <c r="E169" s="5" t="str">
        <f t="shared" si="8"/>
        <v>ACTISALUD-MEDICINA INTERNA- PISO 7</v>
      </c>
      <c r="F169" s="5" t="str">
        <f>"Descripcion:    PATO (COPROLOGICO) MUJER Estado: Bueno Placa anterior: 000004551 Material: ACERO INOXIDABLE Color:  Referencia:  Observacion:  Placa padre: Tipo adquisicion: Entidad"</f>
        <v>Descripcion:    PATO (COPROLOGICO) MUJER Estado: Bueno Placa anterior: 000004551 Material: ACERO INOXIDABLE Color:  Referencia:  Observacion:  Placa padre: Tipo adquisicion: Entidad</v>
      </c>
      <c r="G169" s="5"/>
    </row>
    <row r="170" spans="1:7" ht="58.5" customHeight="1" x14ac:dyDescent="0.25">
      <c r="A170" s="5" t="str">
        <f>"H0001681"</f>
        <v>H0001681</v>
      </c>
      <c r="B170" s="5" t="str">
        <f>"PATO (COPROLOGICO) MUJER"</f>
        <v>PATO (COPROLOGICO) MUJER</v>
      </c>
      <c r="C170" s="6">
        <v>9821.3799999999992</v>
      </c>
      <c r="D170" s="5"/>
      <c r="E170" s="5" t="str">
        <f t="shared" si="8"/>
        <v>ACTISALUD-MEDICINA INTERNA- PISO 7</v>
      </c>
      <c r="F170" s="5" t="str">
        <f>"Descripcion:    PATO (COPROLOGICO) MUJER Estado: Bueno Placa anterior: 000004484 Material: ACERO INOXIDABLE Color:  Referencia:  Observacion:  Placa padre: Tipo adquisicion: Entidad"</f>
        <v>Descripcion:    PATO (COPROLOGICO) MUJER Estado: Bueno Placa anterior: 000004484 Material: ACERO INOXIDABLE Color:  Referencia:  Observacion:  Placa padre: Tipo adquisicion: Entidad</v>
      </c>
      <c r="G170" s="5"/>
    </row>
    <row r="171" spans="1:7" ht="58.5" customHeight="1" x14ac:dyDescent="0.25">
      <c r="A171" s="5" t="str">
        <f>"H0001682"</f>
        <v>H0001682</v>
      </c>
      <c r="B171" s="5" t="str">
        <f>"RIÑONERA HOSPITALARIA EN ACERO INOXIDABLE"</f>
        <v>RIÑONERA HOSPITALARIA EN ACERO INOXIDABLE</v>
      </c>
      <c r="C171" s="6">
        <v>2163.9299999999998</v>
      </c>
      <c r="D171" s="5"/>
      <c r="E171" s="5" t="str">
        <f t="shared" si="8"/>
        <v>ACTISALUD-MEDICINA INTERNA- PISO 7</v>
      </c>
      <c r="F171" s="5" t="str">
        <f>"Descripcion: RIÑONERA HOSPITALARIA EN ACERO INOXIDABLE Estado: Bueno Placa anterior: 000004686 Material: ACERO INOXIDABLE Color:  Referencia:  Observacion:  Placa padre: Tipo adquisicion: Entidad"</f>
        <v>Descripcion: RIÑONERA HOSPITALARIA EN ACERO INOXIDABLE Estado: Bueno Placa anterior: 000004686 Material: ACERO INOXIDABLE Color:  Referencia:  Observacion:  Placa padre: Tipo adquisicion: Entidad</v>
      </c>
      <c r="G171" s="5"/>
    </row>
    <row r="172" spans="1:7" ht="58.5" customHeight="1" x14ac:dyDescent="0.25">
      <c r="A172" s="5" t="str">
        <f>"H0001692"</f>
        <v>H0001692</v>
      </c>
      <c r="B172" s="5" t="str">
        <f>"ATRIL PORTASUERO MOVIL"</f>
        <v>ATRIL PORTASUERO MOVIL</v>
      </c>
      <c r="C172" s="6">
        <v>210000</v>
      </c>
      <c r="D172" s="5" t="s">
        <v>50</v>
      </c>
      <c r="E172" s="5" t="str">
        <f t="shared" si="8"/>
        <v>ACTISALUD-MEDICINA INTERNA- PISO 7</v>
      </c>
      <c r="F172" s="5" t="str">
        <f>"Descripcion:    ATRIL PORTASUERO MOVIL CON RODACHINES Estado: Bueno Placa anterior: 000029757 Material: CROMADO Color:  Referencia:  Observacion: AUTORIZADO CONCILIAR EN CRUCE GENERAL Placa padre: Tipo adquisicion: Entidad"</f>
        <v>Descripcion:    ATRIL PORTASUERO MOVIL CON RODACHINES Estado: Bueno Placa anterior: 000029757 Material: CROMADO Color:  Referencia:  Observacion: AUTORIZADO CONCILIAR EN CRUCE GENERAL Placa padre: Tipo adquisicion: Entidad</v>
      </c>
      <c r="G172" s="5"/>
    </row>
    <row r="173" spans="1:7" ht="58.5" customHeight="1" x14ac:dyDescent="0.25">
      <c r="A173" s="5" t="str">
        <f>"H0001695"</f>
        <v>H0001695</v>
      </c>
      <c r="B173" s="5" t="str">
        <f>"MESA PUENTE (ALIMENTACION) (INSTRUMENTAL)"</f>
        <v>MESA PUENTE (ALIMENTACION) (INSTRUMENTAL)</v>
      </c>
      <c r="C173" s="6">
        <v>603200</v>
      </c>
      <c r="D173" s="5" t="s">
        <v>51</v>
      </c>
      <c r="E173" s="5" t="str">
        <f t="shared" si="8"/>
        <v>ACTISALUD-MEDICINA INTERNA- PISO 7</v>
      </c>
      <c r="F173" s="5" t="str">
        <f>"Descripcion:    MESA PUENTE PARA ALIMENTACION Estado: Bueno Placa anterior: 000028532 Material: METALICO CON MESON EN FORMICA Color: BEIGE CON MARRON Referencia:  Observacion:  Placa padre: Tipo adquisicion: Donacion"</f>
        <v>Descripcion:    MESA PUENTE PARA ALIMENTACION Estado: Bueno Placa anterior: 000028532 Material: METALICO CON MESON EN FORMICA Color: BEIGE CON MARRON Referencia:  Observacion:  Placa padre: Tipo adquisicion: Donacion</v>
      </c>
      <c r="G173" s="5"/>
    </row>
    <row r="174" spans="1:7" ht="58.5" customHeight="1" x14ac:dyDescent="0.25">
      <c r="A174" s="5" t="str">
        <f>"H0001696"</f>
        <v>H0001696</v>
      </c>
      <c r="B174" s="5" t="str">
        <f>"SILLA PLASTICA CON BRAZOS"</f>
        <v>SILLA PLASTICA CON BRAZOS</v>
      </c>
      <c r="C174" s="6">
        <v>14000</v>
      </c>
      <c r="D174" s="5"/>
      <c r="E174" s="5" t="str">
        <f t="shared" si="8"/>
        <v>ACTISALUD-MEDICINA INTERNA- PISO 7</v>
      </c>
      <c r="F174" s="5" t="str">
        <f>"Descripcion: SILLA PLASTICA BLANCA Estado: Bueno Placa anterior: 000005362 Material: PLASTICO Color: BLANCO Referencia:  Observacion:  Placa padre: Tipo adquisicion: Entidad"</f>
        <v>Descripcion: SILLA PLASTICA BLANCA Estado: Bueno Placa anterior: 000005362 Material: PLASTICO Color: BLANCO Referencia:  Observacion:  Placa padre: Tipo adquisicion: Entidad</v>
      </c>
      <c r="G174" s="5"/>
    </row>
    <row r="175" spans="1:7" ht="58.5" customHeight="1" x14ac:dyDescent="0.25">
      <c r="A175" s="5" t="str">
        <f>"H0001700"</f>
        <v>H0001700</v>
      </c>
      <c r="B175" s="5" t="str">
        <f>"MESA PUENTE (ALIMENTACION) (INSTRUMENTAL)"</f>
        <v>MESA PUENTE (ALIMENTACION) (INSTRUMENTAL)</v>
      </c>
      <c r="C175" s="6">
        <v>603200</v>
      </c>
      <c r="D175" s="5" t="s">
        <v>51</v>
      </c>
      <c r="E175" s="5" t="str">
        <f t="shared" si="8"/>
        <v>ACTISALUD-MEDICINA INTERNA- PISO 7</v>
      </c>
      <c r="F175" s="5" t="str">
        <f>"Descripcion:    MESA PUENTE PARA ALIMENTACION Estado: Bueno Placa anterior: 000028528 Material: METALICO CON MESON EN FORMICA Color: BEIGE CON MARRON Referencia:  Observacion:  Placa padre: Tipo adquisicion: Donacion"</f>
        <v>Descripcion:    MESA PUENTE PARA ALIMENTACION Estado: Bueno Placa anterior: 000028528 Material: METALICO CON MESON EN FORMICA Color: BEIGE CON MARRON Referencia:  Observacion:  Placa padre: Tipo adquisicion: Donacion</v>
      </c>
      <c r="G175" s="5"/>
    </row>
    <row r="176" spans="1:7" ht="58.5" customHeight="1" x14ac:dyDescent="0.25">
      <c r="A176" s="5" t="str">
        <f>"H0001701"</f>
        <v>H0001701</v>
      </c>
      <c r="B176" s="5" t="str">
        <f>"MESA PUENTE (ALIMENTACION) (INSTRUMENTAL)"</f>
        <v>MESA PUENTE (ALIMENTACION) (INSTRUMENTAL)</v>
      </c>
      <c r="C176" s="6">
        <v>603200</v>
      </c>
      <c r="D176" s="5" t="s">
        <v>51</v>
      </c>
      <c r="E176" s="5" t="str">
        <f t="shared" si="8"/>
        <v>ACTISALUD-MEDICINA INTERNA- PISO 7</v>
      </c>
      <c r="F176" s="5" t="str">
        <f>"Descripcion: MESA PUENTE PARA ALIMENTACION Estado: Bueno Placa anterior: 000028509 Material: METALICO CON MESON EN FORMICA Color: BEIGE CON MARRON Referencia:  Observacion:  Placa padre: Tipo adquisicion: Entidad"</f>
        <v>Descripcion: MESA PUENTE PARA ALIMENTACION Estado: Bueno Placa anterior: 000028509 Material: METALICO CON MESON EN FORMICA Color: BEIGE CON MARRON Referencia:  Observacion:  Placa padre: Tipo adquisicion: Entidad</v>
      </c>
      <c r="G176" s="5"/>
    </row>
    <row r="177" spans="1:7" ht="58.5" customHeight="1" x14ac:dyDescent="0.25">
      <c r="A177" s="5" t="str">
        <f>"H0001707"</f>
        <v>H0001707</v>
      </c>
      <c r="B177" s="5" t="str">
        <f>"ESCALERILLA DE 2 PASOS"</f>
        <v>ESCALERILLA DE 2 PASOS</v>
      </c>
      <c r="C177" s="6">
        <v>100000</v>
      </c>
      <c r="D177" s="5" t="s">
        <v>49</v>
      </c>
      <c r="E177" s="5" t="str">
        <f t="shared" si="8"/>
        <v>ACTISALUD-MEDICINA INTERNA- PISO 7</v>
      </c>
      <c r="F177" s="5" t="str">
        <f>"Descripcion: ESCALERA DE DOS PASOS Estado: Bueno Placa anterior: 000029914 Material: METALICO CON PASOS EN MADERA Color: BLANCO Referencia:  Observacion:  Placa padre: Tipo adquisicion: Entidad"</f>
        <v>Descripcion: ESCALERA DE DOS PASOS Estado: Bueno Placa anterior: 000029914 Material: METALICO CON PASOS EN MADERA Color: BLANCO Referencia:  Observacion:  Placa padre: Tipo adquisicion: Entidad</v>
      </c>
      <c r="G177" s="5"/>
    </row>
    <row r="178" spans="1:7" ht="58.5" customHeight="1" x14ac:dyDescent="0.25">
      <c r="A178" s="5" t="str">
        <f>"H0001714"</f>
        <v>H0001714</v>
      </c>
      <c r="B178" s="5" t="str">
        <f>"MESA PUENTE (ALIMENTACION) (INSTRUMENTAL)"</f>
        <v>MESA PUENTE (ALIMENTACION) (INSTRUMENTAL)</v>
      </c>
      <c r="C178" s="6">
        <v>603200</v>
      </c>
      <c r="D178" s="5" t="s">
        <v>51</v>
      </c>
      <c r="E178" s="5" t="str">
        <f t="shared" si="8"/>
        <v>ACTISALUD-MEDICINA INTERNA- PISO 7</v>
      </c>
      <c r="F178" s="5" t="str">
        <f>"Descripcion: MESA PUENTE PARA ALIMENTACION Estado: Bueno Placa anterior: 000028529 Material: METALICO CON MESON EN FORMICA Color: BEIGE CON MARRON Referencia:  Observacion:  Placa padre: Tipo adquisicion: Donacion"</f>
        <v>Descripcion: MESA PUENTE PARA ALIMENTACION Estado: Bueno Placa anterior: 000028529 Material: METALICO CON MESON EN FORMICA Color: BEIGE CON MARRON Referencia:  Observacion:  Placa padre: Tipo adquisicion: Donacion</v>
      </c>
      <c r="G178" s="5"/>
    </row>
    <row r="179" spans="1:7" ht="58.5" customHeight="1" x14ac:dyDescent="0.25">
      <c r="A179" s="5" t="str">
        <f>"H0001715"</f>
        <v>H0001715</v>
      </c>
      <c r="B179" s="5" t="str">
        <f>"ESCALERILLA DE 2 PASOS"</f>
        <v>ESCALERILLA DE 2 PASOS</v>
      </c>
      <c r="C179" s="6">
        <v>4070</v>
      </c>
      <c r="D179" s="5"/>
      <c r="E179" s="5" t="str">
        <f t="shared" si="8"/>
        <v>ACTISALUD-MEDICINA INTERNA- PISO 7</v>
      </c>
      <c r="F179" s="5" t="str">
        <f>"Descripcion: ESCALERA DE DOS PASOS Estado: Bueno Placa anterior: 000027829 Material: METALICO CON PASOS EN PLASTICO Color: BLANCO Referencia:  Observacion: ESCALA TIPO B (2 PASOS) Placa padre: Tipo adquisicion: Entidad"</f>
        <v>Descripcion: ESCALERA DE DOS PASOS Estado: Bueno Placa anterior: 000027829 Material: METALICO CON PASOS EN PLASTICO Color: BLANCO Referencia:  Observacion: ESCALA TIPO B (2 PASOS) Placa padre: Tipo adquisicion: Entidad</v>
      </c>
      <c r="G179" s="5"/>
    </row>
    <row r="180" spans="1:7" ht="58.5" customHeight="1" x14ac:dyDescent="0.25">
      <c r="A180" s="5" t="str">
        <f>"H0001720"</f>
        <v>H0001720</v>
      </c>
      <c r="B180" s="5" t="str">
        <f>"MESA PUENTE (ALIMENTACION) (INSTRUMENTAL)"</f>
        <v>MESA PUENTE (ALIMENTACION) (INSTRUMENTAL)</v>
      </c>
      <c r="C180" s="6">
        <v>603200</v>
      </c>
      <c r="D180" s="5" t="s">
        <v>51</v>
      </c>
      <c r="E180" s="5" t="str">
        <f t="shared" si="8"/>
        <v>ACTISALUD-MEDICINA INTERNA- PISO 7</v>
      </c>
      <c r="F180" s="5" t="str">
        <f>"Descripcion: MESA PUENTE PARA ALIMENTACION (NO TIENE MESON) Estado: Malo Placa anterior: 000028533 Material: METALICO Color: BEIGE Referencia:  Observacion:  Placa padre: Tipo adquisicion: Donacion"</f>
        <v>Descripcion: MESA PUENTE PARA ALIMENTACION (NO TIENE MESON) Estado: Malo Placa anterior: 000028533 Material: METALICO Color: BEIGE Referencia:  Observacion:  Placa padre: Tipo adquisicion: Donacion</v>
      </c>
      <c r="G180" s="5"/>
    </row>
    <row r="181" spans="1:7" ht="58.5" customHeight="1" x14ac:dyDescent="0.25">
      <c r="A181" s="5" t="str">
        <f>"H0001723"</f>
        <v>H0001723</v>
      </c>
      <c r="B181" s="5" t="str">
        <f>"MESA PUENTE (ALIMENTACION) (INSTRUMENTAL)"</f>
        <v>MESA PUENTE (ALIMENTACION) (INSTRUMENTAL)</v>
      </c>
      <c r="C181" s="6">
        <v>603200</v>
      </c>
      <c r="D181" s="5" t="s">
        <v>51</v>
      </c>
      <c r="E181" s="5" t="str">
        <f t="shared" si="8"/>
        <v>ACTISALUD-MEDICINA INTERNA- PISO 7</v>
      </c>
      <c r="F181" s="5" t="str">
        <f>"Descripcion: MESA PUENTE PARA ALIMENTACION (DAÑADA) Estado: Malo Placa anterior: 000028531 Material: METALICO Color: BEIGE Referencia:  Observacion:  Placa padre: Tipo adquisicion: Donacion"</f>
        <v>Descripcion: MESA PUENTE PARA ALIMENTACION (DAÑADA) Estado: Malo Placa anterior: 000028531 Material: METALICO Color: BEIGE Referencia:  Observacion:  Placa padre: Tipo adquisicion: Donacion</v>
      </c>
      <c r="G181" s="5"/>
    </row>
    <row r="182" spans="1:7" ht="58.5" customHeight="1" x14ac:dyDescent="0.25">
      <c r="A182" s="5" t="str">
        <f>"H0001724"</f>
        <v>H0001724</v>
      </c>
      <c r="B182" s="5" t="str">
        <f>"MESA PUENTE (ALIMENTACION) (INSTRUMENTAL)"</f>
        <v>MESA PUENTE (ALIMENTACION) (INSTRUMENTAL)</v>
      </c>
      <c r="C182" s="6">
        <v>603200</v>
      </c>
      <c r="D182" s="5" t="s">
        <v>51</v>
      </c>
      <c r="E182" s="5" t="str">
        <f t="shared" si="8"/>
        <v>ACTISALUD-MEDICINA INTERNA- PISO 7</v>
      </c>
      <c r="F182" s="5" t="str">
        <f>"Descripcion: MESA PUENTE PARA ALIMENTACION  Estado: Bueno Placa anterior: 000028510 Material: METALICO CON MESON EN FORMICA Color: BEIGE CON MARRON Referencia:  Observacion:  Placa padre: Tipo adquisicion: Entidad"</f>
        <v>Descripcion: MESA PUENTE PARA ALIMENTACION  Estado: Bueno Placa anterior: 000028510 Material: METALICO CON MESON EN FORMICA Color: BEIGE CON MARRON Referencia:  Observacion:  Placa padre: Tipo adquisicion: Entidad</v>
      </c>
      <c r="G182" s="5"/>
    </row>
    <row r="183" spans="1:7" ht="58.5" customHeight="1" x14ac:dyDescent="0.25">
      <c r="A183" s="5" t="str">
        <f>"H0001727"</f>
        <v>H0001727</v>
      </c>
      <c r="B183" s="5" t="str">
        <f>"CAMA HOSPITALARIA 4 PLANOS CON BARANDA"</f>
        <v>CAMA HOSPITALARIA 4 PLANOS CON BARANDA</v>
      </c>
      <c r="C183" s="6">
        <v>43240.639999999999</v>
      </c>
      <c r="D183" s="5"/>
      <c r="E183" s="5" t="str">
        <f t="shared" si="8"/>
        <v>ACTISALUD-MEDICINA INTERNA- PISO 7</v>
      </c>
      <c r="F183" s="5" t="str">
        <f>"Descripcion: CAMA HOSPITALARIA 4 PLANOS CON BARANDA Estado: Bueno Placa anterior: 000028612 Material: METALICO Color: GRIS Referencia:  Observacion: PLACA ANTERIOR NO ENCONTRADA 000026622 Placa padre: Tipo adquisicion: Entidad"</f>
        <v>Descripcion: CAMA HOSPITALARIA 4 PLANOS CON BARANDA Estado: Bueno Placa anterior: 000028612 Material: METALICO Color: GRIS Referencia:  Observacion: PLACA ANTERIOR NO ENCONTRADA 000026622 Placa padre: Tipo adquisicion: Entidad</v>
      </c>
      <c r="G183" s="5"/>
    </row>
    <row r="184" spans="1:7" ht="58.5" customHeight="1" x14ac:dyDescent="0.25">
      <c r="A184" s="5" t="str">
        <f>"H0001731"</f>
        <v>H0001731</v>
      </c>
      <c r="B184" s="5" t="str">
        <f>"PATO (COPROLOGICO) MUJER"</f>
        <v>PATO (COPROLOGICO) MUJER</v>
      </c>
      <c r="C184" s="6">
        <v>9821.3799999999992</v>
      </c>
      <c r="D184" s="5"/>
      <c r="E184" s="5" t="str">
        <f t="shared" si="8"/>
        <v>ACTISALUD-MEDICINA INTERNA- PISO 7</v>
      </c>
      <c r="F184" s="5" t="str">
        <f>"Descripcion: PATO (COPROLOGICO) MUJER Estado: Bueno Placa anterior: 000004552 Material: ACERO INOXIDABLE Color:  Referencia:  Observacion:  Placa padre: Tipo adquisicion: Entidad"</f>
        <v>Descripcion: PATO (COPROLOGICO) MUJER Estado: Bueno Placa anterior: 000004552 Material: ACERO INOXIDABLE Color:  Referencia:  Observacion:  Placa padre: Tipo adquisicion: Entidad</v>
      </c>
      <c r="G184" s="5"/>
    </row>
    <row r="185" spans="1:7" ht="58.5" customHeight="1" x14ac:dyDescent="0.25">
      <c r="A185" s="5" t="str">
        <f>"H0001736"</f>
        <v>H0001736</v>
      </c>
      <c r="B185" s="5" t="str">
        <f>"RIÑONERA HOSPITALARIA EN ACERO INOXIDABLE"</f>
        <v>RIÑONERA HOSPITALARIA EN ACERO INOXIDABLE</v>
      </c>
      <c r="C185" s="6">
        <v>2163.9299999999998</v>
      </c>
      <c r="D185" s="5"/>
      <c r="E185" s="5" t="str">
        <f t="shared" si="8"/>
        <v>ACTISALUD-MEDICINA INTERNA- PISO 7</v>
      </c>
      <c r="F185" s="5" t="str">
        <f>"Descripcion: RIÑONERA HOSPITALARIA EN ACERO INOXIDABLE Estado: Bueno Placa anterior: 000004688 Material: ACERO INOXIDABLE Color:  Referencia:  Observacion:  Placa padre: Tipo adquisicion: Entidad"</f>
        <v>Descripcion: RIÑONERA HOSPITALARIA EN ACERO INOXIDABLE Estado: Bueno Placa anterior: 000004688 Material: ACERO INOXIDABLE Color:  Referencia:  Observacion:  Placa padre: Tipo adquisicion: Entidad</v>
      </c>
      <c r="G185" s="5"/>
    </row>
    <row r="186" spans="1:7" ht="58.5" customHeight="1" x14ac:dyDescent="0.25">
      <c r="A186" s="5" t="str">
        <f>"H0001737"</f>
        <v>H0001737</v>
      </c>
      <c r="B186" s="5" t="str">
        <f>"RIÑONERA HOSPITALARIA EN ACERO INOXIDABLE"</f>
        <v>RIÑONERA HOSPITALARIA EN ACERO INOXIDABLE</v>
      </c>
      <c r="C186" s="6">
        <v>2163.9299999999998</v>
      </c>
      <c r="D186" s="5"/>
      <c r="E186" s="5" t="str">
        <f t="shared" si="8"/>
        <v>ACTISALUD-MEDICINA INTERNA- PISO 7</v>
      </c>
      <c r="F186" s="5" t="str">
        <f>"Descripcion: RIÑONERA HOSPITALARIA EN ESMALTADO Estado: Bueno Placa anterior: 000004104 Material: METALICO ESMALTADO Color: BLANCO Referencia:  Observacion:  Placa padre: Tipo adquisicion: Entidad"</f>
        <v>Descripcion: RIÑONERA HOSPITALARIA EN ESMALTADO Estado: Bueno Placa anterior: 000004104 Material: METALICO ESMALTADO Color: BLANCO Referencia:  Observacion:  Placa padre: Tipo adquisicion: Entidad</v>
      </c>
      <c r="G186" s="5"/>
    </row>
    <row r="187" spans="1:7" ht="58.5" customHeight="1" x14ac:dyDescent="0.25">
      <c r="A187" s="5" t="str">
        <f>"H0001738"</f>
        <v>H0001738</v>
      </c>
      <c r="B187" s="5" t="str">
        <f>"CAMILLA DE TRASLADO CON BARANDAS"</f>
        <v>CAMILLA DE TRASLADO CON BARANDAS</v>
      </c>
      <c r="C187" s="6">
        <v>1740000</v>
      </c>
      <c r="D187" s="5"/>
      <c r="E187" s="5" t="str">
        <f t="shared" si="8"/>
        <v>ACTISALUD-MEDICINA INTERNA- PISO 7</v>
      </c>
      <c r="F187" s="5" t="str">
        <f>"Descripcion: CAMILLA DE TRASLADO CON BARANDAS Estado: Bueno Placa anterior: 000026254 Material: METALICO Color: BEIGE Referencia:  Observacion:  Placa padre: Tipo adquisicion: Entidad"</f>
        <v>Descripcion: CAMILLA DE TRASLADO CON BARANDAS Estado: Bueno Placa anterior: 000026254 Material: METALICO Color: BEIGE Referencia:  Observacion:  Placa padre: Tipo adquisicion: Entidad</v>
      </c>
      <c r="G187" s="5"/>
    </row>
    <row r="188" spans="1:7" ht="58.5" customHeight="1" x14ac:dyDescent="0.25">
      <c r="A188" s="5" t="str">
        <f>"H0001740"</f>
        <v>H0001740</v>
      </c>
      <c r="B188" s="5" t="str">
        <f>"SILLA DE RUEDAS"</f>
        <v>SILLA DE RUEDAS</v>
      </c>
      <c r="C188" s="6">
        <v>175861.34</v>
      </c>
      <c r="D188" s="5"/>
      <c r="E188" s="5" t="str">
        <f t="shared" si="8"/>
        <v>ACTISALUD-MEDICINA INTERNA- PISO 7</v>
      </c>
      <c r="F188" s="5" t="str">
        <f>"Descripcion: SILLA DE RUEDAS  Estado: Bueno Placa anterior: 000004068 Material: METALICO  Color: NEGRA Referencia:  Observacion:  Placa padre: Tipo adquisicion: Entidad"</f>
        <v>Descripcion: SILLA DE RUEDAS  Estado: Bueno Placa anterior: 000004068 Material: METALICO  Color: NEGRA Referencia:  Observacion:  Placa padre: Tipo adquisicion: Entidad</v>
      </c>
      <c r="G188" s="5"/>
    </row>
    <row r="189" spans="1:7" ht="58.5" customHeight="1" x14ac:dyDescent="0.25">
      <c r="A189" s="5" t="str">
        <f>"H0001743"</f>
        <v>H0001743</v>
      </c>
      <c r="B189" s="5" t="str">
        <f>"SILLA PLASTICA CON BRAZOS"</f>
        <v>SILLA PLASTICA CON BRAZOS</v>
      </c>
      <c r="C189" s="6">
        <v>12240.32</v>
      </c>
      <c r="D189" s="5"/>
      <c r="E189" s="5" t="str">
        <f t="shared" si="8"/>
        <v>ACTISALUD-MEDICINA INTERNA- PISO 7</v>
      </c>
      <c r="F189" s="5" t="str">
        <f>"Descripcion: SILLA PLASTICA CON BRAZOS Estado: Bueno Placa anterior: 000004351 Material: PLASTICA Color: BLANCA Referencia:  Observacion:  Placa padre: Tipo adquisicion: Entidad"</f>
        <v>Descripcion: SILLA PLASTICA CON BRAZOS Estado: Bueno Placa anterior: 000004351 Material: PLASTICA Color: BLANCA Referencia:  Observacion:  Placa padre: Tipo adquisicion: Entidad</v>
      </c>
      <c r="G189" s="5"/>
    </row>
    <row r="190" spans="1:7" ht="58.5" customHeight="1" x14ac:dyDescent="0.25">
      <c r="A190" s="5" t="str">
        <f>"H0001744"</f>
        <v>H0001744</v>
      </c>
      <c r="B190" s="5" t="str">
        <f>"POTE (TARRO) ACERO INXODABLE CON TAPA MEDIANO"</f>
        <v>POTE (TARRO) ACERO INXODABLE CON TAPA MEDIANO</v>
      </c>
      <c r="C190" s="6">
        <v>3870.05</v>
      </c>
      <c r="D190" s="5"/>
      <c r="E190" s="5" t="str">
        <f t="shared" si="8"/>
        <v>ACTISALUD-MEDICINA INTERNA- PISO 7</v>
      </c>
      <c r="F190" s="5" t="str">
        <f>"Descripcion: TARRO EN ACERO INOXIDABLE Estado: Bueno Placa anterior: 000004212 Material: ACERO INOXIDABLE Color:  Referencia:  Observacion:  Placa padre: Tipo adquisicion: Entidad"</f>
        <v>Descripcion: TARRO EN ACERO INOXIDABLE Estado: Bueno Placa anterior: 000004212 Material: ACERO INOXIDABLE Color:  Referencia:  Observacion:  Placa padre: Tipo adquisicion: Entidad</v>
      </c>
      <c r="G190" s="5"/>
    </row>
    <row r="191" spans="1:7" ht="58.5" customHeight="1" x14ac:dyDescent="0.25">
      <c r="A191" s="5" t="str">
        <f>"H0001745"</f>
        <v>H0001745</v>
      </c>
      <c r="B191" s="5" t="str">
        <f>"POTE (TARRO) ACERO INXODABLE CON TAPA MEDIANO"</f>
        <v>POTE (TARRO) ACERO INXODABLE CON TAPA MEDIANO</v>
      </c>
      <c r="C191" s="6">
        <v>3870.05</v>
      </c>
      <c r="D191" s="5"/>
      <c r="E191" s="5" t="str">
        <f t="shared" si="8"/>
        <v>ACTISALUD-MEDICINA INTERNA- PISO 7</v>
      </c>
      <c r="F191" s="5" t="str">
        <f>"Descripcion: TARRO EN ACERO INOXIDABLE Estado: Bueno Placa anterior: 000004203 Material: ACERO INOXIDABLE Color:  Referencia:  Observacion:  Placa padre: Tipo adquisicion: Entidad"</f>
        <v>Descripcion: TARRO EN ACERO INOXIDABLE Estado: Bueno Placa anterior: 000004203 Material: ACERO INOXIDABLE Color:  Referencia:  Observacion:  Placa padre: Tipo adquisicion: Entidad</v>
      </c>
      <c r="G191" s="5"/>
    </row>
    <row r="192" spans="1:7" ht="58.5" customHeight="1" x14ac:dyDescent="0.25">
      <c r="A192" s="5" t="str">
        <f>"H0001749"</f>
        <v>H0001749</v>
      </c>
      <c r="B192" s="5" t="str">
        <f>"FONENDOSCOPIO (ESTETOSCOPIO) DE 2 SERVICIOS"</f>
        <v>FONENDOSCOPIO (ESTETOSCOPIO) DE 2 SERVICIOS</v>
      </c>
      <c r="C192" s="6">
        <v>140000</v>
      </c>
      <c r="D192" s="5"/>
      <c r="E192" s="5" t="str">
        <f t="shared" si="8"/>
        <v>ACTISALUD-MEDICINA INTERNA- PISO 7</v>
      </c>
      <c r="F192" s="5" t="str">
        <f>"Descripcion: FONENDOSCOPIO (ESTETOSCOPIO) DE 2 SERVICIOS Estado: Bueno Placa anterior: 000006442 Material:  Color: NEGRO Referencia:  Observacion:  Placa padre: Tipo adquisicion: Entidad"</f>
        <v>Descripcion: FONENDOSCOPIO (ESTETOSCOPIO) DE 2 SERVICIOS Estado: Bueno Placa anterior: 000006442 Material:  Color: NEGRO Referencia:  Observacion:  Placa padre: Tipo adquisicion: Entidad</v>
      </c>
      <c r="G192" s="5"/>
    </row>
    <row r="193" spans="1:7" ht="58.5" customHeight="1" x14ac:dyDescent="0.25">
      <c r="A193" s="5" t="str">
        <f>"H0001752"</f>
        <v>H0001752</v>
      </c>
      <c r="B193" s="5" t="str">
        <f>"JUEGO (RECTAS Y CURVAS) LARINGOSCOPIO"</f>
        <v>JUEGO (RECTAS Y CURVAS) LARINGOSCOPIO</v>
      </c>
      <c r="C193" s="6">
        <v>1400000</v>
      </c>
      <c r="D193" s="5"/>
      <c r="E193" s="5" t="str">
        <f t="shared" si="8"/>
        <v>ACTISALUD-MEDICINA INTERNA- PISO 7</v>
      </c>
      <c r="F193" s="5" t="str">
        <f>"Descripcion: JUEGO DE HOJAS PARA LARINGOSCOPIO MARCA WELCH ALLYN (AMERICANO), MODELO MILLER COMPUESTO DE 3 HOJAS CURVAS No. 0, 1, 2 Dos hojas rectas No. 0, 1 un mango de pilas estuche de lujo Estado: Bueno Placa anterior: 000033084 Material: ACERO INOXIDA"&amp; "BLE Color:  Referencia:  Observacion:  Placa padre: Tipo adquisicion: Entidad"</f>
        <v>Descripcion: JUEGO DE HOJAS PARA LARINGOSCOPIO MARCA WELCH ALLYN (AMERICANO), MODELO MILLER COMPUESTO DE 3 HOJAS CURVAS No. 0, 1, 2 Dos hojas rectas No. 0, 1 un mango de pilas estuche de lujo Estado: Bueno Placa anterior: 000033084 Material: ACERO INOXIDABLE Color:  Referencia:  Observacion:  Placa padre: Tipo adquisicion: Entidad</v>
      </c>
      <c r="G193" s="5"/>
    </row>
    <row r="194" spans="1:7" ht="58.5" customHeight="1" x14ac:dyDescent="0.25">
      <c r="A194" s="5" t="str">
        <f>"H0001756"</f>
        <v>H0001756</v>
      </c>
      <c r="B194" s="5" t="str">
        <f>"CUBETA DE ACERO INOXIDABLE CON TAPA MEDIANA"</f>
        <v>CUBETA DE ACERO INOXIDABLE CON TAPA MEDIANA</v>
      </c>
      <c r="C194" s="6">
        <v>14100.8</v>
      </c>
      <c r="D194" s="5"/>
      <c r="E194" s="5" t="str">
        <f t="shared" si="8"/>
        <v>ACTISALUD-MEDICINA INTERNA- PISO 7</v>
      </c>
      <c r="F194" s="5" t="str">
        <f>"Descripcion: CUBETA MEDIANA EN ACERO INOXIDABLE Estado: Bueno Placa anterior: 000002812 Material: ACERO INOXIDABLE Color:  Referencia:  Observacion:  Placa padre: Tipo adquisicion: Entidad"</f>
        <v>Descripcion: CUBETA MEDIANA EN ACERO INOXIDABLE Estado: Bueno Placa anterior: 000002812 Material: ACERO INOXIDABLE Color:  Referencia:  Observacion:  Placa padre: Tipo adquisicion: Entidad</v>
      </c>
      <c r="G194" s="5"/>
    </row>
    <row r="195" spans="1:7" ht="58.5" customHeight="1" x14ac:dyDescent="0.25">
      <c r="A195" s="5" t="str">
        <f>"H0001759"</f>
        <v>H0001759</v>
      </c>
      <c r="B195" s="5" t="str">
        <f>"CUBETA DE ACERO INOXIDABLE CON TAPA MEDIANA"</f>
        <v>CUBETA DE ACERO INOXIDABLE CON TAPA MEDIANA</v>
      </c>
      <c r="C195" s="6">
        <v>29125.48</v>
      </c>
      <c r="D195" s="5"/>
      <c r="E195" s="5" t="str">
        <f t="shared" si="8"/>
        <v>ACTISALUD-MEDICINA INTERNA- PISO 7</v>
      </c>
      <c r="F195" s="5" t="str">
        <f>"Descripcion: CUBETA DE ACERO INOXIDABLE CON TAPA MEDIANA Estado: Bueno Placa anterior: 000018654 Material: ACERO INOXIDABLE Color:  Referencia:  Observacion:  Placa padre: Tipo adquisicion: Entidad"</f>
        <v>Descripcion: CUBETA DE ACERO INOXIDABLE CON TAPA MEDIANA Estado: Bueno Placa anterior: 000018654 Material: ACERO INOXIDABLE Color:  Referencia:  Observacion:  Placa padre: Tipo adquisicion: Entidad</v>
      </c>
      <c r="G195" s="5"/>
    </row>
    <row r="196" spans="1:7" ht="58.5" customHeight="1" x14ac:dyDescent="0.25">
      <c r="A196" s="5" t="str">
        <f>"H0001761"</f>
        <v>H0001761</v>
      </c>
      <c r="B196" s="5" t="str">
        <f>"CUBETA DE ACERO INOXIDABLE CON TAPA MEDIANA"</f>
        <v>CUBETA DE ACERO INOXIDABLE CON TAPA MEDIANA</v>
      </c>
      <c r="C196" s="6">
        <v>14100.8</v>
      </c>
      <c r="D196" s="5"/>
      <c r="E196" s="5" t="str">
        <f t="shared" si="8"/>
        <v>ACTISALUD-MEDICINA INTERNA- PISO 7</v>
      </c>
      <c r="F196" s="5" t="str">
        <f>"Descripcion: CUBETA PEQUEÑA EN ACERO INOXIDABLE Estado: Bueno Placa anterior: 000026438 Material: ACERO INOXIDABLE Color:  Referencia:  Observacion:  Placa padre: Tipo adquisicion: Entidad"</f>
        <v>Descripcion: CUBETA PEQUEÑA EN ACERO INOXIDABLE Estado: Bueno Placa anterior: 000026438 Material: ACERO INOXIDABLE Color:  Referencia:  Observacion:  Placa padre: Tipo adquisicion: Entidad</v>
      </c>
      <c r="G196" s="5"/>
    </row>
    <row r="197" spans="1:7" ht="58.5" customHeight="1" x14ac:dyDescent="0.25">
      <c r="A197" s="5" t="str">
        <f>"H0001784"</f>
        <v>H0001784</v>
      </c>
      <c r="B197" s="5" t="str">
        <f>"SILLA INTERLOCUTORA (FIJA) SIN BRAZOS"</f>
        <v>SILLA INTERLOCUTORA (FIJA) SIN BRAZOS</v>
      </c>
      <c r="C197" s="6">
        <v>11235.46</v>
      </c>
      <c r="D197" s="5"/>
      <c r="E197" s="5" t="str">
        <f t="shared" si="8"/>
        <v>ACTISALUD-MEDICINA INTERNA- PISO 7</v>
      </c>
      <c r="F197" s="5" t="str">
        <f>"Descripcion: SILLA INTERLOCUTORA (FIJA) SIN BRAZOS METALICA CON ASIENTO Y ESPALDAR EN MADERA Estado: Bueno Placa anterior: 000003952 Material: MADERA Color: MARRON Referencia:  Observacion:  Placa padre: Tipo adquisicion: Entidad"</f>
        <v>Descripcion: SILLA INTERLOCUTORA (FIJA) SIN BRAZOS METALICA CON ASIENTO Y ESPALDAR EN MADERA Estado: Bueno Placa anterior: 000003952 Material: MADERA Color: MARRON Referencia:  Observacion:  Placa padre: Tipo adquisicion: Entidad</v>
      </c>
      <c r="G197" s="5"/>
    </row>
    <row r="198" spans="1:7" ht="58.5" customHeight="1" x14ac:dyDescent="0.25">
      <c r="A198" s="5" t="str">
        <f>"H0001785"</f>
        <v>H0001785</v>
      </c>
      <c r="B198" s="5" t="str">
        <f>"SILLA INTERLOCUTORA (FIJA) SIN BRAZOS"</f>
        <v>SILLA INTERLOCUTORA (FIJA) SIN BRAZOS</v>
      </c>
      <c r="C198" s="6">
        <v>11235.46</v>
      </c>
      <c r="D198" s="5"/>
      <c r="E198" s="5" t="str">
        <f t="shared" si="8"/>
        <v>ACTISALUD-MEDICINA INTERNA- PISO 7</v>
      </c>
      <c r="F198" s="5" t="str">
        <f>"Descripcion: SILLA INTERLOCUTORA (FIJA) SIN BRAZOS METALICA CON ASIENTO Y ESPALDAR EN MADERA Estado: Bueno Placa anterior: 000003962 Material: MADERA Color: MARRON Referencia:  Observacion:  Placa padre: Tipo adquisicion: Entidad"</f>
        <v>Descripcion: SILLA INTERLOCUTORA (FIJA) SIN BRAZOS METALICA CON ASIENTO Y ESPALDAR EN MADERA Estado: Bueno Placa anterior: 000003962 Material: MADERA Color: MARRON Referencia:  Observacion:  Placa padre: Tipo adquisicion: Entidad</v>
      </c>
      <c r="G198" s="5"/>
    </row>
    <row r="199" spans="1:7" ht="58.5" customHeight="1" x14ac:dyDescent="0.25">
      <c r="A199" s="5" t="str">
        <f>"H0001790"</f>
        <v>H0001790</v>
      </c>
      <c r="B199" s="5" t="str">
        <f>"ESTANTE METALICO 5 ENTREPAÑOS"</f>
        <v>ESTANTE METALICO 5 ENTREPAÑOS</v>
      </c>
      <c r="C199" s="6">
        <v>9601.3700000000008</v>
      </c>
      <c r="D199" s="5"/>
      <c r="E199" s="5" t="str">
        <f t="shared" si="8"/>
        <v>ACTISALUD-MEDICINA INTERNA- PISO 7</v>
      </c>
      <c r="F199" s="5" t="str">
        <f>"Descripcion: ESTANTE METALICO 5 ENTREPAÑOS MEDIDAS:199X90X40CM Estado: Bueno Placa anterior: 000004378 Material: METALICO Color: GRIS Referencia:  Observacion:  Placa padre: Tipo adquisicion: Entidad"</f>
        <v>Descripcion: ESTANTE METALICO 5 ENTREPAÑOS MEDIDAS:199X90X40CM Estado: Bueno Placa anterior: 000004378 Material: METALICO Color: GRIS Referencia:  Observacion:  Placa padre: Tipo adquisicion: Entidad</v>
      </c>
      <c r="G199" s="5"/>
    </row>
    <row r="200" spans="1:7" ht="58.5" customHeight="1" x14ac:dyDescent="0.25">
      <c r="A200" s="5" t="str">
        <f>"H0001791"</f>
        <v>H0001791</v>
      </c>
      <c r="B200" s="5" t="str">
        <f>"ESTANTE METALICO 8 ENTREPAÑOS"</f>
        <v>ESTANTE METALICO 8 ENTREPAÑOS</v>
      </c>
      <c r="C200" s="6">
        <v>9601.3700000000008</v>
      </c>
      <c r="D200" s="5"/>
      <c r="E200" s="5" t="str">
        <f t="shared" si="8"/>
        <v>ACTISALUD-MEDICINA INTERNA- PISO 7</v>
      </c>
      <c r="F200" s="5" t="str">
        <f>"Descripcion: ESTANTE METALICO 8 ENTREPAÑOS MEDIDAS:195X90X30CM Estado: Bueno Placa anterior: 000004379 Material: METALICO Color: VERDE Referencia:  Observacion:  Placa padre: Tipo adquisicion: Entidad"</f>
        <v>Descripcion: ESTANTE METALICO 8 ENTREPAÑOS MEDIDAS:195X90X30CM Estado: Bueno Placa anterior: 000004379 Material: METALICO Color: VERDE Referencia:  Observacion:  Placa padre: Tipo adquisicion: Entidad</v>
      </c>
      <c r="G200" s="5"/>
    </row>
    <row r="201" spans="1:7" ht="58.5" customHeight="1" x14ac:dyDescent="0.25">
      <c r="A201" s="5" t="str">
        <f>"H0001793"</f>
        <v>H0001793</v>
      </c>
      <c r="B201" s="5" t="str">
        <f>"MUEBLE (ARCHIVADOR) AEREO (GABINETE DE PARED)"</f>
        <v>MUEBLE (ARCHIVADOR) AEREO (GABINETE DE PARED)</v>
      </c>
      <c r="C201" s="6">
        <v>12856.86</v>
      </c>
      <c r="D201" s="5"/>
      <c r="E201" s="5" t="str">
        <f t="shared" si="8"/>
        <v>ACTISALUD-MEDICINA INTERNA- PISO 7</v>
      </c>
      <c r="F201" s="5" t="str">
        <f>"Descripcion: MUEBLE ARCHIVADOR AEREO METALICO MEDIDAS: 50X160X40CM Estado: Bueno Placa anterior: 000004822 Material: METALICO Color: GRIS Referencia:  Observacion: AUTORIZADO CONCILIAR EN CRUCE GENERAL Placa padre: Tipo adquisicion: Entidad"</f>
        <v>Descripcion: MUEBLE ARCHIVADOR AEREO METALICO MEDIDAS: 50X160X40CM Estado: Bueno Placa anterior: 000004822 Material: METALICO Color: GRIS Referencia:  Observacion: AUTORIZADO CONCILIAR EN CRUCE GENERAL Placa padre: Tipo adquisicion: Entidad</v>
      </c>
      <c r="G201" s="5"/>
    </row>
    <row r="202" spans="1:7" ht="58.5" customHeight="1" x14ac:dyDescent="0.25">
      <c r="A202" s="5" t="str">
        <f>"H0001794"</f>
        <v>H0001794</v>
      </c>
      <c r="B202" s="5" t="str">
        <f>"MUEBLE (ARCHIVADOR) AEREO (GABINETE DE PARED)"</f>
        <v>MUEBLE (ARCHIVADOR) AEREO (GABINETE DE PARED)</v>
      </c>
      <c r="C202" s="6">
        <v>12856.86</v>
      </c>
      <c r="D202" s="5"/>
      <c r="E202" s="5" t="str">
        <f t="shared" si="8"/>
        <v>ACTISALUD-MEDICINA INTERNA- PISO 7</v>
      </c>
      <c r="F202" s="5" t="str">
        <f>"Descripcion: MUEBLE ARCHIVADOR AEREO METALICO MEDIDAS: 50X160X40CM Estado: Bueno Placa anterior: 000004127 Material: METALICO Color: GRIS Referencia:  Observacion: AUTORIZADO CONCILIAR EN CRUCE GENERAL Placa padre: Tipo adquisicion: Entidad"</f>
        <v>Descripcion: MUEBLE ARCHIVADOR AEREO METALICO MEDIDAS: 50X160X40CM Estado: Bueno Placa anterior: 000004127 Material: METALICO Color: GRIS Referencia:  Observacion: AUTORIZADO CONCILIAR EN CRUCE GENERAL Placa padre: Tipo adquisicion: Entidad</v>
      </c>
      <c r="G202" s="5"/>
    </row>
    <row r="203" spans="1:7" ht="58.5" customHeight="1" x14ac:dyDescent="0.25">
      <c r="A203" s="5" t="str">
        <f>"H0001798"</f>
        <v>H0001798</v>
      </c>
      <c r="B203" s="5" t="str">
        <f>"MUEBLE (ARCHIVADOR) AEREO (GABINETE DE PARED)"</f>
        <v>MUEBLE (ARCHIVADOR) AEREO (GABINETE DE PARED)</v>
      </c>
      <c r="C203" s="6">
        <v>12836.38</v>
      </c>
      <c r="D203" s="5"/>
      <c r="E203" s="5" t="str">
        <f t="shared" si="8"/>
        <v>ACTISALUD-MEDICINA INTERNA- PISO 7</v>
      </c>
      <c r="F203" s="5" t="str">
        <f>"Descripcion: MUEBLE ARCHIVADOR AEREO METALICO MEDIDAS: 50X160X40CM Estado: Bueno Placa anterior: 000016799 Material: METALICO Color: GRIS Referencia:  Observacion: AUTORIZADO CONCILIAR EN CRUCE GENERAL Placa padre: Tipo adquisicion: Entidad"</f>
        <v>Descripcion: MUEBLE ARCHIVADOR AEREO METALICO MEDIDAS: 50X160X40CM Estado: Bueno Placa anterior: 000016799 Material: METALICO Color: GRIS Referencia:  Observacion: AUTORIZADO CONCILIAR EN CRUCE GENERAL Placa padre: Tipo adquisicion: Entidad</v>
      </c>
      <c r="G203" s="5"/>
    </row>
    <row r="204" spans="1:7" ht="58.5" customHeight="1" x14ac:dyDescent="0.25">
      <c r="A204" s="5" t="str">
        <f>"H0001799"</f>
        <v>H0001799</v>
      </c>
      <c r="B204" s="5" t="str">
        <f>"LOCKER DE 9 COMPARTIMIENTOS"</f>
        <v>LOCKER DE 9 COMPARTIMIENTOS</v>
      </c>
      <c r="C204" s="6">
        <v>680000</v>
      </c>
      <c r="D204" s="5"/>
      <c r="E204" s="5" t="str">
        <f t="shared" si="8"/>
        <v>ACTISALUD-MEDICINA INTERNA- PISO 7</v>
      </c>
      <c r="F204" s="5" t="str">
        <f>"Descripcion: LOKER METALICO DE 3 CUERPOS Estado: Bueno Placa anterior: 000033395 Material: METALICO Color: GRIS Referencia:  Observacion:  Placa padre: Tipo adquisicion: Entidad"</f>
        <v>Descripcion: LOKER METALICO DE 3 CUERPOS Estado: Bueno Placa anterior: 000033395 Material: METALICO Color: GRIS Referencia:  Observacion:  Placa padre: Tipo adquisicion: Entidad</v>
      </c>
      <c r="G204" s="5"/>
    </row>
    <row r="205" spans="1:7" ht="58.5" customHeight="1" x14ac:dyDescent="0.25">
      <c r="A205" s="5" t="str">
        <f>"H0001800"</f>
        <v>H0001800</v>
      </c>
      <c r="B205" s="5" t="str">
        <f>"ESCALERILLA DE 2 PASOS"</f>
        <v>ESCALERILLA DE 2 PASOS</v>
      </c>
      <c r="C205" s="6">
        <v>100000</v>
      </c>
      <c r="D205" s="5" t="s">
        <v>49</v>
      </c>
      <c r="E205" s="5" t="str">
        <f t="shared" si="8"/>
        <v>ACTISALUD-MEDICINA INTERNA- PISO 7</v>
      </c>
      <c r="F205" s="5" t="str">
        <f>"Descripcion: ESCALERILLA DE DOS PASO EN TUBO REDONDO Estado: Bueno Placa anterior: 000029915 Material: METALICO CON PASOS EN MADERA Color: BLANCO Referencia:  Observacion:  Placa padre: Tipo adquisicion: Entidad"</f>
        <v>Descripcion: ESCALERILLA DE DOS PASO EN TUBO REDONDO Estado: Bueno Placa anterior: 000029915 Material: METALICO CON PASOS EN MADERA Color: BLANCO Referencia:  Observacion:  Placa padre: Tipo adquisicion: Entidad</v>
      </c>
      <c r="G205" s="5"/>
    </row>
    <row r="206" spans="1:7" ht="58.5" customHeight="1" x14ac:dyDescent="0.25">
      <c r="A206" s="5" t="str">
        <f>"H0001803"</f>
        <v>H0001803</v>
      </c>
      <c r="B206" s="5" t="str">
        <f>"MESA PUENTE (ALIMENTACION) (INSTRUMENTAL)"</f>
        <v>MESA PUENTE (ALIMENTACION) (INSTRUMENTAL)</v>
      </c>
      <c r="C206" s="6">
        <v>603200</v>
      </c>
      <c r="D206" s="5" t="s">
        <v>51</v>
      </c>
      <c r="E206" s="5" t="str">
        <f t="shared" ref="E206:E269" si="9">"ACTISALUD-MEDICINA INTERNA- PISO 7"</f>
        <v>ACTISALUD-MEDICINA INTERNA- PISO 7</v>
      </c>
      <c r="F206" s="5" t="str">
        <f>"Descripcion: MESA PUENTE CON RODACHINES Y DOBLE BASE METALICA Estado: Bueno Placa anterior: 000028511 Material: METALICO Color: GRIS Referencia:  Observacion:  Placa padre: Tipo adquisicion: Entidad"</f>
        <v>Descripcion: MESA PUENTE CON RODACHINES Y DOBLE BASE METALICA Estado: Bueno Placa anterior: 000028511 Material: METALICO Color: GRIS Referencia:  Observacion:  Placa padre: Tipo adquisicion: Entidad</v>
      </c>
      <c r="G206" s="5"/>
    </row>
    <row r="207" spans="1:7" ht="58.5" customHeight="1" x14ac:dyDescent="0.25">
      <c r="A207" s="5" t="str">
        <f>"H0003993"</f>
        <v>H0003993</v>
      </c>
      <c r="B207" s="5" t="str">
        <f>"MESA PUENTE (ALIMENTACION) (INSTRUMENTAL)"</f>
        <v>MESA PUENTE (ALIMENTACION) (INSTRUMENTAL)</v>
      </c>
      <c r="C207" s="6">
        <v>15000</v>
      </c>
      <c r="D207" s="5"/>
      <c r="E207" s="5" t="str">
        <f t="shared" si="9"/>
        <v>ACTISALUD-MEDICINA INTERNA- PISO 7</v>
      </c>
      <c r="F207" s="5" t="str">
        <f>"Descripcion: BANDEJA EN ACERO INOXIDABLE Estado: Bueno Placa anterior: 000026589 Material: METALICO Color: BEIGE Referencia:  Observacion:  Placa padre: Tipo adquisicion: Entidad"</f>
        <v>Descripcion: BANDEJA EN ACERO INOXIDABLE Estado: Bueno Placa anterior: 000026589 Material: METALICO Color: BEIGE Referencia:  Observacion:  Placa padre: Tipo adquisicion: Entidad</v>
      </c>
      <c r="G207" s="5"/>
    </row>
    <row r="208" spans="1:7" ht="58.5" customHeight="1" x14ac:dyDescent="0.25">
      <c r="A208" s="5" t="str">
        <f>"H0004246"</f>
        <v>H0004246</v>
      </c>
      <c r="B208" s="5" t="str">
        <f>"MESA METALICA AUXILIAR 2 GAVETAS"</f>
        <v>MESA METALICA AUXILIAR 2 GAVETAS</v>
      </c>
      <c r="C208" s="6">
        <v>15068.43</v>
      </c>
      <c r="D208" s="5"/>
      <c r="E208" s="5" t="str">
        <f t="shared" si="9"/>
        <v>ACTISALUD-MEDICINA INTERNA- PISO 7</v>
      </c>
      <c r="F208" s="5" t="str">
        <f>"Descripcion: ESCRITORIO METALICO 2 GAVETAS MIDE 74*147*64 CM Estado: Bueno Placa anterior: 000009324 Material: METALICO Color: NEGRO Y BLANCO Y BEIS Referencia:  Observacion:  Placa padre: Tipo adquisicion: Entidad"</f>
        <v>Descripcion: ESCRITORIO METALICO 2 GAVETAS MIDE 74*147*64 CM Estado: Bueno Placa anterior: 000009324 Material: METALICO Color: NEGRO Y BLANCO Y BEIS Referencia:  Observacion:  Placa padre: Tipo adquisicion: Entidad</v>
      </c>
      <c r="G208" s="5"/>
    </row>
    <row r="209" spans="1:7" ht="58.5" customHeight="1" x14ac:dyDescent="0.25">
      <c r="A209" s="5" t="str">
        <f>"H0004248"</f>
        <v>H0004248</v>
      </c>
      <c r="B209" s="5" t="str">
        <f>"ARCHIVADOR METALICO 4 GAVETAS"</f>
        <v>ARCHIVADOR METALICO 4 GAVETAS</v>
      </c>
      <c r="C209" s="6">
        <v>37408.5</v>
      </c>
      <c r="D209" s="5"/>
      <c r="E209" s="5" t="str">
        <f t="shared" si="9"/>
        <v>ACTISALUD-MEDICINA INTERNA- PISO 7</v>
      </c>
      <c r="F209" s="5" t="str">
        <f>"Descripcion: ARCHIVADOR TIPO C (3 GAVETAS) MIDE 132*47,5*69 Estado: Regular Placa anterior: 000000854 Material: METALICO Color: GRIS Referencia:  Observacion: MALO DE PINTURA Placa padre: Tipo adquisicion: Entidad"</f>
        <v>Descripcion: ARCHIVADOR TIPO C (3 GAVETAS) MIDE 132*47,5*69 Estado: Regular Placa anterior: 000000854 Material: METALICO Color: GRIS Referencia:  Observacion: MALO DE PINTURA Placa padre: Tipo adquisicion: Entidad</v>
      </c>
      <c r="G209" s="5"/>
    </row>
    <row r="210" spans="1:7" ht="58.5" customHeight="1" x14ac:dyDescent="0.25">
      <c r="A210" s="5" t="str">
        <f>"H0004281"</f>
        <v>H0004281</v>
      </c>
      <c r="B210" s="5" t="str">
        <f t="shared" ref="B210:B216" si="10">"MESA PUENTE (ALIMENTACION) (INSTRUMENTAL)"</f>
        <v>MESA PUENTE (ALIMENTACION) (INSTRUMENTAL)</v>
      </c>
      <c r="C210" s="6">
        <v>210000</v>
      </c>
      <c r="D210" s="5"/>
      <c r="E210" s="5" t="str">
        <f t="shared" si="9"/>
        <v>ACTISALUD-MEDICINA INTERNA- PISO 7</v>
      </c>
      <c r="F210" s="5" t="str">
        <f>"Descripcion: MESA PUENTE FIJA EN TUBO METALICO CALIBRE 18, TOTALMENTE CROMADA ALTURA 1.05 MTS Estado: Regular Placa anterior: 000023420 Material: METAL Color: MARRON Y PLATA Referencia:  Observacion: OXIDADA Placa padre: Tipo adquisicion: Entidad"</f>
        <v>Descripcion: MESA PUENTE FIJA EN TUBO METALICO CALIBRE 18, TOTALMENTE CROMADA ALTURA 1.05 MTS Estado: Regular Placa anterior: 000023420 Material: METAL Color: MARRON Y PLATA Referencia:  Observacion: OXIDADA Placa padre: Tipo adquisicion: Entidad</v>
      </c>
      <c r="G210" s="5"/>
    </row>
    <row r="211" spans="1:7" ht="58.5" customHeight="1" x14ac:dyDescent="0.25">
      <c r="A211" s="5" t="str">
        <f>"H0004697"</f>
        <v>H0004697</v>
      </c>
      <c r="B211" s="5" t="str">
        <f t="shared" si="10"/>
        <v>MESA PUENTE (ALIMENTACION) (INSTRUMENTAL)</v>
      </c>
      <c r="C211" s="6">
        <v>15000</v>
      </c>
      <c r="D211" s="5"/>
      <c r="E211" s="5" t="str">
        <f t="shared" si="9"/>
        <v>ACTISALUD-MEDICINA INTERNA- PISO 7</v>
      </c>
      <c r="F211" s="5" t="str">
        <f>"Descripcion: REGULABLE DE SUPERFICIE EN ACERO Estado: Regular Placa anterior: 000021643 Material: METAL Color: BEIS Referencia:  Observacion:  Placa padre: Tipo adquisicion: Entidad"</f>
        <v>Descripcion: REGULABLE DE SUPERFICIE EN ACERO Estado: Regular Placa anterior: 000021643 Material: METAL Color: BEIS Referencia:  Observacion:  Placa padre: Tipo adquisicion: Entidad</v>
      </c>
      <c r="G211" s="5"/>
    </row>
    <row r="212" spans="1:7" ht="58.5" customHeight="1" x14ac:dyDescent="0.25">
      <c r="A212" s="5" t="str">
        <f>"H0004698"</f>
        <v>H0004698</v>
      </c>
      <c r="B212" s="5" t="str">
        <f t="shared" si="10"/>
        <v>MESA PUENTE (ALIMENTACION) (INSTRUMENTAL)</v>
      </c>
      <c r="C212" s="6">
        <v>15000</v>
      </c>
      <c r="D212" s="5"/>
      <c r="E212" s="5" t="str">
        <f t="shared" si="9"/>
        <v>ACTISALUD-MEDICINA INTERNA- PISO 7</v>
      </c>
      <c r="F212" s="5" t="str">
        <f>"Descripcion: REGULABLE DE SUPERFICIE EN ACERO Estado: Regular Placa anterior: 000026503 Material: METAL Color: BEIS Referencia:  Observacion:  Placa padre: Tipo adquisicion: Entidad"</f>
        <v>Descripcion: REGULABLE DE SUPERFICIE EN ACERO Estado: Regular Placa anterior: 000026503 Material: METAL Color: BEIS Referencia:  Observacion:  Placa padre: Tipo adquisicion: Entidad</v>
      </c>
      <c r="G212" s="5"/>
    </row>
    <row r="213" spans="1:7" ht="58.5" customHeight="1" x14ac:dyDescent="0.25">
      <c r="A213" s="5" t="str">
        <f>"H0004700"</f>
        <v>H0004700</v>
      </c>
      <c r="B213" s="5" t="str">
        <f t="shared" si="10"/>
        <v>MESA PUENTE (ALIMENTACION) (INSTRUMENTAL)</v>
      </c>
      <c r="C213" s="6">
        <v>15000</v>
      </c>
      <c r="D213" s="5"/>
      <c r="E213" s="5" t="str">
        <f t="shared" si="9"/>
        <v>ACTISALUD-MEDICINA INTERNA- PISO 7</v>
      </c>
      <c r="F213" s="5" t="str">
        <f>"Descripcion: REGULABLE DE SUPERFICIE EN ACERO Estado: Regular Placa anterior: 000026543 Material: METAL Color: BEIS Referencia:  Observacion:  Placa padre: Tipo adquisicion: Entidad"</f>
        <v>Descripcion: REGULABLE DE SUPERFICIE EN ACERO Estado: Regular Placa anterior: 000026543 Material: METAL Color: BEIS Referencia:  Observacion:  Placa padre: Tipo adquisicion: Entidad</v>
      </c>
      <c r="G213" s="5"/>
    </row>
    <row r="214" spans="1:7" ht="58.5" customHeight="1" x14ac:dyDescent="0.25">
      <c r="A214" s="5" t="str">
        <f>"H0004724"</f>
        <v>H0004724</v>
      </c>
      <c r="B214" s="5" t="str">
        <f t="shared" si="10"/>
        <v>MESA PUENTE (ALIMENTACION) (INSTRUMENTAL)</v>
      </c>
      <c r="C214" s="6">
        <v>15000</v>
      </c>
      <c r="D214" s="5"/>
      <c r="E214" s="5" t="str">
        <f t="shared" si="9"/>
        <v>ACTISALUD-MEDICINA INTERNA- PISO 7</v>
      </c>
      <c r="F214" s="5" t="str">
        <f>"Descripcion: REGULABLE Y SUPERFICIE SUPERIOR DE ACERO Estado: Regular Placa anterior: 000026544 Material: METAL Y ACERO Color: PLATA Y BEIS Referencia:  Observacion:  Placa padre: Tipo adquisicion: Entidad"</f>
        <v>Descripcion: REGULABLE Y SUPERFICIE SUPERIOR DE ACERO Estado: Regular Placa anterior: 000026544 Material: METAL Y ACERO Color: PLATA Y BEIS Referencia:  Observacion:  Placa padre: Tipo adquisicion: Entidad</v>
      </c>
      <c r="G214" s="5"/>
    </row>
    <row r="215" spans="1:7" ht="58.5" customHeight="1" x14ac:dyDescent="0.25">
      <c r="A215" s="5" t="str">
        <f>"H0004727"</f>
        <v>H0004727</v>
      </c>
      <c r="B215" s="5" t="str">
        <f t="shared" si="10"/>
        <v>MESA PUENTE (ALIMENTACION) (INSTRUMENTAL)</v>
      </c>
      <c r="C215" s="6">
        <v>15000</v>
      </c>
      <c r="D215" s="5"/>
      <c r="E215" s="5" t="str">
        <f t="shared" si="9"/>
        <v>ACTISALUD-MEDICINA INTERNA- PISO 7</v>
      </c>
      <c r="F215" s="5" t="str">
        <f>"Descripcion: REGULABLE Y SUPERFICIE SUPERIOR DE ACERO Estado: Regular Placa anterior: 000026516 Material: METAL Y ACERO Color: PLATA Y BEIS Referencia:  Observacion:  Placa padre: Tipo adquisicion: Entidad"</f>
        <v>Descripcion: REGULABLE Y SUPERFICIE SUPERIOR DE ACERO Estado: Regular Placa anterior: 000026516 Material: METAL Y ACERO Color: PLATA Y BEIS Referencia:  Observacion:  Placa padre: Tipo adquisicion: Entidad</v>
      </c>
      <c r="G215" s="5"/>
    </row>
    <row r="216" spans="1:7" ht="58.5" customHeight="1" x14ac:dyDescent="0.25">
      <c r="A216" s="5" t="str">
        <f>"H0004751"</f>
        <v>H0004751</v>
      </c>
      <c r="B216" s="5" t="str">
        <f t="shared" si="10"/>
        <v>MESA PUENTE (ALIMENTACION) (INSTRUMENTAL)</v>
      </c>
      <c r="C216" s="6">
        <v>15000</v>
      </c>
      <c r="D216" s="5"/>
      <c r="E216" s="5" t="str">
        <f t="shared" si="9"/>
        <v>ACTISALUD-MEDICINA INTERNA- PISO 7</v>
      </c>
      <c r="F216" s="5" t="str">
        <f>"Descripcion: MESA CON RODACHINS, SUPERFICIEN EN ACERO INOXIDABLE  Estado: Bueno Placa anterior: 000026594 Material: METALICA Y ACERO INOXIDABLE Color: BEIS Y PLATEADO Referencia:  Observacion:  Placa padre: Tipo adquisicion: Entidad"</f>
        <v>Descripcion: MESA CON RODACHINS, SUPERFICIEN EN ACERO INOXIDABLE  Estado: Bueno Placa anterior: 000026594 Material: METALICA Y ACERO INOXIDABLE Color: BEIS Y PLATEADO Referencia:  Observacion:  Placa padre: Tipo adquisicion: Entidad</v>
      </c>
      <c r="G216" s="5"/>
    </row>
    <row r="217" spans="1:7" ht="58.5" customHeight="1" x14ac:dyDescent="0.25">
      <c r="A217" s="5" t="str">
        <f>"H0004979"</f>
        <v>H0004979</v>
      </c>
      <c r="B217" s="5" t="str">
        <f>"SILLA PLASTICA CON BRAZOS"</f>
        <v>SILLA PLASTICA CON BRAZOS</v>
      </c>
      <c r="C217" s="6">
        <v>12240.32</v>
      </c>
      <c r="D217" s="5"/>
      <c r="E217" s="5" t="str">
        <f t="shared" si="9"/>
        <v>ACTISALUD-MEDICINA INTERNA- PISO 7</v>
      </c>
      <c r="F217" s="5" t="str">
        <f>"Descripcion: . Estado: Bueno Placa anterior: 000003127 Material: PLASTICO Color: BLANCO Referencia:  Observacion:  Placa padre: Tipo adquisicion: Entidad"</f>
        <v>Descripcion: . Estado: Bueno Placa anterior: 000003127 Material: PLASTICO Color: BLANCO Referencia:  Observacion:  Placa padre: Tipo adquisicion: Entidad</v>
      </c>
      <c r="G217" s="5"/>
    </row>
    <row r="218" spans="1:7" ht="58.5" customHeight="1" x14ac:dyDescent="0.25">
      <c r="A218" s="5" t="str">
        <f>"H0005001"</f>
        <v>H0005001</v>
      </c>
      <c r="B218" s="5" t="str">
        <f>"MESA PUENTE (ALIMENTACION) (INSTRUMENTAL)"</f>
        <v>MESA PUENTE (ALIMENTACION) (INSTRUMENTAL)</v>
      </c>
      <c r="C218" s="6">
        <v>15000</v>
      </c>
      <c r="D218" s="5"/>
      <c r="E218" s="5" t="str">
        <f t="shared" si="9"/>
        <v>ACTISALUD-MEDICINA INTERNA- PISO 7</v>
      </c>
      <c r="F218" s="5" t="str">
        <f>"Descripcion: 80X37X108BANDEJA EN ACERO INOXIDABLE Estado: Regular Placa anterior: 000026637 Material: METALICO Color: BEIGE Referencia:  Observacion:  Placa padre: Tipo adquisicion: Entidad"</f>
        <v>Descripcion: 80X37X108BANDEJA EN ACERO INOXIDABLE Estado: Regular Placa anterior: 000026637 Material: METALICO Color: BEIGE Referencia:  Observacion:  Placa padre: Tipo adquisicion: Entidad</v>
      </c>
      <c r="G218" s="5"/>
    </row>
    <row r="219" spans="1:7" ht="58.5" customHeight="1" x14ac:dyDescent="0.25">
      <c r="A219" s="5" t="str">
        <f>"H0005207"</f>
        <v>H0005207</v>
      </c>
      <c r="B219" s="5" t="str">
        <f>"AIRE ACONDICIONADO TIPO SPLIT 12000 BTU"</f>
        <v>AIRE ACONDICIONADO TIPO SPLIT 12000 BTU</v>
      </c>
      <c r="C219" s="6">
        <v>1836280</v>
      </c>
      <c r="D219" s="5" t="s">
        <v>52</v>
      </c>
      <c r="E219" s="5" t="str">
        <f t="shared" si="9"/>
        <v>ACTISALUD-MEDICINA INTERNA- PISO 7</v>
      </c>
      <c r="F219" s="5" t="str">
        <f>"Descripcion: IVERTER VCON CONTROL Estado: Bueno Placa anterior: 000036388 Material: PLASTICO Color: BLANCO Referencia:  Observacion:  Placa padre: Tipo adquisicion: Entidad"</f>
        <v>Descripcion: IVERTER VCON CONTROL Estado: Bueno Placa anterior: 000036388 Material: PLASTICO Color: BLANCO Referencia:  Observacion:  Placa padre: Tipo adquisicion: Entidad</v>
      </c>
      <c r="G219" s="5" t="str">
        <f>"INVERTER V"</f>
        <v>INVERTER V</v>
      </c>
    </row>
    <row r="220" spans="1:7" ht="58.5" customHeight="1" x14ac:dyDescent="0.25">
      <c r="A220" s="5" t="str">
        <f>"H0005576"</f>
        <v>H0005576</v>
      </c>
      <c r="B220" s="5" t="str">
        <f>"VENTILADOR DE PARED"</f>
        <v>VENTILADOR DE PARED</v>
      </c>
      <c r="C220" s="6">
        <v>74000</v>
      </c>
      <c r="D220" s="5" t="s">
        <v>53</v>
      </c>
      <c r="E220" s="5" t="str">
        <f t="shared" si="9"/>
        <v>ACTISALUD-MEDICINA INTERNA- PISO 7</v>
      </c>
      <c r="F220" s="5" t="str">
        <f>"Descripcion:VENTILADOR MARCA AYROPROTEC SAMURAI 2-1 Estado: Bueno Placa anterior: 000032559 Material: PLASTICO Color: BLANCO Referencia:  Observacion:  Placa padre:  Tipo adquisicion : Donacion"</f>
        <v>Descripcion:VENTILADOR MARCA AYROPROTEC SAMURAI 2-1 Estado: Bueno Placa anterior: 000032559 Material: PLASTICO Color: BLANCO Referencia:  Observacion:  Placa padre:  Tipo adquisicion : Donacion</v>
      </c>
      <c r="G220" s="5" t="str">
        <f>"NEW LINE"</f>
        <v>NEW LINE</v>
      </c>
    </row>
    <row r="221" spans="1:7" ht="58.5" customHeight="1" x14ac:dyDescent="0.25">
      <c r="A221" s="5" t="str">
        <f>"H0005604"</f>
        <v>H0005604</v>
      </c>
      <c r="B221" s="5" t="str">
        <f>"ESCRITORIO DE MADERA 2 GAVETAS"</f>
        <v>ESCRITORIO DE MADERA 2 GAVETAS</v>
      </c>
      <c r="C221" s="6">
        <v>31098.01</v>
      </c>
      <c r="D221" s="5"/>
      <c r="E221" s="5" t="str">
        <f t="shared" si="9"/>
        <v>ACTISALUD-MEDICINA INTERNA- PISO 7</v>
      </c>
      <c r="F221" s="5" t="str">
        <f>"Descripcion:ESCRITORIO DE DOS GAVETAS. CON CUBIERTA EN FORMICA Estado: Bueno Placa anterior: 000001162 Material: METALICA Y FORMICA Color: GRIS Y MARRON Referencia:  Observacion:  Placa padre:  Tipo adquisicion : Entidad"</f>
        <v>Descripcion:ESCRITORIO DE DOS GAVETAS. CON CUBIERTA EN FORMICA Estado: Bueno Placa anterior: 000001162 Material: METALICA Y FORMICA Color: GRIS Y MARRON Referencia:  Observacion:  Placa padre:  Tipo adquisicion : Entidad</v>
      </c>
      <c r="G221" s="5"/>
    </row>
    <row r="222" spans="1:7" ht="58.5" customHeight="1" x14ac:dyDescent="0.25">
      <c r="A222" s="5" t="str">
        <f>"H0005667"</f>
        <v>H0005667</v>
      </c>
      <c r="B222" s="5" t="str">
        <f>"VITRINA DE 2 CUERPOS"</f>
        <v>VITRINA DE 2 CUERPOS</v>
      </c>
      <c r="C222" s="6">
        <v>54116</v>
      </c>
      <c r="D222" s="5"/>
      <c r="E222" s="5" t="str">
        <f t="shared" si="9"/>
        <v>ACTISALUD-MEDICINA INTERNA- PISO 7</v>
      </c>
      <c r="F222" s="5" t="str">
        <f>"Descripcion:VITRINA METALICA TIPO B ( DOS CUERPOS)DIMENSIONES: 159X120X40 CM, DOS ENTREPAÑOES EN VIDRIO, DOS GAVETAS Y DOS CAJONES Estado: Bueno Placa anterior: 000008373 Material: METALICO Y VIDRIO Color: GRIS Referencia:  Observacion:  Placa padre:  Tip"&amp; "o adquisicion : Entidad"</f>
        <v>Descripcion:VITRINA METALICA TIPO B ( DOS CUERPOS)DIMENSIONES: 159X120X40 CM, DOS ENTREPAÑOES EN VIDRIO, DOS GAVETAS Y DOS CAJONES Estado: Bueno Placa anterior: 000008373 Material: METALICO Y VIDRIO Color: GRIS Referencia:  Observacion:  Placa padre:  Tipo adquisicion : Entidad</v>
      </c>
      <c r="G222" s="5"/>
    </row>
    <row r="223" spans="1:7" ht="58.5" customHeight="1" x14ac:dyDescent="0.25">
      <c r="A223" s="5" t="str">
        <f>"H0005682"</f>
        <v>H0005682</v>
      </c>
      <c r="B223" s="5" t="str">
        <f>"VENTILADOR DE PARED"</f>
        <v>VENTILADOR DE PARED</v>
      </c>
      <c r="C223" s="6">
        <v>74000</v>
      </c>
      <c r="D223" s="5" t="s">
        <v>53</v>
      </c>
      <c r="E223" s="5" t="str">
        <f t="shared" si="9"/>
        <v>ACTISALUD-MEDICINA INTERNA- PISO 7</v>
      </c>
      <c r="F223" s="5" t="str">
        <f>"Descripcion:VENTILADOR MARCA AYROPROTEC SAMURAI 2-1 Estado: Bueno Placa anterior: 000032557 Material: PLASTICO Color: BLANCO Referencia:  Observacion: EL SISTEMA LO TRAJO COMO DONACI{ON Placa padre:  Tipo adquisicion : Donacion"</f>
        <v>Descripcion:VENTILADOR MARCA AYROPROTEC SAMURAI 2-1 Estado: Bueno Placa anterior: 000032557 Material: PLASTICO Color: BLANCO Referencia:  Observacion: EL SISTEMA LO TRAJO COMO DONACI{ON Placa padre:  Tipo adquisicion : Donacion</v>
      </c>
      <c r="G223" s="5" t="str">
        <f>"AYROPROTEC"</f>
        <v>AYROPROTEC</v>
      </c>
    </row>
    <row r="224" spans="1:7" ht="58.5" customHeight="1" x14ac:dyDescent="0.25">
      <c r="A224" s="5" t="str">
        <f>"H0008233"</f>
        <v>H0008233</v>
      </c>
      <c r="B224" s="5" t="str">
        <f>"VENTILADOR DE PARED"</f>
        <v>VENTILADOR DE PARED</v>
      </c>
      <c r="C224" s="6">
        <v>72477.5</v>
      </c>
      <c r="D224" s="5" t="s">
        <v>54</v>
      </c>
      <c r="E224" s="5" t="str">
        <f t="shared" si="9"/>
        <v>ACTISALUD-MEDICINA INTERNA- PISO 7</v>
      </c>
      <c r="F224" s="5" t="str">
        <f>"Descripcion: VENTILADOR DE PARED SAMURAI Estado: Bueno Placa anterior: 000037145 Material: PLASTICO Color: BLANCO Referencia:  Observacion:  Placa padre: Tipo adquisicion: Entidad"</f>
        <v>Descripcion: VENTILADOR DE PARED SAMURAI Estado: Bueno Placa anterior: 000037145 Material: PLASTICO Color: BLANCO Referencia:  Observacion:  Placa padre: Tipo adquisicion: Entidad</v>
      </c>
      <c r="G224" s="5" t="str">
        <f>"TURBO SILENCE MAXX"</f>
        <v>TURBO SILENCE MAXX</v>
      </c>
    </row>
    <row r="225" spans="1:7" ht="58.5" customHeight="1" x14ac:dyDescent="0.25">
      <c r="A225" s="5" t="str">
        <f>"H0008272"</f>
        <v>H0008272</v>
      </c>
      <c r="B225" s="5" t="str">
        <f>"SILLA DE RUEDAS"</f>
        <v>SILLA DE RUEDAS</v>
      </c>
      <c r="C225" s="6">
        <v>60000</v>
      </c>
      <c r="D225" s="5" t="s">
        <v>55</v>
      </c>
      <c r="E225" s="5" t="str">
        <f t="shared" si="9"/>
        <v>ACTISALUD-MEDICINA INTERNA- PISO 7</v>
      </c>
      <c r="F225" s="5" t="str">
        <f>"Descripcion: SILLA DE RUEDAS (LE FALTA UN CAUCHO) Estado: Bueno Placa anterior: 000030304 Material: METALICO Color: ROJO Referencia:  Observacion:  Placa padre: Tipo adquisicion: Donacion"</f>
        <v>Descripcion: SILLA DE RUEDAS (LE FALTA UN CAUCHO) Estado: Bueno Placa anterior: 000030304 Material: METALICO Color: ROJO Referencia:  Observacion:  Placa padre: Tipo adquisicion: Donacion</v>
      </c>
      <c r="G225" s="5"/>
    </row>
    <row r="226" spans="1:7" ht="58.5" customHeight="1" x14ac:dyDescent="0.25">
      <c r="A226" s="5" t="str">
        <f>"H0008630"</f>
        <v>H0008630</v>
      </c>
      <c r="B226" s="5" t="str">
        <f>"MESA PUENTE (ALIMENTACION) (INSTRUMENTAL)"</f>
        <v>MESA PUENTE (ALIMENTACION) (INSTRUMENTAL)</v>
      </c>
      <c r="C226" s="6">
        <v>603200</v>
      </c>
      <c r="D226" s="5" t="s">
        <v>51</v>
      </c>
      <c r="E226" s="5" t="str">
        <f t="shared" si="9"/>
        <v>ACTISALUD-MEDICINA INTERNA- PISO 7</v>
      </c>
      <c r="F226" s="5" t="str">
        <f>"Descripcion: MESA PUENTE PARA ALIMENTACION CON DOBLE SOPORTE Estado: Bueno Placa anterior: 000028512 Material: METALICA, ACERO INOX. Color: GRIS Referencia:  Observacion:  Placa padre: Tipo adquisicion: Entidad"</f>
        <v>Descripcion: MESA PUENTE PARA ALIMENTACION CON DOBLE SOPORTE Estado: Bueno Placa anterior: 000028512 Material: METALICA, ACERO INOX. Color: GRIS Referencia:  Observacion:  Placa padre: Tipo adquisicion: Entidad</v>
      </c>
      <c r="G226" s="5"/>
    </row>
    <row r="227" spans="1:7" ht="58.5" customHeight="1" x14ac:dyDescent="0.25">
      <c r="A227" s="5" t="str">
        <f>"H0008635"</f>
        <v>H0008635</v>
      </c>
      <c r="B227" s="5" t="str">
        <f>"MESA PUENTE (ALIMENTACION) (INSTRUMENTAL)"</f>
        <v>MESA PUENTE (ALIMENTACION) (INSTRUMENTAL)</v>
      </c>
      <c r="C227" s="6">
        <v>603200</v>
      </c>
      <c r="D227" s="5" t="s">
        <v>51</v>
      </c>
      <c r="E227" s="5" t="str">
        <f t="shared" si="9"/>
        <v>ACTISALUD-MEDICINA INTERNA- PISO 7</v>
      </c>
      <c r="F227" s="5" t="str">
        <f>"Descripcion: MESA PUENTE PARA ALIMENTACION CON DOBLE SOPORTE Estado: Bueno Placa anterior: 000028513 Material: METALICA, ACERO INOX. Color: GRIS Referencia:  Observacion:  Placa padre: Tipo adquisicion: Entidad"</f>
        <v>Descripcion: MESA PUENTE PARA ALIMENTACION CON DOBLE SOPORTE Estado: Bueno Placa anterior: 000028513 Material: METALICA, ACERO INOX. Color: GRIS Referencia:  Observacion:  Placa padre: Tipo adquisicion: Entidad</v>
      </c>
      <c r="G227" s="5"/>
    </row>
    <row r="228" spans="1:7" ht="58.5" customHeight="1" x14ac:dyDescent="0.25">
      <c r="A228" s="5" t="str">
        <f>"H0008636"</f>
        <v>H0008636</v>
      </c>
      <c r="B228" s="5" t="str">
        <f>"MESA PUENTE (ALIMENTACION) (INSTRUMENTAL)"</f>
        <v>MESA PUENTE (ALIMENTACION) (INSTRUMENTAL)</v>
      </c>
      <c r="C228" s="6">
        <v>603200</v>
      </c>
      <c r="D228" s="5" t="s">
        <v>51</v>
      </c>
      <c r="E228" s="5" t="str">
        <f t="shared" si="9"/>
        <v>ACTISALUD-MEDICINA INTERNA- PISO 7</v>
      </c>
      <c r="F228" s="5" t="str">
        <f>"Descripcion: MESA PUENTE PARA ALIMENTACION CON DOBLE SOPORTE Estado: Bueno Placa anterior: 000028517 Material: METALICA, ACERO INOX. Color: GRIS Referencia:  Observacion:  Placa padre: Tipo adquisicion: Entidad"</f>
        <v>Descripcion: MESA PUENTE PARA ALIMENTACION CON DOBLE SOPORTE Estado: Bueno Placa anterior: 000028517 Material: METALICA, ACERO INOX. Color: GRIS Referencia:  Observacion:  Placa padre: Tipo adquisicion: Entidad</v>
      </c>
      <c r="G228" s="5"/>
    </row>
    <row r="229" spans="1:7" ht="58.5" customHeight="1" x14ac:dyDescent="0.25">
      <c r="A229" s="5" t="str">
        <f>"H0008643"</f>
        <v>H0008643</v>
      </c>
      <c r="B229" s="5" t="str">
        <f>"MESA PUENTE (ALIMENTACION) (INSTRUMENTAL)"</f>
        <v>MESA PUENTE (ALIMENTACION) (INSTRUMENTAL)</v>
      </c>
      <c r="C229" s="6">
        <v>603200</v>
      </c>
      <c r="D229" s="5" t="s">
        <v>51</v>
      </c>
      <c r="E229" s="5" t="str">
        <f t="shared" si="9"/>
        <v>ACTISALUD-MEDICINA INTERNA- PISO 7</v>
      </c>
      <c r="F229" s="5" t="str">
        <f>"Descripcion: MESA PUENTE PARA ALIMENTACION CON DOBLE SOPORTE Estado: Bueno Placa anterior: 000028520 Material: METALICA, ACERO INOX. Color: GRIS Referencia:  Observacion:  Placa padre: Tipo adquisicion: Entidad"</f>
        <v>Descripcion: MESA PUENTE PARA ALIMENTACION CON DOBLE SOPORTE Estado: Bueno Placa anterior: 000028520 Material: METALICA, ACERO INOX. Color: GRIS Referencia:  Observacion:  Placa padre: Tipo adquisicion: Entidad</v>
      </c>
      <c r="G229" s="5"/>
    </row>
    <row r="230" spans="1:7" ht="58.5" customHeight="1" x14ac:dyDescent="0.25">
      <c r="A230" s="5" t="str">
        <f>"H0008644"</f>
        <v>H0008644</v>
      </c>
      <c r="B230" s="5" t="str">
        <f>"SILLA PLASTICA CON BRAZOS"</f>
        <v>SILLA PLASTICA CON BRAZOS</v>
      </c>
      <c r="C230" s="6">
        <v>12240.32</v>
      </c>
      <c r="D230" s="5"/>
      <c r="E230" s="5" t="str">
        <f t="shared" si="9"/>
        <v>ACTISALUD-MEDICINA INTERNA- PISO 7</v>
      </c>
      <c r="F230" s="5" t="str">
        <f>"Descripcion: SILLA PLASTICA  CON BRAZOS Estado: Bueno Placa anterior: 000004455 Material: PLASTICO Color: BLANCO Referencia:  Observacion:  Placa padre: Tipo adquisicion: Entidad"</f>
        <v>Descripcion: SILLA PLASTICA  CON BRAZOS Estado: Bueno Placa anterior: 000004455 Material: PLASTICO Color: BLANCO Referencia:  Observacion:  Placa padre: Tipo adquisicion: Entidad</v>
      </c>
      <c r="G230" s="5"/>
    </row>
    <row r="231" spans="1:7" ht="58.5" customHeight="1" x14ac:dyDescent="0.25">
      <c r="A231" s="5" t="str">
        <f>"H0008647"</f>
        <v>H0008647</v>
      </c>
      <c r="B231" s="5" t="str">
        <f>"VENTILADOR DE PARED"</f>
        <v>VENTILADOR DE PARED</v>
      </c>
      <c r="C231" s="6">
        <v>83000</v>
      </c>
      <c r="D231" s="5" t="s">
        <v>4</v>
      </c>
      <c r="E231" s="5" t="str">
        <f t="shared" si="9"/>
        <v>ACTISALUD-MEDICINA INTERNA- PISO 7</v>
      </c>
      <c r="F231" s="5" t="str">
        <f>"Descripcion: VENTILADOR DE PARED  Estado: Bueno Placa anterior: 000036251 Material: PLASTICO Color: BLANCO Referencia:  Observacion:  Placa padre: Tipo adquisicion: Entidad"</f>
        <v>Descripcion: VENTILADOR DE PARED  Estado: Bueno Placa anterior: 000036251 Material: PLASTICO Color: BLANCO Referencia:  Observacion:  Placa padre: Tipo adquisicion: Entidad</v>
      </c>
      <c r="G231" s="5" t="str">
        <f>"TURBO SILENCE MAXX"</f>
        <v>TURBO SILENCE MAXX</v>
      </c>
    </row>
    <row r="232" spans="1:7" ht="58.5" customHeight="1" x14ac:dyDescent="0.25">
      <c r="A232" s="5" t="str">
        <f>"H0008651"</f>
        <v>H0008651</v>
      </c>
      <c r="B232" s="5" t="str">
        <f>"RIÑONERA HOSPITALARIA EN ACERO INOXIDABLE"</f>
        <v>RIÑONERA HOSPITALARIA EN ACERO INOXIDABLE</v>
      </c>
      <c r="C232" s="6">
        <v>2163.9299999999998</v>
      </c>
      <c r="D232" s="5"/>
      <c r="E232" s="5" t="str">
        <f t="shared" si="9"/>
        <v>ACTISALUD-MEDICINA INTERNA- PISO 7</v>
      </c>
      <c r="F232" s="5" t="str">
        <f>"Descripcion: RIÑONERA HOSPITALARIA EN ACERO INOXIDABLE Estado: Bueno Placa anterior: 000004105 Material: ACERO INOXIDABLE Color:  Referencia:  Observacion:  Placa padre: Tipo adquisicion: Entidad"</f>
        <v>Descripcion: RIÑONERA HOSPITALARIA EN ACERO INOXIDABLE Estado: Bueno Placa anterior: 000004105 Material: ACERO INOXIDABLE Color:  Referencia:  Observacion:  Placa padre: Tipo adquisicion: Entidad</v>
      </c>
      <c r="G232" s="5"/>
    </row>
    <row r="233" spans="1:7" ht="58.5" customHeight="1" x14ac:dyDescent="0.25">
      <c r="A233" s="5" t="str">
        <f>"H0008652"</f>
        <v>H0008652</v>
      </c>
      <c r="B233" s="5" t="str">
        <f>"MESA PUENTE (ALIMENTACION) (INSTRUMENTAL)"</f>
        <v>MESA PUENTE (ALIMENTACION) (INSTRUMENTAL)</v>
      </c>
      <c r="C233" s="6">
        <v>603200</v>
      </c>
      <c r="D233" s="5" t="s">
        <v>51</v>
      </c>
      <c r="E233" s="5" t="str">
        <f t="shared" si="9"/>
        <v>ACTISALUD-MEDICINA INTERNA- PISO 7</v>
      </c>
      <c r="F233" s="5" t="str">
        <f>"Descripcion: MESA PUENTE PARA ALIMENTACION CONDOBLE SOPORTE Estado: Bueno Placa anterior: 000028521 Material: METALICO, ACERO INOX. Color: BEIGE Referencia:  Observacion:  Placa padre: Tipo adquisicion: Entidad"</f>
        <v>Descripcion: MESA PUENTE PARA ALIMENTACION CONDOBLE SOPORTE Estado: Bueno Placa anterior: 000028521 Material: METALICO, ACERO INOX. Color: BEIGE Referencia:  Observacion:  Placa padre: Tipo adquisicion: Entidad</v>
      </c>
      <c r="G233" s="5"/>
    </row>
    <row r="234" spans="1:7" ht="58.5" customHeight="1" x14ac:dyDescent="0.25">
      <c r="A234" s="5" t="str">
        <f>"H0008654"</f>
        <v>H0008654</v>
      </c>
      <c r="B234" s="5" t="str">
        <f>"MESA PUENTE (ALIMENTACION) (INSTRUMENTAL)"</f>
        <v>MESA PUENTE (ALIMENTACION) (INSTRUMENTAL)</v>
      </c>
      <c r="C234" s="6">
        <v>603200</v>
      </c>
      <c r="D234" s="5" t="s">
        <v>51</v>
      </c>
      <c r="E234" s="5" t="str">
        <f t="shared" si="9"/>
        <v>ACTISALUD-MEDICINA INTERNA- PISO 7</v>
      </c>
      <c r="F234" s="5" t="str">
        <f>"Descripcion: MESA PUENTE PARA ALIMENTACION CONDOBLE SOPORTE Estado: Bueno Placa anterior: 000028524 Material: METALICO, ACERO INOX. Color: BEIGE Referencia:  Observacion:  Placa padre: Tipo adquisicion: Entidad"</f>
        <v>Descripcion: MESA PUENTE PARA ALIMENTACION CONDOBLE SOPORTE Estado: Bueno Placa anterior: 000028524 Material: METALICO, ACERO INOX. Color: BEIGE Referencia:  Observacion:  Placa padre: Tipo adquisicion: Entidad</v>
      </c>
      <c r="G234" s="5"/>
    </row>
    <row r="235" spans="1:7" ht="58.5" customHeight="1" x14ac:dyDescent="0.25">
      <c r="A235" s="5" t="str">
        <f>"H0008656"</f>
        <v>H0008656</v>
      </c>
      <c r="B235" s="5" t="str">
        <f>"SILLA PLASTICA CON BRAZOS"</f>
        <v>SILLA PLASTICA CON BRAZOS</v>
      </c>
      <c r="C235" s="6">
        <v>12240.32</v>
      </c>
      <c r="D235" s="5"/>
      <c r="E235" s="5" t="str">
        <f t="shared" si="9"/>
        <v>ACTISALUD-MEDICINA INTERNA- PISO 7</v>
      </c>
      <c r="F235" s="5" t="str">
        <f>"Descripcion: SILLA PLASTICA BLANCA Estado: Bueno Placa anterior: 000004367 Material: PLASTICO Color: BLANCO Referencia:  Observacion:  Placa padre: Tipo adquisicion: Entidad"</f>
        <v>Descripcion: SILLA PLASTICA BLANCA Estado: Bueno Placa anterior: 000004367 Material: PLASTICO Color: BLANCO Referencia:  Observacion:  Placa padre: Tipo adquisicion: Entidad</v>
      </c>
      <c r="G235" s="5"/>
    </row>
    <row r="236" spans="1:7" ht="58.5" customHeight="1" x14ac:dyDescent="0.25">
      <c r="A236" s="5" t="str">
        <f>"H0008657"</f>
        <v>H0008657</v>
      </c>
      <c r="B236" s="5" t="str">
        <f>"SILLA PLASTICA CON BRAZOS"</f>
        <v>SILLA PLASTICA CON BRAZOS</v>
      </c>
      <c r="C236" s="6">
        <v>12240.32</v>
      </c>
      <c r="D236" s="5"/>
      <c r="E236" s="5" t="str">
        <f t="shared" si="9"/>
        <v>ACTISALUD-MEDICINA INTERNA- PISO 7</v>
      </c>
      <c r="F236" s="5" t="str">
        <f>"Descripcion: SILLA PLASTICA BLANCA Estado: Bueno Placa anterior: 000004534 Material: PLASTICO Color: BLANCO Referencia:  Observacion:  Placa padre: Tipo adquisicion: Entidad"</f>
        <v>Descripcion: SILLA PLASTICA BLANCA Estado: Bueno Placa anterior: 000004534 Material: PLASTICO Color: BLANCO Referencia:  Observacion:  Placa padre: Tipo adquisicion: Entidad</v>
      </c>
      <c r="G236" s="5"/>
    </row>
    <row r="237" spans="1:7" ht="58.5" customHeight="1" x14ac:dyDescent="0.25">
      <c r="A237" s="5" t="str">
        <f>"H0008659"</f>
        <v>H0008659</v>
      </c>
      <c r="B237" s="5" t="str">
        <f>"SILLA PLASTICA CON BRAZOS"</f>
        <v>SILLA PLASTICA CON BRAZOS</v>
      </c>
      <c r="C237" s="6">
        <v>12240.32</v>
      </c>
      <c r="D237" s="5"/>
      <c r="E237" s="5" t="str">
        <f t="shared" si="9"/>
        <v>ACTISALUD-MEDICINA INTERNA- PISO 7</v>
      </c>
      <c r="F237" s="5" t="str">
        <f>"Descripcion: SILLA PLASTICA BLANCA Estado: Bueno Placa anterior: 000004475 Material: PLASTICO Color: BLANCO Referencia:  Observacion:  Placa padre: Tipo adquisicion: Entidad"</f>
        <v>Descripcion: SILLA PLASTICA BLANCA Estado: Bueno Placa anterior: 000004475 Material: PLASTICO Color: BLANCO Referencia:  Observacion:  Placa padre: Tipo adquisicion: Entidad</v>
      </c>
      <c r="G237" s="5"/>
    </row>
    <row r="238" spans="1:7" ht="58.5" customHeight="1" x14ac:dyDescent="0.25">
      <c r="A238" s="5" t="str">
        <f>"H0008662"</f>
        <v>H0008662</v>
      </c>
      <c r="B238" s="5" t="str">
        <f>"MESA PUENTE (ALIMENTACION) (INSTRUMENTAL)"</f>
        <v>MESA PUENTE (ALIMENTACION) (INSTRUMENTAL)</v>
      </c>
      <c r="C238" s="6">
        <v>603200</v>
      </c>
      <c r="D238" s="5" t="s">
        <v>51</v>
      </c>
      <c r="E238" s="5" t="str">
        <f t="shared" si="9"/>
        <v>ACTISALUD-MEDICINA INTERNA- PISO 7</v>
      </c>
      <c r="F238" s="5" t="str">
        <f>"Descripcion: MESA PUENTE PARA ALIMENTACION CONDOBLE SOPORTE Estado: Bueno Placa anterior: 000028526 Material: METALICO, ACERO INOX. Color: BEIGE Referencia:  Observacion:  Placa padre: Tipo adquisicion: Entidad"</f>
        <v>Descripcion: MESA PUENTE PARA ALIMENTACION CONDOBLE SOPORTE Estado: Bueno Placa anterior: 000028526 Material: METALICO, ACERO INOX. Color: BEIGE Referencia:  Observacion:  Placa padre: Tipo adquisicion: Entidad</v>
      </c>
      <c r="G238" s="5"/>
    </row>
    <row r="239" spans="1:7" ht="58.5" customHeight="1" x14ac:dyDescent="0.25">
      <c r="A239" s="5" t="str">
        <f>"H0008663"</f>
        <v>H0008663</v>
      </c>
      <c r="B239" s="5" t="str">
        <f>"ESCALERILLA DE 2 PASOS"</f>
        <v>ESCALERILLA DE 2 PASOS</v>
      </c>
      <c r="C239" s="6">
        <v>100000</v>
      </c>
      <c r="D239" s="5" t="s">
        <v>49</v>
      </c>
      <c r="E239" s="5" t="str">
        <f t="shared" si="9"/>
        <v>ACTISALUD-MEDICINA INTERNA- PISO 7</v>
      </c>
      <c r="F239" s="5" t="str">
        <f>"Descripcion: ESCALERILLA DE DOS PASO EN TUBO REDONDO Estado: Bueno Placa anterior: 000029986 Material: METALICO CON PASOS EN MADERA Color: BLANCO Referencia:  Observacion:  Placa padre: Tipo adquisicion: Entidad"</f>
        <v>Descripcion: ESCALERILLA DE DOS PASO EN TUBO REDONDO Estado: Bueno Placa anterior: 000029986 Material: METALICO CON PASOS EN MADERA Color: BLANCO Referencia:  Observacion:  Placa padre: Tipo adquisicion: Entidad</v>
      </c>
      <c r="G239" s="5"/>
    </row>
    <row r="240" spans="1:7" ht="58.5" customHeight="1" x14ac:dyDescent="0.25">
      <c r="A240" s="5" t="str">
        <f>"H0008668"</f>
        <v>H0008668</v>
      </c>
      <c r="B240" s="5" t="str">
        <f>"SILLA PLASTICA CON BRAZOS"</f>
        <v>SILLA PLASTICA CON BRAZOS</v>
      </c>
      <c r="C240" s="6">
        <v>14000</v>
      </c>
      <c r="D240" s="5"/>
      <c r="E240" s="5" t="str">
        <f t="shared" si="9"/>
        <v>ACTISALUD-MEDICINA INTERNA- PISO 7</v>
      </c>
      <c r="F240" s="5" t="str">
        <f>"Descripcion: SILLA PLASTICA BLANCA Estado: Bueno Placa anterior: 000005614 Material: PLASTICO Color: BLANCO Referencia:  Observacion:  Placa padre: Tipo adquisicion: Entidad"</f>
        <v>Descripcion: SILLA PLASTICA BLANCA Estado: Bueno Placa anterior: 000005614 Material: PLASTICO Color: BLANCO Referencia:  Observacion:  Placa padre: Tipo adquisicion: Entidad</v>
      </c>
      <c r="G240" s="5"/>
    </row>
    <row r="241" spans="1:7" ht="58.5" customHeight="1" x14ac:dyDescent="0.25">
      <c r="A241" s="5" t="str">
        <f>"H0008671"</f>
        <v>H0008671</v>
      </c>
      <c r="B241" s="5" t="str">
        <f>"VENTILADOR DE PARED"</f>
        <v>VENTILADOR DE PARED</v>
      </c>
      <c r="C241" s="6">
        <v>72477.5</v>
      </c>
      <c r="D241" s="5" t="s">
        <v>54</v>
      </c>
      <c r="E241" s="5" t="str">
        <f t="shared" si="9"/>
        <v>ACTISALUD-MEDICINA INTERNA- PISO 7</v>
      </c>
      <c r="F241" s="5" t="str">
        <f>"Descripcion: VENTILADOR DE PARED VENTILADOR DE PARED REF. 987181 SILENC. CON GARANTIA DE UN AÑO POR PARTE DEL FABRICANTE Estado: Bueno Placa anterior: 000037136 Material: PLASTICO Color: BLANCO Referencia:  Observacion:  Placa padre: Tipo adquisicion: Ent"&amp; "idad"</f>
        <v>Descripcion: VENTILADOR DE PARED VENTILADOR DE PARED REF. 987181 SILENC. CON GARANTIA DE UN AÑO POR PARTE DEL FABRICANTE Estado: Bueno Placa anterior: 000037136 Material: PLASTICO Color: BLANCO Referencia:  Observacion:  Placa padre: Tipo adquisicion: Entidad</v>
      </c>
      <c r="G241" s="5" t="str">
        <f>"TURBO SILENCE MAXX"</f>
        <v>TURBO SILENCE MAXX</v>
      </c>
    </row>
    <row r="242" spans="1:7" ht="58.5" customHeight="1" x14ac:dyDescent="0.25">
      <c r="A242" s="5" t="str">
        <f>"H0008677"</f>
        <v>H0008677</v>
      </c>
      <c r="B242" s="5" t="str">
        <f>"SILLA PLASTICA CON BRAZOS"</f>
        <v>SILLA PLASTICA CON BRAZOS</v>
      </c>
      <c r="C242" s="6">
        <v>12240.32</v>
      </c>
      <c r="D242" s="5"/>
      <c r="E242" s="5" t="str">
        <f t="shared" si="9"/>
        <v>ACTISALUD-MEDICINA INTERNA- PISO 7</v>
      </c>
      <c r="F242" s="5" t="str">
        <f>"Descripcion: SILLA PLASTICA BLANCA Estado: Bueno Placa anterior: 000004297 Material: PLASTICO Color: BLANCO Referencia:  Observacion:  Placa padre: Tipo adquisicion: Entidad"</f>
        <v>Descripcion: SILLA PLASTICA BLANCA Estado: Bueno Placa anterior: 000004297 Material: PLASTICO Color: BLANCO Referencia:  Observacion:  Placa padre: Tipo adquisicion: Entidad</v>
      </c>
      <c r="G242" s="5"/>
    </row>
    <row r="243" spans="1:7" ht="58.5" customHeight="1" x14ac:dyDescent="0.25">
      <c r="A243" s="5" t="str">
        <f>"H0008679"</f>
        <v>H0008679</v>
      </c>
      <c r="B243" s="5" t="str">
        <f>"MESA PUENTE (ALIMENTACION) (INSTRUMENTAL)"</f>
        <v>MESA PUENTE (ALIMENTACION) (INSTRUMENTAL)</v>
      </c>
      <c r="C243" s="6">
        <v>15000</v>
      </c>
      <c r="D243" s="5"/>
      <c r="E243" s="5" t="str">
        <f t="shared" si="9"/>
        <v>ACTISALUD-MEDICINA INTERNA- PISO 7</v>
      </c>
      <c r="F243" s="5" t="str">
        <f>"Descripcion: MESA PUENTE PARA ALIMENTACION CON DOBLE SOPORTE Estado: Bueno Placa anterior: 000026837 Material: METALICO, ACERO INOX Color: BEIGE Referencia:  Observacion:  Placa padre: Tipo adquisicion: Entidad"</f>
        <v>Descripcion: MESA PUENTE PARA ALIMENTACION CON DOBLE SOPORTE Estado: Bueno Placa anterior: 000026837 Material: METALICO, ACERO INOX Color: BEIGE Referencia:  Observacion:  Placa padre: Tipo adquisicion: Entidad</v>
      </c>
      <c r="G243" s="5"/>
    </row>
    <row r="244" spans="1:7" ht="58.5" customHeight="1" x14ac:dyDescent="0.25">
      <c r="A244" s="5" t="str">
        <f>"H0008681"</f>
        <v>H0008681</v>
      </c>
      <c r="B244" s="5" t="str">
        <f>"RIÑONERA HOSPITALARIA EN ACERO INOXIDABLE"</f>
        <v>RIÑONERA HOSPITALARIA EN ACERO INOXIDABLE</v>
      </c>
      <c r="C244" s="6">
        <v>2163.9299999999998</v>
      </c>
      <c r="D244" s="5"/>
      <c r="E244" s="5" t="str">
        <f t="shared" si="9"/>
        <v>ACTISALUD-MEDICINA INTERNA- PISO 7</v>
      </c>
      <c r="F244" s="5" t="str">
        <f>"Descripcion: RIÑONERA HOSPITALARIA EN ACERO INOXIDABLE Estado: Bueno Placa anterior: 000004123 Material: ACERO INOXIDABLE Color:  Referencia:  Observacion:  Placa padre: Tipo adquisicion: Entidad"</f>
        <v>Descripcion: RIÑONERA HOSPITALARIA EN ACERO INOXIDABLE Estado: Bueno Placa anterior: 000004123 Material: ACERO INOXIDABLE Color:  Referencia:  Observacion:  Placa padre: Tipo adquisicion: Entidad</v>
      </c>
      <c r="G244" s="5"/>
    </row>
    <row r="245" spans="1:7" ht="58.5" customHeight="1" x14ac:dyDescent="0.25">
      <c r="A245" s="5" t="str">
        <f>"H0008683"</f>
        <v>H0008683</v>
      </c>
      <c r="B245" s="5" t="str">
        <f>"MESA PUENTE (ALIMENTACION) (INSTRUMENTAL)"</f>
        <v>MESA PUENTE (ALIMENTACION) (INSTRUMENTAL)</v>
      </c>
      <c r="C245" s="6">
        <v>15000</v>
      </c>
      <c r="D245" s="5"/>
      <c r="E245" s="5" t="str">
        <f t="shared" si="9"/>
        <v>ACTISALUD-MEDICINA INTERNA- PISO 7</v>
      </c>
      <c r="F245" s="5" t="str">
        <f>"Descripcion: MESA PUENTE PARA ALIMENTACION CON DOBLE SOPORTE Estado: Bueno Placa anterior: 000026838 Material: METALICO, ACERO INOX Color: BEIGE Referencia:  Observacion:  Placa padre: Tipo adquisicion: Entidad"</f>
        <v>Descripcion: MESA PUENTE PARA ALIMENTACION CON DOBLE SOPORTE Estado: Bueno Placa anterior: 000026838 Material: METALICO, ACERO INOX Color: BEIGE Referencia:  Observacion:  Placa padre: Tipo adquisicion: Entidad</v>
      </c>
      <c r="G245" s="5"/>
    </row>
    <row r="246" spans="1:7" ht="58.5" customHeight="1" x14ac:dyDescent="0.25">
      <c r="A246" s="5" t="str">
        <f>"H0008691"</f>
        <v>H0008691</v>
      </c>
      <c r="B246" s="5" t="str">
        <f>"SILLA PLASTICA CON BRAZOS"</f>
        <v>SILLA PLASTICA CON BRAZOS</v>
      </c>
      <c r="C246" s="6">
        <v>12240.32</v>
      </c>
      <c r="D246" s="5"/>
      <c r="E246" s="5" t="str">
        <f t="shared" si="9"/>
        <v>ACTISALUD-MEDICINA INTERNA- PISO 7</v>
      </c>
      <c r="F246" s="5" t="str">
        <f>"Descripcion: SILLA PLASTICA BLANCA Estado: Bueno Placa anterior: 000004473 Material: PLASTICO Color: BLANCO Referencia:  Observacion:  Placa padre: Tipo adquisicion: Entidad"</f>
        <v>Descripcion: SILLA PLASTICA BLANCA Estado: Bueno Placa anterior: 000004473 Material: PLASTICO Color: BLANCO Referencia:  Observacion:  Placa padre: Tipo adquisicion: Entidad</v>
      </c>
      <c r="G246" s="5"/>
    </row>
    <row r="247" spans="1:7" ht="58.5" customHeight="1" x14ac:dyDescent="0.25">
      <c r="A247" s="5" t="str">
        <f>"H0008692"</f>
        <v>H0008692</v>
      </c>
      <c r="B247" s="5" t="str">
        <f>"MESA PUENTE (ALIMENTACION) (INSTRUMENTAL)"</f>
        <v>MESA PUENTE (ALIMENTACION) (INSTRUMENTAL)</v>
      </c>
      <c r="C247" s="6">
        <v>15000</v>
      </c>
      <c r="D247" s="5"/>
      <c r="E247" s="5" t="str">
        <f t="shared" si="9"/>
        <v>ACTISALUD-MEDICINA INTERNA- PISO 7</v>
      </c>
      <c r="F247" s="5" t="str">
        <f>"Descripcion: MESA PUENTE PARA ALIMENTACION CON DOBLE SOPORTE Estado: Bueno Placa anterior: 000026839 Material: METALICO, ACERO INOX Color: BEIGE Referencia:  Observacion:  Placa padre: Tipo adquisicion: Entidad"</f>
        <v>Descripcion: MESA PUENTE PARA ALIMENTACION CON DOBLE SOPORTE Estado: Bueno Placa anterior: 000026839 Material: METALICO, ACERO INOX Color: BEIGE Referencia:  Observacion:  Placa padre: Tipo adquisicion: Entidad</v>
      </c>
      <c r="G247" s="5"/>
    </row>
    <row r="248" spans="1:7" ht="58.5" customHeight="1" x14ac:dyDescent="0.25">
      <c r="A248" s="5" t="str">
        <f>"H0008694"</f>
        <v>H0008694</v>
      </c>
      <c r="B248" s="5" t="str">
        <f>"MESA PUENTE (ALIMENTACION) (INSTRUMENTAL)"</f>
        <v>MESA PUENTE (ALIMENTACION) (INSTRUMENTAL)</v>
      </c>
      <c r="C248" s="6">
        <v>15000</v>
      </c>
      <c r="D248" s="5"/>
      <c r="E248" s="5" t="str">
        <f t="shared" si="9"/>
        <v>ACTISALUD-MEDICINA INTERNA- PISO 7</v>
      </c>
      <c r="F248" s="5" t="str">
        <f>"Descripcion: MESA PUENTE PARA ALIMENTACION CON DOBLE SOPORTE Estado: Bueno Placa anterior: 000026840 Material: METALICO, ACERO INOX Color: BEIGE Referencia:  Observacion:  Placa padre: Tipo adquisicion: Entidad"</f>
        <v>Descripcion: MESA PUENTE PARA ALIMENTACION CON DOBLE SOPORTE Estado: Bueno Placa anterior: 000026840 Material: METALICO, ACERO INOX Color: BEIGE Referencia:  Observacion:  Placa padre: Tipo adquisicion: Entidad</v>
      </c>
      <c r="G248" s="5"/>
    </row>
    <row r="249" spans="1:7" ht="58.5" customHeight="1" x14ac:dyDescent="0.25">
      <c r="A249" s="5" t="str">
        <f>"H0008701"</f>
        <v>H0008701</v>
      </c>
      <c r="B249" s="5" t="str">
        <f>"SUCCIONADOR (DONACION)"</f>
        <v>SUCCIONADOR (DONACION)</v>
      </c>
      <c r="C249" s="6">
        <v>308570</v>
      </c>
      <c r="D249" s="5"/>
      <c r="E249" s="5" t="str">
        <f t="shared" si="9"/>
        <v>ACTISALUD-MEDICINA INTERNA- PISO 7</v>
      </c>
      <c r="F249" s="5" t="str">
        <f>"Descripcion: SUCCIONADOR Estado: Bueno Placa anterior: 000004102 Material: PLASTICO Color: BLANCO CON AMARILLO Referencia:  Observacion:  Placa padre: Tipo adquisicion: Entidad"</f>
        <v>Descripcion: SUCCIONADOR Estado: Bueno Placa anterior: 000004102 Material: PLASTICO Color: BLANCO CON AMARILLO Referencia:  Observacion:  Placa padre: Tipo adquisicion: Entidad</v>
      </c>
      <c r="G249" s="5"/>
    </row>
    <row r="250" spans="1:7" ht="58.5" customHeight="1" x14ac:dyDescent="0.25">
      <c r="A250" s="5" t="str">
        <f>"H0008702"</f>
        <v>H0008702</v>
      </c>
      <c r="B250" s="5" t="str">
        <f>"PATO (PISINGO) HOMBRE"</f>
        <v>PATO (PISINGO) HOMBRE</v>
      </c>
      <c r="C250" s="6">
        <v>57246</v>
      </c>
      <c r="D250" s="5"/>
      <c r="E250" s="5" t="str">
        <f t="shared" si="9"/>
        <v>ACTISALUD-MEDICINA INTERNA- PISO 7</v>
      </c>
      <c r="F250" s="5" t="str">
        <f>"Descripcion: PATO (PISINGO) HOMBRE Estado: Bueno Placa anterior: 000004028 Material: ACERO INOXIDABLE Color:  Referencia:  Observacion:  Placa padre: Tipo adquisicion: Entidad"</f>
        <v>Descripcion: PATO (PISINGO) HOMBRE Estado: Bueno Placa anterior: 000004028 Material: ACERO INOXIDABLE Color:  Referencia:  Observacion:  Placa padre: Tipo adquisicion: Entidad</v>
      </c>
      <c r="G250" s="5"/>
    </row>
    <row r="251" spans="1:7" ht="58.5" customHeight="1" x14ac:dyDescent="0.25">
      <c r="A251" s="5" t="str">
        <f>"H0008703"</f>
        <v>H0008703</v>
      </c>
      <c r="B251" s="5" t="str">
        <f>"SILLA PLASTICA CON BRAZOS"</f>
        <v>SILLA PLASTICA CON BRAZOS</v>
      </c>
      <c r="C251" s="6">
        <v>12240.32</v>
      </c>
      <c r="D251" s="5"/>
      <c r="E251" s="5" t="str">
        <f t="shared" si="9"/>
        <v>ACTISALUD-MEDICINA INTERNA- PISO 7</v>
      </c>
      <c r="F251" s="5" t="str">
        <f>"Descripcion: SILLA PLASTICA BLANCA Estado: Bueno Placa anterior: 000004447 Material: PLASTICO Color: BLANCO Referencia:  Observacion:  Placa padre: Tipo adquisicion: Entidad"</f>
        <v>Descripcion: SILLA PLASTICA BLANCA Estado: Bueno Placa anterior: 000004447 Material: PLASTICO Color: BLANCO Referencia:  Observacion:  Placa padre: Tipo adquisicion: Entidad</v>
      </c>
      <c r="G251" s="5"/>
    </row>
    <row r="252" spans="1:7" ht="58.5" customHeight="1" x14ac:dyDescent="0.25">
      <c r="A252" s="5" t="str">
        <f>"H0008704"</f>
        <v>H0008704</v>
      </c>
      <c r="B252" s="5" t="str">
        <f>"MESA PUENTE (ALIMENTACION) (INSTRUMENTAL)"</f>
        <v>MESA PUENTE (ALIMENTACION) (INSTRUMENTAL)</v>
      </c>
      <c r="C252" s="6">
        <v>15000</v>
      </c>
      <c r="D252" s="5"/>
      <c r="E252" s="5" t="str">
        <f t="shared" si="9"/>
        <v>ACTISALUD-MEDICINA INTERNA- PISO 7</v>
      </c>
      <c r="F252" s="5" t="str">
        <f>"Descripcion: MESA PUENTE PARA ALIMENTACION CON DOBLE SOPORTE Estado: Bueno Placa anterior: 000027006 Material: METALICO, ACERO INOX Color: GRIS Referencia:  Observacion:  Placa padre: Tipo adquisicion: Entidad"</f>
        <v>Descripcion: MESA PUENTE PARA ALIMENTACION CON DOBLE SOPORTE Estado: Bueno Placa anterior: 000027006 Material: METALICO, ACERO INOX Color: GRIS Referencia:  Observacion:  Placa padre: Tipo adquisicion: Entidad</v>
      </c>
      <c r="G252" s="5"/>
    </row>
    <row r="253" spans="1:7" ht="58.5" customHeight="1" x14ac:dyDescent="0.25">
      <c r="A253" s="5" t="str">
        <f>"H0008707"</f>
        <v>H0008707</v>
      </c>
      <c r="B253" s="5" t="str">
        <f>"MESA PUENTE (ALIMENTACION) (INSTRUMENTAL)"</f>
        <v>MESA PUENTE (ALIMENTACION) (INSTRUMENTAL)</v>
      </c>
      <c r="C253" s="6">
        <v>15000</v>
      </c>
      <c r="D253" s="5"/>
      <c r="E253" s="5" t="str">
        <f t="shared" si="9"/>
        <v>ACTISALUD-MEDICINA INTERNA- PISO 7</v>
      </c>
      <c r="F253" s="5" t="str">
        <f>"Descripcion: MESA PUENTE PARA ALIMENTACION CON DOBLE SOPORTE Estado: Bueno Placa anterior: 000027007 Material: METALICO, ACERO INOX Color: GRIS Referencia:  Observacion:  Placa padre: Tipo adquisicion: Entidad"</f>
        <v>Descripcion: MESA PUENTE PARA ALIMENTACION CON DOBLE SOPORTE Estado: Bueno Placa anterior: 000027007 Material: METALICO, ACERO INOX Color: GRIS Referencia:  Observacion:  Placa padre: Tipo adquisicion: Entidad</v>
      </c>
      <c r="G253" s="5"/>
    </row>
    <row r="254" spans="1:7" ht="58.5" customHeight="1" x14ac:dyDescent="0.25">
      <c r="A254" s="5" t="str">
        <f>"H0008708"</f>
        <v>H0008708</v>
      </c>
      <c r="B254" s="5" t="str">
        <f>"MESA PUENTE (ALIMENTACION) (INSTRUMENTAL)"</f>
        <v>MESA PUENTE (ALIMENTACION) (INSTRUMENTAL)</v>
      </c>
      <c r="C254" s="6">
        <v>15000</v>
      </c>
      <c r="D254" s="5"/>
      <c r="E254" s="5" t="str">
        <f t="shared" si="9"/>
        <v>ACTISALUD-MEDICINA INTERNA- PISO 7</v>
      </c>
      <c r="F254" s="5" t="str">
        <f>"Descripcion: MESA PUENTE PARA ALIMENTACION CON DOBLE SOPORTE Estado: Bueno Placa anterior: 000027008 Material: METALICO, ACERO INOX Color: GRIS Referencia:  Observacion:  Placa padre: Tipo adquisicion: Entidad"</f>
        <v>Descripcion: MESA PUENTE PARA ALIMENTACION CON DOBLE SOPORTE Estado: Bueno Placa anterior: 000027008 Material: METALICO, ACERO INOX Color: GRIS Referencia:  Observacion:  Placa padre: Tipo adquisicion: Entidad</v>
      </c>
      <c r="G254" s="5"/>
    </row>
    <row r="255" spans="1:7" ht="58.5" customHeight="1" x14ac:dyDescent="0.25">
      <c r="A255" s="5" t="str">
        <f>"H0008709"</f>
        <v>H0008709</v>
      </c>
      <c r="B255" s="5" t="str">
        <f>"MESA PUENTE (ALIMENTACION) (INSTRUMENTAL)"</f>
        <v>MESA PUENTE (ALIMENTACION) (INSTRUMENTAL)</v>
      </c>
      <c r="C255" s="6">
        <v>15000</v>
      </c>
      <c r="D255" s="5"/>
      <c r="E255" s="5" t="str">
        <f t="shared" si="9"/>
        <v>ACTISALUD-MEDICINA INTERNA- PISO 7</v>
      </c>
      <c r="F255" s="5" t="str">
        <f>"Descripcion: MESA PUENTE PARA ALIMENTACION CON DOBLE SOPORTE Estado: Bueno Placa anterior: 000027009 Material: METALICO, ACERO INOX Color: GRIS Referencia:  Observacion:  Placa padre: Tipo adquisicion: Entidad"</f>
        <v>Descripcion: MESA PUENTE PARA ALIMENTACION CON DOBLE SOPORTE Estado: Bueno Placa anterior: 000027009 Material: METALICO, ACERO INOX Color: GRIS Referencia:  Observacion:  Placa padre: Tipo adquisicion: Entidad</v>
      </c>
      <c r="G255" s="5"/>
    </row>
    <row r="256" spans="1:7" ht="58.5" customHeight="1" x14ac:dyDescent="0.25">
      <c r="A256" s="5" t="str">
        <f>"H0008712"</f>
        <v>H0008712</v>
      </c>
      <c r="B256" s="5" t="str">
        <f>"ESCALERILLA DE 2 PASOS"</f>
        <v>ESCALERILLA DE 2 PASOS</v>
      </c>
      <c r="C256" s="6">
        <v>5304.44</v>
      </c>
      <c r="D256" s="5"/>
      <c r="E256" s="5" t="str">
        <f t="shared" si="9"/>
        <v>ACTISALUD-MEDICINA INTERNA- PISO 7</v>
      </c>
      <c r="F256" s="5" t="str">
        <f>"Descripcion: ESCALERILLA DE DOS PASOS EN TUBO REDONDO Estado: Bueno Placa anterior: 000019771 Material: METALICO CON PASOS EN MADERA Color: BLANCO Referencia:  Observacion: AUTORIZADO CONCILIAR EN CRUCE GENERAL Placa padre: Tipo adquisicion: Entidad"</f>
        <v>Descripcion: ESCALERILLA DE DOS PASOS EN TUBO REDONDO Estado: Bueno Placa anterior: 000019771 Material: METALICO CON PASOS EN MADERA Color: BLANCO Referencia:  Observacion: AUTORIZADO CONCILIAR EN CRUCE GENERAL Placa padre: Tipo adquisicion: Entidad</v>
      </c>
      <c r="G256" s="5"/>
    </row>
    <row r="257" spans="1:7" ht="58.5" customHeight="1" x14ac:dyDescent="0.25">
      <c r="A257" s="5" t="str">
        <f>"H0008713"</f>
        <v>H0008713</v>
      </c>
      <c r="B257" s="5" t="str">
        <f>"SILLA PLASTICA CON BRAZOS"</f>
        <v>SILLA PLASTICA CON BRAZOS</v>
      </c>
      <c r="C257" s="6">
        <v>12240.32</v>
      </c>
      <c r="D257" s="5"/>
      <c r="E257" s="5" t="str">
        <f t="shared" si="9"/>
        <v>ACTISALUD-MEDICINA INTERNA- PISO 7</v>
      </c>
      <c r="F257" s="5" t="str">
        <f>"Descripcion: SILLA PLASTICA BLANCA Estado: Bueno Placa anterior: 000004535 Material: PLASTICO Color: BLANCO Referencia:  Observacion:  Placa padre: Tipo adquisicion: Entidad"</f>
        <v>Descripcion: SILLA PLASTICA BLANCA Estado: Bueno Placa anterior: 000004535 Material: PLASTICO Color: BLANCO Referencia:  Observacion:  Placa padre: Tipo adquisicion: Entidad</v>
      </c>
      <c r="G257" s="5"/>
    </row>
    <row r="258" spans="1:7" ht="58.5" customHeight="1" x14ac:dyDescent="0.25">
      <c r="A258" s="5" t="str">
        <f>"H0008714"</f>
        <v>H0008714</v>
      </c>
      <c r="B258" s="5" t="str">
        <f>"FLUJOMETRO DOBLE"</f>
        <v>FLUJOMETRO DOBLE</v>
      </c>
      <c r="C258" s="6">
        <v>365400</v>
      </c>
      <c r="D258" s="5" t="s">
        <v>56</v>
      </c>
      <c r="E258" s="5" t="str">
        <f t="shared" si="9"/>
        <v>ACTISALUD-MEDICINA INTERNA- PISO 7</v>
      </c>
      <c r="F258" s="5" t="str">
        <f>"Descripcion: FLUJOMETRO DOBLE Estado: Bueno Placa anterior: 000031123 Material: METALICO Color:  Referencia:  Observacion:  Placa padre: Tipo adquisicion: Entidad"</f>
        <v>Descripcion: FLUJOMETRO DOBLE Estado: Bueno Placa anterior: 000031123 Material: METALICO Color:  Referencia:  Observacion:  Placa padre: Tipo adquisicion: Entidad</v>
      </c>
      <c r="G258" s="5"/>
    </row>
    <row r="259" spans="1:7" ht="58.5" customHeight="1" x14ac:dyDescent="0.25">
      <c r="A259" s="5" t="str">
        <f>"H0008718"</f>
        <v>H0008718</v>
      </c>
      <c r="B259" s="5" t="str">
        <f>"ESCALERILLA DE 2 PASOS"</f>
        <v>ESCALERILLA DE 2 PASOS</v>
      </c>
      <c r="C259" s="6">
        <v>100000</v>
      </c>
      <c r="D259" s="5" t="s">
        <v>49</v>
      </c>
      <c r="E259" s="5" t="str">
        <f t="shared" si="9"/>
        <v>ACTISALUD-MEDICINA INTERNA- PISO 7</v>
      </c>
      <c r="F259" s="5" t="str">
        <f>"Descripcion: ESCALERILLA DE DOS PASO EN TUBO REDONDO Estado: Bueno Placa anterior: 000029985 Material: METALICO CON PASOS EN MADERA Color: BLANCO Referencia:  Observacion:  Placa padre: Tipo adquisicion: Entidad"</f>
        <v>Descripcion: ESCALERILLA DE DOS PASO EN TUBO REDONDO Estado: Bueno Placa anterior: 000029985 Material: METALICO CON PASOS EN MADERA Color: BLANCO Referencia:  Observacion:  Placa padre: Tipo adquisicion: Entidad</v>
      </c>
      <c r="G259" s="5"/>
    </row>
    <row r="260" spans="1:7" ht="58.5" customHeight="1" x14ac:dyDescent="0.25">
      <c r="A260" s="5" t="str">
        <f>"H0008719"</f>
        <v>H0008719</v>
      </c>
      <c r="B260" s="5" t="str">
        <f>"ESCALERILLA DE 2 PASOS"</f>
        <v>ESCALERILLA DE 2 PASOS</v>
      </c>
      <c r="C260" s="6">
        <v>100000</v>
      </c>
      <c r="D260" s="5" t="s">
        <v>49</v>
      </c>
      <c r="E260" s="5" t="str">
        <f t="shared" si="9"/>
        <v>ACTISALUD-MEDICINA INTERNA- PISO 7</v>
      </c>
      <c r="F260" s="5" t="str">
        <f>"Descripcion: ESCALERILLA DE DOS PASO EN TUBO REDONDO Estado: Bueno Placa anterior: 000029845 Material: METALICO CON PASOS EN MADERA Color: BLANCO Referencia:  Observacion:  Placa padre: Tipo adquisicion: Entidad"</f>
        <v>Descripcion: ESCALERILLA DE DOS PASO EN TUBO REDONDO Estado: Bueno Placa anterior: 000029845 Material: METALICO CON PASOS EN MADERA Color: BLANCO Referencia:  Observacion:  Placa padre: Tipo adquisicion: Entidad</v>
      </c>
      <c r="G260" s="5"/>
    </row>
    <row r="261" spans="1:7" ht="58.5" customHeight="1" x14ac:dyDescent="0.25">
      <c r="A261" s="5" t="str">
        <f>"H0008721"</f>
        <v>H0008721</v>
      </c>
      <c r="B261" s="5" t="str">
        <f>"VENTILADOR DE PARED"</f>
        <v>VENTILADOR DE PARED</v>
      </c>
      <c r="C261" s="6">
        <v>72477.5</v>
      </c>
      <c r="D261" s="5" t="s">
        <v>54</v>
      </c>
      <c r="E261" s="5" t="str">
        <f t="shared" si="9"/>
        <v>ACTISALUD-MEDICINA INTERNA- PISO 7</v>
      </c>
      <c r="F261" s="5" t="str">
        <f>"Descripcion: VENTILADOR DE PARED SAMURAI Estado: Bueno Placa anterior: 000037127 Material: PLASTICO Color: BLANCO Referencia:  Observacion:  Placa padre: Tipo adquisicion: Entidad"</f>
        <v>Descripcion: VENTILADOR DE PARED SAMURAI Estado: Bueno Placa anterior: 000037127 Material: PLASTICO Color: BLANCO Referencia:  Observacion:  Placa padre: Tipo adquisicion: Entidad</v>
      </c>
      <c r="G261" s="5" t="str">
        <f>"TURBO SILENCE MAXX"</f>
        <v>TURBO SILENCE MAXX</v>
      </c>
    </row>
    <row r="262" spans="1:7" ht="58.5" customHeight="1" x14ac:dyDescent="0.25">
      <c r="A262" s="5" t="str">
        <f>"H0008722"</f>
        <v>H0008722</v>
      </c>
      <c r="B262" s="5" t="str">
        <f>"VENTILADOR DE PARED"</f>
        <v>VENTILADOR DE PARED</v>
      </c>
      <c r="C262" s="6">
        <v>72477.5</v>
      </c>
      <c r="D262" s="5" t="s">
        <v>54</v>
      </c>
      <c r="E262" s="5" t="str">
        <f t="shared" si="9"/>
        <v>ACTISALUD-MEDICINA INTERNA- PISO 7</v>
      </c>
      <c r="F262" s="5" t="str">
        <f>"Descripcion: VENTILADOR DE PARED SAMURAI Estado: Bueno Placa anterior: 000037128 Material: PLASTICO Color: BLANCO Referencia:  Observacion:  Placa padre: Tipo adquisicion: Entidad"</f>
        <v>Descripcion: VENTILADOR DE PARED SAMURAI Estado: Bueno Placa anterior: 000037128 Material: PLASTICO Color: BLANCO Referencia:  Observacion:  Placa padre: Tipo adquisicion: Entidad</v>
      </c>
      <c r="G262" s="5" t="str">
        <f>"TURBO SILENCE MAXX"</f>
        <v>TURBO SILENCE MAXX</v>
      </c>
    </row>
    <row r="263" spans="1:7" ht="58.5" customHeight="1" x14ac:dyDescent="0.25">
      <c r="A263" s="5" t="str">
        <f>"H0008729"</f>
        <v>H0008729</v>
      </c>
      <c r="B263" s="5" t="str">
        <f>"MESA PUENTE (ALIMENTACION) (INSTRUMENTAL)"</f>
        <v>MESA PUENTE (ALIMENTACION) (INSTRUMENTAL)</v>
      </c>
      <c r="C263" s="6">
        <v>15000</v>
      </c>
      <c r="D263" s="5"/>
      <c r="E263" s="5" t="str">
        <f t="shared" si="9"/>
        <v>ACTISALUD-MEDICINA INTERNA- PISO 7</v>
      </c>
      <c r="F263" s="5" t="str">
        <f>"Descripcion: MESA PUENTE PARA ALIMENTACION CON DOBLE SOPORTE Estado: Bueno Placa anterior: 000027014 Material: METALICO. ACERO INOX. Color: GRIS Referencia:  Observacion:  Placa padre: Tipo adquisicion: Entidad"</f>
        <v>Descripcion: MESA PUENTE PARA ALIMENTACION CON DOBLE SOPORTE Estado: Bueno Placa anterior: 000027014 Material: METALICO. ACERO INOX. Color: GRIS Referencia:  Observacion:  Placa padre: Tipo adquisicion: Entidad</v>
      </c>
      <c r="G263" s="5"/>
    </row>
    <row r="264" spans="1:7" ht="58.5" customHeight="1" x14ac:dyDescent="0.25">
      <c r="A264" s="5" t="str">
        <f>"H0008730"</f>
        <v>H0008730</v>
      </c>
      <c r="B264" s="5" t="str">
        <f>"MESA PUENTE (ALIMENTACION) (INSTRUMENTAL)"</f>
        <v>MESA PUENTE (ALIMENTACION) (INSTRUMENTAL)</v>
      </c>
      <c r="C264" s="6">
        <v>15000</v>
      </c>
      <c r="D264" s="5"/>
      <c r="E264" s="5" t="str">
        <f t="shared" si="9"/>
        <v>ACTISALUD-MEDICINA INTERNA- PISO 7</v>
      </c>
      <c r="F264" s="5" t="str">
        <f>"Descripcion: MESA PUENTE PARA ALIMENTACION CON DOBLE SOPORTE Estado: Bueno Placa anterior: 000027015 Material: METALICO. ACERO INOX. Color: GRIS Referencia:  Observacion:  Placa padre: Tipo adquisicion: Entidad"</f>
        <v>Descripcion: MESA PUENTE PARA ALIMENTACION CON DOBLE SOPORTE Estado: Bueno Placa anterior: 000027015 Material: METALICO. ACERO INOX. Color: GRIS Referencia:  Observacion:  Placa padre: Tipo adquisicion: Entidad</v>
      </c>
      <c r="G264" s="5"/>
    </row>
    <row r="265" spans="1:7" ht="58.5" customHeight="1" x14ac:dyDescent="0.25">
      <c r="A265" s="5" t="str">
        <f>"H0008731"</f>
        <v>H0008731</v>
      </c>
      <c r="B265" s="5" t="str">
        <f>"MESA PUENTE (ALIMENTACION) (INSTRUMENTAL)"</f>
        <v>MESA PUENTE (ALIMENTACION) (INSTRUMENTAL)</v>
      </c>
      <c r="C265" s="6">
        <v>15000</v>
      </c>
      <c r="D265" s="5"/>
      <c r="E265" s="5" t="str">
        <f t="shared" si="9"/>
        <v>ACTISALUD-MEDICINA INTERNA- PISO 7</v>
      </c>
      <c r="F265" s="5" t="str">
        <f>"Descripcion: MESA PUENTE PARA ALIMENTACION CON DOBLE SOPORTE Estado: Bueno Placa anterior: 000027016 Material: METALICO. ACERO INOX. Color: GRIS Referencia:  Observacion:  Placa padre: Tipo adquisicion: Entidad"</f>
        <v>Descripcion: MESA PUENTE PARA ALIMENTACION CON DOBLE SOPORTE Estado: Bueno Placa anterior: 000027016 Material: METALICO. ACERO INOX. Color: GRIS Referencia:  Observacion:  Placa padre: Tipo adquisicion: Entidad</v>
      </c>
      <c r="G265" s="5"/>
    </row>
    <row r="266" spans="1:7" ht="58.5" customHeight="1" x14ac:dyDescent="0.25">
      <c r="A266" s="5" t="str">
        <f>"H0008732"</f>
        <v>H0008732</v>
      </c>
      <c r="B266" s="5" t="str">
        <f>"MESA PUENTE (ALIMENTACION) (INSTRUMENTAL)"</f>
        <v>MESA PUENTE (ALIMENTACION) (INSTRUMENTAL)</v>
      </c>
      <c r="C266" s="6">
        <v>15000</v>
      </c>
      <c r="D266" s="5"/>
      <c r="E266" s="5" t="str">
        <f t="shared" si="9"/>
        <v>ACTISALUD-MEDICINA INTERNA- PISO 7</v>
      </c>
      <c r="F266" s="5" t="str">
        <f>"Descripcion: MESA PUENTE PARA ALIMENTACION CON DOBLE SOPORTE Estado: Bueno Placa anterior: 000027017 Material: METALICO. ACERO INOX. Color: GRIS Referencia:  Observacion:  Placa padre: Tipo adquisicion: Entidad"</f>
        <v>Descripcion: MESA PUENTE PARA ALIMENTACION CON DOBLE SOPORTE Estado: Bueno Placa anterior: 000027017 Material: METALICO. ACERO INOX. Color: GRIS Referencia:  Observacion:  Placa padre: Tipo adquisicion: Entidad</v>
      </c>
      <c r="G266" s="5"/>
    </row>
    <row r="267" spans="1:7" ht="58.5" customHeight="1" x14ac:dyDescent="0.25">
      <c r="A267" s="5" t="str">
        <f>"H0008736"</f>
        <v>H0008736</v>
      </c>
      <c r="B267" s="5" t="str">
        <f>"SILLA PLASTICA CON BRAZOS"</f>
        <v>SILLA PLASTICA CON BRAZOS</v>
      </c>
      <c r="C267" s="6">
        <v>12240.32</v>
      </c>
      <c r="D267" s="5"/>
      <c r="E267" s="5" t="str">
        <f t="shared" si="9"/>
        <v>ACTISALUD-MEDICINA INTERNA- PISO 7</v>
      </c>
      <c r="F267" s="5" t="str">
        <f>"Descripcion: SILLA PLASTICA BLANCA Estado: Bueno Placa anterior: 000004537 Material: PLASTICO Color: BLANCO Referencia:  Observacion:  Placa padre: Tipo adquisicion: Entidad"</f>
        <v>Descripcion: SILLA PLASTICA BLANCA Estado: Bueno Placa anterior: 000004537 Material: PLASTICO Color: BLANCO Referencia:  Observacion:  Placa padre: Tipo adquisicion: Entidad</v>
      </c>
      <c r="G267" s="5"/>
    </row>
    <row r="268" spans="1:7" ht="58.5" customHeight="1" x14ac:dyDescent="0.25">
      <c r="A268" s="5" t="str">
        <f>"H0008737"</f>
        <v>H0008737</v>
      </c>
      <c r="B268" s="5" t="str">
        <f>"SILLA PLASTICA CON BRAZOS"</f>
        <v>SILLA PLASTICA CON BRAZOS</v>
      </c>
      <c r="C268" s="6">
        <v>12240.32</v>
      </c>
      <c r="D268" s="5"/>
      <c r="E268" s="5" t="str">
        <f t="shared" si="9"/>
        <v>ACTISALUD-MEDICINA INTERNA- PISO 7</v>
      </c>
      <c r="F268" s="5" t="str">
        <f>"Descripcion: SILLA PLASTICA BLANCA Estado: Bueno Placa anterior: 000004089 Material: PLASTICO Color: BLANCO Referencia:  Observacion:  Placa padre: Tipo adquisicion: Entidad"</f>
        <v>Descripcion: SILLA PLASTICA BLANCA Estado: Bueno Placa anterior: 000004089 Material: PLASTICO Color: BLANCO Referencia:  Observacion:  Placa padre: Tipo adquisicion: Entidad</v>
      </c>
      <c r="G268" s="5"/>
    </row>
    <row r="269" spans="1:7" ht="58.5" customHeight="1" x14ac:dyDescent="0.25">
      <c r="A269" s="5" t="str">
        <f>"H0008742"</f>
        <v>H0008742</v>
      </c>
      <c r="B269" s="5" t="str">
        <f>"ESCALERILLA DE 2 PASOS"</f>
        <v>ESCALERILLA DE 2 PASOS</v>
      </c>
      <c r="C269" s="6">
        <v>100000</v>
      </c>
      <c r="D269" s="5" t="s">
        <v>49</v>
      </c>
      <c r="E269" s="5" t="str">
        <f t="shared" si="9"/>
        <v>ACTISALUD-MEDICINA INTERNA- PISO 7</v>
      </c>
      <c r="F269" s="5" t="str">
        <f>"Descripcion: ESCALERILLA DE DOS PASO EN TUBO REDONDO Estado: Bueno Placa anterior: 000029992 Material: METALICO CON PASOS EN MADERA Color: BLANCO Referencia:  Observacion:  Placa padre: Tipo adquisicion: Entidad"</f>
        <v>Descripcion: ESCALERILLA DE DOS PASO EN TUBO REDONDO Estado: Bueno Placa anterior: 000029992 Material: METALICO CON PASOS EN MADERA Color: BLANCO Referencia:  Observacion:  Placa padre: Tipo adquisicion: Entidad</v>
      </c>
      <c r="G269" s="5"/>
    </row>
    <row r="270" spans="1:7" ht="58.5" customHeight="1" x14ac:dyDescent="0.25">
      <c r="A270" s="5" t="str">
        <f>"H0008747"</f>
        <v>H0008747</v>
      </c>
      <c r="B270" s="5" t="str">
        <f>"CAMILLA FIJA (TIPO DIVAN)"</f>
        <v>CAMILLA FIJA (TIPO DIVAN)</v>
      </c>
      <c r="C270" s="6">
        <v>3125</v>
      </c>
      <c r="D270" s="5"/>
      <c r="E270" s="5" t="str">
        <f t="shared" ref="E270:E333" si="11">"ACTISALUD-MEDICINA INTERNA- PISO 7"</f>
        <v>ACTISALUD-MEDICINA INTERNA- PISO 7</v>
      </c>
      <c r="F270" s="5" t="str">
        <f>"Descripcion: CAMILLA FIJA METALICA Estado: Bueno Placa anterior: 000027033 Material: METALICO, TAPIZADO Color: BEIGE CON NEGRO Referencia:  Observacion:  Placa padre: Tipo adquisicion: Entidad"</f>
        <v>Descripcion: CAMILLA FIJA METALICA Estado: Bueno Placa anterior: 000027033 Material: METALICO, TAPIZADO Color: BEIGE CON NEGRO Referencia:  Observacion:  Placa padre: Tipo adquisicion: Entidad</v>
      </c>
      <c r="G270" s="5"/>
    </row>
    <row r="271" spans="1:7" ht="58.5" customHeight="1" x14ac:dyDescent="0.25">
      <c r="A271" s="5" t="str">
        <f>"H0008749"</f>
        <v>H0008749</v>
      </c>
      <c r="B271" s="5" t="str">
        <f>"SILLA PLASTICA CON BRAZOS"</f>
        <v>SILLA PLASTICA CON BRAZOS</v>
      </c>
      <c r="C271" s="6">
        <v>12240.32</v>
      </c>
      <c r="D271" s="5"/>
      <c r="E271" s="5" t="str">
        <f t="shared" si="11"/>
        <v>ACTISALUD-MEDICINA INTERNA- PISO 7</v>
      </c>
      <c r="F271" s="5" t="str">
        <f>"Descripcion: SILLA PLASTICA CON BRAZOS Estado: Bueno Placa anterior: 000004323 Material: PLASTICO Color: BLANCO Referencia:  Observacion:  Placa padre: Tipo adquisicion: Entidad"</f>
        <v>Descripcion: SILLA PLASTICA CON BRAZOS Estado: Bueno Placa anterior: 000004323 Material: PLASTICO Color: BLANCO Referencia:  Observacion:  Placa padre: Tipo adquisicion: Entidad</v>
      </c>
      <c r="G271" s="5"/>
    </row>
    <row r="272" spans="1:7" ht="58.5" customHeight="1" x14ac:dyDescent="0.25">
      <c r="A272" s="5" t="str">
        <f>"H0008750"</f>
        <v>H0008750</v>
      </c>
      <c r="B272" s="5" t="str">
        <f>"POTE (TARRO) ACERO INXODABLE CON TAPA PEQUEÑO"</f>
        <v>POTE (TARRO) ACERO INXODABLE CON TAPA PEQUEÑO</v>
      </c>
      <c r="C272" s="6">
        <v>5548.53</v>
      </c>
      <c r="D272" s="5"/>
      <c r="E272" s="5" t="str">
        <f t="shared" si="11"/>
        <v>ACTISALUD-MEDICINA INTERNA- PISO 7</v>
      </c>
      <c r="F272" s="5" t="str">
        <f>"Descripcion: POTE (TARRO) ACERO INXODABLE CON TAPA PEQUEÑO Estado: Bueno Placa anterior: 000004115 Material: ACERO INOX. Color:  Referencia:  Observacion:  Placa padre: Tipo adquisicion: Entidad"</f>
        <v>Descripcion: POTE (TARRO) ACERO INXODABLE CON TAPA PEQUEÑO Estado: Bueno Placa anterior: 000004115 Material: ACERO INOX. Color:  Referencia:  Observacion:  Placa padre: Tipo adquisicion: Entidad</v>
      </c>
      <c r="G272" s="5"/>
    </row>
    <row r="273" spans="1:7" ht="58.5" customHeight="1" x14ac:dyDescent="0.25">
      <c r="A273" s="5" t="str">
        <f>"H0008751"</f>
        <v>H0008751</v>
      </c>
      <c r="B273" s="5" t="str">
        <f>"ESTABILIZADOR  PARA COMPUTADOR"</f>
        <v>ESTABILIZADOR  PARA COMPUTADOR</v>
      </c>
      <c r="C273" s="6">
        <v>81625.899999999994</v>
      </c>
      <c r="D273" s="5"/>
      <c r="E273" s="5" t="str">
        <f t="shared" si="11"/>
        <v>ACTISALUD-MEDICINA INTERNA- PISO 7</v>
      </c>
      <c r="F273" s="5" t="str">
        <f>"Descripcion: ESTABILIZADOR PARA COMPUTADOR 5 TOMACORRIENTE Estado: Bueno Placa anterior: 000004646 Material: PLASTICO Color: NEGRO Referencia:  Observacion:  Placa padre: Tipo adquisicion: Entidad"</f>
        <v>Descripcion: ESTABILIZADOR PARA COMPUTADOR 5 TOMACORRIENTE Estado: Bueno Placa anterior: 000004646 Material: PLASTICO Color: NEGRO Referencia:  Observacion:  Placa padre: Tipo adquisicion: Entidad</v>
      </c>
      <c r="G273" s="5"/>
    </row>
    <row r="274" spans="1:7" ht="58.5" customHeight="1" x14ac:dyDescent="0.25">
      <c r="A274" s="5" t="str">
        <f>"H0008752"</f>
        <v>H0008752</v>
      </c>
      <c r="B274" s="5" t="str">
        <f>"NEBULIZADOR PORTATIL"</f>
        <v>NEBULIZADOR PORTATIL</v>
      </c>
      <c r="C274" s="6">
        <v>1204197</v>
      </c>
      <c r="D274" s="5" t="s">
        <v>55</v>
      </c>
      <c r="E274" s="5" t="str">
        <f t="shared" si="11"/>
        <v>ACTISALUD-MEDICINA INTERNA- PISO 7</v>
      </c>
      <c r="F274" s="5" t="str">
        <f>"Descripcion: NEBULIZADOR 1145 THOMAS INCLUYE: 6 KIT DE NEBULIZACION ADULTO Y 6 KIT DE NEBULIZACION PEDIATRICA Estado: Bueno Placa anterior: 000030325 Material: METALICO Color: GRIS Referencia:  Observacion:  Placa padre: Tipo adquisicion: Donacion"</f>
        <v>Descripcion: NEBULIZADOR 1145 THOMAS INCLUYE: 6 KIT DE NEBULIZACION ADULTO Y 6 KIT DE NEBULIZACION PEDIATRICA Estado: Bueno Placa anterior: 000030325 Material: METALICO Color: GRIS Referencia:  Observacion:  Placa padre: Tipo adquisicion: Donacion</v>
      </c>
      <c r="G274" s="5"/>
    </row>
    <row r="275" spans="1:7" ht="58.5" customHeight="1" x14ac:dyDescent="0.25">
      <c r="A275" s="5" t="str">
        <f>"H0008753"</f>
        <v>H0008753</v>
      </c>
      <c r="B275" s="5" t="str">
        <f>"VENTILADOR DE PARED"</f>
        <v>VENTILADOR DE PARED</v>
      </c>
      <c r="C275" s="6">
        <v>72477.5</v>
      </c>
      <c r="D275" s="5" t="s">
        <v>54</v>
      </c>
      <c r="E275" s="5" t="str">
        <f t="shared" si="11"/>
        <v>ACTISALUD-MEDICINA INTERNA- PISO 7</v>
      </c>
      <c r="F275" s="5" t="str">
        <f>"Descripcion: VENTILADOR DE PARED VENTILADOR DE PARED REF. 987181 SILENC. CON GARANTIA DE UN AÑO POR PARTE DEL FABRICANTE Estado: Malo Placa anterior: 000037133 Material: PLASTICO Color: BLANCO Referencia:  Observacion:  Placa padre: Tipo adquisicion: Enti"&amp; "dad"</f>
        <v>Descripcion: VENTILADOR DE PARED VENTILADOR DE PARED REF. 987181 SILENC. CON GARANTIA DE UN AÑO POR PARTE DEL FABRICANTE Estado: Malo Placa anterior: 000037133 Material: PLASTICO Color: BLANCO Referencia:  Observacion:  Placa padre: Tipo adquisicion: Entidad</v>
      </c>
      <c r="G275" s="5"/>
    </row>
    <row r="276" spans="1:7" ht="58.5" customHeight="1" x14ac:dyDescent="0.25">
      <c r="A276" s="5" t="str">
        <f>"H0008758"</f>
        <v>H0008758</v>
      </c>
      <c r="B276" s="5" t="str">
        <f>"CARRO TRANSPORTE DE MEDICAMENTOS"</f>
        <v>CARRO TRANSPORTE DE MEDICAMENTOS</v>
      </c>
      <c r="C276" s="6">
        <v>1250000</v>
      </c>
      <c r="D276" s="5"/>
      <c r="E276" s="5" t="str">
        <f t="shared" si="11"/>
        <v>ACTISALUD-MEDICINA INTERNA- PISO 7</v>
      </c>
      <c r="F276" s="5" t="str">
        <f>"Descripcion: CARRO DE TRANSPORTE DE MEDICAMENTOS MARCA HOSPITECH/NACIONAL MODELO 182-32 FABRICADO EN TUBERIA REDONDA DE 7/8 DIMENSIONES LARGO 84 CM ANCHO 52 CM ALTO 88 CM. Estado: Bueno Placa anterior: 000032863 Material: METALICO Color: BEIGE Referencia:"&amp; "  Observacion:  Placa padre: Tipo adquisicion: Entidad"</f>
        <v>Descripcion: CARRO DE TRANSPORTE DE MEDICAMENTOS MARCA HOSPITECH/NACIONAL MODELO 182-32 FABRICADO EN TUBERIA REDONDA DE 7/8 DIMENSIONES LARGO 84 CM ANCHO 52 CM ALTO 88 CM. Estado: Bueno Placa anterior: 000032863 Material: METALICO Color: BEIGE Referencia:  Observacion:  Placa padre: Tipo adquisicion: Entidad</v>
      </c>
      <c r="G276" s="5"/>
    </row>
    <row r="277" spans="1:7" ht="58.5" customHeight="1" x14ac:dyDescent="0.25">
      <c r="A277" s="5" t="str">
        <f>"H0008764"</f>
        <v>H0008764</v>
      </c>
      <c r="B277" s="5" t="str">
        <f>"BIOMBO METALICO DE 3 CUERPOS"</f>
        <v>BIOMBO METALICO DE 3 CUERPOS</v>
      </c>
      <c r="C277" s="6">
        <v>9240</v>
      </c>
      <c r="D277" s="5"/>
      <c r="E277" s="5" t="str">
        <f t="shared" si="11"/>
        <v>ACTISALUD-MEDICINA INTERNA- PISO 7</v>
      </c>
      <c r="F277" s="5" t="str">
        <f>"Descripcion: BIOMBO METALICO DE 3 CUERPOS Estado: Bueno Placa anterior: 000004613 Material: METALICO Color: BEIGE Referencia:  Observacion:  Placa padre: Tipo adquisicion: Entidad"</f>
        <v>Descripcion: BIOMBO METALICO DE 3 CUERPOS Estado: Bueno Placa anterior: 000004613 Material: METALICO Color: BEIGE Referencia:  Observacion:  Placa padre: Tipo adquisicion: Entidad</v>
      </c>
      <c r="G277" s="5"/>
    </row>
    <row r="278" spans="1:7" ht="58.5" customHeight="1" x14ac:dyDescent="0.25">
      <c r="A278" s="5" t="str">
        <f>"H0008767"</f>
        <v>H0008767</v>
      </c>
      <c r="B278" s="5" t="str">
        <f>"BALA OXIGENO"</f>
        <v>BALA OXIGENO</v>
      </c>
      <c r="C278" s="6">
        <v>700000</v>
      </c>
      <c r="D278" s="5"/>
      <c r="E278" s="5" t="str">
        <f t="shared" si="11"/>
        <v>ACTISALUD-MEDICINA INTERNA- PISO 7</v>
      </c>
      <c r="F278" s="5" t="str">
        <f>"Descripcion: BALA DE OXIGENO CON REGULADOR PEQUEÑO Estado: Bueno Placa anterior: 000032865 Material: METALICO Color: BLANCO Referencia:  Observacion:  Placa padre: Tipo adquisicion: Entidad"</f>
        <v>Descripcion: BALA DE OXIGENO CON REGULADOR PEQUEÑO Estado: Bueno Placa anterior: 000032865 Material: METALICO Color: BLANCO Referencia:  Observacion:  Placa padre: Tipo adquisicion: Entidad</v>
      </c>
      <c r="G278" s="5"/>
    </row>
    <row r="279" spans="1:7" ht="58.5" customHeight="1" x14ac:dyDescent="0.25">
      <c r="A279" s="5" t="str">
        <f>"H0008768"</f>
        <v>H0008768</v>
      </c>
      <c r="B279" s="5" t="str">
        <f>"CARRO DE PARO"</f>
        <v>CARRO DE PARO</v>
      </c>
      <c r="C279" s="6">
        <v>2552000</v>
      </c>
      <c r="D279" s="5"/>
      <c r="E279" s="5" t="str">
        <f t="shared" si="11"/>
        <v>ACTISALUD-MEDICINA INTERNA- PISO 7</v>
      </c>
      <c r="F279" s="5" t="str">
        <f>"Descripcion: CARRO DE PARO SENCILLO MODELO 181-34 Estado: Bueno Placa anterior: 000026461 Material: METALICO Color: BEIGE Referencia:  Observacion:  Placa padre: Tipo adquisicion: Entidad"</f>
        <v>Descripcion: CARRO DE PARO SENCILLO MODELO 181-34 Estado: Bueno Placa anterior: 000026461 Material: METALICO Color: BEIGE Referencia:  Observacion:  Placa padre: Tipo adquisicion: Entidad</v>
      </c>
      <c r="G279" s="5"/>
    </row>
    <row r="280" spans="1:7" ht="58.5" customHeight="1" x14ac:dyDescent="0.25">
      <c r="A280" s="5" t="str">
        <f>"H0008770"</f>
        <v>H0008770</v>
      </c>
      <c r="B280" s="5" t="str">
        <f>"SILLA PLASTICA CON BRAZOS"</f>
        <v>SILLA PLASTICA CON BRAZOS</v>
      </c>
      <c r="C280" s="6">
        <v>12240.32</v>
      </c>
      <c r="D280" s="5"/>
      <c r="E280" s="5" t="str">
        <f t="shared" si="11"/>
        <v>ACTISALUD-MEDICINA INTERNA- PISO 7</v>
      </c>
      <c r="F280" s="5" t="str">
        <f>"Descripcion: SILLA PLASTICA CON BRAZOS Estado: Bueno Placa anterior: 000004448 Material: PLASTICO Color: BLANCO Referencia:  Observacion:  Placa padre: Tipo adquisicion: Entidad"</f>
        <v>Descripcion: SILLA PLASTICA CON BRAZOS Estado: Bueno Placa anterior: 000004448 Material: PLASTICO Color: BLANCO Referencia:  Observacion:  Placa padre: Tipo adquisicion: Entidad</v>
      </c>
      <c r="G280" s="5"/>
    </row>
    <row r="281" spans="1:7" ht="58.5" customHeight="1" x14ac:dyDescent="0.25">
      <c r="A281" s="5" t="str">
        <f>"H0009627"</f>
        <v>H0009627</v>
      </c>
      <c r="B281" s="5" t="str">
        <f>"VITRINA DE 1 CUERPO"</f>
        <v>VITRINA DE 1 CUERPO</v>
      </c>
      <c r="C281" s="6">
        <v>20790</v>
      </c>
      <c r="D281" s="5"/>
      <c r="E281" s="5" t="str">
        <f t="shared" si="11"/>
        <v>ACTISALUD-MEDICINA INTERNA- PISO 7</v>
      </c>
      <c r="F281" s="5" t="str">
        <f>"Descripcion: VITRINA DE UN CUERPO Estado: Bueno Placa anterior: 000004576 Material: METAL Y VIDRIO Color: GRIS Referencia:  Observacion:  Placa padre: Tipo adquisicion: Entidad"</f>
        <v>Descripcion: VITRINA DE UN CUERPO Estado: Bueno Placa anterior: 000004576 Material: METAL Y VIDRIO Color: GRIS Referencia:  Observacion:  Placa padre: Tipo adquisicion: Entidad</v>
      </c>
      <c r="G281" s="5"/>
    </row>
    <row r="282" spans="1:7" ht="58.5" customHeight="1" x14ac:dyDescent="0.25">
      <c r="A282" s="5" t="str">
        <f>"H0009630"</f>
        <v>H0009630</v>
      </c>
      <c r="B282" s="5" t="str">
        <f>"SILLA PLASTICA CON BRAZOS"</f>
        <v>SILLA PLASTICA CON BRAZOS</v>
      </c>
      <c r="C282" s="6">
        <v>12240.32</v>
      </c>
      <c r="D282" s="5"/>
      <c r="E282" s="5" t="str">
        <f t="shared" si="11"/>
        <v>ACTISALUD-MEDICINA INTERNA- PISO 7</v>
      </c>
      <c r="F282" s="5" t="str">
        <f>"Descripcion: SILLA PLASTICA BLANCA Estado: Bueno Placa anterior: 000004298 Material: PLASTICO Color: BLANCO Referencia:  Observacion:  Placa padre: Tipo adquisicion: Entidad"</f>
        <v>Descripcion: SILLA PLASTICA BLANCA Estado: Bueno Placa anterior: 000004298 Material: PLASTICO Color: BLANCO Referencia:  Observacion:  Placa padre: Tipo adquisicion: Entidad</v>
      </c>
      <c r="G282" s="5"/>
    </row>
    <row r="283" spans="1:7" ht="58.5" customHeight="1" x14ac:dyDescent="0.25">
      <c r="A283" s="5" t="str">
        <f>"H0009639"</f>
        <v>H0009639</v>
      </c>
      <c r="B283" s="5" t="str">
        <f>"POTE (TARRO) ACERO INXODABLE CON TAPA MEDIANO"</f>
        <v>POTE (TARRO) ACERO INXODABLE CON TAPA MEDIANO</v>
      </c>
      <c r="C283" s="6">
        <v>5548.53</v>
      </c>
      <c r="D283" s="5"/>
      <c r="E283" s="5" t="str">
        <f t="shared" si="11"/>
        <v>ACTISALUD-MEDICINA INTERNA- PISO 7</v>
      </c>
      <c r="F283" s="5" t="str">
        <f>"Descripcion: TARRO EN ACERO INOXIDABLE Estado: Bueno Placa anterior: 000004678 Material: ACERO INOXIDABLE Color: PLATEADO Referencia:  Observacion:  Placa padre: Tipo adquisicion: Entidad"</f>
        <v>Descripcion: TARRO EN ACERO INOXIDABLE Estado: Bueno Placa anterior: 000004678 Material: ACERO INOXIDABLE Color: PLATEADO Referencia:  Observacion:  Placa padre: Tipo adquisicion: Entidad</v>
      </c>
      <c r="G283" s="5"/>
    </row>
    <row r="284" spans="1:7" ht="58.5" customHeight="1" x14ac:dyDescent="0.25">
      <c r="A284" s="5" t="str">
        <f>"H0009855"</f>
        <v>H0009855</v>
      </c>
      <c r="B284" s="5" t="str">
        <f>"PATO (PISINGO) HOMBRE"</f>
        <v>PATO (PISINGO) HOMBRE</v>
      </c>
      <c r="C284" s="6">
        <v>57246</v>
      </c>
      <c r="D284" s="5"/>
      <c r="E284" s="5" t="str">
        <f t="shared" si="11"/>
        <v>ACTISALUD-MEDICINA INTERNA- PISO 7</v>
      </c>
      <c r="F284" s="5" t="str">
        <f>"Descripcion: . Estado: Bueno Placa anterior: 000004029 Material: ACERO INOXIDABLE Color:  Referencia:  Observacion:  Placa padre: Tipo adquisicion: Entidad"</f>
        <v>Descripcion: . Estado: Bueno Placa anterior: 000004029 Material: ACERO INOXIDABLE Color:  Referencia:  Observacion:  Placa padre: Tipo adquisicion: Entidad</v>
      </c>
      <c r="G284" s="5"/>
    </row>
    <row r="285" spans="1:7" ht="58.5" customHeight="1" x14ac:dyDescent="0.25">
      <c r="A285" s="5" t="str">
        <f>"H0009860"</f>
        <v>H0009860</v>
      </c>
      <c r="B285" s="5" t="str">
        <f>"PATO (COPROLOGICO) MUJER"</f>
        <v>PATO (COPROLOGICO) MUJER</v>
      </c>
      <c r="C285" s="6">
        <v>47823</v>
      </c>
      <c r="D285" s="5"/>
      <c r="E285" s="5" t="str">
        <f t="shared" si="11"/>
        <v>ACTISALUD-MEDICINA INTERNA- PISO 7</v>
      </c>
      <c r="F285" s="5" t="str">
        <f>"Descripcion: PATO COPROLOGICO Estado: Bueno Placa anterior: 000019873 Material: ACERO INOXIDABLE Color:  Referencia:  Observacion:  Placa padre: Tipo adquisicion: Entidad"</f>
        <v>Descripcion: PATO COPROLOGICO Estado: Bueno Placa anterior: 000019873 Material: ACERO INOXIDABLE Color:  Referencia:  Observacion:  Placa padre: Tipo adquisicion: Entidad</v>
      </c>
      <c r="G285" s="5"/>
    </row>
    <row r="286" spans="1:7" ht="58.5" customHeight="1" x14ac:dyDescent="0.25">
      <c r="A286" s="5" t="str">
        <f>"H0009863"</f>
        <v>H0009863</v>
      </c>
      <c r="B286" s="5" t="str">
        <f>"PATO (COPROLOGICO) MUJER"</f>
        <v>PATO (COPROLOGICO) MUJER</v>
      </c>
      <c r="C286" s="6">
        <v>9821.3799999999992</v>
      </c>
      <c r="D286" s="5"/>
      <c r="E286" s="5" t="str">
        <f t="shared" si="11"/>
        <v>ACTISALUD-MEDICINA INTERNA- PISO 7</v>
      </c>
      <c r="F286" s="5" t="str">
        <f>"Descripcion: PATO COPROLOGICO Estado: Bueno Placa anterior: 000004033 Material: ACERO INOXIDABLE Color:  Referencia:  Observacion:  Placa padre: Tipo adquisicion: Entidad"</f>
        <v>Descripcion: PATO COPROLOGICO Estado: Bueno Placa anterior: 000004033 Material: ACERO INOXIDABLE Color:  Referencia:  Observacion:  Placa padre: Tipo adquisicion: Entidad</v>
      </c>
      <c r="G286" s="5"/>
    </row>
    <row r="287" spans="1:7" ht="58.5" customHeight="1" x14ac:dyDescent="0.25">
      <c r="A287" s="5" t="str">
        <f>"H0009869"</f>
        <v>H0009869</v>
      </c>
      <c r="B287" s="5" t="str">
        <f>"PATO (COPROLOGICO) MUJER"</f>
        <v>PATO (COPROLOGICO) MUJER</v>
      </c>
      <c r="C287" s="6">
        <v>9821.3799999999992</v>
      </c>
      <c r="D287" s="5"/>
      <c r="E287" s="5" t="str">
        <f t="shared" si="11"/>
        <v>ACTISALUD-MEDICINA INTERNA- PISO 7</v>
      </c>
      <c r="F287" s="5" t="str">
        <f>"Descripcion: PATO COPROLOGICO Estado: Bueno Placa anterior: 000004483 Material: ACERO INOXIDABLE Color:  Referencia:  Observacion:  Placa padre: Tipo adquisicion: Entidad"</f>
        <v>Descripcion: PATO COPROLOGICO Estado: Bueno Placa anterior: 000004483 Material: ACERO INOXIDABLE Color:  Referencia:  Observacion:  Placa padre: Tipo adquisicion: Entidad</v>
      </c>
      <c r="G287" s="5"/>
    </row>
    <row r="288" spans="1:7" ht="58.5" customHeight="1" x14ac:dyDescent="0.25">
      <c r="A288" s="5" t="str">
        <f>"H0009870"</f>
        <v>H0009870</v>
      </c>
      <c r="B288" s="5" t="str">
        <f>"PATO (PISINGO) HOMBRE"</f>
        <v>PATO (PISINGO) HOMBRE</v>
      </c>
      <c r="C288" s="6">
        <v>57246</v>
      </c>
      <c r="D288" s="5"/>
      <c r="E288" s="5" t="str">
        <f t="shared" si="11"/>
        <v>ACTISALUD-MEDICINA INTERNA- PISO 7</v>
      </c>
      <c r="F288" s="5" t="str">
        <f>"Descripcion: . Estado: Bueno Placa anterior: 000004031 Material: ACERO INOXIDABLE Color:  Referencia:  Observacion:  Placa padre: Tipo adquisicion: Entidad"</f>
        <v>Descripcion: . Estado: Bueno Placa anterior: 000004031 Material: ACERO INOXIDABLE Color:  Referencia:  Observacion:  Placa padre: Tipo adquisicion: Entidad</v>
      </c>
      <c r="G288" s="5"/>
    </row>
    <row r="289" spans="1:7" ht="58.5" customHeight="1" x14ac:dyDescent="0.25">
      <c r="A289" s="5" t="str">
        <f>"H0009874"</f>
        <v>H0009874</v>
      </c>
      <c r="B289" s="5" t="str">
        <f>"PATO (COPROLOGICO) MUJER"</f>
        <v>PATO (COPROLOGICO) MUJER</v>
      </c>
      <c r="C289" s="6">
        <v>9821.3799999999992</v>
      </c>
      <c r="D289" s="5"/>
      <c r="E289" s="5" t="str">
        <f t="shared" si="11"/>
        <v>ACTISALUD-MEDICINA INTERNA- PISO 7</v>
      </c>
      <c r="F289" s="5" t="str">
        <f>"Descripcion: PATO COPROLOGICO Estado: Bueno Placa anterior: 000004097 Material: ACERO INOXIDABLE Color:  Referencia:  Observacion:  Placa padre: Tipo adquisicion: Entidad"</f>
        <v>Descripcion: PATO COPROLOGICO Estado: Bueno Placa anterior: 000004097 Material: ACERO INOXIDABLE Color:  Referencia:  Observacion:  Placa padre: Tipo adquisicion: Entidad</v>
      </c>
      <c r="G289" s="5"/>
    </row>
    <row r="290" spans="1:7" ht="58.5" customHeight="1" x14ac:dyDescent="0.25">
      <c r="A290" s="5" t="str">
        <f>"H0009881"</f>
        <v>H0009881</v>
      </c>
      <c r="B290" s="5" t="str">
        <f>"PATO (COPROLOGICO) MUJER"</f>
        <v>PATO (COPROLOGICO) MUJER</v>
      </c>
      <c r="C290" s="6">
        <v>9821.3799999999992</v>
      </c>
      <c r="D290" s="5"/>
      <c r="E290" s="5" t="str">
        <f t="shared" si="11"/>
        <v>ACTISALUD-MEDICINA INTERNA- PISO 7</v>
      </c>
      <c r="F290" s="5" t="str">
        <f>"Descripcion: PATO COPROLOGICO Estado: Bueno Placa anterior: 000004424 Material: ACERO INOXIDABLE Color:  Referencia:  Observacion:  Placa padre: Tipo adquisicion: Entidad"</f>
        <v>Descripcion: PATO COPROLOGICO Estado: Bueno Placa anterior: 000004424 Material: ACERO INOXIDABLE Color:  Referencia:  Observacion:  Placa padre: Tipo adquisicion: Entidad</v>
      </c>
      <c r="G290" s="5"/>
    </row>
    <row r="291" spans="1:7" ht="58.5" customHeight="1" x14ac:dyDescent="0.25">
      <c r="A291" s="5" t="str">
        <f>"H0009882"</f>
        <v>H0009882</v>
      </c>
      <c r="B291" s="5" t="str">
        <f>"PATO (COPROLOGICO) MUJER"</f>
        <v>PATO (COPROLOGICO) MUJER</v>
      </c>
      <c r="C291" s="6">
        <v>9821.3799999999992</v>
      </c>
      <c r="D291" s="5"/>
      <c r="E291" s="5" t="str">
        <f t="shared" si="11"/>
        <v>ACTISALUD-MEDICINA INTERNA- PISO 7</v>
      </c>
      <c r="F291" s="5" t="str">
        <f>"Descripcion: PATO COPROLOGICO Estado: Bueno Placa anterior: 000004486 Material: ACERO INOXIDABLE Color:  Referencia:  Observacion:  Placa padre: Tipo adquisicion: Entidad"</f>
        <v>Descripcion: PATO COPROLOGICO Estado: Bueno Placa anterior: 000004486 Material: ACERO INOXIDABLE Color:  Referencia:  Observacion:  Placa padre: Tipo adquisicion: Entidad</v>
      </c>
      <c r="G291" s="5"/>
    </row>
    <row r="292" spans="1:7" ht="58.5" customHeight="1" x14ac:dyDescent="0.25">
      <c r="A292" s="5" t="str">
        <f>"H0009883"</f>
        <v>H0009883</v>
      </c>
      <c r="B292" s="5" t="str">
        <f>"PATO (COPROLOGICO) MUJER"</f>
        <v>PATO (COPROLOGICO) MUJER</v>
      </c>
      <c r="C292" s="6">
        <v>9821.3799999999992</v>
      </c>
      <c r="D292" s="5"/>
      <c r="E292" s="5" t="str">
        <f t="shared" si="11"/>
        <v>ACTISALUD-MEDICINA INTERNA- PISO 7</v>
      </c>
      <c r="F292" s="5" t="str">
        <f>"Descripcion: PATO COPROLOGICO Estado: Bueno Placa anterior: 000004032 Material: ACERO INOXIDABLE Color:  Referencia:  Observacion:  Placa padre: Tipo adquisicion: Entidad"</f>
        <v>Descripcion: PATO COPROLOGICO Estado: Bueno Placa anterior: 000004032 Material: ACERO INOXIDABLE Color:  Referencia:  Observacion:  Placa padre: Tipo adquisicion: Entidad</v>
      </c>
      <c r="G292" s="5"/>
    </row>
    <row r="293" spans="1:7" ht="58.5" customHeight="1" x14ac:dyDescent="0.25">
      <c r="A293" s="5" t="str">
        <f>"H0009886"</f>
        <v>H0009886</v>
      </c>
      <c r="B293" s="5" t="str">
        <f>"CAMILLA DE TRASLADO CON BARANDAS"</f>
        <v>CAMILLA DE TRASLADO CON BARANDAS</v>
      </c>
      <c r="C293" s="6">
        <v>326895</v>
      </c>
      <c r="D293" s="5"/>
      <c r="E293" s="5" t="str">
        <f t="shared" si="11"/>
        <v>ACTISALUD-MEDICINA INTERNA- PISO 7</v>
      </c>
      <c r="F293" s="5" t="str">
        <f>"Descripcion: CAMILLA DERECUPERACION Estado: Bueno Placa anterior: 000028674 Material: METALICO Color: GRIS Referencia:  Observacion:  Placa padre: Tipo adquisicion: Entidad"</f>
        <v>Descripcion: CAMILLA DERECUPERACION Estado: Bueno Placa anterior: 000028674 Material: METALICO Color: GRIS Referencia:  Observacion:  Placa padre: Tipo adquisicion: Entidad</v>
      </c>
      <c r="G293" s="5"/>
    </row>
    <row r="294" spans="1:7" ht="58.5" customHeight="1" x14ac:dyDescent="0.25">
      <c r="A294" s="5" t="str">
        <f>"H0009887"</f>
        <v>H0009887</v>
      </c>
      <c r="B294" s="5" t="str">
        <f>"CAMILLA DE TRASLADO CON BARANDAS"</f>
        <v>CAMILLA DE TRASLADO CON BARANDAS</v>
      </c>
      <c r="C294" s="6">
        <v>1624000</v>
      </c>
      <c r="D294" s="5"/>
      <c r="E294" s="5" t="str">
        <f t="shared" si="11"/>
        <v>ACTISALUD-MEDICINA INTERNA- PISO 7</v>
      </c>
      <c r="F294" s="5" t="str">
        <f>"Descripcion: CAMILLA DERECUPERACION Estado: Bueno Placa anterior: 000025200 Material: METALICO Color: BEIGE Referencia:  Observacion: CAMILLA DE TRANSPORTE Y RECUPERACION DE TRES PLANOS REF. 123-01. ESPECIFICACIONES: FABRICADA EN TUBERIA REDONDA 1 Y 7/8 P"&amp; "LATO EN LAMINA COLL-ROLLED Y MARCO EN TUBERIA REDONDA DE 7/8 CON REFUERZOS ADICIONALES, ESPALDAR GRADUALBLE POR SISTEMA DE AHORCADOR CON DIVERSAS POSICIONES DE 0 A 90 GRADOS CON VARILLA PORTA SUEROS. rODOS DE 5. DE DIAMETRO (DOS CON FRENO), COLCHONETA EN "&amp; "ESPUMA DE 5 CM ES PESOR Y TAPIZADO EN CORDOBAN LAVABLE, BANDEJA EN LA PARTE INFERIOR COLD ROLLER. bARANDAS DE SEGURIDAD EN TUBERIA DE 7/8 Y 5/8 CROMADAS Placa padre: Tipo adquisicion: Entidad"</f>
        <v>Descripcion: CAMILLA DERECUPERACION Estado: Bueno Placa anterior: 000025200 Material: METALICO Color: BEIGE Referencia:  Observacion: CAMILLA DE TRANSPORTE Y RECUPERACION DE TRES PLANOS REF. 123-01. ESPECIFICACIONES: FABRICADA EN TUBERIA REDONDA 1 Y 7/8 PLATO EN LAMINA COLL-ROLLED Y MARCO EN TUBERIA REDONDA DE 7/8 CON REFUERZOS ADICIONALES, ESPALDAR GRADUALBLE POR SISTEMA DE AHORCADOR CON DIVERSAS POSICIONES DE 0 A 90 GRADOS CON VARILLA PORTA SUEROS. rODOS DE 5. DE DIAMETRO (DOS CON FRENO), COLCHONETA EN ESPUMA DE 5 CM ES PESOR Y TAPIZADO EN CORDOBAN LAVABLE, BANDEJA EN LA PARTE INFERIOR COLD ROLLER. bARANDAS DE SEGURIDAD EN TUBERIA DE 7/8 Y 5/8 CROMADAS Placa padre: Tipo adquisicion: Entidad</v>
      </c>
      <c r="G294" s="5"/>
    </row>
    <row r="295" spans="1:7" ht="58.5" customHeight="1" x14ac:dyDescent="0.25">
      <c r="A295" s="5" t="str">
        <f>"H0009888"</f>
        <v>H0009888</v>
      </c>
      <c r="B295" s="5" t="str">
        <f>"MANOMETRO PARA OXIGENO"</f>
        <v>MANOMETRO PARA OXIGENO</v>
      </c>
      <c r="C295" s="6">
        <v>56051.53</v>
      </c>
      <c r="D295" s="5"/>
      <c r="E295" s="5" t="str">
        <f t="shared" si="11"/>
        <v>ACTISALUD-MEDICINA INTERNA- PISO 7</v>
      </c>
      <c r="F295" s="5" t="str">
        <f>"Descripcion: . Estado: Bueno Placa anterior: 000004698 Material: METALICO Color: GRIS VERDE Referencia:  Observacion:  Placa padre: Tipo adquisicion: Entidad"</f>
        <v>Descripcion: . Estado: Bueno Placa anterior: 000004698 Material: METALICO Color: GRIS VERDE Referencia:  Observacion:  Placa padre: Tipo adquisicion: Entidad</v>
      </c>
      <c r="G295" s="5"/>
    </row>
    <row r="296" spans="1:7" ht="58.5" customHeight="1" x14ac:dyDescent="0.25">
      <c r="A296" s="5" t="str">
        <f>"H0009890"</f>
        <v>H0009890</v>
      </c>
      <c r="B296" s="5" t="str">
        <f>"SILLA DE RUEDAS"</f>
        <v>SILLA DE RUEDAS</v>
      </c>
      <c r="C296" s="6">
        <v>650000</v>
      </c>
      <c r="D296" s="5"/>
      <c r="E296" s="5" t="str">
        <f t="shared" si="11"/>
        <v>ACTISALUD-MEDICINA INTERNA- PISO 7</v>
      </c>
      <c r="F296" s="5" t="str">
        <f>"Descripcion: SE ENCUENTRA SIN CAUCHO EN LAS LLANTES Y REPOSAPIES Estado: Malo Placa anterior: 000026178 Material: METALICO Color: GRIS NEGRO Referencia:  Observacion:  Placa padre: Tipo adquisicion: Entidad"</f>
        <v>Descripcion: SE ENCUENTRA SIN CAUCHO EN LAS LLANTES Y REPOSAPIES Estado: Malo Placa anterior: 000026178 Material: METALICO Color: GRIS NEGRO Referencia:  Observacion:  Placa padre: Tipo adquisicion: Entidad</v>
      </c>
      <c r="G296" s="5"/>
    </row>
    <row r="297" spans="1:7" ht="58.5" customHeight="1" x14ac:dyDescent="0.25">
      <c r="A297" s="5" t="str">
        <f>"H0009894"</f>
        <v>H0009894</v>
      </c>
      <c r="B297" s="5" t="str">
        <f>"ESCRITORIO METALICO 3 GAVETAS"</f>
        <v>ESCRITORIO METALICO 3 GAVETAS</v>
      </c>
      <c r="C297" s="6">
        <v>17058.63</v>
      </c>
      <c r="D297" s="5"/>
      <c r="E297" s="5" t="str">
        <f t="shared" si="11"/>
        <v>ACTISALUD-MEDICINA INTERNA- PISO 7</v>
      </c>
      <c r="F297" s="5" t="str">
        <f>"Descripcion: SUPERFICIE EN FORMICA Estado: Bueno Placa anterior: 000021605 Material: METALICO Color: GRIS Referencia:  Observacion:  Placa padre: Tipo adquisicion: Entidad"</f>
        <v>Descripcion: SUPERFICIE EN FORMICA Estado: Bueno Placa anterior: 000021605 Material: METALICO Color: GRIS Referencia:  Observacion:  Placa padre: Tipo adquisicion: Entidad</v>
      </c>
      <c r="G297" s="5"/>
    </row>
    <row r="298" spans="1:7" ht="58.5" customHeight="1" x14ac:dyDescent="0.25">
      <c r="A298" s="5" t="str">
        <f>"H0009896"</f>
        <v>H0009896</v>
      </c>
      <c r="B298" s="5" t="str">
        <f>"ESCRITORIO METALICO 3 GAVETAS"</f>
        <v>ESCRITORIO METALICO 3 GAVETAS</v>
      </c>
      <c r="C298" s="6">
        <v>17058.63</v>
      </c>
      <c r="D298" s="5"/>
      <c r="E298" s="5" t="str">
        <f t="shared" si="11"/>
        <v>ACTISALUD-MEDICINA INTERNA- PISO 7</v>
      </c>
      <c r="F298" s="5" t="str">
        <f>"Descripcion: ESCRITORIO DE 3 GAVETAS Estado: Bueno Placa anterior: 000027057 Material: METALICO Color: GRIS Referencia:  Observacion:  Placa padre: Tipo adquisicion: Entidad"</f>
        <v>Descripcion: ESCRITORIO DE 3 GAVETAS Estado: Bueno Placa anterior: 000027057 Material: METALICO Color: GRIS Referencia:  Observacion:  Placa padre: Tipo adquisicion: Entidad</v>
      </c>
      <c r="G298" s="5"/>
    </row>
    <row r="299" spans="1:7" ht="58.5" customHeight="1" x14ac:dyDescent="0.25">
      <c r="A299" s="5" t="str">
        <f>"H0009898"</f>
        <v>H0009898</v>
      </c>
      <c r="B299" s="5" t="str">
        <f>"SILLA PLASTICA CON BRAZOS"</f>
        <v>SILLA PLASTICA CON BRAZOS</v>
      </c>
      <c r="C299" s="6">
        <v>12240.32</v>
      </c>
      <c r="D299" s="5"/>
      <c r="E299" s="5" t="str">
        <f t="shared" si="11"/>
        <v>ACTISALUD-MEDICINA INTERNA- PISO 7</v>
      </c>
      <c r="F299" s="5" t="str">
        <f>"Descripcion: - Estado: Bueno Placa anterior: 000021608 Material: PASTA Color: AZUL Referencia:  Observacion:  Placa padre: Tipo adquisicion: Entidad"</f>
        <v>Descripcion: - Estado: Bueno Placa anterior: 000021608 Material: PASTA Color: AZUL Referencia:  Observacion:  Placa padre: Tipo adquisicion: Entidad</v>
      </c>
      <c r="G299" s="5"/>
    </row>
    <row r="300" spans="1:7" ht="58.5" customHeight="1" x14ac:dyDescent="0.25">
      <c r="A300" s="5" t="str">
        <f>"H0009966"</f>
        <v>H0009966</v>
      </c>
      <c r="B300" s="5" t="str">
        <f>"VENTILADOR DE PARED"</f>
        <v>VENTILADOR DE PARED</v>
      </c>
      <c r="C300" s="6">
        <v>83000</v>
      </c>
      <c r="D300" s="5" t="s">
        <v>4</v>
      </c>
      <c r="E300" s="5" t="str">
        <f t="shared" si="11"/>
        <v>ACTISALUD-MEDICINA INTERNA- PISO 7</v>
      </c>
      <c r="F300" s="5" t="str">
        <f>"Descripcion: VENTILADOR DE PARED MARCA SAMURAI Estado: Bueno Placa anterior: 000036252 Material: PLASTICO Color: BLANCO  Referencia:  Observacion:  Placa padre: Tipo adquisicion: Donacion"</f>
        <v>Descripcion: VENTILADOR DE PARED MARCA SAMURAI Estado: Bueno Placa anterior: 000036252 Material: PLASTICO Color: BLANCO  Referencia:  Observacion:  Placa padre: Tipo adquisicion: Donacion</v>
      </c>
      <c r="G300" s="5"/>
    </row>
    <row r="301" spans="1:7" ht="58.5" customHeight="1" x14ac:dyDescent="0.25">
      <c r="A301" s="5" t="str">
        <f>"H0009967"</f>
        <v>H0009967</v>
      </c>
      <c r="B301" s="5" t="str">
        <f>"SILLA PLASTICA CON BRAZOS"</f>
        <v>SILLA PLASTICA CON BRAZOS</v>
      </c>
      <c r="C301" s="6">
        <v>12240.32</v>
      </c>
      <c r="D301" s="5"/>
      <c r="E301" s="5" t="str">
        <f t="shared" si="11"/>
        <v>ACTISALUD-MEDICINA INTERNA- PISO 7</v>
      </c>
      <c r="F301" s="5" t="str">
        <f>"Descripcion: SILLA PLASTICA BLANCA Estado: Bueno Placa anterior: 000004565 Material: PLASTICO Color: BLANCO Referencia:  Observacion:  Placa padre: Tipo adquisicion: Entidad"</f>
        <v>Descripcion: SILLA PLASTICA BLANCA Estado: Bueno Placa anterior: 000004565 Material: PLASTICO Color: BLANCO Referencia:  Observacion:  Placa padre: Tipo adquisicion: Entidad</v>
      </c>
      <c r="G301" s="5"/>
    </row>
    <row r="302" spans="1:7" ht="58.5" customHeight="1" x14ac:dyDescent="0.25">
      <c r="A302" s="5" t="str">
        <f>"H0009968"</f>
        <v>H0009968</v>
      </c>
      <c r="B302" s="5" t="str">
        <f>"SILLA INTERLOCUTORA (FIJA) SIN BRAZOS"</f>
        <v>SILLA INTERLOCUTORA (FIJA) SIN BRAZOS</v>
      </c>
      <c r="C302" s="6">
        <v>11235.46</v>
      </c>
      <c r="D302" s="5"/>
      <c r="E302" s="5" t="str">
        <f t="shared" si="11"/>
        <v>ACTISALUD-MEDICINA INTERNA- PISO 7</v>
      </c>
      <c r="F302" s="5" t="str">
        <f>"Descripcion: SILLA INTERLOCUTORA (FIJA) SIN BRAZOS Estado: Bueno Placa anterior: 000003961 Material: MADERA Color: NEGRO Referencia:  Observacion:  Placa padre: Tipo adquisicion: Entidad"</f>
        <v>Descripcion: SILLA INTERLOCUTORA (FIJA) SIN BRAZOS Estado: Bueno Placa anterior: 000003961 Material: MADERA Color: NEGRO Referencia:  Observacion:  Placa padre: Tipo adquisicion: Entidad</v>
      </c>
      <c r="G302" s="5"/>
    </row>
    <row r="303" spans="1:7" ht="58.5" customHeight="1" x14ac:dyDescent="0.25">
      <c r="A303" s="5" t="str">
        <f>"H0009971"</f>
        <v>H0009971</v>
      </c>
      <c r="B303" s="5" t="str">
        <f>"SILLA INTERLOCUTORA (FIJA) SIN BRAZOS"</f>
        <v>SILLA INTERLOCUTORA (FIJA) SIN BRAZOS</v>
      </c>
      <c r="C303" s="6">
        <v>5610</v>
      </c>
      <c r="D303" s="5"/>
      <c r="E303" s="5" t="str">
        <f t="shared" si="11"/>
        <v>ACTISALUD-MEDICINA INTERNA- PISO 7</v>
      </c>
      <c r="F303" s="5" t="str">
        <f>"Descripcion: SILLA FIJA SIN BRAZOS COLOR AZUL METALICA PLEGABLE Estado: Bueno Placa anterior: 000004395 Material: METALICO Color: AZUL Referencia:  Observacion:  Placa padre: Tipo adquisicion: Entidad"</f>
        <v>Descripcion: SILLA FIJA SIN BRAZOS COLOR AZUL METALICA PLEGABLE Estado: Bueno Placa anterior: 000004395 Material: METALICO Color: AZUL Referencia:  Observacion:  Placa padre: Tipo adquisicion: Entidad</v>
      </c>
      <c r="G303" s="5"/>
    </row>
    <row r="304" spans="1:7" ht="58.5" customHeight="1" x14ac:dyDescent="0.25">
      <c r="A304" s="5" t="str">
        <f>"H0010110"</f>
        <v>H0010110</v>
      </c>
      <c r="B304" s="5" t="str">
        <f>"MONITOR DE SIGNOS VITALES"</f>
        <v>MONITOR DE SIGNOS VITALES</v>
      </c>
      <c r="C304" s="6">
        <v>3364000</v>
      </c>
      <c r="D304" s="5" t="s">
        <v>57</v>
      </c>
      <c r="E304" s="5" t="str">
        <f t="shared" si="11"/>
        <v>ACTISALUD-MEDICINA INTERNA- PISO 7</v>
      </c>
      <c r="F304" s="5" t="str">
        <f>"Descripcion: MONITOR DE SIGNOS VITALES, MARCA EDAM, PANTALLA TFTA A COLOR DE 12/10 ECG, SPO2 TECNOLOGIA NELLCOR OXIMAX/EDAM SPO2. OXIMETRIA CON MODULACION DE TONO POR PULSO. ANALISIS ECG DE 7 SEGMENTOS. Estado: Bueno Placa anterior: 000030440 Material: PA"&amp; "STA Color: BLANCO Referencia:  Observacion: PERTENECE ACTUALMENTE A LA ENTIDAD Placa padre: Tipo adquisicion: Donacion"</f>
        <v>Descripcion: MONITOR DE SIGNOS VITALES, MARCA EDAM, PANTALLA TFTA A COLOR DE 12/10 ECG, SPO2 TECNOLOGIA NELLCOR OXIMAX/EDAM SPO2. OXIMETRIA CON MODULACION DE TONO POR PULSO. ANALISIS ECG DE 7 SEGMENTOS. Estado: Bueno Placa anterior: 000030440 Material: PASTA Color: BLANCO Referencia:  Observacion: PERTENECE ACTUALMENTE A LA ENTIDAD Placa padre: Tipo adquisicion: Donacion</v>
      </c>
      <c r="G304" s="5"/>
    </row>
    <row r="305" spans="1:7" ht="58.5" customHeight="1" x14ac:dyDescent="0.25">
      <c r="A305" s="5" t="str">
        <f>"H0010844"</f>
        <v>H0010844</v>
      </c>
      <c r="B305" s="5" t="str">
        <f>"LOCKER DE 4 COMPARTIMIENTOS"</f>
        <v>LOCKER DE 4 COMPARTIMIENTOS</v>
      </c>
      <c r="C305" s="6">
        <v>585800</v>
      </c>
      <c r="D305" s="5"/>
      <c r="E305" s="5" t="str">
        <f t="shared" si="11"/>
        <v>ACTISALUD-MEDICINA INTERNA- PISO 7</v>
      </c>
      <c r="F305" s="5" t="str">
        <f>"Descripcion: LOCKER DE 4 COMPARTIMIENTOS Estado: Bueno Placa anterior: 000026365 Material: METALICO Color: GRIS Referencia:  Observacion: AUTORIZADO CONCILIAR EN CRUCE GENERAL Placa padre: Tipo adquisicion: Entidad"</f>
        <v>Descripcion: LOCKER DE 4 COMPARTIMIENTOS Estado: Bueno Placa anterior: 000026365 Material: METALICO Color: GRIS Referencia:  Observacion: AUTORIZADO CONCILIAR EN CRUCE GENERAL Placa padre: Tipo adquisicion: Entidad</v>
      </c>
      <c r="G305" s="5"/>
    </row>
    <row r="306" spans="1:7" ht="58.5" customHeight="1" x14ac:dyDescent="0.25">
      <c r="A306" s="5" t="str">
        <f>"H0010845"</f>
        <v>H0010845</v>
      </c>
      <c r="B306" s="5" t="str">
        <f>"LOCKER DE 2 COMPARTIMIENTOS"</f>
        <v>LOCKER DE 2 COMPARTIMIENTOS</v>
      </c>
      <c r="C306" s="6">
        <v>10384</v>
      </c>
      <c r="D306" s="5"/>
      <c r="E306" s="5" t="str">
        <f t="shared" si="11"/>
        <v>ACTISALUD-MEDICINA INTERNA- PISO 7</v>
      </c>
      <c r="F306" s="5" t="str">
        <f>"Descripcion: LOCKER TIPO C (2 PUESTOS) Estado: Bueno Placa anterior: 000026056 Material: METALICO Color: GRIS Referencia:  Observacion:  Placa padre: Tipo adquisicion: Entidad"</f>
        <v>Descripcion: LOCKER TIPO C (2 PUESTOS) Estado: Bueno Placa anterior: 000026056 Material: METALICO Color: GRIS Referencia:  Observacion:  Placa padre: Tipo adquisicion: Entidad</v>
      </c>
      <c r="G306" s="5"/>
    </row>
    <row r="307" spans="1:7" ht="58.5" customHeight="1" x14ac:dyDescent="0.25">
      <c r="A307" s="5" t="str">
        <f>"H0010850"</f>
        <v>H0010850</v>
      </c>
      <c r="B307" s="5" t="str">
        <f>"CAMA DESCANSO (SOFACAMA)"</f>
        <v>CAMA DESCANSO (SOFACAMA)</v>
      </c>
      <c r="C307" s="6">
        <v>73150</v>
      </c>
      <c r="D307" s="5"/>
      <c r="E307" s="5" t="str">
        <f t="shared" si="11"/>
        <v>ACTISALUD-MEDICINA INTERNA- PISO 7</v>
      </c>
      <c r="F307" s="5" t="str">
        <f>"Descripcion: CAMA DESCANSO (SOFACAMA) Estado: Bueno Placa anterior: 000019447 Material: TAPIZADO EN SEMICUERO Color: MARRON Referencia:  Observacion: AUTORIZADO CONCILIAR EN CRUCE GENERAL Placa padre: Tipo adquisicion: Entidad"</f>
        <v>Descripcion: CAMA DESCANSO (SOFACAMA) Estado: Bueno Placa anterior: 000019447 Material: TAPIZADO EN SEMICUERO Color: MARRON Referencia:  Observacion: AUTORIZADO CONCILIAR EN CRUCE GENERAL Placa padre: Tipo adquisicion: Entidad</v>
      </c>
      <c r="G307" s="5"/>
    </row>
    <row r="308" spans="1:7" ht="58.5" customHeight="1" x14ac:dyDescent="0.25">
      <c r="A308" s="5" t="str">
        <f>"H0010909"</f>
        <v>H0010909</v>
      </c>
      <c r="B308" s="5" t="str">
        <f>"CARRO PORTA HISTORIAS CLINICAS"</f>
        <v>CARRO PORTA HISTORIAS CLINICAS</v>
      </c>
      <c r="C308" s="6">
        <v>34760</v>
      </c>
      <c r="D308" s="5"/>
      <c r="E308" s="5" t="str">
        <f t="shared" si="11"/>
        <v>ACTISALUD-MEDICINA INTERNA- PISO 7</v>
      </c>
      <c r="F308" s="5" t="str">
        <f>"Descripcion: CARRO PORTA HISTORIAS CLINICAS Estado: Bueno Placa anterior: 000004136 Material: MADERA Color: MARRON Referencia:  Observacion:  Placa padre: Tipo adquisicion: Entidad"</f>
        <v>Descripcion: CARRO PORTA HISTORIAS CLINICAS Estado: Bueno Placa anterior: 000004136 Material: MADERA Color: MARRON Referencia:  Observacion:  Placa padre: Tipo adquisicion: Entidad</v>
      </c>
      <c r="G308" s="5"/>
    </row>
    <row r="309" spans="1:7" ht="58.5" customHeight="1" x14ac:dyDescent="0.25">
      <c r="A309" s="5" t="str">
        <f>"H0011024"</f>
        <v>H0011024</v>
      </c>
      <c r="B309" s="5" t="str">
        <f>"SILLA INTERLOCUTORA (FIJA) CON BRAZOS"</f>
        <v>SILLA INTERLOCUTORA (FIJA) CON BRAZOS</v>
      </c>
      <c r="C309" s="6">
        <v>96672</v>
      </c>
      <c r="D309" s="5"/>
      <c r="E309" s="5" t="str">
        <f t="shared" si="11"/>
        <v>ACTISALUD-MEDICINA INTERNA- PISO 7</v>
      </c>
      <c r="F309" s="5" t="str">
        <f>"Descripcion: SILLA RECIBIDORA CORDOBAN COLOR NEGRO C/BRAZOS Estado: Bueno Placa anterior: 000013286 Material: MADERA Color:  Referencia:  Observacion:  Placa padre: Tipo adquisicion: Entidad"</f>
        <v>Descripcion: SILLA RECIBIDORA CORDOBAN COLOR NEGRO C/BRAZOS Estado: Bueno Placa anterior: 000013286 Material: MADERA Color:  Referencia:  Observacion:  Placa padre: Tipo adquisicion: Entidad</v>
      </c>
      <c r="G309" s="5"/>
    </row>
    <row r="310" spans="1:7" ht="58.5" customHeight="1" x14ac:dyDescent="0.25">
      <c r="A310" s="5" t="str">
        <f>"H0011025"</f>
        <v>H0011025</v>
      </c>
      <c r="B310" s="5" t="str">
        <f>"COMPUTADOR TODO EN UNO"</f>
        <v>COMPUTADOR TODO EN UNO</v>
      </c>
      <c r="C310" s="6">
        <v>2470000</v>
      </c>
      <c r="D310" s="5" t="s">
        <v>6</v>
      </c>
      <c r="E310" s="5" t="str">
        <f t="shared" si="11"/>
        <v>ACTISALUD-MEDICINA INTERNA- PISO 7</v>
      </c>
      <c r="F310" s="5" t="str">
        <f>"Descripcion: EQUIPO DE COMPUTO TODO EN UNO CON PROCESADOR INTEL i5 Estado: Bueno Placa anterior: 000037007 Material: PASTA Color: NEGRO Referencia:  Observacion:  Placa anterior:, Placa nueva=H0011026, Descripcion:., Serial:8258933, Marca:LENOVO, Modelo:K"&amp; "U-0225, Material:PASTA, Color:NEGRO,  Referencia:, Placa anterior:, Placa nueva=H0011027, Descripcion:OPTICO, Serial:44ING184, Marca:LENOVO, Modelo:MOEUUOA, Material:PASTA, Color:NEGRO,  Referencia: Placa padre: Tipo adquisicion: Entidad"</f>
        <v>Descripcion: EQUIPO DE COMPUTO TODO EN UNO CON PROCESADOR INTEL i5 Estado: Bueno Placa anterior: 000037007 Material: PASTA Color: NEGRO Referencia:  Observacion:  Placa anterior:, Placa nueva=H0011026, Descripcion:., Serial:8258933, Marca:LENOVO, Modelo:KU-0225, Material:PASTA, Color:NEGRO,  Referencia:, Placa anterior:, Placa nueva=H0011027, Descripcion:OPTICO, Serial:44ING184, Marca:LENOVO, Modelo:MOEUUOA, Material:PASTA, Color:NEGRO,  Referencia: Placa padre: Tipo adquisicion: Entidad</v>
      </c>
      <c r="G310" s="5" t="str">
        <f>"10VD-00FDLS"</f>
        <v>10VD-00FDLS</v>
      </c>
    </row>
    <row r="311" spans="1:7" ht="58.5" customHeight="1" x14ac:dyDescent="0.25">
      <c r="A311" s="5" t="str">
        <f>"H0011029"</f>
        <v>H0011029</v>
      </c>
      <c r="B311" s="5" t="str">
        <f>"MESA (SUPERFICIE) MODULAR"</f>
        <v>MESA (SUPERFICIE) MODULAR</v>
      </c>
      <c r="C311" s="6">
        <v>110432</v>
      </c>
      <c r="D311" s="5"/>
      <c r="E311" s="5" t="str">
        <f t="shared" si="11"/>
        <v>ACTISALUD-MEDICINA INTERNA- PISO 7</v>
      </c>
      <c r="F311" s="5" t="str">
        <f>"Descripcion: MESA PARA IMPRESORA Estado: Bueno Placa anterior: 000003990 Material: MADERA Color:  Referencia:  Observacion:  Placa padre: Tipo adquisicion: Entidad"</f>
        <v>Descripcion: MESA PARA IMPRESORA Estado: Bueno Placa anterior: 000003990 Material: MADERA Color:  Referencia:  Observacion:  Placa padre: Tipo adquisicion: Entidad</v>
      </c>
      <c r="G311" s="5"/>
    </row>
    <row r="312" spans="1:7" ht="58.5" customHeight="1" x14ac:dyDescent="0.25">
      <c r="A312" s="5" t="str">
        <f>"H0011031"</f>
        <v>H0011031</v>
      </c>
      <c r="B312" s="5" t="str">
        <f>"IMPRESORA LASER"</f>
        <v>IMPRESORA LASER</v>
      </c>
      <c r="C312" s="6">
        <v>767441</v>
      </c>
      <c r="D312" s="5"/>
      <c r="E312" s="5" t="str">
        <f t="shared" si="11"/>
        <v>ACTISALUD-MEDICINA INTERNA- PISO 7</v>
      </c>
      <c r="F312" s="5" t="str">
        <f>"Descripcion: IMPRESORA HP CE749A BGJ HP IMP 1606DN SUPLEX RED 10/100 Estado: Bueno Placa anterior: 000029527 Material: PASTA Color: NEGRO Referencia:  Observacion:  Placa padre: Tipo adquisicion: Entidad"</f>
        <v>Descripcion: IMPRESORA HP CE749A BGJ HP IMP 1606DN SUPLEX RED 10/100 Estado: Bueno Placa anterior: 000029527 Material: PASTA Color: NEGRO Referencia:  Observacion:  Placa padre: Tipo adquisicion: Entidad</v>
      </c>
      <c r="G312" s="5" t="str">
        <f>"HP LASERJET P1606dn"</f>
        <v>HP LASERJET P1606dn</v>
      </c>
    </row>
    <row r="313" spans="1:7" ht="58.5" customHeight="1" x14ac:dyDescent="0.25">
      <c r="A313" s="5" t="str">
        <f>"H0011037"</f>
        <v>H0011037</v>
      </c>
      <c r="B313" s="5" t="str">
        <f>"MESA DE MADERA CON 1 GAVETA"</f>
        <v>MESA DE MADERA CON 1 GAVETA</v>
      </c>
      <c r="C313" s="6">
        <v>23500</v>
      </c>
      <c r="D313" s="5"/>
      <c r="E313" s="5" t="str">
        <f t="shared" si="11"/>
        <v>ACTISALUD-MEDICINA INTERNA- PISO 7</v>
      </c>
      <c r="F313" s="5" t="str">
        <f>"Descripcion: ESCRITORIO DE MADERA1 GAVETA Estado: Bueno Placa anterior: 000030708 Material:  Color:  Referencia:  Observacion:  Placa padre: Tipo adquisicion: Entidad"</f>
        <v>Descripcion: ESCRITORIO DE MADERA1 GAVETA Estado: Bueno Placa anterior: 000030708 Material:  Color:  Referencia:  Observacion:  Placa padre: Tipo adquisicion: Entidad</v>
      </c>
      <c r="G313" s="5"/>
    </row>
    <row r="314" spans="1:7" ht="58.5" customHeight="1" x14ac:dyDescent="0.25">
      <c r="A314" s="5" t="str">
        <f>"H0011041"</f>
        <v>H0011041</v>
      </c>
      <c r="B314" s="5" t="str">
        <f>"TELEFONO DE SOBREMESA"</f>
        <v>TELEFONO DE SOBREMESA</v>
      </c>
      <c r="C314" s="6">
        <v>73080</v>
      </c>
      <c r="D314" s="5"/>
      <c r="E314" s="5" t="str">
        <f t="shared" si="11"/>
        <v>ACTISALUD-MEDICINA INTERNA- PISO 7</v>
      </c>
      <c r="F314" s="5" t="str">
        <f>"Descripcion: . Estado: Bueno Placa anterior: 000021815 Material: PASTA Color: VINO TINTO Referencia:  Observacion:  Placa padre: Tipo adquisicion: Entidad"</f>
        <v>Descripcion: . Estado: Bueno Placa anterior: 000021815 Material: PASTA Color: VINO TINTO Referencia:  Observacion:  Placa padre: Tipo adquisicion: Entidad</v>
      </c>
      <c r="G314" s="5" t="str">
        <f>"GS-460"</f>
        <v>GS-460</v>
      </c>
    </row>
    <row r="315" spans="1:7" ht="58.5" customHeight="1" x14ac:dyDescent="0.25">
      <c r="A315" s="5" t="str">
        <f>"H0011043"</f>
        <v>H0011043</v>
      </c>
      <c r="B315" s="5" t="str">
        <f>"COSEDORA GRANDE CAPACIDAD MAYOR 140 HOJAS"</f>
        <v>COSEDORA GRANDE CAPACIDAD MAYOR 140 HOJAS</v>
      </c>
      <c r="C315" s="6">
        <v>75400</v>
      </c>
      <c r="D315" s="5"/>
      <c r="E315" s="5" t="str">
        <f t="shared" si="11"/>
        <v>ACTISALUD-MEDICINA INTERNA- PISO 7</v>
      </c>
      <c r="F315" s="5" t="str">
        <f>"Descripcion: GRAPADORA INDUSTRIAL Estado: Bueno Placa anterior: 000004590 Material: METALICO Color: NEGRO Referencia:  Observacion:  Placa padre: Tipo adquisicion: Entidad"</f>
        <v>Descripcion: GRAPADORA INDUSTRIAL Estado: Bueno Placa anterior: 000004590 Material: METALICO Color: NEGRO Referencia:  Observacion:  Placa padre: Tipo adquisicion: Entidad</v>
      </c>
      <c r="G315" s="5"/>
    </row>
    <row r="316" spans="1:7" ht="58.5" customHeight="1" x14ac:dyDescent="0.25">
      <c r="A316" s="5" t="str">
        <f>"H0011044"</f>
        <v>H0011044</v>
      </c>
      <c r="B316" s="5" t="str">
        <f>"VITRINA DE 2 CUERPOS"</f>
        <v>VITRINA DE 2 CUERPOS</v>
      </c>
      <c r="C316" s="6">
        <v>119712</v>
      </c>
      <c r="D316" s="5"/>
      <c r="E316" s="5" t="str">
        <f t="shared" si="11"/>
        <v>ACTISALUD-MEDICINA INTERNA- PISO 7</v>
      </c>
      <c r="F316" s="5" t="str">
        <f>"Descripcion: VITRINA DE 2 CUERPOS Estado: Bueno Placa anterior: 000004608 Material: METALICO Color: GRIS Referencia:  Observacion:  Placa padre: Tipo adquisicion: Entidad"</f>
        <v>Descripcion: VITRINA DE 2 CUERPOS Estado: Bueno Placa anterior: 000004608 Material: METALICO Color: GRIS Referencia:  Observacion:  Placa padre: Tipo adquisicion: Entidad</v>
      </c>
      <c r="G316" s="5"/>
    </row>
    <row r="317" spans="1:7" ht="58.5" customHeight="1" x14ac:dyDescent="0.25">
      <c r="A317" s="5" t="str">
        <f>"H0011046"</f>
        <v>H0011046</v>
      </c>
      <c r="B317" s="5" t="str">
        <f>"ESCRITORIO METALICO 2 GAVETAS"</f>
        <v>ESCRITORIO METALICO 2 GAVETAS</v>
      </c>
      <c r="C317" s="6">
        <v>17058.63</v>
      </c>
      <c r="D317" s="5"/>
      <c r="E317" s="5" t="str">
        <f t="shared" si="11"/>
        <v>ACTISALUD-MEDICINA INTERNA- PISO 7</v>
      </c>
      <c r="F317" s="5" t="str">
        <f>"Descripcion: ESCRITORIO DE 2 GAVETAS Estado: Bueno Placa anterior: 000003988 Material: METALICO Color: GRIS Referencia:  Observacion:  Placa padre: Tipo adquisicion: Entidad"</f>
        <v>Descripcion: ESCRITORIO DE 2 GAVETAS Estado: Bueno Placa anterior: 000003988 Material: METALICO Color: GRIS Referencia:  Observacion:  Placa padre: Tipo adquisicion: Entidad</v>
      </c>
      <c r="G317" s="5"/>
    </row>
    <row r="318" spans="1:7" ht="58.5" customHeight="1" x14ac:dyDescent="0.25">
      <c r="A318" s="5" t="str">
        <f>"H0011050"</f>
        <v>H0011050</v>
      </c>
      <c r="B318" s="5" t="str">
        <f>"MESA DE MADERA REDONDA"</f>
        <v>MESA DE MADERA REDONDA</v>
      </c>
      <c r="C318" s="6">
        <v>11235.46</v>
      </c>
      <c r="D318" s="5"/>
      <c r="E318" s="5" t="str">
        <f t="shared" si="11"/>
        <v>ACTISALUD-MEDICINA INTERNA- PISO 7</v>
      </c>
      <c r="F318" s="5" t="str">
        <f>"Descripcion: BASE METALICA Estado: Bueno Placa anterior: 000003967 Material: METALICO Color:  Referencia:  Observacion:  Placa padre: Tipo adquisicion: Entidad"</f>
        <v>Descripcion: BASE METALICA Estado: Bueno Placa anterior: 000003967 Material: METALICO Color:  Referencia:  Observacion:  Placa padre: Tipo adquisicion: Entidad</v>
      </c>
      <c r="G318" s="5"/>
    </row>
    <row r="319" spans="1:7" ht="58.5" customHeight="1" x14ac:dyDescent="0.25">
      <c r="A319" s="5" t="str">
        <f>"H0011051"</f>
        <v>H0011051</v>
      </c>
      <c r="B319" s="5" t="str">
        <f t="shared" ref="B319:B326" si="12">"SILLA INTERLOCUTORA (FIJA) SIN BRAZOS"</f>
        <v>SILLA INTERLOCUTORA (FIJA) SIN BRAZOS</v>
      </c>
      <c r="C319" s="6">
        <v>11235.46</v>
      </c>
      <c r="D319" s="5"/>
      <c r="E319" s="5" t="str">
        <f t="shared" si="11"/>
        <v>ACTISALUD-MEDICINA INTERNA- PISO 7</v>
      </c>
      <c r="F319" s="5" t="str">
        <f>"Descripcion: TAPIZADA EN PAÑO VINOTINTO Estado: Bueno Placa anterior: 000003965 Material: METALICO Color: VINOTINTO Referencia:  Observacion:  Placa padre: Tipo adquisicion: Donacion"</f>
        <v>Descripcion: TAPIZADA EN PAÑO VINOTINTO Estado: Bueno Placa anterior: 000003965 Material: METALICO Color: VINOTINTO Referencia:  Observacion:  Placa padre: Tipo adquisicion: Donacion</v>
      </c>
      <c r="G319" s="5"/>
    </row>
    <row r="320" spans="1:7" ht="58.5" customHeight="1" x14ac:dyDescent="0.25">
      <c r="A320" s="5" t="str">
        <f>"H0011052"</f>
        <v>H0011052</v>
      </c>
      <c r="B320" s="5" t="str">
        <f t="shared" si="12"/>
        <v>SILLA INTERLOCUTORA (FIJA) SIN BRAZOS</v>
      </c>
      <c r="C320" s="6">
        <v>11235.46</v>
      </c>
      <c r="D320" s="5"/>
      <c r="E320" s="5" t="str">
        <f t="shared" si="11"/>
        <v>ACTISALUD-MEDICINA INTERNA- PISO 7</v>
      </c>
      <c r="F320" s="5" t="str">
        <f>"Descripcion: TAPIZADA EN PAÑO VINOTINTO Estado: Bueno Placa anterior: 000004142 Material: METALICO Color: VINOTINTO Referencia:  Observacion:  Placa padre: Tipo adquisicion: Donacion"</f>
        <v>Descripcion: TAPIZADA EN PAÑO VINOTINTO Estado: Bueno Placa anterior: 000004142 Material: METALICO Color: VINOTINTO Referencia:  Observacion:  Placa padre: Tipo adquisicion: Donacion</v>
      </c>
      <c r="G320" s="5"/>
    </row>
    <row r="321" spans="1:7" ht="58.5" customHeight="1" x14ac:dyDescent="0.25">
      <c r="A321" s="5" t="str">
        <f>"H0011060"</f>
        <v>H0011060</v>
      </c>
      <c r="B321" s="5" t="str">
        <f t="shared" si="12"/>
        <v>SILLA INTERLOCUTORA (FIJA) SIN BRAZOS</v>
      </c>
      <c r="C321" s="6">
        <v>11235.46</v>
      </c>
      <c r="D321" s="5"/>
      <c r="E321" s="5" t="str">
        <f t="shared" si="11"/>
        <v>ACTISALUD-MEDICINA INTERNA- PISO 7</v>
      </c>
      <c r="F321" s="5" t="str">
        <f>"Descripcion: TAPIZADA EN PAÑO VINOTINTO Estado: Bueno Placa anterior: 000003968 Material: METALICO Color: VINOTINTO Referencia:  Observacion:  Placa padre: Tipo adquisicion: Donacion"</f>
        <v>Descripcion: TAPIZADA EN PAÑO VINOTINTO Estado: Bueno Placa anterior: 000003968 Material: METALICO Color: VINOTINTO Referencia:  Observacion:  Placa padre: Tipo adquisicion: Donacion</v>
      </c>
      <c r="G321" s="5"/>
    </row>
    <row r="322" spans="1:7" ht="58.5" customHeight="1" x14ac:dyDescent="0.25">
      <c r="A322" s="5" t="str">
        <f>"H0011064"</f>
        <v>H0011064</v>
      </c>
      <c r="B322" s="5" t="str">
        <f t="shared" si="12"/>
        <v>SILLA INTERLOCUTORA (FIJA) SIN BRAZOS</v>
      </c>
      <c r="C322" s="6">
        <v>11235.46</v>
      </c>
      <c r="D322" s="5"/>
      <c r="E322" s="5" t="str">
        <f t="shared" si="11"/>
        <v>ACTISALUD-MEDICINA INTERNA- PISO 7</v>
      </c>
      <c r="F322" s="5" t="str">
        <f>"Descripcion: TAPIZADA EN PAÑO VINOTINTO Estado: Bueno Placa anterior: 000003955 Material: METALICO Color: VINOTINTO Referencia:  Observacion:  Placa padre: Tipo adquisicion: Donacion"</f>
        <v>Descripcion: TAPIZADA EN PAÑO VINOTINTO Estado: Bueno Placa anterior: 000003955 Material: METALICO Color: VINOTINTO Referencia:  Observacion:  Placa padre: Tipo adquisicion: Donacion</v>
      </c>
      <c r="G322" s="5"/>
    </row>
    <row r="323" spans="1:7" ht="58.5" customHeight="1" x14ac:dyDescent="0.25">
      <c r="A323" s="5" t="str">
        <f>"H0011065"</f>
        <v>H0011065</v>
      </c>
      <c r="B323" s="5" t="str">
        <f t="shared" si="12"/>
        <v>SILLA INTERLOCUTORA (FIJA) SIN BRAZOS</v>
      </c>
      <c r="C323" s="6">
        <v>11235.46</v>
      </c>
      <c r="D323" s="5"/>
      <c r="E323" s="5" t="str">
        <f t="shared" si="11"/>
        <v>ACTISALUD-MEDICINA INTERNA- PISO 7</v>
      </c>
      <c r="F323" s="5" t="str">
        <f>"Descripcion: TAPIZADA EN PAÑO VINOTINTO Estado: Bueno Placa anterior: 000003969 Material: METALICO Color: VINOTINTO Referencia:  Observacion:  Placa padre: Tipo adquisicion: Donacion"</f>
        <v>Descripcion: TAPIZADA EN PAÑO VINOTINTO Estado: Bueno Placa anterior: 000003969 Material: METALICO Color: VINOTINTO Referencia:  Observacion:  Placa padre: Tipo adquisicion: Donacion</v>
      </c>
      <c r="G323" s="5"/>
    </row>
    <row r="324" spans="1:7" ht="58.5" customHeight="1" x14ac:dyDescent="0.25">
      <c r="A324" s="5" t="str">
        <f>"H0011067"</f>
        <v>H0011067</v>
      </c>
      <c r="B324" s="5" t="str">
        <f t="shared" si="12"/>
        <v>SILLA INTERLOCUTORA (FIJA) SIN BRAZOS</v>
      </c>
      <c r="C324" s="6">
        <v>11235.46</v>
      </c>
      <c r="D324" s="5"/>
      <c r="E324" s="5" t="str">
        <f t="shared" si="11"/>
        <v>ACTISALUD-MEDICINA INTERNA- PISO 7</v>
      </c>
      <c r="F324" s="5" t="str">
        <f>"Descripcion: TAPIZADA EN PAÑO VINOTINTO Estado: Bueno Placa anterior: 000004602 Material: METALICO Color: VINOTINTO Referencia:  Observacion:  Placa padre: Tipo adquisicion: Donacion"</f>
        <v>Descripcion: TAPIZADA EN PAÑO VINOTINTO Estado: Bueno Placa anterior: 000004602 Material: METALICO Color: VINOTINTO Referencia:  Observacion:  Placa padre: Tipo adquisicion: Donacion</v>
      </c>
      <c r="G324" s="5"/>
    </row>
    <row r="325" spans="1:7" ht="58.5" customHeight="1" x14ac:dyDescent="0.25">
      <c r="A325" s="5" t="str">
        <f>"H0011069"</f>
        <v>H0011069</v>
      </c>
      <c r="B325" s="5" t="str">
        <f t="shared" si="12"/>
        <v>SILLA INTERLOCUTORA (FIJA) SIN BRAZOS</v>
      </c>
      <c r="C325" s="6">
        <v>8878.3799999999992</v>
      </c>
      <c r="D325" s="5"/>
      <c r="E325" s="5" t="str">
        <f t="shared" si="11"/>
        <v>ACTISALUD-MEDICINA INTERNA- PISO 7</v>
      </c>
      <c r="F325" s="5" t="str">
        <f>"Descripcion: TAPIZADA EN PAÑO VINOTINTO Estado: Bueno Placa anterior: 000004592 Material: METALICO Color: VINOTINTO Referencia:  Observacion:  Placa padre: Tipo adquisicion: Donacion"</f>
        <v>Descripcion: TAPIZADA EN PAÑO VINOTINTO Estado: Bueno Placa anterior: 000004592 Material: METALICO Color: VINOTINTO Referencia:  Observacion:  Placa padre: Tipo adquisicion: Donacion</v>
      </c>
      <c r="G325" s="5"/>
    </row>
    <row r="326" spans="1:7" ht="58.5" customHeight="1" x14ac:dyDescent="0.25">
      <c r="A326" s="5" t="str">
        <f>"H0011074"</f>
        <v>H0011074</v>
      </c>
      <c r="B326" s="5" t="str">
        <f t="shared" si="12"/>
        <v>SILLA INTERLOCUTORA (FIJA) SIN BRAZOS</v>
      </c>
      <c r="C326" s="6">
        <v>11235.46</v>
      </c>
      <c r="D326" s="5"/>
      <c r="E326" s="5" t="str">
        <f t="shared" si="11"/>
        <v>ACTISALUD-MEDICINA INTERNA- PISO 7</v>
      </c>
      <c r="F326" s="5" t="str">
        <f>"Descripcion: SILLA FIJA TIPO A COLOR MARRONPARTIDO ASIENTO Estado: Malo Placa anterior: 000003964 Material: METALICO Color: MARRON Referencia:  Observacion:  Placa padre: Tipo adquisicion: Entidad"</f>
        <v>Descripcion: SILLA FIJA TIPO A COLOR MARRONPARTIDO ASIENTO Estado: Malo Placa anterior: 000003964 Material: METALICO Color: MARRON Referencia:  Observacion:  Placa padre: Tipo adquisicion: Entidad</v>
      </c>
      <c r="G326" s="5"/>
    </row>
    <row r="327" spans="1:7" ht="58.5" customHeight="1" x14ac:dyDescent="0.25">
      <c r="A327" s="5" t="str">
        <f>"H0011076"</f>
        <v>H0011076</v>
      </c>
      <c r="B327" s="5" t="str">
        <f>"SILLON (SOFA)"</f>
        <v>SILLON (SOFA)</v>
      </c>
      <c r="C327" s="6">
        <v>21400</v>
      </c>
      <c r="D327" s="5"/>
      <c r="E327" s="5" t="str">
        <f t="shared" si="11"/>
        <v>ACTISALUD-MEDICINA INTERNA- PISO 7</v>
      </c>
      <c r="F327" s="5" t="str">
        <f>"Descripcion: SILLON LIZYTAPIZADO EN CUERO NEGRO Estado: Bueno Placa anterior: 000003974 Material: MADERA Color: NEGRO Referencia:  Observacion:  Placa padre: Tipo adquisicion: Entidad"</f>
        <v>Descripcion: SILLON LIZYTAPIZADO EN CUERO NEGRO Estado: Bueno Placa anterior: 000003974 Material: MADERA Color: NEGRO Referencia:  Observacion:  Placa padre: Tipo adquisicion: Entidad</v>
      </c>
      <c r="G327" s="5"/>
    </row>
    <row r="328" spans="1:7" ht="58.5" customHeight="1" x14ac:dyDescent="0.25">
      <c r="A328" s="5" t="str">
        <f>"H0011077"</f>
        <v>H0011077</v>
      </c>
      <c r="B328" s="5" t="str">
        <f>"SILLON (SOFA)"</f>
        <v>SILLON (SOFA)</v>
      </c>
      <c r="C328" s="6">
        <v>21400</v>
      </c>
      <c r="D328" s="5"/>
      <c r="E328" s="5" t="str">
        <f t="shared" si="11"/>
        <v>ACTISALUD-MEDICINA INTERNA- PISO 7</v>
      </c>
      <c r="F328" s="5" t="str">
        <f>"Descripcion: SILLON LIZYTAPIZADO EN CUERO NEGRO Estado: Bueno Placa anterior: 000004023 Material: MADERA Color: NEGRO Referencia:  Observacion:  Placa padre: Tipo adquisicion: Entidad"</f>
        <v>Descripcion: SILLON LIZYTAPIZADO EN CUERO NEGRO Estado: Bueno Placa anterior: 000004023 Material: MADERA Color: NEGRO Referencia:  Observacion:  Placa padre: Tipo adquisicion: Entidad</v>
      </c>
      <c r="G328" s="5"/>
    </row>
    <row r="329" spans="1:7" ht="58.5" customHeight="1" x14ac:dyDescent="0.25">
      <c r="A329" s="5" t="str">
        <f>"H0011079"</f>
        <v>H0011079</v>
      </c>
      <c r="B329" s="5" t="str">
        <f>"NEGATOSCOPIO"</f>
        <v>NEGATOSCOPIO</v>
      </c>
      <c r="C329" s="6">
        <v>83306</v>
      </c>
      <c r="D329" s="5"/>
      <c r="E329" s="5" t="str">
        <f t="shared" si="11"/>
        <v>ACTISALUD-MEDICINA INTERNA- PISO 7</v>
      </c>
      <c r="F329" s="5" t="str">
        <f>"Descripcion: DOS CUERPOS Estado: Bueno Placa anterior: 000009403 Material: METALICO Color: BLANCO Referencia:  Observacion: AUTORIZADO CONCILIAR EN CRUCE GENERAL Placa padre: Tipo adquisicion: Entidad"</f>
        <v>Descripcion: DOS CUERPOS Estado: Bueno Placa anterior: 000009403 Material: METALICO Color: BLANCO Referencia:  Observacion: AUTORIZADO CONCILIAR EN CRUCE GENERAL Placa padre: Tipo adquisicion: Entidad</v>
      </c>
      <c r="G329" s="5"/>
    </row>
    <row r="330" spans="1:7" ht="58.5" customHeight="1" x14ac:dyDescent="0.25">
      <c r="A330" s="5" t="str">
        <f>"H0011081"</f>
        <v>H0011081</v>
      </c>
      <c r="B330" s="5" t="str">
        <f>"TELEVISOR LCD 40''"</f>
        <v>TELEVISOR LCD 40''</v>
      </c>
      <c r="C330" s="6">
        <v>849900</v>
      </c>
      <c r="D330" s="5" t="s">
        <v>58</v>
      </c>
      <c r="E330" s="5" t="str">
        <f t="shared" si="11"/>
        <v>ACTISALUD-MEDICINA INTERNA- PISO 7</v>
      </c>
      <c r="F330" s="5" t="str">
        <f>"Descripcion: TELEVISOR LED 40 PULGADAS Estado: Bueno Placa anterior:  Material: PASTA Color: NEGRO Referencia:  Observacion:  Placa padre: Tipo adquisicion: Donacion"</f>
        <v>Descripcion: TELEVISOR LED 40 PULGADAS Estado: Bueno Placa anterior:  Material: PASTA Color: NEGRO Referencia:  Observacion:  Placa padre: Tipo adquisicion: Donacion</v>
      </c>
      <c r="G330" s="5" t="str">
        <f>"SP-LED40"</f>
        <v>SP-LED40</v>
      </c>
    </row>
    <row r="331" spans="1:7" ht="58.5" customHeight="1" x14ac:dyDescent="0.25">
      <c r="A331" s="5" t="str">
        <f>"H0011082"</f>
        <v>H0011082</v>
      </c>
      <c r="B331" s="5" t="str">
        <f>"NEVERA 4 PIES (115LT)"</f>
        <v>NEVERA 4 PIES (115LT)</v>
      </c>
      <c r="C331" s="6">
        <v>640000</v>
      </c>
      <c r="D331" s="5"/>
      <c r="E331" s="5" t="str">
        <f t="shared" si="11"/>
        <v>ACTISALUD-MEDICINA INTERNA- PISO 7</v>
      </c>
      <c r="F331" s="5" t="str">
        <f>"Descripcion: NEVERA DE 4 PIES COLOR BLANCO MCA. SAMSUMG Estado: Bueno Placa anterior: 000023559 Material: METALICO Color: BLANCO Referencia:  Observacion:  Placa padre: Tipo adquisicion: Donacion"</f>
        <v>Descripcion: NEVERA DE 4 PIES COLOR BLANCO MCA. SAMSUMG Estado: Bueno Placa anterior: 000023559 Material: METALICO Color: BLANCO Referencia:  Observacion:  Placa padre: Tipo adquisicion: Donacion</v>
      </c>
      <c r="G331" s="5" t="str">
        <f>"SRG-118"</f>
        <v>SRG-118</v>
      </c>
    </row>
    <row r="332" spans="1:7" ht="58.5" customHeight="1" x14ac:dyDescent="0.25">
      <c r="A332" s="5" t="str">
        <f>"H0011091"</f>
        <v>H0011091</v>
      </c>
      <c r="B332" s="5" t="str">
        <f>"AIRE ACONDICIONADO 18000 BTU"</f>
        <v>AIRE ACONDICIONADO 18000 BTU</v>
      </c>
      <c r="C332" s="6">
        <v>703684.53</v>
      </c>
      <c r="D332" s="5"/>
      <c r="E332" s="5" t="str">
        <f t="shared" si="11"/>
        <v>ACTISALUD-MEDICINA INTERNA- PISO 7</v>
      </c>
      <c r="F332" s="5" t="str">
        <f>"Descripcion: . Estado: Bueno Placa anterior:  Material: PASTA Color: BLANCO Referencia: 551G00CH Observacion:  Placa padre: Tipo adquisicion: Entidad"</f>
        <v>Descripcion: . Estado: Bueno Placa anterior:  Material: PASTA Color: BLANCO Referencia: 551G00CH Observacion:  Placa padre: Tipo adquisicion: Entidad</v>
      </c>
      <c r="G332" s="5" t="str">
        <f>"SP182CM"</f>
        <v>SP182CM</v>
      </c>
    </row>
    <row r="333" spans="1:7" ht="58.5" customHeight="1" x14ac:dyDescent="0.25">
      <c r="A333" s="5" t="str">
        <f>"H0011092"</f>
        <v>H0011092</v>
      </c>
      <c r="B333" s="5" t="str">
        <f>"AIRE ACONDICIONADO TIPO SPLIT 24000 BTU"</f>
        <v>AIRE ACONDICIONADO TIPO SPLIT 24000 BTU</v>
      </c>
      <c r="C333" s="6">
        <v>1200000</v>
      </c>
      <c r="D333" s="5" t="s">
        <v>59</v>
      </c>
      <c r="E333" s="5" t="str">
        <f t="shared" si="11"/>
        <v>ACTISALUD-MEDICINA INTERNA- PISO 7</v>
      </c>
      <c r="F333" s="5" t="str">
        <f>"Descripcion: AIRE ACONDICIONADO MARCA LG SERIAL 406TAMA00011 406TAJD00092 MODELO SP242CM CAPACIDAD 24000 BTU Estado: Bueno Placa anterior: 000030525 Material: PASTA Color: BLANCO Referencia: 461X0050 Observacion:  Placa padre: Tipo adquisicion: Donacion"</f>
        <v>Descripcion: AIRE ACONDICIONADO MARCA LG SERIAL 406TAMA00011 406TAJD00092 MODELO SP242CM CAPACIDAD 24000 BTU Estado: Bueno Placa anterior: 000030525 Material: PASTA Color: BLANCO Referencia: 461X0050 Observacion:  Placa padre: Tipo adquisicion: Donacion</v>
      </c>
      <c r="G333" s="5" t="str">
        <f>"SP242CM"</f>
        <v>SP242CM</v>
      </c>
    </row>
    <row r="334" spans="1:7" ht="58.5" customHeight="1" x14ac:dyDescent="0.25">
      <c r="A334" s="5" t="str">
        <f>"H0011144"</f>
        <v>H0011144</v>
      </c>
      <c r="B334" s="5" t="str">
        <f>"LOCKER DE 6 COMPARTIMIENTOS"</f>
        <v>LOCKER DE 6 COMPARTIMIENTOS</v>
      </c>
      <c r="C334" s="6">
        <v>585988</v>
      </c>
      <c r="D334" s="5" t="s">
        <v>60</v>
      </c>
      <c r="E334" s="5" t="str">
        <f t="shared" ref="E334:E397" si="13">"ACTISALUD-MEDICINA INTERNA- PISO 7"</f>
        <v>ACTISALUD-MEDICINA INTERNA- PISO 7</v>
      </c>
      <c r="F334" s="5" t="str">
        <f>"Descripcion: LOCKER DE LAMINA CALIBRE 22 C/6 CASILLEROS, PORTACANDADO, MANIJA PROFUNDIZADA MEDIDAS 1.80X1.90 DE ANCHO X 35 DE FONDO DE PINTURA Estado: Regular Placa anterior: 000029166 Material: METALICO Color: GRIS Referencia:  Observacion:  Placa padre:"&amp; " Tipo adquisicion: Entidad"</f>
        <v>Descripcion: LOCKER DE LAMINA CALIBRE 22 C/6 CASILLEROS, PORTACANDADO, MANIJA PROFUNDIZADA MEDIDAS 1.80X1.90 DE ANCHO X 35 DE FONDO DE PINTURA Estado: Regular Placa anterior: 000029166 Material: METALICO Color: GRIS Referencia:  Observacion:  Placa padre: Tipo adquisicion: Entidad</v>
      </c>
      <c r="G334" s="5"/>
    </row>
    <row r="335" spans="1:7" ht="58.5" customHeight="1" x14ac:dyDescent="0.25">
      <c r="A335" s="5" t="str">
        <f>"H0011145"</f>
        <v>H0011145</v>
      </c>
      <c r="B335" s="5" t="str">
        <f>"LOCKER DE 6 COMPARTIMIENTOS"</f>
        <v>LOCKER DE 6 COMPARTIMIENTOS</v>
      </c>
      <c r="C335" s="6">
        <v>585988</v>
      </c>
      <c r="D335" s="5" t="s">
        <v>60</v>
      </c>
      <c r="E335" s="5" t="str">
        <f t="shared" si="13"/>
        <v>ACTISALUD-MEDICINA INTERNA- PISO 7</v>
      </c>
      <c r="F335" s="5" t="str">
        <f>"Descripcion: LOCKER DE LAMINA CALIBRE 22 C/6 CASILLEROS, PORTACANDADO, MANIJA PROFUNDIZADA MEDIDAS 1.80X1.90 DE ANCHO X 35 DE FONDO DE PINTURA Estado: Regular Placa anterior: 000029164 Material: METALICO Color: GRIS Referencia:  Observacion:  Placa padre:"&amp; " Tipo adquisicion: Entidad"</f>
        <v>Descripcion: LOCKER DE LAMINA CALIBRE 22 C/6 CASILLEROS, PORTACANDADO, MANIJA PROFUNDIZADA MEDIDAS 1.80X1.90 DE ANCHO X 35 DE FONDO DE PINTURA Estado: Regular Placa anterior: 000029164 Material: METALICO Color: GRIS Referencia:  Observacion:  Placa padre: Tipo adquisicion: Entidad</v>
      </c>
      <c r="G335" s="5"/>
    </row>
    <row r="336" spans="1:7" ht="58.5" customHeight="1" x14ac:dyDescent="0.25">
      <c r="A336" s="5" t="str">
        <f>"H0011146"</f>
        <v>H0011146</v>
      </c>
      <c r="B336" s="5" t="str">
        <f>"LOCKER DE 6 COMPARTIMIENTOS"</f>
        <v>LOCKER DE 6 COMPARTIMIENTOS</v>
      </c>
      <c r="C336" s="6">
        <v>585988</v>
      </c>
      <c r="D336" s="5" t="s">
        <v>60</v>
      </c>
      <c r="E336" s="5" t="str">
        <f t="shared" si="13"/>
        <v>ACTISALUD-MEDICINA INTERNA- PISO 7</v>
      </c>
      <c r="F336" s="5" t="str">
        <f>"Descripcion: LOCKER DE LAMINA CALIBRE 22 C/6 CASILLEROS, PORTACANDADO, MANIJA PROFUNDIZADA MEDIDAS 1.80X1.90 DE ANCHO X 35 DE FONDO DE PINTURA Estado: Regular Placa anterior: 000029163 Material: METALICO Color: GRIS Referencia:  Observacion:  Placa padre:"&amp; " Tipo adquisicion: Entidad"</f>
        <v>Descripcion: LOCKER DE LAMINA CALIBRE 22 C/6 CASILLEROS, PORTACANDADO, MANIJA PROFUNDIZADA MEDIDAS 1.80X1.90 DE ANCHO X 35 DE FONDO DE PINTURA Estado: Regular Placa anterior: 000029163 Material: METALICO Color: GRIS Referencia:  Observacion:  Placa padre: Tipo adquisicion: Entidad</v>
      </c>
      <c r="G336" s="5"/>
    </row>
    <row r="337" spans="1:7" ht="58.5" customHeight="1" x14ac:dyDescent="0.25">
      <c r="A337" s="5" t="str">
        <f>"H0011147"</f>
        <v>H0011147</v>
      </c>
      <c r="B337" s="5" t="str">
        <f>"LOCKER DE 6 COMPARTIMIENTOS"</f>
        <v>LOCKER DE 6 COMPARTIMIENTOS</v>
      </c>
      <c r="C337" s="6">
        <v>585988</v>
      </c>
      <c r="D337" s="5" t="s">
        <v>60</v>
      </c>
      <c r="E337" s="5" t="str">
        <f t="shared" si="13"/>
        <v>ACTISALUD-MEDICINA INTERNA- PISO 7</v>
      </c>
      <c r="F337" s="5" t="str">
        <f>"Descripcion: LOCKER DE LAMINA CALIBRE 22 C/6 CASILLEROS, PORTACANDADO, MANIJA PROFUNDIZADA MEDIDAS 1.80X1.90 DE ANCHO X 35 DE FONDO DE PINTURA Estado: Regular Placa anterior: 000029167 Material: METALICO Color: GRIS Referencia:  Observacion:  Placa padre:"&amp; " Tipo adquisicion: Entidad"</f>
        <v>Descripcion: LOCKER DE LAMINA CALIBRE 22 C/6 CASILLEROS, PORTACANDADO, MANIJA PROFUNDIZADA MEDIDAS 1.80X1.90 DE ANCHO X 35 DE FONDO DE PINTURA Estado: Regular Placa anterior: 000029167 Material: METALICO Color: GRIS Referencia:  Observacion:  Placa padre: Tipo adquisicion: Entidad</v>
      </c>
      <c r="G337" s="5"/>
    </row>
    <row r="338" spans="1:7" ht="58.5" customHeight="1" x14ac:dyDescent="0.25">
      <c r="A338" s="5" t="str">
        <f>"H0011150"</f>
        <v>H0011150</v>
      </c>
      <c r="B338" s="5" t="str">
        <f>"ESTANTE METALICO 6 ENTREPAÑOS"</f>
        <v>ESTANTE METALICO 6 ENTREPAÑOS</v>
      </c>
      <c r="C338" s="6">
        <v>9601.3700000000008</v>
      </c>
      <c r="D338" s="5"/>
      <c r="E338" s="5" t="str">
        <f t="shared" si="13"/>
        <v>ACTISALUD-MEDICINA INTERNA- PISO 7</v>
      </c>
      <c r="F338" s="5" t="str">
        <f>"Descripcion: ESTANTE METALICO Estado: Bueno Placa anterior: 000004376 Material: METALICO Color: GRIS Referencia:  Observacion:  Placa padre: Tipo adquisicion: Entidad"</f>
        <v>Descripcion: ESTANTE METALICO Estado: Bueno Placa anterior: 000004376 Material: METALICO Color: GRIS Referencia:  Observacion:  Placa padre: Tipo adquisicion: Entidad</v>
      </c>
      <c r="G338" s="5"/>
    </row>
    <row r="339" spans="1:7" ht="58.5" customHeight="1" x14ac:dyDescent="0.25">
      <c r="A339" s="5" t="str">
        <f>"H0011151"</f>
        <v>H0011151</v>
      </c>
      <c r="B339" s="5" t="str">
        <f>"ESTANTE METALICO 6 ENTREPAÑOS"</f>
        <v>ESTANTE METALICO 6 ENTREPAÑOS</v>
      </c>
      <c r="C339" s="6">
        <v>9601.3700000000008</v>
      </c>
      <c r="D339" s="5"/>
      <c r="E339" s="5" t="str">
        <f t="shared" si="13"/>
        <v>ACTISALUD-MEDICINA INTERNA- PISO 7</v>
      </c>
      <c r="F339" s="5" t="str">
        <f>"Descripcion: ESTANTE METALICO Estado: Bueno Placa anterior: 000004375 Material: METALICO Color: GRIS Referencia:  Observacion:  Placa padre: Tipo adquisicion: Entidad"</f>
        <v>Descripcion: ESTANTE METALICO Estado: Bueno Placa anterior: 000004375 Material: METALICO Color: GRIS Referencia:  Observacion:  Placa padre: Tipo adquisicion: Entidad</v>
      </c>
      <c r="G339" s="5"/>
    </row>
    <row r="340" spans="1:7" ht="58.5" customHeight="1" x14ac:dyDescent="0.25">
      <c r="A340" s="5" t="str">
        <f>"H0011155"</f>
        <v>H0011155</v>
      </c>
      <c r="B340" s="5" t="str">
        <f>"ESCALERILLA DE 2 PASOS"</f>
        <v>ESCALERILLA DE 2 PASOS</v>
      </c>
      <c r="C340" s="6">
        <v>100000</v>
      </c>
      <c r="D340" s="5" t="s">
        <v>49</v>
      </c>
      <c r="E340" s="5" t="str">
        <f t="shared" si="13"/>
        <v>ACTISALUD-MEDICINA INTERNA- PISO 7</v>
      </c>
      <c r="F340" s="5" t="str">
        <f>"Descripcion: ESCALERILLA DE DOS PASO EN TUBO REDONDOOXIDO Estado: Regular Placa anterior: 000029979 Material: METALICO Color: GRIS Referencia:  Observacion:  Placa padre: Tipo adquisicion: Entidad"</f>
        <v>Descripcion: ESCALERILLA DE DOS PASO EN TUBO REDONDOOXIDO Estado: Regular Placa anterior: 000029979 Material: METALICO Color: GRIS Referencia:  Observacion:  Placa padre: Tipo adquisicion: Entidad</v>
      </c>
      <c r="G340" s="5"/>
    </row>
    <row r="341" spans="1:7" ht="58.5" customHeight="1" x14ac:dyDescent="0.25">
      <c r="A341" s="5" t="str">
        <f>"H0011158"</f>
        <v>H0011158</v>
      </c>
      <c r="B341" s="5" t="str">
        <f>"VENTILADOR DE PEDESTAL"</f>
        <v>VENTILADOR DE PEDESTAL</v>
      </c>
      <c r="C341" s="6">
        <v>39275</v>
      </c>
      <c r="D341" s="5"/>
      <c r="E341" s="5" t="str">
        <f t="shared" si="13"/>
        <v>ACTISALUD-MEDICINA INTERNA- PISO 7</v>
      </c>
      <c r="F341" s="5" t="str">
        <f>"Descripcion: . Estado: Inservible Placa anterior: 000004583 Material: PASTA Color: BLANCO Referencia:  Observacion:  Placa padre: Tipo adquisicion: Entidad"</f>
        <v>Descripcion: . Estado: Inservible Placa anterior: 000004583 Material: PASTA Color: BLANCO Referencia:  Observacion:  Placa padre: Tipo adquisicion: Entidad</v>
      </c>
      <c r="G341" s="5"/>
    </row>
    <row r="342" spans="1:7" ht="58.5" customHeight="1" x14ac:dyDescent="0.25">
      <c r="A342" s="5" t="str">
        <f>"H0011502"</f>
        <v>H0011502</v>
      </c>
      <c r="B342" s="5" t="str">
        <f>"MESA DE NOCHE"</f>
        <v>MESA DE NOCHE</v>
      </c>
      <c r="C342" s="6">
        <v>15588.09</v>
      </c>
      <c r="D342" s="5"/>
      <c r="E342" s="5" t="str">
        <f t="shared" si="13"/>
        <v>ACTISALUD-MEDICINA INTERNA- PISO 7</v>
      </c>
      <c r="F342" s="5" t="str">
        <f>"Descripcion: MESA DE NOCHE METALICA Estado: Bueno Placa anterior: 000004562 Material: ACERO INOXIDABLE Color:  Referencia:  Observacion:  Placa padre: Tipo adquisicion: Entidad"</f>
        <v>Descripcion: MESA DE NOCHE METALICA Estado: Bueno Placa anterior: 000004562 Material: ACERO INOXIDABLE Color:  Referencia:  Observacion:  Placa padre: Tipo adquisicion: Entidad</v>
      </c>
      <c r="G342" s="5"/>
    </row>
    <row r="343" spans="1:7" ht="58.5" customHeight="1" x14ac:dyDescent="0.25">
      <c r="A343" s="5" t="str">
        <f>"H0011509"</f>
        <v>H0011509</v>
      </c>
      <c r="B343" s="5" t="str">
        <f>"MESA DE NOCHE"</f>
        <v>MESA DE NOCHE</v>
      </c>
      <c r="C343" s="6">
        <v>15588.09</v>
      </c>
      <c r="D343" s="5"/>
      <c r="E343" s="5" t="str">
        <f t="shared" si="13"/>
        <v>ACTISALUD-MEDICINA INTERNA- PISO 7</v>
      </c>
      <c r="F343" s="5" t="str">
        <f>"Descripcion: MESA DE NOCHE METALICA Estado: Bueno Placa anterior: 000015159 Material: ACERO INOXIDABLE Color:  Referencia:  Observacion:  Placa padre: Tipo adquisicion: Entidad"</f>
        <v>Descripcion: MESA DE NOCHE METALICA Estado: Bueno Placa anterior: 000015159 Material: ACERO INOXIDABLE Color:  Referencia:  Observacion:  Placa padre: Tipo adquisicion: Entidad</v>
      </c>
      <c r="G343" s="5"/>
    </row>
    <row r="344" spans="1:7" ht="58.5" customHeight="1" x14ac:dyDescent="0.25">
      <c r="A344" s="5" t="str">
        <f>"H0011510"</f>
        <v>H0011510</v>
      </c>
      <c r="B344" s="5" t="str">
        <f>"MESA DE NOCHE"</f>
        <v>MESA DE NOCHE</v>
      </c>
      <c r="C344" s="6">
        <v>327586</v>
      </c>
      <c r="D344" s="5"/>
      <c r="E344" s="5" t="str">
        <f t="shared" si="13"/>
        <v>ACTISALUD-MEDICINA INTERNA- PISO 7</v>
      </c>
      <c r="F344" s="5" t="str">
        <f>"Descripcion: MESA DE NOCHE METALICA Estado: Bueno Placa anterior: 000032698 Material: ACERO INOXIDABLE Color:  Referencia:  Observacion:  Placa padre: Tipo adquisicion: Entidad"</f>
        <v>Descripcion: MESA DE NOCHE METALICA Estado: Bueno Placa anterior: 000032698 Material: ACERO INOXIDABLE Color:  Referencia:  Observacion:  Placa padre: Tipo adquisicion: Entidad</v>
      </c>
      <c r="G344" s="5"/>
    </row>
    <row r="345" spans="1:7" ht="58.5" customHeight="1" x14ac:dyDescent="0.25">
      <c r="A345" s="5" t="str">
        <f>"H0011512"</f>
        <v>H0011512</v>
      </c>
      <c r="B345" s="5" t="str">
        <f>"ESCALERILLA DE 2 PASOS"</f>
        <v>ESCALERILLA DE 2 PASOS</v>
      </c>
      <c r="C345" s="6">
        <v>100000</v>
      </c>
      <c r="D345" s="5" t="s">
        <v>49</v>
      </c>
      <c r="E345" s="5" t="str">
        <f t="shared" si="13"/>
        <v>ACTISALUD-MEDICINA INTERNA- PISO 7</v>
      </c>
      <c r="F345" s="5" t="str">
        <f>"Descripcion: ESCALERILLA DE DOS PASO EN TUBO REDONDO Estado: Bueno Placa anterior: 000029982 Material: METALICO CONPASOS EN MADERA Color:  Referencia:  Observacion:  Placa padre: Tipo adquisicion: Entidad"</f>
        <v>Descripcion: ESCALERILLA DE DOS PASO EN TUBO REDONDO Estado: Bueno Placa anterior: 000029982 Material: METALICO CONPASOS EN MADERA Color:  Referencia:  Observacion:  Placa padre: Tipo adquisicion: Entidad</v>
      </c>
      <c r="G345" s="5"/>
    </row>
    <row r="346" spans="1:7" ht="58.5" customHeight="1" x14ac:dyDescent="0.25">
      <c r="A346" s="5" t="str">
        <f>"H0011514"</f>
        <v>H0011514</v>
      </c>
      <c r="B346" s="5" t="str">
        <f>"ESCALERILLA DE 2 PASOS"</f>
        <v>ESCALERILLA DE 2 PASOS</v>
      </c>
      <c r="C346" s="6">
        <v>100000</v>
      </c>
      <c r="D346" s="5" t="s">
        <v>49</v>
      </c>
      <c r="E346" s="5" t="str">
        <f t="shared" si="13"/>
        <v>ACTISALUD-MEDICINA INTERNA- PISO 7</v>
      </c>
      <c r="F346" s="5" t="str">
        <f>"Descripcion: ESCALERILLA DE DOS PASO EN TUBO REDONDO Estado: Bueno Placa anterior: 000029910 Material: METALICO CONPASOS EN MADERA Color:  Referencia:  Observacion:  Placa padre: Tipo adquisicion: Entidad"</f>
        <v>Descripcion: ESCALERILLA DE DOS PASO EN TUBO REDONDO Estado: Bueno Placa anterior: 000029910 Material: METALICO CONPASOS EN MADERA Color:  Referencia:  Observacion:  Placa padre: Tipo adquisicion: Entidad</v>
      </c>
      <c r="G346" s="5"/>
    </row>
    <row r="347" spans="1:7" ht="58.5" customHeight="1" x14ac:dyDescent="0.25">
      <c r="A347" s="5" t="str">
        <f>"H0011515"</f>
        <v>H0011515</v>
      </c>
      <c r="B347" s="5" t="str">
        <f>"MESA PUENTE (ALIMENTACION) (INSTRUMENTAL)"</f>
        <v>MESA PUENTE (ALIMENTACION) (INSTRUMENTAL)</v>
      </c>
      <c r="C347" s="6">
        <v>15000</v>
      </c>
      <c r="D347" s="5"/>
      <c r="E347" s="5" t="str">
        <f t="shared" si="13"/>
        <v>ACTISALUD-MEDICINA INTERNA- PISO 7</v>
      </c>
      <c r="F347" s="5" t="str">
        <f>"Descripcion: MESA PUENTE PARA ALIMENTACION CON DOBLE SOPORTE Estado: Bueno Placa anterior: 000027024 Material: METALICO, ACERO INOX.  Color: GRIS Referencia:  Observacion:  Placa padre: Tipo adquisicion: Entidad"</f>
        <v>Descripcion: MESA PUENTE PARA ALIMENTACION CON DOBLE SOPORTE Estado: Bueno Placa anterior: 000027024 Material: METALICO, ACERO INOX.  Color: GRIS Referencia:  Observacion:  Placa padre: Tipo adquisicion: Entidad</v>
      </c>
      <c r="G347" s="5"/>
    </row>
    <row r="348" spans="1:7" ht="58.5" customHeight="1" x14ac:dyDescent="0.25">
      <c r="A348" s="5" t="str">
        <f>"H0011516"</f>
        <v>H0011516</v>
      </c>
      <c r="B348" s="5" t="str">
        <f>"MESA PUENTE (ALIMENTACION) (INSTRUMENTAL)"</f>
        <v>MESA PUENTE (ALIMENTACION) (INSTRUMENTAL)</v>
      </c>
      <c r="C348" s="6">
        <v>15000</v>
      </c>
      <c r="D348" s="5"/>
      <c r="E348" s="5" t="str">
        <f t="shared" si="13"/>
        <v>ACTISALUD-MEDICINA INTERNA- PISO 7</v>
      </c>
      <c r="F348" s="5" t="str">
        <f>"Descripcion: MESA PUENTE PARA ALIMENTACION CON DOBLE SOPORTE Estado: Bueno Placa anterior: 000027025 Material: METALICO, ACERO INOX.  Color: GRIS Referencia:  Observacion:  Placa padre: Tipo adquisicion: Entidad"</f>
        <v>Descripcion: MESA PUENTE PARA ALIMENTACION CON DOBLE SOPORTE Estado: Bueno Placa anterior: 000027025 Material: METALICO, ACERO INOX.  Color: GRIS Referencia:  Observacion:  Placa padre: Tipo adquisicion: Entidad</v>
      </c>
      <c r="G348" s="5"/>
    </row>
    <row r="349" spans="1:7" ht="58.5" customHeight="1" x14ac:dyDescent="0.25">
      <c r="A349" s="5" t="str">
        <f>"H0011517"</f>
        <v>H0011517</v>
      </c>
      <c r="B349" s="5" t="str">
        <f>"MESA PUENTE (ALIMENTACION) (INSTRUMENTAL)"</f>
        <v>MESA PUENTE (ALIMENTACION) (INSTRUMENTAL)</v>
      </c>
      <c r="C349" s="6">
        <v>15000</v>
      </c>
      <c r="D349" s="5"/>
      <c r="E349" s="5" t="str">
        <f t="shared" si="13"/>
        <v>ACTISALUD-MEDICINA INTERNA- PISO 7</v>
      </c>
      <c r="F349" s="5" t="str">
        <f>"Descripcion: MESA PUENTE PARA ALIMENTACION CON DOBLE SOPORTE Estado: Bueno Placa anterior: 000027026 Material: METALICO, ACERO INOX.  Color: GRIS Referencia:  Observacion:  Placa padre: Tipo adquisicion: Entidad"</f>
        <v>Descripcion: MESA PUENTE PARA ALIMENTACION CON DOBLE SOPORTE Estado: Bueno Placa anterior: 000027026 Material: METALICO, ACERO INOX.  Color: GRIS Referencia:  Observacion:  Placa padre: Tipo adquisicion: Entidad</v>
      </c>
      <c r="G349" s="5"/>
    </row>
    <row r="350" spans="1:7" ht="58.5" customHeight="1" x14ac:dyDescent="0.25">
      <c r="A350" s="5" t="str">
        <f>"H0011518"</f>
        <v>H0011518</v>
      </c>
      <c r="B350" s="5" t="str">
        <f>"MESA PUENTE (ALIMENTACION) (INSTRUMENTAL)"</f>
        <v>MESA PUENTE (ALIMENTACION) (INSTRUMENTAL)</v>
      </c>
      <c r="C350" s="6">
        <v>15000</v>
      </c>
      <c r="D350" s="5"/>
      <c r="E350" s="5" t="str">
        <f t="shared" si="13"/>
        <v>ACTISALUD-MEDICINA INTERNA- PISO 7</v>
      </c>
      <c r="F350" s="5" t="str">
        <f>"Descripcion: MESA PUENTE PARA ALIMENTACION CON DOBLE SOPORTE Estado: Bueno Placa anterior: 000027027 Material: METALICO, ACERO INOX.  Color: GRIS Referencia:  Observacion:  Placa padre: Tipo adquisicion: Entidad"</f>
        <v>Descripcion: MESA PUENTE PARA ALIMENTACION CON DOBLE SOPORTE Estado: Bueno Placa anterior: 000027027 Material: METALICO, ACERO INOX.  Color: GRIS Referencia:  Observacion:  Placa padre: Tipo adquisicion: Entidad</v>
      </c>
      <c r="G350" s="5"/>
    </row>
    <row r="351" spans="1:7" ht="58.5" customHeight="1" x14ac:dyDescent="0.25">
      <c r="A351" s="5" t="str">
        <f>"H0011521"</f>
        <v>H0011521</v>
      </c>
      <c r="B351" s="5" t="str">
        <f>"SILLA PLASTICA CON BRAZOS"</f>
        <v>SILLA PLASTICA CON BRAZOS</v>
      </c>
      <c r="C351" s="6">
        <v>12240.32</v>
      </c>
      <c r="D351" s="5"/>
      <c r="E351" s="5" t="str">
        <f t="shared" si="13"/>
        <v>ACTISALUD-MEDICINA INTERNA- PISO 7</v>
      </c>
      <c r="F351" s="5" t="str">
        <f>"Descripcion: SILLA PLASTICA BLANCA Estado: Bueno Placa anterior: 000004057 Material: PLASTICO Color: BLANCO Referencia:  Observacion:  Placa padre: Tipo adquisicion: Entidad"</f>
        <v>Descripcion: SILLA PLASTICA BLANCA Estado: Bueno Placa anterior: 000004057 Material: PLASTICO Color: BLANCO Referencia:  Observacion:  Placa padre: Tipo adquisicion: Entidad</v>
      </c>
      <c r="G351" s="5"/>
    </row>
    <row r="352" spans="1:7" ht="58.5" customHeight="1" x14ac:dyDescent="0.25">
      <c r="A352" s="5" t="str">
        <f>"H0011522"</f>
        <v>H0011522</v>
      </c>
      <c r="B352" s="5" t="str">
        <f>"SILLA PLASTICA CON BRAZOS"</f>
        <v>SILLA PLASTICA CON BRAZOS</v>
      </c>
      <c r="C352" s="6">
        <v>12240.32</v>
      </c>
      <c r="D352" s="5"/>
      <c r="E352" s="5" t="str">
        <f t="shared" si="13"/>
        <v>ACTISALUD-MEDICINA INTERNA- PISO 7</v>
      </c>
      <c r="F352" s="5" t="str">
        <f>"Descripcion: SILLA PLASTICA BLANCA Estado: Bueno Placa anterior: 000021600 Material: PLASTICO Color: BLANCO Referencia:  Observacion:  Placa padre: Tipo adquisicion: Entidad"</f>
        <v>Descripcion: SILLA PLASTICA BLANCA Estado: Bueno Placa anterior: 000021600 Material: PLASTICO Color: BLANCO Referencia:  Observacion:  Placa padre: Tipo adquisicion: Entidad</v>
      </c>
      <c r="G352" s="5"/>
    </row>
    <row r="353" spans="1:7" ht="58.5" customHeight="1" x14ac:dyDescent="0.25">
      <c r="A353" s="5" t="str">
        <f>"H0011523"</f>
        <v>H0011523</v>
      </c>
      <c r="B353" s="5" t="str">
        <f>"SILLA PLASTICA CON BRAZOS"</f>
        <v>SILLA PLASTICA CON BRAZOS</v>
      </c>
      <c r="C353" s="6">
        <v>14000</v>
      </c>
      <c r="D353" s="5"/>
      <c r="E353" s="5" t="str">
        <f t="shared" si="13"/>
        <v>ACTISALUD-MEDICINA INTERNA- PISO 7</v>
      </c>
      <c r="F353" s="5" t="str">
        <f>"Descripcion: SILLA PLASTICA BLANCA Estado: Bueno Placa anterior: 000005361 Material: PLASTICO Color: BLANCO Referencia:  Observacion:  Placa padre: Tipo adquisicion: Entidad"</f>
        <v>Descripcion: SILLA PLASTICA BLANCA Estado: Bueno Placa anterior: 000005361 Material: PLASTICO Color: BLANCO Referencia:  Observacion:  Placa padre: Tipo adquisicion: Entidad</v>
      </c>
      <c r="G353" s="5"/>
    </row>
    <row r="354" spans="1:7" ht="58.5" customHeight="1" x14ac:dyDescent="0.25">
      <c r="A354" s="5" t="str">
        <f>"H0011524"</f>
        <v>H0011524</v>
      </c>
      <c r="B354" s="5" t="str">
        <f>"SILLA DE RUEDAS"</f>
        <v>SILLA DE RUEDAS</v>
      </c>
      <c r="C354" s="6">
        <v>650000</v>
      </c>
      <c r="D354" s="5"/>
      <c r="E354" s="5" t="str">
        <f t="shared" si="13"/>
        <v>ACTISALUD-MEDICINA INTERNA- PISO 7</v>
      </c>
      <c r="F354" s="5" t="str">
        <f>"Descripcion: SILLA DE RUEDAS (FALTA CAUCHO ) Estado: Malo Placa anterior: 000026179 Material: METALICA Color: CROMADO Referencia:  Observacion:  Placa padre: Tipo adquisicion: Entidad"</f>
        <v>Descripcion: SILLA DE RUEDAS (FALTA CAUCHO ) Estado: Malo Placa anterior: 000026179 Material: METALICA Color: CROMADO Referencia:  Observacion:  Placa padre: Tipo adquisicion: Entidad</v>
      </c>
      <c r="G354" s="5"/>
    </row>
    <row r="355" spans="1:7" ht="58.5" customHeight="1" x14ac:dyDescent="0.25">
      <c r="A355" s="5" t="str">
        <f>"H0011526"</f>
        <v>H0011526</v>
      </c>
      <c r="B355" s="5" t="str">
        <f>"MESA DE NOCHE"</f>
        <v>MESA DE NOCHE</v>
      </c>
      <c r="C355" s="6">
        <v>327586</v>
      </c>
      <c r="D355" s="5"/>
      <c r="E355" s="5" t="str">
        <f t="shared" si="13"/>
        <v>ACTISALUD-MEDICINA INTERNA- PISO 7</v>
      </c>
      <c r="F355" s="5" t="str">
        <f>"Descripcion: MESA DE NOCHE Estado: Bueno Placa anterior: 000032728 Material: ACERO INOX Color:  Referencia:  Observacion:  Placa padre: Tipo adquisicion: Entidad"</f>
        <v>Descripcion: MESA DE NOCHE Estado: Bueno Placa anterior: 000032728 Material: ACERO INOX Color:  Referencia:  Observacion:  Placa padre: Tipo adquisicion: Entidad</v>
      </c>
      <c r="G355" s="5"/>
    </row>
    <row r="356" spans="1:7" ht="58.5" customHeight="1" x14ac:dyDescent="0.25">
      <c r="A356" s="5" t="str">
        <f>"H0011527"</f>
        <v>H0011527</v>
      </c>
      <c r="B356" s="5" t="str">
        <f>"MESA DE NOCHE"</f>
        <v>MESA DE NOCHE</v>
      </c>
      <c r="C356" s="6">
        <v>327586</v>
      </c>
      <c r="D356" s="5"/>
      <c r="E356" s="5" t="str">
        <f t="shared" si="13"/>
        <v>ACTISALUD-MEDICINA INTERNA- PISO 7</v>
      </c>
      <c r="F356" s="5" t="str">
        <f>"Descripcion: MESA DE NOCHE Estado: Bueno Placa anterior: 000032731 Material: ACERO INOX Color:  Referencia:  Observacion:  Placa padre: Tipo adquisicion: Entidad"</f>
        <v>Descripcion: MESA DE NOCHE Estado: Bueno Placa anterior: 000032731 Material: ACERO INOX Color:  Referencia:  Observacion:  Placa padre: Tipo adquisicion: Entidad</v>
      </c>
      <c r="G356" s="5"/>
    </row>
    <row r="357" spans="1:7" ht="58.5" customHeight="1" x14ac:dyDescent="0.25">
      <c r="A357" s="5" t="str">
        <f>"H0011528"</f>
        <v>H0011528</v>
      </c>
      <c r="B357" s="5" t="str">
        <f>"MESA DE NOCHE"</f>
        <v>MESA DE NOCHE</v>
      </c>
      <c r="C357" s="6">
        <v>327586</v>
      </c>
      <c r="D357" s="5"/>
      <c r="E357" s="5" t="str">
        <f t="shared" si="13"/>
        <v>ACTISALUD-MEDICINA INTERNA- PISO 7</v>
      </c>
      <c r="F357" s="5" t="str">
        <f>"Descripcion: MESA DE NOCHE Estado: Bueno Placa anterior: 000032695 Material: ACERO INOX Color:  Referencia:  Observacion:  Placa padre: Tipo adquisicion: Entidad"</f>
        <v>Descripcion: MESA DE NOCHE Estado: Bueno Placa anterior: 000032695 Material: ACERO INOX Color:  Referencia:  Observacion:  Placa padre: Tipo adquisicion: Entidad</v>
      </c>
      <c r="G357" s="5"/>
    </row>
    <row r="358" spans="1:7" ht="58.5" customHeight="1" x14ac:dyDescent="0.25">
      <c r="A358" s="5" t="str">
        <f>"H0011529"</f>
        <v>H0011529</v>
      </c>
      <c r="B358" s="5" t="str">
        <f>"MESA DE NOCHE"</f>
        <v>MESA DE NOCHE</v>
      </c>
      <c r="C358" s="6">
        <v>327586</v>
      </c>
      <c r="D358" s="5"/>
      <c r="E358" s="5" t="str">
        <f t="shared" si="13"/>
        <v>ACTISALUD-MEDICINA INTERNA- PISO 7</v>
      </c>
      <c r="F358" s="5" t="str">
        <f>"Descripcion: MESA DE NOCHE Estado: Bueno Placa anterior: 000032697 Material: ACERO INOX, Color:  Referencia:  Observacion:  Placa padre: Tipo adquisicion: Entidad"</f>
        <v>Descripcion: MESA DE NOCHE Estado: Bueno Placa anterior: 000032697 Material: ACERO INOX, Color:  Referencia:  Observacion:  Placa padre: Tipo adquisicion: Entidad</v>
      </c>
      <c r="G358" s="5"/>
    </row>
    <row r="359" spans="1:7" ht="58.5" customHeight="1" x14ac:dyDescent="0.25">
      <c r="A359" s="5" t="str">
        <f>"H0011530"</f>
        <v>H0011530</v>
      </c>
      <c r="B359" s="5" t="str">
        <f>"MESA DE NOCHE"</f>
        <v>MESA DE NOCHE</v>
      </c>
      <c r="C359" s="6">
        <v>327586</v>
      </c>
      <c r="D359" s="5"/>
      <c r="E359" s="5" t="str">
        <f t="shared" si="13"/>
        <v>ACTISALUD-MEDICINA INTERNA- PISO 7</v>
      </c>
      <c r="F359" s="5" t="str">
        <f>"Descripcion: MESA DE NOCHE Estado: Bueno Placa anterior: 000032738 Material: ACERO INOX Color:  Referencia:  Observacion:  Placa padre: Tipo adquisicion: Entidad"</f>
        <v>Descripcion: MESA DE NOCHE Estado: Bueno Placa anterior: 000032738 Material: ACERO INOX Color:  Referencia:  Observacion:  Placa padre: Tipo adquisicion: Entidad</v>
      </c>
      <c r="G359" s="5"/>
    </row>
    <row r="360" spans="1:7" ht="58.5" customHeight="1" x14ac:dyDescent="0.25">
      <c r="A360" s="5" t="str">
        <f>"H0011546"</f>
        <v>H0011546</v>
      </c>
      <c r="B360" s="5" t="str">
        <f>"SILLA PLASTICA CON BRAZOS"</f>
        <v>SILLA PLASTICA CON BRAZOS</v>
      </c>
      <c r="C360" s="6">
        <v>12240.32</v>
      </c>
      <c r="D360" s="5"/>
      <c r="E360" s="5" t="str">
        <f t="shared" si="13"/>
        <v>ACTISALUD-MEDICINA INTERNA- PISO 7</v>
      </c>
      <c r="F360" s="5" t="str">
        <f>"Descripcion: SILLA PLASTICA BLANCA Estado: Bueno Placa anterior: 000004566 Material: PLASTICO Color: BLANCO Referencia:  Observacion:  Placa padre: Tipo adquisicion: Entidad"</f>
        <v>Descripcion: SILLA PLASTICA BLANCA Estado: Bueno Placa anterior: 000004566 Material: PLASTICO Color: BLANCO Referencia:  Observacion:  Placa padre: Tipo adquisicion: Entidad</v>
      </c>
      <c r="G360" s="5"/>
    </row>
    <row r="361" spans="1:7" ht="58.5" customHeight="1" x14ac:dyDescent="0.25">
      <c r="A361" s="5" t="str">
        <f>"H0011549"</f>
        <v>H0011549</v>
      </c>
      <c r="B361" s="5" t="str">
        <f>"SILLA PLASTICA CON BRAZOS"</f>
        <v>SILLA PLASTICA CON BRAZOS</v>
      </c>
      <c r="C361" s="6">
        <v>12240.32</v>
      </c>
      <c r="D361" s="5"/>
      <c r="E361" s="5" t="str">
        <f t="shared" si="13"/>
        <v>ACTISALUD-MEDICINA INTERNA- PISO 7</v>
      </c>
      <c r="F361" s="5" t="str">
        <f>"Descripcion: SILLA PLASTICA BLANCA Estado: Bueno Placa anterior: 000004296 Material: PLASTICO Color: BLANCO Referencia:  Observacion:  Placa padre: Tipo adquisicion: Entidad"</f>
        <v>Descripcion: SILLA PLASTICA BLANCA Estado: Bueno Placa anterior: 000004296 Material: PLASTICO Color: BLANCO Referencia:  Observacion:  Placa padre: Tipo adquisicion: Entidad</v>
      </c>
      <c r="G361" s="5"/>
    </row>
    <row r="362" spans="1:7" ht="58.5" customHeight="1" x14ac:dyDescent="0.25">
      <c r="A362" s="5" t="str">
        <f>"H0011550"</f>
        <v>H0011550</v>
      </c>
      <c r="B362" s="5" t="str">
        <f>"SILLA PLASTICA CON BRAZOS"</f>
        <v>SILLA PLASTICA CON BRAZOS</v>
      </c>
      <c r="C362" s="6">
        <v>12198</v>
      </c>
      <c r="D362" s="5"/>
      <c r="E362" s="5" t="str">
        <f t="shared" si="13"/>
        <v>ACTISALUD-MEDICINA INTERNA- PISO 7</v>
      </c>
      <c r="F362" s="5" t="str">
        <f>"Descripcion: SILLA PLASTICA BLANCA Estado: Bueno Placa anterior: 000018379 Material: PLASTICO Color: BLANCO Referencia:  Observacion:  Placa padre: Tipo adquisicion: Entidad"</f>
        <v>Descripcion: SILLA PLASTICA BLANCA Estado: Bueno Placa anterior: 000018379 Material: PLASTICO Color: BLANCO Referencia:  Observacion:  Placa padre: Tipo adquisicion: Entidad</v>
      </c>
      <c r="G362" s="5"/>
    </row>
    <row r="363" spans="1:7" ht="58.5" customHeight="1" x14ac:dyDescent="0.25">
      <c r="A363" s="5" t="str">
        <f>"H0011553"</f>
        <v>H0011553</v>
      </c>
      <c r="B363" s="5" t="str">
        <f>"MESA PUENTE (ALIMENTACION) (INSTRUMENTAL)"</f>
        <v>MESA PUENTE (ALIMENTACION) (INSTRUMENTAL)</v>
      </c>
      <c r="C363" s="6">
        <v>15000</v>
      </c>
      <c r="D363" s="5"/>
      <c r="E363" s="5" t="str">
        <f t="shared" si="13"/>
        <v>ACTISALUD-MEDICINA INTERNA- PISO 7</v>
      </c>
      <c r="F363" s="5" t="str">
        <f>"Descripcion: MESA PUENTE PARA ALIMENTACION  CON DOBLE SOPORTE  Estado: Bueno Placa anterior: 000027029 Material: METALICO, ACERO INOX Color: BEIGE Referencia:  Observacion:  Placa padre: Tipo adquisicion: Entidad"</f>
        <v>Descripcion: MESA PUENTE PARA ALIMENTACION  CON DOBLE SOPORTE  Estado: Bueno Placa anterior: 000027029 Material: METALICO, ACERO INOX Color: BEIGE Referencia:  Observacion:  Placa padre: Tipo adquisicion: Entidad</v>
      </c>
      <c r="G363" s="5"/>
    </row>
    <row r="364" spans="1:7" ht="58.5" customHeight="1" x14ac:dyDescent="0.25">
      <c r="A364" s="5" t="str">
        <f>"H0011554"</f>
        <v>H0011554</v>
      </c>
      <c r="B364" s="5" t="str">
        <f>"MESA PUENTE (ALIMENTACION) (INSTRUMENTAL)"</f>
        <v>MESA PUENTE (ALIMENTACION) (INSTRUMENTAL)</v>
      </c>
      <c r="C364" s="6">
        <v>15000</v>
      </c>
      <c r="D364" s="5"/>
      <c r="E364" s="5" t="str">
        <f t="shared" si="13"/>
        <v>ACTISALUD-MEDICINA INTERNA- PISO 7</v>
      </c>
      <c r="F364" s="5" t="str">
        <f>"Descripcion: MESA PUENTE PARA ALIMENTACION  CON DOBLE SOPORTE  Estado: Bueno Placa anterior: 000027034 Material: METALICO, ACERO INOX Color: GRIS Referencia:  Observacion:  Placa padre: Tipo adquisicion: Entidad"</f>
        <v>Descripcion: MESA PUENTE PARA ALIMENTACION  CON DOBLE SOPORTE  Estado: Bueno Placa anterior: 000027034 Material: METALICO, ACERO INOX Color: GRIS Referencia:  Observacion:  Placa padre: Tipo adquisicion: Entidad</v>
      </c>
      <c r="G364" s="5"/>
    </row>
    <row r="365" spans="1:7" ht="58.5" customHeight="1" x14ac:dyDescent="0.25">
      <c r="A365" s="5" t="str">
        <f>"H0011555"</f>
        <v>H0011555</v>
      </c>
      <c r="B365" s="5" t="str">
        <f>"MESA PUENTE (ALIMENTACION) (INSTRUMENTAL)"</f>
        <v>MESA PUENTE (ALIMENTACION) (INSTRUMENTAL)</v>
      </c>
      <c r="C365" s="6">
        <v>15000</v>
      </c>
      <c r="D365" s="5"/>
      <c r="E365" s="5" t="str">
        <f t="shared" si="13"/>
        <v>ACTISALUD-MEDICINA INTERNA- PISO 7</v>
      </c>
      <c r="F365" s="5" t="str">
        <f>"Descripcion: MESA PUENTE PARA ALIMENTACION  CON DOBLE SOPORTE  Estado: Bueno Placa anterior: 000027040 Material: METALICO, ACERO INOX Color: GRIS Referencia:  Observacion:  Placa padre: Tipo adquisicion: Entidad"</f>
        <v>Descripcion: MESA PUENTE PARA ALIMENTACION  CON DOBLE SOPORTE  Estado: Bueno Placa anterior: 000027040 Material: METALICO, ACERO INOX Color: GRIS Referencia:  Observacion:  Placa padre: Tipo adquisicion: Entidad</v>
      </c>
      <c r="G365" s="5"/>
    </row>
    <row r="366" spans="1:7" ht="58.5" customHeight="1" x14ac:dyDescent="0.25">
      <c r="A366" s="5" t="str">
        <f>"H0011556"</f>
        <v>H0011556</v>
      </c>
      <c r="B366" s="5" t="str">
        <f>"MESA PUENTE (ALIMENTACION) (INSTRUMENTAL)"</f>
        <v>MESA PUENTE (ALIMENTACION) (INSTRUMENTAL)</v>
      </c>
      <c r="C366" s="6">
        <v>15000</v>
      </c>
      <c r="D366" s="5"/>
      <c r="E366" s="5" t="str">
        <f t="shared" si="13"/>
        <v>ACTISALUD-MEDICINA INTERNA- PISO 7</v>
      </c>
      <c r="F366" s="5" t="str">
        <f>"Descripcion: MESA PUENTE PARA ALIMENTACION  CON DOBLE SOPORTE  Estado: Bueno Placa anterior: 000027041 Material: METALICO, ACERO INOX Color: BEIGE Referencia:  Observacion:  Placa padre: Tipo adquisicion: Entidad"</f>
        <v>Descripcion: MESA PUENTE PARA ALIMENTACION  CON DOBLE SOPORTE  Estado: Bueno Placa anterior: 000027041 Material: METALICO, ACERO INOX Color: BEIGE Referencia:  Observacion:  Placa padre: Tipo adquisicion: Entidad</v>
      </c>
      <c r="G366" s="5"/>
    </row>
    <row r="367" spans="1:7" ht="58.5" customHeight="1" x14ac:dyDescent="0.25">
      <c r="A367" s="5" t="str">
        <f>"H0011557"</f>
        <v>H0011557</v>
      </c>
      <c r="B367" s="5" t="str">
        <f>"MESA PUENTE (ALIMENTACION) (INSTRUMENTAL)"</f>
        <v>MESA PUENTE (ALIMENTACION) (INSTRUMENTAL)</v>
      </c>
      <c r="C367" s="6">
        <v>15000</v>
      </c>
      <c r="D367" s="5"/>
      <c r="E367" s="5" t="str">
        <f t="shared" si="13"/>
        <v>ACTISALUD-MEDICINA INTERNA- PISO 7</v>
      </c>
      <c r="F367" s="5" t="str">
        <f>"Descripcion: MESA PUENTE PARA ALIMENTACION  CON DOBLE SOPORTE  Estado: Bueno Placa anterior: 000027042 Material: METALICO, ACERO INOX Color: GRIS Referencia:  Observacion:  Placa padre: Tipo adquisicion: Entidad"</f>
        <v>Descripcion: MESA PUENTE PARA ALIMENTACION  CON DOBLE SOPORTE  Estado: Bueno Placa anterior: 000027042 Material: METALICO, ACERO INOX Color: GRIS Referencia:  Observacion:  Placa padre: Tipo adquisicion: Entidad</v>
      </c>
      <c r="G367" s="5"/>
    </row>
    <row r="368" spans="1:7" ht="58.5" customHeight="1" x14ac:dyDescent="0.25">
      <c r="A368" s="5" t="str">
        <f>"H0011559"</f>
        <v>H0011559</v>
      </c>
      <c r="B368" s="5" t="str">
        <f>"RIÑONERA HOSPITALARIA EN ACERO INOXIDABLE"</f>
        <v>RIÑONERA HOSPITALARIA EN ACERO INOXIDABLE</v>
      </c>
      <c r="C368" s="6">
        <v>2163.9299999999998</v>
      </c>
      <c r="D368" s="5"/>
      <c r="E368" s="5" t="str">
        <f t="shared" si="13"/>
        <v>ACTISALUD-MEDICINA INTERNA- PISO 7</v>
      </c>
      <c r="F368" s="5" t="str">
        <f>"Descripcion: RIÑONERA HOSPITALARIA EN ACERO INOXIDABLE Estado: Bueno Placa anterior: 000004307 Material: ACERO INOXIDABLE Color:  Referencia:  Observacion:  Placa padre: Tipo adquisicion: Entidad"</f>
        <v>Descripcion: RIÑONERA HOSPITALARIA EN ACERO INOXIDABLE Estado: Bueno Placa anterior: 000004307 Material: ACERO INOXIDABLE Color:  Referencia:  Observacion:  Placa padre: Tipo adquisicion: Entidad</v>
      </c>
      <c r="G368" s="5"/>
    </row>
    <row r="369" spans="1:7" ht="58.5" customHeight="1" x14ac:dyDescent="0.25">
      <c r="A369" s="5" t="str">
        <f>"H0011585"</f>
        <v>H0011585</v>
      </c>
      <c r="B369" s="5" t="str">
        <f>"CAMA HOSPITALARIA 4 PLANOS CON BARANDA"</f>
        <v>CAMA HOSPITALARIA 4 PLANOS CON BARANDA</v>
      </c>
      <c r="C369" s="6">
        <v>41726.67</v>
      </c>
      <c r="D369" s="5"/>
      <c r="E369" s="5" t="str">
        <f t="shared" si="13"/>
        <v>ACTISALUD-MEDICINA INTERNA- PISO 7</v>
      </c>
      <c r="F369" s="5" t="str">
        <f>"Descripcion: CAMA HOSPITALARIA 4 PLANOS CON BARANDA Estado: Bueno Placa anterior: 000027521 Material: METALICO Color: BEIGE Referencia:  Observacion:  Placa padre: Tipo adquisicion: Entidad"</f>
        <v>Descripcion: CAMA HOSPITALARIA 4 PLANOS CON BARANDA Estado: Bueno Placa anterior: 000027521 Material: METALICO Color: BEIGE Referencia:  Observacion:  Placa padre: Tipo adquisicion: Entidad</v>
      </c>
      <c r="G369" s="5"/>
    </row>
    <row r="370" spans="1:7" ht="58.5" customHeight="1" x14ac:dyDescent="0.25">
      <c r="A370" s="5" t="str">
        <f>"H0012152"</f>
        <v>H0012152</v>
      </c>
      <c r="B370" s="5" t="str">
        <f>"ARCHIVADOR DE MADERA 3 GAVETAS"</f>
        <v>ARCHIVADOR DE MADERA 3 GAVETAS</v>
      </c>
      <c r="C370" s="6">
        <v>16445</v>
      </c>
      <c r="D370" s="5"/>
      <c r="E370" s="5" t="str">
        <f t="shared" si="13"/>
        <v>ACTISALUD-MEDICINA INTERNA- PISO 7</v>
      </c>
      <c r="F370" s="5" t="str">
        <f>"Descripcion: ARCHIVADOR 3 GAVETAS -SUELTO Estado: Bueno Placa anterior: 000004610 Material: MADERA Color: WENGUE Y BLANCO Referencia:  Observacion:  Placa padre: Tipo adquisicion: Entidad"</f>
        <v>Descripcion: ARCHIVADOR 3 GAVETAS -SUELTO Estado: Bueno Placa anterior: 000004610 Material: MADERA Color: WENGUE Y BLANCO Referencia:  Observacion:  Placa padre: Tipo adquisicion: Entidad</v>
      </c>
      <c r="G370" s="5"/>
    </row>
    <row r="371" spans="1:7" ht="58.5" customHeight="1" x14ac:dyDescent="0.25">
      <c r="A371" s="5" t="str">
        <f>"H0012156"</f>
        <v>H0012156</v>
      </c>
      <c r="B371" s="5" t="str">
        <f>"MESA PUENTE (ALIMENTACION) (INSTRUMENTAL)"</f>
        <v>MESA PUENTE (ALIMENTACION) (INSTRUMENTAL)</v>
      </c>
      <c r="C371" s="6">
        <v>15000</v>
      </c>
      <c r="D371" s="5"/>
      <c r="E371" s="5" t="str">
        <f t="shared" si="13"/>
        <v>ACTISALUD-MEDICINA INTERNA- PISO 7</v>
      </c>
      <c r="F371" s="5" t="str">
        <f>"Descripcion: MESA PUENTE CON RODACHINES Estado: Bueno Placa anterior: 000027043 Material: METAL Color: BEIGE Referencia:  Observacion:  Placa padre: Tipo adquisicion: Entidad"</f>
        <v>Descripcion: MESA PUENTE CON RODACHINES Estado: Bueno Placa anterior: 000027043 Material: METAL Color: BEIGE Referencia:  Observacion:  Placa padre: Tipo adquisicion: Entidad</v>
      </c>
      <c r="G371" s="5"/>
    </row>
    <row r="372" spans="1:7" ht="58.5" customHeight="1" x14ac:dyDescent="0.25">
      <c r="A372" s="5" t="str">
        <f>"H0012160"</f>
        <v>H0012160</v>
      </c>
      <c r="B372" s="5" t="str">
        <f>"CUBETA DE ACERO INOXIDABLE CON TAPA PEQUEÑA"</f>
        <v>CUBETA DE ACERO INOXIDABLE CON TAPA PEQUEÑA</v>
      </c>
      <c r="C372" s="6">
        <v>18602.580000000002</v>
      </c>
      <c r="D372" s="5"/>
      <c r="E372" s="5" t="str">
        <f t="shared" si="13"/>
        <v>ACTISALUD-MEDICINA INTERNA- PISO 7</v>
      </c>
      <c r="F372" s="5" t="str">
        <f>"Descripcion: CUBETA DE ACERO INOX. CON TAPA PEQ. Estado: Bueno Placa anterior: 000004694 Material: ACERO INOXIDABLE Color: PLATEADO Referencia:  Observacion:  Placa padre: Tipo adquisicion: Entidad"</f>
        <v>Descripcion: CUBETA DE ACERO INOX. CON TAPA PEQ. Estado: Bueno Placa anterior: 000004694 Material: ACERO INOXIDABLE Color: PLATEADO Referencia:  Observacion:  Placa padre: Tipo adquisicion: Entidad</v>
      </c>
      <c r="G372" s="5"/>
    </row>
    <row r="373" spans="1:7" ht="58.5" customHeight="1" x14ac:dyDescent="0.25">
      <c r="A373" s="5" t="str">
        <f>"H0012163"</f>
        <v>H0012163</v>
      </c>
      <c r="B373" s="5" t="str">
        <f>"ESCRITORIO METALICO 3 GAVETAS"</f>
        <v>ESCRITORIO METALICO 3 GAVETAS</v>
      </c>
      <c r="C373" s="6">
        <v>17058.63</v>
      </c>
      <c r="D373" s="5"/>
      <c r="E373" s="5" t="str">
        <f t="shared" si="13"/>
        <v>ACTISALUD-MEDICINA INTERNA- PISO 7</v>
      </c>
      <c r="F373" s="5" t="str">
        <f>"Descripcion: ESCRITORIO DE 2 GAVETAS Estado: Bueno Placa anterior: 000004589 Material: METAL Y FORMICA Color: GRIS Y MADERA Referencia:  Observacion:  Placa padre: Tipo adquisicion: Entidad"</f>
        <v>Descripcion: ESCRITORIO DE 2 GAVETAS Estado: Bueno Placa anterior: 000004589 Material: METAL Y FORMICA Color: GRIS Y MADERA Referencia:  Observacion:  Placa padre: Tipo adquisicion: Entidad</v>
      </c>
      <c r="G373" s="5"/>
    </row>
    <row r="374" spans="1:7" ht="58.5" customHeight="1" x14ac:dyDescent="0.25">
      <c r="A374" s="5" t="str">
        <f>"H0012169"</f>
        <v>H0012169</v>
      </c>
      <c r="B374" s="5" t="str">
        <f>"NEGATOSCOPIO"</f>
        <v>NEGATOSCOPIO</v>
      </c>
      <c r="C374" s="6">
        <v>3970</v>
      </c>
      <c r="D374" s="5"/>
      <c r="E374" s="5" t="str">
        <f t="shared" si="13"/>
        <v>ACTISALUD-MEDICINA INTERNA- PISO 7</v>
      </c>
      <c r="F374" s="5" t="str">
        <f>"Descripcion: NEGATOSCOPIO DE 1 CUERPO Estado: Bueno Placa anterior: 000021604 Material: METAL Y ACRILICO Color: METAL Y BLANCO Referencia:  Observacion:  Placa padre: Tipo adquisicion: Entidad"</f>
        <v>Descripcion: NEGATOSCOPIO DE 1 CUERPO Estado: Bueno Placa anterior: 000021604 Material: METAL Y ACRILICO Color: METAL Y BLANCO Referencia:  Observacion:  Placa padre: Tipo adquisicion: Entidad</v>
      </c>
      <c r="G374" s="5" t="str">
        <f>"1 CUERPO"</f>
        <v>1 CUERPO</v>
      </c>
    </row>
    <row r="375" spans="1:7" ht="58.5" customHeight="1" x14ac:dyDescent="0.25">
      <c r="A375" s="5" t="str">
        <f>"H0012173"</f>
        <v>H0012173</v>
      </c>
      <c r="B375" s="5" t="str">
        <f>"CARRO DE PARO"</f>
        <v>CARRO DE PARO</v>
      </c>
      <c r="C375" s="6">
        <v>2552000</v>
      </c>
      <c r="D375" s="5"/>
      <c r="E375" s="5" t="str">
        <f t="shared" si="13"/>
        <v>ACTISALUD-MEDICINA INTERNA- PISO 7</v>
      </c>
      <c r="F375" s="5" t="str">
        <f>"Descripcion: CARRO DE PARO SENCILLO MODELO 181-34 - CONTIENE ATRIL PEQ. Estado: Bueno Placa anterior: 000026462 Material: METAL Color: BEIGE Referencia:  Observacion:  Placa padre: Tipo adquisicion: Entidad"</f>
        <v>Descripcion: CARRO DE PARO SENCILLO MODELO 181-34 - CONTIENE ATRIL PEQ. Estado: Bueno Placa anterior: 000026462 Material: METAL Color: BEIGE Referencia:  Observacion:  Placa padre: Tipo adquisicion: Entidad</v>
      </c>
      <c r="G375" s="5"/>
    </row>
    <row r="376" spans="1:7" ht="58.5" customHeight="1" x14ac:dyDescent="0.25">
      <c r="A376" s="5" t="str">
        <f>"H0012174"</f>
        <v>H0012174</v>
      </c>
      <c r="B376" s="5" t="str">
        <f>"ESCRITORIO METALICO 3 GAVETAS"</f>
        <v>ESCRITORIO METALICO 3 GAVETAS</v>
      </c>
      <c r="C376" s="6">
        <v>17058.63</v>
      </c>
      <c r="D376" s="5"/>
      <c r="E376" s="5" t="str">
        <f t="shared" si="13"/>
        <v>ACTISALUD-MEDICINA INTERNA- PISO 7</v>
      </c>
      <c r="F376" s="5" t="str">
        <f>"Descripcion: ESCRITORIO METALICO 3 GAVETAS Estado: Bueno Placa anterior: 000027031 Material: METAL Y FORMICA Color: GRIS Y MADERA Referencia:  Observacion:  Placa padre: Tipo adquisicion: Entidad"</f>
        <v>Descripcion: ESCRITORIO METALICO 3 GAVETAS Estado: Bueno Placa anterior: 000027031 Material: METAL Y FORMICA Color: GRIS Y MADERA Referencia:  Observacion:  Placa padre: Tipo adquisicion: Entidad</v>
      </c>
      <c r="G376" s="5"/>
    </row>
    <row r="377" spans="1:7" ht="58.5" customHeight="1" x14ac:dyDescent="0.25">
      <c r="A377" s="5" t="str">
        <f>"H0012175"</f>
        <v>H0012175</v>
      </c>
      <c r="B377" s="5" t="str">
        <f>"SILLA INTERLOCUTORA (FIJA) SIN BRAZOS"</f>
        <v>SILLA INTERLOCUTORA (FIJA) SIN BRAZOS</v>
      </c>
      <c r="C377" s="6">
        <v>11235.46</v>
      </c>
      <c r="D377" s="5"/>
      <c r="E377" s="5" t="str">
        <f t="shared" si="13"/>
        <v>ACTISALUD-MEDICINA INTERNA- PISO 7</v>
      </c>
      <c r="F377" s="5" t="str">
        <f>"Descripcion: SILLA FIJA TIPO A COLOR MARRON SIN BRAZOS Estado: Regular Placa anterior: 000003959 Material: METAL Y CUERINA Color: MARRON Referencia:  Observacion: ASIENTO PARTIDO Y SUELTO  Placa padre: Tipo adquisicion: Entidad"</f>
        <v>Descripcion: SILLA FIJA TIPO A COLOR MARRON SIN BRAZOS Estado: Regular Placa anterior: 000003959 Material: METAL Y CUERINA Color: MARRON Referencia:  Observacion: ASIENTO PARTIDO Y SUELTO  Placa padre: Tipo adquisicion: Entidad</v>
      </c>
      <c r="G377" s="5"/>
    </row>
    <row r="378" spans="1:7" ht="58.5" customHeight="1" x14ac:dyDescent="0.25">
      <c r="A378" s="5" t="str">
        <f>"H0012178"</f>
        <v>H0012178</v>
      </c>
      <c r="B378" s="5" t="str">
        <f>"CAMILLA FIJA (TIPO DIVAN)"</f>
        <v>CAMILLA FIJA (TIPO DIVAN)</v>
      </c>
      <c r="C378" s="6">
        <v>49170</v>
      </c>
      <c r="D378" s="5"/>
      <c r="E378" s="5" t="str">
        <f t="shared" si="13"/>
        <v>ACTISALUD-MEDICINA INTERNA- PISO 7</v>
      </c>
      <c r="F378" s="5" t="str">
        <f>"Descripcion: CAMILLA FIJA SIN RUEDAS ( DE PACIENTE) Estado: Bueno Placa anterior: 000004490 Material: METAL Y FORRO CUERINA Color: GRIS Y NEGRO Referencia:  Observacion: AUTORIZADO CONCILIAR EN CRUCE GENERAL Placa padre: Tipo adquisicion: Entidad"</f>
        <v>Descripcion: CAMILLA FIJA SIN RUEDAS ( DE PACIENTE) Estado: Bueno Placa anterior: 000004490 Material: METAL Y FORRO CUERINA Color: GRIS Y NEGRO Referencia:  Observacion: AUTORIZADO CONCILIAR EN CRUCE GENERAL Placa padre: Tipo adquisicion: Entidad</v>
      </c>
      <c r="G378" s="5"/>
    </row>
    <row r="379" spans="1:7" ht="58.5" customHeight="1" x14ac:dyDescent="0.25">
      <c r="A379" s="5" t="str">
        <f>"H0012180"</f>
        <v>H0012180</v>
      </c>
      <c r="B379" s="5" t="str">
        <f>"VITRINA DE 1 CUERPO"</f>
        <v>VITRINA DE 1 CUERPO</v>
      </c>
      <c r="C379" s="6">
        <v>20790</v>
      </c>
      <c r="D379" s="5"/>
      <c r="E379" s="5" t="str">
        <f t="shared" si="13"/>
        <v>ACTISALUD-MEDICINA INTERNA- PISO 7</v>
      </c>
      <c r="F379" s="5" t="str">
        <f>"Descripcion: VITRINA DE UN CUERPO Estado: Bueno Placa anterior: 000004374 Material: METAL Color: GRIS Referencia:  Observacion:  Placa padre: Tipo adquisicion: Entidad"</f>
        <v>Descripcion: VITRINA DE UN CUERPO Estado: Bueno Placa anterior: 000004374 Material: METAL Color: GRIS Referencia:  Observacion:  Placa padre: Tipo adquisicion: Entidad</v>
      </c>
      <c r="G379" s="5"/>
    </row>
    <row r="380" spans="1:7" ht="58.5" customHeight="1" x14ac:dyDescent="0.25">
      <c r="A380" s="5" t="str">
        <f>"H0012182"</f>
        <v>H0012182</v>
      </c>
      <c r="B380" s="5" t="str">
        <f>"MESA DE NOCHE"</f>
        <v>MESA DE NOCHE</v>
      </c>
      <c r="C380" s="6">
        <v>327586</v>
      </c>
      <c r="D380" s="5"/>
      <c r="E380" s="5" t="str">
        <f t="shared" si="13"/>
        <v>ACTISALUD-MEDICINA INTERNA- PISO 7</v>
      </c>
      <c r="F380" s="5" t="str">
        <f>"Descripcion: MESA DE NOCHE Estado: Bueno Placa anterior: 000032716 Material: METAL Y FORMICA Color: PLATEADO Y MADERA Referencia:  Observacion: EL BIEN TIENE PLACA ANTERIOR 000027255, AUTORIZADO CONCILIAR EN CRUCE GENERAL Placa padre: Tipo adquisicion: En"&amp; "tidad"</f>
        <v>Descripcion: MESA DE NOCHE Estado: Bueno Placa anterior: 000032716 Material: METAL Y FORMICA Color: PLATEADO Y MADERA Referencia:  Observacion: EL BIEN TIENE PLACA ANTERIOR 000027255, AUTORIZADO CONCILIAR EN CRUCE GENERAL Placa padre: Tipo adquisicion: Entidad</v>
      </c>
      <c r="G380" s="5"/>
    </row>
    <row r="381" spans="1:7" ht="58.5" customHeight="1" x14ac:dyDescent="0.25">
      <c r="A381" s="5" t="str">
        <f>"H0012185"</f>
        <v>H0012185</v>
      </c>
      <c r="B381" s="5" t="str">
        <f>"ESCRITORIO METALICO 2 GAVETAS"</f>
        <v>ESCRITORIO METALICO 2 GAVETAS</v>
      </c>
      <c r="C381" s="6">
        <v>17058.63</v>
      </c>
      <c r="D381" s="5"/>
      <c r="E381" s="5" t="str">
        <f t="shared" si="13"/>
        <v>ACTISALUD-MEDICINA INTERNA- PISO 7</v>
      </c>
      <c r="F381" s="5" t="str">
        <f>"Descripcion: ESCRITORIO DE 2 GAVETAS Estado: Bueno Placa anterior: 000004587 Material: METAL Y FORMICA Color: GRIS Y MADERA Referencia:  Observacion:  Placa padre: Tipo adquisicion: Entidad"</f>
        <v>Descripcion: ESCRITORIO DE 2 GAVETAS Estado: Bueno Placa anterior: 000004587 Material: METAL Y FORMICA Color: GRIS Y MADERA Referencia:  Observacion:  Placa padre: Tipo adquisicion: Entidad</v>
      </c>
      <c r="G381" s="5"/>
    </row>
    <row r="382" spans="1:7" ht="58.5" customHeight="1" x14ac:dyDescent="0.25">
      <c r="A382" s="5" t="str">
        <f>"H0012190"</f>
        <v>H0012190</v>
      </c>
      <c r="B382" s="5" t="str">
        <f>"MESA DE NOCHE"</f>
        <v>MESA DE NOCHE</v>
      </c>
      <c r="C382" s="6">
        <v>327586</v>
      </c>
      <c r="D382" s="5"/>
      <c r="E382" s="5" t="str">
        <f t="shared" si="13"/>
        <v>ACTISALUD-MEDICINA INTERNA- PISO 7</v>
      </c>
      <c r="F382" s="5" t="str">
        <f>"Descripcion: MESA DE NOCHE Estado: Bueno Placa anterior: 000032702 Material: METAL Color: GRIS Referencia:  Observacion:  Placa padre: Tipo adquisicion: Entidad"</f>
        <v>Descripcion: MESA DE NOCHE Estado: Bueno Placa anterior: 000032702 Material: METAL Color: GRIS Referencia:  Observacion:  Placa padre: Tipo adquisicion: Entidad</v>
      </c>
      <c r="G382" s="5"/>
    </row>
    <row r="383" spans="1:7" ht="58.5" customHeight="1" x14ac:dyDescent="0.25">
      <c r="A383" s="5" t="str">
        <f>"H0012191"</f>
        <v>H0012191</v>
      </c>
      <c r="B383" s="5" t="str">
        <f>"LOCKER DE 6 COMPARTIMIENTOS"</f>
        <v>LOCKER DE 6 COMPARTIMIENTOS</v>
      </c>
      <c r="C383" s="6">
        <v>585988</v>
      </c>
      <c r="D383" s="5" t="s">
        <v>60</v>
      </c>
      <c r="E383" s="5" t="str">
        <f t="shared" si="13"/>
        <v>ACTISALUD-MEDICINA INTERNA- PISO 7</v>
      </c>
      <c r="F383" s="5" t="str">
        <f>"Descripcion: LOCKER DE LAMINA CALIBRE 22 C/6 CASILLEROS, PORTACANDADO, MANIJA PROFUNDIZADA MEDIDAS 1.80X1.90 DE ANCHO X 35 DE FONDO DE PINTURA Estado: Bueno Placa anterior: 000029165 Material: METAL Color: GRIS Referencia:  Observacion:  Placa padre: Tipo"&amp; " adquisicion: Entidad"</f>
        <v>Descripcion: LOCKER DE LAMINA CALIBRE 22 C/6 CASILLEROS, PORTACANDADO, MANIJA PROFUNDIZADA MEDIDAS 1.80X1.90 DE ANCHO X 35 DE FONDO DE PINTURA Estado: Bueno Placa anterior: 000029165 Material: METAL Color: GRIS Referencia:  Observacion:  Placa padre: Tipo adquisicion: Entidad</v>
      </c>
      <c r="G383" s="5"/>
    </row>
    <row r="384" spans="1:7" ht="58.5" customHeight="1" x14ac:dyDescent="0.25">
      <c r="A384" s="5" t="str">
        <f>"H0012192"</f>
        <v>H0012192</v>
      </c>
      <c r="B384" s="5" t="str">
        <f>"BALANZA ANALOGA DE PISO (PESO) CON TALLIMETRO"</f>
        <v>BALANZA ANALOGA DE PISO (PESO) CON TALLIMETRO</v>
      </c>
      <c r="C384" s="6">
        <v>812000</v>
      </c>
      <c r="D384" s="5"/>
      <c r="E384" s="5" t="str">
        <f t="shared" si="13"/>
        <v>ACTISALUD-MEDICINA INTERNA- PISO 7</v>
      </c>
      <c r="F384" s="5" t="str">
        <f>"Descripcion: BASCULA PARA ADULTO CON PLATAFORMA Y TALLIMETRO Estado: Bueno Placa anterior: 000006084 Material: METAL Color: BLANCO Referencia:  Observacion:  Placa padre: Tipo adquisicion: Entidad"</f>
        <v>Descripcion: BASCULA PARA ADULTO CON PLATAFORMA Y TALLIMETRO Estado: Bueno Placa anterior: 000006084 Material: METAL Color: BLANCO Referencia:  Observacion:  Placa padre: Tipo adquisicion: Entidad</v>
      </c>
      <c r="G384" s="5"/>
    </row>
    <row r="385" spans="1:7" ht="58.5" customHeight="1" x14ac:dyDescent="0.25">
      <c r="A385" s="5" t="str">
        <f>"H0012196"</f>
        <v>H0012196</v>
      </c>
      <c r="B385" s="5" t="str">
        <f>"RIÑONERA HOSPITALARIA EN ACERO INOXIDABLE"</f>
        <v>RIÑONERA HOSPITALARIA EN ACERO INOXIDABLE</v>
      </c>
      <c r="C385" s="6">
        <v>2163.9299999999998</v>
      </c>
      <c r="D385" s="5"/>
      <c r="E385" s="5" t="str">
        <f t="shared" si="13"/>
        <v>ACTISALUD-MEDICINA INTERNA- PISO 7</v>
      </c>
      <c r="F385" s="5" t="str">
        <f>"Descripcion: RIÑONERA Estado: Bueno Placa anterior: 000004359 Material: ACERO INOX. Color: PLATEADO Referencia:  Observacion:  Placa padre: Tipo adquisicion: Entidad"</f>
        <v>Descripcion: RIÑONERA Estado: Bueno Placa anterior: 000004359 Material: ACERO INOX. Color: PLATEADO Referencia:  Observacion:  Placa padre: Tipo adquisicion: Entidad</v>
      </c>
      <c r="G385" s="5"/>
    </row>
    <row r="386" spans="1:7" ht="58.5" customHeight="1" x14ac:dyDescent="0.25">
      <c r="A386" s="5" t="str">
        <f>"H0012197"</f>
        <v>H0012197</v>
      </c>
      <c r="B386" s="5" t="str">
        <f>"INFANTOMETRO"</f>
        <v>INFANTOMETRO</v>
      </c>
      <c r="C386" s="6">
        <v>43240.639999999999</v>
      </c>
      <c r="D386" s="5"/>
      <c r="E386" s="5" t="str">
        <f t="shared" si="13"/>
        <v>ACTISALUD-MEDICINA INTERNA- PISO 7</v>
      </c>
      <c r="F386" s="5" t="str">
        <f>"Descripcion: CAMA HOSPITALARIA Estado: Bueno Placa anterior: 000027011 Material: METAL Y PASTA Color: BEIGE Referencia:  Observacion:  Placa padre: Tipo adquisicion: Entidad"</f>
        <v>Descripcion: CAMA HOSPITALARIA Estado: Bueno Placa anterior: 000027011 Material: METAL Y PASTA Color: BEIGE Referencia:  Observacion:  Placa padre: Tipo adquisicion: Entidad</v>
      </c>
      <c r="G386" s="5"/>
    </row>
    <row r="387" spans="1:7" ht="58.5" customHeight="1" x14ac:dyDescent="0.25">
      <c r="A387" s="5" t="str">
        <f>"H0012198"</f>
        <v>H0012198</v>
      </c>
      <c r="B387" s="5" t="str">
        <f>"MESA DE NOCHE"</f>
        <v>MESA DE NOCHE</v>
      </c>
      <c r="C387" s="6">
        <v>327586</v>
      </c>
      <c r="D387" s="5"/>
      <c r="E387" s="5" t="str">
        <f t="shared" si="13"/>
        <v>ACTISALUD-MEDICINA INTERNA- PISO 7</v>
      </c>
      <c r="F387" s="5" t="str">
        <f>"Descripcion: MESA DE NOCHE Estado: Bueno Placa anterior: 000032722 Material: ACERO INOX. Color: PLATEADO Referencia:  Observacion:  Placa padre: Tipo adquisicion: Entidad"</f>
        <v>Descripcion: MESA DE NOCHE Estado: Bueno Placa anterior: 000032722 Material: ACERO INOX. Color: PLATEADO Referencia:  Observacion:  Placa padre: Tipo adquisicion: Entidad</v>
      </c>
      <c r="G387" s="5"/>
    </row>
    <row r="388" spans="1:7" ht="58.5" customHeight="1" x14ac:dyDescent="0.25">
      <c r="A388" s="5" t="str">
        <f>"H0012199"</f>
        <v>H0012199</v>
      </c>
      <c r="B388" s="5" t="str">
        <f>"MESA PUENTE (ALIMENTACION) (INSTRUMENTAL)"</f>
        <v>MESA PUENTE (ALIMENTACION) (INSTRUMENTAL)</v>
      </c>
      <c r="C388" s="6">
        <v>15000</v>
      </c>
      <c r="D388" s="5"/>
      <c r="E388" s="5" t="str">
        <f t="shared" si="13"/>
        <v>ACTISALUD-MEDICINA INTERNA- PISO 7</v>
      </c>
      <c r="F388" s="5" t="str">
        <f>"Descripcion: MESA PUENTE Estado: Bueno Placa anterior: 000027086 Material: METAL Y ACERO Color: GRIS Y PLATEADO Referencia:  Observacion: EL BIEN TIENE PLACA ANTERIOR 000021618, AUTORIZADO CONCILIAR EN CRUCE GENERAL Placa padre: Tipo adquisicion: Entidad"</f>
        <v>Descripcion: MESA PUENTE Estado: Bueno Placa anterior: 000027086 Material: METAL Y ACERO Color: GRIS Y PLATEADO Referencia:  Observacion: EL BIEN TIENE PLACA ANTERIOR 000021618, AUTORIZADO CONCILIAR EN CRUCE GENERAL Placa padre: Tipo adquisicion: Entidad</v>
      </c>
      <c r="G388" s="5"/>
    </row>
    <row r="389" spans="1:7" ht="58.5" customHeight="1" x14ac:dyDescent="0.25">
      <c r="A389" s="5" t="str">
        <f>"H0012205"</f>
        <v>H0012205</v>
      </c>
      <c r="B389" s="5" t="str">
        <f>"MESA PUENTE (ALIMENTACION) (INSTRUMENTAL)"</f>
        <v>MESA PUENTE (ALIMENTACION) (INSTRUMENTAL)</v>
      </c>
      <c r="C389" s="6">
        <v>15000</v>
      </c>
      <c r="D389" s="5"/>
      <c r="E389" s="5" t="str">
        <f t="shared" si="13"/>
        <v>ACTISALUD-MEDICINA INTERNA- PISO 7</v>
      </c>
      <c r="F389" s="5" t="str">
        <f>"Descripcion: MESA PUENTE Estado: Bueno Placa anterior: 000027077 Material: METAL Y ACERO Color: GRIS Y PLATEADO Referencia:  Observacion: EL BIEN TIENE PLACA ANTERIOR 000021541, AUTORIZADO CONCILIAR EN CRUCE GENERAL Placa padre: Tipo adquisicion: Entidad"</f>
        <v>Descripcion: MESA PUENTE Estado: Bueno Placa anterior: 000027077 Material: METAL Y ACERO Color: GRIS Y PLATEADO Referencia:  Observacion: EL BIEN TIENE PLACA ANTERIOR 000021541, AUTORIZADO CONCILIAR EN CRUCE GENERAL Placa padre: Tipo adquisicion: Entidad</v>
      </c>
      <c r="G389" s="5"/>
    </row>
    <row r="390" spans="1:7" ht="58.5" customHeight="1" x14ac:dyDescent="0.25">
      <c r="A390" s="5" t="str">
        <f>"H0012208"</f>
        <v>H0012208</v>
      </c>
      <c r="B390" s="5" t="str">
        <f>"MESA DE NOCHE"</f>
        <v>MESA DE NOCHE</v>
      </c>
      <c r="C390" s="6">
        <v>327586</v>
      </c>
      <c r="D390" s="5"/>
      <c r="E390" s="5" t="str">
        <f t="shared" si="13"/>
        <v>ACTISALUD-MEDICINA INTERNA- PISO 7</v>
      </c>
      <c r="F390" s="5" t="str">
        <f>"Descripcion: MESA DE NOCHE CON 2 GAVETAS Estado: Bueno Placa anterior: 000032703 Material: ACERO INOX. Color: PLATEADO Referencia:  Observacion:  Placa padre: Tipo adquisicion: Entidad"</f>
        <v>Descripcion: MESA DE NOCHE CON 2 GAVETAS Estado: Bueno Placa anterior: 000032703 Material: ACERO INOX. Color: PLATEADO Referencia:  Observacion:  Placa padre: Tipo adquisicion: Entidad</v>
      </c>
      <c r="G390" s="5"/>
    </row>
    <row r="391" spans="1:7" ht="58.5" customHeight="1" x14ac:dyDescent="0.25">
      <c r="A391" s="5" t="str">
        <f>"H0012209"</f>
        <v>H0012209</v>
      </c>
      <c r="B391" s="5" t="str">
        <f>"FLUJOMETRO DOBLE"</f>
        <v>FLUJOMETRO DOBLE</v>
      </c>
      <c r="C391" s="6">
        <v>365400</v>
      </c>
      <c r="D391" s="5" t="s">
        <v>56</v>
      </c>
      <c r="E391" s="5" t="str">
        <f t="shared" si="13"/>
        <v>ACTISALUD-MEDICINA INTERNA- PISO 7</v>
      </c>
      <c r="F391" s="5" t="str">
        <f>"Descripcion: FLUJOMETRO Estado: Bueno Placa anterior: 000031117 Material: METAL Y PASTA Color: PLATEADO Y VERDE Referencia:  Observacion: AUTORIZADO CONCILIAR EN CRUCE GENERAL Placa padre: Tipo adquisicion: Entidad"</f>
        <v>Descripcion: FLUJOMETRO Estado: Bueno Placa anterior: 000031117 Material: METAL Y PASTA Color: PLATEADO Y VERDE Referencia:  Observacion: AUTORIZADO CONCILIAR EN CRUCE GENERAL Placa padre: Tipo adquisicion: Entidad</v>
      </c>
      <c r="G391" s="5"/>
    </row>
    <row r="392" spans="1:7" ht="58.5" customHeight="1" x14ac:dyDescent="0.25">
      <c r="A392" s="5" t="str">
        <f>"H0012213"</f>
        <v>H0012213</v>
      </c>
      <c r="B392" s="5" t="str">
        <f>"MESA DE NOCHE"</f>
        <v>MESA DE NOCHE</v>
      </c>
      <c r="C392" s="6">
        <v>327586</v>
      </c>
      <c r="D392" s="5"/>
      <c r="E392" s="5" t="str">
        <f t="shared" si="13"/>
        <v>ACTISALUD-MEDICINA INTERNA- PISO 7</v>
      </c>
      <c r="F392" s="5" t="str">
        <f>"Descripcion: MESA DE NOCHE CON 2 GAVETAS Estado: Bueno Placa anterior: 000032705 Material: ACERO INOXIDABLE Color: PLATEADO Referencia:  Observacion:  Placa padre: Tipo adquisicion: Entidad"</f>
        <v>Descripcion: MESA DE NOCHE CON 2 GAVETAS Estado: Bueno Placa anterior: 000032705 Material: ACERO INOXIDABLE Color: PLATEADO Referencia:  Observacion:  Placa padre: Tipo adquisicion: Entidad</v>
      </c>
      <c r="G392" s="5"/>
    </row>
    <row r="393" spans="1:7" ht="58.5" customHeight="1" x14ac:dyDescent="0.25">
      <c r="A393" s="5" t="str">
        <f>"H0012217"</f>
        <v>H0012217</v>
      </c>
      <c r="B393" s="5" t="str">
        <f>"MESA DE NOCHE"</f>
        <v>MESA DE NOCHE</v>
      </c>
      <c r="C393" s="6">
        <v>327586</v>
      </c>
      <c r="D393" s="5"/>
      <c r="E393" s="5" t="str">
        <f t="shared" si="13"/>
        <v>ACTISALUD-MEDICINA INTERNA- PISO 7</v>
      </c>
      <c r="F393" s="5" t="str">
        <f>"Descripcion: MESA DE NOCHE 2 GAVETAS Estado: Bueno Placa anterior: 000032707 Material: ACERO INOX. Color: PLATEADO Referencia:  Observacion:  Placa padre: Tipo adquisicion: Entidad"</f>
        <v>Descripcion: MESA DE NOCHE 2 GAVETAS Estado: Bueno Placa anterior: 000032707 Material: ACERO INOX. Color: PLATEADO Referencia:  Observacion:  Placa padre: Tipo adquisicion: Entidad</v>
      </c>
      <c r="G393" s="5"/>
    </row>
    <row r="394" spans="1:7" ht="58.5" customHeight="1" x14ac:dyDescent="0.25">
      <c r="A394" s="5" t="str">
        <f>"H0012220"</f>
        <v>H0012220</v>
      </c>
      <c r="B394" s="5" t="str">
        <f>"MESA PUENTE (ALIMENTACION) (INSTRUMENTAL)"</f>
        <v>MESA PUENTE (ALIMENTACION) (INSTRUMENTAL)</v>
      </c>
      <c r="C394" s="6">
        <v>15000</v>
      </c>
      <c r="D394" s="5"/>
      <c r="E394" s="5" t="str">
        <f t="shared" si="13"/>
        <v>ACTISALUD-MEDICINA INTERNA- PISO 7</v>
      </c>
      <c r="F394" s="5" t="str">
        <f>"Descripcion: MESA PUENTE Estado: Bueno Placa anterior: 000027050 Material: METAL Y BAND. EN ACERO Color: BEIGE Y PLATEADO Referencia:  Observacion:  Placa padre: Tipo adquisicion: Entidad"</f>
        <v>Descripcion: MESA PUENTE Estado: Bueno Placa anterior: 000027050 Material: METAL Y BAND. EN ACERO Color: BEIGE Y PLATEADO Referencia:  Observacion:  Placa padre: Tipo adquisicion: Entidad</v>
      </c>
      <c r="G394" s="5"/>
    </row>
    <row r="395" spans="1:7" ht="58.5" customHeight="1" x14ac:dyDescent="0.25">
      <c r="A395" s="5" t="str">
        <f>"H0012223"</f>
        <v>H0012223</v>
      </c>
      <c r="B395" s="5" t="str">
        <f>"MESA PUENTE (ALIMENTACION) (INSTRUMENTAL)"</f>
        <v>MESA PUENTE (ALIMENTACION) (INSTRUMENTAL)</v>
      </c>
      <c r="C395" s="6">
        <v>15000</v>
      </c>
      <c r="D395" s="5"/>
      <c r="E395" s="5" t="str">
        <f t="shared" si="13"/>
        <v>ACTISALUD-MEDICINA INTERNA- PISO 7</v>
      </c>
      <c r="F395" s="5" t="str">
        <f>"Descripcion: MESA PUENTE Estado: Bueno Placa anterior: 000027051 Material: METAL Y BANDEJA EN ACERO Color: VERDE AGUA Y PLATEADO Referencia:  Observacion:  Placa padre: Tipo adquisicion: Entidad"</f>
        <v>Descripcion: MESA PUENTE Estado: Bueno Placa anterior: 000027051 Material: METAL Y BANDEJA EN ACERO Color: VERDE AGUA Y PLATEADO Referencia:  Observacion:  Placa padre: Tipo adquisicion: Entidad</v>
      </c>
      <c r="G395" s="5"/>
    </row>
    <row r="396" spans="1:7" ht="58.5" customHeight="1" x14ac:dyDescent="0.25">
      <c r="A396" s="5" t="str">
        <f>"H0012227"</f>
        <v>H0012227</v>
      </c>
      <c r="B396" s="5" t="str">
        <f>"MESA DE NOCHE"</f>
        <v>MESA DE NOCHE</v>
      </c>
      <c r="C396" s="6">
        <v>327586</v>
      </c>
      <c r="D396" s="5"/>
      <c r="E396" s="5" t="str">
        <f t="shared" si="13"/>
        <v>ACTISALUD-MEDICINA INTERNA- PISO 7</v>
      </c>
      <c r="F396" s="5" t="str">
        <f>"Descripcion: MESA DE NOCHE 2 GAVETAS Estado: Bueno Placa anterior: 000032742 Material: ACERO INOXIDABLE Color: PLATEADO Referencia:  Observacion:  Placa padre: Tipo adquisicion: Entidad"</f>
        <v>Descripcion: MESA DE NOCHE 2 GAVETAS Estado: Bueno Placa anterior: 000032742 Material: ACERO INOXIDABLE Color: PLATEADO Referencia:  Observacion:  Placa padre: Tipo adquisicion: Entidad</v>
      </c>
      <c r="G396" s="5"/>
    </row>
    <row r="397" spans="1:7" ht="58.5" customHeight="1" x14ac:dyDescent="0.25">
      <c r="A397" s="5" t="str">
        <f>"H0012228"</f>
        <v>H0012228</v>
      </c>
      <c r="B397" s="5" t="str">
        <f>"MESA PUENTE (ALIMENTACION) (INSTRUMENTAL)"</f>
        <v>MESA PUENTE (ALIMENTACION) (INSTRUMENTAL)</v>
      </c>
      <c r="C397" s="6">
        <v>15000</v>
      </c>
      <c r="D397" s="5"/>
      <c r="E397" s="5" t="str">
        <f t="shared" si="13"/>
        <v>ACTISALUD-MEDICINA INTERNA- PISO 7</v>
      </c>
      <c r="F397" s="5" t="str">
        <f>"Descripcion: MESA PUENTE Estado: Bueno Placa anterior: 000027052 Material: METAL Y BANDEJA EN ACERO Color: BEIGE Y PLATEADO Referencia:  Observacion:  Placa padre: Tipo adquisicion: Entidad"</f>
        <v>Descripcion: MESA PUENTE Estado: Bueno Placa anterior: 000027052 Material: METAL Y BANDEJA EN ACERO Color: BEIGE Y PLATEADO Referencia:  Observacion:  Placa padre: Tipo adquisicion: Entidad</v>
      </c>
      <c r="G397" s="5"/>
    </row>
    <row r="398" spans="1:7" ht="58.5" customHeight="1" x14ac:dyDescent="0.25">
      <c r="A398" s="5" t="str">
        <f>"H0012232"</f>
        <v>H0012232</v>
      </c>
      <c r="B398" s="5" t="str">
        <f>"MESA DE NOCHE"</f>
        <v>MESA DE NOCHE</v>
      </c>
      <c r="C398" s="6">
        <v>327586</v>
      </c>
      <c r="D398" s="5"/>
      <c r="E398" s="5" t="str">
        <f t="shared" ref="E398:E461" si="14">"ACTISALUD-MEDICINA INTERNA- PISO 7"</f>
        <v>ACTISALUD-MEDICINA INTERNA- PISO 7</v>
      </c>
      <c r="F398" s="5" t="str">
        <f>"Descripcion: MESA DE NOCHE Estado: Bueno Placa anterior: 000032737 Material: ACERO INOXIDABLE Color: PLATEADO Referencia:  Observacion:  Placa padre: Tipo adquisicion: Entidad"</f>
        <v>Descripcion: MESA DE NOCHE Estado: Bueno Placa anterior: 000032737 Material: ACERO INOXIDABLE Color: PLATEADO Referencia:  Observacion:  Placa padre: Tipo adquisicion: Entidad</v>
      </c>
      <c r="G398" s="5"/>
    </row>
    <row r="399" spans="1:7" ht="58.5" customHeight="1" x14ac:dyDescent="0.25">
      <c r="A399" s="5" t="str">
        <f>"H0012235"</f>
        <v>H0012235</v>
      </c>
      <c r="B399" s="5" t="str">
        <f>"MESA PUENTE (ALIMENTACION) (INSTRUMENTAL)"</f>
        <v>MESA PUENTE (ALIMENTACION) (INSTRUMENTAL)</v>
      </c>
      <c r="C399" s="6">
        <v>15000</v>
      </c>
      <c r="D399" s="5"/>
      <c r="E399" s="5" t="str">
        <f t="shared" si="14"/>
        <v>ACTISALUD-MEDICINA INTERNA- PISO 7</v>
      </c>
      <c r="F399" s="5" t="str">
        <f>"Descripcion: MESA PUENTE Estado: Bueno Placa anterior: 000027053 Material: METAL Y BAND. EN ACERO Color: GRIS Y PLATEADO Referencia:  Observacion:  Placa padre: Tipo adquisicion: Entidad"</f>
        <v>Descripcion: MESA PUENTE Estado: Bueno Placa anterior: 000027053 Material: METAL Y BAND. EN ACERO Color: GRIS Y PLATEADO Referencia:  Observacion:  Placa padre: Tipo adquisicion: Entidad</v>
      </c>
      <c r="G399" s="5"/>
    </row>
    <row r="400" spans="1:7" ht="58.5" customHeight="1" x14ac:dyDescent="0.25">
      <c r="A400" s="5" t="str">
        <f>"H0012236"</f>
        <v>H0012236</v>
      </c>
      <c r="B400" s="5" t="str">
        <f>"MESA DE NOCHE"</f>
        <v>MESA DE NOCHE</v>
      </c>
      <c r="C400" s="6">
        <v>327586</v>
      </c>
      <c r="D400" s="5"/>
      <c r="E400" s="5" t="str">
        <f t="shared" si="14"/>
        <v>ACTISALUD-MEDICINA INTERNA- PISO 7</v>
      </c>
      <c r="F400" s="5" t="str">
        <f>"Descripcion: MESA DE NOCHE Estado: Bueno Placa anterior: 000032741 Material: ACERO INOXIDABLE Color: PLATEADO Referencia:  Observacion:  Placa padre: Tipo adquisicion: Entidad"</f>
        <v>Descripcion: MESA DE NOCHE Estado: Bueno Placa anterior: 000032741 Material: ACERO INOXIDABLE Color: PLATEADO Referencia:  Observacion:  Placa padre: Tipo adquisicion: Entidad</v>
      </c>
      <c r="G400" s="5"/>
    </row>
    <row r="401" spans="1:7" ht="58.5" customHeight="1" x14ac:dyDescent="0.25">
      <c r="A401" s="5" t="str">
        <f>"H0012237"</f>
        <v>H0012237</v>
      </c>
      <c r="B401" s="5" t="str">
        <f>"SILLA PLASTICA CON BRAZOS"</f>
        <v>SILLA PLASTICA CON BRAZOS</v>
      </c>
      <c r="C401" s="6">
        <v>12240.32</v>
      </c>
      <c r="D401" s="5"/>
      <c r="E401" s="5" t="str">
        <f t="shared" si="14"/>
        <v>ACTISALUD-MEDICINA INTERNA- PISO 7</v>
      </c>
      <c r="F401" s="5" t="str">
        <f>"Descripcion: SILLA PLASTICA BLANCA CON BRAZOS Estado: Regular Placa anterior: 000004352 Material: PASTA Color: BLANCO Referencia:  Observacion: BORDE ESPALDAR PARTIDO Placa padre: Tipo adquisicion: Entidad"</f>
        <v>Descripcion: SILLA PLASTICA BLANCA CON BRAZOS Estado: Regular Placa anterior: 000004352 Material: PASTA Color: BLANCO Referencia:  Observacion: BORDE ESPALDAR PARTIDO Placa padre: Tipo adquisicion: Entidad</v>
      </c>
      <c r="G401" s="5"/>
    </row>
    <row r="402" spans="1:7" ht="58.5" customHeight="1" x14ac:dyDescent="0.25">
      <c r="A402" s="5" t="str">
        <f>"H0012239"</f>
        <v>H0012239</v>
      </c>
      <c r="B402" s="5" t="str">
        <f>"MESA DE NOCHE"</f>
        <v>MESA DE NOCHE</v>
      </c>
      <c r="C402" s="6">
        <v>327586</v>
      </c>
      <c r="D402" s="5"/>
      <c r="E402" s="5" t="str">
        <f t="shared" si="14"/>
        <v>ACTISALUD-MEDICINA INTERNA- PISO 7</v>
      </c>
      <c r="F402" s="5" t="str">
        <f>"Descripcion: MESA DE NOCHE Estado: Bueno Placa anterior: 000032717 Material: ACERO INOXIDABLE Color:  Referencia:  Observacion:  Placa padre: Tipo adquisicion: Entidad"</f>
        <v>Descripcion: MESA DE NOCHE Estado: Bueno Placa anterior: 000032717 Material: ACERO INOXIDABLE Color:  Referencia:  Observacion:  Placa padre: Tipo adquisicion: Entidad</v>
      </c>
      <c r="G402" s="5"/>
    </row>
    <row r="403" spans="1:7" ht="58.5" customHeight="1" x14ac:dyDescent="0.25">
      <c r="A403" s="5" t="str">
        <f>"H0012242"</f>
        <v>H0012242</v>
      </c>
      <c r="B403" s="5" t="str">
        <f>"MESA PUENTE (ALIMENTACION) (INSTRUMENTAL)"</f>
        <v>MESA PUENTE (ALIMENTACION) (INSTRUMENTAL)</v>
      </c>
      <c r="C403" s="6">
        <v>15000</v>
      </c>
      <c r="D403" s="5"/>
      <c r="E403" s="5" t="str">
        <f t="shared" si="14"/>
        <v>ACTISALUD-MEDICINA INTERNA- PISO 7</v>
      </c>
      <c r="F403" s="5" t="str">
        <f>"Descripcion: MESA PUENTE (ALIMENTACION)  DOBLE SOPORTE Estado: Bueno Placa anterior: 000027063 Material: METALICO, ACERO INOX Color: VERDE Referencia:  Observacion:  Placa padre: Tipo adquisicion: Entidad"</f>
        <v>Descripcion: MESA PUENTE (ALIMENTACION)  DOBLE SOPORTE Estado: Bueno Placa anterior: 000027063 Material: METALICO, ACERO INOX Color: VERDE Referencia:  Observacion:  Placa padre: Tipo adquisicion: Entidad</v>
      </c>
      <c r="G403" s="5"/>
    </row>
    <row r="404" spans="1:7" ht="58.5" customHeight="1" x14ac:dyDescent="0.25">
      <c r="A404" s="5" t="str">
        <f>"H0012245"</f>
        <v>H0012245</v>
      </c>
      <c r="B404" s="5" t="str">
        <f>"MESA PUENTE (ALIMENTACION) (INSTRUMENTAL)"</f>
        <v>MESA PUENTE (ALIMENTACION) (INSTRUMENTAL)</v>
      </c>
      <c r="C404" s="6">
        <v>15000</v>
      </c>
      <c r="D404" s="5"/>
      <c r="E404" s="5" t="str">
        <f t="shared" si="14"/>
        <v>ACTISALUD-MEDICINA INTERNA- PISO 7</v>
      </c>
      <c r="F404" s="5" t="str">
        <f>"Descripcion: MESA PUENTE (ALIMENTACION)  DOBLE SOPORTE Estado: Bueno Placa anterior: 000027064 Material: METALICO, ACERO INOX Color: BEIGE Referencia:  Observacion:  Placa padre: Tipo adquisicion: Entidad"</f>
        <v>Descripcion: MESA PUENTE (ALIMENTACION)  DOBLE SOPORTE Estado: Bueno Placa anterior: 000027064 Material: METALICO, ACERO INOX Color: BEIGE Referencia:  Observacion:  Placa padre: Tipo adquisicion: Entidad</v>
      </c>
      <c r="G404" s="5"/>
    </row>
    <row r="405" spans="1:7" ht="58.5" customHeight="1" x14ac:dyDescent="0.25">
      <c r="A405" s="5" t="str">
        <f>"H0012248"</f>
        <v>H0012248</v>
      </c>
      <c r="B405" s="5" t="str">
        <f>"MESA DE NOCHE"</f>
        <v>MESA DE NOCHE</v>
      </c>
      <c r="C405" s="6">
        <v>327586</v>
      </c>
      <c r="D405" s="5"/>
      <c r="E405" s="5" t="str">
        <f t="shared" si="14"/>
        <v>ACTISALUD-MEDICINA INTERNA- PISO 7</v>
      </c>
      <c r="F405" s="5" t="str">
        <f>"Descripcion: MESA DE NOCHE Estado: Bueno Placa anterior: 000032708 Material: ACERO INOXIDABLE Color:  Referencia:  Observacion:  Placa padre: Tipo adquisicion: Entidad"</f>
        <v>Descripcion: MESA DE NOCHE Estado: Bueno Placa anterior: 000032708 Material: ACERO INOXIDABLE Color:  Referencia:  Observacion:  Placa padre: Tipo adquisicion: Entidad</v>
      </c>
      <c r="G405" s="5"/>
    </row>
    <row r="406" spans="1:7" ht="58.5" customHeight="1" x14ac:dyDescent="0.25">
      <c r="A406" s="5" t="str">
        <f>"H0012250"</f>
        <v>H0012250</v>
      </c>
      <c r="B406" s="5" t="str">
        <f>"MESA PUENTE (ALIMENTACION) (INSTRUMENTAL)"</f>
        <v>MESA PUENTE (ALIMENTACION) (INSTRUMENTAL)</v>
      </c>
      <c r="C406" s="6">
        <v>15000</v>
      </c>
      <c r="D406" s="5"/>
      <c r="E406" s="5" t="str">
        <f t="shared" si="14"/>
        <v>ACTISALUD-MEDICINA INTERNA- PISO 7</v>
      </c>
      <c r="F406" s="5" t="str">
        <f>"Descripcion: MESA PUENTE (ALIMENTACION)  DOBLE SOPORTE Estado: Bueno Placa anterior: 000027065 Material: METALICO, ACERO INOX Color: GRIS Referencia:  Observacion:  Placa padre: Tipo adquisicion: Entidad"</f>
        <v>Descripcion: MESA PUENTE (ALIMENTACION)  DOBLE SOPORTE Estado: Bueno Placa anterior: 000027065 Material: METALICO, ACERO INOX Color: GRIS Referencia:  Observacion:  Placa padre: Tipo adquisicion: Entidad</v>
      </c>
      <c r="G406" s="5"/>
    </row>
    <row r="407" spans="1:7" ht="58.5" customHeight="1" x14ac:dyDescent="0.25">
      <c r="A407" s="5" t="str">
        <f>"H0012252"</f>
        <v>H0012252</v>
      </c>
      <c r="B407" s="5" t="str">
        <f>"FLUJOMETRO DOBLE"</f>
        <v>FLUJOMETRO DOBLE</v>
      </c>
      <c r="C407" s="6">
        <v>365400</v>
      </c>
      <c r="D407" s="5" t="s">
        <v>56</v>
      </c>
      <c r="E407" s="5" t="str">
        <f t="shared" si="14"/>
        <v>ACTISALUD-MEDICINA INTERNA- PISO 7</v>
      </c>
      <c r="F407" s="5" t="str">
        <f>"Descripcion: FLUJOMETRO DOBLE Estado: Bueno Placa anterior: 000031127 Material: METALICO  Color: VERDE Referencia:  Observacion:  Placa padre: Tipo adquisicion: Entidad"</f>
        <v>Descripcion: FLUJOMETRO DOBLE Estado: Bueno Placa anterior: 000031127 Material: METALICO  Color: VERDE Referencia:  Observacion:  Placa padre: Tipo adquisicion: Entidad</v>
      </c>
      <c r="G407" s="5"/>
    </row>
    <row r="408" spans="1:7" ht="58.5" customHeight="1" x14ac:dyDescent="0.25">
      <c r="A408" s="5" t="str">
        <f>"H0012253"</f>
        <v>H0012253</v>
      </c>
      <c r="B408" s="5" t="str">
        <f>"SUCCIONADOR (DONACION)"</f>
        <v>SUCCIONADOR (DONACION)</v>
      </c>
      <c r="C408" s="6">
        <v>57483.83</v>
      </c>
      <c r="D408" s="5"/>
      <c r="E408" s="5" t="str">
        <f t="shared" si="14"/>
        <v>ACTISALUD-MEDICINA INTERNA- PISO 7</v>
      </c>
      <c r="F408" s="5" t="str">
        <f>"Descripcion: SUCCIONADOR Estado: Bueno Placa anterior: 000007245 Material: PLASTICO Color: BLANCO CO AMARILLO  Referencia:  Observacion:  Placa padre: Tipo adquisicion: Entidad"</f>
        <v>Descripcion: SUCCIONADOR Estado: Bueno Placa anterior: 000007245 Material: PLASTICO Color: BLANCO CO AMARILLO  Referencia:  Observacion:  Placa padre: Tipo adquisicion: Entidad</v>
      </c>
      <c r="G408" s="5"/>
    </row>
    <row r="409" spans="1:7" ht="58.5" customHeight="1" x14ac:dyDescent="0.25">
      <c r="A409" s="5" t="str">
        <f>"H0012254"</f>
        <v>H0012254</v>
      </c>
      <c r="B409" s="5" t="str">
        <f>"MESA DE NOCHE"</f>
        <v>MESA DE NOCHE</v>
      </c>
      <c r="C409" s="6">
        <v>327586</v>
      </c>
      <c r="D409" s="5"/>
      <c r="E409" s="5" t="str">
        <f t="shared" si="14"/>
        <v>ACTISALUD-MEDICINA INTERNA- PISO 7</v>
      </c>
      <c r="F409" s="5" t="str">
        <f>"Descripcion: MESA DE NOCHE Estado: Bueno Placa anterior: 000032736 Material: ACERO INOXIDABLE Color:  Referencia:  Observacion:  Placa padre: Tipo adquisicion: Entidad"</f>
        <v>Descripcion: MESA DE NOCHE Estado: Bueno Placa anterior: 000032736 Material: ACERO INOXIDABLE Color:  Referencia:  Observacion:  Placa padre: Tipo adquisicion: Entidad</v>
      </c>
      <c r="G409" s="5"/>
    </row>
    <row r="410" spans="1:7" ht="58.5" customHeight="1" x14ac:dyDescent="0.25">
      <c r="A410" s="5" t="str">
        <f>"H0012258"</f>
        <v>H0012258</v>
      </c>
      <c r="B410" s="5" t="str">
        <f>"MESA PUENTE (ALIMENTACION) (INSTRUMENTAL)"</f>
        <v>MESA PUENTE (ALIMENTACION) (INSTRUMENTAL)</v>
      </c>
      <c r="C410" s="6">
        <v>15000</v>
      </c>
      <c r="D410" s="5"/>
      <c r="E410" s="5" t="str">
        <f t="shared" si="14"/>
        <v>ACTISALUD-MEDICINA INTERNA- PISO 7</v>
      </c>
      <c r="F410" s="5" t="str">
        <f>"Descripcion: MESA PUENTE (ALIMENTACION) DOBLE SOPORTE Estado: Bueno Placa anterior: 000027023 Material: METALICO, ACERO INOX Color: GRIS Referencia:  Observacion:  Placa padre: Tipo adquisicion: Entidad"</f>
        <v>Descripcion: MESA PUENTE (ALIMENTACION) DOBLE SOPORTE Estado: Bueno Placa anterior: 000027023 Material: METALICO, ACERO INOX Color: GRIS Referencia:  Observacion:  Placa padre: Tipo adquisicion: Entidad</v>
      </c>
      <c r="G410" s="5"/>
    </row>
    <row r="411" spans="1:7" ht="58.5" customHeight="1" x14ac:dyDescent="0.25">
      <c r="A411" s="5" t="str">
        <f>"H0012260"</f>
        <v>H0012260</v>
      </c>
      <c r="B411" s="5" t="str">
        <f>"MESA DE NOCHE"</f>
        <v>MESA DE NOCHE</v>
      </c>
      <c r="C411" s="6">
        <v>327586</v>
      </c>
      <c r="D411" s="5"/>
      <c r="E411" s="5" t="str">
        <f t="shared" si="14"/>
        <v>ACTISALUD-MEDICINA INTERNA- PISO 7</v>
      </c>
      <c r="F411" s="5" t="str">
        <f>"Descripcion: MESA DE NOCHE CON 2 GAVETAS Estado: Bueno Placa anterior: 000032740 Material: METALICO CON FORMICA Color: GRIS CON MADERA CLARO Referencia:  Observacion:  Placa padre: Tipo adquisicion: Entidad"</f>
        <v>Descripcion: MESA DE NOCHE CON 2 GAVETAS Estado: Bueno Placa anterior: 000032740 Material: METALICO CON FORMICA Color: GRIS CON MADERA CLARO Referencia:  Observacion:  Placa padre: Tipo adquisicion: Entidad</v>
      </c>
      <c r="G411" s="5"/>
    </row>
    <row r="412" spans="1:7" ht="58.5" customHeight="1" x14ac:dyDescent="0.25">
      <c r="A412" s="5" t="str">
        <f>"H0012264"</f>
        <v>H0012264</v>
      </c>
      <c r="B412" s="5" t="str">
        <f>"MESA PUENTE (ALIMENTACION) (INSTRUMENTAL)"</f>
        <v>MESA PUENTE (ALIMENTACION) (INSTRUMENTAL)</v>
      </c>
      <c r="C412" s="6">
        <v>15000</v>
      </c>
      <c r="D412" s="5"/>
      <c r="E412" s="5" t="str">
        <f t="shared" si="14"/>
        <v>ACTISALUD-MEDICINA INTERNA- PISO 7</v>
      </c>
      <c r="F412" s="5" t="str">
        <f>"Descripcion: MESA PUENTE (ALIMENTACION) DOBLE SOPORTE Estado: Bueno Placa anterior: 000027066 Material: METALICO, ACERO INOX Color: GRIS Referencia:  Observacion:  Placa padre: Tipo adquisicion: Entidad"</f>
        <v>Descripcion: MESA PUENTE (ALIMENTACION) DOBLE SOPORTE Estado: Bueno Placa anterior: 000027066 Material: METALICO, ACERO INOX Color: GRIS Referencia:  Observacion:  Placa padre: Tipo adquisicion: Entidad</v>
      </c>
      <c r="G412" s="5"/>
    </row>
    <row r="413" spans="1:7" ht="58.5" customHeight="1" x14ac:dyDescent="0.25">
      <c r="A413" s="5" t="str">
        <f>"H0012269"</f>
        <v>H0012269</v>
      </c>
      <c r="B413" s="5" t="str">
        <f>"MESA DE NOCHE"</f>
        <v>MESA DE NOCHE</v>
      </c>
      <c r="C413" s="6">
        <v>327586</v>
      </c>
      <c r="D413" s="5"/>
      <c r="E413" s="5" t="str">
        <f t="shared" si="14"/>
        <v>ACTISALUD-MEDICINA INTERNA- PISO 7</v>
      </c>
      <c r="F413" s="5" t="str">
        <f>"Descripcion: MESA DE NOCHE Estado: Bueno Placa anterior: 000032730 Material: ACERO INOXIDABLE Color:  Referencia:  Observacion:  Placa padre: Tipo adquisicion: Entidad"</f>
        <v>Descripcion: MESA DE NOCHE Estado: Bueno Placa anterior: 000032730 Material: ACERO INOXIDABLE Color:  Referencia:  Observacion:  Placa padre: Tipo adquisicion: Entidad</v>
      </c>
      <c r="G413" s="5"/>
    </row>
    <row r="414" spans="1:7" ht="58.5" customHeight="1" x14ac:dyDescent="0.25">
      <c r="A414" s="5" t="str">
        <f>"H0012275"</f>
        <v>H0012275</v>
      </c>
      <c r="B414" s="5" t="str">
        <f>"RIÑONERA HOSPITALARIA EN ACERO INOXIDABLE"</f>
        <v>RIÑONERA HOSPITALARIA EN ACERO INOXIDABLE</v>
      </c>
      <c r="C414" s="6">
        <v>2163.9299999999998</v>
      </c>
      <c r="D414" s="5"/>
      <c r="E414" s="5" t="str">
        <f t="shared" si="14"/>
        <v>ACTISALUD-MEDICINA INTERNA- PISO 7</v>
      </c>
      <c r="F414" s="5" t="str">
        <f>"Descripcion: RIÑONERA HOSPITALARIA EN ACERO INOXIDABLE Estado: Bueno Placa anterior: 000004360 Material: ACERO INOXIDABLE Color:  Referencia:  Observacion:  Placa padre: Tipo adquisicion: Entidad"</f>
        <v>Descripcion: RIÑONERA HOSPITALARIA EN ACERO INOXIDABLE Estado: Bueno Placa anterior: 000004360 Material: ACERO INOXIDABLE Color:  Referencia:  Observacion:  Placa padre: Tipo adquisicion: Entidad</v>
      </c>
      <c r="G414" s="5"/>
    </row>
    <row r="415" spans="1:7" ht="58.5" customHeight="1" x14ac:dyDescent="0.25">
      <c r="A415" s="5" t="str">
        <f>"H0012276"</f>
        <v>H0012276</v>
      </c>
      <c r="B415" s="5" t="str">
        <f>"PATO (PISINGO) HOMBRE"</f>
        <v>PATO (PISINGO) HOMBRE</v>
      </c>
      <c r="C415" s="6">
        <v>57246</v>
      </c>
      <c r="D415" s="5"/>
      <c r="E415" s="5" t="str">
        <f t="shared" si="14"/>
        <v>ACTISALUD-MEDICINA INTERNA- PISO 7</v>
      </c>
      <c r="F415" s="5" t="str">
        <f>"Descripcion: PISINGO  Estado: Bueno Placa anterior: 000004040 Material: ACERO INOXIDABLE Color: PLATEADO Referencia:  Observacion:  Placa padre: Tipo adquisicion: Entidad"</f>
        <v>Descripcion: PISINGO  Estado: Bueno Placa anterior: 000004040 Material: ACERO INOXIDABLE Color: PLATEADO Referencia:  Observacion:  Placa padre: Tipo adquisicion: Entidad</v>
      </c>
      <c r="G415" s="5"/>
    </row>
    <row r="416" spans="1:7" ht="58.5" customHeight="1" x14ac:dyDescent="0.25">
      <c r="A416" s="5" t="str">
        <f>"H0012277"</f>
        <v>H0012277</v>
      </c>
      <c r="B416" s="5" t="str">
        <f>"PATO (PISINGO) HOMBRE"</f>
        <v>PATO (PISINGO) HOMBRE</v>
      </c>
      <c r="C416" s="6">
        <v>57246</v>
      </c>
      <c r="D416" s="5"/>
      <c r="E416" s="5" t="str">
        <f t="shared" si="14"/>
        <v>ACTISALUD-MEDICINA INTERNA- PISO 7</v>
      </c>
      <c r="F416" s="5" t="str">
        <f>"Descripcion: PISINGO  Estado: Bueno Placa anterior: 000004066 Material: ACERO INOXIDABLE Color: PLATEADO Referencia:  Observacion:  Placa padre: Tipo adquisicion: Entidad"</f>
        <v>Descripcion: PISINGO  Estado: Bueno Placa anterior: 000004066 Material: ACERO INOXIDABLE Color: PLATEADO Referencia:  Observacion:  Placa padre: Tipo adquisicion: Entidad</v>
      </c>
      <c r="G416" s="5"/>
    </row>
    <row r="417" spans="1:7" ht="58.5" customHeight="1" x14ac:dyDescent="0.25">
      <c r="A417" s="5" t="str">
        <f>"H0012278"</f>
        <v>H0012278</v>
      </c>
      <c r="B417" s="5" t="str">
        <f>"PATO (COPROLOGICO) MUJER"</f>
        <v>PATO (COPROLOGICO) MUJER</v>
      </c>
      <c r="C417" s="6">
        <v>9821.3799999999992</v>
      </c>
      <c r="D417" s="5"/>
      <c r="E417" s="5" t="str">
        <f t="shared" si="14"/>
        <v>ACTISALUD-MEDICINA INTERNA- PISO 7</v>
      </c>
      <c r="F417" s="5" t="str">
        <f>"Descripcion: PATO COPROLOGICO Estado: Bueno Placa anterior: 000004041 Material: ACERO INOXIDABLE Color: PLATEADO Referencia:  Observacion:  Placa padre: Tipo adquisicion: Entidad"</f>
        <v>Descripcion: PATO COPROLOGICO Estado: Bueno Placa anterior: 000004041 Material: ACERO INOXIDABLE Color: PLATEADO Referencia:  Observacion:  Placa padre: Tipo adquisicion: Entidad</v>
      </c>
      <c r="G417" s="5"/>
    </row>
    <row r="418" spans="1:7" ht="58.5" customHeight="1" x14ac:dyDescent="0.25">
      <c r="A418" s="5" t="str">
        <f>"H0012279"</f>
        <v>H0012279</v>
      </c>
      <c r="B418" s="5" t="str">
        <f>"PATO (COPROLOGICO) MUJER"</f>
        <v>PATO (COPROLOGICO) MUJER</v>
      </c>
      <c r="C418" s="6">
        <v>9821.3799999999992</v>
      </c>
      <c r="D418" s="5"/>
      <c r="E418" s="5" t="str">
        <f t="shared" si="14"/>
        <v>ACTISALUD-MEDICINA INTERNA- PISO 7</v>
      </c>
      <c r="F418" s="5" t="str">
        <f>"Descripcion: PATO COPROLOGICO Estado: Bueno Placa anterior: 000004098 Material: ACERO INOXIDABLE Color: PLATEADO Referencia:  Observacion:  Placa padre: Tipo adquisicion: Entidad"</f>
        <v>Descripcion: PATO COPROLOGICO Estado: Bueno Placa anterior: 000004098 Material: ACERO INOXIDABLE Color: PLATEADO Referencia:  Observacion:  Placa padre: Tipo adquisicion: Entidad</v>
      </c>
      <c r="G418" s="5"/>
    </row>
    <row r="419" spans="1:7" ht="58.5" customHeight="1" x14ac:dyDescent="0.25">
      <c r="A419" s="5" t="str">
        <f>"H0012280"</f>
        <v>H0012280</v>
      </c>
      <c r="B419" s="5" t="str">
        <f>"RIÑONERA HOSPITALARIA EN ACERO INOXIDABLE"</f>
        <v>RIÑONERA HOSPITALARIA EN ACERO INOXIDABLE</v>
      </c>
      <c r="C419" s="6">
        <v>2163.9299999999998</v>
      </c>
      <c r="D419" s="5"/>
      <c r="E419" s="5" t="str">
        <f t="shared" si="14"/>
        <v>ACTISALUD-MEDICINA INTERNA- PISO 7</v>
      </c>
      <c r="F419" s="5" t="str">
        <f>"Descripcion: RIÑONERA NIQUELADA Estado: Bueno Placa anterior: 000004391 Material: ACERO  INOXIDABLE Color: PLATEADO Referencia:  Observacion:  Placa padre: Tipo adquisicion: Entidad"</f>
        <v>Descripcion: RIÑONERA NIQUELADA Estado: Bueno Placa anterior: 000004391 Material: ACERO  INOXIDABLE Color: PLATEADO Referencia:  Observacion:  Placa padre: Tipo adquisicion: Entidad</v>
      </c>
      <c r="G419" s="5"/>
    </row>
    <row r="420" spans="1:7" ht="58.5" customHeight="1" x14ac:dyDescent="0.25">
      <c r="A420" s="5" t="str">
        <f>"H0012281"</f>
        <v>H0012281</v>
      </c>
      <c r="B420" s="5" t="str">
        <f>"RIÑONERA HOSPITALARIA EN ACERO INOXIDABLE"</f>
        <v>RIÑONERA HOSPITALARIA EN ACERO INOXIDABLE</v>
      </c>
      <c r="C420" s="6">
        <v>2163.9299999999998</v>
      </c>
      <c r="D420" s="5"/>
      <c r="E420" s="5" t="str">
        <f t="shared" si="14"/>
        <v>ACTISALUD-MEDICINA INTERNA- PISO 7</v>
      </c>
      <c r="F420" s="5" t="str">
        <f>"Descripcion: RIÑONERA NIQUELADA Estado: Bueno Placa anterior: 000004361 Material: ACERO  INOXIDABLE Color: PLATEADO Referencia:  Observacion:  Placa padre: Tipo adquisicion: Entidad"</f>
        <v>Descripcion: RIÑONERA NIQUELADA Estado: Bueno Placa anterior: 000004361 Material: ACERO  INOXIDABLE Color: PLATEADO Referencia:  Observacion:  Placa padre: Tipo adquisicion: Entidad</v>
      </c>
      <c r="G420" s="5"/>
    </row>
    <row r="421" spans="1:7" ht="58.5" customHeight="1" x14ac:dyDescent="0.25">
      <c r="A421" s="5" t="str">
        <f>"H0012284"</f>
        <v>H0012284</v>
      </c>
      <c r="B421" s="5" t="str">
        <f>"PARLANTE (BAFLE)"</f>
        <v>PARLANTE (BAFLE)</v>
      </c>
      <c r="C421" s="6">
        <v>7000</v>
      </c>
      <c r="D421" s="5"/>
      <c r="E421" s="5" t="str">
        <f t="shared" si="14"/>
        <v>ACTISALUD-MEDICINA INTERNA- PISO 7</v>
      </c>
      <c r="F421" s="5" t="str">
        <f>"Descripcion: PARLANTE Estado: Bueno Placa anterior: 000004364 Material: PASTA Color: NEGRO Referencia:  Observacion:  Placa padre: Tipo adquisicion: Entidad"</f>
        <v>Descripcion: PARLANTE Estado: Bueno Placa anterior: 000004364 Material: PASTA Color: NEGRO Referencia:  Observacion:  Placa padre: Tipo adquisicion: Entidad</v>
      </c>
      <c r="G421" s="5"/>
    </row>
    <row r="422" spans="1:7" ht="58.5" customHeight="1" x14ac:dyDescent="0.25">
      <c r="A422" s="5" t="str">
        <f>"H0012544"</f>
        <v>H0012544</v>
      </c>
      <c r="B422" s="5" t="str">
        <f>"ATRIL PORTASUERO MOVIL"</f>
        <v>ATRIL PORTASUERO MOVIL</v>
      </c>
      <c r="C422" s="6">
        <v>7025</v>
      </c>
      <c r="D422" s="5"/>
      <c r="E422" s="5" t="str">
        <f t="shared" si="14"/>
        <v>ACTISALUD-MEDICINA INTERNA- PISO 7</v>
      </c>
      <c r="F422" s="5" t="str">
        <f>"Descripcion: ATRIL CON RODACHINES Estado: Bueno Placa anterior: 000027642 Material: ACERO INOXIDABLE Color: GRIS Referencia:  Observacion:  Placa padre: Tipo adquisicion: Entidad"</f>
        <v>Descripcion: ATRIL CON RODACHINES Estado: Bueno Placa anterior: 000027642 Material: ACERO INOXIDABLE Color: GRIS Referencia:  Observacion:  Placa padre: Tipo adquisicion: Entidad</v>
      </c>
      <c r="G422" s="5"/>
    </row>
    <row r="423" spans="1:7" ht="58.5" customHeight="1" x14ac:dyDescent="0.25">
      <c r="A423" s="5" t="str">
        <f>"H0012724"</f>
        <v>H0012724</v>
      </c>
      <c r="B423" s="5" t="str">
        <f>"ATRIL PORTASUERO MOVIL"</f>
        <v>ATRIL PORTASUERO MOVIL</v>
      </c>
      <c r="C423" s="6">
        <v>7025</v>
      </c>
      <c r="D423" s="5"/>
      <c r="E423" s="5" t="str">
        <f t="shared" si="14"/>
        <v>ACTISALUD-MEDICINA INTERNA- PISO 7</v>
      </c>
      <c r="F423" s="5" t="str">
        <f>"Descripcion: ATRIL CON RODACHINES Estado: Bueno Placa anterior: 000027651 Material: ACERO INOXIDABLE Color: GRIS Referencia:  Observacion:  Placa padre: Tipo adquisicion: Entidad"</f>
        <v>Descripcion: ATRIL CON RODACHINES Estado: Bueno Placa anterior: 000027651 Material: ACERO INOXIDABLE Color: GRIS Referencia:  Observacion:  Placa padre: Tipo adquisicion: Entidad</v>
      </c>
      <c r="G423" s="5"/>
    </row>
    <row r="424" spans="1:7" ht="58.5" customHeight="1" x14ac:dyDescent="0.25">
      <c r="A424" s="5" t="str">
        <f>"H0015791"</f>
        <v>H0015791</v>
      </c>
      <c r="B424" s="5" t="str">
        <f>"COMPUTADOR TODO EN UNO"</f>
        <v>COMPUTADOR TODO EN UNO</v>
      </c>
      <c r="C424" s="6">
        <v>1200000</v>
      </c>
      <c r="D424" s="5" t="s">
        <v>2</v>
      </c>
      <c r="E424" s="5" t="str">
        <f t="shared" si="14"/>
        <v>ACTISALUD-MEDICINA INTERNA- PISO 7</v>
      </c>
      <c r="F424" s="5" t="str">
        <f>"Descripcion:COMPUTADOR TODO EN UNO PROCESADOR: Intel pentiun G645 (2.9 Ghz/3MB/2 nucleos) memoria RAM 4GB DDR3-1600 SODIMM (1X4GB) Disco duro 500GB 7200 RPMSATA-6G Multi DVD/RM Licencia win 8 pro 64 Downgrade to Win 7 pro 64 o supervisor USB Keyboard Usbe"&amp; " Optical, m Estado: Bueno Placa anterior: 000030787 Material: PASTA Color: NEGRO Referencia:  Observacion:  Placa anterior:, Placa nueva=H0015792, Descripcion:TECLADO USB, Serial:BCZZN0BVB4C32O, Marca:HP, Modelo:REF. KU-1156, Material:PASTA, Color:NEGRO, "&amp; "  Referencia:, Placa anterior:, Placa nueva=H0015793, Descripcion:MOUSE USB 3 BOTONES OPTICO, Serial:, Marca:, Modelo:, Material:PASTA, Color:NEGRO,   Referencia: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Bueno Placa anterior: 000030787 Material: PASTA Color: NEGRO Referencia:  Observacion:  Placa anterior:, Placa nueva=H0015792, Descripcion:TECLADO USB, Serial:BCZZN0BVB4C32O, Marca:HP, Modelo:REF. KU-1156, Material:PASTA, Color:NEGRO,   Referencia:, Placa anterior:, Placa nueva=H0015793, Descripcion:MOUSE USB 3 BOTONES OPTICO, Serial:, Marca:, Modelo:, Material:PASTA, Color:NEGRO,   Referencia: Placa padre:  Tipo adquisicion : Entidad</v>
      </c>
      <c r="G424" s="5"/>
    </row>
    <row r="425" spans="1:7" ht="58.5" customHeight="1" x14ac:dyDescent="0.25">
      <c r="A425" s="5" t="str">
        <f>"H0017002"</f>
        <v>H0017002</v>
      </c>
      <c r="B425" s="5" t="str">
        <f>"RIÑONERA HOSPITALARIA EN ACERO INOXIDABLE"</f>
        <v>RIÑONERA HOSPITALARIA EN ACERO INOXIDABLE</v>
      </c>
      <c r="C425" s="6">
        <v>2500</v>
      </c>
      <c r="D425" s="5"/>
      <c r="E425" s="5" t="str">
        <f t="shared" si="14"/>
        <v>ACTISALUD-MEDICINA INTERNA- PISO 7</v>
      </c>
      <c r="F425" s="5" t="str">
        <f>"Descripcion:RIÑONERA Estado: Bueno Placa anterior: 000025835 Material: ACERO INOXIDABLE Color: PLATEADO     Referencia:  Observacion: AUTORIZADO CONCILIAR EN CRUCE GENERAL Placa padre:  Tipo adquisicion : Entidad"</f>
        <v>Descripcion:RIÑONERA Estado: Bueno Placa anterior: 000025835 Material: ACERO INOXIDABLE Color: PLATEADO     Referencia:  Observacion: AUTORIZADO CONCILIAR EN CRUCE GENERAL Placa padre:  Tipo adquisicion : Entidad</v>
      </c>
      <c r="G425" s="5"/>
    </row>
    <row r="426" spans="1:7" ht="58.5" customHeight="1" x14ac:dyDescent="0.25">
      <c r="A426" s="5" t="str">
        <f>"H0017468"</f>
        <v>H0017468</v>
      </c>
      <c r="B426" s="5" t="str">
        <f>"CUBETA DE ACERO INOXIDABLE CON TAPA PEQUEÑA"</f>
        <v>CUBETA DE ACERO INOXIDABLE CON TAPA PEQUEÑA</v>
      </c>
      <c r="C426" s="6">
        <v>18602.580000000002</v>
      </c>
      <c r="D426" s="5"/>
      <c r="E426" s="5" t="str">
        <f t="shared" si="14"/>
        <v>ACTISALUD-MEDICINA INTERNA- PISO 7</v>
      </c>
      <c r="F426" s="5" t="str">
        <f>"Descripcion: . Estado: Bueno Placa anterior: 000004684 Material: ACERO INOXIDABLE Color:  Referencia:  Observacion:  Placa padre: Tipo adquisicion: Entidad"</f>
        <v>Descripcion: . Estado: Bueno Placa anterior: 000004684 Material: ACERO INOXIDABLE Color:  Referencia:  Observacion:  Placa padre: Tipo adquisicion: Entidad</v>
      </c>
      <c r="G426" s="5"/>
    </row>
    <row r="427" spans="1:7" ht="58.5" customHeight="1" x14ac:dyDescent="0.25">
      <c r="A427" s="5" t="str">
        <f>"H0017469"</f>
        <v>H0017469</v>
      </c>
      <c r="B427" s="5" t="str">
        <f>"CUBETA DE ACERO INOXIDABLE CON TAPA PEQUEÑA"</f>
        <v>CUBETA DE ACERO INOXIDABLE CON TAPA PEQUEÑA</v>
      </c>
      <c r="C427" s="6">
        <v>18602.580000000002</v>
      </c>
      <c r="D427" s="5"/>
      <c r="E427" s="5" t="str">
        <f t="shared" si="14"/>
        <v>ACTISALUD-MEDICINA INTERNA- PISO 7</v>
      </c>
      <c r="F427" s="5" t="str">
        <f>"Descripcion: . Estado: Bueno Placa anterior: 000004695 Material: ACERO INOXIDABLE Color:  Referencia:  Observacion:  Placa padre: Tipo adquisicion: Entidad"</f>
        <v>Descripcion: . Estado: Bueno Placa anterior: 000004695 Material: ACERO INOXIDABLE Color:  Referencia:  Observacion:  Placa padre: Tipo adquisicion: Entidad</v>
      </c>
      <c r="G427" s="5"/>
    </row>
    <row r="428" spans="1:7" ht="58.5" customHeight="1" x14ac:dyDescent="0.25">
      <c r="A428" s="5" t="str">
        <f>"H0017470"</f>
        <v>H0017470</v>
      </c>
      <c r="B428" s="5" t="str">
        <f>"CUBETA DE ACERO INOXIDABLE CON TAPA PEQUEÑA"</f>
        <v>CUBETA DE ACERO INOXIDABLE CON TAPA PEQUEÑA</v>
      </c>
      <c r="C428" s="6">
        <v>18602.580000000002</v>
      </c>
      <c r="D428" s="5"/>
      <c r="E428" s="5" t="str">
        <f t="shared" si="14"/>
        <v>ACTISALUD-MEDICINA INTERNA- PISO 7</v>
      </c>
      <c r="F428" s="5" t="str">
        <f>"Descripcion: . Estado: Bueno Placa anterior: 000004696 Material: ACERO INOXIDABLE Color:  Referencia:  Observacion:  Placa padre: Tipo adquisicion: Entidad"</f>
        <v>Descripcion: . Estado: Bueno Placa anterior: 000004696 Material: ACERO INOXIDABLE Color:  Referencia:  Observacion:  Placa padre: Tipo adquisicion: Entidad</v>
      </c>
      <c r="G428" s="5"/>
    </row>
    <row r="429" spans="1:7" ht="58.5" customHeight="1" x14ac:dyDescent="0.25">
      <c r="A429" s="5" t="str">
        <f>"H0017471"</f>
        <v>H0017471</v>
      </c>
      <c r="B429" s="5" t="str">
        <f>"CUBETA DE ACERO INOXIDABLE CON TAPA PEQUEÑA"</f>
        <v>CUBETA DE ACERO INOXIDABLE CON TAPA PEQUEÑA</v>
      </c>
      <c r="C429" s="6">
        <v>18602.580000000002</v>
      </c>
      <c r="D429" s="5"/>
      <c r="E429" s="5" t="str">
        <f t="shared" si="14"/>
        <v>ACTISALUD-MEDICINA INTERNA- PISO 7</v>
      </c>
      <c r="F429" s="5" t="str">
        <f>"Descripcion: . Estado: Bueno Placa anterior: 000004549 Material: ACERO INOXIDABLE Color:  Referencia:  Observacion:  Placa padre: Tipo adquisicion: Entidad"</f>
        <v>Descripcion: . Estado: Bueno Placa anterior: 000004549 Material: ACERO INOXIDABLE Color:  Referencia:  Observacion:  Placa padre: Tipo adquisicion: Entidad</v>
      </c>
      <c r="G429" s="5"/>
    </row>
    <row r="430" spans="1:7" ht="58.5" customHeight="1" x14ac:dyDescent="0.25">
      <c r="A430" s="5" t="str">
        <f>"H0018653"</f>
        <v>H0018653</v>
      </c>
      <c r="B430" s="5" t="str">
        <f>"MESA DE NOCHE"</f>
        <v>MESA DE NOCHE</v>
      </c>
      <c r="C430" s="6">
        <v>327586</v>
      </c>
      <c r="D430" s="5"/>
      <c r="E430" s="5" t="str">
        <f t="shared" si="14"/>
        <v>ACTISALUD-MEDICINA INTERNA- PISO 7</v>
      </c>
      <c r="F430" s="5" t="str">
        <f>"Descripcion: OXIDO1BASE PARTIDA Estado: Regular Placa anterior: 000032709 Material: ACERO INOXIDABLE Color:  Referencia:  Observacion:  Placa padre: Tipo adquisicion: Entidad"</f>
        <v>Descripcion: OXIDO1BASE PARTIDA Estado: Regular Placa anterior: 000032709 Material: ACERO INOXIDABLE Color:  Referencia:  Observacion:  Placa padre: Tipo adquisicion: Entidad</v>
      </c>
      <c r="G430" s="5"/>
    </row>
    <row r="431" spans="1:7" ht="58.5" customHeight="1" x14ac:dyDescent="0.25">
      <c r="A431" s="5" t="str">
        <f>"H0018655"</f>
        <v>H0018655</v>
      </c>
      <c r="B431" s="5" t="str">
        <f>"MESA PUENTE (ALIMENTACION) (INSTRUMENTAL)"</f>
        <v>MESA PUENTE (ALIMENTACION) (INSTRUMENTAL)</v>
      </c>
      <c r="C431" s="6">
        <v>15000</v>
      </c>
      <c r="D431" s="5"/>
      <c r="E431" s="5" t="str">
        <f t="shared" si="14"/>
        <v>ACTISALUD-MEDICINA INTERNA- PISO 7</v>
      </c>
      <c r="F431" s="5" t="str">
        <f>"Descripcion: MESA PUENTEOXIDOPELADA Estado: Regular Placa anterior: 000027083 Material: METALICO Color: GRIS Referencia:  Observacion:  Placa padre: Tipo adquisicion: Entidad"</f>
        <v>Descripcion: MESA PUENTEOXIDOPELADA Estado: Regular Placa anterior: 000027083 Material: METALICO Color: GRIS Referencia:  Observacion:  Placa padre: Tipo adquisicion: Entidad</v>
      </c>
      <c r="G431" s="5"/>
    </row>
    <row r="432" spans="1:7" ht="58.5" customHeight="1" x14ac:dyDescent="0.25">
      <c r="A432" s="5" t="str">
        <f>"H0018659"</f>
        <v>H0018659</v>
      </c>
      <c r="B432" s="5" t="str">
        <f>"MESA PUENTE (ALIMENTACION) (INSTRUMENTAL)"</f>
        <v>MESA PUENTE (ALIMENTACION) (INSTRUMENTAL)</v>
      </c>
      <c r="C432" s="6">
        <v>15000</v>
      </c>
      <c r="D432" s="5"/>
      <c r="E432" s="5" t="str">
        <f t="shared" si="14"/>
        <v>ACTISALUD-MEDICINA INTERNA- PISO 7</v>
      </c>
      <c r="F432" s="5" t="str">
        <f>"Descripcion: MESA PUENTEOXIDOPELADA Estado: Regular Placa anterior: 000021552 Material: METALICO Color: GRIS Referencia:  Observacion:  Placa padre: Tipo adquisicion: Entidad"</f>
        <v>Descripcion: MESA PUENTEOXIDOPELADA Estado: Regular Placa anterior: 000021552 Material: METALICO Color: GRIS Referencia:  Observacion:  Placa padre: Tipo adquisicion: Entidad</v>
      </c>
      <c r="G432" s="5"/>
    </row>
    <row r="433" spans="1:7" ht="58.5" customHeight="1" x14ac:dyDescent="0.25">
      <c r="A433" s="5" t="str">
        <f>"H0018661"</f>
        <v>H0018661</v>
      </c>
      <c r="B433" s="5" t="str">
        <f>"MESA DE NOCHE"</f>
        <v>MESA DE NOCHE</v>
      </c>
      <c r="C433" s="6">
        <v>327586</v>
      </c>
      <c r="D433" s="5"/>
      <c r="E433" s="5" t="str">
        <f t="shared" si="14"/>
        <v>ACTISALUD-MEDICINA INTERNA- PISO 7</v>
      </c>
      <c r="F433" s="5" t="str">
        <f>"Descripcion: MESA DE NOCHE Estado: Bueno Placa anterior: 000032729 Material: ACERO INOXIDABLE Color:  Referencia:  Observacion:  Placa padre: Tipo adquisicion: Entidad"</f>
        <v>Descripcion: MESA DE NOCHE Estado: Bueno Placa anterior: 000032729 Material: ACERO INOXIDABLE Color:  Referencia:  Observacion:  Placa padre: Tipo adquisicion: Entidad</v>
      </c>
      <c r="G433" s="5"/>
    </row>
    <row r="434" spans="1:7" ht="58.5" customHeight="1" x14ac:dyDescent="0.25">
      <c r="A434" s="5" t="str">
        <f>"H0019287"</f>
        <v>H0019287</v>
      </c>
      <c r="B434" s="5" t="str">
        <f>"CAMILLA DE TRASLADO CON BARANDAS"</f>
        <v>CAMILLA DE TRASLADO CON BARANDAS</v>
      </c>
      <c r="C434" s="6">
        <v>1500000</v>
      </c>
      <c r="D434" s="5"/>
      <c r="E434" s="5" t="str">
        <f t="shared" si="14"/>
        <v>ACTISALUD-MEDICINA INTERNA- PISO 7</v>
      </c>
      <c r="F434" s="5" t="str">
        <f>"Descripcion: CAMILLA DE TRASLADO CON BARANDAS Estado: Bueno Placa anterior: 000032793 Material: METALICO Color: BEIGE Referencia:  Observacion: AUTORIZADO CONCILIAR EN CRUCE GENERAL Placa padre: Tipo adquisicion: Entidad"</f>
        <v>Descripcion: CAMILLA DE TRASLADO CON BARANDAS Estado: Bueno Placa anterior: 000032793 Material: METALICO Color: BEIGE Referencia:  Observacion: AUTORIZADO CONCILIAR EN CRUCE GENERAL Placa padre: Tipo adquisicion: Entidad</v>
      </c>
      <c r="G434" s="5"/>
    </row>
    <row r="435" spans="1:7" ht="58.5" customHeight="1" x14ac:dyDescent="0.25">
      <c r="A435" s="5" t="str">
        <f>"H0020574"</f>
        <v>H0020574</v>
      </c>
      <c r="B435" s="5" t="str">
        <f>"TENSIOMETRO ANEROIDE DE MANO ADULTO"</f>
        <v>TENSIOMETRO ANEROIDE DE MANO ADULTO</v>
      </c>
      <c r="C435" s="6">
        <v>40000</v>
      </c>
      <c r="D435" s="5"/>
      <c r="E435" s="5" t="str">
        <f t="shared" si="14"/>
        <v>ACTISALUD-MEDICINA INTERNA- PISO 7</v>
      </c>
      <c r="F435" s="5" t="str">
        <f>"Descripcion: TENSIOMETRO ANEROYDE STARMED - ADULTO - CON ESTUCHE NEGRO Estado: Malo Placa anterior: 000030458 Material: METAL Color: PLATEADO Referencia:  Observacion:  Placa anterior:, Placa nueva=H0020575, Descripcion:FONENDOSCOPIO DE 2 SERVICIOS CON AC"&amp; "CESORIOS, Serial:, Marca:, Modelo:, Material:METAL, Color:PLATEADO,   Referencia: Placa padre: Tipo adquisicion: Donacion"</f>
        <v>Descripcion: TENSIOMETRO ANEROYDE STARMED - ADULTO - CON ESTUCHE NEGRO Estado: Malo Placa anterior: 000030458 Material: METAL Color: PLATEADO Referencia:  Observacion:  Placa anterior:, Placa nueva=H0020575, Descripcion:FONENDOSCOPIO DE 2 SERVICIOS CON ACCESORIOS, Serial:, Marca:, Modelo:, Material:METAL, Color:PLATEADO,   Referencia: Placa padre: Tipo adquisicion: Donacion</v>
      </c>
      <c r="G435" s="5"/>
    </row>
    <row r="436" spans="1:7" ht="58.5" customHeight="1" x14ac:dyDescent="0.25">
      <c r="A436" s="5" t="str">
        <f>"H0020881"</f>
        <v>H0020881</v>
      </c>
      <c r="B436" s="5" t="str">
        <f>"MESA DE NOCHE"</f>
        <v>MESA DE NOCHE</v>
      </c>
      <c r="C436" s="6">
        <v>327586</v>
      </c>
      <c r="D436" s="5"/>
      <c r="E436" s="5" t="str">
        <f t="shared" si="14"/>
        <v>ACTISALUD-MEDICINA INTERNA- PISO 7</v>
      </c>
      <c r="F436" s="5" t="str">
        <f>"Descripcion:MESA DE NOCHE* OXIDO Estado: Regular Placa anterior: 000033043 Material: ACERO INOXIDABLE Color:  Referencia:  Observacion: AUTORIZADO CONCILIAR EN CRUCE GENERAL Placa padre:  Tipo adquisicion : Entidad"</f>
        <v>Descripcion:MESA DE NOCHE* OXIDO Estado: Regular Placa anterior: 000033043 Material: ACERO INOXIDABLE Color:  Referencia:  Observacion: AUTORIZADO CONCILIAR EN CRUCE GENERAL Placa padre:  Tipo adquisicion : Entidad</v>
      </c>
      <c r="G436" s="5"/>
    </row>
    <row r="437" spans="1:7" ht="58.5" customHeight="1" x14ac:dyDescent="0.25">
      <c r="A437" s="5" t="str">
        <f>"H0020890"</f>
        <v>H0020890</v>
      </c>
      <c r="B437" s="5" t="str">
        <f>"MESA DE NOCHE"</f>
        <v>MESA DE NOCHE</v>
      </c>
      <c r="C437" s="6">
        <v>327586</v>
      </c>
      <c r="D437" s="5"/>
      <c r="E437" s="5" t="str">
        <f t="shared" si="14"/>
        <v>ACTISALUD-MEDICINA INTERNA- PISO 7</v>
      </c>
      <c r="F437" s="5" t="str">
        <f>"Descripcion:MESA DE NOCHE* OXIDO Estado: Regular Placa anterior: 000032939 Material: ACERO INOXIDABLE Color:  Referencia:  Observacion: AUTORIZADO CONCILIAR EN CRUCE GENERAL Placa padre:  Tipo adquisicion : Entidad"</f>
        <v>Descripcion:MESA DE NOCHE* OXIDO Estado: Regular Placa anterior: 000032939 Material: ACERO INOXIDABLE Color:  Referencia:  Observacion: AUTORIZADO CONCILIAR EN CRUCE GENERAL Placa padre:  Tipo adquisicion : Entidad</v>
      </c>
      <c r="G437" s="5"/>
    </row>
    <row r="438" spans="1:7" ht="58.5" customHeight="1" x14ac:dyDescent="0.25">
      <c r="A438" s="5" t="str">
        <f>"H0021090"</f>
        <v>H0021090</v>
      </c>
      <c r="B438" s="5" t="str">
        <f>"MESA DE NOCHE"</f>
        <v>MESA DE NOCHE</v>
      </c>
      <c r="C438" s="6">
        <v>327586</v>
      </c>
      <c r="D438" s="5"/>
      <c r="E438" s="5" t="str">
        <f t="shared" si="14"/>
        <v>ACTISALUD-MEDICINA INTERNA- PISO 7</v>
      </c>
      <c r="F438" s="5" t="str">
        <f>"Descripcion:* OXIDO&lt;br /&gt; Estado: Inservible Placa anterior: 000028916 Material: ACERO INOXIDABLE Color:  Referencia:  Observacion: AUTORIZADO CONCILIAR EN CRUCE GENERAL Placa padre:  Tipo adquisicion : Entidad"</f>
        <v>Descripcion:* OXIDO&lt;br /&gt; Estado: Inservible Placa anterior: 000028916 Material: ACERO INOXIDABLE Color:  Referencia:  Observacion: AUTORIZADO CONCILIAR EN CRUCE GENERAL Placa padre:  Tipo adquisicion : Entidad</v>
      </c>
      <c r="G438" s="5"/>
    </row>
    <row r="439" spans="1:7" ht="58.5" customHeight="1" x14ac:dyDescent="0.25">
      <c r="A439" s="5" t="str">
        <f>"H0021453"</f>
        <v>H0021453</v>
      </c>
      <c r="B439" s="5" t="str">
        <f>"CONGELADOR HORIZONTAL DE -30"</f>
        <v>CONGELADOR HORIZONTAL DE -30</v>
      </c>
      <c r="C439" s="6">
        <v>6380000</v>
      </c>
      <c r="D439" s="5" t="s">
        <v>61</v>
      </c>
      <c r="E439" s="5" t="str">
        <f t="shared" si="14"/>
        <v>ACTISALUD-MEDICINA INTERNA- PISO 7</v>
      </c>
      <c r="F439" s="5"/>
      <c r="G439" s="5" t="str">
        <f>"XXI-02HC"</f>
        <v>XXI-02HC</v>
      </c>
    </row>
    <row r="440" spans="1:7" ht="58.5" customHeight="1" x14ac:dyDescent="0.25">
      <c r="A440" s="5" t="str">
        <f>"H0021463"</f>
        <v>H0021463</v>
      </c>
      <c r="B440" s="5" t="str">
        <f>"PLANTA DOMESTICA A BASE DE OZONO"</f>
        <v>PLANTA DOMESTICA A BASE DE OZONO</v>
      </c>
      <c r="C440" s="6">
        <v>275000</v>
      </c>
      <c r="D440" s="5" t="s">
        <v>62</v>
      </c>
      <c r="E440" s="5" t="str">
        <f t="shared" si="14"/>
        <v>ACTISALUD-MEDICINA INTERNA- PISO 7</v>
      </c>
      <c r="F440" s="5"/>
      <c r="G440" s="5"/>
    </row>
    <row r="441" spans="1:7" ht="58.5" customHeight="1" x14ac:dyDescent="0.25">
      <c r="A441" s="5" t="str">
        <f>"H0021468"</f>
        <v>H0021468</v>
      </c>
      <c r="B441" s="5" t="str">
        <f>"PLANTA DOMESTICA A BASE DE OZONO"</f>
        <v>PLANTA DOMESTICA A BASE DE OZONO</v>
      </c>
      <c r="C441" s="6">
        <v>275000</v>
      </c>
      <c r="D441" s="5" t="s">
        <v>62</v>
      </c>
      <c r="E441" s="5" t="str">
        <f t="shared" si="14"/>
        <v>ACTISALUD-MEDICINA INTERNA- PISO 7</v>
      </c>
      <c r="F441" s="5"/>
      <c r="G441" s="5"/>
    </row>
    <row r="442" spans="1:7" ht="58.5" customHeight="1" x14ac:dyDescent="0.25">
      <c r="A442" s="5" t="str">
        <f>"H0021843"</f>
        <v>H0021843</v>
      </c>
      <c r="B442" s="5" t="str">
        <f>"CAMA HOSPITALARIA 4 PLANOS CON BARANDA"</f>
        <v>CAMA HOSPITALARIA 4 PLANOS CON BARANDA</v>
      </c>
      <c r="C442" s="6">
        <v>5700000</v>
      </c>
      <c r="D442" s="5" t="s">
        <v>63</v>
      </c>
      <c r="E442" s="5" t="str">
        <f t="shared" si="14"/>
        <v>ACTISALUD-MEDICINA INTERNA- PISO 7</v>
      </c>
      <c r="F442" s="5" t="str">
        <f>"Descripcion: CAMA METALICA LEVANTECAMA ELECTRICA DOMETAL Estado: Bueno Placa anterior: 000037747 Material: METALICA Color: BEIGE Referencia:  Observacion:  Placa padre: Tipo adquisicion: Entidad"</f>
        <v>Descripcion: CAMA METALICA LEVANTECAMA ELECTRICA DOMETAL Estado: Bueno Placa anterior: 000037747 Material: METALICA Color: BEIGE Referencia:  Observacion:  Placa padre: Tipo adquisicion: Entidad</v>
      </c>
      <c r="G442" s="5"/>
    </row>
    <row r="443" spans="1:7" ht="58.5" customHeight="1" x14ac:dyDescent="0.25">
      <c r="A443" s="5" t="str">
        <f>"H0022483"</f>
        <v>H0022483</v>
      </c>
      <c r="B443" s="5" t="str">
        <f>"AIRE ACONDICIONADO TIPO TECHO"</f>
        <v>AIRE ACONDICIONADO TIPO TECHO</v>
      </c>
      <c r="C443" s="6">
        <v>447574.64</v>
      </c>
      <c r="D443" s="5"/>
      <c r="E443" s="5" t="str">
        <f t="shared" si="14"/>
        <v>ACTISALUD-MEDICINA INTERNA- PISO 7</v>
      </c>
      <c r="F443" s="5" t="str">
        <f>"Descripcion: AIRE ACONDICIONADO INDUCOL Estado: Bueno Placa anterior: 000003980 Material:  Color:  Referencia:  Observacion: AUTORIZADO CONCILIAR EN CRUCE GENERAL Placa padre: Tipo adquisicion: Entidad"</f>
        <v>Descripcion: AIRE ACONDICIONADO INDUCOL Estado: Bueno Placa anterior: 000003980 Material:  Color:  Referencia:  Observacion: AUTORIZADO CONCILIAR EN CRUCE GENERAL Placa padre: Tipo adquisicion: Entidad</v>
      </c>
      <c r="G443" s="5"/>
    </row>
    <row r="444" spans="1:7" ht="58.5" customHeight="1" x14ac:dyDescent="0.25">
      <c r="A444" s="5" t="str">
        <f>"H0022743"</f>
        <v>H0022743</v>
      </c>
      <c r="B444" s="5" t="str">
        <f>"EQUIPO DE ORGANOS PORTATIL"</f>
        <v>EQUIPO DE ORGANOS PORTATIL</v>
      </c>
      <c r="C444" s="6">
        <v>591600</v>
      </c>
      <c r="D444" s="5"/>
      <c r="E444" s="5" t="str">
        <f t="shared" si="14"/>
        <v>ACTISALUD-MEDICINA INTERNA- PISO 7</v>
      </c>
      <c r="F444" s="5" t="str">
        <f>"Descripcion: EQUIPO DE ORGANOS DE LOS SENTIDOS DE ESTUCHE MARCA: WELCH ALLYN, MODELO 99090 CARACTERISTICAS: COMPUESTO DE OFTALMOSCOPIO CON MANGO REF. 19000, MODELO 19090. OTOSCOPIO CON MANGO 29000, MODELO 29090, ESPECULO NEMATICO------ Estado: Bueno Placa"&amp; " anterior: 000026476 Material:  Color:  Referencia:  Observacion: AUTORIZADO CONCILIAR EN CRUCE GENERAL Placa padre: Tipo adquisicion: Entidad"</f>
        <v>Descripcion: EQUIPO DE ORGANOS DE LOS SENTIDOS DE ESTUCHE MARCA: WELCH ALLYN, MODELO 99090 CARACTERISTICAS: COMPUESTO DE OFTALMOSCOPIO CON MANGO REF. 19000, MODELO 19090. OTOSCOPIO CON MANGO 29000, MODELO 29090, ESPECULO NEMATICO------ Estado: Bueno Placa anterior: 000026476 Material:  Color:  Referencia:  Observacion: AUTORIZADO CONCILIAR EN CRUCE GENERAL Placa padre: Tipo adquisicion: Entidad</v>
      </c>
      <c r="G444" s="5"/>
    </row>
    <row r="445" spans="1:7" ht="58.5" customHeight="1" x14ac:dyDescent="0.25">
      <c r="A445" s="5" t="str">
        <f>"H0022793"</f>
        <v>H0022793</v>
      </c>
      <c r="B445" s="5" t="str">
        <f>"MESA DE NOCHE"</f>
        <v>MESA DE NOCHE</v>
      </c>
      <c r="C445" s="6">
        <v>327586</v>
      </c>
      <c r="D445" s="5"/>
      <c r="E445" s="5" t="str">
        <f t="shared" si="14"/>
        <v>ACTISALUD-MEDICINA INTERNA- PISO 7</v>
      </c>
      <c r="F445" s="5" t="str">
        <f>"Descripcion: MESA DE NOCHE Estado: Bueno Placa anterior: 000032714 Material: METAL Color:  Referencia:  Observacion:  Placa padre: Tipo adquisicion: Entidad"</f>
        <v>Descripcion: MESA DE NOCHE Estado: Bueno Placa anterior: 000032714 Material: METAL Color:  Referencia:  Observacion:  Placa padre: Tipo adquisicion: Entidad</v>
      </c>
      <c r="G445" s="5"/>
    </row>
    <row r="446" spans="1:7" ht="58.5" customHeight="1" x14ac:dyDescent="0.25">
      <c r="A446" s="5" t="str">
        <f>"H0024001"</f>
        <v>H0024001</v>
      </c>
      <c r="B446" s="5" t="str">
        <f>"CAMILLA PARA TRANSPORTE DE PACIENTE MODE"</f>
        <v>CAMILLA PARA TRANSPORTE DE PACIENTE MODE</v>
      </c>
      <c r="C446" s="6">
        <v>1330056</v>
      </c>
      <c r="D446" s="5"/>
      <c r="E446" s="5" t="str">
        <f t="shared" si="14"/>
        <v>ACTISALUD-MEDICINA INTERNA- PISO 7</v>
      </c>
      <c r="F446" s="5" t="str">
        <f>"Descripcion:CAMILLAS DE TRANSPORTE DE PACIENTES CONSTA DE: FABRICACION NACIONAL, CABECEROS DE LEVANTE CON SISTEMA MECANICO, BARANDAS LATERALES CROMADAS DE01.30 X 0.40 CON SISTEMA TELESCOPIO AUTOMATICO 4 RUEDAS DE 5., DOS FRENOS DE PIE , COLCHONETA DE ESPU"&amp; "MA DE 10 CM Estado: Malo Placa anterior: 000024084 Material: METALICA Color:  Referencia:  Observacion: PASAR A ELEMENTOS PARA DAR DE BAJA Placa padre:  Tipo adquisicion : Entidad"</f>
        <v>Descripcion:CAMILLAS DE TRANSPORTE DE PACIENTES CONSTA DE: FABRICACION NACIONAL, CABECEROS DE LEVANTE CON SISTEMA MECANICO, BARANDAS LATERALES CROMADAS DE01.30 X 0.40 CON SISTEMA TELESCOPIO AUTOMATICO 4 RUEDAS DE 5., DOS FRENOS DE PIE , COLCHONETA DE ESPUMA DE 10 CM Estado: Malo Placa anterior: 000024084 Material: METALICA Color:  Referencia:  Observacion: PASAR A ELEMENTOS PARA DAR DE BAJA Placa padre:  Tipo adquisicion : Entidad</v>
      </c>
      <c r="G446" s="5"/>
    </row>
    <row r="447" spans="1:7" ht="58.5" customHeight="1" x14ac:dyDescent="0.25">
      <c r="A447" s="5" t="str">
        <f>"H0024044"</f>
        <v>H0024044</v>
      </c>
      <c r="B447" s="5" t="str">
        <f>"CAMILLA DE TRASLADO CON BARANDAS"</f>
        <v>CAMILLA DE TRASLADO CON BARANDAS</v>
      </c>
      <c r="C447" s="6">
        <v>326895</v>
      </c>
      <c r="D447" s="5"/>
      <c r="E447" s="5" t="str">
        <f t="shared" si="14"/>
        <v>ACTISALUD-MEDICINA INTERNA- PISO 7</v>
      </c>
      <c r="F447" s="5" t="str">
        <f>"Descripcion:CAMILLA DERECUPERACION Estado: Malo Placa anterior: 000021460 Material: METALICA Color:  Referencia:  Observacion: PASAR A ELEMENTOS PARA DAR DE BAJA   Placa padre:  Tipo adquisicion : Entidad"</f>
        <v>Descripcion:CAMILLA DERECUPERACION Estado: Malo Placa anterior: 000021460 Material: METALICA Color:  Referencia:  Observacion: PASAR A ELEMENTOS PARA DAR DE BAJA   Placa padre:  Tipo adquisicion : Entidad</v>
      </c>
      <c r="G447" s="5"/>
    </row>
    <row r="448" spans="1:7" ht="58.5" customHeight="1" x14ac:dyDescent="0.25">
      <c r="A448" s="5" t="str">
        <f>"H0024174"</f>
        <v>H0024174</v>
      </c>
      <c r="B448" s="5" t="str">
        <f t="shared" ref="B448:B460" si="15">"CAMA ELECTRICA ADULTOS"</f>
        <v>CAMA ELECTRICA ADULTOS</v>
      </c>
      <c r="C448" s="6">
        <v>5746930</v>
      </c>
      <c r="D448" s="5" t="s">
        <v>36</v>
      </c>
      <c r="E448" s="5" t="str">
        <f t="shared" si="14"/>
        <v>ACTISALUD-MEDICINA INTERNA- PISO 7</v>
      </c>
      <c r="F448" s="5"/>
      <c r="G448" s="5"/>
    </row>
    <row r="449" spans="1:7" ht="58.5" customHeight="1" x14ac:dyDescent="0.25">
      <c r="A449" s="5" t="str">
        <f>"H0024180"</f>
        <v>H0024180</v>
      </c>
      <c r="B449" s="5" t="str">
        <f t="shared" si="15"/>
        <v>CAMA ELECTRICA ADULTOS</v>
      </c>
      <c r="C449" s="6">
        <v>5746930</v>
      </c>
      <c r="D449" s="5" t="s">
        <v>36</v>
      </c>
      <c r="E449" s="5" t="str">
        <f t="shared" si="14"/>
        <v>ACTISALUD-MEDICINA INTERNA- PISO 7</v>
      </c>
      <c r="F449" s="5"/>
      <c r="G449" s="5"/>
    </row>
    <row r="450" spans="1:7" ht="58.5" customHeight="1" x14ac:dyDescent="0.25">
      <c r="A450" s="5" t="str">
        <f>"H0024181"</f>
        <v>H0024181</v>
      </c>
      <c r="B450" s="5" t="str">
        <f t="shared" si="15"/>
        <v>CAMA ELECTRICA ADULTOS</v>
      </c>
      <c r="C450" s="6">
        <v>5746930</v>
      </c>
      <c r="D450" s="5" t="s">
        <v>36</v>
      </c>
      <c r="E450" s="5" t="str">
        <f t="shared" si="14"/>
        <v>ACTISALUD-MEDICINA INTERNA- PISO 7</v>
      </c>
      <c r="F450" s="5"/>
      <c r="G450" s="5"/>
    </row>
    <row r="451" spans="1:7" ht="58.5" customHeight="1" x14ac:dyDescent="0.25">
      <c r="A451" s="5" t="str">
        <f>"H0024182"</f>
        <v>H0024182</v>
      </c>
      <c r="B451" s="5" t="str">
        <f t="shared" si="15"/>
        <v>CAMA ELECTRICA ADULTOS</v>
      </c>
      <c r="C451" s="6">
        <v>5746930</v>
      </c>
      <c r="D451" s="5" t="s">
        <v>36</v>
      </c>
      <c r="E451" s="5" t="str">
        <f t="shared" si="14"/>
        <v>ACTISALUD-MEDICINA INTERNA- PISO 7</v>
      </c>
      <c r="F451" s="5"/>
      <c r="G451" s="5"/>
    </row>
    <row r="452" spans="1:7" ht="58.5" customHeight="1" x14ac:dyDescent="0.25">
      <c r="A452" s="5" t="str">
        <f>"H0024183"</f>
        <v>H0024183</v>
      </c>
      <c r="B452" s="5" t="str">
        <f t="shared" si="15"/>
        <v>CAMA ELECTRICA ADULTOS</v>
      </c>
      <c r="C452" s="6">
        <v>5746930</v>
      </c>
      <c r="D452" s="5" t="s">
        <v>36</v>
      </c>
      <c r="E452" s="5" t="str">
        <f t="shared" si="14"/>
        <v>ACTISALUD-MEDICINA INTERNA- PISO 7</v>
      </c>
      <c r="F452" s="5"/>
      <c r="G452" s="5"/>
    </row>
    <row r="453" spans="1:7" ht="58.5" customHeight="1" x14ac:dyDescent="0.25">
      <c r="A453" s="5" t="str">
        <f>"H0024188"</f>
        <v>H0024188</v>
      </c>
      <c r="B453" s="5" t="str">
        <f t="shared" si="15"/>
        <v>CAMA ELECTRICA ADULTOS</v>
      </c>
      <c r="C453" s="6">
        <v>5746930</v>
      </c>
      <c r="D453" s="5" t="s">
        <v>36</v>
      </c>
      <c r="E453" s="5" t="str">
        <f t="shared" si="14"/>
        <v>ACTISALUD-MEDICINA INTERNA- PISO 7</v>
      </c>
      <c r="F453" s="5"/>
      <c r="G453" s="5"/>
    </row>
    <row r="454" spans="1:7" ht="58.5" customHeight="1" x14ac:dyDescent="0.25">
      <c r="A454" s="5" t="str">
        <f>"H0024190"</f>
        <v>H0024190</v>
      </c>
      <c r="B454" s="5" t="str">
        <f t="shared" si="15"/>
        <v>CAMA ELECTRICA ADULTOS</v>
      </c>
      <c r="C454" s="6">
        <v>5746930</v>
      </c>
      <c r="D454" s="5" t="s">
        <v>36</v>
      </c>
      <c r="E454" s="5" t="str">
        <f t="shared" si="14"/>
        <v>ACTISALUD-MEDICINA INTERNA- PISO 7</v>
      </c>
      <c r="F454" s="5"/>
      <c r="G454" s="5"/>
    </row>
    <row r="455" spans="1:7" ht="58.5" customHeight="1" x14ac:dyDescent="0.25">
      <c r="A455" s="5" t="str">
        <f>"H0024192"</f>
        <v>H0024192</v>
      </c>
      <c r="B455" s="5" t="str">
        <f t="shared" si="15"/>
        <v>CAMA ELECTRICA ADULTOS</v>
      </c>
      <c r="C455" s="6">
        <v>5746930</v>
      </c>
      <c r="D455" s="5" t="s">
        <v>36</v>
      </c>
      <c r="E455" s="5" t="str">
        <f t="shared" si="14"/>
        <v>ACTISALUD-MEDICINA INTERNA- PISO 7</v>
      </c>
      <c r="F455" s="5"/>
      <c r="G455" s="5"/>
    </row>
    <row r="456" spans="1:7" ht="58.5" customHeight="1" x14ac:dyDescent="0.25">
      <c r="A456" s="5" t="str">
        <f>"H0024195"</f>
        <v>H0024195</v>
      </c>
      <c r="B456" s="5" t="str">
        <f t="shared" si="15"/>
        <v>CAMA ELECTRICA ADULTOS</v>
      </c>
      <c r="C456" s="6">
        <v>5746930</v>
      </c>
      <c r="D456" s="5" t="s">
        <v>36</v>
      </c>
      <c r="E456" s="5" t="str">
        <f t="shared" si="14"/>
        <v>ACTISALUD-MEDICINA INTERNA- PISO 7</v>
      </c>
      <c r="F456" s="5"/>
      <c r="G456" s="5"/>
    </row>
    <row r="457" spans="1:7" ht="58.5" customHeight="1" x14ac:dyDescent="0.25">
      <c r="A457" s="5" t="str">
        <f>"H0024248"</f>
        <v>H0024248</v>
      </c>
      <c r="B457" s="5" t="str">
        <f t="shared" si="15"/>
        <v>CAMA ELECTRICA ADULTOS</v>
      </c>
      <c r="C457" s="6">
        <v>5746930</v>
      </c>
      <c r="D457" s="5" t="s">
        <v>36</v>
      </c>
      <c r="E457" s="5" t="str">
        <f t="shared" si="14"/>
        <v>ACTISALUD-MEDICINA INTERNA- PISO 7</v>
      </c>
      <c r="F457" s="5"/>
      <c r="G457" s="5"/>
    </row>
    <row r="458" spans="1:7" ht="58.5" customHeight="1" x14ac:dyDescent="0.25">
      <c r="A458" s="5" t="str">
        <f>"H0024252"</f>
        <v>H0024252</v>
      </c>
      <c r="B458" s="5" t="str">
        <f t="shared" si="15"/>
        <v>CAMA ELECTRICA ADULTOS</v>
      </c>
      <c r="C458" s="6">
        <v>5746930</v>
      </c>
      <c r="D458" s="5" t="s">
        <v>36</v>
      </c>
      <c r="E458" s="5" t="str">
        <f t="shared" si="14"/>
        <v>ACTISALUD-MEDICINA INTERNA- PISO 7</v>
      </c>
      <c r="F458" s="5"/>
      <c r="G458" s="5"/>
    </row>
    <row r="459" spans="1:7" ht="58.5" customHeight="1" x14ac:dyDescent="0.25">
      <c r="A459" s="5" t="str">
        <f>"H0024261"</f>
        <v>H0024261</v>
      </c>
      <c r="B459" s="5" t="str">
        <f t="shared" si="15"/>
        <v>CAMA ELECTRICA ADULTOS</v>
      </c>
      <c r="C459" s="6">
        <v>5746930</v>
      </c>
      <c r="D459" s="5" t="s">
        <v>36</v>
      </c>
      <c r="E459" s="5" t="str">
        <f t="shared" si="14"/>
        <v>ACTISALUD-MEDICINA INTERNA- PISO 7</v>
      </c>
      <c r="F459" s="5"/>
      <c r="G459" s="5"/>
    </row>
    <row r="460" spans="1:7" ht="58.5" customHeight="1" x14ac:dyDescent="0.25">
      <c r="A460" s="5" t="str">
        <f>"H0024264"</f>
        <v>H0024264</v>
      </c>
      <c r="B460" s="5" t="str">
        <f t="shared" si="15"/>
        <v>CAMA ELECTRICA ADULTOS</v>
      </c>
      <c r="C460" s="6">
        <v>5746930</v>
      </c>
      <c r="D460" s="5" t="s">
        <v>36</v>
      </c>
      <c r="E460" s="5" t="str">
        <f t="shared" si="14"/>
        <v>ACTISALUD-MEDICINA INTERNA- PISO 7</v>
      </c>
      <c r="F460" s="5"/>
      <c r="G460" s="5"/>
    </row>
    <row r="461" spans="1:7" ht="58.5" customHeight="1" x14ac:dyDescent="0.25">
      <c r="A461" s="5" t="str">
        <f>"H0024301"</f>
        <v>H0024301</v>
      </c>
      <c r="B461" s="5" t="str">
        <f>"DESFRIBILADOR"</f>
        <v>DESFRIBILADOR</v>
      </c>
      <c r="C461" s="6">
        <v>14513920</v>
      </c>
      <c r="D461" s="5" t="s">
        <v>64</v>
      </c>
      <c r="E461" s="5" t="str">
        <f t="shared" si="14"/>
        <v>ACTISALUD-MEDICINA INTERNA- PISO 7</v>
      </c>
      <c r="F461" s="5"/>
      <c r="G461" s="5"/>
    </row>
    <row r="462" spans="1:7" ht="58.5" customHeight="1" x14ac:dyDescent="0.25">
      <c r="A462" s="5" t="str">
        <f>"H0024306"</f>
        <v>H0024306</v>
      </c>
      <c r="B462" s="5" t="str">
        <f t="shared" ref="B462:B476" si="16">"CAMA ELECTRICA ADULTOS"</f>
        <v>CAMA ELECTRICA ADULTOS</v>
      </c>
      <c r="C462" s="6">
        <v>5746930</v>
      </c>
      <c r="D462" s="5" t="s">
        <v>36</v>
      </c>
      <c r="E462" s="5" t="str">
        <f t="shared" ref="E462:E525" si="17">"ACTISALUD-MEDICINA INTERNA- PISO 7"</f>
        <v>ACTISALUD-MEDICINA INTERNA- PISO 7</v>
      </c>
      <c r="F462" s="5"/>
      <c r="G462" s="5"/>
    </row>
    <row r="463" spans="1:7" ht="58.5" customHeight="1" x14ac:dyDescent="0.25">
      <c r="A463" s="5" t="str">
        <f>"H0024308"</f>
        <v>H0024308</v>
      </c>
      <c r="B463" s="5" t="str">
        <f t="shared" si="16"/>
        <v>CAMA ELECTRICA ADULTOS</v>
      </c>
      <c r="C463" s="6">
        <v>5746930</v>
      </c>
      <c r="D463" s="5" t="s">
        <v>36</v>
      </c>
      <c r="E463" s="5" t="str">
        <f t="shared" si="17"/>
        <v>ACTISALUD-MEDICINA INTERNA- PISO 7</v>
      </c>
      <c r="F463" s="5"/>
      <c r="G463" s="5"/>
    </row>
    <row r="464" spans="1:7" ht="58.5" customHeight="1" x14ac:dyDescent="0.25">
      <c r="A464" s="5" t="str">
        <f>"H0024309"</f>
        <v>H0024309</v>
      </c>
      <c r="B464" s="5" t="str">
        <f t="shared" si="16"/>
        <v>CAMA ELECTRICA ADULTOS</v>
      </c>
      <c r="C464" s="6">
        <v>5746930</v>
      </c>
      <c r="D464" s="5" t="s">
        <v>36</v>
      </c>
      <c r="E464" s="5" t="str">
        <f t="shared" si="17"/>
        <v>ACTISALUD-MEDICINA INTERNA- PISO 7</v>
      </c>
      <c r="F464" s="5"/>
      <c r="G464" s="5"/>
    </row>
    <row r="465" spans="1:7" ht="58.5" customHeight="1" x14ac:dyDescent="0.25">
      <c r="A465" s="5" t="str">
        <f>"H0024310"</f>
        <v>H0024310</v>
      </c>
      <c r="B465" s="5" t="str">
        <f t="shared" si="16"/>
        <v>CAMA ELECTRICA ADULTOS</v>
      </c>
      <c r="C465" s="6">
        <v>5746930</v>
      </c>
      <c r="D465" s="5" t="s">
        <v>36</v>
      </c>
      <c r="E465" s="5" t="str">
        <f t="shared" si="17"/>
        <v>ACTISALUD-MEDICINA INTERNA- PISO 7</v>
      </c>
      <c r="F465" s="5"/>
      <c r="G465" s="5"/>
    </row>
    <row r="466" spans="1:7" ht="58.5" customHeight="1" x14ac:dyDescent="0.25">
      <c r="A466" s="5" t="str">
        <f>"H0024311"</f>
        <v>H0024311</v>
      </c>
      <c r="B466" s="5" t="str">
        <f t="shared" si="16"/>
        <v>CAMA ELECTRICA ADULTOS</v>
      </c>
      <c r="C466" s="6">
        <v>5746930</v>
      </c>
      <c r="D466" s="5" t="s">
        <v>36</v>
      </c>
      <c r="E466" s="5" t="str">
        <f t="shared" si="17"/>
        <v>ACTISALUD-MEDICINA INTERNA- PISO 7</v>
      </c>
      <c r="F466" s="5"/>
      <c r="G466" s="5"/>
    </row>
    <row r="467" spans="1:7" ht="58.5" customHeight="1" x14ac:dyDescent="0.25">
      <c r="A467" s="5" t="str">
        <f>"H0024312"</f>
        <v>H0024312</v>
      </c>
      <c r="B467" s="5" t="str">
        <f t="shared" si="16"/>
        <v>CAMA ELECTRICA ADULTOS</v>
      </c>
      <c r="C467" s="6">
        <v>5746930</v>
      </c>
      <c r="D467" s="5" t="s">
        <v>36</v>
      </c>
      <c r="E467" s="5" t="str">
        <f t="shared" si="17"/>
        <v>ACTISALUD-MEDICINA INTERNA- PISO 7</v>
      </c>
      <c r="F467" s="5"/>
      <c r="G467" s="5"/>
    </row>
    <row r="468" spans="1:7" ht="58.5" customHeight="1" x14ac:dyDescent="0.25">
      <c r="A468" s="5" t="str">
        <f>"H0024313"</f>
        <v>H0024313</v>
      </c>
      <c r="B468" s="5" t="str">
        <f t="shared" si="16"/>
        <v>CAMA ELECTRICA ADULTOS</v>
      </c>
      <c r="C468" s="6">
        <v>5746930</v>
      </c>
      <c r="D468" s="5" t="s">
        <v>36</v>
      </c>
      <c r="E468" s="5" t="str">
        <f t="shared" si="17"/>
        <v>ACTISALUD-MEDICINA INTERNA- PISO 7</v>
      </c>
      <c r="F468" s="5"/>
      <c r="G468" s="5"/>
    </row>
    <row r="469" spans="1:7" ht="58.5" customHeight="1" x14ac:dyDescent="0.25">
      <c r="A469" s="5" t="str">
        <f>"H0024315"</f>
        <v>H0024315</v>
      </c>
      <c r="B469" s="5" t="str">
        <f t="shared" si="16"/>
        <v>CAMA ELECTRICA ADULTOS</v>
      </c>
      <c r="C469" s="6">
        <v>5746930</v>
      </c>
      <c r="D469" s="5" t="s">
        <v>36</v>
      </c>
      <c r="E469" s="5" t="str">
        <f t="shared" si="17"/>
        <v>ACTISALUD-MEDICINA INTERNA- PISO 7</v>
      </c>
      <c r="F469" s="5"/>
      <c r="G469" s="5"/>
    </row>
    <row r="470" spans="1:7" ht="58.5" customHeight="1" x14ac:dyDescent="0.25">
      <c r="A470" s="5" t="str">
        <f>"H0024316"</f>
        <v>H0024316</v>
      </c>
      <c r="B470" s="5" t="str">
        <f t="shared" si="16"/>
        <v>CAMA ELECTRICA ADULTOS</v>
      </c>
      <c r="C470" s="6">
        <v>5746930</v>
      </c>
      <c r="D470" s="5" t="s">
        <v>36</v>
      </c>
      <c r="E470" s="5" t="str">
        <f t="shared" si="17"/>
        <v>ACTISALUD-MEDICINA INTERNA- PISO 7</v>
      </c>
      <c r="F470" s="5"/>
      <c r="G470" s="5"/>
    </row>
    <row r="471" spans="1:7" ht="58.5" customHeight="1" x14ac:dyDescent="0.25">
      <c r="A471" s="5" t="str">
        <f>"H0024317"</f>
        <v>H0024317</v>
      </c>
      <c r="B471" s="5" t="str">
        <f t="shared" si="16"/>
        <v>CAMA ELECTRICA ADULTOS</v>
      </c>
      <c r="C471" s="6">
        <v>5746930</v>
      </c>
      <c r="D471" s="5" t="s">
        <v>36</v>
      </c>
      <c r="E471" s="5" t="str">
        <f t="shared" si="17"/>
        <v>ACTISALUD-MEDICINA INTERNA- PISO 7</v>
      </c>
      <c r="F471" s="5"/>
      <c r="G471" s="5"/>
    </row>
    <row r="472" spans="1:7" ht="58.5" customHeight="1" x14ac:dyDescent="0.25">
      <c r="A472" s="5" t="str">
        <f>"H0024318"</f>
        <v>H0024318</v>
      </c>
      <c r="B472" s="5" t="str">
        <f t="shared" si="16"/>
        <v>CAMA ELECTRICA ADULTOS</v>
      </c>
      <c r="C472" s="6">
        <v>5746930</v>
      </c>
      <c r="D472" s="5" t="s">
        <v>36</v>
      </c>
      <c r="E472" s="5" t="str">
        <f t="shared" si="17"/>
        <v>ACTISALUD-MEDICINA INTERNA- PISO 7</v>
      </c>
      <c r="F472" s="5"/>
      <c r="G472" s="5"/>
    </row>
    <row r="473" spans="1:7" ht="58.5" customHeight="1" x14ac:dyDescent="0.25">
      <c r="A473" s="5" t="str">
        <f>"H0024336"</f>
        <v>H0024336</v>
      </c>
      <c r="B473" s="5" t="str">
        <f t="shared" si="16"/>
        <v>CAMA ELECTRICA ADULTOS</v>
      </c>
      <c r="C473" s="6">
        <v>5746930</v>
      </c>
      <c r="D473" s="5" t="s">
        <v>36</v>
      </c>
      <c r="E473" s="5" t="str">
        <f t="shared" si="17"/>
        <v>ACTISALUD-MEDICINA INTERNA- PISO 7</v>
      </c>
      <c r="F473" s="5"/>
      <c r="G473" s="5"/>
    </row>
    <row r="474" spans="1:7" ht="58.5" customHeight="1" x14ac:dyDescent="0.25">
      <c r="A474" s="5" t="str">
        <f>"H0024337"</f>
        <v>H0024337</v>
      </c>
      <c r="B474" s="5" t="str">
        <f t="shared" si="16"/>
        <v>CAMA ELECTRICA ADULTOS</v>
      </c>
      <c r="C474" s="6">
        <v>5746930</v>
      </c>
      <c r="D474" s="5" t="s">
        <v>36</v>
      </c>
      <c r="E474" s="5" t="str">
        <f t="shared" si="17"/>
        <v>ACTISALUD-MEDICINA INTERNA- PISO 7</v>
      </c>
      <c r="F474" s="5"/>
      <c r="G474" s="5"/>
    </row>
    <row r="475" spans="1:7" ht="58.5" customHeight="1" x14ac:dyDescent="0.25">
      <c r="A475" s="5" t="str">
        <f>"H0024498"</f>
        <v>H0024498</v>
      </c>
      <c r="B475" s="5" t="str">
        <f t="shared" si="16"/>
        <v>CAMA ELECTRICA ADULTOS</v>
      </c>
      <c r="C475" s="6">
        <v>5746930</v>
      </c>
      <c r="D475" s="5" t="s">
        <v>36</v>
      </c>
      <c r="E475" s="5" t="str">
        <f t="shared" si="17"/>
        <v>ACTISALUD-MEDICINA INTERNA- PISO 7</v>
      </c>
      <c r="F475" s="5"/>
      <c r="G475" s="5"/>
    </row>
    <row r="476" spans="1:7" ht="58.5" customHeight="1" x14ac:dyDescent="0.25">
      <c r="A476" s="5" t="str">
        <f>"H0024499"</f>
        <v>H0024499</v>
      </c>
      <c r="B476" s="5" t="str">
        <f t="shared" si="16"/>
        <v>CAMA ELECTRICA ADULTOS</v>
      </c>
      <c r="C476" s="6">
        <v>5746930</v>
      </c>
      <c r="D476" s="5" t="s">
        <v>36</v>
      </c>
      <c r="E476" s="5" t="str">
        <f t="shared" si="17"/>
        <v>ACTISALUD-MEDICINA INTERNA- PISO 7</v>
      </c>
      <c r="F476" s="5"/>
      <c r="G476" s="5"/>
    </row>
    <row r="477" spans="1:7" ht="58.5" customHeight="1" x14ac:dyDescent="0.25">
      <c r="A477" s="5" t="str">
        <f>"H0024500"</f>
        <v>H0024500</v>
      </c>
      <c r="B477" s="5" t="str">
        <f t="shared" ref="B477:B489" si="18">"EQUIPO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477" s="6">
        <v>2600000</v>
      </c>
      <c r="D477" s="5" t="s">
        <v>36</v>
      </c>
      <c r="E477" s="5" t="str">
        <f t="shared" si="17"/>
        <v>ACTISALUD-MEDICINA INTERNA- PISO 7</v>
      </c>
      <c r="F477" s="5"/>
      <c r="G477" s="5"/>
    </row>
    <row r="478" spans="1:7" ht="58.5" customHeight="1" x14ac:dyDescent="0.25">
      <c r="A478" s="5" t="str">
        <f>"H0024507"</f>
        <v>H0024507</v>
      </c>
      <c r="B478" s="5" t="str">
        <f t="shared" si="18"/>
        <v>EQUIPO DE COMPUTO TODO EN UNO con Procesador Intel core i5 de quinta generación de 2.2 Ghz o superior. Memoria RAM 4 GB DDR3 o DDR4 o superior. 1 disco duro de 500 GB 7200 rpm o superior. Puerto Ether</v>
      </c>
      <c r="C478" s="6">
        <v>2600000</v>
      </c>
      <c r="D478" s="5" t="s">
        <v>36</v>
      </c>
      <c r="E478" s="5" t="str">
        <f t="shared" si="17"/>
        <v>ACTISALUD-MEDICINA INTERNA- PISO 7</v>
      </c>
      <c r="F478" s="5"/>
      <c r="G478" s="5"/>
    </row>
    <row r="479" spans="1:7" ht="58.5" customHeight="1" x14ac:dyDescent="0.25">
      <c r="A479" s="5" t="str">
        <f>"H0024517"</f>
        <v>H0024517</v>
      </c>
      <c r="B479" s="5" t="str">
        <f t="shared" si="18"/>
        <v>EQUIPO DE COMPUTO TODO EN UNO con Procesador Intel core i5 de quinta generación de 2.2 Ghz o superior. Memoria RAM 4 GB DDR3 o DDR4 o superior. 1 disco duro de 500 GB 7200 rpm o superior. Puerto Ether</v>
      </c>
      <c r="C479" s="6">
        <v>2600000</v>
      </c>
      <c r="D479" s="5" t="s">
        <v>36</v>
      </c>
      <c r="E479" s="5" t="str">
        <f t="shared" si="17"/>
        <v>ACTISALUD-MEDICINA INTERNA- PISO 7</v>
      </c>
      <c r="F479" s="5"/>
      <c r="G479" s="5"/>
    </row>
    <row r="480" spans="1:7" ht="58.5" customHeight="1" x14ac:dyDescent="0.25">
      <c r="A480" s="5" t="str">
        <f>"H0024527"</f>
        <v>H0024527</v>
      </c>
      <c r="B480" s="5" t="str">
        <f t="shared" si="18"/>
        <v>EQUIPO DE COMPUTO TODO EN UNO con Procesador Intel core i5 de quinta generación de 2.2 Ghz o superior. Memoria RAM 4 GB DDR3 o DDR4 o superior. 1 disco duro de 500 GB 7200 rpm o superior. Puerto Ether</v>
      </c>
      <c r="C480" s="6">
        <v>2600000</v>
      </c>
      <c r="D480" s="5" t="s">
        <v>36</v>
      </c>
      <c r="E480" s="5" t="str">
        <f t="shared" si="17"/>
        <v>ACTISALUD-MEDICINA INTERNA- PISO 7</v>
      </c>
      <c r="F480" s="5"/>
      <c r="G480" s="5"/>
    </row>
    <row r="481" spans="1:7" ht="58.5" customHeight="1" x14ac:dyDescent="0.25">
      <c r="A481" s="5" t="str">
        <f>"H0024529"</f>
        <v>H0024529</v>
      </c>
      <c r="B481" s="5" t="str">
        <f t="shared" si="18"/>
        <v>EQUIPO DE COMPUTO TODO EN UNO con Procesador Intel core i5 de quinta generación de 2.2 Ghz o superior. Memoria RAM 4 GB DDR3 o DDR4 o superior. 1 disco duro de 500 GB 7200 rpm o superior. Puerto Ether</v>
      </c>
      <c r="C481" s="6">
        <v>2600000</v>
      </c>
      <c r="D481" s="5" t="s">
        <v>36</v>
      </c>
      <c r="E481" s="5" t="str">
        <f t="shared" si="17"/>
        <v>ACTISALUD-MEDICINA INTERNA- PISO 7</v>
      </c>
      <c r="F481" s="5"/>
      <c r="G481" s="5"/>
    </row>
    <row r="482" spans="1:7" ht="58.5" customHeight="1" x14ac:dyDescent="0.25">
      <c r="A482" s="5" t="str">
        <f>"H0024536"</f>
        <v>H0024536</v>
      </c>
      <c r="B482" s="5" t="str">
        <f t="shared" si="18"/>
        <v>EQUIPO DE COMPUTO TODO EN UNO con Procesador Intel core i5 de quinta generación de 2.2 Ghz o superior. Memoria RAM 4 GB DDR3 o DDR4 o superior. 1 disco duro de 500 GB 7200 rpm o superior. Puerto Ether</v>
      </c>
      <c r="C482" s="6">
        <v>2600000</v>
      </c>
      <c r="D482" s="5" t="s">
        <v>36</v>
      </c>
      <c r="E482" s="5" t="str">
        <f t="shared" si="17"/>
        <v>ACTISALUD-MEDICINA INTERNA- PISO 7</v>
      </c>
      <c r="F482" s="5"/>
      <c r="G482" s="5"/>
    </row>
    <row r="483" spans="1:7" ht="58.5" customHeight="1" x14ac:dyDescent="0.25">
      <c r="A483" s="5" t="str">
        <f>"H0024538"</f>
        <v>H0024538</v>
      </c>
      <c r="B483" s="5" t="str">
        <f t="shared" si="18"/>
        <v>EQUIPO DE COMPUTO TODO EN UNO con Procesador Intel core i5 de quinta generación de 2.2 Ghz o superior. Memoria RAM 4 GB DDR3 o DDR4 o superior. 1 disco duro de 500 GB 7200 rpm o superior. Puerto Ether</v>
      </c>
      <c r="C483" s="6">
        <v>2600000</v>
      </c>
      <c r="D483" s="5" t="s">
        <v>36</v>
      </c>
      <c r="E483" s="5" t="str">
        <f t="shared" si="17"/>
        <v>ACTISALUD-MEDICINA INTERNA- PISO 7</v>
      </c>
      <c r="F483" s="5"/>
      <c r="G483" s="5"/>
    </row>
    <row r="484" spans="1:7" ht="58.5" customHeight="1" x14ac:dyDescent="0.25">
      <c r="A484" s="5" t="str">
        <f>"H0024542"</f>
        <v>H0024542</v>
      </c>
      <c r="B484" s="5" t="str">
        <f t="shared" si="18"/>
        <v>EQUIPO DE COMPUTO TODO EN UNO con Procesador Intel core i5 de quinta generación de 2.2 Ghz o superior. Memoria RAM 4 GB DDR3 o DDR4 o superior. 1 disco duro de 500 GB 7200 rpm o superior. Puerto Ether</v>
      </c>
      <c r="C484" s="6">
        <v>2600000</v>
      </c>
      <c r="D484" s="5" t="s">
        <v>36</v>
      </c>
      <c r="E484" s="5" t="str">
        <f t="shared" si="17"/>
        <v>ACTISALUD-MEDICINA INTERNA- PISO 7</v>
      </c>
      <c r="F484" s="5"/>
      <c r="G484" s="5"/>
    </row>
    <row r="485" spans="1:7" ht="58.5" customHeight="1" x14ac:dyDescent="0.25">
      <c r="A485" s="5" t="str">
        <f>"H0024543"</f>
        <v>H0024543</v>
      </c>
      <c r="B485" s="5" t="str">
        <f t="shared" si="18"/>
        <v>EQUIPO DE COMPUTO TODO EN UNO con Procesador Intel core i5 de quinta generación de 2.2 Ghz o superior. Memoria RAM 4 GB DDR3 o DDR4 o superior. 1 disco duro de 500 GB 7200 rpm o superior. Puerto Ether</v>
      </c>
      <c r="C485" s="6">
        <v>2600000</v>
      </c>
      <c r="D485" s="5" t="s">
        <v>36</v>
      </c>
      <c r="E485" s="5" t="str">
        <f t="shared" si="17"/>
        <v>ACTISALUD-MEDICINA INTERNA- PISO 7</v>
      </c>
      <c r="F485" s="5"/>
      <c r="G485" s="5"/>
    </row>
    <row r="486" spans="1:7" ht="58.5" customHeight="1" x14ac:dyDescent="0.25">
      <c r="A486" s="5" t="str">
        <f>"H0024546"</f>
        <v>H0024546</v>
      </c>
      <c r="B486" s="5" t="str">
        <f t="shared" si="18"/>
        <v>EQUIPO DE COMPUTO TODO EN UNO con Procesador Intel core i5 de quinta generación de 2.2 Ghz o superior. Memoria RAM 4 GB DDR3 o DDR4 o superior. 1 disco duro de 500 GB 7200 rpm o superior. Puerto Ether</v>
      </c>
      <c r="C486" s="6">
        <v>2600000</v>
      </c>
      <c r="D486" s="5" t="s">
        <v>36</v>
      </c>
      <c r="E486" s="5" t="str">
        <f t="shared" si="17"/>
        <v>ACTISALUD-MEDICINA INTERNA- PISO 7</v>
      </c>
      <c r="F486" s="5"/>
      <c r="G486" s="5"/>
    </row>
    <row r="487" spans="1:7" ht="58.5" customHeight="1" x14ac:dyDescent="0.25">
      <c r="A487" s="5" t="str">
        <f>"H0024547"</f>
        <v>H0024547</v>
      </c>
      <c r="B487" s="5" t="str">
        <f t="shared" si="18"/>
        <v>EQUIPO DE COMPUTO TODO EN UNO con Procesador Intel core i5 de quinta generación de 2.2 Ghz o superior. Memoria RAM 4 GB DDR3 o DDR4 o superior. 1 disco duro de 500 GB 7200 rpm o superior. Puerto Ether</v>
      </c>
      <c r="C487" s="6">
        <v>2600000</v>
      </c>
      <c r="D487" s="5" t="s">
        <v>36</v>
      </c>
      <c r="E487" s="5" t="str">
        <f t="shared" si="17"/>
        <v>ACTISALUD-MEDICINA INTERNA- PISO 7</v>
      </c>
      <c r="F487" s="5"/>
      <c r="G487" s="5"/>
    </row>
    <row r="488" spans="1:7" ht="58.5" customHeight="1" x14ac:dyDescent="0.25">
      <c r="A488" s="5" t="str">
        <f>"H0024589"</f>
        <v>H0024589</v>
      </c>
      <c r="B488" s="5" t="str">
        <f t="shared" si="18"/>
        <v>EQUIPO DE COMPUTO TODO EN UNO con Procesador Intel core i5 de quinta generación de 2.2 Ghz o superior. Memoria RAM 4 GB DDR3 o DDR4 o superior. 1 disco duro de 500 GB 7200 rpm o superior. Puerto Ether</v>
      </c>
      <c r="C488" s="6">
        <v>2600000</v>
      </c>
      <c r="D488" s="5" t="s">
        <v>36</v>
      </c>
      <c r="E488" s="5" t="str">
        <f t="shared" si="17"/>
        <v>ACTISALUD-MEDICINA INTERNA- PISO 7</v>
      </c>
      <c r="F488" s="5"/>
      <c r="G488" s="5"/>
    </row>
    <row r="489" spans="1:7" ht="58.5" customHeight="1" x14ac:dyDescent="0.25">
      <c r="A489" s="5" t="str">
        <f>"H0024611"</f>
        <v>H0024611</v>
      </c>
      <c r="B489" s="5" t="str">
        <f t="shared" si="18"/>
        <v>EQUIPO DE COMPUTO TODO EN UNO con Procesador Intel core i5 de quinta generación de 2.2 Ghz o superior. Memoria RAM 4 GB DDR3 o DDR4 o superior. 1 disco duro de 500 GB 7200 rpm o superior. Puerto Ether</v>
      </c>
      <c r="C489" s="6">
        <v>2600000</v>
      </c>
      <c r="D489" s="5" t="s">
        <v>36</v>
      </c>
      <c r="E489" s="5" t="str">
        <f t="shared" si="17"/>
        <v>ACTISALUD-MEDICINA INTERNA- PISO 7</v>
      </c>
      <c r="F489" s="5"/>
      <c r="G489" s="5"/>
    </row>
    <row r="490" spans="1:7" ht="58.5" customHeight="1" x14ac:dyDescent="0.25">
      <c r="A490" s="5" t="str">
        <f>"H0025207"</f>
        <v>H0025207</v>
      </c>
      <c r="B490" s="5" t="s">
        <v>65</v>
      </c>
      <c r="C490" s="6">
        <v>115394.48</v>
      </c>
      <c r="D490" s="5" t="s">
        <v>10</v>
      </c>
      <c r="E490" s="5" t="str">
        <f t="shared" si="17"/>
        <v>ACTISALUD-MEDICINA INTERNA- PISO 7</v>
      </c>
      <c r="F490" s="5"/>
      <c r="G490" s="5"/>
    </row>
    <row r="491" spans="1:7" ht="58.5" customHeight="1" x14ac:dyDescent="0.25">
      <c r="A491" s="5" t="str">
        <f>"H0025209"</f>
        <v>H0025209</v>
      </c>
      <c r="B491" s="5" t="s">
        <v>65</v>
      </c>
      <c r="C491" s="6">
        <v>115394.48</v>
      </c>
      <c r="D491" s="5" t="s">
        <v>10</v>
      </c>
      <c r="E491" s="5" t="str">
        <f t="shared" si="17"/>
        <v>ACTISALUD-MEDICINA INTERNA- PISO 7</v>
      </c>
      <c r="F491" s="5"/>
      <c r="G491" s="5"/>
    </row>
    <row r="492" spans="1:7" ht="58.5" customHeight="1" x14ac:dyDescent="0.25">
      <c r="A492" s="5" t="str">
        <f>"H0025210"</f>
        <v>H0025210</v>
      </c>
      <c r="B492" s="5" t="s">
        <v>65</v>
      </c>
      <c r="C492" s="6">
        <v>115394.48</v>
      </c>
      <c r="D492" s="5" t="s">
        <v>10</v>
      </c>
      <c r="E492" s="5" t="str">
        <f t="shared" si="17"/>
        <v>ACTISALUD-MEDICINA INTERNA- PISO 7</v>
      </c>
      <c r="F492" s="5"/>
      <c r="G492" s="5"/>
    </row>
    <row r="493" spans="1:7" ht="58.5" customHeight="1" x14ac:dyDescent="0.25">
      <c r="A493" s="5" t="str">
        <f>"H0025211"</f>
        <v>H0025211</v>
      </c>
      <c r="B493" s="5" t="s">
        <v>65</v>
      </c>
      <c r="C493" s="6">
        <v>115394.48</v>
      </c>
      <c r="D493" s="5" t="s">
        <v>10</v>
      </c>
      <c r="E493" s="5" t="str">
        <f t="shared" si="17"/>
        <v>ACTISALUD-MEDICINA INTERNA- PISO 7</v>
      </c>
      <c r="F493" s="5"/>
      <c r="G493" s="5"/>
    </row>
    <row r="494" spans="1:7" ht="58.5" customHeight="1" x14ac:dyDescent="0.25">
      <c r="A494" s="5" t="str">
        <f>"H0025213"</f>
        <v>H0025213</v>
      </c>
      <c r="B494" s="5" t="s">
        <v>65</v>
      </c>
      <c r="C494" s="6">
        <v>115394.48</v>
      </c>
      <c r="D494" s="5" t="s">
        <v>10</v>
      </c>
      <c r="E494" s="5" t="str">
        <f t="shared" si="17"/>
        <v>ACTISALUD-MEDICINA INTERNA- PISO 7</v>
      </c>
      <c r="F494" s="5"/>
      <c r="G494" s="5"/>
    </row>
    <row r="495" spans="1:7" ht="58.5" customHeight="1" x14ac:dyDescent="0.25">
      <c r="A495" s="5" t="str">
        <f>"H0025215"</f>
        <v>H0025215</v>
      </c>
      <c r="B495" s="5" t="s">
        <v>65</v>
      </c>
      <c r="C495" s="6">
        <v>115394.48</v>
      </c>
      <c r="D495" s="5" t="s">
        <v>10</v>
      </c>
      <c r="E495" s="5" t="str">
        <f t="shared" si="17"/>
        <v>ACTISALUD-MEDICINA INTERNA- PISO 7</v>
      </c>
      <c r="F495" s="5"/>
      <c r="G495" s="5"/>
    </row>
    <row r="496" spans="1:7" ht="58.5" customHeight="1" x14ac:dyDescent="0.25">
      <c r="A496" s="5" t="str">
        <f>"H0025216"</f>
        <v>H0025216</v>
      </c>
      <c r="B496" s="5" t="s">
        <v>65</v>
      </c>
      <c r="C496" s="6">
        <v>115394.48</v>
      </c>
      <c r="D496" s="5" t="s">
        <v>10</v>
      </c>
      <c r="E496" s="5" t="str">
        <f t="shared" si="17"/>
        <v>ACTISALUD-MEDICINA INTERNA- PISO 7</v>
      </c>
      <c r="F496" s="5"/>
      <c r="G496" s="5"/>
    </row>
    <row r="497" spans="1:7" ht="58.5" customHeight="1" x14ac:dyDescent="0.25">
      <c r="A497" s="5" t="str">
        <f>"H0025217"</f>
        <v>H0025217</v>
      </c>
      <c r="B497" s="5" t="s">
        <v>65</v>
      </c>
      <c r="C497" s="6">
        <v>115394.48</v>
      </c>
      <c r="D497" s="5" t="s">
        <v>10</v>
      </c>
      <c r="E497" s="5" t="str">
        <f t="shared" si="17"/>
        <v>ACTISALUD-MEDICINA INTERNA- PISO 7</v>
      </c>
      <c r="F497" s="5"/>
      <c r="G497" s="5"/>
    </row>
    <row r="498" spans="1:7" ht="58.5" customHeight="1" x14ac:dyDescent="0.25">
      <c r="A498" s="5" t="str">
        <f>"H0025218"</f>
        <v>H0025218</v>
      </c>
      <c r="B498" s="5" t="s">
        <v>65</v>
      </c>
      <c r="C498" s="6">
        <v>115394.48</v>
      </c>
      <c r="D498" s="5" t="s">
        <v>10</v>
      </c>
      <c r="E498" s="5" t="str">
        <f t="shared" si="17"/>
        <v>ACTISALUD-MEDICINA INTERNA- PISO 7</v>
      </c>
      <c r="F498" s="5"/>
      <c r="G498" s="5"/>
    </row>
    <row r="499" spans="1:7" ht="58.5" customHeight="1" x14ac:dyDescent="0.25">
      <c r="A499" s="5" t="str">
        <f>"H0025221"</f>
        <v>H0025221</v>
      </c>
      <c r="B499" s="5" t="s">
        <v>65</v>
      </c>
      <c r="C499" s="6">
        <v>115394.48</v>
      </c>
      <c r="D499" s="5" t="s">
        <v>10</v>
      </c>
      <c r="E499" s="5" t="str">
        <f t="shared" si="17"/>
        <v>ACTISALUD-MEDICINA INTERNA- PISO 7</v>
      </c>
      <c r="F499" s="5"/>
      <c r="G499" s="5"/>
    </row>
    <row r="500" spans="1:7" ht="58.5" customHeight="1" x14ac:dyDescent="0.25">
      <c r="A500" s="5" t="str">
        <f>"H0025222"</f>
        <v>H0025222</v>
      </c>
      <c r="B500" s="5" t="s">
        <v>65</v>
      </c>
      <c r="C500" s="6">
        <v>115394.48</v>
      </c>
      <c r="D500" s="5" t="s">
        <v>10</v>
      </c>
      <c r="E500" s="5" t="str">
        <f t="shared" si="17"/>
        <v>ACTISALUD-MEDICINA INTERNA- PISO 7</v>
      </c>
      <c r="F500" s="5"/>
      <c r="G500" s="5"/>
    </row>
    <row r="501" spans="1:7" ht="58.5" customHeight="1" x14ac:dyDescent="0.25">
      <c r="A501" s="5" t="str">
        <f>"H0025223"</f>
        <v>H0025223</v>
      </c>
      <c r="B501" s="5" t="s">
        <v>65</v>
      </c>
      <c r="C501" s="6">
        <v>115394.48</v>
      </c>
      <c r="D501" s="5" t="s">
        <v>10</v>
      </c>
      <c r="E501" s="5" t="str">
        <f t="shared" si="17"/>
        <v>ACTISALUD-MEDICINA INTERNA- PISO 7</v>
      </c>
      <c r="F501" s="5"/>
      <c r="G501" s="5"/>
    </row>
    <row r="502" spans="1:7" ht="58.5" customHeight="1" x14ac:dyDescent="0.25">
      <c r="A502" s="5" t="str">
        <f>"H0025224"</f>
        <v>H0025224</v>
      </c>
      <c r="B502" s="5" t="s">
        <v>65</v>
      </c>
      <c r="C502" s="6">
        <v>115394.48</v>
      </c>
      <c r="D502" s="5" t="s">
        <v>10</v>
      </c>
      <c r="E502" s="5" t="str">
        <f t="shared" si="17"/>
        <v>ACTISALUD-MEDICINA INTERNA- PISO 7</v>
      </c>
      <c r="F502" s="5"/>
      <c r="G502" s="5"/>
    </row>
    <row r="503" spans="1:7" ht="58.5" customHeight="1" x14ac:dyDescent="0.25">
      <c r="A503" s="5" t="str">
        <f>"H0025225"</f>
        <v>H0025225</v>
      </c>
      <c r="B503" s="5" t="s">
        <v>65</v>
      </c>
      <c r="C503" s="6">
        <v>115394.48</v>
      </c>
      <c r="D503" s="5" t="s">
        <v>10</v>
      </c>
      <c r="E503" s="5" t="str">
        <f t="shared" si="17"/>
        <v>ACTISALUD-MEDICINA INTERNA- PISO 7</v>
      </c>
      <c r="F503" s="5"/>
      <c r="G503" s="5"/>
    </row>
    <row r="504" spans="1:7" ht="58.5" customHeight="1" x14ac:dyDescent="0.25">
      <c r="A504" s="5" t="str">
        <f>"H0025226"</f>
        <v>H0025226</v>
      </c>
      <c r="B504" s="5" t="s">
        <v>65</v>
      </c>
      <c r="C504" s="6">
        <v>115394.48</v>
      </c>
      <c r="D504" s="5" t="s">
        <v>10</v>
      </c>
      <c r="E504" s="5" t="str">
        <f t="shared" si="17"/>
        <v>ACTISALUD-MEDICINA INTERNA- PISO 7</v>
      </c>
      <c r="F504" s="5"/>
      <c r="G504" s="5"/>
    </row>
    <row r="505" spans="1:7" ht="58.5" customHeight="1" x14ac:dyDescent="0.25">
      <c r="A505" s="5" t="str">
        <f>"H0025227"</f>
        <v>H0025227</v>
      </c>
      <c r="B505" s="5" t="s">
        <v>65</v>
      </c>
      <c r="C505" s="6">
        <v>115394.48</v>
      </c>
      <c r="D505" s="5" t="s">
        <v>10</v>
      </c>
      <c r="E505" s="5" t="str">
        <f t="shared" si="17"/>
        <v>ACTISALUD-MEDICINA INTERNA- PISO 7</v>
      </c>
      <c r="F505" s="5"/>
      <c r="G505" s="5"/>
    </row>
    <row r="506" spans="1:7" ht="58.5" customHeight="1" x14ac:dyDescent="0.25">
      <c r="A506" s="5" t="str">
        <f>"H0025228"</f>
        <v>H0025228</v>
      </c>
      <c r="B506" s="5" t="s">
        <v>65</v>
      </c>
      <c r="C506" s="6">
        <v>115394.48</v>
      </c>
      <c r="D506" s="5" t="s">
        <v>10</v>
      </c>
      <c r="E506" s="5" t="str">
        <f t="shared" si="17"/>
        <v>ACTISALUD-MEDICINA INTERNA- PISO 7</v>
      </c>
      <c r="F506" s="5"/>
      <c r="G506" s="5"/>
    </row>
    <row r="507" spans="1:7" ht="58.5" customHeight="1" x14ac:dyDescent="0.25">
      <c r="A507" s="5" t="str">
        <f>"H0025229"</f>
        <v>H0025229</v>
      </c>
      <c r="B507" s="5" t="s">
        <v>65</v>
      </c>
      <c r="C507" s="6">
        <v>115394.48</v>
      </c>
      <c r="D507" s="5" t="s">
        <v>10</v>
      </c>
      <c r="E507" s="5" t="str">
        <f t="shared" si="17"/>
        <v>ACTISALUD-MEDICINA INTERNA- PISO 7</v>
      </c>
      <c r="F507" s="5"/>
      <c r="G507" s="5"/>
    </row>
    <row r="508" spans="1:7" ht="58.5" customHeight="1" x14ac:dyDescent="0.25">
      <c r="A508" s="5" t="str">
        <f>"H0025231"</f>
        <v>H0025231</v>
      </c>
      <c r="B508" s="5" t="s">
        <v>65</v>
      </c>
      <c r="C508" s="6">
        <v>115394.48</v>
      </c>
      <c r="D508" s="5" t="s">
        <v>10</v>
      </c>
      <c r="E508" s="5" t="str">
        <f t="shared" si="17"/>
        <v>ACTISALUD-MEDICINA INTERNA- PISO 7</v>
      </c>
      <c r="F508" s="5"/>
      <c r="G508" s="5"/>
    </row>
    <row r="509" spans="1:7" ht="58.5" customHeight="1" x14ac:dyDescent="0.25">
      <c r="A509" s="5" t="str">
        <f>"H0025232"</f>
        <v>H0025232</v>
      </c>
      <c r="B509" s="5" t="s">
        <v>65</v>
      </c>
      <c r="C509" s="6">
        <v>115394.48</v>
      </c>
      <c r="D509" s="5" t="s">
        <v>10</v>
      </c>
      <c r="E509" s="5" t="str">
        <f t="shared" si="17"/>
        <v>ACTISALUD-MEDICINA INTERNA- PISO 7</v>
      </c>
      <c r="F509" s="5"/>
      <c r="G509" s="5"/>
    </row>
    <row r="510" spans="1:7" ht="58.5" customHeight="1" x14ac:dyDescent="0.25">
      <c r="A510" s="5" t="str">
        <f>"H0025233"</f>
        <v>H0025233</v>
      </c>
      <c r="B510" s="5" t="s">
        <v>65</v>
      </c>
      <c r="C510" s="6">
        <v>115394.48</v>
      </c>
      <c r="D510" s="5" t="s">
        <v>10</v>
      </c>
      <c r="E510" s="5" t="str">
        <f t="shared" si="17"/>
        <v>ACTISALUD-MEDICINA INTERNA- PISO 7</v>
      </c>
      <c r="F510" s="5"/>
      <c r="G510" s="5"/>
    </row>
    <row r="511" spans="1:7" ht="58.5" customHeight="1" x14ac:dyDescent="0.25">
      <c r="A511" s="5" t="str">
        <f>"H0025234"</f>
        <v>H0025234</v>
      </c>
      <c r="B511" s="5" t="s">
        <v>65</v>
      </c>
      <c r="C511" s="6">
        <v>115394.48</v>
      </c>
      <c r="D511" s="5" t="s">
        <v>10</v>
      </c>
      <c r="E511" s="5" t="str">
        <f t="shared" si="17"/>
        <v>ACTISALUD-MEDICINA INTERNA- PISO 7</v>
      </c>
      <c r="F511" s="5"/>
      <c r="G511" s="5"/>
    </row>
    <row r="512" spans="1:7" ht="58.5" customHeight="1" x14ac:dyDescent="0.25">
      <c r="A512" s="5" t="str">
        <f>"H0025235"</f>
        <v>H0025235</v>
      </c>
      <c r="B512" s="5" t="s">
        <v>65</v>
      </c>
      <c r="C512" s="6">
        <v>115394.48</v>
      </c>
      <c r="D512" s="5" t="s">
        <v>10</v>
      </c>
      <c r="E512" s="5" t="str">
        <f t="shared" si="17"/>
        <v>ACTISALUD-MEDICINA INTERNA- PISO 7</v>
      </c>
      <c r="F512" s="5"/>
      <c r="G512" s="5"/>
    </row>
    <row r="513" spans="1:7" ht="58.5" customHeight="1" x14ac:dyDescent="0.25">
      <c r="A513" s="5" t="str">
        <f>"H0025236"</f>
        <v>H0025236</v>
      </c>
      <c r="B513" s="5" t="s">
        <v>65</v>
      </c>
      <c r="C513" s="6">
        <v>115394.48</v>
      </c>
      <c r="D513" s="5" t="s">
        <v>10</v>
      </c>
      <c r="E513" s="5" t="str">
        <f t="shared" si="17"/>
        <v>ACTISALUD-MEDICINA INTERNA- PISO 7</v>
      </c>
      <c r="F513" s="5"/>
      <c r="G513" s="5"/>
    </row>
    <row r="514" spans="1:7" ht="58.5" customHeight="1" x14ac:dyDescent="0.25">
      <c r="A514" s="5" t="str">
        <f>"H0025237"</f>
        <v>H0025237</v>
      </c>
      <c r="B514" s="5" t="s">
        <v>65</v>
      </c>
      <c r="C514" s="6">
        <v>115394.48</v>
      </c>
      <c r="D514" s="5" t="s">
        <v>10</v>
      </c>
      <c r="E514" s="5" t="str">
        <f t="shared" si="17"/>
        <v>ACTISALUD-MEDICINA INTERNA- PISO 7</v>
      </c>
      <c r="F514" s="5"/>
      <c r="G514" s="5"/>
    </row>
    <row r="515" spans="1:7" ht="58.5" customHeight="1" x14ac:dyDescent="0.25">
      <c r="A515" s="5" t="str">
        <f>"H0025238"</f>
        <v>H0025238</v>
      </c>
      <c r="B515" s="5" t="s">
        <v>65</v>
      </c>
      <c r="C515" s="6">
        <v>115394.48</v>
      </c>
      <c r="D515" s="5" t="s">
        <v>10</v>
      </c>
      <c r="E515" s="5" t="str">
        <f t="shared" si="17"/>
        <v>ACTISALUD-MEDICINA INTERNA- PISO 7</v>
      </c>
      <c r="F515" s="5"/>
      <c r="G515" s="5"/>
    </row>
    <row r="516" spans="1:7" ht="58.5" customHeight="1" x14ac:dyDescent="0.25">
      <c r="A516" s="5" t="str">
        <f>"H0025239"</f>
        <v>H0025239</v>
      </c>
      <c r="B516" s="5" t="s">
        <v>65</v>
      </c>
      <c r="C516" s="6">
        <v>115394.48</v>
      </c>
      <c r="D516" s="5" t="s">
        <v>10</v>
      </c>
      <c r="E516" s="5" t="str">
        <f t="shared" si="17"/>
        <v>ACTISALUD-MEDICINA INTERNA- PISO 7</v>
      </c>
      <c r="F516" s="5"/>
      <c r="G516" s="5"/>
    </row>
    <row r="517" spans="1:7" ht="58.5" customHeight="1" x14ac:dyDescent="0.25">
      <c r="A517" s="5" t="str">
        <f>"H0025240"</f>
        <v>H0025240</v>
      </c>
      <c r="B517" s="5" t="s">
        <v>65</v>
      </c>
      <c r="C517" s="6">
        <v>115394.48</v>
      </c>
      <c r="D517" s="5" t="s">
        <v>10</v>
      </c>
      <c r="E517" s="5" t="str">
        <f t="shared" si="17"/>
        <v>ACTISALUD-MEDICINA INTERNA- PISO 7</v>
      </c>
      <c r="F517" s="5"/>
      <c r="G517" s="5"/>
    </row>
    <row r="518" spans="1:7" ht="58.5" customHeight="1" x14ac:dyDescent="0.25">
      <c r="A518" s="5" t="str">
        <f>"H0025241"</f>
        <v>H0025241</v>
      </c>
      <c r="B518" s="5" t="s">
        <v>65</v>
      </c>
      <c r="C518" s="6">
        <v>115394.48</v>
      </c>
      <c r="D518" s="5" t="s">
        <v>10</v>
      </c>
      <c r="E518" s="5" t="str">
        <f t="shared" si="17"/>
        <v>ACTISALUD-MEDICINA INTERNA- PISO 7</v>
      </c>
      <c r="F518" s="5"/>
      <c r="G518" s="5"/>
    </row>
    <row r="519" spans="1:7" ht="58.5" customHeight="1" x14ac:dyDescent="0.25">
      <c r="A519" s="5" t="str">
        <f>"H0025297"</f>
        <v>H0025297</v>
      </c>
      <c r="B519" s="5" t="str">
        <f>"NEVERA DE 50 LITROS CONDENSADORA OCULTO"</f>
        <v>NEVERA DE 50 LITROS CONDENSADORA OCULTO</v>
      </c>
      <c r="C519" s="6">
        <v>418951.4</v>
      </c>
      <c r="D519" s="5" t="s">
        <v>10</v>
      </c>
      <c r="E519" s="5" t="str">
        <f t="shared" si="17"/>
        <v>ACTISALUD-MEDICINA INTERNA- PISO 7</v>
      </c>
      <c r="F519" s="5"/>
      <c r="G519" s="5"/>
    </row>
    <row r="520" spans="1:7" ht="58.5" customHeight="1" x14ac:dyDescent="0.25">
      <c r="A520" s="5" t="str">
        <f>"H0025298"</f>
        <v>H0025298</v>
      </c>
      <c r="B520" s="5" t="str">
        <f>"NEVERA DE 50 LITROS CONDENSADORA OCULTO"</f>
        <v>NEVERA DE 50 LITROS CONDENSADORA OCULTO</v>
      </c>
      <c r="C520" s="6">
        <v>418951.4</v>
      </c>
      <c r="D520" s="5" t="s">
        <v>10</v>
      </c>
      <c r="E520" s="5" t="str">
        <f t="shared" si="17"/>
        <v>ACTISALUD-MEDICINA INTERNA- PISO 7</v>
      </c>
      <c r="F520" s="5"/>
      <c r="G520" s="5"/>
    </row>
    <row r="521" spans="1:7" ht="58.5" customHeight="1" x14ac:dyDescent="0.25">
      <c r="A521" s="5" t="str">
        <f>"H0025344"</f>
        <v>H0025344</v>
      </c>
      <c r="B52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521" s="6">
        <v>312156</v>
      </c>
      <c r="D521" s="5" t="s">
        <v>10</v>
      </c>
      <c r="E521" s="5" t="str">
        <f t="shared" si="17"/>
        <v>ACTISALUD-MEDICINA INTERNA- PISO 7</v>
      </c>
      <c r="F521" s="5"/>
      <c r="G521" s="5"/>
    </row>
    <row r="522" spans="1:7" ht="58.5" customHeight="1" x14ac:dyDescent="0.25">
      <c r="A522" s="5" t="str">
        <f>"H0025345"</f>
        <v>H0025345</v>
      </c>
      <c r="B52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522" s="6">
        <v>312156</v>
      </c>
      <c r="D522" s="5" t="s">
        <v>10</v>
      </c>
      <c r="E522" s="5" t="str">
        <f t="shared" si="17"/>
        <v>ACTISALUD-MEDICINA INTERNA- PISO 7</v>
      </c>
      <c r="F522" s="5"/>
      <c r="G522" s="5"/>
    </row>
    <row r="523" spans="1:7" ht="58.5" customHeight="1" x14ac:dyDescent="0.25">
      <c r="A523" s="5" t="str">
        <f>"H0025365"</f>
        <v>H0025365</v>
      </c>
      <c r="B52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523" s="6">
        <v>312156</v>
      </c>
      <c r="D523" s="5" t="s">
        <v>10</v>
      </c>
      <c r="E523" s="5" t="str">
        <f t="shared" si="17"/>
        <v>ACTISALUD-MEDICINA INTERNA- PISO 7</v>
      </c>
      <c r="F523" s="5"/>
      <c r="G523" s="5"/>
    </row>
    <row r="524" spans="1:7" ht="58.5" customHeight="1" x14ac:dyDescent="0.25">
      <c r="A524" s="5" t="str">
        <f>"H0025483"</f>
        <v>H0025483</v>
      </c>
      <c r="B524" s="5" t="str">
        <f>"COMPUTADOR MARCA LENOVO THINKCENTRE"</f>
        <v>COMPUTADOR MARCA LENOVO THINKCENTRE</v>
      </c>
      <c r="C524" s="6">
        <v>3597718</v>
      </c>
      <c r="D524" s="5" t="s">
        <v>9</v>
      </c>
      <c r="E524" s="5" t="str">
        <f t="shared" si="17"/>
        <v>ACTISALUD-MEDICINA INTERNA- PISO 7</v>
      </c>
      <c r="F524" s="5"/>
      <c r="G524" s="5"/>
    </row>
    <row r="525" spans="1:7" ht="58.5" customHeight="1" x14ac:dyDescent="0.25">
      <c r="A525" s="5" t="str">
        <f>"H0025520"</f>
        <v>H0025520</v>
      </c>
      <c r="B525" s="5" t="str">
        <f>"SILLA PARA ESCRITORIO REF. GERENCIA MÓNACO, CON MALLA CABECERO Y BRAZOS MÓVILES Y SISTEMA DE DESBLOQUEADO, COLOR GRIS."</f>
        <v>SILLA PARA ESCRITORIO REF. GERENCIA MÓNACO, CON MALLA CABECERO Y BRAZOS MÓVILES Y SISTEMA DE DESBLOQUEADO, COLOR GRIS.</v>
      </c>
      <c r="C525" s="6">
        <v>856800</v>
      </c>
      <c r="D525" s="5" t="s">
        <v>66</v>
      </c>
      <c r="E525" s="5" t="str">
        <f t="shared" si="17"/>
        <v>ACTISALUD-MEDICINA INTERNA- PISO 7</v>
      </c>
      <c r="F525" s="5"/>
      <c r="G525" s="5"/>
    </row>
    <row r="526" spans="1:7" ht="58.5" customHeight="1" x14ac:dyDescent="0.25">
      <c r="A526" s="5" t="str">
        <f>"H0025521"</f>
        <v>H0025521</v>
      </c>
      <c r="B526" s="5" t="str">
        <f>"ESCRITORIO DE 1.50X1.50 CON 0.8 MTS DE FONDO, RECTANGULAR (SIN CURVATURA) 0.75MTS DE ALTO, ARCHIVADOR CON CERRADURA DE SEGURIDAD, CON ESTRUCTURA EN TUBERÍA DE HIERRO COLOR GRIS, ENCHAPADO EN FORMICA COLOR TANGELO 2290"</f>
        <v>ESCRITORIO DE 1.50X1.50 CON 0.8 MTS DE FONDO, RECTANGULAR (SIN CURVATURA) 0.75MTS DE ALTO, ARCHIVADOR CON CERRADURA DE SEGURIDAD, CON ESTRUCTURA EN TUBERÍA DE HIERRO COLOR GRIS, ENCHAPADO EN FORMICA COLOR TANGELO 2290</v>
      </c>
      <c r="C526" s="6">
        <v>975800</v>
      </c>
      <c r="D526" s="5" t="s">
        <v>67</v>
      </c>
      <c r="E526" s="5" t="str">
        <f t="shared" ref="E526:E589" si="19">"ACTISALUD-MEDICINA INTERNA- PISO 7"</f>
        <v>ACTISALUD-MEDICINA INTERNA- PISO 7</v>
      </c>
      <c r="F526" s="5"/>
      <c r="G526" s="5"/>
    </row>
    <row r="527" spans="1:7" ht="58.5" customHeight="1" x14ac:dyDescent="0.25">
      <c r="A527" s="5" t="str">
        <f>"H0025522"</f>
        <v>H0025522</v>
      </c>
      <c r="B527" s="5" t="str">
        <f>"ARCHIVADOR DE 4 GAVETAS VERTICAL CON CERRADURAS DE SEGURIDAD, ENCHAPADA EN FORMICA TANGELO 2290"</f>
        <v>ARCHIVADOR DE 4 GAVETAS VERTICAL CON CERRADURAS DE SEGURIDAD, ENCHAPADA EN FORMICA TANGELO 2290</v>
      </c>
      <c r="C527" s="6">
        <v>785400</v>
      </c>
      <c r="D527" s="5" t="s">
        <v>66</v>
      </c>
      <c r="E527" s="5" t="str">
        <f t="shared" si="19"/>
        <v>ACTISALUD-MEDICINA INTERNA- PISO 7</v>
      </c>
      <c r="F527" s="5"/>
      <c r="G527" s="5"/>
    </row>
    <row r="528" spans="1:7" ht="58.5" customHeight="1" x14ac:dyDescent="0.25">
      <c r="A528" s="5" t="str">
        <f>"H0025525"</f>
        <v>H0025525</v>
      </c>
      <c r="B528" s="5" t="str">
        <f>"ESCRITORIO DE 1.50X1.50 CON 0.8 MTS DE FONDO, RECTANGULAR (SIN CURVATURA) 0.75MTS DE ALTO, ARCHIVADOR CON CERRADURA DE SEGURIDAD, CON ESTRUCTURA EN TUBERÍA DE HIERRO COLOR GRIS, ENCHAPADO EN FORMICA COLOR TANGELO 2290"</f>
        <v>ESCRITORIO DE 1.50X1.50 CON 0.8 MTS DE FONDO, RECTANGULAR (SIN CURVATURA) 0.75MTS DE ALTO, ARCHIVADOR CON CERRADURA DE SEGURIDAD, CON ESTRUCTURA EN TUBERÍA DE HIERRO COLOR GRIS, ENCHAPADO EN FORMICA COLOR TANGELO 2290</v>
      </c>
      <c r="C528" s="6">
        <v>975800</v>
      </c>
      <c r="D528" s="5" t="s">
        <v>66</v>
      </c>
      <c r="E528" s="5" t="str">
        <f t="shared" si="19"/>
        <v>ACTISALUD-MEDICINA INTERNA- PISO 7</v>
      </c>
      <c r="F528" s="5"/>
      <c r="G528" s="5"/>
    </row>
    <row r="529" spans="1:7" ht="58.5" customHeight="1" x14ac:dyDescent="0.25">
      <c r="A529" s="5" t="str">
        <f>"H0025526"</f>
        <v>H0025526</v>
      </c>
      <c r="B529" s="5" t="str">
        <f>"ARCHIVADOR DE 4 GAVETAS VERTICAL CON CERRADURAS DE SEGURIDAD, ENCHAPADA EN FORMICA TANGELO 2290"</f>
        <v>ARCHIVADOR DE 4 GAVETAS VERTICAL CON CERRADURAS DE SEGURIDAD, ENCHAPADA EN FORMICA TANGELO 2290</v>
      </c>
      <c r="C529" s="6">
        <v>785400</v>
      </c>
      <c r="D529" s="5" t="s">
        <v>66</v>
      </c>
      <c r="E529" s="5" t="str">
        <f t="shared" si="19"/>
        <v>ACTISALUD-MEDICINA INTERNA- PISO 7</v>
      </c>
      <c r="F529" s="5"/>
      <c r="G529" s="5"/>
    </row>
    <row r="530" spans="1:7" ht="58.5" customHeight="1" x14ac:dyDescent="0.25">
      <c r="A530" s="5" t="str">
        <f>"H0025528"</f>
        <v>H0025528</v>
      </c>
      <c r="B530" s="5" t="str">
        <f>"SILLAS AVI/T FORRADAS EN CORDOBÁN COLOR GRIS"</f>
        <v>SILLAS AVI/T FORRADAS EN CORDOBÁN COLOR GRIS</v>
      </c>
      <c r="C530" s="6">
        <v>154700</v>
      </c>
      <c r="D530" s="5" t="s">
        <v>66</v>
      </c>
      <c r="E530" s="5" t="str">
        <f t="shared" si="19"/>
        <v>ACTISALUD-MEDICINA INTERNA- PISO 7</v>
      </c>
      <c r="F530" s="5"/>
      <c r="G530" s="5"/>
    </row>
    <row r="531" spans="1:7" ht="58.5" customHeight="1" x14ac:dyDescent="0.25">
      <c r="A531" s="5" t="str">
        <f>"H0025529"</f>
        <v>H0025529</v>
      </c>
      <c r="B531" s="5" t="str">
        <f>"SILLA RAHE MEDIA CON FUELLE Y BRAZOS FIJOS FORRADA EN CORDOBÁN COLOR GRIS"</f>
        <v>SILLA RAHE MEDIA CON FUELLE Y BRAZOS FIJOS FORRADA EN CORDOBÁN COLOR GRIS</v>
      </c>
      <c r="C531" s="6">
        <v>392700</v>
      </c>
      <c r="D531" s="5" t="s">
        <v>66</v>
      </c>
      <c r="E531" s="5" t="str">
        <f t="shared" si="19"/>
        <v>ACTISALUD-MEDICINA INTERNA- PISO 7</v>
      </c>
      <c r="F531" s="5"/>
      <c r="G531" s="5"/>
    </row>
    <row r="532" spans="1:7" ht="58.5" customHeight="1" x14ac:dyDescent="0.25">
      <c r="A532" s="5" t="str">
        <f>"H0025530"</f>
        <v>H0025530</v>
      </c>
      <c r="B532" s="5" t="str">
        <f>"SILLAS AVI/T FORRADAS EN CORDOBÁN COLOR NARANJA"</f>
        <v>SILLAS AVI/T FORRADAS EN CORDOBÁN COLOR NARANJA</v>
      </c>
      <c r="C532" s="6">
        <v>154700</v>
      </c>
      <c r="D532" s="5" t="s">
        <v>66</v>
      </c>
      <c r="E532" s="5" t="str">
        <f t="shared" si="19"/>
        <v>ACTISALUD-MEDICINA INTERNA- PISO 7</v>
      </c>
      <c r="F532" s="5"/>
      <c r="G532" s="5"/>
    </row>
    <row r="533" spans="1:7" ht="58.5" customHeight="1" x14ac:dyDescent="0.25">
      <c r="A533" s="5" t="str">
        <f>"H0025535"</f>
        <v>H0025535</v>
      </c>
      <c r="B533" s="5" t="str">
        <f>"SILLAS AVI/T FORRADAS EN CORDOBÁN COLOR NARANJA"</f>
        <v>SILLAS AVI/T FORRADAS EN CORDOBÁN COLOR NARANJA</v>
      </c>
      <c r="C533" s="6">
        <v>154700</v>
      </c>
      <c r="D533" s="5" t="s">
        <v>66</v>
      </c>
      <c r="E533" s="5" t="str">
        <f t="shared" si="19"/>
        <v>ACTISALUD-MEDICINA INTERNA- PISO 7</v>
      </c>
      <c r="F533" s="5"/>
      <c r="G533" s="5"/>
    </row>
    <row r="534" spans="1:7" ht="58.5" customHeight="1" x14ac:dyDescent="0.25">
      <c r="A534" s="5" t="str">
        <f>"H0025537"</f>
        <v>H0025537</v>
      </c>
      <c r="B534" s="5" t="str">
        <f>"SILLAS AVI/T FORRADAS EN CORDOBÁN COLOR NARANJA"</f>
        <v>SILLAS AVI/T FORRADAS EN CORDOBÁN COLOR NARANJA</v>
      </c>
      <c r="C534" s="6">
        <v>154700</v>
      </c>
      <c r="D534" s="5" t="s">
        <v>66</v>
      </c>
      <c r="E534" s="5" t="str">
        <f t="shared" si="19"/>
        <v>ACTISALUD-MEDICINA INTERNA- PISO 7</v>
      </c>
      <c r="F534" s="5"/>
      <c r="G534" s="5"/>
    </row>
    <row r="535" spans="1:7" ht="58.5" customHeight="1" x14ac:dyDescent="0.25">
      <c r="A535" s="5" t="str">
        <f>"H0025538"</f>
        <v>H0025538</v>
      </c>
      <c r="B535" s="5" t="str">
        <f>"SILLAS AVI/T FORRADAS EN CORDOBÁN COLOR NARANJA"</f>
        <v>SILLAS AVI/T FORRADAS EN CORDOBÁN COLOR NARANJA</v>
      </c>
      <c r="C535" s="6">
        <v>154700</v>
      </c>
      <c r="D535" s="5" t="s">
        <v>66</v>
      </c>
      <c r="E535" s="5" t="str">
        <f t="shared" si="19"/>
        <v>ACTISALUD-MEDICINA INTERNA- PISO 7</v>
      </c>
      <c r="F535" s="5"/>
      <c r="G535" s="5"/>
    </row>
    <row r="536" spans="1:7" ht="58.5" customHeight="1" x14ac:dyDescent="0.25">
      <c r="A536" s="5" t="str">
        <f>"H0025541"</f>
        <v>H0025541</v>
      </c>
      <c r="B536" s="5" t="str">
        <f>"SILLAS AVI/T FORRADAS EN CORDOBÁN COLOR NARANJA"</f>
        <v>SILLAS AVI/T FORRADAS EN CORDOBÁN COLOR NARANJA</v>
      </c>
      <c r="C536" s="6">
        <v>154700</v>
      </c>
      <c r="D536" s="5" t="s">
        <v>66</v>
      </c>
      <c r="E536" s="5" t="str">
        <f t="shared" si="19"/>
        <v>ACTISALUD-MEDICINA INTERNA- PISO 7</v>
      </c>
      <c r="F536" s="5"/>
      <c r="G536" s="5"/>
    </row>
    <row r="537" spans="1:7" ht="58.5" customHeight="1" x14ac:dyDescent="0.25">
      <c r="A537" s="5" t="str">
        <f>"H0025545"</f>
        <v>H0025545</v>
      </c>
      <c r="B537" s="5" t="str">
        <f>"TABLERO ACRÍLICO DE 1.20MTS DE LARGO"</f>
        <v>TABLERO ACRÍLICO DE 1.20MTS DE LARGO</v>
      </c>
      <c r="C537" s="6">
        <v>220150</v>
      </c>
      <c r="D537" s="5" t="s">
        <v>66</v>
      </c>
      <c r="E537" s="5" t="str">
        <f t="shared" si="19"/>
        <v>ACTISALUD-MEDICINA INTERNA- PISO 7</v>
      </c>
      <c r="F537" s="5"/>
      <c r="G537" s="5"/>
    </row>
    <row r="538" spans="1:7" ht="58.5" customHeight="1" x14ac:dyDescent="0.25">
      <c r="A538" s="5" t="str">
        <f>"H0025547"</f>
        <v>H0025547</v>
      </c>
      <c r="B538" s="5" t="str">
        <f>"MESA DE MAYO EN ACERO INOXIDABLE- MAFET"</f>
        <v>MESA DE MAYO EN ACERO INOXIDABLE- MAFET</v>
      </c>
      <c r="C538" s="6">
        <v>213000.33</v>
      </c>
      <c r="D538" s="5" t="s">
        <v>68</v>
      </c>
      <c r="E538" s="5" t="str">
        <f t="shared" si="19"/>
        <v>ACTISALUD-MEDICINA INTERNA- PISO 7</v>
      </c>
      <c r="F538" s="5"/>
      <c r="G538" s="5"/>
    </row>
    <row r="539" spans="1:7" ht="58.5" customHeight="1" x14ac:dyDescent="0.25">
      <c r="A539" s="5" t="str">
        <f>"H0025652"</f>
        <v>H0025652</v>
      </c>
      <c r="B539" s="5" t="str">
        <f>"BALANZA ANALOGA DE PISO (PESO) CON TALLIMETRO"</f>
        <v>BALANZA ANALOGA DE PISO (PESO) CON TALLIMETRO</v>
      </c>
      <c r="C539" s="6">
        <v>1017415</v>
      </c>
      <c r="D539" s="5" t="s">
        <v>69</v>
      </c>
      <c r="E539" s="5" t="str">
        <f t="shared" si="19"/>
        <v>ACTISALUD-MEDICINA INTERNA- PISO 7</v>
      </c>
      <c r="F539" s="5"/>
      <c r="G539" s="5"/>
    </row>
    <row r="540" spans="1:7" ht="58.5" customHeight="1" x14ac:dyDescent="0.25">
      <c r="A540" s="5" t="str">
        <f>"H0025653"</f>
        <v>H0025653</v>
      </c>
      <c r="B540" s="5" t="str">
        <f>"EQUIPO ORGANOS DE LOS SENTIDOS  DE PARED"</f>
        <v>EQUIPO ORGANOS DE LOS SENTIDOS  DE PARED</v>
      </c>
      <c r="C540" s="6">
        <v>2922581</v>
      </c>
      <c r="D540" s="5" t="s">
        <v>70</v>
      </c>
      <c r="E540" s="5" t="str">
        <f t="shared" si="19"/>
        <v>ACTISALUD-MEDICINA INTERNA- PISO 7</v>
      </c>
      <c r="F540" s="5"/>
      <c r="G540" s="5"/>
    </row>
    <row r="541" spans="1:7" ht="58.5" customHeight="1" x14ac:dyDescent="0.25">
      <c r="A541" s="5" t="str">
        <f>"H0025654"</f>
        <v>H0025654</v>
      </c>
      <c r="B541" s="5" t="str">
        <f>"PESO PARA BEBE DIGITAL CON TALLIMETRO"</f>
        <v>PESO PARA BEBE DIGITAL CON TALLIMETRO</v>
      </c>
      <c r="C541" s="6">
        <v>1151700</v>
      </c>
      <c r="D541" s="5" t="s">
        <v>71</v>
      </c>
      <c r="E541" s="5" t="str">
        <f t="shared" si="19"/>
        <v>ACTISALUD-MEDICINA INTERNA- PISO 7</v>
      </c>
      <c r="F541" s="5"/>
      <c r="G541" s="5"/>
    </row>
    <row r="542" spans="1:7" ht="58.5" customHeight="1" x14ac:dyDescent="0.25">
      <c r="A542" s="5" t="str">
        <f>"H0025676"</f>
        <v>H0025676</v>
      </c>
      <c r="B542" s="5" t="str">
        <f>"NEGATOSCOPIO"</f>
        <v>NEGATOSCOPIO</v>
      </c>
      <c r="C542" s="6">
        <v>160437</v>
      </c>
      <c r="D542" s="5" t="s">
        <v>72</v>
      </c>
      <c r="E542" s="5" t="str">
        <f t="shared" si="19"/>
        <v>ACTISALUD-MEDICINA INTERNA- PISO 7</v>
      </c>
      <c r="F542" s="5"/>
      <c r="G542" s="5"/>
    </row>
    <row r="543" spans="1:7" ht="58.5" customHeight="1" x14ac:dyDescent="0.25">
      <c r="A543" s="5" t="str">
        <f>"H0025736"</f>
        <v>H0025736</v>
      </c>
      <c r="B543" s="5" t="str">
        <f>"HORNO MICRRONDAS DIGITAL ELECTROLUX"</f>
        <v>HORNO MICRRONDAS DIGITAL ELECTROLUX</v>
      </c>
      <c r="C543" s="6">
        <v>190900</v>
      </c>
      <c r="D543" s="5" t="s">
        <v>73</v>
      </c>
      <c r="E543" s="5" t="str">
        <f t="shared" si="19"/>
        <v>ACTISALUD-MEDICINA INTERNA- PISO 7</v>
      </c>
      <c r="F543" s="5"/>
      <c r="G543" s="5"/>
    </row>
    <row r="544" spans="1:7" ht="58.5" customHeight="1" x14ac:dyDescent="0.25">
      <c r="A544" s="5" t="str">
        <f>"H0025739"</f>
        <v>H0025739</v>
      </c>
      <c r="B544" s="5" t="str">
        <f>"MODELO ANATÓMICO HUMANO (ESQUELETO)"</f>
        <v>MODELO ANATÓMICO HUMANO (ESQUELETO)</v>
      </c>
      <c r="C544" s="6">
        <v>1178093</v>
      </c>
      <c r="D544" s="5" t="s">
        <v>74</v>
      </c>
      <c r="E544" s="5" t="str">
        <f t="shared" si="19"/>
        <v>ACTISALUD-MEDICINA INTERNA- PISO 7</v>
      </c>
      <c r="F544" s="5"/>
      <c r="G544" s="5"/>
    </row>
    <row r="545" spans="1:7" ht="58.5" customHeight="1" x14ac:dyDescent="0.25">
      <c r="A545" s="5" t="str">
        <f>"H0025768"</f>
        <v>H0025768</v>
      </c>
      <c r="B545" s="5" t="str">
        <f>"DFISPENSADOR DE AGUA GE BLANCO PLATA GXCFS7W"</f>
        <v>DFISPENSADOR DE AGUA GE BLANCO PLATA GXCFS7W</v>
      </c>
      <c r="C545" s="6">
        <v>615000</v>
      </c>
      <c r="D545" s="5" t="s">
        <v>75</v>
      </c>
      <c r="E545" s="5" t="str">
        <f t="shared" si="19"/>
        <v>ACTISALUD-MEDICINA INTERNA- PISO 7</v>
      </c>
      <c r="F545" s="5"/>
      <c r="G545" s="5"/>
    </row>
    <row r="546" spans="1:7" ht="58.5" customHeight="1" x14ac:dyDescent="0.25">
      <c r="A546" s="5" t="str">
        <f>"H0025962"</f>
        <v>H0025962</v>
      </c>
      <c r="B546" s="5" t="str">
        <f t="shared" ref="B546:B553" si="20">"SILLA DE RUEDAS"</f>
        <v>SILLA DE RUEDAS</v>
      </c>
      <c r="C546" s="6">
        <v>280000</v>
      </c>
      <c r="D546" s="5" t="s">
        <v>76</v>
      </c>
      <c r="E546" s="5" t="str">
        <f t="shared" si="19"/>
        <v>ACTISALUD-MEDICINA INTERNA- PISO 7</v>
      </c>
      <c r="F546" s="5"/>
      <c r="G546" s="5"/>
    </row>
    <row r="547" spans="1:7" ht="58.5" customHeight="1" x14ac:dyDescent="0.25">
      <c r="A547" s="5" t="str">
        <f>"H0025963"</f>
        <v>H0025963</v>
      </c>
      <c r="B547" s="5" t="str">
        <f t="shared" si="20"/>
        <v>SILLA DE RUEDAS</v>
      </c>
      <c r="C547" s="6">
        <v>280000</v>
      </c>
      <c r="D547" s="5" t="s">
        <v>77</v>
      </c>
      <c r="E547" s="5" t="str">
        <f t="shared" si="19"/>
        <v>ACTISALUD-MEDICINA INTERNA- PISO 7</v>
      </c>
      <c r="F547" s="5"/>
      <c r="G547" s="5"/>
    </row>
    <row r="548" spans="1:7" ht="58.5" customHeight="1" x14ac:dyDescent="0.25">
      <c r="A548" s="5" t="str">
        <f>"H0025964"</f>
        <v>H0025964</v>
      </c>
      <c r="B548" s="5" t="str">
        <f t="shared" si="20"/>
        <v>SILLA DE RUEDAS</v>
      </c>
      <c r="C548" s="6">
        <v>280000</v>
      </c>
      <c r="D548" s="5" t="s">
        <v>77</v>
      </c>
      <c r="E548" s="5" t="str">
        <f t="shared" si="19"/>
        <v>ACTISALUD-MEDICINA INTERNA- PISO 7</v>
      </c>
      <c r="F548" s="5"/>
      <c r="G548" s="5"/>
    </row>
    <row r="549" spans="1:7" ht="58.5" customHeight="1" x14ac:dyDescent="0.25">
      <c r="A549" s="5" t="str">
        <f>"H0026030"</f>
        <v>H0026030</v>
      </c>
      <c r="B549" s="5" t="str">
        <f t="shared" si="20"/>
        <v>SILLA DE RUEDAS</v>
      </c>
      <c r="C549" s="6">
        <v>280000</v>
      </c>
      <c r="D549" s="5" t="s">
        <v>77</v>
      </c>
      <c r="E549" s="5" t="str">
        <f t="shared" si="19"/>
        <v>ACTISALUD-MEDICINA INTERNA- PISO 7</v>
      </c>
      <c r="F549" s="5"/>
      <c r="G549" s="5"/>
    </row>
    <row r="550" spans="1:7" ht="58.5" customHeight="1" x14ac:dyDescent="0.25">
      <c r="A550" s="5" t="str">
        <f>"H0026031"</f>
        <v>H0026031</v>
      </c>
      <c r="B550" s="5" t="str">
        <f t="shared" si="20"/>
        <v>SILLA DE RUEDAS</v>
      </c>
      <c r="C550" s="6">
        <v>280000</v>
      </c>
      <c r="D550" s="5" t="s">
        <v>77</v>
      </c>
      <c r="E550" s="5" t="str">
        <f t="shared" si="19"/>
        <v>ACTISALUD-MEDICINA INTERNA- PISO 7</v>
      </c>
      <c r="F550" s="5"/>
      <c r="G550" s="5"/>
    </row>
    <row r="551" spans="1:7" ht="58.5" customHeight="1" x14ac:dyDescent="0.25">
      <c r="A551" s="5" t="str">
        <f>"H0026043"</f>
        <v>H0026043</v>
      </c>
      <c r="B551" s="5" t="str">
        <f t="shared" si="20"/>
        <v>SILLA DE RUEDAS</v>
      </c>
      <c r="C551" s="6">
        <v>280000</v>
      </c>
      <c r="D551" s="5" t="s">
        <v>77</v>
      </c>
      <c r="E551" s="5" t="str">
        <f t="shared" si="19"/>
        <v>ACTISALUD-MEDICINA INTERNA- PISO 7</v>
      </c>
      <c r="F551" s="5"/>
      <c r="G551" s="5"/>
    </row>
    <row r="552" spans="1:7" ht="58.5" customHeight="1" x14ac:dyDescent="0.25">
      <c r="A552" s="5" t="str">
        <f>"H0026045"</f>
        <v>H0026045</v>
      </c>
      <c r="B552" s="5" t="str">
        <f t="shared" si="20"/>
        <v>SILLA DE RUEDAS</v>
      </c>
      <c r="C552" s="6">
        <v>280000</v>
      </c>
      <c r="D552" s="5" t="s">
        <v>77</v>
      </c>
      <c r="E552" s="5" t="str">
        <f t="shared" si="19"/>
        <v>ACTISALUD-MEDICINA INTERNA- PISO 7</v>
      </c>
      <c r="F552" s="5"/>
      <c r="G552" s="5"/>
    </row>
    <row r="553" spans="1:7" ht="58.5" customHeight="1" x14ac:dyDescent="0.25">
      <c r="A553" s="5" t="str">
        <f>"H0026056"</f>
        <v>H0026056</v>
      </c>
      <c r="B553" s="5" t="str">
        <f t="shared" si="20"/>
        <v>SILLA DE RUEDAS</v>
      </c>
      <c r="C553" s="6">
        <v>280000</v>
      </c>
      <c r="D553" s="5" t="s">
        <v>77</v>
      </c>
      <c r="E553" s="5" t="str">
        <f t="shared" si="19"/>
        <v>ACTISALUD-MEDICINA INTERNA- PISO 7</v>
      </c>
      <c r="F553" s="5"/>
      <c r="G553" s="5"/>
    </row>
    <row r="554" spans="1:7" ht="58.5" customHeight="1" x14ac:dyDescent="0.25">
      <c r="A554" s="5" t="str">
        <f>"H0026454"</f>
        <v>H0026454</v>
      </c>
      <c r="B554" s="5" t="str">
        <f t="shared" ref="B554:B575" si="21">"UNIDAD DE LLAMADO DE ENFERMERIA PARA CAMA O BAÑO"</f>
        <v>UNIDAD DE LLAMADO DE ENFERMERIA PARA CAMA O BAÑO</v>
      </c>
      <c r="C554" s="6">
        <v>131671.12</v>
      </c>
      <c r="D554" s="5" t="s">
        <v>78</v>
      </c>
      <c r="E554" s="5" t="str">
        <f t="shared" si="19"/>
        <v>ACTISALUD-MEDICINA INTERNA- PISO 7</v>
      </c>
      <c r="F554" s="5"/>
      <c r="G554" s="5"/>
    </row>
    <row r="555" spans="1:7" ht="58.5" customHeight="1" x14ac:dyDescent="0.25">
      <c r="A555" s="5" t="str">
        <f>"H0026455"</f>
        <v>H0026455</v>
      </c>
      <c r="B555" s="5" t="str">
        <f t="shared" si="21"/>
        <v>UNIDAD DE LLAMADO DE ENFERMERIA PARA CAMA O BAÑO</v>
      </c>
      <c r="C555" s="6">
        <v>131671.12</v>
      </c>
      <c r="D555" s="5" t="s">
        <v>78</v>
      </c>
      <c r="E555" s="5" t="str">
        <f t="shared" si="19"/>
        <v>ACTISALUD-MEDICINA INTERNA- PISO 7</v>
      </c>
      <c r="F555" s="5"/>
      <c r="G555" s="5"/>
    </row>
    <row r="556" spans="1:7" ht="58.5" customHeight="1" x14ac:dyDescent="0.25">
      <c r="A556" s="5" t="str">
        <f>"H0026456"</f>
        <v>H0026456</v>
      </c>
      <c r="B556" s="5" t="str">
        <f t="shared" si="21"/>
        <v>UNIDAD DE LLAMADO DE ENFERMERIA PARA CAMA O BAÑO</v>
      </c>
      <c r="C556" s="6">
        <v>131671.12</v>
      </c>
      <c r="D556" s="5" t="s">
        <v>78</v>
      </c>
      <c r="E556" s="5" t="str">
        <f t="shared" si="19"/>
        <v>ACTISALUD-MEDICINA INTERNA- PISO 7</v>
      </c>
      <c r="F556" s="5"/>
      <c r="G556" s="5"/>
    </row>
    <row r="557" spans="1:7" ht="58.5" customHeight="1" x14ac:dyDescent="0.25">
      <c r="A557" s="5" t="str">
        <f>"H0026457"</f>
        <v>H0026457</v>
      </c>
      <c r="B557" s="5" t="str">
        <f t="shared" si="21"/>
        <v>UNIDAD DE LLAMADO DE ENFERMERIA PARA CAMA O BAÑO</v>
      </c>
      <c r="C557" s="6">
        <v>131671.12</v>
      </c>
      <c r="D557" s="5" t="s">
        <v>78</v>
      </c>
      <c r="E557" s="5" t="str">
        <f t="shared" si="19"/>
        <v>ACTISALUD-MEDICINA INTERNA- PISO 7</v>
      </c>
      <c r="F557" s="5"/>
      <c r="G557" s="5"/>
    </row>
    <row r="558" spans="1:7" ht="58.5" customHeight="1" x14ac:dyDescent="0.25">
      <c r="A558" s="5" t="str">
        <f>"H0026458"</f>
        <v>H0026458</v>
      </c>
      <c r="B558" s="5" t="str">
        <f t="shared" si="21"/>
        <v>UNIDAD DE LLAMADO DE ENFERMERIA PARA CAMA O BAÑO</v>
      </c>
      <c r="C558" s="6">
        <v>131671.12</v>
      </c>
      <c r="D558" s="5" t="s">
        <v>78</v>
      </c>
      <c r="E558" s="5" t="str">
        <f t="shared" si="19"/>
        <v>ACTISALUD-MEDICINA INTERNA- PISO 7</v>
      </c>
      <c r="F558" s="5"/>
      <c r="G558" s="5"/>
    </row>
    <row r="559" spans="1:7" ht="58.5" customHeight="1" x14ac:dyDescent="0.25">
      <c r="A559" s="5" t="str">
        <f>"H0026459"</f>
        <v>H0026459</v>
      </c>
      <c r="B559" s="5" t="str">
        <f t="shared" si="21"/>
        <v>UNIDAD DE LLAMADO DE ENFERMERIA PARA CAMA O BAÑO</v>
      </c>
      <c r="C559" s="6">
        <v>131671.12</v>
      </c>
      <c r="D559" s="5" t="s">
        <v>78</v>
      </c>
      <c r="E559" s="5" t="str">
        <f t="shared" si="19"/>
        <v>ACTISALUD-MEDICINA INTERNA- PISO 7</v>
      </c>
      <c r="F559" s="5"/>
      <c r="G559" s="5"/>
    </row>
    <row r="560" spans="1:7" ht="58.5" customHeight="1" x14ac:dyDescent="0.25">
      <c r="A560" s="5" t="str">
        <f>"H0026460"</f>
        <v>H0026460</v>
      </c>
      <c r="B560" s="5" t="str">
        <f t="shared" si="21"/>
        <v>UNIDAD DE LLAMADO DE ENFERMERIA PARA CAMA O BAÑO</v>
      </c>
      <c r="C560" s="6">
        <v>131671.12</v>
      </c>
      <c r="D560" s="5" t="s">
        <v>78</v>
      </c>
      <c r="E560" s="5" t="str">
        <f t="shared" si="19"/>
        <v>ACTISALUD-MEDICINA INTERNA- PISO 7</v>
      </c>
      <c r="F560" s="5"/>
      <c r="G560" s="5"/>
    </row>
    <row r="561" spans="1:7" ht="58.5" customHeight="1" x14ac:dyDescent="0.25">
      <c r="A561" s="5" t="str">
        <f>"H0026461"</f>
        <v>H0026461</v>
      </c>
      <c r="B561" s="5" t="str">
        <f t="shared" si="21"/>
        <v>UNIDAD DE LLAMADO DE ENFERMERIA PARA CAMA O BAÑO</v>
      </c>
      <c r="C561" s="6">
        <v>131671.12</v>
      </c>
      <c r="D561" s="5" t="s">
        <v>78</v>
      </c>
      <c r="E561" s="5" t="str">
        <f t="shared" si="19"/>
        <v>ACTISALUD-MEDICINA INTERNA- PISO 7</v>
      </c>
      <c r="F561" s="5"/>
      <c r="G561" s="5"/>
    </row>
    <row r="562" spans="1:7" ht="58.5" customHeight="1" x14ac:dyDescent="0.25">
      <c r="A562" s="5" t="str">
        <f>"H0026462"</f>
        <v>H0026462</v>
      </c>
      <c r="B562" s="5" t="str">
        <f t="shared" si="21"/>
        <v>UNIDAD DE LLAMADO DE ENFERMERIA PARA CAMA O BAÑO</v>
      </c>
      <c r="C562" s="6">
        <v>131671.12</v>
      </c>
      <c r="D562" s="5" t="s">
        <v>78</v>
      </c>
      <c r="E562" s="5" t="str">
        <f t="shared" si="19"/>
        <v>ACTISALUD-MEDICINA INTERNA- PISO 7</v>
      </c>
      <c r="F562" s="5"/>
      <c r="G562" s="5"/>
    </row>
    <row r="563" spans="1:7" ht="58.5" customHeight="1" x14ac:dyDescent="0.25">
      <c r="A563" s="5" t="str">
        <f>"H0026463"</f>
        <v>H0026463</v>
      </c>
      <c r="B563" s="5" t="str">
        <f t="shared" si="21"/>
        <v>UNIDAD DE LLAMADO DE ENFERMERIA PARA CAMA O BAÑO</v>
      </c>
      <c r="C563" s="6">
        <v>131671.12</v>
      </c>
      <c r="D563" s="5" t="s">
        <v>78</v>
      </c>
      <c r="E563" s="5" t="str">
        <f t="shared" si="19"/>
        <v>ACTISALUD-MEDICINA INTERNA- PISO 7</v>
      </c>
      <c r="F563" s="5"/>
      <c r="G563" s="5"/>
    </row>
    <row r="564" spans="1:7" ht="58.5" customHeight="1" x14ac:dyDescent="0.25">
      <c r="A564" s="5" t="str">
        <f>"H0026464"</f>
        <v>H0026464</v>
      </c>
      <c r="B564" s="5" t="str">
        <f t="shared" si="21"/>
        <v>UNIDAD DE LLAMADO DE ENFERMERIA PARA CAMA O BAÑO</v>
      </c>
      <c r="C564" s="6">
        <v>131671.12</v>
      </c>
      <c r="D564" s="5" t="s">
        <v>78</v>
      </c>
      <c r="E564" s="5" t="str">
        <f t="shared" si="19"/>
        <v>ACTISALUD-MEDICINA INTERNA- PISO 7</v>
      </c>
      <c r="F564" s="5"/>
      <c r="G564" s="5"/>
    </row>
    <row r="565" spans="1:7" ht="58.5" customHeight="1" x14ac:dyDescent="0.25">
      <c r="A565" s="5" t="str">
        <f>"H0026465"</f>
        <v>H0026465</v>
      </c>
      <c r="B565" s="5" t="str">
        <f t="shared" si="21"/>
        <v>UNIDAD DE LLAMADO DE ENFERMERIA PARA CAMA O BAÑO</v>
      </c>
      <c r="C565" s="6">
        <v>131671.12</v>
      </c>
      <c r="D565" s="5" t="s">
        <v>78</v>
      </c>
      <c r="E565" s="5" t="str">
        <f t="shared" si="19"/>
        <v>ACTISALUD-MEDICINA INTERNA- PISO 7</v>
      </c>
      <c r="F565" s="5"/>
      <c r="G565" s="5"/>
    </row>
    <row r="566" spans="1:7" ht="58.5" customHeight="1" x14ac:dyDescent="0.25">
      <c r="A566" s="5" t="str">
        <f>"H0026466"</f>
        <v>H0026466</v>
      </c>
      <c r="B566" s="5" t="str">
        <f t="shared" si="21"/>
        <v>UNIDAD DE LLAMADO DE ENFERMERIA PARA CAMA O BAÑO</v>
      </c>
      <c r="C566" s="6">
        <v>131671.12</v>
      </c>
      <c r="D566" s="5" t="s">
        <v>78</v>
      </c>
      <c r="E566" s="5" t="str">
        <f t="shared" si="19"/>
        <v>ACTISALUD-MEDICINA INTERNA- PISO 7</v>
      </c>
      <c r="F566" s="5"/>
      <c r="G566" s="5"/>
    </row>
    <row r="567" spans="1:7" ht="58.5" customHeight="1" x14ac:dyDescent="0.25">
      <c r="A567" s="5" t="str">
        <f>"H0026467"</f>
        <v>H0026467</v>
      </c>
      <c r="B567" s="5" t="str">
        <f t="shared" si="21"/>
        <v>UNIDAD DE LLAMADO DE ENFERMERIA PARA CAMA O BAÑO</v>
      </c>
      <c r="C567" s="6">
        <v>131671.12</v>
      </c>
      <c r="D567" s="5" t="s">
        <v>78</v>
      </c>
      <c r="E567" s="5" t="str">
        <f t="shared" si="19"/>
        <v>ACTISALUD-MEDICINA INTERNA- PISO 7</v>
      </c>
      <c r="F567" s="5"/>
      <c r="G567" s="5"/>
    </row>
    <row r="568" spans="1:7" ht="58.5" customHeight="1" x14ac:dyDescent="0.25">
      <c r="A568" s="5" t="str">
        <f>"H0026468"</f>
        <v>H0026468</v>
      </c>
      <c r="B568" s="5" t="str">
        <f t="shared" si="21"/>
        <v>UNIDAD DE LLAMADO DE ENFERMERIA PARA CAMA O BAÑO</v>
      </c>
      <c r="C568" s="6">
        <v>131671.12</v>
      </c>
      <c r="D568" s="5" t="s">
        <v>78</v>
      </c>
      <c r="E568" s="5" t="str">
        <f t="shared" si="19"/>
        <v>ACTISALUD-MEDICINA INTERNA- PISO 7</v>
      </c>
      <c r="F568" s="5"/>
      <c r="G568" s="5"/>
    </row>
    <row r="569" spans="1:7" ht="58.5" customHeight="1" x14ac:dyDescent="0.25">
      <c r="A569" s="5" t="str">
        <f>"H0026469"</f>
        <v>H0026469</v>
      </c>
      <c r="B569" s="5" t="str">
        <f t="shared" si="21"/>
        <v>UNIDAD DE LLAMADO DE ENFERMERIA PARA CAMA O BAÑO</v>
      </c>
      <c r="C569" s="6">
        <v>131671.12</v>
      </c>
      <c r="D569" s="5" t="s">
        <v>78</v>
      </c>
      <c r="E569" s="5" t="str">
        <f t="shared" si="19"/>
        <v>ACTISALUD-MEDICINA INTERNA- PISO 7</v>
      </c>
      <c r="F569" s="5"/>
      <c r="G569" s="5"/>
    </row>
    <row r="570" spans="1:7" ht="58.5" customHeight="1" x14ac:dyDescent="0.25">
      <c r="A570" s="5" t="str">
        <f>"H0026470"</f>
        <v>H0026470</v>
      </c>
      <c r="B570" s="5" t="str">
        <f t="shared" si="21"/>
        <v>UNIDAD DE LLAMADO DE ENFERMERIA PARA CAMA O BAÑO</v>
      </c>
      <c r="C570" s="6">
        <v>131671.12</v>
      </c>
      <c r="D570" s="5" t="s">
        <v>78</v>
      </c>
      <c r="E570" s="5" t="str">
        <f t="shared" si="19"/>
        <v>ACTISALUD-MEDICINA INTERNA- PISO 7</v>
      </c>
      <c r="F570" s="5"/>
      <c r="G570" s="5"/>
    </row>
    <row r="571" spans="1:7" ht="58.5" customHeight="1" x14ac:dyDescent="0.25">
      <c r="A571" s="5" t="str">
        <f>"H0026471"</f>
        <v>H0026471</v>
      </c>
      <c r="B571" s="5" t="str">
        <f t="shared" si="21"/>
        <v>UNIDAD DE LLAMADO DE ENFERMERIA PARA CAMA O BAÑO</v>
      </c>
      <c r="C571" s="6">
        <v>131671.12</v>
      </c>
      <c r="D571" s="5" t="s">
        <v>78</v>
      </c>
      <c r="E571" s="5" t="str">
        <f t="shared" si="19"/>
        <v>ACTISALUD-MEDICINA INTERNA- PISO 7</v>
      </c>
      <c r="F571" s="5"/>
      <c r="G571" s="5"/>
    </row>
    <row r="572" spans="1:7" ht="58.5" customHeight="1" x14ac:dyDescent="0.25">
      <c r="A572" s="5" t="str">
        <f>"H0026706"</f>
        <v>H0026706</v>
      </c>
      <c r="B572" s="5" t="str">
        <f t="shared" si="21"/>
        <v>UNIDAD DE LLAMADO DE ENFERMERIA PARA CAMA O BAÑO</v>
      </c>
      <c r="C572" s="6">
        <v>131671.12</v>
      </c>
      <c r="D572" s="5" t="s">
        <v>78</v>
      </c>
      <c r="E572" s="5" t="str">
        <f t="shared" si="19"/>
        <v>ACTISALUD-MEDICINA INTERNA- PISO 7</v>
      </c>
      <c r="F572" s="5"/>
      <c r="G572" s="5"/>
    </row>
    <row r="573" spans="1:7" ht="58.5" customHeight="1" x14ac:dyDescent="0.25">
      <c r="A573" s="5" t="str">
        <f>"H0026707"</f>
        <v>H0026707</v>
      </c>
      <c r="B573" s="5" t="str">
        <f t="shared" si="21"/>
        <v>UNIDAD DE LLAMADO DE ENFERMERIA PARA CAMA O BAÑO</v>
      </c>
      <c r="C573" s="6">
        <v>131671.12</v>
      </c>
      <c r="D573" s="5" t="s">
        <v>78</v>
      </c>
      <c r="E573" s="5" t="str">
        <f t="shared" si="19"/>
        <v>ACTISALUD-MEDICINA INTERNA- PISO 7</v>
      </c>
      <c r="F573" s="5"/>
      <c r="G573" s="5"/>
    </row>
    <row r="574" spans="1:7" ht="58.5" customHeight="1" x14ac:dyDescent="0.25">
      <c r="A574" s="5" t="str">
        <f>"H0026708"</f>
        <v>H0026708</v>
      </c>
      <c r="B574" s="5" t="str">
        <f t="shared" si="21"/>
        <v>UNIDAD DE LLAMADO DE ENFERMERIA PARA CAMA O BAÑO</v>
      </c>
      <c r="C574" s="6">
        <v>131671.12</v>
      </c>
      <c r="D574" s="5" t="s">
        <v>78</v>
      </c>
      <c r="E574" s="5" t="str">
        <f t="shared" si="19"/>
        <v>ACTISALUD-MEDICINA INTERNA- PISO 7</v>
      </c>
      <c r="F574" s="5"/>
      <c r="G574" s="5"/>
    </row>
    <row r="575" spans="1:7" ht="58.5" customHeight="1" x14ac:dyDescent="0.25">
      <c r="A575" s="5" t="str">
        <f>"H0026709"</f>
        <v>H0026709</v>
      </c>
      <c r="B575" s="5" t="str">
        <f t="shared" si="21"/>
        <v>UNIDAD DE LLAMADO DE ENFERMERIA PARA CAMA O BAÑO</v>
      </c>
      <c r="C575" s="6">
        <v>131671.12</v>
      </c>
      <c r="D575" s="5" t="s">
        <v>78</v>
      </c>
      <c r="E575" s="5" t="str">
        <f t="shared" si="19"/>
        <v>ACTISALUD-MEDICINA INTERNA- PISO 7</v>
      </c>
      <c r="F575" s="5"/>
      <c r="G575" s="5"/>
    </row>
    <row r="576" spans="1:7" ht="58.5" customHeight="1" x14ac:dyDescent="0.25">
      <c r="A576" s="5" t="str">
        <f>"H0026754"</f>
        <v>H0026754</v>
      </c>
      <c r="B576" s="5" t="str">
        <f t="shared" ref="B576:B582" si="22">"LAMPARA DE PASILLO DE LLAMADO DE ENFERMERIA"</f>
        <v>LAMPARA DE PASILLO DE LLAMADO DE ENFERMERIA</v>
      </c>
      <c r="C576" s="6">
        <v>523510.75</v>
      </c>
      <c r="D576" s="5" t="s">
        <v>78</v>
      </c>
      <c r="E576" s="5" t="str">
        <f t="shared" si="19"/>
        <v>ACTISALUD-MEDICINA INTERNA- PISO 7</v>
      </c>
      <c r="F576" s="5"/>
      <c r="G576" s="5"/>
    </row>
    <row r="577" spans="1:7" ht="58.5" customHeight="1" x14ac:dyDescent="0.25">
      <c r="A577" s="5" t="str">
        <f>"H0026755"</f>
        <v>H0026755</v>
      </c>
      <c r="B577" s="5" t="str">
        <f t="shared" si="22"/>
        <v>LAMPARA DE PASILLO DE LLAMADO DE ENFERMERIA</v>
      </c>
      <c r="C577" s="6">
        <v>523510.75</v>
      </c>
      <c r="D577" s="5" t="s">
        <v>78</v>
      </c>
      <c r="E577" s="5" t="str">
        <f t="shared" si="19"/>
        <v>ACTISALUD-MEDICINA INTERNA- PISO 7</v>
      </c>
      <c r="F577" s="5"/>
      <c r="G577" s="5"/>
    </row>
    <row r="578" spans="1:7" ht="58.5" customHeight="1" x14ac:dyDescent="0.25">
      <c r="A578" s="5" t="str">
        <f>"H0026756"</f>
        <v>H0026756</v>
      </c>
      <c r="B578" s="5" t="str">
        <f t="shared" si="22"/>
        <v>LAMPARA DE PASILLO DE LLAMADO DE ENFERMERIA</v>
      </c>
      <c r="C578" s="6">
        <v>523510.75</v>
      </c>
      <c r="D578" s="5" t="s">
        <v>78</v>
      </c>
      <c r="E578" s="5" t="str">
        <f t="shared" si="19"/>
        <v>ACTISALUD-MEDICINA INTERNA- PISO 7</v>
      </c>
      <c r="F578" s="5"/>
      <c r="G578" s="5"/>
    </row>
    <row r="579" spans="1:7" ht="58.5" customHeight="1" x14ac:dyDescent="0.25">
      <c r="A579" s="5" t="str">
        <f>"H0026757"</f>
        <v>H0026757</v>
      </c>
      <c r="B579" s="5" t="str">
        <f t="shared" si="22"/>
        <v>LAMPARA DE PASILLO DE LLAMADO DE ENFERMERIA</v>
      </c>
      <c r="C579" s="6">
        <v>523510.75</v>
      </c>
      <c r="D579" s="5" t="s">
        <v>78</v>
      </c>
      <c r="E579" s="5" t="str">
        <f t="shared" si="19"/>
        <v>ACTISALUD-MEDICINA INTERNA- PISO 7</v>
      </c>
      <c r="F579" s="5"/>
      <c r="G579" s="5"/>
    </row>
    <row r="580" spans="1:7" ht="58.5" customHeight="1" x14ac:dyDescent="0.25">
      <c r="A580" s="5" t="str">
        <f>"H0026758"</f>
        <v>H0026758</v>
      </c>
      <c r="B580" s="5" t="str">
        <f t="shared" si="22"/>
        <v>LAMPARA DE PASILLO DE LLAMADO DE ENFERMERIA</v>
      </c>
      <c r="C580" s="6">
        <v>523510.75</v>
      </c>
      <c r="D580" s="5" t="s">
        <v>78</v>
      </c>
      <c r="E580" s="5" t="str">
        <f t="shared" si="19"/>
        <v>ACTISALUD-MEDICINA INTERNA- PISO 7</v>
      </c>
      <c r="F580" s="5"/>
      <c r="G580" s="5"/>
    </row>
    <row r="581" spans="1:7" ht="58.5" customHeight="1" x14ac:dyDescent="0.25">
      <c r="A581" s="5" t="str">
        <f>"H0026760"</f>
        <v>H0026760</v>
      </c>
      <c r="B581" s="5" t="str">
        <f t="shared" si="22"/>
        <v>LAMPARA DE PASILLO DE LLAMADO DE ENFERMERIA</v>
      </c>
      <c r="C581" s="6">
        <v>523510.75</v>
      </c>
      <c r="D581" s="5" t="s">
        <v>78</v>
      </c>
      <c r="E581" s="5" t="str">
        <f t="shared" si="19"/>
        <v>ACTISALUD-MEDICINA INTERNA- PISO 7</v>
      </c>
      <c r="F581" s="5"/>
      <c r="G581" s="5"/>
    </row>
    <row r="582" spans="1:7" ht="58.5" customHeight="1" x14ac:dyDescent="0.25">
      <c r="A582" s="5" t="str">
        <f>"H0026761"</f>
        <v>H0026761</v>
      </c>
      <c r="B582" s="5" t="str">
        <f t="shared" si="22"/>
        <v>LAMPARA DE PASILLO DE LLAMADO DE ENFERMERIA</v>
      </c>
      <c r="C582" s="6">
        <v>523510.75</v>
      </c>
      <c r="D582" s="5" t="s">
        <v>78</v>
      </c>
      <c r="E582" s="5" t="str">
        <f t="shared" si="19"/>
        <v>ACTISALUD-MEDICINA INTERNA- PISO 7</v>
      </c>
      <c r="F582" s="5"/>
      <c r="G582" s="5"/>
    </row>
    <row r="583" spans="1:7" ht="58.5" customHeight="1" x14ac:dyDescent="0.25">
      <c r="A583" s="5" t="str">
        <f>"H0026764"</f>
        <v>H0026764</v>
      </c>
      <c r="B583" s="5" t="str">
        <f>"PANTALLA LLAMADO DE ENFERMERAS 2 FILAS (PANTALLA LED 40X20 cm)"</f>
        <v>PANTALLA LLAMADO DE ENFERMERAS 2 FILAS (PANTALLA LED 40X20 cm)</v>
      </c>
      <c r="C583" s="6">
        <v>3965980.8</v>
      </c>
      <c r="D583" s="5" t="s">
        <v>78</v>
      </c>
      <c r="E583" s="5" t="str">
        <f t="shared" si="19"/>
        <v>ACTISALUD-MEDICINA INTERNA- PISO 7</v>
      </c>
      <c r="F583" s="5"/>
      <c r="G583" s="5"/>
    </row>
    <row r="584" spans="1:7" ht="58.5" customHeight="1" x14ac:dyDescent="0.25">
      <c r="A584" s="5" t="str">
        <f>"H0026849"</f>
        <v>H0026849</v>
      </c>
      <c r="B584" s="5" t="str">
        <f>"BOMBA DE INFUSION"</f>
        <v>BOMBA DE INFUSION</v>
      </c>
      <c r="C584" s="6">
        <v>800000</v>
      </c>
      <c r="D584" s="5" t="s">
        <v>79</v>
      </c>
      <c r="E584" s="5" t="str">
        <f t="shared" si="19"/>
        <v>ACTISALUD-MEDICINA INTERNA- PISO 7</v>
      </c>
      <c r="F584" s="5"/>
      <c r="G584" s="5"/>
    </row>
    <row r="585" spans="1:7" ht="58.5" customHeight="1" x14ac:dyDescent="0.25">
      <c r="A585" s="5" t="str">
        <f>"H0026858"</f>
        <v>H0026858</v>
      </c>
      <c r="B585" s="5" t="str">
        <f>"BOMBA DE INFUSION"</f>
        <v>BOMBA DE INFUSION</v>
      </c>
      <c r="C585" s="6">
        <v>800000</v>
      </c>
      <c r="D585" s="5" t="s">
        <v>79</v>
      </c>
      <c r="E585" s="5" t="str">
        <f t="shared" si="19"/>
        <v>ACTISALUD-MEDICINA INTERNA- PISO 7</v>
      </c>
      <c r="F585" s="5"/>
      <c r="G585" s="5"/>
    </row>
    <row r="586" spans="1:7" ht="58.5" customHeight="1" x14ac:dyDescent="0.25">
      <c r="A586" s="5" t="str">
        <f>"H0026859"</f>
        <v>H0026859</v>
      </c>
      <c r="B586" s="5" t="str">
        <f>"BOMBA DE INFUSION"</f>
        <v>BOMBA DE INFUSION</v>
      </c>
      <c r="C586" s="6">
        <v>800000</v>
      </c>
      <c r="D586" s="5" t="s">
        <v>79</v>
      </c>
      <c r="E586" s="5" t="str">
        <f t="shared" si="19"/>
        <v>ACTISALUD-MEDICINA INTERNA- PISO 7</v>
      </c>
      <c r="F586" s="5"/>
      <c r="G586" s="5"/>
    </row>
    <row r="587" spans="1:7" ht="58.5" customHeight="1" x14ac:dyDescent="0.25">
      <c r="A587" s="5" t="str">
        <f>"H0026868"</f>
        <v>H0026868</v>
      </c>
      <c r="B587" s="5" t="str">
        <f>"BOMBA DE INFUSION"</f>
        <v>BOMBA DE INFUSION</v>
      </c>
      <c r="C587" s="6">
        <v>800000</v>
      </c>
      <c r="D587" s="5" t="s">
        <v>79</v>
      </c>
      <c r="E587" s="5" t="str">
        <f t="shared" si="19"/>
        <v>ACTISALUD-MEDICINA INTERNA- PISO 7</v>
      </c>
      <c r="F587" s="5"/>
      <c r="G587" s="5"/>
    </row>
    <row r="588" spans="1:7" ht="58.5" customHeight="1" x14ac:dyDescent="0.25">
      <c r="A588" s="5" t="str">
        <f>"H0027014"</f>
        <v>H0027014</v>
      </c>
      <c r="B588" s="5" t="str">
        <f>"BASE PARA MONITOR DE SIGNOS VITALES"</f>
        <v>BASE PARA MONITOR DE SIGNOS VITALES</v>
      </c>
      <c r="C588" s="6">
        <v>809200</v>
      </c>
      <c r="D588" s="5" t="s">
        <v>80</v>
      </c>
      <c r="E588" s="5" t="str">
        <f t="shared" si="19"/>
        <v>ACTISALUD-MEDICINA INTERNA- PISO 7</v>
      </c>
      <c r="F588" s="5"/>
      <c r="G588" s="5"/>
    </row>
    <row r="589" spans="1:7" ht="58.5" customHeight="1" x14ac:dyDescent="0.25">
      <c r="A589" s="5" t="str">
        <f>"H0027016"</f>
        <v>H0027016</v>
      </c>
      <c r="B589" s="5" t="str">
        <f>"BASE PARA MONITOR DE SIGNOS VITALES"</f>
        <v>BASE PARA MONITOR DE SIGNOS VITALES</v>
      </c>
      <c r="C589" s="6">
        <v>809200</v>
      </c>
      <c r="D589" s="5" t="s">
        <v>80</v>
      </c>
      <c r="E589" s="5" t="str">
        <f t="shared" si="19"/>
        <v>ACTISALUD-MEDICINA INTERNA- PISO 7</v>
      </c>
      <c r="F589" s="5"/>
      <c r="G589" s="5"/>
    </row>
    <row r="590" spans="1:7" ht="58.5" customHeight="1" x14ac:dyDescent="0.25">
      <c r="A590" s="5" t="str">
        <f>"H0027048"</f>
        <v>H0027048</v>
      </c>
      <c r="B590" s="5" t="str">
        <f>"BOMBA DE INFUSION"</f>
        <v>BOMBA DE INFUSION</v>
      </c>
      <c r="C590" s="6">
        <v>1200000</v>
      </c>
      <c r="D590" s="5" t="s">
        <v>81</v>
      </c>
      <c r="E590" s="5" t="str">
        <f t="shared" ref="E590:E653" si="23">"ACTISALUD-MEDICINA INTERNA- PISO 7"</f>
        <v>ACTISALUD-MEDICINA INTERNA- PISO 7</v>
      </c>
      <c r="F590" s="5"/>
      <c r="G590" s="5"/>
    </row>
    <row r="591" spans="1:7" ht="58.5" customHeight="1" x14ac:dyDescent="0.25">
      <c r="A591" s="5" t="str">
        <f>"H0027051"</f>
        <v>H0027051</v>
      </c>
      <c r="B591" s="5" t="str">
        <f>"BOMBA DE INFUSION"</f>
        <v>BOMBA DE INFUSION</v>
      </c>
      <c r="C591" s="6">
        <v>1200000</v>
      </c>
      <c r="D591" s="5" t="s">
        <v>81</v>
      </c>
      <c r="E591" s="5" t="str">
        <f t="shared" si="23"/>
        <v>ACTISALUD-MEDICINA INTERNA- PISO 7</v>
      </c>
      <c r="F591" s="5"/>
      <c r="G591" s="5"/>
    </row>
    <row r="592" spans="1:7" ht="58.5" customHeight="1" x14ac:dyDescent="0.25">
      <c r="A592" s="5" t="str">
        <f>"H0027081"</f>
        <v>H0027081</v>
      </c>
      <c r="B592" s="5" t="str">
        <f>"BOMBA DE INFUSION"</f>
        <v>BOMBA DE INFUSION</v>
      </c>
      <c r="C592" s="6">
        <v>1200000</v>
      </c>
      <c r="D592" s="5" t="s">
        <v>81</v>
      </c>
      <c r="E592" s="5" t="str">
        <f t="shared" si="23"/>
        <v>ACTISALUD-MEDICINA INTERNA- PISO 7</v>
      </c>
      <c r="F592" s="5"/>
      <c r="G592" s="5"/>
    </row>
    <row r="593" spans="1:7" ht="58.5" customHeight="1" x14ac:dyDescent="0.25">
      <c r="A593" s="5" t="str">
        <f>"H0027134"</f>
        <v>H0027134</v>
      </c>
      <c r="B593" s="5" t="str">
        <f>"MONITOR DE SIGNOS VITALES"</f>
        <v>MONITOR DE SIGNOS VITALES</v>
      </c>
      <c r="C593" s="6">
        <v>3680000.05</v>
      </c>
      <c r="D593" s="5" t="s">
        <v>82</v>
      </c>
      <c r="E593" s="5" t="str">
        <f t="shared" si="23"/>
        <v>ACTISALUD-MEDICINA INTERNA- PISO 7</v>
      </c>
      <c r="F593" s="5"/>
      <c r="G593" s="5" t="str">
        <f>"IM12"</f>
        <v>IM12</v>
      </c>
    </row>
    <row r="594" spans="1:7" ht="58.5" customHeight="1" x14ac:dyDescent="0.25">
      <c r="A594" s="5" t="str">
        <f>"H0027135"</f>
        <v>H0027135</v>
      </c>
      <c r="B594" s="5" t="str">
        <f>"MONITOR DE SIGNOS VITALES"</f>
        <v>MONITOR DE SIGNOS VITALES</v>
      </c>
      <c r="C594" s="6">
        <v>3680000.05</v>
      </c>
      <c r="D594" s="5" t="s">
        <v>82</v>
      </c>
      <c r="E594" s="5" t="str">
        <f t="shared" si="23"/>
        <v>ACTISALUD-MEDICINA INTERNA- PISO 7</v>
      </c>
      <c r="F594" s="5"/>
      <c r="G594" s="5" t="str">
        <f>"IM12"</f>
        <v>IM12</v>
      </c>
    </row>
    <row r="595" spans="1:7" ht="58.5" customHeight="1" x14ac:dyDescent="0.25">
      <c r="A595" s="5" t="str">
        <f>"H0027252"</f>
        <v>H0027252</v>
      </c>
      <c r="B59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595" s="6">
        <v>2641800</v>
      </c>
      <c r="D595" s="5" t="s">
        <v>38</v>
      </c>
      <c r="E595" s="5" t="str">
        <f t="shared" si="23"/>
        <v>ACTISALUD-MEDICINA INTERNA- PISO 7</v>
      </c>
      <c r="F595" s="5"/>
      <c r="G595" s="5"/>
    </row>
    <row r="596" spans="1:7" ht="58.5" customHeight="1" x14ac:dyDescent="0.25">
      <c r="A596" s="5" t="str">
        <f>"H0027366"</f>
        <v>H0027366</v>
      </c>
      <c r="B596" s="5" t="str">
        <f t="shared" ref="B596:B606" si="24">"LECTOR DE HUELLAS DIGITALES"</f>
        <v>LECTOR DE HUELLAS DIGITALES</v>
      </c>
      <c r="C596" s="6">
        <v>234000.41</v>
      </c>
      <c r="D596" s="5" t="s">
        <v>83</v>
      </c>
      <c r="E596" s="5" t="str">
        <f t="shared" si="23"/>
        <v>ACTISALUD-MEDICINA INTERNA- PISO 7</v>
      </c>
      <c r="F596" s="5"/>
      <c r="G596" s="5"/>
    </row>
    <row r="597" spans="1:7" ht="58.5" customHeight="1" x14ac:dyDescent="0.25">
      <c r="A597" s="5" t="str">
        <f>"H0027369"</f>
        <v>H0027369</v>
      </c>
      <c r="B597" s="5" t="str">
        <f t="shared" si="24"/>
        <v>LECTOR DE HUELLAS DIGITALES</v>
      </c>
      <c r="C597" s="6">
        <v>234000.41</v>
      </c>
      <c r="D597" s="5" t="s">
        <v>83</v>
      </c>
      <c r="E597" s="5" t="str">
        <f t="shared" si="23"/>
        <v>ACTISALUD-MEDICINA INTERNA- PISO 7</v>
      </c>
      <c r="F597" s="5"/>
      <c r="G597" s="5"/>
    </row>
    <row r="598" spans="1:7" ht="58.5" customHeight="1" x14ac:dyDescent="0.25">
      <c r="A598" s="5" t="str">
        <f>"H0027424"</f>
        <v>H0027424</v>
      </c>
      <c r="B598" s="5" t="str">
        <f t="shared" si="24"/>
        <v>LECTOR DE HUELLAS DIGITALES</v>
      </c>
      <c r="C598" s="6">
        <v>234000.41</v>
      </c>
      <c r="D598" s="5" t="s">
        <v>83</v>
      </c>
      <c r="E598" s="5" t="str">
        <f t="shared" si="23"/>
        <v>ACTISALUD-MEDICINA INTERNA- PISO 7</v>
      </c>
      <c r="F598" s="5"/>
      <c r="G598" s="5"/>
    </row>
    <row r="599" spans="1:7" ht="58.5" customHeight="1" x14ac:dyDescent="0.25">
      <c r="A599" s="5" t="str">
        <f>"H0027425"</f>
        <v>H0027425</v>
      </c>
      <c r="B599" s="5" t="str">
        <f t="shared" si="24"/>
        <v>LECTOR DE HUELLAS DIGITALES</v>
      </c>
      <c r="C599" s="6">
        <v>234000.41</v>
      </c>
      <c r="D599" s="5" t="s">
        <v>83</v>
      </c>
      <c r="E599" s="5" t="str">
        <f t="shared" si="23"/>
        <v>ACTISALUD-MEDICINA INTERNA- PISO 7</v>
      </c>
      <c r="F599" s="5"/>
      <c r="G599" s="5"/>
    </row>
    <row r="600" spans="1:7" ht="58.5" customHeight="1" x14ac:dyDescent="0.25">
      <c r="A600" s="5" t="str">
        <f>"H0027426"</f>
        <v>H0027426</v>
      </c>
      <c r="B600" s="5" t="str">
        <f t="shared" si="24"/>
        <v>LECTOR DE HUELLAS DIGITALES</v>
      </c>
      <c r="C600" s="6">
        <v>234000.41</v>
      </c>
      <c r="D600" s="5" t="s">
        <v>83</v>
      </c>
      <c r="E600" s="5" t="str">
        <f t="shared" si="23"/>
        <v>ACTISALUD-MEDICINA INTERNA- PISO 7</v>
      </c>
      <c r="F600" s="5"/>
      <c r="G600" s="5"/>
    </row>
    <row r="601" spans="1:7" ht="58.5" customHeight="1" x14ac:dyDescent="0.25">
      <c r="A601" s="5" t="str">
        <f>"H0027427"</f>
        <v>H0027427</v>
      </c>
      <c r="B601" s="5" t="str">
        <f t="shared" si="24"/>
        <v>LECTOR DE HUELLAS DIGITALES</v>
      </c>
      <c r="C601" s="6">
        <v>234000.41</v>
      </c>
      <c r="D601" s="5" t="s">
        <v>83</v>
      </c>
      <c r="E601" s="5" t="str">
        <f t="shared" si="23"/>
        <v>ACTISALUD-MEDICINA INTERNA- PISO 7</v>
      </c>
      <c r="F601" s="5"/>
      <c r="G601" s="5"/>
    </row>
    <row r="602" spans="1:7" ht="58.5" customHeight="1" x14ac:dyDescent="0.25">
      <c r="A602" s="5" t="str">
        <f>"H0027428"</f>
        <v>H0027428</v>
      </c>
      <c r="B602" s="5" t="str">
        <f t="shared" si="24"/>
        <v>LECTOR DE HUELLAS DIGITALES</v>
      </c>
      <c r="C602" s="6">
        <v>234000.41</v>
      </c>
      <c r="D602" s="5" t="s">
        <v>83</v>
      </c>
      <c r="E602" s="5" t="str">
        <f t="shared" si="23"/>
        <v>ACTISALUD-MEDICINA INTERNA- PISO 7</v>
      </c>
      <c r="F602" s="5"/>
      <c r="G602" s="5"/>
    </row>
    <row r="603" spans="1:7" ht="58.5" customHeight="1" x14ac:dyDescent="0.25">
      <c r="A603" s="5" t="str">
        <f>"H0027429"</f>
        <v>H0027429</v>
      </c>
      <c r="B603" s="5" t="str">
        <f t="shared" si="24"/>
        <v>LECTOR DE HUELLAS DIGITALES</v>
      </c>
      <c r="C603" s="6">
        <v>234000.41</v>
      </c>
      <c r="D603" s="5" t="s">
        <v>83</v>
      </c>
      <c r="E603" s="5" t="str">
        <f t="shared" si="23"/>
        <v>ACTISALUD-MEDICINA INTERNA- PISO 7</v>
      </c>
      <c r="F603" s="5"/>
      <c r="G603" s="5"/>
    </row>
    <row r="604" spans="1:7" ht="58.5" customHeight="1" x14ac:dyDescent="0.25">
      <c r="A604" s="5" t="str">
        <f>"H0027430"</f>
        <v>H0027430</v>
      </c>
      <c r="B604" s="5" t="str">
        <f t="shared" si="24"/>
        <v>LECTOR DE HUELLAS DIGITALES</v>
      </c>
      <c r="C604" s="6">
        <v>234000.41</v>
      </c>
      <c r="D604" s="5" t="s">
        <v>83</v>
      </c>
      <c r="E604" s="5" t="str">
        <f t="shared" si="23"/>
        <v>ACTISALUD-MEDICINA INTERNA- PISO 7</v>
      </c>
      <c r="F604" s="5"/>
      <c r="G604" s="5"/>
    </row>
    <row r="605" spans="1:7" ht="58.5" customHeight="1" x14ac:dyDescent="0.25">
      <c r="A605" s="5" t="str">
        <f>"H0027434"</f>
        <v>H0027434</v>
      </c>
      <c r="B605" s="5" t="str">
        <f t="shared" si="24"/>
        <v>LECTOR DE HUELLAS DIGITALES</v>
      </c>
      <c r="C605" s="6">
        <v>234000.41</v>
      </c>
      <c r="D605" s="5" t="s">
        <v>83</v>
      </c>
      <c r="E605" s="5" t="str">
        <f t="shared" si="23"/>
        <v>ACTISALUD-MEDICINA INTERNA- PISO 7</v>
      </c>
      <c r="F605" s="5"/>
      <c r="G605" s="5"/>
    </row>
    <row r="606" spans="1:7" ht="58.5" customHeight="1" x14ac:dyDescent="0.25">
      <c r="A606" s="5" t="str">
        <f>"H0027563"</f>
        <v>H0027563</v>
      </c>
      <c r="B606" s="5" t="str">
        <f t="shared" si="24"/>
        <v>LECTOR DE HUELLAS DIGITALES</v>
      </c>
      <c r="C606" s="6">
        <v>234000.41</v>
      </c>
      <c r="D606" s="5" t="s">
        <v>83</v>
      </c>
      <c r="E606" s="5" t="str">
        <f t="shared" si="23"/>
        <v>ACTISALUD-MEDICINA INTERNA- PISO 7</v>
      </c>
      <c r="F606" s="5"/>
      <c r="G606" s="5"/>
    </row>
    <row r="607" spans="1:7" ht="58.5" customHeight="1" x14ac:dyDescent="0.25">
      <c r="A607" s="5" t="str">
        <f>"H0027599"</f>
        <v>H0027599</v>
      </c>
      <c r="B607" s="5" t="str">
        <f>"LARINGOSCOPIO ADULTO"</f>
        <v>LARINGOSCOPIO ADULTO</v>
      </c>
      <c r="C607" s="6">
        <v>913920</v>
      </c>
      <c r="D607" s="5" t="s">
        <v>84</v>
      </c>
      <c r="E607" s="5" t="str">
        <f t="shared" si="23"/>
        <v>ACTISALUD-MEDICINA INTERNA- PISO 7</v>
      </c>
      <c r="F607" s="5"/>
      <c r="G607" s="5"/>
    </row>
    <row r="608" spans="1:7" ht="58.5" customHeight="1" x14ac:dyDescent="0.25">
      <c r="A608" s="5" t="str">
        <f>"H0027641"</f>
        <v>H0027641</v>
      </c>
      <c r="B608"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608" s="6">
        <v>2580000</v>
      </c>
      <c r="D608" s="5" t="s">
        <v>85</v>
      </c>
      <c r="E608" s="5" t="str">
        <f t="shared" si="23"/>
        <v>ACTISALUD-MEDICINA INTERNA- PISO 7</v>
      </c>
      <c r="F608" s="5"/>
      <c r="G608" s="5"/>
    </row>
    <row r="609" spans="1:7" ht="58.5" customHeight="1" x14ac:dyDescent="0.25">
      <c r="A609" s="5" t="str">
        <f>"H0028266"</f>
        <v>H0028266</v>
      </c>
      <c r="B609" s="5" t="str">
        <f>"AIRE ACONDICIONADO TIPO VENTANA 12000 BTU"</f>
        <v>AIRE ACONDICIONADO TIPO VENTANA 12000 BTU</v>
      </c>
      <c r="C609" s="6">
        <v>899000</v>
      </c>
      <c r="D609" s="5" t="s">
        <v>86</v>
      </c>
      <c r="E609" s="5" t="str">
        <f t="shared" si="23"/>
        <v>ACTISALUD-MEDICINA INTERNA- PISO 7</v>
      </c>
      <c r="F609" s="5"/>
      <c r="G609" s="5"/>
    </row>
    <row r="610" spans="1:7" ht="58.5" customHeight="1" x14ac:dyDescent="0.25">
      <c r="A610" s="5" t="str">
        <f>"H0028607"</f>
        <v>H0028607</v>
      </c>
      <c r="B610" s="5" t="str">
        <f>"MÓDULO WIRELESS (CON 1 SIRENA 45W Y BATERÍA)"</f>
        <v>MÓDULO WIRELESS (CON 1 SIRENA 45W Y BATERÍA)</v>
      </c>
      <c r="C610" s="6">
        <v>728280</v>
      </c>
      <c r="D610" s="5" t="s">
        <v>87</v>
      </c>
      <c r="E610" s="5" t="str">
        <f t="shared" si="23"/>
        <v>ACTISALUD-MEDICINA INTERNA- PISO 7</v>
      </c>
      <c r="F610" s="5"/>
      <c r="G610" s="5"/>
    </row>
    <row r="611" spans="1:7" ht="58.5" customHeight="1" x14ac:dyDescent="0.25">
      <c r="A611" s="5" t="str">
        <f>"H0028619"</f>
        <v>H0028619</v>
      </c>
      <c r="B611" s="5" t="str">
        <f>"BALIZA ROTATIVA WIRELESS LUZ EMERGENCIA"</f>
        <v>BALIZA ROTATIVA WIRELESS LUZ EMERGENCIA</v>
      </c>
      <c r="C611" s="6">
        <v>238000</v>
      </c>
      <c r="D611" s="5" t="s">
        <v>87</v>
      </c>
      <c r="E611" s="5" t="str">
        <f t="shared" si="23"/>
        <v>ACTISALUD-MEDICINA INTERNA- PISO 7</v>
      </c>
      <c r="F611" s="5"/>
      <c r="G611" s="5"/>
    </row>
    <row r="612" spans="1:7" ht="58.5" customHeight="1" x14ac:dyDescent="0.25">
      <c r="A612" s="5" t="str">
        <f>"H0028631"</f>
        <v>H0028631</v>
      </c>
      <c r="B612" s="5" t="str">
        <f>"BOTÓN DE EMERGENCIA PÁNICO SOS FIJO WIRELESS"</f>
        <v>BOTÓN DE EMERGENCIA PÁNICO SOS FIJO WIRELESS</v>
      </c>
      <c r="C612" s="6">
        <v>297500</v>
      </c>
      <c r="D612" s="5" t="s">
        <v>87</v>
      </c>
      <c r="E612" s="5" t="str">
        <f t="shared" si="23"/>
        <v>ACTISALUD-MEDICINA INTERNA- PISO 7</v>
      </c>
      <c r="F612" s="5"/>
      <c r="G612" s="5"/>
    </row>
    <row r="613" spans="1:7" ht="58.5" customHeight="1" x14ac:dyDescent="0.25">
      <c r="A613" s="5" t="str">
        <f>"H0028641"</f>
        <v>H0028641</v>
      </c>
      <c r="B613" s="5" t="str">
        <f>"BOTÓN DE EMERGENCIA PÁNICO SOS FIJO WIRELESS"</f>
        <v>BOTÓN DE EMERGENCIA PÁNICO SOS FIJO WIRELESS</v>
      </c>
      <c r="C613" s="6">
        <v>297500</v>
      </c>
      <c r="D613" s="5" t="s">
        <v>87</v>
      </c>
      <c r="E613" s="5" t="str">
        <f t="shared" si="23"/>
        <v>ACTISALUD-MEDICINA INTERNA- PISO 7</v>
      </c>
      <c r="F613" s="5"/>
      <c r="G613" s="5"/>
    </row>
    <row r="614" spans="1:7" ht="58.5" customHeight="1" x14ac:dyDescent="0.25">
      <c r="A614" s="5" t="str">
        <f>"H0028642"</f>
        <v>H0028642</v>
      </c>
      <c r="B614" s="5" t="str">
        <f>"BOTÓN DE EMERGENCIA PÁNICO SOS FIJO WIRELESS"</f>
        <v>BOTÓN DE EMERGENCIA PÁNICO SOS FIJO WIRELESS</v>
      </c>
      <c r="C614" s="6">
        <v>297500</v>
      </c>
      <c r="D614" s="5" t="s">
        <v>87</v>
      </c>
      <c r="E614" s="5" t="str">
        <f t="shared" si="23"/>
        <v>ACTISALUD-MEDICINA INTERNA- PISO 7</v>
      </c>
      <c r="F614" s="5"/>
      <c r="G614" s="5"/>
    </row>
    <row r="615" spans="1:7" ht="58.5" customHeight="1" x14ac:dyDescent="0.25">
      <c r="A615" s="5" t="str">
        <f>"H0028643"</f>
        <v>H0028643</v>
      </c>
      <c r="B615" s="5" t="str">
        <f>"BOTÓN DE EMERGENCIA PÁNICO SOS FIJO WIRELESS"</f>
        <v>BOTÓN DE EMERGENCIA PÁNICO SOS FIJO WIRELESS</v>
      </c>
      <c r="C615" s="6">
        <v>297500</v>
      </c>
      <c r="D615" s="5" t="s">
        <v>87</v>
      </c>
      <c r="E615" s="5" t="str">
        <f t="shared" si="23"/>
        <v>ACTISALUD-MEDICINA INTERNA- PISO 7</v>
      </c>
      <c r="F615" s="5"/>
      <c r="G615" s="5"/>
    </row>
    <row r="616" spans="1:7" ht="58.5" customHeight="1" x14ac:dyDescent="0.25">
      <c r="A616" s="5" t="str">
        <f>"H0028665"</f>
        <v>H0028665</v>
      </c>
      <c r="B616" s="5" t="str">
        <f>"BOTÓN DE EMERGENCIA PÁNICO SOS MÓVIL WIRELESS"</f>
        <v>BOTÓN DE EMERGENCIA PÁNICO SOS MÓVIL WIRELESS</v>
      </c>
      <c r="C616" s="6">
        <v>47600</v>
      </c>
      <c r="D616" s="5" t="s">
        <v>87</v>
      </c>
      <c r="E616" s="5" t="str">
        <f t="shared" si="23"/>
        <v>ACTISALUD-MEDICINA INTERNA- PISO 7</v>
      </c>
      <c r="F616" s="5"/>
      <c r="G616" s="5"/>
    </row>
    <row r="617" spans="1:7" ht="58.5" customHeight="1" x14ac:dyDescent="0.25">
      <c r="A617" s="5" t="str">
        <f>"H0028672"</f>
        <v>H0028672</v>
      </c>
      <c r="B617" s="5" t="str">
        <f>"BOTÓN DE EMERGENCIA PÁNICO SOS MÓVIL WIRELESS"</f>
        <v>BOTÓN DE EMERGENCIA PÁNICO SOS MÓVIL WIRELESS</v>
      </c>
      <c r="C617" s="6">
        <v>47600</v>
      </c>
      <c r="D617" s="5" t="s">
        <v>87</v>
      </c>
      <c r="E617" s="5" t="str">
        <f t="shared" si="23"/>
        <v>ACTISALUD-MEDICINA INTERNA- PISO 7</v>
      </c>
      <c r="F617" s="5"/>
      <c r="G617" s="5"/>
    </row>
    <row r="618" spans="1:7" ht="58.5" customHeight="1" x14ac:dyDescent="0.25">
      <c r="A618" s="5" t="str">
        <f>"H0028673"</f>
        <v>H0028673</v>
      </c>
      <c r="B618" s="5" t="str">
        <f>"BOTÓN DE EMERGENCIA PÁNICO SOS MÓVIL WIRELESS"</f>
        <v>BOTÓN DE EMERGENCIA PÁNICO SOS MÓVIL WIRELESS</v>
      </c>
      <c r="C618" s="6">
        <v>47600</v>
      </c>
      <c r="D618" s="5" t="s">
        <v>87</v>
      </c>
      <c r="E618" s="5" t="str">
        <f t="shared" si="23"/>
        <v>ACTISALUD-MEDICINA INTERNA- PISO 7</v>
      </c>
      <c r="F618" s="5"/>
      <c r="G618" s="5"/>
    </row>
    <row r="619" spans="1:7" ht="58.5" customHeight="1" x14ac:dyDescent="0.25">
      <c r="A619" s="5" t="str">
        <f>"H0028693"</f>
        <v>H0028693</v>
      </c>
      <c r="B619" s="5" t="str">
        <f t="shared" ref="B619:B624" si="25">"LÁMPARA RECARGABLE DE EMERGENCIA 60 BOMBILLOS LED LUZ BLANCA"</f>
        <v>LÁMPARA RECARGABLE DE EMERGENCIA 60 BOMBILLOS LED LUZ BLANCA</v>
      </c>
      <c r="C619" s="6">
        <v>255850</v>
      </c>
      <c r="D619" s="5" t="s">
        <v>87</v>
      </c>
      <c r="E619" s="5" t="str">
        <f t="shared" si="23"/>
        <v>ACTISALUD-MEDICINA INTERNA- PISO 7</v>
      </c>
      <c r="F619" s="5"/>
      <c r="G619" s="5"/>
    </row>
    <row r="620" spans="1:7" ht="58.5" customHeight="1" x14ac:dyDescent="0.25">
      <c r="A620" s="5" t="str">
        <f>"H0028694"</f>
        <v>H0028694</v>
      </c>
      <c r="B620" s="5" t="str">
        <f t="shared" si="25"/>
        <v>LÁMPARA RECARGABLE DE EMERGENCIA 60 BOMBILLOS LED LUZ BLANCA</v>
      </c>
      <c r="C620" s="6">
        <v>255850</v>
      </c>
      <c r="D620" s="5" t="s">
        <v>87</v>
      </c>
      <c r="E620" s="5" t="str">
        <f t="shared" si="23"/>
        <v>ACTISALUD-MEDICINA INTERNA- PISO 7</v>
      </c>
      <c r="F620" s="5"/>
      <c r="G620" s="5"/>
    </row>
    <row r="621" spans="1:7" ht="58.5" customHeight="1" x14ac:dyDescent="0.25">
      <c r="A621" s="5" t="str">
        <f>"H0028707"</f>
        <v>H0028707</v>
      </c>
      <c r="B621" s="5" t="str">
        <f t="shared" si="25"/>
        <v>LÁMPARA RECARGABLE DE EMERGENCIA 60 BOMBILLOS LED LUZ BLANCA</v>
      </c>
      <c r="C621" s="6">
        <v>255850</v>
      </c>
      <c r="D621" s="5" t="s">
        <v>87</v>
      </c>
      <c r="E621" s="5" t="str">
        <f t="shared" si="23"/>
        <v>ACTISALUD-MEDICINA INTERNA- PISO 7</v>
      </c>
      <c r="F621" s="5"/>
      <c r="G621" s="5"/>
    </row>
    <row r="622" spans="1:7" ht="58.5" customHeight="1" x14ac:dyDescent="0.25">
      <c r="A622" s="5" t="str">
        <f>"H0028708"</f>
        <v>H0028708</v>
      </c>
      <c r="B622" s="5" t="str">
        <f t="shared" si="25"/>
        <v>LÁMPARA RECARGABLE DE EMERGENCIA 60 BOMBILLOS LED LUZ BLANCA</v>
      </c>
      <c r="C622" s="6">
        <v>255850</v>
      </c>
      <c r="D622" s="5" t="s">
        <v>87</v>
      </c>
      <c r="E622" s="5" t="str">
        <f t="shared" si="23"/>
        <v>ACTISALUD-MEDICINA INTERNA- PISO 7</v>
      </c>
      <c r="F622" s="5"/>
      <c r="G622" s="5"/>
    </row>
    <row r="623" spans="1:7" ht="58.5" customHeight="1" x14ac:dyDescent="0.25">
      <c r="A623" s="5" t="str">
        <f>"H0028709"</f>
        <v>H0028709</v>
      </c>
      <c r="B623" s="5" t="str">
        <f t="shared" si="25"/>
        <v>LÁMPARA RECARGABLE DE EMERGENCIA 60 BOMBILLOS LED LUZ BLANCA</v>
      </c>
      <c r="C623" s="6">
        <v>255850</v>
      </c>
      <c r="D623" s="5" t="s">
        <v>87</v>
      </c>
      <c r="E623" s="5" t="str">
        <f t="shared" si="23"/>
        <v>ACTISALUD-MEDICINA INTERNA- PISO 7</v>
      </c>
      <c r="F623" s="5"/>
      <c r="G623" s="5"/>
    </row>
    <row r="624" spans="1:7" ht="58.5" customHeight="1" x14ac:dyDescent="0.25">
      <c r="A624" s="5" t="str">
        <f>"H0028710"</f>
        <v>H0028710</v>
      </c>
      <c r="B624" s="5" t="str">
        <f t="shared" si="25"/>
        <v>LÁMPARA RECARGABLE DE EMERGENCIA 60 BOMBILLOS LED LUZ BLANCA</v>
      </c>
      <c r="C624" s="6">
        <v>255850</v>
      </c>
      <c r="D624" s="5" t="s">
        <v>87</v>
      </c>
      <c r="E624" s="5" t="str">
        <f t="shared" si="23"/>
        <v>ACTISALUD-MEDICINA INTERNA- PISO 7</v>
      </c>
      <c r="F624" s="5"/>
      <c r="G624" s="5"/>
    </row>
    <row r="625" spans="1:7" ht="58.5" customHeight="1" x14ac:dyDescent="0.25">
      <c r="A625" s="5" t="str">
        <f>"H0028855"</f>
        <v>H0028855</v>
      </c>
      <c r="B625" s="5" t="str">
        <f t="shared" ref="B625:B630" si="26">"SILLA HERGONOMICA CON SISTEMA HIDRAULICO"</f>
        <v>SILLA HERGONOMICA CON SISTEMA HIDRAULICO</v>
      </c>
      <c r="C625" s="6">
        <v>174900</v>
      </c>
      <c r="D625" s="5" t="s">
        <v>40</v>
      </c>
      <c r="E625" s="5" t="str">
        <f t="shared" si="23"/>
        <v>ACTISALUD-MEDICINA INTERNA- PISO 7</v>
      </c>
      <c r="F625" s="5"/>
      <c r="G625" s="5"/>
    </row>
    <row r="626" spans="1:7" ht="58.5" customHeight="1" x14ac:dyDescent="0.25">
      <c r="A626" s="5" t="str">
        <f>"H0028856"</f>
        <v>H0028856</v>
      </c>
      <c r="B626" s="5" t="str">
        <f t="shared" si="26"/>
        <v>SILLA HERGONOMICA CON SISTEMA HIDRAULICO</v>
      </c>
      <c r="C626" s="6">
        <v>174900</v>
      </c>
      <c r="D626" s="5" t="s">
        <v>40</v>
      </c>
      <c r="E626" s="5" t="str">
        <f t="shared" si="23"/>
        <v>ACTISALUD-MEDICINA INTERNA- PISO 7</v>
      </c>
      <c r="F626" s="5"/>
      <c r="G626" s="5"/>
    </row>
    <row r="627" spans="1:7" ht="58.5" customHeight="1" x14ac:dyDescent="0.25">
      <c r="A627" s="5" t="str">
        <f>"H0028857"</f>
        <v>H0028857</v>
      </c>
      <c r="B627" s="5" t="str">
        <f t="shared" si="26"/>
        <v>SILLA HERGONOMICA CON SISTEMA HIDRAULICO</v>
      </c>
      <c r="C627" s="6">
        <v>174900</v>
      </c>
      <c r="D627" s="5" t="s">
        <v>40</v>
      </c>
      <c r="E627" s="5" t="str">
        <f t="shared" si="23"/>
        <v>ACTISALUD-MEDICINA INTERNA- PISO 7</v>
      </c>
      <c r="F627" s="5"/>
      <c r="G627" s="5"/>
    </row>
    <row r="628" spans="1:7" ht="58.5" customHeight="1" x14ac:dyDescent="0.25">
      <c r="A628" s="5" t="str">
        <f>"H0028860"</f>
        <v>H0028860</v>
      </c>
      <c r="B628" s="5" t="str">
        <f t="shared" si="26"/>
        <v>SILLA HERGONOMICA CON SISTEMA HIDRAULICO</v>
      </c>
      <c r="C628" s="6">
        <v>174900</v>
      </c>
      <c r="D628" s="5" t="s">
        <v>40</v>
      </c>
      <c r="E628" s="5" t="str">
        <f t="shared" si="23"/>
        <v>ACTISALUD-MEDICINA INTERNA- PISO 7</v>
      </c>
      <c r="F628" s="5"/>
      <c r="G628" s="5"/>
    </row>
    <row r="629" spans="1:7" ht="58.5" customHeight="1" x14ac:dyDescent="0.25">
      <c r="A629" s="5" t="str">
        <f>"H0028862"</f>
        <v>H0028862</v>
      </c>
      <c r="B629" s="5" t="str">
        <f t="shared" si="26"/>
        <v>SILLA HERGONOMICA CON SISTEMA HIDRAULICO</v>
      </c>
      <c r="C629" s="6">
        <v>174900</v>
      </c>
      <c r="D629" s="5" t="s">
        <v>40</v>
      </c>
      <c r="E629" s="5" t="str">
        <f t="shared" si="23"/>
        <v>ACTISALUD-MEDICINA INTERNA- PISO 7</v>
      </c>
      <c r="F629" s="5"/>
      <c r="G629" s="5"/>
    </row>
    <row r="630" spans="1:7" ht="58.5" customHeight="1" x14ac:dyDescent="0.25">
      <c r="A630" s="5" t="str">
        <f>"H0028965"</f>
        <v>H0028965</v>
      </c>
      <c r="B630" s="5" t="str">
        <f t="shared" si="26"/>
        <v>SILLA HERGONOMICA CON SISTEMA HIDRAULICO</v>
      </c>
      <c r="C630" s="6">
        <v>174900</v>
      </c>
      <c r="D630" s="5" t="s">
        <v>40</v>
      </c>
      <c r="E630" s="5" t="str">
        <f t="shared" si="23"/>
        <v>ACTISALUD-MEDICINA INTERNA- PISO 7</v>
      </c>
      <c r="F630" s="5"/>
      <c r="G630" s="5"/>
    </row>
    <row r="631" spans="1:7" ht="58.5" customHeight="1" x14ac:dyDescent="0.25">
      <c r="A631" s="5" t="str">
        <f>"H0029048"</f>
        <v>H0029048</v>
      </c>
      <c r="B631" s="5" t="str">
        <f>"SOPORTE PEDESTAL METALICO ELECTROCARDIOGRAFO COMPATIBLE CON EDAN OTRAS MARCAS"</f>
        <v>SOPORTE PEDESTAL METALICO ELECTROCARDIOGRAFO COMPATIBLE CON EDAN OTRAS MARCAS</v>
      </c>
      <c r="C631" s="6">
        <v>730303</v>
      </c>
      <c r="D631" s="5" t="s">
        <v>88</v>
      </c>
      <c r="E631" s="5" t="str">
        <f t="shared" si="23"/>
        <v>ACTISALUD-MEDICINA INTERNA- PISO 7</v>
      </c>
      <c r="F631" s="5"/>
      <c r="G631" s="5"/>
    </row>
    <row r="632" spans="1:7" ht="58.5" customHeight="1" x14ac:dyDescent="0.25">
      <c r="A632" s="5" t="str">
        <f>"H0029382"</f>
        <v>H0029382</v>
      </c>
      <c r="B632" s="5" t="str">
        <f>"SILLA HERGONOMICA CON SISTEMA HIDRAULICO"</f>
        <v>SILLA HERGONOMICA CON SISTEMA HIDRAULICO</v>
      </c>
      <c r="C632" s="6">
        <v>174900</v>
      </c>
      <c r="D632" s="5" t="s">
        <v>89</v>
      </c>
      <c r="E632" s="5" t="str">
        <f t="shared" si="23"/>
        <v>ACTISALUD-MEDICINA INTERNA- PISO 7</v>
      </c>
      <c r="F632" s="5"/>
      <c r="G632" s="5"/>
    </row>
    <row r="633" spans="1:7" ht="58.5" customHeight="1" x14ac:dyDescent="0.25">
      <c r="A633" s="5" t="str">
        <f>"H0029383"</f>
        <v>H0029383</v>
      </c>
      <c r="B633" s="5" t="str">
        <f>"SILLA HERGONOMICA CON SISTEMA HIDRAULICO"</f>
        <v>SILLA HERGONOMICA CON SISTEMA HIDRAULICO</v>
      </c>
      <c r="C633" s="6">
        <v>174900</v>
      </c>
      <c r="D633" s="5" t="s">
        <v>89</v>
      </c>
      <c r="E633" s="5" t="str">
        <f t="shared" si="23"/>
        <v>ACTISALUD-MEDICINA INTERNA- PISO 7</v>
      </c>
      <c r="F633" s="5"/>
      <c r="G633" s="5"/>
    </row>
    <row r="634" spans="1:7" ht="58.5" customHeight="1" x14ac:dyDescent="0.25">
      <c r="A634" s="5" t="str">
        <f>"H0029387"</f>
        <v>H0029387</v>
      </c>
      <c r="B634" s="5" t="str">
        <f>"SILLA HERGONOMICA CON SISTEMA HIDRAULICO"</f>
        <v>SILLA HERGONOMICA CON SISTEMA HIDRAULICO</v>
      </c>
      <c r="C634" s="6">
        <v>174900</v>
      </c>
      <c r="D634" s="5" t="s">
        <v>89</v>
      </c>
      <c r="E634" s="5" t="str">
        <f t="shared" si="23"/>
        <v>ACTISALUD-MEDICINA INTERNA- PISO 7</v>
      </c>
      <c r="F634" s="5"/>
      <c r="G634" s="5"/>
    </row>
    <row r="635" spans="1:7" ht="58.5" customHeight="1" x14ac:dyDescent="0.25">
      <c r="A635" s="5" t="str">
        <f>"H0029437"</f>
        <v>H0029437</v>
      </c>
      <c r="B635" s="5" t="str">
        <f t="shared" ref="B635:B651" si="27">"SILLA DE DESCANSO"</f>
        <v>SILLA DE DESCANSO</v>
      </c>
      <c r="C635" s="6">
        <v>96143.82</v>
      </c>
      <c r="D635" s="5" t="s">
        <v>90</v>
      </c>
      <c r="E635" s="5" t="str">
        <f t="shared" si="23"/>
        <v>ACTISALUD-MEDICINA INTERNA- PISO 7</v>
      </c>
      <c r="F635" s="5"/>
      <c r="G635" s="5"/>
    </row>
    <row r="636" spans="1:7" ht="58.5" customHeight="1" x14ac:dyDescent="0.25">
      <c r="A636" s="5" t="str">
        <f>"H0029438"</f>
        <v>H0029438</v>
      </c>
      <c r="B636" s="5" t="str">
        <f t="shared" si="27"/>
        <v>SILLA DE DESCANSO</v>
      </c>
      <c r="C636" s="6">
        <v>96143.82</v>
      </c>
      <c r="D636" s="5" t="s">
        <v>90</v>
      </c>
      <c r="E636" s="5" t="str">
        <f t="shared" si="23"/>
        <v>ACTISALUD-MEDICINA INTERNA- PISO 7</v>
      </c>
      <c r="F636" s="5"/>
      <c r="G636" s="5"/>
    </row>
    <row r="637" spans="1:7" ht="58.5" customHeight="1" x14ac:dyDescent="0.25">
      <c r="A637" s="5" t="str">
        <f>"H0029439"</f>
        <v>H0029439</v>
      </c>
      <c r="B637" s="5" t="str">
        <f t="shared" si="27"/>
        <v>SILLA DE DESCANSO</v>
      </c>
      <c r="C637" s="6">
        <v>96143.82</v>
      </c>
      <c r="D637" s="5" t="s">
        <v>90</v>
      </c>
      <c r="E637" s="5" t="str">
        <f t="shared" si="23"/>
        <v>ACTISALUD-MEDICINA INTERNA- PISO 7</v>
      </c>
      <c r="F637" s="5"/>
      <c r="G637" s="5"/>
    </row>
    <row r="638" spans="1:7" ht="58.5" customHeight="1" x14ac:dyDescent="0.25">
      <c r="A638" s="5" t="str">
        <f>"H0029440"</f>
        <v>H0029440</v>
      </c>
      <c r="B638" s="5" t="str">
        <f t="shared" si="27"/>
        <v>SILLA DE DESCANSO</v>
      </c>
      <c r="C638" s="6">
        <v>96143.82</v>
      </c>
      <c r="D638" s="5" t="s">
        <v>90</v>
      </c>
      <c r="E638" s="5" t="str">
        <f t="shared" si="23"/>
        <v>ACTISALUD-MEDICINA INTERNA- PISO 7</v>
      </c>
      <c r="F638" s="5"/>
      <c r="G638" s="5"/>
    </row>
    <row r="639" spans="1:7" ht="58.5" customHeight="1" x14ac:dyDescent="0.25">
      <c r="A639" s="5" t="str">
        <f>"H0029441"</f>
        <v>H0029441</v>
      </c>
      <c r="B639" s="5" t="str">
        <f t="shared" si="27"/>
        <v>SILLA DE DESCANSO</v>
      </c>
      <c r="C639" s="6">
        <v>96143.82</v>
      </c>
      <c r="D639" s="5" t="s">
        <v>90</v>
      </c>
      <c r="E639" s="5" t="str">
        <f t="shared" si="23"/>
        <v>ACTISALUD-MEDICINA INTERNA- PISO 7</v>
      </c>
      <c r="F639" s="5"/>
      <c r="G639" s="5"/>
    </row>
    <row r="640" spans="1:7" ht="58.5" customHeight="1" x14ac:dyDescent="0.25">
      <c r="A640" s="5" t="str">
        <f>"H0029442"</f>
        <v>H0029442</v>
      </c>
      <c r="B640" s="5" t="str">
        <f t="shared" si="27"/>
        <v>SILLA DE DESCANSO</v>
      </c>
      <c r="C640" s="6">
        <v>96143.82</v>
      </c>
      <c r="D640" s="5" t="s">
        <v>90</v>
      </c>
      <c r="E640" s="5" t="str">
        <f t="shared" si="23"/>
        <v>ACTISALUD-MEDICINA INTERNA- PISO 7</v>
      </c>
      <c r="F640" s="5"/>
      <c r="G640" s="5"/>
    </row>
    <row r="641" spans="1:7" ht="58.5" customHeight="1" x14ac:dyDescent="0.25">
      <c r="A641" s="5" t="str">
        <f>"H0029443"</f>
        <v>H0029443</v>
      </c>
      <c r="B641" s="5" t="str">
        <f t="shared" si="27"/>
        <v>SILLA DE DESCANSO</v>
      </c>
      <c r="C641" s="6">
        <v>96143.82</v>
      </c>
      <c r="D641" s="5" t="s">
        <v>90</v>
      </c>
      <c r="E641" s="5" t="str">
        <f t="shared" si="23"/>
        <v>ACTISALUD-MEDICINA INTERNA- PISO 7</v>
      </c>
      <c r="F641" s="5"/>
      <c r="G641" s="5"/>
    </row>
    <row r="642" spans="1:7" ht="58.5" customHeight="1" x14ac:dyDescent="0.25">
      <c r="A642" s="5" t="str">
        <f>"H0029444"</f>
        <v>H0029444</v>
      </c>
      <c r="B642" s="5" t="str">
        <f t="shared" si="27"/>
        <v>SILLA DE DESCANSO</v>
      </c>
      <c r="C642" s="6">
        <v>96143.82</v>
      </c>
      <c r="D642" s="5" t="s">
        <v>90</v>
      </c>
      <c r="E642" s="5" t="str">
        <f t="shared" si="23"/>
        <v>ACTISALUD-MEDICINA INTERNA- PISO 7</v>
      </c>
      <c r="F642" s="5"/>
      <c r="G642" s="5"/>
    </row>
    <row r="643" spans="1:7" ht="58.5" customHeight="1" x14ac:dyDescent="0.25">
      <c r="A643" s="5" t="str">
        <f>"H0029445"</f>
        <v>H0029445</v>
      </c>
      <c r="B643" s="5" t="str">
        <f t="shared" si="27"/>
        <v>SILLA DE DESCANSO</v>
      </c>
      <c r="C643" s="6">
        <v>96143.82</v>
      </c>
      <c r="D643" s="5" t="s">
        <v>90</v>
      </c>
      <c r="E643" s="5" t="str">
        <f t="shared" si="23"/>
        <v>ACTISALUD-MEDICINA INTERNA- PISO 7</v>
      </c>
      <c r="F643" s="5"/>
      <c r="G643" s="5"/>
    </row>
    <row r="644" spans="1:7" ht="58.5" customHeight="1" x14ac:dyDescent="0.25">
      <c r="A644" s="5" t="str">
        <f>"H0029446"</f>
        <v>H0029446</v>
      </c>
      <c r="B644" s="5" t="str">
        <f t="shared" si="27"/>
        <v>SILLA DE DESCANSO</v>
      </c>
      <c r="C644" s="6">
        <v>96143.82</v>
      </c>
      <c r="D644" s="5" t="s">
        <v>90</v>
      </c>
      <c r="E644" s="5" t="str">
        <f t="shared" si="23"/>
        <v>ACTISALUD-MEDICINA INTERNA- PISO 7</v>
      </c>
      <c r="F644" s="5"/>
      <c r="G644" s="5"/>
    </row>
    <row r="645" spans="1:7" ht="58.5" customHeight="1" x14ac:dyDescent="0.25">
      <c r="A645" s="5" t="str">
        <f>"H0029447"</f>
        <v>H0029447</v>
      </c>
      <c r="B645" s="5" t="str">
        <f t="shared" si="27"/>
        <v>SILLA DE DESCANSO</v>
      </c>
      <c r="C645" s="6">
        <v>96143.82</v>
      </c>
      <c r="D645" s="5" t="s">
        <v>90</v>
      </c>
      <c r="E645" s="5" t="str">
        <f t="shared" si="23"/>
        <v>ACTISALUD-MEDICINA INTERNA- PISO 7</v>
      </c>
      <c r="F645" s="5"/>
      <c r="G645" s="5"/>
    </row>
    <row r="646" spans="1:7" ht="58.5" customHeight="1" x14ac:dyDescent="0.25">
      <c r="A646" s="5" t="str">
        <f>"H0029448"</f>
        <v>H0029448</v>
      </c>
      <c r="B646" s="5" t="str">
        <f t="shared" si="27"/>
        <v>SILLA DE DESCANSO</v>
      </c>
      <c r="C646" s="6">
        <v>96143.82</v>
      </c>
      <c r="D646" s="5" t="s">
        <v>90</v>
      </c>
      <c r="E646" s="5" t="str">
        <f t="shared" si="23"/>
        <v>ACTISALUD-MEDICINA INTERNA- PISO 7</v>
      </c>
      <c r="F646" s="5"/>
      <c r="G646" s="5"/>
    </row>
    <row r="647" spans="1:7" ht="58.5" customHeight="1" x14ac:dyDescent="0.25">
      <c r="A647" s="5" t="str">
        <f>"H0029449"</f>
        <v>H0029449</v>
      </c>
      <c r="B647" s="5" t="str">
        <f t="shared" si="27"/>
        <v>SILLA DE DESCANSO</v>
      </c>
      <c r="C647" s="6">
        <v>96143.82</v>
      </c>
      <c r="D647" s="5" t="s">
        <v>90</v>
      </c>
      <c r="E647" s="5" t="str">
        <f t="shared" si="23"/>
        <v>ACTISALUD-MEDICINA INTERNA- PISO 7</v>
      </c>
      <c r="F647" s="5"/>
      <c r="G647" s="5"/>
    </row>
    <row r="648" spans="1:7" ht="58.5" customHeight="1" x14ac:dyDescent="0.25">
      <c r="A648" s="5" t="str">
        <f>"H0029450"</f>
        <v>H0029450</v>
      </c>
      <c r="B648" s="5" t="str">
        <f t="shared" si="27"/>
        <v>SILLA DE DESCANSO</v>
      </c>
      <c r="C648" s="6">
        <v>96143.82</v>
      </c>
      <c r="D648" s="5" t="s">
        <v>90</v>
      </c>
      <c r="E648" s="5" t="str">
        <f t="shared" si="23"/>
        <v>ACTISALUD-MEDICINA INTERNA- PISO 7</v>
      </c>
      <c r="F648" s="5"/>
      <c r="G648" s="5"/>
    </row>
    <row r="649" spans="1:7" ht="58.5" customHeight="1" x14ac:dyDescent="0.25">
      <c r="A649" s="5" t="str">
        <f>"H0029451"</f>
        <v>H0029451</v>
      </c>
      <c r="B649" s="5" t="str">
        <f t="shared" si="27"/>
        <v>SILLA DE DESCANSO</v>
      </c>
      <c r="C649" s="6">
        <v>96143.82</v>
      </c>
      <c r="D649" s="5" t="s">
        <v>90</v>
      </c>
      <c r="E649" s="5" t="str">
        <f t="shared" si="23"/>
        <v>ACTISALUD-MEDICINA INTERNA- PISO 7</v>
      </c>
      <c r="F649" s="5"/>
      <c r="G649" s="5"/>
    </row>
    <row r="650" spans="1:7" ht="58.5" customHeight="1" x14ac:dyDescent="0.25">
      <c r="A650" s="5" t="str">
        <f>"H0029452"</f>
        <v>H0029452</v>
      </c>
      <c r="B650" s="5" t="str">
        <f t="shared" si="27"/>
        <v>SILLA DE DESCANSO</v>
      </c>
      <c r="C650" s="6">
        <v>96143.82</v>
      </c>
      <c r="D650" s="5" t="s">
        <v>90</v>
      </c>
      <c r="E650" s="5" t="str">
        <f t="shared" si="23"/>
        <v>ACTISALUD-MEDICINA INTERNA- PISO 7</v>
      </c>
      <c r="F650" s="5"/>
      <c r="G650" s="5"/>
    </row>
    <row r="651" spans="1:7" ht="58.5" customHeight="1" x14ac:dyDescent="0.25">
      <c r="A651" s="5" t="str">
        <f>"H0029453"</f>
        <v>H0029453</v>
      </c>
      <c r="B651" s="5" t="str">
        <f t="shared" si="27"/>
        <v>SILLA DE DESCANSO</v>
      </c>
      <c r="C651" s="6">
        <v>155000</v>
      </c>
      <c r="D651" s="5" t="s">
        <v>91</v>
      </c>
      <c r="E651" s="5" t="str">
        <f t="shared" si="23"/>
        <v>ACTISALUD-MEDICINA INTERNA- PISO 7</v>
      </c>
      <c r="F651" s="5"/>
      <c r="G651" s="5"/>
    </row>
    <row r="652" spans="1:7" ht="58.5" customHeight="1" x14ac:dyDescent="0.25">
      <c r="A652" s="5" t="str">
        <f>"H0029546"</f>
        <v>H0029546</v>
      </c>
      <c r="B652" s="5" t="str">
        <f>"TELEVISOR TRC 21"</f>
        <v>TELEVISOR TRC 21</v>
      </c>
      <c r="C652" s="6">
        <v>300000</v>
      </c>
      <c r="D652" s="5" t="s">
        <v>92</v>
      </c>
      <c r="E652" s="5" t="str">
        <f t="shared" si="23"/>
        <v>ACTISALUD-MEDICINA INTERNA- PISO 7</v>
      </c>
      <c r="F652" s="5"/>
      <c r="G652" s="5"/>
    </row>
    <row r="653" spans="1:7" ht="58.5" customHeight="1" x14ac:dyDescent="0.25">
      <c r="A653" s="5" t="str">
        <f>"H0029648"</f>
        <v>H0029648</v>
      </c>
      <c r="B653" s="5" t="s">
        <v>94</v>
      </c>
      <c r="C653" s="6">
        <v>148999.9</v>
      </c>
      <c r="D653" s="5" t="s">
        <v>93</v>
      </c>
      <c r="E653" s="5" t="str">
        <f t="shared" si="23"/>
        <v>ACTISALUD-MEDICINA INTERNA- PISO 7</v>
      </c>
      <c r="F653" s="5"/>
      <c r="G653" s="5"/>
    </row>
    <row r="654" spans="1:7" ht="58.5" customHeight="1" x14ac:dyDescent="0.25">
      <c r="A654" s="5" t="str">
        <f>"H0029653"</f>
        <v>H0029653</v>
      </c>
      <c r="B654" s="5" t="s">
        <v>94</v>
      </c>
      <c r="C654" s="6">
        <v>148999.9</v>
      </c>
      <c r="D654" s="5" t="s">
        <v>93</v>
      </c>
      <c r="E654" s="5" t="str">
        <f t="shared" ref="E654:E717" si="28">"ACTISALUD-MEDICINA INTERNA- PISO 7"</f>
        <v>ACTISALUD-MEDICINA INTERNA- PISO 7</v>
      </c>
      <c r="F654" s="5"/>
      <c r="G654" s="5"/>
    </row>
    <row r="655" spans="1:7" ht="58.5" customHeight="1" x14ac:dyDescent="0.25">
      <c r="A655" s="5" t="str">
        <f>"H0029654"</f>
        <v>H0029654</v>
      </c>
      <c r="B655" s="5" t="s">
        <v>94</v>
      </c>
      <c r="C655" s="6">
        <v>148999.9</v>
      </c>
      <c r="D655" s="5" t="s">
        <v>93</v>
      </c>
      <c r="E655" s="5" t="str">
        <f t="shared" si="28"/>
        <v>ACTISALUD-MEDICINA INTERNA- PISO 7</v>
      </c>
      <c r="F655" s="5"/>
      <c r="G655" s="5"/>
    </row>
    <row r="656" spans="1:7" ht="58.5" customHeight="1" x14ac:dyDescent="0.25">
      <c r="A656" s="5" t="str">
        <f>"H0029656"</f>
        <v>H0029656</v>
      </c>
      <c r="B656" s="5" t="s">
        <v>94</v>
      </c>
      <c r="C656" s="6">
        <v>148999.9</v>
      </c>
      <c r="D656" s="5" t="s">
        <v>95</v>
      </c>
      <c r="E656" s="5" t="str">
        <f t="shared" si="28"/>
        <v>ACTISALUD-MEDICINA INTERNA- PISO 7</v>
      </c>
      <c r="F656" s="5"/>
      <c r="G656" s="5"/>
    </row>
    <row r="657" spans="1:7" ht="58.5" customHeight="1" x14ac:dyDescent="0.25">
      <c r="A657" s="5" t="str">
        <f>"H0029657"</f>
        <v>H0029657</v>
      </c>
      <c r="B657" s="5" t="s">
        <v>94</v>
      </c>
      <c r="C657" s="6">
        <v>148999.9</v>
      </c>
      <c r="D657" s="5" t="s">
        <v>93</v>
      </c>
      <c r="E657" s="5" t="str">
        <f t="shared" si="28"/>
        <v>ACTISALUD-MEDICINA INTERNA- PISO 7</v>
      </c>
      <c r="F657" s="5"/>
      <c r="G657" s="5"/>
    </row>
    <row r="658" spans="1:7" ht="58.5" customHeight="1" x14ac:dyDescent="0.25">
      <c r="A658" s="5" t="str">
        <f>"H0029658"</f>
        <v>H0029658</v>
      </c>
      <c r="B658" s="5" t="s">
        <v>94</v>
      </c>
      <c r="C658" s="6">
        <v>148999.9</v>
      </c>
      <c r="D658" s="5" t="s">
        <v>93</v>
      </c>
      <c r="E658" s="5" t="str">
        <f t="shared" si="28"/>
        <v>ACTISALUD-MEDICINA INTERNA- PISO 7</v>
      </c>
      <c r="F658" s="5"/>
      <c r="G658" s="5"/>
    </row>
    <row r="659" spans="1:7" ht="58.5" customHeight="1" x14ac:dyDescent="0.25">
      <c r="A659" s="5" t="str">
        <f>"H0029659"</f>
        <v>H0029659</v>
      </c>
      <c r="B659" s="5" t="s">
        <v>94</v>
      </c>
      <c r="C659" s="6">
        <v>148999.9</v>
      </c>
      <c r="D659" s="5" t="s">
        <v>93</v>
      </c>
      <c r="E659" s="5" t="str">
        <f t="shared" si="28"/>
        <v>ACTISALUD-MEDICINA INTERNA- PISO 7</v>
      </c>
      <c r="F659" s="5"/>
      <c r="G659" s="5"/>
    </row>
    <row r="660" spans="1:7" ht="58.5" customHeight="1" x14ac:dyDescent="0.25">
      <c r="A660" s="5" t="str">
        <f>"H0029660"</f>
        <v>H0029660</v>
      </c>
      <c r="B660" s="5" t="s">
        <v>94</v>
      </c>
      <c r="C660" s="6">
        <v>148999.9</v>
      </c>
      <c r="D660" s="5" t="s">
        <v>93</v>
      </c>
      <c r="E660" s="5" t="str">
        <f t="shared" si="28"/>
        <v>ACTISALUD-MEDICINA INTERNA- PISO 7</v>
      </c>
      <c r="F660" s="5"/>
      <c r="G660" s="5"/>
    </row>
    <row r="661" spans="1:7" ht="58.5" customHeight="1" x14ac:dyDescent="0.25">
      <c r="A661" s="5" t="str">
        <f>"H0029664"</f>
        <v>H0029664</v>
      </c>
      <c r="B661" s="5" t="s">
        <v>94</v>
      </c>
      <c r="C661" s="6">
        <v>148999.9</v>
      </c>
      <c r="D661" s="5" t="s">
        <v>93</v>
      </c>
      <c r="E661" s="5" t="str">
        <f t="shared" si="28"/>
        <v>ACTISALUD-MEDICINA INTERNA- PISO 7</v>
      </c>
      <c r="F661" s="5"/>
      <c r="G661" s="5"/>
    </row>
    <row r="662" spans="1:7" ht="58.5" customHeight="1" x14ac:dyDescent="0.25">
      <c r="A662" s="5" t="str">
        <f>"H0029666"</f>
        <v>H0029666</v>
      </c>
      <c r="B662" s="5" t="s">
        <v>94</v>
      </c>
      <c r="C662" s="6">
        <v>148999.9</v>
      </c>
      <c r="D662" s="5" t="s">
        <v>93</v>
      </c>
      <c r="E662" s="5" t="str">
        <f t="shared" si="28"/>
        <v>ACTISALUD-MEDICINA INTERNA- PISO 7</v>
      </c>
      <c r="F662" s="5"/>
      <c r="G662" s="5"/>
    </row>
    <row r="663" spans="1:7" ht="58.5" customHeight="1" x14ac:dyDescent="0.25">
      <c r="A663" s="5" t="str">
        <f>"H0029667"</f>
        <v>H0029667</v>
      </c>
      <c r="B663" s="5" t="s">
        <v>94</v>
      </c>
      <c r="C663" s="6">
        <v>148999.9</v>
      </c>
      <c r="D663" s="5" t="s">
        <v>93</v>
      </c>
      <c r="E663" s="5" t="str">
        <f t="shared" si="28"/>
        <v>ACTISALUD-MEDICINA INTERNA- PISO 7</v>
      </c>
      <c r="F663" s="5"/>
      <c r="G663" s="5"/>
    </row>
    <row r="664" spans="1:7" ht="58.5" customHeight="1" x14ac:dyDescent="0.25">
      <c r="A664" s="5" t="str">
        <f>"H0029668"</f>
        <v>H0029668</v>
      </c>
      <c r="B664" s="5" t="s">
        <v>94</v>
      </c>
      <c r="C664" s="6">
        <v>148999.9</v>
      </c>
      <c r="D664" s="5" t="s">
        <v>93</v>
      </c>
      <c r="E664" s="5" t="str">
        <f t="shared" si="28"/>
        <v>ACTISALUD-MEDICINA INTERNA- PISO 7</v>
      </c>
      <c r="F664" s="5"/>
      <c r="G664" s="5"/>
    </row>
    <row r="665" spans="1:7" ht="58.5" customHeight="1" x14ac:dyDescent="0.25">
      <c r="A665" s="5" t="str">
        <f>"H0029669"</f>
        <v>H0029669</v>
      </c>
      <c r="B665" s="5" t="s">
        <v>94</v>
      </c>
      <c r="C665" s="6">
        <v>148999.9</v>
      </c>
      <c r="D665" s="5" t="s">
        <v>93</v>
      </c>
      <c r="E665" s="5" t="str">
        <f t="shared" si="28"/>
        <v>ACTISALUD-MEDICINA INTERNA- PISO 7</v>
      </c>
      <c r="F665" s="5"/>
      <c r="G665" s="5"/>
    </row>
    <row r="666" spans="1:7" ht="58.5" customHeight="1" x14ac:dyDescent="0.25">
      <c r="A666" s="5" t="str">
        <f>"H0029670"</f>
        <v>H0029670</v>
      </c>
      <c r="B666" s="5" t="s">
        <v>94</v>
      </c>
      <c r="C666" s="6">
        <v>148999.9</v>
      </c>
      <c r="D666" s="5" t="s">
        <v>93</v>
      </c>
      <c r="E666" s="5" t="str">
        <f t="shared" si="28"/>
        <v>ACTISALUD-MEDICINA INTERNA- PISO 7</v>
      </c>
      <c r="F666" s="5"/>
      <c r="G666" s="5"/>
    </row>
    <row r="667" spans="1:7" ht="58.5" customHeight="1" x14ac:dyDescent="0.25">
      <c r="A667" s="5" t="str">
        <f>"H0029671"</f>
        <v>H0029671</v>
      </c>
      <c r="B667" s="5" t="s">
        <v>94</v>
      </c>
      <c r="C667" s="6">
        <v>148999.9</v>
      </c>
      <c r="D667" s="5" t="s">
        <v>93</v>
      </c>
      <c r="E667" s="5" t="str">
        <f t="shared" si="28"/>
        <v>ACTISALUD-MEDICINA INTERNA- PISO 7</v>
      </c>
      <c r="F667" s="5"/>
      <c r="G667" s="5"/>
    </row>
    <row r="668" spans="1:7" ht="58.5" customHeight="1" x14ac:dyDescent="0.25">
      <c r="A668" s="5" t="str">
        <f>"H0029672"</f>
        <v>H0029672</v>
      </c>
      <c r="B668" s="5" t="s">
        <v>94</v>
      </c>
      <c r="C668" s="6">
        <v>148999.9</v>
      </c>
      <c r="D668" s="5" t="s">
        <v>93</v>
      </c>
      <c r="E668" s="5" t="str">
        <f t="shared" si="28"/>
        <v>ACTISALUD-MEDICINA INTERNA- PISO 7</v>
      </c>
      <c r="F668" s="5"/>
      <c r="G668" s="5"/>
    </row>
    <row r="669" spans="1:7" ht="58.5" customHeight="1" x14ac:dyDescent="0.25">
      <c r="A669" s="5" t="str">
        <f>"H0029673"</f>
        <v>H0029673</v>
      </c>
      <c r="B669" s="5" t="s">
        <v>94</v>
      </c>
      <c r="C669" s="6">
        <v>148999.9</v>
      </c>
      <c r="D669" s="5" t="s">
        <v>93</v>
      </c>
      <c r="E669" s="5" t="str">
        <f t="shared" si="28"/>
        <v>ACTISALUD-MEDICINA INTERNA- PISO 7</v>
      </c>
      <c r="F669" s="5"/>
      <c r="G669" s="5"/>
    </row>
    <row r="670" spans="1:7" ht="58.5" customHeight="1" x14ac:dyDescent="0.25">
      <c r="A670" s="5" t="str">
        <f>"H0029674"</f>
        <v>H0029674</v>
      </c>
      <c r="B670" s="5" t="s">
        <v>94</v>
      </c>
      <c r="C670" s="6">
        <v>148999.9</v>
      </c>
      <c r="D670" s="5" t="s">
        <v>93</v>
      </c>
      <c r="E670" s="5" t="str">
        <f t="shared" si="28"/>
        <v>ACTISALUD-MEDICINA INTERNA- PISO 7</v>
      </c>
      <c r="F670" s="5"/>
      <c r="G670" s="5"/>
    </row>
    <row r="671" spans="1:7" ht="58.5" customHeight="1" x14ac:dyDescent="0.25">
      <c r="A671" s="5" t="str">
        <f>"H0029675"</f>
        <v>H0029675</v>
      </c>
      <c r="B671" s="5" t="s">
        <v>94</v>
      </c>
      <c r="C671" s="6">
        <v>148999.9</v>
      </c>
      <c r="D671" s="5" t="s">
        <v>93</v>
      </c>
      <c r="E671" s="5" t="str">
        <f t="shared" si="28"/>
        <v>ACTISALUD-MEDICINA INTERNA- PISO 7</v>
      </c>
      <c r="F671" s="5"/>
      <c r="G671" s="5"/>
    </row>
    <row r="672" spans="1:7" ht="58.5" customHeight="1" x14ac:dyDescent="0.25">
      <c r="A672" s="5" t="str">
        <f>"H0029676"</f>
        <v>H0029676</v>
      </c>
      <c r="B672" s="5" t="s">
        <v>94</v>
      </c>
      <c r="C672" s="6">
        <v>148999.9</v>
      </c>
      <c r="D672" s="5" t="s">
        <v>93</v>
      </c>
      <c r="E672" s="5" t="str">
        <f t="shared" si="28"/>
        <v>ACTISALUD-MEDICINA INTERNA- PISO 7</v>
      </c>
      <c r="F672" s="5"/>
      <c r="G672" s="5"/>
    </row>
    <row r="673" spans="1:7" ht="58.5" customHeight="1" x14ac:dyDescent="0.25">
      <c r="A673" s="5" t="str">
        <f>"H0029677"</f>
        <v>H0029677</v>
      </c>
      <c r="B673" s="5" t="s">
        <v>94</v>
      </c>
      <c r="C673" s="6">
        <v>148999.9</v>
      </c>
      <c r="D673" s="5" t="s">
        <v>93</v>
      </c>
      <c r="E673" s="5" t="str">
        <f t="shared" si="28"/>
        <v>ACTISALUD-MEDICINA INTERNA- PISO 7</v>
      </c>
      <c r="F673" s="5"/>
      <c r="G673" s="5"/>
    </row>
    <row r="674" spans="1:7" ht="58.5" customHeight="1" x14ac:dyDescent="0.25">
      <c r="A674" s="5" t="str">
        <f>"H0029678"</f>
        <v>H0029678</v>
      </c>
      <c r="B674" s="5" t="s">
        <v>94</v>
      </c>
      <c r="C674" s="6">
        <v>148999.9</v>
      </c>
      <c r="D674" s="5" t="s">
        <v>93</v>
      </c>
      <c r="E674" s="5" t="str">
        <f t="shared" si="28"/>
        <v>ACTISALUD-MEDICINA INTERNA- PISO 7</v>
      </c>
      <c r="F674" s="5"/>
      <c r="G674" s="5"/>
    </row>
    <row r="675" spans="1:7" ht="58.5" customHeight="1" x14ac:dyDescent="0.25">
      <c r="A675" s="5" t="str">
        <f>"H0029680"</f>
        <v>H0029680</v>
      </c>
      <c r="B675" s="5" t="s">
        <v>94</v>
      </c>
      <c r="C675" s="6">
        <v>148999.9</v>
      </c>
      <c r="D675" s="5" t="s">
        <v>93</v>
      </c>
      <c r="E675" s="5" t="str">
        <f t="shared" si="28"/>
        <v>ACTISALUD-MEDICINA INTERNA- PISO 7</v>
      </c>
      <c r="F675" s="5"/>
      <c r="G675" s="5"/>
    </row>
    <row r="676" spans="1:7" ht="58.5" customHeight="1" x14ac:dyDescent="0.25">
      <c r="A676" s="5" t="str">
        <f>"H0029765"</f>
        <v>H0029765</v>
      </c>
      <c r="B676" s="5" t="s">
        <v>96</v>
      </c>
      <c r="C676" s="6">
        <v>169000.22</v>
      </c>
      <c r="D676" s="5" t="s">
        <v>93</v>
      </c>
      <c r="E676" s="5" t="str">
        <f t="shared" si="28"/>
        <v>ACTISALUD-MEDICINA INTERNA- PISO 7</v>
      </c>
      <c r="F676" s="5"/>
      <c r="G676" s="5"/>
    </row>
    <row r="677" spans="1:7" ht="58.5" customHeight="1" x14ac:dyDescent="0.25">
      <c r="A677" s="5" t="str">
        <f>"H0030023"</f>
        <v>H0030023</v>
      </c>
      <c r="B677" s="5" t="str">
        <f t="shared" ref="B677:B706" si="29">"SILLA RECLINOMATICA"</f>
        <v>SILLA RECLINOMATICA</v>
      </c>
      <c r="C677" s="6">
        <v>1065050</v>
      </c>
      <c r="D677" s="5" t="s">
        <v>97</v>
      </c>
      <c r="E677" s="5" t="str">
        <f t="shared" si="28"/>
        <v>ACTISALUD-MEDICINA INTERNA- PISO 7</v>
      </c>
      <c r="F677" s="5"/>
      <c r="G677" s="5"/>
    </row>
    <row r="678" spans="1:7" ht="58.5" customHeight="1" x14ac:dyDescent="0.25">
      <c r="A678" s="5" t="str">
        <f>"H0030046"</f>
        <v>H0030046</v>
      </c>
      <c r="B678" s="5" t="str">
        <f t="shared" si="29"/>
        <v>SILLA RECLINOMATICA</v>
      </c>
      <c r="C678" s="6">
        <v>1065050</v>
      </c>
      <c r="D678" s="5" t="s">
        <v>97</v>
      </c>
      <c r="E678" s="5" t="str">
        <f t="shared" si="28"/>
        <v>ACTISALUD-MEDICINA INTERNA- PISO 7</v>
      </c>
      <c r="F678" s="5"/>
      <c r="G678" s="5"/>
    </row>
    <row r="679" spans="1:7" ht="58.5" customHeight="1" x14ac:dyDescent="0.25">
      <c r="A679" s="5" t="str">
        <f>"H0030052"</f>
        <v>H0030052</v>
      </c>
      <c r="B679" s="5" t="str">
        <f t="shared" si="29"/>
        <v>SILLA RECLINOMATICA</v>
      </c>
      <c r="C679" s="6">
        <v>1065050</v>
      </c>
      <c r="D679" s="5" t="s">
        <v>98</v>
      </c>
      <c r="E679" s="5" t="str">
        <f t="shared" si="28"/>
        <v>ACTISALUD-MEDICINA INTERNA- PISO 7</v>
      </c>
      <c r="F679" s="5"/>
      <c r="G679" s="5"/>
    </row>
    <row r="680" spans="1:7" ht="58.5" customHeight="1" x14ac:dyDescent="0.25">
      <c r="A680" s="5" t="str">
        <f>"H0030054"</f>
        <v>H0030054</v>
      </c>
      <c r="B680" s="5" t="str">
        <f t="shared" si="29"/>
        <v>SILLA RECLINOMATICA</v>
      </c>
      <c r="C680" s="6">
        <v>1065050</v>
      </c>
      <c r="D680" s="5" t="s">
        <v>98</v>
      </c>
      <c r="E680" s="5" t="str">
        <f t="shared" si="28"/>
        <v>ACTISALUD-MEDICINA INTERNA- PISO 7</v>
      </c>
      <c r="F680" s="5"/>
      <c r="G680" s="5"/>
    </row>
    <row r="681" spans="1:7" ht="58.5" customHeight="1" x14ac:dyDescent="0.25">
      <c r="A681" s="5" t="str">
        <f>"H0030058"</f>
        <v>H0030058</v>
      </c>
      <c r="B681" s="5" t="str">
        <f t="shared" si="29"/>
        <v>SILLA RECLINOMATICA</v>
      </c>
      <c r="C681" s="6">
        <v>1065050</v>
      </c>
      <c r="D681" s="5" t="s">
        <v>98</v>
      </c>
      <c r="E681" s="5" t="str">
        <f t="shared" si="28"/>
        <v>ACTISALUD-MEDICINA INTERNA- PISO 7</v>
      </c>
      <c r="F681" s="5"/>
      <c r="G681" s="5"/>
    </row>
    <row r="682" spans="1:7" ht="58.5" customHeight="1" x14ac:dyDescent="0.25">
      <c r="A682" s="5" t="str">
        <f>"H0030068"</f>
        <v>H0030068</v>
      </c>
      <c r="B682" s="5" t="str">
        <f t="shared" si="29"/>
        <v>SILLA RECLINOMATICA</v>
      </c>
      <c r="C682" s="6">
        <v>1065050</v>
      </c>
      <c r="D682" s="5" t="s">
        <v>98</v>
      </c>
      <c r="E682" s="5" t="str">
        <f t="shared" si="28"/>
        <v>ACTISALUD-MEDICINA INTERNA- PISO 7</v>
      </c>
      <c r="F682" s="5"/>
      <c r="G682" s="5"/>
    </row>
    <row r="683" spans="1:7" ht="58.5" customHeight="1" x14ac:dyDescent="0.25">
      <c r="A683" s="5" t="str">
        <f>"H0030070"</f>
        <v>H0030070</v>
      </c>
      <c r="B683" s="5" t="str">
        <f t="shared" si="29"/>
        <v>SILLA RECLINOMATICA</v>
      </c>
      <c r="C683" s="6">
        <v>1065050</v>
      </c>
      <c r="D683" s="5" t="s">
        <v>98</v>
      </c>
      <c r="E683" s="5" t="str">
        <f t="shared" si="28"/>
        <v>ACTISALUD-MEDICINA INTERNA- PISO 7</v>
      </c>
      <c r="F683" s="5"/>
      <c r="G683" s="5"/>
    </row>
    <row r="684" spans="1:7" ht="58.5" customHeight="1" x14ac:dyDescent="0.25">
      <c r="A684" s="5" t="str">
        <f>"H0030087"</f>
        <v>H0030087</v>
      </c>
      <c r="B684" s="5" t="str">
        <f t="shared" si="29"/>
        <v>SILLA RECLINOMATICA</v>
      </c>
      <c r="C684" s="6">
        <v>1065050</v>
      </c>
      <c r="D684" s="5" t="s">
        <v>99</v>
      </c>
      <c r="E684" s="5" t="str">
        <f t="shared" si="28"/>
        <v>ACTISALUD-MEDICINA INTERNA- PISO 7</v>
      </c>
      <c r="F684" s="5"/>
      <c r="G684" s="5"/>
    </row>
    <row r="685" spans="1:7" ht="58.5" customHeight="1" x14ac:dyDescent="0.25">
      <c r="A685" s="5" t="str">
        <f>"H0030095"</f>
        <v>H0030095</v>
      </c>
      <c r="B685" s="5" t="str">
        <f t="shared" si="29"/>
        <v>SILLA RECLINOMATICA</v>
      </c>
      <c r="C685" s="6">
        <v>1065050</v>
      </c>
      <c r="D685" s="5" t="s">
        <v>99</v>
      </c>
      <c r="E685" s="5" t="str">
        <f t="shared" si="28"/>
        <v>ACTISALUD-MEDICINA INTERNA- PISO 7</v>
      </c>
      <c r="F685" s="5"/>
      <c r="G685" s="5"/>
    </row>
    <row r="686" spans="1:7" ht="58.5" customHeight="1" x14ac:dyDescent="0.25">
      <c r="A686" s="5" t="str">
        <f>"H0030096"</f>
        <v>H0030096</v>
      </c>
      <c r="B686" s="5" t="str">
        <f t="shared" si="29"/>
        <v>SILLA RECLINOMATICA</v>
      </c>
      <c r="C686" s="6">
        <v>1065050</v>
      </c>
      <c r="D686" s="5" t="s">
        <v>99</v>
      </c>
      <c r="E686" s="5" t="str">
        <f t="shared" si="28"/>
        <v>ACTISALUD-MEDICINA INTERNA- PISO 7</v>
      </c>
      <c r="F686" s="5"/>
      <c r="G686" s="5"/>
    </row>
    <row r="687" spans="1:7" ht="58.5" customHeight="1" x14ac:dyDescent="0.25">
      <c r="A687" s="5" t="str">
        <f>"H0030097"</f>
        <v>H0030097</v>
      </c>
      <c r="B687" s="5" t="str">
        <f t="shared" si="29"/>
        <v>SILLA RECLINOMATICA</v>
      </c>
      <c r="C687" s="6">
        <v>1065050</v>
      </c>
      <c r="D687" s="5" t="s">
        <v>99</v>
      </c>
      <c r="E687" s="5" t="str">
        <f t="shared" si="28"/>
        <v>ACTISALUD-MEDICINA INTERNA- PISO 7</v>
      </c>
      <c r="F687" s="5"/>
      <c r="G687" s="5"/>
    </row>
    <row r="688" spans="1:7" ht="58.5" customHeight="1" x14ac:dyDescent="0.25">
      <c r="A688" s="5" t="str">
        <f>"H0030098"</f>
        <v>H0030098</v>
      </c>
      <c r="B688" s="5" t="str">
        <f t="shared" si="29"/>
        <v>SILLA RECLINOMATICA</v>
      </c>
      <c r="C688" s="6">
        <v>1065050</v>
      </c>
      <c r="D688" s="5" t="s">
        <v>99</v>
      </c>
      <c r="E688" s="5" t="str">
        <f t="shared" si="28"/>
        <v>ACTISALUD-MEDICINA INTERNA- PISO 7</v>
      </c>
      <c r="F688" s="5"/>
      <c r="G688" s="5"/>
    </row>
    <row r="689" spans="1:7" ht="58.5" customHeight="1" x14ac:dyDescent="0.25">
      <c r="A689" s="5" t="str">
        <f>"H0030116"</f>
        <v>H0030116</v>
      </c>
      <c r="B689" s="5" t="str">
        <f t="shared" si="29"/>
        <v>SILLA RECLINOMATICA</v>
      </c>
      <c r="C689" s="6">
        <v>1065050</v>
      </c>
      <c r="D689" s="5" t="s">
        <v>100</v>
      </c>
      <c r="E689" s="5" t="str">
        <f t="shared" si="28"/>
        <v>ACTISALUD-MEDICINA INTERNA- PISO 7</v>
      </c>
      <c r="F689" s="5"/>
      <c r="G689" s="5"/>
    </row>
    <row r="690" spans="1:7" ht="58.5" customHeight="1" x14ac:dyDescent="0.25">
      <c r="A690" s="5" t="str">
        <f>"H0030122"</f>
        <v>H0030122</v>
      </c>
      <c r="B690" s="5" t="str">
        <f t="shared" si="29"/>
        <v>SILLA RECLINOMATICA</v>
      </c>
      <c r="C690" s="6">
        <v>1065050</v>
      </c>
      <c r="D690" s="5" t="s">
        <v>100</v>
      </c>
      <c r="E690" s="5" t="str">
        <f t="shared" si="28"/>
        <v>ACTISALUD-MEDICINA INTERNA- PISO 7</v>
      </c>
      <c r="F690" s="5"/>
      <c r="G690" s="5"/>
    </row>
    <row r="691" spans="1:7" ht="58.5" customHeight="1" x14ac:dyDescent="0.25">
      <c r="A691" s="5" t="str">
        <f>"H0030124"</f>
        <v>H0030124</v>
      </c>
      <c r="B691" s="5" t="str">
        <f t="shared" si="29"/>
        <v>SILLA RECLINOMATICA</v>
      </c>
      <c r="C691" s="6">
        <v>1065050</v>
      </c>
      <c r="D691" s="5" t="s">
        <v>100</v>
      </c>
      <c r="E691" s="5" t="str">
        <f t="shared" si="28"/>
        <v>ACTISALUD-MEDICINA INTERNA- PISO 7</v>
      </c>
      <c r="F691" s="5"/>
      <c r="G691" s="5"/>
    </row>
    <row r="692" spans="1:7" ht="58.5" customHeight="1" x14ac:dyDescent="0.25">
      <c r="A692" s="5" t="str">
        <f>"H0030125"</f>
        <v>H0030125</v>
      </c>
      <c r="B692" s="5" t="str">
        <f t="shared" si="29"/>
        <v>SILLA RECLINOMATICA</v>
      </c>
      <c r="C692" s="6">
        <v>1065050</v>
      </c>
      <c r="D692" s="5" t="s">
        <v>100</v>
      </c>
      <c r="E692" s="5" t="str">
        <f t="shared" si="28"/>
        <v>ACTISALUD-MEDICINA INTERNA- PISO 7</v>
      </c>
      <c r="F692" s="5"/>
      <c r="G692" s="5"/>
    </row>
    <row r="693" spans="1:7" ht="58.5" customHeight="1" x14ac:dyDescent="0.25">
      <c r="A693" s="5" t="str">
        <f>"H0030174"</f>
        <v>H0030174</v>
      </c>
      <c r="B693" s="5" t="str">
        <f t="shared" si="29"/>
        <v>SILLA RECLINOMATICA</v>
      </c>
      <c r="C693" s="6">
        <v>1065050</v>
      </c>
      <c r="D693" s="5" t="s">
        <v>101</v>
      </c>
      <c r="E693" s="5" t="str">
        <f t="shared" si="28"/>
        <v>ACTISALUD-MEDICINA INTERNA- PISO 7</v>
      </c>
      <c r="F693" s="5"/>
      <c r="G693" s="5"/>
    </row>
    <row r="694" spans="1:7" ht="58.5" customHeight="1" x14ac:dyDescent="0.25">
      <c r="A694" s="5" t="str">
        <f>"H0030175"</f>
        <v>H0030175</v>
      </c>
      <c r="B694" s="5" t="str">
        <f t="shared" si="29"/>
        <v>SILLA RECLINOMATICA</v>
      </c>
      <c r="C694" s="6">
        <v>1065050</v>
      </c>
      <c r="D694" s="5" t="s">
        <v>101</v>
      </c>
      <c r="E694" s="5" t="str">
        <f t="shared" si="28"/>
        <v>ACTISALUD-MEDICINA INTERNA- PISO 7</v>
      </c>
      <c r="F694" s="5"/>
      <c r="G694" s="5"/>
    </row>
    <row r="695" spans="1:7" ht="58.5" customHeight="1" x14ac:dyDescent="0.25">
      <c r="A695" s="5" t="str">
        <f>"H0030176"</f>
        <v>H0030176</v>
      </c>
      <c r="B695" s="5" t="str">
        <f t="shared" si="29"/>
        <v>SILLA RECLINOMATICA</v>
      </c>
      <c r="C695" s="6">
        <v>1065050</v>
      </c>
      <c r="D695" s="5" t="s">
        <v>101</v>
      </c>
      <c r="E695" s="5" t="str">
        <f t="shared" si="28"/>
        <v>ACTISALUD-MEDICINA INTERNA- PISO 7</v>
      </c>
      <c r="F695" s="5"/>
      <c r="G695" s="5"/>
    </row>
    <row r="696" spans="1:7" ht="58.5" customHeight="1" x14ac:dyDescent="0.25">
      <c r="A696" s="5" t="str">
        <f>"H0030179"</f>
        <v>H0030179</v>
      </c>
      <c r="B696" s="5" t="str">
        <f t="shared" si="29"/>
        <v>SILLA RECLINOMATICA</v>
      </c>
      <c r="C696" s="6">
        <v>1065050</v>
      </c>
      <c r="D696" s="5" t="s">
        <v>101</v>
      </c>
      <c r="E696" s="5" t="str">
        <f t="shared" si="28"/>
        <v>ACTISALUD-MEDICINA INTERNA- PISO 7</v>
      </c>
      <c r="F696" s="5"/>
      <c r="G696" s="5"/>
    </row>
    <row r="697" spans="1:7" ht="58.5" customHeight="1" x14ac:dyDescent="0.25">
      <c r="A697" s="5" t="str">
        <f>"H0030180"</f>
        <v>H0030180</v>
      </c>
      <c r="B697" s="5" t="str">
        <f t="shared" si="29"/>
        <v>SILLA RECLINOMATICA</v>
      </c>
      <c r="C697" s="6">
        <v>1065050</v>
      </c>
      <c r="D697" s="5" t="s">
        <v>101</v>
      </c>
      <c r="E697" s="5" t="str">
        <f t="shared" si="28"/>
        <v>ACTISALUD-MEDICINA INTERNA- PISO 7</v>
      </c>
      <c r="F697" s="5"/>
      <c r="G697" s="5"/>
    </row>
    <row r="698" spans="1:7" ht="58.5" customHeight="1" x14ac:dyDescent="0.25">
      <c r="A698" s="5" t="str">
        <f>"H0030182"</f>
        <v>H0030182</v>
      </c>
      <c r="B698" s="5" t="str">
        <f t="shared" si="29"/>
        <v>SILLA RECLINOMATICA</v>
      </c>
      <c r="C698" s="6">
        <v>1065050</v>
      </c>
      <c r="D698" s="5" t="s">
        <v>101</v>
      </c>
      <c r="E698" s="5" t="str">
        <f t="shared" si="28"/>
        <v>ACTISALUD-MEDICINA INTERNA- PISO 7</v>
      </c>
      <c r="F698" s="5"/>
      <c r="G698" s="5"/>
    </row>
    <row r="699" spans="1:7" ht="58.5" customHeight="1" x14ac:dyDescent="0.25">
      <c r="A699" s="5" t="str">
        <f>"H0030183"</f>
        <v>H0030183</v>
      </c>
      <c r="B699" s="5" t="str">
        <f t="shared" si="29"/>
        <v>SILLA RECLINOMATICA</v>
      </c>
      <c r="C699" s="6">
        <v>1065050</v>
      </c>
      <c r="D699" s="5" t="s">
        <v>101</v>
      </c>
      <c r="E699" s="5" t="str">
        <f t="shared" si="28"/>
        <v>ACTISALUD-MEDICINA INTERNA- PISO 7</v>
      </c>
      <c r="F699" s="5"/>
      <c r="G699" s="5"/>
    </row>
    <row r="700" spans="1:7" ht="58.5" customHeight="1" x14ac:dyDescent="0.25">
      <c r="A700" s="5" t="str">
        <f>"H0030184"</f>
        <v>H0030184</v>
      </c>
      <c r="B700" s="5" t="str">
        <f t="shared" si="29"/>
        <v>SILLA RECLINOMATICA</v>
      </c>
      <c r="C700" s="6">
        <v>1065050</v>
      </c>
      <c r="D700" s="5" t="s">
        <v>101</v>
      </c>
      <c r="E700" s="5" t="str">
        <f t="shared" si="28"/>
        <v>ACTISALUD-MEDICINA INTERNA- PISO 7</v>
      </c>
      <c r="F700" s="5"/>
      <c r="G700" s="5"/>
    </row>
    <row r="701" spans="1:7" ht="58.5" customHeight="1" x14ac:dyDescent="0.25">
      <c r="A701" s="5" t="str">
        <f>"H0030185"</f>
        <v>H0030185</v>
      </c>
      <c r="B701" s="5" t="str">
        <f t="shared" si="29"/>
        <v>SILLA RECLINOMATICA</v>
      </c>
      <c r="C701" s="6">
        <v>1065050</v>
      </c>
      <c r="D701" s="5" t="s">
        <v>101</v>
      </c>
      <c r="E701" s="5" t="str">
        <f t="shared" si="28"/>
        <v>ACTISALUD-MEDICINA INTERNA- PISO 7</v>
      </c>
      <c r="F701" s="5"/>
      <c r="G701" s="5"/>
    </row>
    <row r="702" spans="1:7" ht="58.5" customHeight="1" x14ac:dyDescent="0.25">
      <c r="A702" s="5" t="str">
        <f>"H0030186"</f>
        <v>H0030186</v>
      </c>
      <c r="B702" s="5" t="str">
        <f t="shared" si="29"/>
        <v>SILLA RECLINOMATICA</v>
      </c>
      <c r="C702" s="6">
        <v>1065050</v>
      </c>
      <c r="D702" s="5" t="s">
        <v>101</v>
      </c>
      <c r="E702" s="5" t="str">
        <f t="shared" si="28"/>
        <v>ACTISALUD-MEDICINA INTERNA- PISO 7</v>
      </c>
      <c r="F702" s="5"/>
      <c r="G702" s="5"/>
    </row>
    <row r="703" spans="1:7" ht="58.5" customHeight="1" x14ac:dyDescent="0.25">
      <c r="A703" s="5" t="str">
        <f>"H0030187"</f>
        <v>H0030187</v>
      </c>
      <c r="B703" s="5" t="str">
        <f t="shared" si="29"/>
        <v>SILLA RECLINOMATICA</v>
      </c>
      <c r="C703" s="6">
        <v>1065050</v>
      </c>
      <c r="D703" s="5" t="s">
        <v>101</v>
      </c>
      <c r="E703" s="5" t="str">
        <f t="shared" si="28"/>
        <v>ACTISALUD-MEDICINA INTERNA- PISO 7</v>
      </c>
      <c r="F703" s="5"/>
      <c r="G703" s="5"/>
    </row>
    <row r="704" spans="1:7" ht="58.5" customHeight="1" x14ac:dyDescent="0.25">
      <c r="A704" s="5" t="str">
        <f>"H0030190"</f>
        <v>H0030190</v>
      </c>
      <c r="B704" s="5" t="str">
        <f t="shared" si="29"/>
        <v>SILLA RECLINOMATICA</v>
      </c>
      <c r="C704" s="6">
        <v>1065050</v>
      </c>
      <c r="D704" s="5" t="s">
        <v>101</v>
      </c>
      <c r="E704" s="5" t="str">
        <f t="shared" si="28"/>
        <v>ACTISALUD-MEDICINA INTERNA- PISO 7</v>
      </c>
      <c r="F704" s="5"/>
      <c r="G704" s="5"/>
    </row>
    <row r="705" spans="1:7" ht="58.5" customHeight="1" x14ac:dyDescent="0.25">
      <c r="A705" s="5" t="str">
        <f>"H0030193"</f>
        <v>H0030193</v>
      </c>
      <c r="B705" s="5" t="str">
        <f t="shared" si="29"/>
        <v>SILLA RECLINOMATICA</v>
      </c>
      <c r="C705" s="6">
        <v>1065050</v>
      </c>
      <c r="D705" s="5" t="s">
        <v>101</v>
      </c>
      <c r="E705" s="5" t="str">
        <f t="shared" si="28"/>
        <v>ACTISALUD-MEDICINA INTERNA- PISO 7</v>
      </c>
      <c r="F705" s="5"/>
      <c r="G705" s="5"/>
    </row>
    <row r="706" spans="1:7" ht="58.5" customHeight="1" x14ac:dyDescent="0.25">
      <c r="A706" s="5" t="str">
        <f>"H0031172"</f>
        <v>H0031172</v>
      </c>
      <c r="B706" s="5" t="str">
        <f t="shared" si="29"/>
        <v>SILLA RECLINOMATICA</v>
      </c>
      <c r="C706" s="6">
        <v>1065050</v>
      </c>
      <c r="D706" s="5" t="s">
        <v>102</v>
      </c>
      <c r="E706" s="5" t="str">
        <f t="shared" si="28"/>
        <v>ACTISALUD-MEDICINA INTERNA- PISO 7</v>
      </c>
      <c r="F706" s="5"/>
      <c r="G706" s="5"/>
    </row>
    <row r="707" spans="1:7" ht="58.5" customHeight="1" x14ac:dyDescent="0.25">
      <c r="A707" s="5" t="str">
        <f>"H0031202"</f>
        <v>H0031202</v>
      </c>
      <c r="B70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707" s="6">
        <v>246036.99</v>
      </c>
      <c r="D707" s="5" t="s">
        <v>103</v>
      </c>
      <c r="E707" s="5" t="str">
        <f t="shared" si="28"/>
        <v>ACTISALUD-MEDICINA INTERNA- PISO 7</v>
      </c>
      <c r="F707" s="5"/>
      <c r="G707" s="5"/>
    </row>
    <row r="708" spans="1:7" ht="58.5" customHeight="1" x14ac:dyDescent="0.25">
      <c r="A708" s="5" t="str">
        <f>"H0031253"</f>
        <v>H0031253</v>
      </c>
      <c r="B708" s="5" t="str">
        <f>"MUEBLE DE 3 PUESTOS CON MEDIDAS DE 2,46 MTS"</f>
        <v>MUEBLE DE 3 PUESTOS CON MEDIDAS DE 2,46 MTS</v>
      </c>
      <c r="C708" s="6">
        <v>1050000</v>
      </c>
      <c r="D708" s="5" t="s">
        <v>104</v>
      </c>
      <c r="E708" s="5" t="str">
        <f t="shared" si="28"/>
        <v>ACTISALUD-MEDICINA INTERNA- PISO 7</v>
      </c>
      <c r="F708" s="5"/>
      <c r="G708" s="5"/>
    </row>
    <row r="709" spans="1:7" ht="58.5" customHeight="1" x14ac:dyDescent="0.25">
      <c r="A709" s="5" t="str">
        <f>"H0031261"</f>
        <v>H0031261</v>
      </c>
      <c r="B709" s="5" t="str">
        <f>"SOFA CON MEDIDAS DE 1,10 MTS"</f>
        <v>SOFA CON MEDIDAS DE 1,10 MTS</v>
      </c>
      <c r="C709" s="6">
        <v>650000</v>
      </c>
      <c r="D709" s="5" t="s">
        <v>104</v>
      </c>
      <c r="E709" s="5" t="str">
        <f t="shared" si="28"/>
        <v>ACTISALUD-MEDICINA INTERNA- PISO 7</v>
      </c>
      <c r="F709" s="5"/>
      <c r="G709" s="5"/>
    </row>
    <row r="710" spans="1:7" ht="58.5" customHeight="1" x14ac:dyDescent="0.25">
      <c r="A710" s="5" t="str">
        <f>"H0031269"</f>
        <v>H0031269</v>
      </c>
      <c r="B710" s="5" t="str">
        <f>"MESA DE CENTRO CON MEDIDAS DE 0,84 MTS X 0,54 MTS"</f>
        <v>MESA DE CENTRO CON MEDIDAS DE 0,84 MTS X 0,54 MTS</v>
      </c>
      <c r="C710" s="6">
        <v>160000</v>
      </c>
      <c r="D710" s="5" t="s">
        <v>104</v>
      </c>
      <c r="E710" s="5" t="str">
        <f t="shared" si="28"/>
        <v>ACTISALUD-MEDICINA INTERNA- PISO 7</v>
      </c>
      <c r="F710" s="5"/>
      <c r="G710" s="5"/>
    </row>
    <row r="711" spans="1:7" ht="58.5" customHeight="1" x14ac:dyDescent="0.25">
      <c r="A711" s="5" t="str">
        <f>"H0031277"</f>
        <v>H0031277</v>
      </c>
      <c r="B711" s="5" t="str">
        <f>"MUEBLE DE 5 PUESTOS CON MEDIDAS DE 3,87 MTS"</f>
        <v>MUEBLE DE 5 PUESTOS CON MEDIDAS DE 3,87 MTS</v>
      </c>
      <c r="C711" s="6">
        <v>1400000</v>
      </c>
      <c r="D711" s="5" t="s">
        <v>104</v>
      </c>
      <c r="E711" s="5" t="str">
        <f t="shared" si="28"/>
        <v>ACTISALUD-MEDICINA INTERNA- PISO 7</v>
      </c>
      <c r="F711" s="5"/>
      <c r="G711" s="5"/>
    </row>
    <row r="712" spans="1:7" ht="58.5" customHeight="1" x14ac:dyDescent="0.25">
      <c r="A712" s="5" t="str">
        <f>"H0031285"</f>
        <v>H0031285</v>
      </c>
      <c r="B712" s="5" t="str">
        <f>"SOFA CON MEDIDAS DE 1,65 MTS"</f>
        <v>SOFA CON MEDIDAS DE 1,65 MTS</v>
      </c>
      <c r="C712" s="6">
        <v>700000</v>
      </c>
      <c r="D712" s="5" t="s">
        <v>104</v>
      </c>
      <c r="E712" s="5" t="str">
        <f t="shared" si="28"/>
        <v>ACTISALUD-MEDICINA INTERNA- PISO 7</v>
      </c>
      <c r="F712" s="5"/>
      <c r="G712" s="5"/>
    </row>
    <row r="713" spans="1:7" ht="58.5" customHeight="1" x14ac:dyDescent="0.25">
      <c r="A713" s="5" t="str">
        <f>"H0031289"</f>
        <v>H0031289</v>
      </c>
      <c r="B713" s="5" t="str">
        <f>"SOFA DOBLE CON MEDIDAS DE 1,65 MTS"</f>
        <v>SOFA DOBLE CON MEDIDAS DE 1,65 MTS</v>
      </c>
      <c r="C713" s="6">
        <v>910000</v>
      </c>
      <c r="D713" s="5" t="s">
        <v>104</v>
      </c>
      <c r="E713" s="5" t="str">
        <f t="shared" si="28"/>
        <v>ACTISALUD-MEDICINA INTERNA- PISO 7</v>
      </c>
      <c r="F713" s="5"/>
      <c r="G713" s="5"/>
    </row>
    <row r="714" spans="1:7" ht="58.5" customHeight="1" x14ac:dyDescent="0.25">
      <c r="A714" s="5" t="str">
        <f>"H0031293"</f>
        <v>H0031293</v>
      </c>
      <c r="B714" s="5" t="str">
        <f>"SOFA DOBLE CON MEDIDAS DE 1,65 MTS"</f>
        <v>SOFA DOBLE CON MEDIDAS DE 1,65 MTS</v>
      </c>
      <c r="C714" s="6">
        <v>910000</v>
      </c>
      <c r="D714" s="5" t="s">
        <v>104</v>
      </c>
      <c r="E714" s="5" t="str">
        <f t="shared" si="28"/>
        <v>ACTISALUD-MEDICINA INTERNA- PISO 7</v>
      </c>
      <c r="F714" s="5"/>
      <c r="G714" s="5"/>
    </row>
    <row r="715" spans="1:7" ht="58.5" customHeight="1" x14ac:dyDescent="0.25">
      <c r="A715" s="5" t="str">
        <f>"H0031309"</f>
        <v>H0031309</v>
      </c>
      <c r="B715" s="5" t="str">
        <f>"PUFF GRANDE CON MEDIDAS DE 1,66 MTS X 1,26 MTS"</f>
        <v>PUFF GRANDE CON MEDIDAS DE 1,66 MTS X 1,26 MTS</v>
      </c>
      <c r="C715" s="6">
        <v>290000</v>
      </c>
      <c r="D715" s="5" t="s">
        <v>104</v>
      </c>
      <c r="E715" s="5" t="str">
        <f t="shared" si="28"/>
        <v>ACTISALUD-MEDICINA INTERNA- PISO 7</v>
      </c>
      <c r="F715" s="5"/>
      <c r="G715" s="5"/>
    </row>
    <row r="716" spans="1:7" ht="58.5" customHeight="1" x14ac:dyDescent="0.25">
      <c r="A716" s="5" t="str">
        <f>"H0031330"</f>
        <v>H0031330</v>
      </c>
      <c r="B716" s="5" t="str">
        <f>"FONENDOSCOPIO CABEZAL DOBLE ACERO INOXIDABLE MEMBRANA PLANA MARCA RECONOCIDA (CODIGO DONACION)"</f>
        <v>FONENDOSCOPIO CABEZAL DOBLE ACERO INOXIDABLE MEMBRANA PLANA MARCA RECONOCIDA (CODIGO DONACION)</v>
      </c>
      <c r="C716" s="6">
        <v>234200</v>
      </c>
      <c r="D716" s="5" t="s">
        <v>105</v>
      </c>
      <c r="E716" s="5" t="str">
        <f t="shared" si="28"/>
        <v>ACTISALUD-MEDICINA INTERNA- PISO 7</v>
      </c>
      <c r="F716" s="5"/>
      <c r="G716" s="5"/>
    </row>
    <row r="717" spans="1:7" ht="58.5" customHeight="1" x14ac:dyDescent="0.25">
      <c r="A717" s="5" t="str">
        <f>"H0031352"</f>
        <v>H0031352</v>
      </c>
      <c r="B717" s="5" t="str">
        <f t="shared" ref="B717:B734" si="30">"SILLA RECLINOMATICA"</f>
        <v>SILLA RECLINOMATICA</v>
      </c>
      <c r="C717" s="6">
        <v>1065050</v>
      </c>
      <c r="D717" s="5" t="s">
        <v>106</v>
      </c>
      <c r="E717" s="5" t="str">
        <f t="shared" si="28"/>
        <v>ACTISALUD-MEDICINA INTERNA- PISO 7</v>
      </c>
      <c r="F717" s="5"/>
      <c r="G717" s="5"/>
    </row>
    <row r="718" spans="1:7" ht="58.5" customHeight="1" x14ac:dyDescent="0.25">
      <c r="A718" s="5" t="str">
        <f>"H0031353"</f>
        <v>H0031353</v>
      </c>
      <c r="B718" s="5" t="str">
        <f t="shared" si="30"/>
        <v>SILLA RECLINOMATICA</v>
      </c>
      <c r="C718" s="6">
        <v>1065050</v>
      </c>
      <c r="D718" s="5" t="s">
        <v>106</v>
      </c>
      <c r="E718" s="5" t="str">
        <f t="shared" ref="E718:E781" si="31">"ACTISALUD-MEDICINA INTERNA- PISO 7"</f>
        <v>ACTISALUD-MEDICINA INTERNA- PISO 7</v>
      </c>
      <c r="F718" s="5"/>
      <c r="G718" s="5"/>
    </row>
    <row r="719" spans="1:7" ht="58.5" customHeight="1" x14ac:dyDescent="0.25">
      <c r="A719" s="5" t="str">
        <f>"H0031354"</f>
        <v>H0031354</v>
      </c>
      <c r="B719" s="5" t="str">
        <f t="shared" si="30"/>
        <v>SILLA RECLINOMATICA</v>
      </c>
      <c r="C719" s="6">
        <v>1065050</v>
      </c>
      <c r="D719" s="5" t="s">
        <v>106</v>
      </c>
      <c r="E719" s="5" t="str">
        <f t="shared" si="31"/>
        <v>ACTISALUD-MEDICINA INTERNA- PISO 7</v>
      </c>
      <c r="F719" s="5"/>
      <c r="G719" s="5"/>
    </row>
    <row r="720" spans="1:7" ht="58.5" customHeight="1" x14ac:dyDescent="0.25">
      <c r="A720" s="5" t="str">
        <f>"H0031355"</f>
        <v>H0031355</v>
      </c>
      <c r="B720" s="5" t="str">
        <f t="shared" si="30"/>
        <v>SILLA RECLINOMATICA</v>
      </c>
      <c r="C720" s="6">
        <v>1065050</v>
      </c>
      <c r="D720" s="5" t="s">
        <v>106</v>
      </c>
      <c r="E720" s="5" t="str">
        <f t="shared" si="31"/>
        <v>ACTISALUD-MEDICINA INTERNA- PISO 7</v>
      </c>
      <c r="F720" s="5"/>
      <c r="G720" s="5"/>
    </row>
    <row r="721" spans="1:7" ht="58.5" customHeight="1" x14ac:dyDescent="0.25">
      <c r="A721" s="5" t="str">
        <f>"H0031358"</f>
        <v>H0031358</v>
      </c>
      <c r="B721" s="5" t="str">
        <f t="shared" si="30"/>
        <v>SILLA RECLINOMATICA</v>
      </c>
      <c r="C721" s="6">
        <v>1065050</v>
      </c>
      <c r="D721" s="5" t="s">
        <v>106</v>
      </c>
      <c r="E721" s="5" t="str">
        <f t="shared" si="31"/>
        <v>ACTISALUD-MEDICINA INTERNA- PISO 7</v>
      </c>
      <c r="F721" s="5"/>
      <c r="G721" s="5"/>
    </row>
    <row r="722" spans="1:7" ht="58.5" customHeight="1" x14ac:dyDescent="0.25">
      <c r="A722" s="5" t="str">
        <f>"H0031359"</f>
        <v>H0031359</v>
      </c>
      <c r="B722" s="5" t="str">
        <f t="shared" si="30"/>
        <v>SILLA RECLINOMATICA</v>
      </c>
      <c r="C722" s="6">
        <v>1065050</v>
      </c>
      <c r="D722" s="5" t="s">
        <v>106</v>
      </c>
      <c r="E722" s="5" t="str">
        <f t="shared" si="31"/>
        <v>ACTISALUD-MEDICINA INTERNA- PISO 7</v>
      </c>
      <c r="F722" s="5"/>
      <c r="G722" s="5"/>
    </row>
    <row r="723" spans="1:7" ht="58.5" customHeight="1" x14ac:dyDescent="0.25">
      <c r="A723" s="5" t="str">
        <f>"H0031360"</f>
        <v>H0031360</v>
      </c>
      <c r="B723" s="5" t="str">
        <f t="shared" si="30"/>
        <v>SILLA RECLINOMATICA</v>
      </c>
      <c r="C723" s="6">
        <v>1065050</v>
      </c>
      <c r="D723" s="5" t="s">
        <v>106</v>
      </c>
      <c r="E723" s="5" t="str">
        <f t="shared" si="31"/>
        <v>ACTISALUD-MEDICINA INTERNA- PISO 7</v>
      </c>
      <c r="F723" s="5"/>
      <c r="G723" s="5"/>
    </row>
    <row r="724" spans="1:7" ht="58.5" customHeight="1" x14ac:dyDescent="0.25">
      <c r="A724" s="5" t="str">
        <f>"H0031361"</f>
        <v>H0031361</v>
      </c>
      <c r="B724" s="5" t="str">
        <f t="shared" si="30"/>
        <v>SILLA RECLINOMATICA</v>
      </c>
      <c r="C724" s="6">
        <v>1065050</v>
      </c>
      <c r="D724" s="5" t="s">
        <v>106</v>
      </c>
      <c r="E724" s="5" t="str">
        <f t="shared" si="31"/>
        <v>ACTISALUD-MEDICINA INTERNA- PISO 7</v>
      </c>
      <c r="F724" s="5"/>
      <c r="G724" s="5"/>
    </row>
    <row r="725" spans="1:7" ht="58.5" customHeight="1" x14ac:dyDescent="0.25">
      <c r="A725" s="5" t="str">
        <f>"H0031362"</f>
        <v>H0031362</v>
      </c>
      <c r="B725" s="5" t="str">
        <f t="shared" si="30"/>
        <v>SILLA RECLINOMATICA</v>
      </c>
      <c r="C725" s="6">
        <v>1065050</v>
      </c>
      <c r="D725" s="5" t="s">
        <v>106</v>
      </c>
      <c r="E725" s="5" t="str">
        <f t="shared" si="31"/>
        <v>ACTISALUD-MEDICINA INTERNA- PISO 7</v>
      </c>
      <c r="F725" s="5"/>
      <c r="G725" s="5"/>
    </row>
    <row r="726" spans="1:7" ht="58.5" customHeight="1" x14ac:dyDescent="0.25">
      <c r="A726" s="5" t="str">
        <f>"H0031363"</f>
        <v>H0031363</v>
      </c>
      <c r="B726" s="5" t="str">
        <f t="shared" si="30"/>
        <v>SILLA RECLINOMATICA</v>
      </c>
      <c r="C726" s="6">
        <v>1065050</v>
      </c>
      <c r="D726" s="5" t="s">
        <v>106</v>
      </c>
      <c r="E726" s="5" t="str">
        <f t="shared" si="31"/>
        <v>ACTISALUD-MEDICINA INTERNA- PISO 7</v>
      </c>
      <c r="F726" s="5"/>
      <c r="G726" s="5"/>
    </row>
    <row r="727" spans="1:7" ht="58.5" customHeight="1" x14ac:dyDescent="0.25">
      <c r="A727" s="5" t="str">
        <f>"H0031364"</f>
        <v>H0031364</v>
      </c>
      <c r="B727" s="5" t="str">
        <f t="shared" si="30"/>
        <v>SILLA RECLINOMATICA</v>
      </c>
      <c r="C727" s="6">
        <v>1065050</v>
      </c>
      <c r="D727" s="5" t="s">
        <v>106</v>
      </c>
      <c r="E727" s="5" t="str">
        <f t="shared" si="31"/>
        <v>ACTISALUD-MEDICINA INTERNA- PISO 7</v>
      </c>
      <c r="F727" s="5"/>
      <c r="G727" s="5"/>
    </row>
    <row r="728" spans="1:7" ht="58.5" customHeight="1" x14ac:dyDescent="0.25">
      <c r="A728" s="5" t="str">
        <f>"H0031365"</f>
        <v>H0031365</v>
      </c>
      <c r="B728" s="5" t="str">
        <f t="shared" si="30"/>
        <v>SILLA RECLINOMATICA</v>
      </c>
      <c r="C728" s="6">
        <v>1065050</v>
      </c>
      <c r="D728" s="5" t="s">
        <v>106</v>
      </c>
      <c r="E728" s="5" t="str">
        <f t="shared" si="31"/>
        <v>ACTISALUD-MEDICINA INTERNA- PISO 7</v>
      </c>
      <c r="F728" s="5"/>
      <c r="G728" s="5"/>
    </row>
    <row r="729" spans="1:7" ht="58.5" customHeight="1" x14ac:dyDescent="0.25">
      <c r="A729" s="5" t="str">
        <f>"H0031366"</f>
        <v>H0031366</v>
      </c>
      <c r="B729" s="5" t="str">
        <f t="shared" si="30"/>
        <v>SILLA RECLINOMATICA</v>
      </c>
      <c r="C729" s="6">
        <v>1065050</v>
      </c>
      <c r="D729" s="5" t="s">
        <v>106</v>
      </c>
      <c r="E729" s="5" t="str">
        <f t="shared" si="31"/>
        <v>ACTISALUD-MEDICINA INTERNA- PISO 7</v>
      </c>
      <c r="F729" s="5"/>
      <c r="G729" s="5"/>
    </row>
    <row r="730" spans="1:7" ht="58.5" customHeight="1" x14ac:dyDescent="0.25">
      <c r="A730" s="5" t="str">
        <f>"H0031367"</f>
        <v>H0031367</v>
      </c>
      <c r="B730" s="5" t="str">
        <f t="shared" si="30"/>
        <v>SILLA RECLINOMATICA</v>
      </c>
      <c r="C730" s="6">
        <v>1065050</v>
      </c>
      <c r="D730" s="5" t="s">
        <v>106</v>
      </c>
      <c r="E730" s="5" t="str">
        <f t="shared" si="31"/>
        <v>ACTISALUD-MEDICINA INTERNA- PISO 7</v>
      </c>
      <c r="F730" s="5"/>
      <c r="G730" s="5"/>
    </row>
    <row r="731" spans="1:7" ht="58.5" customHeight="1" x14ac:dyDescent="0.25">
      <c r="A731" s="5" t="str">
        <f>"H0031368"</f>
        <v>H0031368</v>
      </c>
      <c r="B731" s="5" t="str">
        <f t="shared" si="30"/>
        <v>SILLA RECLINOMATICA</v>
      </c>
      <c r="C731" s="6">
        <v>1065050</v>
      </c>
      <c r="D731" s="5" t="s">
        <v>106</v>
      </c>
      <c r="E731" s="5" t="str">
        <f t="shared" si="31"/>
        <v>ACTISALUD-MEDICINA INTERNA- PISO 7</v>
      </c>
      <c r="F731" s="5"/>
      <c r="G731" s="5"/>
    </row>
    <row r="732" spans="1:7" ht="58.5" customHeight="1" x14ac:dyDescent="0.25">
      <c r="A732" s="5" t="str">
        <f>"H0031369"</f>
        <v>H0031369</v>
      </c>
      <c r="B732" s="5" t="str">
        <f t="shared" si="30"/>
        <v>SILLA RECLINOMATICA</v>
      </c>
      <c r="C732" s="6">
        <v>1065050</v>
      </c>
      <c r="D732" s="5" t="s">
        <v>106</v>
      </c>
      <c r="E732" s="5" t="str">
        <f t="shared" si="31"/>
        <v>ACTISALUD-MEDICINA INTERNA- PISO 7</v>
      </c>
      <c r="F732" s="5"/>
      <c r="G732" s="5"/>
    </row>
    <row r="733" spans="1:7" ht="58.5" customHeight="1" x14ac:dyDescent="0.25">
      <c r="A733" s="5" t="str">
        <f>"H0031370"</f>
        <v>H0031370</v>
      </c>
      <c r="B733" s="5" t="str">
        <f t="shared" si="30"/>
        <v>SILLA RECLINOMATICA</v>
      </c>
      <c r="C733" s="6">
        <v>1065050</v>
      </c>
      <c r="D733" s="5" t="s">
        <v>106</v>
      </c>
      <c r="E733" s="5" t="str">
        <f t="shared" si="31"/>
        <v>ACTISALUD-MEDICINA INTERNA- PISO 7</v>
      </c>
      <c r="F733" s="5"/>
      <c r="G733" s="5"/>
    </row>
    <row r="734" spans="1:7" ht="58.5" customHeight="1" x14ac:dyDescent="0.25">
      <c r="A734" s="5" t="str">
        <f>"H0031371"</f>
        <v>H0031371</v>
      </c>
      <c r="B734" s="5" t="str">
        <f t="shared" si="30"/>
        <v>SILLA RECLINOMATICA</v>
      </c>
      <c r="C734" s="6">
        <v>1065050</v>
      </c>
      <c r="D734" s="5" t="s">
        <v>106</v>
      </c>
      <c r="E734" s="5" t="str">
        <f t="shared" si="31"/>
        <v>ACTISALUD-MEDICINA INTERNA- PISO 7</v>
      </c>
      <c r="F734" s="5"/>
      <c r="G734" s="5"/>
    </row>
    <row r="735" spans="1:7" ht="58.5" customHeight="1" x14ac:dyDescent="0.25">
      <c r="A735" s="5" t="str">
        <f>"H0031461"</f>
        <v>H0031461</v>
      </c>
      <c r="B73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735" s="6">
        <v>3209500</v>
      </c>
      <c r="D735" s="5" t="s">
        <v>16</v>
      </c>
      <c r="E735" s="5" t="str">
        <f t="shared" si="31"/>
        <v>ACTISALUD-MEDICINA INTERNA- PISO 7</v>
      </c>
      <c r="F735" s="5"/>
      <c r="G735" s="5"/>
    </row>
    <row r="736" spans="1:7" ht="58.5" customHeight="1" x14ac:dyDescent="0.25">
      <c r="A736" s="5" t="str">
        <f>"H0031485"</f>
        <v>H0031485</v>
      </c>
      <c r="B73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736" s="6">
        <v>3209500</v>
      </c>
      <c r="D736" s="5" t="s">
        <v>16</v>
      </c>
      <c r="E736" s="5" t="str">
        <f t="shared" si="31"/>
        <v>ACTISALUD-MEDICINA INTERNA- PISO 7</v>
      </c>
      <c r="F736" s="5"/>
      <c r="G736" s="5"/>
    </row>
    <row r="737" spans="1:7" ht="58.5" customHeight="1" x14ac:dyDescent="0.25">
      <c r="A737" s="5" t="str">
        <f>"H0031892"</f>
        <v>H0031892</v>
      </c>
      <c r="B737"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737" s="6">
        <v>2647750</v>
      </c>
      <c r="D737" s="5" t="s">
        <v>44</v>
      </c>
      <c r="E737" s="5" t="str">
        <f t="shared" si="31"/>
        <v>ACTISALUD-MEDICINA INTERNA- PISO 7</v>
      </c>
      <c r="F737" s="5"/>
      <c r="G737" s="5"/>
    </row>
    <row r="738" spans="1:7" ht="58.5" customHeight="1" x14ac:dyDescent="0.25">
      <c r="A738" s="5" t="str">
        <f>"h0031942"</f>
        <v>h0031942</v>
      </c>
      <c r="B738" s="5" t="str">
        <f>"BOMBA DE INFUSION"</f>
        <v>BOMBA DE INFUSION</v>
      </c>
      <c r="C738" s="6">
        <v>1900000</v>
      </c>
      <c r="D738" s="5" t="s">
        <v>107</v>
      </c>
      <c r="E738" s="5" t="str">
        <f t="shared" si="31"/>
        <v>ACTISALUD-MEDICINA INTERNA- PISO 7</v>
      </c>
      <c r="F738" s="5"/>
      <c r="G738" s="5"/>
    </row>
    <row r="739" spans="1:7" ht="58.5" customHeight="1" x14ac:dyDescent="0.25">
      <c r="A739" s="5" t="str">
        <f>"H0031959"</f>
        <v>H0031959</v>
      </c>
      <c r="B739" s="5" t="str">
        <f>"BOMBA DE INFUSION"</f>
        <v>BOMBA DE INFUSION</v>
      </c>
      <c r="C739" s="6">
        <v>1900000</v>
      </c>
      <c r="D739" s="5" t="s">
        <v>107</v>
      </c>
      <c r="E739" s="5" t="str">
        <f t="shared" si="31"/>
        <v>ACTISALUD-MEDICINA INTERNA- PISO 7</v>
      </c>
      <c r="F739" s="5"/>
      <c r="G739" s="5"/>
    </row>
    <row r="740" spans="1:7" ht="58.5" customHeight="1" x14ac:dyDescent="0.25">
      <c r="A740" s="5" t="str">
        <f>"H0032024"</f>
        <v>H0032024</v>
      </c>
      <c r="B740" s="5" t="str">
        <f>"CUBETA EN ACERO INOXIDABLE SIN TAPA PARA EQUIPO DE RAQUIDEA 23*12 C20"</f>
        <v>CUBETA EN ACERO INOXIDABLE SIN TAPA PARA EQUIPO DE RAQUIDEA 23*12 C20</v>
      </c>
      <c r="C740" s="6">
        <v>23562</v>
      </c>
      <c r="D740" s="5" t="s">
        <v>108</v>
      </c>
      <c r="E740" s="5" t="str">
        <f t="shared" si="31"/>
        <v>ACTISALUD-MEDICINA INTERNA- PISO 7</v>
      </c>
      <c r="F740" s="5"/>
      <c r="G740" s="5"/>
    </row>
    <row r="741" spans="1:7" ht="58.5" customHeight="1" x14ac:dyDescent="0.25">
      <c r="A741" s="5" t="str">
        <f>"H0032029"</f>
        <v>H0032029</v>
      </c>
      <c r="B741" s="5" t="str">
        <f>"CUBETA EN ACERO INOXIDABLE SIN TAPA PARA EQUIPO DE RAQUIDEA 23*12 C20"</f>
        <v>CUBETA EN ACERO INOXIDABLE SIN TAPA PARA EQUIPO DE RAQUIDEA 23*12 C20</v>
      </c>
      <c r="C741" s="6">
        <v>23562</v>
      </c>
      <c r="D741" s="5" t="s">
        <v>109</v>
      </c>
      <c r="E741" s="5" t="str">
        <f t="shared" si="31"/>
        <v>ACTISALUD-MEDICINA INTERNA- PISO 7</v>
      </c>
      <c r="F741" s="5"/>
      <c r="G741" s="5"/>
    </row>
    <row r="742" spans="1:7" ht="58.5" customHeight="1" x14ac:dyDescent="0.25">
      <c r="A742" s="5" t="str">
        <f>"H0032037"</f>
        <v>H0032037</v>
      </c>
      <c r="B742" s="5" t="str">
        <f>"CUBETA EN ACERO INOXIDABLE SIN TAPA PARA EQUIPO DE RAQUIDEA 23*12 C20"</f>
        <v>CUBETA EN ACERO INOXIDABLE SIN TAPA PARA EQUIPO DE RAQUIDEA 23*12 C20</v>
      </c>
      <c r="C742" s="6">
        <v>23562</v>
      </c>
      <c r="D742" s="5" t="s">
        <v>109</v>
      </c>
      <c r="E742" s="5" t="str">
        <f t="shared" si="31"/>
        <v>ACTISALUD-MEDICINA INTERNA- PISO 7</v>
      </c>
      <c r="F742" s="5"/>
      <c r="G742" s="5"/>
    </row>
    <row r="743" spans="1:7" ht="58.5" customHeight="1" x14ac:dyDescent="0.25">
      <c r="A743" s="5" t="str">
        <f>"H0032369"</f>
        <v>H0032369</v>
      </c>
      <c r="B743" s="5" t="str">
        <f>"EQUIPO DE ORGANO (DONACION)"</f>
        <v>EQUIPO DE ORGANO (DONACION)</v>
      </c>
      <c r="C743" s="6">
        <v>862500</v>
      </c>
      <c r="D743" s="5" t="s">
        <v>110</v>
      </c>
      <c r="E743" s="5" t="str">
        <f t="shared" si="31"/>
        <v>ACTISALUD-MEDICINA INTERNA- PISO 7</v>
      </c>
      <c r="F743" s="5"/>
      <c r="G743" s="5"/>
    </row>
    <row r="744" spans="1:7" ht="58.5" customHeight="1" x14ac:dyDescent="0.25">
      <c r="A744" s="5" t="str">
        <f>"H0032416"</f>
        <v>H0032416</v>
      </c>
      <c r="B744" s="5" t="str">
        <f>"biombo de dos cuerpos (DONACION)"</f>
        <v>biombo de dos cuerpos (DONACION)</v>
      </c>
      <c r="C744" s="6">
        <v>325000</v>
      </c>
      <c r="D744" s="5" t="s">
        <v>111</v>
      </c>
      <c r="E744" s="5" t="str">
        <f t="shared" si="31"/>
        <v>ACTISALUD-MEDICINA INTERNA- PISO 7</v>
      </c>
      <c r="F744" s="5"/>
      <c r="G744" s="5"/>
    </row>
    <row r="745" spans="1:7" ht="58.5" customHeight="1" x14ac:dyDescent="0.25">
      <c r="A745" s="5" t="str">
        <f>"H0032520"</f>
        <v>H0032520</v>
      </c>
      <c r="B745" s="5" t="str">
        <f>"CELULAR HUAWEI Y9 PRIME (DONACION)"</f>
        <v>CELULAR HUAWEI Y9 PRIME (DONACION)</v>
      </c>
      <c r="C745" s="6">
        <v>729900</v>
      </c>
      <c r="D745" s="5" t="s">
        <v>112</v>
      </c>
      <c r="E745" s="5" t="str">
        <f t="shared" si="31"/>
        <v>ACTISALUD-MEDICINA INTERNA- PISO 7</v>
      </c>
      <c r="F745" s="5"/>
      <c r="G745" s="5"/>
    </row>
    <row r="746" spans="1:7" ht="58.5" customHeight="1" x14ac:dyDescent="0.25">
      <c r="A746" s="5" t="str">
        <f>"H0032609"</f>
        <v>H0032609</v>
      </c>
      <c r="B746" s="5" t="str">
        <f>"CAMILLA DE TRANSPORTE Y RECUPERACION (DONACION)"</f>
        <v>CAMILLA DE TRANSPORTE Y RECUPERACION (DONACION)</v>
      </c>
      <c r="C746" s="6">
        <v>814000</v>
      </c>
      <c r="D746" s="5" t="s">
        <v>113</v>
      </c>
      <c r="E746" s="5" t="str">
        <f t="shared" si="31"/>
        <v>ACTISALUD-MEDICINA INTERNA- PISO 7</v>
      </c>
      <c r="F746" s="5"/>
      <c r="G746" s="5"/>
    </row>
    <row r="747" spans="1:7" ht="58.5" customHeight="1" x14ac:dyDescent="0.25">
      <c r="A747" s="5" t="str">
        <f>"H0032621"</f>
        <v>H0032621</v>
      </c>
      <c r="B747" s="5" t="str">
        <f>"LARINGO DE FIBRA OPTICA (DONACION)"</f>
        <v>LARINGO DE FIBRA OPTICA (DONACION)</v>
      </c>
      <c r="C747" s="6">
        <v>1437000</v>
      </c>
      <c r="D747" s="5" t="s">
        <v>113</v>
      </c>
      <c r="E747" s="5" t="str">
        <f t="shared" si="31"/>
        <v>ACTISALUD-MEDICINA INTERNA- PISO 7</v>
      </c>
      <c r="F747" s="5"/>
      <c r="G747" s="5"/>
    </row>
    <row r="748" spans="1:7" ht="58.5" customHeight="1" x14ac:dyDescent="0.25">
      <c r="A748" s="5" t="str">
        <f>"H0032647"</f>
        <v>H0032647</v>
      </c>
      <c r="B748" s="5" t="str">
        <f>"ELECTROCARDIOGRAFO (DONACION)"</f>
        <v>ELECTROCARDIOGRAFO (DONACION)</v>
      </c>
      <c r="C748" s="6">
        <v>1</v>
      </c>
      <c r="D748" s="5" t="s">
        <v>114</v>
      </c>
      <c r="E748" s="5" t="str">
        <f t="shared" si="31"/>
        <v>ACTISALUD-MEDICINA INTERNA- PISO 7</v>
      </c>
      <c r="F748" s="5"/>
      <c r="G748" s="5"/>
    </row>
    <row r="749" spans="1:7" ht="58.5" customHeight="1" x14ac:dyDescent="0.25">
      <c r="A749" s="5" t="str">
        <f>"H0032680"</f>
        <v>H0032680</v>
      </c>
      <c r="B749" s="5" t="str">
        <f>"CARRO DE PARO (DONACION)"</f>
        <v>CARRO DE PARO (DONACION)</v>
      </c>
      <c r="C749" s="6">
        <v>1480000</v>
      </c>
      <c r="D749" s="5" t="s">
        <v>115</v>
      </c>
      <c r="E749" s="5" t="str">
        <f t="shared" si="31"/>
        <v>ACTISALUD-MEDICINA INTERNA- PISO 7</v>
      </c>
      <c r="F749" s="5"/>
      <c r="G749" s="5"/>
    </row>
    <row r="750" spans="1:7" ht="58.5" customHeight="1" x14ac:dyDescent="0.25">
      <c r="A750" s="5" t="str">
        <f>"H0032869"</f>
        <v>H0032869</v>
      </c>
      <c r="B75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50" s="6">
        <v>5604900</v>
      </c>
      <c r="D750" s="5" t="s">
        <v>116</v>
      </c>
      <c r="E750" s="5" t="str">
        <f t="shared" si="31"/>
        <v>ACTISALUD-MEDICINA INTERNA- PISO 7</v>
      </c>
      <c r="F750" s="5"/>
      <c r="G750" s="5"/>
    </row>
    <row r="751" spans="1:7" ht="58.5" customHeight="1" x14ac:dyDescent="0.25">
      <c r="A751" s="5" t="str">
        <f>"H0032873"</f>
        <v>H0032873</v>
      </c>
      <c r="B75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51" s="6">
        <v>5604900</v>
      </c>
      <c r="D751" s="5" t="s">
        <v>116</v>
      </c>
      <c r="E751" s="5" t="str">
        <f t="shared" si="31"/>
        <v>ACTISALUD-MEDICINA INTERNA- PISO 7</v>
      </c>
      <c r="F751" s="5"/>
      <c r="G751" s="5"/>
    </row>
    <row r="752" spans="1:7" ht="58.5" customHeight="1" x14ac:dyDescent="0.25">
      <c r="A752" s="5" t="str">
        <f>"H0032887"</f>
        <v>H0032887</v>
      </c>
      <c r="B75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752" s="6">
        <v>4289950</v>
      </c>
      <c r="D752" s="5" t="s">
        <v>117</v>
      </c>
      <c r="E752" s="5" t="str">
        <f t="shared" si="31"/>
        <v>ACTISALUD-MEDICINA INTERNA- PISO 7</v>
      </c>
      <c r="F752" s="5"/>
      <c r="G752" s="5"/>
    </row>
    <row r="753" spans="1:7" ht="58.5" customHeight="1" x14ac:dyDescent="0.25">
      <c r="A753" s="5" t="str">
        <f>"h0032983"</f>
        <v>h0032983</v>
      </c>
      <c r="B753" s="5" t="str">
        <f>"SILLA DE RUEDAS (DONACION)"</f>
        <v>SILLA DE RUEDAS (DONACION)</v>
      </c>
      <c r="C753" s="6">
        <v>500000</v>
      </c>
      <c r="D753" s="5" t="s">
        <v>118</v>
      </c>
      <c r="E753" s="5" t="str">
        <f t="shared" si="31"/>
        <v>ACTISALUD-MEDICINA INTERNA- PISO 7</v>
      </c>
      <c r="F753" s="5"/>
      <c r="G753" s="5"/>
    </row>
    <row r="754" spans="1:7" ht="58.5" customHeight="1" x14ac:dyDescent="0.25">
      <c r="A754" s="5" t="str">
        <f>"h0032984"</f>
        <v>h0032984</v>
      </c>
      <c r="B754" s="5" t="str">
        <f>"SILLA DE RUEDAS (DONACION)"</f>
        <v>SILLA DE RUEDAS (DONACION)</v>
      </c>
      <c r="C754" s="6">
        <v>500000</v>
      </c>
      <c r="D754" s="5" t="s">
        <v>118</v>
      </c>
      <c r="E754" s="5" t="str">
        <f t="shared" si="31"/>
        <v>ACTISALUD-MEDICINA INTERNA- PISO 7</v>
      </c>
      <c r="F754" s="5"/>
      <c r="G754" s="5"/>
    </row>
    <row r="755" spans="1:7" ht="58.5" customHeight="1" x14ac:dyDescent="0.25">
      <c r="A755" s="5" t="str">
        <f>"H0033069"</f>
        <v>H0033069</v>
      </c>
      <c r="B755" s="5" t="str">
        <f>"MONITOR DE SIGNOS VITALES"</f>
        <v>MONITOR DE SIGNOS VITALES</v>
      </c>
      <c r="C755" s="6">
        <v>9470000</v>
      </c>
      <c r="D755" s="5" t="s">
        <v>119</v>
      </c>
      <c r="E755" s="5" t="str">
        <f t="shared" si="31"/>
        <v>ACTISALUD-MEDICINA INTERNA- PISO 7</v>
      </c>
      <c r="F755" s="5"/>
      <c r="G755" s="5"/>
    </row>
    <row r="756" spans="1:7" ht="58.5" customHeight="1" x14ac:dyDescent="0.25">
      <c r="A756" s="5" t="str">
        <f>"H0033248"</f>
        <v>H0033248</v>
      </c>
      <c r="B756" s="5" t="str">
        <f>"MONITOR DE SIGNOS VITALES"</f>
        <v>MONITOR DE SIGNOS VITALES</v>
      </c>
      <c r="C756" s="6">
        <v>9470000</v>
      </c>
      <c r="D756" s="5" t="s">
        <v>119</v>
      </c>
      <c r="E756" s="5" t="str">
        <f t="shared" si="31"/>
        <v>ACTISALUD-MEDICINA INTERNA- PISO 7</v>
      </c>
      <c r="F756" s="5"/>
      <c r="G756" s="5"/>
    </row>
    <row r="757" spans="1:7" ht="58.5" customHeight="1" x14ac:dyDescent="0.25">
      <c r="A757" s="5" t="str">
        <f>"H0033503"</f>
        <v>H0033503</v>
      </c>
      <c r="B757" s="5" t="str">
        <f t="shared" ref="B757:B770" si="32">"BOMBA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757" s="6">
        <v>2533333</v>
      </c>
      <c r="D757" s="5" t="s">
        <v>120</v>
      </c>
      <c r="E757" s="5" t="str">
        <f t="shared" si="31"/>
        <v>ACTISALUD-MEDICINA INTERNA- PISO 7</v>
      </c>
      <c r="F757" s="5"/>
      <c r="G757" s="5"/>
    </row>
    <row r="758" spans="1:7" ht="58.5" customHeight="1" x14ac:dyDescent="0.25">
      <c r="A758" s="5" t="str">
        <f>"H0033522"</f>
        <v>H0033522</v>
      </c>
      <c r="B758" s="5" t="str">
        <f t="shared" si="32"/>
        <v>BOMBA DE INFUSION. Apilables.5 modos. 01-1200 ml/h. 0.1 ml incr. Compatible con set de infusión genérico. anti-bolo. Detección de aire. Alarmas visuales audibles. Bitacora 1.000 reg. Batería de litio</v>
      </c>
      <c r="C758" s="6">
        <v>2533333</v>
      </c>
      <c r="D758" s="5" t="s">
        <v>120</v>
      </c>
      <c r="E758" s="5" t="str">
        <f t="shared" si="31"/>
        <v>ACTISALUD-MEDICINA INTERNA- PISO 7</v>
      </c>
      <c r="F758" s="5"/>
      <c r="G758" s="5"/>
    </row>
    <row r="759" spans="1:7" ht="58.5" customHeight="1" x14ac:dyDescent="0.25">
      <c r="A759" s="5" t="str">
        <f>"H0033534"</f>
        <v>H0033534</v>
      </c>
      <c r="B759" s="5" t="str">
        <f t="shared" si="32"/>
        <v>BOMBA DE INFUSION. Apilables.5 modos. 01-1200 ml/h. 0.1 ml incr. Compatible con set de infusión genérico. anti-bolo. Detección de aire. Alarmas visuales audibles. Bitacora 1.000 reg. Batería de litio</v>
      </c>
      <c r="C759" s="6">
        <v>2533333</v>
      </c>
      <c r="D759" s="5" t="s">
        <v>120</v>
      </c>
      <c r="E759" s="5" t="str">
        <f t="shared" si="31"/>
        <v>ACTISALUD-MEDICINA INTERNA- PISO 7</v>
      </c>
      <c r="F759" s="5"/>
      <c r="G759" s="5"/>
    </row>
    <row r="760" spans="1:7" ht="58.5" customHeight="1" x14ac:dyDescent="0.25">
      <c r="A760" s="5" t="str">
        <f>"H0033563"</f>
        <v>H0033563</v>
      </c>
      <c r="B760" s="5" t="str">
        <f t="shared" si="32"/>
        <v>BOMBA DE INFUSION. Apilables.5 modos. 01-1200 ml/h. 0.1 ml incr. Compatible con set de infusión genérico. anti-bolo. Detección de aire. Alarmas visuales audibles. Bitacora 1.000 reg. Batería de litio</v>
      </c>
      <c r="C760" s="6">
        <v>2533333</v>
      </c>
      <c r="D760" s="5" t="s">
        <v>120</v>
      </c>
      <c r="E760" s="5" t="str">
        <f t="shared" si="31"/>
        <v>ACTISALUD-MEDICINA INTERNA- PISO 7</v>
      </c>
      <c r="F760" s="5"/>
      <c r="G760" s="5"/>
    </row>
    <row r="761" spans="1:7" ht="58.5" customHeight="1" x14ac:dyDescent="0.25">
      <c r="A761" s="5" t="str">
        <f>"H0033610"</f>
        <v>H0033610</v>
      </c>
      <c r="B761" s="5" t="str">
        <f t="shared" si="32"/>
        <v>BOMBA DE INFUSION. Apilables.5 modos. 01-1200 ml/h. 0.1 ml incr. Compatible con set de infusión genérico. anti-bolo. Detección de aire. Alarmas visuales audibles. Bitacora 1.000 reg. Batería de litio</v>
      </c>
      <c r="C761" s="6">
        <v>2533333</v>
      </c>
      <c r="D761" s="5" t="s">
        <v>120</v>
      </c>
      <c r="E761" s="5" t="str">
        <f t="shared" si="31"/>
        <v>ACTISALUD-MEDICINA INTERNA- PISO 7</v>
      </c>
      <c r="F761" s="5"/>
      <c r="G761" s="5"/>
    </row>
    <row r="762" spans="1:7" ht="58.5" customHeight="1" x14ac:dyDescent="0.25">
      <c r="A762" s="5" t="str">
        <f>"H0033620"</f>
        <v>H0033620</v>
      </c>
      <c r="B762" s="5" t="str">
        <f t="shared" si="32"/>
        <v>BOMBA DE INFUSION. Apilables.5 modos. 01-1200 ml/h. 0.1 ml incr. Compatible con set de infusión genérico. anti-bolo. Detección de aire. Alarmas visuales audibles. Bitacora 1.000 reg. Batería de litio</v>
      </c>
      <c r="C762" s="6">
        <v>2533333</v>
      </c>
      <c r="D762" s="5" t="s">
        <v>121</v>
      </c>
      <c r="E762" s="5" t="str">
        <f t="shared" si="31"/>
        <v>ACTISALUD-MEDICINA INTERNA- PISO 7</v>
      </c>
      <c r="F762" s="5"/>
      <c r="G762" s="5"/>
    </row>
    <row r="763" spans="1:7" ht="58.5" customHeight="1" x14ac:dyDescent="0.25">
      <c r="A763" s="5" t="str">
        <f>"H0033686"</f>
        <v>H0033686</v>
      </c>
      <c r="B763" s="5" t="str">
        <f t="shared" si="32"/>
        <v>BOMBA DE INFUSION. Apilables.5 modos. 01-1200 ml/h. 0.1 ml incr. Compatible con set de infusión genérico. anti-bolo. Detección de aire. Alarmas visuales audibles. Bitacora 1.000 reg. Batería de litio</v>
      </c>
      <c r="C763" s="6">
        <v>2533333</v>
      </c>
      <c r="D763" s="5" t="s">
        <v>120</v>
      </c>
      <c r="E763" s="5" t="str">
        <f t="shared" si="31"/>
        <v>ACTISALUD-MEDICINA INTERNA- PISO 7</v>
      </c>
      <c r="F763" s="5"/>
      <c r="G763" s="5"/>
    </row>
    <row r="764" spans="1:7" ht="58.5" customHeight="1" x14ac:dyDescent="0.25">
      <c r="A764" s="5" t="str">
        <f>"H0033710"</f>
        <v>H0033710</v>
      </c>
      <c r="B764" s="5" t="str">
        <f t="shared" si="32"/>
        <v>BOMBA DE INFUSION. Apilables.5 modos. 01-1200 ml/h. 0.1 ml incr. Compatible con set de infusión genérico. anti-bolo. Detección de aire. Alarmas visuales audibles. Bitacora 1.000 reg. Batería de litio</v>
      </c>
      <c r="C764" s="6">
        <v>2533333</v>
      </c>
      <c r="D764" s="5" t="s">
        <v>120</v>
      </c>
      <c r="E764" s="5" t="str">
        <f t="shared" si="31"/>
        <v>ACTISALUD-MEDICINA INTERNA- PISO 7</v>
      </c>
      <c r="F764" s="5"/>
      <c r="G764" s="5"/>
    </row>
    <row r="765" spans="1:7" ht="58.5" customHeight="1" x14ac:dyDescent="0.25">
      <c r="A765" s="5" t="str">
        <f>"H0033713"</f>
        <v>H0033713</v>
      </c>
      <c r="B765" s="5" t="str">
        <f t="shared" si="32"/>
        <v>BOMBA DE INFUSION. Apilables.5 modos. 01-1200 ml/h. 0.1 ml incr. Compatible con set de infusión genérico. anti-bolo. Detección de aire. Alarmas visuales audibles. Bitacora 1.000 reg. Batería de litio</v>
      </c>
      <c r="C765" s="6">
        <v>2533333</v>
      </c>
      <c r="D765" s="5" t="s">
        <v>120</v>
      </c>
      <c r="E765" s="5" t="str">
        <f t="shared" si="31"/>
        <v>ACTISALUD-MEDICINA INTERNA- PISO 7</v>
      </c>
      <c r="F765" s="5"/>
      <c r="G765" s="5"/>
    </row>
    <row r="766" spans="1:7" ht="58.5" customHeight="1" x14ac:dyDescent="0.25">
      <c r="A766" s="5" t="str">
        <f>"H0033714"</f>
        <v>H0033714</v>
      </c>
      <c r="B766" s="5" t="str">
        <f t="shared" si="32"/>
        <v>BOMBA DE INFUSION. Apilables.5 modos. 01-1200 ml/h. 0.1 ml incr. Compatible con set de infusión genérico. anti-bolo. Detección de aire. Alarmas visuales audibles. Bitacora 1.000 reg. Batería de litio</v>
      </c>
      <c r="C766" s="6">
        <v>2533333</v>
      </c>
      <c r="D766" s="5" t="s">
        <v>120</v>
      </c>
      <c r="E766" s="5" t="str">
        <f t="shared" si="31"/>
        <v>ACTISALUD-MEDICINA INTERNA- PISO 7</v>
      </c>
      <c r="F766" s="5"/>
      <c r="G766" s="5"/>
    </row>
    <row r="767" spans="1:7" ht="58.5" customHeight="1" x14ac:dyDescent="0.25">
      <c r="A767" s="5" t="str">
        <f>"H0033816"</f>
        <v>H0033816</v>
      </c>
      <c r="B767" s="5" t="str">
        <f t="shared" si="32"/>
        <v>BOMBA DE INFUSION. Apilables.5 modos. 01-1200 ml/h. 0.1 ml incr. Compatible con set de infusión genérico. anti-bolo. Detección de aire. Alarmas visuales audibles. Bitacora 1.000 reg. Batería de litio</v>
      </c>
      <c r="C767" s="6">
        <v>2533333</v>
      </c>
      <c r="D767" s="5" t="s">
        <v>120</v>
      </c>
      <c r="E767" s="5" t="str">
        <f t="shared" si="31"/>
        <v>ACTISALUD-MEDICINA INTERNA- PISO 7</v>
      </c>
      <c r="F767" s="5"/>
      <c r="G767" s="5"/>
    </row>
    <row r="768" spans="1:7" ht="58.5" customHeight="1" x14ac:dyDescent="0.25">
      <c r="A768" s="5" t="str">
        <f>"H0033853"</f>
        <v>H0033853</v>
      </c>
      <c r="B768" s="5" t="str">
        <f t="shared" si="32"/>
        <v>BOMBA DE INFUSION. Apilables.5 modos. 01-1200 ml/h. 0.1 ml incr. Compatible con set de infusión genérico. anti-bolo. Detección de aire. Alarmas visuales audibles. Bitacora 1.000 reg. Batería de litio</v>
      </c>
      <c r="C768" s="6">
        <v>2533333</v>
      </c>
      <c r="D768" s="5" t="s">
        <v>120</v>
      </c>
      <c r="E768" s="5" t="str">
        <f t="shared" si="31"/>
        <v>ACTISALUD-MEDICINA INTERNA- PISO 7</v>
      </c>
      <c r="F768" s="5"/>
      <c r="G768" s="5"/>
    </row>
    <row r="769" spans="1:7" ht="58.5" customHeight="1" x14ac:dyDescent="0.25">
      <c r="A769" s="5" t="str">
        <f>"H0033859"</f>
        <v>H0033859</v>
      </c>
      <c r="B769" s="5" t="str">
        <f t="shared" si="32"/>
        <v>BOMBA DE INFUSION. Apilables.5 modos. 01-1200 ml/h. 0.1 ml incr. Compatible con set de infusión genérico. anti-bolo. Detección de aire. Alarmas visuales audibles. Bitacora 1.000 reg. Batería de litio</v>
      </c>
      <c r="C769" s="6">
        <v>2533333</v>
      </c>
      <c r="D769" s="5" t="s">
        <v>120</v>
      </c>
      <c r="E769" s="5" t="str">
        <f t="shared" si="31"/>
        <v>ACTISALUD-MEDICINA INTERNA- PISO 7</v>
      </c>
      <c r="F769" s="5"/>
      <c r="G769" s="5"/>
    </row>
    <row r="770" spans="1:7" ht="58.5" customHeight="1" x14ac:dyDescent="0.25">
      <c r="A770" s="5" t="str">
        <f>"H0033866"</f>
        <v>H0033866</v>
      </c>
      <c r="B770" s="5" t="str">
        <f t="shared" si="32"/>
        <v>BOMBA DE INFUSION. Apilables.5 modos. 01-1200 ml/h. 0.1 ml incr. Compatible con set de infusión genérico. anti-bolo. Detección de aire. Alarmas visuales audibles. Bitacora 1.000 reg. Batería de litio</v>
      </c>
      <c r="C770" s="6">
        <v>2533333</v>
      </c>
      <c r="D770" s="5" t="s">
        <v>120</v>
      </c>
      <c r="E770" s="5" t="str">
        <f t="shared" si="31"/>
        <v>ACTISALUD-MEDICINA INTERNA- PISO 7</v>
      </c>
      <c r="F770" s="5"/>
      <c r="G770" s="5"/>
    </row>
    <row r="771" spans="1:7" ht="58.5" customHeight="1" x14ac:dyDescent="0.25">
      <c r="A771" s="5" t="str">
        <f>"H0033920"</f>
        <v>H0033920</v>
      </c>
      <c r="B771" s="5" t="str">
        <f>"LECTOR DE HUELLAS DIGITALES"</f>
        <v>LECTOR DE HUELLAS DIGITALES</v>
      </c>
      <c r="C771" s="6">
        <v>340340</v>
      </c>
      <c r="D771" s="5" t="s">
        <v>119</v>
      </c>
      <c r="E771" s="5" t="str">
        <f t="shared" si="31"/>
        <v>ACTISALUD-MEDICINA INTERNA- PISO 7</v>
      </c>
      <c r="F771" s="5"/>
      <c r="G771" s="5"/>
    </row>
    <row r="772" spans="1:7" ht="58.5" customHeight="1" x14ac:dyDescent="0.25">
      <c r="A772" s="5" t="str">
        <f>"H0033951"</f>
        <v>H0033951</v>
      </c>
      <c r="B772" s="5" t="str">
        <f>"LECTOR DE HUELLAS DIGITALES"</f>
        <v>LECTOR DE HUELLAS DIGITALES</v>
      </c>
      <c r="C772" s="6">
        <v>340340</v>
      </c>
      <c r="D772" s="5" t="s">
        <v>119</v>
      </c>
      <c r="E772" s="5" t="str">
        <f t="shared" si="31"/>
        <v>ACTISALUD-MEDICINA INTERNA- PISO 7</v>
      </c>
      <c r="F772" s="5"/>
      <c r="G772" s="5"/>
    </row>
    <row r="773" spans="1:7" ht="58.5" customHeight="1" x14ac:dyDescent="0.25">
      <c r="A773" s="5" t="str">
        <f>"H0033984"</f>
        <v>H0033984</v>
      </c>
      <c r="B773" s="5" t="str">
        <f>"TELEVISOR (DONACION)"</f>
        <v>TELEVISOR (DONACION)</v>
      </c>
      <c r="C773" s="6">
        <v>1149900</v>
      </c>
      <c r="D773" s="5" t="s">
        <v>122</v>
      </c>
      <c r="E773" s="5" t="str">
        <f t="shared" si="31"/>
        <v>ACTISALUD-MEDICINA INTERNA- PISO 7</v>
      </c>
      <c r="F773" s="5"/>
      <c r="G773" s="5"/>
    </row>
    <row r="774" spans="1:7" ht="58.5" customHeight="1" x14ac:dyDescent="0.25">
      <c r="A774" s="5" t="str">
        <f>"H0034612"</f>
        <v>H0034612</v>
      </c>
      <c r="B774" s="5" t="str">
        <f>"succionador (DONACION)"</f>
        <v>succionador (DONACION)</v>
      </c>
      <c r="C774" s="6">
        <v>6216000</v>
      </c>
      <c r="D774" s="5" t="s">
        <v>123</v>
      </c>
      <c r="E774" s="5" t="str">
        <f t="shared" si="31"/>
        <v>ACTISALUD-MEDICINA INTERNA- PISO 7</v>
      </c>
      <c r="F774" s="5"/>
      <c r="G774" s="5"/>
    </row>
    <row r="775" spans="1:7" ht="58.5" customHeight="1" x14ac:dyDescent="0.25">
      <c r="A775" s="5" t="str">
        <f>"H0034708"</f>
        <v>H0034708</v>
      </c>
      <c r="B775" s="5" t="str">
        <f>"BOMBA DE NUTRICION (DONACION)"</f>
        <v>BOMBA DE NUTRICION (DONACION)</v>
      </c>
      <c r="C775" s="6">
        <v>5850000</v>
      </c>
      <c r="D775" s="5" t="s">
        <v>124</v>
      </c>
      <c r="E775" s="5" t="str">
        <f t="shared" si="31"/>
        <v>ACTISALUD-MEDICINA INTERNA- PISO 7</v>
      </c>
      <c r="F775" s="5"/>
      <c r="G775" s="5" t="str">
        <f>"ENTEROPORT PLUS"</f>
        <v>ENTEROPORT PLUS</v>
      </c>
    </row>
    <row r="776" spans="1:7" ht="58.5" customHeight="1" x14ac:dyDescent="0.25">
      <c r="A776" s="5" t="str">
        <f>"H0034709"</f>
        <v>H0034709</v>
      </c>
      <c r="B776" s="5" t="str">
        <f>"BOMBA DE NUTRICION (DONACION)"</f>
        <v>BOMBA DE NUTRICION (DONACION)</v>
      </c>
      <c r="C776" s="6">
        <v>5850000</v>
      </c>
      <c r="D776" s="5" t="s">
        <v>124</v>
      </c>
      <c r="E776" s="5" t="str">
        <f t="shared" si="31"/>
        <v>ACTISALUD-MEDICINA INTERNA- PISO 7</v>
      </c>
      <c r="F776" s="5"/>
      <c r="G776" s="5" t="str">
        <f>"ENTEROPORT PLUS"</f>
        <v>ENTEROPORT PLUS</v>
      </c>
    </row>
    <row r="777" spans="1:7" ht="58.5" customHeight="1" x14ac:dyDescent="0.25">
      <c r="A777" s="5" t="str">
        <f>"H0035121"</f>
        <v>H0035121</v>
      </c>
      <c r="B777" s="5" t="str">
        <f t="shared" ref="B777:B782" si="33">"VENTILADOR DE PARED"</f>
        <v>VENTILADOR DE PARED</v>
      </c>
      <c r="C777" s="6">
        <v>130000.37</v>
      </c>
      <c r="D777" s="5" t="s">
        <v>25</v>
      </c>
      <c r="E777" s="5" t="str">
        <f t="shared" si="31"/>
        <v>ACTISALUD-MEDICINA INTERNA- PISO 7</v>
      </c>
      <c r="F777" s="5"/>
      <c r="G777" s="5"/>
    </row>
    <row r="778" spans="1:7" ht="58.5" customHeight="1" x14ac:dyDescent="0.25">
      <c r="A778" s="5" t="str">
        <f>"H0035130"</f>
        <v>H0035130</v>
      </c>
      <c r="B778" s="5" t="str">
        <f t="shared" si="33"/>
        <v>VENTILADOR DE PARED</v>
      </c>
      <c r="C778" s="6">
        <v>130000.37</v>
      </c>
      <c r="D778" s="5" t="s">
        <v>25</v>
      </c>
      <c r="E778" s="5" t="str">
        <f t="shared" si="31"/>
        <v>ACTISALUD-MEDICINA INTERNA- PISO 7</v>
      </c>
      <c r="F778" s="5"/>
      <c r="G778" s="5"/>
    </row>
    <row r="779" spans="1:7" ht="58.5" customHeight="1" x14ac:dyDescent="0.25">
      <c r="A779" s="5" t="str">
        <f>"H0035131"</f>
        <v>H0035131</v>
      </c>
      <c r="B779" s="5" t="str">
        <f t="shared" si="33"/>
        <v>VENTILADOR DE PARED</v>
      </c>
      <c r="C779" s="6">
        <v>130000.37</v>
      </c>
      <c r="D779" s="5" t="s">
        <v>25</v>
      </c>
      <c r="E779" s="5" t="str">
        <f t="shared" si="31"/>
        <v>ACTISALUD-MEDICINA INTERNA- PISO 7</v>
      </c>
      <c r="F779" s="5"/>
      <c r="G779" s="5"/>
    </row>
    <row r="780" spans="1:7" ht="58.5" customHeight="1" x14ac:dyDescent="0.25">
      <c r="A780" s="5" t="str">
        <f>"H0035132"</f>
        <v>H0035132</v>
      </c>
      <c r="B780" s="5" t="str">
        <f t="shared" si="33"/>
        <v>VENTILADOR DE PARED</v>
      </c>
      <c r="C780" s="6">
        <v>130000.37</v>
      </c>
      <c r="D780" s="5" t="s">
        <v>25</v>
      </c>
      <c r="E780" s="5" t="str">
        <f t="shared" si="31"/>
        <v>ACTISALUD-MEDICINA INTERNA- PISO 7</v>
      </c>
      <c r="F780" s="5"/>
      <c r="G780" s="5"/>
    </row>
    <row r="781" spans="1:7" ht="58.5" customHeight="1" x14ac:dyDescent="0.25">
      <c r="A781" s="5" t="str">
        <f>"H0035133"</f>
        <v>H0035133</v>
      </c>
      <c r="B781" s="5" t="str">
        <f t="shared" si="33"/>
        <v>VENTILADOR DE PARED</v>
      </c>
      <c r="C781" s="6">
        <v>130000.37</v>
      </c>
      <c r="D781" s="5" t="s">
        <v>25</v>
      </c>
      <c r="E781" s="5" t="str">
        <f t="shared" si="31"/>
        <v>ACTISALUD-MEDICINA INTERNA- PISO 7</v>
      </c>
      <c r="F781" s="5"/>
      <c r="G781" s="5"/>
    </row>
    <row r="782" spans="1:7" ht="58.5" customHeight="1" x14ac:dyDescent="0.25">
      <c r="A782" s="5" t="str">
        <f>"H0035135"</f>
        <v>H0035135</v>
      </c>
      <c r="B782" s="5" t="str">
        <f t="shared" si="33"/>
        <v>VENTILADOR DE PARED</v>
      </c>
      <c r="C782" s="6">
        <v>130000.37</v>
      </c>
      <c r="D782" s="5" t="s">
        <v>25</v>
      </c>
      <c r="E782" s="5" t="str">
        <f t="shared" ref="E782:E845" si="34">"ACTISALUD-MEDICINA INTERNA- PISO 7"</f>
        <v>ACTISALUD-MEDICINA INTERNA- PISO 7</v>
      </c>
      <c r="F782" s="5"/>
      <c r="G782" s="5"/>
    </row>
    <row r="783" spans="1:7" ht="58.5" customHeight="1" x14ac:dyDescent="0.25">
      <c r="A783" s="5" t="str">
        <f>"H0035156"</f>
        <v>H0035156</v>
      </c>
      <c r="B783" s="5" t="str">
        <f>"SILLA DE RUEDAS (DONACION)"</f>
        <v>SILLA DE RUEDAS (DONACION)</v>
      </c>
      <c r="C783" s="6">
        <v>500000</v>
      </c>
      <c r="D783" s="5" t="s">
        <v>125</v>
      </c>
      <c r="E783" s="5" t="str">
        <f t="shared" si="34"/>
        <v>ACTISALUD-MEDICINA INTERNA- PISO 7</v>
      </c>
      <c r="F783" s="5"/>
      <c r="G783" s="5"/>
    </row>
    <row r="784" spans="1:7" ht="58.5" customHeight="1" x14ac:dyDescent="0.25">
      <c r="A784" s="5" t="str">
        <f>"H0035219"</f>
        <v>H0035219</v>
      </c>
      <c r="B784" s="5" t="str">
        <f>"LECTOR DE HUELLAS DIGITALES"</f>
        <v>LECTOR DE HUELLAS DIGITALES</v>
      </c>
      <c r="C784" s="6">
        <v>357666.4</v>
      </c>
      <c r="D784" s="5" t="s">
        <v>126</v>
      </c>
      <c r="E784" s="5" t="str">
        <f t="shared" si="34"/>
        <v>ACTISALUD-MEDICINA INTERNA- PISO 7</v>
      </c>
      <c r="F784" s="5"/>
      <c r="G784" s="5"/>
    </row>
    <row r="785" spans="1:7" ht="58.5" customHeight="1" x14ac:dyDescent="0.25">
      <c r="A785" s="5" t="str">
        <f>"H0035223"</f>
        <v>H0035223</v>
      </c>
      <c r="B785" s="5" t="str">
        <f>"LECTOR DE HUELLAS DIGITALES"</f>
        <v>LECTOR DE HUELLAS DIGITALES</v>
      </c>
      <c r="C785" s="6">
        <v>357666.4</v>
      </c>
      <c r="D785" s="5" t="s">
        <v>126</v>
      </c>
      <c r="E785" s="5" t="str">
        <f t="shared" si="34"/>
        <v>ACTISALUD-MEDICINA INTERNA- PISO 7</v>
      </c>
      <c r="F785" s="5"/>
      <c r="G785" s="5"/>
    </row>
    <row r="786" spans="1:7" ht="58.5" customHeight="1" x14ac:dyDescent="0.25">
      <c r="A786" s="5" t="str">
        <f>"H0035315"</f>
        <v>H0035315</v>
      </c>
      <c r="B786" s="5" t="s">
        <v>128</v>
      </c>
      <c r="C786" s="6">
        <v>5462100</v>
      </c>
      <c r="D786" s="5" t="s">
        <v>127</v>
      </c>
      <c r="E786" s="5" t="str">
        <f t="shared" si="34"/>
        <v>ACTISALUD-MEDICINA INTERNA- PISO 7</v>
      </c>
      <c r="F786" s="5"/>
      <c r="G786" s="5" t="str">
        <f>"202G4AIO"</f>
        <v>202G4AIO</v>
      </c>
    </row>
    <row r="787" spans="1:7" ht="58.5" customHeight="1" x14ac:dyDescent="0.25">
      <c r="A787" s="5" t="str">
        <f>"H0035330"</f>
        <v>H0035330</v>
      </c>
      <c r="B787" s="5" t="s">
        <v>128</v>
      </c>
      <c r="C787" s="6">
        <v>5462100</v>
      </c>
      <c r="D787" s="5" t="s">
        <v>127</v>
      </c>
      <c r="E787" s="5" t="str">
        <f t="shared" si="34"/>
        <v>ACTISALUD-MEDICINA INTERNA- PISO 7</v>
      </c>
      <c r="F787" s="5"/>
      <c r="G787" s="5"/>
    </row>
    <row r="788" spans="1:7" ht="58.5" customHeight="1" x14ac:dyDescent="0.25">
      <c r="A788" s="5" t="str">
        <f>"H0035393"</f>
        <v>H0035393</v>
      </c>
      <c r="B788" s="5" t="str">
        <f>"MONITOR DE SIGNOS VITALES (DONACION)"</f>
        <v>MONITOR DE SIGNOS VITALES (DONACION)</v>
      </c>
      <c r="C788" s="6">
        <v>11471250</v>
      </c>
      <c r="D788" s="5" t="s">
        <v>129</v>
      </c>
      <c r="E788" s="5" t="str">
        <f t="shared" si="34"/>
        <v>ACTISALUD-MEDICINA INTERNA- PISO 7</v>
      </c>
      <c r="F788" s="5"/>
      <c r="G788" s="5" t="str">
        <f>"PM200M"</f>
        <v>PM200M</v>
      </c>
    </row>
    <row r="789" spans="1:7" ht="58.5" customHeight="1" x14ac:dyDescent="0.25">
      <c r="A789" s="5" t="str">
        <f>"H0035437"</f>
        <v>H0035437</v>
      </c>
      <c r="B789" s="5" t="str">
        <f t="shared" ref="B789:B803" si="35">"CAMA HOSPITALARIA (DONACION)"</f>
        <v>CAMA HOSPITALARIA (DONACION)</v>
      </c>
      <c r="C789" s="6">
        <v>7594755</v>
      </c>
      <c r="D789" s="5" t="s">
        <v>130</v>
      </c>
      <c r="E789" s="5" t="str">
        <f t="shared" si="34"/>
        <v>ACTISALUD-MEDICINA INTERNA- PISO 7</v>
      </c>
      <c r="F789" s="5"/>
      <c r="G789" s="5"/>
    </row>
    <row r="790" spans="1:7" ht="58.5" customHeight="1" x14ac:dyDescent="0.25">
      <c r="A790" s="5" t="str">
        <f>"H0035438"</f>
        <v>H0035438</v>
      </c>
      <c r="B790" s="5" t="str">
        <f t="shared" si="35"/>
        <v>CAMA HOSPITALARIA (DONACION)</v>
      </c>
      <c r="C790" s="6">
        <v>7594755</v>
      </c>
      <c r="D790" s="5" t="s">
        <v>130</v>
      </c>
      <c r="E790" s="5" t="str">
        <f t="shared" si="34"/>
        <v>ACTISALUD-MEDICINA INTERNA- PISO 7</v>
      </c>
      <c r="F790" s="5"/>
      <c r="G790" s="5"/>
    </row>
    <row r="791" spans="1:7" ht="58.5" customHeight="1" x14ac:dyDescent="0.25">
      <c r="A791" s="5" t="str">
        <f>"H0035439"</f>
        <v>H0035439</v>
      </c>
      <c r="B791" s="5" t="str">
        <f t="shared" si="35"/>
        <v>CAMA HOSPITALARIA (DONACION)</v>
      </c>
      <c r="C791" s="6">
        <v>7594755</v>
      </c>
      <c r="D791" s="5" t="s">
        <v>130</v>
      </c>
      <c r="E791" s="5" t="str">
        <f t="shared" si="34"/>
        <v>ACTISALUD-MEDICINA INTERNA- PISO 7</v>
      </c>
      <c r="F791" s="5"/>
      <c r="G791" s="5"/>
    </row>
    <row r="792" spans="1:7" ht="58.5" customHeight="1" x14ac:dyDescent="0.25">
      <c r="A792" s="5" t="str">
        <f>"H0035440"</f>
        <v>H0035440</v>
      </c>
      <c r="B792" s="5" t="str">
        <f t="shared" si="35"/>
        <v>CAMA HOSPITALARIA (DONACION)</v>
      </c>
      <c r="C792" s="6">
        <v>7594755</v>
      </c>
      <c r="D792" s="5" t="s">
        <v>130</v>
      </c>
      <c r="E792" s="5" t="str">
        <f t="shared" si="34"/>
        <v>ACTISALUD-MEDICINA INTERNA- PISO 7</v>
      </c>
      <c r="F792" s="5"/>
      <c r="G792" s="5"/>
    </row>
    <row r="793" spans="1:7" ht="58.5" customHeight="1" x14ac:dyDescent="0.25">
      <c r="A793" s="5" t="str">
        <f>"H0035441"</f>
        <v>H0035441</v>
      </c>
      <c r="B793" s="5" t="str">
        <f t="shared" si="35"/>
        <v>CAMA HOSPITALARIA (DONACION)</v>
      </c>
      <c r="C793" s="6">
        <v>7594755</v>
      </c>
      <c r="D793" s="5" t="s">
        <v>130</v>
      </c>
      <c r="E793" s="5" t="str">
        <f t="shared" si="34"/>
        <v>ACTISALUD-MEDICINA INTERNA- PISO 7</v>
      </c>
      <c r="F793" s="5"/>
      <c r="G793" s="5"/>
    </row>
    <row r="794" spans="1:7" ht="58.5" customHeight="1" x14ac:dyDescent="0.25">
      <c r="A794" s="5" t="str">
        <f>"H0035442"</f>
        <v>H0035442</v>
      </c>
      <c r="B794" s="5" t="str">
        <f t="shared" si="35"/>
        <v>CAMA HOSPITALARIA (DONACION)</v>
      </c>
      <c r="C794" s="6">
        <v>7594755</v>
      </c>
      <c r="D794" s="5" t="s">
        <v>130</v>
      </c>
      <c r="E794" s="5" t="str">
        <f t="shared" si="34"/>
        <v>ACTISALUD-MEDICINA INTERNA- PISO 7</v>
      </c>
      <c r="F794" s="5"/>
      <c r="G794" s="5"/>
    </row>
    <row r="795" spans="1:7" ht="58.5" customHeight="1" x14ac:dyDescent="0.25">
      <c r="A795" s="5" t="str">
        <f>"H0035443"</f>
        <v>H0035443</v>
      </c>
      <c r="B795" s="5" t="str">
        <f t="shared" si="35"/>
        <v>CAMA HOSPITALARIA (DONACION)</v>
      </c>
      <c r="C795" s="6">
        <v>7594755</v>
      </c>
      <c r="D795" s="5" t="s">
        <v>130</v>
      </c>
      <c r="E795" s="5" t="str">
        <f t="shared" si="34"/>
        <v>ACTISALUD-MEDICINA INTERNA- PISO 7</v>
      </c>
      <c r="F795" s="5"/>
      <c r="G795" s="5"/>
    </row>
    <row r="796" spans="1:7" ht="58.5" customHeight="1" x14ac:dyDescent="0.25">
      <c r="A796" s="5" t="str">
        <f>"H0035444"</f>
        <v>H0035444</v>
      </c>
      <c r="B796" s="5" t="str">
        <f t="shared" si="35"/>
        <v>CAMA HOSPITALARIA (DONACION)</v>
      </c>
      <c r="C796" s="6">
        <v>7594755</v>
      </c>
      <c r="D796" s="5" t="s">
        <v>130</v>
      </c>
      <c r="E796" s="5" t="str">
        <f t="shared" si="34"/>
        <v>ACTISALUD-MEDICINA INTERNA- PISO 7</v>
      </c>
      <c r="F796" s="5"/>
      <c r="G796" s="5"/>
    </row>
    <row r="797" spans="1:7" ht="58.5" customHeight="1" x14ac:dyDescent="0.25">
      <c r="A797" s="5" t="str">
        <f>"H0035445"</f>
        <v>H0035445</v>
      </c>
      <c r="B797" s="5" t="str">
        <f t="shared" si="35"/>
        <v>CAMA HOSPITALARIA (DONACION)</v>
      </c>
      <c r="C797" s="6">
        <v>7594755</v>
      </c>
      <c r="D797" s="5" t="s">
        <v>130</v>
      </c>
      <c r="E797" s="5" t="str">
        <f t="shared" si="34"/>
        <v>ACTISALUD-MEDICINA INTERNA- PISO 7</v>
      </c>
      <c r="F797" s="5"/>
      <c r="G797" s="5"/>
    </row>
    <row r="798" spans="1:7" ht="58.5" customHeight="1" x14ac:dyDescent="0.25">
      <c r="A798" s="5" t="str">
        <f>"H0035446"</f>
        <v>H0035446</v>
      </c>
      <c r="B798" s="5" t="str">
        <f t="shared" si="35"/>
        <v>CAMA HOSPITALARIA (DONACION)</v>
      </c>
      <c r="C798" s="6">
        <v>7594755</v>
      </c>
      <c r="D798" s="5" t="s">
        <v>130</v>
      </c>
      <c r="E798" s="5" t="str">
        <f t="shared" si="34"/>
        <v>ACTISALUD-MEDICINA INTERNA- PISO 7</v>
      </c>
      <c r="F798" s="5"/>
      <c r="G798" s="5"/>
    </row>
    <row r="799" spans="1:7" ht="58.5" customHeight="1" x14ac:dyDescent="0.25">
      <c r="A799" s="5" t="str">
        <f>"H0035460"</f>
        <v>H0035460</v>
      </c>
      <c r="B799" s="5" t="str">
        <f t="shared" si="35"/>
        <v>CAMA HOSPITALARIA (DONACION)</v>
      </c>
      <c r="C799" s="6">
        <v>7594755</v>
      </c>
      <c r="D799" s="5" t="s">
        <v>130</v>
      </c>
      <c r="E799" s="5" t="str">
        <f t="shared" si="34"/>
        <v>ACTISALUD-MEDICINA INTERNA- PISO 7</v>
      </c>
      <c r="F799" s="5"/>
      <c r="G799" s="5"/>
    </row>
    <row r="800" spans="1:7" ht="58.5" customHeight="1" x14ac:dyDescent="0.25">
      <c r="A800" s="5" t="str">
        <f>"H0035461"</f>
        <v>H0035461</v>
      </c>
      <c r="B800" s="5" t="str">
        <f t="shared" si="35"/>
        <v>CAMA HOSPITALARIA (DONACION)</v>
      </c>
      <c r="C800" s="6">
        <v>7594755</v>
      </c>
      <c r="D800" s="5" t="s">
        <v>130</v>
      </c>
      <c r="E800" s="5" t="str">
        <f t="shared" si="34"/>
        <v>ACTISALUD-MEDICINA INTERNA- PISO 7</v>
      </c>
      <c r="F800" s="5"/>
      <c r="G800" s="5"/>
    </row>
    <row r="801" spans="1:7" ht="58.5" customHeight="1" x14ac:dyDescent="0.25">
      <c r="A801" s="5" t="str">
        <f>"H0035462"</f>
        <v>H0035462</v>
      </c>
      <c r="B801" s="5" t="str">
        <f t="shared" si="35"/>
        <v>CAMA HOSPITALARIA (DONACION)</v>
      </c>
      <c r="C801" s="6">
        <v>7594755</v>
      </c>
      <c r="D801" s="5" t="s">
        <v>130</v>
      </c>
      <c r="E801" s="5" t="str">
        <f t="shared" si="34"/>
        <v>ACTISALUD-MEDICINA INTERNA- PISO 7</v>
      </c>
      <c r="F801" s="5"/>
      <c r="G801" s="5"/>
    </row>
    <row r="802" spans="1:7" ht="58.5" customHeight="1" x14ac:dyDescent="0.25">
      <c r="A802" s="5" t="str">
        <f>"H0035463"</f>
        <v>H0035463</v>
      </c>
      <c r="B802" s="5" t="str">
        <f t="shared" si="35"/>
        <v>CAMA HOSPITALARIA (DONACION)</v>
      </c>
      <c r="C802" s="6">
        <v>7594755</v>
      </c>
      <c r="D802" s="5" t="s">
        <v>130</v>
      </c>
      <c r="E802" s="5" t="str">
        <f t="shared" si="34"/>
        <v>ACTISALUD-MEDICINA INTERNA- PISO 7</v>
      </c>
      <c r="F802" s="5"/>
      <c r="G802" s="5"/>
    </row>
    <row r="803" spans="1:7" ht="58.5" customHeight="1" x14ac:dyDescent="0.25">
      <c r="A803" s="5" t="str">
        <f>"H0035464"</f>
        <v>H0035464</v>
      </c>
      <c r="B803" s="5" t="str">
        <f t="shared" si="35"/>
        <v>CAMA HOSPITALARIA (DONACION)</v>
      </c>
      <c r="C803" s="6">
        <v>7594755</v>
      </c>
      <c r="D803" s="5" t="s">
        <v>130</v>
      </c>
      <c r="E803" s="5" t="str">
        <f t="shared" si="34"/>
        <v>ACTISALUD-MEDICINA INTERNA- PISO 7</v>
      </c>
      <c r="F803" s="5"/>
      <c r="G803" s="5"/>
    </row>
    <row r="804" spans="1:7" ht="58.5" customHeight="1" x14ac:dyDescent="0.25">
      <c r="A804" s="5" t="str">
        <f>"H0035659"</f>
        <v>H0035659</v>
      </c>
      <c r="B804" s="5" t="str">
        <f t="shared" ref="B804:B811" si="36">"VENTILADOR DE PARED"</f>
        <v>VENTILADOR DE PARED</v>
      </c>
      <c r="C804" s="6">
        <v>295260</v>
      </c>
      <c r="D804" s="5" t="s">
        <v>131</v>
      </c>
      <c r="E804" s="5" t="str">
        <f t="shared" si="34"/>
        <v>ACTISALUD-MEDICINA INTERNA- PISO 7</v>
      </c>
      <c r="F804" s="5"/>
      <c r="G804" s="5"/>
    </row>
    <row r="805" spans="1:7" ht="58.5" customHeight="1" x14ac:dyDescent="0.25">
      <c r="A805" s="5" t="str">
        <f>"H0035660"</f>
        <v>H0035660</v>
      </c>
      <c r="B805" s="5" t="str">
        <f t="shared" si="36"/>
        <v>VENTILADOR DE PARED</v>
      </c>
      <c r="C805" s="6">
        <v>295260</v>
      </c>
      <c r="D805" s="5" t="s">
        <v>131</v>
      </c>
      <c r="E805" s="5" t="str">
        <f t="shared" si="34"/>
        <v>ACTISALUD-MEDICINA INTERNA- PISO 7</v>
      </c>
      <c r="F805" s="5"/>
      <c r="G805" s="5"/>
    </row>
    <row r="806" spans="1:7" ht="58.5" customHeight="1" x14ac:dyDescent="0.25">
      <c r="A806" s="5" t="str">
        <f>"H0035661"</f>
        <v>H0035661</v>
      </c>
      <c r="B806" s="5" t="str">
        <f t="shared" si="36"/>
        <v>VENTILADOR DE PARED</v>
      </c>
      <c r="C806" s="6">
        <v>295260</v>
      </c>
      <c r="D806" s="5" t="s">
        <v>131</v>
      </c>
      <c r="E806" s="5" t="str">
        <f t="shared" si="34"/>
        <v>ACTISALUD-MEDICINA INTERNA- PISO 7</v>
      </c>
      <c r="F806" s="5"/>
      <c r="G806" s="5"/>
    </row>
    <row r="807" spans="1:7" ht="58.5" customHeight="1" x14ac:dyDescent="0.25">
      <c r="A807" s="5" t="str">
        <f>"H0035662"</f>
        <v>H0035662</v>
      </c>
      <c r="B807" s="5" t="str">
        <f t="shared" si="36"/>
        <v>VENTILADOR DE PARED</v>
      </c>
      <c r="C807" s="6">
        <v>295260</v>
      </c>
      <c r="D807" s="5" t="s">
        <v>131</v>
      </c>
      <c r="E807" s="5" t="str">
        <f t="shared" si="34"/>
        <v>ACTISALUD-MEDICINA INTERNA- PISO 7</v>
      </c>
      <c r="F807" s="5"/>
      <c r="G807" s="5"/>
    </row>
    <row r="808" spans="1:7" ht="58.5" customHeight="1" x14ac:dyDescent="0.25">
      <c r="A808" s="5" t="str">
        <f>"H0035663"</f>
        <v>H0035663</v>
      </c>
      <c r="B808" s="5" t="str">
        <f t="shared" si="36"/>
        <v>VENTILADOR DE PARED</v>
      </c>
      <c r="C808" s="6">
        <v>295260</v>
      </c>
      <c r="D808" s="5" t="s">
        <v>131</v>
      </c>
      <c r="E808" s="5" t="str">
        <f t="shared" si="34"/>
        <v>ACTISALUD-MEDICINA INTERNA- PISO 7</v>
      </c>
      <c r="F808" s="5"/>
      <c r="G808" s="5"/>
    </row>
    <row r="809" spans="1:7" ht="58.5" customHeight="1" x14ac:dyDescent="0.25">
      <c r="A809" s="5" t="str">
        <f>"H0035664"</f>
        <v>H0035664</v>
      </c>
      <c r="B809" s="5" t="str">
        <f t="shared" si="36"/>
        <v>VENTILADOR DE PARED</v>
      </c>
      <c r="C809" s="6">
        <v>295260</v>
      </c>
      <c r="D809" s="5" t="s">
        <v>131</v>
      </c>
      <c r="E809" s="5" t="str">
        <f t="shared" si="34"/>
        <v>ACTISALUD-MEDICINA INTERNA- PISO 7</v>
      </c>
      <c r="F809" s="5"/>
      <c r="G809" s="5"/>
    </row>
    <row r="810" spans="1:7" ht="58.5" customHeight="1" x14ac:dyDescent="0.25">
      <c r="A810" s="5" t="str">
        <f>"H0035665"</f>
        <v>H0035665</v>
      </c>
      <c r="B810" s="5" t="str">
        <f t="shared" si="36"/>
        <v>VENTILADOR DE PARED</v>
      </c>
      <c r="C810" s="6">
        <v>295260</v>
      </c>
      <c r="D810" s="5" t="s">
        <v>131</v>
      </c>
      <c r="E810" s="5" t="str">
        <f t="shared" si="34"/>
        <v>ACTISALUD-MEDICINA INTERNA- PISO 7</v>
      </c>
      <c r="F810" s="5"/>
      <c r="G810" s="5"/>
    </row>
    <row r="811" spans="1:7" ht="58.5" customHeight="1" x14ac:dyDescent="0.25">
      <c r="A811" s="5" t="str">
        <f>"H0035667"</f>
        <v>H0035667</v>
      </c>
      <c r="B811" s="5" t="str">
        <f t="shared" si="36"/>
        <v>VENTILADOR DE PARED</v>
      </c>
      <c r="C811" s="6">
        <v>295260</v>
      </c>
      <c r="D811" s="5" t="s">
        <v>131</v>
      </c>
      <c r="E811" s="5" t="str">
        <f t="shared" si="34"/>
        <v>ACTISALUD-MEDICINA INTERNA- PISO 7</v>
      </c>
      <c r="F811" s="5"/>
      <c r="G811" s="5"/>
    </row>
    <row r="812" spans="1:7" ht="58.5" customHeight="1" x14ac:dyDescent="0.25">
      <c r="A812" s="5" t="str">
        <f>"H0035668"</f>
        <v>H0035668</v>
      </c>
      <c r="B812" s="5" t="str">
        <f>"VENTILADOR DE PEDESTAL"</f>
        <v>VENTILADOR DE PEDESTAL</v>
      </c>
      <c r="C812" s="6">
        <v>358260</v>
      </c>
      <c r="D812" s="5" t="s">
        <v>131</v>
      </c>
      <c r="E812" s="5" t="str">
        <f t="shared" si="34"/>
        <v>ACTISALUD-MEDICINA INTERNA- PISO 7</v>
      </c>
      <c r="F812" s="5"/>
      <c r="G812" s="5"/>
    </row>
    <row r="813" spans="1:7" ht="58.5" customHeight="1" x14ac:dyDescent="0.25">
      <c r="A813" s="5" t="str">
        <f>"H0035669"</f>
        <v>H0035669</v>
      </c>
      <c r="B813" s="5" t="str">
        <f>"VENTILADOR DE PEDESTAL"</f>
        <v>VENTILADOR DE PEDESTAL</v>
      </c>
      <c r="C813" s="6">
        <v>358260</v>
      </c>
      <c r="D813" s="5" t="s">
        <v>131</v>
      </c>
      <c r="E813" s="5" t="str">
        <f t="shared" si="34"/>
        <v>ACTISALUD-MEDICINA INTERNA- PISO 7</v>
      </c>
      <c r="F813" s="5"/>
      <c r="G813" s="5"/>
    </row>
    <row r="814" spans="1:7" ht="58.5" customHeight="1" x14ac:dyDescent="0.25">
      <c r="A814" s="5" t="str">
        <f>"H0035807"</f>
        <v>H0035807</v>
      </c>
      <c r="B814" s="5" t="str">
        <f t="shared" ref="B814:B826" si="37">"SILLA GERENTE NIZA MEC. BASCULANTE CON BRAZOS."</f>
        <v>SILLA GERENTE NIZA MEC. BASCULANTE CON BRAZOS.</v>
      </c>
      <c r="C814" s="6">
        <v>640002.24</v>
      </c>
      <c r="D814" s="5" t="s">
        <v>47</v>
      </c>
      <c r="E814" s="5" t="str">
        <f t="shared" si="34"/>
        <v>ACTISALUD-MEDICINA INTERNA- PISO 7</v>
      </c>
      <c r="F814" s="5"/>
      <c r="G814" s="5"/>
    </row>
    <row r="815" spans="1:7" ht="58.5" customHeight="1" x14ac:dyDescent="0.25">
      <c r="A815" s="5" t="str">
        <f>"H0035808"</f>
        <v>H0035808</v>
      </c>
      <c r="B815" s="5" t="str">
        <f t="shared" si="37"/>
        <v>SILLA GERENTE NIZA MEC. BASCULANTE CON BRAZOS.</v>
      </c>
      <c r="C815" s="6">
        <v>640002.24</v>
      </c>
      <c r="D815" s="5" t="s">
        <v>47</v>
      </c>
      <c r="E815" s="5" t="str">
        <f t="shared" si="34"/>
        <v>ACTISALUD-MEDICINA INTERNA- PISO 7</v>
      </c>
      <c r="F815" s="5"/>
      <c r="G815" s="5"/>
    </row>
    <row r="816" spans="1:7" ht="58.5" customHeight="1" x14ac:dyDescent="0.25">
      <c r="A816" s="5" t="str">
        <f>"H0035810"</f>
        <v>H0035810</v>
      </c>
      <c r="B816" s="5" t="str">
        <f t="shared" si="37"/>
        <v>SILLA GERENTE NIZA MEC. BASCULANTE CON BRAZOS.</v>
      </c>
      <c r="C816" s="6">
        <v>640002.24</v>
      </c>
      <c r="D816" s="5" t="s">
        <v>47</v>
      </c>
      <c r="E816" s="5" t="str">
        <f t="shared" si="34"/>
        <v>ACTISALUD-MEDICINA INTERNA- PISO 7</v>
      </c>
      <c r="F816" s="5"/>
      <c r="G816" s="5"/>
    </row>
    <row r="817" spans="1:7" ht="58.5" customHeight="1" x14ac:dyDescent="0.25">
      <c r="A817" s="5" t="str">
        <f>"H0035823"</f>
        <v>H0035823</v>
      </c>
      <c r="B817" s="5" t="str">
        <f t="shared" si="37"/>
        <v>SILLA GERENTE NIZA MEC. BASCULANTE CON BRAZOS.</v>
      </c>
      <c r="C817" s="6">
        <v>639999.86</v>
      </c>
      <c r="D817" s="5" t="s">
        <v>47</v>
      </c>
      <c r="E817" s="5" t="str">
        <f t="shared" si="34"/>
        <v>ACTISALUD-MEDICINA INTERNA- PISO 7</v>
      </c>
      <c r="F817" s="5"/>
      <c r="G817" s="5"/>
    </row>
    <row r="818" spans="1:7" ht="58.5" customHeight="1" x14ac:dyDescent="0.25">
      <c r="A818" s="5" t="str">
        <f>"H0035824"</f>
        <v>H0035824</v>
      </c>
      <c r="B818" s="5" t="str">
        <f t="shared" si="37"/>
        <v>SILLA GERENTE NIZA MEC. BASCULANTE CON BRAZOS.</v>
      </c>
      <c r="C818" s="6">
        <v>639999.86</v>
      </c>
      <c r="D818" s="5" t="s">
        <v>47</v>
      </c>
      <c r="E818" s="5" t="str">
        <f t="shared" si="34"/>
        <v>ACTISALUD-MEDICINA INTERNA- PISO 7</v>
      </c>
      <c r="F818" s="5"/>
      <c r="G818" s="5"/>
    </row>
    <row r="819" spans="1:7" ht="58.5" customHeight="1" x14ac:dyDescent="0.25">
      <c r="A819" s="5" t="str">
        <f>"H0035825"</f>
        <v>H0035825</v>
      </c>
      <c r="B819" s="5" t="str">
        <f t="shared" si="37"/>
        <v>SILLA GERENTE NIZA MEC. BASCULANTE CON BRAZOS.</v>
      </c>
      <c r="C819" s="6">
        <v>639999.86</v>
      </c>
      <c r="D819" s="5" t="s">
        <v>47</v>
      </c>
      <c r="E819" s="5" t="str">
        <f t="shared" si="34"/>
        <v>ACTISALUD-MEDICINA INTERNA- PISO 7</v>
      </c>
      <c r="F819" s="5"/>
      <c r="G819" s="5"/>
    </row>
    <row r="820" spans="1:7" ht="58.5" customHeight="1" x14ac:dyDescent="0.25">
      <c r="A820" s="5" t="str">
        <f>"H0035826"</f>
        <v>H0035826</v>
      </c>
      <c r="B820" s="5" t="str">
        <f t="shared" si="37"/>
        <v>SILLA GERENTE NIZA MEC. BASCULANTE CON BRAZOS.</v>
      </c>
      <c r="C820" s="6">
        <v>639999.86</v>
      </c>
      <c r="D820" s="5" t="s">
        <v>47</v>
      </c>
      <c r="E820" s="5" t="str">
        <f t="shared" si="34"/>
        <v>ACTISALUD-MEDICINA INTERNA- PISO 7</v>
      </c>
      <c r="F820" s="5"/>
      <c r="G820" s="5"/>
    </row>
    <row r="821" spans="1:7" ht="58.5" customHeight="1" x14ac:dyDescent="0.25">
      <c r="A821" s="5" t="str">
        <f>"H0035827"</f>
        <v>H0035827</v>
      </c>
      <c r="B821" s="5" t="str">
        <f t="shared" si="37"/>
        <v>SILLA GERENTE NIZA MEC. BASCULANTE CON BRAZOS.</v>
      </c>
      <c r="C821" s="6">
        <v>639999.86</v>
      </c>
      <c r="D821" s="5" t="s">
        <v>47</v>
      </c>
      <c r="E821" s="5" t="str">
        <f t="shared" si="34"/>
        <v>ACTISALUD-MEDICINA INTERNA- PISO 7</v>
      </c>
      <c r="F821" s="5"/>
      <c r="G821" s="5"/>
    </row>
    <row r="822" spans="1:7" ht="58.5" customHeight="1" x14ac:dyDescent="0.25">
      <c r="A822" s="5" t="str">
        <f>"H0035828"</f>
        <v>H0035828</v>
      </c>
      <c r="B822" s="5" t="str">
        <f t="shared" si="37"/>
        <v>SILLA GERENTE NIZA MEC. BASCULANTE CON BRAZOS.</v>
      </c>
      <c r="C822" s="6">
        <v>639999.86</v>
      </c>
      <c r="D822" s="5" t="s">
        <v>47</v>
      </c>
      <c r="E822" s="5" t="str">
        <f t="shared" si="34"/>
        <v>ACTISALUD-MEDICINA INTERNA- PISO 7</v>
      </c>
      <c r="F822" s="5"/>
      <c r="G822" s="5"/>
    </row>
    <row r="823" spans="1:7" ht="58.5" customHeight="1" x14ac:dyDescent="0.25">
      <c r="A823" s="5" t="str">
        <f>"H0035829"</f>
        <v>H0035829</v>
      </c>
      <c r="B823" s="5" t="str">
        <f t="shared" si="37"/>
        <v>SILLA GERENTE NIZA MEC. BASCULANTE CON BRAZOS.</v>
      </c>
      <c r="C823" s="6">
        <v>639999.86</v>
      </c>
      <c r="D823" s="5" t="s">
        <v>47</v>
      </c>
      <c r="E823" s="5" t="str">
        <f t="shared" si="34"/>
        <v>ACTISALUD-MEDICINA INTERNA- PISO 7</v>
      </c>
      <c r="F823" s="5"/>
      <c r="G823" s="5"/>
    </row>
    <row r="824" spans="1:7" ht="58.5" customHeight="1" x14ac:dyDescent="0.25">
      <c r="A824" s="5" t="str">
        <f>"H0035830"</f>
        <v>H0035830</v>
      </c>
      <c r="B824" s="5" t="str">
        <f t="shared" si="37"/>
        <v>SILLA GERENTE NIZA MEC. BASCULANTE CON BRAZOS.</v>
      </c>
      <c r="C824" s="6">
        <v>639999.86</v>
      </c>
      <c r="D824" s="5" t="s">
        <v>47</v>
      </c>
      <c r="E824" s="5" t="str">
        <f t="shared" si="34"/>
        <v>ACTISALUD-MEDICINA INTERNA- PISO 7</v>
      </c>
      <c r="F824" s="5"/>
      <c r="G824" s="5"/>
    </row>
    <row r="825" spans="1:7" ht="58.5" customHeight="1" x14ac:dyDescent="0.25">
      <c r="A825" s="5" t="str">
        <f>"H0035831"</f>
        <v>H0035831</v>
      </c>
      <c r="B825" s="5" t="str">
        <f t="shared" si="37"/>
        <v>SILLA GERENTE NIZA MEC. BASCULANTE CON BRAZOS.</v>
      </c>
      <c r="C825" s="6">
        <v>639999.86</v>
      </c>
      <c r="D825" s="5" t="s">
        <v>47</v>
      </c>
      <c r="E825" s="5" t="str">
        <f t="shared" si="34"/>
        <v>ACTISALUD-MEDICINA INTERNA- PISO 7</v>
      </c>
      <c r="F825" s="5"/>
      <c r="G825" s="5"/>
    </row>
    <row r="826" spans="1:7" ht="58.5" customHeight="1" x14ac:dyDescent="0.25">
      <c r="A826" s="5" t="str">
        <f>"H0035832"</f>
        <v>H0035832</v>
      </c>
      <c r="B826" s="5" t="str">
        <f t="shared" si="37"/>
        <v>SILLA GERENTE NIZA MEC. BASCULANTE CON BRAZOS.</v>
      </c>
      <c r="C826" s="6">
        <v>639999.86</v>
      </c>
      <c r="D826" s="5" t="s">
        <v>47</v>
      </c>
      <c r="E826" s="5" t="str">
        <f t="shared" si="34"/>
        <v>ACTISALUD-MEDICINA INTERNA- PISO 7</v>
      </c>
      <c r="F826" s="5"/>
      <c r="G826" s="5"/>
    </row>
    <row r="827" spans="1:7" ht="58.5" customHeight="1" x14ac:dyDescent="0.25">
      <c r="A827" s="5" t="str">
        <f>"H0036427"</f>
        <v>H0036427</v>
      </c>
      <c r="B827" s="5" t="str">
        <f>"VENTILADOR DE PARED"</f>
        <v>VENTILADOR DE PARED</v>
      </c>
      <c r="C827" s="6">
        <v>295260</v>
      </c>
      <c r="D827" s="5" t="s">
        <v>131</v>
      </c>
      <c r="E827" s="5" t="str">
        <f t="shared" si="34"/>
        <v>ACTISALUD-MEDICINA INTERNA- PISO 7</v>
      </c>
      <c r="F827" s="5"/>
      <c r="G827" s="5"/>
    </row>
    <row r="828" spans="1:7" ht="58.5" customHeight="1" x14ac:dyDescent="0.25">
      <c r="A828" s="5" t="str">
        <f>"H0036431"</f>
        <v>H0036431</v>
      </c>
      <c r="B828" s="5" t="str">
        <f>"VENTILADOR DE PARED"</f>
        <v>VENTILADOR DE PARED</v>
      </c>
      <c r="C828" s="6">
        <v>295260</v>
      </c>
      <c r="D828" s="5" t="s">
        <v>131</v>
      </c>
      <c r="E828" s="5" t="str">
        <f t="shared" si="34"/>
        <v>ACTISALUD-MEDICINA INTERNA- PISO 7</v>
      </c>
      <c r="F828" s="5"/>
      <c r="G828" s="5"/>
    </row>
    <row r="829" spans="1:7" ht="58.5" customHeight="1" x14ac:dyDescent="0.25">
      <c r="A829" s="5" t="str">
        <f>"H0036440"</f>
        <v>H0036440</v>
      </c>
      <c r="B829" s="5" t="str">
        <f>"VENTILADOR DE PARED"</f>
        <v>VENTILADOR DE PARED</v>
      </c>
      <c r="C829" s="6">
        <v>295260</v>
      </c>
      <c r="D829" s="5" t="s">
        <v>131</v>
      </c>
      <c r="E829" s="5" t="str">
        <f t="shared" si="34"/>
        <v>ACTISALUD-MEDICINA INTERNA- PISO 7</v>
      </c>
      <c r="F829" s="5"/>
      <c r="G829" s="5"/>
    </row>
    <row r="830" spans="1:7" ht="58.5" customHeight="1" x14ac:dyDescent="0.25">
      <c r="A830" s="5" t="str">
        <f>"H0036508"</f>
        <v>H0036508</v>
      </c>
      <c r="B830" s="5" t="str">
        <f>"ASPIRADOR DE SECRECIONES"</f>
        <v>ASPIRADOR DE SECRECIONES</v>
      </c>
      <c r="C830" s="6">
        <v>645000</v>
      </c>
      <c r="D830" s="5" t="s">
        <v>132</v>
      </c>
      <c r="E830" s="5" t="str">
        <f t="shared" si="34"/>
        <v>ACTISALUD-MEDICINA INTERNA- PISO 7</v>
      </c>
      <c r="F830" s="5"/>
      <c r="G830" s="5"/>
    </row>
    <row r="831" spans="1:7" ht="58.5" customHeight="1" x14ac:dyDescent="0.25">
      <c r="A831" s="5" t="str">
        <f>"H0036556"</f>
        <v>H0036556</v>
      </c>
      <c r="B831" s="5" t="str">
        <f>"DESFIBRILADOR (DONACION)"</f>
        <v>DESFIBRILADOR (DONACION)</v>
      </c>
      <c r="C831" s="6">
        <v>19285000</v>
      </c>
      <c r="D831" s="5" t="s">
        <v>133</v>
      </c>
      <c r="E831" s="5" t="str">
        <f t="shared" si="34"/>
        <v>ACTISALUD-MEDICINA INTERNA- PISO 7</v>
      </c>
      <c r="F831" s="5"/>
      <c r="G831" s="5" t="str">
        <f>"BENEHEART-D3"</f>
        <v>BENEHEART-D3</v>
      </c>
    </row>
    <row r="832" spans="1:7" ht="58.5" customHeight="1" x14ac:dyDescent="0.25">
      <c r="A832" s="5" t="str">
        <f>"H0036599"</f>
        <v>H0036599</v>
      </c>
      <c r="B832" s="5" t="str">
        <f>"VIDEO PROYECTOR MARCA EPSON MODELO E20. ESPECIFICACIONES TECNICAS : SISTEMA DE PROYECCIÓN: TECNOLOGÍA EPSON 3LCD DE 3 CHIPS, MÉTODO DE PROYECCIÓN: FRONTAL / POSTERIOR / TECHO"</f>
        <v>VIDEO PROYECTOR MARCA EPSON MODELO E20. ESPECIFICACIONES TECNICAS : SISTEMA DE PROYECCIÓN: TECNOLOGÍA EPSON 3LCD DE 3 CHIPS, MÉTODO DE PROYECCIÓN: FRONTAL / POSTERIOR / TECHO</v>
      </c>
      <c r="C832" s="6">
        <v>3300949.25</v>
      </c>
      <c r="D832" s="5" t="s">
        <v>134</v>
      </c>
      <c r="E832" s="5" t="str">
        <f t="shared" si="34"/>
        <v>ACTISALUD-MEDICINA INTERNA- PISO 7</v>
      </c>
      <c r="F832" s="5"/>
      <c r="G832" s="5" t="str">
        <f>"E20"</f>
        <v>E20</v>
      </c>
    </row>
    <row r="833" spans="1:7" ht="58.5" customHeight="1" x14ac:dyDescent="0.25">
      <c r="A833" s="5" t="str">
        <f>"H0036600"</f>
        <v>H0036600</v>
      </c>
      <c r="B833" s="5" t="str">
        <f>"VIDEO PROYECTOR MARCA EPSON MODELO E20. ESPECIFICACIONES TECNICAS : SISTEMA DE PROYECCIÓN: TECNOLOGÍA EPSON 3LCD DE 3 CHIPS, MÉTODO DE PROYECCIÓN: FRONTAL / POSTERIOR / TECHO"</f>
        <v>VIDEO PROYECTOR MARCA EPSON MODELO E20. ESPECIFICACIONES TECNICAS : SISTEMA DE PROYECCIÓN: TECNOLOGÍA EPSON 3LCD DE 3 CHIPS, MÉTODO DE PROYECCIÓN: FRONTAL / POSTERIOR / TECHO</v>
      </c>
      <c r="C833" s="6">
        <v>3300949</v>
      </c>
      <c r="D833" s="5" t="s">
        <v>135</v>
      </c>
      <c r="E833" s="5" t="str">
        <f t="shared" si="34"/>
        <v>ACTISALUD-MEDICINA INTERNA- PISO 7</v>
      </c>
      <c r="F833" s="5"/>
      <c r="G833" s="5"/>
    </row>
    <row r="834" spans="1:7" ht="58.5" customHeight="1" x14ac:dyDescent="0.25">
      <c r="A834" s="5" t="str">
        <f>"H0037148"</f>
        <v>H0037148</v>
      </c>
      <c r="B834" s="5" t="str">
        <f>"TALLIMETRO CAPACIDAD 20-205 CM (DONACION)"</f>
        <v>TALLIMETRO CAPACIDAD 20-205 CM (DONACION)</v>
      </c>
      <c r="C834" s="6">
        <v>1254705.99</v>
      </c>
      <c r="D834" s="5" t="s">
        <v>136</v>
      </c>
      <c r="E834" s="5" t="str">
        <f t="shared" si="34"/>
        <v>ACTISALUD-MEDICINA INTERNA- PISO 7</v>
      </c>
      <c r="F834" s="5"/>
      <c r="G834" s="5"/>
    </row>
    <row r="835" spans="1:7" ht="58.5" customHeight="1" x14ac:dyDescent="0.25">
      <c r="A835" s="5" t="str">
        <f>"H0037156"</f>
        <v>H0037156</v>
      </c>
      <c r="B835" s="5" t="str">
        <f>"TALLIMETRO CAPACIDAD 20-205 CM (DONACION)"</f>
        <v>TALLIMETRO CAPACIDAD 20-205 CM (DONACION)</v>
      </c>
      <c r="C835" s="6">
        <v>1254705.99</v>
      </c>
      <c r="D835" s="5" t="s">
        <v>136</v>
      </c>
      <c r="E835" s="5" t="str">
        <f t="shared" si="34"/>
        <v>ACTISALUD-MEDICINA INTERNA- PISO 7</v>
      </c>
      <c r="F835" s="5"/>
      <c r="G835" s="5"/>
    </row>
    <row r="836" spans="1:7" ht="58.5" customHeight="1" x14ac:dyDescent="0.25">
      <c r="A836" s="5" t="str">
        <f>"H0037166"</f>
        <v>H0037166</v>
      </c>
      <c r="B836" s="5" t="str">
        <f>"BASCULA ADULTO"</f>
        <v>BASCULA ADULTO</v>
      </c>
      <c r="C836" s="6">
        <v>3588385.98</v>
      </c>
      <c r="D836" s="5" t="s">
        <v>136</v>
      </c>
      <c r="E836" s="5" t="str">
        <f t="shared" si="34"/>
        <v>ACTISALUD-MEDICINA INTERNA- PISO 7</v>
      </c>
      <c r="F836" s="5"/>
      <c r="G836" s="5"/>
    </row>
    <row r="837" spans="1:7" ht="58.5" customHeight="1" x14ac:dyDescent="0.25">
      <c r="A837" s="5" t="str">
        <f>"H0037289"</f>
        <v>H0037289</v>
      </c>
      <c r="B837" s="5" t="str">
        <f>"LECTOR DE HUELLAS DIGITALES"</f>
        <v>LECTOR DE HUELLAS DIGITALES</v>
      </c>
      <c r="C837" s="6">
        <v>580000</v>
      </c>
      <c r="D837" s="5" t="s">
        <v>137</v>
      </c>
      <c r="E837" s="5" t="str">
        <f t="shared" si="34"/>
        <v>ACTISALUD-MEDICINA INTERNA- PISO 7</v>
      </c>
      <c r="F837" s="5"/>
      <c r="G837" s="5"/>
    </row>
    <row r="838" spans="1:7" ht="58.5" customHeight="1" x14ac:dyDescent="0.25">
      <c r="A838" s="5" t="str">
        <f>"H0037290"</f>
        <v>H0037290</v>
      </c>
      <c r="B838" s="5" t="str">
        <f>"LECTOR DE HUELLAS DIGITALES"</f>
        <v>LECTOR DE HUELLAS DIGITALES</v>
      </c>
      <c r="C838" s="6">
        <v>580000</v>
      </c>
      <c r="D838" s="5" t="s">
        <v>137</v>
      </c>
      <c r="E838" s="5" t="str">
        <f t="shared" si="34"/>
        <v>ACTISALUD-MEDICINA INTERNA- PISO 7</v>
      </c>
      <c r="F838" s="5"/>
      <c r="G838" s="5"/>
    </row>
    <row r="839" spans="1:7" ht="58.5" customHeight="1" x14ac:dyDescent="0.25">
      <c r="A839" s="5" t="str">
        <f>"H0037291"</f>
        <v>H0037291</v>
      </c>
      <c r="B839" s="5" t="str">
        <f>"LECTOR DE HUELLAS DIGITALES"</f>
        <v>LECTOR DE HUELLAS DIGITALES</v>
      </c>
      <c r="C839" s="6">
        <v>580000</v>
      </c>
      <c r="D839" s="5" t="s">
        <v>137</v>
      </c>
      <c r="E839" s="5" t="str">
        <f t="shared" si="34"/>
        <v>ACTISALUD-MEDICINA INTERNA- PISO 7</v>
      </c>
      <c r="F839" s="5"/>
      <c r="G839" s="5"/>
    </row>
    <row r="840" spans="1:7" ht="58.5" customHeight="1" x14ac:dyDescent="0.25">
      <c r="A840" s="5" t="str">
        <f>"H0037302"</f>
        <v>H0037302</v>
      </c>
      <c r="B840" s="5" t="str">
        <f t="shared" ref="B840:B869" si="38">"VENTILADOR DE PARED"</f>
        <v>VENTILADOR DE PARED</v>
      </c>
      <c r="C840" s="6">
        <v>286671</v>
      </c>
      <c r="D840" s="5" t="s">
        <v>138</v>
      </c>
      <c r="E840" s="5" t="str">
        <f t="shared" si="34"/>
        <v>ACTISALUD-MEDICINA INTERNA- PISO 7</v>
      </c>
      <c r="F840" s="5"/>
      <c r="G840" s="5"/>
    </row>
    <row r="841" spans="1:7" ht="58.5" customHeight="1" x14ac:dyDescent="0.25">
      <c r="A841" s="5" t="str">
        <f>"H0037303"</f>
        <v>H0037303</v>
      </c>
      <c r="B841" s="5" t="str">
        <f t="shared" si="38"/>
        <v>VENTILADOR DE PARED</v>
      </c>
      <c r="C841" s="6">
        <v>286671</v>
      </c>
      <c r="D841" s="5" t="s">
        <v>138</v>
      </c>
      <c r="E841" s="5" t="str">
        <f t="shared" si="34"/>
        <v>ACTISALUD-MEDICINA INTERNA- PISO 7</v>
      </c>
      <c r="F841" s="5"/>
      <c r="G841" s="5"/>
    </row>
    <row r="842" spans="1:7" ht="58.5" customHeight="1" x14ac:dyDescent="0.25">
      <c r="A842" s="5" t="str">
        <f>"H0037304"</f>
        <v>H0037304</v>
      </c>
      <c r="B842" s="5" t="str">
        <f t="shared" si="38"/>
        <v>VENTILADOR DE PARED</v>
      </c>
      <c r="C842" s="6">
        <v>286671</v>
      </c>
      <c r="D842" s="5" t="s">
        <v>138</v>
      </c>
      <c r="E842" s="5" t="str">
        <f t="shared" si="34"/>
        <v>ACTISALUD-MEDICINA INTERNA- PISO 7</v>
      </c>
      <c r="F842" s="5"/>
      <c r="G842" s="5"/>
    </row>
    <row r="843" spans="1:7" ht="58.5" customHeight="1" x14ac:dyDescent="0.25">
      <c r="A843" s="5" t="str">
        <f>"H0037305"</f>
        <v>H0037305</v>
      </c>
      <c r="B843" s="5" t="str">
        <f t="shared" si="38"/>
        <v>VENTILADOR DE PARED</v>
      </c>
      <c r="C843" s="6">
        <v>286671</v>
      </c>
      <c r="D843" s="5" t="s">
        <v>138</v>
      </c>
      <c r="E843" s="5" t="str">
        <f t="shared" si="34"/>
        <v>ACTISALUD-MEDICINA INTERNA- PISO 7</v>
      </c>
      <c r="F843" s="5"/>
      <c r="G843" s="5"/>
    </row>
    <row r="844" spans="1:7" ht="58.5" customHeight="1" x14ac:dyDescent="0.25">
      <c r="A844" s="5" t="str">
        <f>"H0037306"</f>
        <v>H0037306</v>
      </c>
      <c r="B844" s="5" t="str">
        <f t="shared" si="38"/>
        <v>VENTILADOR DE PARED</v>
      </c>
      <c r="C844" s="6">
        <v>286671</v>
      </c>
      <c r="D844" s="5" t="s">
        <v>138</v>
      </c>
      <c r="E844" s="5" t="str">
        <f t="shared" si="34"/>
        <v>ACTISALUD-MEDICINA INTERNA- PISO 7</v>
      </c>
      <c r="F844" s="5"/>
      <c r="G844" s="5"/>
    </row>
    <row r="845" spans="1:7" ht="58.5" customHeight="1" x14ac:dyDescent="0.25">
      <c r="A845" s="5" t="str">
        <f>"H0037308"</f>
        <v>H0037308</v>
      </c>
      <c r="B845" s="5" t="str">
        <f t="shared" si="38"/>
        <v>VENTILADOR DE PARED</v>
      </c>
      <c r="C845" s="6">
        <v>286671</v>
      </c>
      <c r="D845" s="5" t="s">
        <v>138</v>
      </c>
      <c r="E845" s="5" t="str">
        <f t="shared" si="34"/>
        <v>ACTISALUD-MEDICINA INTERNA- PISO 7</v>
      </c>
      <c r="F845" s="5"/>
      <c r="G845" s="5"/>
    </row>
    <row r="846" spans="1:7" ht="58.5" customHeight="1" x14ac:dyDescent="0.25">
      <c r="A846" s="5" t="str">
        <f>"H0037309"</f>
        <v>H0037309</v>
      </c>
      <c r="B846" s="5" t="str">
        <f t="shared" si="38"/>
        <v>VENTILADOR DE PARED</v>
      </c>
      <c r="C846" s="6">
        <v>286671</v>
      </c>
      <c r="D846" s="5" t="s">
        <v>138</v>
      </c>
      <c r="E846" s="5" t="str">
        <f t="shared" ref="E846:E909" si="39">"ACTISALUD-MEDICINA INTERNA- PISO 7"</f>
        <v>ACTISALUD-MEDICINA INTERNA- PISO 7</v>
      </c>
      <c r="F846" s="5"/>
      <c r="G846" s="5"/>
    </row>
    <row r="847" spans="1:7" ht="58.5" customHeight="1" x14ac:dyDescent="0.25">
      <c r="A847" s="5" t="str">
        <f>"H0037310"</f>
        <v>H0037310</v>
      </c>
      <c r="B847" s="5" t="str">
        <f t="shared" si="38"/>
        <v>VENTILADOR DE PARED</v>
      </c>
      <c r="C847" s="6">
        <v>286671</v>
      </c>
      <c r="D847" s="5" t="s">
        <v>138</v>
      </c>
      <c r="E847" s="5" t="str">
        <f t="shared" si="39"/>
        <v>ACTISALUD-MEDICINA INTERNA- PISO 7</v>
      </c>
      <c r="F847" s="5"/>
      <c r="G847" s="5"/>
    </row>
    <row r="848" spans="1:7" ht="58.5" customHeight="1" x14ac:dyDescent="0.25">
      <c r="A848" s="5" t="str">
        <f>"H0037311"</f>
        <v>H0037311</v>
      </c>
      <c r="B848" s="5" t="str">
        <f t="shared" si="38"/>
        <v>VENTILADOR DE PARED</v>
      </c>
      <c r="C848" s="6">
        <v>286671</v>
      </c>
      <c r="D848" s="5" t="s">
        <v>138</v>
      </c>
      <c r="E848" s="5" t="str">
        <f t="shared" si="39"/>
        <v>ACTISALUD-MEDICINA INTERNA- PISO 7</v>
      </c>
      <c r="F848" s="5"/>
      <c r="G848" s="5"/>
    </row>
    <row r="849" spans="1:7" ht="58.5" customHeight="1" x14ac:dyDescent="0.25">
      <c r="A849" s="5" t="str">
        <f>"H0037312"</f>
        <v>H0037312</v>
      </c>
      <c r="B849" s="5" t="str">
        <f t="shared" si="38"/>
        <v>VENTILADOR DE PARED</v>
      </c>
      <c r="C849" s="6">
        <v>286671</v>
      </c>
      <c r="D849" s="5" t="s">
        <v>138</v>
      </c>
      <c r="E849" s="5" t="str">
        <f t="shared" si="39"/>
        <v>ACTISALUD-MEDICINA INTERNA- PISO 7</v>
      </c>
      <c r="F849" s="5"/>
      <c r="G849" s="5"/>
    </row>
    <row r="850" spans="1:7" ht="58.5" customHeight="1" x14ac:dyDescent="0.25">
      <c r="A850" s="5" t="str">
        <f>"H0037313"</f>
        <v>H0037313</v>
      </c>
      <c r="B850" s="5" t="str">
        <f t="shared" si="38"/>
        <v>VENTILADOR DE PARED</v>
      </c>
      <c r="C850" s="6">
        <v>286671</v>
      </c>
      <c r="D850" s="5" t="s">
        <v>138</v>
      </c>
      <c r="E850" s="5" t="str">
        <f t="shared" si="39"/>
        <v>ACTISALUD-MEDICINA INTERNA- PISO 7</v>
      </c>
      <c r="F850" s="5"/>
      <c r="G850" s="5"/>
    </row>
    <row r="851" spans="1:7" ht="58.5" customHeight="1" x14ac:dyDescent="0.25">
      <c r="A851" s="5" t="str">
        <f>"H0037314"</f>
        <v>H0037314</v>
      </c>
      <c r="B851" s="5" t="str">
        <f t="shared" si="38"/>
        <v>VENTILADOR DE PARED</v>
      </c>
      <c r="C851" s="6">
        <v>286671</v>
      </c>
      <c r="D851" s="5" t="s">
        <v>138</v>
      </c>
      <c r="E851" s="5" t="str">
        <f t="shared" si="39"/>
        <v>ACTISALUD-MEDICINA INTERNA- PISO 7</v>
      </c>
      <c r="F851" s="5"/>
      <c r="G851" s="5"/>
    </row>
    <row r="852" spans="1:7" ht="58.5" customHeight="1" x14ac:dyDescent="0.25">
      <c r="A852" s="5" t="str">
        <f>"H0037315"</f>
        <v>H0037315</v>
      </c>
      <c r="B852" s="5" t="str">
        <f t="shared" si="38"/>
        <v>VENTILADOR DE PARED</v>
      </c>
      <c r="C852" s="6">
        <v>286671</v>
      </c>
      <c r="D852" s="5" t="s">
        <v>138</v>
      </c>
      <c r="E852" s="5" t="str">
        <f t="shared" si="39"/>
        <v>ACTISALUD-MEDICINA INTERNA- PISO 7</v>
      </c>
      <c r="F852" s="5"/>
      <c r="G852" s="5"/>
    </row>
    <row r="853" spans="1:7" ht="58.5" customHeight="1" x14ac:dyDescent="0.25">
      <c r="A853" s="5" t="str">
        <f>"H0037316"</f>
        <v>H0037316</v>
      </c>
      <c r="B853" s="5" t="str">
        <f t="shared" si="38"/>
        <v>VENTILADOR DE PARED</v>
      </c>
      <c r="C853" s="6">
        <v>286671</v>
      </c>
      <c r="D853" s="5" t="s">
        <v>138</v>
      </c>
      <c r="E853" s="5" t="str">
        <f t="shared" si="39"/>
        <v>ACTISALUD-MEDICINA INTERNA- PISO 7</v>
      </c>
      <c r="F853" s="5"/>
      <c r="G853" s="5"/>
    </row>
    <row r="854" spans="1:7" ht="58.5" customHeight="1" x14ac:dyDescent="0.25">
      <c r="A854" s="5" t="str">
        <f>"H0037317"</f>
        <v>H0037317</v>
      </c>
      <c r="B854" s="5" t="str">
        <f t="shared" si="38"/>
        <v>VENTILADOR DE PARED</v>
      </c>
      <c r="C854" s="6">
        <v>286671</v>
      </c>
      <c r="D854" s="5" t="s">
        <v>138</v>
      </c>
      <c r="E854" s="5" t="str">
        <f t="shared" si="39"/>
        <v>ACTISALUD-MEDICINA INTERNA- PISO 7</v>
      </c>
      <c r="F854" s="5"/>
      <c r="G854" s="5"/>
    </row>
    <row r="855" spans="1:7" ht="58.5" customHeight="1" x14ac:dyDescent="0.25">
      <c r="A855" s="5" t="str">
        <f>"H0037318"</f>
        <v>H0037318</v>
      </c>
      <c r="B855" s="5" t="str">
        <f t="shared" si="38"/>
        <v>VENTILADOR DE PARED</v>
      </c>
      <c r="C855" s="6">
        <v>286671</v>
      </c>
      <c r="D855" s="5" t="s">
        <v>138</v>
      </c>
      <c r="E855" s="5" t="str">
        <f t="shared" si="39"/>
        <v>ACTISALUD-MEDICINA INTERNA- PISO 7</v>
      </c>
      <c r="F855" s="5"/>
      <c r="G855" s="5"/>
    </row>
    <row r="856" spans="1:7" ht="58.5" customHeight="1" x14ac:dyDescent="0.25">
      <c r="A856" s="5" t="str">
        <f>"H0037319"</f>
        <v>H0037319</v>
      </c>
      <c r="B856" s="5" t="str">
        <f t="shared" si="38"/>
        <v>VENTILADOR DE PARED</v>
      </c>
      <c r="C856" s="6">
        <v>286671</v>
      </c>
      <c r="D856" s="5" t="s">
        <v>138</v>
      </c>
      <c r="E856" s="5" t="str">
        <f t="shared" si="39"/>
        <v>ACTISALUD-MEDICINA INTERNA- PISO 7</v>
      </c>
      <c r="F856" s="5"/>
      <c r="G856" s="5"/>
    </row>
    <row r="857" spans="1:7" ht="58.5" customHeight="1" x14ac:dyDescent="0.25">
      <c r="A857" s="5" t="str">
        <f>"H0037320"</f>
        <v>H0037320</v>
      </c>
      <c r="B857" s="5" t="str">
        <f t="shared" si="38"/>
        <v>VENTILADOR DE PARED</v>
      </c>
      <c r="C857" s="6">
        <v>286671</v>
      </c>
      <c r="D857" s="5" t="s">
        <v>138</v>
      </c>
      <c r="E857" s="5" t="str">
        <f t="shared" si="39"/>
        <v>ACTISALUD-MEDICINA INTERNA- PISO 7</v>
      </c>
      <c r="F857" s="5"/>
      <c r="G857" s="5"/>
    </row>
    <row r="858" spans="1:7" ht="58.5" customHeight="1" x14ac:dyDescent="0.25">
      <c r="A858" s="5" t="str">
        <f>"H0037321"</f>
        <v>H0037321</v>
      </c>
      <c r="B858" s="5" t="str">
        <f t="shared" si="38"/>
        <v>VENTILADOR DE PARED</v>
      </c>
      <c r="C858" s="6">
        <v>286671</v>
      </c>
      <c r="D858" s="5" t="s">
        <v>138</v>
      </c>
      <c r="E858" s="5" t="str">
        <f t="shared" si="39"/>
        <v>ACTISALUD-MEDICINA INTERNA- PISO 7</v>
      </c>
      <c r="F858" s="5"/>
      <c r="G858" s="5"/>
    </row>
    <row r="859" spans="1:7" ht="58.5" customHeight="1" x14ac:dyDescent="0.25">
      <c r="A859" s="5" t="str">
        <f>"H0037468"</f>
        <v>H0037468</v>
      </c>
      <c r="B859" s="5" t="str">
        <f t="shared" si="38"/>
        <v>VENTILADOR DE PARED</v>
      </c>
      <c r="C859" s="6">
        <v>286671</v>
      </c>
      <c r="D859" s="5" t="s">
        <v>139</v>
      </c>
      <c r="E859" s="5" t="str">
        <f t="shared" si="39"/>
        <v>ACTISALUD-MEDICINA INTERNA- PISO 7</v>
      </c>
      <c r="F859" s="5"/>
      <c r="G859" s="5"/>
    </row>
    <row r="860" spans="1:7" ht="58.5" customHeight="1" x14ac:dyDescent="0.25">
      <c r="A860" s="5" t="str">
        <f>"H0037469"</f>
        <v>H0037469</v>
      </c>
      <c r="B860" s="5" t="str">
        <f t="shared" si="38"/>
        <v>VENTILADOR DE PARED</v>
      </c>
      <c r="C860" s="6">
        <v>286671</v>
      </c>
      <c r="D860" s="5" t="s">
        <v>139</v>
      </c>
      <c r="E860" s="5" t="str">
        <f t="shared" si="39"/>
        <v>ACTISALUD-MEDICINA INTERNA- PISO 7</v>
      </c>
      <c r="F860" s="5"/>
      <c r="G860" s="5"/>
    </row>
    <row r="861" spans="1:7" ht="58.5" customHeight="1" x14ac:dyDescent="0.25">
      <c r="A861" s="5" t="str">
        <f>"H0037470"</f>
        <v>H0037470</v>
      </c>
      <c r="B861" s="5" t="str">
        <f t="shared" si="38"/>
        <v>VENTILADOR DE PARED</v>
      </c>
      <c r="C861" s="6">
        <v>286671</v>
      </c>
      <c r="D861" s="5" t="s">
        <v>139</v>
      </c>
      <c r="E861" s="5" t="str">
        <f t="shared" si="39"/>
        <v>ACTISALUD-MEDICINA INTERNA- PISO 7</v>
      </c>
      <c r="F861" s="5"/>
      <c r="G861" s="5"/>
    </row>
    <row r="862" spans="1:7" ht="58.5" customHeight="1" x14ac:dyDescent="0.25">
      <c r="A862" s="5" t="str">
        <f>"H0037471"</f>
        <v>H0037471</v>
      </c>
      <c r="B862" s="5" t="str">
        <f t="shared" si="38"/>
        <v>VENTILADOR DE PARED</v>
      </c>
      <c r="C862" s="6">
        <v>286671</v>
      </c>
      <c r="D862" s="5" t="s">
        <v>139</v>
      </c>
      <c r="E862" s="5" t="str">
        <f t="shared" si="39"/>
        <v>ACTISALUD-MEDICINA INTERNA- PISO 7</v>
      </c>
      <c r="F862" s="5"/>
      <c r="G862" s="5"/>
    </row>
    <row r="863" spans="1:7" ht="58.5" customHeight="1" x14ac:dyDescent="0.25">
      <c r="A863" s="5" t="str">
        <f>"H0037472"</f>
        <v>H0037472</v>
      </c>
      <c r="B863" s="5" t="str">
        <f t="shared" si="38"/>
        <v>VENTILADOR DE PARED</v>
      </c>
      <c r="C863" s="6">
        <v>286671</v>
      </c>
      <c r="D863" s="5" t="s">
        <v>139</v>
      </c>
      <c r="E863" s="5" t="str">
        <f t="shared" si="39"/>
        <v>ACTISALUD-MEDICINA INTERNA- PISO 7</v>
      </c>
      <c r="F863" s="5"/>
      <c r="G863" s="5"/>
    </row>
    <row r="864" spans="1:7" ht="58.5" customHeight="1" x14ac:dyDescent="0.25">
      <c r="A864" s="5" t="str">
        <f>"H0037473"</f>
        <v>H0037473</v>
      </c>
      <c r="B864" s="5" t="str">
        <f t="shared" si="38"/>
        <v>VENTILADOR DE PARED</v>
      </c>
      <c r="C864" s="6">
        <v>286671</v>
      </c>
      <c r="D864" s="5" t="s">
        <v>139</v>
      </c>
      <c r="E864" s="5" t="str">
        <f t="shared" si="39"/>
        <v>ACTISALUD-MEDICINA INTERNA- PISO 7</v>
      </c>
      <c r="F864" s="5"/>
      <c r="G864" s="5"/>
    </row>
    <row r="865" spans="1:7" ht="58.5" customHeight="1" x14ac:dyDescent="0.25">
      <c r="A865" s="5" t="str">
        <f>"H0037487"</f>
        <v>H0037487</v>
      </c>
      <c r="B865" s="5" t="str">
        <f t="shared" si="38"/>
        <v>VENTILADOR DE PARED</v>
      </c>
      <c r="C865" s="6">
        <v>286671</v>
      </c>
      <c r="D865" s="5" t="s">
        <v>139</v>
      </c>
      <c r="E865" s="5" t="str">
        <f t="shared" si="39"/>
        <v>ACTISALUD-MEDICINA INTERNA- PISO 7</v>
      </c>
      <c r="F865" s="5"/>
      <c r="G865" s="5"/>
    </row>
    <row r="866" spans="1:7" ht="58.5" customHeight="1" x14ac:dyDescent="0.25">
      <c r="A866" s="5" t="str">
        <f>"H0037492"</f>
        <v>H0037492</v>
      </c>
      <c r="B866" s="5" t="str">
        <f t="shared" si="38"/>
        <v>VENTILADOR DE PARED</v>
      </c>
      <c r="C866" s="6">
        <v>286671</v>
      </c>
      <c r="D866" s="5" t="s">
        <v>139</v>
      </c>
      <c r="E866" s="5" t="str">
        <f t="shared" si="39"/>
        <v>ACTISALUD-MEDICINA INTERNA- PISO 7</v>
      </c>
      <c r="F866" s="5"/>
      <c r="G866" s="5"/>
    </row>
    <row r="867" spans="1:7" ht="58.5" customHeight="1" x14ac:dyDescent="0.25">
      <c r="A867" s="5" t="str">
        <f>"H0037503"</f>
        <v>H0037503</v>
      </c>
      <c r="B867" s="5" t="str">
        <f t="shared" si="38"/>
        <v>VENTILADOR DE PARED</v>
      </c>
      <c r="C867" s="6">
        <v>286671</v>
      </c>
      <c r="D867" s="5" t="s">
        <v>139</v>
      </c>
      <c r="E867" s="5" t="str">
        <f t="shared" si="39"/>
        <v>ACTISALUD-MEDICINA INTERNA- PISO 7</v>
      </c>
      <c r="F867" s="5"/>
      <c r="G867" s="5"/>
    </row>
    <row r="868" spans="1:7" ht="58.5" customHeight="1" x14ac:dyDescent="0.25">
      <c r="A868" s="5" t="str">
        <f>"H0037525"</f>
        <v>H0037525</v>
      </c>
      <c r="B868" s="5" t="str">
        <f t="shared" si="38"/>
        <v>VENTILADOR DE PARED</v>
      </c>
      <c r="C868" s="6">
        <v>286671</v>
      </c>
      <c r="D868" s="5" t="s">
        <v>139</v>
      </c>
      <c r="E868" s="5" t="str">
        <f t="shared" si="39"/>
        <v>ACTISALUD-MEDICINA INTERNA- PISO 7</v>
      </c>
      <c r="F868" s="5"/>
      <c r="G868" s="5"/>
    </row>
    <row r="869" spans="1:7" ht="58.5" customHeight="1" x14ac:dyDescent="0.25">
      <c r="A869" s="5" t="str">
        <f>"H0037526"</f>
        <v>H0037526</v>
      </c>
      <c r="B869" s="5" t="str">
        <f t="shared" si="38"/>
        <v>VENTILADOR DE PARED</v>
      </c>
      <c r="C869" s="6">
        <v>286671</v>
      </c>
      <c r="D869" s="5" t="s">
        <v>139</v>
      </c>
      <c r="E869" s="5" t="str">
        <f t="shared" si="39"/>
        <v>ACTISALUD-MEDICINA INTERNA- PISO 7</v>
      </c>
      <c r="F869" s="5"/>
      <c r="G869" s="5"/>
    </row>
    <row r="870" spans="1:7" ht="58.5" customHeight="1" x14ac:dyDescent="0.25">
      <c r="A870" s="5" t="str">
        <f>"H0037543"</f>
        <v>H0037543</v>
      </c>
      <c r="B870" s="5" t="str">
        <f>"VENTILADOR DE PEDESTAL"</f>
        <v>VENTILADOR DE PEDESTAL</v>
      </c>
      <c r="C870" s="6">
        <v>305000.55</v>
      </c>
      <c r="D870" s="5" t="s">
        <v>140</v>
      </c>
      <c r="E870" s="5" t="str">
        <f t="shared" si="39"/>
        <v>ACTISALUD-MEDICINA INTERNA- PISO 7</v>
      </c>
      <c r="F870" s="5"/>
      <c r="G870" s="5"/>
    </row>
    <row r="871" spans="1:7" ht="58.5" customHeight="1" x14ac:dyDescent="0.25">
      <c r="A871" s="5" t="str">
        <f>"H0037544"</f>
        <v>H0037544</v>
      </c>
      <c r="B871" s="5" t="str">
        <f>"VENTILADOR DE PEDESTAL"</f>
        <v>VENTILADOR DE PEDESTAL</v>
      </c>
      <c r="C871" s="6">
        <v>305000.55</v>
      </c>
      <c r="D871" s="5" t="s">
        <v>140</v>
      </c>
      <c r="E871" s="5" t="str">
        <f t="shared" si="39"/>
        <v>ACTISALUD-MEDICINA INTERNA- PISO 7</v>
      </c>
      <c r="F871" s="5"/>
      <c r="G871" s="5"/>
    </row>
    <row r="872" spans="1:7" ht="58.5" customHeight="1" x14ac:dyDescent="0.25">
      <c r="A872" s="5" t="str">
        <f>"H0037551"</f>
        <v>H0037551</v>
      </c>
      <c r="B872" s="5" t="str">
        <f>"VENTILADOR DE PEDESTAL"</f>
        <v>VENTILADOR DE PEDESTAL</v>
      </c>
      <c r="C872" s="6">
        <v>305000.55</v>
      </c>
      <c r="D872" s="5" t="s">
        <v>140</v>
      </c>
      <c r="E872" s="5" t="str">
        <f t="shared" si="39"/>
        <v>ACTISALUD-MEDICINA INTERNA- PISO 7</v>
      </c>
      <c r="F872" s="5"/>
      <c r="G872" s="5"/>
    </row>
    <row r="873" spans="1:7" ht="58.5" customHeight="1" x14ac:dyDescent="0.25">
      <c r="A873" s="5" t="str">
        <f>"H0037718"</f>
        <v>H0037718</v>
      </c>
      <c r="B873" s="5" t="str">
        <f t="shared" ref="B873:B879" si="40">"SILLA GERENTE NIZA MEC. BASCULANTE CON BRAZOS."</f>
        <v>SILLA GERENTE NIZA MEC. BASCULANTE CON BRAZOS.</v>
      </c>
      <c r="C873" s="6">
        <v>710000.01</v>
      </c>
      <c r="D873" s="5" t="s">
        <v>30</v>
      </c>
      <c r="E873" s="5" t="str">
        <f t="shared" si="39"/>
        <v>ACTISALUD-MEDICINA INTERNA- PISO 7</v>
      </c>
      <c r="F873" s="5"/>
      <c r="G873" s="5"/>
    </row>
    <row r="874" spans="1:7" ht="58.5" customHeight="1" x14ac:dyDescent="0.25">
      <c r="A874" s="5" t="str">
        <f>"H0037719"</f>
        <v>H0037719</v>
      </c>
      <c r="B874" s="5" t="str">
        <f t="shared" si="40"/>
        <v>SILLA GERENTE NIZA MEC. BASCULANTE CON BRAZOS.</v>
      </c>
      <c r="C874" s="6">
        <v>710000.01</v>
      </c>
      <c r="D874" s="5" t="s">
        <v>30</v>
      </c>
      <c r="E874" s="5" t="str">
        <f t="shared" si="39"/>
        <v>ACTISALUD-MEDICINA INTERNA- PISO 7</v>
      </c>
      <c r="F874" s="5"/>
      <c r="G874" s="5"/>
    </row>
    <row r="875" spans="1:7" ht="58.5" customHeight="1" x14ac:dyDescent="0.25">
      <c r="A875" s="5" t="str">
        <f>"H0037720"</f>
        <v>H0037720</v>
      </c>
      <c r="B875" s="5" t="str">
        <f t="shared" si="40"/>
        <v>SILLA GERENTE NIZA MEC. BASCULANTE CON BRAZOS.</v>
      </c>
      <c r="C875" s="6">
        <v>710000.01</v>
      </c>
      <c r="D875" s="5" t="s">
        <v>30</v>
      </c>
      <c r="E875" s="5" t="str">
        <f t="shared" si="39"/>
        <v>ACTISALUD-MEDICINA INTERNA- PISO 7</v>
      </c>
      <c r="F875" s="5"/>
      <c r="G875" s="5"/>
    </row>
    <row r="876" spans="1:7" ht="58.5" customHeight="1" x14ac:dyDescent="0.25">
      <c r="A876" s="5" t="str">
        <f>"H0037721"</f>
        <v>H0037721</v>
      </c>
      <c r="B876" s="5" t="str">
        <f t="shared" si="40"/>
        <v>SILLA GERENTE NIZA MEC. BASCULANTE CON BRAZOS.</v>
      </c>
      <c r="C876" s="6">
        <v>710000.01</v>
      </c>
      <c r="D876" s="5" t="s">
        <v>30</v>
      </c>
      <c r="E876" s="5" t="str">
        <f t="shared" si="39"/>
        <v>ACTISALUD-MEDICINA INTERNA- PISO 7</v>
      </c>
      <c r="F876" s="5"/>
      <c r="G876" s="5"/>
    </row>
    <row r="877" spans="1:7" ht="58.5" customHeight="1" x14ac:dyDescent="0.25">
      <c r="A877" s="5" t="str">
        <f>"H0037726"</f>
        <v>H0037726</v>
      </c>
      <c r="B877" s="5" t="str">
        <f t="shared" si="40"/>
        <v>SILLA GERENTE NIZA MEC. BASCULANTE CON BRAZOS.</v>
      </c>
      <c r="C877" s="6">
        <v>710000.01</v>
      </c>
      <c r="D877" s="5" t="s">
        <v>30</v>
      </c>
      <c r="E877" s="5" t="str">
        <f t="shared" si="39"/>
        <v>ACTISALUD-MEDICINA INTERNA- PISO 7</v>
      </c>
      <c r="F877" s="5"/>
      <c r="G877" s="5"/>
    </row>
    <row r="878" spans="1:7" ht="58.5" customHeight="1" x14ac:dyDescent="0.25">
      <c r="A878" s="5" t="str">
        <f>"H0037727"</f>
        <v>H0037727</v>
      </c>
      <c r="B878" s="5" t="str">
        <f t="shared" si="40"/>
        <v>SILLA GERENTE NIZA MEC. BASCULANTE CON BRAZOS.</v>
      </c>
      <c r="C878" s="6">
        <v>710000.01</v>
      </c>
      <c r="D878" s="5" t="s">
        <v>30</v>
      </c>
      <c r="E878" s="5" t="str">
        <f t="shared" si="39"/>
        <v>ACTISALUD-MEDICINA INTERNA- PISO 7</v>
      </c>
      <c r="F878" s="5"/>
      <c r="G878" s="5"/>
    </row>
    <row r="879" spans="1:7" ht="58.5" customHeight="1" x14ac:dyDescent="0.25">
      <c r="A879" s="5" t="str">
        <f>"H0037728"</f>
        <v>H0037728</v>
      </c>
      <c r="B879" s="5" t="str">
        <f t="shared" si="40"/>
        <v>SILLA GERENTE NIZA MEC. BASCULANTE CON BRAZOS.</v>
      </c>
      <c r="C879" s="6">
        <v>710000.01</v>
      </c>
      <c r="D879" s="5" t="s">
        <v>30</v>
      </c>
      <c r="E879" s="5" t="str">
        <f t="shared" si="39"/>
        <v>ACTISALUD-MEDICINA INTERNA- PISO 7</v>
      </c>
      <c r="F879" s="5"/>
      <c r="G879" s="5"/>
    </row>
    <row r="880" spans="1:7" ht="58.5" customHeight="1" x14ac:dyDescent="0.25">
      <c r="A880" s="5" t="str">
        <f>"H0037783"</f>
        <v>H0037783</v>
      </c>
      <c r="B880" s="5" t="str">
        <f>"SILLA DE RUEDAS (DONACION)"</f>
        <v>SILLA DE RUEDAS (DONACION)</v>
      </c>
      <c r="C880" s="6">
        <v>400000</v>
      </c>
      <c r="D880" s="5" t="s">
        <v>141</v>
      </c>
      <c r="E880" s="5" t="str">
        <f t="shared" si="39"/>
        <v>ACTISALUD-MEDICINA INTERNA- PISO 7</v>
      </c>
      <c r="F880" s="5"/>
      <c r="G880" s="5"/>
    </row>
    <row r="881" spans="1:7" ht="58.5" customHeight="1" x14ac:dyDescent="0.25">
      <c r="A881" s="5" t="str">
        <f>"H0038153"</f>
        <v>H0038153</v>
      </c>
      <c r="B881" s="5" t="str">
        <f>"VISUALIZADOR DE VENAS"</f>
        <v>VISUALIZADOR DE VENAS</v>
      </c>
      <c r="C881" s="6">
        <v>35682150</v>
      </c>
      <c r="D881" s="5" t="s">
        <v>142</v>
      </c>
      <c r="E881" s="5" t="str">
        <f t="shared" si="39"/>
        <v>ACTISALUD-MEDICINA INTERNA- PISO 7</v>
      </c>
      <c r="F881" s="5"/>
      <c r="G881" s="5"/>
    </row>
    <row r="882" spans="1:7" ht="58.5" customHeight="1" x14ac:dyDescent="0.25">
      <c r="A882" s="5" t="str">
        <f>"H0038263"</f>
        <v>H0038263</v>
      </c>
      <c r="B882" s="5" t="str">
        <f t="shared" ref="B882:B893" si="41">"UNIDAD DE LLAMADO DE ENFERMERIA PARA BAÑO CON CORDON TIRADOR. RESISTENTE A SALPICADURAS DE AGUA Y LUZ INDICADORA DE PULSACIÓN"</f>
        <v>UNIDAD DE LLAMADO DE ENFERMERIA PARA BAÑO CON CORDON TIRADOR. RESISTENTE A SALPICADURAS DE AGUA Y LUZ INDICADORA DE PULSACIÓN</v>
      </c>
      <c r="C882" s="6">
        <v>529400</v>
      </c>
      <c r="D882" s="5" t="s">
        <v>143</v>
      </c>
      <c r="E882" s="5" t="str">
        <f t="shared" si="39"/>
        <v>ACTISALUD-MEDICINA INTERNA- PISO 7</v>
      </c>
      <c r="F882" s="5"/>
      <c r="G882" s="5"/>
    </row>
    <row r="883" spans="1:7" ht="58.5" customHeight="1" x14ac:dyDescent="0.25">
      <c r="A883" s="5" t="str">
        <f>"H0038264"</f>
        <v>H0038264</v>
      </c>
      <c r="B883" s="5" t="str">
        <f t="shared" si="41"/>
        <v>UNIDAD DE LLAMADO DE ENFERMERIA PARA BAÑO CON CORDON TIRADOR. RESISTENTE A SALPICADURAS DE AGUA Y LUZ INDICADORA DE PULSACIÓN</v>
      </c>
      <c r="C883" s="6">
        <v>529400</v>
      </c>
      <c r="D883" s="5" t="s">
        <v>143</v>
      </c>
      <c r="E883" s="5" t="str">
        <f t="shared" si="39"/>
        <v>ACTISALUD-MEDICINA INTERNA- PISO 7</v>
      </c>
      <c r="F883" s="5"/>
      <c r="G883" s="5"/>
    </row>
    <row r="884" spans="1:7" ht="58.5" customHeight="1" x14ac:dyDescent="0.25">
      <c r="A884" s="5" t="str">
        <f>"H0038265"</f>
        <v>H0038265</v>
      </c>
      <c r="B884" s="5" t="str">
        <f t="shared" si="41"/>
        <v>UNIDAD DE LLAMADO DE ENFERMERIA PARA BAÑO CON CORDON TIRADOR. RESISTENTE A SALPICADURAS DE AGUA Y LUZ INDICADORA DE PULSACIÓN</v>
      </c>
      <c r="C884" s="6">
        <v>529400</v>
      </c>
      <c r="D884" s="5" t="s">
        <v>144</v>
      </c>
      <c r="E884" s="5" t="str">
        <f t="shared" si="39"/>
        <v>ACTISALUD-MEDICINA INTERNA- PISO 7</v>
      </c>
      <c r="F884" s="5"/>
      <c r="G884" s="5"/>
    </row>
    <row r="885" spans="1:7" ht="58.5" customHeight="1" x14ac:dyDescent="0.25">
      <c r="A885" s="5" t="str">
        <f>"H0038266"</f>
        <v>H0038266</v>
      </c>
      <c r="B885" s="5" t="str">
        <f t="shared" si="41"/>
        <v>UNIDAD DE LLAMADO DE ENFERMERIA PARA BAÑO CON CORDON TIRADOR. RESISTENTE A SALPICADURAS DE AGUA Y LUZ INDICADORA DE PULSACIÓN</v>
      </c>
      <c r="C885" s="6">
        <v>529400</v>
      </c>
      <c r="D885" s="5" t="s">
        <v>143</v>
      </c>
      <c r="E885" s="5" t="str">
        <f t="shared" si="39"/>
        <v>ACTISALUD-MEDICINA INTERNA- PISO 7</v>
      </c>
      <c r="F885" s="5"/>
      <c r="G885" s="5"/>
    </row>
    <row r="886" spans="1:7" ht="58.5" customHeight="1" x14ac:dyDescent="0.25">
      <c r="A886" s="5" t="str">
        <f>"H0038267"</f>
        <v>H0038267</v>
      </c>
      <c r="B886" s="5" t="str">
        <f t="shared" si="41"/>
        <v>UNIDAD DE LLAMADO DE ENFERMERIA PARA BAÑO CON CORDON TIRADOR. RESISTENTE A SALPICADURAS DE AGUA Y LUZ INDICADORA DE PULSACIÓN</v>
      </c>
      <c r="C886" s="6">
        <v>529400</v>
      </c>
      <c r="D886" s="5" t="s">
        <v>143</v>
      </c>
      <c r="E886" s="5" t="str">
        <f t="shared" si="39"/>
        <v>ACTISALUD-MEDICINA INTERNA- PISO 7</v>
      </c>
      <c r="F886" s="5"/>
      <c r="G886" s="5"/>
    </row>
    <row r="887" spans="1:7" ht="58.5" customHeight="1" x14ac:dyDescent="0.25">
      <c r="A887" s="5" t="str">
        <f>"H0038268"</f>
        <v>H0038268</v>
      </c>
      <c r="B887" s="5" t="str">
        <f t="shared" si="41"/>
        <v>UNIDAD DE LLAMADO DE ENFERMERIA PARA BAÑO CON CORDON TIRADOR. RESISTENTE A SALPICADURAS DE AGUA Y LUZ INDICADORA DE PULSACIÓN</v>
      </c>
      <c r="C887" s="6">
        <v>529400</v>
      </c>
      <c r="D887" s="5" t="s">
        <v>143</v>
      </c>
      <c r="E887" s="5" t="str">
        <f t="shared" si="39"/>
        <v>ACTISALUD-MEDICINA INTERNA- PISO 7</v>
      </c>
      <c r="F887" s="5"/>
      <c r="G887" s="5"/>
    </row>
    <row r="888" spans="1:7" ht="58.5" customHeight="1" x14ac:dyDescent="0.25">
      <c r="A888" s="5" t="str">
        <f>"H0038269"</f>
        <v>H0038269</v>
      </c>
      <c r="B888" s="5" t="str">
        <f t="shared" si="41"/>
        <v>UNIDAD DE LLAMADO DE ENFERMERIA PARA BAÑO CON CORDON TIRADOR. RESISTENTE A SALPICADURAS DE AGUA Y LUZ INDICADORA DE PULSACIÓN</v>
      </c>
      <c r="C888" s="6">
        <v>529400</v>
      </c>
      <c r="D888" s="5" t="s">
        <v>143</v>
      </c>
      <c r="E888" s="5" t="str">
        <f t="shared" si="39"/>
        <v>ACTISALUD-MEDICINA INTERNA- PISO 7</v>
      </c>
      <c r="F888" s="5"/>
      <c r="G888" s="5"/>
    </row>
    <row r="889" spans="1:7" ht="58.5" customHeight="1" x14ac:dyDescent="0.25">
      <c r="A889" s="5" t="str">
        <f>"H0038270"</f>
        <v>H0038270</v>
      </c>
      <c r="B889" s="5" t="str">
        <f t="shared" si="41"/>
        <v>UNIDAD DE LLAMADO DE ENFERMERIA PARA BAÑO CON CORDON TIRADOR. RESISTENTE A SALPICADURAS DE AGUA Y LUZ INDICADORA DE PULSACIÓN</v>
      </c>
      <c r="C889" s="6">
        <v>529400</v>
      </c>
      <c r="D889" s="5" t="s">
        <v>143</v>
      </c>
      <c r="E889" s="5" t="str">
        <f t="shared" si="39"/>
        <v>ACTISALUD-MEDICINA INTERNA- PISO 7</v>
      </c>
      <c r="F889" s="5"/>
      <c r="G889" s="5"/>
    </row>
    <row r="890" spans="1:7" ht="58.5" customHeight="1" x14ac:dyDescent="0.25">
      <c r="A890" s="5" t="str">
        <f>"H0038271"</f>
        <v>H0038271</v>
      </c>
      <c r="B890" s="5" t="str">
        <f t="shared" si="41"/>
        <v>UNIDAD DE LLAMADO DE ENFERMERIA PARA BAÑO CON CORDON TIRADOR. RESISTENTE A SALPICADURAS DE AGUA Y LUZ INDICADORA DE PULSACIÓN</v>
      </c>
      <c r="C890" s="6">
        <v>529400</v>
      </c>
      <c r="D890" s="5" t="s">
        <v>143</v>
      </c>
      <c r="E890" s="5" t="str">
        <f t="shared" si="39"/>
        <v>ACTISALUD-MEDICINA INTERNA- PISO 7</v>
      </c>
      <c r="F890" s="5"/>
      <c r="G890" s="5"/>
    </row>
    <row r="891" spans="1:7" ht="58.5" customHeight="1" x14ac:dyDescent="0.25">
      <c r="A891" s="5" t="str">
        <f>"H0038272"</f>
        <v>H0038272</v>
      </c>
      <c r="B891" s="5" t="str">
        <f t="shared" si="41"/>
        <v>UNIDAD DE LLAMADO DE ENFERMERIA PARA BAÑO CON CORDON TIRADOR. RESISTENTE A SALPICADURAS DE AGUA Y LUZ INDICADORA DE PULSACIÓN</v>
      </c>
      <c r="C891" s="6">
        <v>529400</v>
      </c>
      <c r="D891" s="5" t="s">
        <v>143</v>
      </c>
      <c r="E891" s="5" t="str">
        <f t="shared" si="39"/>
        <v>ACTISALUD-MEDICINA INTERNA- PISO 7</v>
      </c>
      <c r="F891" s="5"/>
      <c r="G891" s="5"/>
    </row>
    <row r="892" spans="1:7" ht="58.5" customHeight="1" x14ac:dyDescent="0.25">
      <c r="A892" s="5" t="str">
        <f>"H0038273"</f>
        <v>H0038273</v>
      </c>
      <c r="B892" s="5" t="str">
        <f t="shared" si="41"/>
        <v>UNIDAD DE LLAMADO DE ENFERMERIA PARA BAÑO CON CORDON TIRADOR. RESISTENTE A SALPICADURAS DE AGUA Y LUZ INDICADORA DE PULSACIÓN</v>
      </c>
      <c r="C892" s="6">
        <v>529400</v>
      </c>
      <c r="D892" s="5" t="s">
        <v>143</v>
      </c>
      <c r="E892" s="5" t="str">
        <f t="shared" si="39"/>
        <v>ACTISALUD-MEDICINA INTERNA- PISO 7</v>
      </c>
      <c r="F892" s="5"/>
      <c r="G892" s="5"/>
    </row>
    <row r="893" spans="1:7" ht="58.5" customHeight="1" x14ac:dyDescent="0.25">
      <c r="A893" s="5" t="str">
        <f>"H0038274"</f>
        <v>H0038274</v>
      </c>
      <c r="B893" s="5" t="str">
        <f t="shared" si="41"/>
        <v>UNIDAD DE LLAMADO DE ENFERMERIA PARA BAÑO CON CORDON TIRADOR. RESISTENTE A SALPICADURAS DE AGUA Y LUZ INDICADORA DE PULSACIÓN</v>
      </c>
      <c r="C893" s="6">
        <v>529400</v>
      </c>
      <c r="D893" s="5" t="s">
        <v>143</v>
      </c>
      <c r="E893" s="5" t="str">
        <f t="shared" si="39"/>
        <v>ACTISALUD-MEDICINA INTERNA- PISO 7</v>
      </c>
      <c r="F893" s="5"/>
      <c r="G893" s="5"/>
    </row>
    <row r="894" spans="1:7" ht="58.5" customHeight="1" x14ac:dyDescent="0.25">
      <c r="A894" s="5" t="str">
        <f>"H0038486"</f>
        <v>H0038486</v>
      </c>
      <c r="B894" s="5" t="str">
        <f t="shared" ref="B894:B937" si="42">"UNIDAD DE LLAMADO DE ENFERMERIA PARA CAMA O BAÑO"</f>
        <v>UNIDAD DE LLAMADO DE ENFERMERIA PARA CAMA O BAÑO</v>
      </c>
      <c r="C894" s="6">
        <v>532900</v>
      </c>
      <c r="D894" s="5" t="s">
        <v>143</v>
      </c>
      <c r="E894" s="5" t="str">
        <f t="shared" si="39"/>
        <v>ACTISALUD-MEDICINA INTERNA- PISO 7</v>
      </c>
      <c r="F894" s="5"/>
      <c r="G894" s="5"/>
    </row>
    <row r="895" spans="1:7" ht="58.5" customHeight="1" x14ac:dyDescent="0.25">
      <c r="A895" s="5" t="str">
        <f>"H0038487"</f>
        <v>H0038487</v>
      </c>
      <c r="B895" s="5" t="str">
        <f t="shared" si="42"/>
        <v>UNIDAD DE LLAMADO DE ENFERMERIA PARA CAMA O BAÑO</v>
      </c>
      <c r="C895" s="6">
        <v>532900</v>
      </c>
      <c r="D895" s="5" t="s">
        <v>143</v>
      </c>
      <c r="E895" s="5" t="str">
        <f t="shared" si="39"/>
        <v>ACTISALUD-MEDICINA INTERNA- PISO 7</v>
      </c>
      <c r="F895" s="5"/>
      <c r="G895" s="5"/>
    </row>
    <row r="896" spans="1:7" ht="58.5" customHeight="1" x14ac:dyDescent="0.25">
      <c r="A896" s="5" t="str">
        <f>"H0038488"</f>
        <v>H0038488</v>
      </c>
      <c r="B896" s="5" t="str">
        <f t="shared" si="42"/>
        <v>UNIDAD DE LLAMADO DE ENFERMERIA PARA CAMA O BAÑO</v>
      </c>
      <c r="C896" s="6">
        <v>532900</v>
      </c>
      <c r="D896" s="5" t="s">
        <v>143</v>
      </c>
      <c r="E896" s="5" t="str">
        <f t="shared" si="39"/>
        <v>ACTISALUD-MEDICINA INTERNA- PISO 7</v>
      </c>
      <c r="F896" s="5"/>
      <c r="G896" s="5"/>
    </row>
    <row r="897" spans="1:7" ht="58.5" customHeight="1" x14ac:dyDescent="0.25">
      <c r="A897" s="5" t="str">
        <f>"H0038489"</f>
        <v>H0038489</v>
      </c>
      <c r="B897" s="5" t="str">
        <f t="shared" si="42"/>
        <v>UNIDAD DE LLAMADO DE ENFERMERIA PARA CAMA O BAÑO</v>
      </c>
      <c r="C897" s="6">
        <v>532900</v>
      </c>
      <c r="D897" s="5" t="s">
        <v>143</v>
      </c>
      <c r="E897" s="5" t="str">
        <f t="shared" si="39"/>
        <v>ACTISALUD-MEDICINA INTERNA- PISO 7</v>
      </c>
      <c r="F897" s="5"/>
      <c r="G897" s="5"/>
    </row>
    <row r="898" spans="1:7" ht="58.5" customHeight="1" x14ac:dyDescent="0.25">
      <c r="A898" s="5" t="str">
        <f>"H0038490"</f>
        <v>H0038490</v>
      </c>
      <c r="B898" s="5" t="str">
        <f t="shared" si="42"/>
        <v>UNIDAD DE LLAMADO DE ENFERMERIA PARA CAMA O BAÑO</v>
      </c>
      <c r="C898" s="6">
        <v>532900</v>
      </c>
      <c r="D898" s="5" t="s">
        <v>143</v>
      </c>
      <c r="E898" s="5" t="str">
        <f t="shared" si="39"/>
        <v>ACTISALUD-MEDICINA INTERNA- PISO 7</v>
      </c>
      <c r="F898" s="5"/>
      <c r="G898" s="5"/>
    </row>
    <row r="899" spans="1:7" ht="58.5" customHeight="1" x14ac:dyDescent="0.25">
      <c r="A899" s="5" t="str">
        <f>"H0038491"</f>
        <v>H0038491</v>
      </c>
      <c r="B899" s="5" t="str">
        <f t="shared" si="42"/>
        <v>UNIDAD DE LLAMADO DE ENFERMERIA PARA CAMA O BAÑO</v>
      </c>
      <c r="C899" s="6">
        <v>532900</v>
      </c>
      <c r="D899" s="5" t="s">
        <v>143</v>
      </c>
      <c r="E899" s="5" t="str">
        <f t="shared" si="39"/>
        <v>ACTISALUD-MEDICINA INTERNA- PISO 7</v>
      </c>
      <c r="F899" s="5"/>
      <c r="G899" s="5"/>
    </row>
    <row r="900" spans="1:7" ht="58.5" customHeight="1" x14ac:dyDescent="0.25">
      <c r="A900" s="5" t="str">
        <f>"H0038492"</f>
        <v>H0038492</v>
      </c>
      <c r="B900" s="5" t="str">
        <f t="shared" si="42"/>
        <v>UNIDAD DE LLAMADO DE ENFERMERIA PARA CAMA O BAÑO</v>
      </c>
      <c r="C900" s="6">
        <v>532900</v>
      </c>
      <c r="D900" s="5" t="s">
        <v>143</v>
      </c>
      <c r="E900" s="5" t="str">
        <f t="shared" si="39"/>
        <v>ACTISALUD-MEDICINA INTERNA- PISO 7</v>
      </c>
      <c r="F900" s="5"/>
      <c r="G900" s="5"/>
    </row>
    <row r="901" spans="1:7" ht="58.5" customHeight="1" x14ac:dyDescent="0.25">
      <c r="A901" s="5" t="str">
        <f>"H0038493"</f>
        <v>H0038493</v>
      </c>
      <c r="B901" s="5" t="str">
        <f t="shared" si="42"/>
        <v>UNIDAD DE LLAMADO DE ENFERMERIA PARA CAMA O BAÑO</v>
      </c>
      <c r="C901" s="6">
        <v>532900</v>
      </c>
      <c r="D901" s="5" t="s">
        <v>143</v>
      </c>
      <c r="E901" s="5" t="str">
        <f t="shared" si="39"/>
        <v>ACTISALUD-MEDICINA INTERNA- PISO 7</v>
      </c>
      <c r="F901" s="5"/>
      <c r="G901" s="5"/>
    </row>
    <row r="902" spans="1:7" ht="58.5" customHeight="1" x14ac:dyDescent="0.25">
      <c r="A902" s="5" t="str">
        <f>"H0038494"</f>
        <v>H0038494</v>
      </c>
      <c r="B902" s="5" t="str">
        <f t="shared" si="42"/>
        <v>UNIDAD DE LLAMADO DE ENFERMERIA PARA CAMA O BAÑO</v>
      </c>
      <c r="C902" s="6">
        <v>532900</v>
      </c>
      <c r="D902" s="5" t="s">
        <v>143</v>
      </c>
      <c r="E902" s="5" t="str">
        <f t="shared" si="39"/>
        <v>ACTISALUD-MEDICINA INTERNA- PISO 7</v>
      </c>
      <c r="F902" s="5"/>
      <c r="G902" s="5"/>
    </row>
    <row r="903" spans="1:7" ht="58.5" customHeight="1" x14ac:dyDescent="0.25">
      <c r="A903" s="5" t="str">
        <f>"H0038495"</f>
        <v>H0038495</v>
      </c>
      <c r="B903" s="5" t="str">
        <f t="shared" si="42"/>
        <v>UNIDAD DE LLAMADO DE ENFERMERIA PARA CAMA O BAÑO</v>
      </c>
      <c r="C903" s="6">
        <v>532900</v>
      </c>
      <c r="D903" s="5" t="s">
        <v>143</v>
      </c>
      <c r="E903" s="5" t="str">
        <f t="shared" si="39"/>
        <v>ACTISALUD-MEDICINA INTERNA- PISO 7</v>
      </c>
      <c r="F903" s="5"/>
      <c r="G903" s="5"/>
    </row>
    <row r="904" spans="1:7" ht="58.5" customHeight="1" x14ac:dyDescent="0.25">
      <c r="A904" s="5" t="str">
        <f>"H0038496"</f>
        <v>H0038496</v>
      </c>
      <c r="B904" s="5" t="str">
        <f t="shared" si="42"/>
        <v>UNIDAD DE LLAMADO DE ENFERMERIA PARA CAMA O BAÑO</v>
      </c>
      <c r="C904" s="6">
        <v>532900</v>
      </c>
      <c r="D904" s="5" t="s">
        <v>143</v>
      </c>
      <c r="E904" s="5" t="str">
        <f t="shared" si="39"/>
        <v>ACTISALUD-MEDICINA INTERNA- PISO 7</v>
      </c>
      <c r="F904" s="5"/>
      <c r="G904" s="5"/>
    </row>
    <row r="905" spans="1:7" ht="58.5" customHeight="1" x14ac:dyDescent="0.25">
      <c r="A905" s="5" t="str">
        <f>"H0038497"</f>
        <v>H0038497</v>
      </c>
      <c r="B905" s="5" t="str">
        <f t="shared" si="42"/>
        <v>UNIDAD DE LLAMADO DE ENFERMERIA PARA CAMA O BAÑO</v>
      </c>
      <c r="C905" s="6">
        <v>532900</v>
      </c>
      <c r="D905" s="5" t="s">
        <v>143</v>
      </c>
      <c r="E905" s="5" t="str">
        <f t="shared" si="39"/>
        <v>ACTISALUD-MEDICINA INTERNA- PISO 7</v>
      </c>
      <c r="F905" s="5"/>
      <c r="G905" s="5"/>
    </row>
    <row r="906" spans="1:7" ht="58.5" customHeight="1" x14ac:dyDescent="0.25">
      <c r="A906" s="5" t="str">
        <f>"H0038498"</f>
        <v>H0038498</v>
      </c>
      <c r="B906" s="5" t="str">
        <f t="shared" si="42"/>
        <v>UNIDAD DE LLAMADO DE ENFERMERIA PARA CAMA O BAÑO</v>
      </c>
      <c r="C906" s="6">
        <v>532900</v>
      </c>
      <c r="D906" s="5" t="s">
        <v>143</v>
      </c>
      <c r="E906" s="5" t="str">
        <f t="shared" si="39"/>
        <v>ACTISALUD-MEDICINA INTERNA- PISO 7</v>
      </c>
      <c r="F906" s="5"/>
      <c r="G906" s="5"/>
    </row>
    <row r="907" spans="1:7" ht="58.5" customHeight="1" x14ac:dyDescent="0.25">
      <c r="A907" s="5" t="str">
        <f>"H0038499"</f>
        <v>H0038499</v>
      </c>
      <c r="B907" s="5" t="str">
        <f t="shared" si="42"/>
        <v>UNIDAD DE LLAMADO DE ENFERMERIA PARA CAMA O BAÑO</v>
      </c>
      <c r="C907" s="6">
        <v>532900</v>
      </c>
      <c r="D907" s="5" t="s">
        <v>143</v>
      </c>
      <c r="E907" s="5" t="str">
        <f t="shared" si="39"/>
        <v>ACTISALUD-MEDICINA INTERNA- PISO 7</v>
      </c>
      <c r="F907" s="5"/>
      <c r="G907" s="5"/>
    </row>
    <row r="908" spans="1:7" ht="58.5" customHeight="1" x14ac:dyDescent="0.25">
      <c r="A908" s="5" t="str">
        <f>"H0038500"</f>
        <v>H0038500</v>
      </c>
      <c r="B908" s="5" t="str">
        <f t="shared" si="42"/>
        <v>UNIDAD DE LLAMADO DE ENFERMERIA PARA CAMA O BAÑO</v>
      </c>
      <c r="C908" s="6">
        <v>532900</v>
      </c>
      <c r="D908" s="5" t="s">
        <v>143</v>
      </c>
      <c r="E908" s="5" t="str">
        <f t="shared" si="39"/>
        <v>ACTISALUD-MEDICINA INTERNA- PISO 7</v>
      </c>
      <c r="F908" s="5"/>
      <c r="G908" s="5"/>
    </row>
    <row r="909" spans="1:7" ht="58.5" customHeight="1" x14ac:dyDescent="0.25">
      <c r="A909" s="5" t="str">
        <f>"H0038501"</f>
        <v>H0038501</v>
      </c>
      <c r="B909" s="5" t="str">
        <f t="shared" si="42"/>
        <v>UNIDAD DE LLAMADO DE ENFERMERIA PARA CAMA O BAÑO</v>
      </c>
      <c r="C909" s="6">
        <v>532900</v>
      </c>
      <c r="D909" s="5" t="s">
        <v>143</v>
      </c>
      <c r="E909" s="5" t="str">
        <f t="shared" si="39"/>
        <v>ACTISALUD-MEDICINA INTERNA- PISO 7</v>
      </c>
      <c r="F909" s="5"/>
      <c r="G909" s="5"/>
    </row>
    <row r="910" spans="1:7" ht="58.5" customHeight="1" x14ac:dyDescent="0.25">
      <c r="A910" s="5" t="str">
        <f>"H0038502"</f>
        <v>H0038502</v>
      </c>
      <c r="B910" s="5" t="str">
        <f t="shared" si="42"/>
        <v>UNIDAD DE LLAMADO DE ENFERMERIA PARA CAMA O BAÑO</v>
      </c>
      <c r="C910" s="6">
        <v>532900</v>
      </c>
      <c r="D910" s="5" t="s">
        <v>143</v>
      </c>
      <c r="E910" s="5" t="str">
        <f t="shared" ref="E910:E953" si="43">"ACTISALUD-MEDICINA INTERNA- PISO 7"</f>
        <v>ACTISALUD-MEDICINA INTERNA- PISO 7</v>
      </c>
      <c r="F910" s="5"/>
      <c r="G910" s="5"/>
    </row>
    <row r="911" spans="1:7" ht="58.5" customHeight="1" x14ac:dyDescent="0.25">
      <c r="A911" s="5" t="str">
        <f>"H0038503"</f>
        <v>H0038503</v>
      </c>
      <c r="B911" s="5" t="str">
        <f t="shared" si="42"/>
        <v>UNIDAD DE LLAMADO DE ENFERMERIA PARA CAMA O BAÑO</v>
      </c>
      <c r="C911" s="6">
        <v>532900</v>
      </c>
      <c r="D911" s="5" t="s">
        <v>143</v>
      </c>
      <c r="E911" s="5" t="str">
        <f t="shared" si="43"/>
        <v>ACTISALUD-MEDICINA INTERNA- PISO 7</v>
      </c>
      <c r="F911" s="5"/>
      <c r="G911" s="5"/>
    </row>
    <row r="912" spans="1:7" ht="58.5" customHeight="1" x14ac:dyDescent="0.25">
      <c r="A912" s="5" t="str">
        <f>"H0038504"</f>
        <v>H0038504</v>
      </c>
      <c r="B912" s="5" t="str">
        <f t="shared" si="42"/>
        <v>UNIDAD DE LLAMADO DE ENFERMERIA PARA CAMA O BAÑO</v>
      </c>
      <c r="C912" s="6">
        <v>532900</v>
      </c>
      <c r="D912" s="5" t="s">
        <v>143</v>
      </c>
      <c r="E912" s="5" t="str">
        <f t="shared" si="43"/>
        <v>ACTISALUD-MEDICINA INTERNA- PISO 7</v>
      </c>
      <c r="F912" s="5"/>
      <c r="G912" s="5"/>
    </row>
    <row r="913" spans="1:7" ht="58.5" customHeight="1" x14ac:dyDescent="0.25">
      <c r="A913" s="5" t="str">
        <f>"H0038505"</f>
        <v>H0038505</v>
      </c>
      <c r="B913" s="5" t="str">
        <f t="shared" si="42"/>
        <v>UNIDAD DE LLAMADO DE ENFERMERIA PARA CAMA O BAÑO</v>
      </c>
      <c r="C913" s="6">
        <v>532900</v>
      </c>
      <c r="D913" s="5" t="s">
        <v>143</v>
      </c>
      <c r="E913" s="5" t="str">
        <f t="shared" si="43"/>
        <v>ACTISALUD-MEDICINA INTERNA- PISO 7</v>
      </c>
      <c r="F913" s="5"/>
      <c r="G913" s="5"/>
    </row>
    <row r="914" spans="1:7" ht="58.5" customHeight="1" x14ac:dyDescent="0.25">
      <c r="A914" s="5" t="str">
        <f>"H0038506"</f>
        <v>H0038506</v>
      </c>
      <c r="B914" s="5" t="str">
        <f t="shared" si="42"/>
        <v>UNIDAD DE LLAMADO DE ENFERMERIA PARA CAMA O BAÑO</v>
      </c>
      <c r="C914" s="6">
        <v>532900</v>
      </c>
      <c r="D914" s="5" t="s">
        <v>143</v>
      </c>
      <c r="E914" s="5" t="str">
        <f t="shared" si="43"/>
        <v>ACTISALUD-MEDICINA INTERNA- PISO 7</v>
      </c>
      <c r="F914" s="5"/>
      <c r="G914" s="5"/>
    </row>
    <row r="915" spans="1:7" ht="58.5" customHeight="1" x14ac:dyDescent="0.25">
      <c r="A915" s="5" t="str">
        <f>"H0038507"</f>
        <v>H0038507</v>
      </c>
      <c r="B915" s="5" t="str">
        <f t="shared" si="42"/>
        <v>UNIDAD DE LLAMADO DE ENFERMERIA PARA CAMA O BAÑO</v>
      </c>
      <c r="C915" s="6">
        <v>532900</v>
      </c>
      <c r="D915" s="5" t="s">
        <v>143</v>
      </c>
      <c r="E915" s="5" t="str">
        <f t="shared" si="43"/>
        <v>ACTISALUD-MEDICINA INTERNA- PISO 7</v>
      </c>
      <c r="F915" s="5"/>
      <c r="G915" s="5"/>
    </row>
    <row r="916" spans="1:7" ht="58.5" customHeight="1" x14ac:dyDescent="0.25">
      <c r="A916" s="5" t="str">
        <f>"H0038508"</f>
        <v>H0038508</v>
      </c>
      <c r="B916" s="5" t="str">
        <f t="shared" si="42"/>
        <v>UNIDAD DE LLAMADO DE ENFERMERIA PARA CAMA O BAÑO</v>
      </c>
      <c r="C916" s="6">
        <v>532900</v>
      </c>
      <c r="D916" s="5" t="s">
        <v>143</v>
      </c>
      <c r="E916" s="5" t="str">
        <f t="shared" si="43"/>
        <v>ACTISALUD-MEDICINA INTERNA- PISO 7</v>
      </c>
      <c r="F916" s="5"/>
      <c r="G916" s="5"/>
    </row>
    <row r="917" spans="1:7" ht="58.5" customHeight="1" x14ac:dyDescent="0.25">
      <c r="A917" s="5" t="str">
        <f>"H0038509"</f>
        <v>H0038509</v>
      </c>
      <c r="B917" s="5" t="str">
        <f t="shared" si="42"/>
        <v>UNIDAD DE LLAMADO DE ENFERMERIA PARA CAMA O BAÑO</v>
      </c>
      <c r="C917" s="6">
        <v>532900</v>
      </c>
      <c r="D917" s="5" t="s">
        <v>143</v>
      </c>
      <c r="E917" s="5" t="str">
        <f t="shared" si="43"/>
        <v>ACTISALUD-MEDICINA INTERNA- PISO 7</v>
      </c>
      <c r="F917" s="5"/>
      <c r="G917" s="5"/>
    </row>
    <row r="918" spans="1:7" ht="58.5" customHeight="1" x14ac:dyDescent="0.25">
      <c r="A918" s="5" t="str">
        <f>"H0038510"</f>
        <v>H0038510</v>
      </c>
      <c r="B918" s="5" t="str">
        <f t="shared" si="42"/>
        <v>UNIDAD DE LLAMADO DE ENFERMERIA PARA CAMA O BAÑO</v>
      </c>
      <c r="C918" s="6">
        <v>532900</v>
      </c>
      <c r="D918" s="5" t="s">
        <v>143</v>
      </c>
      <c r="E918" s="5" t="str">
        <f t="shared" si="43"/>
        <v>ACTISALUD-MEDICINA INTERNA- PISO 7</v>
      </c>
      <c r="F918" s="5"/>
      <c r="G918" s="5"/>
    </row>
    <row r="919" spans="1:7" ht="58.5" customHeight="1" x14ac:dyDescent="0.25">
      <c r="A919" s="5" t="str">
        <f>"H0038511"</f>
        <v>H0038511</v>
      </c>
      <c r="B919" s="5" t="str">
        <f t="shared" si="42"/>
        <v>UNIDAD DE LLAMADO DE ENFERMERIA PARA CAMA O BAÑO</v>
      </c>
      <c r="C919" s="6">
        <v>532900</v>
      </c>
      <c r="D919" s="5" t="s">
        <v>143</v>
      </c>
      <c r="E919" s="5" t="str">
        <f t="shared" si="43"/>
        <v>ACTISALUD-MEDICINA INTERNA- PISO 7</v>
      </c>
      <c r="F919" s="5"/>
      <c r="G919" s="5"/>
    </row>
    <row r="920" spans="1:7" ht="58.5" customHeight="1" x14ac:dyDescent="0.25">
      <c r="A920" s="5" t="str">
        <f>"H0038512"</f>
        <v>H0038512</v>
      </c>
      <c r="B920" s="5" t="str">
        <f t="shared" si="42"/>
        <v>UNIDAD DE LLAMADO DE ENFERMERIA PARA CAMA O BAÑO</v>
      </c>
      <c r="C920" s="6">
        <v>532900</v>
      </c>
      <c r="D920" s="5" t="s">
        <v>143</v>
      </c>
      <c r="E920" s="5" t="str">
        <f t="shared" si="43"/>
        <v>ACTISALUD-MEDICINA INTERNA- PISO 7</v>
      </c>
      <c r="F920" s="5"/>
      <c r="G920" s="5"/>
    </row>
    <row r="921" spans="1:7" ht="58.5" customHeight="1" x14ac:dyDescent="0.25">
      <c r="A921" s="5" t="str">
        <f>"H0038513"</f>
        <v>H0038513</v>
      </c>
      <c r="B921" s="5" t="str">
        <f t="shared" si="42"/>
        <v>UNIDAD DE LLAMADO DE ENFERMERIA PARA CAMA O BAÑO</v>
      </c>
      <c r="C921" s="6">
        <v>532900</v>
      </c>
      <c r="D921" s="5" t="s">
        <v>143</v>
      </c>
      <c r="E921" s="5" t="str">
        <f t="shared" si="43"/>
        <v>ACTISALUD-MEDICINA INTERNA- PISO 7</v>
      </c>
      <c r="F921" s="5"/>
      <c r="G921" s="5"/>
    </row>
    <row r="922" spans="1:7" ht="58.5" customHeight="1" x14ac:dyDescent="0.25">
      <c r="A922" s="5" t="str">
        <f>"H0038514"</f>
        <v>H0038514</v>
      </c>
      <c r="B922" s="5" t="str">
        <f t="shared" si="42"/>
        <v>UNIDAD DE LLAMADO DE ENFERMERIA PARA CAMA O BAÑO</v>
      </c>
      <c r="C922" s="6">
        <v>532900</v>
      </c>
      <c r="D922" s="5" t="s">
        <v>143</v>
      </c>
      <c r="E922" s="5" t="str">
        <f t="shared" si="43"/>
        <v>ACTISALUD-MEDICINA INTERNA- PISO 7</v>
      </c>
      <c r="F922" s="5"/>
      <c r="G922" s="5"/>
    </row>
    <row r="923" spans="1:7" ht="58.5" customHeight="1" x14ac:dyDescent="0.25">
      <c r="A923" s="5" t="str">
        <f>"H0038515"</f>
        <v>H0038515</v>
      </c>
      <c r="B923" s="5" t="str">
        <f t="shared" si="42"/>
        <v>UNIDAD DE LLAMADO DE ENFERMERIA PARA CAMA O BAÑO</v>
      </c>
      <c r="C923" s="6">
        <v>532900</v>
      </c>
      <c r="D923" s="5" t="s">
        <v>143</v>
      </c>
      <c r="E923" s="5" t="str">
        <f t="shared" si="43"/>
        <v>ACTISALUD-MEDICINA INTERNA- PISO 7</v>
      </c>
      <c r="F923" s="5"/>
      <c r="G923" s="5"/>
    </row>
    <row r="924" spans="1:7" ht="58.5" customHeight="1" x14ac:dyDescent="0.25">
      <c r="A924" s="5" t="str">
        <f>"H0038516"</f>
        <v>H0038516</v>
      </c>
      <c r="B924" s="5" t="str">
        <f t="shared" si="42"/>
        <v>UNIDAD DE LLAMADO DE ENFERMERIA PARA CAMA O BAÑO</v>
      </c>
      <c r="C924" s="6">
        <v>532900</v>
      </c>
      <c r="D924" s="5" t="s">
        <v>143</v>
      </c>
      <c r="E924" s="5" t="str">
        <f t="shared" si="43"/>
        <v>ACTISALUD-MEDICINA INTERNA- PISO 7</v>
      </c>
      <c r="F924" s="5"/>
      <c r="G924" s="5"/>
    </row>
    <row r="925" spans="1:7" ht="58.5" customHeight="1" x14ac:dyDescent="0.25">
      <c r="A925" s="5" t="str">
        <f>"H0038517"</f>
        <v>H0038517</v>
      </c>
      <c r="B925" s="5" t="str">
        <f t="shared" si="42"/>
        <v>UNIDAD DE LLAMADO DE ENFERMERIA PARA CAMA O BAÑO</v>
      </c>
      <c r="C925" s="6">
        <v>532900</v>
      </c>
      <c r="D925" s="5" t="s">
        <v>143</v>
      </c>
      <c r="E925" s="5" t="str">
        <f t="shared" si="43"/>
        <v>ACTISALUD-MEDICINA INTERNA- PISO 7</v>
      </c>
      <c r="F925" s="5"/>
      <c r="G925" s="5"/>
    </row>
    <row r="926" spans="1:7" ht="58.5" customHeight="1" x14ac:dyDescent="0.25">
      <c r="A926" s="5" t="str">
        <f>"H0038518"</f>
        <v>H0038518</v>
      </c>
      <c r="B926" s="5" t="str">
        <f t="shared" si="42"/>
        <v>UNIDAD DE LLAMADO DE ENFERMERIA PARA CAMA O BAÑO</v>
      </c>
      <c r="C926" s="6">
        <v>532900</v>
      </c>
      <c r="D926" s="5" t="s">
        <v>143</v>
      </c>
      <c r="E926" s="5" t="str">
        <f t="shared" si="43"/>
        <v>ACTISALUD-MEDICINA INTERNA- PISO 7</v>
      </c>
      <c r="F926" s="5"/>
      <c r="G926" s="5"/>
    </row>
    <row r="927" spans="1:7" ht="58.5" customHeight="1" x14ac:dyDescent="0.25">
      <c r="A927" s="5" t="str">
        <f>"H0038519"</f>
        <v>H0038519</v>
      </c>
      <c r="B927" s="5" t="str">
        <f t="shared" si="42"/>
        <v>UNIDAD DE LLAMADO DE ENFERMERIA PARA CAMA O BAÑO</v>
      </c>
      <c r="C927" s="6">
        <v>532900</v>
      </c>
      <c r="D927" s="5" t="s">
        <v>143</v>
      </c>
      <c r="E927" s="5" t="str">
        <f t="shared" si="43"/>
        <v>ACTISALUD-MEDICINA INTERNA- PISO 7</v>
      </c>
      <c r="F927" s="5"/>
      <c r="G927" s="5"/>
    </row>
    <row r="928" spans="1:7" ht="58.5" customHeight="1" x14ac:dyDescent="0.25">
      <c r="A928" s="5" t="str">
        <f>"H0038520"</f>
        <v>H0038520</v>
      </c>
      <c r="B928" s="5" t="str">
        <f t="shared" si="42"/>
        <v>UNIDAD DE LLAMADO DE ENFERMERIA PARA CAMA O BAÑO</v>
      </c>
      <c r="C928" s="6">
        <v>532900</v>
      </c>
      <c r="D928" s="5" t="s">
        <v>143</v>
      </c>
      <c r="E928" s="5" t="str">
        <f t="shared" si="43"/>
        <v>ACTISALUD-MEDICINA INTERNA- PISO 7</v>
      </c>
      <c r="F928" s="5"/>
      <c r="G928" s="5"/>
    </row>
    <row r="929" spans="1:7" ht="58.5" customHeight="1" x14ac:dyDescent="0.25">
      <c r="A929" s="5" t="str">
        <f>"H0038521"</f>
        <v>H0038521</v>
      </c>
      <c r="B929" s="5" t="str">
        <f t="shared" si="42"/>
        <v>UNIDAD DE LLAMADO DE ENFERMERIA PARA CAMA O BAÑO</v>
      </c>
      <c r="C929" s="6">
        <v>532900</v>
      </c>
      <c r="D929" s="5" t="s">
        <v>143</v>
      </c>
      <c r="E929" s="5" t="str">
        <f t="shared" si="43"/>
        <v>ACTISALUD-MEDICINA INTERNA- PISO 7</v>
      </c>
      <c r="F929" s="5"/>
      <c r="G929" s="5"/>
    </row>
    <row r="930" spans="1:7" ht="58.5" customHeight="1" x14ac:dyDescent="0.25">
      <c r="A930" s="5" t="str">
        <f>"H0038522"</f>
        <v>H0038522</v>
      </c>
      <c r="B930" s="5" t="str">
        <f t="shared" si="42"/>
        <v>UNIDAD DE LLAMADO DE ENFERMERIA PARA CAMA O BAÑO</v>
      </c>
      <c r="C930" s="6">
        <v>532900</v>
      </c>
      <c r="D930" s="5" t="s">
        <v>143</v>
      </c>
      <c r="E930" s="5" t="str">
        <f t="shared" si="43"/>
        <v>ACTISALUD-MEDICINA INTERNA- PISO 7</v>
      </c>
      <c r="F930" s="5"/>
      <c r="G930" s="5"/>
    </row>
    <row r="931" spans="1:7" ht="58.5" customHeight="1" x14ac:dyDescent="0.25">
      <c r="A931" s="5" t="str">
        <f>"H0038523"</f>
        <v>H0038523</v>
      </c>
      <c r="B931" s="5" t="str">
        <f t="shared" si="42"/>
        <v>UNIDAD DE LLAMADO DE ENFERMERIA PARA CAMA O BAÑO</v>
      </c>
      <c r="C931" s="6">
        <v>532900</v>
      </c>
      <c r="D931" s="5" t="s">
        <v>143</v>
      </c>
      <c r="E931" s="5" t="str">
        <f t="shared" si="43"/>
        <v>ACTISALUD-MEDICINA INTERNA- PISO 7</v>
      </c>
      <c r="F931" s="5"/>
      <c r="G931" s="5"/>
    </row>
    <row r="932" spans="1:7" ht="58.5" customHeight="1" x14ac:dyDescent="0.25">
      <c r="A932" s="5" t="str">
        <f>"H0038524"</f>
        <v>H0038524</v>
      </c>
      <c r="B932" s="5" t="str">
        <f t="shared" si="42"/>
        <v>UNIDAD DE LLAMADO DE ENFERMERIA PARA CAMA O BAÑO</v>
      </c>
      <c r="C932" s="6">
        <v>532900</v>
      </c>
      <c r="D932" s="5" t="s">
        <v>143</v>
      </c>
      <c r="E932" s="5" t="str">
        <f t="shared" si="43"/>
        <v>ACTISALUD-MEDICINA INTERNA- PISO 7</v>
      </c>
      <c r="F932" s="5"/>
      <c r="G932" s="5"/>
    </row>
    <row r="933" spans="1:7" ht="58.5" customHeight="1" x14ac:dyDescent="0.25">
      <c r="A933" s="5" t="str">
        <f>"H0038525"</f>
        <v>H0038525</v>
      </c>
      <c r="B933" s="5" t="str">
        <f t="shared" si="42"/>
        <v>UNIDAD DE LLAMADO DE ENFERMERIA PARA CAMA O BAÑO</v>
      </c>
      <c r="C933" s="6">
        <v>532900</v>
      </c>
      <c r="D933" s="5" t="s">
        <v>143</v>
      </c>
      <c r="E933" s="5" t="str">
        <f t="shared" si="43"/>
        <v>ACTISALUD-MEDICINA INTERNA- PISO 7</v>
      </c>
      <c r="F933" s="5"/>
      <c r="G933" s="5"/>
    </row>
    <row r="934" spans="1:7" ht="58.5" customHeight="1" x14ac:dyDescent="0.25">
      <c r="A934" s="5" t="str">
        <f>"H0038526"</f>
        <v>H0038526</v>
      </c>
      <c r="B934" s="5" t="str">
        <f t="shared" si="42"/>
        <v>UNIDAD DE LLAMADO DE ENFERMERIA PARA CAMA O BAÑO</v>
      </c>
      <c r="C934" s="6">
        <v>532900</v>
      </c>
      <c r="D934" s="5" t="s">
        <v>143</v>
      </c>
      <c r="E934" s="5" t="str">
        <f t="shared" si="43"/>
        <v>ACTISALUD-MEDICINA INTERNA- PISO 7</v>
      </c>
      <c r="F934" s="5"/>
      <c r="G934" s="5"/>
    </row>
    <row r="935" spans="1:7" ht="58.5" customHeight="1" x14ac:dyDescent="0.25">
      <c r="A935" s="5" t="str">
        <f>"H0038527"</f>
        <v>H0038527</v>
      </c>
      <c r="B935" s="5" t="str">
        <f t="shared" si="42"/>
        <v>UNIDAD DE LLAMADO DE ENFERMERIA PARA CAMA O BAÑO</v>
      </c>
      <c r="C935" s="6">
        <v>532900</v>
      </c>
      <c r="D935" s="5" t="s">
        <v>143</v>
      </c>
      <c r="E935" s="5" t="str">
        <f t="shared" si="43"/>
        <v>ACTISALUD-MEDICINA INTERNA- PISO 7</v>
      </c>
      <c r="F935" s="5"/>
      <c r="G935" s="5"/>
    </row>
    <row r="936" spans="1:7" ht="58.5" customHeight="1" x14ac:dyDescent="0.25">
      <c r="A936" s="5" t="str">
        <f>"H0038528"</f>
        <v>H0038528</v>
      </c>
      <c r="B936" s="5" t="str">
        <f t="shared" si="42"/>
        <v>UNIDAD DE LLAMADO DE ENFERMERIA PARA CAMA O BAÑO</v>
      </c>
      <c r="C936" s="6">
        <v>532900</v>
      </c>
      <c r="D936" s="5" t="s">
        <v>143</v>
      </c>
      <c r="E936" s="5" t="str">
        <f t="shared" si="43"/>
        <v>ACTISALUD-MEDICINA INTERNA- PISO 7</v>
      </c>
      <c r="F936" s="5"/>
      <c r="G936" s="5"/>
    </row>
    <row r="937" spans="1:7" ht="58.5" customHeight="1" x14ac:dyDescent="0.25">
      <c r="A937" s="5" t="str">
        <f>"H0038529"</f>
        <v>H0038529</v>
      </c>
      <c r="B937" s="5" t="str">
        <f t="shared" si="42"/>
        <v>UNIDAD DE LLAMADO DE ENFERMERIA PARA CAMA O BAÑO</v>
      </c>
      <c r="C937" s="6">
        <v>532900</v>
      </c>
      <c r="D937" s="5" t="s">
        <v>143</v>
      </c>
      <c r="E937" s="5" t="str">
        <f t="shared" si="43"/>
        <v>ACTISALUD-MEDICINA INTERNA- PISO 7</v>
      </c>
      <c r="F937" s="5"/>
      <c r="G937" s="5"/>
    </row>
    <row r="938" spans="1:7" ht="58.5" customHeight="1" x14ac:dyDescent="0.25">
      <c r="A938" s="5" t="str">
        <f>"H0038586"</f>
        <v>H0038586</v>
      </c>
      <c r="B938" s="5" t="str">
        <f t="shared" ref="B938:B951" si="44">"LAMPARA DE PASILLO DE LLAMADO DE ENFERMERIA"</f>
        <v>LAMPARA DE PASILLO DE LLAMADO DE ENFERMERIA</v>
      </c>
      <c r="C938" s="6">
        <v>854790</v>
      </c>
      <c r="D938" s="5" t="s">
        <v>143</v>
      </c>
      <c r="E938" s="5" t="str">
        <f t="shared" si="43"/>
        <v>ACTISALUD-MEDICINA INTERNA- PISO 7</v>
      </c>
      <c r="F938" s="5"/>
      <c r="G938" s="5"/>
    </row>
    <row r="939" spans="1:7" ht="58.5" customHeight="1" x14ac:dyDescent="0.25">
      <c r="A939" s="5" t="str">
        <f>"H0038587"</f>
        <v>H0038587</v>
      </c>
      <c r="B939" s="5" t="str">
        <f t="shared" si="44"/>
        <v>LAMPARA DE PASILLO DE LLAMADO DE ENFERMERIA</v>
      </c>
      <c r="C939" s="6">
        <v>854790</v>
      </c>
      <c r="D939" s="5" t="s">
        <v>143</v>
      </c>
      <c r="E939" s="5" t="str">
        <f t="shared" si="43"/>
        <v>ACTISALUD-MEDICINA INTERNA- PISO 7</v>
      </c>
      <c r="F939" s="5"/>
      <c r="G939" s="5"/>
    </row>
    <row r="940" spans="1:7" ht="58.5" customHeight="1" x14ac:dyDescent="0.25">
      <c r="A940" s="5" t="str">
        <f>"H0038588"</f>
        <v>H0038588</v>
      </c>
      <c r="B940" s="5" t="str">
        <f t="shared" si="44"/>
        <v>LAMPARA DE PASILLO DE LLAMADO DE ENFERMERIA</v>
      </c>
      <c r="C940" s="6">
        <v>854790</v>
      </c>
      <c r="D940" s="5" t="s">
        <v>143</v>
      </c>
      <c r="E940" s="5" t="str">
        <f t="shared" si="43"/>
        <v>ACTISALUD-MEDICINA INTERNA- PISO 7</v>
      </c>
      <c r="F940" s="5"/>
      <c r="G940" s="5"/>
    </row>
    <row r="941" spans="1:7" ht="58.5" customHeight="1" x14ac:dyDescent="0.25">
      <c r="A941" s="5" t="str">
        <f>"H0038589"</f>
        <v>H0038589</v>
      </c>
      <c r="B941" s="5" t="str">
        <f t="shared" si="44"/>
        <v>LAMPARA DE PASILLO DE LLAMADO DE ENFERMERIA</v>
      </c>
      <c r="C941" s="6">
        <v>854790</v>
      </c>
      <c r="D941" s="5" t="s">
        <v>143</v>
      </c>
      <c r="E941" s="5" t="str">
        <f t="shared" si="43"/>
        <v>ACTISALUD-MEDICINA INTERNA- PISO 7</v>
      </c>
      <c r="F941" s="5"/>
      <c r="G941" s="5"/>
    </row>
    <row r="942" spans="1:7" ht="58.5" customHeight="1" x14ac:dyDescent="0.25">
      <c r="A942" s="5" t="str">
        <f>"H0038590"</f>
        <v>H0038590</v>
      </c>
      <c r="B942" s="5" t="str">
        <f t="shared" si="44"/>
        <v>LAMPARA DE PASILLO DE LLAMADO DE ENFERMERIA</v>
      </c>
      <c r="C942" s="6">
        <v>854790</v>
      </c>
      <c r="D942" s="5" t="s">
        <v>143</v>
      </c>
      <c r="E942" s="5" t="str">
        <f t="shared" si="43"/>
        <v>ACTISALUD-MEDICINA INTERNA- PISO 7</v>
      </c>
      <c r="F942" s="5"/>
      <c r="G942" s="5"/>
    </row>
    <row r="943" spans="1:7" ht="58.5" customHeight="1" x14ac:dyDescent="0.25">
      <c r="A943" s="5" t="str">
        <f>"H0038591"</f>
        <v>H0038591</v>
      </c>
      <c r="B943" s="5" t="str">
        <f t="shared" si="44"/>
        <v>LAMPARA DE PASILLO DE LLAMADO DE ENFERMERIA</v>
      </c>
      <c r="C943" s="6">
        <v>854790</v>
      </c>
      <c r="D943" s="5" t="s">
        <v>143</v>
      </c>
      <c r="E943" s="5" t="str">
        <f t="shared" si="43"/>
        <v>ACTISALUD-MEDICINA INTERNA- PISO 7</v>
      </c>
      <c r="F943" s="5"/>
      <c r="G943" s="5"/>
    </row>
    <row r="944" spans="1:7" ht="58.5" customHeight="1" x14ac:dyDescent="0.25">
      <c r="A944" s="5" t="str">
        <f>"H0038592"</f>
        <v>H0038592</v>
      </c>
      <c r="B944" s="5" t="str">
        <f t="shared" si="44"/>
        <v>LAMPARA DE PASILLO DE LLAMADO DE ENFERMERIA</v>
      </c>
      <c r="C944" s="6">
        <v>854790</v>
      </c>
      <c r="D944" s="5" t="s">
        <v>143</v>
      </c>
      <c r="E944" s="5" t="str">
        <f t="shared" si="43"/>
        <v>ACTISALUD-MEDICINA INTERNA- PISO 7</v>
      </c>
      <c r="F944" s="5"/>
      <c r="G944" s="5"/>
    </row>
    <row r="945" spans="1:7" ht="58.5" customHeight="1" x14ac:dyDescent="0.25">
      <c r="A945" s="5" t="str">
        <f>"H0038593"</f>
        <v>H0038593</v>
      </c>
      <c r="B945" s="5" t="str">
        <f t="shared" si="44"/>
        <v>LAMPARA DE PASILLO DE LLAMADO DE ENFERMERIA</v>
      </c>
      <c r="C945" s="6">
        <v>854790</v>
      </c>
      <c r="D945" s="5" t="s">
        <v>143</v>
      </c>
      <c r="E945" s="5" t="str">
        <f t="shared" si="43"/>
        <v>ACTISALUD-MEDICINA INTERNA- PISO 7</v>
      </c>
      <c r="F945" s="5"/>
      <c r="G945" s="5"/>
    </row>
    <row r="946" spans="1:7" ht="58.5" customHeight="1" x14ac:dyDescent="0.25">
      <c r="A946" s="5" t="str">
        <f>"H0038594"</f>
        <v>H0038594</v>
      </c>
      <c r="B946" s="5" t="str">
        <f t="shared" si="44"/>
        <v>LAMPARA DE PASILLO DE LLAMADO DE ENFERMERIA</v>
      </c>
      <c r="C946" s="6">
        <v>854790</v>
      </c>
      <c r="D946" s="5" t="s">
        <v>143</v>
      </c>
      <c r="E946" s="5" t="str">
        <f t="shared" si="43"/>
        <v>ACTISALUD-MEDICINA INTERNA- PISO 7</v>
      </c>
      <c r="F946" s="5"/>
      <c r="G946" s="5"/>
    </row>
    <row r="947" spans="1:7" ht="58.5" customHeight="1" x14ac:dyDescent="0.25">
      <c r="A947" s="5" t="str">
        <f>"H0038595"</f>
        <v>H0038595</v>
      </c>
      <c r="B947" s="5" t="str">
        <f t="shared" si="44"/>
        <v>LAMPARA DE PASILLO DE LLAMADO DE ENFERMERIA</v>
      </c>
      <c r="C947" s="6">
        <v>854790</v>
      </c>
      <c r="D947" s="5" t="s">
        <v>143</v>
      </c>
      <c r="E947" s="5" t="str">
        <f t="shared" si="43"/>
        <v>ACTISALUD-MEDICINA INTERNA- PISO 7</v>
      </c>
      <c r="F947" s="5"/>
      <c r="G947" s="5"/>
    </row>
    <row r="948" spans="1:7" ht="58.5" customHeight="1" x14ac:dyDescent="0.25">
      <c r="A948" s="5" t="str">
        <f>"H0038596"</f>
        <v>H0038596</v>
      </c>
      <c r="B948" s="5" t="str">
        <f t="shared" si="44"/>
        <v>LAMPARA DE PASILLO DE LLAMADO DE ENFERMERIA</v>
      </c>
      <c r="C948" s="6">
        <v>854790</v>
      </c>
      <c r="D948" s="5" t="s">
        <v>143</v>
      </c>
      <c r="E948" s="5" t="str">
        <f t="shared" si="43"/>
        <v>ACTISALUD-MEDICINA INTERNA- PISO 7</v>
      </c>
      <c r="F948" s="5"/>
      <c r="G948" s="5"/>
    </row>
    <row r="949" spans="1:7" ht="58.5" customHeight="1" x14ac:dyDescent="0.25">
      <c r="A949" s="5" t="str">
        <f>"H0038597"</f>
        <v>H0038597</v>
      </c>
      <c r="B949" s="5" t="str">
        <f t="shared" si="44"/>
        <v>LAMPARA DE PASILLO DE LLAMADO DE ENFERMERIA</v>
      </c>
      <c r="C949" s="6">
        <v>854790</v>
      </c>
      <c r="D949" s="5" t="s">
        <v>143</v>
      </c>
      <c r="E949" s="5" t="str">
        <f t="shared" si="43"/>
        <v>ACTISALUD-MEDICINA INTERNA- PISO 7</v>
      </c>
      <c r="F949" s="5"/>
      <c r="G949" s="5"/>
    </row>
    <row r="950" spans="1:7" ht="58.5" customHeight="1" x14ac:dyDescent="0.25">
      <c r="A950" s="5" t="str">
        <f>"H0038598"</f>
        <v>H0038598</v>
      </c>
      <c r="B950" s="5" t="str">
        <f t="shared" si="44"/>
        <v>LAMPARA DE PASILLO DE LLAMADO DE ENFERMERIA</v>
      </c>
      <c r="C950" s="6">
        <v>854790</v>
      </c>
      <c r="D950" s="5" t="s">
        <v>143</v>
      </c>
      <c r="E950" s="5" t="str">
        <f t="shared" si="43"/>
        <v>ACTISALUD-MEDICINA INTERNA- PISO 7</v>
      </c>
      <c r="F950" s="5"/>
      <c r="G950" s="5"/>
    </row>
    <row r="951" spans="1:7" ht="58.5" customHeight="1" x14ac:dyDescent="0.25">
      <c r="A951" s="5" t="str">
        <f>"H0038599"</f>
        <v>H0038599</v>
      </c>
      <c r="B951" s="5" t="str">
        <f t="shared" si="44"/>
        <v>LAMPARA DE PASILLO DE LLAMADO DE ENFERMERIA</v>
      </c>
      <c r="C951" s="6">
        <v>854790</v>
      </c>
      <c r="D951" s="5" t="s">
        <v>143</v>
      </c>
      <c r="E951" s="5" t="str">
        <f t="shared" si="43"/>
        <v>ACTISALUD-MEDICINA INTERNA- PISO 7</v>
      </c>
      <c r="F951" s="5"/>
      <c r="G951" s="5"/>
    </row>
    <row r="952" spans="1:7" ht="58.5" customHeight="1" x14ac:dyDescent="0.25">
      <c r="A952" s="5" t="str">
        <f>"H0038648"</f>
        <v>H0038648</v>
      </c>
      <c r="B952" s="5" t="str">
        <f>"CARRO PORTA HISTORIAS CLINICAS"</f>
        <v>CARRO PORTA HISTORIAS CLINICAS</v>
      </c>
      <c r="C952" s="6">
        <v>1393000.07</v>
      </c>
      <c r="D952" s="5" t="s">
        <v>145</v>
      </c>
      <c r="E952" s="5" t="str">
        <f t="shared" si="43"/>
        <v>ACTISALUD-MEDICINA INTERNA- PISO 7</v>
      </c>
      <c r="F952" s="5"/>
      <c r="G952" s="5"/>
    </row>
    <row r="953" spans="1:7" ht="58.5" customHeight="1" x14ac:dyDescent="0.25">
      <c r="A953" s="5" t="str">
        <f>"H0038649"</f>
        <v>H0038649</v>
      </c>
      <c r="B953" s="5" t="str">
        <f>"CARRO PORTA HISTORIAS CLINICAS"</f>
        <v>CARRO PORTA HISTORIAS CLINICAS</v>
      </c>
      <c r="C953" s="6">
        <v>1393000.07</v>
      </c>
      <c r="D953" s="5" t="s">
        <v>145</v>
      </c>
      <c r="E953" s="5" t="str">
        <f t="shared" si="43"/>
        <v>ACTISALUD-MEDICINA INTERNA- PISO 7</v>
      </c>
      <c r="F953" s="5"/>
      <c r="G953" s="5"/>
    </row>
    <row r="954" spans="1:7" ht="58.5" customHeight="1" x14ac:dyDescent="0.25">
      <c r="A954" s="5" t="str">
        <f>"H0001487"</f>
        <v>H0001487</v>
      </c>
      <c r="B954" s="5" t="str">
        <f>"LARINGOSCOPIO PEDIATRICO"</f>
        <v>LARINGOSCOPIO PEDIATRICO</v>
      </c>
      <c r="C954" s="6">
        <v>655400</v>
      </c>
      <c r="D954" s="5"/>
      <c r="E954" s="5" t="str">
        <f t="shared" ref="E954:E985" si="45">"ACTISALUD-PISO 11-EDGAR NARVAEZ"</f>
        <v>ACTISALUD-PISO 11-EDGAR NARVAEZ</v>
      </c>
      <c r="F954" s="5" t="str">
        <f>"Descripcion:LARINGOSCOPIO PEDIATRICO CON CUATRO VALVAS RECTAS No. 00-0-1-2 MANGO DE BATERIA Estado: Bueno Placa anterior: 000024214 Material: ACERO INOXIDABLE Color: PLATEADO Referencia:  Observacion: SE ENCUENTRA DENTRO DEL CARRO DE PARO Placa padre:  Ti"&amp; "po adquisicion : Entidad"</f>
        <v>Descripcion:LARINGOSCOPIO PEDIATRICO CON CUATRO VALVAS RECTAS No. 00-0-1-2 MANGO DE BATERIA Estado: Bueno Placa anterior: 000024214 Material: ACERO INOXIDABLE Color: PLATEADO Referencia:  Observacion: SE ENCUENTRA DENTRO DEL CARRO DE PARO Placa padre:  Tipo adquisicion : Entidad</v>
      </c>
      <c r="G954" s="5" t="str">
        <f>"PEDIATRICO - 4 HOJA"</f>
        <v>PEDIATRICO - 4 HOJA</v>
      </c>
    </row>
    <row r="955" spans="1:7" ht="58.5" customHeight="1" x14ac:dyDescent="0.25">
      <c r="A955" s="5" t="str">
        <f>"H0001619"</f>
        <v>H0001619</v>
      </c>
      <c r="B955" s="5" t="str">
        <f>"DIVISION (PANEL) MODULAR"</f>
        <v>DIVISION (PANEL) MODULAR</v>
      </c>
      <c r="C955" s="6">
        <v>980000</v>
      </c>
      <c r="D955" s="5" t="s">
        <v>3</v>
      </c>
      <c r="E955" s="5" t="str">
        <f t="shared" si="45"/>
        <v>ACTISALUD-PISO 11-EDGAR NARVAEZ</v>
      </c>
      <c r="F955"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55" s="5"/>
    </row>
    <row r="956" spans="1:7" ht="58.5" customHeight="1" x14ac:dyDescent="0.25">
      <c r="A956" s="5" t="str">
        <f>"H0001621"</f>
        <v>H0001621</v>
      </c>
      <c r="B956" s="5" t="str">
        <f>"AIRE ACONDICIONADO TIPO SPLIT 12000 BTU"</f>
        <v>AIRE ACONDICIONADO TIPO SPLIT 12000 BTU</v>
      </c>
      <c r="C956" s="6">
        <v>1836280</v>
      </c>
      <c r="D956" s="5" t="s">
        <v>146</v>
      </c>
      <c r="E956" s="5" t="str">
        <f t="shared" si="45"/>
        <v>ACTISALUD-PISO 11-EDGAR NARVAEZ</v>
      </c>
      <c r="F956" s="5" t="str">
        <f>"Descripcion: AIRE ACONDICIONADO CAPACIDAD 12.000 BTU  Estado: Bueno Placa anterior: 000036348 Material: PLASTICO Color: BLANCO Referencia:  Observacion:  Placa padre: Tipo adquisicion: Entidad"</f>
        <v>Descripcion: AIRE ACONDICIONADO CAPACIDAD 12.000 BTU  Estado: Bueno Placa anterior: 000036348 Material: PLASTICO Color: BLANCO Referencia:  Observacion:  Placa padre: Tipo adquisicion: Entidad</v>
      </c>
      <c r="G956" s="5" t="str">
        <f>"VM12CEN B3"</f>
        <v>VM12CEN B3</v>
      </c>
    </row>
    <row r="957" spans="1:7" ht="58.5" customHeight="1" x14ac:dyDescent="0.25">
      <c r="A957" s="5" t="str">
        <f>"H0001629"</f>
        <v>H0001629</v>
      </c>
      <c r="B957" s="5" t="str">
        <f>"AIRE ACONDICIONADO TIPO SPLIT 12000 BTU"</f>
        <v>AIRE ACONDICIONADO TIPO SPLIT 12000 BTU</v>
      </c>
      <c r="C957" s="6">
        <v>1836280</v>
      </c>
      <c r="D957" s="5" t="s">
        <v>146</v>
      </c>
      <c r="E957" s="5" t="str">
        <f t="shared" si="45"/>
        <v>ACTISALUD-PISO 11-EDGAR NARVAEZ</v>
      </c>
      <c r="F957" s="5" t="str">
        <f>"Descripcion: AIRE ACONDICIONADO CAPACIDAD 12.000 BTU  Estado: Bueno Placa anterior: 000036347 Material: PLASTICO Color: BLANCO Referencia:  Observacion:  Placa padre: Tipo adquisicion: Entidad"</f>
        <v>Descripcion: AIRE ACONDICIONADO CAPACIDAD 12.000 BTU  Estado: Bueno Placa anterior: 000036347 Material: PLASTICO Color: BLANCO Referencia:  Observacion:  Placa padre: Tipo adquisicion: Entidad</v>
      </c>
      <c r="G957" s="5" t="str">
        <f>"VM12CEN B3"</f>
        <v>VM12CEN B3</v>
      </c>
    </row>
    <row r="958" spans="1:7" ht="58.5" customHeight="1" x14ac:dyDescent="0.25">
      <c r="A958" s="5" t="str">
        <f>"H0001631"</f>
        <v>H0001631</v>
      </c>
      <c r="B958" s="5" t="str">
        <f>"DIVISION (PANEL) MODULAR"</f>
        <v>DIVISION (PANEL) MODULAR</v>
      </c>
      <c r="C958" s="6">
        <v>980000</v>
      </c>
      <c r="D958" s="5" t="s">
        <v>3</v>
      </c>
      <c r="E958" s="5" t="str">
        <f t="shared" si="45"/>
        <v>ACTISALUD-PISO 11-EDGAR NARVAEZ</v>
      </c>
      <c r="F958"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58" s="5"/>
    </row>
    <row r="959" spans="1:7" ht="58.5" customHeight="1" x14ac:dyDescent="0.25">
      <c r="A959" s="5" t="str">
        <f>"H0001641"</f>
        <v>H0001641</v>
      </c>
      <c r="B959" s="5" t="str">
        <f>"AIRE ACONDICIONADO TIPO SPLIT 12000 BTU"</f>
        <v>AIRE ACONDICIONADO TIPO SPLIT 12000 BTU</v>
      </c>
      <c r="C959" s="6">
        <v>1836280</v>
      </c>
      <c r="D959" s="5" t="s">
        <v>146</v>
      </c>
      <c r="E959" s="5" t="str">
        <f t="shared" si="45"/>
        <v>ACTISALUD-PISO 11-EDGAR NARVAEZ</v>
      </c>
      <c r="F959" s="5" t="str">
        <f>"Descripcion: AIRE ACONDICIONADO CAPACIDAD 12.000 BTU  Estado: Bueno Placa anterior: 000036346 Material:  Color: BLANCO Referencia:  Observacion:  Placa padre: Tipo adquisicion: Entidad"</f>
        <v>Descripcion: AIRE ACONDICIONADO CAPACIDAD 12.000 BTU  Estado: Bueno Placa anterior: 000036346 Material:  Color: BLANCO Referencia:  Observacion:  Placa padre: Tipo adquisicion: Entidad</v>
      </c>
      <c r="G959" s="5" t="str">
        <f>"VM12CEN B3"</f>
        <v>VM12CEN B3</v>
      </c>
    </row>
    <row r="960" spans="1:7" ht="58.5" customHeight="1" x14ac:dyDescent="0.25">
      <c r="A960" s="5" t="str">
        <f>"H0001643"</f>
        <v>H0001643</v>
      </c>
      <c r="B960" s="5" t="str">
        <f>"DIVISION (PANEL) MODULAR"</f>
        <v>DIVISION (PANEL) MODULAR</v>
      </c>
      <c r="C960" s="6">
        <v>980000</v>
      </c>
      <c r="D960" s="5" t="s">
        <v>3</v>
      </c>
      <c r="E960" s="5" t="str">
        <f t="shared" si="45"/>
        <v>ACTISALUD-PISO 11-EDGAR NARVAEZ</v>
      </c>
      <c r="F960" s="5" t="str">
        <f>"Descripcion: DIVISION MODULAR PUERTA CORREDIZA MEDIDAS: 210X232CM Estado: Bueno Placa anterior:  Material: METALICA CON VIDRIO Color: GRIS Referencia:  Observacion:  Placa padre: Tipo adquisicion: Entidad"</f>
        <v>Descripcion: DIVISION MODULAR PUERTA CORREDIZA MEDIDAS: 210X232CM Estado: Bueno Placa anterior:  Material: METALICA CON VIDRIO Color: GRIS Referencia:  Observacion:  Placa padre: Tipo adquisicion: Entidad</v>
      </c>
      <c r="G960" s="5"/>
    </row>
    <row r="961" spans="1:7" ht="58.5" customHeight="1" x14ac:dyDescent="0.25">
      <c r="A961" s="5" t="str">
        <f>"H0001651"</f>
        <v>H0001651</v>
      </c>
      <c r="B961" s="5" t="str">
        <f>"AIRE ACONDICIONADO TIPO SPLIT 12000 BTU"</f>
        <v>AIRE ACONDICIONADO TIPO SPLIT 12000 BTU</v>
      </c>
      <c r="C961" s="6">
        <v>1836280</v>
      </c>
      <c r="D961" s="5" t="s">
        <v>146</v>
      </c>
      <c r="E961" s="5" t="str">
        <f t="shared" si="45"/>
        <v>ACTISALUD-PISO 11-EDGAR NARVAEZ</v>
      </c>
      <c r="F961" s="5" t="str">
        <f>"Descripcion: AIRE ACONDICIONADO CAPACIDAD 12.000 BTU  Estado: Bueno Placa anterior: 000036345 Material: PLASTICO Color: BLANCO Referencia:  Observacion:  Placa padre: Tipo adquisicion: Entidad"</f>
        <v>Descripcion: AIRE ACONDICIONADO CAPACIDAD 12.000 BTU  Estado: Bueno Placa anterior: 000036345 Material: PLASTICO Color: BLANCO Referencia:  Observacion:  Placa padre: Tipo adquisicion: Entidad</v>
      </c>
      <c r="G961" s="5" t="str">
        <f>"VM12CEN B3"</f>
        <v>VM12CEN B3</v>
      </c>
    </row>
    <row r="962" spans="1:7" ht="58.5" customHeight="1" x14ac:dyDescent="0.25">
      <c r="A962" s="5" t="str">
        <f>"H0001652"</f>
        <v>H0001652</v>
      </c>
      <c r="B962" s="5" t="str">
        <f>"DIVISION (PANEL) MODULAR"</f>
        <v>DIVISION (PANEL) MODULAR</v>
      </c>
      <c r="C962" s="6">
        <v>980000</v>
      </c>
      <c r="D962" s="5" t="s">
        <v>3</v>
      </c>
      <c r="E962" s="5" t="str">
        <f t="shared" si="45"/>
        <v>ACTISALUD-PISO 11-EDGAR NARVAEZ</v>
      </c>
      <c r="F962"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62" s="5"/>
    </row>
    <row r="963" spans="1:7" ht="58.5" customHeight="1" x14ac:dyDescent="0.25">
      <c r="A963" s="5" t="str">
        <f>"H0001664"</f>
        <v>H0001664</v>
      </c>
      <c r="B963" s="5" t="str">
        <f>"AIRE ACONDICIONADO TIPO SPLIT 12000 BTU"</f>
        <v>AIRE ACONDICIONADO TIPO SPLIT 12000 BTU</v>
      </c>
      <c r="C963" s="6">
        <v>1836280</v>
      </c>
      <c r="D963" s="5" t="s">
        <v>146</v>
      </c>
      <c r="E963" s="5" t="str">
        <f t="shared" si="45"/>
        <v>ACTISALUD-PISO 11-EDGAR NARVAEZ</v>
      </c>
      <c r="F963" s="5" t="str">
        <f>"Descripcion: AIRE ACONDICIONADO CAPACIDAD 12.000 BTU  Estado: Bueno Placa anterior: 000036344 Material: PLASTICO Color: BLANCO Referencia:  Observacion:  Placa padre: Tipo adquisicion: Entidad"</f>
        <v>Descripcion: AIRE ACONDICIONADO CAPACIDAD 12.000 BTU  Estado: Bueno Placa anterior: 000036344 Material: PLASTICO Color: BLANCO Referencia:  Observacion:  Placa padre: Tipo adquisicion: Entidad</v>
      </c>
      <c r="G963" s="5" t="str">
        <f>"VM12CEN B3"</f>
        <v>VM12CEN B3</v>
      </c>
    </row>
    <row r="964" spans="1:7" ht="58.5" customHeight="1" x14ac:dyDescent="0.25">
      <c r="A964" s="5" t="str">
        <f>"H0001665"</f>
        <v>H0001665</v>
      </c>
      <c r="B964" s="5" t="str">
        <f>"DIVISION (PANEL) MODULAR"</f>
        <v>DIVISION (PANEL) MODULAR</v>
      </c>
      <c r="C964" s="6">
        <v>980000</v>
      </c>
      <c r="D964" s="5" t="s">
        <v>3</v>
      </c>
      <c r="E964" s="5" t="str">
        <f t="shared" si="45"/>
        <v>ACTISALUD-PISO 11-EDGAR NARVAEZ</v>
      </c>
      <c r="F964" s="5" t="str">
        <f>"Descripcion: DIVISION MODULAR PUERTA CORREDIZA MEDIDAS: 210X232CM Estado: Bueno Placa anterior:  Material: MEETALICO CON VIDRIO Color: GRIS Referencia:  Observacion:  Placa padre: Tipo adquisicion: Entidad"</f>
        <v>Descripcion: DIVISION MODULAR PUERTA CORREDIZA MEDIDAS: 210X232CM Estado: Bueno Placa anterior:  Material: MEETALICO CON VIDRIO Color: GRIS Referencia:  Observacion:  Placa padre: Tipo adquisicion: Entidad</v>
      </c>
      <c r="G964" s="5"/>
    </row>
    <row r="965" spans="1:7" ht="58.5" customHeight="1" x14ac:dyDescent="0.25">
      <c r="A965" s="5" t="str">
        <f>"H0001673"</f>
        <v>H0001673</v>
      </c>
      <c r="B965" s="5" t="str">
        <f>"DIVISION (PANEL) MODULAR"</f>
        <v>DIVISION (PANEL) MODULAR</v>
      </c>
      <c r="C965" s="6">
        <v>980000</v>
      </c>
      <c r="D965" s="5" t="s">
        <v>3</v>
      </c>
      <c r="E965" s="5" t="str">
        <f t="shared" si="45"/>
        <v>ACTISALUD-PISO 11-EDGAR NARVAEZ</v>
      </c>
      <c r="F965"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65" s="5"/>
    </row>
    <row r="966" spans="1:7" ht="58.5" customHeight="1" x14ac:dyDescent="0.25">
      <c r="A966" s="5" t="str">
        <f>"H0001674"</f>
        <v>H0001674</v>
      </c>
      <c r="B966" s="5" t="str">
        <f>"AIRE ACONDICIONADO TIPO SPLIT 12000 BTU"</f>
        <v>AIRE ACONDICIONADO TIPO SPLIT 12000 BTU</v>
      </c>
      <c r="C966" s="6">
        <v>1836280</v>
      </c>
      <c r="D966" s="5" t="s">
        <v>146</v>
      </c>
      <c r="E966" s="5" t="str">
        <f t="shared" si="45"/>
        <v>ACTISALUD-PISO 11-EDGAR NARVAEZ</v>
      </c>
      <c r="F966" s="5" t="str">
        <f>"Descripcion: AIRE ACONDICIONADO CAPACIDAD 12.000 BTU  Estado: Bueno Placa anterior: 000036343 Material: PLASTICO Color: BLANCO Referencia:  Observacion:  Placa padre: Tipo adquisicion: Entidad"</f>
        <v>Descripcion: AIRE ACONDICIONADO CAPACIDAD 12.000 BTU  Estado: Bueno Placa anterior: 000036343 Material: PLASTICO Color: BLANCO Referencia:  Observacion:  Placa padre: Tipo adquisicion: Entidad</v>
      </c>
      <c r="G966" s="5" t="str">
        <f>"VM12CEN B3"</f>
        <v>VM12CEN B3</v>
      </c>
    </row>
    <row r="967" spans="1:7" ht="58.5" customHeight="1" x14ac:dyDescent="0.25">
      <c r="A967" s="5" t="str">
        <f>"H0001680"</f>
        <v>H0001680</v>
      </c>
      <c r="B967" s="5" t="str">
        <f>"DIVISION (PANEL) MODULAR"</f>
        <v>DIVISION (PANEL) MODULAR</v>
      </c>
      <c r="C967" s="6">
        <v>980000</v>
      </c>
      <c r="D967" s="5" t="s">
        <v>3</v>
      </c>
      <c r="E967" s="5" t="str">
        <f t="shared" si="45"/>
        <v>ACTISALUD-PISO 11-EDGAR NARVAEZ</v>
      </c>
      <c r="F967"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67" s="5"/>
    </row>
    <row r="968" spans="1:7" ht="58.5" customHeight="1" x14ac:dyDescent="0.25">
      <c r="A968" s="5" t="str">
        <f>"H0001686"</f>
        <v>H0001686</v>
      </c>
      <c r="B968" s="5" t="str">
        <f>"AIRE ACONDICIONADO TIPO SPLIT 12000 BTU"</f>
        <v>AIRE ACONDICIONADO TIPO SPLIT 12000 BTU</v>
      </c>
      <c r="C968" s="6">
        <v>1836280</v>
      </c>
      <c r="D968" s="5" t="s">
        <v>146</v>
      </c>
      <c r="E968" s="5" t="str">
        <f t="shared" si="45"/>
        <v>ACTISALUD-PISO 11-EDGAR NARVAEZ</v>
      </c>
      <c r="F968" s="5" t="str">
        <f>"Descripcion: AIRE ACONDICIONADO CAPACIDAD 12.000 BTU  Estado: Bueno Placa anterior: 000036342 Material: PLASTICO Color: BLANCO Referencia:  Observacion:  Placa padre: Tipo adquisicion: Entidad"</f>
        <v>Descripcion: AIRE ACONDICIONADO CAPACIDAD 12.000 BTU  Estado: Bueno Placa anterior: 000036342 Material: PLASTICO Color: BLANCO Referencia:  Observacion:  Placa padre: Tipo adquisicion: Entidad</v>
      </c>
      <c r="G968" s="5" t="str">
        <f>"VM12CEN B3"</f>
        <v>VM12CEN B3</v>
      </c>
    </row>
    <row r="969" spans="1:7" ht="58.5" customHeight="1" x14ac:dyDescent="0.25">
      <c r="A969" s="5" t="str">
        <f>"H0001698"</f>
        <v>H0001698</v>
      </c>
      <c r="B969" s="5" t="str">
        <f>"DIVISION (PANEL) MODULAR"</f>
        <v>DIVISION (PANEL) MODULAR</v>
      </c>
      <c r="C969" s="6">
        <v>980000</v>
      </c>
      <c r="D969" s="5" t="s">
        <v>3</v>
      </c>
      <c r="E969" s="5" t="str">
        <f t="shared" si="45"/>
        <v>ACTISALUD-PISO 11-EDGAR NARVAEZ</v>
      </c>
      <c r="F969"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69" s="5"/>
    </row>
    <row r="970" spans="1:7" ht="58.5" customHeight="1" x14ac:dyDescent="0.25">
      <c r="A970" s="5" t="str">
        <f>"H0001699"</f>
        <v>H0001699</v>
      </c>
      <c r="B970" s="5" t="str">
        <f>"AIRE ACONDICIONADO TIPO SPLIT 12000 BTU"</f>
        <v>AIRE ACONDICIONADO TIPO SPLIT 12000 BTU</v>
      </c>
      <c r="C970" s="6">
        <v>1836280</v>
      </c>
      <c r="D970" s="5" t="s">
        <v>146</v>
      </c>
      <c r="E970" s="5" t="str">
        <f t="shared" si="45"/>
        <v>ACTISALUD-PISO 11-EDGAR NARVAEZ</v>
      </c>
      <c r="F970" s="5" t="str">
        <f>"Descripcion: AIRE ACONDICIONADO CAPACIDAD 12.000 BTU  Estado: Bueno Placa anterior: 000036341 Material: PLASTICO Color: BLANCO Referencia:  Observacion:  Placa padre: Tipo adquisicion: Entidad"</f>
        <v>Descripcion: AIRE ACONDICIONADO CAPACIDAD 12.000 BTU  Estado: Bueno Placa anterior: 000036341 Material: PLASTICO Color: BLANCO Referencia:  Observacion:  Placa padre: Tipo adquisicion: Entidad</v>
      </c>
      <c r="G970" s="5" t="str">
        <f>"VM12CEN B3"</f>
        <v>VM12CEN B3</v>
      </c>
    </row>
    <row r="971" spans="1:7" ht="58.5" customHeight="1" x14ac:dyDescent="0.25">
      <c r="A971" s="5" t="str">
        <f>"H0001710"</f>
        <v>H0001710</v>
      </c>
      <c r="B971" s="5" t="str">
        <f>"AIRE ACONDICIONADO TIPO SPLIT 12000 BTU"</f>
        <v>AIRE ACONDICIONADO TIPO SPLIT 12000 BTU</v>
      </c>
      <c r="C971" s="6">
        <v>1836280</v>
      </c>
      <c r="D971" s="5" t="s">
        <v>146</v>
      </c>
      <c r="E971" s="5" t="str">
        <f t="shared" si="45"/>
        <v>ACTISALUD-PISO 11-EDGAR NARVAEZ</v>
      </c>
      <c r="F971" s="5" t="str">
        <f>"Descripcion: AIRE ACONDICIONADO CAPACIDAD 12.000 BTU  Estado: Bueno Placa anterior: 000036340 Material: PLASTICO Color: BLANCO Referencia:  Observacion:  Placa padre: Tipo adquisicion: Entidad"</f>
        <v>Descripcion: AIRE ACONDICIONADO CAPACIDAD 12.000 BTU  Estado: Bueno Placa anterior: 000036340 Material: PLASTICO Color: BLANCO Referencia:  Observacion:  Placa padre: Tipo adquisicion: Entidad</v>
      </c>
      <c r="G971" s="5" t="str">
        <f>"VM12CEN B3"</f>
        <v>VM12CEN B3</v>
      </c>
    </row>
    <row r="972" spans="1:7" ht="58.5" customHeight="1" x14ac:dyDescent="0.25">
      <c r="A972" s="5" t="str">
        <f>"H0001711"</f>
        <v>H0001711</v>
      </c>
      <c r="B972" s="5" t="str">
        <f>"DIVISION (PANEL) MODULAR"</f>
        <v>DIVISION (PANEL) MODULAR</v>
      </c>
      <c r="C972" s="6">
        <v>980000</v>
      </c>
      <c r="D972" s="5" t="s">
        <v>3</v>
      </c>
      <c r="E972" s="5" t="str">
        <f t="shared" si="45"/>
        <v>ACTISALUD-PISO 11-EDGAR NARVAEZ</v>
      </c>
      <c r="F972" s="5" t="str">
        <f>"Descripcion: DIVISION MODULAR PUERTA CORREDIZA MEDIDAS: 210X232CM Estado: Bueno Placa anterior:  Material: METALICO CON VIDRIO Color: GRIS Referencia:  Observacion:  Placa padre: Tipo adquisicion: Entidad"</f>
        <v>Descripcion: DIVISION MODULAR PUERTA CORREDIZA MEDIDAS: 210X232CM Estado: Bueno Placa anterior:  Material: METALICO CON VIDRIO Color: GRIS Referencia:  Observacion:  Placa padre: Tipo adquisicion: Entidad</v>
      </c>
      <c r="G972" s="5"/>
    </row>
    <row r="973" spans="1:7" ht="58.5" customHeight="1" x14ac:dyDescent="0.25">
      <c r="A973" s="5" t="str">
        <f>"H0001716"</f>
        <v>H0001716</v>
      </c>
      <c r="B973" s="5" t="str">
        <f>"DIVISION (PANEL) MODULAR"</f>
        <v>DIVISION (PANEL) MODULAR</v>
      </c>
      <c r="C973" s="6">
        <v>980000</v>
      </c>
      <c r="D973" s="5" t="s">
        <v>3</v>
      </c>
      <c r="E973" s="5" t="str">
        <f t="shared" si="45"/>
        <v>ACTISALUD-PISO 11-EDGAR NARVAEZ</v>
      </c>
      <c r="F973" s="5" t="str">
        <f>"Descripcion: DIVISION MODULAR PUERTA CORREDIZA MEDIDAS: 210X216CM Estado: Bueno Placa anterior:  Material: METALICO CON VDRIO Color: GRIS Referencia:  Observacion:  Placa padre: Tipo adquisicion: Entidad"</f>
        <v>Descripcion: DIVISION MODULAR PUERTA CORREDIZA MEDIDAS: 210X216CM Estado: Bueno Placa anterior:  Material: METALICO CON VDRIO Color: GRIS Referencia:  Observacion:  Placa padre: Tipo adquisicion: Entidad</v>
      </c>
      <c r="G973" s="5"/>
    </row>
    <row r="974" spans="1:7" ht="58.5" customHeight="1" x14ac:dyDescent="0.25">
      <c r="A974" s="5" t="str">
        <f>"H0001718"</f>
        <v>H0001718</v>
      </c>
      <c r="B974" s="5" t="str">
        <f>"AIRE ACONDICIONADO TIPO SPLIT 12000 BTU"</f>
        <v>AIRE ACONDICIONADO TIPO SPLIT 12000 BTU</v>
      </c>
      <c r="C974" s="6">
        <v>1836280</v>
      </c>
      <c r="D974" s="5" t="s">
        <v>146</v>
      </c>
      <c r="E974" s="5" t="str">
        <f t="shared" si="45"/>
        <v>ACTISALUD-PISO 11-EDGAR NARVAEZ</v>
      </c>
      <c r="F974" s="5" t="str">
        <f>"Descripcion: AIRE ACONDICIONADO CAPACIDAD 12.000 BTU  Estado: Bueno Placa anterior: 000036339 Material: PLASTICO Color: BLANCO Referencia:  Observacion:  Placa padre: Tipo adquisicion: Entidad"</f>
        <v>Descripcion: AIRE ACONDICIONADO CAPACIDAD 12.000 BTU  Estado: Bueno Placa anterior: 000036339 Material: PLASTICO Color: BLANCO Referencia:  Observacion:  Placa padre: Tipo adquisicion: Entidad</v>
      </c>
      <c r="G974" s="5" t="str">
        <f>"INVERTER V"</f>
        <v>INVERTER V</v>
      </c>
    </row>
    <row r="975" spans="1:7" ht="58.5" customHeight="1" x14ac:dyDescent="0.25">
      <c r="A975" s="5" t="str">
        <f>"H0001725"</f>
        <v>H0001725</v>
      </c>
      <c r="B975" s="5" t="str">
        <f>"DIVISION (PANEL) MODULAR"</f>
        <v>DIVISION (PANEL) MODULAR</v>
      </c>
      <c r="C975" s="6">
        <v>980000</v>
      </c>
      <c r="D975" s="5" t="s">
        <v>3</v>
      </c>
      <c r="E975" s="5" t="str">
        <f t="shared" si="45"/>
        <v>ACTISALUD-PISO 11-EDGAR NARVAEZ</v>
      </c>
      <c r="F975" s="5" t="str">
        <f>"Descripcion: DIVISION MODULAR PUERTA CORREDIZA MEDIDAS: 210X216CM Estado: Bueno Placa anterior:  Material: METALICO CON VIDRIO Color: GRIS Referencia:  Observacion:  Placa padre: Tipo adquisicion: Entidad"</f>
        <v>Descripcion: DIVISION MODULAR PUERTA CORREDIZA MEDIDAS: 210X216CM Estado: Bueno Placa anterior:  Material: METALICO CON VIDRIO Color: GRIS Referencia:  Observacion:  Placa padre: Tipo adquisicion: Entidad</v>
      </c>
      <c r="G975" s="5"/>
    </row>
    <row r="976" spans="1:7" ht="58.5" customHeight="1" x14ac:dyDescent="0.25">
      <c r="A976" s="5" t="str">
        <f>"H0001730"</f>
        <v>H0001730</v>
      </c>
      <c r="B976" s="5" t="str">
        <f>"AIRE ACONDICIONADO TIPO SPLIT 12000 BTU"</f>
        <v>AIRE ACONDICIONADO TIPO SPLIT 12000 BTU</v>
      </c>
      <c r="C976" s="6">
        <v>1836280</v>
      </c>
      <c r="D976" s="5" t="s">
        <v>146</v>
      </c>
      <c r="E976" s="5" t="str">
        <f t="shared" si="45"/>
        <v>ACTISALUD-PISO 11-EDGAR NARVAEZ</v>
      </c>
      <c r="F976" s="5" t="str">
        <f>"Descripcion: AIRE ACONDICIONADO CAPACIDAD 12.000 BTU Equipo tipo mini split consola de lujo con control remoto y uso refrigerante ecologico Sistema inverter Debe incluir display para ser monitoreado por sistema central Estado: Bueno Placa anterior: 000036"&amp; "338 Material: PLASTICO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000036338 Material: PLASTICO Color: BLANCO Referencia:  Observacion:  Placa padre: Tipo adquisicion: Entidad</v>
      </c>
      <c r="G976" s="5" t="str">
        <f>"VM122CEN B3"</f>
        <v>VM122CEN B3</v>
      </c>
    </row>
    <row r="977" spans="1:7" ht="58.5" customHeight="1" x14ac:dyDescent="0.25">
      <c r="A977" s="5" t="str">
        <f>"H0001741"</f>
        <v>H0001741</v>
      </c>
      <c r="B977" s="5" t="str">
        <f>"GABINETE CONTRA INCENDIO"</f>
        <v>GABINETE CONTRA INCENDIO</v>
      </c>
      <c r="C977" s="6">
        <v>171000</v>
      </c>
      <c r="D977" s="5"/>
      <c r="E977" s="5" t="str">
        <f t="shared" si="45"/>
        <v>ACTISALUD-PISO 11-EDGAR NARVAEZ</v>
      </c>
      <c r="F977" s="5" t="str">
        <f>"Descripcion: GABINETE CONTRA INCENDIO CONTIENE: POLVO QUIMICO BC ROJO (EXTINTOR), MANGUERA Y HACHA) Estado: Bueno Placa anterior: 000019096 Material: METALICO Color: ROJO Referencia:  Observacion:  Placa padre: Tipo adquisicion: Entidad"</f>
        <v>Descripcion: GABINETE CONTRA INCENDIO CONTIENE: POLVO QUIMICO BC ROJO (EXTINTOR), MANGUERA Y HACHA) Estado: Bueno Placa anterior: 000019096 Material: METALICO Color: ROJO Referencia:  Observacion:  Placa padre: Tipo adquisicion: Entidad</v>
      </c>
      <c r="G977" s="5"/>
    </row>
    <row r="978" spans="1:7" ht="58.5" customHeight="1" x14ac:dyDescent="0.25">
      <c r="A978" s="5" t="str">
        <f>"H0001760"</f>
        <v>H0001760</v>
      </c>
      <c r="B978" s="5" t="str">
        <f>"DIVISION (PANEL) MODULAR"</f>
        <v>DIVISION (PANEL) MODULAR</v>
      </c>
      <c r="C978" s="6">
        <v>980000</v>
      </c>
      <c r="D978" s="5" t="s">
        <v>3</v>
      </c>
      <c r="E978" s="5" t="str">
        <f t="shared" si="45"/>
        <v>ACTISALUD-PISO 11-EDGAR NARVAEZ</v>
      </c>
      <c r="F978" s="5" t="str">
        <f>"Descripcion: DIVISION MODULAR PUERTA CORREDIZA MEDIDAS: 21X90CM Estado: Bueno Placa anterior:  Material: ALUMINIO CON VIDRIO Color: GRIS Referencia:  Observacion:  Placa padre: Tipo adquisicion: Entidad"</f>
        <v>Descripcion: DIVISION MODULAR PUERTA CORREDIZA MEDIDAS: 21X90CM Estado: Bueno Placa anterior:  Material: ALUMINIO CON VIDRIO Color: GRIS Referencia:  Observacion:  Placa padre: Tipo adquisicion: Entidad</v>
      </c>
      <c r="G978" s="5"/>
    </row>
    <row r="979" spans="1:7" ht="58.5" customHeight="1" x14ac:dyDescent="0.25">
      <c r="A979" s="5" t="str">
        <f>"H0001763"</f>
        <v>H0001763</v>
      </c>
      <c r="B979" s="5" t="str">
        <f>"NEGATOSCOPIO"</f>
        <v>NEGATOSCOPIO</v>
      </c>
      <c r="C979" s="6">
        <v>3970</v>
      </c>
      <c r="D979" s="5"/>
      <c r="E979" s="5" t="str">
        <f t="shared" si="45"/>
        <v>ACTISALUD-PISO 11-EDGAR NARVAEZ</v>
      </c>
      <c r="F979" s="5" t="str">
        <f>"Descripcion: NEGATOSCOPIO DE UN CUERPO Estado: Bueno Placa anterior: 000003985 Material: PLASTICO Color: NEGRO CON ACRILICO Referencia:  Observacion: PLACA ANTERIOR NO APARECE 000018384, AUTORIZADO CONCILIAR EN CRUCE GENERAL Placa padre: Tipo adquisicion:"&amp; " Entidad"</f>
        <v>Descripcion: NEGATOSCOPIO DE UN CUERPO Estado: Bueno Placa anterior: 000003985 Material: PLASTICO Color: NEGRO CON ACRILICO Referencia:  Observacion: PLACA ANTERIOR NO APARECE 000018384, AUTORIZADO CONCILIAR EN CRUCE GENERAL Placa padre: Tipo adquisicion: Entidad</v>
      </c>
      <c r="G979" s="5"/>
    </row>
    <row r="980" spans="1:7" ht="58.5" customHeight="1" x14ac:dyDescent="0.25">
      <c r="A980" s="5" t="str">
        <f>"H0001859"</f>
        <v>H0001859</v>
      </c>
      <c r="B980" s="5" t="str">
        <f>"MESA (CARRO) DE CURACIONES"</f>
        <v>MESA (CARRO) DE CURACIONES</v>
      </c>
      <c r="C980" s="6">
        <v>300000</v>
      </c>
      <c r="D980" s="5" t="s">
        <v>147</v>
      </c>
      <c r="E980" s="5" t="str">
        <f t="shared" si="45"/>
        <v>ACTISALUD-PISO 11-EDGAR NARVAEZ</v>
      </c>
      <c r="F980" s="5" t="str">
        <f>"Descripcion:MESA AUXILIARMESA (CARRO) DE CURACIONES Estado: Excelente Placa anterior: 000037626 Material: METALICA CON UN ENTREPAÑO EN ACERO INOX Color: BLANCO Referencia:  Observacion:  Placa padre:  Tipo adquisicion : Donacion"</f>
        <v>Descripcion:MESA AUXILIARMESA (CARRO) DE CURACIONES Estado: Excelente Placa anterior: 000037626 Material: METALICA CON UN ENTREPAÑO EN ACERO INOX Color: BLANCO Referencia:  Observacion:  Placa padre:  Tipo adquisicion : Donacion</v>
      </c>
      <c r="G980" s="5"/>
    </row>
    <row r="981" spans="1:7" ht="58.5" customHeight="1" x14ac:dyDescent="0.25">
      <c r="A981" s="5" t="str">
        <f>"H0002533"</f>
        <v>H0002533</v>
      </c>
      <c r="B981" s="5" t="str">
        <f>"CAMILLA DE TRASLADO CON BARANDAS"</f>
        <v>CAMILLA DE TRASLADO CON BARANDAS</v>
      </c>
      <c r="C981" s="6">
        <v>38995</v>
      </c>
      <c r="D981" s="5"/>
      <c r="E981" s="5" t="str">
        <f t="shared" si="45"/>
        <v>ACTISALUD-PISO 11-EDGAR NARVAEZ</v>
      </c>
      <c r="F981" s="5" t="str">
        <f>"Descripcion: CAMILLA DE TRASLADO CON BARANDAS Y RODACHINES Estado: Bueno Placa anterior: 000003208 Material: CAMILLA EN ACERO INOXIDABLE Y BASE METALICA Color: PLATEADO Referencia:  Observacion:  Placa padre: Tipo adquisicion: Entidad"</f>
        <v>Descripcion: CAMILLA DE TRASLADO CON BARANDAS Y RODACHINES Estado: Bueno Placa anterior: 000003208 Material: CAMILLA EN ACERO INOXIDABLE Y BASE METALICA Color: PLATEADO Referencia:  Observacion:  Placa padre: Tipo adquisicion: Entidad</v>
      </c>
      <c r="G981" s="5"/>
    </row>
    <row r="982" spans="1:7" ht="58.5" customHeight="1" x14ac:dyDescent="0.25">
      <c r="A982" s="5" t="str">
        <f>"H0002570"</f>
        <v>H0002570</v>
      </c>
      <c r="B982" s="5" t="str">
        <f>"MESA PUENTE (ALIMENTACION) (INSTRUMENTAL)"</f>
        <v>MESA PUENTE (ALIMENTACION) (INSTRUMENTAL)</v>
      </c>
      <c r="C982" s="6">
        <v>15000</v>
      </c>
      <c r="D982" s="5"/>
      <c r="E982" s="5" t="str">
        <f t="shared" si="45"/>
        <v>ACTISALUD-PISO 11-EDGAR NARVAEZ</v>
      </c>
      <c r="F982" s="5" t="str">
        <f>"Descripcion: MESA PUENTE PARA ALIMENTACION CON RODACHINES Estado: Bueno Placa anterior: 000026826 Material: METALICA Color: VERDE  Referencia:  Observacion: PARTES OXIDADAS, CON RODACHINMES Placa padre: Tipo adquisicion: Entidad"</f>
        <v>Descripcion: MESA PUENTE PARA ALIMENTACION CON RODACHINES Estado: Bueno Placa anterior: 000026826 Material: METALICA Color: VERDE  Referencia:  Observacion: PARTES OXIDADAS, CON RODACHINMES Placa padre: Tipo adquisicion: Entidad</v>
      </c>
      <c r="G982" s="5"/>
    </row>
    <row r="983" spans="1:7" ht="58.5" customHeight="1" x14ac:dyDescent="0.25">
      <c r="A983" s="5" t="str">
        <f>"H0002576"</f>
        <v>H0002576</v>
      </c>
      <c r="B983" s="5" t="str">
        <f>"MESA PUENTE (ALIMENTACION) (INSTRUMENTAL)"</f>
        <v>MESA PUENTE (ALIMENTACION) (INSTRUMENTAL)</v>
      </c>
      <c r="C983" s="6">
        <v>15000</v>
      </c>
      <c r="D983" s="5"/>
      <c r="E983" s="5" t="str">
        <f t="shared" si="45"/>
        <v>ACTISALUD-PISO 11-EDGAR NARVAEZ</v>
      </c>
      <c r="F983" s="5" t="str">
        <f>"Descripcion: MESA PUENTE PARA ALIMENTACION CON RODACHINES Estado: Malo Placa anterior: 000027358 Material: METALICA Color: VERDE  CON BANDEJA EN ACERO INOX. Referencia:  Observacion: 907 - PARTES OXIDADAS, TIENE RODACHINES Placa padre: Tipo adquisicion: E"&amp; "ntidad"</f>
        <v>Descripcion: MESA PUENTE PARA ALIMENTACION CON RODACHINES Estado: Malo Placa anterior: 000027358 Material: METALICA Color: VERDE  CON BANDEJA EN ACERO INOX. Referencia:  Observacion: 907 - PARTES OXIDADAS, TIENE RODACHINES Placa padre: Tipo adquisicion: Entidad</v>
      </c>
      <c r="G983" s="5"/>
    </row>
    <row r="984" spans="1:7" ht="58.5" customHeight="1" x14ac:dyDescent="0.25">
      <c r="A984" s="5" t="str">
        <f>"H0002640"</f>
        <v>H0002640</v>
      </c>
      <c r="B984" s="5" t="str">
        <f>"MESA PUENTE (ALIMENTACION) (INSTRUMENTAL)"</f>
        <v>MESA PUENTE (ALIMENTACION) (INSTRUMENTAL)</v>
      </c>
      <c r="C984" s="6">
        <v>15000</v>
      </c>
      <c r="D984" s="5"/>
      <c r="E984" s="5" t="str">
        <f t="shared" si="45"/>
        <v>ACTISALUD-PISO 11-EDGAR NARVAEZ</v>
      </c>
      <c r="F984" s="5" t="str">
        <f>"Descripcion: MESA PUENTE PARA ALIMENTACION CON RODACHINES Estado: Bueno Placa anterior: 000026732 Material: TUBO METALICO,  BANDEJA EN ACERO INOX. Color: VERDE Referencia:  Observacion: 918 Placa padre: Tipo adquisicion: Entidad"</f>
        <v>Descripcion: MESA PUENTE PARA ALIMENTACION CON RODACHINES Estado: Bueno Placa anterior: 000026732 Material: TUBO METALICO,  BANDEJA EN ACERO INOX. Color: VERDE Referencia:  Observacion: 918 Placa padre: Tipo adquisicion: Entidad</v>
      </c>
      <c r="G984" s="5"/>
    </row>
    <row r="985" spans="1:7" ht="58.5" customHeight="1" x14ac:dyDescent="0.25">
      <c r="A985" s="5" t="str">
        <f>"H0002691"</f>
        <v>H0002691</v>
      </c>
      <c r="B985" s="5" t="str">
        <f>"COMPUTADOR PORTATIL"</f>
        <v>COMPUTADOR PORTATIL</v>
      </c>
      <c r="C985" s="6">
        <v>2250000</v>
      </c>
      <c r="D985" s="5"/>
      <c r="E985" s="5" t="str">
        <f t="shared" si="45"/>
        <v>ACTISALUD-PISO 11-EDGAR NARVAEZ</v>
      </c>
      <c r="F985" s="5" t="str">
        <f>"Descripcion:PC PORTATIL CON PROCESADOR 15 500gb DISCO DURO 4GB EN MEMORIA RAM Estado: Excelente Placa anterior: 000037046 Material: PASTA Color: NEGRO Referencia:  Observacion: PANTALLA DE 14 , PROCESADOR INTEL CORE i5 Placa padre:  Tipo adquisicion : Ent"&amp; "idad"</f>
        <v>Descripcion:PC PORTATIL CON PROCESADOR 15 500gb DISCO DURO 4GB EN MEMORIA RAM Estado: Excelente Placa anterior: 000037046 Material: PASTA Color: NEGRO Referencia:  Observacion: PANTALLA DE 14 , PROCESADOR INTEL CORE i5 Placa padre:  Tipo adquisicion : Entidad</v>
      </c>
      <c r="G985" s="5" t="str">
        <f>"CB0505084E"</f>
        <v>CB0505084E</v>
      </c>
    </row>
    <row r="986" spans="1:7" ht="58.5" customHeight="1" x14ac:dyDescent="0.25">
      <c r="A986" s="5" t="str">
        <f>"H0002998"</f>
        <v>H0002998</v>
      </c>
      <c r="B986" s="5" t="str">
        <f t="shared" ref="B986:B994" si="46">"MESA PUENTE (ALIMENTACION) (INSTRUMENTAL)"</f>
        <v>MESA PUENTE (ALIMENTACION) (INSTRUMENTAL)</v>
      </c>
      <c r="C986" s="6">
        <v>15000</v>
      </c>
      <c r="D986" s="5"/>
      <c r="E986" s="5" t="str">
        <f t="shared" ref="E986:E1017" si="47">"ACTISALUD-PISO 11-EDGAR NARVAEZ"</f>
        <v>ACTISALUD-PISO 11-EDGAR NARVAEZ</v>
      </c>
      <c r="F986" s="5" t="str">
        <f>"Descripcion: MESA PUENTE PARA ALIMENTACION Estado: Bueno Placa anterior: 000026751 Material: METAL Y BAND. EN ACERO  Color: BEIGE Referencia:  Observacion: PARTES OXID. Placa padre: Tipo adquisicion: Entidad"</f>
        <v>Descripcion: MESA PUENTE PARA ALIMENTACION Estado: Bueno Placa anterior: 000026751 Material: METAL Y BAND. EN ACERO  Color: BEIGE Referencia:  Observacion: PARTES OXID. Placa padre: Tipo adquisicion: Entidad</v>
      </c>
      <c r="G986" s="5"/>
    </row>
    <row r="987" spans="1:7" ht="58.5" customHeight="1" x14ac:dyDescent="0.25">
      <c r="A987" s="5" t="str">
        <f>"H0004860"</f>
        <v>H0004860</v>
      </c>
      <c r="B987" s="5" t="str">
        <f t="shared" si="46"/>
        <v>MESA PUENTE (ALIMENTACION) (INSTRUMENTAL)</v>
      </c>
      <c r="C987" s="6">
        <v>15000</v>
      </c>
      <c r="D987" s="5"/>
      <c r="E987" s="5" t="str">
        <f t="shared" si="47"/>
        <v>ACTISALUD-PISO 11-EDGAR NARVAEZ</v>
      </c>
      <c r="F987" s="5" t="str">
        <f>"Descripcion: BANDEJA EN ACERO INOXIDABLE Estado: Bueno Placa anterior: 000026607 Material: METALICO Color: BEIGE Referencia:  Observacion:  Placa padre: Tipo adquisicion: Entidad"</f>
        <v>Descripcion: BANDEJA EN ACERO INOXIDABLE Estado: Bueno Placa anterior: 000026607 Material: METALICO Color: BEIGE Referencia:  Observacion:  Placa padre: Tipo adquisicion: Entidad</v>
      </c>
      <c r="G987" s="5"/>
    </row>
    <row r="988" spans="1:7" ht="58.5" customHeight="1" x14ac:dyDescent="0.25">
      <c r="A988" s="5" t="str">
        <f>"H0004869"</f>
        <v>H0004869</v>
      </c>
      <c r="B988" s="5" t="str">
        <f t="shared" si="46"/>
        <v>MESA PUENTE (ALIMENTACION) (INSTRUMENTAL)</v>
      </c>
      <c r="C988" s="6">
        <v>15000</v>
      </c>
      <c r="D988" s="5"/>
      <c r="E988" s="5" t="str">
        <f t="shared" si="47"/>
        <v>ACTISALUD-PISO 11-EDGAR NARVAEZ</v>
      </c>
      <c r="F988" s="5" t="str">
        <f>"Descripcion: 80X37X108BANDEJA EN ACERO INOXIDABLE Estado: Regular Placa anterior: 000026612 Material: METALICO Color: GRIS Referencia:  Observacion:  Placa padre: Tipo adquisicion: Entidad"</f>
        <v>Descripcion: 80X37X108BANDEJA EN ACERO INOXIDABLE Estado: Regular Placa anterior: 000026612 Material: METALICO Color: GRIS Referencia:  Observacion:  Placa padre: Tipo adquisicion: Entidad</v>
      </c>
      <c r="G988" s="5"/>
    </row>
    <row r="989" spans="1:7" ht="58.5" customHeight="1" x14ac:dyDescent="0.25">
      <c r="A989" s="5" t="str">
        <f>"H0004968"</f>
        <v>H0004968</v>
      </c>
      <c r="B989" s="5" t="str">
        <f t="shared" si="46"/>
        <v>MESA PUENTE (ALIMENTACION) (INSTRUMENTAL)</v>
      </c>
      <c r="C989" s="6">
        <v>15000</v>
      </c>
      <c r="D989" s="5"/>
      <c r="E989" s="5" t="str">
        <f t="shared" si="47"/>
        <v>ACTISALUD-PISO 11-EDGAR NARVAEZ</v>
      </c>
      <c r="F989" s="5" t="str">
        <f>"Descripcion: 80X37X108BANDEJA EN ACERO INOXIDABLE Estado: Regular Placa anterior: 000026620 Material: METALICO Color: BEIGE Referencia:  Observacion:  Placa padre: Tipo adquisicion: Entidad"</f>
        <v>Descripcion: 80X37X108BANDEJA EN ACERO INOXIDABLE Estado: Regular Placa anterior: 000026620 Material: METALICO Color: BEIGE Referencia:  Observacion:  Placa padre: Tipo adquisicion: Entidad</v>
      </c>
      <c r="G989" s="5"/>
    </row>
    <row r="990" spans="1:7" ht="58.5" customHeight="1" x14ac:dyDescent="0.25">
      <c r="A990" s="5" t="str">
        <f>"H0004974"</f>
        <v>H0004974</v>
      </c>
      <c r="B990" s="5" t="str">
        <f t="shared" si="46"/>
        <v>MESA PUENTE (ALIMENTACION) (INSTRUMENTAL)</v>
      </c>
      <c r="C990" s="6">
        <v>15000</v>
      </c>
      <c r="D990" s="5"/>
      <c r="E990" s="5" t="str">
        <f t="shared" si="47"/>
        <v>ACTISALUD-PISO 11-EDGAR NARVAEZ</v>
      </c>
      <c r="F990" s="5" t="str">
        <f>"Descripcion: 80X37X108BANDEJA EN ACERO INOXIDABLE Estado: Regular Placa anterior: 000026623 Material: METALICO Color: GRIS Referencia:  Observacion:  Placa padre: Tipo adquisicion: Entidad"</f>
        <v>Descripcion: 80X37X108BANDEJA EN ACERO INOXIDABLE Estado: Regular Placa anterior: 000026623 Material: METALICO Color: GRIS Referencia:  Observacion:  Placa padre: Tipo adquisicion: Entidad</v>
      </c>
      <c r="G990" s="5"/>
    </row>
    <row r="991" spans="1:7" ht="58.5" customHeight="1" x14ac:dyDescent="0.25">
      <c r="A991" s="5" t="str">
        <f>"H0004984"</f>
        <v>H0004984</v>
      </c>
      <c r="B991" s="5" t="str">
        <f t="shared" si="46"/>
        <v>MESA PUENTE (ALIMENTACION) (INSTRUMENTAL)</v>
      </c>
      <c r="C991" s="6">
        <v>15000</v>
      </c>
      <c r="D991" s="5"/>
      <c r="E991" s="5" t="str">
        <f t="shared" si="47"/>
        <v>ACTISALUD-PISO 11-EDGAR NARVAEZ</v>
      </c>
      <c r="F991" s="5" t="str">
        <f>"Descripcion: 80X37X108BANDEJA EN ACERO INOXIDABLE Estado: Regular Placa anterior: 000026628 Material: METALICO Color: BEIGE Referencia:  Observacion:  Placa padre: Tipo adquisicion: Entidad"</f>
        <v>Descripcion: 80X37X108BANDEJA EN ACERO INOXIDABLE Estado: Regular Placa anterior: 000026628 Material: METALICO Color: BEIGE Referencia:  Observacion:  Placa padre: Tipo adquisicion: Entidad</v>
      </c>
      <c r="G991" s="5"/>
    </row>
    <row r="992" spans="1:7" ht="58.5" customHeight="1" x14ac:dyDescent="0.25">
      <c r="A992" s="5" t="str">
        <f>"H0004989"</f>
        <v>H0004989</v>
      </c>
      <c r="B992" s="5" t="str">
        <f t="shared" si="46"/>
        <v>MESA PUENTE (ALIMENTACION) (INSTRUMENTAL)</v>
      </c>
      <c r="C992" s="6">
        <v>15000</v>
      </c>
      <c r="D992" s="5"/>
      <c r="E992" s="5" t="str">
        <f t="shared" si="47"/>
        <v>ACTISALUD-PISO 11-EDGAR NARVAEZ</v>
      </c>
      <c r="F992" s="5" t="str">
        <f>"Descripcion: 80X37X108BANDEJA EN ACERO INOXIDABLE Estado: Regular Placa anterior: 000026632 Material: METALICO Color: VERDE CLARO Referencia:  Observacion:  Placa padre: Tipo adquisicion: Entidad"</f>
        <v>Descripcion: 80X37X108BANDEJA EN ACERO INOXIDABLE Estado: Regular Placa anterior: 000026632 Material: METALICO Color: VERDE CLARO Referencia:  Observacion:  Placa padre: Tipo adquisicion: Entidad</v>
      </c>
      <c r="G992" s="5"/>
    </row>
    <row r="993" spans="1:7" ht="58.5" customHeight="1" x14ac:dyDescent="0.25">
      <c r="A993" s="5" t="str">
        <f>"H0004995"</f>
        <v>H0004995</v>
      </c>
      <c r="B993" s="5" t="str">
        <f t="shared" si="46"/>
        <v>MESA PUENTE (ALIMENTACION) (INSTRUMENTAL)</v>
      </c>
      <c r="C993" s="6">
        <v>15000</v>
      </c>
      <c r="D993" s="5"/>
      <c r="E993" s="5" t="str">
        <f t="shared" si="47"/>
        <v>ACTISALUD-PISO 11-EDGAR NARVAEZ</v>
      </c>
      <c r="F993" s="5" t="str">
        <f>"Descripcion: 80X37X108BANDEJA EN ACERO INOXIDABLE Estado: Regular Placa anterior: 000026633 Material: METALICO Color: BEIGE Referencia:  Observacion:  Placa padre: Tipo adquisicion: Entidad"</f>
        <v>Descripcion: 80X37X108BANDEJA EN ACERO INOXIDABLE Estado: Regular Placa anterior: 000026633 Material: METALICO Color: BEIGE Referencia:  Observacion:  Placa padre: Tipo adquisicion: Entidad</v>
      </c>
      <c r="G993" s="5"/>
    </row>
    <row r="994" spans="1:7" ht="58.5" customHeight="1" x14ac:dyDescent="0.25">
      <c r="A994" s="5" t="str">
        <f>"H0004998"</f>
        <v>H0004998</v>
      </c>
      <c r="B994" s="5" t="str">
        <f t="shared" si="46"/>
        <v>MESA PUENTE (ALIMENTACION) (INSTRUMENTAL)</v>
      </c>
      <c r="C994" s="6">
        <v>15000</v>
      </c>
      <c r="D994" s="5"/>
      <c r="E994" s="5" t="str">
        <f t="shared" si="47"/>
        <v>ACTISALUD-PISO 11-EDGAR NARVAEZ</v>
      </c>
      <c r="F994" s="5" t="str">
        <f>"Descripcion: 80X37X108BANDEJA EN ACERO INOXIDABLE Estado: Regular Placa anterior: 000026636 Material: METALICO Color: BEIGE Referencia:  Observacion:  Placa padre: Tipo adquisicion: Entidad"</f>
        <v>Descripcion: 80X37X108BANDEJA EN ACERO INOXIDABLE Estado: Regular Placa anterior: 000026636 Material: METALICO Color: BEIGE Referencia:  Observacion:  Placa padre: Tipo adquisicion: Entidad</v>
      </c>
      <c r="G994" s="5"/>
    </row>
    <row r="995" spans="1:7" ht="58.5" customHeight="1" x14ac:dyDescent="0.25">
      <c r="A995" s="5" t="str">
        <f>"H0006239"</f>
        <v>H0006239</v>
      </c>
      <c r="B995" s="5" t="str">
        <f>"SILLA INTERLOCUTORA (FIJA) SIN BRAZOS"</f>
        <v>SILLA INTERLOCUTORA (FIJA) SIN BRAZOS</v>
      </c>
      <c r="C995" s="6">
        <v>5825.94</v>
      </c>
      <c r="D995" s="5"/>
      <c r="E995" s="5" t="str">
        <f t="shared" si="47"/>
        <v>ACTISALUD-PISO 11-EDGAR NARVAEZ</v>
      </c>
      <c r="F995" s="5" t="str">
        <f>"Descripcion: SILLA INTERLOCUTORA (FIJA) SIN BRAZOS Estado: Bueno Placa anterior: 000019826 Material: METALICO Color: GRIS CON MARRON Referencia:  Observacion:  Placa padre: Tipo adquisicion: Entidad"</f>
        <v>Descripcion: SILLA INTERLOCUTORA (FIJA) SIN BRAZOS Estado: Bueno Placa anterior: 000019826 Material: METALICO Color: GRIS CON MARRON Referencia:  Observacion:  Placa padre: Tipo adquisicion: Entidad</v>
      </c>
      <c r="G995" s="5"/>
    </row>
    <row r="996" spans="1:7" ht="58.5" customHeight="1" x14ac:dyDescent="0.25">
      <c r="A996" s="5" t="str">
        <f>"H0006508"</f>
        <v>H0006508</v>
      </c>
      <c r="B996" s="5" t="str">
        <f t="shared" ref="B996:B1004" si="48">"MESA PUENTE (ALIMENTACION) (INSTRUMENTAL)"</f>
        <v>MESA PUENTE (ALIMENTACION) (INSTRUMENTAL)</v>
      </c>
      <c r="C996" s="6">
        <v>15000</v>
      </c>
      <c r="D996" s="5"/>
      <c r="E996" s="5" t="str">
        <f t="shared" si="47"/>
        <v>ACTISALUD-PISO 11-EDGAR NARVAEZ</v>
      </c>
      <c r="F996" s="5" t="str">
        <f>"Descripcion: MESA PUENTE PARA ALIMENTACION Estado: Bueno Placa anterior: 000026724 Material: METAL Y BAND. EN ACERO Color: BEIGE Referencia:  Observacion: PARTES OXID. Placa padre: Tipo adquisicion: Entidad"</f>
        <v>Descripcion: MESA PUENTE PARA ALIMENTACION Estado: Bueno Placa anterior: 000026724 Material: METAL Y BAND. EN ACERO Color: BEIGE Referencia:  Observacion: PARTES OXID. Placa padre: Tipo adquisicion: Entidad</v>
      </c>
      <c r="G996" s="5"/>
    </row>
    <row r="997" spans="1:7" ht="58.5" customHeight="1" x14ac:dyDescent="0.25">
      <c r="A997" s="5" t="str">
        <f>"H0006520"</f>
        <v>H0006520</v>
      </c>
      <c r="B997" s="5" t="str">
        <f t="shared" si="48"/>
        <v>MESA PUENTE (ALIMENTACION) (INSTRUMENTAL)</v>
      </c>
      <c r="C997" s="6">
        <v>15000</v>
      </c>
      <c r="D997" s="5"/>
      <c r="E997" s="5" t="str">
        <f t="shared" si="47"/>
        <v>ACTISALUD-PISO 11-EDGAR NARVAEZ</v>
      </c>
      <c r="F997" s="5" t="str">
        <f>"Descripcion: MESA PUENTE PARA ALIM. Estado: Bueno Placa anterior: 000026757 Material: METAL Y BAND. EN ACERO Color: BEIGE Referencia:  Observacion: PARTES OXID. Placa padre: Tipo adquisicion: Entidad"</f>
        <v>Descripcion: MESA PUENTE PARA ALIM. Estado: Bueno Placa anterior: 000026757 Material: METAL Y BAND. EN ACERO Color: BEIGE Referencia:  Observacion: PARTES OXID. Placa padre: Tipo adquisicion: Entidad</v>
      </c>
      <c r="G997" s="5"/>
    </row>
    <row r="998" spans="1:7" ht="58.5" customHeight="1" x14ac:dyDescent="0.25">
      <c r="A998" s="5" t="str">
        <f>"H0006534"</f>
        <v>H0006534</v>
      </c>
      <c r="B998" s="5" t="str">
        <f t="shared" si="48"/>
        <v>MESA PUENTE (ALIMENTACION) (INSTRUMENTAL)</v>
      </c>
      <c r="C998" s="6">
        <v>15000</v>
      </c>
      <c r="D998" s="5"/>
      <c r="E998" s="5" t="str">
        <f t="shared" si="47"/>
        <v>ACTISALUD-PISO 11-EDGAR NARVAEZ</v>
      </c>
      <c r="F998" s="5" t="str">
        <f>"Descripcion: MESA PUENTE PARA ALIM. Estado: Bueno Placa anterior: 000026766 Material: METAL Y BAND. EN ACERO Color: BEIGE Referencia:  Observacion: PARTES OXID. Placa padre: Tipo adquisicion: Entidad"</f>
        <v>Descripcion: MESA PUENTE PARA ALIM. Estado: Bueno Placa anterior: 000026766 Material: METAL Y BAND. EN ACERO Color: BEIGE Referencia:  Observacion: PARTES OXID. Placa padre: Tipo adquisicion: Entidad</v>
      </c>
      <c r="G998" s="5"/>
    </row>
    <row r="999" spans="1:7" ht="58.5" customHeight="1" x14ac:dyDescent="0.25">
      <c r="A999" s="5" t="str">
        <f>"H0006540"</f>
        <v>H0006540</v>
      </c>
      <c r="B999" s="5" t="str">
        <f t="shared" si="48"/>
        <v>MESA PUENTE (ALIMENTACION) (INSTRUMENTAL)</v>
      </c>
      <c r="C999" s="6">
        <v>15000</v>
      </c>
      <c r="D999" s="5"/>
      <c r="E999" s="5" t="str">
        <f t="shared" si="47"/>
        <v>ACTISALUD-PISO 11-EDGAR NARVAEZ</v>
      </c>
      <c r="F999" s="5" t="str">
        <f>"Descripcion: MESA PUENTE PARA ALIM. Estado: Bueno Placa anterior: 000026772 Material: METAL Y BAND. DE ACERO Color: BEIGE Referencia:  Observacion: PARTES OXID. Placa padre: Tipo adquisicion: Entidad"</f>
        <v>Descripcion: MESA PUENTE PARA ALIM. Estado: Bueno Placa anterior: 000026772 Material: METAL Y BAND. DE ACERO Color: BEIGE Referencia:  Observacion: PARTES OXID. Placa padre: Tipo adquisicion: Entidad</v>
      </c>
      <c r="G999" s="5"/>
    </row>
    <row r="1000" spans="1:7" ht="58.5" customHeight="1" x14ac:dyDescent="0.25">
      <c r="A1000" s="5" t="str">
        <f>"H0006550"</f>
        <v>H0006550</v>
      </c>
      <c r="B1000" s="5" t="str">
        <f t="shared" si="48"/>
        <v>MESA PUENTE (ALIMENTACION) (INSTRUMENTAL)</v>
      </c>
      <c r="C1000" s="6">
        <v>15000</v>
      </c>
      <c r="D1000" s="5"/>
      <c r="E1000" s="5" t="str">
        <f t="shared" si="47"/>
        <v>ACTISALUD-PISO 11-EDGAR NARVAEZ</v>
      </c>
      <c r="F1000" s="5" t="str">
        <f>"Descripcion: MESA PUENTE PARA ALIM. Estado: Bueno Placa anterior: 000027084 Material: METAL Y BAND. DE ACERO Color: GRIS Referencia:  Observacion: PARTES OXID.  EL BIEN TIENE PLACA ANTERIOR  000027416, AUTORIZADO CONCILIAR EN CRUCE GENERAL Placa padre: Ti"&amp; "po adquisicion: Entidad"</f>
        <v>Descripcion: MESA PUENTE PARA ALIM. Estado: Bueno Placa anterior: 000027084 Material: METAL Y BAND. DE ACERO Color: GRIS Referencia:  Observacion: PARTES OXID.  EL BIEN TIENE PLACA ANTERIOR  000027416, AUTORIZADO CONCILIAR EN CRUCE GENERAL Placa padre: Tipo adquisicion: Entidad</v>
      </c>
      <c r="G1000" s="5"/>
    </row>
    <row r="1001" spans="1:7" ht="58.5" customHeight="1" x14ac:dyDescent="0.25">
      <c r="A1001" s="5" t="str">
        <f>"H0006561"</f>
        <v>H0006561</v>
      </c>
      <c r="B1001" s="5" t="str">
        <f t="shared" si="48"/>
        <v>MESA PUENTE (ALIMENTACION) (INSTRUMENTAL)</v>
      </c>
      <c r="C1001" s="6">
        <v>15000</v>
      </c>
      <c r="D1001" s="5"/>
      <c r="E1001" s="5" t="str">
        <f t="shared" si="47"/>
        <v>ACTISALUD-PISO 11-EDGAR NARVAEZ</v>
      </c>
      <c r="F1001" s="5" t="str">
        <f>"Descripcion: MESA PUENTE PARA ALIM. Estado: Bueno Placa anterior: 000026781 Material: METAL Y BAND. DE ACERO Color: BEIGE Referencia:  Observacion:  Placa padre: Tipo adquisicion: Entidad"</f>
        <v>Descripcion: MESA PUENTE PARA ALIM. Estado: Bueno Placa anterior: 000026781 Material: METAL Y BAND. DE ACERO Color: BEIGE Referencia:  Observacion:  Placa padre: Tipo adquisicion: Entidad</v>
      </c>
      <c r="G1001" s="5"/>
    </row>
    <row r="1002" spans="1:7" ht="58.5" customHeight="1" x14ac:dyDescent="0.25">
      <c r="A1002" s="5" t="str">
        <f>"H0006580"</f>
        <v>H0006580</v>
      </c>
      <c r="B1002" s="5" t="str">
        <f t="shared" si="48"/>
        <v>MESA PUENTE (ALIMENTACION) (INSTRUMENTAL)</v>
      </c>
      <c r="C1002" s="6">
        <v>15000</v>
      </c>
      <c r="D1002" s="5"/>
      <c r="E1002" s="5" t="str">
        <f t="shared" si="47"/>
        <v>ACTISALUD-PISO 11-EDGAR NARVAEZ</v>
      </c>
      <c r="F1002" s="5" t="str">
        <f>"Descripcion: MESA PUENTE PARA ALIMENTACION Estado: Bueno Placa anterior: 000026893 Material: METAL Y BANDEJA EN ACERO Color: BEIGE Referencia:  Observacion: EL BIEN TIENE PLACA ANTERIOR  000026676  AUTORIZADO CONCILIAR EN CRUCE GENERAL Placa padre: Tipo a"&amp; "dquisicion: Entidad"</f>
        <v>Descripcion: MESA PUENTE PARA ALIMENTACION Estado: Bueno Placa anterior: 000026893 Material: METAL Y BANDEJA EN ACERO Color: BEIGE Referencia:  Observacion: EL BIEN TIENE PLACA ANTERIOR  000026676  AUTORIZADO CONCILIAR EN CRUCE GENERAL Placa padre: Tipo adquisicion: Entidad</v>
      </c>
      <c r="G1002" s="5"/>
    </row>
    <row r="1003" spans="1:7" ht="58.5" customHeight="1" x14ac:dyDescent="0.25">
      <c r="A1003" s="5" t="str">
        <f>"H0006613"</f>
        <v>H0006613</v>
      </c>
      <c r="B1003" s="5" t="str">
        <f t="shared" si="48"/>
        <v>MESA PUENTE (ALIMENTACION) (INSTRUMENTAL)</v>
      </c>
      <c r="C1003" s="6">
        <v>15000</v>
      </c>
      <c r="D1003" s="5"/>
      <c r="E1003" s="5" t="str">
        <f t="shared" si="47"/>
        <v>ACTISALUD-PISO 11-EDGAR NARVAEZ</v>
      </c>
      <c r="F1003" s="5" t="str">
        <f>"Descripcion: MESA PUENTE Estado: Bueno Placa anterior: 000026802 Material: METAL Y BANDEJA EN ACERO Color: BEIGE Referencia:  Observacion:  Placa padre: Tipo adquisicion: Entidad"</f>
        <v>Descripcion: MESA PUENTE Estado: Bueno Placa anterior: 000026802 Material: METAL Y BANDEJA EN ACERO Color: BEIGE Referencia:  Observacion:  Placa padre: Tipo adquisicion: Entidad</v>
      </c>
      <c r="G1003" s="5"/>
    </row>
    <row r="1004" spans="1:7" ht="58.5" customHeight="1" x14ac:dyDescent="0.25">
      <c r="A1004" s="5" t="str">
        <f>"H0006618"</f>
        <v>H0006618</v>
      </c>
      <c r="B1004" s="5" t="str">
        <f t="shared" si="48"/>
        <v>MESA PUENTE (ALIMENTACION) (INSTRUMENTAL)</v>
      </c>
      <c r="C1004" s="6">
        <v>15000</v>
      </c>
      <c r="D1004" s="5"/>
      <c r="E1004" s="5" t="str">
        <f t="shared" si="47"/>
        <v>ACTISALUD-PISO 11-EDGAR NARVAEZ</v>
      </c>
      <c r="F1004" s="5" t="str">
        <f>"Descripcion: MESA PUENTE Estado: Bueno Placa anterior: 000026803 Material: METAL Y BANDEJA EN ACERO Color: BEIGE Referencia:  Observacion:  Placa padre: Tipo adquisicion: Entidad"</f>
        <v>Descripcion: MESA PUENTE Estado: Bueno Placa anterior: 000026803 Material: METAL Y BANDEJA EN ACERO Color: BEIGE Referencia:  Observacion:  Placa padre: Tipo adquisicion: Entidad</v>
      </c>
      <c r="G1004" s="5"/>
    </row>
    <row r="1005" spans="1:7" ht="58.5" customHeight="1" x14ac:dyDescent="0.25">
      <c r="A1005" s="5" t="str">
        <f>"H0006802"</f>
        <v>H0006802</v>
      </c>
      <c r="B1005" s="5" t="str">
        <f>"SILLA RECLINOMATICA"</f>
        <v>SILLA RECLINOMATICA</v>
      </c>
      <c r="C1005" s="6">
        <v>1220000</v>
      </c>
      <c r="D1005" s="5" t="s">
        <v>63</v>
      </c>
      <c r="E1005" s="5" t="str">
        <f t="shared" si="47"/>
        <v>ACTISALUD-PISO 11-EDGAR NARVAEZ</v>
      </c>
      <c r="F1005"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000037971 Material: MADERA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000037971 Material: MADERA Y CUERO Color: AZUL Referencia:  Observacion:  Placa padre: Tipo adquisicion: Entidad</v>
      </c>
      <c r="G1005" s="5"/>
    </row>
    <row r="1006" spans="1:7" ht="58.5" customHeight="1" x14ac:dyDescent="0.25">
      <c r="A1006" s="5" t="str">
        <f>"H0008690"</f>
        <v>H0008690</v>
      </c>
      <c r="B1006" s="5" t="str">
        <f>"SILLA PLASTICA CON BRAZOS"</f>
        <v>SILLA PLASTICA CON BRAZOS</v>
      </c>
      <c r="C1006" s="6">
        <v>12240.32</v>
      </c>
      <c r="D1006" s="5"/>
      <c r="E1006" s="5" t="str">
        <f t="shared" si="47"/>
        <v>ACTISALUD-PISO 11-EDGAR NARVAEZ</v>
      </c>
      <c r="F1006" s="5" t="str">
        <f>"Descripcion: SILLA PLASTICA BLANCA Estado: Bueno Placa anterior: 000004472 Material: PLASTICO Color: BLANCO Referencia:  Observacion:  Placa padre: Tipo adquisicion: Entidad"</f>
        <v>Descripcion: SILLA PLASTICA BLANCA Estado: Bueno Placa anterior: 000004472 Material: PLASTICO Color: BLANCO Referencia:  Observacion:  Placa padre: Tipo adquisicion: Entidad</v>
      </c>
      <c r="G1006" s="5"/>
    </row>
    <row r="1007" spans="1:7" ht="58.5" customHeight="1" x14ac:dyDescent="0.25">
      <c r="A1007" s="5" t="str">
        <f>"H0018461"</f>
        <v>H0018461</v>
      </c>
      <c r="B1007" s="5" t="str">
        <f>"CARRO DE PARO"</f>
        <v>CARRO DE PARO</v>
      </c>
      <c r="C1007" s="6">
        <v>719200</v>
      </c>
      <c r="D1007" s="5"/>
      <c r="E1007" s="5" t="str">
        <f t="shared" si="47"/>
        <v>ACTISALUD-PISO 11-EDGAR NARVAEZ</v>
      </c>
      <c r="F1007" s="5" t="str">
        <f>"Descripcion: CARRO DE PARO Estado: Bueno Placa anterior: 000023195 Material: METALICO Color: BEIGE Referencia:  Observacion:  Placa padre: Tipo adquisicion: Entidad"</f>
        <v>Descripcion: CARRO DE PARO Estado: Bueno Placa anterior: 000023195 Material: METALICO Color: BEIGE Referencia:  Observacion:  Placa padre: Tipo adquisicion: Entidad</v>
      </c>
      <c r="G1007" s="5"/>
    </row>
    <row r="1008" spans="1:7" ht="58.5" customHeight="1" x14ac:dyDescent="0.25">
      <c r="A1008" s="5" t="str">
        <f>"H0021186"</f>
        <v>H0021186</v>
      </c>
      <c r="B1008" s="5" t="str">
        <f>"MESA DE MADERA PARA COMPUTADOR"</f>
        <v>MESA DE MADERA PARA COMPUTADOR</v>
      </c>
      <c r="C1008" s="6">
        <v>194717.6</v>
      </c>
      <c r="D1008" s="5"/>
      <c r="E1008" s="5" t="str">
        <f t="shared" si="47"/>
        <v>ACTISALUD-PISO 11-EDGAR NARVAEZ</v>
      </c>
      <c r="F1008" s="5" t="str">
        <f>"Descripcion: MESA PARA COMPUTADOR EN MADERA, CON PORTATECLADO Estado: Bueno Placa anterior: 000004173 Material: MADERA Color: BEIGE Referencia:  Observacion:  Placa padre: Tipo adquisicion: Entidad"</f>
        <v>Descripcion: MESA PARA COMPUTADOR EN MADERA, CON PORTATECLADO Estado: Bueno Placa anterior: 000004173 Material: MADERA Color: BEIGE Referencia:  Observacion:  Placa padre: Tipo adquisicion: Entidad</v>
      </c>
      <c r="G1008" s="5"/>
    </row>
    <row r="1009" spans="1:7" ht="58.5" customHeight="1" x14ac:dyDescent="0.25">
      <c r="A1009" s="5" t="str">
        <f>"H0021401"</f>
        <v>H0021401</v>
      </c>
      <c r="B1009" s="5" t="str">
        <f>"MONITOR DE SIGNOS VITALES, PANTALLA 5.7 VS-600 SP02. FR NIBP INCLUYE ACCESORIOS ADULTO Y BATERIA L  - MARCA MINDRAY"</f>
        <v>MONITOR DE SIGNOS VITALES, PANTALLA 5.7 VS-600 SP02. FR NIBP INCLUYE ACCESORIOS ADULTO Y BATERIA L  - MARCA MINDRAY</v>
      </c>
      <c r="C1009" s="6">
        <v>2632620</v>
      </c>
      <c r="D1009" s="5" t="s">
        <v>148</v>
      </c>
      <c r="E1009" s="5" t="str">
        <f t="shared" si="47"/>
        <v>ACTISALUD-PISO 11-EDGAR NARVAEZ</v>
      </c>
      <c r="F1009" s="5"/>
      <c r="G1009" s="5"/>
    </row>
    <row r="1010" spans="1:7" ht="58.5" customHeight="1" x14ac:dyDescent="0.25">
      <c r="A1010" s="5" t="str">
        <f>"H0024324"</f>
        <v>H0024324</v>
      </c>
      <c r="B1010" s="5" t="str">
        <f t="shared" ref="B1010:B1028" si="49">"CAMA ELECTRICA ADULTOS"</f>
        <v>CAMA ELECTRICA ADULTOS</v>
      </c>
      <c r="C1010" s="6">
        <v>5746930</v>
      </c>
      <c r="D1010" s="5" t="s">
        <v>36</v>
      </c>
      <c r="E1010" s="5" t="str">
        <f t="shared" si="47"/>
        <v>ACTISALUD-PISO 11-EDGAR NARVAEZ</v>
      </c>
      <c r="F1010" s="5"/>
      <c r="G1010" s="5"/>
    </row>
    <row r="1011" spans="1:7" ht="58.5" customHeight="1" x14ac:dyDescent="0.25">
      <c r="A1011" s="5" t="str">
        <f>"H0024327"</f>
        <v>H0024327</v>
      </c>
      <c r="B1011" s="5" t="str">
        <f t="shared" si="49"/>
        <v>CAMA ELECTRICA ADULTOS</v>
      </c>
      <c r="C1011" s="6">
        <v>5746930</v>
      </c>
      <c r="D1011" s="5" t="s">
        <v>36</v>
      </c>
      <c r="E1011" s="5" t="str">
        <f t="shared" si="47"/>
        <v>ACTISALUD-PISO 11-EDGAR NARVAEZ</v>
      </c>
      <c r="F1011" s="5"/>
      <c r="G1011" s="5"/>
    </row>
    <row r="1012" spans="1:7" ht="58.5" customHeight="1" x14ac:dyDescent="0.25">
      <c r="A1012" s="5" t="str">
        <f>"H0024328"</f>
        <v>H0024328</v>
      </c>
      <c r="B1012" s="5" t="str">
        <f t="shared" si="49"/>
        <v>CAMA ELECTRICA ADULTOS</v>
      </c>
      <c r="C1012" s="6">
        <v>5746930</v>
      </c>
      <c r="D1012" s="5" t="s">
        <v>36</v>
      </c>
      <c r="E1012" s="5" t="str">
        <f t="shared" si="47"/>
        <v>ACTISALUD-PISO 11-EDGAR NARVAEZ</v>
      </c>
      <c r="F1012" s="5"/>
      <c r="G1012" s="5"/>
    </row>
    <row r="1013" spans="1:7" ht="58.5" customHeight="1" x14ac:dyDescent="0.25">
      <c r="A1013" s="5" t="str">
        <f>"H0024331"</f>
        <v>H0024331</v>
      </c>
      <c r="B1013" s="5" t="str">
        <f t="shared" si="49"/>
        <v>CAMA ELECTRICA ADULTOS</v>
      </c>
      <c r="C1013" s="6">
        <v>5746930</v>
      </c>
      <c r="D1013" s="5" t="s">
        <v>36</v>
      </c>
      <c r="E1013" s="5" t="str">
        <f t="shared" si="47"/>
        <v>ACTISALUD-PISO 11-EDGAR NARVAEZ</v>
      </c>
      <c r="F1013" s="5"/>
      <c r="G1013" s="5"/>
    </row>
    <row r="1014" spans="1:7" ht="58.5" customHeight="1" x14ac:dyDescent="0.25">
      <c r="A1014" s="5" t="str">
        <f>"H0024332"</f>
        <v>H0024332</v>
      </c>
      <c r="B1014" s="5" t="str">
        <f t="shared" si="49"/>
        <v>CAMA ELECTRICA ADULTOS</v>
      </c>
      <c r="C1014" s="6">
        <v>5746930</v>
      </c>
      <c r="D1014" s="5" t="s">
        <v>36</v>
      </c>
      <c r="E1014" s="5" t="str">
        <f t="shared" si="47"/>
        <v>ACTISALUD-PISO 11-EDGAR NARVAEZ</v>
      </c>
      <c r="F1014" s="5"/>
      <c r="G1014" s="5"/>
    </row>
    <row r="1015" spans="1:7" ht="58.5" customHeight="1" x14ac:dyDescent="0.25">
      <c r="A1015" s="5" t="str">
        <f>"H0024343"</f>
        <v>H0024343</v>
      </c>
      <c r="B1015" s="5" t="str">
        <f t="shared" si="49"/>
        <v>CAMA ELECTRICA ADULTOS</v>
      </c>
      <c r="C1015" s="6">
        <v>5746930</v>
      </c>
      <c r="D1015" s="5" t="s">
        <v>36</v>
      </c>
      <c r="E1015" s="5" t="str">
        <f t="shared" si="47"/>
        <v>ACTISALUD-PISO 11-EDGAR NARVAEZ</v>
      </c>
      <c r="F1015" s="5"/>
      <c r="G1015" s="5"/>
    </row>
    <row r="1016" spans="1:7" ht="58.5" customHeight="1" x14ac:dyDescent="0.25">
      <c r="A1016" s="5" t="str">
        <f>"H0024345"</f>
        <v>H0024345</v>
      </c>
      <c r="B1016" s="5" t="str">
        <f t="shared" si="49"/>
        <v>CAMA ELECTRICA ADULTOS</v>
      </c>
      <c r="C1016" s="6">
        <v>5746930</v>
      </c>
      <c r="D1016" s="5" t="s">
        <v>36</v>
      </c>
      <c r="E1016" s="5" t="str">
        <f t="shared" si="47"/>
        <v>ACTISALUD-PISO 11-EDGAR NARVAEZ</v>
      </c>
      <c r="F1016" s="5"/>
      <c r="G1016" s="5"/>
    </row>
    <row r="1017" spans="1:7" ht="58.5" customHeight="1" x14ac:dyDescent="0.25">
      <c r="A1017" s="5" t="str">
        <f>"H0024348"</f>
        <v>H0024348</v>
      </c>
      <c r="B1017" s="5" t="str">
        <f t="shared" si="49"/>
        <v>CAMA ELECTRICA ADULTOS</v>
      </c>
      <c r="C1017" s="6">
        <v>5746930</v>
      </c>
      <c r="D1017" s="5" t="s">
        <v>36</v>
      </c>
      <c r="E1017" s="5" t="str">
        <f t="shared" si="47"/>
        <v>ACTISALUD-PISO 11-EDGAR NARVAEZ</v>
      </c>
      <c r="F1017" s="5"/>
      <c r="G1017" s="5"/>
    </row>
    <row r="1018" spans="1:7" ht="58.5" customHeight="1" x14ac:dyDescent="0.25">
      <c r="A1018" s="5" t="str">
        <f>"H0024349"</f>
        <v>H0024349</v>
      </c>
      <c r="B1018" s="5" t="str">
        <f t="shared" si="49"/>
        <v>CAMA ELECTRICA ADULTOS</v>
      </c>
      <c r="C1018" s="6">
        <v>5746930</v>
      </c>
      <c r="D1018" s="5" t="s">
        <v>36</v>
      </c>
      <c r="E1018" s="5" t="str">
        <f t="shared" ref="E1018:E1049" si="50">"ACTISALUD-PISO 11-EDGAR NARVAEZ"</f>
        <v>ACTISALUD-PISO 11-EDGAR NARVAEZ</v>
      </c>
      <c r="F1018" s="5"/>
      <c r="G1018" s="5"/>
    </row>
    <row r="1019" spans="1:7" ht="58.5" customHeight="1" x14ac:dyDescent="0.25">
      <c r="A1019" s="5" t="str">
        <f>"H0024351"</f>
        <v>H0024351</v>
      </c>
      <c r="B1019" s="5" t="str">
        <f t="shared" si="49"/>
        <v>CAMA ELECTRICA ADULTOS</v>
      </c>
      <c r="C1019" s="6">
        <v>5746930</v>
      </c>
      <c r="D1019" s="5" t="s">
        <v>36</v>
      </c>
      <c r="E1019" s="5" t="str">
        <f t="shared" si="50"/>
        <v>ACTISALUD-PISO 11-EDGAR NARVAEZ</v>
      </c>
      <c r="F1019" s="5"/>
      <c r="G1019" s="5"/>
    </row>
    <row r="1020" spans="1:7" ht="58.5" customHeight="1" x14ac:dyDescent="0.25">
      <c r="A1020" s="5" t="str">
        <f>"H0024353"</f>
        <v>H0024353</v>
      </c>
      <c r="B1020" s="5" t="str">
        <f t="shared" si="49"/>
        <v>CAMA ELECTRICA ADULTOS</v>
      </c>
      <c r="C1020" s="6">
        <v>5746930</v>
      </c>
      <c r="D1020" s="5" t="s">
        <v>36</v>
      </c>
      <c r="E1020" s="5" t="str">
        <f t="shared" si="50"/>
        <v>ACTISALUD-PISO 11-EDGAR NARVAEZ</v>
      </c>
      <c r="F1020" s="5"/>
      <c r="G1020" s="5"/>
    </row>
    <row r="1021" spans="1:7" ht="58.5" customHeight="1" x14ac:dyDescent="0.25">
      <c r="A1021" s="5" t="str">
        <f>"H0024376"</f>
        <v>H0024376</v>
      </c>
      <c r="B1021" s="5" t="str">
        <f t="shared" si="49"/>
        <v>CAMA ELECTRICA ADULTOS</v>
      </c>
      <c r="C1021" s="6">
        <v>5746930</v>
      </c>
      <c r="D1021" s="5" t="s">
        <v>36</v>
      </c>
      <c r="E1021" s="5" t="str">
        <f t="shared" si="50"/>
        <v>ACTISALUD-PISO 11-EDGAR NARVAEZ</v>
      </c>
      <c r="F1021" s="5"/>
      <c r="G1021" s="5"/>
    </row>
    <row r="1022" spans="1:7" ht="58.5" customHeight="1" x14ac:dyDescent="0.25">
      <c r="A1022" s="5" t="str">
        <f>"H0024380"</f>
        <v>H0024380</v>
      </c>
      <c r="B1022" s="5" t="str">
        <f t="shared" si="49"/>
        <v>CAMA ELECTRICA ADULTOS</v>
      </c>
      <c r="C1022" s="6">
        <v>5746930</v>
      </c>
      <c r="D1022" s="5" t="s">
        <v>36</v>
      </c>
      <c r="E1022" s="5" t="str">
        <f t="shared" si="50"/>
        <v>ACTISALUD-PISO 11-EDGAR NARVAEZ</v>
      </c>
      <c r="F1022" s="5"/>
      <c r="G1022" s="5"/>
    </row>
    <row r="1023" spans="1:7" ht="58.5" customHeight="1" x14ac:dyDescent="0.25">
      <c r="A1023" s="5" t="str">
        <f>"H0024381"</f>
        <v>H0024381</v>
      </c>
      <c r="B1023" s="5" t="str">
        <f t="shared" si="49"/>
        <v>CAMA ELECTRICA ADULTOS</v>
      </c>
      <c r="C1023" s="6">
        <v>5746930</v>
      </c>
      <c r="D1023" s="5" t="s">
        <v>36</v>
      </c>
      <c r="E1023" s="5" t="str">
        <f t="shared" si="50"/>
        <v>ACTISALUD-PISO 11-EDGAR NARVAEZ</v>
      </c>
      <c r="F1023" s="5"/>
      <c r="G1023" s="5"/>
    </row>
    <row r="1024" spans="1:7" ht="58.5" customHeight="1" x14ac:dyDescent="0.25">
      <c r="A1024" s="5" t="str">
        <f>"H0024384"</f>
        <v>H0024384</v>
      </c>
      <c r="B1024" s="5" t="str">
        <f t="shared" si="49"/>
        <v>CAMA ELECTRICA ADULTOS</v>
      </c>
      <c r="C1024" s="6">
        <v>5746930</v>
      </c>
      <c r="D1024" s="5" t="s">
        <v>36</v>
      </c>
      <c r="E1024" s="5" t="str">
        <f t="shared" si="50"/>
        <v>ACTISALUD-PISO 11-EDGAR NARVAEZ</v>
      </c>
      <c r="F1024" s="5"/>
      <c r="G1024" s="5"/>
    </row>
    <row r="1025" spans="1:7" ht="58.5" customHeight="1" x14ac:dyDescent="0.25">
      <c r="A1025" s="5" t="str">
        <f>"H0024387"</f>
        <v>H0024387</v>
      </c>
      <c r="B1025" s="5" t="str">
        <f t="shared" si="49"/>
        <v>CAMA ELECTRICA ADULTOS</v>
      </c>
      <c r="C1025" s="6">
        <v>5746930</v>
      </c>
      <c r="D1025" s="5" t="s">
        <v>36</v>
      </c>
      <c r="E1025" s="5" t="str">
        <f t="shared" si="50"/>
        <v>ACTISALUD-PISO 11-EDGAR NARVAEZ</v>
      </c>
      <c r="F1025" s="5"/>
      <c r="G1025" s="5"/>
    </row>
    <row r="1026" spans="1:7" ht="58.5" customHeight="1" x14ac:dyDescent="0.25">
      <c r="A1026" s="5" t="str">
        <f>"H0024391"</f>
        <v>H0024391</v>
      </c>
      <c r="B1026" s="5" t="str">
        <f t="shared" si="49"/>
        <v>CAMA ELECTRICA ADULTOS</v>
      </c>
      <c r="C1026" s="6">
        <v>5746930</v>
      </c>
      <c r="D1026" s="5" t="s">
        <v>36</v>
      </c>
      <c r="E1026" s="5" t="str">
        <f t="shared" si="50"/>
        <v>ACTISALUD-PISO 11-EDGAR NARVAEZ</v>
      </c>
      <c r="F1026" s="5"/>
      <c r="G1026" s="5"/>
    </row>
    <row r="1027" spans="1:7" ht="58.5" customHeight="1" x14ac:dyDescent="0.25">
      <c r="A1027" s="5" t="str">
        <f>"H0024394"</f>
        <v>H0024394</v>
      </c>
      <c r="B1027" s="5" t="str">
        <f t="shared" si="49"/>
        <v>CAMA ELECTRICA ADULTOS</v>
      </c>
      <c r="C1027" s="6">
        <v>5746930</v>
      </c>
      <c r="D1027" s="5" t="s">
        <v>36</v>
      </c>
      <c r="E1027" s="5" t="str">
        <f t="shared" si="50"/>
        <v>ACTISALUD-PISO 11-EDGAR NARVAEZ</v>
      </c>
      <c r="F1027" s="5"/>
      <c r="G1027" s="5"/>
    </row>
    <row r="1028" spans="1:7" ht="58.5" customHeight="1" x14ac:dyDescent="0.25">
      <c r="A1028" s="5" t="str">
        <f>"H0024399"</f>
        <v>H0024399</v>
      </c>
      <c r="B1028" s="5" t="str">
        <f t="shared" si="49"/>
        <v>CAMA ELECTRICA ADULTOS</v>
      </c>
      <c r="C1028" s="6">
        <v>5746930</v>
      </c>
      <c r="D1028" s="5" t="s">
        <v>36</v>
      </c>
      <c r="E1028" s="5" t="str">
        <f t="shared" si="50"/>
        <v>ACTISALUD-PISO 11-EDGAR NARVAEZ</v>
      </c>
      <c r="F1028" s="5"/>
      <c r="G1028" s="5"/>
    </row>
    <row r="1029" spans="1:7" ht="58.5" customHeight="1" x14ac:dyDescent="0.25">
      <c r="A1029" s="5" t="str">
        <f>"H0024522"</f>
        <v>H0024522</v>
      </c>
      <c r="B102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29" s="6">
        <v>2600000</v>
      </c>
      <c r="D1029" s="5" t="s">
        <v>36</v>
      </c>
      <c r="E1029" s="5" t="str">
        <f t="shared" si="50"/>
        <v>ACTISALUD-PISO 11-EDGAR NARVAEZ</v>
      </c>
      <c r="F1029" s="5"/>
      <c r="G1029" s="5"/>
    </row>
    <row r="1030" spans="1:7" ht="58.5" customHeight="1" x14ac:dyDescent="0.25">
      <c r="A1030" s="5" t="str">
        <f>"H0024530"</f>
        <v>H0024530</v>
      </c>
      <c r="B1030"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30" s="6">
        <v>2600000</v>
      </c>
      <c r="D1030" s="5" t="s">
        <v>36</v>
      </c>
      <c r="E1030" s="5" t="str">
        <f t="shared" si="50"/>
        <v>ACTISALUD-PISO 11-EDGAR NARVAEZ</v>
      </c>
      <c r="F1030" s="5"/>
      <c r="G1030" s="5"/>
    </row>
    <row r="1031" spans="1:7" ht="58.5" customHeight="1" x14ac:dyDescent="0.25">
      <c r="A1031" s="5" t="str">
        <f>"H0024531"</f>
        <v>H0024531</v>
      </c>
      <c r="B103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31" s="6">
        <v>2600000</v>
      </c>
      <c r="D1031" s="5" t="s">
        <v>36</v>
      </c>
      <c r="E1031" s="5" t="str">
        <f t="shared" si="50"/>
        <v>ACTISALUD-PISO 11-EDGAR NARVAEZ</v>
      </c>
      <c r="F1031" s="5"/>
      <c r="G1031" s="5"/>
    </row>
    <row r="1032" spans="1:7" ht="58.5" customHeight="1" x14ac:dyDescent="0.25">
      <c r="A1032" s="5" t="str">
        <f>"H0024649"</f>
        <v>H0024649</v>
      </c>
      <c r="B1032" s="5" t="str">
        <f>"SUCCIONADOR (DONACION)"</f>
        <v>SUCCIONADOR (DONACION)</v>
      </c>
      <c r="C1032" s="6">
        <v>406000</v>
      </c>
      <c r="D1032" s="5" t="s">
        <v>64</v>
      </c>
      <c r="E1032" s="5" t="str">
        <f t="shared" si="50"/>
        <v>ACTISALUD-PISO 11-EDGAR NARVAEZ</v>
      </c>
      <c r="F1032" s="5"/>
      <c r="G1032" s="5"/>
    </row>
    <row r="1033" spans="1:7" ht="58.5" customHeight="1" x14ac:dyDescent="0.25">
      <c r="A1033" s="5" t="str">
        <f>"H0025347"</f>
        <v>H0025347</v>
      </c>
      <c r="B103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33" s="6">
        <v>312156</v>
      </c>
      <c r="D1033" s="5" t="s">
        <v>10</v>
      </c>
      <c r="E1033" s="5" t="str">
        <f t="shared" si="50"/>
        <v>ACTISALUD-PISO 11-EDGAR NARVAEZ</v>
      </c>
      <c r="F1033" s="5"/>
      <c r="G1033" s="5"/>
    </row>
    <row r="1034" spans="1:7" ht="58.5" customHeight="1" x14ac:dyDescent="0.25">
      <c r="A1034" s="5" t="str">
        <f>"H0025558"</f>
        <v>H0025558</v>
      </c>
      <c r="B1034" s="5" t="str">
        <f>"SILLA DE RUEDAS"</f>
        <v>SILLA DE RUEDAS</v>
      </c>
      <c r="C1034" s="6">
        <v>600000</v>
      </c>
      <c r="D1034" s="5" t="s">
        <v>149</v>
      </c>
      <c r="E1034" s="5" t="str">
        <f t="shared" si="50"/>
        <v>ACTISALUD-PISO 11-EDGAR NARVAEZ</v>
      </c>
      <c r="F1034" s="5"/>
      <c r="G1034" s="5"/>
    </row>
    <row r="1035" spans="1:7" ht="58.5" customHeight="1" x14ac:dyDescent="0.25">
      <c r="A1035" s="5" t="str">
        <f>"H0025651"</f>
        <v>H0025651</v>
      </c>
      <c r="B1035" s="5" t="str">
        <f>"COMPUTADOR AIO LENOVO S400Z CI3/4GB/1TB/WIN 10 PROSERIAL"</f>
        <v>COMPUTADOR AIO LENOVO S400Z CI3/4GB/1TB/WIN 10 PROSERIAL</v>
      </c>
      <c r="C1035" s="6">
        <v>2431000</v>
      </c>
      <c r="D1035" s="5" t="s">
        <v>150</v>
      </c>
      <c r="E1035" s="5" t="str">
        <f t="shared" si="50"/>
        <v>ACTISALUD-PISO 11-EDGAR NARVAEZ</v>
      </c>
      <c r="F1035" s="5" t="str">
        <f>"DONACION DE LA UNIVERSIDAD DE SANTADNER"</f>
        <v>DONACION DE LA UNIVERSIDAD DE SANTADNER</v>
      </c>
      <c r="G1035" s="5"/>
    </row>
    <row r="1036" spans="1:7" ht="58.5" customHeight="1" x14ac:dyDescent="0.25">
      <c r="A1036" s="5" t="str">
        <f>"H0025999"</f>
        <v>H0025999</v>
      </c>
      <c r="B1036" s="5" t="str">
        <f>"SILLA DE RUEDAS"</f>
        <v>SILLA DE RUEDAS</v>
      </c>
      <c r="C1036" s="6">
        <v>280000</v>
      </c>
      <c r="D1036" s="5" t="s">
        <v>77</v>
      </c>
      <c r="E1036" s="5" t="str">
        <f t="shared" si="50"/>
        <v>ACTISALUD-PISO 11-EDGAR NARVAEZ</v>
      </c>
      <c r="F1036" s="5"/>
      <c r="G1036" s="5"/>
    </row>
    <row r="1037" spans="1:7" ht="58.5" customHeight="1" x14ac:dyDescent="0.25">
      <c r="A1037" s="5" t="str">
        <f>"H0026026"</f>
        <v>H0026026</v>
      </c>
      <c r="B1037" s="5" t="str">
        <f>"SILLA DE RUEDAS"</f>
        <v>SILLA DE RUEDAS</v>
      </c>
      <c r="C1037" s="6">
        <v>280000</v>
      </c>
      <c r="D1037" s="5" t="s">
        <v>77</v>
      </c>
      <c r="E1037" s="5" t="str">
        <f t="shared" si="50"/>
        <v>ACTISALUD-PISO 11-EDGAR NARVAEZ</v>
      </c>
      <c r="F1037" s="5"/>
      <c r="G1037" s="5"/>
    </row>
    <row r="1038" spans="1:7" ht="58.5" customHeight="1" x14ac:dyDescent="0.25">
      <c r="A1038" s="5" t="str">
        <f>"H0026049"</f>
        <v>H0026049</v>
      </c>
      <c r="B1038" s="5" t="str">
        <f>"SILLA DE RUEDAS"</f>
        <v>SILLA DE RUEDAS</v>
      </c>
      <c r="C1038" s="6">
        <v>280000</v>
      </c>
      <c r="D1038" s="5" t="s">
        <v>77</v>
      </c>
      <c r="E1038" s="5" t="str">
        <f t="shared" si="50"/>
        <v>ACTISALUD-PISO 11-EDGAR NARVAEZ</v>
      </c>
      <c r="F1038" s="5"/>
      <c r="G1038" s="5"/>
    </row>
    <row r="1039" spans="1:7" ht="58.5" customHeight="1" x14ac:dyDescent="0.25">
      <c r="A1039" s="5" t="str">
        <f>"H0026844"</f>
        <v>H0026844</v>
      </c>
      <c r="B1039" s="5" t="str">
        <f>"BOMBA DE INFUSION"</f>
        <v>BOMBA DE INFUSION</v>
      </c>
      <c r="C1039" s="6">
        <v>800000</v>
      </c>
      <c r="D1039" s="5" t="s">
        <v>79</v>
      </c>
      <c r="E1039" s="5" t="str">
        <f t="shared" si="50"/>
        <v>ACTISALUD-PISO 11-EDGAR NARVAEZ</v>
      </c>
      <c r="F1039" s="5"/>
      <c r="G1039" s="5"/>
    </row>
    <row r="1040" spans="1:7" ht="58.5" customHeight="1" x14ac:dyDescent="0.25">
      <c r="A1040" s="5" t="str">
        <f>"H0026848"</f>
        <v>H0026848</v>
      </c>
      <c r="B1040" s="5" t="str">
        <f>"BOMBA DE INFUSION"</f>
        <v>BOMBA DE INFUSION</v>
      </c>
      <c r="C1040" s="6">
        <v>800000</v>
      </c>
      <c r="D1040" s="5" t="s">
        <v>79</v>
      </c>
      <c r="E1040" s="5" t="str">
        <f t="shared" si="50"/>
        <v>ACTISALUD-PISO 11-EDGAR NARVAEZ</v>
      </c>
      <c r="F1040" s="5"/>
      <c r="G1040" s="5"/>
    </row>
    <row r="1041" spans="1:7" ht="58.5" customHeight="1" x14ac:dyDescent="0.25">
      <c r="A1041" s="5" t="str">
        <f>"H0027345"</f>
        <v>H0027345</v>
      </c>
      <c r="B1041" s="5" t="str">
        <f>"DESFRIBILADOR"</f>
        <v>DESFRIBILADOR</v>
      </c>
      <c r="C1041" s="6">
        <v>15300000.140000001</v>
      </c>
      <c r="D1041" s="5" t="s">
        <v>151</v>
      </c>
      <c r="E1041" s="5" t="str">
        <f t="shared" si="50"/>
        <v>ACTISALUD-PISO 11-EDGAR NARVAEZ</v>
      </c>
      <c r="F1041" s="5"/>
      <c r="G1041" s="5" t="str">
        <f>"BENEHEART D3"</f>
        <v>BENEHEART D3</v>
      </c>
    </row>
    <row r="1042" spans="1:7" ht="58.5" customHeight="1" x14ac:dyDescent="0.25">
      <c r="A1042" s="5" t="str">
        <f>"H0027367"</f>
        <v>H0027367</v>
      </c>
      <c r="B1042" s="5" t="str">
        <f>"LECTOR DE HUELLAS DIGITALES"</f>
        <v>LECTOR DE HUELLAS DIGITALES</v>
      </c>
      <c r="C1042" s="6">
        <v>234000.41</v>
      </c>
      <c r="D1042" s="5" t="s">
        <v>83</v>
      </c>
      <c r="E1042" s="5" t="str">
        <f t="shared" si="50"/>
        <v>ACTISALUD-PISO 11-EDGAR NARVAEZ</v>
      </c>
      <c r="F1042" s="5"/>
      <c r="G1042" s="5"/>
    </row>
    <row r="1043" spans="1:7" ht="58.5" customHeight="1" x14ac:dyDescent="0.25">
      <c r="A1043" s="5" t="str">
        <f>"H0027368"</f>
        <v>H0027368</v>
      </c>
      <c r="B1043" s="5" t="str">
        <f>"LECTOR DE HUELLAS DIGITALES"</f>
        <v>LECTOR DE HUELLAS DIGITALES</v>
      </c>
      <c r="C1043" s="6">
        <v>234000.41</v>
      </c>
      <c r="D1043" s="5" t="s">
        <v>83</v>
      </c>
      <c r="E1043" s="5" t="str">
        <f t="shared" si="50"/>
        <v>ACTISALUD-PISO 11-EDGAR NARVAEZ</v>
      </c>
      <c r="F1043" s="5"/>
      <c r="G1043" s="5"/>
    </row>
    <row r="1044" spans="1:7" ht="58.5" customHeight="1" x14ac:dyDescent="0.25">
      <c r="A1044" s="5" t="str">
        <f>"H0027413"</f>
        <v>H0027413</v>
      </c>
      <c r="B1044" s="5" t="str">
        <f>"LECTOR DE HUELLAS DIGITALES"</f>
        <v>LECTOR DE HUELLAS DIGITALES</v>
      </c>
      <c r="C1044" s="6">
        <v>234000.41</v>
      </c>
      <c r="D1044" s="5" t="s">
        <v>83</v>
      </c>
      <c r="E1044" s="5" t="str">
        <f t="shared" si="50"/>
        <v>ACTISALUD-PISO 11-EDGAR NARVAEZ</v>
      </c>
      <c r="F1044" s="5"/>
      <c r="G1044" s="5"/>
    </row>
    <row r="1045" spans="1:7" ht="58.5" customHeight="1" x14ac:dyDescent="0.25">
      <c r="A1045" s="5" t="str">
        <f>"H0028380"</f>
        <v>H0028380</v>
      </c>
      <c r="B1045" s="5" t="str">
        <f>"SILLA RECLINOMATICA"</f>
        <v>SILLA RECLINOMATICA</v>
      </c>
      <c r="C1045" s="6">
        <v>899999.97</v>
      </c>
      <c r="D1045" s="5" t="s">
        <v>152</v>
      </c>
      <c r="E1045" s="5" t="str">
        <f t="shared" si="50"/>
        <v>ACTISALUD-PISO 11-EDGAR NARVAEZ</v>
      </c>
      <c r="F1045" s="5"/>
      <c r="G1045" s="5"/>
    </row>
    <row r="1046" spans="1:7" ht="58.5" customHeight="1" x14ac:dyDescent="0.25">
      <c r="A1046" s="5" t="str">
        <f>"H0028739"</f>
        <v>H0028739</v>
      </c>
      <c r="B1046" s="5" t="str">
        <f>"VENTILADOR PULMONAR PORTATIL"</f>
        <v>VENTILADOR PULMONAR PORTATIL</v>
      </c>
      <c r="C1046" s="6">
        <v>36668604</v>
      </c>
      <c r="D1046" s="5" t="s">
        <v>153</v>
      </c>
      <c r="E1046" s="5" t="str">
        <f t="shared" si="50"/>
        <v>ACTISALUD-PISO 11-EDGAR NARVAEZ</v>
      </c>
      <c r="F1046" s="5"/>
      <c r="G1046" s="5"/>
    </row>
    <row r="1047" spans="1:7" ht="58.5" customHeight="1" x14ac:dyDescent="0.25">
      <c r="A1047" s="5" t="str">
        <f>"H0029306"</f>
        <v>H0029306</v>
      </c>
      <c r="B1047" s="5" t="str">
        <f>"SILLA HERGONOMICA CON SISTEMA HIDRAULICO"</f>
        <v>SILLA HERGONOMICA CON SISTEMA HIDRAULICO</v>
      </c>
      <c r="C1047" s="6">
        <v>174900</v>
      </c>
      <c r="D1047" s="5" t="s">
        <v>89</v>
      </c>
      <c r="E1047" s="5" t="str">
        <f t="shared" si="50"/>
        <v>ACTISALUD-PISO 11-EDGAR NARVAEZ</v>
      </c>
      <c r="F1047" s="5"/>
      <c r="G1047" s="5"/>
    </row>
    <row r="1048" spans="1:7" ht="58.5" customHeight="1" x14ac:dyDescent="0.25">
      <c r="A1048" s="5" t="str">
        <f>"H0030024"</f>
        <v>H0030024</v>
      </c>
      <c r="B1048" s="5" t="str">
        <f t="shared" ref="B1048:B1066" si="51">"SILLA RECLINOMATICA"</f>
        <v>SILLA RECLINOMATICA</v>
      </c>
      <c r="C1048" s="6">
        <v>1065050</v>
      </c>
      <c r="D1048" s="5" t="s">
        <v>97</v>
      </c>
      <c r="E1048" s="5" t="str">
        <f t="shared" si="50"/>
        <v>ACTISALUD-PISO 11-EDGAR NARVAEZ</v>
      </c>
      <c r="F1048" s="5"/>
      <c r="G1048" s="5"/>
    </row>
    <row r="1049" spans="1:7" ht="58.5" customHeight="1" x14ac:dyDescent="0.25">
      <c r="A1049" s="5" t="str">
        <f>"H0030026"</f>
        <v>H0030026</v>
      </c>
      <c r="B1049" s="5" t="str">
        <f t="shared" si="51"/>
        <v>SILLA RECLINOMATICA</v>
      </c>
      <c r="C1049" s="6">
        <v>1065050</v>
      </c>
      <c r="D1049" s="5" t="s">
        <v>97</v>
      </c>
      <c r="E1049" s="5" t="str">
        <f t="shared" si="50"/>
        <v>ACTISALUD-PISO 11-EDGAR NARVAEZ</v>
      </c>
      <c r="F1049" s="5"/>
      <c r="G1049" s="5"/>
    </row>
    <row r="1050" spans="1:7" ht="58.5" customHeight="1" x14ac:dyDescent="0.25">
      <c r="A1050" s="5" t="str">
        <f>"H0030033"</f>
        <v>H0030033</v>
      </c>
      <c r="B1050" s="5" t="str">
        <f t="shared" si="51"/>
        <v>SILLA RECLINOMATICA</v>
      </c>
      <c r="C1050" s="6">
        <v>1065050</v>
      </c>
      <c r="D1050" s="5" t="s">
        <v>97</v>
      </c>
      <c r="E1050" s="5" t="str">
        <f t="shared" ref="E1050:E1081" si="52">"ACTISALUD-PISO 11-EDGAR NARVAEZ"</f>
        <v>ACTISALUD-PISO 11-EDGAR NARVAEZ</v>
      </c>
      <c r="F1050" s="5"/>
      <c r="G1050" s="5"/>
    </row>
    <row r="1051" spans="1:7" ht="58.5" customHeight="1" x14ac:dyDescent="0.25">
      <c r="A1051" s="5" t="str">
        <f>"H0030037"</f>
        <v>H0030037</v>
      </c>
      <c r="B1051" s="5" t="str">
        <f t="shared" si="51"/>
        <v>SILLA RECLINOMATICA</v>
      </c>
      <c r="C1051" s="6">
        <v>1065050</v>
      </c>
      <c r="D1051" s="5" t="s">
        <v>97</v>
      </c>
      <c r="E1051" s="5" t="str">
        <f t="shared" si="52"/>
        <v>ACTISALUD-PISO 11-EDGAR NARVAEZ</v>
      </c>
      <c r="F1051" s="5"/>
      <c r="G1051" s="5"/>
    </row>
    <row r="1052" spans="1:7" ht="58.5" customHeight="1" x14ac:dyDescent="0.25">
      <c r="A1052" s="5" t="str">
        <f>"H0030040"</f>
        <v>H0030040</v>
      </c>
      <c r="B1052" s="5" t="str">
        <f t="shared" si="51"/>
        <v>SILLA RECLINOMATICA</v>
      </c>
      <c r="C1052" s="6">
        <v>1065050</v>
      </c>
      <c r="D1052" s="5" t="s">
        <v>97</v>
      </c>
      <c r="E1052" s="5" t="str">
        <f t="shared" si="52"/>
        <v>ACTISALUD-PISO 11-EDGAR NARVAEZ</v>
      </c>
      <c r="F1052" s="5"/>
      <c r="G1052" s="5"/>
    </row>
    <row r="1053" spans="1:7" ht="58.5" customHeight="1" x14ac:dyDescent="0.25">
      <c r="A1053" s="5" t="str">
        <f>"H0030063"</f>
        <v>H0030063</v>
      </c>
      <c r="B1053" s="5" t="str">
        <f t="shared" si="51"/>
        <v>SILLA RECLINOMATICA</v>
      </c>
      <c r="C1053" s="6">
        <v>1065050</v>
      </c>
      <c r="D1053" s="5" t="s">
        <v>98</v>
      </c>
      <c r="E1053" s="5" t="str">
        <f t="shared" si="52"/>
        <v>ACTISALUD-PISO 11-EDGAR NARVAEZ</v>
      </c>
      <c r="F1053" s="5"/>
      <c r="G1053" s="5"/>
    </row>
    <row r="1054" spans="1:7" ht="58.5" customHeight="1" x14ac:dyDescent="0.25">
      <c r="A1054" s="5" t="str">
        <f>"H0030074"</f>
        <v>H0030074</v>
      </c>
      <c r="B1054" s="5" t="str">
        <f t="shared" si="51"/>
        <v>SILLA RECLINOMATICA</v>
      </c>
      <c r="C1054" s="6">
        <v>1065050</v>
      </c>
      <c r="D1054" s="5" t="s">
        <v>98</v>
      </c>
      <c r="E1054" s="5" t="str">
        <f t="shared" si="52"/>
        <v>ACTISALUD-PISO 11-EDGAR NARVAEZ</v>
      </c>
      <c r="F1054" s="5"/>
      <c r="G1054" s="5"/>
    </row>
    <row r="1055" spans="1:7" ht="58.5" customHeight="1" x14ac:dyDescent="0.25">
      <c r="A1055" s="5" t="str">
        <f>"H0030075"</f>
        <v>H0030075</v>
      </c>
      <c r="B1055" s="5" t="str">
        <f t="shared" si="51"/>
        <v>SILLA RECLINOMATICA</v>
      </c>
      <c r="C1055" s="6">
        <v>1065050</v>
      </c>
      <c r="D1055" s="5" t="s">
        <v>98</v>
      </c>
      <c r="E1055" s="5" t="str">
        <f t="shared" si="52"/>
        <v>ACTISALUD-PISO 11-EDGAR NARVAEZ</v>
      </c>
      <c r="F1055" s="5"/>
      <c r="G1055" s="5"/>
    </row>
    <row r="1056" spans="1:7" ht="58.5" customHeight="1" x14ac:dyDescent="0.25">
      <c r="A1056" s="5" t="str">
        <f>"H0030077"</f>
        <v>H0030077</v>
      </c>
      <c r="B1056" s="5" t="str">
        <f t="shared" si="51"/>
        <v>SILLA RECLINOMATICA</v>
      </c>
      <c r="C1056" s="6">
        <v>1065050</v>
      </c>
      <c r="D1056" s="5" t="s">
        <v>98</v>
      </c>
      <c r="E1056" s="5" t="str">
        <f t="shared" si="52"/>
        <v>ACTISALUD-PISO 11-EDGAR NARVAEZ</v>
      </c>
      <c r="F1056" s="5"/>
      <c r="G1056" s="5"/>
    </row>
    <row r="1057" spans="1:7" ht="58.5" customHeight="1" x14ac:dyDescent="0.25">
      <c r="A1057" s="5" t="str">
        <f>"H0030080"</f>
        <v>H0030080</v>
      </c>
      <c r="B1057" s="5" t="str">
        <f t="shared" si="51"/>
        <v>SILLA RECLINOMATICA</v>
      </c>
      <c r="C1057" s="6">
        <v>1065050</v>
      </c>
      <c r="D1057" s="5" t="s">
        <v>98</v>
      </c>
      <c r="E1057" s="5" t="str">
        <f t="shared" si="52"/>
        <v>ACTISALUD-PISO 11-EDGAR NARVAEZ</v>
      </c>
      <c r="F1057" s="5"/>
      <c r="G1057" s="5"/>
    </row>
    <row r="1058" spans="1:7" ht="58.5" customHeight="1" x14ac:dyDescent="0.25">
      <c r="A1058" s="5" t="str">
        <f>"H0030089"</f>
        <v>H0030089</v>
      </c>
      <c r="B1058" s="5" t="str">
        <f t="shared" si="51"/>
        <v>SILLA RECLINOMATICA</v>
      </c>
      <c r="C1058" s="6">
        <v>1065050</v>
      </c>
      <c r="D1058" s="5" t="s">
        <v>99</v>
      </c>
      <c r="E1058" s="5" t="str">
        <f t="shared" si="52"/>
        <v>ACTISALUD-PISO 11-EDGAR NARVAEZ</v>
      </c>
      <c r="F1058" s="5"/>
      <c r="G1058" s="5"/>
    </row>
    <row r="1059" spans="1:7" ht="58.5" customHeight="1" x14ac:dyDescent="0.25">
      <c r="A1059" s="5" t="str">
        <f>"H0030114"</f>
        <v>H0030114</v>
      </c>
      <c r="B1059" s="5" t="str">
        <f t="shared" si="51"/>
        <v>SILLA RECLINOMATICA</v>
      </c>
      <c r="C1059" s="6">
        <v>1065050</v>
      </c>
      <c r="D1059" s="5" t="s">
        <v>100</v>
      </c>
      <c r="E1059" s="5" t="str">
        <f t="shared" si="52"/>
        <v>ACTISALUD-PISO 11-EDGAR NARVAEZ</v>
      </c>
      <c r="F1059" s="5"/>
      <c r="G1059" s="5"/>
    </row>
    <row r="1060" spans="1:7" ht="58.5" customHeight="1" x14ac:dyDescent="0.25">
      <c r="A1060" s="5" t="str">
        <f>"H0030118"</f>
        <v>H0030118</v>
      </c>
      <c r="B1060" s="5" t="str">
        <f t="shared" si="51"/>
        <v>SILLA RECLINOMATICA</v>
      </c>
      <c r="C1060" s="6">
        <v>1065050</v>
      </c>
      <c r="D1060" s="5" t="s">
        <v>100</v>
      </c>
      <c r="E1060" s="5" t="str">
        <f t="shared" si="52"/>
        <v>ACTISALUD-PISO 11-EDGAR NARVAEZ</v>
      </c>
      <c r="F1060" s="5"/>
      <c r="G1060" s="5"/>
    </row>
    <row r="1061" spans="1:7" ht="58.5" customHeight="1" x14ac:dyDescent="0.25">
      <c r="A1061" s="5" t="str">
        <f>"H0030121"</f>
        <v>H0030121</v>
      </c>
      <c r="B1061" s="5" t="str">
        <f t="shared" si="51"/>
        <v>SILLA RECLINOMATICA</v>
      </c>
      <c r="C1061" s="6">
        <v>1065050</v>
      </c>
      <c r="D1061" s="5" t="s">
        <v>100</v>
      </c>
      <c r="E1061" s="5" t="str">
        <f t="shared" si="52"/>
        <v>ACTISALUD-PISO 11-EDGAR NARVAEZ</v>
      </c>
      <c r="F1061" s="5"/>
      <c r="G1061" s="5"/>
    </row>
    <row r="1062" spans="1:7" ht="58.5" customHeight="1" x14ac:dyDescent="0.25">
      <c r="A1062" s="5" t="str">
        <f>"H0030123"</f>
        <v>H0030123</v>
      </c>
      <c r="B1062" s="5" t="str">
        <f t="shared" si="51"/>
        <v>SILLA RECLINOMATICA</v>
      </c>
      <c r="C1062" s="6">
        <v>1065050</v>
      </c>
      <c r="D1062" s="5" t="s">
        <v>100</v>
      </c>
      <c r="E1062" s="5" t="str">
        <f t="shared" si="52"/>
        <v>ACTISALUD-PISO 11-EDGAR NARVAEZ</v>
      </c>
      <c r="F1062" s="5"/>
      <c r="G1062" s="5"/>
    </row>
    <row r="1063" spans="1:7" ht="58.5" customHeight="1" x14ac:dyDescent="0.25">
      <c r="A1063" s="5" t="str">
        <f>"H0030127"</f>
        <v>H0030127</v>
      </c>
      <c r="B1063" s="5" t="str">
        <f t="shared" si="51"/>
        <v>SILLA RECLINOMATICA</v>
      </c>
      <c r="C1063" s="6">
        <v>1065050</v>
      </c>
      <c r="D1063" s="5" t="s">
        <v>100</v>
      </c>
      <c r="E1063" s="5" t="str">
        <f t="shared" si="52"/>
        <v>ACTISALUD-PISO 11-EDGAR NARVAEZ</v>
      </c>
      <c r="F1063" s="5"/>
      <c r="G1063" s="5"/>
    </row>
    <row r="1064" spans="1:7" ht="58.5" customHeight="1" x14ac:dyDescent="0.25">
      <c r="A1064" s="5" t="str">
        <f>"H0030131"</f>
        <v>H0030131</v>
      </c>
      <c r="B1064" s="5" t="str">
        <f t="shared" si="51"/>
        <v>SILLA RECLINOMATICA</v>
      </c>
      <c r="C1064" s="6">
        <v>1065050</v>
      </c>
      <c r="D1064" s="5" t="s">
        <v>100</v>
      </c>
      <c r="E1064" s="5" t="str">
        <f t="shared" si="52"/>
        <v>ACTISALUD-PISO 11-EDGAR NARVAEZ</v>
      </c>
      <c r="F1064" s="5"/>
      <c r="G1064" s="5"/>
    </row>
    <row r="1065" spans="1:7" ht="58.5" customHeight="1" x14ac:dyDescent="0.25">
      <c r="A1065" s="5" t="str">
        <f>"H0030255"</f>
        <v>H0030255</v>
      </c>
      <c r="B1065" s="5" t="str">
        <f t="shared" si="51"/>
        <v>SILLA RECLINOMATICA</v>
      </c>
      <c r="C1065" s="6">
        <v>1065050</v>
      </c>
      <c r="D1065" s="5" t="s">
        <v>154</v>
      </c>
      <c r="E1065" s="5" t="str">
        <f t="shared" si="52"/>
        <v>ACTISALUD-PISO 11-EDGAR NARVAEZ</v>
      </c>
      <c r="F1065" s="5"/>
      <c r="G1065" s="5"/>
    </row>
    <row r="1066" spans="1:7" ht="58.5" customHeight="1" x14ac:dyDescent="0.25">
      <c r="A1066" s="5" t="str">
        <f>"H0030261"</f>
        <v>H0030261</v>
      </c>
      <c r="B1066" s="5" t="str">
        <f t="shared" si="51"/>
        <v>SILLA RECLINOMATICA</v>
      </c>
      <c r="C1066" s="6">
        <v>1065050</v>
      </c>
      <c r="D1066" s="5" t="s">
        <v>154</v>
      </c>
      <c r="E1066" s="5" t="str">
        <f t="shared" si="52"/>
        <v>ACTISALUD-PISO 11-EDGAR NARVAEZ</v>
      </c>
      <c r="F1066" s="5"/>
      <c r="G1066" s="5"/>
    </row>
    <row r="1067" spans="1:7" ht="58.5" customHeight="1" x14ac:dyDescent="0.25">
      <c r="A1067" s="5" t="str">
        <f>"H0030322"</f>
        <v>H0030322</v>
      </c>
      <c r="B1067" s="5" t="str">
        <f>"PANTALLA RECEPTORA DE LLAMADO DE ENFERMERIA"</f>
        <v>PANTALLA RECEPTORA DE LLAMADO DE ENFERMERIA</v>
      </c>
      <c r="C1067" s="6">
        <v>1670041.22</v>
      </c>
      <c r="D1067" s="5" t="s">
        <v>155</v>
      </c>
      <c r="E1067" s="5" t="str">
        <f t="shared" si="52"/>
        <v>ACTISALUD-PISO 11-EDGAR NARVAEZ</v>
      </c>
      <c r="F1067" s="5"/>
      <c r="G1067" s="5"/>
    </row>
    <row r="1068" spans="1:7" ht="58.5" customHeight="1" x14ac:dyDescent="0.25">
      <c r="A1068" s="5" t="str">
        <f>"H0031241"</f>
        <v>H0031241</v>
      </c>
      <c r="B1068" s="5" t="str">
        <f>"MUEBLE DE 2 PUESTOS CON MEDIDAS DE 1,64 MTS"</f>
        <v>MUEBLE DE 2 PUESTOS CON MEDIDAS DE 1,64 MTS</v>
      </c>
      <c r="C1068" s="6">
        <v>700000</v>
      </c>
      <c r="D1068" s="5" t="s">
        <v>104</v>
      </c>
      <c r="E1068" s="5" t="str">
        <f t="shared" si="52"/>
        <v>ACTISALUD-PISO 11-EDGAR NARVAEZ</v>
      </c>
      <c r="F1068" s="5"/>
      <c r="G1068" s="5"/>
    </row>
    <row r="1069" spans="1:7" ht="58.5" customHeight="1" x14ac:dyDescent="0.25">
      <c r="A1069" s="5" t="str">
        <f>"H0031245"</f>
        <v>H0031245</v>
      </c>
      <c r="B1069" s="5" t="str">
        <f>"MUEBLE DE 2 PUESTOS CON MEDIDAS DE 1,64 MTS"</f>
        <v>MUEBLE DE 2 PUESTOS CON MEDIDAS DE 1,64 MTS</v>
      </c>
      <c r="C1069" s="6">
        <v>700000</v>
      </c>
      <c r="D1069" s="5" t="s">
        <v>104</v>
      </c>
      <c r="E1069" s="5" t="str">
        <f t="shared" si="52"/>
        <v>ACTISALUD-PISO 11-EDGAR NARVAEZ</v>
      </c>
      <c r="F1069" s="5"/>
      <c r="G1069" s="5"/>
    </row>
    <row r="1070" spans="1:7" ht="58.5" customHeight="1" x14ac:dyDescent="0.25">
      <c r="A1070" s="5" t="str">
        <f>"H0031249"</f>
        <v>H0031249</v>
      </c>
      <c r="B1070" s="5" t="str">
        <f>"MUEBLE DE 3 PUESTOS CON MEDIDAS DE 2,46 MTS"</f>
        <v>MUEBLE DE 3 PUESTOS CON MEDIDAS DE 2,46 MTS</v>
      </c>
      <c r="C1070" s="6">
        <v>1050000</v>
      </c>
      <c r="D1070" s="5" t="s">
        <v>104</v>
      </c>
      <c r="E1070" s="5" t="str">
        <f t="shared" si="52"/>
        <v>ACTISALUD-PISO 11-EDGAR NARVAEZ</v>
      </c>
      <c r="F1070" s="5"/>
      <c r="G1070" s="5"/>
    </row>
    <row r="1071" spans="1:7" ht="58.5" customHeight="1" x14ac:dyDescent="0.25">
      <c r="A1071" s="5" t="str">
        <f>"H0031257"</f>
        <v>H0031257</v>
      </c>
      <c r="B1071" s="5" t="str">
        <f>"SOFA CON MEDIDAS DE 1,10 MTS"</f>
        <v>SOFA CON MEDIDAS DE 1,10 MTS</v>
      </c>
      <c r="C1071" s="6">
        <v>650000</v>
      </c>
      <c r="D1071" s="5" t="s">
        <v>104</v>
      </c>
      <c r="E1071" s="5" t="str">
        <f t="shared" si="52"/>
        <v>ACTISALUD-PISO 11-EDGAR NARVAEZ</v>
      </c>
      <c r="F1071" s="5"/>
      <c r="G1071" s="5"/>
    </row>
    <row r="1072" spans="1:7" ht="58.5" customHeight="1" x14ac:dyDescent="0.25">
      <c r="A1072" s="5" t="str">
        <f>"H0031265"</f>
        <v>H0031265</v>
      </c>
      <c r="B1072" s="5" t="str">
        <f>"MESA DE CENTRO CON MEDIDAS DE 0,84 MTS X 0,54 MTS"</f>
        <v>MESA DE CENTRO CON MEDIDAS DE 0,84 MTS X 0,54 MTS</v>
      </c>
      <c r="C1072" s="6">
        <v>160000</v>
      </c>
      <c r="D1072" s="5" t="s">
        <v>104</v>
      </c>
      <c r="E1072" s="5" t="str">
        <f t="shared" si="52"/>
        <v>ACTISALUD-PISO 11-EDGAR NARVAEZ</v>
      </c>
      <c r="F1072" s="5"/>
      <c r="G1072" s="5"/>
    </row>
    <row r="1073" spans="1:7" ht="58.5" customHeight="1" x14ac:dyDescent="0.25">
      <c r="A1073" s="5" t="str">
        <f>"H0031273"</f>
        <v>H0031273</v>
      </c>
      <c r="B1073" s="5" t="str">
        <f>"MUEBLE DE 5 PUESTOS CON MEDIDAS DE 3,87 MTS"</f>
        <v>MUEBLE DE 5 PUESTOS CON MEDIDAS DE 3,87 MTS</v>
      </c>
      <c r="C1073" s="6">
        <v>1400000</v>
      </c>
      <c r="D1073" s="5" t="s">
        <v>104</v>
      </c>
      <c r="E1073" s="5" t="str">
        <f t="shared" si="52"/>
        <v>ACTISALUD-PISO 11-EDGAR NARVAEZ</v>
      </c>
      <c r="F1073" s="5"/>
      <c r="G1073" s="5"/>
    </row>
    <row r="1074" spans="1:7" ht="58.5" customHeight="1" x14ac:dyDescent="0.25">
      <c r="A1074" s="5" t="str">
        <f>"H0031281"</f>
        <v>H0031281</v>
      </c>
      <c r="B1074" s="5" t="str">
        <f>"SOFA CON MEDIDAS DE 1,65 MTS"</f>
        <v>SOFA CON MEDIDAS DE 1,65 MTS</v>
      </c>
      <c r="C1074" s="6">
        <v>700000</v>
      </c>
      <c r="D1074" s="5" t="s">
        <v>104</v>
      </c>
      <c r="E1074" s="5" t="str">
        <f t="shared" si="52"/>
        <v>ACTISALUD-PISO 11-EDGAR NARVAEZ</v>
      </c>
      <c r="F1074" s="5"/>
      <c r="G1074" s="5"/>
    </row>
    <row r="1075" spans="1:7" ht="58.5" customHeight="1" x14ac:dyDescent="0.25">
      <c r="A1075" s="5" t="str">
        <f>"H0031297"</f>
        <v>H0031297</v>
      </c>
      <c r="B1075" s="5" t="str">
        <f>"MINILUNA CON MEDIDAS DE 1,26 MTS X 0,65 MTS"</f>
        <v>MINILUNA CON MEDIDAS DE 1,26 MTS X 0,65 MTS</v>
      </c>
      <c r="C1075" s="6">
        <v>120000</v>
      </c>
      <c r="D1075" s="5" t="s">
        <v>104</v>
      </c>
      <c r="E1075" s="5" t="str">
        <f t="shared" si="52"/>
        <v>ACTISALUD-PISO 11-EDGAR NARVAEZ</v>
      </c>
      <c r="F1075" s="5"/>
      <c r="G1075" s="5"/>
    </row>
    <row r="1076" spans="1:7" ht="58.5" customHeight="1" x14ac:dyDescent="0.25">
      <c r="A1076" s="5" t="str">
        <f>"H0031301"</f>
        <v>H0031301</v>
      </c>
      <c r="B1076" s="5" t="str">
        <f>"MINILUNA CON MEDIDAS DE 1,26 MTS X 0,65 MTS"</f>
        <v>MINILUNA CON MEDIDAS DE 1,26 MTS X 0,65 MTS</v>
      </c>
      <c r="C1076" s="6">
        <v>120000</v>
      </c>
      <c r="D1076" s="5" t="s">
        <v>104</v>
      </c>
      <c r="E1076" s="5" t="str">
        <f t="shared" si="52"/>
        <v>ACTISALUD-PISO 11-EDGAR NARVAEZ</v>
      </c>
      <c r="F1076" s="5"/>
      <c r="G1076" s="5"/>
    </row>
    <row r="1077" spans="1:7" ht="58.5" customHeight="1" x14ac:dyDescent="0.25">
      <c r="A1077" s="5" t="str">
        <f>"H0031305"</f>
        <v>H0031305</v>
      </c>
      <c r="B1077" s="5" t="str">
        <f>"PUFF GRANDE CON MEDIDAS DE 1,66 MTS X 1,26 MTS"</f>
        <v>PUFF GRANDE CON MEDIDAS DE 1,66 MTS X 1,26 MTS</v>
      </c>
      <c r="C1077" s="6">
        <v>290000</v>
      </c>
      <c r="D1077" s="5" t="s">
        <v>104</v>
      </c>
      <c r="E1077" s="5" t="str">
        <f t="shared" si="52"/>
        <v>ACTISALUD-PISO 11-EDGAR NARVAEZ</v>
      </c>
      <c r="F1077" s="5"/>
      <c r="G1077" s="5"/>
    </row>
    <row r="1078" spans="1:7" ht="58.5" customHeight="1" x14ac:dyDescent="0.25">
      <c r="A1078" s="5" t="str">
        <f>"H0031684"</f>
        <v>H0031684</v>
      </c>
      <c r="B1078" s="5" t="str">
        <f>"MESA (CARRO) DE CURACIONES"</f>
        <v>MESA (CARRO) DE CURACIONES</v>
      </c>
      <c r="C1078" s="6">
        <v>190400</v>
      </c>
      <c r="D1078" s="5" t="s">
        <v>156</v>
      </c>
      <c r="E1078" s="5" t="str">
        <f t="shared" si="52"/>
        <v>ACTISALUD-PISO 11-EDGAR NARVAEZ</v>
      </c>
      <c r="F1078" s="5"/>
      <c r="G1078" s="5"/>
    </row>
    <row r="1079" spans="1:7" ht="58.5" customHeight="1" x14ac:dyDescent="0.25">
      <c r="A1079" s="5" t="str">
        <f>"H0031938"</f>
        <v>H0031938</v>
      </c>
      <c r="B1079" s="5" t="str">
        <f>"BOMBA DE INFUSION"</f>
        <v>BOMBA DE INFUSION</v>
      </c>
      <c r="C1079" s="6">
        <v>1900000</v>
      </c>
      <c r="D1079" s="5" t="s">
        <v>107</v>
      </c>
      <c r="E1079" s="5" t="str">
        <f t="shared" si="52"/>
        <v>ACTISALUD-PISO 11-EDGAR NARVAEZ</v>
      </c>
      <c r="F1079" s="5"/>
      <c r="G1079" s="5"/>
    </row>
    <row r="1080" spans="1:7" ht="58.5" customHeight="1" x14ac:dyDescent="0.25">
      <c r="A1080" s="5" t="str">
        <f>"H0032867"</f>
        <v>H0032867</v>
      </c>
      <c r="B108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80" s="6">
        <v>5604900</v>
      </c>
      <c r="D1080" s="5" t="s">
        <v>116</v>
      </c>
      <c r="E1080" s="5" t="str">
        <f t="shared" si="52"/>
        <v>ACTISALUD-PISO 11-EDGAR NARVAEZ</v>
      </c>
      <c r="F1080" s="5"/>
      <c r="G1080" s="5"/>
    </row>
    <row r="1081" spans="1:7" ht="58.5" customHeight="1" x14ac:dyDescent="0.25">
      <c r="A1081" s="5" t="str">
        <f>"H0033038"</f>
        <v>H0033038</v>
      </c>
      <c r="B1081" s="5" t="str">
        <f>"MONITOR DE SIGNOS VITALES"</f>
        <v>MONITOR DE SIGNOS VITALES</v>
      </c>
      <c r="C1081" s="6">
        <v>9470000</v>
      </c>
      <c r="D1081" s="5" t="s">
        <v>119</v>
      </c>
      <c r="E1081" s="5" t="str">
        <f t="shared" si="52"/>
        <v>ACTISALUD-PISO 11-EDGAR NARVAEZ</v>
      </c>
      <c r="F1081" s="5"/>
      <c r="G1081" s="5"/>
    </row>
    <row r="1082" spans="1:7" ht="58.5" customHeight="1" x14ac:dyDescent="0.25">
      <c r="A1082" s="5" t="str">
        <f>"H0033228"</f>
        <v>H0033228</v>
      </c>
      <c r="B1082" s="5" t="str">
        <f t="shared" ref="B1082:B1087" si="53">"BOMBA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082" s="6">
        <v>2533333</v>
      </c>
      <c r="D1082" s="5" t="s">
        <v>157</v>
      </c>
      <c r="E1082" s="5" t="str">
        <f t="shared" ref="E1082:E1113" si="54">"ACTISALUD-PISO 11-EDGAR NARVAEZ"</f>
        <v>ACTISALUD-PISO 11-EDGAR NARVAEZ</v>
      </c>
      <c r="F1082" s="5"/>
      <c r="G1082" s="5"/>
    </row>
    <row r="1083" spans="1:7" ht="58.5" customHeight="1" x14ac:dyDescent="0.25">
      <c r="A1083" s="5" t="str">
        <f>"H0033585"</f>
        <v>H0033585</v>
      </c>
      <c r="B1083" s="5" t="str">
        <f t="shared" si="53"/>
        <v>BOMBA DE INFUSION. Apilables.5 modos. 01-1200 ml/h. 0.1 ml incr. Compatible con set de infusión genérico. anti-bolo. Detección de aire. Alarmas visuales audibles. Bitacora 1.000 reg. Batería de litio</v>
      </c>
      <c r="C1083" s="6">
        <v>2533333</v>
      </c>
      <c r="D1083" s="5" t="s">
        <v>120</v>
      </c>
      <c r="E1083" s="5" t="str">
        <f t="shared" si="54"/>
        <v>ACTISALUD-PISO 11-EDGAR NARVAEZ</v>
      </c>
      <c r="F1083" s="5"/>
      <c r="G1083" s="5"/>
    </row>
    <row r="1084" spans="1:7" ht="58.5" customHeight="1" x14ac:dyDescent="0.25">
      <c r="A1084" s="5" t="str">
        <f>"H0033623"</f>
        <v>H0033623</v>
      </c>
      <c r="B1084" s="5" t="str">
        <f t="shared" si="53"/>
        <v>BOMBA DE INFUSION. Apilables.5 modos. 01-1200 ml/h. 0.1 ml incr. Compatible con set de infusión genérico. anti-bolo. Detección de aire. Alarmas visuales audibles. Bitacora 1.000 reg. Batería de litio</v>
      </c>
      <c r="C1084" s="6">
        <v>2533333</v>
      </c>
      <c r="D1084" s="5" t="s">
        <v>120</v>
      </c>
      <c r="E1084" s="5" t="str">
        <f t="shared" si="54"/>
        <v>ACTISALUD-PISO 11-EDGAR NARVAEZ</v>
      </c>
      <c r="F1084" s="5"/>
      <c r="G1084" s="5"/>
    </row>
    <row r="1085" spans="1:7" ht="58.5" customHeight="1" x14ac:dyDescent="0.25">
      <c r="A1085" s="5" t="str">
        <f>"H0033625"</f>
        <v>H0033625</v>
      </c>
      <c r="B1085" s="5" t="str">
        <f t="shared" si="53"/>
        <v>BOMBA DE INFUSION. Apilables.5 modos. 01-1200 ml/h. 0.1 ml incr. Compatible con set de infusión genérico. anti-bolo. Detección de aire. Alarmas visuales audibles. Bitacora 1.000 reg. Batería de litio</v>
      </c>
      <c r="C1085" s="6">
        <v>2533333</v>
      </c>
      <c r="D1085" s="5" t="s">
        <v>120</v>
      </c>
      <c r="E1085" s="5" t="str">
        <f t="shared" si="54"/>
        <v>ACTISALUD-PISO 11-EDGAR NARVAEZ</v>
      </c>
      <c r="F1085" s="5"/>
      <c r="G1085" s="5"/>
    </row>
    <row r="1086" spans="1:7" ht="58.5" customHeight="1" x14ac:dyDescent="0.25">
      <c r="A1086" s="5" t="str">
        <f>"H0033788"</f>
        <v>H0033788</v>
      </c>
      <c r="B1086" s="5" t="str">
        <f t="shared" si="53"/>
        <v>BOMBA DE INFUSION. Apilables.5 modos. 01-1200 ml/h. 0.1 ml incr. Compatible con set de infusión genérico. anti-bolo. Detección de aire. Alarmas visuales audibles. Bitacora 1.000 reg. Batería de litio</v>
      </c>
      <c r="C1086" s="6">
        <v>2533333</v>
      </c>
      <c r="D1086" s="5" t="s">
        <v>120</v>
      </c>
      <c r="E1086" s="5" t="str">
        <f t="shared" si="54"/>
        <v>ACTISALUD-PISO 11-EDGAR NARVAEZ</v>
      </c>
      <c r="F1086" s="5"/>
      <c r="G1086" s="5"/>
    </row>
    <row r="1087" spans="1:7" ht="58.5" customHeight="1" x14ac:dyDescent="0.25">
      <c r="A1087" s="5" t="str">
        <f>"H0033809"</f>
        <v>H0033809</v>
      </c>
      <c r="B1087" s="5" t="str">
        <f t="shared" si="53"/>
        <v>BOMBA DE INFUSION. Apilables.5 modos. 01-1200 ml/h. 0.1 ml incr. Compatible con set de infusión genérico. anti-bolo. Detección de aire. Alarmas visuales audibles. Bitacora 1.000 reg. Batería de litio</v>
      </c>
      <c r="C1087" s="6">
        <v>2533333</v>
      </c>
      <c r="D1087" s="5" t="s">
        <v>120</v>
      </c>
      <c r="E1087" s="5" t="str">
        <f t="shared" si="54"/>
        <v>ACTISALUD-PISO 11-EDGAR NARVAEZ</v>
      </c>
      <c r="F1087" s="5"/>
      <c r="G1087" s="5"/>
    </row>
    <row r="1088" spans="1:7" ht="58.5" customHeight="1" x14ac:dyDescent="0.25">
      <c r="A1088" s="5" t="str">
        <f>"H0033893"</f>
        <v>H0033893</v>
      </c>
      <c r="B1088" s="5" t="str">
        <f>"BOMBA DE NUTRICION. 1 mL/h a 600 mL/h. 1 mL/h a 5 mL/h incr. ± 7% a 125 mL/h. Cumple 60601-2-24."</f>
        <v>BOMBA DE NUTRICION. 1 mL/h a 600 mL/h. 1 mL/h a 5 mL/h incr. ± 7% a 125 mL/h. Cumple 60601-2-24.</v>
      </c>
      <c r="C1088" s="6">
        <v>3066667</v>
      </c>
      <c r="D1088" s="5" t="s">
        <v>120</v>
      </c>
      <c r="E1088" s="5" t="str">
        <f t="shared" si="54"/>
        <v>ACTISALUD-PISO 11-EDGAR NARVAEZ</v>
      </c>
      <c r="F1088" s="5"/>
      <c r="G1088" s="5"/>
    </row>
    <row r="1089" spans="1:7" ht="58.5" customHeight="1" x14ac:dyDescent="0.25">
      <c r="A1089" s="5" t="str">
        <f>"H0035140"</f>
        <v>H0035140</v>
      </c>
      <c r="B1089" s="5" t="str">
        <f>"NEVERA DE 66 LTS"</f>
        <v>NEVERA DE 66 LTS</v>
      </c>
      <c r="C1089" s="6">
        <v>544999.93000000005</v>
      </c>
      <c r="D1089" s="5" t="s">
        <v>25</v>
      </c>
      <c r="E1089" s="5" t="str">
        <f t="shared" si="54"/>
        <v>ACTISALUD-PISO 11-EDGAR NARVAEZ</v>
      </c>
      <c r="F1089" s="5"/>
      <c r="G1089" s="5"/>
    </row>
    <row r="1090" spans="1:7" ht="58.5" customHeight="1" x14ac:dyDescent="0.25">
      <c r="A1090" s="5" t="str">
        <f>"H0035141"</f>
        <v>H0035141</v>
      </c>
      <c r="B1090" s="5" t="str">
        <f>"NEVERA DE 66 LTS"</f>
        <v>NEVERA DE 66 LTS</v>
      </c>
      <c r="C1090" s="6">
        <v>544999.71</v>
      </c>
      <c r="D1090" s="5" t="s">
        <v>25</v>
      </c>
      <c r="E1090" s="5" t="str">
        <f t="shared" si="54"/>
        <v>ACTISALUD-PISO 11-EDGAR NARVAEZ</v>
      </c>
      <c r="F1090" s="5"/>
      <c r="G1090" s="5"/>
    </row>
    <row r="1091" spans="1:7" ht="58.5" customHeight="1" x14ac:dyDescent="0.25">
      <c r="A1091" s="5" t="str">
        <f>"H0035168"</f>
        <v>H0035168</v>
      </c>
      <c r="B1091" s="5" t="str">
        <f>"COMPRESOR DE 15 TONELADAS MPDELO ZR190KC-TED-551 (3/400V)COPELAND"</f>
        <v>COMPRESOR DE 15 TONELADAS MPDELO ZR190KC-TED-551 (3/400V)COPELAND</v>
      </c>
      <c r="C1091" s="6">
        <v>22967000</v>
      </c>
      <c r="D1091" s="5" t="s">
        <v>158</v>
      </c>
      <c r="E1091" s="5" t="str">
        <f t="shared" si="54"/>
        <v>ACTISALUD-PISO 11-EDGAR NARVAEZ</v>
      </c>
      <c r="F1091" s="5"/>
      <c r="G1091" s="5"/>
    </row>
    <row r="1092" spans="1:7" ht="58.5" customHeight="1" x14ac:dyDescent="0.25">
      <c r="A1092" s="5" t="str">
        <f>"H0035341"</f>
        <v>H0035341</v>
      </c>
      <c r="B1092" s="5" t="s">
        <v>128</v>
      </c>
      <c r="C1092" s="6">
        <v>5462100</v>
      </c>
      <c r="D1092" s="5" t="s">
        <v>127</v>
      </c>
      <c r="E1092" s="5" t="str">
        <f t="shared" si="54"/>
        <v>ACTISALUD-PISO 11-EDGAR NARVAEZ</v>
      </c>
      <c r="F1092" s="5"/>
      <c r="G1092" s="5"/>
    </row>
    <row r="1093" spans="1:7" ht="58.5" customHeight="1" x14ac:dyDescent="0.25">
      <c r="A1093" s="5" t="str">
        <f>"H0035474"</f>
        <v>H0035474</v>
      </c>
      <c r="B1093" s="5" t="str">
        <f>"CARRO PORTA HISTORIAS CLINICAS"</f>
        <v>CARRO PORTA HISTORIAS CLINICAS</v>
      </c>
      <c r="C1093" s="6">
        <v>758875.01</v>
      </c>
      <c r="D1093" s="5" t="s">
        <v>159</v>
      </c>
      <c r="E1093" s="5" t="str">
        <f t="shared" si="54"/>
        <v>ACTISALUD-PISO 11-EDGAR NARVAEZ</v>
      </c>
      <c r="F1093" s="5"/>
      <c r="G1093" s="5"/>
    </row>
    <row r="1094" spans="1:7" ht="58.5" customHeight="1" x14ac:dyDescent="0.25">
      <c r="A1094" s="5" t="str">
        <f>"H0035803"</f>
        <v>H0035803</v>
      </c>
      <c r="B1094" s="5" t="str">
        <f>"SILLA GERENTE NIZA MEC. BASCULANTE CON BRAZOS."</f>
        <v>SILLA GERENTE NIZA MEC. BASCULANTE CON BRAZOS.</v>
      </c>
      <c r="C1094" s="6">
        <v>640002.24</v>
      </c>
      <c r="D1094" s="5" t="s">
        <v>47</v>
      </c>
      <c r="E1094" s="5" t="str">
        <f t="shared" si="54"/>
        <v>ACTISALUD-PISO 11-EDGAR NARVAEZ</v>
      </c>
      <c r="F1094" s="5"/>
      <c r="G1094" s="5"/>
    </row>
    <row r="1095" spans="1:7" ht="58.5" customHeight="1" x14ac:dyDescent="0.25">
      <c r="A1095" s="5" t="str">
        <f>"H0035804"</f>
        <v>H0035804</v>
      </c>
      <c r="B1095" s="5" t="str">
        <f>"SILLA GERENTE NIZA MEC. BASCULANTE CON BRAZOS."</f>
        <v>SILLA GERENTE NIZA MEC. BASCULANTE CON BRAZOS.</v>
      </c>
      <c r="C1095" s="6">
        <v>640002.24</v>
      </c>
      <c r="D1095" s="5" t="s">
        <v>47</v>
      </c>
      <c r="E1095" s="5" t="str">
        <f t="shared" si="54"/>
        <v>ACTISALUD-PISO 11-EDGAR NARVAEZ</v>
      </c>
      <c r="F1095" s="5"/>
      <c r="G1095" s="5"/>
    </row>
    <row r="1096" spans="1:7" ht="58.5" customHeight="1" x14ac:dyDescent="0.25">
      <c r="A1096" s="5" t="str">
        <f>"H0035809"</f>
        <v>H0035809</v>
      </c>
      <c r="B1096" s="5" t="str">
        <f>"SILLA GERENTE NIZA MEC. BASCULANTE CON BRAZOS."</f>
        <v>SILLA GERENTE NIZA MEC. BASCULANTE CON BRAZOS.</v>
      </c>
      <c r="C1096" s="6">
        <v>640002.24</v>
      </c>
      <c r="D1096" s="5" t="s">
        <v>47</v>
      </c>
      <c r="E1096" s="5" t="str">
        <f t="shared" si="54"/>
        <v>ACTISALUD-PISO 11-EDGAR NARVAEZ</v>
      </c>
      <c r="F1096" s="5"/>
      <c r="G1096" s="5"/>
    </row>
    <row r="1097" spans="1:7" ht="58.5" customHeight="1" x14ac:dyDescent="0.25">
      <c r="A1097" s="5" t="str">
        <f>"H0037138"</f>
        <v>H0037138</v>
      </c>
      <c r="B1097" s="5" t="str">
        <f>"TALLIMETRO CAPACIDAD 20-205 CM (DONACION)"</f>
        <v>TALLIMETRO CAPACIDAD 20-205 CM (DONACION)</v>
      </c>
      <c r="C1097" s="6">
        <v>1254705.99</v>
      </c>
      <c r="D1097" s="5" t="s">
        <v>136</v>
      </c>
      <c r="E1097" s="5" t="str">
        <f t="shared" si="54"/>
        <v>ACTISALUD-PISO 11-EDGAR NARVAEZ</v>
      </c>
      <c r="F1097" s="5"/>
      <c r="G1097" s="5"/>
    </row>
    <row r="1098" spans="1:7" ht="58.5" customHeight="1" x14ac:dyDescent="0.25">
      <c r="A1098" s="5" t="str">
        <f>"H0037205"</f>
        <v>H0037205</v>
      </c>
      <c r="B1098" s="5" t="str">
        <f>"BASCULA: Capacidad: 200 kg, División: 100 g &lt; 150 kg &gt; 200 g, Dimensiones (AxAxP):321 x 61 x 362 mm, Peso: 4,1 kg"</f>
        <v>BASCULA: Capacidad: 200 kg, División: 100 g &lt; 150 kg &gt; 200 g, Dimensiones (AxAxP):321 x 61 x 362 mm, Peso: 4,1 kg</v>
      </c>
      <c r="C1098" s="6">
        <v>3588386.01</v>
      </c>
      <c r="D1098" s="5" t="s">
        <v>160</v>
      </c>
      <c r="E1098" s="5" t="str">
        <f t="shared" si="54"/>
        <v>ACTISALUD-PISO 11-EDGAR NARVAEZ</v>
      </c>
      <c r="F1098" s="5"/>
      <c r="G1098" s="5"/>
    </row>
    <row r="1099" spans="1:7" ht="58.5" customHeight="1" x14ac:dyDescent="0.25">
      <c r="A1099" s="5" t="str">
        <f>"H0037537"</f>
        <v>H0037537</v>
      </c>
      <c r="B1099" s="5" t="str">
        <f>"VENTILADOR DE PEDESTAL"</f>
        <v>VENTILADOR DE PEDESTAL</v>
      </c>
      <c r="C1099" s="6">
        <v>305000.55</v>
      </c>
      <c r="D1099" s="5" t="s">
        <v>140</v>
      </c>
      <c r="E1099" s="5" t="str">
        <f t="shared" si="54"/>
        <v>ACTISALUD-PISO 11-EDGAR NARVAEZ</v>
      </c>
      <c r="F1099" s="5"/>
      <c r="G1099" s="5"/>
    </row>
    <row r="1100" spans="1:7" ht="58.5" customHeight="1" x14ac:dyDescent="0.25">
      <c r="A1100" s="5" t="str">
        <f>"H0037698"</f>
        <v>H0037698</v>
      </c>
      <c r="B1100" s="5" t="str">
        <f>"SILLA GERENTE NIZA MEC. BASCULANTE CON BRAZOS."</f>
        <v>SILLA GERENTE NIZA MEC. BASCULANTE CON BRAZOS.</v>
      </c>
      <c r="C1100" s="6">
        <v>710000.01</v>
      </c>
      <c r="D1100" s="5" t="s">
        <v>30</v>
      </c>
      <c r="E1100" s="5" t="str">
        <f t="shared" si="54"/>
        <v>ACTISALUD-PISO 11-EDGAR NARVAEZ</v>
      </c>
      <c r="F1100" s="5"/>
      <c r="G1100" s="5"/>
    </row>
    <row r="1101" spans="1:7" ht="58.5" customHeight="1" x14ac:dyDescent="0.25">
      <c r="A1101" s="5" t="str">
        <f>"H0038297"</f>
        <v>H0038297</v>
      </c>
      <c r="B1101" s="5" t="str">
        <f t="shared" ref="B1101:B1111" si="55">"UNIDAD DE LLAMADO DE ENFERMERIA PARA BAÑO CON CORDON TIRADOR. RESISTENTE A SALPICADURAS DE AGUA Y LUZ INDICADORA DE PULSACIÓN"</f>
        <v>UNIDAD DE LLAMADO DE ENFERMERIA PARA BAÑO CON CORDON TIRADOR. RESISTENTE A SALPICADURAS DE AGUA Y LUZ INDICADORA DE PULSACIÓN</v>
      </c>
      <c r="C1101" s="6">
        <v>529400</v>
      </c>
      <c r="D1101" s="5" t="s">
        <v>143</v>
      </c>
      <c r="E1101" s="5" t="str">
        <f t="shared" si="54"/>
        <v>ACTISALUD-PISO 11-EDGAR NARVAEZ</v>
      </c>
      <c r="F1101" s="5"/>
      <c r="G1101" s="5"/>
    </row>
    <row r="1102" spans="1:7" ht="58.5" customHeight="1" x14ac:dyDescent="0.25">
      <c r="A1102" s="5" t="str">
        <f>"H0038298"</f>
        <v>H0038298</v>
      </c>
      <c r="B1102" s="5" t="str">
        <f t="shared" si="55"/>
        <v>UNIDAD DE LLAMADO DE ENFERMERIA PARA BAÑO CON CORDON TIRADOR. RESISTENTE A SALPICADURAS DE AGUA Y LUZ INDICADORA DE PULSACIÓN</v>
      </c>
      <c r="C1102" s="6">
        <v>529400</v>
      </c>
      <c r="D1102" s="5" t="s">
        <v>143</v>
      </c>
      <c r="E1102" s="5" t="str">
        <f t="shared" si="54"/>
        <v>ACTISALUD-PISO 11-EDGAR NARVAEZ</v>
      </c>
      <c r="F1102" s="5"/>
      <c r="G1102" s="5"/>
    </row>
    <row r="1103" spans="1:7" ht="58.5" customHeight="1" x14ac:dyDescent="0.25">
      <c r="A1103" s="5" t="str">
        <f>"H0038299"</f>
        <v>H0038299</v>
      </c>
      <c r="B1103" s="5" t="str">
        <f t="shared" si="55"/>
        <v>UNIDAD DE LLAMADO DE ENFERMERIA PARA BAÑO CON CORDON TIRADOR. RESISTENTE A SALPICADURAS DE AGUA Y LUZ INDICADORA DE PULSACIÓN</v>
      </c>
      <c r="C1103" s="6">
        <v>529400</v>
      </c>
      <c r="D1103" s="5" t="s">
        <v>143</v>
      </c>
      <c r="E1103" s="5" t="str">
        <f t="shared" si="54"/>
        <v>ACTISALUD-PISO 11-EDGAR NARVAEZ</v>
      </c>
      <c r="F1103" s="5"/>
      <c r="G1103" s="5"/>
    </row>
    <row r="1104" spans="1:7" ht="58.5" customHeight="1" x14ac:dyDescent="0.25">
      <c r="A1104" s="5" t="str">
        <f>"H0038300"</f>
        <v>H0038300</v>
      </c>
      <c r="B1104" s="5" t="str">
        <f t="shared" si="55"/>
        <v>UNIDAD DE LLAMADO DE ENFERMERIA PARA BAÑO CON CORDON TIRADOR. RESISTENTE A SALPICADURAS DE AGUA Y LUZ INDICADORA DE PULSACIÓN</v>
      </c>
      <c r="C1104" s="6">
        <v>529400</v>
      </c>
      <c r="D1104" s="5" t="s">
        <v>143</v>
      </c>
      <c r="E1104" s="5" t="str">
        <f t="shared" si="54"/>
        <v>ACTISALUD-PISO 11-EDGAR NARVAEZ</v>
      </c>
      <c r="F1104" s="5"/>
      <c r="G1104" s="5"/>
    </row>
    <row r="1105" spans="1:7" ht="58.5" customHeight="1" x14ac:dyDescent="0.25">
      <c r="A1105" s="5" t="str">
        <f>"H0038301"</f>
        <v>H0038301</v>
      </c>
      <c r="B1105" s="5" t="str">
        <f t="shared" si="55"/>
        <v>UNIDAD DE LLAMADO DE ENFERMERIA PARA BAÑO CON CORDON TIRADOR. RESISTENTE A SALPICADURAS DE AGUA Y LUZ INDICADORA DE PULSACIÓN</v>
      </c>
      <c r="C1105" s="6">
        <v>529400</v>
      </c>
      <c r="D1105" s="5" t="s">
        <v>143</v>
      </c>
      <c r="E1105" s="5" t="str">
        <f t="shared" si="54"/>
        <v>ACTISALUD-PISO 11-EDGAR NARVAEZ</v>
      </c>
      <c r="F1105" s="5"/>
      <c r="G1105" s="5"/>
    </row>
    <row r="1106" spans="1:7" ht="58.5" customHeight="1" x14ac:dyDescent="0.25">
      <c r="A1106" s="5" t="str">
        <f>"H0038302"</f>
        <v>H0038302</v>
      </c>
      <c r="B1106" s="5" t="str">
        <f t="shared" si="55"/>
        <v>UNIDAD DE LLAMADO DE ENFERMERIA PARA BAÑO CON CORDON TIRADOR. RESISTENTE A SALPICADURAS DE AGUA Y LUZ INDICADORA DE PULSACIÓN</v>
      </c>
      <c r="C1106" s="6">
        <v>529400</v>
      </c>
      <c r="D1106" s="5" t="s">
        <v>143</v>
      </c>
      <c r="E1106" s="5" t="str">
        <f t="shared" si="54"/>
        <v>ACTISALUD-PISO 11-EDGAR NARVAEZ</v>
      </c>
      <c r="F1106" s="5"/>
      <c r="G1106" s="5"/>
    </row>
    <row r="1107" spans="1:7" ht="58.5" customHeight="1" x14ac:dyDescent="0.25">
      <c r="A1107" s="5" t="str">
        <f>"H0038303"</f>
        <v>H0038303</v>
      </c>
      <c r="B1107" s="5" t="str">
        <f t="shared" si="55"/>
        <v>UNIDAD DE LLAMADO DE ENFERMERIA PARA BAÑO CON CORDON TIRADOR. RESISTENTE A SALPICADURAS DE AGUA Y LUZ INDICADORA DE PULSACIÓN</v>
      </c>
      <c r="C1107" s="6">
        <v>529400</v>
      </c>
      <c r="D1107" s="5" t="s">
        <v>143</v>
      </c>
      <c r="E1107" s="5" t="str">
        <f t="shared" si="54"/>
        <v>ACTISALUD-PISO 11-EDGAR NARVAEZ</v>
      </c>
      <c r="F1107" s="5"/>
      <c r="G1107" s="5"/>
    </row>
    <row r="1108" spans="1:7" ht="58.5" customHeight="1" x14ac:dyDescent="0.25">
      <c r="A1108" s="5" t="str">
        <f>"H0038304"</f>
        <v>H0038304</v>
      </c>
      <c r="B1108" s="5" t="str">
        <f t="shared" si="55"/>
        <v>UNIDAD DE LLAMADO DE ENFERMERIA PARA BAÑO CON CORDON TIRADOR. RESISTENTE A SALPICADURAS DE AGUA Y LUZ INDICADORA DE PULSACIÓN</v>
      </c>
      <c r="C1108" s="6">
        <v>529400</v>
      </c>
      <c r="D1108" s="5" t="s">
        <v>143</v>
      </c>
      <c r="E1108" s="5" t="str">
        <f t="shared" si="54"/>
        <v>ACTISALUD-PISO 11-EDGAR NARVAEZ</v>
      </c>
      <c r="F1108" s="5"/>
      <c r="G1108" s="5"/>
    </row>
    <row r="1109" spans="1:7" ht="58.5" customHeight="1" x14ac:dyDescent="0.25">
      <c r="A1109" s="5" t="str">
        <f>"H0038305"</f>
        <v>H0038305</v>
      </c>
      <c r="B1109" s="5" t="str">
        <f t="shared" si="55"/>
        <v>UNIDAD DE LLAMADO DE ENFERMERIA PARA BAÑO CON CORDON TIRADOR. RESISTENTE A SALPICADURAS DE AGUA Y LUZ INDICADORA DE PULSACIÓN</v>
      </c>
      <c r="C1109" s="6">
        <v>529400</v>
      </c>
      <c r="D1109" s="5" t="s">
        <v>143</v>
      </c>
      <c r="E1109" s="5" t="str">
        <f t="shared" si="54"/>
        <v>ACTISALUD-PISO 11-EDGAR NARVAEZ</v>
      </c>
      <c r="F1109" s="5"/>
      <c r="G1109" s="5"/>
    </row>
    <row r="1110" spans="1:7" ht="58.5" customHeight="1" x14ac:dyDescent="0.25">
      <c r="A1110" s="5" t="str">
        <f>"H0038306"</f>
        <v>H0038306</v>
      </c>
      <c r="B1110" s="5" t="str">
        <f t="shared" si="55"/>
        <v>UNIDAD DE LLAMADO DE ENFERMERIA PARA BAÑO CON CORDON TIRADOR. RESISTENTE A SALPICADURAS DE AGUA Y LUZ INDICADORA DE PULSACIÓN</v>
      </c>
      <c r="C1110" s="6">
        <v>529400</v>
      </c>
      <c r="D1110" s="5" t="s">
        <v>143</v>
      </c>
      <c r="E1110" s="5" t="str">
        <f t="shared" si="54"/>
        <v>ACTISALUD-PISO 11-EDGAR NARVAEZ</v>
      </c>
      <c r="F1110" s="5"/>
      <c r="G1110" s="5"/>
    </row>
    <row r="1111" spans="1:7" ht="58.5" customHeight="1" x14ac:dyDescent="0.25">
      <c r="A1111" s="5" t="str">
        <f>"H0038307"</f>
        <v>H0038307</v>
      </c>
      <c r="B1111" s="5" t="str">
        <f t="shared" si="55"/>
        <v>UNIDAD DE LLAMADO DE ENFERMERIA PARA BAÑO CON CORDON TIRADOR. RESISTENTE A SALPICADURAS DE AGUA Y LUZ INDICADORA DE PULSACIÓN</v>
      </c>
      <c r="C1111" s="6">
        <v>529400</v>
      </c>
      <c r="D1111" s="5" t="s">
        <v>143</v>
      </c>
      <c r="E1111" s="5" t="str">
        <f t="shared" si="54"/>
        <v>ACTISALUD-PISO 11-EDGAR NARVAEZ</v>
      </c>
      <c r="F1111" s="5"/>
      <c r="G1111" s="5"/>
    </row>
    <row r="1112" spans="1:7" ht="58.5" customHeight="1" x14ac:dyDescent="0.25">
      <c r="A1112" s="5" t="str">
        <f>"H0038540"</f>
        <v>H0038540</v>
      </c>
      <c r="B1112" s="5" t="str">
        <f t="shared" ref="B1112:B1127" si="56">"UNIDAD DE LLAMADO DE ENFERMERIA PARA CAMA O BAÑO"</f>
        <v>UNIDAD DE LLAMADO DE ENFERMERIA PARA CAMA O BAÑO</v>
      </c>
      <c r="C1112" s="6">
        <v>532900</v>
      </c>
      <c r="D1112" s="5" t="s">
        <v>143</v>
      </c>
      <c r="E1112" s="5" t="str">
        <f t="shared" si="54"/>
        <v>ACTISALUD-PISO 11-EDGAR NARVAEZ</v>
      </c>
      <c r="F1112" s="5"/>
      <c r="G1112" s="5"/>
    </row>
    <row r="1113" spans="1:7" ht="58.5" customHeight="1" x14ac:dyDescent="0.25">
      <c r="A1113" s="5" t="str">
        <f>"H0038541"</f>
        <v>H0038541</v>
      </c>
      <c r="B1113" s="5" t="str">
        <f t="shared" si="56"/>
        <v>UNIDAD DE LLAMADO DE ENFERMERIA PARA CAMA O BAÑO</v>
      </c>
      <c r="C1113" s="6">
        <v>532900</v>
      </c>
      <c r="D1113" s="5" t="s">
        <v>143</v>
      </c>
      <c r="E1113" s="5" t="str">
        <f t="shared" si="54"/>
        <v>ACTISALUD-PISO 11-EDGAR NARVAEZ</v>
      </c>
      <c r="F1113" s="5"/>
      <c r="G1113" s="5"/>
    </row>
    <row r="1114" spans="1:7" ht="58.5" customHeight="1" x14ac:dyDescent="0.25">
      <c r="A1114" s="5" t="str">
        <f>"H0038542"</f>
        <v>H0038542</v>
      </c>
      <c r="B1114" s="5" t="str">
        <f t="shared" si="56"/>
        <v>UNIDAD DE LLAMADO DE ENFERMERIA PARA CAMA O BAÑO</v>
      </c>
      <c r="C1114" s="6">
        <v>532900</v>
      </c>
      <c r="D1114" s="5" t="s">
        <v>143</v>
      </c>
      <c r="E1114" s="5" t="str">
        <f t="shared" ref="E1114:E1135" si="57">"ACTISALUD-PISO 11-EDGAR NARVAEZ"</f>
        <v>ACTISALUD-PISO 11-EDGAR NARVAEZ</v>
      </c>
      <c r="F1114" s="5"/>
      <c r="G1114" s="5"/>
    </row>
    <row r="1115" spans="1:7" ht="58.5" customHeight="1" x14ac:dyDescent="0.25">
      <c r="A1115" s="5" t="str">
        <f>"H0038543"</f>
        <v>H0038543</v>
      </c>
      <c r="B1115" s="5" t="str">
        <f t="shared" si="56"/>
        <v>UNIDAD DE LLAMADO DE ENFERMERIA PARA CAMA O BAÑO</v>
      </c>
      <c r="C1115" s="6">
        <v>532900</v>
      </c>
      <c r="D1115" s="5" t="s">
        <v>143</v>
      </c>
      <c r="E1115" s="5" t="str">
        <f t="shared" si="57"/>
        <v>ACTISALUD-PISO 11-EDGAR NARVAEZ</v>
      </c>
      <c r="F1115" s="5"/>
      <c r="G1115" s="5"/>
    </row>
    <row r="1116" spans="1:7" ht="58.5" customHeight="1" x14ac:dyDescent="0.25">
      <c r="A1116" s="5" t="str">
        <f>"H0038544"</f>
        <v>H0038544</v>
      </c>
      <c r="B1116" s="5" t="str">
        <f t="shared" si="56"/>
        <v>UNIDAD DE LLAMADO DE ENFERMERIA PARA CAMA O BAÑO</v>
      </c>
      <c r="C1116" s="6">
        <v>532900</v>
      </c>
      <c r="D1116" s="5" t="s">
        <v>143</v>
      </c>
      <c r="E1116" s="5" t="str">
        <f t="shared" si="57"/>
        <v>ACTISALUD-PISO 11-EDGAR NARVAEZ</v>
      </c>
      <c r="F1116" s="5"/>
      <c r="G1116" s="5"/>
    </row>
    <row r="1117" spans="1:7" ht="58.5" customHeight="1" x14ac:dyDescent="0.25">
      <c r="A1117" s="5" t="str">
        <f>"H0038545"</f>
        <v>H0038545</v>
      </c>
      <c r="B1117" s="5" t="str">
        <f t="shared" si="56"/>
        <v>UNIDAD DE LLAMADO DE ENFERMERIA PARA CAMA O BAÑO</v>
      </c>
      <c r="C1117" s="6">
        <v>532900</v>
      </c>
      <c r="D1117" s="5" t="s">
        <v>143</v>
      </c>
      <c r="E1117" s="5" t="str">
        <f t="shared" si="57"/>
        <v>ACTISALUD-PISO 11-EDGAR NARVAEZ</v>
      </c>
      <c r="F1117" s="5"/>
      <c r="G1117" s="5"/>
    </row>
    <row r="1118" spans="1:7" ht="58.5" customHeight="1" x14ac:dyDescent="0.25">
      <c r="A1118" s="5" t="str">
        <f>"H0038546"</f>
        <v>H0038546</v>
      </c>
      <c r="B1118" s="5" t="str">
        <f t="shared" si="56"/>
        <v>UNIDAD DE LLAMADO DE ENFERMERIA PARA CAMA O BAÑO</v>
      </c>
      <c r="C1118" s="6">
        <v>532900</v>
      </c>
      <c r="D1118" s="5" t="s">
        <v>143</v>
      </c>
      <c r="E1118" s="5" t="str">
        <f t="shared" si="57"/>
        <v>ACTISALUD-PISO 11-EDGAR NARVAEZ</v>
      </c>
      <c r="F1118" s="5"/>
      <c r="G1118" s="5"/>
    </row>
    <row r="1119" spans="1:7" ht="58.5" customHeight="1" x14ac:dyDescent="0.25">
      <c r="A1119" s="5" t="str">
        <f>"H0038547"</f>
        <v>H0038547</v>
      </c>
      <c r="B1119" s="5" t="str">
        <f t="shared" si="56"/>
        <v>UNIDAD DE LLAMADO DE ENFERMERIA PARA CAMA O BAÑO</v>
      </c>
      <c r="C1119" s="6">
        <v>532900</v>
      </c>
      <c r="D1119" s="5" t="s">
        <v>143</v>
      </c>
      <c r="E1119" s="5" t="str">
        <f t="shared" si="57"/>
        <v>ACTISALUD-PISO 11-EDGAR NARVAEZ</v>
      </c>
      <c r="F1119" s="5"/>
      <c r="G1119" s="5"/>
    </row>
    <row r="1120" spans="1:7" ht="58.5" customHeight="1" x14ac:dyDescent="0.25">
      <c r="A1120" s="5" t="str">
        <f>"H0038548"</f>
        <v>H0038548</v>
      </c>
      <c r="B1120" s="5" t="str">
        <f t="shared" si="56"/>
        <v>UNIDAD DE LLAMADO DE ENFERMERIA PARA CAMA O BAÑO</v>
      </c>
      <c r="C1120" s="6">
        <v>532900</v>
      </c>
      <c r="D1120" s="5" t="s">
        <v>143</v>
      </c>
      <c r="E1120" s="5" t="str">
        <f t="shared" si="57"/>
        <v>ACTISALUD-PISO 11-EDGAR NARVAEZ</v>
      </c>
      <c r="F1120" s="5"/>
      <c r="G1120" s="5"/>
    </row>
    <row r="1121" spans="1:7" ht="58.5" customHeight="1" x14ac:dyDescent="0.25">
      <c r="A1121" s="5" t="str">
        <f>"H0038549"</f>
        <v>H0038549</v>
      </c>
      <c r="B1121" s="5" t="str">
        <f t="shared" si="56"/>
        <v>UNIDAD DE LLAMADO DE ENFERMERIA PARA CAMA O BAÑO</v>
      </c>
      <c r="C1121" s="6">
        <v>532900</v>
      </c>
      <c r="D1121" s="5" t="s">
        <v>143</v>
      </c>
      <c r="E1121" s="5" t="str">
        <f t="shared" si="57"/>
        <v>ACTISALUD-PISO 11-EDGAR NARVAEZ</v>
      </c>
      <c r="F1121" s="5"/>
      <c r="G1121" s="5"/>
    </row>
    <row r="1122" spans="1:7" ht="58.5" customHeight="1" x14ac:dyDescent="0.25">
      <c r="A1122" s="5" t="str">
        <f>"H0038550"</f>
        <v>H0038550</v>
      </c>
      <c r="B1122" s="5" t="str">
        <f t="shared" si="56"/>
        <v>UNIDAD DE LLAMADO DE ENFERMERIA PARA CAMA O BAÑO</v>
      </c>
      <c r="C1122" s="6">
        <v>532900</v>
      </c>
      <c r="D1122" s="5" t="s">
        <v>143</v>
      </c>
      <c r="E1122" s="5" t="str">
        <f t="shared" si="57"/>
        <v>ACTISALUD-PISO 11-EDGAR NARVAEZ</v>
      </c>
      <c r="F1122" s="5"/>
      <c r="G1122" s="5"/>
    </row>
    <row r="1123" spans="1:7" ht="58.5" customHeight="1" x14ac:dyDescent="0.25">
      <c r="A1123" s="5" t="str">
        <f>"H0038551"</f>
        <v>H0038551</v>
      </c>
      <c r="B1123" s="5" t="str">
        <f t="shared" si="56"/>
        <v>UNIDAD DE LLAMADO DE ENFERMERIA PARA CAMA O BAÑO</v>
      </c>
      <c r="C1123" s="6">
        <v>532900</v>
      </c>
      <c r="D1123" s="5" t="s">
        <v>143</v>
      </c>
      <c r="E1123" s="5" t="str">
        <f t="shared" si="57"/>
        <v>ACTISALUD-PISO 11-EDGAR NARVAEZ</v>
      </c>
      <c r="F1123" s="5"/>
      <c r="G1123" s="5"/>
    </row>
    <row r="1124" spans="1:7" ht="58.5" customHeight="1" x14ac:dyDescent="0.25">
      <c r="A1124" s="5" t="str">
        <f>"H0038552"</f>
        <v>H0038552</v>
      </c>
      <c r="B1124" s="5" t="str">
        <f t="shared" si="56"/>
        <v>UNIDAD DE LLAMADO DE ENFERMERIA PARA CAMA O BAÑO</v>
      </c>
      <c r="C1124" s="6">
        <v>532900</v>
      </c>
      <c r="D1124" s="5" t="s">
        <v>143</v>
      </c>
      <c r="E1124" s="5" t="str">
        <f t="shared" si="57"/>
        <v>ACTISALUD-PISO 11-EDGAR NARVAEZ</v>
      </c>
      <c r="F1124" s="5"/>
      <c r="G1124" s="5"/>
    </row>
    <row r="1125" spans="1:7" ht="58.5" customHeight="1" x14ac:dyDescent="0.25">
      <c r="A1125" s="5" t="str">
        <f>"H0038553"</f>
        <v>H0038553</v>
      </c>
      <c r="B1125" s="5" t="str">
        <f t="shared" si="56"/>
        <v>UNIDAD DE LLAMADO DE ENFERMERIA PARA CAMA O BAÑO</v>
      </c>
      <c r="C1125" s="6">
        <v>532900</v>
      </c>
      <c r="D1125" s="5" t="s">
        <v>143</v>
      </c>
      <c r="E1125" s="5" t="str">
        <f t="shared" si="57"/>
        <v>ACTISALUD-PISO 11-EDGAR NARVAEZ</v>
      </c>
      <c r="F1125" s="5"/>
      <c r="G1125" s="5"/>
    </row>
    <row r="1126" spans="1:7" ht="58.5" customHeight="1" x14ac:dyDescent="0.25">
      <c r="A1126" s="5" t="str">
        <f>"H0038554"</f>
        <v>H0038554</v>
      </c>
      <c r="B1126" s="5" t="str">
        <f t="shared" si="56"/>
        <v>UNIDAD DE LLAMADO DE ENFERMERIA PARA CAMA O BAÑO</v>
      </c>
      <c r="C1126" s="6">
        <v>532900</v>
      </c>
      <c r="D1126" s="5" t="s">
        <v>143</v>
      </c>
      <c r="E1126" s="5" t="str">
        <f t="shared" si="57"/>
        <v>ACTISALUD-PISO 11-EDGAR NARVAEZ</v>
      </c>
      <c r="F1126" s="5"/>
      <c r="G1126" s="5"/>
    </row>
    <row r="1127" spans="1:7" ht="58.5" customHeight="1" x14ac:dyDescent="0.25">
      <c r="A1127" s="5" t="str">
        <f>"H0038555"</f>
        <v>H0038555</v>
      </c>
      <c r="B1127" s="5" t="str">
        <f t="shared" si="56"/>
        <v>UNIDAD DE LLAMADO DE ENFERMERIA PARA CAMA O BAÑO</v>
      </c>
      <c r="C1127" s="6">
        <v>532900</v>
      </c>
      <c r="D1127" s="5" t="s">
        <v>143</v>
      </c>
      <c r="E1127" s="5" t="str">
        <f t="shared" si="57"/>
        <v>ACTISALUD-PISO 11-EDGAR NARVAEZ</v>
      </c>
      <c r="F1127" s="5"/>
      <c r="G1127" s="5"/>
    </row>
    <row r="1128" spans="1:7" ht="58.5" customHeight="1" x14ac:dyDescent="0.25">
      <c r="A1128" s="5" t="str">
        <f>"H0038625"</f>
        <v>H0038625</v>
      </c>
      <c r="B1128" s="5" t="str">
        <f t="shared" ref="B1128:B1134" si="58">"LAMPARA DE PASILLO DE LLAMADO DE ENFERMERIA"</f>
        <v>LAMPARA DE PASILLO DE LLAMADO DE ENFERMERIA</v>
      </c>
      <c r="C1128" s="6">
        <v>854790</v>
      </c>
      <c r="D1128" s="5" t="s">
        <v>143</v>
      </c>
      <c r="E1128" s="5" t="str">
        <f t="shared" si="57"/>
        <v>ACTISALUD-PISO 11-EDGAR NARVAEZ</v>
      </c>
      <c r="F1128" s="5"/>
      <c r="G1128" s="5"/>
    </row>
    <row r="1129" spans="1:7" ht="58.5" customHeight="1" x14ac:dyDescent="0.25">
      <c r="A1129" s="5" t="str">
        <f>"H0038626"</f>
        <v>H0038626</v>
      </c>
      <c r="B1129" s="5" t="str">
        <f t="shared" si="58"/>
        <v>LAMPARA DE PASILLO DE LLAMADO DE ENFERMERIA</v>
      </c>
      <c r="C1129" s="6">
        <v>854790</v>
      </c>
      <c r="D1129" s="5" t="s">
        <v>143</v>
      </c>
      <c r="E1129" s="5" t="str">
        <f t="shared" si="57"/>
        <v>ACTISALUD-PISO 11-EDGAR NARVAEZ</v>
      </c>
      <c r="F1129" s="5"/>
      <c r="G1129" s="5"/>
    </row>
    <row r="1130" spans="1:7" ht="58.5" customHeight="1" x14ac:dyDescent="0.25">
      <c r="A1130" s="5" t="str">
        <f>"H0038627"</f>
        <v>H0038627</v>
      </c>
      <c r="B1130" s="5" t="str">
        <f t="shared" si="58"/>
        <v>LAMPARA DE PASILLO DE LLAMADO DE ENFERMERIA</v>
      </c>
      <c r="C1130" s="6">
        <v>854790</v>
      </c>
      <c r="D1130" s="5" t="s">
        <v>143</v>
      </c>
      <c r="E1130" s="5" t="str">
        <f t="shared" si="57"/>
        <v>ACTISALUD-PISO 11-EDGAR NARVAEZ</v>
      </c>
      <c r="F1130" s="5"/>
      <c r="G1130" s="5"/>
    </row>
    <row r="1131" spans="1:7" ht="58.5" customHeight="1" x14ac:dyDescent="0.25">
      <c r="A1131" s="5" t="str">
        <f>"H0038628"</f>
        <v>H0038628</v>
      </c>
      <c r="B1131" s="5" t="str">
        <f t="shared" si="58"/>
        <v>LAMPARA DE PASILLO DE LLAMADO DE ENFERMERIA</v>
      </c>
      <c r="C1131" s="6">
        <v>854790</v>
      </c>
      <c r="D1131" s="5" t="s">
        <v>143</v>
      </c>
      <c r="E1131" s="5" t="str">
        <f t="shared" si="57"/>
        <v>ACTISALUD-PISO 11-EDGAR NARVAEZ</v>
      </c>
      <c r="F1131" s="5"/>
      <c r="G1131" s="5"/>
    </row>
    <row r="1132" spans="1:7" ht="58.5" customHeight="1" x14ac:dyDescent="0.25">
      <c r="A1132" s="5" t="str">
        <f>"H0038629"</f>
        <v>H0038629</v>
      </c>
      <c r="B1132" s="5" t="str">
        <f t="shared" si="58"/>
        <v>LAMPARA DE PASILLO DE LLAMADO DE ENFERMERIA</v>
      </c>
      <c r="C1132" s="6">
        <v>854790</v>
      </c>
      <c r="D1132" s="5" t="s">
        <v>143</v>
      </c>
      <c r="E1132" s="5" t="str">
        <f t="shared" si="57"/>
        <v>ACTISALUD-PISO 11-EDGAR NARVAEZ</v>
      </c>
      <c r="F1132" s="5"/>
      <c r="G1132" s="5"/>
    </row>
    <row r="1133" spans="1:7" ht="58.5" customHeight="1" x14ac:dyDescent="0.25">
      <c r="A1133" s="5" t="str">
        <f>"H0038630"</f>
        <v>H0038630</v>
      </c>
      <c r="B1133" s="5" t="str">
        <f t="shared" si="58"/>
        <v>LAMPARA DE PASILLO DE LLAMADO DE ENFERMERIA</v>
      </c>
      <c r="C1133" s="6">
        <v>854790</v>
      </c>
      <c r="D1133" s="5" t="s">
        <v>143</v>
      </c>
      <c r="E1133" s="5" t="str">
        <f t="shared" si="57"/>
        <v>ACTISALUD-PISO 11-EDGAR NARVAEZ</v>
      </c>
      <c r="F1133" s="5"/>
      <c r="G1133" s="5"/>
    </row>
    <row r="1134" spans="1:7" ht="58.5" customHeight="1" x14ac:dyDescent="0.25">
      <c r="A1134" s="5" t="str">
        <f>"H0038631"</f>
        <v>H0038631</v>
      </c>
      <c r="B1134" s="5" t="str">
        <f t="shared" si="58"/>
        <v>LAMPARA DE PASILLO DE LLAMADO DE ENFERMERIA</v>
      </c>
      <c r="C1134" s="6">
        <v>854790</v>
      </c>
      <c r="D1134" s="5" t="s">
        <v>143</v>
      </c>
      <c r="E1134" s="5" t="str">
        <f t="shared" si="57"/>
        <v>ACTISALUD-PISO 11-EDGAR NARVAEZ</v>
      </c>
      <c r="F1134" s="5"/>
      <c r="G1134" s="5"/>
    </row>
    <row r="1135" spans="1:7" ht="58.5" customHeight="1" x14ac:dyDescent="0.25">
      <c r="A1135" s="5" t="str">
        <f>"H0038652"</f>
        <v>H0038652</v>
      </c>
      <c r="B1135" s="5" t="str">
        <f>"CARRO PORTA HISTORIAS CLINICAS"</f>
        <v>CARRO PORTA HISTORIAS CLINICAS</v>
      </c>
      <c r="C1135" s="6">
        <v>1393000.07</v>
      </c>
      <c r="D1135" s="5" t="s">
        <v>145</v>
      </c>
      <c r="E1135" s="5" t="str">
        <f t="shared" si="57"/>
        <v>ACTISALUD-PISO 11-EDGAR NARVAEZ</v>
      </c>
      <c r="F1135" s="5"/>
      <c r="G1135" s="5"/>
    </row>
    <row r="1136" spans="1:7" ht="58.5" customHeight="1" x14ac:dyDescent="0.25">
      <c r="A1136" s="5" t="str">
        <f>"B0003800"</f>
        <v>B0003800</v>
      </c>
      <c r="B1136" s="5" t="str">
        <f>"PINZA KELLY RECTA 16 CM"</f>
        <v>PINZA KELLY RECTA 16 CM</v>
      </c>
      <c r="C1136" s="6">
        <v>14584.14</v>
      </c>
      <c r="D1136" s="5"/>
      <c r="E1136" s="5" t="str">
        <f t="shared" ref="E1136:E1199" si="59">"ACTISALUD -PEDIATRIA"</f>
        <v>ACTISALUD -PEDIATRIA</v>
      </c>
      <c r="F1136" s="5" t="str">
        <f>"Descripcion: PINZAS Estado: Bueno Placa anterior: 000024307 Material: ACERO INXIDABLE Color: GRIS Referencia:  Observacion: FUNCIONARIO AUTORIZA SE CONCILIE CON PLACA 000024307   Placa padre: Tipo adquisicion: Entidad"</f>
        <v>Descripcion: PINZAS Estado: Bueno Placa anterior: 000024307 Material: ACERO INXIDABLE Color: GRIS Referencia:  Observacion: FUNCIONARIO AUTORIZA SE CONCILIE CON PLACA 000024307   Placa padre: Tipo adquisicion: Entidad</v>
      </c>
      <c r="G1136" s="5"/>
    </row>
    <row r="1137" spans="1:7" ht="58.5" customHeight="1" x14ac:dyDescent="0.25">
      <c r="A1137" s="5" t="str">
        <f>"B0003804"</f>
        <v>B0003804</v>
      </c>
      <c r="B1137" s="5" t="str">
        <f>"CUBETA DE ACERO INOXIDABLE CON TAPA PEQUEÑA"</f>
        <v>CUBETA DE ACERO INOXIDABLE CON TAPA PEQUEÑA</v>
      </c>
      <c r="C1137" s="6">
        <v>5630.55</v>
      </c>
      <c r="D1137" s="5"/>
      <c r="E1137" s="5" t="str">
        <f t="shared" si="59"/>
        <v>ACTISALUD -PEDIATRIA</v>
      </c>
      <c r="F1137" s="5" t="str">
        <f>"Descripcion: CUBETA EN ACERO INOXIDABLE CON TAPA PEQ. Estado: Bueno Placa anterior: 000007836 Material: ACERO INOXIDABLE Color: PLATEADO Referencia:  Observacion: ESTABAN ESTERILIZADOS - 25 CM ANCHO X 15 CM FONDO X 5 CM ALTO Placa padre: Tipo adquisicion:"&amp; " Entidad"</f>
        <v>Descripcion: CUBETA EN ACERO INOXIDABLE CON TAPA PEQ. Estado: Bueno Placa anterior: 000007836 Material: ACERO INOXIDABLE Color: PLATEADO Referencia:  Observacion: ESTABAN ESTERILIZADOS - 25 CM ANCHO X 15 CM FONDO X 5 CM ALTO Placa padre: Tipo adquisicion: Entidad</v>
      </c>
      <c r="G1137" s="5"/>
    </row>
    <row r="1138" spans="1:7" ht="58.5" customHeight="1" x14ac:dyDescent="0.25">
      <c r="A1138" s="5" t="str">
        <f>"B0003807"</f>
        <v>B0003807</v>
      </c>
      <c r="B1138" s="5" t="str">
        <f>"CUBETA DE ACERO INOXIDABLE CON TAPA GRANDE"</f>
        <v>CUBETA DE ACERO INOXIDABLE CON TAPA GRANDE</v>
      </c>
      <c r="C1138" s="6">
        <v>5630.55</v>
      </c>
      <c r="D1138" s="5"/>
      <c r="E1138" s="5" t="str">
        <f t="shared" si="59"/>
        <v>ACTISALUD -PEDIATRIA</v>
      </c>
      <c r="F1138" s="5" t="str">
        <f>"Descripcion: CUBETA EN ACERO INOXIDABLE CON TAPA GRANDE Estado: Bueno Placa anterior: 000007832 Material: ACERO INOXIDABLE Color: PLATEADO Referencia:  Observacion: ESTABAN ESTERILIZADOS - 31 CM ANCHO X 16 CM FONDO X 5 CM ALTO Placa padre: Tipo adquisicio"&amp; "n: Entidad"</f>
        <v>Descripcion: CUBETA EN ACERO INOXIDABLE CON TAPA GRANDE Estado: Bueno Placa anterior: 000007832 Material: ACERO INOXIDABLE Color: PLATEADO Referencia:  Observacion: ESTABAN ESTERILIZADOS - 31 CM ANCHO X 16 CM FONDO X 5 CM ALTO Placa padre: Tipo adquisicion: Entidad</v>
      </c>
      <c r="G1138" s="5"/>
    </row>
    <row r="1139" spans="1:7" ht="58.5" customHeight="1" x14ac:dyDescent="0.25">
      <c r="A1139" s="5" t="str">
        <f>"B0003808"</f>
        <v>B0003808</v>
      </c>
      <c r="B1139" s="5" t="str">
        <f>"CUBETA DE ACERO INOXIDABLE CON TAPA GRANDE"</f>
        <v>CUBETA DE ACERO INOXIDABLE CON TAPA GRANDE</v>
      </c>
      <c r="C1139" s="6">
        <v>5630.55</v>
      </c>
      <c r="D1139" s="5"/>
      <c r="E1139" s="5" t="str">
        <f t="shared" si="59"/>
        <v>ACTISALUD -PEDIATRIA</v>
      </c>
      <c r="F1139" s="5" t="str">
        <f>"Descripcion: CUBETA EN ACERO INOXIDABLE CON TAPA GRANDE Estado: Bueno Placa anterior: 000007806 Material: ACERO INOXIDABLE Color: PLATEADO Referencia:  Observacion: ESTABAN ESTERILIZADOS - 31 CM ANCHO X 16 CM FONDO X 5 CM ALTO Placa padre: Tipo adquisicio"&amp; "n: Entidad"</f>
        <v>Descripcion: CUBETA EN ACERO INOXIDABLE CON TAPA GRANDE Estado: Bueno Placa anterior: 000007806 Material: ACERO INOXIDABLE Color: PLATEADO Referencia:  Observacion: ESTABAN ESTERILIZADOS - 31 CM ANCHO X 16 CM FONDO X 5 CM ALTO Placa padre: Tipo adquisicion: Entidad</v>
      </c>
      <c r="G1139" s="5"/>
    </row>
    <row r="1140" spans="1:7" ht="58.5" customHeight="1" x14ac:dyDescent="0.25">
      <c r="A1140" s="5" t="str">
        <f>"B0003809"</f>
        <v>B0003809</v>
      </c>
      <c r="B1140" s="5" t="str">
        <f>"CUBETA DE ACERO INOXIDABLE CON TAPA GRANDE"</f>
        <v>CUBETA DE ACERO INOXIDABLE CON TAPA GRANDE</v>
      </c>
      <c r="C1140" s="6">
        <v>5630.55</v>
      </c>
      <c r="D1140" s="5"/>
      <c r="E1140" s="5" t="str">
        <f t="shared" si="59"/>
        <v>ACTISALUD -PEDIATRIA</v>
      </c>
      <c r="F1140" s="5" t="str">
        <f>"Descripcion: CUBETA EN ACERO INOXIDABLE CON TAPA GRANDE Estado: Bueno Placa anterior: 000007587 Material: ACERO INOXIDABLE Color: PLATEADO Referencia:  Observacion: ESTABAN ESTERILIZADOS Placa padre: Tipo adquisicion: Entidad"</f>
        <v>Descripcion: CUBETA EN ACERO INOXIDABLE CON TAPA GRANDE Estado: Bueno Placa anterior: 000007587 Material: ACERO INOXIDABLE Color: PLATEADO Referencia:  Observacion: ESTABAN ESTERILIZADOS Placa padre: Tipo adquisicion: Entidad</v>
      </c>
      <c r="G1140" s="5"/>
    </row>
    <row r="1141" spans="1:7" ht="58.5" customHeight="1" x14ac:dyDescent="0.25">
      <c r="A1141" s="5" t="str">
        <f>"B0003810"</f>
        <v>B0003810</v>
      </c>
      <c r="B1141" s="5" t="str">
        <f>"CUBETA DE ACERO INOXIDABLE CON TAPA GRANDE"</f>
        <v>CUBETA DE ACERO INOXIDABLE CON TAPA GRANDE</v>
      </c>
      <c r="C1141" s="6">
        <v>5630.55</v>
      </c>
      <c r="D1141" s="5"/>
      <c r="E1141" s="5" t="str">
        <f t="shared" si="59"/>
        <v>ACTISALUD -PEDIATRIA</v>
      </c>
      <c r="F1141" s="5" t="str">
        <f>"Descripcion: CUBETA EN ACERO INOXIDABLE CON TAPA GRANDE Estado: Bueno Placa anterior: 000024314 Material: ACERO INOXIDABLE Color: PLATEADO Referencia:  Observacion: ESTABAN ESTERILIZADOS Placa padre: Tipo adquisicion: Entidad"</f>
        <v>Descripcion: CUBETA EN ACERO INOXIDABLE CON TAPA GRANDE Estado: Bueno Placa anterior: 000024314 Material: ACERO INOXIDABLE Color: PLATEADO Referencia:  Observacion: ESTABAN ESTERILIZADOS Placa padre: Tipo adquisicion: Entidad</v>
      </c>
      <c r="G1141" s="5"/>
    </row>
    <row r="1142" spans="1:7" ht="58.5" customHeight="1" x14ac:dyDescent="0.25">
      <c r="A1142" s="5" t="str">
        <f>"B0003811"</f>
        <v>B0003811</v>
      </c>
      <c r="B1142" s="5" t="str">
        <f>"TENSIOMETRO ANEROIDE DE MANO PEDIATRICO"</f>
        <v>TENSIOMETRO ANEROIDE DE MANO PEDIATRICO</v>
      </c>
      <c r="C1142" s="6">
        <v>40000</v>
      </c>
      <c r="D1142" s="5"/>
      <c r="E1142" s="5" t="str">
        <f t="shared" si="59"/>
        <v>ACTISALUD -PEDIATRIA</v>
      </c>
      <c r="F1142" s="5" t="str">
        <f>"Descripcion: TENSIOMETRO ANEROYDE STARMED Estado: Bueno Placa anterior: 000030464 Material: CAUCHO Y TELA Color:  Referencia:  Observacion:  Placa padre: Tipo adquisicion: Donacion"</f>
        <v>Descripcion: TENSIOMETRO ANEROYDE STARMED Estado: Bueno Placa anterior: 000030464 Material: CAUCHO Y TELA Color:  Referencia:  Observacion:  Placa padre: Tipo adquisicion: Donacion</v>
      </c>
      <c r="G1142" s="5"/>
    </row>
    <row r="1143" spans="1:7" ht="58.5" customHeight="1" x14ac:dyDescent="0.25">
      <c r="A1143" s="5" t="str">
        <f>"B0005010"</f>
        <v>B0005010</v>
      </c>
      <c r="B1143" s="5" t="str">
        <f>"LICENCIA OFFICE HOME AND BUSINEES"</f>
        <v>LICENCIA OFFICE HOME AND BUSINEES</v>
      </c>
      <c r="C1143" s="6">
        <v>440800</v>
      </c>
      <c r="D1143" s="5" t="s">
        <v>1</v>
      </c>
      <c r="E1143" s="5" t="str">
        <f t="shared" si="59"/>
        <v>ACTISALUD -PEDIATRIA</v>
      </c>
      <c r="F1143" s="5" t="str">
        <f>"Descripcion: LICENCIA OFFICE HOME AND BUSIMESS 2013 Estado: Bueno Placa anterior: 000030600 Material:  Color:  Referencia:  Observacion:  Placa padre: Tipo adquisicion: Entidad"</f>
        <v>Descripcion: LICENCIA OFFICE HOME AND BUSIMESS 2013 Estado: Bueno Placa anterior: 000030600 Material:  Color:  Referencia:  Observacion:  Placa padre: Tipo adquisicion: Entidad</v>
      </c>
      <c r="G1143" s="5"/>
    </row>
    <row r="1144" spans="1:7" ht="58.5" customHeight="1" x14ac:dyDescent="0.25">
      <c r="A1144" s="5" t="str">
        <f>"B0005183"</f>
        <v>B0005183</v>
      </c>
      <c r="B1144" s="5" t="str">
        <f>"PINZA ADSON"</f>
        <v>PINZA ADSON</v>
      </c>
      <c r="C1144" s="6">
        <v>13359.33</v>
      </c>
      <c r="D1144" s="5"/>
      <c r="E1144" s="5" t="str">
        <f t="shared" si="59"/>
        <v>ACTISALUD -PEDIATRIA</v>
      </c>
      <c r="F1144" s="5" t="str">
        <f>"Descripcion: PINZA ADSON SIN GARRA Estado: Bueno Placa anterior: 000007895 Material: ACERO INOXIDABLE Color: PLATEADO Referencia:  Observacion:  Placa padre: Tipo adquisicion: Entidad"</f>
        <v>Descripcion: PINZA ADSON SIN GARRA Estado: Bueno Placa anterior: 000007895 Material: ACERO INOXIDABLE Color: PLATEADO Referencia:  Observacion:  Placa padre: Tipo adquisicion: Entidad</v>
      </c>
      <c r="G1144" s="5"/>
    </row>
    <row r="1145" spans="1:7" ht="58.5" customHeight="1" x14ac:dyDescent="0.25">
      <c r="A1145" s="5" t="str">
        <f>"B0005184"</f>
        <v>B0005184</v>
      </c>
      <c r="B1145" s="5" t="str">
        <f>"PINZA"</f>
        <v>PINZA</v>
      </c>
      <c r="C1145" s="6">
        <v>4244.4399999999996</v>
      </c>
      <c r="D1145" s="5"/>
      <c r="E1145" s="5" t="str">
        <f t="shared" si="59"/>
        <v>ACTISALUD -PEDIATRIA</v>
      </c>
      <c r="F1145" s="5" t="str">
        <f>"Descripcion: TIJERA Estado: Bueno Placa anterior: 000007900 Material: ACERO INOXIDABLE Color: PLATEADO Referencia:  Observacion:  Placa padre: Tipo adquisicion: Entidad"</f>
        <v>Descripcion: TIJERA Estado: Bueno Placa anterior: 000007900 Material: ACERO INOXIDABLE Color: PLATEADO Referencia:  Observacion:  Placa padre: Tipo adquisicion: Entidad</v>
      </c>
      <c r="G1145" s="5"/>
    </row>
    <row r="1146" spans="1:7" ht="58.5" customHeight="1" x14ac:dyDescent="0.25">
      <c r="A1146" s="5" t="str">
        <f>"B0005693"</f>
        <v>B0005693</v>
      </c>
      <c r="B1146" s="5" t="str">
        <f>"LARINGOSCOPIO ADULTO"</f>
        <v>LARINGOSCOPIO ADULTO</v>
      </c>
      <c r="C1146" s="6">
        <v>1000000</v>
      </c>
      <c r="D1146" s="5"/>
      <c r="E1146" s="5" t="str">
        <f t="shared" si="59"/>
        <v>ACTISALUD -PEDIATRIA</v>
      </c>
      <c r="F1146" s="5" t="str">
        <f>"Descripcion: LARINGOSCOPIO Donado por el Club rotario Cùcuta II No. 7269 Distrito 4270 Estado: Bueno Placa anterior: 000025508 Material: ACERO INOXIDABLE Color: PLATEADO Referencia:  Observacion: SE ENCUENTRA DENTRO DEL CARRO DE PARO Placa padre: Tipo adq"&amp; "uisicion: Entidad"</f>
        <v>Descripcion: LARINGOSCOPIO Donado por el Club rotario Cùcuta II No. 7269 Distrito 4270 Estado: Bueno Placa anterior: 000025508 Material: ACERO INOXIDABLE Color: PLATEADO Referencia:  Observacion: SE ENCUENTRA DENTRO DEL CARRO DE PARO Placa padre: Tipo adquisicion: Entidad</v>
      </c>
      <c r="G1146" s="5"/>
    </row>
    <row r="1147" spans="1:7" ht="58.5" customHeight="1" x14ac:dyDescent="0.25">
      <c r="A1147" s="5" t="str">
        <f>"H0000629"</f>
        <v>H0000629</v>
      </c>
      <c r="B1147" s="5" t="str">
        <f>"ESCRITORIO METALICO 3 GAVETAS"</f>
        <v>ESCRITORIO METALICO 3 GAVETAS</v>
      </c>
      <c r="C1147" s="6">
        <v>16526.189999999999</v>
      </c>
      <c r="D1147" s="5"/>
      <c r="E1147" s="5" t="str">
        <f t="shared" si="59"/>
        <v>ACTISALUD -PEDIATRIA</v>
      </c>
      <c r="F1147" s="5" t="str">
        <f>"Descripcion: ESCRITORIO SUPERFICIE EN MADEFLEX Estado: Bueno Placa anterior: 000027474 Material: METALICO Color: GRIS Referencia:  Observacion:  Placa padre: Tipo adquisicion: Entidad"</f>
        <v>Descripcion: ESCRITORIO SUPERFICIE EN MADEFLEX Estado: Bueno Placa anterior: 000027474 Material: METALICO Color: GRIS Referencia:  Observacion:  Placa padre: Tipo adquisicion: Entidad</v>
      </c>
      <c r="G1147" s="5"/>
    </row>
    <row r="1148" spans="1:7" ht="58.5" customHeight="1" x14ac:dyDescent="0.25">
      <c r="A1148" s="5" t="str">
        <f>"H0001177"</f>
        <v>H0001177</v>
      </c>
      <c r="B1148" s="5" t="str">
        <f>"NEVERA DE 66 LTS"</f>
        <v>NEVERA DE 66 LTS</v>
      </c>
      <c r="C1148" s="6">
        <v>452400</v>
      </c>
      <c r="D1148" s="5"/>
      <c r="E1148" s="5" t="str">
        <f t="shared" si="59"/>
        <v>ACTISALUD -PEDIATRIA</v>
      </c>
      <c r="F1148" s="5" t="str">
        <f>"Descripcion: REFRIGERADORA SAMSUNG SG-12BCSWCN Estado: Bueno Placa anterior: 000022614 Material: METALICO Color: BLANCO (FALTA PINTURA) Referencia:  Observacion:  Placa padre: Tipo adquisicion: Entidad"</f>
        <v>Descripcion: REFRIGERADORA SAMSUNG SG-12BCSWCN Estado: Bueno Placa anterior: 000022614 Material: METALICO Color: BLANCO (FALTA PINTURA) Referencia:  Observacion:  Placa padre: Tipo adquisicion: Entidad</v>
      </c>
      <c r="G1148" s="5" t="str">
        <f>"SRG-118"</f>
        <v>SRG-118</v>
      </c>
    </row>
    <row r="1149" spans="1:7" ht="58.5" customHeight="1" x14ac:dyDescent="0.25">
      <c r="A1149" s="5" t="str">
        <f>"H0002020"</f>
        <v>H0002020</v>
      </c>
      <c r="B1149" s="5" t="str">
        <f>"CARRO DE PARO"</f>
        <v>CARRO DE PARO</v>
      </c>
      <c r="C1149" s="6">
        <v>1682000</v>
      </c>
      <c r="D1149" s="5"/>
      <c r="E1149" s="5" t="str">
        <f t="shared" si="59"/>
        <v>ACTISALUD -PEDIATRIA</v>
      </c>
      <c r="F1149" s="5" t="str">
        <f>"Descripcion:CARRO DE PARO DE 4 GAVETAS CON BASE PARA MONITOR , CON RUEDAS CON ATRIL Y BANDEJA EN ACRILICO Estado: Excelente Placa anterior: 000039054 Material: METALICA Y ACERO INOXIDABLE Color: CREMA Referencia:  Observacion: ESTA EN SALA DE MAQUINAS Pla"&amp; "ca padre:  Tipo adquisicion : Entidad"</f>
        <v>Descripcion:CARRO DE PARO DE 4 GAVETAS CON BASE PARA MONITOR , CON RUEDAS CON ATRIL Y BANDEJA EN ACRILICO Estado: Excelente Placa anterior: 000039054 Material: METALICA Y ACERO INOXIDABLE Color: CREMA Referencia:  Observacion: ESTA EN SALA DE MAQUINAS Placa padre:  Tipo adquisicion : Entidad</v>
      </c>
      <c r="G1149" s="5"/>
    </row>
    <row r="1150" spans="1:7" ht="58.5" customHeight="1" x14ac:dyDescent="0.25">
      <c r="A1150" s="5" t="str">
        <f>"H0002403"</f>
        <v>H0002403</v>
      </c>
      <c r="B1150" s="5" t="str">
        <f t="shared" ref="B1150:B1155" si="60">"COMPUTADOR TODO EN UNO"</f>
        <v>COMPUTADOR TODO EN UNO</v>
      </c>
      <c r="C1150" s="6">
        <v>2470000</v>
      </c>
      <c r="D1150" s="5"/>
      <c r="E1150" s="5" t="str">
        <f t="shared" si="59"/>
        <v>ACTISALUD -PEDIATRIA</v>
      </c>
      <c r="F1150" s="5" t="str">
        <f>"Descripcion:EQUIPO DE COMPUTO TODO EN UNO CON PROCESADOR INTEL i5 Estado: Excelente Placa anterior: 000037290 Material: PASTA Color: NEGRO Referencia: 10BDFDLS Observacion:  Placa anterior:, Placa nueva=H0002404, Descripcion:TECLADO USB LENOVO, Serial:825"&amp; "9972, Marca:LENOVO, Modelo:KU-0225, Material:PASTA, Color:NEGRO,   Referencia:54Y9424, Placa anterior:, Placa nueva=H0002405, Descripcion:MOUSE USB  3 BOTONES, Serial:44MG371, Marca:LENOVO, Modelo:45J4889, Material:PASTA, Color:NEGRO,   Referencia: Placa "&amp; "padre:  Tipo adquisicion : Entidad"</f>
        <v>Descripcion:EQUIPO DE COMPUTO TODO EN UNO CON PROCESADOR INTEL i5 Estado: Excelente Placa anterior: 000037290 Material: PASTA Color: NEGRO Referencia: 10BDFDLS Observacion:  Placa anterior:, Placa nueva=H0002404, Descripcion:TECLADO USB LENOVO, Serial:8259972, Marca:LENOVO, Modelo:KU-0225, Material:PASTA, Color:NEGRO,   Referencia:54Y9424, Placa anterior:, Placa nueva=H0002405, Descripcion:MOUSE USB  3 BOTONES, Serial:44MG371, Marca:LENOVO, Modelo:45J4889, Material:PASTA, Color:NEGRO,   Referencia: Placa padre:  Tipo adquisicion : Entidad</v>
      </c>
      <c r="G1150" s="5" t="str">
        <f t="shared" ref="G1150:G1155" si="61">"00FDLS"</f>
        <v>00FDLS</v>
      </c>
    </row>
    <row r="1151" spans="1:7" ht="58.5" customHeight="1" x14ac:dyDescent="0.25">
      <c r="A1151" s="5" t="str">
        <f>"H0002409"</f>
        <v>H0002409</v>
      </c>
      <c r="B1151" s="5" t="str">
        <f t="shared" si="60"/>
        <v>COMPUTADOR TODO EN UNO</v>
      </c>
      <c r="C1151" s="6">
        <v>2470000</v>
      </c>
      <c r="D1151" s="5"/>
      <c r="E1151" s="5" t="str">
        <f t="shared" si="59"/>
        <v>ACTISALUD -PEDIATRIA</v>
      </c>
      <c r="F1151" s="5" t="str">
        <f>"Descripcion:EQUIPO DE COMPUTO TODO EN UNO CON PROCESADOR INTEL i5 Estado: Excelente Placa anterior: 000037262 Material: PASTA Color: NEGRO Referencia: 10BDFDLS Observacion:  Placa anterior:, Placa nueva=H0002411, Descripcion:MOUSE USB  3 BOTONES, Serial:4"&amp; "4MF920, Marca:LENOVO, Modelo:45J4889, Material:PASTA, Color:NEGRO,   Referencia:, Placa anterior:, Placa nueva=H0002410, Descripcion:TECLADO USB LENOVO, Serial:8259999, Marca:LENOVO, Modelo:KU-0225, Material:PASTA, Color:NEGRO,   Referencia:54Y9424 Placa "&amp; "padre:  Tipo adquisicion : Entidad"</f>
        <v>Descripcion:EQUIPO DE COMPUTO TODO EN UNO CON PROCESADOR INTEL i5 Estado: Excelente Placa anterior: 000037262 Material: PASTA Color: NEGRO Referencia: 10BDFDLS Observacion:  Placa anterior:, Placa nueva=H0002411, Descripcion:MOUSE USB  3 BOTONES, Serial:44MF920, Marca:LENOVO, Modelo:45J4889, Material:PASTA, Color:NEGRO,   Referencia:, Placa anterior:, Placa nueva=H0002410, Descripcion:TECLADO USB LENOVO, Serial:8259999, Marca:LENOVO, Modelo:KU-0225, Material:PASTA, Color:NEGRO,   Referencia:54Y9424 Placa padre:  Tipo adquisicion : Entidad</v>
      </c>
      <c r="G1151" s="5" t="str">
        <f t="shared" si="61"/>
        <v>00FDLS</v>
      </c>
    </row>
    <row r="1152" spans="1:7" ht="58.5" customHeight="1" x14ac:dyDescent="0.25">
      <c r="A1152" s="5" t="str">
        <f>"H0002431"</f>
        <v>H0002431</v>
      </c>
      <c r="B1152" s="5" t="str">
        <f t="shared" si="60"/>
        <v>COMPUTADOR TODO EN UNO</v>
      </c>
      <c r="C1152" s="6">
        <v>2470000</v>
      </c>
      <c r="D1152" s="5"/>
      <c r="E1152" s="5" t="str">
        <f t="shared" si="59"/>
        <v>ACTISALUD -PEDIATRIA</v>
      </c>
      <c r="F1152" s="5" t="str">
        <f>"Descripcion:EQUIPO DE COMPUTO TODO EN UNO CON PROCESADOR INTEL i5 Estado: Excelente Placa anterior: 000037286 Material: PASTA Color: NEGRO Referencia: 10BDFDLS Observacion:  Placa anterior:, Placa nueva=H0002432, Descripcion:TECLADO USB LENOVO, Serial:825"&amp; "9577, Marca:LENOVO, Modelo:KU-0225, Material:PASTA, Color:NEGRO,   Referencia:54Y9424, Placa anterior:, Placa nueva=H0002433, Descripcion:MOUSE USB  3 BOTONES, Serial:44PE623, Marca:LENOVO, Modelo:45J4889, Material:PASTA, Color:NEGRO,   Referencia: Placa "&amp; "padre:  Tipo adquisicion : Entidad"</f>
        <v>Descripcion:EQUIPO DE COMPUTO TODO EN UNO CON PROCESADOR INTEL i5 Estado: Excelente Placa anterior: 000037286 Material: PASTA Color: NEGRO Referencia: 10BDFDLS Observacion:  Placa anterior:, Placa nueva=H0002432, Descripcion:TECLADO USB LENOVO, Serial:8259577, Marca:LENOVO, Modelo:KU-0225, Material:PASTA, Color:NEGRO,   Referencia:54Y9424, Placa anterior:, Placa nueva=H0002433, Descripcion:MOUSE USB  3 BOTONES, Serial:44PE623, Marca:LENOVO, Modelo:45J4889, Material:PASTA, Color:NEGRO,   Referencia: Placa padre:  Tipo adquisicion : Entidad</v>
      </c>
      <c r="G1152" s="5" t="str">
        <f t="shared" si="61"/>
        <v>00FDLS</v>
      </c>
    </row>
    <row r="1153" spans="1:7" ht="58.5" customHeight="1" x14ac:dyDescent="0.25">
      <c r="A1153" s="5" t="str">
        <f>"H0002446"</f>
        <v>H0002446</v>
      </c>
      <c r="B1153" s="5" t="str">
        <f t="shared" si="60"/>
        <v>COMPUTADOR TODO EN UNO</v>
      </c>
      <c r="C1153" s="6">
        <v>2470000</v>
      </c>
      <c r="D1153" s="5"/>
      <c r="E1153" s="5" t="str">
        <f t="shared" si="59"/>
        <v>ACTISALUD -PEDIATRIA</v>
      </c>
      <c r="F1153" s="5" t="str">
        <f>"Descripcion:EQUIPO DE COMPUTO TODO EN UNO CON PROCESADOR INTEL i5 Estado: Excelente Placa anterior: 000037261 Material: PASTA Color: NEGRO Referencia: 10BDFDLS Observacion:  Placa anterior:, Placa nueva=H0002447, Descripcion:TECLADO USB LENOVO, Serial:825"&amp; "9039, Marca:LENOVO, Modelo:KU-0225, Material:PASTA, Color:NEGRO,   Referencia:54Y9424, Placa anterior:, Placa nueva=H0002448, Descripcion:MOUSE USB  3 BOTONES, Serial:44PC970, Marca:LENOVO, Modelo:45J4889, Material:PASTA, Color:NEGRO,   Referencia: Placa "&amp; "padre:  Tipo adquisicion : Entidad"</f>
        <v>Descripcion:EQUIPO DE COMPUTO TODO EN UNO CON PROCESADOR INTEL i5 Estado: Excelente Placa anterior: 000037261 Material: PASTA Color: NEGRO Referencia: 10BDFDLS Observacion:  Placa anterior:, Placa nueva=H0002447, Descripcion:TECLADO USB LENOVO, Serial:8259039, Marca:LENOVO, Modelo:KU-0225, Material:PASTA, Color:NEGRO,   Referencia:54Y9424, Placa anterior:, Placa nueva=H0002448, Descripcion:MOUSE USB  3 BOTONES, Serial:44PC970, Marca:LENOVO, Modelo:45J4889, Material:PASTA, Color:NEGRO,   Referencia: Placa padre:  Tipo adquisicion : Entidad</v>
      </c>
      <c r="G1153" s="5" t="str">
        <f t="shared" si="61"/>
        <v>00FDLS</v>
      </c>
    </row>
    <row r="1154" spans="1:7" ht="58.5" customHeight="1" x14ac:dyDescent="0.25">
      <c r="A1154" s="5" t="str">
        <f>"H0002497"</f>
        <v>H0002497</v>
      </c>
      <c r="B1154" s="5" t="str">
        <f t="shared" si="60"/>
        <v>COMPUTADOR TODO EN UNO</v>
      </c>
      <c r="C1154" s="6">
        <v>2470000</v>
      </c>
      <c r="D1154" s="5"/>
      <c r="E1154" s="5" t="str">
        <f t="shared" si="59"/>
        <v>ACTISALUD -PEDIATRIA</v>
      </c>
      <c r="F1154" s="5" t="str">
        <f>"Descripcion:EQUIPO DE COMPUTO TODO EN UNO CON PROCESADOR INTEL i5 Estado: Excelente Placa anterior: 000037265 Material: PASTA Color: NEGRO Referencia: 10BDFDLS Observacion:  Placa anterior:, Placa nueva=H0002498, Descripcion:TECLADO USB LENOVO, Serial:825"&amp; "9049, Marca:LENOVO, Modelo:KU-0225, Material:PASTA, Color:NEGRO,   Referencia:54Y9424, Placa anterior:, Placa nueva=H0002499, Descripcion:MOUSE USB  3 BOTONES, Serial:44PC942, Marca:LENOVO, Modelo:45J4889, Material:PASTA, Color:NEGRO,   Referencia: Placa "&amp; "padre:  Tipo adquisicion : Entidad"</f>
        <v>Descripcion:EQUIPO DE COMPUTO TODO EN UNO CON PROCESADOR INTEL i5 Estado: Excelente Placa anterior: 000037265 Material: PASTA Color: NEGRO Referencia: 10BDFDLS Observacion:  Placa anterior:, Placa nueva=H0002498, Descripcion:TECLADO USB LENOVO, Serial:8259049, Marca:LENOVO, Modelo:KU-0225, Material:PASTA, Color:NEGRO,   Referencia:54Y9424, Placa anterior:, Placa nueva=H0002499, Descripcion:MOUSE USB  3 BOTONES, Serial:44PC942, Marca:LENOVO, Modelo:45J4889, Material:PASTA, Color:NEGRO,   Referencia: Placa padre:  Tipo adquisicion : Entidad</v>
      </c>
      <c r="G1154" s="5" t="str">
        <f t="shared" si="61"/>
        <v>00FDLS</v>
      </c>
    </row>
    <row r="1155" spans="1:7" ht="58.5" customHeight="1" x14ac:dyDescent="0.25">
      <c r="A1155" s="5" t="str">
        <f>"H0002500"</f>
        <v>H0002500</v>
      </c>
      <c r="B1155" s="5" t="str">
        <f t="shared" si="60"/>
        <v>COMPUTADOR TODO EN UNO</v>
      </c>
      <c r="C1155" s="6">
        <v>2470000</v>
      </c>
      <c r="D1155" s="5"/>
      <c r="E1155" s="5" t="str">
        <f t="shared" si="59"/>
        <v>ACTISALUD -PEDIATRIA</v>
      </c>
      <c r="F1155" s="5" t="str">
        <f>"Descripcion:EQUIPO DE COMPUTO TODO EN UNO CON PROCESADOR INTEL i5 Estado: Excelente Placa anterior: 000037294 Material: PASTA Color: NEGRO Referencia: 10BDFDLS Observacion:  Placa anterior:, Placa nueva=H0002502, Descripcion:MOUSE USB  3 BOTONES, Serial:4"&amp; "4PE644, Marca:LENOVO, Modelo:45J4889, Material:PASTA, Color:NEGRO,   Referencia:, Placa anterior:, Placa nueva=H0002501, Descripcion:TECLADO USB LENOVO, Serial:8259572, Marca:LENOVO, Modelo:KU-0225, Material:PASTA, Color:NEGRO,   Referencia:54Y9424 Placa "&amp; "padre:  Tipo adquisicion : Entidad"</f>
        <v>Descripcion:EQUIPO DE COMPUTO TODO EN UNO CON PROCESADOR INTEL i5 Estado: Excelente Placa anterior: 000037294 Material: PASTA Color: NEGRO Referencia: 10BDFDLS Observacion:  Placa anterior:, Placa nueva=H0002502, Descripcion:MOUSE USB  3 BOTONES, Serial:44PE644, Marca:LENOVO, Modelo:45J4889, Material:PASTA, Color:NEGRO,   Referencia:, Placa anterior:, Placa nueva=H0002501, Descripcion:TECLADO USB LENOVO, Serial:8259572, Marca:LENOVO, Modelo:KU-0225, Material:PASTA, Color:NEGRO,   Referencia:54Y9424 Placa padre:  Tipo adquisicion : Entidad</v>
      </c>
      <c r="G1155" s="5" t="str">
        <f t="shared" si="61"/>
        <v>00FDLS</v>
      </c>
    </row>
    <row r="1156" spans="1:7" ht="58.5" customHeight="1" x14ac:dyDescent="0.25">
      <c r="A1156" s="5" t="str">
        <f>"H0002665"</f>
        <v>H0002665</v>
      </c>
      <c r="B1156" s="5" t="str">
        <f>"ENRUTADOR (ROUTER) INALAMBRICO (ACCES POINT)"</f>
        <v>ENRUTADOR (ROUTER) INALAMBRICO (ACCES POINT)</v>
      </c>
      <c r="C1156" s="6">
        <v>323640</v>
      </c>
      <c r="D1156" s="5"/>
      <c r="E1156" s="5" t="str">
        <f t="shared" si="59"/>
        <v>ACTISALUD -PEDIATRIA</v>
      </c>
      <c r="F1156" s="5" t="str">
        <f>"Descripcion:INDOOR ACCESS POINT, 3 ANTENAS DE COLOR GRIS, CABLE DE RED, CARGADOR Estado: Excelente Placa anterior: 000037066 Material: PASTA Color: BLANCO Y GRIS Referencia:  Observacion:  Placa padre:  Tipo adquisicion : Entidad"</f>
        <v>Descripcion:INDOOR ACCESS POINT, 3 ANTENAS DE COLOR GRIS, CABLE DE RED, CARGADOR Estado: Excelente Placa anterior: 000037066 Material: PASTA Color: BLANCO Y GRIS Referencia:  Observacion:  Placa padre:  Tipo adquisicion : Entidad</v>
      </c>
      <c r="G1156" s="5" t="str">
        <f>"TL-WA901ND"</f>
        <v>TL-WA901ND</v>
      </c>
    </row>
    <row r="1157" spans="1:7" ht="58.5" customHeight="1" x14ac:dyDescent="0.25">
      <c r="A1157" s="5" t="str">
        <f>"H0002688"</f>
        <v>H0002688</v>
      </c>
      <c r="B1157" s="5" t="str">
        <f>"COMPUTADOR PORTATIL"</f>
        <v>COMPUTADOR PORTATIL</v>
      </c>
      <c r="C1157" s="6">
        <v>2250000</v>
      </c>
      <c r="D1157" s="5"/>
      <c r="E1157" s="5" t="str">
        <f t="shared" si="59"/>
        <v>ACTISALUD -PEDIATRIA</v>
      </c>
      <c r="F1157" s="5" t="str">
        <f>"Descripcion:PC PORTATIL CON PROCESADOR 15 500gb DISCO DURO 4GB EN MEMORIA RAM Estado: Excelente Placa anterior: 000037043 Material: PASTA Color: NEGRO Referencia:  Observacion: PANTALLA DE 14 , PROCESADOR INTEL CORE i5 Placa padre:  Tipo adquisicion : Ent"&amp; "idad"</f>
        <v>Descripcion:PC PORTATIL CON PROCESADOR 15 500gb DISCO DURO 4GB EN MEMORIA RAM Estado: Excelente Placa anterior: 000037043 Material: PASTA Color: NEGRO Referencia:  Observacion: PANTALLA DE 14 , PROCESADOR INTEL CORE i5 Placa padre:  Tipo adquisicion : Entidad</v>
      </c>
      <c r="G1157" s="5" t="str">
        <f>"CB0505084E"</f>
        <v>CB0505084E</v>
      </c>
    </row>
    <row r="1158" spans="1:7" ht="58.5" customHeight="1" x14ac:dyDescent="0.25">
      <c r="A1158" s="5" t="str">
        <f>"H0004656"</f>
        <v>H0004656</v>
      </c>
      <c r="B1158" s="5" t="str">
        <f>"MESA DE MADERA PARA COMPUTADOR"</f>
        <v>MESA DE MADERA PARA COMPUTADOR</v>
      </c>
      <c r="C1158" s="6">
        <v>144552</v>
      </c>
      <c r="D1158" s="5"/>
      <c r="E1158" s="5" t="str">
        <f t="shared" si="59"/>
        <v>ACTISALUD -PEDIATRIA</v>
      </c>
      <c r="F1158" s="5" t="str">
        <f>"Descripcion:MESA PARA COMPUTADOR EN MADERA, DIMENSIONES 104X109X69, UNA GABETA Estado: Bueno Placa anterior: 000011910 Material: MADERA Color: BEIS, MARRON Y NEGRO Referencia:  Observacion:  Placa padre:  Tipo adquisicion : Entidad"</f>
        <v>Descripcion:MESA PARA COMPUTADOR EN MADERA, DIMENSIONES 104X109X69, UNA GABETA Estado: Bueno Placa anterior: 000011910 Material: MADERA Color: BEIS, MARRON Y NEGRO Referencia:  Observacion:  Placa padre:  Tipo adquisicion : Entidad</v>
      </c>
      <c r="G1158" s="5"/>
    </row>
    <row r="1159" spans="1:7" ht="58.5" customHeight="1" x14ac:dyDescent="0.25">
      <c r="A1159" s="5" t="str">
        <f>"H0004674"</f>
        <v>H0004674</v>
      </c>
      <c r="B1159" s="5" t="str">
        <f>"MESA DE MADERA"</f>
        <v>MESA DE MADERA</v>
      </c>
      <c r="C1159" s="6">
        <v>28332.3</v>
      </c>
      <c r="D1159" s="5"/>
      <c r="E1159" s="5" t="str">
        <f t="shared" si="59"/>
        <v>ACTISALUD -PEDIATRIA</v>
      </c>
      <c r="F1159" s="5" t="str">
        <f>"Descripcion:MESA DE MADERA PULIDA EN LACA.MESA CON RODACHINES, DIMEN: 77X90X60 Estado: Bueno Placa anterior: 000002398 Material: MADERA Color: MARRON Referencia:  Observacion:  Placa padre:  Tipo adquisicion : Entidad"</f>
        <v>Descripcion:MESA DE MADERA PULIDA EN LACA.MESA CON RODACHINES, DIMEN: 77X90X60 Estado: Bueno Placa anterior: 000002398 Material: MADERA Color: MARRON Referencia:  Observacion:  Placa padre:  Tipo adquisicion : Entidad</v>
      </c>
      <c r="G1159" s="5"/>
    </row>
    <row r="1160" spans="1:7" ht="58.5" customHeight="1" x14ac:dyDescent="0.25">
      <c r="A1160" s="5" t="str">
        <f>"H0005115"</f>
        <v>H0005115</v>
      </c>
      <c r="B1160" s="5" t="str">
        <f>"ESTANTE METALICO 6 ENTREPAÑOS"</f>
        <v>ESTANTE METALICO 6 ENTREPAÑOS</v>
      </c>
      <c r="C1160" s="6">
        <v>37633</v>
      </c>
      <c r="D1160" s="5"/>
      <c r="E1160" s="5" t="str">
        <f t="shared" si="59"/>
        <v>ACTISALUD -PEDIATRIA</v>
      </c>
      <c r="F1160" s="5" t="str">
        <f>"Descripcion:190X90X41 Estado: Bueno Placa anterior: 000000933 Material: METALICO Color: BLANCO Referencia:  Observacion:  Placa padre:  Tipo adquisicion : Entidad"</f>
        <v>Descripcion:190X90X41 Estado: Bueno Placa anterior: 000000933 Material: METALICO Color: BLANCO Referencia:  Observacion:  Placa padre:  Tipo adquisicion : Entidad</v>
      </c>
      <c r="G1160" s="5"/>
    </row>
    <row r="1161" spans="1:7" ht="58.5" customHeight="1" x14ac:dyDescent="0.25">
      <c r="A1161" s="5" t="str">
        <f>"H0005140"</f>
        <v>H0005140</v>
      </c>
      <c r="B1161" s="5" t="str">
        <f>"MUEBLE (ARCHIVADOR) AEREO (GABINETE DE PARED)"</f>
        <v>MUEBLE (ARCHIVADOR) AEREO (GABINETE DE PARED)</v>
      </c>
      <c r="C1161" s="6">
        <v>600000</v>
      </c>
      <c r="D1161" s="5"/>
      <c r="E1161" s="5" t="str">
        <f t="shared" si="59"/>
        <v>ACTISALUD -PEDIATRIA</v>
      </c>
      <c r="F1161" s="5" t="str">
        <f>"Descripcion: ARCHIVADOR ELEVADO 2X1 EN MODF. FORMICA Y CHAPA DE SEGURIDAD 1 PUERTA45X77X40 Estado: Bueno Placa anterior: 000033121 Material: MADEFLEX Color: BEIGE Referencia:  Observacion:  Placa padre: Tipo adquisicion: Entidad"</f>
        <v>Descripcion: ARCHIVADOR ELEVADO 2X1 EN MODF. FORMICA Y CHAPA DE SEGURIDAD 1 PUERTA45X77X40 Estado: Bueno Placa anterior: 000033121 Material: MADEFLEX Color: BEIGE Referencia:  Observacion:  Placa padre: Tipo adquisicion: Entidad</v>
      </c>
      <c r="G1161" s="5"/>
    </row>
    <row r="1162" spans="1:7" ht="58.5" customHeight="1" x14ac:dyDescent="0.25">
      <c r="A1162" s="5" t="str">
        <f>"H0005437"</f>
        <v>H0005437</v>
      </c>
      <c r="B1162" s="5" t="str">
        <f>"MESA DE MADERA PARA COMPUTADOR"</f>
        <v>MESA DE MADERA PARA COMPUTADOR</v>
      </c>
      <c r="C1162" s="6">
        <v>185701.8</v>
      </c>
      <c r="D1162" s="5"/>
      <c r="E1162" s="5" t="str">
        <f t="shared" si="59"/>
        <v>ACTISALUD -PEDIATRIA</v>
      </c>
      <c r="F1162" s="5" t="str">
        <f>"Descripcion: MESA PARA COMPUTADOR CON CHAPA Estado: Bueno Placa anterior: 000000342 Material: MADERA Color: METALICO Referencia:  Observacion:  Placa padre: Tipo adquisicion: Entidad"</f>
        <v>Descripcion: MESA PARA COMPUTADOR CON CHAPA Estado: Bueno Placa anterior: 000000342 Material: MADERA Color: METALICO Referencia:  Observacion:  Placa padre: Tipo adquisicion: Entidad</v>
      </c>
      <c r="G1162" s="5"/>
    </row>
    <row r="1163" spans="1:7" ht="58.5" customHeight="1" x14ac:dyDescent="0.25">
      <c r="A1163" s="5" t="str">
        <f>"H0006833"</f>
        <v>H0006833</v>
      </c>
      <c r="B1163" s="5" t="str">
        <f>"SILLA RECLINOMATICA"</f>
        <v>SILLA RECLINOMATICA</v>
      </c>
      <c r="C1163" s="6">
        <v>1220000</v>
      </c>
      <c r="D1163" s="5" t="s">
        <v>63</v>
      </c>
      <c r="E1163" s="5" t="str">
        <f t="shared" si="59"/>
        <v>ACTISALUD -PEDIATRIA</v>
      </c>
      <c r="F116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000037978 Material: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000037978 Material: CUERINA Color: AZUL Referencia:  Observacion:  Placa padre: Tipo adquisicion: Entidad</v>
      </c>
      <c r="G1163" s="5"/>
    </row>
    <row r="1164" spans="1:7" ht="58.5" customHeight="1" x14ac:dyDescent="0.25">
      <c r="A1164" s="5" t="str">
        <f>"H0006837"</f>
        <v>H0006837</v>
      </c>
      <c r="B1164" s="5" t="str">
        <f>"SILLA RECLINOMATICA"</f>
        <v>SILLA RECLINOMATICA</v>
      </c>
      <c r="C1164" s="6">
        <v>1220000</v>
      </c>
      <c r="D1164" s="5" t="s">
        <v>63</v>
      </c>
      <c r="E1164" s="5" t="str">
        <f t="shared" si="59"/>
        <v>ACTISALUD -PEDIATRIA</v>
      </c>
      <c r="F116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000037980 Material: CUERINA, MADERA Y METAL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000037980 Material: CUERINA, MADERA Y METAL Color: AZUL Referencia:  Observacion:  Placa padre: Tipo adquisicion: Entidad</v>
      </c>
      <c r="G1164" s="5"/>
    </row>
    <row r="1165" spans="1:7" ht="58.5" customHeight="1" x14ac:dyDescent="0.25">
      <c r="A1165" s="5" t="str">
        <f>"H0007096"</f>
        <v>H0007096</v>
      </c>
      <c r="B1165" s="5" t="str">
        <f>"ESCRITORIO DE MADERA 2 GAVETAS"</f>
        <v>ESCRITORIO DE MADERA 2 GAVETAS</v>
      </c>
      <c r="C1165" s="6">
        <v>745053.84</v>
      </c>
      <c r="D1165" s="5"/>
      <c r="E1165" s="5" t="str">
        <f t="shared" si="59"/>
        <v>ACTISALUD -PEDIATRIA</v>
      </c>
      <c r="F1165" s="5" t="str">
        <f>"Descripcion: 78X131X76ESCRITORIO DE MADERA RESSUPERFICIE CON VIDRIO 120X60 Estado: Bueno Placa anterior: 000001349 Material: MADERA Color:  Referencia:  Observacion:  Placa padre: Tipo adquisicion: Entidad"</f>
        <v>Descripcion: 78X131X76ESCRITORIO DE MADERA RESSUPERFICIE CON VIDRIO 120X60 Estado: Bueno Placa anterior: 000001349 Material: MADERA Color:  Referencia:  Observacion:  Placa padre: Tipo adquisicion: Entidad</v>
      </c>
      <c r="G1165" s="5"/>
    </row>
    <row r="1166" spans="1:7" ht="58.5" customHeight="1" x14ac:dyDescent="0.25">
      <c r="A1166" s="5" t="str">
        <f>"H0007594"</f>
        <v>H0007594</v>
      </c>
      <c r="B1166" s="5" t="str">
        <f>"MESA PUENTE (ALIMENTACION) (INSTRUMENTAL)"</f>
        <v>MESA PUENTE (ALIMENTACION) (INSTRUMENTAL)</v>
      </c>
      <c r="C1166" s="6">
        <v>300000</v>
      </c>
      <c r="D1166" s="5" t="s">
        <v>63</v>
      </c>
      <c r="E1166" s="5" t="str">
        <f t="shared" si="59"/>
        <v>ACTISALUD -PEDIATRIA</v>
      </c>
      <c r="F1166" s="5" t="str">
        <f>"Descripcion: MESA PUENTES Estado: Bueno Placa anterior: 000037860 Material:  Color:  Referencia:  Observacion:  Placa padre: Tipo adquisicion: Entidad"</f>
        <v>Descripcion: MESA PUENTES Estado: Bueno Placa anterior: 000037860 Material:  Color:  Referencia:  Observacion:  Placa padre: Tipo adquisicion: Entidad</v>
      </c>
      <c r="G1166" s="5"/>
    </row>
    <row r="1167" spans="1:7" ht="58.5" customHeight="1" x14ac:dyDescent="0.25">
      <c r="A1167" s="5" t="str">
        <f>"H0007600"</f>
        <v>H0007600</v>
      </c>
      <c r="B1167" s="5" t="str">
        <f>"SILLA RECLINOMATICA"</f>
        <v>SILLA RECLINOMATICA</v>
      </c>
      <c r="C1167" s="6">
        <v>1220000</v>
      </c>
      <c r="D1167" s="5" t="s">
        <v>63</v>
      </c>
      <c r="E1167" s="5" t="str">
        <f t="shared" si="59"/>
        <v>ACTISALUD -PEDIATRIA</v>
      </c>
      <c r="F1167"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000037900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000037900 Material: CUERO Color: AZUL Referencia:  Observacion:  Placa padre: Tipo adquisicion: Entidad</v>
      </c>
      <c r="G1167" s="5"/>
    </row>
    <row r="1168" spans="1:7" ht="58.5" customHeight="1" x14ac:dyDescent="0.25">
      <c r="A1168" s="5" t="str">
        <f>"H0007601"</f>
        <v>H0007601</v>
      </c>
      <c r="B1168" s="5" t="str">
        <f>"ATRIL PORTASUERO MOVIL"</f>
        <v>ATRIL PORTASUERO MOVIL</v>
      </c>
      <c r="C1168" s="6">
        <v>31920</v>
      </c>
      <c r="D1168" s="5"/>
      <c r="E1168" s="5" t="str">
        <f t="shared" si="59"/>
        <v>ACTISALUD -PEDIATRIA</v>
      </c>
      <c r="F1168" s="5" t="str">
        <f>"Descripcion: ATRIL CON OXIDO Estado: Regular Placa anterior: 000018431 Material: ACERO INOXIDABLE Color:  Referencia:  Observacion:  Placa padre: Tipo adquisicion: Entidad"</f>
        <v>Descripcion: ATRIL CON OXIDO Estado: Regular Placa anterior: 000018431 Material: ACERO INOXIDABLE Color:  Referencia:  Observacion:  Placa padre: Tipo adquisicion: Entidad</v>
      </c>
      <c r="G1168" s="5"/>
    </row>
    <row r="1169" spans="1:7" ht="58.5" customHeight="1" x14ac:dyDescent="0.25">
      <c r="A1169" s="5" t="str">
        <f>"H0007602"</f>
        <v>H0007602</v>
      </c>
      <c r="B1169" s="5" t="str">
        <f>"CUNA PEDIATRICA CON BARANDA"</f>
        <v>CUNA PEDIATRICA CON BARANDA</v>
      </c>
      <c r="C1169" s="6">
        <v>2668000</v>
      </c>
      <c r="D1169" s="5" t="s">
        <v>161</v>
      </c>
      <c r="E1169" s="5" t="str">
        <f t="shared" si="59"/>
        <v>ACTISALUD -PEDIATRIA</v>
      </c>
      <c r="F1169"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000031574 Material: METALICO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000031574 Material: METALICO Color: BEIGE Referencia:  Observacion:  Placa padre: Tipo adquisicion: Entidad</v>
      </c>
      <c r="G1169" s="5" t="str">
        <f>"131-45/01"</f>
        <v>131-45/01</v>
      </c>
    </row>
    <row r="1170" spans="1:7" ht="58.5" customHeight="1" x14ac:dyDescent="0.25">
      <c r="A1170" s="5" t="str">
        <f>"H0007605"</f>
        <v>H0007605</v>
      </c>
      <c r="B1170" s="5" t="str">
        <f>"ATRIL PORTASUERO MOVIL"</f>
        <v>ATRIL PORTASUERO MOVIL</v>
      </c>
      <c r="C1170" s="6">
        <v>7025</v>
      </c>
      <c r="D1170" s="5"/>
      <c r="E1170" s="5" t="str">
        <f t="shared" si="59"/>
        <v>ACTISALUD -PEDIATRIA</v>
      </c>
      <c r="F1170" s="5" t="str">
        <f>"Descripcion: ATRIL CON OXIDO Estado: Regular Placa anterior: 000023656 Material: ACERO INOXIDABLE Color:  Referencia:  Observacion:  Placa padre: Tipo adquisicion: Entidad"</f>
        <v>Descripcion: ATRIL CON OXIDO Estado: Regular Placa anterior: 000023656 Material: ACERO INOXIDABLE Color:  Referencia:  Observacion:  Placa padre: Tipo adquisicion: Entidad</v>
      </c>
      <c r="G1170" s="5"/>
    </row>
    <row r="1171" spans="1:7" ht="58.5" customHeight="1" x14ac:dyDescent="0.25">
      <c r="A1171" s="5" t="str">
        <f>"H0007607"</f>
        <v>H0007607</v>
      </c>
      <c r="B1171" s="5" t="str">
        <f>"SILLA RECLINOMATICA"</f>
        <v>SILLA RECLINOMATICA</v>
      </c>
      <c r="C1171" s="6">
        <v>1220000</v>
      </c>
      <c r="D1171" s="5" t="s">
        <v>63</v>
      </c>
      <c r="E1171" s="5" t="str">
        <f t="shared" si="59"/>
        <v>ACTISALUD -PEDIATRIA</v>
      </c>
      <c r="F1171"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000037899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000037899 Material: CUERO Color: AZUL Referencia:  Observacion:  Placa padre: Tipo adquisicion: Entidad</v>
      </c>
      <c r="G1171" s="5"/>
    </row>
    <row r="1172" spans="1:7" ht="58.5" customHeight="1" x14ac:dyDescent="0.25">
      <c r="A1172" s="5" t="str">
        <f>"H0007614"</f>
        <v>H0007614</v>
      </c>
      <c r="B1172" s="5" t="str">
        <f>"CUNA PEDIATRICA CON BARANDA"</f>
        <v>CUNA PEDIATRICA CON BARANDA</v>
      </c>
      <c r="C1172" s="6">
        <v>2668000</v>
      </c>
      <c r="D1172" s="5" t="s">
        <v>161</v>
      </c>
      <c r="E1172" s="5" t="str">
        <f t="shared" si="59"/>
        <v>ACTISALUD -PEDIATRIA</v>
      </c>
      <c r="F1172"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000031579 Material: METALICO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000031579 Material: METALICO Color: BEIGE Referencia:  Observacion:  Placa padre: Tipo adquisicion: Entidad</v>
      </c>
      <c r="G1172" s="5" t="str">
        <f>"131-45/01"</f>
        <v>131-45/01</v>
      </c>
    </row>
    <row r="1173" spans="1:7" ht="58.5" customHeight="1" x14ac:dyDescent="0.25">
      <c r="A1173" s="5" t="str">
        <f>"H0007616"</f>
        <v>H0007616</v>
      </c>
      <c r="B1173" s="5" t="str">
        <f>"ATRIL PORTASUERO MOVIL"</f>
        <v>ATRIL PORTASUERO MOVIL</v>
      </c>
      <c r="C1173" s="6">
        <v>31920</v>
      </c>
      <c r="D1173" s="5"/>
      <c r="E1173" s="5" t="str">
        <f t="shared" si="59"/>
        <v>ACTISALUD -PEDIATRIA</v>
      </c>
      <c r="F1173" s="5" t="str">
        <f>"Descripcion: ATRILOXIDO Estado: Regular Placa anterior: 000022049 Material: ACERO INOXIDABLE Color:  Referencia:  Observacion:  Placa padre: Tipo adquisicion: Entidad"</f>
        <v>Descripcion: ATRILOXIDO Estado: Regular Placa anterior: 000022049 Material: ACERO INOXIDABLE Color:  Referencia:  Observacion:  Placa padre: Tipo adquisicion: Entidad</v>
      </c>
      <c r="G1173" s="5"/>
    </row>
    <row r="1174" spans="1:7" ht="58.5" customHeight="1" x14ac:dyDescent="0.25">
      <c r="A1174" s="5" t="str">
        <f>"H0007617"</f>
        <v>H0007617</v>
      </c>
      <c r="B1174" s="5" t="str">
        <f>"CUNA PEDIATRICA CON BARANDA"</f>
        <v>CUNA PEDIATRICA CON BARANDA</v>
      </c>
      <c r="C1174" s="6">
        <v>2668000</v>
      </c>
      <c r="D1174" s="5" t="s">
        <v>161</v>
      </c>
      <c r="E1174" s="5" t="str">
        <f t="shared" si="59"/>
        <v>ACTISALUD -PEDIATRIA</v>
      </c>
      <c r="F1174"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000031569 Material: METALICO Color: BLANCO Referencia:  Observacion: ATRIL INCORPORADO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000031569 Material: METALICO Color: BLANCO Referencia:  Observacion: ATRIL INCORPORADO Placa padre: Tipo adquisicion: Entidad</v>
      </c>
      <c r="G1174" s="5"/>
    </row>
    <row r="1175" spans="1:7" ht="58.5" customHeight="1" x14ac:dyDescent="0.25">
      <c r="A1175" s="5" t="str">
        <f>"H0007619"</f>
        <v>H0007619</v>
      </c>
      <c r="B1175" s="5" t="str">
        <f>"SILLA RECLINOMATICA"</f>
        <v>SILLA RECLINOMATICA</v>
      </c>
      <c r="C1175" s="6">
        <v>1220000</v>
      </c>
      <c r="D1175" s="5" t="s">
        <v>63</v>
      </c>
      <c r="E1175" s="5" t="str">
        <f t="shared" si="59"/>
        <v>ACTISALUD -PEDIATRIA</v>
      </c>
      <c r="F1175"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000037903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000037903 Material: CUERO Color: AZUL Referencia:  Observacion:  Placa padre: Tipo adquisicion: Entidad</v>
      </c>
      <c r="G1175" s="5"/>
    </row>
    <row r="1176" spans="1:7" ht="58.5" customHeight="1" x14ac:dyDescent="0.25">
      <c r="A1176" s="5" t="str">
        <f>"H0007623"</f>
        <v>H0007623</v>
      </c>
      <c r="B1176" s="5" t="str">
        <f>"CUNA PEDIATRICA CON BARANDA"</f>
        <v>CUNA PEDIATRICA CON BARANDA</v>
      </c>
      <c r="C1176" s="6">
        <v>2668000</v>
      </c>
      <c r="D1176" s="5" t="s">
        <v>161</v>
      </c>
      <c r="E1176" s="5" t="str">
        <f t="shared" si="59"/>
        <v>ACTISALUD -PEDIATRIA</v>
      </c>
      <c r="F1176"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000031578 Material: METALICO Color: BLANCO Referencia:  Observacion: ATRIL INCORPORADO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000031578 Material: METALICO Color: BLANCO Referencia:  Observacion: ATRIL INCORPORADO Placa padre: Tipo adquisicion: Entidad</v>
      </c>
      <c r="G1176" s="5" t="str">
        <f>"131-45/01"</f>
        <v>131-45/01</v>
      </c>
    </row>
    <row r="1177" spans="1:7" ht="58.5" customHeight="1" x14ac:dyDescent="0.25">
      <c r="A1177" s="5" t="str">
        <f>"H0007624"</f>
        <v>H0007624</v>
      </c>
      <c r="B1177" s="5" t="str">
        <f>"SILLA RECLINOMATICA"</f>
        <v>SILLA RECLINOMATICA</v>
      </c>
      <c r="C1177" s="6">
        <v>1220000</v>
      </c>
      <c r="D1177" s="5" t="s">
        <v>63</v>
      </c>
      <c r="E1177" s="5" t="str">
        <f t="shared" si="59"/>
        <v>ACTISALUD -PEDIATRIA</v>
      </c>
      <c r="F1177"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000037902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000037902 Material: CUERO Color: AZUL Referencia:  Observacion:  Placa padre: Tipo adquisicion: Entidad</v>
      </c>
      <c r="G1177" s="5"/>
    </row>
    <row r="1178" spans="1:7" ht="58.5" customHeight="1" x14ac:dyDescent="0.25">
      <c r="A1178" s="5" t="str">
        <f>"H0007625"</f>
        <v>H0007625</v>
      </c>
      <c r="B1178" s="5" t="str">
        <f>"CUNA PEDIATRICA CON BARANDA"</f>
        <v>CUNA PEDIATRICA CON BARANDA</v>
      </c>
      <c r="C1178" s="6">
        <v>2204000</v>
      </c>
      <c r="D1178" s="5" t="s">
        <v>162</v>
      </c>
      <c r="E1178" s="5" t="str">
        <f t="shared" si="59"/>
        <v>ACTISALUD -PEDIATRIA</v>
      </c>
      <c r="F1178"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000038794 Material: METALICO Color: BLANCO Referencia:  Observacion: ATRIL INCORPORADO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000038794 Material: METALICO Color: BLANCO Referencia:  Observacion: ATRIL INCORPORADO Placa padre: Tipo adquisicion: Entidad</v>
      </c>
      <c r="G1178" s="5"/>
    </row>
    <row r="1179" spans="1:7" ht="58.5" customHeight="1" x14ac:dyDescent="0.25">
      <c r="A1179" s="5" t="str">
        <f>"H0007627"</f>
        <v>H0007627</v>
      </c>
      <c r="B1179" s="5" t="str">
        <f>"SILLA RECLINOMATICA"</f>
        <v>SILLA RECLINOMATICA</v>
      </c>
      <c r="C1179" s="6">
        <v>1220000</v>
      </c>
      <c r="D1179" s="5" t="s">
        <v>63</v>
      </c>
      <c r="E1179" s="5" t="str">
        <f t="shared" si="59"/>
        <v>ACTISALUD -PEDIATRIA</v>
      </c>
      <c r="F1179"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000037904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000037904 Material: CUERO Color: AZUL Referencia:  Observacion:  Placa padre: Tipo adquisicion: Entidad</v>
      </c>
      <c r="G1179" s="5"/>
    </row>
    <row r="1180" spans="1:7" ht="58.5" customHeight="1" x14ac:dyDescent="0.25">
      <c r="A1180" s="5" t="str">
        <f>"H0007630"</f>
        <v>H0007630</v>
      </c>
      <c r="B1180" s="5" t="str">
        <f>"SILLA RECLINOMATICA"</f>
        <v>SILLA RECLINOMATICA</v>
      </c>
      <c r="C1180" s="6">
        <v>1220000</v>
      </c>
      <c r="D1180" s="5" t="s">
        <v>63</v>
      </c>
      <c r="E1180" s="5" t="str">
        <f t="shared" si="59"/>
        <v>ACTISALUD -PEDIATRIA</v>
      </c>
      <c r="F1180"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000037905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000037905 Material: CUERO Color: AZUL Referencia:  Observacion:  Placa padre: Tipo adquisicion: Entidad</v>
      </c>
      <c r="G1180" s="5"/>
    </row>
    <row r="1181" spans="1:7" ht="58.5" customHeight="1" x14ac:dyDescent="0.25">
      <c r="A1181" s="5" t="str">
        <f>"H0007631"</f>
        <v>H0007631</v>
      </c>
      <c r="B1181" s="5" t="str">
        <f>"ATRIL PORTASUERO MOVIL"</f>
        <v>ATRIL PORTASUERO MOVIL</v>
      </c>
      <c r="C1181" s="6">
        <v>210000</v>
      </c>
      <c r="D1181" s="5" t="s">
        <v>50</v>
      </c>
      <c r="E1181" s="5" t="str">
        <f t="shared" si="59"/>
        <v>ACTISALUD -PEDIATRIA</v>
      </c>
      <c r="F1181" s="5" t="str">
        <f>"Descripcion: ATRIL EN ACERO INOXIDABLE , CON OXIDO - ANTIMAGNETICO Estado: Regular Placa anterior: 000029734 Material: ACERO INOXIDABLE Color:  Referencia:  Observacion:  Placa padre: Tipo adquisicion: Entidad"</f>
        <v>Descripcion: ATRIL EN ACERO INOXIDABLE , CON OXIDO - ANTIMAGNETICO Estado: Regular Placa anterior: 000029734 Material: ACERO INOXIDABLE Color:  Referencia:  Observacion:  Placa padre: Tipo adquisicion: Entidad</v>
      </c>
      <c r="G1181" s="5"/>
    </row>
    <row r="1182" spans="1:7" ht="58.5" customHeight="1" x14ac:dyDescent="0.25">
      <c r="A1182" s="5" t="str">
        <f>"H0007632"</f>
        <v>H0007632</v>
      </c>
      <c r="B1182" s="5" t="str">
        <f>"CUNA PEDIATRICA CON BARANDA"</f>
        <v>CUNA PEDIATRICA CON BARANDA</v>
      </c>
      <c r="C1182" s="6">
        <v>2204000</v>
      </c>
      <c r="D1182" s="5" t="s">
        <v>162</v>
      </c>
      <c r="E1182" s="5" t="str">
        <f t="shared" si="59"/>
        <v>ACTISALUD -PEDIATRIA</v>
      </c>
      <c r="F1182"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000038787 Material: METALICO Color: BLANCO Referencia:  Observacion: ATRIL INCORPORADO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000038787 Material: METALICO Color: BLANCO Referencia:  Observacion: ATRIL INCORPORADO Placa padre: Tipo adquisicion: Entidad</v>
      </c>
      <c r="G1182" s="5"/>
    </row>
    <row r="1183" spans="1:7" ht="58.5" customHeight="1" x14ac:dyDescent="0.25">
      <c r="A1183" s="5" t="str">
        <f>"H0007635"</f>
        <v>H0007635</v>
      </c>
      <c r="B1183" s="5" t="str">
        <f>"ESCALERILLA DE 2 PASOS"</f>
        <v>ESCALERILLA DE 2 PASOS</v>
      </c>
      <c r="C1183" s="6">
        <v>100000</v>
      </c>
      <c r="D1183" s="5" t="s">
        <v>49</v>
      </c>
      <c r="E1183" s="5" t="str">
        <f t="shared" si="59"/>
        <v>ACTISALUD -PEDIATRIA</v>
      </c>
      <c r="F1183" s="5" t="str">
        <f>"Descripcion: PELADA.  ESCALERILLA DE DOS PASO EN TUBO REDONDO Estado: Regular Placa anterior: 000029868 Material: METALICO Color: BLANCO Referencia:  Observacion:  Placa padre: Tipo adquisicion: Entidad"</f>
        <v>Descripcion: PELADA.  ESCALERILLA DE DOS PASO EN TUBO REDONDO Estado: Regular Placa anterior: 000029868 Material: METALICO Color: BLANCO Referencia:  Observacion:  Placa padre: Tipo adquisicion: Entidad</v>
      </c>
      <c r="G1183" s="5"/>
    </row>
    <row r="1184" spans="1:7" ht="58.5" customHeight="1" x14ac:dyDescent="0.25">
      <c r="A1184" s="5" t="str">
        <f>"H0007641"</f>
        <v>H0007641</v>
      </c>
      <c r="B1184" s="5" t="str">
        <f>"SILLA RECLINOMATICA"</f>
        <v>SILLA RECLINOMATICA</v>
      </c>
      <c r="C1184" s="6">
        <v>1220000</v>
      </c>
      <c r="D1184" s="5" t="s">
        <v>63</v>
      </c>
      <c r="E1184" s="5" t="str">
        <f t="shared" si="59"/>
        <v>ACTISALUD -PEDIATRIA</v>
      </c>
      <c r="F118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000037906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000037906 Material: CUERO Color: AZUL Referencia:  Observacion:  Placa padre: Tipo adquisicion: Entidad</v>
      </c>
      <c r="G1184" s="5"/>
    </row>
    <row r="1185" spans="1:7" ht="58.5" customHeight="1" x14ac:dyDescent="0.25">
      <c r="A1185" s="5" t="str">
        <f>"H0007645"</f>
        <v>H0007645</v>
      </c>
      <c r="B1185" s="5" t="str">
        <f>"MESA PUENTE (ALIMENTACION) (INSTRUMENTAL)"</f>
        <v>MESA PUENTE (ALIMENTACION) (INSTRUMENTAL)</v>
      </c>
      <c r="C1185" s="6">
        <v>300000</v>
      </c>
      <c r="D1185" s="5" t="s">
        <v>63</v>
      </c>
      <c r="E1185" s="5" t="str">
        <f t="shared" si="59"/>
        <v>ACTISALUD -PEDIATRIA</v>
      </c>
      <c r="F1185" s="5" t="str">
        <f>"Descripcion: MESA PUENTE Estado: Bueno Placa anterior: 000037859 Material: METALICO Color: GRIS Referencia:  Observacion:  Placa padre: Tipo adquisicion: Entidad"</f>
        <v>Descripcion: MESA PUENTE Estado: Bueno Placa anterior: 000037859 Material: METALICO Color: GRIS Referencia:  Observacion:  Placa padre: Tipo adquisicion: Entidad</v>
      </c>
      <c r="G1185" s="5"/>
    </row>
    <row r="1186" spans="1:7" ht="58.5" customHeight="1" x14ac:dyDescent="0.25">
      <c r="A1186" s="5" t="str">
        <f>"H0007646"</f>
        <v>H0007646</v>
      </c>
      <c r="B1186" s="5" t="str">
        <f>"ATRIL PORTASUERO MOVIL"</f>
        <v>ATRIL PORTASUERO MOVIL</v>
      </c>
      <c r="C1186" s="6">
        <v>210000</v>
      </c>
      <c r="D1186" s="5" t="s">
        <v>50</v>
      </c>
      <c r="E1186" s="5" t="str">
        <f t="shared" si="59"/>
        <v>ACTISALUD -PEDIATRIA</v>
      </c>
      <c r="F1186" s="5" t="str">
        <f>"Descripcion: ATRIL EN ACERO INOXIDABLE , CON OXIDO - ANTIMAGNETICO Estado: Regular Placa anterior: 000029718 Material: ACERO INOXIDABLE Color:  Referencia:  Observacion:  Placa padre: Tipo adquisicion: Entidad"</f>
        <v>Descripcion: ATRIL EN ACERO INOXIDABLE , CON OXIDO - ANTIMAGNETICO Estado: Regular Placa anterior: 000029718 Material: ACERO INOXIDABLE Color:  Referencia:  Observacion:  Placa padre: Tipo adquisicion: Entidad</v>
      </c>
      <c r="G1186" s="5"/>
    </row>
    <row r="1187" spans="1:7" ht="58.5" customHeight="1" x14ac:dyDescent="0.25">
      <c r="A1187" s="5" t="str">
        <f>"H0007648"</f>
        <v>H0007648</v>
      </c>
      <c r="B1187" s="5" t="str">
        <f>"SILLA RECLINOMATICA"</f>
        <v>SILLA RECLINOMATICA</v>
      </c>
      <c r="C1187" s="6">
        <v>1220000</v>
      </c>
      <c r="D1187" s="5" t="s">
        <v>63</v>
      </c>
      <c r="E1187" s="5" t="str">
        <f t="shared" si="59"/>
        <v>ACTISALUD -PEDIATRIA</v>
      </c>
      <c r="F1187"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000037907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000037907 Material: CUERO Color: AZUL Referencia:  Observacion:  Placa padre: Tipo adquisicion: Entidad</v>
      </c>
      <c r="G1187" s="5"/>
    </row>
    <row r="1188" spans="1:7" ht="58.5" customHeight="1" x14ac:dyDescent="0.25">
      <c r="A1188" s="5" t="str">
        <f>"H0007650"</f>
        <v>H0007650</v>
      </c>
      <c r="B1188" s="5" t="str">
        <f>"CUNA PEDIATRICA CON BARANDA"</f>
        <v>CUNA PEDIATRICA CON BARANDA</v>
      </c>
      <c r="C1188" s="6">
        <v>33905.06</v>
      </c>
      <c r="D1188" s="5"/>
      <c r="E1188" s="5" t="str">
        <f t="shared" si="59"/>
        <v>ACTISALUD -PEDIATRIA</v>
      </c>
      <c r="F1188" s="5" t="str">
        <f>"Descripcion: CAMA CUNAPELADACAMA CUNA4 PLANOSBARANDASCOLCHONSIN ATRIL Estado: Regular Placa anterior: 000033701 Material: METALICO Color: GRIS Referencia:  Observacion: AUTORIZADO CONCILIAR EN CRUCE GENERAL Placa padre: Tipo adquisicion: Entidad"</f>
        <v>Descripcion: CAMA CUNAPELADACAMA CUNA4 PLANOSBARANDASCOLCHONSIN ATRIL Estado: Regular Placa anterior: 000033701 Material: METALICO Color: GRIS Referencia:  Observacion: AUTORIZADO CONCILIAR EN CRUCE GENERAL Placa padre: Tipo adquisicion: Entidad</v>
      </c>
      <c r="G1188" s="5"/>
    </row>
    <row r="1189" spans="1:7" ht="58.5" customHeight="1" x14ac:dyDescent="0.25">
      <c r="A1189" s="5" t="str">
        <f>"H0007651"</f>
        <v>H0007651</v>
      </c>
      <c r="B1189" s="5" t="str">
        <f>"SILLA RECLINOMATICA"</f>
        <v>SILLA RECLINOMATICA</v>
      </c>
      <c r="C1189" s="6">
        <v>1220000</v>
      </c>
      <c r="D1189" s="5" t="s">
        <v>63</v>
      </c>
      <c r="E1189" s="5" t="str">
        <f t="shared" si="59"/>
        <v>ACTISALUD -PEDIATRIA</v>
      </c>
      <c r="F1189"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000037908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000037908 Material: CUERO Color: AZUL Referencia:  Observacion:  Placa padre: Tipo adquisicion: Entidad</v>
      </c>
      <c r="G1189" s="5"/>
    </row>
    <row r="1190" spans="1:7" ht="58.5" customHeight="1" x14ac:dyDescent="0.25">
      <c r="A1190" s="5" t="str">
        <f>"H0007654"</f>
        <v>H0007654</v>
      </c>
      <c r="B1190" s="5" t="str">
        <f>"SILLA RECLINOMATICA"</f>
        <v>SILLA RECLINOMATICA</v>
      </c>
      <c r="C1190" s="6">
        <v>1220000</v>
      </c>
      <c r="D1190" s="5" t="s">
        <v>63</v>
      </c>
      <c r="E1190" s="5" t="str">
        <f t="shared" si="59"/>
        <v>ACTISALUD -PEDIATRIA</v>
      </c>
      <c r="F1190"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000037918 Material: CUERO Color: NEGRO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000037918 Material: CUERO Color: NEGRO Referencia:  Observacion:  Placa padre: Tipo adquisicion: Entidad</v>
      </c>
      <c r="G1190" s="5"/>
    </row>
    <row r="1191" spans="1:7" ht="58.5" customHeight="1" x14ac:dyDescent="0.25">
      <c r="A1191" s="5" t="str">
        <f>"H0007657"</f>
        <v>H0007657</v>
      </c>
      <c r="B1191" s="5" t="str">
        <f>"SILLA RECLINOMATICA"</f>
        <v>SILLA RECLINOMATICA</v>
      </c>
      <c r="C1191" s="6">
        <v>1220000</v>
      </c>
      <c r="D1191" s="5" t="s">
        <v>63</v>
      </c>
      <c r="E1191" s="5" t="str">
        <f t="shared" si="59"/>
        <v>ACTISALUD -PEDIATRIA</v>
      </c>
      <c r="F1191"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000037915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000037915 Material: CUERO Color: AZUL Referencia:  Observacion:  Placa padre: Tipo adquisicion: Entidad</v>
      </c>
      <c r="G1191" s="5"/>
    </row>
    <row r="1192" spans="1:7" ht="58.5" customHeight="1" x14ac:dyDescent="0.25">
      <c r="A1192" s="5" t="str">
        <f>"H0007660"</f>
        <v>H0007660</v>
      </c>
      <c r="B1192" s="5" t="str">
        <f>"ATRIL PORTASUERO MOVIL"</f>
        <v>ATRIL PORTASUERO MOVIL</v>
      </c>
      <c r="C1192" s="6">
        <v>210000</v>
      </c>
      <c r="D1192" s="5" t="s">
        <v>50</v>
      </c>
      <c r="E1192" s="5" t="str">
        <f t="shared" si="59"/>
        <v>ACTISALUD -PEDIATRIA</v>
      </c>
      <c r="F1192" s="5" t="str">
        <f>"Descripcion: ATRIL EN ACERO INOXIDABLE , CON OXIDO - ANTIMAGNETICO Estado: Regular Placa anterior: 000029740 Material: ACERO INOXIDABLE Color:  Referencia:  Observacion:  Placa padre: Tipo adquisicion: Entidad"</f>
        <v>Descripcion: ATRIL EN ACERO INOXIDABLE , CON OXIDO - ANTIMAGNETICO Estado: Regular Placa anterior: 000029740 Material: ACERO INOXIDABLE Color:  Referencia:  Observacion:  Placa padre: Tipo adquisicion: Entidad</v>
      </c>
      <c r="G1192" s="5"/>
    </row>
    <row r="1193" spans="1:7" ht="58.5" customHeight="1" x14ac:dyDescent="0.25">
      <c r="A1193" s="5" t="str">
        <f>"H0007662"</f>
        <v>H0007662</v>
      </c>
      <c r="B1193" s="5" t="str">
        <f>"SILLA RECLINOMATICA"</f>
        <v>SILLA RECLINOMATICA</v>
      </c>
      <c r="C1193" s="6">
        <v>1220000</v>
      </c>
      <c r="D1193" s="5" t="s">
        <v>63</v>
      </c>
      <c r="E1193" s="5" t="str">
        <f t="shared" si="59"/>
        <v>ACTISALUD -PEDIATRIA</v>
      </c>
      <c r="F119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000037916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000037916 Material: CUERO Color: AZUL Referencia:  Observacion:  Placa padre: Tipo adquisicion: Entidad</v>
      </c>
      <c r="G1193" s="5"/>
    </row>
    <row r="1194" spans="1:7" ht="58.5" customHeight="1" x14ac:dyDescent="0.25">
      <c r="A1194" s="5" t="str">
        <f>"H0007663"</f>
        <v>H0007663</v>
      </c>
      <c r="B1194" s="5" t="str">
        <f>"ATRIL PORTASUERO MOVIL"</f>
        <v>ATRIL PORTASUERO MOVIL</v>
      </c>
      <c r="C1194" s="6">
        <v>210000</v>
      </c>
      <c r="D1194" s="5" t="s">
        <v>50</v>
      </c>
      <c r="E1194" s="5" t="str">
        <f t="shared" si="59"/>
        <v>ACTISALUD -PEDIATRIA</v>
      </c>
      <c r="F1194" s="5" t="str">
        <f>"Descripcion: ATRIL EN ACERO INOXIDABLE , CON OXIDO - ANTIMAGNETICO Estado: Regular Placa anterior: 000029744 Material: ACERO INOXIDABLE Color:  Referencia:  Observacion:  Placa padre: Tipo adquisicion: Entidad"</f>
        <v>Descripcion: ATRIL EN ACERO INOXIDABLE , CON OXIDO - ANTIMAGNETICO Estado: Regular Placa anterior: 000029744 Material: ACERO INOXIDABLE Color:  Referencia:  Observacion:  Placa padre: Tipo adquisicion: Entidad</v>
      </c>
      <c r="G1194" s="5"/>
    </row>
    <row r="1195" spans="1:7" ht="58.5" customHeight="1" x14ac:dyDescent="0.25">
      <c r="A1195" s="5" t="str">
        <f>"H0007664"</f>
        <v>H0007664</v>
      </c>
      <c r="B1195" s="5" t="str">
        <f>"CUNA PEDIATRICA CON BARANDA"</f>
        <v>CUNA PEDIATRICA CON BARANDA</v>
      </c>
      <c r="C1195" s="6">
        <v>2204000</v>
      </c>
      <c r="D1195" s="5" t="s">
        <v>162</v>
      </c>
      <c r="E1195" s="5" t="str">
        <f t="shared" si="59"/>
        <v>ACTISALUD -PEDIATRIA</v>
      </c>
      <c r="F1195"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000038789 Material: METALICO Color: BLANCO Referencia:  Observacion: ATRIL INCORPORADO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000038789 Material: METALICO Color: BLANCO Referencia:  Observacion: ATRIL INCORPORADO Placa padre: Tipo adquisicion: Entidad</v>
      </c>
      <c r="G1195" s="5"/>
    </row>
    <row r="1196" spans="1:7" ht="58.5" customHeight="1" x14ac:dyDescent="0.25">
      <c r="A1196" s="5" t="str">
        <f>"H0007668"</f>
        <v>H0007668</v>
      </c>
      <c r="B1196" s="5" t="str">
        <f>"SILLA RECLINOMATICA"</f>
        <v>SILLA RECLINOMATICA</v>
      </c>
      <c r="C1196" s="6">
        <v>1220000</v>
      </c>
      <c r="D1196" s="5" t="s">
        <v>63</v>
      </c>
      <c r="E1196" s="5" t="str">
        <f t="shared" si="59"/>
        <v>ACTISALUD -PEDIATRIA</v>
      </c>
      <c r="F119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000037917 Material: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000037917 Material: CUERO Color: AZUL Referencia:  Observacion:  Placa padre: Tipo adquisicion: Entidad</v>
      </c>
      <c r="G1196" s="5"/>
    </row>
    <row r="1197" spans="1:7" ht="58.5" customHeight="1" x14ac:dyDescent="0.25">
      <c r="A1197" s="5" t="str">
        <f>"H0007671"</f>
        <v>H0007671</v>
      </c>
      <c r="B1197" s="5" t="str">
        <f>"CUNA PEDIATRICA CON BARANDA"</f>
        <v>CUNA PEDIATRICA CON BARANDA</v>
      </c>
      <c r="C1197" s="6">
        <v>2204000</v>
      </c>
      <c r="D1197" s="5" t="s">
        <v>162</v>
      </c>
      <c r="E1197" s="5" t="str">
        <f t="shared" si="59"/>
        <v>ACTISALUD -PEDIATRIA</v>
      </c>
      <c r="F1197"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000036952 Material: METALICO Color: BLANCO Referencia:  Observacion: ATRIL INCORPORADO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000036952 Material: METALICO Color: BLANCO Referencia:  Observacion: ATRIL INCORPORADO Placa padre: Tipo adquisicion: Entidad</v>
      </c>
      <c r="G1197" s="5"/>
    </row>
    <row r="1198" spans="1:7" ht="58.5" customHeight="1" x14ac:dyDescent="0.25">
      <c r="A1198" s="5" t="str">
        <f>"H0007672"</f>
        <v>H0007672</v>
      </c>
      <c r="B1198" s="5" t="str">
        <f>"ATRIL PORTASUERO MOVIL"</f>
        <v>ATRIL PORTASUERO MOVIL</v>
      </c>
      <c r="C1198" s="6">
        <v>210000</v>
      </c>
      <c r="D1198" s="5" t="s">
        <v>50</v>
      </c>
      <c r="E1198" s="5" t="str">
        <f t="shared" si="59"/>
        <v>ACTISALUD -PEDIATRIA</v>
      </c>
      <c r="F1198" s="5" t="str">
        <f>"Descripcion: ATRIL EN ACERO INOXIDABLE QUIRURGICO ANTIMAGNETICOOXIDO Estado: Regular Placa anterior: 000029733 Material: ACERO INOXIDABLE Color:  Referencia:  Observacion:  Placa padre: Tipo adquisicion: Entidad"</f>
        <v>Descripcion: ATRIL EN ACERO INOXIDABLE QUIRURGICO ANTIMAGNETICOOXIDO Estado: Regular Placa anterior: 000029733 Material: ACERO INOXIDABLE Color:  Referencia:  Observacion:  Placa padre: Tipo adquisicion: Entidad</v>
      </c>
      <c r="G1198" s="5"/>
    </row>
    <row r="1199" spans="1:7" ht="58.5" customHeight="1" x14ac:dyDescent="0.25">
      <c r="A1199" s="5" t="str">
        <f>"H0007684"</f>
        <v>H0007684</v>
      </c>
      <c r="B1199" s="5" t="str">
        <f>"MESA DE NOCHE"</f>
        <v>MESA DE NOCHE</v>
      </c>
      <c r="C1199" s="6">
        <v>344520</v>
      </c>
      <c r="D1199" s="5"/>
      <c r="E1199" s="5" t="str">
        <f t="shared" si="59"/>
        <v>ACTISALUD -PEDIATRIA</v>
      </c>
      <c r="F1199" s="5" t="str">
        <f>"Descripcion: MESA DE NOCHESUPERFICIE EN FORMICABASE METALICA1 GAVETA1 PUERTA Estado: Bueno Placa anterior: 000027169 Material: METALICO Color: BEIGE Referencia: C-323 Observacion:  Placa padre: Tipo adquisicion: Entidad"</f>
        <v>Descripcion: MESA DE NOCHESUPERFICIE EN FORMICABASE METALICA1 GAVETA1 PUERTA Estado: Bueno Placa anterior: 000027169 Material: METALICO Color: BEIGE Referencia: C-323 Observacion:  Placa padre: Tipo adquisicion: Entidad</v>
      </c>
      <c r="G1199" s="5" t="str">
        <f>"452099144"</f>
        <v>452099144</v>
      </c>
    </row>
    <row r="1200" spans="1:7" ht="58.5" customHeight="1" x14ac:dyDescent="0.25">
      <c r="A1200" s="5" t="str">
        <f>"H0007688"</f>
        <v>H0007688</v>
      </c>
      <c r="B1200" s="5" t="str">
        <f>"MESA DE NOCHE"</f>
        <v>MESA DE NOCHE</v>
      </c>
      <c r="C1200" s="6">
        <v>275173</v>
      </c>
      <c r="D1200" s="5" t="s">
        <v>163</v>
      </c>
      <c r="E1200" s="5" t="str">
        <f t="shared" ref="E1200:E1263" si="62">"ACTISALUD -PEDIATRIA"</f>
        <v>ACTISALUD -PEDIATRIA</v>
      </c>
      <c r="F1200" s="5" t="str">
        <f>"Descripcion: NOCHEROS SENCILLOS REF. C323SUPERFICIE EN FORMICABASE METALICA1 GAVETA1 PUERTA Estado: Bueno Placa anterior: 000028062 Material: METALICO Color: BEIGE Referencia: C-323 Observacion:  Placa padre: Tipo adquisicion: Donacion"</f>
        <v>Descripcion: NOCHEROS SENCILLOS REF. C323SUPERFICIE EN FORMICABASE METALICA1 GAVETA1 PUERTA Estado: Bueno Placa anterior: 000028062 Material: METALICO Color: BEIGE Referencia: C-323 Observacion:  Placa padre: Tipo adquisicion: Donacion</v>
      </c>
      <c r="G1200" s="5" t="str">
        <f>"452099144"</f>
        <v>452099144</v>
      </c>
    </row>
    <row r="1201" spans="1:7" ht="58.5" customHeight="1" x14ac:dyDescent="0.25">
      <c r="A1201" s="5" t="str">
        <f>"H0007693"</f>
        <v>H0007693</v>
      </c>
      <c r="B1201" s="5" t="str">
        <f>"TELEVISOR LCD 21"</f>
        <v>TELEVISOR LCD 21</v>
      </c>
      <c r="C1201" s="6">
        <v>550000</v>
      </c>
      <c r="D1201" s="5" t="s">
        <v>163</v>
      </c>
      <c r="E1201" s="5" t="str">
        <f t="shared" si="62"/>
        <v>ACTISALUD -PEDIATRIA</v>
      </c>
      <c r="F1201" s="5" t="str">
        <f>"Descripcion: TELEVISOR SAMSUN DE 21 LCDCON BASE Estado: Bueno Placa anterior: 000028061 Material: PASTA Color: NEGRO Referencia:  Observacion:  Placa padre: Tipo adquisicion: Donacion"</f>
        <v>Descripcion: TELEVISOR SAMSUN DE 21 LCDCON BASE Estado: Bueno Placa anterior: 000028061 Material: PASTA Color: NEGRO Referencia:  Observacion:  Placa padre: Tipo adquisicion: Donacion</v>
      </c>
      <c r="G1201" s="5" t="str">
        <f>"LN22B450C8"</f>
        <v>LN22B450C8</v>
      </c>
    </row>
    <row r="1202" spans="1:7" ht="58.5" customHeight="1" x14ac:dyDescent="0.25">
      <c r="A1202" s="5" t="str">
        <f>"H0007696"</f>
        <v>H0007696</v>
      </c>
      <c r="B1202" s="5" t="str">
        <f>"ATRIL PORTASUERO MOVIL"</f>
        <v>ATRIL PORTASUERO MOVIL</v>
      </c>
      <c r="C1202" s="6">
        <v>210000</v>
      </c>
      <c r="D1202" s="5" t="s">
        <v>50</v>
      </c>
      <c r="E1202" s="5" t="str">
        <f t="shared" si="62"/>
        <v>ACTISALUD -PEDIATRIA</v>
      </c>
      <c r="F1202" s="5" t="str">
        <f>"Descripcion: ATRIL EN ACERO INOXIDABLE , CON OXIDO - ANTIMAGNETICO Estado: Regular Placa anterior:  Material: ACERO INOXIDABLE Color:  Referencia:  Observacion:  Placa padre: Tipo adquisicion: Entidad"</f>
        <v>Descripcion: ATRIL EN ACERO INOXIDABLE , CON OXIDO - ANTIMAGNETICO Estado: Regular Placa anterior:  Material: ACERO INOXIDABLE Color:  Referencia:  Observacion:  Placa padre: Tipo adquisicion: Entidad</v>
      </c>
      <c r="G1202" s="5"/>
    </row>
    <row r="1203" spans="1:7" ht="58.5" customHeight="1" x14ac:dyDescent="0.25">
      <c r="A1203" s="5" t="str">
        <f>"H0007697"</f>
        <v>H0007697</v>
      </c>
      <c r="B1203" s="5" t="str">
        <f>"ATRIL PORTASUERO MOVIL"</f>
        <v>ATRIL PORTASUERO MOVIL</v>
      </c>
      <c r="C1203" s="6">
        <v>210000</v>
      </c>
      <c r="D1203" s="5" t="s">
        <v>50</v>
      </c>
      <c r="E1203" s="5" t="str">
        <f t="shared" si="62"/>
        <v>ACTISALUD -PEDIATRIA</v>
      </c>
      <c r="F1203" s="5" t="str">
        <f>"Descripcion: ATRIL EN ACERO INOXIDABLE , CON OXIDO - ANTIMAGNETICO Estado: Regular Placa anterior: 000029737 Material: ACERO INOXIDABLE Color:  Referencia:  Observacion:  Placa padre: Tipo adquisicion: Entidad"</f>
        <v>Descripcion: ATRIL EN ACERO INOXIDABLE , CON OXIDO - ANTIMAGNETICO Estado: Regular Placa anterior: 000029737 Material: ACERO INOXIDABLE Color:  Referencia:  Observacion:  Placa padre: Tipo adquisicion: Entidad</v>
      </c>
      <c r="G1203" s="5"/>
    </row>
    <row r="1204" spans="1:7" ht="58.5" customHeight="1" x14ac:dyDescent="0.25">
      <c r="A1204" s="5" t="str">
        <f>"H0007699"</f>
        <v>H0007699</v>
      </c>
      <c r="B1204" s="5" t="str">
        <f>"MESA DE NOCHE"</f>
        <v>MESA DE NOCHE</v>
      </c>
      <c r="C1204" s="6">
        <v>15588.09</v>
      </c>
      <c r="D1204" s="5"/>
      <c r="E1204" s="5" t="str">
        <f t="shared" si="62"/>
        <v>ACTISALUD -PEDIATRIA</v>
      </c>
      <c r="F1204" s="5" t="str">
        <f>"Descripcion: MESA DE NOCHEOXIDOPELADA1 GAVETA1 PUERTASUPERCIE EN FORMICA Estado: Regular Placa anterior: 000027152 Material: METALICO Color: BEIGE Referencia:  Observacion:  Placa padre: Tipo adquisicion: Entidad"</f>
        <v>Descripcion: MESA DE NOCHEOXIDOPELADA1 GAVETA1 PUERTASUPERCIE EN FORMICA Estado: Regular Placa anterior: 000027152 Material: METALICO Color: BEIGE Referencia:  Observacion:  Placa padre: Tipo adquisicion: Entidad</v>
      </c>
      <c r="G1204" s="5"/>
    </row>
    <row r="1205" spans="1:7" ht="58.5" customHeight="1" x14ac:dyDescent="0.25">
      <c r="A1205" s="5" t="str">
        <f>"H0007700"</f>
        <v>H0007700</v>
      </c>
      <c r="B1205" s="5" t="str">
        <f>"ATRIL PORTASUERO MOVIL"</f>
        <v>ATRIL PORTASUERO MOVIL</v>
      </c>
      <c r="C1205" s="6">
        <v>210000</v>
      </c>
      <c r="D1205" s="5" t="s">
        <v>50</v>
      </c>
      <c r="E1205" s="5" t="str">
        <f t="shared" si="62"/>
        <v>ACTISALUD -PEDIATRIA</v>
      </c>
      <c r="F1205" s="5" t="str">
        <f>"Descripcion: ATRIL EN ACERO INOXIDABLE , CON OXIDO - ANTIMAGNETICO Estado: Regular Placa anterior: 000029754 Material: ACERO INOXIDABLE Color:  Referencia:  Observacion:  Placa padre: Tipo adquisicion: Entidad"</f>
        <v>Descripcion: ATRIL EN ACERO INOXIDABLE , CON OXIDO - ANTIMAGNETICO Estado: Regular Placa anterior: 000029754 Material: ACERO INOXIDABLE Color:  Referencia:  Observacion:  Placa padre: Tipo adquisicion: Entidad</v>
      </c>
      <c r="G1205" s="5"/>
    </row>
    <row r="1206" spans="1:7" ht="58.5" customHeight="1" x14ac:dyDescent="0.25">
      <c r="A1206" s="5" t="str">
        <f>"H0007701"</f>
        <v>H0007701</v>
      </c>
      <c r="B1206" s="5" t="str">
        <f>"ATRIL PORTASUERO MOVIL"</f>
        <v>ATRIL PORTASUERO MOVIL</v>
      </c>
      <c r="C1206" s="6">
        <v>80005</v>
      </c>
      <c r="D1206" s="5" t="s">
        <v>164</v>
      </c>
      <c r="E1206" s="5" t="str">
        <f t="shared" si="62"/>
        <v>ACTISALUD -PEDIATRIA</v>
      </c>
      <c r="F1206" s="5" t="str">
        <f>"Descripcion: ATRIL PORTASUERO BASE EN PINTURA ELECTROESTATICA TUBO CROMADO Estado: Bueno Placa anterior: 000028695 Material: METALICO Color: BEIGE Referencia:  Observacion:  Placa padre: Tipo adquisicion: Entidad"</f>
        <v>Descripcion: ATRIL PORTASUERO BASE EN PINTURA ELECTROESTATICA TUBO CROMADO Estado: Bueno Placa anterior: 000028695 Material: METALICO Color: BEIGE Referencia:  Observacion:  Placa padre: Tipo adquisicion: Entidad</v>
      </c>
      <c r="G1206" s="5"/>
    </row>
    <row r="1207" spans="1:7" ht="58.5" customHeight="1" x14ac:dyDescent="0.25">
      <c r="A1207" s="5" t="str">
        <f>"H0007703"</f>
        <v>H0007703</v>
      </c>
      <c r="B1207" s="5" t="str">
        <f>"SILLA PLASTICA CON BRAZOS"</f>
        <v>SILLA PLASTICA CON BRAZOS</v>
      </c>
      <c r="C1207" s="6">
        <v>12240.32</v>
      </c>
      <c r="D1207" s="5"/>
      <c r="E1207" s="5" t="str">
        <f t="shared" si="62"/>
        <v>ACTISALUD -PEDIATRIA</v>
      </c>
      <c r="F1207" s="5" t="str">
        <f>"Descripcion: . Estado: Bueno Placa anterior: 000007520 Material: PASTA Color: BLANCO Referencia:  Observacion:  Placa padre: Tipo adquisicion: Entidad"</f>
        <v>Descripcion: . Estado: Bueno Placa anterior: 000007520 Material: PASTA Color: BLANCO Referencia:  Observacion:  Placa padre: Tipo adquisicion: Entidad</v>
      </c>
      <c r="G1207" s="5"/>
    </row>
    <row r="1208" spans="1:7" ht="58.5" customHeight="1" x14ac:dyDescent="0.25">
      <c r="A1208" s="5" t="str">
        <f>"H0007705"</f>
        <v>H0007705</v>
      </c>
      <c r="B1208" s="5" t="str">
        <f>"MESA DE NOCHE"</f>
        <v>MESA DE NOCHE</v>
      </c>
      <c r="C1208" s="6">
        <v>275173</v>
      </c>
      <c r="D1208" s="5" t="s">
        <v>163</v>
      </c>
      <c r="E1208" s="5" t="str">
        <f t="shared" si="62"/>
        <v>ACTISALUD -PEDIATRIA</v>
      </c>
      <c r="F1208" s="5" t="str">
        <f>"Descripcion: MESA DE NOCHE1 GAVETA1 PUERTASUPERCIE EN FORMICA Estado: Bueno Placa anterior: 000028063 Material: METALICO Color: BEIGE Referencia:  Observacion:  Placa padre: Tipo adquisicion: Entidad"</f>
        <v>Descripcion: MESA DE NOCHE1 GAVETA1 PUERTASUPERCIE EN FORMICA Estado: Bueno Placa anterior: 000028063 Material: METALICO Color: BEIGE Referencia:  Observacion:  Placa padre: Tipo adquisicion: Entidad</v>
      </c>
      <c r="G1208" s="5"/>
    </row>
    <row r="1209" spans="1:7" ht="58.5" customHeight="1" x14ac:dyDescent="0.25">
      <c r="A1209" s="5" t="str">
        <f>"H0007710"</f>
        <v>H0007710</v>
      </c>
      <c r="B1209" s="5" t="str">
        <f>"MESA PUENTE (ALIMENTACION) (INSTRUMENTAL)"</f>
        <v>MESA PUENTE (ALIMENTACION) (INSTRUMENTAL)</v>
      </c>
      <c r="C1209" s="6">
        <v>15000</v>
      </c>
      <c r="D1209" s="5"/>
      <c r="E1209" s="5" t="str">
        <f t="shared" si="62"/>
        <v>ACTISALUD -PEDIATRIA</v>
      </c>
      <c r="F1209" s="5" t="str">
        <f>"Descripcion: MESA PUENTE Estado: Regular Placa anterior: 000007611 Material: METALICO Color: GRIS Referencia:  Observacion:  Placa padre: Tipo adquisicion: Entidad"</f>
        <v>Descripcion: MESA PUENTE Estado: Regular Placa anterior: 000007611 Material: METALICO Color: GRIS Referencia:  Observacion:  Placa padre: Tipo adquisicion: Entidad</v>
      </c>
      <c r="G1209" s="5"/>
    </row>
    <row r="1210" spans="1:7" ht="58.5" customHeight="1" x14ac:dyDescent="0.25">
      <c r="A1210" s="5" t="str">
        <f>"H0007711"</f>
        <v>H0007711</v>
      </c>
      <c r="B1210" s="5" t="str">
        <f>"SILLA PLASTICA CON BRAZOS"</f>
        <v>SILLA PLASTICA CON BRAZOS</v>
      </c>
      <c r="C1210" s="6">
        <v>19900</v>
      </c>
      <c r="D1210" s="5" t="s">
        <v>165</v>
      </c>
      <c r="E1210" s="5" t="str">
        <f t="shared" si="62"/>
        <v>ACTISALUD -PEDIATRIA</v>
      </c>
      <c r="F1210" s="5" t="str">
        <f>"Descripcion: SILLAS PLASTICAS MARCA RIMAX Estado: Bueno Placa anterior: 000032543 Material: PASTA Color: BLANCO Referencia:  Observacion:  Placa padre: Tipo adquisicion: Donacion"</f>
        <v>Descripcion: SILLAS PLASTICAS MARCA RIMAX Estado: Bueno Placa anterior: 000032543 Material: PASTA Color: BLANCO Referencia:  Observacion:  Placa padre: Tipo adquisicion: Donacion</v>
      </c>
      <c r="G1210" s="5"/>
    </row>
    <row r="1211" spans="1:7" ht="58.5" customHeight="1" x14ac:dyDescent="0.25">
      <c r="A1211" s="5" t="str">
        <f>"H0007717"</f>
        <v>H0007717</v>
      </c>
      <c r="B1211" s="5" t="str">
        <f>"CUNA PEDIATRICA CON BARANDA"</f>
        <v>CUNA PEDIATRICA CON BARANDA</v>
      </c>
      <c r="C1211" s="6">
        <v>16005</v>
      </c>
      <c r="D1211" s="5"/>
      <c r="E1211" s="5" t="str">
        <f t="shared" si="62"/>
        <v>ACTISALUD -PEDIATRIA</v>
      </c>
      <c r="F1211" s="5" t="str">
        <f>"Descripcion: CAMA CUNA4 PLANOSPELADACOLCHON Estado: Regular Placa anterior: 000033733 Material: METAL Color: BEIGE Referencia:  Observacion: AUTORIZADO CONCILIAR EN CRUCE GENERAL Placa padre: Tipo adquisicion: Entidad"</f>
        <v>Descripcion: CAMA CUNA4 PLANOSPELADACOLCHON Estado: Regular Placa anterior: 000033733 Material: METAL Color: BEIGE Referencia:  Observacion: AUTORIZADO CONCILIAR EN CRUCE GENERAL Placa padre: Tipo adquisicion: Entidad</v>
      </c>
      <c r="G1211" s="5"/>
    </row>
    <row r="1212" spans="1:7" ht="58.5" customHeight="1" x14ac:dyDescent="0.25">
      <c r="A1212" s="5" t="str">
        <f>"H0007718"</f>
        <v>H0007718</v>
      </c>
      <c r="B1212" s="5" t="str">
        <f>"ATRIL PORTASUERO MOVIL"</f>
        <v>ATRIL PORTASUERO MOVIL</v>
      </c>
      <c r="C1212" s="6">
        <v>80005</v>
      </c>
      <c r="D1212" s="5" t="s">
        <v>164</v>
      </c>
      <c r="E1212" s="5" t="str">
        <f t="shared" si="62"/>
        <v>ACTISALUD -PEDIATRIA</v>
      </c>
      <c r="F1212" s="5" t="str">
        <f>"Descripcion: ATRIL PORTASUERO BASE EN PINTURA ELECTROESTATICA TUBO CROMADO Estado: Bueno Placa anterior: 000030470 Material: METAL Color: BEIGE Referencia:  Observacion:  Placa padre: Tipo adquisicion: Entidad"</f>
        <v>Descripcion: ATRIL PORTASUERO BASE EN PINTURA ELECTROESTATICA TUBO CROMADO Estado: Bueno Placa anterior: 000030470 Material: METAL Color: BEIGE Referencia:  Observacion:  Placa padre: Tipo adquisicion: Entidad</v>
      </c>
      <c r="G1212" s="5"/>
    </row>
    <row r="1213" spans="1:7" ht="58.5" customHeight="1" x14ac:dyDescent="0.25">
      <c r="A1213" s="5" t="str">
        <f>"H0007719"</f>
        <v>H0007719</v>
      </c>
      <c r="B1213" s="5" t="str">
        <f>"MESA DE NOCHE"</f>
        <v>MESA DE NOCHE</v>
      </c>
      <c r="C1213" s="6">
        <v>15588.09</v>
      </c>
      <c r="D1213" s="5"/>
      <c r="E1213" s="5" t="str">
        <f t="shared" si="62"/>
        <v>ACTISALUD -PEDIATRIA</v>
      </c>
      <c r="F1213" s="5" t="str">
        <f>"Descripcion: MESA DE NOCHE Estado: Regular Placa anterior: 000023591 Material: METAL Color: AZUL CLARO Referencia:  Observacion:  Placa padre: Tipo adquisicion: Entidad"</f>
        <v>Descripcion: MESA DE NOCHE Estado: Regular Placa anterior: 000023591 Material: METAL Color: AZUL CLARO Referencia:  Observacion:  Placa padre: Tipo adquisicion: Entidad</v>
      </c>
      <c r="G1213" s="5"/>
    </row>
    <row r="1214" spans="1:7" ht="58.5" customHeight="1" x14ac:dyDescent="0.25">
      <c r="A1214" s="5" t="str">
        <f>"H0007724"</f>
        <v>H0007724</v>
      </c>
      <c r="B1214" s="5" t="str">
        <f>"ATRIL PORTASUERO MOVIL"</f>
        <v>ATRIL PORTASUERO MOVIL</v>
      </c>
      <c r="C1214" s="6">
        <v>210000</v>
      </c>
      <c r="D1214" s="5" t="s">
        <v>50</v>
      </c>
      <c r="E1214" s="5" t="str">
        <f t="shared" si="62"/>
        <v>ACTISALUD -PEDIATRIA</v>
      </c>
      <c r="F1214" s="5" t="str">
        <f>"Descripcion: ATRIL EN ACERO INOXIDABLE , CON OXIDO - ANTIMAGNETICO Estado: Regular Placa anterior: 000029741 Material: ACERO INOXIDABLE Color:  Referencia:  Observacion:  Placa padre: Tipo adquisicion: Entidad"</f>
        <v>Descripcion: ATRIL EN ACERO INOXIDABLE , CON OXIDO - ANTIMAGNETICO Estado: Regular Placa anterior: 000029741 Material: ACERO INOXIDABLE Color:  Referencia:  Observacion:  Placa padre: Tipo adquisicion: Entidad</v>
      </c>
      <c r="G1214" s="5"/>
    </row>
    <row r="1215" spans="1:7" ht="58.5" customHeight="1" x14ac:dyDescent="0.25">
      <c r="A1215" s="5" t="str">
        <f>"H0007728"</f>
        <v>H0007728</v>
      </c>
      <c r="B1215" s="5" t="str">
        <f>"ESCALERILLA DE 2 PASOS"</f>
        <v>ESCALERILLA DE 2 PASOS</v>
      </c>
      <c r="C1215" s="6">
        <v>100000</v>
      </c>
      <c r="D1215" s="5" t="s">
        <v>49</v>
      </c>
      <c r="E1215" s="5" t="str">
        <f t="shared" si="62"/>
        <v>ACTISALUD -PEDIATRIA</v>
      </c>
      <c r="F1215" s="5" t="str">
        <f>"Descripcion: PASOS EN PASTABASE EN ACERO INOXIDABLE Estado: Bueno Placa anterior: 000029863 Material: PASTA Color: BLANCO Referencia:  Observacion:  Placa padre: Tipo adquisicion: Entidad"</f>
        <v>Descripcion: PASOS EN PASTABASE EN ACERO INOXIDABLE Estado: Bueno Placa anterior: 000029863 Material: PASTA Color: BLANCO Referencia:  Observacion:  Placa padre: Tipo adquisicion: Entidad</v>
      </c>
      <c r="G1215" s="5"/>
    </row>
    <row r="1216" spans="1:7" ht="58.5" customHeight="1" x14ac:dyDescent="0.25">
      <c r="A1216" s="5" t="str">
        <f>"H0007729"</f>
        <v>H0007729</v>
      </c>
      <c r="B1216" s="5" t="str">
        <f>"ATRIL PORTASUERO MOVIL"</f>
        <v>ATRIL PORTASUERO MOVIL</v>
      </c>
      <c r="C1216" s="6">
        <v>145000</v>
      </c>
      <c r="D1216" s="5" t="s">
        <v>166</v>
      </c>
      <c r="E1216" s="5" t="str">
        <f t="shared" si="62"/>
        <v>ACTISALUD -PEDIATRIA</v>
      </c>
      <c r="F1216" s="5" t="str">
        <f>"Descripcion: ATRIL. Aatril portasuero en pintura electrostatica, debe contar con sistema portasuero minimo para dos bolsas de 50ml con varilla graduable,con rodachines Estado: Bueno Placa anterior: 000031474 Material: METALICO Color: BLANCO Referencia:  O"&amp; "bservacion:  Placa padre: Tipo adquisicion: Entidad"</f>
        <v>Descripcion: ATRIL. Aatril portasuero en pintura electrostatica, debe contar con sistema portasuero minimo para dos bolsas de 50ml con varilla graduable,con rodachines Estado: Bueno Placa anterior: 000031474 Material: METALICO Color: BLANCO Referencia:  Observacion:  Placa padre: Tipo adquisicion: Entidad</v>
      </c>
      <c r="G1216" s="5"/>
    </row>
    <row r="1217" spans="1:7" ht="58.5" customHeight="1" x14ac:dyDescent="0.25">
      <c r="A1217" s="5" t="str">
        <f>"H0007740"</f>
        <v>H0007740</v>
      </c>
      <c r="B1217" s="5" t="str">
        <f>"ATRIL PORTASUERO MOVIL"</f>
        <v>ATRIL PORTASUERO MOVIL</v>
      </c>
      <c r="C1217" s="6">
        <v>145000</v>
      </c>
      <c r="D1217" s="5" t="s">
        <v>166</v>
      </c>
      <c r="E1217" s="5" t="str">
        <f t="shared" si="62"/>
        <v>ACTISALUD -PEDIATRIA</v>
      </c>
      <c r="F1217" s="5" t="str">
        <f>"Descripcion: ATRIL. Aatril portasuero en pintura electrostatica, debe contar con sistema portasuero minimo para dos bolsas de 50ml con varilla graduable,con rodachines Estado: Bueno Placa anterior: 000031467 Material: METALICO Color: BEIGE Referencia:  Ob"&amp; "servacion:  Placa padre: Tipo adquisicion: Entidad"</f>
        <v>Descripcion: ATRIL. Aatril portasuero en pintura electrostatica, debe contar con sistema portasuero minimo para dos bolsas de 50ml con varilla graduable,con rodachines Estado: Bueno Placa anterior: 000031467 Material: METALICO Color: BEIGE Referencia:  Observacion:  Placa padre: Tipo adquisicion: Entidad</v>
      </c>
      <c r="G1217" s="5" t="str">
        <f>"121-01"</f>
        <v>121-01</v>
      </c>
    </row>
    <row r="1218" spans="1:7" ht="58.5" customHeight="1" x14ac:dyDescent="0.25">
      <c r="A1218" s="5" t="str">
        <f>"H0007747"</f>
        <v>H0007747</v>
      </c>
      <c r="B1218" s="5" t="str">
        <f>"ATRIL PORTASUERO MOVIL"</f>
        <v>ATRIL PORTASUERO MOVIL</v>
      </c>
      <c r="C1218" s="6">
        <v>80005</v>
      </c>
      <c r="D1218" s="5" t="s">
        <v>164</v>
      </c>
      <c r="E1218" s="5" t="str">
        <f t="shared" si="62"/>
        <v>ACTISALUD -PEDIATRIA</v>
      </c>
      <c r="F1218" s="5" t="str">
        <f>"Descripcion: ATRIL PORTASUERO BASE EN PINTURA ELECTROESTATICA TUBO CROMADO Estado: Bueno Placa anterior: 000030467 Material: METAL Color: BLANCO Referencia:  Observacion:  Placa padre: Tipo adquisicion: Entidad"</f>
        <v>Descripcion: ATRIL PORTASUERO BASE EN PINTURA ELECTROESTATICA TUBO CROMADO Estado: Bueno Placa anterior: 000030467 Material: METAL Color: BLANCO Referencia:  Observacion:  Placa padre: Tipo adquisicion: Entidad</v>
      </c>
      <c r="G1218" s="5"/>
    </row>
    <row r="1219" spans="1:7" ht="58.5" customHeight="1" x14ac:dyDescent="0.25">
      <c r="A1219" s="5" t="str">
        <f>"H0007748"</f>
        <v>H0007748</v>
      </c>
      <c r="B1219" s="5" t="str">
        <f>"MESA DE NOCHE"</f>
        <v>MESA DE NOCHE</v>
      </c>
      <c r="C1219" s="6">
        <v>350000</v>
      </c>
      <c r="D1219" s="5" t="s">
        <v>63</v>
      </c>
      <c r="E1219" s="5" t="str">
        <f t="shared" si="62"/>
        <v>ACTISALUD -PEDIATRIA</v>
      </c>
      <c r="F1219" s="5" t="str">
        <f>"Descripcion: MESA DE NOCHE Estado: Bueno Placa anterior: 000037827 Material: METAL FORMICA Color: BLANCO Referencia:  Observacion:  Placa padre: Tipo adquisicion: Entidad"</f>
        <v>Descripcion: MESA DE NOCHE Estado: Bueno Placa anterior: 000037827 Material: METAL FORMICA Color: BLANCO Referencia:  Observacion:  Placa padre: Tipo adquisicion: Entidad</v>
      </c>
      <c r="G1219" s="5"/>
    </row>
    <row r="1220" spans="1:7" ht="58.5" customHeight="1" x14ac:dyDescent="0.25">
      <c r="A1220" s="5" t="str">
        <f>"H0007752"</f>
        <v>H0007752</v>
      </c>
      <c r="B1220" s="5" t="str">
        <f>"ATRIL PORTASUERO MOVIL"</f>
        <v>ATRIL PORTASUERO MOVIL</v>
      </c>
      <c r="C1220" s="6">
        <v>210000</v>
      </c>
      <c r="D1220" s="5" t="s">
        <v>50</v>
      </c>
      <c r="E1220" s="5" t="str">
        <f t="shared" si="62"/>
        <v>ACTISALUD -PEDIATRIA</v>
      </c>
      <c r="F1220" s="5" t="str">
        <f>"Descripcion: ATRIL CON OXIDO Estado: Regular Placa anterior: 000029738 Material: ACERO INOXIDABLE Color:  Referencia:  Observacion:  Placa padre: Tipo adquisicion: Entidad"</f>
        <v>Descripcion: ATRIL CON OXIDO Estado: Regular Placa anterior: 000029738 Material: ACERO INOXIDABLE Color:  Referencia:  Observacion:  Placa padre: Tipo adquisicion: Entidad</v>
      </c>
      <c r="G1220" s="5"/>
    </row>
    <row r="1221" spans="1:7" ht="58.5" customHeight="1" x14ac:dyDescent="0.25">
      <c r="A1221" s="5" t="str">
        <f>"H0007757"</f>
        <v>H0007757</v>
      </c>
      <c r="B1221" s="5" t="str">
        <f>"ESCALERILLA DE 2 PASOS"</f>
        <v>ESCALERILLA DE 2 PASOS</v>
      </c>
      <c r="C1221" s="6">
        <v>100000</v>
      </c>
      <c r="D1221" s="5" t="s">
        <v>49</v>
      </c>
      <c r="E1221" s="5" t="str">
        <f t="shared" si="62"/>
        <v>ACTISALUD -PEDIATRIA</v>
      </c>
      <c r="F1221" s="5" t="str">
        <f>"Descripcion: ESCALERILLA DE DOS PASO EN TUBO REDONDO, CON OXIDO. PELADA Estado: Regular Placa anterior: 000029871 Material: METALICA  Color: GRIS Referencia:  Observacion:  Placa padre: Tipo adquisicion: Entidad"</f>
        <v>Descripcion: ESCALERILLA DE DOS PASO EN TUBO REDONDO, CON OXIDO. PELADA Estado: Regular Placa anterior: 000029871 Material: METALICA  Color: GRIS Referencia:  Observacion:  Placa padre: Tipo adquisicion: Entidad</v>
      </c>
      <c r="G1221" s="5"/>
    </row>
    <row r="1222" spans="1:7" ht="58.5" customHeight="1" x14ac:dyDescent="0.25">
      <c r="A1222" s="5" t="str">
        <f>"H0007759"</f>
        <v>H0007759</v>
      </c>
      <c r="B1222" s="5" t="str">
        <f>"MESA DE NOCHE"</f>
        <v>MESA DE NOCHE</v>
      </c>
      <c r="C1222" s="6">
        <v>275173</v>
      </c>
      <c r="D1222" s="5" t="s">
        <v>163</v>
      </c>
      <c r="E1222" s="5" t="str">
        <f t="shared" si="62"/>
        <v>ACTISALUD -PEDIATRIA</v>
      </c>
      <c r="F1222" s="5" t="str">
        <f>"Descripcion: PELADAOXIDO Estado: Bueno Placa anterior: 000028064 Material: METALICA Color: VERDE Referencia:  Observacion:  Placa padre: Tipo adquisicion: Entidad"</f>
        <v>Descripcion: PELADAOXIDO Estado: Bueno Placa anterior: 000028064 Material: METALICA Color: VERDE Referencia:  Observacion:  Placa padre: Tipo adquisicion: Entidad</v>
      </c>
      <c r="G1222" s="5"/>
    </row>
    <row r="1223" spans="1:7" ht="58.5" customHeight="1" x14ac:dyDescent="0.25">
      <c r="A1223" s="5" t="str">
        <f>"H0007760"</f>
        <v>H0007760</v>
      </c>
      <c r="B1223" s="5" t="str">
        <f>"ATRIL PORTASUERO MOVIL"</f>
        <v>ATRIL PORTASUERO MOVIL</v>
      </c>
      <c r="C1223" s="6">
        <v>80005</v>
      </c>
      <c r="D1223" s="5" t="s">
        <v>164</v>
      </c>
      <c r="E1223" s="5" t="str">
        <f t="shared" si="62"/>
        <v>ACTISALUD -PEDIATRIA</v>
      </c>
      <c r="F1223" s="5" t="str">
        <f>"Descripcion: . Estado: Bueno Placa anterior: 000030468 Material: METALICA Color: BEIGE Referencia:  Observacion:  Placa padre: Tipo adquisicion: Entidad"</f>
        <v>Descripcion: . Estado: Bueno Placa anterior: 000030468 Material: METALICA Color: BEIGE Referencia:  Observacion:  Placa padre: Tipo adquisicion: Entidad</v>
      </c>
      <c r="G1223" s="5"/>
    </row>
    <row r="1224" spans="1:7" ht="58.5" customHeight="1" x14ac:dyDescent="0.25">
      <c r="A1224" s="5" t="str">
        <f>"H0007765"</f>
        <v>H0007765</v>
      </c>
      <c r="B1224" s="5" t="str">
        <f>"MESA DE NOCHE"</f>
        <v>MESA DE NOCHE</v>
      </c>
      <c r="C1224" s="6">
        <v>15588.09</v>
      </c>
      <c r="D1224" s="5"/>
      <c r="E1224" s="5" t="str">
        <f t="shared" si="62"/>
        <v>ACTISALUD -PEDIATRIA</v>
      </c>
      <c r="F1224" s="5" t="str">
        <f>"Descripcion: PELADA Estado: Bueno Placa anterior: 000027093 Material: METALICO Color: AZUL CLARO Referencia:  Observacion:  Placa padre: Tipo adquisicion: Entidad"</f>
        <v>Descripcion: PELADA Estado: Bueno Placa anterior: 000027093 Material: METALICO Color: AZUL CLARO Referencia:  Observacion:  Placa padre: Tipo adquisicion: Entidad</v>
      </c>
      <c r="G1224" s="5"/>
    </row>
    <row r="1225" spans="1:7" ht="58.5" customHeight="1" x14ac:dyDescent="0.25">
      <c r="A1225" s="5" t="str">
        <f>"H0007768"</f>
        <v>H0007768</v>
      </c>
      <c r="B1225" s="5" t="str">
        <f>"SILLA PLASTICA CON BRAZOS"</f>
        <v>SILLA PLASTICA CON BRAZOS</v>
      </c>
      <c r="C1225" s="6">
        <v>1911.36</v>
      </c>
      <c r="D1225" s="5"/>
      <c r="E1225" s="5" t="str">
        <f t="shared" si="62"/>
        <v>ACTISALUD -PEDIATRIA</v>
      </c>
      <c r="F1225" s="5" t="str">
        <f>"Descripcion: SILLA PLASTICA BLANCA Estado: Bueno Placa anterior: 000024275 Material: PASTA Color: BLANCO Referencia:  Observacion:  Placa padre: Tipo adquisicion: Entidad"</f>
        <v>Descripcion: SILLA PLASTICA BLANCA Estado: Bueno Placa anterior: 000024275 Material: PASTA Color: BLANCO Referencia:  Observacion:  Placa padre: Tipo adquisicion: Entidad</v>
      </c>
      <c r="G1225" s="5"/>
    </row>
    <row r="1226" spans="1:7" ht="58.5" customHeight="1" x14ac:dyDescent="0.25">
      <c r="A1226" s="5" t="str">
        <f>"H0007772"</f>
        <v>H0007772</v>
      </c>
      <c r="B1226" s="5" t="str">
        <f>"ATRIL PORTASUERO MOVIL"</f>
        <v>ATRIL PORTASUERO MOVIL</v>
      </c>
      <c r="C1226" s="6">
        <v>145000</v>
      </c>
      <c r="D1226" s="5" t="s">
        <v>166</v>
      </c>
      <c r="E1226" s="5" t="str">
        <f t="shared" si="62"/>
        <v>ACTISALUD -PEDIATRIA</v>
      </c>
      <c r="F1226" s="5" t="str">
        <f>"Descripcion: ATRIL. Aatril portasuero en pintura electrostatica, debe contar con sistema portasuero minimo para dos bolsas de 50ml con varilla graduable,con rodachines Estado: Bueno Placa anterior: 000031468 Material: ACERO Color: GRIS Referencia:  Observ"&amp; "acion: BUEN ESTADO, ATRIL CON RUEDAS Placa padre: Tipo adquisicion: Entidad"</f>
        <v>Descripcion: ATRIL. Aatril portasuero en pintura electrostatica, debe contar con sistema portasuero minimo para dos bolsas de 50ml con varilla graduable,con rodachines Estado: Bueno Placa anterior: 000031468 Material: ACERO Color: GRIS Referencia:  Observacion: BUEN ESTADO, ATRIL CON RUEDAS Placa padre: Tipo adquisicion: Entidad</v>
      </c>
      <c r="G1226" s="5" t="str">
        <f>"121-01"</f>
        <v>121-01</v>
      </c>
    </row>
    <row r="1227" spans="1:7" ht="58.5" customHeight="1" x14ac:dyDescent="0.25">
      <c r="A1227" s="5" t="str">
        <f>"H0007779"</f>
        <v>H0007779</v>
      </c>
      <c r="B1227" s="5" t="str">
        <f>"ATRIL PORTASUERO MOVIL"</f>
        <v>ATRIL PORTASUERO MOVIL</v>
      </c>
      <c r="C1227" s="6">
        <v>145000</v>
      </c>
      <c r="D1227" s="5" t="s">
        <v>166</v>
      </c>
      <c r="E1227" s="5" t="str">
        <f t="shared" si="62"/>
        <v>ACTISALUD -PEDIATRIA</v>
      </c>
      <c r="F1227" s="5" t="str">
        <f>"Descripcion: ATRIL. Aatril portasuero en pintura electrostatica, debe contar con sistema portasuero minimo para dos bolsas de 50ml con varilla graduable,con rodachine Estado: Bueno Placa anterior: 000031470 Material: ACERO Color: GRIS Referencia:  Observa"&amp; "cion: BUEN ESTADO EN FUNCIONAMIENTO  Placa padre: Tipo adquisicion: Entidad"</f>
        <v>Descripcion: ATRIL. Aatril portasuero en pintura electrostatica, debe contar con sistema portasuero minimo para dos bolsas de 50ml con varilla graduable,con rodachine Estado: Bueno Placa anterior: 000031470 Material: ACERO Color: GRIS Referencia:  Observacion: BUEN ESTADO EN FUNCIONAMIENTO  Placa padre: Tipo adquisicion: Entidad</v>
      </c>
      <c r="G1227" s="5"/>
    </row>
    <row r="1228" spans="1:7" ht="58.5" customHeight="1" x14ac:dyDescent="0.25">
      <c r="A1228" s="5" t="str">
        <f>"H0007785"</f>
        <v>H0007785</v>
      </c>
      <c r="B1228" s="5" t="str">
        <f>"AIRE ACONDICIONADO TIPO SPLIT 12000 BTU"</f>
        <v>AIRE ACONDICIONADO TIPO SPLIT 12000 BTU</v>
      </c>
      <c r="C1228" s="6">
        <v>1836280</v>
      </c>
      <c r="D1228" s="5" t="s">
        <v>146</v>
      </c>
      <c r="E1228" s="5" t="str">
        <f t="shared" si="62"/>
        <v>ACTISALUD -PEDIATRIA</v>
      </c>
      <c r="F1228" s="5" t="str">
        <f>"Descripcion: AIRE ACONDICIONADO CAPACIDAD 12.000 BTU Equipo tipo mini split consola de lujo con control remoto y uso refrigerante ecologico Sistema inverter Debe incluir display para ser monitoreado por sistema central Estado: Bueno Placa anterior: 000036"&amp; "360 Material: PASTA Color: BLANCO Referencia:  Observacion: BUEN ESTADO DEL AIRE Y FUNCIONAMIENTO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000036360 Material: PASTA Color: BLANCO Referencia:  Observacion: BUEN ESTADO DEL AIRE Y FUNCIONAMIENTO  Placa padre: Tipo adquisicion: Entidad</v>
      </c>
      <c r="G1228" s="5" t="str">
        <f>"VM12CEN B3"</f>
        <v>VM12CEN B3</v>
      </c>
    </row>
    <row r="1229" spans="1:7" ht="58.5" customHeight="1" x14ac:dyDescent="0.25">
      <c r="A1229" s="5" t="str">
        <f>"H0007792"</f>
        <v>H0007792</v>
      </c>
      <c r="B1229" s="5" t="str">
        <f>"MESA (CARRO) DE CURACIONES"</f>
        <v>MESA (CARRO) DE CURACIONES</v>
      </c>
      <c r="C1229" s="6">
        <v>5898.89</v>
      </c>
      <c r="D1229" s="5"/>
      <c r="E1229" s="5" t="str">
        <f t="shared" si="62"/>
        <v>ACTISALUD -PEDIATRIA</v>
      </c>
      <c r="F1229" s="5" t="str">
        <f>"Descripcion: CARRITO DE CUARACIONES PARA TRANSPORTAR  Estado: Bueno Placa anterior: 000023684 Material: METAL Color: BEIZ Referencia:  Observacion: BUEN ESTADO,  Placa padre: Tipo adquisicion: Entidad"</f>
        <v>Descripcion: CARRITO DE CUARACIONES PARA TRANSPORTAR  Estado: Bueno Placa anterior: 000023684 Material: METAL Color: BEIZ Referencia:  Observacion: BUEN ESTADO,  Placa padre: Tipo adquisicion: Entidad</v>
      </c>
      <c r="G1229" s="5"/>
    </row>
    <row r="1230" spans="1:7" ht="58.5" customHeight="1" x14ac:dyDescent="0.25">
      <c r="A1230" s="5" t="str">
        <f>"H0007793"</f>
        <v>H0007793</v>
      </c>
      <c r="B1230" s="5" t="str">
        <f>"ASPIRADOR DE SECRECIONES"</f>
        <v>ASPIRADOR DE SECRECIONES</v>
      </c>
      <c r="C1230" s="6">
        <v>1000000</v>
      </c>
      <c r="D1230" s="5"/>
      <c r="E1230" s="5" t="str">
        <f t="shared" si="62"/>
        <v>ACTISALUD -PEDIATRIA</v>
      </c>
      <c r="F1230" s="5" t="str">
        <f>"Descripcion: ASPIRADOR DE SECRECCIONES Donado por el club Rotario II No. 7269 distrito 4270 Estado: Bueno Placa anterior: 000025509 Material: METAL Color: GRIS Referencia:  Observacion: BUEN ESTADO Y EN FUNCIONAMIENTO Placa padre: Tipo adquisicion: Entida"&amp; "d"</f>
        <v>Descripcion: ASPIRADOR DE SECRECCIONES Donado por el club Rotario II No. 7269 distrito 4270 Estado: Bueno Placa anterior: 000025509 Material: METAL Color: GRIS Referencia:  Observacion: BUEN ESTADO Y EN FUNCIONAMIENTO Placa padre: Tipo adquisicion: Entidad</v>
      </c>
      <c r="G1230" s="5" t="str">
        <f>"1130"</f>
        <v>1130</v>
      </c>
    </row>
    <row r="1231" spans="1:7" ht="58.5" customHeight="1" x14ac:dyDescent="0.25">
      <c r="A1231" s="5" t="str">
        <f>"H0007798"</f>
        <v>H0007798</v>
      </c>
      <c r="B1231" s="5" t="str">
        <f>"SILLA DE RUEDAS"</f>
        <v>SILLA DE RUEDAS</v>
      </c>
      <c r="C1231" s="6">
        <v>300000</v>
      </c>
      <c r="D1231" s="5"/>
      <c r="E1231" s="5" t="str">
        <f t="shared" si="62"/>
        <v>ACTISALUD -PEDIATRIA</v>
      </c>
      <c r="F1231" s="5" t="str">
        <f>"Descripcion: SILLA DE RUEDAS Donado por el Club Rotario II No. 7269 Distrito 4270 Estado: Bueno Placa anterior: 000025510 Material: METAL DE PASTA Color: NEGRO Referencia:  Observacion: BUEN ESTADO Y FUNCIONAMIENTO Placa padre: Tipo adquisicion: Entidad"</f>
        <v>Descripcion: SILLA DE RUEDAS Donado por el Club Rotario II No. 7269 Distrito 4270 Estado: Bueno Placa anterior: 000025510 Material: METAL DE PASTA Color: NEGRO Referencia:  Observacion: BUEN ESTADO Y FUNCIONAMIENTO Placa padre: Tipo adquisicion: Entidad</v>
      </c>
      <c r="G1231" s="5"/>
    </row>
    <row r="1232" spans="1:7" ht="58.5" customHeight="1" x14ac:dyDescent="0.25">
      <c r="A1232" s="5" t="str">
        <f>"H0007801"</f>
        <v>H0007801</v>
      </c>
      <c r="B1232" s="5" t="str">
        <f>"TELEVISOR TRC 20"</f>
        <v>TELEVISOR TRC 20</v>
      </c>
      <c r="C1232" s="6">
        <v>180000</v>
      </c>
      <c r="D1232" s="5"/>
      <c r="E1232" s="5" t="str">
        <f t="shared" si="62"/>
        <v>ACTISALUD -PEDIATRIA</v>
      </c>
      <c r="F1232" s="5" t="str">
        <f>"Descripcion: TELEVISOR DE PARED Estado: Bueno Placa anterior: 000023631 Material: PASTA Color: GRIS Referencia:  Observacion: BUEN ESTADO Placa padre: Tipo adquisicion: Entidad"</f>
        <v>Descripcion: TELEVISOR DE PARED Estado: Bueno Placa anterior: 000023631 Material: PASTA Color: GRIS Referencia:  Observacion: BUEN ESTADO Placa padre: Tipo adquisicion: Entidad</v>
      </c>
      <c r="G1232" s="5"/>
    </row>
    <row r="1233" spans="1:7" ht="58.5" customHeight="1" x14ac:dyDescent="0.25">
      <c r="A1233" s="5" t="str">
        <f>"H0007802"</f>
        <v>H0007802</v>
      </c>
      <c r="B1233" s="5" t="str">
        <f>"AIRE ACONDICIONADO TIPO SPLIT 24000 BTU"</f>
        <v>AIRE ACONDICIONADO TIPO SPLIT 24000 BTU</v>
      </c>
      <c r="C1233" s="6">
        <v>2426601</v>
      </c>
      <c r="D1233" s="5"/>
      <c r="E1233" s="5" t="str">
        <f t="shared" si="62"/>
        <v>ACTISALUD -PEDIATRIA</v>
      </c>
      <c r="F1233" s="5" t="str">
        <f>"Descripcion: AIRE ACONDICIONADO  Estado: Bueno Placa anterior: 000023377 Material: PASTA Color: BLANCO Referencia:  Observacion: BUEN ESTADO Y FUNCIONAMIENTO, EL BIEN TIENE PLACA ANTERIOR 000023627 FUNCIONARIO AUTORIZA SE CONCILIE CON PLACA 000023377  Pla"&amp; "ca padre: Tipo adquisicion: Entidad"</f>
        <v>Descripcion: AIRE ACONDICIONADO  Estado: Bueno Placa anterior: 000023377 Material: PASTA Color: BLANCO Referencia:  Observacion: BUEN ESTADO Y FUNCIONAMIENTO, EL BIEN TIENE PLACA ANTERIOR 000023627 FUNCIONARIO AUTORIZA SE CONCILIE CON PLACA 000023377  Placa padre: Tipo adquisicion: Entidad</v>
      </c>
      <c r="G1233" s="5"/>
    </row>
    <row r="1234" spans="1:7" ht="58.5" customHeight="1" x14ac:dyDescent="0.25">
      <c r="A1234" s="5" t="str">
        <f>"H0007803"</f>
        <v>H0007803</v>
      </c>
      <c r="B1234" s="5" t="str">
        <f>"POTE (TARRO) ACERO INXODABLE CON TAPA JUEGO"</f>
        <v>POTE (TARRO) ACERO INXODABLE CON TAPA JUEGO</v>
      </c>
      <c r="C1234" s="6">
        <v>10312.86</v>
      </c>
      <c r="D1234" s="5"/>
      <c r="E1234" s="5" t="str">
        <f t="shared" si="62"/>
        <v>ACTISALUD -PEDIATRIA</v>
      </c>
      <c r="F1234" s="5" t="str">
        <f>"Descripcion: POTES TARROS CON DIAMETRO DE 10 Y ALTO DE 15 Estado: Bueno Placa anterior: 000007464 Material: ACERO Color: GRIS Referencia:  Observacion: BUEN ESTADO  Placa padre: Tipo adquisicion: Entidad"</f>
        <v>Descripcion: POTES TARROS CON DIAMETRO DE 10 Y ALTO DE 15 Estado: Bueno Placa anterior: 000007464 Material: ACERO Color: GRIS Referencia:  Observacion: BUEN ESTADO  Placa padre: Tipo adquisicion: Entidad</v>
      </c>
      <c r="G1234" s="5"/>
    </row>
    <row r="1235" spans="1:7" ht="58.5" customHeight="1" x14ac:dyDescent="0.25">
      <c r="A1235" s="5" t="str">
        <f>"H0007804"</f>
        <v>H0007804</v>
      </c>
      <c r="B1235" s="5" t="str">
        <f>"POTE (TARRO) ACERO INXODABLE CON TAPA JUEGO"</f>
        <v>POTE (TARRO) ACERO INXODABLE CON TAPA JUEGO</v>
      </c>
      <c r="C1235" s="6">
        <v>10312.86</v>
      </c>
      <c r="D1235" s="5"/>
      <c r="E1235" s="5" t="str">
        <f t="shared" si="62"/>
        <v>ACTISALUD -PEDIATRIA</v>
      </c>
      <c r="F1235" s="5" t="str">
        <f>"Descripcion: POTES ( TARRO) CON DIAMETRO DE 10 Y ALTO DE 15 EN ACERO  Estado: Bueno Placa anterior: 000007530 Material: ACERO INOXIDABLE Color: GRIS  Referencia:  Observacion: BUEN ESTADO Y SE ENCUENTRA EN USO| Placa padre: Tipo adquisicion: Entidad"</f>
        <v>Descripcion: POTES ( TARRO) CON DIAMETRO DE 10 Y ALTO DE 15 EN ACERO  Estado: Bueno Placa anterior: 000007530 Material: ACERO INOXIDABLE Color: GRIS  Referencia:  Observacion: BUEN ESTADO Y SE ENCUENTRA EN USO| Placa padre: Tipo adquisicion: Entidad</v>
      </c>
      <c r="G1235" s="5"/>
    </row>
    <row r="1236" spans="1:7" ht="58.5" customHeight="1" x14ac:dyDescent="0.25">
      <c r="A1236" s="5" t="str">
        <f>"H0007806"</f>
        <v>H0007806</v>
      </c>
      <c r="B1236" s="5" t="str">
        <f>"POTE (TARRO) ACERO INXODABLE CON TAPA JUEGO"</f>
        <v>POTE (TARRO) ACERO INXODABLE CON TAPA JUEGO</v>
      </c>
      <c r="C1236" s="6">
        <v>10312.86</v>
      </c>
      <c r="D1236" s="5"/>
      <c r="E1236" s="5" t="str">
        <f t="shared" si="62"/>
        <v>ACTISALUD -PEDIATRIA</v>
      </c>
      <c r="F1236" s="5" t="str">
        <f>"Descripcion: POTES ( TARRO) CON DIAMETRO DE 10 Y ALTO DE 15 EN ACERO  Estado: Bueno Placa anterior: 000007531 Material: ACERO INOXIDABLE  Color: GRIS Referencia: | Observacion: BUEN ESTADO Y SE ENCUENTRA EN USO Placa padre: Tipo adquisicion: Entidad"</f>
        <v>Descripcion: POTES ( TARRO) CON DIAMETRO DE 10 Y ALTO DE 15 EN ACERO  Estado: Bueno Placa anterior: 000007531 Material: ACERO INOXIDABLE  Color: GRIS Referencia: | Observacion: BUEN ESTADO Y SE ENCUENTRA EN USO Placa padre: Tipo adquisicion: Entidad</v>
      </c>
      <c r="G1236" s="5"/>
    </row>
    <row r="1237" spans="1:7" ht="58.5" customHeight="1" x14ac:dyDescent="0.25">
      <c r="A1237" s="5" t="str">
        <f>"H0007807"</f>
        <v>H0007807</v>
      </c>
      <c r="B1237" s="5" t="str">
        <f>"POTE (TARRO) ACERO INXODABLE CON TAPA JUEGO"</f>
        <v>POTE (TARRO) ACERO INXODABLE CON TAPA JUEGO</v>
      </c>
      <c r="C1237" s="6">
        <v>10312.86</v>
      </c>
      <c r="D1237" s="5"/>
      <c r="E1237" s="5" t="str">
        <f t="shared" si="62"/>
        <v>ACTISALUD -PEDIATRIA</v>
      </c>
      <c r="F1237" s="5" t="str">
        <f>"Descripcion:  POTES ( TARRO) CON DIAMETRO DE 10 Y ALTO DE 15 EN ACERO Estado: Bueno Placa anterior: 000007532 Material: ACERO INOXIDABLE  Color: GRIS Referencia:  Observacion: BUEN ESTADO Y SE ENCUENTRA EN USO Placa padre: Tipo adquisicion: Entidad"</f>
        <v>Descripcion:  POTES ( TARRO) CON DIAMETRO DE 10 Y ALTO DE 15 EN ACERO Estado: Bueno Placa anterior: 000007532 Material: ACERO INOXIDABLE  Color: GRIS Referencia:  Observacion: BUEN ESTADO Y SE ENCUENTRA EN USO Placa padre: Tipo adquisicion: Entidad</v>
      </c>
      <c r="G1237" s="5"/>
    </row>
    <row r="1238" spans="1:7" ht="58.5" customHeight="1" x14ac:dyDescent="0.25">
      <c r="A1238" s="5" t="str">
        <f>"H0007813"</f>
        <v>H0007813</v>
      </c>
      <c r="B1238" s="5" t="str">
        <f>"SILLA INTERLOCUTORA (FIJA) SIN BRAZOS"</f>
        <v>SILLA INTERLOCUTORA (FIJA) SIN BRAZOS</v>
      </c>
      <c r="C1238" s="6">
        <v>7480</v>
      </c>
      <c r="D1238" s="5"/>
      <c r="E1238" s="5" t="str">
        <f t="shared" si="62"/>
        <v>ACTISALUD -PEDIATRIA</v>
      </c>
      <c r="F1238" s="5" t="str">
        <f>"Descripcion: SILLA INTERLOCUTORA SIN BRAZOS Estado: Bueno Placa anterior: 000012585 Material: METAL Color: NEGRO CON GRIS  Referencia:  Observacion: BUEN ESTADO Y EN FUNCIONAMIENTO Placa padre: Tipo adquisicion: Entidad"</f>
        <v>Descripcion: SILLA INTERLOCUTORA SIN BRAZOS Estado: Bueno Placa anterior: 000012585 Material: METAL Color: NEGRO CON GRIS  Referencia:  Observacion: BUEN ESTADO Y EN FUNCIONAMIENTO Placa padre: Tipo adquisicion: Entidad</v>
      </c>
      <c r="G1238" s="5"/>
    </row>
    <row r="1239" spans="1:7" ht="58.5" customHeight="1" x14ac:dyDescent="0.25">
      <c r="A1239" s="5" t="str">
        <f>"H0008830"</f>
        <v>H0008830</v>
      </c>
      <c r="B1239" s="5" t="str">
        <f>"ASPIRADOR DE SECRECIONES"</f>
        <v>ASPIRADOR DE SECRECIONES</v>
      </c>
      <c r="C1239" s="6">
        <v>1415384</v>
      </c>
      <c r="D1239" s="5" t="s">
        <v>167</v>
      </c>
      <c r="E1239" s="5" t="str">
        <f t="shared" si="62"/>
        <v>ACTISALUD -PEDIATRIA</v>
      </c>
      <c r="F1239" s="5" t="str">
        <f>"Descripcion: ASPIRADOR DE SECRECIONES Estado: Bueno Placa anterior: 000029417 Material: METALICO Color: GRIS CON BEIGE Referencia:  Observacion:  Placa padre: Tipo adquisicion: Donacion"</f>
        <v>Descripcion: ASPIRADOR DE SECRECIONES Estado: Bueno Placa anterior: 000029417 Material: METALICO Color: GRIS CON BEIGE Referencia:  Observacion:  Placa padre: Tipo adquisicion: Donacion</v>
      </c>
      <c r="G1239" s="5" t="str">
        <f>"MEDI-PUMP"</f>
        <v>MEDI-PUMP</v>
      </c>
    </row>
    <row r="1240" spans="1:7" ht="58.5" customHeight="1" x14ac:dyDescent="0.25">
      <c r="A1240" s="5" t="str">
        <f>"H0008874"</f>
        <v>H0008874</v>
      </c>
      <c r="B1240" s="5" t="str">
        <f>"VIDEOBEAM (VIDEO PROYECTOR)"</f>
        <v>VIDEOBEAM (VIDEO PROYECTOR)</v>
      </c>
      <c r="C1240" s="6">
        <v>2250000</v>
      </c>
      <c r="D1240" s="5" t="s">
        <v>168</v>
      </c>
      <c r="E1240" s="5" t="str">
        <f t="shared" si="62"/>
        <v>ACTISALUD -PEDIATRIA</v>
      </c>
      <c r="F1240" s="5" t="str">
        <f>"Descripcion: VIDEO BEAM DE 3500 LUMENS, RESOLUCION XGA DE 1024 768 CONTRASTE 10000: 1, INTERFACE HDMI, D-SUB 15 PINES 1, MINI DIN 1 MODO INALABRICO (WIRELESS) CON MALETIN Y CONTROL REMOTO, GARANTIA DEL EQUIPO DE 2 AÑOS Y DE LA LAMPARA DE MINIMO 3 MESES Es"&amp; "tado: Excelente Placa anterior: 000036842 Material: PLASTICO Color: BLANCO Referencia:  Observacion:  Placa padre: Tipo adquisicion: Entidad"</f>
        <v>Descripcion: VIDEO BEAM DE 3500 LUMENS, RESOLUCION XGA DE 1024 768 CONTRASTE 10000: 1, INTERFACE HDMI, D-SUB 15 PINES 1, MINI DIN 1 MODO INALABRICO (WIRELESS) CON MALETIN Y CONTROL REMOTO, GARANTIA DEL EQUIPO DE 2 AÑOS Y DE LA LAMPARA DE MINIMO 3 MESES Estado: Excelente Placa anterior: 000036842 Material: PLASTICO Color: BLANCO Referencia:  Observacion:  Placa padre: Tipo adquisicion: Entidad</v>
      </c>
      <c r="G1240" s="5"/>
    </row>
    <row r="1241" spans="1:7" ht="58.5" customHeight="1" x14ac:dyDescent="0.25">
      <c r="A1241" s="5" t="str">
        <f>"H0008890"</f>
        <v>H0008890</v>
      </c>
      <c r="B1241" s="5" t="str">
        <f>"SILLON (SOFA)"</f>
        <v>SILLON (SOFA)</v>
      </c>
      <c r="C1241" s="6">
        <v>21400</v>
      </c>
      <c r="D1241" s="5"/>
      <c r="E1241" s="5" t="str">
        <f t="shared" si="62"/>
        <v>ACTISALUD -PEDIATRIA</v>
      </c>
      <c r="F1241" s="5" t="str">
        <f>"Descripcion: SOFA DE 3 PUESTOS COLOR NEGRO Estado: Regular Placa anterior: 000007683 Material: TAPIZADO EN SEMICUERO Color: NEGRO Referencia:  Observacion:  Placa padre: Tipo adquisicion: Entidad"</f>
        <v>Descripcion: SOFA DE 3 PUESTOS COLOR NEGRO Estado: Regular Placa anterior: 000007683 Material: TAPIZADO EN SEMICUERO Color: NEGRO Referencia:  Observacion:  Placa padre: Tipo adquisicion: Entidad</v>
      </c>
      <c r="G1241" s="5"/>
    </row>
    <row r="1242" spans="1:7" ht="58.5" customHeight="1" x14ac:dyDescent="0.25">
      <c r="A1242" s="5" t="str">
        <f>"H0008894"</f>
        <v>H0008894</v>
      </c>
      <c r="B1242" s="5" t="str">
        <f>"BASE TELEVISOR"</f>
        <v>BASE TELEVISOR</v>
      </c>
      <c r="C1242" s="6">
        <v>30000</v>
      </c>
      <c r="D1242" s="5"/>
      <c r="E1242" s="5" t="str">
        <f t="shared" si="62"/>
        <v>ACTISALUD -PEDIATRIA</v>
      </c>
      <c r="F1242" s="5" t="str">
        <f>"Descripcion: BASE METALICA PARA TELEVISOR DE PARED Estado: Bueno Placa anterior: 000023630 Material: METALICO Color: NEGRA Referencia:  Observacion:  Placa padre: Tipo adquisicion: Entidad"</f>
        <v>Descripcion: BASE METALICA PARA TELEVISOR DE PARED Estado: Bueno Placa anterior: 000023630 Material: METALICO Color: NEGRA Referencia:  Observacion:  Placa padre: Tipo adquisicion: Entidad</v>
      </c>
      <c r="G1242" s="5"/>
    </row>
    <row r="1243" spans="1:7" ht="58.5" customHeight="1" x14ac:dyDescent="0.25">
      <c r="A1243" s="5" t="str">
        <f>"H0008898"</f>
        <v>H0008898</v>
      </c>
      <c r="B1243" s="5" t="str">
        <f>"BALANZA DIGITAL DE PISO CAPACIDAD150 KILOS"</f>
        <v>BALANZA DIGITAL DE PISO CAPACIDAD150 KILOS</v>
      </c>
      <c r="C1243" s="6">
        <v>1700000</v>
      </c>
      <c r="D1243" s="5" t="s">
        <v>63</v>
      </c>
      <c r="E1243" s="5" t="str">
        <f t="shared" si="62"/>
        <v>ACTISALUD -PEDIATRIA</v>
      </c>
      <c r="F1243" s="5" t="str">
        <f>"Descripcion: Bascula de piso plataforma sólida y antideslizante con capacidad aproximada mínimo 150 kilos, tipo médico. La graduación de las escalas para el peso deberá estar en libras y kilogramos, pantalla de visualización de los datos. DIGITAL Estado: "&amp; "Bueno Placa anterior: 000037998 Material: METALICO Color: BLANCO Referencia:  Observacion:  Placa padre: Tipo adquisicion: Entidad"</f>
        <v>Descripcion: Bascula de piso plataforma sólida y antideslizante con capacidad aproximada mínimo 150 kilos, tipo médico. La graduación de las escalas para el peso deberá estar en libras y kilogramos, pantalla de visualización de los datos. DIGITAL Estado: Bueno Placa anterior: 000037998 Material: METALICO Color: BLANCO Referencia:  Observacion:  Placa padre: Tipo adquisicion: Entidad</v>
      </c>
      <c r="G1243" s="5" t="str">
        <f>"349 KLX"</f>
        <v>349 KLX</v>
      </c>
    </row>
    <row r="1244" spans="1:7" ht="58.5" customHeight="1" x14ac:dyDescent="0.25">
      <c r="A1244" s="5" t="str">
        <f>"H0008902"</f>
        <v>H0008902</v>
      </c>
      <c r="B1244" s="5" t="str">
        <f>"SILLA INTERLOCUTORA (FIJA) SIN BRAZOS"</f>
        <v>SILLA INTERLOCUTORA (FIJA) SIN BRAZOS</v>
      </c>
      <c r="C1244" s="6">
        <v>130000</v>
      </c>
      <c r="D1244" s="5" t="s">
        <v>169</v>
      </c>
      <c r="E1244" s="5" t="str">
        <f t="shared" si="62"/>
        <v>ACTISALUD -PEDIATRIA</v>
      </c>
      <c r="F1244" s="5" t="str">
        <f>"Descripcion: SILLA ISOSCELES CON BRAZO ALTO TAPIZADO EN PAÑO ROJO SIN BRAZOS Estado: Bueno Placa anterior: 000036664 Material: METALICO, TAPIZADO EN PAÑO Color: ROJO Referencia:  Observacion:  Placa padre: Tipo adquisicion: Donacion"</f>
        <v>Descripcion: SILLA ISOSCELES CON BRAZO ALTO TAPIZADO EN PAÑO ROJO SIN BRAZOS Estado: Bueno Placa anterior: 000036664 Material: METALICO, TAPIZADO EN PAÑO Color: ROJO Referencia:  Observacion:  Placa padre: Tipo adquisicion: Donacion</v>
      </c>
      <c r="G1244" s="5"/>
    </row>
    <row r="1245" spans="1:7" ht="58.5" customHeight="1" x14ac:dyDescent="0.25">
      <c r="A1245" s="5" t="str">
        <f>"H0008903"</f>
        <v>H0008903</v>
      </c>
      <c r="B1245" s="5" t="str">
        <f>"MESA (SUPERFICIE) MODULAR"</f>
        <v>MESA (SUPERFICIE) MODULAR</v>
      </c>
      <c r="C1245" s="6">
        <v>110432</v>
      </c>
      <c r="D1245" s="5"/>
      <c r="E1245" s="5" t="str">
        <f t="shared" si="62"/>
        <v>ACTISALUD -PEDIATRIA</v>
      </c>
      <c r="F1245" s="5" t="str">
        <f>"Descripcion: MESA PARA IMPRESORA CON UN ENTREPAÑO Estado: Bueno Placa anterior: 000008456 Material: MADERA  Color: NEGRO CON BEIGE Referencia:  Observacion:  Placa padre: Tipo adquisicion: Entidad"</f>
        <v>Descripcion: MESA PARA IMPRESORA CON UN ENTREPAÑO Estado: Bueno Placa anterior: 000008456 Material: MADERA  Color: NEGRO CON BEIGE Referencia:  Observacion:  Placa padre: Tipo adquisicion: Entidad</v>
      </c>
      <c r="G1245" s="5"/>
    </row>
    <row r="1246" spans="1:7" ht="58.5" customHeight="1" x14ac:dyDescent="0.25">
      <c r="A1246" s="5" t="str">
        <f>"H0008905"</f>
        <v>H0008905</v>
      </c>
      <c r="B1246" s="5" t="str">
        <f>"MUEBLE DE MADERA"</f>
        <v>MUEBLE DE MADERA</v>
      </c>
      <c r="C1246" s="6">
        <v>80000</v>
      </c>
      <c r="D1246" s="5" t="s">
        <v>169</v>
      </c>
      <c r="E1246" s="5" t="str">
        <f t="shared" si="62"/>
        <v>ACTISALUD -PEDIATRIA</v>
      </c>
      <c r="F1246" s="5" t="str">
        <f>"Descripcion: MUEBLE EN MADERA CON DOS PUERTAS EN VIDRIO Estado: Bueno Placa anterior: 000036686 Material: MADERA Color: MARRON  Referencia:  Observacion: EL BIEN TIENE PLACA ANTERIOR 000036686 Placa padre: Tipo adquisicion: Donacion"</f>
        <v>Descripcion: MUEBLE EN MADERA CON DOS PUERTAS EN VIDRIO Estado: Bueno Placa anterior: 000036686 Material: MADERA Color: MARRON  Referencia:  Observacion: EL BIEN TIENE PLACA ANTERIOR 000036686 Placa padre: Tipo adquisicion: Donacion</v>
      </c>
      <c r="G1246" s="5"/>
    </row>
    <row r="1247" spans="1:7" ht="58.5" customHeight="1" x14ac:dyDescent="0.25">
      <c r="A1247" s="5" t="str">
        <f>"H0008906"</f>
        <v>H0008906</v>
      </c>
      <c r="B1247" s="5" t="str">
        <f>"BANDEJA DE ACERO INOXIDABLE GRANDE"</f>
        <v>BANDEJA DE ACERO INOXIDABLE GRANDE</v>
      </c>
      <c r="C1247" s="6">
        <v>23118.799999999999</v>
      </c>
      <c r="D1247" s="5"/>
      <c r="E1247" s="5" t="str">
        <f t="shared" si="62"/>
        <v>ACTISALUD -PEDIATRIA</v>
      </c>
      <c r="F1247" s="5" t="str">
        <f>"Descripcion: BANDEJA DE ACERO INOXIDABLE GRANDE Estado: Bueno Placa anterior: 000007822 Material: ACERO INOXIDABLE Color:  Referencia:  Observacion:  Placa padre: Tipo adquisicion: Donacion"</f>
        <v>Descripcion: BANDEJA DE ACERO INOXIDABLE GRANDE Estado: Bueno Placa anterior: 000007822 Material: ACERO INOXIDABLE Color:  Referencia:  Observacion:  Placa padre: Tipo adquisicion: Donacion</v>
      </c>
      <c r="G1247" s="5"/>
    </row>
    <row r="1248" spans="1:7" ht="58.5" customHeight="1" x14ac:dyDescent="0.25">
      <c r="A1248" s="5" t="str">
        <f>"H0008910"</f>
        <v>H0008910</v>
      </c>
      <c r="B1248" s="5" t="str">
        <f>"MULTIFUNCIONAL DE LASER"</f>
        <v>MULTIFUNCIONAL DE LASER</v>
      </c>
      <c r="C1248" s="6">
        <v>449000</v>
      </c>
      <c r="D1248" s="5" t="s">
        <v>170</v>
      </c>
      <c r="E1248" s="5" t="str">
        <f t="shared" si="62"/>
        <v>ACTISALUD -PEDIATRIA</v>
      </c>
      <c r="F1248" s="5" t="str">
        <f>"Descripcion: IMPRESORA MULTIFUNCIONAL H.P. M 1212NF Estado: Bueno Placa anterior: 000030555 Material: PLASTICO Color: NEGRO Referencia: LASER JET M1212 NF Observacion:  Placa padre: Tipo adquisicion: Donacion"</f>
        <v>Descripcion: IMPRESORA MULTIFUNCIONAL H.P. M 1212NF Estado: Bueno Placa anterior: 000030555 Material: PLASTICO Color: NEGRO Referencia: LASER JET M1212 NF Observacion:  Placa padre: Tipo adquisicion: Donacion</v>
      </c>
      <c r="G1248" s="5" t="str">
        <f>"CE841AMBGI 181968"</f>
        <v>CE841AMBGI 181968</v>
      </c>
    </row>
    <row r="1249" spans="1:7" ht="58.5" customHeight="1" x14ac:dyDescent="0.25">
      <c r="A1249" s="5" t="str">
        <f>"H0008913"</f>
        <v>H0008913</v>
      </c>
      <c r="B1249" s="5" t="str">
        <f>"SILLA ERGONOMICA TIPO SECRETARIA SIN BRAZOS"</f>
        <v>SILLA ERGONOMICA TIPO SECRETARIA SIN BRAZOS</v>
      </c>
      <c r="C1249" s="6">
        <v>211120</v>
      </c>
      <c r="D1249" s="5"/>
      <c r="E1249" s="5" t="str">
        <f t="shared" si="62"/>
        <v>ACTISALUD -PEDIATRIA</v>
      </c>
      <c r="F1249" s="5" t="str">
        <f>"Descripcion: SILLA ERGONOMICA AT 02 (TA-SECRETARIAL) SIN BRAZOS Estado: Bueno Placa anterior: 000025283 Material: TAPIZADO EN TELA Color: NEGRO Referencia:  Observacion: EL BIEN TIENE PLACA ANTERIOR 000025283 Placa padre: Tipo adquisicion: Entidad"</f>
        <v>Descripcion: SILLA ERGONOMICA AT 02 (TA-SECRETARIAL) SIN BRAZOS Estado: Bueno Placa anterior: 000025283 Material: TAPIZADO EN TELA Color: NEGRO Referencia:  Observacion: EL BIEN TIENE PLACA ANTERIOR 000025283 Placa padre: Tipo adquisicion: Entidad</v>
      </c>
      <c r="G1249" s="5"/>
    </row>
    <row r="1250" spans="1:7" ht="58.5" customHeight="1" x14ac:dyDescent="0.25">
      <c r="A1250" s="5" t="str">
        <f>"H0008915"</f>
        <v>H0008915</v>
      </c>
      <c r="B1250" s="5" t="str">
        <f>"AIRE ACONDICIONADO TIPO SPLIT 12000 BTU"</f>
        <v>AIRE ACONDICIONADO TIPO SPLIT 12000 BTU</v>
      </c>
      <c r="C1250" s="6">
        <v>1836280</v>
      </c>
      <c r="D1250" s="5" t="s">
        <v>52</v>
      </c>
      <c r="E1250" s="5" t="str">
        <f t="shared" si="62"/>
        <v>ACTISALUD -PEDIATRIA</v>
      </c>
      <c r="F1250" s="5" t="str">
        <f>"Descripcion: AIRE ACONDICIONADO TIPO SPLIT 12000 BTU Estado: Bueno Placa anterior: 000036385 Material: PLASTICO Color: BLANCO Referencia: INVERTER Observacion:  Placa padre: Tipo adquisicion: Entidad"</f>
        <v>Descripcion: AIRE ACONDICIONADO TIPO SPLIT 12000 BTU Estado: Bueno Placa anterior: 000036385 Material: PLASTICO Color: BLANCO Referencia: INVERTER Observacion:  Placa padre: Tipo adquisicion: Entidad</v>
      </c>
      <c r="G1250" s="5" t="str">
        <f>"VM12CEN B3"</f>
        <v>VM12CEN B3</v>
      </c>
    </row>
    <row r="1251" spans="1:7" ht="58.5" customHeight="1" x14ac:dyDescent="0.25">
      <c r="A1251" s="5" t="str">
        <f>"H0008916"</f>
        <v>H0008916</v>
      </c>
      <c r="B1251" s="5" t="str">
        <f>"TELEVISOR LCD 46''"</f>
        <v>TELEVISOR LCD 46''</v>
      </c>
      <c r="C1251" s="6">
        <v>1260228</v>
      </c>
      <c r="D1251" s="5" t="s">
        <v>171</v>
      </c>
      <c r="E1251" s="5" t="str">
        <f t="shared" si="62"/>
        <v>ACTISALUD -PEDIATRIA</v>
      </c>
      <c r="F1251" s="5" t="str">
        <f>"Descripcion: TELEVISOR T.V LED 117 CMS FHD SMART tv 2.0.samsung ref UN46FH5303 PLU 165883 GE 46  Estado: Bueno Placa anterior: 000037199 Material: PLASTICO Color: NEGRO Referencia:  Observacion:  Placa padre: Tipo adquisicion: Donacion"</f>
        <v>Descripcion: TELEVISOR T.V LED 117 CMS FHD SMART tv 2.0.samsung ref UN46FH5303 PLU 165883 GE 46  Estado: Bueno Placa anterior: 000037199 Material: PLASTICO Color: NEGRO Referencia:  Observacion:  Placa padre: Tipo adquisicion: Donacion</v>
      </c>
      <c r="G1251" s="5"/>
    </row>
    <row r="1252" spans="1:7" ht="58.5" customHeight="1" x14ac:dyDescent="0.25">
      <c r="A1252" s="5" t="str">
        <f>"H0008917"</f>
        <v>H0008917</v>
      </c>
      <c r="B1252" s="5" t="str">
        <f>"TELEVISOR LCD 46''"</f>
        <v>TELEVISOR LCD 46''</v>
      </c>
      <c r="C1252" s="6">
        <v>1166628</v>
      </c>
      <c r="D1252" s="5" t="s">
        <v>171</v>
      </c>
      <c r="E1252" s="5" t="str">
        <f t="shared" si="62"/>
        <v>ACTISALUD -PEDIATRIA</v>
      </c>
      <c r="F1252" s="5" t="str">
        <f>"Descripcion: TELEVISOR T.V 117 CMS FHD SMART SAMSUNG REF UN46H5303A PLU 165883 46  Estado: Bueno Placa anterior: 000037200 Material: PLASTICO Color: NEGRO Referencia:  Observacion:  Placa padre: Tipo adquisicion: Donacion"</f>
        <v>Descripcion: TELEVISOR T.V 117 CMS FHD SMART SAMSUNG REF UN46H5303A PLU 165883 46  Estado: Bueno Placa anterior: 000037200 Material: PLASTICO Color: NEGRO Referencia:  Observacion:  Placa padre: Tipo adquisicion: Donacion</v>
      </c>
      <c r="G1252" s="5"/>
    </row>
    <row r="1253" spans="1:7" ht="58.5" customHeight="1" x14ac:dyDescent="0.25">
      <c r="A1253" s="5" t="str">
        <f>"H0008920"</f>
        <v>H0008920</v>
      </c>
      <c r="B1253" s="5" t="str">
        <f t="shared" ref="B1253:B1258" si="63">"LIBROS DE MEDICINA"</f>
        <v>LIBROS DE MEDICINA</v>
      </c>
      <c r="C1253" s="6">
        <v>35000</v>
      </c>
      <c r="D1253" s="5"/>
      <c r="E1253" s="5" t="str">
        <f t="shared" si="62"/>
        <v>ACTISALUD -PEDIATRIA</v>
      </c>
      <c r="F1253" s="5" t="str">
        <f>"Descripcion: LIBRO FUNDAMENTOS PEDIATRIA - TOMO 5 Estado: Bueno Placa anterior: 000007812 Material: PAPEL Color: PASTA BLANCO CON NARANJA Referencia:  Observacion:  Placa padre: Tipo adquisicion: Entidad"</f>
        <v>Descripcion: LIBRO FUNDAMENTOS PEDIATRIA - TOMO 5 Estado: Bueno Placa anterior: 000007812 Material: PAPEL Color: PASTA BLANCO CON NARANJA Referencia:  Observacion:  Placa padre: Tipo adquisicion: Entidad</v>
      </c>
      <c r="G1253" s="5"/>
    </row>
    <row r="1254" spans="1:7" ht="58.5" customHeight="1" x14ac:dyDescent="0.25">
      <c r="A1254" s="5" t="str">
        <f>"H0008921"</f>
        <v>H0008921</v>
      </c>
      <c r="B1254" s="5" t="str">
        <f t="shared" si="63"/>
        <v>LIBROS DE MEDICINA</v>
      </c>
      <c r="C1254" s="6">
        <v>35000</v>
      </c>
      <c r="D1254" s="5"/>
      <c r="E1254" s="5" t="str">
        <f t="shared" si="62"/>
        <v>ACTISALUD -PEDIATRIA</v>
      </c>
      <c r="F1254" s="5" t="str">
        <f>"Descripcion: LIBRO FUNDAMENTOS PEDIATRIA - TOMO 6 Estado: Bueno Placa anterior: 000007807 Material: PAPEL Color: PASTA BLANCO CON NARANJA Referencia:  Observacion:  Placa padre: Tipo adquisicion: Entidad"</f>
        <v>Descripcion: LIBRO FUNDAMENTOS PEDIATRIA - TOMO 6 Estado: Bueno Placa anterior: 000007807 Material: PAPEL Color: PASTA BLANCO CON NARANJA Referencia:  Observacion:  Placa padre: Tipo adquisicion: Entidad</v>
      </c>
      <c r="G1254" s="5"/>
    </row>
    <row r="1255" spans="1:7" ht="58.5" customHeight="1" x14ac:dyDescent="0.25">
      <c r="A1255" s="5" t="str">
        <f>"H0008922"</f>
        <v>H0008922</v>
      </c>
      <c r="B1255" s="5" t="str">
        <f t="shared" si="63"/>
        <v>LIBROS DE MEDICINA</v>
      </c>
      <c r="C1255" s="6">
        <v>35000</v>
      </c>
      <c r="D1255" s="5"/>
      <c r="E1255" s="5" t="str">
        <f t="shared" si="62"/>
        <v>ACTISALUD -PEDIATRIA</v>
      </c>
      <c r="F1255" s="5" t="str">
        <f>"Descripcion: LIBRO FUNDAMENTOS PEDIATRIA - TOMO 4 Estado: Bueno Placa anterior: 000007808 Material: PAPEL Color: PASTA BLANCO CON NARANJA Referencia:  Observacion:  Placa padre: Tipo adquisicion: Entidad"</f>
        <v>Descripcion: LIBRO FUNDAMENTOS PEDIATRIA - TOMO 4 Estado: Bueno Placa anterior: 000007808 Material: PAPEL Color: PASTA BLANCO CON NARANJA Referencia:  Observacion:  Placa padre: Tipo adquisicion: Entidad</v>
      </c>
      <c r="G1255" s="5"/>
    </row>
    <row r="1256" spans="1:7" ht="58.5" customHeight="1" x14ac:dyDescent="0.25">
      <c r="A1256" s="5" t="str">
        <f>"H0008923"</f>
        <v>H0008923</v>
      </c>
      <c r="B1256" s="5" t="str">
        <f t="shared" si="63"/>
        <v>LIBROS DE MEDICINA</v>
      </c>
      <c r="C1256" s="6">
        <v>35000</v>
      </c>
      <c r="D1256" s="5"/>
      <c r="E1256" s="5" t="str">
        <f t="shared" si="62"/>
        <v>ACTISALUD -PEDIATRIA</v>
      </c>
      <c r="F1256" s="5" t="str">
        <f>"Descripcion: LIBRO FUNDAMENTOS PEDIATRIA - TOMO 3 Estado: Bueno Placa anterior: 000007809 Material: PAPEL Color: PASTA BLANCO CON NARANJA Referencia:  Observacion:  Placa padre: Tipo adquisicion: Entidad"</f>
        <v>Descripcion: LIBRO FUNDAMENTOS PEDIATRIA - TOMO 3 Estado: Bueno Placa anterior: 000007809 Material: PAPEL Color: PASTA BLANCO CON NARANJA Referencia:  Observacion:  Placa padre: Tipo adquisicion: Entidad</v>
      </c>
      <c r="G1256" s="5"/>
    </row>
    <row r="1257" spans="1:7" ht="58.5" customHeight="1" x14ac:dyDescent="0.25">
      <c r="A1257" s="5" t="str">
        <f>"H0008924"</f>
        <v>H0008924</v>
      </c>
      <c r="B1257" s="5" t="str">
        <f t="shared" si="63"/>
        <v>LIBROS DE MEDICINA</v>
      </c>
      <c r="C1257" s="6">
        <v>35000</v>
      </c>
      <c r="D1257" s="5"/>
      <c r="E1257" s="5" t="str">
        <f t="shared" si="62"/>
        <v>ACTISALUD -PEDIATRIA</v>
      </c>
      <c r="F1257" s="5" t="str">
        <f>"Descripcion: LIBRO FUNDAMENTOS PEDIATRIA - TOMO 2 Estado: Bueno Placa anterior: 000007811 Material: PAPEL Color: PASTA BLANCO CON NARANJA Referencia:  Observacion:  Placa padre: Tipo adquisicion: Entidad"</f>
        <v>Descripcion: LIBRO FUNDAMENTOS PEDIATRIA - TOMO 2 Estado: Bueno Placa anterior: 000007811 Material: PAPEL Color: PASTA BLANCO CON NARANJA Referencia:  Observacion:  Placa padre: Tipo adquisicion: Entidad</v>
      </c>
      <c r="G1257" s="5"/>
    </row>
    <row r="1258" spans="1:7" ht="58.5" customHeight="1" x14ac:dyDescent="0.25">
      <c r="A1258" s="5" t="str">
        <f>"H0008925"</f>
        <v>H0008925</v>
      </c>
      <c r="B1258" s="5" t="str">
        <f t="shared" si="63"/>
        <v>LIBROS DE MEDICINA</v>
      </c>
      <c r="C1258" s="6">
        <v>35000</v>
      </c>
      <c r="D1258" s="5"/>
      <c r="E1258" s="5" t="str">
        <f t="shared" si="62"/>
        <v>ACTISALUD -PEDIATRIA</v>
      </c>
      <c r="F1258" s="5" t="str">
        <f>"Descripcion: LIBRO FUNDAMENTOS PEDIATRIA - TOMO 1 Estado: Bueno Placa anterior: 000007810 Material: PAPEL Color: PASTA BLANCO CON NARANJA Referencia:  Observacion:  Placa padre: Tipo adquisicion: Entidad"</f>
        <v>Descripcion: LIBRO FUNDAMENTOS PEDIATRIA - TOMO 1 Estado: Bueno Placa anterior: 000007810 Material: PAPEL Color: PASTA BLANCO CON NARANJA Referencia:  Observacion:  Placa padre: Tipo adquisicion: Entidad</v>
      </c>
      <c r="G1258" s="5"/>
    </row>
    <row r="1259" spans="1:7" ht="58.5" customHeight="1" x14ac:dyDescent="0.25">
      <c r="A1259" s="5" t="str">
        <f>"H0008926"</f>
        <v>H0008926</v>
      </c>
      <c r="B1259" s="5" t="str">
        <f>"MANUALES (LIBRO GUIA)"</f>
        <v>MANUALES (LIBRO GUIA)</v>
      </c>
      <c r="C1259" s="6">
        <v>55000</v>
      </c>
      <c r="D1259" s="5"/>
      <c r="E1259" s="5" t="str">
        <f t="shared" si="62"/>
        <v>ACTISALUD -PEDIATRIA</v>
      </c>
      <c r="F1259" s="5" t="str">
        <f>"Descripcion: EMERGENCIAS MEDICO QUIRURGICAS EN PEDIATRIA Estado: Bueno Placa anterior: 000009658 Material: PAPEL Color: PASTA MORADA Referencia:  Observacion:  Placa padre: Tipo adquisicion: Entidad"</f>
        <v>Descripcion: EMERGENCIAS MEDICO QUIRURGICAS EN PEDIATRIA Estado: Bueno Placa anterior: 000009658 Material: PAPEL Color: PASTA MORADA Referencia:  Observacion:  Placa padre: Tipo adquisicion: Entidad</v>
      </c>
      <c r="G1259" s="5"/>
    </row>
    <row r="1260" spans="1:7" ht="58.5" customHeight="1" x14ac:dyDescent="0.25">
      <c r="A1260" s="5" t="str">
        <f>"H0008927"</f>
        <v>H0008927</v>
      </c>
      <c r="B1260" s="5" t="str">
        <f>"MANUALES (LIBRO GUIA)"</f>
        <v>MANUALES (LIBRO GUIA)</v>
      </c>
      <c r="C1260" s="6">
        <v>231676.52</v>
      </c>
      <c r="D1260" s="5"/>
      <c r="E1260" s="5" t="str">
        <f t="shared" si="62"/>
        <v>ACTISALUD -PEDIATRIA</v>
      </c>
      <c r="F1260" s="5" t="str">
        <f>"Descripcion: PAUTAS DEL RECIEN NACIDO (ANGELA HOYOS) Estado: Bueno Placa anterior: 000007813 Material: PAPEL Color: PASTA ROJA Referencia:  Observacion:  Placa padre: Tipo adquisicion: Entidad"</f>
        <v>Descripcion: PAUTAS DEL RECIEN NACIDO (ANGELA HOYOS) Estado: Bueno Placa anterior: 000007813 Material: PAPEL Color: PASTA ROJA Referencia:  Observacion:  Placa padre: Tipo adquisicion: Entidad</v>
      </c>
      <c r="G1260" s="5"/>
    </row>
    <row r="1261" spans="1:7" ht="58.5" customHeight="1" x14ac:dyDescent="0.25">
      <c r="A1261" s="5" t="str">
        <f>"H0008928"</f>
        <v>H0008928</v>
      </c>
      <c r="B1261" s="5" t="str">
        <f>"DICCIONARIO FARMACEUTICO"</f>
        <v>DICCIONARIO FARMACEUTICO</v>
      </c>
      <c r="C1261" s="6">
        <v>8500</v>
      </c>
      <c r="D1261" s="5"/>
      <c r="E1261" s="5" t="str">
        <f t="shared" si="62"/>
        <v>ACTISALUD -PEDIATRIA</v>
      </c>
      <c r="F1261" s="5" t="str">
        <f>"Descripcion: DICCIONARIO DE ESPECIALIDADES FARMACEUTICA Estado: Bueno Placa anterior: 000024263 Material: PAPEL Color: PASTA VERDE Referencia:  Observacion:  Placa padre: Tipo adquisicion: Entidad"</f>
        <v>Descripcion: DICCIONARIO DE ESPECIALIDADES FARMACEUTICA Estado: Bueno Placa anterior: 000024263 Material: PAPEL Color: PASTA VERDE Referencia:  Observacion:  Placa padre: Tipo adquisicion: Entidad</v>
      </c>
      <c r="G1261" s="5"/>
    </row>
    <row r="1262" spans="1:7" ht="58.5" customHeight="1" x14ac:dyDescent="0.25">
      <c r="A1262" s="5" t="str">
        <f>"H0008931"</f>
        <v>H0008931</v>
      </c>
      <c r="B1262" s="5" t="str">
        <f>"FONENDOSCOPIO (ESTETOSCOPIO) DE 2 SERVICIOS"</f>
        <v>FONENDOSCOPIO (ESTETOSCOPIO) DE 2 SERVICIOS</v>
      </c>
      <c r="C1262" s="6">
        <v>82321.72</v>
      </c>
      <c r="D1262" s="5"/>
      <c r="E1262" s="5" t="str">
        <f t="shared" si="62"/>
        <v>ACTISALUD -PEDIATRIA</v>
      </c>
      <c r="F1262" s="5" t="str">
        <f>"Descripcion: FONENDOSCOPIO DOBLE SERVICIO Estado: Excelente Placa anterior: 000024305 Material:  Color: VERDE Referencia:  Observacion:  Placa padre: Tipo adquisicion: Entidad"</f>
        <v>Descripcion: FONENDOSCOPIO DOBLE SERVICIO Estado: Excelente Placa anterior: 000024305 Material:  Color: VERDE Referencia:  Observacion:  Placa padre: Tipo adquisicion: Entidad</v>
      </c>
      <c r="G1262" s="5"/>
    </row>
    <row r="1263" spans="1:7" ht="58.5" customHeight="1" x14ac:dyDescent="0.25">
      <c r="A1263" s="5" t="str">
        <f>"H0008933"</f>
        <v>H0008933</v>
      </c>
      <c r="B1263" s="5" t="str">
        <f>"FONENDOSCOPIO (ESTETOSCOPIO) PEDIATRICO"</f>
        <v>FONENDOSCOPIO (ESTETOSCOPIO) PEDIATRICO</v>
      </c>
      <c r="C1263" s="6">
        <v>140000</v>
      </c>
      <c r="D1263" s="5"/>
      <c r="E1263" s="5" t="str">
        <f t="shared" si="62"/>
        <v>ACTISALUD -PEDIATRIA</v>
      </c>
      <c r="F1263" s="5" t="str">
        <f>"Descripcion: FONENDOSCOPIO PEDIATRICO Estado: Excelente Placa anterior: 000024304 Material:  Color: NEGRO Referencia:  Observacion:  Placa padre: Tipo adquisicion: Entidad"</f>
        <v>Descripcion: FONENDOSCOPIO PEDIATRICO Estado: Excelente Placa anterior: 000024304 Material:  Color: NEGRO Referencia:  Observacion:  Placa padre: Tipo adquisicion: Entidad</v>
      </c>
      <c r="G1263" s="5"/>
    </row>
    <row r="1264" spans="1:7" ht="58.5" customHeight="1" x14ac:dyDescent="0.25">
      <c r="A1264" s="5" t="str">
        <f>"H0008935"</f>
        <v>H0008935</v>
      </c>
      <c r="B1264" s="5" t="str">
        <f>"FONENDOSCOPIO (ESTETOSCOPIO) PEDIATRICO"</f>
        <v>FONENDOSCOPIO (ESTETOSCOPIO) PEDIATRICO</v>
      </c>
      <c r="C1264" s="6">
        <v>200000</v>
      </c>
      <c r="D1264" s="5"/>
      <c r="E1264" s="5" t="str">
        <f t="shared" ref="E1264:E1327" si="64">"ACTISALUD -PEDIATRIA"</f>
        <v>ACTISALUD -PEDIATRIA</v>
      </c>
      <c r="F1264" s="5" t="str">
        <f>"Descripcion: FONENDOSCOPIO PEDIATRICO Estado: Excelente Placa anterior: 000025512 Material:  Color: NEGRO Referencia:  Observacion:  Placa padre: Tipo adquisicion: Entidad"</f>
        <v>Descripcion: FONENDOSCOPIO PEDIATRICO Estado: Excelente Placa anterior: 000025512 Material:  Color: NEGRO Referencia:  Observacion:  Placa padre: Tipo adquisicion: Entidad</v>
      </c>
      <c r="G1264" s="5"/>
    </row>
    <row r="1265" spans="1:7" ht="58.5" customHeight="1" x14ac:dyDescent="0.25">
      <c r="A1265" s="5" t="str">
        <f>"H0008946"</f>
        <v>H0008946</v>
      </c>
      <c r="B1265" s="5" t="str">
        <f t="shared" ref="B1265:B1288" si="65">"SILLA INTERLOCUTORA (FIJA) SIN BRAZOS"</f>
        <v>SILLA INTERLOCUTORA (FIJA) SIN BRAZOS</v>
      </c>
      <c r="C1265" s="6">
        <v>130000</v>
      </c>
      <c r="D1265" s="5" t="s">
        <v>169</v>
      </c>
      <c r="E1265" s="5" t="str">
        <f t="shared" si="64"/>
        <v>ACTISALUD -PEDIATRIA</v>
      </c>
      <c r="F1265" s="5" t="str">
        <f>"Descripcion: SILLA ISOSCELES CON BRAZO ALTO TAPIZADO EN PAÑO ROJO Estado: Bueno Placa anterior: 000036680 Material: METALICO Color: NEGRO CON ROJO Referencia:  Observacion:  Placa padre: Tipo adquisicion: Donacion"</f>
        <v>Descripcion: SILLA ISOSCELES CON BRAZO ALTO TAPIZADO EN PAÑO ROJO Estado: Bueno Placa anterior: 000036680 Material: METALICO Color: NEGRO CON ROJO Referencia:  Observacion:  Placa padre: Tipo adquisicion: Donacion</v>
      </c>
      <c r="G1265" s="5"/>
    </row>
    <row r="1266" spans="1:7" ht="58.5" customHeight="1" x14ac:dyDescent="0.25">
      <c r="A1266" s="5" t="str">
        <f>"H0008947"</f>
        <v>H0008947</v>
      </c>
      <c r="B1266" s="5" t="str">
        <f t="shared" si="65"/>
        <v>SILLA INTERLOCUTORA (FIJA) SIN BRAZOS</v>
      </c>
      <c r="C1266" s="6">
        <v>130000</v>
      </c>
      <c r="D1266" s="5" t="s">
        <v>169</v>
      </c>
      <c r="E1266" s="5" t="str">
        <f t="shared" si="64"/>
        <v>ACTISALUD -PEDIATRIA</v>
      </c>
      <c r="F1266" s="5" t="str">
        <f>"Descripcion: SILLA ISOSCELES CON BRAZO ALTO TAPIZADO EN PAÑO ROJO Estado: Bueno Placa anterior: 000036662 Material: METALICO Color: NEGRO CON ROJO Referencia:  Observacion:  Placa padre: Tipo adquisicion: Donacion"</f>
        <v>Descripcion: SILLA ISOSCELES CON BRAZO ALTO TAPIZADO EN PAÑO ROJO Estado: Bueno Placa anterior: 000036662 Material: METALICO Color: NEGRO CON ROJO Referencia:  Observacion:  Placa padre: Tipo adquisicion: Donacion</v>
      </c>
      <c r="G1266" s="5"/>
    </row>
    <row r="1267" spans="1:7" ht="58.5" customHeight="1" x14ac:dyDescent="0.25">
      <c r="A1267" s="5" t="str">
        <f>"H0008948"</f>
        <v>H0008948</v>
      </c>
      <c r="B1267" s="5" t="str">
        <f t="shared" si="65"/>
        <v>SILLA INTERLOCUTORA (FIJA) SIN BRAZOS</v>
      </c>
      <c r="C1267" s="6">
        <v>130000</v>
      </c>
      <c r="D1267" s="5" t="s">
        <v>169</v>
      </c>
      <c r="E1267" s="5" t="str">
        <f t="shared" si="64"/>
        <v>ACTISALUD -PEDIATRIA</v>
      </c>
      <c r="F1267" s="5" t="str">
        <f>"Descripcion: SILLA ISOSCELES CON BRAZO ALTO TAPIZADO EN PAÑO ROJO Estado: Bueno Placa anterior: 000036670 Material: METALICO Color: NEGRO CON ROJO Referencia:  Observacion:  Placa padre: Tipo adquisicion: Donacion"</f>
        <v>Descripcion: SILLA ISOSCELES CON BRAZO ALTO TAPIZADO EN PAÑO ROJO Estado: Bueno Placa anterior: 000036670 Material: METALICO Color: NEGRO CON ROJO Referencia:  Observacion:  Placa padre: Tipo adquisicion: Donacion</v>
      </c>
      <c r="G1267" s="5"/>
    </row>
    <row r="1268" spans="1:7" ht="58.5" customHeight="1" x14ac:dyDescent="0.25">
      <c r="A1268" s="5" t="str">
        <f>"H0008949"</f>
        <v>H0008949</v>
      </c>
      <c r="B1268" s="5" t="str">
        <f t="shared" si="65"/>
        <v>SILLA INTERLOCUTORA (FIJA) SIN BRAZOS</v>
      </c>
      <c r="C1268" s="6">
        <v>130000</v>
      </c>
      <c r="D1268" s="5" t="s">
        <v>169</v>
      </c>
      <c r="E1268" s="5" t="str">
        <f t="shared" si="64"/>
        <v>ACTISALUD -PEDIATRIA</v>
      </c>
      <c r="F1268" s="5" t="str">
        <f>"Descripcion: SILLA ISOSCELES CON BRAZO ALTO TAPIZADO EN PAÑO ROJO Estado: Bueno Placa anterior: 000036674 Material: METALICO Color: NEGRO CON ROJO Referencia:  Observacion:  Placa padre: Tipo adquisicion: Donacion"</f>
        <v>Descripcion: SILLA ISOSCELES CON BRAZO ALTO TAPIZADO EN PAÑO ROJO Estado: Bueno Placa anterior: 000036674 Material: METALICO Color: NEGRO CON ROJO Referencia:  Observacion:  Placa padre: Tipo adquisicion: Donacion</v>
      </c>
      <c r="G1268" s="5"/>
    </row>
    <row r="1269" spans="1:7" ht="58.5" customHeight="1" x14ac:dyDescent="0.25">
      <c r="A1269" s="5" t="str">
        <f>"H0008950"</f>
        <v>H0008950</v>
      </c>
      <c r="B1269" s="5" t="str">
        <f t="shared" si="65"/>
        <v>SILLA INTERLOCUTORA (FIJA) SIN BRAZOS</v>
      </c>
      <c r="C1269" s="6">
        <v>130000</v>
      </c>
      <c r="D1269" s="5" t="s">
        <v>172</v>
      </c>
      <c r="E1269" s="5" t="str">
        <f t="shared" si="64"/>
        <v>ACTISALUD -PEDIATRIA</v>
      </c>
      <c r="F1269" s="5" t="str">
        <f>"Descripcion: SILLA ISOSCELES CON BRAZO ALTO TAPIZADO EN PAÑO ROJO Estado: Bueno Placa anterior: 000036529 Material: METALICO Color: NEGRO CON ROJO Referencia:  Observacion:  Placa padre: Tipo adquisicion: Donacion"</f>
        <v>Descripcion: SILLA ISOSCELES CON BRAZO ALTO TAPIZADO EN PAÑO ROJO Estado: Bueno Placa anterior: 000036529 Material: METALICO Color: NEGRO CON ROJO Referencia:  Observacion:  Placa padre: Tipo adquisicion: Donacion</v>
      </c>
      <c r="G1269" s="5"/>
    </row>
    <row r="1270" spans="1:7" ht="58.5" customHeight="1" x14ac:dyDescent="0.25">
      <c r="A1270" s="5" t="str">
        <f>"H0008951"</f>
        <v>H0008951</v>
      </c>
      <c r="B1270" s="5" t="str">
        <f t="shared" si="65"/>
        <v>SILLA INTERLOCUTORA (FIJA) SIN BRAZOS</v>
      </c>
      <c r="C1270" s="6">
        <v>130000</v>
      </c>
      <c r="D1270" s="5" t="s">
        <v>169</v>
      </c>
      <c r="E1270" s="5" t="str">
        <f t="shared" si="64"/>
        <v>ACTISALUD -PEDIATRIA</v>
      </c>
      <c r="F1270" s="5" t="str">
        <f>"Descripcion: SILLA ISOSCELES CON BRAZO ALTO TAPIZADO EN PAÑO ROJO Estado: Bueno Placa anterior: 000036663 Material: METALICO Color: NEGRO CON ROJO Referencia:  Observacion:  Placa padre: Tipo adquisicion: Donacion"</f>
        <v>Descripcion: SILLA ISOSCELES CON BRAZO ALTO TAPIZADO EN PAÑO ROJO Estado: Bueno Placa anterior: 000036663 Material: METALICO Color: NEGRO CON ROJO Referencia:  Observacion:  Placa padre: Tipo adquisicion: Donacion</v>
      </c>
      <c r="G1270" s="5"/>
    </row>
    <row r="1271" spans="1:7" ht="58.5" customHeight="1" x14ac:dyDescent="0.25">
      <c r="A1271" s="5" t="str">
        <f>"H0008952"</f>
        <v>H0008952</v>
      </c>
      <c r="B1271" s="5" t="str">
        <f t="shared" si="65"/>
        <v>SILLA INTERLOCUTORA (FIJA) SIN BRAZOS</v>
      </c>
      <c r="C1271" s="6">
        <v>130000</v>
      </c>
      <c r="D1271" s="5" t="s">
        <v>172</v>
      </c>
      <c r="E1271" s="5" t="str">
        <f t="shared" si="64"/>
        <v>ACTISALUD -PEDIATRIA</v>
      </c>
      <c r="F1271" s="5" t="str">
        <f>"Descripcion: SILLA ISOSCELES CON BRAZO ALTO TAPIZADO EN PAÑO ROJO Estado: Bueno Placa anterior: 000036532 Material: METALICO Color: NEGRO CON ROJO Referencia:  Observacion:  Placa padre: Tipo adquisicion: Donacion"</f>
        <v>Descripcion: SILLA ISOSCELES CON BRAZO ALTO TAPIZADO EN PAÑO ROJO Estado: Bueno Placa anterior: 000036532 Material: METALICO Color: NEGRO CON ROJO Referencia:  Observacion:  Placa padre: Tipo adquisicion: Donacion</v>
      </c>
      <c r="G1271" s="5"/>
    </row>
    <row r="1272" spans="1:7" ht="58.5" customHeight="1" x14ac:dyDescent="0.25">
      <c r="A1272" s="5" t="str">
        <f>"H0008953"</f>
        <v>H0008953</v>
      </c>
      <c r="B1272" s="5" t="str">
        <f t="shared" si="65"/>
        <v>SILLA INTERLOCUTORA (FIJA) SIN BRAZOS</v>
      </c>
      <c r="C1272" s="6">
        <v>130000</v>
      </c>
      <c r="D1272" s="5" t="s">
        <v>172</v>
      </c>
      <c r="E1272" s="5" t="str">
        <f t="shared" si="64"/>
        <v>ACTISALUD -PEDIATRIA</v>
      </c>
      <c r="F1272" s="5" t="str">
        <f>"Descripcion: SILLA ISOSCELES CON BRAZO ALTO TAPIZADO EN PAÑO ROJO Estado: Bueno Placa anterior: 000036531 Material: METALICO Color: NEGRO CON ROJO Referencia:  Observacion:  Placa padre: Tipo adquisicion: Donacion"</f>
        <v>Descripcion: SILLA ISOSCELES CON BRAZO ALTO TAPIZADO EN PAÑO ROJO Estado: Bueno Placa anterior: 000036531 Material: METALICO Color: NEGRO CON ROJO Referencia:  Observacion:  Placa padre: Tipo adquisicion: Donacion</v>
      </c>
      <c r="G1272" s="5"/>
    </row>
    <row r="1273" spans="1:7" ht="58.5" customHeight="1" x14ac:dyDescent="0.25">
      <c r="A1273" s="5" t="str">
        <f>"H0008954"</f>
        <v>H0008954</v>
      </c>
      <c r="B1273" s="5" t="str">
        <f t="shared" si="65"/>
        <v>SILLA INTERLOCUTORA (FIJA) SIN BRAZOS</v>
      </c>
      <c r="C1273" s="6">
        <v>130000</v>
      </c>
      <c r="D1273" s="5" t="s">
        <v>172</v>
      </c>
      <c r="E1273" s="5" t="str">
        <f t="shared" si="64"/>
        <v>ACTISALUD -PEDIATRIA</v>
      </c>
      <c r="F1273" s="5" t="str">
        <f>"Descripcion: SILLA ISOSCELES CON BRAZO ALTO TAPIZADO EN PAÑO ROJO Estado: Bueno Placa anterior: 000036534 Material: METALICO Color: NEGRO CON ROJO Referencia:  Observacion:  Placa padre: Tipo adquisicion: Donacion"</f>
        <v>Descripcion: SILLA ISOSCELES CON BRAZO ALTO TAPIZADO EN PAÑO ROJO Estado: Bueno Placa anterior: 000036534 Material: METALICO Color: NEGRO CON ROJO Referencia:  Observacion:  Placa padre: Tipo adquisicion: Donacion</v>
      </c>
      <c r="G1273" s="5"/>
    </row>
    <row r="1274" spans="1:7" ht="58.5" customHeight="1" x14ac:dyDescent="0.25">
      <c r="A1274" s="5" t="str">
        <f>"H0008955"</f>
        <v>H0008955</v>
      </c>
      <c r="B1274" s="5" t="str">
        <f t="shared" si="65"/>
        <v>SILLA INTERLOCUTORA (FIJA) SIN BRAZOS</v>
      </c>
      <c r="C1274" s="6">
        <v>130000</v>
      </c>
      <c r="D1274" s="5" t="s">
        <v>169</v>
      </c>
      <c r="E1274" s="5" t="str">
        <f t="shared" si="64"/>
        <v>ACTISALUD -PEDIATRIA</v>
      </c>
      <c r="F1274" s="5" t="str">
        <f>"Descripcion: SILLA ISOSCELES CON BRAZO ALTO TAPIZADO EN PAÑO ROJO Estado: Bueno Placa anterior: 000036677 Material: METALICO Color: NEGRO CON ROJO Referencia:  Observacion:  Placa padre: Tipo adquisicion: Donacion"</f>
        <v>Descripcion: SILLA ISOSCELES CON BRAZO ALTO TAPIZADO EN PAÑO ROJO Estado: Bueno Placa anterior: 000036677 Material: METALICO Color: NEGRO CON ROJO Referencia:  Observacion:  Placa padre: Tipo adquisicion: Donacion</v>
      </c>
      <c r="G1274" s="5"/>
    </row>
    <row r="1275" spans="1:7" ht="58.5" customHeight="1" x14ac:dyDescent="0.25">
      <c r="A1275" s="5" t="str">
        <f>"H0008956"</f>
        <v>H0008956</v>
      </c>
      <c r="B1275" s="5" t="str">
        <f t="shared" si="65"/>
        <v>SILLA INTERLOCUTORA (FIJA) SIN BRAZOS</v>
      </c>
      <c r="C1275" s="6">
        <v>130000</v>
      </c>
      <c r="D1275" s="5" t="s">
        <v>169</v>
      </c>
      <c r="E1275" s="5" t="str">
        <f t="shared" si="64"/>
        <v>ACTISALUD -PEDIATRIA</v>
      </c>
      <c r="F1275" s="5" t="str">
        <f>"Descripcion: SILLA ISOSCELES CON BRAZO ALTO TAPIZADO EN PAÑO ROJO Estado: Bueno Placa anterior: 000036672 Material: METALICO Color: NEGRO CON ROJO Referencia:  Observacion:  Placa padre: Tipo adquisicion: Donacion"</f>
        <v>Descripcion: SILLA ISOSCELES CON BRAZO ALTO TAPIZADO EN PAÑO ROJO Estado: Bueno Placa anterior: 000036672 Material: METALICO Color: NEGRO CON ROJO Referencia:  Observacion:  Placa padre: Tipo adquisicion: Donacion</v>
      </c>
      <c r="G1275" s="5"/>
    </row>
    <row r="1276" spans="1:7" ht="58.5" customHeight="1" x14ac:dyDescent="0.25">
      <c r="A1276" s="5" t="str">
        <f>"H0008957"</f>
        <v>H0008957</v>
      </c>
      <c r="B1276" s="5" t="str">
        <f t="shared" si="65"/>
        <v>SILLA INTERLOCUTORA (FIJA) SIN BRAZOS</v>
      </c>
      <c r="C1276" s="6">
        <v>130000</v>
      </c>
      <c r="D1276" s="5" t="s">
        <v>169</v>
      </c>
      <c r="E1276" s="5" t="str">
        <f t="shared" si="64"/>
        <v>ACTISALUD -PEDIATRIA</v>
      </c>
      <c r="F1276" s="5" t="str">
        <f>"Descripcion: SILLA ISOSCELES CON BRAZO ALTO TAPIZADO EN PAÑO ROJO Estado: Bueno Placa anterior: 000036679 Material: METALICO Color: NEGRO CON ROJO Referencia:  Observacion:  Placa padre: Tipo adquisicion: Donacion"</f>
        <v>Descripcion: SILLA ISOSCELES CON BRAZO ALTO TAPIZADO EN PAÑO ROJO Estado: Bueno Placa anterior: 000036679 Material: METALICO Color: NEGRO CON ROJO Referencia:  Observacion:  Placa padre: Tipo adquisicion: Donacion</v>
      </c>
      <c r="G1276" s="5"/>
    </row>
    <row r="1277" spans="1:7" ht="58.5" customHeight="1" x14ac:dyDescent="0.25">
      <c r="A1277" s="5" t="str">
        <f>"H0008958"</f>
        <v>H0008958</v>
      </c>
      <c r="B1277" s="5" t="str">
        <f t="shared" si="65"/>
        <v>SILLA INTERLOCUTORA (FIJA) SIN BRAZOS</v>
      </c>
      <c r="C1277" s="6">
        <v>130000</v>
      </c>
      <c r="D1277" s="5" t="s">
        <v>169</v>
      </c>
      <c r="E1277" s="5" t="str">
        <f t="shared" si="64"/>
        <v>ACTISALUD -PEDIATRIA</v>
      </c>
      <c r="F1277" s="5" t="str">
        <f>"Descripcion: SILLA ISOSCELES CON BRAZO ALTO TAPIZADO EN PAÑO ROJO Estado: Bueno Placa anterior: 000036661 Material: METALICO Color: NEGRO CON ROJO Referencia:  Observacion:  Placa padre: Tipo adquisicion: Donacion"</f>
        <v>Descripcion: SILLA ISOSCELES CON BRAZO ALTO TAPIZADO EN PAÑO ROJO Estado: Bueno Placa anterior: 000036661 Material: METALICO Color: NEGRO CON ROJO Referencia:  Observacion:  Placa padre: Tipo adquisicion: Donacion</v>
      </c>
      <c r="G1277" s="5"/>
    </row>
    <row r="1278" spans="1:7" ht="58.5" customHeight="1" x14ac:dyDescent="0.25">
      <c r="A1278" s="5" t="str">
        <f>"H0008959"</f>
        <v>H0008959</v>
      </c>
      <c r="B1278" s="5" t="str">
        <f t="shared" si="65"/>
        <v>SILLA INTERLOCUTORA (FIJA) SIN BRAZOS</v>
      </c>
      <c r="C1278" s="6">
        <v>130000</v>
      </c>
      <c r="D1278" s="5" t="s">
        <v>169</v>
      </c>
      <c r="E1278" s="5" t="str">
        <f t="shared" si="64"/>
        <v>ACTISALUD -PEDIATRIA</v>
      </c>
      <c r="F1278" s="5" t="str">
        <f>"Descripcion: SILLA ISOSCELES CON BRAZO ALTO TAPIZADO EN PAÑO ROJO Estado: Bueno Placa anterior: 000036665 Material: METALICO Color: NEGRO CON ROJO Referencia:  Observacion:  Placa padre: Tipo adquisicion: Donacion"</f>
        <v>Descripcion: SILLA ISOSCELES CON BRAZO ALTO TAPIZADO EN PAÑO ROJO Estado: Bueno Placa anterior: 000036665 Material: METALICO Color: NEGRO CON ROJO Referencia:  Observacion:  Placa padre: Tipo adquisicion: Donacion</v>
      </c>
      <c r="G1278" s="5"/>
    </row>
    <row r="1279" spans="1:7" ht="58.5" customHeight="1" x14ac:dyDescent="0.25">
      <c r="A1279" s="5" t="str">
        <f>"H0008960"</f>
        <v>H0008960</v>
      </c>
      <c r="B1279" s="5" t="str">
        <f t="shared" si="65"/>
        <v>SILLA INTERLOCUTORA (FIJA) SIN BRAZOS</v>
      </c>
      <c r="C1279" s="6">
        <v>130000</v>
      </c>
      <c r="D1279" s="5" t="s">
        <v>169</v>
      </c>
      <c r="E1279" s="5" t="str">
        <f t="shared" si="64"/>
        <v>ACTISALUD -PEDIATRIA</v>
      </c>
      <c r="F1279" s="5" t="str">
        <f>"Descripcion: SILLA ISOSCELES CON BRAZO ALTO TAPIZADO EN PAÑO ROJO Estado: Bueno Placa anterior: 000036676 Material: METALICO Color: NEGRO CON ROJO Referencia:  Observacion:  Placa padre: Tipo adquisicion: Donacion"</f>
        <v>Descripcion: SILLA ISOSCELES CON BRAZO ALTO TAPIZADO EN PAÑO ROJO Estado: Bueno Placa anterior: 000036676 Material: METALICO Color: NEGRO CON ROJO Referencia:  Observacion:  Placa padre: Tipo adquisicion: Donacion</v>
      </c>
      <c r="G1279" s="5"/>
    </row>
    <row r="1280" spans="1:7" ht="58.5" customHeight="1" x14ac:dyDescent="0.25">
      <c r="A1280" s="5" t="str">
        <f>"H0008961"</f>
        <v>H0008961</v>
      </c>
      <c r="B1280" s="5" t="str">
        <f t="shared" si="65"/>
        <v>SILLA INTERLOCUTORA (FIJA) SIN BRAZOS</v>
      </c>
      <c r="C1280" s="6">
        <v>130000</v>
      </c>
      <c r="D1280" s="5" t="s">
        <v>169</v>
      </c>
      <c r="E1280" s="5" t="str">
        <f t="shared" si="64"/>
        <v>ACTISALUD -PEDIATRIA</v>
      </c>
      <c r="F1280" s="5" t="str">
        <f>"Descripcion: SILLA ISOSCELES CON BRAZO ALTO TAPIZADO EN PAÑO ROJO Estado: Bueno Placa anterior: 000036666 Material: METALICO Color: NEGRO CON ROJO Referencia:  Observacion:  Placa padre: Tipo adquisicion: Donacion"</f>
        <v>Descripcion: SILLA ISOSCELES CON BRAZO ALTO TAPIZADO EN PAÑO ROJO Estado: Bueno Placa anterior: 000036666 Material: METALICO Color: NEGRO CON ROJO Referencia:  Observacion:  Placa padre: Tipo adquisicion: Donacion</v>
      </c>
      <c r="G1280" s="5"/>
    </row>
    <row r="1281" spans="1:7" ht="58.5" customHeight="1" x14ac:dyDescent="0.25">
      <c r="A1281" s="5" t="str">
        <f>"H0008962"</f>
        <v>H0008962</v>
      </c>
      <c r="B1281" s="5" t="str">
        <f t="shared" si="65"/>
        <v>SILLA INTERLOCUTORA (FIJA) SIN BRAZOS</v>
      </c>
      <c r="C1281" s="6">
        <v>130000</v>
      </c>
      <c r="D1281" s="5" t="s">
        <v>169</v>
      </c>
      <c r="E1281" s="5" t="str">
        <f t="shared" si="64"/>
        <v>ACTISALUD -PEDIATRIA</v>
      </c>
      <c r="F1281" s="5" t="str">
        <f>"Descripcion: SILLA ISOSCELES CON BRAZO ALTO TAPIZADO EN PAÑO ROJO Estado: Bueno Placa anterior: 000036678 Material: METALICO Color: NEGRO CON ROJO Referencia:  Observacion:  Placa padre: Tipo adquisicion: Donacion"</f>
        <v>Descripcion: SILLA ISOSCELES CON BRAZO ALTO TAPIZADO EN PAÑO ROJO Estado: Bueno Placa anterior: 000036678 Material: METALICO Color: NEGRO CON ROJO Referencia:  Observacion:  Placa padre: Tipo adquisicion: Donacion</v>
      </c>
      <c r="G1281" s="5"/>
    </row>
    <row r="1282" spans="1:7" ht="58.5" customHeight="1" x14ac:dyDescent="0.25">
      <c r="A1282" s="5" t="str">
        <f>"H0008963"</f>
        <v>H0008963</v>
      </c>
      <c r="B1282" s="5" t="str">
        <f t="shared" si="65"/>
        <v>SILLA INTERLOCUTORA (FIJA) SIN BRAZOS</v>
      </c>
      <c r="C1282" s="6">
        <v>130000</v>
      </c>
      <c r="D1282" s="5" t="s">
        <v>169</v>
      </c>
      <c r="E1282" s="5" t="str">
        <f t="shared" si="64"/>
        <v>ACTISALUD -PEDIATRIA</v>
      </c>
      <c r="F1282" s="5" t="str">
        <f>"Descripcion: SILLA ISOSCELES CON BRAZO ALTO TAPIZADO EN PAÑO ROJO Estado: Bueno Placa anterior: 000036671 Material: METALICO Color: NEGRO CON ROJO Referencia:  Observacion:  Placa padre: Tipo adquisicion: Donacion"</f>
        <v>Descripcion: SILLA ISOSCELES CON BRAZO ALTO TAPIZADO EN PAÑO ROJO Estado: Bueno Placa anterior: 000036671 Material: METALICO Color: NEGRO CON ROJO Referencia:  Observacion:  Placa padre: Tipo adquisicion: Donacion</v>
      </c>
      <c r="G1282" s="5"/>
    </row>
    <row r="1283" spans="1:7" ht="58.5" customHeight="1" x14ac:dyDescent="0.25">
      <c r="A1283" s="5" t="str">
        <f>"H0008964"</f>
        <v>H0008964</v>
      </c>
      <c r="B1283" s="5" t="str">
        <f t="shared" si="65"/>
        <v>SILLA INTERLOCUTORA (FIJA) SIN BRAZOS</v>
      </c>
      <c r="C1283" s="6">
        <v>130000</v>
      </c>
      <c r="D1283" s="5" t="s">
        <v>169</v>
      </c>
      <c r="E1283" s="5" t="str">
        <f t="shared" si="64"/>
        <v>ACTISALUD -PEDIATRIA</v>
      </c>
      <c r="F1283" s="5" t="str">
        <f>"Descripcion: SILLA ISOSCELES CON BRAZO ALTO TAPIZADO EN PAÑO ROJO Estado: Bueno Placa anterior: 000036675 Material: METALICO Color: NEGRO CON ROJO Referencia:  Observacion:  Placa padre: Tipo adquisicion: Donacion"</f>
        <v>Descripcion: SILLA ISOSCELES CON BRAZO ALTO TAPIZADO EN PAÑO ROJO Estado: Bueno Placa anterior: 000036675 Material: METALICO Color: NEGRO CON ROJO Referencia:  Observacion:  Placa padre: Tipo adquisicion: Donacion</v>
      </c>
      <c r="G1283" s="5"/>
    </row>
    <row r="1284" spans="1:7" ht="58.5" customHeight="1" x14ac:dyDescent="0.25">
      <c r="A1284" s="5" t="str">
        <f>"H0008965"</f>
        <v>H0008965</v>
      </c>
      <c r="B1284" s="5" t="str">
        <f t="shared" si="65"/>
        <v>SILLA INTERLOCUTORA (FIJA) SIN BRAZOS</v>
      </c>
      <c r="C1284" s="6">
        <v>130000</v>
      </c>
      <c r="D1284" s="5" t="s">
        <v>169</v>
      </c>
      <c r="E1284" s="5" t="str">
        <f t="shared" si="64"/>
        <v>ACTISALUD -PEDIATRIA</v>
      </c>
      <c r="F1284" s="5" t="str">
        <f>"Descripcion: SILLA ISOSCELES CON BRAZO ALTO TAPIZADO EN PAÑO ROJO Estado: Bueno Placa anterior: 000036673 Material: METALICO Color: NEGRO CON ROJO Referencia:  Observacion:  Placa padre: Tipo adquisicion: Donacion"</f>
        <v>Descripcion: SILLA ISOSCELES CON BRAZO ALTO TAPIZADO EN PAÑO ROJO Estado: Bueno Placa anterior: 000036673 Material: METALICO Color: NEGRO CON ROJO Referencia:  Observacion:  Placa padre: Tipo adquisicion: Donacion</v>
      </c>
      <c r="G1284" s="5"/>
    </row>
    <row r="1285" spans="1:7" ht="58.5" customHeight="1" x14ac:dyDescent="0.25">
      <c r="A1285" s="5" t="str">
        <f>"H0008966"</f>
        <v>H0008966</v>
      </c>
      <c r="B1285" s="5" t="str">
        <f t="shared" si="65"/>
        <v>SILLA INTERLOCUTORA (FIJA) SIN BRAZOS</v>
      </c>
      <c r="C1285" s="6">
        <v>130000</v>
      </c>
      <c r="D1285" s="5" t="s">
        <v>169</v>
      </c>
      <c r="E1285" s="5" t="str">
        <f t="shared" si="64"/>
        <v>ACTISALUD -PEDIATRIA</v>
      </c>
      <c r="F1285" s="5" t="str">
        <f>"Descripcion: SILLA ISOSCELES CON BRAZO ALTO TAPIZADO EN PAÑO ROJO Estado: Bueno Placa anterior: 000036668 Material: METALICO Color: NEGRO CON ROJO Referencia:  Observacion:  Placa padre: Tipo adquisicion: Donacion"</f>
        <v>Descripcion: SILLA ISOSCELES CON BRAZO ALTO TAPIZADO EN PAÑO ROJO Estado: Bueno Placa anterior: 000036668 Material: METALICO Color: NEGRO CON ROJO Referencia:  Observacion:  Placa padre: Tipo adquisicion: Donacion</v>
      </c>
      <c r="G1285" s="5"/>
    </row>
    <row r="1286" spans="1:7" ht="58.5" customHeight="1" x14ac:dyDescent="0.25">
      <c r="A1286" s="5" t="str">
        <f>"H0008967"</f>
        <v>H0008967</v>
      </c>
      <c r="B1286" s="5" t="str">
        <f t="shared" si="65"/>
        <v>SILLA INTERLOCUTORA (FIJA) SIN BRAZOS</v>
      </c>
      <c r="C1286" s="6">
        <v>130000</v>
      </c>
      <c r="D1286" s="5" t="s">
        <v>169</v>
      </c>
      <c r="E1286" s="5" t="str">
        <f t="shared" si="64"/>
        <v>ACTISALUD -PEDIATRIA</v>
      </c>
      <c r="F1286" s="5" t="str">
        <f>"Descripcion: SILLA ISOSCELES CON BRAZO ALTO TAPIZADO EN PAÑO ROJO Estado: Bueno Placa anterior: 000036669 Material: METALICO Color: NEGRO CON ROJO Referencia:  Observacion:  Placa padre: Tipo adquisicion: Donacion"</f>
        <v>Descripcion: SILLA ISOSCELES CON BRAZO ALTO TAPIZADO EN PAÑO ROJO Estado: Bueno Placa anterior: 000036669 Material: METALICO Color: NEGRO CON ROJO Referencia:  Observacion:  Placa padre: Tipo adquisicion: Donacion</v>
      </c>
      <c r="G1286" s="5"/>
    </row>
    <row r="1287" spans="1:7" ht="58.5" customHeight="1" x14ac:dyDescent="0.25">
      <c r="A1287" s="5" t="str">
        <f>"H0008968"</f>
        <v>H0008968</v>
      </c>
      <c r="B1287" s="5" t="str">
        <f t="shared" si="65"/>
        <v>SILLA INTERLOCUTORA (FIJA) SIN BRAZOS</v>
      </c>
      <c r="C1287" s="6">
        <v>130000</v>
      </c>
      <c r="D1287" s="5" t="s">
        <v>172</v>
      </c>
      <c r="E1287" s="5" t="str">
        <f t="shared" si="64"/>
        <v>ACTISALUD -PEDIATRIA</v>
      </c>
      <c r="F1287" s="5" t="str">
        <f>"Descripcion: SILLA ISOSCELES CON BRAZO ALTO TAPIZADO EN PAÑO ROJO Estado: Bueno Placa anterior: 000036533 Material: METALICO Color: NEGRO CON ROJO Referencia:  Observacion:  Placa padre: Tipo adquisicion: Donacion"</f>
        <v>Descripcion: SILLA ISOSCELES CON BRAZO ALTO TAPIZADO EN PAÑO ROJO Estado: Bueno Placa anterior: 000036533 Material: METALICO Color: NEGRO CON ROJO Referencia:  Observacion:  Placa padre: Tipo adquisicion: Donacion</v>
      </c>
      <c r="G1287" s="5"/>
    </row>
    <row r="1288" spans="1:7" ht="58.5" customHeight="1" x14ac:dyDescent="0.25">
      <c r="A1288" s="5" t="str">
        <f>"H0008969"</f>
        <v>H0008969</v>
      </c>
      <c r="B1288" s="5" t="str">
        <f t="shared" si="65"/>
        <v>SILLA INTERLOCUTORA (FIJA) SIN BRAZOS</v>
      </c>
      <c r="C1288" s="6">
        <v>130000</v>
      </c>
      <c r="D1288" s="5" t="s">
        <v>169</v>
      </c>
      <c r="E1288" s="5" t="str">
        <f t="shared" si="64"/>
        <v>ACTISALUD -PEDIATRIA</v>
      </c>
      <c r="F1288" s="5" t="str">
        <f>"Descripcion: SILLA ISOSCELES CON BRAZO ALTO TAPIZADO EN PAÑO ROJO Estado: Bueno Placa anterior: 000036667 Material: METALICO Color: NEGRO CON ROJO Referencia:  Observacion:  Placa padre: Tipo adquisicion: Donacion"</f>
        <v>Descripcion: SILLA ISOSCELES CON BRAZO ALTO TAPIZADO EN PAÑO ROJO Estado: Bueno Placa anterior: 000036667 Material: METALICO Color: NEGRO CON ROJO Referencia:  Observacion:  Placa padre: Tipo adquisicion: Donacion</v>
      </c>
      <c r="G1288" s="5"/>
    </row>
    <row r="1289" spans="1:7" ht="58.5" customHeight="1" x14ac:dyDescent="0.25">
      <c r="A1289" s="5" t="str">
        <f>"H0008972"</f>
        <v>H0008972</v>
      </c>
      <c r="B1289" s="5" t="str">
        <f>"MESA DE MADERA PARA JUNTASDE 6 PUESTOS"</f>
        <v>MESA DE MADERA PARA JUNTASDE 6 PUESTOS</v>
      </c>
      <c r="C1289" s="6">
        <v>400000</v>
      </c>
      <c r="D1289" s="5" t="s">
        <v>169</v>
      </c>
      <c r="E1289" s="5" t="str">
        <f t="shared" si="64"/>
        <v>ACTISALUD -PEDIATRIA</v>
      </c>
      <c r="F1289" s="5" t="str">
        <f>"Descripcion: MESA PARA SALA DE JUNTAS EN MADERA MEDIDAS: 74X183X74 Estado: Bueno Placa anterior: 000036682 Material: MADERA  Color: MARRON Referencia:  Observacion:  Placa padre: Tipo adquisicion: Donacion"</f>
        <v>Descripcion: MESA PARA SALA DE JUNTAS EN MADERA MEDIDAS: 74X183X74 Estado: Bueno Placa anterior: 000036682 Material: MADERA  Color: MARRON Referencia:  Observacion:  Placa padre: Tipo adquisicion: Donacion</v>
      </c>
      <c r="G1289" s="5"/>
    </row>
    <row r="1290" spans="1:7" ht="58.5" customHeight="1" x14ac:dyDescent="0.25">
      <c r="A1290" s="5" t="str">
        <f>"H0008973"</f>
        <v>H0008973</v>
      </c>
      <c r="B1290" s="5" t="str">
        <f>"MULTIMUEBLE DE MADERA"</f>
        <v>MULTIMUEBLE DE MADERA</v>
      </c>
      <c r="C1290" s="6">
        <v>200000</v>
      </c>
      <c r="D1290" s="5" t="s">
        <v>169</v>
      </c>
      <c r="E1290" s="5" t="str">
        <f t="shared" si="64"/>
        <v>ACTISALUD -PEDIATRIA</v>
      </c>
      <c r="F1290" s="5" t="str">
        <f>"Descripcion: BIBLIOTECA EN MADERA ,MEDIDAS 190X120X50CM Estado: Bueno Placa anterior: 000036685 Material: MADERA Color: MARRON Referencia:  Observacion: EL BIEN TIENE PLACA ANTERIOR 000036685  Placa padre: Tipo adquisicion: Donacion"</f>
        <v>Descripcion: BIBLIOTECA EN MADERA ,MEDIDAS 190X120X50CM Estado: Bueno Placa anterior: 000036685 Material: MADERA Color: MARRON Referencia:  Observacion: EL BIEN TIENE PLACA ANTERIOR 000036685  Placa padre: Tipo adquisicion: Donacion</v>
      </c>
      <c r="G1290" s="5"/>
    </row>
    <row r="1291" spans="1:7" ht="58.5" customHeight="1" x14ac:dyDescent="0.25">
      <c r="A1291" s="5" t="str">
        <f>"H0008975"</f>
        <v>H0008975</v>
      </c>
      <c r="B1291" s="5" t="str">
        <f>"ESCRITORIO DE MADERA 3 GAVETAS"</f>
        <v>ESCRITORIO DE MADERA 3 GAVETAS</v>
      </c>
      <c r="C1291" s="6">
        <v>150000</v>
      </c>
      <c r="D1291" s="5" t="s">
        <v>169</v>
      </c>
      <c r="E1291" s="5" t="str">
        <f t="shared" si="64"/>
        <v>ACTISALUD -PEDIATRIA</v>
      </c>
      <c r="F1291" s="5" t="str">
        <f>"Descripcion: ESCRITORIO EN MADERA 3 GAVETAS PARA COMPUTADOR Estado: Bueno Placa anterior: 000036681 Material: MADERA  Color: MARRON Referencia:  Observacion:  Placa padre: Tipo adquisicion: Donacion"</f>
        <v>Descripcion: ESCRITORIO EN MADERA 3 GAVETAS PARA COMPUTADOR Estado: Bueno Placa anterior: 000036681 Material: MADERA  Color: MARRON Referencia:  Observacion:  Placa padre: Tipo adquisicion: Donacion</v>
      </c>
      <c r="G1291" s="5"/>
    </row>
    <row r="1292" spans="1:7" ht="58.5" customHeight="1" x14ac:dyDescent="0.25">
      <c r="A1292" s="5" t="str">
        <f>"H0008976"</f>
        <v>H0008976</v>
      </c>
      <c r="B1292" s="5" t="str">
        <f>"VIDEOBEAM (VIDEO PROYECTOR)"</f>
        <v>VIDEOBEAM (VIDEO PROYECTOR)</v>
      </c>
      <c r="C1292" s="6">
        <v>2137600</v>
      </c>
      <c r="D1292" s="5" t="s">
        <v>6</v>
      </c>
      <c r="E1292" s="5" t="str">
        <f t="shared" si="64"/>
        <v>ACTISALUD -PEDIATRIA</v>
      </c>
      <c r="F1292" s="5" t="str">
        <f>"Descripcion: VIDEO PROYECTOR (VIDEO BEAM) MARCA EPSON Estado: Bueno Placa anterior:  Material: PLASTICO Color: NEGRO Referencia:  Observacion:  Placa padre: Tipo adquisicion: Donacion"</f>
        <v>Descripcion: VIDEO PROYECTOR (VIDEO BEAM) MARCA EPSON Estado: Bueno Placa anterior:  Material: PLASTICO Color: NEGRO Referencia:  Observacion:  Placa padre: Tipo adquisicion: Donacion</v>
      </c>
      <c r="G1292" s="5"/>
    </row>
    <row r="1293" spans="1:7" ht="58.5" customHeight="1" x14ac:dyDescent="0.25">
      <c r="A1293" s="5" t="str">
        <f>"H0008977"</f>
        <v>H0008977</v>
      </c>
      <c r="B1293" s="5" t="str">
        <f>"AIRE ACONDICIONADO 18000 BTU"</f>
        <v>AIRE ACONDICIONADO 18000 BTU</v>
      </c>
      <c r="C1293" s="6">
        <v>1282800</v>
      </c>
      <c r="D1293" s="5"/>
      <c r="E1293" s="5" t="str">
        <f t="shared" si="64"/>
        <v>ACTISALUD -PEDIATRIA</v>
      </c>
      <c r="F1293" s="5" t="str">
        <f>"Descripcion: AIRE ACONDICIONADO TIPO SPLIT 18000 BTU Estado: Bueno Placa anterior: 000033612 Material: PLASTICO  Color: BLANCO Referencia:  Observacion: AUTORIZADO CONCILIAR EN CRUCE GENERAL  Placa padre: Tipo adquisicion: Donacion"</f>
        <v>Descripcion: AIRE ACONDICIONADO TIPO SPLIT 18000 BTU Estado: Bueno Placa anterior: 000033612 Material: PLASTICO  Color: BLANCO Referencia:  Observacion: AUTORIZADO CONCILIAR EN CRUCE GENERAL  Placa padre: Tipo adquisicion: Donacion</v>
      </c>
      <c r="G1293" s="5" t="str">
        <f>"NEOPLASMA"</f>
        <v>NEOPLASMA</v>
      </c>
    </row>
    <row r="1294" spans="1:7" ht="58.5" customHeight="1" x14ac:dyDescent="0.25">
      <c r="A1294" s="5" t="str">
        <f>"H0008980"</f>
        <v>H0008980</v>
      </c>
      <c r="B1294" s="5" t="str">
        <f>"HORNO MICROONDAS"</f>
        <v>HORNO MICROONDAS</v>
      </c>
      <c r="C1294" s="6">
        <v>109900</v>
      </c>
      <c r="D1294" s="5" t="s">
        <v>173</v>
      </c>
      <c r="E1294" s="5" t="str">
        <f t="shared" si="64"/>
        <v>ACTISALUD -PEDIATRIA</v>
      </c>
      <c r="F1294" s="5" t="str">
        <f>"Descripcion: HORNO MICROONDAS Estado: Bueno Placa anterior: 000031584 Material: METALICO Color: GRIS Referencia:  Observacion:  Placa padre: Tipo adquisicion: Entidad"</f>
        <v>Descripcion: HORNO MICROONDAS Estado: Bueno Placa anterior: 000031584 Material: METALICO Color: GRIS Referencia:  Observacion:  Placa padre: Tipo adquisicion: Entidad</v>
      </c>
      <c r="G1294" s="5"/>
    </row>
    <row r="1295" spans="1:7" ht="58.5" customHeight="1" x14ac:dyDescent="0.25">
      <c r="A1295" s="5" t="str">
        <f>"H0008989"</f>
        <v>H0008989</v>
      </c>
      <c r="B1295" s="5" t="str">
        <f>"LOCKER DE 6 COMPARTIMIENTOS"</f>
        <v>LOCKER DE 6 COMPARTIMIENTOS</v>
      </c>
      <c r="C1295" s="6">
        <v>585988</v>
      </c>
      <c r="D1295" s="5" t="s">
        <v>60</v>
      </c>
      <c r="E1295" s="5" t="str">
        <f t="shared" si="64"/>
        <v>ACTISALUD -PEDIATRIA</v>
      </c>
      <c r="F1295" s="5" t="str">
        <f>"Descripcion: LOCKER DE LAMINA CALIBRE 22 C/6 CASILLEROS, PORTACANDADO, MANIJA PROFUNDIZADA MEDIDAS 1.80X1.90 DE ANCHO X 35 DE FONDO DE PINTURA Estado: Bueno Placa anterior: 000029198 Material: METALICO Color: GRIS Referencia:  Observacion:  Placa padre: T"&amp; "ipo adquisicion: Entidad"</f>
        <v>Descripcion: LOCKER DE LAMINA CALIBRE 22 C/6 CASILLEROS, PORTACANDADO, MANIJA PROFUNDIZADA MEDIDAS 1.80X1.90 DE ANCHO X 35 DE FONDO DE PINTURA Estado: Bueno Placa anterior: 000029198 Material: METALICO Color: GRIS Referencia:  Observacion:  Placa padre: Tipo adquisicion: Entidad</v>
      </c>
      <c r="G1295" s="5"/>
    </row>
    <row r="1296" spans="1:7" ht="58.5" customHeight="1" x14ac:dyDescent="0.25">
      <c r="A1296" s="5" t="str">
        <f>"H0008993"</f>
        <v>H0008993</v>
      </c>
      <c r="B1296" s="5" t="str">
        <f>"LOCKER DE 2 COMPARTIMIENTOS"</f>
        <v>LOCKER DE 2 COMPARTIMIENTOS</v>
      </c>
      <c r="C1296" s="6">
        <v>10384</v>
      </c>
      <c r="D1296" s="5"/>
      <c r="E1296" s="5" t="str">
        <f t="shared" si="64"/>
        <v>ACTISALUD -PEDIATRIA</v>
      </c>
      <c r="F1296" s="5" t="str">
        <f>"Descripcion: LOCKER 1 CUERPO 2 COMPARTIMIENTOS Estado: Bueno Placa anterior: 000026057 Material: METALICO Color: GRIS Referencia:  Observacion:  Placa padre: Tipo adquisicion: Entidad"</f>
        <v>Descripcion: LOCKER 1 CUERPO 2 COMPARTIMIENTOS Estado: Bueno Placa anterior: 000026057 Material: METALICO Color: GRIS Referencia:  Observacion:  Placa padre: Tipo adquisicion: Entidad</v>
      </c>
      <c r="G1296" s="5"/>
    </row>
    <row r="1297" spans="1:7" ht="58.5" customHeight="1" x14ac:dyDescent="0.25">
      <c r="A1297" s="5" t="str">
        <f>"H0009361"</f>
        <v>H0009361</v>
      </c>
      <c r="B1297" s="5" t="str">
        <f>"CUNA PEDIATRICA CON BARANDA"</f>
        <v>CUNA PEDIATRICA CON BARANDA</v>
      </c>
      <c r="C1297" s="6">
        <v>2204000</v>
      </c>
      <c r="D1297" s="5" t="s">
        <v>162</v>
      </c>
      <c r="E1297" s="5" t="str">
        <f t="shared" si="64"/>
        <v>ACTISALUD -PEDIATRIA</v>
      </c>
      <c r="F1297"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000038788 Material: METAL, ACRILICO Color: BEIGE Referencia:  Observacion: TIENE 1 ATRIL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000038788 Material: METAL, ACRILICO Color: BEIGE Referencia:  Observacion: TIENE 1 ATRIL Placa padre: Tipo adquisicion: Entidad</v>
      </c>
      <c r="G1297" s="5" t="str">
        <f>"7772"</f>
        <v>7772</v>
      </c>
    </row>
    <row r="1298" spans="1:7" ht="58.5" customHeight="1" x14ac:dyDescent="0.25">
      <c r="A1298" s="5" t="str">
        <f>"H0009362"</f>
        <v>H0009362</v>
      </c>
      <c r="B1298" s="5" t="str">
        <f>"SILLA RECLINOMATICA"</f>
        <v>SILLA RECLINOMATICA</v>
      </c>
      <c r="C1298" s="6">
        <v>1220000</v>
      </c>
      <c r="D1298" s="5" t="s">
        <v>63</v>
      </c>
      <c r="E1298" s="5" t="str">
        <f t="shared" si="64"/>
        <v>ACTISALUD -PEDIATRIA</v>
      </c>
      <c r="F1298"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000037913 Material: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000037913 Material: CUERINA Color: AZUL Referencia:  Observacion:  Placa padre: Tipo adquisicion: Entidad</v>
      </c>
      <c r="G1298" s="5"/>
    </row>
    <row r="1299" spans="1:7" ht="58.5" customHeight="1" x14ac:dyDescent="0.25">
      <c r="A1299" s="5" t="str">
        <f>"H0009364"</f>
        <v>H0009364</v>
      </c>
      <c r="B1299" s="5" t="str">
        <f>"CUNA PEDIATRICA CON BARANDA"</f>
        <v>CUNA PEDIATRICA CON BARANDA</v>
      </c>
      <c r="C1299" s="6">
        <v>2204000</v>
      </c>
      <c r="D1299" s="5" t="s">
        <v>162</v>
      </c>
      <c r="E1299" s="5" t="str">
        <f t="shared" si="64"/>
        <v>ACTISALUD -PEDIATRIA</v>
      </c>
      <c r="F1299"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000038790 Material: METAL  Color:  Referencia:  Observacion: TIENE 1 ATRIL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000038790 Material: METAL  Color:  Referencia:  Observacion: TIENE 1 ATRIL Placa padre: Tipo adquisicion: Entidad</v>
      </c>
      <c r="G1299" s="5" t="str">
        <f>"7772"</f>
        <v>7772</v>
      </c>
    </row>
    <row r="1300" spans="1:7" ht="58.5" customHeight="1" x14ac:dyDescent="0.25">
      <c r="A1300" s="5" t="str">
        <f>"H0009365"</f>
        <v>H0009365</v>
      </c>
      <c r="B1300" s="5" t="str">
        <f>"SILLA RECLINOMATICA"</f>
        <v>SILLA RECLINOMATICA</v>
      </c>
      <c r="C1300" s="6">
        <v>1220000</v>
      </c>
      <c r="D1300" s="5" t="s">
        <v>63</v>
      </c>
      <c r="E1300" s="5" t="str">
        <f t="shared" si="64"/>
        <v>ACTISALUD -PEDIATRIA</v>
      </c>
      <c r="F1300"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000037912 Material: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000037912 Material: CUERINA Color: AZUL Referencia:  Observacion:  Placa padre: Tipo adquisicion: Entidad</v>
      </c>
      <c r="G1300" s="5"/>
    </row>
    <row r="1301" spans="1:7" ht="58.5" customHeight="1" x14ac:dyDescent="0.25">
      <c r="A1301" s="5" t="str">
        <f>"H0009367"</f>
        <v>H0009367</v>
      </c>
      <c r="B1301" s="5" t="str">
        <f>"CUNA PEDIATRICA CON BARANDA"</f>
        <v>CUNA PEDIATRICA CON BARANDA</v>
      </c>
      <c r="C1301" s="6">
        <v>2204000</v>
      </c>
      <c r="D1301" s="5" t="s">
        <v>162</v>
      </c>
      <c r="E1301" s="5" t="str">
        <f t="shared" si="64"/>
        <v>ACTISALUD -PEDIATRIA</v>
      </c>
      <c r="F1301"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000038792 Material: METAL Y ACRILICO Color: BEIGE Referencia:  Observacion: TIENE 1 ATRIL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000038792 Material: METAL Y ACRILICO Color: BEIGE Referencia:  Observacion: TIENE 1 ATRIL Placa padre: Tipo adquisicion: Entidad</v>
      </c>
      <c r="G1301" s="5" t="str">
        <f>"7772"</f>
        <v>7772</v>
      </c>
    </row>
    <row r="1302" spans="1:7" ht="58.5" customHeight="1" x14ac:dyDescent="0.25">
      <c r="A1302" s="5" t="str">
        <f>"H0009368"</f>
        <v>H0009368</v>
      </c>
      <c r="B1302" s="5" t="str">
        <f>"SILLA RECLINOMATICA"</f>
        <v>SILLA RECLINOMATICA</v>
      </c>
      <c r="C1302" s="6">
        <v>1220000</v>
      </c>
      <c r="D1302" s="5" t="s">
        <v>63</v>
      </c>
      <c r="E1302" s="5" t="str">
        <f t="shared" si="64"/>
        <v>ACTISALUD -PEDIATRIA</v>
      </c>
      <c r="F1302"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000037911 Material: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000037911 Material: CUERINA Color: AZUL Referencia:  Observacion:  Placa padre: Tipo adquisicion: Entidad</v>
      </c>
      <c r="G1302" s="5"/>
    </row>
    <row r="1303" spans="1:7" ht="58.5" customHeight="1" x14ac:dyDescent="0.25">
      <c r="A1303" s="5" t="str">
        <f>"H0009372"</f>
        <v>H0009372</v>
      </c>
      <c r="B1303" s="5" t="str">
        <f>"CAMA HOSPITALARIA 4 PLANOS CON BARANDA"</f>
        <v>CAMA HOSPITALARIA 4 PLANOS CON BARANDA</v>
      </c>
      <c r="C1303" s="6">
        <v>2100000</v>
      </c>
      <c r="D1303" s="5" t="s">
        <v>63</v>
      </c>
      <c r="E1303" s="5" t="str">
        <f t="shared" si="64"/>
        <v>ACTISALUD -PEDIATRIA</v>
      </c>
      <c r="F1303" s="5" t="str">
        <f>"Descripcion: CAMA HOSPITALARIA Estado: Bueno Placa anterior: 000037717 Material: METALICA Y PASTA  Color: BEIGE Referencia: 7805 Observacion:  Placa padre: Tipo adquisicion: Entidad"</f>
        <v>Descripcion: CAMA HOSPITALARIA Estado: Bueno Placa anterior: 000037717 Material: METALICA Y PASTA  Color: BEIGE Referencia: 7805 Observacion:  Placa padre: Tipo adquisicion: Entidad</v>
      </c>
      <c r="G1303" s="5"/>
    </row>
    <row r="1304" spans="1:7" ht="58.5" customHeight="1" x14ac:dyDescent="0.25">
      <c r="A1304" s="5" t="str">
        <f>"H0009373"</f>
        <v>H0009373</v>
      </c>
      <c r="B1304" s="5" t="str">
        <f>"SILLA RECLINOMATICA"</f>
        <v>SILLA RECLINOMATICA</v>
      </c>
      <c r="C1304" s="6">
        <v>1220000</v>
      </c>
      <c r="D1304" s="5" t="s">
        <v>63</v>
      </c>
      <c r="E1304" s="5" t="str">
        <f t="shared" si="64"/>
        <v>ACTISALUD -PEDIATRIA</v>
      </c>
      <c r="F130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000037910 Material: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000037910 Material: CUERINA Color: AZUL Referencia:  Observacion:  Placa padre: Tipo adquisicion: Entidad</v>
      </c>
      <c r="G1304" s="5"/>
    </row>
    <row r="1305" spans="1:7" ht="58.5" customHeight="1" x14ac:dyDescent="0.25">
      <c r="A1305" s="5" t="str">
        <f>"H0009377"</f>
        <v>H0009377</v>
      </c>
      <c r="B1305" s="5" t="str">
        <f>"ATRIL PORTASUERO MOVIL"</f>
        <v>ATRIL PORTASUERO MOVIL</v>
      </c>
      <c r="C1305" s="6">
        <v>210000</v>
      </c>
      <c r="D1305" s="5" t="s">
        <v>50</v>
      </c>
      <c r="E1305" s="5" t="str">
        <f t="shared" si="64"/>
        <v>ACTISALUD -PEDIATRIA</v>
      </c>
      <c r="F1305" s="5" t="str">
        <f>"Descripcion: ATRIL EN ACERO INOXIDABLE QUIRURGICO ANTIMAGNETICO Estado: Bueno Placa anterior: 000029674 Material: ACEFRO INOXIDABLE Color: PLATEADO Referencia:  Observacion: CON RODACHINES, TIENE PARTES OXIDADAS Placa padre: Tipo adquisicion: Entidad"</f>
        <v>Descripcion: ATRIL EN ACERO INOXIDABLE QUIRURGICO ANTIMAGNETICO Estado: Bueno Placa anterior: 000029674 Material: ACEFRO INOXIDABLE Color: PLATEADO Referencia:  Observacion: CON RODACHINES, TIENE PARTES OXIDADAS Placa padre: Tipo adquisicion: Entidad</v>
      </c>
      <c r="G1305" s="5"/>
    </row>
    <row r="1306" spans="1:7" ht="58.5" customHeight="1" x14ac:dyDescent="0.25">
      <c r="A1306" s="5" t="str">
        <f>"H0009381"</f>
        <v>H0009381</v>
      </c>
      <c r="B1306" s="5" t="str">
        <f>"SILLA RECLINOMATICA"</f>
        <v>SILLA RECLINOMATICA</v>
      </c>
      <c r="C1306" s="6">
        <v>1220000</v>
      </c>
      <c r="D1306" s="5" t="s">
        <v>63</v>
      </c>
      <c r="E1306" s="5" t="str">
        <f t="shared" si="64"/>
        <v>ACTISALUD -PEDIATRIA</v>
      </c>
      <c r="F130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000037909 Material: METAL Y CUERINA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000037909 Material: METAL Y CUERINA Color: AZUL Referencia:  Observacion:  Placa padre: Tipo adquisicion: Entidad</v>
      </c>
      <c r="G1306" s="5"/>
    </row>
    <row r="1307" spans="1:7" ht="58.5" customHeight="1" x14ac:dyDescent="0.25">
      <c r="A1307" s="5" t="str">
        <f>"H0009382"</f>
        <v>H0009382</v>
      </c>
      <c r="B1307" s="5" t="str">
        <f>"ESCALERILLA DE 2 PASOS"</f>
        <v>ESCALERILLA DE 2 PASOS</v>
      </c>
      <c r="C1307" s="6">
        <v>120000</v>
      </c>
      <c r="D1307" s="5" t="s">
        <v>63</v>
      </c>
      <c r="E1307" s="5" t="str">
        <f t="shared" si="64"/>
        <v>ACTISALUD -PEDIATRIA</v>
      </c>
      <c r="F1307" s="5" t="str">
        <f>"Descripcion: ESCALERILLA DE DOS PASOS Estado: Bueno Placa anterior: 000037786 Material: METAL Y FORMICA Color: BEIGE Y NEGRO Referencia:  Observacion:  Placa padre: Tipo adquisicion: Entidad"</f>
        <v>Descripcion: ESCALERILLA DE DOS PASOS Estado: Bueno Placa anterior: 000037786 Material: METAL Y FORMICA Color: BEIGE Y NEGRO Referencia:  Observacion:  Placa padre: Tipo adquisicion: Entidad</v>
      </c>
      <c r="G1307" s="5"/>
    </row>
    <row r="1308" spans="1:7" ht="58.5" customHeight="1" x14ac:dyDescent="0.25">
      <c r="A1308" s="5" t="str">
        <f>"H0009384"</f>
        <v>H0009384</v>
      </c>
      <c r="B1308" s="5" t="str">
        <f>"MESA PUENTE (ALIMENTACION) (INSTRUMENTAL)"</f>
        <v>MESA PUENTE (ALIMENTACION) (INSTRUMENTAL)</v>
      </c>
      <c r="C1308" s="6">
        <v>300000</v>
      </c>
      <c r="D1308" s="5" t="s">
        <v>63</v>
      </c>
      <c r="E1308" s="5" t="str">
        <f t="shared" si="64"/>
        <v>ACTISALUD -PEDIATRIA</v>
      </c>
      <c r="F1308" s="5" t="str">
        <f>"Descripcion: MESA PUENTES Estado: Bueno Placa anterior: 000037862 Material: METAL Y FORMICA Color: BEIGE Y MADERA Referencia: 7715 Observacion:  Placa padre: Tipo adquisicion: Entidad"</f>
        <v>Descripcion: MESA PUENTES Estado: Bueno Placa anterior: 000037862 Material: METAL Y FORMICA Color: BEIGE Y MADERA Referencia: 7715 Observacion:  Placa padre: Tipo adquisicion: Entidad</v>
      </c>
      <c r="G1308" s="5"/>
    </row>
    <row r="1309" spans="1:7" ht="58.5" customHeight="1" x14ac:dyDescent="0.25">
      <c r="A1309" s="5" t="str">
        <f>"H0009387"</f>
        <v>H0009387</v>
      </c>
      <c r="B1309" s="5" t="str">
        <f>"CAMILLA FIJA (TIPO DIVAN)"</f>
        <v>CAMILLA FIJA (TIPO DIVAN)</v>
      </c>
      <c r="C1309" s="6">
        <v>23320</v>
      </c>
      <c r="D1309" s="5"/>
      <c r="E1309" s="5" t="str">
        <f t="shared" si="64"/>
        <v>ACTISALUD -PEDIATRIA</v>
      </c>
      <c r="F1309" s="5" t="str">
        <f>"Descripcion: CAMILLA FIJA Estado: Bueno Placa anterior: 000033707 Material: METAL Y CUERINA Color: GRIS Y MARRON Referencia:  Observacion: PARTES OXIDADAS Placa padre: Tipo adquisicion: Entidad"</f>
        <v>Descripcion: CAMILLA FIJA Estado: Bueno Placa anterior: 000033707 Material: METAL Y CUERINA Color: GRIS Y MARRON Referencia:  Observacion: PARTES OXIDADAS Placa padre: Tipo adquisicion: Entidad</v>
      </c>
      <c r="G1309" s="5"/>
    </row>
    <row r="1310" spans="1:7" ht="58.5" customHeight="1" x14ac:dyDescent="0.25">
      <c r="A1310" s="5" t="str">
        <f>"H0009388"</f>
        <v>H0009388</v>
      </c>
      <c r="B1310" s="5" t="str">
        <f>"ESCALERILLA DE 2 PASOS"</f>
        <v>ESCALERILLA DE 2 PASOS</v>
      </c>
      <c r="C1310" s="6">
        <v>100000</v>
      </c>
      <c r="D1310" s="5" t="s">
        <v>49</v>
      </c>
      <c r="E1310" s="5" t="str">
        <f t="shared" si="64"/>
        <v>ACTISALUD -PEDIATRIA</v>
      </c>
      <c r="F1310" s="5" t="str">
        <f>"Descripcion: ESCALERILLA DE 2 PASOS Estado: Bueno Placa anterior: 000029967 Material: METAL Y PASTA Color: GRIS Y BLANCO Referencia:  Observacion:  Placa padre: Tipo adquisicion: Entidad"</f>
        <v>Descripcion: ESCALERILLA DE 2 PASOS Estado: Bueno Placa anterior: 000029967 Material: METAL Y PASTA Color: GRIS Y BLANCO Referencia:  Observacion:  Placa padre: Tipo adquisicion: Entidad</v>
      </c>
      <c r="G1310" s="5"/>
    </row>
    <row r="1311" spans="1:7" ht="58.5" customHeight="1" x14ac:dyDescent="0.25">
      <c r="A1311" s="5" t="str">
        <f>"H0009391"</f>
        <v>H0009391</v>
      </c>
      <c r="B1311" s="5" t="str">
        <f>"MESA METALICA AUXILIAR"</f>
        <v>MESA METALICA AUXILIAR</v>
      </c>
      <c r="C1311" s="6">
        <v>35000</v>
      </c>
      <c r="D1311" s="5"/>
      <c r="E1311" s="5" t="str">
        <f t="shared" si="64"/>
        <v>ACTISALUD -PEDIATRIA</v>
      </c>
      <c r="F1311" s="5" t="str">
        <f>"Descripcion: MESA METALICA AUXILIAR Estado: Bueno Placa anterior: 000007348 Material: METAL Color: GRIS Referencia:  Observacion: EL BIEN TIENE PLACA ANTERIOR 000025511 FUNCIONARIO AUTORIZA SE CONCILIE CON PLACA  000007348 Placa padre: Tipo adquisicion: E"&amp; "ntidad"</f>
        <v>Descripcion: MESA METALICA AUXILIAR Estado: Bueno Placa anterior: 000007348 Material: METAL Color: GRIS Referencia:  Observacion: EL BIEN TIENE PLACA ANTERIOR 000025511 FUNCIONARIO AUTORIZA SE CONCILIE CON PLACA  000007348 Placa padre: Tipo adquisicion: Entidad</v>
      </c>
      <c r="G1311" s="5"/>
    </row>
    <row r="1312" spans="1:7" ht="58.5" customHeight="1" x14ac:dyDescent="0.25">
      <c r="A1312" s="5" t="str">
        <f>"H0009402"</f>
        <v>H0009402</v>
      </c>
      <c r="B1312" s="5" t="str">
        <f>"OXIMETRO PORTATIL (SATURADOR PORTATIL)"</f>
        <v>OXIMETRO PORTATIL (SATURADOR PORTATIL)</v>
      </c>
      <c r="C1312" s="6">
        <v>1350000</v>
      </c>
      <c r="D1312" s="5"/>
      <c r="E1312" s="5" t="str">
        <f t="shared" si="64"/>
        <v>ACTISALUD -PEDIATRIA</v>
      </c>
      <c r="F1312" s="5" t="str">
        <f>"Descripcion: OXIMETRO MINDRAY REF. PM. DE PULSO Estado: Bueno Placa anterior: 000027002 Material: PASTA Color: BEIGE Referencia:  Observacion:  Placa padre: Tipo adquisicion: Entidad"</f>
        <v>Descripcion: OXIMETRO MINDRAY REF. PM. DE PULSO Estado: Bueno Placa anterior: 000027002 Material: PASTA Color: BEIGE Referencia:  Observacion:  Placa padre: Tipo adquisicion: Entidad</v>
      </c>
      <c r="G1312" s="5"/>
    </row>
    <row r="1313" spans="1:7" ht="58.5" customHeight="1" x14ac:dyDescent="0.25">
      <c r="A1313" s="5" t="str">
        <f>"H0009431"</f>
        <v>H0009431</v>
      </c>
      <c r="B1313" s="5" t="str">
        <f>"ATRIL PORTASUERO MOVIL"</f>
        <v>ATRIL PORTASUERO MOVIL</v>
      </c>
      <c r="C1313" s="6">
        <v>210000</v>
      </c>
      <c r="D1313" s="5" t="s">
        <v>50</v>
      </c>
      <c r="E1313" s="5" t="str">
        <f t="shared" si="64"/>
        <v>ACTISALUD -PEDIATRIA</v>
      </c>
      <c r="F1313" s="5" t="str">
        <f>"Descripcion: ATRIL CON RUEDAS, PORTA SUERO Estado: Bueno Placa anterior: 000029743 Material: ACERO INOXIDABLE Color: PLATEADO Referencia:  Observacion: BUEN ESTADO Placa padre: Tipo adquisicion: Entidad"</f>
        <v>Descripcion: ATRIL CON RUEDAS, PORTA SUERO Estado: Bueno Placa anterior: 000029743 Material: ACERO INOXIDABLE Color: PLATEADO Referencia:  Observacion: BUEN ESTADO Placa padre: Tipo adquisicion: Entidad</v>
      </c>
      <c r="G1313" s="5"/>
    </row>
    <row r="1314" spans="1:7" ht="58.5" customHeight="1" x14ac:dyDescent="0.25">
      <c r="A1314" s="5" t="str">
        <f>"H0009443"</f>
        <v>H0009443</v>
      </c>
      <c r="B1314" s="5" t="str">
        <f>"SILLA INTERLOCUTORA (FIJA) SIN BRAZOS"</f>
        <v>SILLA INTERLOCUTORA (FIJA) SIN BRAZOS</v>
      </c>
      <c r="C1314" s="6">
        <v>8760</v>
      </c>
      <c r="D1314" s="5"/>
      <c r="E1314" s="5" t="str">
        <f t="shared" si="64"/>
        <v>ACTISALUD -PEDIATRIA</v>
      </c>
      <c r="F1314" s="5" t="str">
        <f>"Descripcion: SILLA INTERLOCUTORA FIJA SIN BRAZOS Estado: Bueno Placa anterior: 000023668 Material: METAL Y PAÑO Color: NEGRO Y GRIS Referencia:  Observacion: SON SILLAS TAPIZADAS Y TENIAN PLACA DE DE MESA FUNCIONARIO AUTORIZA SE CONCILIE CON PLACA 0000236"&amp; "68 Placa padre: Tipo adquisicion: Entidad"</f>
        <v>Descripcion: SILLA INTERLOCUTORA FIJA SIN BRAZOS Estado: Bueno Placa anterior: 000023668 Material: METAL Y PAÑO Color: NEGRO Y GRIS Referencia:  Observacion: SON SILLAS TAPIZADAS Y TENIAN PLACA DE DE MESA FUNCIONARIO AUTORIZA SE CONCILIE CON PLACA 000023668 Placa padre: Tipo adquisicion: Entidad</v>
      </c>
      <c r="G1314" s="5"/>
    </row>
    <row r="1315" spans="1:7" ht="58.5" customHeight="1" x14ac:dyDescent="0.25">
      <c r="A1315" s="5" t="str">
        <f>"H0009485"</f>
        <v>H0009485</v>
      </c>
      <c r="B1315" s="5" t="str">
        <f>"BALANZA ANALOGA DE PISO (PESO) CON TALLIMETRO"</f>
        <v>BALANZA ANALOGA DE PISO (PESO) CON TALLIMETRO</v>
      </c>
      <c r="C1315" s="6">
        <v>16872</v>
      </c>
      <c r="D1315" s="5"/>
      <c r="E1315" s="5" t="str">
        <f t="shared" si="64"/>
        <v>ACTISALUD -PEDIATRIA</v>
      </c>
      <c r="F1315" s="5" t="str">
        <f>"Descripcion: BALANZA DE PISO CON TALLIMETRO Estado: Bueno Placa anterior: 000007552 Material: METAL Color: BLANCO Y NEGRO Referencia:  Observacion:  Placa padre: Tipo adquisicion: Entidad"</f>
        <v>Descripcion: BALANZA DE PISO CON TALLIMETRO Estado: Bueno Placa anterior: 000007552 Material: METAL Color: BLANCO Y NEGRO Referencia:  Observacion:  Placa padre: Tipo adquisicion: Entidad</v>
      </c>
      <c r="G1315" s="5"/>
    </row>
    <row r="1316" spans="1:7" ht="58.5" customHeight="1" x14ac:dyDescent="0.25">
      <c r="A1316" s="5" t="str">
        <f>"H0009488"</f>
        <v>H0009488</v>
      </c>
      <c r="B1316" s="5" t="str">
        <f>"POTE (TARRO) ACERO INXODABLE CON TAPA GRANDE"</f>
        <v>POTE (TARRO) ACERO INXODABLE CON TAPA GRANDE</v>
      </c>
      <c r="C1316" s="6">
        <v>10312.86</v>
      </c>
      <c r="D1316" s="5"/>
      <c r="E1316" s="5" t="str">
        <f t="shared" si="64"/>
        <v>ACTISALUD -PEDIATRIA</v>
      </c>
      <c r="F1316" s="5" t="str">
        <f>"Descripcion: POTE EN ACERO INOX. CON TAPA GRANDE Estado: Bueno Placa anterior: 000007301 Material: ACERO INOX. Color: PLATEADO Referencia:  Observacion:  Placa padre: Tipo adquisicion: Entidad"</f>
        <v>Descripcion: POTE EN ACERO INOX. CON TAPA GRANDE Estado: Bueno Placa anterior: 000007301 Material: ACERO INOX. Color: PLATEADO Referencia:  Observacion:  Placa padre: Tipo adquisicion: Entidad</v>
      </c>
      <c r="G1316" s="5"/>
    </row>
    <row r="1317" spans="1:7" ht="58.5" customHeight="1" x14ac:dyDescent="0.25">
      <c r="A1317" s="5" t="str">
        <f>"H0009497"</f>
        <v>H0009497</v>
      </c>
      <c r="B1317" s="5" t="str">
        <f>"UNIDAD ININTERRUMPIDA DE POTENCIA (UPS) 1KW"</f>
        <v>UNIDAD ININTERRUMPIDA DE POTENCIA (UPS) 1KW</v>
      </c>
      <c r="C1317" s="6">
        <v>1276000</v>
      </c>
      <c r="D1317" s="5" t="s">
        <v>174</v>
      </c>
      <c r="E1317" s="5" t="str">
        <f t="shared" si="64"/>
        <v>ACTISALUD -PEDIATRIA</v>
      </c>
      <c r="F1317" s="5" t="str">
        <f>"Descripcion: UPS Estado: Bueno Placa anterior:  Material: PASTA Color: NEGRO Referencia:  Observacion:  Placa padre: Tipo adquisicion: Entidad"</f>
        <v>Descripcion: UPS Estado: Bueno Placa anterior:  Material: PASTA Color: NEGRO Referencia:  Observacion:  Placa padre: Tipo adquisicion: Entidad</v>
      </c>
      <c r="G1317" s="5" t="str">
        <f>"POWER 5"</f>
        <v>POWER 5</v>
      </c>
    </row>
    <row r="1318" spans="1:7" ht="58.5" customHeight="1" x14ac:dyDescent="0.25">
      <c r="A1318" s="5" t="str">
        <f>"H0009682"</f>
        <v>H0009682</v>
      </c>
      <c r="B1318" s="5" t="str">
        <f>"GABINETE CONTRA INCENDIO"</f>
        <v>GABINETE CONTRA INCENDIO</v>
      </c>
      <c r="C1318" s="6">
        <v>171000</v>
      </c>
      <c r="D1318" s="5"/>
      <c r="E1318" s="5" t="str">
        <f t="shared" si="64"/>
        <v>ACTISALUD -PEDIATRIA</v>
      </c>
      <c r="F1318" s="5" t="str">
        <f>"Descripcion: GABINETE CONTRA INCENDIOS: CONTIENE EXTINTOR 10 LB, MANGUERA Y HACHA Estado: Bueno Placa anterior: 000019098 Material: METAL  Color: BLANCO, AMARILLO Y ROJO Referencia:  Observacion:  Placa padre: Tipo adquisicion: Entidad"</f>
        <v>Descripcion: GABINETE CONTRA INCENDIOS: CONTIENE EXTINTOR 10 LB, MANGUERA Y HACHA Estado: Bueno Placa anterior: 000019098 Material: METAL  Color: BLANCO, AMARILLO Y ROJO Referencia:  Observacion:  Placa padre: Tipo adquisicion: Entidad</v>
      </c>
      <c r="G1318" s="5"/>
    </row>
    <row r="1319" spans="1:7" ht="58.5" customHeight="1" x14ac:dyDescent="0.25">
      <c r="A1319" s="5" t="str">
        <f>"H0009684"</f>
        <v>H0009684</v>
      </c>
      <c r="B1319" s="5" t="str">
        <f>"PATO (COPROLOGICO) MUJER"</f>
        <v>PATO (COPROLOGICO) MUJER</v>
      </c>
      <c r="C1319" s="6">
        <v>26220</v>
      </c>
      <c r="D1319" s="5"/>
      <c r="E1319" s="5" t="str">
        <f t="shared" si="64"/>
        <v>ACTISALUD -PEDIATRIA</v>
      </c>
      <c r="F1319" s="5" t="str">
        <f>"Descripcion: PATO COPROLOGICO MUJER Estado: Bueno Placa anterior: 000007559 Material: ACERO INOX. Color: PLATEADO Referencia:  Observacion:  Placa padre: Tipo adquisicion: Entidad"</f>
        <v>Descripcion: PATO COPROLOGICO MUJER Estado: Bueno Placa anterior: 000007559 Material: ACERO INOX. Color: PLATEADO Referencia:  Observacion:  Placa padre: Tipo adquisicion: Entidad</v>
      </c>
      <c r="G1319" s="5"/>
    </row>
    <row r="1320" spans="1:7" ht="58.5" customHeight="1" x14ac:dyDescent="0.25">
      <c r="A1320" s="5" t="str">
        <f>"H0010292"</f>
        <v>H0010292</v>
      </c>
      <c r="B1320" s="5" t="str">
        <f>"AIRE ACONDICIONADO TIPO SPLIT 24000 BTU"</f>
        <v>AIRE ACONDICIONADO TIPO SPLIT 24000 BTU</v>
      </c>
      <c r="C1320" s="6">
        <v>4512400</v>
      </c>
      <c r="D1320" s="5" t="s">
        <v>146</v>
      </c>
      <c r="E1320" s="5" t="str">
        <f t="shared" si="64"/>
        <v>ACTISALUD -PEDIATRIA</v>
      </c>
      <c r="F1320" s="5" t="str">
        <f>"Descripcion: AIRE ACONDICIONADO CAPACIDAD 24000 BTU Equipo tipo mini Split, consola de lujo, con control remoto y uso refrigerante ecologico.sistema inverter.Debe incluir display para ser monitoreado por sistema central Estado: Bueno Placa anterior: 00003"&amp; "6379 Material: PASTA Color: BLANCO Referencia:  Observacion:  Placa padre: Tipo adquisicion: Entidad"</f>
        <v>Descripcion: AIRE ACONDICIONADO CAPACIDAD 24000 BTU Equipo tipo mini Split, consola de lujo, con control remoto y uso refrigerante ecologico.sistema inverter.Debe incluir display para ser monitoreado por sistema central Estado: Bueno Placa anterior: 000036379 Material: PASTA Color: BLANCO Referencia:  Observacion:  Placa padre: Tipo adquisicion: Entidad</v>
      </c>
      <c r="G1320" s="5" t="str">
        <f>"VM12CEN B3"</f>
        <v>VM12CEN B3</v>
      </c>
    </row>
    <row r="1321" spans="1:7" ht="58.5" customHeight="1" x14ac:dyDescent="0.25">
      <c r="A1321" s="5" t="str">
        <f>"H0010309"</f>
        <v>H0010309</v>
      </c>
      <c r="B1321" s="5" t="str">
        <f>"OXIMETRO"</f>
        <v>OXIMETRO</v>
      </c>
      <c r="C1321" s="6">
        <v>1300000</v>
      </c>
      <c r="D1321" s="5"/>
      <c r="E1321" s="5" t="str">
        <f t="shared" si="64"/>
        <v>ACTISALUD -PEDIATRIA</v>
      </c>
      <c r="F1321" s="5" t="str">
        <f>"Descripcion: OXIMETRO DE PULSO MARCA MINDRAY Y MODELO PM 50 SISTEMAS DE COBERTURA ABS, ADULTO PEDIATRICO, NEONATAL DISPLAY DIGITAL (lLSD) Estado: Bueno Placa anterior: 000033199 Material: PASTA Color:  Referencia:  Observacion: FUNCIONARIO AUTORIZA SE CON"&amp; "CILIE CON PLACA 000033199 Placa padre: Tipo adquisicion: Entidad"</f>
        <v>Descripcion: OXIMETRO DE PULSO MARCA MINDRAY Y MODELO PM 50 SISTEMAS DE COBERTURA ABS, ADULTO PEDIATRICO, NEONATAL DISPLAY DIGITAL (lLSD) Estado: Bueno Placa anterior: 000033199 Material: PASTA Color:  Referencia:  Observacion: FUNCIONARIO AUTORIZA SE CONCILIE CON PLACA 000033199 Placa padre: Tipo adquisicion: Entidad</v>
      </c>
      <c r="G1321" s="5" t="str">
        <f>"PM50"</f>
        <v>PM50</v>
      </c>
    </row>
    <row r="1322" spans="1:7" ht="58.5" customHeight="1" x14ac:dyDescent="0.25">
      <c r="A1322" s="5" t="str">
        <f>"H0010331"</f>
        <v>H0010331</v>
      </c>
      <c r="B1322" s="5" t="str">
        <f>"OXIMETRO"</f>
        <v>OXIMETRO</v>
      </c>
      <c r="C1322" s="6">
        <v>2050250</v>
      </c>
      <c r="D1322" s="5" t="s">
        <v>175</v>
      </c>
      <c r="E1322" s="5" t="str">
        <f t="shared" si="64"/>
        <v>ACTISALUD -PEDIATRIA</v>
      </c>
      <c r="F1322" s="5" t="str">
        <f>"Descripcion: OXIMETRO (PULSOSIMETRO) PM60 CON CARGADOR REF. 0862.30-77504 SERIAL CR-23138237 Estado: Bueno Placa anterior: 000030238 Material: PASTA Color:  Referencia:  Observacion: FUNCIONARIO AUTORIZA SE CONCILIE CON PLACA 000030238 Placa padre: Tipo a"&amp; "dquisicion: Donacion"</f>
        <v>Descripcion: OXIMETRO (PULSOSIMETRO) PM60 CON CARGADOR REF. 0862.30-77504 SERIAL CR-23138237 Estado: Bueno Placa anterior: 000030238 Material: PASTA Color:  Referencia:  Observacion: FUNCIONARIO AUTORIZA SE CONCILIE CON PLACA 000030238 Placa padre: Tipo adquisicion: Donacion</v>
      </c>
      <c r="G1322" s="5" t="str">
        <f>"862-30-77504"</f>
        <v>862-30-77504</v>
      </c>
    </row>
    <row r="1323" spans="1:7" ht="58.5" customHeight="1" x14ac:dyDescent="0.25">
      <c r="A1323" s="5" t="str">
        <f>"H0010345"</f>
        <v>H0010345</v>
      </c>
      <c r="B1323" s="5" t="str">
        <f>"RIÑONERA HOSPITALARIA EN ACERO INOXIDABLE"</f>
        <v>RIÑONERA HOSPITALARIA EN ACERO INOXIDABLE</v>
      </c>
      <c r="C1323" s="6">
        <v>7405.69</v>
      </c>
      <c r="D1323" s="5"/>
      <c r="E1323" s="5" t="str">
        <f t="shared" si="64"/>
        <v>ACTISALUD -PEDIATRIA</v>
      </c>
      <c r="F1323" s="5" t="str">
        <f>"Descripcion: RIÑONERA NIQUELADA Estado: Bueno Placa anterior: 000018415 Material: ACERO INOXIDABLE Color: PLATEADO Referencia:  Observacion:  Placa padre: Tipo adquisicion: Entidad"</f>
        <v>Descripcion: RIÑONERA NIQUELADA Estado: Bueno Placa anterior: 000018415 Material: ACERO INOXIDABLE Color: PLATEADO Referencia:  Observacion:  Placa padre: Tipo adquisicion: Entidad</v>
      </c>
      <c r="G1323" s="5"/>
    </row>
    <row r="1324" spans="1:7" ht="58.5" customHeight="1" x14ac:dyDescent="0.25">
      <c r="A1324" s="5" t="str">
        <f>"H0010346"</f>
        <v>H0010346</v>
      </c>
      <c r="B1324" s="5" t="str">
        <f>"RIÑONERA HOSPITALARIA EN ACERO INOXIDABLE"</f>
        <v>RIÑONERA HOSPITALARIA EN ACERO INOXIDABLE</v>
      </c>
      <c r="C1324" s="6">
        <v>7405.69</v>
      </c>
      <c r="D1324" s="5"/>
      <c r="E1324" s="5" t="str">
        <f t="shared" si="64"/>
        <v>ACTISALUD -PEDIATRIA</v>
      </c>
      <c r="F1324" s="5" t="str">
        <f>"Descripcion: RIÑONERA NIQUELADA Estado: Bueno Placa anterior: 000018421 Material: ACERO INOXIDABLE Color: PLATEADO Referencia:  Observacion:  Placa padre: Tipo adquisicion: Entidad"</f>
        <v>Descripcion: RIÑONERA NIQUELADA Estado: Bueno Placa anterior: 000018421 Material: ACERO INOXIDABLE Color: PLATEADO Referencia:  Observacion:  Placa padre: Tipo adquisicion: Entidad</v>
      </c>
      <c r="G1324" s="5"/>
    </row>
    <row r="1325" spans="1:7" ht="58.5" customHeight="1" x14ac:dyDescent="0.25">
      <c r="A1325" s="5" t="str">
        <f>"H0010347"</f>
        <v>H0010347</v>
      </c>
      <c r="B1325" s="5" t="str">
        <f>"RIÑONERA HOSPITALARIA EN ACERO INOXIDABLE"</f>
        <v>RIÑONERA HOSPITALARIA EN ACERO INOXIDABLE</v>
      </c>
      <c r="C1325" s="6">
        <v>7405.69</v>
      </c>
      <c r="D1325" s="5"/>
      <c r="E1325" s="5" t="str">
        <f t="shared" si="64"/>
        <v>ACTISALUD -PEDIATRIA</v>
      </c>
      <c r="F1325" s="5" t="str">
        <f>"Descripcion: RIÑONERA NIQUELADA Estado: Bueno Placa anterior: 000018657 Material: ACERO INOXIDABLE Color: PLATEADO Referencia:  Observacion:  Placa padre: Tipo adquisicion: Entidad"</f>
        <v>Descripcion: RIÑONERA NIQUELADA Estado: Bueno Placa anterior: 000018657 Material: ACERO INOXIDABLE Color: PLATEADO Referencia:  Observacion:  Placa padre: Tipo adquisicion: Entidad</v>
      </c>
      <c r="G1325" s="5"/>
    </row>
    <row r="1326" spans="1:7" ht="58.5" customHeight="1" x14ac:dyDescent="0.25">
      <c r="A1326" s="5" t="str">
        <f>"H0010348"</f>
        <v>H0010348</v>
      </c>
      <c r="B1326" s="5" t="str">
        <f>"RIÑONERA HOSPITALARIA EN ACERO INOXIDABLE"</f>
        <v>RIÑONERA HOSPITALARIA EN ACERO INOXIDABLE</v>
      </c>
      <c r="C1326" s="6">
        <v>2661.24</v>
      </c>
      <c r="D1326" s="5"/>
      <c r="E1326" s="5" t="str">
        <f t="shared" si="64"/>
        <v>ACTISALUD -PEDIATRIA</v>
      </c>
      <c r="F1326" s="5" t="str">
        <f>"Descripcion: RIÑONERA NIQUELADA Estado: Bueno Placa anterior: 000007313 Material: ACERO INOXIDABLE Color: PLATEADO Referencia:  Observacion:  Placa padre: Tipo adquisicion: Entidad"</f>
        <v>Descripcion: RIÑONERA NIQUELADA Estado: Bueno Placa anterior: 000007313 Material: ACERO INOXIDABLE Color: PLATEADO Referencia:  Observacion:  Placa padre: Tipo adquisicion: Entidad</v>
      </c>
      <c r="G1326" s="5"/>
    </row>
    <row r="1327" spans="1:7" ht="58.5" customHeight="1" x14ac:dyDescent="0.25">
      <c r="A1327" s="5" t="str">
        <f>"H0010349"</f>
        <v>H0010349</v>
      </c>
      <c r="B1327" s="5" t="str">
        <f>"RIÑONERA HOSPITALARIA EN ACERO INOXIDABLE"</f>
        <v>RIÑONERA HOSPITALARIA EN ACERO INOXIDABLE</v>
      </c>
      <c r="C1327" s="6">
        <v>7405.69</v>
      </c>
      <c r="D1327" s="5"/>
      <c r="E1327" s="5" t="str">
        <f t="shared" si="64"/>
        <v>ACTISALUD -PEDIATRIA</v>
      </c>
      <c r="F1327" s="5" t="str">
        <f>"Descripcion: RIÑONERA NIQUELADA Estado: Bueno Placa anterior: 000018659 Material: ACERO INOXIDABLE Color: PLATEADO Referencia:  Observacion:  Placa padre: Tipo adquisicion: Entidad"</f>
        <v>Descripcion: RIÑONERA NIQUELADA Estado: Bueno Placa anterior: 000018659 Material: ACERO INOXIDABLE Color: PLATEADO Referencia:  Observacion:  Placa padre: Tipo adquisicion: Entidad</v>
      </c>
      <c r="G1327" s="5"/>
    </row>
    <row r="1328" spans="1:7" ht="58.5" customHeight="1" x14ac:dyDescent="0.25">
      <c r="A1328" s="5" t="str">
        <f>"H0010352"</f>
        <v>H0010352</v>
      </c>
      <c r="B1328" s="5" t="str">
        <f>"GABINETE CONTRA INCENDIO"</f>
        <v>GABINETE CONTRA INCENDIO</v>
      </c>
      <c r="C1328" s="6">
        <v>171000</v>
      </c>
      <c r="D1328" s="5"/>
      <c r="E1328" s="5" t="str">
        <f t="shared" ref="E1328:E1391" si="66">"ACTISALUD -PEDIATRIA"</f>
        <v>ACTISALUD -PEDIATRIA</v>
      </c>
      <c r="F1328" s="5" t="str">
        <f>"Descripcion: GAVINETE CONTRA INCENDIO. CONTIENE UN ESTINTOR DE 10 LIBRAS, UNA HACHA, UNA PATA DE CABRA Estado: Regular Placa anterior: 000019097 Material: METALICO Y VIDRIO Color: ROJO Referencia:  Observacion: NO TIENE MANGUERA CONTRA INCENDIO Placa padr"&amp; "e: Tipo adquisicion: Entidad"</f>
        <v>Descripcion: GAVINETE CONTRA INCENDIO. CONTIENE UN ESTINTOR DE 10 LIBRAS, UNA HACHA, UNA PATA DE CABRA Estado: Regular Placa anterior: 000019097 Material: METALICO Y VIDRIO Color: ROJO Referencia:  Observacion: NO TIENE MANGUERA CONTRA INCENDIO Placa padre: Tipo adquisicion: Entidad</v>
      </c>
      <c r="G1328" s="5"/>
    </row>
    <row r="1329" spans="1:7" ht="58.5" customHeight="1" x14ac:dyDescent="0.25">
      <c r="A1329" s="5" t="str">
        <f>"H0010361"</f>
        <v>H0010361</v>
      </c>
      <c r="B1329" s="5" t="str">
        <f>"ESCALERILLA DE 2 PASOS"</f>
        <v>ESCALERILLA DE 2 PASOS</v>
      </c>
      <c r="C1329" s="6">
        <v>120000</v>
      </c>
      <c r="D1329" s="5" t="s">
        <v>63</v>
      </c>
      <c r="E1329" s="5" t="str">
        <f t="shared" si="66"/>
        <v>ACTISALUD -PEDIATRIA</v>
      </c>
      <c r="F1329" s="5" t="str">
        <f>"Descripcion: ESCALERILLA DE DOS PASO EN TUBO REDONDO Estado: Bueno Placa anterior: 000037791 Material: METALICO Y PASTA Color: GRIS Y BLANCO Referencia:  Observacion:  Placa padre: Tipo adquisicion: Entidad"</f>
        <v>Descripcion: ESCALERILLA DE DOS PASO EN TUBO REDONDO Estado: Bueno Placa anterior: 000037791 Material: METALICO Y PASTA Color: GRIS Y BLANCO Referencia:  Observacion:  Placa padre: Tipo adquisicion: Entidad</v>
      </c>
      <c r="G1329" s="5"/>
    </row>
    <row r="1330" spans="1:7" ht="58.5" customHeight="1" x14ac:dyDescent="0.25">
      <c r="A1330" s="5" t="str">
        <f>"H0010362"</f>
        <v>H0010362</v>
      </c>
      <c r="B1330" s="5" t="str">
        <f>"ESCALERILLA DE 2 PASOS"</f>
        <v>ESCALERILLA DE 2 PASOS</v>
      </c>
      <c r="C1330" s="6">
        <v>100000</v>
      </c>
      <c r="D1330" s="5" t="s">
        <v>49</v>
      </c>
      <c r="E1330" s="5" t="str">
        <f t="shared" si="66"/>
        <v>ACTISALUD -PEDIATRIA</v>
      </c>
      <c r="F1330" s="5" t="str">
        <f>"Descripcion: ESCALERILLA DE DOS PASO EN TUBO REDONDO Estado: Bueno Placa anterior: 000029854 Material: METALICO Y FORMICA Color: GRIS Y BLANCO Referencia:  Observacion:  Placa padre: Tipo adquisicion: Entidad"</f>
        <v>Descripcion: ESCALERILLA DE DOS PASO EN TUBO REDONDO Estado: Bueno Placa anterior: 000029854 Material: METALICO Y FORMICA Color: GRIS Y BLANCO Referencia:  Observacion:  Placa padre: Tipo adquisicion: Entidad</v>
      </c>
      <c r="G1330" s="5"/>
    </row>
    <row r="1331" spans="1:7" ht="58.5" customHeight="1" x14ac:dyDescent="0.25">
      <c r="A1331" s="5" t="str">
        <f>"H0010365"</f>
        <v>H0010365</v>
      </c>
      <c r="B1331" s="5" t="str">
        <f>"CUNA PEDIATRICA CON BARANDA"</f>
        <v>CUNA PEDIATRICA CON BARANDA</v>
      </c>
      <c r="C1331" s="6">
        <v>2204000</v>
      </c>
      <c r="D1331" s="5" t="s">
        <v>162</v>
      </c>
      <c r="E1331" s="5" t="str">
        <f t="shared" si="66"/>
        <v>ACTISALUD -PEDIATRIA</v>
      </c>
      <c r="F1331" s="5" t="str">
        <f>"Descripcion: CAMA CUNA PEDIATRICA 4 PLANOS PANEL ACRILICO Esgtructura fabricada en tuberia redonda, cabecero y piecero, tendido, cuatro planos que permite movimientos espaldar y pies de accionamiento mecanico, baranda sde seguridad laterales tipo corral, "&amp; "soporte para Estado: Bueno Placa anterior: 000038793 Material: METALICO Color: GRIS Referencia:  Observacion:  Placa padre: Tipo adquisicion: Entidad"</f>
        <v>Descripcion: CAMA CUNA PEDIATRICA 4 PLANOS PANEL ACRILICO Esgtructura fabricada en tuberia redonda, cabecero y piecero, tendido, cuatro planos que permite movimientos espaldar y pies de accionamiento mecanico, baranda sde seguridad laterales tipo corral, soporte para Estado: Bueno Placa anterior: 000038793 Material: METALICO Color: GRIS Referencia:  Observacion:  Placa padre: Tipo adquisicion: Entidad</v>
      </c>
      <c r="G1331" s="5"/>
    </row>
    <row r="1332" spans="1:7" ht="58.5" customHeight="1" x14ac:dyDescent="0.25">
      <c r="A1332" s="5" t="str">
        <f>"H0010371"</f>
        <v>H0010371</v>
      </c>
      <c r="B1332" s="5" t="str">
        <f>"SILLA RECLINOMATICA"</f>
        <v>SILLA RECLINOMATICA</v>
      </c>
      <c r="C1332" s="6">
        <v>1220000</v>
      </c>
      <c r="D1332" s="5" t="s">
        <v>63</v>
      </c>
      <c r="E1332" s="5" t="str">
        <f t="shared" si="66"/>
        <v>ACTISALUD -PEDIATRIA</v>
      </c>
      <c r="F1332"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000037895 Material: METALICO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000037895 Material: METALICO Y CUERO Color: AZUL Referencia:  Observacion:  Placa padre: Tipo adquisicion: Entidad</v>
      </c>
      <c r="G1332" s="5"/>
    </row>
    <row r="1333" spans="1:7" ht="58.5" customHeight="1" x14ac:dyDescent="0.25">
      <c r="A1333" s="5" t="str">
        <f>"H0010372"</f>
        <v>H0010372</v>
      </c>
      <c r="B1333" s="5" t="str">
        <f>"SILLA RECLINOMATICA"</f>
        <v>SILLA RECLINOMATICA</v>
      </c>
      <c r="C1333" s="6">
        <v>1220000</v>
      </c>
      <c r="D1333" s="5" t="s">
        <v>63</v>
      </c>
      <c r="E1333" s="5" t="str">
        <f t="shared" si="66"/>
        <v>ACTISALUD -PEDIATRIA</v>
      </c>
      <c r="F133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000037898 Material: METALICO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000037898 Material: METALICO Y CUERO Color: AZUL Referencia:  Observacion:  Placa padre: Tipo adquisicion: Entidad</v>
      </c>
      <c r="G1333" s="5"/>
    </row>
    <row r="1334" spans="1:7" ht="58.5" customHeight="1" x14ac:dyDescent="0.25">
      <c r="A1334" s="5" t="str">
        <f>"H0010373"</f>
        <v>H0010373</v>
      </c>
      <c r="B1334" s="5" t="str">
        <f>"SILLA RECLINOMATICA"</f>
        <v>SILLA RECLINOMATICA</v>
      </c>
      <c r="C1334" s="6">
        <v>1220000</v>
      </c>
      <c r="D1334" s="5" t="s">
        <v>63</v>
      </c>
      <c r="E1334" s="5" t="str">
        <f t="shared" si="66"/>
        <v>ACTISALUD -PEDIATRIA</v>
      </c>
      <c r="F133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000037897 Material: METALICO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000037897 Material: METALICO Y CUERO Color: AZUL Referencia:  Observacion:  Placa padre: Tipo adquisicion: Entidad</v>
      </c>
      <c r="G1334" s="5"/>
    </row>
    <row r="1335" spans="1:7" ht="58.5" customHeight="1" x14ac:dyDescent="0.25">
      <c r="A1335" s="5" t="str">
        <f>"H0010374"</f>
        <v>H0010374</v>
      </c>
      <c r="B1335" s="5" t="str">
        <f>"SILLA RECLINOMATICA"</f>
        <v>SILLA RECLINOMATICA</v>
      </c>
      <c r="C1335" s="6">
        <v>1220000</v>
      </c>
      <c r="D1335" s="5" t="s">
        <v>63</v>
      </c>
      <c r="E1335" s="5" t="str">
        <f t="shared" si="66"/>
        <v>ACTISALUD -PEDIATRIA</v>
      </c>
      <c r="F1335"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000037896 Material: METALICO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000037896 Material: METALICO Y CUERO Color: AZUL Referencia:  Observacion:  Placa padre: Tipo adquisicion: Entidad</v>
      </c>
      <c r="G1335" s="5"/>
    </row>
    <row r="1336" spans="1:7" ht="58.5" customHeight="1" x14ac:dyDescent="0.25">
      <c r="A1336" s="5" t="str">
        <f>"H0010376"</f>
        <v>H0010376</v>
      </c>
      <c r="B1336" s="5" t="str">
        <f>"SILLA RECLINOMATICA"</f>
        <v>SILLA RECLINOMATICA</v>
      </c>
      <c r="C1336" s="6">
        <v>1220000</v>
      </c>
      <c r="D1336" s="5" t="s">
        <v>63</v>
      </c>
      <c r="E1336" s="5" t="str">
        <f t="shared" si="66"/>
        <v>ACTISALUD -PEDIATRIA</v>
      </c>
      <c r="F133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000037894 Material: METALICO Y CUERO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000037894 Material: METALICO Y CUERO Color: AZUL Referencia:  Observacion:  Placa padre: Tipo adquisicion: Entidad</v>
      </c>
      <c r="G1336" s="5"/>
    </row>
    <row r="1337" spans="1:7" ht="58.5" customHeight="1" x14ac:dyDescent="0.25">
      <c r="A1337" s="5" t="str">
        <f>"H0010391"</f>
        <v>H0010391</v>
      </c>
      <c r="B1337" s="5" t="str">
        <f>"ASPIRADOR DE SECRECIONES"</f>
        <v>ASPIRADOR DE SECRECIONES</v>
      </c>
      <c r="C1337" s="6">
        <v>1204197</v>
      </c>
      <c r="D1337" s="5" t="s">
        <v>55</v>
      </c>
      <c r="E1337" s="5" t="str">
        <f t="shared" si="66"/>
        <v>ACTISALUD -PEDIATRIA</v>
      </c>
      <c r="F1337" s="5" t="str">
        <f>"Descripcion: NEBULIZADOR 1145 THOMAS INCLUYE: 6 KIT DE NEBULIZACION ADULTO Y 6 KIT DE NEBULIZACION PEDIATRICA Estado: Bueno Placa anterior: 000030329 Material: METALICO Color: GRIS Y NEGRO Referencia:  Observacion: ASPIRADOR DE SECRECIONES Placa padre: Ti"&amp; "po adquisicion: Donacion"</f>
        <v>Descripcion: NEBULIZADOR 1145 THOMAS INCLUYE: 6 KIT DE NEBULIZACION ADULTO Y 6 KIT DE NEBULIZACION PEDIATRICA Estado: Bueno Placa anterior: 000030329 Material: METALICO Color: GRIS Y NEGRO Referencia:  Observacion: ASPIRADOR DE SECRECIONES Placa padre: Tipo adquisicion: Donacion</v>
      </c>
      <c r="G1337" s="5" t="str">
        <f>"1145"</f>
        <v>1145</v>
      </c>
    </row>
    <row r="1338" spans="1:7" ht="58.5" customHeight="1" x14ac:dyDescent="0.25">
      <c r="A1338" s="5" t="str">
        <f>"H0010392"</f>
        <v>H0010392</v>
      </c>
      <c r="B1338" s="5" t="str">
        <f>"ASPIRADOR DE SECRECIONES"</f>
        <v>ASPIRADOR DE SECRECIONES</v>
      </c>
      <c r="C1338" s="6">
        <v>1204197</v>
      </c>
      <c r="D1338" s="5" t="s">
        <v>55</v>
      </c>
      <c r="E1338" s="5" t="str">
        <f t="shared" si="66"/>
        <v>ACTISALUD -PEDIATRIA</v>
      </c>
      <c r="F1338" s="5" t="str">
        <f>"Descripcion: NEBULIZADOR 1145 THOMAS INCLUYE: 6 KIT DE NEBULIZACION ADULTO Y 6 KIT DE NEBULIZACION PEDIATRICA Estado: Bueno Placa anterior: 000030326 Material: METALICO Color: GRIS Y NEGRO Referencia:  Observacion: ASPIRADOR DE SECRECIONES Placa padre: Ti"&amp; "po adquisicion: Donacion"</f>
        <v>Descripcion: NEBULIZADOR 1145 THOMAS INCLUYE: 6 KIT DE NEBULIZACION ADULTO Y 6 KIT DE NEBULIZACION PEDIATRICA Estado: Bueno Placa anterior: 000030326 Material: METALICO Color: GRIS Y NEGRO Referencia:  Observacion: ASPIRADOR DE SECRECIONES Placa padre: Tipo adquisicion: Donacion</v>
      </c>
      <c r="G1338" s="5" t="str">
        <f>"1145"</f>
        <v>1145</v>
      </c>
    </row>
    <row r="1339" spans="1:7" ht="58.5" customHeight="1" x14ac:dyDescent="0.25">
      <c r="A1339" s="5" t="str">
        <f>"H0010396"</f>
        <v>H0010396</v>
      </c>
      <c r="B1339" s="5" t="str">
        <f>"ESCALERILLA DE 2 PASOS"</f>
        <v>ESCALERILLA DE 2 PASOS</v>
      </c>
      <c r="C1339" s="6">
        <v>5034.04</v>
      </c>
      <c r="D1339" s="5"/>
      <c r="E1339" s="5" t="str">
        <f t="shared" si="66"/>
        <v>ACTISALUD -PEDIATRIA</v>
      </c>
      <c r="F1339" s="5" t="str">
        <f>"Descripcion: ESCALERA PARA SUBIR A LAS CAMA  Estado: Bueno Placa anterior: 000018385 Material: METALICA Y PASTA Color: BLANCA Y GRIS Referencia:  Observacion: FUNCIONARIO AUTORIZA SE CONCILIE CON PLACA 000018385    Placa padre: Tipo adquisicion: Entidad"</f>
        <v>Descripcion: ESCALERA PARA SUBIR A LAS CAMA  Estado: Bueno Placa anterior: 000018385 Material: METALICA Y PASTA Color: BLANCA Y GRIS Referencia:  Observacion: FUNCIONARIO AUTORIZA SE CONCILIE CON PLACA 000018385    Placa padre: Tipo adquisicion: Entidad</v>
      </c>
      <c r="G1339" s="5"/>
    </row>
    <row r="1340" spans="1:7" ht="58.5" customHeight="1" x14ac:dyDescent="0.25">
      <c r="A1340" s="5" t="str">
        <f>"H0010398"</f>
        <v>H0010398</v>
      </c>
      <c r="B1340" s="5" t="str">
        <f>"NEGATOSCOPIO"</f>
        <v>NEGATOSCOPIO</v>
      </c>
      <c r="C1340" s="6">
        <v>4235</v>
      </c>
      <c r="D1340" s="5"/>
      <c r="E1340" s="5" t="str">
        <f t="shared" si="66"/>
        <v>ACTISALUD -PEDIATRIA</v>
      </c>
      <c r="F1340" s="5" t="str">
        <f>"Descripcion: DE UN CUERPO Estado: Bueno Placa anterior: 000007547 Material: PLASTICO Color: MARRON Referencia:  Observacion:  Placa padre: Tipo adquisicion: Entidad"</f>
        <v>Descripcion: DE UN CUERPO Estado: Bueno Placa anterior: 000007547 Material: PLASTICO Color: MARRON Referencia:  Observacion:  Placa padre: Tipo adquisicion: Entidad</v>
      </c>
      <c r="G1340" s="5"/>
    </row>
    <row r="1341" spans="1:7" ht="58.5" customHeight="1" x14ac:dyDescent="0.25">
      <c r="A1341" s="5" t="str">
        <f>"H0010401"</f>
        <v>H0010401</v>
      </c>
      <c r="B1341" s="5" t="str">
        <f>"CARRO PARA TRANSPORTE BALA DE OXIGENO"</f>
        <v>CARRO PARA TRANSPORTE BALA DE OXIGENO</v>
      </c>
      <c r="C1341" s="6">
        <v>1100</v>
      </c>
      <c r="D1341" s="5"/>
      <c r="E1341" s="5" t="str">
        <f t="shared" si="66"/>
        <v>ACTISALUD -PEDIATRIA</v>
      </c>
      <c r="F1341" s="5" t="str">
        <f>"Descripcion: CARRO PARA TRANSPORTAR OXIGENO PEQUEÑO Estado: Bueno Placa anterior: 000007173 Material: METALICO Color: GRIS Referencia:  Observacion:  Placa padre: Tipo adquisicion: Entidad"</f>
        <v>Descripcion: CARRO PARA TRANSPORTAR OXIGENO PEQUEÑO Estado: Bueno Placa anterior: 000007173 Material: METALICO Color: GRIS Referencia:  Observacion:  Placa padre: Tipo adquisicion: Entidad</v>
      </c>
      <c r="G1341" s="5"/>
    </row>
    <row r="1342" spans="1:7" ht="58.5" customHeight="1" x14ac:dyDescent="0.25">
      <c r="A1342" s="5" t="str">
        <f>"H0010407"</f>
        <v>H0010407</v>
      </c>
      <c r="B1342" s="5" t="str">
        <f>"POTE (TARRO) ACERO INXODABLE CON TAPA JUEGO"</f>
        <v>POTE (TARRO) ACERO INXODABLE CON TAPA JUEGO</v>
      </c>
      <c r="C1342" s="6">
        <v>10312.86</v>
      </c>
      <c r="D1342" s="5"/>
      <c r="E1342" s="5" t="str">
        <f t="shared" si="66"/>
        <v>ACTISALUD -PEDIATRIA</v>
      </c>
      <c r="F1342" s="5" t="str">
        <f>"Descripcion: TARRO PARA APOSITOS Estado: Bueno Placa anterior: 000007572 Material: ACERO INOXIDABLE Color: GRIS Referencia:  Observacion:  Placa padre: Tipo adquisicion: Entidad"</f>
        <v>Descripcion: TARRO PARA APOSITOS Estado: Bueno Placa anterior: 000007572 Material: ACERO INOXIDABLE Color: GRIS Referencia:  Observacion:  Placa padre: Tipo adquisicion: Entidad</v>
      </c>
      <c r="G1342" s="5"/>
    </row>
    <row r="1343" spans="1:7" ht="58.5" customHeight="1" x14ac:dyDescent="0.25">
      <c r="A1343" s="5" t="str">
        <f>"H0010408"</f>
        <v>H0010408</v>
      </c>
      <c r="B1343" s="5" t="str">
        <f>"POTE (TARRO) ACERO INXODABLE CON TAPA JUEGO"</f>
        <v>POTE (TARRO) ACERO INXODABLE CON TAPA JUEGO</v>
      </c>
      <c r="C1343" s="6">
        <v>10312.86</v>
      </c>
      <c r="D1343" s="5"/>
      <c r="E1343" s="5" t="str">
        <f t="shared" si="66"/>
        <v>ACTISALUD -PEDIATRIA</v>
      </c>
      <c r="F1343" s="5" t="str">
        <f>"Descripcion: TARRO PARA GASAS Estado: Bueno Placa anterior: 000007573 Material: ACERO INOXIDABLE Color: GRIS Referencia:  Observacion:  Placa padre: Tipo adquisicion: Entidad"</f>
        <v>Descripcion: TARRO PARA GASAS Estado: Bueno Placa anterior: 000007573 Material: ACERO INOXIDABLE Color: GRIS Referencia:  Observacion:  Placa padre: Tipo adquisicion: Entidad</v>
      </c>
      <c r="G1343" s="5"/>
    </row>
    <row r="1344" spans="1:7" ht="58.5" customHeight="1" x14ac:dyDescent="0.25">
      <c r="A1344" s="5" t="str">
        <f>"H0010417"</f>
        <v>H0010417</v>
      </c>
      <c r="B1344" s="5" t="str">
        <f>"CARRO DE PARO"</f>
        <v>CARRO DE PARO</v>
      </c>
      <c r="C1344" s="6">
        <v>2200000</v>
      </c>
      <c r="D1344" s="5"/>
      <c r="E1344" s="5" t="str">
        <f t="shared" si="66"/>
        <v>ACTISALUD -PEDIATRIA</v>
      </c>
      <c r="F1344" s="5" t="str">
        <f>"Descripcion: CARRO DE PARO SENCILLO COMPUESTO DE 5 GAVETAS DIFERENTES TAMAÑOS Estado: Bueno Placa anterior: 000028478 Material: METALICO Color: BEIS Y AZUL Referencia:  Observacion:  Placa padre: Tipo adquisicion: Entidad"</f>
        <v>Descripcion: CARRO DE PARO SENCILLO COMPUESTO DE 5 GAVETAS DIFERENTES TAMAÑOS Estado: Bueno Placa anterior: 000028478 Material: METALICO Color: BEIS Y AZUL Referencia:  Observacion:  Placa padre: Tipo adquisicion: Entidad</v>
      </c>
      <c r="G1344" s="5"/>
    </row>
    <row r="1345" spans="1:7" ht="58.5" customHeight="1" x14ac:dyDescent="0.25">
      <c r="A1345" s="5" t="str">
        <f>"H0010419"</f>
        <v>H0010419</v>
      </c>
      <c r="B1345" s="5" t="str">
        <f>"COMPUTADOR TODO EN UNO"</f>
        <v>COMPUTADOR TODO EN UNO</v>
      </c>
      <c r="C1345" s="6">
        <v>1572000</v>
      </c>
      <c r="D1345" s="5" t="s">
        <v>32</v>
      </c>
      <c r="E1345" s="5" t="str">
        <f t="shared" si="66"/>
        <v>ACTISALUD -PEDIATRIA</v>
      </c>
      <c r="F1345" s="5" t="str">
        <f>"Descripcion: EQUIPOS DE COMPUTO TODO EN UNO PROCESADOR CORE 3.0 SUPERIOR CORPORATIVO WINDOWS 8 PRO- OFFICE 2013 SMALL BUSINES, TECNOLOGIA HT DE INTEL GARANTIA EXTENDIDA A 3 AÑOS Estado: Bueno Placa anterior: 000030579 Material: PLASTICO Color: NEGRO Refer"&amp; "encia:  Observacion:  Placa anterior:, Placa nueva=H0010420, Descripcion:TECLADO, Serial:672647-163  LA, Marca:HP, Modelo:KU-1156, Material:PLASTICO, Color:NEGRO,  Referencia:, Placa anterior:, Placa nueva=H0010421, Descripcion:MOUSE OPTICO TRES BOTONES, "&amp; "Serial:672652-001, Marca:HP, Modelo:,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000030579 Material: PLASTICO Color: NEGRO Referencia:  Observacion:  Placa anterior:, Placa nueva=H0010420, Descripcion:TECLADO, Serial:672647-163  LA, Marca:HP, Modelo:KU-1156, Material:PLASTICO, Color:NEGRO,  Referencia:, Placa anterior:, Placa nueva=H0010421, Descripcion:MOUSE OPTICO TRES BOTONES, Serial:672652-001, Marca:HP, Modelo:, Material:PLASTICO, Color:NEGRO, Referencia: Placa padre: Tipo adquisicion: Entidad</v>
      </c>
      <c r="G1345" s="5" t="str">
        <f>"COMPAQ PRO 4300"</f>
        <v>COMPAQ PRO 4300</v>
      </c>
    </row>
    <row r="1346" spans="1:7" ht="58.5" customHeight="1" x14ac:dyDescent="0.25">
      <c r="A1346" s="5" t="str">
        <f>"H0010436"</f>
        <v>H0010436</v>
      </c>
      <c r="B1346" s="5" t="str">
        <f>"LARINGOSCOPIO PEDIATRICO"</f>
        <v>LARINGOSCOPIO PEDIATRICO</v>
      </c>
      <c r="C1346" s="6">
        <v>83784.33</v>
      </c>
      <c r="D1346" s="5"/>
      <c r="E1346" s="5" t="str">
        <f t="shared" si="66"/>
        <v>ACTISALUD -PEDIATRIA</v>
      </c>
      <c r="F1346" s="5" t="str">
        <f>"Descripcion: LARINGOSCOPIO, CON TRES HOJAS Estado: Bueno Placa anterior: 000007871 Material: ACERO Color: GRIS Referencia:  Observacion:  Placa padre: Tipo adquisicion: Entidad"</f>
        <v>Descripcion: LARINGOSCOPIO, CON TRES HOJAS Estado: Bueno Placa anterior: 000007871 Material: ACERO Color: GRIS Referencia:  Observacion:  Placa padre: Tipo adquisicion: Entidad</v>
      </c>
      <c r="G1346" s="5"/>
    </row>
    <row r="1347" spans="1:7" ht="58.5" customHeight="1" x14ac:dyDescent="0.25">
      <c r="A1347" s="5" t="str">
        <f>"H0011954"</f>
        <v>H0011954</v>
      </c>
      <c r="B1347" s="5" t="str">
        <f>"SILLA DE RUEDAS"</f>
        <v>SILLA DE RUEDAS</v>
      </c>
      <c r="C1347" s="6">
        <v>280000</v>
      </c>
      <c r="D1347" s="5" t="s">
        <v>52</v>
      </c>
      <c r="E1347" s="5" t="str">
        <f t="shared" si="66"/>
        <v>ACTISALUD -PEDIATRIA</v>
      </c>
      <c r="F1347" s="5" t="str">
        <f>"Descripcion: SILLA DE RUEDAS PEDIATRICA Estado: Bueno Placa anterior: 000036419 Material: METALICO CON TAPIZADO NEGRO Color: ROJO, AMARILLO AZUL NEGRO Referencia:  Observacion:  Placa padre: Tipo adquisicion: Entidad"</f>
        <v>Descripcion: SILLA DE RUEDAS PEDIATRICA Estado: Bueno Placa anterior: 000036419 Material: METALICO CON TAPIZADO NEGRO Color: ROJO, AMARILLO AZUL NEGRO Referencia:  Observacion:  Placa padre: Tipo adquisicion: Entidad</v>
      </c>
      <c r="G1347" s="5"/>
    </row>
    <row r="1348" spans="1:7" ht="58.5" customHeight="1" x14ac:dyDescent="0.25">
      <c r="A1348" s="5" t="str">
        <f>"H0011956"</f>
        <v>H0011956</v>
      </c>
      <c r="B1348" s="5" t="str">
        <f>"SILLA DE RUEDAS"</f>
        <v>SILLA DE RUEDAS</v>
      </c>
      <c r="C1348" s="6">
        <v>280000</v>
      </c>
      <c r="D1348" s="5" t="s">
        <v>52</v>
      </c>
      <c r="E1348" s="5" t="str">
        <f t="shared" si="66"/>
        <v>ACTISALUD -PEDIATRIA</v>
      </c>
      <c r="F1348" s="5" t="str">
        <f>"Descripcion: SILLA DE RUEDAS PEDIATRICA Estado: Bueno Placa anterior: 000036418 Material: METALICO CON TAPIZADO NEGRO Color: ROJO, AMARILLO AZUL NEGRO Referencia:  Observacion:  Placa padre: Tipo adquisicion: Entidad"</f>
        <v>Descripcion: SILLA DE RUEDAS PEDIATRICA Estado: Bueno Placa anterior: 000036418 Material: METALICO CON TAPIZADO NEGRO Color: ROJO, AMARILLO AZUL NEGRO Referencia:  Observacion:  Placa padre: Tipo adquisicion: Entidad</v>
      </c>
      <c r="G1348" s="5"/>
    </row>
    <row r="1349" spans="1:7" ht="58.5" customHeight="1" x14ac:dyDescent="0.25">
      <c r="A1349" s="5" t="str">
        <f>"H0012397"</f>
        <v>H0012397</v>
      </c>
      <c r="B1349" s="5" t="str">
        <f>"ATRIL PORTASUERO MOVIL"</f>
        <v>ATRIL PORTASUERO MOVIL</v>
      </c>
      <c r="C1349" s="6">
        <v>210000</v>
      </c>
      <c r="D1349" s="5" t="s">
        <v>50</v>
      </c>
      <c r="E1349" s="5" t="str">
        <f t="shared" si="66"/>
        <v>ACTISALUD -PEDIATRIA</v>
      </c>
      <c r="F1349" s="5" t="str">
        <f>"Descripcion: ATRIL EN ACERO INOXIDABLE QUIRURGICO ANTIMAGNETICO Estado: Bueno Placa anterior: 000029726 Material: ACERO INOX. Color: PLATEADO Referencia:  Observacion:  Placa padre: Tipo adquisicion: Entidad"</f>
        <v>Descripcion: ATRIL EN ACERO INOXIDABLE QUIRURGICO ANTIMAGNETICO Estado: Bueno Placa anterior: 000029726 Material: ACERO INOX. Color: PLATEADO Referencia:  Observacion:  Placa padre: Tipo adquisicion: Entidad</v>
      </c>
      <c r="G1349" s="5"/>
    </row>
    <row r="1350" spans="1:7" ht="58.5" customHeight="1" x14ac:dyDescent="0.25">
      <c r="A1350" s="5" t="str">
        <f>"H0012782"</f>
        <v>H0012782</v>
      </c>
      <c r="B1350" s="5" t="str">
        <f>"ARCHIVADOR METALICO 4 GAVETAS"</f>
        <v>ARCHIVADOR METALICO 4 GAVETAS</v>
      </c>
      <c r="C1350" s="6">
        <v>40952.639999999999</v>
      </c>
      <c r="D1350" s="5"/>
      <c r="E1350" s="5" t="str">
        <f t="shared" si="66"/>
        <v>ACTISALUD -PEDIATRIA</v>
      </c>
      <c r="F1350" s="5" t="str">
        <f>"Descripcion: ARCHIVADOR METALICO 4 GAVETAS Estado: Bueno Placa anterior: 000008449 Material: METAL Color: GRIS Referencia:  Observacion:  Placa padre: Tipo adquisicion: Entidad"</f>
        <v>Descripcion: ARCHIVADOR METALICO 4 GAVETAS Estado: Bueno Placa anterior: 000008449 Material: METAL Color: GRIS Referencia:  Observacion:  Placa padre: Tipo adquisicion: Entidad</v>
      </c>
      <c r="G1350" s="5"/>
    </row>
    <row r="1351" spans="1:7" ht="58.5" customHeight="1" x14ac:dyDescent="0.25">
      <c r="A1351" s="5" t="str">
        <f>"H0013896"</f>
        <v>H0013896</v>
      </c>
      <c r="B1351" s="5" t="str">
        <f>"FOLDERAMA METALICO"</f>
        <v>FOLDERAMA METALICO</v>
      </c>
      <c r="C1351" s="6">
        <v>321320</v>
      </c>
      <c r="D1351" s="5"/>
      <c r="E1351" s="5" t="str">
        <f t="shared" si="66"/>
        <v>ACTISALUD -PEDIATRIA</v>
      </c>
      <c r="F1351" s="5" t="str">
        <f>"Descripcion: FOLDERAMA METALICO ENTREPAÑOS 15 DIVISIONES 1.58X1.05X0.48OXIDO Estado: Regular Placa anterior: 000014267 Material: METALICO Color: GRIS Referencia:  Observacion:  Placa padre: Tipo adquisicion: Entidad"</f>
        <v>Descripcion: FOLDERAMA METALICO ENTREPAÑOS 15 DIVISIONES 1.58X1.05X0.48OXIDO Estado: Regular Placa anterior: 000014267 Material: METALICO Color: GRIS Referencia:  Observacion:  Placa padre: Tipo adquisicion: Entidad</v>
      </c>
      <c r="G1351" s="5"/>
    </row>
    <row r="1352" spans="1:7" ht="58.5" customHeight="1" x14ac:dyDescent="0.25">
      <c r="A1352" s="5" t="str">
        <f>"H0015871"</f>
        <v>H0015871</v>
      </c>
      <c r="B1352" s="5" t="str">
        <f>"MESA DE NOCHE"</f>
        <v>MESA DE NOCHE</v>
      </c>
      <c r="C1352" s="6">
        <v>350000</v>
      </c>
      <c r="D1352" s="5"/>
      <c r="E1352" s="5" t="str">
        <f t="shared" si="66"/>
        <v>ACTISALUD -PEDIATRIA</v>
      </c>
      <c r="F1352" s="5" t="str">
        <f>"Descripcion:MESA DE NOCHE Estado: Excelente Placa anterior: 000037848 Material: METAL Y FORMICA Color: BEIGE Y MADERA Referencia:  Observacion:  Placa padre:  Tipo adquisicion : Entidad"</f>
        <v>Descripcion:MESA DE NOCHE Estado: Excelente Placa anterior: 000037848 Material: METAL Y FORMICA Color: BEIGE Y MADERA Referencia:  Observacion:  Placa padre:  Tipo adquisicion : Entidad</v>
      </c>
      <c r="G1352" s="5" t="str">
        <f>"7425"</f>
        <v>7425</v>
      </c>
    </row>
    <row r="1353" spans="1:7" ht="58.5" customHeight="1" x14ac:dyDescent="0.25">
      <c r="A1353" s="5" t="str">
        <f>"H0015877"</f>
        <v>H0015877</v>
      </c>
      <c r="B1353" s="5" t="str">
        <f>"MESA DE NOCHE"</f>
        <v>MESA DE NOCHE</v>
      </c>
      <c r="C1353" s="6">
        <v>350000</v>
      </c>
      <c r="D1353" s="5"/>
      <c r="E1353" s="5" t="str">
        <f t="shared" si="66"/>
        <v>ACTISALUD -PEDIATRIA</v>
      </c>
      <c r="F1353" s="5" t="str">
        <f>"Descripcion:MESA DE NOCHE 2 GAVETAS Estado: Excelente Placa anterior: 000037853 Material: METAL Y FORMICA Color: BEIGE Y MADERA Referencia:  Observacion:  Placa padre:  Tipo adquisicion : Entidad"</f>
        <v>Descripcion:MESA DE NOCHE 2 GAVETAS Estado: Excelente Placa anterior: 000037853 Material: METAL Y FORMICA Color: BEIGE Y MADERA Referencia:  Observacion:  Placa padre:  Tipo adquisicion : Entidad</v>
      </c>
      <c r="G1353" s="5" t="str">
        <f>"7417"</f>
        <v>7417</v>
      </c>
    </row>
    <row r="1354" spans="1:7" ht="58.5" customHeight="1" x14ac:dyDescent="0.25">
      <c r="A1354" s="5" t="str">
        <f>"H0015879"</f>
        <v>H0015879</v>
      </c>
      <c r="B1354" s="5" t="str">
        <f>"MESA DE NOCHE"</f>
        <v>MESA DE NOCHE</v>
      </c>
      <c r="C1354" s="6">
        <v>350000</v>
      </c>
      <c r="D1354" s="5"/>
      <c r="E1354" s="5" t="str">
        <f t="shared" si="66"/>
        <v>ACTISALUD -PEDIATRIA</v>
      </c>
      <c r="F1354" s="5" t="str">
        <f>"Descripcion:MESA DE NOCHE 2 GAVETAS Estado: Excelente Placa anterior: 000037855 Material: METAL Y FORMICA Color: BEIGE Y MADERA Referencia:  Observacion:  Placa padre:  Tipo adquisicion : Entidad"</f>
        <v>Descripcion:MESA DE NOCHE 2 GAVETAS Estado: Excelente Placa anterior: 000037855 Material: METAL Y FORMICA Color: BEIGE Y MADERA Referencia:  Observacion:  Placa padre:  Tipo adquisicion : Entidad</v>
      </c>
      <c r="G1354" s="5" t="str">
        <f>"7417"</f>
        <v>7417</v>
      </c>
    </row>
    <row r="1355" spans="1:7" ht="58.5" customHeight="1" x14ac:dyDescent="0.25">
      <c r="A1355" s="5" t="str">
        <f>"H0015882"</f>
        <v>H0015882</v>
      </c>
      <c r="B1355" s="5" t="str">
        <f>"MESA DE NOCHE"</f>
        <v>MESA DE NOCHE</v>
      </c>
      <c r="C1355" s="6">
        <v>350000</v>
      </c>
      <c r="D1355" s="5"/>
      <c r="E1355" s="5" t="str">
        <f t="shared" si="66"/>
        <v>ACTISALUD -PEDIATRIA</v>
      </c>
      <c r="F1355" s="5" t="str">
        <f>"Descripcion:MESA DE NOCHE 2 GAVETAS Estado: Excelente Placa anterior: 000037858 Material: METAL Y FORMICA Color: BEIGE Y MADERA Referencia:  Observacion:  Placa padre:  Tipo adquisicion : Entidad"</f>
        <v>Descripcion:MESA DE NOCHE 2 GAVETAS Estado: Excelente Placa anterior: 000037858 Material: METAL Y FORMICA Color: BEIGE Y MADERA Referencia:  Observacion:  Placa padre:  Tipo adquisicion : Entidad</v>
      </c>
      <c r="G1355" s="5" t="str">
        <f>"7417"</f>
        <v>7417</v>
      </c>
    </row>
    <row r="1356" spans="1:7" ht="58.5" customHeight="1" x14ac:dyDescent="0.25">
      <c r="A1356" s="5" t="str">
        <f>"H0018412"</f>
        <v>H0018412</v>
      </c>
      <c r="B1356" s="5" t="str">
        <f>"VITRINA DE 2 CUERPOS"</f>
        <v>VITRINA DE 2 CUERPOS</v>
      </c>
      <c r="C1356" s="6">
        <v>55463.58</v>
      </c>
      <c r="D1356" s="5"/>
      <c r="E1356" s="5" t="str">
        <f t="shared" si="66"/>
        <v>ACTISALUD -PEDIATRIA</v>
      </c>
      <c r="F1356" s="5" t="str">
        <f>"Descripcion: VITRINA DE 2 CUERPOS Estado: Bueno Placa anterior: 000015215 Material: METALICO Y VIDRIO Color: GRIS Referencia:  Observacion:  Placa padre: Tipo adquisicion: Entidad"</f>
        <v>Descripcion: VITRINA DE 2 CUERPOS Estado: Bueno Placa anterior: 000015215 Material: METALICO Y VIDRIO Color: GRIS Referencia:  Observacion:  Placa padre: Tipo adquisicion: Entidad</v>
      </c>
      <c r="G1356" s="5"/>
    </row>
    <row r="1357" spans="1:7" ht="58.5" customHeight="1" x14ac:dyDescent="0.25">
      <c r="A1357" s="5" t="str">
        <f>"H0018646"</f>
        <v>H0018646</v>
      </c>
      <c r="B1357" s="5" t="str">
        <f>"COMPUTADOR TODO EN UNO"</f>
        <v>COMPUTADOR TODO EN UNO</v>
      </c>
      <c r="C1357" s="6">
        <v>1572000</v>
      </c>
      <c r="D1357" s="5" t="s">
        <v>32</v>
      </c>
      <c r="E1357" s="5" t="str">
        <f t="shared" si="66"/>
        <v>ACTISALUD -PEDIATRIA</v>
      </c>
      <c r="F1357" s="5" t="str">
        <f>"Descripcion: EQUIPOS DE COMPUTO TODO EN UNO PROCESADOR CORE 3.0 SUPERIOR CORPORATIVO WINDOWS 8 PRO- OFFICE 2013 SMALL BUSINES, TECNOLOGIA HT DE INTEL GARANTIA EXTENDIDA A 3 AÑOS Estado: Excelente Placa anterior: 000030586 Material: PASTA Color: NEGRO Refe"&amp; "rencia: C9G88LT#ABM Observacion:  Placa anterior:, Placa nueva=H0018647, Descripcion:., Serial:BDMHE0CVB5I6RN, Marca:HP, Modelo:KU-1156, Material:PASTA, Color:NEGRO,Referencia:672647-163LA, Placa anterior:, Placa nueva=H0017465, Descripcion:OPTICO, Serial"&amp; ":FCMHH0CQW5IQ2D, Marca:HP, Modelo:SM-2022, Material:PASTA, Color:NEGRO,Referencia:672652-001 Placa padre: Tipo adquisicion: Entidad"</f>
        <v>Descripcion: EQUIPOS DE COMPUTO TODO EN UNO PROCESADOR CORE 3.0 SUPERIOR CORPORATIVO WINDOWS 8 PRO- OFFICE 2013 SMALL BUSINES, TECNOLOGIA HT DE INTEL GARANTIA EXTENDIDA A 3 AÑOS Estado: Excelente Placa anterior: 000030586 Material: PASTA Color: NEGRO Referencia: C9G88LT#ABM Observacion:  Placa anterior:, Placa nueva=H0018647, Descripcion:., Serial:BDMHE0CVB5I6RN, Marca:HP, Modelo:KU-1156, Material:PASTA, Color:NEGRO,Referencia:672647-163LA, Placa anterior:, Placa nueva=H0017465, Descripcion:OPTICO, Serial:FCMHH0CQW5IQ2D, Marca:HP, Modelo:SM-2022, Material:PASTA, Color:NEGRO,Referencia:672652-001 Placa padre: Tipo adquisicion: Entidad</v>
      </c>
      <c r="G1357" s="5" t="str">
        <f>"COMPAQ PRO 4300"</f>
        <v>COMPAQ PRO 4300</v>
      </c>
    </row>
    <row r="1358" spans="1:7" ht="58.5" customHeight="1" x14ac:dyDescent="0.25">
      <c r="A1358" s="5" t="str">
        <f>"H0018729"</f>
        <v>H0018729</v>
      </c>
      <c r="B1358" s="5" t="str">
        <f>"MESA METALICA AUXILIAR"</f>
        <v>MESA METALICA AUXILIAR</v>
      </c>
      <c r="C1358" s="6">
        <v>7800</v>
      </c>
      <c r="D1358" s="5"/>
      <c r="E1358" s="5" t="str">
        <f t="shared" si="66"/>
        <v>ACTISALUD -PEDIATRIA</v>
      </c>
      <c r="F1358" s="5" t="str">
        <f>"Descripcion:MESA MECANOGRAFA SIN ALA Estado: Bueno Placa anterior: 000000641 Material: METALICO Color: MARRON CON GRIS Referencia:  Observacion:  Placa padre:  Tipo adquisicion : Entidad"</f>
        <v>Descripcion:MESA MECANOGRAFA SIN ALA Estado: Bueno Placa anterior: 000000641 Material: METALICO Color: MARRON CON GRIS Referencia:  Observacion:  Placa padre:  Tipo adquisicion : Entidad</v>
      </c>
      <c r="G1358" s="5"/>
    </row>
    <row r="1359" spans="1:7" ht="58.5" customHeight="1" x14ac:dyDescent="0.25">
      <c r="A1359" s="5" t="str">
        <f>"H0018730"</f>
        <v>H0018730</v>
      </c>
      <c r="B1359" s="5" t="str">
        <f>"SILLON (SOFA)"</f>
        <v>SILLON (SOFA)</v>
      </c>
      <c r="C1359" s="6">
        <v>21400</v>
      </c>
      <c r="D1359" s="5"/>
      <c r="E1359" s="5" t="str">
        <f t="shared" si="66"/>
        <v>ACTISALUD -PEDIATRIA</v>
      </c>
      <c r="F1359" s="5" t="str">
        <f>"Descripcion:MUEBLE DE MADERA - SOFA DE 1 PUESTO Estado: Bueno Placa anterior: 000000659 Material: MADERA Color: AZUL REY Referencia:  Observacion:  Placa padre:  Tipo adquisicion : Entidad"</f>
        <v>Descripcion:MUEBLE DE MADERA - SOFA DE 1 PUESTO Estado: Bueno Placa anterior: 000000659 Material: MADERA Color: AZUL REY Referencia:  Observacion:  Placa padre:  Tipo adquisicion : Entidad</v>
      </c>
      <c r="G1359" s="5"/>
    </row>
    <row r="1360" spans="1:7" ht="58.5" customHeight="1" x14ac:dyDescent="0.25">
      <c r="A1360" s="5" t="str">
        <f>"H0018761"</f>
        <v>H0018761</v>
      </c>
      <c r="B1360" s="5" t="str">
        <f>"SILLA INTERLOCUTORA (FIJA) SIN BRAZOS"</f>
        <v>SILLA INTERLOCUTORA (FIJA) SIN BRAZOS</v>
      </c>
      <c r="C1360" s="6">
        <v>15180</v>
      </c>
      <c r="D1360" s="5"/>
      <c r="E1360" s="5" t="str">
        <f t="shared" si="66"/>
        <v>ACTISALUD -PEDIATRIA</v>
      </c>
      <c r="F1360" s="5" t="str">
        <f>"Descripcion:SILLA INTERLOCUTORA FIJA  CON BRAZOS Estado: Bueno Placa anterior: 000000656 Material: MADERA Color: AZUL REY Referencia:  Observacion: EL FUNCIONARIO AUTORIZA SE CONCILIE CON PLACA NO. 000000656 Placa padre:  Tipo adquisicion : Entidad"</f>
        <v>Descripcion:SILLA INTERLOCUTORA FIJA  CON BRAZOS Estado: Bueno Placa anterior: 000000656 Material: MADERA Color: AZUL REY Referencia:  Observacion: EL FUNCIONARIO AUTORIZA SE CONCILIE CON PLACA NO. 000000656 Placa padre:  Tipo adquisicion : Entidad</v>
      </c>
      <c r="G1360" s="5"/>
    </row>
    <row r="1361" spans="1:7" ht="58.5" customHeight="1" x14ac:dyDescent="0.25">
      <c r="A1361" s="5" t="str">
        <f>"H0018762"</f>
        <v>H0018762</v>
      </c>
      <c r="B1361" s="5" t="str">
        <f>"SILLA INTERLOCUTORA (FIJA) SIN BRAZOS"</f>
        <v>SILLA INTERLOCUTORA (FIJA) SIN BRAZOS</v>
      </c>
      <c r="C1361" s="6">
        <v>15180</v>
      </c>
      <c r="D1361" s="5"/>
      <c r="E1361" s="5" t="str">
        <f t="shared" si="66"/>
        <v>ACTISALUD -PEDIATRIA</v>
      </c>
      <c r="F1361" s="5" t="str">
        <f>"Descripcion:SILLA INTERLOCUTORA FIJA  CON BRAZOS Estado: Bueno Placa anterior: 000000657 Material: MADERA Color: AZUL REY Referencia:  Observacion: EL FUNCIONARIO AUTORIZA SE CONCILIE CON PLACA No. 000000657 Placa padre:  Tipo adquisicion : Entidad"</f>
        <v>Descripcion:SILLA INTERLOCUTORA FIJA  CON BRAZOS Estado: Bueno Placa anterior: 000000657 Material: MADERA Color: AZUL REY Referencia:  Observacion: EL FUNCIONARIO AUTORIZA SE CONCILIE CON PLACA No. 000000657 Placa padre:  Tipo adquisicion : Entidad</v>
      </c>
      <c r="G1361" s="5"/>
    </row>
    <row r="1362" spans="1:7" ht="58.5" customHeight="1" x14ac:dyDescent="0.25">
      <c r="A1362" s="5" t="str">
        <f>"H0021171"</f>
        <v>H0021171</v>
      </c>
      <c r="B1362" s="5" t="str">
        <f>"CALENTADOR ELECTRICO DE AGUA"</f>
        <v>CALENTADOR ELECTRICO DE AGUA</v>
      </c>
      <c r="C1362" s="6">
        <v>50182</v>
      </c>
      <c r="D1362" s="5"/>
      <c r="E1362" s="5" t="str">
        <f t="shared" si="66"/>
        <v>ACTISALUD -PEDIATRIA</v>
      </c>
      <c r="F1362" s="5" t="str">
        <f>"Descripcion:CALENTADOR HACEB Estado: Bueno Placa anterior: 000007467 Material: METALICO Color: BLANCO Referencia: 32628007 Observacion:  Placa padre:  Tipo adquisicion : Entidad"</f>
        <v>Descripcion:CALENTADOR HACEB Estado: Bueno Placa anterior: 000007467 Material: METALICO Color: BLANCO Referencia: 32628007 Observacion:  Placa padre:  Tipo adquisicion : Entidad</v>
      </c>
      <c r="G1362" s="5" t="str">
        <f>"CR-16"</f>
        <v>CR-16</v>
      </c>
    </row>
    <row r="1363" spans="1:7" ht="58.5" customHeight="1" x14ac:dyDescent="0.25">
      <c r="A1363" s="5" t="str">
        <f>"H0021344"</f>
        <v>H0021344</v>
      </c>
      <c r="B1363" s="5" t="str">
        <f>"EQUIPO ORGANOS DE LOS SENTIDOS PORTATIL"</f>
        <v>EQUIPO ORGANOS DE LOS SENTIDOS PORTATIL</v>
      </c>
      <c r="C1363" s="6">
        <v>48241.67</v>
      </c>
      <c r="D1363" s="5"/>
      <c r="E1363" s="5" t="str">
        <f t="shared" si="66"/>
        <v>ACTISALUD -PEDIATRIA</v>
      </c>
      <c r="F1363" s="5" t="str">
        <f>"Descripcion: OTOSCOPIO Y OFTALMOSCOPIO Estado: Bueno Placa anterior: 000007657 Material: METALICO Color: BLANCO Referencia:  Observacion:  Placa padre: Tipo adquisicion: Entidad"</f>
        <v>Descripcion: OTOSCOPIO Y OFTALMOSCOPIO Estado: Bueno Placa anterior: 000007657 Material: METALICO Color: BLANCO Referencia:  Observacion:  Placa padre: Tipo adquisicion: Entidad</v>
      </c>
      <c r="G1363" s="5"/>
    </row>
    <row r="1364" spans="1:7" ht="58.5" customHeight="1" x14ac:dyDescent="0.25">
      <c r="A1364" s="5" t="str">
        <f>"H0021433"</f>
        <v>H0021433</v>
      </c>
      <c r="B1364" s="5" t="str">
        <f>"EQUIPO DE AIRE ACONDICIONADO  MINISPLIT 12000 BTU INVERTER"</f>
        <v>EQUIPO DE AIRE ACONDICIONADO  MINISPLIT 12000 BTU INVERTER</v>
      </c>
      <c r="C1364" s="6">
        <v>1856000</v>
      </c>
      <c r="D1364" s="5" t="s">
        <v>176</v>
      </c>
      <c r="E1364" s="5" t="str">
        <f t="shared" si="66"/>
        <v>ACTISALUD -PEDIATRIA</v>
      </c>
      <c r="F1364" s="5" t="str">
        <f>"CONDESADORA  602HARBQ1822"</f>
        <v>CONDESADORA  602HARBQ1822</v>
      </c>
      <c r="G1364" s="5" t="str">
        <f>"VM122CE-NB3-UB3"</f>
        <v>VM122CE-NB3-UB3</v>
      </c>
    </row>
    <row r="1365" spans="1:7" ht="58.5" customHeight="1" x14ac:dyDescent="0.25">
      <c r="A1365" s="5" t="str">
        <f>"H0021459"</f>
        <v>H0021459</v>
      </c>
      <c r="B1365" s="5" t="str">
        <f>"PLANTA DOMESTICA A BASE DE OZONO"</f>
        <v>PLANTA DOMESTICA A BASE DE OZONO</v>
      </c>
      <c r="C1365" s="6">
        <v>275000</v>
      </c>
      <c r="D1365" s="5" t="s">
        <v>62</v>
      </c>
      <c r="E1365" s="5" t="str">
        <f t="shared" si="66"/>
        <v>ACTISALUD -PEDIATRIA</v>
      </c>
      <c r="F1365" s="5"/>
      <c r="G1365" s="5"/>
    </row>
    <row r="1366" spans="1:7" ht="58.5" customHeight="1" x14ac:dyDescent="0.25">
      <c r="A1366" s="5" t="str">
        <f>"H0021460"</f>
        <v>H0021460</v>
      </c>
      <c r="B1366" s="5" t="str">
        <f>"PLANTA DOMESTICA A BASE DE OZONO"</f>
        <v>PLANTA DOMESTICA A BASE DE OZONO</v>
      </c>
      <c r="C1366" s="6">
        <v>275000</v>
      </c>
      <c r="D1366" s="5" t="s">
        <v>177</v>
      </c>
      <c r="E1366" s="5" t="str">
        <f t="shared" si="66"/>
        <v>ACTISALUD -PEDIATRIA</v>
      </c>
      <c r="F1366" s="5"/>
      <c r="G1366" s="5"/>
    </row>
    <row r="1367" spans="1:7" ht="58.5" customHeight="1" x14ac:dyDescent="0.25">
      <c r="A1367" s="5" t="str">
        <f>"H0021469"</f>
        <v>H0021469</v>
      </c>
      <c r="B1367" s="5" t="str">
        <f>"DESFRIBILADOR"</f>
        <v>DESFRIBILADOR</v>
      </c>
      <c r="C1367" s="6">
        <v>16657600</v>
      </c>
      <c r="D1367" s="5" t="s">
        <v>178</v>
      </c>
      <c r="E1367" s="5" t="str">
        <f t="shared" si="66"/>
        <v>ACTISALUD -PEDIATRIA</v>
      </c>
      <c r="F1367" s="5"/>
      <c r="G1367" s="5"/>
    </row>
    <row r="1368" spans="1:7" ht="58.5" customHeight="1" x14ac:dyDescent="0.25">
      <c r="A1368" s="5" t="str">
        <f>"H0021497"</f>
        <v>H0021497</v>
      </c>
      <c r="B1368" s="5" t="str">
        <f>"CALENTADOR DE TETERO ELECTRICO Marca Dr. Brown"</f>
        <v>CALENTADOR DE TETERO ELECTRICO Marca Dr. Brown</v>
      </c>
      <c r="C1368" s="6">
        <v>274900</v>
      </c>
      <c r="D1368" s="5" t="s">
        <v>179</v>
      </c>
      <c r="E1368" s="5" t="str">
        <f t="shared" si="66"/>
        <v>ACTISALUD -PEDIATRIA</v>
      </c>
      <c r="F1368" s="5"/>
      <c r="G1368" s="5"/>
    </row>
    <row r="1369" spans="1:7" ht="58.5" customHeight="1" x14ac:dyDescent="0.25">
      <c r="A1369" s="5" t="str">
        <f>"H0021499"</f>
        <v>H0021499</v>
      </c>
      <c r="B1369" s="5" t="str">
        <f>"CALENTADOR DE TETERO ELECTRICO Marca Dr. Brown"</f>
        <v>CALENTADOR DE TETERO ELECTRICO Marca Dr. Brown</v>
      </c>
      <c r="C1369" s="6">
        <v>274900</v>
      </c>
      <c r="D1369" s="5" t="s">
        <v>179</v>
      </c>
      <c r="E1369" s="5" t="str">
        <f t="shared" si="66"/>
        <v>ACTISALUD -PEDIATRIA</v>
      </c>
      <c r="F1369" s="5"/>
      <c r="G1369" s="5"/>
    </row>
    <row r="1370" spans="1:7" ht="58.5" customHeight="1" x14ac:dyDescent="0.25">
      <c r="A1370" s="5" t="str">
        <f>"H0021880"</f>
        <v>H0021880</v>
      </c>
      <c r="B1370" s="5" t="str">
        <f>"CUBETA DE ACERO INOXIDABLE CON TAPA MEDIANA"</f>
        <v>CUBETA DE ACERO INOXIDABLE CON TAPA MEDIANA</v>
      </c>
      <c r="C1370" s="6">
        <v>4400</v>
      </c>
      <c r="D1370" s="5"/>
      <c r="E1370" s="5" t="str">
        <f t="shared" si="66"/>
        <v>ACTISALUD -PEDIATRIA</v>
      </c>
      <c r="F1370" s="5" t="str">
        <f>"Descripcion: CUBETA EN ACERO INOXIDABLE Estado: Bueno Placa anterior: 000024319 Material: ACERO INOXIDABLE Color: PLATEADO Referencia:  Observacion:  Placa padre: Tipo adquisicion: Entidad"</f>
        <v>Descripcion: CUBETA EN ACERO INOXIDABLE Estado: Bueno Placa anterior: 000024319 Material: ACERO INOXIDABLE Color: PLATEADO Referencia:  Observacion:  Placa padre: Tipo adquisicion: Entidad</v>
      </c>
      <c r="G1370" s="5"/>
    </row>
    <row r="1371" spans="1:7" ht="58.5" customHeight="1" x14ac:dyDescent="0.25">
      <c r="A1371" s="5" t="str">
        <f>"H0021883"</f>
        <v>H0021883</v>
      </c>
      <c r="B1371" s="5" t="str">
        <f>"CUBETA DE ACERO INOXIDABLE CON TAPA MEDIANA"</f>
        <v>CUBETA DE ACERO INOXIDABLE CON TAPA MEDIANA</v>
      </c>
      <c r="C1371" s="6">
        <v>5630.55</v>
      </c>
      <c r="D1371" s="5"/>
      <c r="E1371" s="5" t="str">
        <f t="shared" si="66"/>
        <v>ACTISALUD -PEDIATRIA</v>
      </c>
      <c r="F1371" s="5" t="str">
        <f>"Descripcion: CUBETA EN ACERO INOXIDABLE Estado: Bueno Placa anterior: 000007821 Material: ACERO INOXIDABLE Color: PLATEADO Referencia:  Observacion:  Placa padre: Tipo adquisicion: Entidad"</f>
        <v>Descripcion: CUBETA EN ACERO INOXIDABLE Estado: Bueno Placa anterior: 000007821 Material: ACERO INOXIDABLE Color: PLATEADO Referencia:  Observacion:  Placa padre: Tipo adquisicion: Entidad</v>
      </c>
      <c r="G1371" s="5"/>
    </row>
    <row r="1372" spans="1:7" ht="58.5" customHeight="1" x14ac:dyDescent="0.25">
      <c r="A1372" s="5" t="str">
        <f>"H0021884"</f>
        <v>H0021884</v>
      </c>
      <c r="B1372" s="5" t="str">
        <f>"CUBETA DE ACERO INOXIDABLE CON TAPA MEDIANA"</f>
        <v>CUBETA DE ACERO INOXIDABLE CON TAPA MEDIANA</v>
      </c>
      <c r="C1372" s="6">
        <v>29125.48</v>
      </c>
      <c r="D1372" s="5"/>
      <c r="E1372" s="5" t="str">
        <f t="shared" si="66"/>
        <v>ACTISALUD -PEDIATRIA</v>
      </c>
      <c r="F1372" s="5" t="str">
        <f>"Descripcion: CUBETA EN ACERO INOXIDABLE Estado: Bueno Placa anterior: 000018581 Material: ACERO INOXIDABLE Color: PLATEADO Referencia:  Observacion:  Placa padre: Tipo adquisicion: Entidad"</f>
        <v>Descripcion: CUBETA EN ACERO INOXIDABLE Estado: Bueno Placa anterior: 000018581 Material: ACERO INOXIDABLE Color: PLATEADO Referencia:  Observacion:  Placa padre: Tipo adquisicion: Entidad</v>
      </c>
      <c r="G1372" s="5"/>
    </row>
    <row r="1373" spans="1:7" ht="58.5" customHeight="1" x14ac:dyDescent="0.25">
      <c r="A1373" s="5" t="str">
        <f>"H0021889"</f>
        <v>H0021889</v>
      </c>
      <c r="B1373" s="5" t="str">
        <f>"RIÑONERA HOSPITALARIA EN ACERO INOXIDABLE"</f>
        <v>RIÑONERA HOSPITALARIA EN ACERO INOXIDABLE</v>
      </c>
      <c r="C1373" s="6">
        <v>7405.69</v>
      </c>
      <c r="D1373" s="5"/>
      <c r="E1373" s="5" t="str">
        <f t="shared" si="66"/>
        <v>ACTISALUD -PEDIATRIA</v>
      </c>
      <c r="F1373" s="5" t="str">
        <f>"Descripcion: RIÑONERA EN ACERO INOXIDABLE Estado: Bueno Placa anterior: 000018660 Material: ACERO INOXIDABLE Color: PLATEADO Referencia:  Observacion: FUNCIONARIO AUTORIZA SE CONCILIE CON PLACA  000018660 Placa padre: Tipo adquisicion: Entidad"</f>
        <v>Descripcion: RIÑONERA EN ACERO INOXIDABLE Estado: Bueno Placa anterior: 000018660 Material: ACERO INOXIDABLE Color: PLATEADO Referencia:  Observacion: FUNCIONARIO AUTORIZA SE CONCILIE CON PLACA  000018660 Placa padre: Tipo adquisicion: Entidad</v>
      </c>
      <c r="G1373" s="5"/>
    </row>
    <row r="1374" spans="1:7" ht="58.5" customHeight="1" x14ac:dyDescent="0.25">
      <c r="A1374" s="5" t="str">
        <f>"H0024257"</f>
        <v>H0024257</v>
      </c>
      <c r="B1374" s="5" t="str">
        <f t="shared" ref="B1374:B1380" si="67">"CAMA ELECTRICA ADULTOS"</f>
        <v>CAMA ELECTRICA ADULTOS</v>
      </c>
      <c r="C1374" s="6">
        <v>5746930</v>
      </c>
      <c r="D1374" s="5" t="s">
        <v>36</v>
      </c>
      <c r="E1374" s="5" t="str">
        <f t="shared" si="66"/>
        <v>ACTISALUD -PEDIATRIA</v>
      </c>
      <c r="F1374" s="5"/>
      <c r="G1374" s="5"/>
    </row>
    <row r="1375" spans="1:7" ht="58.5" customHeight="1" x14ac:dyDescent="0.25">
      <c r="A1375" s="5" t="str">
        <f>"H0024438"</f>
        <v>H0024438</v>
      </c>
      <c r="B1375" s="5" t="str">
        <f t="shared" si="67"/>
        <v>CAMA ELECTRICA ADULTOS</v>
      </c>
      <c r="C1375" s="6">
        <v>5746930</v>
      </c>
      <c r="D1375" s="5" t="s">
        <v>36</v>
      </c>
      <c r="E1375" s="5" t="str">
        <f t="shared" si="66"/>
        <v>ACTISALUD -PEDIATRIA</v>
      </c>
      <c r="F1375" s="5"/>
      <c r="G1375" s="5"/>
    </row>
    <row r="1376" spans="1:7" ht="58.5" customHeight="1" x14ac:dyDescent="0.25">
      <c r="A1376" s="5" t="str">
        <f>"H0024439"</f>
        <v>H0024439</v>
      </c>
      <c r="B1376" s="5" t="str">
        <f t="shared" si="67"/>
        <v>CAMA ELECTRICA ADULTOS</v>
      </c>
      <c r="C1376" s="6">
        <v>5746930</v>
      </c>
      <c r="D1376" s="5" t="s">
        <v>36</v>
      </c>
      <c r="E1376" s="5" t="str">
        <f t="shared" si="66"/>
        <v>ACTISALUD -PEDIATRIA</v>
      </c>
      <c r="F1376" s="5"/>
      <c r="G1376" s="5"/>
    </row>
    <row r="1377" spans="1:7" ht="58.5" customHeight="1" x14ac:dyDescent="0.25">
      <c r="A1377" s="5" t="str">
        <f>"H0024440"</f>
        <v>H0024440</v>
      </c>
      <c r="B1377" s="5" t="str">
        <f t="shared" si="67"/>
        <v>CAMA ELECTRICA ADULTOS</v>
      </c>
      <c r="C1377" s="6">
        <v>5746930</v>
      </c>
      <c r="D1377" s="5" t="s">
        <v>36</v>
      </c>
      <c r="E1377" s="5" t="str">
        <f t="shared" si="66"/>
        <v>ACTISALUD -PEDIATRIA</v>
      </c>
      <c r="F1377" s="5"/>
      <c r="G1377" s="5"/>
    </row>
    <row r="1378" spans="1:7" ht="58.5" customHeight="1" x14ac:dyDescent="0.25">
      <c r="A1378" s="5" t="str">
        <f>"H0024441"</f>
        <v>H0024441</v>
      </c>
      <c r="B1378" s="5" t="str">
        <f t="shared" si="67"/>
        <v>CAMA ELECTRICA ADULTOS</v>
      </c>
      <c r="C1378" s="6">
        <v>5746930</v>
      </c>
      <c r="D1378" s="5" t="s">
        <v>36</v>
      </c>
      <c r="E1378" s="5" t="str">
        <f t="shared" si="66"/>
        <v>ACTISALUD -PEDIATRIA</v>
      </c>
      <c r="F1378" s="5"/>
      <c r="G1378" s="5"/>
    </row>
    <row r="1379" spans="1:7" ht="58.5" customHeight="1" x14ac:dyDescent="0.25">
      <c r="A1379" s="5" t="str">
        <f>"H0024442"</f>
        <v>H0024442</v>
      </c>
      <c r="B1379" s="5" t="str">
        <f t="shared" si="67"/>
        <v>CAMA ELECTRICA ADULTOS</v>
      </c>
      <c r="C1379" s="6">
        <v>5746930</v>
      </c>
      <c r="D1379" s="5" t="s">
        <v>36</v>
      </c>
      <c r="E1379" s="5" t="str">
        <f t="shared" si="66"/>
        <v>ACTISALUD -PEDIATRIA</v>
      </c>
      <c r="F1379" s="5"/>
      <c r="G1379" s="5"/>
    </row>
    <row r="1380" spans="1:7" ht="58.5" customHeight="1" x14ac:dyDescent="0.25">
      <c r="A1380" s="5" t="str">
        <f>"H0024443"</f>
        <v>H0024443</v>
      </c>
      <c r="B1380" s="5" t="str">
        <f t="shared" si="67"/>
        <v>CAMA ELECTRICA ADULTOS</v>
      </c>
      <c r="C1380" s="6">
        <v>5746930</v>
      </c>
      <c r="D1380" s="5" t="s">
        <v>36</v>
      </c>
      <c r="E1380" s="5" t="str">
        <f t="shared" si="66"/>
        <v>ACTISALUD -PEDIATRIA</v>
      </c>
      <c r="F1380" s="5"/>
      <c r="G1380" s="5"/>
    </row>
    <row r="1381" spans="1:7" ht="58.5" customHeight="1" x14ac:dyDescent="0.25">
      <c r="A1381" s="5" t="str">
        <f>"H0024444"</f>
        <v>H0024444</v>
      </c>
      <c r="B1381" s="5" t="str">
        <f t="shared" ref="B1381:B1391" si="68">"CUNA PEDIATRICA TAMAÑO JUNIOR"</f>
        <v>CUNA PEDIATRICA TAMAÑO JUNIOR</v>
      </c>
      <c r="C1381" s="6">
        <v>6685196</v>
      </c>
      <c r="D1381" s="5" t="s">
        <v>36</v>
      </c>
      <c r="E1381" s="5" t="str">
        <f t="shared" si="66"/>
        <v>ACTISALUD -PEDIATRIA</v>
      </c>
      <c r="F1381" s="5"/>
      <c r="G1381" s="5"/>
    </row>
    <row r="1382" spans="1:7" ht="58.5" customHeight="1" x14ac:dyDescent="0.25">
      <c r="A1382" s="5" t="str">
        <f>"H0024445"</f>
        <v>H0024445</v>
      </c>
      <c r="B1382" s="5" t="str">
        <f t="shared" si="68"/>
        <v>CUNA PEDIATRICA TAMAÑO JUNIOR</v>
      </c>
      <c r="C1382" s="6">
        <v>6685196</v>
      </c>
      <c r="D1382" s="5" t="s">
        <v>36</v>
      </c>
      <c r="E1382" s="5" t="str">
        <f t="shared" si="66"/>
        <v>ACTISALUD -PEDIATRIA</v>
      </c>
      <c r="F1382" s="5"/>
      <c r="G1382" s="5"/>
    </row>
    <row r="1383" spans="1:7" ht="58.5" customHeight="1" x14ac:dyDescent="0.25">
      <c r="A1383" s="5" t="str">
        <f>"H0024446"</f>
        <v>H0024446</v>
      </c>
      <c r="B1383" s="5" t="str">
        <f t="shared" si="68"/>
        <v>CUNA PEDIATRICA TAMAÑO JUNIOR</v>
      </c>
      <c r="C1383" s="6">
        <v>6685196</v>
      </c>
      <c r="D1383" s="5" t="s">
        <v>36</v>
      </c>
      <c r="E1383" s="5" t="str">
        <f t="shared" si="66"/>
        <v>ACTISALUD -PEDIATRIA</v>
      </c>
      <c r="F1383" s="5"/>
      <c r="G1383" s="5"/>
    </row>
    <row r="1384" spans="1:7" ht="58.5" customHeight="1" x14ac:dyDescent="0.25">
      <c r="A1384" s="5" t="str">
        <f>"H0024447"</f>
        <v>H0024447</v>
      </c>
      <c r="B1384" s="5" t="str">
        <f t="shared" si="68"/>
        <v>CUNA PEDIATRICA TAMAÑO JUNIOR</v>
      </c>
      <c r="C1384" s="6">
        <v>6685196</v>
      </c>
      <c r="D1384" s="5" t="s">
        <v>36</v>
      </c>
      <c r="E1384" s="5" t="str">
        <f t="shared" si="66"/>
        <v>ACTISALUD -PEDIATRIA</v>
      </c>
      <c r="F1384" s="5"/>
      <c r="G1384" s="5"/>
    </row>
    <row r="1385" spans="1:7" ht="58.5" customHeight="1" x14ac:dyDescent="0.25">
      <c r="A1385" s="5" t="str">
        <f>"H0024448"</f>
        <v>H0024448</v>
      </c>
      <c r="B1385" s="5" t="str">
        <f t="shared" si="68"/>
        <v>CUNA PEDIATRICA TAMAÑO JUNIOR</v>
      </c>
      <c r="C1385" s="6">
        <v>6685196</v>
      </c>
      <c r="D1385" s="5" t="s">
        <v>36</v>
      </c>
      <c r="E1385" s="5" t="str">
        <f t="shared" si="66"/>
        <v>ACTISALUD -PEDIATRIA</v>
      </c>
      <c r="F1385" s="5"/>
      <c r="G1385" s="5"/>
    </row>
    <row r="1386" spans="1:7" ht="58.5" customHeight="1" x14ac:dyDescent="0.25">
      <c r="A1386" s="5" t="str">
        <f>"H0024449"</f>
        <v>H0024449</v>
      </c>
      <c r="B1386" s="5" t="str">
        <f t="shared" si="68"/>
        <v>CUNA PEDIATRICA TAMAÑO JUNIOR</v>
      </c>
      <c r="C1386" s="6">
        <v>6685196</v>
      </c>
      <c r="D1386" s="5" t="s">
        <v>36</v>
      </c>
      <c r="E1386" s="5" t="str">
        <f t="shared" si="66"/>
        <v>ACTISALUD -PEDIATRIA</v>
      </c>
      <c r="F1386" s="5"/>
      <c r="G1386" s="5"/>
    </row>
    <row r="1387" spans="1:7" ht="58.5" customHeight="1" x14ac:dyDescent="0.25">
      <c r="A1387" s="5" t="str">
        <f>"H0024450"</f>
        <v>H0024450</v>
      </c>
      <c r="B1387" s="5" t="str">
        <f t="shared" si="68"/>
        <v>CUNA PEDIATRICA TAMAÑO JUNIOR</v>
      </c>
      <c r="C1387" s="6">
        <v>6685196</v>
      </c>
      <c r="D1387" s="5" t="s">
        <v>36</v>
      </c>
      <c r="E1387" s="5" t="str">
        <f t="shared" si="66"/>
        <v>ACTISALUD -PEDIATRIA</v>
      </c>
      <c r="F1387" s="5"/>
      <c r="G1387" s="5"/>
    </row>
    <row r="1388" spans="1:7" ht="58.5" customHeight="1" x14ac:dyDescent="0.25">
      <c r="A1388" s="5" t="str">
        <f>"H0024457"</f>
        <v>H0024457</v>
      </c>
      <c r="B1388" s="5" t="str">
        <f t="shared" si="68"/>
        <v>CUNA PEDIATRICA TAMAÑO JUNIOR</v>
      </c>
      <c r="C1388" s="6">
        <v>6685196</v>
      </c>
      <c r="D1388" s="5" t="s">
        <v>36</v>
      </c>
      <c r="E1388" s="5" t="str">
        <f t="shared" si="66"/>
        <v>ACTISALUD -PEDIATRIA</v>
      </c>
      <c r="F1388" s="5"/>
      <c r="G1388" s="5"/>
    </row>
    <row r="1389" spans="1:7" ht="58.5" customHeight="1" x14ac:dyDescent="0.25">
      <c r="A1389" s="5" t="str">
        <f>"H0024458"</f>
        <v>H0024458</v>
      </c>
      <c r="B1389" s="5" t="str">
        <f t="shared" si="68"/>
        <v>CUNA PEDIATRICA TAMAÑO JUNIOR</v>
      </c>
      <c r="C1389" s="6">
        <v>6685196</v>
      </c>
      <c r="D1389" s="5" t="s">
        <v>36</v>
      </c>
      <c r="E1389" s="5" t="str">
        <f t="shared" si="66"/>
        <v>ACTISALUD -PEDIATRIA</v>
      </c>
      <c r="F1389" s="5"/>
      <c r="G1389" s="5"/>
    </row>
    <row r="1390" spans="1:7" ht="58.5" customHeight="1" x14ac:dyDescent="0.25">
      <c r="A1390" s="5" t="str">
        <f>"H0024459"</f>
        <v>H0024459</v>
      </c>
      <c r="B1390" s="5" t="str">
        <f t="shared" si="68"/>
        <v>CUNA PEDIATRICA TAMAÑO JUNIOR</v>
      </c>
      <c r="C1390" s="6">
        <v>6685196</v>
      </c>
      <c r="D1390" s="5" t="s">
        <v>36</v>
      </c>
      <c r="E1390" s="5" t="str">
        <f t="shared" si="66"/>
        <v>ACTISALUD -PEDIATRIA</v>
      </c>
      <c r="F1390" s="5"/>
      <c r="G1390" s="5"/>
    </row>
    <row r="1391" spans="1:7" ht="58.5" customHeight="1" x14ac:dyDescent="0.25">
      <c r="A1391" s="5" t="str">
        <f>"H0024460"</f>
        <v>H0024460</v>
      </c>
      <c r="B1391" s="5" t="str">
        <f t="shared" si="68"/>
        <v>CUNA PEDIATRICA TAMAÑO JUNIOR</v>
      </c>
      <c r="C1391" s="6">
        <v>6685196</v>
      </c>
      <c r="D1391" s="5" t="s">
        <v>36</v>
      </c>
      <c r="E1391" s="5" t="str">
        <f t="shared" si="66"/>
        <v>ACTISALUD -PEDIATRIA</v>
      </c>
      <c r="F1391" s="5"/>
      <c r="G1391" s="5"/>
    </row>
    <row r="1392" spans="1:7" ht="58.5" customHeight="1" x14ac:dyDescent="0.25">
      <c r="A1392" s="5" t="str">
        <f>"H0024526"</f>
        <v>H0024526</v>
      </c>
      <c r="B139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92" s="6">
        <v>2600000</v>
      </c>
      <c r="D1392" s="5" t="s">
        <v>36</v>
      </c>
      <c r="E1392" s="5" t="str">
        <f t="shared" ref="E1392:E1455" si="69">"ACTISALUD -PEDIATRIA"</f>
        <v>ACTISALUD -PEDIATRIA</v>
      </c>
      <c r="F1392" s="5"/>
      <c r="G1392" s="5"/>
    </row>
    <row r="1393" spans="1:7" ht="58.5" customHeight="1" x14ac:dyDescent="0.25">
      <c r="A1393" s="5" t="str">
        <f>"H0024616"</f>
        <v>H0024616</v>
      </c>
      <c r="B1393"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1393" s="6">
        <v>2050000</v>
      </c>
      <c r="D1393" s="5" t="s">
        <v>36</v>
      </c>
      <c r="E1393" s="5" t="str">
        <f t="shared" si="69"/>
        <v>ACTISALUD -PEDIATRIA</v>
      </c>
      <c r="F1393" s="5"/>
      <c r="G1393" s="5"/>
    </row>
    <row r="1394" spans="1:7" ht="58.5" customHeight="1" x14ac:dyDescent="0.25">
      <c r="A1394" s="5" t="str">
        <f>"H0025035"</f>
        <v>H0025035</v>
      </c>
      <c r="B1394" s="5" t="str">
        <f>"BALANZA DIGITAL PEDIATRICA PLATON 522 KL HELAT"</f>
        <v>BALANZA DIGITAL PEDIATRICA PLATON 522 KL HELAT</v>
      </c>
      <c r="C1394" s="6">
        <v>1044725</v>
      </c>
      <c r="D1394" s="5" t="s">
        <v>10</v>
      </c>
      <c r="E1394" s="5" t="str">
        <f t="shared" si="69"/>
        <v>ACTISALUD -PEDIATRIA</v>
      </c>
      <c r="F1394" s="5"/>
      <c r="G1394" s="5"/>
    </row>
    <row r="1395" spans="1:7" ht="58.5" customHeight="1" x14ac:dyDescent="0.25">
      <c r="A1395" s="5" t="str">
        <f>"H0025357"</f>
        <v>H0025357</v>
      </c>
      <c r="B139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5" s="6">
        <v>312156</v>
      </c>
      <c r="D1395" s="5" t="s">
        <v>10</v>
      </c>
      <c r="E1395" s="5" t="str">
        <f t="shared" si="69"/>
        <v>ACTISALUD -PEDIATRIA</v>
      </c>
      <c r="F1395" s="5"/>
      <c r="G1395" s="5"/>
    </row>
    <row r="1396" spans="1:7" ht="58.5" customHeight="1" x14ac:dyDescent="0.25">
      <c r="A1396" s="5" t="str">
        <f>"H0025419"</f>
        <v>H0025419</v>
      </c>
      <c r="B139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6" s="6">
        <v>312156</v>
      </c>
      <c r="D1396" s="5" t="s">
        <v>10</v>
      </c>
      <c r="E1396" s="5" t="str">
        <f t="shared" si="69"/>
        <v>ACTISALUD -PEDIATRIA</v>
      </c>
      <c r="F1396" s="5"/>
      <c r="G1396" s="5"/>
    </row>
    <row r="1397" spans="1:7" ht="58.5" customHeight="1" x14ac:dyDescent="0.25">
      <c r="A1397" s="5" t="str">
        <f>"H0025427"</f>
        <v>H0025427</v>
      </c>
      <c r="B139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7" s="6">
        <v>312156</v>
      </c>
      <c r="D1397" s="5" t="s">
        <v>10</v>
      </c>
      <c r="E1397" s="5" t="str">
        <f t="shared" si="69"/>
        <v>ACTISALUD -PEDIATRIA</v>
      </c>
      <c r="F1397" s="5"/>
      <c r="G1397" s="5"/>
    </row>
    <row r="1398" spans="1:7" ht="58.5" customHeight="1" x14ac:dyDescent="0.25">
      <c r="A1398" s="5" t="str">
        <f>"H0025576"</f>
        <v>H0025576</v>
      </c>
      <c r="B1398" s="5" t="str">
        <f>"CAMARA DE HOOD PEQUENA"</f>
        <v>CAMARA DE HOOD PEQUENA</v>
      </c>
      <c r="C1398" s="6">
        <v>131699.67000000001</v>
      </c>
      <c r="D1398" s="5" t="s">
        <v>180</v>
      </c>
      <c r="E1398" s="5" t="str">
        <f t="shared" si="69"/>
        <v>ACTISALUD -PEDIATRIA</v>
      </c>
      <c r="F1398" s="5"/>
      <c r="G1398" s="5"/>
    </row>
    <row r="1399" spans="1:7" ht="58.5" customHeight="1" x14ac:dyDescent="0.25">
      <c r="A1399" s="5" t="str">
        <f>"H0025577"</f>
        <v>H0025577</v>
      </c>
      <c r="B1399" s="5" t="str">
        <f>"CAMARA DE HOOD PEQUENA"</f>
        <v>CAMARA DE HOOD PEQUENA</v>
      </c>
      <c r="C1399" s="6">
        <v>131699.67000000001</v>
      </c>
      <c r="D1399" s="5" t="s">
        <v>180</v>
      </c>
      <c r="E1399" s="5" t="str">
        <f t="shared" si="69"/>
        <v>ACTISALUD -PEDIATRIA</v>
      </c>
      <c r="F1399" s="5"/>
      <c r="G1399" s="5"/>
    </row>
    <row r="1400" spans="1:7" ht="58.5" customHeight="1" x14ac:dyDescent="0.25">
      <c r="A1400" s="5" t="str">
        <f>"H0025578"</f>
        <v>H0025578</v>
      </c>
      <c r="B1400" s="5" t="str">
        <f>"CAMARA DE HOOD PEQUENA"</f>
        <v>CAMARA DE HOOD PEQUENA</v>
      </c>
      <c r="C1400" s="6">
        <v>131699.67000000001</v>
      </c>
      <c r="D1400" s="5" t="s">
        <v>180</v>
      </c>
      <c r="E1400" s="5" t="str">
        <f t="shared" si="69"/>
        <v>ACTISALUD -PEDIATRIA</v>
      </c>
      <c r="F1400" s="5"/>
      <c r="G1400" s="5"/>
    </row>
    <row r="1401" spans="1:7" ht="58.5" customHeight="1" x14ac:dyDescent="0.25">
      <c r="A1401" s="5" t="str">
        <f>"H0025579"</f>
        <v>H0025579</v>
      </c>
      <c r="B1401" s="5" t="str">
        <f>"CAMARA DE HOOD PEQUENA"</f>
        <v>CAMARA DE HOOD PEQUENA</v>
      </c>
      <c r="C1401" s="6">
        <v>131699.67000000001</v>
      </c>
      <c r="D1401" s="5" t="s">
        <v>180</v>
      </c>
      <c r="E1401" s="5" t="str">
        <f t="shared" si="69"/>
        <v>ACTISALUD -PEDIATRIA</v>
      </c>
      <c r="F1401" s="5"/>
      <c r="G1401" s="5"/>
    </row>
    <row r="1402" spans="1:7" ht="58.5" customHeight="1" x14ac:dyDescent="0.25">
      <c r="A1402" s="5" t="str">
        <f>"H0025587"</f>
        <v>H0025587</v>
      </c>
      <c r="B1402" s="5" t="str">
        <f>"CAMARA DE HOOD MEDIANA"</f>
        <v>CAMARA DE HOOD MEDIANA</v>
      </c>
      <c r="C1402" s="6">
        <v>212902.91</v>
      </c>
      <c r="D1402" s="5" t="s">
        <v>180</v>
      </c>
      <c r="E1402" s="5" t="str">
        <f t="shared" si="69"/>
        <v>ACTISALUD -PEDIATRIA</v>
      </c>
      <c r="F1402" s="5"/>
      <c r="G1402" s="5"/>
    </row>
    <row r="1403" spans="1:7" ht="58.5" customHeight="1" x14ac:dyDescent="0.25">
      <c r="A1403" s="5" t="str">
        <f>"H0025588"</f>
        <v>H0025588</v>
      </c>
      <c r="B1403" s="5" t="str">
        <f>"CAMARA DE HOOD MEDIANA"</f>
        <v>CAMARA DE HOOD MEDIANA</v>
      </c>
      <c r="C1403" s="6">
        <v>212902.91</v>
      </c>
      <c r="D1403" s="5" t="s">
        <v>180</v>
      </c>
      <c r="E1403" s="5" t="str">
        <f t="shared" si="69"/>
        <v>ACTISALUD -PEDIATRIA</v>
      </c>
      <c r="F1403" s="5"/>
      <c r="G1403" s="5"/>
    </row>
    <row r="1404" spans="1:7" ht="58.5" customHeight="1" x14ac:dyDescent="0.25">
      <c r="A1404" s="5" t="str">
        <f>"H0025589"</f>
        <v>H0025589</v>
      </c>
      <c r="B1404" s="5" t="str">
        <f>"CAMARA DE HOOD MEDIANA"</f>
        <v>CAMARA DE HOOD MEDIANA</v>
      </c>
      <c r="C1404" s="6">
        <v>212902.91</v>
      </c>
      <c r="D1404" s="5" t="s">
        <v>180</v>
      </c>
      <c r="E1404" s="5" t="str">
        <f t="shared" si="69"/>
        <v>ACTISALUD -PEDIATRIA</v>
      </c>
      <c r="F1404" s="5"/>
      <c r="G1404" s="5"/>
    </row>
    <row r="1405" spans="1:7" ht="58.5" customHeight="1" x14ac:dyDescent="0.25">
      <c r="A1405" s="5" t="str">
        <f>"H0025590"</f>
        <v>H0025590</v>
      </c>
      <c r="B1405" s="5" t="str">
        <f>"CAMARA DE HOOD MEDIANA"</f>
        <v>CAMARA DE HOOD MEDIANA</v>
      </c>
      <c r="C1405" s="6">
        <v>212902.91</v>
      </c>
      <c r="D1405" s="5" t="s">
        <v>180</v>
      </c>
      <c r="E1405" s="5" t="str">
        <f t="shared" si="69"/>
        <v>ACTISALUD -PEDIATRIA</v>
      </c>
      <c r="F1405" s="5"/>
      <c r="G1405" s="5"/>
    </row>
    <row r="1406" spans="1:7" ht="58.5" customHeight="1" x14ac:dyDescent="0.25">
      <c r="A1406" s="5" t="str">
        <f>"H0025594"</f>
        <v>H0025594</v>
      </c>
      <c r="B1406" s="5" t="str">
        <f>"CAMARA DE HOOD GRANDE"</f>
        <v>CAMARA DE HOOD GRANDE</v>
      </c>
      <c r="C1406" s="6">
        <v>303795</v>
      </c>
      <c r="D1406" s="5" t="s">
        <v>180</v>
      </c>
      <c r="E1406" s="5" t="str">
        <f t="shared" si="69"/>
        <v>ACTISALUD -PEDIATRIA</v>
      </c>
      <c r="F1406" s="5"/>
      <c r="G1406" s="5"/>
    </row>
    <row r="1407" spans="1:7" ht="58.5" customHeight="1" x14ac:dyDescent="0.25">
      <c r="A1407" s="5" t="str">
        <f>"H0025678"</f>
        <v>H0025678</v>
      </c>
      <c r="B1407" s="5" t="str">
        <f>"T.V 32' LED MARCA CHALLENGER"</f>
        <v>T.V 32' LED MARCA CHALLENGER</v>
      </c>
      <c r="C1407" s="6">
        <v>675800</v>
      </c>
      <c r="D1407" s="5" t="s">
        <v>72</v>
      </c>
      <c r="E1407" s="5" t="str">
        <f t="shared" si="69"/>
        <v>ACTISALUD -PEDIATRIA</v>
      </c>
      <c r="F1407" s="5"/>
      <c r="G1407" s="5"/>
    </row>
    <row r="1408" spans="1:7" ht="58.5" customHeight="1" x14ac:dyDescent="0.25">
      <c r="A1408" s="5" t="str">
        <f>"H0025679"</f>
        <v>H0025679</v>
      </c>
      <c r="B1408" s="5" t="str">
        <f>"T.V 32' LED MARCA CHALLENGER"</f>
        <v>T.V 32' LED MARCA CHALLENGER</v>
      </c>
      <c r="C1408" s="6">
        <v>675800</v>
      </c>
      <c r="D1408" s="5" t="s">
        <v>72</v>
      </c>
      <c r="E1408" s="5" t="str">
        <f t="shared" si="69"/>
        <v>ACTISALUD -PEDIATRIA</v>
      </c>
      <c r="F1408" s="5"/>
      <c r="G1408" s="5"/>
    </row>
    <row r="1409" spans="1:7" ht="58.5" customHeight="1" x14ac:dyDescent="0.25">
      <c r="A1409" s="5" t="str">
        <f>"H0025738"</f>
        <v>H0025738</v>
      </c>
      <c r="B1409" s="5" t="str">
        <f>"TELEVISOR LED 102 cms FULL HD"</f>
        <v>TELEVISOR LED 102 cms FULL HD</v>
      </c>
      <c r="C1409" s="6">
        <v>899900</v>
      </c>
      <c r="D1409" s="5" t="s">
        <v>181</v>
      </c>
      <c r="E1409" s="5" t="str">
        <f t="shared" si="69"/>
        <v>ACTISALUD -PEDIATRIA</v>
      </c>
      <c r="F1409" s="5"/>
      <c r="G1409" s="5" t="str">
        <f>"18.8401520"</f>
        <v>18.8401520</v>
      </c>
    </row>
    <row r="1410" spans="1:7" ht="58.5" customHeight="1" x14ac:dyDescent="0.25">
      <c r="A1410" s="5" t="str">
        <f>"H0025924"</f>
        <v>H0025924</v>
      </c>
      <c r="B1410" s="5" t="str">
        <f>"SOFA  TIPO  L CON DOBLE ESPALDAR FORRADO EN CUERINA PURA (REVISTERO GIRATORIO REDONDO,  MESA DE CENTRO"</f>
        <v>SOFA  TIPO  L CON DOBLE ESPALDAR FORRADO EN CUERINA PURA (REVISTERO GIRATORIO REDONDO,  MESA DE CENTRO</v>
      </c>
      <c r="C1410" s="6">
        <v>5500000</v>
      </c>
      <c r="D1410" s="5" t="s">
        <v>182</v>
      </c>
      <c r="E1410" s="5" t="str">
        <f t="shared" si="69"/>
        <v>ACTISALUD -PEDIATRIA</v>
      </c>
      <c r="F1410" s="5"/>
      <c r="G1410" s="5"/>
    </row>
    <row r="1411" spans="1:7" ht="58.5" customHeight="1" x14ac:dyDescent="0.25">
      <c r="A1411" s="5" t="str">
        <f>"H0025958"</f>
        <v>H0025958</v>
      </c>
      <c r="B1411" s="5" t="s">
        <v>184</v>
      </c>
      <c r="C1411" s="6">
        <v>549900</v>
      </c>
      <c r="D1411" s="5" t="s">
        <v>183</v>
      </c>
      <c r="E1411" s="5" t="str">
        <f t="shared" si="69"/>
        <v>ACTISALUD -PEDIATRIA</v>
      </c>
      <c r="F1411" s="5"/>
      <c r="G1411" s="5"/>
    </row>
    <row r="1412" spans="1:7" ht="58.5" customHeight="1" x14ac:dyDescent="0.25">
      <c r="A1412" s="5" t="str">
        <f>"H0025982"</f>
        <v>H0025982</v>
      </c>
      <c r="B1412" s="5" t="str">
        <f>"SILLA DE RUEDAS"</f>
        <v>SILLA DE RUEDAS</v>
      </c>
      <c r="C1412" s="6">
        <v>280000</v>
      </c>
      <c r="D1412" s="5" t="s">
        <v>77</v>
      </c>
      <c r="E1412" s="5" t="str">
        <f t="shared" si="69"/>
        <v>ACTISALUD -PEDIATRIA</v>
      </c>
      <c r="F1412" s="5"/>
      <c r="G1412" s="5"/>
    </row>
    <row r="1413" spans="1:7" ht="58.5" customHeight="1" x14ac:dyDescent="0.25">
      <c r="A1413" s="5" t="str">
        <f>"H0026749"</f>
        <v>H0026749</v>
      </c>
      <c r="B1413" s="5" t="str">
        <f>"LAMPARA DE PASILLO DE LLAMADO DE ENFERMERIA"</f>
        <v>LAMPARA DE PASILLO DE LLAMADO DE ENFERMERIA</v>
      </c>
      <c r="C1413" s="6">
        <v>523510.75</v>
      </c>
      <c r="D1413" s="5" t="s">
        <v>78</v>
      </c>
      <c r="E1413" s="5" t="str">
        <f t="shared" si="69"/>
        <v>ACTISALUD -PEDIATRIA</v>
      </c>
      <c r="F1413" s="5"/>
      <c r="G1413" s="5"/>
    </row>
    <row r="1414" spans="1:7" ht="58.5" customHeight="1" x14ac:dyDescent="0.25">
      <c r="A1414" s="5" t="str">
        <f>"H0026750"</f>
        <v>H0026750</v>
      </c>
      <c r="B1414" s="5" t="str">
        <f>"LAMPARA DE PASILLO DE LLAMADO DE ENFERMERIA"</f>
        <v>LAMPARA DE PASILLO DE LLAMADO DE ENFERMERIA</v>
      </c>
      <c r="C1414" s="6">
        <v>523510.75</v>
      </c>
      <c r="D1414" s="5" t="s">
        <v>78</v>
      </c>
      <c r="E1414" s="5" t="str">
        <f t="shared" si="69"/>
        <v>ACTISALUD -PEDIATRIA</v>
      </c>
      <c r="F1414" s="5"/>
      <c r="G1414" s="5"/>
    </row>
    <row r="1415" spans="1:7" ht="58.5" customHeight="1" x14ac:dyDescent="0.25">
      <c r="A1415" s="5" t="str">
        <f>"H0026751"</f>
        <v>H0026751</v>
      </c>
      <c r="B1415" s="5" t="str">
        <f>"LAMPARA DE PASILLO DE LLAMADO DE ENFERMERIA"</f>
        <v>LAMPARA DE PASILLO DE LLAMADO DE ENFERMERIA</v>
      </c>
      <c r="C1415" s="6">
        <v>523510.75</v>
      </c>
      <c r="D1415" s="5" t="s">
        <v>78</v>
      </c>
      <c r="E1415" s="5" t="str">
        <f t="shared" si="69"/>
        <v>ACTISALUD -PEDIATRIA</v>
      </c>
      <c r="F1415" s="5"/>
      <c r="G1415" s="5"/>
    </row>
    <row r="1416" spans="1:7" ht="58.5" customHeight="1" x14ac:dyDescent="0.25">
      <c r="A1416" s="5" t="str">
        <f>"H0026752"</f>
        <v>H0026752</v>
      </c>
      <c r="B1416" s="5" t="str">
        <f>"LAMPARA DE PASILLO DE LLAMADO DE ENFERMERIA"</f>
        <v>LAMPARA DE PASILLO DE LLAMADO DE ENFERMERIA</v>
      </c>
      <c r="C1416" s="6">
        <v>523510.75</v>
      </c>
      <c r="D1416" s="5" t="s">
        <v>78</v>
      </c>
      <c r="E1416" s="5" t="str">
        <f t="shared" si="69"/>
        <v>ACTISALUD -PEDIATRIA</v>
      </c>
      <c r="F1416" s="5"/>
      <c r="G1416" s="5"/>
    </row>
    <row r="1417" spans="1:7" ht="58.5" customHeight="1" x14ac:dyDescent="0.25">
      <c r="A1417" s="5" t="str">
        <f>"H0026753"</f>
        <v>H0026753</v>
      </c>
      <c r="B1417" s="5" t="str">
        <f>"LAMPARA DE PASILLO DE LLAMADO DE ENFERMERIA"</f>
        <v>LAMPARA DE PASILLO DE LLAMADO DE ENFERMERIA</v>
      </c>
      <c r="C1417" s="6">
        <v>523510.75</v>
      </c>
      <c r="D1417" s="5" t="s">
        <v>78</v>
      </c>
      <c r="E1417" s="5" t="str">
        <f t="shared" si="69"/>
        <v>ACTISALUD -PEDIATRIA</v>
      </c>
      <c r="F1417" s="5"/>
      <c r="G1417" s="5"/>
    </row>
    <row r="1418" spans="1:7" ht="58.5" customHeight="1" x14ac:dyDescent="0.25">
      <c r="A1418" s="5" t="str">
        <f>"H0026766"</f>
        <v>H0026766</v>
      </c>
      <c r="B1418" s="5" t="str">
        <f>"PANTALLA LLAMADO DE ENFERMERAS 2 FILAS (PANTALLA LED 40X20 cm)"</f>
        <v>PANTALLA LLAMADO DE ENFERMERAS 2 FILAS (PANTALLA LED 40X20 cm)</v>
      </c>
      <c r="C1418" s="6">
        <v>3965980.8</v>
      </c>
      <c r="D1418" s="5" t="s">
        <v>78</v>
      </c>
      <c r="E1418" s="5" t="str">
        <f t="shared" si="69"/>
        <v>ACTISALUD -PEDIATRIA</v>
      </c>
      <c r="F1418" s="5"/>
      <c r="G1418" s="5"/>
    </row>
    <row r="1419" spans="1:7" ht="58.5" customHeight="1" x14ac:dyDescent="0.25">
      <c r="A1419" s="5" t="str">
        <f>"H0026883"</f>
        <v>H0026883</v>
      </c>
      <c r="B1419" s="5" t="str">
        <f t="shared" ref="B1419:B1430" si="70">"BOMBA DE INFUSION"</f>
        <v>BOMBA DE INFUSION</v>
      </c>
      <c r="C1419" s="6">
        <v>800000</v>
      </c>
      <c r="D1419" s="5" t="s">
        <v>79</v>
      </c>
      <c r="E1419" s="5" t="str">
        <f t="shared" si="69"/>
        <v>ACTISALUD -PEDIATRIA</v>
      </c>
      <c r="F1419" s="5"/>
      <c r="G1419" s="5"/>
    </row>
    <row r="1420" spans="1:7" ht="58.5" customHeight="1" x14ac:dyDescent="0.25">
      <c r="A1420" s="5" t="str">
        <f>"H0026886"</f>
        <v>H0026886</v>
      </c>
      <c r="B1420" s="5" t="str">
        <f t="shared" si="70"/>
        <v>BOMBA DE INFUSION</v>
      </c>
      <c r="C1420" s="6">
        <v>800000</v>
      </c>
      <c r="D1420" s="5" t="s">
        <v>79</v>
      </c>
      <c r="E1420" s="5" t="str">
        <f t="shared" si="69"/>
        <v>ACTISALUD -PEDIATRIA</v>
      </c>
      <c r="F1420" s="5"/>
      <c r="G1420" s="5"/>
    </row>
    <row r="1421" spans="1:7" ht="58.5" customHeight="1" x14ac:dyDescent="0.25">
      <c r="A1421" s="5" t="str">
        <f>"H0026894"</f>
        <v>H0026894</v>
      </c>
      <c r="B1421" s="5" t="str">
        <f t="shared" si="70"/>
        <v>BOMBA DE INFUSION</v>
      </c>
      <c r="C1421" s="6">
        <v>800000</v>
      </c>
      <c r="D1421" s="5" t="s">
        <v>79</v>
      </c>
      <c r="E1421" s="5" t="str">
        <f t="shared" si="69"/>
        <v>ACTISALUD -PEDIATRIA</v>
      </c>
      <c r="F1421" s="5"/>
      <c r="G1421" s="5"/>
    </row>
    <row r="1422" spans="1:7" ht="58.5" customHeight="1" x14ac:dyDescent="0.25">
      <c r="A1422" s="5" t="str">
        <f>"H0026896"</f>
        <v>H0026896</v>
      </c>
      <c r="B1422" s="5" t="str">
        <f t="shared" si="70"/>
        <v>BOMBA DE INFUSION</v>
      </c>
      <c r="C1422" s="6">
        <v>800000</v>
      </c>
      <c r="D1422" s="5" t="s">
        <v>79</v>
      </c>
      <c r="E1422" s="5" t="str">
        <f t="shared" si="69"/>
        <v>ACTISALUD -PEDIATRIA</v>
      </c>
      <c r="F1422" s="5"/>
      <c r="G1422" s="5"/>
    </row>
    <row r="1423" spans="1:7" ht="58.5" customHeight="1" x14ac:dyDescent="0.25">
      <c r="A1423" s="5" t="str">
        <f>"H0026897"</f>
        <v>H0026897</v>
      </c>
      <c r="B1423" s="5" t="str">
        <f t="shared" si="70"/>
        <v>BOMBA DE INFUSION</v>
      </c>
      <c r="C1423" s="6">
        <v>800000</v>
      </c>
      <c r="D1423" s="5" t="s">
        <v>79</v>
      </c>
      <c r="E1423" s="5" t="str">
        <f t="shared" si="69"/>
        <v>ACTISALUD -PEDIATRIA</v>
      </c>
      <c r="F1423" s="5"/>
      <c r="G1423" s="5"/>
    </row>
    <row r="1424" spans="1:7" ht="58.5" customHeight="1" x14ac:dyDescent="0.25">
      <c r="A1424" s="5" t="str">
        <f>"H0026899"</f>
        <v>H0026899</v>
      </c>
      <c r="B1424" s="5" t="str">
        <f t="shared" si="70"/>
        <v>BOMBA DE INFUSION</v>
      </c>
      <c r="C1424" s="6">
        <v>800000</v>
      </c>
      <c r="D1424" s="5" t="s">
        <v>79</v>
      </c>
      <c r="E1424" s="5" t="str">
        <f t="shared" si="69"/>
        <v>ACTISALUD -PEDIATRIA</v>
      </c>
      <c r="F1424" s="5"/>
      <c r="G1424" s="5"/>
    </row>
    <row r="1425" spans="1:7" ht="58.5" customHeight="1" x14ac:dyDescent="0.25">
      <c r="A1425" s="5" t="str">
        <f>"H0026908"</f>
        <v>H0026908</v>
      </c>
      <c r="B1425" s="5" t="str">
        <f t="shared" si="70"/>
        <v>BOMBA DE INFUSION</v>
      </c>
      <c r="C1425" s="6">
        <v>800000</v>
      </c>
      <c r="D1425" s="5" t="s">
        <v>79</v>
      </c>
      <c r="E1425" s="5" t="str">
        <f t="shared" si="69"/>
        <v>ACTISALUD -PEDIATRIA</v>
      </c>
      <c r="F1425" s="5"/>
      <c r="G1425" s="5"/>
    </row>
    <row r="1426" spans="1:7" ht="58.5" customHeight="1" x14ac:dyDescent="0.25">
      <c r="A1426" s="5" t="str">
        <f>"H0026910"</f>
        <v>H0026910</v>
      </c>
      <c r="B1426" s="5" t="str">
        <f t="shared" si="70"/>
        <v>BOMBA DE INFUSION</v>
      </c>
      <c r="C1426" s="6">
        <v>800000</v>
      </c>
      <c r="D1426" s="5" t="s">
        <v>79</v>
      </c>
      <c r="E1426" s="5" t="str">
        <f t="shared" si="69"/>
        <v>ACTISALUD -PEDIATRIA</v>
      </c>
      <c r="F1426" s="5"/>
      <c r="G1426" s="5"/>
    </row>
    <row r="1427" spans="1:7" ht="58.5" customHeight="1" x14ac:dyDescent="0.25">
      <c r="A1427" s="5" t="str">
        <f>"H0026912"</f>
        <v>H0026912</v>
      </c>
      <c r="B1427" s="5" t="str">
        <f t="shared" si="70"/>
        <v>BOMBA DE INFUSION</v>
      </c>
      <c r="C1427" s="6">
        <v>800000</v>
      </c>
      <c r="D1427" s="5" t="s">
        <v>79</v>
      </c>
      <c r="E1427" s="5" t="str">
        <f t="shared" si="69"/>
        <v>ACTISALUD -PEDIATRIA</v>
      </c>
      <c r="F1427" s="5"/>
      <c r="G1427" s="5"/>
    </row>
    <row r="1428" spans="1:7" ht="58.5" customHeight="1" x14ac:dyDescent="0.25">
      <c r="A1428" s="5" t="str">
        <f>"H0026914"</f>
        <v>H0026914</v>
      </c>
      <c r="B1428" s="5" t="str">
        <f t="shared" si="70"/>
        <v>BOMBA DE INFUSION</v>
      </c>
      <c r="C1428" s="6">
        <v>800000</v>
      </c>
      <c r="D1428" s="5" t="s">
        <v>79</v>
      </c>
      <c r="E1428" s="5" t="str">
        <f t="shared" si="69"/>
        <v>ACTISALUD -PEDIATRIA</v>
      </c>
      <c r="F1428" s="5"/>
      <c r="G1428" s="5"/>
    </row>
    <row r="1429" spans="1:7" ht="58.5" customHeight="1" x14ac:dyDescent="0.25">
      <c r="A1429" s="5" t="str">
        <f>"H0026920"</f>
        <v>H0026920</v>
      </c>
      <c r="B1429" s="5" t="str">
        <f t="shared" si="70"/>
        <v>BOMBA DE INFUSION</v>
      </c>
      <c r="C1429" s="6">
        <v>800000</v>
      </c>
      <c r="D1429" s="5" t="s">
        <v>79</v>
      </c>
      <c r="E1429" s="5" t="str">
        <f t="shared" si="69"/>
        <v>ACTISALUD -PEDIATRIA</v>
      </c>
      <c r="F1429" s="5"/>
      <c r="G1429" s="5"/>
    </row>
    <row r="1430" spans="1:7" ht="58.5" customHeight="1" x14ac:dyDescent="0.25">
      <c r="A1430" s="5" t="str">
        <f>"H0026974"</f>
        <v>H0026974</v>
      </c>
      <c r="B1430" s="5" t="str">
        <f t="shared" si="70"/>
        <v>BOMBA DE INFUSION</v>
      </c>
      <c r="C1430" s="6">
        <v>800000</v>
      </c>
      <c r="D1430" s="5" t="s">
        <v>79</v>
      </c>
      <c r="E1430" s="5" t="str">
        <f t="shared" si="69"/>
        <v>ACTISALUD -PEDIATRIA</v>
      </c>
      <c r="F1430" s="5"/>
      <c r="G1430" s="5"/>
    </row>
    <row r="1431" spans="1:7" ht="58.5" customHeight="1" x14ac:dyDescent="0.25">
      <c r="A1431" s="5" t="str">
        <f>"H0026993"</f>
        <v>H0026993</v>
      </c>
      <c r="B1431" s="5" t="str">
        <f>"SILLA DE RUEDAS"</f>
        <v>SILLA DE RUEDAS</v>
      </c>
      <c r="C1431" s="6">
        <v>280000</v>
      </c>
      <c r="D1431" s="5" t="s">
        <v>77</v>
      </c>
      <c r="E1431" s="5" t="str">
        <f t="shared" si="69"/>
        <v>ACTISALUD -PEDIATRIA</v>
      </c>
      <c r="F1431" s="5"/>
      <c r="G1431" s="5"/>
    </row>
    <row r="1432" spans="1:7" ht="58.5" customHeight="1" x14ac:dyDescent="0.25">
      <c r="A1432" s="5" t="str">
        <f>"H0027055"</f>
        <v>H0027055</v>
      </c>
      <c r="B1432" s="5" t="str">
        <f>"BOMBA DE INFUSION"</f>
        <v>BOMBA DE INFUSION</v>
      </c>
      <c r="C1432" s="6">
        <v>1200000</v>
      </c>
      <c r="D1432" s="5" t="s">
        <v>81</v>
      </c>
      <c r="E1432" s="5" t="str">
        <f t="shared" si="69"/>
        <v>ACTISALUD -PEDIATRIA</v>
      </c>
      <c r="F1432" s="5"/>
      <c r="G1432" s="5"/>
    </row>
    <row r="1433" spans="1:7" ht="58.5" customHeight="1" x14ac:dyDescent="0.25">
      <c r="A1433" s="5" t="str">
        <f>"H0027070"</f>
        <v>H0027070</v>
      </c>
      <c r="B1433" s="5" t="str">
        <f>"BOMBA DE INFUSION"</f>
        <v>BOMBA DE INFUSION</v>
      </c>
      <c r="C1433" s="6">
        <v>1200000</v>
      </c>
      <c r="D1433" s="5" t="s">
        <v>81</v>
      </c>
      <c r="E1433" s="5" t="str">
        <f t="shared" si="69"/>
        <v>ACTISALUD -PEDIATRIA</v>
      </c>
      <c r="F1433" s="5"/>
      <c r="G1433" s="5"/>
    </row>
    <row r="1434" spans="1:7" ht="58.5" customHeight="1" x14ac:dyDescent="0.25">
      <c r="A1434" s="5" t="str">
        <f>"H0027075"</f>
        <v>H0027075</v>
      </c>
      <c r="B1434" s="5" t="str">
        <f>"BOMBA DE INFUSION"</f>
        <v>BOMBA DE INFUSION</v>
      </c>
      <c r="C1434" s="6">
        <v>1200000</v>
      </c>
      <c r="D1434" s="5" t="s">
        <v>81</v>
      </c>
      <c r="E1434" s="5" t="str">
        <f t="shared" si="69"/>
        <v>ACTISALUD -PEDIATRIA</v>
      </c>
      <c r="F1434" s="5"/>
      <c r="G1434" s="5"/>
    </row>
    <row r="1435" spans="1:7" ht="58.5" customHeight="1" x14ac:dyDescent="0.25">
      <c r="A1435" s="5" t="str">
        <f>"H0027080"</f>
        <v>H0027080</v>
      </c>
      <c r="B1435" s="5" t="str">
        <f>"BOMBA DE INFUSION"</f>
        <v>BOMBA DE INFUSION</v>
      </c>
      <c r="C1435" s="6">
        <v>1200000</v>
      </c>
      <c r="D1435" s="5" t="s">
        <v>81</v>
      </c>
      <c r="E1435" s="5" t="str">
        <f t="shared" si="69"/>
        <v>ACTISALUD -PEDIATRIA</v>
      </c>
      <c r="F1435" s="5"/>
      <c r="G1435" s="5"/>
    </row>
    <row r="1436" spans="1:7" ht="58.5" customHeight="1" x14ac:dyDescent="0.25">
      <c r="A1436" s="5" t="str">
        <f>"H0027087"</f>
        <v>H0027087</v>
      </c>
      <c r="B1436" s="5" t="str">
        <f>"BOMBA DE INFUSION"</f>
        <v>BOMBA DE INFUSION</v>
      </c>
      <c r="C1436" s="6">
        <v>1200000</v>
      </c>
      <c r="D1436" s="5" t="s">
        <v>81</v>
      </c>
      <c r="E1436" s="5" t="str">
        <f t="shared" si="69"/>
        <v>ACTISALUD -PEDIATRIA</v>
      </c>
      <c r="F1436" s="5"/>
      <c r="G1436" s="5"/>
    </row>
    <row r="1437" spans="1:7" ht="58.5" customHeight="1" x14ac:dyDescent="0.25">
      <c r="A1437" s="5" t="str">
        <f>"H0027216"</f>
        <v>H0027216</v>
      </c>
      <c r="B143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37" s="6">
        <v>2641800</v>
      </c>
      <c r="D1437" s="5" t="s">
        <v>38</v>
      </c>
      <c r="E1437" s="5" t="str">
        <f t="shared" si="69"/>
        <v>ACTISALUD -PEDIATRIA</v>
      </c>
      <c r="F1437" s="5"/>
      <c r="G1437" s="5"/>
    </row>
    <row r="1438" spans="1:7" ht="58.5" customHeight="1" x14ac:dyDescent="0.25">
      <c r="A1438" s="5" t="str">
        <f>"h0027340"</f>
        <v>h0027340</v>
      </c>
      <c r="B1438" s="5" t="str">
        <f>"DESFRIBILADOR"</f>
        <v>DESFRIBILADOR</v>
      </c>
      <c r="C1438" s="6">
        <v>15300000.140000001</v>
      </c>
      <c r="D1438" s="5" t="s">
        <v>151</v>
      </c>
      <c r="E1438" s="5" t="str">
        <f t="shared" si="69"/>
        <v>ACTISALUD -PEDIATRIA</v>
      </c>
      <c r="F1438" s="5"/>
      <c r="G1438" s="5" t="str">
        <f>"BENEHEART D3"</f>
        <v>BENEHEART D3</v>
      </c>
    </row>
    <row r="1439" spans="1:7" ht="58.5" customHeight="1" x14ac:dyDescent="0.25">
      <c r="A1439" s="5" t="str">
        <f>"H0027460"</f>
        <v>H0027460</v>
      </c>
      <c r="B1439" s="5" t="str">
        <f t="shared" ref="B1439:B1449" si="71">"LECTOR DE HUELLAS DIGITALES"</f>
        <v>LECTOR DE HUELLAS DIGITALES</v>
      </c>
      <c r="C1439" s="6">
        <v>234000.41</v>
      </c>
      <c r="D1439" s="5" t="s">
        <v>83</v>
      </c>
      <c r="E1439" s="5" t="str">
        <f t="shared" si="69"/>
        <v>ACTISALUD -PEDIATRIA</v>
      </c>
      <c r="F1439" s="5"/>
      <c r="G1439" s="5"/>
    </row>
    <row r="1440" spans="1:7" ht="58.5" customHeight="1" x14ac:dyDescent="0.25">
      <c r="A1440" s="5" t="str">
        <f>"H0027461"</f>
        <v>H0027461</v>
      </c>
      <c r="B1440" s="5" t="str">
        <f t="shared" si="71"/>
        <v>LECTOR DE HUELLAS DIGITALES</v>
      </c>
      <c r="C1440" s="6">
        <v>234000.41</v>
      </c>
      <c r="D1440" s="5" t="s">
        <v>83</v>
      </c>
      <c r="E1440" s="5" t="str">
        <f t="shared" si="69"/>
        <v>ACTISALUD -PEDIATRIA</v>
      </c>
      <c r="F1440" s="5"/>
      <c r="G1440" s="5"/>
    </row>
    <row r="1441" spans="1:7" ht="58.5" customHeight="1" x14ac:dyDescent="0.25">
      <c r="A1441" s="5" t="str">
        <f>"H0027462"</f>
        <v>H0027462</v>
      </c>
      <c r="B1441" s="5" t="str">
        <f t="shared" si="71"/>
        <v>LECTOR DE HUELLAS DIGITALES</v>
      </c>
      <c r="C1441" s="6">
        <v>234000.41</v>
      </c>
      <c r="D1441" s="5" t="s">
        <v>83</v>
      </c>
      <c r="E1441" s="5" t="str">
        <f t="shared" si="69"/>
        <v>ACTISALUD -PEDIATRIA</v>
      </c>
      <c r="F1441" s="5"/>
      <c r="G1441" s="5"/>
    </row>
    <row r="1442" spans="1:7" ht="58.5" customHeight="1" x14ac:dyDescent="0.25">
      <c r="A1442" s="5" t="str">
        <f>"H0027463"</f>
        <v>H0027463</v>
      </c>
      <c r="B1442" s="5" t="str">
        <f t="shared" si="71"/>
        <v>LECTOR DE HUELLAS DIGITALES</v>
      </c>
      <c r="C1442" s="6">
        <v>234000.41</v>
      </c>
      <c r="D1442" s="5" t="s">
        <v>83</v>
      </c>
      <c r="E1442" s="5" t="str">
        <f t="shared" si="69"/>
        <v>ACTISALUD -PEDIATRIA</v>
      </c>
      <c r="F1442" s="5"/>
      <c r="G1442" s="5"/>
    </row>
    <row r="1443" spans="1:7" ht="58.5" customHeight="1" x14ac:dyDescent="0.25">
      <c r="A1443" s="5" t="str">
        <f>"H0027465"</f>
        <v>H0027465</v>
      </c>
      <c r="B1443" s="5" t="str">
        <f t="shared" si="71"/>
        <v>LECTOR DE HUELLAS DIGITALES</v>
      </c>
      <c r="C1443" s="6">
        <v>234000.41</v>
      </c>
      <c r="D1443" s="5" t="s">
        <v>83</v>
      </c>
      <c r="E1443" s="5" t="str">
        <f t="shared" si="69"/>
        <v>ACTISALUD -PEDIATRIA</v>
      </c>
      <c r="F1443" s="5"/>
      <c r="G1443" s="5"/>
    </row>
    <row r="1444" spans="1:7" ht="58.5" customHeight="1" x14ac:dyDescent="0.25">
      <c r="A1444" s="5" t="str">
        <f>"H0027466"</f>
        <v>H0027466</v>
      </c>
      <c r="B1444" s="5" t="str">
        <f t="shared" si="71"/>
        <v>LECTOR DE HUELLAS DIGITALES</v>
      </c>
      <c r="C1444" s="6">
        <v>234000.41</v>
      </c>
      <c r="D1444" s="5" t="s">
        <v>83</v>
      </c>
      <c r="E1444" s="5" t="str">
        <f t="shared" si="69"/>
        <v>ACTISALUD -PEDIATRIA</v>
      </c>
      <c r="F1444" s="5"/>
      <c r="G1444" s="5"/>
    </row>
    <row r="1445" spans="1:7" ht="58.5" customHeight="1" x14ac:dyDescent="0.25">
      <c r="A1445" s="5" t="str">
        <f>"H0027468"</f>
        <v>H0027468</v>
      </c>
      <c r="B1445" s="5" t="str">
        <f t="shared" si="71"/>
        <v>LECTOR DE HUELLAS DIGITALES</v>
      </c>
      <c r="C1445" s="6">
        <v>234000.41</v>
      </c>
      <c r="D1445" s="5" t="s">
        <v>83</v>
      </c>
      <c r="E1445" s="5" t="str">
        <f t="shared" si="69"/>
        <v>ACTISALUD -PEDIATRIA</v>
      </c>
      <c r="F1445" s="5"/>
      <c r="G1445" s="5"/>
    </row>
    <row r="1446" spans="1:7" ht="58.5" customHeight="1" x14ac:dyDescent="0.25">
      <c r="A1446" s="5" t="str">
        <f>"H0027469"</f>
        <v>H0027469</v>
      </c>
      <c r="B1446" s="5" t="str">
        <f t="shared" si="71"/>
        <v>LECTOR DE HUELLAS DIGITALES</v>
      </c>
      <c r="C1446" s="6">
        <v>234000.41</v>
      </c>
      <c r="D1446" s="5" t="s">
        <v>83</v>
      </c>
      <c r="E1446" s="5" t="str">
        <f t="shared" si="69"/>
        <v>ACTISALUD -PEDIATRIA</v>
      </c>
      <c r="F1446" s="5"/>
      <c r="G1446" s="5"/>
    </row>
    <row r="1447" spans="1:7" ht="58.5" customHeight="1" x14ac:dyDescent="0.25">
      <c r="A1447" s="5" t="str">
        <f>"H0027471"</f>
        <v>H0027471</v>
      </c>
      <c r="B1447" s="5" t="str">
        <f t="shared" si="71"/>
        <v>LECTOR DE HUELLAS DIGITALES</v>
      </c>
      <c r="C1447" s="6">
        <v>234000.41</v>
      </c>
      <c r="D1447" s="5" t="s">
        <v>83</v>
      </c>
      <c r="E1447" s="5" t="str">
        <f t="shared" si="69"/>
        <v>ACTISALUD -PEDIATRIA</v>
      </c>
      <c r="F1447" s="5"/>
      <c r="G1447" s="5"/>
    </row>
    <row r="1448" spans="1:7" ht="58.5" customHeight="1" x14ac:dyDescent="0.25">
      <c r="A1448" s="5" t="str">
        <f>"H0027573"</f>
        <v>H0027573</v>
      </c>
      <c r="B1448" s="5" t="str">
        <f t="shared" si="71"/>
        <v>LECTOR DE HUELLAS DIGITALES</v>
      </c>
      <c r="C1448" s="6">
        <v>234000.41</v>
      </c>
      <c r="D1448" s="5" t="s">
        <v>83</v>
      </c>
      <c r="E1448" s="5" t="str">
        <f t="shared" si="69"/>
        <v>ACTISALUD -PEDIATRIA</v>
      </c>
      <c r="F1448" s="5"/>
      <c r="G1448" s="5"/>
    </row>
    <row r="1449" spans="1:7" ht="58.5" customHeight="1" x14ac:dyDescent="0.25">
      <c r="A1449" s="5" t="str">
        <f>"H0027574"</f>
        <v>H0027574</v>
      </c>
      <c r="B1449" s="5" t="str">
        <f t="shared" si="71"/>
        <v>LECTOR DE HUELLAS DIGITALES</v>
      </c>
      <c r="C1449" s="6">
        <v>234000.41</v>
      </c>
      <c r="D1449" s="5" t="s">
        <v>83</v>
      </c>
      <c r="E1449" s="5" t="str">
        <f t="shared" si="69"/>
        <v>ACTISALUD -PEDIATRIA</v>
      </c>
      <c r="F1449" s="5"/>
      <c r="G1449" s="5"/>
    </row>
    <row r="1450" spans="1:7" ht="58.5" customHeight="1" x14ac:dyDescent="0.25">
      <c r="A1450" s="5" t="str">
        <f>"H0028284"</f>
        <v>H0028284</v>
      </c>
      <c r="B1450" s="5" t="str">
        <f t="shared" ref="B1450:B1455" si="72">"CUNA PEDIATRICA TAMAÑO JUNIOR"</f>
        <v>CUNA PEDIATRICA TAMAÑO JUNIOR</v>
      </c>
      <c r="C1450" s="6">
        <v>7257810</v>
      </c>
      <c r="D1450" s="5" t="s">
        <v>185</v>
      </c>
      <c r="E1450" s="5" t="str">
        <f t="shared" si="69"/>
        <v>ACTISALUD -PEDIATRIA</v>
      </c>
      <c r="F1450" s="5"/>
      <c r="G1450" s="5"/>
    </row>
    <row r="1451" spans="1:7" ht="58.5" customHeight="1" x14ac:dyDescent="0.25">
      <c r="A1451" s="5" t="str">
        <f>"H0028285"</f>
        <v>H0028285</v>
      </c>
      <c r="B1451" s="5" t="str">
        <f t="shared" si="72"/>
        <v>CUNA PEDIATRICA TAMAÑO JUNIOR</v>
      </c>
      <c r="C1451" s="6">
        <v>7257810</v>
      </c>
      <c r="D1451" s="5" t="s">
        <v>186</v>
      </c>
      <c r="E1451" s="5" t="str">
        <f t="shared" si="69"/>
        <v>ACTISALUD -PEDIATRIA</v>
      </c>
      <c r="F1451" s="5"/>
      <c r="G1451" s="5"/>
    </row>
    <row r="1452" spans="1:7" ht="58.5" customHeight="1" x14ac:dyDescent="0.25">
      <c r="A1452" s="5" t="str">
        <f>"H0028286"</f>
        <v>H0028286</v>
      </c>
      <c r="B1452" s="5" t="str">
        <f t="shared" si="72"/>
        <v>CUNA PEDIATRICA TAMAÑO JUNIOR</v>
      </c>
      <c r="C1452" s="6">
        <v>7257810</v>
      </c>
      <c r="D1452" s="5" t="s">
        <v>186</v>
      </c>
      <c r="E1452" s="5" t="str">
        <f t="shared" si="69"/>
        <v>ACTISALUD -PEDIATRIA</v>
      </c>
      <c r="F1452" s="5"/>
      <c r="G1452" s="5"/>
    </row>
    <row r="1453" spans="1:7" ht="58.5" customHeight="1" x14ac:dyDescent="0.25">
      <c r="A1453" s="5" t="str">
        <f>"H0028287"</f>
        <v>H0028287</v>
      </c>
      <c r="B1453" s="5" t="str">
        <f t="shared" si="72"/>
        <v>CUNA PEDIATRICA TAMAÑO JUNIOR</v>
      </c>
      <c r="C1453" s="6">
        <v>7257810</v>
      </c>
      <c r="D1453" s="5" t="s">
        <v>187</v>
      </c>
      <c r="E1453" s="5" t="str">
        <f t="shared" si="69"/>
        <v>ACTISALUD -PEDIATRIA</v>
      </c>
      <c r="F1453" s="5"/>
      <c r="G1453" s="5"/>
    </row>
    <row r="1454" spans="1:7" ht="58.5" customHeight="1" x14ac:dyDescent="0.25">
      <c r="A1454" s="5" t="str">
        <f>"H0028288"</f>
        <v>H0028288</v>
      </c>
      <c r="B1454" s="5" t="str">
        <f t="shared" si="72"/>
        <v>CUNA PEDIATRICA TAMAÑO JUNIOR</v>
      </c>
      <c r="C1454" s="6">
        <v>7257810</v>
      </c>
      <c r="D1454" s="5" t="s">
        <v>186</v>
      </c>
      <c r="E1454" s="5" t="str">
        <f t="shared" si="69"/>
        <v>ACTISALUD -PEDIATRIA</v>
      </c>
      <c r="F1454" s="5"/>
      <c r="G1454" s="5"/>
    </row>
    <row r="1455" spans="1:7" ht="58.5" customHeight="1" x14ac:dyDescent="0.25">
      <c r="A1455" s="5" t="str">
        <f>"H0028289"</f>
        <v>H0028289</v>
      </c>
      <c r="B1455" s="5" t="str">
        <f t="shared" si="72"/>
        <v>CUNA PEDIATRICA TAMAÑO JUNIOR</v>
      </c>
      <c r="C1455" s="6">
        <v>7257810</v>
      </c>
      <c r="D1455" s="5" t="s">
        <v>186</v>
      </c>
      <c r="E1455" s="5" t="str">
        <f t="shared" si="69"/>
        <v>ACTISALUD -PEDIATRIA</v>
      </c>
      <c r="F1455" s="5"/>
      <c r="G1455" s="5"/>
    </row>
    <row r="1456" spans="1:7" ht="58.5" customHeight="1" x14ac:dyDescent="0.25">
      <c r="A1456" s="5" t="str">
        <f>"H0028379"</f>
        <v>H0028379</v>
      </c>
      <c r="B1456" s="5" t="str">
        <f t="shared" ref="B1456:B1470" si="73">"SILLA RECLINOMATICA"</f>
        <v>SILLA RECLINOMATICA</v>
      </c>
      <c r="C1456" s="6">
        <v>899999.97</v>
      </c>
      <c r="D1456" s="5" t="s">
        <v>152</v>
      </c>
      <c r="E1456" s="5" t="str">
        <f t="shared" ref="E1456:E1519" si="74">"ACTISALUD -PEDIATRIA"</f>
        <v>ACTISALUD -PEDIATRIA</v>
      </c>
      <c r="F1456" s="5"/>
      <c r="G1456" s="5"/>
    </row>
    <row r="1457" spans="1:7" ht="58.5" customHeight="1" x14ac:dyDescent="0.25">
      <c r="A1457" s="5" t="str">
        <f>"H0028381"</f>
        <v>H0028381</v>
      </c>
      <c r="B1457" s="5" t="str">
        <f t="shared" si="73"/>
        <v>SILLA RECLINOMATICA</v>
      </c>
      <c r="C1457" s="6">
        <v>899999.97</v>
      </c>
      <c r="D1457" s="5" t="s">
        <v>152</v>
      </c>
      <c r="E1457" s="5" t="str">
        <f t="shared" si="74"/>
        <v>ACTISALUD -PEDIATRIA</v>
      </c>
      <c r="F1457" s="5"/>
      <c r="G1457" s="5"/>
    </row>
    <row r="1458" spans="1:7" ht="58.5" customHeight="1" x14ac:dyDescent="0.25">
      <c r="A1458" s="5" t="str">
        <f>"H0028382"</f>
        <v>H0028382</v>
      </c>
      <c r="B1458" s="5" t="str">
        <f t="shared" si="73"/>
        <v>SILLA RECLINOMATICA</v>
      </c>
      <c r="C1458" s="6">
        <v>899999.97</v>
      </c>
      <c r="D1458" s="5" t="s">
        <v>152</v>
      </c>
      <c r="E1458" s="5" t="str">
        <f t="shared" si="74"/>
        <v>ACTISALUD -PEDIATRIA</v>
      </c>
      <c r="F1458" s="5"/>
      <c r="G1458" s="5"/>
    </row>
    <row r="1459" spans="1:7" ht="58.5" customHeight="1" x14ac:dyDescent="0.25">
      <c r="A1459" s="5" t="str">
        <f>"H0028383"</f>
        <v>H0028383</v>
      </c>
      <c r="B1459" s="5" t="str">
        <f t="shared" si="73"/>
        <v>SILLA RECLINOMATICA</v>
      </c>
      <c r="C1459" s="6">
        <v>899999.97</v>
      </c>
      <c r="D1459" s="5" t="s">
        <v>152</v>
      </c>
      <c r="E1459" s="5" t="str">
        <f t="shared" si="74"/>
        <v>ACTISALUD -PEDIATRIA</v>
      </c>
      <c r="F1459" s="5"/>
      <c r="G1459" s="5"/>
    </row>
    <row r="1460" spans="1:7" ht="58.5" customHeight="1" x14ac:dyDescent="0.25">
      <c r="A1460" s="5" t="str">
        <f>"H0028385"</f>
        <v>H0028385</v>
      </c>
      <c r="B1460" s="5" t="str">
        <f t="shared" si="73"/>
        <v>SILLA RECLINOMATICA</v>
      </c>
      <c r="C1460" s="6">
        <v>899999.97</v>
      </c>
      <c r="D1460" s="5" t="s">
        <v>152</v>
      </c>
      <c r="E1460" s="5" t="str">
        <f t="shared" si="74"/>
        <v>ACTISALUD -PEDIATRIA</v>
      </c>
      <c r="F1460" s="5"/>
      <c r="G1460" s="5"/>
    </row>
    <row r="1461" spans="1:7" ht="58.5" customHeight="1" x14ac:dyDescent="0.25">
      <c r="A1461" s="5" t="str">
        <f>"H0028386"</f>
        <v>H0028386</v>
      </c>
      <c r="B1461" s="5" t="str">
        <f t="shared" si="73"/>
        <v>SILLA RECLINOMATICA</v>
      </c>
      <c r="C1461" s="6">
        <v>899999.97</v>
      </c>
      <c r="D1461" s="5" t="s">
        <v>152</v>
      </c>
      <c r="E1461" s="5" t="str">
        <f t="shared" si="74"/>
        <v>ACTISALUD -PEDIATRIA</v>
      </c>
      <c r="F1461" s="5"/>
      <c r="G1461" s="5"/>
    </row>
    <row r="1462" spans="1:7" ht="58.5" customHeight="1" x14ac:dyDescent="0.25">
      <c r="A1462" s="5" t="str">
        <f>"H0028387"</f>
        <v>H0028387</v>
      </c>
      <c r="B1462" s="5" t="str">
        <f t="shared" si="73"/>
        <v>SILLA RECLINOMATICA</v>
      </c>
      <c r="C1462" s="6">
        <v>899999.97</v>
      </c>
      <c r="D1462" s="5" t="s">
        <v>152</v>
      </c>
      <c r="E1462" s="5" t="str">
        <f t="shared" si="74"/>
        <v>ACTISALUD -PEDIATRIA</v>
      </c>
      <c r="F1462" s="5"/>
      <c r="G1462" s="5"/>
    </row>
    <row r="1463" spans="1:7" ht="58.5" customHeight="1" x14ac:dyDescent="0.25">
      <c r="A1463" s="5" t="str">
        <f>"H0028461"</f>
        <v>H0028461</v>
      </c>
      <c r="B1463" s="5" t="str">
        <f t="shared" si="73"/>
        <v>SILLA RECLINOMATICA</v>
      </c>
      <c r="C1463" s="6">
        <v>900000</v>
      </c>
      <c r="D1463" s="5" t="s">
        <v>188</v>
      </c>
      <c r="E1463" s="5" t="str">
        <f t="shared" si="74"/>
        <v>ACTISALUD -PEDIATRIA</v>
      </c>
      <c r="F1463" s="5"/>
      <c r="G1463" s="5"/>
    </row>
    <row r="1464" spans="1:7" ht="58.5" customHeight="1" x14ac:dyDescent="0.25">
      <c r="A1464" s="5" t="str">
        <f>"H0028462"</f>
        <v>H0028462</v>
      </c>
      <c r="B1464" s="5" t="str">
        <f t="shared" si="73"/>
        <v>SILLA RECLINOMATICA</v>
      </c>
      <c r="C1464" s="6">
        <v>900000</v>
      </c>
      <c r="D1464" s="5" t="s">
        <v>188</v>
      </c>
      <c r="E1464" s="5" t="str">
        <f t="shared" si="74"/>
        <v>ACTISALUD -PEDIATRIA</v>
      </c>
      <c r="F1464" s="5"/>
      <c r="G1464" s="5"/>
    </row>
    <row r="1465" spans="1:7" ht="58.5" customHeight="1" x14ac:dyDescent="0.25">
      <c r="A1465" s="5" t="str">
        <f>"H0028463"</f>
        <v>H0028463</v>
      </c>
      <c r="B1465" s="5" t="str">
        <f t="shared" si="73"/>
        <v>SILLA RECLINOMATICA</v>
      </c>
      <c r="C1465" s="6">
        <v>900000</v>
      </c>
      <c r="D1465" s="5" t="s">
        <v>188</v>
      </c>
      <c r="E1465" s="5" t="str">
        <f t="shared" si="74"/>
        <v>ACTISALUD -PEDIATRIA</v>
      </c>
      <c r="F1465" s="5"/>
      <c r="G1465" s="5"/>
    </row>
    <row r="1466" spans="1:7" ht="58.5" customHeight="1" x14ac:dyDescent="0.25">
      <c r="A1466" s="5" t="str">
        <f>"H0028464"</f>
        <v>H0028464</v>
      </c>
      <c r="B1466" s="5" t="str">
        <f t="shared" si="73"/>
        <v>SILLA RECLINOMATICA</v>
      </c>
      <c r="C1466" s="6">
        <v>900000</v>
      </c>
      <c r="D1466" s="5" t="s">
        <v>188</v>
      </c>
      <c r="E1466" s="5" t="str">
        <f t="shared" si="74"/>
        <v>ACTISALUD -PEDIATRIA</v>
      </c>
      <c r="F1466" s="5"/>
      <c r="G1466" s="5"/>
    </row>
    <row r="1467" spans="1:7" ht="58.5" customHeight="1" x14ac:dyDescent="0.25">
      <c r="A1467" s="5" t="str">
        <f>"H0028468"</f>
        <v>H0028468</v>
      </c>
      <c r="B1467" s="5" t="str">
        <f t="shared" si="73"/>
        <v>SILLA RECLINOMATICA</v>
      </c>
      <c r="C1467" s="6">
        <v>900000</v>
      </c>
      <c r="D1467" s="5" t="s">
        <v>188</v>
      </c>
      <c r="E1467" s="5" t="str">
        <f t="shared" si="74"/>
        <v>ACTISALUD -PEDIATRIA</v>
      </c>
      <c r="F1467" s="5"/>
      <c r="G1467" s="5"/>
    </row>
    <row r="1468" spans="1:7" ht="58.5" customHeight="1" x14ac:dyDescent="0.25">
      <c r="A1468" s="5" t="str">
        <f>"H0028469"</f>
        <v>H0028469</v>
      </c>
      <c r="B1468" s="5" t="str">
        <f t="shared" si="73"/>
        <v>SILLA RECLINOMATICA</v>
      </c>
      <c r="C1468" s="6">
        <v>900000</v>
      </c>
      <c r="D1468" s="5" t="s">
        <v>188</v>
      </c>
      <c r="E1468" s="5" t="str">
        <f t="shared" si="74"/>
        <v>ACTISALUD -PEDIATRIA</v>
      </c>
      <c r="F1468" s="5"/>
      <c r="G1468" s="5"/>
    </row>
    <row r="1469" spans="1:7" ht="58.5" customHeight="1" x14ac:dyDescent="0.25">
      <c r="A1469" s="5" t="str">
        <f>"H0028470"</f>
        <v>H0028470</v>
      </c>
      <c r="B1469" s="5" t="str">
        <f t="shared" si="73"/>
        <v>SILLA RECLINOMATICA</v>
      </c>
      <c r="C1469" s="6">
        <v>900000</v>
      </c>
      <c r="D1469" s="5" t="s">
        <v>188</v>
      </c>
      <c r="E1469" s="5" t="str">
        <f t="shared" si="74"/>
        <v>ACTISALUD -PEDIATRIA</v>
      </c>
      <c r="F1469" s="5"/>
      <c r="G1469" s="5"/>
    </row>
    <row r="1470" spans="1:7" ht="58.5" customHeight="1" x14ac:dyDescent="0.25">
      <c r="A1470" s="5" t="str">
        <f>"H0028471"</f>
        <v>H0028471</v>
      </c>
      <c r="B1470" s="5" t="str">
        <f t="shared" si="73"/>
        <v>SILLA RECLINOMATICA</v>
      </c>
      <c r="C1470" s="6">
        <v>900000</v>
      </c>
      <c r="D1470" s="5" t="s">
        <v>188</v>
      </c>
      <c r="E1470" s="5" t="str">
        <f t="shared" si="74"/>
        <v>ACTISALUD -PEDIATRIA</v>
      </c>
      <c r="F1470" s="5"/>
      <c r="G1470" s="5"/>
    </row>
    <row r="1471" spans="1:7" ht="58.5" customHeight="1" x14ac:dyDescent="0.25">
      <c r="A1471" s="5" t="str">
        <f>"H0028611"</f>
        <v>H0028611</v>
      </c>
      <c r="B1471" s="5" t="str">
        <f>"MÓDULO WIRELESS (CON 1 SIRENA 45W Y BATERÍA)"</f>
        <v>MÓDULO WIRELESS (CON 1 SIRENA 45W Y BATERÍA)</v>
      </c>
      <c r="C1471" s="6">
        <v>728280</v>
      </c>
      <c r="D1471" s="5" t="s">
        <v>87</v>
      </c>
      <c r="E1471" s="5" t="str">
        <f t="shared" si="74"/>
        <v>ACTISALUD -PEDIATRIA</v>
      </c>
      <c r="F1471" s="5"/>
      <c r="G1471" s="5"/>
    </row>
    <row r="1472" spans="1:7" ht="58.5" customHeight="1" x14ac:dyDescent="0.25">
      <c r="A1472" s="5" t="str">
        <f>"H0028623"</f>
        <v>H0028623</v>
      </c>
      <c r="B1472" s="5" t="str">
        <f>"BALIZA ROTATIVA WIRELESS LUZ EMERGENCIA"</f>
        <v>BALIZA ROTATIVA WIRELESS LUZ EMERGENCIA</v>
      </c>
      <c r="C1472" s="6">
        <v>238000</v>
      </c>
      <c r="D1472" s="5" t="s">
        <v>87</v>
      </c>
      <c r="E1472" s="5" t="str">
        <f t="shared" si="74"/>
        <v>ACTISALUD -PEDIATRIA</v>
      </c>
      <c r="F1472" s="5"/>
      <c r="G1472" s="5"/>
    </row>
    <row r="1473" spans="1:7" ht="58.5" customHeight="1" x14ac:dyDescent="0.25">
      <c r="A1473" s="5" t="str">
        <f>"H0028653"</f>
        <v>H0028653</v>
      </c>
      <c r="B1473" s="5" t="str">
        <f>"BOTÓN DE EMERGENCIA PÁNICO SOS FIJO WIRELESS"</f>
        <v>BOTÓN DE EMERGENCIA PÁNICO SOS FIJO WIRELESS</v>
      </c>
      <c r="C1473" s="6">
        <v>297500</v>
      </c>
      <c r="D1473" s="5" t="s">
        <v>87</v>
      </c>
      <c r="E1473" s="5" t="str">
        <f t="shared" si="74"/>
        <v>ACTISALUD -PEDIATRIA</v>
      </c>
      <c r="F1473" s="5"/>
      <c r="G1473" s="5"/>
    </row>
    <row r="1474" spans="1:7" ht="58.5" customHeight="1" x14ac:dyDescent="0.25">
      <c r="A1474" s="5" t="str">
        <f>"H0028654"</f>
        <v>H0028654</v>
      </c>
      <c r="B1474" s="5" t="str">
        <f>"BOTÓN DE EMERGENCIA PÁNICO SOS FIJO WIRELESS"</f>
        <v>BOTÓN DE EMERGENCIA PÁNICO SOS FIJO WIRELESS</v>
      </c>
      <c r="C1474" s="6">
        <v>297500</v>
      </c>
      <c r="D1474" s="5" t="s">
        <v>87</v>
      </c>
      <c r="E1474" s="5" t="str">
        <f t="shared" si="74"/>
        <v>ACTISALUD -PEDIATRIA</v>
      </c>
      <c r="F1474" s="5"/>
      <c r="G1474" s="5"/>
    </row>
    <row r="1475" spans="1:7" ht="58.5" customHeight="1" x14ac:dyDescent="0.25">
      <c r="A1475" s="5" t="str">
        <f>"H0028655"</f>
        <v>H0028655</v>
      </c>
      <c r="B1475" s="5" t="str">
        <f>"BOTÓN DE EMERGENCIA PÁNICO SOS FIJO WIRELESS"</f>
        <v>BOTÓN DE EMERGENCIA PÁNICO SOS FIJO WIRELESS</v>
      </c>
      <c r="C1475" s="6">
        <v>297500</v>
      </c>
      <c r="D1475" s="5" t="s">
        <v>87</v>
      </c>
      <c r="E1475" s="5" t="str">
        <f t="shared" si="74"/>
        <v>ACTISALUD -PEDIATRIA</v>
      </c>
      <c r="F1475" s="5"/>
      <c r="G1475" s="5"/>
    </row>
    <row r="1476" spans="1:7" ht="58.5" customHeight="1" x14ac:dyDescent="0.25">
      <c r="A1476" s="5" t="str">
        <f>"H0028680"</f>
        <v>H0028680</v>
      </c>
      <c r="B1476" s="5" t="str">
        <f>"BOTÓN DE EMERGENCIA PÁNICO SOS MÓVIL WIRELESS"</f>
        <v>BOTÓN DE EMERGENCIA PÁNICO SOS MÓVIL WIRELESS</v>
      </c>
      <c r="C1476" s="6">
        <v>47600</v>
      </c>
      <c r="D1476" s="5" t="s">
        <v>87</v>
      </c>
      <c r="E1476" s="5" t="str">
        <f t="shared" si="74"/>
        <v>ACTISALUD -PEDIATRIA</v>
      </c>
      <c r="F1476" s="5"/>
      <c r="G1476" s="5"/>
    </row>
    <row r="1477" spans="1:7" ht="58.5" customHeight="1" x14ac:dyDescent="0.25">
      <c r="A1477" s="5" t="str">
        <f>"H0028681"</f>
        <v>H0028681</v>
      </c>
      <c r="B1477" s="5" t="str">
        <f>"BOTÓN DE EMERGENCIA PÁNICO SOS MÓVIL WIRELESS"</f>
        <v>BOTÓN DE EMERGENCIA PÁNICO SOS MÓVIL WIRELESS</v>
      </c>
      <c r="C1477" s="6">
        <v>47600</v>
      </c>
      <c r="D1477" s="5" t="s">
        <v>87</v>
      </c>
      <c r="E1477" s="5" t="str">
        <f t="shared" si="74"/>
        <v>ACTISALUD -PEDIATRIA</v>
      </c>
      <c r="F1477" s="5"/>
      <c r="G1477" s="5"/>
    </row>
    <row r="1478" spans="1:7" ht="58.5" customHeight="1" x14ac:dyDescent="0.25">
      <c r="A1478" s="5" t="str">
        <f>"H0028723"</f>
        <v>H0028723</v>
      </c>
      <c r="B1478" s="5" t="str">
        <f>"LÁMPARA RECARGABLE DE EMERGENCIA 60 BOMBILLOS LED LUZ BLANCA"</f>
        <v>LÁMPARA RECARGABLE DE EMERGENCIA 60 BOMBILLOS LED LUZ BLANCA</v>
      </c>
      <c r="C1478" s="6">
        <v>255850</v>
      </c>
      <c r="D1478" s="5" t="s">
        <v>87</v>
      </c>
      <c r="E1478" s="5" t="str">
        <f t="shared" si="74"/>
        <v>ACTISALUD -PEDIATRIA</v>
      </c>
      <c r="F1478" s="5"/>
      <c r="G1478" s="5"/>
    </row>
    <row r="1479" spans="1:7" ht="58.5" customHeight="1" x14ac:dyDescent="0.25">
      <c r="A1479" s="5" t="str">
        <f>"H0028724"</f>
        <v>H0028724</v>
      </c>
      <c r="B1479" s="5" t="str">
        <f>"LÁMPARA RECARGABLE DE EMERGENCIA 60 BOMBILLOS LED LUZ BLANCA"</f>
        <v>LÁMPARA RECARGABLE DE EMERGENCIA 60 BOMBILLOS LED LUZ BLANCA</v>
      </c>
      <c r="C1479" s="6">
        <v>255850</v>
      </c>
      <c r="D1479" s="5" t="s">
        <v>87</v>
      </c>
      <c r="E1479" s="5" t="str">
        <f t="shared" si="74"/>
        <v>ACTISALUD -PEDIATRIA</v>
      </c>
      <c r="F1479" s="5"/>
      <c r="G1479" s="5"/>
    </row>
    <row r="1480" spans="1:7" ht="58.5" customHeight="1" x14ac:dyDescent="0.25">
      <c r="A1480" s="5" t="str">
        <f>"H0028725"</f>
        <v>H0028725</v>
      </c>
      <c r="B1480" s="5" t="str">
        <f>"LÁMPARA RECARGABLE DE EMERGENCIA 60 BOMBILLOS LED LUZ BLANCA"</f>
        <v>LÁMPARA RECARGABLE DE EMERGENCIA 60 BOMBILLOS LED LUZ BLANCA</v>
      </c>
      <c r="C1480" s="6">
        <v>255850</v>
      </c>
      <c r="D1480" s="5" t="s">
        <v>87</v>
      </c>
      <c r="E1480" s="5" t="str">
        <f t="shared" si="74"/>
        <v>ACTISALUD -PEDIATRIA</v>
      </c>
      <c r="F1480" s="5"/>
      <c r="G1480" s="5"/>
    </row>
    <row r="1481" spans="1:7" ht="58.5" customHeight="1" x14ac:dyDescent="0.25">
      <c r="A1481" s="5" t="str">
        <f>"H0028726"</f>
        <v>H0028726</v>
      </c>
      <c r="B1481" s="5" t="str">
        <f>"LÁMPARA RECARGABLE DE EMERGENCIA 60 BOMBILLOS LED LUZ BLANCA"</f>
        <v>LÁMPARA RECARGABLE DE EMERGENCIA 60 BOMBILLOS LED LUZ BLANCA</v>
      </c>
      <c r="C1481" s="6">
        <v>255850</v>
      </c>
      <c r="D1481" s="5" t="s">
        <v>87</v>
      </c>
      <c r="E1481" s="5" t="str">
        <f t="shared" si="74"/>
        <v>ACTISALUD -PEDIATRIA</v>
      </c>
      <c r="F1481" s="5"/>
      <c r="G1481" s="5"/>
    </row>
    <row r="1482" spans="1:7" ht="58.5" customHeight="1" x14ac:dyDescent="0.25">
      <c r="A1482" s="5" t="str">
        <f>"H0028826"</f>
        <v>H0028826</v>
      </c>
      <c r="B1482" s="5" t="str">
        <f>"SILLA HERGONOMICA CON SISTEMA HIDRAULICO"</f>
        <v>SILLA HERGONOMICA CON SISTEMA HIDRAULICO</v>
      </c>
      <c r="C1482" s="6">
        <v>174900</v>
      </c>
      <c r="D1482" s="5" t="s">
        <v>40</v>
      </c>
      <c r="E1482" s="5" t="str">
        <f t="shared" si="74"/>
        <v>ACTISALUD -PEDIATRIA</v>
      </c>
      <c r="F1482" s="5"/>
      <c r="G1482" s="5"/>
    </row>
    <row r="1483" spans="1:7" ht="58.5" customHeight="1" x14ac:dyDescent="0.25">
      <c r="A1483" s="5" t="str">
        <f>"H0028890"</f>
        <v>H0028890</v>
      </c>
      <c r="B1483" s="5" t="str">
        <f t="shared" ref="B1483:B1489" si="75">"CUNA PEDIATRICA TAMAÑO JUNIOR"</f>
        <v>CUNA PEDIATRICA TAMAÑO JUNIOR</v>
      </c>
      <c r="C1483" s="6">
        <v>7257810</v>
      </c>
      <c r="D1483" s="5" t="s">
        <v>186</v>
      </c>
      <c r="E1483" s="5" t="str">
        <f t="shared" si="74"/>
        <v>ACTISALUD -PEDIATRIA</v>
      </c>
      <c r="F1483" s="5"/>
      <c r="G1483" s="5"/>
    </row>
    <row r="1484" spans="1:7" ht="58.5" customHeight="1" x14ac:dyDescent="0.25">
      <c r="A1484" s="5" t="str">
        <f>"H0028891"</f>
        <v>H0028891</v>
      </c>
      <c r="B1484" s="5" t="str">
        <f t="shared" si="75"/>
        <v>CUNA PEDIATRICA TAMAÑO JUNIOR</v>
      </c>
      <c r="C1484" s="6">
        <v>7257810</v>
      </c>
      <c r="D1484" s="5" t="s">
        <v>186</v>
      </c>
      <c r="E1484" s="5" t="str">
        <f t="shared" si="74"/>
        <v>ACTISALUD -PEDIATRIA</v>
      </c>
      <c r="F1484" s="5"/>
      <c r="G1484" s="5"/>
    </row>
    <row r="1485" spans="1:7" ht="58.5" customHeight="1" x14ac:dyDescent="0.25">
      <c r="A1485" s="5" t="str">
        <f>"H0028892"</f>
        <v>H0028892</v>
      </c>
      <c r="B1485" s="5" t="str">
        <f t="shared" si="75"/>
        <v>CUNA PEDIATRICA TAMAÑO JUNIOR</v>
      </c>
      <c r="C1485" s="6">
        <v>7257810</v>
      </c>
      <c r="D1485" s="5" t="s">
        <v>186</v>
      </c>
      <c r="E1485" s="5" t="str">
        <f t="shared" si="74"/>
        <v>ACTISALUD -PEDIATRIA</v>
      </c>
      <c r="F1485" s="5"/>
      <c r="G1485" s="5"/>
    </row>
    <row r="1486" spans="1:7" ht="58.5" customHeight="1" x14ac:dyDescent="0.25">
      <c r="A1486" s="5" t="str">
        <f>"H0028893"</f>
        <v>H0028893</v>
      </c>
      <c r="B1486" s="5" t="str">
        <f t="shared" si="75"/>
        <v>CUNA PEDIATRICA TAMAÑO JUNIOR</v>
      </c>
      <c r="C1486" s="6">
        <v>7257810</v>
      </c>
      <c r="D1486" s="5" t="s">
        <v>186</v>
      </c>
      <c r="E1486" s="5" t="str">
        <f t="shared" si="74"/>
        <v>ACTISALUD -PEDIATRIA</v>
      </c>
      <c r="F1486" s="5"/>
      <c r="G1486" s="5"/>
    </row>
    <row r="1487" spans="1:7" ht="58.5" customHeight="1" x14ac:dyDescent="0.25">
      <c r="A1487" s="5" t="str">
        <f>"H0028894"</f>
        <v>H0028894</v>
      </c>
      <c r="B1487" s="5" t="str">
        <f t="shared" si="75"/>
        <v>CUNA PEDIATRICA TAMAÑO JUNIOR</v>
      </c>
      <c r="C1487" s="6">
        <v>7257810</v>
      </c>
      <c r="D1487" s="5" t="s">
        <v>186</v>
      </c>
      <c r="E1487" s="5" t="str">
        <f t="shared" si="74"/>
        <v>ACTISALUD -PEDIATRIA</v>
      </c>
      <c r="F1487" s="5"/>
      <c r="G1487" s="5"/>
    </row>
    <row r="1488" spans="1:7" ht="58.5" customHeight="1" x14ac:dyDescent="0.25">
      <c r="A1488" s="5" t="str">
        <f>"H0028895"</f>
        <v>H0028895</v>
      </c>
      <c r="B1488" s="5" t="str">
        <f t="shared" si="75"/>
        <v>CUNA PEDIATRICA TAMAÑO JUNIOR</v>
      </c>
      <c r="C1488" s="6">
        <v>7257810</v>
      </c>
      <c r="D1488" s="5" t="s">
        <v>186</v>
      </c>
      <c r="E1488" s="5" t="str">
        <f t="shared" si="74"/>
        <v>ACTISALUD -PEDIATRIA</v>
      </c>
      <c r="F1488" s="5"/>
      <c r="G1488" s="5"/>
    </row>
    <row r="1489" spans="1:7" ht="58.5" customHeight="1" x14ac:dyDescent="0.25">
      <c r="A1489" s="5" t="str">
        <f>"H0028897"</f>
        <v>H0028897</v>
      </c>
      <c r="B1489" s="5" t="str">
        <f t="shared" si="75"/>
        <v>CUNA PEDIATRICA TAMAÑO JUNIOR</v>
      </c>
      <c r="C1489" s="6">
        <v>7257810</v>
      </c>
      <c r="D1489" s="5" t="s">
        <v>186</v>
      </c>
      <c r="E1489" s="5" t="str">
        <f t="shared" si="74"/>
        <v>ACTISALUD -PEDIATRIA</v>
      </c>
      <c r="F1489" s="5"/>
      <c r="G1489" s="5"/>
    </row>
    <row r="1490" spans="1:7" ht="58.5" customHeight="1" x14ac:dyDescent="0.25">
      <c r="A1490" s="5" t="str">
        <f>"H0029060"</f>
        <v>H0029060</v>
      </c>
      <c r="B1490" s="5" t="str">
        <f>"SOPORTE PEDESTAL METALICO MONITOR FETAL"</f>
        <v>SOPORTE PEDESTAL METALICO MONITOR FETAL</v>
      </c>
      <c r="C1490" s="6">
        <v>730303</v>
      </c>
      <c r="D1490" s="5" t="s">
        <v>88</v>
      </c>
      <c r="E1490" s="5" t="str">
        <f t="shared" si="74"/>
        <v>ACTISALUD -PEDIATRIA</v>
      </c>
      <c r="F1490" s="5"/>
      <c r="G1490" s="5"/>
    </row>
    <row r="1491" spans="1:7" ht="58.5" customHeight="1" x14ac:dyDescent="0.25">
      <c r="A1491" s="5" t="str">
        <f>"H0029118"</f>
        <v>H0029118</v>
      </c>
      <c r="B1491" s="5" t="str">
        <f>"MESA RIÑONERA"</f>
        <v>MESA RIÑONERA</v>
      </c>
      <c r="C1491" s="6">
        <v>784221.91</v>
      </c>
      <c r="D1491" s="5" t="s">
        <v>13</v>
      </c>
      <c r="E1491" s="5" t="str">
        <f t="shared" si="74"/>
        <v>ACTISALUD -PEDIATRIA</v>
      </c>
      <c r="F1491" s="5"/>
      <c r="G1491" s="5" t="str">
        <f>"M174"</f>
        <v>M174</v>
      </c>
    </row>
    <row r="1492" spans="1:7" ht="58.5" customHeight="1" x14ac:dyDescent="0.25">
      <c r="A1492" s="5" t="str">
        <f>"H0029183"</f>
        <v>H0029183</v>
      </c>
      <c r="B1492" s="5" t="str">
        <f>"MONITOR DE SIGNOS VITALES"</f>
        <v>MONITOR DE SIGNOS VITALES</v>
      </c>
      <c r="C1492" s="6">
        <v>5950000</v>
      </c>
      <c r="D1492" s="5" t="s">
        <v>13</v>
      </c>
      <c r="E1492" s="5" t="str">
        <f t="shared" si="74"/>
        <v>ACTISALUD -PEDIATRIA</v>
      </c>
      <c r="F1492" s="5"/>
      <c r="G1492" s="5"/>
    </row>
    <row r="1493" spans="1:7" ht="58.5" customHeight="1" x14ac:dyDescent="0.25">
      <c r="A1493" s="5" t="str">
        <f>"H0029363"</f>
        <v>H0029363</v>
      </c>
      <c r="B1493" s="5" t="str">
        <f>"SILLA HERGONOMICA CON SISTEMA HIDRAULICO"</f>
        <v>SILLA HERGONOMICA CON SISTEMA HIDRAULICO</v>
      </c>
      <c r="C1493" s="6">
        <v>174900</v>
      </c>
      <c r="D1493" s="5" t="s">
        <v>89</v>
      </c>
      <c r="E1493" s="5" t="str">
        <f t="shared" si="74"/>
        <v>ACTISALUD -PEDIATRIA</v>
      </c>
      <c r="F1493" s="5"/>
      <c r="G1493" s="5"/>
    </row>
    <row r="1494" spans="1:7" ht="58.5" customHeight="1" x14ac:dyDescent="0.25">
      <c r="A1494" s="5" t="str">
        <f>"H0029482"</f>
        <v>H0029482</v>
      </c>
      <c r="B1494" s="5" t="str">
        <f>"LECTOR DE HUELLAS DIGITALES"</f>
        <v>LECTOR DE HUELLAS DIGITALES</v>
      </c>
      <c r="C1494" s="6">
        <v>309400</v>
      </c>
      <c r="D1494" s="5" t="s">
        <v>14</v>
      </c>
      <c r="E1494" s="5" t="str">
        <f t="shared" si="74"/>
        <v>ACTISALUD -PEDIATRIA</v>
      </c>
      <c r="F1494" s="5"/>
      <c r="G1494" s="5"/>
    </row>
    <row r="1495" spans="1:7" ht="58.5" customHeight="1" x14ac:dyDescent="0.25">
      <c r="A1495" s="5" t="str">
        <f>"H0029734"</f>
        <v>H0029734</v>
      </c>
      <c r="B1495" s="5" t="s">
        <v>94</v>
      </c>
      <c r="C1495" s="6">
        <v>148999.9</v>
      </c>
      <c r="D1495" s="5" t="s">
        <v>93</v>
      </c>
      <c r="E1495" s="5" t="str">
        <f t="shared" si="74"/>
        <v>ACTISALUD -PEDIATRIA</v>
      </c>
      <c r="F1495" s="5"/>
      <c r="G1495" s="5"/>
    </row>
    <row r="1496" spans="1:7" ht="58.5" customHeight="1" x14ac:dyDescent="0.25">
      <c r="A1496" s="5" t="str">
        <f>"H0029735"</f>
        <v>H0029735</v>
      </c>
      <c r="B1496" s="5" t="s">
        <v>94</v>
      </c>
      <c r="C1496" s="6">
        <v>148999.9</v>
      </c>
      <c r="D1496" s="5" t="s">
        <v>93</v>
      </c>
      <c r="E1496" s="5" t="str">
        <f t="shared" si="74"/>
        <v>ACTISALUD -PEDIATRIA</v>
      </c>
      <c r="F1496" s="5"/>
      <c r="G1496" s="5"/>
    </row>
    <row r="1497" spans="1:7" ht="58.5" customHeight="1" x14ac:dyDescent="0.25">
      <c r="A1497" s="5" t="str">
        <f>"H0029736"</f>
        <v>H0029736</v>
      </c>
      <c r="B1497" s="5" t="s">
        <v>94</v>
      </c>
      <c r="C1497" s="6">
        <v>148999.9</v>
      </c>
      <c r="D1497" s="5" t="s">
        <v>93</v>
      </c>
      <c r="E1497" s="5" t="str">
        <f t="shared" si="74"/>
        <v>ACTISALUD -PEDIATRIA</v>
      </c>
      <c r="F1497" s="5"/>
      <c r="G1497" s="5"/>
    </row>
    <row r="1498" spans="1:7" ht="58.5" customHeight="1" x14ac:dyDescent="0.25">
      <c r="A1498" s="5" t="str">
        <f>"H0029737"</f>
        <v>H0029737</v>
      </c>
      <c r="B1498" s="5" t="s">
        <v>94</v>
      </c>
      <c r="C1498" s="6">
        <v>148999.9</v>
      </c>
      <c r="D1498" s="5" t="s">
        <v>93</v>
      </c>
      <c r="E1498" s="5" t="str">
        <f t="shared" si="74"/>
        <v>ACTISALUD -PEDIATRIA</v>
      </c>
      <c r="F1498" s="5"/>
      <c r="G1498" s="5"/>
    </row>
    <row r="1499" spans="1:7" ht="58.5" customHeight="1" x14ac:dyDescent="0.25">
      <c r="A1499" s="5" t="str">
        <f>"H0029779"</f>
        <v>H0029779</v>
      </c>
      <c r="B1499" s="5" t="s">
        <v>96</v>
      </c>
      <c r="C1499" s="6">
        <v>169000.22</v>
      </c>
      <c r="D1499" s="5" t="s">
        <v>93</v>
      </c>
      <c r="E1499" s="5" t="str">
        <f t="shared" si="74"/>
        <v>ACTISALUD -PEDIATRIA</v>
      </c>
      <c r="F1499" s="5"/>
      <c r="G1499" s="5"/>
    </row>
    <row r="1500" spans="1:7" ht="58.5" customHeight="1" x14ac:dyDescent="0.25">
      <c r="A1500" s="5" t="str">
        <f>"H0029809"</f>
        <v>H0029809</v>
      </c>
      <c r="B150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500" s="6">
        <v>252399.97</v>
      </c>
      <c r="D1500" s="5" t="s">
        <v>189</v>
      </c>
      <c r="E1500" s="5" t="str">
        <f t="shared" si="74"/>
        <v>ACTISALUD -PEDIATRIA</v>
      </c>
      <c r="F1500" s="5"/>
      <c r="G1500" s="5"/>
    </row>
    <row r="1501" spans="1:7" ht="58.5" customHeight="1" x14ac:dyDescent="0.25">
      <c r="A1501" s="5" t="str">
        <f>"H0030043"</f>
        <v>H0030043</v>
      </c>
      <c r="B1501" s="5" t="str">
        <f t="shared" ref="B1501:B1506" si="76">"SILLA RECLINOMATICA"</f>
        <v>SILLA RECLINOMATICA</v>
      </c>
      <c r="C1501" s="6">
        <v>1065050</v>
      </c>
      <c r="D1501" s="5" t="s">
        <v>97</v>
      </c>
      <c r="E1501" s="5" t="str">
        <f t="shared" si="74"/>
        <v>ACTISALUD -PEDIATRIA</v>
      </c>
      <c r="F1501" s="5"/>
      <c r="G1501" s="5"/>
    </row>
    <row r="1502" spans="1:7" ht="58.5" customHeight="1" x14ac:dyDescent="0.25">
      <c r="A1502" s="5" t="str">
        <f>"H0030059"</f>
        <v>H0030059</v>
      </c>
      <c r="B1502" s="5" t="str">
        <f t="shared" si="76"/>
        <v>SILLA RECLINOMATICA</v>
      </c>
      <c r="C1502" s="6">
        <v>1065050</v>
      </c>
      <c r="D1502" s="5" t="s">
        <v>98</v>
      </c>
      <c r="E1502" s="5" t="str">
        <f t="shared" si="74"/>
        <v>ACTISALUD -PEDIATRIA</v>
      </c>
      <c r="F1502" s="5"/>
      <c r="G1502" s="5"/>
    </row>
    <row r="1503" spans="1:7" ht="58.5" customHeight="1" x14ac:dyDescent="0.25">
      <c r="A1503" s="5" t="str">
        <f>"H0030061"</f>
        <v>H0030061</v>
      </c>
      <c r="B1503" s="5" t="str">
        <f t="shared" si="76"/>
        <v>SILLA RECLINOMATICA</v>
      </c>
      <c r="C1503" s="6">
        <v>1065050</v>
      </c>
      <c r="D1503" s="5" t="s">
        <v>98</v>
      </c>
      <c r="E1503" s="5" t="str">
        <f t="shared" si="74"/>
        <v>ACTISALUD -PEDIATRIA</v>
      </c>
      <c r="F1503" s="5"/>
      <c r="G1503" s="5"/>
    </row>
    <row r="1504" spans="1:7" ht="58.5" customHeight="1" x14ac:dyDescent="0.25">
      <c r="A1504" s="5" t="str">
        <f>"H0030066"</f>
        <v>H0030066</v>
      </c>
      <c r="B1504" s="5" t="str">
        <f t="shared" si="76"/>
        <v>SILLA RECLINOMATICA</v>
      </c>
      <c r="C1504" s="6">
        <v>1065050</v>
      </c>
      <c r="D1504" s="5" t="s">
        <v>98</v>
      </c>
      <c r="E1504" s="5" t="str">
        <f t="shared" si="74"/>
        <v>ACTISALUD -PEDIATRIA</v>
      </c>
      <c r="F1504" s="5"/>
      <c r="G1504" s="5"/>
    </row>
    <row r="1505" spans="1:7" ht="58.5" customHeight="1" x14ac:dyDescent="0.25">
      <c r="A1505" s="5" t="str">
        <f>"H0030084"</f>
        <v>H0030084</v>
      </c>
      <c r="B1505" s="5" t="str">
        <f t="shared" si="76"/>
        <v>SILLA RECLINOMATICA</v>
      </c>
      <c r="C1505" s="6">
        <v>1065050</v>
      </c>
      <c r="D1505" s="5" t="s">
        <v>99</v>
      </c>
      <c r="E1505" s="5" t="str">
        <f t="shared" si="74"/>
        <v>ACTISALUD -PEDIATRIA</v>
      </c>
      <c r="F1505" s="5"/>
      <c r="G1505" s="5"/>
    </row>
    <row r="1506" spans="1:7" ht="58.5" customHeight="1" x14ac:dyDescent="0.25">
      <c r="A1506" s="5" t="str">
        <f>"H0030091"</f>
        <v>H0030091</v>
      </c>
      <c r="B1506" s="5" t="str">
        <f t="shared" si="76"/>
        <v>SILLA RECLINOMATICA</v>
      </c>
      <c r="C1506" s="6">
        <v>1065050</v>
      </c>
      <c r="D1506" s="5" t="s">
        <v>99</v>
      </c>
      <c r="E1506" s="5" t="str">
        <f t="shared" si="74"/>
        <v>ACTISALUD -PEDIATRIA</v>
      </c>
      <c r="F1506" s="5"/>
      <c r="G1506" s="5"/>
    </row>
    <row r="1507" spans="1:7" ht="58.5" customHeight="1" x14ac:dyDescent="0.25">
      <c r="A1507" s="5" t="str">
        <f>"H0030157"</f>
        <v>H0030157</v>
      </c>
      <c r="B150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507" s="6">
        <v>252400</v>
      </c>
      <c r="D1507" s="5" t="s">
        <v>190</v>
      </c>
      <c r="E1507" s="5" t="str">
        <f t="shared" si="74"/>
        <v>ACTISALUD -PEDIATRIA</v>
      </c>
      <c r="F1507" s="5"/>
      <c r="G1507" s="5"/>
    </row>
    <row r="1508" spans="1:7" ht="58.5" customHeight="1" x14ac:dyDescent="0.25">
      <c r="A1508" s="5" t="str">
        <f>"H0030158"</f>
        <v>H0030158</v>
      </c>
      <c r="B150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508" s="6">
        <v>252400</v>
      </c>
      <c r="D1508" s="5" t="s">
        <v>190</v>
      </c>
      <c r="E1508" s="5" t="str">
        <f t="shared" si="74"/>
        <v>ACTISALUD -PEDIATRIA</v>
      </c>
      <c r="F1508" s="5"/>
      <c r="G1508" s="5"/>
    </row>
    <row r="1509" spans="1:7" ht="58.5" customHeight="1" x14ac:dyDescent="0.25">
      <c r="A1509" s="5" t="str">
        <f>"H0030159"</f>
        <v>H0030159</v>
      </c>
      <c r="B150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509" s="6">
        <v>252400</v>
      </c>
      <c r="D1509" s="5" t="s">
        <v>190</v>
      </c>
      <c r="E1509" s="5" t="str">
        <f t="shared" si="74"/>
        <v>ACTISALUD -PEDIATRIA</v>
      </c>
      <c r="F1509" s="5"/>
      <c r="G1509" s="5"/>
    </row>
    <row r="1510" spans="1:7" ht="58.5" customHeight="1" x14ac:dyDescent="0.25">
      <c r="A1510" s="5" t="str">
        <f>"H0030223"</f>
        <v>H0030223</v>
      </c>
      <c r="B1510"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510" s="6">
        <v>773500</v>
      </c>
      <c r="D1510" s="5" t="s">
        <v>154</v>
      </c>
      <c r="E1510" s="5" t="str">
        <f t="shared" si="74"/>
        <v>ACTISALUD -PEDIATRIA</v>
      </c>
      <c r="F1510" s="5"/>
      <c r="G1510" s="5"/>
    </row>
    <row r="1511" spans="1:7" ht="58.5" customHeight="1" x14ac:dyDescent="0.25">
      <c r="A1511" s="5" t="str">
        <f>"H0030224"</f>
        <v>H0030224</v>
      </c>
      <c r="B1511"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511" s="6">
        <v>773500</v>
      </c>
      <c r="D1511" s="5" t="s">
        <v>154</v>
      </c>
      <c r="E1511" s="5" t="str">
        <f t="shared" si="74"/>
        <v>ACTISALUD -PEDIATRIA</v>
      </c>
      <c r="F1511" s="5"/>
      <c r="G1511" s="5"/>
    </row>
    <row r="1512" spans="1:7" ht="58.5" customHeight="1" x14ac:dyDescent="0.25">
      <c r="A1512" s="5" t="str">
        <f>"H0030225"</f>
        <v>H0030225</v>
      </c>
      <c r="B1512"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512" s="6">
        <v>773500</v>
      </c>
      <c r="D1512" s="5" t="s">
        <v>154</v>
      </c>
      <c r="E1512" s="5" t="str">
        <f t="shared" si="74"/>
        <v>ACTISALUD -PEDIATRIA</v>
      </c>
      <c r="F1512" s="5"/>
      <c r="G1512" s="5"/>
    </row>
    <row r="1513" spans="1:7" ht="58.5" customHeight="1" x14ac:dyDescent="0.25">
      <c r="A1513" s="5" t="str">
        <f>"H0031312"</f>
        <v>H0031312</v>
      </c>
      <c r="B1513" s="5" t="str">
        <f>"MUEBLE DE 2 PUESTOS CON MEDIDAS DE 1,64 MTS"</f>
        <v>MUEBLE DE 2 PUESTOS CON MEDIDAS DE 1,64 MTS</v>
      </c>
      <c r="C1513" s="6">
        <v>700000</v>
      </c>
      <c r="D1513" s="5" t="s">
        <v>104</v>
      </c>
      <c r="E1513" s="5" t="str">
        <f t="shared" si="74"/>
        <v>ACTISALUD -PEDIATRIA</v>
      </c>
      <c r="F1513" s="5"/>
      <c r="G1513" s="5"/>
    </row>
    <row r="1514" spans="1:7" ht="58.5" customHeight="1" x14ac:dyDescent="0.25">
      <c r="A1514" s="5" t="str">
        <f>"H0031313"</f>
        <v>H0031313</v>
      </c>
      <c r="B1514" s="5" t="str">
        <f>"MUEBLE DE 3 PUESTOS CON MEDIDAS DE 2,46 MTS"</f>
        <v>MUEBLE DE 3 PUESTOS CON MEDIDAS DE 2,46 MTS</v>
      </c>
      <c r="C1514" s="6">
        <v>1050000</v>
      </c>
      <c r="D1514" s="5" t="s">
        <v>104</v>
      </c>
      <c r="E1514" s="5" t="str">
        <f t="shared" si="74"/>
        <v>ACTISALUD -PEDIATRIA</v>
      </c>
      <c r="F1514" s="5"/>
      <c r="G1514" s="5"/>
    </row>
    <row r="1515" spans="1:7" ht="58.5" customHeight="1" x14ac:dyDescent="0.25">
      <c r="A1515" s="5" t="str">
        <f>"H0031314"</f>
        <v>H0031314</v>
      </c>
      <c r="B1515" s="5" t="str">
        <f>"SOFA CON MEDIDAS DE 1,10 MTS"</f>
        <v>SOFA CON MEDIDAS DE 1,10 MTS</v>
      </c>
      <c r="C1515" s="6">
        <v>650000</v>
      </c>
      <c r="D1515" s="5" t="s">
        <v>104</v>
      </c>
      <c r="E1515" s="5" t="str">
        <f t="shared" si="74"/>
        <v>ACTISALUD -PEDIATRIA</v>
      </c>
      <c r="F1515" s="5"/>
      <c r="G1515" s="5"/>
    </row>
    <row r="1516" spans="1:7" ht="58.5" customHeight="1" x14ac:dyDescent="0.25">
      <c r="A1516" s="5" t="str">
        <f>"H0031471"</f>
        <v>H0031471</v>
      </c>
      <c r="B151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16" s="6">
        <v>3209500</v>
      </c>
      <c r="D1516" s="5" t="s">
        <v>16</v>
      </c>
      <c r="E1516" s="5" t="str">
        <f t="shared" si="74"/>
        <v>ACTISALUD -PEDIATRIA</v>
      </c>
      <c r="F1516" s="5"/>
      <c r="G1516" s="5"/>
    </row>
    <row r="1517" spans="1:7" ht="58.5" customHeight="1" x14ac:dyDescent="0.25">
      <c r="A1517" s="5" t="str">
        <f>"H0031490"</f>
        <v>H0031490</v>
      </c>
      <c r="B151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17" s="6">
        <v>3209500</v>
      </c>
      <c r="D1517" s="5" t="s">
        <v>16</v>
      </c>
      <c r="E1517" s="5" t="str">
        <f t="shared" si="74"/>
        <v>ACTISALUD -PEDIATRIA</v>
      </c>
      <c r="F1517" s="5"/>
      <c r="G1517" s="5"/>
    </row>
    <row r="1518" spans="1:7" ht="58.5" customHeight="1" x14ac:dyDescent="0.25">
      <c r="A1518" s="5" t="str">
        <f>"H0031604"</f>
        <v>H0031604</v>
      </c>
      <c r="B1518" s="5" t="str">
        <f>"MESA DE CENTRO CON MEDIDAS DE 0,84 MTS X 0,54 MTS"</f>
        <v>MESA DE CENTRO CON MEDIDAS DE 0,84 MTS X 0,54 MTS</v>
      </c>
      <c r="C1518" s="6">
        <v>160000</v>
      </c>
      <c r="D1518" s="5" t="s">
        <v>42</v>
      </c>
      <c r="E1518" s="5" t="str">
        <f t="shared" si="74"/>
        <v>ACTISALUD -PEDIATRIA</v>
      </c>
      <c r="F1518" s="5"/>
      <c r="G1518" s="5"/>
    </row>
    <row r="1519" spans="1:7" ht="58.5" customHeight="1" x14ac:dyDescent="0.25">
      <c r="A1519" s="5" t="str">
        <f>"H0032360"</f>
        <v>H0032360</v>
      </c>
      <c r="B1519" s="5" t="str">
        <f>"BOMBA JERINGA (DONACION)"</f>
        <v>BOMBA JERINGA (DONACION)</v>
      </c>
      <c r="C1519" s="6">
        <v>2300000</v>
      </c>
      <c r="D1519" s="5" t="s">
        <v>191</v>
      </c>
      <c r="E1519" s="5" t="str">
        <f t="shared" si="74"/>
        <v>ACTISALUD -PEDIATRIA</v>
      </c>
      <c r="F1519" s="5"/>
      <c r="G1519" s="5"/>
    </row>
    <row r="1520" spans="1:7" ht="58.5" customHeight="1" x14ac:dyDescent="0.25">
      <c r="A1520" s="5" t="str">
        <f>"H0032363"</f>
        <v>H0032363</v>
      </c>
      <c r="B1520" s="5" t="str">
        <f>"BOMBA JERINGA (DONACION)"</f>
        <v>BOMBA JERINGA (DONACION)</v>
      </c>
      <c r="C1520" s="6">
        <v>2300000</v>
      </c>
      <c r="D1520" s="5" t="s">
        <v>191</v>
      </c>
      <c r="E1520" s="5" t="str">
        <f t="shared" ref="E1520:E1583" si="77">"ACTISALUD -PEDIATRIA"</f>
        <v>ACTISALUD -PEDIATRIA</v>
      </c>
      <c r="F1520" s="5"/>
      <c r="G1520" s="5" t="str">
        <f>"HK-100III"</f>
        <v>HK-100III</v>
      </c>
    </row>
    <row r="1521" spans="1:7" ht="58.5" customHeight="1" x14ac:dyDescent="0.25">
      <c r="A1521" s="5" t="str">
        <f>"H0032367"</f>
        <v>H0032367</v>
      </c>
      <c r="B1521" s="5" t="str">
        <f>"LECTOR BIOMETRICO (DONACION)"</f>
        <v>LECTOR BIOMETRICO (DONACION)</v>
      </c>
      <c r="C1521" s="6">
        <v>309400</v>
      </c>
      <c r="D1521" s="5" t="s">
        <v>110</v>
      </c>
      <c r="E1521" s="5" t="str">
        <f t="shared" si="77"/>
        <v>ACTISALUD -PEDIATRIA</v>
      </c>
      <c r="F1521" s="5"/>
      <c r="G1521" s="5"/>
    </row>
    <row r="1522" spans="1:7" ht="58.5" customHeight="1" x14ac:dyDescent="0.25">
      <c r="A1522" s="5" t="str">
        <f>"H0032545"</f>
        <v>H0032545</v>
      </c>
      <c r="B1522" s="5" t="str">
        <f>"bomba de infusion (DONACION)"</f>
        <v>bomba de infusion (DONACION)</v>
      </c>
      <c r="C1522" s="6">
        <v>4860000</v>
      </c>
      <c r="D1522" s="5" t="s">
        <v>113</v>
      </c>
      <c r="E1522" s="5" t="str">
        <f t="shared" si="77"/>
        <v>ACTISALUD -PEDIATRIA</v>
      </c>
      <c r="F1522" s="5"/>
      <c r="G1522" s="5"/>
    </row>
    <row r="1523" spans="1:7" ht="58.5" customHeight="1" x14ac:dyDescent="0.25">
      <c r="A1523" s="5" t="str">
        <f>"H0032550"</f>
        <v>H0032550</v>
      </c>
      <c r="B1523" s="5" t="str">
        <f>"bomba de infusion (DONACION)"</f>
        <v>bomba de infusion (DONACION)</v>
      </c>
      <c r="C1523" s="6">
        <v>4860000</v>
      </c>
      <c r="D1523" s="5" t="s">
        <v>113</v>
      </c>
      <c r="E1523" s="5" t="str">
        <f t="shared" si="77"/>
        <v>ACTISALUD -PEDIATRIA</v>
      </c>
      <c r="F1523" s="5"/>
      <c r="G1523" s="5"/>
    </row>
    <row r="1524" spans="1:7" ht="58.5" customHeight="1" x14ac:dyDescent="0.25">
      <c r="A1524" s="5" t="str">
        <f>"H0032574"</f>
        <v>H0032574</v>
      </c>
      <c r="B1524" s="5" t="str">
        <f>"bomba de infusion (DONACION)"</f>
        <v>bomba de infusion (DONACION)</v>
      </c>
      <c r="C1524" s="6">
        <v>4860000</v>
      </c>
      <c r="D1524" s="5" t="s">
        <v>113</v>
      </c>
      <c r="E1524" s="5" t="str">
        <f t="shared" si="77"/>
        <v>ACTISALUD -PEDIATRIA</v>
      </c>
      <c r="F1524" s="5"/>
      <c r="G1524" s="5"/>
    </row>
    <row r="1525" spans="1:7" ht="58.5" customHeight="1" x14ac:dyDescent="0.25">
      <c r="A1525" s="5" t="str">
        <f>"H0032589"</f>
        <v>H0032589</v>
      </c>
      <c r="B1525" s="5" t="str">
        <f>"bomba de infusion (DONACION)"</f>
        <v>bomba de infusion (DONACION)</v>
      </c>
      <c r="C1525" s="6">
        <v>4860000</v>
      </c>
      <c r="D1525" s="5" t="s">
        <v>113</v>
      </c>
      <c r="E1525" s="5" t="str">
        <f t="shared" si="77"/>
        <v>ACTISALUD -PEDIATRIA</v>
      </c>
      <c r="F1525" s="5"/>
      <c r="G1525" s="5"/>
    </row>
    <row r="1526" spans="1:7" ht="58.5" customHeight="1" x14ac:dyDescent="0.25">
      <c r="A1526" s="5" t="str">
        <f>"H0032618"</f>
        <v>H0032618</v>
      </c>
      <c r="B1526" s="5" t="str">
        <f>"EQUIPO DE ORGANO (DONACION)"</f>
        <v>EQUIPO DE ORGANO (DONACION)</v>
      </c>
      <c r="C1526" s="6">
        <v>955000</v>
      </c>
      <c r="D1526" s="5" t="s">
        <v>113</v>
      </c>
      <c r="E1526" s="5" t="str">
        <f t="shared" si="77"/>
        <v>ACTISALUD -PEDIATRIA</v>
      </c>
      <c r="F1526" s="5"/>
      <c r="G1526" s="5"/>
    </row>
    <row r="1527" spans="1:7" ht="58.5" customHeight="1" x14ac:dyDescent="0.25">
      <c r="A1527" s="5" t="str">
        <f>"H0032620"</f>
        <v>H0032620</v>
      </c>
      <c r="B1527" s="5" t="str">
        <f>"EQUIPO DE ORGANO (DONACION)"</f>
        <v>EQUIPO DE ORGANO (DONACION)</v>
      </c>
      <c r="C1527" s="6">
        <v>955000</v>
      </c>
      <c r="D1527" s="5" t="s">
        <v>113</v>
      </c>
      <c r="E1527" s="5" t="str">
        <f t="shared" si="77"/>
        <v>ACTISALUD -PEDIATRIA</v>
      </c>
      <c r="F1527" s="5"/>
      <c r="G1527" s="5"/>
    </row>
    <row r="1528" spans="1:7" ht="58.5" customHeight="1" x14ac:dyDescent="0.25">
      <c r="A1528" s="5" t="str">
        <f>"H0032894"</f>
        <v>H0032894</v>
      </c>
      <c r="B1528" s="5" t="str">
        <f>"AIRE ACONDICIONADO TIPO MINISPLIT CAPACIDAD 24.000 BTU TECNOLOGIA INVERTER DUAL"</f>
        <v>AIRE ACONDICIONADO TIPO MINISPLIT CAPACIDAD 24.000 BTU TECNOLOGIA INVERTER DUAL</v>
      </c>
      <c r="C1528" s="6">
        <v>3385716.67</v>
      </c>
      <c r="D1528" s="5" t="s">
        <v>20</v>
      </c>
      <c r="E1528" s="5" t="str">
        <f t="shared" si="77"/>
        <v>ACTISALUD -PEDIATRIA</v>
      </c>
      <c r="F1528" s="5"/>
      <c r="G1528" s="5"/>
    </row>
    <row r="1529" spans="1:7" ht="58.5" customHeight="1" x14ac:dyDescent="0.25">
      <c r="A1529" s="5" t="str">
        <f>"H0033042"</f>
        <v>H0033042</v>
      </c>
      <c r="B1529" s="5" t="str">
        <f>"MONITOR DE SIGNOS VITALES"</f>
        <v>MONITOR DE SIGNOS VITALES</v>
      </c>
      <c r="C1529" s="6">
        <v>9470000</v>
      </c>
      <c r="D1529" s="5" t="s">
        <v>119</v>
      </c>
      <c r="E1529" s="5" t="str">
        <f t="shared" si="77"/>
        <v>ACTISALUD -PEDIATRIA</v>
      </c>
      <c r="F1529" s="5"/>
      <c r="G1529" s="5"/>
    </row>
    <row r="1530" spans="1:7" ht="58.5" customHeight="1" x14ac:dyDescent="0.25">
      <c r="A1530" s="5" t="str">
        <f>"H0033046"</f>
        <v>H0033046</v>
      </c>
      <c r="B1530" s="5" t="str">
        <f>"MONITOR DE SIGNOS VITALES"</f>
        <v>MONITOR DE SIGNOS VITALES</v>
      </c>
      <c r="C1530" s="6">
        <v>9470000</v>
      </c>
      <c r="D1530" s="5" t="s">
        <v>119</v>
      </c>
      <c r="E1530" s="5" t="str">
        <f t="shared" si="77"/>
        <v>ACTISALUD -PEDIATRIA</v>
      </c>
      <c r="F1530" s="5"/>
      <c r="G1530" s="5"/>
    </row>
    <row r="1531" spans="1:7" ht="58.5" customHeight="1" x14ac:dyDescent="0.25">
      <c r="A1531" s="5" t="str">
        <f>"H0033065"</f>
        <v>H0033065</v>
      </c>
      <c r="B1531" s="5" t="str">
        <f>"MONITOR DE SIGNOS VITALES"</f>
        <v>MONITOR DE SIGNOS VITALES</v>
      </c>
      <c r="C1531" s="6">
        <v>9470000</v>
      </c>
      <c r="D1531" s="5" t="s">
        <v>119</v>
      </c>
      <c r="E1531" s="5" t="str">
        <f t="shared" si="77"/>
        <v>ACTISALUD -PEDIATRIA</v>
      </c>
      <c r="F1531" s="5"/>
      <c r="G1531" s="5"/>
    </row>
    <row r="1532" spans="1:7" ht="58.5" customHeight="1" x14ac:dyDescent="0.25">
      <c r="A1532" s="5" t="str">
        <f>"H0033105"</f>
        <v>H0033105</v>
      </c>
      <c r="B1532" s="5" t="str">
        <f>"MONITOR DE SIGNOS VITALES"</f>
        <v>MONITOR DE SIGNOS VITALES</v>
      </c>
      <c r="C1532" s="6">
        <v>9470000</v>
      </c>
      <c r="D1532" s="5" t="s">
        <v>119</v>
      </c>
      <c r="E1532" s="5" t="str">
        <f t="shared" si="77"/>
        <v>ACTISALUD -PEDIATRIA</v>
      </c>
      <c r="F1532" s="5"/>
      <c r="G1532" s="5"/>
    </row>
    <row r="1533" spans="1:7" ht="58.5" customHeight="1" x14ac:dyDescent="0.25">
      <c r="A1533" s="5" t="str">
        <f>"H0033200"</f>
        <v>H0033200</v>
      </c>
      <c r="B1533"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33" s="6">
        <v>2533333</v>
      </c>
      <c r="D1533" s="5" t="s">
        <v>157</v>
      </c>
      <c r="E1533" s="5" t="str">
        <f t="shared" si="77"/>
        <v>ACTISALUD -PEDIATRIA</v>
      </c>
      <c r="F1533" s="5"/>
      <c r="G1533" s="5"/>
    </row>
    <row r="1534" spans="1:7" ht="58.5" customHeight="1" x14ac:dyDescent="0.25">
      <c r="A1534" s="5" t="str">
        <f>"H0033220"</f>
        <v>H0033220</v>
      </c>
      <c r="B1534"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34" s="6">
        <v>2533333</v>
      </c>
      <c r="D1534" s="5" t="s">
        <v>157</v>
      </c>
      <c r="E1534" s="5" t="str">
        <f t="shared" si="77"/>
        <v>ACTISALUD -PEDIATRIA</v>
      </c>
      <c r="F1534" s="5"/>
      <c r="G1534" s="5"/>
    </row>
    <row r="1535" spans="1:7" ht="58.5" customHeight="1" x14ac:dyDescent="0.25">
      <c r="A1535" s="5" t="str">
        <f>"H0033223"</f>
        <v>H0033223</v>
      </c>
      <c r="B1535"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35" s="6">
        <v>2533333</v>
      </c>
      <c r="D1535" s="5" t="s">
        <v>157</v>
      </c>
      <c r="E1535" s="5" t="str">
        <f t="shared" si="77"/>
        <v>ACTISALUD -PEDIATRIA</v>
      </c>
      <c r="F1535" s="5"/>
      <c r="G1535" s="5"/>
    </row>
    <row r="1536" spans="1:7" ht="58.5" customHeight="1" x14ac:dyDescent="0.25">
      <c r="A1536" s="5" t="str">
        <f>"H0033255"</f>
        <v>H0033255</v>
      </c>
      <c r="B1536" s="5" t="str">
        <f>"MONITOR DE SIGNOS VITALES"</f>
        <v>MONITOR DE SIGNOS VITALES</v>
      </c>
      <c r="C1536" s="6">
        <v>9470000</v>
      </c>
      <c r="D1536" s="5" t="s">
        <v>119</v>
      </c>
      <c r="E1536" s="5" t="str">
        <f t="shared" si="77"/>
        <v>ACTISALUD -PEDIATRIA</v>
      </c>
      <c r="F1536" s="5"/>
      <c r="G1536" s="5"/>
    </row>
    <row r="1537" spans="1:7" ht="58.5" customHeight="1" x14ac:dyDescent="0.25">
      <c r="A1537" s="5" t="str">
        <f>"H0033264"</f>
        <v>H0033264</v>
      </c>
      <c r="B1537" s="5" t="str">
        <f>"EQUIPO DE ORGANOS PORTATIL. Batería Recargable. Luz LED blanca y fría. Oftalmoscopio mínimo 5 lentes de apertura. otoscopio con lente de lupa. Estuche protector"</f>
        <v>EQUIPO DE ORGANOS PORTATIL. Batería Recargable. Luz LED blanca y fría. Oftalmoscopio mínimo 5 lentes de apertura. otoscopio con lente de lupa. Estuche protector</v>
      </c>
      <c r="C1537" s="6">
        <v>1170000</v>
      </c>
      <c r="D1537" s="5" t="s">
        <v>119</v>
      </c>
      <c r="E1537" s="5" t="str">
        <f t="shared" si="77"/>
        <v>ACTISALUD -PEDIATRIA</v>
      </c>
      <c r="F1537" s="5"/>
      <c r="G1537" s="5"/>
    </row>
    <row r="1538" spans="1:7" ht="58.5" customHeight="1" x14ac:dyDescent="0.25">
      <c r="A1538" s="5" t="str">
        <f>"H0033368"</f>
        <v>H0033368</v>
      </c>
      <c r="B1538" s="5" t="str">
        <f t="shared" ref="B1538:B1549" si="78">"BOMBA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38" s="6">
        <v>2533333</v>
      </c>
      <c r="D1538" s="5" t="s">
        <v>120</v>
      </c>
      <c r="E1538" s="5" t="str">
        <f t="shared" si="77"/>
        <v>ACTISALUD -PEDIATRIA</v>
      </c>
      <c r="F1538" s="5"/>
      <c r="G1538" s="5"/>
    </row>
    <row r="1539" spans="1:7" ht="58.5" customHeight="1" x14ac:dyDescent="0.25">
      <c r="A1539" s="5" t="str">
        <f>"H0033556"</f>
        <v>H0033556</v>
      </c>
      <c r="B1539" s="5" t="str">
        <f t="shared" si="78"/>
        <v>BOMBA DE INFUSION. Apilables.5 modos. 01-1200 ml/h. 0.1 ml incr. Compatible con set de infusión genérico. anti-bolo. Detección de aire. Alarmas visuales audibles. Bitacora 1.000 reg. Batería de litio</v>
      </c>
      <c r="C1539" s="6">
        <v>2533333</v>
      </c>
      <c r="D1539" s="5" t="s">
        <v>120</v>
      </c>
      <c r="E1539" s="5" t="str">
        <f t="shared" si="77"/>
        <v>ACTISALUD -PEDIATRIA</v>
      </c>
      <c r="F1539" s="5"/>
      <c r="G1539" s="5"/>
    </row>
    <row r="1540" spans="1:7" ht="58.5" customHeight="1" x14ac:dyDescent="0.25">
      <c r="A1540" s="5" t="str">
        <f>"H0033580"</f>
        <v>H0033580</v>
      </c>
      <c r="B1540" s="5" t="str">
        <f t="shared" si="78"/>
        <v>BOMBA DE INFUSION. Apilables.5 modos. 01-1200 ml/h. 0.1 ml incr. Compatible con set de infusión genérico. anti-bolo. Detección de aire. Alarmas visuales audibles. Bitacora 1.000 reg. Batería de litio</v>
      </c>
      <c r="C1540" s="6">
        <v>2533333</v>
      </c>
      <c r="D1540" s="5" t="s">
        <v>120</v>
      </c>
      <c r="E1540" s="5" t="str">
        <f t="shared" si="77"/>
        <v>ACTISALUD -PEDIATRIA</v>
      </c>
      <c r="F1540" s="5"/>
      <c r="G1540" s="5"/>
    </row>
    <row r="1541" spans="1:7" ht="58.5" customHeight="1" x14ac:dyDescent="0.25">
      <c r="A1541" s="5" t="str">
        <f>"H0033659"</f>
        <v>H0033659</v>
      </c>
      <c r="B1541" s="5" t="str">
        <f t="shared" si="78"/>
        <v>BOMBA DE INFUSION. Apilables.5 modos. 01-1200 ml/h. 0.1 ml incr. Compatible con set de infusión genérico. anti-bolo. Detección de aire. Alarmas visuales audibles. Bitacora 1.000 reg. Batería de litio</v>
      </c>
      <c r="C1541" s="6">
        <v>2533333</v>
      </c>
      <c r="D1541" s="5" t="s">
        <v>120</v>
      </c>
      <c r="E1541" s="5" t="str">
        <f t="shared" si="77"/>
        <v>ACTISALUD -PEDIATRIA</v>
      </c>
      <c r="F1541" s="5"/>
      <c r="G1541" s="5"/>
    </row>
    <row r="1542" spans="1:7" ht="58.5" customHeight="1" x14ac:dyDescent="0.25">
      <c r="A1542" s="5" t="str">
        <f>"H0033660"</f>
        <v>H0033660</v>
      </c>
      <c r="B1542" s="5" t="str">
        <f t="shared" si="78"/>
        <v>BOMBA DE INFUSION. Apilables.5 modos. 01-1200 ml/h. 0.1 ml incr. Compatible con set de infusión genérico. anti-bolo. Detección de aire. Alarmas visuales audibles. Bitacora 1.000 reg. Batería de litio</v>
      </c>
      <c r="C1542" s="6">
        <v>2533333</v>
      </c>
      <c r="D1542" s="5" t="s">
        <v>120</v>
      </c>
      <c r="E1542" s="5" t="str">
        <f t="shared" si="77"/>
        <v>ACTISALUD -PEDIATRIA</v>
      </c>
      <c r="F1542" s="5"/>
      <c r="G1542" s="5"/>
    </row>
    <row r="1543" spans="1:7" ht="58.5" customHeight="1" x14ac:dyDescent="0.25">
      <c r="A1543" s="5" t="str">
        <f>"H0033663"</f>
        <v>H0033663</v>
      </c>
      <c r="B1543" s="5" t="str">
        <f t="shared" si="78"/>
        <v>BOMBA DE INFUSION. Apilables.5 modos. 01-1200 ml/h. 0.1 ml incr. Compatible con set de infusión genérico. anti-bolo. Detección de aire. Alarmas visuales audibles. Bitacora 1.000 reg. Batería de litio</v>
      </c>
      <c r="C1543" s="6">
        <v>2533333</v>
      </c>
      <c r="D1543" s="5" t="s">
        <v>120</v>
      </c>
      <c r="E1543" s="5" t="str">
        <f t="shared" si="77"/>
        <v>ACTISALUD -PEDIATRIA</v>
      </c>
      <c r="F1543" s="5"/>
      <c r="G1543" s="5"/>
    </row>
    <row r="1544" spans="1:7" ht="58.5" customHeight="1" x14ac:dyDescent="0.25">
      <c r="A1544" s="5" t="str">
        <f>"H0033684"</f>
        <v>H0033684</v>
      </c>
      <c r="B1544" s="5" t="str">
        <f t="shared" si="78"/>
        <v>BOMBA DE INFUSION. Apilables.5 modos. 01-1200 ml/h. 0.1 ml incr. Compatible con set de infusión genérico. anti-bolo. Detección de aire. Alarmas visuales audibles. Bitacora 1.000 reg. Batería de litio</v>
      </c>
      <c r="C1544" s="6">
        <v>2533333</v>
      </c>
      <c r="D1544" s="5" t="s">
        <v>120</v>
      </c>
      <c r="E1544" s="5" t="str">
        <f t="shared" si="77"/>
        <v>ACTISALUD -PEDIATRIA</v>
      </c>
      <c r="F1544" s="5"/>
      <c r="G1544" s="5"/>
    </row>
    <row r="1545" spans="1:7" ht="58.5" customHeight="1" x14ac:dyDescent="0.25">
      <c r="A1545" s="5" t="str">
        <f>"H0033845"</f>
        <v>H0033845</v>
      </c>
      <c r="B1545" s="5" t="str">
        <f t="shared" si="78"/>
        <v>BOMBA DE INFUSION. Apilables.5 modos. 01-1200 ml/h. 0.1 ml incr. Compatible con set de infusión genérico. anti-bolo. Detección de aire. Alarmas visuales audibles. Bitacora 1.000 reg. Batería de litio</v>
      </c>
      <c r="C1545" s="6">
        <v>2533333</v>
      </c>
      <c r="D1545" s="5" t="s">
        <v>120</v>
      </c>
      <c r="E1545" s="5" t="str">
        <f t="shared" si="77"/>
        <v>ACTISALUD -PEDIATRIA</v>
      </c>
      <c r="F1545" s="5"/>
      <c r="G1545" s="5"/>
    </row>
    <row r="1546" spans="1:7" ht="58.5" customHeight="1" x14ac:dyDescent="0.25">
      <c r="A1546" s="5" t="str">
        <f>"H0033850"</f>
        <v>H0033850</v>
      </c>
      <c r="B1546" s="5" t="str">
        <f t="shared" si="78"/>
        <v>BOMBA DE INFUSION. Apilables.5 modos. 01-1200 ml/h. 0.1 ml incr. Compatible con set de infusión genérico. anti-bolo. Detección de aire. Alarmas visuales audibles. Bitacora 1.000 reg. Batería de litio</v>
      </c>
      <c r="C1546" s="6">
        <v>2533333</v>
      </c>
      <c r="D1546" s="5" t="s">
        <v>120</v>
      </c>
      <c r="E1546" s="5" t="str">
        <f t="shared" si="77"/>
        <v>ACTISALUD -PEDIATRIA</v>
      </c>
      <c r="F1546" s="5"/>
      <c r="G1546" s="5"/>
    </row>
    <row r="1547" spans="1:7" ht="58.5" customHeight="1" x14ac:dyDescent="0.25">
      <c r="A1547" s="5" t="str">
        <f>"H0033877"</f>
        <v>H0033877</v>
      </c>
      <c r="B1547" s="5" t="str">
        <f t="shared" si="78"/>
        <v>BOMBA DE INFUSION. Apilables.5 modos. 01-1200 ml/h. 0.1 ml incr. Compatible con set de infusión genérico. anti-bolo. Detección de aire. Alarmas visuales audibles. Bitacora 1.000 reg. Batería de litio</v>
      </c>
      <c r="C1547" s="6">
        <v>2533333</v>
      </c>
      <c r="D1547" s="5" t="s">
        <v>120</v>
      </c>
      <c r="E1547" s="5" t="str">
        <f t="shared" si="77"/>
        <v>ACTISALUD -PEDIATRIA</v>
      </c>
      <c r="F1547" s="5"/>
      <c r="G1547" s="5"/>
    </row>
    <row r="1548" spans="1:7" ht="58.5" customHeight="1" x14ac:dyDescent="0.25">
      <c r="A1548" s="5" t="str">
        <f>"H0033882"</f>
        <v>H0033882</v>
      </c>
      <c r="B1548" s="5" t="str">
        <f t="shared" si="78"/>
        <v>BOMBA DE INFUSION. Apilables.5 modos. 01-1200 ml/h. 0.1 ml incr. Compatible con set de infusión genérico. anti-bolo. Detección de aire. Alarmas visuales audibles. Bitacora 1.000 reg. Batería de litio</v>
      </c>
      <c r="C1548" s="6">
        <v>2533333</v>
      </c>
      <c r="D1548" s="5" t="s">
        <v>120</v>
      </c>
      <c r="E1548" s="5" t="str">
        <f t="shared" si="77"/>
        <v>ACTISALUD -PEDIATRIA</v>
      </c>
      <c r="F1548" s="5"/>
      <c r="G1548" s="5"/>
    </row>
    <row r="1549" spans="1:7" ht="58.5" customHeight="1" x14ac:dyDescent="0.25">
      <c r="A1549" s="5" t="str">
        <f>"H0033883"</f>
        <v>H0033883</v>
      </c>
      <c r="B1549" s="5" t="str">
        <f t="shared" si="78"/>
        <v>BOMBA DE INFUSION. Apilables.5 modos. 01-1200 ml/h. 0.1 ml incr. Compatible con set de infusión genérico. anti-bolo. Detección de aire. Alarmas visuales audibles. Bitacora 1.000 reg. Batería de litio</v>
      </c>
      <c r="C1549" s="6">
        <v>2533333</v>
      </c>
      <c r="D1549" s="5" t="s">
        <v>120</v>
      </c>
      <c r="E1549" s="5" t="str">
        <f t="shared" si="77"/>
        <v>ACTISALUD -PEDIATRIA</v>
      </c>
      <c r="F1549" s="5"/>
      <c r="G1549" s="5"/>
    </row>
    <row r="1550" spans="1:7" ht="58.5" customHeight="1" x14ac:dyDescent="0.25">
      <c r="A1550" s="5" t="str">
        <f>"H0033924"</f>
        <v>H0033924</v>
      </c>
      <c r="B1550" s="5" t="str">
        <f>"LECTOR DE HUELLAS DIGITALES"</f>
        <v>LECTOR DE HUELLAS DIGITALES</v>
      </c>
      <c r="C1550" s="6">
        <v>340340</v>
      </c>
      <c r="D1550" s="5" t="s">
        <v>119</v>
      </c>
      <c r="E1550" s="5" t="str">
        <f t="shared" si="77"/>
        <v>ACTISALUD -PEDIATRIA</v>
      </c>
      <c r="F1550" s="5"/>
      <c r="G1550" s="5"/>
    </row>
    <row r="1551" spans="1:7" ht="58.5" customHeight="1" x14ac:dyDescent="0.25">
      <c r="A1551" s="5" t="str">
        <f>"H0033938"</f>
        <v>H0033938</v>
      </c>
      <c r="B1551" s="5" t="str">
        <f>"LECTOR DE HUELLAS DIGITALES"</f>
        <v>LECTOR DE HUELLAS DIGITALES</v>
      </c>
      <c r="C1551" s="6">
        <v>340340</v>
      </c>
      <c r="D1551" s="5" t="s">
        <v>119</v>
      </c>
      <c r="E1551" s="5" t="str">
        <f t="shared" si="77"/>
        <v>ACTISALUD -PEDIATRIA</v>
      </c>
      <c r="F1551" s="5"/>
      <c r="G1551" s="5"/>
    </row>
    <row r="1552" spans="1:7" ht="58.5" customHeight="1" x14ac:dyDescent="0.25">
      <c r="A1552" s="5" t="str">
        <f>"h0033943"</f>
        <v>h0033943</v>
      </c>
      <c r="B1552" s="5" t="str">
        <f>"LECTOR DE HUELLAS DIGITALES"</f>
        <v>LECTOR DE HUELLAS DIGITALES</v>
      </c>
      <c r="C1552" s="6">
        <v>340340</v>
      </c>
      <c r="D1552" s="5" t="s">
        <v>119</v>
      </c>
      <c r="E1552" s="5" t="str">
        <f t="shared" si="77"/>
        <v>ACTISALUD -PEDIATRIA</v>
      </c>
      <c r="F1552" s="5"/>
      <c r="G1552" s="5"/>
    </row>
    <row r="1553" spans="1:7" ht="58.5" customHeight="1" x14ac:dyDescent="0.25">
      <c r="A1553" s="5" t="str">
        <f>"H0034091"</f>
        <v>H0034091</v>
      </c>
      <c r="B155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553" s="6">
        <v>5604900</v>
      </c>
      <c r="D1553" s="5" t="s">
        <v>192</v>
      </c>
      <c r="E1553" s="5" t="str">
        <f t="shared" si="77"/>
        <v>ACTISALUD -PEDIATRIA</v>
      </c>
      <c r="F1553" s="5"/>
      <c r="G1553" s="5"/>
    </row>
    <row r="1554" spans="1:7" ht="58.5" customHeight="1" x14ac:dyDescent="0.25">
      <c r="A1554" s="5" t="str">
        <f>"H0034101"</f>
        <v>H0034101</v>
      </c>
      <c r="B1554"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554" s="6">
        <v>5604900</v>
      </c>
      <c r="D1554" s="5" t="s">
        <v>192</v>
      </c>
      <c r="E1554" s="5" t="str">
        <f t="shared" si="77"/>
        <v>ACTISALUD -PEDIATRIA</v>
      </c>
      <c r="F1554" s="5"/>
      <c r="G1554" s="5"/>
    </row>
    <row r="1555" spans="1:7" ht="58.5" customHeight="1" x14ac:dyDescent="0.25">
      <c r="A1555" s="5" t="str">
        <f>"H0034317"</f>
        <v>H0034317</v>
      </c>
      <c r="B1555" s="5" t="str">
        <f>"CUNA PEDIATRICA CON BARANDILLAS (DONACION)"</f>
        <v>CUNA PEDIATRICA CON BARANDILLAS (DONACION)</v>
      </c>
      <c r="C1555" s="6">
        <v>4000000</v>
      </c>
      <c r="D1555" s="5" t="s">
        <v>193</v>
      </c>
      <c r="E1555" s="5" t="str">
        <f t="shared" si="77"/>
        <v>ACTISALUD -PEDIATRIA</v>
      </c>
      <c r="F1555" s="5"/>
      <c r="G1555" s="5"/>
    </row>
    <row r="1556" spans="1:7" ht="58.5" customHeight="1" x14ac:dyDescent="0.25">
      <c r="A1556" s="5" t="str">
        <f>"H0034318"</f>
        <v>H0034318</v>
      </c>
      <c r="B1556" s="5" t="str">
        <f>"CUNA PEDIATRICA CON BARANDILLAS (DONACION)"</f>
        <v>CUNA PEDIATRICA CON BARANDILLAS (DONACION)</v>
      </c>
      <c r="C1556" s="6">
        <v>4000000</v>
      </c>
      <c r="D1556" s="5" t="s">
        <v>193</v>
      </c>
      <c r="E1556" s="5" t="str">
        <f t="shared" si="77"/>
        <v>ACTISALUD -PEDIATRIA</v>
      </c>
      <c r="F1556" s="5"/>
      <c r="G1556" s="5"/>
    </row>
    <row r="1557" spans="1:7" ht="58.5" customHeight="1" x14ac:dyDescent="0.25">
      <c r="A1557" s="5" t="str">
        <f>"H0034339"</f>
        <v>H0034339</v>
      </c>
      <c r="B1557" s="5" t="str">
        <f>"CAMILLA DE TRANSPORTE Y RECUPERACION (DONACION)"</f>
        <v>CAMILLA DE TRANSPORTE Y RECUPERACION (DONACION)</v>
      </c>
      <c r="C1557" s="6">
        <v>2200000</v>
      </c>
      <c r="D1557" s="5" t="s">
        <v>193</v>
      </c>
      <c r="E1557" s="5" t="str">
        <f t="shared" si="77"/>
        <v>ACTISALUD -PEDIATRIA</v>
      </c>
      <c r="F1557" s="5"/>
      <c r="G1557" s="5"/>
    </row>
    <row r="1558" spans="1:7" ht="58.5" customHeight="1" x14ac:dyDescent="0.25">
      <c r="A1558" s="5" t="str">
        <f>"H0034566"</f>
        <v>H0034566</v>
      </c>
      <c r="B1558" s="5" t="str">
        <f>"UNIDAD DE EXTRACCION CENTRIFUGA DE ALTA PRESION"</f>
        <v>UNIDAD DE EXTRACCION CENTRIFUGA DE ALTA PRESION</v>
      </c>
      <c r="C1558" s="6">
        <v>3852000</v>
      </c>
      <c r="D1558" s="5" t="s">
        <v>194</v>
      </c>
      <c r="E1558" s="5" t="str">
        <f t="shared" si="77"/>
        <v>ACTISALUD -PEDIATRIA</v>
      </c>
      <c r="F1558" s="5"/>
      <c r="G1558" s="5"/>
    </row>
    <row r="1559" spans="1:7" ht="58.5" customHeight="1" x14ac:dyDescent="0.25">
      <c r="A1559" s="5" t="str">
        <f>"H0034567"</f>
        <v>H0034567</v>
      </c>
      <c r="B1559" s="5" t="str">
        <f>"UNIDAD DE EXTRACCION CENTRIFUGA DE ALTA PRESION"</f>
        <v>UNIDAD DE EXTRACCION CENTRIFUGA DE ALTA PRESION</v>
      </c>
      <c r="C1559" s="6">
        <v>3852000</v>
      </c>
      <c r="D1559" s="5" t="s">
        <v>195</v>
      </c>
      <c r="E1559" s="5" t="str">
        <f t="shared" si="77"/>
        <v>ACTISALUD -PEDIATRIA</v>
      </c>
      <c r="F1559" s="5"/>
      <c r="G1559" s="5"/>
    </row>
    <row r="1560" spans="1:7" ht="58.5" customHeight="1" x14ac:dyDescent="0.25">
      <c r="A1560" s="5" t="str">
        <f>"H0034568"</f>
        <v>H0034568</v>
      </c>
      <c r="B1560" s="5" t="s">
        <v>196</v>
      </c>
      <c r="C1560" s="6">
        <v>1180480</v>
      </c>
      <c r="D1560" s="5" t="s">
        <v>194</v>
      </c>
      <c r="E1560" s="5" t="str">
        <f t="shared" si="77"/>
        <v>ACTISALUD -PEDIATRIA</v>
      </c>
      <c r="F1560" s="5"/>
      <c r="G1560" s="5"/>
    </row>
    <row r="1561" spans="1:7" ht="58.5" customHeight="1" x14ac:dyDescent="0.25">
      <c r="A1561" s="5" t="str">
        <f>"H0034572"</f>
        <v>H0034572</v>
      </c>
      <c r="B1561" s="5" t="s">
        <v>196</v>
      </c>
      <c r="C1561" s="6">
        <v>1180480</v>
      </c>
      <c r="D1561" s="5" t="s">
        <v>194</v>
      </c>
      <c r="E1561" s="5" t="str">
        <f t="shared" si="77"/>
        <v>ACTISALUD -PEDIATRIA</v>
      </c>
      <c r="F1561" s="5"/>
      <c r="G1561" s="5"/>
    </row>
    <row r="1562" spans="1:7" ht="58.5" customHeight="1" x14ac:dyDescent="0.25">
      <c r="A1562" s="5" t="str">
        <f>"H0034662"</f>
        <v>H0034662</v>
      </c>
      <c r="B1562" s="5" t="str">
        <f>"bomba de infusion (DONACION)"</f>
        <v>bomba de infusion (DONACION)</v>
      </c>
      <c r="C1562" s="6">
        <v>7049854</v>
      </c>
      <c r="D1562" s="5" t="s">
        <v>124</v>
      </c>
      <c r="E1562" s="5" t="str">
        <f t="shared" si="77"/>
        <v>ACTISALUD -PEDIATRIA</v>
      </c>
      <c r="F1562" s="5"/>
      <c r="G1562" s="5"/>
    </row>
    <row r="1563" spans="1:7" ht="58.5" customHeight="1" x14ac:dyDescent="0.25">
      <c r="A1563" s="5" t="str">
        <f>"H0034664"</f>
        <v>H0034664</v>
      </c>
      <c r="B1563" s="5" t="str">
        <f>"bomba de infusion (DONACION)"</f>
        <v>bomba de infusion (DONACION)</v>
      </c>
      <c r="C1563" s="6">
        <v>7049854</v>
      </c>
      <c r="D1563" s="5" t="s">
        <v>124</v>
      </c>
      <c r="E1563" s="5" t="str">
        <f t="shared" si="77"/>
        <v>ACTISALUD -PEDIATRIA</v>
      </c>
      <c r="F1563" s="5"/>
      <c r="G1563" s="5"/>
    </row>
    <row r="1564" spans="1:7" ht="58.5" customHeight="1" x14ac:dyDescent="0.25">
      <c r="A1564" s="5" t="str">
        <f>"H0034677"</f>
        <v>H0034677</v>
      </c>
      <c r="B1564" s="5" t="str">
        <f>"bomba de infusion (DONACION)"</f>
        <v>bomba de infusion (DONACION)</v>
      </c>
      <c r="C1564" s="6">
        <v>7049854</v>
      </c>
      <c r="D1564" s="5" t="s">
        <v>124</v>
      </c>
      <c r="E1564" s="5" t="str">
        <f t="shared" si="77"/>
        <v>ACTISALUD -PEDIATRIA</v>
      </c>
      <c r="F1564" s="5"/>
      <c r="G1564" s="5"/>
    </row>
    <row r="1565" spans="1:7" ht="58.5" customHeight="1" x14ac:dyDescent="0.25">
      <c r="A1565" s="5" t="str">
        <f>"H0034689"</f>
        <v>H0034689</v>
      </c>
      <c r="B1565" s="5" t="str">
        <f>"bomba de infusion (DONACION)"</f>
        <v>bomba de infusion (DONACION)</v>
      </c>
      <c r="C1565" s="6">
        <v>7049854</v>
      </c>
      <c r="D1565" s="5" t="s">
        <v>124</v>
      </c>
      <c r="E1565" s="5" t="str">
        <f t="shared" si="77"/>
        <v>ACTISALUD -PEDIATRIA</v>
      </c>
      <c r="F1565" s="5"/>
      <c r="G1565" s="5"/>
    </row>
    <row r="1566" spans="1:7" ht="58.5" customHeight="1" x14ac:dyDescent="0.25">
      <c r="A1566" s="5" t="str">
        <f>"H0034716"</f>
        <v>H0034716</v>
      </c>
      <c r="B1566" s="5" t="str">
        <f>"BOMBA DE NUTRICION (DONACION)"</f>
        <v>BOMBA DE NUTRICION (DONACION)</v>
      </c>
      <c r="C1566" s="6">
        <v>5850000</v>
      </c>
      <c r="D1566" s="5" t="s">
        <v>124</v>
      </c>
      <c r="E1566" s="5" t="str">
        <f t="shared" si="77"/>
        <v>ACTISALUD -PEDIATRIA</v>
      </c>
      <c r="F1566" s="5"/>
      <c r="G1566" s="5"/>
    </row>
    <row r="1567" spans="1:7" ht="58.5" customHeight="1" x14ac:dyDescent="0.25">
      <c r="A1567" s="5" t="str">
        <f>"H0035012"</f>
        <v>H0035012</v>
      </c>
      <c r="B1567" s="5" t="str">
        <f>"Altavoces Estéreo Ac Logitech S120, Control Volumen / 3.5mm"</f>
        <v>Altavoces Estéreo Ac Logitech S120, Control Volumen / 3.5mm</v>
      </c>
      <c r="C1567" s="6">
        <v>83300</v>
      </c>
      <c r="D1567" s="5" t="s">
        <v>22</v>
      </c>
      <c r="E1567" s="5" t="str">
        <f t="shared" si="77"/>
        <v>ACTISALUD -PEDIATRIA</v>
      </c>
      <c r="F1567" s="5"/>
      <c r="G1567" s="5"/>
    </row>
    <row r="1568" spans="1:7" ht="58.5" customHeight="1" x14ac:dyDescent="0.25">
      <c r="A1568" s="5" t="str">
        <f>"H0035147"</f>
        <v>H0035147</v>
      </c>
      <c r="B1568" s="5" t="str">
        <f>"NEVERA DE 66 LTS"</f>
        <v>NEVERA DE 66 LTS</v>
      </c>
      <c r="C1568" s="6">
        <v>544999.71</v>
      </c>
      <c r="D1568" s="5" t="s">
        <v>25</v>
      </c>
      <c r="E1568" s="5" t="str">
        <f t="shared" si="77"/>
        <v>ACTISALUD -PEDIATRIA</v>
      </c>
      <c r="F1568" s="5"/>
      <c r="G1568" s="5"/>
    </row>
    <row r="1569" spans="1:7" ht="58.5" customHeight="1" x14ac:dyDescent="0.25">
      <c r="A1569" s="5" t="str">
        <f>"H0035209"</f>
        <v>H0035209</v>
      </c>
      <c r="B1569" s="5" t="str">
        <f>"LECTOR DE HUELLAS DIGITALES"</f>
        <v>LECTOR DE HUELLAS DIGITALES</v>
      </c>
      <c r="C1569" s="6">
        <v>357666.4</v>
      </c>
      <c r="D1569" s="5" t="s">
        <v>126</v>
      </c>
      <c r="E1569" s="5" t="str">
        <f t="shared" si="77"/>
        <v>ACTISALUD -PEDIATRIA</v>
      </c>
      <c r="F1569" s="5"/>
      <c r="G1569" s="5"/>
    </row>
    <row r="1570" spans="1:7" ht="58.5" customHeight="1" x14ac:dyDescent="0.25">
      <c r="A1570" s="5" t="str">
        <f>"H0035210"</f>
        <v>H0035210</v>
      </c>
      <c r="B1570" s="5" t="str">
        <f>"LECTOR DE HUELLAS DIGITALES"</f>
        <v>LECTOR DE HUELLAS DIGITALES</v>
      </c>
      <c r="C1570" s="6">
        <v>357666.4</v>
      </c>
      <c r="D1570" s="5" t="s">
        <v>126</v>
      </c>
      <c r="E1570" s="5" t="str">
        <f t="shared" si="77"/>
        <v>ACTISALUD -PEDIATRIA</v>
      </c>
      <c r="F1570" s="5"/>
      <c r="G1570" s="5"/>
    </row>
    <row r="1571" spans="1:7" ht="58.5" customHeight="1" x14ac:dyDescent="0.25">
      <c r="A1571" s="5" t="str">
        <f>"H0035211"</f>
        <v>H0035211</v>
      </c>
      <c r="B1571" s="5" t="str">
        <f>"LECTOR DE HUELLAS DIGITALES"</f>
        <v>LECTOR DE HUELLAS DIGITALES</v>
      </c>
      <c r="C1571" s="6">
        <v>357666.4</v>
      </c>
      <c r="D1571" s="5" t="s">
        <v>126</v>
      </c>
      <c r="E1571" s="5" t="str">
        <f t="shared" si="77"/>
        <v>ACTISALUD -PEDIATRIA</v>
      </c>
      <c r="F1571" s="5"/>
      <c r="G1571" s="5"/>
    </row>
    <row r="1572" spans="1:7" ht="58.5" customHeight="1" x14ac:dyDescent="0.25">
      <c r="A1572" s="5" t="str">
        <f>"H0035212"</f>
        <v>H0035212</v>
      </c>
      <c r="B1572" s="5" t="str">
        <f>"LECTOR DE HUELLAS DIGITALES"</f>
        <v>LECTOR DE HUELLAS DIGITALES</v>
      </c>
      <c r="C1572" s="6">
        <v>357666.4</v>
      </c>
      <c r="D1572" s="5" t="s">
        <v>126</v>
      </c>
      <c r="E1572" s="5" t="str">
        <f t="shared" si="77"/>
        <v>ACTISALUD -PEDIATRIA</v>
      </c>
      <c r="F1572" s="5"/>
      <c r="G1572" s="5"/>
    </row>
    <row r="1573" spans="1:7" ht="58.5" customHeight="1" x14ac:dyDescent="0.25">
      <c r="A1573" s="5" t="str">
        <f>"H0035215"</f>
        <v>H0035215</v>
      </c>
      <c r="B1573" s="5" t="str">
        <f>"LECTOR DE HUELLAS DIGITALES"</f>
        <v>LECTOR DE HUELLAS DIGITALES</v>
      </c>
      <c r="C1573" s="6">
        <v>357666.4</v>
      </c>
      <c r="D1573" s="5" t="s">
        <v>126</v>
      </c>
      <c r="E1573" s="5" t="str">
        <f t="shared" si="77"/>
        <v>ACTISALUD -PEDIATRIA</v>
      </c>
      <c r="F1573" s="5"/>
      <c r="G1573" s="5"/>
    </row>
    <row r="1574" spans="1:7" ht="58.5" customHeight="1" x14ac:dyDescent="0.25">
      <c r="A1574" s="5" t="str">
        <f>"H0035307"</f>
        <v>H0035307</v>
      </c>
      <c r="B1574" s="5" t="str">
        <f>"AIRE ACONDICIONADO TIPO TECHO DE 40.000 BTU MARCA LG NO CONTIENE KIT DE TUBERIA"</f>
        <v>AIRE ACONDICIONADO TIPO TECHO DE 40.000 BTU MARCA LG NO CONTIENE KIT DE TUBERIA</v>
      </c>
      <c r="C1574" s="6">
        <v>7095269</v>
      </c>
      <c r="D1574" s="5" t="s">
        <v>158</v>
      </c>
      <c r="E1574" s="5" t="str">
        <f t="shared" si="77"/>
        <v>ACTISALUD -PEDIATRIA</v>
      </c>
      <c r="F1574" s="5"/>
      <c r="G1574" s="5"/>
    </row>
    <row r="1575" spans="1:7" ht="58.5" customHeight="1" x14ac:dyDescent="0.25">
      <c r="A1575" s="5" t="str">
        <f>"H0035332"</f>
        <v>H0035332</v>
      </c>
      <c r="B1575" s="5" t="s">
        <v>128</v>
      </c>
      <c r="C1575" s="6">
        <v>5462100</v>
      </c>
      <c r="D1575" s="5" t="s">
        <v>127</v>
      </c>
      <c r="E1575" s="5" t="str">
        <f t="shared" si="77"/>
        <v>ACTISALUD -PEDIATRIA</v>
      </c>
      <c r="F1575" s="5"/>
      <c r="G1575" s="5"/>
    </row>
    <row r="1576" spans="1:7" ht="58.5" customHeight="1" x14ac:dyDescent="0.25">
      <c r="A1576" s="5" t="str">
        <f>"H0035391"</f>
        <v>H0035391</v>
      </c>
      <c r="B1576" s="5" t="str">
        <f t="shared" ref="B1576:B1588" si="79">"MONITOR DE SIGNOS VITALES (DONACION)"</f>
        <v>MONITOR DE SIGNOS VITALES (DONACION)</v>
      </c>
      <c r="C1576" s="6">
        <v>11471250</v>
      </c>
      <c r="D1576" s="5" t="s">
        <v>129</v>
      </c>
      <c r="E1576" s="5" t="str">
        <f t="shared" si="77"/>
        <v>ACTISALUD -PEDIATRIA</v>
      </c>
      <c r="F1576" s="5"/>
      <c r="G1576" s="5" t="str">
        <f t="shared" ref="G1576:G1588" si="80">"PM200M"</f>
        <v>PM200M</v>
      </c>
    </row>
    <row r="1577" spans="1:7" ht="58.5" customHeight="1" x14ac:dyDescent="0.25">
      <c r="A1577" s="5" t="str">
        <f>"H0035392"</f>
        <v>H0035392</v>
      </c>
      <c r="B1577" s="5" t="str">
        <f t="shared" si="79"/>
        <v>MONITOR DE SIGNOS VITALES (DONACION)</v>
      </c>
      <c r="C1577" s="6">
        <v>11471250</v>
      </c>
      <c r="D1577" s="5" t="s">
        <v>129</v>
      </c>
      <c r="E1577" s="5" t="str">
        <f t="shared" si="77"/>
        <v>ACTISALUD -PEDIATRIA</v>
      </c>
      <c r="F1577" s="5"/>
      <c r="G1577" s="5" t="str">
        <f t="shared" si="80"/>
        <v>PM200M</v>
      </c>
    </row>
    <row r="1578" spans="1:7" ht="58.5" customHeight="1" x14ac:dyDescent="0.25">
      <c r="A1578" s="5" t="str">
        <f>"H0035394"</f>
        <v>H0035394</v>
      </c>
      <c r="B1578" s="5" t="str">
        <f t="shared" si="79"/>
        <v>MONITOR DE SIGNOS VITALES (DONACION)</v>
      </c>
      <c r="C1578" s="6">
        <v>11471250</v>
      </c>
      <c r="D1578" s="5" t="s">
        <v>129</v>
      </c>
      <c r="E1578" s="5" t="str">
        <f t="shared" si="77"/>
        <v>ACTISALUD -PEDIATRIA</v>
      </c>
      <c r="F1578" s="5"/>
      <c r="G1578" s="5" t="str">
        <f t="shared" si="80"/>
        <v>PM200M</v>
      </c>
    </row>
    <row r="1579" spans="1:7" ht="58.5" customHeight="1" x14ac:dyDescent="0.25">
      <c r="A1579" s="5" t="str">
        <f>"H0035395"</f>
        <v>H0035395</v>
      </c>
      <c r="B1579" s="5" t="str">
        <f t="shared" si="79"/>
        <v>MONITOR DE SIGNOS VITALES (DONACION)</v>
      </c>
      <c r="C1579" s="6">
        <v>11471250</v>
      </c>
      <c r="D1579" s="5" t="s">
        <v>129</v>
      </c>
      <c r="E1579" s="5" t="str">
        <f t="shared" si="77"/>
        <v>ACTISALUD -PEDIATRIA</v>
      </c>
      <c r="F1579" s="5"/>
      <c r="G1579" s="5" t="str">
        <f t="shared" si="80"/>
        <v>PM200M</v>
      </c>
    </row>
    <row r="1580" spans="1:7" ht="58.5" customHeight="1" x14ac:dyDescent="0.25">
      <c r="A1580" s="5" t="str">
        <f>"H0035396"</f>
        <v>H0035396</v>
      </c>
      <c r="B1580" s="5" t="str">
        <f t="shared" si="79"/>
        <v>MONITOR DE SIGNOS VITALES (DONACION)</v>
      </c>
      <c r="C1580" s="6">
        <v>11471250</v>
      </c>
      <c r="D1580" s="5" t="s">
        <v>129</v>
      </c>
      <c r="E1580" s="5" t="str">
        <f t="shared" si="77"/>
        <v>ACTISALUD -PEDIATRIA</v>
      </c>
      <c r="F1580" s="5"/>
      <c r="G1580" s="5" t="str">
        <f t="shared" si="80"/>
        <v>PM200M</v>
      </c>
    </row>
    <row r="1581" spans="1:7" ht="58.5" customHeight="1" x14ac:dyDescent="0.25">
      <c r="A1581" s="5" t="str">
        <f>"H0035398"</f>
        <v>H0035398</v>
      </c>
      <c r="B1581" s="5" t="str">
        <f t="shared" si="79"/>
        <v>MONITOR DE SIGNOS VITALES (DONACION)</v>
      </c>
      <c r="C1581" s="6">
        <v>11471250</v>
      </c>
      <c r="D1581" s="5" t="s">
        <v>129</v>
      </c>
      <c r="E1581" s="5" t="str">
        <f t="shared" si="77"/>
        <v>ACTISALUD -PEDIATRIA</v>
      </c>
      <c r="F1581" s="5"/>
      <c r="G1581" s="5" t="str">
        <f t="shared" si="80"/>
        <v>PM200M</v>
      </c>
    </row>
    <row r="1582" spans="1:7" ht="58.5" customHeight="1" x14ac:dyDescent="0.25">
      <c r="A1582" s="5" t="str">
        <f>"H0035399"</f>
        <v>H0035399</v>
      </c>
      <c r="B1582" s="5" t="str">
        <f t="shared" si="79"/>
        <v>MONITOR DE SIGNOS VITALES (DONACION)</v>
      </c>
      <c r="C1582" s="6">
        <v>11471250</v>
      </c>
      <c r="D1582" s="5" t="s">
        <v>129</v>
      </c>
      <c r="E1582" s="5" t="str">
        <f t="shared" si="77"/>
        <v>ACTISALUD -PEDIATRIA</v>
      </c>
      <c r="F1582" s="5"/>
      <c r="G1582" s="5" t="str">
        <f t="shared" si="80"/>
        <v>PM200M</v>
      </c>
    </row>
    <row r="1583" spans="1:7" ht="58.5" customHeight="1" x14ac:dyDescent="0.25">
      <c r="A1583" s="5" t="str">
        <f>"H0035400"</f>
        <v>H0035400</v>
      </c>
      <c r="B1583" s="5" t="str">
        <f t="shared" si="79"/>
        <v>MONITOR DE SIGNOS VITALES (DONACION)</v>
      </c>
      <c r="C1583" s="6">
        <v>11471250</v>
      </c>
      <c r="D1583" s="5" t="s">
        <v>129</v>
      </c>
      <c r="E1583" s="5" t="str">
        <f t="shared" si="77"/>
        <v>ACTISALUD -PEDIATRIA</v>
      </c>
      <c r="F1583" s="5"/>
      <c r="G1583" s="5" t="str">
        <f t="shared" si="80"/>
        <v>PM200M</v>
      </c>
    </row>
    <row r="1584" spans="1:7" ht="58.5" customHeight="1" x14ac:dyDescent="0.25">
      <c r="A1584" s="5" t="str">
        <f>"H0035401"</f>
        <v>H0035401</v>
      </c>
      <c r="B1584" s="5" t="str">
        <f t="shared" si="79"/>
        <v>MONITOR DE SIGNOS VITALES (DONACION)</v>
      </c>
      <c r="C1584" s="6">
        <v>11471250</v>
      </c>
      <c r="D1584" s="5" t="s">
        <v>129</v>
      </c>
      <c r="E1584" s="5" t="str">
        <f t="shared" ref="E1584:E1647" si="81">"ACTISALUD -PEDIATRIA"</f>
        <v>ACTISALUD -PEDIATRIA</v>
      </c>
      <c r="F1584" s="5"/>
      <c r="G1584" s="5" t="str">
        <f t="shared" si="80"/>
        <v>PM200M</v>
      </c>
    </row>
    <row r="1585" spans="1:7" ht="58.5" customHeight="1" x14ac:dyDescent="0.25">
      <c r="A1585" s="5" t="str">
        <f>"H0035402"</f>
        <v>H0035402</v>
      </c>
      <c r="B1585" s="5" t="str">
        <f t="shared" si="79"/>
        <v>MONITOR DE SIGNOS VITALES (DONACION)</v>
      </c>
      <c r="C1585" s="6">
        <v>11471250</v>
      </c>
      <c r="D1585" s="5" t="s">
        <v>129</v>
      </c>
      <c r="E1585" s="5" t="str">
        <f t="shared" si="81"/>
        <v>ACTISALUD -PEDIATRIA</v>
      </c>
      <c r="F1585" s="5"/>
      <c r="G1585" s="5" t="str">
        <f t="shared" si="80"/>
        <v>PM200M</v>
      </c>
    </row>
    <row r="1586" spans="1:7" ht="58.5" customHeight="1" x14ac:dyDescent="0.25">
      <c r="A1586" s="5" t="str">
        <f>"H0035403"</f>
        <v>H0035403</v>
      </c>
      <c r="B1586" s="5" t="str">
        <f t="shared" si="79"/>
        <v>MONITOR DE SIGNOS VITALES (DONACION)</v>
      </c>
      <c r="C1586" s="6">
        <v>11471250</v>
      </c>
      <c r="D1586" s="5" t="s">
        <v>129</v>
      </c>
      <c r="E1586" s="5" t="str">
        <f t="shared" si="81"/>
        <v>ACTISALUD -PEDIATRIA</v>
      </c>
      <c r="F1586" s="5"/>
      <c r="G1586" s="5" t="str">
        <f t="shared" si="80"/>
        <v>PM200M</v>
      </c>
    </row>
    <row r="1587" spans="1:7" ht="58.5" customHeight="1" x14ac:dyDescent="0.25">
      <c r="A1587" s="5" t="str">
        <f>"H0035404"</f>
        <v>H0035404</v>
      </c>
      <c r="B1587" s="5" t="str">
        <f t="shared" si="79"/>
        <v>MONITOR DE SIGNOS VITALES (DONACION)</v>
      </c>
      <c r="C1587" s="6">
        <v>11471250</v>
      </c>
      <c r="D1587" s="5" t="s">
        <v>129</v>
      </c>
      <c r="E1587" s="5" t="str">
        <f t="shared" si="81"/>
        <v>ACTISALUD -PEDIATRIA</v>
      </c>
      <c r="F1587" s="5"/>
      <c r="G1587" s="5" t="str">
        <f t="shared" si="80"/>
        <v>PM200M</v>
      </c>
    </row>
    <row r="1588" spans="1:7" ht="58.5" customHeight="1" x14ac:dyDescent="0.25">
      <c r="A1588" s="5" t="str">
        <f>"H0035405"</f>
        <v>H0035405</v>
      </c>
      <c r="B1588" s="5" t="str">
        <f t="shared" si="79"/>
        <v>MONITOR DE SIGNOS VITALES (DONACION)</v>
      </c>
      <c r="C1588" s="6">
        <v>11471250</v>
      </c>
      <c r="D1588" s="5" t="s">
        <v>129</v>
      </c>
      <c r="E1588" s="5" t="str">
        <f t="shared" si="81"/>
        <v>ACTISALUD -PEDIATRIA</v>
      </c>
      <c r="F1588" s="5"/>
      <c r="G1588" s="5" t="str">
        <f t="shared" si="80"/>
        <v>PM200M</v>
      </c>
    </row>
    <row r="1589" spans="1:7" ht="58.5" customHeight="1" x14ac:dyDescent="0.25">
      <c r="A1589" s="5" t="str">
        <f>"H0035426"</f>
        <v>H0035426</v>
      </c>
      <c r="B1589" s="5" t="str">
        <f>"COMPUTADOR TODO EN UNO HP  200 G4 CORPORATIVO  21.5  Intel® Core™ i5-10210U 10ma generación), Disco Duro 1TB"</f>
        <v>COMPUTADOR TODO EN UNO HP  200 G4 CORPORATIVO  21.5  Intel® Core™ i5-10210U 10ma generación), Disco Duro 1TB</v>
      </c>
      <c r="C1589" s="6">
        <v>5343100</v>
      </c>
      <c r="D1589" s="5" t="s">
        <v>197</v>
      </c>
      <c r="E1589" s="5" t="str">
        <f t="shared" si="81"/>
        <v>ACTISALUD -PEDIATRIA</v>
      </c>
      <c r="F1589" s="5"/>
      <c r="G1589" s="5"/>
    </row>
    <row r="1590" spans="1:7" ht="58.5" customHeight="1" x14ac:dyDescent="0.25">
      <c r="A1590" s="5" t="str">
        <f>"h0035543"</f>
        <v>h0035543</v>
      </c>
      <c r="B1590" s="5" t="str">
        <f>"MESA DE MAYO"</f>
        <v>MESA DE MAYO</v>
      </c>
      <c r="C1590" s="6">
        <v>421875.06</v>
      </c>
      <c r="D1590" s="5" t="s">
        <v>159</v>
      </c>
      <c r="E1590" s="5" t="str">
        <f t="shared" si="81"/>
        <v>ACTISALUD -PEDIATRIA</v>
      </c>
      <c r="F1590" s="5"/>
      <c r="G1590" s="5"/>
    </row>
    <row r="1591" spans="1:7" ht="58.5" customHeight="1" x14ac:dyDescent="0.25">
      <c r="A1591" s="5" t="str">
        <f>"H0035544"</f>
        <v>H0035544</v>
      </c>
      <c r="B1591" s="5" t="str">
        <f>"MESA DE MAYO"</f>
        <v>MESA DE MAYO</v>
      </c>
      <c r="C1591" s="6">
        <v>421875.06</v>
      </c>
      <c r="D1591" s="5" t="s">
        <v>159</v>
      </c>
      <c r="E1591" s="5" t="str">
        <f t="shared" si="81"/>
        <v>ACTISALUD -PEDIATRIA</v>
      </c>
      <c r="F1591" s="5"/>
      <c r="G1591" s="5"/>
    </row>
    <row r="1592" spans="1:7" ht="58.5" customHeight="1" x14ac:dyDescent="0.25">
      <c r="A1592" s="5" t="str">
        <f>"H0035857"</f>
        <v>H0035857</v>
      </c>
      <c r="B1592" s="5" t="str">
        <f>"SILLA GERENTE NIZA MEC. BASCULANTE CON BRAZOS."</f>
        <v>SILLA GERENTE NIZA MEC. BASCULANTE CON BRAZOS.</v>
      </c>
      <c r="C1592" s="6">
        <v>639999.86</v>
      </c>
      <c r="D1592" s="5" t="s">
        <v>47</v>
      </c>
      <c r="E1592" s="5" t="str">
        <f t="shared" si="81"/>
        <v>ACTISALUD -PEDIATRIA</v>
      </c>
      <c r="F1592" s="5"/>
      <c r="G1592" s="5"/>
    </row>
    <row r="1593" spans="1:7" ht="58.5" customHeight="1" x14ac:dyDescent="0.25">
      <c r="A1593" s="5" t="str">
        <f>"H0035858"</f>
        <v>H0035858</v>
      </c>
      <c r="B1593" s="5" t="str">
        <f>"SILLA GERENTE NIZA MEC. BASCULANTE CON BRAZOS."</f>
        <v>SILLA GERENTE NIZA MEC. BASCULANTE CON BRAZOS.</v>
      </c>
      <c r="C1593" s="6">
        <v>639999.86</v>
      </c>
      <c r="D1593" s="5" t="s">
        <v>47</v>
      </c>
      <c r="E1593" s="5" t="str">
        <f t="shared" si="81"/>
        <v>ACTISALUD -PEDIATRIA</v>
      </c>
      <c r="F1593" s="5"/>
      <c r="G1593" s="5"/>
    </row>
    <row r="1594" spans="1:7" ht="58.5" customHeight="1" x14ac:dyDescent="0.25">
      <c r="A1594" s="5" t="str">
        <f>"H0035859"</f>
        <v>H0035859</v>
      </c>
      <c r="B1594" s="5" t="str">
        <f>"SILLA GERENTE NIZA MEC. BASCULANTE CON BRAZOS."</f>
        <v>SILLA GERENTE NIZA MEC. BASCULANTE CON BRAZOS.</v>
      </c>
      <c r="C1594" s="6">
        <v>639999.86</v>
      </c>
      <c r="D1594" s="5" t="s">
        <v>47</v>
      </c>
      <c r="E1594" s="5" t="str">
        <f t="shared" si="81"/>
        <v>ACTISALUD -PEDIATRIA</v>
      </c>
      <c r="F1594" s="5"/>
      <c r="G1594" s="5"/>
    </row>
    <row r="1595" spans="1:7" ht="58.5" customHeight="1" x14ac:dyDescent="0.25">
      <c r="A1595" s="5" t="str">
        <f>"H0035860"</f>
        <v>H0035860</v>
      </c>
      <c r="B1595" s="5" t="str">
        <f>"SILLA GERENTE NIZA MEC. BASCULANTE CON BRAZOS."</f>
        <v>SILLA GERENTE NIZA MEC. BASCULANTE CON BRAZOS.</v>
      </c>
      <c r="C1595" s="6">
        <v>639999.86</v>
      </c>
      <c r="D1595" s="5" t="s">
        <v>47</v>
      </c>
      <c r="E1595" s="5" t="str">
        <f t="shared" si="81"/>
        <v>ACTISALUD -PEDIATRIA</v>
      </c>
      <c r="F1595" s="5"/>
      <c r="G1595" s="5"/>
    </row>
    <row r="1596" spans="1:7" ht="58.5" customHeight="1" x14ac:dyDescent="0.25">
      <c r="A1596" s="5" t="str">
        <f>"H0036317"</f>
        <v>H0036317</v>
      </c>
      <c r="B1596" s="5" t="str">
        <f>"AIRE ACONDICIONADO  12000 BTU (CODIGO DONACION)"</f>
        <v>AIRE ACONDICIONADO  12000 BTU (CODIGO DONACION)</v>
      </c>
      <c r="C1596" s="6">
        <v>1008319</v>
      </c>
      <c r="D1596" s="5" t="s">
        <v>198</v>
      </c>
      <c r="E1596" s="5" t="str">
        <f t="shared" si="81"/>
        <v>ACTISALUD -PEDIATRIA</v>
      </c>
      <c r="F1596" s="5"/>
      <c r="G1596" s="5"/>
    </row>
    <row r="1597" spans="1:7" ht="58.5" customHeight="1" x14ac:dyDescent="0.25">
      <c r="A1597" s="5" t="str">
        <f>"H0036393"</f>
        <v>H0036393</v>
      </c>
      <c r="B1597" s="5" t="str">
        <f t="shared" ref="B1597:B1602" si="82">"VENTILADOR DE PARED"</f>
        <v>VENTILADOR DE PARED</v>
      </c>
      <c r="C1597" s="6">
        <v>295260</v>
      </c>
      <c r="D1597" s="5" t="s">
        <v>131</v>
      </c>
      <c r="E1597" s="5" t="str">
        <f t="shared" si="81"/>
        <v>ACTISALUD -PEDIATRIA</v>
      </c>
      <c r="F1597" s="5"/>
      <c r="G1597" s="5"/>
    </row>
    <row r="1598" spans="1:7" ht="58.5" customHeight="1" x14ac:dyDescent="0.25">
      <c r="A1598" s="5" t="str">
        <f>"H0036399"</f>
        <v>H0036399</v>
      </c>
      <c r="B1598" s="5" t="str">
        <f t="shared" si="82"/>
        <v>VENTILADOR DE PARED</v>
      </c>
      <c r="C1598" s="6">
        <v>295260</v>
      </c>
      <c r="D1598" s="5" t="s">
        <v>131</v>
      </c>
      <c r="E1598" s="5" t="str">
        <f t="shared" si="81"/>
        <v>ACTISALUD -PEDIATRIA</v>
      </c>
      <c r="F1598" s="5"/>
      <c r="G1598" s="5"/>
    </row>
    <row r="1599" spans="1:7" ht="58.5" customHeight="1" x14ac:dyDescent="0.25">
      <c r="A1599" s="5" t="str">
        <f>"H0036411"</f>
        <v>H0036411</v>
      </c>
      <c r="B1599" s="5" t="str">
        <f t="shared" si="82"/>
        <v>VENTILADOR DE PARED</v>
      </c>
      <c r="C1599" s="6">
        <v>295260</v>
      </c>
      <c r="D1599" s="5" t="s">
        <v>131</v>
      </c>
      <c r="E1599" s="5" t="str">
        <f t="shared" si="81"/>
        <v>ACTISALUD -PEDIATRIA</v>
      </c>
      <c r="F1599" s="5"/>
      <c r="G1599" s="5"/>
    </row>
    <row r="1600" spans="1:7" ht="58.5" customHeight="1" x14ac:dyDescent="0.25">
      <c r="A1600" s="5" t="str">
        <f>"H0036428"</f>
        <v>H0036428</v>
      </c>
      <c r="B1600" s="5" t="str">
        <f t="shared" si="82"/>
        <v>VENTILADOR DE PARED</v>
      </c>
      <c r="C1600" s="6">
        <v>295260</v>
      </c>
      <c r="D1600" s="5" t="s">
        <v>131</v>
      </c>
      <c r="E1600" s="5" t="str">
        <f t="shared" si="81"/>
        <v>ACTISALUD -PEDIATRIA</v>
      </c>
      <c r="F1600" s="5"/>
      <c r="G1600" s="5"/>
    </row>
    <row r="1601" spans="1:7" ht="58.5" customHeight="1" x14ac:dyDescent="0.25">
      <c r="A1601" s="5" t="str">
        <f>"H0036439"</f>
        <v>H0036439</v>
      </c>
      <c r="B1601" s="5" t="str">
        <f t="shared" si="82"/>
        <v>VENTILADOR DE PARED</v>
      </c>
      <c r="C1601" s="6">
        <v>295260</v>
      </c>
      <c r="D1601" s="5" t="s">
        <v>131</v>
      </c>
      <c r="E1601" s="5" t="str">
        <f t="shared" si="81"/>
        <v>ACTISALUD -PEDIATRIA</v>
      </c>
      <c r="F1601" s="5"/>
      <c r="G1601" s="5"/>
    </row>
    <row r="1602" spans="1:7" ht="58.5" customHeight="1" x14ac:dyDescent="0.25">
      <c r="A1602" s="5" t="str">
        <f>"H0036445"</f>
        <v>H0036445</v>
      </c>
      <c r="B1602" s="5" t="str">
        <f t="shared" si="82"/>
        <v>VENTILADOR DE PARED</v>
      </c>
      <c r="C1602" s="6">
        <v>295260</v>
      </c>
      <c r="D1602" s="5" t="s">
        <v>131</v>
      </c>
      <c r="E1602" s="5" t="str">
        <f t="shared" si="81"/>
        <v>ACTISALUD -PEDIATRIA</v>
      </c>
      <c r="F1602" s="5"/>
      <c r="G1602" s="5"/>
    </row>
    <row r="1603" spans="1:7" ht="58.5" customHeight="1" x14ac:dyDescent="0.25">
      <c r="A1603" s="5" t="str">
        <f>"H0036507"</f>
        <v>H0036507</v>
      </c>
      <c r="B1603" s="5" t="str">
        <f>"ASPIRADOR DE SECRECIONES"</f>
        <v>ASPIRADOR DE SECRECIONES</v>
      </c>
      <c r="C1603" s="6">
        <v>645000</v>
      </c>
      <c r="D1603" s="5" t="s">
        <v>132</v>
      </c>
      <c r="E1603" s="5" t="str">
        <f t="shared" si="81"/>
        <v>ACTISALUD -PEDIATRIA</v>
      </c>
      <c r="F1603" s="5"/>
      <c r="G1603" s="5"/>
    </row>
    <row r="1604" spans="1:7" ht="58.5" customHeight="1" x14ac:dyDescent="0.25">
      <c r="A1604" s="5" t="str">
        <f>"H0036517"</f>
        <v>H0036517</v>
      </c>
      <c r="B1604"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604" s="6">
        <v>6307000</v>
      </c>
      <c r="D1604" s="5" t="s">
        <v>48</v>
      </c>
      <c r="E1604" s="5" t="str">
        <f t="shared" si="81"/>
        <v>ACTISALUD -PEDIATRIA</v>
      </c>
      <c r="F1604" s="5"/>
      <c r="G1604" s="5" t="str">
        <f>"VZ4680G"</f>
        <v>VZ4680G</v>
      </c>
    </row>
    <row r="1605" spans="1:7" ht="58.5" customHeight="1" x14ac:dyDescent="0.25">
      <c r="A1605" s="5" t="str">
        <f>"H0036524"</f>
        <v>H0036524</v>
      </c>
      <c r="B1605"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605" s="6">
        <v>6307000</v>
      </c>
      <c r="D1605" s="5" t="s">
        <v>48</v>
      </c>
      <c r="E1605" s="5" t="str">
        <f t="shared" si="81"/>
        <v>ACTISALUD -PEDIATRIA</v>
      </c>
      <c r="F1605" s="5"/>
      <c r="G1605" s="5" t="str">
        <f>"VZ4680G"</f>
        <v>VZ4680G</v>
      </c>
    </row>
    <row r="1606" spans="1:7" ht="58.5" customHeight="1" x14ac:dyDescent="0.25">
      <c r="A1606" s="5" t="str">
        <f>"H0036529"</f>
        <v>H0036529</v>
      </c>
      <c r="B1606"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606" s="6">
        <v>6307000</v>
      </c>
      <c r="D1606" s="5" t="s">
        <v>48</v>
      </c>
      <c r="E1606" s="5" t="str">
        <f t="shared" si="81"/>
        <v>ACTISALUD -PEDIATRIA</v>
      </c>
      <c r="F1606" s="5"/>
      <c r="G1606" s="5" t="str">
        <f>"VZ4680G"</f>
        <v>VZ4680G</v>
      </c>
    </row>
    <row r="1607" spans="1:7" ht="58.5" customHeight="1" x14ac:dyDescent="0.25">
      <c r="A1607" s="5" t="str">
        <f>"H0036546"</f>
        <v>H0036546</v>
      </c>
      <c r="B1607"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607" s="6">
        <v>6307000</v>
      </c>
      <c r="D1607" s="5" t="s">
        <v>48</v>
      </c>
      <c r="E1607" s="5" t="str">
        <f t="shared" si="81"/>
        <v>ACTISALUD -PEDIATRIA</v>
      </c>
      <c r="F1607" s="5"/>
      <c r="G1607" s="5" t="str">
        <f>"VZ4680G"</f>
        <v>VZ4680G</v>
      </c>
    </row>
    <row r="1608" spans="1:7" ht="58.5" customHeight="1" x14ac:dyDescent="0.25">
      <c r="A1608" s="5" t="str">
        <f>"H0036574"</f>
        <v>H0036574</v>
      </c>
      <c r="B1608" s="5" t="str">
        <f>"ESCANER DE ALTA VELOCIDAD 35 PPM"</f>
        <v>ESCANER DE ALTA VELOCIDAD 35 PPM</v>
      </c>
      <c r="C1608" s="6">
        <v>2401636.36</v>
      </c>
      <c r="D1608" s="5" t="s">
        <v>199</v>
      </c>
      <c r="E1608" s="5" t="str">
        <f t="shared" si="81"/>
        <v>ACTISALUD -PEDIATRIA</v>
      </c>
      <c r="F1608" s="5"/>
      <c r="G1608" s="5"/>
    </row>
    <row r="1609" spans="1:7" ht="58.5" customHeight="1" x14ac:dyDescent="0.25">
      <c r="A1609" s="5" t="str">
        <f>"H0036601"</f>
        <v>H0036601</v>
      </c>
      <c r="B1609" s="5" t="str">
        <f>"MONITOR DE PACIENTES (DONACION)"</f>
        <v>MONITOR DE PACIENTES (DONACION)</v>
      </c>
      <c r="C1609" s="6">
        <v>4450000</v>
      </c>
      <c r="D1609" s="5" t="s">
        <v>134</v>
      </c>
      <c r="E1609" s="5" t="str">
        <f t="shared" si="81"/>
        <v>ACTISALUD -PEDIATRIA</v>
      </c>
      <c r="F1609" s="5"/>
      <c r="G1609" s="5"/>
    </row>
    <row r="1610" spans="1:7" ht="58.5" customHeight="1" x14ac:dyDescent="0.25">
      <c r="A1610" s="5" t="str">
        <f>"H0036617"</f>
        <v>H0036617</v>
      </c>
      <c r="B1610" s="5" t="str">
        <f>"DISCADOR AMPLIFICADOR DE SEÑAL DE 500 METROS"</f>
        <v>DISCADOR AMPLIFICADOR DE SEÑAL DE 500 METROS</v>
      </c>
      <c r="C1610" s="6">
        <v>3523000</v>
      </c>
      <c r="D1610" s="5" t="s">
        <v>200</v>
      </c>
      <c r="E1610" s="5" t="str">
        <f t="shared" si="81"/>
        <v>ACTISALUD -PEDIATRIA</v>
      </c>
      <c r="F1610" s="5"/>
      <c r="G1610" s="5"/>
    </row>
    <row r="1611" spans="1:7" ht="58.5" customHeight="1" x14ac:dyDescent="0.25">
      <c r="A1611" s="5" t="str">
        <f>"H0036619"</f>
        <v>H0036619</v>
      </c>
      <c r="B1611" s="5" t="str">
        <f t="shared" ref="B1611:B1618" si="83">"UNIDAD DE LLAMADO DE ENFERMERIA PARA BAÑO CON CORDON TIRADOR. RESISTENTE A SALPICADURAS DE AGUA Y LUZ INDICADORA DE PULSACIÓN"</f>
        <v>UNIDAD DE LLAMADO DE ENFERMERIA PARA BAÑO CON CORDON TIRADOR. RESISTENTE A SALPICADURAS DE AGUA Y LUZ INDICADORA DE PULSACIÓN</v>
      </c>
      <c r="C1611" s="6">
        <v>578500</v>
      </c>
      <c r="D1611" s="5" t="s">
        <v>200</v>
      </c>
      <c r="E1611" s="5" t="str">
        <f t="shared" si="81"/>
        <v>ACTISALUD -PEDIATRIA</v>
      </c>
      <c r="F1611" s="5"/>
      <c r="G1611" s="5"/>
    </row>
    <row r="1612" spans="1:7" ht="58.5" customHeight="1" x14ac:dyDescent="0.25">
      <c r="A1612" s="5" t="str">
        <f>"H0036620"</f>
        <v>H0036620</v>
      </c>
      <c r="B1612" s="5" t="str">
        <f t="shared" si="83"/>
        <v>UNIDAD DE LLAMADO DE ENFERMERIA PARA BAÑO CON CORDON TIRADOR. RESISTENTE A SALPICADURAS DE AGUA Y LUZ INDICADORA DE PULSACIÓN</v>
      </c>
      <c r="C1612" s="6">
        <v>578500</v>
      </c>
      <c r="D1612" s="5" t="s">
        <v>200</v>
      </c>
      <c r="E1612" s="5" t="str">
        <f t="shared" si="81"/>
        <v>ACTISALUD -PEDIATRIA</v>
      </c>
      <c r="F1612" s="5"/>
      <c r="G1612" s="5"/>
    </row>
    <row r="1613" spans="1:7" ht="58.5" customHeight="1" x14ac:dyDescent="0.25">
      <c r="A1613" s="5" t="str">
        <f>"H0036621"</f>
        <v>H0036621</v>
      </c>
      <c r="B1613" s="5" t="str">
        <f t="shared" si="83"/>
        <v>UNIDAD DE LLAMADO DE ENFERMERIA PARA BAÑO CON CORDON TIRADOR. RESISTENTE A SALPICADURAS DE AGUA Y LUZ INDICADORA DE PULSACIÓN</v>
      </c>
      <c r="C1613" s="6">
        <v>578500</v>
      </c>
      <c r="D1613" s="5" t="s">
        <v>200</v>
      </c>
      <c r="E1613" s="5" t="str">
        <f t="shared" si="81"/>
        <v>ACTISALUD -PEDIATRIA</v>
      </c>
      <c r="F1613" s="5"/>
      <c r="G1613" s="5"/>
    </row>
    <row r="1614" spans="1:7" ht="58.5" customHeight="1" x14ac:dyDescent="0.25">
      <c r="A1614" s="5" t="str">
        <f>"H0036622"</f>
        <v>H0036622</v>
      </c>
      <c r="B1614" s="5" t="str">
        <f t="shared" si="83"/>
        <v>UNIDAD DE LLAMADO DE ENFERMERIA PARA BAÑO CON CORDON TIRADOR. RESISTENTE A SALPICADURAS DE AGUA Y LUZ INDICADORA DE PULSACIÓN</v>
      </c>
      <c r="C1614" s="6">
        <v>578500</v>
      </c>
      <c r="D1614" s="5" t="s">
        <v>200</v>
      </c>
      <c r="E1614" s="5" t="str">
        <f t="shared" si="81"/>
        <v>ACTISALUD -PEDIATRIA</v>
      </c>
      <c r="F1614" s="5"/>
      <c r="G1614" s="5"/>
    </row>
    <row r="1615" spans="1:7" ht="58.5" customHeight="1" x14ac:dyDescent="0.25">
      <c r="A1615" s="5" t="str">
        <f>"H0036623"</f>
        <v>H0036623</v>
      </c>
      <c r="B1615" s="5" t="str">
        <f t="shared" si="83"/>
        <v>UNIDAD DE LLAMADO DE ENFERMERIA PARA BAÑO CON CORDON TIRADOR. RESISTENTE A SALPICADURAS DE AGUA Y LUZ INDICADORA DE PULSACIÓN</v>
      </c>
      <c r="C1615" s="6">
        <v>578500</v>
      </c>
      <c r="D1615" s="5" t="s">
        <v>200</v>
      </c>
      <c r="E1615" s="5" t="str">
        <f t="shared" si="81"/>
        <v>ACTISALUD -PEDIATRIA</v>
      </c>
      <c r="F1615" s="5"/>
      <c r="G1615" s="5"/>
    </row>
    <row r="1616" spans="1:7" ht="58.5" customHeight="1" x14ac:dyDescent="0.25">
      <c r="A1616" s="5" t="str">
        <f>"H0036624"</f>
        <v>H0036624</v>
      </c>
      <c r="B1616" s="5" t="str">
        <f t="shared" si="83"/>
        <v>UNIDAD DE LLAMADO DE ENFERMERIA PARA BAÑO CON CORDON TIRADOR. RESISTENTE A SALPICADURAS DE AGUA Y LUZ INDICADORA DE PULSACIÓN</v>
      </c>
      <c r="C1616" s="6">
        <v>578500</v>
      </c>
      <c r="D1616" s="5" t="s">
        <v>200</v>
      </c>
      <c r="E1616" s="5" t="str">
        <f t="shared" si="81"/>
        <v>ACTISALUD -PEDIATRIA</v>
      </c>
      <c r="F1616" s="5"/>
      <c r="G1616" s="5"/>
    </row>
    <row r="1617" spans="1:7" ht="58.5" customHeight="1" x14ac:dyDescent="0.25">
      <c r="A1617" s="5" t="str">
        <f>"H0036625"</f>
        <v>H0036625</v>
      </c>
      <c r="B1617" s="5" t="str">
        <f t="shared" si="83"/>
        <v>UNIDAD DE LLAMADO DE ENFERMERIA PARA BAÑO CON CORDON TIRADOR. RESISTENTE A SALPICADURAS DE AGUA Y LUZ INDICADORA DE PULSACIÓN</v>
      </c>
      <c r="C1617" s="6">
        <v>578500</v>
      </c>
      <c r="D1617" s="5" t="s">
        <v>200</v>
      </c>
      <c r="E1617" s="5" t="str">
        <f t="shared" si="81"/>
        <v>ACTISALUD -PEDIATRIA</v>
      </c>
      <c r="F1617" s="5"/>
      <c r="G1617" s="5"/>
    </row>
    <row r="1618" spans="1:7" ht="58.5" customHeight="1" x14ac:dyDescent="0.25">
      <c r="A1618" s="5" t="str">
        <f>"H0036626"</f>
        <v>H0036626</v>
      </c>
      <c r="B1618" s="5" t="str">
        <f t="shared" si="83"/>
        <v>UNIDAD DE LLAMADO DE ENFERMERIA PARA BAÑO CON CORDON TIRADOR. RESISTENTE A SALPICADURAS DE AGUA Y LUZ INDICADORA DE PULSACIÓN</v>
      </c>
      <c r="C1618" s="6">
        <v>578500</v>
      </c>
      <c r="D1618" s="5" t="s">
        <v>200</v>
      </c>
      <c r="E1618" s="5" t="str">
        <f t="shared" si="81"/>
        <v>ACTISALUD -PEDIATRIA</v>
      </c>
      <c r="F1618" s="5"/>
      <c r="G1618" s="5"/>
    </row>
    <row r="1619" spans="1:7" ht="58.5" customHeight="1" x14ac:dyDescent="0.25">
      <c r="A1619" s="5" t="str">
        <f>"H0036669"</f>
        <v>H0036669</v>
      </c>
      <c r="B1619" s="5" t="str">
        <f t="shared" ref="B1619:B1641" si="84">"UNIDAD DE LLAMADO DE ENFERMERIA PARA CAMA O BAÑO"</f>
        <v>UNIDAD DE LLAMADO DE ENFERMERIA PARA CAMA O BAÑO</v>
      </c>
      <c r="C1619" s="6">
        <v>643500</v>
      </c>
      <c r="D1619" s="5" t="s">
        <v>134</v>
      </c>
      <c r="E1619" s="5" t="str">
        <f t="shared" si="81"/>
        <v>ACTISALUD -PEDIATRIA</v>
      </c>
      <c r="F1619" s="5"/>
      <c r="G1619" s="5"/>
    </row>
    <row r="1620" spans="1:7" ht="58.5" customHeight="1" x14ac:dyDescent="0.25">
      <c r="A1620" s="5" t="str">
        <f>"H0036670"</f>
        <v>H0036670</v>
      </c>
      <c r="B1620" s="5" t="str">
        <f t="shared" si="84"/>
        <v>UNIDAD DE LLAMADO DE ENFERMERIA PARA CAMA O BAÑO</v>
      </c>
      <c r="C1620" s="6">
        <v>643500</v>
      </c>
      <c r="D1620" s="5" t="s">
        <v>134</v>
      </c>
      <c r="E1620" s="5" t="str">
        <f t="shared" si="81"/>
        <v>ACTISALUD -PEDIATRIA</v>
      </c>
      <c r="F1620" s="5"/>
      <c r="G1620" s="5"/>
    </row>
    <row r="1621" spans="1:7" ht="58.5" customHeight="1" x14ac:dyDescent="0.25">
      <c r="A1621" s="5" t="str">
        <f>"H0036671"</f>
        <v>H0036671</v>
      </c>
      <c r="B1621" s="5" t="str">
        <f t="shared" si="84"/>
        <v>UNIDAD DE LLAMADO DE ENFERMERIA PARA CAMA O BAÑO</v>
      </c>
      <c r="C1621" s="6">
        <v>643500</v>
      </c>
      <c r="D1621" s="5" t="s">
        <v>134</v>
      </c>
      <c r="E1621" s="5" t="str">
        <f t="shared" si="81"/>
        <v>ACTISALUD -PEDIATRIA</v>
      </c>
      <c r="F1621" s="5"/>
      <c r="G1621" s="5"/>
    </row>
    <row r="1622" spans="1:7" ht="58.5" customHeight="1" x14ac:dyDescent="0.25">
      <c r="A1622" s="5" t="str">
        <f>"H0036672"</f>
        <v>H0036672</v>
      </c>
      <c r="B1622" s="5" t="str">
        <f t="shared" si="84"/>
        <v>UNIDAD DE LLAMADO DE ENFERMERIA PARA CAMA O BAÑO</v>
      </c>
      <c r="C1622" s="6">
        <v>643500</v>
      </c>
      <c r="D1622" s="5" t="s">
        <v>134</v>
      </c>
      <c r="E1622" s="5" t="str">
        <f t="shared" si="81"/>
        <v>ACTISALUD -PEDIATRIA</v>
      </c>
      <c r="F1622" s="5"/>
      <c r="G1622" s="5"/>
    </row>
    <row r="1623" spans="1:7" ht="58.5" customHeight="1" x14ac:dyDescent="0.25">
      <c r="A1623" s="5" t="str">
        <f>"H0036673"</f>
        <v>H0036673</v>
      </c>
      <c r="B1623" s="5" t="str">
        <f t="shared" si="84"/>
        <v>UNIDAD DE LLAMADO DE ENFERMERIA PARA CAMA O BAÑO</v>
      </c>
      <c r="C1623" s="6">
        <v>643500</v>
      </c>
      <c r="D1623" s="5" t="s">
        <v>134</v>
      </c>
      <c r="E1623" s="5" t="str">
        <f t="shared" si="81"/>
        <v>ACTISALUD -PEDIATRIA</v>
      </c>
      <c r="F1623" s="5"/>
      <c r="G1623" s="5"/>
    </row>
    <row r="1624" spans="1:7" ht="58.5" customHeight="1" x14ac:dyDescent="0.25">
      <c r="A1624" s="5" t="str">
        <f>"H0036674"</f>
        <v>H0036674</v>
      </c>
      <c r="B1624" s="5" t="str">
        <f t="shared" si="84"/>
        <v>UNIDAD DE LLAMADO DE ENFERMERIA PARA CAMA O BAÑO</v>
      </c>
      <c r="C1624" s="6">
        <v>643500</v>
      </c>
      <c r="D1624" s="5" t="s">
        <v>134</v>
      </c>
      <c r="E1624" s="5" t="str">
        <f t="shared" si="81"/>
        <v>ACTISALUD -PEDIATRIA</v>
      </c>
      <c r="F1624" s="5"/>
      <c r="G1624" s="5"/>
    </row>
    <row r="1625" spans="1:7" ht="58.5" customHeight="1" x14ac:dyDescent="0.25">
      <c r="A1625" s="5" t="str">
        <f>"H0036675"</f>
        <v>H0036675</v>
      </c>
      <c r="B1625" s="5" t="str">
        <f t="shared" si="84"/>
        <v>UNIDAD DE LLAMADO DE ENFERMERIA PARA CAMA O BAÑO</v>
      </c>
      <c r="C1625" s="6">
        <v>643500</v>
      </c>
      <c r="D1625" s="5" t="s">
        <v>134</v>
      </c>
      <c r="E1625" s="5" t="str">
        <f t="shared" si="81"/>
        <v>ACTISALUD -PEDIATRIA</v>
      </c>
      <c r="F1625" s="5"/>
      <c r="G1625" s="5"/>
    </row>
    <row r="1626" spans="1:7" ht="58.5" customHeight="1" x14ac:dyDescent="0.25">
      <c r="A1626" s="5" t="str">
        <f>"H0036676"</f>
        <v>H0036676</v>
      </c>
      <c r="B1626" s="5" t="str">
        <f t="shared" si="84"/>
        <v>UNIDAD DE LLAMADO DE ENFERMERIA PARA CAMA O BAÑO</v>
      </c>
      <c r="C1626" s="6">
        <v>643500</v>
      </c>
      <c r="D1626" s="5" t="s">
        <v>134</v>
      </c>
      <c r="E1626" s="5" t="str">
        <f t="shared" si="81"/>
        <v>ACTISALUD -PEDIATRIA</v>
      </c>
      <c r="F1626" s="5"/>
      <c r="G1626" s="5"/>
    </row>
    <row r="1627" spans="1:7" ht="58.5" customHeight="1" x14ac:dyDescent="0.25">
      <c r="A1627" s="5" t="str">
        <f>"H0036677"</f>
        <v>H0036677</v>
      </c>
      <c r="B1627" s="5" t="str">
        <f t="shared" si="84"/>
        <v>UNIDAD DE LLAMADO DE ENFERMERIA PARA CAMA O BAÑO</v>
      </c>
      <c r="C1627" s="6">
        <v>643500</v>
      </c>
      <c r="D1627" s="5" t="s">
        <v>134</v>
      </c>
      <c r="E1627" s="5" t="str">
        <f t="shared" si="81"/>
        <v>ACTISALUD -PEDIATRIA</v>
      </c>
      <c r="F1627" s="5"/>
      <c r="G1627" s="5"/>
    </row>
    <row r="1628" spans="1:7" ht="58.5" customHeight="1" x14ac:dyDescent="0.25">
      <c r="A1628" s="5" t="str">
        <f>"H0036678"</f>
        <v>H0036678</v>
      </c>
      <c r="B1628" s="5" t="str">
        <f t="shared" si="84"/>
        <v>UNIDAD DE LLAMADO DE ENFERMERIA PARA CAMA O BAÑO</v>
      </c>
      <c r="C1628" s="6">
        <v>643500</v>
      </c>
      <c r="D1628" s="5" t="s">
        <v>134</v>
      </c>
      <c r="E1628" s="5" t="str">
        <f t="shared" si="81"/>
        <v>ACTISALUD -PEDIATRIA</v>
      </c>
      <c r="F1628" s="5"/>
      <c r="G1628" s="5"/>
    </row>
    <row r="1629" spans="1:7" ht="58.5" customHeight="1" x14ac:dyDescent="0.25">
      <c r="A1629" s="5" t="str">
        <f>"H0036679"</f>
        <v>H0036679</v>
      </c>
      <c r="B1629" s="5" t="str">
        <f t="shared" si="84"/>
        <v>UNIDAD DE LLAMADO DE ENFERMERIA PARA CAMA O BAÑO</v>
      </c>
      <c r="C1629" s="6">
        <v>643500</v>
      </c>
      <c r="D1629" s="5" t="s">
        <v>134</v>
      </c>
      <c r="E1629" s="5" t="str">
        <f t="shared" si="81"/>
        <v>ACTISALUD -PEDIATRIA</v>
      </c>
      <c r="F1629" s="5"/>
      <c r="G1629" s="5"/>
    </row>
    <row r="1630" spans="1:7" ht="58.5" customHeight="1" x14ac:dyDescent="0.25">
      <c r="A1630" s="5" t="str">
        <f>"H0036680"</f>
        <v>H0036680</v>
      </c>
      <c r="B1630" s="5" t="str">
        <f t="shared" si="84"/>
        <v>UNIDAD DE LLAMADO DE ENFERMERIA PARA CAMA O BAÑO</v>
      </c>
      <c r="C1630" s="6">
        <v>643500</v>
      </c>
      <c r="D1630" s="5" t="s">
        <v>134</v>
      </c>
      <c r="E1630" s="5" t="str">
        <f t="shared" si="81"/>
        <v>ACTISALUD -PEDIATRIA</v>
      </c>
      <c r="F1630" s="5"/>
      <c r="G1630" s="5"/>
    </row>
    <row r="1631" spans="1:7" ht="58.5" customHeight="1" x14ac:dyDescent="0.25">
      <c r="A1631" s="5" t="str">
        <f>"H0036681"</f>
        <v>H0036681</v>
      </c>
      <c r="B1631" s="5" t="str">
        <f t="shared" si="84"/>
        <v>UNIDAD DE LLAMADO DE ENFERMERIA PARA CAMA O BAÑO</v>
      </c>
      <c r="C1631" s="6">
        <v>643500</v>
      </c>
      <c r="D1631" s="5" t="s">
        <v>134</v>
      </c>
      <c r="E1631" s="5" t="str">
        <f t="shared" si="81"/>
        <v>ACTISALUD -PEDIATRIA</v>
      </c>
      <c r="F1631" s="5"/>
      <c r="G1631" s="5"/>
    </row>
    <row r="1632" spans="1:7" ht="58.5" customHeight="1" x14ac:dyDescent="0.25">
      <c r="A1632" s="5" t="str">
        <f>"H0036682"</f>
        <v>H0036682</v>
      </c>
      <c r="B1632" s="5" t="str">
        <f t="shared" si="84"/>
        <v>UNIDAD DE LLAMADO DE ENFERMERIA PARA CAMA O BAÑO</v>
      </c>
      <c r="C1632" s="6">
        <v>643500</v>
      </c>
      <c r="D1632" s="5" t="s">
        <v>134</v>
      </c>
      <c r="E1632" s="5" t="str">
        <f t="shared" si="81"/>
        <v>ACTISALUD -PEDIATRIA</v>
      </c>
      <c r="F1632" s="5"/>
      <c r="G1632" s="5"/>
    </row>
    <row r="1633" spans="1:7" ht="58.5" customHeight="1" x14ac:dyDescent="0.25">
      <c r="A1633" s="5" t="str">
        <f>"H0036683"</f>
        <v>H0036683</v>
      </c>
      <c r="B1633" s="5" t="str">
        <f t="shared" si="84"/>
        <v>UNIDAD DE LLAMADO DE ENFERMERIA PARA CAMA O BAÑO</v>
      </c>
      <c r="C1633" s="6">
        <v>643500</v>
      </c>
      <c r="D1633" s="5" t="s">
        <v>134</v>
      </c>
      <c r="E1633" s="5" t="str">
        <f t="shared" si="81"/>
        <v>ACTISALUD -PEDIATRIA</v>
      </c>
      <c r="F1633" s="5"/>
      <c r="G1633" s="5"/>
    </row>
    <row r="1634" spans="1:7" ht="58.5" customHeight="1" x14ac:dyDescent="0.25">
      <c r="A1634" s="5" t="str">
        <f>"H0036684"</f>
        <v>H0036684</v>
      </c>
      <c r="B1634" s="5" t="str">
        <f t="shared" si="84"/>
        <v>UNIDAD DE LLAMADO DE ENFERMERIA PARA CAMA O BAÑO</v>
      </c>
      <c r="C1634" s="6">
        <v>643500</v>
      </c>
      <c r="D1634" s="5" t="s">
        <v>134</v>
      </c>
      <c r="E1634" s="5" t="str">
        <f t="shared" si="81"/>
        <v>ACTISALUD -PEDIATRIA</v>
      </c>
      <c r="F1634" s="5"/>
      <c r="G1634" s="5"/>
    </row>
    <row r="1635" spans="1:7" ht="58.5" customHeight="1" x14ac:dyDescent="0.25">
      <c r="A1635" s="5" t="str">
        <f>"H0036685"</f>
        <v>H0036685</v>
      </c>
      <c r="B1635" s="5" t="str">
        <f t="shared" si="84"/>
        <v>UNIDAD DE LLAMADO DE ENFERMERIA PARA CAMA O BAÑO</v>
      </c>
      <c r="C1635" s="6">
        <v>643500</v>
      </c>
      <c r="D1635" s="5" t="s">
        <v>134</v>
      </c>
      <c r="E1635" s="5" t="str">
        <f t="shared" si="81"/>
        <v>ACTISALUD -PEDIATRIA</v>
      </c>
      <c r="F1635" s="5"/>
      <c r="G1635" s="5"/>
    </row>
    <row r="1636" spans="1:7" ht="58.5" customHeight="1" x14ac:dyDescent="0.25">
      <c r="A1636" s="5" t="str">
        <f>"H0036686"</f>
        <v>H0036686</v>
      </c>
      <c r="B1636" s="5" t="str">
        <f t="shared" si="84"/>
        <v>UNIDAD DE LLAMADO DE ENFERMERIA PARA CAMA O BAÑO</v>
      </c>
      <c r="C1636" s="6">
        <v>643500</v>
      </c>
      <c r="D1636" s="5" t="s">
        <v>134</v>
      </c>
      <c r="E1636" s="5" t="str">
        <f t="shared" si="81"/>
        <v>ACTISALUD -PEDIATRIA</v>
      </c>
      <c r="F1636" s="5"/>
      <c r="G1636" s="5"/>
    </row>
    <row r="1637" spans="1:7" ht="58.5" customHeight="1" x14ac:dyDescent="0.25">
      <c r="A1637" s="5" t="str">
        <f>"H0036687"</f>
        <v>H0036687</v>
      </c>
      <c r="B1637" s="5" t="str">
        <f t="shared" si="84"/>
        <v>UNIDAD DE LLAMADO DE ENFERMERIA PARA CAMA O BAÑO</v>
      </c>
      <c r="C1637" s="6">
        <v>643500</v>
      </c>
      <c r="D1637" s="5" t="s">
        <v>134</v>
      </c>
      <c r="E1637" s="5" t="str">
        <f t="shared" si="81"/>
        <v>ACTISALUD -PEDIATRIA</v>
      </c>
      <c r="F1637" s="5"/>
      <c r="G1637" s="5"/>
    </row>
    <row r="1638" spans="1:7" ht="58.5" customHeight="1" x14ac:dyDescent="0.25">
      <c r="A1638" s="5" t="str">
        <f>"H0036688"</f>
        <v>H0036688</v>
      </c>
      <c r="B1638" s="5" t="str">
        <f t="shared" si="84"/>
        <v>UNIDAD DE LLAMADO DE ENFERMERIA PARA CAMA O BAÑO</v>
      </c>
      <c r="C1638" s="6">
        <v>643500</v>
      </c>
      <c r="D1638" s="5" t="s">
        <v>134</v>
      </c>
      <c r="E1638" s="5" t="str">
        <f t="shared" si="81"/>
        <v>ACTISALUD -PEDIATRIA</v>
      </c>
      <c r="F1638" s="5"/>
      <c r="G1638" s="5"/>
    </row>
    <row r="1639" spans="1:7" ht="58.5" customHeight="1" x14ac:dyDescent="0.25">
      <c r="A1639" s="5" t="str">
        <f>"H0036689"</f>
        <v>H0036689</v>
      </c>
      <c r="B1639" s="5" t="str">
        <f t="shared" si="84"/>
        <v>UNIDAD DE LLAMADO DE ENFERMERIA PARA CAMA O BAÑO</v>
      </c>
      <c r="C1639" s="6">
        <v>643500</v>
      </c>
      <c r="D1639" s="5" t="s">
        <v>134</v>
      </c>
      <c r="E1639" s="5" t="str">
        <f t="shared" si="81"/>
        <v>ACTISALUD -PEDIATRIA</v>
      </c>
      <c r="F1639" s="5"/>
      <c r="G1639" s="5"/>
    </row>
    <row r="1640" spans="1:7" ht="58.5" customHeight="1" x14ac:dyDescent="0.25">
      <c r="A1640" s="5" t="str">
        <f>"H0036690"</f>
        <v>H0036690</v>
      </c>
      <c r="B1640" s="5" t="str">
        <f t="shared" si="84"/>
        <v>UNIDAD DE LLAMADO DE ENFERMERIA PARA CAMA O BAÑO</v>
      </c>
      <c r="C1640" s="6">
        <v>643500</v>
      </c>
      <c r="D1640" s="5" t="s">
        <v>134</v>
      </c>
      <c r="E1640" s="5" t="str">
        <f t="shared" si="81"/>
        <v>ACTISALUD -PEDIATRIA</v>
      </c>
      <c r="F1640" s="5"/>
      <c r="G1640" s="5"/>
    </row>
    <row r="1641" spans="1:7" ht="58.5" customHeight="1" x14ac:dyDescent="0.25">
      <c r="A1641" s="5" t="str">
        <f>"H0036691"</f>
        <v>H0036691</v>
      </c>
      <c r="B1641" s="5" t="str">
        <f t="shared" si="84"/>
        <v>UNIDAD DE LLAMADO DE ENFERMERIA PARA CAMA O BAÑO</v>
      </c>
      <c r="C1641" s="6">
        <v>643500</v>
      </c>
      <c r="D1641" s="5" t="s">
        <v>134</v>
      </c>
      <c r="E1641" s="5" t="str">
        <f t="shared" si="81"/>
        <v>ACTISALUD -PEDIATRIA</v>
      </c>
      <c r="F1641" s="5"/>
      <c r="G1641" s="5"/>
    </row>
    <row r="1642" spans="1:7" ht="58.5" customHeight="1" x14ac:dyDescent="0.25">
      <c r="A1642" s="5" t="str">
        <f>"H0036865"</f>
        <v>H0036865</v>
      </c>
      <c r="B1642" s="5" t="str">
        <f>"PANTALLA RECEPTORA DE LLAMADO DE ENFERMERIA"</f>
        <v>PANTALLA RECEPTORA DE LLAMADO DE ENFERMERIA</v>
      </c>
      <c r="C1642" s="6">
        <v>4895000</v>
      </c>
      <c r="D1642" s="5" t="s">
        <v>200</v>
      </c>
      <c r="E1642" s="5" t="str">
        <f t="shared" si="81"/>
        <v>ACTISALUD -PEDIATRIA</v>
      </c>
      <c r="F1642" s="5"/>
      <c r="G1642" s="5"/>
    </row>
    <row r="1643" spans="1:7" ht="58.5" customHeight="1" x14ac:dyDescent="0.25">
      <c r="A1643" s="5" t="str">
        <f>"H0037097"</f>
        <v>H0037097</v>
      </c>
      <c r="B1643" s="5" t="str">
        <f>"INFANTOMETRO"</f>
        <v>INFANTOMETRO</v>
      </c>
      <c r="C1643" s="6">
        <v>1191337.03</v>
      </c>
      <c r="D1643" s="5" t="s">
        <v>136</v>
      </c>
      <c r="E1643" s="5" t="str">
        <f t="shared" si="81"/>
        <v>ACTISALUD -PEDIATRIA</v>
      </c>
      <c r="F1643" s="5"/>
      <c r="G1643" s="5"/>
    </row>
    <row r="1644" spans="1:7" ht="58.5" customHeight="1" x14ac:dyDescent="0.25">
      <c r="A1644" s="5" t="str">
        <f>"H0037098"</f>
        <v>H0037098</v>
      </c>
      <c r="B1644" s="5" t="str">
        <f>"INFANTOMETRO"</f>
        <v>INFANTOMETRO</v>
      </c>
      <c r="C1644" s="6">
        <v>1191337.03</v>
      </c>
      <c r="D1644" s="5" t="s">
        <v>136</v>
      </c>
      <c r="E1644" s="5" t="str">
        <f t="shared" si="81"/>
        <v>ACTISALUD -PEDIATRIA</v>
      </c>
      <c r="F1644" s="5"/>
      <c r="G1644" s="5"/>
    </row>
    <row r="1645" spans="1:7" ht="58.5" customHeight="1" x14ac:dyDescent="0.25">
      <c r="A1645" s="5" t="str">
        <f>"H0037107"</f>
        <v>H0037107</v>
      </c>
      <c r="B1645" s="5" t="str">
        <f>"BASCULA PESA BEBE MARCA SECA MODELO 374"</f>
        <v>BASCULA PESA BEBE MARCA SECA MODELO 374</v>
      </c>
      <c r="C1645" s="6">
        <v>3971069.02</v>
      </c>
      <c r="D1645" s="5" t="s">
        <v>136</v>
      </c>
      <c r="E1645" s="5" t="str">
        <f t="shared" si="81"/>
        <v>ACTISALUD -PEDIATRIA</v>
      </c>
      <c r="F1645" s="5"/>
      <c r="G1645" s="5"/>
    </row>
    <row r="1646" spans="1:7" ht="58.5" customHeight="1" x14ac:dyDescent="0.25">
      <c r="A1646" s="5" t="str">
        <f>"H0037108"</f>
        <v>H0037108</v>
      </c>
      <c r="B1646" s="5" t="str">
        <f>"BASCULA PESA BEBE MARCA SECA MODELO 374"</f>
        <v>BASCULA PESA BEBE MARCA SECA MODELO 374</v>
      </c>
      <c r="C1646" s="6">
        <v>3971069.02</v>
      </c>
      <c r="D1646" s="5" t="s">
        <v>136</v>
      </c>
      <c r="E1646" s="5" t="str">
        <f t="shared" si="81"/>
        <v>ACTISALUD -PEDIATRIA</v>
      </c>
      <c r="F1646" s="5"/>
      <c r="G1646" s="5"/>
    </row>
    <row r="1647" spans="1:7" ht="58.5" customHeight="1" x14ac:dyDescent="0.25">
      <c r="A1647" s="5" t="str">
        <f>"H0037150"</f>
        <v>H0037150</v>
      </c>
      <c r="B1647" s="5" t="str">
        <f>"TALLIMETRO CAPACIDAD 20-205 CM (DONACION)"</f>
        <v>TALLIMETRO CAPACIDAD 20-205 CM (DONACION)</v>
      </c>
      <c r="C1647" s="6">
        <v>1254705.99</v>
      </c>
      <c r="D1647" s="5" t="s">
        <v>136</v>
      </c>
      <c r="E1647" s="5" t="str">
        <f t="shared" si="81"/>
        <v>ACTISALUD -PEDIATRIA</v>
      </c>
      <c r="F1647" s="5"/>
      <c r="G1647" s="5"/>
    </row>
    <row r="1648" spans="1:7" ht="58.5" customHeight="1" x14ac:dyDescent="0.25">
      <c r="A1648" s="5" t="str">
        <f>"H0037157"</f>
        <v>H0037157</v>
      </c>
      <c r="B1648" s="5" t="str">
        <f>"TALLIMETRO CAPACIDAD 20-205 CM (DONACION)"</f>
        <v>TALLIMETRO CAPACIDAD 20-205 CM (DONACION)</v>
      </c>
      <c r="C1648" s="6">
        <v>1254705.99</v>
      </c>
      <c r="D1648" s="5" t="s">
        <v>136</v>
      </c>
      <c r="E1648" s="5" t="str">
        <f t="shared" ref="E1648:E1711" si="85">"ACTISALUD -PEDIATRIA"</f>
        <v>ACTISALUD -PEDIATRIA</v>
      </c>
      <c r="F1648" s="5"/>
      <c r="G1648" s="5"/>
    </row>
    <row r="1649" spans="1:7" ht="58.5" customHeight="1" x14ac:dyDescent="0.25">
      <c r="A1649" s="5" t="str">
        <f>"H0037170"</f>
        <v>H0037170</v>
      </c>
      <c r="B1649" s="5" t="str">
        <f>"BASCULA ADULTO"</f>
        <v>BASCULA ADULTO</v>
      </c>
      <c r="C1649" s="6">
        <v>3588385.98</v>
      </c>
      <c r="D1649" s="5" t="s">
        <v>136</v>
      </c>
      <c r="E1649" s="5" t="str">
        <f t="shared" si="85"/>
        <v>ACTISALUD -PEDIATRIA</v>
      </c>
      <c r="F1649" s="5"/>
      <c r="G1649" s="5"/>
    </row>
    <row r="1650" spans="1:7" ht="58.5" customHeight="1" x14ac:dyDescent="0.25">
      <c r="A1650" s="5" t="str">
        <f>"H0037209"</f>
        <v>H0037209</v>
      </c>
      <c r="B1650" s="5" t="str">
        <f>"AIRE ACONDICIONADO TIPO MINISPLIT CAPACIDAD 12.000 BTU TECNOLOGIA INVERTER DUAL"</f>
        <v>AIRE ACONDICIONADO TIPO MINISPLIT CAPACIDAD 12.000 BTU TECNOLOGIA INVERTER DUAL</v>
      </c>
      <c r="C1650" s="6">
        <v>2799999.93</v>
      </c>
      <c r="D1650" s="5" t="s">
        <v>201</v>
      </c>
      <c r="E1650" s="5" t="str">
        <f t="shared" si="85"/>
        <v>ACTISALUD -PEDIATRIA</v>
      </c>
      <c r="F1650" s="5"/>
      <c r="G1650" s="5"/>
    </row>
    <row r="1651" spans="1:7" ht="58.5" customHeight="1" x14ac:dyDescent="0.25">
      <c r="A1651" s="5" t="str">
        <f>"H0037299"</f>
        <v>H0037299</v>
      </c>
      <c r="B1651" s="5" t="str">
        <f t="shared" ref="B1651:B1668" si="86">"VENTILADOR DE PARED"</f>
        <v>VENTILADOR DE PARED</v>
      </c>
      <c r="C1651" s="6">
        <v>286671</v>
      </c>
      <c r="D1651" s="5" t="s">
        <v>138</v>
      </c>
      <c r="E1651" s="5" t="str">
        <f t="shared" si="85"/>
        <v>ACTISALUD -PEDIATRIA</v>
      </c>
      <c r="F1651" s="5"/>
      <c r="G1651" s="5"/>
    </row>
    <row r="1652" spans="1:7" ht="58.5" customHeight="1" x14ac:dyDescent="0.25">
      <c r="A1652" s="5" t="str">
        <f>"H0037341"</f>
        <v>H0037341</v>
      </c>
      <c r="B1652" s="5" t="str">
        <f t="shared" si="86"/>
        <v>VENTILADOR DE PARED</v>
      </c>
      <c r="C1652" s="6">
        <v>286671</v>
      </c>
      <c r="D1652" s="5" t="s">
        <v>138</v>
      </c>
      <c r="E1652" s="5" t="str">
        <f t="shared" si="85"/>
        <v>ACTISALUD -PEDIATRIA</v>
      </c>
      <c r="F1652" s="5"/>
      <c r="G1652" s="5"/>
    </row>
    <row r="1653" spans="1:7" ht="58.5" customHeight="1" x14ac:dyDescent="0.25">
      <c r="A1653" s="5" t="str">
        <f>"H0037342"</f>
        <v>H0037342</v>
      </c>
      <c r="B1653" s="5" t="str">
        <f t="shared" si="86"/>
        <v>VENTILADOR DE PARED</v>
      </c>
      <c r="C1653" s="6">
        <v>286671</v>
      </c>
      <c r="D1653" s="5" t="s">
        <v>138</v>
      </c>
      <c r="E1653" s="5" t="str">
        <f t="shared" si="85"/>
        <v>ACTISALUD -PEDIATRIA</v>
      </c>
      <c r="F1653" s="5"/>
      <c r="G1653" s="5"/>
    </row>
    <row r="1654" spans="1:7" ht="58.5" customHeight="1" x14ac:dyDescent="0.25">
      <c r="A1654" s="5" t="str">
        <f>"H0037343"</f>
        <v>H0037343</v>
      </c>
      <c r="B1654" s="5" t="str">
        <f t="shared" si="86"/>
        <v>VENTILADOR DE PARED</v>
      </c>
      <c r="C1654" s="6">
        <v>286671</v>
      </c>
      <c r="D1654" s="5" t="s">
        <v>138</v>
      </c>
      <c r="E1654" s="5" t="str">
        <f t="shared" si="85"/>
        <v>ACTISALUD -PEDIATRIA</v>
      </c>
      <c r="F1654" s="5"/>
      <c r="G1654" s="5"/>
    </row>
    <row r="1655" spans="1:7" ht="58.5" customHeight="1" x14ac:dyDescent="0.25">
      <c r="A1655" s="5" t="str">
        <f>"H0037344"</f>
        <v>H0037344</v>
      </c>
      <c r="B1655" s="5" t="str">
        <f t="shared" si="86"/>
        <v>VENTILADOR DE PARED</v>
      </c>
      <c r="C1655" s="6">
        <v>286671</v>
      </c>
      <c r="D1655" s="5" t="s">
        <v>138</v>
      </c>
      <c r="E1655" s="5" t="str">
        <f t="shared" si="85"/>
        <v>ACTISALUD -PEDIATRIA</v>
      </c>
      <c r="F1655" s="5"/>
      <c r="G1655" s="5"/>
    </row>
    <row r="1656" spans="1:7" ht="58.5" customHeight="1" x14ac:dyDescent="0.25">
      <c r="A1656" s="5" t="str">
        <f>"H0037345"</f>
        <v>H0037345</v>
      </c>
      <c r="B1656" s="5" t="str">
        <f t="shared" si="86"/>
        <v>VENTILADOR DE PARED</v>
      </c>
      <c r="C1656" s="6">
        <v>286671</v>
      </c>
      <c r="D1656" s="5" t="s">
        <v>138</v>
      </c>
      <c r="E1656" s="5" t="str">
        <f t="shared" si="85"/>
        <v>ACTISALUD -PEDIATRIA</v>
      </c>
      <c r="F1656" s="5"/>
      <c r="G1656" s="5"/>
    </row>
    <row r="1657" spans="1:7" ht="58.5" customHeight="1" x14ac:dyDescent="0.25">
      <c r="A1657" s="5" t="str">
        <f>"H0037346"</f>
        <v>H0037346</v>
      </c>
      <c r="B1657" s="5" t="str">
        <f t="shared" si="86"/>
        <v>VENTILADOR DE PARED</v>
      </c>
      <c r="C1657" s="6">
        <v>286671</v>
      </c>
      <c r="D1657" s="5" t="s">
        <v>138</v>
      </c>
      <c r="E1657" s="5" t="str">
        <f t="shared" si="85"/>
        <v>ACTISALUD -PEDIATRIA</v>
      </c>
      <c r="F1657" s="5"/>
      <c r="G1657" s="5"/>
    </row>
    <row r="1658" spans="1:7" ht="58.5" customHeight="1" x14ac:dyDescent="0.25">
      <c r="A1658" s="5" t="str">
        <f>"H0037347"</f>
        <v>H0037347</v>
      </c>
      <c r="B1658" s="5" t="str">
        <f t="shared" si="86"/>
        <v>VENTILADOR DE PARED</v>
      </c>
      <c r="C1658" s="6">
        <v>286671</v>
      </c>
      <c r="D1658" s="5" t="s">
        <v>138</v>
      </c>
      <c r="E1658" s="5" t="str">
        <f t="shared" si="85"/>
        <v>ACTISALUD -PEDIATRIA</v>
      </c>
      <c r="F1658" s="5"/>
      <c r="G1658" s="5"/>
    </row>
    <row r="1659" spans="1:7" ht="58.5" customHeight="1" x14ac:dyDescent="0.25">
      <c r="A1659" s="5" t="str">
        <f>"H0037348"</f>
        <v>H0037348</v>
      </c>
      <c r="B1659" s="5" t="str">
        <f t="shared" si="86"/>
        <v>VENTILADOR DE PARED</v>
      </c>
      <c r="C1659" s="6">
        <v>286671</v>
      </c>
      <c r="D1659" s="5" t="s">
        <v>138</v>
      </c>
      <c r="E1659" s="5" t="str">
        <f t="shared" si="85"/>
        <v>ACTISALUD -PEDIATRIA</v>
      </c>
      <c r="F1659" s="5"/>
      <c r="G1659" s="5"/>
    </row>
    <row r="1660" spans="1:7" ht="58.5" customHeight="1" x14ac:dyDescent="0.25">
      <c r="A1660" s="5" t="str">
        <f>"H0037349"</f>
        <v>H0037349</v>
      </c>
      <c r="B1660" s="5" t="str">
        <f t="shared" si="86"/>
        <v>VENTILADOR DE PARED</v>
      </c>
      <c r="C1660" s="6">
        <v>286671</v>
      </c>
      <c r="D1660" s="5" t="s">
        <v>138</v>
      </c>
      <c r="E1660" s="5" t="str">
        <f t="shared" si="85"/>
        <v>ACTISALUD -PEDIATRIA</v>
      </c>
      <c r="F1660" s="5"/>
      <c r="G1660" s="5"/>
    </row>
    <row r="1661" spans="1:7" ht="58.5" customHeight="1" x14ac:dyDescent="0.25">
      <c r="A1661" s="5" t="str">
        <f>"H0037350"</f>
        <v>H0037350</v>
      </c>
      <c r="B1661" s="5" t="str">
        <f t="shared" si="86"/>
        <v>VENTILADOR DE PARED</v>
      </c>
      <c r="C1661" s="6">
        <v>286671</v>
      </c>
      <c r="D1661" s="5" t="s">
        <v>138</v>
      </c>
      <c r="E1661" s="5" t="str">
        <f t="shared" si="85"/>
        <v>ACTISALUD -PEDIATRIA</v>
      </c>
      <c r="F1661" s="5"/>
      <c r="G1661" s="5"/>
    </row>
    <row r="1662" spans="1:7" ht="58.5" customHeight="1" x14ac:dyDescent="0.25">
      <c r="A1662" s="5" t="str">
        <f>"H0037351"</f>
        <v>H0037351</v>
      </c>
      <c r="B1662" s="5" t="str">
        <f t="shared" si="86"/>
        <v>VENTILADOR DE PARED</v>
      </c>
      <c r="C1662" s="6">
        <v>286671</v>
      </c>
      <c r="D1662" s="5" t="s">
        <v>138</v>
      </c>
      <c r="E1662" s="5" t="str">
        <f t="shared" si="85"/>
        <v>ACTISALUD -PEDIATRIA</v>
      </c>
      <c r="F1662" s="5"/>
      <c r="G1662" s="5"/>
    </row>
    <row r="1663" spans="1:7" ht="58.5" customHeight="1" x14ac:dyDescent="0.25">
      <c r="A1663" s="5" t="str">
        <f>"H0037352"</f>
        <v>H0037352</v>
      </c>
      <c r="B1663" s="5" t="str">
        <f t="shared" si="86"/>
        <v>VENTILADOR DE PARED</v>
      </c>
      <c r="C1663" s="6">
        <v>286671</v>
      </c>
      <c r="D1663" s="5" t="s">
        <v>138</v>
      </c>
      <c r="E1663" s="5" t="str">
        <f t="shared" si="85"/>
        <v>ACTISALUD -PEDIATRIA</v>
      </c>
      <c r="F1663" s="5"/>
      <c r="G1663" s="5"/>
    </row>
    <row r="1664" spans="1:7" ht="58.5" customHeight="1" x14ac:dyDescent="0.25">
      <c r="A1664" s="5" t="str">
        <f>"H0037372"</f>
        <v>H0037372</v>
      </c>
      <c r="B1664" s="5" t="str">
        <f t="shared" si="86"/>
        <v>VENTILADOR DE PARED</v>
      </c>
      <c r="C1664" s="6">
        <v>286671</v>
      </c>
      <c r="D1664" s="5" t="s">
        <v>138</v>
      </c>
      <c r="E1664" s="5" t="str">
        <f t="shared" si="85"/>
        <v>ACTISALUD -PEDIATRIA</v>
      </c>
      <c r="F1664" s="5"/>
      <c r="G1664" s="5"/>
    </row>
    <row r="1665" spans="1:7" ht="58.5" customHeight="1" x14ac:dyDescent="0.25">
      <c r="A1665" s="5" t="str">
        <f>"H0037373"</f>
        <v>H0037373</v>
      </c>
      <c r="B1665" s="5" t="str">
        <f t="shared" si="86"/>
        <v>VENTILADOR DE PARED</v>
      </c>
      <c r="C1665" s="6">
        <v>286671</v>
      </c>
      <c r="D1665" s="5" t="s">
        <v>138</v>
      </c>
      <c r="E1665" s="5" t="str">
        <f t="shared" si="85"/>
        <v>ACTISALUD -PEDIATRIA</v>
      </c>
      <c r="F1665" s="5"/>
      <c r="G1665" s="5"/>
    </row>
    <row r="1666" spans="1:7" ht="58.5" customHeight="1" x14ac:dyDescent="0.25">
      <c r="A1666" s="5" t="str">
        <f>"H0037374"</f>
        <v>H0037374</v>
      </c>
      <c r="B1666" s="5" t="str">
        <f t="shared" si="86"/>
        <v>VENTILADOR DE PARED</v>
      </c>
      <c r="C1666" s="6">
        <v>286671</v>
      </c>
      <c r="D1666" s="5" t="s">
        <v>138</v>
      </c>
      <c r="E1666" s="5" t="str">
        <f t="shared" si="85"/>
        <v>ACTISALUD -PEDIATRIA</v>
      </c>
      <c r="F1666" s="5"/>
      <c r="G1666" s="5"/>
    </row>
    <row r="1667" spans="1:7" ht="58.5" customHeight="1" x14ac:dyDescent="0.25">
      <c r="A1667" s="5" t="str">
        <f>"H0037375"</f>
        <v>H0037375</v>
      </c>
      <c r="B1667" s="5" t="str">
        <f t="shared" si="86"/>
        <v>VENTILADOR DE PARED</v>
      </c>
      <c r="C1667" s="6">
        <v>286671</v>
      </c>
      <c r="D1667" s="5" t="s">
        <v>138</v>
      </c>
      <c r="E1667" s="5" t="str">
        <f t="shared" si="85"/>
        <v>ACTISALUD -PEDIATRIA</v>
      </c>
      <c r="F1667" s="5"/>
      <c r="G1667" s="5"/>
    </row>
    <row r="1668" spans="1:7" ht="58.5" customHeight="1" x14ac:dyDescent="0.25">
      <c r="A1668" s="5" t="str">
        <f>"H0037376"</f>
        <v>H0037376</v>
      </c>
      <c r="B1668" s="5" t="str">
        <f t="shared" si="86"/>
        <v>VENTILADOR DE PARED</v>
      </c>
      <c r="C1668" s="6">
        <v>286671</v>
      </c>
      <c r="D1668" s="5" t="s">
        <v>138</v>
      </c>
      <c r="E1668" s="5" t="str">
        <f t="shared" si="85"/>
        <v>ACTISALUD -PEDIATRIA</v>
      </c>
      <c r="F1668" s="5"/>
      <c r="G1668" s="5"/>
    </row>
    <row r="1669" spans="1:7" ht="58.5" customHeight="1" x14ac:dyDescent="0.25">
      <c r="A1669" s="5" t="str">
        <f>"H0037432"</f>
        <v>H0037432</v>
      </c>
      <c r="B1669" s="5" t="str">
        <f>"AIRE ACONDICIONADO TIPO MINISPLIT CAPACIDAD 12.000 BTU TECNOLOGIA INVERTER DUAL"</f>
        <v>AIRE ACONDICIONADO TIPO MINISPLIT CAPACIDAD 12.000 BTU TECNOLOGIA INVERTER DUAL</v>
      </c>
      <c r="C1669" s="6">
        <v>3261552</v>
      </c>
      <c r="D1669" s="5" t="s">
        <v>202</v>
      </c>
      <c r="E1669" s="5" t="str">
        <f t="shared" si="85"/>
        <v>ACTISALUD -PEDIATRIA</v>
      </c>
      <c r="F1669" s="5"/>
      <c r="G1669" s="5"/>
    </row>
    <row r="1670" spans="1:7" ht="58.5" customHeight="1" x14ac:dyDescent="0.25">
      <c r="A1670" s="5" t="str">
        <f>"H0037454"</f>
        <v>H0037454</v>
      </c>
      <c r="B1670" s="5" t="str">
        <f t="shared" ref="B1670:B1676" si="87">"VENTILADOR DE PARED"</f>
        <v>VENTILADOR DE PARED</v>
      </c>
      <c r="C1670" s="6">
        <v>286671</v>
      </c>
      <c r="D1670" s="5" t="s">
        <v>139</v>
      </c>
      <c r="E1670" s="5" t="str">
        <f t="shared" si="85"/>
        <v>ACTISALUD -PEDIATRIA</v>
      </c>
      <c r="F1670" s="5"/>
      <c r="G1670" s="5"/>
    </row>
    <row r="1671" spans="1:7" ht="58.5" customHeight="1" x14ac:dyDescent="0.25">
      <c r="A1671" s="5" t="str">
        <f>"H0037455"</f>
        <v>H0037455</v>
      </c>
      <c r="B1671" s="5" t="str">
        <f t="shared" si="87"/>
        <v>VENTILADOR DE PARED</v>
      </c>
      <c r="C1671" s="6">
        <v>286671</v>
      </c>
      <c r="D1671" s="5" t="s">
        <v>139</v>
      </c>
      <c r="E1671" s="5" t="str">
        <f t="shared" si="85"/>
        <v>ACTISALUD -PEDIATRIA</v>
      </c>
      <c r="F1671" s="5"/>
      <c r="G1671" s="5"/>
    </row>
    <row r="1672" spans="1:7" ht="58.5" customHeight="1" x14ac:dyDescent="0.25">
      <c r="A1672" s="5" t="str">
        <f>"H0037456"</f>
        <v>H0037456</v>
      </c>
      <c r="B1672" s="5" t="str">
        <f t="shared" si="87"/>
        <v>VENTILADOR DE PARED</v>
      </c>
      <c r="C1672" s="6">
        <v>286671</v>
      </c>
      <c r="D1672" s="5" t="s">
        <v>139</v>
      </c>
      <c r="E1672" s="5" t="str">
        <f t="shared" si="85"/>
        <v>ACTISALUD -PEDIATRIA</v>
      </c>
      <c r="F1672" s="5"/>
      <c r="G1672" s="5"/>
    </row>
    <row r="1673" spans="1:7" ht="58.5" customHeight="1" x14ac:dyDescent="0.25">
      <c r="A1673" s="5" t="str">
        <f>"H0037475"</f>
        <v>H0037475</v>
      </c>
      <c r="B1673" s="5" t="str">
        <f t="shared" si="87"/>
        <v>VENTILADOR DE PARED</v>
      </c>
      <c r="C1673" s="6">
        <v>286671</v>
      </c>
      <c r="D1673" s="5" t="s">
        <v>139</v>
      </c>
      <c r="E1673" s="5" t="str">
        <f t="shared" si="85"/>
        <v>ACTISALUD -PEDIATRIA</v>
      </c>
      <c r="F1673" s="5"/>
      <c r="G1673" s="5"/>
    </row>
    <row r="1674" spans="1:7" ht="58.5" customHeight="1" x14ac:dyDescent="0.25">
      <c r="A1674" s="5" t="str">
        <f>"H0037476"</f>
        <v>H0037476</v>
      </c>
      <c r="B1674" s="5" t="str">
        <f t="shared" si="87"/>
        <v>VENTILADOR DE PARED</v>
      </c>
      <c r="C1674" s="6">
        <v>286671</v>
      </c>
      <c r="D1674" s="5" t="s">
        <v>139</v>
      </c>
      <c r="E1674" s="5" t="str">
        <f t="shared" si="85"/>
        <v>ACTISALUD -PEDIATRIA</v>
      </c>
      <c r="F1674" s="5"/>
      <c r="G1674" s="5"/>
    </row>
    <row r="1675" spans="1:7" ht="58.5" customHeight="1" x14ac:dyDescent="0.25">
      <c r="A1675" s="5" t="str">
        <f>"H0037477"</f>
        <v>H0037477</v>
      </c>
      <c r="B1675" s="5" t="str">
        <f t="shared" si="87"/>
        <v>VENTILADOR DE PARED</v>
      </c>
      <c r="C1675" s="6">
        <v>286671</v>
      </c>
      <c r="D1675" s="5" t="s">
        <v>139</v>
      </c>
      <c r="E1675" s="5" t="str">
        <f t="shared" si="85"/>
        <v>ACTISALUD -PEDIATRIA</v>
      </c>
      <c r="F1675" s="5"/>
      <c r="G1675" s="5"/>
    </row>
    <row r="1676" spans="1:7" ht="58.5" customHeight="1" x14ac:dyDescent="0.25">
      <c r="A1676" s="5" t="str">
        <f>"H0037478"</f>
        <v>H0037478</v>
      </c>
      <c r="B1676" s="5" t="str">
        <f t="shared" si="87"/>
        <v>VENTILADOR DE PARED</v>
      </c>
      <c r="C1676" s="6">
        <v>286671</v>
      </c>
      <c r="D1676" s="5" t="s">
        <v>139</v>
      </c>
      <c r="E1676" s="5" t="str">
        <f t="shared" si="85"/>
        <v>ACTISALUD -PEDIATRIA</v>
      </c>
      <c r="F1676" s="5"/>
      <c r="G1676" s="5"/>
    </row>
    <row r="1677" spans="1:7" ht="58.5" customHeight="1" x14ac:dyDescent="0.25">
      <c r="A1677" s="5" t="str">
        <f>"H0037791"</f>
        <v>H0037791</v>
      </c>
      <c r="B1677" s="5" t="str">
        <f t="shared" ref="B1677:B1685" si="88">"SILLA GERENTE NIZA MEC. BASCULANTE CON BRAZOS."</f>
        <v>SILLA GERENTE NIZA MEC. BASCULANTE CON BRAZOS.</v>
      </c>
      <c r="C1677" s="6">
        <v>710000.01</v>
      </c>
      <c r="D1677" s="5" t="s">
        <v>30</v>
      </c>
      <c r="E1677" s="5" t="str">
        <f t="shared" si="85"/>
        <v>ACTISALUD -PEDIATRIA</v>
      </c>
      <c r="F1677" s="5"/>
      <c r="G1677" s="5"/>
    </row>
    <row r="1678" spans="1:7" ht="58.5" customHeight="1" x14ac:dyDescent="0.25">
      <c r="A1678" s="5" t="str">
        <f>"H0037792"</f>
        <v>H0037792</v>
      </c>
      <c r="B1678" s="5" t="str">
        <f t="shared" si="88"/>
        <v>SILLA GERENTE NIZA MEC. BASCULANTE CON BRAZOS.</v>
      </c>
      <c r="C1678" s="6">
        <v>710000.01</v>
      </c>
      <c r="D1678" s="5" t="s">
        <v>30</v>
      </c>
      <c r="E1678" s="5" t="str">
        <f t="shared" si="85"/>
        <v>ACTISALUD -PEDIATRIA</v>
      </c>
      <c r="F1678" s="5"/>
      <c r="G1678" s="5"/>
    </row>
    <row r="1679" spans="1:7" ht="58.5" customHeight="1" x14ac:dyDescent="0.25">
      <c r="A1679" s="5" t="str">
        <f>"H0037819"</f>
        <v>H0037819</v>
      </c>
      <c r="B1679" s="5" t="str">
        <f t="shared" si="88"/>
        <v>SILLA GERENTE NIZA MEC. BASCULANTE CON BRAZOS.</v>
      </c>
      <c r="C1679" s="6">
        <v>710000.01</v>
      </c>
      <c r="D1679" s="5" t="s">
        <v>30</v>
      </c>
      <c r="E1679" s="5" t="str">
        <f t="shared" si="85"/>
        <v>ACTISALUD -PEDIATRIA</v>
      </c>
      <c r="F1679" s="5"/>
      <c r="G1679" s="5"/>
    </row>
    <row r="1680" spans="1:7" ht="58.5" customHeight="1" x14ac:dyDescent="0.25">
      <c r="A1680" s="5" t="str">
        <f>"H0037820"</f>
        <v>H0037820</v>
      </c>
      <c r="B1680" s="5" t="str">
        <f t="shared" si="88"/>
        <v>SILLA GERENTE NIZA MEC. BASCULANTE CON BRAZOS.</v>
      </c>
      <c r="C1680" s="6">
        <v>710000.01</v>
      </c>
      <c r="D1680" s="5" t="s">
        <v>30</v>
      </c>
      <c r="E1680" s="5" t="str">
        <f t="shared" si="85"/>
        <v>ACTISALUD -PEDIATRIA</v>
      </c>
      <c r="F1680" s="5"/>
      <c r="G1680" s="5"/>
    </row>
    <row r="1681" spans="1:7" ht="58.5" customHeight="1" x14ac:dyDescent="0.25">
      <c r="A1681" s="5" t="str">
        <f>"H0037821"</f>
        <v>H0037821</v>
      </c>
      <c r="B1681" s="5" t="str">
        <f t="shared" si="88"/>
        <v>SILLA GERENTE NIZA MEC. BASCULANTE CON BRAZOS.</v>
      </c>
      <c r="C1681" s="6">
        <v>710000.01</v>
      </c>
      <c r="D1681" s="5" t="s">
        <v>30</v>
      </c>
      <c r="E1681" s="5" t="str">
        <f t="shared" si="85"/>
        <v>ACTISALUD -PEDIATRIA</v>
      </c>
      <c r="F1681" s="5"/>
      <c r="G1681" s="5"/>
    </row>
    <row r="1682" spans="1:7" ht="58.5" customHeight="1" x14ac:dyDescent="0.25">
      <c r="A1682" s="5" t="str">
        <f>"H0037822"</f>
        <v>H0037822</v>
      </c>
      <c r="B1682" s="5" t="str">
        <f t="shared" si="88"/>
        <v>SILLA GERENTE NIZA MEC. BASCULANTE CON BRAZOS.</v>
      </c>
      <c r="C1682" s="6">
        <v>710000.01</v>
      </c>
      <c r="D1682" s="5" t="s">
        <v>30</v>
      </c>
      <c r="E1682" s="5" t="str">
        <f t="shared" si="85"/>
        <v>ACTISALUD -PEDIATRIA</v>
      </c>
      <c r="F1682" s="5"/>
      <c r="G1682" s="5"/>
    </row>
    <row r="1683" spans="1:7" ht="58.5" customHeight="1" x14ac:dyDescent="0.25">
      <c r="A1683" s="5" t="str">
        <f>"H0037823"</f>
        <v>H0037823</v>
      </c>
      <c r="B1683" s="5" t="str">
        <f t="shared" si="88"/>
        <v>SILLA GERENTE NIZA MEC. BASCULANTE CON BRAZOS.</v>
      </c>
      <c r="C1683" s="6">
        <v>710000.01</v>
      </c>
      <c r="D1683" s="5" t="s">
        <v>30</v>
      </c>
      <c r="E1683" s="5" t="str">
        <f t="shared" si="85"/>
        <v>ACTISALUD -PEDIATRIA</v>
      </c>
      <c r="F1683" s="5"/>
      <c r="G1683" s="5"/>
    </row>
    <row r="1684" spans="1:7" ht="58.5" customHeight="1" x14ac:dyDescent="0.25">
      <c r="A1684" s="5" t="str">
        <f>"H0037824"</f>
        <v>H0037824</v>
      </c>
      <c r="B1684" s="5" t="str">
        <f t="shared" si="88"/>
        <v>SILLA GERENTE NIZA MEC. BASCULANTE CON BRAZOS.</v>
      </c>
      <c r="C1684" s="6">
        <v>710000.01</v>
      </c>
      <c r="D1684" s="5" t="s">
        <v>30</v>
      </c>
      <c r="E1684" s="5" t="str">
        <f t="shared" si="85"/>
        <v>ACTISALUD -PEDIATRIA</v>
      </c>
      <c r="F1684" s="5"/>
      <c r="G1684" s="5"/>
    </row>
    <row r="1685" spans="1:7" ht="58.5" customHeight="1" x14ac:dyDescent="0.25">
      <c r="A1685" s="5" t="str">
        <f>"H0037825"</f>
        <v>H0037825</v>
      </c>
      <c r="B1685" s="5" t="str">
        <f t="shared" si="88"/>
        <v>SILLA GERENTE NIZA MEC. BASCULANTE CON BRAZOS.</v>
      </c>
      <c r="C1685" s="6">
        <v>710000.01</v>
      </c>
      <c r="D1685" s="5" t="s">
        <v>30</v>
      </c>
      <c r="E1685" s="5" t="str">
        <f t="shared" si="85"/>
        <v>ACTISALUD -PEDIATRIA</v>
      </c>
      <c r="F1685" s="5"/>
      <c r="G1685" s="5"/>
    </row>
    <row r="1686" spans="1:7" ht="58.5" customHeight="1" x14ac:dyDescent="0.25">
      <c r="A1686" s="5" t="str">
        <f>"H0038233"</f>
        <v>H0038233</v>
      </c>
      <c r="B1686" s="5" t="str">
        <f>"PANTALLA RECEPTORA DE LLAMADO DE ENFERMERIA"</f>
        <v>PANTALLA RECEPTORA DE LLAMADO DE ENFERMERIA</v>
      </c>
      <c r="C1686" s="6">
        <v>4570038</v>
      </c>
      <c r="D1686" s="5" t="s">
        <v>143</v>
      </c>
      <c r="E1686" s="5" t="str">
        <f t="shared" si="85"/>
        <v>ACTISALUD -PEDIATRIA</v>
      </c>
      <c r="F1686" s="5"/>
      <c r="G1686" s="5"/>
    </row>
    <row r="1687" spans="1:7" ht="58.5" customHeight="1" x14ac:dyDescent="0.25">
      <c r="A1687" s="5" t="str">
        <f>"H0038235"</f>
        <v>H0038235</v>
      </c>
      <c r="B1687" s="5" t="str">
        <f t="shared" ref="B1687:B1692" si="89">"UNIDAD DE LLAMADO DE ENFERMERIA PARA BAÑO CON CORDON TIRADOR. RESISTENTE A SALPICADURAS DE AGUA Y LUZ INDICADORA DE PULSACIÓN"</f>
        <v>UNIDAD DE LLAMADO DE ENFERMERIA PARA BAÑO CON CORDON TIRADOR. RESISTENTE A SALPICADURAS DE AGUA Y LUZ INDICADORA DE PULSACIÓN</v>
      </c>
      <c r="C1687" s="6">
        <v>529400</v>
      </c>
      <c r="D1687" s="5" t="s">
        <v>143</v>
      </c>
      <c r="E1687" s="5" t="str">
        <f t="shared" si="85"/>
        <v>ACTISALUD -PEDIATRIA</v>
      </c>
      <c r="F1687" s="5"/>
      <c r="G1687" s="5"/>
    </row>
    <row r="1688" spans="1:7" ht="58.5" customHeight="1" x14ac:dyDescent="0.25">
      <c r="A1688" s="5" t="str">
        <f>"H0038236"</f>
        <v>H0038236</v>
      </c>
      <c r="B1688" s="5" t="str">
        <f t="shared" si="89"/>
        <v>UNIDAD DE LLAMADO DE ENFERMERIA PARA BAÑO CON CORDON TIRADOR. RESISTENTE A SALPICADURAS DE AGUA Y LUZ INDICADORA DE PULSACIÓN</v>
      </c>
      <c r="C1688" s="6">
        <v>529400</v>
      </c>
      <c r="D1688" s="5" t="s">
        <v>203</v>
      </c>
      <c r="E1688" s="5" t="str">
        <f t="shared" si="85"/>
        <v>ACTISALUD -PEDIATRIA</v>
      </c>
      <c r="F1688" s="5"/>
      <c r="G1688" s="5"/>
    </row>
    <row r="1689" spans="1:7" ht="58.5" customHeight="1" x14ac:dyDescent="0.25">
      <c r="A1689" s="5" t="str">
        <f>"H0038237"</f>
        <v>H0038237</v>
      </c>
      <c r="B1689" s="5" t="str">
        <f t="shared" si="89"/>
        <v>UNIDAD DE LLAMADO DE ENFERMERIA PARA BAÑO CON CORDON TIRADOR. RESISTENTE A SALPICADURAS DE AGUA Y LUZ INDICADORA DE PULSACIÓN</v>
      </c>
      <c r="C1689" s="6">
        <v>529400</v>
      </c>
      <c r="D1689" s="5" t="s">
        <v>143</v>
      </c>
      <c r="E1689" s="5" t="str">
        <f t="shared" si="85"/>
        <v>ACTISALUD -PEDIATRIA</v>
      </c>
      <c r="F1689" s="5"/>
      <c r="G1689" s="5"/>
    </row>
    <row r="1690" spans="1:7" ht="58.5" customHeight="1" x14ac:dyDescent="0.25">
      <c r="A1690" s="5" t="str">
        <f>"H0038238"</f>
        <v>H0038238</v>
      </c>
      <c r="B1690" s="5" t="str">
        <f t="shared" si="89"/>
        <v>UNIDAD DE LLAMADO DE ENFERMERIA PARA BAÑO CON CORDON TIRADOR. RESISTENTE A SALPICADURAS DE AGUA Y LUZ INDICADORA DE PULSACIÓN</v>
      </c>
      <c r="C1690" s="6">
        <v>529400</v>
      </c>
      <c r="D1690" s="5" t="s">
        <v>143</v>
      </c>
      <c r="E1690" s="5" t="str">
        <f t="shared" si="85"/>
        <v>ACTISALUD -PEDIATRIA</v>
      </c>
      <c r="F1690" s="5"/>
      <c r="G1690" s="5"/>
    </row>
    <row r="1691" spans="1:7" ht="58.5" customHeight="1" x14ac:dyDescent="0.25">
      <c r="A1691" s="5" t="str">
        <f>"H0038239"</f>
        <v>H0038239</v>
      </c>
      <c r="B1691" s="5" t="str">
        <f t="shared" si="89"/>
        <v>UNIDAD DE LLAMADO DE ENFERMERIA PARA BAÑO CON CORDON TIRADOR. RESISTENTE A SALPICADURAS DE AGUA Y LUZ INDICADORA DE PULSACIÓN</v>
      </c>
      <c r="C1691" s="6">
        <v>529400</v>
      </c>
      <c r="D1691" s="5" t="s">
        <v>143</v>
      </c>
      <c r="E1691" s="5" t="str">
        <f t="shared" si="85"/>
        <v>ACTISALUD -PEDIATRIA</v>
      </c>
      <c r="F1691" s="5"/>
      <c r="G1691" s="5"/>
    </row>
    <row r="1692" spans="1:7" ht="58.5" customHeight="1" x14ac:dyDescent="0.25">
      <c r="A1692" s="5" t="str">
        <f>"H0038240"</f>
        <v>H0038240</v>
      </c>
      <c r="B1692" s="5" t="str">
        <f t="shared" si="89"/>
        <v>UNIDAD DE LLAMADO DE ENFERMERIA PARA BAÑO CON CORDON TIRADOR. RESISTENTE A SALPICADURAS DE AGUA Y LUZ INDICADORA DE PULSACIÓN</v>
      </c>
      <c r="C1692" s="6">
        <v>529400</v>
      </c>
      <c r="D1692" s="5" t="s">
        <v>143</v>
      </c>
      <c r="E1692" s="5" t="str">
        <f t="shared" si="85"/>
        <v>ACTISALUD -PEDIATRIA</v>
      </c>
      <c r="F1692" s="5"/>
      <c r="G1692" s="5"/>
    </row>
    <row r="1693" spans="1:7" ht="58.5" customHeight="1" x14ac:dyDescent="0.25">
      <c r="A1693" s="5" t="str">
        <f>"H0038322"</f>
        <v>H0038322</v>
      </c>
      <c r="B1693" s="5" t="str">
        <f t="shared" ref="B1693:B1718" si="90">"UNIDAD DE LLAMADO DE ENFERMERIA PARA CAMA O BAÑO"</f>
        <v>UNIDAD DE LLAMADO DE ENFERMERIA PARA CAMA O BAÑO</v>
      </c>
      <c r="C1693" s="6">
        <v>532900</v>
      </c>
      <c r="D1693" s="5" t="s">
        <v>143</v>
      </c>
      <c r="E1693" s="5" t="str">
        <f t="shared" si="85"/>
        <v>ACTISALUD -PEDIATRIA</v>
      </c>
      <c r="F1693" s="5"/>
      <c r="G1693" s="5"/>
    </row>
    <row r="1694" spans="1:7" ht="58.5" customHeight="1" x14ac:dyDescent="0.25">
      <c r="A1694" s="5" t="str">
        <f>"H0038323"</f>
        <v>H0038323</v>
      </c>
      <c r="B1694" s="5" t="str">
        <f t="shared" si="90"/>
        <v>UNIDAD DE LLAMADO DE ENFERMERIA PARA CAMA O BAÑO</v>
      </c>
      <c r="C1694" s="6">
        <v>532900</v>
      </c>
      <c r="D1694" s="5" t="s">
        <v>143</v>
      </c>
      <c r="E1694" s="5" t="str">
        <f t="shared" si="85"/>
        <v>ACTISALUD -PEDIATRIA</v>
      </c>
      <c r="F1694" s="5"/>
      <c r="G1694" s="5"/>
    </row>
    <row r="1695" spans="1:7" ht="58.5" customHeight="1" x14ac:dyDescent="0.25">
      <c r="A1695" s="5" t="str">
        <f>"H0038324"</f>
        <v>H0038324</v>
      </c>
      <c r="B1695" s="5" t="str">
        <f t="shared" si="90"/>
        <v>UNIDAD DE LLAMADO DE ENFERMERIA PARA CAMA O BAÑO</v>
      </c>
      <c r="C1695" s="6">
        <v>532900</v>
      </c>
      <c r="D1695" s="5" t="s">
        <v>143</v>
      </c>
      <c r="E1695" s="5" t="str">
        <f t="shared" si="85"/>
        <v>ACTISALUD -PEDIATRIA</v>
      </c>
      <c r="F1695" s="5"/>
      <c r="G1695" s="5"/>
    </row>
    <row r="1696" spans="1:7" ht="58.5" customHeight="1" x14ac:dyDescent="0.25">
      <c r="A1696" s="5" t="str">
        <f>"H0038325"</f>
        <v>H0038325</v>
      </c>
      <c r="B1696" s="5" t="str">
        <f t="shared" si="90"/>
        <v>UNIDAD DE LLAMADO DE ENFERMERIA PARA CAMA O BAÑO</v>
      </c>
      <c r="C1696" s="6">
        <v>532900</v>
      </c>
      <c r="D1696" s="5" t="s">
        <v>143</v>
      </c>
      <c r="E1696" s="5" t="str">
        <f t="shared" si="85"/>
        <v>ACTISALUD -PEDIATRIA</v>
      </c>
      <c r="F1696" s="5"/>
      <c r="G1696" s="5"/>
    </row>
    <row r="1697" spans="1:7" ht="58.5" customHeight="1" x14ac:dyDescent="0.25">
      <c r="A1697" s="5" t="str">
        <f>"H0038326"</f>
        <v>H0038326</v>
      </c>
      <c r="B1697" s="5" t="str">
        <f t="shared" si="90"/>
        <v>UNIDAD DE LLAMADO DE ENFERMERIA PARA CAMA O BAÑO</v>
      </c>
      <c r="C1697" s="6">
        <v>532900</v>
      </c>
      <c r="D1697" s="5" t="s">
        <v>143</v>
      </c>
      <c r="E1697" s="5" t="str">
        <f t="shared" si="85"/>
        <v>ACTISALUD -PEDIATRIA</v>
      </c>
      <c r="F1697" s="5"/>
      <c r="G1697" s="5"/>
    </row>
    <row r="1698" spans="1:7" ht="58.5" customHeight="1" x14ac:dyDescent="0.25">
      <c r="A1698" s="5" t="str">
        <f>"H0038327"</f>
        <v>H0038327</v>
      </c>
      <c r="B1698" s="5" t="str">
        <f t="shared" si="90"/>
        <v>UNIDAD DE LLAMADO DE ENFERMERIA PARA CAMA O BAÑO</v>
      </c>
      <c r="C1698" s="6">
        <v>532900</v>
      </c>
      <c r="D1698" s="5" t="s">
        <v>143</v>
      </c>
      <c r="E1698" s="5" t="str">
        <f t="shared" si="85"/>
        <v>ACTISALUD -PEDIATRIA</v>
      </c>
      <c r="F1698" s="5"/>
      <c r="G1698" s="5"/>
    </row>
    <row r="1699" spans="1:7" ht="58.5" customHeight="1" x14ac:dyDescent="0.25">
      <c r="A1699" s="5" t="str">
        <f>"H0038328"</f>
        <v>H0038328</v>
      </c>
      <c r="B1699" s="5" t="str">
        <f t="shared" si="90"/>
        <v>UNIDAD DE LLAMADO DE ENFERMERIA PARA CAMA O BAÑO</v>
      </c>
      <c r="C1699" s="6">
        <v>532900</v>
      </c>
      <c r="D1699" s="5" t="s">
        <v>143</v>
      </c>
      <c r="E1699" s="5" t="str">
        <f t="shared" si="85"/>
        <v>ACTISALUD -PEDIATRIA</v>
      </c>
      <c r="F1699" s="5"/>
      <c r="G1699" s="5"/>
    </row>
    <row r="1700" spans="1:7" ht="58.5" customHeight="1" x14ac:dyDescent="0.25">
      <c r="A1700" s="5" t="str">
        <f>"H0038329"</f>
        <v>H0038329</v>
      </c>
      <c r="B1700" s="5" t="str">
        <f t="shared" si="90"/>
        <v>UNIDAD DE LLAMADO DE ENFERMERIA PARA CAMA O BAÑO</v>
      </c>
      <c r="C1700" s="6">
        <v>532900</v>
      </c>
      <c r="D1700" s="5" t="s">
        <v>143</v>
      </c>
      <c r="E1700" s="5" t="str">
        <f t="shared" si="85"/>
        <v>ACTISALUD -PEDIATRIA</v>
      </c>
      <c r="F1700" s="5"/>
      <c r="G1700" s="5"/>
    </row>
    <row r="1701" spans="1:7" ht="58.5" customHeight="1" x14ac:dyDescent="0.25">
      <c r="A1701" s="5" t="str">
        <f>"H0038330"</f>
        <v>H0038330</v>
      </c>
      <c r="B1701" s="5" t="str">
        <f t="shared" si="90"/>
        <v>UNIDAD DE LLAMADO DE ENFERMERIA PARA CAMA O BAÑO</v>
      </c>
      <c r="C1701" s="6">
        <v>532900</v>
      </c>
      <c r="D1701" s="5" t="s">
        <v>143</v>
      </c>
      <c r="E1701" s="5" t="str">
        <f t="shared" si="85"/>
        <v>ACTISALUD -PEDIATRIA</v>
      </c>
      <c r="F1701" s="5"/>
      <c r="G1701" s="5"/>
    </row>
    <row r="1702" spans="1:7" ht="58.5" customHeight="1" x14ac:dyDescent="0.25">
      <c r="A1702" s="5" t="str">
        <f>"H0038331"</f>
        <v>H0038331</v>
      </c>
      <c r="B1702" s="5" t="str">
        <f t="shared" si="90"/>
        <v>UNIDAD DE LLAMADO DE ENFERMERIA PARA CAMA O BAÑO</v>
      </c>
      <c r="C1702" s="6">
        <v>532900</v>
      </c>
      <c r="D1702" s="5" t="s">
        <v>143</v>
      </c>
      <c r="E1702" s="5" t="str">
        <f t="shared" si="85"/>
        <v>ACTISALUD -PEDIATRIA</v>
      </c>
      <c r="F1702" s="5"/>
      <c r="G1702" s="5"/>
    </row>
    <row r="1703" spans="1:7" ht="58.5" customHeight="1" x14ac:dyDescent="0.25">
      <c r="A1703" s="5" t="str">
        <f>"H0038332"</f>
        <v>H0038332</v>
      </c>
      <c r="B1703" s="5" t="str">
        <f t="shared" si="90"/>
        <v>UNIDAD DE LLAMADO DE ENFERMERIA PARA CAMA O BAÑO</v>
      </c>
      <c r="C1703" s="6">
        <v>532900</v>
      </c>
      <c r="D1703" s="5" t="s">
        <v>143</v>
      </c>
      <c r="E1703" s="5" t="str">
        <f t="shared" si="85"/>
        <v>ACTISALUD -PEDIATRIA</v>
      </c>
      <c r="F1703" s="5"/>
      <c r="G1703" s="5"/>
    </row>
    <row r="1704" spans="1:7" ht="58.5" customHeight="1" x14ac:dyDescent="0.25">
      <c r="A1704" s="5" t="str">
        <f>"H0038333"</f>
        <v>H0038333</v>
      </c>
      <c r="B1704" s="5" t="str">
        <f t="shared" si="90"/>
        <v>UNIDAD DE LLAMADO DE ENFERMERIA PARA CAMA O BAÑO</v>
      </c>
      <c r="C1704" s="6">
        <v>532900</v>
      </c>
      <c r="D1704" s="5" t="s">
        <v>143</v>
      </c>
      <c r="E1704" s="5" t="str">
        <f t="shared" si="85"/>
        <v>ACTISALUD -PEDIATRIA</v>
      </c>
      <c r="F1704" s="5"/>
      <c r="G1704" s="5"/>
    </row>
    <row r="1705" spans="1:7" ht="58.5" customHeight="1" x14ac:dyDescent="0.25">
      <c r="A1705" s="5" t="str">
        <f>"H0038334"</f>
        <v>H0038334</v>
      </c>
      <c r="B1705" s="5" t="str">
        <f t="shared" si="90"/>
        <v>UNIDAD DE LLAMADO DE ENFERMERIA PARA CAMA O BAÑO</v>
      </c>
      <c r="C1705" s="6">
        <v>532900</v>
      </c>
      <c r="D1705" s="5" t="s">
        <v>143</v>
      </c>
      <c r="E1705" s="5" t="str">
        <f t="shared" si="85"/>
        <v>ACTISALUD -PEDIATRIA</v>
      </c>
      <c r="F1705" s="5"/>
      <c r="G1705" s="5"/>
    </row>
    <row r="1706" spans="1:7" ht="58.5" customHeight="1" x14ac:dyDescent="0.25">
      <c r="A1706" s="5" t="str">
        <f>"H0038335"</f>
        <v>H0038335</v>
      </c>
      <c r="B1706" s="5" t="str">
        <f t="shared" si="90"/>
        <v>UNIDAD DE LLAMADO DE ENFERMERIA PARA CAMA O BAÑO</v>
      </c>
      <c r="C1706" s="6">
        <v>532900</v>
      </c>
      <c r="D1706" s="5" t="s">
        <v>143</v>
      </c>
      <c r="E1706" s="5" t="str">
        <f t="shared" si="85"/>
        <v>ACTISALUD -PEDIATRIA</v>
      </c>
      <c r="F1706" s="5"/>
      <c r="G1706" s="5"/>
    </row>
    <row r="1707" spans="1:7" ht="58.5" customHeight="1" x14ac:dyDescent="0.25">
      <c r="A1707" s="5" t="str">
        <f>"H0038336"</f>
        <v>H0038336</v>
      </c>
      <c r="B1707" s="5" t="str">
        <f t="shared" si="90"/>
        <v>UNIDAD DE LLAMADO DE ENFERMERIA PARA CAMA O BAÑO</v>
      </c>
      <c r="C1707" s="6">
        <v>532900</v>
      </c>
      <c r="D1707" s="5" t="s">
        <v>143</v>
      </c>
      <c r="E1707" s="5" t="str">
        <f t="shared" si="85"/>
        <v>ACTISALUD -PEDIATRIA</v>
      </c>
      <c r="F1707" s="5"/>
      <c r="G1707" s="5"/>
    </row>
    <row r="1708" spans="1:7" ht="58.5" customHeight="1" x14ac:dyDescent="0.25">
      <c r="A1708" s="5" t="str">
        <f>"H0038337"</f>
        <v>H0038337</v>
      </c>
      <c r="B1708" s="5" t="str">
        <f t="shared" si="90"/>
        <v>UNIDAD DE LLAMADO DE ENFERMERIA PARA CAMA O BAÑO</v>
      </c>
      <c r="C1708" s="6">
        <v>532900</v>
      </c>
      <c r="D1708" s="5" t="s">
        <v>143</v>
      </c>
      <c r="E1708" s="5" t="str">
        <f t="shared" si="85"/>
        <v>ACTISALUD -PEDIATRIA</v>
      </c>
      <c r="F1708" s="5"/>
      <c r="G1708" s="5"/>
    </row>
    <row r="1709" spans="1:7" ht="58.5" customHeight="1" x14ac:dyDescent="0.25">
      <c r="A1709" s="5" t="str">
        <f>"H0038338"</f>
        <v>H0038338</v>
      </c>
      <c r="B1709" s="5" t="str">
        <f t="shared" si="90"/>
        <v>UNIDAD DE LLAMADO DE ENFERMERIA PARA CAMA O BAÑO</v>
      </c>
      <c r="C1709" s="6">
        <v>532900</v>
      </c>
      <c r="D1709" s="5" t="s">
        <v>143</v>
      </c>
      <c r="E1709" s="5" t="str">
        <f t="shared" si="85"/>
        <v>ACTISALUD -PEDIATRIA</v>
      </c>
      <c r="F1709" s="5"/>
      <c r="G1709" s="5"/>
    </row>
    <row r="1710" spans="1:7" ht="58.5" customHeight="1" x14ac:dyDescent="0.25">
      <c r="A1710" s="5" t="str">
        <f>"H0038339"</f>
        <v>H0038339</v>
      </c>
      <c r="B1710" s="5" t="str">
        <f t="shared" si="90"/>
        <v>UNIDAD DE LLAMADO DE ENFERMERIA PARA CAMA O BAÑO</v>
      </c>
      <c r="C1710" s="6">
        <v>532900</v>
      </c>
      <c r="D1710" s="5" t="s">
        <v>143</v>
      </c>
      <c r="E1710" s="5" t="str">
        <f t="shared" si="85"/>
        <v>ACTISALUD -PEDIATRIA</v>
      </c>
      <c r="F1710" s="5"/>
      <c r="G1710" s="5"/>
    </row>
    <row r="1711" spans="1:7" ht="58.5" customHeight="1" x14ac:dyDescent="0.25">
      <c r="A1711" s="5" t="str">
        <f>"H0038340"</f>
        <v>H0038340</v>
      </c>
      <c r="B1711" s="5" t="str">
        <f t="shared" si="90"/>
        <v>UNIDAD DE LLAMADO DE ENFERMERIA PARA CAMA O BAÑO</v>
      </c>
      <c r="C1711" s="6">
        <v>532900</v>
      </c>
      <c r="D1711" s="5" t="s">
        <v>143</v>
      </c>
      <c r="E1711" s="5" t="str">
        <f t="shared" si="85"/>
        <v>ACTISALUD -PEDIATRIA</v>
      </c>
      <c r="F1711" s="5"/>
      <c r="G1711" s="5"/>
    </row>
    <row r="1712" spans="1:7" ht="58.5" customHeight="1" x14ac:dyDescent="0.25">
      <c r="A1712" s="5" t="str">
        <f>"H0038341"</f>
        <v>H0038341</v>
      </c>
      <c r="B1712" s="5" t="str">
        <f t="shared" si="90"/>
        <v>UNIDAD DE LLAMADO DE ENFERMERIA PARA CAMA O BAÑO</v>
      </c>
      <c r="C1712" s="6">
        <v>532900</v>
      </c>
      <c r="D1712" s="5" t="s">
        <v>143</v>
      </c>
      <c r="E1712" s="5" t="str">
        <f t="shared" ref="E1712:E1738" si="91">"ACTISALUD -PEDIATRIA"</f>
        <v>ACTISALUD -PEDIATRIA</v>
      </c>
      <c r="F1712" s="5"/>
      <c r="G1712" s="5"/>
    </row>
    <row r="1713" spans="1:7" ht="58.5" customHeight="1" x14ac:dyDescent="0.25">
      <c r="A1713" s="5" t="str">
        <f>"H0038342"</f>
        <v>H0038342</v>
      </c>
      <c r="B1713" s="5" t="str">
        <f t="shared" si="90"/>
        <v>UNIDAD DE LLAMADO DE ENFERMERIA PARA CAMA O BAÑO</v>
      </c>
      <c r="C1713" s="6">
        <v>532900</v>
      </c>
      <c r="D1713" s="5" t="s">
        <v>143</v>
      </c>
      <c r="E1713" s="5" t="str">
        <f t="shared" si="91"/>
        <v>ACTISALUD -PEDIATRIA</v>
      </c>
      <c r="F1713" s="5"/>
      <c r="G1713" s="5"/>
    </row>
    <row r="1714" spans="1:7" ht="58.5" customHeight="1" x14ac:dyDescent="0.25">
      <c r="A1714" s="5" t="str">
        <f>"H0038343"</f>
        <v>H0038343</v>
      </c>
      <c r="B1714" s="5" t="str">
        <f t="shared" si="90"/>
        <v>UNIDAD DE LLAMADO DE ENFERMERIA PARA CAMA O BAÑO</v>
      </c>
      <c r="C1714" s="6">
        <v>532900</v>
      </c>
      <c r="D1714" s="5" t="s">
        <v>143</v>
      </c>
      <c r="E1714" s="5" t="str">
        <f t="shared" si="91"/>
        <v>ACTISALUD -PEDIATRIA</v>
      </c>
      <c r="F1714" s="5"/>
      <c r="G1714" s="5"/>
    </row>
    <row r="1715" spans="1:7" ht="58.5" customHeight="1" x14ac:dyDescent="0.25">
      <c r="A1715" s="5" t="str">
        <f>"H0038344"</f>
        <v>H0038344</v>
      </c>
      <c r="B1715" s="5" t="str">
        <f t="shared" si="90"/>
        <v>UNIDAD DE LLAMADO DE ENFERMERIA PARA CAMA O BAÑO</v>
      </c>
      <c r="C1715" s="6">
        <v>532900</v>
      </c>
      <c r="D1715" s="5" t="s">
        <v>143</v>
      </c>
      <c r="E1715" s="5" t="str">
        <f t="shared" si="91"/>
        <v>ACTISALUD -PEDIATRIA</v>
      </c>
      <c r="F1715" s="5"/>
      <c r="G1715" s="5"/>
    </row>
    <row r="1716" spans="1:7" ht="58.5" customHeight="1" x14ac:dyDescent="0.25">
      <c r="A1716" s="5" t="str">
        <f>"H0038345"</f>
        <v>H0038345</v>
      </c>
      <c r="B1716" s="5" t="str">
        <f t="shared" si="90"/>
        <v>UNIDAD DE LLAMADO DE ENFERMERIA PARA CAMA O BAÑO</v>
      </c>
      <c r="C1716" s="6">
        <v>532900</v>
      </c>
      <c r="D1716" s="5" t="s">
        <v>143</v>
      </c>
      <c r="E1716" s="5" t="str">
        <f t="shared" si="91"/>
        <v>ACTISALUD -PEDIATRIA</v>
      </c>
      <c r="F1716" s="5"/>
      <c r="G1716" s="5"/>
    </row>
    <row r="1717" spans="1:7" ht="58.5" customHeight="1" x14ac:dyDescent="0.25">
      <c r="A1717" s="5" t="str">
        <f>"H0038346"</f>
        <v>H0038346</v>
      </c>
      <c r="B1717" s="5" t="str">
        <f t="shared" si="90"/>
        <v>UNIDAD DE LLAMADO DE ENFERMERIA PARA CAMA O BAÑO</v>
      </c>
      <c r="C1717" s="6">
        <v>532900</v>
      </c>
      <c r="D1717" s="5" t="s">
        <v>143</v>
      </c>
      <c r="E1717" s="5" t="str">
        <f t="shared" si="91"/>
        <v>ACTISALUD -PEDIATRIA</v>
      </c>
      <c r="F1717" s="5"/>
      <c r="G1717" s="5"/>
    </row>
    <row r="1718" spans="1:7" ht="58.5" customHeight="1" x14ac:dyDescent="0.25">
      <c r="A1718" s="5" t="str">
        <f>"H0038347"</f>
        <v>H0038347</v>
      </c>
      <c r="B1718" s="5" t="str">
        <f t="shared" si="90"/>
        <v>UNIDAD DE LLAMADO DE ENFERMERIA PARA CAMA O BAÑO</v>
      </c>
      <c r="C1718" s="6">
        <v>532900</v>
      </c>
      <c r="D1718" s="5" t="s">
        <v>143</v>
      </c>
      <c r="E1718" s="5" t="str">
        <f t="shared" si="91"/>
        <v>ACTISALUD -PEDIATRIA</v>
      </c>
      <c r="F1718" s="5"/>
      <c r="G1718" s="5"/>
    </row>
    <row r="1719" spans="1:7" ht="58.5" customHeight="1" x14ac:dyDescent="0.25">
      <c r="A1719" s="5" t="str">
        <f>"H0038556"</f>
        <v>H0038556</v>
      </c>
      <c r="B1719" s="5" t="str">
        <f t="shared" ref="B1719:B1724" si="92">"LAMPARA DE PASILLO DE LLAMADO DE ENFERMERIA"</f>
        <v>LAMPARA DE PASILLO DE LLAMADO DE ENFERMERIA</v>
      </c>
      <c r="C1719" s="6">
        <v>854790</v>
      </c>
      <c r="D1719" s="5" t="s">
        <v>143</v>
      </c>
      <c r="E1719" s="5" t="str">
        <f t="shared" si="91"/>
        <v>ACTISALUD -PEDIATRIA</v>
      </c>
      <c r="F1719" s="5"/>
      <c r="G1719" s="5"/>
    </row>
    <row r="1720" spans="1:7" ht="58.5" customHeight="1" x14ac:dyDescent="0.25">
      <c r="A1720" s="5" t="str">
        <f>"H0038557"</f>
        <v>H0038557</v>
      </c>
      <c r="B1720" s="5" t="str">
        <f t="shared" si="92"/>
        <v>LAMPARA DE PASILLO DE LLAMADO DE ENFERMERIA</v>
      </c>
      <c r="C1720" s="6">
        <v>854790</v>
      </c>
      <c r="D1720" s="5" t="s">
        <v>143</v>
      </c>
      <c r="E1720" s="5" t="str">
        <f t="shared" si="91"/>
        <v>ACTISALUD -PEDIATRIA</v>
      </c>
      <c r="F1720" s="5"/>
      <c r="G1720" s="5"/>
    </row>
    <row r="1721" spans="1:7" ht="58.5" customHeight="1" x14ac:dyDescent="0.25">
      <c r="A1721" s="5" t="str">
        <f>"H0038558"</f>
        <v>H0038558</v>
      </c>
      <c r="B1721" s="5" t="str">
        <f t="shared" si="92"/>
        <v>LAMPARA DE PASILLO DE LLAMADO DE ENFERMERIA</v>
      </c>
      <c r="C1721" s="6">
        <v>854790</v>
      </c>
      <c r="D1721" s="5" t="s">
        <v>143</v>
      </c>
      <c r="E1721" s="5" t="str">
        <f t="shared" si="91"/>
        <v>ACTISALUD -PEDIATRIA</v>
      </c>
      <c r="F1721" s="5"/>
      <c r="G1721" s="5"/>
    </row>
    <row r="1722" spans="1:7" ht="58.5" customHeight="1" x14ac:dyDescent="0.25">
      <c r="A1722" s="5" t="str">
        <f>"H0038559"</f>
        <v>H0038559</v>
      </c>
      <c r="B1722" s="5" t="str">
        <f t="shared" si="92"/>
        <v>LAMPARA DE PASILLO DE LLAMADO DE ENFERMERIA</v>
      </c>
      <c r="C1722" s="6">
        <v>854790</v>
      </c>
      <c r="D1722" s="5" t="s">
        <v>143</v>
      </c>
      <c r="E1722" s="5" t="str">
        <f t="shared" si="91"/>
        <v>ACTISALUD -PEDIATRIA</v>
      </c>
      <c r="F1722" s="5"/>
      <c r="G1722" s="5"/>
    </row>
    <row r="1723" spans="1:7" ht="58.5" customHeight="1" x14ac:dyDescent="0.25">
      <c r="A1723" s="5" t="str">
        <f>"H0038560"</f>
        <v>H0038560</v>
      </c>
      <c r="B1723" s="5" t="str">
        <f t="shared" si="92"/>
        <v>LAMPARA DE PASILLO DE LLAMADO DE ENFERMERIA</v>
      </c>
      <c r="C1723" s="6">
        <v>854790</v>
      </c>
      <c r="D1723" s="5" t="s">
        <v>143</v>
      </c>
      <c r="E1723" s="5" t="str">
        <f t="shared" si="91"/>
        <v>ACTISALUD -PEDIATRIA</v>
      </c>
      <c r="F1723" s="5"/>
      <c r="G1723" s="5"/>
    </row>
    <row r="1724" spans="1:7" ht="58.5" customHeight="1" x14ac:dyDescent="0.25">
      <c r="A1724" s="5" t="str">
        <f>"H0038561"</f>
        <v>H0038561</v>
      </c>
      <c r="B1724" s="5" t="str">
        <f t="shared" si="92"/>
        <v>LAMPARA DE PASILLO DE LLAMADO DE ENFERMERIA</v>
      </c>
      <c r="C1724" s="6">
        <v>854790</v>
      </c>
      <c r="D1724" s="5" t="s">
        <v>143</v>
      </c>
      <c r="E1724" s="5" t="str">
        <f t="shared" si="91"/>
        <v>ACTISALUD -PEDIATRIA</v>
      </c>
      <c r="F1724" s="5"/>
      <c r="G1724" s="5"/>
    </row>
    <row r="1725" spans="1:7" ht="58.5" customHeight="1" x14ac:dyDescent="0.25">
      <c r="A1725" s="5" t="str">
        <f>"H0038634"</f>
        <v>H0038634</v>
      </c>
      <c r="B1725" s="5" t="str">
        <f>"KIT -MUÑECO SIMULAR DE BEBE (BOCA ABIERTA) -CHALECO LACTANCIA - MODELO ANATOMIA DEL SENO EN TELA - REPLICA DE LECHE MATERNA, CALOSTRO, LECHE INICIO, LECHE FINAL- ROTAFOLIO TAMAÑO EXTRAOFICIO SOBRE LAC"</f>
        <v>KIT -MUÑECO SIMULAR DE BEBE (BOCA ABIERTA) -CHALECO LACTANCIA - MODELO ANATOMIA DEL SENO EN TELA - REPLICA DE LECHE MATERNA, CALOSTRO, LECHE INICIO, LECHE FINAL- ROTAFOLIO TAMAÑO EXTRAOFICIO SOBRE LAC</v>
      </c>
      <c r="C1725" s="6">
        <v>2499999.94</v>
      </c>
      <c r="D1725" s="5" t="s">
        <v>145</v>
      </c>
      <c r="E1725" s="5" t="str">
        <f t="shared" si="91"/>
        <v>ACTISALUD -PEDIATRIA</v>
      </c>
      <c r="F1725" s="5"/>
      <c r="G1725" s="5"/>
    </row>
    <row r="1726" spans="1:7" ht="58.5" customHeight="1" x14ac:dyDescent="0.25">
      <c r="A1726" s="5" t="str">
        <f>"H0038635"</f>
        <v>H0038635</v>
      </c>
      <c r="B1726" s="5" t="str">
        <f>"KIT -MUÑECO SIMULAR DE BEBE (BOCA ABIERTA) -CHALECO LACTANCIA - MODELO ANATOMIA DEL SENO EN TELA - REPLICA DE LECHE MATERNA, CALOSTRO, LECHE INICIO, LECHE FINAL- ROTAFOLIO TAMAÑO EXTRAOFICIO SOBRE LAC"</f>
        <v>KIT -MUÑECO SIMULAR DE BEBE (BOCA ABIERTA) -CHALECO LACTANCIA - MODELO ANATOMIA DEL SENO EN TELA - REPLICA DE LECHE MATERNA, CALOSTRO, LECHE INICIO, LECHE FINAL- ROTAFOLIO TAMAÑO EXTRAOFICIO SOBRE LAC</v>
      </c>
      <c r="C1726" s="6">
        <v>2499999.94</v>
      </c>
      <c r="D1726" s="5" t="s">
        <v>145</v>
      </c>
      <c r="E1726" s="5" t="str">
        <f t="shared" si="91"/>
        <v>ACTISALUD -PEDIATRIA</v>
      </c>
      <c r="F1726" s="5"/>
      <c r="G1726" s="5"/>
    </row>
    <row r="1727" spans="1:7" ht="58.5" customHeight="1" x14ac:dyDescent="0.25">
      <c r="A1727" s="5" t="str">
        <f>"H0038636"</f>
        <v>H0038636</v>
      </c>
      <c r="B1727" s="5" t="str">
        <f>"KIT -MUÑECO SIMULAR DE BEBE (BOCA ABIERTA) -CHALECO LACTANCIA - MODELO ANATOMIA DEL SENO EN TELA - REPLICA DE LECHE MATERNA, CALOSTRO, LECHE INICIO, LECHE FINAL- ROTAFOLIO TAMAÑO EXTRAOFICIO SOBRE LAC"</f>
        <v>KIT -MUÑECO SIMULAR DE BEBE (BOCA ABIERTA) -CHALECO LACTANCIA - MODELO ANATOMIA DEL SENO EN TELA - REPLICA DE LECHE MATERNA, CALOSTRO, LECHE INICIO, LECHE FINAL- ROTAFOLIO TAMAÑO EXTRAOFICIO SOBRE LAC</v>
      </c>
      <c r="C1727" s="6">
        <v>2499999.94</v>
      </c>
      <c r="D1727" s="5" t="s">
        <v>145</v>
      </c>
      <c r="E1727" s="5" t="str">
        <f t="shared" si="91"/>
        <v>ACTISALUD -PEDIATRIA</v>
      </c>
      <c r="F1727" s="5"/>
      <c r="G1727" s="5"/>
    </row>
    <row r="1728" spans="1:7" ht="58.5" customHeight="1" x14ac:dyDescent="0.25">
      <c r="A1728" s="5" t="str">
        <f>"H0038637"</f>
        <v>H0038637</v>
      </c>
      <c r="B1728" s="5" t="str">
        <f>"KIT -MUÑECO SIMULAR DE BEBE (BOCA ABIERTA) -CHALECO LACTANCIA - MODELO ANATOMIA DEL SENO EN TELA - REPLICA DE LECHE MATERNA, CALOSTRO, LECHE INICIO, LECHE FINAL- ROTAFOLIO TAMAÑO EXTRAOFICIO SOBRE LAC"</f>
        <v>KIT -MUÑECO SIMULAR DE BEBE (BOCA ABIERTA) -CHALECO LACTANCIA - MODELO ANATOMIA DEL SENO EN TELA - REPLICA DE LECHE MATERNA, CALOSTRO, LECHE INICIO, LECHE FINAL- ROTAFOLIO TAMAÑO EXTRAOFICIO SOBRE LAC</v>
      </c>
      <c r="C1728" s="6">
        <v>2499999.94</v>
      </c>
      <c r="D1728" s="5" t="s">
        <v>145</v>
      </c>
      <c r="E1728" s="5" t="str">
        <f t="shared" si="91"/>
        <v>ACTISALUD -PEDIATRIA</v>
      </c>
      <c r="F1728" s="5"/>
      <c r="G1728" s="5"/>
    </row>
    <row r="1729" spans="1:7" ht="58.5" customHeight="1" x14ac:dyDescent="0.25">
      <c r="A1729" s="5" t="str">
        <f>"H0038638"</f>
        <v>H0038638</v>
      </c>
      <c r="B1729" s="5" t="str">
        <f>"KIT -MUÑECO SIMULAR DE BEBE (BOCA ABIERTA) -CHALECO LACTANCIA - MODELO ANATOMIA DEL SENO EN TELA - REPLICA DE LECHE MATERNA, CALOSTRO, LECHE INICIO, LECHE FINAL- ROTAFOLIO TAMAÑO EXTRAOFICIO SOBRE LAC"</f>
        <v>KIT -MUÑECO SIMULAR DE BEBE (BOCA ABIERTA) -CHALECO LACTANCIA - MODELO ANATOMIA DEL SENO EN TELA - REPLICA DE LECHE MATERNA, CALOSTRO, LECHE INICIO, LECHE FINAL- ROTAFOLIO TAMAÑO EXTRAOFICIO SOBRE LAC</v>
      </c>
      <c r="C1729" s="6">
        <v>2499999.94</v>
      </c>
      <c r="D1729" s="5" t="s">
        <v>145</v>
      </c>
      <c r="E1729" s="5" t="str">
        <f t="shared" si="91"/>
        <v>ACTISALUD -PEDIATRIA</v>
      </c>
      <c r="F1729" s="5"/>
      <c r="G1729" s="5"/>
    </row>
    <row r="1730" spans="1:7" ht="58.5" customHeight="1" x14ac:dyDescent="0.25">
      <c r="A1730" s="5" t="str">
        <f>"H0038681"</f>
        <v>H0038681</v>
      </c>
      <c r="B1730" s="5" t="str">
        <f>"BAÑO MARÍA PARA CALENTAMIENTO DE LECHE MATERNA Y FÓRMULA"</f>
        <v>BAÑO MARÍA PARA CALENTAMIENTO DE LECHE MATERNA Y FÓRMULA</v>
      </c>
      <c r="C1730" s="6">
        <v>9401000</v>
      </c>
      <c r="D1730" s="5" t="s">
        <v>204</v>
      </c>
      <c r="E1730" s="5" t="str">
        <f t="shared" si="91"/>
        <v>ACTISALUD -PEDIATRIA</v>
      </c>
      <c r="F1730" s="5"/>
      <c r="G1730" s="5"/>
    </row>
    <row r="1731" spans="1:7" ht="58.5" customHeight="1" x14ac:dyDescent="0.25">
      <c r="A1731" s="5" t="str">
        <f>"V000014"</f>
        <v>V000014</v>
      </c>
      <c r="B1731" s="5" t="str">
        <f t="shared" ref="B1731:B1738" si="93">"LAMPARA DE PASILLO DE LLAMADO DE ENFERMERIA"</f>
        <v>LAMPARA DE PASILLO DE LLAMADO DE ENFERMERIA</v>
      </c>
      <c r="C1731" s="6">
        <v>934000</v>
      </c>
      <c r="D1731" s="5" t="s">
        <v>205</v>
      </c>
      <c r="E1731" s="5" t="str">
        <f t="shared" si="91"/>
        <v>ACTISALUD -PEDIATRIA</v>
      </c>
      <c r="F1731" s="5"/>
      <c r="G1731" s="5"/>
    </row>
    <row r="1732" spans="1:7" ht="58.5" customHeight="1" x14ac:dyDescent="0.25">
      <c r="A1732" s="5" t="str">
        <f>"V000015"</f>
        <v>V000015</v>
      </c>
      <c r="B1732" s="5" t="str">
        <f t="shared" si="93"/>
        <v>LAMPARA DE PASILLO DE LLAMADO DE ENFERMERIA</v>
      </c>
      <c r="C1732" s="6">
        <v>934000</v>
      </c>
      <c r="D1732" s="5" t="s">
        <v>205</v>
      </c>
      <c r="E1732" s="5" t="str">
        <f t="shared" si="91"/>
        <v>ACTISALUD -PEDIATRIA</v>
      </c>
      <c r="F1732" s="5"/>
      <c r="G1732" s="5"/>
    </row>
    <row r="1733" spans="1:7" ht="58.5" customHeight="1" x14ac:dyDescent="0.25">
      <c r="A1733" s="5" t="str">
        <f>"V000016"</f>
        <v>V000016</v>
      </c>
      <c r="B1733" s="5" t="str">
        <f t="shared" si="93"/>
        <v>LAMPARA DE PASILLO DE LLAMADO DE ENFERMERIA</v>
      </c>
      <c r="C1733" s="6">
        <v>934000</v>
      </c>
      <c r="D1733" s="5" t="s">
        <v>205</v>
      </c>
      <c r="E1733" s="5" t="str">
        <f t="shared" si="91"/>
        <v>ACTISALUD -PEDIATRIA</v>
      </c>
      <c r="F1733" s="5"/>
      <c r="G1733" s="5"/>
    </row>
    <row r="1734" spans="1:7" ht="58.5" customHeight="1" x14ac:dyDescent="0.25">
      <c r="A1734" s="5" t="str">
        <f>"V000017"</f>
        <v>V000017</v>
      </c>
      <c r="B1734" s="5" t="str">
        <f t="shared" si="93"/>
        <v>LAMPARA DE PASILLO DE LLAMADO DE ENFERMERIA</v>
      </c>
      <c r="C1734" s="6">
        <v>934000</v>
      </c>
      <c r="D1734" s="5" t="s">
        <v>205</v>
      </c>
      <c r="E1734" s="5" t="str">
        <f t="shared" si="91"/>
        <v>ACTISALUD -PEDIATRIA</v>
      </c>
      <c r="F1734" s="5"/>
      <c r="G1734" s="5"/>
    </row>
    <row r="1735" spans="1:7" ht="58.5" customHeight="1" x14ac:dyDescent="0.25">
      <c r="A1735" s="5" t="str">
        <f>"V000018"</f>
        <v>V000018</v>
      </c>
      <c r="B1735" s="5" t="str">
        <f t="shared" si="93"/>
        <v>LAMPARA DE PASILLO DE LLAMADO DE ENFERMERIA</v>
      </c>
      <c r="C1735" s="6">
        <v>934000</v>
      </c>
      <c r="D1735" s="5" t="s">
        <v>205</v>
      </c>
      <c r="E1735" s="5" t="str">
        <f t="shared" si="91"/>
        <v>ACTISALUD -PEDIATRIA</v>
      </c>
      <c r="F1735" s="5"/>
      <c r="G1735" s="5"/>
    </row>
    <row r="1736" spans="1:7" ht="58.5" customHeight="1" x14ac:dyDescent="0.25">
      <c r="A1736" s="5" t="str">
        <f>"V000019"</f>
        <v>V000019</v>
      </c>
      <c r="B1736" s="5" t="str">
        <f t="shared" si="93"/>
        <v>LAMPARA DE PASILLO DE LLAMADO DE ENFERMERIA</v>
      </c>
      <c r="C1736" s="6">
        <v>934000</v>
      </c>
      <c r="D1736" s="5" t="s">
        <v>205</v>
      </c>
      <c r="E1736" s="5" t="str">
        <f t="shared" si="91"/>
        <v>ACTISALUD -PEDIATRIA</v>
      </c>
      <c r="F1736" s="5"/>
      <c r="G1736" s="5"/>
    </row>
    <row r="1737" spans="1:7" ht="58.5" customHeight="1" x14ac:dyDescent="0.25">
      <c r="A1737" s="5" t="str">
        <f>"V000020"</f>
        <v>V000020</v>
      </c>
      <c r="B1737" s="5" t="str">
        <f t="shared" si="93"/>
        <v>LAMPARA DE PASILLO DE LLAMADO DE ENFERMERIA</v>
      </c>
      <c r="C1737" s="6">
        <v>934000</v>
      </c>
      <c r="D1737" s="5" t="s">
        <v>205</v>
      </c>
      <c r="E1737" s="5" t="str">
        <f t="shared" si="91"/>
        <v>ACTISALUD -PEDIATRIA</v>
      </c>
      <c r="F1737" s="5"/>
      <c r="G1737" s="5"/>
    </row>
    <row r="1738" spans="1:7" ht="58.5" customHeight="1" x14ac:dyDescent="0.25">
      <c r="A1738" s="5" t="str">
        <f>"V000021"</f>
        <v>V000021</v>
      </c>
      <c r="B1738" s="5" t="str">
        <f t="shared" si="93"/>
        <v>LAMPARA DE PASILLO DE LLAMADO DE ENFERMERIA</v>
      </c>
      <c r="C1738" s="6">
        <v>934000</v>
      </c>
      <c r="D1738" s="5" t="s">
        <v>205</v>
      </c>
      <c r="E1738" s="5" t="str">
        <f t="shared" si="91"/>
        <v>ACTISALUD -PEDIATRIA</v>
      </c>
      <c r="F1738" s="5"/>
      <c r="G1738" s="5"/>
    </row>
    <row r="1739" spans="1:7" ht="58.5" customHeight="1" x14ac:dyDescent="0.25">
      <c r="A1739" s="5" t="str">
        <f>"H0025596"</f>
        <v>H0025596</v>
      </c>
      <c r="B1739" s="5" t="str">
        <f>"TEATRO EN CASA"</f>
        <v>TEATRO EN CASA</v>
      </c>
      <c r="C1739" s="6">
        <v>899000</v>
      </c>
      <c r="D1739" s="5" t="s">
        <v>206</v>
      </c>
      <c r="E1739" s="5" t="str">
        <f t="shared" ref="E1739:E1753" si="94">"ASOCIACION SERVIR OBRAS SOCIALES-JOSE LUIS PINTO RUBIO"</f>
        <v>ASOCIACION SERVIR OBRAS SOCIALES-JOSE LUIS PINTO RUBIO</v>
      </c>
      <c r="F1739" s="5"/>
      <c r="G1739" s="5"/>
    </row>
    <row r="1740" spans="1:7" ht="58.5" customHeight="1" x14ac:dyDescent="0.25">
      <c r="A1740" s="5" t="str">
        <f>"H0025597"</f>
        <v>H0025597</v>
      </c>
      <c r="B1740" s="5" t="str">
        <f>"VIDEOBEAM (VIDEO PROYECTOR)"</f>
        <v>VIDEOBEAM (VIDEO PROYECTOR)</v>
      </c>
      <c r="C1740" s="6">
        <v>2748000</v>
      </c>
      <c r="D1740" s="5" t="s">
        <v>206</v>
      </c>
      <c r="E1740" s="5" t="str">
        <f t="shared" si="94"/>
        <v>ASOCIACION SERVIR OBRAS SOCIALES-JOSE LUIS PINTO RUBIO</v>
      </c>
      <c r="F1740" s="5"/>
      <c r="G1740" s="5"/>
    </row>
    <row r="1741" spans="1:7" ht="58.5" customHeight="1" x14ac:dyDescent="0.25">
      <c r="A1741" s="5" t="str">
        <f>"H0025598"</f>
        <v>H0025598</v>
      </c>
      <c r="B1741" s="5" t="str">
        <f>"IMPRESORA MULTIFUNCIONAL L355"</f>
        <v>IMPRESORA MULTIFUNCIONAL L355</v>
      </c>
      <c r="C1741" s="6">
        <v>760000</v>
      </c>
      <c r="D1741" s="5" t="s">
        <v>206</v>
      </c>
      <c r="E1741" s="5" t="str">
        <f t="shared" si="94"/>
        <v>ASOCIACION SERVIR OBRAS SOCIALES-JOSE LUIS PINTO RUBIO</v>
      </c>
      <c r="F1741" s="5"/>
      <c r="G1741" s="5"/>
    </row>
    <row r="1742" spans="1:7" ht="58.5" customHeight="1" x14ac:dyDescent="0.25">
      <c r="A1742" s="5" t="str">
        <f>"H0025599"</f>
        <v>H0025599</v>
      </c>
      <c r="B1742" s="5" t="str">
        <f>"CAMARA POWERSHOT 18MPX SX600"</f>
        <v>CAMARA POWERSHOT 18MPX SX600</v>
      </c>
      <c r="C1742" s="6">
        <v>898000</v>
      </c>
      <c r="D1742" s="5" t="s">
        <v>206</v>
      </c>
      <c r="E1742" s="5" t="str">
        <f t="shared" si="94"/>
        <v>ASOCIACION SERVIR OBRAS SOCIALES-JOSE LUIS PINTO RUBIO</v>
      </c>
      <c r="F1742" s="5"/>
      <c r="G1742" s="5"/>
    </row>
    <row r="1743" spans="1:7" ht="58.5" customHeight="1" x14ac:dyDescent="0.25">
      <c r="A1743" s="5" t="str">
        <f>"H0025600"</f>
        <v>H0025600</v>
      </c>
      <c r="B1743" s="5" t="s">
        <v>207</v>
      </c>
      <c r="C1743" s="6">
        <v>1500000</v>
      </c>
      <c r="D1743" s="5" t="s">
        <v>206</v>
      </c>
      <c r="E1743" s="5" t="str">
        <f t="shared" si="94"/>
        <v>ASOCIACION SERVIR OBRAS SOCIALES-JOSE LUIS PINTO RUBIO</v>
      </c>
      <c r="F1743" s="5"/>
      <c r="G1743" s="5"/>
    </row>
    <row r="1744" spans="1:7" ht="58.5" customHeight="1" x14ac:dyDescent="0.25">
      <c r="A1744" s="5" t="str">
        <f>"H0025601"</f>
        <v>H0025601</v>
      </c>
      <c r="B1744" s="5" t="str">
        <f>"AIRE ACONDICIONADO TIPO SPLIT 24000 BTU SIN IVA"</f>
        <v>AIRE ACONDICIONADO TIPO SPLIT 24000 BTU SIN IVA</v>
      </c>
      <c r="C1744" s="6">
        <v>2400000</v>
      </c>
      <c r="D1744" s="5" t="s">
        <v>206</v>
      </c>
      <c r="E1744" s="5" t="str">
        <f t="shared" si="94"/>
        <v>ASOCIACION SERVIR OBRAS SOCIALES-JOSE LUIS PINTO RUBIO</v>
      </c>
      <c r="F1744" s="5"/>
      <c r="G1744" s="5"/>
    </row>
    <row r="1745" spans="1:7" ht="58.5" customHeight="1" x14ac:dyDescent="0.25">
      <c r="A1745" s="5" t="str">
        <f>"H0025602"</f>
        <v>H0025602</v>
      </c>
      <c r="B1745" s="5" t="str">
        <f>"AIRE ACONDICIONADO TIPO SPLIT 24000 BTU SIN IVA"</f>
        <v>AIRE ACONDICIONADO TIPO SPLIT 24000 BTU SIN IVA</v>
      </c>
      <c r="C1745" s="6">
        <v>2400000</v>
      </c>
      <c r="D1745" s="5" t="s">
        <v>206</v>
      </c>
      <c r="E1745" s="5" t="str">
        <f t="shared" si="94"/>
        <v>ASOCIACION SERVIR OBRAS SOCIALES-JOSE LUIS PINTO RUBIO</v>
      </c>
      <c r="F1745" s="5"/>
      <c r="G1745" s="5"/>
    </row>
    <row r="1746" spans="1:7" ht="58.5" customHeight="1" x14ac:dyDescent="0.25">
      <c r="A1746" s="5" t="str">
        <f>"H0025603"</f>
        <v>H0025603</v>
      </c>
      <c r="B1746" s="5" t="str">
        <f>"ARCHIVADOR METALICO 4 GAVETAS"</f>
        <v>ARCHIVADOR METALICO 4 GAVETAS</v>
      </c>
      <c r="C1746" s="6">
        <v>818000</v>
      </c>
      <c r="D1746" s="5" t="s">
        <v>206</v>
      </c>
      <c r="E1746" s="5" t="str">
        <f t="shared" si="94"/>
        <v>ASOCIACION SERVIR OBRAS SOCIALES-JOSE LUIS PINTO RUBIO</v>
      </c>
      <c r="F1746" s="5"/>
      <c r="G1746" s="5"/>
    </row>
    <row r="1747" spans="1:7" ht="58.5" customHeight="1" x14ac:dyDescent="0.25">
      <c r="A1747" s="5" t="str">
        <f>"H0025604"</f>
        <v>H0025604</v>
      </c>
      <c r="B1747" s="5" t="str">
        <f>"COMPUTADOR TODO EN UNO"</f>
        <v>COMPUTADOR TODO EN UNO</v>
      </c>
      <c r="C1747" s="6">
        <v>1690000</v>
      </c>
      <c r="D1747" s="5" t="s">
        <v>206</v>
      </c>
      <c r="E1747" s="5" t="str">
        <f t="shared" si="94"/>
        <v>ASOCIACION SERVIR OBRAS SOCIALES-JOSE LUIS PINTO RUBIO</v>
      </c>
      <c r="F1747" s="5"/>
      <c r="G1747" s="5"/>
    </row>
    <row r="1748" spans="1:7" ht="58.5" customHeight="1" x14ac:dyDescent="0.25">
      <c r="A1748" s="5" t="str">
        <f>"H0025605"</f>
        <v>H0025605</v>
      </c>
      <c r="B1748" s="5" t="str">
        <f>"COMPUTADOR TODO EN UNO"</f>
        <v>COMPUTADOR TODO EN UNO</v>
      </c>
      <c r="C1748" s="6">
        <v>1690000</v>
      </c>
      <c r="D1748" s="5" t="s">
        <v>206</v>
      </c>
      <c r="E1748" s="5" t="str">
        <f t="shared" si="94"/>
        <v>ASOCIACION SERVIR OBRAS SOCIALES-JOSE LUIS PINTO RUBIO</v>
      </c>
      <c r="F1748" s="5"/>
      <c r="G1748" s="5"/>
    </row>
    <row r="1749" spans="1:7" ht="58.5" customHeight="1" x14ac:dyDescent="0.25">
      <c r="A1749" s="5" t="str">
        <f>"H0025625"</f>
        <v>H0025625</v>
      </c>
      <c r="B1749" s="5" t="str">
        <f>"COMPUTADOR TODO EN UNO"</f>
        <v>COMPUTADOR TODO EN UNO</v>
      </c>
      <c r="C1749" s="6">
        <v>1690000</v>
      </c>
      <c r="D1749" s="5" t="s">
        <v>206</v>
      </c>
      <c r="E1749" s="5" t="str">
        <f t="shared" si="94"/>
        <v>ASOCIACION SERVIR OBRAS SOCIALES-JOSE LUIS PINTO RUBIO</v>
      </c>
      <c r="F1749" s="5"/>
      <c r="G1749" s="5"/>
    </row>
    <row r="1750" spans="1:7" ht="58.5" customHeight="1" x14ac:dyDescent="0.25">
      <c r="A1750" s="5" t="str">
        <f>"H0025626"</f>
        <v>H0025626</v>
      </c>
      <c r="B1750" s="5" t="str">
        <f>"COMPUTADOR TODO EN UNO"</f>
        <v>COMPUTADOR TODO EN UNO</v>
      </c>
      <c r="C1750" s="6">
        <v>1690000</v>
      </c>
      <c r="D1750" s="5" t="s">
        <v>208</v>
      </c>
      <c r="E1750" s="5" t="str">
        <f t="shared" si="94"/>
        <v>ASOCIACION SERVIR OBRAS SOCIALES-JOSE LUIS PINTO RUBIO</v>
      </c>
      <c r="F1750" s="5"/>
      <c r="G1750" s="5"/>
    </row>
    <row r="1751" spans="1:7" ht="58.5" customHeight="1" x14ac:dyDescent="0.25">
      <c r="A1751" s="5" t="str">
        <f>"H0025627"</f>
        <v>H0025627</v>
      </c>
      <c r="B1751" s="5" t="str">
        <f>"COMPUTADOR TODO EN UNO"</f>
        <v>COMPUTADOR TODO EN UNO</v>
      </c>
      <c r="C1751" s="6">
        <v>1690000</v>
      </c>
      <c r="D1751" s="5" t="s">
        <v>206</v>
      </c>
      <c r="E1751" s="5" t="str">
        <f t="shared" si="94"/>
        <v>ASOCIACION SERVIR OBRAS SOCIALES-JOSE LUIS PINTO RUBIO</v>
      </c>
      <c r="F1751" s="5"/>
      <c r="G1751" s="5"/>
    </row>
    <row r="1752" spans="1:7" ht="58.5" customHeight="1" x14ac:dyDescent="0.25">
      <c r="A1752" s="5" t="str">
        <f>"H0025628"</f>
        <v>H0025628</v>
      </c>
      <c r="B1752" s="5" t="str">
        <f>"BRINKI BRINKI"</f>
        <v>BRINKI BRINKI</v>
      </c>
      <c r="C1752" s="6">
        <v>1200000</v>
      </c>
      <c r="D1752" s="5" t="s">
        <v>206</v>
      </c>
      <c r="E1752" s="5" t="str">
        <f t="shared" si="94"/>
        <v>ASOCIACION SERVIR OBRAS SOCIALES-JOSE LUIS PINTO RUBIO</v>
      </c>
      <c r="F1752" s="5"/>
      <c r="G1752" s="5"/>
    </row>
    <row r="1753" spans="1:7" ht="58.5" customHeight="1" x14ac:dyDescent="0.25">
      <c r="A1753" s="5" t="str">
        <f>"H0025629"</f>
        <v>H0025629</v>
      </c>
      <c r="B1753" s="5" t="str">
        <f>"ORUGA HAPPY"</f>
        <v>ORUGA HAPPY</v>
      </c>
      <c r="C1753" s="6">
        <v>754000</v>
      </c>
      <c r="D1753" s="5" t="s">
        <v>206</v>
      </c>
      <c r="E1753" s="5" t="str">
        <f t="shared" si="94"/>
        <v>ASOCIACION SERVIR OBRAS SOCIALES-JOSE LUIS PINTO RUBIO</v>
      </c>
      <c r="F1753" s="5"/>
      <c r="G1753" s="5"/>
    </row>
    <row r="1754" spans="1:7" ht="58.5" customHeight="1" x14ac:dyDescent="0.25">
      <c r="A1754" s="5" t="str">
        <f>"H0002016"</f>
        <v>H0002016</v>
      </c>
      <c r="B1754" s="5" t="str">
        <f>"CARRO DE PARO"</f>
        <v>CARRO DE PARO</v>
      </c>
      <c r="C1754" s="6">
        <v>1682000</v>
      </c>
      <c r="D1754" s="5"/>
      <c r="E1754" s="5" t="str">
        <f t="shared" ref="E1754:E1785" si="95">"ACTISALUD-SALA CUNA-MARIA AUXILIADORA PERTUZ"</f>
        <v>ACTISALUD-SALA CUNA-MARIA AUXILIADORA PERTUZ</v>
      </c>
      <c r="F1754" s="5" t="str">
        <f>"Descripcion:CARRO DE PARO DE 4 GAVETAS CON BASE PARA MONITOR , CON RUEDAS Estado: Excelente Placa anterior: 000039050 Material: METALICA Y ACERO INOXIDABLE Color: CREMA Referencia:  Observacion: ESTAN GUARDADAS EN SALA DE MAQUINAS Placa padre:  Tipo adqui"&amp; "sicion : Entidad"</f>
        <v>Descripcion:CARRO DE PARO DE 4 GAVETAS CON BASE PARA MONITOR , CON RUEDAS Estado: Excelente Placa anterior: 000039050 Material: METALICA Y ACERO INOXIDABLE Color: CREMA Referencia:  Observacion: ESTAN GUARDADAS EN SALA DE MAQUINAS Placa padre:  Tipo adquisicion : Entidad</v>
      </c>
      <c r="G1754" s="5"/>
    </row>
    <row r="1755" spans="1:7" ht="58.5" customHeight="1" x14ac:dyDescent="0.25">
      <c r="A1755" s="5" t="str">
        <f>"H0002443"</f>
        <v>H0002443</v>
      </c>
      <c r="B1755" s="5" t="str">
        <f>"COMPUTADOR TODO EN UNO"</f>
        <v>COMPUTADOR TODO EN UNO</v>
      </c>
      <c r="C1755" s="6">
        <v>2470000</v>
      </c>
      <c r="D1755" s="5"/>
      <c r="E1755" s="5" t="str">
        <f t="shared" si="95"/>
        <v>ACTISALUD-SALA CUNA-MARIA AUXILIADORA PERTUZ</v>
      </c>
      <c r="F1755" s="5" t="str">
        <f>"Descripcion:EQUIPO DE COMPUTO TODO EN UNO CON PROCESADOR INTEL i5 Estado: Excelente Placa anterior: 000037283 Material: PASTA Color: NEGRO Referencia: 10BDFDLS Observacion:  Placa anterior:, Placa nueva=H0002444, Descripcion:TECLADO USB LENOVO, Serial:825"&amp; "8422, Marca:LENOVO, Modelo:KU-0225, Material:PASTA, Color:NEGRO,   Referencia:54Y9424, Placa anterior:, Placa nueva=H0002445, Descripcion:MOUSE USB  3 BOTONES, Serial:44, Marca:LENOVO, Modelo:45J4889, Material:PASTA, Color:NEGRO,   Referencia: Placa padre"&amp; ":  Tipo adquisicion : Entidad"</f>
        <v>Descripcion:EQUIPO DE COMPUTO TODO EN UNO CON PROCESADOR INTEL i5 Estado: Excelente Placa anterior: 000037283 Material: PASTA Color: NEGRO Referencia: 10BDFDLS Observacion:  Placa anterior:, Placa nueva=H0002444, Descripcion:TECLADO USB LENOVO, Serial:8258422, Marca:LENOVO, Modelo:KU-0225, Material:PASTA, Color:NEGRO,   Referencia:54Y9424, Placa anterior:, Placa nueva=H0002445, Descripcion:MOUSE USB  3 BOTONES, Serial:44, Marca:LENOVO, Modelo:45J4889, Material:PASTA, Color:NEGRO,   Referencia: Placa padre:  Tipo adquisicion : Entidad</v>
      </c>
      <c r="G1755" s="5" t="str">
        <f>"00FDLS"</f>
        <v>00FDLS</v>
      </c>
    </row>
    <row r="1756" spans="1:7" ht="58.5" customHeight="1" x14ac:dyDescent="0.25">
      <c r="A1756" s="5" t="str">
        <f>"H0006445"</f>
        <v>H0006445</v>
      </c>
      <c r="B1756" s="5" t="str">
        <f>"NEVERA DE 66 LTS"</f>
        <v>NEVERA DE 66 LTS</v>
      </c>
      <c r="C1756" s="6">
        <v>1414143</v>
      </c>
      <c r="D1756" s="5" t="s">
        <v>209</v>
      </c>
      <c r="E1756" s="5" t="str">
        <f t="shared" si="95"/>
        <v>ACTISALUD-SALA CUNA-MARIA AUXILIADORA PERTUZ</v>
      </c>
      <c r="F1756" s="5" t="str">
        <f>"Descripcion: NEVERA NO FROTS Nevera verticales tipo no-frost capacidad 340 litros con refrigeracion y congelador independencia dos puertas con manojas bajo consumo de energia Estado: Bueno Placa anterior: 000030646 Material: METALICO Color: GRIS Referenci"&amp; "a:  Observacion:  Placa padre: Tipo adquisicion: Donacion"</f>
        <v>Descripcion: NEVERA NO FROTS Nevera verticales tipo no-frost capacidad 340 litros con refrigeracion y congelador independencia dos puertas con manojas bajo consumo de energia Estado: Bueno Placa anterior: 000030646 Material: METALICO Color: GRIS Referencia:  Observacion:  Placa padre: Tipo adquisicion: Donacion</v>
      </c>
      <c r="G1756" s="5" t="str">
        <f>"ERT8323YSKG"</f>
        <v>ERT8323YSKG</v>
      </c>
    </row>
    <row r="1757" spans="1:7" ht="58.5" customHeight="1" x14ac:dyDescent="0.25">
      <c r="A1757" s="5" t="str">
        <f>"H0006456"</f>
        <v>H0006456</v>
      </c>
      <c r="B1757" s="5" t="str">
        <f>"LOCKER DE 3 COMPARTIMIENTOS"</f>
        <v>LOCKER DE 3 COMPARTIMIENTOS</v>
      </c>
      <c r="C1757" s="6">
        <v>9130</v>
      </c>
      <c r="D1757" s="5"/>
      <c r="E1757" s="5" t="str">
        <f t="shared" si="95"/>
        <v>ACTISALUD-SALA CUNA-MARIA AUXILIADORA PERTUZ</v>
      </c>
      <c r="F1757" s="5" t="str">
        <f>"Descripcion: LOCKER UN CUERPO 3 COMPARTIMIENTOS  MEDIDAS:171X40X50CM Estado: Bueno Placa anterior: 000008117 Material: METALICO Color: GRIS OSCURO Referencia:  Observacion:  Placa padre: Tipo adquisicion: Entidad"</f>
        <v>Descripcion: LOCKER UN CUERPO 3 COMPARTIMIENTOS  MEDIDAS:171X40X50CM Estado: Bueno Placa anterior: 000008117 Material: METALICO Color: GRIS OSCURO Referencia:  Observacion:  Placa padre: Tipo adquisicion: Entidad</v>
      </c>
      <c r="G1757" s="5"/>
    </row>
    <row r="1758" spans="1:7" ht="58.5" customHeight="1" x14ac:dyDescent="0.25">
      <c r="A1758" s="5" t="str">
        <f>"H0006467"</f>
        <v>H0006467</v>
      </c>
      <c r="B1758" s="5" t="str">
        <f>"CUNA RECIEN NACIDO CON COLCHONETA"</f>
        <v>CUNA RECIEN NACIDO CON COLCHONETA</v>
      </c>
      <c r="C1758" s="6">
        <v>1100000</v>
      </c>
      <c r="D1758" s="5"/>
      <c r="E1758" s="5" t="str">
        <f t="shared" si="95"/>
        <v>ACTISALUD-SALA CUNA-MARIA AUXILIADORA PERTUZ</v>
      </c>
      <c r="F1758" s="5" t="str">
        <f>"Descripcion: CUNA ACRILICA NEONATAL Estado: Bueno Placa anterior: 000028491 Material: METALICO, PLASTICO Color: CROMADO Referencia:  Observacion: CONCILIADO SEGUN INDICACIONES DEL FUNCIONARIO Placa padre: Tipo adquisicion: Entidad"</f>
        <v>Descripcion: CUNA ACRILICA NEONATAL Estado: Bueno Placa anterior: 000028491 Material: METALICO, PLASTICO Color: CROMADO Referencia:  Observacion: CONCILIADO SEGUN INDICACIONES DEL FUNCIONARIO Placa padre: Tipo adquisicion: Entidad</v>
      </c>
      <c r="G1758" s="5"/>
    </row>
    <row r="1759" spans="1:7" ht="58.5" customHeight="1" x14ac:dyDescent="0.25">
      <c r="A1759" s="5" t="str">
        <f>"H0006469"</f>
        <v>H0006469</v>
      </c>
      <c r="B1759" s="5" t="str">
        <f>"CUNA RECIEN NACIDO CON COLCHONETA"</f>
        <v>CUNA RECIEN NACIDO CON COLCHONETA</v>
      </c>
      <c r="C1759" s="6">
        <v>1100000</v>
      </c>
      <c r="D1759" s="5"/>
      <c r="E1759" s="5" t="str">
        <f t="shared" si="95"/>
        <v>ACTISALUD-SALA CUNA-MARIA AUXILIADORA PERTUZ</v>
      </c>
      <c r="F1759" s="5" t="str">
        <f>"Descripcion: CUNA ACRILICA NEONATAL Estado: Bueno Placa anterior: 000028492 Material: METALICO, PLASTICO Color: CROMADO Referencia:  Observacion:  Placa padre: Tipo adquisicion: Entidad"</f>
        <v>Descripcion: CUNA ACRILICA NEONATAL Estado: Bueno Placa anterior: 000028492 Material: METALICO, PLASTICO Color: CROMADO Referencia:  Observacion:  Placa padre: Tipo adquisicion: Entidad</v>
      </c>
      <c r="G1759" s="5"/>
    </row>
    <row r="1760" spans="1:7" ht="58.5" customHeight="1" x14ac:dyDescent="0.25">
      <c r="A1760" s="5" t="str">
        <f>"H0006470"</f>
        <v>H0006470</v>
      </c>
      <c r="B1760" s="5" t="str">
        <f>"CUNA RECIEN NACIDO CON COLCHONETA"</f>
        <v>CUNA RECIEN NACIDO CON COLCHONETA</v>
      </c>
      <c r="C1760" s="6">
        <v>1100000</v>
      </c>
      <c r="D1760" s="5"/>
      <c r="E1760" s="5" t="str">
        <f t="shared" si="95"/>
        <v>ACTISALUD-SALA CUNA-MARIA AUXILIADORA PERTUZ</v>
      </c>
      <c r="F1760" s="5" t="str">
        <f>"Descripcion: CUNA ACRILICA NEONATAL Estado: Bueno Placa anterior: 000028506 Material: METALICO, PLASTICO Color: CROMADO Referencia:  Observacion: CONCILIADO SEGUN INDICACIONES DEL FUNCIONARIO Placa padre: Tipo adquisicion: Entidad"</f>
        <v>Descripcion: CUNA ACRILICA NEONATAL Estado: Bueno Placa anterior: 000028506 Material: METALICO, PLASTICO Color: CROMADO Referencia:  Observacion: CONCILIADO SEGUN INDICACIONES DEL FUNCIONARIO Placa padre: Tipo adquisicion: Entidad</v>
      </c>
      <c r="G1760" s="5"/>
    </row>
    <row r="1761" spans="1:7" ht="58.5" customHeight="1" x14ac:dyDescent="0.25">
      <c r="A1761" s="5" t="str">
        <f>"H0006482"</f>
        <v>H0006482</v>
      </c>
      <c r="B1761" s="5" t="str">
        <f>"CAMARA DE VIDEOVIGILANCIA"</f>
        <v>CAMARA DE VIDEOVIGILANCIA</v>
      </c>
      <c r="C1761" s="6">
        <v>150000</v>
      </c>
      <c r="D1761" s="5" t="s">
        <v>210</v>
      </c>
      <c r="E1761" s="5" t="str">
        <f t="shared" si="95"/>
        <v>ACTISALUD-SALA CUNA-MARIA AUXILIADORA PERTUZ</v>
      </c>
      <c r="F1761" s="5" t="str">
        <f>"Descripcion: CAMARA DE VIDEOVIGILANCIA TIPO DOMO Estado: Bueno Placa anterior: 000030720 Material: PLASTICO Color: BLANCO Referencia:  Observacion: FUNCIONARIO AUTORIZA SE CONCILIE CON PLACA 000030720 Placa padre: Tipo adquisicion: Entidad"</f>
        <v>Descripcion: CAMARA DE VIDEOVIGILANCIA TIPO DOMO Estado: Bueno Placa anterior: 000030720 Material: PLASTICO Color: BLANCO Referencia:  Observacion: FUNCIONARIO AUTORIZA SE CONCILIE CON PLACA 000030720 Placa padre: Tipo adquisicion: Entidad</v>
      </c>
      <c r="G1761" s="5"/>
    </row>
    <row r="1762" spans="1:7" ht="58.5" customHeight="1" x14ac:dyDescent="0.25">
      <c r="A1762" s="5" t="str">
        <f>"H0006491"</f>
        <v>H0006491</v>
      </c>
      <c r="B1762" s="5" t="str">
        <f>"SILLA ERGONOMICA TIPO SECRETARIA SIN BRAZOS"</f>
        <v>SILLA ERGONOMICA TIPO SECRETARIA SIN BRAZOS</v>
      </c>
      <c r="C1762" s="6">
        <v>322480</v>
      </c>
      <c r="D1762" s="5" t="s">
        <v>211</v>
      </c>
      <c r="E1762" s="5" t="str">
        <f t="shared" si="95"/>
        <v>ACTISALUD-SALA CUNA-MARIA AUXILIADORA PERTUZ</v>
      </c>
      <c r="F1762"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Bueno Placa anterior: 000032622 Material: PLASTICO CON SOPORTE METALICO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Bueno Placa anterior: 000032622 Material: PLASTICO CON SOPORTE METALICO Color: NEGRO Referencia:  Observacion:  Placa padre: Tipo adquisicion: Entidad</v>
      </c>
      <c r="G1762" s="5"/>
    </row>
    <row r="1763" spans="1:7" ht="58.5" customHeight="1" x14ac:dyDescent="0.25">
      <c r="A1763" s="5" t="str">
        <f>"H0006497"</f>
        <v>H0006497</v>
      </c>
      <c r="B1763" s="5" t="str">
        <f>"CUNA RECIEN NACIDO CON COLCHONETA"</f>
        <v>CUNA RECIEN NACIDO CON COLCHONETA</v>
      </c>
      <c r="C1763" s="6">
        <v>1100000</v>
      </c>
      <c r="D1763" s="5"/>
      <c r="E1763" s="5" t="str">
        <f t="shared" si="95"/>
        <v>ACTISALUD-SALA CUNA-MARIA AUXILIADORA PERTUZ</v>
      </c>
      <c r="F1763" s="5" t="str">
        <f>"Descripcion: CUNA ACRILICA NEONATAL Estado: Bueno Placa anterior: 000028504 Material: METALICO, PLASTICO Color: CROMADO Referencia:  Observacion: CONCILIADO SEGUN INDICACIONES DEL FUNCIONARIO Placa padre: Tipo adquisicion: Entidad"</f>
        <v>Descripcion: CUNA ACRILICA NEONATAL Estado: Bueno Placa anterior: 000028504 Material: METALICO, PLASTICO Color: CROMADO Referencia:  Observacion: CONCILIADO SEGUN INDICACIONES DEL FUNCIONARIO Placa padre: Tipo adquisicion: Entidad</v>
      </c>
      <c r="G1763" s="5"/>
    </row>
    <row r="1764" spans="1:7" ht="58.5" customHeight="1" x14ac:dyDescent="0.25">
      <c r="A1764" s="5" t="str">
        <f>"H0006498"</f>
        <v>H0006498</v>
      </c>
      <c r="B1764" s="5" t="str">
        <f>"CUNA RECIEN NACIDO CON COLCHONETA"</f>
        <v>CUNA RECIEN NACIDO CON COLCHONETA</v>
      </c>
      <c r="C1764" s="6">
        <v>1100000</v>
      </c>
      <c r="D1764" s="5"/>
      <c r="E1764" s="5" t="str">
        <f t="shared" si="95"/>
        <v>ACTISALUD-SALA CUNA-MARIA AUXILIADORA PERTUZ</v>
      </c>
      <c r="F1764" s="5" t="str">
        <f>"Descripcion: CUNA ACRILICA NEONATAL Estado: Bueno Placa anterior: 000028490 Material: METALICO, PLASTICO Color: CROMADO Referencia:  Observacion: CONCILIADO SEGUN INDICACIONES DEL FUNCIONARIO Placa padre: Tipo adquisicion: Entidad"</f>
        <v>Descripcion: CUNA ACRILICA NEONATAL Estado: Bueno Placa anterior: 000028490 Material: METALICO, PLASTICO Color: CROMADO Referencia:  Observacion: CONCILIADO SEGUN INDICACIONES DEL FUNCIONARIO Placa padre: Tipo adquisicion: Entidad</v>
      </c>
      <c r="G1764" s="5"/>
    </row>
    <row r="1765" spans="1:7" ht="58.5" customHeight="1" x14ac:dyDescent="0.25">
      <c r="A1765" s="5" t="str">
        <f>"H0006500"</f>
        <v>H0006500</v>
      </c>
      <c r="B1765" s="5" t="str">
        <f>"CAMA HOSPITALARIA 2 PLANOS"</f>
        <v>CAMA HOSPITALARIA 2 PLANOS</v>
      </c>
      <c r="C1765" s="6">
        <v>20219.830000000002</v>
      </c>
      <c r="D1765" s="5"/>
      <c r="E1765" s="5" t="str">
        <f t="shared" si="95"/>
        <v>ACTISALUD-SALA CUNA-MARIA AUXILIADORA PERTUZ</v>
      </c>
      <c r="F1765" s="5" t="str">
        <f>"Descripcion: CUNA ACRILICA NEONATAL Estado: Bueno Placa anterior: 000028498 Material: METALICO, PLASTICO Color: CROMADO Referencia:  Observacion: FUNCIONARIO AUTORIZA SE CONCILIE CON PLACA 000028498 Placa padre: Tipo adquisicion: Entidad"</f>
        <v>Descripcion: CUNA ACRILICA NEONATAL Estado: Bueno Placa anterior: 000028498 Material: METALICO, PLASTICO Color: CROMADO Referencia:  Observacion: FUNCIONARIO AUTORIZA SE CONCILIE CON PLACA 000028498 Placa padre: Tipo adquisicion: Entidad</v>
      </c>
      <c r="G1765" s="5"/>
    </row>
    <row r="1766" spans="1:7" ht="58.5" customHeight="1" x14ac:dyDescent="0.25">
      <c r="A1766" s="5" t="str">
        <f>"H0007725"</f>
        <v>H0007725</v>
      </c>
      <c r="B1766" s="5" t="str">
        <f>"SILLA PLASTICA CON BRAZOS"</f>
        <v>SILLA PLASTICA CON BRAZOS</v>
      </c>
      <c r="C1766" s="6">
        <v>19900</v>
      </c>
      <c r="D1766" s="5" t="s">
        <v>165</v>
      </c>
      <c r="E1766" s="5" t="str">
        <f t="shared" si="95"/>
        <v>ACTISALUD-SALA CUNA-MARIA AUXILIADORA PERTUZ</v>
      </c>
      <c r="F1766" s="5" t="str">
        <f>"Descripcion: SILLAS PLASTICAS MARCA RIMAX Estado: Bueno Placa anterior: 000032538 Material: PASTA Color: BLANCO Referencia:  Observacion:  Placa padre: Tipo adquisicion: Donacion"</f>
        <v>Descripcion: SILLAS PLASTICAS MARCA RIMAX Estado: Bueno Placa anterior: 000032538 Material: PASTA Color: BLANCO Referencia:  Observacion:  Placa padre: Tipo adquisicion: Donacion</v>
      </c>
      <c r="G1766" s="5"/>
    </row>
    <row r="1767" spans="1:7" ht="58.5" customHeight="1" x14ac:dyDescent="0.25">
      <c r="A1767" s="5" t="str">
        <f>"H0007788"</f>
        <v>H0007788</v>
      </c>
      <c r="B1767" s="5" t="str">
        <f>"SILLA PLASTICA CON BRAZOS"</f>
        <v>SILLA PLASTICA CON BRAZOS</v>
      </c>
      <c r="C1767" s="6">
        <v>19900</v>
      </c>
      <c r="D1767" s="5" t="s">
        <v>165</v>
      </c>
      <c r="E1767" s="5" t="str">
        <f t="shared" si="95"/>
        <v>ACTISALUD-SALA CUNA-MARIA AUXILIADORA PERTUZ</v>
      </c>
      <c r="F1767" s="5" t="str">
        <f>"Descripcion: SILLA PLASTICA CON BRAZOS, COLOR BLANCA  Estado: Bueno Placa anterior: 000032542 Material: PASTA Color: BLANCA Referencia:  Observacion: BUEN ESTADO LA SILLA PLASTICA Y EN FUNCIONAMIENTO EN LA AREA DE QUEMADOS Placa padre: Tipo adquisicion: E"&amp; "ntidad"</f>
        <v>Descripcion: SILLA PLASTICA CON BRAZOS, COLOR BLANCA  Estado: Bueno Placa anterior: 000032542 Material: PASTA Color: BLANCA Referencia:  Observacion: BUEN ESTADO LA SILLA PLASTICA Y EN FUNCIONAMIENTO EN LA AREA DE QUEMADOS Placa padre: Tipo adquisicion: Entidad</v>
      </c>
      <c r="G1767" s="5"/>
    </row>
    <row r="1768" spans="1:7" ht="58.5" customHeight="1" x14ac:dyDescent="0.25">
      <c r="A1768" s="5" t="str">
        <f>"H0008278"</f>
        <v>H0008278</v>
      </c>
      <c r="B1768" s="5" t="str">
        <f>"MONITOR DE SIGNOS VITALES"</f>
        <v>MONITOR DE SIGNOS VITALES</v>
      </c>
      <c r="C1768" s="6">
        <v>4176000</v>
      </c>
      <c r="D1768" s="5" t="s">
        <v>212</v>
      </c>
      <c r="E1768" s="5" t="str">
        <f t="shared" si="95"/>
        <v>ACTISALUD-SALA CUNA-MARIA AUXILIADORA PERTUZ</v>
      </c>
      <c r="F1768" s="5" t="str">
        <f>"Descripcion: MONITOR  MARCA MINDRAY REF. MEC. 1200 COD. HOSP-3136 CONSTA DE : PANTALLA DE 8.4, TIPO TFT A COLOR. PARA PACIENTE NEONATAL, PEDIATRICO, ADULTO COMPATIBLE A CENTRAL DE MONITOREO Y PROTECCION A DESFIBRILADOR. LA BATERIA DURACION DE 120 ML CONFI"&amp; "GURACION MEDI Estado: Bueno Placa anterior: 000030224 Material: PLASTICO Color: BEIGE Referencia:  Observacion:  Placa padre: Tipo adquisicion: Entidad"</f>
        <v>Descripcion: MONITOR  MARCA MINDRAY REF. MEC. 1200 COD. HOSP-3136 CONSTA DE : PANTALLA DE 8.4, TIPO TFT A COLOR. PARA PACIENTE NEONATAL, PEDIATRICO, ADULTO COMPATIBLE A CENTRAL DE MONITOREO Y PROTECCION A DESFIBRILADOR. LA BATERIA DURACION DE 120 ML CONFIGURACION MEDI Estado: Bueno Placa anterior: 000030224 Material: PLASTICO Color: BEIGE Referencia:  Observacion:  Placa padre: Tipo adquisicion: Entidad</v>
      </c>
      <c r="G1768" s="5" t="str">
        <f>"MEC 1200"</f>
        <v>MEC 1200</v>
      </c>
    </row>
    <row r="1769" spans="1:7" ht="58.5" customHeight="1" x14ac:dyDescent="0.25">
      <c r="A1769" s="5" t="str">
        <f>"H0008786"</f>
        <v>H0008786</v>
      </c>
      <c r="B1769" s="5" t="str">
        <f>"CAMARA DE VIDEOVIGILANCIA"</f>
        <v>CAMARA DE VIDEOVIGILANCIA</v>
      </c>
      <c r="C1769" s="6">
        <v>150000</v>
      </c>
      <c r="D1769" s="5" t="s">
        <v>210</v>
      </c>
      <c r="E1769" s="5" t="str">
        <f t="shared" si="95"/>
        <v>ACTISALUD-SALA CUNA-MARIA AUXILIADORA PERTUZ</v>
      </c>
      <c r="F1769" s="5" t="str">
        <f>"Descripcion: CAMARA DE VIDEOVIGILANCIA TIPO DOMO Estado: Bueno Placa anterior: 000030726 Material: PLASTICO Color: BLANCO Referencia:  Observacion: FUNCIONARIO AUTORIZA SE CONCILIE CON PLACA 000030726 Placa padre: Tipo adquisicion: Entidad"</f>
        <v>Descripcion: CAMARA DE VIDEOVIGILANCIA TIPO DOMO Estado: Bueno Placa anterior: 000030726 Material: PLASTICO Color: BLANCO Referencia:  Observacion: FUNCIONARIO AUTORIZA SE CONCILIE CON PLACA 000030726 Placa padre: Tipo adquisicion: Entidad</v>
      </c>
      <c r="G1769" s="5"/>
    </row>
    <row r="1770" spans="1:7" ht="58.5" customHeight="1" x14ac:dyDescent="0.25">
      <c r="A1770" s="5" t="str">
        <f>"H0008790"</f>
        <v>H0008790</v>
      </c>
      <c r="B1770" s="5" t="str">
        <f>"MESA (CARRO) DE CURACIONES"</f>
        <v>MESA (CARRO) DE CURACIONES</v>
      </c>
      <c r="C1770" s="6">
        <v>11880</v>
      </c>
      <c r="D1770" s="5"/>
      <c r="E1770" s="5" t="str">
        <f t="shared" si="95"/>
        <v>ACTISALUD-SALA CUNA-MARIA AUXILIADORA PERTUZ</v>
      </c>
      <c r="F1770" s="5" t="str">
        <f>"Descripcion: MESA CARRO DE CURACIONES Estado: Bueno Placa anterior: 000007312 Material: ACERO INOXIDABLE Color:  Referencia:  Observacion:  Placa padre: Tipo adquisicion: Entidad"</f>
        <v>Descripcion: MESA CARRO DE CURACIONES Estado: Bueno Placa anterior: 000007312 Material: ACERO INOXIDABLE Color:  Referencia:  Observacion:  Placa padre: Tipo adquisicion: Entidad</v>
      </c>
      <c r="G1770" s="5"/>
    </row>
    <row r="1771" spans="1:7" ht="58.5" customHeight="1" x14ac:dyDescent="0.25">
      <c r="A1771" s="5" t="str">
        <f>"H0008791"</f>
        <v>H0008791</v>
      </c>
      <c r="B1771" s="5" t="str">
        <f>"MESA (CARRO) DE CURACIONES"</f>
        <v>MESA (CARRO) DE CURACIONES</v>
      </c>
      <c r="C1771" s="6">
        <v>11880</v>
      </c>
      <c r="D1771" s="5"/>
      <c r="E1771" s="5" t="str">
        <f t="shared" si="95"/>
        <v>ACTISALUD-SALA CUNA-MARIA AUXILIADORA PERTUZ</v>
      </c>
      <c r="F1771" s="5" t="str">
        <f>"Descripcion: MESA CARRO DE CURACIONES Estado: Bueno Placa anterior: 000008028 Material: ACERO INOXIDABLE Color:  Referencia:  Observacion:  Placa padre: Tipo adquisicion: Entidad"</f>
        <v>Descripcion: MESA CARRO DE CURACIONES Estado: Bueno Placa anterior: 000008028 Material: ACERO INOXIDABLE Color:  Referencia:  Observacion:  Placa padre: Tipo adquisicion: Entidad</v>
      </c>
      <c r="G1771" s="5"/>
    </row>
    <row r="1772" spans="1:7" ht="58.5" customHeight="1" x14ac:dyDescent="0.25">
      <c r="A1772" s="5" t="str">
        <f>"H0008792"</f>
        <v>H0008792</v>
      </c>
      <c r="B1772" s="5" t="str">
        <f>"MONITOR DE SIGNOS VITALES"</f>
        <v>MONITOR DE SIGNOS VITALES</v>
      </c>
      <c r="C1772" s="6">
        <v>9954500</v>
      </c>
      <c r="D1772" s="5" t="s">
        <v>175</v>
      </c>
      <c r="E1772" s="5" t="str">
        <f t="shared" si="95"/>
        <v>ACTISALUD-SALA CUNA-MARIA AUXILIADORA PERTUZ</v>
      </c>
      <c r="F1772" s="5" t="str">
        <f>"Descripcion: MONITOR MULTIPARAMETROS MINDRAY MEC 1200 SERIAL CC 29123754 NEONATAL Estado: Bueno Placa anterior: 000030237 Material: PLASTICO Color: BEIGE Referencia:  Observacion:  Placa padre: Tipo adquisicion: Donacion"</f>
        <v>Descripcion: MONITOR MULTIPARAMETROS MINDRAY MEC 1200 SERIAL CC 29123754 NEONATAL Estado: Bueno Placa anterior: 000030237 Material: PLASTICO Color: BEIGE Referencia:  Observacion:  Placa padre: Tipo adquisicion: Donacion</v>
      </c>
      <c r="G1772" s="5" t="str">
        <f>"MEC-1200"</f>
        <v>MEC-1200</v>
      </c>
    </row>
    <row r="1773" spans="1:7" ht="58.5" customHeight="1" x14ac:dyDescent="0.25">
      <c r="A1773" s="5" t="str">
        <f>"H0008793"</f>
        <v>H0008793</v>
      </c>
      <c r="B1773" s="5" t="str">
        <f>"MONITOR DE SIGNOS VITALES"</f>
        <v>MONITOR DE SIGNOS VITALES</v>
      </c>
      <c r="C1773" s="6">
        <v>4176000</v>
      </c>
      <c r="D1773" s="5" t="s">
        <v>212</v>
      </c>
      <c r="E1773" s="5" t="str">
        <f t="shared" si="95"/>
        <v>ACTISALUD-SALA CUNA-MARIA AUXILIADORA PERTUZ</v>
      </c>
      <c r="F1773" s="5" t="str">
        <f>"Descripcion: MONITOR MARCA MINDRAY REF. MEC. 1200 COD. HOSP-3136 CONSTA DE : PANTALLA DE 8.4, TIPO TFT A COLOR. PARA PACIENTE NEONATAL, PEDIATRICO, ADULTO COMPATIBLE A CENTRAL DE MONITOREO Y PROTECCION A DESFIBRILADOR. LA BATERIA DURACION DE 120 ML CONFIG"&amp; "URACION MEDI Estado: Bueno Placa anterior: 000030223 Material: PLASTICO Color: BLANCO Referencia:  Observacion:  Placa padre: Tipo adquisicion: Entidad"</f>
        <v>Descripcion: MONITOR MARCA MINDRAY REF. MEC. 1200 COD. HOSP-3136 CONSTA DE : PANTALLA DE 8.4, TIPO TFT A COLOR. PARA PACIENTE NEONATAL, PEDIATRICO, ADULTO COMPATIBLE A CENTRAL DE MONITOREO Y PROTECCION A DESFIBRILADOR. LA BATERIA DURACION DE 120 ML CONFIGURACION MEDI Estado: Bueno Placa anterior: 000030223 Material: PLASTICO Color: BLANCO Referencia:  Observacion:  Placa padre: Tipo adquisicion: Entidad</v>
      </c>
      <c r="G1773" s="5" t="str">
        <f>"MEC 1200"</f>
        <v>MEC 1200</v>
      </c>
    </row>
    <row r="1774" spans="1:7" ht="58.5" customHeight="1" x14ac:dyDescent="0.25">
      <c r="A1774" s="5" t="str">
        <f>"H0008806"</f>
        <v>H0008806</v>
      </c>
      <c r="B1774" s="5" t="str">
        <f>"CAMARA DE VIDEOVIGILANCIA"</f>
        <v>CAMARA DE VIDEOVIGILANCIA</v>
      </c>
      <c r="C1774" s="6">
        <v>150000</v>
      </c>
      <c r="D1774" s="5" t="s">
        <v>210</v>
      </c>
      <c r="E1774" s="5" t="str">
        <f t="shared" si="95"/>
        <v>ACTISALUD-SALA CUNA-MARIA AUXILIADORA PERTUZ</v>
      </c>
      <c r="F1774" s="5" t="str">
        <f>"Descripcion: CAMARA DE VIDEOVIGILANCIA TIPO DOMO Estado: Bueno Placa anterior: 000030732 Material: PLASTICO Color: BLANCO Referencia:  Observacion: FUNCIONARIO AUTORIZA SE CONCILIE CON PLACA 000030732 Placa padre: Tipo adquisicion: Entidad"</f>
        <v>Descripcion: CAMARA DE VIDEOVIGILANCIA TIPO DOMO Estado: Bueno Placa anterior: 000030732 Material: PLASTICO Color: BLANCO Referencia:  Observacion: FUNCIONARIO AUTORIZA SE CONCILIE CON PLACA 000030732 Placa padre: Tipo adquisicion: Entidad</v>
      </c>
      <c r="G1774" s="5"/>
    </row>
    <row r="1775" spans="1:7" ht="58.5" customHeight="1" x14ac:dyDescent="0.25">
      <c r="A1775" s="5" t="str">
        <f>"H0008808"</f>
        <v>H0008808</v>
      </c>
      <c r="B1775" s="5" t="str">
        <f>"CAMARA DE VIDEOVIGILANCIA"</f>
        <v>CAMARA DE VIDEOVIGILANCIA</v>
      </c>
      <c r="C1775" s="6">
        <v>150000</v>
      </c>
      <c r="D1775" s="5" t="s">
        <v>210</v>
      </c>
      <c r="E1775" s="5" t="str">
        <f t="shared" si="95"/>
        <v>ACTISALUD-SALA CUNA-MARIA AUXILIADORA PERTUZ</v>
      </c>
      <c r="F1775" s="5" t="str">
        <f>"Descripcion: CAMARA DE VIDEOVIGILANCIA TIPO DOMO Estado: Bueno Placa anterior: 000030734 Material: PLASTICO Color: BLANCO Referencia:  Observacion: FUNCIONARIO AUTORIZA SE CONCILIE CON PLACA 000030734 Placa padre: Tipo adquisicion: Entidad"</f>
        <v>Descripcion: CAMARA DE VIDEOVIGILANCIA TIPO DOMO Estado: Bueno Placa anterior: 000030734 Material: PLASTICO Color: BLANCO Referencia:  Observacion: FUNCIONARIO AUTORIZA SE CONCILIE CON PLACA 000030734 Placa padre: Tipo adquisicion: Entidad</v>
      </c>
      <c r="G1775" s="5"/>
    </row>
    <row r="1776" spans="1:7" ht="58.5" customHeight="1" x14ac:dyDescent="0.25">
      <c r="A1776" s="5" t="str">
        <f>"H0008815"</f>
        <v>H0008815</v>
      </c>
      <c r="B1776" s="5" t="str">
        <f>"SILLA ERGONOMICA TIPO SECRETARIA SIN BRAZOS"</f>
        <v>SILLA ERGONOMICA TIPO SECRETARIA SIN BRAZOS</v>
      </c>
      <c r="C1776" s="6">
        <v>322480</v>
      </c>
      <c r="D1776" s="5" t="s">
        <v>211</v>
      </c>
      <c r="E1776" s="5" t="str">
        <f t="shared" si="95"/>
        <v>ACTISALUD-SALA CUNA-MARIA AUXILIADORA PERTUZ</v>
      </c>
      <c r="F1776"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Bueno Placa anterior: 000032621 Material: PLASTICO CON BASE METALICA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Bueno Placa anterior: 000032621 Material: PLASTICO CON BASE METALICA Color: NEGRO Referencia:  Observacion:  Placa padre: Tipo adquisicion: Entidad</v>
      </c>
      <c r="G1776" s="5"/>
    </row>
    <row r="1777" spans="1:7" ht="58.5" customHeight="1" x14ac:dyDescent="0.25">
      <c r="A1777" s="5" t="str">
        <f>"H0008829"</f>
        <v>H0008829</v>
      </c>
      <c r="B1777" s="5" t="str">
        <f>"BANDEJA DE ACERO INOXIDABLE MEDIANA"</f>
        <v>BANDEJA DE ACERO INOXIDABLE MEDIANA</v>
      </c>
      <c r="C1777" s="6">
        <v>3250</v>
      </c>
      <c r="D1777" s="5"/>
      <c r="E1777" s="5" t="str">
        <f t="shared" si="95"/>
        <v>ACTISALUD-SALA CUNA-MARIA AUXILIADORA PERTUZ</v>
      </c>
      <c r="F1777" s="5" t="str">
        <f>"Descripcion: BANDEJA DE ACERO INOXIDABLE MEDIANA Estado: Bueno Placa anterior: 000007955 Material: ACERO INOXIDABLE Color:  Referencia:  Observacion:  Placa padre: Tipo adquisicion: Entidad"</f>
        <v>Descripcion: BANDEJA DE ACERO INOXIDABLE MEDIANA Estado: Bueno Placa anterior: 000007955 Material: ACERO INOXIDABLE Color:  Referencia:  Observacion:  Placa padre: Tipo adquisicion: Entidad</v>
      </c>
      <c r="G1777" s="5"/>
    </row>
    <row r="1778" spans="1:7" ht="58.5" customHeight="1" x14ac:dyDescent="0.25">
      <c r="A1778" s="5" t="str">
        <f>"H0008860"</f>
        <v>H0008860</v>
      </c>
      <c r="B1778" s="5" t="str">
        <f>"CAMARA DE VIDEOVIGILANCIA"</f>
        <v>CAMARA DE VIDEOVIGILANCIA</v>
      </c>
      <c r="C1778" s="6">
        <v>371000</v>
      </c>
      <c r="D1778" s="5" t="s">
        <v>213</v>
      </c>
      <c r="E1778" s="5" t="str">
        <f t="shared" si="95"/>
        <v>ACTISALUD-SALA CUNA-MARIA AUXILIADORA PERTUZ</v>
      </c>
      <c r="F1778" s="5" t="str">
        <f>"Descripcion: CAMARA IP TIPO DOMO 2 MPX LENTE DE 2.8 mm PoE 1/3 (WI-FI) Estado: Bueno Placa anterior: 000038210 Material: PLASTICO Color: BLANCA Referencia:  Observacion:  Placa padre: Tipo adquisicion: Entidad"</f>
        <v>Descripcion: CAMARA IP TIPO DOMO 2 MPX LENTE DE 2.8 mm PoE 1/3 (WI-FI) Estado: Bueno Placa anterior: 000038210 Material: PLASTICO Color: BLANCA Referencia:  Observacion:  Placa padre: Tipo adquisicion: Entidad</v>
      </c>
      <c r="G1778" s="5"/>
    </row>
    <row r="1779" spans="1:7" ht="58.5" customHeight="1" x14ac:dyDescent="0.25">
      <c r="A1779" s="5" t="str">
        <f>"H0008997"</f>
        <v>H0008997</v>
      </c>
      <c r="B1779" s="5" t="str">
        <f>"LOCKER DE 6 COMPARTIMIENTOS"</f>
        <v>LOCKER DE 6 COMPARTIMIENTOS</v>
      </c>
      <c r="C1779" s="6">
        <v>585988</v>
      </c>
      <c r="D1779" s="5" t="s">
        <v>60</v>
      </c>
      <c r="E1779" s="5" t="str">
        <f t="shared" si="95"/>
        <v>ACTISALUD-SALA CUNA-MARIA AUXILIADORA PERTUZ</v>
      </c>
      <c r="F1779" s="5" t="str">
        <f>"Descripcion: LOCKER DE LAMINA CALIBRE 22 C/6 CASILLEROS, PORTACANDADO, MANIJA PROFUNDIZADA MEDIDAS 1.80X1.90 DE ANCHO X 35 DE FONDO DE PINTURA Estado: Bueno Placa anterior: 000029174 Material: METALICO Color: GRIS Referencia:  Observacion:  Placa padre: T"&amp; "ipo adquisicion: Entidad"</f>
        <v>Descripcion: LOCKER DE LAMINA CALIBRE 22 C/6 CASILLEROS, PORTACANDADO, MANIJA PROFUNDIZADA MEDIDAS 1.80X1.90 DE ANCHO X 35 DE FONDO DE PINTURA Estado: Bueno Placa anterior: 000029174 Material: METALICO Color: GRIS Referencia:  Observacion:  Placa padre: Tipo adquisicion: Entidad</v>
      </c>
      <c r="G1779" s="5"/>
    </row>
    <row r="1780" spans="1:7" ht="58.5" customHeight="1" x14ac:dyDescent="0.25">
      <c r="A1780" s="5" t="str">
        <f>"H0009424"</f>
        <v>H0009424</v>
      </c>
      <c r="B1780" s="5" t="str">
        <f>"SILLA PLASTICA CON BRAZOS"</f>
        <v>SILLA PLASTICA CON BRAZOS</v>
      </c>
      <c r="C1780" s="6">
        <v>19900</v>
      </c>
      <c r="D1780" s="5" t="s">
        <v>165</v>
      </c>
      <c r="E1780" s="5" t="str">
        <f t="shared" si="95"/>
        <v>ACTISALUD-SALA CUNA-MARIA AUXILIADORA PERTUZ</v>
      </c>
      <c r="F1780" s="5" t="str">
        <f>"Descripcion: SILLA PLASTICA CON BRAZOS DE COLOR BLANCO  Estado: Bueno Placa anterior: 000032544 Material: PASTA Color: BLANCO Referencia:  Observacion: BUEN ESTADO Placa padre: Tipo adquisicion: Entidad"</f>
        <v>Descripcion: SILLA PLASTICA CON BRAZOS DE COLOR BLANCO  Estado: Bueno Placa anterior: 000032544 Material: PASTA Color: BLANCO Referencia:  Observacion: BUEN ESTADO Placa padre: Tipo adquisicion: Entidad</v>
      </c>
      <c r="G1780" s="5"/>
    </row>
    <row r="1781" spans="1:7" ht="58.5" customHeight="1" x14ac:dyDescent="0.25">
      <c r="A1781" s="5" t="str">
        <f>"H0010196"</f>
        <v>H0010196</v>
      </c>
      <c r="B1781" s="5" t="str">
        <f>"FLUJOMETRO DOBLE"</f>
        <v>FLUJOMETRO DOBLE</v>
      </c>
      <c r="C1781" s="6">
        <v>365400</v>
      </c>
      <c r="D1781" s="5" t="s">
        <v>56</v>
      </c>
      <c r="E1781" s="5" t="str">
        <f t="shared" si="95"/>
        <v>ACTISALUD-SALA CUNA-MARIA AUXILIADORA PERTUZ</v>
      </c>
      <c r="F1781" s="5" t="str">
        <f>"Descripcion: FLUJOMETRO Estado: Bueno Placa anterior: 000031129 Material: PASTA Y ACERO Color: VERDE Referencia:  Observacion:  Placa padre: Tipo adquisicion: Entidad"</f>
        <v>Descripcion: FLUJOMETRO Estado: Bueno Placa anterior: 000031129 Material: PASTA Y ACERO Color: VERDE Referencia:  Observacion:  Placa padre: Tipo adquisicion: Entidad</v>
      </c>
      <c r="G1781" s="5"/>
    </row>
    <row r="1782" spans="1:7" ht="58.5" customHeight="1" x14ac:dyDescent="0.25">
      <c r="A1782" s="5" t="str">
        <f>"H0010243"</f>
        <v>H0010243</v>
      </c>
      <c r="B1782" s="5" t="str">
        <f>"NEVERA 6 PIES (170LT)"</f>
        <v>NEVERA 6 PIES (170LT)</v>
      </c>
      <c r="C1782" s="6">
        <v>1414143</v>
      </c>
      <c r="D1782" s="5" t="s">
        <v>209</v>
      </c>
      <c r="E1782" s="5" t="str">
        <f t="shared" si="95"/>
        <v>ACTISALUD-SALA CUNA-MARIA AUXILIADORA PERTUZ</v>
      </c>
      <c r="F1782" s="5" t="str">
        <f>"Descripcion: NEVERA NO FROTS Nevera verticales tipo no-frost capacidad 340 litros con refrigeracion y congelador independencia dos puertas con manojas bajo consumo de energia Estado: Bueno Placa anterior: 000030647 Material: METALICA Color: GRIS Referenci"&amp; "a:  Observacion:  Placa padre: Tipo adquisicion: Donacion"</f>
        <v>Descripcion: NEVERA NO FROTS Nevera verticales tipo no-frost capacidad 340 litros con refrigeracion y congelador independencia dos puertas con manojas bajo consumo de energia Estado: Bueno Placa anterior: 000030647 Material: METALICA Color: GRIS Referencia:  Observacion:  Placa padre: Tipo adquisicion: Donacion</v>
      </c>
      <c r="G1782" s="5" t="str">
        <f>"ERTG323YSKG"</f>
        <v>ERTG323YSKG</v>
      </c>
    </row>
    <row r="1783" spans="1:7" ht="58.5" customHeight="1" x14ac:dyDescent="0.25">
      <c r="A1783" s="5" t="str">
        <f>"H0010262"</f>
        <v>H0010262</v>
      </c>
      <c r="B1783" s="5" t="str">
        <f>"LOCKER DE 6 COMPARTIMIENTOS"</f>
        <v>LOCKER DE 6 COMPARTIMIENTOS</v>
      </c>
      <c r="C1783" s="6">
        <v>585988</v>
      </c>
      <c r="D1783" s="5" t="s">
        <v>60</v>
      </c>
      <c r="E1783" s="5" t="str">
        <f t="shared" si="95"/>
        <v>ACTISALUD-SALA CUNA-MARIA AUXILIADORA PERTUZ</v>
      </c>
      <c r="F1783" s="5" t="str">
        <f>"Descripcion: LOCKER DE LAMINA CALIBRE 22 C/6 CASILLEROS, PORTACANDADO, MANIJA PROFUNDIZADA MEDIDAS 1.80X1.90 DE ANCHO X 35 DE FONDO DE PINTURA Estado: Bueno Placa anterior: 000029191 Material: METALICO Color: GRIS Referencia:  Observacion: DOS CUERPOS CON"&amp; " 6 COMPARTIMIENTOS Placa padre: Tipo adquisicion: Entidad"</f>
        <v>Descripcion: LOCKER DE LAMINA CALIBRE 22 C/6 CASILLEROS, PORTACANDADO, MANIJA PROFUNDIZADA MEDIDAS 1.80X1.90 DE ANCHO X 35 DE FONDO DE PINTURA Estado: Bueno Placa anterior: 000029191 Material: METALICO Color: GRIS Referencia:  Observacion: DOS CUERPOS CON 6 COMPARTIMIENTOS Placa padre: Tipo adquisicion: Entidad</v>
      </c>
      <c r="G1783" s="5"/>
    </row>
    <row r="1784" spans="1:7" ht="58.5" customHeight="1" x14ac:dyDescent="0.25">
      <c r="A1784" s="5" t="str">
        <f>"H0010264"</f>
        <v>H0010264</v>
      </c>
      <c r="B1784" s="5" t="str">
        <f>"CAMARA DE HOOD MEDIANA"</f>
        <v>CAMARA DE HOOD MEDIANA</v>
      </c>
      <c r="C1784" s="6">
        <v>301600</v>
      </c>
      <c r="D1784" s="5" t="s">
        <v>175</v>
      </c>
      <c r="E1784" s="5" t="str">
        <f t="shared" si="95"/>
        <v>ACTISALUD-SALA CUNA-MARIA AUXILIADORA PERTUZ</v>
      </c>
      <c r="F1784" s="5" t="str">
        <f>"Descripcion: CAMARA DE HOOD EN ACRILICO TRANSPARENTE REF. 0303 MARCA KRAMER TAMAÑO NEONATAL DM--00004089 Estado: Bueno Placa anterior: 000030245 Material: PASTA Color: TRANSPARENTE Referencia: DM--00004089 Observacion:  Placa padre: Tipo adquisicion: Dona"&amp; "cion"</f>
        <v>Descripcion: CAMARA DE HOOD EN ACRILICO TRANSPARENTE REF. 0303 MARCA KRAMER TAMAÑO NEONATAL DM--00004089 Estado: Bueno Placa anterior: 000030245 Material: PASTA Color: TRANSPARENTE Referencia: DM--00004089 Observacion:  Placa padre: Tipo adquisicion: Donacion</v>
      </c>
      <c r="G1784" s="5"/>
    </row>
    <row r="1785" spans="1:7" ht="58.5" customHeight="1" x14ac:dyDescent="0.25">
      <c r="A1785" s="5" t="str">
        <f>"H0010265"</f>
        <v>H0010265</v>
      </c>
      <c r="B1785" s="5" t="str">
        <f>"CAMARA DE HOOD MEDIANA"</f>
        <v>CAMARA DE HOOD MEDIANA</v>
      </c>
      <c r="C1785" s="6">
        <v>301600</v>
      </c>
      <c r="D1785" s="5" t="s">
        <v>175</v>
      </c>
      <c r="E1785" s="5" t="str">
        <f t="shared" si="95"/>
        <v>ACTISALUD-SALA CUNA-MARIA AUXILIADORA PERTUZ</v>
      </c>
      <c r="F1785" s="5" t="str">
        <f>"Descripcion: CAMARA DE HOOD EN ACRILICO TRANSPARENTE REF. 0303 MARCA KRAMER TAMAÑO NEONATAL DM--00004089 Estado: Bueno Placa anterior: 000030243 Material: PASTA Color: TRANSPARENTE Referencia: DM--00004089 Observacion:  Placa padre: Tipo adquisicion: Dona"&amp; "cion"</f>
        <v>Descripcion: CAMARA DE HOOD EN ACRILICO TRANSPARENTE REF. 0303 MARCA KRAMER TAMAÑO NEONATAL DM--00004089 Estado: Bueno Placa anterior: 000030243 Material: PASTA Color: TRANSPARENTE Referencia: DM--00004089 Observacion:  Placa padre: Tipo adquisicion: Donacion</v>
      </c>
      <c r="G1785" s="5"/>
    </row>
    <row r="1786" spans="1:7" ht="58.5" customHeight="1" x14ac:dyDescent="0.25">
      <c r="A1786" s="5" t="str">
        <f>"H0010270"</f>
        <v>H0010270</v>
      </c>
      <c r="B1786" s="5" t="str">
        <f>"CPU"</f>
        <v>CPU</v>
      </c>
      <c r="C1786" s="6">
        <v>1475000</v>
      </c>
      <c r="D1786" s="5" t="s">
        <v>214</v>
      </c>
      <c r="E1786" s="5" t="str">
        <f t="shared" ref="E1786:E1817" si="96">"ACTISALUD-SALA CUNA-MARIA AUXILIADORA PERTUZ"</f>
        <v>ACTISALUD-SALA CUNA-MARIA AUXILIADORA PERTUZ</v>
      </c>
      <c r="F1786" s="5" t="str">
        <f>"Descripcion: CPU;  Estado: Bueno;  Color: NEGRO;  Referencia: 1099000021;"</f>
        <v>Descripcion: CPU;  Estado: Bueno;  Color: NEGRO;  Referencia: 1099000021;</v>
      </c>
      <c r="G1786" s="5"/>
    </row>
    <row r="1787" spans="1:7" ht="58.5" customHeight="1" x14ac:dyDescent="0.25">
      <c r="A1787" s="5" t="str">
        <f>"H0010271"</f>
        <v>H0010271</v>
      </c>
      <c r="B1787" s="5" t="str">
        <f>"MONITOR LCD"</f>
        <v>MONITOR LCD</v>
      </c>
      <c r="C1787" s="6">
        <v>695000</v>
      </c>
      <c r="D1787" s="5" t="s">
        <v>214</v>
      </c>
      <c r="E1787" s="5" t="str">
        <f t="shared" si="96"/>
        <v>ACTISALUD-SALA CUNA-MARIA AUXILIADORA PERTUZ</v>
      </c>
      <c r="F1787" s="5" t="str">
        <f>"Descripcion: MONITOR COMPUTADOR;  Estado: Bueno;  Color: NEGRO;  Referencia: 20M37A;"</f>
        <v>Descripcion: MONITOR COMPUTADOR;  Estado: Bueno;  Color: NEGRO;  Referencia: 20M37A;</v>
      </c>
      <c r="G1787" s="5"/>
    </row>
    <row r="1788" spans="1:7" ht="58.5" customHeight="1" x14ac:dyDescent="0.25">
      <c r="A1788" s="5" t="str">
        <f>"H0010276"</f>
        <v>H0010276</v>
      </c>
      <c r="B1788" s="5" t="str">
        <f>"SILLA ERGONOMICA TIPO SECRETARIA SIN BRAZOS"</f>
        <v>SILLA ERGONOMICA TIPO SECRETARIA SIN BRAZOS</v>
      </c>
      <c r="C1788" s="6">
        <v>211120</v>
      </c>
      <c r="D1788" s="5" t="s">
        <v>214</v>
      </c>
      <c r="E1788" s="5" t="str">
        <f t="shared" si="96"/>
        <v>ACTISALUD-SALA CUNA-MARIA AUXILIADORA PERTUZ</v>
      </c>
      <c r="F1788" s="5" t="str">
        <f>"Descripcion: SILLA GIRATORIA DE ESCRITORIO;  Estado: Bueno;  Color: GRIS;"</f>
        <v>Descripcion: SILLA GIRATORIA DE ESCRITORIO;  Estado: Bueno;  Color: GRIS;</v>
      </c>
      <c r="G1788" s="5"/>
    </row>
    <row r="1789" spans="1:7" ht="58.5" customHeight="1" x14ac:dyDescent="0.25">
      <c r="A1789" s="5" t="str">
        <f>"H0010310"</f>
        <v>H0010310</v>
      </c>
      <c r="B1789" s="5" t="str">
        <f>"OXIMETRO"</f>
        <v>OXIMETRO</v>
      </c>
      <c r="C1789" s="6">
        <v>1300000</v>
      </c>
      <c r="D1789" s="5"/>
      <c r="E1789" s="5" t="str">
        <f t="shared" si="96"/>
        <v>ACTISALUD-SALA CUNA-MARIA AUXILIADORA PERTUZ</v>
      </c>
      <c r="F1789" s="5" t="str">
        <f>"Descripcion: OXIMETRO DE PULSO MARCA MINDRAY Y MODELO PM 50 SISTEMAS DE COBERTURA ABS, ADULTO PEDIATRICO, NEONATAL DISPLAY DIGITAL (lLSD) Estado: Bueno Placa anterior: 000033200 Material: PASTA Color:  Referencia:  Observacion: FUNCIONARIO AUTORIZA SE CON"&amp; "CILIE CON PLACA 000033200 Placa padre: Tipo adquisicion: Entidad"</f>
        <v>Descripcion: OXIMETRO DE PULSO MARCA MINDRAY Y MODELO PM 50 SISTEMAS DE COBERTURA ABS, ADULTO PEDIATRICO, NEONATAL DISPLAY DIGITAL (lLSD) Estado: Bueno Placa anterior: 000033200 Material: PASTA Color:  Referencia:  Observacion: FUNCIONARIO AUTORIZA SE CONCILIE CON PLACA 000033200 Placa padre: Tipo adquisicion: Entidad</v>
      </c>
      <c r="G1789" s="5" t="str">
        <f>"PM-50"</f>
        <v>PM-50</v>
      </c>
    </row>
    <row r="1790" spans="1:7" ht="58.5" customHeight="1" x14ac:dyDescent="0.25">
      <c r="A1790" s="5" t="str">
        <f>"H0010311"</f>
        <v>H0010311</v>
      </c>
      <c r="B1790" s="5" t="str">
        <f>"CAMARA DE VIDEOVIGILANCIA"</f>
        <v>CAMARA DE VIDEOVIGILANCIA</v>
      </c>
      <c r="C1790" s="6">
        <v>170000</v>
      </c>
      <c r="D1790" s="5" t="s">
        <v>210</v>
      </c>
      <c r="E1790" s="5" t="str">
        <f t="shared" si="96"/>
        <v>ACTISALUD-SALA CUNA-MARIA AUXILIADORA PERTUZ</v>
      </c>
      <c r="F1790" s="5" t="str">
        <f>"Descripcion: MINIDOMO HIKVISION 700TVL LENTE 3.6MM Estado: Bueno Placa anterior: 000030735 Material: PASTA Color: NEGRA Referencia:  Observacion: FUNCIONARIO AUTORIZA SE CONCILIE CON PLACA 000030735 Placa padre: Tipo adquisicion: Entidad"</f>
        <v>Descripcion: MINIDOMO HIKVISION 700TVL LENTE 3.6MM Estado: Bueno Placa anterior: 000030735 Material: PASTA Color: NEGRA Referencia:  Observacion: FUNCIONARIO AUTORIZA SE CONCILIE CON PLACA 000030735 Placa padre: Tipo adquisicion: Entidad</v>
      </c>
      <c r="G1790" s="5" t="str">
        <f>"DS-2CE55A2N-IRP"</f>
        <v>DS-2CE55A2N-IRP</v>
      </c>
    </row>
    <row r="1791" spans="1:7" ht="58.5" customHeight="1" x14ac:dyDescent="0.25">
      <c r="A1791" s="5" t="str">
        <f>"H0010312"</f>
        <v>H0010312</v>
      </c>
      <c r="B1791" s="5" t="str">
        <f>"EQUIPO ORGANOS DE LOS SENTIDOS PORTATIL"</f>
        <v>EQUIPO ORGANOS DE LOS SENTIDOS PORTATIL</v>
      </c>
      <c r="C1791" s="6">
        <v>1113600</v>
      </c>
      <c r="D1791" s="5" t="s">
        <v>56</v>
      </c>
      <c r="E1791" s="5" t="str">
        <f t="shared" si="96"/>
        <v>ACTISALUD-SALA CUNA-MARIA AUXILIADORA PERTUZ</v>
      </c>
      <c r="F1791" s="5" t="str">
        <f>"Descripcion: EQUIPO DE ORGANO  Estado: Bueno Placa anterior:  Material: ACERO INOXIDABLE Color: PLATEADO Y NEGRO Referencia:  Observacion:  Placa padre: Tipo adquisicion: Entidad"</f>
        <v>Descripcion: EQUIPO DE ORGANO  Estado: Bueno Placa anterior:  Material: ACERO INOXIDABLE Color: PLATEADO Y NEGRO Referencia:  Observacion:  Placa padre: Tipo adquisicion: Entidad</v>
      </c>
      <c r="G1791" s="5"/>
    </row>
    <row r="1792" spans="1:7" ht="58.5" customHeight="1" x14ac:dyDescent="0.25">
      <c r="A1792" s="5" t="str">
        <f>"H0010315"</f>
        <v>H0010315</v>
      </c>
      <c r="B1792" s="5" t="str">
        <f>"EQUIPO DVD R"</f>
        <v>EQUIPO DVD R</v>
      </c>
      <c r="C1792" s="6">
        <v>220000</v>
      </c>
      <c r="D1792" s="5" t="s">
        <v>214</v>
      </c>
      <c r="E1792" s="5" t="str">
        <f t="shared" si="96"/>
        <v>ACTISALUD-SALA CUNA-MARIA AUXILIADORA PERTUZ</v>
      </c>
      <c r="F1792" s="5" t="str">
        <f>"Descripcion: DVD;  Estado: Bueno;  Color: NEGRO;  Referencia: SYDVD60;"</f>
        <v>Descripcion: DVD;  Estado: Bueno;  Color: NEGRO;  Referencia: SYDVD60;</v>
      </c>
      <c r="G1792" s="5"/>
    </row>
    <row r="1793" spans="1:7" ht="58.5" customHeight="1" x14ac:dyDescent="0.25">
      <c r="A1793" s="5" t="str">
        <f>"H0010324"</f>
        <v>H0010324</v>
      </c>
      <c r="B1793" s="5" t="str">
        <f>"RIÑONERA HOSPITALARIA EN ACERO INOXIDABLE"</f>
        <v>RIÑONERA HOSPITALARIA EN ACERO INOXIDABLE</v>
      </c>
      <c r="C1793" s="6">
        <v>2103.23</v>
      </c>
      <c r="D1793" s="5"/>
      <c r="E1793" s="5" t="str">
        <f t="shared" si="96"/>
        <v>ACTISALUD-SALA CUNA-MARIA AUXILIADORA PERTUZ</v>
      </c>
      <c r="F1793" s="5" t="str">
        <f>"Descripcion: RIÑONERA NIQUELADA Estado: Bueno Placa anterior: 000008052 Material: ACERO INOXIDABLE Color: PLATEADO Referencia:  Observacion: FUNCIONARIO AUTORIZA SE CONCILIE CON PLACA 000008052 Placa padre: Tipo adquisicion: Entidad"</f>
        <v>Descripcion: RIÑONERA NIQUELADA Estado: Bueno Placa anterior: 000008052 Material: ACERO INOXIDABLE Color: PLATEADO Referencia:  Observacion: FUNCIONARIO AUTORIZA SE CONCILIE CON PLACA 000008052 Placa padre: Tipo adquisicion: Entidad</v>
      </c>
      <c r="G1793" s="5"/>
    </row>
    <row r="1794" spans="1:7" ht="58.5" customHeight="1" x14ac:dyDescent="0.25">
      <c r="A1794" s="5" t="str">
        <f>"H0010326"</f>
        <v>H0010326</v>
      </c>
      <c r="B1794" s="5" t="str">
        <f>"RIÑONERA HOSPITALARIA EN ACERO INOXIDABLE"</f>
        <v>RIÑONERA HOSPITALARIA EN ACERO INOXIDABLE</v>
      </c>
      <c r="C1794" s="6">
        <v>2103.23</v>
      </c>
      <c r="D1794" s="5"/>
      <c r="E1794" s="5" t="str">
        <f t="shared" si="96"/>
        <v>ACTISALUD-SALA CUNA-MARIA AUXILIADORA PERTUZ</v>
      </c>
      <c r="F1794" s="5" t="str">
        <f>"Descripcion: RIÑONERA NIQUELADA Estado: Bueno Placa anterior: 000007956 Material: ACERO INOXIDABLE Color: PLATEADO Referencia:  Observacion: FUNCIONARIO AUTORIZA SE CONCILIE CON PLACA 000007956 Placa padre: Tipo adquisicion: Entidad"</f>
        <v>Descripcion: RIÑONERA NIQUELADA Estado: Bueno Placa anterior: 000007956 Material: ACERO INOXIDABLE Color: PLATEADO Referencia:  Observacion: FUNCIONARIO AUTORIZA SE CONCILIE CON PLACA 000007956 Placa padre: Tipo adquisicion: Entidad</v>
      </c>
      <c r="G1794" s="5"/>
    </row>
    <row r="1795" spans="1:7" ht="58.5" customHeight="1" x14ac:dyDescent="0.25">
      <c r="A1795" s="5" t="str">
        <f>"H0010332"</f>
        <v>H0010332</v>
      </c>
      <c r="B1795" s="5" t="str">
        <f>"CARRO PARA TRANSPORTE MATERIAL ESTERIL (OBJETOS ESTERILIZADOS)"</f>
        <v>CARRO PARA TRANSPORTE MATERIAL ESTERIL (OBJETOS ESTERILIZADOS)</v>
      </c>
      <c r="C1795" s="6">
        <v>155760</v>
      </c>
      <c r="D1795" s="5"/>
      <c r="E1795" s="5" t="str">
        <f t="shared" si="96"/>
        <v>ACTISALUD-SALA CUNA-MARIA AUXILIADORA PERTUZ</v>
      </c>
      <c r="F1795" s="5" t="str">
        <f>"Descripcion: CARRO PARA TRANSPORTAR MATERIAL ESTERIL Estado: Bueno Placa anterior: 000008048 Material: ACERO INOXIDABLE Color: PLATEADO Referencia:  Observacion: FUNCIONARIO AUTORIZA SE CONCILIE CON PLACA 000008048 Placa padre: Tipo adquisicion: Entidad"</f>
        <v>Descripcion: CARRO PARA TRANSPORTAR MATERIAL ESTERIL Estado: Bueno Placa anterior: 000008048 Material: ACERO INOXIDABLE Color: PLATEADO Referencia:  Observacion: FUNCIONARIO AUTORIZA SE CONCILIE CON PLACA 000008048 Placa padre: Tipo adquisicion: Entidad</v>
      </c>
      <c r="G1795" s="5"/>
    </row>
    <row r="1796" spans="1:7" ht="58.5" customHeight="1" x14ac:dyDescent="0.25">
      <c r="A1796" s="5" t="str">
        <f>"H0010334"</f>
        <v>H0010334</v>
      </c>
      <c r="B1796" s="5" t="str">
        <f>"MESA EN ACERO INOXIDABLE"</f>
        <v>MESA EN ACERO INOXIDABLE</v>
      </c>
      <c r="C1796" s="6">
        <v>81414.59</v>
      </c>
      <c r="D1796" s="5" t="s">
        <v>214</v>
      </c>
      <c r="E1796" s="5" t="str">
        <f t="shared" si="96"/>
        <v>ACTISALUD-SALA CUNA-MARIA AUXILIADORA PERTUZ</v>
      </c>
      <c r="F1796" s="5" t="str">
        <f>"Descripcion: MESA DE PROCEDIMIENTOS;  Estado: Bueno;  Material: ACERO INOXIDABLE;  Color: GRIS-AZUL;"</f>
        <v>Descripcion: MESA DE PROCEDIMIENTOS;  Estado: Bueno;  Material: ACERO INOXIDABLE;  Color: GRIS-AZUL;</v>
      </c>
      <c r="G1796" s="5"/>
    </row>
    <row r="1797" spans="1:7" ht="58.5" customHeight="1" x14ac:dyDescent="0.25">
      <c r="A1797" s="5" t="str">
        <f>"H0010337"</f>
        <v>H0010337</v>
      </c>
      <c r="B1797" s="5" t="str">
        <f>"ATRIL PORTASUERO MOVIL"</f>
        <v>ATRIL PORTASUERO MOVIL</v>
      </c>
      <c r="C1797" s="6">
        <v>80005</v>
      </c>
      <c r="D1797" s="5" t="s">
        <v>214</v>
      </c>
      <c r="E1797" s="5" t="str">
        <f t="shared" si="96"/>
        <v>ACTISALUD-SALA CUNA-MARIA AUXILIADORA PERTUZ</v>
      </c>
      <c r="F1797" s="5" t="str">
        <f>"Descripcion: ATRIL PORTASUERO CON RODACHINES;  Estado: Bueno;  Material: ACERO INOXIDABLE;  Color: PLATEADO;"</f>
        <v>Descripcion: ATRIL PORTASUERO CON RODACHINES;  Estado: Bueno;  Material: ACERO INOXIDABLE;  Color: PLATEADO;</v>
      </c>
      <c r="G1797" s="5"/>
    </row>
    <row r="1798" spans="1:7" ht="58.5" customHeight="1" x14ac:dyDescent="0.25">
      <c r="A1798" s="5" t="str">
        <f>"H0010338"</f>
        <v>H0010338</v>
      </c>
      <c r="B1798" s="5" t="str">
        <f>"CARRO PARA TRANSPORTE BALA DE OXIGENO"</f>
        <v>CARRO PARA TRANSPORTE BALA DE OXIGENO</v>
      </c>
      <c r="C1798" s="6">
        <v>4970</v>
      </c>
      <c r="D1798" s="5"/>
      <c r="E1798" s="5" t="str">
        <f t="shared" si="96"/>
        <v>ACTISALUD-SALA CUNA-MARIA AUXILIADORA PERTUZ</v>
      </c>
      <c r="F1798" s="5" t="str">
        <f>"Descripcion: CARRO TRANSPORTAR OXIGENO Estado: Bueno Placa anterior: 000008046 Material: METALICO Color: BEIGE Referencia:  Observacion: FUNCIONARIO AUTORIZA SE CONCILIE CON PLACA 000008046 Placa padre: Tipo adquisicion: Entidad"</f>
        <v>Descripcion: CARRO TRANSPORTAR OXIGENO Estado: Bueno Placa anterior: 000008046 Material: METALICO Color: BEIGE Referencia:  Observacion: FUNCIONARIO AUTORIZA SE CONCILIE CON PLACA 000008046 Placa padre: Tipo adquisicion: Entidad</v>
      </c>
      <c r="G1798" s="5"/>
    </row>
    <row r="1799" spans="1:7" ht="58.5" customHeight="1" x14ac:dyDescent="0.25">
      <c r="A1799" s="5" t="str">
        <f>"H0010341"</f>
        <v>H0010341</v>
      </c>
      <c r="B1799" s="5" t="str">
        <f>"CALENTADOR ELECTRICO DE AGUA"</f>
        <v>CALENTADOR ELECTRICO DE AGUA</v>
      </c>
      <c r="C1799" s="6">
        <v>350000</v>
      </c>
      <c r="D1799" s="5"/>
      <c r="E1799" s="5" t="str">
        <f t="shared" si="96"/>
        <v>ACTISALUD-SALA CUNA-MARIA AUXILIADORA PERTUZ</v>
      </c>
      <c r="F1799" s="5" t="str">
        <f>"Descripcion: CALENTADOR ELECTRICO CAPACIDAD 10 GALONES Estado: Bueno Placa anterior: 000022900 Material: METALICO Color: BEIGE Referencia:  Observacion:  Placa padre: Tipo adquisicion: Entidad"</f>
        <v>Descripcion: CALENTADOR ELECTRICO CAPACIDAD 10 GALONES Estado: Bueno Placa anterior: 000022900 Material: METALICO Color: BEIGE Referencia:  Observacion:  Placa padre: Tipo adquisicion: Entidad</v>
      </c>
      <c r="G1799" s="5" t="str">
        <f>"CR-15"</f>
        <v>CR-15</v>
      </c>
    </row>
    <row r="1800" spans="1:7" ht="58.5" customHeight="1" x14ac:dyDescent="0.25">
      <c r="A1800" s="5" t="str">
        <f>"H0010343"</f>
        <v>H0010343</v>
      </c>
      <c r="B1800" s="5" t="str">
        <f>"MESA (CARRO) DE CURACIONES"</f>
        <v>MESA (CARRO) DE CURACIONES</v>
      </c>
      <c r="C1800" s="6">
        <v>6952</v>
      </c>
      <c r="D1800" s="5" t="s">
        <v>214</v>
      </c>
      <c r="E1800" s="5" t="str">
        <f t="shared" si="96"/>
        <v>ACTISALUD-SALA CUNA-MARIA AUXILIADORA PERTUZ</v>
      </c>
      <c r="F1800" s="5" t="str">
        <f>"Descripcion: MESA DE CURACIONES;  Estado: Bueno;  Material: ACERO INOXIDABLE;  Color: PLATEADO;"</f>
        <v>Descripcion: MESA DE CURACIONES;  Estado: Bueno;  Material: ACERO INOXIDABLE;  Color: PLATEADO;</v>
      </c>
      <c r="G1800" s="5"/>
    </row>
    <row r="1801" spans="1:7" ht="58.5" customHeight="1" x14ac:dyDescent="0.25">
      <c r="A1801" s="5" t="str">
        <f>"H0012339"</f>
        <v>H0012339</v>
      </c>
      <c r="B1801" s="5" t="str">
        <f>"FLUJOMETRO DOBLE"</f>
        <v>FLUJOMETRO DOBLE</v>
      </c>
      <c r="C1801" s="6">
        <v>365400</v>
      </c>
      <c r="D1801" s="5" t="s">
        <v>56</v>
      </c>
      <c r="E1801" s="5" t="str">
        <f t="shared" si="96"/>
        <v>ACTISALUD-SALA CUNA-MARIA AUXILIADORA PERTUZ</v>
      </c>
      <c r="F1801" s="5" t="str">
        <f>"Descripcion: FLUJOMETRO Estado: Bueno Placa anterior: 000031125 Material: ACERO Y PASTA Color: PLATEADO Y VERDE Referencia:  Observacion: AUTORIZADO CONCILIAR EN CRUCE GENERAL Placa padre: Tipo adquisicion: Entidad"</f>
        <v>Descripcion: FLUJOMETRO Estado: Bueno Placa anterior: 000031125 Material: ACERO Y PASTA Color: PLATEADO Y VERDE Referencia:  Observacion: AUTORIZADO CONCILIAR EN CRUCE GENERAL Placa padre: Tipo adquisicion: Entidad</v>
      </c>
      <c r="G1801" s="5"/>
    </row>
    <row r="1802" spans="1:7" ht="58.5" customHeight="1" x14ac:dyDescent="0.25">
      <c r="A1802" s="5" t="str">
        <f>"H0015851"</f>
        <v>H0015851</v>
      </c>
      <c r="B1802" s="5" t="str">
        <f>"CAMARA DE VIDEOVIGILANCIA"</f>
        <v>CAMARA DE VIDEOVIGILANCIA</v>
      </c>
      <c r="C1802" s="6">
        <v>441700</v>
      </c>
      <c r="D1802" s="5" t="s">
        <v>213</v>
      </c>
      <c r="E1802" s="5" t="str">
        <f t="shared" si="96"/>
        <v>ACTISALUD-SALA CUNA-MARIA AUXILIADORA PERTUZ</v>
      </c>
      <c r="F1802" s="5" t="str">
        <f>"Descripcion: TIPO DOMO Estado: Bueno Placa anterior: 000038179 Material: PASTA Color: BLANCO Referencia:  Observacion:  Placa padre: Tipo adquisicion: Entidad"</f>
        <v>Descripcion: TIPO DOMO Estado: Bueno Placa anterior: 000038179 Material: PASTA Color: BLANCO Referencia:  Observacion:  Placa padre: Tipo adquisicion: Entidad</v>
      </c>
      <c r="G1802" s="5"/>
    </row>
    <row r="1803" spans="1:7" ht="58.5" customHeight="1" x14ac:dyDescent="0.25">
      <c r="A1803" s="5" t="str">
        <f>"H0019626"</f>
        <v>H0019626</v>
      </c>
      <c r="B1803" s="5" t="str">
        <f>"MESA METALICA"</f>
        <v>MESA METALICA</v>
      </c>
      <c r="C1803" s="6">
        <v>300000</v>
      </c>
      <c r="D1803" s="5"/>
      <c r="E1803" s="5" t="str">
        <f t="shared" si="96"/>
        <v>ACTISALUD-SALA CUNA-MARIA AUXILIADORA PERTUZ</v>
      </c>
      <c r="F1803" s="5" t="str">
        <f>"Descripcion:MESA CON SUPERFICIE EN ACERO INOXIDABLE Y BASE EN TUBERIA GALVANIZADA Estado: Bueno Placa anterior: 000010610 Material: METALICA Y ACERO INOXIDABLE Color: GRIS Referencia:  Observacion:  Placa padre:  Tipo adquisicion : Entidad"</f>
        <v>Descripcion:MESA CON SUPERFICIE EN ACERO INOXIDABLE Y BASE EN TUBERIA GALVANIZADA Estado: Bueno Placa anterior: 000010610 Material: METALICA Y ACERO INOXIDABLE Color: GRIS Referencia:  Observacion:  Placa padre:  Tipo adquisicion : Entidad</v>
      </c>
      <c r="G1803" s="5"/>
    </row>
    <row r="1804" spans="1:7" ht="58.5" customHeight="1" x14ac:dyDescent="0.25">
      <c r="A1804" s="5" t="str">
        <f>"H0021458"</f>
        <v>H0021458</v>
      </c>
      <c r="B1804" s="5" t="str">
        <f>"PLANTA DOMESTICA A BASE DE OZONO"</f>
        <v>PLANTA DOMESTICA A BASE DE OZONO</v>
      </c>
      <c r="C1804" s="6">
        <v>275000</v>
      </c>
      <c r="D1804" s="5" t="s">
        <v>62</v>
      </c>
      <c r="E1804" s="5" t="str">
        <f t="shared" si="96"/>
        <v>ACTISALUD-SALA CUNA-MARIA AUXILIADORA PERTUZ</v>
      </c>
      <c r="F1804" s="5"/>
      <c r="G1804" s="5"/>
    </row>
    <row r="1805" spans="1:7" ht="58.5" customHeight="1" x14ac:dyDescent="0.25">
      <c r="A1805" s="5" t="str">
        <f>"H0021816"</f>
        <v>H0021816</v>
      </c>
      <c r="B1805" s="5" t="str">
        <f>"EQUIPO DE ORGANOS PORTATIL"</f>
        <v>EQUIPO DE ORGANOS PORTATIL</v>
      </c>
      <c r="C1805" s="6">
        <v>730800</v>
      </c>
      <c r="D1805" s="5" t="s">
        <v>175</v>
      </c>
      <c r="E1805" s="5" t="str">
        <f t="shared" si="96"/>
        <v>ACTISALUD-SALA CUNA-MARIA AUXILIADORA PERTUZ</v>
      </c>
      <c r="F1805" s="5" t="str">
        <f>"Descripcion: ESTUCHE PARA DIAGNOSTICO DE LOS SENTIDOS REF. 95001 MARCA WELCH ALLYN INCLUYE OTOSCOPIO CON TRANSMISION DE LUZ FIBROPTICA ENTRADA DE INSUFLACIO Y LENTES DE AUMENTO. EL OFTALMOSCOPIO OPTICA SELLADA PARA MANTENER EL INSTRUMENTO LIMPIO SEIS APER"&amp; "TURAS, LENTE Estado: Bueno Placa anterior: 000030259 Material:  Color: NEGRO Referencia:  Observacion: FUNCIONARIO AUTORIZA SE CONCILIE CON PLACA 000030259 Placa padre: Tipo adquisicion: Donacion"</f>
        <v>Descripcion: ESTUCHE PARA DIAGNOSTICO DE LOS SENTIDOS REF. 95001 MARCA WELCH ALLYN INCLUYE OTOSCOPIO CON TRANSMISION DE LUZ FIBROPTICA ENTRADA DE INSUFLACIO Y LENTES DE AUMENTO. EL OFTALMOSCOPIO OPTICA SELLADA PARA MANTENER EL INSTRUMENTO LIMPIO SEIS APERTURAS, LENTE Estado: Bueno Placa anterior: 000030259 Material:  Color: NEGRO Referencia:  Observacion: FUNCIONARIO AUTORIZA SE CONCILIE CON PLACA 000030259 Placa padre: Tipo adquisicion: Donacion</v>
      </c>
      <c r="G1805" s="5" t="str">
        <f>"POCKET JUNIOR SET"</f>
        <v>POCKET JUNIOR SET</v>
      </c>
    </row>
    <row r="1806" spans="1:7" ht="58.5" customHeight="1" x14ac:dyDescent="0.25">
      <c r="A1806" s="5" t="str">
        <f>"H0021890"</f>
        <v>H0021890</v>
      </c>
      <c r="B1806" s="5" t="str">
        <f>"EQUIPO DE ORGANOS PORTATIL"</f>
        <v>EQUIPO DE ORGANOS PORTATIL</v>
      </c>
      <c r="C1806" s="6">
        <v>730800</v>
      </c>
      <c r="D1806" s="5" t="s">
        <v>175</v>
      </c>
      <c r="E1806" s="5" t="str">
        <f t="shared" si="96"/>
        <v>ACTISALUD-SALA CUNA-MARIA AUXILIADORA PERTUZ</v>
      </c>
      <c r="F1806" s="5" t="str">
        <f>"Descripcion: ESTUCHE PARA DIAGNOSTICO DE LOS SENTIDOS REF. 95001 MARCA WELCH ALLYN INCLUYE OTOSCOPIO CON TRANSMISION DE LUZ FIBROPTICA ENTRADA DE INSUFLACIO Y LENTES DE AUMENTO. EL OFTALMOSCOPIO OPTICA SELLADA PARA MANTENER EL INSTRUMENTO LIMPIO SEIS APER"&amp; "TURAS, LENTE Estado: Bueno Placa anterior: 000030260 Material:  Color:  Referencia:  Observacion: FUNCIONARIO AUTORIZA SE CONCILIE CON PLACA 000030260 Placa padre: Tipo adquisicion: Donacion"</f>
        <v>Descripcion: ESTUCHE PARA DIAGNOSTICO DE LOS SENTIDOS REF. 95001 MARCA WELCH ALLYN INCLUYE OTOSCOPIO CON TRANSMISION DE LUZ FIBROPTICA ENTRADA DE INSUFLACIO Y LENTES DE AUMENTO. EL OFTALMOSCOPIO OPTICA SELLADA PARA MANTENER EL INSTRUMENTO LIMPIO SEIS APERTURAS, LENTE Estado: Bueno Placa anterior: 000030260 Material:  Color:  Referencia:  Observacion: FUNCIONARIO AUTORIZA SE CONCILIE CON PLACA 000030260 Placa padre: Tipo adquisicion: Donacion</v>
      </c>
      <c r="G1806" s="5" t="str">
        <f>"POCKET JUNIOR SET"</f>
        <v>POCKET JUNIOR SET</v>
      </c>
    </row>
    <row r="1807" spans="1:7" ht="58.5" customHeight="1" x14ac:dyDescent="0.25">
      <c r="A1807" s="5" t="str">
        <f>"H0021891"</f>
        <v>H0021891</v>
      </c>
      <c r="B1807" s="5" t="str">
        <f>"FONENDOSCOPIO (ESTETOSCOPIO) DE 2 SERVICIOS"</f>
        <v>FONENDOSCOPIO (ESTETOSCOPIO) DE 2 SERVICIOS</v>
      </c>
      <c r="C1807" s="6">
        <v>777385</v>
      </c>
      <c r="D1807" s="5" t="s">
        <v>175</v>
      </c>
      <c r="E1807" s="5" t="str">
        <f t="shared" si="96"/>
        <v>ACTISALUD-SALA CUNA-MARIA AUXILIADORA PERTUZ</v>
      </c>
      <c r="F1807" s="5" t="str">
        <f>"Descripcion: FONENDOSCOPIO DE DOS SERVICIOSULTIMAN CLASSI 11 REF. 2114 MARCA 3M MANGUERA COLOR NEGRO NEONATAL DM-0000347 Estado: Bueno Placa anterior: 000030239 Material:  Color:  Referencia:  Observacion:  Placa padre: Tipo adquisicion: Donacion"</f>
        <v>Descripcion: FONENDOSCOPIO DE DOS SERVICIOSULTIMAN CLASSI 11 REF. 2114 MARCA 3M MANGUERA COLOR NEGRO NEONATAL DM-0000347 Estado: Bueno Placa anterior: 000030239 Material:  Color:  Referencia:  Observacion:  Placa padre: Tipo adquisicion: Donacion</v>
      </c>
      <c r="G1807" s="5" t="str">
        <f>"3M NEONATAL"</f>
        <v>3M NEONATAL</v>
      </c>
    </row>
    <row r="1808" spans="1:7" ht="58.5" customHeight="1" x14ac:dyDescent="0.25">
      <c r="A1808" s="5" t="str">
        <f>"H0021892"</f>
        <v>H0021892</v>
      </c>
      <c r="B1808" s="5" t="str">
        <f>"FONENDOSCOPIO (ESTETOSCOPIO) DE 2 SERVICIOS"</f>
        <v>FONENDOSCOPIO (ESTETOSCOPIO) DE 2 SERVICIOS</v>
      </c>
      <c r="C1808" s="6">
        <v>777385</v>
      </c>
      <c r="D1808" s="5" t="s">
        <v>175</v>
      </c>
      <c r="E1808" s="5" t="str">
        <f t="shared" si="96"/>
        <v>ACTISALUD-SALA CUNA-MARIA AUXILIADORA PERTUZ</v>
      </c>
      <c r="F1808" s="5" t="str">
        <f>"Descripcion: FONENDOSCOPIO DE DOS SERVICIOSULTIMAN CLASSI 11 REF. 2114 MARCA 3M MANGUERA COLOR NEGRO NEONATAL DM-0000347 Estado: Bueno Placa anterior: 000030241 Material:  Color:  Referencia:  Observacion:  Placa padre: Tipo adquisicion: Donacion"</f>
        <v>Descripcion: FONENDOSCOPIO DE DOS SERVICIOSULTIMAN CLASSI 11 REF. 2114 MARCA 3M MANGUERA COLOR NEGRO NEONATAL DM-0000347 Estado: Bueno Placa anterior: 000030241 Material:  Color:  Referencia:  Observacion:  Placa padre: Tipo adquisicion: Donacion</v>
      </c>
      <c r="G1808" s="5" t="str">
        <f>"3M NEONATAL"</f>
        <v>3M NEONATAL</v>
      </c>
    </row>
    <row r="1809" spans="1:7" ht="58.5" customHeight="1" x14ac:dyDescent="0.25">
      <c r="A1809" s="5" t="str">
        <f>"H0021893"</f>
        <v>H0021893</v>
      </c>
      <c r="B1809" s="5" t="str">
        <f>"FONENDOSCOPIO (ESTETOSCOPIO) DE 2 SERVICIOS"</f>
        <v>FONENDOSCOPIO (ESTETOSCOPIO) DE 2 SERVICIOS</v>
      </c>
      <c r="C1809" s="6">
        <v>777385</v>
      </c>
      <c r="D1809" s="5" t="s">
        <v>175</v>
      </c>
      <c r="E1809" s="5" t="str">
        <f t="shared" si="96"/>
        <v>ACTISALUD-SALA CUNA-MARIA AUXILIADORA PERTUZ</v>
      </c>
      <c r="F1809" s="5" t="str">
        <f>"Descripcion: FONENDOSCOPIO DE DOS SERVICIOSULTIMAN CLASSI 11 REF. 2114 MARCA 3M MANGUERA COLOR NEGRO NEONATAL DM-0000347 Estado: Bueno Placa anterior: 000030240 Material:  Color:  Referencia:  Observacion:  Placa padre: Tipo adquisicion: Donacion"</f>
        <v>Descripcion: FONENDOSCOPIO DE DOS SERVICIOSULTIMAN CLASSI 11 REF. 2114 MARCA 3M MANGUERA COLOR NEGRO NEONATAL DM-0000347 Estado: Bueno Placa anterior: 000030240 Material:  Color:  Referencia:  Observacion:  Placa padre: Tipo adquisicion: Donacion</v>
      </c>
      <c r="G1809" s="5" t="str">
        <f>"3M NEONATAL"</f>
        <v>3M NEONATAL</v>
      </c>
    </row>
    <row r="1810" spans="1:7" ht="58.5" customHeight="1" x14ac:dyDescent="0.25">
      <c r="A1810" s="5" t="str">
        <f>"H0021894"</f>
        <v>H0021894</v>
      </c>
      <c r="B1810" s="5" t="str">
        <f>"FONENDOSCOPIO (ESTETOSCOPIO) DE 2 SERVICIOS"</f>
        <v>FONENDOSCOPIO (ESTETOSCOPIO) DE 2 SERVICIOS</v>
      </c>
      <c r="C1810" s="6">
        <v>777385</v>
      </c>
      <c r="D1810" s="5" t="s">
        <v>175</v>
      </c>
      <c r="E1810" s="5" t="str">
        <f t="shared" si="96"/>
        <v>ACTISALUD-SALA CUNA-MARIA AUXILIADORA PERTUZ</v>
      </c>
      <c r="F1810" s="5" t="str">
        <f>"Descripcion: FONENDOSCOPIO DE DOS SERVICIOSULTIMAN CLASSI 11 REF. 2114 MARCA 3M MANGUERA COLOR NEGRO NEONATAL DM-0000347 Estado: Bueno Placa anterior: 000030242 Material:  Color:  Referencia:  Observacion:  Placa padre: Tipo adquisicion: Donacion"</f>
        <v>Descripcion: FONENDOSCOPIO DE DOS SERVICIOSULTIMAN CLASSI 11 REF. 2114 MARCA 3M MANGUERA COLOR NEGRO NEONATAL DM-0000347 Estado: Bueno Placa anterior: 000030242 Material:  Color:  Referencia:  Observacion:  Placa padre: Tipo adquisicion: Donacion</v>
      </c>
      <c r="G1810" s="5" t="str">
        <f>"3M NEONATAL"</f>
        <v>3M NEONATAL</v>
      </c>
    </row>
    <row r="1811" spans="1:7" ht="58.5" customHeight="1" x14ac:dyDescent="0.25">
      <c r="A1811" s="5" t="str">
        <f>"H0022404"</f>
        <v>H0022404</v>
      </c>
      <c r="B1811" s="5" t="str">
        <f>"AIRE ACONDICIONADO TIPO SPLIT 9000 BTU"</f>
        <v>AIRE ACONDICIONADO TIPO SPLIT 9000 BTU</v>
      </c>
      <c r="C1811" s="6">
        <v>1100000</v>
      </c>
      <c r="D1811" s="5" t="s">
        <v>215</v>
      </c>
      <c r="E1811" s="5" t="str">
        <f t="shared" si="96"/>
        <v>ACTISALUD-SALA CUNA-MARIA AUXILIADORA PERTUZ</v>
      </c>
      <c r="F1811" s="5"/>
      <c r="G1811" s="5" t="str">
        <f>"EASC09F2MBHLW"</f>
        <v>EASC09F2MBHLW</v>
      </c>
    </row>
    <row r="1812" spans="1:7" ht="58.5" customHeight="1" x14ac:dyDescent="0.25">
      <c r="A1812" s="5" t="str">
        <f>"H0024218"</f>
        <v>H0024218</v>
      </c>
      <c r="B1812" s="5" t="str">
        <f>"SILLON RECLINABLE CON MECANISMO PARA RECLINAR"</f>
        <v>SILLON RECLINABLE CON MECANISMO PARA RECLINAR</v>
      </c>
      <c r="C1812" s="6">
        <v>720360</v>
      </c>
      <c r="D1812" s="5" t="s">
        <v>216</v>
      </c>
      <c r="E1812" s="5" t="str">
        <f t="shared" si="96"/>
        <v>ACTISALUD-SALA CUNA-MARIA AUXILIADORA PERTUZ</v>
      </c>
      <c r="F1812" s="5"/>
      <c r="G1812" s="5"/>
    </row>
    <row r="1813" spans="1:7" ht="58.5" customHeight="1" x14ac:dyDescent="0.25">
      <c r="A1813" s="5" t="str">
        <f>"H0024221"</f>
        <v>H0024221</v>
      </c>
      <c r="B1813" s="5" t="str">
        <f>"SILLON RECLINABLE CON MECANISMO PARA RECLINAR"</f>
        <v>SILLON RECLINABLE CON MECANISMO PARA RECLINAR</v>
      </c>
      <c r="C1813" s="6">
        <v>720360</v>
      </c>
      <c r="D1813" s="5" t="s">
        <v>216</v>
      </c>
      <c r="E1813" s="5" t="str">
        <f t="shared" si="96"/>
        <v>ACTISALUD-SALA CUNA-MARIA AUXILIADORA PERTUZ</v>
      </c>
      <c r="F1813" s="5"/>
      <c r="G1813" s="5"/>
    </row>
    <row r="1814" spans="1:7" ht="58.5" customHeight="1" x14ac:dyDescent="0.25">
      <c r="A1814" s="5" t="str">
        <f>"H0024222"</f>
        <v>H0024222</v>
      </c>
      <c r="B1814" s="5" t="str">
        <f>"SILLON RECLINABLE CON MECANISMO PARA RECLINAR"</f>
        <v>SILLON RECLINABLE CON MECANISMO PARA RECLINAR</v>
      </c>
      <c r="C1814" s="6">
        <v>720360</v>
      </c>
      <c r="D1814" s="5" t="s">
        <v>216</v>
      </c>
      <c r="E1814" s="5" t="str">
        <f t="shared" si="96"/>
        <v>ACTISALUD-SALA CUNA-MARIA AUXILIADORA PERTUZ</v>
      </c>
      <c r="F1814" s="5"/>
      <c r="G1814" s="5"/>
    </row>
    <row r="1815" spans="1:7" ht="58.5" customHeight="1" x14ac:dyDescent="0.25">
      <c r="A1815" s="5" t="str">
        <f>"H0024223"</f>
        <v>H0024223</v>
      </c>
      <c r="B1815" s="5" t="str">
        <f>"SILLON RECLINABLE CON MECANISMO PARA RECLINAR"</f>
        <v>SILLON RECLINABLE CON MECANISMO PARA RECLINAR</v>
      </c>
      <c r="C1815" s="6">
        <v>720360</v>
      </c>
      <c r="D1815" s="5" t="s">
        <v>216</v>
      </c>
      <c r="E1815" s="5" t="str">
        <f t="shared" si="96"/>
        <v>ACTISALUD-SALA CUNA-MARIA AUXILIADORA PERTUZ</v>
      </c>
      <c r="F1815" s="5"/>
      <c r="G1815" s="5"/>
    </row>
    <row r="1816" spans="1:7" ht="58.5" customHeight="1" x14ac:dyDescent="0.25">
      <c r="A1816" s="5" t="str">
        <f>"H0024224"</f>
        <v>H0024224</v>
      </c>
      <c r="B1816" s="5" t="str">
        <f>"SILLON RECLINABLE CON MECANISMO PARA RECLINAR"</f>
        <v>SILLON RECLINABLE CON MECANISMO PARA RECLINAR</v>
      </c>
      <c r="C1816" s="6">
        <v>720360</v>
      </c>
      <c r="D1816" s="5" t="s">
        <v>216</v>
      </c>
      <c r="E1816" s="5" t="str">
        <f t="shared" si="96"/>
        <v>ACTISALUD-SALA CUNA-MARIA AUXILIADORA PERTUZ</v>
      </c>
      <c r="F1816" s="5"/>
      <c r="G1816" s="5"/>
    </row>
    <row r="1817" spans="1:7" ht="58.5" customHeight="1" x14ac:dyDescent="0.25">
      <c r="A1817" s="5" t="str">
        <f>"H0024225"</f>
        <v>H0024225</v>
      </c>
      <c r="B1817" s="5" t="s">
        <v>217</v>
      </c>
      <c r="C1817" s="6">
        <v>8676800</v>
      </c>
      <c r="D1817" s="5" t="s">
        <v>216</v>
      </c>
      <c r="E1817" s="5" t="str">
        <f t="shared" si="96"/>
        <v>ACTISALUD-SALA CUNA-MARIA AUXILIADORA PERTUZ</v>
      </c>
      <c r="F1817" s="5"/>
      <c r="G1817" s="5"/>
    </row>
    <row r="1818" spans="1:7" ht="58.5" customHeight="1" x14ac:dyDescent="0.25">
      <c r="A1818" s="5" t="str">
        <f>"H0024226"</f>
        <v>H0024226</v>
      </c>
      <c r="B1818" s="5" t="s">
        <v>217</v>
      </c>
      <c r="C1818" s="6">
        <v>8676800</v>
      </c>
      <c r="D1818" s="5" t="s">
        <v>216</v>
      </c>
      <c r="E1818" s="5" t="str">
        <f t="shared" ref="E1818:E1849" si="97">"ACTISALUD-SALA CUNA-MARIA AUXILIADORA PERTUZ"</f>
        <v>ACTISALUD-SALA CUNA-MARIA AUXILIADORA PERTUZ</v>
      </c>
      <c r="F1818" s="5"/>
      <c r="G1818" s="5"/>
    </row>
    <row r="1819" spans="1:7" ht="58.5" customHeight="1" x14ac:dyDescent="0.25">
      <c r="A1819" s="5" t="str">
        <f>"H0024227"</f>
        <v>H0024227</v>
      </c>
      <c r="B1819" s="5" t="str">
        <f>"NEOPUFF RD900ASU.Soporte para neopuff kit de mascaras circuito para neopuff (caja x10)"</f>
        <v>NEOPUFF RD900ASU.Soporte para neopuff kit de mascaras circuito para neopuff (caja x10)</v>
      </c>
      <c r="C1819" s="6">
        <v>8352000</v>
      </c>
      <c r="D1819" s="5" t="s">
        <v>216</v>
      </c>
      <c r="E1819" s="5" t="str">
        <f t="shared" si="97"/>
        <v>ACTISALUD-SALA CUNA-MARIA AUXILIADORA PERTUZ</v>
      </c>
      <c r="F1819" s="5"/>
      <c r="G1819" s="5"/>
    </row>
    <row r="1820" spans="1:7" ht="58.5" customHeight="1" x14ac:dyDescent="0.25">
      <c r="A1820" s="5" t="str">
        <f>"H0024228"</f>
        <v>H0024228</v>
      </c>
      <c r="B1820" s="5" t="str">
        <f>"AIRE ACONDICIONADO 18000 BTU"</f>
        <v>AIRE ACONDICIONADO 18000 BTU</v>
      </c>
      <c r="C1820" s="6">
        <v>3382560</v>
      </c>
      <c r="D1820" s="5" t="s">
        <v>216</v>
      </c>
      <c r="E1820" s="5" t="str">
        <f t="shared" si="97"/>
        <v>ACTISALUD-SALA CUNA-MARIA AUXILIADORA PERTUZ</v>
      </c>
      <c r="F1820" s="5"/>
      <c r="G1820" s="5"/>
    </row>
    <row r="1821" spans="1:7" ht="58.5" customHeight="1" x14ac:dyDescent="0.25">
      <c r="A1821" s="5" t="str">
        <f>"H0024230"</f>
        <v>H0024230</v>
      </c>
      <c r="B1821" s="5" t="str">
        <f>"LAMPARA DE CALOR RADIANTE.Lampara HKN9010"</f>
        <v>LAMPARA DE CALOR RADIANTE.Lampara HKN9010</v>
      </c>
      <c r="C1821" s="6">
        <v>11595360</v>
      </c>
      <c r="D1821" s="5" t="s">
        <v>216</v>
      </c>
      <c r="E1821" s="5" t="str">
        <f t="shared" si="97"/>
        <v>ACTISALUD-SALA CUNA-MARIA AUXILIADORA PERTUZ</v>
      </c>
      <c r="F1821" s="5"/>
      <c r="G1821" s="5"/>
    </row>
    <row r="1822" spans="1:7" ht="58.5" customHeight="1" x14ac:dyDescent="0.25">
      <c r="A1822" s="5" t="str">
        <f>"H0024231"</f>
        <v>H0024231</v>
      </c>
      <c r="B1822" s="5" t="str">
        <f>"LAMPARA DE FOTOTERAPIA XHZ90L (Lampara de fototerapia tipo LED,Advanced)"</f>
        <v>LAMPARA DE FOTOTERAPIA XHZ90L (Lampara de fototerapia tipo LED,Advanced)</v>
      </c>
      <c r="C1822" s="6">
        <v>4646960</v>
      </c>
      <c r="D1822" s="5" t="s">
        <v>218</v>
      </c>
      <c r="E1822" s="5" t="str">
        <f t="shared" si="97"/>
        <v>ACTISALUD-SALA CUNA-MARIA AUXILIADORA PERTUZ</v>
      </c>
      <c r="F1822" s="5"/>
      <c r="G1822" s="5"/>
    </row>
    <row r="1823" spans="1:7" ht="58.5" customHeight="1" x14ac:dyDescent="0.25">
      <c r="A1823" s="5" t="str">
        <f>"H0024232"</f>
        <v>H0024232</v>
      </c>
      <c r="B1823" s="5" t="str">
        <f>"LAMPARA DE FOTOTERAPIA XHZ90L (Lampara de fototerapia tipo LED,Advanced)"</f>
        <v>LAMPARA DE FOTOTERAPIA XHZ90L (Lampara de fototerapia tipo LED,Advanced)</v>
      </c>
      <c r="C1823" s="6">
        <v>4646960</v>
      </c>
      <c r="D1823" s="5" t="s">
        <v>216</v>
      </c>
      <c r="E1823" s="5" t="str">
        <f t="shared" si="97"/>
        <v>ACTISALUD-SALA CUNA-MARIA AUXILIADORA PERTUZ</v>
      </c>
      <c r="F1823" s="5"/>
      <c r="G1823" s="5"/>
    </row>
    <row r="1824" spans="1:7" ht="58.5" customHeight="1" x14ac:dyDescent="0.25">
      <c r="A1824" s="5" t="str">
        <f>"H0024233"</f>
        <v>H0024233</v>
      </c>
      <c r="B1824" s="5" t="str">
        <f>"LAMPARA DE FOTOTERAPIA XHZ90L (Lampara de fototerapia tipo LED,Advanced)"</f>
        <v>LAMPARA DE FOTOTERAPIA XHZ90L (Lampara de fototerapia tipo LED,Advanced)</v>
      </c>
      <c r="C1824" s="6">
        <v>4646960</v>
      </c>
      <c r="D1824" s="5" t="s">
        <v>216</v>
      </c>
      <c r="E1824" s="5" t="str">
        <f t="shared" si="97"/>
        <v>ACTISALUD-SALA CUNA-MARIA AUXILIADORA PERTUZ</v>
      </c>
      <c r="F1824" s="5"/>
      <c r="G1824" s="5"/>
    </row>
    <row r="1825" spans="1:7" ht="58.5" customHeight="1" x14ac:dyDescent="0.25">
      <c r="A1825" s="5" t="str">
        <f>"H0024234"</f>
        <v>H0024234</v>
      </c>
      <c r="B1825" s="5" t="str">
        <f>"LAMPARA DE FOTOTERAPIA XHZ90L (Lampara de fototerapia tipo LED,Advanced)"</f>
        <v>LAMPARA DE FOTOTERAPIA XHZ90L (Lampara de fototerapia tipo LED,Advanced)</v>
      </c>
      <c r="C1825" s="6">
        <v>4646960</v>
      </c>
      <c r="D1825" s="5" t="s">
        <v>216</v>
      </c>
      <c r="E1825" s="5" t="str">
        <f t="shared" si="97"/>
        <v>ACTISALUD-SALA CUNA-MARIA AUXILIADORA PERTUZ</v>
      </c>
      <c r="F1825" s="5"/>
      <c r="G1825" s="5"/>
    </row>
    <row r="1826" spans="1:7" ht="58.5" customHeight="1" x14ac:dyDescent="0.25">
      <c r="A1826" s="5" t="str">
        <f>"H0024235"</f>
        <v>H0024235</v>
      </c>
      <c r="B1826" s="5" t="str">
        <f>"LAMPARA DE FOTOTERAPIA XHZ90L (Lampara de fototerapia tipo LED,Advanced)"</f>
        <v>LAMPARA DE FOTOTERAPIA XHZ90L (Lampara de fototerapia tipo LED,Advanced)</v>
      </c>
      <c r="C1826" s="6">
        <v>4646960</v>
      </c>
      <c r="D1826" s="5" t="s">
        <v>216</v>
      </c>
      <c r="E1826" s="5" t="str">
        <f t="shared" si="97"/>
        <v>ACTISALUD-SALA CUNA-MARIA AUXILIADORA PERTUZ</v>
      </c>
      <c r="F1826" s="5"/>
      <c r="G1826" s="5"/>
    </row>
    <row r="1827" spans="1:7" ht="58.5" customHeight="1" x14ac:dyDescent="0.25">
      <c r="A1827" s="5" t="str">
        <f>"H0024236"</f>
        <v>H0024236</v>
      </c>
      <c r="B1827" s="5" t="str">
        <f>"INCUBADORA YP 90.Incubadora o cuna (servocontrolada)"</f>
        <v>INCUBADORA YP 90.Incubadora o cuna (servocontrolada)</v>
      </c>
      <c r="C1827" s="6">
        <v>18560000</v>
      </c>
      <c r="D1827" s="5" t="s">
        <v>216</v>
      </c>
      <c r="E1827" s="5" t="str">
        <f t="shared" si="97"/>
        <v>ACTISALUD-SALA CUNA-MARIA AUXILIADORA PERTUZ</v>
      </c>
      <c r="F1827" s="5"/>
      <c r="G1827" s="5"/>
    </row>
    <row r="1828" spans="1:7" ht="58.5" customHeight="1" x14ac:dyDescent="0.25">
      <c r="A1828" s="5" t="str">
        <f>"H0024238"</f>
        <v>H0024238</v>
      </c>
      <c r="B1828" s="5" t="str">
        <f>"INCUBADORA YP 90.Incubadora o cuna (servocontrolada)"</f>
        <v>INCUBADORA YP 90.Incubadora o cuna (servocontrolada)</v>
      </c>
      <c r="C1828" s="6">
        <v>18560000</v>
      </c>
      <c r="D1828" s="5" t="s">
        <v>216</v>
      </c>
      <c r="E1828" s="5" t="str">
        <f t="shared" si="97"/>
        <v>ACTISALUD-SALA CUNA-MARIA AUXILIADORA PERTUZ</v>
      </c>
      <c r="F1828" s="5"/>
      <c r="G1828" s="5"/>
    </row>
    <row r="1829" spans="1:7" ht="58.5" customHeight="1" x14ac:dyDescent="0.25">
      <c r="A1829" s="5" t="str">
        <f>"H0024239"</f>
        <v>H0024239</v>
      </c>
      <c r="B1829" s="5" t="str">
        <f>"INCUBADORA YP 90.Incubadora o cuna (servocontrolada)"</f>
        <v>INCUBADORA YP 90.Incubadora o cuna (servocontrolada)</v>
      </c>
      <c r="C1829" s="6">
        <v>18560000</v>
      </c>
      <c r="D1829" s="5" t="s">
        <v>216</v>
      </c>
      <c r="E1829" s="5" t="str">
        <f t="shared" si="97"/>
        <v>ACTISALUD-SALA CUNA-MARIA AUXILIADORA PERTUZ</v>
      </c>
      <c r="F1829" s="5"/>
      <c r="G1829" s="5"/>
    </row>
    <row r="1830" spans="1:7" ht="58.5" customHeight="1" x14ac:dyDescent="0.25">
      <c r="A1830" s="5" t="str">
        <f>"H0024240"</f>
        <v>H0024240</v>
      </c>
      <c r="B1830" s="5" t="str">
        <f>"INCUBADORA YP 90.Incubadora o cuna (servocontrolada)"</f>
        <v>INCUBADORA YP 90.Incubadora o cuna (servocontrolada)</v>
      </c>
      <c r="C1830" s="6">
        <v>18560000</v>
      </c>
      <c r="D1830" s="5" t="s">
        <v>219</v>
      </c>
      <c r="E1830" s="5" t="str">
        <f t="shared" si="97"/>
        <v>ACTISALUD-SALA CUNA-MARIA AUXILIADORA PERTUZ</v>
      </c>
      <c r="F1830" s="5"/>
      <c r="G1830" s="5"/>
    </row>
    <row r="1831" spans="1:7" ht="58.5" customHeight="1" x14ac:dyDescent="0.25">
      <c r="A1831" s="5" t="str">
        <f>"H0024241"</f>
        <v>H0024241</v>
      </c>
      <c r="B1831" s="5" t="str">
        <f>"INCUBADORA YP 90.Incubadora o cuna (servocontrolada)"</f>
        <v>INCUBADORA YP 90.Incubadora o cuna (servocontrolada)</v>
      </c>
      <c r="C1831" s="6">
        <v>18560000</v>
      </c>
      <c r="D1831" s="5" t="s">
        <v>216</v>
      </c>
      <c r="E1831" s="5" t="str">
        <f t="shared" si="97"/>
        <v>ACTISALUD-SALA CUNA-MARIA AUXILIADORA PERTUZ</v>
      </c>
      <c r="F1831" s="5"/>
      <c r="G1831" s="5"/>
    </row>
    <row r="1832" spans="1:7" ht="58.5" customHeight="1" x14ac:dyDescent="0.25">
      <c r="A1832" s="5" t="str">
        <f>"H0024552"</f>
        <v>H0024552</v>
      </c>
      <c r="B183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32" s="6">
        <v>2600000</v>
      </c>
      <c r="D1832" s="5" t="s">
        <v>36</v>
      </c>
      <c r="E1832" s="5" t="str">
        <f t="shared" si="97"/>
        <v>ACTISALUD-SALA CUNA-MARIA AUXILIADORA PERTUZ</v>
      </c>
      <c r="F1832" s="5"/>
      <c r="G1832" s="5"/>
    </row>
    <row r="1833" spans="1:7" ht="58.5" customHeight="1" x14ac:dyDescent="0.25">
      <c r="A1833" s="5" t="str">
        <f>"H0024553"</f>
        <v>H0024553</v>
      </c>
      <c r="B183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33" s="6">
        <v>2600000</v>
      </c>
      <c r="D1833" s="5" t="s">
        <v>36</v>
      </c>
      <c r="E1833" s="5" t="str">
        <f t="shared" si="97"/>
        <v>ACTISALUD-SALA CUNA-MARIA AUXILIADORA PERTUZ</v>
      </c>
      <c r="F1833" s="5"/>
      <c r="G1833" s="5"/>
    </row>
    <row r="1834" spans="1:7" ht="58.5" customHeight="1" x14ac:dyDescent="0.25">
      <c r="A1834" s="5" t="str">
        <f>"H0024696"</f>
        <v>H0024696</v>
      </c>
      <c r="B1834" s="5" t="s">
        <v>217</v>
      </c>
      <c r="C1834" s="6">
        <v>8676800</v>
      </c>
      <c r="D1834" s="5" t="s">
        <v>9</v>
      </c>
      <c r="E1834" s="5" t="str">
        <f t="shared" si="97"/>
        <v>ACTISALUD-SALA CUNA-MARIA AUXILIADORA PERTUZ</v>
      </c>
      <c r="F1834" s="5"/>
      <c r="G1834" s="5"/>
    </row>
    <row r="1835" spans="1:7" ht="58.5" customHeight="1" x14ac:dyDescent="0.25">
      <c r="A1835" s="5" t="str">
        <f>"H0024697"</f>
        <v>H0024697</v>
      </c>
      <c r="B1835" s="5" t="s">
        <v>217</v>
      </c>
      <c r="C1835" s="6">
        <v>8676800</v>
      </c>
      <c r="D1835" s="5" t="s">
        <v>9</v>
      </c>
      <c r="E1835" s="5" t="str">
        <f t="shared" si="97"/>
        <v>ACTISALUD-SALA CUNA-MARIA AUXILIADORA PERTUZ</v>
      </c>
      <c r="F1835" s="5"/>
      <c r="G1835" s="5"/>
    </row>
    <row r="1836" spans="1:7" ht="58.5" customHeight="1" x14ac:dyDescent="0.25">
      <c r="A1836" s="5" t="str">
        <f>"H0024698"</f>
        <v>H0024698</v>
      </c>
      <c r="B1836" s="5" t="s">
        <v>217</v>
      </c>
      <c r="C1836" s="6">
        <v>8676800</v>
      </c>
      <c r="D1836" s="5" t="s">
        <v>9</v>
      </c>
      <c r="E1836" s="5" t="str">
        <f t="shared" si="97"/>
        <v>ACTISALUD-SALA CUNA-MARIA AUXILIADORA PERTUZ</v>
      </c>
      <c r="F1836" s="5"/>
      <c r="G1836" s="5"/>
    </row>
    <row r="1837" spans="1:7" ht="58.5" customHeight="1" x14ac:dyDescent="0.25">
      <c r="A1837" s="5" t="str">
        <f>"H0024699"</f>
        <v>H0024699</v>
      </c>
      <c r="B1837" s="5" t="str">
        <f>"SILLON RECLINABLE CON MECANISMO PARA RECLINAR"</f>
        <v>SILLON RECLINABLE CON MECANISMO PARA RECLINAR</v>
      </c>
      <c r="C1837" s="6">
        <v>720360</v>
      </c>
      <c r="D1837" s="5" t="s">
        <v>9</v>
      </c>
      <c r="E1837" s="5" t="str">
        <f t="shared" si="97"/>
        <v>ACTISALUD-SALA CUNA-MARIA AUXILIADORA PERTUZ</v>
      </c>
      <c r="F1837" s="5"/>
      <c r="G1837" s="5"/>
    </row>
    <row r="1838" spans="1:7" ht="58.5" customHeight="1" x14ac:dyDescent="0.25">
      <c r="A1838" s="5" t="str">
        <f>"h0025351"</f>
        <v>h0025351</v>
      </c>
      <c r="B183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38" s="6">
        <v>312156</v>
      </c>
      <c r="D1838" s="5" t="s">
        <v>10</v>
      </c>
      <c r="E1838" s="5" t="str">
        <f t="shared" si="97"/>
        <v>ACTISALUD-SALA CUNA-MARIA AUXILIADORA PERTUZ</v>
      </c>
      <c r="F1838" s="5"/>
      <c r="G1838" s="5"/>
    </row>
    <row r="1839" spans="1:7" ht="58.5" customHeight="1" x14ac:dyDescent="0.25">
      <c r="A1839" s="5" t="str">
        <f>"H0025398"</f>
        <v>H0025398</v>
      </c>
      <c r="B183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39" s="6">
        <v>312156</v>
      </c>
      <c r="D1839" s="5" t="s">
        <v>10</v>
      </c>
      <c r="E1839" s="5" t="str">
        <f t="shared" si="97"/>
        <v>ACTISALUD-SALA CUNA-MARIA AUXILIADORA PERTUZ</v>
      </c>
      <c r="F1839" s="5"/>
      <c r="G1839" s="5"/>
    </row>
    <row r="1840" spans="1:7" ht="58.5" customHeight="1" x14ac:dyDescent="0.25">
      <c r="A1840" s="5" t="str">
        <f>"H0025566"</f>
        <v>H0025566</v>
      </c>
      <c r="B1840" s="5" t="str">
        <f>"CAMARA DE HOOD NEONATAL"</f>
        <v>CAMARA DE HOOD NEONATAL</v>
      </c>
      <c r="C1840" s="6">
        <v>109634.8</v>
      </c>
      <c r="D1840" s="5" t="s">
        <v>180</v>
      </c>
      <c r="E1840" s="5" t="str">
        <f t="shared" si="97"/>
        <v>ACTISALUD-SALA CUNA-MARIA AUXILIADORA PERTUZ</v>
      </c>
      <c r="F1840" s="5"/>
      <c r="G1840" s="5"/>
    </row>
    <row r="1841" spans="1:7" ht="58.5" customHeight="1" x14ac:dyDescent="0.25">
      <c r="A1841" s="5" t="str">
        <f>"H0025567"</f>
        <v>H0025567</v>
      </c>
      <c r="B1841" s="5" t="str">
        <f>"CAMARA DE HOOD NEONATAL"</f>
        <v>CAMARA DE HOOD NEONATAL</v>
      </c>
      <c r="C1841" s="6">
        <v>109634.8</v>
      </c>
      <c r="D1841" s="5" t="s">
        <v>180</v>
      </c>
      <c r="E1841" s="5" t="str">
        <f t="shared" si="97"/>
        <v>ACTISALUD-SALA CUNA-MARIA AUXILIADORA PERTUZ</v>
      </c>
      <c r="F1841" s="5"/>
      <c r="G1841" s="5"/>
    </row>
    <row r="1842" spans="1:7" ht="58.5" customHeight="1" x14ac:dyDescent="0.25">
      <c r="A1842" s="5" t="str">
        <f>"H0025580"</f>
        <v>H0025580</v>
      </c>
      <c r="B1842" s="5" t="str">
        <f>"CAMARA DE HOOD PEQUENA"</f>
        <v>CAMARA DE HOOD PEQUENA</v>
      </c>
      <c r="C1842" s="6">
        <v>131699.67000000001</v>
      </c>
      <c r="D1842" s="5" t="s">
        <v>180</v>
      </c>
      <c r="E1842" s="5" t="str">
        <f t="shared" si="97"/>
        <v>ACTISALUD-SALA CUNA-MARIA AUXILIADORA PERTUZ</v>
      </c>
      <c r="F1842" s="5"/>
      <c r="G1842" s="5"/>
    </row>
    <row r="1843" spans="1:7" ht="58.5" customHeight="1" x14ac:dyDescent="0.25">
      <c r="A1843" s="5" t="str">
        <f>"H0025586"</f>
        <v>H0025586</v>
      </c>
      <c r="B1843" s="5" t="str">
        <f>"CAMARA DE HOOD MEDIANA"</f>
        <v>CAMARA DE HOOD MEDIANA</v>
      </c>
      <c r="C1843" s="6">
        <v>212902.91</v>
      </c>
      <c r="D1843" s="5" t="s">
        <v>180</v>
      </c>
      <c r="E1843" s="5" t="str">
        <f t="shared" si="97"/>
        <v>ACTISALUD-SALA CUNA-MARIA AUXILIADORA PERTUZ</v>
      </c>
      <c r="F1843" s="5"/>
      <c r="G1843" s="5"/>
    </row>
    <row r="1844" spans="1:7" ht="58.5" customHeight="1" x14ac:dyDescent="0.25">
      <c r="A1844" s="5" t="str">
        <f>"H0025698"</f>
        <v>H0025698</v>
      </c>
      <c r="B1844" s="5" t="str">
        <f>"NEVERA MINIBAR 115 LITROS CHALLENGER GRIS"</f>
        <v>NEVERA MINIBAR 115 LITROS CHALLENGER GRIS</v>
      </c>
      <c r="C1844" s="6">
        <v>790160</v>
      </c>
      <c r="D1844" s="5" t="s">
        <v>81</v>
      </c>
      <c r="E1844" s="5" t="str">
        <f t="shared" si="97"/>
        <v>ACTISALUD-SALA CUNA-MARIA AUXILIADORA PERTUZ</v>
      </c>
      <c r="F1844" s="5"/>
      <c r="G1844" s="5" t="str">
        <f>"CR152"</f>
        <v>CR152</v>
      </c>
    </row>
    <row r="1845" spans="1:7" ht="58.5" customHeight="1" x14ac:dyDescent="0.25">
      <c r="A1845" s="5" t="str">
        <f>"H0026086"</f>
        <v>H0026086</v>
      </c>
      <c r="B1845" s="5" t="s">
        <v>221</v>
      </c>
      <c r="C1845" s="6">
        <v>281763</v>
      </c>
      <c r="D1845" s="5" t="s">
        <v>220</v>
      </c>
      <c r="E1845" s="5" t="str">
        <f t="shared" si="97"/>
        <v>ACTISALUD-SALA CUNA-MARIA AUXILIADORA PERTUZ</v>
      </c>
      <c r="F1845" s="5"/>
      <c r="G1845" s="5"/>
    </row>
    <row r="1846" spans="1:7" ht="58.5" customHeight="1" x14ac:dyDescent="0.25">
      <c r="A1846" s="5" t="str">
        <f>"H0026795"</f>
        <v>H0026795</v>
      </c>
      <c r="B1846"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46" s="6">
        <v>3296300</v>
      </c>
      <c r="D1846" s="5" t="s">
        <v>37</v>
      </c>
      <c r="E1846" s="5" t="str">
        <f t="shared" si="97"/>
        <v>ACTISALUD-SALA CUNA-MARIA AUXILIADORA PERTUZ</v>
      </c>
      <c r="F1846" s="5"/>
      <c r="G1846" s="5"/>
    </row>
    <row r="1847" spans="1:7" ht="58.5" customHeight="1" x14ac:dyDescent="0.25">
      <c r="A1847" s="5" t="str">
        <f>"H0026922"</f>
        <v>H0026922</v>
      </c>
      <c r="B1847" s="5" t="str">
        <f t="shared" ref="B1847:B1868" si="98">"BOMBA DE INFUSION"</f>
        <v>BOMBA DE INFUSION</v>
      </c>
      <c r="C1847" s="6">
        <v>800000</v>
      </c>
      <c r="D1847" s="5" t="s">
        <v>79</v>
      </c>
      <c r="E1847" s="5" t="str">
        <f t="shared" si="97"/>
        <v>ACTISALUD-SALA CUNA-MARIA AUXILIADORA PERTUZ</v>
      </c>
      <c r="F1847" s="5"/>
      <c r="G1847" s="5"/>
    </row>
    <row r="1848" spans="1:7" ht="58.5" customHeight="1" x14ac:dyDescent="0.25">
      <c r="A1848" s="5" t="str">
        <f>"H0026923"</f>
        <v>H0026923</v>
      </c>
      <c r="B1848" s="5" t="str">
        <f t="shared" si="98"/>
        <v>BOMBA DE INFUSION</v>
      </c>
      <c r="C1848" s="6">
        <v>800000</v>
      </c>
      <c r="D1848" s="5" t="s">
        <v>79</v>
      </c>
      <c r="E1848" s="5" t="str">
        <f t="shared" si="97"/>
        <v>ACTISALUD-SALA CUNA-MARIA AUXILIADORA PERTUZ</v>
      </c>
      <c r="F1848" s="5"/>
      <c r="G1848" s="5"/>
    </row>
    <row r="1849" spans="1:7" ht="58.5" customHeight="1" x14ac:dyDescent="0.25">
      <c r="A1849" s="5" t="str">
        <f>"H0026924"</f>
        <v>H0026924</v>
      </c>
      <c r="B1849" s="5" t="str">
        <f t="shared" si="98"/>
        <v>BOMBA DE INFUSION</v>
      </c>
      <c r="C1849" s="6">
        <v>800000</v>
      </c>
      <c r="D1849" s="5" t="s">
        <v>79</v>
      </c>
      <c r="E1849" s="5" t="str">
        <f t="shared" si="97"/>
        <v>ACTISALUD-SALA CUNA-MARIA AUXILIADORA PERTUZ</v>
      </c>
      <c r="F1849" s="5"/>
      <c r="G1849" s="5"/>
    </row>
    <row r="1850" spans="1:7" ht="58.5" customHeight="1" x14ac:dyDescent="0.25">
      <c r="A1850" s="5" t="str">
        <f>"H0026925"</f>
        <v>H0026925</v>
      </c>
      <c r="B1850" s="5" t="str">
        <f t="shared" si="98"/>
        <v>BOMBA DE INFUSION</v>
      </c>
      <c r="C1850" s="6">
        <v>800000</v>
      </c>
      <c r="D1850" s="5" t="s">
        <v>79</v>
      </c>
      <c r="E1850" s="5" t="str">
        <f t="shared" ref="E1850:E1881" si="99">"ACTISALUD-SALA CUNA-MARIA AUXILIADORA PERTUZ"</f>
        <v>ACTISALUD-SALA CUNA-MARIA AUXILIADORA PERTUZ</v>
      </c>
      <c r="F1850" s="5"/>
      <c r="G1850" s="5"/>
    </row>
    <row r="1851" spans="1:7" ht="58.5" customHeight="1" x14ac:dyDescent="0.25">
      <c r="A1851" s="5" t="str">
        <f>"H0026927"</f>
        <v>H0026927</v>
      </c>
      <c r="B1851" s="5" t="str">
        <f t="shared" si="98"/>
        <v>BOMBA DE INFUSION</v>
      </c>
      <c r="C1851" s="6">
        <v>800000</v>
      </c>
      <c r="D1851" s="5" t="s">
        <v>79</v>
      </c>
      <c r="E1851" s="5" t="str">
        <f t="shared" si="99"/>
        <v>ACTISALUD-SALA CUNA-MARIA AUXILIADORA PERTUZ</v>
      </c>
      <c r="F1851" s="5"/>
      <c r="G1851" s="5"/>
    </row>
    <row r="1852" spans="1:7" ht="58.5" customHeight="1" x14ac:dyDescent="0.25">
      <c r="A1852" s="5" t="str">
        <f>"H0026928"</f>
        <v>H0026928</v>
      </c>
      <c r="B1852" s="5" t="str">
        <f t="shared" si="98"/>
        <v>BOMBA DE INFUSION</v>
      </c>
      <c r="C1852" s="6">
        <v>800000</v>
      </c>
      <c r="D1852" s="5" t="s">
        <v>79</v>
      </c>
      <c r="E1852" s="5" t="str">
        <f t="shared" si="99"/>
        <v>ACTISALUD-SALA CUNA-MARIA AUXILIADORA PERTUZ</v>
      </c>
      <c r="F1852" s="5"/>
      <c r="G1852" s="5"/>
    </row>
    <row r="1853" spans="1:7" ht="58.5" customHeight="1" x14ac:dyDescent="0.25">
      <c r="A1853" s="5" t="str">
        <f>"H0026929"</f>
        <v>H0026929</v>
      </c>
      <c r="B1853" s="5" t="str">
        <f t="shared" si="98"/>
        <v>BOMBA DE INFUSION</v>
      </c>
      <c r="C1853" s="6">
        <v>800000</v>
      </c>
      <c r="D1853" s="5" t="s">
        <v>79</v>
      </c>
      <c r="E1853" s="5" t="str">
        <f t="shared" si="99"/>
        <v>ACTISALUD-SALA CUNA-MARIA AUXILIADORA PERTUZ</v>
      </c>
      <c r="F1853" s="5"/>
      <c r="G1853" s="5"/>
    </row>
    <row r="1854" spans="1:7" ht="58.5" customHeight="1" x14ac:dyDescent="0.25">
      <c r="A1854" s="5" t="str">
        <f>"H0026930"</f>
        <v>H0026930</v>
      </c>
      <c r="B1854" s="5" t="str">
        <f t="shared" si="98"/>
        <v>BOMBA DE INFUSION</v>
      </c>
      <c r="C1854" s="6">
        <v>800000</v>
      </c>
      <c r="D1854" s="5" t="s">
        <v>79</v>
      </c>
      <c r="E1854" s="5" t="str">
        <f t="shared" si="99"/>
        <v>ACTISALUD-SALA CUNA-MARIA AUXILIADORA PERTUZ</v>
      </c>
      <c r="F1854" s="5"/>
      <c r="G1854" s="5"/>
    </row>
    <row r="1855" spans="1:7" ht="58.5" customHeight="1" x14ac:dyDescent="0.25">
      <c r="A1855" s="5" t="str">
        <f>"H0026932"</f>
        <v>H0026932</v>
      </c>
      <c r="B1855" s="5" t="str">
        <f t="shared" si="98"/>
        <v>BOMBA DE INFUSION</v>
      </c>
      <c r="C1855" s="6">
        <v>800000</v>
      </c>
      <c r="D1855" s="5" t="s">
        <v>79</v>
      </c>
      <c r="E1855" s="5" t="str">
        <f t="shared" si="99"/>
        <v>ACTISALUD-SALA CUNA-MARIA AUXILIADORA PERTUZ</v>
      </c>
      <c r="F1855" s="5"/>
      <c r="G1855" s="5"/>
    </row>
    <row r="1856" spans="1:7" ht="58.5" customHeight="1" x14ac:dyDescent="0.25">
      <c r="A1856" s="5" t="str">
        <f>"H0026933"</f>
        <v>H0026933</v>
      </c>
      <c r="B1856" s="5" t="str">
        <f t="shared" si="98"/>
        <v>BOMBA DE INFUSION</v>
      </c>
      <c r="C1856" s="6">
        <v>800000</v>
      </c>
      <c r="D1856" s="5" t="s">
        <v>79</v>
      </c>
      <c r="E1856" s="5" t="str">
        <f t="shared" si="99"/>
        <v>ACTISALUD-SALA CUNA-MARIA AUXILIADORA PERTUZ</v>
      </c>
      <c r="F1856" s="5"/>
      <c r="G1856" s="5"/>
    </row>
    <row r="1857" spans="1:7" ht="58.5" customHeight="1" x14ac:dyDescent="0.25">
      <c r="A1857" s="5" t="str">
        <f>"H0026934"</f>
        <v>H0026934</v>
      </c>
      <c r="B1857" s="5" t="str">
        <f t="shared" si="98"/>
        <v>BOMBA DE INFUSION</v>
      </c>
      <c r="C1857" s="6">
        <v>800000</v>
      </c>
      <c r="D1857" s="5" t="s">
        <v>79</v>
      </c>
      <c r="E1857" s="5" t="str">
        <f t="shared" si="99"/>
        <v>ACTISALUD-SALA CUNA-MARIA AUXILIADORA PERTUZ</v>
      </c>
      <c r="F1857" s="5"/>
      <c r="G1857" s="5"/>
    </row>
    <row r="1858" spans="1:7" ht="58.5" customHeight="1" x14ac:dyDescent="0.25">
      <c r="A1858" s="5" t="str">
        <f>"H0026935"</f>
        <v>H0026935</v>
      </c>
      <c r="B1858" s="5" t="str">
        <f t="shared" si="98"/>
        <v>BOMBA DE INFUSION</v>
      </c>
      <c r="C1858" s="6">
        <v>800000</v>
      </c>
      <c r="D1858" s="5" t="s">
        <v>79</v>
      </c>
      <c r="E1858" s="5" t="str">
        <f t="shared" si="99"/>
        <v>ACTISALUD-SALA CUNA-MARIA AUXILIADORA PERTUZ</v>
      </c>
      <c r="F1858" s="5"/>
      <c r="G1858" s="5"/>
    </row>
    <row r="1859" spans="1:7" ht="58.5" customHeight="1" x14ac:dyDescent="0.25">
      <c r="A1859" s="5" t="str">
        <f>"H0026936"</f>
        <v>H0026936</v>
      </c>
      <c r="B1859" s="5" t="str">
        <f t="shared" si="98"/>
        <v>BOMBA DE INFUSION</v>
      </c>
      <c r="C1859" s="6">
        <v>800000</v>
      </c>
      <c r="D1859" s="5" t="s">
        <v>79</v>
      </c>
      <c r="E1859" s="5" t="str">
        <f t="shared" si="99"/>
        <v>ACTISALUD-SALA CUNA-MARIA AUXILIADORA PERTUZ</v>
      </c>
      <c r="F1859" s="5"/>
      <c r="G1859" s="5"/>
    </row>
    <row r="1860" spans="1:7" ht="58.5" customHeight="1" x14ac:dyDescent="0.25">
      <c r="A1860" s="5" t="str">
        <f>"H0026937"</f>
        <v>H0026937</v>
      </c>
      <c r="B1860" s="5" t="str">
        <f t="shared" si="98"/>
        <v>BOMBA DE INFUSION</v>
      </c>
      <c r="C1860" s="6">
        <v>800000</v>
      </c>
      <c r="D1860" s="5" t="s">
        <v>79</v>
      </c>
      <c r="E1860" s="5" t="str">
        <f t="shared" si="99"/>
        <v>ACTISALUD-SALA CUNA-MARIA AUXILIADORA PERTUZ</v>
      </c>
      <c r="F1860" s="5"/>
      <c r="G1860" s="5"/>
    </row>
    <row r="1861" spans="1:7" ht="58.5" customHeight="1" x14ac:dyDescent="0.25">
      <c r="A1861" s="5" t="str">
        <f>"H0026938"</f>
        <v>H0026938</v>
      </c>
      <c r="B1861" s="5" t="str">
        <f t="shared" si="98"/>
        <v>BOMBA DE INFUSION</v>
      </c>
      <c r="C1861" s="6">
        <v>800000</v>
      </c>
      <c r="D1861" s="5" t="s">
        <v>79</v>
      </c>
      <c r="E1861" s="5" t="str">
        <f t="shared" si="99"/>
        <v>ACTISALUD-SALA CUNA-MARIA AUXILIADORA PERTUZ</v>
      </c>
      <c r="F1861" s="5"/>
      <c r="G1861" s="5"/>
    </row>
    <row r="1862" spans="1:7" ht="58.5" customHeight="1" x14ac:dyDescent="0.25">
      <c r="A1862" s="5" t="str">
        <f>"H0026939"</f>
        <v>H0026939</v>
      </c>
      <c r="B1862" s="5" t="str">
        <f t="shared" si="98"/>
        <v>BOMBA DE INFUSION</v>
      </c>
      <c r="C1862" s="6">
        <v>800000</v>
      </c>
      <c r="D1862" s="5" t="s">
        <v>79</v>
      </c>
      <c r="E1862" s="5" t="str">
        <f t="shared" si="99"/>
        <v>ACTISALUD-SALA CUNA-MARIA AUXILIADORA PERTUZ</v>
      </c>
      <c r="F1862" s="5"/>
      <c r="G1862" s="5"/>
    </row>
    <row r="1863" spans="1:7" ht="58.5" customHeight="1" x14ac:dyDescent="0.25">
      <c r="A1863" s="5" t="str">
        <f>"H0026940"</f>
        <v>H0026940</v>
      </c>
      <c r="B1863" s="5" t="str">
        <f t="shared" si="98"/>
        <v>BOMBA DE INFUSION</v>
      </c>
      <c r="C1863" s="6">
        <v>800000</v>
      </c>
      <c r="D1863" s="5" t="s">
        <v>79</v>
      </c>
      <c r="E1863" s="5" t="str">
        <f t="shared" si="99"/>
        <v>ACTISALUD-SALA CUNA-MARIA AUXILIADORA PERTUZ</v>
      </c>
      <c r="F1863" s="5"/>
      <c r="G1863" s="5"/>
    </row>
    <row r="1864" spans="1:7" ht="58.5" customHeight="1" x14ac:dyDescent="0.25">
      <c r="A1864" s="5" t="str">
        <f>"H0026941"</f>
        <v>H0026941</v>
      </c>
      <c r="B1864" s="5" t="str">
        <f t="shared" si="98"/>
        <v>BOMBA DE INFUSION</v>
      </c>
      <c r="C1864" s="6">
        <v>800000</v>
      </c>
      <c r="D1864" s="5" t="s">
        <v>79</v>
      </c>
      <c r="E1864" s="5" t="str">
        <f t="shared" si="99"/>
        <v>ACTISALUD-SALA CUNA-MARIA AUXILIADORA PERTUZ</v>
      </c>
      <c r="F1864" s="5"/>
      <c r="G1864" s="5"/>
    </row>
    <row r="1865" spans="1:7" ht="58.5" customHeight="1" x14ac:dyDescent="0.25">
      <c r="A1865" s="5" t="str">
        <f>"H0026942"</f>
        <v>H0026942</v>
      </c>
      <c r="B1865" s="5" t="str">
        <f t="shared" si="98"/>
        <v>BOMBA DE INFUSION</v>
      </c>
      <c r="C1865" s="6">
        <v>800000</v>
      </c>
      <c r="D1865" s="5" t="s">
        <v>222</v>
      </c>
      <c r="E1865" s="5" t="str">
        <f t="shared" si="99"/>
        <v>ACTISALUD-SALA CUNA-MARIA AUXILIADORA PERTUZ</v>
      </c>
      <c r="F1865" s="5"/>
      <c r="G1865" s="5"/>
    </row>
    <row r="1866" spans="1:7" ht="58.5" customHeight="1" x14ac:dyDescent="0.25">
      <c r="A1866" s="5" t="str">
        <f>"H0026943"</f>
        <v>H0026943</v>
      </c>
      <c r="B1866" s="5" t="str">
        <f t="shared" si="98"/>
        <v>BOMBA DE INFUSION</v>
      </c>
      <c r="C1866" s="6">
        <v>800000</v>
      </c>
      <c r="D1866" s="5" t="s">
        <v>79</v>
      </c>
      <c r="E1866" s="5" t="str">
        <f t="shared" si="99"/>
        <v>ACTISALUD-SALA CUNA-MARIA AUXILIADORA PERTUZ</v>
      </c>
      <c r="F1866" s="5"/>
      <c r="G1866" s="5"/>
    </row>
    <row r="1867" spans="1:7" ht="58.5" customHeight="1" x14ac:dyDescent="0.25">
      <c r="A1867" s="5" t="str">
        <f>"H0026944"</f>
        <v>H0026944</v>
      </c>
      <c r="B1867" s="5" t="str">
        <f t="shared" si="98"/>
        <v>BOMBA DE INFUSION</v>
      </c>
      <c r="C1867" s="6">
        <v>800000</v>
      </c>
      <c r="D1867" s="5" t="s">
        <v>79</v>
      </c>
      <c r="E1867" s="5" t="str">
        <f t="shared" si="99"/>
        <v>ACTISALUD-SALA CUNA-MARIA AUXILIADORA PERTUZ</v>
      </c>
      <c r="F1867" s="5"/>
      <c r="G1867" s="5"/>
    </row>
    <row r="1868" spans="1:7" ht="58.5" customHeight="1" x14ac:dyDescent="0.25">
      <c r="A1868" s="5" t="str">
        <f>"H0027072"</f>
        <v>H0027072</v>
      </c>
      <c r="B1868" s="5" t="str">
        <f t="shared" si="98"/>
        <v>BOMBA DE INFUSION</v>
      </c>
      <c r="C1868" s="6">
        <v>1200000</v>
      </c>
      <c r="D1868" s="5" t="s">
        <v>81</v>
      </c>
      <c r="E1868" s="5" t="str">
        <f t="shared" si="99"/>
        <v>ACTISALUD-SALA CUNA-MARIA AUXILIADORA PERTUZ</v>
      </c>
      <c r="F1868" s="5"/>
      <c r="G1868" s="5"/>
    </row>
    <row r="1869" spans="1:7" ht="58.5" customHeight="1" x14ac:dyDescent="0.25">
      <c r="A1869" s="5" t="str">
        <f>"H0027129"</f>
        <v>H0027129</v>
      </c>
      <c r="B1869" s="5" t="str">
        <f>"SOPORTE DE PARED (BRAZO) PARA MONITOR DE SIGNOS VITALES CON ALTURA VARIABLE Y ORGANIZADOR DE CABLES"</f>
        <v>SOPORTE DE PARED (BRAZO) PARA MONITOR DE SIGNOS VITALES CON ALTURA VARIABLE Y ORGANIZADOR DE CABLES</v>
      </c>
      <c r="C1869" s="6">
        <v>702100</v>
      </c>
      <c r="D1869" s="5" t="s">
        <v>81</v>
      </c>
      <c r="E1869" s="5" t="str">
        <f t="shared" si="99"/>
        <v>ACTISALUD-SALA CUNA-MARIA AUXILIADORA PERTUZ</v>
      </c>
      <c r="F1869" s="5"/>
      <c r="G1869" s="5"/>
    </row>
    <row r="1870" spans="1:7" ht="58.5" customHeight="1" x14ac:dyDescent="0.25">
      <c r="A1870" s="5" t="str">
        <f>"H0027217"</f>
        <v>H0027217</v>
      </c>
      <c r="B187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70" s="6">
        <v>2641800</v>
      </c>
      <c r="D1870" s="5" t="s">
        <v>38</v>
      </c>
      <c r="E1870" s="5" t="str">
        <f t="shared" si="99"/>
        <v>ACTISALUD-SALA CUNA-MARIA AUXILIADORA PERTUZ</v>
      </c>
      <c r="F1870" s="5"/>
      <c r="G1870" s="5"/>
    </row>
    <row r="1871" spans="1:7" ht="58.5" customHeight="1" x14ac:dyDescent="0.25">
      <c r="A1871" s="5" t="str">
        <f>"H0027343"</f>
        <v>H0027343</v>
      </c>
      <c r="B1871" s="5" t="str">
        <f>"DESFRIBILADOR"</f>
        <v>DESFRIBILADOR</v>
      </c>
      <c r="C1871" s="6">
        <v>15300000.140000001</v>
      </c>
      <c r="D1871" s="5" t="s">
        <v>151</v>
      </c>
      <c r="E1871" s="5" t="str">
        <f t="shared" si="99"/>
        <v>ACTISALUD-SALA CUNA-MARIA AUXILIADORA PERTUZ</v>
      </c>
      <c r="F1871" s="5"/>
      <c r="G1871" s="5" t="str">
        <f>"BENEHEART D3"</f>
        <v>BENEHEART D3</v>
      </c>
    </row>
    <row r="1872" spans="1:7" ht="58.5" customHeight="1" x14ac:dyDescent="0.25">
      <c r="A1872" s="5" t="str">
        <f>"H0027482"</f>
        <v>H0027482</v>
      </c>
      <c r="B1872" s="5" t="str">
        <f>"LECTOR DE HUELLAS DIGITALES"</f>
        <v>LECTOR DE HUELLAS DIGITALES</v>
      </c>
      <c r="C1872" s="6">
        <v>234000.41</v>
      </c>
      <c r="D1872" s="5" t="s">
        <v>83</v>
      </c>
      <c r="E1872" s="5" t="str">
        <f t="shared" si="99"/>
        <v>ACTISALUD-SALA CUNA-MARIA AUXILIADORA PERTUZ</v>
      </c>
      <c r="F1872" s="5"/>
      <c r="G1872" s="5"/>
    </row>
    <row r="1873" spans="1:7" ht="58.5" customHeight="1" x14ac:dyDescent="0.25">
      <c r="A1873" s="5" t="str">
        <f>"H0027483"</f>
        <v>H0027483</v>
      </c>
      <c r="B1873" s="5" t="str">
        <f>"LECTOR DE HUELLAS DIGITALES"</f>
        <v>LECTOR DE HUELLAS DIGITALES</v>
      </c>
      <c r="C1873" s="6">
        <v>234000.41</v>
      </c>
      <c r="D1873" s="5" t="s">
        <v>83</v>
      </c>
      <c r="E1873" s="5" t="str">
        <f t="shared" si="99"/>
        <v>ACTISALUD-SALA CUNA-MARIA AUXILIADORA PERTUZ</v>
      </c>
      <c r="F1873" s="5"/>
      <c r="G1873" s="5"/>
    </row>
    <row r="1874" spans="1:7" ht="58.5" customHeight="1" x14ac:dyDescent="0.25">
      <c r="A1874" s="5" t="str">
        <f>"H0027484"</f>
        <v>H0027484</v>
      </c>
      <c r="B1874" s="5" t="str">
        <f>"LECTOR DE HUELLAS DIGITALES"</f>
        <v>LECTOR DE HUELLAS DIGITALES</v>
      </c>
      <c r="C1874" s="6">
        <v>234000.41</v>
      </c>
      <c r="D1874" s="5" t="s">
        <v>83</v>
      </c>
      <c r="E1874" s="5" t="str">
        <f t="shared" si="99"/>
        <v>ACTISALUD-SALA CUNA-MARIA AUXILIADORA PERTUZ</v>
      </c>
      <c r="F1874" s="5"/>
      <c r="G1874" s="5"/>
    </row>
    <row r="1875" spans="1:7" ht="58.5" customHeight="1" x14ac:dyDescent="0.25">
      <c r="A1875" s="5" t="str">
        <f>"H0027609"</f>
        <v>H0027609</v>
      </c>
      <c r="B1875" s="5" t="str">
        <f>"LARINGOSCOPIO PEDIATRICO"</f>
        <v>LARINGOSCOPIO PEDIATRICO</v>
      </c>
      <c r="C1875" s="6">
        <v>913920</v>
      </c>
      <c r="D1875" s="5" t="s">
        <v>84</v>
      </c>
      <c r="E1875" s="5" t="str">
        <f t="shared" si="99"/>
        <v>ACTISALUD-SALA CUNA-MARIA AUXILIADORA PERTUZ</v>
      </c>
      <c r="F1875" s="5"/>
      <c r="G1875" s="5"/>
    </row>
    <row r="1876" spans="1:7" ht="58.5" customHeight="1" x14ac:dyDescent="0.25">
      <c r="A1876" s="5" t="str">
        <f>"H0029059"</f>
        <v>H0029059</v>
      </c>
      <c r="B1876" s="5" t="str">
        <f>"SOPORTE PEDESTAL METALICO MONITOR FETAL"</f>
        <v>SOPORTE PEDESTAL METALICO MONITOR FETAL</v>
      </c>
      <c r="C1876" s="6">
        <v>730303</v>
      </c>
      <c r="D1876" s="5" t="s">
        <v>88</v>
      </c>
      <c r="E1876" s="5" t="str">
        <f t="shared" si="99"/>
        <v>ACTISALUD-SALA CUNA-MARIA AUXILIADORA PERTUZ</v>
      </c>
      <c r="F1876" s="5"/>
      <c r="G1876" s="5"/>
    </row>
    <row r="1877" spans="1:7" ht="58.5" customHeight="1" x14ac:dyDescent="0.25">
      <c r="A1877" s="5" t="str">
        <f>"H0029062"</f>
        <v>H0029062</v>
      </c>
      <c r="B1877" s="5" t="str">
        <f>"SOPORTE PEDESTAL METALICO MONITOR FETAL"</f>
        <v>SOPORTE PEDESTAL METALICO MONITOR FETAL</v>
      </c>
      <c r="C1877" s="6">
        <v>730303</v>
      </c>
      <c r="D1877" s="5" t="s">
        <v>88</v>
      </c>
      <c r="E1877" s="5" t="str">
        <f t="shared" si="99"/>
        <v>ACTISALUD-SALA CUNA-MARIA AUXILIADORA PERTUZ</v>
      </c>
      <c r="F1877" s="5"/>
      <c r="G1877" s="5"/>
    </row>
    <row r="1878" spans="1:7" ht="58.5" customHeight="1" x14ac:dyDescent="0.25">
      <c r="A1878" s="5" t="str">
        <f>"H0029126"</f>
        <v>H0029126</v>
      </c>
      <c r="B1878" s="5" t="str">
        <f>"LAMPARA DE FOTOTERAPIA XHZ90L (Lampara de fototerapia tipo LED,Advanced)"</f>
        <v>LAMPARA DE FOTOTERAPIA XHZ90L (Lampara de fototerapia tipo LED,Advanced)</v>
      </c>
      <c r="C1878" s="6">
        <v>8358322</v>
      </c>
      <c r="D1878" s="5" t="s">
        <v>223</v>
      </c>
      <c r="E1878" s="5" t="str">
        <f t="shared" si="99"/>
        <v>ACTISALUD-SALA CUNA-MARIA AUXILIADORA PERTUZ</v>
      </c>
      <c r="F1878" s="5"/>
      <c r="G1878" s="5"/>
    </row>
    <row r="1879" spans="1:7" ht="58.5" customHeight="1" x14ac:dyDescent="0.25">
      <c r="A1879" s="5" t="str">
        <f>"H0029171"</f>
        <v>H0029171</v>
      </c>
      <c r="B1879" s="5" t="str">
        <f>"MONITOR DE SIGNOS VITALES"</f>
        <v>MONITOR DE SIGNOS VITALES</v>
      </c>
      <c r="C1879" s="6">
        <v>5950000</v>
      </c>
      <c r="D1879" s="5" t="s">
        <v>13</v>
      </c>
      <c r="E1879" s="5" t="str">
        <f t="shared" si="99"/>
        <v>ACTISALUD-SALA CUNA-MARIA AUXILIADORA PERTUZ</v>
      </c>
      <c r="F1879" s="5"/>
      <c r="G1879" s="5"/>
    </row>
    <row r="1880" spans="1:7" ht="58.5" customHeight="1" x14ac:dyDescent="0.25">
      <c r="A1880" s="5" t="str">
        <f>"H0029178"</f>
        <v>H0029178</v>
      </c>
      <c r="B1880" s="5" t="str">
        <f>"MONITOR DE SIGNOS VITALES"</f>
        <v>MONITOR DE SIGNOS VITALES</v>
      </c>
      <c r="C1880" s="6">
        <v>5950000</v>
      </c>
      <c r="D1880" s="5" t="s">
        <v>13</v>
      </c>
      <c r="E1880" s="5" t="str">
        <f t="shared" si="99"/>
        <v>ACTISALUD-SALA CUNA-MARIA AUXILIADORA PERTUZ</v>
      </c>
      <c r="F1880" s="5"/>
      <c r="G1880" s="5"/>
    </row>
    <row r="1881" spans="1:7" ht="58.5" customHeight="1" x14ac:dyDescent="0.25">
      <c r="A1881" s="5" t="str">
        <f>"H0029179"</f>
        <v>H0029179</v>
      </c>
      <c r="B1881" s="5" t="str">
        <f>"MONITOR DE SIGNOS VITALES"</f>
        <v>MONITOR DE SIGNOS VITALES</v>
      </c>
      <c r="C1881" s="6">
        <v>5950000</v>
      </c>
      <c r="D1881" s="5" t="s">
        <v>13</v>
      </c>
      <c r="E1881" s="5" t="str">
        <f t="shared" si="99"/>
        <v>ACTISALUD-SALA CUNA-MARIA AUXILIADORA PERTUZ</v>
      </c>
      <c r="F1881" s="5"/>
      <c r="G1881" s="5"/>
    </row>
    <row r="1882" spans="1:7" ht="58.5" customHeight="1" x14ac:dyDescent="0.25">
      <c r="A1882" s="5" t="str">
        <f>"H0029462"</f>
        <v>H0029462</v>
      </c>
      <c r="B1882" s="5" t="str">
        <f>"LECTOR DE HUELLAS DIGITALES"</f>
        <v>LECTOR DE HUELLAS DIGITALES</v>
      </c>
      <c r="C1882" s="6">
        <v>309400</v>
      </c>
      <c r="D1882" s="5" t="s">
        <v>14</v>
      </c>
      <c r="E1882" s="5" t="str">
        <f t="shared" ref="E1882:E1913" si="100">"ACTISALUD-SALA CUNA-MARIA AUXILIADORA PERTUZ"</f>
        <v>ACTISALUD-SALA CUNA-MARIA AUXILIADORA PERTUZ</v>
      </c>
      <c r="F1882" s="5"/>
      <c r="G1882" s="5"/>
    </row>
    <row r="1883" spans="1:7" ht="58.5" customHeight="1" x14ac:dyDescent="0.25">
      <c r="A1883" s="5" t="str">
        <f>"H0029835"</f>
        <v>H0029835</v>
      </c>
      <c r="B1883" s="5" t="str">
        <f>"VISUALIZADOR DE VENAS VIVOLIGHT"</f>
        <v>VISUALIZADOR DE VENAS VIVOLIGHT</v>
      </c>
      <c r="C1883" s="6">
        <v>37247000</v>
      </c>
      <c r="D1883" s="5" t="s">
        <v>224</v>
      </c>
      <c r="E1883" s="5" t="str">
        <f t="shared" si="100"/>
        <v>ACTISALUD-SALA CUNA-MARIA AUXILIADORA PERTUZ</v>
      </c>
      <c r="F1883" s="5"/>
      <c r="G1883" s="5" t="str">
        <f>"VIVO5005"</f>
        <v>VIVO5005</v>
      </c>
    </row>
    <row r="1884" spans="1:7" ht="58.5" customHeight="1" x14ac:dyDescent="0.25">
      <c r="A1884" s="5" t="str">
        <f>"H0029837"</f>
        <v>H0029837</v>
      </c>
      <c r="B1884" s="5" t="str">
        <f>"REANIMADOR PARA LACTANTES (REANIMADOR CON PIEZA EN T DE USO FACIL OFRECE MAXIMA SEGURIDAD , AJUSTE PRECISO, VALVULAS FIABLES,)"</f>
        <v>REANIMADOR PARA LACTANTES (REANIMADOR CON PIEZA EN T DE USO FACIL OFRECE MAXIMA SEGURIDAD , AJUSTE PRECISO, VALVULAS FIABLES,)</v>
      </c>
      <c r="C1884" s="6">
        <v>37128000</v>
      </c>
      <c r="D1884" s="5" t="s">
        <v>224</v>
      </c>
      <c r="E1884" s="5" t="str">
        <f t="shared" si="100"/>
        <v>ACTISALUD-SALA CUNA-MARIA AUXILIADORA PERTUZ</v>
      </c>
      <c r="F1884" s="5"/>
      <c r="G1884" s="5" t="str">
        <f>"LULLABAY"</f>
        <v>LULLABAY</v>
      </c>
    </row>
    <row r="1885" spans="1:7" ht="58.5" customHeight="1" x14ac:dyDescent="0.25">
      <c r="A1885" s="5" t="str">
        <f>"H0029838"</f>
        <v>H0029838</v>
      </c>
      <c r="B1885" s="5" t="str">
        <f>"REANIMADOR INFANTIL NEOPUFF RD900, PERMITE GRADUACION DE PIP Y PEEP FISHER"</f>
        <v>REANIMADOR INFANTIL NEOPUFF RD900, PERMITE GRADUACION DE PIP Y PEEP FISHER</v>
      </c>
      <c r="C1885" s="6">
        <v>13090000</v>
      </c>
      <c r="D1885" s="5" t="s">
        <v>224</v>
      </c>
      <c r="E1885" s="5" t="str">
        <f t="shared" si="100"/>
        <v>ACTISALUD-SALA CUNA-MARIA AUXILIADORA PERTUZ</v>
      </c>
      <c r="F1885" s="5"/>
      <c r="G1885" s="5" t="str">
        <f>"RD900ASU"</f>
        <v>RD900ASU</v>
      </c>
    </row>
    <row r="1886" spans="1:7" ht="58.5" customHeight="1" x14ac:dyDescent="0.25">
      <c r="A1886" s="5" t="str">
        <f>"H0029841"</f>
        <v>H0029841</v>
      </c>
      <c r="B1886" s="5" t="str">
        <f>"INCUBADORA YP 90.Incubadora o cuna (servocontrolada)"</f>
        <v>INCUBADORA YP 90.Incubadora o cuna (servocontrolada)</v>
      </c>
      <c r="C1886" s="6">
        <v>26775000</v>
      </c>
      <c r="D1886" s="5" t="s">
        <v>225</v>
      </c>
      <c r="E1886" s="5" t="str">
        <f t="shared" si="100"/>
        <v>ACTISALUD-SALA CUNA-MARIA AUXILIADORA PERTUZ</v>
      </c>
      <c r="F1886" s="5"/>
      <c r="G1886" s="5" t="str">
        <f>"YP-90A"</f>
        <v>YP-90A</v>
      </c>
    </row>
    <row r="1887" spans="1:7" ht="58.5" customHeight="1" x14ac:dyDescent="0.25">
      <c r="A1887" s="5" t="str">
        <f>"H0029842"</f>
        <v>H0029842</v>
      </c>
      <c r="B1887" s="5" t="str">
        <f>"INCUBADORA YP 90.Incubadora o cuna (servocontrolada)"</f>
        <v>INCUBADORA YP 90.Incubadora o cuna (servocontrolada)</v>
      </c>
      <c r="C1887" s="6">
        <v>26775000</v>
      </c>
      <c r="D1887" s="5" t="s">
        <v>225</v>
      </c>
      <c r="E1887" s="5" t="str">
        <f t="shared" si="100"/>
        <v>ACTISALUD-SALA CUNA-MARIA AUXILIADORA PERTUZ</v>
      </c>
      <c r="F1887" s="5"/>
      <c r="G1887" s="5" t="str">
        <f>"YP-90A"</f>
        <v>YP-90A</v>
      </c>
    </row>
    <row r="1888" spans="1:7" ht="58.5" customHeight="1" x14ac:dyDescent="0.25">
      <c r="A1888" s="5" t="str">
        <f>"H0029843"</f>
        <v>H0029843</v>
      </c>
      <c r="B1888" s="5" t="str">
        <f>"MONITOR DE SIGNOS VITALES"</f>
        <v>MONITOR DE SIGNOS VITALES</v>
      </c>
      <c r="C1888" s="6">
        <v>6902000</v>
      </c>
      <c r="D1888" s="5" t="s">
        <v>225</v>
      </c>
      <c r="E1888" s="5" t="str">
        <f t="shared" si="100"/>
        <v>ACTISALUD-SALA CUNA-MARIA AUXILIADORA PERTUZ</v>
      </c>
      <c r="F1888" s="5"/>
      <c r="G1888" s="5" t="str">
        <f>"IM-50"</f>
        <v>IM-50</v>
      </c>
    </row>
    <row r="1889" spans="1:7" ht="58.5" customHeight="1" x14ac:dyDescent="0.25">
      <c r="A1889" s="5" t="str">
        <f>"H0029844"</f>
        <v>H0029844</v>
      </c>
      <c r="B1889" s="5" t="str">
        <f>"MONITOR DE SIGNOS VITALES"</f>
        <v>MONITOR DE SIGNOS VITALES</v>
      </c>
      <c r="C1889" s="6">
        <v>6902000</v>
      </c>
      <c r="D1889" s="5" t="s">
        <v>225</v>
      </c>
      <c r="E1889" s="5" t="str">
        <f t="shared" si="100"/>
        <v>ACTISALUD-SALA CUNA-MARIA AUXILIADORA PERTUZ</v>
      </c>
      <c r="F1889" s="5"/>
      <c r="G1889" s="5" t="str">
        <f>"IM-50"</f>
        <v>IM-50</v>
      </c>
    </row>
    <row r="1890" spans="1:7" ht="58.5" customHeight="1" x14ac:dyDescent="0.25">
      <c r="A1890" s="5" t="str">
        <f>"H0029845"</f>
        <v>H0029845</v>
      </c>
      <c r="B1890" s="5" t="str">
        <f>"ASPIRADOR DE SECRECIONES SXT-5A MARCA: SMARF"</f>
        <v>ASPIRADOR DE SECRECIONES SXT-5A MARCA: SMARF</v>
      </c>
      <c r="C1890" s="6">
        <v>973658</v>
      </c>
      <c r="D1890" s="5" t="s">
        <v>226</v>
      </c>
      <c r="E1890" s="5" t="str">
        <f t="shared" si="100"/>
        <v>ACTISALUD-SALA CUNA-MARIA AUXILIADORA PERTUZ</v>
      </c>
      <c r="F1890" s="5"/>
      <c r="G1890" s="5"/>
    </row>
    <row r="1891" spans="1:7" ht="58.5" customHeight="1" x14ac:dyDescent="0.25">
      <c r="A1891" s="5" t="str">
        <f>"H0030012"</f>
        <v>H0030012</v>
      </c>
      <c r="B1891" s="5" t="str">
        <f>"SOPORTE PEDESTAL MONITOR"</f>
        <v>SOPORTE PEDESTAL MONITOR</v>
      </c>
      <c r="C1891" s="6">
        <v>546000</v>
      </c>
      <c r="D1891" s="5" t="s">
        <v>227</v>
      </c>
      <c r="E1891" s="5" t="str">
        <f t="shared" si="100"/>
        <v>ACTISALUD-SALA CUNA-MARIA AUXILIADORA PERTUZ</v>
      </c>
      <c r="F1891" s="5"/>
      <c r="G1891" s="5"/>
    </row>
    <row r="1892" spans="1:7" ht="58.5" customHeight="1" x14ac:dyDescent="0.25">
      <c r="A1892" s="5" t="str">
        <f>"H0030205"</f>
        <v>H0030205</v>
      </c>
      <c r="B1892" s="5" t="str">
        <f>"AIRE ACONDICIONADO PISO TECHO 5TR"</f>
        <v>AIRE ACONDICIONADO PISO TECHO 5TR</v>
      </c>
      <c r="C1892" s="6">
        <v>9770000</v>
      </c>
      <c r="D1892" s="5" t="s">
        <v>228</v>
      </c>
      <c r="E1892" s="5" t="str">
        <f t="shared" si="100"/>
        <v>ACTISALUD-SALA CUNA-MARIA AUXILIADORA PERTUZ</v>
      </c>
      <c r="F1892" s="5"/>
      <c r="G1892" s="5"/>
    </row>
    <row r="1893" spans="1:7" ht="58.5" customHeight="1" x14ac:dyDescent="0.25">
      <c r="A1893" s="5" t="str">
        <f>"H0030206"</f>
        <v>H0030206</v>
      </c>
      <c r="B1893" s="5" t="str">
        <f>"AIRE ACONDICIONADO PISO TECHO 5TR"</f>
        <v>AIRE ACONDICIONADO PISO TECHO 5TR</v>
      </c>
      <c r="C1893" s="6">
        <v>9770000</v>
      </c>
      <c r="D1893" s="5" t="s">
        <v>228</v>
      </c>
      <c r="E1893" s="5" t="str">
        <f t="shared" si="100"/>
        <v>ACTISALUD-SALA CUNA-MARIA AUXILIADORA PERTUZ</v>
      </c>
      <c r="F1893" s="5"/>
      <c r="G1893" s="5"/>
    </row>
    <row r="1894" spans="1:7" ht="58.5" customHeight="1" x14ac:dyDescent="0.25">
      <c r="A1894" s="5" t="str">
        <f>"H0030228"</f>
        <v>H0030228</v>
      </c>
      <c r="B1894"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894" s="6">
        <v>773500</v>
      </c>
      <c r="D1894" s="5" t="s">
        <v>154</v>
      </c>
      <c r="E1894" s="5" t="str">
        <f t="shared" si="100"/>
        <v>ACTISALUD-SALA CUNA-MARIA AUXILIADORA PERTUZ</v>
      </c>
      <c r="F1894" s="5"/>
      <c r="G1894" s="5"/>
    </row>
    <row r="1895" spans="1:7" ht="58.5" customHeight="1" x14ac:dyDescent="0.25">
      <c r="A1895" s="5" t="str">
        <f>"H0030230"</f>
        <v>H0030230</v>
      </c>
      <c r="B1895"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895" s="6">
        <v>773500</v>
      </c>
      <c r="D1895" s="5" t="s">
        <v>154</v>
      </c>
      <c r="E1895" s="5" t="str">
        <f t="shared" si="100"/>
        <v>ACTISALUD-SALA CUNA-MARIA AUXILIADORA PERTUZ</v>
      </c>
      <c r="F1895" s="5"/>
      <c r="G1895" s="5"/>
    </row>
    <row r="1896" spans="1:7" ht="58.5" customHeight="1" x14ac:dyDescent="0.25">
      <c r="A1896" s="5" t="str">
        <f>"H0031164"</f>
        <v>H0031164</v>
      </c>
      <c r="B1896" s="5" t="str">
        <f>"MUEBLE MODULAR CON MEDIDAS DE 2,0 MTS X 0,9 MTS X 0,45 MTS. MATERIAL: MELANINA BLANCA ALTA RESISTENCIA, ENTREPAÑOS"</f>
        <v>MUEBLE MODULAR CON MEDIDAS DE 2,0 MTS X 0,9 MTS X 0,45 MTS. MATERIAL: MELANINA BLANCA ALTA RESISTENCIA, ENTREPAÑOS</v>
      </c>
      <c r="C1896" s="6">
        <v>490000</v>
      </c>
      <c r="D1896" s="5" t="s">
        <v>229</v>
      </c>
      <c r="E1896" s="5" t="str">
        <f t="shared" si="100"/>
        <v>ACTISALUD-SALA CUNA-MARIA AUXILIADORA PERTUZ</v>
      </c>
      <c r="F1896" s="5"/>
      <c r="G1896" s="5"/>
    </row>
    <row r="1897" spans="1:7" ht="58.5" customHeight="1" x14ac:dyDescent="0.25">
      <c r="A1897" s="5" t="str">
        <f>"H0031372"</f>
        <v>H0031372</v>
      </c>
      <c r="B1897" s="5" t="str">
        <f t="shared" ref="B1897:B1907" si="101">"SILLA RECLINOMATICA"</f>
        <v>SILLA RECLINOMATICA</v>
      </c>
      <c r="C1897" s="6">
        <v>1065050</v>
      </c>
      <c r="D1897" s="5" t="s">
        <v>106</v>
      </c>
      <c r="E1897" s="5" t="str">
        <f t="shared" si="100"/>
        <v>ACTISALUD-SALA CUNA-MARIA AUXILIADORA PERTUZ</v>
      </c>
      <c r="F1897" s="5"/>
      <c r="G1897" s="5"/>
    </row>
    <row r="1898" spans="1:7" ht="58.5" customHeight="1" x14ac:dyDescent="0.25">
      <c r="A1898" s="5" t="str">
        <f>"H0031373"</f>
        <v>H0031373</v>
      </c>
      <c r="B1898" s="5" t="str">
        <f t="shared" si="101"/>
        <v>SILLA RECLINOMATICA</v>
      </c>
      <c r="C1898" s="6">
        <v>1065050</v>
      </c>
      <c r="D1898" s="5" t="s">
        <v>106</v>
      </c>
      <c r="E1898" s="5" t="str">
        <f t="shared" si="100"/>
        <v>ACTISALUD-SALA CUNA-MARIA AUXILIADORA PERTUZ</v>
      </c>
      <c r="F1898" s="5"/>
      <c r="G1898" s="5"/>
    </row>
    <row r="1899" spans="1:7" ht="58.5" customHeight="1" x14ac:dyDescent="0.25">
      <c r="A1899" s="5" t="str">
        <f>"H0031374"</f>
        <v>H0031374</v>
      </c>
      <c r="B1899" s="5" t="str">
        <f t="shared" si="101"/>
        <v>SILLA RECLINOMATICA</v>
      </c>
      <c r="C1899" s="6">
        <v>1065050</v>
      </c>
      <c r="D1899" s="5" t="s">
        <v>106</v>
      </c>
      <c r="E1899" s="5" t="str">
        <f t="shared" si="100"/>
        <v>ACTISALUD-SALA CUNA-MARIA AUXILIADORA PERTUZ</v>
      </c>
      <c r="F1899" s="5"/>
      <c r="G1899" s="5"/>
    </row>
    <row r="1900" spans="1:7" ht="58.5" customHeight="1" x14ac:dyDescent="0.25">
      <c r="A1900" s="5" t="str">
        <f>"H0031375"</f>
        <v>H0031375</v>
      </c>
      <c r="B1900" s="5" t="str">
        <f t="shared" si="101"/>
        <v>SILLA RECLINOMATICA</v>
      </c>
      <c r="C1900" s="6">
        <v>1065050</v>
      </c>
      <c r="D1900" s="5" t="s">
        <v>106</v>
      </c>
      <c r="E1900" s="5" t="str">
        <f t="shared" si="100"/>
        <v>ACTISALUD-SALA CUNA-MARIA AUXILIADORA PERTUZ</v>
      </c>
      <c r="F1900" s="5"/>
      <c r="G1900" s="5"/>
    </row>
    <row r="1901" spans="1:7" ht="58.5" customHeight="1" x14ac:dyDescent="0.25">
      <c r="A1901" s="5" t="str">
        <f>"H0031376"</f>
        <v>H0031376</v>
      </c>
      <c r="B1901" s="5" t="str">
        <f t="shared" si="101"/>
        <v>SILLA RECLINOMATICA</v>
      </c>
      <c r="C1901" s="6">
        <v>1065050</v>
      </c>
      <c r="D1901" s="5" t="s">
        <v>106</v>
      </c>
      <c r="E1901" s="5" t="str">
        <f t="shared" si="100"/>
        <v>ACTISALUD-SALA CUNA-MARIA AUXILIADORA PERTUZ</v>
      </c>
      <c r="F1901" s="5"/>
      <c r="G1901" s="5"/>
    </row>
    <row r="1902" spans="1:7" ht="58.5" customHeight="1" x14ac:dyDescent="0.25">
      <c r="A1902" s="5" t="str">
        <f>"H0031377"</f>
        <v>H0031377</v>
      </c>
      <c r="B1902" s="5" t="str">
        <f t="shared" si="101"/>
        <v>SILLA RECLINOMATICA</v>
      </c>
      <c r="C1902" s="6">
        <v>1065050</v>
      </c>
      <c r="D1902" s="5" t="s">
        <v>106</v>
      </c>
      <c r="E1902" s="5" t="str">
        <f t="shared" si="100"/>
        <v>ACTISALUD-SALA CUNA-MARIA AUXILIADORA PERTUZ</v>
      </c>
      <c r="F1902" s="5"/>
      <c r="G1902" s="5"/>
    </row>
    <row r="1903" spans="1:7" ht="58.5" customHeight="1" x14ac:dyDescent="0.25">
      <c r="A1903" s="5" t="str">
        <f>"H0031378"</f>
        <v>H0031378</v>
      </c>
      <c r="B1903" s="5" t="str">
        <f t="shared" si="101"/>
        <v>SILLA RECLINOMATICA</v>
      </c>
      <c r="C1903" s="6">
        <v>1065050</v>
      </c>
      <c r="D1903" s="5" t="s">
        <v>106</v>
      </c>
      <c r="E1903" s="5" t="str">
        <f t="shared" si="100"/>
        <v>ACTISALUD-SALA CUNA-MARIA AUXILIADORA PERTUZ</v>
      </c>
      <c r="F1903" s="5"/>
      <c r="G1903" s="5"/>
    </row>
    <row r="1904" spans="1:7" ht="58.5" customHeight="1" x14ac:dyDescent="0.25">
      <c r="A1904" s="5" t="str">
        <f>"H0031379"</f>
        <v>H0031379</v>
      </c>
      <c r="B1904" s="5" t="str">
        <f t="shared" si="101"/>
        <v>SILLA RECLINOMATICA</v>
      </c>
      <c r="C1904" s="6">
        <v>1065050</v>
      </c>
      <c r="D1904" s="5" t="s">
        <v>106</v>
      </c>
      <c r="E1904" s="5" t="str">
        <f t="shared" si="100"/>
        <v>ACTISALUD-SALA CUNA-MARIA AUXILIADORA PERTUZ</v>
      </c>
      <c r="F1904" s="5"/>
      <c r="G1904" s="5"/>
    </row>
    <row r="1905" spans="1:7" ht="58.5" customHeight="1" x14ac:dyDescent="0.25">
      <c r="A1905" s="5" t="str">
        <f>"H0031380"</f>
        <v>H0031380</v>
      </c>
      <c r="B1905" s="5" t="str">
        <f t="shared" si="101"/>
        <v>SILLA RECLINOMATICA</v>
      </c>
      <c r="C1905" s="6">
        <v>1065050</v>
      </c>
      <c r="D1905" s="5" t="s">
        <v>106</v>
      </c>
      <c r="E1905" s="5" t="str">
        <f t="shared" si="100"/>
        <v>ACTISALUD-SALA CUNA-MARIA AUXILIADORA PERTUZ</v>
      </c>
      <c r="F1905" s="5"/>
      <c r="G1905" s="5"/>
    </row>
    <row r="1906" spans="1:7" ht="58.5" customHeight="1" x14ac:dyDescent="0.25">
      <c r="A1906" s="5" t="str">
        <f>"H0031381"</f>
        <v>H0031381</v>
      </c>
      <c r="B1906" s="5" t="str">
        <f t="shared" si="101"/>
        <v>SILLA RECLINOMATICA</v>
      </c>
      <c r="C1906" s="6">
        <v>1065050</v>
      </c>
      <c r="D1906" s="5" t="s">
        <v>106</v>
      </c>
      <c r="E1906" s="5" t="str">
        <f t="shared" si="100"/>
        <v>ACTISALUD-SALA CUNA-MARIA AUXILIADORA PERTUZ</v>
      </c>
      <c r="F1906" s="5"/>
      <c r="G1906" s="5"/>
    </row>
    <row r="1907" spans="1:7" ht="58.5" customHeight="1" x14ac:dyDescent="0.25">
      <c r="A1907" s="5" t="str">
        <f>"H0031382"</f>
        <v>H0031382</v>
      </c>
      <c r="B1907" s="5" t="str">
        <f t="shared" si="101"/>
        <v>SILLA RECLINOMATICA</v>
      </c>
      <c r="C1907" s="6">
        <v>1065050</v>
      </c>
      <c r="D1907" s="5" t="s">
        <v>106</v>
      </c>
      <c r="E1907" s="5" t="str">
        <f t="shared" si="100"/>
        <v>ACTISALUD-SALA CUNA-MARIA AUXILIADORA PERTUZ</v>
      </c>
      <c r="F1907" s="5"/>
      <c r="G1907" s="5"/>
    </row>
    <row r="1908" spans="1:7" ht="58.5" customHeight="1" x14ac:dyDescent="0.25">
      <c r="A1908" s="5" t="str">
        <f>"H0031424"</f>
        <v>H0031424</v>
      </c>
      <c r="B1908" s="5" t="str">
        <f>"Humidificador MR850 ( incluye cable calefator, cable sensor temperatura, bracket)- fisher&amp; paykel"</f>
        <v>Humidificador MR850 ( incluye cable calefator, cable sensor temperatura, bracket)- fisher&amp; paykel</v>
      </c>
      <c r="C1908" s="6">
        <v>8199100</v>
      </c>
      <c r="D1908" s="5" t="s">
        <v>230</v>
      </c>
      <c r="E1908" s="5" t="str">
        <f t="shared" si="100"/>
        <v>ACTISALUD-SALA CUNA-MARIA AUXILIADORA PERTUZ</v>
      </c>
      <c r="F1908" s="5"/>
      <c r="G1908" s="5"/>
    </row>
    <row r="1909" spans="1:7" ht="58.5" customHeight="1" x14ac:dyDescent="0.25">
      <c r="A1909" s="5" t="str">
        <f>"H0031425"</f>
        <v>H0031425</v>
      </c>
      <c r="B1909" s="5" t="str">
        <f>"Humidificador MR850 ( incluye cable calefator, cable sensor temperatura, bracket)- fisher&amp; paykel"</f>
        <v>Humidificador MR850 ( incluye cable calefator, cable sensor temperatura, bracket)- fisher&amp; paykel</v>
      </c>
      <c r="C1909" s="6">
        <v>8199100</v>
      </c>
      <c r="D1909" s="5" t="s">
        <v>230</v>
      </c>
      <c r="E1909" s="5" t="str">
        <f t="shared" si="100"/>
        <v>ACTISALUD-SALA CUNA-MARIA AUXILIADORA PERTUZ</v>
      </c>
      <c r="F1909" s="5"/>
      <c r="G1909" s="5"/>
    </row>
    <row r="1910" spans="1:7" ht="58.5" customHeight="1" x14ac:dyDescent="0.25">
      <c r="A1910" s="5" t="str">
        <f>"H0031426"</f>
        <v>H0031426</v>
      </c>
      <c r="B1910" s="5" t="str">
        <f>"Atril portasueros con base rodable-maxtec"</f>
        <v>Atril portasueros con base rodable-maxtec</v>
      </c>
      <c r="C1910" s="6">
        <v>1654100</v>
      </c>
      <c r="D1910" s="5" t="s">
        <v>230</v>
      </c>
      <c r="E1910" s="5" t="str">
        <f t="shared" si="100"/>
        <v>ACTISALUD-SALA CUNA-MARIA AUXILIADORA PERTUZ</v>
      </c>
      <c r="F1910" s="5"/>
      <c r="G1910" s="5"/>
    </row>
    <row r="1911" spans="1:7" ht="58.5" customHeight="1" x14ac:dyDescent="0.25">
      <c r="A1911" s="5" t="str">
        <f>"H0031427"</f>
        <v>H0031427</v>
      </c>
      <c r="B1911" s="5" t="str">
        <f>"Atril portasueros con base rodable-maxtec"</f>
        <v>Atril portasueros con base rodable-maxtec</v>
      </c>
      <c r="C1911" s="6">
        <v>1654100</v>
      </c>
      <c r="D1911" s="5" t="s">
        <v>230</v>
      </c>
      <c r="E1911" s="5" t="str">
        <f t="shared" si="100"/>
        <v>ACTISALUD-SALA CUNA-MARIA AUXILIADORA PERTUZ</v>
      </c>
      <c r="F1911" s="5"/>
      <c r="G1911" s="5"/>
    </row>
    <row r="1912" spans="1:7" ht="58.5" customHeight="1" x14ac:dyDescent="0.25">
      <c r="A1912" s="5" t="str">
        <f>"H0031472"</f>
        <v>H0031472</v>
      </c>
      <c r="B191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912" s="6">
        <v>3209500</v>
      </c>
      <c r="D1912" s="5" t="s">
        <v>16</v>
      </c>
      <c r="E1912" s="5" t="str">
        <f t="shared" si="100"/>
        <v>ACTISALUD-SALA CUNA-MARIA AUXILIADORA PERTUZ</v>
      </c>
      <c r="F1912" s="5"/>
      <c r="G1912" s="5"/>
    </row>
    <row r="1913" spans="1:7" ht="58.5" customHeight="1" x14ac:dyDescent="0.25">
      <c r="A1913" s="5" t="str">
        <f>"H0032216"</f>
        <v>H0032216</v>
      </c>
      <c r="B1913" s="5" t="str">
        <f>"CUNA RECIEN NACIDO CON COLCHONETA"</f>
        <v>CUNA RECIEN NACIDO CON COLCHONETA</v>
      </c>
      <c r="C1913" s="6">
        <v>1667725.67</v>
      </c>
      <c r="D1913" s="5" t="s">
        <v>231</v>
      </c>
      <c r="E1913" s="5" t="str">
        <f t="shared" si="100"/>
        <v>ACTISALUD-SALA CUNA-MARIA AUXILIADORA PERTUZ</v>
      </c>
      <c r="F1913" s="5"/>
      <c r="G1913" s="5"/>
    </row>
    <row r="1914" spans="1:7" ht="58.5" customHeight="1" x14ac:dyDescent="0.25">
      <c r="A1914" s="5" t="str">
        <f>"H0032217"</f>
        <v>H0032217</v>
      </c>
      <c r="B1914" s="5" t="str">
        <f>"CUNA RECIEN NACIDO CON COLCHONETA"</f>
        <v>CUNA RECIEN NACIDO CON COLCHONETA</v>
      </c>
      <c r="C1914" s="6">
        <v>1667725.67</v>
      </c>
      <c r="D1914" s="5" t="s">
        <v>231</v>
      </c>
      <c r="E1914" s="5" t="str">
        <f t="shared" ref="E1914:E1945" si="102">"ACTISALUD-SALA CUNA-MARIA AUXILIADORA PERTUZ"</f>
        <v>ACTISALUD-SALA CUNA-MARIA AUXILIADORA PERTUZ</v>
      </c>
      <c r="F1914" s="5"/>
      <c r="G1914" s="5"/>
    </row>
    <row r="1915" spans="1:7" ht="58.5" customHeight="1" x14ac:dyDescent="0.25">
      <c r="A1915" s="5" t="str">
        <f>"H0032218"</f>
        <v>H0032218</v>
      </c>
      <c r="B1915" s="5" t="str">
        <f>"CUNA RECIEN NACIDO CON COLCHONETA"</f>
        <v>CUNA RECIEN NACIDO CON COLCHONETA</v>
      </c>
      <c r="C1915" s="6">
        <v>1667725.67</v>
      </c>
      <c r="D1915" s="5" t="s">
        <v>231</v>
      </c>
      <c r="E1915" s="5" t="str">
        <f t="shared" si="102"/>
        <v>ACTISALUD-SALA CUNA-MARIA AUXILIADORA PERTUZ</v>
      </c>
      <c r="F1915" s="5"/>
      <c r="G1915" s="5"/>
    </row>
    <row r="1916" spans="1:7" ht="58.5" customHeight="1" x14ac:dyDescent="0.25">
      <c r="A1916" s="5" t="str">
        <f>"H0032314"</f>
        <v>H0032314</v>
      </c>
      <c r="B1916" s="5" t="str">
        <f>"SOPORTE PEDESTAL MONITOR"</f>
        <v>SOPORTE PEDESTAL MONITOR</v>
      </c>
      <c r="C1916" s="6">
        <v>1140020</v>
      </c>
      <c r="D1916" s="5" t="s">
        <v>232</v>
      </c>
      <c r="E1916" s="5" t="str">
        <f t="shared" si="102"/>
        <v>ACTISALUD-SALA CUNA-MARIA AUXILIADORA PERTUZ</v>
      </c>
      <c r="F1916" s="5"/>
      <c r="G1916" s="5"/>
    </row>
    <row r="1917" spans="1:7" ht="58.5" customHeight="1" x14ac:dyDescent="0.25">
      <c r="A1917" s="5" t="str">
        <f>"H0033036"</f>
        <v>H0033036</v>
      </c>
      <c r="B1917" s="5" t="str">
        <f>"MONITOR DE SIGNOS VITALES"</f>
        <v>MONITOR DE SIGNOS VITALES</v>
      </c>
      <c r="C1917" s="6">
        <v>9470000</v>
      </c>
      <c r="D1917" s="5" t="s">
        <v>119</v>
      </c>
      <c r="E1917" s="5" t="str">
        <f t="shared" si="102"/>
        <v>ACTISALUD-SALA CUNA-MARIA AUXILIADORA PERTUZ</v>
      </c>
      <c r="F1917" s="5"/>
      <c r="G1917" s="5"/>
    </row>
    <row r="1918" spans="1:7" ht="58.5" customHeight="1" x14ac:dyDescent="0.25">
      <c r="A1918" s="5" t="str">
        <f>"H0033040"</f>
        <v>H0033040</v>
      </c>
      <c r="B1918" s="5" t="str">
        <f>"MONITOR DE SIGNOS VITALES"</f>
        <v>MONITOR DE SIGNOS VITALES</v>
      </c>
      <c r="C1918" s="6">
        <v>9470000</v>
      </c>
      <c r="D1918" s="5" t="s">
        <v>119</v>
      </c>
      <c r="E1918" s="5" t="str">
        <f t="shared" si="102"/>
        <v>ACTISALUD-SALA CUNA-MARIA AUXILIADORA PERTUZ</v>
      </c>
      <c r="F1918" s="5"/>
      <c r="G1918" s="5"/>
    </row>
    <row r="1919" spans="1:7" ht="58.5" customHeight="1" x14ac:dyDescent="0.25">
      <c r="A1919" s="5" t="str">
        <f>"H0033043"</f>
        <v>H0033043</v>
      </c>
      <c r="B1919" s="5" t="str">
        <f>"MONITOR DE SIGNOS VITALES"</f>
        <v>MONITOR DE SIGNOS VITALES</v>
      </c>
      <c r="C1919" s="6">
        <v>9470000</v>
      </c>
      <c r="D1919" s="5" t="s">
        <v>119</v>
      </c>
      <c r="E1919" s="5" t="str">
        <f t="shared" si="102"/>
        <v>ACTISALUD-SALA CUNA-MARIA AUXILIADORA PERTUZ</v>
      </c>
      <c r="F1919" s="5"/>
      <c r="G1919" s="5"/>
    </row>
    <row r="1920" spans="1:7" ht="58.5" customHeight="1" x14ac:dyDescent="0.25">
      <c r="A1920" s="5" t="str">
        <f>"H0033054"</f>
        <v>H0033054</v>
      </c>
      <c r="B1920" s="5" t="str">
        <f>"MONITOR DE SIGNOS VITALES"</f>
        <v>MONITOR DE SIGNOS VITALES</v>
      </c>
      <c r="C1920" s="6">
        <v>9470000</v>
      </c>
      <c r="D1920" s="5" t="s">
        <v>119</v>
      </c>
      <c r="E1920" s="5" t="str">
        <f t="shared" si="102"/>
        <v>ACTISALUD-SALA CUNA-MARIA AUXILIADORA PERTUZ</v>
      </c>
      <c r="F1920" s="5"/>
      <c r="G1920" s="5"/>
    </row>
    <row r="1921" spans="1:7" ht="58.5" customHeight="1" x14ac:dyDescent="0.25">
      <c r="A1921" s="5" t="str">
        <f>"H0033135"</f>
        <v>H0033135</v>
      </c>
      <c r="B1921" s="5" t="str">
        <f>"BOMBA DE NUTRICION. 1 mL/h a 600 mL/h. 1 mL/h a 5 mL/h incr. ± 7% a 125 mL/h. Cumple 60601-2-24."</f>
        <v>BOMBA DE NUTRICION. 1 mL/h a 600 mL/h. 1 mL/h a 5 mL/h incr. ± 7% a 125 mL/h. Cumple 60601-2-24.</v>
      </c>
      <c r="C1921" s="6">
        <v>3066667</v>
      </c>
      <c r="D1921" s="5" t="s">
        <v>119</v>
      </c>
      <c r="E1921" s="5" t="str">
        <f t="shared" si="102"/>
        <v>ACTISALUD-SALA CUNA-MARIA AUXILIADORA PERTUZ</v>
      </c>
      <c r="F1921" s="5"/>
      <c r="G1921" s="5"/>
    </row>
    <row r="1922" spans="1:7" ht="58.5" customHeight="1" x14ac:dyDescent="0.25">
      <c r="A1922" s="5" t="str">
        <f>"H0033137"</f>
        <v>H0033137</v>
      </c>
      <c r="B1922" s="5" t="str">
        <f>"BOMBA DE NUTRICION. 1 mL/h a 600 mL/h. 1 mL/h a 5 mL/h incr. ± 7% a 125 mL/h. Cumple 60601-2-24."</f>
        <v>BOMBA DE NUTRICION. 1 mL/h a 600 mL/h. 1 mL/h a 5 mL/h incr. ± 7% a 125 mL/h. Cumple 60601-2-24.</v>
      </c>
      <c r="C1922" s="6">
        <v>3066667</v>
      </c>
      <c r="D1922" s="5" t="s">
        <v>119</v>
      </c>
      <c r="E1922" s="5" t="str">
        <f t="shared" si="102"/>
        <v>ACTISALUD-SALA CUNA-MARIA AUXILIADORA PERTUZ</v>
      </c>
      <c r="F1922" s="5"/>
      <c r="G1922" s="5"/>
    </row>
    <row r="1923" spans="1:7" ht="58.5" customHeight="1" x14ac:dyDescent="0.25">
      <c r="A1923" s="5" t="str">
        <f>"H0033247"</f>
        <v>H0033247</v>
      </c>
      <c r="B1923" s="5" t="str">
        <f>"MONITOR DE SIGNOS VITALES"</f>
        <v>MONITOR DE SIGNOS VITALES</v>
      </c>
      <c r="C1923" s="6">
        <v>9470000</v>
      </c>
      <c r="D1923" s="5" t="s">
        <v>119</v>
      </c>
      <c r="E1923" s="5" t="str">
        <f t="shared" si="102"/>
        <v>ACTISALUD-SALA CUNA-MARIA AUXILIADORA PERTUZ</v>
      </c>
      <c r="F1923" s="5"/>
      <c r="G1923" s="5"/>
    </row>
    <row r="1924" spans="1:7" ht="58.5" customHeight="1" x14ac:dyDescent="0.25">
      <c r="A1924" s="5" t="str">
        <f>"H0034227"</f>
        <v>H0034227</v>
      </c>
      <c r="B1924" s="5" t="str">
        <f>"KIT AIRVO 2 (BASE, BRACKET Y BANDEJA) FISHER &amp; PAYKEL"</f>
        <v>KIT AIRVO 2 (BASE, BRACKET Y BANDEJA) FISHER &amp; PAYKEL</v>
      </c>
      <c r="C1924" s="6">
        <v>21000000</v>
      </c>
      <c r="D1924" s="5" t="s">
        <v>233</v>
      </c>
      <c r="E1924" s="5" t="str">
        <f t="shared" si="102"/>
        <v>ACTISALUD-SALA CUNA-MARIA AUXILIADORA PERTUZ</v>
      </c>
      <c r="F1924" s="5"/>
      <c r="G1924" s="5"/>
    </row>
    <row r="1925" spans="1:7" ht="58.5" customHeight="1" x14ac:dyDescent="0.25">
      <c r="A1925" s="5" t="str">
        <f>"H0034563"</f>
        <v>H0034563</v>
      </c>
      <c r="B1925" s="5" t="str">
        <f>"UNIDAD DE EXTRACCION CENTRIFUGA DE ALTA PRESION"</f>
        <v>UNIDAD DE EXTRACCION CENTRIFUGA DE ALTA PRESION</v>
      </c>
      <c r="C1925" s="6">
        <v>3852000</v>
      </c>
      <c r="D1925" s="5" t="s">
        <v>194</v>
      </c>
      <c r="E1925" s="5" t="str">
        <f t="shared" si="102"/>
        <v>ACTISALUD-SALA CUNA-MARIA AUXILIADORA PERTUZ</v>
      </c>
      <c r="F1925" s="5"/>
      <c r="G1925" s="5"/>
    </row>
    <row r="1926" spans="1:7" ht="58.5" customHeight="1" x14ac:dyDescent="0.25">
      <c r="A1926" s="5" t="str">
        <f>"H0034564"</f>
        <v>H0034564</v>
      </c>
      <c r="B1926" s="5" t="str">
        <f>"UNIDAD DE EXTRACCION CENTRIFUGA DE ALTA PRESION"</f>
        <v>UNIDAD DE EXTRACCION CENTRIFUGA DE ALTA PRESION</v>
      </c>
      <c r="C1926" s="6">
        <v>3852000</v>
      </c>
      <c r="D1926" s="5" t="s">
        <v>194</v>
      </c>
      <c r="E1926" s="5" t="str">
        <f t="shared" si="102"/>
        <v>ACTISALUD-SALA CUNA-MARIA AUXILIADORA PERTUZ</v>
      </c>
      <c r="F1926" s="5"/>
      <c r="G1926" s="5"/>
    </row>
    <row r="1927" spans="1:7" ht="58.5" customHeight="1" x14ac:dyDescent="0.25">
      <c r="A1927" s="5" t="str">
        <f>"H0034565"</f>
        <v>H0034565</v>
      </c>
      <c r="B1927" s="5" t="str">
        <f>"UNIDAD DE EXTRACCION CENTRIFUGA DE ALTA PRESION"</f>
        <v>UNIDAD DE EXTRACCION CENTRIFUGA DE ALTA PRESION</v>
      </c>
      <c r="C1927" s="6">
        <v>3852000</v>
      </c>
      <c r="D1927" s="5" t="s">
        <v>194</v>
      </c>
      <c r="E1927" s="5" t="str">
        <f t="shared" si="102"/>
        <v>ACTISALUD-SALA CUNA-MARIA AUXILIADORA PERTUZ</v>
      </c>
      <c r="F1927" s="5"/>
      <c r="G1927" s="5"/>
    </row>
    <row r="1928" spans="1:7" ht="58.5" customHeight="1" x14ac:dyDescent="0.25">
      <c r="A1928" s="5" t="str">
        <f>"H0034569"</f>
        <v>H0034569</v>
      </c>
      <c r="B1928" s="5" t="s">
        <v>196</v>
      </c>
      <c r="C1928" s="6">
        <v>1180480</v>
      </c>
      <c r="D1928" s="5" t="s">
        <v>194</v>
      </c>
      <c r="E1928" s="5" t="str">
        <f t="shared" si="102"/>
        <v>ACTISALUD-SALA CUNA-MARIA AUXILIADORA PERTUZ</v>
      </c>
      <c r="F1928" s="5"/>
      <c r="G1928" s="5"/>
    </row>
    <row r="1929" spans="1:7" ht="58.5" customHeight="1" x14ac:dyDescent="0.25">
      <c r="A1929" s="5" t="str">
        <f>"H0034570"</f>
        <v>H0034570</v>
      </c>
      <c r="B1929" s="5" t="s">
        <v>196</v>
      </c>
      <c r="C1929" s="6">
        <v>1180480</v>
      </c>
      <c r="D1929" s="5" t="s">
        <v>194</v>
      </c>
      <c r="E1929" s="5" t="str">
        <f t="shared" si="102"/>
        <v>ACTISALUD-SALA CUNA-MARIA AUXILIADORA PERTUZ</v>
      </c>
      <c r="F1929" s="5"/>
      <c r="G1929" s="5"/>
    </row>
    <row r="1930" spans="1:7" ht="58.5" customHeight="1" x14ac:dyDescent="0.25">
      <c r="A1930" s="5" t="str">
        <f>"H0034571"</f>
        <v>H0034571</v>
      </c>
      <c r="B1930" s="5" t="s">
        <v>196</v>
      </c>
      <c r="C1930" s="6">
        <v>1180480</v>
      </c>
      <c r="D1930" s="5" t="s">
        <v>194</v>
      </c>
      <c r="E1930" s="5" t="str">
        <f t="shared" si="102"/>
        <v>ACTISALUD-SALA CUNA-MARIA AUXILIADORA PERTUZ</v>
      </c>
      <c r="F1930" s="5"/>
      <c r="G1930" s="5"/>
    </row>
    <row r="1931" spans="1:7" ht="58.5" customHeight="1" x14ac:dyDescent="0.25">
      <c r="A1931" s="5" t="str">
        <f>"H0034593"</f>
        <v>H0034593</v>
      </c>
      <c r="B1931" s="5" t="str">
        <f>"BALANZA (PESO) DIGITAL (GRAMERA)"</f>
        <v>BALANZA (PESO) DIGITAL (GRAMERA)</v>
      </c>
      <c r="C1931" s="6">
        <v>120000.01</v>
      </c>
      <c r="D1931" s="5" t="s">
        <v>234</v>
      </c>
      <c r="E1931" s="5" t="str">
        <f t="shared" si="102"/>
        <v>ACTISALUD-SALA CUNA-MARIA AUXILIADORA PERTUZ</v>
      </c>
      <c r="F1931" s="5"/>
      <c r="G1931" s="5"/>
    </row>
    <row r="1932" spans="1:7" ht="58.5" customHeight="1" x14ac:dyDescent="0.25">
      <c r="A1932" s="5" t="str">
        <f>"H0034674"</f>
        <v>H0034674</v>
      </c>
      <c r="B1932" s="5" t="str">
        <f>"bomba de infusion (DONACION)"</f>
        <v>bomba de infusion (DONACION)</v>
      </c>
      <c r="C1932" s="6">
        <v>7049854</v>
      </c>
      <c r="D1932" s="5" t="s">
        <v>124</v>
      </c>
      <c r="E1932" s="5" t="str">
        <f t="shared" si="102"/>
        <v>ACTISALUD-SALA CUNA-MARIA AUXILIADORA PERTUZ</v>
      </c>
      <c r="F1932" s="5"/>
      <c r="G1932" s="5"/>
    </row>
    <row r="1933" spans="1:7" ht="58.5" customHeight="1" x14ac:dyDescent="0.25">
      <c r="A1933" s="5" t="str">
        <f>"H0035715"</f>
        <v>H0035715</v>
      </c>
      <c r="B1933" s="5" t="str">
        <f>"SILLA GERENTE NIZA MEC. BASCULANTE CON BRAZOS."</f>
        <v>SILLA GERENTE NIZA MEC. BASCULANTE CON BRAZOS.</v>
      </c>
      <c r="C1933" s="6">
        <v>639999.86</v>
      </c>
      <c r="D1933" s="5" t="s">
        <v>235</v>
      </c>
      <c r="E1933" s="5" t="str">
        <f t="shared" si="102"/>
        <v>ACTISALUD-SALA CUNA-MARIA AUXILIADORA PERTUZ</v>
      </c>
      <c r="F1933" s="5"/>
      <c r="G1933" s="5"/>
    </row>
    <row r="1934" spans="1:7" ht="58.5" customHeight="1" x14ac:dyDescent="0.25">
      <c r="A1934" s="5" t="str">
        <f>"H0035716"</f>
        <v>H0035716</v>
      </c>
      <c r="B1934" s="5" t="str">
        <f>"SILLA GERENTE NIZA MEC. BASCULANTE CON BRAZOS."</f>
        <v>SILLA GERENTE NIZA MEC. BASCULANTE CON BRAZOS.</v>
      </c>
      <c r="C1934" s="6">
        <v>639999.86</v>
      </c>
      <c r="D1934" s="5" t="s">
        <v>235</v>
      </c>
      <c r="E1934" s="5" t="str">
        <f t="shared" si="102"/>
        <v>ACTISALUD-SALA CUNA-MARIA AUXILIADORA PERTUZ</v>
      </c>
      <c r="F1934" s="5"/>
      <c r="G1934" s="5"/>
    </row>
    <row r="1935" spans="1:7" ht="58.5" customHeight="1" x14ac:dyDescent="0.25">
      <c r="A1935" s="5" t="str">
        <f>"H0035717"</f>
        <v>H0035717</v>
      </c>
      <c r="B1935" s="5" t="str">
        <f>"SILLA GERENTE NIZA MEC. BASCULANTE CON BRAZOS."</f>
        <v>SILLA GERENTE NIZA MEC. BASCULANTE CON BRAZOS.</v>
      </c>
      <c r="C1935" s="6">
        <v>639999.86</v>
      </c>
      <c r="D1935" s="5" t="s">
        <v>236</v>
      </c>
      <c r="E1935" s="5" t="str">
        <f t="shared" si="102"/>
        <v>ACTISALUD-SALA CUNA-MARIA AUXILIADORA PERTUZ</v>
      </c>
      <c r="F1935" s="5"/>
      <c r="G1935" s="5"/>
    </row>
    <row r="1936" spans="1:7" ht="58.5" customHeight="1" x14ac:dyDescent="0.25">
      <c r="A1936" s="5" t="str">
        <f>"H0036489"</f>
        <v>H0036489</v>
      </c>
      <c r="B1936" s="5" t="str">
        <f>"INCUBADORA DE TRANSPORTE (DONACION)"</f>
        <v>INCUBADORA DE TRANSPORTE (DONACION)</v>
      </c>
      <c r="C1936" s="6">
        <v>18250000</v>
      </c>
      <c r="D1936" s="5" t="s">
        <v>132</v>
      </c>
      <c r="E1936" s="5" t="str">
        <f t="shared" si="102"/>
        <v>ACTISALUD-SALA CUNA-MARIA AUXILIADORA PERTUZ</v>
      </c>
      <c r="F1936" s="5"/>
      <c r="G1936" s="5"/>
    </row>
    <row r="1937" spans="1:7" ht="58.5" customHeight="1" x14ac:dyDescent="0.25">
      <c r="A1937" s="5" t="str">
        <f>"H0036490"</f>
        <v>H0036490</v>
      </c>
      <c r="B1937" s="5" t="str">
        <f>"LAMPARA DE CALOR RADIANTE (DONACION)"</f>
        <v>LAMPARA DE CALOR RADIANTE (DONACION)</v>
      </c>
      <c r="C1937" s="6">
        <v>10250000</v>
      </c>
      <c r="D1937" s="5" t="s">
        <v>132</v>
      </c>
      <c r="E1937" s="5" t="str">
        <f t="shared" si="102"/>
        <v>ACTISALUD-SALA CUNA-MARIA AUXILIADORA PERTUZ</v>
      </c>
      <c r="F1937" s="5"/>
      <c r="G1937" s="5"/>
    </row>
    <row r="1938" spans="1:7" ht="58.5" customHeight="1" x14ac:dyDescent="0.25">
      <c r="A1938" s="5" t="str">
        <f>"H0036495"</f>
        <v>H0036495</v>
      </c>
      <c r="B1938" s="5" t="str">
        <f>"LAMPARA DE FOTOTERAPIA"</f>
        <v>LAMPARA DE FOTOTERAPIA</v>
      </c>
      <c r="C1938" s="6">
        <v>4300000</v>
      </c>
      <c r="D1938" s="5" t="s">
        <v>132</v>
      </c>
      <c r="E1938" s="5" t="str">
        <f t="shared" si="102"/>
        <v>ACTISALUD-SALA CUNA-MARIA AUXILIADORA PERTUZ</v>
      </c>
      <c r="F1938" s="5"/>
      <c r="G1938" s="5"/>
    </row>
    <row r="1939" spans="1:7" ht="58.5" customHeight="1" x14ac:dyDescent="0.25">
      <c r="A1939" s="5" t="str">
        <f>"H0036496"</f>
        <v>H0036496</v>
      </c>
      <c r="B1939" s="5" t="str">
        <f>"LAMPARA DE FOTOTERAPIA"</f>
        <v>LAMPARA DE FOTOTERAPIA</v>
      </c>
      <c r="C1939" s="6">
        <v>4300000</v>
      </c>
      <c r="D1939" s="5" t="s">
        <v>132</v>
      </c>
      <c r="E1939" s="5" t="str">
        <f t="shared" si="102"/>
        <v>ACTISALUD-SALA CUNA-MARIA AUXILIADORA PERTUZ</v>
      </c>
      <c r="F1939" s="5"/>
      <c r="G1939" s="5"/>
    </row>
    <row r="1940" spans="1:7" ht="58.5" customHeight="1" x14ac:dyDescent="0.25">
      <c r="A1940" s="5" t="str">
        <f>"H0036947"</f>
        <v>H0036947</v>
      </c>
      <c r="B1940" s="5" t="str">
        <f>"LAMPARA DE CALOR RADIANTE (DONACION)"</f>
        <v>LAMPARA DE CALOR RADIANTE (DONACION)</v>
      </c>
      <c r="C1940" s="6">
        <v>10250000</v>
      </c>
      <c r="D1940" s="5" t="s">
        <v>237</v>
      </c>
      <c r="E1940" s="5" t="str">
        <f t="shared" si="102"/>
        <v>ACTISALUD-SALA CUNA-MARIA AUXILIADORA PERTUZ</v>
      </c>
      <c r="F1940" s="5"/>
      <c r="G1940" s="5"/>
    </row>
    <row r="1941" spans="1:7" ht="58.5" customHeight="1" x14ac:dyDescent="0.25">
      <c r="A1941" s="5" t="str">
        <f>"H0036948"</f>
        <v>H0036948</v>
      </c>
      <c r="B1941" s="5" t="str">
        <f>"LAMPARA DE CALOR RADIANTE (DONACION)"</f>
        <v>LAMPARA DE CALOR RADIANTE (DONACION)</v>
      </c>
      <c r="C1941" s="6">
        <v>10250000</v>
      </c>
      <c r="D1941" s="5" t="s">
        <v>237</v>
      </c>
      <c r="E1941" s="5" t="str">
        <f t="shared" si="102"/>
        <v>ACTISALUD-SALA CUNA-MARIA AUXILIADORA PERTUZ</v>
      </c>
      <c r="F1941" s="5"/>
      <c r="G1941" s="5"/>
    </row>
    <row r="1942" spans="1:7" ht="58.5" customHeight="1" x14ac:dyDescent="0.25">
      <c r="A1942" s="5" t="str">
        <f>"H0036991"</f>
        <v>H0036991</v>
      </c>
      <c r="B1942" s="5" t="str">
        <f t="shared" ref="B1942:B1947" si="103">"BOMBA JERINGA (DONACION)"</f>
        <v>BOMBA JERINGA (DONACION)</v>
      </c>
      <c r="C1942" s="6">
        <v>6862152</v>
      </c>
      <c r="D1942" s="5" t="s">
        <v>238</v>
      </c>
      <c r="E1942" s="5" t="str">
        <f t="shared" si="102"/>
        <v>ACTISALUD-SALA CUNA-MARIA AUXILIADORA PERTUZ</v>
      </c>
      <c r="F1942" s="5"/>
      <c r="G1942" s="5"/>
    </row>
    <row r="1943" spans="1:7" ht="58.5" customHeight="1" x14ac:dyDescent="0.25">
      <c r="A1943" s="5" t="str">
        <f>"H0036992"</f>
        <v>H0036992</v>
      </c>
      <c r="B1943" s="5" t="str">
        <f t="shared" si="103"/>
        <v>BOMBA JERINGA (DONACION)</v>
      </c>
      <c r="C1943" s="6">
        <v>6862152</v>
      </c>
      <c r="D1943" s="5" t="s">
        <v>238</v>
      </c>
      <c r="E1943" s="5" t="str">
        <f t="shared" si="102"/>
        <v>ACTISALUD-SALA CUNA-MARIA AUXILIADORA PERTUZ</v>
      </c>
      <c r="F1943" s="5"/>
      <c r="G1943" s="5"/>
    </row>
    <row r="1944" spans="1:7" ht="58.5" customHeight="1" x14ac:dyDescent="0.25">
      <c r="A1944" s="5" t="str">
        <f>"H0036993"</f>
        <v>H0036993</v>
      </c>
      <c r="B1944" s="5" t="str">
        <f t="shared" si="103"/>
        <v>BOMBA JERINGA (DONACION)</v>
      </c>
      <c r="C1944" s="6">
        <v>6862152</v>
      </c>
      <c r="D1944" s="5" t="s">
        <v>238</v>
      </c>
      <c r="E1944" s="5" t="str">
        <f t="shared" si="102"/>
        <v>ACTISALUD-SALA CUNA-MARIA AUXILIADORA PERTUZ</v>
      </c>
      <c r="F1944" s="5"/>
      <c r="G1944" s="5"/>
    </row>
    <row r="1945" spans="1:7" ht="58.5" customHeight="1" x14ac:dyDescent="0.25">
      <c r="A1945" s="5" t="str">
        <f>"H0036994"</f>
        <v>H0036994</v>
      </c>
      <c r="B1945" s="5" t="str">
        <f t="shared" si="103"/>
        <v>BOMBA JERINGA (DONACION)</v>
      </c>
      <c r="C1945" s="6">
        <v>6862152</v>
      </c>
      <c r="D1945" s="5" t="s">
        <v>238</v>
      </c>
      <c r="E1945" s="5" t="str">
        <f t="shared" si="102"/>
        <v>ACTISALUD-SALA CUNA-MARIA AUXILIADORA PERTUZ</v>
      </c>
      <c r="F1945" s="5"/>
      <c r="G1945" s="5"/>
    </row>
    <row r="1946" spans="1:7" ht="58.5" customHeight="1" x14ac:dyDescent="0.25">
      <c r="A1946" s="5" t="str">
        <f>"H0036995"</f>
        <v>H0036995</v>
      </c>
      <c r="B1946" s="5" t="str">
        <f t="shared" si="103"/>
        <v>BOMBA JERINGA (DONACION)</v>
      </c>
      <c r="C1946" s="6">
        <v>6862152</v>
      </c>
      <c r="D1946" s="5" t="s">
        <v>238</v>
      </c>
      <c r="E1946" s="5" t="str">
        <f t="shared" ref="E1946:E1952" si="104">"ACTISALUD-SALA CUNA-MARIA AUXILIADORA PERTUZ"</f>
        <v>ACTISALUD-SALA CUNA-MARIA AUXILIADORA PERTUZ</v>
      </c>
      <c r="F1946" s="5"/>
      <c r="G1946" s="5"/>
    </row>
    <row r="1947" spans="1:7" ht="58.5" customHeight="1" x14ac:dyDescent="0.25">
      <c r="A1947" s="5" t="str">
        <f>"H0036996"</f>
        <v>H0036996</v>
      </c>
      <c r="B1947" s="5" t="str">
        <f t="shared" si="103"/>
        <v>BOMBA JERINGA (DONACION)</v>
      </c>
      <c r="C1947" s="6">
        <v>6862152</v>
      </c>
      <c r="D1947" s="5" t="s">
        <v>238</v>
      </c>
      <c r="E1947" s="5" t="str">
        <f t="shared" si="104"/>
        <v>ACTISALUD-SALA CUNA-MARIA AUXILIADORA PERTUZ</v>
      </c>
      <c r="F1947" s="5"/>
      <c r="G1947" s="5"/>
    </row>
    <row r="1948" spans="1:7" ht="58.5" customHeight="1" x14ac:dyDescent="0.25">
      <c r="A1948" s="5" t="str">
        <f>"H0037848"</f>
        <v>H0037848</v>
      </c>
      <c r="B1948" s="5" t="str">
        <f>"SILLA GERENTE NIZA MEC. BASCULANTE CON BRAZOS."</f>
        <v>SILLA GERENTE NIZA MEC. BASCULANTE CON BRAZOS.</v>
      </c>
      <c r="C1948" s="6">
        <v>710000.01</v>
      </c>
      <c r="D1948" s="5" t="s">
        <v>30</v>
      </c>
      <c r="E1948" s="5" t="str">
        <f t="shared" si="104"/>
        <v>ACTISALUD-SALA CUNA-MARIA AUXILIADORA PERTUZ</v>
      </c>
      <c r="F1948" s="5"/>
      <c r="G1948" s="5"/>
    </row>
    <row r="1949" spans="1:7" ht="58.5" customHeight="1" x14ac:dyDescent="0.25">
      <c r="A1949" s="5" t="str">
        <f>"H0037849"</f>
        <v>H0037849</v>
      </c>
      <c r="B1949" s="5" t="str">
        <f>"SILLA GERENTE NIZA MEC. BASCULANTE CON BRAZOS."</f>
        <v>SILLA GERENTE NIZA MEC. BASCULANTE CON BRAZOS.</v>
      </c>
      <c r="C1949" s="6">
        <v>710000.01</v>
      </c>
      <c r="D1949" s="5" t="s">
        <v>30</v>
      </c>
      <c r="E1949" s="5" t="str">
        <f t="shared" si="104"/>
        <v>ACTISALUD-SALA CUNA-MARIA AUXILIADORA PERTUZ</v>
      </c>
      <c r="F1949" s="5"/>
      <c r="G1949" s="5"/>
    </row>
    <row r="1950" spans="1:7" ht="58.5" customHeight="1" x14ac:dyDescent="0.25">
      <c r="A1950" s="5" t="str">
        <f>"H0037850"</f>
        <v>H0037850</v>
      </c>
      <c r="B1950" s="5" t="str">
        <f>"SILLA GERENTE NIZA MEC. BASCULANTE CON BRAZOS."</f>
        <v>SILLA GERENTE NIZA MEC. BASCULANTE CON BRAZOS.</v>
      </c>
      <c r="C1950" s="6">
        <v>710000.01</v>
      </c>
      <c r="D1950" s="5" t="s">
        <v>30</v>
      </c>
      <c r="E1950" s="5" t="str">
        <f t="shared" si="104"/>
        <v>ACTISALUD-SALA CUNA-MARIA AUXILIADORA PERTUZ</v>
      </c>
      <c r="F1950" s="5"/>
      <c r="G1950" s="5"/>
    </row>
    <row r="1951" spans="1:7" ht="58.5" customHeight="1" x14ac:dyDescent="0.25">
      <c r="A1951" s="5" t="str">
        <f>"H0038680"</f>
        <v>H0038680</v>
      </c>
      <c r="B1951" s="5" t="str">
        <f>"BAÑO MARÍA PARA CALENTAMIENTO DE LECHE MATERNA Y FÓRMULA"</f>
        <v>BAÑO MARÍA PARA CALENTAMIENTO DE LECHE MATERNA Y FÓRMULA</v>
      </c>
      <c r="C1951" s="6">
        <v>9401000</v>
      </c>
      <c r="D1951" s="5" t="s">
        <v>204</v>
      </c>
      <c r="E1951" s="5" t="str">
        <f t="shared" si="104"/>
        <v>ACTISALUD-SALA CUNA-MARIA AUXILIADORA PERTUZ</v>
      </c>
      <c r="F1951" s="5"/>
      <c r="G1951" s="5"/>
    </row>
    <row r="1952" spans="1:7" ht="58.5" customHeight="1" x14ac:dyDescent="0.25">
      <c r="A1952" s="5" t="str">
        <f>"H003946"</f>
        <v>H003946</v>
      </c>
      <c r="B1952" s="5" t="str">
        <f>"LAMPARA DE CALOR RADIANTE (DONACION)"</f>
        <v>LAMPARA DE CALOR RADIANTE (DONACION)</v>
      </c>
      <c r="C1952" s="6">
        <v>10250000</v>
      </c>
      <c r="D1952" s="5" t="s">
        <v>237</v>
      </c>
      <c r="E1952" s="5" t="str">
        <f t="shared" si="104"/>
        <v>ACTISALUD-SALA CUNA-MARIA AUXILIADORA PERTUZ</v>
      </c>
      <c r="F1952" s="5"/>
      <c r="G1952" s="5"/>
    </row>
    <row r="1953" spans="1:7" ht="58.5" customHeight="1" x14ac:dyDescent="0.25">
      <c r="A1953" s="5" t="str">
        <f>"B0004411"</f>
        <v>B0004411</v>
      </c>
      <c r="B1953" s="5" t="str">
        <f>"LARINGOSCOPIO ADULTO"</f>
        <v>LARINGOSCOPIO ADULTO</v>
      </c>
      <c r="C1953" s="6">
        <v>143947.79999999999</v>
      </c>
      <c r="D1953" s="5"/>
      <c r="E1953" s="5" t="str">
        <f t="shared" ref="E1953:E2016" si="105">"ACTISALUD-CIRUGIA GENERAL-GUSTAVO GOMEZ"</f>
        <v>ACTISALUD-CIRUGIA GENERAL-GUSTAVO GOMEZ</v>
      </c>
      <c r="F1953" s="5" t="str">
        <f>"Descripcion: LARINGOSCOPIO SE ENCUENTRA DENTRO DEL CARRO DE PARO Estado: Bueno Placa anterior: 000019225 Material: ACERO INOXIDABLE Color: PLATEADO Referencia:  Observacion:  Placa padre: H0018972Tipo adquisicion: Entidad"</f>
        <v>Descripcion: LARINGOSCOPIO SE ENCUENTRA DENTRO DEL CARRO DE PARO Estado: Bueno Placa anterior: 000019225 Material: ACERO INOXIDABLE Color: PLATEADO Referencia:  Observacion:  Placa padre: H0018972Tipo adquisicion: Entidad</v>
      </c>
      <c r="G1953" s="5"/>
    </row>
    <row r="1954" spans="1:7" ht="58.5" customHeight="1" x14ac:dyDescent="0.25">
      <c r="A1954" s="5" t="str">
        <f>"B0005138"</f>
        <v>B0005138</v>
      </c>
      <c r="B1954" s="5" t="str">
        <f>"EQUIPO DE RETIRO DE PUNTOS"</f>
        <v>EQUIPO DE RETIRO DE PUNTOS</v>
      </c>
      <c r="C1954" s="6">
        <v>106720</v>
      </c>
      <c r="D1954" s="5"/>
      <c r="E1954" s="5" t="str">
        <f t="shared" si="105"/>
        <v>ACTISALUD-CIRUGIA GENERAL-GUSTAVO GOMEZ</v>
      </c>
      <c r="F1954" s="5" t="str">
        <f>"Descripcion: EQUIPO DE RETIRO DE PUNTOS (MCA DIMEGA) UNA PINZA DISECCION CON GARRA ESTRECHA FINA 13 CM CAT. 10.130.13 UNA TIJERA LITTAUER PARA RETIRO DE PUNTOS 14 CM CAT. 08.804.14 Estado: Bueno Placa anterior: 000026083 Material: ACERO INOXIDABLE Color: "&amp; "PLATEADO Referencia:  Observacion:  Placa padre: Tipo adquisicion: Entidad"</f>
        <v>Descripcion: EQUIPO DE RETIRO DE PUNTOS (MCA DIMEGA) UNA PINZA DISECCION CON GARRA ESTRECHA FINA 13 CM CAT. 10.130.13 UNA TIJERA LITTAUER PARA RETIRO DE PUNTOS 14 CM CAT. 08.804.14 Estado: Bueno Placa anterior: 000026083 Material: ACERO INOXIDABLE Color: PLATEADO Referencia:  Observacion:  Placa padre: Tipo adquisicion: Entidad</v>
      </c>
      <c r="G1954" s="5"/>
    </row>
    <row r="1955" spans="1:7" ht="58.5" customHeight="1" x14ac:dyDescent="0.25">
      <c r="A1955" s="5" t="str">
        <f>"B0005139"</f>
        <v>B0005139</v>
      </c>
      <c r="B1955" s="5" t="str">
        <f>"EQUIPO DE PEQUEÑA CIRUGIA"</f>
        <v>EQUIPO DE PEQUEÑA CIRUGIA</v>
      </c>
      <c r="C1955" s="6">
        <v>1334000</v>
      </c>
      <c r="D1955" s="5"/>
      <c r="E1955" s="5" t="str">
        <f t="shared" si="105"/>
        <v>ACTISALUD-CIRUGIA GENERAL-GUSTAVO GOMEZ</v>
      </c>
      <c r="F1955" s="5" t="str">
        <f>"Descripcion: EQUIPO DE PEQUEÑA CIRUGIA (MCA DIMEDA) CONSTA DE : UN MANGO DE BISTURI No. 4 CAT. 06.104.00 UNA PINZA DE DISECCION SIN GARRA 14.5 CM CAT 10.12 0.14 UNA PINZA FOESTER RECTA, PORTA ESPONJA 18 CM CAT. 16.170.18 CUATRO PINZAS KELLY CURVA HEMOSTAT"&amp; "ICA 14 CM CA Estado: Bueno Placa anterior: 000026082 Material: ACERO INOXIDABLE Color: PLATEADO Referencia:  Observacion:  Placa padre: Tipo adquisicion: Entidad"</f>
        <v>Descripcion: EQUIPO DE PEQUEÑA CIRUGIA (MCA DIMEDA) CONSTA DE : UN MANGO DE BISTURI No. 4 CAT. 06.104.00 UNA PINZA DE DISECCION SIN GARRA 14.5 CM CAT 10.12 0.14 UNA PINZA FOESTER RECTA, PORTA ESPONJA 18 CM CAT. 16.170.18 CUATRO PINZAS KELLY CURVA HEMOSTATICA 14 CM CA Estado: Bueno Placa anterior: 000026082 Material: ACERO INOXIDABLE Color: PLATEADO Referencia:  Observacion:  Placa padre: Tipo adquisicion: Entidad</v>
      </c>
      <c r="G1955" s="5"/>
    </row>
    <row r="1956" spans="1:7" ht="58.5" customHeight="1" x14ac:dyDescent="0.25">
      <c r="A1956" s="5" t="str">
        <f>"B0005140"</f>
        <v>B0005140</v>
      </c>
      <c r="B1956" s="5" t="str">
        <f>"EQUIPO DE PEQUEÑA CIRUGIA"</f>
        <v>EQUIPO DE PEQUEÑA CIRUGIA</v>
      </c>
      <c r="C1956" s="6">
        <v>1334000</v>
      </c>
      <c r="D1956" s="5"/>
      <c r="E1956" s="5" t="str">
        <f t="shared" si="105"/>
        <v>ACTISALUD-CIRUGIA GENERAL-GUSTAVO GOMEZ</v>
      </c>
      <c r="F1956" s="5" t="str">
        <f>"Descripcion: EQUIPO DE PEQUEÑA CIRUGIA Estado: Bueno Placa anterior:  Material: ACERO INOXIDABLE Color: PLATEADO Referencia:  Observacion:  Placa padre: Tipo adquisicion: Entidad"</f>
        <v>Descripcion: EQUIPO DE PEQUEÑA CIRUGIA Estado: Bueno Placa anterior:  Material: ACERO INOXIDABLE Color: PLATEADO Referencia:  Observacion:  Placa padre: Tipo adquisicion: Entidad</v>
      </c>
      <c r="G1956" s="5"/>
    </row>
    <row r="1957" spans="1:7" ht="58.5" customHeight="1" x14ac:dyDescent="0.25">
      <c r="A1957" s="5" t="str">
        <f>"B0005141"</f>
        <v>B0005141</v>
      </c>
      <c r="B1957" s="5" t="str">
        <f>"CUBETA DE ACERO INOXIDABLE CON TAPA MEDIANA"</f>
        <v>CUBETA DE ACERO INOXIDABLE CON TAPA MEDIANA</v>
      </c>
      <c r="C1957" s="6">
        <v>14100.8</v>
      </c>
      <c r="D1957" s="5"/>
      <c r="E1957" s="5" t="str">
        <f t="shared" si="105"/>
        <v>ACTISALUD-CIRUGIA GENERAL-GUSTAVO GOMEZ</v>
      </c>
      <c r="F1957" s="5" t="str">
        <f>"Descripcion: CUBETA MEDIANA EN ACERO INOXIDABLE Estado: Bueno Placa anterior: 000027199 Material: ACERO INOXIDABLE Color: PLATEADO Referencia:  Observacion:  Placa padre: Tipo adquisicion: Entidad"</f>
        <v>Descripcion: CUBETA MEDIANA EN ACERO INOXIDABLE Estado: Bueno Placa anterior: 000027199 Material: ACERO INOXIDABLE Color: PLATEADO Referencia:  Observacion:  Placa padre: Tipo adquisicion: Entidad</v>
      </c>
      <c r="G1957" s="5"/>
    </row>
    <row r="1958" spans="1:7" ht="58.5" customHeight="1" x14ac:dyDescent="0.25">
      <c r="A1958" s="5" t="str">
        <f>"B0005142"</f>
        <v>B0005142</v>
      </c>
      <c r="B1958" s="5" t="str">
        <f>"AMBU (RESUCITADOR MANUAL) (BOLSA AUTOINFLABLE) ADULTO"</f>
        <v>AMBU (RESUCITADOR MANUAL) (BOLSA AUTOINFLABLE) ADULTO</v>
      </c>
      <c r="C1958" s="6">
        <v>180728</v>
      </c>
      <c r="D1958" s="5"/>
      <c r="E1958" s="5" t="str">
        <f t="shared" si="105"/>
        <v>ACTISALUD-CIRUGIA GENERAL-GUSTAVO GOMEZ</v>
      </c>
      <c r="F1958" s="5" t="str">
        <f>"Descripcion: AMBU PARA ADULTOSSE ENCUENTRA EN EL CARRO DE PARO Estado: Bueno Placa anterior: 000021083 Material: PLASTICO Color: TRANSPARENTE Referencia:  Observacion:  Placa padre: Tipo adquisicion: Entidad"</f>
        <v>Descripcion: AMBU PARA ADULTOSSE ENCUENTRA EN EL CARRO DE PARO Estado: Bueno Placa anterior: 000021083 Material: PLASTICO Color: TRANSPARENTE Referencia:  Observacion:  Placa padre: Tipo adquisicion: Entidad</v>
      </c>
      <c r="G1958" s="5"/>
    </row>
    <row r="1959" spans="1:7" ht="58.5" customHeight="1" x14ac:dyDescent="0.25">
      <c r="A1959" s="5" t="str">
        <f>"B0005483"</f>
        <v>B0005483</v>
      </c>
      <c r="B1959" s="5" t="str">
        <f>"HOJAS DE LARINGOSCOPIO"</f>
        <v>HOJAS DE LARINGOSCOPIO</v>
      </c>
      <c r="C1959" s="6">
        <v>127600</v>
      </c>
      <c r="D1959" s="5"/>
      <c r="E1959" s="5" t="str">
        <f t="shared" si="105"/>
        <v>ACTISALUD-CIRUGIA GENERAL-GUSTAVO GOMEZ</v>
      </c>
      <c r="F1959" s="5" t="str">
        <f>"Descripcion: HOJA PARA LARINGOSCOPIO # 1 RECTA TIPO MILLER MARCA RUSCH ALEMAN Estado: Bueno Placa anterior: 000022957 Material: ACERO INOXIDABLE Color: PLATEADO Referencia:  Observacion:  Placa padre: Tipo adquisicion: Entidad"</f>
        <v>Descripcion: HOJA PARA LARINGOSCOPIO # 1 RECTA TIPO MILLER MARCA RUSCH ALEMAN Estado: Bueno Placa anterior: 000022957 Material: ACERO INOXIDABLE Color: PLATEADO Referencia:  Observacion:  Placa padre: Tipo adquisicion: Entidad</v>
      </c>
      <c r="G1959" s="5"/>
    </row>
    <row r="1960" spans="1:7" ht="58.5" customHeight="1" x14ac:dyDescent="0.25">
      <c r="A1960" s="5" t="str">
        <f>"B0005484"</f>
        <v>B0005484</v>
      </c>
      <c r="B1960" s="5" t="str">
        <f>"HOJAS DE LARINGOSCOPIO"</f>
        <v>HOJAS DE LARINGOSCOPIO</v>
      </c>
      <c r="C1960" s="6">
        <v>127600</v>
      </c>
      <c r="D1960" s="5"/>
      <c r="E1960" s="5" t="str">
        <f t="shared" si="105"/>
        <v>ACTISALUD-CIRUGIA GENERAL-GUSTAVO GOMEZ</v>
      </c>
      <c r="F1960" s="5" t="str">
        <f>"Descripcion: HOJA PARA LARINGOSCOPIO # 1 RECTA TIPO MILLER MARCA RUSCH ALEMAN Estado: Bueno Placa anterior: 000022958 Material: ACERO INOXIDABLE Color: PLATEADO Referencia:  Observacion:  Placa padre: Tipo adquisicion: Entidad"</f>
        <v>Descripcion: HOJA PARA LARINGOSCOPIO # 1 RECTA TIPO MILLER MARCA RUSCH ALEMAN Estado: Bueno Placa anterior: 000022958 Material: ACERO INOXIDABLE Color: PLATEADO Referencia:  Observacion:  Placa padre: Tipo adquisicion: Entidad</v>
      </c>
      <c r="G1960" s="5"/>
    </row>
    <row r="1961" spans="1:7" ht="58.5" customHeight="1" x14ac:dyDescent="0.25">
      <c r="A1961" s="5" t="str">
        <f>"H00003998"</f>
        <v>H00003998</v>
      </c>
      <c r="B1961" s="5" t="str">
        <f>"CAMILLA DE TRASLADO CON BARANDAS"</f>
        <v>CAMILLA DE TRASLADO CON BARANDAS</v>
      </c>
      <c r="C1961" s="6">
        <v>38995</v>
      </c>
      <c r="D1961" s="5"/>
      <c r="E1961" s="5" t="str">
        <f t="shared" si="105"/>
        <v>ACTISALUD-CIRUGIA GENERAL-GUSTAVO GOMEZ</v>
      </c>
      <c r="F1961" s="5" t="str">
        <f>"Descripcion: COLCHONETADOS PLANOS180X60X87BANDEJA Estado: Excelente Placa anterior: 000022024 Material: METALICO Color: BLANCO Referencia:  Observacion:  Placa padre: Tipo adquisicion: Entidad"</f>
        <v>Descripcion: COLCHONETADOS PLANOS180X60X87BANDEJA Estado: Excelente Placa anterior: 000022024 Material: METALICO Color: BLANCO Referencia:  Observacion:  Placa padre: Tipo adquisicion: Entidad</v>
      </c>
      <c r="G1961" s="5"/>
    </row>
    <row r="1962" spans="1:7" ht="58.5" customHeight="1" x14ac:dyDescent="0.25">
      <c r="A1962" s="5" t="str">
        <f>"H00005015"</f>
        <v>H00005015</v>
      </c>
      <c r="B1962" s="5" t="str">
        <f>"CAMILLA DE TRASLADO CON BARANDAS"</f>
        <v>CAMILLA DE TRASLADO CON BARANDAS</v>
      </c>
      <c r="C1962" s="6">
        <v>1740000</v>
      </c>
      <c r="D1962" s="5"/>
      <c r="E1962" s="5" t="str">
        <f t="shared" si="105"/>
        <v>ACTISALUD-CIRUGIA GENERAL-GUSTAVO GOMEZ</v>
      </c>
      <c r="F1962" s="5" t="str">
        <f>"Descripcion: COLCHONETA CUERO NEGRODOS PLANOS180X60X87BANDEJA Estado: Bueno Placa anterior: 000025892 Material: METALICO Color: BLANCO Referencia:  Observacion: EL BIEN TIENE PLACA ANTERIOR  000029062 FUNCIONARIO AUTORIZA SE CONCILIE CON PLACA  000025892 "&amp; "Placa padre: Tipo adquisicion: Entidad"</f>
        <v>Descripcion: COLCHONETA CUERO NEGRODOS PLANOS180X60X87BANDEJA Estado: Bueno Placa anterior: 000025892 Material: METALICO Color: BLANCO Referencia:  Observacion: EL BIEN TIENE PLACA ANTERIOR  000029062 FUNCIONARIO AUTORIZA SE CONCILIE CON PLACA  000025892 Placa padre: Tipo adquisicion: Entidad</v>
      </c>
      <c r="G1962" s="5"/>
    </row>
    <row r="1963" spans="1:7" ht="58.5" customHeight="1" x14ac:dyDescent="0.25">
      <c r="A1963" s="5" t="str">
        <f>"H00005016"</f>
        <v>H00005016</v>
      </c>
      <c r="B1963" s="5" t="str">
        <f>"PATO (COPROLOGICO) MUJER"</f>
        <v>PATO (COPROLOGICO) MUJER</v>
      </c>
      <c r="C1963" s="6">
        <v>25206.18</v>
      </c>
      <c r="D1963" s="5"/>
      <c r="E1963" s="5" t="str">
        <f t="shared" si="105"/>
        <v>ACTISALUD-CIRUGIA GENERAL-GUSTAVO GOMEZ</v>
      </c>
      <c r="F1963" s="5" t="str">
        <f>"Descripcion: . Estado: Bueno Placa anterior: 000003415 Material: ACERO INOXIDABLE Color:  Referencia:  Observacion:  Placa padre: Tipo adquisicion: Entidad"</f>
        <v>Descripcion: . Estado: Bueno Placa anterior: 000003415 Material: ACERO INOXIDABLE Color:  Referencia:  Observacion:  Placa padre: Tipo adquisicion: Entidad</v>
      </c>
      <c r="G1963" s="5"/>
    </row>
    <row r="1964" spans="1:7" ht="58.5" customHeight="1" x14ac:dyDescent="0.25">
      <c r="A1964" s="5" t="str">
        <f>"H00005017"</f>
        <v>H00005017</v>
      </c>
      <c r="B1964" s="5" t="str">
        <f>"PATO (COPROLOGICO) MUJER"</f>
        <v>PATO (COPROLOGICO) MUJER</v>
      </c>
      <c r="C1964" s="6">
        <v>25206.18</v>
      </c>
      <c r="D1964" s="5"/>
      <c r="E1964" s="5" t="str">
        <f t="shared" si="105"/>
        <v>ACTISALUD-CIRUGIA GENERAL-GUSTAVO GOMEZ</v>
      </c>
      <c r="F1964" s="5" t="str">
        <f>"Descripcion: . Estado: Bueno Placa anterior: 000003483 Material: ACERO INOXIDABLE Color:  Referencia:  Observacion:  Placa padre: Tipo adquisicion: Entidad"</f>
        <v>Descripcion: . Estado: Bueno Placa anterior: 000003483 Material: ACERO INOXIDABLE Color:  Referencia:  Observacion:  Placa padre: Tipo adquisicion: Entidad</v>
      </c>
      <c r="G1964" s="5"/>
    </row>
    <row r="1965" spans="1:7" ht="58.5" customHeight="1" x14ac:dyDescent="0.25">
      <c r="A1965" s="5" t="str">
        <f>"H00005018"</f>
        <v>H00005018</v>
      </c>
      <c r="B1965" s="5" t="str">
        <f>"PATO (COPROLOGICO) MUJER"</f>
        <v>PATO (COPROLOGICO) MUJER</v>
      </c>
      <c r="C1965" s="6">
        <v>25206.18</v>
      </c>
      <c r="D1965" s="5"/>
      <c r="E1965" s="5" t="str">
        <f t="shared" si="105"/>
        <v>ACTISALUD-CIRUGIA GENERAL-GUSTAVO GOMEZ</v>
      </c>
      <c r="F1965" s="5" t="str">
        <f>"Descripcion: . Estado: Bueno Placa anterior: 000003792 Material: ACERO INOXIDABLE Color:  Referencia:  Observacion:  Placa padre: Tipo adquisicion: Entidad"</f>
        <v>Descripcion: . Estado: Bueno Placa anterior: 000003792 Material: ACERO INOXIDABLE Color:  Referencia:  Observacion:  Placa padre: Tipo adquisicion: Entidad</v>
      </c>
      <c r="G1965" s="5"/>
    </row>
    <row r="1966" spans="1:7" ht="58.5" customHeight="1" x14ac:dyDescent="0.25">
      <c r="A1966" s="5" t="str">
        <f>"H00005019"</f>
        <v>H00005019</v>
      </c>
      <c r="B1966" s="5" t="str">
        <f>"PATO (COPROLOGICO) MUJER"</f>
        <v>PATO (COPROLOGICO) MUJER</v>
      </c>
      <c r="C1966" s="6">
        <v>25206.18</v>
      </c>
      <c r="D1966" s="5"/>
      <c r="E1966" s="5" t="str">
        <f t="shared" si="105"/>
        <v>ACTISALUD-CIRUGIA GENERAL-GUSTAVO GOMEZ</v>
      </c>
      <c r="F1966" s="5" t="str">
        <f>"Descripcion: . Estado: Bueno Placa anterior: 000003485 Material: ACERO INOXIDABLE Color:  Referencia:  Observacion:  Placa padre: Tipo adquisicion: Entidad"</f>
        <v>Descripcion: . Estado: Bueno Placa anterior: 000003485 Material: ACERO INOXIDABLE Color:  Referencia:  Observacion:  Placa padre: Tipo adquisicion: Entidad</v>
      </c>
      <c r="G1966" s="5"/>
    </row>
    <row r="1967" spans="1:7" ht="58.5" customHeight="1" x14ac:dyDescent="0.25">
      <c r="A1967" s="5" t="str">
        <f>"H00005022"</f>
        <v>H00005022</v>
      </c>
      <c r="B1967" s="5" t="str">
        <f>"PATO (PISINGO) HOMBRE"</f>
        <v>PATO (PISINGO) HOMBRE</v>
      </c>
      <c r="C1967" s="6">
        <v>11033.66</v>
      </c>
      <c r="D1967" s="5"/>
      <c r="E1967" s="5" t="str">
        <f t="shared" si="105"/>
        <v>ACTISALUD-CIRUGIA GENERAL-GUSTAVO GOMEZ</v>
      </c>
      <c r="F1967" s="5" t="str">
        <f>"Descripcion: . Estado: Bueno Placa anterior: 000026512 Material: ACERO INOXIDABLE Color:  Referencia:  Observacion:  Placa padre: Tipo adquisicion: Entidad"</f>
        <v>Descripcion: . Estado: Bueno Placa anterior: 000026512 Material: ACERO INOXIDABLE Color:  Referencia:  Observacion:  Placa padre: Tipo adquisicion: Entidad</v>
      </c>
      <c r="G1967" s="5"/>
    </row>
    <row r="1968" spans="1:7" ht="58.5" customHeight="1" x14ac:dyDescent="0.25">
      <c r="A1968" s="5" t="str">
        <f>"H00005023"</f>
        <v>H00005023</v>
      </c>
      <c r="B1968" s="5" t="str">
        <f>"RIÑONERA HOSPITALARIA EN ACERO INOXIDABLE"</f>
        <v>RIÑONERA HOSPITALARIA EN ACERO INOXIDABLE</v>
      </c>
      <c r="C1968" s="6">
        <v>2661.24</v>
      </c>
      <c r="D1968" s="5"/>
      <c r="E1968" s="5" t="str">
        <f t="shared" si="105"/>
        <v>ACTISALUD-CIRUGIA GENERAL-GUSTAVO GOMEZ</v>
      </c>
      <c r="F1968" s="5" t="str">
        <f>"Descripcion: . Estado: Bueno Placa anterior: 000003743 Material: ACERO INOXIDABLE Color:  Referencia:  Observacion:  Placa padre: Tipo adquisicion: Entidad"</f>
        <v>Descripcion: . Estado: Bueno Placa anterior: 000003743 Material: ACERO INOXIDABLE Color:  Referencia:  Observacion:  Placa padre: Tipo adquisicion: Entidad</v>
      </c>
      <c r="G1968" s="5"/>
    </row>
    <row r="1969" spans="1:7" ht="58.5" customHeight="1" x14ac:dyDescent="0.25">
      <c r="A1969" s="5" t="str">
        <f>"H00005024"</f>
        <v>H00005024</v>
      </c>
      <c r="B1969" s="5" t="str">
        <f>"PATO (COPROLOGICO) MUJER"</f>
        <v>PATO (COPROLOGICO) MUJER</v>
      </c>
      <c r="C1969" s="6">
        <v>25206.18</v>
      </c>
      <c r="D1969" s="5"/>
      <c r="E1969" s="5" t="str">
        <f t="shared" si="105"/>
        <v>ACTISALUD-CIRUGIA GENERAL-GUSTAVO GOMEZ</v>
      </c>
      <c r="F1969" s="5" t="str">
        <f>"Descripcion: . Estado: Bueno Placa anterior: 000003722 Material: ACERO INOXIDABLE Color:  Referencia:  Observacion:  Placa padre: Tipo adquisicion: Entidad"</f>
        <v>Descripcion: . Estado: Bueno Placa anterior: 000003722 Material: ACERO INOXIDABLE Color:  Referencia:  Observacion:  Placa padre: Tipo adquisicion: Entidad</v>
      </c>
      <c r="G1969" s="5"/>
    </row>
    <row r="1970" spans="1:7" ht="58.5" customHeight="1" x14ac:dyDescent="0.25">
      <c r="A1970" s="5" t="str">
        <f>"H00005028"</f>
        <v>H00005028</v>
      </c>
      <c r="B1970" s="5" t="str">
        <f>"GABINETE CONTRA INCENDIO"</f>
        <v>GABINETE CONTRA INCENDIO</v>
      </c>
      <c r="C1970" s="6">
        <v>171000</v>
      </c>
      <c r="D1970" s="5"/>
      <c r="E1970" s="5" t="str">
        <f t="shared" si="105"/>
        <v>ACTISALUD-CIRUGIA GENERAL-GUSTAVO GOMEZ</v>
      </c>
      <c r="F1970" s="5" t="str">
        <f>"Descripcion: LLAVE SPANNER DOBLE SERVICIOEXTINTOR DE POLVO QUÍMICO SECO ABC MULTIPROPÓSITO DE 10 LIBRAS AMARILLOHACHA PICO DE 4 ½LBMANGUERA CONTRA INCENDIOVÁLVULA ANGULAR TIPO GLOBO Estado: Bueno Placa anterior: 000019072 Material: METALICO Color: GRIS Re"&amp; "ferencia:  Observacion:  Placa padre: Tipo adquisicion: Entidad"</f>
        <v>Descripcion: LLAVE SPANNER DOBLE SERVICIOEXTINTOR DE POLVO QUÍMICO SECO ABC MULTIPROPÓSITO DE 10 LIBRAS AMARILLOHACHA PICO DE 4 ½LBMANGUERA CONTRA INCENDIOVÁLVULA ANGULAR TIPO GLOBO Estado: Bueno Placa anterior: 000019072 Material: METALICO Color: GRIS Referencia:  Observacion:  Placa padre: Tipo adquisicion: Entidad</v>
      </c>
      <c r="G1970" s="5"/>
    </row>
    <row r="1971" spans="1:7" ht="58.5" customHeight="1" x14ac:dyDescent="0.25">
      <c r="A1971" s="5" t="str">
        <f>"H00005029"</f>
        <v>H00005029</v>
      </c>
      <c r="B1971" s="5" t="str">
        <f>"BUTACO GIRATORIO SIN RUEDAS"</f>
        <v>BUTACO GIRATORIO SIN RUEDAS</v>
      </c>
      <c r="C1971" s="6">
        <v>6930</v>
      </c>
      <c r="D1971" s="5"/>
      <c r="E1971" s="5" t="str">
        <f t="shared" si="105"/>
        <v>ACTISALUD-CIRUGIA GENERAL-GUSTAVO GOMEZ</v>
      </c>
      <c r="F1971" s="5" t="str">
        <f>"Descripcion: SIN ASIENTO Estado: Inservible Placa anterior: 000025537 Material: METALICO Color: BEIGE Referencia:  Observacion:  Placa padre: Tipo adquisicion: Entidad"</f>
        <v>Descripcion: SIN ASIENTO Estado: Inservible Placa anterior: 000025537 Material: METALICO Color: BEIGE Referencia:  Observacion:  Placa padre: Tipo adquisicion: Entidad</v>
      </c>
      <c r="G1971" s="5"/>
    </row>
    <row r="1972" spans="1:7" ht="58.5" customHeight="1" x14ac:dyDescent="0.25">
      <c r="A1972" s="5" t="str">
        <f>"H0001717"</f>
        <v>H0001717</v>
      </c>
      <c r="B1972" s="5" t="str">
        <f>"PATO (COPROLOGICO) MUJER"</f>
        <v>PATO (COPROLOGICO) MUJER</v>
      </c>
      <c r="C1972" s="6">
        <v>9821.3799999999992</v>
      </c>
      <c r="D1972" s="5"/>
      <c r="E1972" s="5" t="str">
        <f t="shared" si="105"/>
        <v>ACTISALUD-CIRUGIA GENERAL-GUSTAVO GOMEZ</v>
      </c>
      <c r="F1972" s="5" t="str">
        <f>"Descripcion: PATO (COPROLOGICO) MUJER Estado: Bueno Placa anterior: 000004548 Material: ACERO INOXIDABLE Color:  Referencia:  Observacion:  Placa padre: Tipo adquisicion: Entidad"</f>
        <v>Descripcion: PATO (COPROLOGICO) MUJER Estado: Bueno Placa anterior: 000004548 Material: ACERO INOXIDABLE Color:  Referencia:  Observacion:  Placa padre: Tipo adquisicion: Entidad</v>
      </c>
      <c r="G1972" s="5"/>
    </row>
    <row r="1973" spans="1:7" ht="58.5" customHeight="1" x14ac:dyDescent="0.25">
      <c r="A1973" s="5" t="str">
        <f>"H0001775"</f>
        <v>H0001775</v>
      </c>
      <c r="B1973" s="5" t="str">
        <f>"VITRINA DE 2 CUERPOS"</f>
        <v>VITRINA DE 2 CUERPOS</v>
      </c>
      <c r="C1973" s="6">
        <v>102600</v>
      </c>
      <c r="D1973" s="5"/>
      <c r="E1973" s="5" t="str">
        <f t="shared" si="105"/>
        <v>ACTISALUD-CIRUGIA GENERAL-GUSTAVO GOMEZ</v>
      </c>
      <c r="F1973" s="5" t="str">
        <f>"Descripcion: VITRINA DE 2 CUERPOS MEDIDAS 129X93X38 Estado: Bueno Placa anterior: 000004578 Material: METALICO Color: GRIS Referencia:  Observacion: PLACA NO ENCONTRADA 000000629, AUTORIZADO CONCILIAR EN CRUCE GENERAL Placa padre: Tipo adquisicion: Entida"&amp; "d"</f>
        <v>Descripcion: VITRINA DE 2 CUERPOS MEDIDAS 129X93X38 Estado: Bueno Placa anterior: 000004578 Material: METALICO Color: GRIS Referencia:  Observacion: PLACA NO ENCONTRADA 000000629, AUTORIZADO CONCILIAR EN CRUCE GENERAL Placa padre: Tipo adquisicion: Entidad</v>
      </c>
      <c r="G1973" s="5"/>
    </row>
    <row r="1974" spans="1:7" ht="58.5" customHeight="1" x14ac:dyDescent="0.25">
      <c r="A1974" s="5" t="str">
        <f>"H0001871"</f>
        <v>H0001871</v>
      </c>
      <c r="B1974" s="5" t="str">
        <f>"MESA PUENTE (ALIMENTACION) (INSTRUMENTAL)"</f>
        <v>MESA PUENTE (ALIMENTACION) (INSTRUMENTAL)</v>
      </c>
      <c r="C1974" s="6">
        <v>180000</v>
      </c>
      <c r="D1974" s="5" t="s">
        <v>63</v>
      </c>
      <c r="E1974" s="5" t="str">
        <f t="shared" si="105"/>
        <v>ACTISALUD-CIRUGIA GENERAL-GUSTAVO GOMEZ</v>
      </c>
      <c r="F1974" s="5" t="str">
        <f>"Descripcion:MESA PUENTE (DONACION ESTIPULADA EN EL CONTRATO 190/2015) Estado: Excelente Placa anterior: 000037191 Material: METALICO CON MESON EN FORMICA Color: BEIGE CON MADERA CLARO Referencia:  Observacion:  Placa padre:  Tipo adquisicion : Donacion"</f>
        <v>Descripcion:MESA PUENTE (DONACION ESTIPULADA EN EL CONTRATO 190/2015) Estado: Excelente Placa anterior: 000037191 Material: METALICO CON MESON EN FORMICA Color: BEIGE CON MADERA CLARO Referencia:  Observacion:  Placa padre:  Tipo adquisicion : Donacion</v>
      </c>
      <c r="G1974" s="5"/>
    </row>
    <row r="1975" spans="1:7" ht="58.5" customHeight="1" x14ac:dyDescent="0.25">
      <c r="A1975" s="5" t="str">
        <f>"H0001884"</f>
        <v>H0001884</v>
      </c>
      <c r="B1975" s="5" t="str">
        <f>"MESA PUENTE (ALIMENTACION) (INSTRUMENTAL)"</f>
        <v>MESA PUENTE (ALIMENTACION) (INSTRUMENTAL)</v>
      </c>
      <c r="C1975" s="6">
        <v>180000</v>
      </c>
      <c r="D1975" s="5" t="s">
        <v>63</v>
      </c>
      <c r="E1975" s="5" t="str">
        <f t="shared" si="105"/>
        <v>ACTISALUD-CIRUGIA GENERAL-GUSTAVO GOMEZ</v>
      </c>
      <c r="F1975" s="5" t="str">
        <f>"Descripcion:MESA PUENTE (DONACION ESTIPULADA EN EL CONTRATO 190/2015) Estado: Excelente Placa anterior: 000037192 Material: METALICO CON MESON EN FORMICA Color: BEIGE CON MADERA CLARO Referencia:  Observacion:  Placa padre:  Tipo adquisicion : Donacion"</f>
        <v>Descripcion:MESA PUENTE (DONACION ESTIPULADA EN EL CONTRATO 190/2015) Estado: Excelente Placa anterior: 000037192 Material: METALICO CON MESON EN FORMICA Color: BEIGE CON MADERA CLARO Referencia:  Observacion:  Placa padre:  Tipo adquisicion : Donacion</v>
      </c>
      <c r="G1975" s="5"/>
    </row>
    <row r="1976" spans="1:7" ht="58.5" customHeight="1" x14ac:dyDescent="0.25">
      <c r="A1976" s="5" t="str">
        <f>"H0002415"</f>
        <v>H0002415</v>
      </c>
      <c r="B1976" s="5" t="str">
        <f>"COMPUTADOR TODO EN UNO"</f>
        <v>COMPUTADOR TODO EN UNO</v>
      </c>
      <c r="C1976" s="6">
        <v>2470000</v>
      </c>
      <c r="D1976" s="5"/>
      <c r="E1976" s="5" t="str">
        <f t="shared" si="105"/>
        <v>ACTISALUD-CIRUGIA GENERAL-GUSTAVO GOMEZ</v>
      </c>
      <c r="F1976" s="5" t="str">
        <f>"Descripcion:EQUIPO DE COMPUTO TODO EN UNO CON PROCESADOR INTEL i5 Estado: Excelente Placa anterior: 000037289 Material: PASTA Color: NEGRO Referencia: 10BDFDLS Observacion:  Placa anterior:, Placa nueva=H0002416, Descripcion:TECLADO USB LENOVO, Serial:825"&amp; "9066, Marca:LENOVO, Modelo:KU-0225, Material:PASTA, Color:NEGRO,   Referencia:54Y9424, Placa anterior:, Placa nueva=H0002417, Descripcion:MOUSE USB  3 BOTONES, Serial:44PC947, Marca:LENOVO, Modelo:45J4889, Material:PASTA, Color:NEGRO,   Referencia: Placa "&amp; "padre:  Tipo adquisicion : Entidad"</f>
        <v>Descripcion:EQUIPO DE COMPUTO TODO EN UNO CON PROCESADOR INTEL i5 Estado: Excelente Placa anterior: 000037289 Material: PASTA Color: NEGRO Referencia: 10BDFDLS Observacion:  Placa anterior:, Placa nueva=H0002416, Descripcion:TECLADO USB LENOVO, Serial:8259066, Marca:LENOVO, Modelo:KU-0225, Material:PASTA, Color:NEGRO,   Referencia:54Y9424, Placa anterior:, Placa nueva=H0002417, Descripcion:MOUSE USB  3 BOTONES, Serial:44PC947, Marca:LENOVO, Modelo:45J4889, Material:PASTA, Color:NEGRO,   Referencia: Placa padre:  Tipo adquisicion : Entidad</v>
      </c>
      <c r="G1976" s="5" t="str">
        <f>"00FDLS"</f>
        <v>00FDLS</v>
      </c>
    </row>
    <row r="1977" spans="1:7" ht="58.5" customHeight="1" x14ac:dyDescent="0.25">
      <c r="A1977" s="5" t="str">
        <f>"H0002531"</f>
        <v>H0002531</v>
      </c>
      <c r="B1977" s="5" t="str">
        <f>"PATO (COPROLOGICO) MUJER"</f>
        <v>PATO (COPROLOGICO) MUJER</v>
      </c>
      <c r="C1977" s="6">
        <v>43881.89</v>
      </c>
      <c r="D1977" s="5"/>
      <c r="E1977" s="5" t="str">
        <f t="shared" si="105"/>
        <v>ACTISALUD-CIRUGIA GENERAL-GUSTAVO GOMEZ</v>
      </c>
      <c r="F1977" s="5" t="str">
        <f>"Descripcion: PATO COPROLOGICO MUJER Estado: Bueno Placa anterior: 000004904 Material: ACERO INOXIDABLE Color: PLATEADO Referencia:  Observacion: ESTA EN EL CUARTO DE ASEO Placa padre: Tipo adquisicion: Entidad"</f>
        <v>Descripcion: PATO COPROLOGICO MUJER Estado: Bueno Placa anterior: 000004904 Material: ACERO INOXIDABLE Color: PLATEADO Referencia:  Observacion: ESTA EN EL CUARTO DE ASEO Placa padre: Tipo adquisicion: Entidad</v>
      </c>
      <c r="G1977" s="5"/>
    </row>
    <row r="1978" spans="1:7" ht="58.5" customHeight="1" x14ac:dyDescent="0.25">
      <c r="A1978" s="5" t="str">
        <f>"H0002687"</f>
        <v>H0002687</v>
      </c>
      <c r="B1978" s="5" t="str">
        <f>"COMPUTADOR PORTATIL"</f>
        <v>COMPUTADOR PORTATIL</v>
      </c>
      <c r="C1978" s="6">
        <v>2250000</v>
      </c>
      <c r="D1978" s="5"/>
      <c r="E1978" s="5" t="str">
        <f t="shared" si="105"/>
        <v>ACTISALUD-CIRUGIA GENERAL-GUSTAVO GOMEZ</v>
      </c>
      <c r="F1978" s="5" t="str">
        <f>"Descripcion:PC PORTATIL CON PROCESADOR 15 500gb DISCO DURO 4GB EN MEMORIA RAM Estado: Excelente Placa anterior: 000037042 Material: PASTA Color: NEGRO Referencia:  Observacion: PANTALLA DE 14 , PROCESADOR INTEL CORE i5 Placa padre:  Tipo adquisicion : Ent"&amp; "idad"</f>
        <v>Descripcion:PC PORTATIL CON PROCESADOR 15 500gb DISCO DURO 4GB EN MEMORIA RAM Estado: Excelente Placa anterior: 000037042 Material: PASTA Color: NEGRO Referencia:  Observacion: PANTALLA DE 14 , PROCESADOR INTEL CORE i5 Placa padre:  Tipo adquisicion : Entidad</v>
      </c>
      <c r="G1978" s="5" t="str">
        <f>"CB0505084E"</f>
        <v>CB0505084E</v>
      </c>
    </row>
    <row r="1979" spans="1:7" ht="58.5" customHeight="1" x14ac:dyDescent="0.25">
      <c r="A1979" s="5" t="str">
        <f>"H0002753"</f>
        <v>H0002753</v>
      </c>
      <c r="B1979" s="5" t="str">
        <f>"CAMA DESCANSO (SOFACAMA)"</f>
        <v>CAMA DESCANSO (SOFACAMA)</v>
      </c>
      <c r="C1979" s="6">
        <v>1220000</v>
      </c>
      <c r="D1979" s="5"/>
      <c r="E1979" s="5" t="str">
        <f t="shared" si="105"/>
        <v>ACTISALUD-CIRUGIA GENERAL-GUSTAVO GOMEZ</v>
      </c>
      <c r="F1979" s="5" t="str">
        <f>"Descripcion:SOFA CAMA SOFA CAMA Estado: Excelente Placa anterior: 000037989 Material: METAL Y MADERA Color: BEIGE Y MADERA Referencia:  Observacion: ESTA UBICADO EN EL PASILLO BOD. 1 Placa padre:  Tipo adquisicion : Entidad"</f>
        <v>Descripcion:SOFA CAMA SOFA CAMA Estado: Excelente Placa anterior: 000037989 Material: METAL Y MADERA Color: BEIGE Y MADERA Referencia:  Observacion: ESTA UBICADO EN EL PASILLO BOD. 1 Placa padre:  Tipo adquisicion : Entidad</v>
      </c>
      <c r="G1979" s="5"/>
    </row>
    <row r="1980" spans="1:7" ht="58.5" customHeight="1" x14ac:dyDescent="0.25">
      <c r="A1980" s="5" t="str">
        <f>"H0002909"</f>
        <v>H0002909</v>
      </c>
      <c r="B1980" s="5" t="str">
        <f>"VITRINA DE 2 CUERPOS"</f>
        <v>VITRINA DE 2 CUERPOS</v>
      </c>
      <c r="C1980" s="6">
        <v>118712</v>
      </c>
      <c r="D1980" s="5"/>
      <c r="E1980" s="5" t="str">
        <f t="shared" si="105"/>
        <v>ACTISALUD-CIRUGIA GENERAL-GUSTAVO GOMEZ</v>
      </c>
      <c r="F1980" s="5" t="str">
        <f>"Descripcion: VITRINA DE 2 CUERPOS GRANDE Estado: Bueno Placa anterior: 000003249 Material: MADERA Y VIDRIO Color: MADERA Referencia:  Observacion: 1ER. CUERPO: 4 PTAS CON CHAPA2DO. CUERPO: 6 PUERTAS Y 6 GAVETAS, CON 2 NIVELES. Placa padre: Tipo adquisicio"&amp; "n: Entidad"</f>
        <v>Descripcion: VITRINA DE 2 CUERPOS GRANDE Estado: Bueno Placa anterior: 000003249 Material: MADERA Y VIDRIO Color: MADERA Referencia:  Observacion: 1ER. CUERPO: 4 PTAS CON CHAPA2DO. CUERPO: 6 PUERTAS Y 6 GAVETAS, CON 2 NIVELES. Placa padre: Tipo adquisicion: Entidad</v>
      </c>
      <c r="G1980" s="5"/>
    </row>
    <row r="1981" spans="1:7" ht="58.5" customHeight="1" x14ac:dyDescent="0.25">
      <c r="A1981" s="5" t="str">
        <f>"H0002941"</f>
        <v>H0002941</v>
      </c>
      <c r="B1981" s="5" t="str">
        <f>"MESA (SUPERFICIE) MODULAR"</f>
        <v>MESA (SUPERFICIE) MODULAR</v>
      </c>
      <c r="C1981" s="6">
        <v>77520</v>
      </c>
      <c r="D1981" s="5"/>
      <c r="E1981" s="5" t="str">
        <f t="shared" si="105"/>
        <v>ACTISALUD-CIRUGIA GENERAL-GUSTAVO GOMEZ</v>
      </c>
      <c r="F1981" s="5" t="str">
        <f>"Descripcion:MESA PARA IMPRESORA - 2 NIVELES Estado: Bueno Placa anterior: 000001194 Material: MADERA Color: NEGRO, MADERA Y BEIGE Referencia:  Observacion:  Placa padre:  Tipo adquisicion : Entidad"</f>
        <v>Descripcion:MESA PARA IMPRESORA - 2 NIVELES Estado: Bueno Placa anterior: 000001194 Material: MADERA Color: NEGRO, MADERA Y BEIGE Referencia:  Observacion:  Placa padre:  Tipo adquisicion : Entidad</v>
      </c>
      <c r="G1981" s="5"/>
    </row>
    <row r="1982" spans="1:7" ht="58.5" customHeight="1" x14ac:dyDescent="0.25">
      <c r="A1982" s="5" t="str">
        <f>"H0003947"</f>
        <v>H0003947</v>
      </c>
      <c r="B1982" s="5" t="str">
        <f>"MESA PUENTE (ALIMENTACION) (INSTRUMENTAL)"</f>
        <v>MESA PUENTE (ALIMENTACION) (INSTRUMENTAL)</v>
      </c>
      <c r="C1982" s="6">
        <v>15000</v>
      </c>
      <c r="D1982" s="5"/>
      <c r="E1982" s="5" t="str">
        <f t="shared" si="105"/>
        <v>ACTISALUD-CIRUGIA GENERAL-GUSTAVO GOMEZ</v>
      </c>
      <c r="F1982" s="5" t="str">
        <f>"Descripcion: 80X37X108 Estado: Bueno Placa anterior: 000026555 Material: ACERO INOXIDABLE Color: BEIGE Referencia:  Observacion:  Placa padre: Tipo adquisicion: Entidad"</f>
        <v>Descripcion: 80X37X108 Estado: Bueno Placa anterior: 000026555 Material: ACERO INOXIDABLE Color: BEIGE Referencia:  Observacion:  Placa padre: Tipo adquisicion: Entidad</v>
      </c>
      <c r="G1982" s="5"/>
    </row>
    <row r="1983" spans="1:7" ht="58.5" customHeight="1" x14ac:dyDescent="0.25">
      <c r="A1983" s="5" t="str">
        <f>"H0003950"</f>
        <v>H0003950</v>
      </c>
      <c r="B1983" s="5" t="str">
        <f>"RIÑONERA HOSPITALARIA EN ACERO INOXIDABLE"</f>
        <v>RIÑONERA HOSPITALARIA EN ACERO INOXIDABLE</v>
      </c>
      <c r="C1983" s="6">
        <v>2661.24</v>
      </c>
      <c r="D1983" s="5"/>
      <c r="E1983" s="5" t="str">
        <f t="shared" si="105"/>
        <v>ACTISALUD-CIRUGIA GENERAL-GUSTAVO GOMEZ</v>
      </c>
      <c r="F1983" s="5" t="str">
        <f>"Descripcion: . Estado: Bueno Placa anterior: 000003744 Material: ACERO INOXIDABLE Color:  Referencia:  Observacion:  Placa padre: Tipo adquisicion: Entidad"</f>
        <v>Descripcion: . Estado: Bueno Placa anterior: 000003744 Material: ACERO INOXIDABLE Color:  Referencia:  Observacion:  Placa padre: Tipo adquisicion: Entidad</v>
      </c>
      <c r="G1983" s="5"/>
    </row>
    <row r="1984" spans="1:7" ht="58.5" customHeight="1" x14ac:dyDescent="0.25">
      <c r="A1984" s="5" t="str">
        <f>"H0003953"</f>
        <v>H0003953</v>
      </c>
      <c r="B1984" s="5" t="str">
        <f>"MESA PUENTE (ALIMENTACION) (INSTRUMENTAL)"</f>
        <v>MESA PUENTE (ALIMENTACION) (INSTRUMENTAL)</v>
      </c>
      <c r="C1984" s="6">
        <v>15000</v>
      </c>
      <c r="D1984" s="5"/>
      <c r="E1984" s="5" t="str">
        <f t="shared" si="105"/>
        <v>ACTISALUD-CIRUGIA GENERAL-GUSTAVO GOMEZ</v>
      </c>
      <c r="F1984" s="5" t="str">
        <f>"Descripcion: 80X37X108 Estado: Bueno Placa anterior: 000026557 Material: ACERO INOXIDABLE Color: BEIGE Referencia:  Observacion:  Placa padre: Tipo adquisicion: Entidad"</f>
        <v>Descripcion: 80X37X108 Estado: Bueno Placa anterior: 000026557 Material: ACERO INOXIDABLE Color: BEIGE Referencia:  Observacion:  Placa padre: Tipo adquisicion: Entidad</v>
      </c>
      <c r="G1984" s="5"/>
    </row>
    <row r="1985" spans="1:7" ht="58.5" customHeight="1" x14ac:dyDescent="0.25">
      <c r="A1985" s="5" t="str">
        <f>"H0003955"</f>
        <v>H0003955</v>
      </c>
      <c r="B1985" s="5" t="str">
        <f>"ESCALERILLA DE 2 PASOS"</f>
        <v>ESCALERILLA DE 2 PASOS</v>
      </c>
      <c r="C1985" s="6">
        <v>100000</v>
      </c>
      <c r="D1985" s="5" t="s">
        <v>49</v>
      </c>
      <c r="E1985" s="5" t="str">
        <f t="shared" si="105"/>
        <v>ACTISALUD-CIRUGIA GENERAL-GUSTAVO GOMEZ</v>
      </c>
      <c r="F1985" s="5" t="str">
        <f>"Descripcion: ESCALERILLA DE DOS PASOS EN MADERA EN TUBO REDONDO Estado: Bueno Placa anterior: 000029926 Material: METALICO Color: GRIS Referencia:  Observacion:  Placa padre: Tipo adquisicion: Entidad"</f>
        <v>Descripcion: ESCALERILLA DE DOS PASOS EN MADERA EN TUBO REDONDO Estado: Bueno Placa anterior: 000029926 Material: METALICO Color: GRIS Referencia:  Observacion:  Placa padre: Tipo adquisicion: Entidad</v>
      </c>
      <c r="G1985" s="5"/>
    </row>
    <row r="1986" spans="1:7" ht="58.5" customHeight="1" x14ac:dyDescent="0.25">
      <c r="A1986" s="5" t="str">
        <f>"H0003957"</f>
        <v>H0003957</v>
      </c>
      <c r="B1986" s="5" t="str">
        <f>"MESA PUENTE (ALIMENTACION) (INSTRUMENTAL)"</f>
        <v>MESA PUENTE (ALIMENTACION) (INSTRUMENTAL)</v>
      </c>
      <c r="C1986" s="6">
        <v>15000</v>
      </c>
      <c r="D1986" s="5"/>
      <c r="E1986" s="5" t="str">
        <f t="shared" si="105"/>
        <v>ACTISALUD-CIRUGIA GENERAL-GUSTAVO GOMEZ</v>
      </c>
      <c r="F1986" s="5" t="str">
        <f>"Descripcion: 80X37X108RODACHINES Estado: Bueno Placa anterior: 000026560 Material: ACERO INOXIDABLE Color: GRIS Referencia:  Observacion:  Placa padre: Tipo adquisicion: Entidad"</f>
        <v>Descripcion: 80X37X108RODACHINES Estado: Bueno Placa anterior: 000026560 Material: ACERO INOXIDABLE Color: GRIS Referencia:  Observacion:  Placa padre: Tipo adquisicion: Entidad</v>
      </c>
      <c r="G1986" s="5"/>
    </row>
    <row r="1987" spans="1:7" ht="58.5" customHeight="1" x14ac:dyDescent="0.25">
      <c r="A1987" s="5" t="str">
        <f>"H0003958"</f>
        <v>H0003958</v>
      </c>
      <c r="B1987" s="5" t="str">
        <f>"MESA DE NOCHE"</f>
        <v>MESA DE NOCHE</v>
      </c>
      <c r="C1987" s="6">
        <v>327586</v>
      </c>
      <c r="D1987" s="5"/>
      <c r="E1987" s="5" t="str">
        <f t="shared" si="105"/>
        <v>ACTISALUD-CIRUGIA GENERAL-GUSTAVO GOMEZ</v>
      </c>
      <c r="F1987" s="5" t="str">
        <f>"Descripcion: . Estado: Bueno Placa anterior: 000028921 Material: ACERO INOXIDABLE Color:  Referencia:  Observacion:  Placa padre: Tipo adquisicion: Entidad"</f>
        <v>Descripcion: . Estado: Bueno Placa anterior: 000028921 Material: ACERO INOXIDABLE Color:  Referencia:  Observacion:  Placa padre: Tipo adquisicion: Entidad</v>
      </c>
      <c r="G1987" s="5"/>
    </row>
    <row r="1988" spans="1:7" ht="58.5" customHeight="1" x14ac:dyDescent="0.25">
      <c r="A1988" s="5" t="str">
        <f>"H0003959"</f>
        <v>H0003959</v>
      </c>
      <c r="B1988" s="5" t="str">
        <f>"ESCALERILLA DE 2 PASOS"</f>
        <v>ESCALERILLA DE 2 PASOS</v>
      </c>
      <c r="C1988" s="6">
        <v>100000</v>
      </c>
      <c r="D1988" s="5" t="s">
        <v>49</v>
      </c>
      <c r="E1988" s="5" t="str">
        <f t="shared" si="105"/>
        <v>ACTISALUD-CIRUGIA GENERAL-GUSTAVO GOMEZ</v>
      </c>
      <c r="F1988" s="5" t="str">
        <f>"Descripcion: ESCALERILLA DE DOS PASOS EN MADERA EN TUBO REDONDO Estado: Bueno Placa anterior: 000029930 Material: METALICO MADERA Color: GRIS Referencia:  Observacion:  Placa padre: Tipo adquisicion: Entidad"</f>
        <v>Descripcion: ESCALERILLA DE DOS PASOS EN MADERA EN TUBO REDONDO Estado: Bueno Placa anterior: 000029930 Material: METALICO MADERA Color: GRIS Referencia:  Observacion:  Placa padre: Tipo adquisicion: Entidad</v>
      </c>
      <c r="G1988" s="5"/>
    </row>
    <row r="1989" spans="1:7" ht="58.5" customHeight="1" x14ac:dyDescent="0.25">
      <c r="A1989" s="5" t="str">
        <f>"H0003960"</f>
        <v>H0003960</v>
      </c>
      <c r="B1989" s="5" t="str">
        <f>"SILLA PLASTICA CON BRAZOS"</f>
        <v>SILLA PLASTICA CON BRAZOS</v>
      </c>
      <c r="C1989" s="6">
        <v>10440</v>
      </c>
      <c r="D1989" s="5"/>
      <c r="E1989" s="5" t="str">
        <f t="shared" si="105"/>
        <v>ACTISALUD-CIRUGIA GENERAL-GUSTAVO GOMEZ</v>
      </c>
      <c r="F1989" s="5" t="str">
        <f>"Descripcion: . Estado: Bueno Placa anterior: 000003675 Material: PLASTICO Color: BLANCO Referencia:  Observacion:  Placa padre: Tipo adquisicion: Entidad"</f>
        <v>Descripcion: . Estado: Bueno Placa anterior: 000003675 Material: PLASTICO Color: BLANCO Referencia:  Observacion:  Placa padre: Tipo adquisicion: Entidad</v>
      </c>
      <c r="G1989" s="5"/>
    </row>
    <row r="1990" spans="1:7" ht="58.5" customHeight="1" x14ac:dyDescent="0.25">
      <c r="A1990" s="5" t="str">
        <f>"H0003961"</f>
        <v>H0003961</v>
      </c>
      <c r="B1990" s="5" t="str">
        <f>"SILLA PLASTICA CON BRAZOS"</f>
        <v>SILLA PLASTICA CON BRAZOS</v>
      </c>
      <c r="C1990" s="6">
        <v>10440</v>
      </c>
      <c r="D1990" s="5"/>
      <c r="E1990" s="5" t="str">
        <f t="shared" si="105"/>
        <v>ACTISALUD-CIRUGIA GENERAL-GUSTAVO GOMEZ</v>
      </c>
      <c r="F1990" s="5" t="str">
        <f>"Descripcion: . Estado: Bueno Placa anterior: 000003782 Material: PLASTICO Color: BLANCO Referencia:  Observacion:  Placa padre: Tipo adquisicion: Entidad"</f>
        <v>Descripcion: . Estado: Bueno Placa anterior: 000003782 Material: PLASTICO Color: BLANCO Referencia:  Observacion:  Placa padre: Tipo adquisicion: Entidad</v>
      </c>
      <c r="G1990" s="5"/>
    </row>
    <row r="1991" spans="1:7" ht="58.5" customHeight="1" x14ac:dyDescent="0.25">
      <c r="A1991" s="5" t="str">
        <f>"H0003962"</f>
        <v>H0003962</v>
      </c>
      <c r="B1991" s="5" t="str">
        <f>"MESA DE NOCHE"</f>
        <v>MESA DE NOCHE</v>
      </c>
      <c r="C1991" s="6">
        <v>327586</v>
      </c>
      <c r="D1991" s="5"/>
      <c r="E1991" s="5" t="str">
        <f t="shared" si="105"/>
        <v>ACTISALUD-CIRUGIA GENERAL-GUSTAVO GOMEZ</v>
      </c>
      <c r="F1991" s="5" t="str">
        <f>"Descripcion: . Estado: Bueno Placa anterior: 000028906 Material: ACERO INOXIDABLE Color:  Referencia:  Observacion:  Placa padre: Tipo adquisicion: Entidad"</f>
        <v>Descripcion: . Estado: Bueno Placa anterior: 000028906 Material: ACERO INOXIDABLE Color:  Referencia:  Observacion:  Placa padre: Tipo adquisicion: Entidad</v>
      </c>
      <c r="G1991" s="5"/>
    </row>
    <row r="1992" spans="1:7" ht="58.5" customHeight="1" x14ac:dyDescent="0.25">
      <c r="A1992" s="5" t="str">
        <f>"H0003963"</f>
        <v>H0003963</v>
      </c>
      <c r="B1992" s="5" t="str">
        <f>"MESA DE NOCHE"</f>
        <v>MESA DE NOCHE</v>
      </c>
      <c r="C1992" s="6">
        <v>313200</v>
      </c>
      <c r="D1992" s="5"/>
      <c r="E1992" s="5" t="str">
        <f t="shared" si="105"/>
        <v>ACTISALUD-CIRUGIA GENERAL-GUSTAVO GOMEZ</v>
      </c>
      <c r="F1992" s="5" t="str">
        <f>"Descripcion: . Estado: Malo Placa anterior: 000025145 Material:  Color:  Referencia:  Observacion:  Placa padre: Tipo adquisicion: Entidad"</f>
        <v>Descripcion: . Estado: Malo Placa anterior: 000025145 Material:  Color:  Referencia:  Observacion:  Placa padre: Tipo adquisicion: Entidad</v>
      </c>
      <c r="G1992" s="5"/>
    </row>
    <row r="1993" spans="1:7" ht="58.5" customHeight="1" x14ac:dyDescent="0.25">
      <c r="A1993" s="5" t="str">
        <f>"H0003965"</f>
        <v>H0003965</v>
      </c>
      <c r="B1993" s="5" t="str">
        <f>"MESA PUENTE (ALIMENTACION) (INSTRUMENTAL)"</f>
        <v>MESA PUENTE (ALIMENTACION) (INSTRUMENTAL)</v>
      </c>
      <c r="C1993" s="6">
        <v>15000</v>
      </c>
      <c r="D1993" s="5"/>
      <c r="E1993" s="5" t="str">
        <f t="shared" si="105"/>
        <v>ACTISALUD-CIRUGIA GENERAL-GUSTAVO GOMEZ</v>
      </c>
      <c r="F1993" s="5" t="str">
        <f>"Descripcion: BANDEJA EN ACERO INOXIDABLE Estado: Bueno Placa anterior: 000026563 Material: METALICO Color: BEIGE Referencia:  Observacion:  Placa padre: Tipo adquisicion: Entidad"</f>
        <v>Descripcion: BANDEJA EN ACERO INOXIDABLE Estado: Bueno Placa anterior: 000026563 Material: METALICO Color: BEIGE Referencia:  Observacion:  Placa padre: Tipo adquisicion: Entidad</v>
      </c>
      <c r="G1993" s="5"/>
    </row>
    <row r="1994" spans="1:7" ht="58.5" customHeight="1" x14ac:dyDescent="0.25">
      <c r="A1994" s="5" t="str">
        <f>"H0003968"</f>
        <v>H0003968</v>
      </c>
      <c r="B1994" s="5" t="str">
        <f>"MESA PUENTE (ALIMENTACION) (INSTRUMENTAL)"</f>
        <v>MESA PUENTE (ALIMENTACION) (INSTRUMENTAL)</v>
      </c>
      <c r="C1994" s="6">
        <v>15000</v>
      </c>
      <c r="D1994" s="5"/>
      <c r="E1994" s="5" t="str">
        <f t="shared" si="105"/>
        <v>ACTISALUD-CIRUGIA GENERAL-GUSTAVO GOMEZ</v>
      </c>
      <c r="F1994" s="5" t="str">
        <f>"Descripcion: BANDEJA EN ACERO INOXIDABLE Estado: Bueno Placa anterior: 000026565 Material: METALICO Color: BEIGE Referencia:  Observacion:  Placa padre: Tipo adquisicion: Entidad"</f>
        <v>Descripcion: BANDEJA EN ACERO INOXIDABLE Estado: Bueno Placa anterior: 000026565 Material: METALICO Color: BEIGE Referencia:  Observacion:  Placa padre: Tipo adquisicion: Entidad</v>
      </c>
      <c r="G1994" s="5"/>
    </row>
    <row r="1995" spans="1:7" ht="58.5" customHeight="1" x14ac:dyDescent="0.25">
      <c r="A1995" s="5" t="str">
        <f>"H0003969"</f>
        <v>H0003969</v>
      </c>
      <c r="B1995" s="5" t="str">
        <f>"MESA DE NOCHE"</f>
        <v>MESA DE NOCHE</v>
      </c>
      <c r="C1995" s="6">
        <v>327586</v>
      </c>
      <c r="D1995" s="5"/>
      <c r="E1995" s="5" t="str">
        <f t="shared" si="105"/>
        <v>ACTISALUD-CIRUGIA GENERAL-GUSTAVO GOMEZ</v>
      </c>
      <c r="F1995" s="5" t="str">
        <f>"Descripcion: . Estado: Bueno Placa anterior: 000028919 Material: ACERO INOXIDABLE Color:  Referencia:  Observacion:  Placa padre: Tipo adquisicion: Entidad"</f>
        <v>Descripcion: . Estado: Bueno Placa anterior: 000028919 Material: ACERO INOXIDABLE Color:  Referencia:  Observacion:  Placa padre: Tipo adquisicion: Entidad</v>
      </c>
      <c r="G1995" s="5"/>
    </row>
    <row r="1996" spans="1:7" ht="58.5" customHeight="1" x14ac:dyDescent="0.25">
      <c r="A1996" s="5" t="str">
        <f>"H0003972"</f>
        <v>H0003972</v>
      </c>
      <c r="B1996" s="5" t="str">
        <f>"SILLA PLASTICA CON BRAZOS"</f>
        <v>SILLA PLASTICA CON BRAZOS</v>
      </c>
      <c r="C1996" s="6">
        <v>12240.32</v>
      </c>
      <c r="D1996" s="5"/>
      <c r="E1996" s="5" t="str">
        <f t="shared" si="105"/>
        <v>ACTISALUD-CIRUGIA GENERAL-GUSTAVO GOMEZ</v>
      </c>
      <c r="F1996" s="5" t="str">
        <f>"Descripcion: . Estado: Bueno Placa anterior: 000004058 Material: PLASTICO Color: BLANCO Referencia:  Observacion:  Placa padre: Tipo adquisicion: Entidad"</f>
        <v>Descripcion: . Estado: Bueno Placa anterior: 000004058 Material: PLASTICO Color: BLANCO Referencia:  Observacion:  Placa padre: Tipo adquisicion: Entidad</v>
      </c>
      <c r="G1996" s="5"/>
    </row>
    <row r="1997" spans="1:7" ht="58.5" customHeight="1" x14ac:dyDescent="0.25">
      <c r="A1997" s="5" t="str">
        <f>"H0003973"</f>
        <v>H0003973</v>
      </c>
      <c r="B1997" s="5" t="str">
        <f>"MESA DE NOCHE"</f>
        <v>MESA DE NOCHE</v>
      </c>
      <c r="C1997" s="6">
        <v>327586</v>
      </c>
      <c r="D1997" s="5"/>
      <c r="E1997" s="5" t="str">
        <f t="shared" si="105"/>
        <v>ACTISALUD-CIRUGIA GENERAL-GUSTAVO GOMEZ</v>
      </c>
      <c r="F1997" s="5" t="str">
        <f>"Descripcion: . Estado: Regular Placa anterior: 000028903 Material: ACERO INOXIDABLE Color:  Referencia:  Observacion:  Placa padre: Tipo adquisicion: Entidad"</f>
        <v>Descripcion: . Estado: Regular Placa anterior: 000028903 Material: ACERO INOXIDABLE Color:  Referencia:  Observacion:  Placa padre: Tipo adquisicion: Entidad</v>
      </c>
      <c r="G1997" s="5"/>
    </row>
    <row r="1998" spans="1:7" ht="58.5" customHeight="1" x14ac:dyDescent="0.25">
      <c r="A1998" s="5" t="str">
        <f>"H0003975"</f>
        <v>H0003975</v>
      </c>
      <c r="B1998" s="5" t="str">
        <f>"MESA PUENTE (ALIMENTACION) (INSTRUMENTAL)"</f>
        <v>MESA PUENTE (ALIMENTACION) (INSTRUMENTAL)</v>
      </c>
      <c r="C1998" s="6">
        <v>15000</v>
      </c>
      <c r="D1998" s="5"/>
      <c r="E1998" s="5" t="str">
        <f t="shared" si="105"/>
        <v>ACTISALUD-CIRUGIA GENERAL-GUSTAVO GOMEZ</v>
      </c>
      <c r="F1998" s="5" t="str">
        <f>"Descripcion: BANDEJA EN ACERO INOXIDABLE Estado: Regular Placa anterior: 000026567 Material: METALICO Color: BEIGE Referencia:  Observacion:  Placa padre: Tipo adquisicion: Entidad"</f>
        <v>Descripcion: BANDEJA EN ACERO INOXIDABLE Estado: Regular Placa anterior: 000026567 Material: METALICO Color: BEIGE Referencia:  Observacion:  Placa padre: Tipo adquisicion: Entidad</v>
      </c>
      <c r="G1998" s="5"/>
    </row>
    <row r="1999" spans="1:7" ht="58.5" customHeight="1" x14ac:dyDescent="0.25">
      <c r="A1999" s="5" t="str">
        <f>"H0003977"</f>
        <v>H0003977</v>
      </c>
      <c r="B1999" s="5" t="str">
        <f>"MESA PUENTE (ALIMENTACION) (INSTRUMENTAL)"</f>
        <v>MESA PUENTE (ALIMENTACION) (INSTRUMENTAL)</v>
      </c>
      <c r="C1999" s="6">
        <v>15000</v>
      </c>
      <c r="D1999" s="5"/>
      <c r="E1999" s="5" t="str">
        <f t="shared" si="105"/>
        <v>ACTISALUD-CIRUGIA GENERAL-GUSTAVO GOMEZ</v>
      </c>
      <c r="F1999" s="5" t="str">
        <f>"Descripcion: BANDEJA EN ACERO INOXIDABLE Estado: Regular Placa anterior: 000026570 Material: METALICO Color: BEIGE Referencia:  Observacion:  Placa padre: Tipo adquisicion: Entidad"</f>
        <v>Descripcion: BANDEJA EN ACERO INOXIDABLE Estado: Regular Placa anterior: 000026570 Material: METALICO Color: BEIGE Referencia:  Observacion:  Placa padre: Tipo adquisicion: Entidad</v>
      </c>
      <c r="G1999" s="5"/>
    </row>
    <row r="2000" spans="1:7" ht="58.5" customHeight="1" x14ac:dyDescent="0.25">
      <c r="A2000" s="5" t="str">
        <f>"H0003978"</f>
        <v>H0003978</v>
      </c>
      <c r="B2000" s="5" t="str">
        <f>"MESA DE NOCHE"</f>
        <v>MESA DE NOCHE</v>
      </c>
      <c r="C2000" s="6">
        <v>313200</v>
      </c>
      <c r="D2000" s="5"/>
      <c r="E2000" s="5" t="str">
        <f t="shared" si="105"/>
        <v>ACTISALUD-CIRUGIA GENERAL-GUSTAVO GOMEZ</v>
      </c>
      <c r="F2000" s="5" t="str">
        <f>"Descripcion: . Estado: Regular Placa anterior: 000025185 Material: METALICO Color: GRIS Referencia:  Observacion:  Placa padre: Tipo adquisicion: Entidad"</f>
        <v>Descripcion: . Estado: Regular Placa anterior: 000025185 Material: METALICO Color: GRIS Referencia:  Observacion:  Placa padre: Tipo adquisicion: Entidad</v>
      </c>
      <c r="G2000" s="5"/>
    </row>
    <row r="2001" spans="1:7" ht="58.5" customHeight="1" x14ac:dyDescent="0.25">
      <c r="A2001" s="5" t="str">
        <f>"H0003979"</f>
        <v>H0003979</v>
      </c>
      <c r="B2001" s="5" t="str">
        <f>"ESCALERILLA DE 2 PASOS"</f>
        <v>ESCALERILLA DE 2 PASOS</v>
      </c>
      <c r="C2001" s="6">
        <v>100000</v>
      </c>
      <c r="D2001" s="5" t="s">
        <v>49</v>
      </c>
      <c r="E2001" s="5" t="str">
        <f t="shared" si="105"/>
        <v>ACTISALUD-CIRUGIA GENERAL-GUSTAVO GOMEZ</v>
      </c>
      <c r="F2001" s="5" t="str">
        <f>"Descripcion: ESCALERILLA DE DOS PASOS EN MADERA COLOR BLANCO EN TUBO REDONDO Estado: Regular Placa anterior: 000029923 Material: METALICO Color: GRIS Referencia:  Observacion:  Placa padre: Tipo adquisicion: Entidad"</f>
        <v>Descripcion: ESCALERILLA DE DOS PASOS EN MADERA COLOR BLANCO EN TUBO REDONDO Estado: Regular Placa anterior: 000029923 Material: METALICO Color: GRIS Referencia:  Observacion:  Placa padre: Tipo adquisicion: Entidad</v>
      </c>
      <c r="G2001" s="5"/>
    </row>
    <row r="2002" spans="1:7" ht="58.5" customHeight="1" x14ac:dyDescent="0.25">
      <c r="A2002" s="5" t="str">
        <f>"H0003981"</f>
        <v>H0003981</v>
      </c>
      <c r="B2002" s="5" t="str">
        <f>"MESA DE NOCHE"</f>
        <v>MESA DE NOCHE</v>
      </c>
      <c r="C2002" s="6">
        <v>313200</v>
      </c>
      <c r="D2002" s="5"/>
      <c r="E2002" s="5" t="str">
        <f t="shared" si="105"/>
        <v>ACTISALUD-CIRUGIA GENERAL-GUSTAVO GOMEZ</v>
      </c>
      <c r="F2002" s="5" t="str">
        <f>"Descripcion: OXIDO, Gabinete construido en lamina COLF-ROLL 18 cmm en formica, faveta y alacena de una puerta con manija DIMENSIONES APROXIMADA: 0.38 mts, ancho x 0.42 mts de largo x 0.80 mts de alto. Acabado en general en pintura polvo electrostatica. Co"&amp; "lor almendra Estado: Bueno Placa anterior: 000025179 Material: METALICO Color: GRIS Referencia:  Observacion:  Placa padre: Tipo adquisicion: Entidad"</f>
        <v>Descripcion: OXIDO, Gabinete construido en lamina COLF-ROLL 18 cmm en formica, faveta y alacena de una puerta con manija DIMENSIONES APROXIMADA: 0.38 mts, ancho x 0.42 mts de largo x 0.80 mts de alto. Acabado en general en pintura polvo electrostatica. Color almendra Estado: Bueno Placa anterior: 000025179 Material: METALICO Color: GRIS Referencia:  Observacion:  Placa padre: Tipo adquisicion: Entidad</v>
      </c>
      <c r="G2002" s="5"/>
    </row>
    <row r="2003" spans="1:7" ht="58.5" customHeight="1" x14ac:dyDescent="0.25">
      <c r="A2003" s="5" t="str">
        <f>"H0003984"</f>
        <v>H0003984</v>
      </c>
      <c r="B2003" s="5" t="str">
        <f>"MESA PUENTE (ALIMENTACION) (INSTRUMENTAL)"</f>
        <v>MESA PUENTE (ALIMENTACION) (INSTRUMENTAL)</v>
      </c>
      <c r="C2003" s="6">
        <v>15000</v>
      </c>
      <c r="D2003" s="5"/>
      <c r="E2003" s="5" t="str">
        <f t="shared" si="105"/>
        <v>ACTISALUD-CIRUGIA GENERAL-GUSTAVO GOMEZ</v>
      </c>
      <c r="F2003" s="5" t="str">
        <f>"Descripcion: BANDEJA EN ACERO INOXIDABLE Estado: Bueno Placa anterior: 000026577 Material: METALICO Color: BEIGE Referencia:  Observacion:  Placa padre: Tipo adquisicion: Entidad"</f>
        <v>Descripcion: BANDEJA EN ACERO INOXIDABLE Estado: Bueno Placa anterior: 000026577 Material: METALICO Color: BEIGE Referencia:  Observacion:  Placa padre: Tipo adquisicion: Entidad</v>
      </c>
      <c r="G2003" s="5"/>
    </row>
    <row r="2004" spans="1:7" ht="58.5" customHeight="1" x14ac:dyDescent="0.25">
      <c r="A2004" s="5" t="str">
        <f>"H0003989"</f>
        <v>H0003989</v>
      </c>
      <c r="B2004" s="5" t="str">
        <f>"MESA PUENTE (ALIMENTACION) (INSTRUMENTAL)"</f>
        <v>MESA PUENTE (ALIMENTACION) (INSTRUMENTAL)</v>
      </c>
      <c r="C2004" s="6">
        <v>15000</v>
      </c>
      <c r="D2004" s="5"/>
      <c r="E2004" s="5" t="str">
        <f t="shared" si="105"/>
        <v>ACTISALUD-CIRUGIA GENERAL-GUSTAVO GOMEZ</v>
      </c>
      <c r="F2004" s="5" t="str">
        <f>"Descripcion: OXIDO, BANDEJA EN ACERO INOXIDABLE Estado: Bueno Placa anterior: 000026552 Material: METALICO Color: BEIGE Referencia:  Observacion:  Placa padre: Tipo adquisicion: Entidad"</f>
        <v>Descripcion: OXIDO, BANDEJA EN ACERO INOXIDABLE Estado: Bueno Placa anterior: 000026552 Material: METALICO Color: BEIGE Referencia:  Observacion:  Placa padre: Tipo adquisicion: Entidad</v>
      </c>
      <c r="G2004" s="5"/>
    </row>
    <row r="2005" spans="1:7" ht="58.5" customHeight="1" x14ac:dyDescent="0.25">
      <c r="A2005" s="5" t="str">
        <f>"H0003995"</f>
        <v>H0003995</v>
      </c>
      <c r="B2005" s="5" t="str">
        <f>"MESA PUENTE (ALIMENTACION) (INSTRUMENTAL)"</f>
        <v>MESA PUENTE (ALIMENTACION) (INSTRUMENTAL)</v>
      </c>
      <c r="C2005" s="6">
        <v>15000</v>
      </c>
      <c r="D2005" s="5"/>
      <c r="E2005" s="5" t="str">
        <f t="shared" si="105"/>
        <v>ACTISALUD-CIRUGIA GENERAL-GUSTAVO GOMEZ</v>
      </c>
      <c r="F2005" s="5" t="str">
        <f>"Descripcion: BANDEJA EN ACERO INOXIDABLE Estado: Bueno Placa anterior: 000026592 Material: METALICO Color: BEIGE Referencia:  Observacion:  Placa padre: Tipo adquisicion: Entidad"</f>
        <v>Descripcion: BANDEJA EN ACERO INOXIDABLE Estado: Bueno Placa anterior: 000026592 Material: METALICO Color: BEIGE Referencia:  Observacion:  Placa padre: Tipo adquisicion: Entidad</v>
      </c>
      <c r="G2005" s="5"/>
    </row>
    <row r="2006" spans="1:7" ht="58.5" customHeight="1" x14ac:dyDescent="0.25">
      <c r="A2006" s="5" t="str">
        <f>"H0003996"</f>
        <v>H0003996</v>
      </c>
      <c r="B2006" s="5" t="str">
        <f>"ESCALERILLA DE 2 PASOS"</f>
        <v>ESCALERILLA DE 2 PASOS</v>
      </c>
      <c r="C2006" s="6">
        <v>4455</v>
      </c>
      <c r="D2006" s="5"/>
      <c r="E2006" s="5" t="str">
        <f t="shared" si="105"/>
        <v>ACTISALUD-CIRUGIA GENERAL-GUSTAVO GOMEZ</v>
      </c>
      <c r="F2006" s="5" t="str">
        <f>"Descripcion: ESCALA TIPO B (2 PASOS)PASOS EN MADERAOXIDO Estado: Bueno Placa anterior: 000003700 Material: METALICO Color: GRIS Referencia:  Observacion:  Placa padre: Tipo adquisicion: Entidad"</f>
        <v>Descripcion: ESCALA TIPO B (2 PASOS)PASOS EN MADERAOXIDO Estado: Bueno Placa anterior: 000003700 Material: METALICO Color: GRIS Referencia:  Observacion:  Placa padre: Tipo adquisicion: Entidad</v>
      </c>
      <c r="G2006" s="5"/>
    </row>
    <row r="2007" spans="1:7" ht="58.5" customHeight="1" x14ac:dyDescent="0.25">
      <c r="A2007" s="5" t="str">
        <f>"H0003999"</f>
        <v>H0003999</v>
      </c>
      <c r="B2007" s="5" t="str">
        <f>"MESA DE NOCHE"</f>
        <v>MESA DE NOCHE</v>
      </c>
      <c r="C2007" s="6">
        <v>327586</v>
      </c>
      <c r="D2007" s="5"/>
      <c r="E2007" s="5" t="str">
        <f t="shared" si="105"/>
        <v>ACTISALUD-CIRUGIA GENERAL-GUSTAVO GOMEZ</v>
      </c>
      <c r="F2007" s="5" t="str">
        <f>"Descripcion: . Estado: Bueno Placa anterior: 000028912 Material: ACERO INOXIDABLE Color:  Referencia:  Observacion:  Placa padre: Tipo adquisicion: Entidad"</f>
        <v>Descripcion: . Estado: Bueno Placa anterior: 000028912 Material: ACERO INOXIDABLE Color:  Referencia:  Observacion:  Placa padre: Tipo adquisicion: Entidad</v>
      </c>
      <c r="G2007" s="5"/>
    </row>
    <row r="2008" spans="1:7" ht="58.5" customHeight="1" x14ac:dyDescent="0.25">
      <c r="A2008" s="5" t="str">
        <f>"H0004290"</f>
        <v>H0004290</v>
      </c>
      <c r="B2008" s="5" t="str">
        <f>"TELEVISOR TRC 20"</f>
        <v>TELEVISOR TRC 20</v>
      </c>
      <c r="C2008" s="6">
        <v>445000</v>
      </c>
      <c r="D2008" s="5"/>
      <c r="E2008" s="5" t="str">
        <f t="shared" si="105"/>
        <v>ACTISALUD-CIRUGIA GENERAL-GUSTAVO GOMEZ</v>
      </c>
      <c r="F2008" s="5" t="str">
        <f>"Descripcion: TELEVISOR A COLOR DE 20 P. MARCA LG. REF: CP-20J52/20CB 20 Estado: Bueno Placa anterior: 000022645 Material: PASTA Color: NEGRO GRIS Referencia:  Observacion:  Placa padre: Tipo adquisicion: Entidad"</f>
        <v>Descripcion: TELEVISOR A COLOR DE 20 P. MARCA LG. REF: CP-20J52/20CB 20 Estado: Bueno Placa anterior: 000022645 Material: PASTA Color: NEGRO GRIS Referencia:  Observacion:  Placa padre: Tipo adquisicion: Entidad</v>
      </c>
      <c r="G2008" s="5" t="str">
        <f>"RP-20CB20A"</f>
        <v>RP-20CB20A</v>
      </c>
    </row>
    <row r="2009" spans="1:7" ht="58.5" customHeight="1" x14ac:dyDescent="0.25">
      <c r="A2009" s="5" t="str">
        <f>"H0004609"</f>
        <v>H0004609</v>
      </c>
      <c r="B2009" s="5" t="str">
        <f>"SILLA RECLINOMATICA"</f>
        <v>SILLA RECLINOMATICA</v>
      </c>
      <c r="C2009" s="6">
        <v>1220000</v>
      </c>
      <c r="D2009" s="5" t="s">
        <v>63</v>
      </c>
      <c r="E2009" s="5" t="str">
        <f t="shared" si="105"/>
        <v>ACTISALUD-CIRUGIA GENERAL-GUSTAVO GOMEZ</v>
      </c>
      <c r="F2009"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000037966 Material: SINTETICO MADERA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000037966 Material: SINTETICO MADERA Color: AZUL Referencia:  Observacion:  Placa padre: Tipo adquisicion: Entidad</v>
      </c>
      <c r="G2009" s="5"/>
    </row>
    <row r="2010" spans="1:7" ht="58.5" customHeight="1" x14ac:dyDescent="0.25">
      <c r="A2010" s="5" t="str">
        <f>"H0004690"</f>
        <v>H0004690</v>
      </c>
      <c r="B2010" s="5" t="str">
        <f>"GABINETE CONTRA INCENDIO"</f>
        <v>GABINETE CONTRA INCENDIO</v>
      </c>
      <c r="C2010" s="6">
        <v>171000</v>
      </c>
      <c r="D2010" s="5"/>
      <c r="E2010" s="5" t="str">
        <f t="shared" si="105"/>
        <v>ACTISALUD-CIRUGIA GENERAL-GUSTAVO GOMEZ</v>
      </c>
      <c r="F2010" s="5" t="str">
        <f>"Descripcion: EXTINTOR AMARILLO DE 10 LB UNA HACHA Y MANGUERA Estado: Bueno Placa anterior: 000019079 Material: METAL Y VIDRIO Color: AMARILLO Y ROJO Referencia:  Observacion:  Placa padre: Tipo adquisicion: Entidad"</f>
        <v>Descripcion: EXTINTOR AMARILLO DE 10 LB UNA HACHA Y MANGUERA Estado: Bueno Placa anterior: 000019079 Material: METAL Y VIDRIO Color: AMARILLO Y ROJO Referencia:  Observacion:  Placa padre: Tipo adquisicion: Entidad</v>
      </c>
      <c r="G2010" s="5"/>
    </row>
    <row r="2011" spans="1:7" ht="58.5" customHeight="1" x14ac:dyDescent="0.25">
      <c r="A2011" s="5" t="str">
        <f>"H0004692"</f>
        <v>H0004692</v>
      </c>
      <c r="B2011" s="5" t="str">
        <f>"GABINETE CONTRA INCENDIO"</f>
        <v>GABINETE CONTRA INCENDIO</v>
      </c>
      <c r="C2011" s="6">
        <v>171000</v>
      </c>
      <c r="D2011" s="5"/>
      <c r="E2011" s="5" t="str">
        <f t="shared" si="105"/>
        <v>ACTISALUD-CIRUGIA GENERAL-GUSTAVO GOMEZ</v>
      </c>
      <c r="F2011" s="5" t="str">
        <f>"Descripcion: EXTINTOR AMARILLO DE 10 LB UNA HACHA Y MANGUERA Estado: Bueno Placa anterior: 000019080 Material: METAL Y VIDRIO Color: AMARILLO Y ROJO Referencia:  Observacion:  Placa padre: Tipo adquisicion: Entidad"</f>
        <v>Descripcion: EXTINTOR AMARILLO DE 10 LB UNA HACHA Y MANGUERA Estado: Bueno Placa anterior: 000019080 Material: METAL Y VIDRIO Color: AMARILLO Y ROJO Referencia:  Observacion:  Placa padre: Tipo adquisicion: Entidad</v>
      </c>
      <c r="G2011" s="5"/>
    </row>
    <row r="2012" spans="1:7" ht="58.5" customHeight="1" x14ac:dyDescent="0.25">
      <c r="A2012" s="5" t="str">
        <f>"H0004694"</f>
        <v>H0004694</v>
      </c>
      <c r="B2012" s="5" t="str">
        <f>"ATRIL PORTASUERO MOVIL"</f>
        <v>ATRIL PORTASUERO MOVIL</v>
      </c>
      <c r="C2012" s="6">
        <v>210000</v>
      </c>
      <c r="D2012" s="5" t="s">
        <v>50</v>
      </c>
      <c r="E2012" s="5" t="str">
        <f t="shared" si="105"/>
        <v>ACTISALUD-CIRUGIA GENERAL-GUSTAVO GOMEZ</v>
      </c>
      <c r="F2012" s="5" t="str">
        <f>"Descripcion: CON RODACHINES Estado: Bueno Placa anterior: 000029669 Material: METALICO Color: PLATA Referencia:  Observacion:  Placa padre: Tipo adquisicion: Entidad"</f>
        <v>Descripcion: CON RODACHINES Estado: Bueno Placa anterior: 000029669 Material: METALICO Color: PLATA Referencia:  Observacion:  Placa padre: Tipo adquisicion: Entidad</v>
      </c>
      <c r="G2012" s="5"/>
    </row>
    <row r="2013" spans="1:7" ht="58.5" customHeight="1" x14ac:dyDescent="0.25">
      <c r="A2013" s="5" t="str">
        <f>"H0004695"</f>
        <v>H0004695</v>
      </c>
      <c r="B2013" s="5" t="str">
        <f>"ATRIL PORTASUERO MOVIL"</f>
        <v>ATRIL PORTASUERO MOVIL</v>
      </c>
      <c r="C2013" s="6">
        <v>210000</v>
      </c>
      <c r="D2013" s="5" t="s">
        <v>50</v>
      </c>
      <c r="E2013" s="5" t="str">
        <f t="shared" si="105"/>
        <v>ACTISALUD-CIRUGIA GENERAL-GUSTAVO GOMEZ</v>
      </c>
      <c r="F2013" s="5" t="str">
        <f>"Descripcion: CON RODACHINES Estado: Bueno Placa anterior: 000029670 Material: METALICO Color: PLATA Referencia:  Observacion:  Placa padre: Tipo adquisicion: Entidad"</f>
        <v>Descripcion: CON RODACHINES Estado: Bueno Placa anterior: 000029670 Material: METALICO Color: PLATA Referencia:  Observacion:  Placa padre: Tipo adquisicion: Entidad</v>
      </c>
      <c r="G2013" s="5"/>
    </row>
    <row r="2014" spans="1:7" ht="58.5" customHeight="1" x14ac:dyDescent="0.25">
      <c r="A2014" s="5" t="str">
        <f>"H0004696"</f>
        <v>H0004696</v>
      </c>
      <c r="B2014" s="5" t="str">
        <f>"ATRIL PORTASUERO MOVIL"</f>
        <v>ATRIL PORTASUERO MOVIL</v>
      </c>
      <c r="C2014" s="6">
        <v>210000</v>
      </c>
      <c r="D2014" s="5" t="s">
        <v>50</v>
      </c>
      <c r="E2014" s="5" t="str">
        <f t="shared" si="105"/>
        <v>ACTISALUD-CIRUGIA GENERAL-GUSTAVO GOMEZ</v>
      </c>
      <c r="F2014" s="5" t="str">
        <f>"Descripcion: CON RODACHINES Estado: Bueno Placa anterior: 000029671 Material: METALICO Color: PLATA Referencia:  Observacion:  Placa padre: Tipo adquisicion: Entidad"</f>
        <v>Descripcion: CON RODACHINES Estado: Bueno Placa anterior: 000029671 Material: METALICO Color: PLATA Referencia:  Observacion:  Placa padre: Tipo adquisicion: Entidad</v>
      </c>
      <c r="G2014" s="5"/>
    </row>
    <row r="2015" spans="1:7" ht="58.5" customHeight="1" x14ac:dyDescent="0.25">
      <c r="A2015" s="5" t="str">
        <f>"H0004699"</f>
        <v>H0004699</v>
      </c>
      <c r="B2015" s="5" t="str">
        <f>"MESA PUENTE (ALIMENTACION) (INSTRUMENTAL)"</f>
        <v>MESA PUENTE (ALIMENTACION) (INSTRUMENTAL)</v>
      </c>
      <c r="C2015" s="6">
        <v>15000</v>
      </c>
      <c r="D2015" s="5"/>
      <c r="E2015" s="5" t="str">
        <f t="shared" si="105"/>
        <v>ACTISALUD-CIRUGIA GENERAL-GUSTAVO GOMEZ</v>
      </c>
      <c r="F2015" s="5" t="str">
        <f>"Descripcion: REGULABLE DE SUPERFICIE EN ACERO Estado: Regular Placa anterior: 000026507 Material: METAL Color: BEIS Referencia:  Observacion:  Placa padre: Tipo adquisicion: Entidad"</f>
        <v>Descripcion: REGULABLE DE SUPERFICIE EN ACERO Estado: Regular Placa anterior: 000026507 Material: METAL Color: BEIS Referencia:  Observacion:  Placa padre: Tipo adquisicion: Entidad</v>
      </c>
      <c r="G2015" s="5"/>
    </row>
    <row r="2016" spans="1:7" ht="58.5" customHeight="1" x14ac:dyDescent="0.25">
      <c r="A2016" s="5" t="str">
        <f>"H0004712"</f>
        <v>H0004712</v>
      </c>
      <c r="B2016" s="5" t="str">
        <f>"ATRIL PORTASUERO MOVIL"</f>
        <v>ATRIL PORTASUERO MOVIL</v>
      </c>
      <c r="C2016" s="6">
        <v>210000</v>
      </c>
      <c r="D2016" s="5" t="s">
        <v>50</v>
      </c>
      <c r="E2016" s="5" t="str">
        <f t="shared" si="105"/>
        <v>ACTISALUD-CIRUGIA GENERAL-GUSTAVO GOMEZ</v>
      </c>
      <c r="F2016" s="5" t="str">
        <f>"Descripcion: DE CAMA ES PEQUEÑO Estado: Bueno Placa anterior: 000029672 Material: ACERO Color: PLATA Referencia:  Observacion:  Placa padre: Tipo adquisicion: Entidad"</f>
        <v>Descripcion: DE CAMA ES PEQUEÑO Estado: Bueno Placa anterior: 000029672 Material: ACERO Color: PLATA Referencia:  Observacion:  Placa padre: Tipo adquisicion: Entidad</v>
      </c>
      <c r="G2016" s="5"/>
    </row>
    <row r="2017" spans="1:7" ht="58.5" customHeight="1" x14ac:dyDescent="0.25">
      <c r="A2017" s="5" t="str">
        <f>"H0004713"</f>
        <v>H0004713</v>
      </c>
      <c r="B2017" s="5" t="str">
        <f>"SILLA PLASTICA CON BRAZOS"</f>
        <v>SILLA PLASTICA CON BRAZOS</v>
      </c>
      <c r="C2017" s="6">
        <v>10440</v>
      </c>
      <c r="D2017" s="5"/>
      <c r="E2017" s="5" t="str">
        <f t="shared" ref="E2017:E2080" si="106">"ACTISALUD-CIRUGIA GENERAL-GUSTAVO GOMEZ"</f>
        <v>ACTISALUD-CIRUGIA GENERAL-GUSTAVO GOMEZ</v>
      </c>
      <c r="F2017" s="5" t="str">
        <f>"Descripcion: SILLA PLASTICA BLANCA Estado: Regular Placa anterior: 000003504 Material: PASTA Color: BLANCO Referencia:  Observacion:  Placa padre: Tipo adquisicion: Entidad"</f>
        <v>Descripcion: SILLA PLASTICA BLANCA Estado: Regular Placa anterior: 000003504 Material: PASTA Color: BLANCO Referencia:  Observacion:  Placa padre: Tipo adquisicion: Entidad</v>
      </c>
      <c r="G2017" s="5"/>
    </row>
    <row r="2018" spans="1:7" ht="58.5" customHeight="1" x14ac:dyDescent="0.25">
      <c r="A2018" s="5" t="str">
        <f>"H0004714"</f>
        <v>H0004714</v>
      </c>
      <c r="B2018" s="5" t="str">
        <f>"SILLA PLASTICA CON BRAZOS"</f>
        <v>SILLA PLASTICA CON BRAZOS</v>
      </c>
      <c r="C2018" s="6">
        <v>12240.32</v>
      </c>
      <c r="D2018" s="5"/>
      <c r="E2018" s="5" t="str">
        <f t="shared" si="106"/>
        <v>ACTISALUD-CIRUGIA GENERAL-GUSTAVO GOMEZ</v>
      </c>
      <c r="F2018" s="5" t="str">
        <f>"Descripcion: SILLA PLASTICA BLANCA Estado: Bueno Placa anterior: 000003158 Material: PASTA Color: BLANCO Referencia:  Observacion:  Placa padre: Tipo adquisicion: Entidad"</f>
        <v>Descripcion: SILLA PLASTICA BLANCA Estado: Bueno Placa anterior: 000003158 Material: PASTA Color: BLANCO Referencia:  Observacion:  Placa padre: Tipo adquisicion: Entidad</v>
      </c>
      <c r="G2018" s="5"/>
    </row>
    <row r="2019" spans="1:7" ht="58.5" customHeight="1" x14ac:dyDescent="0.25">
      <c r="A2019" s="5" t="str">
        <f>"H0004715"</f>
        <v>H0004715</v>
      </c>
      <c r="B2019" s="5" t="str">
        <f>"SILLA PLASTICA CON BRAZOS"</f>
        <v>SILLA PLASTICA CON BRAZOS</v>
      </c>
      <c r="C2019" s="6">
        <v>10440</v>
      </c>
      <c r="D2019" s="5"/>
      <c r="E2019" s="5" t="str">
        <f t="shared" si="106"/>
        <v>ACTISALUD-CIRUGIA GENERAL-GUSTAVO GOMEZ</v>
      </c>
      <c r="F2019" s="5" t="str">
        <f>"Descripcion: . Estado: Malo Placa anterior: 000003409 Material: PASTA Color: BLANCO Referencia:  Observacion:  Placa padre: Tipo adquisicion: Entidad"</f>
        <v>Descripcion: . Estado: Malo Placa anterior: 000003409 Material: PASTA Color: BLANCO Referencia:  Observacion:  Placa padre: Tipo adquisicion: Entidad</v>
      </c>
      <c r="G2019" s="5"/>
    </row>
    <row r="2020" spans="1:7" ht="58.5" customHeight="1" x14ac:dyDescent="0.25">
      <c r="A2020" s="5" t="str">
        <f>"H0004716"</f>
        <v>H0004716</v>
      </c>
      <c r="B2020" s="5" t="str">
        <f>"PATO (PISINGO) HOMBRE"</f>
        <v>PATO (PISINGO) HOMBRE</v>
      </c>
      <c r="C2020" s="6">
        <v>11033.66</v>
      </c>
      <c r="D2020" s="5"/>
      <c r="E2020" s="5" t="str">
        <f t="shared" si="106"/>
        <v>ACTISALUD-CIRUGIA GENERAL-GUSTAVO GOMEZ</v>
      </c>
      <c r="F2020" s="5" t="str">
        <f>"Descripcion: . Estado: Bueno Placa anterior: 000026652 Material: ACERO Color: PLATA Referencia:  Observacion:  Placa padre: Tipo adquisicion: Entidad"</f>
        <v>Descripcion: . Estado: Bueno Placa anterior: 000026652 Material: ACERO Color: PLATA Referencia:  Observacion:  Placa padre: Tipo adquisicion: Entidad</v>
      </c>
      <c r="G2020" s="5"/>
    </row>
    <row r="2021" spans="1:7" ht="58.5" customHeight="1" x14ac:dyDescent="0.25">
      <c r="A2021" s="5" t="str">
        <f>"H0004717"</f>
        <v>H0004717</v>
      </c>
      <c r="B2021" s="5" t="str">
        <f>"PATO (PISINGO) HOMBRE"</f>
        <v>PATO (PISINGO) HOMBRE</v>
      </c>
      <c r="C2021" s="6">
        <v>11033.66</v>
      </c>
      <c r="D2021" s="5"/>
      <c r="E2021" s="5" t="str">
        <f t="shared" si="106"/>
        <v>ACTISALUD-CIRUGIA GENERAL-GUSTAVO GOMEZ</v>
      </c>
      <c r="F2021" s="5" t="str">
        <f>"Descripcion: . Estado: Bueno Placa anterior: 000003506 Material: ACERO Color: PLATA Referencia:  Observacion:  Placa padre: Tipo adquisicion: Entidad"</f>
        <v>Descripcion: . Estado: Bueno Placa anterior: 000003506 Material: ACERO Color: PLATA Referencia:  Observacion:  Placa padre: Tipo adquisicion: Entidad</v>
      </c>
      <c r="G2021" s="5"/>
    </row>
    <row r="2022" spans="1:7" ht="58.5" customHeight="1" x14ac:dyDescent="0.25">
      <c r="A2022" s="5" t="str">
        <f>"H0004718"</f>
        <v>H0004718</v>
      </c>
      <c r="B2022" s="5" t="str">
        <f>"RIÑONERA HOSPITALARIA EN ACERO INOXIDABLE"</f>
        <v>RIÑONERA HOSPITALARIA EN ACERO INOXIDABLE</v>
      </c>
      <c r="C2022" s="6">
        <v>2661.24</v>
      </c>
      <c r="D2022" s="5"/>
      <c r="E2022" s="5" t="str">
        <f t="shared" si="106"/>
        <v>ACTISALUD-CIRUGIA GENERAL-GUSTAVO GOMEZ</v>
      </c>
      <c r="F2022" s="5" t="str">
        <f>"Descripcion: . Estado: Bueno Placa anterior: 000003453 Material: ACERO Color: PLATA Referencia:  Observacion:  Placa padre: Tipo adquisicion: Entidad"</f>
        <v>Descripcion: . Estado: Bueno Placa anterior: 000003453 Material: ACERO Color: PLATA Referencia:  Observacion:  Placa padre: Tipo adquisicion: Entidad</v>
      </c>
      <c r="G2022" s="5"/>
    </row>
    <row r="2023" spans="1:7" ht="58.5" customHeight="1" x14ac:dyDescent="0.25">
      <c r="A2023" s="5" t="str">
        <f>"H0004726"</f>
        <v>H0004726</v>
      </c>
      <c r="B2023" s="5" t="str">
        <f>"MESA PUENTE (ALIMENTACION) (INSTRUMENTAL)"</f>
        <v>MESA PUENTE (ALIMENTACION) (INSTRUMENTAL)</v>
      </c>
      <c r="C2023" s="6">
        <v>15000</v>
      </c>
      <c r="D2023" s="5"/>
      <c r="E2023" s="5" t="str">
        <f t="shared" si="106"/>
        <v>ACTISALUD-CIRUGIA GENERAL-GUSTAVO GOMEZ</v>
      </c>
      <c r="F2023" s="5" t="str">
        <f>"Descripcion: REGULABLE Y SUPERFICIE SUPERIOR DE ACERO Estado: Regular Placa anterior: 000026508 Material: METAL Y ACERO Color: PLATA Y BEIS Referencia:  Observacion:  Placa padre: Tipo adquisicion: Entidad"</f>
        <v>Descripcion: REGULABLE Y SUPERFICIE SUPERIOR DE ACERO Estado: Regular Placa anterior: 000026508 Material: METAL Y ACERO Color: PLATA Y BEIS Referencia:  Observacion:  Placa padre: Tipo adquisicion: Entidad</v>
      </c>
      <c r="G2023" s="5"/>
    </row>
    <row r="2024" spans="1:7" ht="58.5" customHeight="1" x14ac:dyDescent="0.25">
      <c r="A2024" s="5" t="str">
        <f>"H0004737"</f>
        <v>H0004737</v>
      </c>
      <c r="B2024" s="5" t="str">
        <f>"SILLA PLASTICA CON BRAZOS"</f>
        <v>SILLA PLASTICA CON BRAZOS</v>
      </c>
      <c r="C2024" s="6">
        <v>10440</v>
      </c>
      <c r="D2024" s="5"/>
      <c r="E2024" s="5" t="str">
        <f t="shared" si="106"/>
        <v>ACTISALUD-CIRUGIA GENERAL-GUSTAVO GOMEZ</v>
      </c>
      <c r="F2024" s="5" t="str">
        <f>"Descripcion: . Estado: Regular Placa anterior: 000003408 Material: PASTA Color: BLANCO Referencia:  Observacion:  Placa padre: Tipo adquisicion: Entidad"</f>
        <v>Descripcion: . Estado: Regular Placa anterior: 000003408 Material: PASTA Color: BLANCO Referencia:  Observacion:  Placa padre: Tipo adquisicion: Entidad</v>
      </c>
      <c r="G2024" s="5"/>
    </row>
    <row r="2025" spans="1:7" ht="58.5" customHeight="1" x14ac:dyDescent="0.25">
      <c r="A2025" s="5" t="str">
        <f>"H0004738"</f>
        <v>H0004738</v>
      </c>
      <c r="B2025" s="5" t="str">
        <f>"SILLA PLASTICA CON BRAZOS"</f>
        <v>SILLA PLASTICA CON BRAZOS</v>
      </c>
      <c r="C2025" s="6">
        <v>12240.32</v>
      </c>
      <c r="D2025" s="5"/>
      <c r="E2025" s="5" t="str">
        <f t="shared" si="106"/>
        <v>ACTISALUD-CIRUGIA GENERAL-GUSTAVO GOMEZ</v>
      </c>
      <c r="F2025" s="5" t="str">
        <f>"Descripcion: SILLA PLASTICA BLANCA Estado: Regular Placa anterior: 000026731 Material: PASTA Color: BLANCO Referencia:  Observacion:  Placa padre: Tipo adquisicion: Entidad"</f>
        <v>Descripcion: SILLA PLASTICA BLANCA Estado: Regular Placa anterior: 000026731 Material: PASTA Color: BLANCO Referencia:  Observacion:  Placa padre: Tipo adquisicion: Entidad</v>
      </c>
      <c r="G2025" s="5"/>
    </row>
    <row r="2026" spans="1:7" ht="58.5" customHeight="1" x14ac:dyDescent="0.25">
      <c r="A2026" s="5" t="str">
        <f>"H0004739"</f>
        <v>H0004739</v>
      </c>
      <c r="B2026" s="5" t="str">
        <f>"SILLA PLASTICA CON BRAZOS"</f>
        <v>SILLA PLASTICA CON BRAZOS</v>
      </c>
      <c r="C2026" s="6">
        <v>10440</v>
      </c>
      <c r="D2026" s="5"/>
      <c r="E2026" s="5" t="str">
        <f t="shared" si="106"/>
        <v>ACTISALUD-CIRUGIA GENERAL-GUSTAVO GOMEZ</v>
      </c>
      <c r="F2026" s="5" t="str">
        <f>"Descripcion: . Estado: Bueno Placa anterior: 000003407 Material: PASTA Color: BLANCO Referencia:  Observacion:  Placa padre: Tipo adquisicion: Entidad"</f>
        <v>Descripcion: . Estado: Bueno Placa anterior: 000003407 Material: PASTA Color: BLANCO Referencia:  Observacion:  Placa padre: Tipo adquisicion: Entidad</v>
      </c>
      <c r="G2026" s="5"/>
    </row>
    <row r="2027" spans="1:7" ht="58.5" customHeight="1" x14ac:dyDescent="0.25">
      <c r="A2027" s="5" t="str">
        <f>"H0004740"</f>
        <v>H0004740</v>
      </c>
      <c r="B2027" s="5" t="str">
        <f>"SILLA PLASTICA CON BRAZOS"</f>
        <v>SILLA PLASTICA CON BRAZOS</v>
      </c>
      <c r="C2027" s="6">
        <v>10440</v>
      </c>
      <c r="D2027" s="5"/>
      <c r="E2027" s="5" t="str">
        <f t="shared" si="106"/>
        <v>ACTISALUD-CIRUGIA GENERAL-GUSTAVO GOMEZ</v>
      </c>
      <c r="F2027" s="5" t="str">
        <f>"Descripcion: . Estado: Bueno Placa anterior: 000003476 Material: PASTA Color: BLANCO Referencia:  Observacion:  Placa padre: Tipo adquisicion: Entidad"</f>
        <v>Descripcion: . Estado: Bueno Placa anterior: 000003476 Material: PASTA Color: BLANCO Referencia:  Observacion:  Placa padre: Tipo adquisicion: Entidad</v>
      </c>
      <c r="G2027" s="5"/>
    </row>
    <row r="2028" spans="1:7" ht="58.5" customHeight="1" x14ac:dyDescent="0.25">
      <c r="A2028" s="5" t="str">
        <f>"H0004744"</f>
        <v>H0004744</v>
      </c>
      <c r="B2028" s="5" t="str">
        <f>"RIÑONERA HOSPITALARIA EN ACERO INOXIDABLE"</f>
        <v>RIÑONERA HOSPITALARIA EN ACERO INOXIDABLE</v>
      </c>
      <c r="C2028" s="6">
        <v>2661.24</v>
      </c>
      <c r="D2028" s="5"/>
      <c r="E2028" s="5" t="str">
        <f t="shared" si="106"/>
        <v>ACTISALUD-CIRUGIA GENERAL-GUSTAVO GOMEZ</v>
      </c>
      <c r="F2028" s="5" t="str">
        <f>"Descripcion: PEQUEÑA Estado: Bueno Placa anterior: 000003533 Material: ACERO Color: PLATA Referencia:  Observacion:  Placa padre: Tipo adquisicion: Entidad"</f>
        <v>Descripcion: PEQUEÑA Estado: Bueno Placa anterior: 000003533 Material: ACERO Color: PLATA Referencia:  Observacion:  Placa padre: Tipo adquisicion: Entidad</v>
      </c>
      <c r="G2028" s="5"/>
    </row>
    <row r="2029" spans="1:7" ht="58.5" customHeight="1" x14ac:dyDescent="0.25">
      <c r="A2029" s="5" t="str">
        <f>"H0004752"</f>
        <v>H0004752</v>
      </c>
      <c r="B2029" s="5" t="str">
        <f>"MESA PUENTE (ALIMENTACION) (INSTRUMENTAL)"</f>
        <v>MESA PUENTE (ALIMENTACION) (INSTRUMENTAL)</v>
      </c>
      <c r="C2029" s="6">
        <v>15000</v>
      </c>
      <c r="D2029" s="5"/>
      <c r="E2029" s="5" t="str">
        <f t="shared" si="106"/>
        <v>ACTISALUD-CIRUGIA GENERAL-GUSTAVO GOMEZ</v>
      </c>
      <c r="F2029" s="5" t="str">
        <f>"Descripcion: MESA CON RODACHINS, SUPERFICIEN EN ACERO INOXIDABLE  Estado: Bueno Placa anterior: 000026599 Material: METALICA Y ACERO INOXIDABLE Color: BEIS Y PLATEADO Referencia:  Observacion:  Placa padre: Tipo adquisicion: Entidad"</f>
        <v>Descripcion: MESA CON RODACHINS, SUPERFICIEN EN ACERO INOXIDABLE  Estado: Bueno Placa anterior: 000026599 Material: METALICA Y ACERO INOXIDABLE Color: BEIS Y PLATEADO Referencia:  Observacion:  Placa padre: Tipo adquisicion: Entidad</v>
      </c>
      <c r="G2029" s="5"/>
    </row>
    <row r="2030" spans="1:7" ht="58.5" customHeight="1" x14ac:dyDescent="0.25">
      <c r="A2030" s="5" t="str">
        <f>"H0004753"</f>
        <v>H0004753</v>
      </c>
      <c r="B2030" s="5" t="str">
        <f>"MESA PUENTE (ALIMENTACION) (INSTRUMENTAL)"</f>
        <v>MESA PUENTE (ALIMENTACION) (INSTRUMENTAL)</v>
      </c>
      <c r="C2030" s="6">
        <v>15000</v>
      </c>
      <c r="D2030" s="5"/>
      <c r="E2030" s="5" t="str">
        <f t="shared" si="106"/>
        <v>ACTISALUD-CIRUGIA GENERAL-GUSTAVO GOMEZ</v>
      </c>
      <c r="F2030" s="5" t="str">
        <f>"Descripcion: MESA CON RODACHINS, SUPERFICIEN EN ACERO INOXIDABLE  Estado: Bueno Placa anterior: 000026601 Material: METALICA Y ACERO INOXIDABLE Color: BEIS Y PLATEADO Referencia:  Observacion:  Placa padre: Tipo adquisicion: Entidad"</f>
        <v>Descripcion: MESA CON RODACHINS, SUPERFICIEN EN ACERO INOXIDABLE  Estado: Bueno Placa anterior: 000026601 Material: METALICA Y ACERO INOXIDABLE Color: BEIS Y PLATEADO Referencia:  Observacion:  Placa padre: Tipo adquisicion: Entidad</v>
      </c>
      <c r="G2030" s="5"/>
    </row>
    <row r="2031" spans="1:7" ht="58.5" customHeight="1" x14ac:dyDescent="0.25">
      <c r="A2031" s="5" t="str">
        <f>"H0004763"</f>
        <v>H0004763</v>
      </c>
      <c r="B2031" s="5" t="str">
        <f>"SILLA PLASTICA CON BRAZOS"</f>
        <v>SILLA PLASTICA CON BRAZOS</v>
      </c>
      <c r="C2031" s="6">
        <v>10440</v>
      </c>
      <c r="D2031" s="5"/>
      <c r="E2031" s="5" t="str">
        <f t="shared" si="106"/>
        <v>ACTISALUD-CIRUGIA GENERAL-GUSTAVO GOMEZ</v>
      </c>
      <c r="F2031" s="5" t="str">
        <f>"Descripcion: SILLA PLASTICA BLANCA Estado: Bueno Placa anterior: 000003698 Material: PLASTICO DE PILIPROPILENO Color: BLANCO Referencia:  Observacion:  Placa padre: Tipo adquisicion: Entidad"</f>
        <v>Descripcion: SILLA PLASTICA BLANCA Estado: Bueno Placa anterior: 000003698 Material: PLASTICO DE PILIPROPILENO Color: BLANCO Referencia:  Observacion:  Placa padre: Tipo adquisicion: Entidad</v>
      </c>
      <c r="G2031" s="5"/>
    </row>
    <row r="2032" spans="1:7" ht="58.5" customHeight="1" x14ac:dyDescent="0.25">
      <c r="A2032" s="5" t="str">
        <f>"H0004764"</f>
        <v>H0004764</v>
      </c>
      <c r="B2032" s="5" t="str">
        <f>"SILLA PLASTICA CON BRAZOS"</f>
        <v>SILLA PLASTICA CON BRAZOS</v>
      </c>
      <c r="C2032" s="6">
        <v>10440</v>
      </c>
      <c r="D2032" s="5"/>
      <c r="E2032" s="5" t="str">
        <f t="shared" si="106"/>
        <v>ACTISALUD-CIRUGIA GENERAL-GUSTAVO GOMEZ</v>
      </c>
      <c r="F2032" s="5" t="str">
        <f>"Descripcion: SILLA PLASTICA BLANCA Estado: Bueno Placa anterior: 000026521 Material: PLASTICO DE POLIPROPILENO Color: BLANCO Referencia:  Observacion:  Placa padre: Tipo adquisicion: Entidad"</f>
        <v>Descripcion: SILLA PLASTICA BLANCA Estado: Bueno Placa anterior: 000026521 Material: PLASTICO DE POLIPROPILENO Color: BLANCO Referencia:  Observacion:  Placa padre: Tipo adquisicion: Entidad</v>
      </c>
      <c r="G2032" s="5"/>
    </row>
    <row r="2033" spans="1:7" ht="58.5" customHeight="1" x14ac:dyDescent="0.25">
      <c r="A2033" s="5" t="str">
        <f>"H0004765"</f>
        <v>H0004765</v>
      </c>
      <c r="B2033" s="5" t="str">
        <f>"VENTILADOR DE PARED"</f>
        <v>VENTILADOR DE PARED</v>
      </c>
      <c r="C2033" s="6">
        <v>72477.5</v>
      </c>
      <c r="D2033" s="5" t="s">
        <v>54</v>
      </c>
      <c r="E2033" s="5" t="str">
        <f t="shared" si="106"/>
        <v>ACTISALUD-CIRUGIA GENERAL-GUSTAVO GOMEZ</v>
      </c>
      <c r="F2033" s="5" t="str">
        <f>"Descripcion: VENTILADOR DE PARED VENTILADOR DE PARED REF. 987181 SILENC. CON GARANTIA DE UN AÑO POR PARTE DEL FABRICANTE Estado: Bueno Placa anterior: 000037160 Material: PLASTICO DE POLIPROPILENO Color: BLANCO Referencia:  Observacion: VENTILADOR 3 ASPAS"&amp; " Y 3 VELOCIDADES Placa padre: Tipo adquisicion: Entidad"</f>
        <v>Descripcion: VENTILADOR DE PARED VENTILADOR DE PARED REF. 987181 SILENC. CON GARANTIA DE UN AÑO POR PARTE DEL FABRICANTE Estado: Bueno Placa anterior: 000037160 Material: PLASTICO DE POLIPROPILENO Color: BLANCO Referencia:  Observacion: VENTILADOR 3 ASPAS Y 3 VELOCIDADES Placa padre: Tipo adquisicion: Entidad</v>
      </c>
      <c r="G2033" s="5"/>
    </row>
    <row r="2034" spans="1:7" ht="58.5" customHeight="1" x14ac:dyDescent="0.25">
      <c r="A2034" s="5" t="str">
        <f>"H0004767"</f>
        <v>H0004767</v>
      </c>
      <c r="B2034" s="5" t="str">
        <f>"RIÑONERA HOSPITALARIA EN ACERO INOXIDABLE"</f>
        <v>RIÑONERA HOSPITALARIA EN ACERO INOXIDABLE</v>
      </c>
      <c r="C2034" s="6">
        <v>2661.24</v>
      </c>
      <c r="D2034" s="5"/>
      <c r="E2034" s="5" t="str">
        <f t="shared" si="106"/>
        <v>ACTISALUD-CIRUGIA GENERAL-GUSTAVO GOMEZ</v>
      </c>
      <c r="F2034" s="5" t="str">
        <f>"Descripcion: RIOÑONERA EN ACERO INOXIDABLE MEDIANA Estado: Bueno Placa anterior: 000003764 Material: ACERO INOXIDABLE Color: PLATEADO Referencia:  Observacion:  Placa padre: Tipo adquisicion: Entidad"</f>
        <v>Descripcion: RIOÑONERA EN ACERO INOXIDABLE MEDIANA Estado: Bueno Placa anterior: 000003764 Material: ACERO INOXIDABLE Color: PLATEADO Referencia:  Observacion:  Placa padre: Tipo adquisicion: Entidad</v>
      </c>
      <c r="G2034" s="5"/>
    </row>
    <row r="2035" spans="1:7" ht="58.5" customHeight="1" x14ac:dyDescent="0.25">
      <c r="A2035" s="5" t="str">
        <f>"H0004858"</f>
        <v>H0004858</v>
      </c>
      <c r="B2035" s="5" t="str">
        <f>"MESA DE NOCHE"</f>
        <v>MESA DE NOCHE</v>
      </c>
      <c r="C2035" s="6">
        <v>327586</v>
      </c>
      <c r="D2035" s="5"/>
      <c r="E2035" s="5" t="str">
        <f t="shared" si="106"/>
        <v>ACTISALUD-CIRUGIA GENERAL-GUSTAVO GOMEZ</v>
      </c>
      <c r="F2035" s="5" t="str">
        <f>"Descripcion: MESA DE NOCHE Estado: Bueno Placa anterior: 000028904 Material: ACERO INOXIDABLE Color:  Referencia:  Observacion:  Placa padre: Tipo adquisicion: Entidad"</f>
        <v>Descripcion: MESA DE NOCHE Estado: Bueno Placa anterior: 000028904 Material: ACERO INOXIDABLE Color:  Referencia:  Observacion:  Placa padre: Tipo adquisicion: Entidad</v>
      </c>
      <c r="G2035" s="5"/>
    </row>
    <row r="2036" spans="1:7" ht="58.5" customHeight="1" x14ac:dyDescent="0.25">
      <c r="A2036" s="5" t="str">
        <f>"H0004861"</f>
        <v>H0004861</v>
      </c>
      <c r="B2036" s="5" t="str">
        <f>"MESA DE NOCHE"</f>
        <v>MESA DE NOCHE</v>
      </c>
      <c r="C2036" s="6">
        <v>327586</v>
      </c>
      <c r="D2036" s="5"/>
      <c r="E2036" s="5" t="str">
        <f t="shared" si="106"/>
        <v>ACTISALUD-CIRUGIA GENERAL-GUSTAVO GOMEZ</v>
      </c>
      <c r="F2036" s="5" t="str">
        <f>"Descripcion: . Estado: Bueno Placa anterior: 000028913 Material: ACERO INOXIDABLE Color:  Referencia:  Observacion:  Placa padre: Tipo adquisicion: Entidad"</f>
        <v>Descripcion: . Estado: Bueno Placa anterior: 000028913 Material: ACERO INOXIDABLE Color:  Referencia:  Observacion:  Placa padre: Tipo adquisicion: Entidad</v>
      </c>
      <c r="G2036" s="5"/>
    </row>
    <row r="2037" spans="1:7" ht="58.5" customHeight="1" x14ac:dyDescent="0.25">
      <c r="A2037" s="5" t="str">
        <f>"H0004863"</f>
        <v>H0004863</v>
      </c>
      <c r="B2037" s="5" t="str">
        <f>"MESA PUENTE (ALIMENTACION) (INSTRUMENTAL)"</f>
        <v>MESA PUENTE (ALIMENTACION) (INSTRUMENTAL)</v>
      </c>
      <c r="C2037" s="6">
        <v>15000</v>
      </c>
      <c r="D2037" s="5"/>
      <c r="E2037" s="5" t="str">
        <f t="shared" si="106"/>
        <v>ACTISALUD-CIRUGIA GENERAL-GUSTAVO GOMEZ</v>
      </c>
      <c r="F2037" s="5" t="str">
        <f>"Descripcion: BANDEJA EN ACERO INOXIDABLE Estado: Bueno Placa anterior: 000026610 Material: METALICO Color: BEIGE Referencia:  Observacion:  Placa padre: Tipo adquisicion: Entidad"</f>
        <v>Descripcion: BANDEJA EN ACERO INOXIDABLE Estado: Bueno Placa anterior: 000026610 Material: METALICO Color: BEIGE Referencia:  Observacion:  Placa padre: Tipo adquisicion: Entidad</v>
      </c>
      <c r="G2037" s="5"/>
    </row>
    <row r="2038" spans="1:7" ht="58.5" customHeight="1" x14ac:dyDescent="0.25">
      <c r="A2038" s="5" t="str">
        <f>"H0004864"</f>
        <v>H0004864</v>
      </c>
      <c r="B2038" s="5" t="str">
        <f>"SILLA PLASTICA CON BRAZOS"</f>
        <v>SILLA PLASTICA CON BRAZOS</v>
      </c>
      <c r="C2038" s="6">
        <v>12240.32</v>
      </c>
      <c r="D2038" s="5"/>
      <c r="E2038" s="5" t="str">
        <f t="shared" si="106"/>
        <v>ACTISALUD-CIRUGIA GENERAL-GUSTAVO GOMEZ</v>
      </c>
      <c r="F2038" s="5" t="str">
        <f>"Descripcion: . Estado: Bueno Placa anterior: 000003339 Material: PLASTICO Color: BLANCO Referencia:  Observacion:  Placa padre: Tipo adquisicion: Entidad"</f>
        <v>Descripcion: . Estado: Bueno Placa anterior: 000003339 Material: PLASTICO Color: BLANCO Referencia:  Observacion:  Placa padre: Tipo adquisicion: Entidad</v>
      </c>
      <c r="G2038" s="5"/>
    </row>
    <row r="2039" spans="1:7" ht="58.5" customHeight="1" x14ac:dyDescent="0.25">
      <c r="A2039" s="5" t="str">
        <f>"H0004870"</f>
        <v>H0004870</v>
      </c>
      <c r="B2039" s="5" t="str">
        <f>"RIÑONERA HOSPITALARIA EN ACERO INOXIDABLE"</f>
        <v>RIÑONERA HOSPITALARIA EN ACERO INOXIDABLE</v>
      </c>
      <c r="C2039" s="6">
        <v>2661.24</v>
      </c>
      <c r="D2039" s="5"/>
      <c r="E2039" s="5" t="str">
        <f t="shared" si="106"/>
        <v>ACTISALUD-CIRUGIA GENERAL-GUSTAVO GOMEZ</v>
      </c>
      <c r="F2039" s="5" t="str">
        <f>"Descripcion: . Estado: Regular Placa anterior: 000026522 Material: ACERO INOXIDABLE Color:  Referencia:  Observacion:  Placa padre: Tipo adquisicion: Entidad"</f>
        <v>Descripcion: . Estado: Regular Placa anterior: 000026522 Material: ACERO INOXIDABLE Color:  Referencia:  Observacion:  Placa padre: Tipo adquisicion: Entidad</v>
      </c>
      <c r="G2039" s="5"/>
    </row>
    <row r="2040" spans="1:7" ht="58.5" customHeight="1" x14ac:dyDescent="0.25">
      <c r="A2040" s="5" t="str">
        <f>"H0004872"</f>
        <v>H0004872</v>
      </c>
      <c r="B2040" s="5" t="str">
        <f>"SILLA PLASTICA CON BRAZOS"</f>
        <v>SILLA PLASTICA CON BRAZOS</v>
      </c>
      <c r="C2040" s="6">
        <v>10440</v>
      </c>
      <c r="D2040" s="5"/>
      <c r="E2040" s="5" t="str">
        <f t="shared" si="106"/>
        <v>ACTISALUD-CIRUGIA GENERAL-GUSTAVO GOMEZ</v>
      </c>
      <c r="F2040" s="5" t="str">
        <f>"Descripcion: . Estado: Bueno Placa anterior: 000003678 Material: PLASTICO Color: BLANCO Referencia:  Observacion:  Placa padre: Tipo adquisicion: Entidad"</f>
        <v>Descripcion: . Estado: Bueno Placa anterior: 000003678 Material: PLASTICO Color: BLANCO Referencia:  Observacion:  Placa padre: Tipo adquisicion: Entidad</v>
      </c>
      <c r="G2040" s="5"/>
    </row>
    <row r="2041" spans="1:7" ht="58.5" customHeight="1" x14ac:dyDescent="0.25">
      <c r="A2041" s="5" t="str">
        <f>"H0004873"</f>
        <v>H0004873</v>
      </c>
      <c r="B2041" s="5" t="str">
        <f>"MESA DE NOCHE"</f>
        <v>MESA DE NOCHE</v>
      </c>
      <c r="C2041" s="6">
        <v>313200</v>
      </c>
      <c r="D2041" s="5"/>
      <c r="E2041" s="5" t="str">
        <f t="shared" si="106"/>
        <v>ACTISALUD-CIRUGIA GENERAL-GUSTAVO GOMEZ</v>
      </c>
      <c r="F2041" s="5" t="str">
        <f>"Descripcion: Gabinete construido en lamina COLF-ROLL 18 cmm en formica, faveta y alacena de una puerta con manija DIMENSIONES APROXIMADA: 0.38 mts, ancho x 0.42 mts de largo x 0.80 mts de alto. Estado: Regular Placa anterior: 000025176 Material: METALICO "&amp; "MADERA Color: GRIS Referencia:  Observacion:  Placa padre: Tipo adquisicion: Entidad"</f>
        <v>Descripcion: Gabinete construido en lamina COLF-ROLL 18 cmm en formica, faveta y alacena de una puerta con manija DIMENSIONES APROXIMADA: 0.38 mts, ancho x 0.42 mts de largo x 0.80 mts de alto. Estado: Regular Placa anterior: 000025176 Material: METALICO MADERA Color: GRIS Referencia:  Observacion:  Placa padre: Tipo adquisicion: Entidad</v>
      </c>
      <c r="G2041" s="5"/>
    </row>
    <row r="2042" spans="1:7" ht="58.5" customHeight="1" x14ac:dyDescent="0.25">
      <c r="A2042" s="5" t="str">
        <f>"H0004875"</f>
        <v>H0004875</v>
      </c>
      <c r="B2042" s="5" t="str">
        <f>"MESA PUENTE (ALIMENTACION) (INSTRUMENTAL)"</f>
        <v>MESA PUENTE (ALIMENTACION) (INSTRUMENTAL)</v>
      </c>
      <c r="C2042" s="6">
        <v>15000</v>
      </c>
      <c r="D2042" s="5"/>
      <c r="E2042" s="5" t="str">
        <f t="shared" si="106"/>
        <v>ACTISALUD-CIRUGIA GENERAL-GUSTAVO GOMEZ</v>
      </c>
      <c r="F2042" s="5" t="str">
        <f>"Descripcion: 80X37X108BANDEJA EN ACERO INOXIDABLE Estado: Regular Placa anterior: 000026613 Material: METALICO Color: BEIGE Referencia:  Observacion:  Placa padre: Tipo adquisicion: Entidad"</f>
        <v>Descripcion: 80X37X108BANDEJA EN ACERO INOXIDABLE Estado: Regular Placa anterior: 000026613 Material: METALICO Color: BEIGE Referencia:  Observacion:  Placa padre: Tipo adquisicion: Entidad</v>
      </c>
      <c r="G2042" s="5"/>
    </row>
    <row r="2043" spans="1:7" ht="58.5" customHeight="1" x14ac:dyDescent="0.25">
      <c r="A2043" s="5" t="str">
        <f>"H0004876"</f>
        <v>H0004876</v>
      </c>
      <c r="B2043" s="5" t="str">
        <f>"ESCALERILLA DE 2 PASOS"</f>
        <v>ESCALERILLA DE 2 PASOS</v>
      </c>
      <c r="C2043" s="6">
        <v>100000</v>
      </c>
      <c r="D2043" s="5" t="s">
        <v>49</v>
      </c>
      <c r="E2043" s="5" t="str">
        <f t="shared" si="106"/>
        <v>ACTISALUD-CIRUGIA GENERAL-GUSTAVO GOMEZ</v>
      </c>
      <c r="F2043" s="5" t="str">
        <f>"Descripcion: ESCALERILLA DE DOS PASO EN TUBO REDONDO Estado: Regular Placa anterior: 000029929 Material: METALICO Color: GRIS Referencia:  Observacion:  Placa padre: Tipo adquisicion: Entidad"</f>
        <v>Descripcion: ESCALERILLA DE DOS PASO EN TUBO REDONDO Estado: Regular Placa anterior: 000029929 Material: METALICO Color: GRIS Referencia:  Observacion:  Placa padre: Tipo adquisicion: Entidad</v>
      </c>
      <c r="G2043" s="5"/>
    </row>
    <row r="2044" spans="1:7" ht="58.5" customHeight="1" x14ac:dyDescent="0.25">
      <c r="A2044" s="5" t="str">
        <f>"H0004882"</f>
        <v>H0004882</v>
      </c>
      <c r="B2044" s="5" t="str">
        <f>"CARRO PARA TRANSPORTE BALA DE OXIGENO"</f>
        <v>CARRO PARA TRANSPORTE BALA DE OXIGENO</v>
      </c>
      <c r="C2044" s="6">
        <v>4970</v>
      </c>
      <c r="D2044" s="5"/>
      <c r="E2044" s="5" t="str">
        <f t="shared" si="106"/>
        <v>ACTISALUD-CIRUGIA GENERAL-GUSTAVO GOMEZ</v>
      </c>
      <c r="F2044" s="5" t="str">
        <f>"Descripcion: 2 RUEDAS1 RODACHIN Estado: Regular Placa anterior: 000002013 Material: METALICO Color: GRIS Referencia:  Observacion:  Placa padre: Tipo adquisicion: Entidad"</f>
        <v>Descripcion: 2 RUEDAS1 RODACHIN Estado: Regular Placa anterior: 000002013 Material: METALICO Color: GRIS Referencia:  Observacion:  Placa padre: Tipo adquisicion: Entidad</v>
      </c>
      <c r="G2044" s="5"/>
    </row>
    <row r="2045" spans="1:7" ht="58.5" customHeight="1" x14ac:dyDescent="0.25">
      <c r="A2045" s="5" t="str">
        <f>"H0004884"</f>
        <v>H0004884</v>
      </c>
      <c r="B2045" s="5" t="str">
        <f>"BALA OXIGENO"</f>
        <v>BALA OXIGENO</v>
      </c>
      <c r="C2045" s="6">
        <v>610000</v>
      </c>
      <c r="D2045" s="5"/>
      <c r="E2045" s="5" t="str">
        <f t="shared" si="106"/>
        <v>ACTISALUD-CIRUGIA GENERAL-GUSTAVO GOMEZ</v>
      </c>
      <c r="F2045" s="5" t="str">
        <f>"Descripcion: 1072COMBURENTE 5.1 Estado: Bueno Placa anterior: 000028789 Material: METALICO Color: BLANCO Referencia:  Observacion:  Placa padre: Tipo adquisicion: Entidad"</f>
        <v>Descripcion: 1072COMBURENTE 5.1 Estado: Bueno Placa anterior: 000028789 Material: METALICO Color: BLANCO Referencia:  Observacion:  Placa padre: Tipo adquisicion: Entidad</v>
      </c>
      <c r="G2045" s="5"/>
    </row>
    <row r="2046" spans="1:7" ht="58.5" customHeight="1" x14ac:dyDescent="0.25">
      <c r="A2046" s="5" t="str">
        <f>"H0004893"</f>
        <v>H0004893</v>
      </c>
      <c r="B2046" s="5" t="str">
        <f>"CARRO TRANSPORTE DE MEDICAMENTOS"</f>
        <v>CARRO TRANSPORTE DE MEDICAMENTOS</v>
      </c>
      <c r="C2046" s="6">
        <v>46114.31</v>
      </c>
      <c r="D2046" s="5"/>
      <c r="E2046" s="5" t="str">
        <f t="shared" si="106"/>
        <v>ACTISALUD-CIRUGIA GENERAL-GUSTAVO GOMEZ</v>
      </c>
      <c r="F2046" s="5" t="str">
        <f>"Descripcion: CARRO TRANSPORTE DE MEDICAMENTOS Estado: Bueno Placa anterior: 000028656 Material: PLASTICO Color: BEIGE Referencia:  Observacion:  Placa padre: Tipo adquisicion: Entidad"</f>
        <v>Descripcion: CARRO TRANSPORTE DE MEDICAMENTOS Estado: Bueno Placa anterior: 000028656 Material: PLASTICO Color: BEIGE Referencia:  Observacion:  Placa padre: Tipo adquisicion: Entidad</v>
      </c>
      <c r="G2046" s="5"/>
    </row>
    <row r="2047" spans="1:7" ht="58.5" customHeight="1" x14ac:dyDescent="0.25">
      <c r="A2047" s="5" t="str">
        <f>"H0004897"</f>
        <v>H0004897</v>
      </c>
      <c r="B2047" s="5" t="str">
        <f>"BANDEJA DE ACERO INOXIDABLE GRANDE"</f>
        <v>BANDEJA DE ACERO INOXIDABLE GRANDE</v>
      </c>
      <c r="C2047" s="6">
        <v>23118.799999999999</v>
      </c>
      <c r="D2047" s="5"/>
      <c r="E2047" s="5" t="str">
        <f t="shared" si="106"/>
        <v>ACTISALUD-CIRUGIA GENERAL-GUSTAVO GOMEZ</v>
      </c>
      <c r="F2047" s="5" t="str">
        <f>"Descripcion: BANDEJA DE ACERO INOXIDABLE GRANDE Estado: Bueno Placa anterior: 000003755 Material: ACERO INOXIDABLE Color:  Referencia:  Observacion:  Placa padre: Tipo adquisicion: Entidad"</f>
        <v>Descripcion: BANDEJA DE ACERO INOXIDABLE GRANDE Estado: Bueno Placa anterior: 000003755 Material: ACERO INOXIDABLE Color:  Referencia:  Observacion:  Placa padre: Tipo adquisicion: Entidad</v>
      </c>
      <c r="G2047" s="5"/>
    </row>
    <row r="2048" spans="1:7" ht="58.5" customHeight="1" x14ac:dyDescent="0.25">
      <c r="A2048" s="5" t="str">
        <f>"H0004899"</f>
        <v>H0004899</v>
      </c>
      <c r="B2048" s="5" t="str">
        <f>"CUBETA DE ACERO INOXIDABLE CON TAPA MEDIANA"</f>
        <v>CUBETA DE ACERO INOXIDABLE CON TAPA MEDIANA</v>
      </c>
      <c r="C2048" s="6">
        <v>14100.8</v>
      </c>
      <c r="D2048" s="5"/>
      <c r="E2048" s="5" t="str">
        <f t="shared" si="106"/>
        <v>ACTISALUD-CIRUGIA GENERAL-GUSTAVO GOMEZ</v>
      </c>
      <c r="F2048" s="5" t="str">
        <f>"Descripcion: CUBETA DE ACERO INOXIDABLE CON TAPA MEDIANA Estado: Bueno Placa anterior: 000027197 Material: ACERO INOXIDABLE Color:  Referencia:  Observacion:  Placa padre: Tipo adquisicion: Entidad"</f>
        <v>Descripcion: CUBETA DE ACERO INOXIDABLE CON TAPA MEDIANA Estado: Bueno Placa anterior: 000027197 Material: ACERO INOXIDABLE Color:  Referencia:  Observacion:  Placa padre: Tipo adquisicion: Entidad</v>
      </c>
      <c r="G2048" s="5"/>
    </row>
    <row r="2049" spans="1:7" ht="58.5" customHeight="1" x14ac:dyDescent="0.25">
      <c r="A2049" s="5" t="str">
        <f>"H0004902"</f>
        <v>H0004902</v>
      </c>
      <c r="B2049" s="5" t="str">
        <f>"BANDEJA DE ACERO INOXIDABLE GRANDE"</f>
        <v>BANDEJA DE ACERO INOXIDABLE GRANDE</v>
      </c>
      <c r="C2049" s="6">
        <v>23118.799999999999</v>
      </c>
      <c r="D2049" s="5"/>
      <c r="E2049" s="5" t="str">
        <f t="shared" si="106"/>
        <v>ACTISALUD-CIRUGIA GENERAL-GUSTAVO GOMEZ</v>
      </c>
      <c r="F2049" s="5" t="str">
        <f>"Descripcion: BANDEJA DE ACERO INOXIDABLE GRANDE Estado: Bueno Placa anterior: 000003459 Material: ACERO INOXIDABLE Color:  Referencia:  Observacion:  Placa padre: Tipo adquisicion: Entidad"</f>
        <v>Descripcion: BANDEJA DE ACERO INOXIDABLE GRANDE Estado: Bueno Placa anterior: 000003459 Material: ACERO INOXIDABLE Color:  Referencia:  Observacion:  Placa padre: Tipo adquisicion: Entidad</v>
      </c>
      <c r="G2049" s="5"/>
    </row>
    <row r="2050" spans="1:7" ht="58.5" customHeight="1" x14ac:dyDescent="0.25">
      <c r="A2050" s="5" t="str">
        <f>"H0004903"</f>
        <v>H0004903</v>
      </c>
      <c r="B2050" s="5" t="str">
        <f>"CUBETA DE ACERO INOXIDABLE CON TAPA PEQUEÑA"</f>
        <v>CUBETA DE ACERO INOXIDABLE CON TAPA PEQUEÑA</v>
      </c>
      <c r="C2050" s="6">
        <v>5630.55</v>
      </c>
      <c r="D2050" s="5"/>
      <c r="E2050" s="5" t="str">
        <f t="shared" si="106"/>
        <v>ACTISALUD-CIRUGIA GENERAL-GUSTAVO GOMEZ</v>
      </c>
      <c r="F2050" s="5" t="str">
        <f>"Descripcion: CUBETA DE ACERO INOXIDABLE CON TAPA PEQUEÑA Estado: Bueno Placa anterior: 000027198 Material: ACERO INOXIDABLE Color:  Referencia:  Observacion:  Placa padre: Tipo adquisicion: Entidad"</f>
        <v>Descripcion: CUBETA DE ACERO INOXIDABLE CON TAPA PEQUEÑA Estado: Bueno Placa anterior: 000027198 Material: ACERO INOXIDABLE Color:  Referencia:  Observacion:  Placa padre: Tipo adquisicion: Entidad</v>
      </c>
      <c r="G2050" s="5"/>
    </row>
    <row r="2051" spans="1:7" ht="58.5" customHeight="1" x14ac:dyDescent="0.25">
      <c r="A2051" s="5" t="str">
        <f>"H0004905"</f>
        <v>H0004905</v>
      </c>
      <c r="B2051" s="5" t="str">
        <f>"BANDEJA DE ACERO INOXIDABLE GRANDE"</f>
        <v>BANDEJA DE ACERO INOXIDABLE GRANDE</v>
      </c>
      <c r="C2051" s="6">
        <v>23118.799999999999</v>
      </c>
      <c r="D2051" s="5"/>
      <c r="E2051" s="5" t="str">
        <f t="shared" si="106"/>
        <v>ACTISALUD-CIRUGIA GENERAL-GUSTAVO GOMEZ</v>
      </c>
      <c r="F2051" s="5" t="str">
        <f>"Descripcion: BANDEJA EN ACERO INOXIDABLE GRANDE Estado: Bueno Placa anterior: 000003756 Material: ACERO INOXIDABLE Color:  Referencia:  Observacion:  Placa padre: Tipo adquisicion: Entidad"</f>
        <v>Descripcion: BANDEJA EN ACERO INOXIDABLE GRANDE Estado: Bueno Placa anterior: 000003756 Material: ACERO INOXIDABLE Color:  Referencia:  Observacion:  Placa padre: Tipo adquisicion: Entidad</v>
      </c>
      <c r="G2051" s="5"/>
    </row>
    <row r="2052" spans="1:7" ht="58.5" customHeight="1" x14ac:dyDescent="0.25">
      <c r="A2052" s="5" t="str">
        <f>"H0004906"</f>
        <v>H0004906</v>
      </c>
      <c r="B2052" s="5" t="str">
        <f>"BANDEJA DE ACERO INOXIDABLE GRANDE"</f>
        <v>BANDEJA DE ACERO INOXIDABLE GRANDE</v>
      </c>
      <c r="C2052" s="6">
        <v>7285</v>
      </c>
      <c r="D2052" s="5"/>
      <c r="E2052" s="5" t="str">
        <f t="shared" si="106"/>
        <v>ACTISALUD-CIRUGIA GENERAL-GUSTAVO GOMEZ</v>
      </c>
      <c r="F2052" s="5" t="str">
        <f>"Descripcion: CHAROL RECTANGULAR NIQUELADO Estado: Bueno Placa anterior: 000003760 Material: ACERO INOXIDABLE Color:  Referencia:  Observacion: ES UNA BANDEJA EN ACERO INOXIDABLE GRANDE Placa padre: Tipo adquisicion: Entidad"</f>
        <v>Descripcion: CHAROL RECTANGULAR NIQUELADO Estado: Bueno Placa anterior: 000003760 Material: ACERO INOXIDABLE Color:  Referencia:  Observacion: ES UNA BANDEJA EN ACERO INOXIDABLE GRANDE Placa padre: Tipo adquisicion: Entidad</v>
      </c>
      <c r="G2052" s="5"/>
    </row>
    <row r="2053" spans="1:7" ht="58.5" customHeight="1" x14ac:dyDescent="0.25">
      <c r="A2053" s="5" t="str">
        <f>"H0004912"</f>
        <v>H0004912</v>
      </c>
      <c r="B2053" s="5" t="str">
        <f>"CARRO PORTA HISTORIAS CLINICAS"</f>
        <v>CARRO PORTA HISTORIAS CLINICAS</v>
      </c>
      <c r="C2053" s="6">
        <v>34760</v>
      </c>
      <c r="D2053" s="5"/>
      <c r="E2053" s="5" t="str">
        <f t="shared" si="106"/>
        <v>ACTISALUD-CIRUGIA GENERAL-GUSTAVO GOMEZ</v>
      </c>
      <c r="F2053" s="5" t="str">
        <f>"Descripcion: CARRO PORTA HISTORIAS CLINICAS Estado: Bueno Placa anterior: 000015073 Material: METALICO Color: GRIS  Referencia:  Observacion:  Placa padre: Tipo adquisicion: Entidad"</f>
        <v>Descripcion: CARRO PORTA HISTORIAS CLINICAS Estado: Bueno Placa anterior: 000015073 Material: METALICO Color: GRIS  Referencia:  Observacion:  Placa padre: Tipo adquisicion: Entidad</v>
      </c>
      <c r="G2053" s="5"/>
    </row>
    <row r="2054" spans="1:7" ht="58.5" customHeight="1" x14ac:dyDescent="0.25">
      <c r="A2054" s="5" t="str">
        <f>"H0004951"</f>
        <v>H0004951</v>
      </c>
      <c r="B2054" s="5" t="str">
        <f>"SILLA PLASTICA CON BRAZOS"</f>
        <v>SILLA PLASTICA CON BRAZOS</v>
      </c>
      <c r="C2054" s="6">
        <v>10440</v>
      </c>
      <c r="D2054" s="5"/>
      <c r="E2054" s="5" t="str">
        <f t="shared" si="106"/>
        <v>ACTISALUD-CIRUGIA GENERAL-GUSTAVO GOMEZ</v>
      </c>
      <c r="F2054" s="5" t="str">
        <f>"Descripcion: SILLA PLASTICA BLANCA Estado: Bueno Placa anterior: 000003497 Material: PLASTICO Color: BLANCO Referencia:  Observacion:  Placa padre: Tipo adquisicion: Entidad"</f>
        <v>Descripcion: SILLA PLASTICA BLANCA Estado: Bueno Placa anterior: 000003497 Material: PLASTICO Color: BLANCO Referencia:  Observacion:  Placa padre: Tipo adquisicion: Entidad</v>
      </c>
      <c r="G2054" s="5"/>
    </row>
    <row r="2055" spans="1:7" ht="58.5" customHeight="1" x14ac:dyDescent="0.25">
      <c r="A2055" s="5" t="str">
        <f>"H0004952"</f>
        <v>H0004952</v>
      </c>
      <c r="B2055" s="5" t="str">
        <f>"SILLON (SOFA)"</f>
        <v>SILLON (SOFA)</v>
      </c>
      <c r="C2055" s="6">
        <v>21400</v>
      </c>
      <c r="D2055" s="5"/>
      <c r="E2055" s="5" t="str">
        <f t="shared" si="106"/>
        <v>ACTISALUD-CIRUGIA GENERAL-GUSTAVO GOMEZ</v>
      </c>
      <c r="F2055" s="5" t="str">
        <f>"Descripcion: SOFA LIZZY TAPIZADO Estado: Bueno Placa anterior: 000003943 Material: TAPIZADO EN SEMICUERO Color: NEGRO Referencia:  Observacion:  Placa padre: Tipo adquisicion: Entidad"</f>
        <v>Descripcion: SOFA LIZZY TAPIZADO Estado: Bueno Placa anterior: 000003943 Material: TAPIZADO EN SEMICUERO Color: NEGRO Referencia:  Observacion:  Placa padre: Tipo adquisicion: Entidad</v>
      </c>
      <c r="G2055" s="5"/>
    </row>
    <row r="2056" spans="1:7" ht="58.5" customHeight="1" x14ac:dyDescent="0.25">
      <c r="A2056" s="5" t="str">
        <f>"H0004956"</f>
        <v>H0004956</v>
      </c>
      <c r="B2056" s="5" t="str">
        <f>"NEGATOSCOPIO"</f>
        <v>NEGATOSCOPIO</v>
      </c>
      <c r="C2056" s="6">
        <v>13049</v>
      </c>
      <c r="D2056" s="5"/>
      <c r="E2056" s="5" t="str">
        <f t="shared" si="106"/>
        <v>ACTISALUD-CIRUGIA GENERAL-GUSTAVO GOMEZ</v>
      </c>
      <c r="F2056" s="5" t="str">
        <f>"Descripcion: NEGATOSCOPIO DE 1 CUERPO Estado: Bueno Placa anterior: 000003738 Material: METALICO Color: GRIS Referencia:  Observacion:  Placa padre: Tipo adquisicion: Entidad"</f>
        <v>Descripcion: NEGATOSCOPIO DE 1 CUERPO Estado: Bueno Placa anterior: 000003738 Material: METALICO Color: GRIS Referencia:  Observacion:  Placa padre: Tipo adquisicion: Entidad</v>
      </c>
      <c r="G2056" s="5" t="str">
        <f>"1 CUERPO"</f>
        <v>1 CUERPO</v>
      </c>
    </row>
    <row r="2057" spans="1:7" ht="58.5" customHeight="1" x14ac:dyDescent="0.25">
      <c r="A2057" s="5" t="str">
        <f>"H0004961"</f>
        <v>H0004961</v>
      </c>
      <c r="B2057" s="5" t="str">
        <f>"MESA DE NOCHE"</f>
        <v>MESA DE NOCHE</v>
      </c>
      <c r="C2057" s="6">
        <v>313200</v>
      </c>
      <c r="D2057" s="5"/>
      <c r="E2057" s="5" t="str">
        <f t="shared" si="106"/>
        <v>ACTISALUD-CIRUGIA GENERAL-GUSTAVO GOMEZ</v>
      </c>
      <c r="F2057" s="5" t="str">
        <f>"Descripcion: Gabinete construido en lamina COLF-ROLL 18 cmm en formica, faveta y alacena de una puerta con manija DIMENSIONES APROXIMADA: 0.38 mts, ancho x 0.42 mts de largo x 0.80 mts de alto. Acabado en general en pintura polv Estado: Regular Placa ante"&amp; "rior: 000025157 Material: METALICO Color: GRIS Referencia:  Observacion:  Placa padre: Tipo adquisicion: Entidad"</f>
        <v>Descripcion: Gabinete construido en lamina COLF-ROLL 18 cmm en formica, faveta y alacena de una puerta con manija DIMENSIONES APROXIMADA: 0.38 mts, ancho x 0.42 mts de largo x 0.80 mts de alto. Acabado en general en pintura polv Estado: Regular Placa anterior: 000025157 Material: METALICO Color: GRIS Referencia:  Observacion:  Placa padre: Tipo adquisicion: Entidad</v>
      </c>
      <c r="G2057" s="5"/>
    </row>
    <row r="2058" spans="1:7" ht="58.5" customHeight="1" x14ac:dyDescent="0.25">
      <c r="A2058" s="5" t="str">
        <f>"H0004963"</f>
        <v>H0004963</v>
      </c>
      <c r="B2058" s="5" t="str">
        <f>"MESA PUENTE (ALIMENTACION) (INSTRUMENTAL)"</f>
        <v>MESA PUENTE (ALIMENTACION) (INSTRUMENTAL)</v>
      </c>
      <c r="C2058" s="6">
        <v>15000</v>
      </c>
      <c r="D2058" s="5"/>
      <c r="E2058" s="5" t="str">
        <f t="shared" si="106"/>
        <v>ACTISALUD-CIRUGIA GENERAL-GUSTAVO GOMEZ</v>
      </c>
      <c r="F2058" s="5" t="str">
        <f>"Descripcion: 80X37X108BANDEJA EN ACERO INOXIDABLE Estado: Regular Placa anterior: 000026615 Material: METALICO Color: BEIGE Referencia:  Observacion:  Placa padre: Tipo adquisicion: Entidad"</f>
        <v>Descripcion: 80X37X108BANDEJA EN ACERO INOXIDABLE Estado: Regular Placa anterior: 000026615 Material: METALICO Color: BEIGE Referencia:  Observacion:  Placa padre: Tipo adquisicion: Entidad</v>
      </c>
      <c r="G2058" s="5"/>
    </row>
    <row r="2059" spans="1:7" ht="58.5" customHeight="1" x14ac:dyDescent="0.25">
      <c r="A2059" s="5" t="str">
        <f>"H0004964"</f>
        <v>H0004964</v>
      </c>
      <c r="B2059" s="5" t="str">
        <f>"RIÑONERA HOSPITALARIA EN ACERO INOXIDABLE"</f>
        <v>RIÑONERA HOSPITALARIA EN ACERO INOXIDABLE</v>
      </c>
      <c r="C2059" s="6">
        <v>2661.24</v>
      </c>
      <c r="D2059" s="5"/>
      <c r="E2059" s="5" t="str">
        <f t="shared" si="106"/>
        <v>ACTISALUD-CIRUGIA GENERAL-GUSTAVO GOMEZ</v>
      </c>
      <c r="F2059" s="5" t="str">
        <f>"Descripcion: . Estado: Bueno Placa anterior: 000003745 Material: ACERO INOXIDABLE Color:  Referencia:  Observacion:  Placa padre: Tipo adquisicion: Entidad"</f>
        <v>Descripcion: . Estado: Bueno Placa anterior: 000003745 Material: ACERO INOXIDABLE Color:  Referencia:  Observacion:  Placa padre: Tipo adquisicion: Entidad</v>
      </c>
      <c r="G2059" s="5"/>
    </row>
    <row r="2060" spans="1:7" ht="58.5" customHeight="1" x14ac:dyDescent="0.25">
      <c r="A2060" s="5" t="str">
        <f>"H0004965"</f>
        <v>H0004965</v>
      </c>
      <c r="B2060" s="5" t="str">
        <f>"ESCALERILLA DE 2 PASOS"</f>
        <v>ESCALERILLA DE 2 PASOS</v>
      </c>
      <c r="C2060" s="6">
        <v>100000</v>
      </c>
      <c r="D2060" s="5" t="s">
        <v>49</v>
      </c>
      <c r="E2060" s="5" t="str">
        <f t="shared" si="106"/>
        <v>ACTISALUD-CIRUGIA GENERAL-GUSTAVO GOMEZ</v>
      </c>
      <c r="F2060" s="5" t="str">
        <f>"Descripcion: ESCALERILLA DE DOS PASO EN TUBO REDONDO Estado: Regular Placa anterior: 000029927 Material: METALICO MADERA Color: BLANCO Referencia:  Observacion:  Placa padre: Tipo adquisicion: Entidad"</f>
        <v>Descripcion: ESCALERILLA DE DOS PASO EN TUBO REDONDO Estado: Regular Placa anterior: 000029927 Material: METALICO MADERA Color: BLANCO Referencia:  Observacion:  Placa padre: Tipo adquisicion: Entidad</v>
      </c>
      <c r="G2060" s="5"/>
    </row>
    <row r="2061" spans="1:7" ht="58.5" customHeight="1" x14ac:dyDescent="0.25">
      <c r="A2061" s="5" t="str">
        <f>"H0004966"</f>
        <v>H0004966</v>
      </c>
      <c r="B2061" s="5" t="str">
        <f>"SILLA PLASTICA CON BRAZOS"</f>
        <v>SILLA PLASTICA CON BRAZOS</v>
      </c>
      <c r="C2061" s="6">
        <v>10440</v>
      </c>
      <c r="D2061" s="5"/>
      <c r="E2061" s="5" t="str">
        <f t="shared" si="106"/>
        <v>ACTISALUD-CIRUGIA GENERAL-GUSTAVO GOMEZ</v>
      </c>
      <c r="F2061" s="5" t="str">
        <f>"Descripcion: . Estado: Bueno Placa anterior: 000003523 Material: PLASTICO Color: BLANCO Referencia:  Observacion:  Placa padre: Tipo adquisicion: Entidad"</f>
        <v>Descripcion: . Estado: Bueno Placa anterior: 000003523 Material: PLASTICO Color: BLANCO Referencia:  Observacion:  Placa padre: Tipo adquisicion: Entidad</v>
      </c>
      <c r="G2061" s="5"/>
    </row>
    <row r="2062" spans="1:7" ht="58.5" customHeight="1" x14ac:dyDescent="0.25">
      <c r="A2062" s="5" t="str">
        <f>"H0004970"</f>
        <v>H0004970</v>
      </c>
      <c r="B2062" s="5" t="str">
        <f>"SILLA PLASTICA CON BRAZOS"</f>
        <v>SILLA PLASTICA CON BRAZOS</v>
      </c>
      <c r="C2062" s="6">
        <v>10440</v>
      </c>
      <c r="D2062" s="5"/>
      <c r="E2062" s="5" t="str">
        <f t="shared" si="106"/>
        <v>ACTISALUD-CIRUGIA GENERAL-GUSTAVO GOMEZ</v>
      </c>
      <c r="F2062" s="5" t="str">
        <f>"Descripcion: . Estado: Bueno Placa anterior: 000003783 Material: PLASTICO Color: BLANCO Referencia:  Observacion:  Placa padre: Tipo adquisicion: Entidad"</f>
        <v>Descripcion: . Estado: Bueno Placa anterior: 000003783 Material: PLASTICO Color: BLANCO Referencia:  Observacion:  Placa padre: Tipo adquisicion: Entidad</v>
      </c>
      <c r="G2062" s="5"/>
    </row>
    <row r="2063" spans="1:7" ht="58.5" customHeight="1" x14ac:dyDescent="0.25">
      <c r="A2063" s="5" t="str">
        <f>"H0004971"</f>
        <v>H0004971</v>
      </c>
      <c r="B2063" s="5" t="str">
        <f>"MESA DE NOCHE"</f>
        <v>MESA DE NOCHE</v>
      </c>
      <c r="C2063" s="6">
        <v>327586</v>
      </c>
      <c r="D2063" s="5"/>
      <c r="E2063" s="5" t="str">
        <f t="shared" si="106"/>
        <v>ACTISALUD-CIRUGIA GENERAL-GUSTAVO GOMEZ</v>
      </c>
      <c r="F2063" s="5" t="str">
        <f>"Descripcion: . Estado: Regular Placa anterior: 000028918 Material: ACERO INOXIDABLE Color:  Referencia:  Observacion:  Placa padre: Tipo adquisicion: Entidad"</f>
        <v>Descripcion: . Estado: Regular Placa anterior: 000028918 Material: ACERO INOXIDABLE Color:  Referencia:  Observacion:  Placa padre: Tipo adquisicion: Entidad</v>
      </c>
      <c r="G2063" s="5"/>
    </row>
    <row r="2064" spans="1:7" ht="58.5" customHeight="1" x14ac:dyDescent="0.25">
      <c r="A2064" s="5" t="str">
        <f>"H0004976"</f>
        <v>H0004976</v>
      </c>
      <c r="B2064" s="5" t="str">
        <f>"MESA PUENTE (ALIMENTACION) (INSTRUMENTAL)"</f>
        <v>MESA PUENTE (ALIMENTACION) (INSTRUMENTAL)</v>
      </c>
      <c r="C2064" s="6">
        <v>15000</v>
      </c>
      <c r="D2064" s="5"/>
      <c r="E2064" s="5" t="str">
        <f t="shared" si="106"/>
        <v>ACTISALUD-CIRUGIA GENERAL-GUSTAVO GOMEZ</v>
      </c>
      <c r="F2064" s="5" t="str">
        <f>"Descripcion: 80X37X108BANDEJA EN ACERO INOXIDABLE Estado: Regular Placa anterior: 000026624 Material: METALICO Color: BEIGE Referencia:  Observacion:  Placa padre: Tipo adquisicion: Entidad"</f>
        <v>Descripcion: 80X37X108BANDEJA EN ACERO INOXIDABLE Estado: Regular Placa anterior: 000026624 Material: METALICO Color: BEIGE Referencia:  Observacion:  Placa padre: Tipo adquisicion: Entidad</v>
      </c>
      <c r="G2064" s="5"/>
    </row>
    <row r="2065" spans="1:7" ht="58.5" customHeight="1" x14ac:dyDescent="0.25">
      <c r="A2065" s="5" t="str">
        <f>"H0004977"</f>
        <v>H0004977</v>
      </c>
      <c r="B2065" s="5" t="str">
        <f>"MESA DE NOCHE"</f>
        <v>MESA DE NOCHE</v>
      </c>
      <c r="C2065" s="6">
        <v>313200</v>
      </c>
      <c r="D2065" s="5"/>
      <c r="E2065" s="5" t="str">
        <f t="shared" si="106"/>
        <v>ACTISALUD-CIRUGIA GENERAL-GUSTAVO GOMEZ</v>
      </c>
      <c r="F2065" s="5" t="str">
        <f>"Descripcion: MESA DE NOCHE DE LUJO ESPECIFICACIONES Gabinete construido en lamina COLF-ROLL 18 cmm en formica, faveta y alacena de una puerta con manija DIMENSIONES APROXIMADA: 0.38 mts, ancho x 0.42 mts de largo x 0.80 mts de alto. Acabado en general en "&amp; "pintura polv Estado: Regular Placa anterior: 000025175 Material: METALICO MADERA Color: GRIS Referencia:  Observacion:  Placa padre: Tipo adquisicion: Entidad"</f>
        <v>Descripcion: MESA DE NOCHE DE LUJO ESPECIFICACIONES Gabinete construido en lamina COLF-ROLL 18 cmm en formica, faveta y alacena de una puerta con manija DIMENSIONES APROXIMADA: 0.38 mts, ancho x 0.42 mts de largo x 0.80 mts de alto. Acabado en general en pintura polv Estado: Regular Placa anterior: 000025175 Material: METALICO MADERA Color: GRIS Referencia:  Observacion:  Placa padre: Tipo adquisicion: Entidad</v>
      </c>
      <c r="G2065" s="5"/>
    </row>
    <row r="2066" spans="1:7" ht="58.5" customHeight="1" x14ac:dyDescent="0.25">
      <c r="A2066" s="5" t="str">
        <f>"H0004980"</f>
        <v>H0004980</v>
      </c>
      <c r="B2066" s="5" t="str">
        <f>"MESA DE NOCHE"</f>
        <v>MESA DE NOCHE</v>
      </c>
      <c r="C2066" s="6">
        <v>313200</v>
      </c>
      <c r="D2066" s="5"/>
      <c r="E2066" s="5" t="str">
        <f t="shared" si="106"/>
        <v>ACTISALUD-CIRUGIA GENERAL-GUSTAVO GOMEZ</v>
      </c>
      <c r="F2066" s="5" t="str">
        <f>"Descripcion: MESA DE NOCHE DE LUJO ESPECIFICACIONES Gabinete construido en lamina COLF-ROLL 18 cmm en formica, faveta y alacena de una puerta con manija DIMENSIONES APROXIMADA: 0.38 mts, ancho x 0.42 mts de largo x 0.80 mts de alto. Acabado en general en "&amp; "pintura polv Estado: Regular Placa anterior: 000025168 Material: METALICO MADERA Color: GRIS Referencia:  Observacion:  Placa padre: Tipo adquisicion: Entidad"</f>
        <v>Descripcion: MESA DE NOCHE DE LUJO ESPECIFICACIONES Gabinete construido en lamina COLF-ROLL 18 cmm en formica, faveta y alacena de una puerta con manija DIMENSIONES APROXIMADA: 0.38 mts, ancho x 0.42 mts de largo x 0.80 mts de alto. Acabado en general en pintura polv Estado: Regular Placa anterior: 000025168 Material: METALICO MADERA Color: GRIS Referencia:  Observacion:  Placa padre: Tipo adquisicion: Entidad</v>
      </c>
      <c r="G2066" s="5"/>
    </row>
    <row r="2067" spans="1:7" ht="58.5" customHeight="1" x14ac:dyDescent="0.25">
      <c r="A2067" s="5" t="str">
        <f>"H0004986"</f>
        <v>H0004986</v>
      </c>
      <c r="B2067" s="5" t="str">
        <f>"SILLA PLASTICA CON BRAZOS"</f>
        <v>SILLA PLASTICA CON BRAZOS</v>
      </c>
      <c r="C2067" s="6">
        <v>10440</v>
      </c>
      <c r="D2067" s="5"/>
      <c r="E2067" s="5" t="str">
        <f t="shared" si="106"/>
        <v>ACTISALUD-CIRUGIA GENERAL-GUSTAVO GOMEZ</v>
      </c>
      <c r="F2067" s="5" t="str">
        <f>"Descripcion: . Estado: Bueno Placa anterior: 000003716 Material: PLASTICO Color: BLANCO Referencia:  Observacion:  Placa padre: Tipo adquisicion: Entidad"</f>
        <v>Descripcion: . Estado: Bueno Placa anterior: 000003716 Material: PLASTICO Color: BLANCO Referencia:  Observacion:  Placa padre: Tipo adquisicion: Entidad</v>
      </c>
      <c r="G2067" s="5"/>
    </row>
    <row r="2068" spans="1:7" ht="58.5" customHeight="1" x14ac:dyDescent="0.25">
      <c r="A2068" s="5" t="str">
        <f>"H0004990"</f>
        <v>H0004990</v>
      </c>
      <c r="B2068" s="5" t="str">
        <f>"MESA DE NOCHE"</f>
        <v>MESA DE NOCHE</v>
      </c>
      <c r="C2068" s="6">
        <v>327586</v>
      </c>
      <c r="D2068" s="5"/>
      <c r="E2068" s="5" t="str">
        <f t="shared" si="106"/>
        <v>ACTISALUD-CIRUGIA GENERAL-GUSTAVO GOMEZ</v>
      </c>
      <c r="F2068" s="5" t="str">
        <f>"Descripcion: . Estado: Regular Placa anterior: 000028910 Material: ACERO INOXIDABLE Color:  Referencia:  Observacion:  Placa padre: Tipo adquisicion: Entidad"</f>
        <v>Descripcion: . Estado: Regular Placa anterior: 000028910 Material: ACERO INOXIDABLE Color:  Referencia:  Observacion:  Placa padre: Tipo adquisicion: Entidad</v>
      </c>
      <c r="G2068" s="5"/>
    </row>
    <row r="2069" spans="1:7" ht="58.5" customHeight="1" x14ac:dyDescent="0.25">
      <c r="A2069" s="5" t="str">
        <f>"H0004996"</f>
        <v>H0004996</v>
      </c>
      <c r="B2069" s="5" t="str">
        <f>"MESA DE NOCHE"</f>
        <v>MESA DE NOCHE</v>
      </c>
      <c r="C2069" s="6">
        <v>327586</v>
      </c>
      <c r="D2069" s="5"/>
      <c r="E2069" s="5" t="str">
        <f t="shared" si="106"/>
        <v>ACTISALUD-CIRUGIA GENERAL-GUSTAVO GOMEZ</v>
      </c>
      <c r="F2069" s="5" t="str">
        <f>"Descripcion: . Estado: Regular Placa anterior: 000028911 Material: ACERO INOXIDABLE Color:  Referencia:  Observacion:  Placa padre: Tipo adquisicion: Entidad"</f>
        <v>Descripcion: . Estado: Regular Placa anterior: 000028911 Material: ACERO INOXIDABLE Color:  Referencia:  Observacion:  Placa padre: Tipo adquisicion: Entidad</v>
      </c>
      <c r="G2069" s="5"/>
    </row>
    <row r="2070" spans="1:7" ht="58.5" customHeight="1" x14ac:dyDescent="0.25">
      <c r="A2070" s="5" t="str">
        <f>"H0005006"</f>
        <v>H0005006</v>
      </c>
      <c r="B2070" s="5" t="str">
        <f>"SILLA PLASTICA CON BRAZOS"</f>
        <v>SILLA PLASTICA CON BRAZOS</v>
      </c>
      <c r="C2070" s="6">
        <v>10440</v>
      </c>
      <c r="D2070" s="5"/>
      <c r="E2070" s="5" t="str">
        <f t="shared" si="106"/>
        <v>ACTISALUD-CIRUGIA GENERAL-GUSTAVO GOMEZ</v>
      </c>
      <c r="F2070" s="5" t="str">
        <f>"Descripcion: . Estado: Bueno Placa anterior: 000026622 Material: PLASTICO Color: BLANCO Referencia:  Observacion:  Placa padre: Tipo adquisicion: Entidad"</f>
        <v>Descripcion: . Estado: Bueno Placa anterior: 000026622 Material: PLASTICO Color: BLANCO Referencia:  Observacion:  Placa padre: Tipo adquisicion: Entidad</v>
      </c>
      <c r="G2070" s="5"/>
    </row>
    <row r="2071" spans="1:7" ht="58.5" customHeight="1" x14ac:dyDescent="0.25">
      <c r="A2071" s="5" t="str">
        <f>"H0005009"</f>
        <v>H0005009</v>
      </c>
      <c r="B2071" s="5" t="str">
        <f>"MESA PUENTE (ALIMENTACION) (INSTRUMENTAL)"</f>
        <v>MESA PUENTE (ALIMENTACION) (INSTRUMENTAL)</v>
      </c>
      <c r="C2071" s="6">
        <v>15000</v>
      </c>
      <c r="D2071" s="5"/>
      <c r="E2071" s="5" t="str">
        <f t="shared" si="106"/>
        <v>ACTISALUD-CIRUGIA GENERAL-GUSTAVO GOMEZ</v>
      </c>
      <c r="F2071" s="5" t="str">
        <f>"Descripcion: 80X37X108BANDEJA EN ACERO INOXIDABLE Estado: Regular Placa anterior: 000026644 Material: METALICO Color: BEIGE Referencia:  Observacion:  Placa padre: Tipo adquisicion: Entidad"</f>
        <v>Descripcion: 80X37X108BANDEJA EN ACERO INOXIDABLE Estado: Regular Placa anterior: 000026644 Material: METALICO Color: BEIGE Referencia:  Observacion:  Placa padre: Tipo adquisicion: Entidad</v>
      </c>
      <c r="G2071" s="5"/>
    </row>
    <row r="2072" spans="1:7" ht="58.5" customHeight="1" x14ac:dyDescent="0.25">
      <c r="A2072" s="5" t="str">
        <f>"H0005011"</f>
        <v>H0005011</v>
      </c>
      <c r="B2072" s="5" t="str">
        <f>"MESA DE NOCHE"</f>
        <v>MESA DE NOCHE</v>
      </c>
      <c r="C2072" s="6">
        <v>327586</v>
      </c>
      <c r="D2072" s="5"/>
      <c r="E2072" s="5" t="str">
        <f t="shared" si="106"/>
        <v>ACTISALUD-CIRUGIA GENERAL-GUSTAVO GOMEZ</v>
      </c>
      <c r="F2072" s="5" t="str">
        <f>"Descripcion: . Estado: Regular Placa anterior: 000028905 Material: ACERO INOXIDABLE Color:  Referencia:  Observacion:  Placa padre: Tipo adquisicion: Entidad"</f>
        <v>Descripcion: . Estado: Regular Placa anterior: 000028905 Material: ACERO INOXIDABLE Color:  Referencia:  Observacion:  Placa padre: Tipo adquisicion: Entidad</v>
      </c>
      <c r="G2072" s="5"/>
    </row>
    <row r="2073" spans="1:7" ht="58.5" customHeight="1" x14ac:dyDescent="0.25">
      <c r="A2073" s="5" t="str">
        <f>"H0005013"</f>
        <v>H0005013</v>
      </c>
      <c r="B2073" s="5" t="str">
        <f>"SILLA PLASTICA CON BRAZOS"</f>
        <v>SILLA PLASTICA CON BRAZOS</v>
      </c>
      <c r="C2073" s="6">
        <v>12240.32</v>
      </c>
      <c r="D2073" s="5"/>
      <c r="E2073" s="5" t="str">
        <f t="shared" si="106"/>
        <v>ACTISALUD-CIRUGIA GENERAL-GUSTAVO GOMEZ</v>
      </c>
      <c r="F2073" s="5" t="str">
        <f>"Descripcion: . Estado: Bueno Placa anterior: 000027399 Material: PLASTICO Color: BLANCO Referencia:  Observacion:  Placa padre: Tipo adquisicion: Entidad"</f>
        <v>Descripcion: . Estado: Bueno Placa anterior: 000027399 Material: PLASTICO Color: BLANCO Referencia:  Observacion:  Placa padre: Tipo adquisicion: Entidad</v>
      </c>
      <c r="G2073" s="5"/>
    </row>
    <row r="2074" spans="1:7" ht="58.5" customHeight="1" x14ac:dyDescent="0.25">
      <c r="A2074" s="5" t="str">
        <f>"H0005020"</f>
        <v>H0005020</v>
      </c>
      <c r="B2074" s="5" t="str">
        <f>"PATO (COPROLOGICO) MUJER"</f>
        <v>PATO (COPROLOGICO) MUJER</v>
      </c>
      <c r="C2074" s="6">
        <v>25206.18</v>
      </c>
      <c r="D2074" s="5"/>
      <c r="E2074" s="5" t="str">
        <f t="shared" si="106"/>
        <v>ACTISALUD-CIRUGIA GENERAL-GUSTAVO GOMEZ</v>
      </c>
      <c r="F2074" s="5" t="str">
        <f>"Descripcion: PATO COPROLOGICO Estado: Bueno Placa anterior: 000003824 Material: ACERO INOXIDABLE Color:  Referencia:  Observacion:  Placa padre: Tipo adquisicion: Entidad"</f>
        <v>Descripcion: PATO COPROLOGICO Estado: Bueno Placa anterior: 000003824 Material: ACERO INOXIDABLE Color:  Referencia:  Observacion:  Placa padre: Tipo adquisicion: Entidad</v>
      </c>
      <c r="G2074" s="5"/>
    </row>
    <row r="2075" spans="1:7" ht="58.5" customHeight="1" x14ac:dyDescent="0.25">
      <c r="A2075" s="5" t="str">
        <f>"H0005021"</f>
        <v>H0005021</v>
      </c>
      <c r="B2075" s="5" t="str">
        <f>"PATO (COPROLOGICO) MUJER"</f>
        <v>PATO (COPROLOGICO) MUJER</v>
      </c>
      <c r="C2075" s="6">
        <v>25206.18</v>
      </c>
      <c r="D2075" s="5"/>
      <c r="E2075" s="5" t="str">
        <f t="shared" si="106"/>
        <v>ACTISALUD-CIRUGIA GENERAL-GUSTAVO GOMEZ</v>
      </c>
      <c r="F2075" s="5" t="str">
        <f>"Descripcion: PATO COPROLOGICO Estado: Bueno Placa anterior: 000003414 Material: ACERO INOXIDABLE Color:  Referencia:  Observacion:  Placa padre: Tipo adquisicion: Entidad"</f>
        <v>Descripcion: PATO COPROLOGICO Estado: Bueno Placa anterior: 000003414 Material: ACERO INOXIDABLE Color:  Referencia:  Observacion:  Placa padre: Tipo adquisicion: Entidad</v>
      </c>
      <c r="G2075" s="5"/>
    </row>
    <row r="2076" spans="1:7" ht="58.5" customHeight="1" x14ac:dyDescent="0.25">
      <c r="A2076" s="5" t="str">
        <f>"H0005832"</f>
        <v>H0005832</v>
      </c>
      <c r="B2076" s="5" t="str">
        <f>"SILLA INTERLOCUTORA (FIJA) CON BRAZOS"</f>
        <v>SILLA INTERLOCUTORA (FIJA) CON BRAZOS</v>
      </c>
      <c r="C2076" s="6">
        <v>10391.07</v>
      </c>
      <c r="D2076" s="5"/>
      <c r="E2076" s="5" t="str">
        <f t="shared" si="106"/>
        <v>ACTISALUD-CIRUGIA GENERAL-GUSTAVO GOMEZ</v>
      </c>
      <c r="F2076" s="5" t="str">
        <f>"Descripcion:SILLA TIPO D (FIJA CON BRAZOS) METALICA  Estado: Bueno Placa anterior: 000021068 Material: METALICO TAPIZADA EN SEMICUERO Color: NEGRO Referencia:  Observacion:  Placa padre:  Tipo adquisicion : Entidad"</f>
        <v>Descripcion:SILLA TIPO D (FIJA CON BRAZOS) METALICA  Estado: Bueno Placa anterior: 000021068 Material: METALICO TAPIZADA EN SEMICUERO Color: NEGRO Referencia:  Observacion:  Placa padre:  Tipo adquisicion : Entidad</v>
      </c>
      <c r="G2076" s="5"/>
    </row>
    <row r="2077" spans="1:7" ht="58.5" customHeight="1" x14ac:dyDescent="0.25">
      <c r="A2077" s="5" t="str">
        <f>"H0005833"</f>
        <v>H0005833</v>
      </c>
      <c r="B2077" s="5" t="str">
        <f>"SILLA INTERLOCUTORA (FIJA) CON BRAZOS"</f>
        <v>SILLA INTERLOCUTORA (FIJA) CON BRAZOS</v>
      </c>
      <c r="C2077" s="6">
        <v>10391.07</v>
      </c>
      <c r="D2077" s="5"/>
      <c r="E2077" s="5" t="str">
        <f t="shared" si="106"/>
        <v>ACTISALUD-CIRUGIA GENERAL-GUSTAVO GOMEZ</v>
      </c>
      <c r="F2077" s="5" t="str">
        <f>"Descripcion:SILLA TIPO D (FIJA CON BRAZOS) METALICA Estado: Bueno Placa anterior: 000021066 Material: METALICO TAPIZADA EN SEMICUERO Color: NEGRO Referencia:  Observacion:  Placa padre:  Tipo adquisicion : Entidad"</f>
        <v>Descripcion:SILLA TIPO D (FIJA CON BRAZOS) METALICA Estado: Bueno Placa anterior: 000021066 Material: METALICO TAPIZADA EN SEMICUERO Color: NEGRO Referencia:  Observacion:  Placa padre:  Tipo adquisicion : Entidad</v>
      </c>
      <c r="G2077" s="5"/>
    </row>
    <row r="2078" spans="1:7" ht="58.5" customHeight="1" x14ac:dyDescent="0.25">
      <c r="A2078" s="5" t="str">
        <f>"H0006702"</f>
        <v>H0006702</v>
      </c>
      <c r="B2078" s="5" t="str">
        <f>"MESA DE MADERA"</f>
        <v>MESA DE MADERA</v>
      </c>
      <c r="C2078" s="6">
        <v>7991.66</v>
      </c>
      <c r="D2078" s="5"/>
      <c r="E2078" s="5" t="str">
        <f t="shared" si="106"/>
        <v>ACTISALUD-CIRUGIA GENERAL-GUSTAVO GOMEZ</v>
      </c>
      <c r="F2078" s="5" t="str">
        <f>"Descripcion: MESA DE MADERA 60 CM ANCHO X 74 DE ALTO X 59 FONDO Estado: Bueno Placa anterior: 000003919 Material: MADERA Color: MADERA Y NEGRO, BEIGE Referencia:  Observacion:  Placa padre: Tipo adquisicion: Entidad"</f>
        <v>Descripcion: MESA DE MADERA 60 CM ANCHO X 74 DE ALTO X 59 FONDO Estado: Bueno Placa anterior: 000003919 Material: MADERA Color: MADERA Y NEGRO, BEIGE Referencia:  Observacion:  Placa padre: Tipo adquisicion: Entidad</v>
      </c>
      <c r="G2078" s="5"/>
    </row>
    <row r="2079" spans="1:7" ht="58.5" customHeight="1" x14ac:dyDescent="0.25">
      <c r="A2079" s="5" t="str">
        <f>"H0006722"</f>
        <v>H0006722</v>
      </c>
      <c r="B2079" s="5" t="str">
        <f>"MESA DE NOCHE"</f>
        <v>MESA DE NOCHE</v>
      </c>
      <c r="C2079" s="6">
        <v>327586</v>
      </c>
      <c r="D2079" s="5"/>
      <c r="E2079" s="5" t="str">
        <f t="shared" si="106"/>
        <v>ACTISALUD-CIRUGIA GENERAL-GUSTAVO GOMEZ</v>
      </c>
      <c r="F2079" s="5" t="str">
        <f>"Descripcion:MESA DE NOCHE 2 GAVETAS Estado: Bueno Placa anterior: 000032718 Material: METAL Y SUPERFICIE EN FORMICA Color: GRIS Y MADERA Referencia:  Observacion: EL BIEN TIENE PLACA ANTERIOR  000026762, AUTORIZADO CONCILIAR EN CRUCE GENERAL Placa padre: "&amp; " Tipo adquisicion : Entidad"</f>
        <v>Descripcion:MESA DE NOCHE 2 GAVETAS Estado: Bueno Placa anterior: 000032718 Material: METAL Y SUPERFICIE EN FORMICA Color: GRIS Y MADERA Referencia:  Observacion: EL BIEN TIENE PLACA ANTERIOR  000026762, AUTORIZADO CONCILIAR EN CRUCE GENERAL Placa padre:  Tipo adquisicion : Entidad</v>
      </c>
      <c r="G2079" s="5"/>
    </row>
    <row r="2080" spans="1:7" ht="58.5" customHeight="1" x14ac:dyDescent="0.25">
      <c r="A2080" s="5" t="str">
        <f>"H0006724"</f>
        <v>H0006724</v>
      </c>
      <c r="B2080" s="5" t="str">
        <f>"MESA DE NOCHE"</f>
        <v>MESA DE NOCHE</v>
      </c>
      <c r="C2080" s="6">
        <v>327586</v>
      </c>
      <c r="D2080" s="5"/>
      <c r="E2080" s="5" t="str">
        <f t="shared" si="106"/>
        <v>ACTISALUD-CIRUGIA GENERAL-GUSTAVO GOMEZ</v>
      </c>
      <c r="F2080" s="5" t="str">
        <f>"Descripcion:MESA DE NOCHE 2 GAVETAS Estado: Bueno Placa anterior: 000032726 Material: METAL Y SUPERFICIE EN FORMICA Color: GRIS Y MADERA Referencia:  Observacion: EL BIEN TIENE PLACA ANTERIOR  000026774, AUTORIZADO CONCILIAR EN CRUCE GENERAL Placa padre: "&amp; " Tipo adquisicion : Entidad"</f>
        <v>Descripcion:MESA DE NOCHE 2 GAVETAS Estado: Bueno Placa anterior: 000032726 Material: METAL Y SUPERFICIE EN FORMICA Color: GRIS Y MADERA Referencia:  Observacion: EL BIEN TIENE PLACA ANTERIOR  000026774, AUTORIZADO CONCILIAR EN CRUCE GENERAL Placa padre:  Tipo adquisicion : Entidad</v>
      </c>
      <c r="G2080" s="5"/>
    </row>
    <row r="2081" spans="1:7" ht="58.5" customHeight="1" x14ac:dyDescent="0.25">
      <c r="A2081" s="5" t="str">
        <f>"H0006725"</f>
        <v>H0006725</v>
      </c>
      <c r="B2081" s="5" t="str">
        <f>"MESA DE NOCHE"</f>
        <v>MESA DE NOCHE</v>
      </c>
      <c r="C2081" s="6">
        <v>327586</v>
      </c>
      <c r="D2081" s="5"/>
      <c r="E2081" s="5" t="str">
        <f t="shared" ref="E2081:E2144" si="107">"ACTISALUD-CIRUGIA GENERAL-GUSTAVO GOMEZ"</f>
        <v>ACTISALUD-CIRUGIA GENERAL-GUSTAVO GOMEZ</v>
      </c>
      <c r="F2081" s="5" t="str">
        <f>"Descripcion:MESA DE NOCHE EN ACERO Estado: Bueno Placa anterior: 000033049 Material: ACERO INOXIDABLE Color: PLATEADO Referencia:  Observacion:  Placa padre:  Tipo adquisicion : Entidad"</f>
        <v>Descripcion:MESA DE NOCHE EN ACERO Estado: Bueno Placa anterior: 000033049 Material: ACERO INOXIDABLE Color: PLATEADO Referencia:  Observacion:  Placa padre:  Tipo adquisicion : Entidad</v>
      </c>
      <c r="G2081" s="5"/>
    </row>
    <row r="2082" spans="1:7" ht="58.5" customHeight="1" x14ac:dyDescent="0.25">
      <c r="A2082" s="5" t="str">
        <f>"H0006968"</f>
        <v>H0006968</v>
      </c>
      <c r="B2082" s="5" t="str">
        <f>"MESA DE MAYO"</f>
        <v>MESA DE MAYO</v>
      </c>
      <c r="C2082" s="6">
        <v>210000</v>
      </c>
      <c r="D2082" s="5"/>
      <c r="E2082" s="5" t="str">
        <f t="shared" si="107"/>
        <v>ACTISALUD-CIRUGIA GENERAL-GUSTAVO GOMEZ</v>
      </c>
      <c r="F2082" s="5" t="str">
        <f>"Descripcion: MESA DE MAYO  EN TUBO METALICO CALIBRE 18, TOTALMENTE CROMADA ALTURA 1.05 MTS.CON CUBIERTA EN FORMICA Estado: Regular Placa anterior: 000023430 Material: METALICO Y FORMICA Color: GRIS Y BAGE Referencia:  Observacion:  Placa padre: Tipo adqui"&amp; "sicion: Entidad"</f>
        <v>Descripcion: MESA DE MAYO  EN TUBO METALICO CALIBRE 18, TOTALMENTE CROMADA ALTURA 1.05 MTS.CON CUBIERTA EN FORMICA Estado: Regular Placa anterior: 000023430 Material: METALICO Y FORMICA Color: GRIS Y BAGE Referencia:  Observacion:  Placa padre: Tipo adquisicion: Entidad</v>
      </c>
      <c r="G2082" s="5"/>
    </row>
    <row r="2083" spans="1:7" ht="58.5" customHeight="1" x14ac:dyDescent="0.25">
      <c r="A2083" s="5" t="str">
        <f>"H0007382"</f>
        <v>H0007382</v>
      </c>
      <c r="B2083" s="5" t="str">
        <f>"CAMILLA DE TRASLADO CON BARANDAS"</f>
        <v>CAMILLA DE TRASLADO CON BARANDAS</v>
      </c>
      <c r="C2083" s="6">
        <v>1845000</v>
      </c>
      <c r="D2083" s="5" t="s">
        <v>239</v>
      </c>
      <c r="E2083" s="5" t="str">
        <f t="shared" si="107"/>
        <v>ACTISALUD-CIRUGIA GENERAL-GUSTAVO GOMEZ</v>
      </c>
      <c r="F2083" s="5" t="str">
        <f>"Descripcion: CAMILLA DE RECUPERACION Y TRANSPORTE DE PACINETES DE DOS PLANOS MARCA DOMETAL, ESPALDAR GRADUABLE COLCHONETA ESPUMA, BARANDA DE SEGURIDAD GARANTIA 1 AÑO Estado: Bueno Placa anterior: 000029061 Material: METALICO Color: BEIGE Referencia:  Obse"&amp; "rvacion:  Placa padre: Tipo adquisicion: Entidad"</f>
        <v>Descripcion: CAMILLA DE RECUPERACION Y TRANSPORTE DE PACINETES DE DOS PLANOS MARCA DOMETAL, ESPALDAR GRADUABLE COLCHONETA ESPUMA, BARANDA DE SEGURIDAD GARANTIA 1 AÑO Estado: Bueno Placa anterior: 000029061 Material: METALICO Color: BEIGE Referencia:  Observacion:  Placa padre: Tipo adquisicion: Entidad</v>
      </c>
      <c r="G2083" s="5"/>
    </row>
    <row r="2084" spans="1:7" ht="58.5" customHeight="1" x14ac:dyDescent="0.25">
      <c r="A2084" s="5" t="str">
        <f>"H0008247"</f>
        <v>H0008247</v>
      </c>
      <c r="B2084" s="5" t="str">
        <f>"SILLA TANDEM DE 3 PUESTOS"</f>
        <v>SILLA TANDEM DE 3 PUESTOS</v>
      </c>
      <c r="C2084" s="6">
        <v>10780</v>
      </c>
      <c r="D2084" s="5"/>
      <c r="E2084" s="5" t="str">
        <f t="shared" si="107"/>
        <v>ACTISALUD-CIRUGIA GENERAL-GUSTAVO GOMEZ</v>
      </c>
      <c r="F2084" s="5" t="str">
        <f>"Descripcion: SILLA TANDEM DE 3 PUESTOS (2 SILLA ESTA EN MAL ESTADO) Estado: Regular Placa anterior: 000005518 Material: METALICO CON ASIENTOS EN PLASTICO Color: NEGRO CON BLANCO Referencia:  Observacion: AUTORIZADO CONCILIAR EN CRUCE GENERAL Placa padre: "&amp; "Tipo adquisicion: Entidad"</f>
        <v>Descripcion: SILLA TANDEM DE 3 PUESTOS (2 SILLA ESTA EN MAL ESTADO) Estado: Regular Placa anterior: 000005518 Material: METALICO CON ASIENTOS EN PLASTICO Color: NEGRO CON BLANCO Referencia:  Observacion: AUTORIZADO CONCILIAR EN CRUCE GENERAL Placa padre: Tipo adquisicion: Entidad</v>
      </c>
      <c r="G2084" s="5"/>
    </row>
    <row r="2085" spans="1:7" ht="58.5" customHeight="1" x14ac:dyDescent="0.25">
      <c r="A2085" s="5" t="str">
        <f>"H0008280"</f>
        <v>H0008280</v>
      </c>
      <c r="B2085" s="5" t="str">
        <f>"MESA DE NOCHE"</f>
        <v>MESA DE NOCHE</v>
      </c>
      <c r="C2085" s="6">
        <v>8389.33</v>
      </c>
      <c r="D2085" s="5"/>
      <c r="E2085" s="5" t="str">
        <f t="shared" si="107"/>
        <v>ACTISALUD-CIRUGIA GENERAL-GUSTAVO GOMEZ</v>
      </c>
      <c r="F2085" s="5" t="str">
        <f>"Descripcion: MESA DE NOCHE METALICA Estado: Bueno Placa anterior: 000027418 Material: METALICO CON MESON EN FORMICA Color: GRIS  Referencia:  Observacion:  Placa padre: Tipo adquisicion: Entidad"</f>
        <v>Descripcion: MESA DE NOCHE METALICA Estado: Bueno Placa anterior: 000027418 Material: METALICO CON MESON EN FORMICA Color: GRIS  Referencia:  Observacion:  Placa padre: Tipo adquisicion: Entidad</v>
      </c>
      <c r="G2085" s="5"/>
    </row>
    <row r="2086" spans="1:7" ht="58.5" customHeight="1" x14ac:dyDescent="0.25">
      <c r="A2086" s="5" t="str">
        <f>"H0008281"</f>
        <v>H0008281</v>
      </c>
      <c r="B2086" s="5" t="str">
        <f>"MESA DE NOCHE"</f>
        <v>MESA DE NOCHE</v>
      </c>
      <c r="C2086" s="6">
        <v>8389.33</v>
      </c>
      <c r="D2086" s="5"/>
      <c r="E2086" s="5" t="str">
        <f t="shared" si="107"/>
        <v>ACTISALUD-CIRUGIA GENERAL-GUSTAVO GOMEZ</v>
      </c>
      <c r="F2086" s="5" t="str">
        <f>"Descripcion: MESA DE NOCHE METALICA Estado: Bueno Placa anterior: 000027426 Material: METALICO CON MESON EN FORMICA Color: GRIS  Referencia:  Observacion:  Placa padre: Tipo adquisicion: Entidad"</f>
        <v>Descripcion: MESA DE NOCHE METALICA Estado: Bueno Placa anterior: 000027426 Material: METALICO CON MESON EN FORMICA Color: GRIS  Referencia:  Observacion:  Placa padre: Tipo adquisicion: Entidad</v>
      </c>
      <c r="G2086" s="5"/>
    </row>
    <row r="2087" spans="1:7" ht="58.5" customHeight="1" x14ac:dyDescent="0.25">
      <c r="A2087" s="5" t="str">
        <f>"H0008625"</f>
        <v>H0008625</v>
      </c>
      <c r="B2087" s="5" t="str">
        <f>"SILLA TANDEM DE 3 PUESTOS"</f>
        <v>SILLA TANDEM DE 3 PUESTOS</v>
      </c>
      <c r="C2087" s="6">
        <v>165880</v>
      </c>
      <c r="D2087" s="5"/>
      <c r="E2087" s="5" t="str">
        <f t="shared" si="107"/>
        <v>ACTISALUD-CIRUGIA GENERAL-GUSTAVO GOMEZ</v>
      </c>
      <c r="F2087" s="5" t="str">
        <f>"Descripcion:TANDEM MONO CONCHA PLASTICA 3 PUESTOS Estado: Bueno Placa anterior: 000025848 Material: METALICO CON ASIENTOS EN PLASTICO Color: BLANCO Referencia:  Observacion:  Placa padre:  Tipo adquisicion : Entidad"</f>
        <v>Descripcion:TANDEM MONO CONCHA PLASTICA 3 PUESTOS Estado: Bueno Placa anterior: 000025848 Material: METALICO CON ASIENTOS EN PLASTICO Color: BLANCO Referencia:  Observacion:  Placa padre:  Tipo adquisicion : Entidad</v>
      </c>
      <c r="G2087" s="5"/>
    </row>
    <row r="2088" spans="1:7" ht="58.5" customHeight="1" x14ac:dyDescent="0.25">
      <c r="A2088" s="5" t="str">
        <f>"H0010005"</f>
        <v>H0010005</v>
      </c>
      <c r="B2088" s="5" t="str">
        <f>"CAMILLA DE TRASLADO DE 2 PLANOS"</f>
        <v>CAMILLA DE TRASLADO DE 2 PLANOS</v>
      </c>
      <c r="C2088" s="6">
        <v>1780000</v>
      </c>
      <c r="D2088" s="5" t="s">
        <v>63</v>
      </c>
      <c r="E2088" s="5" t="str">
        <f t="shared" si="107"/>
        <v>ACTISALUD-CIRUGIA GENERAL-GUSTAVO GOMEZ</v>
      </c>
      <c r="F2088" s="5" t="str">
        <f>"Descripcion: CAMILLA MECANICA DOS PLANOS Estado: Bueno Placa anterior: 000037756 Material: METAL Color: GRIS CLARO Referencia:  Observacion:  Placa padre: Tipo adquisicion: Entidad"</f>
        <v>Descripcion: CAMILLA MECANICA DOS PLANOS Estado: Bueno Placa anterior: 000037756 Material: METAL Color: GRIS CLARO Referencia:  Observacion:  Placa padre: Tipo adquisicion: Entidad</v>
      </c>
      <c r="G2088" s="5"/>
    </row>
    <row r="2089" spans="1:7" ht="58.5" customHeight="1" x14ac:dyDescent="0.25">
      <c r="A2089" s="5" t="str">
        <f>"H0010766"</f>
        <v>H0010766</v>
      </c>
      <c r="B2089" s="5" t="str">
        <f>"IMPRESORA LASER"</f>
        <v>IMPRESORA LASER</v>
      </c>
      <c r="C2089" s="6">
        <v>717654</v>
      </c>
      <c r="D2089" s="5" t="s">
        <v>240</v>
      </c>
      <c r="E2089" s="5" t="str">
        <f t="shared" si="107"/>
        <v>ACTISALUD-CIRUGIA GENERAL-GUSTAVO GOMEZ</v>
      </c>
      <c r="F2089" s="5" t="str">
        <f>"Descripcion:IMPRESORA LASER A COLOR AUTOMATICA, COMPATIBLE CON WINDOWS HP CLI CP1025 mw 17PPM 4PPM Estado: Bueno Placa anterior: 000030021 Material: PLASTICO Color: BEIGE Referencia:  Observacion:  Placa padre:  Tipo adquisicion : Entidad"</f>
        <v>Descripcion:IMPRESORA LASER A COLOR AUTOMATICA, COMPATIBLE CON WINDOWS HP CLI CP1025 mw 17PPM 4PPM Estado: Bueno Placa anterior: 000030021 Material: PLASTICO Color: BEIGE Referencia:  Observacion:  Placa padre:  Tipo adquisicion : Entidad</v>
      </c>
      <c r="G2089" s="5" t="str">
        <f>"LASERJET CP1025NW C"</f>
        <v>LASERJET CP1025NW C</v>
      </c>
    </row>
    <row r="2090" spans="1:7" ht="58.5" customHeight="1" x14ac:dyDescent="0.25">
      <c r="A2090" s="5" t="str">
        <f>"H0012207"</f>
        <v>H0012207</v>
      </c>
      <c r="B2090" s="5" t="str">
        <f>"SILLA PLASTICA CON BRAZOS"</f>
        <v>SILLA PLASTICA CON BRAZOS</v>
      </c>
      <c r="C2090" s="6">
        <v>12198</v>
      </c>
      <c r="D2090" s="5"/>
      <c r="E2090" s="5" t="str">
        <f t="shared" si="107"/>
        <v>ACTISALUD-CIRUGIA GENERAL-GUSTAVO GOMEZ</v>
      </c>
      <c r="F2090" s="5" t="str">
        <f>"Descripcion: SILLA PLASTICA BLANCA Estado: Bueno Placa anterior: 000018386 Material: PASTA Color: BLANCO Referencia:  Observacion:  Placa padre: Tipo adquisicion: Entidad"</f>
        <v>Descripcion: SILLA PLASTICA BLANCA Estado: Bueno Placa anterior: 000018386 Material: PASTA Color: BLANCO Referencia:  Observacion:  Placa padre: Tipo adquisicion: Entidad</v>
      </c>
      <c r="G2090" s="5"/>
    </row>
    <row r="2091" spans="1:7" ht="58.5" customHeight="1" x14ac:dyDescent="0.25">
      <c r="A2091" s="5" t="str">
        <f>"H0018612"</f>
        <v>H0018612</v>
      </c>
      <c r="B2091" s="5" t="str">
        <f>"FOLDERAMA METALICO"</f>
        <v>FOLDERAMA METALICO</v>
      </c>
      <c r="C2091" s="6">
        <v>599413.81999999995</v>
      </c>
      <c r="D2091" s="5"/>
      <c r="E2091" s="5" t="str">
        <f t="shared" si="107"/>
        <v>ACTISALUD-CIRUGIA GENERAL-GUSTAVO GOMEZ</v>
      </c>
      <c r="F2091" s="5" t="str">
        <f>"Descripcion: FOLDERAMA 1.88 CON 6 ENTREPAÑOS Y 20 DIVISIONES Estado: Bueno Placa anterior: 000002041 Material: METALICO Color: GRIS Referencia:  Observacion:  Placa padre: Tipo adquisicion: Entidad"</f>
        <v>Descripcion: FOLDERAMA 1.88 CON 6 ENTREPAÑOS Y 20 DIVISIONES Estado: Bueno Placa anterior: 000002041 Material: METALICO Color: GRIS Referencia:  Observacion:  Placa padre: Tipo adquisicion: Entidad</v>
      </c>
      <c r="G2091" s="5"/>
    </row>
    <row r="2092" spans="1:7" ht="58.5" customHeight="1" x14ac:dyDescent="0.25">
      <c r="A2092" s="5" t="str">
        <f>"H0018959"</f>
        <v>H0018959</v>
      </c>
      <c r="B2092" s="5" t="str">
        <f>"MESA PUENTE (ALIMENTACION) (INSTRUMENTAL)"</f>
        <v>MESA PUENTE (ALIMENTACION) (INSTRUMENTAL)</v>
      </c>
      <c r="C2092" s="6">
        <v>15000</v>
      </c>
      <c r="D2092" s="5"/>
      <c r="E2092" s="5" t="str">
        <f t="shared" si="107"/>
        <v>ACTISALUD-CIRUGIA GENERAL-GUSTAVO GOMEZ</v>
      </c>
      <c r="F2092" s="5" t="str">
        <f>"Descripcion: MESA PUENTE Estado: Bueno Placa anterior: 000026517 Material: METALICO Color: BEIGE Y PLATEADO Referencia:  Observacion:  Placa padre: Tipo adquisicion: Entidad"</f>
        <v>Descripcion: MESA PUENTE Estado: Bueno Placa anterior: 000026517 Material: METALICO Color: BEIGE Y PLATEADO Referencia:  Observacion:  Placa padre: Tipo adquisicion: Entidad</v>
      </c>
      <c r="G2092" s="5"/>
    </row>
    <row r="2093" spans="1:7" ht="58.5" customHeight="1" x14ac:dyDescent="0.25">
      <c r="A2093" s="5" t="str">
        <f>"H0018961"</f>
        <v>H0018961</v>
      </c>
      <c r="B2093" s="5" t="str">
        <f>"RIÑONERA HOSPITALARIA EN ACERO INOXIDABLE"</f>
        <v>RIÑONERA HOSPITALARIA EN ACERO INOXIDABLE</v>
      </c>
      <c r="C2093" s="6">
        <v>2661.24</v>
      </c>
      <c r="D2093" s="5"/>
      <c r="E2093" s="5" t="str">
        <f t="shared" si="107"/>
        <v>ACTISALUD-CIRUGIA GENERAL-GUSTAVO GOMEZ</v>
      </c>
      <c r="F2093" s="5" t="str">
        <f>"Descripcion: RIÑONERA Estado: Bueno Placa anterior: 000003720 Material: ACERO INOXIDABLE Color: PLATEADO Referencia:  Observacion:  Placa padre: Tipo adquisicion: Entidad"</f>
        <v>Descripcion: RIÑONERA Estado: Bueno Placa anterior: 000003720 Material: ACERO INOXIDABLE Color: PLATEADO Referencia:  Observacion:  Placa padre: Tipo adquisicion: Entidad</v>
      </c>
      <c r="G2093" s="5"/>
    </row>
    <row r="2094" spans="1:7" ht="58.5" customHeight="1" x14ac:dyDescent="0.25">
      <c r="A2094" s="5" t="str">
        <f>"H0018962"</f>
        <v>H0018962</v>
      </c>
      <c r="B2094" s="5" t="str">
        <f>"PATO (PISINGO) HOMBRE"</f>
        <v>PATO (PISINGO) HOMBRE</v>
      </c>
      <c r="C2094" s="6">
        <v>11033.66</v>
      </c>
      <c r="D2094" s="5"/>
      <c r="E2094" s="5" t="str">
        <f t="shared" si="107"/>
        <v>ACTISALUD-CIRUGIA GENERAL-GUSTAVO GOMEZ</v>
      </c>
      <c r="F2094" s="5" t="str">
        <f>"Descripcion: PISINGO Estado: Bueno Placa anterior: 000026653 Material: ACERO INOXIDABLE Color: PLATEADO Referencia:  Observacion:  Placa padre: Tipo adquisicion: Entidad"</f>
        <v>Descripcion: PISINGO Estado: Bueno Placa anterior: 000026653 Material: ACERO INOXIDABLE Color: PLATEADO Referencia:  Observacion:  Placa padre: Tipo adquisicion: Entidad</v>
      </c>
      <c r="G2094" s="5"/>
    </row>
    <row r="2095" spans="1:7" ht="58.5" customHeight="1" x14ac:dyDescent="0.25">
      <c r="A2095" s="5" t="str">
        <f>"H0018963"</f>
        <v>H0018963</v>
      </c>
      <c r="B2095" s="5" t="str">
        <f>"PATO (COPROLOGICO) MUJER"</f>
        <v>PATO (COPROLOGICO) MUJER</v>
      </c>
      <c r="C2095" s="6">
        <v>25206.18</v>
      </c>
      <c r="D2095" s="5"/>
      <c r="E2095" s="5" t="str">
        <f t="shared" si="107"/>
        <v>ACTISALUD-CIRUGIA GENERAL-GUSTAVO GOMEZ</v>
      </c>
      <c r="F2095" s="5" t="str">
        <f>"Descripcion: PATO COPROLOGICO Estado: Bueno Placa anterior: 000003721 Material: ACERO INOXIDABLE Color: PLATEADO Referencia:  Observacion:  Placa padre: Tipo adquisicion: Entidad"</f>
        <v>Descripcion: PATO COPROLOGICO Estado: Bueno Placa anterior: 000003721 Material: ACERO INOXIDABLE Color: PLATEADO Referencia:  Observacion:  Placa padre: Tipo adquisicion: Entidad</v>
      </c>
      <c r="G2095" s="5"/>
    </row>
    <row r="2096" spans="1:7" ht="58.5" customHeight="1" x14ac:dyDescent="0.25">
      <c r="A2096" s="5" t="str">
        <f>"H0018964"</f>
        <v>H0018964</v>
      </c>
      <c r="B2096" s="5" t="str">
        <f>"PATO (COPROLOGICO) MUJER"</f>
        <v>PATO (COPROLOGICO) MUJER</v>
      </c>
      <c r="C2096" s="6">
        <v>25206.18</v>
      </c>
      <c r="D2096" s="5"/>
      <c r="E2096" s="5" t="str">
        <f t="shared" si="107"/>
        <v>ACTISALUD-CIRUGIA GENERAL-GUSTAVO GOMEZ</v>
      </c>
      <c r="F2096" s="5" t="str">
        <f>"Descripcion: PATO COPROLOGICO Estado: Bueno Placa anterior: 000003381 Material: ACERO INOXIDABLE Color: PLATEADO Referencia:  Observacion:  Placa padre: Tipo adquisicion: Entidad"</f>
        <v>Descripcion: PATO COPROLOGICO Estado: Bueno Placa anterior: 000003381 Material: ACERO INOXIDABLE Color: PLATEADO Referencia:  Observacion:  Placa padre: Tipo adquisicion: Entidad</v>
      </c>
      <c r="G2096" s="5"/>
    </row>
    <row r="2097" spans="1:7" ht="58.5" customHeight="1" x14ac:dyDescent="0.25">
      <c r="A2097" s="5" t="str">
        <f>"H0018968"</f>
        <v>H0018968</v>
      </c>
      <c r="B2097" s="5" t="str">
        <f>"MESA PUENTE (ALIMENTACION) (INSTRUMENTAL)"</f>
        <v>MESA PUENTE (ALIMENTACION) (INSTRUMENTAL)</v>
      </c>
      <c r="C2097" s="6">
        <v>15000</v>
      </c>
      <c r="D2097" s="5"/>
      <c r="E2097" s="5" t="str">
        <f t="shared" si="107"/>
        <v>ACTISALUD-CIRUGIA GENERAL-GUSTAVO GOMEZ</v>
      </c>
      <c r="F2097" s="5" t="str">
        <f>"Descripcion: MESA PUENTE  Estado: Bueno Placa anterior: 000026518 Material: ACERO INOXIDABLE Color: PLATEADO Referencia:  Observacion:  Placa padre: Tipo adquisicion: Entidad"</f>
        <v>Descripcion: MESA PUENTE  Estado: Bueno Placa anterior: 000026518 Material: ACERO INOXIDABLE Color: PLATEADO Referencia:  Observacion:  Placa padre: Tipo adquisicion: Entidad</v>
      </c>
      <c r="G2097" s="5"/>
    </row>
    <row r="2098" spans="1:7" ht="58.5" customHeight="1" x14ac:dyDescent="0.25">
      <c r="A2098" s="5" t="str">
        <f>"H0018969"</f>
        <v>H0018969</v>
      </c>
      <c r="B2098" s="5" t="str">
        <f>"VENTILADOR DE PARED"</f>
        <v>VENTILADOR DE PARED</v>
      </c>
      <c r="C2098" s="6">
        <v>72477.5</v>
      </c>
      <c r="D2098" s="5" t="s">
        <v>54</v>
      </c>
      <c r="E2098" s="5" t="str">
        <f t="shared" si="107"/>
        <v>ACTISALUD-CIRUGIA GENERAL-GUSTAVO GOMEZ</v>
      </c>
      <c r="F2098" s="5" t="str">
        <f>"Descripcion: VENTILADOR Estado: Bueno Placa anterior: 000037153 Material: PASTA Color: BLANCO Referencia:  Observacion:  Placa padre: Tipo adquisicion: Entidad"</f>
        <v>Descripcion: VENTILADOR Estado: Bueno Placa anterior: 000037153 Material: PASTA Color: BLANCO Referencia:  Observacion:  Placa padre: Tipo adquisicion: Entidad</v>
      </c>
      <c r="G2098" s="5"/>
    </row>
    <row r="2099" spans="1:7" ht="58.5" customHeight="1" x14ac:dyDescent="0.25">
      <c r="A2099" s="5" t="str">
        <f>"H0018970"</f>
        <v>H0018970</v>
      </c>
      <c r="B2099" s="5" t="str">
        <f>"SILLA PLASTICA CON BRAZOS"</f>
        <v>SILLA PLASTICA CON BRAZOS</v>
      </c>
      <c r="C2099" s="6">
        <v>10440</v>
      </c>
      <c r="D2099" s="5"/>
      <c r="E2099" s="5" t="str">
        <f t="shared" si="107"/>
        <v>ACTISALUD-CIRUGIA GENERAL-GUSTAVO GOMEZ</v>
      </c>
      <c r="F2099" s="5" t="str">
        <f>"Descripcion: SILLA PLASTICA Estado: Bueno Placa anterior: 000003522 Material: PLASTICA Color: BLANCO Referencia:  Observacion:  Placa padre: Tipo adquisicion: Entidad"</f>
        <v>Descripcion: SILLA PLASTICA Estado: Bueno Placa anterior: 000003522 Material: PLASTICA Color: BLANCO Referencia:  Observacion:  Placa padre: Tipo adquisicion: Entidad</v>
      </c>
      <c r="G2099" s="5"/>
    </row>
    <row r="2100" spans="1:7" ht="58.5" customHeight="1" x14ac:dyDescent="0.25">
      <c r="A2100" s="5" t="str">
        <f>"H0018973"</f>
        <v>H0018973</v>
      </c>
      <c r="B2100" s="5" t="str">
        <f>"SILLA PLASTICA CON BRAZOS"</f>
        <v>SILLA PLASTICA CON BRAZOS</v>
      </c>
      <c r="C2100" s="6">
        <v>10440</v>
      </c>
      <c r="D2100" s="5"/>
      <c r="E2100" s="5" t="str">
        <f t="shared" si="107"/>
        <v>ACTISALUD-CIRUGIA GENERAL-GUSTAVO GOMEZ</v>
      </c>
      <c r="F2100" s="5" t="str">
        <f>"Descripcion: SILLA PLASTICA Estado: Bueno Placa anterior: 000003670 Material: PLASTICO Color: BLANCO Referencia:  Observacion:  Placa padre: Tipo adquisicion: Entidad"</f>
        <v>Descripcion: SILLA PLASTICA Estado: Bueno Placa anterior: 000003670 Material: PLASTICO Color: BLANCO Referencia:  Observacion:  Placa padre: Tipo adquisicion: Entidad</v>
      </c>
      <c r="G2100" s="5"/>
    </row>
    <row r="2101" spans="1:7" ht="58.5" customHeight="1" x14ac:dyDescent="0.25">
      <c r="A2101" s="5" t="str">
        <f>"H0018974"</f>
        <v>H0018974</v>
      </c>
      <c r="B2101" s="5" t="str">
        <f>"VENTILADOR DE SOBREMESA"</f>
        <v>VENTILADOR DE SOBREMESA</v>
      </c>
      <c r="C2101" s="6">
        <v>95000</v>
      </c>
      <c r="D2101" s="5"/>
      <c r="E2101" s="5" t="str">
        <f t="shared" si="107"/>
        <v>ACTISALUD-CIRUGIA GENERAL-GUSTAVO GOMEZ</v>
      </c>
      <c r="F2101" s="5" t="str">
        <f>"Descripcion: VENTILADOR Estado: Malo Placa anterior: 000021828 Material: PASTA Color: BLANCO Referencia:  Observacion:  Placa padre: Tipo adquisicion: Entidad"</f>
        <v>Descripcion: VENTILADOR Estado: Malo Placa anterior: 000021828 Material: PASTA Color: BLANCO Referencia:  Observacion:  Placa padre: Tipo adquisicion: Entidad</v>
      </c>
      <c r="G2101" s="5"/>
    </row>
    <row r="2102" spans="1:7" ht="58.5" customHeight="1" x14ac:dyDescent="0.25">
      <c r="A2102" s="5" t="str">
        <f>"H0018981"</f>
        <v>H0018981</v>
      </c>
      <c r="B2102" s="5" t="str">
        <f>"ARCHIVADOR DE MADERA 3 GAVETAS"</f>
        <v>ARCHIVADOR DE MADERA 3 GAVETAS</v>
      </c>
      <c r="C2102" s="6">
        <v>19769</v>
      </c>
      <c r="D2102" s="5"/>
      <c r="E2102" s="5" t="str">
        <f t="shared" si="107"/>
        <v>ACTISALUD-CIRUGIA GENERAL-GUSTAVO GOMEZ</v>
      </c>
      <c r="F2102" s="5" t="str">
        <f>"Descripcion: GABINETE AUXILIAR DE 3 GAVETAS Estado: Bueno Placa anterior: 000000766 Material: MADERA Color: NEGRO Y BLANCO Referencia:  Observacion:  Placa padre: Tipo adquisicion: Entidad"</f>
        <v>Descripcion: GABINETE AUXILIAR DE 3 GAVETAS Estado: Bueno Placa anterior: 000000766 Material: MADERA Color: NEGRO Y BLANCO Referencia:  Observacion:  Placa padre: Tipo adquisicion: Entidad</v>
      </c>
      <c r="G2102" s="5"/>
    </row>
    <row r="2103" spans="1:7" ht="58.5" customHeight="1" x14ac:dyDescent="0.25">
      <c r="A2103" s="5" t="str">
        <f>"H0018989"</f>
        <v>H0018989</v>
      </c>
      <c r="B2103" s="5" t="str">
        <f>"POTE (TARRO) ACERO INXODABLE CON TAPA PEQUEÑO"</f>
        <v>POTE (TARRO) ACERO INXODABLE CON TAPA PEQUEÑO</v>
      </c>
      <c r="C2103" s="6">
        <v>3870.05</v>
      </c>
      <c r="D2103" s="5"/>
      <c r="E2103" s="5" t="str">
        <f t="shared" si="107"/>
        <v>ACTISALUD-CIRUGIA GENERAL-GUSTAVO GOMEZ</v>
      </c>
      <c r="F2103" s="5" t="str">
        <f>"Descripcion: TARRO PEQUEÑO Estado: Bueno Placa anterior: 000003455 Material: ACERO INOXIDABLE Color: PLATEADO Referencia:  Observacion:  Placa padre: Tipo adquisicion: Entidad"</f>
        <v>Descripcion: TARRO PEQUEÑO Estado: Bueno Placa anterior: 000003455 Material: ACERO INOXIDABLE Color: PLATEADO Referencia:  Observacion:  Placa padre: Tipo adquisicion: Entidad</v>
      </c>
      <c r="G2103" s="5"/>
    </row>
    <row r="2104" spans="1:7" ht="58.5" customHeight="1" x14ac:dyDescent="0.25">
      <c r="A2104" s="5" t="str">
        <f>"H0018990"</f>
        <v>H0018990</v>
      </c>
      <c r="B2104" s="5" t="str">
        <f>"POTE (TARRO)  ESMALTADO MEDIANO"</f>
        <v>POTE (TARRO)  ESMALTADO MEDIANO</v>
      </c>
      <c r="C2104" s="6">
        <v>5548.53</v>
      </c>
      <c r="D2104" s="5"/>
      <c r="E2104" s="5" t="str">
        <f t="shared" si="107"/>
        <v>ACTISALUD-CIRUGIA GENERAL-GUSTAVO GOMEZ</v>
      </c>
      <c r="F2104" s="5" t="str">
        <f>"Descripcion: TARRO ESMALTADO Estado: Bueno Placa anterior: 000003458 Material: PELTRE Color: BLANCO Referencia:  Observacion:  Placa padre: Tipo adquisicion: Entidad"</f>
        <v>Descripcion: TARRO ESMALTADO Estado: Bueno Placa anterior: 000003458 Material: PELTRE Color: BLANCO Referencia:  Observacion:  Placa padre: Tipo adquisicion: Entidad</v>
      </c>
      <c r="G2104" s="5"/>
    </row>
    <row r="2105" spans="1:7" ht="58.5" customHeight="1" x14ac:dyDescent="0.25">
      <c r="A2105" s="5" t="str">
        <f>"H0018991"</f>
        <v>H0018991</v>
      </c>
      <c r="B2105" s="5" t="str">
        <f>"BANDEJA DE ACERO INOXIDABLE MEDIANA"</f>
        <v>BANDEJA DE ACERO INOXIDABLE MEDIANA</v>
      </c>
      <c r="C2105" s="6">
        <v>7285.88</v>
      </c>
      <c r="D2105" s="5"/>
      <c r="E2105" s="5" t="str">
        <f t="shared" si="107"/>
        <v>ACTISALUD-CIRUGIA GENERAL-GUSTAVO GOMEZ</v>
      </c>
      <c r="F2105" s="5" t="str">
        <f>"Descripcion: BANDEJA Estado: Bueno Placa anterior: 000003754 Material: ACERO INOXIDABLE Color: PLATEADO Referencia:  Observacion:  Placa padre: Tipo adquisicion: Entidad"</f>
        <v>Descripcion: BANDEJA Estado: Bueno Placa anterior: 000003754 Material: ACERO INOXIDABLE Color: PLATEADO Referencia:  Observacion:  Placa padre: Tipo adquisicion: Entidad</v>
      </c>
      <c r="G2105" s="5"/>
    </row>
    <row r="2106" spans="1:7" ht="58.5" customHeight="1" x14ac:dyDescent="0.25">
      <c r="A2106" s="5" t="str">
        <f>"H0018994"</f>
        <v>H0018994</v>
      </c>
      <c r="B2106" s="5" t="str">
        <f>"CARRO TRANSPORTE DE MEDICAMENTOS"</f>
        <v>CARRO TRANSPORTE DE MEDICAMENTOS</v>
      </c>
      <c r="C2106" s="6">
        <v>8158253</v>
      </c>
      <c r="D2106" s="5"/>
      <c r="E2106" s="5" t="str">
        <f t="shared" si="107"/>
        <v>ACTISALUD-CIRUGIA GENERAL-GUSTAVO GOMEZ</v>
      </c>
      <c r="F2106" s="5" t="str">
        <f>"Descripcion: CARRO DE MEDICAMENTOS Estado: Bueno Placa anterior: 000022298 Material: METALICO Color: BEIGE Referencia:  Observacion:  Placa padre: Tipo adquisicion: Entidad"</f>
        <v>Descripcion: CARRO DE MEDICAMENTOS Estado: Bueno Placa anterior: 000022298 Material: METALICO Color: BEIGE Referencia:  Observacion:  Placa padre: Tipo adquisicion: Entidad</v>
      </c>
      <c r="G2106" s="5"/>
    </row>
    <row r="2107" spans="1:7" ht="58.5" customHeight="1" x14ac:dyDescent="0.25">
      <c r="A2107" s="5" t="str">
        <f>"H0018996"</f>
        <v>H0018996</v>
      </c>
      <c r="B2107" s="5" t="str">
        <f>"CAMILLA GINECOLOGICA SIN ESTRIBOS"</f>
        <v>CAMILLA GINECOLOGICA SIN ESTRIBOS</v>
      </c>
      <c r="C2107" s="6">
        <v>62040</v>
      </c>
      <c r="D2107" s="5"/>
      <c r="E2107" s="5" t="str">
        <f t="shared" si="107"/>
        <v>ACTISALUD-CIRUGIA GENERAL-GUSTAVO GOMEZ</v>
      </c>
      <c r="F2107" s="5" t="str">
        <f>"Descripcion: MESA DE EXAMEN TIPO B (SIN GAVETAS)CAMILLA GINECOLOGICA SIN ESTRIBOS CON COLCHONETA Estado: Bueno Placa anterior: 000003729 Material: METALICO Color: BEIGE Y NEGRO Referencia:  Observacion:  Placa padre: Tipo adquisicion: Entidad"</f>
        <v>Descripcion: MESA DE EXAMEN TIPO B (SIN GAVETAS)CAMILLA GINECOLOGICA SIN ESTRIBOS CON COLCHONETA Estado: Bueno Placa anterior: 000003729 Material: METALICO Color: BEIGE Y NEGRO Referencia:  Observacion:  Placa padre: Tipo adquisicion: Entidad</v>
      </c>
      <c r="G2107" s="5"/>
    </row>
    <row r="2108" spans="1:7" ht="58.5" customHeight="1" x14ac:dyDescent="0.25">
      <c r="A2108" s="5" t="str">
        <f>"H0018997"</f>
        <v>H0018997</v>
      </c>
      <c r="B2108" s="5" t="str">
        <f>"ESCALERILLA DE 2 PASOS"</f>
        <v>ESCALERILLA DE 2 PASOS</v>
      </c>
      <c r="C2108" s="6">
        <v>4455</v>
      </c>
      <c r="D2108" s="5"/>
      <c r="E2108" s="5" t="str">
        <f t="shared" si="107"/>
        <v>ACTISALUD-CIRUGIA GENERAL-GUSTAVO GOMEZ</v>
      </c>
      <c r="F2108" s="5" t="str">
        <f>"Descripcion: ESCALERILA Estado: Regular Placa anterior: 000005309 Material: METALICO Y MADERA Color: NEGRO Referencia:  Observacion: AUTORIZADO CONCILIAR EN CRUCE GENERAL Placa padre: Tipo adquisicion: Entidad"</f>
        <v>Descripcion: ESCALERILA Estado: Regular Placa anterior: 000005309 Material: METALICO Y MADERA Color: NEGRO Referencia:  Observacion: AUTORIZADO CONCILIAR EN CRUCE GENERAL Placa padre: Tipo adquisicion: Entidad</v>
      </c>
      <c r="G2108" s="5"/>
    </row>
    <row r="2109" spans="1:7" ht="58.5" customHeight="1" x14ac:dyDescent="0.25">
      <c r="A2109" s="5" t="str">
        <f>"H0019817"</f>
        <v>H0019817</v>
      </c>
      <c r="B2109" s="5" t="str">
        <f>"VENTILADOR DE PARED"</f>
        <v>VENTILADOR DE PARED</v>
      </c>
      <c r="C2109" s="6">
        <v>72477.5</v>
      </c>
      <c r="D2109" s="5" t="s">
        <v>54</v>
      </c>
      <c r="E2109" s="5" t="str">
        <f t="shared" si="107"/>
        <v>ACTISALUD-CIRUGIA GENERAL-GUSTAVO GOMEZ</v>
      </c>
      <c r="F2109" s="5" t="str">
        <f>"Descripcion: VENTILADOR Estado: Bueno Placa anterior: 000037156 Material: PASTA Color: BLANCO Referencia:  Observacion:  Placa padre: Tipo adquisicion: Entidad"</f>
        <v>Descripcion: VENTILADOR Estado: Bueno Placa anterior: 000037156 Material: PASTA Color: BLANCO Referencia:  Observacion:  Placa padre: Tipo adquisicion: Entidad</v>
      </c>
      <c r="G2109" s="5"/>
    </row>
    <row r="2110" spans="1:7" ht="58.5" customHeight="1" x14ac:dyDescent="0.25">
      <c r="A2110" s="5" t="str">
        <f>"H0019819"</f>
        <v>H0019819</v>
      </c>
      <c r="B2110" s="5" t="str">
        <f>"MESA PUENTE (ALIMENTACION) (INSTRUMENTAL)"</f>
        <v>MESA PUENTE (ALIMENTACION) (INSTRUMENTAL)</v>
      </c>
      <c r="C2110" s="6">
        <v>15000</v>
      </c>
      <c r="D2110" s="5"/>
      <c r="E2110" s="5" t="str">
        <f t="shared" si="107"/>
        <v>ACTISALUD-CIRUGIA GENERAL-GUSTAVO GOMEZ</v>
      </c>
      <c r="F2110" s="5" t="str">
        <f>"Descripcion: MESA PUENTE Estado: Bueno Placa anterior: 000026531 Material: ACERO INOXIDABLE Color: PLATEADO Referencia:  Observacion:  Placa padre: Tipo adquisicion: Entidad"</f>
        <v>Descripcion: MESA PUENTE Estado: Bueno Placa anterior: 000026531 Material: ACERO INOXIDABLE Color: PLATEADO Referencia:  Observacion:  Placa padre: Tipo adquisicion: Entidad</v>
      </c>
      <c r="G2110" s="5"/>
    </row>
    <row r="2111" spans="1:7" ht="58.5" customHeight="1" x14ac:dyDescent="0.25">
      <c r="A2111" s="5" t="str">
        <f>"H0019821"</f>
        <v>H0019821</v>
      </c>
      <c r="B2111" s="5" t="str">
        <f>"ATRIL PORTASUERO MOVIL"</f>
        <v>ATRIL PORTASUERO MOVIL</v>
      </c>
      <c r="C2111" s="6">
        <v>210000</v>
      </c>
      <c r="D2111" s="5" t="s">
        <v>50</v>
      </c>
      <c r="E2111" s="5" t="str">
        <f t="shared" si="107"/>
        <v>ACTISALUD-CIRUGIA GENERAL-GUSTAVO GOMEZ</v>
      </c>
      <c r="F2111" s="5" t="str">
        <f>"Descripcion: ATRIL EN ACERO INOXIDABLE QUIRURGICO ANTIMAGNETICO Estado: Bueno Placa anterior: 000029668 Material: ACERO INOXIDABLE Color: PLATEADO Referencia:  Observacion:  Placa padre: Tipo adquisicion: Entidad"</f>
        <v>Descripcion: ATRIL EN ACERO INOXIDABLE QUIRURGICO ANTIMAGNETICO Estado: Bueno Placa anterior: 000029668 Material: ACERO INOXIDABLE Color: PLATEADO Referencia:  Observacion:  Placa padre: Tipo adquisicion: Entidad</v>
      </c>
      <c r="G2111" s="5"/>
    </row>
    <row r="2112" spans="1:7" ht="58.5" customHeight="1" x14ac:dyDescent="0.25">
      <c r="A2112" s="5" t="str">
        <f>"H0019827"</f>
        <v>H0019827</v>
      </c>
      <c r="B2112" s="5" t="str">
        <f>"SILLA PLASTICA CON BRAZOS"</f>
        <v>SILLA PLASTICA CON BRAZOS</v>
      </c>
      <c r="C2112" s="6">
        <v>10440</v>
      </c>
      <c r="D2112" s="5"/>
      <c r="E2112" s="5" t="str">
        <f t="shared" si="107"/>
        <v>ACTISALUD-CIRUGIA GENERAL-GUSTAVO GOMEZ</v>
      </c>
      <c r="F2112" s="5" t="str">
        <f>"Descripcion: SILLA PLASTICA CON BRAZOS Estado: Bueno Placa anterior: 000003679 Material: PLASTICO Color: BLANCO Referencia:  Observacion:  Placa padre: Tipo adquisicion: Entidad"</f>
        <v>Descripcion: SILLA PLASTICA CON BRAZOS Estado: Bueno Placa anterior: 000003679 Material: PLASTICO Color: BLANCO Referencia:  Observacion:  Placa padre: Tipo adquisicion: Entidad</v>
      </c>
      <c r="G2112" s="5"/>
    </row>
    <row r="2113" spans="1:7" ht="58.5" customHeight="1" x14ac:dyDescent="0.25">
      <c r="A2113" s="5" t="str">
        <f>"H0019830"</f>
        <v>H0019830</v>
      </c>
      <c r="B2113" s="5" t="str">
        <f>"MESA PUENTE (ALIMENTACION) (INSTRUMENTAL)"</f>
        <v>MESA PUENTE (ALIMENTACION) (INSTRUMENTAL)</v>
      </c>
      <c r="C2113" s="6">
        <v>15000</v>
      </c>
      <c r="D2113" s="5"/>
      <c r="E2113" s="5" t="str">
        <f t="shared" si="107"/>
        <v>ACTISALUD-CIRUGIA GENERAL-GUSTAVO GOMEZ</v>
      </c>
      <c r="F2113" s="5" t="str">
        <f>"Descripcion: MESA PUENTE Estado: Bueno Placa anterior: 000026532 Material: ACERO INOXIDABLE Color: BEIGE Y PLATEADO Referencia:  Observacion:  Placa padre: Tipo adquisicion: Entidad"</f>
        <v>Descripcion: MESA PUENTE Estado: Bueno Placa anterior: 000026532 Material: ACERO INOXIDABLE Color: BEIGE Y PLATEADO Referencia:  Observacion:  Placa padre: Tipo adquisicion: Entidad</v>
      </c>
      <c r="G2113" s="5"/>
    </row>
    <row r="2114" spans="1:7" ht="58.5" customHeight="1" x14ac:dyDescent="0.25">
      <c r="A2114" s="5" t="str">
        <f>"H0019832"</f>
        <v>H0019832</v>
      </c>
      <c r="B2114" s="5" t="str">
        <f>"RIÑONERA HOSPITALARIA EN ACERO INOXIDABLE"</f>
        <v>RIÑONERA HOSPITALARIA EN ACERO INOXIDABLE</v>
      </c>
      <c r="C2114" s="6">
        <v>2661.24</v>
      </c>
      <c r="D2114" s="5"/>
      <c r="E2114" s="5" t="str">
        <f t="shared" si="107"/>
        <v>ACTISALUD-CIRUGIA GENERAL-GUSTAVO GOMEZ</v>
      </c>
      <c r="F2114" s="5" t="str">
        <f>"Descripcion: RIÑONERA Estado: Bueno Placa anterior: 000003742 Material: ACERO INOXIDABLE Color: PLATEADO Referencia:  Observacion:  Placa padre: Tipo adquisicion: Entidad"</f>
        <v>Descripcion: RIÑONERA Estado: Bueno Placa anterior: 000003742 Material: ACERO INOXIDABLE Color: PLATEADO Referencia:  Observacion:  Placa padre: Tipo adquisicion: Entidad</v>
      </c>
      <c r="G2114" s="5"/>
    </row>
    <row r="2115" spans="1:7" ht="58.5" customHeight="1" x14ac:dyDescent="0.25">
      <c r="A2115" s="5" t="str">
        <f>"H0019835"</f>
        <v>H0019835</v>
      </c>
      <c r="B2115" s="5" t="str">
        <f>"MESA PUENTE (ALIMENTACION) (INSTRUMENTAL)"</f>
        <v>MESA PUENTE (ALIMENTACION) (INSTRUMENTAL)</v>
      </c>
      <c r="C2115" s="6">
        <v>15000</v>
      </c>
      <c r="D2115" s="5"/>
      <c r="E2115" s="5" t="str">
        <f t="shared" si="107"/>
        <v>ACTISALUD-CIRUGIA GENERAL-GUSTAVO GOMEZ</v>
      </c>
      <c r="F2115" s="5" t="str">
        <f>"Descripcion: MESA PUENTE Estado: Bueno Placa anterior: 000026541 Material: ACERO INOXIDABLE Color: PLATEADO Referencia:  Observacion:  Placa padre: Tipo adquisicion: Entidad"</f>
        <v>Descripcion: MESA PUENTE Estado: Bueno Placa anterior: 000026541 Material: ACERO INOXIDABLE Color: PLATEADO Referencia:  Observacion:  Placa padre: Tipo adquisicion: Entidad</v>
      </c>
      <c r="G2115" s="5"/>
    </row>
    <row r="2116" spans="1:7" ht="58.5" customHeight="1" x14ac:dyDescent="0.25">
      <c r="A2116" s="5" t="str">
        <f>"H0019839"</f>
        <v>H0019839</v>
      </c>
      <c r="B2116" s="5" t="str">
        <f>"MESA PUENTE (ALIMENTACION) (INSTRUMENTAL)"</f>
        <v>MESA PUENTE (ALIMENTACION) (INSTRUMENTAL)</v>
      </c>
      <c r="C2116" s="6">
        <v>15000</v>
      </c>
      <c r="D2116" s="5"/>
      <c r="E2116" s="5" t="str">
        <f t="shared" si="107"/>
        <v>ACTISALUD-CIRUGIA GENERAL-GUSTAVO GOMEZ</v>
      </c>
      <c r="F2116" s="5" t="str">
        <f>"Descripcion: MESA PUENTE Estado: Bueno Placa anterior: 000026542 Material: ACERO INOXIDABLE Color: PLATEADO Referencia:  Observacion:  Placa padre: Tipo adquisicion: Entidad"</f>
        <v>Descripcion: MESA PUENTE Estado: Bueno Placa anterior: 000026542 Material: ACERO INOXIDABLE Color: PLATEADO Referencia:  Observacion:  Placa padre: Tipo adquisicion: Entidad</v>
      </c>
      <c r="G2116" s="5"/>
    </row>
    <row r="2117" spans="1:7" ht="58.5" customHeight="1" x14ac:dyDescent="0.25">
      <c r="A2117" s="5" t="str">
        <f>"H0019844"</f>
        <v>H0019844</v>
      </c>
      <c r="B2117" s="5" t="str">
        <f>"MESA PUENTE (ALIMENTACION) (INSTRUMENTAL)"</f>
        <v>MESA PUENTE (ALIMENTACION) (INSTRUMENTAL)</v>
      </c>
      <c r="C2117" s="6">
        <v>15000</v>
      </c>
      <c r="D2117" s="5"/>
      <c r="E2117" s="5" t="str">
        <f t="shared" si="107"/>
        <v>ACTISALUD-CIRUGIA GENERAL-GUSTAVO GOMEZ</v>
      </c>
      <c r="F2117" s="5" t="str">
        <f>"Descripcion: MESA PUENTE Estado: Bueno Placa anterior: 000026545 Material: ACERO INOXIDABLE Color: PLATEADO Referencia:  Observacion:  Placa padre: Tipo adquisicion: Entidad"</f>
        <v>Descripcion: MESA PUENTE Estado: Bueno Placa anterior: 000026545 Material: ACERO INOXIDABLE Color: PLATEADO Referencia:  Observacion:  Placa padre: Tipo adquisicion: Entidad</v>
      </c>
      <c r="G2117" s="5"/>
    </row>
    <row r="2118" spans="1:7" ht="58.5" customHeight="1" x14ac:dyDescent="0.25">
      <c r="A2118" s="5" t="str">
        <f>"H0019846"</f>
        <v>H0019846</v>
      </c>
      <c r="B2118" s="5" t="str">
        <f>"SILLA PLASTICA CON BRAZOS"</f>
        <v>SILLA PLASTICA CON BRAZOS</v>
      </c>
      <c r="C2118" s="6">
        <v>10440</v>
      </c>
      <c r="D2118" s="5"/>
      <c r="E2118" s="5" t="str">
        <f t="shared" si="107"/>
        <v>ACTISALUD-CIRUGIA GENERAL-GUSTAVO GOMEZ</v>
      </c>
      <c r="F2118" s="5" t="str">
        <f>"Descripcion: SILLA PLASTICA CON BRAZOS Estado: Bueno Placa anterior: 000003697 Material: PLASTICO Color: BLANCO Referencia:  Observacion:  Placa padre: Tipo adquisicion: Entidad"</f>
        <v>Descripcion: SILLA PLASTICA CON BRAZOS Estado: Bueno Placa anterior: 000003697 Material: PLASTICO Color: BLANCO Referencia:  Observacion:  Placa padre: Tipo adquisicion: Entidad</v>
      </c>
      <c r="G2118" s="5"/>
    </row>
    <row r="2119" spans="1:7" ht="58.5" customHeight="1" x14ac:dyDescent="0.25">
      <c r="A2119" s="5" t="str">
        <f>"H0019851"</f>
        <v>H0019851</v>
      </c>
      <c r="B2119" s="5" t="str">
        <f>"CAMA HOSPITALARIA 2 PLANOS"</f>
        <v>CAMA HOSPITALARIA 2 PLANOS</v>
      </c>
      <c r="C2119" s="6">
        <v>1102000</v>
      </c>
      <c r="D2119" s="5"/>
      <c r="E2119" s="5" t="str">
        <f t="shared" si="107"/>
        <v>ACTISALUD-CIRUGIA GENERAL-GUSTAVO GOMEZ</v>
      </c>
      <c r="F2119" s="5" t="str">
        <f>"Descripcion: CAMILLA CON COLCHONETA PARA TRANSPORTAR CADAVERES Estado: Bueno Placa anterior: 000026086 Material: METALICA Color: BEIGE Y NEGRO Referencia:  Observacion:  Placa padre: Tipo adquisicion: Entidad"</f>
        <v>Descripcion: CAMILLA CON COLCHONETA PARA TRANSPORTAR CADAVERES Estado: Bueno Placa anterior: 000026086 Material: METALICA Color: BEIGE Y NEGRO Referencia:  Observacion:  Placa padre: Tipo adquisicion: Entidad</v>
      </c>
      <c r="G2119" s="5"/>
    </row>
    <row r="2120" spans="1:7" ht="58.5" customHeight="1" x14ac:dyDescent="0.25">
      <c r="A2120" s="5" t="str">
        <f>"H0019857"</f>
        <v>H0019857</v>
      </c>
      <c r="B2120" s="5" t="str">
        <f>"NEVERA DE 66 LTS"</f>
        <v>NEVERA DE 66 LTS</v>
      </c>
      <c r="C2120" s="6">
        <v>264999.84000000003</v>
      </c>
      <c r="D2120" s="5"/>
      <c r="E2120" s="5" t="str">
        <f t="shared" si="107"/>
        <v>ACTISALUD-CIRUGIA GENERAL-GUSTAVO GOMEZ</v>
      </c>
      <c r="F2120" s="5" t="str">
        <f>"Descripcion: NEVERA MCA PHILIPS ESTANDAR Estado: Bueno Placa anterior: 000003647 Material: METALICA Color:  Referencia:  Observacion:  Placa padre: Tipo adquisicion: Entidad"</f>
        <v>Descripcion: NEVERA MCA PHILIPS ESTANDAR Estado: Bueno Placa anterior: 000003647 Material: METALICA Color:  Referencia:  Observacion:  Placa padre: Tipo adquisicion: Entidad</v>
      </c>
      <c r="G2120" s="5"/>
    </row>
    <row r="2121" spans="1:7" ht="58.5" customHeight="1" x14ac:dyDescent="0.25">
      <c r="A2121" s="5" t="str">
        <f>"H0019862"</f>
        <v>H0019862</v>
      </c>
      <c r="B2121" s="5" t="str">
        <f>"SILLA INTERLOCUTORA (FIJA) SIN BRAZOS"</f>
        <v>SILLA INTERLOCUTORA (FIJA) SIN BRAZOS</v>
      </c>
      <c r="C2121" s="6">
        <v>5965.88</v>
      </c>
      <c r="D2121" s="5"/>
      <c r="E2121" s="5" t="str">
        <f t="shared" si="107"/>
        <v>ACTISALUD-CIRUGIA GENERAL-GUSTAVO GOMEZ</v>
      </c>
      <c r="F2121" s="5" t="str">
        <f>"Descripcion: SILLA FIJA SIN BRAZOS  Estado: Bueno Placa anterior: 000003441 Material: METALICO Y CUERO Color: GRIS Y MARRON Referencia:  Observacion: EL BIEN TIENE PLACA ANTERIOR  000003657, LA CUAL CORRESPONDE A UN ESCRITORIO DE 2 GAVETAS  FUNCIONARIO AU"&amp; "TORIZA SE CONCILIE CON PLACA 000003441 Placa padre: Tipo adquisicion: Entidad"</f>
        <v>Descripcion: SILLA FIJA SIN BRAZOS  Estado: Bueno Placa anterior: 000003441 Material: METALICO Y CUERO Color: GRIS Y MARRON Referencia:  Observacion: EL BIEN TIENE PLACA ANTERIOR  000003657, LA CUAL CORRESPONDE A UN ESCRITORIO DE 2 GAVETAS  FUNCIONARIO AUTORIZA SE CONCILIE CON PLACA 000003441 Placa padre: Tipo adquisicion: Entidad</v>
      </c>
      <c r="G2121" s="5"/>
    </row>
    <row r="2122" spans="1:7" ht="58.5" customHeight="1" x14ac:dyDescent="0.25">
      <c r="A2122" s="5" t="str">
        <f>"H0019863"</f>
        <v>H0019863</v>
      </c>
      <c r="B2122" s="5" t="str">
        <f>"SILLON (SOFA)"</f>
        <v>SILLON (SOFA)</v>
      </c>
      <c r="C2122" s="6">
        <v>21400</v>
      </c>
      <c r="D2122" s="5"/>
      <c r="E2122" s="5" t="str">
        <f t="shared" si="107"/>
        <v>ACTISALUD-CIRUGIA GENERAL-GUSTAVO GOMEZ</v>
      </c>
      <c r="F2122" s="5" t="str">
        <f>"Descripcion: SOFA LIZZY Estado: Bueno Placa anterior: 000003946 Material: MADERA Y CUERO Color: MARRON Referencia:  Observacion:  Placa padre: Tipo adquisicion: Entidad"</f>
        <v>Descripcion: SOFA LIZZY Estado: Bueno Placa anterior: 000003946 Material: MADERA Y CUERO Color: MARRON Referencia:  Observacion:  Placa padre: Tipo adquisicion: Entidad</v>
      </c>
      <c r="G2122" s="5"/>
    </row>
    <row r="2123" spans="1:7" ht="58.5" customHeight="1" x14ac:dyDescent="0.25">
      <c r="A2123" s="5" t="str">
        <f>"H0019866"</f>
        <v>H0019866</v>
      </c>
      <c r="B2123" s="5" t="str">
        <f>"SILLA INTERLOCUTORA (FIJA) SIN BRAZOS"</f>
        <v>SILLA INTERLOCUTORA (FIJA) SIN BRAZOS</v>
      </c>
      <c r="C2123" s="6">
        <v>5986.88</v>
      </c>
      <c r="D2123" s="5"/>
      <c r="E2123" s="5" t="str">
        <f t="shared" si="107"/>
        <v>ACTISALUD-CIRUGIA GENERAL-GUSTAVO GOMEZ</v>
      </c>
      <c r="F2123" s="5" t="str">
        <f>"Descripcion: SILLA FIJA SIN BRAZOS  Estado: Bueno Placa anterior: 000026666 Material: METALICO Y CUERO Color: GRIS Y MARRON Referencia:  Observacion: EL BIEN TIENE PLACA ANTERIOR  000024380 FUNCIONARIO AUTORIZA SE CONCILIE CON PLACA 000026666 Placa padre:"&amp; " Tipo adquisicion: Entidad"</f>
        <v>Descripcion: SILLA FIJA SIN BRAZOS  Estado: Bueno Placa anterior: 000026666 Material: METALICO Y CUERO Color: GRIS Y MARRON Referencia:  Observacion: EL BIEN TIENE PLACA ANTERIOR  000024380 FUNCIONARIO AUTORIZA SE CONCILIE CON PLACA 000026666 Placa padre: Tipo adquisicion: Entidad</v>
      </c>
      <c r="G2123" s="5"/>
    </row>
    <row r="2124" spans="1:7" ht="58.5" customHeight="1" x14ac:dyDescent="0.25">
      <c r="A2124" s="5" t="str">
        <f>"H0021187"</f>
        <v>H0021187</v>
      </c>
      <c r="B2124" s="5" t="str">
        <f>"MESA DE MADERA"</f>
        <v>MESA DE MADERA</v>
      </c>
      <c r="C2124" s="6">
        <v>110432</v>
      </c>
      <c r="D2124" s="5"/>
      <c r="E2124" s="5" t="str">
        <f t="shared" si="107"/>
        <v>ACTISALUD-CIRUGIA GENERAL-GUSTAVO GOMEZ</v>
      </c>
      <c r="F2124" s="5" t="str">
        <f>"Descripcion: MESA PARA IMPRESORA EN MADERA Estado: Bueno Placa anterior: 000004172 Material: MADERA Color: BEIGE Referencia:  Observacion:  Placa padre: Tipo adquisicion: Entidad"</f>
        <v>Descripcion: MESA PARA IMPRESORA EN MADERA Estado: Bueno Placa anterior: 000004172 Material: MADERA Color: BEIGE Referencia:  Observacion:  Placa padre: Tipo adquisicion: Entidad</v>
      </c>
      <c r="G2124" s="5"/>
    </row>
    <row r="2125" spans="1:7" ht="58.5" customHeight="1" x14ac:dyDescent="0.25">
      <c r="A2125" s="5" t="str">
        <f>"H0021196"</f>
        <v>H0021196</v>
      </c>
      <c r="B2125" s="5" t="str">
        <f>"ESCRITORIO DE MADERA 5 GAVETAS"</f>
        <v>ESCRITORIO DE MADERA 5 GAVETAS</v>
      </c>
      <c r="C2125" s="6">
        <v>88750</v>
      </c>
      <c r="D2125" s="5"/>
      <c r="E2125" s="5" t="str">
        <f t="shared" si="107"/>
        <v>ACTISALUD-CIRUGIA GENERAL-GUSTAVO GOMEZ</v>
      </c>
      <c r="F2125" s="5" t="str">
        <f>"Descripcion: ESCRITORIO TIPO EJECUTIVO DE MADERA 5 GAVETAS Estado: Bueno Placa anterior: 000004160 Material: MADERA Color: CAFE Referencia:  Observacion:  Placa padre: Tipo adquisicion: Entidad"</f>
        <v>Descripcion: ESCRITORIO TIPO EJECUTIVO DE MADERA 5 GAVETAS Estado: Bueno Placa anterior: 000004160 Material: MADERA Color: CAFE Referencia:  Observacion:  Placa padre: Tipo adquisicion: Entidad</v>
      </c>
      <c r="G2125" s="5"/>
    </row>
    <row r="2126" spans="1:7" ht="58.5" customHeight="1" x14ac:dyDescent="0.25">
      <c r="A2126" s="5" t="str">
        <f>"H0021197"</f>
        <v>H0021197</v>
      </c>
      <c r="B2126" s="5" t="str">
        <f>"NEVERA DE 66 LTS"</f>
        <v>NEVERA DE 66 LTS</v>
      </c>
      <c r="C2126" s="6">
        <v>800000</v>
      </c>
      <c r="D2126" s="5"/>
      <c r="E2126" s="5" t="str">
        <f t="shared" si="107"/>
        <v>ACTISALUD-CIRUGIA GENERAL-GUSTAVO GOMEZ</v>
      </c>
      <c r="F2126" s="5" t="str">
        <f>"Descripcion: NEVERA CON DISPENSADOR Estado: Bueno Placa anterior: 000025788 Material: METALICO Color: BLANCO Referencia:  Observacion:  Placa padre: Tipo adquisicion: Entidad"</f>
        <v>Descripcion: NEVERA CON DISPENSADOR Estado: Bueno Placa anterior: 000025788 Material: METALICO Color: BLANCO Referencia:  Observacion:  Placa padre: Tipo adquisicion: Entidad</v>
      </c>
      <c r="G2126" s="5"/>
    </row>
    <row r="2127" spans="1:7" ht="58.5" customHeight="1" x14ac:dyDescent="0.25">
      <c r="A2127" s="5" t="str">
        <f>"H0021464"</f>
        <v>H0021464</v>
      </c>
      <c r="B2127" s="5" t="str">
        <f>"PLANTA DOMESTICA A BASE DE OZONO"</f>
        <v>PLANTA DOMESTICA A BASE DE OZONO</v>
      </c>
      <c r="C2127" s="6">
        <v>275000</v>
      </c>
      <c r="D2127" s="5" t="s">
        <v>62</v>
      </c>
      <c r="E2127" s="5" t="str">
        <f t="shared" si="107"/>
        <v>ACTISALUD-CIRUGIA GENERAL-GUSTAVO GOMEZ</v>
      </c>
      <c r="F2127" s="5"/>
      <c r="G2127" s="5"/>
    </row>
    <row r="2128" spans="1:7" ht="58.5" customHeight="1" x14ac:dyDescent="0.25">
      <c r="A2128" s="5" t="str">
        <f>"H0021633"</f>
        <v>H0021633</v>
      </c>
      <c r="B2128" s="5" t="str">
        <f>"SILLA INTERLOCUTORA (FIJA) SIN BRAZOS"</f>
        <v>SILLA INTERLOCUTORA (FIJA) SIN BRAZOS</v>
      </c>
      <c r="C2128" s="6">
        <v>5985.88</v>
      </c>
      <c r="D2128" s="5"/>
      <c r="E2128" s="5" t="str">
        <f t="shared" si="107"/>
        <v>ACTISALUD-CIRUGIA GENERAL-GUSTAVO GOMEZ</v>
      </c>
      <c r="F2128" s="5" t="str">
        <f>"Descripcion:SILLA INTERLOCUTORA Estado: Inservible Placa anterior: 000026734 Material: METALICO Color: GRIS Y MARRON Referencia:  Observacion: BIEN TIENE PLACA ANTERIOR 000024045  AUTORIZADO CONCILIAR EN CRUCE GENERAL Placa padre:  Tipo adquisicion : Enti"&amp; "dad"</f>
        <v>Descripcion:SILLA INTERLOCUTORA Estado: Inservible Placa anterior: 000026734 Material: METALICO Color: GRIS Y MARRON Referencia:  Observacion: BIEN TIENE PLACA ANTERIOR 000024045  AUTORIZADO CONCILIAR EN CRUCE GENERAL Placa padre:  Tipo adquisicion : Entidad</v>
      </c>
      <c r="G2128" s="5"/>
    </row>
    <row r="2129" spans="1:7" ht="58.5" customHeight="1" x14ac:dyDescent="0.25">
      <c r="A2129" s="5" t="str">
        <f>"H0021817"</f>
        <v>H0021817</v>
      </c>
      <c r="B2129" s="5" t="str">
        <f>"TENSIOMETRO ANEROIDE DE PEDESTAL (PIE) PARA ADULTO"</f>
        <v>TENSIOMETRO ANEROIDE DE PEDESTAL (PIE) PARA ADULTO</v>
      </c>
      <c r="C2129" s="6">
        <v>870000</v>
      </c>
      <c r="D2129" s="5"/>
      <c r="E2129" s="5" t="str">
        <f t="shared" si="107"/>
        <v>ACTISALUD-CIRUGIA GENERAL-GUSTAVO GOMEZ</v>
      </c>
      <c r="F2129" s="5" t="str">
        <f>"Descripcion: TENSIOMETRO RODABLE MCA. TYCOS Estado: Bueno Placa anterior: 000026080 Material: METALICO Color: NEGRO Referencia:  Observacion: UBICADO EN EL STAR DE ENFERMERIA ALA B Placa padre: Tipo adquisicion: Entidad"</f>
        <v>Descripcion: TENSIOMETRO RODABLE MCA. TYCOS Estado: Bueno Placa anterior: 000026080 Material: METALICO Color: NEGRO Referencia:  Observacion: UBICADO EN EL STAR DE ENFERMERIA ALA B Placa padre: Tipo adquisicion: Entidad</v>
      </c>
      <c r="G2129" s="5" t="str">
        <f>"P0369"</f>
        <v>P0369</v>
      </c>
    </row>
    <row r="2130" spans="1:7" ht="58.5" customHeight="1" x14ac:dyDescent="0.25">
      <c r="A2130" s="5" t="str">
        <f>"H0021818"</f>
        <v>H0021818</v>
      </c>
      <c r="B2130" s="5" t="str">
        <f>"SILLA PLASTICA CON BRAZOS"</f>
        <v>SILLA PLASTICA CON BRAZOS</v>
      </c>
      <c r="C2130" s="6">
        <v>14000</v>
      </c>
      <c r="D2130" s="5"/>
      <c r="E2130" s="5" t="str">
        <f t="shared" si="107"/>
        <v>ACTISALUD-CIRUGIA GENERAL-GUSTAVO GOMEZ</v>
      </c>
      <c r="F2130" s="5" t="str">
        <f>"Descripcion: SILLA PLASTICA BLANCA Estado: Bueno Placa anterior: 000005691 Material: PLASTICO Color: BLANCO Referencia:  Observacion: UBICADO EN LA HAB 8 ALA B Placa padre: Tipo adquisicion: Entidad"</f>
        <v>Descripcion: SILLA PLASTICA BLANCA Estado: Bueno Placa anterior: 000005691 Material: PLASTICO Color: BLANCO Referencia:  Observacion: UBICADO EN LA HAB 8 ALA B Placa padre: Tipo adquisicion: Entidad</v>
      </c>
      <c r="G2130" s="5"/>
    </row>
    <row r="2131" spans="1:7" ht="58.5" customHeight="1" x14ac:dyDescent="0.25">
      <c r="A2131" s="5" t="str">
        <f>"H0021836"</f>
        <v>H0021836</v>
      </c>
      <c r="B2131" s="5" t="str">
        <f>"EQUIPO ORGANOS DE LOS SENTIDOS PORTATIL"</f>
        <v>EQUIPO ORGANOS DE LOS SENTIDOS PORTATIL</v>
      </c>
      <c r="C2131" s="6">
        <v>27253.59</v>
      </c>
      <c r="D2131" s="5"/>
      <c r="E2131" s="5" t="str">
        <f t="shared" si="107"/>
        <v>ACTISALUD-CIRUGIA GENERAL-GUSTAVO GOMEZ</v>
      </c>
      <c r="F2131" s="5" t="str">
        <f>"Descripcion: EQUIPO DE ORGANOS DE LOS SENTIDOS Estado: Bueno Placa anterior: 000003650 Material: ACERO INOXIDABLE Color: NEGRO Referencia: 13010 Observacion:  Placa padre: Tipo adquisicion: Entidad"</f>
        <v>Descripcion: EQUIPO DE ORGANOS DE LOS SENTIDOS Estado: Bueno Placa anterior: 000003650 Material: ACERO INOXIDABLE Color: NEGRO Referencia: 13010 Observacion:  Placa padre: Tipo adquisicion: Entidad</v>
      </c>
      <c r="G2131" s="5"/>
    </row>
    <row r="2132" spans="1:7" ht="58.5" customHeight="1" x14ac:dyDescent="0.25">
      <c r="A2132" s="5" t="str">
        <f>"H0021865"</f>
        <v>H0021865</v>
      </c>
      <c r="B2132" s="5" t="str">
        <f>"ESTANTE METALICO 6 ENTREPAÑOS"</f>
        <v>ESTANTE METALICO 6 ENTREPAÑOS</v>
      </c>
      <c r="C2132" s="6">
        <v>31512.47</v>
      </c>
      <c r="D2132" s="5"/>
      <c r="E2132" s="5" t="str">
        <f t="shared" si="107"/>
        <v>ACTISALUD-CIRUGIA GENERAL-GUSTAVO GOMEZ</v>
      </c>
      <c r="F2132" s="5" t="str">
        <f>"Descripcion: ESTANTE METALICO DE 6 ENTREPAÑOS Estado: Bueno Placa anterior: 000004195 Material: METALICO Color: GRIS Referencia:  Observacion:  Placa padre: Tipo adquisicion: Entidad"</f>
        <v>Descripcion: ESTANTE METALICO DE 6 ENTREPAÑOS Estado: Bueno Placa anterior: 000004195 Material: METALICO Color: GRIS Referencia:  Observacion:  Placa padre: Tipo adquisicion: Entidad</v>
      </c>
      <c r="G2132" s="5"/>
    </row>
    <row r="2133" spans="1:7" ht="58.5" customHeight="1" x14ac:dyDescent="0.25">
      <c r="A2133" s="5" t="str">
        <f>"H0021866"</f>
        <v>H0021866</v>
      </c>
      <c r="B2133" s="5" t="str">
        <f>"ESTANTE METALICO 6 ENTREPAÑOS"</f>
        <v>ESTANTE METALICO 6 ENTREPAÑOS</v>
      </c>
      <c r="C2133" s="6">
        <v>31512.47</v>
      </c>
      <c r="D2133" s="5"/>
      <c r="E2133" s="5" t="str">
        <f t="shared" si="107"/>
        <v>ACTISALUD-CIRUGIA GENERAL-GUSTAVO GOMEZ</v>
      </c>
      <c r="F2133" s="5" t="str">
        <f>"Descripcion: ESTANTE METALICO DE 6 ENTREPAÑOS Estado: Bueno Placa anterior: 000004191 Material: METALICO Color: GRIS Referencia:  Observacion:  Placa padre: Tipo adquisicion: Entidad"</f>
        <v>Descripcion: ESTANTE METALICO DE 6 ENTREPAÑOS Estado: Bueno Placa anterior: 000004191 Material: METALICO Color: GRIS Referencia:  Observacion:  Placa padre: Tipo adquisicion: Entidad</v>
      </c>
      <c r="G2133" s="5"/>
    </row>
    <row r="2134" spans="1:7" ht="58.5" customHeight="1" x14ac:dyDescent="0.25">
      <c r="A2134" s="5" t="str">
        <f>"H0021875"</f>
        <v>H0021875</v>
      </c>
      <c r="B2134" s="5" t="str">
        <f>"SILLA INTERLOCUTORA (FIJA) SIN BRAZOS"</f>
        <v>SILLA INTERLOCUTORA (FIJA) SIN BRAZOS</v>
      </c>
      <c r="C2134" s="6">
        <v>5965.88</v>
      </c>
      <c r="D2134" s="5"/>
      <c r="E2134" s="5" t="str">
        <f t="shared" si="107"/>
        <v>ACTISALUD-CIRUGIA GENERAL-GUSTAVO GOMEZ</v>
      </c>
      <c r="F2134" s="5" t="str">
        <f>"Descripcion: SILLA FIJA TIPO A COLOR MARRON Estado: Bueno Placa anterior: 000003732 Material: CUERO Y METALICO Color: MARRON Referencia:  Observacion:  Placa padre: Tipo adquisicion: Entidad"</f>
        <v>Descripcion: SILLA FIJA TIPO A COLOR MARRON Estado: Bueno Placa anterior: 000003732 Material: CUERO Y METALICO Color: MARRON Referencia:  Observacion:  Placa padre: Tipo adquisicion: Entidad</v>
      </c>
      <c r="G2134" s="5"/>
    </row>
    <row r="2135" spans="1:7" ht="58.5" customHeight="1" x14ac:dyDescent="0.25">
      <c r="A2135" s="5" t="str">
        <f>"H0021911"</f>
        <v>H0021911</v>
      </c>
      <c r="B2135" s="5" t="str">
        <f>"AIRE ACONDICIONADO TIPO SPLIT 12000 BTU"</f>
        <v>AIRE ACONDICIONADO TIPO SPLIT 12000 BTU</v>
      </c>
      <c r="C2135" s="6">
        <v>1836280</v>
      </c>
      <c r="D2135" s="5" t="s">
        <v>52</v>
      </c>
      <c r="E2135" s="5" t="str">
        <f t="shared" si="107"/>
        <v>ACTISALUD-CIRUGIA GENERAL-GUSTAVO GOMEZ</v>
      </c>
      <c r="F2135" s="5" t="str">
        <f>"Descripcion: AIRE ACODICIONADO BTU 12000, CON CONTROL REMOTO Estado: Bueno Placa anterior: 000036387 Material: PASTA Color: BLANCO Referencia:  Observacion:  Placa padre: Tipo adquisicion: Entidad"</f>
        <v>Descripcion: AIRE ACODICIONADO BTU 12000, CON CONTROL REMOTO Estado: Bueno Placa anterior: 000036387 Material: PASTA Color: BLANCO Referencia:  Observacion:  Placa padre: Tipo adquisicion: Entidad</v>
      </c>
      <c r="G2135" s="5" t="str">
        <f>"VM122CEN B3"</f>
        <v>VM122CEN B3</v>
      </c>
    </row>
    <row r="2136" spans="1:7" ht="58.5" customHeight="1" x14ac:dyDescent="0.25">
      <c r="A2136" s="5" t="str">
        <f>"H0021912"</f>
        <v>H0021912</v>
      </c>
      <c r="B2136" s="5" t="str">
        <f>"AIRE ACONDICIONADO TIPO SPLIT 12000 BTU"</f>
        <v>AIRE ACONDICIONADO TIPO SPLIT 12000 BTU</v>
      </c>
      <c r="C2136" s="6">
        <v>1836280</v>
      </c>
      <c r="D2136" s="5" t="s">
        <v>52</v>
      </c>
      <c r="E2136" s="5" t="str">
        <f t="shared" si="107"/>
        <v>ACTISALUD-CIRUGIA GENERAL-GUSTAVO GOMEZ</v>
      </c>
      <c r="F2136" s="5" t="str">
        <f>"Descripcion: AIRE ACODICIONADO BTU 12000 Estado: Bueno Placa anterior: 000036394 Material: PASTA Color: BLANCO Referencia:  Observacion:  Placa padre: Tipo adquisicion: Entidad"</f>
        <v>Descripcion: AIRE ACODICIONADO BTU 12000 Estado: Bueno Placa anterior: 000036394 Material: PASTA Color: BLANCO Referencia:  Observacion:  Placa padre: Tipo adquisicion: Entidad</v>
      </c>
      <c r="G2136" s="5" t="str">
        <f>"VM182CEN C3"</f>
        <v>VM182CEN C3</v>
      </c>
    </row>
    <row r="2137" spans="1:7" ht="58.5" customHeight="1" x14ac:dyDescent="0.25">
      <c r="A2137" s="5" t="str">
        <f>"H0021915"</f>
        <v>H0021915</v>
      </c>
      <c r="B2137" s="5" t="str">
        <f>"VITRINA DE 1 CUERPO"</f>
        <v>VITRINA DE 1 CUERPO</v>
      </c>
      <c r="C2137" s="6">
        <v>20790</v>
      </c>
      <c r="D2137" s="5"/>
      <c r="E2137" s="5" t="str">
        <f t="shared" si="107"/>
        <v>ACTISALUD-CIRUGIA GENERAL-GUSTAVO GOMEZ</v>
      </c>
      <c r="F2137" s="5" t="str">
        <f>"Descripcion: VITRINA METALICA Estado: Bueno Placa anterior: 000004169 Material: METALICO Color: GRIS Referencia:  Observacion:  Placa padre: Tipo adquisicion: Entidad"</f>
        <v>Descripcion: VITRINA METALICA Estado: Bueno Placa anterior: 000004169 Material: METALICO Color: GRIS Referencia:  Observacion:  Placa padre: Tipo adquisicion: Entidad</v>
      </c>
      <c r="G2137" s="5"/>
    </row>
    <row r="2138" spans="1:7" ht="58.5" customHeight="1" x14ac:dyDescent="0.25">
      <c r="A2138" s="5" t="str">
        <f>"H0021917"</f>
        <v>H0021917</v>
      </c>
      <c r="B2138" s="5" t="str">
        <f>"VIDEOBEAM (VIDEO PROYECTOR)"</f>
        <v>VIDEOBEAM (VIDEO PROYECTOR)</v>
      </c>
      <c r="C2138" s="6">
        <v>2800000</v>
      </c>
      <c r="D2138" s="5"/>
      <c r="E2138" s="5" t="str">
        <f t="shared" si="107"/>
        <v>ACTISALUD-CIRUGIA GENERAL-GUSTAVO GOMEZ</v>
      </c>
      <c r="F2138" s="5" t="str">
        <f>"Descripcion: VIDEO BEAM INFOCUS X 11100LUMENES Estado: Bueno Placa anterior: 000024061 Material: PASTA Color: GRIS Referencia:  Observacion:  Placa padre: Tipo adquisicion: Entidad"</f>
        <v>Descripcion: VIDEO BEAM INFOCUS X 11100LUMENES Estado: Bueno Placa anterior: 000024061 Material: PASTA Color: GRIS Referencia:  Observacion:  Placa padre: Tipo adquisicion: Entidad</v>
      </c>
      <c r="G2138" s="5"/>
    </row>
    <row r="2139" spans="1:7" ht="58.5" customHeight="1" x14ac:dyDescent="0.25">
      <c r="A2139" s="5" t="str">
        <f>"H0021918"</f>
        <v>H0021918</v>
      </c>
      <c r="B2139" s="5" t="str">
        <f>"NEGATOSCOPIO"</f>
        <v>NEGATOSCOPIO</v>
      </c>
      <c r="C2139" s="6">
        <v>13049</v>
      </c>
      <c r="D2139" s="5"/>
      <c r="E2139" s="5" t="str">
        <f t="shared" si="107"/>
        <v>ACTISALUD-CIRUGIA GENERAL-GUSTAVO GOMEZ</v>
      </c>
      <c r="F2139" s="5" t="str">
        <f>"Descripcion: NEGATOSCOPIO DE 1 CUERPO Estado: Bueno Placa anterior: 000026668 Material: PASTA Color: BLANCO Referencia:  Observacion:  Placa padre: Tipo adquisicion: Entidad"</f>
        <v>Descripcion: NEGATOSCOPIO DE 1 CUERPO Estado: Bueno Placa anterior: 000026668 Material: PASTA Color: BLANCO Referencia:  Observacion:  Placa padre: Tipo adquisicion: Entidad</v>
      </c>
      <c r="G2139" s="5"/>
    </row>
    <row r="2140" spans="1:7" ht="58.5" customHeight="1" x14ac:dyDescent="0.25">
      <c r="A2140" s="5" t="str">
        <f>"H0021919"</f>
        <v>H0021919</v>
      </c>
      <c r="B2140" s="5" t="str">
        <f>"CAMILLA DE TRASLADO SIN BARANDAS"</f>
        <v>CAMILLA DE TRASLADO SIN BARANDAS</v>
      </c>
      <c r="C2140" s="6">
        <v>38995</v>
      </c>
      <c r="D2140" s="5"/>
      <c r="E2140" s="5" t="str">
        <f t="shared" si="107"/>
        <v>ACTISALUD-CIRUGIA GENERAL-GUSTAVO GOMEZ</v>
      </c>
      <c r="F2140" s="5" t="str">
        <f>"Descripcion: CAMILLA TRANSPORTE DE PACIENTE Estado: Bueno Placa anterior: 000026690 Material: METALICO Color: BEIGE Referencia:  Observacion:  Placa padre: Tipo adquisicion: Entidad"</f>
        <v>Descripcion: CAMILLA TRANSPORTE DE PACIENTE Estado: Bueno Placa anterior: 000026690 Material: METALICO Color: BEIGE Referencia:  Observacion:  Placa padre: Tipo adquisicion: Entidad</v>
      </c>
      <c r="G2140" s="5"/>
    </row>
    <row r="2141" spans="1:7" ht="58.5" customHeight="1" x14ac:dyDescent="0.25">
      <c r="A2141" s="5" t="str">
        <f>"H0021921"</f>
        <v>H0021921</v>
      </c>
      <c r="B2141" s="5" t="str">
        <f>"BASCULA"</f>
        <v>BASCULA</v>
      </c>
      <c r="C2141" s="6">
        <v>1700000</v>
      </c>
      <c r="D2141" s="5" t="s">
        <v>63</v>
      </c>
      <c r="E2141" s="5" t="str">
        <f t="shared" si="107"/>
        <v>ACTISALUD-CIRUGIA GENERAL-GUSTAVO GOMEZ</v>
      </c>
      <c r="F2141" s="5" t="str">
        <f>"Descripcion: Bascula de piso Bascula de pedestal plataforma sólida y antideslizante con capacidad aproximada mínimo 150 kilos, tipo médico. La graduación de las escalas para el peso deberá estar en libras y kilogramos, pantalla de visualización de los dat"&amp; "os. ACCESORI Estado: Bueno Placa anterior: 000038007 Material: METALICO Color: BLANCO Referencia:  Observacion:  Placa padre: Tipo adquisicion: Entidad"</f>
        <v>Descripcion: Bascula de piso Bascula de pedestal plataforma sólida y antideslizante con capacidad aproximada mínimo 150 kilos, tipo médico. La graduación de las escalas para el peso deberá estar en libras y kilogramos, pantalla de visualización de los datos. ACCESORI Estado: Bueno Placa anterior: 000038007 Material: METALICO Color: BLANCO Referencia:  Observacion:  Placa padre: Tipo adquisicion: Entidad</v>
      </c>
      <c r="G2141" s="5" t="str">
        <f>"349 KLX"</f>
        <v>349 KLX</v>
      </c>
    </row>
    <row r="2142" spans="1:7" ht="58.5" customHeight="1" x14ac:dyDescent="0.25">
      <c r="A2142" s="5" t="str">
        <f>"H0021922"</f>
        <v>H0021922</v>
      </c>
      <c r="B2142" s="5" t="str">
        <f>"MESA METALICA AUXILIAR"</f>
        <v>MESA METALICA AUXILIAR</v>
      </c>
      <c r="C2142" s="6">
        <v>7991.66</v>
      </c>
      <c r="D2142" s="5"/>
      <c r="E2142" s="5" t="str">
        <f t="shared" si="107"/>
        <v>ACTISALUD-CIRUGIA GENERAL-GUSTAVO GOMEZ</v>
      </c>
      <c r="F2142" s="5" t="str">
        <f>"Descripcion: MESA MECANOGRAFA CON ALA Estado: Bueno Placa anterior: 000004180 Material: METALICA Y FORMICA Color: GRIS Referencia:  Observacion:  Placa padre: Tipo adquisicion: Entidad"</f>
        <v>Descripcion: MESA MECANOGRAFA CON ALA Estado: Bueno Placa anterior: 000004180 Material: METALICA Y FORMICA Color: GRIS Referencia:  Observacion:  Placa padre: Tipo adquisicion: Entidad</v>
      </c>
      <c r="G2142" s="5"/>
    </row>
    <row r="2143" spans="1:7" ht="58.5" customHeight="1" x14ac:dyDescent="0.25">
      <c r="A2143" s="5" t="str">
        <f>"H0021924"</f>
        <v>H0021924</v>
      </c>
      <c r="B2143" s="5" t="str">
        <f>"ESCRITORIO METALICO 3 GAVETAS"</f>
        <v>ESCRITORIO METALICO 3 GAVETAS</v>
      </c>
      <c r="C2143" s="6">
        <v>20520.86</v>
      </c>
      <c r="D2143" s="5"/>
      <c r="E2143" s="5" t="str">
        <f t="shared" si="107"/>
        <v>ACTISALUD-CIRUGIA GENERAL-GUSTAVO GOMEZ</v>
      </c>
      <c r="F2143" s="5" t="str">
        <f>"Descripcion: ESCRITORIO TIPO A (3 GAVETAS) Estado: Bueno Placa anterior: 000004170 Material: METALICO Color: GRIS Referencia:  Observacion:  Placa padre: Tipo adquisicion: Entidad"</f>
        <v>Descripcion: ESCRITORIO TIPO A (3 GAVETAS) Estado: Bueno Placa anterior: 000004170 Material: METALICO Color: GRIS Referencia:  Observacion:  Placa padre: Tipo adquisicion: Entidad</v>
      </c>
      <c r="G2143" s="5"/>
    </row>
    <row r="2144" spans="1:7" ht="58.5" customHeight="1" x14ac:dyDescent="0.25">
      <c r="A2144" s="5" t="str">
        <f>"H0021932"</f>
        <v>H0021932</v>
      </c>
      <c r="B2144" s="5" t="str">
        <f>"SILLON (SOFA)"</f>
        <v>SILLON (SOFA)</v>
      </c>
      <c r="C2144" s="6">
        <v>21400</v>
      </c>
      <c r="D2144" s="5"/>
      <c r="E2144" s="5" t="str">
        <f t="shared" si="107"/>
        <v>ACTISALUD-CIRUGIA GENERAL-GUSTAVO GOMEZ</v>
      </c>
      <c r="F2144" s="5" t="str">
        <f>"Descripcion: SOFA LIZZYSE ENCUENTRA EN REGULAR ESTADO Estado: Regular Placa anterior: 000026654 Material: MADERA Y CUERO Color: NEGRO Referencia:  Observacion:  Placa padre: Tipo adquisicion: Entidad"</f>
        <v>Descripcion: SOFA LIZZYSE ENCUENTRA EN REGULAR ESTADO Estado: Regular Placa anterior: 000026654 Material: MADERA Y CUERO Color: NEGRO Referencia:  Observacion:  Placa padre: Tipo adquisicion: Entidad</v>
      </c>
      <c r="G2144" s="5"/>
    </row>
    <row r="2145" spans="1:7" ht="58.5" customHeight="1" x14ac:dyDescent="0.25">
      <c r="A2145" s="5" t="str">
        <f>"H0021934"</f>
        <v>H0021934</v>
      </c>
      <c r="B2145" s="5" t="str">
        <f>"COMPRESOR PARA EQUIPO MEDICO/LABORATORIO"</f>
        <v>COMPRESOR PARA EQUIPO MEDICO/LABORATORIO</v>
      </c>
      <c r="C2145" s="6">
        <v>145692</v>
      </c>
      <c r="D2145" s="5"/>
      <c r="E2145" s="5" t="str">
        <f t="shared" ref="E2145:E2208" si="108">"ACTISALUD-CIRUGIA GENERAL-GUSTAVO GOMEZ"</f>
        <v>ACTISALUD-CIRUGIA GENERAL-GUSTAVO GOMEZ</v>
      </c>
      <c r="F2145" s="5" t="str">
        <f>"Descripcion: COMPRESOR PARA AEROSOLTERAPIA MCA.DEVILBIS MOD.PULMO AID Estado: Bueno Placa anterior: 000003762 Material: PASTA DURA Color: VERDE CLARO Referencia:  Observacion:  Placa padre: Tipo adquisicion: Entidad"</f>
        <v>Descripcion: COMPRESOR PARA AEROSOLTERAPIA MCA.DEVILBIS MOD.PULMO AID Estado: Bueno Placa anterior: 000003762 Material: PASTA DURA Color: VERDE CLARO Referencia:  Observacion:  Placa padre: Tipo adquisicion: Entidad</v>
      </c>
      <c r="G2145" s="5" t="str">
        <f>"5650D"</f>
        <v>5650D</v>
      </c>
    </row>
    <row r="2146" spans="1:7" ht="58.5" customHeight="1" x14ac:dyDescent="0.25">
      <c r="A2146" s="5" t="str">
        <f>"H0021955"</f>
        <v>H0021955</v>
      </c>
      <c r="B2146" s="5" t="str">
        <f>"LOCKER DE 6 COMPARTIMIENTOS"</f>
        <v>LOCKER DE 6 COMPARTIMIENTOS</v>
      </c>
      <c r="C2146" s="6">
        <v>585988</v>
      </c>
      <c r="D2146" s="5" t="s">
        <v>60</v>
      </c>
      <c r="E2146" s="5" t="str">
        <f t="shared" si="108"/>
        <v>ACTISALUD-CIRUGIA GENERAL-GUSTAVO GOMEZ</v>
      </c>
      <c r="F2146" s="5" t="str">
        <f>"Descripcion: LOCKER DE LAMINA CALIBRE 22 C/6 CASILLEROS, PORTACANDADO, MANIJA PROFUNDIZADA MEDIDAS 1.80X1.90 DE ANCHO X 35 DE FONDO DE PINTURA Estado: Bueno Placa anterior: 000029169 Material: METALICO Color: GRIS Referencia:  Observacion:  Placa padre: T"&amp; "ipo adquisicion: Entidad"</f>
        <v>Descripcion: LOCKER DE LAMINA CALIBRE 22 C/6 CASILLEROS, PORTACANDADO, MANIJA PROFUNDIZADA MEDIDAS 1.80X1.90 DE ANCHO X 35 DE FONDO DE PINTURA Estado: Bueno Placa anterior: 000029169 Material: METALICO Color: GRIS Referencia:  Observacion:  Placa padre: Tipo adquisicion: Entidad</v>
      </c>
      <c r="G2146" s="5"/>
    </row>
    <row r="2147" spans="1:7" ht="58.5" customHeight="1" x14ac:dyDescent="0.25">
      <c r="A2147" s="5" t="str">
        <f>"H0021977"</f>
        <v>H0021977</v>
      </c>
      <c r="B2147" s="5" t="str">
        <f>"MESA PUENTE (ALIMENTACION) (INSTRUMENTAL)"</f>
        <v>MESA PUENTE (ALIMENTACION) (INSTRUMENTAL)</v>
      </c>
      <c r="C2147" s="6">
        <v>15000</v>
      </c>
      <c r="D2147" s="5"/>
      <c r="E2147" s="5" t="str">
        <f t="shared" si="108"/>
        <v>ACTISALUD-CIRUGIA GENERAL-GUSTAVO GOMEZ</v>
      </c>
      <c r="F2147" s="5" t="str">
        <f>"Descripcion: MESA Estado: Bueno Placa anterior: 000026647 Material: ACERO INOXIDABLE Color: GRIS Referencia:  Observacion: EL BIEN TENIA PLACA ANTERIOR 000005027  FUNCIONARIO AUTORIZA SE CONCILIE CON PLACA 000026647 Placa padre: Tipo adquisicion: Entidad"</f>
        <v>Descripcion: MESA Estado: Bueno Placa anterior: 000026647 Material: ACERO INOXIDABLE Color: GRIS Referencia:  Observacion: EL BIEN TENIA PLACA ANTERIOR 000005027  FUNCIONARIO AUTORIZA SE CONCILIE CON PLACA 000026647 Placa padre: Tipo adquisicion: Entidad</v>
      </c>
      <c r="G2147" s="5"/>
    </row>
    <row r="2148" spans="1:7" ht="58.5" customHeight="1" x14ac:dyDescent="0.25">
      <c r="A2148" s="5" t="str">
        <f>"H0021980"</f>
        <v>H0021980</v>
      </c>
      <c r="B2148" s="5" t="str">
        <f>"POTE (TARRO) ACERO INXODABLE CON TAPA MEDIANO"</f>
        <v>POTE (TARRO) ACERO INXODABLE CON TAPA MEDIANO</v>
      </c>
      <c r="C2148" s="6">
        <v>6080.56</v>
      </c>
      <c r="D2148" s="5"/>
      <c r="E2148" s="5" t="str">
        <f t="shared" si="108"/>
        <v>ACTISALUD-CIRUGIA GENERAL-GUSTAVO GOMEZ</v>
      </c>
      <c r="F2148" s="5" t="str">
        <f>"Descripcion: TARROS PORTA PINZAS Estado: Bueno Placa anterior: 000004217 Material: ACERO INOXIDABLE Color: GRIS Referencia:  Observacion:  Placa padre: Tipo adquisicion: Entidad"</f>
        <v>Descripcion: TARROS PORTA PINZAS Estado: Bueno Placa anterior: 000004217 Material: ACERO INOXIDABLE Color: GRIS Referencia:  Observacion:  Placa padre: Tipo adquisicion: Entidad</v>
      </c>
      <c r="G2148" s="5"/>
    </row>
    <row r="2149" spans="1:7" ht="58.5" customHeight="1" x14ac:dyDescent="0.25">
      <c r="A2149" s="5" t="str">
        <f>"H0022507"</f>
        <v>H0022507</v>
      </c>
      <c r="B2149" s="5" t="str">
        <f>"LOCKER DE 3 COMPARTIMIENTOS"</f>
        <v>LOCKER DE 3 COMPARTIMIENTOS</v>
      </c>
      <c r="C2149" s="6">
        <v>9130</v>
      </c>
      <c r="D2149" s="5"/>
      <c r="E2149" s="5" t="str">
        <f t="shared" si="108"/>
        <v>ACTISALUD-CIRUGIA GENERAL-GUSTAVO GOMEZ</v>
      </c>
      <c r="F2149" s="5" t="str">
        <f>"Descripcion: LOCKER TIPO B (3 PUESTOS) Estado: Bueno Placa anterior: 000003635 Material: METALICO Color: GRIS Referencia:  Observacion: AUTORIZADO EN CRUCE GENERAL Placa padre: Tipo adquisicion: Entidad"</f>
        <v>Descripcion: LOCKER TIPO B (3 PUESTOS) Estado: Bueno Placa anterior: 000003635 Material: METALICO Color: GRIS Referencia:  Observacion: AUTORIZADO EN CRUCE GENERAL Placa padre: Tipo adquisicion: Entidad</v>
      </c>
      <c r="G2149" s="5"/>
    </row>
    <row r="2150" spans="1:7" ht="58.5" customHeight="1" x14ac:dyDescent="0.25">
      <c r="A2150" s="5" t="str">
        <f>"H0022710"</f>
        <v>H0022710</v>
      </c>
      <c r="B2150" s="5" t="str">
        <f>"LLAVE DE BOCA FIJA"</f>
        <v>LLAVE DE BOCA FIJA</v>
      </c>
      <c r="C2150" s="6">
        <v>4325.4399999999996</v>
      </c>
      <c r="D2150" s="5"/>
      <c r="E2150" s="5" t="str">
        <f t="shared" si="108"/>
        <v>ACTISALUD-CIRUGIA GENERAL-GUSTAVO GOMEZ</v>
      </c>
      <c r="F2150" s="5" t="str">
        <f>"Descripcion: LLAVE BOCA FIJA DE 1 1/8 P/CAMBIO CILINDRO Estado: Bueno Placa anterior: 000004837 Material: ACERO INOXIDABLE Color: PLATEADO Referencia:  Observacion:  Placa padre: Tipo adquisicion: Entidad"</f>
        <v>Descripcion: LLAVE BOCA FIJA DE 1 1/8 P/CAMBIO CILINDRO Estado: Bueno Placa anterior: 000004837 Material: ACERO INOXIDABLE Color: PLATEADO Referencia:  Observacion:  Placa padre: Tipo adquisicion: Entidad</v>
      </c>
      <c r="G2150" s="5"/>
    </row>
    <row r="2151" spans="1:7" ht="58.5" customHeight="1" x14ac:dyDescent="0.25">
      <c r="A2151" s="5" t="str">
        <f>"H0022762"</f>
        <v>H0022762</v>
      </c>
      <c r="B2151" s="5" t="str">
        <f>"JARRA EN ACERO INOXIDABLE MEDIANA"</f>
        <v>JARRA EN ACERO INOXIDABLE MEDIANA</v>
      </c>
      <c r="C2151" s="6">
        <v>4275</v>
      </c>
      <c r="D2151" s="5"/>
      <c r="E2151" s="5" t="str">
        <f t="shared" si="108"/>
        <v>ACTISALUD-CIRUGIA GENERAL-GUSTAVO GOMEZ</v>
      </c>
      <c r="F2151" s="5" t="str">
        <f>"Descripcion: JARRA NIQUELADA MEDIANA Estado: Bueno Placa anterior: 000004274 Material: ACERO INOXIDABLE Color: PLATEADO Referencia:  Observacion:  Placa padre: Tipo adquisicion: Entidad"</f>
        <v>Descripcion: JARRA NIQUELADA MEDIANA Estado: Bueno Placa anterior: 000004274 Material: ACERO INOXIDABLE Color: PLATEADO Referencia:  Observacion:  Placa padre: Tipo adquisicion: Entidad</v>
      </c>
      <c r="G2151" s="5"/>
    </row>
    <row r="2152" spans="1:7" ht="58.5" customHeight="1" x14ac:dyDescent="0.25">
      <c r="A2152" s="5" t="str">
        <f>"H0022792"</f>
        <v>H0022792</v>
      </c>
      <c r="B2152" s="5" t="str">
        <f>"MESA DE MADERA"</f>
        <v>MESA DE MADERA</v>
      </c>
      <c r="C2152" s="6">
        <v>21466.67</v>
      </c>
      <c r="D2152" s="5"/>
      <c r="E2152" s="5" t="str">
        <f t="shared" si="108"/>
        <v>ACTISALUD-CIRUGIA GENERAL-GUSTAVO GOMEZ</v>
      </c>
      <c r="F2152" s="5" t="str">
        <f>"Descripcion: MESA PARA TELEVISOR Y BETAMAX Estado: Bueno Placa anterior: 000003982 Material: METAL Y MADERA Color:  Referencia:  Observacion:  Placa padre: Tipo adquisicion: Entidad"</f>
        <v>Descripcion: MESA PARA TELEVISOR Y BETAMAX Estado: Bueno Placa anterior: 000003982 Material: METAL Y MADERA Color:  Referencia:  Observacion:  Placa padre: Tipo adquisicion: Entidad</v>
      </c>
      <c r="G2152" s="5"/>
    </row>
    <row r="2153" spans="1:7" ht="58.5" customHeight="1" x14ac:dyDescent="0.25">
      <c r="A2153" s="5" t="str">
        <f>"H0024168"</f>
        <v>H0024168</v>
      </c>
      <c r="B2153" s="5" t="str">
        <f t="shared" ref="B2153:B2169" si="109">"CAMA ELECTRICA ADULTOS"</f>
        <v>CAMA ELECTRICA ADULTOS</v>
      </c>
      <c r="C2153" s="6">
        <v>5746930</v>
      </c>
      <c r="D2153" s="5" t="s">
        <v>36</v>
      </c>
      <c r="E2153" s="5" t="str">
        <f t="shared" si="108"/>
        <v>ACTISALUD-CIRUGIA GENERAL-GUSTAVO GOMEZ</v>
      </c>
      <c r="F2153" s="5"/>
      <c r="G2153" s="5"/>
    </row>
    <row r="2154" spans="1:7" ht="58.5" customHeight="1" x14ac:dyDescent="0.25">
      <c r="A2154" s="5" t="str">
        <f>"H0024329"</f>
        <v>H0024329</v>
      </c>
      <c r="B2154" s="5" t="str">
        <f t="shared" si="109"/>
        <v>CAMA ELECTRICA ADULTOS</v>
      </c>
      <c r="C2154" s="6">
        <v>5746930</v>
      </c>
      <c r="D2154" s="5" t="s">
        <v>36</v>
      </c>
      <c r="E2154" s="5" t="str">
        <f t="shared" si="108"/>
        <v>ACTISALUD-CIRUGIA GENERAL-GUSTAVO GOMEZ</v>
      </c>
      <c r="F2154" s="5"/>
      <c r="G2154" s="5"/>
    </row>
    <row r="2155" spans="1:7" ht="58.5" customHeight="1" x14ac:dyDescent="0.25">
      <c r="A2155" s="5" t="str">
        <f>"H0024338"</f>
        <v>H0024338</v>
      </c>
      <c r="B2155" s="5" t="str">
        <f t="shared" si="109"/>
        <v>CAMA ELECTRICA ADULTOS</v>
      </c>
      <c r="C2155" s="6">
        <v>5746930</v>
      </c>
      <c r="D2155" s="5" t="s">
        <v>36</v>
      </c>
      <c r="E2155" s="5" t="str">
        <f t="shared" si="108"/>
        <v>ACTISALUD-CIRUGIA GENERAL-GUSTAVO GOMEZ</v>
      </c>
      <c r="F2155" s="5"/>
      <c r="G2155" s="5"/>
    </row>
    <row r="2156" spans="1:7" ht="58.5" customHeight="1" x14ac:dyDescent="0.25">
      <c r="A2156" s="5" t="str">
        <f>"H0024340"</f>
        <v>H0024340</v>
      </c>
      <c r="B2156" s="5" t="str">
        <f t="shared" si="109"/>
        <v>CAMA ELECTRICA ADULTOS</v>
      </c>
      <c r="C2156" s="6">
        <v>5746930</v>
      </c>
      <c r="D2156" s="5" t="s">
        <v>36</v>
      </c>
      <c r="E2156" s="5" t="str">
        <f t="shared" si="108"/>
        <v>ACTISALUD-CIRUGIA GENERAL-GUSTAVO GOMEZ</v>
      </c>
      <c r="F2156" s="5"/>
      <c r="G2156" s="5"/>
    </row>
    <row r="2157" spans="1:7" ht="58.5" customHeight="1" x14ac:dyDescent="0.25">
      <c r="A2157" s="5" t="str">
        <f>"H0024342"</f>
        <v>H0024342</v>
      </c>
      <c r="B2157" s="5" t="str">
        <f t="shared" si="109"/>
        <v>CAMA ELECTRICA ADULTOS</v>
      </c>
      <c r="C2157" s="6">
        <v>5746930</v>
      </c>
      <c r="D2157" s="5" t="s">
        <v>36</v>
      </c>
      <c r="E2157" s="5" t="str">
        <f t="shared" si="108"/>
        <v>ACTISALUD-CIRUGIA GENERAL-GUSTAVO GOMEZ</v>
      </c>
      <c r="F2157" s="5"/>
      <c r="G2157" s="5"/>
    </row>
    <row r="2158" spans="1:7" ht="58.5" customHeight="1" x14ac:dyDescent="0.25">
      <c r="A2158" s="5" t="str">
        <f>"H0024352"</f>
        <v>H0024352</v>
      </c>
      <c r="B2158" s="5" t="str">
        <f t="shared" si="109"/>
        <v>CAMA ELECTRICA ADULTOS</v>
      </c>
      <c r="C2158" s="6">
        <v>5746930</v>
      </c>
      <c r="D2158" s="5" t="s">
        <v>36</v>
      </c>
      <c r="E2158" s="5" t="str">
        <f t="shared" si="108"/>
        <v>ACTISALUD-CIRUGIA GENERAL-GUSTAVO GOMEZ</v>
      </c>
      <c r="F2158" s="5"/>
      <c r="G2158" s="5"/>
    </row>
    <row r="2159" spans="1:7" ht="58.5" customHeight="1" x14ac:dyDescent="0.25">
      <c r="A2159" s="5" t="str">
        <f>"H0024374"</f>
        <v>H0024374</v>
      </c>
      <c r="B2159" s="5" t="str">
        <f t="shared" si="109"/>
        <v>CAMA ELECTRICA ADULTOS</v>
      </c>
      <c r="C2159" s="6">
        <v>5746930</v>
      </c>
      <c r="D2159" s="5" t="s">
        <v>36</v>
      </c>
      <c r="E2159" s="5" t="str">
        <f t="shared" si="108"/>
        <v>ACTISALUD-CIRUGIA GENERAL-GUSTAVO GOMEZ</v>
      </c>
      <c r="F2159" s="5"/>
      <c r="G2159" s="5"/>
    </row>
    <row r="2160" spans="1:7" ht="58.5" customHeight="1" x14ac:dyDescent="0.25">
      <c r="A2160" s="5" t="str">
        <f>"H0024382"</f>
        <v>H0024382</v>
      </c>
      <c r="B2160" s="5" t="str">
        <f t="shared" si="109"/>
        <v>CAMA ELECTRICA ADULTOS</v>
      </c>
      <c r="C2160" s="6">
        <v>5746930</v>
      </c>
      <c r="D2160" s="5" t="s">
        <v>36</v>
      </c>
      <c r="E2160" s="5" t="str">
        <f t="shared" si="108"/>
        <v>ACTISALUD-CIRUGIA GENERAL-GUSTAVO GOMEZ</v>
      </c>
      <c r="F2160" s="5"/>
      <c r="G2160" s="5"/>
    </row>
    <row r="2161" spans="1:7" ht="58.5" customHeight="1" x14ac:dyDescent="0.25">
      <c r="A2161" s="5" t="str">
        <f>"H0024385"</f>
        <v>H0024385</v>
      </c>
      <c r="B2161" s="5" t="str">
        <f t="shared" si="109"/>
        <v>CAMA ELECTRICA ADULTOS</v>
      </c>
      <c r="C2161" s="6">
        <v>5746930</v>
      </c>
      <c r="D2161" s="5" t="s">
        <v>36</v>
      </c>
      <c r="E2161" s="5" t="str">
        <f t="shared" si="108"/>
        <v>ACTISALUD-CIRUGIA GENERAL-GUSTAVO GOMEZ</v>
      </c>
      <c r="F2161" s="5"/>
      <c r="G2161" s="5"/>
    </row>
    <row r="2162" spans="1:7" ht="58.5" customHeight="1" x14ac:dyDescent="0.25">
      <c r="A2162" s="5" t="str">
        <f>"H0024388"</f>
        <v>H0024388</v>
      </c>
      <c r="B2162" s="5" t="str">
        <f t="shared" si="109"/>
        <v>CAMA ELECTRICA ADULTOS</v>
      </c>
      <c r="C2162" s="6">
        <v>5746930</v>
      </c>
      <c r="D2162" s="5" t="s">
        <v>36</v>
      </c>
      <c r="E2162" s="5" t="str">
        <f t="shared" si="108"/>
        <v>ACTISALUD-CIRUGIA GENERAL-GUSTAVO GOMEZ</v>
      </c>
      <c r="F2162" s="5"/>
      <c r="G2162" s="5"/>
    </row>
    <row r="2163" spans="1:7" ht="58.5" customHeight="1" x14ac:dyDescent="0.25">
      <c r="A2163" s="5" t="str">
        <f>"H0024389"</f>
        <v>H0024389</v>
      </c>
      <c r="B2163" s="5" t="str">
        <f t="shared" si="109"/>
        <v>CAMA ELECTRICA ADULTOS</v>
      </c>
      <c r="C2163" s="6">
        <v>5746930</v>
      </c>
      <c r="D2163" s="5" t="s">
        <v>36</v>
      </c>
      <c r="E2163" s="5" t="str">
        <f t="shared" si="108"/>
        <v>ACTISALUD-CIRUGIA GENERAL-GUSTAVO GOMEZ</v>
      </c>
      <c r="F2163" s="5"/>
      <c r="G2163" s="5"/>
    </row>
    <row r="2164" spans="1:7" ht="58.5" customHeight="1" x14ac:dyDescent="0.25">
      <c r="A2164" s="5" t="str">
        <f>"H0024390"</f>
        <v>H0024390</v>
      </c>
      <c r="B2164" s="5" t="str">
        <f t="shared" si="109"/>
        <v>CAMA ELECTRICA ADULTOS</v>
      </c>
      <c r="C2164" s="6">
        <v>5746930</v>
      </c>
      <c r="D2164" s="5" t="s">
        <v>36</v>
      </c>
      <c r="E2164" s="5" t="str">
        <f t="shared" si="108"/>
        <v>ACTISALUD-CIRUGIA GENERAL-GUSTAVO GOMEZ</v>
      </c>
      <c r="F2164" s="5"/>
      <c r="G2164" s="5"/>
    </row>
    <row r="2165" spans="1:7" ht="58.5" customHeight="1" x14ac:dyDescent="0.25">
      <c r="A2165" s="5" t="str">
        <f>"H0024392"</f>
        <v>H0024392</v>
      </c>
      <c r="B2165" s="5" t="str">
        <f t="shared" si="109"/>
        <v>CAMA ELECTRICA ADULTOS</v>
      </c>
      <c r="C2165" s="6">
        <v>5746930</v>
      </c>
      <c r="D2165" s="5" t="s">
        <v>36</v>
      </c>
      <c r="E2165" s="5" t="str">
        <f t="shared" si="108"/>
        <v>ACTISALUD-CIRUGIA GENERAL-GUSTAVO GOMEZ</v>
      </c>
      <c r="F2165" s="5"/>
      <c r="G2165" s="5"/>
    </row>
    <row r="2166" spans="1:7" ht="58.5" customHeight="1" x14ac:dyDescent="0.25">
      <c r="A2166" s="5" t="str">
        <f>"H0024395"</f>
        <v>H0024395</v>
      </c>
      <c r="B2166" s="5" t="str">
        <f t="shared" si="109"/>
        <v>CAMA ELECTRICA ADULTOS</v>
      </c>
      <c r="C2166" s="6">
        <v>5746930</v>
      </c>
      <c r="D2166" s="5" t="s">
        <v>36</v>
      </c>
      <c r="E2166" s="5" t="str">
        <f t="shared" si="108"/>
        <v>ACTISALUD-CIRUGIA GENERAL-GUSTAVO GOMEZ</v>
      </c>
      <c r="F2166" s="5"/>
      <c r="G2166" s="5"/>
    </row>
    <row r="2167" spans="1:7" ht="58.5" customHeight="1" x14ac:dyDescent="0.25">
      <c r="A2167" s="5" t="str">
        <f>"H0024396"</f>
        <v>H0024396</v>
      </c>
      <c r="B2167" s="5" t="str">
        <f t="shared" si="109"/>
        <v>CAMA ELECTRICA ADULTOS</v>
      </c>
      <c r="C2167" s="6">
        <v>5746930</v>
      </c>
      <c r="D2167" s="5" t="s">
        <v>36</v>
      </c>
      <c r="E2167" s="5" t="str">
        <f t="shared" si="108"/>
        <v>ACTISALUD-CIRUGIA GENERAL-GUSTAVO GOMEZ</v>
      </c>
      <c r="F2167" s="5"/>
      <c r="G2167" s="5"/>
    </row>
    <row r="2168" spans="1:7" ht="58.5" customHeight="1" x14ac:dyDescent="0.25">
      <c r="A2168" s="5" t="str">
        <f>"H0024397"</f>
        <v>H0024397</v>
      </c>
      <c r="B2168" s="5" t="str">
        <f t="shared" si="109"/>
        <v>CAMA ELECTRICA ADULTOS</v>
      </c>
      <c r="C2168" s="6">
        <v>5746930</v>
      </c>
      <c r="D2168" s="5" t="s">
        <v>36</v>
      </c>
      <c r="E2168" s="5" t="str">
        <f t="shared" si="108"/>
        <v>ACTISALUD-CIRUGIA GENERAL-GUSTAVO GOMEZ</v>
      </c>
      <c r="F2168" s="5"/>
      <c r="G2168" s="5"/>
    </row>
    <row r="2169" spans="1:7" ht="58.5" customHeight="1" x14ac:dyDescent="0.25">
      <c r="A2169" s="5" t="str">
        <f>"H0024398"</f>
        <v>H0024398</v>
      </c>
      <c r="B2169" s="5" t="str">
        <f t="shared" si="109"/>
        <v>CAMA ELECTRICA ADULTOS</v>
      </c>
      <c r="C2169" s="6">
        <v>5746930</v>
      </c>
      <c r="D2169" s="5" t="s">
        <v>36</v>
      </c>
      <c r="E2169" s="5" t="str">
        <f t="shared" si="108"/>
        <v>ACTISALUD-CIRUGIA GENERAL-GUSTAVO GOMEZ</v>
      </c>
      <c r="F2169" s="5"/>
      <c r="G2169" s="5"/>
    </row>
    <row r="2170" spans="1:7" ht="58.5" customHeight="1" x14ac:dyDescent="0.25">
      <c r="A2170" s="5" t="str">
        <f>"H0024516"</f>
        <v>H0024516</v>
      </c>
      <c r="B2170" s="5" t="str">
        <f t="shared" ref="B2170:B2180" si="110">"EQUIPO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170" s="6">
        <v>2600000</v>
      </c>
      <c r="D2170" s="5" t="s">
        <v>36</v>
      </c>
      <c r="E2170" s="5" t="str">
        <f t="shared" si="108"/>
        <v>ACTISALUD-CIRUGIA GENERAL-GUSTAVO GOMEZ</v>
      </c>
      <c r="F2170" s="5"/>
      <c r="G2170" s="5"/>
    </row>
    <row r="2171" spans="1:7" ht="58.5" customHeight="1" x14ac:dyDescent="0.25">
      <c r="A2171" s="5" t="str">
        <f>"H0024523"</f>
        <v>H0024523</v>
      </c>
      <c r="B2171" s="5" t="str">
        <f t="shared" si="110"/>
        <v>EQUIPO DE COMPUTO TODO EN UNO con Procesador Intel core i5 de quinta generación de 2.2 Ghz o superior. Memoria RAM 4 GB DDR3 o DDR4 o superior. 1 disco duro de 500 GB 7200 rpm o superior. Puerto Ether</v>
      </c>
      <c r="C2171" s="6">
        <v>2600000</v>
      </c>
      <c r="D2171" s="5" t="s">
        <v>36</v>
      </c>
      <c r="E2171" s="5" t="str">
        <f t="shared" si="108"/>
        <v>ACTISALUD-CIRUGIA GENERAL-GUSTAVO GOMEZ</v>
      </c>
      <c r="F2171" s="5"/>
      <c r="G2171" s="5"/>
    </row>
    <row r="2172" spans="1:7" ht="58.5" customHeight="1" x14ac:dyDescent="0.25">
      <c r="A2172" s="5" t="str">
        <f>"H0024528"</f>
        <v>H0024528</v>
      </c>
      <c r="B2172" s="5" t="str">
        <f t="shared" si="110"/>
        <v>EQUIPO DE COMPUTO TODO EN UNO con Procesador Intel core i5 de quinta generación de 2.2 Ghz o superior. Memoria RAM 4 GB DDR3 o DDR4 o superior. 1 disco duro de 500 GB 7200 rpm o superior. Puerto Ether</v>
      </c>
      <c r="C2172" s="6">
        <v>2600000</v>
      </c>
      <c r="D2172" s="5" t="s">
        <v>36</v>
      </c>
      <c r="E2172" s="5" t="str">
        <f t="shared" si="108"/>
        <v>ACTISALUD-CIRUGIA GENERAL-GUSTAVO GOMEZ</v>
      </c>
      <c r="F2172" s="5"/>
      <c r="G2172" s="5"/>
    </row>
    <row r="2173" spans="1:7" ht="58.5" customHeight="1" x14ac:dyDescent="0.25">
      <c r="A2173" s="5" t="str">
        <f>"H0024533"</f>
        <v>H0024533</v>
      </c>
      <c r="B2173" s="5" t="str">
        <f t="shared" si="110"/>
        <v>EQUIPO DE COMPUTO TODO EN UNO con Procesador Intel core i5 de quinta generación de 2.2 Ghz o superior. Memoria RAM 4 GB DDR3 o DDR4 o superior. 1 disco duro de 500 GB 7200 rpm o superior. Puerto Ether</v>
      </c>
      <c r="C2173" s="6">
        <v>2600000</v>
      </c>
      <c r="D2173" s="5" t="s">
        <v>36</v>
      </c>
      <c r="E2173" s="5" t="str">
        <f t="shared" si="108"/>
        <v>ACTISALUD-CIRUGIA GENERAL-GUSTAVO GOMEZ</v>
      </c>
      <c r="F2173" s="5"/>
      <c r="G2173" s="5"/>
    </row>
    <row r="2174" spans="1:7" ht="58.5" customHeight="1" x14ac:dyDescent="0.25">
      <c r="A2174" s="5" t="str">
        <f>"H0024539"</f>
        <v>H0024539</v>
      </c>
      <c r="B2174" s="5" t="str">
        <f t="shared" si="110"/>
        <v>EQUIPO DE COMPUTO TODO EN UNO con Procesador Intel core i5 de quinta generación de 2.2 Ghz o superior. Memoria RAM 4 GB DDR3 o DDR4 o superior. 1 disco duro de 500 GB 7200 rpm o superior. Puerto Ether</v>
      </c>
      <c r="C2174" s="6">
        <v>2600000</v>
      </c>
      <c r="D2174" s="5" t="s">
        <v>36</v>
      </c>
      <c r="E2174" s="5" t="str">
        <f t="shared" si="108"/>
        <v>ACTISALUD-CIRUGIA GENERAL-GUSTAVO GOMEZ</v>
      </c>
      <c r="F2174" s="5"/>
      <c r="G2174" s="5"/>
    </row>
    <row r="2175" spans="1:7" ht="58.5" customHeight="1" x14ac:dyDescent="0.25">
      <c r="A2175" s="5" t="str">
        <f>"H0024541"</f>
        <v>H0024541</v>
      </c>
      <c r="B2175" s="5" t="str">
        <f t="shared" si="110"/>
        <v>EQUIPO DE COMPUTO TODO EN UNO con Procesador Intel core i5 de quinta generación de 2.2 Ghz o superior. Memoria RAM 4 GB DDR3 o DDR4 o superior. 1 disco duro de 500 GB 7200 rpm o superior. Puerto Ether</v>
      </c>
      <c r="C2175" s="6">
        <v>2600000</v>
      </c>
      <c r="D2175" s="5" t="s">
        <v>36</v>
      </c>
      <c r="E2175" s="5" t="str">
        <f t="shared" si="108"/>
        <v>ACTISALUD-CIRUGIA GENERAL-GUSTAVO GOMEZ</v>
      </c>
      <c r="F2175" s="5"/>
      <c r="G2175" s="5"/>
    </row>
    <row r="2176" spans="1:7" ht="58.5" customHeight="1" x14ac:dyDescent="0.25">
      <c r="A2176" s="5" t="str">
        <f>"H0024545"</f>
        <v>H0024545</v>
      </c>
      <c r="B2176" s="5" t="str">
        <f t="shared" si="110"/>
        <v>EQUIPO DE COMPUTO TODO EN UNO con Procesador Intel core i5 de quinta generación de 2.2 Ghz o superior. Memoria RAM 4 GB DDR3 o DDR4 o superior. 1 disco duro de 500 GB 7200 rpm o superior. Puerto Ether</v>
      </c>
      <c r="C2176" s="6">
        <v>2600000</v>
      </c>
      <c r="D2176" s="5" t="s">
        <v>36</v>
      </c>
      <c r="E2176" s="5" t="str">
        <f t="shared" si="108"/>
        <v>ACTISALUD-CIRUGIA GENERAL-GUSTAVO GOMEZ</v>
      </c>
      <c r="F2176" s="5"/>
      <c r="G2176" s="5"/>
    </row>
    <row r="2177" spans="1:7" ht="58.5" customHeight="1" x14ac:dyDescent="0.25">
      <c r="A2177" s="5" t="str">
        <f>"H0024548"</f>
        <v>H0024548</v>
      </c>
      <c r="B2177" s="5" t="str">
        <f t="shared" si="110"/>
        <v>EQUIPO DE COMPUTO TODO EN UNO con Procesador Intel core i5 de quinta generación de 2.2 Ghz o superior. Memoria RAM 4 GB DDR3 o DDR4 o superior. 1 disco duro de 500 GB 7200 rpm o superior. Puerto Ether</v>
      </c>
      <c r="C2177" s="6">
        <v>2600000</v>
      </c>
      <c r="D2177" s="5" t="s">
        <v>36</v>
      </c>
      <c r="E2177" s="5" t="str">
        <f t="shared" si="108"/>
        <v>ACTISALUD-CIRUGIA GENERAL-GUSTAVO GOMEZ</v>
      </c>
      <c r="F2177" s="5"/>
      <c r="G2177" s="5"/>
    </row>
    <row r="2178" spans="1:7" ht="58.5" customHeight="1" x14ac:dyDescent="0.25">
      <c r="A2178" s="5" t="str">
        <f>"H0024562"</f>
        <v>H0024562</v>
      </c>
      <c r="B2178" s="5" t="str">
        <f t="shared" si="110"/>
        <v>EQUIPO DE COMPUTO TODO EN UNO con Procesador Intel core i5 de quinta generación de 2.2 Ghz o superior. Memoria RAM 4 GB DDR3 o DDR4 o superior. 1 disco duro de 500 GB 7200 rpm o superior. Puerto Ether</v>
      </c>
      <c r="C2178" s="6">
        <v>2600000</v>
      </c>
      <c r="D2178" s="5" t="s">
        <v>36</v>
      </c>
      <c r="E2178" s="5" t="str">
        <f t="shared" si="108"/>
        <v>ACTISALUD-CIRUGIA GENERAL-GUSTAVO GOMEZ</v>
      </c>
      <c r="F2178" s="5"/>
      <c r="G2178" s="5"/>
    </row>
    <row r="2179" spans="1:7" ht="58.5" customHeight="1" x14ac:dyDescent="0.25">
      <c r="A2179" s="5" t="str">
        <f>"H0024591"</f>
        <v>H0024591</v>
      </c>
      <c r="B2179" s="5" t="str">
        <f t="shared" si="110"/>
        <v>EQUIPO DE COMPUTO TODO EN UNO con Procesador Intel core i5 de quinta generación de 2.2 Ghz o superior. Memoria RAM 4 GB DDR3 o DDR4 o superior. 1 disco duro de 500 GB 7200 rpm o superior. Puerto Ether</v>
      </c>
      <c r="C2179" s="6">
        <v>2600000</v>
      </c>
      <c r="D2179" s="5" t="s">
        <v>36</v>
      </c>
      <c r="E2179" s="5" t="str">
        <f t="shared" si="108"/>
        <v>ACTISALUD-CIRUGIA GENERAL-GUSTAVO GOMEZ</v>
      </c>
      <c r="F2179" s="5"/>
      <c r="G2179" s="5"/>
    </row>
    <row r="2180" spans="1:7" ht="58.5" customHeight="1" x14ac:dyDescent="0.25">
      <c r="A2180" s="5" t="str">
        <f>"H0024610"</f>
        <v>H0024610</v>
      </c>
      <c r="B2180" s="5" t="str">
        <f t="shared" si="110"/>
        <v>EQUIPO DE COMPUTO TODO EN UNO con Procesador Intel core i5 de quinta generación de 2.2 Ghz o superior. Memoria RAM 4 GB DDR3 o DDR4 o superior. 1 disco duro de 500 GB 7200 rpm o superior. Puerto Ether</v>
      </c>
      <c r="C2180" s="6">
        <v>2600000</v>
      </c>
      <c r="D2180" s="5" t="s">
        <v>36</v>
      </c>
      <c r="E2180" s="5" t="str">
        <f t="shared" si="108"/>
        <v>ACTISALUD-CIRUGIA GENERAL-GUSTAVO GOMEZ</v>
      </c>
      <c r="F2180" s="5"/>
      <c r="G2180" s="5"/>
    </row>
    <row r="2181" spans="1:7" ht="58.5" customHeight="1" x14ac:dyDescent="0.25">
      <c r="A2181" s="5" t="str">
        <f>"H0025076"</f>
        <v>H0025076</v>
      </c>
      <c r="B2181" s="5" t="s">
        <v>65</v>
      </c>
      <c r="C2181" s="6">
        <v>115394.48</v>
      </c>
      <c r="D2181" s="5" t="s">
        <v>10</v>
      </c>
      <c r="E2181" s="5" t="str">
        <f t="shared" si="108"/>
        <v>ACTISALUD-CIRUGIA GENERAL-GUSTAVO GOMEZ</v>
      </c>
      <c r="F2181" s="5"/>
      <c r="G2181" s="5"/>
    </row>
    <row r="2182" spans="1:7" ht="58.5" customHeight="1" x14ac:dyDescent="0.25">
      <c r="A2182" s="5" t="str">
        <f>"H0025077"</f>
        <v>H0025077</v>
      </c>
      <c r="B2182" s="5" t="s">
        <v>65</v>
      </c>
      <c r="C2182" s="6">
        <v>115394.48</v>
      </c>
      <c r="D2182" s="5" t="s">
        <v>10</v>
      </c>
      <c r="E2182" s="5" t="str">
        <f t="shared" si="108"/>
        <v>ACTISALUD-CIRUGIA GENERAL-GUSTAVO GOMEZ</v>
      </c>
      <c r="F2182" s="5"/>
      <c r="G2182" s="5"/>
    </row>
    <row r="2183" spans="1:7" ht="58.5" customHeight="1" x14ac:dyDescent="0.25">
      <c r="A2183" s="5" t="str">
        <f>"H0025082"</f>
        <v>H0025082</v>
      </c>
      <c r="B2183" s="5" t="s">
        <v>65</v>
      </c>
      <c r="C2183" s="6">
        <v>115394.48</v>
      </c>
      <c r="D2183" s="5" t="s">
        <v>10</v>
      </c>
      <c r="E2183" s="5" t="str">
        <f t="shared" si="108"/>
        <v>ACTISALUD-CIRUGIA GENERAL-GUSTAVO GOMEZ</v>
      </c>
      <c r="F2183" s="5"/>
      <c r="G2183" s="5"/>
    </row>
    <row r="2184" spans="1:7" ht="58.5" customHeight="1" x14ac:dyDescent="0.25">
      <c r="A2184" s="5" t="str">
        <f>"H0025087"</f>
        <v>H0025087</v>
      </c>
      <c r="B2184" s="5" t="s">
        <v>65</v>
      </c>
      <c r="C2184" s="6">
        <v>115394.48</v>
      </c>
      <c r="D2184" s="5" t="s">
        <v>10</v>
      </c>
      <c r="E2184" s="5" t="str">
        <f t="shared" si="108"/>
        <v>ACTISALUD-CIRUGIA GENERAL-GUSTAVO GOMEZ</v>
      </c>
      <c r="F2184" s="5"/>
      <c r="G2184" s="5"/>
    </row>
    <row r="2185" spans="1:7" ht="58.5" customHeight="1" x14ac:dyDescent="0.25">
      <c r="A2185" s="5" t="str">
        <f>"H0025099"</f>
        <v>H0025099</v>
      </c>
      <c r="B2185" s="5" t="s">
        <v>65</v>
      </c>
      <c r="C2185" s="6">
        <v>115394.48</v>
      </c>
      <c r="D2185" s="5" t="s">
        <v>10</v>
      </c>
      <c r="E2185" s="5" t="str">
        <f t="shared" si="108"/>
        <v>ACTISALUD-CIRUGIA GENERAL-GUSTAVO GOMEZ</v>
      </c>
      <c r="F2185" s="5"/>
      <c r="G2185" s="5"/>
    </row>
    <row r="2186" spans="1:7" ht="58.5" customHeight="1" x14ac:dyDescent="0.25">
      <c r="A2186" s="5" t="str">
        <f>"H0025103"</f>
        <v>H0025103</v>
      </c>
      <c r="B2186" s="5" t="s">
        <v>65</v>
      </c>
      <c r="C2186" s="6">
        <v>115394.48</v>
      </c>
      <c r="D2186" s="5" t="s">
        <v>10</v>
      </c>
      <c r="E2186" s="5" t="str">
        <f t="shared" si="108"/>
        <v>ACTISALUD-CIRUGIA GENERAL-GUSTAVO GOMEZ</v>
      </c>
      <c r="F2186" s="5"/>
      <c r="G2186" s="5"/>
    </row>
    <row r="2187" spans="1:7" ht="58.5" customHeight="1" x14ac:dyDescent="0.25">
      <c r="A2187" s="5" t="str">
        <f>"H0025109"</f>
        <v>H0025109</v>
      </c>
      <c r="B2187" s="5" t="s">
        <v>65</v>
      </c>
      <c r="C2187" s="6">
        <v>115394.48</v>
      </c>
      <c r="D2187" s="5" t="s">
        <v>10</v>
      </c>
      <c r="E2187" s="5" t="str">
        <f t="shared" si="108"/>
        <v>ACTISALUD-CIRUGIA GENERAL-GUSTAVO GOMEZ</v>
      </c>
      <c r="F2187" s="5"/>
      <c r="G2187" s="5"/>
    </row>
    <row r="2188" spans="1:7" ht="58.5" customHeight="1" x14ac:dyDescent="0.25">
      <c r="A2188" s="5" t="str">
        <f>"H0025114"</f>
        <v>H0025114</v>
      </c>
      <c r="B2188" s="5" t="s">
        <v>65</v>
      </c>
      <c r="C2188" s="6">
        <v>115394.48</v>
      </c>
      <c r="D2188" s="5" t="s">
        <v>10</v>
      </c>
      <c r="E2188" s="5" t="str">
        <f t="shared" si="108"/>
        <v>ACTISALUD-CIRUGIA GENERAL-GUSTAVO GOMEZ</v>
      </c>
      <c r="F2188" s="5"/>
      <c r="G2188" s="5"/>
    </row>
    <row r="2189" spans="1:7" ht="58.5" customHeight="1" x14ac:dyDescent="0.25">
      <c r="A2189" s="5" t="str">
        <f>"H0025116"</f>
        <v>H0025116</v>
      </c>
      <c r="B2189" s="5" t="s">
        <v>65</v>
      </c>
      <c r="C2189" s="6">
        <v>115394.48</v>
      </c>
      <c r="D2189" s="5" t="s">
        <v>10</v>
      </c>
      <c r="E2189" s="5" t="str">
        <f t="shared" si="108"/>
        <v>ACTISALUD-CIRUGIA GENERAL-GUSTAVO GOMEZ</v>
      </c>
      <c r="F2189" s="5"/>
      <c r="G2189" s="5"/>
    </row>
    <row r="2190" spans="1:7" ht="58.5" customHeight="1" x14ac:dyDescent="0.25">
      <c r="A2190" s="5" t="str">
        <f>"H0025119"</f>
        <v>H0025119</v>
      </c>
      <c r="B2190" s="5" t="s">
        <v>65</v>
      </c>
      <c r="C2190" s="6">
        <v>115394.48</v>
      </c>
      <c r="D2190" s="5" t="s">
        <v>10</v>
      </c>
      <c r="E2190" s="5" t="str">
        <f t="shared" si="108"/>
        <v>ACTISALUD-CIRUGIA GENERAL-GUSTAVO GOMEZ</v>
      </c>
      <c r="F2190" s="5"/>
      <c r="G2190" s="5"/>
    </row>
    <row r="2191" spans="1:7" ht="58.5" customHeight="1" x14ac:dyDescent="0.25">
      <c r="A2191" s="5" t="str">
        <f>"H0025121"</f>
        <v>H0025121</v>
      </c>
      <c r="B2191" s="5" t="s">
        <v>65</v>
      </c>
      <c r="C2191" s="6">
        <v>115394.48</v>
      </c>
      <c r="D2191" s="5" t="s">
        <v>10</v>
      </c>
      <c r="E2191" s="5" t="str">
        <f t="shared" si="108"/>
        <v>ACTISALUD-CIRUGIA GENERAL-GUSTAVO GOMEZ</v>
      </c>
      <c r="F2191" s="5"/>
      <c r="G2191" s="5"/>
    </row>
    <row r="2192" spans="1:7" ht="58.5" customHeight="1" x14ac:dyDescent="0.25">
      <c r="A2192" s="5" t="str">
        <f>"H0025122"</f>
        <v>H0025122</v>
      </c>
      <c r="B2192" s="5" t="s">
        <v>65</v>
      </c>
      <c r="C2192" s="6">
        <v>115394.48</v>
      </c>
      <c r="D2192" s="5" t="s">
        <v>10</v>
      </c>
      <c r="E2192" s="5" t="str">
        <f t="shared" si="108"/>
        <v>ACTISALUD-CIRUGIA GENERAL-GUSTAVO GOMEZ</v>
      </c>
      <c r="F2192" s="5"/>
      <c r="G2192" s="5"/>
    </row>
    <row r="2193" spans="1:7" ht="58.5" customHeight="1" x14ac:dyDescent="0.25">
      <c r="A2193" s="5" t="str">
        <f>"H0025123"</f>
        <v>H0025123</v>
      </c>
      <c r="B2193" s="5" t="s">
        <v>65</v>
      </c>
      <c r="C2193" s="6">
        <v>115394.48</v>
      </c>
      <c r="D2193" s="5" t="s">
        <v>10</v>
      </c>
      <c r="E2193" s="5" t="str">
        <f t="shared" si="108"/>
        <v>ACTISALUD-CIRUGIA GENERAL-GUSTAVO GOMEZ</v>
      </c>
      <c r="F2193" s="5"/>
      <c r="G2193" s="5"/>
    </row>
    <row r="2194" spans="1:7" ht="58.5" customHeight="1" x14ac:dyDescent="0.25">
      <c r="A2194" s="5" t="str">
        <f>"H0025124"</f>
        <v>H0025124</v>
      </c>
      <c r="B2194" s="5" t="s">
        <v>65</v>
      </c>
      <c r="C2194" s="6">
        <v>115394.48</v>
      </c>
      <c r="D2194" s="5" t="s">
        <v>10</v>
      </c>
      <c r="E2194" s="5" t="str">
        <f t="shared" si="108"/>
        <v>ACTISALUD-CIRUGIA GENERAL-GUSTAVO GOMEZ</v>
      </c>
      <c r="F2194" s="5"/>
      <c r="G2194" s="5"/>
    </row>
    <row r="2195" spans="1:7" ht="58.5" customHeight="1" x14ac:dyDescent="0.25">
      <c r="A2195" s="5" t="str">
        <f>"H0025125"</f>
        <v>H0025125</v>
      </c>
      <c r="B2195" s="5" t="s">
        <v>65</v>
      </c>
      <c r="C2195" s="6">
        <v>115394.48</v>
      </c>
      <c r="D2195" s="5" t="s">
        <v>10</v>
      </c>
      <c r="E2195" s="5" t="str">
        <f t="shared" si="108"/>
        <v>ACTISALUD-CIRUGIA GENERAL-GUSTAVO GOMEZ</v>
      </c>
      <c r="F2195" s="5"/>
      <c r="G2195" s="5"/>
    </row>
    <row r="2196" spans="1:7" ht="58.5" customHeight="1" x14ac:dyDescent="0.25">
      <c r="A2196" s="5" t="str">
        <f>"H0025126"</f>
        <v>H0025126</v>
      </c>
      <c r="B2196" s="5" t="s">
        <v>65</v>
      </c>
      <c r="C2196" s="6">
        <v>115394.48</v>
      </c>
      <c r="D2196" s="5" t="s">
        <v>10</v>
      </c>
      <c r="E2196" s="5" t="str">
        <f t="shared" si="108"/>
        <v>ACTISALUD-CIRUGIA GENERAL-GUSTAVO GOMEZ</v>
      </c>
      <c r="F2196" s="5"/>
      <c r="G2196" s="5"/>
    </row>
    <row r="2197" spans="1:7" ht="58.5" customHeight="1" x14ac:dyDescent="0.25">
      <c r="A2197" s="5" t="str">
        <f>"H0025127"</f>
        <v>H0025127</v>
      </c>
      <c r="B2197" s="5" t="s">
        <v>65</v>
      </c>
      <c r="C2197" s="6">
        <v>115394.48</v>
      </c>
      <c r="D2197" s="5" t="s">
        <v>10</v>
      </c>
      <c r="E2197" s="5" t="str">
        <f t="shared" si="108"/>
        <v>ACTISALUD-CIRUGIA GENERAL-GUSTAVO GOMEZ</v>
      </c>
      <c r="F2197" s="5"/>
      <c r="G2197" s="5"/>
    </row>
    <row r="2198" spans="1:7" ht="58.5" customHeight="1" x14ac:dyDescent="0.25">
      <c r="A2198" s="5" t="str">
        <f>"H0025128"</f>
        <v>H0025128</v>
      </c>
      <c r="B2198" s="5" t="s">
        <v>65</v>
      </c>
      <c r="C2198" s="6">
        <v>115394.48</v>
      </c>
      <c r="D2198" s="5" t="s">
        <v>10</v>
      </c>
      <c r="E2198" s="5" t="str">
        <f t="shared" si="108"/>
        <v>ACTISALUD-CIRUGIA GENERAL-GUSTAVO GOMEZ</v>
      </c>
      <c r="F2198" s="5"/>
      <c r="G2198" s="5"/>
    </row>
    <row r="2199" spans="1:7" ht="58.5" customHeight="1" x14ac:dyDescent="0.25">
      <c r="A2199" s="5" t="str">
        <f>"H0025129"</f>
        <v>H0025129</v>
      </c>
      <c r="B2199" s="5" t="s">
        <v>65</v>
      </c>
      <c r="C2199" s="6">
        <v>115394.48</v>
      </c>
      <c r="D2199" s="5" t="s">
        <v>10</v>
      </c>
      <c r="E2199" s="5" t="str">
        <f t="shared" si="108"/>
        <v>ACTISALUD-CIRUGIA GENERAL-GUSTAVO GOMEZ</v>
      </c>
      <c r="F2199" s="5"/>
      <c r="G2199" s="5"/>
    </row>
    <row r="2200" spans="1:7" ht="58.5" customHeight="1" x14ac:dyDescent="0.25">
      <c r="A2200" s="5" t="str">
        <f>"H0025130"</f>
        <v>H0025130</v>
      </c>
      <c r="B2200" s="5" t="s">
        <v>65</v>
      </c>
      <c r="C2200" s="6">
        <v>115394.48</v>
      </c>
      <c r="D2200" s="5" t="s">
        <v>10</v>
      </c>
      <c r="E2200" s="5" t="str">
        <f t="shared" si="108"/>
        <v>ACTISALUD-CIRUGIA GENERAL-GUSTAVO GOMEZ</v>
      </c>
      <c r="F2200" s="5"/>
      <c r="G2200" s="5"/>
    </row>
    <row r="2201" spans="1:7" ht="58.5" customHeight="1" x14ac:dyDescent="0.25">
      <c r="A2201" s="5" t="str">
        <f>"H0025132"</f>
        <v>H0025132</v>
      </c>
      <c r="B2201" s="5" t="s">
        <v>65</v>
      </c>
      <c r="C2201" s="6">
        <v>115394.48</v>
      </c>
      <c r="D2201" s="5" t="s">
        <v>10</v>
      </c>
      <c r="E2201" s="5" t="str">
        <f t="shared" si="108"/>
        <v>ACTISALUD-CIRUGIA GENERAL-GUSTAVO GOMEZ</v>
      </c>
      <c r="F2201" s="5"/>
      <c r="G2201" s="5"/>
    </row>
    <row r="2202" spans="1:7" ht="58.5" customHeight="1" x14ac:dyDescent="0.25">
      <c r="A2202" s="5" t="str">
        <f>"H0025134"</f>
        <v>H0025134</v>
      </c>
      <c r="B2202" s="5" t="s">
        <v>65</v>
      </c>
      <c r="C2202" s="6">
        <v>115394.48</v>
      </c>
      <c r="D2202" s="5" t="s">
        <v>10</v>
      </c>
      <c r="E2202" s="5" t="str">
        <f t="shared" si="108"/>
        <v>ACTISALUD-CIRUGIA GENERAL-GUSTAVO GOMEZ</v>
      </c>
      <c r="F2202" s="5"/>
      <c r="G2202" s="5"/>
    </row>
    <row r="2203" spans="1:7" ht="58.5" customHeight="1" x14ac:dyDescent="0.25">
      <c r="A2203" s="5" t="str">
        <f>"H0025138"</f>
        <v>H0025138</v>
      </c>
      <c r="B2203" s="5" t="s">
        <v>65</v>
      </c>
      <c r="C2203" s="6">
        <v>115394.48</v>
      </c>
      <c r="D2203" s="5" t="s">
        <v>10</v>
      </c>
      <c r="E2203" s="5" t="str">
        <f t="shared" si="108"/>
        <v>ACTISALUD-CIRUGIA GENERAL-GUSTAVO GOMEZ</v>
      </c>
      <c r="F2203" s="5"/>
      <c r="G2203" s="5"/>
    </row>
    <row r="2204" spans="1:7" ht="58.5" customHeight="1" x14ac:dyDescent="0.25">
      <c r="A2204" s="5" t="str">
        <f>"H0025140"</f>
        <v>H0025140</v>
      </c>
      <c r="B2204" s="5" t="s">
        <v>65</v>
      </c>
      <c r="C2204" s="6">
        <v>115394.48</v>
      </c>
      <c r="D2204" s="5" t="s">
        <v>10</v>
      </c>
      <c r="E2204" s="5" t="str">
        <f t="shared" si="108"/>
        <v>ACTISALUD-CIRUGIA GENERAL-GUSTAVO GOMEZ</v>
      </c>
      <c r="F2204" s="5"/>
      <c r="G2204" s="5"/>
    </row>
    <row r="2205" spans="1:7" ht="58.5" customHeight="1" x14ac:dyDescent="0.25">
      <c r="A2205" s="5" t="str">
        <f>"H0025143"</f>
        <v>H0025143</v>
      </c>
      <c r="B2205" s="5" t="s">
        <v>65</v>
      </c>
      <c r="C2205" s="6">
        <v>115394.48</v>
      </c>
      <c r="D2205" s="5" t="s">
        <v>10</v>
      </c>
      <c r="E2205" s="5" t="str">
        <f t="shared" si="108"/>
        <v>ACTISALUD-CIRUGIA GENERAL-GUSTAVO GOMEZ</v>
      </c>
      <c r="F2205" s="5"/>
      <c r="G2205" s="5"/>
    </row>
    <row r="2206" spans="1:7" ht="58.5" customHeight="1" x14ac:dyDescent="0.25">
      <c r="A2206" s="5" t="str">
        <f>"H0025144"</f>
        <v>H0025144</v>
      </c>
      <c r="B2206" s="5" t="s">
        <v>65</v>
      </c>
      <c r="C2206" s="6">
        <v>115394.48</v>
      </c>
      <c r="D2206" s="5" t="s">
        <v>10</v>
      </c>
      <c r="E2206" s="5" t="str">
        <f t="shared" si="108"/>
        <v>ACTISALUD-CIRUGIA GENERAL-GUSTAVO GOMEZ</v>
      </c>
      <c r="F2206" s="5"/>
      <c r="G2206" s="5"/>
    </row>
    <row r="2207" spans="1:7" ht="58.5" customHeight="1" x14ac:dyDescent="0.25">
      <c r="A2207" s="5" t="str">
        <f>"H0025243"</f>
        <v>H0025243</v>
      </c>
      <c r="B2207" s="5" t="s">
        <v>65</v>
      </c>
      <c r="C2207" s="6">
        <v>115394.48</v>
      </c>
      <c r="D2207" s="5" t="s">
        <v>10</v>
      </c>
      <c r="E2207" s="5" t="str">
        <f t="shared" si="108"/>
        <v>ACTISALUD-CIRUGIA GENERAL-GUSTAVO GOMEZ</v>
      </c>
      <c r="F2207" s="5"/>
      <c r="G2207" s="5"/>
    </row>
    <row r="2208" spans="1:7" ht="58.5" customHeight="1" x14ac:dyDescent="0.25">
      <c r="A2208" s="5" t="str">
        <f>"H0025252"</f>
        <v>H0025252</v>
      </c>
      <c r="B2208" s="5" t="s">
        <v>65</v>
      </c>
      <c r="C2208" s="6">
        <v>115394.48</v>
      </c>
      <c r="D2208" s="5" t="s">
        <v>10</v>
      </c>
      <c r="E2208" s="5" t="str">
        <f t="shared" si="108"/>
        <v>ACTISALUD-CIRUGIA GENERAL-GUSTAVO GOMEZ</v>
      </c>
      <c r="F2208" s="5"/>
      <c r="G2208" s="5"/>
    </row>
    <row r="2209" spans="1:7" ht="58.5" customHeight="1" x14ac:dyDescent="0.25">
      <c r="A2209" s="5" t="str">
        <f>"H0025295"</f>
        <v>H0025295</v>
      </c>
      <c r="B2209" s="5" t="str">
        <f>"NEVERA DE 50 LITROS CONDENSADORA OCULTO"</f>
        <v>NEVERA DE 50 LITROS CONDENSADORA OCULTO</v>
      </c>
      <c r="C2209" s="6">
        <v>418951.4</v>
      </c>
      <c r="D2209" s="5" t="s">
        <v>10</v>
      </c>
      <c r="E2209" s="5" t="str">
        <f t="shared" ref="E2209:E2272" si="111">"ACTISALUD-CIRUGIA GENERAL-GUSTAVO GOMEZ"</f>
        <v>ACTISALUD-CIRUGIA GENERAL-GUSTAVO GOMEZ</v>
      </c>
      <c r="F2209" s="5"/>
      <c r="G2209" s="5"/>
    </row>
    <row r="2210" spans="1:7" ht="58.5" customHeight="1" x14ac:dyDescent="0.25">
      <c r="A2210" s="5" t="str">
        <f>"H0025309"</f>
        <v>H0025309</v>
      </c>
      <c r="B221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210" s="6">
        <v>312156</v>
      </c>
      <c r="D2210" s="5" t="s">
        <v>10</v>
      </c>
      <c r="E2210" s="5" t="str">
        <f t="shared" si="111"/>
        <v>ACTISALUD-CIRUGIA GENERAL-GUSTAVO GOMEZ</v>
      </c>
      <c r="F2210" s="5"/>
      <c r="G2210" s="5"/>
    </row>
    <row r="2211" spans="1:7" ht="58.5" customHeight="1" x14ac:dyDescent="0.25">
      <c r="A2211" s="5" t="str">
        <f>"H0025411"</f>
        <v>H0025411</v>
      </c>
      <c r="B221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211" s="6">
        <v>312156</v>
      </c>
      <c r="D2211" s="5" t="s">
        <v>10</v>
      </c>
      <c r="E2211" s="5" t="str">
        <f t="shared" si="111"/>
        <v>ACTISALUD-CIRUGIA GENERAL-GUSTAVO GOMEZ</v>
      </c>
      <c r="F2211" s="5"/>
      <c r="G2211" s="5"/>
    </row>
    <row r="2212" spans="1:7" ht="58.5" customHeight="1" x14ac:dyDescent="0.25">
      <c r="A2212" s="5" t="str">
        <f>"H0025487"</f>
        <v>H0025487</v>
      </c>
      <c r="B2212" s="5" t="str">
        <f>"COMPUTADOR MARCA LENOVO THINKCENTRE"</f>
        <v>COMPUTADOR MARCA LENOVO THINKCENTRE</v>
      </c>
      <c r="C2212" s="6">
        <v>3597718</v>
      </c>
      <c r="D2212" s="5" t="s">
        <v>9</v>
      </c>
      <c r="E2212" s="5" t="str">
        <f t="shared" si="111"/>
        <v>ACTISALUD-CIRUGIA GENERAL-GUSTAVO GOMEZ</v>
      </c>
      <c r="F2212" s="5"/>
      <c r="G2212" s="5"/>
    </row>
    <row r="2213" spans="1:7" ht="58.5" customHeight="1" x14ac:dyDescent="0.25">
      <c r="A2213" s="5" t="str">
        <f>"H0025543"</f>
        <v>H0025543</v>
      </c>
      <c r="B2213" s="5" t="str">
        <f>"SILLAS AVI/T FORRADAS EN CORDOBÁN COLOR NARANJA"</f>
        <v>SILLAS AVI/T FORRADAS EN CORDOBÁN COLOR NARANJA</v>
      </c>
      <c r="C2213" s="6">
        <v>154700</v>
      </c>
      <c r="D2213" s="5" t="s">
        <v>66</v>
      </c>
      <c r="E2213" s="5" t="str">
        <f t="shared" si="111"/>
        <v>ACTISALUD-CIRUGIA GENERAL-GUSTAVO GOMEZ</v>
      </c>
      <c r="F2213" s="5"/>
      <c r="G2213" s="5"/>
    </row>
    <row r="2214" spans="1:7" ht="58.5" customHeight="1" x14ac:dyDescent="0.25">
      <c r="A2214" s="5" t="str">
        <f>"H0025559"</f>
        <v>H0025559</v>
      </c>
      <c r="B2214" s="5" t="str">
        <f>"SILLA DE RUEDAS"</f>
        <v>SILLA DE RUEDAS</v>
      </c>
      <c r="C2214" s="6">
        <v>600000</v>
      </c>
      <c r="D2214" s="5" t="s">
        <v>149</v>
      </c>
      <c r="E2214" s="5" t="str">
        <f t="shared" si="111"/>
        <v>ACTISALUD-CIRUGIA GENERAL-GUSTAVO GOMEZ</v>
      </c>
      <c r="F2214" s="5"/>
      <c r="G2214" s="5"/>
    </row>
    <row r="2215" spans="1:7" ht="58.5" customHeight="1" x14ac:dyDescent="0.25">
      <c r="A2215" s="5" t="str">
        <f>"H0025560"</f>
        <v>H0025560</v>
      </c>
      <c r="B2215" s="5" t="str">
        <f>"SILLA DE RUEDAS"</f>
        <v>SILLA DE RUEDAS</v>
      </c>
      <c r="C2215" s="6">
        <v>600000</v>
      </c>
      <c r="D2215" s="5" t="s">
        <v>149</v>
      </c>
      <c r="E2215" s="5" t="str">
        <f t="shared" si="111"/>
        <v>ACTISALUD-CIRUGIA GENERAL-GUSTAVO GOMEZ</v>
      </c>
      <c r="F2215" s="5"/>
      <c r="G2215" s="5"/>
    </row>
    <row r="2216" spans="1:7" ht="58.5" customHeight="1" x14ac:dyDescent="0.25">
      <c r="A2216" s="5" t="str">
        <f>"H0025749"</f>
        <v>H0025749</v>
      </c>
      <c r="B2216" s="5" t="str">
        <f>"MONITOR DE SIGNOS VITALES"</f>
        <v>MONITOR DE SIGNOS VITALES</v>
      </c>
      <c r="C2216" s="6">
        <v>3909779.6</v>
      </c>
      <c r="D2216" s="5" t="s">
        <v>241</v>
      </c>
      <c r="E2216" s="5" t="str">
        <f t="shared" si="111"/>
        <v>ACTISALUD-CIRUGIA GENERAL-GUSTAVO GOMEZ</v>
      </c>
      <c r="F2216" s="5"/>
      <c r="G2216" s="5"/>
    </row>
    <row r="2217" spans="1:7" ht="58.5" customHeight="1" x14ac:dyDescent="0.25">
      <c r="A2217" s="5" t="str">
        <f>"H0025909"</f>
        <v>H0025909</v>
      </c>
      <c r="B2217" s="5" t="str">
        <f>"COMPUTADOR TODO EN UNO LENOVO"</f>
        <v>COMPUTADOR TODO EN UNO LENOVO</v>
      </c>
      <c r="C2217" s="6">
        <v>3270230</v>
      </c>
      <c r="D2217" s="5" t="s">
        <v>242</v>
      </c>
      <c r="E2217" s="5" t="str">
        <f t="shared" si="111"/>
        <v>ACTISALUD-CIRUGIA GENERAL-GUSTAVO GOMEZ</v>
      </c>
      <c r="F2217" s="5"/>
      <c r="G2217" s="5"/>
    </row>
    <row r="2218" spans="1:7" ht="58.5" customHeight="1" x14ac:dyDescent="0.25">
      <c r="A2218" s="5" t="str">
        <f>"H0026014"</f>
        <v>H0026014</v>
      </c>
      <c r="B2218" s="5" t="str">
        <f>"SILLA DE RUEDAS"</f>
        <v>SILLA DE RUEDAS</v>
      </c>
      <c r="C2218" s="6">
        <v>280000</v>
      </c>
      <c r="D2218" s="5" t="s">
        <v>77</v>
      </c>
      <c r="E2218" s="5" t="str">
        <f t="shared" si="111"/>
        <v>ACTISALUD-CIRUGIA GENERAL-GUSTAVO GOMEZ</v>
      </c>
      <c r="F2218" s="5"/>
      <c r="G2218" s="5"/>
    </row>
    <row r="2219" spans="1:7" ht="58.5" customHeight="1" x14ac:dyDescent="0.25">
      <c r="A2219" s="5" t="str">
        <f>"H0026036"</f>
        <v>H0026036</v>
      </c>
      <c r="B2219" s="5" t="str">
        <f>"SILLA DE RUEDAS"</f>
        <v>SILLA DE RUEDAS</v>
      </c>
      <c r="C2219" s="6">
        <v>280000</v>
      </c>
      <c r="D2219" s="5" t="s">
        <v>77</v>
      </c>
      <c r="E2219" s="5" t="str">
        <f t="shared" si="111"/>
        <v>ACTISALUD-CIRUGIA GENERAL-GUSTAVO GOMEZ</v>
      </c>
      <c r="F2219" s="5"/>
      <c r="G2219" s="5"/>
    </row>
    <row r="2220" spans="1:7" ht="58.5" customHeight="1" x14ac:dyDescent="0.25">
      <c r="A2220" s="5" t="str">
        <f>"H0026059"</f>
        <v>H0026059</v>
      </c>
      <c r="B2220" s="5" t="str">
        <f>"SILLA DE RUEDAS"</f>
        <v>SILLA DE RUEDAS</v>
      </c>
      <c r="C2220" s="6">
        <v>280000</v>
      </c>
      <c r="D2220" s="5" t="s">
        <v>77</v>
      </c>
      <c r="E2220" s="5" t="str">
        <f t="shared" si="111"/>
        <v>ACTISALUD-CIRUGIA GENERAL-GUSTAVO GOMEZ</v>
      </c>
      <c r="F2220" s="5"/>
      <c r="G2220" s="5"/>
    </row>
    <row r="2221" spans="1:7" ht="58.5" customHeight="1" x14ac:dyDescent="0.25">
      <c r="A2221" s="5" t="str">
        <f>"H0026372"</f>
        <v>H0026372</v>
      </c>
      <c r="B2221" s="5" t="str">
        <f t="shared" ref="B2221:B2250" si="112">"UNIDAD DE LLAMADO DE ENFERMERIA PARA CAMA O BAÑO"</f>
        <v>UNIDAD DE LLAMADO DE ENFERMERIA PARA CAMA O BAÑO</v>
      </c>
      <c r="C2221" s="6">
        <v>131671.12</v>
      </c>
      <c r="D2221" s="5" t="s">
        <v>78</v>
      </c>
      <c r="E2221" s="5" t="str">
        <f t="shared" si="111"/>
        <v>ACTISALUD-CIRUGIA GENERAL-GUSTAVO GOMEZ</v>
      </c>
      <c r="F2221" s="5"/>
      <c r="G2221" s="5"/>
    </row>
    <row r="2222" spans="1:7" ht="58.5" customHeight="1" x14ac:dyDescent="0.25">
      <c r="A2222" s="5" t="str">
        <f>"H0026373"</f>
        <v>H0026373</v>
      </c>
      <c r="B2222" s="5" t="str">
        <f t="shared" si="112"/>
        <v>UNIDAD DE LLAMADO DE ENFERMERIA PARA CAMA O BAÑO</v>
      </c>
      <c r="C2222" s="6">
        <v>131671.12</v>
      </c>
      <c r="D2222" s="5" t="s">
        <v>78</v>
      </c>
      <c r="E2222" s="5" t="str">
        <f t="shared" si="111"/>
        <v>ACTISALUD-CIRUGIA GENERAL-GUSTAVO GOMEZ</v>
      </c>
      <c r="F2222" s="5"/>
      <c r="G2222" s="5"/>
    </row>
    <row r="2223" spans="1:7" ht="58.5" customHeight="1" x14ac:dyDescent="0.25">
      <c r="A2223" s="5" t="str">
        <f>"H0026374"</f>
        <v>H0026374</v>
      </c>
      <c r="B2223" s="5" t="str">
        <f t="shared" si="112"/>
        <v>UNIDAD DE LLAMADO DE ENFERMERIA PARA CAMA O BAÑO</v>
      </c>
      <c r="C2223" s="6">
        <v>131671.12</v>
      </c>
      <c r="D2223" s="5" t="s">
        <v>78</v>
      </c>
      <c r="E2223" s="5" t="str">
        <f t="shared" si="111"/>
        <v>ACTISALUD-CIRUGIA GENERAL-GUSTAVO GOMEZ</v>
      </c>
      <c r="F2223" s="5"/>
      <c r="G2223" s="5"/>
    </row>
    <row r="2224" spans="1:7" ht="58.5" customHeight="1" x14ac:dyDescent="0.25">
      <c r="A2224" s="5" t="str">
        <f>"H0026375"</f>
        <v>H0026375</v>
      </c>
      <c r="B2224" s="5" t="str">
        <f t="shared" si="112"/>
        <v>UNIDAD DE LLAMADO DE ENFERMERIA PARA CAMA O BAÑO</v>
      </c>
      <c r="C2224" s="6">
        <v>131671.12</v>
      </c>
      <c r="D2224" s="5" t="s">
        <v>78</v>
      </c>
      <c r="E2224" s="5" t="str">
        <f t="shared" si="111"/>
        <v>ACTISALUD-CIRUGIA GENERAL-GUSTAVO GOMEZ</v>
      </c>
      <c r="F2224" s="5"/>
      <c r="G2224" s="5"/>
    </row>
    <row r="2225" spans="1:7" ht="58.5" customHeight="1" x14ac:dyDescent="0.25">
      <c r="A2225" s="5" t="str">
        <f>"H0026376"</f>
        <v>H0026376</v>
      </c>
      <c r="B2225" s="5" t="str">
        <f t="shared" si="112"/>
        <v>UNIDAD DE LLAMADO DE ENFERMERIA PARA CAMA O BAÑO</v>
      </c>
      <c r="C2225" s="6">
        <v>131671.12</v>
      </c>
      <c r="D2225" s="5" t="s">
        <v>78</v>
      </c>
      <c r="E2225" s="5" t="str">
        <f t="shared" si="111"/>
        <v>ACTISALUD-CIRUGIA GENERAL-GUSTAVO GOMEZ</v>
      </c>
      <c r="F2225" s="5"/>
      <c r="G2225" s="5"/>
    </row>
    <row r="2226" spans="1:7" ht="58.5" customHeight="1" x14ac:dyDescent="0.25">
      <c r="A2226" s="5" t="str">
        <f>"H0026377"</f>
        <v>H0026377</v>
      </c>
      <c r="B2226" s="5" t="str">
        <f t="shared" si="112"/>
        <v>UNIDAD DE LLAMADO DE ENFERMERIA PARA CAMA O BAÑO</v>
      </c>
      <c r="C2226" s="6">
        <v>131671.12</v>
      </c>
      <c r="D2226" s="5" t="s">
        <v>78</v>
      </c>
      <c r="E2226" s="5" t="str">
        <f t="shared" si="111"/>
        <v>ACTISALUD-CIRUGIA GENERAL-GUSTAVO GOMEZ</v>
      </c>
      <c r="F2226" s="5"/>
      <c r="G2226" s="5"/>
    </row>
    <row r="2227" spans="1:7" ht="58.5" customHeight="1" x14ac:dyDescent="0.25">
      <c r="A2227" s="5" t="str">
        <f>"H0026378"</f>
        <v>H0026378</v>
      </c>
      <c r="B2227" s="5" t="str">
        <f t="shared" si="112"/>
        <v>UNIDAD DE LLAMADO DE ENFERMERIA PARA CAMA O BAÑO</v>
      </c>
      <c r="C2227" s="6">
        <v>131671.12</v>
      </c>
      <c r="D2227" s="5" t="s">
        <v>78</v>
      </c>
      <c r="E2227" s="5" t="str">
        <f t="shared" si="111"/>
        <v>ACTISALUD-CIRUGIA GENERAL-GUSTAVO GOMEZ</v>
      </c>
      <c r="F2227" s="5"/>
      <c r="G2227" s="5"/>
    </row>
    <row r="2228" spans="1:7" ht="58.5" customHeight="1" x14ac:dyDescent="0.25">
      <c r="A2228" s="5" t="str">
        <f>"H0026379"</f>
        <v>H0026379</v>
      </c>
      <c r="B2228" s="5" t="str">
        <f t="shared" si="112"/>
        <v>UNIDAD DE LLAMADO DE ENFERMERIA PARA CAMA O BAÑO</v>
      </c>
      <c r="C2228" s="6">
        <v>131671.12</v>
      </c>
      <c r="D2228" s="5" t="s">
        <v>78</v>
      </c>
      <c r="E2228" s="5" t="str">
        <f t="shared" si="111"/>
        <v>ACTISALUD-CIRUGIA GENERAL-GUSTAVO GOMEZ</v>
      </c>
      <c r="F2228" s="5"/>
      <c r="G2228" s="5"/>
    </row>
    <row r="2229" spans="1:7" ht="58.5" customHeight="1" x14ac:dyDescent="0.25">
      <c r="A2229" s="5" t="str">
        <f>"H0026380"</f>
        <v>H0026380</v>
      </c>
      <c r="B2229" s="5" t="str">
        <f t="shared" si="112"/>
        <v>UNIDAD DE LLAMADO DE ENFERMERIA PARA CAMA O BAÑO</v>
      </c>
      <c r="C2229" s="6">
        <v>131671.12</v>
      </c>
      <c r="D2229" s="5" t="s">
        <v>78</v>
      </c>
      <c r="E2229" s="5" t="str">
        <f t="shared" si="111"/>
        <v>ACTISALUD-CIRUGIA GENERAL-GUSTAVO GOMEZ</v>
      </c>
      <c r="F2229" s="5"/>
      <c r="G2229" s="5"/>
    </row>
    <row r="2230" spans="1:7" ht="58.5" customHeight="1" x14ac:dyDescent="0.25">
      <c r="A2230" s="5" t="str">
        <f>"H0026381"</f>
        <v>H0026381</v>
      </c>
      <c r="B2230" s="5" t="str">
        <f t="shared" si="112"/>
        <v>UNIDAD DE LLAMADO DE ENFERMERIA PARA CAMA O BAÑO</v>
      </c>
      <c r="C2230" s="6">
        <v>131671.12</v>
      </c>
      <c r="D2230" s="5" t="s">
        <v>78</v>
      </c>
      <c r="E2230" s="5" t="str">
        <f t="shared" si="111"/>
        <v>ACTISALUD-CIRUGIA GENERAL-GUSTAVO GOMEZ</v>
      </c>
      <c r="F2230" s="5"/>
      <c r="G2230" s="5"/>
    </row>
    <row r="2231" spans="1:7" ht="58.5" customHeight="1" x14ac:dyDescent="0.25">
      <c r="A2231" s="5" t="str">
        <f>"H0026382"</f>
        <v>H0026382</v>
      </c>
      <c r="B2231" s="5" t="str">
        <f t="shared" si="112"/>
        <v>UNIDAD DE LLAMADO DE ENFERMERIA PARA CAMA O BAÑO</v>
      </c>
      <c r="C2231" s="6">
        <v>131671.12</v>
      </c>
      <c r="D2231" s="5" t="s">
        <v>78</v>
      </c>
      <c r="E2231" s="5" t="str">
        <f t="shared" si="111"/>
        <v>ACTISALUD-CIRUGIA GENERAL-GUSTAVO GOMEZ</v>
      </c>
      <c r="F2231" s="5"/>
      <c r="G2231" s="5"/>
    </row>
    <row r="2232" spans="1:7" ht="58.5" customHeight="1" x14ac:dyDescent="0.25">
      <c r="A2232" s="5" t="str">
        <f>"H0026383"</f>
        <v>H0026383</v>
      </c>
      <c r="B2232" s="5" t="str">
        <f t="shared" si="112"/>
        <v>UNIDAD DE LLAMADO DE ENFERMERIA PARA CAMA O BAÑO</v>
      </c>
      <c r="C2232" s="6">
        <v>131671.12</v>
      </c>
      <c r="D2232" s="5" t="s">
        <v>78</v>
      </c>
      <c r="E2232" s="5" t="str">
        <f t="shared" si="111"/>
        <v>ACTISALUD-CIRUGIA GENERAL-GUSTAVO GOMEZ</v>
      </c>
      <c r="F2232" s="5"/>
      <c r="G2232" s="5"/>
    </row>
    <row r="2233" spans="1:7" ht="58.5" customHeight="1" x14ac:dyDescent="0.25">
      <c r="A2233" s="5" t="str">
        <f>"H0026384"</f>
        <v>H0026384</v>
      </c>
      <c r="B2233" s="5" t="str">
        <f t="shared" si="112"/>
        <v>UNIDAD DE LLAMADO DE ENFERMERIA PARA CAMA O BAÑO</v>
      </c>
      <c r="C2233" s="6">
        <v>131671.12</v>
      </c>
      <c r="D2233" s="5" t="s">
        <v>78</v>
      </c>
      <c r="E2233" s="5" t="str">
        <f t="shared" si="111"/>
        <v>ACTISALUD-CIRUGIA GENERAL-GUSTAVO GOMEZ</v>
      </c>
      <c r="F2233" s="5"/>
      <c r="G2233" s="5"/>
    </row>
    <row r="2234" spans="1:7" ht="58.5" customHeight="1" x14ac:dyDescent="0.25">
      <c r="A2234" s="5" t="str">
        <f>"H0026385"</f>
        <v>H0026385</v>
      </c>
      <c r="B2234" s="5" t="str">
        <f t="shared" si="112"/>
        <v>UNIDAD DE LLAMADO DE ENFERMERIA PARA CAMA O BAÑO</v>
      </c>
      <c r="C2234" s="6">
        <v>131671.12</v>
      </c>
      <c r="D2234" s="5" t="s">
        <v>78</v>
      </c>
      <c r="E2234" s="5" t="str">
        <f t="shared" si="111"/>
        <v>ACTISALUD-CIRUGIA GENERAL-GUSTAVO GOMEZ</v>
      </c>
      <c r="F2234" s="5"/>
      <c r="G2234" s="5"/>
    </row>
    <row r="2235" spans="1:7" ht="58.5" customHeight="1" x14ac:dyDescent="0.25">
      <c r="A2235" s="5" t="str">
        <f>"H0026387"</f>
        <v>H0026387</v>
      </c>
      <c r="B2235" s="5" t="str">
        <f t="shared" si="112"/>
        <v>UNIDAD DE LLAMADO DE ENFERMERIA PARA CAMA O BAÑO</v>
      </c>
      <c r="C2235" s="6">
        <v>131671.12</v>
      </c>
      <c r="D2235" s="5" t="s">
        <v>78</v>
      </c>
      <c r="E2235" s="5" t="str">
        <f t="shared" si="111"/>
        <v>ACTISALUD-CIRUGIA GENERAL-GUSTAVO GOMEZ</v>
      </c>
      <c r="F2235" s="5"/>
      <c r="G2235" s="5"/>
    </row>
    <row r="2236" spans="1:7" ht="58.5" customHeight="1" x14ac:dyDescent="0.25">
      <c r="A2236" s="5" t="str">
        <f>"H0026388"</f>
        <v>H0026388</v>
      </c>
      <c r="B2236" s="5" t="str">
        <f t="shared" si="112"/>
        <v>UNIDAD DE LLAMADO DE ENFERMERIA PARA CAMA O BAÑO</v>
      </c>
      <c r="C2236" s="6">
        <v>131671.12</v>
      </c>
      <c r="D2236" s="5" t="s">
        <v>78</v>
      </c>
      <c r="E2236" s="5" t="str">
        <f t="shared" si="111"/>
        <v>ACTISALUD-CIRUGIA GENERAL-GUSTAVO GOMEZ</v>
      </c>
      <c r="F2236" s="5"/>
      <c r="G2236" s="5"/>
    </row>
    <row r="2237" spans="1:7" ht="58.5" customHeight="1" x14ac:dyDescent="0.25">
      <c r="A2237" s="5" t="str">
        <f>"H0026389"</f>
        <v>H0026389</v>
      </c>
      <c r="B2237" s="5" t="str">
        <f t="shared" si="112"/>
        <v>UNIDAD DE LLAMADO DE ENFERMERIA PARA CAMA O BAÑO</v>
      </c>
      <c r="C2237" s="6">
        <v>131671.12</v>
      </c>
      <c r="D2237" s="5" t="s">
        <v>78</v>
      </c>
      <c r="E2237" s="5" t="str">
        <f t="shared" si="111"/>
        <v>ACTISALUD-CIRUGIA GENERAL-GUSTAVO GOMEZ</v>
      </c>
      <c r="F2237" s="5"/>
      <c r="G2237" s="5"/>
    </row>
    <row r="2238" spans="1:7" ht="58.5" customHeight="1" x14ac:dyDescent="0.25">
      <c r="A2238" s="5" t="str">
        <f>"H0026390"</f>
        <v>H0026390</v>
      </c>
      <c r="B2238" s="5" t="str">
        <f t="shared" si="112"/>
        <v>UNIDAD DE LLAMADO DE ENFERMERIA PARA CAMA O BAÑO</v>
      </c>
      <c r="C2238" s="6">
        <v>131671.12</v>
      </c>
      <c r="D2238" s="5" t="s">
        <v>78</v>
      </c>
      <c r="E2238" s="5" t="str">
        <f t="shared" si="111"/>
        <v>ACTISALUD-CIRUGIA GENERAL-GUSTAVO GOMEZ</v>
      </c>
      <c r="F2238" s="5"/>
      <c r="G2238" s="5"/>
    </row>
    <row r="2239" spans="1:7" ht="58.5" customHeight="1" x14ac:dyDescent="0.25">
      <c r="A2239" s="5" t="str">
        <f>"H0026391"</f>
        <v>H0026391</v>
      </c>
      <c r="B2239" s="5" t="str">
        <f t="shared" si="112"/>
        <v>UNIDAD DE LLAMADO DE ENFERMERIA PARA CAMA O BAÑO</v>
      </c>
      <c r="C2239" s="6">
        <v>131671.12</v>
      </c>
      <c r="D2239" s="5" t="s">
        <v>78</v>
      </c>
      <c r="E2239" s="5" t="str">
        <f t="shared" si="111"/>
        <v>ACTISALUD-CIRUGIA GENERAL-GUSTAVO GOMEZ</v>
      </c>
      <c r="F2239" s="5"/>
      <c r="G2239" s="5"/>
    </row>
    <row r="2240" spans="1:7" ht="58.5" customHeight="1" x14ac:dyDescent="0.25">
      <c r="A2240" s="5" t="str">
        <f>"H0026394"</f>
        <v>H0026394</v>
      </c>
      <c r="B2240" s="5" t="str">
        <f t="shared" si="112"/>
        <v>UNIDAD DE LLAMADO DE ENFERMERIA PARA CAMA O BAÑO</v>
      </c>
      <c r="C2240" s="6">
        <v>131671.12</v>
      </c>
      <c r="D2240" s="5" t="s">
        <v>78</v>
      </c>
      <c r="E2240" s="5" t="str">
        <f t="shared" si="111"/>
        <v>ACTISALUD-CIRUGIA GENERAL-GUSTAVO GOMEZ</v>
      </c>
      <c r="F2240" s="5"/>
      <c r="G2240" s="5"/>
    </row>
    <row r="2241" spans="1:7" ht="58.5" customHeight="1" x14ac:dyDescent="0.25">
      <c r="A2241" s="5" t="str">
        <f>"H0026395"</f>
        <v>H0026395</v>
      </c>
      <c r="B2241" s="5" t="str">
        <f t="shared" si="112"/>
        <v>UNIDAD DE LLAMADO DE ENFERMERIA PARA CAMA O BAÑO</v>
      </c>
      <c r="C2241" s="6">
        <v>131671.12</v>
      </c>
      <c r="D2241" s="5" t="s">
        <v>78</v>
      </c>
      <c r="E2241" s="5" t="str">
        <f t="shared" si="111"/>
        <v>ACTISALUD-CIRUGIA GENERAL-GUSTAVO GOMEZ</v>
      </c>
      <c r="F2241" s="5"/>
      <c r="G2241" s="5"/>
    </row>
    <row r="2242" spans="1:7" ht="58.5" customHeight="1" x14ac:dyDescent="0.25">
      <c r="A2242" s="5" t="str">
        <f>"H0026396"</f>
        <v>H0026396</v>
      </c>
      <c r="B2242" s="5" t="str">
        <f t="shared" si="112"/>
        <v>UNIDAD DE LLAMADO DE ENFERMERIA PARA CAMA O BAÑO</v>
      </c>
      <c r="C2242" s="6">
        <v>131671.12</v>
      </c>
      <c r="D2242" s="5" t="s">
        <v>78</v>
      </c>
      <c r="E2242" s="5" t="str">
        <f t="shared" si="111"/>
        <v>ACTISALUD-CIRUGIA GENERAL-GUSTAVO GOMEZ</v>
      </c>
      <c r="F2242" s="5"/>
      <c r="G2242" s="5"/>
    </row>
    <row r="2243" spans="1:7" ht="58.5" customHeight="1" x14ac:dyDescent="0.25">
      <c r="A2243" s="5" t="str">
        <f>"H0026397"</f>
        <v>H0026397</v>
      </c>
      <c r="B2243" s="5" t="str">
        <f t="shared" si="112"/>
        <v>UNIDAD DE LLAMADO DE ENFERMERIA PARA CAMA O BAÑO</v>
      </c>
      <c r="C2243" s="6">
        <v>131671.12</v>
      </c>
      <c r="D2243" s="5" t="s">
        <v>78</v>
      </c>
      <c r="E2243" s="5" t="str">
        <f t="shared" si="111"/>
        <v>ACTISALUD-CIRUGIA GENERAL-GUSTAVO GOMEZ</v>
      </c>
      <c r="F2243" s="5"/>
      <c r="G2243" s="5"/>
    </row>
    <row r="2244" spans="1:7" ht="58.5" customHeight="1" x14ac:dyDescent="0.25">
      <c r="A2244" s="5" t="str">
        <f>"H0026398"</f>
        <v>H0026398</v>
      </c>
      <c r="B2244" s="5" t="str">
        <f t="shared" si="112"/>
        <v>UNIDAD DE LLAMADO DE ENFERMERIA PARA CAMA O BAÑO</v>
      </c>
      <c r="C2244" s="6">
        <v>131671.12</v>
      </c>
      <c r="D2244" s="5" t="s">
        <v>78</v>
      </c>
      <c r="E2244" s="5" t="str">
        <f t="shared" si="111"/>
        <v>ACTISALUD-CIRUGIA GENERAL-GUSTAVO GOMEZ</v>
      </c>
      <c r="F2244" s="5"/>
      <c r="G2244" s="5"/>
    </row>
    <row r="2245" spans="1:7" ht="58.5" customHeight="1" x14ac:dyDescent="0.25">
      <c r="A2245" s="5" t="str">
        <f>"H0026399"</f>
        <v>H0026399</v>
      </c>
      <c r="B2245" s="5" t="str">
        <f t="shared" si="112"/>
        <v>UNIDAD DE LLAMADO DE ENFERMERIA PARA CAMA O BAÑO</v>
      </c>
      <c r="C2245" s="6">
        <v>131671.12</v>
      </c>
      <c r="D2245" s="5" t="s">
        <v>78</v>
      </c>
      <c r="E2245" s="5" t="str">
        <f t="shared" si="111"/>
        <v>ACTISALUD-CIRUGIA GENERAL-GUSTAVO GOMEZ</v>
      </c>
      <c r="F2245" s="5"/>
      <c r="G2245" s="5"/>
    </row>
    <row r="2246" spans="1:7" ht="58.5" customHeight="1" x14ac:dyDescent="0.25">
      <c r="A2246" s="5" t="str">
        <f>"H0026400"</f>
        <v>H0026400</v>
      </c>
      <c r="B2246" s="5" t="str">
        <f t="shared" si="112"/>
        <v>UNIDAD DE LLAMADO DE ENFERMERIA PARA CAMA O BAÑO</v>
      </c>
      <c r="C2246" s="6">
        <v>131671.12</v>
      </c>
      <c r="D2246" s="5" t="s">
        <v>78</v>
      </c>
      <c r="E2246" s="5" t="str">
        <f t="shared" si="111"/>
        <v>ACTISALUD-CIRUGIA GENERAL-GUSTAVO GOMEZ</v>
      </c>
      <c r="F2246" s="5"/>
      <c r="G2246" s="5"/>
    </row>
    <row r="2247" spans="1:7" ht="58.5" customHeight="1" x14ac:dyDescent="0.25">
      <c r="A2247" s="5" t="str">
        <f>"H0026401"</f>
        <v>H0026401</v>
      </c>
      <c r="B2247" s="5" t="str">
        <f t="shared" si="112"/>
        <v>UNIDAD DE LLAMADO DE ENFERMERIA PARA CAMA O BAÑO</v>
      </c>
      <c r="C2247" s="6">
        <v>131671.12</v>
      </c>
      <c r="D2247" s="5" t="s">
        <v>78</v>
      </c>
      <c r="E2247" s="5" t="str">
        <f t="shared" si="111"/>
        <v>ACTISALUD-CIRUGIA GENERAL-GUSTAVO GOMEZ</v>
      </c>
      <c r="F2247" s="5"/>
      <c r="G2247" s="5"/>
    </row>
    <row r="2248" spans="1:7" ht="58.5" customHeight="1" x14ac:dyDescent="0.25">
      <c r="A2248" s="5" t="str">
        <f>"H0026402"</f>
        <v>H0026402</v>
      </c>
      <c r="B2248" s="5" t="str">
        <f t="shared" si="112"/>
        <v>UNIDAD DE LLAMADO DE ENFERMERIA PARA CAMA O BAÑO</v>
      </c>
      <c r="C2248" s="6">
        <v>131671.12</v>
      </c>
      <c r="D2248" s="5" t="s">
        <v>78</v>
      </c>
      <c r="E2248" s="5" t="str">
        <f t="shared" si="111"/>
        <v>ACTISALUD-CIRUGIA GENERAL-GUSTAVO GOMEZ</v>
      </c>
      <c r="F2248" s="5"/>
      <c r="G2248" s="5"/>
    </row>
    <row r="2249" spans="1:7" ht="58.5" customHeight="1" x14ac:dyDescent="0.25">
      <c r="A2249" s="5" t="str">
        <f>"H0026403"</f>
        <v>H0026403</v>
      </c>
      <c r="B2249" s="5" t="str">
        <f t="shared" si="112"/>
        <v>UNIDAD DE LLAMADO DE ENFERMERIA PARA CAMA O BAÑO</v>
      </c>
      <c r="C2249" s="6">
        <v>131671.12</v>
      </c>
      <c r="D2249" s="5" t="s">
        <v>78</v>
      </c>
      <c r="E2249" s="5" t="str">
        <f t="shared" si="111"/>
        <v>ACTISALUD-CIRUGIA GENERAL-GUSTAVO GOMEZ</v>
      </c>
      <c r="F2249" s="5"/>
      <c r="G2249" s="5"/>
    </row>
    <row r="2250" spans="1:7" ht="58.5" customHeight="1" x14ac:dyDescent="0.25">
      <c r="A2250" s="5" t="str">
        <f>"H0026407"</f>
        <v>H0026407</v>
      </c>
      <c r="B2250" s="5" t="str">
        <f t="shared" si="112"/>
        <v>UNIDAD DE LLAMADO DE ENFERMERIA PARA CAMA O BAÑO</v>
      </c>
      <c r="C2250" s="6">
        <v>131671.12</v>
      </c>
      <c r="D2250" s="5" t="s">
        <v>78</v>
      </c>
      <c r="E2250" s="5" t="str">
        <f t="shared" si="111"/>
        <v>ACTISALUD-CIRUGIA GENERAL-GUSTAVO GOMEZ</v>
      </c>
      <c r="F2250" s="5"/>
      <c r="G2250" s="5"/>
    </row>
    <row r="2251" spans="1:7" ht="58.5" customHeight="1" x14ac:dyDescent="0.25">
      <c r="A2251" s="5" t="str">
        <f>"H0026731"</f>
        <v>H0026731</v>
      </c>
      <c r="B2251" s="5" t="str">
        <f t="shared" ref="B2251:B2258" si="113">"LAMPARA DE PASILLO DE LLAMADO DE ENFERMERIA"</f>
        <v>LAMPARA DE PASILLO DE LLAMADO DE ENFERMERIA</v>
      </c>
      <c r="C2251" s="6">
        <v>523510.75</v>
      </c>
      <c r="D2251" s="5" t="s">
        <v>78</v>
      </c>
      <c r="E2251" s="5" t="str">
        <f t="shared" si="111"/>
        <v>ACTISALUD-CIRUGIA GENERAL-GUSTAVO GOMEZ</v>
      </c>
      <c r="F2251" s="5"/>
      <c r="G2251" s="5"/>
    </row>
    <row r="2252" spans="1:7" ht="58.5" customHeight="1" x14ac:dyDescent="0.25">
      <c r="A2252" s="5" t="str">
        <f>"H0026732"</f>
        <v>H0026732</v>
      </c>
      <c r="B2252" s="5" t="str">
        <f t="shared" si="113"/>
        <v>LAMPARA DE PASILLO DE LLAMADO DE ENFERMERIA</v>
      </c>
      <c r="C2252" s="6">
        <v>523510.75</v>
      </c>
      <c r="D2252" s="5" t="s">
        <v>78</v>
      </c>
      <c r="E2252" s="5" t="str">
        <f t="shared" si="111"/>
        <v>ACTISALUD-CIRUGIA GENERAL-GUSTAVO GOMEZ</v>
      </c>
      <c r="F2252" s="5"/>
      <c r="G2252" s="5"/>
    </row>
    <row r="2253" spans="1:7" ht="58.5" customHeight="1" x14ac:dyDescent="0.25">
      <c r="A2253" s="5" t="str">
        <f>"H0026733"</f>
        <v>H0026733</v>
      </c>
      <c r="B2253" s="5" t="str">
        <f t="shared" si="113"/>
        <v>LAMPARA DE PASILLO DE LLAMADO DE ENFERMERIA</v>
      </c>
      <c r="C2253" s="6">
        <v>523510.75</v>
      </c>
      <c r="D2253" s="5" t="s">
        <v>78</v>
      </c>
      <c r="E2253" s="5" t="str">
        <f t="shared" si="111"/>
        <v>ACTISALUD-CIRUGIA GENERAL-GUSTAVO GOMEZ</v>
      </c>
      <c r="F2253" s="5"/>
      <c r="G2253" s="5"/>
    </row>
    <row r="2254" spans="1:7" ht="58.5" customHeight="1" x14ac:dyDescent="0.25">
      <c r="A2254" s="5" t="str">
        <f>"H0026734"</f>
        <v>H0026734</v>
      </c>
      <c r="B2254" s="5" t="str">
        <f t="shared" si="113"/>
        <v>LAMPARA DE PASILLO DE LLAMADO DE ENFERMERIA</v>
      </c>
      <c r="C2254" s="6">
        <v>523510.75</v>
      </c>
      <c r="D2254" s="5" t="s">
        <v>78</v>
      </c>
      <c r="E2254" s="5" t="str">
        <f t="shared" si="111"/>
        <v>ACTISALUD-CIRUGIA GENERAL-GUSTAVO GOMEZ</v>
      </c>
      <c r="F2254" s="5"/>
      <c r="G2254" s="5"/>
    </row>
    <row r="2255" spans="1:7" ht="58.5" customHeight="1" x14ac:dyDescent="0.25">
      <c r="A2255" s="5" t="str">
        <f>"H0026735"</f>
        <v>H0026735</v>
      </c>
      <c r="B2255" s="5" t="str">
        <f t="shared" si="113"/>
        <v>LAMPARA DE PASILLO DE LLAMADO DE ENFERMERIA</v>
      </c>
      <c r="C2255" s="6">
        <v>523510.75</v>
      </c>
      <c r="D2255" s="5" t="s">
        <v>78</v>
      </c>
      <c r="E2255" s="5" t="str">
        <f t="shared" si="111"/>
        <v>ACTISALUD-CIRUGIA GENERAL-GUSTAVO GOMEZ</v>
      </c>
      <c r="F2255" s="5"/>
      <c r="G2255" s="5"/>
    </row>
    <row r="2256" spans="1:7" ht="58.5" customHeight="1" x14ac:dyDescent="0.25">
      <c r="A2256" s="5" t="str">
        <f>"H0026736"</f>
        <v>H0026736</v>
      </c>
      <c r="B2256" s="5" t="str">
        <f t="shared" si="113"/>
        <v>LAMPARA DE PASILLO DE LLAMADO DE ENFERMERIA</v>
      </c>
      <c r="C2256" s="6">
        <v>523510.75</v>
      </c>
      <c r="D2256" s="5" t="s">
        <v>243</v>
      </c>
      <c r="E2256" s="5" t="str">
        <f t="shared" si="111"/>
        <v>ACTISALUD-CIRUGIA GENERAL-GUSTAVO GOMEZ</v>
      </c>
      <c r="F2256" s="5"/>
      <c r="G2256" s="5"/>
    </row>
    <row r="2257" spans="1:7" ht="58.5" customHeight="1" x14ac:dyDescent="0.25">
      <c r="A2257" s="5" t="str">
        <f>"H0026737"</f>
        <v>H0026737</v>
      </c>
      <c r="B2257" s="5" t="str">
        <f t="shared" si="113"/>
        <v>LAMPARA DE PASILLO DE LLAMADO DE ENFERMERIA</v>
      </c>
      <c r="C2257" s="6">
        <v>523510.75</v>
      </c>
      <c r="D2257" s="5" t="s">
        <v>78</v>
      </c>
      <c r="E2257" s="5" t="str">
        <f t="shared" si="111"/>
        <v>ACTISALUD-CIRUGIA GENERAL-GUSTAVO GOMEZ</v>
      </c>
      <c r="F2257" s="5"/>
      <c r="G2257" s="5"/>
    </row>
    <row r="2258" spans="1:7" ht="58.5" customHeight="1" x14ac:dyDescent="0.25">
      <c r="A2258" s="5" t="str">
        <f>"H0026738"</f>
        <v>H0026738</v>
      </c>
      <c r="B2258" s="5" t="str">
        <f t="shared" si="113"/>
        <v>LAMPARA DE PASILLO DE LLAMADO DE ENFERMERIA</v>
      </c>
      <c r="C2258" s="6">
        <v>523510.75</v>
      </c>
      <c r="D2258" s="5" t="s">
        <v>78</v>
      </c>
      <c r="E2258" s="5" t="str">
        <f t="shared" si="111"/>
        <v>ACTISALUD-CIRUGIA GENERAL-GUSTAVO GOMEZ</v>
      </c>
      <c r="F2258" s="5"/>
      <c r="G2258" s="5"/>
    </row>
    <row r="2259" spans="1:7" ht="58.5" customHeight="1" x14ac:dyDescent="0.25">
      <c r="A2259" s="5" t="str">
        <f>"H0026767"</f>
        <v>H0026767</v>
      </c>
      <c r="B2259" s="5" t="str">
        <f>"PANTALLA LLAMADO DE ENFERMERAS 2 FILAS (PANTALLA LED 40X20 cm)"</f>
        <v>PANTALLA LLAMADO DE ENFERMERAS 2 FILAS (PANTALLA LED 40X20 cm)</v>
      </c>
      <c r="C2259" s="6">
        <v>3965980.8</v>
      </c>
      <c r="D2259" s="5" t="s">
        <v>78</v>
      </c>
      <c r="E2259" s="5" t="str">
        <f t="shared" si="111"/>
        <v>ACTISALUD-CIRUGIA GENERAL-GUSTAVO GOMEZ</v>
      </c>
      <c r="F2259" s="5"/>
      <c r="G2259" s="5"/>
    </row>
    <row r="2260" spans="1:7" ht="58.5" customHeight="1" x14ac:dyDescent="0.25">
      <c r="A2260" s="5" t="str">
        <f>"H0026831"</f>
        <v>H0026831</v>
      </c>
      <c r="B2260" s="5" t="str">
        <f>"BOMBA DE INFUSION"</f>
        <v>BOMBA DE INFUSION</v>
      </c>
      <c r="C2260" s="6">
        <v>800000</v>
      </c>
      <c r="D2260" s="5" t="s">
        <v>79</v>
      </c>
      <c r="E2260" s="5" t="str">
        <f t="shared" si="111"/>
        <v>ACTISALUD-CIRUGIA GENERAL-GUSTAVO GOMEZ</v>
      </c>
      <c r="F2260" s="5"/>
      <c r="G2260" s="5" t="str">
        <f>"HK100 II"</f>
        <v>HK100 II</v>
      </c>
    </row>
    <row r="2261" spans="1:7" ht="58.5" customHeight="1" x14ac:dyDescent="0.25">
      <c r="A2261" s="5" t="str">
        <f>"H0027017"</f>
        <v>H0027017</v>
      </c>
      <c r="B2261" s="5" t="str">
        <f>"BASE PARA MONITOR DE SIGNOS VITALES"</f>
        <v>BASE PARA MONITOR DE SIGNOS VITALES</v>
      </c>
      <c r="C2261" s="6">
        <v>809200</v>
      </c>
      <c r="D2261" s="5" t="s">
        <v>80</v>
      </c>
      <c r="E2261" s="5" t="str">
        <f t="shared" si="111"/>
        <v>ACTISALUD-CIRUGIA GENERAL-GUSTAVO GOMEZ</v>
      </c>
      <c r="F2261" s="5"/>
      <c r="G2261" s="5"/>
    </row>
    <row r="2262" spans="1:7" ht="58.5" customHeight="1" x14ac:dyDescent="0.25">
      <c r="A2262" s="5" t="str">
        <f>"H0027133"</f>
        <v>H0027133</v>
      </c>
      <c r="B2262" s="5" t="str">
        <f>"BASE PARA MONITOR DE SIGNOS VITALES"</f>
        <v>BASE PARA MONITOR DE SIGNOS VITALES</v>
      </c>
      <c r="C2262" s="6">
        <v>809200</v>
      </c>
      <c r="D2262" s="5" t="s">
        <v>244</v>
      </c>
      <c r="E2262" s="5" t="str">
        <f t="shared" si="111"/>
        <v>ACTISALUD-CIRUGIA GENERAL-GUSTAVO GOMEZ</v>
      </c>
      <c r="F2262" s="5"/>
      <c r="G2262" s="5"/>
    </row>
    <row r="2263" spans="1:7" ht="58.5" customHeight="1" x14ac:dyDescent="0.25">
      <c r="A2263" s="5" t="str">
        <f>"H0027146"</f>
        <v>H0027146</v>
      </c>
      <c r="B2263" s="5" t="str">
        <f>"MONITOR DE SIGNOS VITALES"</f>
        <v>MONITOR DE SIGNOS VITALES</v>
      </c>
      <c r="C2263" s="6">
        <v>3680000.05</v>
      </c>
      <c r="D2263" s="5" t="s">
        <v>82</v>
      </c>
      <c r="E2263" s="5" t="str">
        <f t="shared" si="111"/>
        <v>ACTISALUD-CIRUGIA GENERAL-GUSTAVO GOMEZ</v>
      </c>
      <c r="F2263" s="5"/>
      <c r="G2263" s="5"/>
    </row>
    <row r="2264" spans="1:7" ht="58.5" customHeight="1" x14ac:dyDescent="0.25">
      <c r="A2264" s="5" t="str">
        <f>"H0027346"</f>
        <v>H0027346</v>
      </c>
      <c r="B2264" s="5" t="str">
        <f>"DESFRIBILADOR"</f>
        <v>DESFRIBILADOR</v>
      </c>
      <c r="C2264" s="6">
        <v>15300000.140000001</v>
      </c>
      <c r="D2264" s="5" t="s">
        <v>151</v>
      </c>
      <c r="E2264" s="5" t="str">
        <f t="shared" si="111"/>
        <v>ACTISALUD-CIRUGIA GENERAL-GUSTAVO GOMEZ</v>
      </c>
      <c r="F2264" s="5"/>
      <c r="G2264" s="5" t="str">
        <f>"BENEHEART  D3"</f>
        <v>BENEHEART  D3</v>
      </c>
    </row>
    <row r="2265" spans="1:7" ht="58.5" customHeight="1" x14ac:dyDescent="0.25">
      <c r="A2265" s="5" t="str">
        <f>"H0027362"</f>
        <v>H0027362</v>
      </c>
      <c r="B2265" s="5" t="str">
        <f t="shared" ref="B2265:B2274" si="114">"LECTOR DE HUELLAS DIGITALES"</f>
        <v>LECTOR DE HUELLAS DIGITALES</v>
      </c>
      <c r="C2265" s="6">
        <v>234000.41</v>
      </c>
      <c r="D2265" s="5" t="s">
        <v>83</v>
      </c>
      <c r="E2265" s="5" t="str">
        <f t="shared" si="111"/>
        <v>ACTISALUD-CIRUGIA GENERAL-GUSTAVO GOMEZ</v>
      </c>
      <c r="F2265" s="5"/>
      <c r="G2265" s="5"/>
    </row>
    <row r="2266" spans="1:7" ht="58.5" customHeight="1" x14ac:dyDescent="0.25">
      <c r="A2266" s="5" t="str">
        <f>"H0027415"</f>
        <v>H0027415</v>
      </c>
      <c r="B2266" s="5" t="str">
        <f t="shared" si="114"/>
        <v>LECTOR DE HUELLAS DIGITALES</v>
      </c>
      <c r="C2266" s="6">
        <v>234000.41</v>
      </c>
      <c r="D2266" s="5" t="s">
        <v>83</v>
      </c>
      <c r="E2266" s="5" t="str">
        <f t="shared" si="111"/>
        <v>ACTISALUD-CIRUGIA GENERAL-GUSTAVO GOMEZ</v>
      </c>
      <c r="F2266" s="5"/>
      <c r="G2266" s="5"/>
    </row>
    <row r="2267" spans="1:7" ht="58.5" customHeight="1" x14ac:dyDescent="0.25">
      <c r="A2267" s="5" t="str">
        <f>"H0027416"</f>
        <v>H0027416</v>
      </c>
      <c r="B2267" s="5" t="str">
        <f t="shared" si="114"/>
        <v>LECTOR DE HUELLAS DIGITALES</v>
      </c>
      <c r="C2267" s="6">
        <v>234000.41</v>
      </c>
      <c r="D2267" s="5" t="s">
        <v>83</v>
      </c>
      <c r="E2267" s="5" t="str">
        <f t="shared" si="111"/>
        <v>ACTISALUD-CIRUGIA GENERAL-GUSTAVO GOMEZ</v>
      </c>
      <c r="F2267" s="5"/>
      <c r="G2267" s="5"/>
    </row>
    <row r="2268" spans="1:7" ht="58.5" customHeight="1" x14ac:dyDescent="0.25">
      <c r="A2268" s="5" t="str">
        <f>"H0027417"</f>
        <v>H0027417</v>
      </c>
      <c r="B2268" s="5" t="str">
        <f t="shared" si="114"/>
        <v>LECTOR DE HUELLAS DIGITALES</v>
      </c>
      <c r="C2268" s="6">
        <v>234000.41</v>
      </c>
      <c r="D2268" s="5" t="s">
        <v>83</v>
      </c>
      <c r="E2268" s="5" t="str">
        <f t="shared" si="111"/>
        <v>ACTISALUD-CIRUGIA GENERAL-GUSTAVO GOMEZ</v>
      </c>
      <c r="F2268" s="5"/>
      <c r="G2268" s="5"/>
    </row>
    <row r="2269" spans="1:7" ht="58.5" customHeight="1" x14ac:dyDescent="0.25">
      <c r="A2269" s="5" t="str">
        <f>"H0027418"</f>
        <v>H0027418</v>
      </c>
      <c r="B2269" s="5" t="str">
        <f t="shared" si="114"/>
        <v>LECTOR DE HUELLAS DIGITALES</v>
      </c>
      <c r="C2269" s="6">
        <v>234000.41</v>
      </c>
      <c r="D2269" s="5" t="s">
        <v>83</v>
      </c>
      <c r="E2269" s="5" t="str">
        <f t="shared" si="111"/>
        <v>ACTISALUD-CIRUGIA GENERAL-GUSTAVO GOMEZ</v>
      </c>
      <c r="F2269" s="5"/>
      <c r="G2269" s="5"/>
    </row>
    <row r="2270" spans="1:7" ht="58.5" customHeight="1" x14ac:dyDescent="0.25">
      <c r="A2270" s="5" t="str">
        <f>"H0027419"</f>
        <v>H0027419</v>
      </c>
      <c r="B2270" s="5" t="str">
        <f t="shared" si="114"/>
        <v>LECTOR DE HUELLAS DIGITALES</v>
      </c>
      <c r="C2270" s="6">
        <v>234000.41</v>
      </c>
      <c r="D2270" s="5" t="s">
        <v>83</v>
      </c>
      <c r="E2270" s="5" t="str">
        <f t="shared" si="111"/>
        <v>ACTISALUD-CIRUGIA GENERAL-GUSTAVO GOMEZ</v>
      </c>
      <c r="F2270" s="5"/>
      <c r="G2270" s="5"/>
    </row>
    <row r="2271" spans="1:7" ht="58.5" customHeight="1" x14ac:dyDescent="0.25">
      <c r="A2271" s="5" t="str">
        <f>"H0027421"</f>
        <v>H0027421</v>
      </c>
      <c r="B2271" s="5" t="str">
        <f t="shared" si="114"/>
        <v>LECTOR DE HUELLAS DIGITALES</v>
      </c>
      <c r="C2271" s="6">
        <v>234000.41</v>
      </c>
      <c r="D2271" s="5" t="s">
        <v>83</v>
      </c>
      <c r="E2271" s="5" t="str">
        <f t="shared" si="111"/>
        <v>ACTISALUD-CIRUGIA GENERAL-GUSTAVO GOMEZ</v>
      </c>
      <c r="F2271" s="5"/>
      <c r="G2271" s="5"/>
    </row>
    <row r="2272" spans="1:7" ht="58.5" customHeight="1" x14ac:dyDescent="0.25">
      <c r="A2272" s="5" t="str">
        <f>"H0027422"</f>
        <v>H0027422</v>
      </c>
      <c r="B2272" s="5" t="str">
        <f t="shared" si="114"/>
        <v>LECTOR DE HUELLAS DIGITALES</v>
      </c>
      <c r="C2272" s="6">
        <v>234000.41</v>
      </c>
      <c r="D2272" s="5" t="s">
        <v>83</v>
      </c>
      <c r="E2272" s="5" t="str">
        <f t="shared" si="111"/>
        <v>ACTISALUD-CIRUGIA GENERAL-GUSTAVO GOMEZ</v>
      </c>
      <c r="F2272" s="5"/>
      <c r="G2272" s="5"/>
    </row>
    <row r="2273" spans="1:7" ht="58.5" customHeight="1" x14ac:dyDescent="0.25">
      <c r="A2273" s="5" t="str">
        <f>"H0027423"</f>
        <v>H0027423</v>
      </c>
      <c r="B2273" s="5" t="str">
        <f t="shared" si="114"/>
        <v>LECTOR DE HUELLAS DIGITALES</v>
      </c>
      <c r="C2273" s="6">
        <v>234000.41</v>
      </c>
      <c r="D2273" s="5" t="s">
        <v>83</v>
      </c>
      <c r="E2273" s="5" t="str">
        <f t="shared" ref="E2273:E2336" si="115">"ACTISALUD-CIRUGIA GENERAL-GUSTAVO GOMEZ"</f>
        <v>ACTISALUD-CIRUGIA GENERAL-GUSTAVO GOMEZ</v>
      </c>
      <c r="F2273" s="5"/>
      <c r="G2273" s="5"/>
    </row>
    <row r="2274" spans="1:7" ht="58.5" customHeight="1" x14ac:dyDescent="0.25">
      <c r="A2274" s="5" t="str">
        <f>"H0027439"</f>
        <v>H0027439</v>
      </c>
      <c r="B2274" s="5" t="str">
        <f t="shared" si="114"/>
        <v>LECTOR DE HUELLAS DIGITALES</v>
      </c>
      <c r="C2274" s="6">
        <v>234000.41</v>
      </c>
      <c r="D2274" s="5" t="s">
        <v>83</v>
      </c>
      <c r="E2274" s="5" t="str">
        <f t="shared" si="115"/>
        <v>ACTISALUD-CIRUGIA GENERAL-GUSTAVO GOMEZ</v>
      </c>
      <c r="F2274" s="5"/>
      <c r="G2274" s="5"/>
    </row>
    <row r="2275" spans="1:7" ht="58.5" customHeight="1" x14ac:dyDescent="0.25">
      <c r="A2275" s="5" t="str">
        <f>"H0027639"</f>
        <v>H0027639</v>
      </c>
      <c r="B2275"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275" s="6">
        <v>2580000</v>
      </c>
      <c r="D2275" s="5" t="s">
        <v>85</v>
      </c>
      <c r="E2275" s="5" t="str">
        <f t="shared" si="115"/>
        <v>ACTISALUD-CIRUGIA GENERAL-GUSTAVO GOMEZ</v>
      </c>
      <c r="F2275" s="5"/>
      <c r="G2275" s="5" t="str">
        <f>"81B0"</f>
        <v>81B0</v>
      </c>
    </row>
    <row r="2276" spans="1:7" ht="58.5" customHeight="1" x14ac:dyDescent="0.25">
      <c r="A2276" s="5" t="str">
        <f>"H0028425"</f>
        <v>H0028425</v>
      </c>
      <c r="B2276" s="5" t="str">
        <f>"SILLA RECLINOMATICA"</f>
        <v>SILLA RECLINOMATICA</v>
      </c>
      <c r="C2276" s="6">
        <v>900000</v>
      </c>
      <c r="D2276" s="5" t="s">
        <v>245</v>
      </c>
      <c r="E2276" s="5" t="str">
        <f t="shared" si="115"/>
        <v>ACTISALUD-CIRUGIA GENERAL-GUSTAVO GOMEZ</v>
      </c>
      <c r="F2276" s="5"/>
      <c r="G2276" s="5"/>
    </row>
    <row r="2277" spans="1:7" ht="58.5" customHeight="1" x14ac:dyDescent="0.25">
      <c r="A2277" s="5" t="str">
        <f>"H0028426"</f>
        <v>H0028426</v>
      </c>
      <c r="B2277" s="5" t="str">
        <f>"SILLA RECLINOMATICA"</f>
        <v>SILLA RECLINOMATICA</v>
      </c>
      <c r="C2277" s="6">
        <v>900000</v>
      </c>
      <c r="D2277" s="5" t="s">
        <v>245</v>
      </c>
      <c r="E2277" s="5" t="str">
        <f t="shared" si="115"/>
        <v>ACTISALUD-CIRUGIA GENERAL-GUSTAVO GOMEZ</v>
      </c>
      <c r="F2277" s="5"/>
      <c r="G2277" s="5"/>
    </row>
    <row r="2278" spans="1:7" ht="58.5" customHeight="1" x14ac:dyDescent="0.25">
      <c r="A2278" s="5" t="str">
        <f>"H0028433"</f>
        <v>H0028433</v>
      </c>
      <c r="B2278" s="5" t="str">
        <f>"SILLA RECLINOMATICA"</f>
        <v>SILLA RECLINOMATICA</v>
      </c>
      <c r="C2278" s="6">
        <v>900000</v>
      </c>
      <c r="D2278" s="5" t="s">
        <v>246</v>
      </c>
      <c r="E2278" s="5" t="str">
        <f t="shared" si="115"/>
        <v>ACTISALUD-CIRUGIA GENERAL-GUSTAVO GOMEZ</v>
      </c>
      <c r="F2278" s="5"/>
      <c r="G2278" s="5"/>
    </row>
    <row r="2279" spans="1:7" ht="58.5" customHeight="1" x14ac:dyDescent="0.25">
      <c r="A2279" s="5" t="str">
        <f>"H0028439"</f>
        <v>H0028439</v>
      </c>
      <c r="B2279" s="5" t="str">
        <f>"SILLA RECLINOMATICA"</f>
        <v>SILLA RECLINOMATICA</v>
      </c>
      <c r="C2279" s="6">
        <v>900000</v>
      </c>
      <c r="D2279" s="5" t="s">
        <v>246</v>
      </c>
      <c r="E2279" s="5" t="str">
        <f t="shared" si="115"/>
        <v>ACTISALUD-CIRUGIA GENERAL-GUSTAVO GOMEZ</v>
      </c>
      <c r="F2279" s="5"/>
      <c r="G2279" s="5"/>
    </row>
    <row r="2280" spans="1:7" ht="58.5" customHeight="1" x14ac:dyDescent="0.25">
      <c r="A2280" s="5" t="str">
        <f>"H0028480"</f>
        <v>H0028480</v>
      </c>
      <c r="B2280" s="5" t="str">
        <f t="shared" ref="B2280:B2287" si="116">"MESA PUENTE (ALIMENTACION) (INSTRUMENTAL)"</f>
        <v>MESA PUENTE (ALIMENTACION) (INSTRUMENTAL)</v>
      </c>
      <c r="C2280" s="6">
        <v>297500</v>
      </c>
      <c r="D2280" s="5" t="s">
        <v>188</v>
      </c>
      <c r="E2280" s="5" t="str">
        <f t="shared" si="115"/>
        <v>ACTISALUD-CIRUGIA GENERAL-GUSTAVO GOMEZ</v>
      </c>
      <c r="F2280" s="5"/>
      <c r="G2280" s="5"/>
    </row>
    <row r="2281" spans="1:7" ht="58.5" customHeight="1" x14ac:dyDescent="0.25">
      <c r="A2281" s="5" t="str">
        <f>"H0028482"</f>
        <v>H0028482</v>
      </c>
      <c r="B2281" s="5" t="str">
        <f t="shared" si="116"/>
        <v>MESA PUENTE (ALIMENTACION) (INSTRUMENTAL)</v>
      </c>
      <c r="C2281" s="6">
        <v>297500</v>
      </c>
      <c r="D2281" s="5" t="s">
        <v>188</v>
      </c>
      <c r="E2281" s="5" t="str">
        <f t="shared" si="115"/>
        <v>ACTISALUD-CIRUGIA GENERAL-GUSTAVO GOMEZ</v>
      </c>
      <c r="F2281" s="5"/>
      <c r="G2281" s="5"/>
    </row>
    <row r="2282" spans="1:7" ht="58.5" customHeight="1" x14ac:dyDescent="0.25">
      <c r="A2282" s="5" t="str">
        <f>"H0028483"</f>
        <v>H0028483</v>
      </c>
      <c r="B2282" s="5" t="str">
        <f t="shared" si="116"/>
        <v>MESA PUENTE (ALIMENTACION) (INSTRUMENTAL)</v>
      </c>
      <c r="C2282" s="6">
        <v>297500</v>
      </c>
      <c r="D2282" s="5" t="s">
        <v>188</v>
      </c>
      <c r="E2282" s="5" t="str">
        <f t="shared" si="115"/>
        <v>ACTISALUD-CIRUGIA GENERAL-GUSTAVO GOMEZ</v>
      </c>
      <c r="F2282" s="5"/>
      <c r="G2282" s="5"/>
    </row>
    <row r="2283" spans="1:7" ht="58.5" customHeight="1" x14ac:dyDescent="0.25">
      <c r="A2283" s="5" t="str">
        <f>"H0028484"</f>
        <v>H0028484</v>
      </c>
      <c r="B2283" s="5" t="str">
        <f t="shared" si="116"/>
        <v>MESA PUENTE (ALIMENTACION) (INSTRUMENTAL)</v>
      </c>
      <c r="C2283" s="6">
        <v>297500</v>
      </c>
      <c r="D2283" s="5" t="s">
        <v>188</v>
      </c>
      <c r="E2283" s="5" t="str">
        <f t="shared" si="115"/>
        <v>ACTISALUD-CIRUGIA GENERAL-GUSTAVO GOMEZ</v>
      </c>
      <c r="F2283" s="5"/>
      <c r="G2283" s="5"/>
    </row>
    <row r="2284" spans="1:7" ht="58.5" customHeight="1" x14ac:dyDescent="0.25">
      <c r="A2284" s="5" t="str">
        <f>"H0028486"</f>
        <v>H0028486</v>
      </c>
      <c r="B2284" s="5" t="str">
        <f t="shared" si="116"/>
        <v>MESA PUENTE (ALIMENTACION) (INSTRUMENTAL)</v>
      </c>
      <c r="C2284" s="6">
        <v>297500</v>
      </c>
      <c r="D2284" s="5" t="s">
        <v>188</v>
      </c>
      <c r="E2284" s="5" t="str">
        <f t="shared" si="115"/>
        <v>ACTISALUD-CIRUGIA GENERAL-GUSTAVO GOMEZ</v>
      </c>
      <c r="F2284" s="5"/>
      <c r="G2284" s="5"/>
    </row>
    <row r="2285" spans="1:7" ht="58.5" customHeight="1" x14ac:dyDescent="0.25">
      <c r="A2285" s="5" t="str">
        <f>"H0028488"</f>
        <v>H0028488</v>
      </c>
      <c r="B2285" s="5" t="str">
        <f t="shared" si="116"/>
        <v>MESA PUENTE (ALIMENTACION) (INSTRUMENTAL)</v>
      </c>
      <c r="C2285" s="6">
        <v>297500</v>
      </c>
      <c r="D2285" s="5" t="s">
        <v>188</v>
      </c>
      <c r="E2285" s="5" t="str">
        <f t="shared" si="115"/>
        <v>ACTISALUD-CIRUGIA GENERAL-GUSTAVO GOMEZ</v>
      </c>
      <c r="F2285" s="5"/>
      <c r="G2285" s="5"/>
    </row>
    <row r="2286" spans="1:7" ht="58.5" customHeight="1" x14ac:dyDescent="0.25">
      <c r="A2286" s="5" t="str">
        <f>"H0028489"</f>
        <v>H0028489</v>
      </c>
      <c r="B2286" s="5" t="str">
        <f t="shared" si="116"/>
        <v>MESA PUENTE (ALIMENTACION) (INSTRUMENTAL)</v>
      </c>
      <c r="C2286" s="6">
        <v>297500</v>
      </c>
      <c r="D2286" s="5" t="s">
        <v>188</v>
      </c>
      <c r="E2286" s="5" t="str">
        <f t="shared" si="115"/>
        <v>ACTISALUD-CIRUGIA GENERAL-GUSTAVO GOMEZ</v>
      </c>
      <c r="F2286" s="5"/>
      <c r="G2286" s="5"/>
    </row>
    <row r="2287" spans="1:7" ht="58.5" customHeight="1" x14ac:dyDescent="0.25">
      <c r="A2287" s="5" t="str">
        <f>"H0028491"</f>
        <v>H0028491</v>
      </c>
      <c r="B2287" s="5" t="str">
        <f t="shared" si="116"/>
        <v>MESA PUENTE (ALIMENTACION) (INSTRUMENTAL)</v>
      </c>
      <c r="C2287" s="6">
        <v>297500</v>
      </c>
      <c r="D2287" s="5" t="s">
        <v>188</v>
      </c>
      <c r="E2287" s="5" t="str">
        <f t="shared" si="115"/>
        <v>ACTISALUD-CIRUGIA GENERAL-GUSTAVO GOMEZ</v>
      </c>
      <c r="F2287" s="5"/>
      <c r="G2287" s="5"/>
    </row>
    <row r="2288" spans="1:7" ht="58.5" customHeight="1" x14ac:dyDescent="0.25">
      <c r="A2288" s="5" t="str">
        <f>"H0028522"</f>
        <v>H0028522</v>
      </c>
      <c r="B2288" s="5" t="str">
        <f>"RIÑONERA GRANDE 28X12 ACERO INOX"</f>
        <v>RIÑONERA GRANDE 28X12 ACERO INOX</v>
      </c>
      <c r="C2288" s="6">
        <v>29750</v>
      </c>
      <c r="D2288" s="5" t="s">
        <v>188</v>
      </c>
      <c r="E2288" s="5" t="str">
        <f t="shared" si="115"/>
        <v>ACTISALUD-CIRUGIA GENERAL-GUSTAVO GOMEZ</v>
      </c>
      <c r="F2288" s="5"/>
      <c r="G2288" s="5"/>
    </row>
    <row r="2289" spans="1:7" ht="58.5" customHeight="1" x14ac:dyDescent="0.25">
      <c r="A2289" s="5" t="str">
        <f>"H0028548"</f>
        <v>H0028548</v>
      </c>
      <c r="B2289" s="5" t="str">
        <f>"MESA PUENTE (ALIMENTACION) (INSTRUMENTAL)"</f>
        <v>MESA PUENTE (ALIMENTACION) (INSTRUMENTAL)</v>
      </c>
      <c r="C2289" s="6">
        <v>297500</v>
      </c>
      <c r="D2289" s="5" t="s">
        <v>247</v>
      </c>
      <c r="E2289" s="5" t="str">
        <f t="shared" si="115"/>
        <v>ACTISALUD-CIRUGIA GENERAL-GUSTAVO GOMEZ</v>
      </c>
      <c r="F2289" s="5"/>
      <c r="G2289" s="5"/>
    </row>
    <row r="2290" spans="1:7" ht="58.5" customHeight="1" x14ac:dyDescent="0.25">
      <c r="A2290" s="5" t="str">
        <f>"H0028549"</f>
        <v>H0028549</v>
      </c>
      <c r="B2290" s="5" t="str">
        <f>"MESA PUENTE (ALIMENTACION) (INSTRUMENTAL)"</f>
        <v>MESA PUENTE (ALIMENTACION) (INSTRUMENTAL)</v>
      </c>
      <c r="C2290" s="6">
        <v>297500</v>
      </c>
      <c r="D2290" s="5" t="s">
        <v>247</v>
      </c>
      <c r="E2290" s="5" t="str">
        <f t="shared" si="115"/>
        <v>ACTISALUD-CIRUGIA GENERAL-GUSTAVO GOMEZ</v>
      </c>
      <c r="F2290" s="5"/>
      <c r="G2290" s="5"/>
    </row>
    <row r="2291" spans="1:7" ht="58.5" customHeight="1" x14ac:dyDescent="0.25">
      <c r="A2291" s="5" t="str">
        <f>"H0028550"</f>
        <v>H0028550</v>
      </c>
      <c r="B2291" s="5" t="str">
        <f>"MESA PUENTE (ALIMENTACION) (INSTRUMENTAL)"</f>
        <v>MESA PUENTE (ALIMENTACION) (INSTRUMENTAL)</v>
      </c>
      <c r="C2291" s="6">
        <v>297500</v>
      </c>
      <c r="D2291" s="5" t="s">
        <v>247</v>
      </c>
      <c r="E2291" s="5" t="str">
        <f t="shared" si="115"/>
        <v>ACTISALUD-CIRUGIA GENERAL-GUSTAVO GOMEZ</v>
      </c>
      <c r="F2291" s="5"/>
      <c r="G2291" s="5"/>
    </row>
    <row r="2292" spans="1:7" ht="58.5" customHeight="1" x14ac:dyDescent="0.25">
      <c r="A2292" s="5" t="str">
        <f>"H0028551"</f>
        <v>H0028551</v>
      </c>
      <c r="B2292" s="5" t="str">
        <f>"MESA PUENTE (ALIMENTACION) (INSTRUMENTAL)"</f>
        <v>MESA PUENTE (ALIMENTACION) (INSTRUMENTAL)</v>
      </c>
      <c r="C2292" s="6">
        <v>297500</v>
      </c>
      <c r="D2292" s="5" t="s">
        <v>247</v>
      </c>
      <c r="E2292" s="5" t="str">
        <f t="shared" si="115"/>
        <v>ACTISALUD-CIRUGIA GENERAL-GUSTAVO GOMEZ</v>
      </c>
      <c r="F2292" s="5"/>
      <c r="G2292" s="5"/>
    </row>
    <row r="2293" spans="1:7" ht="58.5" customHeight="1" x14ac:dyDescent="0.25">
      <c r="A2293" s="5" t="str">
        <f>"H0028597"</f>
        <v>H0028597</v>
      </c>
      <c r="B2293" s="5" t="str">
        <f>"MESA METALICA PARA COMPUTADOR"</f>
        <v>MESA METALICA PARA COMPUTADOR</v>
      </c>
      <c r="C2293" s="6">
        <v>447261.5</v>
      </c>
      <c r="D2293" s="5" t="s">
        <v>248</v>
      </c>
      <c r="E2293" s="5" t="str">
        <f t="shared" si="115"/>
        <v>ACTISALUD-CIRUGIA GENERAL-GUSTAVO GOMEZ</v>
      </c>
      <c r="F2293" s="5"/>
      <c r="G2293" s="5"/>
    </row>
    <row r="2294" spans="1:7" ht="58.5" customHeight="1" x14ac:dyDescent="0.25">
      <c r="A2294" s="5" t="str">
        <f>"H0028606"</f>
        <v>H0028606</v>
      </c>
      <c r="B2294" s="5" t="str">
        <f>"MÓDULO WIRELESS (CON 1 SIRENA 45W Y BATERÍA)"</f>
        <v>MÓDULO WIRELESS (CON 1 SIRENA 45W Y BATERÍA)</v>
      </c>
      <c r="C2294" s="6">
        <v>728280</v>
      </c>
      <c r="D2294" s="5" t="s">
        <v>87</v>
      </c>
      <c r="E2294" s="5" t="str">
        <f t="shared" si="115"/>
        <v>ACTISALUD-CIRUGIA GENERAL-GUSTAVO GOMEZ</v>
      </c>
      <c r="F2294" s="5"/>
      <c r="G2294" s="5"/>
    </row>
    <row r="2295" spans="1:7" ht="58.5" customHeight="1" x14ac:dyDescent="0.25">
      <c r="A2295" s="5" t="str">
        <f>"H0028618"</f>
        <v>H0028618</v>
      </c>
      <c r="B2295" s="5" t="str">
        <f>"BALIZA ROTATIVA WIRELESS LUZ EMERGENCIA"</f>
        <v>BALIZA ROTATIVA WIRELESS LUZ EMERGENCIA</v>
      </c>
      <c r="C2295" s="6">
        <v>238000</v>
      </c>
      <c r="D2295" s="5" t="s">
        <v>87</v>
      </c>
      <c r="E2295" s="5" t="str">
        <f t="shared" si="115"/>
        <v>ACTISALUD-CIRUGIA GENERAL-GUSTAVO GOMEZ</v>
      </c>
      <c r="F2295" s="5"/>
      <c r="G2295" s="5"/>
    </row>
    <row r="2296" spans="1:7" ht="58.5" customHeight="1" x14ac:dyDescent="0.25">
      <c r="A2296" s="5" t="str">
        <f>"H0028638"</f>
        <v>H0028638</v>
      </c>
      <c r="B2296" s="5" t="str">
        <f>"BOTÓN DE EMERGENCIA PÁNICO SOS FIJO WIRELESS"</f>
        <v>BOTÓN DE EMERGENCIA PÁNICO SOS FIJO WIRELESS</v>
      </c>
      <c r="C2296" s="6">
        <v>297500</v>
      </c>
      <c r="D2296" s="5" t="s">
        <v>87</v>
      </c>
      <c r="E2296" s="5" t="str">
        <f t="shared" si="115"/>
        <v>ACTISALUD-CIRUGIA GENERAL-GUSTAVO GOMEZ</v>
      </c>
      <c r="F2296" s="5"/>
      <c r="G2296" s="5"/>
    </row>
    <row r="2297" spans="1:7" ht="58.5" customHeight="1" x14ac:dyDescent="0.25">
      <c r="A2297" s="5" t="str">
        <f>"H0028639"</f>
        <v>H0028639</v>
      </c>
      <c r="B2297" s="5" t="str">
        <f>"BOTÓN DE EMERGENCIA PÁNICO SOS FIJO WIRELESS"</f>
        <v>BOTÓN DE EMERGENCIA PÁNICO SOS FIJO WIRELESS</v>
      </c>
      <c r="C2297" s="6">
        <v>297500</v>
      </c>
      <c r="D2297" s="5" t="s">
        <v>87</v>
      </c>
      <c r="E2297" s="5" t="str">
        <f t="shared" si="115"/>
        <v>ACTISALUD-CIRUGIA GENERAL-GUSTAVO GOMEZ</v>
      </c>
      <c r="F2297" s="5"/>
      <c r="G2297" s="5"/>
    </row>
    <row r="2298" spans="1:7" ht="58.5" customHeight="1" x14ac:dyDescent="0.25">
      <c r="A2298" s="5" t="str">
        <f>"H0028640"</f>
        <v>H0028640</v>
      </c>
      <c r="B2298" s="5" t="str">
        <f>"BOTÓN DE EMERGENCIA PÁNICO SOS FIJO WIRELESS"</f>
        <v>BOTÓN DE EMERGENCIA PÁNICO SOS FIJO WIRELESS</v>
      </c>
      <c r="C2298" s="6">
        <v>297500</v>
      </c>
      <c r="D2298" s="5" t="s">
        <v>87</v>
      </c>
      <c r="E2298" s="5" t="str">
        <f t="shared" si="115"/>
        <v>ACTISALUD-CIRUGIA GENERAL-GUSTAVO GOMEZ</v>
      </c>
      <c r="F2298" s="5"/>
      <c r="G2298" s="5"/>
    </row>
    <row r="2299" spans="1:7" ht="58.5" customHeight="1" x14ac:dyDescent="0.25">
      <c r="A2299" s="5" t="str">
        <f>"H0028670"</f>
        <v>H0028670</v>
      </c>
      <c r="B2299" s="5" t="str">
        <f>"BOTÓN DE EMERGENCIA PÁNICO SOS MÓVIL WIRELESS"</f>
        <v>BOTÓN DE EMERGENCIA PÁNICO SOS MÓVIL WIRELESS</v>
      </c>
      <c r="C2299" s="6">
        <v>47600</v>
      </c>
      <c r="D2299" s="5" t="s">
        <v>87</v>
      </c>
      <c r="E2299" s="5" t="str">
        <f t="shared" si="115"/>
        <v>ACTISALUD-CIRUGIA GENERAL-GUSTAVO GOMEZ</v>
      </c>
      <c r="F2299" s="5"/>
      <c r="G2299" s="5"/>
    </row>
    <row r="2300" spans="1:7" ht="58.5" customHeight="1" x14ac:dyDescent="0.25">
      <c r="A2300" s="5" t="str">
        <f>"H0028671"</f>
        <v>H0028671</v>
      </c>
      <c r="B2300" s="5" t="str">
        <f>"BOTÓN DE EMERGENCIA PÁNICO SOS MÓVIL WIRELESS"</f>
        <v>BOTÓN DE EMERGENCIA PÁNICO SOS MÓVIL WIRELESS</v>
      </c>
      <c r="C2300" s="6">
        <v>47600</v>
      </c>
      <c r="D2300" s="5" t="s">
        <v>87</v>
      </c>
      <c r="E2300" s="5" t="str">
        <f t="shared" si="115"/>
        <v>ACTISALUD-CIRUGIA GENERAL-GUSTAVO GOMEZ</v>
      </c>
      <c r="F2300" s="5"/>
      <c r="G2300" s="5"/>
    </row>
    <row r="2301" spans="1:7" ht="58.5" customHeight="1" x14ac:dyDescent="0.25">
      <c r="A2301" s="5" t="str">
        <f>"H0028703"</f>
        <v>H0028703</v>
      </c>
      <c r="B2301" s="5" t="str">
        <f>"LÁMPARA RECARGABLE DE EMERGENCIA 60 BOMBILLOS LED LUZ BLANCA"</f>
        <v>LÁMPARA RECARGABLE DE EMERGENCIA 60 BOMBILLOS LED LUZ BLANCA</v>
      </c>
      <c r="C2301" s="6">
        <v>255850</v>
      </c>
      <c r="D2301" s="5" t="s">
        <v>87</v>
      </c>
      <c r="E2301" s="5" t="str">
        <f t="shared" si="115"/>
        <v>ACTISALUD-CIRUGIA GENERAL-GUSTAVO GOMEZ</v>
      </c>
      <c r="F2301" s="5"/>
      <c r="G2301" s="5"/>
    </row>
    <row r="2302" spans="1:7" ht="58.5" customHeight="1" x14ac:dyDescent="0.25">
      <c r="A2302" s="5" t="str">
        <f>"H0028704"</f>
        <v>H0028704</v>
      </c>
      <c r="B2302" s="5" t="str">
        <f>"LÁMPARA RECARGABLE DE EMERGENCIA 60 BOMBILLOS LED LUZ BLANCA"</f>
        <v>LÁMPARA RECARGABLE DE EMERGENCIA 60 BOMBILLOS LED LUZ BLANCA</v>
      </c>
      <c r="C2302" s="6">
        <v>255850</v>
      </c>
      <c r="D2302" s="5" t="s">
        <v>87</v>
      </c>
      <c r="E2302" s="5" t="str">
        <f t="shared" si="115"/>
        <v>ACTISALUD-CIRUGIA GENERAL-GUSTAVO GOMEZ</v>
      </c>
      <c r="F2302" s="5"/>
      <c r="G2302" s="5"/>
    </row>
    <row r="2303" spans="1:7" ht="58.5" customHeight="1" x14ac:dyDescent="0.25">
      <c r="A2303" s="5" t="str">
        <f>"H0028705"</f>
        <v>H0028705</v>
      </c>
      <c r="B2303" s="5" t="str">
        <f>"LÁMPARA RECARGABLE DE EMERGENCIA 60 BOMBILLOS LED LUZ BLANCA"</f>
        <v>LÁMPARA RECARGABLE DE EMERGENCIA 60 BOMBILLOS LED LUZ BLANCA</v>
      </c>
      <c r="C2303" s="6">
        <v>255850</v>
      </c>
      <c r="D2303" s="5" t="s">
        <v>87</v>
      </c>
      <c r="E2303" s="5" t="str">
        <f t="shared" si="115"/>
        <v>ACTISALUD-CIRUGIA GENERAL-GUSTAVO GOMEZ</v>
      </c>
      <c r="F2303" s="5"/>
      <c r="G2303" s="5"/>
    </row>
    <row r="2304" spans="1:7" ht="58.5" customHeight="1" x14ac:dyDescent="0.25">
      <c r="A2304" s="5" t="str">
        <f>"H0028706"</f>
        <v>H0028706</v>
      </c>
      <c r="B2304" s="5" t="str">
        <f>"LÁMPARA RECARGABLE DE EMERGENCIA 60 BOMBILLOS LED LUZ BLANCA"</f>
        <v>LÁMPARA RECARGABLE DE EMERGENCIA 60 BOMBILLOS LED LUZ BLANCA</v>
      </c>
      <c r="C2304" s="6">
        <v>255850</v>
      </c>
      <c r="D2304" s="5" t="s">
        <v>87</v>
      </c>
      <c r="E2304" s="5" t="str">
        <f t="shared" si="115"/>
        <v>ACTISALUD-CIRUGIA GENERAL-GUSTAVO GOMEZ</v>
      </c>
      <c r="F2304" s="5"/>
      <c r="G2304" s="5"/>
    </row>
    <row r="2305" spans="1:7" ht="58.5" customHeight="1" x14ac:dyDescent="0.25">
      <c r="A2305" s="5" t="str">
        <f>"H0028868"</f>
        <v>H0028868</v>
      </c>
      <c r="B2305" s="5" t="str">
        <f t="shared" ref="B2305:B2310" si="117">"SILLA HERGONOMICA CON SISTEMA HIDRAULICO"</f>
        <v>SILLA HERGONOMICA CON SISTEMA HIDRAULICO</v>
      </c>
      <c r="C2305" s="6">
        <v>174900</v>
      </c>
      <c r="D2305" s="5" t="s">
        <v>40</v>
      </c>
      <c r="E2305" s="5" t="str">
        <f t="shared" si="115"/>
        <v>ACTISALUD-CIRUGIA GENERAL-GUSTAVO GOMEZ</v>
      </c>
      <c r="F2305" s="5"/>
      <c r="G2305" s="5"/>
    </row>
    <row r="2306" spans="1:7" ht="58.5" customHeight="1" x14ac:dyDescent="0.25">
      <c r="A2306" s="5" t="str">
        <f>"H0028876"</f>
        <v>H0028876</v>
      </c>
      <c r="B2306" s="5" t="str">
        <f t="shared" si="117"/>
        <v>SILLA HERGONOMICA CON SISTEMA HIDRAULICO</v>
      </c>
      <c r="C2306" s="6">
        <v>174900</v>
      </c>
      <c r="D2306" s="5" t="s">
        <v>40</v>
      </c>
      <c r="E2306" s="5" t="str">
        <f t="shared" si="115"/>
        <v>ACTISALUD-CIRUGIA GENERAL-GUSTAVO GOMEZ</v>
      </c>
      <c r="F2306" s="5"/>
      <c r="G2306" s="5"/>
    </row>
    <row r="2307" spans="1:7" ht="58.5" customHeight="1" x14ac:dyDescent="0.25">
      <c r="A2307" s="5" t="str">
        <f>"H0028877"</f>
        <v>H0028877</v>
      </c>
      <c r="B2307" s="5" t="str">
        <f t="shared" si="117"/>
        <v>SILLA HERGONOMICA CON SISTEMA HIDRAULICO</v>
      </c>
      <c r="C2307" s="6">
        <v>174900</v>
      </c>
      <c r="D2307" s="5" t="s">
        <v>40</v>
      </c>
      <c r="E2307" s="5" t="str">
        <f t="shared" si="115"/>
        <v>ACTISALUD-CIRUGIA GENERAL-GUSTAVO GOMEZ</v>
      </c>
      <c r="F2307" s="5"/>
      <c r="G2307" s="5"/>
    </row>
    <row r="2308" spans="1:7" ht="58.5" customHeight="1" x14ac:dyDescent="0.25">
      <c r="A2308" s="5" t="str">
        <f>"H0028878"</f>
        <v>H0028878</v>
      </c>
      <c r="B2308" s="5" t="str">
        <f t="shared" si="117"/>
        <v>SILLA HERGONOMICA CON SISTEMA HIDRAULICO</v>
      </c>
      <c r="C2308" s="6">
        <v>174900</v>
      </c>
      <c r="D2308" s="5" t="s">
        <v>40</v>
      </c>
      <c r="E2308" s="5" t="str">
        <f t="shared" si="115"/>
        <v>ACTISALUD-CIRUGIA GENERAL-GUSTAVO GOMEZ</v>
      </c>
      <c r="F2308" s="5"/>
      <c r="G2308" s="5"/>
    </row>
    <row r="2309" spans="1:7" ht="58.5" customHeight="1" x14ac:dyDescent="0.25">
      <c r="A2309" s="5" t="str">
        <f>"H0028879"</f>
        <v>H0028879</v>
      </c>
      <c r="B2309" s="5" t="str">
        <f t="shared" si="117"/>
        <v>SILLA HERGONOMICA CON SISTEMA HIDRAULICO</v>
      </c>
      <c r="C2309" s="6">
        <v>174900</v>
      </c>
      <c r="D2309" s="5" t="s">
        <v>40</v>
      </c>
      <c r="E2309" s="5" t="str">
        <f t="shared" si="115"/>
        <v>ACTISALUD-CIRUGIA GENERAL-GUSTAVO GOMEZ</v>
      </c>
      <c r="F2309" s="5"/>
      <c r="G2309" s="5"/>
    </row>
    <row r="2310" spans="1:7" ht="58.5" customHeight="1" x14ac:dyDescent="0.25">
      <c r="A2310" s="5" t="str">
        <f>"H0028882"</f>
        <v>H0028882</v>
      </c>
      <c r="B2310" s="5" t="str">
        <f t="shared" si="117"/>
        <v>SILLA HERGONOMICA CON SISTEMA HIDRAULICO</v>
      </c>
      <c r="C2310" s="6">
        <v>174900</v>
      </c>
      <c r="D2310" s="5" t="s">
        <v>40</v>
      </c>
      <c r="E2310" s="5" t="str">
        <f t="shared" si="115"/>
        <v>ACTISALUD-CIRUGIA GENERAL-GUSTAVO GOMEZ</v>
      </c>
      <c r="F2310" s="5"/>
      <c r="G2310" s="5"/>
    </row>
    <row r="2311" spans="1:7" ht="58.5" customHeight="1" x14ac:dyDescent="0.25">
      <c r="A2311" s="5" t="str">
        <f>"H0029237"</f>
        <v>H0029237</v>
      </c>
      <c r="B2311" s="5" t="str">
        <f>"CAMA ELECTRICA ADULTOS"</f>
        <v>CAMA ELECTRICA ADULTOS</v>
      </c>
      <c r="C2311" s="6">
        <v>6384962.8600000003</v>
      </c>
      <c r="D2311" s="5" t="s">
        <v>249</v>
      </c>
      <c r="E2311" s="5" t="str">
        <f t="shared" si="115"/>
        <v>ACTISALUD-CIRUGIA GENERAL-GUSTAVO GOMEZ</v>
      </c>
      <c r="F2311" s="5"/>
      <c r="G2311" s="5"/>
    </row>
    <row r="2312" spans="1:7" ht="58.5" customHeight="1" x14ac:dyDescent="0.25">
      <c r="A2312" s="5" t="str">
        <f>"H0029243"</f>
        <v>H0029243</v>
      </c>
      <c r="B2312" s="5" t="str">
        <f>"CAMA ELECTRICA ADULTOS"</f>
        <v>CAMA ELECTRICA ADULTOS</v>
      </c>
      <c r="C2312" s="6">
        <v>6384962.8600000003</v>
      </c>
      <c r="D2312" s="5" t="s">
        <v>249</v>
      </c>
      <c r="E2312" s="5" t="str">
        <f t="shared" si="115"/>
        <v>ACTISALUD-CIRUGIA GENERAL-GUSTAVO GOMEZ</v>
      </c>
      <c r="F2312" s="5"/>
      <c r="G2312" s="5"/>
    </row>
    <row r="2313" spans="1:7" ht="58.5" customHeight="1" x14ac:dyDescent="0.25">
      <c r="A2313" s="5" t="str">
        <f>"H0029304"</f>
        <v>H0029304</v>
      </c>
      <c r="B2313" s="5" t="str">
        <f>"SILLA HERGONOMICA CON SISTEMA HIDRAULICO"</f>
        <v>SILLA HERGONOMICA CON SISTEMA HIDRAULICO</v>
      </c>
      <c r="C2313" s="6">
        <v>174900</v>
      </c>
      <c r="D2313" s="5" t="s">
        <v>89</v>
      </c>
      <c r="E2313" s="5" t="str">
        <f t="shared" si="115"/>
        <v>ACTISALUD-CIRUGIA GENERAL-GUSTAVO GOMEZ</v>
      </c>
      <c r="F2313" s="5"/>
      <c r="G2313" s="5"/>
    </row>
    <row r="2314" spans="1:7" ht="58.5" customHeight="1" x14ac:dyDescent="0.25">
      <c r="A2314" s="5" t="str">
        <f>"H0029305"</f>
        <v>H0029305</v>
      </c>
      <c r="B2314" s="5" t="str">
        <f>"SILLA HERGONOMICA CON SISTEMA HIDRAULICO"</f>
        <v>SILLA HERGONOMICA CON SISTEMA HIDRAULICO</v>
      </c>
      <c r="C2314" s="6">
        <v>174900</v>
      </c>
      <c r="D2314" s="5" t="s">
        <v>89</v>
      </c>
      <c r="E2314" s="5" t="str">
        <f t="shared" si="115"/>
        <v>ACTISALUD-CIRUGIA GENERAL-GUSTAVO GOMEZ</v>
      </c>
      <c r="F2314" s="5"/>
      <c r="G2314" s="5"/>
    </row>
    <row r="2315" spans="1:7" ht="58.5" customHeight="1" x14ac:dyDescent="0.25">
      <c r="A2315" s="5" t="str">
        <f>"H0029655"</f>
        <v>H0029655</v>
      </c>
      <c r="B2315" s="5" t="s">
        <v>94</v>
      </c>
      <c r="C2315" s="6">
        <v>148999.9</v>
      </c>
      <c r="D2315" s="5" t="s">
        <v>93</v>
      </c>
      <c r="E2315" s="5" t="str">
        <f t="shared" si="115"/>
        <v>ACTISALUD-CIRUGIA GENERAL-GUSTAVO GOMEZ</v>
      </c>
      <c r="F2315" s="5"/>
      <c r="G2315" s="5"/>
    </row>
    <row r="2316" spans="1:7" ht="58.5" customHeight="1" x14ac:dyDescent="0.25">
      <c r="A2316" s="5" t="str">
        <f>"H0029699"</f>
        <v>H0029699</v>
      </c>
      <c r="B2316" s="5" t="s">
        <v>94</v>
      </c>
      <c r="C2316" s="6">
        <v>148999.9</v>
      </c>
      <c r="D2316" s="5" t="s">
        <v>93</v>
      </c>
      <c r="E2316" s="5" t="str">
        <f t="shared" si="115"/>
        <v>ACTISALUD-CIRUGIA GENERAL-GUSTAVO GOMEZ</v>
      </c>
      <c r="F2316" s="5"/>
      <c r="G2316" s="5"/>
    </row>
    <row r="2317" spans="1:7" ht="58.5" customHeight="1" x14ac:dyDescent="0.25">
      <c r="A2317" s="5" t="str">
        <f>"H0029701"</f>
        <v>H0029701</v>
      </c>
      <c r="B2317" s="5" t="s">
        <v>94</v>
      </c>
      <c r="C2317" s="6">
        <v>148999.9</v>
      </c>
      <c r="D2317" s="5" t="s">
        <v>93</v>
      </c>
      <c r="E2317" s="5" t="str">
        <f t="shared" si="115"/>
        <v>ACTISALUD-CIRUGIA GENERAL-GUSTAVO GOMEZ</v>
      </c>
      <c r="F2317" s="5"/>
      <c r="G2317" s="5"/>
    </row>
    <row r="2318" spans="1:7" ht="58.5" customHeight="1" x14ac:dyDescent="0.25">
      <c r="A2318" s="5" t="str">
        <f>"H0029703"</f>
        <v>H0029703</v>
      </c>
      <c r="B2318" s="5" t="s">
        <v>94</v>
      </c>
      <c r="C2318" s="6">
        <v>148999.9</v>
      </c>
      <c r="D2318" s="5" t="s">
        <v>93</v>
      </c>
      <c r="E2318" s="5" t="str">
        <f t="shared" si="115"/>
        <v>ACTISALUD-CIRUGIA GENERAL-GUSTAVO GOMEZ</v>
      </c>
      <c r="F2318" s="5"/>
      <c r="G2318" s="5"/>
    </row>
    <row r="2319" spans="1:7" ht="58.5" customHeight="1" x14ac:dyDescent="0.25">
      <c r="A2319" s="5" t="str">
        <f>"H0029707"</f>
        <v>H0029707</v>
      </c>
      <c r="B2319" s="5" t="s">
        <v>94</v>
      </c>
      <c r="C2319" s="6">
        <v>148999.9</v>
      </c>
      <c r="D2319" s="5" t="s">
        <v>93</v>
      </c>
      <c r="E2319" s="5" t="str">
        <f t="shared" si="115"/>
        <v>ACTISALUD-CIRUGIA GENERAL-GUSTAVO GOMEZ</v>
      </c>
      <c r="F2319" s="5"/>
      <c r="G2319" s="5"/>
    </row>
    <row r="2320" spans="1:7" ht="58.5" customHeight="1" x14ac:dyDescent="0.25">
      <c r="A2320" s="5" t="str">
        <f>"H0029797"</f>
        <v>H0029797</v>
      </c>
      <c r="B232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0" s="6">
        <v>252399.97</v>
      </c>
      <c r="D2320" s="5" t="s">
        <v>189</v>
      </c>
      <c r="E2320" s="5" t="str">
        <f t="shared" si="115"/>
        <v>ACTISALUD-CIRUGIA GENERAL-GUSTAVO GOMEZ</v>
      </c>
      <c r="F2320" s="5"/>
      <c r="G2320" s="5"/>
    </row>
    <row r="2321" spans="1:7" ht="58.5" customHeight="1" x14ac:dyDescent="0.25">
      <c r="A2321" s="5" t="str">
        <f>"H0029798"</f>
        <v>H0029798</v>
      </c>
      <c r="B232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1" s="6">
        <v>252399.97</v>
      </c>
      <c r="D2321" s="5" t="s">
        <v>189</v>
      </c>
      <c r="E2321" s="5" t="str">
        <f t="shared" si="115"/>
        <v>ACTISALUD-CIRUGIA GENERAL-GUSTAVO GOMEZ</v>
      </c>
      <c r="F2321" s="5"/>
      <c r="G2321" s="5"/>
    </row>
    <row r="2322" spans="1:7" ht="58.5" customHeight="1" x14ac:dyDescent="0.25">
      <c r="A2322" s="5" t="str">
        <f>"H0029799"</f>
        <v>H0029799</v>
      </c>
      <c r="B232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2" s="6">
        <v>252399.97</v>
      </c>
      <c r="D2322" s="5" t="s">
        <v>189</v>
      </c>
      <c r="E2322" s="5" t="str">
        <f t="shared" si="115"/>
        <v>ACTISALUD-CIRUGIA GENERAL-GUSTAVO GOMEZ</v>
      </c>
      <c r="F2322" s="5"/>
      <c r="G2322" s="5"/>
    </row>
    <row r="2323" spans="1:7" ht="58.5" customHeight="1" x14ac:dyDescent="0.25">
      <c r="A2323" s="5" t="str">
        <f>"H0029802"</f>
        <v>H0029802</v>
      </c>
      <c r="B232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3" s="6">
        <v>252399.97</v>
      </c>
      <c r="D2323" s="5" t="s">
        <v>189</v>
      </c>
      <c r="E2323" s="5" t="str">
        <f t="shared" si="115"/>
        <v>ACTISALUD-CIRUGIA GENERAL-GUSTAVO GOMEZ</v>
      </c>
      <c r="F2323" s="5"/>
      <c r="G2323" s="5"/>
    </row>
    <row r="2324" spans="1:7" ht="58.5" customHeight="1" x14ac:dyDescent="0.25">
      <c r="A2324" s="5" t="str">
        <f>"H0029803"</f>
        <v>H0029803</v>
      </c>
      <c r="B232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4" s="6">
        <v>252399.97</v>
      </c>
      <c r="D2324" s="5" t="s">
        <v>189</v>
      </c>
      <c r="E2324" s="5" t="str">
        <f t="shared" si="115"/>
        <v>ACTISALUD-CIRUGIA GENERAL-GUSTAVO GOMEZ</v>
      </c>
      <c r="F2324" s="5"/>
      <c r="G2324" s="5"/>
    </row>
    <row r="2325" spans="1:7" ht="58.5" customHeight="1" x14ac:dyDescent="0.25">
      <c r="A2325" s="5" t="str">
        <f>"H0030079"</f>
        <v>H0030079</v>
      </c>
      <c r="B2325" s="5" t="str">
        <f t="shared" ref="B2325:B2358" si="118">"SILLA RECLINOMATICA"</f>
        <v>SILLA RECLINOMATICA</v>
      </c>
      <c r="C2325" s="6">
        <v>1065050</v>
      </c>
      <c r="D2325" s="5" t="s">
        <v>98</v>
      </c>
      <c r="E2325" s="5" t="str">
        <f t="shared" si="115"/>
        <v>ACTISALUD-CIRUGIA GENERAL-GUSTAVO GOMEZ</v>
      </c>
      <c r="F2325" s="5"/>
      <c r="G2325" s="5"/>
    </row>
    <row r="2326" spans="1:7" ht="58.5" customHeight="1" x14ac:dyDescent="0.25">
      <c r="A2326" s="5" t="str">
        <f>"H0030092"</f>
        <v>H0030092</v>
      </c>
      <c r="B2326" s="5" t="str">
        <f t="shared" si="118"/>
        <v>SILLA RECLINOMATICA</v>
      </c>
      <c r="C2326" s="6">
        <v>1065050</v>
      </c>
      <c r="D2326" s="5" t="s">
        <v>99</v>
      </c>
      <c r="E2326" s="5" t="str">
        <f t="shared" si="115"/>
        <v>ACTISALUD-CIRUGIA GENERAL-GUSTAVO GOMEZ</v>
      </c>
      <c r="F2326" s="5"/>
      <c r="G2326" s="5"/>
    </row>
    <row r="2327" spans="1:7" ht="58.5" customHeight="1" x14ac:dyDescent="0.25">
      <c r="A2327" s="5" t="str">
        <f>"H0030132"</f>
        <v>H0030132</v>
      </c>
      <c r="B2327" s="5" t="str">
        <f t="shared" si="118"/>
        <v>SILLA RECLINOMATICA</v>
      </c>
      <c r="C2327" s="6">
        <v>1065050</v>
      </c>
      <c r="D2327" s="5" t="s">
        <v>100</v>
      </c>
      <c r="E2327" s="5" t="str">
        <f t="shared" si="115"/>
        <v>ACTISALUD-CIRUGIA GENERAL-GUSTAVO GOMEZ</v>
      </c>
      <c r="F2327" s="5"/>
      <c r="G2327" s="5"/>
    </row>
    <row r="2328" spans="1:7" ht="58.5" customHeight="1" x14ac:dyDescent="0.25">
      <c r="A2328" s="5" t="str">
        <f>"H0030178"</f>
        <v>H0030178</v>
      </c>
      <c r="B2328" s="5" t="str">
        <f t="shared" si="118"/>
        <v>SILLA RECLINOMATICA</v>
      </c>
      <c r="C2328" s="6">
        <v>1065050</v>
      </c>
      <c r="D2328" s="5" t="s">
        <v>101</v>
      </c>
      <c r="E2328" s="5" t="str">
        <f t="shared" si="115"/>
        <v>ACTISALUD-CIRUGIA GENERAL-GUSTAVO GOMEZ</v>
      </c>
      <c r="F2328" s="5"/>
      <c r="G2328" s="5"/>
    </row>
    <row r="2329" spans="1:7" ht="58.5" customHeight="1" x14ac:dyDescent="0.25">
      <c r="A2329" s="5" t="str">
        <f>"H0030194"</f>
        <v>H0030194</v>
      </c>
      <c r="B2329" s="5" t="str">
        <f t="shared" si="118"/>
        <v>SILLA RECLINOMATICA</v>
      </c>
      <c r="C2329" s="6">
        <v>1065050</v>
      </c>
      <c r="D2329" s="5" t="s">
        <v>101</v>
      </c>
      <c r="E2329" s="5" t="str">
        <f t="shared" si="115"/>
        <v>ACTISALUD-CIRUGIA GENERAL-GUSTAVO GOMEZ</v>
      </c>
      <c r="F2329" s="5"/>
      <c r="G2329" s="5"/>
    </row>
    <row r="2330" spans="1:7" ht="58.5" customHeight="1" x14ac:dyDescent="0.25">
      <c r="A2330" s="5" t="str">
        <f>"H0030195"</f>
        <v>H0030195</v>
      </c>
      <c r="B2330" s="5" t="str">
        <f t="shared" si="118"/>
        <v>SILLA RECLINOMATICA</v>
      </c>
      <c r="C2330" s="6">
        <v>1065050</v>
      </c>
      <c r="D2330" s="5" t="s">
        <v>101</v>
      </c>
      <c r="E2330" s="5" t="str">
        <f t="shared" si="115"/>
        <v>ACTISALUD-CIRUGIA GENERAL-GUSTAVO GOMEZ</v>
      </c>
      <c r="F2330" s="5"/>
      <c r="G2330" s="5"/>
    </row>
    <row r="2331" spans="1:7" ht="58.5" customHeight="1" x14ac:dyDescent="0.25">
      <c r="A2331" s="5" t="str">
        <f>"H0030196"</f>
        <v>H0030196</v>
      </c>
      <c r="B2331" s="5" t="str">
        <f t="shared" si="118"/>
        <v>SILLA RECLINOMATICA</v>
      </c>
      <c r="C2331" s="6">
        <v>1065050</v>
      </c>
      <c r="D2331" s="5" t="s">
        <v>101</v>
      </c>
      <c r="E2331" s="5" t="str">
        <f t="shared" si="115"/>
        <v>ACTISALUD-CIRUGIA GENERAL-GUSTAVO GOMEZ</v>
      </c>
      <c r="F2331" s="5"/>
      <c r="G2331" s="5"/>
    </row>
    <row r="2332" spans="1:7" ht="58.5" customHeight="1" x14ac:dyDescent="0.25">
      <c r="A2332" s="5" t="str">
        <f>"H0030197"</f>
        <v>H0030197</v>
      </c>
      <c r="B2332" s="5" t="str">
        <f t="shared" si="118"/>
        <v>SILLA RECLINOMATICA</v>
      </c>
      <c r="C2332" s="6">
        <v>1065050</v>
      </c>
      <c r="D2332" s="5" t="s">
        <v>101</v>
      </c>
      <c r="E2332" s="5" t="str">
        <f t="shared" si="115"/>
        <v>ACTISALUD-CIRUGIA GENERAL-GUSTAVO GOMEZ</v>
      </c>
      <c r="F2332" s="5"/>
      <c r="G2332" s="5"/>
    </row>
    <row r="2333" spans="1:7" ht="58.5" customHeight="1" x14ac:dyDescent="0.25">
      <c r="A2333" s="5" t="str">
        <f>"H0030198"</f>
        <v>H0030198</v>
      </c>
      <c r="B2333" s="5" t="str">
        <f t="shared" si="118"/>
        <v>SILLA RECLINOMATICA</v>
      </c>
      <c r="C2333" s="6">
        <v>1065050</v>
      </c>
      <c r="D2333" s="5" t="s">
        <v>101</v>
      </c>
      <c r="E2333" s="5" t="str">
        <f t="shared" si="115"/>
        <v>ACTISALUD-CIRUGIA GENERAL-GUSTAVO GOMEZ</v>
      </c>
      <c r="F2333" s="5"/>
      <c r="G2333" s="5"/>
    </row>
    <row r="2334" spans="1:7" ht="58.5" customHeight="1" x14ac:dyDescent="0.25">
      <c r="A2334" s="5" t="str">
        <f>"H0030199"</f>
        <v>H0030199</v>
      </c>
      <c r="B2334" s="5" t="str">
        <f t="shared" si="118"/>
        <v>SILLA RECLINOMATICA</v>
      </c>
      <c r="C2334" s="6">
        <v>1065050</v>
      </c>
      <c r="D2334" s="5" t="s">
        <v>101</v>
      </c>
      <c r="E2334" s="5" t="str">
        <f t="shared" si="115"/>
        <v>ACTISALUD-CIRUGIA GENERAL-GUSTAVO GOMEZ</v>
      </c>
      <c r="F2334" s="5"/>
      <c r="G2334" s="5"/>
    </row>
    <row r="2335" spans="1:7" ht="58.5" customHeight="1" x14ac:dyDescent="0.25">
      <c r="A2335" s="5" t="str">
        <f>"H0030202"</f>
        <v>H0030202</v>
      </c>
      <c r="B2335" s="5" t="str">
        <f t="shared" si="118"/>
        <v>SILLA RECLINOMATICA</v>
      </c>
      <c r="C2335" s="6">
        <v>1065050</v>
      </c>
      <c r="D2335" s="5" t="s">
        <v>101</v>
      </c>
      <c r="E2335" s="5" t="str">
        <f t="shared" si="115"/>
        <v>ACTISALUD-CIRUGIA GENERAL-GUSTAVO GOMEZ</v>
      </c>
      <c r="F2335" s="5"/>
      <c r="G2335" s="5"/>
    </row>
    <row r="2336" spans="1:7" ht="58.5" customHeight="1" x14ac:dyDescent="0.25">
      <c r="A2336" s="5" t="str">
        <f>"H0030203"</f>
        <v>H0030203</v>
      </c>
      <c r="B2336" s="5" t="str">
        <f t="shared" si="118"/>
        <v>SILLA RECLINOMATICA</v>
      </c>
      <c r="C2336" s="6">
        <v>1065050</v>
      </c>
      <c r="D2336" s="5" t="s">
        <v>101</v>
      </c>
      <c r="E2336" s="5" t="str">
        <f t="shared" si="115"/>
        <v>ACTISALUD-CIRUGIA GENERAL-GUSTAVO GOMEZ</v>
      </c>
      <c r="F2336" s="5"/>
      <c r="G2336" s="5"/>
    </row>
    <row r="2337" spans="1:7" ht="58.5" customHeight="1" x14ac:dyDescent="0.25">
      <c r="A2337" s="5" t="str">
        <f>"H0030204"</f>
        <v>H0030204</v>
      </c>
      <c r="B2337" s="5" t="str">
        <f t="shared" si="118"/>
        <v>SILLA RECLINOMATICA</v>
      </c>
      <c r="C2337" s="6">
        <v>1065050</v>
      </c>
      <c r="D2337" s="5" t="s">
        <v>101</v>
      </c>
      <c r="E2337" s="5" t="str">
        <f t="shared" ref="E2337:E2400" si="119">"ACTISALUD-CIRUGIA GENERAL-GUSTAVO GOMEZ"</f>
        <v>ACTISALUD-CIRUGIA GENERAL-GUSTAVO GOMEZ</v>
      </c>
      <c r="F2337" s="5"/>
      <c r="G2337" s="5"/>
    </row>
    <row r="2338" spans="1:7" ht="58.5" customHeight="1" x14ac:dyDescent="0.25">
      <c r="A2338" s="5" t="str">
        <f>"H0030231"</f>
        <v>H0030231</v>
      </c>
      <c r="B2338" s="5" t="str">
        <f t="shared" si="118"/>
        <v>SILLA RECLINOMATICA</v>
      </c>
      <c r="C2338" s="6">
        <v>1065050</v>
      </c>
      <c r="D2338" s="5" t="s">
        <v>154</v>
      </c>
      <c r="E2338" s="5" t="str">
        <f t="shared" si="119"/>
        <v>ACTISALUD-CIRUGIA GENERAL-GUSTAVO GOMEZ</v>
      </c>
      <c r="F2338" s="5"/>
      <c r="G2338" s="5"/>
    </row>
    <row r="2339" spans="1:7" ht="58.5" customHeight="1" x14ac:dyDescent="0.25">
      <c r="A2339" s="5" t="str">
        <f>"H0030232"</f>
        <v>H0030232</v>
      </c>
      <c r="B2339" s="5" t="str">
        <f t="shared" si="118"/>
        <v>SILLA RECLINOMATICA</v>
      </c>
      <c r="C2339" s="6">
        <v>1065050</v>
      </c>
      <c r="D2339" s="5" t="s">
        <v>154</v>
      </c>
      <c r="E2339" s="5" t="str">
        <f t="shared" si="119"/>
        <v>ACTISALUD-CIRUGIA GENERAL-GUSTAVO GOMEZ</v>
      </c>
      <c r="F2339" s="5"/>
      <c r="G2339" s="5"/>
    </row>
    <row r="2340" spans="1:7" ht="58.5" customHeight="1" x14ac:dyDescent="0.25">
      <c r="A2340" s="5" t="str">
        <f>"H0030233"</f>
        <v>H0030233</v>
      </c>
      <c r="B2340" s="5" t="str">
        <f t="shared" si="118"/>
        <v>SILLA RECLINOMATICA</v>
      </c>
      <c r="C2340" s="6">
        <v>1065050</v>
      </c>
      <c r="D2340" s="5" t="s">
        <v>154</v>
      </c>
      <c r="E2340" s="5" t="str">
        <f t="shared" si="119"/>
        <v>ACTISALUD-CIRUGIA GENERAL-GUSTAVO GOMEZ</v>
      </c>
      <c r="F2340" s="5"/>
      <c r="G2340" s="5"/>
    </row>
    <row r="2341" spans="1:7" ht="58.5" customHeight="1" x14ac:dyDescent="0.25">
      <c r="A2341" s="5" t="str">
        <f>"H0030234"</f>
        <v>H0030234</v>
      </c>
      <c r="B2341" s="5" t="str">
        <f t="shared" si="118"/>
        <v>SILLA RECLINOMATICA</v>
      </c>
      <c r="C2341" s="6">
        <v>1065050</v>
      </c>
      <c r="D2341" s="5" t="s">
        <v>250</v>
      </c>
      <c r="E2341" s="5" t="str">
        <f t="shared" si="119"/>
        <v>ACTISALUD-CIRUGIA GENERAL-GUSTAVO GOMEZ</v>
      </c>
      <c r="F2341" s="5"/>
      <c r="G2341" s="5"/>
    </row>
    <row r="2342" spans="1:7" ht="58.5" customHeight="1" x14ac:dyDescent="0.25">
      <c r="A2342" s="5" t="str">
        <f>"H0030235"</f>
        <v>H0030235</v>
      </c>
      <c r="B2342" s="5" t="str">
        <f t="shared" si="118"/>
        <v>SILLA RECLINOMATICA</v>
      </c>
      <c r="C2342" s="6">
        <v>1065050</v>
      </c>
      <c r="D2342" s="5" t="s">
        <v>154</v>
      </c>
      <c r="E2342" s="5" t="str">
        <f t="shared" si="119"/>
        <v>ACTISALUD-CIRUGIA GENERAL-GUSTAVO GOMEZ</v>
      </c>
      <c r="F2342" s="5"/>
      <c r="G2342" s="5"/>
    </row>
    <row r="2343" spans="1:7" ht="58.5" customHeight="1" x14ac:dyDescent="0.25">
      <c r="A2343" s="5" t="str">
        <f>"H0030236"</f>
        <v>H0030236</v>
      </c>
      <c r="B2343" s="5" t="str">
        <f t="shared" si="118"/>
        <v>SILLA RECLINOMATICA</v>
      </c>
      <c r="C2343" s="6">
        <v>1065050</v>
      </c>
      <c r="D2343" s="5" t="s">
        <v>154</v>
      </c>
      <c r="E2343" s="5" t="str">
        <f t="shared" si="119"/>
        <v>ACTISALUD-CIRUGIA GENERAL-GUSTAVO GOMEZ</v>
      </c>
      <c r="F2343" s="5"/>
      <c r="G2343" s="5"/>
    </row>
    <row r="2344" spans="1:7" ht="58.5" customHeight="1" x14ac:dyDescent="0.25">
      <c r="A2344" s="5" t="str">
        <f>"H0030237"</f>
        <v>H0030237</v>
      </c>
      <c r="B2344" s="5" t="str">
        <f t="shared" si="118"/>
        <v>SILLA RECLINOMATICA</v>
      </c>
      <c r="C2344" s="6">
        <v>1065050</v>
      </c>
      <c r="D2344" s="5" t="s">
        <v>154</v>
      </c>
      <c r="E2344" s="5" t="str">
        <f t="shared" si="119"/>
        <v>ACTISALUD-CIRUGIA GENERAL-GUSTAVO GOMEZ</v>
      </c>
      <c r="F2344" s="5"/>
      <c r="G2344" s="5"/>
    </row>
    <row r="2345" spans="1:7" ht="58.5" customHeight="1" x14ac:dyDescent="0.25">
      <c r="A2345" s="5" t="str">
        <f>"h0030241"</f>
        <v>h0030241</v>
      </c>
      <c r="B2345" s="5" t="str">
        <f t="shared" si="118"/>
        <v>SILLA RECLINOMATICA</v>
      </c>
      <c r="C2345" s="6">
        <v>1065050</v>
      </c>
      <c r="D2345" s="5" t="s">
        <v>154</v>
      </c>
      <c r="E2345" s="5" t="str">
        <f t="shared" si="119"/>
        <v>ACTISALUD-CIRUGIA GENERAL-GUSTAVO GOMEZ</v>
      </c>
      <c r="F2345" s="5"/>
      <c r="G2345" s="5"/>
    </row>
    <row r="2346" spans="1:7" ht="58.5" customHeight="1" x14ac:dyDescent="0.25">
      <c r="A2346" s="5" t="str">
        <f>"h0030242"</f>
        <v>h0030242</v>
      </c>
      <c r="B2346" s="5" t="str">
        <f t="shared" si="118"/>
        <v>SILLA RECLINOMATICA</v>
      </c>
      <c r="C2346" s="6">
        <v>1065050</v>
      </c>
      <c r="D2346" s="5" t="s">
        <v>154</v>
      </c>
      <c r="E2346" s="5" t="str">
        <f t="shared" si="119"/>
        <v>ACTISALUD-CIRUGIA GENERAL-GUSTAVO GOMEZ</v>
      </c>
      <c r="F2346" s="5"/>
      <c r="G2346" s="5"/>
    </row>
    <row r="2347" spans="1:7" ht="58.5" customHeight="1" x14ac:dyDescent="0.25">
      <c r="A2347" s="5" t="str">
        <f>"H0030244"</f>
        <v>H0030244</v>
      </c>
      <c r="B2347" s="5" t="str">
        <f t="shared" si="118"/>
        <v>SILLA RECLINOMATICA</v>
      </c>
      <c r="C2347" s="6">
        <v>1065050</v>
      </c>
      <c r="D2347" s="5" t="s">
        <v>154</v>
      </c>
      <c r="E2347" s="5" t="str">
        <f t="shared" si="119"/>
        <v>ACTISALUD-CIRUGIA GENERAL-GUSTAVO GOMEZ</v>
      </c>
      <c r="F2347" s="5"/>
      <c r="G2347" s="5"/>
    </row>
    <row r="2348" spans="1:7" ht="58.5" customHeight="1" x14ac:dyDescent="0.25">
      <c r="A2348" s="5" t="str">
        <f>"H0030247"</f>
        <v>H0030247</v>
      </c>
      <c r="B2348" s="5" t="str">
        <f t="shared" si="118"/>
        <v>SILLA RECLINOMATICA</v>
      </c>
      <c r="C2348" s="6">
        <v>1065050</v>
      </c>
      <c r="D2348" s="5" t="s">
        <v>154</v>
      </c>
      <c r="E2348" s="5" t="str">
        <f t="shared" si="119"/>
        <v>ACTISALUD-CIRUGIA GENERAL-GUSTAVO GOMEZ</v>
      </c>
      <c r="F2348" s="5"/>
      <c r="G2348" s="5"/>
    </row>
    <row r="2349" spans="1:7" ht="58.5" customHeight="1" x14ac:dyDescent="0.25">
      <c r="A2349" s="5" t="str">
        <f>"H0030248"</f>
        <v>H0030248</v>
      </c>
      <c r="B2349" s="5" t="str">
        <f t="shared" si="118"/>
        <v>SILLA RECLINOMATICA</v>
      </c>
      <c r="C2349" s="6">
        <v>1065050</v>
      </c>
      <c r="D2349" s="5" t="s">
        <v>154</v>
      </c>
      <c r="E2349" s="5" t="str">
        <f t="shared" si="119"/>
        <v>ACTISALUD-CIRUGIA GENERAL-GUSTAVO GOMEZ</v>
      </c>
      <c r="F2349" s="5"/>
      <c r="G2349" s="5"/>
    </row>
    <row r="2350" spans="1:7" ht="58.5" customHeight="1" x14ac:dyDescent="0.25">
      <c r="A2350" s="5" t="str">
        <f>"H0030249"</f>
        <v>H0030249</v>
      </c>
      <c r="B2350" s="5" t="str">
        <f t="shared" si="118"/>
        <v>SILLA RECLINOMATICA</v>
      </c>
      <c r="C2350" s="6">
        <v>1065050</v>
      </c>
      <c r="D2350" s="5" t="s">
        <v>154</v>
      </c>
      <c r="E2350" s="5" t="str">
        <f t="shared" si="119"/>
        <v>ACTISALUD-CIRUGIA GENERAL-GUSTAVO GOMEZ</v>
      </c>
      <c r="F2350" s="5"/>
      <c r="G2350" s="5"/>
    </row>
    <row r="2351" spans="1:7" ht="58.5" customHeight="1" x14ac:dyDescent="0.25">
      <c r="A2351" s="5" t="str">
        <f>"H0030250"</f>
        <v>H0030250</v>
      </c>
      <c r="B2351" s="5" t="str">
        <f t="shared" si="118"/>
        <v>SILLA RECLINOMATICA</v>
      </c>
      <c r="C2351" s="6">
        <v>1065050</v>
      </c>
      <c r="D2351" s="5" t="s">
        <v>154</v>
      </c>
      <c r="E2351" s="5" t="str">
        <f t="shared" si="119"/>
        <v>ACTISALUD-CIRUGIA GENERAL-GUSTAVO GOMEZ</v>
      </c>
      <c r="F2351" s="5"/>
      <c r="G2351" s="5"/>
    </row>
    <row r="2352" spans="1:7" ht="58.5" customHeight="1" x14ac:dyDescent="0.25">
      <c r="A2352" s="5" t="str">
        <f>"H0030251"</f>
        <v>H0030251</v>
      </c>
      <c r="B2352" s="5" t="str">
        <f t="shared" si="118"/>
        <v>SILLA RECLINOMATICA</v>
      </c>
      <c r="C2352" s="6">
        <v>1065050</v>
      </c>
      <c r="D2352" s="5" t="s">
        <v>154</v>
      </c>
      <c r="E2352" s="5" t="str">
        <f t="shared" si="119"/>
        <v>ACTISALUD-CIRUGIA GENERAL-GUSTAVO GOMEZ</v>
      </c>
      <c r="F2352" s="5"/>
      <c r="G2352" s="5"/>
    </row>
    <row r="2353" spans="1:7" ht="58.5" customHeight="1" x14ac:dyDescent="0.25">
      <c r="A2353" s="5" t="str">
        <f>"H0030252"</f>
        <v>H0030252</v>
      </c>
      <c r="B2353" s="5" t="str">
        <f t="shared" si="118"/>
        <v>SILLA RECLINOMATICA</v>
      </c>
      <c r="C2353" s="6">
        <v>1065050</v>
      </c>
      <c r="D2353" s="5" t="s">
        <v>154</v>
      </c>
      <c r="E2353" s="5" t="str">
        <f t="shared" si="119"/>
        <v>ACTISALUD-CIRUGIA GENERAL-GUSTAVO GOMEZ</v>
      </c>
      <c r="F2353" s="5"/>
      <c r="G2353" s="5"/>
    </row>
    <row r="2354" spans="1:7" ht="58.5" customHeight="1" x14ac:dyDescent="0.25">
      <c r="A2354" s="5" t="str">
        <f>"H0030256"</f>
        <v>H0030256</v>
      </c>
      <c r="B2354" s="5" t="str">
        <f t="shared" si="118"/>
        <v>SILLA RECLINOMATICA</v>
      </c>
      <c r="C2354" s="6">
        <v>1065050</v>
      </c>
      <c r="D2354" s="5" t="s">
        <v>154</v>
      </c>
      <c r="E2354" s="5" t="str">
        <f t="shared" si="119"/>
        <v>ACTISALUD-CIRUGIA GENERAL-GUSTAVO GOMEZ</v>
      </c>
      <c r="F2354" s="5"/>
      <c r="G2354" s="5"/>
    </row>
    <row r="2355" spans="1:7" ht="58.5" customHeight="1" x14ac:dyDescent="0.25">
      <c r="A2355" s="5" t="str">
        <f>"H0030257"</f>
        <v>H0030257</v>
      </c>
      <c r="B2355" s="5" t="str">
        <f t="shared" si="118"/>
        <v>SILLA RECLINOMATICA</v>
      </c>
      <c r="C2355" s="6">
        <v>1065050</v>
      </c>
      <c r="D2355" s="5" t="s">
        <v>154</v>
      </c>
      <c r="E2355" s="5" t="str">
        <f t="shared" si="119"/>
        <v>ACTISALUD-CIRUGIA GENERAL-GUSTAVO GOMEZ</v>
      </c>
      <c r="F2355" s="5"/>
      <c r="G2355" s="5"/>
    </row>
    <row r="2356" spans="1:7" ht="58.5" customHeight="1" x14ac:dyDescent="0.25">
      <c r="A2356" s="5" t="str">
        <f>"H0030259"</f>
        <v>H0030259</v>
      </c>
      <c r="B2356" s="5" t="str">
        <f t="shared" si="118"/>
        <v>SILLA RECLINOMATICA</v>
      </c>
      <c r="C2356" s="6">
        <v>1065050</v>
      </c>
      <c r="D2356" s="5" t="s">
        <v>154</v>
      </c>
      <c r="E2356" s="5" t="str">
        <f t="shared" si="119"/>
        <v>ACTISALUD-CIRUGIA GENERAL-GUSTAVO GOMEZ</v>
      </c>
      <c r="F2356" s="5"/>
      <c r="G2356" s="5"/>
    </row>
    <row r="2357" spans="1:7" ht="58.5" customHeight="1" x14ac:dyDescent="0.25">
      <c r="A2357" s="5" t="str">
        <f>"H0030262"</f>
        <v>H0030262</v>
      </c>
      <c r="B2357" s="5" t="str">
        <f t="shared" si="118"/>
        <v>SILLA RECLINOMATICA</v>
      </c>
      <c r="C2357" s="6">
        <v>1065050</v>
      </c>
      <c r="D2357" s="5" t="s">
        <v>154</v>
      </c>
      <c r="E2357" s="5" t="str">
        <f t="shared" si="119"/>
        <v>ACTISALUD-CIRUGIA GENERAL-GUSTAVO GOMEZ</v>
      </c>
      <c r="F2357" s="5"/>
      <c r="G2357" s="5"/>
    </row>
    <row r="2358" spans="1:7" ht="58.5" customHeight="1" x14ac:dyDescent="0.25">
      <c r="A2358" s="5" t="str">
        <f>"H0030263"</f>
        <v>H0030263</v>
      </c>
      <c r="B2358" s="5" t="str">
        <f t="shared" si="118"/>
        <v>SILLA RECLINOMATICA</v>
      </c>
      <c r="C2358" s="6">
        <v>1065050</v>
      </c>
      <c r="D2358" s="5" t="s">
        <v>154</v>
      </c>
      <c r="E2358" s="5" t="str">
        <f t="shared" si="119"/>
        <v>ACTISALUD-CIRUGIA GENERAL-GUSTAVO GOMEZ</v>
      </c>
      <c r="F2358" s="5"/>
      <c r="G2358" s="5"/>
    </row>
    <row r="2359" spans="1:7" ht="58.5" customHeight="1" x14ac:dyDescent="0.25">
      <c r="A2359" s="5" t="str">
        <f>"H0030349"</f>
        <v>H0030349</v>
      </c>
      <c r="B2359" s="5" t="str">
        <f>"UNIDAD DE LLAMADO DE ENFERMERIA PARA BAÑO CON CORDON TIRADOR. RESISTENTE A SALPICADURAS DE AGUA Y LUZ INDICADORA DE PULSACIÓN"</f>
        <v>UNIDAD DE LLAMADO DE ENFERMERIA PARA BAÑO CON CORDON TIRADOR. RESISTENTE A SALPICADURAS DE AGUA Y LUZ INDICADORA DE PULSACIÓN</v>
      </c>
      <c r="C2359" s="6">
        <v>205537.98</v>
      </c>
      <c r="D2359" s="5" t="s">
        <v>155</v>
      </c>
      <c r="E2359" s="5" t="str">
        <f t="shared" si="119"/>
        <v>ACTISALUD-CIRUGIA GENERAL-GUSTAVO GOMEZ</v>
      </c>
      <c r="F2359" s="5"/>
      <c r="G2359" s="5"/>
    </row>
    <row r="2360" spans="1:7" ht="58.5" customHeight="1" x14ac:dyDescent="0.25">
      <c r="A2360" s="5" t="str">
        <f>"H0030490"</f>
        <v>H0030490</v>
      </c>
      <c r="B2360" s="5" t="str">
        <f>"UNIDAD DE LLAMADO DE ENFERMERIA PARA CAMA O BAÑO"</f>
        <v>UNIDAD DE LLAMADO DE ENFERMERIA PARA CAMA O BAÑO</v>
      </c>
      <c r="C2360" s="6">
        <v>207719.26</v>
      </c>
      <c r="D2360" s="5" t="s">
        <v>155</v>
      </c>
      <c r="E2360" s="5" t="str">
        <f t="shared" si="119"/>
        <v>ACTISALUD-CIRUGIA GENERAL-GUSTAVO GOMEZ</v>
      </c>
      <c r="F2360" s="5"/>
      <c r="G2360" s="5"/>
    </row>
    <row r="2361" spans="1:7" ht="58.5" customHeight="1" x14ac:dyDescent="0.25">
      <c r="A2361" s="5" t="str">
        <f>"H0030491"</f>
        <v>H0030491</v>
      </c>
      <c r="B2361" s="5" t="str">
        <f>"UNIDAD DE LLAMADO DE ENFERMERIA PARA CAMA O BAÑO"</f>
        <v>UNIDAD DE LLAMADO DE ENFERMERIA PARA CAMA O BAÑO</v>
      </c>
      <c r="C2361" s="6">
        <v>207719.26</v>
      </c>
      <c r="D2361" s="5" t="s">
        <v>155</v>
      </c>
      <c r="E2361" s="5" t="str">
        <f t="shared" si="119"/>
        <v>ACTISALUD-CIRUGIA GENERAL-GUSTAVO GOMEZ</v>
      </c>
      <c r="F2361" s="5"/>
      <c r="G2361" s="5"/>
    </row>
    <row r="2362" spans="1:7" ht="58.5" customHeight="1" x14ac:dyDescent="0.25">
      <c r="A2362" s="5" t="str">
        <f>"H0030492"</f>
        <v>H0030492</v>
      </c>
      <c r="B2362" s="5" t="str">
        <f>"UNIDAD DE LLAMADO DE ENFERMERIA PARA CAMA O BAÑO"</f>
        <v>UNIDAD DE LLAMADO DE ENFERMERIA PARA CAMA O BAÑO</v>
      </c>
      <c r="C2362" s="6">
        <v>207719.26</v>
      </c>
      <c r="D2362" s="5" t="s">
        <v>155</v>
      </c>
      <c r="E2362" s="5" t="str">
        <f t="shared" si="119"/>
        <v>ACTISALUD-CIRUGIA GENERAL-GUSTAVO GOMEZ</v>
      </c>
      <c r="F2362" s="5"/>
      <c r="G2362" s="5"/>
    </row>
    <row r="2363" spans="1:7" ht="58.5" customHeight="1" x14ac:dyDescent="0.25">
      <c r="A2363" s="5" t="str">
        <f>"H0030493"</f>
        <v>H0030493</v>
      </c>
      <c r="B2363" s="5" t="str">
        <f>"UNIDAD DE LLAMADO DE ENFERMERIA PARA CAMA O BAÑO"</f>
        <v>UNIDAD DE LLAMADO DE ENFERMERIA PARA CAMA O BAÑO</v>
      </c>
      <c r="C2363" s="6">
        <v>207719.26</v>
      </c>
      <c r="D2363" s="5" t="s">
        <v>155</v>
      </c>
      <c r="E2363" s="5" t="str">
        <f t="shared" si="119"/>
        <v>ACTISALUD-CIRUGIA GENERAL-GUSTAVO GOMEZ</v>
      </c>
      <c r="F2363" s="5"/>
      <c r="G2363" s="5"/>
    </row>
    <row r="2364" spans="1:7" ht="58.5" customHeight="1" x14ac:dyDescent="0.25">
      <c r="A2364" s="5" t="str">
        <f>"H0030494"</f>
        <v>H0030494</v>
      </c>
      <c r="B2364" s="5" t="str">
        <f>"UNIDAD DE LLAMADO DE ENFERMERIA PARA CAMA O BAÑO"</f>
        <v>UNIDAD DE LLAMADO DE ENFERMERIA PARA CAMA O BAÑO</v>
      </c>
      <c r="C2364" s="6">
        <v>207719.26</v>
      </c>
      <c r="D2364" s="5" t="s">
        <v>155</v>
      </c>
      <c r="E2364" s="5" t="str">
        <f t="shared" si="119"/>
        <v>ACTISALUD-CIRUGIA GENERAL-GUSTAVO GOMEZ</v>
      </c>
      <c r="F2364" s="5"/>
      <c r="G2364" s="5"/>
    </row>
    <row r="2365" spans="1:7" ht="58.5" customHeight="1" x14ac:dyDescent="0.25">
      <c r="A2365" s="5" t="str">
        <f>"H0031168"</f>
        <v>H0031168</v>
      </c>
      <c r="B2365" s="5" t="str">
        <f>"SILLA RECLINOMATICA"</f>
        <v>SILLA RECLINOMATICA</v>
      </c>
      <c r="C2365" s="6">
        <v>1065050</v>
      </c>
      <c r="D2365" s="5" t="s">
        <v>102</v>
      </c>
      <c r="E2365" s="5" t="str">
        <f t="shared" si="119"/>
        <v>ACTISALUD-CIRUGIA GENERAL-GUSTAVO GOMEZ</v>
      </c>
      <c r="F2365" s="5"/>
      <c r="G2365" s="5"/>
    </row>
    <row r="2366" spans="1:7" ht="58.5" customHeight="1" x14ac:dyDescent="0.25">
      <c r="A2366" s="5" t="str">
        <f>"H0031180"</f>
        <v>H0031180</v>
      </c>
      <c r="B2366"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366" s="6">
        <v>773500</v>
      </c>
      <c r="D2366" s="5" t="s">
        <v>251</v>
      </c>
      <c r="E2366" s="5" t="str">
        <f t="shared" si="119"/>
        <v>ACTISALUD-CIRUGIA GENERAL-GUSTAVO GOMEZ</v>
      </c>
      <c r="F2366" s="5"/>
      <c r="G2366" s="5"/>
    </row>
    <row r="2367" spans="1:7" ht="58.5" customHeight="1" x14ac:dyDescent="0.25">
      <c r="A2367" s="5" t="str">
        <f>"H0031181"</f>
        <v>H0031181</v>
      </c>
      <c r="B2367"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367" s="6">
        <v>773500</v>
      </c>
      <c r="D2367" s="5" t="s">
        <v>251</v>
      </c>
      <c r="E2367" s="5" t="str">
        <f t="shared" si="119"/>
        <v>ACTISALUD-CIRUGIA GENERAL-GUSTAVO GOMEZ</v>
      </c>
      <c r="F2367" s="5"/>
      <c r="G2367" s="5"/>
    </row>
    <row r="2368" spans="1:7" ht="58.5" customHeight="1" x14ac:dyDescent="0.25">
      <c r="A2368" s="5" t="str">
        <f>"H0031182"</f>
        <v>H0031182</v>
      </c>
      <c r="B2368"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368" s="6">
        <v>773500</v>
      </c>
      <c r="D2368" s="5" t="s">
        <v>251</v>
      </c>
      <c r="E2368" s="5" t="str">
        <f t="shared" si="119"/>
        <v>ACTISALUD-CIRUGIA GENERAL-GUSTAVO GOMEZ</v>
      </c>
      <c r="F2368" s="5"/>
      <c r="G2368" s="5"/>
    </row>
    <row r="2369" spans="1:7" ht="58.5" customHeight="1" x14ac:dyDescent="0.25">
      <c r="A2369" s="5" t="str">
        <f>"H0031188"</f>
        <v>H0031188</v>
      </c>
      <c r="B2369"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369" s="6">
        <v>773500</v>
      </c>
      <c r="D2369" s="5" t="s">
        <v>251</v>
      </c>
      <c r="E2369" s="5" t="str">
        <f t="shared" si="119"/>
        <v>ACTISALUD-CIRUGIA GENERAL-GUSTAVO GOMEZ</v>
      </c>
      <c r="F2369" s="5"/>
      <c r="G2369" s="5"/>
    </row>
    <row r="2370" spans="1:7" ht="58.5" customHeight="1" x14ac:dyDescent="0.25">
      <c r="A2370" s="5" t="str">
        <f>"H0031244"</f>
        <v>H0031244</v>
      </c>
      <c r="B2370" s="5" t="str">
        <f>"MUEBLE DE 2 PUESTOS CON MEDIDAS DE 1,64 MTS"</f>
        <v>MUEBLE DE 2 PUESTOS CON MEDIDAS DE 1,64 MTS</v>
      </c>
      <c r="C2370" s="6">
        <v>700000</v>
      </c>
      <c r="D2370" s="5" t="s">
        <v>104</v>
      </c>
      <c r="E2370" s="5" t="str">
        <f t="shared" si="119"/>
        <v>ACTISALUD-CIRUGIA GENERAL-GUSTAVO GOMEZ</v>
      </c>
      <c r="F2370" s="5"/>
      <c r="G2370" s="5"/>
    </row>
    <row r="2371" spans="1:7" ht="58.5" customHeight="1" x14ac:dyDescent="0.25">
      <c r="A2371" s="5" t="str">
        <f>"H0031252"</f>
        <v>H0031252</v>
      </c>
      <c r="B2371" s="5" t="str">
        <f>"MUEBLE DE 3 PUESTOS CON MEDIDAS DE 2,46 MTS"</f>
        <v>MUEBLE DE 3 PUESTOS CON MEDIDAS DE 2,46 MTS</v>
      </c>
      <c r="C2371" s="6">
        <v>1050000</v>
      </c>
      <c r="D2371" s="5" t="s">
        <v>104</v>
      </c>
      <c r="E2371" s="5" t="str">
        <f t="shared" si="119"/>
        <v>ACTISALUD-CIRUGIA GENERAL-GUSTAVO GOMEZ</v>
      </c>
      <c r="F2371" s="5"/>
      <c r="G2371" s="5"/>
    </row>
    <row r="2372" spans="1:7" ht="58.5" customHeight="1" x14ac:dyDescent="0.25">
      <c r="A2372" s="5" t="str">
        <f>"H0031276"</f>
        <v>H0031276</v>
      </c>
      <c r="B2372" s="5" t="str">
        <f>"MUEBLE DE 5 PUESTOS CON MEDIDAS DE 3,87 MTS"</f>
        <v>MUEBLE DE 5 PUESTOS CON MEDIDAS DE 3,87 MTS</v>
      </c>
      <c r="C2372" s="6">
        <v>1400000</v>
      </c>
      <c r="D2372" s="5" t="s">
        <v>104</v>
      </c>
      <c r="E2372" s="5" t="str">
        <f t="shared" si="119"/>
        <v>ACTISALUD-CIRUGIA GENERAL-GUSTAVO GOMEZ</v>
      </c>
      <c r="F2372" s="5"/>
      <c r="G2372" s="5"/>
    </row>
    <row r="2373" spans="1:7" ht="58.5" customHeight="1" x14ac:dyDescent="0.25">
      <c r="A2373" s="5" t="str">
        <f>"H0031292"</f>
        <v>H0031292</v>
      </c>
      <c r="B2373" s="5" t="str">
        <f>"SOFA DOBLE CON MEDIDAS DE 1,65 MTS"</f>
        <v>SOFA DOBLE CON MEDIDAS DE 1,65 MTS</v>
      </c>
      <c r="C2373" s="6">
        <v>910000</v>
      </c>
      <c r="D2373" s="5" t="s">
        <v>104</v>
      </c>
      <c r="E2373" s="5" t="str">
        <f t="shared" si="119"/>
        <v>ACTISALUD-CIRUGIA GENERAL-GUSTAVO GOMEZ</v>
      </c>
      <c r="F2373" s="5"/>
      <c r="G2373" s="5"/>
    </row>
    <row r="2374" spans="1:7" ht="58.5" customHeight="1" x14ac:dyDescent="0.25">
      <c r="A2374" s="5" t="str">
        <f>"H0031300"</f>
        <v>H0031300</v>
      </c>
      <c r="B2374" s="5" t="str">
        <f>"MINILUNA CON MEDIDAS DE 1,26 MTS X 0,65 MTS"</f>
        <v>MINILUNA CON MEDIDAS DE 1,26 MTS X 0,65 MTS</v>
      </c>
      <c r="C2374" s="6">
        <v>120000</v>
      </c>
      <c r="D2374" s="5" t="s">
        <v>104</v>
      </c>
      <c r="E2374" s="5" t="str">
        <f t="shared" si="119"/>
        <v>ACTISALUD-CIRUGIA GENERAL-GUSTAVO GOMEZ</v>
      </c>
      <c r="F2374" s="5"/>
      <c r="G2374" s="5"/>
    </row>
    <row r="2375" spans="1:7" ht="58.5" customHeight="1" x14ac:dyDescent="0.25">
      <c r="A2375" s="5" t="str">
        <f>"H0031474"</f>
        <v>H0031474</v>
      </c>
      <c r="B237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75" s="6">
        <v>3209500</v>
      </c>
      <c r="D2375" s="5" t="s">
        <v>16</v>
      </c>
      <c r="E2375" s="5" t="str">
        <f t="shared" si="119"/>
        <v>ACTISALUD-CIRUGIA GENERAL-GUSTAVO GOMEZ</v>
      </c>
      <c r="F2375" s="5"/>
      <c r="G2375" s="5"/>
    </row>
    <row r="2376" spans="1:7" ht="58.5" customHeight="1" x14ac:dyDescent="0.25">
      <c r="A2376" s="5" t="str">
        <f>"H0031652"</f>
        <v>H0031652</v>
      </c>
      <c r="B2376" s="5" t="str">
        <f>"COMPRESOR VASCULAR"</f>
        <v>COMPRESOR VASCULAR</v>
      </c>
      <c r="C2376" s="6">
        <v>4700500</v>
      </c>
      <c r="D2376" s="5" t="s">
        <v>252</v>
      </c>
      <c r="E2376" s="5" t="str">
        <f t="shared" si="119"/>
        <v>ACTISALUD-CIRUGIA GENERAL-GUSTAVO GOMEZ</v>
      </c>
      <c r="F2376" s="5"/>
      <c r="G2376" s="5"/>
    </row>
    <row r="2377" spans="1:7" ht="58.5" customHeight="1" x14ac:dyDescent="0.25">
      <c r="A2377" s="5" t="str">
        <f>"H0031653"</f>
        <v>H0031653</v>
      </c>
      <c r="B2377" s="5" t="str">
        <f>"COMPRESOR VASCULAR"</f>
        <v>COMPRESOR VASCULAR</v>
      </c>
      <c r="C2377" s="6">
        <v>4700500</v>
      </c>
      <c r="D2377" s="5" t="s">
        <v>252</v>
      </c>
      <c r="E2377" s="5" t="str">
        <f t="shared" si="119"/>
        <v>ACTISALUD-CIRUGIA GENERAL-GUSTAVO GOMEZ</v>
      </c>
      <c r="F2377" s="5"/>
      <c r="G2377" s="5"/>
    </row>
    <row r="2378" spans="1:7" ht="58.5" customHeight="1" x14ac:dyDescent="0.25">
      <c r="A2378" s="5" t="str">
        <f>"H0031683"</f>
        <v>H0031683</v>
      </c>
      <c r="B2378" s="5" t="str">
        <f>"MESA (CARRO) DE CURACIONES"</f>
        <v>MESA (CARRO) DE CURACIONES</v>
      </c>
      <c r="C2378" s="6">
        <v>190400</v>
      </c>
      <c r="D2378" s="5" t="s">
        <v>156</v>
      </c>
      <c r="E2378" s="5" t="str">
        <f t="shared" si="119"/>
        <v>ACTISALUD-CIRUGIA GENERAL-GUSTAVO GOMEZ</v>
      </c>
      <c r="F2378" s="5"/>
      <c r="G2378" s="5"/>
    </row>
    <row r="2379" spans="1:7" ht="58.5" customHeight="1" x14ac:dyDescent="0.25">
      <c r="A2379" s="5" t="str">
        <f>"H0031685"</f>
        <v>H0031685</v>
      </c>
      <c r="B2379" s="5" t="str">
        <f>"MESA (CARRO) DE CURACIONES"</f>
        <v>MESA (CARRO) DE CURACIONES</v>
      </c>
      <c r="C2379" s="6">
        <v>190400</v>
      </c>
      <c r="D2379" s="5" t="s">
        <v>156</v>
      </c>
      <c r="E2379" s="5" t="str">
        <f t="shared" si="119"/>
        <v>ACTISALUD-CIRUGIA GENERAL-GUSTAVO GOMEZ</v>
      </c>
      <c r="F2379" s="5"/>
      <c r="G2379" s="5"/>
    </row>
    <row r="2380" spans="1:7" ht="58.5" customHeight="1" x14ac:dyDescent="0.25">
      <c r="A2380" s="5" t="str">
        <f>"H0031790"</f>
        <v>H0031790</v>
      </c>
      <c r="B2380" s="5" t="str">
        <f>"SOFA DE TRES PUESTOS 2.1X0.7 MADERA PARDILLO CUERINA PRADA"</f>
        <v>SOFA DE TRES PUESTOS 2.1X0.7 MADERA PARDILLO CUERINA PRADA</v>
      </c>
      <c r="C2380" s="6">
        <v>1300000</v>
      </c>
      <c r="D2380" s="5" t="s">
        <v>253</v>
      </c>
      <c r="E2380" s="5" t="str">
        <f t="shared" si="119"/>
        <v>ACTISALUD-CIRUGIA GENERAL-GUSTAVO GOMEZ</v>
      </c>
      <c r="F2380" s="5"/>
      <c r="G2380" s="5"/>
    </row>
    <row r="2381" spans="1:7" ht="58.5" customHeight="1" x14ac:dyDescent="0.25">
      <c r="A2381" s="5" t="str">
        <f>"H0031797"</f>
        <v>H0031797</v>
      </c>
      <c r="B2381" s="5" t="str">
        <f>"Tandem metálico de 3 puestos para sala de espera tapizados en material lavable"</f>
        <v>Tandem metálico de 3 puestos para sala de espera tapizados en material lavable</v>
      </c>
      <c r="C2381" s="6">
        <v>550000.17000000004</v>
      </c>
      <c r="D2381" s="5" t="s">
        <v>43</v>
      </c>
      <c r="E2381" s="5" t="str">
        <f t="shared" si="119"/>
        <v>ACTISALUD-CIRUGIA GENERAL-GUSTAVO GOMEZ</v>
      </c>
      <c r="F2381" s="5"/>
      <c r="G2381" s="5"/>
    </row>
    <row r="2382" spans="1:7" ht="58.5" customHeight="1" x14ac:dyDescent="0.25">
      <c r="A2382" s="5" t="str">
        <f>"H0031798"</f>
        <v>H0031798</v>
      </c>
      <c r="B2382" s="5" t="str">
        <f>"Tandem metálico de 3 puestos para sala de espera tapizados en material lavable"</f>
        <v>Tandem metálico de 3 puestos para sala de espera tapizados en material lavable</v>
      </c>
      <c r="C2382" s="6">
        <v>550000.17000000004</v>
      </c>
      <c r="D2382" s="5" t="s">
        <v>43</v>
      </c>
      <c r="E2382" s="5" t="str">
        <f t="shared" si="119"/>
        <v>ACTISALUD-CIRUGIA GENERAL-GUSTAVO GOMEZ</v>
      </c>
      <c r="F2382" s="5"/>
      <c r="G2382" s="5"/>
    </row>
    <row r="2383" spans="1:7" ht="58.5" customHeight="1" x14ac:dyDescent="0.25">
      <c r="A2383" s="5" t="str">
        <f>"h0031799"</f>
        <v>h0031799</v>
      </c>
      <c r="B2383" s="5" t="str">
        <f>"Tandem metálico de 3 puestos para sala de espera tapizados en material lavable"</f>
        <v>Tandem metálico de 3 puestos para sala de espera tapizados en material lavable</v>
      </c>
      <c r="C2383" s="6">
        <v>550000.17000000004</v>
      </c>
      <c r="D2383" s="5" t="s">
        <v>43</v>
      </c>
      <c r="E2383" s="5" t="str">
        <f t="shared" si="119"/>
        <v>ACTISALUD-CIRUGIA GENERAL-GUSTAVO GOMEZ</v>
      </c>
      <c r="F2383" s="5"/>
      <c r="G2383" s="5"/>
    </row>
    <row r="2384" spans="1:7" ht="58.5" customHeight="1" x14ac:dyDescent="0.25">
      <c r="A2384" s="5" t="str">
        <f>"H0031800"</f>
        <v>H0031800</v>
      </c>
      <c r="B2384" s="5" t="str">
        <f>"Tandem metálico de 3 puestos para sala de espera tapizados en material lavable"</f>
        <v>Tandem metálico de 3 puestos para sala de espera tapizados en material lavable</v>
      </c>
      <c r="C2384" s="6">
        <v>550000.17000000004</v>
      </c>
      <c r="D2384" s="5" t="s">
        <v>43</v>
      </c>
      <c r="E2384" s="5" t="str">
        <f t="shared" si="119"/>
        <v>ACTISALUD-CIRUGIA GENERAL-GUSTAVO GOMEZ</v>
      </c>
      <c r="F2384" s="5"/>
      <c r="G2384" s="5"/>
    </row>
    <row r="2385" spans="1:7" ht="58.5" customHeight="1" x14ac:dyDescent="0.25">
      <c r="A2385" s="5" t="str">
        <f>"H0031987"</f>
        <v>H0031987</v>
      </c>
      <c r="B2385" s="5" t="str">
        <f>"BOMBA DE INFUSION"</f>
        <v>BOMBA DE INFUSION</v>
      </c>
      <c r="C2385" s="6">
        <v>1900000</v>
      </c>
      <c r="D2385" s="5" t="s">
        <v>107</v>
      </c>
      <c r="E2385" s="5" t="str">
        <f t="shared" si="119"/>
        <v>ACTISALUD-CIRUGIA GENERAL-GUSTAVO GOMEZ</v>
      </c>
      <c r="F2385" s="5"/>
      <c r="G2385" s="5"/>
    </row>
    <row r="2386" spans="1:7" ht="58.5" customHeight="1" x14ac:dyDescent="0.25">
      <c r="A2386" s="5" t="str">
        <f>"H0032220"</f>
        <v>H0032220</v>
      </c>
      <c r="B2386" s="5" t="str">
        <f t="shared" ref="B2386:B2409" si="120">"CAMA ELECTRICA ADULTOS"</f>
        <v>CAMA ELECTRICA ADULTOS</v>
      </c>
      <c r="C2386" s="6">
        <v>7745200</v>
      </c>
      <c r="D2386" s="5" t="s">
        <v>231</v>
      </c>
      <c r="E2386" s="5" t="str">
        <f t="shared" si="119"/>
        <v>ACTISALUD-CIRUGIA GENERAL-GUSTAVO GOMEZ</v>
      </c>
      <c r="F2386" s="5"/>
      <c r="G2386" s="5"/>
    </row>
    <row r="2387" spans="1:7" ht="58.5" customHeight="1" x14ac:dyDescent="0.25">
      <c r="A2387" s="5" t="str">
        <f>"H0032221"</f>
        <v>H0032221</v>
      </c>
      <c r="B2387" s="5" t="str">
        <f t="shared" si="120"/>
        <v>CAMA ELECTRICA ADULTOS</v>
      </c>
      <c r="C2387" s="6">
        <v>7745200</v>
      </c>
      <c r="D2387" s="5" t="s">
        <v>231</v>
      </c>
      <c r="E2387" s="5" t="str">
        <f t="shared" si="119"/>
        <v>ACTISALUD-CIRUGIA GENERAL-GUSTAVO GOMEZ</v>
      </c>
      <c r="F2387" s="5"/>
      <c r="G2387" s="5"/>
    </row>
    <row r="2388" spans="1:7" ht="58.5" customHeight="1" x14ac:dyDescent="0.25">
      <c r="A2388" s="5" t="str">
        <f>"H0032222"</f>
        <v>H0032222</v>
      </c>
      <c r="B2388" s="5" t="str">
        <f t="shared" si="120"/>
        <v>CAMA ELECTRICA ADULTOS</v>
      </c>
      <c r="C2388" s="6">
        <v>7745200</v>
      </c>
      <c r="D2388" s="5" t="s">
        <v>231</v>
      </c>
      <c r="E2388" s="5" t="str">
        <f t="shared" si="119"/>
        <v>ACTISALUD-CIRUGIA GENERAL-GUSTAVO GOMEZ</v>
      </c>
      <c r="F2388" s="5"/>
      <c r="G2388" s="5"/>
    </row>
    <row r="2389" spans="1:7" ht="58.5" customHeight="1" x14ac:dyDescent="0.25">
      <c r="A2389" s="5" t="str">
        <f>"H0032223"</f>
        <v>H0032223</v>
      </c>
      <c r="B2389" s="5" t="str">
        <f t="shared" si="120"/>
        <v>CAMA ELECTRICA ADULTOS</v>
      </c>
      <c r="C2389" s="6">
        <v>7745200</v>
      </c>
      <c r="D2389" s="5" t="s">
        <v>231</v>
      </c>
      <c r="E2389" s="5" t="str">
        <f t="shared" si="119"/>
        <v>ACTISALUD-CIRUGIA GENERAL-GUSTAVO GOMEZ</v>
      </c>
      <c r="F2389" s="5"/>
      <c r="G2389" s="5"/>
    </row>
    <row r="2390" spans="1:7" ht="58.5" customHeight="1" x14ac:dyDescent="0.25">
      <c r="A2390" s="5" t="str">
        <f>"H0032225"</f>
        <v>H0032225</v>
      </c>
      <c r="B2390" s="5" t="str">
        <f t="shared" si="120"/>
        <v>CAMA ELECTRICA ADULTOS</v>
      </c>
      <c r="C2390" s="6">
        <v>7745200</v>
      </c>
      <c r="D2390" s="5" t="s">
        <v>231</v>
      </c>
      <c r="E2390" s="5" t="str">
        <f t="shared" si="119"/>
        <v>ACTISALUD-CIRUGIA GENERAL-GUSTAVO GOMEZ</v>
      </c>
      <c r="F2390" s="5"/>
      <c r="G2390" s="5"/>
    </row>
    <row r="2391" spans="1:7" ht="58.5" customHeight="1" x14ac:dyDescent="0.25">
      <c r="A2391" s="5" t="str">
        <f>"H0032226"</f>
        <v>H0032226</v>
      </c>
      <c r="B2391" s="5" t="str">
        <f t="shared" si="120"/>
        <v>CAMA ELECTRICA ADULTOS</v>
      </c>
      <c r="C2391" s="6">
        <v>7745200</v>
      </c>
      <c r="D2391" s="5" t="s">
        <v>231</v>
      </c>
      <c r="E2391" s="5" t="str">
        <f t="shared" si="119"/>
        <v>ACTISALUD-CIRUGIA GENERAL-GUSTAVO GOMEZ</v>
      </c>
      <c r="F2391" s="5"/>
      <c r="G2391" s="5"/>
    </row>
    <row r="2392" spans="1:7" ht="58.5" customHeight="1" x14ac:dyDescent="0.25">
      <c r="A2392" s="5" t="str">
        <f>"H0032227"</f>
        <v>H0032227</v>
      </c>
      <c r="B2392" s="5" t="str">
        <f t="shared" si="120"/>
        <v>CAMA ELECTRICA ADULTOS</v>
      </c>
      <c r="C2392" s="6">
        <v>7745200</v>
      </c>
      <c r="D2392" s="5" t="s">
        <v>231</v>
      </c>
      <c r="E2392" s="5" t="str">
        <f t="shared" si="119"/>
        <v>ACTISALUD-CIRUGIA GENERAL-GUSTAVO GOMEZ</v>
      </c>
      <c r="F2392" s="5"/>
      <c r="G2392" s="5"/>
    </row>
    <row r="2393" spans="1:7" ht="58.5" customHeight="1" x14ac:dyDescent="0.25">
      <c r="A2393" s="5" t="str">
        <f>"H0032228"</f>
        <v>H0032228</v>
      </c>
      <c r="B2393" s="5" t="str">
        <f t="shared" si="120"/>
        <v>CAMA ELECTRICA ADULTOS</v>
      </c>
      <c r="C2393" s="6">
        <v>7745200</v>
      </c>
      <c r="D2393" s="5" t="s">
        <v>231</v>
      </c>
      <c r="E2393" s="5" t="str">
        <f t="shared" si="119"/>
        <v>ACTISALUD-CIRUGIA GENERAL-GUSTAVO GOMEZ</v>
      </c>
      <c r="F2393" s="5"/>
      <c r="G2393" s="5"/>
    </row>
    <row r="2394" spans="1:7" ht="58.5" customHeight="1" x14ac:dyDescent="0.25">
      <c r="A2394" s="5" t="str">
        <f>"H0032229"</f>
        <v>H0032229</v>
      </c>
      <c r="B2394" s="5" t="str">
        <f t="shared" si="120"/>
        <v>CAMA ELECTRICA ADULTOS</v>
      </c>
      <c r="C2394" s="6">
        <v>7745200</v>
      </c>
      <c r="D2394" s="5" t="s">
        <v>231</v>
      </c>
      <c r="E2394" s="5" t="str">
        <f t="shared" si="119"/>
        <v>ACTISALUD-CIRUGIA GENERAL-GUSTAVO GOMEZ</v>
      </c>
      <c r="F2394" s="5"/>
      <c r="G2394" s="5"/>
    </row>
    <row r="2395" spans="1:7" ht="58.5" customHeight="1" x14ac:dyDescent="0.25">
      <c r="A2395" s="5" t="str">
        <f>"H0032230"</f>
        <v>H0032230</v>
      </c>
      <c r="B2395" s="5" t="str">
        <f t="shared" si="120"/>
        <v>CAMA ELECTRICA ADULTOS</v>
      </c>
      <c r="C2395" s="6">
        <v>7745200</v>
      </c>
      <c r="D2395" s="5" t="s">
        <v>231</v>
      </c>
      <c r="E2395" s="5" t="str">
        <f t="shared" si="119"/>
        <v>ACTISALUD-CIRUGIA GENERAL-GUSTAVO GOMEZ</v>
      </c>
      <c r="F2395" s="5"/>
      <c r="G2395" s="5"/>
    </row>
    <row r="2396" spans="1:7" ht="58.5" customHeight="1" x14ac:dyDescent="0.25">
      <c r="A2396" s="5" t="str">
        <f>"H0032231"</f>
        <v>H0032231</v>
      </c>
      <c r="B2396" s="5" t="str">
        <f t="shared" si="120"/>
        <v>CAMA ELECTRICA ADULTOS</v>
      </c>
      <c r="C2396" s="6">
        <v>7745200</v>
      </c>
      <c r="D2396" s="5" t="s">
        <v>231</v>
      </c>
      <c r="E2396" s="5" t="str">
        <f t="shared" si="119"/>
        <v>ACTISALUD-CIRUGIA GENERAL-GUSTAVO GOMEZ</v>
      </c>
      <c r="F2396" s="5"/>
      <c r="G2396" s="5"/>
    </row>
    <row r="2397" spans="1:7" ht="58.5" customHeight="1" x14ac:dyDescent="0.25">
      <c r="A2397" s="5" t="str">
        <f>"H0032232"</f>
        <v>H0032232</v>
      </c>
      <c r="B2397" s="5" t="str">
        <f t="shared" si="120"/>
        <v>CAMA ELECTRICA ADULTOS</v>
      </c>
      <c r="C2397" s="6">
        <v>7745200</v>
      </c>
      <c r="D2397" s="5" t="s">
        <v>231</v>
      </c>
      <c r="E2397" s="5" t="str">
        <f t="shared" si="119"/>
        <v>ACTISALUD-CIRUGIA GENERAL-GUSTAVO GOMEZ</v>
      </c>
      <c r="F2397" s="5"/>
      <c r="G2397" s="5"/>
    </row>
    <row r="2398" spans="1:7" ht="58.5" customHeight="1" x14ac:dyDescent="0.25">
      <c r="A2398" s="5" t="str">
        <f>"H0032233"</f>
        <v>H0032233</v>
      </c>
      <c r="B2398" s="5" t="str">
        <f t="shared" si="120"/>
        <v>CAMA ELECTRICA ADULTOS</v>
      </c>
      <c r="C2398" s="6">
        <v>7745200</v>
      </c>
      <c r="D2398" s="5" t="s">
        <v>231</v>
      </c>
      <c r="E2398" s="5" t="str">
        <f t="shared" si="119"/>
        <v>ACTISALUD-CIRUGIA GENERAL-GUSTAVO GOMEZ</v>
      </c>
      <c r="F2398" s="5"/>
      <c r="G2398" s="5"/>
    </row>
    <row r="2399" spans="1:7" ht="58.5" customHeight="1" x14ac:dyDescent="0.25">
      <c r="A2399" s="5" t="str">
        <f>"H0032234"</f>
        <v>H0032234</v>
      </c>
      <c r="B2399" s="5" t="str">
        <f t="shared" si="120"/>
        <v>CAMA ELECTRICA ADULTOS</v>
      </c>
      <c r="C2399" s="6">
        <v>7745200</v>
      </c>
      <c r="D2399" s="5" t="s">
        <v>231</v>
      </c>
      <c r="E2399" s="5" t="str">
        <f t="shared" si="119"/>
        <v>ACTISALUD-CIRUGIA GENERAL-GUSTAVO GOMEZ</v>
      </c>
      <c r="F2399" s="5"/>
      <c r="G2399" s="5"/>
    </row>
    <row r="2400" spans="1:7" ht="58.5" customHeight="1" x14ac:dyDescent="0.25">
      <c r="A2400" s="5" t="str">
        <f>"H0032235"</f>
        <v>H0032235</v>
      </c>
      <c r="B2400" s="5" t="str">
        <f t="shared" si="120"/>
        <v>CAMA ELECTRICA ADULTOS</v>
      </c>
      <c r="C2400" s="6">
        <v>7745200</v>
      </c>
      <c r="D2400" s="5" t="s">
        <v>231</v>
      </c>
      <c r="E2400" s="5" t="str">
        <f t="shared" si="119"/>
        <v>ACTISALUD-CIRUGIA GENERAL-GUSTAVO GOMEZ</v>
      </c>
      <c r="F2400" s="5"/>
      <c r="G2400" s="5"/>
    </row>
    <row r="2401" spans="1:7" ht="58.5" customHeight="1" x14ac:dyDescent="0.25">
      <c r="A2401" s="5" t="str">
        <f>"H0032236"</f>
        <v>H0032236</v>
      </c>
      <c r="B2401" s="5" t="str">
        <f t="shared" si="120"/>
        <v>CAMA ELECTRICA ADULTOS</v>
      </c>
      <c r="C2401" s="6">
        <v>7745200</v>
      </c>
      <c r="D2401" s="5" t="s">
        <v>231</v>
      </c>
      <c r="E2401" s="5" t="str">
        <f t="shared" ref="E2401:E2464" si="121">"ACTISALUD-CIRUGIA GENERAL-GUSTAVO GOMEZ"</f>
        <v>ACTISALUD-CIRUGIA GENERAL-GUSTAVO GOMEZ</v>
      </c>
      <c r="F2401" s="5"/>
      <c r="G2401" s="5"/>
    </row>
    <row r="2402" spans="1:7" ht="58.5" customHeight="1" x14ac:dyDescent="0.25">
      <c r="A2402" s="5" t="str">
        <f>"H0032237"</f>
        <v>H0032237</v>
      </c>
      <c r="B2402" s="5" t="str">
        <f t="shared" si="120"/>
        <v>CAMA ELECTRICA ADULTOS</v>
      </c>
      <c r="C2402" s="6">
        <v>7745200</v>
      </c>
      <c r="D2402" s="5" t="s">
        <v>231</v>
      </c>
      <c r="E2402" s="5" t="str">
        <f t="shared" si="121"/>
        <v>ACTISALUD-CIRUGIA GENERAL-GUSTAVO GOMEZ</v>
      </c>
      <c r="F2402" s="5"/>
      <c r="G2402" s="5"/>
    </row>
    <row r="2403" spans="1:7" ht="58.5" customHeight="1" x14ac:dyDescent="0.25">
      <c r="A2403" s="5" t="str">
        <f>"H0032240"</f>
        <v>H0032240</v>
      </c>
      <c r="B2403" s="5" t="str">
        <f t="shared" si="120"/>
        <v>CAMA ELECTRICA ADULTOS</v>
      </c>
      <c r="C2403" s="6">
        <v>7745200</v>
      </c>
      <c r="D2403" s="5" t="s">
        <v>231</v>
      </c>
      <c r="E2403" s="5" t="str">
        <f t="shared" si="121"/>
        <v>ACTISALUD-CIRUGIA GENERAL-GUSTAVO GOMEZ</v>
      </c>
      <c r="F2403" s="5"/>
      <c r="G2403" s="5"/>
    </row>
    <row r="2404" spans="1:7" ht="58.5" customHeight="1" x14ac:dyDescent="0.25">
      <c r="A2404" s="5" t="str">
        <f>"H0032241"</f>
        <v>H0032241</v>
      </c>
      <c r="B2404" s="5" t="str">
        <f t="shared" si="120"/>
        <v>CAMA ELECTRICA ADULTOS</v>
      </c>
      <c r="C2404" s="6">
        <v>7745200</v>
      </c>
      <c r="D2404" s="5" t="s">
        <v>231</v>
      </c>
      <c r="E2404" s="5" t="str">
        <f t="shared" si="121"/>
        <v>ACTISALUD-CIRUGIA GENERAL-GUSTAVO GOMEZ</v>
      </c>
      <c r="F2404" s="5"/>
      <c r="G2404" s="5"/>
    </row>
    <row r="2405" spans="1:7" ht="58.5" customHeight="1" x14ac:dyDescent="0.25">
      <c r="A2405" s="5" t="str">
        <f>"H0032242"</f>
        <v>H0032242</v>
      </c>
      <c r="B2405" s="5" t="str">
        <f t="shared" si="120"/>
        <v>CAMA ELECTRICA ADULTOS</v>
      </c>
      <c r="C2405" s="6">
        <v>7745200</v>
      </c>
      <c r="D2405" s="5" t="s">
        <v>231</v>
      </c>
      <c r="E2405" s="5" t="str">
        <f t="shared" si="121"/>
        <v>ACTISALUD-CIRUGIA GENERAL-GUSTAVO GOMEZ</v>
      </c>
      <c r="F2405" s="5"/>
      <c r="G2405" s="5"/>
    </row>
    <row r="2406" spans="1:7" ht="58.5" customHeight="1" x14ac:dyDescent="0.25">
      <c r="A2406" s="5" t="str">
        <f>"H0032244"</f>
        <v>H0032244</v>
      </c>
      <c r="B2406" s="5" t="str">
        <f t="shared" si="120"/>
        <v>CAMA ELECTRICA ADULTOS</v>
      </c>
      <c r="C2406" s="6">
        <v>7745200</v>
      </c>
      <c r="D2406" s="5" t="s">
        <v>231</v>
      </c>
      <c r="E2406" s="5" t="str">
        <f t="shared" si="121"/>
        <v>ACTISALUD-CIRUGIA GENERAL-GUSTAVO GOMEZ</v>
      </c>
      <c r="F2406" s="5"/>
      <c r="G2406" s="5"/>
    </row>
    <row r="2407" spans="1:7" ht="58.5" customHeight="1" x14ac:dyDescent="0.25">
      <c r="A2407" s="5" t="str">
        <f>"H0032245"</f>
        <v>H0032245</v>
      </c>
      <c r="B2407" s="5" t="str">
        <f t="shared" si="120"/>
        <v>CAMA ELECTRICA ADULTOS</v>
      </c>
      <c r="C2407" s="6">
        <v>7745200</v>
      </c>
      <c r="D2407" s="5" t="s">
        <v>231</v>
      </c>
      <c r="E2407" s="5" t="str">
        <f t="shared" si="121"/>
        <v>ACTISALUD-CIRUGIA GENERAL-GUSTAVO GOMEZ</v>
      </c>
      <c r="F2407" s="5"/>
      <c r="G2407" s="5"/>
    </row>
    <row r="2408" spans="1:7" ht="58.5" customHeight="1" x14ac:dyDescent="0.25">
      <c r="A2408" s="5" t="str">
        <f>"H0032246"</f>
        <v>H0032246</v>
      </c>
      <c r="B2408" s="5" t="str">
        <f t="shared" si="120"/>
        <v>CAMA ELECTRICA ADULTOS</v>
      </c>
      <c r="C2408" s="6">
        <v>7745200</v>
      </c>
      <c r="D2408" s="5" t="s">
        <v>231</v>
      </c>
      <c r="E2408" s="5" t="str">
        <f t="shared" si="121"/>
        <v>ACTISALUD-CIRUGIA GENERAL-GUSTAVO GOMEZ</v>
      </c>
      <c r="F2408" s="5"/>
      <c r="G2408" s="5"/>
    </row>
    <row r="2409" spans="1:7" ht="58.5" customHeight="1" x14ac:dyDescent="0.25">
      <c r="A2409" s="5" t="str">
        <f>"H0032248"</f>
        <v>H0032248</v>
      </c>
      <c r="B2409" s="5" t="str">
        <f t="shared" si="120"/>
        <v>CAMA ELECTRICA ADULTOS</v>
      </c>
      <c r="C2409" s="6">
        <v>7745200</v>
      </c>
      <c r="D2409" s="5" t="s">
        <v>231</v>
      </c>
      <c r="E2409" s="5" t="str">
        <f t="shared" si="121"/>
        <v>ACTISALUD-CIRUGIA GENERAL-GUSTAVO GOMEZ</v>
      </c>
      <c r="F2409" s="5"/>
      <c r="G2409" s="5"/>
    </row>
    <row r="2410" spans="1:7" ht="58.5" customHeight="1" x14ac:dyDescent="0.25">
      <c r="A2410" s="5" t="str">
        <f>"H0032317"</f>
        <v>H0032317</v>
      </c>
      <c r="B2410" s="5" t="str">
        <f>"SOPORTE PEDESTAL MONITOR"</f>
        <v>SOPORTE PEDESTAL MONITOR</v>
      </c>
      <c r="C2410" s="6">
        <v>1140020</v>
      </c>
      <c r="D2410" s="5" t="s">
        <v>232</v>
      </c>
      <c r="E2410" s="5" t="str">
        <f t="shared" si="121"/>
        <v>ACTISALUD-CIRUGIA GENERAL-GUSTAVO GOMEZ</v>
      </c>
      <c r="F2410" s="5"/>
      <c r="G2410" s="5"/>
    </row>
    <row r="2411" spans="1:7" ht="58.5" customHeight="1" x14ac:dyDescent="0.25">
      <c r="A2411" s="5" t="str">
        <f>"H0032319"</f>
        <v>H0032319</v>
      </c>
      <c r="B2411" s="5" t="str">
        <f>"SOPORTE PEDESTAL MONITOR"</f>
        <v>SOPORTE PEDESTAL MONITOR</v>
      </c>
      <c r="C2411" s="6">
        <v>1140020</v>
      </c>
      <c r="D2411" s="5" t="s">
        <v>232</v>
      </c>
      <c r="E2411" s="5" t="str">
        <f t="shared" si="121"/>
        <v>ACTISALUD-CIRUGIA GENERAL-GUSTAVO GOMEZ</v>
      </c>
      <c r="F2411" s="5"/>
      <c r="G2411" s="5"/>
    </row>
    <row r="2412" spans="1:7" ht="58.5" customHeight="1" x14ac:dyDescent="0.25">
      <c r="A2412" s="5" t="str">
        <f>"H0032348"</f>
        <v>H0032348</v>
      </c>
      <c r="B2412" s="5" t="str">
        <f>"CAMA BARIATRICA"</f>
        <v>CAMA BARIATRICA</v>
      </c>
      <c r="C2412" s="6">
        <v>20682800</v>
      </c>
      <c r="D2412" s="5" t="s">
        <v>254</v>
      </c>
      <c r="E2412" s="5" t="str">
        <f t="shared" si="121"/>
        <v>ACTISALUD-CIRUGIA GENERAL-GUSTAVO GOMEZ</v>
      </c>
      <c r="F2412" s="5"/>
      <c r="G2412" s="5"/>
    </row>
    <row r="2413" spans="1:7" ht="58.5" customHeight="1" x14ac:dyDescent="0.25">
      <c r="A2413" s="5" t="str">
        <f>"H0032349"</f>
        <v>H0032349</v>
      </c>
      <c r="B2413" s="5" t="str">
        <f>"CAMA BARIATRICA"</f>
        <v>CAMA BARIATRICA</v>
      </c>
      <c r="C2413" s="6">
        <v>20682800</v>
      </c>
      <c r="D2413" s="5" t="s">
        <v>254</v>
      </c>
      <c r="E2413" s="5" t="str">
        <f t="shared" si="121"/>
        <v>ACTISALUD-CIRUGIA GENERAL-GUSTAVO GOMEZ</v>
      </c>
      <c r="F2413" s="5"/>
      <c r="G2413" s="5"/>
    </row>
    <row r="2414" spans="1:7" ht="58.5" customHeight="1" x14ac:dyDescent="0.25">
      <c r="A2414" s="5" t="str">
        <f>"H0032603"</f>
        <v>H0032603</v>
      </c>
      <c r="B2414" s="5" t="str">
        <f>"CAMILLA DE TRANSPORTE Y RECUPERACION (DONACION)"</f>
        <v>CAMILLA DE TRANSPORTE Y RECUPERACION (DONACION)</v>
      </c>
      <c r="C2414" s="6">
        <v>814000</v>
      </c>
      <c r="D2414" s="5" t="s">
        <v>113</v>
      </c>
      <c r="E2414" s="5" t="str">
        <f t="shared" si="121"/>
        <v>ACTISALUD-CIRUGIA GENERAL-GUSTAVO GOMEZ</v>
      </c>
      <c r="F2414" s="5"/>
      <c r="G2414" s="5"/>
    </row>
    <row r="2415" spans="1:7" ht="58.5" customHeight="1" x14ac:dyDescent="0.25">
      <c r="A2415" s="5" t="str">
        <f>"H0032605"</f>
        <v>H0032605</v>
      </c>
      <c r="B2415" s="5" t="str">
        <f>"CAMILLA DE TRANSPORTE Y RECUPERACION (DONACION)"</f>
        <v>CAMILLA DE TRANSPORTE Y RECUPERACION (DONACION)</v>
      </c>
      <c r="C2415" s="6">
        <v>814000</v>
      </c>
      <c r="D2415" s="5" t="s">
        <v>113</v>
      </c>
      <c r="E2415" s="5" t="str">
        <f t="shared" si="121"/>
        <v>ACTISALUD-CIRUGIA GENERAL-GUSTAVO GOMEZ</v>
      </c>
      <c r="F2415" s="5"/>
      <c r="G2415" s="5"/>
    </row>
    <row r="2416" spans="1:7" ht="58.5" customHeight="1" x14ac:dyDescent="0.25">
      <c r="A2416" s="5" t="str">
        <f>"H0032670"</f>
        <v>H0032670</v>
      </c>
      <c r="B2416" s="5" t="str">
        <f>"CAMILLA DE TRANSPORTE Y RECUPERACION (DONACION)"</f>
        <v>CAMILLA DE TRANSPORTE Y RECUPERACION (DONACION)</v>
      </c>
      <c r="C2416" s="6">
        <v>814000</v>
      </c>
      <c r="D2416" s="5" t="s">
        <v>115</v>
      </c>
      <c r="E2416" s="5" t="str">
        <f t="shared" si="121"/>
        <v>ACTISALUD-CIRUGIA GENERAL-GUSTAVO GOMEZ</v>
      </c>
      <c r="F2416" s="5"/>
      <c r="G2416" s="5"/>
    </row>
    <row r="2417" spans="1:7" ht="58.5" customHeight="1" x14ac:dyDescent="0.25">
      <c r="A2417" s="5" t="str">
        <f>"H0033110"</f>
        <v>H0033110</v>
      </c>
      <c r="B2417" s="5" t="str">
        <f>"MONITOR DE SIGNOS VITALES"</f>
        <v>MONITOR DE SIGNOS VITALES</v>
      </c>
      <c r="C2417" s="6">
        <v>9470000</v>
      </c>
      <c r="D2417" s="5" t="s">
        <v>119</v>
      </c>
      <c r="E2417" s="5" t="str">
        <f t="shared" si="121"/>
        <v>ACTISALUD-CIRUGIA GENERAL-GUSTAVO GOMEZ</v>
      </c>
      <c r="F2417" s="5"/>
      <c r="G2417" s="5"/>
    </row>
    <row r="2418" spans="1:7" ht="58.5" customHeight="1" x14ac:dyDescent="0.25">
      <c r="A2418" s="5" t="str">
        <f>"H0033424"</f>
        <v>H0033424</v>
      </c>
      <c r="B2418"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18" s="6">
        <v>2533333</v>
      </c>
      <c r="D2418" s="5" t="s">
        <v>120</v>
      </c>
      <c r="E2418" s="5" t="str">
        <f t="shared" si="121"/>
        <v>ACTISALUD-CIRUGIA GENERAL-GUSTAVO GOMEZ</v>
      </c>
      <c r="F2418" s="5"/>
      <c r="G2418" s="5"/>
    </row>
    <row r="2419" spans="1:7" ht="58.5" customHeight="1" x14ac:dyDescent="0.25">
      <c r="A2419" s="5" t="str">
        <f>"H0033431"</f>
        <v>H0033431</v>
      </c>
      <c r="B2419" s="5" t="str">
        <f>"BOMBA DE NUTRICION. 1 mL/h a 600 mL/h. 1 mL/h a 5 mL/h incr. ± 7% a 125 mL/h. Cumple 60601-2-24."</f>
        <v>BOMBA DE NUTRICION. 1 mL/h a 600 mL/h. 1 mL/h a 5 mL/h incr. ± 7% a 125 mL/h. Cumple 60601-2-24.</v>
      </c>
      <c r="C2419" s="6">
        <v>3066667</v>
      </c>
      <c r="D2419" s="5" t="s">
        <v>120</v>
      </c>
      <c r="E2419" s="5" t="str">
        <f t="shared" si="121"/>
        <v>ACTISALUD-CIRUGIA GENERAL-GUSTAVO GOMEZ</v>
      </c>
      <c r="F2419" s="5"/>
      <c r="G2419" s="5"/>
    </row>
    <row r="2420" spans="1:7" ht="58.5" customHeight="1" x14ac:dyDescent="0.25">
      <c r="A2420" s="5" t="str">
        <f>"H0033437"</f>
        <v>H0033437</v>
      </c>
      <c r="B2420" s="5" t="str">
        <f>"BOMBA DE NUTRICION. 1 mL/h a 600 mL/h. 1 mL/h a 5 mL/h incr. ± 7% a 125 mL/h. Cumple 60601-2-24."</f>
        <v>BOMBA DE NUTRICION. 1 mL/h a 600 mL/h. 1 mL/h a 5 mL/h incr. ± 7% a 125 mL/h. Cumple 60601-2-24.</v>
      </c>
      <c r="C2420" s="6">
        <v>3066667</v>
      </c>
      <c r="D2420" s="5" t="s">
        <v>120</v>
      </c>
      <c r="E2420" s="5" t="str">
        <f t="shared" si="121"/>
        <v>ACTISALUD-CIRUGIA GENERAL-GUSTAVO GOMEZ</v>
      </c>
      <c r="F2420" s="5"/>
      <c r="G2420" s="5"/>
    </row>
    <row r="2421" spans="1:7" ht="58.5" customHeight="1" x14ac:dyDescent="0.25">
      <c r="A2421" s="5" t="str">
        <f>"H0033438"</f>
        <v>H0033438</v>
      </c>
      <c r="B2421" s="5" t="str">
        <f>"BOMBA DE NUTRICION. 1 mL/h a 600 mL/h. 1 mL/h a 5 mL/h incr. ± 7% a 125 mL/h. Cumple 60601-2-24."</f>
        <v>BOMBA DE NUTRICION. 1 mL/h a 600 mL/h. 1 mL/h a 5 mL/h incr. ± 7% a 125 mL/h. Cumple 60601-2-24.</v>
      </c>
      <c r="C2421" s="6">
        <v>3066667</v>
      </c>
      <c r="D2421" s="5" t="s">
        <v>120</v>
      </c>
      <c r="E2421" s="5" t="str">
        <f t="shared" si="121"/>
        <v>ACTISALUD-CIRUGIA GENERAL-GUSTAVO GOMEZ</v>
      </c>
      <c r="F2421" s="5"/>
      <c r="G2421" s="5"/>
    </row>
    <row r="2422" spans="1:7" ht="58.5" customHeight="1" x14ac:dyDescent="0.25">
      <c r="A2422" s="5" t="str">
        <f>"H0033485"</f>
        <v>H0033485</v>
      </c>
      <c r="B2422"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22" s="6">
        <v>2533333</v>
      </c>
      <c r="D2422" s="5" t="s">
        <v>120</v>
      </c>
      <c r="E2422" s="5" t="str">
        <f t="shared" si="121"/>
        <v>ACTISALUD-CIRUGIA GENERAL-GUSTAVO GOMEZ</v>
      </c>
      <c r="F2422" s="5"/>
      <c r="G2422" s="5"/>
    </row>
    <row r="2423" spans="1:7" ht="58.5" customHeight="1" x14ac:dyDescent="0.25">
      <c r="A2423" s="5" t="str">
        <f>"H0033687"</f>
        <v>H0033687</v>
      </c>
      <c r="B2423"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23" s="6">
        <v>2533333</v>
      </c>
      <c r="D2423" s="5" t="s">
        <v>120</v>
      </c>
      <c r="E2423" s="5" t="str">
        <f t="shared" si="121"/>
        <v>ACTISALUD-CIRUGIA GENERAL-GUSTAVO GOMEZ</v>
      </c>
      <c r="F2423" s="5"/>
      <c r="G2423" s="5"/>
    </row>
    <row r="2424" spans="1:7" ht="58.5" customHeight="1" x14ac:dyDescent="0.25">
      <c r="A2424" s="5" t="str">
        <f>"H0033720"</f>
        <v>H0033720</v>
      </c>
      <c r="B2424"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24" s="6">
        <v>2533333</v>
      </c>
      <c r="D2424" s="5" t="s">
        <v>120</v>
      </c>
      <c r="E2424" s="5" t="str">
        <f t="shared" si="121"/>
        <v>ACTISALUD-CIRUGIA GENERAL-GUSTAVO GOMEZ</v>
      </c>
      <c r="F2424" s="5"/>
      <c r="G2424" s="5"/>
    </row>
    <row r="2425" spans="1:7" ht="58.5" customHeight="1" x14ac:dyDescent="0.25">
      <c r="A2425" s="5" t="str">
        <f>"H0033898"</f>
        <v>H0033898</v>
      </c>
      <c r="B2425" s="5" t="str">
        <f>"BOMBA DE NUTRICION. 1 mL/h a 600 mL/h. 1 mL/h a 5 mL/h incr. ± 7% a 125 mL/h. Cumple 60601-2-24."</f>
        <v>BOMBA DE NUTRICION. 1 mL/h a 600 mL/h. 1 mL/h a 5 mL/h incr. ± 7% a 125 mL/h. Cumple 60601-2-24.</v>
      </c>
      <c r="C2425" s="6">
        <v>3066667</v>
      </c>
      <c r="D2425" s="5" t="s">
        <v>120</v>
      </c>
      <c r="E2425" s="5" t="str">
        <f t="shared" si="121"/>
        <v>ACTISALUD-CIRUGIA GENERAL-GUSTAVO GOMEZ</v>
      </c>
      <c r="F2425" s="5"/>
      <c r="G2425" s="5"/>
    </row>
    <row r="2426" spans="1:7" ht="58.5" customHeight="1" x14ac:dyDescent="0.25">
      <c r="A2426" s="5" t="str">
        <f>"H0033912"</f>
        <v>H0033912</v>
      </c>
      <c r="B2426" s="5" t="str">
        <f>"LECTOR DE HUELLAS DIGITALES"</f>
        <v>LECTOR DE HUELLAS DIGITALES</v>
      </c>
      <c r="C2426" s="6">
        <v>340340</v>
      </c>
      <c r="D2426" s="5" t="s">
        <v>119</v>
      </c>
      <c r="E2426" s="5" t="str">
        <f t="shared" si="121"/>
        <v>ACTISALUD-CIRUGIA GENERAL-GUSTAVO GOMEZ</v>
      </c>
      <c r="F2426" s="5"/>
      <c r="G2426" s="5"/>
    </row>
    <row r="2427" spans="1:7" ht="58.5" customHeight="1" x14ac:dyDescent="0.25">
      <c r="A2427" s="5" t="str">
        <f>"H0033918"</f>
        <v>H0033918</v>
      </c>
      <c r="B2427" s="5" t="str">
        <f>"LECTOR DE HUELLAS DIGITALES"</f>
        <v>LECTOR DE HUELLAS DIGITALES</v>
      </c>
      <c r="C2427" s="6">
        <v>340340</v>
      </c>
      <c r="D2427" s="5" t="s">
        <v>119</v>
      </c>
      <c r="E2427" s="5" t="str">
        <f t="shared" si="121"/>
        <v>ACTISALUD-CIRUGIA GENERAL-GUSTAVO GOMEZ</v>
      </c>
      <c r="F2427" s="5"/>
      <c r="G2427" s="5"/>
    </row>
    <row r="2428" spans="1:7" ht="58.5" customHeight="1" x14ac:dyDescent="0.25">
      <c r="A2428" s="5" t="str">
        <f>"H0033923"</f>
        <v>H0033923</v>
      </c>
      <c r="B2428" s="5" t="str">
        <f>"LECTOR DE HUELLAS DIGITALES"</f>
        <v>LECTOR DE HUELLAS DIGITALES</v>
      </c>
      <c r="C2428" s="6">
        <v>340340</v>
      </c>
      <c r="D2428" s="5" t="s">
        <v>119</v>
      </c>
      <c r="E2428" s="5" t="str">
        <f t="shared" si="121"/>
        <v>ACTISALUD-CIRUGIA GENERAL-GUSTAVO GOMEZ</v>
      </c>
      <c r="F2428" s="5"/>
      <c r="G2428" s="5"/>
    </row>
    <row r="2429" spans="1:7" ht="58.5" customHeight="1" x14ac:dyDescent="0.25">
      <c r="A2429" s="5" t="str">
        <f>"h0033930"</f>
        <v>h0033930</v>
      </c>
      <c r="B2429" s="5" t="str">
        <f>"LECTOR DE HUELLAS DIGITALES"</f>
        <v>LECTOR DE HUELLAS DIGITALES</v>
      </c>
      <c r="C2429" s="6">
        <v>340340</v>
      </c>
      <c r="D2429" s="5" t="s">
        <v>119</v>
      </c>
      <c r="E2429" s="5" t="str">
        <f t="shared" si="121"/>
        <v>ACTISALUD-CIRUGIA GENERAL-GUSTAVO GOMEZ</v>
      </c>
      <c r="F2429" s="5"/>
      <c r="G2429" s="5"/>
    </row>
    <row r="2430" spans="1:7" ht="58.5" customHeight="1" x14ac:dyDescent="0.25">
      <c r="A2430" s="5" t="str">
        <f>"H0033931"</f>
        <v>H0033931</v>
      </c>
      <c r="B2430" s="5" t="str">
        <f>"LECTOR DE HUELLAS DIGITALES"</f>
        <v>LECTOR DE HUELLAS DIGITALES</v>
      </c>
      <c r="C2430" s="6">
        <v>340340</v>
      </c>
      <c r="D2430" s="5" t="s">
        <v>119</v>
      </c>
      <c r="E2430" s="5" t="str">
        <f t="shared" si="121"/>
        <v>ACTISALUD-CIRUGIA GENERAL-GUSTAVO GOMEZ</v>
      </c>
      <c r="F2430" s="5"/>
      <c r="G2430" s="5"/>
    </row>
    <row r="2431" spans="1:7" ht="58.5" customHeight="1" x14ac:dyDescent="0.25">
      <c r="A2431" s="5" t="str">
        <f>"H0034098"</f>
        <v>H0034098</v>
      </c>
      <c r="B243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431" s="6">
        <v>5604900</v>
      </c>
      <c r="D2431" s="5" t="s">
        <v>192</v>
      </c>
      <c r="E2431" s="5" t="str">
        <f t="shared" si="121"/>
        <v>ACTISALUD-CIRUGIA GENERAL-GUSTAVO GOMEZ</v>
      </c>
      <c r="F2431" s="5"/>
      <c r="G2431" s="5"/>
    </row>
    <row r="2432" spans="1:7" ht="58.5" customHeight="1" x14ac:dyDescent="0.25">
      <c r="A2432" s="5" t="str">
        <f>"H0034100"</f>
        <v>H0034100</v>
      </c>
      <c r="B243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432" s="6">
        <v>5604900</v>
      </c>
      <c r="D2432" s="5" t="s">
        <v>192</v>
      </c>
      <c r="E2432" s="5" t="str">
        <f t="shared" si="121"/>
        <v>ACTISALUD-CIRUGIA GENERAL-GUSTAVO GOMEZ</v>
      </c>
      <c r="F2432" s="5"/>
      <c r="G2432" s="5"/>
    </row>
    <row r="2433" spans="1:7" ht="58.5" customHeight="1" x14ac:dyDescent="0.25">
      <c r="A2433" s="5" t="str">
        <f>"H0034646"</f>
        <v>H0034646</v>
      </c>
      <c r="B2433" s="5" t="str">
        <f>"bomba de infusion (DONACION)"</f>
        <v>bomba de infusion (DONACION)</v>
      </c>
      <c r="C2433" s="6">
        <v>7049854</v>
      </c>
      <c r="D2433" s="5" t="s">
        <v>124</v>
      </c>
      <c r="E2433" s="5" t="str">
        <f t="shared" si="121"/>
        <v>ACTISALUD-CIRUGIA GENERAL-GUSTAVO GOMEZ</v>
      </c>
      <c r="F2433" s="5"/>
      <c r="G2433" s="5"/>
    </row>
    <row r="2434" spans="1:7" ht="58.5" customHeight="1" x14ac:dyDescent="0.25">
      <c r="A2434" s="5" t="str">
        <f>"H0034647"</f>
        <v>H0034647</v>
      </c>
      <c r="B2434" s="5" t="str">
        <f>"bomba de infusion (DONACION)"</f>
        <v>bomba de infusion (DONACION)</v>
      </c>
      <c r="C2434" s="6">
        <v>7049854</v>
      </c>
      <c r="D2434" s="5" t="s">
        <v>124</v>
      </c>
      <c r="E2434" s="5" t="str">
        <f t="shared" si="121"/>
        <v>ACTISALUD-CIRUGIA GENERAL-GUSTAVO GOMEZ</v>
      </c>
      <c r="F2434" s="5"/>
      <c r="G2434" s="5"/>
    </row>
    <row r="2435" spans="1:7" ht="58.5" customHeight="1" x14ac:dyDescent="0.25">
      <c r="A2435" s="5" t="str">
        <f>"H0034717"</f>
        <v>H0034717</v>
      </c>
      <c r="B2435" s="5" t="str">
        <f>"BOMBA DE NUTRICION (DONACION)"</f>
        <v>BOMBA DE NUTRICION (DONACION)</v>
      </c>
      <c r="C2435" s="6">
        <v>5850000</v>
      </c>
      <c r="D2435" s="5" t="s">
        <v>124</v>
      </c>
      <c r="E2435" s="5" t="str">
        <f t="shared" si="121"/>
        <v>ACTISALUD-CIRUGIA GENERAL-GUSTAVO GOMEZ</v>
      </c>
      <c r="F2435" s="5"/>
      <c r="G2435" s="5"/>
    </row>
    <row r="2436" spans="1:7" ht="58.5" customHeight="1" x14ac:dyDescent="0.25">
      <c r="A2436" s="5" t="str">
        <f>"H0034720"</f>
        <v>H0034720</v>
      </c>
      <c r="B2436" s="5" t="str">
        <f>"BOMBA DE NUTRICION (DONACION)"</f>
        <v>BOMBA DE NUTRICION (DONACION)</v>
      </c>
      <c r="C2436" s="6">
        <v>5850000</v>
      </c>
      <c r="D2436" s="5" t="s">
        <v>124</v>
      </c>
      <c r="E2436" s="5" t="str">
        <f t="shared" si="121"/>
        <v>ACTISALUD-CIRUGIA GENERAL-GUSTAVO GOMEZ</v>
      </c>
      <c r="F2436" s="5"/>
      <c r="G2436" s="5"/>
    </row>
    <row r="2437" spans="1:7" ht="58.5" customHeight="1" x14ac:dyDescent="0.25">
      <c r="A2437" s="5" t="str">
        <f>"H0034738"</f>
        <v>H0034738</v>
      </c>
      <c r="B2437" s="5" t="str">
        <f>"BOMBA DE NUTRICION (DONACION)"</f>
        <v>BOMBA DE NUTRICION (DONACION)</v>
      </c>
      <c r="C2437" s="6">
        <v>5850000</v>
      </c>
      <c r="D2437" s="5" t="s">
        <v>124</v>
      </c>
      <c r="E2437" s="5" t="str">
        <f t="shared" si="121"/>
        <v>ACTISALUD-CIRUGIA GENERAL-GUSTAVO GOMEZ</v>
      </c>
      <c r="F2437" s="5"/>
      <c r="G2437" s="5" t="str">
        <f>"ENTEROPORT PLUS"</f>
        <v>ENTEROPORT PLUS</v>
      </c>
    </row>
    <row r="2438" spans="1:7" ht="58.5" customHeight="1" x14ac:dyDescent="0.25">
      <c r="A2438" s="5" t="str">
        <f>"H0035196"</f>
        <v>H0035196</v>
      </c>
      <c r="B2438" s="5" t="str">
        <f>"LECTOR DE HUELLAS DIGITALES"</f>
        <v>LECTOR DE HUELLAS DIGITALES</v>
      </c>
      <c r="C2438" s="6">
        <v>357666.4</v>
      </c>
      <c r="D2438" s="5" t="s">
        <v>126</v>
      </c>
      <c r="E2438" s="5" t="str">
        <f t="shared" si="121"/>
        <v>ACTISALUD-CIRUGIA GENERAL-GUSTAVO GOMEZ</v>
      </c>
      <c r="F2438" s="5"/>
      <c r="G2438" s="5"/>
    </row>
    <row r="2439" spans="1:7" ht="58.5" customHeight="1" x14ac:dyDescent="0.25">
      <c r="A2439" s="5" t="str">
        <f>"H0035197"</f>
        <v>H0035197</v>
      </c>
      <c r="B2439" s="5" t="str">
        <f>"LECTOR DE HUELLAS DIGITALES"</f>
        <v>LECTOR DE HUELLAS DIGITALES</v>
      </c>
      <c r="C2439" s="6">
        <v>357666.4</v>
      </c>
      <c r="D2439" s="5" t="s">
        <v>126</v>
      </c>
      <c r="E2439" s="5" t="str">
        <f t="shared" si="121"/>
        <v>ACTISALUD-CIRUGIA GENERAL-GUSTAVO GOMEZ</v>
      </c>
      <c r="F2439" s="5"/>
      <c r="G2439" s="5"/>
    </row>
    <row r="2440" spans="1:7" ht="58.5" customHeight="1" x14ac:dyDescent="0.25">
      <c r="A2440" s="5" t="str">
        <f>"H0035198"</f>
        <v>H0035198</v>
      </c>
      <c r="B2440" s="5" t="str">
        <f>"LECTOR DE HUELLAS DIGITALES"</f>
        <v>LECTOR DE HUELLAS DIGITALES</v>
      </c>
      <c r="C2440" s="6">
        <v>357666.4</v>
      </c>
      <c r="D2440" s="5" t="s">
        <v>126</v>
      </c>
      <c r="E2440" s="5" t="str">
        <f t="shared" si="121"/>
        <v>ACTISALUD-CIRUGIA GENERAL-GUSTAVO GOMEZ</v>
      </c>
      <c r="F2440" s="5"/>
      <c r="G2440" s="5"/>
    </row>
    <row r="2441" spans="1:7" ht="58.5" customHeight="1" x14ac:dyDescent="0.25">
      <c r="A2441" s="5" t="str">
        <f>"H0035323"</f>
        <v>H0035323</v>
      </c>
      <c r="B2441" s="5" t="s">
        <v>128</v>
      </c>
      <c r="C2441" s="6">
        <v>5462100</v>
      </c>
      <c r="D2441" s="5" t="s">
        <v>127</v>
      </c>
      <c r="E2441" s="5" t="str">
        <f t="shared" si="121"/>
        <v>ACTISALUD-CIRUGIA GENERAL-GUSTAVO GOMEZ</v>
      </c>
      <c r="F2441" s="5"/>
      <c r="G2441" s="5" t="str">
        <f>"202G4AIO"</f>
        <v>202G4AIO</v>
      </c>
    </row>
    <row r="2442" spans="1:7" ht="58.5" customHeight="1" x14ac:dyDescent="0.25">
      <c r="A2442" s="5" t="str">
        <f>"H0035325"</f>
        <v>H0035325</v>
      </c>
      <c r="B2442" s="5" t="s">
        <v>128</v>
      </c>
      <c r="C2442" s="6">
        <v>5462100</v>
      </c>
      <c r="D2442" s="5" t="s">
        <v>127</v>
      </c>
      <c r="E2442" s="5" t="str">
        <f t="shared" si="121"/>
        <v>ACTISALUD-CIRUGIA GENERAL-GUSTAVO GOMEZ</v>
      </c>
      <c r="F2442" s="5"/>
      <c r="G2442" s="5" t="str">
        <f>"202G4AIO"</f>
        <v>202G4AIO</v>
      </c>
    </row>
    <row r="2443" spans="1:7" ht="58.5" customHeight="1" x14ac:dyDescent="0.25">
      <c r="A2443" s="5" t="str">
        <f>"H0035467"</f>
        <v>H0035467</v>
      </c>
      <c r="B2443" s="5" t="str">
        <f>"CARRO DE PARO (DONACION)"</f>
        <v>CARRO DE PARO (DONACION)</v>
      </c>
      <c r="C2443" s="6">
        <v>1971019.75</v>
      </c>
      <c r="D2443" s="5" t="s">
        <v>130</v>
      </c>
      <c r="E2443" s="5" t="str">
        <f t="shared" si="121"/>
        <v>ACTISALUD-CIRUGIA GENERAL-GUSTAVO GOMEZ</v>
      </c>
      <c r="F2443" s="5"/>
      <c r="G2443" s="5"/>
    </row>
    <row r="2444" spans="1:7" ht="58.5" customHeight="1" x14ac:dyDescent="0.25">
      <c r="A2444" s="5" t="str">
        <f>"H0035475"</f>
        <v>H0035475</v>
      </c>
      <c r="B2444" s="5" t="str">
        <f>"CARRO PORTA HISTORIAS CLINICAS"</f>
        <v>CARRO PORTA HISTORIAS CLINICAS</v>
      </c>
      <c r="C2444" s="6">
        <v>758875.01</v>
      </c>
      <c r="D2444" s="5" t="s">
        <v>159</v>
      </c>
      <c r="E2444" s="5" t="str">
        <f t="shared" si="121"/>
        <v>ACTISALUD-CIRUGIA GENERAL-GUSTAVO GOMEZ</v>
      </c>
      <c r="F2444" s="5"/>
      <c r="G2444" s="5"/>
    </row>
    <row r="2445" spans="1:7" ht="58.5" customHeight="1" x14ac:dyDescent="0.25">
      <c r="A2445" s="5" t="str">
        <f>"H0035476"</f>
        <v>H0035476</v>
      </c>
      <c r="B2445" s="5" t="str">
        <f>"CARRO PORTA HISTORIAS CLINICAS"</f>
        <v>CARRO PORTA HISTORIAS CLINICAS</v>
      </c>
      <c r="C2445" s="6">
        <v>758875.01</v>
      </c>
      <c r="D2445" s="5" t="s">
        <v>159</v>
      </c>
      <c r="E2445" s="5" t="str">
        <f t="shared" si="121"/>
        <v>ACTISALUD-CIRUGIA GENERAL-GUSTAVO GOMEZ</v>
      </c>
      <c r="F2445" s="5"/>
      <c r="G2445" s="5"/>
    </row>
    <row r="2446" spans="1:7" ht="58.5" customHeight="1" x14ac:dyDescent="0.25">
      <c r="A2446" s="5" t="str">
        <f>"H0035816"</f>
        <v>H0035816</v>
      </c>
      <c r="B2446" s="5" t="str">
        <f t="shared" ref="B2446:B2454" si="122">"SILLA GERENTE NIZA MEC. BASCULANTE CON BRAZOS."</f>
        <v>SILLA GERENTE NIZA MEC. BASCULANTE CON BRAZOS.</v>
      </c>
      <c r="C2446" s="6">
        <v>640002.24</v>
      </c>
      <c r="D2446" s="5" t="s">
        <v>47</v>
      </c>
      <c r="E2446" s="5" t="str">
        <f t="shared" si="121"/>
        <v>ACTISALUD-CIRUGIA GENERAL-GUSTAVO GOMEZ</v>
      </c>
      <c r="F2446" s="5"/>
      <c r="G2446" s="5"/>
    </row>
    <row r="2447" spans="1:7" ht="58.5" customHeight="1" x14ac:dyDescent="0.25">
      <c r="A2447" s="5" t="str">
        <f>"H0035817"</f>
        <v>H0035817</v>
      </c>
      <c r="B2447" s="5" t="str">
        <f t="shared" si="122"/>
        <v>SILLA GERENTE NIZA MEC. BASCULANTE CON BRAZOS.</v>
      </c>
      <c r="C2447" s="6">
        <v>640002.24</v>
      </c>
      <c r="D2447" s="5" t="s">
        <v>47</v>
      </c>
      <c r="E2447" s="5" t="str">
        <f t="shared" si="121"/>
        <v>ACTISALUD-CIRUGIA GENERAL-GUSTAVO GOMEZ</v>
      </c>
      <c r="F2447" s="5"/>
      <c r="G2447" s="5"/>
    </row>
    <row r="2448" spans="1:7" ht="58.5" customHeight="1" x14ac:dyDescent="0.25">
      <c r="A2448" s="5" t="str">
        <f>"H0035818"</f>
        <v>H0035818</v>
      </c>
      <c r="B2448" s="5" t="str">
        <f t="shared" si="122"/>
        <v>SILLA GERENTE NIZA MEC. BASCULANTE CON BRAZOS.</v>
      </c>
      <c r="C2448" s="6">
        <v>640002.24</v>
      </c>
      <c r="D2448" s="5" t="s">
        <v>47</v>
      </c>
      <c r="E2448" s="5" t="str">
        <f t="shared" si="121"/>
        <v>ACTISALUD-CIRUGIA GENERAL-GUSTAVO GOMEZ</v>
      </c>
      <c r="F2448" s="5"/>
      <c r="G2448" s="5"/>
    </row>
    <row r="2449" spans="1:7" ht="58.5" customHeight="1" x14ac:dyDescent="0.25">
      <c r="A2449" s="5" t="str">
        <f>"H0035819"</f>
        <v>H0035819</v>
      </c>
      <c r="B2449" s="5" t="str">
        <f t="shared" si="122"/>
        <v>SILLA GERENTE NIZA MEC. BASCULANTE CON BRAZOS.</v>
      </c>
      <c r="C2449" s="6">
        <v>640002.24</v>
      </c>
      <c r="D2449" s="5" t="s">
        <v>47</v>
      </c>
      <c r="E2449" s="5" t="str">
        <f t="shared" si="121"/>
        <v>ACTISALUD-CIRUGIA GENERAL-GUSTAVO GOMEZ</v>
      </c>
      <c r="F2449" s="5"/>
      <c r="G2449" s="5"/>
    </row>
    <row r="2450" spans="1:7" ht="58.5" customHeight="1" x14ac:dyDescent="0.25">
      <c r="A2450" s="5" t="str">
        <f>"H0035820"</f>
        <v>H0035820</v>
      </c>
      <c r="B2450" s="5" t="str">
        <f t="shared" si="122"/>
        <v>SILLA GERENTE NIZA MEC. BASCULANTE CON BRAZOS.</v>
      </c>
      <c r="C2450" s="6">
        <v>640002.24</v>
      </c>
      <c r="D2450" s="5" t="s">
        <v>47</v>
      </c>
      <c r="E2450" s="5" t="str">
        <f t="shared" si="121"/>
        <v>ACTISALUD-CIRUGIA GENERAL-GUSTAVO GOMEZ</v>
      </c>
      <c r="F2450" s="5"/>
      <c r="G2450" s="5"/>
    </row>
    <row r="2451" spans="1:7" ht="58.5" customHeight="1" x14ac:dyDescent="0.25">
      <c r="A2451" s="5" t="str">
        <f>"H0035821"</f>
        <v>H0035821</v>
      </c>
      <c r="B2451" s="5" t="str">
        <f t="shared" si="122"/>
        <v>SILLA GERENTE NIZA MEC. BASCULANTE CON BRAZOS.</v>
      </c>
      <c r="C2451" s="6">
        <v>639999.86</v>
      </c>
      <c r="D2451" s="5" t="s">
        <v>47</v>
      </c>
      <c r="E2451" s="5" t="str">
        <f t="shared" si="121"/>
        <v>ACTISALUD-CIRUGIA GENERAL-GUSTAVO GOMEZ</v>
      </c>
      <c r="F2451" s="5"/>
      <c r="G2451" s="5"/>
    </row>
    <row r="2452" spans="1:7" ht="58.5" customHeight="1" x14ac:dyDescent="0.25">
      <c r="A2452" s="5" t="str">
        <f>"H0035822"</f>
        <v>H0035822</v>
      </c>
      <c r="B2452" s="5" t="str">
        <f t="shared" si="122"/>
        <v>SILLA GERENTE NIZA MEC. BASCULANTE CON BRAZOS.</v>
      </c>
      <c r="C2452" s="6">
        <v>639999.86</v>
      </c>
      <c r="D2452" s="5" t="s">
        <v>47</v>
      </c>
      <c r="E2452" s="5" t="str">
        <f t="shared" si="121"/>
        <v>ACTISALUD-CIRUGIA GENERAL-GUSTAVO GOMEZ</v>
      </c>
      <c r="F2452" s="5"/>
      <c r="G2452" s="5"/>
    </row>
    <row r="2453" spans="1:7" ht="58.5" customHeight="1" x14ac:dyDescent="0.25">
      <c r="A2453" s="5" t="str">
        <f>"H0035833"</f>
        <v>H0035833</v>
      </c>
      <c r="B2453" s="5" t="str">
        <f t="shared" si="122"/>
        <v>SILLA GERENTE NIZA MEC. BASCULANTE CON BRAZOS.</v>
      </c>
      <c r="C2453" s="6">
        <v>639999.86</v>
      </c>
      <c r="D2453" s="5" t="s">
        <v>47</v>
      </c>
      <c r="E2453" s="5" t="str">
        <f t="shared" si="121"/>
        <v>ACTISALUD-CIRUGIA GENERAL-GUSTAVO GOMEZ</v>
      </c>
      <c r="F2453" s="5"/>
      <c r="G2453" s="5"/>
    </row>
    <row r="2454" spans="1:7" ht="58.5" customHeight="1" x14ac:dyDescent="0.25">
      <c r="A2454" s="5" t="str">
        <f>"H0035834"</f>
        <v>H0035834</v>
      </c>
      <c r="B2454" s="5" t="str">
        <f t="shared" si="122"/>
        <v>SILLA GERENTE NIZA MEC. BASCULANTE CON BRAZOS.</v>
      </c>
      <c r="C2454" s="6">
        <v>639999.86</v>
      </c>
      <c r="D2454" s="5" t="s">
        <v>47</v>
      </c>
      <c r="E2454" s="5" t="str">
        <f t="shared" si="121"/>
        <v>ACTISALUD-CIRUGIA GENERAL-GUSTAVO GOMEZ</v>
      </c>
      <c r="F2454" s="5"/>
      <c r="G2454" s="5"/>
    </row>
    <row r="2455" spans="1:7" ht="58.5" customHeight="1" x14ac:dyDescent="0.25">
      <c r="A2455" s="5" t="str">
        <f>"H0036380"</f>
        <v>H0036380</v>
      </c>
      <c r="B2455" s="5" t="str">
        <f t="shared" ref="B2455:B2467" si="123">"VENTILADOR DE PARED"</f>
        <v>VENTILADOR DE PARED</v>
      </c>
      <c r="C2455" s="6">
        <v>295260</v>
      </c>
      <c r="D2455" s="5" t="s">
        <v>131</v>
      </c>
      <c r="E2455" s="5" t="str">
        <f t="shared" si="121"/>
        <v>ACTISALUD-CIRUGIA GENERAL-GUSTAVO GOMEZ</v>
      </c>
      <c r="F2455" s="5"/>
      <c r="G2455" s="5"/>
    </row>
    <row r="2456" spans="1:7" ht="58.5" customHeight="1" x14ac:dyDescent="0.25">
      <c r="A2456" s="5" t="str">
        <f>"H0036381"</f>
        <v>H0036381</v>
      </c>
      <c r="B2456" s="5" t="str">
        <f t="shared" si="123"/>
        <v>VENTILADOR DE PARED</v>
      </c>
      <c r="C2456" s="6">
        <v>295260</v>
      </c>
      <c r="D2456" s="5" t="s">
        <v>131</v>
      </c>
      <c r="E2456" s="5" t="str">
        <f t="shared" si="121"/>
        <v>ACTISALUD-CIRUGIA GENERAL-GUSTAVO GOMEZ</v>
      </c>
      <c r="F2456" s="5"/>
      <c r="G2456" s="5"/>
    </row>
    <row r="2457" spans="1:7" ht="58.5" customHeight="1" x14ac:dyDescent="0.25">
      <c r="A2457" s="5" t="str">
        <f>"H0036382"</f>
        <v>H0036382</v>
      </c>
      <c r="B2457" s="5" t="str">
        <f t="shared" si="123"/>
        <v>VENTILADOR DE PARED</v>
      </c>
      <c r="C2457" s="6">
        <v>295260</v>
      </c>
      <c r="D2457" s="5" t="s">
        <v>131</v>
      </c>
      <c r="E2457" s="5" t="str">
        <f t="shared" si="121"/>
        <v>ACTISALUD-CIRUGIA GENERAL-GUSTAVO GOMEZ</v>
      </c>
      <c r="F2457" s="5"/>
      <c r="G2457" s="5"/>
    </row>
    <row r="2458" spans="1:7" ht="58.5" customHeight="1" x14ac:dyDescent="0.25">
      <c r="A2458" s="5" t="str">
        <f>"H0036384"</f>
        <v>H0036384</v>
      </c>
      <c r="B2458" s="5" t="str">
        <f t="shared" si="123"/>
        <v>VENTILADOR DE PARED</v>
      </c>
      <c r="C2458" s="6">
        <v>295260</v>
      </c>
      <c r="D2458" s="5" t="s">
        <v>131</v>
      </c>
      <c r="E2458" s="5" t="str">
        <f t="shared" si="121"/>
        <v>ACTISALUD-CIRUGIA GENERAL-GUSTAVO GOMEZ</v>
      </c>
      <c r="F2458" s="5"/>
      <c r="G2458" s="5"/>
    </row>
    <row r="2459" spans="1:7" ht="58.5" customHeight="1" x14ac:dyDescent="0.25">
      <c r="A2459" s="5" t="str">
        <f>"H0036385"</f>
        <v>H0036385</v>
      </c>
      <c r="B2459" s="5" t="str">
        <f t="shared" si="123"/>
        <v>VENTILADOR DE PARED</v>
      </c>
      <c r="C2459" s="6">
        <v>295260</v>
      </c>
      <c r="D2459" s="5" t="s">
        <v>131</v>
      </c>
      <c r="E2459" s="5" t="str">
        <f t="shared" si="121"/>
        <v>ACTISALUD-CIRUGIA GENERAL-GUSTAVO GOMEZ</v>
      </c>
      <c r="F2459" s="5"/>
      <c r="G2459" s="5"/>
    </row>
    <row r="2460" spans="1:7" ht="58.5" customHeight="1" x14ac:dyDescent="0.25">
      <c r="A2460" s="5" t="str">
        <f>"H0036386"</f>
        <v>H0036386</v>
      </c>
      <c r="B2460" s="5" t="str">
        <f t="shared" si="123"/>
        <v>VENTILADOR DE PARED</v>
      </c>
      <c r="C2460" s="6">
        <v>295260</v>
      </c>
      <c r="D2460" s="5" t="s">
        <v>131</v>
      </c>
      <c r="E2460" s="5" t="str">
        <f t="shared" si="121"/>
        <v>ACTISALUD-CIRUGIA GENERAL-GUSTAVO GOMEZ</v>
      </c>
      <c r="F2460" s="5"/>
      <c r="G2460" s="5"/>
    </row>
    <row r="2461" spans="1:7" ht="58.5" customHeight="1" x14ac:dyDescent="0.25">
      <c r="A2461" s="5" t="str">
        <f>"H0036387"</f>
        <v>H0036387</v>
      </c>
      <c r="B2461" s="5" t="str">
        <f t="shared" si="123"/>
        <v>VENTILADOR DE PARED</v>
      </c>
      <c r="C2461" s="6">
        <v>295260</v>
      </c>
      <c r="D2461" s="5" t="s">
        <v>131</v>
      </c>
      <c r="E2461" s="5" t="str">
        <f t="shared" si="121"/>
        <v>ACTISALUD-CIRUGIA GENERAL-GUSTAVO GOMEZ</v>
      </c>
      <c r="F2461" s="5"/>
      <c r="G2461" s="5"/>
    </row>
    <row r="2462" spans="1:7" ht="58.5" customHeight="1" x14ac:dyDescent="0.25">
      <c r="A2462" s="5" t="str">
        <f>"H0036388"</f>
        <v>H0036388</v>
      </c>
      <c r="B2462" s="5" t="str">
        <f t="shared" si="123"/>
        <v>VENTILADOR DE PARED</v>
      </c>
      <c r="C2462" s="6">
        <v>295260</v>
      </c>
      <c r="D2462" s="5" t="s">
        <v>131</v>
      </c>
      <c r="E2462" s="5" t="str">
        <f t="shared" si="121"/>
        <v>ACTISALUD-CIRUGIA GENERAL-GUSTAVO GOMEZ</v>
      </c>
      <c r="F2462" s="5"/>
      <c r="G2462" s="5"/>
    </row>
    <row r="2463" spans="1:7" ht="58.5" customHeight="1" x14ac:dyDescent="0.25">
      <c r="A2463" s="5" t="str">
        <f>"H0036389"</f>
        <v>H0036389</v>
      </c>
      <c r="B2463" s="5" t="str">
        <f t="shared" si="123"/>
        <v>VENTILADOR DE PARED</v>
      </c>
      <c r="C2463" s="6">
        <v>295260</v>
      </c>
      <c r="D2463" s="5" t="s">
        <v>131</v>
      </c>
      <c r="E2463" s="5" t="str">
        <f t="shared" si="121"/>
        <v>ACTISALUD-CIRUGIA GENERAL-GUSTAVO GOMEZ</v>
      </c>
      <c r="F2463" s="5"/>
      <c r="G2463" s="5"/>
    </row>
    <row r="2464" spans="1:7" ht="58.5" customHeight="1" x14ac:dyDescent="0.25">
      <c r="A2464" s="5" t="str">
        <f>"H0036390"</f>
        <v>H0036390</v>
      </c>
      <c r="B2464" s="5" t="str">
        <f t="shared" si="123"/>
        <v>VENTILADOR DE PARED</v>
      </c>
      <c r="C2464" s="6">
        <v>295260</v>
      </c>
      <c r="D2464" s="5" t="s">
        <v>131</v>
      </c>
      <c r="E2464" s="5" t="str">
        <f t="shared" si="121"/>
        <v>ACTISALUD-CIRUGIA GENERAL-GUSTAVO GOMEZ</v>
      </c>
      <c r="F2464" s="5"/>
      <c r="G2464" s="5"/>
    </row>
    <row r="2465" spans="1:7" ht="58.5" customHeight="1" x14ac:dyDescent="0.25">
      <c r="A2465" s="5" t="str">
        <f>"H0036391"</f>
        <v>H0036391</v>
      </c>
      <c r="B2465" s="5" t="str">
        <f t="shared" si="123"/>
        <v>VENTILADOR DE PARED</v>
      </c>
      <c r="C2465" s="6">
        <v>295260</v>
      </c>
      <c r="D2465" s="5" t="s">
        <v>131</v>
      </c>
      <c r="E2465" s="5" t="str">
        <f t="shared" ref="E2465:E2528" si="124">"ACTISALUD-CIRUGIA GENERAL-GUSTAVO GOMEZ"</f>
        <v>ACTISALUD-CIRUGIA GENERAL-GUSTAVO GOMEZ</v>
      </c>
      <c r="F2465" s="5"/>
      <c r="G2465" s="5"/>
    </row>
    <row r="2466" spans="1:7" ht="58.5" customHeight="1" x14ac:dyDescent="0.25">
      <c r="A2466" s="5" t="str">
        <f>"H0036392"</f>
        <v>H0036392</v>
      </c>
      <c r="B2466" s="5" t="str">
        <f t="shared" si="123"/>
        <v>VENTILADOR DE PARED</v>
      </c>
      <c r="C2466" s="6">
        <v>295260</v>
      </c>
      <c r="D2466" s="5" t="s">
        <v>131</v>
      </c>
      <c r="E2466" s="5" t="str">
        <f t="shared" si="124"/>
        <v>ACTISALUD-CIRUGIA GENERAL-GUSTAVO GOMEZ</v>
      </c>
      <c r="F2466" s="5"/>
      <c r="G2466" s="5"/>
    </row>
    <row r="2467" spans="1:7" ht="58.5" customHeight="1" x14ac:dyDescent="0.25">
      <c r="A2467" s="5" t="str">
        <f>"H0036413"</f>
        <v>H0036413</v>
      </c>
      <c r="B2467" s="5" t="str">
        <f t="shared" si="123"/>
        <v>VENTILADOR DE PARED</v>
      </c>
      <c r="C2467" s="6">
        <v>295260</v>
      </c>
      <c r="D2467" s="5" t="s">
        <v>131</v>
      </c>
      <c r="E2467" s="5" t="str">
        <f t="shared" si="124"/>
        <v>ACTISALUD-CIRUGIA GENERAL-GUSTAVO GOMEZ</v>
      </c>
      <c r="F2467" s="5"/>
      <c r="G2467" s="5"/>
    </row>
    <row r="2468" spans="1:7" ht="58.5" customHeight="1" x14ac:dyDescent="0.25">
      <c r="A2468" s="5" t="str">
        <f>"H0036509"</f>
        <v>H0036509</v>
      </c>
      <c r="B2468" s="5" t="str">
        <f>"ASPIRADOR DE SECRECIONES"</f>
        <v>ASPIRADOR DE SECRECIONES</v>
      </c>
      <c r="C2468" s="6">
        <v>645000</v>
      </c>
      <c r="D2468" s="5" t="s">
        <v>132</v>
      </c>
      <c r="E2468" s="5" t="str">
        <f t="shared" si="124"/>
        <v>ACTISALUD-CIRUGIA GENERAL-GUSTAVO GOMEZ</v>
      </c>
      <c r="F2468" s="5"/>
      <c r="G2468" s="5"/>
    </row>
    <row r="2469" spans="1:7" ht="58.5" customHeight="1" x14ac:dyDescent="0.25">
      <c r="A2469" s="5" t="str">
        <f>"H0037118"</f>
        <v>H0037118</v>
      </c>
      <c r="B2469" s="5" t="str">
        <f>"TALLIMETRO CAPACIDAD 20-205 CM (DONACION)"</f>
        <v>TALLIMETRO CAPACIDAD 20-205 CM (DONACION)</v>
      </c>
      <c r="C2469" s="6">
        <v>1254705.99</v>
      </c>
      <c r="D2469" s="5" t="s">
        <v>136</v>
      </c>
      <c r="E2469" s="5" t="str">
        <f t="shared" si="124"/>
        <v>ACTISALUD-CIRUGIA GENERAL-GUSTAVO GOMEZ</v>
      </c>
      <c r="F2469" s="5"/>
      <c r="G2469" s="5"/>
    </row>
    <row r="2470" spans="1:7" ht="58.5" customHeight="1" x14ac:dyDescent="0.25">
      <c r="A2470" s="5" t="str">
        <f>"H0037186"</f>
        <v>H0037186</v>
      </c>
      <c r="B2470" s="5" t="str">
        <f>"BASCULA: Capacidad: 200 kg, División: 100 g &lt; 150 kg &gt; 200 g, Dimensiones (AxAxP):321 x 61 x 362 mm, Peso: 4,1 kg"</f>
        <v>BASCULA: Capacidad: 200 kg, División: 100 g &lt; 150 kg &gt; 200 g, Dimensiones (AxAxP):321 x 61 x 362 mm, Peso: 4,1 kg</v>
      </c>
      <c r="C2470" s="6">
        <v>3588386.01</v>
      </c>
      <c r="D2470" s="5" t="s">
        <v>160</v>
      </c>
      <c r="E2470" s="5" t="str">
        <f t="shared" si="124"/>
        <v>ACTISALUD-CIRUGIA GENERAL-GUSTAVO GOMEZ</v>
      </c>
      <c r="F2470" s="5"/>
      <c r="G2470" s="5"/>
    </row>
    <row r="2471" spans="1:7" ht="58.5" customHeight="1" x14ac:dyDescent="0.25">
      <c r="A2471" s="5" t="str">
        <f>"H0037211"</f>
        <v>H0037211</v>
      </c>
      <c r="B2471" s="5" t="str">
        <f>"AIRE ACONDICIONADO TIPO MINISPLIT CAPACIDAD 12.000 BTU TECNOLOGIA INVERTER DUAL"</f>
        <v>AIRE ACONDICIONADO TIPO MINISPLIT CAPACIDAD 12.000 BTU TECNOLOGIA INVERTER DUAL</v>
      </c>
      <c r="C2471" s="6">
        <v>2799999.93</v>
      </c>
      <c r="D2471" s="5" t="s">
        <v>201</v>
      </c>
      <c r="E2471" s="5" t="str">
        <f t="shared" si="124"/>
        <v>ACTISALUD-CIRUGIA GENERAL-GUSTAVO GOMEZ</v>
      </c>
      <c r="F2471" s="5"/>
      <c r="G2471" s="5"/>
    </row>
    <row r="2472" spans="1:7" ht="58.5" customHeight="1" x14ac:dyDescent="0.25">
      <c r="A2472" s="5" t="str">
        <f>"H0037212"</f>
        <v>H0037212</v>
      </c>
      <c r="B2472" s="5" t="str">
        <f>"AIRE ACONDICIONADO TIPO MINISPLIT CAPACIDAD 12.000 BTU TECNOLOGIA INVERTER DUAL"</f>
        <v>AIRE ACONDICIONADO TIPO MINISPLIT CAPACIDAD 12.000 BTU TECNOLOGIA INVERTER DUAL</v>
      </c>
      <c r="C2472" s="6">
        <v>2799999.93</v>
      </c>
      <c r="D2472" s="5" t="s">
        <v>201</v>
      </c>
      <c r="E2472" s="5" t="str">
        <f t="shared" si="124"/>
        <v>ACTISALUD-CIRUGIA GENERAL-GUSTAVO GOMEZ</v>
      </c>
      <c r="F2472" s="5"/>
      <c r="G2472" s="5"/>
    </row>
    <row r="2473" spans="1:7" ht="58.5" customHeight="1" x14ac:dyDescent="0.25">
      <c r="A2473" s="5" t="str">
        <f>"H0037325"</f>
        <v>H0037325</v>
      </c>
      <c r="B2473" s="5" t="str">
        <f t="shared" ref="B2473:B2497" si="125">"VENTILADOR DE PARED"</f>
        <v>VENTILADOR DE PARED</v>
      </c>
      <c r="C2473" s="6">
        <v>286671</v>
      </c>
      <c r="D2473" s="5" t="s">
        <v>138</v>
      </c>
      <c r="E2473" s="5" t="str">
        <f t="shared" si="124"/>
        <v>ACTISALUD-CIRUGIA GENERAL-GUSTAVO GOMEZ</v>
      </c>
      <c r="F2473" s="5"/>
      <c r="G2473" s="5"/>
    </row>
    <row r="2474" spans="1:7" ht="58.5" customHeight="1" x14ac:dyDescent="0.25">
      <c r="A2474" s="5" t="str">
        <f>"H0037326"</f>
        <v>H0037326</v>
      </c>
      <c r="B2474" s="5" t="str">
        <f t="shared" si="125"/>
        <v>VENTILADOR DE PARED</v>
      </c>
      <c r="C2474" s="6">
        <v>286671</v>
      </c>
      <c r="D2474" s="5" t="s">
        <v>138</v>
      </c>
      <c r="E2474" s="5" t="str">
        <f t="shared" si="124"/>
        <v>ACTISALUD-CIRUGIA GENERAL-GUSTAVO GOMEZ</v>
      </c>
      <c r="F2474" s="5"/>
      <c r="G2474" s="5"/>
    </row>
    <row r="2475" spans="1:7" ht="58.5" customHeight="1" x14ac:dyDescent="0.25">
      <c r="A2475" s="5" t="str">
        <f>"H0037327"</f>
        <v>H0037327</v>
      </c>
      <c r="B2475" s="5" t="str">
        <f t="shared" si="125"/>
        <v>VENTILADOR DE PARED</v>
      </c>
      <c r="C2475" s="6">
        <v>286671</v>
      </c>
      <c r="D2475" s="5" t="s">
        <v>138</v>
      </c>
      <c r="E2475" s="5" t="str">
        <f t="shared" si="124"/>
        <v>ACTISALUD-CIRUGIA GENERAL-GUSTAVO GOMEZ</v>
      </c>
      <c r="F2475" s="5"/>
      <c r="G2475" s="5"/>
    </row>
    <row r="2476" spans="1:7" ht="58.5" customHeight="1" x14ac:dyDescent="0.25">
      <c r="A2476" s="5" t="str">
        <f>"H0037328"</f>
        <v>H0037328</v>
      </c>
      <c r="B2476" s="5" t="str">
        <f t="shared" si="125"/>
        <v>VENTILADOR DE PARED</v>
      </c>
      <c r="C2476" s="6">
        <v>286671</v>
      </c>
      <c r="D2476" s="5" t="s">
        <v>138</v>
      </c>
      <c r="E2476" s="5" t="str">
        <f t="shared" si="124"/>
        <v>ACTISALUD-CIRUGIA GENERAL-GUSTAVO GOMEZ</v>
      </c>
      <c r="F2476" s="5"/>
      <c r="G2476" s="5"/>
    </row>
    <row r="2477" spans="1:7" ht="58.5" customHeight="1" x14ac:dyDescent="0.25">
      <c r="A2477" s="5" t="str">
        <f>"H0037329"</f>
        <v>H0037329</v>
      </c>
      <c r="B2477" s="5" t="str">
        <f t="shared" si="125"/>
        <v>VENTILADOR DE PARED</v>
      </c>
      <c r="C2477" s="6">
        <v>286671</v>
      </c>
      <c r="D2477" s="5" t="s">
        <v>138</v>
      </c>
      <c r="E2477" s="5" t="str">
        <f t="shared" si="124"/>
        <v>ACTISALUD-CIRUGIA GENERAL-GUSTAVO GOMEZ</v>
      </c>
      <c r="F2477" s="5"/>
      <c r="G2477" s="5"/>
    </row>
    <row r="2478" spans="1:7" ht="58.5" customHeight="1" x14ac:dyDescent="0.25">
      <c r="A2478" s="5" t="str">
        <f>"H0037330"</f>
        <v>H0037330</v>
      </c>
      <c r="B2478" s="5" t="str">
        <f t="shared" si="125"/>
        <v>VENTILADOR DE PARED</v>
      </c>
      <c r="C2478" s="6">
        <v>286671</v>
      </c>
      <c r="D2478" s="5" t="s">
        <v>138</v>
      </c>
      <c r="E2478" s="5" t="str">
        <f t="shared" si="124"/>
        <v>ACTISALUD-CIRUGIA GENERAL-GUSTAVO GOMEZ</v>
      </c>
      <c r="F2478" s="5"/>
      <c r="G2478" s="5"/>
    </row>
    <row r="2479" spans="1:7" ht="58.5" customHeight="1" x14ac:dyDescent="0.25">
      <c r="A2479" s="5" t="str">
        <f>"H0037331"</f>
        <v>H0037331</v>
      </c>
      <c r="B2479" s="5" t="str">
        <f t="shared" si="125"/>
        <v>VENTILADOR DE PARED</v>
      </c>
      <c r="C2479" s="6">
        <v>286671</v>
      </c>
      <c r="D2479" s="5" t="s">
        <v>138</v>
      </c>
      <c r="E2479" s="5" t="str">
        <f t="shared" si="124"/>
        <v>ACTISALUD-CIRUGIA GENERAL-GUSTAVO GOMEZ</v>
      </c>
      <c r="F2479" s="5"/>
      <c r="G2479" s="5"/>
    </row>
    <row r="2480" spans="1:7" ht="58.5" customHeight="1" x14ac:dyDescent="0.25">
      <c r="A2480" s="5" t="str">
        <f>"H0037332"</f>
        <v>H0037332</v>
      </c>
      <c r="B2480" s="5" t="str">
        <f t="shared" si="125"/>
        <v>VENTILADOR DE PARED</v>
      </c>
      <c r="C2480" s="6">
        <v>286671</v>
      </c>
      <c r="D2480" s="5" t="s">
        <v>138</v>
      </c>
      <c r="E2480" s="5" t="str">
        <f t="shared" si="124"/>
        <v>ACTISALUD-CIRUGIA GENERAL-GUSTAVO GOMEZ</v>
      </c>
      <c r="F2480" s="5"/>
      <c r="G2480" s="5"/>
    </row>
    <row r="2481" spans="1:7" ht="58.5" customHeight="1" x14ac:dyDescent="0.25">
      <c r="A2481" s="5" t="str">
        <f>"H0037457"</f>
        <v>H0037457</v>
      </c>
      <c r="B2481" s="5" t="str">
        <f t="shared" si="125"/>
        <v>VENTILADOR DE PARED</v>
      </c>
      <c r="C2481" s="6">
        <v>286671</v>
      </c>
      <c r="D2481" s="5" t="s">
        <v>139</v>
      </c>
      <c r="E2481" s="5" t="str">
        <f t="shared" si="124"/>
        <v>ACTISALUD-CIRUGIA GENERAL-GUSTAVO GOMEZ</v>
      </c>
      <c r="F2481" s="5"/>
      <c r="G2481" s="5"/>
    </row>
    <row r="2482" spans="1:7" ht="58.5" customHeight="1" x14ac:dyDescent="0.25">
      <c r="A2482" s="5" t="str">
        <f>"H0037458"</f>
        <v>H0037458</v>
      </c>
      <c r="B2482" s="5" t="str">
        <f t="shared" si="125"/>
        <v>VENTILADOR DE PARED</v>
      </c>
      <c r="C2482" s="6">
        <v>286671</v>
      </c>
      <c r="D2482" s="5" t="s">
        <v>139</v>
      </c>
      <c r="E2482" s="5" t="str">
        <f t="shared" si="124"/>
        <v>ACTISALUD-CIRUGIA GENERAL-GUSTAVO GOMEZ</v>
      </c>
      <c r="F2482" s="5"/>
      <c r="G2482" s="5"/>
    </row>
    <row r="2483" spans="1:7" ht="58.5" customHeight="1" x14ac:dyDescent="0.25">
      <c r="A2483" s="5" t="str">
        <f>"H0037459"</f>
        <v>H0037459</v>
      </c>
      <c r="B2483" s="5" t="str">
        <f t="shared" si="125"/>
        <v>VENTILADOR DE PARED</v>
      </c>
      <c r="C2483" s="6">
        <v>286671</v>
      </c>
      <c r="D2483" s="5" t="s">
        <v>139</v>
      </c>
      <c r="E2483" s="5" t="str">
        <f t="shared" si="124"/>
        <v>ACTISALUD-CIRUGIA GENERAL-GUSTAVO GOMEZ</v>
      </c>
      <c r="F2483" s="5"/>
      <c r="G2483" s="5"/>
    </row>
    <row r="2484" spans="1:7" ht="58.5" customHeight="1" x14ac:dyDescent="0.25">
      <c r="A2484" s="5" t="str">
        <f>"H0037460"</f>
        <v>H0037460</v>
      </c>
      <c r="B2484" s="5" t="str">
        <f t="shared" si="125"/>
        <v>VENTILADOR DE PARED</v>
      </c>
      <c r="C2484" s="6">
        <v>286671</v>
      </c>
      <c r="D2484" s="5" t="s">
        <v>139</v>
      </c>
      <c r="E2484" s="5" t="str">
        <f t="shared" si="124"/>
        <v>ACTISALUD-CIRUGIA GENERAL-GUSTAVO GOMEZ</v>
      </c>
      <c r="F2484" s="5"/>
      <c r="G2484" s="5"/>
    </row>
    <row r="2485" spans="1:7" ht="58.5" customHeight="1" x14ac:dyDescent="0.25">
      <c r="A2485" s="5" t="str">
        <f>"H0037461"</f>
        <v>H0037461</v>
      </c>
      <c r="B2485" s="5" t="str">
        <f t="shared" si="125"/>
        <v>VENTILADOR DE PARED</v>
      </c>
      <c r="C2485" s="6">
        <v>286671</v>
      </c>
      <c r="D2485" s="5" t="s">
        <v>139</v>
      </c>
      <c r="E2485" s="5" t="str">
        <f t="shared" si="124"/>
        <v>ACTISALUD-CIRUGIA GENERAL-GUSTAVO GOMEZ</v>
      </c>
      <c r="F2485" s="5"/>
      <c r="G2485" s="5"/>
    </row>
    <row r="2486" spans="1:7" ht="58.5" customHeight="1" x14ac:dyDescent="0.25">
      <c r="A2486" s="5" t="str">
        <f>"H0037462"</f>
        <v>H0037462</v>
      </c>
      <c r="B2486" s="5" t="str">
        <f t="shared" si="125"/>
        <v>VENTILADOR DE PARED</v>
      </c>
      <c r="C2486" s="6">
        <v>286671</v>
      </c>
      <c r="D2486" s="5" t="s">
        <v>139</v>
      </c>
      <c r="E2486" s="5" t="str">
        <f t="shared" si="124"/>
        <v>ACTISALUD-CIRUGIA GENERAL-GUSTAVO GOMEZ</v>
      </c>
      <c r="F2486" s="5"/>
      <c r="G2486" s="5"/>
    </row>
    <row r="2487" spans="1:7" ht="58.5" customHeight="1" x14ac:dyDescent="0.25">
      <c r="A2487" s="5" t="str">
        <f>"H0037463"</f>
        <v>H0037463</v>
      </c>
      <c r="B2487" s="5" t="str">
        <f t="shared" si="125"/>
        <v>VENTILADOR DE PARED</v>
      </c>
      <c r="C2487" s="6">
        <v>286671</v>
      </c>
      <c r="D2487" s="5" t="s">
        <v>139</v>
      </c>
      <c r="E2487" s="5" t="str">
        <f t="shared" si="124"/>
        <v>ACTISALUD-CIRUGIA GENERAL-GUSTAVO GOMEZ</v>
      </c>
      <c r="F2487" s="5"/>
      <c r="G2487" s="5"/>
    </row>
    <row r="2488" spans="1:7" ht="58.5" customHeight="1" x14ac:dyDescent="0.25">
      <c r="A2488" s="5" t="str">
        <f>"H0037464"</f>
        <v>H0037464</v>
      </c>
      <c r="B2488" s="5" t="str">
        <f t="shared" si="125"/>
        <v>VENTILADOR DE PARED</v>
      </c>
      <c r="C2488" s="6">
        <v>286671</v>
      </c>
      <c r="D2488" s="5" t="s">
        <v>139</v>
      </c>
      <c r="E2488" s="5" t="str">
        <f t="shared" si="124"/>
        <v>ACTISALUD-CIRUGIA GENERAL-GUSTAVO GOMEZ</v>
      </c>
      <c r="F2488" s="5"/>
      <c r="G2488" s="5"/>
    </row>
    <row r="2489" spans="1:7" ht="58.5" customHeight="1" x14ac:dyDescent="0.25">
      <c r="A2489" s="5" t="str">
        <f>"H0037465"</f>
        <v>H0037465</v>
      </c>
      <c r="B2489" s="5" t="str">
        <f t="shared" si="125"/>
        <v>VENTILADOR DE PARED</v>
      </c>
      <c r="C2489" s="6">
        <v>286671</v>
      </c>
      <c r="D2489" s="5" t="s">
        <v>139</v>
      </c>
      <c r="E2489" s="5" t="str">
        <f t="shared" si="124"/>
        <v>ACTISALUD-CIRUGIA GENERAL-GUSTAVO GOMEZ</v>
      </c>
      <c r="F2489" s="5"/>
      <c r="G2489" s="5"/>
    </row>
    <row r="2490" spans="1:7" ht="58.5" customHeight="1" x14ac:dyDescent="0.25">
      <c r="A2490" s="5" t="str">
        <f>"H0037466"</f>
        <v>H0037466</v>
      </c>
      <c r="B2490" s="5" t="str">
        <f t="shared" si="125"/>
        <v>VENTILADOR DE PARED</v>
      </c>
      <c r="C2490" s="6">
        <v>286671</v>
      </c>
      <c r="D2490" s="5" t="s">
        <v>139</v>
      </c>
      <c r="E2490" s="5" t="str">
        <f t="shared" si="124"/>
        <v>ACTISALUD-CIRUGIA GENERAL-GUSTAVO GOMEZ</v>
      </c>
      <c r="F2490" s="5"/>
      <c r="G2490" s="5"/>
    </row>
    <row r="2491" spans="1:7" ht="58.5" customHeight="1" x14ac:dyDescent="0.25">
      <c r="A2491" s="5" t="str">
        <f>"H0037467"</f>
        <v>H0037467</v>
      </c>
      <c r="B2491" s="5" t="str">
        <f t="shared" si="125"/>
        <v>VENTILADOR DE PARED</v>
      </c>
      <c r="C2491" s="6">
        <v>286671</v>
      </c>
      <c r="D2491" s="5" t="s">
        <v>139</v>
      </c>
      <c r="E2491" s="5" t="str">
        <f t="shared" si="124"/>
        <v>ACTISALUD-CIRUGIA GENERAL-GUSTAVO GOMEZ</v>
      </c>
      <c r="F2491" s="5"/>
      <c r="G2491" s="5"/>
    </row>
    <row r="2492" spans="1:7" ht="58.5" customHeight="1" x14ac:dyDescent="0.25">
      <c r="A2492" s="5" t="str">
        <f>"H0037488"</f>
        <v>H0037488</v>
      </c>
      <c r="B2492" s="5" t="str">
        <f t="shared" si="125"/>
        <v>VENTILADOR DE PARED</v>
      </c>
      <c r="C2492" s="6">
        <v>286671</v>
      </c>
      <c r="D2492" s="5" t="s">
        <v>139</v>
      </c>
      <c r="E2492" s="5" t="str">
        <f t="shared" si="124"/>
        <v>ACTISALUD-CIRUGIA GENERAL-GUSTAVO GOMEZ</v>
      </c>
      <c r="F2492" s="5"/>
      <c r="G2492" s="5"/>
    </row>
    <row r="2493" spans="1:7" ht="58.5" customHeight="1" x14ac:dyDescent="0.25">
      <c r="A2493" s="5" t="str">
        <f>"H0037502"</f>
        <v>H0037502</v>
      </c>
      <c r="B2493" s="5" t="str">
        <f t="shared" si="125"/>
        <v>VENTILADOR DE PARED</v>
      </c>
      <c r="C2493" s="6">
        <v>286671</v>
      </c>
      <c r="D2493" s="5" t="s">
        <v>139</v>
      </c>
      <c r="E2493" s="5" t="str">
        <f t="shared" si="124"/>
        <v>ACTISALUD-CIRUGIA GENERAL-GUSTAVO GOMEZ</v>
      </c>
      <c r="F2493" s="5"/>
      <c r="G2493" s="5"/>
    </row>
    <row r="2494" spans="1:7" ht="58.5" customHeight="1" x14ac:dyDescent="0.25">
      <c r="A2494" s="5" t="str">
        <f>"H0037504"</f>
        <v>H0037504</v>
      </c>
      <c r="B2494" s="5" t="str">
        <f t="shared" si="125"/>
        <v>VENTILADOR DE PARED</v>
      </c>
      <c r="C2494" s="6">
        <v>286671</v>
      </c>
      <c r="D2494" s="5" t="s">
        <v>139</v>
      </c>
      <c r="E2494" s="5" t="str">
        <f t="shared" si="124"/>
        <v>ACTISALUD-CIRUGIA GENERAL-GUSTAVO GOMEZ</v>
      </c>
      <c r="F2494" s="5"/>
      <c r="G2494" s="5"/>
    </row>
    <row r="2495" spans="1:7" ht="58.5" customHeight="1" x14ac:dyDescent="0.25">
      <c r="A2495" s="5" t="str">
        <f>"H0037505"</f>
        <v>H0037505</v>
      </c>
      <c r="B2495" s="5" t="str">
        <f t="shared" si="125"/>
        <v>VENTILADOR DE PARED</v>
      </c>
      <c r="C2495" s="6">
        <v>286671</v>
      </c>
      <c r="D2495" s="5" t="s">
        <v>139</v>
      </c>
      <c r="E2495" s="5" t="str">
        <f t="shared" si="124"/>
        <v>ACTISALUD-CIRUGIA GENERAL-GUSTAVO GOMEZ</v>
      </c>
      <c r="F2495" s="5"/>
      <c r="G2495" s="5"/>
    </row>
    <row r="2496" spans="1:7" ht="58.5" customHeight="1" x14ac:dyDescent="0.25">
      <c r="A2496" s="5" t="str">
        <f>"H0037506"</f>
        <v>H0037506</v>
      </c>
      <c r="B2496" s="5" t="str">
        <f t="shared" si="125"/>
        <v>VENTILADOR DE PARED</v>
      </c>
      <c r="C2496" s="6">
        <v>286671</v>
      </c>
      <c r="D2496" s="5" t="s">
        <v>139</v>
      </c>
      <c r="E2496" s="5" t="str">
        <f t="shared" si="124"/>
        <v>ACTISALUD-CIRUGIA GENERAL-GUSTAVO GOMEZ</v>
      </c>
      <c r="F2496" s="5"/>
      <c r="G2496" s="5"/>
    </row>
    <row r="2497" spans="1:7" ht="58.5" customHeight="1" x14ac:dyDescent="0.25">
      <c r="A2497" s="5" t="str">
        <f>"H0037532"</f>
        <v>H0037532</v>
      </c>
      <c r="B2497" s="5" t="str">
        <f t="shared" si="125"/>
        <v>VENTILADOR DE PARED</v>
      </c>
      <c r="C2497" s="6">
        <v>286671</v>
      </c>
      <c r="D2497" s="5" t="s">
        <v>139</v>
      </c>
      <c r="E2497" s="5" t="str">
        <f t="shared" si="124"/>
        <v>ACTISALUD-CIRUGIA GENERAL-GUSTAVO GOMEZ</v>
      </c>
      <c r="F2497" s="5"/>
      <c r="G2497" s="5"/>
    </row>
    <row r="2498" spans="1:7" ht="58.5" customHeight="1" x14ac:dyDescent="0.25">
      <c r="A2498" s="5" t="str">
        <f>"H0037547"</f>
        <v>H0037547</v>
      </c>
      <c r="B2498" s="5" t="str">
        <f>"VENTILADOR DE PEDESTAL"</f>
        <v>VENTILADOR DE PEDESTAL</v>
      </c>
      <c r="C2498" s="6">
        <v>305000.55</v>
      </c>
      <c r="D2498" s="5" t="s">
        <v>140</v>
      </c>
      <c r="E2498" s="5" t="str">
        <f t="shared" si="124"/>
        <v>ACTISALUD-CIRUGIA GENERAL-GUSTAVO GOMEZ</v>
      </c>
      <c r="F2498" s="5"/>
      <c r="G2498" s="5"/>
    </row>
    <row r="2499" spans="1:7" ht="58.5" customHeight="1" x14ac:dyDescent="0.25">
      <c r="A2499" s="5" t="str">
        <f>"H0037548"</f>
        <v>H0037548</v>
      </c>
      <c r="B2499" s="5" t="str">
        <f>"VENTILADOR DE PEDESTAL"</f>
        <v>VENTILADOR DE PEDESTAL</v>
      </c>
      <c r="C2499" s="6">
        <v>305000.55</v>
      </c>
      <c r="D2499" s="5" t="s">
        <v>140</v>
      </c>
      <c r="E2499" s="5" t="str">
        <f t="shared" si="124"/>
        <v>ACTISALUD-CIRUGIA GENERAL-GUSTAVO GOMEZ</v>
      </c>
      <c r="F2499" s="5"/>
      <c r="G2499" s="5"/>
    </row>
    <row r="2500" spans="1:7" ht="58.5" customHeight="1" x14ac:dyDescent="0.25">
      <c r="A2500" s="5" t="str">
        <f>"H0037716"</f>
        <v>H0037716</v>
      </c>
      <c r="B2500" s="5" t="str">
        <f>"SILLA GERENTE NIZA MEC. BASCULANTE CON BRAZOS."</f>
        <v>SILLA GERENTE NIZA MEC. BASCULANTE CON BRAZOS.</v>
      </c>
      <c r="C2500" s="6">
        <v>710000.01</v>
      </c>
      <c r="D2500" s="5" t="s">
        <v>30</v>
      </c>
      <c r="E2500" s="5" t="str">
        <f t="shared" si="124"/>
        <v>ACTISALUD-CIRUGIA GENERAL-GUSTAVO GOMEZ</v>
      </c>
      <c r="F2500" s="5"/>
      <c r="G2500" s="5"/>
    </row>
    <row r="2501" spans="1:7" ht="58.5" customHeight="1" x14ac:dyDescent="0.25">
      <c r="A2501" s="5" t="str">
        <f>"H0037717"</f>
        <v>H0037717</v>
      </c>
      <c r="B2501" s="5" t="str">
        <f>"SILLA GERENTE NIZA MEC. BASCULANTE CON BRAZOS."</f>
        <v>SILLA GERENTE NIZA MEC. BASCULANTE CON BRAZOS.</v>
      </c>
      <c r="C2501" s="6">
        <v>710000.01</v>
      </c>
      <c r="D2501" s="5" t="s">
        <v>30</v>
      </c>
      <c r="E2501" s="5" t="str">
        <f t="shared" si="124"/>
        <v>ACTISALUD-CIRUGIA GENERAL-GUSTAVO GOMEZ</v>
      </c>
      <c r="F2501" s="5"/>
      <c r="G2501" s="5"/>
    </row>
    <row r="2502" spans="1:7" ht="58.5" customHeight="1" x14ac:dyDescent="0.25">
      <c r="A2502" s="5" t="str">
        <f>"H0038066"</f>
        <v>H0038066</v>
      </c>
      <c r="B2502" s="5" t="str">
        <f>"SILLA CAJERO KOPI"</f>
        <v>SILLA CAJERO KOPI</v>
      </c>
      <c r="C2502" s="6">
        <v>565000.01</v>
      </c>
      <c r="D2502" s="5" t="s">
        <v>30</v>
      </c>
      <c r="E2502" s="5" t="str">
        <f t="shared" si="124"/>
        <v>ACTISALUD-CIRUGIA GENERAL-GUSTAVO GOMEZ</v>
      </c>
      <c r="F2502" s="5"/>
      <c r="G2502" s="5"/>
    </row>
    <row r="2503" spans="1:7" ht="58.5" customHeight="1" x14ac:dyDescent="0.25">
      <c r="A2503" s="5" t="str">
        <f>"H0038285"</f>
        <v>H0038285</v>
      </c>
      <c r="B2503" s="5" t="str">
        <f t="shared" ref="B2503:B2514" si="126">"UNIDAD DE LLAMADO DE ENFERMERIA PARA BAÑO CON CORDON TIRADOR. RESISTENTE A SALPICADURAS DE AGUA Y LUZ INDICADORA DE PULSACIÓN"</f>
        <v>UNIDAD DE LLAMADO DE ENFERMERIA PARA BAÑO CON CORDON TIRADOR. RESISTENTE A SALPICADURAS DE AGUA Y LUZ INDICADORA DE PULSACIÓN</v>
      </c>
      <c r="C2503" s="6">
        <v>529400</v>
      </c>
      <c r="D2503" s="5" t="s">
        <v>143</v>
      </c>
      <c r="E2503" s="5" t="str">
        <f t="shared" si="124"/>
        <v>ACTISALUD-CIRUGIA GENERAL-GUSTAVO GOMEZ</v>
      </c>
      <c r="F2503" s="5"/>
      <c r="G2503" s="5"/>
    </row>
    <row r="2504" spans="1:7" ht="58.5" customHeight="1" x14ac:dyDescent="0.25">
      <c r="A2504" s="5" t="str">
        <f>"H0038286"</f>
        <v>H0038286</v>
      </c>
      <c r="B2504" s="5" t="str">
        <f t="shared" si="126"/>
        <v>UNIDAD DE LLAMADO DE ENFERMERIA PARA BAÑO CON CORDON TIRADOR. RESISTENTE A SALPICADURAS DE AGUA Y LUZ INDICADORA DE PULSACIÓN</v>
      </c>
      <c r="C2504" s="6">
        <v>529400</v>
      </c>
      <c r="D2504" s="5" t="s">
        <v>143</v>
      </c>
      <c r="E2504" s="5" t="str">
        <f t="shared" si="124"/>
        <v>ACTISALUD-CIRUGIA GENERAL-GUSTAVO GOMEZ</v>
      </c>
      <c r="F2504" s="5"/>
      <c r="G2504" s="5"/>
    </row>
    <row r="2505" spans="1:7" ht="58.5" customHeight="1" x14ac:dyDescent="0.25">
      <c r="A2505" s="5" t="str">
        <f>"H0038287"</f>
        <v>H0038287</v>
      </c>
      <c r="B2505" s="5" t="str">
        <f t="shared" si="126"/>
        <v>UNIDAD DE LLAMADO DE ENFERMERIA PARA BAÑO CON CORDON TIRADOR. RESISTENTE A SALPICADURAS DE AGUA Y LUZ INDICADORA DE PULSACIÓN</v>
      </c>
      <c r="C2505" s="6">
        <v>529400</v>
      </c>
      <c r="D2505" s="5" t="s">
        <v>143</v>
      </c>
      <c r="E2505" s="5" t="str">
        <f t="shared" si="124"/>
        <v>ACTISALUD-CIRUGIA GENERAL-GUSTAVO GOMEZ</v>
      </c>
      <c r="F2505" s="5"/>
      <c r="G2505" s="5"/>
    </row>
    <row r="2506" spans="1:7" ht="58.5" customHeight="1" x14ac:dyDescent="0.25">
      <c r="A2506" s="5" t="str">
        <f>"H0038288"</f>
        <v>H0038288</v>
      </c>
      <c r="B2506" s="5" t="str">
        <f t="shared" si="126"/>
        <v>UNIDAD DE LLAMADO DE ENFERMERIA PARA BAÑO CON CORDON TIRADOR. RESISTENTE A SALPICADURAS DE AGUA Y LUZ INDICADORA DE PULSACIÓN</v>
      </c>
      <c r="C2506" s="6">
        <v>529400</v>
      </c>
      <c r="D2506" s="5" t="s">
        <v>143</v>
      </c>
      <c r="E2506" s="5" t="str">
        <f t="shared" si="124"/>
        <v>ACTISALUD-CIRUGIA GENERAL-GUSTAVO GOMEZ</v>
      </c>
      <c r="F2506" s="5"/>
      <c r="G2506" s="5"/>
    </row>
    <row r="2507" spans="1:7" ht="58.5" customHeight="1" x14ac:dyDescent="0.25">
      <c r="A2507" s="5" t="str">
        <f>"H0038289"</f>
        <v>H0038289</v>
      </c>
      <c r="B2507" s="5" t="str">
        <f t="shared" si="126"/>
        <v>UNIDAD DE LLAMADO DE ENFERMERIA PARA BAÑO CON CORDON TIRADOR. RESISTENTE A SALPICADURAS DE AGUA Y LUZ INDICADORA DE PULSACIÓN</v>
      </c>
      <c r="C2507" s="6">
        <v>529400</v>
      </c>
      <c r="D2507" s="5" t="s">
        <v>143</v>
      </c>
      <c r="E2507" s="5" t="str">
        <f t="shared" si="124"/>
        <v>ACTISALUD-CIRUGIA GENERAL-GUSTAVO GOMEZ</v>
      </c>
      <c r="F2507" s="5"/>
      <c r="G2507" s="5"/>
    </row>
    <row r="2508" spans="1:7" ht="58.5" customHeight="1" x14ac:dyDescent="0.25">
      <c r="A2508" s="5" t="str">
        <f>"H0038290"</f>
        <v>H0038290</v>
      </c>
      <c r="B2508" s="5" t="str">
        <f t="shared" si="126"/>
        <v>UNIDAD DE LLAMADO DE ENFERMERIA PARA BAÑO CON CORDON TIRADOR. RESISTENTE A SALPICADURAS DE AGUA Y LUZ INDICADORA DE PULSACIÓN</v>
      </c>
      <c r="C2508" s="6">
        <v>529400</v>
      </c>
      <c r="D2508" s="5" t="s">
        <v>143</v>
      </c>
      <c r="E2508" s="5" t="str">
        <f t="shared" si="124"/>
        <v>ACTISALUD-CIRUGIA GENERAL-GUSTAVO GOMEZ</v>
      </c>
      <c r="F2508" s="5"/>
      <c r="G2508" s="5"/>
    </row>
    <row r="2509" spans="1:7" ht="58.5" customHeight="1" x14ac:dyDescent="0.25">
      <c r="A2509" s="5" t="str">
        <f>"H0038291"</f>
        <v>H0038291</v>
      </c>
      <c r="B2509" s="5" t="str">
        <f t="shared" si="126"/>
        <v>UNIDAD DE LLAMADO DE ENFERMERIA PARA BAÑO CON CORDON TIRADOR. RESISTENTE A SALPICADURAS DE AGUA Y LUZ INDICADORA DE PULSACIÓN</v>
      </c>
      <c r="C2509" s="6">
        <v>529400</v>
      </c>
      <c r="D2509" s="5" t="s">
        <v>143</v>
      </c>
      <c r="E2509" s="5" t="str">
        <f t="shared" si="124"/>
        <v>ACTISALUD-CIRUGIA GENERAL-GUSTAVO GOMEZ</v>
      </c>
      <c r="F2509" s="5"/>
      <c r="G2509" s="5"/>
    </row>
    <row r="2510" spans="1:7" ht="58.5" customHeight="1" x14ac:dyDescent="0.25">
      <c r="A2510" s="5" t="str">
        <f>"H0038292"</f>
        <v>H0038292</v>
      </c>
      <c r="B2510" s="5" t="str">
        <f t="shared" si="126"/>
        <v>UNIDAD DE LLAMADO DE ENFERMERIA PARA BAÑO CON CORDON TIRADOR. RESISTENTE A SALPICADURAS DE AGUA Y LUZ INDICADORA DE PULSACIÓN</v>
      </c>
      <c r="C2510" s="6">
        <v>529400</v>
      </c>
      <c r="D2510" s="5" t="s">
        <v>143</v>
      </c>
      <c r="E2510" s="5" t="str">
        <f t="shared" si="124"/>
        <v>ACTISALUD-CIRUGIA GENERAL-GUSTAVO GOMEZ</v>
      </c>
      <c r="F2510" s="5"/>
      <c r="G2510" s="5"/>
    </row>
    <row r="2511" spans="1:7" ht="58.5" customHeight="1" x14ac:dyDescent="0.25">
      <c r="A2511" s="5" t="str">
        <f>"H0038293"</f>
        <v>H0038293</v>
      </c>
      <c r="B2511" s="5" t="str">
        <f t="shared" si="126"/>
        <v>UNIDAD DE LLAMADO DE ENFERMERIA PARA BAÑO CON CORDON TIRADOR. RESISTENTE A SALPICADURAS DE AGUA Y LUZ INDICADORA DE PULSACIÓN</v>
      </c>
      <c r="C2511" s="6">
        <v>529400</v>
      </c>
      <c r="D2511" s="5" t="s">
        <v>143</v>
      </c>
      <c r="E2511" s="5" t="str">
        <f t="shared" si="124"/>
        <v>ACTISALUD-CIRUGIA GENERAL-GUSTAVO GOMEZ</v>
      </c>
      <c r="F2511" s="5"/>
      <c r="G2511" s="5"/>
    </row>
    <row r="2512" spans="1:7" ht="58.5" customHeight="1" x14ac:dyDescent="0.25">
      <c r="A2512" s="5" t="str">
        <f>"H0038294"</f>
        <v>H0038294</v>
      </c>
      <c r="B2512" s="5" t="str">
        <f t="shared" si="126"/>
        <v>UNIDAD DE LLAMADO DE ENFERMERIA PARA BAÑO CON CORDON TIRADOR. RESISTENTE A SALPICADURAS DE AGUA Y LUZ INDICADORA DE PULSACIÓN</v>
      </c>
      <c r="C2512" s="6">
        <v>529400</v>
      </c>
      <c r="D2512" s="5" t="s">
        <v>143</v>
      </c>
      <c r="E2512" s="5" t="str">
        <f t="shared" si="124"/>
        <v>ACTISALUD-CIRUGIA GENERAL-GUSTAVO GOMEZ</v>
      </c>
      <c r="F2512" s="5"/>
      <c r="G2512" s="5"/>
    </row>
    <row r="2513" spans="1:7" ht="58.5" customHeight="1" x14ac:dyDescent="0.25">
      <c r="A2513" s="5" t="str">
        <f>"H0038295"</f>
        <v>H0038295</v>
      </c>
      <c r="B2513" s="5" t="str">
        <f t="shared" si="126"/>
        <v>UNIDAD DE LLAMADO DE ENFERMERIA PARA BAÑO CON CORDON TIRADOR. RESISTENTE A SALPICADURAS DE AGUA Y LUZ INDICADORA DE PULSACIÓN</v>
      </c>
      <c r="C2513" s="6">
        <v>529400</v>
      </c>
      <c r="D2513" s="5" t="s">
        <v>143</v>
      </c>
      <c r="E2513" s="5" t="str">
        <f t="shared" si="124"/>
        <v>ACTISALUD-CIRUGIA GENERAL-GUSTAVO GOMEZ</v>
      </c>
      <c r="F2513" s="5"/>
      <c r="G2513" s="5"/>
    </row>
    <row r="2514" spans="1:7" ht="58.5" customHeight="1" x14ac:dyDescent="0.25">
      <c r="A2514" s="5" t="str">
        <f>"H0038296"</f>
        <v>H0038296</v>
      </c>
      <c r="B2514" s="5" t="str">
        <f t="shared" si="126"/>
        <v>UNIDAD DE LLAMADO DE ENFERMERIA PARA BAÑO CON CORDON TIRADOR. RESISTENTE A SALPICADURAS DE AGUA Y LUZ INDICADORA DE PULSACIÓN</v>
      </c>
      <c r="C2514" s="6">
        <v>529400</v>
      </c>
      <c r="D2514" s="5" t="s">
        <v>143</v>
      </c>
      <c r="E2514" s="5" t="str">
        <f t="shared" si="124"/>
        <v>ACTISALUD-CIRUGIA GENERAL-GUSTAVO GOMEZ</v>
      </c>
      <c r="F2514" s="5"/>
      <c r="G2514" s="5"/>
    </row>
    <row r="2515" spans="1:7" ht="58.5" customHeight="1" x14ac:dyDescent="0.25">
      <c r="A2515" s="5" t="str">
        <f>"H0038392"</f>
        <v>H0038392</v>
      </c>
      <c r="B2515" s="5" t="str">
        <f t="shared" ref="B2515:B2558" si="127">"UNIDAD DE LLAMADO DE ENFERMERIA PARA CAMA O BAÑO"</f>
        <v>UNIDAD DE LLAMADO DE ENFERMERIA PARA CAMA O BAÑO</v>
      </c>
      <c r="C2515" s="6">
        <v>532900</v>
      </c>
      <c r="D2515" s="5" t="s">
        <v>143</v>
      </c>
      <c r="E2515" s="5" t="str">
        <f t="shared" si="124"/>
        <v>ACTISALUD-CIRUGIA GENERAL-GUSTAVO GOMEZ</v>
      </c>
      <c r="F2515" s="5"/>
      <c r="G2515" s="5"/>
    </row>
    <row r="2516" spans="1:7" ht="58.5" customHeight="1" x14ac:dyDescent="0.25">
      <c r="A2516" s="5" t="str">
        <f>"H0038393"</f>
        <v>H0038393</v>
      </c>
      <c r="B2516" s="5" t="str">
        <f t="shared" si="127"/>
        <v>UNIDAD DE LLAMADO DE ENFERMERIA PARA CAMA O BAÑO</v>
      </c>
      <c r="C2516" s="6">
        <v>532900</v>
      </c>
      <c r="D2516" s="5" t="s">
        <v>143</v>
      </c>
      <c r="E2516" s="5" t="str">
        <f t="shared" si="124"/>
        <v>ACTISALUD-CIRUGIA GENERAL-GUSTAVO GOMEZ</v>
      </c>
      <c r="F2516" s="5"/>
      <c r="G2516" s="5"/>
    </row>
    <row r="2517" spans="1:7" ht="58.5" customHeight="1" x14ac:dyDescent="0.25">
      <c r="A2517" s="5" t="str">
        <f>"H0038394"</f>
        <v>H0038394</v>
      </c>
      <c r="B2517" s="5" t="str">
        <f t="shared" si="127"/>
        <v>UNIDAD DE LLAMADO DE ENFERMERIA PARA CAMA O BAÑO</v>
      </c>
      <c r="C2517" s="6">
        <v>532900</v>
      </c>
      <c r="D2517" s="5" t="s">
        <v>143</v>
      </c>
      <c r="E2517" s="5" t="str">
        <f t="shared" si="124"/>
        <v>ACTISALUD-CIRUGIA GENERAL-GUSTAVO GOMEZ</v>
      </c>
      <c r="F2517" s="5"/>
      <c r="G2517" s="5"/>
    </row>
    <row r="2518" spans="1:7" ht="58.5" customHeight="1" x14ac:dyDescent="0.25">
      <c r="A2518" s="5" t="str">
        <f>"H0038395"</f>
        <v>H0038395</v>
      </c>
      <c r="B2518" s="5" t="str">
        <f t="shared" si="127"/>
        <v>UNIDAD DE LLAMADO DE ENFERMERIA PARA CAMA O BAÑO</v>
      </c>
      <c r="C2518" s="6">
        <v>532900</v>
      </c>
      <c r="D2518" s="5" t="s">
        <v>143</v>
      </c>
      <c r="E2518" s="5" t="str">
        <f t="shared" si="124"/>
        <v>ACTISALUD-CIRUGIA GENERAL-GUSTAVO GOMEZ</v>
      </c>
      <c r="F2518" s="5"/>
      <c r="G2518" s="5"/>
    </row>
    <row r="2519" spans="1:7" ht="58.5" customHeight="1" x14ac:dyDescent="0.25">
      <c r="A2519" s="5" t="str">
        <f>"H0038396"</f>
        <v>H0038396</v>
      </c>
      <c r="B2519" s="5" t="str">
        <f t="shared" si="127"/>
        <v>UNIDAD DE LLAMADO DE ENFERMERIA PARA CAMA O BAÑO</v>
      </c>
      <c r="C2519" s="6">
        <v>532900</v>
      </c>
      <c r="D2519" s="5" t="s">
        <v>143</v>
      </c>
      <c r="E2519" s="5" t="str">
        <f t="shared" si="124"/>
        <v>ACTISALUD-CIRUGIA GENERAL-GUSTAVO GOMEZ</v>
      </c>
      <c r="F2519" s="5"/>
      <c r="G2519" s="5"/>
    </row>
    <row r="2520" spans="1:7" ht="58.5" customHeight="1" x14ac:dyDescent="0.25">
      <c r="A2520" s="5" t="str">
        <f>"H0038397"</f>
        <v>H0038397</v>
      </c>
      <c r="B2520" s="5" t="str">
        <f t="shared" si="127"/>
        <v>UNIDAD DE LLAMADO DE ENFERMERIA PARA CAMA O BAÑO</v>
      </c>
      <c r="C2520" s="6">
        <v>532900</v>
      </c>
      <c r="D2520" s="5" t="s">
        <v>143</v>
      </c>
      <c r="E2520" s="5" t="str">
        <f t="shared" si="124"/>
        <v>ACTISALUD-CIRUGIA GENERAL-GUSTAVO GOMEZ</v>
      </c>
      <c r="F2520" s="5"/>
      <c r="G2520" s="5"/>
    </row>
    <row r="2521" spans="1:7" ht="58.5" customHeight="1" x14ac:dyDescent="0.25">
      <c r="A2521" s="5" t="str">
        <f>"H0038398"</f>
        <v>H0038398</v>
      </c>
      <c r="B2521" s="5" t="str">
        <f t="shared" si="127"/>
        <v>UNIDAD DE LLAMADO DE ENFERMERIA PARA CAMA O BAÑO</v>
      </c>
      <c r="C2521" s="6">
        <v>532900</v>
      </c>
      <c r="D2521" s="5" t="s">
        <v>143</v>
      </c>
      <c r="E2521" s="5" t="str">
        <f t="shared" si="124"/>
        <v>ACTISALUD-CIRUGIA GENERAL-GUSTAVO GOMEZ</v>
      </c>
      <c r="F2521" s="5"/>
      <c r="G2521" s="5"/>
    </row>
    <row r="2522" spans="1:7" ht="58.5" customHeight="1" x14ac:dyDescent="0.25">
      <c r="A2522" s="5" t="str">
        <f>"H0038399"</f>
        <v>H0038399</v>
      </c>
      <c r="B2522" s="5" t="str">
        <f t="shared" si="127"/>
        <v>UNIDAD DE LLAMADO DE ENFERMERIA PARA CAMA O BAÑO</v>
      </c>
      <c r="C2522" s="6">
        <v>532900</v>
      </c>
      <c r="D2522" s="5" t="s">
        <v>143</v>
      </c>
      <c r="E2522" s="5" t="str">
        <f t="shared" si="124"/>
        <v>ACTISALUD-CIRUGIA GENERAL-GUSTAVO GOMEZ</v>
      </c>
      <c r="F2522" s="5"/>
      <c r="G2522" s="5"/>
    </row>
    <row r="2523" spans="1:7" ht="58.5" customHeight="1" x14ac:dyDescent="0.25">
      <c r="A2523" s="5" t="str">
        <f>"H0038400"</f>
        <v>H0038400</v>
      </c>
      <c r="B2523" s="5" t="str">
        <f t="shared" si="127"/>
        <v>UNIDAD DE LLAMADO DE ENFERMERIA PARA CAMA O BAÑO</v>
      </c>
      <c r="C2523" s="6">
        <v>532900</v>
      </c>
      <c r="D2523" s="5" t="s">
        <v>143</v>
      </c>
      <c r="E2523" s="5" t="str">
        <f t="shared" si="124"/>
        <v>ACTISALUD-CIRUGIA GENERAL-GUSTAVO GOMEZ</v>
      </c>
      <c r="F2523" s="5"/>
      <c r="G2523" s="5"/>
    </row>
    <row r="2524" spans="1:7" ht="58.5" customHeight="1" x14ac:dyDescent="0.25">
      <c r="A2524" s="5" t="str">
        <f>"H0038401"</f>
        <v>H0038401</v>
      </c>
      <c r="B2524" s="5" t="str">
        <f t="shared" si="127"/>
        <v>UNIDAD DE LLAMADO DE ENFERMERIA PARA CAMA O BAÑO</v>
      </c>
      <c r="C2524" s="6">
        <v>532900</v>
      </c>
      <c r="D2524" s="5" t="s">
        <v>143</v>
      </c>
      <c r="E2524" s="5" t="str">
        <f t="shared" si="124"/>
        <v>ACTISALUD-CIRUGIA GENERAL-GUSTAVO GOMEZ</v>
      </c>
      <c r="F2524" s="5"/>
      <c r="G2524" s="5"/>
    </row>
    <row r="2525" spans="1:7" ht="58.5" customHeight="1" x14ac:dyDescent="0.25">
      <c r="A2525" s="5" t="str">
        <f>"H0038402"</f>
        <v>H0038402</v>
      </c>
      <c r="B2525" s="5" t="str">
        <f t="shared" si="127"/>
        <v>UNIDAD DE LLAMADO DE ENFERMERIA PARA CAMA O BAÑO</v>
      </c>
      <c r="C2525" s="6">
        <v>532900</v>
      </c>
      <c r="D2525" s="5" t="s">
        <v>255</v>
      </c>
      <c r="E2525" s="5" t="str">
        <f t="shared" si="124"/>
        <v>ACTISALUD-CIRUGIA GENERAL-GUSTAVO GOMEZ</v>
      </c>
      <c r="F2525" s="5"/>
      <c r="G2525" s="5"/>
    </row>
    <row r="2526" spans="1:7" ht="58.5" customHeight="1" x14ac:dyDescent="0.25">
      <c r="A2526" s="5" t="str">
        <f>"H0038403"</f>
        <v>H0038403</v>
      </c>
      <c r="B2526" s="5" t="str">
        <f t="shared" si="127"/>
        <v>UNIDAD DE LLAMADO DE ENFERMERIA PARA CAMA O BAÑO</v>
      </c>
      <c r="C2526" s="6">
        <v>532900</v>
      </c>
      <c r="D2526" s="5" t="s">
        <v>143</v>
      </c>
      <c r="E2526" s="5" t="str">
        <f t="shared" si="124"/>
        <v>ACTISALUD-CIRUGIA GENERAL-GUSTAVO GOMEZ</v>
      </c>
      <c r="F2526" s="5"/>
      <c r="G2526" s="5"/>
    </row>
    <row r="2527" spans="1:7" ht="58.5" customHeight="1" x14ac:dyDescent="0.25">
      <c r="A2527" s="5" t="str">
        <f>"H0038404"</f>
        <v>H0038404</v>
      </c>
      <c r="B2527" s="5" t="str">
        <f t="shared" si="127"/>
        <v>UNIDAD DE LLAMADO DE ENFERMERIA PARA CAMA O BAÑO</v>
      </c>
      <c r="C2527" s="6">
        <v>532900</v>
      </c>
      <c r="D2527" s="5" t="s">
        <v>143</v>
      </c>
      <c r="E2527" s="5" t="str">
        <f t="shared" si="124"/>
        <v>ACTISALUD-CIRUGIA GENERAL-GUSTAVO GOMEZ</v>
      </c>
      <c r="F2527" s="5"/>
      <c r="G2527" s="5"/>
    </row>
    <row r="2528" spans="1:7" ht="58.5" customHeight="1" x14ac:dyDescent="0.25">
      <c r="A2528" s="5" t="str">
        <f>"H0038405"</f>
        <v>H0038405</v>
      </c>
      <c r="B2528" s="5" t="str">
        <f t="shared" si="127"/>
        <v>UNIDAD DE LLAMADO DE ENFERMERIA PARA CAMA O BAÑO</v>
      </c>
      <c r="C2528" s="6">
        <v>532900</v>
      </c>
      <c r="D2528" s="5" t="s">
        <v>143</v>
      </c>
      <c r="E2528" s="5" t="str">
        <f t="shared" si="124"/>
        <v>ACTISALUD-CIRUGIA GENERAL-GUSTAVO GOMEZ</v>
      </c>
      <c r="F2528" s="5"/>
      <c r="G2528" s="5"/>
    </row>
    <row r="2529" spans="1:7" ht="58.5" customHeight="1" x14ac:dyDescent="0.25">
      <c r="A2529" s="5" t="str">
        <f>"H0038406"</f>
        <v>H0038406</v>
      </c>
      <c r="B2529" s="5" t="str">
        <f t="shared" si="127"/>
        <v>UNIDAD DE LLAMADO DE ENFERMERIA PARA CAMA O BAÑO</v>
      </c>
      <c r="C2529" s="6">
        <v>532900</v>
      </c>
      <c r="D2529" s="5" t="s">
        <v>143</v>
      </c>
      <c r="E2529" s="5" t="str">
        <f t="shared" ref="E2529:E2572" si="128">"ACTISALUD-CIRUGIA GENERAL-GUSTAVO GOMEZ"</f>
        <v>ACTISALUD-CIRUGIA GENERAL-GUSTAVO GOMEZ</v>
      </c>
      <c r="F2529" s="5"/>
      <c r="G2529" s="5"/>
    </row>
    <row r="2530" spans="1:7" ht="58.5" customHeight="1" x14ac:dyDescent="0.25">
      <c r="A2530" s="5" t="str">
        <f>"H0038407"</f>
        <v>H0038407</v>
      </c>
      <c r="B2530" s="5" t="str">
        <f t="shared" si="127"/>
        <v>UNIDAD DE LLAMADO DE ENFERMERIA PARA CAMA O BAÑO</v>
      </c>
      <c r="C2530" s="6">
        <v>532900</v>
      </c>
      <c r="D2530" s="5" t="s">
        <v>143</v>
      </c>
      <c r="E2530" s="5" t="str">
        <f t="shared" si="128"/>
        <v>ACTISALUD-CIRUGIA GENERAL-GUSTAVO GOMEZ</v>
      </c>
      <c r="F2530" s="5"/>
      <c r="G2530" s="5"/>
    </row>
    <row r="2531" spans="1:7" ht="58.5" customHeight="1" x14ac:dyDescent="0.25">
      <c r="A2531" s="5" t="str">
        <f>"H0038408"</f>
        <v>H0038408</v>
      </c>
      <c r="B2531" s="5" t="str">
        <f t="shared" si="127"/>
        <v>UNIDAD DE LLAMADO DE ENFERMERIA PARA CAMA O BAÑO</v>
      </c>
      <c r="C2531" s="6">
        <v>532900</v>
      </c>
      <c r="D2531" s="5" t="s">
        <v>143</v>
      </c>
      <c r="E2531" s="5" t="str">
        <f t="shared" si="128"/>
        <v>ACTISALUD-CIRUGIA GENERAL-GUSTAVO GOMEZ</v>
      </c>
      <c r="F2531" s="5"/>
      <c r="G2531" s="5"/>
    </row>
    <row r="2532" spans="1:7" ht="58.5" customHeight="1" x14ac:dyDescent="0.25">
      <c r="A2532" s="5" t="str">
        <f>"H0038409"</f>
        <v>H0038409</v>
      </c>
      <c r="B2532" s="5" t="str">
        <f t="shared" si="127"/>
        <v>UNIDAD DE LLAMADO DE ENFERMERIA PARA CAMA O BAÑO</v>
      </c>
      <c r="C2532" s="6">
        <v>532900</v>
      </c>
      <c r="D2532" s="5" t="s">
        <v>143</v>
      </c>
      <c r="E2532" s="5" t="str">
        <f t="shared" si="128"/>
        <v>ACTISALUD-CIRUGIA GENERAL-GUSTAVO GOMEZ</v>
      </c>
      <c r="F2532" s="5"/>
      <c r="G2532" s="5"/>
    </row>
    <row r="2533" spans="1:7" ht="58.5" customHeight="1" x14ac:dyDescent="0.25">
      <c r="A2533" s="5" t="str">
        <f>"H0038410"</f>
        <v>H0038410</v>
      </c>
      <c r="B2533" s="5" t="str">
        <f t="shared" si="127"/>
        <v>UNIDAD DE LLAMADO DE ENFERMERIA PARA CAMA O BAÑO</v>
      </c>
      <c r="C2533" s="6">
        <v>532900</v>
      </c>
      <c r="D2533" s="5" t="s">
        <v>143</v>
      </c>
      <c r="E2533" s="5" t="str">
        <f t="shared" si="128"/>
        <v>ACTISALUD-CIRUGIA GENERAL-GUSTAVO GOMEZ</v>
      </c>
      <c r="F2533" s="5"/>
      <c r="G2533" s="5"/>
    </row>
    <row r="2534" spans="1:7" ht="58.5" customHeight="1" x14ac:dyDescent="0.25">
      <c r="A2534" s="5" t="str">
        <f>"H0038411"</f>
        <v>H0038411</v>
      </c>
      <c r="B2534" s="5" t="str">
        <f t="shared" si="127"/>
        <v>UNIDAD DE LLAMADO DE ENFERMERIA PARA CAMA O BAÑO</v>
      </c>
      <c r="C2534" s="6">
        <v>532900</v>
      </c>
      <c r="D2534" s="5" t="s">
        <v>143</v>
      </c>
      <c r="E2534" s="5" t="str">
        <f t="shared" si="128"/>
        <v>ACTISALUD-CIRUGIA GENERAL-GUSTAVO GOMEZ</v>
      </c>
      <c r="F2534" s="5"/>
      <c r="G2534" s="5"/>
    </row>
    <row r="2535" spans="1:7" ht="58.5" customHeight="1" x14ac:dyDescent="0.25">
      <c r="A2535" s="5" t="str">
        <f>"H0038412"</f>
        <v>H0038412</v>
      </c>
      <c r="B2535" s="5" t="str">
        <f t="shared" si="127"/>
        <v>UNIDAD DE LLAMADO DE ENFERMERIA PARA CAMA O BAÑO</v>
      </c>
      <c r="C2535" s="6">
        <v>532900</v>
      </c>
      <c r="D2535" s="5" t="s">
        <v>143</v>
      </c>
      <c r="E2535" s="5" t="str">
        <f t="shared" si="128"/>
        <v>ACTISALUD-CIRUGIA GENERAL-GUSTAVO GOMEZ</v>
      </c>
      <c r="F2535" s="5"/>
      <c r="G2535" s="5"/>
    </row>
    <row r="2536" spans="1:7" ht="58.5" customHeight="1" x14ac:dyDescent="0.25">
      <c r="A2536" s="5" t="str">
        <f>"H0038413"</f>
        <v>H0038413</v>
      </c>
      <c r="B2536" s="5" t="str">
        <f t="shared" si="127"/>
        <v>UNIDAD DE LLAMADO DE ENFERMERIA PARA CAMA O BAÑO</v>
      </c>
      <c r="C2536" s="6">
        <v>532900</v>
      </c>
      <c r="D2536" s="5" t="s">
        <v>143</v>
      </c>
      <c r="E2536" s="5" t="str">
        <f t="shared" si="128"/>
        <v>ACTISALUD-CIRUGIA GENERAL-GUSTAVO GOMEZ</v>
      </c>
      <c r="F2536" s="5"/>
      <c r="G2536" s="5"/>
    </row>
    <row r="2537" spans="1:7" ht="58.5" customHeight="1" x14ac:dyDescent="0.25">
      <c r="A2537" s="5" t="str">
        <f>"H0038414"</f>
        <v>H0038414</v>
      </c>
      <c r="B2537" s="5" t="str">
        <f t="shared" si="127"/>
        <v>UNIDAD DE LLAMADO DE ENFERMERIA PARA CAMA O BAÑO</v>
      </c>
      <c r="C2537" s="6">
        <v>532900</v>
      </c>
      <c r="D2537" s="5" t="s">
        <v>143</v>
      </c>
      <c r="E2537" s="5" t="str">
        <f t="shared" si="128"/>
        <v>ACTISALUD-CIRUGIA GENERAL-GUSTAVO GOMEZ</v>
      </c>
      <c r="F2537" s="5"/>
      <c r="G2537" s="5"/>
    </row>
    <row r="2538" spans="1:7" ht="58.5" customHeight="1" x14ac:dyDescent="0.25">
      <c r="A2538" s="5" t="str">
        <f>"H0038415"</f>
        <v>H0038415</v>
      </c>
      <c r="B2538" s="5" t="str">
        <f t="shared" si="127"/>
        <v>UNIDAD DE LLAMADO DE ENFERMERIA PARA CAMA O BAÑO</v>
      </c>
      <c r="C2538" s="6">
        <v>532900</v>
      </c>
      <c r="D2538" s="5" t="s">
        <v>143</v>
      </c>
      <c r="E2538" s="5" t="str">
        <f t="shared" si="128"/>
        <v>ACTISALUD-CIRUGIA GENERAL-GUSTAVO GOMEZ</v>
      </c>
      <c r="F2538" s="5"/>
      <c r="G2538" s="5"/>
    </row>
    <row r="2539" spans="1:7" ht="58.5" customHeight="1" x14ac:dyDescent="0.25">
      <c r="A2539" s="5" t="str">
        <f>"H0038416"</f>
        <v>H0038416</v>
      </c>
      <c r="B2539" s="5" t="str">
        <f t="shared" si="127"/>
        <v>UNIDAD DE LLAMADO DE ENFERMERIA PARA CAMA O BAÑO</v>
      </c>
      <c r="C2539" s="6">
        <v>532900</v>
      </c>
      <c r="D2539" s="5" t="s">
        <v>143</v>
      </c>
      <c r="E2539" s="5" t="str">
        <f t="shared" si="128"/>
        <v>ACTISALUD-CIRUGIA GENERAL-GUSTAVO GOMEZ</v>
      </c>
      <c r="F2539" s="5"/>
      <c r="G2539" s="5"/>
    </row>
    <row r="2540" spans="1:7" ht="58.5" customHeight="1" x14ac:dyDescent="0.25">
      <c r="A2540" s="5" t="str">
        <f>"H0038417"</f>
        <v>H0038417</v>
      </c>
      <c r="B2540" s="5" t="str">
        <f t="shared" si="127"/>
        <v>UNIDAD DE LLAMADO DE ENFERMERIA PARA CAMA O BAÑO</v>
      </c>
      <c r="C2540" s="6">
        <v>532900</v>
      </c>
      <c r="D2540" s="5" t="s">
        <v>143</v>
      </c>
      <c r="E2540" s="5" t="str">
        <f t="shared" si="128"/>
        <v>ACTISALUD-CIRUGIA GENERAL-GUSTAVO GOMEZ</v>
      </c>
      <c r="F2540" s="5"/>
      <c r="G2540" s="5"/>
    </row>
    <row r="2541" spans="1:7" ht="58.5" customHeight="1" x14ac:dyDescent="0.25">
      <c r="A2541" s="5" t="str">
        <f>"H0038418"</f>
        <v>H0038418</v>
      </c>
      <c r="B2541" s="5" t="str">
        <f t="shared" si="127"/>
        <v>UNIDAD DE LLAMADO DE ENFERMERIA PARA CAMA O BAÑO</v>
      </c>
      <c r="C2541" s="6">
        <v>532900</v>
      </c>
      <c r="D2541" s="5" t="s">
        <v>143</v>
      </c>
      <c r="E2541" s="5" t="str">
        <f t="shared" si="128"/>
        <v>ACTISALUD-CIRUGIA GENERAL-GUSTAVO GOMEZ</v>
      </c>
      <c r="F2541" s="5"/>
      <c r="G2541" s="5"/>
    </row>
    <row r="2542" spans="1:7" ht="58.5" customHeight="1" x14ac:dyDescent="0.25">
      <c r="A2542" s="5" t="str">
        <f>"H0038419"</f>
        <v>H0038419</v>
      </c>
      <c r="B2542" s="5" t="str">
        <f t="shared" si="127"/>
        <v>UNIDAD DE LLAMADO DE ENFERMERIA PARA CAMA O BAÑO</v>
      </c>
      <c r="C2542" s="6">
        <v>532900</v>
      </c>
      <c r="D2542" s="5" t="s">
        <v>143</v>
      </c>
      <c r="E2542" s="5" t="str">
        <f t="shared" si="128"/>
        <v>ACTISALUD-CIRUGIA GENERAL-GUSTAVO GOMEZ</v>
      </c>
      <c r="F2542" s="5"/>
      <c r="G2542" s="5"/>
    </row>
    <row r="2543" spans="1:7" ht="58.5" customHeight="1" x14ac:dyDescent="0.25">
      <c r="A2543" s="5" t="str">
        <f>"H0038420"</f>
        <v>H0038420</v>
      </c>
      <c r="B2543" s="5" t="str">
        <f t="shared" si="127"/>
        <v>UNIDAD DE LLAMADO DE ENFERMERIA PARA CAMA O BAÑO</v>
      </c>
      <c r="C2543" s="6">
        <v>532900</v>
      </c>
      <c r="D2543" s="5" t="s">
        <v>255</v>
      </c>
      <c r="E2543" s="5" t="str">
        <f t="shared" si="128"/>
        <v>ACTISALUD-CIRUGIA GENERAL-GUSTAVO GOMEZ</v>
      </c>
      <c r="F2543" s="5"/>
      <c r="G2543" s="5"/>
    </row>
    <row r="2544" spans="1:7" ht="58.5" customHeight="1" x14ac:dyDescent="0.25">
      <c r="A2544" s="5" t="str">
        <f>"H0038421"</f>
        <v>H0038421</v>
      </c>
      <c r="B2544" s="5" t="str">
        <f t="shared" si="127"/>
        <v>UNIDAD DE LLAMADO DE ENFERMERIA PARA CAMA O BAÑO</v>
      </c>
      <c r="C2544" s="6">
        <v>532900</v>
      </c>
      <c r="D2544" s="5" t="s">
        <v>143</v>
      </c>
      <c r="E2544" s="5" t="str">
        <f t="shared" si="128"/>
        <v>ACTISALUD-CIRUGIA GENERAL-GUSTAVO GOMEZ</v>
      </c>
      <c r="F2544" s="5"/>
      <c r="G2544" s="5"/>
    </row>
    <row r="2545" spans="1:7" ht="58.5" customHeight="1" x14ac:dyDescent="0.25">
      <c r="A2545" s="5" t="str">
        <f>"H0038422"</f>
        <v>H0038422</v>
      </c>
      <c r="B2545" s="5" t="str">
        <f t="shared" si="127"/>
        <v>UNIDAD DE LLAMADO DE ENFERMERIA PARA CAMA O BAÑO</v>
      </c>
      <c r="C2545" s="6">
        <v>532900</v>
      </c>
      <c r="D2545" s="5" t="s">
        <v>143</v>
      </c>
      <c r="E2545" s="5" t="str">
        <f t="shared" si="128"/>
        <v>ACTISALUD-CIRUGIA GENERAL-GUSTAVO GOMEZ</v>
      </c>
      <c r="F2545" s="5"/>
      <c r="G2545" s="5"/>
    </row>
    <row r="2546" spans="1:7" ht="58.5" customHeight="1" x14ac:dyDescent="0.25">
      <c r="A2546" s="5" t="str">
        <f>"H0038423"</f>
        <v>H0038423</v>
      </c>
      <c r="B2546" s="5" t="str">
        <f t="shared" si="127"/>
        <v>UNIDAD DE LLAMADO DE ENFERMERIA PARA CAMA O BAÑO</v>
      </c>
      <c r="C2546" s="6">
        <v>532900</v>
      </c>
      <c r="D2546" s="5" t="s">
        <v>143</v>
      </c>
      <c r="E2546" s="5" t="str">
        <f t="shared" si="128"/>
        <v>ACTISALUD-CIRUGIA GENERAL-GUSTAVO GOMEZ</v>
      </c>
      <c r="F2546" s="5"/>
      <c r="G2546" s="5"/>
    </row>
    <row r="2547" spans="1:7" ht="58.5" customHeight="1" x14ac:dyDescent="0.25">
      <c r="A2547" s="5" t="str">
        <f>"H0038424"</f>
        <v>H0038424</v>
      </c>
      <c r="B2547" s="5" t="str">
        <f t="shared" si="127"/>
        <v>UNIDAD DE LLAMADO DE ENFERMERIA PARA CAMA O BAÑO</v>
      </c>
      <c r="C2547" s="6">
        <v>532900</v>
      </c>
      <c r="D2547" s="5" t="s">
        <v>143</v>
      </c>
      <c r="E2547" s="5" t="str">
        <f t="shared" si="128"/>
        <v>ACTISALUD-CIRUGIA GENERAL-GUSTAVO GOMEZ</v>
      </c>
      <c r="F2547" s="5"/>
      <c r="G2547" s="5"/>
    </row>
    <row r="2548" spans="1:7" ht="58.5" customHeight="1" x14ac:dyDescent="0.25">
      <c r="A2548" s="5" t="str">
        <f>"H0038425"</f>
        <v>H0038425</v>
      </c>
      <c r="B2548" s="5" t="str">
        <f t="shared" si="127"/>
        <v>UNIDAD DE LLAMADO DE ENFERMERIA PARA CAMA O BAÑO</v>
      </c>
      <c r="C2548" s="6">
        <v>532900</v>
      </c>
      <c r="D2548" s="5" t="s">
        <v>143</v>
      </c>
      <c r="E2548" s="5" t="str">
        <f t="shared" si="128"/>
        <v>ACTISALUD-CIRUGIA GENERAL-GUSTAVO GOMEZ</v>
      </c>
      <c r="F2548" s="5"/>
      <c r="G2548" s="5"/>
    </row>
    <row r="2549" spans="1:7" ht="58.5" customHeight="1" x14ac:dyDescent="0.25">
      <c r="A2549" s="5" t="str">
        <f>"H0038426"</f>
        <v>H0038426</v>
      </c>
      <c r="B2549" s="5" t="str">
        <f t="shared" si="127"/>
        <v>UNIDAD DE LLAMADO DE ENFERMERIA PARA CAMA O BAÑO</v>
      </c>
      <c r="C2549" s="6">
        <v>532900</v>
      </c>
      <c r="D2549" s="5" t="s">
        <v>143</v>
      </c>
      <c r="E2549" s="5" t="str">
        <f t="shared" si="128"/>
        <v>ACTISALUD-CIRUGIA GENERAL-GUSTAVO GOMEZ</v>
      </c>
      <c r="F2549" s="5"/>
      <c r="G2549" s="5"/>
    </row>
    <row r="2550" spans="1:7" ht="58.5" customHeight="1" x14ac:dyDescent="0.25">
      <c r="A2550" s="5" t="str">
        <f>"H0038427"</f>
        <v>H0038427</v>
      </c>
      <c r="B2550" s="5" t="str">
        <f t="shared" si="127"/>
        <v>UNIDAD DE LLAMADO DE ENFERMERIA PARA CAMA O BAÑO</v>
      </c>
      <c r="C2550" s="6">
        <v>532900</v>
      </c>
      <c r="D2550" s="5" t="s">
        <v>143</v>
      </c>
      <c r="E2550" s="5" t="str">
        <f t="shared" si="128"/>
        <v>ACTISALUD-CIRUGIA GENERAL-GUSTAVO GOMEZ</v>
      </c>
      <c r="F2550" s="5"/>
      <c r="G2550" s="5"/>
    </row>
    <row r="2551" spans="1:7" ht="58.5" customHeight="1" x14ac:dyDescent="0.25">
      <c r="A2551" s="5" t="str">
        <f>"H0038428"</f>
        <v>H0038428</v>
      </c>
      <c r="B2551" s="5" t="str">
        <f t="shared" si="127"/>
        <v>UNIDAD DE LLAMADO DE ENFERMERIA PARA CAMA O BAÑO</v>
      </c>
      <c r="C2551" s="6">
        <v>532900</v>
      </c>
      <c r="D2551" s="5" t="s">
        <v>143</v>
      </c>
      <c r="E2551" s="5" t="str">
        <f t="shared" si="128"/>
        <v>ACTISALUD-CIRUGIA GENERAL-GUSTAVO GOMEZ</v>
      </c>
      <c r="F2551" s="5"/>
      <c r="G2551" s="5"/>
    </row>
    <row r="2552" spans="1:7" ht="58.5" customHeight="1" x14ac:dyDescent="0.25">
      <c r="A2552" s="5" t="str">
        <f>"H0038429"</f>
        <v>H0038429</v>
      </c>
      <c r="B2552" s="5" t="str">
        <f t="shared" si="127"/>
        <v>UNIDAD DE LLAMADO DE ENFERMERIA PARA CAMA O BAÑO</v>
      </c>
      <c r="C2552" s="6">
        <v>532900</v>
      </c>
      <c r="D2552" s="5" t="s">
        <v>143</v>
      </c>
      <c r="E2552" s="5" t="str">
        <f t="shared" si="128"/>
        <v>ACTISALUD-CIRUGIA GENERAL-GUSTAVO GOMEZ</v>
      </c>
      <c r="F2552" s="5"/>
      <c r="G2552" s="5"/>
    </row>
    <row r="2553" spans="1:7" ht="58.5" customHeight="1" x14ac:dyDescent="0.25">
      <c r="A2553" s="5" t="str">
        <f>"H0038430"</f>
        <v>H0038430</v>
      </c>
      <c r="B2553" s="5" t="str">
        <f t="shared" si="127"/>
        <v>UNIDAD DE LLAMADO DE ENFERMERIA PARA CAMA O BAÑO</v>
      </c>
      <c r="C2553" s="6">
        <v>532900</v>
      </c>
      <c r="D2553" s="5" t="s">
        <v>143</v>
      </c>
      <c r="E2553" s="5" t="str">
        <f t="shared" si="128"/>
        <v>ACTISALUD-CIRUGIA GENERAL-GUSTAVO GOMEZ</v>
      </c>
      <c r="F2553" s="5"/>
      <c r="G2553" s="5"/>
    </row>
    <row r="2554" spans="1:7" ht="58.5" customHeight="1" x14ac:dyDescent="0.25">
      <c r="A2554" s="5" t="str">
        <f>"H0038431"</f>
        <v>H0038431</v>
      </c>
      <c r="B2554" s="5" t="str">
        <f t="shared" si="127"/>
        <v>UNIDAD DE LLAMADO DE ENFERMERIA PARA CAMA O BAÑO</v>
      </c>
      <c r="C2554" s="6">
        <v>532900</v>
      </c>
      <c r="D2554" s="5" t="s">
        <v>143</v>
      </c>
      <c r="E2554" s="5" t="str">
        <f t="shared" si="128"/>
        <v>ACTISALUD-CIRUGIA GENERAL-GUSTAVO GOMEZ</v>
      </c>
      <c r="F2554" s="5"/>
      <c r="G2554" s="5"/>
    </row>
    <row r="2555" spans="1:7" ht="58.5" customHeight="1" x14ac:dyDescent="0.25">
      <c r="A2555" s="5" t="str">
        <f>"H0038432"</f>
        <v>H0038432</v>
      </c>
      <c r="B2555" s="5" t="str">
        <f t="shared" si="127"/>
        <v>UNIDAD DE LLAMADO DE ENFERMERIA PARA CAMA O BAÑO</v>
      </c>
      <c r="C2555" s="6">
        <v>532900</v>
      </c>
      <c r="D2555" s="5" t="s">
        <v>143</v>
      </c>
      <c r="E2555" s="5" t="str">
        <f t="shared" si="128"/>
        <v>ACTISALUD-CIRUGIA GENERAL-GUSTAVO GOMEZ</v>
      </c>
      <c r="F2555" s="5"/>
      <c r="G2555" s="5"/>
    </row>
    <row r="2556" spans="1:7" ht="58.5" customHeight="1" x14ac:dyDescent="0.25">
      <c r="A2556" s="5" t="str">
        <f>"H0038433"</f>
        <v>H0038433</v>
      </c>
      <c r="B2556" s="5" t="str">
        <f t="shared" si="127"/>
        <v>UNIDAD DE LLAMADO DE ENFERMERIA PARA CAMA O BAÑO</v>
      </c>
      <c r="C2556" s="6">
        <v>532900</v>
      </c>
      <c r="D2556" s="5" t="s">
        <v>143</v>
      </c>
      <c r="E2556" s="5" t="str">
        <f t="shared" si="128"/>
        <v>ACTISALUD-CIRUGIA GENERAL-GUSTAVO GOMEZ</v>
      </c>
      <c r="F2556" s="5"/>
      <c r="G2556" s="5"/>
    </row>
    <row r="2557" spans="1:7" ht="58.5" customHeight="1" x14ac:dyDescent="0.25">
      <c r="A2557" s="5" t="str">
        <f>"H0038434"</f>
        <v>H0038434</v>
      </c>
      <c r="B2557" s="5" t="str">
        <f t="shared" si="127"/>
        <v>UNIDAD DE LLAMADO DE ENFERMERIA PARA CAMA O BAÑO</v>
      </c>
      <c r="C2557" s="6">
        <v>532900</v>
      </c>
      <c r="D2557" s="5" t="s">
        <v>143</v>
      </c>
      <c r="E2557" s="5" t="str">
        <f t="shared" si="128"/>
        <v>ACTISALUD-CIRUGIA GENERAL-GUSTAVO GOMEZ</v>
      </c>
      <c r="F2557" s="5"/>
      <c r="G2557" s="5"/>
    </row>
    <row r="2558" spans="1:7" ht="58.5" customHeight="1" x14ac:dyDescent="0.25">
      <c r="A2558" s="5" t="str">
        <f>"H0038435"</f>
        <v>H0038435</v>
      </c>
      <c r="B2558" s="5" t="str">
        <f t="shared" si="127"/>
        <v>UNIDAD DE LLAMADO DE ENFERMERIA PARA CAMA O BAÑO</v>
      </c>
      <c r="C2558" s="6">
        <v>532900</v>
      </c>
      <c r="D2558" s="5" t="s">
        <v>143</v>
      </c>
      <c r="E2558" s="5" t="str">
        <f t="shared" si="128"/>
        <v>ACTISALUD-CIRUGIA GENERAL-GUSTAVO GOMEZ</v>
      </c>
      <c r="F2558" s="5"/>
      <c r="G2558" s="5"/>
    </row>
    <row r="2559" spans="1:7" ht="58.5" customHeight="1" x14ac:dyDescent="0.25">
      <c r="A2559" s="5" t="str">
        <f>"H0038600"</f>
        <v>H0038600</v>
      </c>
      <c r="B2559" s="5" t="str">
        <f t="shared" ref="B2559:B2572" si="129">"LAMPARA DE PASILLO DE LLAMADO DE ENFERMERIA"</f>
        <v>LAMPARA DE PASILLO DE LLAMADO DE ENFERMERIA</v>
      </c>
      <c r="C2559" s="6">
        <v>854790</v>
      </c>
      <c r="D2559" s="5" t="s">
        <v>143</v>
      </c>
      <c r="E2559" s="5" t="str">
        <f t="shared" si="128"/>
        <v>ACTISALUD-CIRUGIA GENERAL-GUSTAVO GOMEZ</v>
      </c>
      <c r="F2559" s="5"/>
      <c r="G2559" s="5"/>
    </row>
    <row r="2560" spans="1:7" ht="58.5" customHeight="1" x14ac:dyDescent="0.25">
      <c r="A2560" s="5" t="str">
        <f>"H0038601"</f>
        <v>H0038601</v>
      </c>
      <c r="B2560" s="5" t="str">
        <f t="shared" si="129"/>
        <v>LAMPARA DE PASILLO DE LLAMADO DE ENFERMERIA</v>
      </c>
      <c r="C2560" s="6">
        <v>854790</v>
      </c>
      <c r="D2560" s="5" t="s">
        <v>143</v>
      </c>
      <c r="E2560" s="5" t="str">
        <f t="shared" si="128"/>
        <v>ACTISALUD-CIRUGIA GENERAL-GUSTAVO GOMEZ</v>
      </c>
      <c r="F2560" s="5"/>
      <c r="G2560" s="5"/>
    </row>
    <row r="2561" spans="1:7" ht="58.5" customHeight="1" x14ac:dyDescent="0.25">
      <c r="A2561" s="5" t="str">
        <f>"H0038602"</f>
        <v>H0038602</v>
      </c>
      <c r="B2561" s="5" t="str">
        <f t="shared" si="129"/>
        <v>LAMPARA DE PASILLO DE LLAMADO DE ENFERMERIA</v>
      </c>
      <c r="C2561" s="6">
        <v>854790</v>
      </c>
      <c r="D2561" s="5" t="s">
        <v>143</v>
      </c>
      <c r="E2561" s="5" t="str">
        <f t="shared" si="128"/>
        <v>ACTISALUD-CIRUGIA GENERAL-GUSTAVO GOMEZ</v>
      </c>
      <c r="F2561" s="5"/>
      <c r="G2561" s="5"/>
    </row>
    <row r="2562" spans="1:7" ht="58.5" customHeight="1" x14ac:dyDescent="0.25">
      <c r="A2562" s="5" t="str">
        <f>"H0038603"</f>
        <v>H0038603</v>
      </c>
      <c r="B2562" s="5" t="str">
        <f t="shared" si="129"/>
        <v>LAMPARA DE PASILLO DE LLAMADO DE ENFERMERIA</v>
      </c>
      <c r="C2562" s="6">
        <v>854790</v>
      </c>
      <c r="D2562" s="5" t="s">
        <v>143</v>
      </c>
      <c r="E2562" s="5" t="str">
        <f t="shared" si="128"/>
        <v>ACTISALUD-CIRUGIA GENERAL-GUSTAVO GOMEZ</v>
      </c>
      <c r="F2562" s="5"/>
      <c r="G2562" s="5"/>
    </row>
    <row r="2563" spans="1:7" ht="58.5" customHeight="1" x14ac:dyDescent="0.25">
      <c r="A2563" s="5" t="str">
        <f>"H0038604"</f>
        <v>H0038604</v>
      </c>
      <c r="B2563" s="5" t="str">
        <f t="shared" si="129"/>
        <v>LAMPARA DE PASILLO DE LLAMADO DE ENFERMERIA</v>
      </c>
      <c r="C2563" s="6">
        <v>854790</v>
      </c>
      <c r="D2563" s="5" t="s">
        <v>143</v>
      </c>
      <c r="E2563" s="5" t="str">
        <f t="shared" si="128"/>
        <v>ACTISALUD-CIRUGIA GENERAL-GUSTAVO GOMEZ</v>
      </c>
      <c r="F2563" s="5"/>
      <c r="G2563" s="5"/>
    </row>
    <row r="2564" spans="1:7" ht="58.5" customHeight="1" x14ac:dyDescent="0.25">
      <c r="A2564" s="5" t="str">
        <f>"H0038605"</f>
        <v>H0038605</v>
      </c>
      <c r="B2564" s="5" t="str">
        <f t="shared" si="129"/>
        <v>LAMPARA DE PASILLO DE LLAMADO DE ENFERMERIA</v>
      </c>
      <c r="C2564" s="6">
        <v>854790</v>
      </c>
      <c r="D2564" s="5" t="s">
        <v>143</v>
      </c>
      <c r="E2564" s="5" t="str">
        <f t="shared" si="128"/>
        <v>ACTISALUD-CIRUGIA GENERAL-GUSTAVO GOMEZ</v>
      </c>
      <c r="F2564" s="5"/>
      <c r="G2564" s="5"/>
    </row>
    <row r="2565" spans="1:7" ht="58.5" customHeight="1" x14ac:dyDescent="0.25">
      <c r="A2565" s="5" t="str">
        <f>"H0038606"</f>
        <v>H0038606</v>
      </c>
      <c r="B2565" s="5" t="str">
        <f t="shared" si="129"/>
        <v>LAMPARA DE PASILLO DE LLAMADO DE ENFERMERIA</v>
      </c>
      <c r="C2565" s="6">
        <v>854790</v>
      </c>
      <c r="D2565" s="5" t="s">
        <v>143</v>
      </c>
      <c r="E2565" s="5" t="str">
        <f t="shared" si="128"/>
        <v>ACTISALUD-CIRUGIA GENERAL-GUSTAVO GOMEZ</v>
      </c>
      <c r="F2565" s="5"/>
      <c r="G2565" s="5"/>
    </row>
    <row r="2566" spans="1:7" ht="58.5" customHeight="1" x14ac:dyDescent="0.25">
      <c r="A2566" s="5" t="str">
        <f>"H0038607"</f>
        <v>H0038607</v>
      </c>
      <c r="B2566" s="5" t="str">
        <f t="shared" si="129"/>
        <v>LAMPARA DE PASILLO DE LLAMADO DE ENFERMERIA</v>
      </c>
      <c r="C2566" s="6">
        <v>854790</v>
      </c>
      <c r="D2566" s="5" t="s">
        <v>143</v>
      </c>
      <c r="E2566" s="5" t="str">
        <f t="shared" si="128"/>
        <v>ACTISALUD-CIRUGIA GENERAL-GUSTAVO GOMEZ</v>
      </c>
      <c r="F2566" s="5"/>
      <c r="G2566" s="5"/>
    </row>
    <row r="2567" spans="1:7" ht="58.5" customHeight="1" x14ac:dyDescent="0.25">
      <c r="A2567" s="5" t="str">
        <f>"H0038608"</f>
        <v>H0038608</v>
      </c>
      <c r="B2567" s="5" t="str">
        <f t="shared" si="129"/>
        <v>LAMPARA DE PASILLO DE LLAMADO DE ENFERMERIA</v>
      </c>
      <c r="C2567" s="6">
        <v>854790</v>
      </c>
      <c r="D2567" s="5" t="s">
        <v>143</v>
      </c>
      <c r="E2567" s="5" t="str">
        <f t="shared" si="128"/>
        <v>ACTISALUD-CIRUGIA GENERAL-GUSTAVO GOMEZ</v>
      </c>
      <c r="F2567" s="5"/>
      <c r="G2567" s="5"/>
    </row>
    <row r="2568" spans="1:7" ht="58.5" customHeight="1" x14ac:dyDescent="0.25">
      <c r="A2568" s="5" t="str">
        <f>"H0038609"</f>
        <v>H0038609</v>
      </c>
      <c r="B2568" s="5" t="str">
        <f t="shared" si="129"/>
        <v>LAMPARA DE PASILLO DE LLAMADO DE ENFERMERIA</v>
      </c>
      <c r="C2568" s="6">
        <v>854790</v>
      </c>
      <c r="D2568" s="5" t="s">
        <v>143</v>
      </c>
      <c r="E2568" s="5" t="str">
        <f t="shared" si="128"/>
        <v>ACTISALUD-CIRUGIA GENERAL-GUSTAVO GOMEZ</v>
      </c>
      <c r="F2568" s="5"/>
      <c r="G2568" s="5"/>
    </row>
    <row r="2569" spans="1:7" ht="58.5" customHeight="1" x14ac:dyDescent="0.25">
      <c r="A2569" s="5" t="str">
        <f>"H0038610"</f>
        <v>H0038610</v>
      </c>
      <c r="B2569" s="5" t="str">
        <f t="shared" si="129"/>
        <v>LAMPARA DE PASILLO DE LLAMADO DE ENFERMERIA</v>
      </c>
      <c r="C2569" s="6">
        <v>854790</v>
      </c>
      <c r="D2569" s="5" t="s">
        <v>143</v>
      </c>
      <c r="E2569" s="5" t="str">
        <f t="shared" si="128"/>
        <v>ACTISALUD-CIRUGIA GENERAL-GUSTAVO GOMEZ</v>
      </c>
      <c r="F2569" s="5"/>
      <c r="G2569" s="5"/>
    </row>
    <row r="2570" spans="1:7" ht="58.5" customHeight="1" x14ac:dyDescent="0.25">
      <c r="A2570" s="5" t="str">
        <f>"H0038611"</f>
        <v>H0038611</v>
      </c>
      <c r="B2570" s="5" t="str">
        <f t="shared" si="129"/>
        <v>LAMPARA DE PASILLO DE LLAMADO DE ENFERMERIA</v>
      </c>
      <c r="C2570" s="6">
        <v>854790</v>
      </c>
      <c r="D2570" s="5" t="s">
        <v>143</v>
      </c>
      <c r="E2570" s="5" t="str">
        <f t="shared" si="128"/>
        <v>ACTISALUD-CIRUGIA GENERAL-GUSTAVO GOMEZ</v>
      </c>
      <c r="F2570" s="5"/>
      <c r="G2570" s="5"/>
    </row>
    <row r="2571" spans="1:7" ht="58.5" customHeight="1" x14ac:dyDescent="0.25">
      <c r="A2571" s="5" t="str">
        <f>"H0038612"</f>
        <v>H0038612</v>
      </c>
      <c r="B2571" s="5" t="str">
        <f t="shared" si="129"/>
        <v>LAMPARA DE PASILLO DE LLAMADO DE ENFERMERIA</v>
      </c>
      <c r="C2571" s="6">
        <v>854790</v>
      </c>
      <c r="D2571" s="5" t="s">
        <v>143</v>
      </c>
      <c r="E2571" s="5" t="str">
        <f t="shared" si="128"/>
        <v>ACTISALUD-CIRUGIA GENERAL-GUSTAVO GOMEZ</v>
      </c>
      <c r="F2571" s="5"/>
      <c r="G2571" s="5"/>
    </row>
    <row r="2572" spans="1:7" ht="58.5" customHeight="1" x14ac:dyDescent="0.25">
      <c r="A2572" s="5" t="str">
        <f>"H0038613"</f>
        <v>H0038613</v>
      </c>
      <c r="B2572" s="5" t="str">
        <f t="shared" si="129"/>
        <v>LAMPARA DE PASILLO DE LLAMADO DE ENFERMERIA</v>
      </c>
      <c r="C2572" s="6">
        <v>854790</v>
      </c>
      <c r="D2572" s="5" t="s">
        <v>143</v>
      </c>
      <c r="E2572" s="5" t="str">
        <f t="shared" si="128"/>
        <v>ACTISALUD-CIRUGIA GENERAL-GUSTAVO GOMEZ</v>
      </c>
      <c r="F2572" s="5"/>
      <c r="G2572" s="5"/>
    </row>
    <row r="2573" spans="1:7" ht="58.5" customHeight="1" x14ac:dyDescent="0.25">
      <c r="A2573" s="5" t="str">
        <f>"H0001012"</f>
        <v>H0001012</v>
      </c>
      <c r="B2573" s="5" t="str">
        <f>"CAMA HOSPITALARIA 4 PLANOS CON BARANDA"</f>
        <v>CAMA HOSPITALARIA 4 PLANOS CON BARANDA</v>
      </c>
      <c r="C2573" s="6">
        <v>890514</v>
      </c>
      <c r="D2573" s="5" t="s">
        <v>163</v>
      </c>
      <c r="E2573" s="5" t="str">
        <f t="shared" ref="E2573:E2636" si="130">"ACTISALUD-GINECO-OBST-MARIA AUXILIADORA PERTUZ"</f>
        <v>ACTISALUD-GINECO-OBST-MARIA AUXILIADORA PERTUZ</v>
      </c>
      <c r="F2573" s="5" t="str">
        <f>"Descripcion: CAMA HOSPITALARIA 4 PLANOS CON BARANDA Estado: Excelente Placa anterior: 000033705 Material: METALICA Color: BEIGE Referencia:  Observacion:  Placa padre: Tipo adquisicion: Entidad"</f>
        <v>Descripcion: CAMA HOSPITALARIA 4 PLANOS CON BARANDA Estado: Excelente Placa anterior: 000033705 Material: METALICA Color: BEIGE Referencia:  Observacion:  Placa padre: Tipo adquisicion: Entidad</v>
      </c>
      <c r="G2573" s="5" t="str">
        <f>"GALAXIA"</f>
        <v>GALAXIA</v>
      </c>
    </row>
    <row r="2574" spans="1:7" ht="58.5" customHeight="1" x14ac:dyDescent="0.25">
      <c r="A2574" s="5" t="str">
        <f>"H0001342"</f>
        <v>H0001342</v>
      </c>
      <c r="B2574" s="5" t="str">
        <f>"IMPRESORA LASER"</f>
        <v>IMPRESORA LASER</v>
      </c>
      <c r="C2574" s="6">
        <v>1044000</v>
      </c>
      <c r="D2574" s="5" t="s">
        <v>256</v>
      </c>
      <c r="E2574" s="5" t="str">
        <f t="shared" si="130"/>
        <v>ACTISALUD-GINECO-OBST-MARIA AUXILIADORA PERTUZ</v>
      </c>
      <c r="F2574" s="5" t="str">
        <f>"Descripcion:IMPRESORA HP LASERJET P1606 dm Estado: Bueno Placa anterior: 000029412 Material:  Color: NEGRO Referencia:  Observacion:  Placa padre:  Tipo adquisicion : Entidad"</f>
        <v>Descripcion:IMPRESORA HP LASERJET P1606 dm Estado: Bueno Placa anterior: 000029412 Material:  Color: NEGRO Referencia:  Observacion:  Placa padre:  Tipo adquisicion : Entidad</v>
      </c>
      <c r="G2574" s="5" t="str">
        <f>"LASERJETP1606DN"</f>
        <v>LASERJETP1606DN</v>
      </c>
    </row>
    <row r="2575" spans="1:7" ht="58.5" customHeight="1" x14ac:dyDescent="0.25">
      <c r="A2575" s="5" t="str">
        <f>"H0001526"</f>
        <v>H0001526</v>
      </c>
      <c r="B2575" s="5" t="str">
        <f>"VITRINA DE 2 CUERPOS"</f>
        <v>VITRINA DE 2 CUERPOS</v>
      </c>
      <c r="C2575" s="6">
        <v>11935</v>
      </c>
      <c r="D2575" s="5"/>
      <c r="E2575" s="5" t="str">
        <f t="shared" si="130"/>
        <v>ACTISALUD-GINECO-OBST-MARIA AUXILIADORA PERTUZ</v>
      </c>
      <c r="F2575" s="5" t="str">
        <f>"Descripcion:VITRINA DE 2 CUERPOS CON PUERTAS DE CORREDERA MEDIDAS:140X88X32.5CM  Estado: Bueno Placa anterior: 000008797 Material: METALICO Color: GRIS Referencia:  Observacion:  Placa padre:  Tipo adquisicion : Entidad"</f>
        <v>Descripcion:VITRINA DE 2 CUERPOS CON PUERTAS DE CORREDERA MEDIDAS:140X88X32.5CM  Estado: Bueno Placa anterior: 000008797 Material: METALICO Color: GRIS Referencia:  Observacion:  Placa padre:  Tipo adquisicion : Entidad</v>
      </c>
      <c r="G2575" s="5"/>
    </row>
    <row r="2576" spans="1:7" ht="58.5" customHeight="1" x14ac:dyDescent="0.25">
      <c r="A2576" s="5" t="str">
        <f>"H0002013"</f>
        <v>H0002013</v>
      </c>
      <c r="B2576" s="5" t="str">
        <f>"CARRO DE PARO"</f>
        <v>CARRO DE PARO</v>
      </c>
      <c r="C2576" s="6">
        <v>1682000</v>
      </c>
      <c r="D2576" s="5"/>
      <c r="E2576" s="5" t="str">
        <f t="shared" si="130"/>
        <v>ACTISALUD-GINECO-OBST-MARIA AUXILIADORA PERTUZ</v>
      </c>
      <c r="F2576" s="5" t="str">
        <f>"Descripcion:CARRO DE PARO DE 4 GAVETAS CON BASE PARA MONITOR , CON RUEDAS Estado: Excelente Placa anterior: 000039047 Material: METALICA Y ACERO INOXIDABLE Color: CREMA Referencia:  Observacion: ESTAN GUARDADAS EN SALA DE MAQUINAS Placa padre:  Tipo adqui"&amp; "sicion : Entidad"</f>
        <v>Descripcion:CARRO DE PARO DE 4 GAVETAS CON BASE PARA MONITOR , CON RUEDAS Estado: Excelente Placa anterior: 000039047 Material: METALICA Y ACERO INOXIDABLE Color: CREMA Referencia:  Observacion: ESTAN GUARDADAS EN SALA DE MAQUINAS Placa padre:  Tipo adquisicion : Entidad</v>
      </c>
      <c r="G2576" s="5"/>
    </row>
    <row r="2577" spans="1:7" ht="58.5" customHeight="1" x14ac:dyDescent="0.25">
      <c r="A2577" s="5" t="str">
        <f>"H0002566"</f>
        <v>H0002566</v>
      </c>
      <c r="B2577" s="5" t="str">
        <f>"MESA PUENTE (ALIMENTACION) (INSTRUMENTAL)"</f>
        <v>MESA PUENTE (ALIMENTACION) (INSTRUMENTAL)</v>
      </c>
      <c r="C2577" s="6">
        <v>15000</v>
      </c>
      <c r="D2577" s="5"/>
      <c r="E2577" s="5" t="str">
        <f t="shared" si="130"/>
        <v>ACTISALUD-GINECO-OBST-MARIA AUXILIADORA PERTUZ</v>
      </c>
      <c r="F2577" s="5" t="str">
        <f>"Descripcion: MESA PUENTE CON RODACHINES Estado: Bueno Placa anterior: 000026771 Material: METALICA CON BANDEJA EN ACERO INOX. Color: VERDE CLARO Referencia:  Observacion: 905 - TIENE PARTES OXIDADAS Y LOS RODACHINES ESTAN DESGASTADOS Placa padre: Tipo adq"&amp; "uisicion: Entidad"</f>
        <v>Descripcion: MESA PUENTE CON RODACHINES Estado: Bueno Placa anterior: 000026771 Material: METALICA CON BANDEJA EN ACERO INOX. Color: VERDE CLARO Referencia:  Observacion: 905 - TIENE PARTES OXIDADAS Y LOS RODACHINES ESTAN DESGASTADOS Placa padre: Tipo adquisicion: Entidad</v>
      </c>
      <c r="G2577" s="5"/>
    </row>
    <row r="2578" spans="1:7" ht="58.5" customHeight="1" x14ac:dyDescent="0.25">
      <c r="A2578" s="5" t="str">
        <f>"H0002610"</f>
        <v>H0002610</v>
      </c>
      <c r="B2578" s="5" t="str">
        <f>"MESA PUENTE (ALIMENTACION) (INSTRUMENTAL)"</f>
        <v>MESA PUENTE (ALIMENTACION) (INSTRUMENTAL)</v>
      </c>
      <c r="C2578" s="6">
        <v>15000</v>
      </c>
      <c r="D2578" s="5"/>
      <c r="E2578" s="5" t="str">
        <f t="shared" si="130"/>
        <v>ACTISALUD-GINECO-OBST-MARIA AUXILIADORA PERTUZ</v>
      </c>
      <c r="F2578" s="5" t="str">
        <f>"Descripcion: MESA PUENTE PARA ALIMENTACION CON RODACHINES Estado: Bueno Placa anterior: 000026715 Material: TUBO METALICO CON BANDEJA ACERO INOX. Color: VERDE Referencia:  Observacion: 913- PARTES OXIDADAS Placa padre: Tipo adquisicion: Entidad"</f>
        <v>Descripcion: MESA PUENTE PARA ALIMENTACION CON RODACHINES Estado: Bueno Placa anterior: 000026715 Material: TUBO METALICO CON BANDEJA ACERO INOX. Color: VERDE Referencia:  Observacion: 913- PARTES OXIDADAS Placa padre: Tipo adquisicion: Entidad</v>
      </c>
      <c r="G2578" s="5"/>
    </row>
    <row r="2579" spans="1:7" ht="58.5" customHeight="1" x14ac:dyDescent="0.25">
      <c r="A2579" s="5" t="str">
        <f>"H0003318"</f>
        <v>H0003318</v>
      </c>
      <c r="B2579" s="5" t="str">
        <f>"ESTANTE METALICO 7 ENTREPAÑOS"</f>
        <v>ESTANTE METALICO 7 ENTREPAÑOS</v>
      </c>
      <c r="C2579" s="6">
        <v>281999</v>
      </c>
      <c r="D2579" s="5" t="s">
        <v>257</v>
      </c>
      <c r="E2579" s="5" t="str">
        <f t="shared" si="130"/>
        <v>ACTISALUD-GINECO-OBST-MARIA AUXILIADORA PERTUZ</v>
      </c>
      <c r="F2579"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000038810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000038810 Material: METALICO Color: GRIS Referencia:  Observacion:  Placa padre: Tipo adquisicion: Entidad</v>
      </c>
      <c r="G2579" s="5"/>
    </row>
    <row r="2580" spans="1:7" ht="58.5" customHeight="1" x14ac:dyDescent="0.25">
      <c r="A2580" s="5" t="str">
        <f>"H0003341"</f>
        <v>H0003341</v>
      </c>
      <c r="B2580" s="5" t="str">
        <f>"ESTANTE METALICO 7 ENTREPAÑOS"</f>
        <v>ESTANTE METALICO 7 ENTREPAÑOS</v>
      </c>
      <c r="C2580" s="6">
        <v>281999</v>
      </c>
      <c r="D2580" s="5" t="s">
        <v>257</v>
      </c>
      <c r="E2580" s="5" t="str">
        <f t="shared" si="130"/>
        <v>ACTISALUD-GINECO-OBST-MARIA AUXILIADORA PERTUZ</v>
      </c>
      <c r="F2580"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000038859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000038859 Material: METALICO Color: GRIS Referencia:  Observacion:  Placa padre: Tipo adquisicion: Entidad</v>
      </c>
      <c r="G2580" s="5"/>
    </row>
    <row r="2581" spans="1:7" ht="58.5" customHeight="1" x14ac:dyDescent="0.25">
      <c r="A2581" s="5" t="str">
        <f>"H0003892"</f>
        <v>H0003892</v>
      </c>
      <c r="B2581" s="5" t="str">
        <f>"BALA DE OXIGENO PORTATIL DE 682 LT"</f>
        <v>BALA DE OXIGENO PORTATIL DE 682 LT</v>
      </c>
      <c r="C2581" s="6">
        <v>345680</v>
      </c>
      <c r="D2581" s="5" t="s">
        <v>56</v>
      </c>
      <c r="E2581" s="5" t="str">
        <f t="shared" si="130"/>
        <v>ACTISALUD-GINECO-OBST-MARIA AUXILIADORA PERTUZ</v>
      </c>
      <c r="F2581" s="5" t="str">
        <f>"Descripcion: BALA DE OXIGENOCON MANOMETRO Estado: Bueno Placa anterior: 000031083 Material: METALICO Color: BLANCO Referencia:  Observacion:  Placa padre: Tipo adquisicion: Entidad"</f>
        <v>Descripcion: BALA DE OXIGENOCON MANOMETRO Estado: Bueno Placa anterior: 000031083 Material: METALICO Color: BLANCO Referencia:  Observacion:  Placa padre: Tipo adquisicion: Entidad</v>
      </c>
      <c r="G2581" s="5"/>
    </row>
    <row r="2582" spans="1:7" ht="58.5" customHeight="1" x14ac:dyDescent="0.25">
      <c r="A2582" s="5" t="str">
        <f>"H0003924"</f>
        <v>H0003924</v>
      </c>
      <c r="B2582" s="5" t="str">
        <f>"VENTILADOR DE PEDESTAL"</f>
        <v>VENTILADOR DE PEDESTAL</v>
      </c>
      <c r="C2582" s="6">
        <v>185000</v>
      </c>
      <c r="D2582" s="5" t="s">
        <v>258</v>
      </c>
      <c r="E2582" s="5" t="str">
        <f t="shared" si="130"/>
        <v>ACTISALUD-GINECO-OBST-MARIA AUXILIADORA PERTUZ</v>
      </c>
      <c r="F2582" s="5" t="str">
        <f>"Descripcion: VENTILADOR DE PIE MCA SAMURAI Estado: Bueno Placa anterior: 000030047 Material: PASTA Color: BLANCO Referencia:  Observacion:  Placa padre: Tipo adquisicion: Entidad"</f>
        <v>Descripcion: VENTILADOR DE PIE MCA SAMURAI Estado: Bueno Placa anterior: 000030047 Material: PASTA Color: BLANCO Referencia:  Observacion:  Placa padre: Tipo adquisicion: Entidad</v>
      </c>
      <c r="G2582" s="5" t="str">
        <f>"TURBO SILENCE"</f>
        <v>TURBO SILENCE</v>
      </c>
    </row>
    <row r="2583" spans="1:7" ht="58.5" customHeight="1" x14ac:dyDescent="0.25">
      <c r="A2583" s="5" t="str">
        <f>"H0005801"</f>
        <v>H0005801</v>
      </c>
      <c r="B2583" s="5" t="str">
        <f>"ESCRITORIO METALICO 3 GAVETAS"</f>
        <v>ESCRITORIO METALICO 3 GAVETAS</v>
      </c>
      <c r="C2583" s="6">
        <v>23500</v>
      </c>
      <c r="D2583" s="5"/>
      <c r="E2583" s="5" t="str">
        <f t="shared" si="130"/>
        <v>ACTISALUD-GINECO-OBST-MARIA AUXILIADORA PERTUZ</v>
      </c>
      <c r="F2583" s="5" t="str">
        <f>"Descripcion:ESCRITORIO METALICO 3 GAVETAS.CON RECUBIERTA EN FORMICA Estado: Bueno Placa anterior: 000000601 Material: METALICO Y FORMICA Color: GRIS Y MARRON Referencia:  Observacion:  Placa padre:  Tipo adquisicion : Entidad"</f>
        <v>Descripcion:ESCRITORIO METALICO 3 GAVETAS.CON RECUBIERTA EN FORMICA Estado: Bueno Placa anterior: 000000601 Material: METALICO Y FORMICA Color: GRIS Y MARRON Referencia:  Observacion:  Placa padre:  Tipo adquisicion : Entidad</v>
      </c>
      <c r="G2583" s="5"/>
    </row>
    <row r="2584" spans="1:7" ht="58.5" customHeight="1" x14ac:dyDescent="0.25">
      <c r="A2584" s="5" t="str">
        <f>"H0006132"</f>
        <v>H0006132</v>
      </c>
      <c r="B2584" s="5" t="str">
        <f>"CAMILLA DE TRASLADO CON BARANDAS"</f>
        <v>CAMILLA DE TRASLADO CON BARANDAS</v>
      </c>
      <c r="C2584" s="6">
        <v>52800</v>
      </c>
      <c r="D2584" s="5"/>
      <c r="E2584" s="5" t="str">
        <f t="shared" si="130"/>
        <v>ACTISALUD-GINECO-OBST-MARIA AUXILIADORA PERTUZ</v>
      </c>
      <c r="F2584" s="5" t="str">
        <f>"Descripcion: CAMILLA DE TRASLADO CON BARANDAS Estado: Bueno Placa anterior: 000027312 Material: METALICA Color: BEIGE Referencia:  Observacion:  Placa padre: Tipo adquisicion: Entidad"</f>
        <v>Descripcion: CAMILLA DE TRASLADO CON BARANDAS Estado: Bueno Placa anterior: 000027312 Material: METALICA Color: BEIGE Referencia:  Observacion:  Placa padre: Tipo adquisicion: Entidad</v>
      </c>
      <c r="G2584" s="5"/>
    </row>
    <row r="2585" spans="1:7" ht="58.5" customHeight="1" x14ac:dyDescent="0.25">
      <c r="A2585" s="5" t="str">
        <f>"H0006433"</f>
        <v>H0006433</v>
      </c>
      <c r="B2585" s="5" t="str">
        <f>"CAMILLA DE TRASLADO DE 2 PLANOS"</f>
        <v>CAMILLA DE TRASLADO DE 2 PLANOS</v>
      </c>
      <c r="C2585" s="6">
        <v>1500000</v>
      </c>
      <c r="D2585" s="5"/>
      <c r="E2585" s="5" t="str">
        <f t="shared" si="130"/>
        <v>ACTISALUD-GINECO-OBST-MARIA AUXILIADORA PERTUZ</v>
      </c>
      <c r="F2585" s="5" t="str">
        <f>"Descripcion: CAMILLA MECANICA DOS PLANOS Estado: Bueno Placa anterior: 000032906 Material: METAL Color: BEIGE Referencia:  Observacion:  Placa padre: Tipo adquisicion: Entidad"</f>
        <v>Descripcion: CAMILLA MECANICA DOS PLANOS Estado: Bueno Placa anterior: 000032906 Material: METAL Color: BEIGE Referencia:  Observacion:  Placa padre: Tipo adquisicion: Entidad</v>
      </c>
      <c r="G2585" s="5"/>
    </row>
    <row r="2586" spans="1:7" ht="58.5" customHeight="1" x14ac:dyDescent="0.25">
      <c r="A2586" s="5" t="str">
        <f>"H0006700"</f>
        <v>H0006700</v>
      </c>
      <c r="B2586" s="5" t="str">
        <f>"LOCKER DE 6 COMPARTIMIENTOS"</f>
        <v>LOCKER DE 6 COMPARTIMIENTOS</v>
      </c>
      <c r="C2586" s="6">
        <v>585988</v>
      </c>
      <c r="D2586" s="5" t="s">
        <v>60</v>
      </c>
      <c r="E2586" s="5" t="str">
        <f t="shared" si="130"/>
        <v>ACTISALUD-GINECO-OBST-MARIA AUXILIADORA PERTUZ</v>
      </c>
      <c r="F2586" s="5" t="str">
        <f>"Descripcion: LOCKER METALICO DE 6 CASILLAS Estado: Bueno Placa anterior: 000029186 Material: METAL Color: GRIS OSCURO Referencia:  Observacion:  Placa padre: Tipo adquisicion: Entidad"</f>
        <v>Descripcion: LOCKER METALICO DE 6 CASILLAS Estado: Bueno Placa anterior: 000029186 Material: METAL Color: GRIS OSCURO Referencia:  Observacion:  Placa padre: Tipo adquisicion: Entidad</v>
      </c>
      <c r="G2586" s="5"/>
    </row>
    <row r="2587" spans="1:7" ht="58.5" customHeight="1" x14ac:dyDescent="0.25">
      <c r="A2587" s="5" t="str">
        <f>"H0006875"</f>
        <v>H0006875</v>
      </c>
      <c r="B2587" s="5" t="str">
        <f>"LOCKER DE 6 COMPARTIMIENTOS"</f>
        <v>LOCKER DE 6 COMPARTIMIENTOS</v>
      </c>
      <c r="C2587" s="6">
        <v>11440</v>
      </c>
      <c r="D2587" s="5"/>
      <c r="E2587" s="5" t="str">
        <f t="shared" si="130"/>
        <v>ACTISALUD-GINECO-OBST-MARIA AUXILIADORA PERTUZ</v>
      </c>
      <c r="F2587" s="5" t="str">
        <f>"Descripcion:LOCKER TIPO A(6 PUESTOS METALICO) Estado: Bueno Placa anterior: 000008315 Material: METALICO Color: GRIS Referencia:  Observacion: LOCKE DE DOS CUERPO PARA 6 COMPARTIMIENTOS Placa padre:  Tipo adquisicion : Entidad"</f>
        <v>Descripcion:LOCKER TIPO A(6 PUESTOS METALICO) Estado: Bueno Placa anterior: 000008315 Material: METALICO Color: GRIS Referencia:  Observacion: LOCKE DE DOS CUERPO PARA 6 COMPARTIMIENTOS Placa padre:  Tipo adquisicion : Entidad</v>
      </c>
      <c r="G2587" s="5"/>
    </row>
    <row r="2588" spans="1:7" ht="58.5" customHeight="1" x14ac:dyDescent="0.25">
      <c r="A2588" s="5" t="str">
        <f>"H0006926"</f>
        <v>H0006926</v>
      </c>
      <c r="B2588" s="5" t="str">
        <f>"CAMA HOSPITALARIA 4 PLANOS CON BARANDA"</f>
        <v>CAMA HOSPITALARIA 4 PLANOS CON BARANDA</v>
      </c>
      <c r="C2588" s="6">
        <v>2100000</v>
      </c>
      <c r="D2588" s="5" t="s">
        <v>63</v>
      </c>
      <c r="E2588" s="5" t="str">
        <f t="shared" si="130"/>
        <v>ACTISALUD-GINECO-OBST-MARIA AUXILIADORA PERTUZ</v>
      </c>
      <c r="F2588" s="5" t="str">
        <f>"Descripcion: CAMA HOSPITALARIA 4 PUESTOS  Estado: Bueno Placa anterior: 000037733 Material:  Color: GRIS CLARO Referencia:  Observacion: CAMA EN BUEN ESTADO  Placa padre: Tipo adquisicion: Entidad"</f>
        <v>Descripcion: CAMA HOSPITALARIA 4 PUESTOS  Estado: Bueno Placa anterior: 000037733 Material:  Color: GRIS CLARO Referencia:  Observacion: CAMA EN BUEN ESTADO  Placa padre: Tipo adquisicion: Entidad</v>
      </c>
      <c r="G2588" s="5"/>
    </row>
    <row r="2589" spans="1:7" ht="58.5" customHeight="1" x14ac:dyDescent="0.25">
      <c r="A2589" s="5" t="str">
        <f>"H0007220"</f>
        <v>H0007220</v>
      </c>
      <c r="B2589" s="5" t="str">
        <f>"ESCRITORIO METALICO 3 GAVETAS"</f>
        <v>ESCRITORIO METALICO 3 GAVETAS</v>
      </c>
      <c r="C2589" s="6">
        <v>15685.33</v>
      </c>
      <c r="D2589" s="5"/>
      <c r="E2589" s="5" t="str">
        <f t="shared" si="130"/>
        <v>ACTISALUD-GINECO-OBST-MARIA AUXILIADORA PERTUZ</v>
      </c>
      <c r="F2589" s="5" t="str">
        <f>"Descripcion: ESCRITORIO DE 3 GAVETASSUPERFICIE EN FORMICA Estado: Regular Placa anterior: 000027333 Material: METALICO Color: GRIS Referencia:  Observacion:  Placa padre: Tipo adquisicion: Entidad"</f>
        <v>Descripcion: ESCRITORIO DE 3 GAVETASSUPERFICIE EN FORMICA Estado: Regular Placa anterior: 000027333 Material: METALICO Color: GRIS Referencia:  Observacion:  Placa padre: Tipo adquisicion: Entidad</v>
      </c>
      <c r="G2589" s="5"/>
    </row>
    <row r="2590" spans="1:7" ht="58.5" customHeight="1" x14ac:dyDescent="0.25">
      <c r="A2590" s="5" t="str">
        <f>"H0007899"</f>
        <v>H0007899</v>
      </c>
      <c r="B2590" s="5" t="str">
        <f>"MESA DE NOCHE"</f>
        <v>MESA DE NOCHE</v>
      </c>
      <c r="C2590" s="6">
        <v>8389.33</v>
      </c>
      <c r="D2590" s="5"/>
      <c r="E2590" s="5" t="str">
        <f t="shared" si="130"/>
        <v>ACTISALUD-GINECO-OBST-MARIA AUXILIADORA PERTUZ</v>
      </c>
      <c r="F2590" s="5" t="str">
        <f>"Descripcion: MESA DE NOCHEOXIDOPELADA Estado: Regular Placa anterior: 000027225 Material: ACERO INOXIDABLE Color:  Referencia:  Observacion: PASAR A TOCOCIRUGIA Placa padre: Tipo adquisicion: Entidad"</f>
        <v>Descripcion: MESA DE NOCHEOXIDOPELADA Estado: Regular Placa anterior: 000027225 Material: ACERO INOXIDABLE Color:  Referencia:  Observacion: PASAR A TOCOCIRUGIA Placa padre: Tipo adquisicion: Entidad</v>
      </c>
      <c r="G2590" s="5"/>
    </row>
    <row r="2591" spans="1:7" ht="58.5" customHeight="1" x14ac:dyDescent="0.25">
      <c r="A2591" s="5" t="str">
        <f>"H0007901"</f>
        <v>H0007901</v>
      </c>
      <c r="B2591" s="5" t="str">
        <f>"MESA PUENTE (ALIMENTACION) (INSTRUMENTAL)"</f>
        <v>MESA PUENTE (ALIMENTACION) (INSTRUMENTAL)</v>
      </c>
      <c r="C2591" s="6">
        <v>15000</v>
      </c>
      <c r="D2591" s="5"/>
      <c r="E2591" s="5" t="str">
        <f t="shared" si="130"/>
        <v>ACTISALUD-GINECO-OBST-MARIA AUXILIADORA PERTUZ</v>
      </c>
      <c r="F2591" s="5" t="str">
        <f>"Descripcion: PELADAOXIDO Estado: Regular Placa anterior: 000026975 Material: METALICO Color: GRIS Referencia:  Observacion: PASAR A TOCOCIRUGIA Placa padre: Tipo adquisicion: Entidad"</f>
        <v>Descripcion: PELADAOXIDO Estado: Regular Placa anterior: 000026975 Material: METALICO Color: GRIS Referencia:  Observacion: PASAR A TOCOCIRUGIA Placa padre: Tipo adquisicion: Entidad</v>
      </c>
      <c r="G2591" s="5"/>
    </row>
    <row r="2592" spans="1:7" ht="58.5" customHeight="1" x14ac:dyDescent="0.25">
      <c r="A2592" s="5" t="str">
        <f>"H0007905"</f>
        <v>H0007905</v>
      </c>
      <c r="B2592" s="5" t="str">
        <f>"MESA DE NOCHE"</f>
        <v>MESA DE NOCHE</v>
      </c>
      <c r="C2592" s="6">
        <v>8389.33</v>
      </c>
      <c r="D2592" s="5"/>
      <c r="E2592" s="5" t="str">
        <f t="shared" si="130"/>
        <v>ACTISALUD-GINECO-OBST-MARIA AUXILIADORA PERTUZ</v>
      </c>
      <c r="F2592" s="5" t="str">
        <f>"Descripcion: MESA DE NOCHE Estado: Bueno Placa anterior: 000027224 Material: ACERO INOXIDABLE Color:  Referencia:  Observacion: PASAR A TOCOCIRUGIA Placa padre: Tipo adquisicion: Entidad"</f>
        <v>Descripcion: MESA DE NOCHE Estado: Bueno Placa anterior: 000027224 Material: ACERO INOXIDABLE Color:  Referencia:  Observacion: PASAR A TOCOCIRUGIA Placa padre: Tipo adquisicion: Entidad</v>
      </c>
      <c r="G2592" s="5"/>
    </row>
    <row r="2593" spans="1:7" ht="58.5" customHeight="1" x14ac:dyDescent="0.25">
      <c r="A2593" s="5" t="str">
        <f>"H0007910"</f>
        <v>H0007910</v>
      </c>
      <c r="B2593" s="5" t="str">
        <f>"MESA DE NOCHE"</f>
        <v>MESA DE NOCHE</v>
      </c>
      <c r="C2593" s="6">
        <v>8389.33</v>
      </c>
      <c r="D2593" s="5"/>
      <c r="E2593" s="5" t="str">
        <f t="shared" si="130"/>
        <v>ACTISALUD-GINECO-OBST-MARIA AUXILIADORA PERTUZ</v>
      </c>
      <c r="F2593" s="5" t="str">
        <f>"Descripcion: MESA DE NOCHEOXIDOPELADA Estado: Regular Placa anterior: 000027186 Material: ACERO INOXIDABLE Color:  Referencia:  Observacion: PASAR A TOCOCIRUGIA Placa padre: Tipo adquisicion: Entidad"</f>
        <v>Descripcion: MESA DE NOCHEOXIDOPELADA Estado: Regular Placa anterior: 000027186 Material: ACERO INOXIDABLE Color:  Referencia:  Observacion: PASAR A TOCOCIRUGIA Placa padre: Tipo adquisicion: Entidad</v>
      </c>
      <c r="G2593" s="5"/>
    </row>
    <row r="2594" spans="1:7" ht="58.5" customHeight="1" x14ac:dyDescent="0.25">
      <c r="A2594" s="5" t="str">
        <f>"H0007916"</f>
        <v>H0007916</v>
      </c>
      <c r="B2594" s="5" t="str">
        <f>"MESA DE NOCHE"</f>
        <v>MESA DE NOCHE</v>
      </c>
      <c r="C2594" s="6">
        <v>8389.33</v>
      </c>
      <c r="D2594" s="5"/>
      <c r="E2594" s="5" t="str">
        <f t="shared" si="130"/>
        <v>ACTISALUD-GINECO-OBST-MARIA AUXILIADORA PERTUZ</v>
      </c>
      <c r="F2594" s="5" t="str">
        <f>"Descripcion: MESA DE NOCHEOXIDO Estado: Regular Placa anterior: 000027185 Material: ACERO INOXIDABLE Color:  Referencia:  Observacion: PASAR A TOCOCIRUGIA Placa padre: Tipo adquisicion: Entidad"</f>
        <v>Descripcion: MESA DE NOCHEOXIDO Estado: Regular Placa anterior: 000027185 Material: ACERO INOXIDABLE Color:  Referencia:  Observacion: PASAR A TOCOCIRUGIA Placa padre: Tipo adquisicion: Entidad</v>
      </c>
      <c r="G2594" s="5"/>
    </row>
    <row r="2595" spans="1:7" ht="58.5" customHeight="1" x14ac:dyDescent="0.25">
      <c r="A2595" s="5" t="str">
        <f>"H0007918"</f>
        <v>H0007918</v>
      </c>
      <c r="B2595" s="5" t="str">
        <f>"MESA PUENTE (ALIMENTACION) (INSTRUMENTAL)"</f>
        <v>MESA PUENTE (ALIMENTACION) (INSTRUMENTAL)</v>
      </c>
      <c r="C2595" s="6">
        <v>8389.33</v>
      </c>
      <c r="D2595" s="5"/>
      <c r="E2595" s="5" t="str">
        <f t="shared" si="130"/>
        <v>ACTISALUD-GINECO-OBST-MARIA AUXILIADORA PERTUZ</v>
      </c>
      <c r="F2595" s="5" t="str">
        <f>"Descripcion: OXIDOPELADA Estado: Regular Placa anterior: 000027218 Material: METALICO Color: GRIS Referencia:  Observacion: PASAR A TOCOCIRUGIA Placa padre: Tipo adquisicion: Entidad"</f>
        <v>Descripcion: OXIDOPELADA Estado: Regular Placa anterior: 000027218 Material: METALICO Color: GRIS Referencia:  Observacion: PASAR A TOCOCIRUGIA Placa padre: Tipo adquisicion: Entidad</v>
      </c>
      <c r="G2595" s="5"/>
    </row>
    <row r="2596" spans="1:7" ht="58.5" customHeight="1" x14ac:dyDescent="0.25">
      <c r="A2596" s="5" t="str">
        <f>"H0007922"</f>
        <v>H0007922</v>
      </c>
      <c r="B2596" s="5" t="str">
        <f>"SILLA PLASTICA CON BRAZOS"</f>
        <v>SILLA PLASTICA CON BRAZOS</v>
      </c>
      <c r="C2596" s="6">
        <v>12240.32</v>
      </c>
      <c r="D2596" s="5"/>
      <c r="E2596" s="5" t="str">
        <f t="shared" si="130"/>
        <v>ACTISALUD-GINECO-OBST-MARIA AUXILIADORA PERTUZ</v>
      </c>
      <c r="F2596" s="5" t="str">
        <f>"Descripcion: . Estado: Bueno Placa anterior: 000005054 Material: PASTA Color: BLANCO Referencia:  Observacion: PASAR A TOCOCIRUGIA Placa padre: Tipo adquisicion: Entidad"</f>
        <v>Descripcion: . Estado: Bueno Placa anterior: 000005054 Material: PASTA Color: BLANCO Referencia:  Observacion: PASAR A TOCOCIRUGIA Placa padre: Tipo adquisicion: Entidad</v>
      </c>
      <c r="G2596" s="5"/>
    </row>
    <row r="2597" spans="1:7" ht="58.5" customHeight="1" x14ac:dyDescent="0.25">
      <c r="A2597" s="5" t="str">
        <f>"H0007923"</f>
        <v>H0007923</v>
      </c>
      <c r="B2597" s="5" t="str">
        <f>"MESA DE NOCHE"</f>
        <v>MESA DE NOCHE</v>
      </c>
      <c r="C2597" s="6">
        <v>8389.33</v>
      </c>
      <c r="D2597" s="5"/>
      <c r="E2597" s="5" t="str">
        <f t="shared" si="130"/>
        <v>ACTISALUD-GINECO-OBST-MARIA AUXILIADORA PERTUZ</v>
      </c>
      <c r="F2597" s="5" t="str">
        <f>"Descripcion: MESA DE NOCHEOXIDO Estado: Bueno Placa anterior: 000027227 Material: ACERO INOXIDABLE Color:  Referencia:  Observacion: PASAR A TOCOCIRUGIA Placa padre: Tipo adquisicion: Entidad"</f>
        <v>Descripcion: MESA DE NOCHEOXIDO Estado: Bueno Placa anterior: 000027227 Material: ACERO INOXIDABLE Color:  Referencia:  Observacion: PASAR A TOCOCIRUGIA Placa padre: Tipo adquisicion: Entidad</v>
      </c>
      <c r="G2597" s="5"/>
    </row>
    <row r="2598" spans="1:7" ht="58.5" customHeight="1" x14ac:dyDescent="0.25">
      <c r="A2598" s="5" t="str">
        <f>"H0007925"</f>
        <v>H0007925</v>
      </c>
      <c r="B2598" s="5" t="str">
        <f>"MESA PUENTE (ALIMENTACION) (INSTRUMENTAL)"</f>
        <v>MESA PUENTE (ALIMENTACION) (INSTRUMENTAL)</v>
      </c>
      <c r="C2598" s="6">
        <v>15000</v>
      </c>
      <c r="D2598" s="5"/>
      <c r="E2598" s="5" t="str">
        <f t="shared" si="130"/>
        <v>ACTISALUD-GINECO-OBST-MARIA AUXILIADORA PERTUZ</v>
      </c>
      <c r="F2598" s="5" t="str">
        <f>"Descripcion: PELADAOXIDO Estado: Regular Placa anterior: 000027221 Material: METALICO Color: GRIS Referencia:  Observacion: PASAR A TOCOCIRUGIA Placa padre: Tipo adquisicion: Entidad"</f>
        <v>Descripcion: PELADAOXIDO Estado: Regular Placa anterior: 000027221 Material: METALICO Color: GRIS Referencia:  Observacion: PASAR A TOCOCIRUGIA Placa padre: Tipo adquisicion: Entidad</v>
      </c>
      <c r="G2598" s="5"/>
    </row>
    <row r="2599" spans="1:7" ht="58.5" customHeight="1" x14ac:dyDescent="0.25">
      <c r="A2599" s="5" t="str">
        <f>"H0007931"</f>
        <v>H0007931</v>
      </c>
      <c r="B2599" s="5" t="str">
        <f>"MESA DE NOCHE"</f>
        <v>MESA DE NOCHE</v>
      </c>
      <c r="C2599" s="6">
        <v>8389.33</v>
      </c>
      <c r="D2599" s="5"/>
      <c r="E2599" s="5" t="str">
        <f t="shared" si="130"/>
        <v>ACTISALUD-GINECO-OBST-MARIA AUXILIADORA PERTUZ</v>
      </c>
      <c r="F2599" s="5" t="str">
        <f>"Descripcion: MESA DE NOCHEOXIDO Estado: Regular Placa anterior: 000027226 Material: ACERO INOXIDABLE Color:  Referencia:  Observacion: PASAR A TOCOCIRUGIA Placa padre: Tipo adquisicion: Entidad"</f>
        <v>Descripcion: MESA DE NOCHEOXIDO Estado: Regular Placa anterior: 000027226 Material: ACERO INOXIDABLE Color:  Referencia:  Observacion: PASAR A TOCOCIRUGIA Placa padre: Tipo adquisicion: Entidad</v>
      </c>
      <c r="G2599" s="5"/>
    </row>
    <row r="2600" spans="1:7" ht="58.5" customHeight="1" x14ac:dyDescent="0.25">
      <c r="A2600" s="5" t="str">
        <f>"H0007935"</f>
        <v>H0007935</v>
      </c>
      <c r="B2600" s="5" t="str">
        <f>"SILLA PLASTICA CON BRAZOS"</f>
        <v>SILLA PLASTICA CON BRAZOS</v>
      </c>
      <c r="C2600" s="6">
        <v>12240.32</v>
      </c>
      <c r="D2600" s="5"/>
      <c r="E2600" s="5" t="str">
        <f t="shared" si="130"/>
        <v>ACTISALUD-GINECO-OBST-MARIA AUXILIADORA PERTUZ</v>
      </c>
      <c r="F2600" s="5" t="str">
        <f>"Descripcion: SILLA PLASTICA BLANCA Estado: Bueno Placa anterior: 000004870 Material: PASTA Color: BLANCO Referencia:  Observacion:  Placa padre: Tipo adquisicion: Entidad"</f>
        <v>Descripcion: SILLA PLASTICA BLANCA Estado: Bueno Placa anterior: 000004870 Material: PASTA Color: BLANCO Referencia:  Observacion:  Placa padre: Tipo adquisicion: Entidad</v>
      </c>
      <c r="G2600" s="5"/>
    </row>
    <row r="2601" spans="1:7" ht="58.5" customHeight="1" x14ac:dyDescent="0.25">
      <c r="A2601" s="5" t="str">
        <f>"H0007937"</f>
        <v>H0007937</v>
      </c>
      <c r="B2601" s="5" t="str">
        <f>"CAMA HOSPITALARIA 2 PLANOS"</f>
        <v>CAMA HOSPITALARIA 2 PLANOS</v>
      </c>
      <c r="C2601" s="6">
        <v>43324.23</v>
      </c>
      <c r="D2601" s="5"/>
      <c r="E2601" s="5" t="str">
        <f t="shared" si="130"/>
        <v>ACTISALUD-GINECO-OBST-MARIA AUXILIADORA PERTUZ</v>
      </c>
      <c r="F2601" s="5" t="str">
        <f>"Descripcion: CAMAOXIDOPELADACOLCHONSIN ATRIL Estado: Bueno Placa anterior: 000026933 Material: METALICO Color: GRIS Referencia:  Observacion:  Placa padre: Tipo adquisicion: Entidad"</f>
        <v>Descripcion: CAMAOXIDOPELADACOLCHONSIN ATRIL Estado: Bueno Placa anterior: 000026933 Material: METALICO Color: GRIS Referencia:  Observacion:  Placa padre: Tipo adquisicion: Entidad</v>
      </c>
      <c r="G2601" s="5"/>
    </row>
    <row r="2602" spans="1:7" ht="58.5" customHeight="1" x14ac:dyDescent="0.25">
      <c r="A2602" s="5" t="str">
        <f>"H0007938"</f>
        <v>H0007938</v>
      </c>
      <c r="B2602" s="5" t="str">
        <f>"MESA PUENTE (ALIMENTACION) (INSTRUMENTAL)"</f>
        <v>MESA PUENTE (ALIMENTACION) (INSTRUMENTAL)</v>
      </c>
      <c r="C2602" s="6">
        <v>15000</v>
      </c>
      <c r="D2602" s="5"/>
      <c r="E2602" s="5" t="str">
        <f t="shared" si="130"/>
        <v>ACTISALUD-GINECO-OBST-MARIA AUXILIADORA PERTUZ</v>
      </c>
      <c r="F2602" s="5" t="str">
        <f>"Descripcion: MESA PUENTEOXIDOPELADA Estado: Regular Placa anterior: 000027219 Material: METALICO Color: GRIS Referencia:  Observacion: EL BIEN TIENE PLACA ANTERIOR  000021540  PASAR A TOCOCIRUGIA Placa padre: Tipo adquisicion: Entidad"</f>
        <v>Descripcion: MESA PUENTEOXIDOPELADA Estado: Regular Placa anterior: 000027219 Material: METALICO Color: GRIS Referencia:  Observacion: EL BIEN TIENE PLACA ANTERIOR  000021540  PASAR A TOCOCIRUGIA Placa padre: Tipo adquisicion: Entidad</v>
      </c>
      <c r="G2602" s="5"/>
    </row>
    <row r="2603" spans="1:7" ht="58.5" customHeight="1" x14ac:dyDescent="0.25">
      <c r="A2603" s="5" t="str">
        <f>"H0007940"</f>
        <v>H0007940</v>
      </c>
      <c r="B2603" s="5" t="str">
        <f>"MESA DE NOCHE"</f>
        <v>MESA DE NOCHE</v>
      </c>
      <c r="C2603" s="6">
        <v>8389.33</v>
      </c>
      <c r="D2603" s="5"/>
      <c r="E2603" s="5" t="str">
        <f t="shared" si="130"/>
        <v>ACTISALUD-GINECO-OBST-MARIA AUXILIADORA PERTUZ</v>
      </c>
      <c r="F2603" s="5" t="str">
        <f>"Descripcion: MESA DE NOCHEOXIDO Estado: Regular Placa anterior: 000027243 Material: ACERO INOXIDABLE Color:  Referencia:  Observacion: PASAR A TOCOCIRUGIA Placa padre: Tipo adquisicion: Entidad"</f>
        <v>Descripcion: MESA DE NOCHEOXIDO Estado: Regular Placa anterior: 000027243 Material: ACERO INOXIDABLE Color:  Referencia:  Observacion: PASAR A TOCOCIRUGIA Placa padre: Tipo adquisicion: Entidad</v>
      </c>
      <c r="G2603" s="5"/>
    </row>
    <row r="2604" spans="1:7" ht="58.5" customHeight="1" x14ac:dyDescent="0.25">
      <c r="A2604" s="5" t="str">
        <f>"H0007944"</f>
        <v>H0007944</v>
      </c>
      <c r="B2604" s="5" t="str">
        <f>"SILLA PLASTICA CON BRAZOS"</f>
        <v>SILLA PLASTICA CON BRAZOS</v>
      </c>
      <c r="C2604" s="6">
        <v>14000</v>
      </c>
      <c r="D2604" s="5"/>
      <c r="E2604" s="5" t="str">
        <f t="shared" si="130"/>
        <v>ACTISALUD-GINECO-OBST-MARIA AUXILIADORA PERTUZ</v>
      </c>
      <c r="F2604" s="5" t="str">
        <f>"Descripcion: SILLA PLASTICA BLANCA Estado: Bueno Placa anterior: 000005330 Material: PASTA Color: BLANCO Referencia:  Observacion:  Placa padre: Tipo adquisicion: Entidad"</f>
        <v>Descripcion: SILLA PLASTICA BLANCA Estado: Bueno Placa anterior: 000005330 Material: PASTA Color: BLANCO Referencia:  Observacion:  Placa padre: Tipo adquisicion: Entidad</v>
      </c>
      <c r="G2604" s="5"/>
    </row>
    <row r="2605" spans="1:7" ht="58.5" customHeight="1" x14ac:dyDescent="0.25">
      <c r="A2605" s="5" t="str">
        <f>"H0007951"</f>
        <v>H0007951</v>
      </c>
      <c r="B2605" s="5" t="str">
        <f>"MESA PUENTE (ALIMENTACION) (INSTRUMENTAL)"</f>
        <v>MESA PUENTE (ALIMENTACION) (INSTRUMENTAL)</v>
      </c>
      <c r="C2605" s="6">
        <v>15000</v>
      </c>
      <c r="D2605" s="5"/>
      <c r="E2605" s="5" t="str">
        <f t="shared" si="130"/>
        <v>ACTISALUD-GINECO-OBST-MARIA AUXILIADORA PERTUZ</v>
      </c>
      <c r="F2605" s="5" t="str">
        <f>"Descripcion: PELADA Estado: Bueno Placa anterior: 000027211 Material: METALICO Color: GRIS Referencia:  Observacion: PASAR A TOCOCIRUGIA Placa padre: Tipo adquisicion: Entidad"</f>
        <v>Descripcion: PELADA Estado: Bueno Placa anterior: 000027211 Material: METALICO Color: GRIS Referencia:  Observacion: PASAR A TOCOCIRUGIA Placa padre: Tipo adquisicion: Entidad</v>
      </c>
      <c r="G2605" s="5"/>
    </row>
    <row r="2606" spans="1:7" ht="58.5" customHeight="1" x14ac:dyDescent="0.25">
      <c r="A2606" s="5" t="str">
        <f>"H0007956"</f>
        <v>H0007956</v>
      </c>
      <c r="B2606" s="5" t="str">
        <f>"MESA PUENTE (ALIMENTACION) (INSTRUMENTAL)"</f>
        <v>MESA PUENTE (ALIMENTACION) (INSTRUMENTAL)</v>
      </c>
      <c r="C2606" s="6">
        <v>15000</v>
      </c>
      <c r="D2606" s="5"/>
      <c r="E2606" s="5" t="str">
        <f t="shared" si="130"/>
        <v>ACTISALUD-GINECO-OBST-MARIA AUXILIADORA PERTUZ</v>
      </c>
      <c r="F2606" s="5" t="str">
        <f>"Descripcion: MESA PUENTEPELADAOXIDO Estado: Regular Placa anterior: 000026891 Material: METALICO Color: GRIS Referencia:  Observacion: PASAR A TOCOCIRUGIA Placa padre: Tipo adquisicion: Entidad"</f>
        <v>Descripcion: MESA PUENTEPELADAOXIDO Estado: Regular Placa anterior: 000026891 Material: METALICO Color: GRIS Referencia:  Observacion: PASAR A TOCOCIRUGIA Placa padre: Tipo adquisicion: Entidad</v>
      </c>
      <c r="G2606" s="5"/>
    </row>
    <row r="2607" spans="1:7" ht="58.5" customHeight="1" x14ac:dyDescent="0.25">
      <c r="A2607" s="5" t="str">
        <f>"H0007965"</f>
        <v>H0007965</v>
      </c>
      <c r="B2607" s="5" t="str">
        <f>"CAMA HOSPITALARIA 4 PLANOS CON BARANDA"</f>
        <v>CAMA HOSPITALARIA 4 PLANOS CON BARANDA</v>
      </c>
      <c r="C2607" s="6">
        <v>43324.23</v>
      </c>
      <c r="D2607" s="5"/>
      <c r="E2607" s="5" t="str">
        <f t="shared" si="130"/>
        <v>ACTISALUD-GINECO-OBST-MARIA AUXILIADORA PERTUZ</v>
      </c>
      <c r="F2607" s="5" t="str">
        <f>"Descripcion: CAMA1 BARANDA DAÑADAPELADA OXIDO Estado: Regular Placa anterior: 000033679 Material: METALICO Color: GRIS Referencia:  Observacion: PASAR A TOCOCIRUGIA Placa padre: Tipo adquisicion: Entidad"</f>
        <v>Descripcion: CAMA1 BARANDA DAÑADAPELADA OXIDO Estado: Regular Placa anterior: 000033679 Material: METALICO Color: GRIS Referencia:  Observacion: PASAR A TOCOCIRUGIA Placa padre: Tipo adquisicion: Entidad</v>
      </c>
      <c r="G2607" s="5"/>
    </row>
    <row r="2608" spans="1:7" ht="58.5" customHeight="1" x14ac:dyDescent="0.25">
      <c r="A2608" s="5" t="str">
        <f>"H0007968"</f>
        <v>H0007968</v>
      </c>
      <c r="B2608" s="5" t="str">
        <f>"CAMILLA DE TRASLADO CON BARANDAS"</f>
        <v>CAMILLA DE TRASLADO CON BARANDAS</v>
      </c>
      <c r="C2608" s="6">
        <v>38995</v>
      </c>
      <c r="D2608" s="5"/>
      <c r="E2608" s="5" t="str">
        <f t="shared" si="130"/>
        <v>ACTISALUD-GINECO-OBST-MARIA AUXILIADORA PERTUZ</v>
      </c>
      <c r="F2608" s="5" t="str">
        <f>"Descripcion: COLCHONETA GRIS Estado: Bueno Placa anterior: 000026955 Material: METALICO Color: BEIGE Referencia:  Observacion: PASAR A TOCOCIRUGIA Placa padre: Tipo adquisicion: Entidad"</f>
        <v>Descripcion: COLCHONETA GRIS Estado: Bueno Placa anterior: 000026955 Material: METALICO Color: BEIGE Referencia:  Observacion: PASAR A TOCOCIRUGIA Placa padre: Tipo adquisicion: Entidad</v>
      </c>
      <c r="G2608" s="5"/>
    </row>
    <row r="2609" spans="1:7" ht="58.5" customHeight="1" x14ac:dyDescent="0.25">
      <c r="A2609" s="5" t="str">
        <f>"H0007970"</f>
        <v>H0007970</v>
      </c>
      <c r="B2609" s="5" t="str">
        <f>"CAMILLA DE TRASLADO CON BARANDAS"</f>
        <v>CAMILLA DE TRASLADO CON BARANDAS</v>
      </c>
      <c r="C2609" s="6">
        <v>70070</v>
      </c>
      <c r="D2609" s="5"/>
      <c r="E2609" s="5" t="str">
        <f t="shared" si="130"/>
        <v>ACTISALUD-GINECO-OBST-MARIA AUXILIADORA PERTUZ</v>
      </c>
      <c r="F2609" s="5" t="str">
        <f>"Descripcion: CAMILLA DERECUPERACIONCOLCHONETAPLACA ANTERIOR 000021428 Estado: Bueno Placa anterior: 000013831 Material: METALICO Color: BEIGE Referencia:  Observacion: EL BIEN TIENE PLACA ANTERIOR  00021428 CAMILLA DE RECUPERACION Y TRANSPORTE Placa padre"&amp; ": Tipo adquisicion: Entidad"</f>
        <v>Descripcion: CAMILLA DERECUPERACIONCOLCHONETAPLACA ANTERIOR 000021428 Estado: Bueno Placa anterior: 000013831 Material: METALICO Color: BEIGE Referencia:  Observacion: EL BIEN TIENE PLACA ANTERIOR  00021428 CAMILLA DE RECUPERACION Y TRANSPORTE Placa padre: Tipo adquisicion: Entidad</v>
      </c>
      <c r="G2609" s="5"/>
    </row>
    <row r="2610" spans="1:7" ht="58.5" customHeight="1" x14ac:dyDescent="0.25">
      <c r="A2610" s="5" t="str">
        <f>"H0007971"</f>
        <v>H0007971</v>
      </c>
      <c r="B2610" s="5" t="str">
        <f>"GABINETE CONTRA INCENDIO"</f>
        <v>GABINETE CONTRA INCENDIO</v>
      </c>
      <c r="C2610" s="6">
        <v>171000</v>
      </c>
      <c r="D2610" s="5"/>
      <c r="E2610" s="5" t="str">
        <f t="shared" si="130"/>
        <v>ACTISALUD-GINECO-OBST-MARIA AUXILIADORA PERTUZ</v>
      </c>
      <c r="F2610" s="5" t="str">
        <f>"Descripcion: MARCO METALICO BLANCOMANGUERAHACHAEXTINTOR AMARILLO MULTIPROPOSITOS DE 10 LBS Estado: Bueno Placa anterior: 000019084 Material: METALICO Color:  Referencia:  Observacion:  Placa padre: Tipo adquisicion: Entidad"</f>
        <v>Descripcion: MARCO METALICO BLANCOMANGUERAHACHAEXTINTOR AMARILLO MULTIPROPOSITOS DE 10 LBS Estado: Bueno Placa anterior: 000019084 Material: METALICO Color:  Referencia:  Observacion:  Placa padre: Tipo adquisicion: Entidad</v>
      </c>
      <c r="G2610" s="5"/>
    </row>
    <row r="2611" spans="1:7" ht="58.5" customHeight="1" x14ac:dyDescent="0.25">
      <c r="A2611" s="5" t="str">
        <f>"H0007979"</f>
        <v>H0007979</v>
      </c>
      <c r="B2611" s="5" t="str">
        <f>"CAMILLA GINECOLOGICA CON ESTRIBOS"</f>
        <v>CAMILLA GINECOLOGICA CON ESTRIBOS</v>
      </c>
      <c r="C2611" s="6">
        <v>800000</v>
      </c>
      <c r="D2611" s="5" t="s">
        <v>259</v>
      </c>
      <c r="E2611" s="5" t="str">
        <f t="shared" si="130"/>
        <v>ACTISALUD-GINECO-OBST-MARIA AUXILIADORA PERTUZ</v>
      </c>
      <c r="F2611" s="5" t="str">
        <f>"Descripcion: CAMILLA FIJA PARA EXAMEN CON EXTRIBOSCOLCHONETA ADHERIDA Estado: Bueno Placa anterior: 000029361 Material: METALICO Color: BEIGE Referencia:  Observacion:  Placa padre: Tipo adquisicion: Donacion"</f>
        <v>Descripcion: CAMILLA FIJA PARA EXAMEN CON EXTRIBOSCOLCHONETA ADHERIDA Estado: Bueno Placa anterior: 000029361 Material: METALICO Color: BEIGE Referencia:  Observacion:  Placa padre: Tipo adquisicion: Donacion</v>
      </c>
      <c r="G2611" s="5"/>
    </row>
    <row r="2612" spans="1:7" ht="58.5" customHeight="1" x14ac:dyDescent="0.25">
      <c r="A2612" s="5" t="str">
        <f>"H0007982"</f>
        <v>H0007982</v>
      </c>
      <c r="B2612" s="5" t="str">
        <f>"CUBETA DE ACERO INOXIDABLE CON TAPA MEDIANA"</f>
        <v>CUBETA DE ACERO INOXIDABLE CON TAPA MEDIANA</v>
      </c>
      <c r="C2612" s="6">
        <v>20020</v>
      </c>
      <c r="D2612" s="5"/>
      <c r="E2612" s="5" t="str">
        <f t="shared" si="130"/>
        <v>ACTISALUD-GINECO-OBST-MARIA AUXILIADORA PERTUZ</v>
      </c>
      <c r="F2612" s="5" t="str">
        <f>"Descripcion: CUBETA EN ACERO INOX.MEDIANA CON TAPA Estado: Bueno Placa anterior: 000005281 Material: ACERO INOXIDABLE Color:  Referencia:  Observacion:  Placa padre: Tipo adquisicion: Entidad"</f>
        <v>Descripcion: CUBETA EN ACERO INOX.MEDIANA CON TAPA Estado: Bueno Placa anterior: 000005281 Material: ACERO INOXIDABLE Color:  Referencia:  Observacion:  Placa padre: Tipo adquisicion: Entidad</v>
      </c>
      <c r="G2612" s="5"/>
    </row>
    <row r="2613" spans="1:7" ht="58.5" customHeight="1" x14ac:dyDescent="0.25">
      <c r="A2613" s="5" t="str">
        <f>"H0007983"</f>
        <v>H0007983</v>
      </c>
      <c r="B2613" s="5" t="str">
        <f>"BANDEJA DE ACERO INOXIDABLE GRANDE"</f>
        <v>BANDEJA DE ACERO INOXIDABLE GRANDE</v>
      </c>
      <c r="C2613" s="6">
        <v>8580</v>
      </c>
      <c r="D2613" s="5"/>
      <c r="E2613" s="5" t="str">
        <f t="shared" si="130"/>
        <v>ACTISALUD-GINECO-OBST-MARIA AUXILIADORA PERTUZ</v>
      </c>
      <c r="F2613" s="5" t="str">
        <f>"Descripcion: . Estado: Bueno Placa anterior: 000005523 Material: ACERO INOXIDABLE Color:  Referencia:  Observacion: BANDEJA EN ACERO INOXIDABLE GRANDE Placa padre: Tipo adquisicion: Entidad"</f>
        <v>Descripcion: . Estado: Bueno Placa anterior: 000005523 Material: ACERO INOXIDABLE Color:  Referencia:  Observacion: BANDEJA EN ACERO INOXIDABLE GRANDE Placa padre: Tipo adquisicion: Entidad</v>
      </c>
      <c r="G2613" s="5"/>
    </row>
    <row r="2614" spans="1:7" ht="58.5" customHeight="1" x14ac:dyDescent="0.25">
      <c r="A2614" s="5" t="str">
        <f>"H0007984"</f>
        <v>H0007984</v>
      </c>
      <c r="B2614" s="5" t="str">
        <f>"BANDEJA DE ACERO INOXIDABLE MEDIANA"</f>
        <v>BANDEJA DE ACERO INOXIDABLE MEDIANA</v>
      </c>
      <c r="C2614" s="6">
        <v>10632</v>
      </c>
      <c r="D2614" s="5"/>
      <c r="E2614" s="5" t="str">
        <f t="shared" si="130"/>
        <v>ACTISALUD-GINECO-OBST-MARIA AUXILIADORA PERTUZ</v>
      </c>
      <c r="F2614" s="5" t="str">
        <f>"Descripcion: . Estado: Bueno Placa anterior: 000005718 Material: ACERO INOXIDABLE Color:  Referencia:  Observacion: BANDEJA NIQUELADA MEDIANA Placa padre: Tipo adquisicion: Entidad"</f>
        <v>Descripcion: . Estado: Bueno Placa anterior: 000005718 Material: ACERO INOXIDABLE Color:  Referencia:  Observacion: BANDEJA NIQUELADA MEDIANA Placa padre: Tipo adquisicion: Entidad</v>
      </c>
      <c r="G2614" s="5"/>
    </row>
    <row r="2615" spans="1:7" ht="58.5" customHeight="1" x14ac:dyDescent="0.25">
      <c r="A2615" s="5" t="str">
        <f>"H0007998"</f>
        <v>H0007998</v>
      </c>
      <c r="B2615" s="5" t="str">
        <f>"BANDEJA DE ACERO INOXIDABLE MEDIANA"</f>
        <v>BANDEJA DE ACERO INOXIDABLE MEDIANA</v>
      </c>
      <c r="C2615" s="6">
        <v>10632</v>
      </c>
      <c r="D2615" s="5"/>
      <c r="E2615" s="5" t="str">
        <f t="shared" si="130"/>
        <v>ACTISALUD-GINECO-OBST-MARIA AUXILIADORA PERTUZ</v>
      </c>
      <c r="F2615" s="5" t="str">
        <f>"Descripcion: . Estado: Bueno Placa anterior: 000005531 Material: ACERO INOXIDABLE Color:  Referencia:  Observacion: BANDEJA NIQUELADA MEDIANA Placa padre: Tipo adquisicion: Entidad"</f>
        <v>Descripcion: . Estado: Bueno Placa anterior: 000005531 Material: ACERO INOXIDABLE Color:  Referencia:  Observacion: BANDEJA NIQUELADA MEDIANA Placa padre: Tipo adquisicion: Entidad</v>
      </c>
      <c r="G2615" s="5"/>
    </row>
    <row r="2616" spans="1:7" ht="58.5" customHeight="1" x14ac:dyDescent="0.25">
      <c r="A2616" s="5" t="str">
        <f>"H0008395"</f>
        <v>H0008395</v>
      </c>
      <c r="B2616" s="5" t="str">
        <f>"RIÑONERA HOSPITALARIA EN ACERO INOXIDABLE"</f>
        <v>RIÑONERA HOSPITALARIA EN ACERO INOXIDABLE</v>
      </c>
      <c r="C2616" s="6">
        <v>1968.73</v>
      </c>
      <c r="D2616" s="5"/>
      <c r="E2616" s="5" t="str">
        <f t="shared" si="130"/>
        <v>ACTISALUD-GINECO-OBST-MARIA AUXILIADORA PERTUZ</v>
      </c>
      <c r="F2616" s="5" t="str">
        <f>"Descripcion: RIÑONERA HOSPITALARIA EN ACERO INOXIDABLE Estado: Bueno Placa anterior: 000005339 Material: ACERO INOXIDABLE Color:  Referencia:  Observacion: PASAR A TOCOCIRUGIA Placa padre: Tipo adquisicion: Entidad"</f>
        <v>Descripcion: RIÑONERA HOSPITALARIA EN ACERO INOXIDABLE Estado: Bueno Placa anterior: 000005339 Material: ACERO INOXIDABLE Color:  Referencia:  Observacion: PASAR A TOCOCIRUGIA Placa padre: Tipo adquisicion: Entidad</v>
      </c>
      <c r="G2616" s="5"/>
    </row>
    <row r="2617" spans="1:7" ht="58.5" customHeight="1" x14ac:dyDescent="0.25">
      <c r="A2617" s="5" t="str">
        <f>"H0008397"</f>
        <v>H0008397</v>
      </c>
      <c r="B2617" s="5" t="str">
        <f>"BANDEJA DE ACERO INOXIDABLE MEDIANA"</f>
        <v>BANDEJA DE ACERO INOXIDABLE MEDIANA</v>
      </c>
      <c r="C2617" s="6">
        <v>8580</v>
      </c>
      <c r="D2617" s="5"/>
      <c r="E2617" s="5" t="str">
        <f t="shared" si="130"/>
        <v>ACTISALUD-GINECO-OBST-MARIA AUXILIADORA PERTUZ</v>
      </c>
      <c r="F2617" s="5" t="str">
        <f>"Descripcion: BANDEJA DE ACERO INOXIDABLE MEDIANA Estado: Bueno Placa anterior: 000005384 Material: ACERO INOXIDABLE Color:  Referencia:  Observacion: PASAR A TOCOCIRUGIA Placa padre: Tipo adquisicion: Entidad"</f>
        <v>Descripcion: BANDEJA DE ACERO INOXIDABLE MEDIANA Estado: Bueno Placa anterior: 000005384 Material: ACERO INOXIDABLE Color:  Referencia:  Observacion: PASAR A TOCOCIRUGIA Placa padre: Tipo adquisicion: Entidad</v>
      </c>
      <c r="G2617" s="5"/>
    </row>
    <row r="2618" spans="1:7" ht="58.5" customHeight="1" x14ac:dyDescent="0.25">
      <c r="A2618" s="5" t="str">
        <f>"H0008398"</f>
        <v>H0008398</v>
      </c>
      <c r="B2618" s="5" t="str">
        <f>"CUBETA DE ACERO INOXIDABLE CON TAPA PEQUEÑA"</f>
        <v>CUBETA DE ACERO INOXIDABLE CON TAPA PEQUEÑA</v>
      </c>
      <c r="C2618" s="6">
        <v>7700</v>
      </c>
      <c r="D2618" s="5"/>
      <c r="E2618" s="5" t="str">
        <f t="shared" si="130"/>
        <v>ACTISALUD-GINECO-OBST-MARIA AUXILIADORA PERTUZ</v>
      </c>
      <c r="F2618" s="5" t="str">
        <f>"Descripcion: CUBETA DE ACERO INOXIDABLE CON TAPA PEQUEÑA Estado: Bueno Placa anterior: 000005338 Material: ACERO INOXIDABLE Color:  Referencia:  Observacion: PASAR A TOCOCIRUGIA Placa padre: Tipo adquisicion: Entidad"</f>
        <v>Descripcion: CUBETA DE ACERO INOXIDABLE CON TAPA PEQUEÑA Estado: Bueno Placa anterior: 000005338 Material: ACERO INOXIDABLE Color:  Referencia:  Observacion: PASAR A TOCOCIRUGIA Placa padre: Tipo adquisicion: Entidad</v>
      </c>
      <c r="G2618" s="5"/>
    </row>
    <row r="2619" spans="1:7" ht="58.5" customHeight="1" x14ac:dyDescent="0.25">
      <c r="A2619" s="5" t="str">
        <f>"H0008399"</f>
        <v>H0008399</v>
      </c>
      <c r="B2619" s="5" t="str">
        <f>"CUBETA DE ACERO INOXIDABLE CON TAPA PEQUEÑA"</f>
        <v>CUBETA DE ACERO INOXIDABLE CON TAPA PEQUEÑA</v>
      </c>
      <c r="C2619" s="6">
        <v>7700</v>
      </c>
      <c r="D2619" s="5"/>
      <c r="E2619" s="5" t="str">
        <f t="shared" si="130"/>
        <v>ACTISALUD-GINECO-OBST-MARIA AUXILIADORA PERTUZ</v>
      </c>
      <c r="F2619" s="5" t="str">
        <f>"Descripcion: CUBETA DE ACERO INOXIDABLE CON TAPA PEQUEÑA Estado: Bueno Placa anterior: 000005390 Material: ACERO INOXIDABLE Color:  Referencia:  Observacion: PASAR A TOCOCIRUGIA Placa padre: Tipo adquisicion: Entidad"</f>
        <v>Descripcion: CUBETA DE ACERO INOXIDABLE CON TAPA PEQUEÑA Estado: Bueno Placa anterior: 000005390 Material: ACERO INOXIDABLE Color:  Referencia:  Observacion: PASAR A TOCOCIRUGIA Placa padre: Tipo adquisicion: Entidad</v>
      </c>
      <c r="G2619" s="5"/>
    </row>
    <row r="2620" spans="1:7" ht="58.5" customHeight="1" x14ac:dyDescent="0.25">
      <c r="A2620" s="5" t="str">
        <f>"H0008400"</f>
        <v>H0008400</v>
      </c>
      <c r="B2620" s="5" t="str">
        <f>"CUBETA DE ACERO INOXIDABLE CON TAPA PEQUEÑA"</f>
        <v>CUBETA DE ACERO INOXIDABLE CON TAPA PEQUEÑA</v>
      </c>
      <c r="C2620" s="6">
        <v>7700</v>
      </c>
      <c r="D2620" s="5"/>
      <c r="E2620" s="5" t="str">
        <f t="shared" si="130"/>
        <v>ACTISALUD-GINECO-OBST-MARIA AUXILIADORA PERTUZ</v>
      </c>
      <c r="F2620" s="5" t="str">
        <f>"Descripcion: CUBETA DE ACERO INOXIDABLE CON TAPA PEQUEÑA Estado: Bueno Placa anterior: 000005528 Material: ACERO INOXIDABLE Color:  Referencia:  Observacion: PASAR A TOCOCIRUGIA Placa padre: Tipo adquisicion: Entidad"</f>
        <v>Descripcion: CUBETA DE ACERO INOXIDABLE CON TAPA PEQUEÑA Estado: Bueno Placa anterior: 000005528 Material: ACERO INOXIDABLE Color:  Referencia:  Observacion: PASAR A TOCOCIRUGIA Placa padre: Tipo adquisicion: Entidad</v>
      </c>
      <c r="G2620" s="5"/>
    </row>
    <row r="2621" spans="1:7" ht="58.5" customHeight="1" x14ac:dyDescent="0.25">
      <c r="A2621" s="5" t="str">
        <f>"H0008401"</f>
        <v>H0008401</v>
      </c>
      <c r="B2621" s="5" t="str">
        <f>"RIÑONERA HOSPITALARIA EN ACERO INOXIDABLE"</f>
        <v>RIÑONERA HOSPITALARIA EN ACERO INOXIDABLE</v>
      </c>
      <c r="C2621" s="6">
        <v>1968.73</v>
      </c>
      <c r="D2621" s="5"/>
      <c r="E2621" s="5" t="str">
        <f t="shared" si="130"/>
        <v>ACTISALUD-GINECO-OBST-MARIA AUXILIADORA PERTUZ</v>
      </c>
      <c r="F2621" s="5" t="str">
        <f>"Descripcion: RIÑONERA HOSPITALARIA EN ACERO INOXIDABLE Estado: Bueno Placa anterior: 000005387 Material: ACERO INOXIDABLE Color:  Referencia:  Observacion: PASAR A TOCOCIRUGIA Placa padre: Tipo adquisicion: Entidad"</f>
        <v>Descripcion: RIÑONERA HOSPITALARIA EN ACERO INOXIDABLE Estado: Bueno Placa anterior: 000005387 Material: ACERO INOXIDABLE Color:  Referencia:  Observacion: PASAR A TOCOCIRUGIA Placa padre: Tipo adquisicion: Entidad</v>
      </c>
      <c r="G2621" s="5"/>
    </row>
    <row r="2622" spans="1:7" ht="58.5" customHeight="1" x14ac:dyDescent="0.25">
      <c r="A2622" s="5" t="str">
        <f>"H0008402"</f>
        <v>H0008402</v>
      </c>
      <c r="B2622" s="5" t="str">
        <f>"RIÑONERA HOSPITALARIA EN ACERO INOXIDABLE"</f>
        <v>RIÑONERA HOSPITALARIA EN ACERO INOXIDABLE</v>
      </c>
      <c r="C2622" s="6">
        <v>1968.73</v>
      </c>
      <c r="D2622" s="5"/>
      <c r="E2622" s="5" t="str">
        <f t="shared" si="130"/>
        <v>ACTISALUD-GINECO-OBST-MARIA AUXILIADORA PERTUZ</v>
      </c>
      <c r="F2622" s="5" t="str">
        <f>"Descripcion: RIÑONERA HOSPITALARIA EN ACERO INOXIDABLE Estado: Bueno Placa anterior: 000005388 Material: ACERO INOXIDABLE Color:  Referencia:  Observacion: PASAR A TOCOCIRUGIA Placa padre: Tipo adquisicion: Entidad"</f>
        <v>Descripcion: RIÑONERA HOSPITALARIA EN ACERO INOXIDABLE Estado: Bueno Placa anterior: 000005388 Material: ACERO INOXIDABLE Color:  Referencia:  Observacion: PASAR A TOCOCIRUGIA Placa padre: Tipo adquisicion: Entidad</v>
      </c>
      <c r="G2622" s="5"/>
    </row>
    <row r="2623" spans="1:7" ht="58.5" customHeight="1" x14ac:dyDescent="0.25">
      <c r="A2623" s="5" t="str">
        <f>"H0008403"</f>
        <v>H0008403</v>
      </c>
      <c r="B2623" s="5" t="str">
        <f>"RIÑONERA HOSPITALARIA EN ACERO INOXIDABLE"</f>
        <v>RIÑONERA HOSPITALARIA EN ACERO INOXIDABLE</v>
      </c>
      <c r="C2623" s="6">
        <v>1968.73</v>
      </c>
      <c r="D2623" s="5"/>
      <c r="E2623" s="5" t="str">
        <f t="shared" si="130"/>
        <v>ACTISALUD-GINECO-OBST-MARIA AUXILIADORA PERTUZ</v>
      </c>
      <c r="F2623" s="5" t="str">
        <f>"Descripcion: RIÑONERA HOSPITALARIA EN ACERO INOXIDABLE Estado: Bueno Placa anterior: 000005511 Material: ACERO INOXIDABLE Color:  Referencia:  Observacion: PASAR A TOCOCIRUGIA Placa padre: Tipo adquisicion: Entidad"</f>
        <v>Descripcion: RIÑONERA HOSPITALARIA EN ACERO INOXIDABLE Estado: Bueno Placa anterior: 000005511 Material: ACERO INOXIDABLE Color:  Referencia:  Observacion: PASAR A TOCOCIRUGIA Placa padre: Tipo adquisicion: Entidad</v>
      </c>
      <c r="G2623" s="5"/>
    </row>
    <row r="2624" spans="1:7" ht="58.5" customHeight="1" x14ac:dyDescent="0.25">
      <c r="A2624" s="5" t="str">
        <f>"H0008404"</f>
        <v>H0008404</v>
      </c>
      <c r="B2624" s="5" t="str">
        <f>"PLATON EN ACERO INOXIDABLE PEQUEÑO"</f>
        <v>PLATON EN ACERO INOXIDABLE PEQUEÑO</v>
      </c>
      <c r="C2624" s="6">
        <v>2529.0100000000002</v>
      </c>
      <c r="D2624" s="5"/>
      <c r="E2624" s="5" t="str">
        <f t="shared" si="130"/>
        <v>ACTISALUD-GINECO-OBST-MARIA AUXILIADORA PERTUZ</v>
      </c>
      <c r="F2624" s="5" t="str">
        <f>"Descripcion: CHAROLA REDONDA EN ACERO INOXIDABLE Estado: Bueno Placa anterior: 000005558 Material: ACERO INOXIDABLE Color:  Referencia:  Observacion: PASAR A TOCOCIRUGIA Placa padre: Tipo adquisicion: Entidad"</f>
        <v>Descripcion: CHAROLA REDONDA EN ACERO INOXIDABLE Estado: Bueno Placa anterior: 000005558 Material: ACERO INOXIDABLE Color:  Referencia:  Observacion: PASAR A TOCOCIRUGIA Placa padre: Tipo adquisicion: Entidad</v>
      </c>
      <c r="G2624" s="5"/>
    </row>
    <row r="2625" spans="1:7" ht="58.5" customHeight="1" x14ac:dyDescent="0.25">
      <c r="A2625" s="5" t="str">
        <f>"H0008405"</f>
        <v>H0008405</v>
      </c>
      <c r="B2625" s="5" t="str">
        <f>"PLATON EN ACERO INOXIDABLE PEQUEÑO"</f>
        <v>PLATON EN ACERO INOXIDABLE PEQUEÑO</v>
      </c>
      <c r="C2625" s="6">
        <v>2529.0100000000002</v>
      </c>
      <c r="D2625" s="5"/>
      <c r="E2625" s="5" t="str">
        <f t="shared" si="130"/>
        <v>ACTISALUD-GINECO-OBST-MARIA AUXILIADORA PERTUZ</v>
      </c>
      <c r="F2625" s="5" t="str">
        <f>"Descripcion: CHAROLA REDONDA EN ACERO INOXIDABLE Estado: Bueno Placa anterior: 000005721 Material: ACERO INOXIDABLE Color:  Referencia:  Observacion: PLACA ANTERIOR NO ENCONTRADA 000005274  PASAR A TOCOCIRUGIA Placa padre: Tipo adquisicion: Entidad"</f>
        <v>Descripcion: CHAROLA REDONDA EN ACERO INOXIDABLE Estado: Bueno Placa anterior: 000005721 Material: ACERO INOXIDABLE Color:  Referencia:  Observacion: PLACA ANTERIOR NO ENCONTRADA 000005274  PASAR A TOCOCIRUGIA Placa padre: Tipo adquisicion: Entidad</v>
      </c>
      <c r="G2625" s="5"/>
    </row>
    <row r="2626" spans="1:7" ht="58.5" customHeight="1" x14ac:dyDescent="0.25">
      <c r="A2626" s="5" t="str">
        <f>"H0008408"</f>
        <v>H0008408</v>
      </c>
      <c r="B2626" s="5" t="str">
        <f>"BANDEJA DE ACERO INOXIDABLE GRANDE"</f>
        <v>BANDEJA DE ACERO INOXIDABLE GRANDE</v>
      </c>
      <c r="C2626" s="6">
        <v>10632</v>
      </c>
      <c r="D2626" s="5"/>
      <c r="E2626" s="5" t="str">
        <f t="shared" si="130"/>
        <v>ACTISALUD-GINECO-OBST-MARIA AUXILIADORA PERTUZ</v>
      </c>
      <c r="F2626" s="5" t="str">
        <f>"Descripcion: BANDEJA DE ACERO INOXIDABLE GRANDE Estado: Bueno Placa anterior: 000005340 Material: ACERO INOXIDABLE Color:  Referencia:  Observacion: PASAR A TOCOCIRUGIA Placa padre: Tipo adquisicion: Entidad"</f>
        <v>Descripcion: BANDEJA DE ACERO INOXIDABLE GRANDE Estado: Bueno Placa anterior: 000005340 Material: ACERO INOXIDABLE Color:  Referencia:  Observacion: PASAR A TOCOCIRUGIA Placa padre: Tipo adquisicion: Entidad</v>
      </c>
      <c r="G2626" s="5"/>
    </row>
    <row r="2627" spans="1:7" ht="58.5" customHeight="1" x14ac:dyDescent="0.25">
      <c r="A2627" s="5" t="str">
        <f>"H0008409"</f>
        <v>H0008409</v>
      </c>
      <c r="B2627" s="5" t="str">
        <f>"BANDEJA DE ACERO INOXIDABLE MEDIANA"</f>
        <v>BANDEJA DE ACERO INOXIDABLE MEDIANA</v>
      </c>
      <c r="C2627" s="6">
        <v>10632</v>
      </c>
      <c r="D2627" s="5"/>
      <c r="E2627" s="5" t="str">
        <f t="shared" si="130"/>
        <v>ACTISALUD-GINECO-OBST-MARIA AUXILIADORA PERTUZ</v>
      </c>
      <c r="F2627" s="5" t="str">
        <f>"Descripcion: BANDEJA DE ACERO INOXIDABLE MEDIANA Estado: Bueno Placa anterior: 000005385 Material: ACERO INOXIDABLE Color:  Referencia:  Observacion: PASAR A TOCOCIRUGIA Placa padre: Tipo adquisicion: Entidad"</f>
        <v>Descripcion: BANDEJA DE ACERO INOXIDABLE MEDIANA Estado: Bueno Placa anterior: 000005385 Material: ACERO INOXIDABLE Color:  Referencia:  Observacion: PASAR A TOCOCIRUGIA Placa padre: Tipo adquisicion: Entidad</v>
      </c>
      <c r="G2627" s="5"/>
    </row>
    <row r="2628" spans="1:7" ht="58.5" customHeight="1" x14ac:dyDescent="0.25">
      <c r="A2628" s="5" t="str">
        <f>"H0008410"</f>
        <v>H0008410</v>
      </c>
      <c r="B2628" s="5" t="str">
        <f>"CUBETA DE ACERO INOXIDABLE CON TAPA MEDIANA"</f>
        <v>CUBETA DE ACERO INOXIDABLE CON TAPA MEDIANA</v>
      </c>
      <c r="C2628" s="6">
        <v>7700</v>
      </c>
      <c r="D2628" s="5"/>
      <c r="E2628" s="5" t="str">
        <f t="shared" si="130"/>
        <v>ACTISALUD-GINECO-OBST-MARIA AUXILIADORA PERTUZ</v>
      </c>
      <c r="F2628" s="5" t="str">
        <f>"Descripcion: CUBETA DE ACERO INOXIDABLE CON TAPA MEDIANA Estado: Bueno Placa anterior: 000005389 Material: ACERO INOXIDABLE Color:  Referencia:  Observacion: PASAR A TOCOCIRUGIA Placa padre: Tipo adquisicion: Entidad"</f>
        <v>Descripcion: CUBETA DE ACERO INOXIDABLE CON TAPA MEDIANA Estado: Bueno Placa anterior: 000005389 Material: ACERO INOXIDABLE Color:  Referencia:  Observacion: PASAR A TOCOCIRUGIA Placa padre: Tipo adquisicion: Entidad</v>
      </c>
      <c r="G2628" s="5"/>
    </row>
    <row r="2629" spans="1:7" ht="58.5" customHeight="1" x14ac:dyDescent="0.25">
      <c r="A2629" s="5" t="str">
        <f>"H0008420"</f>
        <v>H0008420</v>
      </c>
      <c r="B2629" s="5" t="str">
        <f>"SILLA PLASTICA CON BRAZOS"</f>
        <v>SILLA PLASTICA CON BRAZOS</v>
      </c>
      <c r="C2629" s="6">
        <v>14000</v>
      </c>
      <c r="D2629" s="5"/>
      <c r="E2629" s="5" t="str">
        <f t="shared" si="130"/>
        <v>ACTISALUD-GINECO-OBST-MARIA AUXILIADORA PERTUZ</v>
      </c>
      <c r="F2629" s="5" t="str">
        <f>"Descripcion: SILLA PLASTICA CON BRAZOS Estado: Bueno Placa anterior: 000005331 Material: PLASTICO Color: BLANCO Referencia:  Observacion: PASAR A TOCOCIRUGIA Placa padre: Tipo adquisicion: Entidad"</f>
        <v>Descripcion: SILLA PLASTICA CON BRAZOS Estado: Bueno Placa anterior: 000005331 Material: PLASTICO Color: BLANCO Referencia:  Observacion: PASAR A TOCOCIRUGIA Placa padre: Tipo adquisicion: Entidad</v>
      </c>
      <c r="G2629" s="5"/>
    </row>
    <row r="2630" spans="1:7" ht="58.5" customHeight="1" x14ac:dyDescent="0.25">
      <c r="A2630" s="5" t="str">
        <f>"H0008422"</f>
        <v>H0008422</v>
      </c>
      <c r="B2630" s="5" t="str">
        <f>"SILLA INTERLOCUTORA (FIJA) SIN BRAZOS"</f>
        <v>SILLA INTERLOCUTORA (FIJA) SIN BRAZOS</v>
      </c>
      <c r="C2630" s="6">
        <v>9596.7000000000007</v>
      </c>
      <c r="D2630" s="5"/>
      <c r="E2630" s="5" t="str">
        <f t="shared" si="130"/>
        <v>ACTISALUD-GINECO-OBST-MARIA AUXILIADORA PERTUZ</v>
      </c>
      <c r="F2630" s="5" t="str">
        <f>"Descripcion: SILLA INTERLOCUTORA (FIJA) SIN BRAZOS TAPIZADA EN GRIS Estado: Bueno Placa anterior: 000000193 Material: METALICO CON TAPIZADO EN SEMICUERO  Color: GRIS Referencia:  Observacion:  Placa padre: Tipo adquisicion: Entidad"</f>
        <v>Descripcion: SILLA INTERLOCUTORA (FIJA) SIN BRAZOS TAPIZADA EN GRIS Estado: Bueno Placa anterior: 000000193 Material: METALICO CON TAPIZADO EN SEMICUERO  Color: GRIS Referencia:  Observacion:  Placa padre: Tipo adquisicion: Entidad</v>
      </c>
      <c r="G2630" s="5"/>
    </row>
    <row r="2631" spans="1:7" ht="58.5" customHeight="1" x14ac:dyDescent="0.25">
      <c r="A2631" s="5" t="str">
        <f>"H0008426"</f>
        <v>H0008426</v>
      </c>
      <c r="B2631" s="5" t="str">
        <f>"BANDEJA DE ACERO INOXIDABLE MEDIANA"</f>
        <v>BANDEJA DE ACERO INOXIDABLE MEDIANA</v>
      </c>
      <c r="C2631" s="6">
        <v>10632</v>
      </c>
      <c r="D2631" s="5"/>
      <c r="E2631" s="5" t="str">
        <f t="shared" si="130"/>
        <v>ACTISALUD-GINECO-OBST-MARIA AUXILIADORA PERTUZ</v>
      </c>
      <c r="F2631" s="5" t="str">
        <f>"Descripcion: BANDEJA DE ACERO INOXIDABLE MEDIANA Estado: Bueno Placa anterior: 000005386 Material: ACERO INOXIDABLE Color:  Referencia:  Observacion: PASAR A TOCOCIRUGIA Placa padre: Tipo adquisicion: Entidad"</f>
        <v>Descripcion: BANDEJA DE ACERO INOXIDABLE MEDIANA Estado: Bueno Placa anterior: 000005386 Material: ACERO INOXIDABLE Color:  Referencia:  Observacion: PASAR A TOCOCIRUGIA Placa padre: Tipo adquisicion: Entidad</v>
      </c>
      <c r="G2631" s="5"/>
    </row>
    <row r="2632" spans="1:7" ht="58.5" customHeight="1" x14ac:dyDescent="0.25">
      <c r="A2632" s="5" t="str">
        <f>"H0008431"</f>
        <v>H0008431</v>
      </c>
      <c r="B2632" s="5" t="str">
        <f>"BANDEJA DE ACERO INOXIDABLE GRANDE"</f>
        <v>BANDEJA DE ACERO INOXIDABLE GRANDE</v>
      </c>
      <c r="C2632" s="6">
        <v>8580</v>
      </c>
      <c r="D2632" s="5"/>
      <c r="E2632" s="5" t="str">
        <f t="shared" si="130"/>
        <v>ACTISALUD-GINECO-OBST-MARIA AUXILIADORA PERTUZ</v>
      </c>
      <c r="F2632" s="5" t="str">
        <f>"Descripcion: BANDEJA DE ACERO INOXIDABLE GRANDE Estado: Bueno Placa anterior: 000005383 Material: ACERO INOXIDABLE Color:  Referencia:  Observacion: PASAR A TOCOCIRUGIA Placa padre: Tipo adquisicion: Entidad"</f>
        <v>Descripcion: BANDEJA DE ACERO INOXIDABLE GRANDE Estado: Bueno Placa anterior: 000005383 Material: ACERO INOXIDABLE Color:  Referencia:  Observacion: PASAR A TOCOCIRUGIA Placa padre: Tipo adquisicion: Entidad</v>
      </c>
      <c r="G2632" s="5"/>
    </row>
    <row r="2633" spans="1:7" ht="58.5" customHeight="1" x14ac:dyDescent="0.25">
      <c r="A2633" s="5" t="str">
        <f>"H0008434"</f>
        <v>H0008434</v>
      </c>
      <c r="B2633" s="5" t="str">
        <f>"CALENTADOR ELECTRICO DE AGUA"</f>
        <v>CALENTADOR ELECTRICO DE AGUA</v>
      </c>
      <c r="C2633" s="6">
        <v>350000</v>
      </c>
      <c r="D2633" s="5"/>
      <c r="E2633" s="5" t="str">
        <f t="shared" si="130"/>
        <v>ACTISALUD-GINECO-OBST-MARIA AUXILIADORA PERTUZ</v>
      </c>
      <c r="F2633" s="5" t="str">
        <f>"Descripcion: CALENTADOR DE AGUA  Estado: Bueno Placa anterior: 000027236 Material: METALICO Color: BEIGE Referencia:  Observacion:  Placa padre: Tipo adquisicion: Entidad"</f>
        <v>Descripcion: CALENTADOR DE AGUA  Estado: Bueno Placa anterior: 000027236 Material: METALICO Color: BEIGE Referencia:  Observacion:  Placa padre: Tipo adquisicion: Entidad</v>
      </c>
      <c r="G2633" s="5"/>
    </row>
    <row r="2634" spans="1:7" ht="58.5" customHeight="1" x14ac:dyDescent="0.25">
      <c r="A2634" s="5" t="str">
        <f>"H0008436"</f>
        <v>H0008436</v>
      </c>
      <c r="B2634" s="5" t="str">
        <f>"TELEFONO DE SOBREMESA"</f>
        <v>TELEFONO DE SOBREMESA</v>
      </c>
      <c r="C2634" s="6">
        <v>77140</v>
      </c>
      <c r="D2634" s="5"/>
      <c r="E2634" s="5" t="str">
        <f t="shared" si="130"/>
        <v>ACTISALUD-GINECO-OBST-MARIA AUXILIADORA PERTUZ</v>
      </c>
      <c r="F2634" s="5" t="str">
        <f>"Descripcion: TELEFONO KXT-S3LX ANALOGO PANASONIC CON TECLAS PARA REDIAL, PAUSA Y FLASH (COMUTADOR PISO 10) Estado: Bueno Placa anterior: 000022526 Material: PLASTICO Color: BEIGE Referencia:  Observacion:  Placa padre: Tipo adquisicion: Entidad"</f>
        <v>Descripcion: TELEFONO KXT-S3LX ANALOGO PANASONIC CON TECLAS PARA REDIAL, PAUSA Y FLASH (COMUTADOR PISO 10) Estado: Bueno Placa anterior: 000022526 Material: PLASTICO Color: BEIGE Referencia:  Observacion:  Placa padre: Tipo adquisicion: Entidad</v>
      </c>
      <c r="G2634" s="5" t="str">
        <f>"KX-TS500LXW"</f>
        <v>KX-TS500LXW</v>
      </c>
    </row>
    <row r="2635" spans="1:7" ht="58.5" customHeight="1" x14ac:dyDescent="0.25">
      <c r="A2635" s="5" t="str">
        <f>"H0008438"</f>
        <v>H0008438</v>
      </c>
      <c r="B2635" s="5" t="str">
        <f>"ARCHIVADOR DE MADERA 3 GAVETAS"</f>
        <v>ARCHIVADOR DE MADERA 3 GAVETAS</v>
      </c>
      <c r="C2635" s="6">
        <v>16445</v>
      </c>
      <c r="D2635" s="5"/>
      <c r="E2635" s="5" t="str">
        <f t="shared" si="130"/>
        <v>ACTISALUD-GINECO-OBST-MARIA AUXILIADORA PERTUZ</v>
      </c>
      <c r="F2635" s="5" t="str">
        <f>"Descripcion: ARCHIVADOR DE MADERA 3 GAVETAS MEDIDAS: 64X50X53CM Estado: Bueno Placa anterior: 000004848 Material: MADERA EN FORMICA Color: WENGUE CON BLANCO Referencia:  Observacion:  Placa padre: Tipo adquisicion: Entidad"</f>
        <v>Descripcion: ARCHIVADOR DE MADERA 3 GAVETAS MEDIDAS: 64X50X53CM Estado: Bueno Placa anterior: 000004848 Material: MADERA EN FORMICA Color: WENGUE CON BLANCO Referencia:  Observacion:  Placa padre: Tipo adquisicion: Entidad</v>
      </c>
      <c r="G2635" s="5"/>
    </row>
    <row r="2636" spans="1:7" ht="58.5" customHeight="1" x14ac:dyDescent="0.25">
      <c r="A2636" s="5" t="str">
        <f>"H0008439"</f>
        <v>H0008439</v>
      </c>
      <c r="B2636" s="5" t="str">
        <f>"CAMILLA FIJA (TIPO DIVAN)"</f>
        <v>CAMILLA FIJA (TIPO DIVAN)</v>
      </c>
      <c r="C2636" s="6">
        <v>38995</v>
      </c>
      <c r="D2636" s="5"/>
      <c r="E2636" s="5" t="str">
        <f t="shared" si="130"/>
        <v>ACTISALUD-GINECO-OBST-MARIA AUXILIADORA PERTUZ</v>
      </c>
      <c r="F2636" s="5" t="str">
        <f>"Descripcion: CAMILLA FIJA METALICA Estado: Malo Placa anterior: 000009343 Material: METALICA CON TAPIZADO EN SEMICUERO Color: BEIGE CON NEGRO Referencia:  Observacion: CAMILLA FIJA Placa padre: Tipo adquisicion: Entidad"</f>
        <v>Descripcion: CAMILLA FIJA METALICA Estado: Malo Placa anterior: 000009343 Material: METALICA CON TAPIZADO EN SEMICUERO Color: BEIGE CON NEGRO Referencia:  Observacion: CAMILLA FIJA Placa padre: Tipo adquisicion: Entidad</v>
      </c>
      <c r="G2636" s="5"/>
    </row>
    <row r="2637" spans="1:7" ht="58.5" customHeight="1" x14ac:dyDescent="0.25">
      <c r="A2637" s="5" t="str">
        <f>"H0008445"</f>
        <v>H0008445</v>
      </c>
      <c r="B2637" s="5" t="str">
        <f>"MESA PUENTE (ALIMENTACION) (INSTRUMENTAL)"</f>
        <v>MESA PUENTE (ALIMENTACION) (INSTRUMENTAL)</v>
      </c>
      <c r="C2637" s="6">
        <v>15000</v>
      </c>
      <c r="D2637" s="5"/>
      <c r="E2637" s="5" t="str">
        <f t="shared" ref="E2637:E2700" si="131">"ACTISALUD-GINECO-OBST-MARIA AUXILIADORA PERTUZ"</f>
        <v>ACTISALUD-GINECO-OBST-MARIA AUXILIADORA PERTUZ</v>
      </c>
      <c r="F2637" s="5" t="str">
        <f>"Descripcion: MESA PUENTE PARA ALIMENTACION CON DOBLE SOPORTE Estado: Bueno Placa anterior: 000027189 Material: METALICO CON MESON EN ACERO INOX. Color: GRIS Referencia:  Observacion: PASAR A TOCOCIRUGIA Placa padre: Tipo adquisicion: Entidad"</f>
        <v>Descripcion: MESA PUENTE PARA ALIMENTACION CON DOBLE SOPORTE Estado: Bueno Placa anterior: 000027189 Material: METALICO CON MESON EN ACERO INOX. Color: GRIS Referencia:  Observacion: PASAR A TOCOCIRUGIA Placa padre: Tipo adquisicion: Entidad</v>
      </c>
      <c r="G2637" s="5"/>
    </row>
    <row r="2638" spans="1:7" ht="58.5" customHeight="1" x14ac:dyDescent="0.25">
      <c r="A2638" s="5" t="str">
        <f>"H0008446"</f>
        <v>H0008446</v>
      </c>
      <c r="B2638" s="5" t="str">
        <f>"MESA PUENTE (ALIMENTACION) (INSTRUMENTAL)"</f>
        <v>MESA PUENTE (ALIMENTACION) (INSTRUMENTAL)</v>
      </c>
      <c r="C2638" s="6">
        <v>15000</v>
      </c>
      <c r="D2638" s="5"/>
      <c r="E2638" s="5" t="str">
        <f t="shared" si="131"/>
        <v>ACTISALUD-GINECO-OBST-MARIA AUXILIADORA PERTUZ</v>
      </c>
      <c r="F2638" s="5" t="str">
        <f>"Descripcion: MESA PUENTE PARA ALIMENTACION CON DOBLE SOPORTE Estado: Bueno Placa anterior: 000027188 Material: METALICO CON MESON EN ACERO INOX. Color: GRIS Referencia:  Observacion: PLACA ANTERIOR NO ENCONTRADA 000021520  PASAR A TOCOCIRUGIA Placa padre:"&amp; " Tipo adquisicion: Entidad"</f>
        <v>Descripcion: MESA PUENTE PARA ALIMENTACION CON DOBLE SOPORTE Estado: Bueno Placa anterior: 000027188 Material: METALICO CON MESON EN ACERO INOX. Color: GRIS Referencia:  Observacion: PLACA ANTERIOR NO ENCONTRADA 000021520  PASAR A TOCOCIRUGIA Placa padre: Tipo adquisicion: Entidad</v>
      </c>
      <c r="G2638" s="5"/>
    </row>
    <row r="2639" spans="1:7" ht="58.5" customHeight="1" x14ac:dyDescent="0.25">
      <c r="A2639" s="5" t="str">
        <f>"H0008447"</f>
        <v>H0008447</v>
      </c>
      <c r="B2639" s="5" t="str">
        <f>"MESA PUENTE (ALIMENTACION) (INSTRUMENTAL)"</f>
        <v>MESA PUENTE (ALIMENTACION) (INSTRUMENTAL)</v>
      </c>
      <c r="C2639" s="6">
        <v>15000</v>
      </c>
      <c r="D2639" s="5"/>
      <c r="E2639" s="5" t="str">
        <f t="shared" si="131"/>
        <v>ACTISALUD-GINECO-OBST-MARIA AUXILIADORA PERTUZ</v>
      </c>
      <c r="F2639" s="5" t="str">
        <f>"Descripcion: MESA PUENTE PARA ALIMENTACION CON DOBLE SOPORTE Estado: Bueno Placa anterior: 000026929 Material: METALICO CON MESON EN ACERO INOX. Color: GRIS Referencia:  Observacion: PLACA ANTERIOR NO ENCONTRADA 000021520 AUTORIZADO CONCILIAR EN CRUCE GEN"&amp; "ERAL Placa padre: Tipo adquisicion: Entidad"</f>
        <v>Descripcion: MESA PUENTE PARA ALIMENTACION CON DOBLE SOPORTE Estado: Bueno Placa anterior: 000026929 Material: METALICO CON MESON EN ACERO INOX. Color: GRIS Referencia:  Observacion: PLACA ANTERIOR NO ENCONTRADA 000021520 AUTORIZADO CONCILIAR EN CRUCE GENERAL Placa padre: Tipo adquisicion: Entidad</v>
      </c>
      <c r="G2639" s="5"/>
    </row>
    <row r="2640" spans="1:7" ht="58.5" customHeight="1" x14ac:dyDescent="0.25">
      <c r="A2640" s="5" t="str">
        <f>"H0008461"</f>
        <v>H0008461</v>
      </c>
      <c r="B2640" s="5" t="str">
        <f>"SILLA RECLINOMATICA"</f>
        <v>SILLA RECLINOMATICA</v>
      </c>
      <c r="C2640" s="6">
        <v>1220000</v>
      </c>
      <c r="D2640" s="5" t="s">
        <v>63</v>
      </c>
      <c r="E2640" s="5" t="str">
        <f t="shared" si="131"/>
        <v>ACTISALUD-GINECO-OBST-MARIA AUXILIADORA PERTUZ</v>
      </c>
      <c r="F2640"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000037959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000037959 Material: TAPIZADO Color: AZUL Referencia:  Observacion:  Placa padre: Tipo adquisicion: Entidad</v>
      </c>
      <c r="G2640" s="5"/>
    </row>
    <row r="2641" spans="1:7" ht="58.5" customHeight="1" x14ac:dyDescent="0.25">
      <c r="A2641" s="5" t="str">
        <f>"H0008467"</f>
        <v>H0008467</v>
      </c>
      <c r="B2641" s="5" t="str">
        <f>"MESA PUENTE (ALIMENTACION) (INSTRUMENTAL)"</f>
        <v>MESA PUENTE (ALIMENTACION) (INSTRUMENTAL)</v>
      </c>
      <c r="C2641" s="6">
        <v>15000</v>
      </c>
      <c r="D2641" s="5"/>
      <c r="E2641" s="5" t="str">
        <f t="shared" si="131"/>
        <v>ACTISALUD-GINECO-OBST-MARIA AUXILIADORA PERTUZ</v>
      </c>
      <c r="F2641" s="5" t="str">
        <f>"Descripcion: MESA PUENTE PARA ALIMENTACION CON DOBLE SOPORTE Estado: Bueno Placa anterior: 000027208 Material: METALICO CON ACERO INOX Color: GRIS Referencia:  Observacion: PASAR A TOCOCIRUGIA Placa padre: Tipo adquisicion: Entidad"</f>
        <v>Descripcion: MESA PUENTE PARA ALIMENTACION CON DOBLE SOPORTE Estado: Bueno Placa anterior: 000027208 Material: METALICO CON ACERO INOX Color: GRIS Referencia:  Observacion: PASAR A TOCOCIRUGIA Placa padre: Tipo adquisicion: Entidad</v>
      </c>
      <c r="G2641" s="5"/>
    </row>
    <row r="2642" spans="1:7" ht="58.5" customHeight="1" x14ac:dyDescent="0.25">
      <c r="A2642" s="5" t="str">
        <f>"H0008470"</f>
        <v>H0008470</v>
      </c>
      <c r="B2642" s="5" t="str">
        <f>"MESA PUENTE (ALIMENTACION) (INSTRUMENTAL)"</f>
        <v>MESA PUENTE (ALIMENTACION) (INSTRUMENTAL)</v>
      </c>
      <c r="C2642" s="6">
        <v>15000</v>
      </c>
      <c r="D2642" s="5"/>
      <c r="E2642" s="5" t="str">
        <f t="shared" si="131"/>
        <v>ACTISALUD-GINECO-OBST-MARIA AUXILIADORA PERTUZ</v>
      </c>
      <c r="F2642" s="5" t="str">
        <f>"Descripcion: MESA PUENTE PARA ALIMENTACION CON DOBLE SOPORTE Estado: Bueno Placa anterior: 000021548 Material: METALICO CON ACERO INOX. Color: GRIS Referencia:  Observacion:  Placa padre: Tipo adquisicion: Entidad"</f>
        <v>Descripcion: MESA PUENTE PARA ALIMENTACION CON DOBLE SOPORTE Estado: Bueno Placa anterior: 000021548 Material: METALICO CON ACERO INOX. Color: GRIS Referencia:  Observacion:  Placa padre: Tipo adquisicion: Entidad</v>
      </c>
      <c r="G2642" s="5"/>
    </row>
    <row r="2643" spans="1:7" ht="58.5" customHeight="1" x14ac:dyDescent="0.25">
      <c r="A2643" s="5" t="str">
        <f>"H0008474"</f>
        <v>H0008474</v>
      </c>
      <c r="B2643" s="5" t="str">
        <f>"SILLA RECLINOMATICA"</f>
        <v>SILLA RECLINOMATICA</v>
      </c>
      <c r="C2643" s="6">
        <v>1220000</v>
      </c>
      <c r="D2643" s="5" t="s">
        <v>63</v>
      </c>
      <c r="E2643" s="5" t="str">
        <f t="shared" si="131"/>
        <v>ACTISALUD-GINECO-OBST-MARIA AUXILIADORA PERTUZ</v>
      </c>
      <c r="F264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000037958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000037958 Material: TAPIZADO Color: AZUL Referencia:  Observacion:  Placa padre: Tipo adquisicion: Entidad</v>
      </c>
      <c r="G2643" s="5"/>
    </row>
    <row r="2644" spans="1:7" ht="58.5" customHeight="1" x14ac:dyDescent="0.25">
      <c r="A2644" s="5" t="str">
        <f>"H0008475"</f>
        <v>H0008475</v>
      </c>
      <c r="B2644" s="5" t="str">
        <f>"SILLA RECLINOMATICA"</f>
        <v>SILLA RECLINOMATICA</v>
      </c>
      <c r="C2644" s="6">
        <v>1220000</v>
      </c>
      <c r="D2644" s="5" t="s">
        <v>63</v>
      </c>
      <c r="E2644" s="5" t="str">
        <f t="shared" si="131"/>
        <v>ACTISALUD-GINECO-OBST-MARIA AUXILIADORA PERTUZ</v>
      </c>
      <c r="F264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000037957 Material: METALICO Color: TAPIZADO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000037957 Material: METALICO Color: TAPIZADO Referencia:  Observacion:  Placa padre: Tipo adquisicion: Entidad</v>
      </c>
      <c r="G2644" s="5"/>
    </row>
    <row r="2645" spans="1:7" ht="58.5" customHeight="1" x14ac:dyDescent="0.25">
      <c r="A2645" s="5" t="str">
        <f>"H0008479"</f>
        <v>H0008479</v>
      </c>
      <c r="B2645" s="5" t="str">
        <f>"MESA PUENTE (ALIMENTACION) (INSTRUMENTAL)"</f>
        <v>MESA PUENTE (ALIMENTACION) (INSTRUMENTAL)</v>
      </c>
      <c r="C2645" s="6">
        <v>15000</v>
      </c>
      <c r="D2645" s="5"/>
      <c r="E2645" s="5" t="str">
        <f t="shared" si="131"/>
        <v>ACTISALUD-GINECO-OBST-MARIA AUXILIADORA PERTUZ</v>
      </c>
      <c r="F2645" s="5" t="str">
        <f>"Descripcion: MESA PUENTE PARA ALIMENTACION CON DOBLE SOPORTE Estado: Bueno Placa anterior: 000026946 Material: METALICO CON ACERO INOX Color: GRIS Referencia:  Observacion: PLACA ANTERIOR NO ENCONTRADA 000021534 AUTORIZADO CONCILIAR EN CRUCE GENERAL Placa"&amp; " padre: Tipo adquisicion: Entidad"</f>
        <v>Descripcion: MESA PUENTE PARA ALIMENTACION CON DOBLE SOPORTE Estado: Bueno Placa anterior: 000026946 Material: METALICO CON ACERO INOX Color: GRIS Referencia:  Observacion: PLACA ANTERIOR NO ENCONTRADA 000021534 AUTORIZADO CONCILIAR EN CRUCE GENERAL Placa padre: Tipo adquisicion: Entidad</v>
      </c>
      <c r="G2645" s="5"/>
    </row>
    <row r="2646" spans="1:7" ht="58.5" customHeight="1" x14ac:dyDescent="0.25">
      <c r="A2646" s="5" t="str">
        <f>"H0008481"</f>
        <v>H0008481</v>
      </c>
      <c r="B2646" s="5" t="str">
        <f>"MESA PUENTE (ALIMENTACION) (INSTRUMENTAL)"</f>
        <v>MESA PUENTE (ALIMENTACION) (INSTRUMENTAL)</v>
      </c>
      <c r="C2646" s="6">
        <v>15000</v>
      </c>
      <c r="D2646" s="5"/>
      <c r="E2646" s="5" t="str">
        <f t="shared" si="131"/>
        <v>ACTISALUD-GINECO-OBST-MARIA AUXILIADORA PERTUZ</v>
      </c>
      <c r="F2646" s="5" t="str">
        <f>"Descripcion: MESA PUENTE PARA ALIMENTACION CON DOBLE SOPORTE Estado: Bueno Placa anterior: 000027191 Material: METALICO CON ACERO INOX Color: GRIS Referencia:  Observacion: PLACA ANTERIOR NO ENCONTRADA 000011972  PASAR A TOCOCIRUGIA Placa padre: Tipo adqu"&amp; "isicion: Entidad"</f>
        <v>Descripcion: MESA PUENTE PARA ALIMENTACION CON DOBLE SOPORTE Estado: Bueno Placa anterior: 000027191 Material: METALICO CON ACERO INOX Color: GRIS Referencia:  Observacion: PLACA ANTERIOR NO ENCONTRADA 000011972  PASAR A TOCOCIRUGIA Placa padre: Tipo adquisicion: Entidad</v>
      </c>
      <c r="G2646" s="5"/>
    </row>
    <row r="2647" spans="1:7" ht="58.5" customHeight="1" x14ac:dyDescent="0.25">
      <c r="A2647" s="5" t="str">
        <f>"H0008491"</f>
        <v>H0008491</v>
      </c>
      <c r="B2647" s="5" t="str">
        <f>"SILLA RECLINOMATICA"</f>
        <v>SILLA RECLINOMATICA</v>
      </c>
      <c r="C2647" s="6">
        <v>1220000</v>
      </c>
      <c r="D2647" s="5" t="s">
        <v>63</v>
      </c>
      <c r="E2647" s="5" t="str">
        <f t="shared" si="131"/>
        <v>ACTISALUD-GINECO-OBST-MARIA AUXILIADORA PERTUZ</v>
      </c>
      <c r="F2647"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000037953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000037953 Material: TAPIZADO Color: AZUL Referencia:  Observacion:  Placa padre: Tipo adquisicion: Entidad</v>
      </c>
      <c r="G2647" s="5"/>
    </row>
    <row r="2648" spans="1:7" ht="58.5" customHeight="1" x14ac:dyDescent="0.25">
      <c r="A2648" s="5" t="str">
        <f>"H0008494"</f>
        <v>H0008494</v>
      </c>
      <c r="B2648" s="5" t="str">
        <f>"MESA PUENTE (ALIMENTACION) (INSTRUMENTAL)"</f>
        <v>MESA PUENTE (ALIMENTACION) (INSTRUMENTAL)</v>
      </c>
      <c r="C2648" s="6">
        <v>15000</v>
      </c>
      <c r="D2648" s="5"/>
      <c r="E2648" s="5" t="str">
        <f t="shared" si="131"/>
        <v>ACTISALUD-GINECO-OBST-MARIA AUXILIADORA PERTUZ</v>
      </c>
      <c r="F2648" s="5" t="str">
        <f>"Descripcion: MESA PUENTE PARA ALIMENTACION CON DOBLE SOPORTE Estado: Bueno Placa anterior: 000027258 Material: METALICO CON ACERO INOX. Color: GRIS Referencia:  Observacion: PASAR A TOCOCIRUGIA Placa padre: Tipo adquisicion: Entidad"</f>
        <v>Descripcion: MESA PUENTE PARA ALIMENTACION CON DOBLE SOPORTE Estado: Bueno Placa anterior: 000027258 Material: METALICO CON ACERO INOX. Color: GRIS Referencia:  Observacion: PASAR A TOCOCIRUGIA Placa padre: Tipo adquisicion: Entidad</v>
      </c>
      <c r="G2648" s="5"/>
    </row>
    <row r="2649" spans="1:7" ht="58.5" customHeight="1" x14ac:dyDescent="0.25">
      <c r="A2649" s="5" t="str">
        <f>"H0008496"</f>
        <v>H0008496</v>
      </c>
      <c r="B2649" s="5" t="str">
        <f>"MESA PUENTE (ALIMENTACION) (INSTRUMENTAL)"</f>
        <v>MESA PUENTE (ALIMENTACION) (INSTRUMENTAL)</v>
      </c>
      <c r="C2649" s="6">
        <v>15000</v>
      </c>
      <c r="D2649" s="5"/>
      <c r="E2649" s="5" t="str">
        <f t="shared" si="131"/>
        <v>ACTISALUD-GINECO-OBST-MARIA AUXILIADORA PERTUZ</v>
      </c>
      <c r="F2649" s="5" t="str">
        <f>"Descripcion: MESA PUENTE PARA ALIMENTACION CON DOBLE SOPORTE Estado: Bueno Placa anterior: 000027210 Material: METALICO CON ACERO INOX. Color: GRIS Referencia:  Observacion: PASAR A TOCOCIRUGIA Placa padre: Tipo adquisicion: Entidad"</f>
        <v>Descripcion: MESA PUENTE PARA ALIMENTACION CON DOBLE SOPORTE Estado: Bueno Placa anterior: 000027210 Material: METALICO CON ACERO INOX. Color: GRIS Referencia:  Observacion: PASAR A TOCOCIRUGIA Placa padre: Tipo adquisicion: Entidad</v>
      </c>
      <c r="G2649" s="5"/>
    </row>
    <row r="2650" spans="1:7" ht="58.5" customHeight="1" x14ac:dyDescent="0.25">
      <c r="A2650" s="5" t="str">
        <f>"H0008501"</f>
        <v>H0008501</v>
      </c>
      <c r="B2650" s="5" t="str">
        <f>"SILLA RECLINOMATICA"</f>
        <v>SILLA RECLINOMATICA</v>
      </c>
      <c r="C2650" s="6">
        <v>1220000</v>
      </c>
      <c r="D2650" s="5" t="s">
        <v>63</v>
      </c>
      <c r="E2650" s="5" t="str">
        <f t="shared" si="131"/>
        <v>ACTISALUD-GINECO-OBST-MARIA AUXILIADORA PERTUZ</v>
      </c>
      <c r="F2650"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000037952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000037952 Material: TAPIZADO Color: AZUL Referencia:  Observacion:  Placa padre: Tipo adquisicion: Entidad</v>
      </c>
      <c r="G2650" s="5"/>
    </row>
    <row r="2651" spans="1:7" ht="58.5" customHeight="1" x14ac:dyDescent="0.25">
      <c r="A2651" s="5" t="str">
        <f>"H0008502"</f>
        <v>H0008502</v>
      </c>
      <c r="B2651" s="5" t="str">
        <f>"SILLA RECLINOMATICA"</f>
        <v>SILLA RECLINOMATICA</v>
      </c>
      <c r="C2651" s="6">
        <v>1220000</v>
      </c>
      <c r="D2651" s="5" t="s">
        <v>63</v>
      </c>
      <c r="E2651" s="5" t="str">
        <f t="shared" si="131"/>
        <v>ACTISALUD-GINECO-OBST-MARIA AUXILIADORA PERTUZ</v>
      </c>
      <c r="F2651"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000037955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000037955 Material: TAPIZADO Color: AZUL Referencia:  Observacion:  Placa padre: Tipo adquisicion: Entidad</v>
      </c>
      <c r="G2651" s="5"/>
    </row>
    <row r="2652" spans="1:7" ht="58.5" customHeight="1" x14ac:dyDescent="0.25">
      <c r="A2652" s="5" t="str">
        <f>"H0008503"</f>
        <v>H0008503</v>
      </c>
      <c r="B2652" s="5" t="str">
        <f>"SILLA PLASTICA CON BRAZOS"</f>
        <v>SILLA PLASTICA CON BRAZOS</v>
      </c>
      <c r="C2652" s="6">
        <v>12240.32</v>
      </c>
      <c r="D2652" s="5"/>
      <c r="E2652" s="5" t="str">
        <f t="shared" si="131"/>
        <v>ACTISALUD-GINECO-OBST-MARIA AUXILIADORA PERTUZ</v>
      </c>
      <c r="F2652" s="5" t="str">
        <f>"Descripcion: SILLA PLASTICA BLANCA CON BRAZOS Estado: Bueno Placa anterior: 000004881 Material: PLASTICO Color: BLANCO Referencia:  Observacion:  Placa padre: Tipo adquisicion: Entidad"</f>
        <v>Descripcion: SILLA PLASTICA BLANCA CON BRAZOS Estado: Bueno Placa anterior: 000004881 Material: PLASTICO Color: BLANCO Referencia:  Observacion:  Placa padre: Tipo adquisicion: Entidad</v>
      </c>
      <c r="G2652" s="5"/>
    </row>
    <row r="2653" spans="1:7" ht="58.5" customHeight="1" x14ac:dyDescent="0.25">
      <c r="A2653" s="5" t="str">
        <f>"H0008507"</f>
        <v>H0008507</v>
      </c>
      <c r="B2653" s="5" t="str">
        <f>"SILLA RECLINOMATICA"</f>
        <v>SILLA RECLINOMATICA</v>
      </c>
      <c r="C2653" s="6">
        <v>1220000</v>
      </c>
      <c r="D2653" s="5" t="s">
        <v>63</v>
      </c>
      <c r="E2653" s="5" t="str">
        <f t="shared" si="131"/>
        <v>ACTISALUD-GINECO-OBST-MARIA AUXILIADORA PERTUZ</v>
      </c>
      <c r="F265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000037954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000037954 Material: TAPIZADO Color: AZUL Referencia:  Observacion:  Placa padre: Tipo adquisicion: Entidad</v>
      </c>
      <c r="G2653" s="5"/>
    </row>
    <row r="2654" spans="1:7" ht="58.5" customHeight="1" x14ac:dyDescent="0.25">
      <c r="A2654" s="5" t="str">
        <f>"H0008509"</f>
        <v>H0008509</v>
      </c>
      <c r="B2654" s="5" t="str">
        <f>"MESA PUENTE (ALIMENTACION) (INSTRUMENTAL)"</f>
        <v>MESA PUENTE (ALIMENTACION) (INSTRUMENTAL)</v>
      </c>
      <c r="C2654" s="6">
        <v>15000</v>
      </c>
      <c r="D2654" s="5"/>
      <c r="E2654" s="5" t="str">
        <f t="shared" si="131"/>
        <v>ACTISALUD-GINECO-OBST-MARIA AUXILIADORA PERTUZ</v>
      </c>
      <c r="F2654" s="5" t="str">
        <f>"Descripcion: MESA PUENTE PARA ALIMENTACION CON DOBLE SOPORTE Estado: Bueno Placa anterior: 000027209 Material: METALICO CON ACERO INOX. Color: GRIS Referencia:  Observacion: PASAR A TOCOCIRUGIA Placa padre: Tipo adquisicion: Entidad"</f>
        <v>Descripcion: MESA PUENTE PARA ALIMENTACION CON DOBLE SOPORTE Estado: Bueno Placa anterior: 000027209 Material: METALICO CON ACERO INOX. Color: GRIS Referencia:  Observacion: PASAR A TOCOCIRUGIA Placa padre: Tipo adquisicion: Entidad</v>
      </c>
      <c r="G2654" s="5"/>
    </row>
    <row r="2655" spans="1:7" ht="58.5" customHeight="1" x14ac:dyDescent="0.25">
      <c r="A2655" s="5" t="str">
        <f>"H0008515"</f>
        <v>H0008515</v>
      </c>
      <c r="B2655" s="5" t="str">
        <f>"SILLA PLASTICA CON BRAZOS"</f>
        <v>SILLA PLASTICA CON BRAZOS</v>
      </c>
      <c r="C2655" s="6">
        <v>12198</v>
      </c>
      <c r="D2655" s="5"/>
      <c r="E2655" s="5" t="str">
        <f t="shared" si="131"/>
        <v>ACTISALUD-GINECO-OBST-MARIA AUXILIADORA PERTUZ</v>
      </c>
      <c r="F2655" s="5" t="str">
        <f>"Descripcion: SILLA PLASTICA BLANCA Estado: Bueno Placa anterior: 000018378 Material: PLASTICO Color: BLANCO Referencia:  Observacion:  Placa padre: Tipo adquisicion: Entidad"</f>
        <v>Descripcion: SILLA PLASTICA BLANCA Estado: Bueno Placa anterior: 000018378 Material: PLASTICO Color: BLANCO Referencia:  Observacion:  Placa padre: Tipo adquisicion: Entidad</v>
      </c>
      <c r="G2655" s="5"/>
    </row>
    <row r="2656" spans="1:7" ht="58.5" customHeight="1" x14ac:dyDescent="0.25">
      <c r="A2656" s="5" t="str">
        <f>"H0008516"</f>
        <v>H0008516</v>
      </c>
      <c r="B2656" s="5" t="str">
        <f>"SILLA RECLINOMATICA"</f>
        <v>SILLA RECLINOMATICA</v>
      </c>
      <c r="C2656" s="6">
        <v>1220000</v>
      </c>
      <c r="D2656" s="5" t="s">
        <v>63</v>
      </c>
      <c r="E2656" s="5" t="str">
        <f t="shared" si="131"/>
        <v>ACTISALUD-GINECO-OBST-MARIA AUXILIADORA PERTUZ</v>
      </c>
      <c r="F265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000037951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000037951 Material: TAPIZADO  Color: AZUL Referencia:  Observacion:  Placa padre: Tipo adquisicion: Entidad</v>
      </c>
      <c r="G2656" s="5"/>
    </row>
    <row r="2657" spans="1:7" ht="58.5" customHeight="1" x14ac:dyDescent="0.25">
      <c r="A2657" s="5" t="str">
        <f>"H0008518"</f>
        <v>H0008518</v>
      </c>
      <c r="B2657" s="5" t="str">
        <f>"MESA PUENTE (ALIMENTACION) (INSTRUMENTAL)"</f>
        <v>MESA PUENTE (ALIMENTACION) (INSTRUMENTAL)</v>
      </c>
      <c r="C2657" s="6">
        <v>15000</v>
      </c>
      <c r="D2657" s="5"/>
      <c r="E2657" s="5" t="str">
        <f t="shared" si="131"/>
        <v>ACTISALUD-GINECO-OBST-MARIA AUXILIADORA PERTUZ</v>
      </c>
      <c r="F2657" s="5" t="str">
        <f>"Descripcion: MESA PUENTE PARA ALIMENTACION CON DOBLE SOPORTE Estado: Bueno Placa anterior: 000027222 Material: METALICO, ACERO INOX Color: GRIS Referencia:  Observacion: PASAR A TOCOCIRUGIA Placa padre: Tipo adquisicion: Entidad"</f>
        <v>Descripcion: MESA PUENTE PARA ALIMENTACION CON DOBLE SOPORTE Estado: Bueno Placa anterior: 000027222 Material: METALICO, ACERO INOX Color: GRIS Referencia:  Observacion: PASAR A TOCOCIRUGIA Placa padre: Tipo adquisicion: Entidad</v>
      </c>
      <c r="G2657" s="5"/>
    </row>
    <row r="2658" spans="1:7" ht="58.5" customHeight="1" x14ac:dyDescent="0.25">
      <c r="A2658" s="5" t="str">
        <f>"H0008521"</f>
        <v>H0008521</v>
      </c>
      <c r="B2658" s="5" t="str">
        <f>"MESA PUENTE (ALIMENTACION) (INSTRUMENTAL)"</f>
        <v>MESA PUENTE (ALIMENTACION) (INSTRUMENTAL)</v>
      </c>
      <c r="C2658" s="6">
        <v>15000</v>
      </c>
      <c r="D2658" s="5"/>
      <c r="E2658" s="5" t="str">
        <f t="shared" si="131"/>
        <v>ACTISALUD-GINECO-OBST-MARIA AUXILIADORA PERTUZ</v>
      </c>
      <c r="F2658" s="5" t="str">
        <f>"Descripcion: MESA PUENTE PARA ALIMENTACION CON DOBLE SOPORTE Estado: Bueno Placa anterior: 000027261 Material: METALICO, ACERO INOX Color: GRIS Referencia:  Observacion: PASAR A TOCOCIRUGIA Placa padre: Tipo adquisicion: Entidad"</f>
        <v>Descripcion: MESA PUENTE PARA ALIMENTACION CON DOBLE SOPORTE Estado: Bueno Placa anterior: 000027261 Material: METALICO, ACERO INOX Color: GRIS Referencia:  Observacion: PASAR A TOCOCIRUGIA Placa padre: Tipo adquisicion: Entidad</v>
      </c>
      <c r="G2658" s="5"/>
    </row>
    <row r="2659" spans="1:7" ht="58.5" customHeight="1" x14ac:dyDescent="0.25">
      <c r="A2659" s="5" t="str">
        <f>"H0008525"</f>
        <v>H0008525</v>
      </c>
      <c r="B2659" s="5" t="str">
        <f>"SILLA RECLINOMATICA"</f>
        <v>SILLA RECLINOMATICA</v>
      </c>
      <c r="C2659" s="6">
        <v>1220000</v>
      </c>
      <c r="D2659" s="5" t="s">
        <v>63</v>
      </c>
      <c r="E2659" s="5" t="str">
        <f t="shared" si="131"/>
        <v>ACTISALUD-GINECO-OBST-MARIA AUXILIADORA PERTUZ</v>
      </c>
      <c r="F2659"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000037950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000037950 Material: TAPIZADO Color: AZUL Referencia:  Observacion:  Placa padre: Tipo adquisicion: Entidad</v>
      </c>
      <c r="G2659" s="5"/>
    </row>
    <row r="2660" spans="1:7" ht="58.5" customHeight="1" x14ac:dyDescent="0.25">
      <c r="A2660" s="5" t="str">
        <f>"H0008526"</f>
        <v>H0008526</v>
      </c>
      <c r="B2660" s="5" t="str">
        <f>"SILLA PLASTICA CON BRAZOS"</f>
        <v>SILLA PLASTICA CON BRAZOS</v>
      </c>
      <c r="C2660" s="6">
        <v>12240.32</v>
      </c>
      <c r="D2660" s="5"/>
      <c r="E2660" s="5" t="str">
        <f t="shared" si="131"/>
        <v>ACTISALUD-GINECO-OBST-MARIA AUXILIADORA PERTUZ</v>
      </c>
      <c r="F2660" s="5" t="str">
        <f>"Descripcion: SILLA PLASTICA BLANCA CON BRAZOS Estado: Bueno Placa anterior: 000004877 Material: PLASTICO Color: BLANCO Referencia:  Observacion:  Placa padre: Tipo adquisicion: Entidad"</f>
        <v>Descripcion: SILLA PLASTICA BLANCA CON BRAZOS Estado: Bueno Placa anterior: 000004877 Material: PLASTICO Color: BLANCO Referencia:  Observacion:  Placa padre: Tipo adquisicion: Entidad</v>
      </c>
      <c r="G2660" s="5"/>
    </row>
    <row r="2661" spans="1:7" ht="58.5" customHeight="1" x14ac:dyDescent="0.25">
      <c r="A2661" s="5" t="str">
        <f>"H0008529"</f>
        <v>H0008529</v>
      </c>
      <c r="B2661" s="5" t="str">
        <f>"SILLA RECLINOMATICA"</f>
        <v>SILLA RECLINOMATICA</v>
      </c>
      <c r="C2661" s="6">
        <v>1220000</v>
      </c>
      <c r="D2661" s="5" t="s">
        <v>63</v>
      </c>
      <c r="E2661" s="5" t="str">
        <f t="shared" si="131"/>
        <v>ACTISALUD-GINECO-OBST-MARIA AUXILIADORA PERTUZ</v>
      </c>
      <c r="F2661"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000037949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000037949 Material: TAPIZADO  Color: AZUL Referencia:  Observacion:  Placa padre: Tipo adquisicion: Entidad</v>
      </c>
      <c r="G2661" s="5"/>
    </row>
    <row r="2662" spans="1:7" ht="58.5" customHeight="1" x14ac:dyDescent="0.25">
      <c r="A2662" s="5" t="str">
        <f>"H0008530"</f>
        <v>H0008530</v>
      </c>
      <c r="B2662" s="5" t="str">
        <f>"MESA PUENTE (ALIMENTACION) (INSTRUMENTAL)"</f>
        <v>MESA PUENTE (ALIMENTACION) (INSTRUMENTAL)</v>
      </c>
      <c r="C2662" s="6">
        <v>15000</v>
      </c>
      <c r="D2662" s="5"/>
      <c r="E2662" s="5" t="str">
        <f t="shared" si="131"/>
        <v>ACTISALUD-GINECO-OBST-MARIA AUXILIADORA PERTUZ</v>
      </c>
      <c r="F2662" s="5" t="str">
        <f>"Descripcion: MESA PUENTE PARA ALIMENTACION CON DOBLE SOPORTE Estado: Bueno Placa anterior: 000027260 Material: METALICO, ACERO INOX Color: GRIS Referencia:  Observacion: PASAR A TOCOCIRUGIA Placa padre: Tipo adquisicion: Entidad"</f>
        <v>Descripcion: MESA PUENTE PARA ALIMENTACION CON DOBLE SOPORTE Estado: Bueno Placa anterior: 000027260 Material: METALICO, ACERO INOX Color: GRIS Referencia:  Observacion: PASAR A TOCOCIRUGIA Placa padre: Tipo adquisicion: Entidad</v>
      </c>
      <c r="G2662" s="5"/>
    </row>
    <row r="2663" spans="1:7" ht="58.5" customHeight="1" x14ac:dyDescent="0.25">
      <c r="A2663" s="5" t="str">
        <f>"H0008535"</f>
        <v>H0008535</v>
      </c>
      <c r="B2663" s="5" t="str">
        <f>"MESA PUENTE (ALIMENTACION) (INSTRUMENTAL)"</f>
        <v>MESA PUENTE (ALIMENTACION) (INSTRUMENTAL)</v>
      </c>
      <c r="C2663" s="6">
        <v>15000</v>
      </c>
      <c r="D2663" s="5"/>
      <c r="E2663" s="5" t="str">
        <f t="shared" si="131"/>
        <v>ACTISALUD-GINECO-OBST-MARIA AUXILIADORA PERTUZ</v>
      </c>
      <c r="F2663" s="5" t="str">
        <f>"Descripcion: MESA PUENTE PARA ALIMENTACION CON DOBLE SOPORTE Estado: Bueno Placa anterior: 000027259 Material: METALICO, ACERO INOX Color: GRIS Referencia:  Observacion: PASAR A TOCOCIRUGIA Placa padre: Tipo adquisicion: Entidad"</f>
        <v>Descripcion: MESA PUENTE PARA ALIMENTACION CON DOBLE SOPORTE Estado: Bueno Placa anterior: 000027259 Material: METALICO, ACERO INOX Color: GRIS Referencia:  Observacion: PASAR A TOCOCIRUGIA Placa padre: Tipo adquisicion: Entidad</v>
      </c>
      <c r="G2663" s="5"/>
    </row>
    <row r="2664" spans="1:7" ht="58.5" customHeight="1" x14ac:dyDescent="0.25">
      <c r="A2664" s="5" t="str">
        <f>"H0008537"</f>
        <v>H0008537</v>
      </c>
      <c r="B2664" s="5" t="str">
        <f>"SILLA RECLINOMATICA"</f>
        <v>SILLA RECLINOMATICA</v>
      </c>
      <c r="C2664" s="6">
        <v>1220000</v>
      </c>
      <c r="D2664" s="5" t="s">
        <v>63</v>
      </c>
      <c r="E2664" s="5" t="str">
        <f t="shared" si="131"/>
        <v>ACTISALUD-GINECO-OBST-MARIA AUXILIADORA PERTUZ</v>
      </c>
      <c r="F266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000037948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000037948 Material: TAPIZADO Color: AZUL Referencia:  Observacion:  Placa padre: Tipo adquisicion: Entidad</v>
      </c>
      <c r="G2664" s="5"/>
    </row>
    <row r="2665" spans="1:7" ht="58.5" customHeight="1" x14ac:dyDescent="0.25">
      <c r="A2665" s="5" t="str">
        <f>"H0008539"</f>
        <v>H0008539</v>
      </c>
      <c r="B2665" s="5" t="str">
        <f>"VENTILADOR DE PARED"</f>
        <v>VENTILADOR DE PARED</v>
      </c>
      <c r="C2665" s="6">
        <v>74000</v>
      </c>
      <c r="D2665" s="5" t="s">
        <v>53</v>
      </c>
      <c r="E2665" s="5" t="str">
        <f t="shared" si="131"/>
        <v>ACTISALUD-GINECO-OBST-MARIA AUXILIADORA PERTUZ</v>
      </c>
      <c r="F2665" s="5" t="str">
        <f>"Descripcion: VENTILADOR DE PARED SAMURAI Estado: Bueno Placa anterior: 000032573 Material: PLASTICO Color: BLANCO Referencia:  Observacion: PASAR A TOCOCIRUGIA Placa padre: Tipo adquisicion: Entidad"</f>
        <v>Descripcion: VENTILADOR DE PARED SAMURAI Estado: Bueno Placa anterior: 000032573 Material: PLASTICO Color: BLANCO Referencia:  Observacion: PASAR A TOCOCIRUGIA Placa padre: Tipo adquisicion: Entidad</v>
      </c>
      <c r="G2665" s="5" t="str">
        <f>"AIR PROTEC PLUS"</f>
        <v>AIR PROTEC PLUS</v>
      </c>
    </row>
    <row r="2666" spans="1:7" ht="58.5" customHeight="1" x14ac:dyDescent="0.25">
      <c r="A2666" s="5" t="str">
        <f>"H0008540"</f>
        <v>H0008540</v>
      </c>
      <c r="B2666" s="5" t="str">
        <f>"SILLA PLASTICA CON BRAZOS"</f>
        <v>SILLA PLASTICA CON BRAZOS</v>
      </c>
      <c r="C2666" s="6">
        <v>14000</v>
      </c>
      <c r="D2666" s="5"/>
      <c r="E2666" s="5" t="str">
        <f t="shared" si="131"/>
        <v>ACTISALUD-GINECO-OBST-MARIA AUXILIADORA PERTUZ</v>
      </c>
      <c r="F2666" s="5" t="str">
        <f>"Descripcion: SILLA PLASTICA BLANCA CON BRAZOS Estado: Bueno Placa anterior: 000027228 Material: PLASTICO Color: BLANCO Referencia:  Observacion: PASAR A TOCOCIRUGIA Placa padre: Tipo adquisicion: Entidad"</f>
        <v>Descripcion: SILLA PLASTICA BLANCA CON BRAZOS Estado: Bueno Placa anterior: 000027228 Material: PLASTICO Color: BLANCO Referencia:  Observacion: PASAR A TOCOCIRUGIA Placa padre: Tipo adquisicion: Entidad</v>
      </c>
      <c r="G2666" s="5"/>
    </row>
    <row r="2667" spans="1:7" ht="58.5" customHeight="1" x14ac:dyDescent="0.25">
      <c r="A2667" s="5" t="str">
        <f>"H0008541"</f>
        <v>H0008541</v>
      </c>
      <c r="B2667" s="5" t="str">
        <f>"SILLA RECLINOMATICA"</f>
        <v>SILLA RECLINOMATICA</v>
      </c>
      <c r="C2667" s="6">
        <v>1220000</v>
      </c>
      <c r="D2667" s="5" t="s">
        <v>63</v>
      </c>
      <c r="E2667" s="5" t="str">
        <f t="shared" si="131"/>
        <v>ACTISALUD-GINECO-OBST-MARIA AUXILIADORA PERTUZ</v>
      </c>
      <c r="F2667"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000037946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000037946 Material: TAPIZADO Color: AZUL Referencia:  Observacion:  Placa padre: Tipo adquisicion: Entidad</v>
      </c>
      <c r="G2667" s="5"/>
    </row>
    <row r="2668" spans="1:7" ht="58.5" customHeight="1" x14ac:dyDescent="0.25">
      <c r="A2668" s="5" t="str">
        <f>"H0008545"</f>
        <v>H0008545</v>
      </c>
      <c r="B2668" s="5" t="str">
        <f>"MESA PUENTE (ALIMENTACION) (INSTRUMENTAL)"</f>
        <v>MESA PUENTE (ALIMENTACION) (INSTRUMENTAL)</v>
      </c>
      <c r="C2668" s="6">
        <v>15000</v>
      </c>
      <c r="D2668" s="5"/>
      <c r="E2668" s="5" t="str">
        <f t="shared" si="131"/>
        <v>ACTISALUD-GINECO-OBST-MARIA AUXILIADORA PERTUZ</v>
      </c>
      <c r="F2668" s="5" t="str">
        <f>"Descripcion: MESA PUENTE PARA ALIMENTACION CON DOBLE SOPORTE Estado: Bueno Placa anterior: 000026947 Material: METALICO, ACERO INOX Color: GRIS Referencia:  Observacion: PASAR A TOCOCIRUGIA Placa padre: Tipo adquisicion: Entidad"</f>
        <v>Descripcion: MESA PUENTE PARA ALIMENTACION CON DOBLE SOPORTE Estado: Bueno Placa anterior: 000026947 Material: METALICO, ACERO INOX Color: GRIS Referencia:  Observacion: PASAR A TOCOCIRUGIA Placa padre: Tipo adquisicion: Entidad</v>
      </c>
      <c r="G2668" s="5"/>
    </row>
    <row r="2669" spans="1:7" ht="58.5" customHeight="1" x14ac:dyDescent="0.25">
      <c r="A2669" s="5" t="str">
        <f>"H0008546"</f>
        <v>H0008546</v>
      </c>
      <c r="B2669" s="5" t="str">
        <f>"VENTILADOR DE PARED"</f>
        <v>VENTILADOR DE PARED</v>
      </c>
      <c r="C2669" s="6">
        <v>74000</v>
      </c>
      <c r="D2669" s="5" t="s">
        <v>53</v>
      </c>
      <c r="E2669" s="5" t="str">
        <f t="shared" si="131"/>
        <v>ACTISALUD-GINECO-OBST-MARIA AUXILIADORA PERTUZ</v>
      </c>
      <c r="F2669" s="5" t="str">
        <f>"Descripcion: VENTILADOR DE PARED MARCA SAMURAI Estado: Bueno Placa anterior: 000032566 Material: PLASTICO Color: BLANCO Referencia:  Observacion: PASAR A TOCOCIRUGIA Placa padre: Tipo adquisicion: Entidad"</f>
        <v>Descripcion: VENTILADOR DE PARED MARCA SAMURAI Estado: Bueno Placa anterior: 000032566 Material: PLASTICO Color: BLANCO Referencia:  Observacion: PASAR A TOCOCIRUGIA Placa padre: Tipo adquisicion: Entidad</v>
      </c>
      <c r="G2669" s="5" t="str">
        <f>"AIR PROTEC PLUS"</f>
        <v>AIR PROTEC PLUS</v>
      </c>
    </row>
    <row r="2670" spans="1:7" ht="58.5" customHeight="1" x14ac:dyDescent="0.25">
      <c r="A2670" s="5" t="str">
        <f>"H0008552"</f>
        <v>H0008552</v>
      </c>
      <c r="B2670" s="5" t="str">
        <f>"MESA PUENTE (ALIMENTACION) (INSTRUMENTAL)"</f>
        <v>MESA PUENTE (ALIMENTACION) (INSTRUMENTAL)</v>
      </c>
      <c r="C2670" s="6">
        <v>15000</v>
      </c>
      <c r="D2670" s="5"/>
      <c r="E2670" s="5" t="str">
        <f t="shared" si="131"/>
        <v>ACTISALUD-GINECO-OBST-MARIA AUXILIADORA PERTUZ</v>
      </c>
      <c r="F2670" s="5" t="str">
        <f>"Descripcion: MESA PUENTE PARA ALIMENTACION CON DOBLE SOPORTE Estado: Bueno Placa anterior: 000026964 Material: METALICO, ACERO INOX Color: GRIS Referencia:  Observacion: PASAR A TOCOCIRUGIA Placa padre: Tipo adquisicion: Entidad"</f>
        <v>Descripcion: MESA PUENTE PARA ALIMENTACION CON DOBLE SOPORTE Estado: Bueno Placa anterior: 000026964 Material: METALICO, ACERO INOX Color: GRIS Referencia:  Observacion: PASAR A TOCOCIRUGIA Placa padre: Tipo adquisicion: Entidad</v>
      </c>
      <c r="G2670" s="5"/>
    </row>
    <row r="2671" spans="1:7" ht="58.5" customHeight="1" x14ac:dyDescent="0.25">
      <c r="A2671" s="5" t="str">
        <f>"H0008553"</f>
        <v>H0008553</v>
      </c>
      <c r="B2671" s="5" t="str">
        <f>"MESA PUENTE (ALIMENTACION) (INSTRUMENTAL)"</f>
        <v>MESA PUENTE (ALIMENTACION) (INSTRUMENTAL)</v>
      </c>
      <c r="C2671" s="6">
        <v>15000</v>
      </c>
      <c r="D2671" s="5"/>
      <c r="E2671" s="5" t="str">
        <f t="shared" si="131"/>
        <v>ACTISALUD-GINECO-OBST-MARIA AUXILIADORA PERTUZ</v>
      </c>
      <c r="F2671" s="5" t="str">
        <f>"Descripcion: MESA PUENTE PARA ALIMENTACION CON DOBLE SOPORTE Estado: Bueno Placa anterior: 000026963 Material: METALICO, ACERO INOX Color: GRIS Referencia:  Observacion: PASAR A TOCOCIRUGIA Placa padre: Tipo adquisicion: Entidad"</f>
        <v>Descripcion: MESA PUENTE PARA ALIMENTACION CON DOBLE SOPORTE Estado: Bueno Placa anterior: 000026963 Material: METALICO, ACERO INOX Color: GRIS Referencia:  Observacion: PASAR A TOCOCIRUGIA Placa padre: Tipo adquisicion: Entidad</v>
      </c>
      <c r="G2671" s="5"/>
    </row>
    <row r="2672" spans="1:7" ht="58.5" customHeight="1" x14ac:dyDescent="0.25">
      <c r="A2672" s="5" t="str">
        <f>"H0008558"</f>
        <v>H0008558</v>
      </c>
      <c r="B2672" s="5" t="str">
        <f>"SILLA RECLINOMATICA"</f>
        <v>SILLA RECLINOMATICA</v>
      </c>
      <c r="C2672" s="6">
        <v>1220000</v>
      </c>
      <c r="D2672" s="5" t="s">
        <v>63</v>
      </c>
      <c r="E2672" s="5" t="str">
        <f t="shared" si="131"/>
        <v>ACTISALUD-GINECO-OBST-MARIA AUXILIADORA PERTUZ</v>
      </c>
      <c r="F2672"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000037947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000037947 Material: TAPIZADO Color: AZUL Referencia:  Observacion:  Placa padre: Tipo adquisicion: Entidad</v>
      </c>
      <c r="G2672" s="5"/>
    </row>
    <row r="2673" spans="1:7" ht="58.5" customHeight="1" x14ac:dyDescent="0.25">
      <c r="A2673" s="5" t="str">
        <f>"H0008559"</f>
        <v>H0008559</v>
      </c>
      <c r="B2673" s="5" t="str">
        <f>"MESA PUENTE (ALIMENTACION) (INSTRUMENTAL)"</f>
        <v>MESA PUENTE (ALIMENTACION) (INSTRUMENTAL)</v>
      </c>
      <c r="C2673" s="6">
        <v>15000</v>
      </c>
      <c r="D2673" s="5"/>
      <c r="E2673" s="5" t="str">
        <f t="shared" si="131"/>
        <v>ACTISALUD-GINECO-OBST-MARIA AUXILIADORA PERTUZ</v>
      </c>
      <c r="F2673" s="5" t="str">
        <f>"Descripcion: MESA PUENTE PARA ALIMENTACION CON DOBLE SOPORTE Estado: Bueno Placa anterior: 000026951 Material: METALICO, ACERO INOX Color: GRIS Referencia:  Observacion: PASAR A TOCOCIRUGIA Placa padre: Tipo adquisicion: Entidad"</f>
        <v>Descripcion: MESA PUENTE PARA ALIMENTACION CON DOBLE SOPORTE Estado: Bueno Placa anterior: 000026951 Material: METALICO, ACERO INOX Color: GRIS Referencia:  Observacion: PASAR A TOCOCIRUGIA Placa padre: Tipo adquisicion: Entidad</v>
      </c>
      <c r="G2673" s="5"/>
    </row>
    <row r="2674" spans="1:7" ht="58.5" customHeight="1" x14ac:dyDescent="0.25">
      <c r="A2674" s="5" t="str">
        <f>"H0008566"</f>
        <v>H0008566</v>
      </c>
      <c r="B2674" s="5" t="str">
        <f>"SILLA PLASTICA CON BRAZOS"</f>
        <v>SILLA PLASTICA CON BRAZOS</v>
      </c>
      <c r="C2674" s="6">
        <v>12240.32</v>
      </c>
      <c r="D2674" s="5"/>
      <c r="E2674" s="5" t="str">
        <f t="shared" si="131"/>
        <v>ACTISALUD-GINECO-OBST-MARIA AUXILIADORA PERTUZ</v>
      </c>
      <c r="F2674" s="5" t="str">
        <f>"Descripcion: SILLA PLASTICA BLANCA CON BRAZOS Estado: Bueno Placa anterior: 000004875 Material: PLASTICO Color: BLANCO Referencia:  Observacion: PASAR A TOCOCIRUGIA Placa padre: Tipo adquisicion: Entidad"</f>
        <v>Descripcion: SILLA PLASTICA BLANCA CON BRAZOS Estado: Bueno Placa anterior: 000004875 Material: PLASTICO Color: BLANCO Referencia:  Observacion: PASAR A TOCOCIRUGIA Placa padre: Tipo adquisicion: Entidad</v>
      </c>
      <c r="G2674" s="5"/>
    </row>
    <row r="2675" spans="1:7" ht="58.5" customHeight="1" x14ac:dyDescent="0.25">
      <c r="A2675" s="5" t="str">
        <f>"H0008567"</f>
        <v>H0008567</v>
      </c>
      <c r="B2675" s="5" t="str">
        <f>"SILLA RECLINOMATICA"</f>
        <v>SILLA RECLINOMATICA</v>
      </c>
      <c r="C2675" s="6">
        <v>1220000</v>
      </c>
      <c r="D2675" s="5" t="s">
        <v>63</v>
      </c>
      <c r="E2675" s="5" t="str">
        <f t="shared" si="131"/>
        <v>ACTISALUD-GINECO-OBST-MARIA AUXILIADORA PERTUZ</v>
      </c>
      <c r="F2675"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000037945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000037945 Material: TAPIZADO Color: AZUL Referencia:  Observacion:  Placa padre: Tipo adquisicion: Entidad</v>
      </c>
      <c r="G2675" s="5"/>
    </row>
    <row r="2676" spans="1:7" ht="58.5" customHeight="1" x14ac:dyDescent="0.25">
      <c r="A2676" s="5" t="str">
        <f>"H0008572"</f>
        <v>H0008572</v>
      </c>
      <c r="B2676" s="5" t="str">
        <f>"MESA PUENTE (ALIMENTACION) (INSTRUMENTAL)"</f>
        <v>MESA PUENTE (ALIMENTACION) (INSTRUMENTAL)</v>
      </c>
      <c r="C2676" s="6">
        <v>15000</v>
      </c>
      <c r="D2676" s="5"/>
      <c r="E2676" s="5" t="str">
        <f t="shared" si="131"/>
        <v>ACTISALUD-GINECO-OBST-MARIA AUXILIADORA PERTUZ</v>
      </c>
      <c r="F2676" s="5" t="str">
        <f>"Descripcion: MESA PUENTE PARA ALIMENTACION CON DOBLE SOPORTE Estado: Bueno Placa anterior: 000057190 Material: METALICO, ACERO INOX Color: GRIS Referencia:  Observacion: PASAR A TOCOCIRUGIA Placa padre: Tipo adquisicion: Entidad"</f>
        <v>Descripcion: MESA PUENTE PARA ALIMENTACION CON DOBLE SOPORTE Estado: Bueno Placa anterior: 000057190 Material: METALICO, ACERO INOX Color: GRIS Referencia:  Observacion: PASAR A TOCOCIRUGIA Placa padre: Tipo adquisicion: Entidad</v>
      </c>
      <c r="G2676" s="5"/>
    </row>
    <row r="2677" spans="1:7" ht="58.5" customHeight="1" x14ac:dyDescent="0.25">
      <c r="A2677" s="5" t="str">
        <f>"H0008573"</f>
        <v>H0008573</v>
      </c>
      <c r="B2677" s="5" t="str">
        <f>"SILLA PLASTICA CON BRAZOS"</f>
        <v>SILLA PLASTICA CON BRAZOS</v>
      </c>
      <c r="C2677" s="6">
        <v>12240.32</v>
      </c>
      <c r="D2677" s="5"/>
      <c r="E2677" s="5" t="str">
        <f t="shared" si="131"/>
        <v>ACTISALUD-GINECO-OBST-MARIA AUXILIADORA PERTUZ</v>
      </c>
      <c r="F2677" s="5" t="str">
        <f>"Descripcion: SILLA PLASTICA CON BRAZOS Estado: Bueno Placa anterior: 000004876 Material: PLASTICO Color: BLANCO Referencia:  Observacion: PASAR A TOCOCIRUGIA Placa padre: Tipo adquisicion: Entidad"</f>
        <v>Descripcion: SILLA PLASTICA CON BRAZOS Estado: Bueno Placa anterior: 000004876 Material: PLASTICO Color: BLANCO Referencia:  Observacion: PASAR A TOCOCIRUGIA Placa padre: Tipo adquisicion: Entidad</v>
      </c>
      <c r="G2677" s="5"/>
    </row>
    <row r="2678" spans="1:7" ht="58.5" customHeight="1" x14ac:dyDescent="0.25">
      <c r="A2678" s="5" t="str">
        <f>"H0008574"</f>
        <v>H0008574</v>
      </c>
      <c r="B2678" s="5" t="str">
        <f>"SILLA RECLINOMATICA"</f>
        <v>SILLA RECLINOMATICA</v>
      </c>
      <c r="C2678" s="6">
        <v>1220000</v>
      </c>
      <c r="D2678" s="5" t="s">
        <v>63</v>
      </c>
      <c r="E2678" s="5" t="str">
        <f t="shared" si="131"/>
        <v>ACTISALUD-GINECO-OBST-MARIA AUXILIADORA PERTUZ</v>
      </c>
      <c r="F2678"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000037944 Material: TAPIZADO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000037944 Material: TAPIZADO Color: AZUL Referencia:  Observacion:  Placa padre: Tipo adquisicion: Entidad</v>
      </c>
      <c r="G2678" s="5"/>
    </row>
    <row r="2679" spans="1:7" ht="58.5" customHeight="1" x14ac:dyDescent="0.25">
      <c r="A2679" s="5" t="str">
        <f>"H0008576"</f>
        <v>H0008576</v>
      </c>
      <c r="B2679" s="5" t="str">
        <f>"GABINETE CONTRA INCENDIO"</f>
        <v>GABINETE CONTRA INCENDIO</v>
      </c>
      <c r="C2679" s="6">
        <v>171000</v>
      </c>
      <c r="D2679" s="5"/>
      <c r="E2679" s="5" t="str">
        <f t="shared" si="131"/>
        <v>ACTISALUD-GINECO-OBST-MARIA AUXILIADORA PERTUZ</v>
      </c>
      <c r="F2679" s="5" t="str">
        <f>"Descripcion: GABINETE CONTRA INCENDIO: CONTIENE EXTINTOR ROJO, MANGUERA Y HACHA Estado: Bueno Placa anterior: 000019087 Material: METALICO Color: ROJO Referencia:  Observacion:  Placa padre: Tipo adquisicion: Entidad"</f>
        <v>Descripcion: GABINETE CONTRA INCENDIO: CONTIENE EXTINTOR ROJO, MANGUERA Y HACHA Estado: Bueno Placa anterior: 000019087 Material: METALICO Color: ROJO Referencia:  Observacion:  Placa padre: Tipo adquisicion: Entidad</v>
      </c>
      <c r="G2679" s="5"/>
    </row>
    <row r="2680" spans="1:7" ht="58.5" customHeight="1" x14ac:dyDescent="0.25">
      <c r="A2680" s="5" t="str">
        <f>"H0008577"</f>
        <v>H0008577</v>
      </c>
      <c r="B2680" s="5" t="str">
        <f t="shared" ref="B2680:B2685" si="132">"PATO (COPROLOGICO) MUJER"</f>
        <v>PATO (COPROLOGICO) MUJER</v>
      </c>
      <c r="C2680" s="6">
        <v>43881.91</v>
      </c>
      <c r="D2680" s="5"/>
      <c r="E2680" s="5" t="str">
        <f t="shared" si="131"/>
        <v>ACTISALUD-GINECO-OBST-MARIA AUXILIADORA PERTUZ</v>
      </c>
      <c r="F2680" s="5" t="str">
        <f>"Descripcion: PATO COPROLOGICO Estado: Bueno Placa anterior: 000005571 Material: ACERO INOXIDABLE Color:  Referencia:  Observacion:  Placa padre: Tipo adquisicion: Entidad"</f>
        <v>Descripcion: PATO COPROLOGICO Estado: Bueno Placa anterior: 000005571 Material: ACERO INOXIDABLE Color:  Referencia:  Observacion:  Placa padre: Tipo adquisicion: Entidad</v>
      </c>
      <c r="G2680" s="5"/>
    </row>
    <row r="2681" spans="1:7" ht="58.5" customHeight="1" x14ac:dyDescent="0.25">
      <c r="A2681" s="5" t="str">
        <f>"H0008578"</f>
        <v>H0008578</v>
      </c>
      <c r="B2681" s="5" t="str">
        <f t="shared" si="132"/>
        <v>PATO (COPROLOGICO) MUJER</v>
      </c>
      <c r="C2681" s="6">
        <v>43881.91</v>
      </c>
      <c r="D2681" s="5"/>
      <c r="E2681" s="5" t="str">
        <f t="shared" si="131"/>
        <v>ACTISALUD-GINECO-OBST-MARIA AUXILIADORA PERTUZ</v>
      </c>
      <c r="F2681" s="5" t="str">
        <f>"Descripcion: PATO COPROLOGICO Estado: Bueno Placa anterior: 000005303 Material: ACERO INOXIDABLE Color:  Referencia:  Observacion: PASAR A TOCOCIRUGIA Placa padre: Tipo adquisicion: Entidad"</f>
        <v>Descripcion: PATO COPROLOGICO Estado: Bueno Placa anterior: 000005303 Material: ACERO INOXIDABLE Color:  Referencia:  Observacion: PASAR A TOCOCIRUGIA Placa padre: Tipo adquisicion: Entidad</v>
      </c>
      <c r="G2681" s="5"/>
    </row>
    <row r="2682" spans="1:7" ht="58.5" customHeight="1" x14ac:dyDescent="0.25">
      <c r="A2682" s="5" t="str">
        <f>"H0008579"</f>
        <v>H0008579</v>
      </c>
      <c r="B2682" s="5" t="str">
        <f t="shared" si="132"/>
        <v>PATO (COPROLOGICO) MUJER</v>
      </c>
      <c r="C2682" s="6">
        <v>43881.91</v>
      </c>
      <c r="D2682" s="5"/>
      <c r="E2682" s="5" t="str">
        <f t="shared" si="131"/>
        <v>ACTISALUD-GINECO-OBST-MARIA AUXILIADORA PERTUZ</v>
      </c>
      <c r="F2682" s="5" t="str">
        <f>"Descripcion: PATO COPROLOGICO Estado: Bueno Placa anterior: 000005367 Material: ACERO INOXIDABLE Color:  Referencia:  Observacion: PASAR A TOCOCIRUGIA Placa padre: Tipo adquisicion: Entidad"</f>
        <v>Descripcion: PATO COPROLOGICO Estado: Bueno Placa anterior: 000005367 Material: ACERO INOXIDABLE Color:  Referencia:  Observacion: PASAR A TOCOCIRUGIA Placa padre: Tipo adquisicion: Entidad</v>
      </c>
      <c r="G2682" s="5"/>
    </row>
    <row r="2683" spans="1:7" ht="58.5" customHeight="1" x14ac:dyDescent="0.25">
      <c r="A2683" s="5" t="str">
        <f>"H0008580"</f>
        <v>H0008580</v>
      </c>
      <c r="B2683" s="5" t="str">
        <f t="shared" si="132"/>
        <v>PATO (COPROLOGICO) MUJER</v>
      </c>
      <c r="C2683" s="6">
        <v>43881.91</v>
      </c>
      <c r="D2683" s="5"/>
      <c r="E2683" s="5" t="str">
        <f t="shared" si="131"/>
        <v>ACTISALUD-GINECO-OBST-MARIA AUXILIADORA PERTUZ</v>
      </c>
      <c r="F2683" s="5" t="str">
        <f>"Descripcion: PATO COPROLOGICO Estado: Bueno Placa anterior: 000005570 Material: ACERO INOXIDABLE Color:  Referencia:  Observacion: PASAR A TOCOCIRUGIA Placa padre: Tipo adquisicion: Entidad"</f>
        <v>Descripcion: PATO COPROLOGICO Estado: Bueno Placa anterior: 000005570 Material: ACERO INOXIDABLE Color:  Referencia:  Observacion: PASAR A TOCOCIRUGIA Placa padre: Tipo adquisicion: Entidad</v>
      </c>
      <c r="G2683" s="5"/>
    </row>
    <row r="2684" spans="1:7" ht="58.5" customHeight="1" x14ac:dyDescent="0.25">
      <c r="A2684" s="5" t="str">
        <f>"H0008581"</f>
        <v>H0008581</v>
      </c>
      <c r="B2684" s="5" t="str">
        <f t="shared" si="132"/>
        <v>PATO (COPROLOGICO) MUJER</v>
      </c>
      <c r="C2684" s="6">
        <v>47823</v>
      </c>
      <c r="D2684" s="5"/>
      <c r="E2684" s="5" t="str">
        <f t="shared" si="131"/>
        <v>ACTISALUD-GINECO-OBST-MARIA AUXILIADORA PERTUZ</v>
      </c>
      <c r="F2684" s="5" t="str">
        <f>"Descripcion: PATO COPROLOGICO Estado: Bueno Placa anterior: 000019631 Material: ACERO INOXIDABLE Color:  Referencia:  Observacion:  Placa padre: Tipo adquisicion: Entidad"</f>
        <v>Descripcion: PATO COPROLOGICO Estado: Bueno Placa anterior: 000019631 Material: ACERO INOXIDABLE Color:  Referencia:  Observacion:  Placa padre: Tipo adquisicion: Entidad</v>
      </c>
      <c r="G2684" s="5"/>
    </row>
    <row r="2685" spans="1:7" ht="58.5" customHeight="1" x14ac:dyDescent="0.25">
      <c r="A2685" s="5" t="str">
        <f>"H0008582"</f>
        <v>H0008582</v>
      </c>
      <c r="B2685" s="5" t="str">
        <f t="shared" si="132"/>
        <v>PATO (COPROLOGICO) MUJER</v>
      </c>
      <c r="C2685" s="6">
        <v>43881.91</v>
      </c>
      <c r="D2685" s="5"/>
      <c r="E2685" s="5" t="str">
        <f t="shared" si="131"/>
        <v>ACTISALUD-GINECO-OBST-MARIA AUXILIADORA PERTUZ</v>
      </c>
      <c r="F2685" s="5" t="str">
        <f>"Descripcion: PATO COPROLOGICO Estado: Bueno Placa anterior: 000005573 Material: ACERO INOXIDABLE Color:  Referencia:  Observacion: PASAR A TOCOCIRUGIA Placa padre: Tipo adquisicion: Entidad"</f>
        <v>Descripcion: PATO COPROLOGICO Estado: Bueno Placa anterior: 000005573 Material: ACERO INOXIDABLE Color:  Referencia:  Observacion: PASAR A TOCOCIRUGIA Placa padre: Tipo adquisicion: Entidad</v>
      </c>
      <c r="G2685" s="5"/>
    </row>
    <row r="2686" spans="1:7" ht="58.5" customHeight="1" x14ac:dyDescent="0.25">
      <c r="A2686" s="5" t="str">
        <f>"H0008583"</f>
        <v>H0008583</v>
      </c>
      <c r="B2686" s="5" t="str">
        <f>"GABINETE CONTRA INCENDIO"</f>
        <v>GABINETE CONTRA INCENDIO</v>
      </c>
      <c r="C2686" s="6">
        <v>171000</v>
      </c>
      <c r="D2686" s="5"/>
      <c r="E2686" s="5" t="str">
        <f t="shared" si="131"/>
        <v>ACTISALUD-GINECO-OBST-MARIA AUXILIADORA PERTUZ</v>
      </c>
      <c r="F2686" s="5" t="str">
        <f>"Descripcion: GABINETE CONTRA INCENDIO: CONTIENE EXTINTOR ROJO, MANGUERA Y HACHA Estado: Bueno Placa anterior: 000019088 Material: METALICO Color: ROJO Referencia:  Observacion:  Placa padre: Tipo adquisicion: Entidad"</f>
        <v>Descripcion: GABINETE CONTRA INCENDIO: CONTIENE EXTINTOR ROJO, MANGUERA Y HACHA Estado: Bueno Placa anterior: 000019088 Material: METALICO Color: ROJO Referencia:  Observacion:  Placa padre: Tipo adquisicion: Entidad</v>
      </c>
      <c r="G2686" s="5"/>
    </row>
    <row r="2687" spans="1:7" ht="58.5" customHeight="1" x14ac:dyDescent="0.25">
      <c r="A2687" s="5" t="str">
        <f>"H0008586"</f>
        <v>H0008586</v>
      </c>
      <c r="B2687" s="5" t="str">
        <f>"ESCRITORIO METALICO 3 GAVETAS"</f>
        <v>ESCRITORIO METALICO 3 GAVETAS</v>
      </c>
      <c r="C2687" s="6">
        <v>21053.75</v>
      </c>
      <c r="D2687" s="5"/>
      <c r="E2687" s="5" t="str">
        <f t="shared" si="131"/>
        <v>ACTISALUD-GINECO-OBST-MARIA AUXILIADORA PERTUZ</v>
      </c>
      <c r="F2687" s="5" t="str">
        <f>"Descripcion: ESCRITORIO METALICO DE 3 GAVETAS Estado: Bueno Placa anterior: 000005407 Material: METALICO CON MESON EN FORMICA Color: MARRON CON GRIS Referencia:  Observacion: PASAR A TOCOCIRUGIA Placa padre: Tipo adquisicion: Entidad"</f>
        <v>Descripcion: ESCRITORIO METALICO DE 3 GAVETAS Estado: Bueno Placa anterior: 000005407 Material: METALICO CON MESON EN FORMICA Color: MARRON CON GRIS Referencia:  Observacion: PASAR A TOCOCIRUGIA Placa padre: Tipo adquisicion: Entidad</v>
      </c>
      <c r="G2687" s="5"/>
    </row>
    <row r="2688" spans="1:7" ht="58.5" customHeight="1" x14ac:dyDescent="0.25">
      <c r="A2688" s="5" t="str">
        <f>"H0008590"</f>
        <v>H0008590</v>
      </c>
      <c r="B2688" s="5" t="str">
        <f>"VENTILADOR DE PARED"</f>
        <v>VENTILADOR DE PARED</v>
      </c>
      <c r="C2688" s="6">
        <v>74000</v>
      </c>
      <c r="D2688" s="5" t="s">
        <v>53</v>
      </c>
      <c r="E2688" s="5" t="str">
        <f t="shared" si="131"/>
        <v>ACTISALUD-GINECO-OBST-MARIA AUXILIADORA PERTUZ</v>
      </c>
      <c r="F2688" s="5" t="str">
        <f>"Descripcion: VENTILADOR DE PAREDSAMURAI (NO FUNCIONA) Estado: Malo Placa anterior: 000032567 Material: PLASTICO Color: BLANCO Referencia:  Observacion: PASAR A TOCOCIRUGIA Placa padre: Tipo adquisicion: Entidad"</f>
        <v>Descripcion: VENTILADOR DE PAREDSAMURAI (NO FUNCIONA) Estado: Malo Placa anterior: 000032567 Material: PLASTICO Color: BLANCO Referencia:  Observacion: PASAR A TOCOCIRUGIA Placa padre: Tipo adquisicion: Entidad</v>
      </c>
      <c r="G2688" s="5" t="str">
        <f>"AIR PROTEC PLUS"</f>
        <v>AIR PROTEC PLUS</v>
      </c>
    </row>
    <row r="2689" spans="1:7" ht="58.5" customHeight="1" x14ac:dyDescent="0.25">
      <c r="A2689" s="5" t="str">
        <f>"H0008591"</f>
        <v>H0008591</v>
      </c>
      <c r="B2689" s="5" t="str">
        <f>"SILLA PLASTICA CON BRAZOS"</f>
        <v>SILLA PLASTICA CON BRAZOS</v>
      </c>
      <c r="C2689" s="6">
        <v>12240.32</v>
      </c>
      <c r="D2689" s="5"/>
      <c r="E2689" s="5" t="str">
        <f t="shared" si="131"/>
        <v>ACTISALUD-GINECO-OBST-MARIA AUXILIADORA PERTUZ</v>
      </c>
      <c r="F2689" s="5" t="str">
        <f>"Descripcion: SILLA PLASTICA CON BRAZOS Estado: Bueno Placa anterior: 000004882 Material: PLASTICO Color: BLANCO Referencia:  Observacion: PLACA ANTERIOR NO ENCONTRADA 000012211  PASAR A TOCOCIRUGIA Placa padre: Tipo adquisicion: Entidad"</f>
        <v>Descripcion: SILLA PLASTICA CON BRAZOS Estado: Bueno Placa anterior: 000004882 Material: PLASTICO Color: BLANCO Referencia:  Observacion: PLACA ANTERIOR NO ENCONTRADA 000012211  PASAR A TOCOCIRUGIA Placa padre: Tipo adquisicion: Entidad</v>
      </c>
      <c r="G2689" s="5"/>
    </row>
    <row r="2690" spans="1:7" ht="58.5" customHeight="1" x14ac:dyDescent="0.25">
      <c r="A2690" s="5" t="str">
        <f>"H0008595"</f>
        <v>H0008595</v>
      </c>
      <c r="B2690" s="5" t="str">
        <f>"SILLA TANDEM DE 3 PUESTOS"</f>
        <v>SILLA TANDEM DE 3 PUESTOS</v>
      </c>
      <c r="C2690" s="6">
        <v>10780</v>
      </c>
      <c r="D2690" s="5"/>
      <c r="E2690" s="5" t="str">
        <f t="shared" si="131"/>
        <v>ACTISALUD-GINECO-OBST-MARIA AUXILIADORA PERTUZ</v>
      </c>
      <c r="F2690" s="5" t="str">
        <f>"Descripcion: SILLA TANDEM DE 3 PUESTOS Estado: Bueno Placa anterior: 000005405 Material: METALICA CON ASIENTOS PLASTICOS Color: VERDE Referencia:  Observacion: PASAR A TOCOCIRUGIA Placa padre: Tipo adquisicion: Entidad"</f>
        <v>Descripcion: SILLA TANDEM DE 3 PUESTOS Estado: Bueno Placa anterior: 000005405 Material: METALICA CON ASIENTOS PLASTICOS Color: VERDE Referencia:  Observacion: PASAR A TOCOCIRUGIA Placa padre: Tipo adquisicion: Entidad</v>
      </c>
      <c r="G2690" s="5"/>
    </row>
    <row r="2691" spans="1:7" ht="58.5" customHeight="1" x14ac:dyDescent="0.25">
      <c r="A2691" s="5" t="str">
        <f>"H0008601"</f>
        <v>H0008601</v>
      </c>
      <c r="B2691" s="5" t="str">
        <f>"LOCKER DE 6 COMPARTIMIENTOS"</f>
        <v>LOCKER DE 6 COMPARTIMIENTOS</v>
      </c>
      <c r="C2691" s="6">
        <v>585988</v>
      </c>
      <c r="D2691" s="5" t="s">
        <v>60</v>
      </c>
      <c r="E2691" s="5" t="str">
        <f t="shared" si="131"/>
        <v>ACTISALUD-GINECO-OBST-MARIA AUXILIADORA PERTUZ</v>
      </c>
      <c r="F2691" s="5" t="str">
        <f>"Descripcion: LOCKER DE LAMINA CALIBRE 22 C/6 CASILLEROS, PORTACANDADO, MANIJA PROFUNDIZADA MEDIDAS 1.80X1.90 DE ANCHO X 35 DE FONDO DE PINTURA Estado: Bueno Placa anterior: 000029182 Material: METALICO Color: GRIS Referencia:  Observacion:  Placa padre: T"&amp; "ipo adquisicion: Entidad"</f>
        <v>Descripcion: LOCKER DE LAMINA CALIBRE 22 C/6 CASILLEROS, PORTACANDADO, MANIJA PROFUNDIZADA MEDIDAS 1.80X1.90 DE ANCHO X 35 DE FONDO DE PINTURA Estado: Bueno Placa anterior: 000029182 Material: METALICO Color: GRIS Referencia:  Observacion:  Placa padre: Tipo adquisicion: Entidad</v>
      </c>
      <c r="G2691" s="5"/>
    </row>
    <row r="2692" spans="1:7" ht="58.5" customHeight="1" x14ac:dyDescent="0.25">
      <c r="A2692" s="5" t="str">
        <f>"H0009545"</f>
        <v>H0009545</v>
      </c>
      <c r="B2692" s="5" t="str">
        <f>"ESTANTE METALICO 6 ENTREPAÑOS"</f>
        <v>ESTANTE METALICO 6 ENTREPAÑOS</v>
      </c>
      <c r="C2692" s="6">
        <v>22189.18</v>
      </c>
      <c r="D2692" s="5"/>
      <c r="E2692" s="5" t="str">
        <f t="shared" si="131"/>
        <v>ACTISALUD-GINECO-OBST-MARIA AUXILIADORA PERTUZ</v>
      </c>
      <c r="F2692" s="5" t="str">
        <f>"Descripcion: ESTANTE METALICO DOBLE DE 6 ENTREPAÑOS 197X186X41 CM. Estado: Bueno Placa anterior: 000005548 Material: METALICO Color: GRIS Referencia:  Observacion: PLACA ANTERIOR ENCONTRADA EN ESTANTE 000005548  PASAR A TOCOCIRUGIA Placa padre: Tipo adqui"&amp; "sicion: Entidad"</f>
        <v>Descripcion: ESTANTE METALICO DOBLE DE 6 ENTREPAÑOS 197X186X41 CM. Estado: Bueno Placa anterior: 000005548 Material: METALICO Color: GRIS Referencia:  Observacion: PLACA ANTERIOR ENCONTRADA EN ESTANTE 000005548  PASAR A TOCOCIRUGIA Placa padre: Tipo adquisicion: Entidad</v>
      </c>
      <c r="G2692" s="5"/>
    </row>
    <row r="2693" spans="1:7" ht="58.5" customHeight="1" x14ac:dyDescent="0.25">
      <c r="A2693" s="5" t="str">
        <f>"H0009546"</f>
        <v>H0009546</v>
      </c>
      <c r="B2693" s="5" t="str">
        <f>"ESTANTE METALICO 6 ENTREPAÑOS"</f>
        <v>ESTANTE METALICO 6 ENTREPAÑOS</v>
      </c>
      <c r="C2693" s="6">
        <v>22189.18</v>
      </c>
      <c r="D2693" s="5"/>
      <c r="E2693" s="5" t="str">
        <f t="shared" si="131"/>
        <v>ACTISALUD-GINECO-OBST-MARIA AUXILIADORA PERTUZ</v>
      </c>
      <c r="F2693" s="5" t="str">
        <f>"Descripcion: ESTANTE METALICO DE 6 ENTREPAÑOS 197X91X32 CM. Estado: Bueno Placa anterior: 000005549 Material: METALICO Color: GRIS Referencia:  Observacion: PASAR A TOCOCIRUGIA Placa padre: Tipo adquisicion: Entidad"</f>
        <v>Descripcion: ESTANTE METALICO DE 6 ENTREPAÑOS 197X91X32 CM. Estado: Bueno Placa anterior: 000005549 Material: METALICO Color: GRIS Referencia:  Observacion: PASAR A TOCOCIRUGIA Placa padre: Tipo adquisicion: Entidad</v>
      </c>
      <c r="G2693" s="5"/>
    </row>
    <row r="2694" spans="1:7" ht="58.5" customHeight="1" x14ac:dyDescent="0.25">
      <c r="A2694" s="5" t="str">
        <f>"H0009548"</f>
        <v>H0009548</v>
      </c>
      <c r="B2694" s="5" t="str">
        <f t="shared" ref="B2694:B2699" si="133">"PATO (COPROLOGICO) MUJER"</f>
        <v>PATO (COPROLOGICO) MUJER</v>
      </c>
      <c r="C2694" s="6">
        <v>43881.91</v>
      </c>
      <c r="D2694" s="5"/>
      <c r="E2694" s="5" t="str">
        <f t="shared" si="131"/>
        <v>ACTISALUD-GINECO-OBST-MARIA AUXILIADORA PERTUZ</v>
      </c>
      <c r="F2694" s="5" t="str">
        <f>"Descripcion: PATO COPROLOGICO EN ACERO INOXIDABLE Estado: Excelente Placa anterior: 000005553 Material: ACERO Color: ACERO Referencia:  Observacion:  Placa padre: Tipo adquisicion: Entidad"</f>
        <v>Descripcion: PATO COPROLOGICO EN ACERO INOXIDABLE Estado: Excelente Placa anterior: 000005553 Material: ACERO Color: ACERO Referencia:  Observacion:  Placa padre: Tipo adquisicion: Entidad</v>
      </c>
      <c r="G2694" s="5"/>
    </row>
    <row r="2695" spans="1:7" ht="58.5" customHeight="1" x14ac:dyDescent="0.25">
      <c r="A2695" s="5" t="str">
        <f>"H0009549"</f>
        <v>H0009549</v>
      </c>
      <c r="B2695" s="5" t="str">
        <f t="shared" si="133"/>
        <v>PATO (COPROLOGICO) MUJER</v>
      </c>
      <c r="C2695" s="6">
        <v>43881.91</v>
      </c>
      <c r="D2695" s="5"/>
      <c r="E2695" s="5" t="str">
        <f t="shared" si="131"/>
        <v>ACTISALUD-GINECO-OBST-MARIA AUXILIADORA PERTUZ</v>
      </c>
      <c r="F2695" s="5" t="str">
        <f>"Descripcion: PATO COPROLOGICO EN ACERO INOXIDABLE Estado: Excelente Placa anterior: 000005552 Material: ACERO Color: ACERO Referencia:  Observacion:  Placa padre: Tipo adquisicion: Entidad"</f>
        <v>Descripcion: PATO COPROLOGICO EN ACERO INOXIDABLE Estado: Excelente Placa anterior: 000005552 Material: ACERO Color: ACERO Referencia:  Observacion:  Placa padre: Tipo adquisicion: Entidad</v>
      </c>
      <c r="G2695" s="5"/>
    </row>
    <row r="2696" spans="1:7" ht="58.5" customHeight="1" x14ac:dyDescent="0.25">
      <c r="A2696" s="5" t="str">
        <f>"H0009550"</f>
        <v>H0009550</v>
      </c>
      <c r="B2696" s="5" t="str">
        <f t="shared" si="133"/>
        <v>PATO (COPROLOGICO) MUJER</v>
      </c>
      <c r="C2696" s="6">
        <v>43881.91</v>
      </c>
      <c r="D2696" s="5"/>
      <c r="E2696" s="5" t="str">
        <f t="shared" si="131"/>
        <v>ACTISALUD-GINECO-OBST-MARIA AUXILIADORA PERTUZ</v>
      </c>
      <c r="F2696" s="5" t="str">
        <f>"Descripcion: PATO COPROLOGICO EN ACERO INOXIDABLE Estado: Excelente Placa anterior: 000005554 Material: ACERO Color: ACERO Referencia:  Observacion:  Placa padre: Tipo adquisicion: Entidad"</f>
        <v>Descripcion: PATO COPROLOGICO EN ACERO INOXIDABLE Estado: Excelente Placa anterior: 000005554 Material: ACERO Color: ACERO Referencia:  Observacion:  Placa padre: Tipo adquisicion: Entidad</v>
      </c>
      <c r="G2696" s="5"/>
    </row>
    <row r="2697" spans="1:7" ht="58.5" customHeight="1" x14ac:dyDescent="0.25">
      <c r="A2697" s="5" t="str">
        <f>"H0009551"</f>
        <v>H0009551</v>
      </c>
      <c r="B2697" s="5" t="str">
        <f t="shared" si="133"/>
        <v>PATO (COPROLOGICO) MUJER</v>
      </c>
      <c r="C2697" s="6">
        <v>43881.91</v>
      </c>
      <c r="D2697" s="5"/>
      <c r="E2697" s="5" t="str">
        <f t="shared" si="131"/>
        <v>ACTISALUD-GINECO-OBST-MARIA AUXILIADORA PERTUZ</v>
      </c>
      <c r="F2697" s="5" t="str">
        <f>"Descripcion: PATO COPROLOGICO EN ACERO INOXIDABLE Estado: Excelente Placa anterior: 000005656 Material: ACERO Color: ACERO Referencia:  Observacion: PASAR A TOCOCIRUGIA Placa padre: Tipo adquisicion: Entidad"</f>
        <v>Descripcion: PATO COPROLOGICO EN ACERO INOXIDABLE Estado: Excelente Placa anterior: 000005656 Material: ACERO Color: ACERO Referencia:  Observacion: PASAR A TOCOCIRUGIA Placa padre: Tipo adquisicion: Entidad</v>
      </c>
      <c r="G2697" s="5"/>
    </row>
    <row r="2698" spans="1:7" ht="58.5" customHeight="1" x14ac:dyDescent="0.25">
      <c r="A2698" s="5" t="str">
        <f>"H0009553"</f>
        <v>H0009553</v>
      </c>
      <c r="B2698" s="5" t="str">
        <f t="shared" si="133"/>
        <v>PATO (COPROLOGICO) MUJER</v>
      </c>
      <c r="C2698" s="6">
        <v>43881.91</v>
      </c>
      <c r="D2698" s="5"/>
      <c r="E2698" s="5" t="str">
        <f t="shared" si="131"/>
        <v>ACTISALUD-GINECO-OBST-MARIA AUXILIADORA PERTUZ</v>
      </c>
      <c r="F2698" s="5" t="str">
        <f>"Descripcion: PATO COPROLOGICO EN ACERO INOXIDABLE Estado: Excelente Placa anterior: 000005572 Material: ACERO Color: ACERO Referencia:  Observacion: PASAR A TOCOCIRUGIA Placa padre: Tipo adquisicion: Entidad"</f>
        <v>Descripcion: PATO COPROLOGICO EN ACERO INOXIDABLE Estado: Excelente Placa anterior: 000005572 Material: ACERO Color: ACERO Referencia:  Observacion: PASAR A TOCOCIRUGIA Placa padre: Tipo adquisicion: Entidad</v>
      </c>
      <c r="G2698" s="5"/>
    </row>
    <row r="2699" spans="1:7" ht="58.5" customHeight="1" x14ac:dyDescent="0.25">
      <c r="A2699" s="5" t="str">
        <f>"H0009554"</f>
        <v>H0009554</v>
      </c>
      <c r="B2699" s="5" t="str">
        <f t="shared" si="133"/>
        <v>PATO (COPROLOGICO) MUJER</v>
      </c>
      <c r="C2699" s="6">
        <v>43881.91</v>
      </c>
      <c r="D2699" s="5"/>
      <c r="E2699" s="5" t="str">
        <f t="shared" si="131"/>
        <v>ACTISALUD-GINECO-OBST-MARIA AUXILIADORA PERTUZ</v>
      </c>
      <c r="F2699" s="5" t="str">
        <f>"Descripcion: PATO COPROLOGICO EN ACERO INOXIDABLE Estado: Excelente Placa anterior: 000005556 Material: ACERO Color: ACERO Referencia:  Observacion:  Placa padre: Tipo adquisicion: Entidad"</f>
        <v>Descripcion: PATO COPROLOGICO EN ACERO INOXIDABLE Estado: Excelente Placa anterior: 000005556 Material: ACERO Color: ACERO Referencia:  Observacion:  Placa padre: Tipo adquisicion: Entidad</v>
      </c>
      <c r="G2699" s="5"/>
    </row>
    <row r="2700" spans="1:7" ht="58.5" customHeight="1" x14ac:dyDescent="0.25">
      <c r="A2700" s="5" t="str">
        <f>"H0009557"</f>
        <v>H0009557</v>
      </c>
      <c r="B2700" s="5" t="str">
        <f>"CUBETA DE ACERO INOXIDABLE CON TAPA MEDIANA"</f>
        <v>CUBETA DE ACERO INOXIDABLE CON TAPA MEDIANA</v>
      </c>
      <c r="C2700" s="6">
        <v>20020</v>
      </c>
      <c r="D2700" s="5"/>
      <c r="E2700" s="5" t="str">
        <f t="shared" si="131"/>
        <v>ACTISALUD-GINECO-OBST-MARIA AUXILIADORA PERTUZ</v>
      </c>
      <c r="F2700" s="5" t="str">
        <f>"Descripcion: CUBETA DE ACERO INOXIDABLE CON TAPA MEDIANA Estado: Bueno Placa anterior: 000005421 Material: ACERO Color: ACERO Referencia:  Observacion: TAPA DE CUBETA NO TIENE MANIJA  PASAR A TOCOCIRUGIA Placa padre: Tipo adquisicion: Entidad"</f>
        <v>Descripcion: CUBETA DE ACERO INOXIDABLE CON TAPA MEDIANA Estado: Bueno Placa anterior: 000005421 Material: ACERO Color: ACERO Referencia:  Observacion: TAPA DE CUBETA NO TIENE MANIJA  PASAR A TOCOCIRUGIA Placa padre: Tipo adquisicion: Entidad</v>
      </c>
      <c r="G2700" s="5"/>
    </row>
    <row r="2701" spans="1:7" ht="58.5" customHeight="1" x14ac:dyDescent="0.25">
      <c r="A2701" s="5" t="str">
        <f>"H0009754"</f>
        <v>H0009754</v>
      </c>
      <c r="B2701" s="5" t="str">
        <f>"LOCKER DE 6 COMPARTIMIENTOS"</f>
        <v>LOCKER DE 6 COMPARTIMIENTOS</v>
      </c>
      <c r="C2701" s="6">
        <v>585988</v>
      </c>
      <c r="D2701" s="5" t="s">
        <v>60</v>
      </c>
      <c r="E2701" s="5" t="str">
        <f t="shared" ref="E2701:E2764" si="134">"ACTISALUD-GINECO-OBST-MARIA AUXILIADORA PERTUZ"</f>
        <v>ACTISALUD-GINECO-OBST-MARIA AUXILIADORA PERTUZ</v>
      </c>
      <c r="F2701" s="5" t="str">
        <f>"Descripcion: LOCKER DE LAMINA CALIBRE 22 C/6 CASILLEROS, PORTACANDADO, MANIJA PROFUNDIZADA MEDIDAS 180X60 DE ANCHO X 35 DE FONDO DE PINTURA Estado: Bueno Placa anterior: 000029179 Material: METALICO Color: GRIS Referencia:  Observacion:  Placa padre: Tipo"&amp; " adquisicion: Entidad"</f>
        <v>Descripcion: LOCKER DE LAMINA CALIBRE 22 C/6 CASILLEROS, PORTACANDADO, MANIJA PROFUNDIZADA MEDIDAS 180X60 DE ANCHO X 35 DE FONDO DE PINTURA Estado: Bueno Placa anterior: 000029179 Material: METALICO Color: GRIS Referencia:  Observacion:  Placa padre: Tipo adquisicion: Entidad</v>
      </c>
      <c r="G2701" s="5"/>
    </row>
    <row r="2702" spans="1:7" ht="58.5" customHeight="1" x14ac:dyDescent="0.25">
      <c r="A2702" s="5" t="str">
        <f>"H0009756"</f>
        <v>H0009756</v>
      </c>
      <c r="B2702" s="5" t="str">
        <f>"MESA DE MADERA PARA COMPUTADOR"</f>
        <v>MESA DE MADERA PARA COMPUTADOR</v>
      </c>
      <c r="C2702" s="6">
        <v>194717.6</v>
      </c>
      <c r="D2702" s="5"/>
      <c r="E2702" s="5" t="str">
        <f t="shared" si="134"/>
        <v>ACTISALUD-GINECO-OBST-MARIA AUXILIADORA PERTUZ</v>
      </c>
      <c r="F2702" s="5" t="str">
        <f>"Descripcion: MESA PARA COMPUTADOR EN MADERA Estado: Bueno Placa anterior: 000004853 Material: MADERA Color:  Referencia:  Observacion:  Placa padre: Tipo adquisicion: Entidad"</f>
        <v>Descripcion: MESA PARA COMPUTADOR EN MADERA Estado: Bueno Placa anterior: 000004853 Material: MADERA Color:  Referencia:  Observacion:  Placa padre: Tipo adquisicion: Entidad</v>
      </c>
      <c r="G2702" s="5"/>
    </row>
    <row r="2703" spans="1:7" ht="58.5" customHeight="1" x14ac:dyDescent="0.25">
      <c r="A2703" s="5" t="str">
        <f>"H0009757"</f>
        <v>H0009757</v>
      </c>
      <c r="B2703" s="5" t="str">
        <f>"SILLA INTERLOCUTORA (FIJA) SIN BRAZOS"</f>
        <v>SILLA INTERLOCUTORA (FIJA) SIN BRAZOS</v>
      </c>
      <c r="C2703" s="6">
        <v>9596.7000000000007</v>
      </c>
      <c r="D2703" s="5"/>
      <c r="E2703" s="5" t="str">
        <f t="shared" si="134"/>
        <v>ACTISALUD-GINECO-OBST-MARIA AUXILIADORA PERTUZ</v>
      </c>
      <c r="F2703" s="5" t="str">
        <f>"Descripcion: SILLA DE MADERATAPIZADA EN CUERO MARRON Estado: Bueno Placa anterior: 000000201 Material: MADERA Color: MARRON Referencia:  Observacion:  Placa padre: Tipo adquisicion: Entidad"</f>
        <v>Descripcion: SILLA DE MADERATAPIZADA EN CUERO MARRON Estado: Bueno Placa anterior: 000000201 Material: MADERA Color: MARRON Referencia:  Observacion:  Placa padre: Tipo adquisicion: Entidad</v>
      </c>
      <c r="G2703" s="5"/>
    </row>
    <row r="2704" spans="1:7" ht="58.5" customHeight="1" x14ac:dyDescent="0.25">
      <c r="A2704" s="5" t="str">
        <f>"H0009774"</f>
        <v>H0009774</v>
      </c>
      <c r="B2704" s="5" t="str">
        <f>"LARINGOSCOPIO ADULTO"</f>
        <v>LARINGOSCOPIO ADULTO</v>
      </c>
      <c r="C2704" s="6">
        <v>1670000</v>
      </c>
      <c r="D2704" s="5" t="s">
        <v>260</v>
      </c>
      <c r="E2704" s="5" t="str">
        <f t="shared" si="134"/>
        <v>ACTISALUD-GINECO-OBST-MARIA AUXILIADORA PERTUZ</v>
      </c>
      <c r="F2704" s="5" t="str">
        <f>"Descripcion: LARINGOSCOPIO ADULTO CON VALVAS Estado: Bueno Placa anterior: 000029347 Material: ACERO INOXIDABLE Color:  Referencia:  Observacion: AUTORIZADO CONCILIAR EN CRUCE GENERAL Placa padre: Tipo adquisicion: Entidad"</f>
        <v>Descripcion: LARINGOSCOPIO ADULTO CON VALVAS Estado: Bueno Placa anterior: 000029347 Material: ACERO INOXIDABLE Color:  Referencia:  Observacion: AUTORIZADO CONCILIAR EN CRUCE GENERAL Placa padre: Tipo adquisicion: Entidad</v>
      </c>
      <c r="G2704" s="5"/>
    </row>
    <row r="2705" spans="1:7" ht="58.5" customHeight="1" x14ac:dyDescent="0.25">
      <c r="A2705" s="5" t="str">
        <f>"H0010741"</f>
        <v>H0010741</v>
      </c>
      <c r="B2705" s="5" t="str">
        <f>"IMPRESORA LASER"</f>
        <v>IMPRESORA LASER</v>
      </c>
      <c r="C2705" s="6">
        <v>2400000</v>
      </c>
      <c r="D2705" s="5"/>
      <c r="E2705" s="5" t="str">
        <f t="shared" si="134"/>
        <v>ACTISALUD-GINECO-OBST-MARIA AUXILIADORA PERTUZ</v>
      </c>
      <c r="F2705" s="5" t="str">
        <f>"Descripcion: IMPRESORAS HP LASERJET P3005DN Estado: Bueno Placa anterior: 000033604 Material: PLASTICO Color: GRIS Referencia:  Observacion:  Placa padre: Tipo adquisicion: Entidad"</f>
        <v>Descripcion: IMPRESORAS HP LASERJET P3005DN Estado: Bueno Placa anterior: 000033604 Material: PLASTICO Color: GRIS Referencia:  Observacion:  Placa padre: Tipo adquisicion: Entidad</v>
      </c>
      <c r="G2705" s="5" t="str">
        <f>"HPLASERJET P3005DN"</f>
        <v>HPLASERJET P3005DN</v>
      </c>
    </row>
    <row r="2706" spans="1:7" ht="58.5" customHeight="1" x14ac:dyDescent="0.25">
      <c r="A2706" s="5" t="str">
        <f>"H0010924"</f>
        <v>H0010924</v>
      </c>
      <c r="B2706" s="5" t="str">
        <f>"COMPUTADOR TODO EN UNO"</f>
        <v>COMPUTADOR TODO EN UNO</v>
      </c>
      <c r="C2706" s="6">
        <v>1572000</v>
      </c>
      <c r="D2706" s="5" t="s">
        <v>32</v>
      </c>
      <c r="E2706" s="5" t="str">
        <f t="shared" si="134"/>
        <v>ACTISALUD-GINECO-OBST-MARIA AUXILIADORA PERTUZ</v>
      </c>
      <c r="F2706" s="5" t="str">
        <f>"Descripcion: EQUIPOS DE COMPUTO TODO EN UNO PROCESADOR CORE 3.0 SUPERIOR CORPORATIVO WINDOWS 8 PRO- OFFICE 2013 SMALL BUSINES, TECNOLOGIA HT DE INTEL GARANTIA EXTENDIDA A 3 AÑOS Estado: Bueno Placa anterior: 000030571 Material: PLASTICO DE POLIPROPILENO C"&amp; "olor: NEGRO Referencia: C9G88LT#ABM Observacion:  Placa anterior:, Placa nueva=H0010926, Descripcion:MOUSE OPTICO, Serial:CT: FCMHHOCQW5LCY2, Marca:HP, Modelo:672652-001, Material:PLASTICO DE POLIPROPILENO, Color:NEGRO,   Referencia:674316-001, Placa ante"&amp; "rior:, Placa nueva=H0010925, Descripcion:TECLADO, Serial:BDMHE0CVB51610, Marca:HP, Modelo:KU-1156, Material:PLASTICO DE POLIPROPILENO, Color:NEGRO,   Referencia:672647-163   LA Placa padre: Tipo adquisicion: Entidad"</f>
        <v>Descripcion: EQUIPOS DE COMPUTO TODO EN UNO PROCESADOR CORE 3.0 SUPERIOR CORPORATIVO WINDOWS 8 PRO- OFFICE 2013 SMALL BUSINES, TECNOLOGIA HT DE INTEL GARANTIA EXTENDIDA A 3 AÑOS Estado: Bueno Placa anterior: 000030571 Material: PLASTICO DE POLIPROPILENO Color: NEGRO Referencia: C9G88LT#ABM Observacion:  Placa anterior:, Placa nueva=H0010926, Descripcion:MOUSE OPTICO, Serial:CT: FCMHHOCQW5LCY2, Marca:HP, Modelo:672652-001, Material:PLASTICO DE POLIPROPILENO, Color:NEGRO,   Referencia:674316-001, Placa anterior:, Placa nueva=H0010925, Descripcion:TECLADO, Serial:BDMHE0CVB51610, Marca:HP, Modelo:KU-1156, Material:PLASTICO DE POLIPROPILENO, Color:NEGRO,   Referencia:672647-163   LA Placa padre: Tipo adquisicion: Entidad</v>
      </c>
      <c r="G2706" s="5" t="str">
        <f>"HP COMPAQ PRO 4300"</f>
        <v>HP COMPAQ PRO 4300</v>
      </c>
    </row>
    <row r="2707" spans="1:7" ht="58.5" customHeight="1" x14ac:dyDescent="0.25">
      <c r="A2707" s="5" t="str">
        <f>"H0011192"</f>
        <v>H0011192</v>
      </c>
      <c r="B2707" s="5" t="str">
        <f>"AIRE ACONDICIONADO TIPO SPLIT 12000 BTU"</f>
        <v>AIRE ACONDICIONADO TIPO SPLIT 12000 BTU</v>
      </c>
      <c r="C2707" s="6">
        <v>1836280</v>
      </c>
      <c r="D2707" s="5" t="s">
        <v>146</v>
      </c>
      <c r="E2707" s="5" t="str">
        <f t="shared" si="134"/>
        <v>ACTISALUD-GINECO-OBST-MARIA AUXILIADORA PERTUZ</v>
      </c>
      <c r="F2707" s="5" t="str">
        <f>"Descripcion: AIRE ACONDICIONADO CAPACIDAD 12.000 BTU Equipo tipo mini split consola de lujo con control remoto y uso refrigerante ecologico Sistema inverter Debe incluir display para ser monitoreado por sistema central Estado: Bueno Placa anterior: 000036"&amp; "364 Material: PASTA Color: BLANCO Referencia: 401S014R00803R - BSNQ122B4W3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000036364 Material: PASTA Color: BLANCO Referencia: 401S014R00803R - BSNQ122B4W3 Observacion:  Placa padre: Tipo adquisicion: Entidad</v>
      </c>
      <c r="G2707" s="5" t="str">
        <f>"VM122CENB3"</f>
        <v>VM122CENB3</v>
      </c>
    </row>
    <row r="2708" spans="1:7" ht="58.5" customHeight="1" x14ac:dyDescent="0.25">
      <c r="A2708" s="5" t="str">
        <f>"H0011245"</f>
        <v>H0011245</v>
      </c>
      <c r="B2708" s="5" t="str">
        <f>"CUBETA DE ACERO INOXIDABLE PEQUEÑA"</f>
        <v>CUBETA DE ACERO INOXIDABLE PEQUEÑA</v>
      </c>
      <c r="C2708" s="6">
        <v>7700</v>
      </c>
      <c r="D2708" s="5"/>
      <c r="E2708" s="5" t="str">
        <f t="shared" si="134"/>
        <v>ACTISALUD-GINECO-OBST-MARIA AUXILIADORA PERTUZ</v>
      </c>
      <c r="F2708" s="5" t="str">
        <f>"Descripcion: CUBETA EN ACERO INOX.PEQUEÑASIN TAPA Estado: Bueno Placa anterior: 000005527 Material: ACERO INOXIDABLE Color:  Referencia:  Observacion:  Placa padre: Tipo adquisicion: Entidad"</f>
        <v>Descripcion: CUBETA EN ACERO INOX.PEQUEÑASIN TAPA Estado: Bueno Placa anterior: 000005527 Material: ACERO INOXIDABLE Color:  Referencia:  Observacion:  Placa padre: Tipo adquisicion: Entidad</v>
      </c>
      <c r="G2708" s="5"/>
    </row>
    <row r="2709" spans="1:7" ht="58.5" customHeight="1" x14ac:dyDescent="0.25">
      <c r="A2709" s="5" t="str">
        <f>"H0011628"</f>
        <v>H0011628</v>
      </c>
      <c r="B2709" s="5" t="str">
        <f>"SILLA DE RUEDAS"</f>
        <v>SILLA DE RUEDAS</v>
      </c>
      <c r="C2709" s="6">
        <v>650000</v>
      </c>
      <c r="D2709" s="5"/>
      <c r="E2709" s="5" t="str">
        <f t="shared" si="134"/>
        <v>ACTISALUD-GINECO-OBST-MARIA AUXILIADORA PERTUZ</v>
      </c>
      <c r="F2709" s="5" t="str">
        <f>"Descripcion: SILLA DE RUEDAS Estado: Bueno Placa anterior: 000027336 Material: METALICO Color: CROMADO Referencia:  Observacion: AUTORIZADO CONCILIAR EN CRUCE GENERAL Placa padre: Tipo adquisicion: Entidad"</f>
        <v>Descripcion: SILLA DE RUEDAS Estado: Bueno Placa anterior: 000027336 Material: METALICO Color: CROMADO Referencia:  Observacion: AUTORIZADO CONCILIAR EN CRUCE GENERAL Placa padre: Tipo adquisicion: Entidad</v>
      </c>
      <c r="G2709" s="5"/>
    </row>
    <row r="2710" spans="1:7" ht="58.5" customHeight="1" x14ac:dyDescent="0.25">
      <c r="A2710" s="5" t="str">
        <f>"H0011646"</f>
        <v>H0011646</v>
      </c>
      <c r="B2710" s="5" t="str">
        <f>"MESA PARA ATENCION A RECIEN NACIDO"</f>
        <v>MESA PARA ATENCION A RECIEN NACIDO</v>
      </c>
      <c r="C2710" s="6">
        <v>17930</v>
      </c>
      <c r="D2710" s="5"/>
      <c r="E2710" s="5" t="str">
        <f t="shared" si="134"/>
        <v>ACTISALUD-GINECO-OBST-MARIA AUXILIADORA PERTUZ</v>
      </c>
      <c r="F2710" s="5" t="str">
        <f>"Descripcion: MESA PARA RECIEN NACIDO Estado: Bueno Placa anterior: 000027556 Material: METALICO CON TAPIZADO EN SEMICUERO Color: NEGRO CON GRIS Referencia:  Observacion:  Placa padre: Tipo adquisicion: Entidad"</f>
        <v>Descripcion: MESA PARA RECIEN NACIDO Estado: Bueno Placa anterior: 000027556 Material: METALICO CON TAPIZADO EN SEMICUERO Color: NEGRO CON GRIS Referencia:  Observacion:  Placa padre: Tipo adquisicion: Entidad</v>
      </c>
      <c r="G2710" s="5"/>
    </row>
    <row r="2711" spans="1:7" ht="58.5" customHeight="1" x14ac:dyDescent="0.25">
      <c r="A2711" s="5" t="str">
        <f>"H0011764"</f>
        <v>H0011764</v>
      </c>
      <c r="B2711" s="5" t="str">
        <f>"SILLA DE RUEDAS"</f>
        <v>SILLA DE RUEDAS</v>
      </c>
      <c r="C2711" s="6">
        <v>650000</v>
      </c>
      <c r="D2711" s="5"/>
      <c r="E2711" s="5" t="str">
        <f t="shared" si="134"/>
        <v>ACTISALUD-GINECO-OBST-MARIA AUXILIADORA PERTUZ</v>
      </c>
      <c r="F2711" s="5" t="str">
        <f>"Descripcion: SILLA DE RUEDA ADULTO ESTANDAR CON BRAZOS Y DESCANSAPIES DESMONTABLES CON MARCO PLEGABLE CALIBRE 18 DE 7/8 Estado: Bueno Placa anterior: 000026214 Material: METALICO Color: CROMADO Y CUERO AZUL Referencia:  Observacion:  Placa padre: Tipo adq"&amp; "uisicion: Entidad"</f>
        <v>Descripcion: SILLA DE RUEDA ADULTO ESTANDAR CON BRAZOS Y DESCANSAPIES DESMONTABLES CON MARCO PLEGABLE CALIBRE 18 DE 7/8 Estado: Bueno Placa anterior: 000026214 Material: METALICO Color: CROMADO Y CUERO AZUL Referencia:  Observacion:  Placa padre: Tipo adquisicion: Entidad</v>
      </c>
      <c r="G2711" s="5"/>
    </row>
    <row r="2712" spans="1:7" ht="58.5" customHeight="1" x14ac:dyDescent="0.25">
      <c r="A2712" s="5" t="str">
        <f>"H0011835"</f>
        <v>H0011835</v>
      </c>
      <c r="B2712" s="5" t="str">
        <f>"MESA DE MADERA REDONDA"</f>
        <v>MESA DE MADERA REDONDA</v>
      </c>
      <c r="C2712" s="6">
        <v>42000</v>
      </c>
      <c r="D2712" s="5"/>
      <c r="E2712" s="5" t="str">
        <f t="shared" si="134"/>
        <v>ACTISALUD-GINECO-OBST-MARIA AUXILIADORA PERTUZ</v>
      </c>
      <c r="F2712" s="5" t="str">
        <f>"Descripcion: MESA TIPO E (CIRCULAR) Estado: Bueno Placa anterior: 000027633 Material: MADERA  CON BASE DE METALICA  Color: MARRON Referencia:  Observacion: SE ENCUENTRA EN BUEN ESTADO PERO TAMBIEN TIENE FORMICA Placa padre: Tipo adquisicion: Entidad"</f>
        <v>Descripcion: MESA TIPO E (CIRCULAR) Estado: Bueno Placa anterior: 000027633 Material: MADERA  CON BASE DE METALICA  Color: MARRON Referencia:  Observacion: SE ENCUENTRA EN BUEN ESTADO PERO TAMBIEN TIENE FORMICA Placa padre: Tipo adquisicion: Entidad</v>
      </c>
      <c r="G2712" s="5"/>
    </row>
    <row r="2713" spans="1:7" ht="58.5" customHeight="1" x14ac:dyDescent="0.25">
      <c r="A2713" s="5" t="str">
        <f>"H0011844"</f>
        <v>H0011844</v>
      </c>
      <c r="B2713" s="5" t="str">
        <f>"LOCKER DE 3 COMPARTIMIENTOS"</f>
        <v>LOCKER DE 3 COMPARTIMIENTOS</v>
      </c>
      <c r="C2713" s="6">
        <v>680000</v>
      </c>
      <c r="D2713" s="5"/>
      <c r="E2713" s="5" t="str">
        <f t="shared" si="134"/>
        <v>ACTISALUD-GINECO-OBST-MARIA AUXILIADORA PERTUZ</v>
      </c>
      <c r="F2713" s="5" t="str">
        <f>"Descripcion: LOKER METALICO DE 3 CUERPOS Estado: Bueno Placa anterior: 000033396 Material: METALICO Color: GRIS Referencia:  Observacion: BUEN ESTADO Y SE ENCUETRA CON 9 CASILLEROS  Placa padre: Tipo adquisicion: Entidad"</f>
        <v>Descripcion: LOKER METALICO DE 3 CUERPOS Estado: Bueno Placa anterior: 000033396 Material: METALICO Color: GRIS Referencia:  Observacion: BUEN ESTADO Y SE ENCUETRA CON 9 CASILLEROS  Placa padre: Tipo adquisicion: Entidad</v>
      </c>
      <c r="G2713" s="5"/>
    </row>
    <row r="2714" spans="1:7" ht="58.5" customHeight="1" x14ac:dyDescent="0.25">
      <c r="A2714" s="5" t="str">
        <f>"H0012171"</f>
        <v>H0012171</v>
      </c>
      <c r="B2714" s="5" t="str">
        <f>"MONITOR DE SIGNOS VITALES"</f>
        <v>MONITOR DE SIGNOS VITALES</v>
      </c>
      <c r="C2714" s="6">
        <v>4002000</v>
      </c>
      <c r="D2714" s="5" t="s">
        <v>51</v>
      </c>
      <c r="E2714" s="5" t="str">
        <f t="shared" si="134"/>
        <v>ACTISALUD-GINECO-OBST-MARIA AUXILIADORA PERTUZ</v>
      </c>
      <c r="F2714" s="5" t="str">
        <f>"Descripcion: MONITOR DE SIGNOS VITALES (DONACION DE ICOMMERCE) Estado: Bueno Placa anterior: 000028481 Material: PASTA Color: BLANCO Y GRIS Referencia:  Observacion:  Placa padre: Tipo adquisicion: Donacion"</f>
        <v>Descripcion: MONITOR DE SIGNOS VITALES (DONACION DE ICOMMERCE) Estado: Bueno Placa anterior: 000028481 Material: PASTA Color: BLANCO Y GRIS Referencia:  Observacion:  Placa padre: Tipo adquisicion: Donacion</v>
      </c>
      <c r="G2714" s="5" t="str">
        <f>"IMEC10"</f>
        <v>IMEC10</v>
      </c>
    </row>
    <row r="2715" spans="1:7" ht="58.5" customHeight="1" x14ac:dyDescent="0.25">
      <c r="A2715" s="5" t="str">
        <f>"H0012172"</f>
        <v>H0012172</v>
      </c>
      <c r="B2715" s="5" t="str">
        <f>"MESA (CARRO) AUXILIAR QUIRURGICA"</f>
        <v>MESA (CARRO) AUXILIAR QUIRURGICA</v>
      </c>
      <c r="C2715" s="6">
        <v>11880</v>
      </c>
      <c r="D2715" s="5"/>
      <c r="E2715" s="5" t="str">
        <f t="shared" si="134"/>
        <v>ACTISALUD-GINECO-OBST-MARIA AUXILIADORA PERTUZ</v>
      </c>
      <c r="F2715" s="5" t="str">
        <f>"Descripcion: CARRITO AUXILIAR (LLEVA EL MONITOR DE SIGNOS VITALES) Estado: Bueno Placa anterior: 000004425 Material: ACERO INOX. Color: PLATEADO Referencia:  Observacion:  Placa padre: Tipo adquisicion: Entidad"</f>
        <v>Descripcion: CARRITO AUXILIAR (LLEVA EL MONITOR DE SIGNOS VITALES) Estado: Bueno Placa anterior: 000004425 Material: ACERO INOX. Color: PLATEADO Referencia:  Observacion:  Placa padre: Tipo adquisicion: Entidad</v>
      </c>
      <c r="G2715" s="5"/>
    </row>
    <row r="2716" spans="1:7" ht="58.5" customHeight="1" x14ac:dyDescent="0.25">
      <c r="A2716" s="5" t="str">
        <f>"H0012462"</f>
        <v>H0012462</v>
      </c>
      <c r="B2716" s="5" t="str">
        <f>"MESA METALICA AUXILIAR"</f>
        <v>MESA METALICA AUXILIAR</v>
      </c>
      <c r="C2716" s="6">
        <v>1380</v>
      </c>
      <c r="D2716" s="5"/>
      <c r="E2716" s="5" t="str">
        <f t="shared" si="134"/>
        <v>ACTISALUD-GINECO-OBST-MARIA AUXILIADORA PERTUZ</v>
      </c>
      <c r="F2716" s="5" t="str">
        <f>"Descripcion: MESA AUXILIAR TIPO CARRO C/BARANDAS Y RODACHINES Estado: Bueno Placa anterior: 000002399 Material: ACERO INOX. Color: BEIGE Referencia:  Observacion:  Placa padre: Tipo adquisicion: Entidad"</f>
        <v>Descripcion: MESA AUXILIAR TIPO CARRO C/BARANDAS Y RODACHINES Estado: Bueno Placa anterior: 000002399 Material: ACERO INOX. Color: BEIGE Referencia:  Observacion:  Placa padre: Tipo adquisicion: Entidad</v>
      </c>
      <c r="G2716" s="5"/>
    </row>
    <row r="2717" spans="1:7" ht="58.5" customHeight="1" x14ac:dyDescent="0.25">
      <c r="A2717" s="5" t="str">
        <f>"H0016272"</f>
        <v>H0016272</v>
      </c>
      <c r="B2717" s="5" t="str">
        <f>"PUESTO DE TRABAJO EN L CON 3 GAVETAS"</f>
        <v>PUESTO DE TRABAJO EN L CON 3 GAVETAS</v>
      </c>
      <c r="C2717" s="6">
        <v>945000</v>
      </c>
      <c r="D2717" s="5" t="s">
        <v>3</v>
      </c>
      <c r="E2717" s="5" t="str">
        <f t="shared" si="134"/>
        <v>ACTISALUD-GINECO-OBST-MARIA AUXILIADORA PERTUZ</v>
      </c>
      <c r="F2717" s="5" t="str">
        <f>"Descripcion:PUESTO DE TRABAJO EN L Estado: Bueno Placa anterior: 000028665 Material: MADERA Color: MARRON CLARO Referencia:  Observacion:  Placa padre:  Tipo adquisicion : Entidad"</f>
        <v>Descripcion:PUESTO DE TRABAJO EN L Estado: Bueno Placa anterior: 000028665 Material: MADERA Color: MARRON CLARO Referencia:  Observacion:  Placa padre:  Tipo adquisicion : Entidad</v>
      </c>
      <c r="G2717" s="5"/>
    </row>
    <row r="2718" spans="1:7" ht="58.5" customHeight="1" x14ac:dyDescent="0.25">
      <c r="A2718" s="5" t="str">
        <f>"H0018614"</f>
        <v>H0018614</v>
      </c>
      <c r="B2718" s="5" t="str">
        <f>"SILLA INTERLOCUTORA (FIJA) CON BRAZOS"</f>
        <v>SILLA INTERLOCUTORA (FIJA) CON BRAZOS</v>
      </c>
      <c r="C2718" s="6">
        <v>96672</v>
      </c>
      <c r="D2718" s="5"/>
      <c r="E2718" s="5" t="str">
        <f t="shared" si="134"/>
        <v>ACTISALUD-GINECO-OBST-MARIA AUXILIADORA PERTUZ</v>
      </c>
      <c r="F2718" s="5" t="str">
        <f>"Descripcion: SILLA RECIBIDORA CORDOBAN COLOR NEGRO C/BRAZOS Estado: Bueno Placa anterior: 000013285 Material: MADERA CUERO NEGRO Color:  Referencia:  Observacion:  Placa padre: Tipo adquisicion: Entidad"</f>
        <v>Descripcion: SILLA RECIBIDORA CORDOBAN COLOR NEGRO C/BRAZOS Estado: Bueno Placa anterior: 000013285 Material: MADERA CUERO NEGRO Color:  Referencia:  Observacion:  Placa padre: Tipo adquisicion: Entidad</v>
      </c>
      <c r="G2718" s="5"/>
    </row>
    <row r="2719" spans="1:7" ht="58.5" customHeight="1" x14ac:dyDescent="0.25">
      <c r="A2719" s="5" t="str">
        <f>"H0018615"</f>
        <v>H0018615</v>
      </c>
      <c r="B2719" s="5" t="str">
        <f>"SILLA INTERLOCUTORA (FIJA) CON BRAZOS"</f>
        <v>SILLA INTERLOCUTORA (FIJA) CON BRAZOS</v>
      </c>
      <c r="C2719" s="6">
        <v>96672</v>
      </c>
      <c r="D2719" s="5"/>
      <c r="E2719" s="5" t="str">
        <f t="shared" si="134"/>
        <v>ACTISALUD-GINECO-OBST-MARIA AUXILIADORA PERTUZ</v>
      </c>
      <c r="F2719" s="5" t="str">
        <f>"Descripcion: SILLA RECIBIDORA CORDOBAN COLOR NEGRO C/BRAZOS Estado: Bueno Placa anterior: 000013282 Material: MADERA  Color: NEGRO Referencia:  Observacion:  Placa padre: Tipo adquisicion: Entidad"</f>
        <v>Descripcion: SILLA RECIBIDORA CORDOBAN COLOR NEGRO C/BRAZOS Estado: Bueno Placa anterior: 000013282 Material: MADERA  Color: NEGRO Referencia:  Observacion:  Placa padre: Tipo adquisicion: Entidad</v>
      </c>
      <c r="G2719" s="5"/>
    </row>
    <row r="2720" spans="1:7" ht="58.5" customHeight="1" x14ac:dyDescent="0.25">
      <c r="A2720" s="5" t="str">
        <f>"H0018622"</f>
        <v>H0018622</v>
      </c>
      <c r="B2720" s="5" t="str">
        <f>"SILLA ERGONOMICA TIPO SECRETARIA SIN BRAZOS"</f>
        <v>SILLA ERGONOMICA TIPO SECRETARIA SIN BRAZOS</v>
      </c>
      <c r="C2720" s="6">
        <v>211120</v>
      </c>
      <c r="D2720" s="5"/>
      <c r="E2720" s="5" t="str">
        <f t="shared" si="134"/>
        <v>ACTISALUD-GINECO-OBST-MARIA AUXILIADORA PERTUZ</v>
      </c>
      <c r="F2720" s="5" t="str">
        <f>"Descripcion: TAPIZADA EN PAÑO NEGRO Estado: Bueno Placa anterior: 000025258 Material: PASTA Color: NEGRO Referencia:  Observacion: SILLA ERGONOMICA AT 02 (TA-SECRETARIAL) Placa padre: Tipo adquisicion: Entidad"</f>
        <v>Descripcion: TAPIZADA EN PAÑO NEGRO Estado: Bueno Placa anterior: 000025258 Material: PASTA Color: NEGRO Referencia:  Observacion: SILLA ERGONOMICA AT 02 (TA-SECRETARIAL) Placa padre: Tipo adquisicion: Entidad</v>
      </c>
      <c r="G2720" s="5"/>
    </row>
    <row r="2721" spans="1:7" ht="58.5" customHeight="1" x14ac:dyDescent="0.25">
      <c r="A2721" s="5" t="str">
        <f>"H0018633"</f>
        <v>H0018633</v>
      </c>
      <c r="B2721" s="5" t="str">
        <f>"SILLA ERGONOMICA TIPO SECRETARIA SIN BRAZOS"</f>
        <v>SILLA ERGONOMICA TIPO SECRETARIA SIN BRAZOS</v>
      </c>
      <c r="C2721" s="6">
        <v>211120</v>
      </c>
      <c r="D2721" s="5"/>
      <c r="E2721" s="5" t="str">
        <f t="shared" si="134"/>
        <v>ACTISALUD-GINECO-OBST-MARIA AUXILIADORA PERTUZ</v>
      </c>
      <c r="F2721" s="5" t="str">
        <f>"Descripcion: SILLA ERGONOMICA AT 02 (TA-SECRETARIAL) Estado: Bueno Placa anterior: 000025285 Material: PASTA Color: NEGRO Referencia:  Observacion:  Placa padre: Tipo adquisicion: Entidad"</f>
        <v>Descripcion: SILLA ERGONOMICA AT 02 (TA-SECRETARIAL) Estado: Bueno Placa anterior: 000025285 Material: PASTA Color: NEGRO Referencia:  Observacion:  Placa padre: Tipo adquisicion: Entidad</v>
      </c>
      <c r="G2721" s="5"/>
    </row>
    <row r="2722" spans="1:7" ht="58.5" customHeight="1" x14ac:dyDescent="0.25">
      <c r="A2722" s="5" t="str">
        <f>"H0018635"</f>
        <v>H0018635</v>
      </c>
      <c r="B2722" s="5" t="str">
        <f>"AIRE ACONDICIONADO TIPO SPLIT 22000 BTU"</f>
        <v>AIRE ACONDICIONADO TIPO SPLIT 22000 BTU</v>
      </c>
      <c r="C2722" s="6">
        <v>4512400</v>
      </c>
      <c r="D2722" s="5" t="s">
        <v>146</v>
      </c>
      <c r="E2722" s="5" t="str">
        <f t="shared" si="134"/>
        <v>ACTISALUD-GINECO-OBST-MARIA AUXILIADORA PERTUZ</v>
      </c>
      <c r="F2722" s="5" t="str">
        <f>"Descripcion: AIRE ACONDICIONADO CAPACIDAD 22000 BTU Equipo tipo mini Split, consola de lujo, con control remoto y uso refrigerante ecologico.sistema inverter.Debe incluir display para ser monitoreado por sistema central Estado: Bueno Placa anterior: 00003"&amp; "6375 Material: PASTA Color: BLANCO Referencia: 401S00Y200167R Observacion: EL BIEN TIENE PLACA ANTERIOR  000036375, LA CUAL CORRESPONDE A UN AIRE ACONDICIONADO CAPACIDAD 24000 BTU AUTORIZADO CONCILIAR EN CRUCE GENERAL Placa padre: Tipo adquisicion: Entida"&amp; "d"</f>
        <v>Descripcion: AIRE ACONDICIONADO CAPACIDAD 22000 BTU Equipo tipo mini Split, consola de lujo, con control remoto y uso refrigerante ecologico.sistema inverter.Debe incluir display para ser monitoreado por sistema central Estado: Bueno Placa anterior: 000036375 Material: PASTA Color: BLANCO Referencia: 401S00Y200167R Observacion: EL BIEN TIENE PLACA ANTERIOR  000036375, LA CUAL CORRESPONDE A UN AIRE ACONDICIONADO CAPACIDAD 24000 BTU AUTORIZADO CONCILIAR EN CRUCE GENERAL Placa padre: Tipo adquisicion: Entidad</v>
      </c>
      <c r="G2722" s="5" t="str">
        <f>"VM242CENC2"</f>
        <v>VM242CENC2</v>
      </c>
    </row>
    <row r="2723" spans="1:7" ht="58.5" customHeight="1" x14ac:dyDescent="0.25">
      <c r="A2723" s="5" t="str">
        <f>"H0018638"</f>
        <v>H0018638</v>
      </c>
      <c r="B2723" s="5" t="str">
        <f>"SILLA INTERLOCUTORA (FIJA) SIN BRAZOS"</f>
        <v>SILLA INTERLOCUTORA (FIJA) SIN BRAZOS</v>
      </c>
      <c r="C2723" s="6">
        <v>9596.7000000000007</v>
      </c>
      <c r="D2723" s="5"/>
      <c r="E2723" s="5" t="str">
        <f t="shared" si="134"/>
        <v>ACTISALUD-GINECO-OBST-MARIA AUXILIADORA PERTUZ</v>
      </c>
      <c r="F2723" s="5" t="str">
        <f>"Descripcion: SILLA AUXILIAR SIN BRAZOS LINEA 2000TAPIZADA EN CUERO MARRON Estado: Bueno Placa anterior: 000000205 Material: MADERA Color: MARRON Referencia:  Observacion:  Placa padre: Tipo adquisicion: Entidad"</f>
        <v>Descripcion: SILLA AUXILIAR SIN BRAZOS LINEA 2000TAPIZADA EN CUERO MARRON Estado: Bueno Placa anterior: 000000205 Material: MADERA Color: MARRON Referencia:  Observacion:  Placa padre: Tipo adquisicion: Entidad</v>
      </c>
      <c r="G2723" s="5"/>
    </row>
    <row r="2724" spans="1:7" ht="58.5" customHeight="1" x14ac:dyDescent="0.25">
      <c r="A2724" s="5" t="str">
        <f>"H0018639"</f>
        <v>H0018639</v>
      </c>
      <c r="B2724" s="5" t="str">
        <f>"SILLA INTERLOCUTORA (FIJA) SIN BRAZOS"</f>
        <v>SILLA INTERLOCUTORA (FIJA) SIN BRAZOS</v>
      </c>
      <c r="C2724" s="6">
        <v>9596.7000000000007</v>
      </c>
      <c r="D2724" s="5"/>
      <c r="E2724" s="5" t="str">
        <f t="shared" si="134"/>
        <v>ACTISALUD-GINECO-OBST-MARIA AUXILIADORA PERTUZ</v>
      </c>
      <c r="F2724" s="5" t="str">
        <f>"Descripcion: SILLA AUXILIAR SIN BRAZOS LINEA 2000TAPIZADA EN CUERO MARRON Estado: Bueno Placa anterior: 000000196 Material: MADERA Color: MARRON Referencia:  Observacion:  Placa padre: Tipo adquisicion: Entidad"</f>
        <v>Descripcion: SILLA AUXILIAR SIN BRAZOS LINEA 2000TAPIZADA EN CUERO MARRON Estado: Bueno Placa anterior: 000000196 Material: MADERA Color: MARRON Referencia:  Observacion:  Placa padre: Tipo adquisicion: Entidad</v>
      </c>
      <c r="G2724" s="5"/>
    </row>
    <row r="2725" spans="1:7" ht="58.5" customHeight="1" x14ac:dyDescent="0.25">
      <c r="A2725" s="5" t="str">
        <f>"H0018640"</f>
        <v>H0018640</v>
      </c>
      <c r="B2725" s="5" t="str">
        <f>"SILLA INTERLOCUTORA (FIJA) SIN BRAZOS"</f>
        <v>SILLA INTERLOCUTORA (FIJA) SIN BRAZOS</v>
      </c>
      <c r="C2725" s="6">
        <v>9596.7000000000007</v>
      </c>
      <c r="D2725" s="5"/>
      <c r="E2725" s="5" t="str">
        <f t="shared" si="134"/>
        <v>ACTISALUD-GINECO-OBST-MARIA AUXILIADORA PERTUZ</v>
      </c>
      <c r="F2725" s="5" t="str">
        <f>"Descripcion: SILLA AUXILIAR SIN BRAZOS LINEA 2000TAPIZADA EN CUERO MARRON Estado: Bueno Placa anterior: 000000199 Material: MADERA Color: MARRON Referencia:  Observacion:  Placa padre: Tipo adquisicion: Entidad"</f>
        <v>Descripcion: SILLA AUXILIAR SIN BRAZOS LINEA 2000TAPIZADA EN CUERO MARRON Estado: Bueno Placa anterior: 000000199 Material: MADERA Color: MARRON Referencia:  Observacion:  Placa padre: Tipo adquisicion: Entidad</v>
      </c>
      <c r="G2725" s="5"/>
    </row>
    <row r="2726" spans="1:7" ht="58.5" customHeight="1" x14ac:dyDescent="0.25">
      <c r="A2726" s="5" t="str">
        <f>"H0018641"</f>
        <v>H0018641</v>
      </c>
      <c r="B2726" s="5" t="str">
        <f>"SILLA INTERLOCUTORA (FIJA) SIN BRAZOS"</f>
        <v>SILLA INTERLOCUTORA (FIJA) SIN BRAZOS</v>
      </c>
      <c r="C2726" s="6">
        <v>7480</v>
      </c>
      <c r="D2726" s="5"/>
      <c r="E2726" s="5" t="str">
        <f t="shared" si="134"/>
        <v>ACTISALUD-GINECO-OBST-MARIA AUXILIADORA PERTUZ</v>
      </c>
      <c r="F2726" s="5" t="str">
        <f>"Descripcion: SILLA AUXILIAR SIN BRAZOS LINEA 2000TAPIZADA EN CUERO MARRON Estado: Bueno Placa anterior: 000027575 Material: MADERA Color: MARRON Referencia:  Observacion: EL BIEN TIENE PLACA ANTERIOR 000000206 SILLA FIJA TIPO A COLOR MARRON Placa padre: T"&amp; "ipo adquisicion: Entidad"</f>
        <v>Descripcion: SILLA AUXILIAR SIN BRAZOS LINEA 2000TAPIZADA EN CUERO MARRON Estado: Bueno Placa anterior: 000027575 Material: MADERA Color: MARRON Referencia:  Observacion: EL BIEN TIENE PLACA ANTERIOR 000000206 SILLA FIJA TIPO A COLOR MARRON Placa padre: Tipo adquisicion: Entidad</v>
      </c>
      <c r="G2726" s="5"/>
    </row>
    <row r="2727" spans="1:7" ht="58.5" customHeight="1" x14ac:dyDescent="0.25">
      <c r="A2727" s="5" t="str">
        <f>"H0018643"</f>
        <v>H0018643</v>
      </c>
      <c r="B2727" s="5" t="str">
        <f>"SILLA INTERLOCUTORA (FIJA) SIN BRAZOS"</f>
        <v>SILLA INTERLOCUTORA (FIJA) SIN BRAZOS</v>
      </c>
      <c r="C2727" s="6">
        <v>9596.7000000000007</v>
      </c>
      <c r="D2727" s="5"/>
      <c r="E2727" s="5" t="str">
        <f t="shared" si="134"/>
        <v>ACTISALUD-GINECO-OBST-MARIA AUXILIADORA PERTUZ</v>
      </c>
      <c r="F2727" s="5" t="str">
        <f>"Descripcion: SILLA AUXILIAR SIN BRAZOS LINEA 2000TAPIZADA EN CUERO MARRON Estado: Bueno Placa anterior: 000000202 Material: MADERA Color: MARRON Referencia:  Observacion:  Placa padre: Tipo adquisicion: Entidad"</f>
        <v>Descripcion: SILLA AUXILIAR SIN BRAZOS LINEA 2000TAPIZADA EN CUERO MARRON Estado: Bueno Placa anterior: 000000202 Material: MADERA Color: MARRON Referencia:  Observacion:  Placa padre: Tipo adquisicion: Entidad</v>
      </c>
      <c r="G2727" s="5"/>
    </row>
    <row r="2728" spans="1:7" ht="58.5" customHeight="1" x14ac:dyDescent="0.25">
      <c r="A2728" s="5" t="str">
        <f>"H0018648"</f>
        <v>H0018648</v>
      </c>
      <c r="B2728" s="5" t="str">
        <f>"COMPUTADOR TODO EN UNO"</f>
        <v>COMPUTADOR TODO EN UNO</v>
      </c>
      <c r="C2728" s="6">
        <v>1572000</v>
      </c>
      <c r="D2728" s="5" t="s">
        <v>32</v>
      </c>
      <c r="E2728" s="5" t="str">
        <f t="shared" si="134"/>
        <v>ACTISALUD-GINECO-OBST-MARIA AUXILIADORA PERTUZ</v>
      </c>
      <c r="F2728" s="5" t="str">
        <f>"Descripcion: EQUIPOS DE COMPUTO TODO EN UNO PROCESADOR CORE 3.0 SUPERIOR CORPORATIVO WINDOWS 8 PRO- OFFICE 2013 SMALL BUSINES, TECNOLOGIA HT DE INTEL GARANTIA EXTENDIDA A 3 AÑOS Estado: Excelente Placa anterior: 000030585 Material: PASTA Color: NEGRO Refe"&amp; "rencia: C9G88LT#ABM Observacion:  Placa anterior:, Placa nueva=H0017466, Descripcion:OPTICO, Serial:FCMHH0CQW5LCW2, Marca:HP, Modelo:S-2022, Material:PASTA, Color:NEGRO,Referencia:672652-001, Placa anterior:, Placa nueva=H0018649, Descripcion:., Serial:BD"&amp; "MHE0CVB5I6RP, Marca:HP, Modelo:KU-1156, Material:PASTA, Color:NEGRO,Referencia:672647-163LA Placa padre: Tipo adquisicion: Entidad"</f>
        <v>Descripcion: EQUIPOS DE COMPUTO TODO EN UNO PROCESADOR CORE 3.0 SUPERIOR CORPORATIVO WINDOWS 8 PRO- OFFICE 2013 SMALL BUSINES, TECNOLOGIA HT DE INTEL GARANTIA EXTENDIDA A 3 AÑOS Estado: Excelente Placa anterior: 000030585 Material: PASTA Color: NEGRO Referencia: C9G88LT#ABM Observacion:  Placa anterior:, Placa nueva=H0017466, Descripcion:OPTICO, Serial:FCMHH0CQW5LCW2, Marca:HP, Modelo:S-2022, Material:PASTA, Color:NEGRO,Referencia:672652-001, Placa anterior:, Placa nueva=H0018649, Descripcion:., Serial:BDMHE0CVB5I6RP, Marca:HP, Modelo:KU-1156, Material:PASTA, Color:NEGRO,Referencia:672647-163LA Placa padre: Tipo adquisicion: Entidad</v>
      </c>
      <c r="G2728" s="5" t="str">
        <f>"COMPAQ PRO 4300"</f>
        <v>COMPAQ PRO 4300</v>
      </c>
    </row>
    <row r="2729" spans="1:7" ht="58.5" customHeight="1" x14ac:dyDescent="0.25">
      <c r="A2729" s="5" t="str">
        <f>"H0018650"</f>
        <v>H0018650</v>
      </c>
      <c r="B2729" s="5" t="str">
        <f>"COMPUTADOR TODO EN UNO"</f>
        <v>COMPUTADOR TODO EN UNO</v>
      </c>
      <c r="C2729" s="6">
        <v>1572000</v>
      </c>
      <c r="D2729" s="5" t="s">
        <v>32</v>
      </c>
      <c r="E2729" s="5" t="str">
        <f t="shared" si="134"/>
        <v>ACTISALUD-GINECO-OBST-MARIA AUXILIADORA PERTUZ</v>
      </c>
      <c r="F2729" s="5" t="str">
        <f>"Descripcion: EQUIPOS DE COMPUTO TODO EN UNO PROCESADOR CORE 3.0 SUPERIOR CORPORATIVO WINDOWS 8 PRO- OFFICE 2013 SMALL BUSINES, TECNOLOGIA HT DE INTEL GARANTIA EXTENDIDA A 3 AÑOS Estado: Excelente Placa anterior: 000030587 Material: PASTA Color: NEGRO Refe"&amp; "rencia: C9G88LT#ABM Observacion:  Placa anterior:, Placa nueva=H0018651, Descripcion:., Serial:BDMHE0CVB5I14W, Marca:HP, Modelo:KU-1156, Material:PASTA, Color:NEGRO,Referencia:672647-163LA, Placa anterior:, Placa nueva=H0017467, Descripcion:OPTICO, Serial"&amp; ":FCMHH0CQW5IQ1U, Marca:HP, Modelo:SM-2022, Material:PASTA, Color:NEGRO,Referencia:672652-001 Placa padre: Tipo adquisicion: Entidad"</f>
        <v>Descripcion: EQUIPOS DE COMPUTO TODO EN UNO PROCESADOR CORE 3.0 SUPERIOR CORPORATIVO WINDOWS 8 PRO- OFFICE 2013 SMALL BUSINES, TECNOLOGIA HT DE INTEL GARANTIA EXTENDIDA A 3 AÑOS Estado: Excelente Placa anterior: 000030587 Material: PASTA Color: NEGRO Referencia: C9G88LT#ABM Observacion:  Placa anterior:, Placa nueva=H0018651, Descripcion:., Serial:BDMHE0CVB5I14W, Marca:HP, Modelo:KU-1156, Material:PASTA, Color:NEGRO,Referencia:672647-163LA, Placa anterior:, Placa nueva=H0017467, Descripcion:OPTICO, Serial:FCMHH0CQW5IQ1U, Marca:HP, Modelo:SM-2022, Material:PASTA, Color:NEGRO,Referencia:672652-001 Placa padre: Tipo adquisicion: Entidad</v>
      </c>
      <c r="G2729" s="5" t="str">
        <f>"COMPAQ PRO 4300"</f>
        <v>COMPAQ PRO 4300</v>
      </c>
    </row>
    <row r="2730" spans="1:7" ht="58.5" customHeight="1" x14ac:dyDescent="0.25">
      <c r="A2730" s="5" t="str">
        <f>"H0019811"</f>
        <v>H0019811</v>
      </c>
      <c r="B2730" s="5" t="str">
        <f>"MESA PUENTE (ALIMENTACION) (INSTRUMENTAL)"</f>
        <v>MESA PUENTE (ALIMENTACION) (INSTRUMENTAL)</v>
      </c>
      <c r="C2730" s="6">
        <v>15000</v>
      </c>
      <c r="D2730" s="5"/>
      <c r="E2730" s="5" t="str">
        <f t="shared" si="134"/>
        <v>ACTISALUD-GINECO-OBST-MARIA AUXILIADORA PERTUZ</v>
      </c>
      <c r="F2730" s="5" t="str">
        <f>"Descripcion: MESA PUENTE Estado: Bueno Placa anterior: 000026529 Material: ACERO INOXIDABLE Color: PLATEADO Referencia:  Observacion:  Placa padre: Tipo adquisicion: Entidad"</f>
        <v>Descripcion: MESA PUENTE Estado: Bueno Placa anterior: 000026529 Material: ACERO INOXIDABLE Color: PLATEADO Referencia:  Observacion:  Placa padre: Tipo adquisicion: Entidad</v>
      </c>
      <c r="G2730" s="5"/>
    </row>
    <row r="2731" spans="1:7" ht="58.5" customHeight="1" x14ac:dyDescent="0.25">
      <c r="A2731" s="5" t="str">
        <f>"H0020239"</f>
        <v>H0020239</v>
      </c>
      <c r="B2731" s="5" t="str">
        <f>"RIÑONERA HOSPITALARIA EN ACERO INOXIDABLE"</f>
        <v>RIÑONERA HOSPITALARIA EN ACERO INOXIDABLE</v>
      </c>
      <c r="C2731" s="6">
        <v>1968.73</v>
      </c>
      <c r="D2731" s="5"/>
      <c r="E2731" s="5" t="str">
        <f t="shared" si="134"/>
        <v>ACTISALUD-GINECO-OBST-MARIA AUXILIADORA PERTUZ</v>
      </c>
      <c r="F2731" s="5" t="str">
        <f>"Descripcion: RIÑONERA HOSPITALARIA EN ACERO INOXIDABLE Estado: Bueno Placa anterior: 000005292 Material: ACERO  Color: NIQUELADO Referencia:  Observacion: PASAR A TOCOCIRUGIA Placa padre: Tipo adquisicion: Entidad"</f>
        <v>Descripcion: RIÑONERA HOSPITALARIA EN ACERO INOXIDABLE Estado: Bueno Placa anterior: 000005292 Material: ACERO  Color: NIQUELADO Referencia:  Observacion: PASAR A TOCOCIRUGIA Placa padre: Tipo adquisicion: Entidad</v>
      </c>
      <c r="G2731" s="5"/>
    </row>
    <row r="2732" spans="1:7" ht="58.5" customHeight="1" x14ac:dyDescent="0.25">
      <c r="A2732" s="5" t="str">
        <f>"H0021462"</f>
        <v>H0021462</v>
      </c>
      <c r="B2732" s="5" t="str">
        <f>"PLANTA DOMESTICA A BASE DE OZONO"</f>
        <v>PLANTA DOMESTICA A BASE DE OZONO</v>
      </c>
      <c r="C2732" s="6">
        <v>275000</v>
      </c>
      <c r="D2732" s="5" t="s">
        <v>261</v>
      </c>
      <c r="E2732" s="5" t="str">
        <f t="shared" si="134"/>
        <v>ACTISALUD-GINECO-OBST-MARIA AUXILIADORA PERTUZ</v>
      </c>
      <c r="F2732" s="5"/>
      <c r="G2732" s="5"/>
    </row>
    <row r="2733" spans="1:7" ht="58.5" customHeight="1" x14ac:dyDescent="0.25">
      <c r="A2733" s="5" t="str">
        <f>"H0022272"</f>
        <v>H0022272</v>
      </c>
      <c r="B2733" s="5" t="str">
        <f>"DESFRIBILADOR"</f>
        <v>DESFRIBILADOR</v>
      </c>
      <c r="C2733" s="6">
        <v>16657600</v>
      </c>
      <c r="D2733" s="5" t="s">
        <v>262</v>
      </c>
      <c r="E2733" s="5" t="str">
        <f t="shared" si="134"/>
        <v>ACTISALUD-GINECO-OBST-MARIA AUXILIADORA PERTUZ</v>
      </c>
      <c r="F2733" s="5"/>
      <c r="G2733" s="5"/>
    </row>
    <row r="2734" spans="1:7" ht="58.5" customHeight="1" x14ac:dyDescent="0.25">
      <c r="A2734" s="5" t="str">
        <f>"H0022406"</f>
        <v>H0022406</v>
      </c>
      <c r="B2734" s="5" t="str">
        <f>"VIDEOBEAM (VIDEO PROYECTOR)"</f>
        <v>VIDEOBEAM (VIDEO PROYECTOR)</v>
      </c>
      <c r="C2734" s="6">
        <v>2100000</v>
      </c>
      <c r="D2734" s="5" t="s">
        <v>263</v>
      </c>
      <c r="E2734" s="5" t="str">
        <f t="shared" si="134"/>
        <v>ACTISALUD-GINECO-OBST-MARIA AUXILIADORA PERTUZ</v>
      </c>
      <c r="F2734" s="5"/>
      <c r="G2734" s="5" t="str">
        <f>"H552A"</f>
        <v>H552A</v>
      </c>
    </row>
    <row r="2735" spans="1:7" ht="58.5" customHeight="1" x14ac:dyDescent="0.25">
      <c r="A2735" s="5" t="str">
        <f>"H0024246"</f>
        <v>H0024246</v>
      </c>
      <c r="B2735" s="5" t="str">
        <f t="shared" ref="B2735:B2762" si="135">"CAMA ELECTRICA ADULTOS"</f>
        <v>CAMA ELECTRICA ADULTOS</v>
      </c>
      <c r="C2735" s="6">
        <v>5746930</v>
      </c>
      <c r="D2735" s="5" t="s">
        <v>36</v>
      </c>
      <c r="E2735" s="5" t="str">
        <f t="shared" si="134"/>
        <v>ACTISALUD-GINECO-OBST-MARIA AUXILIADORA PERTUZ</v>
      </c>
      <c r="F2735" s="5"/>
      <c r="G2735" s="5"/>
    </row>
    <row r="2736" spans="1:7" ht="58.5" customHeight="1" x14ac:dyDescent="0.25">
      <c r="A2736" s="5" t="str">
        <f>"H0024247"</f>
        <v>H0024247</v>
      </c>
      <c r="B2736" s="5" t="str">
        <f t="shared" si="135"/>
        <v>CAMA ELECTRICA ADULTOS</v>
      </c>
      <c r="C2736" s="6">
        <v>5746930</v>
      </c>
      <c r="D2736" s="5" t="s">
        <v>36</v>
      </c>
      <c r="E2736" s="5" t="str">
        <f t="shared" si="134"/>
        <v>ACTISALUD-GINECO-OBST-MARIA AUXILIADORA PERTUZ</v>
      </c>
      <c r="F2736" s="5"/>
      <c r="G2736" s="5"/>
    </row>
    <row r="2737" spans="1:7" ht="58.5" customHeight="1" x14ac:dyDescent="0.25">
      <c r="A2737" s="5" t="str">
        <f>"H0024249"</f>
        <v>H0024249</v>
      </c>
      <c r="B2737" s="5" t="str">
        <f t="shared" si="135"/>
        <v>CAMA ELECTRICA ADULTOS</v>
      </c>
      <c r="C2737" s="6">
        <v>5746930</v>
      </c>
      <c r="D2737" s="5" t="s">
        <v>36</v>
      </c>
      <c r="E2737" s="5" t="str">
        <f t="shared" si="134"/>
        <v>ACTISALUD-GINECO-OBST-MARIA AUXILIADORA PERTUZ</v>
      </c>
      <c r="F2737" s="5"/>
      <c r="G2737" s="5"/>
    </row>
    <row r="2738" spans="1:7" ht="58.5" customHeight="1" x14ac:dyDescent="0.25">
      <c r="A2738" s="5" t="str">
        <f>"H0024250"</f>
        <v>H0024250</v>
      </c>
      <c r="B2738" s="5" t="str">
        <f t="shared" si="135"/>
        <v>CAMA ELECTRICA ADULTOS</v>
      </c>
      <c r="C2738" s="6">
        <v>5746930</v>
      </c>
      <c r="D2738" s="5" t="s">
        <v>36</v>
      </c>
      <c r="E2738" s="5" t="str">
        <f t="shared" si="134"/>
        <v>ACTISALUD-GINECO-OBST-MARIA AUXILIADORA PERTUZ</v>
      </c>
      <c r="F2738" s="5"/>
      <c r="G2738" s="5"/>
    </row>
    <row r="2739" spans="1:7" ht="58.5" customHeight="1" x14ac:dyDescent="0.25">
      <c r="A2739" s="5" t="str">
        <f>"H0024253"</f>
        <v>H0024253</v>
      </c>
      <c r="B2739" s="5" t="str">
        <f t="shared" si="135"/>
        <v>CAMA ELECTRICA ADULTOS</v>
      </c>
      <c r="C2739" s="6">
        <v>5746930</v>
      </c>
      <c r="D2739" s="5" t="s">
        <v>36</v>
      </c>
      <c r="E2739" s="5" t="str">
        <f t="shared" si="134"/>
        <v>ACTISALUD-GINECO-OBST-MARIA AUXILIADORA PERTUZ</v>
      </c>
      <c r="F2739" s="5"/>
      <c r="G2739" s="5"/>
    </row>
    <row r="2740" spans="1:7" ht="58.5" customHeight="1" x14ac:dyDescent="0.25">
      <c r="A2740" s="5" t="str">
        <f>"H0024254"</f>
        <v>H0024254</v>
      </c>
      <c r="B2740" s="5" t="str">
        <f t="shared" si="135"/>
        <v>CAMA ELECTRICA ADULTOS</v>
      </c>
      <c r="C2740" s="6">
        <v>5746930</v>
      </c>
      <c r="D2740" s="5" t="s">
        <v>36</v>
      </c>
      <c r="E2740" s="5" t="str">
        <f t="shared" si="134"/>
        <v>ACTISALUD-GINECO-OBST-MARIA AUXILIADORA PERTUZ</v>
      </c>
      <c r="F2740" s="5"/>
      <c r="G2740" s="5"/>
    </row>
    <row r="2741" spans="1:7" ht="58.5" customHeight="1" x14ac:dyDescent="0.25">
      <c r="A2741" s="5" t="str">
        <f>"H0024255"</f>
        <v>H0024255</v>
      </c>
      <c r="B2741" s="5" t="str">
        <f t="shared" si="135"/>
        <v>CAMA ELECTRICA ADULTOS</v>
      </c>
      <c r="C2741" s="6">
        <v>5746930</v>
      </c>
      <c r="D2741" s="5" t="s">
        <v>36</v>
      </c>
      <c r="E2741" s="5" t="str">
        <f t="shared" si="134"/>
        <v>ACTISALUD-GINECO-OBST-MARIA AUXILIADORA PERTUZ</v>
      </c>
      <c r="F2741" s="5"/>
      <c r="G2741" s="5"/>
    </row>
    <row r="2742" spans="1:7" ht="58.5" customHeight="1" x14ac:dyDescent="0.25">
      <c r="A2742" s="5" t="str">
        <f>"H0024258"</f>
        <v>H0024258</v>
      </c>
      <c r="B2742" s="5" t="str">
        <f t="shared" si="135"/>
        <v>CAMA ELECTRICA ADULTOS</v>
      </c>
      <c r="C2742" s="6">
        <v>5746930</v>
      </c>
      <c r="D2742" s="5" t="s">
        <v>36</v>
      </c>
      <c r="E2742" s="5" t="str">
        <f t="shared" si="134"/>
        <v>ACTISALUD-GINECO-OBST-MARIA AUXILIADORA PERTUZ</v>
      </c>
      <c r="F2742" s="5"/>
      <c r="G2742" s="5"/>
    </row>
    <row r="2743" spans="1:7" ht="58.5" customHeight="1" x14ac:dyDescent="0.25">
      <c r="A2743" s="5" t="str">
        <f>"H0024260"</f>
        <v>H0024260</v>
      </c>
      <c r="B2743" s="5" t="str">
        <f t="shared" si="135"/>
        <v>CAMA ELECTRICA ADULTOS</v>
      </c>
      <c r="C2743" s="6">
        <v>5746930</v>
      </c>
      <c r="D2743" s="5" t="s">
        <v>36</v>
      </c>
      <c r="E2743" s="5" t="str">
        <f t="shared" si="134"/>
        <v>ACTISALUD-GINECO-OBST-MARIA AUXILIADORA PERTUZ</v>
      </c>
      <c r="F2743" s="5"/>
      <c r="G2743" s="5"/>
    </row>
    <row r="2744" spans="1:7" ht="58.5" customHeight="1" x14ac:dyDescent="0.25">
      <c r="A2744" s="5" t="str">
        <f>"H0024262"</f>
        <v>H0024262</v>
      </c>
      <c r="B2744" s="5" t="str">
        <f t="shared" si="135"/>
        <v>CAMA ELECTRICA ADULTOS</v>
      </c>
      <c r="C2744" s="6">
        <v>5746930</v>
      </c>
      <c r="D2744" s="5" t="s">
        <v>36</v>
      </c>
      <c r="E2744" s="5" t="str">
        <f t="shared" si="134"/>
        <v>ACTISALUD-GINECO-OBST-MARIA AUXILIADORA PERTUZ</v>
      </c>
      <c r="F2744" s="5"/>
      <c r="G2744" s="5"/>
    </row>
    <row r="2745" spans="1:7" ht="58.5" customHeight="1" x14ac:dyDescent="0.25">
      <c r="A2745" s="5" t="str">
        <f>"H0024299"</f>
        <v>H0024299</v>
      </c>
      <c r="B2745" s="5" t="str">
        <f t="shared" si="135"/>
        <v>CAMA ELECTRICA ADULTOS</v>
      </c>
      <c r="C2745" s="6">
        <v>5746930</v>
      </c>
      <c r="D2745" s="5" t="s">
        <v>36</v>
      </c>
      <c r="E2745" s="5" t="str">
        <f t="shared" si="134"/>
        <v>ACTISALUD-GINECO-OBST-MARIA AUXILIADORA PERTUZ</v>
      </c>
      <c r="F2745" s="5"/>
      <c r="G2745" s="5"/>
    </row>
    <row r="2746" spans="1:7" ht="58.5" customHeight="1" x14ac:dyDescent="0.25">
      <c r="A2746" s="5" t="str">
        <f>"H0024357"</f>
        <v>H0024357</v>
      </c>
      <c r="B2746" s="5" t="str">
        <f t="shared" si="135"/>
        <v>CAMA ELECTRICA ADULTOS</v>
      </c>
      <c r="C2746" s="6">
        <v>5746930</v>
      </c>
      <c r="D2746" s="5" t="s">
        <v>36</v>
      </c>
      <c r="E2746" s="5" t="str">
        <f t="shared" si="134"/>
        <v>ACTISALUD-GINECO-OBST-MARIA AUXILIADORA PERTUZ</v>
      </c>
      <c r="F2746" s="5"/>
      <c r="G2746" s="5"/>
    </row>
    <row r="2747" spans="1:7" ht="58.5" customHeight="1" x14ac:dyDescent="0.25">
      <c r="A2747" s="5" t="str">
        <f>"H0024358"</f>
        <v>H0024358</v>
      </c>
      <c r="B2747" s="5" t="str">
        <f t="shared" si="135"/>
        <v>CAMA ELECTRICA ADULTOS</v>
      </c>
      <c r="C2747" s="6">
        <v>5746930</v>
      </c>
      <c r="D2747" s="5" t="s">
        <v>36</v>
      </c>
      <c r="E2747" s="5" t="str">
        <f t="shared" si="134"/>
        <v>ACTISALUD-GINECO-OBST-MARIA AUXILIADORA PERTUZ</v>
      </c>
      <c r="F2747" s="5"/>
      <c r="G2747" s="5"/>
    </row>
    <row r="2748" spans="1:7" ht="58.5" customHeight="1" x14ac:dyDescent="0.25">
      <c r="A2748" s="5" t="str">
        <f>"H0024378"</f>
        <v>H0024378</v>
      </c>
      <c r="B2748" s="5" t="str">
        <f t="shared" si="135"/>
        <v>CAMA ELECTRICA ADULTOS</v>
      </c>
      <c r="C2748" s="6">
        <v>5746930</v>
      </c>
      <c r="D2748" s="5" t="s">
        <v>36</v>
      </c>
      <c r="E2748" s="5" t="str">
        <f t="shared" si="134"/>
        <v>ACTISALUD-GINECO-OBST-MARIA AUXILIADORA PERTUZ</v>
      </c>
      <c r="F2748" s="5"/>
      <c r="G2748" s="5"/>
    </row>
    <row r="2749" spans="1:7" ht="58.5" customHeight="1" x14ac:dyDescent="0.25">
      <c r="A2749" s="5" t="str">
        <f>"H0024464"</f>
        <v>H0024464</v>
      </c>
      <c r="B2749" s="5" t="str">
        <f t="shared" si="135"/>
        <v>CAMA ELECTRICA ADULTOS</v>
      </c>
      <c r="C2749" s="6">
        <v>5746930</v>
      </c>
      <c r="D2749" s="5" t="s">
        <v>36</v>
      </c>
      <c r="E2749" s="5" t="str">
        <f t="shared" si="134"/>
        <v>ACTISALUD-GINECO-OBST-MARIA AUXILIADORA PERTUZ</v>
      </c>
      <c r="F2749" s="5"/>
      <c r="G2749" s="5"/>
    </row>
    <row r="2750" spans="1:7" ht="58.5" customHeight="1" x14ac:dyDescent="0.25">
      <c r="A2750" s="5" t="str">
        <f>"H0024466"</f>
        <v>H0024466</v>
      </c>
      <c r="B2750" s="5" t="str">
        <f t="shared" si="135"/>
        <v>CAMA ELECTRICA ADULTOS</v>
      </c>
      <c r="C2750" s="6">
        <v>5746930</v>
      </c>
      <c r="D2750" s="5" t="s">
        <v>36</v>
      </c>
      <c r="E2750" s="5" t="str">
        <f t="shared" si="134"/>
        <v>ACTISALUD-GINECO-OBST-MARIA AUXILIADORA PERTUZ</v>
      </c>
      <c r="F2750" s="5"/>
      <c r="G2750" s="5"/>
    </row>
    <row r="2751" spans="1:7" ht="58.5" customHeight="1" x14ac:dyDescent="0.25">
      <c r="A2751" s="5" t="str">
        <f>"H0024467"</f>
        <v>H0024467</v>
      </c>
      <c r="B2751" s="5" t="str">
        <f t="shared" si="135"/>
        <v>CAMA ELECTRICA ADULTOS</v>
      </c>
      <c r="C2751" s="6">
        <v>5746930</v>
      </c>
      <c r="D2751" s="5" t="s">
        <v>36</v>
      </c>
      <c r="E2751" s="5" t="str">
        <f t="shared" si="134"/>
        <v>ACTISALUD-GINECO-OBST-MARIA AUXILIADORA PERTUZ</v>
      </c>
      <c r="F2751" s="5"/>
      <c r="G2751" s="5"/>
    </row>
    <row r="2752" spans="1:7" ht="58.5" customHeight="1" x14ac:dyDescent="0.25">
      <c r="A2752" s="5" t="str">
        <f>"H0024468"</f>
        <v>H0024468</v>
      </c>
      <c r="B2752" s="5" t="str">
        <f t="shared" si="135"/>
        <v>CAMA ELECTRICA ADULTOS</v>
      </c>
      <c r="C2752" s="6">
        <v>5746930</v>
      </c>
      <c r="D2752" s="5" t="s">
        <v>36</v>
      </c>
      <c r="E2752" s="5" t="str">
        <f t="shared" si="134"/>
        <v>ACTISALUD-GINECO-OBST-MARIA AUXILIADORA PERTUZ</v>
      </c>
      <c r="F2752" s="5"/>
      <c r="G2752" s="5"/>
    </row>
    <row r="2753" spans="1:7" ht="58.5" customHeight="1" x14ac:dyDescent="0.25">
      <c r="A2753" s="5" t="str">
        <f>"H0024469"</f>
        <v>H0024469</v>
      </c>
      <c r="B2753" s="5" t="str">
        <f t="shared" si="135"/>
        <v>CAMA ELECTRICA ADULTOS</v>
      </c>
      <c r="C2753" s="6">
        <v>5746930</v>
      </c>
      <c r="D2753" s="5" t="s">
        <v>36</v>
      </c>
      <c r="E2753" s="5" t="str">
        <f t="shared" si="134"/>
        <v>ACTISALUD-GINECO-OBST-MARIA AUXILIADORA PERTUZ</v>
      </c>
      <c r="F2753" s="5"/>
      <c r="G2753" s="5"/>
    </row>
    <row r="2754" spans="1:7" ht="58.5" customHeight="1" x14ac:dyDescent="0.25">
      <c r="A2754" s="5" t="str">
        <f>"H0024470"</f>
        <v>H0024470</v>
      </c>
      <c r="B2754" s="5" t="str">
        <f t="shared" si="135"/>
        <v>CAMA ELECTRICA ADULTOS</v>
      </c>
      <c r="C2754" s="6">
        <v>5746930</v>
      </c>
      <c r="D2754" s="5" t="s">
        <v>36</v>
      </c>
      <c r="E2754" s="5" t="str">
        <f t="shared" si="134"/>
        <v>ACTISALUD-GINECO-OBST-MARIA AUXILIADORA PERTUZ</v>
      </c>
      <c r="F2754" s="5"/>
      <c r="G2754" s="5"/>
    </row>
    <row r="2755" spans="1:7" ht="58.5" customHeight="1" x14ac:dyDescent="0.25">
      <c r="A2755" s="5" t="str">
        <f>"H0024471"</f>
        <v>H0024471</v>
      </c>
      <c r="B2755" s="5" t="str">
        <f t="shared" si="135"/>
        <v>CAMA ELECTRICA ADULTOS</v>
      </c>
      <c r="C2755" s="6">
        <v>5746930</v>
      </c>
      <c r="D2755" s="5" t="s">
        <v>36</v>
      </c>
      <c r="E2755" s="5" t="str">
        <f t="shared" si="134"/>
        <v>ACTISALUD-GINECO-OBST-MARIA AUXILIADORA PERTUZ</v>
      </c>
      <c r="F2755" s="5"/>
      <c r="G2755" s="5"/>
    </row>
    <row r="2756" spans="1:7" ht="58.5" customHeight="1" x14ac:dyDescent="0.25">
      <c r="A2756" s="5" t="str">
        <f>"H0024472"</f>
        <v>H0024472</v>
      </c>
      <c r="B2756" s="5" t="str">
        <f t="shared" si="135"/>
        <v>CAMA ELECTRICA ADULTOS</v>
      </c>
      <c r="C2756" s="6">
        <v>5746930</v>
      </c>
      <c r="D2756" s="5" t="s">
        <v>36</v>
      </c>
      <c r="E2756" s="5" t="str">
        <f t="shared" si="134"/>
        <v>ACTISALUD-GINECO-OBST-MARIA AUXILIADORA PERTUZ</v>
      </c>
      <c r="F2756" s="5"/>
      <c r="G2756" s="5"/>
    </row>
    <row r="2757" spans="1:7" ht="58.5" customHeight="1" x14ac:dyDescent="0.25">
      <c r="A2757" s="5" t="str">
        <f>"H0024473"</f>
        <v>H0024473</v>
      </c>
      <c r="B2757" s="5" t="str">
        <f t="shared" si="135"/>
        <v>CAMA ELECTRICA ADULTOS</v>
      </c>
      <c r="C2757" s="6">
        <v>5746930</v>
      </c>
      <c r="D2757" s="5" t="s">
        <v>36</v>
      </c>
      <c r="E2757" s="5" t="str">
        <f t="shared" si="134"/>
        <v>ACTISALUD-GINECO-OBST-MARIA AUXILIADORA PERTUZ</v>
      </c>
      <c r="F2757" s="5"/>
      <c r="G2757" s="5"/>
    </row>
    <row r="2758" spans="1:7" ht="58.5" customHeight="1" x14ac:dyDescent="0.25">
      <c r="A2758" s="5" t="str">
        <f>"H0024474"</f>
        <v>H0024474</v>
      </c>
      <c r="B2758" s="5" t="str">
        <f t="shared" si="135"/>
        <v>CAMA ELECTRICA ADULTOS</v>
      </c>
      <c r="C2758" s="6">
        <v>5746930</v>
      </c>
      <c r="D2758" s="5" t="s">
        <v>36</v>
      </c>
      <c r="E2758" s="5" t="str">
        <f t="shared" si="134"/>
        <v>ACTISALUD-GINECO-OBST-MARIA AUXILIADORA PERTUZ</v>
      </c>
      <c r="F2758" s="5"/>
      <c r="G2758" s="5"/>
    </row>
    <row r="2759" spans="1:7" ht="58.5" customHeight="1" x14ac:dyDescent="0.25">
      <c r="A2759" s="5" t="str">
        <f>"H0024475"</f>
        <v>H0024475</v>
      </c>
      <c r="B2759" s="5" t="str">
        <f t="shared" si="135"/>
        <v>CAMA ELECTRICA ADULTOS</v>
      </c>
      <c r="C2759" s="6">
        <v>5746930</v>
      </c>
      <c r="D2759" s="5" t="s">
        <v>36</v>
      </c>
      <c r="E2759" s="5" t="str">
        <f t="shared" si="134"/>
        <v>ACTISALUD-GINECO-OBST-MARIA AUXILIADORA PERTUZ</v>
      </c>
      <c r="F2759" s="5"/>
      <c r="G2759" s="5"/>
    </row>
    <row r="2760" spans="1:7" ht="58.5" customHeight="1" x14ac:dyDescent="0.25">
      <c r="A2760" s="5" t="str">
        <f>"H0024476"</f>
        <v>H0024476</v>
      </c>
      <c r="B2760" s="5" t="str">
        <f t="shared" si="135"/>
        <v>CAMA ELECTRICA ADULTOS</v>
      </c>
      <c r="C2760" s="6">
        <v>5746930</v>
      </c>
      <c r="D2760" s="5" t="s">
        <v>36</v>
      </c>
      <c r="E2760" s="5" t="str">
        <f t="shared" si="134"/>
        <v>ACTISALUD-GINECO-OBST-MARIA AUXILIADORA PERTUZ</v>
      </c>
      <c r="F2760" s="5"/>
      <c r="G2760" s="5"/>
    </row>
    <row r="2761" spans="1:7" ht="58.5" customHeight="1" x14ac:dyDescent="0.25">
      <c r="A2761" s="5" t="str">
        <f>"H0024477"</f>
        <v>H0024477</v>
      </c>
      <c r="B2761" s="5" t="str">
        <f t="shared" si="135"/>
        <v>CAMA ELECTRICA ADULTOS</v>
      </c>
      <c r="C2761" s="6">
        <v>5746930</v>
      </c>
      <c r="D2761" s="5" t="s">
        <v>36</v>
      </c>
      <c r="E2761" s="5" t="str">
        <f t="shared" si="134"/>
        <v>ACTISALUD-GINECO-OBST-MARIA AUXILIADORA PERTUZ</v>
      </c>
      <c r="F2761" s="5"/>
      <c r="G2761" s="5"/>
    </row>
    <row r="2762" spans="1:7" ht="58.5" customHeight="1" x14ac:dyDescent="0.25">
      <c r="A2762" s="5" t="str">
        <f>"H0024486"</f>
        <v>H0024486</v>
      </c>
      <c r="B2762" s="5" t="str">
        <f t="shared" si="135"/>
        <v>CAMA ELECTRICA ADULTOS</v>
      </c>
      <c r="C2762" s="6">
        <v>5746930</v>
      </c>
      <c r="D2762" s="5" t="s">
        <v>36</v>
      </c>
      <c r="E2762" s="5" t="str">
        <f t="shared" si="134"/>
        <v>ACTISALUD-GINECO-OBST-MARIA AUXILIADORA PERTUZ</v>
      </c>
      <c r="F2762" s="5"/>
      <c r="G2762" s="5"/>
    </row>
    <row r="2763" spans="1:7" ht="58.5" customHeight="1" x14ac:dyDescent="0.25">
      <c r="A2763" s="5" t="str">
        <f>"H0024501"</f>
        <v>H0024501</v>
      </c>
      <c r="B2763" s="5" t="str">
        <f t="shared" ref="B2763:B2768" si="136">"EQUIPO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763" s="6">
        <v>2600000</v>
      </c>
      <c r="D2763" s="5" t="s">
        <v>264</v>
      </c>
      <c r="E2763" s="5" t="str">
        <f t="shared" si="134"/>
        <v>ACTISALUD-GINECO-OBST-MARIA AUXILIADORA PERTUZ</v>
      </c>
      <c r="F2763" s="5"/>
      <c r="G2763" s="5"/>
    </row>
    <row r="2764" spans="1:7" ht="58.5" customHeight="1" x14ac:dyDescent="0.25">
      <c r="A2764" s="5" t="str">
        <f>"H0024509"</f>
        <v>H0024509</v>
      </c>
      <c r="B2764" s="5" t="str">
        <f t="shared" si="136"/>
        <v>EQUIPO DE COMPUTO TODO EN UNO con Procesador Intel core i5 de quinta generación de 2.2 Ghz o superior. Memoria RAM 4 GB DDR3 o DDR4 o superior. 1 disco duro de 500 GB 7200 rpm o superior. Puerto Ether</v>
      </c>
      <c r="C2764" s="6">
        <v>2600000</v>
      </c>
      <c r="D2764" s="5" t="s">
        <v>36</v>
      </c>
      <c r="E2764" s="5" t="str">
        <f t="shared" si="134"/>
        <v>ACTISALUD-GINECO-OBST-MARIA AUXILIADORA PERTUZ</v>
      </c>
      <c r="F2764" s="5"/>
      <c r="G2764" s="5"/>
    </row>
    <row r="2765" spans="1:7" ht="58.5" customHeight="1" x14ac:dyDescent="0.25">
      <c r="A2765" s="5" t="str">
        <f>"H0024510"</f>
        <v>H0024510</v>
      </c>
      <c r="B2765" s="5" t="str">
        <f t="shared" si="136"/>
        <v>EQUIPO DE COMPUTO TODO EN UNO con Procesador Intel core i5 de quinta generación de 2.2 Ghz o superior. Memoria RAM 4 GB DDR3 o DDR4 o superior. 1 disco duro de 500 GB 7200 rpm o superior. Puerto Ether</v>
      </c>
      <c r="C2765" s="6">
        <v>2600000</v>
      </c>
      <c r="D2765" s="5" t="s">
        <v>36</v>
      </c>
      <c r="E2765" s="5" t="str">
        <f t="shared" ref="E2765:E2828" si="137">"ACTISALUD-GINECO-OBST-MARIA AUXILIADORA PERTUZ"</f>
        <v>ACTISALUD-GINECO-OBST-MARIA AUXILIADORA PERTUZ</v>
      </c>
      <c r="F2765" s="5"/>
      <c r="G2765" s="5"/>
    </row>
    <row r="2766" spans="1:7" ht="58.5" customHeight="1" x14ac:dyDescent="0.25">
      <c r="A2766" s="5" t="str">
        <f>"H0024511"</f>
        <v>H0024511</v>
      </c>
      <c r="B2766" s="5" t="str">
        <f t="shared" si="136"/>
        <v>EQUIPO DE COMPUTO TODO EN UNO con Procesador Intel core i5 de quinta generación de 2.2 Ghz o superior. Memoria RAM 4 GB DDR3 o DDR4 o superior. 1 disco duro de 500 GB 7200 rpm o superior. Puerto Ether</v>
      </c>
      <c r="C2766" s="6">
        <v>2600000</v>
      </c>
      <c r="D2766" s="5" t="s">
        <v>36</v>
      </c>
      <c r="E2766" s="5" t="str">
        <f t="shared" si="137"/>
        <v>ACTISALUD-GINECO-OBST-MARIA AUXILIADORA PERTUZ</v>
      </c>
      <c r="F2766" s="5"/>
      <c r="G2766" s="5"/>
    </row>
    <row r="2767" spans="1:7" ht="58.5" customHeight="1" x14ac:dyDescent="0.25">
      <c r="A2767" s="5" t="str">
        <f>"H0024512"</f>
        <v>H0024512</v>
      </c>
      <c r="B2767" s="5" t="str">
        <f t="shared" si="136"/>
        <v>EQUIPO DE COMPUTO TODO EN UNO con Procesador Intel core i5 de quinta generación de 2.2 Ghz o superior. Memoria RAM 4 GB DDR3 o DDR4 o superior. 1 disco duro de 500 GB 7200 rpm o superior. Puerto Ether</v>
      </c>
      <c r="C2767" s="6">
        <v>2600000</v>
      </c>
      <c r="D2767" s="5" t="s">
        <v>36</v>
      </c>
      <c r="E2767" s="5" t="str">
        <f t="shared" si="137"/>
        <v>ACTISALUD-GINECO-OBST-MARIA AUXILIADORA PERTUZ</v>
      </c>
      <c r="F2767" s="5"/>
      <c r="G2767" s="5"/>
    </row>
    <row r="2768" spans="1:7" ht="58.5" customHeight="1" x14ac:dyDescent="0.25">
      <c r="A2768" s="5" t="str">
        <f>"H0024513"</f>
        <v>H0024513</v>
      </c>
      <c r="B2768" s="5" t="str">
        <f t="shared" si="136"/>
        <v>EQUIPO DE COMPUTO TODO EN UNO con Procesador Intel core i5 de quinta generación de 2.2 Ghz o superior. Memoria RAM 4 GB DDR3 o DDR4 o superior. 1 disco duro de 500 GB 7200 rpm o superior. Puerto Ether</v>
      </c>
      <c r="C2768" s="6">
        <v>2600000</v>
      </c>
      <c r="D2768" s="5" t="s">
        <v>36</v>
      </c>
      <c r="E2768" s="5" t="str">
        <f t="shared" si="137"/>
        <v>ACTISALUD-GINECO-OBST-MARIA AUXILIADORA PERTUZ</v>
      </c>
      <c r="F2768" s="5"/>
      <c r="G2768" s="5"/>
    </row>
    <row r="2769" spans="1:7" ht="58.5" customHeight="1" x14ac:dyDescent="0.25">
      <c r="A2769" s="5" t="str">
        <f>"H0024618"</f>
        <v>H0024618</v>
      </c>
      <c r="B2769"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2769" s="6">
        <v>2050000</v>
      </c>
      <c r="D2769" s="5" t="s">
        <v>36</v>
      </c>
      <c r="E2769" s="5" t="str">
        <f t="shared" si="137"/>
        <v>ACTISALUD-GINECO-OBST-MARIA AUXILIADORA PERTUZ</v>
      </c>
      <c r="F2769" s="5"/>
      <c r="G2769" s="5"/>
    </row>
    <row r="2770" spans="1:7" ht="58.5" customHeight="1" x14ac:dyDescent="0.25">
      <c r="A2770" s="5" t="str">
        <f>"H0024619"</f>
        <v>H0024619</v>
      </c>
      <c r="B2770"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2770" s="6">
        <v>2050000</v>
      </c>
      <c r="D2770" s="5" t="s">
        <v>36</v>
      </c>
      <c r="E2770" s="5" t="str">
        <f t="shared" si="137"/>
        <v>ACTISALUD-GINECO-OBST-MARIA AUXILIADORA PERTUZ</v>
      </c>
      <c r="F2770" s="5"/>
      <c r="G2770" s="5"/>
    </row>
    <row r="2771" spans="1:7" ht="58.5" customHeight="1" x14ac:dyDescent="0.25">
      <c r="A2771" s="5" t="str">
        <f>"H0025146"</f>
        <v>H0025146</v>
      </c>
      <c r="B2771" s="5" t="s">
        <v>65</v>
      </c>
      <c r="C2771" s="6">
        <v>115394.48</v>
      </c>
      <c r="D2771" s="5" t="s">
        <v>10</v>
      </c>
      <c r="E2771" s="5" t="str">
        <f t="shared" si="137"/>
        <v>ACTISALUD-GINECO-OBST-MARIA AUXILIADORA PERTUZ</v>
      </c>
      <c r="F2771" s="5"/>
      <c r="G2771" s="5"/>
    </row>
    <row r="2772" spans="1:7" ht="58.5" customHeight="1" x14ac:dyDescent="0.25">
      <c r="A2772" s="5" t="str">
        <f>"H0025147"</f>
        <v>H0025147</v>
      </c>
      <c r="B2772" s="5" t="s">
        <v>65</v>
      </c>
      <c r="C2772" s="6">
        <v>115394.48</v>
      </c>
      <c r="D2772" s="5" t="s">
        <v>10</v>
      </c>
      <c r="E2772" s="5" t="str">
        <f t="shared" si="137"/>
        <v>ACTISALUD-GINECO-OBST-MARIA AUXILIADORA PERTUZ</v>
      </c>
      <c r="F2772" s="5"/>
      <c r="G2772" s="5"/>
    </row>
    <row r="2773" spans="1:7" ht="58.5" customHeight="1" x14ac:dyDescent="0.25">
      <c r="A2773" s="5" t="str">
        <f>"H0025148"</f>
        <v>H0025148</v>
      </c>
      <c r="B2773" s="5" t="s">
        <v>65</v>
      </c>
      <c r="C2773" s="6">
        <v>115394.48</v>
      </c>
      <c r="D2773" s="5" t="s">
        <v>10</v>
      </c>
      <c r="E2773" s="5" t="str">
        <f t="shared" si="137"/>
        <v>ACTISALUD-GINECO-OBST-MARIA AUXILIADORA PERTUZ</v>
      </c>
      <c r="F2773" s="5"/>
      <c r="G2773" s="5"/>
    </row>
    <row r="2774" spans="1:7" ht="58.5" customHeight="1" x14ac:dyDescent="0.25">
      <c r="A2774" s="5" t="str">
        <f>"H0025152"</f>
        <v>H0025152</v>
      </c>
      <c r="B2774" s="5" t="s">
        <v>65</v>
      </c>
      <c r="C2774" s="6">
        <v>115394.48</v>
      </c>
      <c r="D2774" s="5" t="s">
        <v>10</v>
      </c>
      <c r="E2774" s="5" t="str">
        <f t="shared" si="137"/>
        <v>ACTISALUD-GINECO-OBST-MARIA AUXILIADORA PERTUZ</v>
      </c>
      <c r="F2774" s="5"/>
      <c r="G2774" s="5"/>
    </row>
    <row r="2775" spans="1:7" ht="58.5" customHeight="1" x14ac:dyDescent="0.25">
      <c r="A2775" s="5" t="str">
        <f>"H0025154"</f>
        <v>H0025154</v>
      </c>
      <c r="B2775" s="5" t="s">
        <v>65</v>
      </c>
      <c r="C2775" s="6">
        <v>115394.48</v>
      </c>
      <c r="D2775" s="5" t="s">
        <v>10</v>
      </c>
      <c r="E2775" s="5" t="str">
        <f t="shared" si="137"/>
        <v>ACTISALUD-GINECO-OBST-MARIA AUXILIADORA PERTUZ</v>
      </c>
      <c r="F2775" s="5"/>
      <c r="G2775" s="5"/>
    </row>
    <row r="2776" spans="1:7" ht="58.5" customHeight="1" x14ac:dyDescent="0.25">
      <c r="A2776" s="5" t="str">
        <f>"H0025155"</f>
        <v>H0025155</v>
      </c>
      <c r="B2776" s="5" t="s">
        <v>65</v>
      </c>
      <c r="C2776" s="6">
        <v>115394.48</v>
      </c>
      <c r="D2776" s="5" t="s">
        <v>10</v>
      </c>
      <c r="E2776" s="5" t="str">
        <f t="shared" si="137"/>
        <v>ACTISALUD-GINECO-OBST-MARIA AUXILIADORA PERTUZ</v>
      </c>
      <c r="F2776" s="5"/>
      <c r="G2776" s="5"/>
    </row>
    <row r="2777" spans="1:7" ht="58.5" customHeight="1" x14ac:dyDescent="0.25">
      <c r="A2777" s="5" t="str">
        <f>"H0025156"</f>
        <v>H0025156</v>
      </c>
      <c r="B2777" s="5" t="s">
        <v>65</v>
      </c>
      <c r="C2777" s="6">
        <v>115394.48</v>
      </c>
      <c r="D2777" s="5" t="s">
        <v>10</v>
      </c>
      <c r="E2777" s="5" t="str">
        <f t="shared" si="137"/>
        <v>ACTISALUD-GINECO-OBST-MARIA AUXILIADORA PERTUZ</v>
      </c>
      <c r="F2777" s="5"/>
      <c r="G2777" s="5"/>
    </row>
    <row r="2778" spans="1:7" ht="58.5" customHeight="1" x14ac:dyDescent="0.25">
      <c r="A2778" s="5" t="str">
        <f>"H0025157"</f>
        <v>H0025157</v>
      </c>
      <c r="B2778" s="5" t="s">
        <v>65</v>
      </c>
      <c r="C2778" s="6">
        <v>115394.48</v>
      </c>
      <c r="D2778" s="5" t="s">
        <v>10</v>
      </c>
      <c r="E2778" s="5" t="str">
        <f t="shared" si="137"/>
        <v>ACTISALUD-GINECO-OBST-MARIA AUXILIADORA PERTUZ</v>
      </c>
      <c r="F2778" s="5"/>
      <c r="G2778" s="5"/>
    </row>
    <row r="2779" spans="1:7" ht="58.5" customHeight="1" x14ac:dyDescent="0.25">
      <c r="A2779" s="5" t="str">
        <f>"H0025158"</f>
        <v>H0025158</v>
      </c>
      <c r="B2779" s="5" t="s">
        <v>65</v>
      </c>
      <c r="C2779" s="6">
        <v>115394.48</v>
      </c>
      <c r="D2779" s="5" t="s">
        <v>10</v>
      </c>
      <c r="E2779" s="5" t="str">
        <f t="shared" si="137"/>
        <v>ACTISALUD-GINECO-OBST-MARIA AUXILIADORA PERTUZ</v>
      </c>
      <c r="F2779" s="5"/>
      <c r="G2779" s="5"/>
    </row>
    <row r="2780" spans="1:7" ht="58.5" customHeight="1" x14ac:dyDescent="0.25">
      <c r="A2780" s="5" t="str">
        <f>"H0025159"</f>
        <v>H0025159</v>
      </c>
      <c r="B2780" s="5" t="s">
        <v>65</v>
      </c>
      <c r="C2780" s="6">
        <v>115394.48</v>
      </c>
      <c r="D2780" s="5" t="s">
        <v>10</v>
      </c>
      <c r="E2780" s="5" t="str">
        <f t="shared" si="137"/>
        <v>ACTISALUD-GINECO-OBST-MARIA AUXILIADORA PERTUZ</v>
      </c>
      <c r="F2780" s="5"/>
      <c r="G2780" s="5"/>
    </row>
    <row r="2781" spans="1:7" ht="58.5" customHeight="1" x14ac:dyDescent="0.25">
      <c r="A2781" s="5" t="str">
        <f>"H0025160"</f>
        <v>H0025160</v>
      </c>
      <c r="B2781" s="5" t="s">
        <v>65</v>
      </c>
      <c r="C2781" s="6">
        <v>115394.48</v>
      </c>
      <c r="D2781" s="5" t="s">
        <v>10</v>
      </c>
      <c r="E2781" s="5" t="str">
        <f t="shared" si="137"/>
        <v>ACTISALUD-GINECO-OBST-MARIA AUXILIADORA PERTUZ</v>
      </c>
      <c r="F2781" s="5"/>
      <c r="G2781" s="5"/>
    </row>
    <row r="2782" spans="1:7" ht="58.5" customHeight="1" x14ac:dyDescent="0.25">
      <c r="A2782" s="5" t="str">
        <f>"H0025161"</f>
        <v>H0025161</v>
      </c>
      <c r="B2782" s="5" t="s">
        <v>65</v>
      </c>
      <c r="C2782" s="6">
        <v>115394.48</v>
      </c>
      <c r="D2782" s="5" t="s">
        <v>10</v>
      </c>
      <c r="E2782" s="5" t="str">
        <f t="shared" si="137"/>
        <v>ACTISALUD-GINECO-OBST-MARIA AUXILIADORA PERTUZ</v>
      </c>
      <c r="F2782" s="5"/>
      <c r="G2782" s="5"/>
    </row>
    <row r="2783" spans="1:7" ht="58.5" customHeight="1" x14ac:dyDescent="0.25">
      <c r="A2783" s="5" t="str">
        <f>"H0025162"</f>
        <v>H0025162</v>
      </c>
      <c r="B2783" s="5" t="s">
        <v>65</v>
      </c>
      <c r="C2783" s="6">
        <v>115394.48</v>
      </c>
      <c r="D2783" s="5" t="s">
        <v>10</v>
      </c>
      <c r="E2783" s="5" t="str">
        <f t="shared" si="137"/>
        <v>ACTISALUD-GINECO-OBST-MARIA AUXILIADORA PERTUZ</v>
      </c>
      <c r="F2783" s="5"/>
      <c r="G2783" s="5"/>
    </row>
    <row r="2784" spans="1:7" ht="58.5" customHeight="1" x14ac:dyDescent="0.25">
      <c r="A2784" s="5" t="str">
        <f>"H0025163"</f>
        <v>H0025163</v>
      </c>
      <c r="B2784" s="5" t="s">
        <v>65</v>
      </c>
      <c r="C2784" s="6">
        <v>115394.48</v>
      </c>
      <c r="D2784" s="5" t="s">
        <v>10</v>
      </c>
      <c r="E2784" s="5" t="str">
        <f t="shared" si="137"/>
        <v>ACTISALUD-GINECO-OBST-MARIA AUXILIADORA PERTUZ</v>
      </c>
      <c r="F2784" s="5"/>
      <c r="G2784" s="5"/>
    </row>
    <row r="2785" spans="1:7" ht="58.5" customHeight="1" x14ac:dyDescent="0.25">
      <c r="A2785" s="5" t="str">
        <f>"H0025164"</f>
        <v>H0025164</v>
      </c>
      <c r="B2785" s="5" t="s">
        <v>65</v>
      </c>
      <c r="C2785" s="6">
        <v>115394.48</v>
      </c>
      <c r="D2785" s="5" t="s">
        <v>10</v>
      </c>
      <c r="E2785" s="5" t="str">
        <f t="shared" si="137"/>
        <v>ACTISALUD-GINECO-OBST-MARIA AUXILIADORA PERTUZ</v>
      </c>
      <c r="F2785" s="5"/>
      <c r="G2785" s="5"/>
    </row>
    <row r="2786" spans="1:7" ht="58.5" customHeight="1" x14ac:dyDescent="0.25">
      <c r="A2786" s="5" t="str">
        <f>"H0025166"</f>
        <v>H0025166</v>
      </c>
      <c r="B2786" s="5" t="s">
        <v>65</v>
      </c>
      <c r="C2786" s="6">
        <v>115394.48</v>
      </c>
      <c r="D2786" s="5" t="s">
        <v>10</v>
      </c>
      <c r="E2786" s="5" t="str">
        <f t="shared" si="137"/>
        <v>ACTISALUD-GINECO-OBST-MARIA AUXILIADORA PERTUZ</v>
      </c>
      <c r="F2786" s="5"/>
      <c r="G2786" s="5"/>
    </row>
    <row r="2787" spans="1:7" ht="58.5" customHeight="1" x14ac:dyDescent="0.25">
      <c r="A2787" s="5" t="str">
        <f>"H0025168"</f>
        <v>H0025168</v>
      </c>
      <c r="B2787" s="5" t="s">
        <v>65</v>
      </c>
      <c r="C2787" s="6">
        <v>115394.48</v>
      </c>
      <c r="D2787" s="5" t="s">
        <v>10</v>
      </c>
      <c r="E2787" s="5" t="str">
        <f t="shared" si="137"/>
        <v>ACTISALUD-GINECO-OBST-MARIA AUXILIADORA PERTUZ</v>
      </c>
      <c r="F2787" s="5"/>
      <c r="G2787" s="5"/>
    </row>
    <row r="2788" spans="1:7" ht="58.5" customHeight="1" x14ac:dyDescent="0.25">
      <c r="A2788" s="5" t="str">
        <f>"H0025171"</f>
        <v>H0025171</v>
      </c>
      <c r="B2788" s="5" t="s">
        <v>65</v>
      </c>
      <c r="C2788" s="6">
        <v>115394.48</v>
      </c>
      <c r="D2788" s="5" t="s">
        <v>10</v>
      </c>
      <c r="E2788" s="5" t="str">
        <f t="shared" si="137"/>
        <v>ACTISALUD-GINECO-OBST-MARIA AUXILIADORA PERTUZ</v>
      </c>
      <c r="F2788" s="5"/>
      <c r="G2788" s="5"/>
    </row>
    <row r="2789" spans="1:7" ht="58.5" customHeight="1" x14ac:dyDescent="0.25">
      <c r="A2789" s="5" t="str">
        <f>"H0025172"</f>
        <v>H0025172</v>
      </c>
      <c r="B2789" s="5" t="s">
        <v>65</v>
      </c>
      <c r="C2789" s="6">
        <v>115394.48</v>
      </c>
      <c r="D2789" s="5" t="s">
        <v>10</v>
      </c>
      <c r="E2789" s="5" t="str">
        <f t="shared" si="137"/>
        <v>ACTISALUD-GINECO-OBST-MARIA AUXILIADORA PERTUZ</v>
      </c>
      <c r="F2789" s="5"/>
      <c r="G2789" s="5"/>
    </row>
    <row r="2790" spans="1:7" ht="58.5" customHeight="1" x14ac:dyDescent="0.25">
      <c r="A2790" s="5" t="str">
        <f>"H0025173"</f>
        <v>H0025173</v>
      </c>
      <c r="B2790" s="5" t="s">
        <v>65</v>
      </c>
      <c r="C2790" s="6">
        <v>115394.48</v>
      </c>
      <c r="D2790" s="5" t="s">
        <v>10</v>
      </c>
      <c r="E2790" s="5" t="str">
        <f t="shared" si="137"/>
        <v>ACTISALUD-GINECO-OBST-MARIA AUXILIADORA PERTUZ</v>
      </c>
      <c r="F2790" s="5"/>
      <c r="G2790" s="5"/>
    </row>
    <row r="2791" spans="1:7" ht="58.5" customHeight="1" x14ac:dyDescent="0.25">
      <c r="A2791" s="5" t="str">
        <f>"H0025175"</f>
        <v>H0025175</v>
      </c>
      <c r="B2791" s="5" t="s">
        <v>65</v>
      </c>
      <c r="C2791" s="6">
        <v>115394.48</v>
      </c>
      <c r="D2791" s="5" t="s">
        <v>10</v>
      </c>
      <c r="E2791" s="5" t="str">
        <f t="shared" si="137"/>
        <v>ACTISALUD-GINECO-OBST-MARIA AUXILIADORA PERTUZ</v>
      </c>
      <c r="F2791" s="5"/>
      <c r="G2791" s="5"/>
    </row>
    <row r="2792" spans="1:7" ht="58.5" customHeight="1" x14ac:dyDescent="0.25">
      <c r="A2792" s="5" t="str">
        <f>"H0025176"</f>
        <v>H0025176</v>
      </c>
      <c r="B2792" s="5" t="s">
        <v>65</v>
      </c>
      <c r="C2792" s="6">
        <v>115394.48</v>
      </c>
      <c r="D2792" s="5" t="s">
        <v>10</v>
      </c>
      <c r="E2792" s="5" t="str">
        <f t="shared" si="137"/>
        <v>ACTISALUD-GINECO-OBST-MARIA AUXILIADORA PERTUZ</v>
      </c>
      <c r="F2792" s="5"/>
      <c r="G2792" s="5"/>
    </row>
    <row r="2793" spans="1:7" ht="58.5" customHeight="1" x14ac:dyDescent="0.25">
      <c r="A2793" s="5" t="str">
        <f>"H0025177"</f>
        <v>H0025177</v>
      </c>
      <c r="B2793" s="5" t="s">
        <v>65</v>
      </c>
      <c r="C2793" s="6">
        <v>115394.48</v>
      </c>
      <c r="D2793" s="5" t="s">
        <v>10</v>
      </c>
      <c r="E2793" s="5" t="str">
        <f t="shared" si="137"/>
        <v>ACTISALUD-GINECO-OBST-MARIA AUXILIADORA PERTUZ</v>
      </c>
      <c r="F2793" s="5"/>
      <c r="G2793" s="5"/>
    </row>
    <row r="2794" spans="1:7" ht="58.5" customHeight="1" x14ac:dyDescent="0.25">
      <c r="A2794" s="5" t="str">
        <f>"H0025178"</f>
        <v>H0025178</v>
      </c>
      <c r="B2794" s="5" t="s">
        <v>65</v>
      </c>
      <c r="C2794" s="6">
        <v>115394.48</v>
      </c>
      <c r="D2794" s="5" t="s">
        <v>10</v>
      </c>
      <c r="E2794" s="5" t="str">
        <f t="shared" si="137"/>
        <v>ACTISALUD-GINECO-OBST-MARIA AUXILIADORA PERTUZ</v>
      </c>
      <c r="F2794" s="5"/>
      <c r="G2794" s="5"/>
    </row>
    <row r="2795" spans="1:7" ht="58.5" customHeight="1" x14ac:dyDescent="0.25">
      <c r="A2795" s="5" t="str">
        <f>"H0025179"</f>
        <v>H0025179</v>
      </c>
      <c r="B2795" s="5" t="s">
        <v>65</v>
      </c>
      <c r="C2795" s="6">
        <v>115394.48</v>
      </c>
      <c r="D2795" s="5" t="s">
        <v>10</v>
      </c>
      <c r="E2795" s="5" t="str">
        <f t="shared" si="137"/>
        <v>ACTISALUD-GINECO-OBST-MARIA AUXILIADORA PERTUZ</v>
      </c>
      <c r="F2795" s="5"/>
      <c r="G2795" s="5"/>
    </row>
    <row r="2796" spans="1:7" ht="58.5" customHeight="1" x14ac:dyDescent="0.25">
      <c r="A2796" s="5" t="str">
        <f>"H0025180"</f>
        <v>H0025180</v>
      </c>
      <c r="B2796" s="5" t="s">
        <v>65</v>
      </c>
      <c r="C2796" s="6">
        <v>115394.48</v>
      </c>
      <c r="D2796" s="5" t="s">
        <v>10</v>
      </c>
      <c r="E2796" s="5" t="str">
        <f t="shared" si="137"/>
        <v>ACTISALUD-GINECO-OBST-MARIA AUXILIADORA PERTUZ</v>
      </c>
      <c r="F2796" s="5"/>
      <c r="G2796" s="5"/>
    </row>
    <row r="2797" spans="1:7" ht="58.5" customHeight="1" x14ac:dyDescent="0.25">
      <c r="A2797" s="5" t="str">
        <f>"H0025181"</f>
        <v>H0025181</v>
      </c>
      <c r="B2797" s="5" t="s">
        <v>65</v>
      </c>
      <c r="C2797" s="6">
        <v>115394.48</v>
      </c>
      <c r="D2797" s="5" t="s">
        <v>10</v>
      </c>
      <c r="E2797" s="5" t="str">
        <f t="shared" si="137"/>
        <v>ACTISALUD-GINECO-OBST-MARIA AUXILIADORA PERTUZ</v>
      </c>
      <c r="F2797" s="5"/>
      <c r="G2797" s="5"/>
    </row>
    <row r="2798" spans="1:7" ht="58.5" customHeight="1" x14ac:dyDescent="0.25">
      <c r="A2798" s="5" t="str">
        <f>"H0025182"</f>
        <v>H0025182</v>
      </c>
      <c r="B2798" s="5" t="s">
        <v>65</v>
      </c>
      <c r="C2798" s="6">
        <v>115394.48</v>
      </c>
      <c r="D2798" s="5" t="s">
        <v>10</v>
      </c>
      <c r="E2798" s="5" t="str">
        <f t="shared" si="137"/>
        <v>ACTISALUD-GINECO-OBST-MARIA AUXILIADORA PERTUZ</v>
      </c>
      <c r="F2798" s="5"/>
      <c r="G2798" s="5"/>
    </row>
    <row r="2799" spans="1:7" ht="58.5" customHeight="1" x14ac:dyDescent="0.25">
      <c r="A2799" s="5" t="str">
        <f>"H0025183"</f>
        <v>H0025183</v>
      </c>
      <c r="B2799" s="5" t="s">
        <v>65</v>
      </c>
      <c r="C2799" s="6">
        <v>115394.48</v>
      </c>
      <c r="D2799" s="5" t="s">
        <v>10</v>
      </c>
      <c r="E2799" s="5" t="str">
        <f t="shared" si="137"/>
        <v>ACTISALUD-GINECO-OBST-MARIA AUXILIADORA PERTUZ</v>
      </c>
      <c r="F2799" s="5"/>
      <c r="G2799" s="5"/>
    </row>
    <row r="2800" spans="1:7" ht="58.5" customHeight="1" x14ac:dyDescent="0.25">
      <c r="A2800" s="5" t="str">
        <f>"H0025258"</f>
        <v>H0025258</v>
      </c>
      <c r="B2800" s="5" t="s">
        <v>65</v>
      </c>
      <c r="C2800" s="6">
        <v>115394.48</v>
      </c>
      <c r="D2800" s="5" t="s">
        <v>10</v>
      </c>
      <c r="E2800" s="5" t="str">
        <f t="shared" si="137"/>
        <v>ACTISALUD-GINECO-OBST-MARIA AUXILIADORA PERTUZ</v>
      </c>
      <c r="F2800" s="5"/>
      <c r="G2800" s="5"/>
    </row>
    <row r="2801" spans="1:7" ht="58.5" customHeight="1" x14ac:dyDescent="0.25">
      <c r="A2801" s="5" t="str">
        <f>"H0025301"</f>
        <v>H0025301</v>
      </c>
      <c r="B2801" s="5" t="str">
        <f>"NEVERA DE 50 LITROS CONDENSADORA OCULTO"</f>
        <v>NEVERA DE 50 LITROS CONDENSADORA OCULTO</v>
      </c>
      <c r="C2801" s="6">
        <v>418951.4</v>
      </c>
      <c r="D2801" s="5" t="s">
        <v>10</v>
      </c>
      <c r="E2801" s="5" t="str">
        <f t="shared" si="137"/>
        <v>ACTISALUD-GINECO-OBST-MARIA AUXILIADORA PERTUZ</v>
      </c>
      <c r="F2801" s="5"/>
      <c r="G2801" s="5"/>
    </row>
    <row r="2802" spans="1:7" ht="58.5" customHeight="1" x14ac:dyDescent="0.25">
      <c r="A2802" s="5" t="str">
        <f>"H0025321"</f>
        <v>H0025321</v>
      </c>
      <c r="B280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802" s="6">
        <v>312156</v>
      </c>
      <c r="D2802" s="5" t="s">
        <v>10</v>
      </c>
      <c r="E2802" s="5" t="str">
        <f t="shared" si="137"/>
        <v>ACTISALUD-GINECO-OBST-MARIA AUXILIADORA PERTUZ</v>
      </c>
      <c r="F2802" s="5"/>
      <c r="G2802" s="5"/>
    </row>
    <row r="2803" spans="1:7" ht="58.5" customHeight="1" x14ac:dyDescent="0.25">
      <c r="A2803" s="5" t="str">
        <f>"H0025328"</f>
        <v>H0025328</v>
      </c>
      <c r="B280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803" s="6">
        <v>312156</v>
      </c>
      <c r="D2803" s="5" t="s">
        <v>10</v>
      </c>
      <c r="E2803" s="5" t="str">
        <f t="shared" si="137"/>
        <v>ACTISALUD-GINECO-OBST-MARIA AUXILIADORA PERTUZ</v>
      </c>
      <c r="F2803" s="5"/>
      <c r="G2803" s="5"/>
    </row>
    <row r="2804" spans="1:7" ht="58.5" customHeight="1" x14ac:dyDescent="0.25">
      <c r="A2804" s="5" t="str">
        <f>"H0025415"</f>
        <v>H0025415</v>
      </c>
      <c r="B280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804" s="6">
        <v>312156</v>
      </c>
      <c r="D2804" s="5" t="s">
        <v>10</v>
      </c>
      <c r="E2804" s="5" t="str">
        <f t="shared" si="137"/>
        <v>ACTISALUD-GINECO-OBST-MARIA AUXILIADORA PERTUZ</v>
      </c>
      <c r="F2804" s="5"/>
      <c r="G2804" s="5"/>
    </row>
    <row r="2805" spans="1:7" ht="58.5" customHeight="1" x14ac:dyDescent="0.25">
      <c r="A2805" s="5" t="str">
        <f>"H0025531"</f>
        <v>H0025531</v>
      </c>
      <c r="B2805" s="5" t="str">
        <f>"SILLAS AVI/T FORRADAS EN CORDOBÁN COLOR NARANJA"</f>
        <v>SILLAS AVI/T FORRADAS EN CORDOBÁN COLOR NARANJA</v>
      </c>
      <c r="C2805" s="6">
        <v>154700</v>
      </c>
      <c r="D2805" s="5" t="s">
        <v>66</v>
      </c>
      <c r="E2805" s="5" t="str">
        <f t="shared" si="137"/>
        <v>ACTISALUD-GINECO-OBST-MARIA AUXILIADORA PERTUZ</v>
      </c>
      <c r="F2805" s="5"/>
      <c r="G2805" s="5"/>
    </row>
    <row r="2806" spans="1:7" ht="58.5" customHeight="1" x14ac:dyDescent="0.25">
      <c r="A2806" s="5" t="str">
        <f>"H0025533"</f>
        <v>H0025533</v>
      </c>
      <c r="B2806" s="5" t="str">
        <f>"SILLAS AVI/T FORRADAS EN CORDOBÁN COLOR NARANJA"</f>
        <v>SILLAS AVI/T FORRADAS EN CORDOBÁN COLOR NARANJA</v>
      </c>
      <c r="C2806" s="6">
        <v>154700</v>
      </c>
      <c r="D2806" s="5" t="s">
        <v>66</v>
      </c>
      <c r="E2806" s="5" t="str">
        <f t="shared" si="137"/>
        <v>ACTISALUD-GINECO-OBST-MARIA AUXILIADORA PERTUZ</v>
      </c>
      <c r="F2806" s="5"/>
      <c r="G2806" s="5"/>
    </row>
    <row r="2807" spans="1:7" ht="58.5" customHeight="1" x14ac:dyDescent="0.25">
      <c r="A2807" s="5" t="str">
        <f>"H0025534"</f>
        <v>H0025534</v>
      </c>
      <c r="B2807" s="5" t="str">
        <f>"SILLAS AVI/T FORRADAS EN CORDOBÁN COLOR NARANJA"</f>
        <v>SILLAS AVI/T FORRADAS EN CORDOBÁN COLOR NARANJA</v>
      </c>
      <c r="C2807" s="6">
        <v>154700</v>
      </c>
      <c r="D2807" s="5" t="s">
        <v>66</v>
      </c>
      <c r="E2807" s="5" t="str">
        <f t="shared" si="137"/>
        <v>ACTISALUD-GINECO-OBST-MARIA AUXILIADORA PERTUZ</v>
      </c>
      <c r="F2807" s="5"/>
      <c r="G2807" s="5"/>
    </row>
    <row r="2808" spans="1:7" ht="58.5" customHeight="1" x14ac:dyDescent="0.25">
      <c r="A2808" s="5" t="str">
        <f>"H0025540"</f>
        <v>H0025540</v>
      </c>
      <c r="B2808" s="5" t="str">
        <f>"SILLAS AVI/T FORRADAS EN CORDOBÁN COLOR NARANJA"</f>
        <v>SILLAS AVI/T FORRADAS EN CORDOBÁN COLOR NARANJA</v>
      </c>
      <c r="C2808" s="6">
        <v>154700</v>
      </c>
      <c r="D2808" s="5" t="s">
        <v>66</v>
      </c>
      <c r="E2808" s="5" t="str">
        <f t="shared" si="137"/>
        <v>ACTISALUD-GINECO-OBST-MARIA AUXILIADORA PERTUZ</v>
      </c>
      <c r="F2808" s="5"/>
      <c r="G2808" s="5"/>
    </row>
    <row r="2809" spans="1:7" ht="58.5" customHeight="1" x14ac:dyDescent="0.25">
      <c r="A2809" s="5" t="str">
        <f>"H0025726"</f>
        <v>H0025726</v>
      </c>
      <c r="B2809" s="5" t="str">
        <f>"MONITOR FETAL"</f>
        <v>MONITOR FETAL</v>
      </c>
      <c r="C2809" s="6">
        <v>5869080</v>
      </c>
      <c r="D2809" s="5" t="s">
        <v>265</v>
      </c>
      <c r="E2809" s="5" t="str">
        <f t="shared" si="137"/>
        <v>ACTISALUD-GINECO-OBST-MARIA AUXILIADORA PERTUZ</v>
      </c>
      <c r="F2809" s="5"/>
      <c r="G2809" s="5"/>
    </row>
    <row r="2810" spans="1:7" ht="58.5" customHeight="1" x14ac:dyDescent="0.25">
      <c r="A2810" s="5" t="str">
        <f>"H0025784"</f>
        <v>H0025784</v>
      </c>
      <c r="B2810" s="5" t="str">
        <f>"CARRO DE TRES NIVELES CON CAPACIDAD MINIMA DE 100 KG Y LAVABLES"</f>
        <v>CARRO DE TRES NIVELES CON CAPACIDAD MINIMA DE 100 KG Y LAVABLES</v>
      </c>
      <c r="C2810" s="6">
        <v>779716.55</v>
      </c>
      <c r="D2810" s="5" t="s">
        <v>266</v>
      </c>
      <c r="E2810" s="5" t="str">
        <f t="shared" si="137"/>
        <v>ACTISALUD-GINECO-OBST-MARIA AUXILIADORA PERTUZ</v>
      </c>
      <c r="F2810" s="5"/>
      <c r="G2810" s="5"/>
    </row>
    <row r="2811" spans="1:7" ht="58.5" customHeight="1" x14ac:dyDescent="0.25">
      <c r="A2811" s="5" t="str">
        <f>"H0025788"</f>
        <v>H0025788</v>
      </c>
      <c r="B2811" s="5" t="str">
        <f>"CARRO DE TRES NIVELES CON CAPACIDAD MINIMA DE 100 KG Y LAVABLES"</f>
        <v>CARRO DE TRES NIVELES CON CAPACIDAD MINIMA DE 100 KG Y LAVABLES</v>
      </c>
      <c r="C2811" s="6">
        <v>779716.55</v>
      </c>
      <c r="D2811" s="5" t="s">
        <v>267</v>
      </c>
      <c r="E2811" s="5" t="str">
        <f t="shared" si="137"/>
        <v>ACTISALUD-GINECO-OBST-MARIA AUXILIADORA PERTUZ</v>
      </c>
      <c r="F2811" s="5"/>
      <c r="G2811" s="5"/>
    </row>
    <row r="2812" spans="1:7" ht="58.5" customHeight="1" x14ac:dyDescent="0.25">
      <c r="A2812" s="5" t="str">
        <f>"H0025995"</f>
        <v>H0025995</v>
      </c>
      <c r="B2812" s="5" t="str">
        <f>"SILLA DE RUEDAS"</f>
        <v>SILLA DE RUEDAS</v>
      </c>
      <c r="C2812" s="6">
        <v>280000</v>
      </c>
      <c r="D2812" s="5" t="s">
        <v>77</v>
      </c>
      <c r="E2812" s="5" t="str">
        <f t="shared" si="137"/>
        <v>ACTISALUD-GINECO-OBST-MARIA AUXILIADORA PERTUZ</v>
      </c>
      <c r="F2812" s="5"/>
      <c r="G2812" s="5"/>
    </row>
    <row r="2813" spans="1:7" ht="58.5" customHeight="1" x14ac:dyDescent="0.25">
      <c r="A2813" s="5" t="str">
        <f>"H0025996"</f>
        <v>H0025996</v>
      </c>
      <c r="B2813" s="5" t="str">
        <f>"SILLA DE RUEDAS"</f>
        <v>SILLA DE RUEDAS</v>
      </c>
      <c r="C2813" s="6">
        <v>280000</v>
      </c>
      <c r="D2813" s="5" t="s">
        <v>77</v>
      </c>
      <c r="E2813" s="5" t="str">
        <f t="shared" si="137"/>
        <v>ACTISALUD-GINECO-OBST-MARIA AUXILIADORA PERTUZ</v>
      </c>
      <c r="F2813" s="5"/>
      <c r="G2813" s="5"/>
    </row>
    <row r="2814" spans="1:7" ht="58.5" customHeight="1" x14ac:dyDescent="0.25">
      <c r="A2814" s="5" t="str">
        <f>"H0025997"</f>
        <v>H0025997</v>
      </c>
      <c r="B2814" s="5" t="str">
        <f>"SILLA DE RUEDAS"</f>
        <v>SILLA DE RUEDAS</v>
      </c>
      <c r="C2814" s="6">
        <v>280000</v>
      </c>
      <c r="D2814" s="5" t="s">
        <v>77</v>
      </c>
      <c r="E2814" s="5" t="str">
        <f t="shared" si="137"/>
        <v>ACTISALUD-GINECO-OBST-MARIA AUXILIADORA PERTUZ</v>
      </c>
      <c r="F2814" s="5"/>
      <c r="G2814" s="5"/>
    </row>
    <row r="2815" spans="1:7" ht="58.5" customHeight="1" x14ac:dyDescent="0.25">
      <c r="A2815" s="5" t="str">
        <f>"H0025998"</f>
        <v>H0025998</v>
      </c>
      <c r="B2815" s="5" t="str">
        <f>"SILLA DE RUEDAS"</f>
        <v>SILLA DE RUEDAS</v>
      </c>
      <c r="C2815" s="6">
        <v>280000</v>
      </c>
      <c r="D2815" s="5" t="s">
        <v>77</v>
      </c>
      <c r="E2815" s="5" t="str">
        <f t="shared" si="137"/>
        <v>ACTISALUD-GINECO-OBST-MARIA AUXILIADORA PERTUZ</v>
      </c>
      <c r="F2815" s="5"/>
      <c r="G2815" s="5"/>
    </row>
    <row r="2816" spans="1:7" ht="58.5" customHeight="1" x14ac:dyDescent="0.25">
      <c r="A2816" s="5" t="str">
        <f>"H0026404"</f>
        <v>H0026404</v>
      </c>
      <c r="B2816" s="5" t="str">
        <f t="shared" ref="B2816:B2843" si="138">"UNIDAD DE LLAMADO DE ENFERMERIA PARA CAMA O BAÑO"</f>
        <v>UNIDAD DE LLAMADO DE ENFERMERIA PARA CAMA O BAÑO</v>
      </c>
      <c r="C2816" s="6">
        <v>131671.12</v>
      </c>
      <c r="D2816" s="5" t="s">
        <v>78</v>
      </c>
      <c r="E2816" s="5" t="str">
        <f t="shared" si="137"/>
        <v>ACTISALUD-GINECO-OBST-MARIA AUXILIADORA PERTUZ</v>
      </c>
      <c r="F2816" s="5"/>
      <c r="G2816" s="5"/>
    </row>
    <row r="2817" spans="1:7" ht="58.5" customHeight="1" x14ac:dyDescent="0.25">
      <c r="A2817" s="5" t="str">
        <f>"H0026405"</f>
        <v>H0026405</v>
      </c>
      <c r="B2817" s="5" t="str">
        <f t="shared" si="138"/>
        <v>UNIDAD DE LLAMADO DE ENFERMERIA PARA CAMA O BAÑO</v>
      </c>
      <c r="C2817" s="6">
        <v>131671.12</v>
      </c>
      <c r="D2817" s="5" t="s">
        <v>78</v>
      </c>
      <c r="E2817" s="5" t="str">
        <f t="shared" si="137"/>
        <v>ACTISALUD-GINECO-OBST-MARIA AUXILIADORA PERTUZ</v>
      </c>
      <c r="F2817" s="5"/>
      <c r="G2817" s="5"/>
    </row>
    <row r="2818" spans="1:7" ht="58.5" customHeight="1" x14ac:dyDescent="0.25">
      <c r="A2818" s="5" t="str">
        <f>"H0026406"</f>
        <v>H0026406</v>
      </c>
      <c r="B2818" s="5" t="str">
        <f t="shared" si="138"/>
        <v>UNIDAD DE LLAMADO DE ENFERMERIA PARA CAMA O BAÑO</v>
      </c>
      <c r="C2818" s="6">
        <v>131671.12</v>
      </c>
      <c r="D2818" s="5" t="s">
        <v>78</v>
      </c>
      <c r="E2818" s="5" t="str">
        <f t="shared" si="137"/>
        <v>ACTISALUD-GINECO-OBST-MARIA AUXILIADORA PERTUZ</v>
      </c>
      <c r="F2818" s="5"/>
      <c r="G2818" s="5"/>
    </row>
    <row r="2819" spans="1:7" ht="58.5" customHeight="1" x14ac:dyDescent="0.25">
      <c r="A2819" s="5" t="str">
        <f>"H0026408"</f>
        <v>H0026408</v>
      </c>
      <c r="B2819" s="5" t="str">
        <f t="shared" si="138"/>
        <v>UNIDAD DE LLAMADO DE ENFERMERIA PARA CAMA O BAÑO</v>
      </c>
      <c r="C2819" s="6">
        <v>131671.12</v>
      </c>
      <c r="D2819" s="5" t="s">
        <v>78</v>
      </c>
      <c r="E2819" s="5" t="str">
        <f t="shared" si="137"/>
        <v>ACTISALUD-GINECO-OBST-MARIA AUXILIADORA PERTUZ</v>
      </c>
      <c r="F2819" s="5"/>
      <c r="G2819" s="5"/>
    </row>
    <row r="2820" spans="1:7" ht="58.5" customHeight="1" x14ac:dyDescent="0.25">
      <c r="A2820" s="5" t="str">
        <f>"H0026410"</f>
        <v>H0026410</v>
      </c>
      <c r="B2820" s="5" t="str">
        <f t="shared" si="138"/>
        <v>UNIDAD DE LLAMADO DE ENFERMERIA PARA CAMA O BAÑO</v>
      </c>
      <c r="C2820" s="6">
        <v>131671.12</v>
      </c>
      <c r="D2820" s="5" t="s">
        <v>78</v>
      </c>
      <c r="E2820" s="5" t="str">
        <f t="shared" si="137"/>
        <v>ACTISALUD-GINECO-OBST-MARIA AUXILIADORA PERTUZ</v>
      </c>
      <c r="F2820" s="5"/>
      <c r="G2820" s="5"/>
    </row>
    <row r="2821" spans="1:7" ht="58.5" customHeight="1" x14ac:dyDescent="0.25">
      <c r="A2821" s="5" t="str">
        <f>"H0026411"</f>
        <v>H0026411</v>
      </c>
      <c r="B2821" s="5" t="str">
        <f t="shared" si="138"/>
        <v>UNIDAD DE LLAMADO DE ENFERMERIA PARA CAMA O BAÑO</v>
      </c>
      <c r="C2821" s="6">
        <v>131671.12</v>
      </c>
      <c r="D2821" s="5" t="s">
        <v>78</v>
      </c>
      <c r="E2821" s="5" t="str">
        <f t="shared" si="137"/>
        <v>ACTISALUD-GINECO-OBST-MARIA AUXILIADORA PERTUZ</v>
      </c>
      <c r="F2821" s="5"/>
      <c r="G2821" s="5"/>
    </row>
    <row r="2822" spans="1:7" ht="58.5" customHeight="1" x14ac:dyDescent="0.25">
      <c r="A2822" s="5" t="str">
        <f>"H0026412"</f>
        <v>H0026412</v>
      </c>
      <c r="B2822" s="5" t="str">
        <f t="shared" si="138"/>
        <v>UNIDAD DE LLAMADO DE ENFERMERIA PARA CAMA O BAÑO</v>
      </c>
      <c r="C2822" s="6">
        <v>131671.12</v>
      </c>
      <c r="D2822" s="5" t="s">
        <v>78</v>
      </c>
      <c r="E2822" s="5" t="str">
        <f t="shared" si="137"/>
        <v>ACTISALUD-GINECO-OBST-MARIA AUXILIADORA PERTUZ</v>
      </c>
      <c r="F2822" s="5"/>
      <c r="G2822" s="5"/>
    </row>
    <row r="2823" spans="1:7" ht="58.5" customHeight="1" x14ac:dyDescent="0.25">
      <c r="A2823" s="5" t="str">
        <f>"H0026413"</f>
        <v>H0026413</v>
      </c>
      <c r="B2823" s="5" t="str">
        <f t="shared" si="138"/>
        <v>UNIDAD DE LLAMADO DE ENFERMERIA PARA CAMA O BAÑO</v>
      </c>
      <c r="C2823" s="6">
        <v>131671.12</v>
      </c>
      <c r="D2823" s="5" t="s">
        <v>78</v>
      </c>
      <c r="E2823" s="5" t="str">
        <f t="shared" si="137"/>
        <v>ACTISALUD-GINECO-OBST-MARIA AUXILIADORA PERTUZ</v>
      </c>
      <c r="F2823" s="5"/>
      <c r="G2823" s="5"/>
    </row>
    <row r="2824" spans="1:7" ht="58.5" customHeight="1" x14ac:dyDescent="0.25">
      <c r="A2824" s="5" t="str">
        <f>"H0026414"</f>
        <v>H0026414</v>
      </c>
      <c r="B2824" s="5" t="str">
        <f t="shared" si="138"/>
        <v>UNIDAD DE LLAMADO DE ENFERMERIA PARA CAMA O BAÑO</v>
      </c>
      <c r="C2824" s="6">
        <v>131671.12</v>
      </c>
      <c r="D2824" s="5" t="s">
        <v>78</v>
      </c>
      <c r="E2824" s="5" t="str">
        <f t="shared" si="137"/>
        <v>ACTISALUD-GINECO-OBST-MARIA AUXILIADORA PERTUZ</v>
      </c>
      <c r="F2824" s="5"/>
      <c r="G2824" s="5"/>
    </row>
    <row r="2825" spans="1:7" ht="58.5" customHeight="1" x14ac:dyDescent="0.25">
      <c r="A2825" s="5" t="str">
        <f>"H0026415"</f>
        <v>H0026415</v>
      </c>
      <c r="B2825" s="5" t="str">
        <f t="shared" si="138"/>
        <v>UNIDAD DE LLAMADO DE ENFERMERIA PARA CAMA O BAÑO</v>
      </c>
      <c r="C2825" s="6">
        <v>131671.12</v>
      </c>
      <c r="D2825" s="5" t="s">
        <v>78</v>
      </c>
      <c r="E2825" s="5" t="str">
        <f t="shared" si="137"/>
        <v>ACTISALUD-GINECO-OBST-MARIA AUXILIADORA PERTUZ</v>
      </c>
      <c r="F2825" s="5"/>
      <c r="G2825" s="5"/>
    </row>
    <row r="2826" spans="1:7" ht="58.5" customHeight="1" x14ac:dyDescent="0.25">
      <c r="A2826" s="5" t="str">
        <f>"H0026416"</f>
        <v>H0026416</v>
      </c>
      <c r="B2826" s="5" t="str">
        <f t="shared" si="138"/>
        <v>UNIDAD DE LLAMADO DE ENFERMERIA PARA CAMA O BAÑO</v>
      </c>
      <c r="C2826" s="6">
        <v>131671.12</v>
      </c>
      <c r="D2826" s="5" t="s">
        <v>78</v>
      </c>
      <c r="E2826" s="5" t="str">
        <f t="shared" si="137"/>
        <v>ACTISALUD-GINECO-OBST-MARIA AUXILIADORA PERTUZ</v>
      </c>
      <c r="F2826" s="5"/>
      <c r="G2826" s="5"/>
    </row>
    <row r="2827" spans="1:7" ht="58.5" customHeight="1" x14ac:dyDescent="0.25">
      <c r="A2827" s="5" t="str">
        <f>"H0026418"</f>
        <v>H0026418</v>
      </c>
      <c r="B2827" s="5" t="str">
        <f t="shared" si="138"/>
        <v>UNIDAD DE LLAMADO DE ENFERMERIA PARA CAMA O BAÑO</v>
      </c>
      <c r="C2827" s="6">
        <v>131671.12</v>
      </c>
      <c r="D2827" s="5" t="s">
        <v>78</v>
      </c>
      <c r="E2827" s="5" t="str">
        <f t="shared" si="137"/>
        <v>ACTISALUD-GINECO-OBST-MARIA AUXILIADORA PERTUZ</v>
      </c>
      <c r="F2827" s="5"/>
      <c r="G2827" s="5"/>
    </row>
    <row r="2828" spans="1:7" ht="58.5" customHeight="1" x14ac:dyDescent="0.25">
      <c r="A2828" s="5" t="str">
        <f>"H0026419"</f>
        <v>H0026419</v>
      </c>
      <c r="B2828" s="5" t="str">
        <f t="shared" si="138"/>
        <v>UNIDAD DE LLAMADO DE ENFERMERIA PARA CAMA O BAÑO</v>
      </c>
      <c r="C2828" s="6">
        <v>131671.12</v>
      </c>
      <c r="D2828" s="5" t="s">
        <v>78</v>
      </c>
      <c r="E2828" s="5" t="str">
        <f t="shared" si="137"/>
        <v>ACTISALUD-GINECO-OBST-MARIA AUXILIADORA PERTUZ</v>
      </c>
      <c r="F2828" s="5"/>
      <c r="G2828" s="5"/>
    </row>
    <row r="2829" spans="1:7" ht="58.5" customHeight="1" x14ac:dyDescent="0.25">
      <c r="A2829" s="5" t="str">
        <f>"H0026420"</f>
        <v>H0026420</v>
      </c>
      <c r="B2829" s="5" t="str">
        <f t="shared" si="138"/>
        <v>UNIDAD DE LLAMADO DE ENFERMERIA PARA CAMA O BAÑO</v>
      </c>
      <c r="C2829" s="6">
        <v>131671.12</v>
      </c>
      <c r="D2829" s="5" t="s">
        <v>78</v>
      </c>
      <c r="E2829" s="5" t="str">
        <f t="shared" ref="E2829:E2892" si="139">"ACTISALUD-GINECO-OBST-MARIA AUXILIADORA PERTUZ"</f>
        <v>ACTISALUD-GINECO-OBST-MARIA AUXILIADORA PERTUZ</v>
      </c>
      <c r="F2829" s="5"/>
      <c r="G2829" s="5"/>
    </row>
    <row r="2830" spans="1:7" ht="58.5" customHeight="1" x14ac:dyDescent="0.25">
      <c r="A2830" s="5" t="str">
        <f>"H0026421"</f>
        <v>H0026421</v>
      </c>
      <c r="B2830" s="5" t="str">
        <f t="shared" si="138"/>
        <v>UNIDAD DE LLAMADO DE ENFERMERIA PARA CAMA O BAÑO</v>
      </c>
      <c r="C2830" s="6">
        <v>131671.12</v>
      </c>
      <c r="D2830" s="5" t="s">
        <v>78</v>
      </c>
      <c r="E2830" s="5" t="str">
        <f t="shared" si="139"/>
        <v>ACTISALUD-GINECO-OBST-MARIA AUXILIADORA PERTUZ</v>
      </c>
      <c r="F2830" s="5"/>
      <c r="G2830" s="5"/>
    </row>
    <row r="2831" spans="1:7" ht="58.5" customHeight="1" x14ac:dyDescent="0.25">
      <c r="A2831" s="5" t="str">
        <f>"H0026422"</f>
        <v>H0026422</v>
      </c>
      <c r="B2831" s="5" t="str">
        <f t="shared" si="138"/>
        <v>UNIDAD DE LLAMADO DE ENFERMERIA PARA CAMA O BAÑO</v>
      </c>
      <c r="C2831" s="6">
        <v>131671.12</v>
      </c>
      <c r="D2831" s="5" t="s">
        <v>78</v>
      </c>
      <c r="E2831" s="5" t="str">
        <f t="shared" si="139"/>
        <v>ACTISALUD-GINECO-OBST-MARIA AUXILIADORA PERTUZ</v>
      </c>
      <c r="F2831" s="5"/>
      <c r="G2831" s="5"/>
    </row>
    <row r="2832" spans="1:7" ht="58.5" customHeight="1" x14ac:dyDescent="0.25">
      <c r="A2832" s="5" t="str">
        <f>"H0026423"</f>
        <v>H0026423</v>
      </c>
      <c r="B2832" s="5" t="str">
        <f t="shared" si="138"/>
        <v>UNIDAD DE LLAMADO DE ENFERMERIA PARA CAMA O BAÑO</v>
      </c>
      <c r="C2832" s="6">
        <v>131671.12</v>
      </c>
      <c r="D2832" s="5" t="s">
        <v>78</v>
      </c>
      <c r="E2832" s="5" t="str">
        <f t="shared" si="139"/>
        <v>ACTISALUD-GINECO-OBST-MARIA AUXILIADORA PERTUZ</v>
      </c>
      <c r="F2832" s="5"/>
      <c r="G2832" s="5"/>
    </row>
    <row r="2833" spans="1:7" ht="58.5" customHeight="1" x14ac:dyDescent="0.25">
      <c r="A2833" s="5" t="str">
        <f>"H0026424"</f>
        <v>H0026424</v>
      </c>
      <c r="B2833" s="5" t="str">
        <f t="shared" si="138"/>
        <v>UNIDAD DE LLAMADO DE ENFERMERIA PARA CAMA O BAÑO</v>
      </c>
      <c r="C2833" s="6">
        <v>131671.12</v>
      </c>
      <c r="D2833" s="5" t="s">
        <v>78</v>
      </c>
      <c r="E2833" s="5" t="str">
        <f t="shared" si="139"/>
        <v>ACTISALUD-GINECO-OBST-MARIA AUXILIADORA PERTUZ</v>
      </c>
      <c r="F2833" s="5"/>
      <c r="G2833" s="5"/>
    </row>
    <row r="2834" spans="1:7" ht="58.5" customHeight="1" x14ac:dyDescent="0.25">
      <c r="A2834" s="5" t="str">
        <f>"H0026425"</f>
        <v>H0026425</v>
      </c>
      <c r="B2834" s="5" t="str">
        <f t="shared" si="138"/>
        <v>UNIDAD DE LLAMADO DE ENFERMERIA PARA CAMA O BAÑO</v>
      </c>
      <c r="C2834" s="6">
        <v>131671.12</v>
      </c>
      <c r="D2834" s="5" t="s">
        <v>78</v>
      </c>
      <c r="E2834" s="5" t="str">
        <f t="shared" si="139"/>
        <v>ACTISALUD-GINECO-OBST-MARIA AUXILIADORA PERTUZ</v>
      </c>
      <c r="F2834" s="5"/>
      <c r="G2834" s="5"/>
    </row>
    <row r="2835" spans="1:7" ht="58.5" customHeight="1" x14ac:dyDescent="0.25">
      <c r="A2835" s="5" t="str">
        <f>"H0026426"</f>
        <v>H0026426</v>
      </c>
      <c r="B2835" s="5" t="str">
        <f t="shared" si="138"/>
        <v>UNIDAD DE LLAMADO DE ENFERMERIA PARA CAMA O BAÑO</v>
      </c>
      <c r="C2835" s="6">
        <v>131671.12</v>
      </c>
      <c r="D2835" s="5" t="s">
        <v>78</v>
      </c>
      <c r="E2835" s="5" t="str">
        <f t="shared" si="139"/>
        <v>ACTISALUD-GINECO-OBST-MARIA AUXILIADORA PERTUZ</v>
      </c>
      <c r="F2835" s="5"/>
      <c r="G2835" s="5"/>
    </row>
    <row r="2836" spans="1:7" ht="58.5" customHeight="1" x14ac:dyDescent="0.25">
      <c r="A2836" s="5" t="str">
        <f>"h0026427"</f>
        <v>h0026427</v>
      </c>
      <c r="B2836" s="5" t="str">
        <f t="shared" si="138"/>
        <v>UNIDAD DE LLAMADO DE ENFERMERIA PARA CAMA O BAÑO</v>
      </c>
      <c r="C2836" s="6">
        <v>131671.12</v>
      </c>
      <c r="D2836" s="5" t="s">
        <v>78</v>
      </c>
      <c r="E2836" s="5" t="str">
        <f t="shared" si="139"/>
        <v>ACTISALUD-GINECO-OBST-MARIA AUXILIADORA PERTUZ</v>
      </c>
      <c r="F2836" s="5"/>
      <c r="G2836" s="5"/>
    </row>
    <row r="2837" spans="1:7" ht="58.5" customHeight="1" x14ac:dyDescent="0.25">
      <c r="A2837" s="5" t="str">
        <f>"H0026428"</f>
        <v>H0026428</v>
      </c>
      <c r="B2837" s="5" t="str">
        <f t="shared" si="138"/>
        <v>UNIDAD DE LLAMADO DE ENFERMERIA PARA CAMA O BAÑO</v>
      </c>
      <c r="C2837" s="6">
        <v>131671.12</v>
      </c>
      <c r="D2837" s="5" t="s">
        <v>78</v>
      </c>
      <c r="E2837" s="5" t="str">
        <f t="shared" si="139"/>
        <v>ACTISALUD-GINECO-OBST-MARIA AUXILIADORA PERTUZ</v>
      </c>
      <c r="F2837" s="5"/>
      <c r="G2837" s="5"/>
    </row>
    <row r="2838" spans="1:7" ht="58.5" customHeight="1" x14ac:dyDescent="0.25">
      <c r="A2838" s="5" t="str">
        <f>"H0026429"</f>
        <v>H0026429</v>
      </c>
      <c r="B2838" s="5" t="str">
        <f t="shared" si="138"/>
        <v>UNIDAD DE LLAMADO DE ENFERMERIA PARA CAMA O BAÑO</v>
      </c>
      <c r="C2838" s="6">
        <v>131671.12</v>
      </c>
      <c r="D2838" s="5" t="s">
        <v>78</v>
      </c>
      <c r="E2838" s="5" t="str">
        <f t="shared" si="139"/>
        <v>ACTISALUD-GINECO-OBST-MARIA AUXILIADORA PERTUZ</v>
      </c>
      <c r="F2838" s="5"/>
      <c r="G2838" s="5"/>
    </row>
    <row r="2839" spans="1:7" ht="58.5" customHeight="1" x14ac:dyDescent="0.25">
      <c r="A2839" s="5" t="str">
        <f>"H0026430"</f>
        <v>H0026430</v>
      </c>
      <c r="B2839" s="5" t="str">
        <f t="shared" si="138"/>
        <v>UNIDAD DE LLAMADO DE ENFERMERIA PARA CAMA O BAÑO</v>
      </c>
      <c r="C2839" s="6">
        <v>131671.12</v>
      </c>
      <c r="D2839" s="5" t="s">
        <v>78</v>
      </c>
      <c r="E2839" s="5" t="str">
        <f t="shared" si="139"/>
        <v>ACTISALUD-GINECO-OBST-MARIA AUXILIADORA PERTUZ</v>
      </c>
      <c r="F2839" s="5"/>
      <c r="G2839" s="5"/>
    </row>
    <row r="2840" spans="1:7" ht="58.5" customHeight="1" x14ac:dyDescent="0.25">
      <c r="A2840" s="5" t="str">
        <f>"H0026431"</f>
        <v>H0026431</v>
      </c>
      <c r="B2840" s="5" t="str">
        <f t="shared" si="138"/>
        <v>UNIDAD DE LLAMADO DE ENFERMERIA PARA CAMA O BAÑO</v>
      </c>
      <c r="C2840" s="6">
        <v>131671.12</v>
      </c>
      <c r="D2840" s="5" t="s">
        <v>78</v>
      </c>
      <c r="E2840" s="5" t="str">
        <f t="shared" si="139"/>
        <v>ACTISALUD-GINECO-OBST-MARIA AUXILIADORA PERTUZ</v>
      </c>
      <c r="F2840" s="5"/>
      <c r="G2840" s="5"/>
    </row>
    <row r="2841" spans="1:7" ht="58.5" customHeight="1" x14ac:dyDescent="0.25">
      <c r="A2841" s="5" t="str">
        <f>"H0026432"</f>
        <v>H0026432</v>
      </c>
      <c r="B2841" s="5" t="str">
        <f t="shared" si="138"/>
        <v>UNIDAD DE LLAMADO DE ENFERMERIA PARA CAMA O BAÑO</v>
      </c>
      <c r="C2841" s="6">
        <v>131671.12</v>
      </c>
      <c r="D2841" s="5" t="s">
        <v>78</v>
      </c>
      <c r="E2841" s="5" t="str">
        <f t="shared" si="139"/>
        <v>ACTISALUD-GINECO-OBST-MARIA AUXILIADORA PERTUZ</v>
      </c>
      <c r="F2841" s="5"/>
      <c r="G2841" s="5"/>
    </row>
    <row r="2842" spans="1:7" ht="58.5" customHeight="1" x14ac:dyDescent="0.25">
      <c r="A2842" s="5" t="str">
        <f>"H0026433"</f>
        <v>H0026433</v>
      </c>
      <c r="B2842" s="5" t="str">
        <f t="shared" si="138"/>
        <v>UNIDAD DE LLAMADO DE ENFERMERIA PARA CAMA O BAÑO</v>
      </c>
      <c r="C2842" s="6">
        <v>131671.12</v>
      </c>
      <c r="D2842" s="5" t="s">
        <v>78</v>
      </c>
      <c r="E2842" s="5" t="str">
        <f t="shared" si="139"/>
        <v>ACTISALUD-GINECO-OBST-MARIA AUXILIADORA PERTUZ</v>
      </c>
      <c r="F2842" s="5"/>
      <c r="G2842" s="5"/>
    </row>
    <row r="2843" spans="1:7" ht="58.5" customHeight="1" x14ac:dyDescent="0.25">
      <c r="A2843" s="5" t="str">
        <f>"H0026434"</f>
        <v>H0026434</v>
      </c>
      <c r="B2843" s="5" t="str">
        <f t="shared" si="138"/>
        <v>UNIDAD DE LLAMADO DE ENFERMERIA PARA CAMA O BAÑO</v>
      </c>
      <c r="C2843" s="6">
        <v>131671.12</v>
      </c>
      <c r="D2843" s="5" t="s">
        <v>78</v>
      </c>
      <c r="E2843" s="5" t="str">
        <f t="shared" si="139"/>
        <v>ACTISALUD-GINECO-OBST-MARIA AUXILIADORA PERTUZ</v>
      </c>
      <c r="F2843" s="5"/>
      <c r="G2843" s="5"/>
    </row>
    <row r="2844" spans="1:7" ht="58.5" customHeight="1" x14ac:dyDescent="0.25">
      <c r="A2844" s="5" t="str">
        <f>"H0026739"</f>
        <v>H0026739</v>
      </c>
      <c r="B2844" s="5" t="str">
        <f t="shared" ref="B2844:B2851" si="140">"LAMPARA DE PASILLO DE LLAMADO DE ENFERMERIA"</f>
        <v>LAMPARA DE PASILLO DE LLAMADO DE ENFERMERIA</v>
      </c>
      <c r="C2844" s="6">
        <v>523510.75</v>
      </c>
      <c r="D2844" s="5" t="s">
        <v>78</v>
      </c>
      <c r="E2844" s="5" t="str">
        <f t="shared" si="139"/>
        <v>ACTISALUD-GINECO-OBST-MARIA AUXILIADORA PERTUZ</v>
      </c>
      <c r="F2844" s="5"/>
      <c r="G2844" s="5"/>
    </row>
    <row r="2845" spans="1:7" ht="58.5" customHeight="1" x14ac:dyDescent="0.25">
      <c r="A2845" s="5" t="str">
        <f>"H0026740"</f>
        <v>H0026740</v>
      </c>
      <c r="B2845" s="5" t="str">
        <f t="shared" si="140"/>
        <v>LAMPARA DE PASILLO DE LLAMADO DE ENFERMERIA</v>
      </c>
      <c r="C2845" s="6">
        <v>523510.75</v>
      </c>
      <c r="D2845" s="5" t="s">
        <v>78</v>
      </c>
      <c r="E2845" s="5" t="str">
        <f t="shared" si="139"/>
        <v>ACTISALUD-GINECO-OBST-MARIA AUXILIADORA PERTUZ</v>
      </c>
      <c r="F2845" s="5"/>
      <c r="G2845" s="5"/>
    </row>
    <row r="2846" spans="1:7" ht="58.5" customHeight="1" x14ac:dyDescent="0.25">
      <c r="A2846" s="5" t="str">
        <f>"H0026741"</f>
        <v>H0026741</v>
      </c>
      <c r="B2846" s="5" t="str">
        <f t="shared" si="140"/>
        <v>LAMPARA DE PASILLO DE LLAMADO DE ENFERMERIA</v>
      </c>
      <c r="C2846" s="6">
        <v>523510.75</v>
      </c>
      <c r="D2846" s="5" t="s">
        <v>78</v>
      </c>
      <c r="E2846" s="5" t="str">
        <f t="shared" si="139"/>
        <v>ACTISALUD-GINECO-OBST-MARIA AUXILIADORA PERTUZ</v>
      </c>
      <c r="F2846" s="5"/>
      <c r="G2846" s="5"/>
    </row>
    <row r="2847" spans="1:7" ht="58.5" customHeight="1" x14ac:dyDescent="0.25">
      <c r="A2847" s="5" t="str">
        <f>"H0026742"</f>
        <v>H0026742</v>
      </c>
      <c r="B2847" s="5" t="str">
        <f t="shared" si="140"/>
        <v>LAMPARA DE PASILLO DE LLAMADO DE ENFERMERIA</v>
      </c>
      <c r="C2847" s="6">
        <v>523510.75</v>
      </c>
      <c r="D2847" s="5" t="s">
        <v>78</v>
      </c>
      <c r="E2847" s="5" t="str">
        <f t="shared" si="139"/>
        <v>ACTISALUD-GINECO-OBST-MARIA AUXILIADORA PERTUZ</v>
      </c>
      <c r="F2847" s="5"/>
      <c r="G2847" s="5"/>
    </row>
    <row r="2848" spans="1:7" ht="58.5" customHeight="1" x14ac:dyDescent="0.25">
      <c r="A2848" s="5" t="str">
        <f>"H0026743"</f>
        <v>H0026743</v>
      </c>
      <c r="B2848" s="5" t="str">
        <f t="shared" si="140"/>
        <v>LAMPARA DE PASILLO DE LLAMADO DE ENFERMERIA</v>
      </c>
      <c r="C2848" s="6">
        <v>523510.75</v>
      </c>
      <c r="D2848" s="5" t="s">
        <v>78</v>
      </c>
      <c r="E2848" s="5" t="str">
        <f t="shared" si="139"/>
        <v>ACTISALUD-GINECO-OBST-MARIA AUXILIADORA PERTUZ</v>
      </c>
      <c r="F2848" s="5"/>
      <c r="G2848" s="5"/>
    </row>
    <row r="2849" spans="1:7" ht="58.5" customHeight="1" x14ac:dyDescent="0.25">
      <c r="A2849" s="5" t="str">
        <f>"H0026744"</f>
        <v>H0026744</v>
      </c>
      <c r="B2849" s="5" t="str">
        <f t="shared" si="140"/>
        <v>LAMPARA DE PASILLO DE LLAMADO DE ENFERMERIA</v>
      </c>
      <c r="C2849" s="6">
        <v>523510.75</v>
      </c>
      <c r="D2849" s="5" t="s">
        <v>78</v>
      </c>
      <c r="E2849" s="5" t="str">
        <f t="shared" si="139"/>
        <v>ACTISALUD-GINECO-OBST-MARIA AUXILIADORA PERTUZ</v>
      </c>
      <c r="F2849" s="5"/>
      <c r="G2849" s="5"/>
    </row>
    <row r="2850" spans="1:7" ht="58.5" customHeight="1" x14ac:dyDescent="0.25">
      <c r="A2850" s="5" t="str">
        <f>"H0026745"</f>
        <v>H0026745</v>
      </c>
      <c r="B2850" s="5" t="str">
        <f t="shared" si="140"/>
        <v>LAMPARA DE PASILLO DE LLAMADO DE ENFERMERIA</v>
      </c>
      <c r="C2850" s="6">
        <v>523510.75</v>
      </c>
      <c r="D2850" s="5" t="s">
        <v>78</v>
      </c>
      <c r="E2850" s="5" t="str">
        <f t="shared" si="139"/>
        <v>ACTISALUD-GINECO-OBST-MARIA AUXILIADORA PERTUZ</v>
      </c>
      <c r="F2850" s="5"/>
      <c r="G2850" s="5"/>
    </row>
    <row r="2851" spans="1:7" ht="58.5" customHeight="1" x14ac:dyDescent="0.25">
      <c r="A2851" s="5" t="str">
        <f>"H0026746"</f>
        <v>H0026746</v>
      </c>
      <c r="B2851" s="5" t="str">
        <f t="shared" si="140"/>
        <v>LAMPARA DE PASILLO DE LLAMADO DE ENFERMERIA</v>
      </c>
      <c r="C2851" s="6">
        <v>523510.75</v>
      </c>
      <c r="D2851" s="5" t="s">
        <v>78</v>
      </c>
      <c r="E2851" s="5" t="str">
        <f t="shared" si="139"/>
        <v>ACTISALUD-GINECO-OBST-MARIA AUXILIADORA PERTUZ</v>
      </c>
      <c r="F2851" s="5"/>
      <c r="G2851" s="5"/>
    </row>
    <row r="2852" spans="1:7" ht="58.5" customHeight="1" x14ac:dyDescent="0.25">
      <c r="A2852" s="5" t="str">
        <f>"H0026765"</f>
        <v>H0026765</v>
      </c>
      <c r="B2852" s="5" t="str">
        <f>"PANTALLA LLAMADO DE ENFERMERAS 2 FILAS (PANTALLA LED 40X20 cm)"</f>
        <v>PANTALLA LLAMADO DE ENFERMERAS 2 FILAS (PANTALLA LED 40X20 cm)</v>
      </c>
      <c r="C2852" s="6">
        <v>3965980.8</v>
      </c>
      <c r="D2852" s="5" t="s">
        <v>78</v>
      </c>
      <c r="E2852" s="5" t="str">
        <f t="shared" si="139"/>
        <v>ACTISALUD-GINECO-OBST-MARIA AUXILIADORA PERTUZ</v>
      </c>
      <c r="F2852" s="5"/>
      <c r="G2852" s="5"/>
    </row>
    <row r="2853" spans="1:7" ht="58.5" customHeight="1" x14ac:dyDescent="0.25">
      <c r="A2853" s="5" t="str">
        <f>"H0026870"</f>
        <v>H0026870</v>
      </c>
      <c r="B2853" s="5" t="str">
        <f>"BOMBA DE INFUSION"</f>
        <v>BOMBA DE INFUSION</v>
      </c>
      <c r="C2853" s="6">
        <v>800000</v>
      </c>
      <c r="D2853" s="5" t="s">
        <v>79</v>
      </c>
      <c r="E2853" s="5" t="str">
        <f t="shared" si="139"/>
        <v>ACTISALUD-GINECO-OBST-MARIA AUXILIADORA PERTUZ</v>
      </c>
      <c r="F2853" s="5"/>
      <c r="G2853" s="5"/>
    </row>
    <row r="2854" spans="1:7" ht="58.5" customHeight="1" x14ac:dyDescent="0.25">
      <c r="A2854" s="5" t="str">
        <f>"H0026875"</f>
        <v>H0026875</v>
      </c>
      <c r="B2854" s="5" t="str">
        <f>"BOMBA DE INFUSION"</f>
        <v>BOMBA DE INFUSION</v>
      </c>
      <c r="C2854" s="6">
        <v>800000</v>
      </c>
      <c r="D2854" s="5" t="s">
        <v>79</v>
      </c>
      <c r="E2854" s="5" t="str">
        <f t="shared" si="139"/>
        <v>ACTISALUD-GINECO-OBST-MARIA AUXILIADORA PERTUZ</v>
      </c>
      <c r="F2854" s="5"/>
      <c r="G2854" s="5"/>
    </row>
    <row r="2855" spans="1:7" ht="58.5" customHeight="1" x14ac:dyDescent="0.25">
      <c r="A2855" s="5" t="str">
        <f>"H0027148"</f>
        <v>H0027148</v>
      </c>
      <c r="B2855" s="5" t="str">
        <f>"MONITOR DE SIGNOS VITALES"</f>
        <v>MONITOR DE SIGNOS VITALES</v>
      </c>
      <c r="C2855" s="6">
        <v>3680000.05</v>
      </c>
      <c r="D2855" s="5" t="s">
        <v>82</v>
      </c>
      <c r="E2855" s="5" t="str">
        <f t="shared" si="139"/>
        <v>ACTISALUD-GINECO-OBST-MARIA AUXILIADORA PERTUZ</v>
      </c>
      <c r="F2855" s="5"/>
      <c r="G2855" s="5"/>
    </row>
    <row r="2856" spans="1:7" ht="58.5" customHeight="1" x14ac:dyDescent="0.25">
      <c r="A2856" s="5" t="str">
        <f>"H0027283"</f>
        <v>H0027283</v>
      </c>
      <c r="B2856" s="5" t="str">
        <f>"CAMILLA GINECOLOGICA (DONACION)"</f>
        <v>CAMILLA GINECOLOGICA (DONACION)</v>
      </c>
      <c r="C2856" s="6">
        <v>100000</v>
      </c>
      <c r="D2856" s="5" t="s">
        <v>268</v>
      </c>
      <c r="E2856" s="5" t="str">
        <f t="shared" si="139"/>
        <v>ACTISALUD-GINECO-OBST-MARIA AUXILIADORA PERTUZ</v>
      </c>
      <c r="F2856" s="5"/>
      <c r="G2856" s="5"/>
    </row>
    <row r="2857" spans="1:7" ht="58.5" customHeight="1" x14ac:dyDescent="0.25">
      <c r="A2857" s="5" t="str">
        <f>"H0027305"</f>
        <v>H0027305</v>
      </c>
      <c r="B2857" s="5" t="str">
        <f>"BASE PARA MONITOR DE SIGNOS VITALES"</f>
        <v>BASE PARA MONITOR DE SIGNOS VITALES</v>
      </c>
      <c r="C2857" s="6">
        <v>809200</v>
      </c>
      <c r="D2857" s="5" t="s">
        <v>269</v>
      </c>
      <c r="E2857" s="5" t="str">
        <f t="shared" si="139"/>
        <v>ACTISALUD-GINECO-OBST-MARIA AUXILIADORA PERTUZ</v>
      </c>
      <c r="F2857" s="5"/>
      <c r="G2857" s="5"/>
    </row>
    <row r="2858" spans="1:7" ht="58.5" customHeight="1" x14ac:dyDescent="0.25">
      <c r="A2858" s="5" t="str">
        <f>"H0027443"</f>
        <v>H0027443</v>
      </c>
      <c r="B2858" s="5" t="str">
        <f t="shared" ref="B2858:B2866" si="141">"LECTOR DE HUELLAS DIGITALES"</f>
        <v>LECTOR DE HUELLAS DIGITALES</v>
      </c>
      <c r="C2858" s="6">
        <v>234000.41</v>
      </c>
      <c r="D2858" s="5" t="s">
        <v>83</v>
      </c>
      <c r="E2858" s="5" t="str">
        <f t="shared" si="139"/>
        <v>ACTISALUD-GINECO-OBST-MARIA AUXILIADORA PERTUZ</v>
      </c>
      <c r="F2858" s="5"/>
      <c r="G2858" s="5"/>
    </row>
    <row r="2859" spans="1:7" ht="58.5" customHeight="1" x14ac:dyDescent="0.25">
      <c r="A2859" s="5" t="str">
        <f>"H0027445"</f>
        <v>H0027445</v>
      </c>
      <c r="B2859" s="5" t="str">
        <f t="shared" si="141"/>
        <v>LECTOR DE HUELLAS DIGITALES</v>
      </c>
      <c r="C2859" s="6">
        <v>234000.41</v>
      </c>
      <c r="D2859" s="5" t="s">
        <v>83</v>
      </c>
      <c r="E2859" s="5" t="str">
        <f t="shared" si="139"/>
        <v>ACTISALUD-GINECO-OBST-MARIA AUXILIADORA PERTUZ</v>
      </c>
      <c r="F2859" s="5"/>
      <c r="G2859" s="5"/>
    </row>
    <row r="2860" spans="1:7" ht="58.5" customHeight="1" x14ac:dyDescent="0.25">
      <c r="A2860" s="5" t="str">
        <f>"H0027446"</f>
        <v>H0027446</v>
      </c>
      <c r="B2860" s="5" t="str">
        <f t="shared" si="141"/>
        <v>LECTOR DE HUELLAS DIGITALES</v>
      </c>
      <c r="C2860" s="6">
        <v>234000.41</v>
      </c>
      <c r="D2860" s="5" t="s">
        <v>83</v>
      </c>
      <c r="E2860" s="5" t="str">
        <f t="shared" si="139"/>
        <v>ACTISALUD-GINECO-OBST-MARIA AUXILIADORA PERTUZ</v>
      </c>
      <c r="F2860" s="5"/>
      <c r="G2860" s="5"/>
    </row>
    <row r="2861" spans="1:7" ht="58.5" customHeight="1" x14ac:dyDescent="0.25">
      <c r="A2861" s="5" t="str">
        <f>"H0027447"</f>
        <v>H0027447</v>
      </c>
      <c r="B2861" s="5" t="str">
        <f t="shared" si="141"/>
        <v>LECTOR DE HUELLAS DIGITALES</v>
      </c>
      <c r="C2861" s="6">
        <v>234000.41</v>
      </c>
      <c r="D2861" s="5" t="s">
        <v>83</v>
      </c>
      <c r="E2861" s="5" t="str">
        <f t="shared" si="139"/>
        <v>ACTISALUD-GINECO-OBST-MARIA AUXILIADORA PERTUZ</v>
      </c>
      <c r="F2861" s="5"/>
      <c r="G2861" s="5"/>
    </row>
    <row r="2862" spans="1:7" ht="58.5" customHeight="1" x14ac:dyDescent="0.25">
      <c r="A2862" s="5" t="str">
        <f>"H0027448"</f>
        <v>H0027448</v>
      </c>
      <c r="B2862" s="5" t="str">
        <f t="shared" si="141"/>
        <v>LECTOR DE HUELLAS DIGITALES</v>
      </c>
      <c r="C2862" s="6">
        <v>234000.41</v>
      </c>
      <c r="D2862" s="5" t="s">
        <v>83</v>
      </c>
      <c r="E2862" s="5" t="str">
        <f t="shared" si="139"/>
        <v>ACTISALUD-GINECO-OBST-MARIA AUXILIADORA PERTUZ</v>
      </c>
      <c r="F2862" s="5"/>
      <c r="G2862" s="5"/>
    </row>
    <row r="2863" spans="1:7" ht="58.5" customHeight="1" x14ac:dyDescent="0.25">
      <c r="A2863" s="5" t="str">
        <f>"H0027449"</f>
        <v>H0027449</v>
      </c>
      <c r="B2863" s="5" t="str">
        <f t="shared" si="141"/>
        <v>LECTOR DE HUELLAS DIGITALES</v>
      </c>
      <c r="C2863" s="6">
        <v>234000.41</v>
      </c>
      <c r="D2863" s="5" t="s">
        <v>83</v>
      </c>
      <c r="E2863" s="5" t="str">
        <f t="shared" si="139"/>
        <v>ACTISALUD-GINECO-OBST-MARIA AUXILIADORA PERTUZ</v>
      </c>
      <c r="F2863" s="5"/>
      <c r="G2863" s="5"/>
    </row>
    <row r="2864" spans="1:7" ht="58.5" customHeight="1" x14ac:dyDescent="0.25">
      <c r="A2864" s="5" t="str">
        <f>"H0027450"</f>
        <v>H0027450</v>
      </c>
      <c r="B2864" s="5" t="str">
        <f t="shared" si="141"/>
        <v>LECTOR DE HUELLAS DIGITALES</v>
      </c>
      <c r="C2864" s="6">
        <v>234000.41</v>
      </c>
      <c r="D2864" s="5" t="s">
        <v>83</v>
      </c>
      <c r="E2864" s="5" t="str">
        <f t="shared" si="139"/>
        <v>ACTISALUD-GINECO-OBST-MARIA AUXILIADORA PERTUZ</v>
      </c>
      <c r="F2864" s="5"/>
      <c r="G2864" s="5"/>
    </row>
    <row r="2865" spans="1:7" ht="58.5" customHeight="1" x14ac:dyDescent="0.25">
      <c r="A2865" s="5" t="str">
        <f>"H0027451"</f>
        <v>H0027451</v>
      </c>
      <c r="B2865" s="5" t="str">
        <f t="shared" si="141"/>
        <v>LECTOR DE HUELLAS DIGITALES</v>
      </c>
      <c r="C2865" s="6">
        <v>234000.41</v>
      </c>
      <c r="D2865" s="5" t="s">
        <v>83</v>
      </c>
      <c r="E2865" s="5" t="str">
        <f t="shared" si="139"/>
        <v>ACTISALUD-GINECO-OBST-MARIA AUXILIADORA PERTUZ</v>
      </c>
      <c r="F2865" s="5"/>
      <c r="G2865" s="5"/>
    </row>
    <row r="2866" spans="1:7" ht="58.5" customHeight="1" x14ac:dyDescent="0.25">
      <c r="A2866" s="5" t="str">
        <f>"H0027454"</f>
        <v>H0027454</v>
      </c>
      <c r="B2866" s="5" t="str">
        <f t="shared" si="141"/>
        <v>LECTOR DE HUELLAS DIGITALES</v>
      </c>
      <c r="C2866" s="6">
        <v>234000.41</v>
      </c>
      <c r="D2866" s="5" t="s">
        <v>83</v>
      </c>
      <c r="E2866" s="5" t="str">
        <f t="shared" si="139"/>
        <v>ACTISALUD-GINECO-OBST-MARIA AUXILIADORA PERTUZ</v>
      </c>
      <c r="F2866" s="5"/>
      <c r="G2866" s="5"/>
    </row>
    <row r="2867" spans="1:7" ht="58.5" customHeight="1" x14ac:dyDescent="0.25">
      <c r="A2867" s="5" t="str">
        <f>"H0027595"</f>
        <v>H0027595</v>
      </c>
      <c r="B2867" s="5" t="str">
        <f>"LARINGOSCOPIO ADULTO"</f>
        <v>LARINGOSCOPIO ADULTO</v>
      </c>
      <c r="C2867" s="6">
        <v>913920</v>
      </c>
      <c r="D2867" s="5" t="s">
        <v>84</v>
      </c>
      <c r="E2867" s="5" t="str">
        <f t="shared" si="139"/>
        <v>ACTISALUD-GINECO-OBST-MARIA AUXILIADORA PERTUZ</v>
      </c>
      <c r="F2867" s="5"/>
      <c r="G2867" s="5"/>
    </row>
    <row r="2868" spans="1:7" ht="58.5" customHeight="1" x14ac:dyDescent="0.25">
      <c r="A2868" s="5" t="str">
        <f>"H0028472"</f>
        <v>H0028472</v>
      </c>
      <c r="B2868" s="5" t="str">
        <f t="shared" ref="B2868:B2875" si="142">"SILLA RECLINOMATICA"</f>
        <v>SILLA RECLINOMATICA</v>
      </c>
      <c r="C2868" s="6">
        <v>900000</v>
      </c>
      <c r="D2868" s="5" t="s">
        <v>188</v>
      </c>
      <c r="E2868" s="5" t="str">
        <f t="shared" si="139"/>
        <v>ACTISALUD-GINECO-OBST-MARIA AUXILIADORA PERTUZ</v>
      </c>
      <c r="F2868" s="5"/>
      <c r="G2868" s="5"/>
    </row>
    <row r="2869" spans="1:7" ht="58.5" customHeight="1" x14ac:dyDescent="0.25">
      <c r="A2869" s="5" t="str">
        <f>"H0028473"</f>
        <v>H0028473</v>
      </c>
      <c r="B2869" s="5" t="str">
        <f t="shared" si="142"/>
        <v>SILLA RECLINOMATICA</v>
      </c>
      <c r="C2869" s="6">
        <v>900000</v>
      </c>
      <c r="D2869" s="5" t="s">
        <v>188</v>
      </c>
      <c r="E2869" s="5" t="str">
        <f t="shared" si="139"/>
        <v>ACTISALUD-GINECO-OBST-MARIA AUXILIADORA PERTUZ</v>
      </c>
      <c r="F2869" s="5"/>
      <c r="G2869" s="5"/>
    </row>
    <row r="2870" spans="1:7" ht="58.5" customHeight="1" x14ac:dyDescent="0.25">
      <c r="A2870" s="5" t="str">
        <f>"H0028474"</f>
        <v>H0028474</v>
      </c>
      <c r="B2870" s="5" t="str">
        <f t="shared" si="142"/>
        <v>SILLA RECLINOMATICA</v>
      </c>
      <c r="C2870" s="6">
        <v>900000</v>
      </c>
      <c r="D2870" s="5" t="s">
        <v>188</v>
      </c>
      <c r="E2870" s="5" t="str">
        <f t="shared" si="139"/>
        <v>ACTISALUD-GINECO-OBST-MARIA AUXILIADORA PERTUZ</v>
      </c>
      <c r="F2870" s="5"/>
      <c r="G2870" s="5"/>
    </row>
    <row r="2871" spans="1:7" ht="58.5" customHeight="1" x14ac:dyDescent="0.25">
      <c r="A2871" s="5" t="str">
        <f>"H0028475"</f>
        <v>H0028475</v>
      </c>
      <c r="B2871" s="5" t="str">
        <f t="shared" si="142"/>
        <v>SILLA RECLINOMATICA</v>
      </c>
      <c r="C2871" s="6">
        <v>900000</v>
      </c>
      <c r="D2871" s="5" t="s">
        <v>188</v>
      </c>
      <c r="E2871" s="5" t="str">
        <f t="shared" si="139"/>
        <v>ACTISALUD-GINECO-OBST-MARIA AUXILIADORA PERTUZ</v>
      </c>
      <c r="F2871" s="5"/>
      <c r="G2871" s="5"/>
    </row>
    <row r="2872" spans="1:7" ht="58.5" customHeight="1" x14ac:dyDescent="0.25">
      <c r="A2872" s="5" t="str">
        <f>"H0028476"</f>
        <v>H0028476</v>
      </c>
      <c r="B2872" s="5" t="str">
        <f t="shared" si="142"/>
        <v>SILLA RECLINOMATICA</v>
      </c>
      <c r="C2872" s="6">
        <v>900000</v>
      </c>
      <c r="D2872" s="5" t="s">
        <v>188</v>
      </c>
      <c r="E2872" s="5" t="str">
        <f t="shared" si="139"/>
        <v>ACTISALUD-GINECO-OBST-MARIA AUXILIADORA PERTUZ</v>
      </c>
      <c r="F2872" s="5"/>
      <c r="G2872" s="5"/>
    </row>
    <row r="2873" spans="1:7" ht="58.5" customHeight="1" x14ac:dyDescent="0.25">
      <c r="A2873" s="5" t="str">
        <f>"H0028477"</f>
        <v>H0028477</v>
      </c>
      <c r="B2873" s="5" t="str">
        <f t="shared" si="142"/>
        <v>SILLA RECLINOMATICA</v>
      </c>
      <c r="C2873" s="6">
        <v>900000</v>
      </c>
      <c r="D2873" s="5" t="s">
        <v>188</v>
      </c>
      <c r="E2873" s="5" t="str">
        <f t="shared" si="139"/>
        <v>ACTISALUD-GINECO-OBST-MARIA AUXILIADORA PERTUZ</v>
      </c>
      <c r="F2873" s="5"/>
      <c r="G2873" s="5"/>
    </row>
    <row r="2874" spans="1:7" ht="58.5" customHeight="1" x14ac:dyDescent="0.25">
      <c r="A2874" s="5" t="str">
        <f>"H0028478"</f>
        <v>H0028478</v>
      </c>
      <c r="B2874" s="5" t="str">
        <f t="shared" si="142"/>
        <v>SILLA RECLINOMATICA</v>
      </c>
      <c r="C2874" s="6">
        <v>900000</v>
      </c>
      <c r="D2874" s="5" t="s">
        <v>188</v>
      </c>
      <c r="E2874" s="5" t="str">
        <f t="shared" si="139"/>
        <v>ACTISALUD-GINECO-OBST-MARIA AUXILIADORA PERTUZ</v>
      </c>
      <c r="F2874" s="5"/>
      <c r="G2874" s="5"/>
    </row>
    <row r="2875" spans="1:7" ht="58.5" customHeight="1" x14ac:dyDescent="0.25">
      <c r="A2875" s="5" t="str">
        <f>"H0028479"</f>
        <v>H0028479</v>
      </c>
      <c r="B2875" s="5" t="str">
        <f t="shared" si="142"/>
        <v>SILLA RECLINOMATICA</v>
      </c>
      <c r="C2875" s="6">
        <v>900000</v>
      </c>
      <c r="D2875" s="5" t="s">
        <v>188</v>
      </c>
      <c r="E2875" s="5" t="str">
        <f t="shared" si="139"/>
        <v>ACTISALUD-GINECO-OBST-MARIA AUXILIADORA PERTUZ</v>
      </c>
      <c r="F2875" s="5"/>
      <c r="G2875" s="5"/>
    </row>
    <row r="2876" spans="1:7" ht="58.5" customHeight="1" x14ac:dyDescent="0.25">
      <c r="A2876" s="5" t="str">
        <f>"H0028552"</f>
        <v>H0028552</v>
      </c>
      <c r="B2876" s="5" t="str">
        <f>"CAMA ELECTRICA ADULTOS"</f>
        <v>CAMA ELECTRICA ADULTOS</v>
      </c>
      <c r="C2876" s="6">
        <v>11222890</v>
      </c>
      <c r="D2876" s="5" t="s">
        <v>270</v>
      </c>
      <c r="E2876" s="5" t="str">
        <f t="shared" si="139"/>
        <v>ACTISALUD-GINECO-OBST-MARIA AUXILIADORA PERTUZ</v>
      </c>
      <c r="F2876" s="5"/>
      <c r="G2876" s="5"/>
    </row>
    <row r="2877" spans="1:7" ht="58.5" customHeight="1" x14ac:dyDescent="0.25">
      <c r="A2877" s="5" t="str">
        <f>"H0028560"</f>
        <v>H0028560</v>
      </c>
      <c r="B2877" s="5" t="str">
        <f>"CAMA ELECTRICA ADULTOS"</f>
        <v>CAMA ELECTRICA ADULTOS</v>
      </c>
      <c r="C2877" s="6">
        <v>11222890</v>
      </c>
      <c r="D2877" s="5" t="s">
        <v>270</v>
      </c>
      <c r="E2877" s="5" t="str">
        <f t="shared" si="139"/>
        <v>ACTISALUD-GINECO-OBST-MARIA AUXILIADORA PERTUZ</v>
      </c>
      <c r="F2877" s="5"/>
      <c r="G2877" s="5"/>
    </row>
    <row r="2878" spans="1:7" ht="58.5" customHeight="1" x14ac:dyDescent="0.25">
      <c r="A2878" s="5" t="str">
        <f>"H0028561"</f>
        <v>H0028561</v>
      </c>
      <c r="B2878" s="5" t="str">
        <f>"CAMA ELECTRICA ADULTOS"</f>
        <v>CAMA ELECTRICA ADULTOS</v>
      </c>
      <c r="C2878" s="6">
        <v>11222890</v>
      </c>
      <c r="D2878" s="5" t="s">
        <v>270</v>
      </c>
      <c r="E2878" s="5" t="str">
        <f t="shared" si="139"/>
        <v>ACTISALUD-GINECO-OBST-MARIA AUXILIADORA PERTUZ</v>
      </c>
      <c r="F2878" s="5"/>
      <c r="G2878" s="5"/>
    </row>
    <row r="2879" spans="1:7" ht="58.5" customHeight="1" x14ac:dyDescent="0.25">
      <c r="A2879" s="5" t="str">
        <f>"h0028566"</f>
        <v>h0028566</v>
      </c>
      <c r="B2879" s="5" t="str">
        <f>"DIVAN GINECOLOGICO CON CABINETE"</f>
        <v>DIVAN GINECOLOGICO CON CABINETE</v>
      </c>
      <c r="C2879" s="6">
        <v>3248700</v>
      </c>
      <c r="D2879" s="5" t="s">
        <v>270</v>
      </c>
      <c r="E2879" s="5" t="str">
        <f t="shared" si="139"/>
        <v>ACTISALUD-GINECO-OBST-MARIA AUXILIADORA PERTUZ</v>
      </c>
      <c r="F2879" s="5"/>
      <c r="G2879" s="5"/>
    </row>
    <row r="2880" spans="1:7" ht="58.5" customHeight="1" x14ac:dyDescent="0.25">
      <c r="A2880" s="5" t="str">
        <f>"h0028567"</f>
        <v>h0028567</v>
      </c>
      <c r="B2880" s="5" t="str">
        <f t="shared" ref="B2880:B2889" si="143">"MESA PARA COMER"</f>
        <v>MESA PARA COMER</v>
      </c>
      <c r="C2880" s="6">
        <v>759220</v>
      </c>
      <c r="D2880" s="5" t="s">
        <v>270</v>
      </c>
      <c r="E2880" s="5" t="str">
        <f t="shared" si="139"/>
        <v>ACTISALUD-GINECO-OBST-MARIA AUXILIADORA PERTUZ</v>
      </c>
      <c r="F2880" s="5"/>
      <c r="G2880" s="5"/>
    </row>
    <row r="2881" spans="1:7" ht="58.5" customHeight="1" x14ac:dyDescent="0.25">
      <c r="A2881" s="5" t="str">
        <f>"h0028568"</f>
        <v>h0028568</v>
      </c>
      <c r="B2881" s="5" t="str">
        <f t="shared" si="143"/>
        <v>MESA PARA COMER</v>
      </c>
      <c r="C2881" s="6">
        <v>759220</v>
      </c>
      <c r="D2881" s="5" t="s">
        <v>270</v>
      </c>
      <c r="E2881" s="5" t="str">
        <f t="shared" si="139"/>
        <v>ACTISALUD-GINECO-OBST-MARIA AUXILIADORA PERTUZ</v>
      </c>
      <c r="F2881" s="5"/>
      <c r="G2881" s="5"/>
    </row>
    <row r="2882" spans="1:7" ht="58.5" customHeight="1" x14ac:dyDescent="0.25">
      <c r="A2882" s="5" t="str">
        <f>"h0028569"</f>
        <v>h0028569</v>
      </c>
      <c r="B2882" s="5" t="str">
        <f t="shared" si="143"/>
        <v>MESA PARA COMER</v>
      </c>
      <c r="C2882" s="6">
        <v>759220</v>
      </c>
      <c r="D2882" s="5" t="s">
        <v>270</v>
      </c>
      <c r="E2882" s="5" t="str">
        <f t="shared" si="139"/>
        <v>ACTISALUD-GINECO-OBST-MARIA AUXILIADORA PERTUZ</v>
      </c>
      <c r="F2882" s="5"/>
      <c r="G2882" s="5"/>
    </row>
    <row r="2883" spans="1:7" ht="58.5" customHeight="1" x14ac:dyDescent="0.25">
      <c r="A2883" s="5" t="str">
        <f>"H0028570"</f>
        <v>H0028570</v>
      </c>
      <c r="B2883" s="5" t="str">
        <f t="shared" si="143"/>
        <v>MESA PARA COMER</v>
      </c>
      <c r="C2883" s="6">
        <v>759220</v>
      </c>
      <c r="D2883" s="5" t="s">
        <v>270</v>
      </c>
      <c r="E2883" s="5" t="str">
        <f t="shared" si="139"/>
        <v>ACTISALUD-GINECO-OBST-MARIA AUXILIADORA PERTUZ</v>
      </c>
      <c r="F2883" s="5"/>
      <c r="G2883" s="5"/>
    </row>
    <row r="2884" spans="1:7" ht="58.5" customHeight="1" x14ac:dyDescent="0.25">
      <c r="A2884" s="5" t="str">
        <f>"H0028571"</f>
        <v>H0028571</v>
      </c>
      <c r="B2884" s="5" t="str">
        <f t="shared" si="143"/>
        <v>MESA PARA COMER</v>
      </c>
      <c r="C2884" s="6">
        <v>759220</v>
      </c>
      <c r="D2884" s="5" t="s">
        <v>270</v>
      </c>
      <c r="E2884" s="5" t="str">
        <f t="shared" si="139"/>
        <v>ACTISALUD-GINECO-OBST-MARIA AUXILIADORA PERTUZ</v>
      </c>
      <c r="F2884" s="5"/>
      <c r="G2884" s="5"/>
    </row>
    <row r="2885" spans="1:7" ht="58.5" customHeight="1" x14ac:dyDescent="0.25">
      <c r="A2885" s="5" t="str">
        <f>"H0028572"</f>
        <v>H0028572</v>
      </c>
      <c r="B2885" s="5" t="str">
        <f t="shared" si="143"/>
        <v>MESA PARA COMER</v>
      </c>
      <c r="C2885" s="6">
        <v>759220</v>
      </c>
      <c r="D2885" s="5" t="s">
        <v>270</v>
      </c>
      <c r="E2885" s="5" t="str">
        <f t="shared" si="139"/>
        <v>ACTISALUD-GINECO-OBST-MARIA AUXILIADORA PERTUZ</v>
      </c>
      <c r="F2885" s="5"/>
      <c r="G2885" s="5"/>
    </row>
    <row r="2886" spans="1:7" ht="58.5" customHeight="1" x14ac:dyDescent="0.25">
      <c r="A2886" s="5" t="str">
        <f>"H0028573"</f>
        <v>H0028573</v>
      </c>
      <c r="B2886" s="5" t="str">
        <f t="shared" si="143"/>
        <v>MESA PARA COMER</v>
      </c>
      <c r="C2886" s="6">
        <v>759220</v>
      </c>
      <c r="D2886" s="5" t="s">
        <v>270</v>
      </c>
      <c r="E2886" s="5" t="str">
        <f t="shared" si="139"/>
        <v>ACTISALUD-GINECO-OBST-MARIA AUXILIADORA PERTUZ</v>
      </c>
      <c r="F2886" s="5"/>
      <c r="G2886" s="5"/>
    </row>
    <row r="2887" spans="1:7" ht="58.5" customHeight="1" x14ac:dyDescent="0.25">
      <c r="A2887" s="5" t="str">
        <f>"h0028574"</f>
        <v>h0028574</v>
      </c>
      <c r="B2887" s="5" t="str">
        <f t="shared" si="143"/>
        <v>MESA PARA COMER</v>
      </c>
      <c r="C2887" s="6">
        <v>759220</v>
      </c>
      <c r="D2887" s="5" t="s">
        <v>270</v>
      </c>
      <c r="E2887" s="5" t="str">
        <f t="shared" si="139"/>
        <v>ACTISALUD-GINECO-OBST-MARIA AUXILIADORA PERTUZ</v>
      </c>
      <c r="F2887" s="5"/>
      <c r="G2887" s="5"/>
    </row>
    <row r="2888" spans="1:7" ht="58.5" customHeight="1" x14ac:dyDescent="0.25">
      <c r="A2888" s="5" t="str">
        <f>"H0028575"</f>
        <v>H0028575</v>
      </c>
      <c r="B2888" s="5" t="str">
        <f t="shared" si="143"/>
        <v>MESA PARA COMER</v>
      </c>
      <c r="C2888" s="6">
        <v>759220</v>
      </c>
      <c r="D2888" s="5" t="s">
        <v>270</v>
      </c>
      <c r="E2888" s="5" t="str">
        <f t="shared" si="139"/>
        <v>ACTISALUD-GINECO-OBST-MARIA AUXILIADORA PERTUZ</v>
      </c>
      <c r="F2888" s="5"/>
      <c r="G2888" s="5"/>
    </row>
    <row r="2889" spans="1:7" ht="58.5" customHeight="1" x14ac:dyDescent="0.25">
      <c r="A2889" s="5" t="str">
        <f>"h0028576"</f>
        <v>h0028576</v>
      </c>
      <c r="B2889" s="5" t="str">
        <f t="shared" si="143"/>
        <v>MESA PARA COMER</v>
      </c>
      <c r="C2889" s="6">
        <v>759220</v>
      </c>
      <c r="D2889" s="5" t="s">
        <v>270</v>
      </c>
      <c r="E2889" s="5" t="str">
        <f t="shared" si="139"/>
        <v>ACTISALUD-GINECO-OBST-MARIA AUXILIADORA PERTUZ</v>
      </c>
      <c r="F2889" s="5"/>
      <c r="G2889" s="5"/>
    </row>
    <row r="2890" spans="1:7" ht="58.5" customHeight="1" x14ac:dyDescent="0.25">
      <c r="A2890" s="5" t="str">
        <f>"h0028577"</f>
        <v>h0028577</v>
      </c>
      <c r="B2890" s="5" t="str">
        <f>"SILLON RECLINABLE CON MECANISMO PARA RECLINAR"</f>
        <v>SILLON RECLINABLE CON MECANISMO PARA RECLINAR</v>
      </c>
      <c r="C2890" s="6">
        <v>1406580</v>
      </c>
      <c r="D2890" s="5" t="s">
        <v>270</v>
      </c>
      <c r="E2890" s="5" t="str">
        <f t="shared" si="139"/>
        <v>ACTISALUD-GINECO-OBST-MARIA AUXILIADORA PERTUZ</v>
      </c>
      <c r="F2890" s="5"/>
      <c r="G2890" s="5"/>
    </row>
    <row r="2891" spans="1:7" ht="58.5" customHeight="1" x14ac:dyDescent="0.25">
      <c r="A2891" s="5" t="str">
        <f>"h0028578"</f>
        <v>h0028578</v>
      </c>
      <c r="B2891" s="5" t="str">
        <f>"SILLON RECLINABLE CON MECANISMO PARA RECLINAR"</f>
        <v>SILLON RECLINABLE CON MECANISMO PARA RECLINAR</v>
      </c>
      <c r="C2891" s="6">
        <v>1406580</v>
      </c>
      <c r="D2891" s="5" t="s">
        <v>270</v>
      </c>
      <c r="E2891" s="5" t="str">
        <f t="shared" si="139"/>
        <v>ACTISALUD-GINECO-OBST-MARIA AUXILIADORA PERTUZ</v>
      </c>
      <c r="F2891" s="5"/>
      <c r="G2891" s="5"/>
    </row>
    <row r="2892" spans="1:7" ht="58.5" customHeight="1" x14ac:dyDescent="0.25">
      <c r="A2892" s="5" t="str">
        <f>"H0028579"</f>
        <v>H0028579</v>
      </c>
      <c r="B2892" s="5" t="str">
        <f>"SILLON RECLINABLE CON MECANISMO PARA RECLINAR"</f>
        <v>SILLON RECLINABLE CON MECANISMO PARA RECLINAR</v>
      </c>
      <c r="C2892" s="6">
        <v>1406580</v>
      </c>
      <c r="D2892" s="5" t="s">
        <v>270</v>
      </c>
      <c r="E2892" s="5" t="str">
        <f t="shared" si="139"/>
        <v>ACTISALUD-GINECO-OBST-MARIA AUXILIADORA PERTUZ</v>
      </c>
      <c r="F2892" s="5"/>
      <c r="G2892" s="5"/>
    </row>
    <row r="2893" spans="1:7" ht="58.5" customHeight="1" x14ac:dyDescent="0.25">
      <c r="A2893" s="5" t="str">
        <f>"H0028580"</f>
        <v>H0028580</v>
      </c>
      <c r="B2893" s="5" t="str">
        <f>"SILLON RECLINABLE CON MECANISMO PARA RECLINAR"</f>
        <v>SILLON RECLINABLE CON MECANISMO PARA RECLINAR</v>
      </c>
      <c r="C2893" s="6">
        <v>1406580</v>
      </c>
      <c r="D2893" s="5" t="s">
        <v>270</v>
      </c>
      <c r="E2893" s="5" t="str">
        <f t="shared" ref="E2893:E2956" si="144">"ACTISALUD-GINECO-OBST-MARIA AUXILIADORA PERTUZ"</f>
        <v>ACTISALUD-GINECO-OBST-MARIA AUXILIADORA PERTUZ</v>
      </c>
      <c r="F2893" s="5"/>
      <c r="G2893" s="5"/>
    </row>
    <row r="2894" spans="1:7" ht="58.5" customHeight="1" x14ac:dyDescent="0.25">
      <c r="A2894" s="5" t="str">
        <f>"H0028581"</f>
        <v>H0028581</v>
      </c>
      <c r="B2894" s="5" t="str">
        <f>"SILLON RECLINABLE CON MECANISMO PARA RECLINAR"</f>
        <v>SILLON RECLINABLE CON MECANISMO PARA RECLINAR</v>
      </c>
      <c r="C2894" s="6">
        <v>1406580</v>
      </c>
      <c r="D2894" s="5" t="s">
        <v>270</v>
      </c>
      <c r="E2894" s="5" t="str">
        <f t="shared" si="144"/>
        <v>ACTISALUD-GINECO-OBST-MARIA AUXILIADORA PERTUZ</v>
      </c>
      <c r="F2894" s="5"/>
      <c r="G2894" s="5"/>
    </row>
    <row r="2895" spans="1:7" ht="58.5" customHeight="1" x14ac:dyDescent="0.25">
      <c r="A2895" s="5" t="str">
        <f>"H0028609"</f>
        <v>H0028609</v>
      </c>
      <c r="B2895" s="5" t="str">
        <f>"MÓDULO WIRELESS (CON 1 SIRENA 45W Y BATERÍA)"</f>
        <v>MÓDULO WIRELESS (CON 1 SIRENA 45W Y BATERÍA)</v>
      </c>
      <c r="C2895" s="6">
        <v>728280</v>
      </c>
      <c r="D2895" s="5" t="s">
        <v>87</v>
      </c>
      <c r="E2895" s="5" t="str">
        <f t="shared" si="144"/>
        <v>ACTISALUD-GINECO-OBST-MARIA AUXILIADORA PERTUZ</v>
      </c>
      <c r="F2895" s="5"/>
      <c r="G2895" s="5"/>
    </row>
    <row r="2896" spans="1:7" ht="58.5" customHeight="1" x14ac:dyDescent="0.25">
      <c r="A2896" s="5" t="str">
        <f>"H0028621"</f>
        <v>H0028621</v>
      </c>
      <c r="B2896" s="5" t="str">
        <f>"BALIZA ROTATIVA WIRELESS LUZ EMERGENCIA"</f>
        <v>BALIZA ROTATIVA WIRELESS LUZ EMERGENCIA</v>
      </c>
      <c r="C2896" s="6">
        <v>238000</v>
      </c>
      <c r="D2896" s="5" t="s">
        <v>87</v>
      </c>
      <c r="E2896" s="5" t="str">
        <f t="shared" si="144"/>
        <v>ACTISALUD-GINECO-OBST-MARIA AUXILIADORA PERTUZ</v>
      </c>
      <c r="F2896" s="5"/>
      <c r="G2896" s="5"/>
    </row>
    <row r="2897" spans="1:7" ht="58.5" customHeight="1" x14ac:dyDescent="0.25">
      <c r="A2897" s="5" t="str">
        <f>"H0028647"</f>
        <v>H0028647</v>
      </c>
      <c r="B2897" s="5" t="str">
        <f>"BOTÓN DE EMERGENCIA PÁNICO SOS FIJO WIRELESS"</f>
        <v>BOTÓN DE EMERGENCIA PÁNICO SOS FIJO WIRELESS</v>
      </c>
      <c r="C2897" s="6">
        <v>297500</v>
      </c>
      <c r="D2897" s="5" t="s">
        <v>87</v>
      </c>
      <c r="E2897" s="5" t="str">
        <f t="shared" si="144"/>
        <v>ACTISALUD-GINECO-OBST-MARIA AUXILIADORA PERTUZ</v>
      </c>
      <c r="F2897" s="5"/>
      <c r="G2897" s="5"/>
    </row>
    <row r="2898" spans="1:7" ht="58.5" customHeight="1" x14ac:dyDescent="0.25">
      <c r="A2898" s="5" t="str">
        <f>"H0028648"</f>
        <v>H0028648</v>
      </c>
      <c r="B2898" s="5" t="str">
        <f>"BOTÓN DE EMERGENCIA PÁNICO SOS FIJO WIRELESS"</f>
        <v>BOTÓN DE EMERGENCIA PÁNICO SOS FIJO WIRELESS</v>
      </c>
      <c r="C2898" s="6">
        <v>297500</v>
      </c>
      <c r="D2898" s="5" t="s">
        <v>87</v>
      </c>
      <c r="E2898" s="5" t="str">
        <f t="shared" si="144"/>
        <v>ACTISALUD-GINECO-OBST-MARIA AUXILIADORA PERTUZ</v>
      </c>
      <c r="F2898" s="5"/>
      <c r="G2898" s="5"/>
    </row>
    <row r="2899" spans="1:7" ht="58.5" customHeight="1" x14ac:dyDescent="0.25">
      <c r="A2899" s="5" t="str">
        <f>"H0028649"</f>
        <v>H0028649</v>
      </c>
      <c r="B2899" s="5" t="str">
        <f>"BOTÓN DE EMERGENCIA PÁNICO SOS FIJO WIRELESS"</f>
        <v>BOTÓN DE EMERGENCIA PÁNICO SOS FIJO WIRELESS</v>
      </c>
      <c r="C2899" s="6">
        <v>297500</v>
      </c>
      <c r="D2899" s="5" t="s">
        <v>87</v>
      </c>
      <c r="E2899" s="5" t="str">
        <f t="shared" si="144"/>
        <v>ACTISALUD-GINECO-OBST-MARIA AUXILIADORA PERTUZ</v>
      </c>
      <c r="F2899" s="5"/>
      <c r="G2899" s="5"/>
    </row>
    <row r="2900" spans="1:7" ht="58.5" customHeight="1" x14ac:dyDescent="0.25">
      <c r="A2900" s="5" t="str">
        <f>"H0028676"</f>
        <v>H0028676</v>
      </c>
      <c r="B2900" s="5" t="str">
        <f>"BOTÓN DE EMERGENCIA PÁNICO SOS MÓVIL WIRELESS"</f>
        <v>BOTÓN DE EMERGENCIA PÁNICO SOS MÓVIL WIRELESS</v>
      </c>
      <c r="C2900" s="6">
        <v>47600</v>
      </c>
      <c r="D2900" s="5" t="s">
        <v>87</v>
      </c>
      <c r="E2900" s="5" t="str">
        <f t="shared" si="144"/>
        <v>ACTISALUD-GINECO-OBST-MARIA AUXILIADORA PERTUZ</v>
      </c>
      <c r="F2900" s="5"/>
      <c r="G2900" s="5"/>
    </row>
    <row r="2901" spans="1:7" ht="58.5" customHeight="1" x14ac:dyDescent="0.25">
      <c r="A2901" s="5" t="str">
        <f>"H0028677"</f>
        <v>H0028677</v>
      </c>
      <c r="B2901" s="5" t="str">
        <f>"BOTÓN DE EMERGENCIA PÁNICO SOS MÓVIL WIRELESS"</f>
        <v>BOTÓN DE EMERGENCIA PÁNICO SOS MÓVIL WIRELESS</v>
      </c>
      <c r="C2901" s="6">
        <v>47600</v>
      </c>
      <c r="D2901" s="5" t="s">
        <v>87</v>
      </c>
      <c r="E2901" s="5" t="str">
        <f t="shared" si="144"/>
        <v>ACTISALUD-GINECO-OBST-MARIA AUXILIADORA PERTUZ</v>
      </c>
      <c r="F2901" s="5"/>
      <c r="G2901" s="5"/>
    </row>
    <row r="2902" spans="1:7" ht="58.5" customHeight="1" x14ac:dyDescent="0.25">
      <c r="A2902" s="5" t="str">
        <f>"H0028715"</f>
        <v>H0028715</v>
      </c>
      <c r="B2902" s="5" t="str">
        <f>"LÁMPARA RECARGABLE DE EMERGENCIA 60 BOMBILLOS LED LUZ BLANCA"</f>
        <v>LÁMPARA RECARGABLE DE EMERGENCIA 60 BOMBILLOS LED LUZ BLANCA</v>
      </c>
      <c r="C2902" s="6">
        <v>255850</v>
      </c>
      <c r="D2902" s="5" t="s">
        <v>87</v>
      </c>
      <c r="E2902" s="5" t="str">
        <f t="shared" si="144"/>
        <v>ACTISALUD-GINECO-OBST-MARIA AUXILIADORA PERTUZ</v>
      </c>
      <c r="F2902" s="5"/>
      <c r="G2902" s="5"/>
    </row>
    <row r="2903" spans="1:7" ht="58.5" customHeight="1" x14ac:dyDescent="0.25">
      <c r="A2903" s="5" t="str">
        <f>"H0028716"</f>
        <v>H0028716</v>
      </c>
      <c r="B2903" s="5" t="str">
        <f>"LÁMPARA RECARGABLE DE EMERGENCIA 60 BOMBILLOS LED LUZ BLANCA"</f>
        <v>LÁMPARA RECARGABLE DE EMERGENCIA 60 BOMBILLOS LED LUZ BLANCA</v>
      </c>
      <c r="C2903" s="6">
        <v>255850</v>
      </c>
      <c r="D2903" s="5" t="s">
        <v>87</v>
      </c>
      <c r="E2903" s="5" t="str">
        <f t="shared" si="144"/>
        <v>ACTISALUD-GINECO-OBST-MARIA AUXILIADORA PERTUZ</v>
      </c>
      <c r="F2903" s="5"/>
      <c r="G2903" s="5"/>
    </row>
    <row r="2904" spans="1:7" ht="58.5" customHeight="1" x14ac:dyDescent="0.25">
      <c r="A2904" s="5" t="str">
        <f>"H0028717"</f>
        <v>H0028717</v>
      </c>
      <c r="B2904" s="5" t="str">
        <f>"LÁMPARA RECARGABLE DE EMERGENCIA 60 BOMBILLOS LED LUZ BLANCA"</f>
        <v>LÁMPARA RECARGABLE DE EMERGENCIA 60 BOMBILLOS LED LUZ BLANCA</v>
      </c>
      <c r="C2904" s="6">
        <v>255850</v>
      </c>
      <c r="D2904" s="5" t="s">
        <v>87</v>
      </c>
      <c r="E2904" s="5" t="str">
        <f t="shared" si="144"/>
        <v>ACTISALUD-GINECO-OBST-MARIA AUXILIADORA PERTUZ</v>
      </c>
      <c r="F2904" s="5"/>
      <c r="G2904" s="5"/>
    </row>
    <row r="2905" spans="1:7" ht="58.5" customHeight="1" x14ac:dyDescent="0.25">
      <c r="A2905" s="5" t="str">
        <f>"H0028718"</f>
        <v>H0028718</v>
      </c>
      <c r="B2905" s="5" t="str">
        <f>"LÁMPARA RECARGABLE DE EMERGENCIA 60 BOMBILLOS LED LUZ BLANCA"</f>
        <v>LÁMPARA RECARGABLE DE EMERGENCIA 60 BOMBILLOS LED LUZ BLANCA</v>
      </c>
      <c r="C2905" s="6">
        <v>255850</v>
      </c>
      <c r="D2905" s="5" t="s">
        <v>87</v>
      </c>
      <c r="E2905" s="5" t="str">
        <f t="shared" si="144"/>
        <v>ACTISALUD-GINECO-OBST-MARIA AUXILIADORA PERTUZ</v>
      </c>
      <c r="F2905" s="5"/>
      <c r="G2905" s="5"/>
    </row>
    <row r="2906" spans="1:7" ht="58.5" customHeight="1" x14ac:dyDescent="0.25">
      <c r="A2906" s="5" t="str">
        <f>"H0028754"</f>
        <v>H0028754</v>
      </c>
      <c r="B2906" s="5" t="str">
        <f>"NEVERA MINI BAR DE 93 LT"</f>
        <v>NEVERA MINI BAR DE 93 LT</v>
      </c>
      <c r="C2906" s="6">
        <v>479900.02</v>
      </c>
      <c r="D2906" s="5" t="s">
        <v>39</v>
      </c>
      <c r="E2906" s="5" t="str">
        <f t="shared" si="144"/>
        <v>ACTISALUD-GINECO-OBST-MARIA AUXILIADORA PERTUZ</v>
      </c>
      <c r="F2906" s="5"/>
      <c r="G2906" s="5" t="str">
        <f>"HYRF93S"</f>
        <v>HYRF93S</v>
      </c>
    </row>
    <row r="2907" spans="1:7" ht="58.5" customHeight="1" x14ac:dyDescent="0.25">
      <c r="A2907" s="5" t="str">
        <f>"H0028836"</f>
        <v>H0028836</v>
      </c>
      <c r="B2907" s="5" t="str">
        <f>"SILLA HERGONOMICA CON SISTEMA HIDRAULICO"</f>
        <v>SILLA HERGONOMICA CON SISTEMA HIDRAULICO</v>
      </c>
      <c r="C2907" s="6">
        <v>174900</v>
      </c>
      <c r="D2907" s="5" t="s">
        <v>40</v>
      </c>
      <c r="E2907" s="5" t="str">
        <f t="shared" si="144"/>
        <v>ACTISALUD-GINECO-OBST-MARIA AUXILIADORA PERTUZ</v>
      </c>
      <c r="F2907" s="5"/>
      <c r="G2907" s="5"/>
    </row>
    <row r="2908" spans="1:7" ht="58.5" customHeight="1" x14ac:dyDescent="0.25">
      <c r="A2908" s="5" t="str">
        <f>"h0028840"</f>
        <v>h0028840</v>
      </c>
      <c r="B2908" s="5" t="str">
        <f>"SILLA HERGONOMICA CON SISTEMA HIDRAULICO"</f>
        <v>SILLA HERGONOMICA CON SISTEMA HIDRAULICO</v>
      </c>
      <c r="C2908" s="6">
        <v>174900</v>
      </c>
      <c r="D2908" s="5" t="s">
        <v>40</v>
      </c>
      <c r="E2908" s="5" t="str">
        <f t="shared" si="144"/>
        <v>ACTISALUD-GINECO-OBST-MARIA AUXILIADORA PERTUZ</v>
      </c>
      <c r="F2908" s="5"/>
      <c r="G2908" s="5"/>
    </row>
    <row r="2909" spans="1:7" ht="58.5" customHeight="1" x14ac:dyDescent="0.25">
      <c r="A2909" s="5" t="str">
        <f>"H0028841"</f>
        <v>H0028841</v>
      </c>
      <c r="B2909" s="5" t="str">
        <f>"SILLA HERGONOMICA CON SISTEMA HIDRAULICO"</f>
        <v>SILLA HERGONOMICA CON SISTEMA HIDRAULICO</v>
      </c>
      <c r="C2909" s="6">
        <v>174900</v>
      </c>
      <c r="D2909" s="5" t="s">
        <v>40</v>
      </c>
      <c r="E2909" s="5" t="str">
        <f t="shared" si="144"/>
        <v>ACTISALUD-GINECO-OBST-MARIA AUXILIADORA PERTUZ</v>
      </c>
      <c r="F2909" s="5"/>
      <c r="G2909" s="5"/>
    </row>
    <row r="2910" spans="1:7" ht="58.5" customHeight="1" x14ac:dyDescent="0.25">
      <c r="A2910" s="5" t="str">
        <f>"H0029216"</f>
        <v>H0029216</v>
      </c>
      <c r="B2910" s="5" t="str">
        <f>"CARRO DE TRANSPORTE UNIVERSAL PARA ELECTROBISTURI/ ELECTROCARDIOGRAFO"</f>
        <v>CARRO DE TRANSPORTE UNIVERSAL PARA ELECTROBISTURI/ ELECTROCARDIOGRAFO</v>
      </c>
      <c r="C2910" s="6">
        <v>902500.83</v>
      </c>
      <c r="D2910" s="5" t="s">
        <v>223</v>
      </c>
      <c r="E2910" s="5" t="str">
        <f t="shared" si="144"/>
        <v>ACTISALUD-GINECO-OBST-MARIA AUXILIADORA PERTUZ</v>
      </c>
      <c r="F2910" s="5"/>
      <c r="G2910" s="5"/>
    </row>
    <row r="2911" spans="1:7" ht="58.5" customHeight="1" x14ac:dyDescent="0.25">
      <c r="A2911" s="5" t="str">
        <f>"H0029231"</f>
        <v>H0029231</v>
      </c>
      <c r="B2911" s="5" t="str">
        <f t="shared" ref="B2911:B2921" si="145">"CAMA ELECTRICA ADULTOS"</f>
        <v>CAMA ELECTRICA ADULTOS</v>
      </c>
      <c r="C2911" s="6">
        <v>6384962.8600000003</v>
      </c>
      <c r="D2911" s="5" t="s">
        <v>249</v>
      </c>
      <c r="E2911" s="5" t="str">
        <f t="shared" si="144"/>
        <v>ACTISALUD-GINECO-OBST-MARIA AUXILIADORA PERTUZ</v>
      </c>
      <c r="F2911" s="5"/>
      <c r="G2911" s="5"/>
    </row>
    <row r="2912" spans="1:7" ht="58.5" customHeight="1" x14ac:dyDescent="0.25">
      <c r="A2912" s="5" t="str">
        <f>"H0029232"</f>
        <v>H0029232</v>
      </c>
      <c r="B2912" s="5" t="str">
        <f t="shared" si="145"/>
        <v>CAMA ELECTRICA ADULTOS</v>
      </c>
      <c r="C2912" s="6">
        <v>6384962.8600000003</v>
      </c>
      <c r="D2912" s="5" t="s">
        <v>249</v>
      </c>
      <c r="E2912" s="5" t="str">
        <f t="shared" si="144"/>
        <v>ACTISALUD-GINECO-OBST-MARIA AUXILIADORA PERTUZ</v>
      </c>
      <c r="F2912" s="5"/>
      <c r="G2912" s="5"/>
    </row>
    <row r="2913" spans="1:7" ht="58.5" customHeight="1" x14ac:dyDescent="0.25">
      <c r="A2913" s="5" t="str">
        <f>"H0029234"</f>
        <v>H0029234</v>
      </c>
      <c r="B2913" s="5" t="str">
        <f t="shared" si="145"/>
        <v>CAMA ELECTRICA ADULTOS</v>
      </c>
      <c r="C2913" s="6">
        <v>6384962.8600000003</v>
      </c>
      <c r="D2913" s="5" t="s">
        <v>249</v>
      </c>
      <c r="E2913" s="5" t="str">
        <f t="shared" si="144"/>
        <v>ACTISALUD-GINECO-OBST-MARIA AUXILIADORA PERTUZ</v>
      </c>
      <c r="F2913" s="5"/>
      <c r="G2913" s="5"/>
    </row>
    <row r="2914" spans="1:7" ht="58.5" customHeight="1" x14ac:dyDescent="0.25">
      <c r="A2914" s="5" t="str">
        <f>"H0029235"</f>
        <v>H0029235</v>
      </c>
      <c r="B2914" s="5" t="str">
        <f t="shared" si="145"/>
        <v>CAMA ELECTRICA ADULTOS</v>
      </c>
      <c r="C2914" s="6">
        <v>6384962.8600000003</v>
      </c>
      <c r="D2914" s="5" t="s">
        <v>249</v>
      </c>
      <c r="E2914" s="5" t="str">
        <f t="shared" si="144"/>
        <v>ACTISALUD-GINECO-OBST-MARIA AUXILIADORA PERTUZ</v>
      </c>
      <c r="F2914" s="5"/>
      <c r="G2914" s="5"/>
    </row>
    <row r="2915" spans="1:7" ht="58.5" customHeight="1" x14ac:dyDescent="0.25">
      <c r="A2915" s="5" t="str">
        <f>"H0029236"</f>
        <v>H0029236</v>
      </c>
      <c r="B2915" s="5" t="str">
        <f t="shared" si="145"/>
        <v>CAMA ELECTRICA ADULTOS</v>
      </c>
      <c r="C2915" s="6">
        <v>6384962.8600000003</v>
      </c>
      <c r="D2915" s="5" t="s">
        <v>249</v>
      </c>
      <c r="E2915" s="5" t="str">
        <f t="shared" si="144"/>
        <v>ACTISALUD-GINECO-OBST-MARIA AUXILIADORA PERTUZ</v>
      </c>
      <c r="F2915" s="5"/>
      <c r="G2915" s="5"/>
    </row>
    <row r="2916" spans="1:7" ht="58.5" customHeight="1" x14ac:dyDescent="0.25">
      <c r="A2916" s="5" t="str">
        <f>"H0029238"</f>
        <v>H0029238</v>
      </c>
      <c r="B2916" s="5" t="str">
        <f t="shared" si="145"/>
        <v>CAMA ELECTRICA ADULTOS</v>
      </c>
      <c r="C2916" s="6">
        <v>6384962.8600000003</v>
      </c>
      <c r="D2916" s="5" t="s">
        <v>249</v>
      </c>
      <c r="E2916" s="5" t="str">
        <f t="shared" si="144"/>
        <v>ACTISALUD-GINECO-OBST-MARIA AUXILIADORA PERTUZ</v>
      </c>
      <c r="F2916" s="5"/>
      <c r="G2916" s="5"/>
    </row>
    <row r="2917" spans="1:7" ht="58.5" customHeight="1" x14ac:dyDescent="0.25">
      <c r="A2917" s="5" t="str">
        <f>"H0029239"</f>
        <v>H0029239</v>
      </c>
      <c r="B2917" s="5" t="str">
        <f t="shared" si="145"/>
        <v>CAMA ELECTRICA ADULTOS</v>
      </c>
      <c r="C2917" s="6">
        <v>6384962.8600000003</v>
      </c>
      <c r="D2917" s="5" t="s">
        <v>249</v>
      </c>
      <c r="E2917" s="5" t="str">
        <f t="shared" si="144"/>
        <v>ACTISALUD-GINECO-OBST-MARIA AUXILIADORA PERTUZ</v>
      </c>
      <c r="F2917" s="5"/>
      <c r="G2917" s="5"/>
    </row>
    <row r="2918" spans="1:7" ht="58.5" customHeight="1" x14ac:dyDescent="0.25">
      <c r="A2918" s="5" t="str">
        <f>"H0029240"</f>
        <v>H0029240</v>
      </c>
      <c r="B2918" s="5" t="str">
        <f t="shared" si="145"/>
        <v>CAMA ELECTRICA ADULTOS</v>
      </c>
      <c r="C2918" s="6">
        <v>6384962.8600000003</v>
      </c>
      <c r="D2918" s="5" t="s">
        <v>249</v>
      </c>
      <c r="E2918" s="5" t="str">
        <f t="shared" si="144"/>
        <v>ACTISALUD-GINECO-OBST-MARIA AUXILIADORA PERTUZ</v>
      </c>
      <c r="F2918" s="5"/>
      <c r="G2918" s="5"/>
    </row>
    <row r="2919" spans="1:7" ht="58.5" customHeight="1" x14ac:dyDescent="0.25">
      <c r="A2919" s="5" t="str">
        <f>"H0029241"</f>
        <v>H0029241</v>
      </c>
      <c r="B2919" s="5" t="str">
        <f t="shared" si="145"/>
        <v>CAMA ELECTRICA ADULTOS</v>
      </c>
      <c r="C2919" s="6">
        <v>6384962.8600000003</v>
      </c>
      <c r="D2919" s="5" t="s">
        <v>249</v>
      </c>
      <c r="E2919" s="5" t="str">
        <f t="shared" si="144"/>
        <v>ACTISALUD-GINECO-OBST-MARIA AUXILIADORA PERTUZ</v>
      </c>
      <c r="F2919" s="5"/>
      <c r="G2919" s="5"/>
    </row>
    <row r="2920" spans="1:7" ht="58.5" customHeight="1" x14ac:dyDescent="0.25">
      <c r="A2920" s="5" t="str">
        <f>"H0029242"</f>
        <v>H0029242</v>
      </c>
      <c r="B2920" s="5" t="str">
        <f t="shared" si="145"/>
        <v>CAMA ELECTRICA ADULTOS</v>
      </c>
      <c r="C2920" s="6">
        <v>6384962.8600000003</v>
      </c>
      <c r="D2920" s="5" t="s">
        <v>249</v>
      </c>
      <c r="E2920" s="5" t="str">
        <f t="shared" si="144"/>
        <v>ACTISALUD-GINECO-OBST-MARIA AUXILIADORA PERTUZ</v>
      </c>
      <c r="F2920" s="5"/>
      <c r="G2920" s="5"/>
    </row>
    <row r="2921" spans="1:7" ht="58.5" customHeight="1" x14ac:dyDescent="0.25">
      <c r="A2921" s="5" t="str">
        <f>"H0029244"</f>
        <v>H0029244</v>
      </c>
      <c r="B2921" s="5" t="str">
        <f t="shared" si="145"/>
        <v>CAMA ELECTRICA ADULTOS</v>
      </c>
      <c r="C2921" s="6">
        <v>6384962.8600000003</v>
      </c>
      <c r="D2921" s="5" t="s">
        <v>249</v>
      </c>
      <c r="E2921" s="5" t="str">
        <f t="shared" si="144"/>
        <v>ACTISALUD-GINECO-OBST-MARIA AUXILIADORA PERTUZ</v>
      </c>
      <c r="F2921" s="5"/>
      <c r="G2921" s="5"/>
    </row>
    <row r="2922" spans="1:7" ht="58.5" customHeight="1" x14ac:dyDescent="0.25">
      <c r="A2922" s="5" t="str">
        <f>"H0029326"</f>
        <v>H0029326</v>
      </c>
      <c r="B2922" s="5" t="str">
        <f>"SILLA HERGONOMICA CON SISTEMA HIDRAULICO"</f>
        <v>SILLA HERGONOMICA CON SISTEMA HIDRAULICO</v>
      </c>
      <c r="C2922" s="6">
        <v>174900</v>
      </c>
      <c r="D2922" s="5" t="s">
        <v>89</v>
      </c>
      <c r="E2922" s="5" t="str">
        <f t="shared" si="144"/>
        <v>ACTISALUD-GINECO-OBST-MARIA AUXILIADORA PERTUZ</v>
      </c>
      <c r="F2922" s="5"/>
      <c r="G2922" s="5"/>
    </row>
    <row r="2923" spans="1:7" ht="58.5" customHeight="1" x14ac:dyDescent="0.25">
      <c r="A2923" s="5" t="str">
        <f>"H0029409"</f>
        <v>H0029409</v>
      </c>
      <c r="B2923" s="5" t="str">
        <f>"UNIDAD DE LLAMADO DE ENFERMERIA PARA CAMA O BAÑO"</f>
        <v>UNIDAD DE LLAMADO DE ENFERMERIA PARA CAMA O BAÑO</v>
      </c>
      <c r="C2923" s="6">
        <v>131671.12</v>
      </c>
      <c r="D2923" s="5" t="s">
        <v>78</v>
      </c>
      <c r="E2923" s="5" t="str">
        <f t="shared" si="144"/>
        <v>ACTISALUD-GINECO-OBST-MARIA AUXILIADORA PERTUZ</v>
      </c>
      <c r="F2923" s="5"/>
      <c r="G2923" s="5"/>
    </row>
    <row r="2924" spans="1:7" ht="58.5" customHeight="1" x14ac:dyDescent="0.25">
      <c r="A2924" s="5" t="str">
        <f>"H0029435"</f>
        <v>H0029435</v>
      </c>
      <c r="B2924" s="5" t="str">
        <f>"SILLA RECLINOMATICA"</f>
        <v>SILLA RECLINOMATICA</v>
      </c>
      <c r="C2924" s="6">
        <v>1406580</v>
      </c>
      <c r="D2924" s="5" t="s">
        <v>271</v>
      </c>
      <c r="E2924" s="5" t="str">
        <f t="shared" si="144"/>
        <v>ACTISALUD-GINECO-OBST-MARIA AUXILIADORA PERTUZ</v>
      </c>
      <c r="F2924" s="5"/>
      <c r="G2924" s="5"/>
    </row>
    <row r="2925" spans="1:7" ht="58.5" customHeight="1" x14ac:dyDescent="0.25">
      <c r="A2925" s="5" t="str">
        <f>"H0029436"</f>
        <v>H0029436</v>
      </c>
      <c r="B2925" s="5" t="str">
        <f>"SILLA RECLINOMATICA"</f>
        <v>SILLA RECLINOMATICA</v>
      </c>
      <c r="C2925" s="6">
        <v>1406580</v>
      </c>
      <c r="D2925" s="5" t="s">
        <v>272</v>
      </c>
      <c r="E2925" s="5" t="str">
        <f t="shared" si="144"/>
        <v>ACTISALUD-GINECO-OBST-MARIA AUXILIADORA PERTUZ</v>
      </c>
      <c r="F2925" s="5"/>
      <c r="G2925" s="5"/>
    </row>
    <row r="2926" spans="1:7" ht="58.5" customHeight="1" x14ac:dyDescent="0.25">
      <c r="A2926" s="5" t="str">
        <f>"H0029472"</f>
        <v>H0029472</v>
      </c>
      <c r="B2926" s="5" t="str">
        <f>"LECTOR DE HUELLAS DIGITALES"</f>
        <v>LECTOR DE HUELLAS DIGITALES</v>
      </c>
      <c r="C2926" s="6">
        <v>309400</v>
      </c>
      <c r="D2926" s="5" t="s">
        <v>14</v>
      </c>
      <c r="E2926" s="5" t="str">
        <f t="shared" si="144"/>
        <v>ACTISALUD-GINECO-OBST-MARIA AUXILIADORA PERTUZ</v>
      </c>
      <c r="F2926" s="5"/>
      <c r="G2926" s="5"/>
    </row>
    <row r="2927" spans="1:7" ht="58.5" customHeight="1" x14ac:dyDescent="0.25">
      <c r="A2927" s="5" t="str">
        <f>"H0029483"</f>
        <v>H0029483</v>
      </c>
      <c r="B2927" s="5" t="str">
        <f>"LECTOR DE HUELLAS DIGITALES"</f>
        <v>LECTOR DE HUELLAS DIGITALES</v>
      </c>
      <c r="C2927" s="6">
        <v>309400</v>
      </c>
      <c r="D2927" s="5" t="s">
        <v>14</v>
      </c>
      <c r="E2927" s="5" t="str">
        <f t="shared" si="144"/>
        <v>ACTISALUD-GINECO-OBST-MARIA AUXILIADORA PERTUZ</v>
      </c>
      <c r="F2927" s="5"/>
      <c r="G2927" s="5"/>
    </row>
    <row r="2928" spans="1:7" ht="58.5" customHeight="1" x14ac:dyDescent="0.25">
      <c r="A2928" s="5" t="str">
        <f>"H0029514"</f>
        <v>H0029514</v>
      </c>
      <c r="B292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928" s="6">
        <v>257040</v>
      </c>
      <c r="D2928" s="5" t="s">
        <v>14</v>
      </c>
      <c r="E2928" s="5" t="str">
        <f t="shared" si="144"/>
        <v>ACTISALUD-GINECO-OBST-MARIA AUXILIADORA PERTUZ</v>
      </c>
      <c r="F2928" s="5"/>
      <c r="G2928" s="5"/>
    </row>
    <row r="2929" spans="1:7" ht="58.5" customHeight="1" x14ac:dyDescent="0.25">
      <c r="A2929" s="5" t="str">
        <f>"H0029716"</f>
        <v>H0029716</v>
      </c>
      <c r="B2929" s="5" t="s">
        <v>94</v>
      </c>
      <c r="C2929" s="6">
        <v>148999.9</v>
      </c>
      <c r="D2929" s="5" t="s">
        <v>93</v>
      </c>
      <c r="E2929" s="5" t="str">
        <f t="shared" si="144"/>
        <v>ACTISALUD-GINECO-OBST-MARIA AUXILIADORA PERTUZ</v>
      </c>
      <c r="F2929" s="5"/>
      <c r="G2929" s="5"/>
    </row>
    <row r="2930" spans="1:7" ht="58.5" customHeight="1" x14ac:dyDescent="0.25">
      <c r="A2930" s="5" t="str">
        <f>"H0029717"</f>
        <v>H0029717</v>
      </c>
      <c r="B2930" s="5" t="s">
        <v>94</v>
      </c>
      <c r="C2930" s="6">
        <v>148999.9</v>
      </c>
      <c r="D2930" s="5" t="s">
        <v>93</v>
      </c>
      <c r="E2930" s="5" t="str">
        <f t="shared" si="144"/>
        <v>ACTISALUD-GINECO-OBST-MARIA AUXILIADORA PERTUZ</v>
      </c>
      <c r="F2930" s="5"/>
      <c r="G2930" s="5"/>
    </row>
    <row r="2931" spans="1:7" ht="58.5" customHeight="1" x14ac:dyDescent="0.25">
      <c r="A2931" s="5" t="str">
        <f>"H0029718"</f>
        <v>H0029718</v>
      </c>
      <c r="B2931" s="5" t="s">
        <v>94</v>
      </c>
      <c r="C2931" s="6">
        <v>148999.9</v>
      </c>
      <c r="D2931" s="5" t="s">
        <v>93</v>
      </c>
      <c r="E2931" s="5" t="str">
        <f t="shared" si="144"/>
        <v>ACTISALUD-GINECO-OBST-MARIA AUXILIADORA PERTUZ</v>
      </c>
      <c r="F2931" s="5"/>
      <c r="G2931" s="5"/>
    </row>
    <row r="2932" spans="1:7" ht="58.5" customHeight="1" x14ac:dyDescent="0.25">
      <c r="A2932" s="5" t="str">
        <f>"H0029720"</f>
        <v>H0029720</v>
      </c>
      <c r="B2932" s="5" t="s">
        <v>94</v>
      </c>
      <c r="C2932" s="6">
        <v>148999.9</v>
      </c>
      <c r="D2932" s="5" t="s">
        <v>93</v>
      </c>
      <c r="E2932" s="5" t="str">
        <f t="shared" si="144"/>
        <v>ACTISALUD-GINECO-OBST-MARIA AUXILIADORA PERTUZ</v>
      </c>
      <c r="F2932" s="5"/>
      <c r="G2932" s="5"/>
    </row>
    <row r="2933" spans="1:7" ht="58.5" customHeight="1" x14ac:dyDescent="0.25">
      <c r="A2933" s="5" t="str">
        <f>"H0029721"</f>
        <v>H0029721</v>
      </c>
      <c r="B2933" s="5" t="s">
        <v>94</v>
      </c>
      <c r="C2933" s="6">
        <v>148999.9</v>
      </c>
      <c r="D2933" s="5" t="s">
        <v>93</v>
      </c>
      <c r="E2933" s="5" t="str">
        <f t="shared" si="144"/>
        <v>ACTISALUD-GINECO-OBST-MARIA AUXILIADORA PERTUZ</v>
      </c>
      <c r="F2933" s="5"/>
      <c r="G2933" s="5"/>
    </row>
    <row r="2934" spans="1:7" ht="58.5" customHeight="1" x14ac:dyDescent="0.25">
      <c r="A2934" s="5" t="str">
        <f>"H0029723"</f>
        <v>H0029723</v>
      </c>
      <c r="B2934" s="5" t="s">
        <v>94</v>
      </c>
      <c r="C2934" s="6">
        <v>148999.9</v>
      </c>
      <c r="D2934" s="5" t="s">
        <v>93</v>
      </c>
      <c r="E2934" s="5" t="str">
        <f t="shared" si="144"/>
        <v>ACTISALUD-GINECO-OBST-MARIA AUXILIADORA PERTUZ</v>
      </c>
      <c r="F2934" s="5"/>
      <c r="G2934" s="5"/>
    </row>
    <row r="2935" spans="1:7" ht="58.5" customHeight="1" x14ac:dyDescent="0.25">
      <c r="A2935" s="5" t="str">
        <f>"H0029724"</f>
        <v>H0029724</v>
      </c>
      <c r="B2935" s="5" t="s">
        <v>94</v>
      </c>
      <c r="C2935" s="6">
        <v>148999.9</v>
      </c>
      <c r="D2935" s="5" t="s">
        <v>93</v>
      </c>
      <c r="E2935" s="5" t="str">
        <f t="shared" si="144"/>
        <v>ACTISALUD-GINECO-OBST-MARIA AUXILIADORA PERTUZ</v>
      </c>
      <c r="F2935" s="5"/>
      <c r="G2935" s="5"/>
    </row>
    <row r="2936" spans="1:7" ht="58.5" customHeight="1" x14ac:dyDescent="0.25">
      <c r="A2936" s="5" t="str">
        <f>"H0029725"</f>
        <v>H0029725</v>
      </c>
      <c r="B2936" s="5" t="s">
        <v>94</v>
      </c>
      <c r="C2936" s="6">
        <v>148999.9</v>
      </c>
      <c r="D2936" s="5" t="s">
        <v>93</v>
      </c>
      <c r="E2936" s="5" t="str">
        <f t="shared" si="144"/>
        <v>ACTISALUD-GINECO-OBST-MARIA AUXILIADORA PERTUZ</v>
      </c>
      <c r="F2936" s="5"/>
      <c r="G2936" s="5"/>
    </row>
    <row r="2937" spans="1:7" ht="58.5" customHeight="1" x14ac:dyDescent="0.25">
      <c r="A2937" s="5" t="str">
        <f>"H0029726"</f>
        <v>H0029726</v>
      </c>
      <c r="B2937" s="5" t="s">
        <v>94</v>
      </c>
      <c r="C2937" s="6">
        <v>148999.9</v>
      </c>
      <c r="D2937" s="5" t="s">
        <v>93</v>
      </c>
      <c r="E2937" s="5" t="str">
        <f t="shared" si="144"/>
        <v>ACTISALUD-GINECO-OBST-MARIA AUXILIADORA PERTUZ</v>
      </c>
      <c r="F2937" s="5"/>
      <c r="G2937" s="5"/>
    </row>
    <row r="2938" spans="1:7" ht="58.5" customHeight="1" x14ac:dyDescent="0.25">
      <c r="A2938" s="5" t="str">
        <f>"H0029740"</f>
        <v>H0029740</v>
      </c>
      <c r="B2938" s="5" t="s">
        <v>94</v>
      </c>
      <c r="C2938" s="6">
        <v>148999.9</v>
      </c>
      <c r="D2938" s="5" t="s">
        <v>93</v>
      </c>
      <c r="E2938" s="5" t="str">
        <f t="shared" si="144"/>
        <v>ACTISALUD-GINECO-OBST-MARIA AUXILIADORA PERTUZ</v>
      </c>
      <c r="F2938" s="5"/>
      <c r="G2938" s="5"/>
    </row>
    <row r="2939" spans="1:7" ht="58.5" customHeight="1" x14ac:dyDescent="0.25">
      <c r="A2939" s="5" t="str">
        <f>"H0029774"</f>
        <v>H0029774</v>
      </c>
      <c r="B2939" s="5" t="s">
        <v>96</v>
      </c>
      <c r="C2939" s="6">
        <v>169000.22</v>
      </c>
      <c r="D2939" s="5" t="s">
        <v>93</v>
      </c>
      <c r="E2939" s="5" t="str">
        <f t="shared" si="144"/>
        <v>ACTISALUD-GINECO-OBST-MARIA AUXILIADORA PERTUZ</v>
      </c>
      <c r="F2939" s="5"/>
      <c r="G2939" s="5"/>
    </row>
    <row r="2940" spans="1:7" ht="58.5" customHeight="1" x14ac:dyDescent="0.25">
      <c r="A2940" s="5" t="str">
        <f>"H0029805"</f>
        <v>H0029805</v>
      </c>
      <c r="B294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940" s="6">
        <v>252399.97</v>
      </c>
      <c r="D2940" s="5" t="s">
        <v>189</v>
      </c>
      <c r="E2940" s="5" t="str">
        <f t="shared" si="144"/>
        <v>ACTISALUD-GINECO-OBST-MARIA AUXILIADORA PERTUZ</v>
      </c>
      <c r="F2940" s="5"/>
      <c r="G2940" s="5"/>
    </row>
    <row r="2941" spans="1:7" ht="58.5" customHeight="1" x14ac:dyDescent="0.25">
      <c r="A2941" s="5" t="str">
        <f>"H0029806"</f>
        <v>H0029806</v>
      </c>
      <c r="B294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941" s="6">
        <v>252399.97</v>
      </c>
      <c r="D2941" s="5" t="s">
        <v>189</v>
      </c>
      <c r="E2941" s="5" t="str">
        <f t="shared" si="144"/>
        <v>ACTISALUD-GINECO-OBST-MARIA AUXILIADORA PERTUZ</v>
      </c>
      <c r="F2941" s="5"/>
      <c r="G2941" s="5"/>
    </row>
    <row r="2942" spans="1:7" ht="58.5" customHeight="1" x14ac:dyDescent="0.25">
      <c r="A2942" s="5" t="str">
        <f>"H0029807"</f>
        <v>H0029807</v>
      </c>
      <c r="B294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942" s="6">
        <v>252399.97</v>
      </c>
      <c r="D2942" s="5" t="s">
        <v>189</v>
      </c>
      <c r="E2942" s="5" t="str">
        <f t="shared" si="144"/>
        <v>ACTISALUD-GINECO-OBST-MARIA AUXILIADORA PERTUZ</v>
      </c>
      <c r="F2942" s="5"/>
      <c r="G2942" s="5"/>
    </row>
    <row r="2943" spans="1:7" ht="58.5" customHeight="1" x14ac:dyDescent="0.25">
      <c r="A2943" s="5" t="str">
        <f>"H0029808"</f>
        <v>H0029808</v>
      </c>
      <c r="B294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943" s="6">
        <v>252399.97</v>
      </c>
      <c r="D2943" s="5" t="s">
        <v>189</v>
      </c>
      <c r="E2943" s="5" t="str">
        <f t="shared" si="144"/>
        <v>ACTISALUD-GINECO-OBST-MARIA AUXILIADORA PERTUZ</v>
      </c>
      <c r="F2943" s="5"/>
      <c r="G2943" s="5"/>
    </row>
    <row r="2944" spans="1:7" ht="58.5" customHeight="1" x14ac:dyDescent="0.25">
      <c r="A2944" s="5" t="str">
        <f>"H0029869"</f>
        <v>H0029869</v>
      </c>
      <c r="B2944" s="5" t="str">
        <f>"CARTELERA EN ACRILICO CRISTAL 4mm, CON BASE MDF DE 12mm INSTALADA CON DILATADORES EN ACERO"</f>
        <v>CARTELERA EN ACRILICO CRISTAL 4mm, CON BASE MDF DE 12mm INSTALADA CON DILATADORES EN ACERO</v>
      </c>
      <c r="C2944" s="6">
        <v>750000</v>
      </c>
      <c r="D2944" s="5" t="s">
        <v>225</v>
      </c>
      <c r="E2944" s="5" t="str">
        <f t="shared" si="144"/>
        <v>ACTISALUD-GINECO-OBST-MARIA AUXILIADORA PERTUZ</v>
      </c>
      <c r="F2944" s="5"/>
      <c r="G2944" s="5"/>
    </row>
    <row r="2945" spans="1:7" ht="58.5" customHeight="1" x14ac:dyDescent="0.25">
      <c r="A2945" s="5" t="str">
        <f>"H0029975"</f>
        <v>H0029975</v>
      </c>
      <c r="B2945" s="5" t="s">
        <v>273</v>
      </c>
      <c r="C2945" s="6">
        <v>1955894</v>
      </c>
      <c r="D2945" s="5" t="s">
        <v>225</v>
      </c>
      <c r="E2945" s="5" t="str">
        <f t="shared" si="144"/>
        <v>ACTISALUD-GINECO-OBST-MARIA AUXILIADORA PERTUZ</v>
      </c>
      <c r="F2945" s="5"/>
      <c r="G2945" s="5"/>
    </row>
    <row r="2946" spans="1:7" ht="58.5" customHeight="1" x14ac:dyDescent="0.25">
      <c r="A2946" s="5" t="str">
        <f>"H0030134"</f>
        <v>H0030134</v>
      </c>
      <c r="B2946" s="5" t="str">
        <f t="shared" ref="B2946:B2953" si="146">"SILLA RECLINOMATICA"</f>
        <v>SILLA RECLINOMATICA</v>
      </c>
      <c r="C2946" s="6">
        <v>1065050</v>
      </c>
      <c r="D2946" s="5" t="s">
        <v>100</v>
      </c>
      <c r="E2946" s="5" t="str">
        <f t="shared" si="144"/>
        <v>ACTISALUD-GINECO-OBST-MARIA AUXILIADORA PERTUZ</v>
      </c>
      <c r="F2946" s="5"/>
      <c r="G2946" s="5"/>
    </row>
    <row r="2947" spans="1:7" ht="58.5" customHeight="1" x14ac:dyDescent="0.25">
      <c r="A2947" s="5" t="str">
        <f>"H0030135"</f>
        <v>H0030135</v>
      </c>
      <c r="B2947" s="5" t="str">
        <f t="shared" si="146"/>
        <v>SILLA RECLINOMATICA</v>
      </c>
      <c r="C2947" s="6">
        <v>1065050</v>
      </c>
      <c r="D2947" s="5" t="s">
        <v>100</v>
      </c>
      <c r="E2947" s="5" t="str">
        <f t="shared" si="144"/>
        <v>ACTISALUD-GINECO-OBST-MARIA AUXILIADORA PERTUZ</v>
      </c>
      <c r="F2947" s="5"/>
      <c r="G2947" s="5"/>
    </row>
    <row r="2948" spans="1:7" ht="58.5" customHeight="1" x14ac:dyDescent="0.25">
      <c r="A2948" s="5" t="str">
        <f>"H0030136"</f>
        <v>H0030136</v>
      </c>
      <c r="B2948" s="5" t="str">
        <f t="shared" si="146"/>
        <v>SILLA RECLINOMATICA</v>
      </c>
      <c r="C2948" s="6">
        <v>1065050</v>
      </c>
      <c r="D2948" s="5" t="s">
        <v>100</v>
      </c>
      <c r="E2948" s="5" t="str">
        <f t="shared" si="144"/>
        <v>ACTISALUD-GINECO-OBST-MARIA AUXILIADORA PERTUZ</v>
      </c>
      <c r="F2948" s="5"/>
      <c r="G2948" s="5"/>
    </row>
    <row r="2949" spans="1:7" ht="58.5" customHeight="1" x14ac:dyDescent="0.25">
      <c r="A2949" s="5" t="str">
        <f>"H0030137"</f>
        <v>H0030137</v>
      </c>
      <c r="B2949" s="5" t="str">
        <f t="shared" si="146"/>
        <v>SILLA RECLINOMATICA</v>
      </c>
      <c r="C2949" s="6">
        <v>1065050</v>
      </c>
      <c r="D2949" s="5" t="s">
        <v>100</v>
      </c>
      <c r="E2949" s="5" t="str">
        <f t="shared" si="144"/>
        <v>ACTISALUD-GINECO-OBST-MARIA AUXILIADORA PERTUZ</v>
      </c>
      <c r="F2949" s="5"/>
      <c r="G2949" s="5"/>
    </row>
    <row r="2950" spans="1:7" ht="58.5" customHeight="1" x14ac:dyDescent="0.25">
      <c r="A2950" s="5" t="str">
        <f>"H0030138"</f>
        <v>H0030138</v>
      </c>
      <c r="B2950" s="5" t="str">
        <f t="shared" si="146"/>
        <v>SILLA RECLINOMATICA</v>
      </c>
      <c r="C2950" s="6">
        <v>1065050</v>
      </c>
      <c r="D2950" s="5" t="s">
        <v>100</v>
      </c>
      <c r="E2950" s="5" t="str">
        <f t="shared" si="144"/>
        <v>ACTISALUD-GINECO-OBST-MARIA AUXILIADORA PERTUZ</v>
      </c>
      <c r="F2950" s="5"/>
      <c r="G2950" s="5"/>
    </row>
    <row r="2951" spans="1:7" ht="58.5" customHeight="1" x14ac:dyDescent="0.25">
      <c r="A2951" s="5" t="str">
        <f>"H0030139"</f>
        <v>H0030139</v>
      </c>
      <c r="B2951" s="5" t="str">
        <f t="shared" si="146"/>
        <v>SILLA RECLINOMATICA</v>
      </c>
      <c r="C2951" s="6">
        <v>1065050</v>
      </c>
      <c r="D2951" s="5" t="s">
        <v>100</v>
      </c>
      <c r="E2951" s="5" t="str">
        <f t="shared" si="144"/>
        <v>ACTISALUD-GINECO-OBST-MARIA AUXILIADORA PERTUZ</v>
      </c>
      <c r="F2951" s="5"/>
      <c r="G2951" s="5"/>
    </row>
    <row r="2952" spans="1:7" ht="58.5" customHeight="1" x14ac:dyDescent="0.25">
      <c r="A2952" s="5" t="str">
        <f>"H0030140"</f>
        <v>H0030140</v>
      </c>
      <c r="B2952" s="5" t="str">
        <f t="shared" si="146"/>
        <v>SILLA RECLINOMATICA</v>
      </c>
      <c r="C2952" s="6">
        <v>1065050</v>
      </c>
      <c r="D2952" s="5" t="s">
        <v>100</v>
      </c>
      <c r="E2952" s="5" t="str">
        <f t="shared" si="144"/>
        <v>ACTISALUD-GINECO-OBST-MARIA AUXILIADORA PERTUZ</v>
      </c>
      <c r="F2952" s="5"/>
      <c r="G2952" s="5"/>
    </row>
    <row r="2953" spans="1:7" ht="58.5" customHeight="1" x14ac:dyDescent="0.25">
      <c r="A2953" s="5" t="str">
        <f>"H0030142"</f>
        <v>H0030142</v>
      </c>
      <c r="B2953" s="5" t="str">
        <f t="shared" si="146"/>
        <v>SILLA RECLINOMATICA</v>
      </c>
      <c r="C2953" s="6">
        <v>1065050</v>
      </c>
      <c r="D2953" s="5" t="s">
        <v>100</v>
      </c>
      <c r="E2953" s="5" t="str">
        <f t="shared" si="144"/>
        <v>ACTISALUD-GINECO-OBST-MARIA AUXILIADORA PERTUZ</v>
      </c>
      <c r="F2953" s="5"/>
      <c r="G2953" s="5"/>
    </row>
    <row r="2954" spans="1:7" ht="58.5" customHeight="1" x14ac:dyDescent="0.25">
      <c r="A2954" s="5" t="str">
        <f>"H0030347"</f>
        <v>H0030347</v>
      </c>
      <c r="B2954" s="5" t="str">
        <f>"UNIDAD DE LLAMADO DE ENFERMERIA PARA BAÑO CON CORDON TIRADOR. RESISTENTE A SALPICADURAS DE AGUA Y LUZ INDICADORA DE PULSACIÓN"</f>
        <v>UNIDAD DE LLAMADO DE ENFERMERIA PARA BAÑO CON CORDON TIRADOR. RESISTENTE A SALPICADURAS DE AGUA Y LUZ INDICADORA DE PULSACIÓN</v>
      </c>
      <c r="C2954" s="6">
        <v>205537.98</v>
      </c>
      <c r="D2954" s="5" t="s">
        <v>155</v>
      </c>
      <c r="E2954" s="5" t="str">
        <f t="shared" si="144"/>
        <v>ACTISALUD-GINECO-OBST-MARIA AUXILIADORA PERTUZ</v>
      </c>
      <c r="F2954" s="5"/>
      <c r="G2954" s="5" t="str">
        <f>"MMC-2610LL"</f>
        <v>MMC-2610LL</v>
      </c>
    </row>
    <row r="2955" spans="1:7" ht="58.5" customHeight="1" x14ac:dyDescent="0.25">
      <c r="A2955" s="5" t="str">
        <f>"H0030348"</f>
        <v>H0030348</v>
      </c>
      <c r="B2955" s="5" t="str">
        <f>"UNIDAD DE LLAMADO DE ENFERMERIA PARA BAÑO CON CORDON TIRADOR. RESISTENTE A SALPICADURAS DE AGUA Y LUZ INDICADORA DE PULSACIÓN"</f>
        <v>UNIDAD DE LLAMADO DE ENFERMERIA PARA BAÑO CON CORDON TIRADOR. RESISTENTE A SALPICADURAS DE AGUA Y LUZ INDICADORA DE PULSACIÓN</v>
      </c>
      <c r="C2955" s="6">
        <v>205537.98</v>
      </c>
      <c r="D2955" s="5" t="s">
        <v>155</v>
      </c>
      <c r="E2955" s="5" t="str">
        <f t="shared" si="144"/>
        <v>ACTISALUD-GINECO-OBST-MARIA AUXILIADORA PERTUZ</v>
      </c>
      <c r="F2955" s="5"/>
      <c r="G2955" s="5" t="str">
        <f>"MMC-2610-LL"</f>
        <v>MMC-2610-LL</v>
      </c>
    </row>
    <row r="2956" spans="1:7" ht="58.5" customHeight="1" x14ac:dyDescent="0.25">
      <c r="A2956" s="5" t="str">
        <f>"H0030454"</f>
        <v>H0030454</v>
      </c>
      <c r="B2956" s="5" t="str">
        <f>"UNIDAD DE LLAMADO DE ENFERMERIA PARA CAMA O BAÑO"</f>
        <v>UNIDAD DE LLAMADO DE ENFERMERIA PARA CAMA O BAÑO</v>
      </c>
      <c r="C2956" s="6">
        <v>207719.26</v>
      </c>
      <c r="D2956" s="5" t="s">
        <v>155</v>
      </c>
      <c r="E2956" s="5" t="str">
        <f t="shared" si="144"/>
        <v>ACTISALUD-GINECO-OBST-MARIA AUXILIADORA PERTUZ</v>
      </c>
      <c r="F2956" s="5"/>
      <c r="G2956" s="5" t="str">
        <f>"MMC-2610LL"</f>
        <v>MMC-2610LL</v>
      </c>
    </row>
    <row r="2957" spans="1:7" ht="58.5" customHeight="1" x14ac:dyDescent="0.25">
      <c r="A2957" s="5" t="str">
        <f>"H0030455"</f>
        <v>H0030455</v>
      </c>
      <c r="B2957" s="5" t="str">
        <f>"UNIDAD DE LLAMADO DE ENFERMERIA PARA CAMA O BAÑO"</f>
        <v>UNIDAD DE LLAMADO DE ENFERMERIA PARA CAMA O BAÑO</v>
      </c>
      <c r="C2957" s="6">
        <v>207719.26</v>
      </c>
      <c r="D2957" s="5" t="s">
        <v>155</v>
      </c>
      <c r="E2957" s="5" t="str">
        <f t="shared" ref="E2957:E3020" si="147">"ACTISALUD-GINECO-OBST-MARIA AUXILIADORA PERTUZ"</f>
        <v>ACTISALUD-GINECO-OBST-MARIA AUXILIADORA PERTUZ</v>
      </c>
      <c r="F2957" s="5"/>
      <c r="G2957" s="5" t="str">
        <f>"MMC-2610LL"</f>
        <v>MMC-2610LL</v>
      </c>
    </row>
    <row r="2958" spans="1:7" ht="58.5" customHeight="1" x14ac:dyDescent="0.25">
      <c r="A2958" s="5" t="str">
        <f>"H0031165"</f>
        <v>H0031165</v>
      </c>
      <c r="B2958" s="5" t="str">
        <f>"MUEBLE MODULAR CON MEDIDAS DE 2,00 MTS X 1,20 MTS X 0,4 MTS, ENTREPAÑOS (5). MATERIAL: MELANINA BLANCA, MANIJAS Y CERRADURAS"</f>
        <v>MUEBLE MODULAR CON MEDIDAS DE 2,00 MTS X 1,20 MTS X 0,4 MTS, ENTREPAÑOS (5). MATERIAL: MELANINA BLANCA, MANIJAS Y CERRADURAS</v>
      </c>
      <c r="C2958" s="6">
        <v>620000</v>
      </c>
      <c r="D2958" s="5" t="s">
        <v>229</v>
      </c>
      <c r="E2958" s="5" t="str">
        <f t="shared" si="147"/>
        <v>ACTISALUD-GINECO-OBST-MARIA AUXILIADORA PERTUZ</v>
      </c>
      <c r="F2958" s="5"/>
      <c r="G2958" s="5"/>
    </row>
    <row r="2959" spans="1:7" ht="58.5" customHeight="1" x14ac:dyDescent="0.25">
      <c r="A2959" s="5" t="str">
        <f>"H0031166"</f>
        <v>H0031166</v>
      </c>
      <c r="B2959" s="5" t="str">
        <f>"MUEBLE MODULAR CON MEDIDAS DE 2,00 MTS X 1,20 MTS X 0,4 MTS, ENTREPAÑOS (5). MATERIAL: MELANINA BLANCA, MANIJAS Y CERRADURAS"</f>
        <v>MUEBLE MODULAR CON MEDIDAS DE 2,00 MTS X 1,20 MTS X 0,4 MTS, ENTREPAÑOS (5). MATERIAL: MELANINA BLANCA, MANIJAS Y CERRADURAS</v>
      </c>
      <c r="C2959" s="6">
        <v>620000</v>
      </c>
      <c r="D2959" s="5" t="s">
        <v>229</v>
      </c>
      <c r="E2959" s="5" t="str">
        <f t="shared" si="147"/>
        <v>ACTISALUD-GINECO-OBST-MARIA AUXILIADORA PERTUZ</v>
      </c>
      <c r="F2959" s="5"/>
      <c r="G2959" s="5"/>
    </row>
    <row r="2960" spans="1:7" ht="58.5" customHeight="1" x14ac:dyDescent="0.25">
      <c r="A2960" s="5" t="str">
        <f>"H0031176"</f>
        <v>H0031176</v>
      </c>
      <c r="B2960"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960" s="6">
        <v>773500</v>
      </c>
      <c r="D2960" s="5" t="s">
        <v>251</v>
      </c>
      <c r="E2960" s="5" t="str">
        <f t="shared" si="147"/>
        <v>ACTISALUD-GINECO-OBST-MARIA AUXILIADORA PERTUZ</v>
      </c>
      <c r="F2960" s="5"/>
      <c r="G2960" s="5"/>
    </row>
    <row r="2961" spans="1:7" ht="58.5" customHeight="1" x14ac:dyDescent="0.25">
      <c r="A2961" s="5" t="str">
        <f>"H0031178"</f>
        <v>H0031178</v>
      </c>
      <c r="B2961"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961" s="6">
        <v>773500</v>
      </c>
      <c r="D2961" s="5" t="s">
        <v>274</v>
      </c>
      <c r="E2961" s="5" t="str">
        <f t="shared" si="147"/>
        <v>ACTISALUD-GINECO-OBST-MARIA AUXILIADORA PERTUZ</v>
      </c>
      <c r="F2961" s="5"/>
      <c r="G2961" s="5"/>
    </row>
    <row r="2962" spans="1:7" ht="58.5" customHeight="1" x14ac:dyDescent="0.25">
      <c r="A2962" s="5" t="str">
        <f>"H0031247"</f>
        <v>H0031247</v>
      </c>
      <c r="B2962" s="5" t="str">
        <f>"MUEBLE DE 2 PUESTOS CON MEDIDAS DE 1,64 MTS"</f>
        <v>MUEBLE DE 2 PUESTOS CON MEDIDAS DE 1,64 MTS</v>
      </c>
      <c r="C2962" s="6">
        <v>700000</v>
      </c>
      <c r="D2962" s="5" t="s">
        <v>104</v>
      </c>
      <c r="E2962" s="5" t="str">
        <f t="shared" si="147"/>
        <v>ACTISALUD-GINECO-OBST-MARIA AUXILIADORA PERTUZ</v>
      </c>
      <c r="F2962" s="5"/>
      <c r="G2962" s="5"/>
    </row>
    <row r="2963" spans="1:7" ht="58.5" customHeight="1" x14ac:dyDescent="0.25">
      <c r="A2963" s="5" t="str">
        <f>"H0031255"</f>
        <v>H0031255</v>
      </c>
      <c r="B2963" s="5" t="str">
        <f>"MUEBLE DE 3 PUESTOS CON MEDIDAS DE 2,46 MTS"</f>
        <v>MUEBLE DE 3 PUESTOS CON MEDIDAS DE 2,46 MTS</v>
      </c>
      <c r="C2963" s="6">
        <v>1050000</v>
      </c>
      <c r="D2963" s="5" t="s">
        <v>104</v>
      </c>
      <c r="E2963" s="5" t="str">
        <f t="shared" si="147"/>
        <v>ACTISALUD-GINECO-OBST-MARIA AUXILIADORA PERTUZ</v>
      </c>
      <c r="F2963" s="5"/>
      <c r="G2963" s="5"/>
    </row>
    <row r="2964" spans="1:7" ht="58.5" customHeight="1" x14ac:dyDescent="0.25">
      <c r="A2964" s="5" t="str">
        <f>"H0031263"</f>
        <v>H0031263</v>
      </c>
      <c r="B2964" s="5" t="str">
        <f>"SOFA CON MEDIDAS DE 1,10 MTS"</f>
        <v>SOFA CON MEDIDAS DE 1,10 MTS</v>
      </c>
      <c r="C2964" s="6">
        <v>650000</v>
      </c>
      <c r="D2964" s="5" t="s">
        <v>104</v>
      </c>
      <c r="E2964" s="5" t="str">
        <f t="shared" si="147"/>
        <v>ACTISALUD-GINECO-OBST-MARIA AUXILIADORA PERTUZ</v>
      </c>
      <c r="F2964" s="5"/>
      <c r="G2964" s="5"/>
    </row>
    <row r="2965" spans="1:7" ht="58.5" customHeight="1" x14ac:dyDescent="0.25">
      <c r="A2965" s="5" t="str">
        <f>"H0031271"</f>
        <v>H0031271</v>
      </c>
      <c r="B2965" s="5" t="str">
        <f>"MESA DE CENTRO CON MEDIDAS DE 0,84 MTS X 0,54 MTS"</f>
        <v>MESA DE CENTRO CON MEDIDAS DE 0,84 MTS X 0,54 MTS</v>
      </c>
      <c r="C2965" s="6">
        <v>160000</v>
      </c>
      <c r="D2965" s="5" t="s">
        <v>104</v>
      </c>
      <c r="E2965" s="5" t="str">
        <f t="shared" si="147"/>
        <v>ACTISALUD-GINECO-OBST-MARIA AUXILIADORA PERTUZ</v>
      </c>
      <c r="F2965" s="5"/>
      <c r="G2965" s="5"/>
    </row>
    <row r="2966" spans="1:7" ht="58.5" customHeight="1" x14ac:dyDescent="0.25">
      <c r="A2966" s="5" t="str">
        <f>"H0031279"</f>
        <v>H0031279</v>
      </c>
      <c r="B2966" s="5" t="str">
        <f>"MUEBLE DE 5 PUESTOS CON MEDIDAS DE 3,87 MTS"</f>
        <v>MUEBLE DE 5 PUESTOS CON MEDIDAS DE 3,87 MTS</v>
      </c>
      <c r="C2966" s="6">
        <v>1400000</v>
      </c>
      <c r="D2966" s="5" t="s">
        <v>104</v>
      </c>
      <c r="E2966" s="5" t="str">
        <f t="shared" si="147"/>
        <v>ACTISALUD-GINECO-OBST-MARIA AUXILIADORA PERTUZ</v>
      </c>
      <c r="F2966" s="5"/>
      <c r="G2966" s="5"/>
    </row>
    <row r="2967" spans="1:7" ht="58.5" customHeight="1" x14ac:dyDescent="0.25">
      <c r="A2967" s="5" t="str">
        <f>"H0031287"</f>
        <v>H0031287</v>
      </c>
      <c r="B2967" s="5" t="str">
        <f>"SOFA CON MEDIDAS DE 1,65 MTS"</f>
        <v>SOFA CON MEDIDAS DE 1,65 MTS</v>
      </c>
      <c r="C2967" s="6">
        <v>700000</v>
      </c>
      <c r="D2967" s="5" t="s">
        <v>104</v>
      </c>
      <c r="E2967" s="5" t="str">
        <f t="shared" si="147"/>
        <v>ACTISALUD-GINECO-OBST-MARIA AUXILIADORA PERTUZ</v>
      </c>
      <c r="F2967" s="5"/>
      <c r="G2967" s="5"/>
    </row>
    <row r="2968" spans="1:7" ht="58.5" customHeight="1" x14ac:dyDescent="0.25">
      <c r="A2968" s="5" t="str">
        <f>"H0031295"</f>
        <v>H0031295</v>
      </c>
      <c r="B2968" s="5" t="str">
        <f>"SOFA DOBLE CON MEDIDAS DE 1,65 MTS"</f>
        <v>SOFA DOBLE CON MEDIDAS DE 1,65 MTS</v>
      </c>
      <c r="C2968" s="6">
        <v>910000</v>
      </c>
      <c r="D2968" s="5" t="s">
        <v>104</v>
      </c>
      <c r="E2968" s="5" t="str">
        <f t="shared" si="147"/>
        <v>ACTISALUD-GINECO-OBST-MARIA AUXILIADORA PERTUZ</v>
      </c>
      <c r="F2968" s="5"/>
      <c r="G2968" s="5"/>
    </row>
    <row r="2969" spans="1:7" ht="58.5" customHeight="1" x14ac:dyDescent="0.25">
      <c r="A2969" s="5" t="str">
        <f>"H0031303"</f>
        <v>H0031303</v>
      </c>
      <c r="B2969" s="5" t="str">
        <f>"MINILUNA CON MEDIDAS DE 1,26 MTS X 0,65 MTS"</f>
        <v>MINILUNA CON MEDIDAS DE 1,26 MTS X 0,65 MTS</v>
      </c>
      <c r="C2969" s="6">
        <v>120000</v>
      </c>
      <c r="D2969" s="5" t="s">
        <v>104</v>
      </c>
      <c r="E2969" s="5" t="str">
        <f t="shared" si="147"/>
        <v>ACTISALUD-GINECO-OBST-MARIA AUXILIADORA PERTUZ</v>
      </c>
      <c r="F2969" s="5"/>
      <c r="G2969" s="5"/>
    </row>
    <row r="2970" spans="1:7" ht="58.5" customHeight="1" x14ac:dyDescent="0.25">
      <c r="A2970" s="5" t="str">
        <f>"H0031311"</f>
        <v>H0031311</v>
      </c>
      <c r="B2970" s="5" t="str">
        <f>"PUFF GRANDE CON MEDIDAS DE 1,66 MTS X 1,26 MTS"</f>
        <v>PUFF GRANDE CON MEDIDAS DE 1,66 MTS X 1,26 MTS</v>
      </c>
      <c r="C2970" s="6">
        <v>290000</v>
      </c>
      <c r="D2970" s="5" t="s">
        <v>104</v>
      </c>
      <c r="E2970" s="5" t="str">
        <f t="shared" si="147"/>
        <v>ACTISALUD-GINECO-OBST-MARIA AUXILIADORA PERTUZ</v>
      </c>
      <c r="F2970" s="5"/>
      <c r="G2970" s="5"/>
    </row>
    <row r="2971" spans="1:7" ht="58.5" customHeight="1" x14ac:dyDescent="0.25">
      <c r="A2971" s="5" t="str">
        <f>"H0031460"</f>
        <v>H0031460</v>
      </c>
      <c r="B297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971" s="6">
        <v>3209500</v>
      </c>
      <c r="D2971" s="5" t="s">
        <v>16</v>
      </c>
      <c r="E2971" s="5" t="str">
        <f t="shared" si="147"/>
        <v>ACTISALUD-GINECO-OBST-MARIA AUXILIADORA PERTUZ</v>
      </c>
      <c r="F2971" s="5"/>
      <c r="G2971" s="5"/>
    </row>
    <row r="2972" spans="1:7" ht="58.5" customHeight="1" x14ac:dyDescent="0.25">
      <c r="A2972" s="5" t="str">
        <f>"H0031491"</f>
        <v>H0031491</v>
      </c>
      <c r="B297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972" s="6">
        <v>3209500</v>
      </c>
      <c r="D2972" s="5" t="s">
        <v>16</v>
      </c>
      <c r="E2972" s="5" t="str">
        <f t="shared" si="147"/>
        <v>ACTISALUD-GINECO-OBST-MARIA AUXILIADORA PERTUZ</v>
      </c>
      <c r="F2972" s="5"/>
      <c r="G2972" s="5"/>
    </row>
    <row r="2973" spans="1:7" ht="58.5" customHeight="1" x14ac:dyDescent="0.25">
      <c r="A2973" s="5" t="str">
        <f>"H0032352"</f>
        <v>H0032352</v>
      </c>
      <c r="B2973" s="5" t="str">
        <f>"CUNA RECIEN NACIDO CON COLCHONETA"</f>
        <v>CUNA RECIEN NACIDO CON COLCHONETA</v>
      </c>
      <c r="C2973" s="6">
        <v>1667725.5</v>
      </c>
      <c r="D2973" s="5" t="s">
        <v>254</v>
      </c>
      <c r="E2973" s="5" t="str">
        <f t="shared" si="147"/>
        <v>ACTISALUD-GINECO-OBST-MARIA AUXILIADORA PERTUZ</v>
      </c>
      <c r="F2973" s="5"/>
      <c r="G2973" s="5"/>
    </row>
    <row r="2974" spans="1:7" ht="58.5" customHeight="1" x14ac:dyDescent="0.25">
      <c r="A2974" s="5" t="str">
        <f>"H0032353"</f>
        <v>H0032353</v>
      </c>
      <c r="B2974" s="5" t="str">
        <f>"CUNA RECIEN NACIDO CON COLCHONETA"</f>
        <v>CUNA RECIEN NACIDO CON COLCHONETA</v>
      </c>
      <c r="C2974" s="6">
        <v>1667725.5</v>
      </c>
      <c r="D2974" s="5" t="s">
        <v>254</v>
      </c>
      <c r="E2974" s="5" t="str">
        <f t="shared" si="147"/>
        <v>ACTISALUD-GINECO-OBST-MARIA AUXILIADORA PERTUZ</v>
      </c>
      <c r="F2974" s="5"/>
      <c r="G2974" s="5"/>
    </row>
    <row r="2975" spans="1:7" ht="58.5" customHeight="1" x14ac:dyDescent="0.25">
      <c r="A2975" s="5" t="str">
        <f>"H0032514"</f>
        <v>H0032514</v>
      </c>
      <c r="B2975" s="5" t="str">
        <f>"AIRE ACONDICIONADO  12000 BTU (CODIGO DONACION)"</f>
        <v>AIRE ACONDICIONADO  12000 BTU (CODIGO DONACION)</v>
      </c>
      <c r="C2975" s="6">
        <v>1179900</v>
      </c>
      <c r="D2975" s="5" t="s">
        <v>275</v>
      </c>
      <c r="E2975" s="5" t="str">
        <f t="shared" si="147"/>
        <v>ACTISALUD-GINECO-OBST-MARIA AUXILIADORA PERTUZ</v>
      </c>
      <c r="F2975" s="5"/>
      <c r="G2975" s="5"/>
    </row>
    <row r="2976" spans="1:7" ht="58.5" customHeight="1" x14ac:dyDescent="0.25">
      <c r="A2976" s="5" t="str">
        <f>"H0032515"</f>
        <v>H0032515</v>
      </c>
      <c r="B2976" s="5" t="str">
        <f>"VENTILADOR DE TECHO"</f>
        <v>VENTILADOR DE TECHO</v>
      </c>
      <c r="C2976" s="6">
        <v>159900</v>
      </c>
      <c r="D2976" s="5" t="s">
        <v>275</v>
      </c>
      <c r="E2976" s="5" t="str">
        <f t="shared" si="147"/>
        <v>ACTISALUD-GINECO-OBST-MARIA AUXILIADORA PERTUZ</v>
      </c>
      <c r="F2976" s="5"/>
      <c r="G2976" s="5"/>
    </row>
    <row r="2977" spans="1:7" ht="58.5" customHeight="1" x14ac:dyDescent="0.25">
      <c r="A2977" s="5" t="str">
        <f>"H0032650"</f>
        <v>H0032650</v>
      </c>
      <c r="B2977" s="5" t="str">
        <f>"CAMILLA DE TRANSPORTE Y RECUPERACION (DONACION)"</f>
        <v>CAMILLA DE TRANSPORTE Y RECUPERACION (DONACION)</v>
      </c>
      <c r="C2977" s="6">
        <v>814000</v>
      </c>
      <c r="D2977" s="5" t="s">
        <v>115</v>
      </c>
      <c r="E2977" s="5" t="str">
        <f t="shared" si="147"/>
        <v>ACTISALUD-GINECO-OBST-MARIA AUXILIADORA PERTUZ</v>
      </c>
      <c r="F2977" s="5"/>
      <c r="G2977" s="5"/>
    </row>
    <row r="2978" spans="1:7" ht="58.5" customHeight="1" x14ac:dyDescent="0.25">
      <c r="A2978" s="5" t="str">
        <f>"H0032877"</f>
        <v>H0032877</v>
      </c>
      <c r="B2978" s="5" t="str">
        <f>"MONITOR FETAL DOPPLER (MONITOR DE RITMO CARDIACO)"</f>
        <v>MONITOR FETAL DOPPLER (MONITOR DE RITMO CARDIACO)</v>
      </c>
      <c r="C2978" s="6">
        <v>560000</v>
      </c>
      <c r="D2978" s="5" t="s">
        <v>276</v>
      </c>
      <c r="E2978" s="5" t="str">
        <f t="shared" si="147"/>
        <v>ACTISALUD-GINECO-OBST-MARIA AUXILIADORA PERTUZ</v>
      </c>
      <c r="F2978" s="5"/>
      <c r="G2978" s="5"/>
    </row>
    <row r="2979" spans="1:7" ht="58.5" customHeight="1" x14ac:dyDescent="0.25">
      <c r="A2979" s="5" t="str">
        <f>"H0032878"</f>
        <v>H0032878</v>
      </c>
      <c r="B297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979" s="6">
        <v>4289950</v>
      </c>
      <c r="D2979" s="5" t="s">
        <v>117</v>
      </c>
      <c r="E2979" s="5" t="str">
        <f t="shared" si="147"/>
        <v>ACTISALUD-GINECO-OBST-MARIA AUXILIADORA PERTUZ</v>
      </c>
      <c r="F2979" s="5"/>
      <c r="G2979" s="5"/>
    </row>
    <row r="2980" spans="1:7" ht="58.5" customHeight="1" x14ac:dyDescent="0.25">
      <c r="A2980" s="5" t="str">
        <f>"h0032985"</f>
        <v>h0032985</v>
      </c>
      <c r="B2980" s="5" t="str">
        <f>"termometro infrarrojo (DONACION)"</f>
        <v>termometro infrarrojo (DONACION)</v>
      </c>
      <c r="C2980" s="6">
        <v>450000</v>
      </c>
      <c r="D2980" s="5" t="s">
        <v>118</v>
      </c>
      <c r="E2980" s="5" t="str">
        <f t="shared" si="147"/>
        <v>ACTISALUD-GINECO-OBST-MARIA AUXILIADORA PERTUZ</v>
      </c>
      <c r="F2980" s="5"/>
      <c r="G2980" s="5"/>
    </row>
    <row r="2981" spans="1:7" ht="58.5" customHeight="1" x14ac:dyDescent="0.25">
      <c r="A2981" s="5" t="str">
        <f>"h0032986"</f>
        <v>h0032986</v>
      </c>
      <c r="B2981" s="5" t="str">
        <f>"termometro infrarrojo (DONACION)"</f>
        <v>termometro infrarrojo (DONACION)</v>
      </c>
      <c r="C2981" s="6">
        <v>450000</v>
      </c>
      <c r="D2981" s="5" t="s">
        <v>118</v>
      </c>
      <c r="E2981" s="5" t="str">
        <f t="shared" si="147"/>
        <v>ACTISALUD-GINECO-OBST-MARIA AUXILIADORA PERTUZ</v>
      </c>
      <c r="F2981" s="5"/>
      <c r="G2981" s="5"/>
    </row>
    <row r="2982" spans="1:7" ht="58.5" customHeight="1" x14ac:dyDescent="0.25">
      <c r="A2982" s="5" t="str">
        <f>"H0033093"</f>
        <v>H0033093</v>
      </c>
      <c r="B2982" s="5" t="str">
        <f>"MONITOR DE SIGNOS VITALES"</f>
        <v>MONITOR DE SIGNOS VITALES</v>
      </c>
      <c r="C2982" s="6">
        <v>9470000</v>
      </c>
      <c r="D2982" s="5" t="s">
        <v>119</v>
      </c>
      <c r="E2982" s="5" t="str">
        <f t="shared" si="147"/>
        <v>ACTISALUD-GINECO-OBST-MARIA AUXILIADORA PERTUZ</v>
      </c>
      <c r="F2982" s="5"/>
      <c r="G2982" s="5"/>
    </row>
    <row r="2983" spans="1:7" ht="58.5" customHeight="1" x14ac:dyDescent="0.25">
      <c r="A2983" s="5" t="str">
        <f>"H0033100"</f>
        <v>H0033100</v>
      </c>
      <c r="B2983" s="5" t="str">
        <f>"MONITOR DE SIGNOS VITALES"</f>
        <v>MONITOR DE SIGNOS VITALES</v>
      </c>
      <c r="C2983" s="6">
        <v>9470000</v>
      </c>
      <c r="D2983" s="5" t="s">
        <v>119</v>
      </c>
      <c r="E2983" s="5" t="str">
        <f t="shared" si="147"/>
        <v>ACTISALUD-GINECO-OBST-MARIA AUXILIADORA PERTUZ</v>
      </c>
      <c r="F2983" s="5"/>
      <c r="G2983" s="5"/>
    </row>
    <row r="2984" spans="1:7" ht="58.5" customHeight="1" x14ac:dyDescent="0.25">
      <c r="A2984" s="5" t="str">
        <f>"H0033102"</f>
        <v>H0033102</v>
      </c>
      <c r="B2984" s="5" t="str">
        <f>"MONITOR DE SIGNOS VITALES"</f>
        <v>MONITOR DE SIGNOS VITALES</v>
      </c>
      <c r="C2984" s="6">
        <v>9470000</v>
      </c>
      <c r="D2984" s="5" t="s">
        <v>119</v>
      </c>
      <c r="E2984" s="5" t="str">
        <f t="shared" si="147"/>
        <v>ACTISALUD-GINECO-OBST-MARIA AUXILIADORA PERTUZ</v>
      </c>
      <c r="F2984" s="5"/>
      <c r="G2984" s="5"/>
    </row>
    <row r="2985" spans="1:7" ht="58.5" customHeight="1" x14ac:dyDescent="0.25">
      <c r="A2985" s="5" t="str">
        <f>"H0033113"</f>
        <v>H0033113</v>
      </c>
      <c r="B2985" s="5" t="str">
        <f>"MONITOR DE SIGNOS VITALES"</f>
        <v>MONITOR DE SIGNOS VITALES</v>
      </c>
      <c r="C2985" s="6">
        <v>9470000</v>
      </c>
      <c r="D2985" s="5" t="s">
        <v>119</v>
      </c>
      <c r="E2985" s="5" t="str">
        <f t="shared" si="147"/>
        <v>ACTISALUD-GINECO-OBST-MARIA AUXILIADORA PERTUZ</v>
      </c>
      <c r="F2985" s="5"/>
      <c r="G2985" s="5"/>
    </row>
    <row r="2986" spans="1:7" ht="58.5" customHeight="1" x14ac:dyDescent="0.25">
      <c r="A2986" s="5" t="str">
        <f>"H0033944"</f>
        <v>H0033944</v>
      </c>
      <c r="B2986" s="5" t="str">
        <f>"LECTOR DE HUELLAS DIGITALES"</f>
        <v>LECTOR DE HUELLAS DIGITALES</v>
      </c>
      <c r="C2986" s="6">
        <v>340340</v>
      </c>
      <c r="D2986" s="5" t="s">
        <v>119</v>
      </c>
      <c r="E2986" s="5" t="str">
        <f t="shared" si="147"/>
        <v>ACTISALUD-GINECO-OBST-MARIA AUXILIADORA PERTUZ</v>
      </c>
      <c r="F2986" s="5"/>
      <c r="G2986" s="5"/>
    </row>
    <row r="2987" spans="1:7" ht="58.5" customHeight="1" x14ac:dyDescent="0.25">
      <c r="A2987" s="5" t="str">
        <f>"H0033945"</f>
        <v>H0033945</v>
      </c>
      <c r="B2987" s="5" t="str">
        <f>"LECTOR DE HUELLAS DIGITALES"</f>
        <v>LECTOR DE HUELLAS DIGITALES</v>
      </c>
      <c r="C2987" s="6">
        <v>340340</v>
      </c>
      <c r="D2987" s="5" t="s">
        <v>119</v>
      </c>
      <c r="E2987" s="5" t="str">
        <f t="shared" si="147"/>
        <v>ACTISALUD-GINECO-OBST-MARIA AUXILIADORA PERTUZ</v>
      </c>
      <c r="F2987" s="5"/>
      <c r="G2987" s="5"/>
    </row>
    <row r="2988" spans="1:7" ht="58.5" customHeight="1" x14ac:dyDescent="0.25">
      <c r="A2988" s="5" t="str">
        <f>"H0035001"</f>
        <v>H0035001</v>
      </c>
      <c r="B2988" s="5" t="s">
        <v>277</v>
      </c>
      <c r="C2988" s="6">
        <v>1044820</v>
      </c>
      <c r="D2988" s="5" t="s">
        <v>22</v>
      </c>
      <c r="E2988" s="5" t="str">
        <f t="shared" si="147"/>
        <v>ACTISALUD-GINECO-OBST-MARIA AUXILIADORA PERTUZ</v>
      </c>
      <c r="F2988" s="5"/>
      <c r="G2988" s="5"/>
    </row>
    <row r="2989" spans="1:7" ht="58.5" customHeight="1" x14ac:dyDescent="0.25">
      <c r="A2989" s="5" t="str">
        <f>"H0035017"</f>
        <v>H0035017</v>
      </c>
      <c r="B2989"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989" s="6">
        <v>5289550</v>
      </c>
      <c r="D2989" s="5" t="s">
        <v>22</v>
      </c>
      <c r="E2989" s="5" t="str">
        <f t="shared" si="147"/>
        <v>ACTISALUD-GINECO-OBST-MARIA AUXILIADORA PERTUZ</v>
      </c>
      <c r="F2989" s="5"/>
      <c r="G2989" s="5"/>
    </row>
    <row r="2990" spans="1:7" ht="58.5" customHeight="1" x14ac:dyDescent="0.25">
      <c r="A2990" s="5" t="str">
        <f>"H0035125"</f>
        <v>H0035125</v>
      </c>
      <c r="B2990" s="5" t="str">
        <f>"VENTILADOR DE PARED"</f>
        <v>VENTILADOR DE PARED</v>
      </c>
      <c r="C2990" s="6">
        <v>130000.37</v>
      </c>
      <c r="D2990" s="5" t="s">
        <v>25</v>
      </c>
      <c r="E2990" s="5" t="str">
        <f t="shared" si="147"/>
        <v>ACTISALUD-GINECO-OBST-MARIA AUXILIADORA PERTUZ</v>
      </c>
      <c r="F2990" s="5"/>
      <c r="G2990" s="5"/>
    </row>
    <row r="2991" spans="1:7" ht="58.5" customHeight="1" x14ac:dyDescent="0.25">
      <c r="A2991" s="5" t="str">
        <f>"H0035126"</f>
        <v>H0035126</v>
      </c>
      <c r="B2991" s="5" t="str">
        <f>"VENTILADOR DE PARED"</f>
        <v>VENTILADOR DE PARED</v>
      </c>
      <c r="C2991" s="6">
        <v>130000.37</v>
      </c>
      <c r="D2991" s="5" t="s">
        <v>25</v>
      </c>
      <c r="E2991" s="5" t="str">
        <f t="shared" si="147"/>
        <v>ACTISALUD-GINECO-OBST-MARIA AUXILIADORA PERTUZ</v>
      </c>
      <c r="F2991" s="5"/>
      <c r="G2991" s="5"/>
    </row>
    <row r="2992" spans="1:7" ht="58.5" customHeight="1" x14ac:dyDescent="0.25">
      <c r="A2992" s="5" t="str">
        <f>"H0035166"</f>
        <v>H0035166</v>
      </c>
      <c r="B2992" s="5" t="str">
        <f>"INCUBADORA DE TRANSPORTE (DONACION)"</f>
        <v>INCUBADORA DE TRANSPORTE (DONACION)</v>
      </c>
      <c r="C2992" s="6">
        <v>32278750</v>
      </c>
      <c r="D2992" s="5" t="s">
        <v>278</v>
      </c>
      <c r="E2992" s="5" t="str">
        <f t="shared" si="147"/>
        <v>ACTISALUD-GINECO-OBST-MARIA AUXILIADORA PERTUZ</v>
      </c>
      <c r="F2992" s="5"/>
      <c r="G2992" s="5"/>
    </row>
    <row r="2993" spans="1:7" ht="58.5" customHeight="1" x14ac:dyDescent="0.25">
      <c r="A2993" s="5" t="str">
        <f>"H0035180"</f>
        <v>H0035180</v>
      </c>
      <c r="B2993" s="5" t="str">
        <f>"LECTOR DE HUELLAS DIGITALES"</f>
        <v>LECTOR DE HUELLAS DIGITALES</v>
      </c>
      <c r="C2993" s="6">
        <v>357666.4</v>
      </c>
      <c r="D2993" s="5" t="s">
        <v>126</v>
      </c>
      <c r="E2993" s="5" t="str">
        <f t="shared" si="147"/>
        <v>ACTISALUD-GINECO-OBST-MARIA AUXILIADORA PERTUZ</v>
      </c>
      <c r="F2993" s="5"/>
      <c r="G2993" s="5"/>
    </row>
    <row r="2994" spans="1:7" ht="58.5" customHeight="1" x14ac:dyDescent="0.25">
      <c r="A2994" s="5" t="str">
        <f>"H0035183"</f>
        <v>H0035183</v>
      </c>
      <c r="B2994" s="5" t="str">
        <f>"LECTOR DE HUELLAS DIGITALES"</f>
        <v>LECTOR DE HUELLAS DIGITALES</v>
      </c>
      <c r="C2994" s="6">
        <v>357666.4</v>
      </c>
      <c r="D2994" s="5" t="s">
        <v>126</v>
      </c>
      <c r="E2994" s="5" t="str">
        <f t="shared" si="147"/>
        <v>ACTISALUD-GINECO-OBST-MARIA AUXILIADORA PERTUZ</v>
      </c>
      <c r="F2994" s="5"/>
      <c r="G2994" s="5"/>
    </row>
    <row r="2995" spans="1:7" ht="58.5" customHeight="1" x14ac:dyDescent="0.25">
      <c r="A2995" s="5" t="str">
        <f>"H0035260"</f>
        <v>H0035260</v>
      </c>
      <c r="B2995" s="5" t="str">
        <f>"ECOGRAFO PORTATIL (DONACION)"</f>
        <v>ECOGRAFO PORTATIL (DONACION)</v>
      </c>
      <c r="C2995" s="6">
        <v>86417126</v>
      </c>
      <c r="D2995" s="5" t="s">
        <v>279</v>
      </c>
      <c r="E2995" s="5" t="str">
        <f t="shared" si="147"/>
        <v>ACTISALUD-GINECO-OBST-MARIA AUXILIADORA PERTUZ</v>
      </c>
      <c r="F2995" s="5"/>
      <c r="G2995" s="5"/>
    </row>
    <row r="2996" spans="1:7" ht="58.5" customHeight="1" x14ac:dyDescent="0.25">
      <c r="A2996" s="5" t="str">
        <f>"H0035283"</f>
        <v>H0035283</v>
      </c>
      <c r="B2996" s="5" t="s">
        <v>23</v>
      </c>
      <c r="C2996" s="6">
        <v>4403000</v>
      </c>
      <c r="D2996" s="5" t="s">
        <v>127</v>
      </c>
      <c r="E2996" s="5" t="str">
        <f t="shared" si="147"/>
        <v>ACTISALUD-GINECO-OBST-MARIA AUXILIADORA PERTUZ</v>
      </c>
      <c r="F2996" s="5"/>
      <c r="G2996" s="5" t="str">
        <f>"HP LASER JET 521"</f>
        <v>HP LASER JET 521</v>
      </c>
    </row>
    <row r="2997" spans="1:7" ht="58.5" customHeight="1" x14ac:dyDescent="0.25">
      <c r="A2997" s="5" t="str">
        <f>"H0035338"</f>
        <v>H0035338</v>
      </c>
      <c r="B2997" s="5" t="s">
        <v>128</v>
      </c>
      <c r="C2997" s="6">
        <v>5462100</v>
      </c>
      <c r="D2997" s="5" t="s">
        <v>127</v>
      </c>
      <c r="E2997" s="5" t="str">
        <f t="shared" si="147"/>
        <v>ACTISALUD-GINECO-OBST-MARIA AUXILIADORA PERTUZ</v>
      </c>
      <c r="F2997" s="5"/>
      <c r="G2997" s="5"/>
    </row>
    <row r="2998" spans="1:7" ht="58.5" customHeight="1" x14ac:dyDescent="0.25">
      <c r="A2998" s="5" t="str">
        <f>"H0035415"</f>
        <v>H0035415</v>
      </c>
      <c r="B2998" s="5" t="str">
        <f>"COMPUTADOR TODO EN UNO HP  200 G4 CORPORATIVO  21.5  Intel® Core™ i5-10210U 10ma generación), Disco Duro 1TB"</f>
        <v>COMPUTADOR TODO EN UNO HP  200 G4 CORPORATIVO  21.5  Intel® Core™ i5-10210U 10ma generación), Disco Duro 1TB</v>
      </c>
      <c r="C2998" s="6">
        <v>5343100</v>
      </c>
      <c r="D2998" s="5" t="s">
        <v>197</v>
      </c>
      <c r="E2998" s="5" t="str">
        <f t="shared" si="147"/>
        <v>ACTISALUD-GINECO-OBST-MARIA AUXILIADORA PERTUZ</v>
      </c>
      <c r="F2998" s="5"/>
      <c r="G2998" s="5"/>
    </row>
    <row r="2999" spans="1:7" ht="58.5" customHeight="1" x14ac:dyDescent="0.25">
      <c r="A2999" s="5" t="str">
        <f>"h0035447"</f>
        <v>h0035447</v>
      </c>
      <c r="B2999" s="5" t="str">
        <f>"CAMA HOSPITALARIA (DONACION)"</f>
        <v>CAMA HOSPITALARIA (DONACION)</v>
      </c>
      <c r="C2999" s="6">
        <v>7594755</v>
      </c>
      <c r="D2999" s="5" t="s">
        <v>130</v>
      </c>
      <c r="E2999" s="5" t="str">
        <f t="shared" si="147"/>
        <v>ACTISALUD-GINECO-OBST-MARIA AUXILIADORA PERTUZ</v>
      </c>
      <c r="F2999" s="5"/>
      <c r="G2999" s="5"/>
    </row>
    <row r="3000" spans="1:7" ht="58.5" customHeight="1" x14ac:dyDescent="0.25">
      <c r="A3000" s="5" t="str">
        <f>"H0035553"</f>
        <v>H0035553</v>
      </c>
      <c r="B3000" s="5" t="str">
        <f>"SILLA TANDEM DE 4 PUESTOS (DONACION)"</f>
        <v>SILLA TANDEM DE 4 PUESTOS (DONACION)</v>
      </c>
      <c r="C3000" s="6">
        <v>200000</v>
      </c>
      <c r="D3000" s="5" t="s">
        <v>280</v>
      </c>
      <c r="E3000" s="5" t="str">
        <f t="shared" si="147"/>
        <v>ACTISALUD-GINECO-OBST-MARIA AUXILIADORA PERTUZ</v>
      </c>
      <c r="F3000" s="5"/>
      <c r="G3000" s="5"/>
    </row>
    <row r="3001" spans="1:7" ht="58.5" customHeight="1" x14ac:dyDescent="0.25">
      <c r="A3001" s="5" t="str">
        <f>"H0035554"</f>
        <v>H0035554</v>
      </c>
      <c r="B3001" s="5" t="str">
        <f>"SILLA TANDEM DE 4 PUESTOS (DONACION)"</f>
        <v>SILLA TANDEM DE 4 PUESTOS (DONACION)</v>
      </c>
      <c r="C3001" s="6">
        <v>200000</v>
      </c>
      <c r="D3001" s="5" t="s">
        <v>280</v>
      </c>
      <c r="E3001" s="5" t="str">
        <f t="shared" si="147"/>
        <v>ACTISALUD-GINECO-OBST-MARIA AUXILIADORA PERTUZ</v>
      </c>
      <c r="F3001" s="5"/>
      <c r="G3001" s="5"/>
    </row>
    <row r="3002" spans="1:7" ht="58.5" customHeight="1" x14ac:dyDescent="0.25">
      <c r="A3002" s="5" t="str">
        <f>"H0035835"</f>
        <v>H0035835</v>
      </c>
      <c r="B3002" s="5" t="str">
        <f t="shared" ref="B3002:B3010" si="148">"SILLA GERENTE NIZA MEC. BASCULANTE CON BRAZOS."</f>
        <v>SILLA GERENTE NIZA MEC. BASCULANTE CON BRAZOS.</v>
      </c>
      <c r="C3002" s="6">
        <v>639999.86</v>
      </c>
      <c r="D3002" s="5" t="s">
        <v>47</v>
      </c>
      <c r="E3002" s="5" t="str">
        <f t="shared" si="147"/>
        <v>ACTISALUD-GINECO-OBST-MARIA AUXILIADORA PERTUZ</v>
      </c>
      <c r="F3002" s="5"/>
      <c r="G3002" s="5"/>
    </row>
    <row r="3003" spans="1:7" ht="58.5" customHeight="1" x14ac:dyDescent="0.25">
      <c r="A3003" s="5" t="str">
        <f>"H0035840"</f>
        <v>H0035840</v>
      </c>
      <c r="B3003" s="5" t="str">
        <f t="shared" si="148"/>
        <v>SILLA GERENTE NIZA MEC. BASCULANTE CON BRAZOS.</v>
      </c>
      <c r="C3003" s="6">
        <v>639999.86</v>
      </c>
      <c r="D3003" s="5" t="s">
        <v>47</v>
      </c>
      <c r="E3003" s="5" t="str">
        <f t="shared" si="147"/>
        <v>ACTISALUD-GINECO-OBST-MARIA AUXILIADORA PERTUZ</v>
      </c>
      <c r="F3003" s="5"/>
      <c r="G3003" s="5"/>
    </row>
    <row r="3004" spans="1:7" ht="58.5" customHeight="1" x14ac:dyDescent="0.25">
      <c r="A3004" s="5" t="str">
        <f>"H0035841"</f>
        <v>H0035841</v>
      </c>
      <c r="B3004" s="5" t="str">
        <f t="shared" si="148"/>
        <v>SILLA GERENTE NIZA MEC. BASCULANTE CON BRAZOS.</v>
      </c>
      <c r="C3004" s="6">
        <v>639999.86</v>
      </c>
      <c r="D3004" s="5" t="s">
        <v>47</v>
      </c>
      <c r="E3004" s="5" t="str">
        <f t="shared" si="147"/>
        <v>ACTISALUD-GINECO-OBST-MARIA AUXILIADORA PERTUZ</v>
      </c>
      <c r="F3004" s="5"/>
      <c r="G3004" s="5"/>
    </row>
    <row r="3005" spans="1:7" ht="58.5" customHeight="1" x14ac:dyDescent="0.25">
      <c r="A3005" s="5" t="str">
        <f>"H0035842"</f>
        <v>H0035842</v>
      </c>
      <c r="B3005" s="5" t="str">
        <f t="shared" si="148"/>
        <v>SILLA GERENTE NIZA MEC. BASCULANTE CON BRAZOS.</v>
      </c>
      <c r="C3005" s="6">
        <v>639999.86</v>
      </c>
      <c r="D3005" s="5" t="s">
        <v>47</v>
      </c>
      <c r="E3005" s="5" t="str">
        <f t="shared" si="147"/>
        <v>ACTISALUD-GINECO-OBST-MARIA AUXILIADORA PERTUZ</v>
      </c>
      <c r="F3005" s="5"/>
      <c r="G3005" s="5"/>
    </row>
    <row r="3006" spans="1:7" ht="58.5" customHeight="1" x14ac:dyDescent="0.25">
      <c r="A3006" s="5" t="str">
        <f>"H0035843"</f>
        <v>H0035843</v>
      </c>
      <c r="B3006" s="5" t="str">
        <f t="shared" si="148"/>
        <v>SILLA GERENTE NIZA MEC. BASCULANTE CON BRAZOS.</v>
      </c>
      <c r="C3006" s="6">
        <v>639999.86</v>
      </c>
      <c r="D3006" s="5" t="s">
        <v>47</v>
      </c>
      <c r="E3006" s="5" t="str">
        <f t="shared" si="147"/>
        <v>ACTISALUD-GINECO-OBST-MARIA AUXILIADORA PERTUZ</v>
      </c>
      <c r="F3006" s="5"/>
      <c r="G3006" s="5"/>
    </row>
    <row r="3007" spans="1:7" ht="58.5" customHeight="1" x14ac:dyDescent="0.25">
      <c r="A3007" s="5" t="str">
        <f>"H0035844"</f>
        <v>H0035844</v>
      </c>
      <c r="B3007" s="5" t="str">
        <f t="shared" si="148"/>
        <v>SILLA GERENTE NIZA MEC. BASCULANTE CON BRAZOS.</v>
      </c>
      <c r="C3007" s="6">
        <v>639999.86</v>
      </c>
      <c r="D3007" s="5" t="s">
        <v>47</v>
      </c>
      <c r="E3007" s="5" t="str">
        <f t="shared" si="147"/>
        <v>ACTISALUD-GINECO-OBST-MARIA AUXILIADORA PERTUZ</v>
      </c>
      <c r="F3007" s="5"/>
      <c r="G3007" s="5"/>
    </row>
    <row r="3008" spans="1:7" ht="58.5" customHeight="1" x14ac:dyDescent="0.25">
      <c r="A3008" s="5" t="str">
        <f>"H0035883"</f>
        <v>H0035883</v>
      </c>
      <c r="B3008" s="5" t="str">
        <f t="shared" si="148"/>
        <v>SILLA GERENTE NIZA MEC. BASCULANTE CON BRAZOS.</v>
      </c>
      <c r="C3008" s="6">
        <v>639999.86</v>
      </c>
      <c r="D3008" s="5" t="s">
        <v>281</v>
      </c>
      <c r="E3008" s="5" t="str">
        <f t="shared" si="147"/>
        <v>ACTISALUD-GINECO-OBST-MARIA AUXILIADORA PERTUZ</v>
      </c>
      <c r="F3008" s="5"/>
      <c r="G3008" s="5"/>
    </row>
    <row r="3009" spans="1:7" ht="58.5" customHeight="1" x14ac:dyDescent="0.25">
      <c r="A3009" s="5" t="str">
        <f>"H0035884"</f>
        <v>H0035884</v>
      </c>
      <c r="B3009" s="5" t="str">
        <f t="shared" si="148"/>
        <v>SILLA GERENTE NIZA MEC. BASCULANTE CON BRAZOS.</v>
      </c>
      <c r="C3009" s="6">
        <v>639999.86</v>
      </c>
      <c r="D3009" s="5" t="s">
        <v>281</v>
      </c>
      <c r="E3009" s="5" t="str">
        <f t="shared" si="147"/>
        <v>ACTISALUD-GINECO-OBST-MARIA AUXILIADORA PERTUZ</v>
      </c>
      <c r="F3009" s="5"/>
      <c r="G3009" s="5"/>
    </row>
    <row r="3010" spans="1:7" ht="58.5" customHeight="1" x14ac:dyDescent="0.25">
      <c r="A3010" s="5" t="str">
        <f>"H0035886"</f>
        <v>H0035886</v>
      </c>
      <c r="B3010" s="5" t="str">
        <f t="shared" si="148"/>
        <v>SILLA GERENTE NIZA MEC. BASCULANTE CON BRAZOS.</v>
      </c>
      <c r="C3010" s="6">
        <v>639999.86</v>
      </c>
      <c r="D3010" s="5" t="s">
        <v>281</v>
      </c>
      <c r="E3010" s="5" t="str">
        <f t="shared" si="147"/>
        <v>ACTISALUD-GINECO-OBST-MARIA AUXILIADORA PERTUZ</v>
      </c>
      <c r="F3010" s="5"/>
      <c r="G3010" s="5"/>
    </row>
    <row r="3011" spans="1:7" ht="58.5" customHeight="1" x14ac:dyDescent="0.25">
      <c r="A3011" s="5" t="str">
        <f>"H0036325"</f>
        <v>H0036325</v>
      </c>
      <c r="B3011" s="5" t="str">
        <f t="shared" ref="B3011:B3029" si="149">"VENTILADOR DE PARED"</f>
        <v>VENTILADOR DE PARED</v>
      </c>
      <c r="C3011" s="6">
        <v>295260</v>
      </c>
      <c r="D3011" s="5" t="s">
        <v>131</v>
      </c>
      <c r="E3011" s="5" t="str">
        <f t="shared" si="147"/>
        <v>ACTISALUD-GINECO-OBST-MARIA AUXILIADORA PERTUZ</v>
      </c>
      <c r="F3011" s="5"/>
      <c r="G3011" s="5"/>
    </row>
    <row r="3012" spans="1:7" ht="58.5" customHeight="1" x14ac:dyDescent="0.25">
      <c r="A3012" s="5" t="str">
        <f>"H0036326"</f>
        <v>H0036326</v>
      </c>
      <c r="B3012" s="5" t="str">
        <f t="shared" si="149"/>
        <v>VENTILADOR DE PARED</v>
      </c>
      <c r="C3012" s="6">
        <v>295260</v>
      </c>
      <c r="D3012" s="5" t="s">
        <v>131</v>
      </c>
      <c r="E3012" s="5" t="str">
        <f t="shared" si="147"/>
        <v>ACTISALUD-GINECO-OBST-MARIA AUXILIADORA PERTUZ</v>
      </c>
      <c r="F3012" s="5"/>
      <c r="G3012" s="5"/>
    </row>
    <row r="3013" spans="1:7" ht="58.5" customHeight="1" x14ac:dyDescent="0.25">
      <c r="A3013" s="5" t="str">
        <f>"H0036327"</f>
        <v>H0036327</v>
      </c>
      <c r="B3013" s="5" t="str">
        <f t="shared" si="149"/>
        <v>VENTILADOR DE PARED</v>
      </c>
      <c r="C3013" s="6">
        <v>295260</v>
      </c>
      <c r="D3013" s="5" t="s">
        <v>131</v>
      </c>
      <c r="E3013" s="5" t="str">
        <f t="shared" si="147"/>
        <v>ACTISALUD-GINECO-OBST-MARIA AUXILIADORA PERTUZ</v>
      </c>
      <c r="F3013" s="5"/>
      <c r="G3013" s="5"/>
    </row>
    <row r="3014" spans="1:7" ht="58.5" customHeight="1" x14ac:dyDescent="0.25">
      <c r="A3014" s="5" t="str">
        <f>"H0036328"</f>
        <v>H0036328</v>
      </c>
      <c r="B3014" s="5" t="str">
        <f t="shared" si="149"/>
        <v>VENTILADOR DE PARED</v>
      </c>
      <c r="C3014" s="6">
        <v>295260</v>
      </c>
      <c r="D3014" s="5" t="s">
        <v>131</v>
      </c>
      <c r="E3014" s="5" t="str">
        <f t="shared" si="147"/>
        <v>ACTISALUD-GINECO-OBST-MARIA AUXILIADORA PERTUZ</v>
      </c>
      <c r="F3014" s="5"/>
      <c r="G3014" s="5"/>
    </row>
    <row r="3015" spans="1:7" ht="58.5" customHeight="1" x14ac:dyDescent="0.25">
      <c r="A3015" s="5" t="str">
        <f>"H0036329"</f>
        <v>H0036329</v>
      </c>
      <c r="B3015" s="5" t="str">
        <f t="shared" si="149"/>
        <v>VENTILADOR DE PARED</v>
      </c>
      <c r="C3015" s="6">
        <v>295260</v>
      </c>
      <c r="D3015" s="5" t="s">
        <v>131</v>
      </c>
      <c r="E3015" s="5" t="str">
        <f t="shared" si="147"/>
        <v>ACTISALUD-GINECO-OBST-MARIA AUXILIADORA PERTUZ</v>
      </c>
      <c r="F3015" s="5"/>
      <c r="G3015" s="5"/>
    </row>
    <row r="3016" spans="1:7" ht="58.5" customHeight="1" x14ac:dyDescent="0.25">
      <c r="A3016" s="5" t="str">
        <f>"H0036330"</f>
        <v>H0036330</v>
      </c>
      <c r="B3016" s="5" t="str">
        <f t="shared" si="149"/>
        <v>VENTILADOR DE PARED</v>
      </c>
      <c r="C3016" s="6">
        <v>295260</v>
      </c>
      <c r="D3016" s="5" t="s">
        <v>131</v>
      </c>
      <c r="E3016" s="5" t="str">
        <f t="shared" si="147"/>
        <v>ACTISALUD-GINECO-OBST-MARIA AUXILIADORA PERTUZ</v>
      </c>
      <c r="F3016" s="5"/>
      <c r="G3016" s="5"/>
    </row>
    <row r="3017" spans="1:7" ht="58.5" customHeight="1" x14ac:dyDescent="0.25">
      <c r="A3017" s="5" t="str">
        <f>"H0036331"</f>
        <v>H0036331</v>
      </c>
      <c r="B3017" s="5" t="str">
        <f t="shared" si="149"/>
        <v>VENTILADOR DE PARED</v>
      </c>
      <c r="C3017" s="6">
        <v>295260</v>
      </c>
      <c r="D3017" s="5" t="s">
        <v>131</v>
      </c>
      <c r="E3017" s="5" t="str">
        <f t="shared" si="147"/>
        <v>ACTISALUD-GINECO-OBST-MARIA AUXILIADORA PERTUZ</v>
      </c>
      <c r="F3017" s="5"/>
      <c r="G3017" s="5"/>
    </row>
    <row r="3018" spans="1:7" ht="58.5" customHeight="1" x14ac:dyDescent="0.25">
      <c r="A3018" s="5" t="str">
        <f>"H0036332"</f>
        <v>H0036332</v>
      </c>
      <c r="B3018" s="5" t="str">
        <f t="shared" si="149"/>
        <v>VENTILADOR DE PARED</v>
      </c>
      <c r="C3018" s="6">
        <v>295260</v>
      </c>
      <c r="D3018" s="5" t="s">
        <v>131</v>
      </c>
      <c r="E3018" s="5" t="str">
        <f t="shared" si="147"/>
        <v>ACTISALUD-GINECO-OBST-MARIA AUXILIADORA PERTUZ</v>
      </c>
      <c r="F3018" s="5"/>
      <c r="G3018" s="5"/>
    </row>
    <row r="3019" spans="1:7" ht="58.5" customHeight="1" x14ac:dyDescent="0.25">
      <c r="A3019" s="5" t="str">
        <f>"H0036333"</f>
        <v>H0036333</v>
      </c>
      <c r="B3019" s="5" t="str">
        <f t="shared" si="149"/>
        <v>VENTILADOR DE PARED</v>
      </c>
      <c r="C3019" s="6">
        <v>295260</v>
      </c>
      <c r="D3019" s="5" t="s">
        <v>131</v>
      </c>
      <c r="E3019" s="5" t="str">
        <f t="shared" si="147"/>
        <v>ACTISALUD-GINECO-OBST-MARIA AUXILIADORA PERTUZ</v>
      </c>
      <c r="F3019" s="5"/>
      <c r="G3019" s="5"/>
    </row>
    <row r="3020" spans="1:7" ht="58.5" customHeight="1" x14ac:dyDescent="0.25">
      <c r="A3020" s="5" t="str">
        <f>"H0036334"</f>
        <v>H0036334</v>
      </c>
      <c r="B3020" s="5" t="str">
        <f t="shared" si="149"/>
        <v>VENTILADOR DE PARED</v>
      </c>
      <c r="C3020" s="6">
        <v>295260</v>
      </c>
      <c r="D3020" s="5" t="s">
        <v>131</v>
      </c>
      <c r="E3020" s="5" t="str">
        <f t="shared" si="147"/>
        <v>ACTISALUD-GINECO-OBST-MARIA AUXILIADORA PERTUZ</v>
      </c>
      <c r="F3020" s="5"/>
      <c r="G3020" s="5"/>
    </row>
    <row r="3021" spans="1:7" ht="58.5" customHeight="1" x14ac:dyDescent="0.25">
      <c r="A3021" s="5" t="str">
        <f>"H0036335"</f>
        <v>H0036335</v>
      </c>
      <c r="B3021" s="5" t="str">
        <f t="shared" si="149"/>
        <v>VENTILADOR DE PARED</v>
      </c>
      <c r="C3021" s="6">
        <v>295260</v>
      </c>
      <c r="D3021" s="5" t="s">
        <v>131</v>
      </c>
      <c r="E3021" s="5" t="str">
        <f t="shared" ref="E3021:E3084" si="150">"ACTISALUD-GINECO-OBST-MARIA AUXILIADORA PERTUZ"</f>
        <v>ACTISALUD-GINECO-OBST-MARIA AUXILIADORA PERTUZ</v>
      </c>
      <c r="F3021" s="5"/>
      <c r="G3021" s="5"/>
    </row>
    <row r="3022" spans="1:7" ht="58.5" customHeight="1" x14ac:dyDescent="0.25">
      <c r="A3022" s="5" t="str">
        <f>"H0036336"</f>
        <v>H0036336</v>
      </c>
      <c r="B3022" s="5" t="str">
        <f t="shared" si="149"/>
        <v>VENTILADOR DE PARED</v>
      </c>
      <c r="C3022" s="6">
        <v>295260</v>
      </c>
      <c r="D3022" s="5" t="s">
        <v>131</v>
      </c>
      <c r="E3022" s="5" t="str">
        <f t="shared" si="150"/>
        <v>ACTISALUD-GINECO-OBST-MARIA AUXILIADORA PERTUZ</v>
      </c>
      <c r="F3022" s="5"/>
      <c r="G3022" s="5"/>
    </row>
    <row r="3023" spans="1:7" ht="58.5" customHeight="1" x14ac:dyDescent="0.25">
      <c r="A3023" s="5" t="str">
        <f>"H0036337"</f>
        <v>H0036337</v>
      </c>
      <c r="B3023" s="5" t="str">
        <f t="shared" si="149"/>
        <v>VENTILADOR DE PARED</v>
      </c>
      <c r="C3023" s="6">
        <v>295260</v>
      </c>
      <c r="D3023" s="5" t="s">
        <v>131</v>
      </c>
      <c r="E3023" s="5" t="str">
        <f t="shared" si="150"/>
        <v>ACTISALUD-GINECO-OBST-MARIA AUXILIADORA PERTUZ</v>
      </c>
      <c r="F3023" s="5"/>
      <c r="G3023" s="5"/>
    </row>
    <row r="3024" spans="1:7" ht="58.5" customHeight="1" x14ac:dyDescent="0.25">
      <c r="A3024" s="5" t="str">
        <f>"H0036338"</f>
        <v>H0036338</v>
      </c>
      <c r="B3024" s="5" t="str">
        <f t="shared" si="149"/>
        <v>VENTILADOR DE PARED</v>
      </c>
      <c r="C3024" s="6">
        <v>295260</v>
      </c>
      <c r="D3024" s="5" t="s">
        <v>131</v>
      </c>
      <c r="E3024" s="5" t="str">
        <f t="shared" si="150"/>
        <v>ACTISALUD-GINECO-OBST-MARIA AUXILIADORA PERTUZ</v>
      </c>
      <c r="F3024" s="5"/>
      <c r="G3024" s="5"/>
    </row>
    <row r="3025" spans="1:7" ht="58.5" customHeight="1" x14ac:dyDescent="0.25">
      <c r="A3025" s="5" t="str">
        <f>"H0036408"</f>
        <v>H0036408</v>
      </c>
      <c r="B3025" s="5" t="str">
        <f t="shared" si="149"/>
        <v>VENTILADOR DE PARED</v>
      </c>
      <c r="C3025" s="6">
        <v>295260</v>
      </c>
      <c r="D3025" s="5" t="s">
        <v>131</v>
      </c>
      <c r="E3025" s="5" t="str">
        <f t="shared" si="150"/>
        <v>ACTISALUD-GINECO-OBST-MARIA AUXILIADORA PERTUZ</v>
      </c>
      <c r="F3025" s="5"/>
      <c r="G3025" s="5"/>
    </row>
    <row r="3026" spans="1:7" ht="58.5" customHeight="1" x14ac:dyDescent="0.25">
      <c r="A3026" s="5" t="str">
        <f>"H0036417"</f>
        <v>H0036417</v>
      </c>
      <c r="B3026" s="5" t="str">
        <f t="shared" si="149"/>
        <v>VENTILADOR DE PARED</v>
      </c>
      <c r="C3026" s="6">
        <v>295260</v>
      </c>
      <c r="D3026" s="5" t="s">
        <v>131</v>
      </c>
      <c r="E3026" s="5" t="str">
        <f t="shared" si="150"/>
        <v>ACTISALUD-GINECO-OBST-MARIA AUXILIADORA PERTUZ</v>
      </c>
      <c r="F3026" s="5"/>
      <c r="G3026" s="5"/>
    </row>
    <row r="3027" spans="1:7" ht="58.5" customHeight="1" x14ac:dyDescent="0.25">
      <c r="A3027" s="5" t="str">
        <f>"H0036418"</f>
        <v>H0036418</v>
      </c>
      <c r="B3027" s="5" t="str">
        <f t="shared" si="149"/>
        <v>VENTILADOR DE PARED</v>
      </c>
      <c r="C3027" s="6">
        <v>295260</v>
      </c>
      <c r="D3027" s="5" t="s">
        <v>131</v>
      </c>
      <c r="E3027" s="5" t="str">
        <f t="shared" si="150"/>
        <v>ACTISALUD-GINECO-OBST-MARIA AUXILIADORA PERTUZ</v>
      </c>
      <c r="F3027" s="5"/>
      <c r="G3027" s="5"/>
    </row>
    <row r="3028" spans="1:7" ht="58.5" customHeight="1" x14ac:dyDescent="0.25">
      <c r="A3028" s="5" t="str">
        <f>"H0036423"</f>
        <v>H0036423</v>
      </c>
      <c r="B3028" s="5" t="str">
        <f t="shared" si="149"/>
        <v>VENTILADOR DE PARED</v>
      </c>
      <c r="C3028" s="6">
        <v>295260</v>
      </c>
      <c r="D3028" s="5" t="s">
        <v>131</v>
      </c>
      <c r="E3028" s="5" t="str">
        <f t="shared" si="150"/>
        <v>ACTISALUD-GINECO-OBST-MARIA AUXILIADORA PERTUZ</v>
      </c>
      <c r="F3028" s="5"/>
      <c r="G3028" s="5"/>
    </row>
    <row r="3029" spans="1:7" ht="58.5" customHeight="1" x14ac:dyDescent="0.25">
      <c r="A3029" s="5" t="str">
        <f>"H0036446"</f>
        <v>H0036446</v>
      </c>
      <c r="B3029" s="5" t="str">
        <f t="shared" si="149"/>
        <v>VENTILADOR DE PARED</v>
      </c>
      <c r="C3029" s="6">
        <v>295260</v>
      </c>
      <c r="D3029" s="5" t="s">
        <v>131</v>
      </c>
      <c r="E3029" s="5" t="str">
        <f t="shared" si="150"/>
        <v>ACTISALUD-GINECO-OBST-MARIA AUXILIADORA PERTUZ</v>
      </c>
      <c r="F3029" s="5"/>
      <c r="G3029" s="5"/>
    </row>
    <row r="3030" spans="1:7" ht="58.5" customHeight="1" x14ac:dyDescent="0.25">
      <c r="A3030" s="5" t="str">
        <f>"H0036449"</f>
        <v>H0036449</v>
      </c>
      <c r="B3030" s="5" t="str">
        <f>"FUENTE DE ALIMENTACION DE REFUERZO DE 6,5 AMPERIOS"</f>
        <v>FUENTE DE ALIMENTACION DE REFUERZO DE 6,5 AMPERIOS</v>
      </c>
      <c r="C3030" s="6">
        <v>4573060</v>
      </c>
      <c r="D3030" s="5" t="s">
        <v>131</v>
      </c>
      <c r="E3030" s="5" t="str">
        <f t="shared" si="150"/>
        <v>ACTISALUD-GINECO-OBST-MARIA AUXILIADORA PERTUZ</v>
      </c>
      <c r="F3030" s="5"/>
      <c r="G3030" s="5"/>
    </row>
    <row r="3031" spans="1:7" ht="58.5" customHeight="1" x14ac:dyDescent="0.25">
      <c r="A3031" s="5" t="str">
        <f>"H0036506"</f>
        <v>H0036506</v>
      </c>
      <c r="B3031" s="5" t="str">
        <f>"ASPIRADOR DE SECRECIONES"</f>
        <v>ASPIRADOR DE SECRECIONES</v>
      </c>
      <c r="C3031" s="6">
        <v>645000</v>
      </c>
      <c r="D3031" s="5" t="s">
        <v>132</v>
      </c>
      <c r="E3031" s="5" t="str">
        <f t="shared" si="150"/>
        <v>ACTISALUD-GINECO-OBST-MARIA AUXILIADORA PERTUZ</v>
      </c>
      <c r="F3031" s="5"/>
      <c r="G3031" s="5"/>
    </row>
    <row r="3032" spans="1:7" ht="58.5" customHeight="1" x14ac:dyDescent="0.25">
      <c r="A3032" s="5" t="str">
        <f>"H0036536"</f>
        <v>H0036536</v>
      </c>
      <c r="B3032"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3032" s="6">
        <v>6307000</v>
      </c>
      <c r="D3032" s="5" t="s">
        <v>48</v>
      </c>
      <c r="E3032" s="5" t="str">
        <f t="shared" si="150"/>
        <v>ACTISALUD-GINECO-OBST-MARIA AUXILIADORA PERTUZ</v>
      </c>
      <c r="F3032" s="5"/>
      <c r="G3032" s="5" t="str">
        <f>"VZ4680G"</f>
        <v>VZ4680G</v>
      </c>
    </row>
    <row r="3033" spans="1:7" ht="58.5" customHeight="1" x14ac:dyDescent="0.25">
      <c r="A3033" s="5" t="str">
        <f>"H0036537"</f>
        <v>H0036537</v>
      </c>
      <c r="B3033"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3033" s="6">
        <v>6307000</v>
      </c>
      <c r="D3033" s="5" t="s">
        <v>48</v>
      </c>
      <c r="E3033" s="5" t="str">
        <f t="shared" si="150"/>
        <v>ACTISALUD-GINECO-OBST-MARIA AUXILIADORA PERTUZ</v>
      </c>
      <c r="F3033" s="5"/>
      <c r="G3033" s="5" t="str">
        <f>"VZ4680G"</f>
        <v>VZ4680G</v>
      </c>
    </row>
    <row r="3034" spans="1:7" ht="58.5" customHeight="1" x14ac:dyDescent="0.25">
      <c r="A3034" s="5" t="str">
        <f>"H0036591"</f>
        <v>H0036591</v>
      </c>
      <c r="B3034" s="5" t="str">
        <f>"ESCANER DE ALTA VELOCIDAD 35 PPM"</f>
        <v>ESCANER DE ALTA VELOCIDAD 35 PPM</v>
      </c>
      <c r="C3034" s="6">
        <v>2401636.36</v>
      </c>
      <c r="D3034" s="5" t="s">
        <v>199</v>
      </c>
      <c r="E3034" s="5" t="str">
        <f t="shared" si="150"/>
        <v>ACTISALUD-GINECO-OBST-MARIA AUXILIADORA PERTUZ</v>
      </c>
      <c r="F3034" s="5"/>
      <c r="G3034" s="5"/>
    </row>
    <row r="3035" spans="1:7" ht="58.5" customHeight="1" x14ac:dyDescent="0.25">
      <c r="A3035" s="5" t="str">
        <f>"H0036606"</f>
        <v>H0036606</v>
      </c>
      <c r="B3035" s="5" t="str">
        <f>"MONITOR DE PACIENTES (DONACION)"</f>
        <v>MONITOR DE PACIENTES (DONACION)</v>
      </c>
      <c r="C3035" s="6">
        <v>4450000</v>
      </c>
      <c r="D3035" s="5" t="s">
        <v>134</v>
      </c>
      <c r="E3035" s="5" t="str">
        <f t="shared" si="150"/>
        <v>ACTISALUD-GINECO-OBST-MARIA AUXILIADORA PERTUZ</v>
      </c>
      <c r="F3035" s="5"/>
      <c r="G3035" s="5"/>
    </row>
    <row r="3036" spans="1:7" ht="58.5" customHeight="1" x14ac:dyDescent="0.25">
      <c r="A3036" s="5" t="str">
        <f>"H0036987"</f>
        <v>H0036987</v>
      </c>
      <c r="B3036" s="5" t="str">
        <f>"BOMBA JERINGA (DONACION)"</f>
        <v>BOMBA JERINGA (DONACION)</v>
      </c>
      <c r="C3036" s="6">
        <v>6862152</v>
      </c>
      <c r="D3036" s="5" t="s">
        <v>238</v>
      </c>
      <c r="E3036" s="5" t="str">
        <f t="shared" si="150"/>
        <v>ACTISALUD-GINECO-OBST-MARIA AUXILIADORA PERTUZ</v>
      </c>
      <c r="F3036" s="5"/>
      <c r="G3036" s="5"/>
    </row>
    <row r="3037" spans="1:7" ht="58.5" customHeight="1" x14ac:dyDescent="0.25">
      <c r="A3037" s="5" t="str">
        <f>"H0036988"</f>
        <v>H0036988</v>
      </c>
      <c r="B3037" s="5" t="str">
        <f>"BOMBA JERINGA (DONACION)"</f>
        <v>BOMBA JERINGA (DONACION)</v>
      </c>
      <c r="C3037" s="6">
        <v>6862152</v>
      </c>
      <c r="D3037" s="5" t="s">
        <v>238</v>
      </c>
      <c r="E3037" s="5" t="str">
        <f t="shared" si="150"/>
        <v>ACTISALUD-GINECO-OBST-MARIA AUXILIADORA PERTUZ</v>
      </c>
      <c r="F3037" s="5"/>
      <c r="G3037" s="5"/>
    </row>
    <row r="3038" spans="1:7" ht="58.5" customHeight="1" x14ac:dyDescent="0.25">
      <c r="A3038" s="5" t="str">
        <f>"H0037099"</f>
        <v>H0037099</v>
      </c>
      <c r="B3038" s="5" t="str">
        <f>"INFANTOMETRO"</f>
        <v>INFANTOMETRO</v>
      </c>
      <c r="C3038" s="6">
        <v>1191337.03</v>
      </c>
      <c r="D3038" s="5" t="s">
        <v>136</v>
      </c>
      <c r="E3038" s="5" t="str">
        <f t="shared" si="150"/>
        <v>ACTISALUD-GINECO-OBST-MARIA AUXILIADORA PERTUZ</v>
      </c>
      <c r="F3038" s="5"/>
      <c r="G3038" s="5"/>
    </row>
    <row r="3039" spans="1:7" ht="58.5" customHeight="1" x14ac:dyDescent="0.25">
      <c r="A3039" s="5" t="str">
        <f>"H0037110"</f>
        <v>H0037110</v>
      </c>
      <c r="B3039" s="5" t="str">
        <f>"BASCULA PESA BEBE MARCA SECA MODELO 374"</f>
        <v>BASCULA PESA BEBE MARCA SECA MODELO 374</v>
      </c>
      <c r="C3039" s="6">
        <v>3971069.02</v>
      </c>
      <c r="D3039" s="5" t="s">
        <v>136</v>
      </c>
      <c r="E3039" s="5" t="str">
        <f t="shared" si="150"/>
        <v>ACTISALUD-GINECO-OBST-MARIA AUXILIADORA PERTUZ</v>
      </c>
      <c r="F3039" s="5"/>
      <c r="G3039" s="5"/>
    </row>
    <row r="3040" spans="1:7" ht="58.5" customHeight="1" x14ac:dyDescent="0.25">
      <c r="A3040" s="5" t="str">
        <f>"H0037111"</f>
        <v>H0037111</v>
      </c>
      <c r="B3040" s="5" t="str">
        <f>"BASCULA PESA BEBE MARCA SECA MODELO 374"</f>
        <v>BASCULA PESA BEBE MARCA SECA MODELO 374</v>
      </c>
      <c r="C3040" s="6">
        <v>3971069.02</v>
      </c>
      <c r="D3040" s="5" t="s">
        <v>136</v>
      </c>
      <c r="E3040" s="5" t="str">
        <f t="shared" si="150"/>
        <v>ACTISALUD-GINECO-OBST-MARIA AUXILIADORA PERTUZ</v>
      </c>
      <c r="F3040" s="5"/>
      <c r="G3040" s="5"/>
    </row>
    <row r="3041" spans="1:7" ht="58.5" customHeight="1" x14ac:dyDescent="0.25">
      <c r="A3041" s="5" t="str">
        <f>"H0037154"</f>
        <v>H0037154</v>
      </c>
      <c r="B3041" s="5" t="str">
        <f>"TALLIMETRO CAPACIDAD 20-205 CM (DONACION)"</f>
        <v>TALLIMETRO CAPACIDAD 20-205 CM (DONACION)</v>
      </c>
      <c r="C3041" s="6">
        <v>1254705.99</v>
      </c>
      <c r="D3041" s="5" t="s">
        <v>136</v>
      </c>
      <c r="E3041" s="5" t="str">
        <f t="shared" si="150"/>
        <v>ACTISALUD-GINECO-OBST-MARIA AUXILIADORA PERTUZ</v>
      </c>
      <c r="F3041" s="5"/>
      <c r="G3041" s="5"/>
    </row>
    <row r="3042" spans="1:7" ht="58.5" customHeight="1" x14ac:dyDescent="0.25">
      <c r="A3042" s="5" t="str">
        <f>"H0037172"</f>
        <v>H0037172</v>
      </c>
      <c r="B3042" s="5" t="str">
        <f>"BASCULA ADULTO"</f>
        <v>BASCULA ADULTO</v>
      </c>
      <c r="C3042" s="6">
        <v>3588385.98</v>
      </c>
      <c r="D3042" s="5" t="s">
        <v>136</v>
      </c>
      <c r="E3042" s="5" t="str">
        <f t="shared" si="150"/>
        <v>ACTISALUD-GINECO-OBST-MARIA AUXILIADORA PERTUZ</v>
      </c>
      <c r="F3042" s="5"/>
      <c r="G3042" s="5"/>
    </row>
    <row r="3043" spans="1:7" ht="58.5" customHeight="1" x14ac:dyDescent="0.25">
      <c r="A3043" s="5" t="str">
        <f>"H0037232"</f>
        <v>H0037232</v>
      </c>
      <c r="B3043" s="5" t="str">
        <f>"COMPUTADOR TODO EN UNO HP  200 G4 CORPORATIVO  21.5  Intel® Core™ i5-10210U 10ma generación), Disco Duro 1TB"</f>
        <v>COMPUTADOR TODO EN UNO HP  200 G4 CORPORATIVO  21.5  Intel® Core™ i5-10210U 10ma generación), Disco Duro 1TB</v>
      </c>
      <c r="C3043" s="6">
        <v>4919460</v>
      </c>
      <c r="D3043" s="5" t="s">
        <v>282</v>
      </c>
      <c r="E3043" s="5" t="str">
        <f t="shared" si="150"/>
        <v>ACTISALUD-GINECO-OBST-MARIA AUXILIADORA PERTUZ</v>
      </c>
      <c r="F3043" s="5"/>
      <c r="G3043" s="5"/>
    </row>
    <row r="3044" spans="1:7" ht="58.5" customHeight="1" x14ac:dyDescent="0.25">
      <c r="A3044" s="5" t="str">
        <f>"H0037233"</f>
        <v>H0037233</v>
      </c>
      <c r="B3044" s="5" t="str">
        <f>"IMPRESORA MULTIFUNCIONAL COLOR WIFI EPSON ECOTANK"</f>
        <v>IMPRESORA MULTIFUNCIONAL COLOR WIFI EPSON ECOTANK</v>
      </c>
      <c r="C3044" s="6">
        <v>1080520</v>
      </c>
      <c r="D3044" s="5" t="s">
        <v>282</v>
      </c>
      <c r="E3044" s="5" t="str">
        <f t="shared" si="150"/>
        <v>ACTISALUD-GINECO-OBST-MARIA AUXILIADORA PERTUZ</v>
      </c>
      <c r="F3044" s="5"/>
      <c r="G3044" s="5"/>
    </row>
    <row r="3045" spans="1:7" ht="58.5" customHeight="1" x14ac:dyDescent="0.25">
      <c r="A3045" s="5" t="str">
        <f>"H0037242"</f>
        <v>H0037242</v>
      </c>
      <c r="B3045" s="5" t="str">
        <f>"ECOGRAFO ULTRASONIDO Y TRANSDUCTORES(DONACION)"</f>
        <v>ECOGRAFO ULTRASONIDO Y TRANSDUCTORES(DONACION)</v>
      </c>
      <c r="C3045" s="6">
        <v>246845808</v>
      </c>
      <c r="D3045" s="5" t="s">
        <v>283</v>
      </c>
      <c r="E3045" s="5" t="str">
        <f t="shared" si="150"/>
        <v>ACTISALUD-GINECO-OBST-MARIA AUXILIADORA PERTUZ</v>
      </c>
      <c r="F3045" s="5"/>
      <c r="G3045" s="5"/>
    </row>
    <row r="3046" spans="1:7" ht="58.5" customHeight="1" x14ac:dyDescent="0.25">
      <c r="A3046" s="5" t="str">
        <f>"H0037334"</f>
        <v>H0037334</v>
      </c>
      <c r="B3046" s="5" t="str">
        <f t="shared" ref="B3046:B3065" si="151">"VENTILADOR DE PARED"</f>
        <v>VENTILADOR DE PARED</v>
      </c>
      <c r="C3046" s="6">
        <v>286671</v>
      </c>
      <c r="D3046" s="5" t="s">
        <v>138</v>
      </c>
      <c r="E3046" s="5" t="str">
        <f t="shared" si="150"/>
        <v>ACTISALUD-GINECO-OBST-MARIA AUXILIADORA PERTUZ</v>
      </c>
      <c r="F3046" s="5"/>
      <c r="G3046" s="5"/>
    </row>
    <row r="3047" spans="1:7" ht="58.5" customHeight="1" x14ac:dyDescent="0.25">
      <c r="A3047" s="5" t="str">
        <f>"H0037335"</f>
        <v>H0037335</v>
      </c>
      <c r="B3047" s="5" t="str">
        <f t="shared" si="151"/>
        <v>VENTILADOR DE PARED</v>
      </c>
      <c r="C3047" s="6">
        <v>286671</v>
      </c>
      <c r="D3047" s="5" t="s">
        <v>138</v>
      </c>
      <c r="E3047" s="5" t="str">
        <f t="shared" si="150"/>
        <v>ACTISALUD-GINECO-OBST-MARIA AUXILIADORA PERTUZ</v>
      </c>
      <c r="F3047" s="5"/>
      <c r="G3047" s="5"/>
    </row>
    <row r="3048" spans="1:7" ht="58.5" customHeight="1" x14ac:dyDescent="0.25">
      <c r="A3048" s="5" t="str">
        <f>"H0037336"</f>
        <v>H0037336</v>
      </c>
      <c r="B3048" s="5" t="str">
        <f t="shared" si="151"/>
        <v>VENTILADOR DE PARED</v>
      </c>
      <c r="C3048" s="6">
        <v>286671</v>
      </c>
      <c r="D3048" s="5" t="s">
        <v>138</v>
      </c>
      <c r="E3048" s="5" t="str">
        <f t="shared" si="150"/>
        <v>ACTISALUD-GINECO-OBST-MARIA AUXILIADORA PERTUZ</v>
      </c>
      <c r="F3048" s="5"/>
      <c r="G3048" s="5"/>
    </row>
    <row r="3049" spans="1:7" ht="58.5" customHeight="1" x14ac:dyDescent="0.25">
      <c r="A3049" s="5" t="str">
        <f>"H0037337"</f>
        <v>H0037337</v>
      </c>
      <c r="B3049" s="5" t="str">
        <f t="shared" si="151"/>
        <v>VENTILADOR DE PARED</v>
      </c>
      <c r="C3049" s="6">
        <v>286671</v>
      </c>
      <c r="D3049" s="5" t="s">
        <v>138</v>
      </c>
      <c r="E3049" s="5" t="str">
        <f t="shared" si="150"/>
        <v>ACTISALUD-GINECO-OBST-MARIA AUXILIADORA PERTUZ</v>
      </c>
      <c r="F3049" s="5"/>
      <c r="G3049" s="5"/>
    </row>
    <row r="3050" spans="1:7" ht="58.5" customHeight="1" x14ac:dyDescent="0.25">
      <c r="A3050" s="5" t="str">
        <f>"H0037338"</f>
        <v>H0037338</v>
      </c>
      <c r="B3050" s="5" t="str">
        <f t="shared" si="151"/>
        <v>VENTILADOR DE PARED</v>
      </c>
      <c r="C3050" s="6">
        <v>286671</v>
      </c>
      <c r="D3050" s="5" t="s">
        <v>138</v>
      </c>
      <c r="E3050" s="5" t="str">
        <f t="shared" si="150"/>
        <v>ACTISALUD-GINECO-OBST-MARIA AUXILIADORA PERTUZ</v>
      </c>
      <c r="F3050" s="5"/>
      <c r="G3050" s="5"/>
    </row>
    <row r="3051" spans="1:7" ht="58.5" customHeight="1" x14ac:dyDescent="0.25">
      <c r="A3051" s="5" t="str">
        <f>"H0037339"</f>
        <v>H0037339</v>
      </c>
      <c r="B3051" s="5" t="str">
        <f t="shared" si="151"/>
        <v>VENTILADOR DE PARED</v>
      </c>
      <c r="C3051" s="6">
        <v>286671</v>
      </c>
      <c r="D3051" s="5" t="s">
        <v>138</v>
      </c>
      <c r="E3051" s="5" t="str">
        <f t="shared" si="150"/>
        <v>ACTISALUD-GINECO-OBST-MARIA AUXILIADORA PERTUZ</v>
      </c>
      <c r="F3051" s="5"/>
      <c r="G3051" s="5"/>
    </row>
    <row r="3052" spans="1:7" ht="58.5" customHeight="1" x14ac:dyDescent="0.25">
      <c r="A3052" s="5" t="str">
        <f>"H0037340"</f>
        <v>H0037340</v>
      </c>
      <c r="B3052" s="5" t="str">
        <f t="shared" si="151"/>
        <v>VENTILADOR DE PARED</v>
      </c>
      <c r="C3052" s="6">
        <v>286671</v>
      </c>
      <c r="D3052" s="5" t="s">
        <v>138</v>
      </c>
      <c r="E3052" s="5" t="str">
        <f t="shared" si="150"/>
        <v>ACTISALUD-GINECO-OBST-MARIA AUXILIADORA PERTUZ</v>
      </c>
      <c r="F3052" s="5"/>
      <c r="G3052" s="5"/>
    </row>
    <row r="3053" spans="1:7" ht="58.5" customHeight="1" x14ac:dyDescent="0.25">
      <c r="A3053" s="5" t="str">
        <f>"H0037353"</f>
        <v>H0037353</v>
      </c>
      <c r="B3053" s="5" t="str">
        <f t="shared" si="151"/>
        <v>VENTILADOR DE PARED</v>
      </c>
      <c r="C3053" s="6">
        <v>286671</v>
      </c>
      <c r="D3053" s="5" t="s">
        <v>138</v>
      </c>
      <c r="E3053" s="5" t="str">
        <f t="shared" si="150"/>
        <v>ACTISALUD-GINECO-OBST-MARIA AUXILIADORA PERTUZ</v>
      </c>
      <c r="F3053" s="5"/>
      <c r="G3053" s="5"/>
    </row>
    <row r="3054" spans="1:7" ht="58.5" customHeight="1" x14ac:dyDescent="0.25">
      <c r="A3054" s="5" t="str">
        <f>"H0037354"</f>
        <v>H0037354</v>
      </c>
      <c r="B3054" s="5" t="str">
        <f t="shared" si="151"/>
        <v>VENTILADOR DE PARED</v>
      </c>
      <c r="C3054" s="6">
        <v>286671</v>
      </c>
      <c r="D3054" s="5" t="s">
        <v>138</v>
      </c>
      <c r="E3054" s="5" t="str">
        <f t="shared" si="150"/>
        <v>ACTISALUD-GINECO-OBST-MARIA AUXILIADORA PERTUZ</v>
      </c>
      <c r="F3054" s="5"/>
      <c r="G3054" s="5"/>
    </row>
    <row r="3055" spans="1:7" ht="58.5" customHeight="1" x14ac:dyDescent="0.25">
      <c r="A3055" s="5" t="str">
        <f>"H0037389"</f>
        <v>H0037389</v>
      </c>
      <c r="B3055" s="5" t="str">
        <f t="shared" si="151"/>
        <v>VENTILADOR DE PARED</v>
      </c>
      <c r="C3055" s="6">
        <v>286671</v>
      </c>
      <c r="D3055" s="5" t="s">
        <v>138</v>
      </c>
      <c r="E3055" s="5" t="str">
        <f t="shared" si="150"/>
        <v>ACTISALUD-GINECO-OBST-MARIA AUXILIADORA PERTUZ</v>
      </c>
      <c r="F3055" s="5"/>
      <c r="G3055" s="5"/>
    </row>
    <row r="3056" spans="1:7" ht="58.5" customHeight="1" x14ac:dyDescent="0.25">
      <c r="A3056" s="5" t="str">
        <f>"H0037390"</f>
        <v>H0037390</v>
      </c>
      <c r="B3056" s="5" t="str">
        <f t="shared" si="151"/>
        <v>VENTILADOR DE PARED</v>
      </c>
      <c r="C3056" s="6">
        <v>286671</v>
      </c>
      <c r="D3056" s="5" t="s">
        <v>138</v>
      </c>
      <c r="E3056" s="5" t="str">
        <f t="shared" si="150"/>
        <v>ACTISALUD-GINECO-OBST-MARIA AUXILIADORA PERTUZ</v>
      </c>
      <c r="F3056" s="5"/>
      <c r="G3056" s="5"/>
    </row>
    <row r="3057" spans="1:7" ht="58.5" customHeight="1" x14ac:dyDescent="0.25">
      <c r="A3057" s="5" t="str">
        <f>"H0037391"</f>
        <v>H0037391</v>
      </c>
      <c r="B3057" s="5" t="str">
        <f t="shared" si="151"/>
        <v>VENTILADOR DE PARED</v>
      </c>
      <c r="C3057" s="6">
        <v>286671</v>
      </c>
      <c r="D3057" s="5" t="s">
        <v>138</v>
      </c>
      <c r="E3057" s="5" t="str">
        <f t="shared" si="150"/>
        <v>ACTISALUD-GINECO-OBST-MARIA AUXILIADORA PERTUZ</v>
      </c>
      <c r="F3057" s="5"/>
      <c r="G3057" s="5"/>
    </row>
    <row r="3058" spans="1:7" ht="58.5" customHeight="1" x14ac:dyDescent="0.25">
      <c r="A3058" s="5" t="str">
        <f>"H0037493"</f>
        <v>H0037493</v>
      </c>
      <c r="B3058" s="5" t="str">
        <f t="shared" si="151"/>
        <v>VENTILADOR DE PARED</v>
      </c>
      <c r="C3058" s="6">
        <v>286671</v>
      </c>
      <c r="D3058" s="5" t="s">
        <v>139</v>
      </c>
      <c r="E3058" s="5" t="str">
        <f t="shared" si="150"/>
        <v>ACTISALUD-GINECO-OBST-MARIA AUXILIADORA PERTUZ</v>
      </c>
      <c r="F3058" s="5"/>
      <c r="G3058" s="5"/>
    </row>
    <row r="3059" spans="1:7" ht="58.5" customHeight="1" x14ac:dyDescent="0.25">
      <c r="A3059" s="5" t="str">
        <f>"H0037498"</f>
        <v>H0037498</v>
      </c>
      <c r="B3059" s="5" t="str">
        <f t="shared" si="151"/>
        <v>VENTILADOR DE PARED</v>
      </c>
      <c r="C3059" s="6">
        <v>286671</v>
      </c>
      <c r="D3059" s="5" t="s">
        <v>139</v>
      </c>
      <c r="E3059" s="5" t="str">
        <f t="shared" si="150"/>
        <v>ACTISALUD-GINECO-OBST-MARIA AUXILIADORA PERTUZ</v>
      </c>
      <c r="F3059" s="5"/>
      <c r="G3059" s="5"/>
    </row>
    <row r="3060" spans="1:7" ht="58.5" customHeight="1" x14ac:dyDescent="0.25">
      <c r="A3060" s="5" t="str">
        <f>"H0037499"</f>
        <v>H0037499</v>
      </c>
      <c r="B3060" s="5" t="str">
        <f t="shared" si="151"/>
        <v>VENTILADOR DE PARED</v>
      </c>
      <c r="C3060" s="6">
        <v>286671</v>
      </c>
      <c r="D3060" s="5" t="s">
        <v>139</v>
      </c>
      <c r="E3060" s="5" t="str">
        <f t="shared" si="150"/>
        <v>ACTISALUD-GINECO-OBST-MARIA AUXILIADORA PERTUZ</v>
      </c>
      <c r="F3060" s="5"/>
      <c r="G3060" s="5"/>
    </row>
    <row r="3061" spans="1:7" ht="58.5" customHeight="1" x14ac:dyDescent="0.25">
      <c r="A3061" s="5" t="str">
        <f>"H0037500"</f>
        <v>H0037500</v>
      </c>
      <c r="B3061" s="5" t="str">
        <f t="shared" si="151"/>
        <v>VENTILADOR DE PARED</v>
      </c>
      <c r="C3061" s="6">
        <v>286671</v>
      </c>
      <c r="D3061" s="5" t="s">
        <v>139</v>
      </c>
      <c r="E3061" s="5" t="str">
        <f t="shared" si="150"/>
        <v>ACTISALUD-GINECO-OBST-MARIA AUXILIADORA PERTUZ</v>
      </c>
      <c r="F3061" s="5"/>
      <c r="G3061" s="5"/>
    </row>
    <row r="3062" spans="1:7" ht="58.5" customHeight="1" x14ac:dyDescent="0.25">
      <c r="A3062" s="5" t="str">
        <f>"H0037501"</f>
        <v>H0037501</v>
      </c>
      <c r="B3062" s="5" t="str">
        <f t="shared" si="151"/>
        <v>VENTILADOR DE PARED</v>
      </c>
      <c r="C3062" s="6">
        <v>286671</v>
      </c>
      <c r="D3062" s="5" t="s">
        <v>139</v>
      </c>
      <c r="E3062" s="5" t="str">
        <f t="shared" si="150"/>
        <v>ACTISALUD-GINECO-OBST-MARIA AUXILIADORA PERTUZ</v>
      </c>
      <c r="F3062" s="5"/>
      <c r="G3062" s="5"/>
    </row>
    <row r="3063" spans="1:7" ht="58.5" customHeight="1" x14ac:dyDescent="0.25">
      <c r="A3063" s="5" t="str">
        <f>"H0037513"</f>
        <v>H0037513</v>
      </c>
      <c r="B3063" s="5" t="str">
        <f t="shared" si="151"/>
        <v>VENTILADOR DE PARED</v>
      </c>
      <c r="C3063" s="6">
        <v>286671</v>
      </c>
      <c r="D3063" s="5" t="s">
        <v>139</v>
      </c>
      <c r="E3063" s="5" t="str">
        <f t="shared" si="150"/>
        <v>ACTISALUD-GINECO-OBST-MARIA AUXILIADORA PERTUZ</v>
      </c>
      <c r="F3063" s="5"/>
      <c r="G3063" s="5"/>
    </row>
    <row r="3064" spans="1:7" ht="58.5" customHeight="1" x14ac:dyDescent="0.25">
      <c r="A3064" s="5" t="str">
        <f>"H0037514"</f>
        <v>H0037514</v>
      </c>
      <c r="B3064" s="5" t="str">
        <f t="shared" si="151"/>
        <v>VENTILADOR DE PARED</v>
      </c>
      <c r="C3064" s="6">
        <v>286671</v>
      </c>
      <c r="D3064" s="5" t="s">
        <v>139</v>
      </c>
      <c r="E3064" s="5" t="str">
        <f t="shared" si="150"/>
        <v>ACTISALUD-GINECO-OBST-MARIA AUXILIADORA PERTUZ</v>
      </c>
      <c r="F3064" s="5"/>
      <c r="G3064" s="5"/>
    </row>
    <row r="3065" spans="1:7" ht="58.5" customHeight="1" x14ac:dyDescent="0.25">
      <c r="A3065" s="5" t="str">
        <f>"H0037516"</f>
        <v>H0037516</v>
      </c>
      <c r="B3065" s="5" t="str">
        <f t="shared" si="151"/>
        <v>VENTILADOR DE PARED</v>
      </c>
      <c r="C3065" s="6">
        <v>286671</v>
      </c>
      <c r="D3065" s="5" t="s">
        <v>139</v>
      </c>
      <c r="E3065" s="5" t="str">
        <f t="shared" si="150"/>
        <v>ACTISALUD-GINECO-OBST-MARIA AUXILIADORA PERTUZ</v>
      </c>
      <c r="F3065" s="5"/>
      <c r="G3065" s="5"/>
    </row>
    <row r="3066" spans="1:7" ht="58.5" customHeight="1" x14ac:dyDescent="0.25">
      <c r="A3066" s="5" t="str">
        <f>"H0037542"</f>
        <v>H0037542</v>
      </c>
      <c r="B3066" s="5" t="str">
        <f>"VENTILADOR DE PEDESTAL"</f>
        <v>VENTILADOR DE PEDESTAL</v>
      </c>
      <c r="C3066" s="6">
        <v>305000.55</v>
      </c>
      <c r="D3066" s="5" t="s">
        <v>140</v>
      </c>
      <c r="E3066" s="5" t="str">
        <f t="shared" si="150"/>
        <v>ACTISALUD-GINECO-OBST-MARIA AUXILIADORA PERTUZ</v>
      </c>
      <c r="F3066" s="5"/>
      <c r="G3066" s="5"/>
    </row>
    <row r="3067" spans="1:7" ht="58.5" customHeight="1" x14ac:dyDescent="0.25">
      <c r="A3067" s="5" t="str">
        <f>"H0037552"</f>
        <v>H0037552</v>
      </c>
      <c r="B3067" s="5" t="str">
        <f>"VENTILADOR DE PEDESTAL"</f>
        <v>VENTILADOR DE PEDESTAL</v>
      </c>
      <c r="C3067" s="6">
        <v>305000.55</v>
      </c>
      <c r="D3067" s="5" t="s">
        <v>140</v>
      </c>
      <c r="E3067" s="5" t="str">
        <f t="shared" si="150"/>
        <v>ACTISALUD-GINECO-OBST-MARIA AUXILIADORA PERTUZ</v>
      </c>
      <c r="F3067" s="5"/>
      <c r="G3067" s="5"/>
    </row>
    <row r="3068" spans="1:7" ht="58.5" customHeight="1" x14ac:dyDescent="0.25">
      <c r="A3068" s="5" t="str">
        <f>"H0037774"</f>
        <v>H0037774</v>
      </c>
      <c r="B3068" s="5" t="str">
        <f>"LAMPARA CUELLO CISNE"</f>
        <v>LAMPARA CUELLO CISNE</v>
      </c>
      <c r="C3068" s="6">
        <v>2573970</v>
      </c>
      <c r="D3068" s="5" t="s">
        <v>141</v>
      </c>
      <c r="E3068" s="5" t="str">
        <f t="shared" si="150"/>
        <v>ACTISALUD-GINECO-OBST-MARIA AUXILIADORA PERTUZ</v>
      </c>
      <c r="F3068" s="5"/>
      <c r="G3068" s="5"/>
    </row>
    <row r="3069" spans="1:7" ht="58.5" customHeight="1" x14ac:dyDescent="0.25">
      <c r="A3069" s="5" t="str">
        <f>"H0037775"</f>
        <v>H0037775</v>
      </c>
      <c r="B3069" s="5" t="str">
        <f>"LAMPARA CUELLO CISNE"</f>
        <v>LAMPARA CUELLO CISNE</v>
      </c>
      <c r="C3069" s="6">
        <v>2573970</v>
      </c>
      <c r="D3069" s="5" t="s">
        <v>141</v>
      </c>
      <c r="E3069" s="5" t="str">
        <f t="shared" si="150"/>
        <v>ACTISALUD-GINECO-OBST-MARIA AUXILIADORA PERTUZ</v>
      </c>
      <c r="F3069" s="5"/>
      <c r="G3069" s="5"/>
    </row>
    <row r="3070" spans="1:7" ht="58.5" customHeight="1" x14ac:dyDescent="0.25">
      <c r="A3070" s="5" t="str">
        <f>"H0037776"</f>
        <v>H0037776</v>
      </c>
      <c r="B3070" s="5" t="str">
        <f>"LAMPARA CUELLO CISNE"</f>
        <v>LAMPARA CUELLO CISNE</v>
      </c>
      <c r="C3070" s="6">
        <v>2573970</v>
      </c>
      <c r="D3070" s="5" t="s">
        <v>141</v>
      </c>
      <c r="E3070" s="5" t="str">
        <f t="shared" si="150"/>
        <v>ACTISALUD-GINECO-OBST-MARIA AUXILIADORA PERTUZ</v>
      </c>
      <c r="F3070" s="5"/>
      <c r="G3070" s="5"/>
    </row>
    <row r="3071" spans="1:7" ht="58.5" customHeight="1" x14ac:dyDescent="0.25">
      <c r="A3071" s="5" t="str">
        <f>"H0037777"</f>
        <v>H0037777</v>
      </c>
      <c r="B3071" s="5" t="str">
        <f>"LAMPARA CUELLO CISNE"</f>
        <v>LAMPARA CUELLO CISNE</v>
      </c>
      <c r="C3071" s="6">
        <v>2573970</v>
      </c>
      <c r="D3071" s="5" t="s">
        <v>141</v>
      </c>
      <c r="E3071" s="5" t="str">
        <f t="shared" si="150"/>
        <v>ACTISALUD-GINECO-OBST-MARIA AUXILIADORA PERTUZ</v>
      </c>
      <c r="F3071" s="5"/>
      <c r="G3071" s="5"/>
    </row>
    <row r="3072" spans="1:7" ht="58.5" customHeight="1" x14ac:dyDescent="0.25">
      <c r="A3072" s="5" t="str">
        <f>"H0037794"</f>
        <v>H0037794</v>
      </c>
      <c r="B3072" s="5" t="str">
        <f t="shared" ref="B3072:B3079" si="152">"SILLA GERENTE NIZA MEC. BASCULANTE CON BRAZOS."</f>
        <v>SILLA GERENTE NIZA MEC. BASCULANTE CON BRAZOS.</v>
      </c>
      <c r="C3072" s="6">
        <v>710000.01</v>
      </c>
      <c r="D3072" s="5" t="s">
        <v>30</v>
      </c>
      <c r="E3072" s="5" t="str">
        <f t="shared" si="150"/>
        <v>ACTISALUD-GINECO-OBST-MARIA AUXILIADORA PERTUZ</v>
      </c>
      <c r="F3072" s="5"/>
      <c r="G3072" s="5"/>
    </row>
    <row r="3073" spans="1:7" ht="58.5" customHeight="1" x14ac:dyDescent="0.25">
      <c r="A3073" s="5" t="str">
        <f>"H0037795"</f>
        <v>H0037795</v>
      </c>
      <c r="B3073" s="5" t="str">
        <f t="shared" si="152"/>
        <v>SILLA GERENTE NIZA MEC. BASCULANTE CON BRAZOS.</v>
      </c>
      <c r="C3073" s="6">
        <v>710000.01</v>
      </c>
      <c r="D3073" s="5" t="s">
        <v>30</v>
      </c>
      <c r="E3073" s="5" t="str">
        <f t="shared" si="150"/>
        <v>ACTISALUD-GINECO-OBST-MARIA AUXILIADORA PERTUZ</v>
      </c>
      <c r="F3073" s="5"/>
      <c r="G3073" s="5"/>
    </row>
    <row r="3074" spans="1:7" ht="58.5" customHeight="1" x14ac:dyDescent="0.25">
      <c r="A3074" s="5" t="str">
        <f>"H0037796"</f>
        <v>H0037796</v>
      </c>
      <c r="B3074" s="5" t="str">
        <f t="shared" si="152"/>
        <v>SILLA GERENTE NIZA MEC. BASCULANTE CON BRAZOS.</v>
      </c>
      <c r="C3074" s="6">
        <v>710000.01</v>
      </c>
      <c r="D3074" s="5" t="s">
        <v>30</v>
      </c>
      <c r="E3074" s="5" t="str">
        <f t="shared" si="150"/>
        <v>ACTISALUD-GINECO-OBST-MARIA AUXILIADORA PERTUZ</v>
      </c>
      <c r="F3074" s="5"/>
      <c r="G3074" s="5"/>
    </row>
    <row r="3075" spans="1:7" ht="58.5" customHeight="1" x14ac:dyDescent="0.25">
      <c r="A3075" s="5" t="str">
        <f>"H0037797"</f>
        <v>H0037797</v>
      </c>
      <c r="B3075" s="5" t="str">
        <f t="shared" si="152"/>
        <v>SILLA GERENTE NIZA MEC. BASCULANTE CON BRAZOS.</v>
      </c>
      <c r="C3075" s="6">
        <v>710000.01</v>
      </c>
      <c r="D3075" s="5" t="s">
        <v>30</v>
      </c>
      <c r="E3075" s="5" t="str">
        <f t="shared" si="150"/>
        <v>ACTISALUD-GINECO-OBST-MARIA AUXILIADORA PERTUZ</v>
      </c>
      <c r="F3075" s="5"/>
      <c r="G3075" s="5"/>
    </row>
    <row r="3076" spans="1:7" ht="58.5" customHeight="1" x14ac:dyDescent="0.25">
      <c r="A3076" s="5" t="str">
        <f>"H0037798"</f>
        <v>H0037798</v>
      </c>
      <c r="B3076" s="5" t="str">
        <f t="shared" si="152"/>
        <v>SILLA GERENTE NIZA MEC. BASCULANTE CON BRAZOS.</v>
      </c>
      <c r="C3076" s="6">
        <v>710000.01</v>
      </c>
      <c r="D3076" s="5" t="s">
        <v>30</v>
      </c>
      <c r="E3076" s="5" t="str">
        <f t="shared" si="150"/>
        <v>ACTISALUD-GINECO-OBST-MARIA AUXILIADORA PERTUZ</v>
      </c>
      <c r="F3076" s="5"/>
      <c r="G3076" s="5"/>
    </row>
    <row r="3077" spans="1:7" ht="58.5" customHeight="1" x14ac:dyDescent="0.25">
      <c r="A3077" s="5" t="str">
        <f>"H0037799"</f>
        <v>H0037799</v>
      </c>
      <c r="B3077" s="5" t="str">
        <f t="shared" si="152"/>
        <v>SILLA GERENTE NIZA MEC. BASCULANTE CON BRAZOS.</v>
      </c>
      <c r="C3077" s="6">
        <v>710000.01</v>
      </c>
      <c r="D3077" s="5" t="s">
        <v>30</v>
      </c>
      <c r="E3077" s="5" t="str">
        <f t="shared" si="150"/>
        <v>ACTISALUD-GINECO-OBST-MARIA AUXILIADORA PERTUZ</v>
      </c>
      <c r="F3077" s="5"/>
      <c r="G3077" s="5"/>
    </row>
    <row r="3078" spans="1:7" ht="58.5" customHeight="1" x14ac:dyDescent="0.25">
      <c r="A3078" s="5" t="str">
        <f>"H0037800"</f>
        <v>H0037800</v>
      </c>
      <c r="B3078" s="5" t="str">
        <f t="shared" si="152"/>
        <v>SILLA GERENTE NIZA MEC. BASCULANTE CON BRAZOS.</v>
      </c>
      <c r="C3078" s="6">
        <v>710000.01</v>
      </c>
      <c r="D3078" s="5" t="s">
        <v>30</v>
      </c>
      <c r="E3078" s="5" t="str">
        <f t="shared" si="150"/>
        <v>ACTISALUD-GINECO-OBST-MARIA AUXILIADORA PERTUZ</v>
      </c>
      <c r="F3078" s="5"/>
      <c r="G3078" s="5"/>
    </row>
    <row r="3079" spans="1:7" ht="58.5" customHeight="1" x14ac:dyDescent="0.25">
      <c r="A3079" s="5" t="str">
        <f>"H0037801"</f>
        <v>H0037801</v>
      </c>
      <c r="B3079" s="5" t="str">
        <f t="shared" si="152"/>
        <v>SILLA GERENTE NIZA MEC. BASCULANTE CON BRAZOS.</v>
      </c>
      <c r="C3079" s="6">
        <v>710000.01</v>
      </c>
      <c r="D3079" s="5" t="s">
        <v>30</v>
      </c>
      <c r="E3079" s="5" t="str">
        <f t="shared" si="150"/>
        <v>ACTISALUD-GINECO-OBST-MARIA AUXILIADORA PERTUZ</v>
      </c>
      <c r="F3079" s="5"/>
      <c r="G3079" s="5"/>
    </row>
    <row r="3080" spans="1:7" ht="58.5" customHeight="1" x14ac:dyDescent="0.25">
      <c r="A3080" s="5" t="str">
        <f>"H0037837"</f>
        <v>H0037837</v>
      </c>
      <c r="B3080" s="5" t="str">
        <f>"CAMILLA BARIATRICA"</f>
        <v>CAMILLA BARIATRICA</v>
      </c>
      <c r="C3080" s="6">
        <v>26168100</v>
      </c>
      <c r="D3080" s="5" t="s">
        <v>30</v>
      </c>
      <c r="E3080" s="5" t="str">
        <f t="shared" si="150"/>
        <v>ACTISALUD-GINECO-OBST-MARIA AUXILIADORA PERTUZ</v>
      </c>
      <c r="F3080" s="5"/>
      <c r="G3080" s="5"/>
    </row>
    <row r="3081" spans="1:7" ht="58.5" customHeight="1" x14ac:dyDescent="0.25">
      <c r="A3081" s="5" t="str">
        <f>"H0038156"</f>
        <v>H0038156</v>
      </c>
      <c r="B3081" s="5" t="str">
        <f>"biombo de dos cuerpos (DONACION)"</f>
        <v>biombo de dos cuerpos (DONACION)</v>
      </c>
      <c r="C3081" s="6">
        <v>852087.6</v>
      </c>
      <c r="D3081" s="5" t="s">
        <v>142</v>
      </c>
      <c r="E3081" s="5" t="str">
        <f t="shared" si="150"/>
        <v>ACTISALUD-GINECO-OBST-MARIA AUXILIADORA PERTUZ</v>
      </c>
      <c r="F3081" s="5"/>
      <c r="G3081" s="5"/>
    </row>
    <row r="3082" spans="1:7" ht="58.5" customHeight="1" x14ac:dyDescent="0.25">
      <c r="A3082" s="5" t="str">
        <f>"H0038157"</f>
        <v>H0038157</v>
      </c>
      <c r="B3082" s="5" t="str">
        <f>"biombo de dos cuerpos (DONACION)"</f>
        <v>biombo de dos cuerpos (DONACION)</v>
      </c>
      <c r="C3082" s="6">
        <v>852087.6</v>
      </c>
      <c r="D3082" s="5" t="s">
        <v>142</v>
      </c>
      <c r="E3082" s="5" t="str">
        <f t="shared" si="150"/>
        <v>ACTISALUD-GINECO-OBST-MARIA AUXILIADORA PERTUZ</v>
      </c>
      <c r="F3082" s="5"/>
      <c r="G3082" s="5"/>
    </row>
    <row r="3083" spans="1:7" ht="58.5" customHeight="1" x14ac:dyDescent="0.25">
      <c r="A3083" s="5" t="str">
        <f>"H0038158"</f>
        <v>H0038158</v>
      </c>
      <c r="B3083" s="5" t="str">
        <f>"biombo de dos cuerpos (DONACION)"</f>
        <v>biombo de dos cuerpos (DONACION)</v>
      </c>
      <c r="C3083" s="6">
        <v>852087.6</v>
      </c>
      <c r="D3083" s="5" t="s">
        <v>142</v>
      </c>
      <c r="E3083" s="5" t="str">
        <f t="shared" si="150"/>
        <v>ACTISALUD-GINECO-OBST-MARIA AUXILIADORA PERTUZ</v>
      </c>
      <c r="F3083" s="5"/>
      <c r="G3083" s="5"/>
    </row>
    <row r="3084" spans="1:7" ht="58.5" customHeight="1" x14ac:dyDescent="0.25">
      <c r="A3084" s="5" t="str">
        <f>"H0038159"</f>
        <v>H0038159</v>
      </c>
      <c r="B3084" s="5" t="str">
        <f>"biombo de dos cuerpos (DONACION)"</f>
        <v>biombo de dos cuerpos (DONACION)</v>
      </c>
      <c r="C3084" s="6">
        <v>852087.6</v>
      </c>
      <c r="D3084" s="5" t="s">
        <v>142</v>
      </c>
      <c r="E3084" s="5" t="str">
        <f t="shared" si="150"/>
        <v>ACTISALUD-GINECO-OBST-MARIA AUXILIADORA PERTUZ</v>
      </c>
      <c r="F3084" s="5"/>
      <c r="G3084" s="5"/>
    </row>
    <row r="3085" spans="1:7" ht="58.5" customHeight="1" x14ac:dyDescent="0.25">
      <c r="A3085" s="5" t="str">
        <f>"H0038160"</f>
        <v>H0038160</v>
      </c>
      <c r="B3085" s="5" t="str">
        <f>"ESCRITORIO TIPO L (CODIGO DONACION)"</f>
        <v>ESCRITORIO TIPO L (CODIGO DONACION)</v>
      </c>
      <c r="C3085" s="6">
        <v>577031</v>
      </c>
      <c r="D3085" s="5" t="s">
        <v>142</v>
      </c>
      <c r="E3085" s="5" t="str">
        <f t="shared" ref="E3085:E3148" si="153">"ACTISALUD-GINECO-OBST-MARIA AUXILIADORA PERTUZ"</f>
        <v>ACTISALUD-GINECO-OBST-MARIA AUXILIADORA PERTUZ</v>
      </c>
      <c r="F3085" s="5"/>
      <c r="G3085" s="5"/>
    </row>
    <row r="3086" spans="1:7" ht="58.5" customHeight="1" x14ac:dyDescent="0.25">
      <c r="A3086" s="5" t="str">
        <f>"H0038161"</f>
        <v>H0038161</v>
      </c>
      <c r="B3086" s="5" t="str">
        <f>"ESCALERILLA (DONACION)"</f>
        <v>ESCALERILLA (DONACION)</v>
      </c>
      <c r="C3086" s="6">
        <v>213486</v>
      </c>
      <c r="D3086" s="5" t="s">
        <v>142</v>
      </c>
      <c r="E3086" s="5" t="str">
        <f t="shared" si="153"/>
        <v>ACTISALUD-GINECO-OBST-MARIA AUXILIADORA PERTUZ</v>
      </c>
      <c r="F3086" s="5"/>
      <c r="G3086" s="5"/>
    </row>
    <row r="3087" spans="1:7" ht="58.5" customHeight="1" x14ac:dyDescent="0.25">
      <c r="A3087" s="5" t="str">
        <f>"H0038162"</f>
        <v>H0038162</v>
      </c>
      <c r="B3087" s="5" t="str">
        <f>"ESCALERILLA (DONACION)"</f>
        <v>ESCALERILLA (DONACION)</v>
      </c>
      <c r="C3087" s="6">
        <v>213486</v>
      </c>
      <c r="D3087" s="5" t="s">
        <v>142</v>
      </c>
      <c r="E3087" s="5" t="str">
        <f t="shared" si="153"/>
        <v>ACTISALUD-GINECO-OBST-MARIA AUXILIADORA PERTUZ</v>
      </c>
      <c r="F3087" s="5"/>
      <c r="G3087" s="5"/>
    </row>
    <row r="3088" spans="1:7" ht="58.5" customHeight="1" x14ac:dyDescent="0.25">
      <c r="A3088" s="5" t="str">
        <f>"H0038163"</f>
        <v>H0038163</v>
      </c>
      <c r="B3088" s="5" t="str">
        <f>"silla multiproposito (DONACION)"</f>
        <v>silla multiproposito (DONACION)</v>
      </c>
      <c r="C3088" s="6">
        <v>510510</v>
      </c>
      <c r="D3088" s="5" t="s">
        <v>142</v>
      </c>
      <c r="E3088" s="5" t="str">
        <f t="shared" si="153"/>
        <v>ACTISALUD-GINECO-OBST-MARIA AUXILIADORA PERTUZ</v>
      </c>
      <c r="F3088" s="5"/>
      <c r="G3088" s="5"/>
    </row>
    <row r="3089" spans="1:7" ht="58.5" customHeight="1" x14ac:dyDescent="0.25">
      <c r="A3089" s="5" t="str">
        <f>"H0038164"</f>
        <v>H0038164</v>
      </c>
      <c r="B3089" s="5" t="str">
        <f>"silla multiproposito (DONACION)"</f>
        <v>silla multiproposito (DONACION)</v>
      </c>
      <c r="C3089" s="6">
        <v>510510</v>
      </c>
      <c r="D3089" s="5" t="s">
        <v>142</v>
      </c>
      <c r="E3089" s="5" t="str">
        <f t="shared" si="153"/>
        <v>ACTISALUD-GINECO-OBST-MARIA AUXILIADORA PERTUZ</v>
      </c>
      <c r="F3089" s="5"/>
      <c r="G3089" s="5"/>
    </row>
    <row r="3090" spans="1:7" ht="58.5" customHeight="1" x14ac:dyDescent="0.25">
      <c r="A3090" s="5" t="str">
        <f>"H0038165"</f>
        <v>H0038165</v>
      </c>
      <c r="B3090" s="5" t="str">
        <f>"CAMILLA PORTATIL (DONACION)"</f>
        <v>CAMILLA PORTATIL (DONACION)</v>
      </c>
      <c r="C3090" s="6">
        <v>583100</v>
      </c>
      <c r="D3090" s="5" t="s">
        <v>142</v>
      </c>
      <c r="E3090" s="5" t="str">
        <f t="shared" si="153"/>
        <v>ACTISALUD-GINECO-OBST-MARIA AUXILIADORA PERTUZ</v>
      </c>
      <c r="F3090" s="5"/>
      <c r="G3090" s="5"/>
    </row>
    <row r="3091" spans="1:7" ht="58.5" customHeight="1" x14ac:dyDescent="0.25">
      <c r="A3091" s="5" t="str">
        <f>"H0038166"</f>
        <v>H0038166</v>
      </c>
      <c r="B3091" s="5" t="str">
        <f>"CAMILLA PORTATIL (DONACION)"</f>
        <v>CAMILLA PORTATIL (DONACION)</v>
      </c>
      <c r="C3091" s="6">
        <v>583100</v>
      </c>
      <c r="D3091" s="5" t="s">
        <v>142</v>
      </c>
      <c r="E3091" s="5" t="str">
        <f t="shared" si="153"/>
        <v>ACTISALUD-GINECO-OBST-MARIA AUXILIADORA PERTUZ</v>
      </c>
      <c r="F3091" s="5"/>
      <c r="G3091" s="5"/>
    </row>
    <row r="3092" spans="1:7" ht="58.5" customHeight="1" x14ac:dyDescent="0.25">
      <c r="A3092" s="5" t="str">
        <f>"H0038167"</f>
        <v>H0038167</v>
      </c>
      <c r="B3092" s="5" t="str">
        <f>"CAMILLA PORTATIL (DONACION)"</f>
        <v>CAMILLA PORTATIL (DONACION)</v>
      </c>
      <c r="C3092" s="6">
        <v>583100</v>
      </c>
      <c r="D3092" s="5" t="s">
        <v>142</v>
      </c>
      <c r="E3092" s="5" t="str">
        <f t="shared" si="153"/>
        <v>ACTISALUD-GINECO-OBST-MARIA AUXILIADORA PERTUZ</v>
      </c>
      <c r="F3092" s="5"/>
      <c r="G3092" s="5"/>
    </row>
    <row r="3093" spans="1:7" ht="58.5" customHeight="1" x14ac:dyDescent="0.25">
      <c r="A3093" s="5" t="str">
        <f>"H0038170"</f>
        <v>H0038170</v>
      </c>
      <c r="B3093" s="5" t="str">
        <f>"COMPUTADOR A30 LENOVO TODO EN UNO RAM 8GB DISCO 1TB W10 PRO L OFFICE (CODIGO DONACION)"</f>
        <v>COMPUTADOR A30 LENOVO TODO EN UNO RAM 8GB DISCO 1TB W10 PRO L OFFICE (CODIGO DONACION)</v>
      </c>
      <c r="C3093" s="6">
        <v>1439000</v>
      </c>
      <c r="D3093" s="5" t="s">
        <v>142</v>
      </c>
      <c r="E3093" s="5" t="str">
        <f t="shared" si="153"/>
        <v>ACTISALUD-GINECO-OBST-MARIA AUXILIADORA PERTUZ</v>
      </c>
      <c r="F3093" s="5"/>
      <c r="G3093" s="5"/>
    </row>
    <row r="3094" spans="1:7" ht="58.5" customHeight="1" x14ac:dyDescent="0.25">
      <c r="A3094" s="5" t="str">
        <f>"H0038171"</f>
        <v>H0038171</v>
      </c>
      <c r="B3094" s="5" t="str">
        <f>"MODELO ANATOMICO APARATO REPRODUCTOR MOD045 (DONACION)"</f>
        <v>MODELO ANATOMICO APARATO REPRODUCTOR MOD045 (DONACION)</v>
      </c>
      <c r="C3094" s="6">
        <v>398650</v>
      </c>
      <c r="D3094" s="5" t="s">
        <v>142</v>
      </c>
      <c r="E3094" s="5" t="str">
        <f t="shared" si="153"/>
        <v>ACTISALUD-GINECO-OBST-MARIA AUXILIADORA PERTUZ</v>
      </c>
      <c r="F3094" s="5"/>
      <c r="G3094" s="5"/>
    </row>
    <row r="3095" spans="1:7" ht="58.5" customHeight="1" x14ac:dyDescent="0.25">
      <c r="A3095" s="5" t="str">
        <f>"H0038172"</f>
        <v>H0038172</v>
      </c>
      <c r="B3095" s="5" t="str">
        <f>"MODELO ANATOMICO APARATO REPRODUCTOR MOD045 (DONACION)"</f>
        <v>MODELO ANATOMICO APARATO REPRODUCTOR MOD045 (DONACION)</v>
      </c>
      <c r="C3095" s="6">
        <v>398650</v>
      </c>
      <c r="D3095" s="5" t="s">
        <v>142</v>
      </c>
      <c r="E3095" s="5" t="str">
        <f t="shared" si="153"/>
        <v>ACTISALUD-GINECO-OBST-MARIA AUXILIADORA PERTUZ</v>
      </c>
      <c r="F3095" s="5"/>
      <c r="G3095" s="5"/>
    </row>
    <row r="3096" spans="1:7" ht="58.5" customHeight="1" x14ac:dyDescent="0.25">
      <c r="A3096" s="5" t="str">
        <f>"H0038173"</f>
        <v>H0038173</v>
      </c>
      <c r="B3096" s="5" t="str">
        <f>"IMPRESORA LASERT (Donación)"</f>
        <v>IMPRESORA LASERT (Donación)</v>
      </c>
      <c r="C3096" s="6">
        <v>1367310</v>
      </c>
      <c r="D3096" s="5" t="s">
        <v>142</v>
      </c>
      <c r="E3096" s="5" t="str">
        <f t="shared" si="153"/>
        <v>ACTISALUD-GINECO-OBST-MARIA AUXILIADORA PERTUZ</v>
      </c>
      <c r="F3096" s="5"/>
      <c r="G3096" s="5"/>
    </row>
    <row r="3097" spans="1:7" ht="58.5" customHeight="1" x14ac:dyDescent="0.25">
      <c r="A3097" s="5" t="str">
        <f>"H0038174"</f>
        <v>H0038174</v>
      </c>
      <c r="B3097" s="5" t="str">
        <f>"MODELO ANATOMICO APARATO REPRODUCTOR MOD046 (DONACION)"</f>
        <v>MODELO ANATOMICO APARATO REPRODUCTOR MOD046 (DONACION)</v>
      </c>
      <c r="C3097" s="6">
        <v>202300</v>
      </c>
      <c r="D3097" s="5" t="s">
        <v>142</v>
      </c>
      <c r="E3097" s="5" t="str">
        <f t="shared" si="153"/>
        <v>ACTISALUD-GINECO-OBST-MARIA AUXILIADORA PERTUZ</v>
      </c>
      <c r="F3097" s="5"/>
      <c r="G3097" s="5"/>
    </row>
    <row r="3098" spans="1:7" ht="58.5" customHeight="1" x14ac:dyDescent="0.25">
      <c r="A3098" s="5" t="str">
        <f>"H0038178"</f>
        <v>H0038178</v>
      </c>
      <c r="B3098" s="5" t="str">
        <f>"MODELO SIMULADOR USO DEL CONDON MASCULINO MOD048 (DONACION)"</f>
        <v>MODELO SIMULADOR USO DEL CONDON MASCULINO MOD048 (DONACION)</v>
      </c>
      <c r="C3098" s="6">
        <v>351050</v>
      </c>
      <c r="D3098" s="5" t="s">
        <v>142</v>
      </c>
      <c r="E3098" s="5" t="str">
        <f t="shared" si="153"/>
        <v>ACTISALUD-GINECO-OBST-MARIA AUXILIADORA PERTUZ</v>
      </c>
      <c r="F3098" s="5"/>
      <c r="G3098" s="5"/>
    </row>
    <row r="3099" spans="1:7" ht="58.5" customHeight="1" x14ac:dyDescent="0.25">
      <c r="A3099" s="5" t="str">
        <f>"H0038179"</f>
        <v>H0038179</v>
      </c>
      <c r="B3099" s="5" t="str">
        <f>"MODELO SIMULADOR USO DEL CONDON MASCULINO MOD048 (DONACION)"</f>
        <v>MODELO SIMULADOR USO DEL CONDON MASCULINO MOD048 (DONACION)</v>
      </c>
      <c r="C3099" s="6">
        <v>351050</v>
      </c>
      <c r="D3099" s="5" t="s">
        <v>142</v>
      </c>
      <c r="E3099" s="5" t="str">
        <f t="shared" si="153"/>
        <v>ACTISALUD-GINECO-OBST-MARIA AUXILIADORA PERTUZ</v>
      </c>
      <c r="F3099" s="5"/>
      <c r="G3099" s="5"/>
    </row>
    <row r="3100" spans="1:7" ht="58.5" customHeight="1" x14ac:dyDescent="0.25">
      <c r="A3100" s="5" t="str">
        <f>"H0038180"</f>
        <v>H0038180</v>
      </c>
      <c r="B3100" s="5" t="str">
        <f>"PARLANTE (DONACION)"</f>
        <v>PARLANTE (DONACION)</v>
      </c>
      <c r="C3100" s="6">
        <v>641410</v>
      </c>
      <c r="D3100" s="5" t="s">
        <v>142</v>
      </c>
      <c r="E3100" s="5" t="str">
        <f t="shared" si="153"/>
        <v>ACTISALUD-GINECO-OBST-MARIA AUXILIADORA PERTUZ</v>
      </c>
      <c r="F3100" s="5"/>
      <c r="G3100" s="5"/>
    </row>
    <row r="3101" spans="1:7" ht="58.5" customHeight="1" x14ac:dyDescent="0.25">
      <c r="A3101" s="5" t="str">
        <f>"H0038181"</f>
        <v>H0038181</v>
      </c>
      <c r="B3101" s="5" t="str">
        <f>"SILLA DE RUEDAS (DONACION)"</f>
        <v>SILLA DE RUEDAS (DONACION)</v>
      </c>
      <c r="C3101" s="6">
        <v>711620</v>
      </c>
      <c r="D3101" s="5" t="s">
        <v>142</v>
      </c>
      <c r="E3101" s="5" t="str">
        <f t="shared" si="153"/>
        <v>ACTISALUD-GINECO-OBST-MARIA AUXILIADORA PERTUZ</v>
      </c>
      <c r="F3101" s="5"/>
      <c r="G3101" s="5"/>
    </row>
    <row r="3102" spans="1:7" ht="58.5" customHeight="1" x14ac:dyDescent="0.25">
      <c r="A3102" s="5" t="str">
        <f>"H0038182"</f>
        <v>H0038182</v>
      </c>
      <c r="B3102" s="5" t="str">
        <f>"SILLA DE RUEDAS (DONACION)"</f>
        <v>SILLA DE RUEDAS (DONACION)</v>
      </c>
      <c r="C3102" s="6">
        <v>711620</v>
      </c>
      <c r="D3102" s="5" t="s">
        <v>142</v>
      </c>
      <c r="E3102" s="5" t="str">
        <f t="shared" si="153"/>
        <v>ACTISALUD-GINECO-OBST-MARIA AUXILIADORA PERTUZ</v>
      </c>
      <c r="F3102" s="5"/>
      <c r="G3102" s="5"/>
    </row>
    <row r="3103" spans="1:7" ht="58.5" customHeight="1" x14ac:dyDescent="0.25">
      <c r="A3103" s="5" t="str">
        <f>"H0038183"</f>
        <v>H0038183</v>
      </c>
      <c r="B3103" s="5" t="str">
        <f>"SILLA DE RUEDAS (DONACION)"</f>
        <v>SILLA DE RUEDAS (DONACION)</v>
      </c>
      <c r="C3103" s="6">
        <v>711620</v>
      </c>
      <c r="D3103" s="5" t="s">
        <v>142</v>
      </c>
      <c r="E3103" s="5" t="str">
        <f t="shared" si="153"/>
        <v>ACTISALUD-GINECO-OBST-MARIA AUXILIADORA PERTUZ</v>
      </c>
      <c r="F3103" s="5"/>
      <c r="G3103" s="5"/>
    </row>
    <row r="3104" spans="1:7" ht="58.5" customHeight="1" x14ac:dyDescent="0.25">
      <c r="A3104" s="5" t="str">
        <f>"H0038252"</f>
        <v>H0038252</v>
      </c>
      <c r="B3104" s="5" t="str">
        <f t="shared" ref="B3104:B3114" si="154">"UNIDAD DE LLAMADO DE ENFERMERIA PARA BAÑO CON CORDON TIRADOR. RESISTENTE A SALPICADURAS DE AGUA Y LUZ INDICADORA DE PULSACIÓN"</f>
        <v>UNIDAD DE LLAMADO DE ENFERMERIA PARA BAÑO CON CORDON TIRADOR. RESISTENTE A SALPICADURAS DE AGUA Y LUZ INDICADORA DE PULSACIÓN</v>
      </c>
      <c r="C3104" s="6">
        <v>529400</v>
      </c>
      <c r="D3104" s="5" t="s">
        <v>143</v>
      </c>
      <c r="E3104" s="5" t="str">
        <f t="shared" si="153"/>
        <v>ACTISALUD-GINECO-OBST-MARIA AUXILIADORA PERTUZ</v>
      </c>
      <c r="F3104" s="5"/>
      <c r="G3104" s="5"/>
    </row>
    <row r="3105" spans="1:7" ht="58.5" customHeight="1" x14ac:dyDescent="0.25">
      <c r="A3105" s="5" t="str">
        <f>"H0038253"</f>
        <v>H0038253</v>
      </c>
      <c r="B3105" s="5" t="str">
        <f t="shared" si="154"/>
        <v>UNIDAD DE LLAMADO DE ENFERMERIA PARA BAÑO CON CORDON TIRADOR. RESISTENTE A SALPICADURAS DE AGUA Y LUZ INDICADORA DE PULSACIÓN</v>
      </c>
      <c r="C3105" s="6">
        <v>529400</v>
      </c>
      <c r="D3105" s="5" t="s">
        <v>143</v>
      </c>
      <c r="E3105" s="5" t="str">
        <f t="shared" si="153"/>
        <v>ACTISALUD-GINECO-OBST-MARIA AUXILIADORA PERTUZ</v>
      </c>
      <c r="F3105" s="5"/>
      <c r="G3105" s="5"/>
    </row>
    <row r="3106" spans="1:7" ht="58.5" customHeight="1" x14ac:dyDescent="0.25">
      <c r="A3106" s="5" t="str">
        <f>"H0038254"</f>
        <v>H0038254</v>
      </c>
      <c r="B3106" s="5" t="str">
        <f t="shared" si="154"/>
        <v>UNIDAD DE LLAMADO DE ENFERMERIA PARA BAÑO CON CORDON TIRADOR. RESISTENTE A SALPICADURAS DE AGUA Y LUZ INDICADORA DE PULSACIÓN</v>
      </c>
      <c r="C3106" s="6">
        <v>529400</v>
      </c>
      <c r="D3106" s="5" t="s">
        <v>143</v>
      </c>
      <c r="E3106" s="5" t="str">
        <f t="shared" si="153"/>
        <v>ACTISALUD-GINECO-OBST-MARIA AUXILIADORA PERTUZ</v>
      </c>
      <c r="F3106" s="5"/>
      <c r="G3106" s="5"/>
    </row>
    <row r="3107" spans="1:7" ht="58.5" customHeight="1" x14ac:dyDescent="0.25">
      <c r="A3107" s="5" t="str">
        <f>"H0038255"</f>
        <v>H0038255</v>
      </c>
      <c r="B3107" s="5" t="str">
        <f t="shared" si="154"/>
        <v>UNIDAD DE LLAMADO DE ENFERMERIA PARA BAÑO CON CORDON TIRADOR. RESISTENTE A SALPICADURAS DE AGUA Y LUZ INDICADORA DE PULSACIÓN</v>
      </c>
      <c r="C3107" s="6">
        <v>529400</v>
      </c>
      <c r="D3107" s="5" t="s">
        <v>143</v>
      </c>
      <c r="E3107" s="5" t="str">
        <f t="shared" si="153"/>
        <v>ACTISALUD-GINECO-OBST-MARIA AUXILIADORA PERTUZ</v>
      </c>
      <c r="F3107" s="5"/>
      <c r="G3107" s="5"/>
    </row>
    <row r="3108" spans="1:7" ht="58.5" customHeight="1" x14ac:dyDescent="0.25">
      <c r="A3108" s="5" t="str">
        <f>"H0038256"</f>
        <v>H0038256</v>
      </c>
      <c r="B3108" s="5" t="str">
        <f t="shared" si="154"/>
        <v>UNIDAD DE LLAMADO DE ENFERMERIA PARA BAÑO CON CORDON TIRADOR. RESISTENTE A SALPICADURAS DE AGUA Y LUZ INDICADORA DE PULSACIÓN</v>
      </c>
      <c r="C3108" s="6">
        <v>529400</v>
      </c>
      <c r="D3108" s="5" t="s">
        <v>143</v>
      </c>
      <c r="E3108" s="5" t="str">
        <f t="shared" si="153"/>
        <v>ACTISALUD-GINECO-OBST-MARIA AUXILIADORA PERTUZ</v>
      </c>
      <c r="F3108" s="5"/>
      <c r="G3108" s="5"/>
    </row>
    <row r="3109" spans="1:7" ht="58.5" customHeight="1" x14ac:dyDescent="0.25">
      <c r="A3109" s="5" t="str">
        <f>"H0038257"</f>
        <v>H0038257</v>
      </c>
      <c r="B3109" s="5" t="str">
        <f t="shared" si="154"/>
        <v>UNIDAD DE LLAMADO DE ENFERMERIA PARA BAÑO CON CORDON TIRADOR. RESISTENTE A SALPICADURAS DE AGUA Y LUZ INDICADORA DE PULSACIÓN</v>
      </c>
      <c r="C3109" s="6">
        <v>529400</v>
      </c>
      <c r="D3109" s="5" t="s">
        <v>143</v>
      </c>
      <c r="E3109" s="5" t="str">
        <f t="shared" si="153"/>
        <v>ACTISALUD-GINECO-OBST-MARIA AUXILIADORA PERTUZ</v>
      </c>
      <c r="F3109" s="5"/>
      <c r="G3109" s="5"/>
    </row>
    <row r="3110" spans="1:7" ht="58.5" customHeight="1" x14ac:dyDescent="0.25">
      <c r="A3110" s="5" t="str">
        <f>"H0038258"</f>
        <v>H0038258</v>
      </c>
      <c r="B3110" s="5" t="str">
        <f t="shared" si="154"/>
        <v>UNIDAD DE LLAMADO DE ENFERMERIA PARA BAÑO CON CORDON TIRADOR. RESISTENTE A SALPICADURAS DE AGUA Y LUZ INDICADORA DE PULSACIÓN</v>
      </c>
      <c r="C3110" s="6">
        <v>529400</v>
      </c>
      <c r="D3110" s="5" t="s">
        <v>143</v>
      </c>
      <c r="E3110" s="5" t="str">
        <f t="shared" si="153"/>
        <v>ACTISALUD-GINECO-OBST-MARIA AUXILIADORA PERTUZ</v>
      </c>
      <c r="F3110" s="5"/>
      <c r="G3110" s="5"/>
    </row>
    <row r="3111" spans="1:7" ht="58.5" customHeight="1" x14ac:dyDescent="0.25">
      <c r="A3111" s="5" t="str">
        <f>"H0038259"</f>
        <v>H0038259</v>
      </c>
      <c r="B3111" s="5" t="str">
        <f t="shared" si="154"/>
        <v>UNIDAD DE LLAMADO DE ENFERMERIA PARA BAÑO CON CORDON TIRADOR. RESISTENTE A SALPICADURAS DE AGUA Y LUZ INDICADORA DE PULSACIÓN</v>
      </c>
      <c r="C3111" s="6">
        <v>529400</v>
      </c>
      <c r="D3111" s="5" t="s">
        <v>143</v>
      </c>
      <c r="E3111" s="5" t="str">
        <f t="shared" si="153"/>
        <v>ACTISALUD-GINECO-OBST-MARIA AUXILIADORA PERTUZ</v>
      </c>
      <c r="F3111" s="5"/>
      <c r="G3111" s="5"/>
    </row>
    <row r="3112" spans="1:7" ht="58.5" customHeight="1" x14ac:dyDescent="0.25">
      <c r="A3112" s="5" t="str">
        <f>"H0038260"</f>
        <v>H0038260</v>
      </c>
      <c r="B3112" s="5" t="str">
        <f t="shared" si="154"/>
        <v>UNIDAD DE LLAMADO DE ENFERMERIA PARA BAÑO CON CORDON TIRADOR. RESISTENTE A SALPICADURAS DE AGUA Y LUZ INDICADORA DE PULSACIÓN</v>
      </c>
      <c r="C3112" s="6">
        <v>529400</v>
      </c>
      <c r="D3112" s="5" t="s">
        <v>143</v>
      </c>
      <c r="E3112" s="5" t="str">
        <f t="shared" si="153"/>
        <v>ACTISALUD-GINECO-OBST-MARIA AUXILIADORA PERTUZ</v>
      </c>
      <c r="F3112" s="5"/>
      <c r="G3112" s="5"/>
    </row>
    <row r="3113" spans="1:7" ht="58.5" customHeight="1" x14ac:dyDescent="0.25">
      <c r="A3113" s="5" t="str">
        <f>"H0038261"</f>
        <v>H0038261</v>
      </c>
      <c r="B3113" s="5" t="str">
        <f t="shared" si="154"/>
        <v>UNIDAD DE LLAMADO DE ENFERMERIA PARA BAÑO CON CORDON TIRADOR. RESISTENTE A SALPICADURAS DE AGUA Y LUZ INDICADORA DE PULSACIÓN</v>
      </c>
      <c r="C3113" s="6">
        <v>529400</v>
      </c>
      <c r="D3113" s="5" t="s">
        <v>143</v>
      </c>
      <c r="E3113" s="5" t="str">
        <f t="shared" si="153"/>
        <v>ACTISALUD-GINECO-OBST-MARIA AUXILIADORA PERTUZ</v>
      </c>
      <c r="F3113" s="5"/>
      <c r="G3113" s="5"/>
    </row>
    <row r="3114" spans="1:7" ht="58.5" customHeight="1" x14ac:dyDescent="0.25">
      <c r="A3114" s="5" t="str">
        <f>"H0038262"</f>
        <v>H0038262</v>
      </c>
      <c r="B3114" s="5" t="str">
        <f t="shared" si="154"/>
        <v>UNIDAD DE LLAMADO DE ENFERMERIA PARA BAÑO CON CORDON TIRADOR. RESISTENTE A SALPICADURAS DE AGUA Y LUZ INDICADORA DE PULSACIÓN</v>
      </c>
      <c r="C3114" s="6">
        <v>529400</v>
      </c>
      <c r="D3114" s="5" t="s">
        <v>143</v>
      </c>
      <c r="E3114" s="5" t="str">
        <f t="shared" si="153"/>
        <v>ACTISALUD-GINECO-OBST-MARIA AUXILIADORA PERTUZ</v>
      </c>
      <c r="F3114" s="5"/>
      <c r="G3114" s="5"/>
    </row>
    <row r="3115" spans="1:7" ht="58.5" customHeight="1" x14ac:dyDescent="0.25">
      <c r="A3115" s="5" t="str">
        <f>"H0038446"</f>
        <v>H0038446</v>
      </c>
      <c r="B3115" s="5" t="str">
        <f t="shared" ref="B3115:B3154" si="155">"UNIDAD DE LLAMADO DE ENFERMERIA PARA CAMA O BAÑO"</f>
        <v>UNIDAD DE LLAMADO DE ENFERMERIA PARA CAMA O BAÑO</v>
      </c>
      <c r="C3115" s="6">
        <v>532900</v>
      </c>
      <c r="D3115" s="5" t="s">
        <v>143</v>
      </c>
      <c r="E3115" s="5" t="str">
        <f t="shared" si="153"/>
        <v>ACTISALUD-GINECO-OBST-MARIA AUXILIADORA PERTUZ</v>
      </c>
      <c r="F3115" s="5"/>
      <c r="G3115" s="5"/>
    </row>
    <row r="3116" spans="1:7" ht="58.5" customHeight="1" x14ac:dyDescent="0.25">
      <c r="A3116" s="5" t="str">
        <f>"H0038447"</f>
        <v>H0038447</v>
      </c>
      <c r="B3116" s="5" t="str">
        <f t="shared" si="155"/>
        <v>UNIDAD DE LLAMADO DE ENFERMERIA PARA CAMA O BAÑO</v>
      </c>
      <c r="C3116" s="6">
        <v>532900</v>
      </c>
      <c r="D3116" s="5" t="s">
        <v>143</v>
      </c>
      <c r="E3116" s="5" t="str">
        <f t="shared" si="153"/>
        <v>ACTISALUD-GINECO-OBST-MARIA AUXILIADORA PERTUZ</v>
      </c>
      <c r="F3116" s="5"/>
      <c r="G3116" s="5"/>
    </row>
    <row r="3117" spans="1:7" ht="58.5" customHeight="1" x14ac:dyDescent="0.25">
      <c r="A3117" s="5" t="str">
        <f>"H0038448"</f>
        <v>H0038448</v>
      </c>
      <c r="B3117" s="5" t="str">
        <f t="shared" si="155"/>
        <v>UNIDAD DE LLAMADO DE ENFERMERIA PARA CAMA O BAÑO</v>
      </c>
      <c r="C3117" s="6">
        <v>532900</v>
      </c>
      <c r="D3117" s="5" t="s">
        <v>143</v>
      </c>
      <c r="E3117" s="5" t="str">
        <f t="shared" si="153"/>
        <v>ACTISALUD-GINECO-OBST-MARIA AUXILIADORA PERTUZ</v>
      </c>
      <c r="F3117" s="5"/>
      <c r="G3117" s="5"/>
    </row>
    <row r="3118" spans="1:7" ht="58.5" customHeight="1" x14ac:dyDescent="0.25">
      <c r="A3118" s="5" t="str">
        <f>"H0038449"</f>
        <v>H0038449</v>
      </c>
      <c r="B3118" s="5" t="str">
        <f t="shared" si="155"/>
        <v>UNIDAD DE LLAMADO DE ENFERMERIA PARA CAMA O BAÑO</v>
      </c>
      <c r="C3118" s="6">
        <v>532900</v>
      </c>
      <c r="D3118" s="5" t="s">
        <v>143</v>
      </c>
      <c r="E3118" s="5" t="str">
        <f t="shared" si="153"/>
        <v>ACTISALUD-GINECO-OBST-MARIA AUXILIADORA PERTUZ</v>
      </c>
      <c r="F3118" s="5"/>
      <c r="G3118" s="5"/>
    </row>
    <row r="3119" spans="1:7" ht="58.5" customHeight="1" x14ac:dyDescent="0.25">
      <c r="A3119" s="5" t="str">
        <f>"H0038450"</f>
        <v>H0038450</v>
      </c>
      <c r="B3119" s="5" t="str">
        <f t="shared" si="155"/>
        <v>UNIDAD DE LLAMADO DE ENFERMERIA PARA CAMA O BAÑO</v>
      </c>
      <c r="C3119" s="6">
        <v>532900</v>
      </c>
      <c r="D3119" s="5" t="s">
        <v>143</v>
      </c>
      <c r="E3119" s="5" t="str">
        <f t="shared" si="153"/>
        <v>ACTISALUD-GINECO-OBST-MARIA AUXILIADORA PERTUZ</v>
      </c>
      <c r="F3119" s="5"/>
      <c r="G3119" s="5"/>
    </row>
    <row r="3120" spans="1:7" ht="58.5" customHeight="1" x14ac:dyDescent="0.25">
      <c r="A3120" s="5" t="str">
        <f>"H0038451"</f>
        <v>H0038451</v>
      </c>
      <c r="B3120" s="5" t="str">
        <f t="shared" si="155"/>
        <v>UNIDAD DE LLAMADO DE ENFERMERIA PARA CAMA O BAÑO</v>
      </c>
      <c r="C3120" s="6">
        <v>532900</v>
      </c>
      <c r="D3120" s="5" t="s">
        <v>143</v>
      </c>
      <c r="E3120" s="5" t="str">
        <f t="shared" si="153"/>
        <v>ACTISALUD-GINECO-OBST-MARIA AUXILIADORA PERTUZ</v>
      </c>
      <c r="F3120" s="5"/>
      <c r="G3120" s="5"/>
    </row>
    <row r="3121" spans="1:7" ht="58.5" customHeight="1" x14ac:dyDescent="0.25">
      <c r="A3121" s="5" t="str">
        <f>"H0038452"</f>
        <v>H0038452</v>
      </c>
      <c r="B3121" s="5" t="str">
        <f t="shared" si="155"/>
        <v>UNIDAD DE LLAMADO DE ENFERMERIA PARA CAMA O BAÑO</v>
      </c>
      <c r="C3121" s="6">
        <v>532900</v>
      </c>
      <c r="D3121" s="5" t="s">
        <v>143</v>
      </c>
      <c r="E3121" s="5" t="str">
        <f t="shared" si="153"/>
        <v>ACTISALUD-GINECO-OBST-MARIA AUXILIADORA PERTUZ</v>
      </c>
      <c r="F3121" s="5"/>
      <c r="G3121" s="5"/>
    </row>
    <row r="3122" spans="1:7" ht="58.5" customHeight="1" x14ac:dyDescent="0.25">
      <c r="A3122" s="5" t="str">
        <f>"H0038453"</f>
        <v>H0038453</v>
      </c>
      <c r="B3122" s="5" t="str">
        <f t="shared" si="155"/>
        <v>UNIDAD DE LLAMADO DE ENFERMERIA PARA CAMA O BAÑO</v>
      </c>
      <c r="C3122" s="6">
        <v>532900</v>
      </c>
      <c r="D3122" s="5" t="s">
        <v>143</v>
      </c>
      <c r="E3122" s="5" t="str">
        <f t="shared" si="153"/>
        <v>ACTISALUD-GINECO-OBST-MARIA AUXILIADORA PERTUZ</v>
      </c>
      <c r="F3122" s="5"/>
      <c r="G3122" s="5"/>
    </row>
    <row r="3123" spans="1:7" ht="58.5" customHeight="1" x14ac:dyDescent="0.25">
      <c r="A3123" s="5" t="str">
        <f>"H0038454"</f>
        <v>H0038454</v>
      </c>
      <c r="B3123" s="5" t="str">
        <f t="shared" si="155"/>
        <v>UNIDAD DE LLAMADO DE ENFERMERIA PARA CAMA O BAÑO</v>
      </c>
      <c r="C3123" s="6">
        <v>532900</v>
      </c>
      <c r="D3123" s="5" t="s">
        <v>143</v>
      </c>
      <c r="E3123" s="5" t="str">
        <f t="shared" si="153"/>
        <v>ACTISALUD-GINECO-OBST-MARIA AUXILIADORA PERTUZ</v>
      </c>
      <c r="F3123" s="5"/>
      <c r="G3123" s="5"/>
    </row>
    <row r="3124" spans="1:7" ht="58.5" customHeight="1" x14ac:dyDescent="0.25">
      <c r="A3124" s="5" t="str">
        <f>"H0038455"</f>
        <v>H0038455</v>
      </c>
      <c r="B3124" s="5" t="str">
        <f t="shared" si="155"/>
        <v>UNIDAD DE LLAMADO DE ENFERMERIA PARA CAMA O BAÑO</v>
      </c>
      <c r="C3124" s="6">
        <v>532900</v>
      </c>
      <c r="D3124" s="5" t="s">
        <v>143</v>
      </c>
      <c r="E3124" s="5" t="str">
        <f t="shared" si="153"/>
        <v>ACTISALUD-GINECO-OBST-MARIA AUXILIADORA PERTUZ</v>
      </c>
      <c r="F3124" s="5"/>
      <c r="G3124" s="5"/>
    </row>
    <row r="3125" spans="1:7" ht="58.5" customHeight="1" x14ac:dyDescent="0.25">
      <c r="A3125" s="5" t="str">
        <f>"H0038456"</f>
        <v>H0038456</v>
      </c>
      <c r="B3125" s="5" t="str">
        <f t="shared" si="155"/>
        <v>UNIDAD DE LLAMADO DE ENFERMERIA PARA CAMA O BAÑO</v>
      </c>
      <c r="C3125" s="6">
        <v>532900</v>
      </c>
      <c r="D3125" s="5" t="s">
        <v>143</v>
      </c>
      <c r="E3125" s="5" t="str">
        <f t="shared" si="153"/>
        <v>ACTISALUD-GINECO-OBST-MARIA AUXILIADORA PERTUZ</v>
      </c>
      <c r="F3125" s="5"/>
      <c r="G3125" s="5"/>
    </row>
    <row r="3126" spans="1:7" ht="58.5" customHeight="1" x14ac:dyDescent="0.25">
      <c r="A3126" s="5" t="str">
        <f>"H0038457"</f>
        <v>H0038457</v>
      </c>
      <c r="B3126" s="5" t="str">
        <f t="shared" si="155"/>
        <v>UNIDAD DE LLAMADO DE ENFERMERIA PARA CAMA O BAÑO</v>
      </c>
      <c r="C3126" s="6">
        <v>532900</v>
      </c>
      <c r="D3126" s="5" t="s">
        <v>143</v>
      </c>
      <c r="E3126" s="5" t="str">
        <f t="shared" si="153"/>
        <v>ACTISALUD-GINECO-OBST-MARIA AUXILIADORA PERTUZ</v>
      </c>
      <c r="F3126" s="5"/>
      <c r="G3126" s="5"/>
    </row>
    <row r="3127" spans="1:7" ht="58.5" customHeight="1" x14ac:dyDescent="0.25">
      <c r="A3127" s="5" t="str">
        <f>"H0038458"</f>
        <v>H0038458</v>
      </c>
      <c r="B3127" s="5" t="str">
        <f t="shared" si="155"/>
        <v>UNIDAD DE LLAMADO DE ENFERMERIA PARA CAMA O BAÑO</v>
      </c>
      <c r="C3127" s="6">
        <v>532900</v>
      </c>
      <c r="D3127" s="5" t="s">
        <v>143</v>
      </c>
      <c r="E3127" s="5" t="str">
        <f t="shared" si="153"/>
        <v>ACTISALUD-GINECO-OBST-MARIA AUXILIADORA PERTUZ</v>
      </c>
      <c r="F3127" s="5"/>
      <c r="G3127" s="5"/>
    </row>
    <row r="3128" spans="1:7" ht="58.5" customHeight="1" x14ac:dyDescent="0.25">
      <c r="A3128" s="5" t="str">
        <f>"H0038459"</f>
        <v>H0038459</v>
      </c>
      <c r="B3128" s="5" t="str">
        <f t="shared" si="155"/>
        <v>UNIDAD DE LLAMADO DE ENFERMERIA PARA CAMA O BAÑO</v>
      </c>
      <c r="C3128" s="6">
        <v>532900</v>
      </c>
      <c r="D3128" s="5" t="s">
        <v>143</v>
      </c>
      <c r="E3128" s="5" t="str">
        <f t="shared" si="153"/>
        <v>ACTISALUD-GINECO-OBST-MARIA AUXILIADORA PERTUZ</v>
      </c>
      <c r="F3128" s="5"/>
      <c r="G3128" s="5"/>
    </row>
    <row r="3129" spans="1:7" ht="58.5" customHeight="1" x14ac:dyDescent="0.25">
      <c r="A3129" s="5" t="str">
        <f>"H0038460"</f>
        <v>H0038460</v>
      </c>
      <c r="B3129" s="5" t="str">
        <f t="shared" si="155"/>
        <v>UNIDAD DE LLAMADO DE ENFERMERIA PARA CAMA O BAÑO</v>
      </c>
      <c r="C3129" s="6">
        <v>532900</v>
      </c>
      <c r="D3129" s="5" t="s">
        <v>143</v>
      </c>
      <c r="E3129" s="5" t="str">
        <f t="shared" si="153"/>
        <v>ACTISALUD-GINECO-OBST-MARIA AUXILIADORA PERTUZ</v>
      </c>
      <c r="F3129" s="5"/>
      <c r="G3129" s="5"/>
    </row>
    <row r="3130" spans="1:7" ht="58.5" customHeight="1" x14ac:dyDescent="0.25">
      <c r="A3130" s="5" t="str">
        <f>"H0038461"</f>
        <v>H0038461</v>
      </c>
      <c r="B3130" s="5" t="str">
        <f t="shared" si="155"/>
        <v>UNIDAD DE LLAMADO DE ENFERMERIA PARA CAMA O BAÑO</v>
      </c>
      <c r="C3130" s="6">
        <v>532900</v>
      </c>
      <c r="D3130" s="5" t="s">
        <v>143</v>
      </c>
      <c r="E3130" s="5" t="str">
        <f t="shared" si="153"/>
        <v>ACTISALUD-GINECO-OBST-MARIA AUXILIADORA PERTUZ</v>
      </c>
      <c r="F3130" s="5"/>
      <c r="G3130" s="5"/>
    </row>
    <row r="3131" spans="1:7" ht="58.5" customHeight="1" x14ac:dyDescent="0.25">
      <c r="A3131" s="5" t="str">
        <f>"H0038462"</f>
        <v>H0038462</v>
      </c>
      <c r="B3131" s="5" t="str">
        <f t="shared" si="155"/>
        <v>UNIDAD DE LLAMADO DE ENFERMERIA PARA CAMA O BAÑO</v>
      </c>
      <c r="C3131" s="6">
        <v>532900</v>
      </c>
      <c r="D3131" s="5" t="s">
        <v>143</v>
      </c>
      <c r="E3131" s="5" t="str">
        <f t="shared" si="153"/>
        <v>ACTISALUD-GINECO-OBST-MARIA AUXILIADORA PERTUZ</v>
      </c>
      <c r="F3131" s="5"/>
      <c r="G3131" s="5"/>
    </row>
    <row r="3132" spans="1:7" ht="58.5" customHeight="1" x14ac:dyDescent="0.25">
      <c r="A3132" s="5" t="str">
        <f>"H0038463"</f>
        <v>H0038463</v>
      </c>
      <c r="B3132" s="5" t="str">
        <f t="shared" si="155"/>
        <v>UNIDAD DE LLAMADO DE ENFERMERIA PARA CAMA O BAÑO</v>
      </c>
      <c r="C3132" s="6">
        <v>532900</v>
      </c>
      <c r="D3132" s="5" t="s">
        <v>143</v>
      </c>
      <c r="E3132" s="5" t="str">
        <f t="shared" si="153"/>
        <v>ACTISALUD-GINECO-OBST-MARIA AUXILIADORA PERTUZ</v>
      </c>
      <c r="F3132" s="5"/>
      <c r="G3132" s="5"/>
    </row>
    <row r="3133" spans="1:7" ht="58.5" customHeight="1" x14ac:dyDescent="0.25">
      <c r="A3133" s="5" t="str">
        <f>"H0038464"</f>
        <v>H0038464</v>
      </c>
      <c r="B3133" s="5" t="str">
        <f t="shared" si="155"/>
        <v>UNIDAD DE LLAMADO DE ENFERMERIA PARA CAMA O BAÑO</v>
      </c>
      <c r="C3133" s="6">
        <v>532900</v>
      </c>
      <c r="D3133" s="5" t="s">
        <v>143</v>
      </c>
      <c r="E3133" s="5" t="str">
        <f t="shared" si="153"/>
        <v>ACTISALUD-GINECO-OBST-MARIA AUXILIADORA PERTUZ</v>
      </c>
      <c r="F3133" s="5"/>
      <c r="G3133" s="5"/>
    </row>
    <row r="3134" spans="1:7" ht="58.5" customHeight="1" x14ac:dyDescent="0.25">
      <c r="A3134" s="5" t="str">
        <f>"H0038465"</f>
        <v>H0038465</v>
      </c>
      <c r="B3134" s="5" t="str">
        <f t="shared" si="155"/>
        <v>UNIDAD DE LLAMADO DE ENFERMERIA PARA CAMA O BAÑO</v>
      </c>
      <c r="C3134" s="6">
        <v>532900</v>
      </c>
      <c r="D3134" s="5" t="s">
        <v>143</v>
      </c>
      <c r="E3134" s="5" t="str">
        <f t="shared" si="153"/>
        <v>ACTISALUD-GINECO-OBST-MARIA AUXILIADORA PERTUZ</v>
      </c>
      <c r="F3134" s="5"/>
      <c r="G3134" s="5"/>
    </row>
    <row r="3135" spans="1:7" ht="58.5" customHeight="1" x14ac:dyDescent="0.25">
      <c r="A3135" s="5" t="str">
        <f>"H0038466"</f>
        <v>H0038466</v>
      </c>
      <c r="B3135" s="5" t="str">
        <f t="shared" si="155"/>
        <v>UNIDAD DE LLAMADO DE ENFERMERIA PARA CAMA O BAÑO</v>
      </c>
      <c r="C3135" s="6">
        <v>532900</v>
      </c>
      <c r="D3135" s="5" t="s">
        <v>143</v>
      </c>
      <c r="E3135" s="5" t="str">
        <f t="shared" si="153"/>
        <v>ACTISALUD-GINECO-OBST-MARIA AUXILIADORA PERTUZ</v>
      </c>
      <c r="F3135" s="5"/>
      <c r="G3135" s="5"/>
    </row>
    <row r="3136" spans="1:7" ht="58.5" customHeight="1" x14ac:dyDescent="0.25">
      <c r="A3136" s="5" t="str">
        <f>"H0038467"</f>
        <v>H0038467</v>
      </c>
      <c r="B3136" s="5" t="str">
        <f t="shared" si="155"/>
        <v>UNIDAD DE LLAMADO DE ENFERMERIA PARA CAMA O BAÑO</v>
      </c>
      <c r="C3136" s="6">
        <v>532900</v>
      </c>
      <c r="D3136" s="5" t="s">
        <v>143</v>
      </c>
      <c r="E3136" s="5" t="str">
        <f t="shared" si="153"/>
        <v>ACTISALUD-GINECO-OBST-MARIA AUXILIADORA PERTUZ</v>
      </c>
      <c r="F3136" s="5"/>
      <c r="G3136" s="5"/>
    </row>
    <row r="3137" spans="1:7" ht="58.5" customHeight="1" x14ac:dyDescent="0.25">
      <c r="A3137" s="5" t="str">
        <f>"H0038468"</f>
        <v>H0038468</v>
      </c>
      <c r="B3137" s="5" t="str">
        <f t="shared" si="155"/>
        <v>UNIDAD DE LLAMADO DE ENFERMERIA PARA CAMA O BAÑO</v>
      </c>
      <c r="C3137" s="6">
        <v>532900</v>
      </c>
      <c r="D3137" s="5" t="s">
        <v>143</v>
      </c>
      <c r="E3137" s="5" t="str">
        <f t="shared" si="153"/>
        <v>ACTISALUD-GINECO-OBST-MARIA AUXILIADORA PERTUZ</v>
      </c>
      <c r="F3137" s="5"/>
      <c r="G3137" s="5"/>
    </row>
    <row r="3138" spans="1:7" ht="58.5" customHeight="1" x14ac:dyDescent="0.25">
      <c r="A3138" s="5" t="str">
        <f>"H0038469"</f>
        <v>H0038469</v>
      </c>
      <c r="B3138" s="5" t="str">
        <f t="shared" si="155"/>
        <v>UNIDAD DE LLAMADO DE ENFERMERIA PARA CAMA O BAÑO</v>
      </c>
      <c r="C3138" s="6">
        <v>532900</v>
      </c>
      <c r="D3138" s="5" t="s">
        <v>143</v>
      </c>
      <c r="E3138" s="5" t="str">
        <f t="shared" si="153"/>
        <v>ACTISALUD-GINECO-OBST-MARIA AUXILIADORA PERTUZ</v>
      </c>
      <c r="F3138" s="5"/>
      <c r="G3138" s="5"/>
    </row>
    <row r="3139" spans="1:7" ht="58.5" customHeight="1" x14ac:dyDescent="0.25">
      <c r="A3139" s="5" t="str">
        <f>"H0038470"</f>
        <v>H0038470</v>
      </c>
      <c r="B3139" s="5" t="str">
        <f t="shared" si="155"/>
        <v>UNIDAD DE LLAMADO DE ENFERMERIA PARA CAMA O BAÑO</v>
      </c>
      <c r="C3139" s="6">
        <v>532900</v>
      </c>
      <c r="D3139" s="5" t="s">
        <v>143</v>
      </c>
      <c r="E3139" s="5" t="str">
        <f t="shared" si="153"/>
        <v>ACTISALUD-GINECO-OBST-MARIA AUXILIADORA PERTUZ</v>
      </c>
      <c r="F3139" s="5"/>
      <c r="G3139" s="5"/>
    </row>
    <row r="3140" spans="1:7" ht="58.5" customHeight="1" x14ac:dyDescent="0.25">
      <c r="A3140" s="5" t="str">
        <f>"H0038471"</f>
        <v>H0038471</v>
      </c>
      <c r="B3140" s="5" t="str">
        <f t="shared" si="155"/>
        <v>UNIDAD DE LLAMADO DE ENFERMERIA PARA CAMA O BAÑO</v>
      </c>
      <c r="C3140" s="6">
        <v>532900</v>
      </c>
      <c r="D3140" s="5" t="s">
        <v>143</v>
      </c>
      <c r="E3140" s="5" t="str">
        <f t="shared" si="153"/>
        <v>ACTISALUD-GINECO-OBST-MARIA AUXILIADORA PERTUZ</v>
      </c>
      <c r="F3140" s="5"/>
      <c r="G3140" s="5"/>
    </row>
    <row r="3141" spans="1:7" ht="58.5" customHeight="1" x14ac:dyDescent="0.25">
      <c r="A3141" s="5" t="str">
        <f>"H0038472"</f>
        <v>H0038472</v>
      </c>
      <c r="B3141" s="5" t="str">
        <f t="shared" si="155"/>
        <v>UNIDAD DE LLAMADO DE ENFERMERIA PARA CAMA O BAÑO</v>
      </c>
      <c r="C3141" s="6">
        <v>532900</v>
      </c>
      <c r="D3141" s="5" t="s">
        <v>143</v>
      </c>
      <c r="E3141" s="5" t="str">
        <f t="shared" si="153"/>
        <v>ACTISALUD-GINECO-OBST-MARIA AUXILIADORA PERTUZ</v>
      </c>
      <c r="F3141" s="5"/>
      <c r="G3141" s="5"/>
    </row>
    <row r="3142" spans="1:7" ht="58.5" customHeight="1" x14ac:dyDescent="0.25">
      <c r="A3142" s="5" t="str">
        <f>"H0038473"</f>
        <v>H0038473</v>
      </c>
      <c r="B3142" s="5" t="str">
        <f t="shared" si="155"/>
        <v>UNIDAD DE LLAMADO DE ENFERMERIA PARA CAMA O BAÑO</v>
      </c>
      <c r="C3142" s="6">
        <v>532900</v>
      </c>
      <c r="D3142" s="5" t="s">
        <v>143</v>
      </c>
      <c r="E3142" s="5" t="str">
        <f t="shared" si="153"/>
        <v>ACTISALUD-GINECO-OBST-MARIA AUXILIADORA PERTUZ</v>
      </c>
      <c r="F3142" s="5"/>
      <c r="G3142" s="5"/>
    </row>
    <row r="3143" spans="1:7" ht="58.5" customHeight="1" x14ac:dyDescent="0.25">
      <c r="A3143" s="5" t="str">
        <f>"H0038474"</f>
        <v>H0038474</v>
      </c>
      <c r="B3143" s="5" t="str">
        <f t="shared" si="155"/>
        <v>UNIDAD DE LLAMADO DE ENFERMERIA PARA CAMA O BAÑO</v>
      </c>
      <c r="C3143" s="6">
        <v>532900</v>
      </c>
      <c r="D3143" s="5" t="s">
        <v>143</v>
      </c>
      <c r="E3143" s="5" t="str">
        <f t="shared" si="153"/>
        <v>ACTISALUD-GINECO-OBST-MARIA AUXILIADORA PERTUZ</v>
      </c>
      <c r="F3143" s="5"/>
      <c r="G3143" s="5"/>
    </row>
    <row r="3144" spans="1:7" ht="58.5" customHeight="1" x14ac:dyDescent="0.25">
      <c r="A3144" s="5" t="str">
        <f>"H0038475"</f>
        <v>H0038475</v>
      </c>
      <c r="B3144" s="5" t="str">
        <f t="shared" si="155"/>
        <v>UNIDAD DE LLAMADO DE ENFERMERIA PARA CAMA O BAÑO</v>
      </c>
      <c r="C3144" s="6">
        <v>532900</v>
      </c>
      <c r="D3144" s="5" t="s">
        <v>143</v>
      </c>
      <c r="E3144" s="5" t="str">
        <f t="shared" si="153"/>
        <v>ACTISALUD-GINECO-OBST-MARIA AUXILIADORA PERTUZ</v>
      </c>
      <c r="F3144" s="5"/>
      <c r="G3144" s="5"/>
    </row>
    <row r="3145" spans="1:7" ht="58.5" customHeight="1" x14ac:dyDescent="0.25">
      <c r="A3145" s="5" t="str">
        <f>"H0038476"</f>
        <v>H0038476</v>
      </c>
      <c r="B3145" s="5" t="str">
        <f t="shared" si="155"/>
        <v>UNIDAD DE LLAMADO DE ENFERMERIA PARA CAMA O BAÑO</v>
      </c>
      <c r="C3145" s="6">
        <v>532900</v>
      </c>
      <c r="D3145" s="5" t="s">
        <v>143</v>
      </c>
      <c r="E3145" s="5" t="str">
        <f t="shared" si="153"/>
        <v>ACTISALUD-GINECO-OBST-MARIA AUXILIADORA PERTUZ</v>
      </c>
      <c r="F3145" s="5"/>
      <c r="G3145" s="5"/>
    </row>
    <row r="3146" spans="1:7" ht="58.5" customHeight="1" x14ac:dyDescent="0.25">
      <c r="A3146" s="5" t="str">
        <f>"H0038477"</f>
        <v>H0038477</v>
      </c>
      <c r="B3146" s="5" t="str">
        <f t="shared" si="155"/>
        <v>UNIDAD DE LLAMADO DE ENFERMERIA PARA CAMA O BAÑO</v>
      </c>
      <c r="C3146" s="6">
        <v>532900</v>
      </c>
      <c r="D3146" s="5" t="s">
        <v>143</v>
      </c>
      <c r="E3146" s="5" t="str">
        <f t="shared" si="153"/>
        <v>ACTISALUD-GINECO-OBST-MARIA AUXILIADORA PERTUZ</v>
      </c>
      <c r="F3146" s="5"/>
      <c r="G3146" s="5"/>
    </row>
    <row r="3147" spans="1:7" ht="58.5" customHeight="1" x14ac:dyDescent="0.25">
      <c r="A3147" s="5" t="str">
        <f>"H0038478"</f>
        <v>H0038478</v>
      </c>
      <c r="B3147" s="5" t="str">
        <f t="shared" si="155"/>
        <v>UNIDAD DE LLAMADO DE ENFERMERIA PARA CAMA O BAÑO</v>
      </c>
      <c r="C3147" s="6">
        <v>532900</v>
      </c>
      <c r="D3147" s="5" t="s">
        <v>143</v>
      </c>
      <c r="E3147" s="5" t="str">
        <f t="shared" si="153"/>
        <v>ACTISALUD-GINECO-OBST-MARIA AUXILIADORA PERTUZ</v>
      </c>
      <c r="F3147" s="5"/>
      <c r="G3147" s="5"/>
    </row>
    <row r="3148" spans="1:7" ht="58.5" customHeight="1" x14ac:dyDescent="0.25">
      <c r="A3148" s="5" t="str">
        <f>"H0038479"</f>
        <v>H0038479</v>
      </c>
      <c r="B3148" s="5" t="str">
        <f t="shared" si="155"/>
        <v>UNIDAD DE LLAMADO DE ENFERMERIA PARA CAMA O BAÑO</v>
      </c>
      <c r="C3148" s="6">
        <v>532900</v>
      </c>
      <c r="D3148" s="5" t="s">
        <v>143</v>
      </c>
      <c r="E3148" s="5" t="str">
        <f t="shared" si="153"/>
        <v>ACTISALUD-GINECO-OBST-MARIA AUXILIADORA PERTUZ</v>
      </c>
      <c r="F3148" s="5"/>
      <c r="G3148" s="5"/>
    </row>
    <row r="3149" spans="1:7" ht="58.5" customHeight="1" x14ac:dyDescent="0.25">
      <c r="A3149" s="5" t="str">
        <f>"H0038480"</f>
        <v>H0038480</v>
      </c>
      <c r="B3149" s="5" t="str">
        <f t="shared" si="155"/>
        <v>UNIDAD DE LLAMADO DE ENFERMERIA PARA CAMA O BAÑO</v>
      </c>
      <c r="C3149" s="6">
        <v>532900</v>
      </c>
      <c r="D3149" s="5" t="s">
        <v>143</v>
      </c>
      <c r="E3149" s="5" t="str">
        <f t="shared" ref="E3149:E3167" si="156">"ACTISALUD-GINECO-OBST-MARIA AUXILIADORA PERTUZ"</f>
        <v>ACTISALUD-GINECO-OBST-MARIA AUXILIADORA PERTUZ</v>
      </c>
      <c r="F3149" s="5"/>
      <c r="G3149" s="5"/>
    </row>
    <row r="3150" spans="1:7" ht="58.5" customHeight="1" x14ac:dyDescent="0.25">
      <c r="A3150" s="5" t="str">
        <f>"H0038481"</f>
        <v>H0038481</v>
      </c>
      <c r="B3150" s="5" t="str">
        <f t="shared" si="155"/>
        <v>UNIDAD DE LLAMADO DE ENFERMERIA PARA CAMA O BAÑO</v>
      </c>
      <c r="C3150" s="6">
        <v>532900</v>
      </c>
      <c r="D3150" s="5" t="s">
        <v>143</v>
      </c>
      <c r="E3150" s="5" t="str">
        <f t="shared" si="156"/>
        <v>ACTISALUD-GINECO-OBST-MARIA AUXILIADORA PERTUZ</v>
      </c>
      <c r="F3150" s="5"/>
      <c r="G3150" s="5"/>
    </row>
    <row r="3151" spans="1:7" ht="58.5" customHeight="1" x14ac:dyDescent="0.25">
      <c r="A3151" s="5" t="str">
        <f>"H0038482"</f>
        <v>H0038482</v>
      </c>
      <c r="B3151" s="5" t="str">
        <f t="shared" si="155"/>
        <v>UNIDAD DE LLAMADO DE ENFERMERIA PARA CAMA O BAÑO</v>
      </c>
      <c r="C3151" s="6">
        <v>532900</v>
      </c>
      <c r="D3151" s="5" t="s">
        <v>143</v>
      </c>
      <c r="E3151" s="5" t="str">
        <f t="shared" si="156"/>
        <v>ACTISALUD-GINECO-OBST-MARIA AUXILIADORA PERTUZ</v>
      </c>
      <c r="F3151" s="5"/>
      <c r="G3151" s="5"/>
    </row>
    <row r="3152" spans="1:7" ht="58.5" customHeight="1" x14ac:dyDescent="0.25">
      <c r="A3152" s="5" t="str">
        <f>"H0038483"</f>
        <v>H0038483</v>
      </c>
      <c r="B3152" s="5" t="str">
        <f t="shared" si="155"/>
        <v>UNIDAD DE LLAMADO DE ENFERMERIA PARA CAMA O BAÑO</v>
      </c>
      <c r="C3152" s="6">
        <v>532900</v>
      </c>
      <c r="D3152" s="5" t="s">
        <v>143</v>
      </c>
      <c r="E3152" s="5" t="str">
        <f t="shared" si="156"/>
        <v>ACTISALUD-GINECO-OBST-MARIA AUXILIADORA PERTUZ</v>
      </c>
      <c r="F3152" s="5"/>
      <c r="G3152" s="5"/>
    </row>
    <row r="3153" spans="1:7" ht="58.5" customHeight="1" x14ac:dyDescent="0.25">
      <c r="A3153" s="5" t="str">
        <f>"H0038484"</f>
        <v>H0038484</v>
      </c>
      <c r="B3153" s="5" t="str">
        <f t="shared" si="155"/>
        <v>UNIDAD DE LLAMADO DE ENFERMERIA PARA CAMA O BAÑO</v>
      </c>
      <c r="C3153" s="6">
        <v>532900</v>
      </c>
      <c r="D3153" s="5" t="s">
        <v>143</v>
      </c>
      <c r="E3153" s="5" t="str">
        <f t="shared" si="156"/>
        <v>ACTISALUD-GINECO-OBST-MARIA AUXILIADORA PERTUZ</v>
      </c>
      <c r="F3153" s="5"/>
      <c r="G3153" s="5"/>
    </row>
    <row r="3154" spans="1:7" ht="58.5" customHeight="1" x14ac:dyDescent="0.25">
      <c r="A3154" s="5" t="str">
        <f>"H0038485"</f>
        <v>H0038485</v>
      </c>
      <c r="B3154" s="5" t="str">
        <f t="shared" si="155"/>
        <v>UNIDAD DE LLAMADO DE ENFERMERIA PARA CAMA O BAÑO</v>
      </c>
      <c r="C3154" s="6">
        <v>532900</v>
      </c>
      <c r="D3154" s="5" t="s">
        <v>143</v>
      </c>
      <c r="E3154" s="5" t="str">
        <f t="shared" si="156"/>
        <v>ACTISALUD-GINECO-OBST-MARIA AUXILIADORA PERTUZ</v>
      </c>
      <c r="F3154" s="5"/>
      <c r="G3154" s="5"/>
    </row>
    <row r="3155" spans="1:7" ht="58.5" customHeight="1" x14ac:dyDescent="0.25">
      <c r="A3155" s="5" t="str">
        <f>"H0038573"</f>
        <v>H0038573</v>
      </c>
      <c r="B3155" s="5" t="str">
        <f t="shared" ref="B3155:B3167" si="157">"LAMPARA DE PASILLO DE LLAMADO DE ENFERMERIA"</f>
        <v>LAMPARA DE PASILLO DE LLAMADO DE ENFERMERIA</v>
      </c>
      <c r="C3155" s="6">
        <v>854790</v>
      </c>
      <c r="D3155" s="5" t="s">
        <v>143</v>
      </c>
      <c r="E3155" s="5" t="str">
        <f t="shared" si="156"/>
        <v>ACTISALUD-GINECO-OBST-MARIA AUXILIADORA PERTUZ</v>
      </c>
      <c r="F3155" s="5"/>
      <c r="G3155" s="5"/>
    </row>
    <row r="3156" spans="1:7" ht="58.5" customHeight="1" x14ac:dyDescent="0.25">
      <c r="A3156" s="5" t="str">
        <f>"H0038574"</f>
        <v>H0038574</v>
      </c>
      <c r="B3156" s="5" t="str">
        <f t="shared" si="157"/>
        <v>LAMPARA DE PASILLO DE LLAMADO DE ENFERMERIA</v>
      </c>
      <c r="C3156" s="6">
        <v>854790</v>
      </c>
      <c r="D3156" s="5" t="s">
        <v>143</v>
      </c>
      <c r="E3156" s="5" t="str">
        <f t="shared" si="156"/>
        <v>ACTISALUD-GINECO-OBST-MARIA AUXILIADORA PERTUZ</v>
      </c>
      <c r="F3156" s="5"/>
      <c r="G3156" s="5"/>
    </row>
    <row r="3157" spans="1:7" ht="58.5" customHeight="1" x14ac:dyDescent="0.25">
      <c r="A3157" s="5" t="str">
        <f>"H0038575"</f>
        <v>H0038575</v>
      </c>
      <c r="B3157" s="5" t="str">
        <f t="shared" si="157"/>
        <v>LAMPARA DE PASILLO DE LLAMADO DE ENFERMERIA</v>
      </c>
      <c r="C3157" s="6">
        <v>854790</v>
      </c>
      <c r="D3157" s="5" t="s">
        <v>143</v>
      </c>
      <c r="E3157" s="5" t="str">
        <f t="shared" si="156"/>
        <v>ACTISALUD-GINECO-OBST-MARIA AUXILIADORA PERTUZ</v>
      </c>
      <c r="F3157" s="5"/>
      <c r="G3157" s="5"/>
    </row>
    <row r="3158" spans="1:7" ht="58.5" customHeight="1" x14ac:dyDescent="0.25">
      <c r="A3158" s="5" t="str">
        <f>"H0038576"</f>
        <v>H0038576</v>
      </c>
      <c r="B3158" s="5" t="str">
        <f t="shared" si="157"/>
        <v>LAMPARA DE PASILLO DE LLAMADO DE ENFERMERIA</v>
      </c>
      <c r="C3158" s="6">
        <v>854790</v>
      </c>
      <c r="D3158" s="5" t="s">
        <v>143</v>
      </c>
      <c r="E3158" s="5" t="str">
        <f t="shared" si="156"/>
        <v>ACTISALUD-GINECO-OBST-MARIA AUXILIADORA PERTUZ</v>
      </c>
      <c r="F3158" s="5"/>
      <c r="G3158" s="5"/>
    </row>
    <row r="3159" spans="1:7" ht="58.5" customHeight="1" x14ac:dyDescent="0.25">
      <c r="A3159" s="5" t="str">
        <f>"H0038577"</f>
        <v>H0038577</v>
      </c>
      <c r="B3159" s="5" t="str">
        <f t="shared" si="157"/>
        <v>LAMPARA DE PASILLO DE LLAMADO DE ENFERMERIA</v>
      </c>
      <c r="C3159" s="6">
        <v>854790</v>
      </c>
      <c r="D3159" s="5" t="s">
        <v>143</v>
      </c>
      <c r="E3159" s="5" t="str">
        <f t="shared" si="156"/>
        <v>ACTISALUD-GINECO-OBST-MARIA AUXILIADORA PERTUZ</v>
      </c>
      <c r="F3159" s="5"/>
      <c r="G3159" s="5"/>
    </row>
    <row r="3160" spans="1:7" ht="58.5" customHeight="1" x14ac:dyDescent="0.25">
      <c r="A3160" s="5" t="str">
        <f>"H0038578"</f>
        <v>H0038578</v>
      </c>
      <c r="B3160" s="5" t="str">
        <f t="shared" si="157"/>
        <v>LAMPARA DE PASILLO DE LLAMADO DE ENFERMERIA</v>
      </c>
      <c r="C3160" s="6">
        <v>854790</v>
      </c>
      <c r="D3160" s="5" t="s">
        <v>143</v>
      </c>
      <c r="E3160" s="5" t="str">
        <f t="shared" si="156"/>
        <v>ACTISALUD-GINECO-OBST-MARIA AUXILIADORA PERTUZ</v>
      </c>
      <c r="F3160" s="5"/>
      <c r="G3160" s="5"/>
    </row>
    <row r="3161" spans="1:7" ht="58.5" customHeight="1" x14ac:dyDescent="0.25">
      <c r="A3161" s="5" t="str">
        <f>"H0038579"</f>
        <v>H0038579</v>
      </c>
      <c r="B3161" s="5" t="str">
        <f t="shared" si="157"/>
        <v>LAMPARA DE PASILLO DE LLAMADO DE ENFERMERIA</v>
      </c>
      <c r="C3161" s="6">
        <v>854790</v>
      </c>
      <c r="D3161" s="5" t="s">
        <v>143</v>
      </c>
      <c r="E3161" s="5" t="str">
        <f t="shared" si="156"/>
        <v>ACTISALUD-GINECO-OBST-MARIA AUXILIADORA PERTUZ</v>
      </c>
      <c r="F3161" s="5"/>
      <c r="G3161" s="5"/>
    </row>
    <row r="3162" spans="1:7" ht="58.5" customHeight="1" x14ac:dyDescent="0.25">
      <c r="A3162" s="5" t="str">
        <f>"H0038580"</f>
        <v>H0038580</v>
      </c>
      <c r="B3162" s="5" t="str">
        <f t="shared" si="157"/>
        <v>LAMPARA DE PASILLO DE LLAMADO DE ENFERMERIA</v>
      </c>
      <c r="C3162" s="6">
        <v>854790</v>
      </c>
      <c r="D3162" s="5" t="s">
        <v>143</v>
      </c>
      <c r="E3162" s="5" t="str">
        <f t="shared" si="156"/>
        <v>ACTISALUD-GINECO-OBST-MARIA AUXILIADORA PERTUZ</v>
      </c>
      <c r="F3162" s="5"/>
      <c r="G3162" s="5"/>
    </row>
    <row r="3163" spans="1:7" ht="58.5" customHeight="1" x14ac:dyDescent="0.25">
      <c r="A3163" s="5" t="str">
        <f>"H0038581"</f>
        <v>H0038581</v>
      </c>
      <c r="B3163" s="5" t="str">
        <f t="shared" si="157"/>
        <v>LAMPARA DE PASILLO DE LLAMADO DE ENFERMERIA</v>
      </c>
      <c r="C3163" s="6">
        <v>854790</v>
      </c>
      <c r="D3163" s="5" t="s">
        <v>143</v>
      </c>
      <c r="E3163" s="5" t="str">
        <f t="shared" si="156"/>
        <v>ACTISALUD-GINECO-OBST-MARIA AUXILIADORA PERTUZ</v>
      </c>
      <c r="F3163" s="5"/>
      <c r="G3163" s="5"/>
    </row>
    <row r="3164" spans="1:7" ht="58.5" customHeight="1" x14ac:dyDescent="0.25">
      <c r="A3164" s="5" t="str">
        <f>"H0038582"</f>
        <v>H0038582</v>
      </c>
      <c r="B3164" s="5" t="str">
        <f t="shared" si="157"/>
        <v>LAMPARA DE PASILLO DE LLAMADO DE ENFERMERIA</v>
      </c>
      <c r="C3164" s="6">
        <v>854790</v>
      </c>
      <c r="D3164" s="5" t="s">
        <v>143</v>
      </c>
      <c r="E3164" s="5" t="str">
        <f t="shared" si="156"/>
        <v>ACTISALUD-GINECO-OBST-MARIA AUXILIADORA PERTUZ</v>
      </c>
      <c r="F3164" s="5"/>
      <c r="G3164" s="5"/>
    </row>
    <row r="3165" spans="1:7" ht="58.5" customHeight="1" x14ac:dyDescent="0.25">
      <c r="A3165" s="5" t="str">
        <f>"H0038583"</f>
        <v>H0038583</v>
      </c>
      <c r="B3165" s="5" t="str">
        <f t="shared" si="157"/>
        <v>LAMPARA DE PASILLO DE LLAMADO DE ENFERMERIA</v>
      </c>
      <c r="C3165" s="6">
        <v>854790</v>
      </c>
      <c r="D3165" s="5" t="s">
        <v>143</v>
      </c>
      <c r="E3165" s="5" t="str">
        <f t="shared" si="156"/>
        <v>ACTISALUD-GINECO-OBST-MARIA AUXILIADORA PERTUZ</v>
      </c>
      <c r="F3165" s="5"/>
      <c r="G3165" s="5"/>
    </row>
    <row r="3166" spans="1:7" ht="58.5" customHeight="1" x14ac:dyDescent="0.25">
      <c r="A3166" s="5" t="str">
        <f>"H0038584"</f>
        <v>H0038584</v>
      </c>
      <c r="B3166" s="5" t="str">
        <f t="shared" si="157"/>
        <v>LAMPARA DE PASILLO DE LLAMADO DE ENFERMERIA</v>
      </c>
      <c r="C3166" s="6">
        <v>854790</v>
      </c>
      <c r="D3166" s="5" t="s">
        <v>143</v>
      </c>
      <c r="E3166" s="5" t="str">
        <f t="shared" si="156"/>
        <v>ACTISALUD-GINECO-OBST-MARIA AUXILIADORA PERTUZ</v>
      </c>
      <c r="F3166" s="5"/>
      <c r="G3166" s="5"/>
    </row>
    <row r="3167" spans="1:7" ht="58.5" customHeight="1" x14ac:dyDescent="0.25">
      <c r="A3167" s="5" t="str">
        <f>"H0038585"</f>
        <v>H0038585</v>
      </c>
      <c r="B3167" s="5" t="str">
        <f t="shared" si="157"/>
        <v>LAMPARA DE PASILLO DE LLAMADO DE ENFERMERIA</v>
      </c>
      <c r="C3167" s="6">
        <v>854790</v>
      </c>
      <c r="D3167" s="5" t="s">
        <v>143</v>
      </c>
      <c r="E3167" s="5" t="str">
        <f t="shared" si="156"/>
        <v>ACTISALUD-GINECO-OBST-MARIA AUXILIADORA PERTUZ</v>
      </c>
      <c r="F3167" s="5"/>
      <c r="G3167" s="5"/>
    </row>
    <row r="3168" spans="1:7" ht="58.5" customHeight="1" x14ac:dyDescent="0.25">
      <c r="A3168" s="5" t="str">
        <f>"B0000266"</f>
        <v>B0000266</v>
      </c>
      <c r="B3168" s="5" t="str">
        <f>"PROTECTOR TIROIDEO (DE TIROIDES)"</f>
        <v>PROTECTOR TIROIDEO (DE TIROIDES)</v>
      </c>
      <c r="C3168" s="6">
        <v>139200</v>
      </c>
      <c r="D3168" s="5"/>
      <c r="E3168" s="5" t="str">
        <f t="shared" ref="E3168:E3231" si="158">"QUIROFANO -MARIA DEL PILAR MEDINA"</f>
        <v>QUIROFANO -MARIA DEL PILAR MEDINA</v>
      </c>
      <c r="F3168" s="5" t="str">
        <f>"Descripcion:PROTECTOR DE TIROIDES Estado: Excelente Placa anterior: 000039029 Material: TELA Y PLOMO Color: AZUL Referencia:  Observacion:  Placa padre:  Tipo adquisicion : Entidad"</f>
        <v>Descripcion:PROTECTOR DE TIROIDES Estado: Excelente Placa anterior: 000039029 Material: TELA Y PLOMO Color: AZUL Referencia:  Observacion:  Placa padre:  Tipo adquisicion : Entidad</v>
      </c>
      <c r="G3168" s="5"/>
    </row>
    <row r="3169" spans="1:7" ht="58.5" customHeight="1" x14ac:dyDescent="0.25">
      <c r="A3169" s="5" t="str">
        <f>"B0000267"</f>
        <v>B0000267</v>
      </c>
      <c r="B3169" s="5" t="str">
        <f>"PROTECTOR TIROIDEO (DE TIROIDES)"</f>
        <v>PROTECTOR TIROIDEO (DE TIROIDES)</v>
      </c>
      <c r="C3169" s="6">
        <v>139200</v>
      </c>
      <c r="D3169" s="5"/>
      <c r="E3169" s="5" t="str">
        <f t="shared" si="158"/>
        <v>QUIROFANO -MARIA DEL PILAR MEDINA</v>
      </c>
      <c r="F3169" s="5" t="str">
        <f>"Descripcion:PROTECTOR DE TIROIDES Estado: Excelente Placa anterior: 000039030 Material: TELA Y PLOMO Color: AZUL Referencia:  Observacion:  Placa padre:  Tipo adquisicion : Entidad"</f>
        <v>Descripcion:PROTECTOR DE TIROIDES Estado: Excelente Placa anterior: 000039030 Material: TELA Y PLOMO Color: AZUL Referencia:  Observacion:  Placa padre:  Tipo adquisicion : Entidad</v>
      </c>
      <c r="G3169" s="5"/>
    </row>
    <row r="3170" spans="1:7" ht="58.5" customHeight="1" x14ac:dyDescent="0.25">
      <c r="A3170" s="5" t="str">
        <f>"B0003849"</f>
        <v>B0003849</v>
      </c>
      <c r="B3170" s="5" t="str">
        <f>"PINZA MAGUIL 20 CM"</f>
        <v>PINZA MAGUIL 20 CM</v>
      </c>
      <c r="C3170" s="6">
        <v>21585.53</v>
      </c>
      <c r="D3170" s="5"/>
      <c r="E3170" s="5" t="str">
        <f t="shared" si="158"/>
        <v>QUIROFANO -MARIA DEL PILAR MEDINA</v>
      </c>
      <c r="F3170" s="5" t="str">
        <f>"Descripcion: PINZA MAGUIL DE 20 CM Estado: Bueno Placa anterior: 000019549 Material: ACERO Color: PLATEADO Referencia:  Observacion: PINZA MAGIL PORTA TUBO ENDOTRAQUEAL Placa padre: Tipo adquisicion: Entidad"</f>
        <v>Descripcion: PINZA MAGUIL DE 20 CM Estado: Bueno Placa anterior: 000019549 Material: ACERO Color: PLATEADO Referencia:  Observacion: PINZA MAGIL PORTA TUBO ENDOTRAQUEAL Placa padre: Tipo adquisicion: Entidad</v>
      </c>
      <c r="G3170" s="5"/>
    </row>
    <row r="3171" spans="1:7" ht="58.5" customHeight="1" x14ac:dyDescent="0.25">
      <c r="A3171" s="5" t="str">
        <f>"B0004024"</f>
        <v>B0004024</v>
      </c>
      <c r="B3171" s="5" t="str">
        <f>"PINZA MAGUIL"</f>
        <v>PINZA MAGUIL</v>
      </c>
      <c r="C3171" s="6">
        <v>19066.169999999998</v>
      </c>
      <c r="D3171" s="5"/>
      <c r="E3171" s="5" t="str">
        <f t="shared" si="158"/>
        <v>QUIROFANO -MARIA DEL PILAR MEDINA</v>
      </c>
      <c r="F3171" s="5" t="str">
        <f>"Descripcion: PINZA MACGUIL Estado: Bueno Placa anterior: 000006462 Material: ACERO Color: GRIS Referencia:  Observacion:  Placa padre: Tipo adquisicion: Entidad"</f>
        <v>Descripcion: PINZA MACGUIL Estado: Bueno Placa anterior: 000006462 Material: ACERO Color: GRIS Referencia:  Observacion:  Placa padre: Tipo adquisicion: Entidad</v>
      </c>
      <c r="G3171" s="5"/>
    </row>
    <row r="3172" spans="1:7" ht="58.5" customHeight="1" x14ac:dyDescent="0.25">
      <c r="A3172" s="5" t="str">
        <f>"B0004615"</f>
        <v>B0004615</v>
      </c>
      <c r="B3172" s="5" t="str">
        <f>"LICENCIA OFFICE HOME AND BUSINEES"</f>
        <v>LICENCIA OFFICE HOME AND BUSINEES</v>
      </c>
      <c r="C3172" s="6">
        <v>440800</v>
      </c>
      <c r="D3172" s="5" t="s">
        <v>1</v>
      </c>
      <c r="E3172" s="5" t="str">
        <f t="shared" si="158"/>
        <v>QUIROFANO -MARIA DEL PILAR MEDINA</v>
      </c>
      <c r="F3172" s="5" t="str">
        <f>"Descripcion: LICENCIA OFFICE HOME AND BUSIMESS 2013 Estado: Bueno Placa anterior: 000030609 Material:  Color:  Referencia:  Observacion:  Placa padre: Tipo adquisicion: Entidad"</f>
        <v>Descripcion: LICENCIA OFFICE HOME AND BUSIMESS 2013 Estado: Bueno Placa anterior: 000030609 Material:  Color:  Referencia:  Observacion:  Placa padre: Tipo adquisicion: Entidad</v>
      </c>
      <c r="G3172" s="5"/>
    </row>
    <row r="3173" spans="1:7" ht="58.5" customHeight="1" x14ac:dyDescent="0.25">
      <c r="A3173" s="5" t="str">
        <f>"B0005410"</f>
        <v>B0005410</v>
      </c>
      <c r="B3173" s="5" t="str">
        <f>"BALA OXIGENO"</f>
        <v>BALA OXIGENO</v>
      </c>
      <c r="C3173" s="6">
        <v>408320</v>
      </c>
      <c r="D3173" s="5"/>
      <c r="E3173" s="5" t="str">
        <f t="shared" si="158"/>
        <v>QUIROFANO -MARIA DEL PILAR MEDINA</v>
      </c>
      <c r="F3173" s="5" t="str">
        <f>"Descripcion: CILINDRO EN ALUMINIO CON VALVULA DE YUGO Estado: Bueno Placa anterior: 000022409 Material: ALUMINIO Color: GRIS Referencia:  Observacion:  Placa padre: Tipo adquisicion: Entidad"</f>
        <v>Descripcion: CILINDRO EN ALUMINIO CON VALVULA DE YUGO Estado: Bueno Placa anterior: 000022409 Material: ALUMINIO Color: GRIS Referencia:  Observacion:  Placa padre: Tipo adquisicion: Entidad</v>
      </c>
      <c r="G3173" s="5"/>
    </row>
    <row r="3174" spans="1:7" ht="58.5" customHeight="1" x14ac:dyDescent="0.25">
      <c r="A3174" s="5" t="str">
        <f>"B0005411"</f>
        <v>B0005411</v>
      </c>
      <c r="B3174" s="5" t="str">
        <f>"BALA OXIGENO"</f>
        <v>BALA OXIGENO</v>
      </c>
      <c r="C3174" s="6">
        <v>408320</v>
      </c>
      <c r="D3174" s="5"/>
      <c r="E3174" s="5" t="str">
        <f t="shared" si="158"/>
        <v>QUIROFANO -MARIA DEL PILAR MEDINA</v>
      </c>
      <c r="F3174" s="5" t="str">
        <f>"Descripcion: CILINDRO EN ALUMINIO CON VALVULA DE YUGO Estado: Bueno Placa anterior: 000022408 Material: ALUMINIO Color: GRIS Referencia:  Observacion:  Placa padre: Tipo adquisicion: Entidad"</f>
        <v>Descripcion: CILINDRO EN ALUMINIO CON VALVULA DE YUGO Estado: Bueno Placa anterior: 000022408 Material: ALUMINIO Color: GRIS Referencia:  Observacion:  Placa padre: Tipo adquisicion: Entidad</v>
      </c>
      <c r="G3174" s="5"/>
    </row>
    <row r="3175" spans="1:7" ht="58.5" customHeight="1" x14ac:dyDescent="0.25">
      <c r="A3175" s="5" t="str">
        <f>"B0005414"</f>
        <v>B0005414</v>
      </c>
      <c r="B3175" s="5" t="str">
        <f>"COLLAR PLOMADO"</f>
        <v>COLLAR PLOMADO</v>
      </c>
      <c r="C3175" s="6">
        <v>56492</v>
      </c>
      <c r="D3175" s="5"/>
      <c r="E3175" s="5" t="str">
        <f t="shared" si="158"/>
        <v>QUIROFANO -MARIA DEL PILAR MEDINA</v>
      </c>
      <c r="F3175" s="5" t="str">
        <f>"Descripcion: COLLAR PLOMADO MCA. SHIELDING Estado: Bueno Placa anterior: 000016556 Material: PLASTICO Color:  Referencia:  Observacion:  Placa padre: Tipo adquisicion: Entidad"</f>
        <v>Descripcion: COLLAR PLOMADO MCA. SHIELDING Estado: Bueno Placa anterior: 000016556 Material: PLASTICO Color:  Referencia:  Observacion:  Placa padre: Tipo adquisicion: Entidad</v>
      </c>
      <c r="G3175" s="5"/>
    </row>
    <row r="3176" spans="1:7" ht="58.5" customHeight="1" x14ac:dyDescent="0.25">
      <c r="A3176" s="5" t="str">
        <f>"B0005415"</f>
        <v>B0005415</v>
      </c>
      <c r="B3176" s="5" t="str">
        <f>"KIT DE FASTRACHE - MASCARA"</f>
        <v>KIT DE FASTRACHE - MASCARA</v>
      </c>
      <c r="C3176" s="6">
        <v>5104000</v>
      </c>
      <c r="D3176" s="5" t="s">
        <v>284</v>
      </c>
      <c r="E3176" s="5" t="str">
        <f t="shared" si="158"/>
        <v>QUIROFANO -MARIA DEL PILAR MEDINA</v>
      </c>
      <c r="F3176" s="5" t="str">
        <f>"Descripcion: Kit de FASTRACHE. Con mascarilla diseñada para facilitar la colocacion de tubo endotraqueal,fibras opticas, tubo de via area que integre tecnologia de fibra optica, monitor y conector que ajuste la mascarilla al monitor.Debe incluir mascaras "&amp; "con numero 3 Estado: Bueno Placa anterior: 000030504 Material: PLASTICO Color: PIEL Referencia:  Observacion:  Placa padre: Tipo adquisicion: Entidad"</f>
        <v>Descripcion: Kit de FASTRACHE. Con mascarilla diseñada para facilitar la colocacion de tubo endotraqueal,fibras opticas, tubo de via area que integre tecnologia de fibra optica, monitor y conector que ajuste la mascarilla al monitor.Debe incluir mascaras con numero 3 Estado: Bueno Placa anterior: 000030504 Material: PLASTICO Color: PIEL Referencia:  Observacion:  Placa padre: Tipo adquisicion: Entidad</v>
      </c>
      <c r="G3176" s="5"/>
    </row>
    <row r="3177" spans="1:7" ht="58.5" customHeight="1" x14ac:dyDescent="0.25">
      <c r="A3177" s="5" t="str">
        <f>"B0005417"</f>
        <v>B0005417</v>
      </c>
      <c r="B3177" s="5" t="str">
        <f>"LLAVE INGLESA"</f>
        <v>LLAVE INGLESA</v>
      </c>
      <c r="C3177" s="6">
        <v>29070</v>
      </c>
      <c r="D3177" s="5"/>
      <c r="E3177" s="5" t="str">
        <f t="shared" si="158"/>
        <v>QUIROFANO -MARIA DEL PILAR MEDINA</v>
      </c>
      <c r="F3177" s="5" t="str">
        <f>"Descripcion: LLAVE INGLESA X 15 Estado: Bueno Placa anterior: 000014395 Material: ACERO INOXIDABLE Color: PLATEADO Referencia:  Observacion:  Placa padre: Tipo adquisicion: Entidad"</f>
        <v>Descripcion: LLAVE INGLESA X 15 Estado: Bueno Placa anterior: 000014395 Material: ACERO INOXIDABLE Color: PLATEADO Referencia:  Observacion:  Placa padre: Tipo adquisicion: Entidad</v>
      </c>
      <c r="G3177" s="5"/>
    </row>
    <row r="3178" spans="1:7" ht="58.5" customHeight="1" x14ac:dyDescent="0.25">
      <c r="A3178" s="5" t="str">
        <f>"H0000290"</f>
        <v>H0000290</v>
      </c>
      <c r="B3178" s="5" t="str">
        <f>"SILLA INTERLOCUTORA (FIJA) SIN BRAZOS"</f>
        <v>SILLA INTERLOCUTORA (FIJA) SIN BRAZOS</v>
      </c>
      <c r="C3178" s="6">
        <v>6949.69</v>
      </c>
      <c r="D3178" s="5"/>
      <c r="E3178" s="5" t="str">
        <f t="shared" si="158"/>
        <v>QUIROFANO -MARIA DEL PILAR MEDINA</v>
      </c>
      <c r="F3178" s="5" t="str">
        <f>"Descripcion: SILLA INTERLOCUTORA FIJA SIN BRAZOS Estado: Bueno Placa anterior: 000005975 Material: TUBO REDONDO Y TAPIZADO EN CUERINA Color: GRIS Y NEGRO Referencia:  Observacion:  Placa padre: Tipo adquisicion: Entidad"</f>
        <v>Descripcion: SILLA INTERLOCUTORA FIJA SIN BRAZOS Estado: Bueno Placa anterior: 000005975 Material: TUBO REDONDO Y TAPIZADO EN CUERINA Color: GRIS Y NEGRO Referencia:  Observacion:  Placa padre: Tipo adquisicion: Entidad</v>
      </c>
      <c r="G3178" s="5"/>
    </row>
    <row r="3179" spans="1:7" ht="58.5" customHeight="1" x14ac:dyDescent="0.25">
      <c r="A3179" s="5" t="str">
        <f>"H0000334"</f>
        <v>H0000334</v>
      </c>
      <c r="B3179" s="5" t="str">
        <f>"SILLA INTERLOCUTORA (FIJA) SIN BRAZOS"</f>
        <v>SILLA INTERLOCUTORA (FIJA) SIN BRAZOS</v>
      </c>
      <c r="C3179" s="6">
        <v>6919.69</v>
      </c>
      <c r="D3179" s="5"/>
      <c r="E3179" s="5" t="str">
        <f t="shared" si="158"/>
        <v>QUIROFANO -MARIA DEL PILAR MEDINA</v>
      </c>
      <c r="F3179" s="5" t="str">
        <f>"Descripcion: SILLA INTERLOCUTORA (FIJA) SIN BRAZOS Estado: Malo Placa anterior: 000006147 Material: TUBO REDONDO Y TAPIZADO EN CUERINA  Color: MARRON Referencia:  Observacion: ASIENTO PARTIDO Placa padre: Tipo adquisicion: Entidad"</f>
        <v>Descripcion: SILLA INTERLOCUTORA (FIJA) SIN BRAZOS Estado: Malo Placa anterior: 000006147 Material: TUBO REDONDO Y TAPIZADO EN CUERINA  Color: MARRON Referencia:  Observacion: ASIENTO PARTIDO Placa padre: Tipo adquisicion: Entidad</v>
      </c>
      <c r="G3179" s="5"/>
    </row>
    <row r="3180" spans="1:7" ht="58.5" customHeight="1" x14ac:dyDescent="0.25">
      <c r="A3180" s="5" t="str">
        <f>"H0000359"</f>
        <v>H0000359</v>
      </c>
      <c r="B3180" s="5" t="str">
        <f>"SILLA INTERLOCUTORA (FIJA) SIN BRAZOS"</f>
        <v>SILLA INTERLOCUTORA (FIJA) SIN BRAZOS</v>
      </c>
      <c r="C3180" s="6">
        <v>6949.89</v>
      </c>
      <c r="D3180" s="5"/>
      <c r="E3180" s="5" t="str">
        <f t="shared" si="158"/>
        <v>QUIROFANO -MARIA DEL PILAR MEDINA</v>
      </c>
      <c r="F3180" s="5" t="str">
        <f>"Descripcion: SILLA INTERLOCUTORA SIN BRAZOS Estado: Malo Placa anterior: 000006149 Material: TUBO REDONDO Y CUERINA Color: MARRON Referencia:  Observacion: ASIENTO PARTIDO Placa padre: Tipo adquisicion: Entidad"</f>
        <v>Descripcion: SILLA INTERLOCUTORA SIN BRAZOS Estado: Malo Placa anterior: 000006149 Material: TUBO REDONDO Y CUERINA Color: MARRON Referencia:  Observacion: ASIENTO PARTIDO Placa padre: Tipo adquisicion: Entidad</v>
      </c>
      <c r="G3180" s="5"/>
    </row>
    <row r="3181" spans="1:7" ht="58.5" customHeight="1" x14ac:dyDescent="0.25">
      <c r="A3181" s="5" t="str">
        <f>"H0000360"</f>
        <v>H0000360</v>
      </c>
      <c r="B3181" s="5" t="str">
        <f>"SILLA INTERLOCUTORA (FIJA) SIN BRAZOS"</f>
        <v>SILLA INTERLOCUTORA (FIJA) SIN BRAZOS</v>
      </c>
      <c r="C3181" s="6">
        <v>7480</v>
      </c>
      <c r="D3181" s="5"/>
      <c r="E3181" s="5" t="str">
        <f t="shared" si="158"/>
        <v>QUIROFANO -MARIA DEL PILAR MEDINA</v>
      </c>
      <c r="F3181" s="5" t="str">
        <f>"Descripcion: SILLA INTERLOCUTORA SIN BRAZOS Estado: Malo Placa anterior: 000023121 Material: TUBO REDONDO Y CUERINA Color: MARRON Referencia:  Observacion: TAPIZADO DEL ASIENTO ROTO Placa padre: Tipo adquisicion: Entidad"</f>
        <v>Descripcion: SILLA INTERLOCUTORA SIN BRAZOS Estado: Malo Placa anterior: 000023121 Material: TUBO REDONDO Y CUERINA Color: MARRON Referencia:  Observacion: TAPIZADO DEL ASIENTO ROTO Placa padre: Tipo adquisicion: Entidad</v>
      </c>
      <c r="G3181" s="5"/>
    </row>
    <row r="3182" spans="1:7" ht="58.5" customHeight="1" x14ac:dyDescent="0.25">
      <c r="A3182" s="5" t="str">
        <f>"H0002018"</f>
        <v>H0002018</v>
      </c>
      <c r="B3182" s="5" t="str">
        <f>"CARRO DE PARO"</f>
        <v>CARRO DE PARO</v>
      </c>
      <c r="C3182" s="6">
        <v>1682000</v>
      </c>
      <c r="D3182" s="5"/>
      <c r="E3182" s="5" t="str">
        <f t="shared" si="158"/>
        <v>QUIROFANO -MARIA DEL PILAR MEDINA</v>
      </c>
      <c r="F3182" s="5" t="str">
        <f>"Descripcion:CARRO DE PARO DE 4 GAVETAS CON BASE PARA MONITOR , CON RUEDAS Estado: Excelente Placa anterior: 000039052 Material: METALICA Y ACERO INOXIDABLE Color: CREMA Referencia:  Observacion: ESTA EN SALA DE MAQUINAS Placa padre:  Tipo adquisicion : En"&amp; "tidad"</f>
        <v>Descripcion:CARRO DE PARO DE 4 GAVETAS CON BASE PARA MONITOR , CON RUEDAS Estado: Excelente Placa anterior: 000039052 Material: METALICA Y ACERO INOXIDABLE Color: CREMA Referencia:  Observacion: ESTA EN SALA DE MAQUINAS Placa padre:  Tipo adquisicion : Entidad</v>
      </c>
      <c r="G3182" s="5"/>
    </row>
    <row r="3183" spans="1:7" ht="58.5" customHeight="1" x14ac:dyDescent="0.25">
      <c r="A3183" s="5" t="str">
        <f>"H0002350"</f>
        <v>H0002350</v>
      </c>
      <c r="B3183" s="5" t="str">
        <f>"CAMARA DE VIDEOVIGILANCIA"</f>
        <v>CAMARA DE VIDEOVIGILANCIA</v>
      </c>
      <c r="C3183" s="6">
        <v>150000</v>
      </c>
      <c r="D3183" s="5"/>
      <c r="E3183" s="5" t="str">
        <f t="shared" si="158"/>
        <v>QUIROFANO -MARIA DEL PILAR MEDINA</v>
      </c>
      <c r="F3183" s="5" t="str">
        <f>"Descripcion:MINIDOMO HIKVISION 700TVL LENTE 2.8MM Estado: Excelente Placa anterior: 000030719 Material: PASTA Y VIDRIO Color: BLANCO Referencia:  Observacion:  Placa padre:  Tipo adquisicion : Entidad"</f>
        <v>Descripcion:MINIDOMO HIKVISION 700TVL LENTE 2.8MM Estado: Excelente Placa anterior: 000030719 Material: PASTA Y VIDRIO Color: BLANCO Referencia:  Observacion:  Placa padre:  Tipo adquisicion : Entidad</v>
      </c>
      <c r="G3183" s="5" t="str">
        <f>"DS-2CE55A2N-IRM"</f>
        <v>DS-2CE55A2N-IRM</v>
      </c>
    </row>
    <row r="3184" spans="1:7" ht="58.5" customHeight="1" x14ac:dyDescent="0.25">
      <c r="A3184" s="5" t="str">
        <f>"H0002424"</f>
        <v>H0002424</v>
      </c>
      <c r="B3184" s="5" t="str">
        <f>"COMPUTADOR TODO EN UNO"</f>
        <v>COMPUTADOR TODO EN UNO</v>
      </c>
      <c r="C3184" s="6">
        <v>2470000</v>
      </c>
      <c r="D3184" s="5"/>
      <c r="E3184" s="5" t="str">
        <f t="shared" si="158"/>
        <v>QUIROFANO -MARIA DEL PILAR MEDINA</v>
      </c>
      <c r="F3184" s="5" t="str">
        <f>"Descripcion:EQUIPO DE COMPUTO TODO EN UNO CON PROCESADOR INTEL i5 Estado: Excelente Placa anterior: 000037272 Material: PASTA Color: NEGRO Referencia: 10BDFDLS Observacion:  Placa anterior:, Placa nueva=H0002427, Descripcion:MOUSE USB  3 BOTONES, Serial:4"&amp; "4MG819, Marca:LENOVO, Modelo:45J4889, Material:PASTA, Color:NEGRO,   Referencia:, Placa anterior:, Placa nueva=H0002425, Descripcion:TECLADO USB LENOVO, Serial:8259848, Marca:LENOVO, Modelo:KU-0225, Material:PASTA, Color:NEGRO,   Referencia:54Y9424 Placa "&amp; "padre:  Tipo adquisicion : Entidad"</f>
        <v>Descripcion:EQUIPO DE COMPUTO TODO EN UNO CON PROCESADOR INTEL i5 Estado: Excelente Placa anterior: 000037272 Material: PASTA Color: NEGRO Referencia: 10BDFDLS Observacion:  Placa anterior:, Placa nueva=H0002427, Descripcion:MOUSE USB  3 BOTONES, Serial:44MG819, Marca:LENOVO, Modelo:45J4889, Material:PASTA, Color:NEGRO,   Referencia:, Placa anterior:, Placa nueva=H0002425, Descripcion:TECLADO USB LENOVO, Serial:8259848, Marca:LENOVO, Modelo:KU-0225, Material:PASTA, Color:NEGRO,   Referencia:54Y9424 Placa padre:  Tipo adquisicion : Entidad</v>
      </c>
      <c r="G3184" s="5" t="str">
        <f>"00FDLS"</f>
        <v>00FDLS</v>
      </c>
    </row>
    <row r="3185" spans="1:7" ht="58.5" customHeight="1" x14ac:dyDescent="0.25">
      <c r="A3185" s="5" t="str">
        <f>"H0002473"</f>
        <v>H0002473</v>
      </c>
      <c r="B3185" s="5" t="str">
        <f>"COMPUTADOR TODO EN UNO"</f>
        <v>COMPUTADOR TODO EN UNO</v>
      </c>
      <c r="C3185" s="6">
        <v>2470000</v>
      </c>
      <c r="D3185" s="5"/>
      <c r="E3185" s="5" t="str">
        <f t="shared" si="158"/>
        <v>QUIROFANO -MARIA DEL PILAR MEDINA</v>
      </c>
      <c r="F3185" s="5" t="str">
        <f>"Descripcion:EQUIPO DE COMPUTO TODO EN UNO CON PROCESADOR INTEL i5 Estado: Excelente Placa anterior: 000037284 Material: PASTA Color: NEGRO Referencia: 10BDFDLS Observacion:  Placa anterior:, Placa nueva=H0002475, Descripcion:MOUSE USB  3 BOTONES, Serial:4"&amp; "4MG359, Marca:LENOVO, Modelo:45J4889, Material:PASTA, Color:NEGRO,   Referencia:, Placa anterior:, Placa nueva=H0002474, Descripcion:TECLADO USB LENOVO, Serial:8260078, Marca:LENOVO, Modelo:KU-0225, Material:PASTA, Color:NEGRO,   Referencia:54Y9424 Placa "&amp; "padre:  Tipo adquisicion : Entidad"</f>
        <v>Descripcion:EQUIPO DE COMPUTO TODO EN UNO CON PROCESADOR INTEL i5 Estado: Excelente Placa anterior: 000037284 Material: PASTA Color: NEGRO Referencia: 10BDFDLS Observacion:  Placa anterior:, Placa nueva=H0002475, Descripcion:MOUSE USB  3 BOTONES, Serial:44MG359, Marca:LENOVO, Modelo:45J4889, Material:PASTA, Color:NEGRO,   Referencia:, Placa anterior:, Placa nueva=H0002474, Descripcion:TECLADO USB LENOVO, Serial:8260078, Marca:LENOVO, Modelo:KU-0225, Material:PASTA, Color:NEGRO,   Referencia:54Y9424 Placa padre:  Tipo adquisicion : Entidad</v>
      </c>
      <c r="G3185" s="5" t="str">
        <f>"00FDLS"</f>
        <v>00FDLS</v>
      </c>
    </row>
    <row r="3186" spans="1:7" ht="58.5" customHeight="1" x14ac:dyDescent="0.25">
      <c r="A3186" s="5" t="str">
        <f>"H0002669"</f>
        <v>H0002669</v>
      </c>
      <c r="B3186" s="5" t="str">
        <f>"ENRUTADOR (ROUTER) INALAMBRICO (ACCES POINT)"</f>
        <v>ENRUTADOR (ROUTER) INALAMBRICO (ACCES POINT)</v>
      </c>
      <c r="C3186" s="6">
        <v>323640</v>
      </c>
      <c r="D3186" s="5"/>
      <c r="E3186" s="5" t="str">
        <f t="shared" si="158"/>
        <v>QUIROFANO -MARIA DEL PILAR MEDINA</v>
      </c>
      <c r="F3186" s="5" t="str">
        <f>"Descripcion:INDOOR ACCESS POINT, 3 ANTENAS DE COLOR GRIS, CABLE DE RED, CARGADOR Estado: Excelente Placa anterior: 000037070 Material: PASTA Color: BALNCO Y GRIS Referencia:  Observacion:  Placa padre:  Tipo adquisicion : Entidad"</f>
        <v>Descripcion:INDOOR ACCESS POINT, 3 ANTENAS DE COLOR GRIS, CABLE DE RED, CARGADOR Estado: Excelente Placa anterior: 000037070 Material: PASTA Color: BALNCO Y GRIS Referencia:  Observacion:  Placa padre:  Tipo adquisicion : Entidad</v>
      </c>
      <c r="G3186" s="5" t="str">
        <f>"TL-WA901ND"</f>
        <v>TL-WA901ND</v>
      </c>
    </row>
    <row r="3187" spans="1:7" ht="58.5" customHeight="1" x14ac:dyDescent="0.25">
      <c r="A3187" s="5" t="str">
        <f>"H0002699"</f>
        <v>H0002699</v>
      </c>
      <c r="B3187" s="5" t="str">
        <f>"FUENTE DE PODER"</f>
        <v>FUENTE DE PODER</v>
      </c>
      <c r="C3187" s="6">
        <v>11200</v>
      </c>
      <c r="D3187" s="5"/>
      <c r="E3187" s="5" t="str">
        <f t="shared" si="158"/>
        <v>QUIROFANO -MARIA DEL PILAR MEDINA</v>
      </c>
      <c r="F3187" s="5" t="str">
        <f>"Descripcion:FUENTE DE PODER 12V 1A Estado: Excelente Placa anterior: 000030758 Material: PASTA Color:  Referencia:  Observacion:  Placa padre:  Tipo adquisicion : Entidad"</f>
        <v>Descripcion:FUENTE DE PODER 12V 1A Estado: Excelente Placa anterior: 000030758 Material: PASTA Color:  Referencia:  Observacion:  Placa padre:  Tipo adquisicion : Entidad</v>
      </c>
      <c r="G3187" s="5"/>
    </row>
    <row r="3188" spans="1:7" ht="58.5" customHeight="1" x14ac:dyDescent="0.25">
      <c r="A3188" s="5" t="str">
        <f>"H0002704"</f>
        <v>H0002704</v>
      </c>
      <c r="B3188" s="5" t="str">
        <f>"FUENTE DE PODER"</f>
        <v>FUENTE DE PODER</v>
      </c>
      <c r="C3188" s="6">
        <v>11200</v>
      </c>
      <c r="D3188" s="5"/>
      <c r="E3188" s="5" t="str">
        <f t="shared" si="158"/>
        <v>QUIROFANO -MARIA DEL PILAR MEDINA</v>
      </c>
      <c r="F3188" s="5" t="str">
        <f>"Descripcion:FUENTE DE PODER 12V 1A Estado: Excelente Placa anterior: 000030762 Material: PASTA Color:  Referencia:  Observacion:  Placa padre:  Tipo adquisicion : Entidad"</f>
        <v>Descripcion:FUENTE DE PODER 12V 1A Estado: Excelente Placa anterior: 000030762 Material: PASTA Color:  Referencia:  Observacion:  Placa padre:  Tipo adquisicion : Entidad</v>
      </c>
      <c r="G3188" s="5"/>
    </row>
    <row r="3189" spans="1:7" ht="58.5" customHeight="1" x14ac:dyDescent="0.25">
      <c r="A3189" s="5" t="str">
        <f>"H0002758"</f>
        <v>H0002758</v>
      </c>
      <c r="B3189" s="5" t="str">
        <f>"MESA EN ACERO INOXIDABLE"</f>
        <v>MESA EN ACERO INOXIDABLE</v>
      </c>
      <c r="C3189" s="6">
        <v>250000</v>
      </c>
      <c r="D3189" s="5"/>
      <c r="E3189" s="5" t="str">
        <f t="shared" si="158"/>
        <v>QUIROFANO -MARIA DEL PILAR MEDINA</v>
      </c>
      <c r="F3189" s="5" t="str">
        <f>"Descripcion:MESA AUXILIAR RODANTE EN ACERO INOXIDABLE Estado: Excelente Placa anterior: 000037823 Material: ACERO INOX. Color: PLATEADO Referencia:  Observacion:  Placa padre:  Tipo adquisicion : Entidad"</f>
        <v>Descripcion:MESA AUXILIAR RODANTE EN ACERO INOXIDABLE Estado: Excelente Placa anterior: 000037823 Material: ACERO INOX. Color: PLATEADO Referencia:  Observacion:  Placa padre:  Tipo adquisicion : Entidad</v>
      </c>
      <c r="G3189" s="5"/>
    </row>
    <row r="3190" spans="1:7" ht="58.5" customHeight="1" x14ac:dyDescent="0.25">
      <c r="A3190" s="5" t="str">
        <f>"H0002761"</f>
        <v>H0002761</v>
      </c>
      <c r="B3190"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190" s="6">
        <v>13001280</v>
      </c>
      <c r="D3190" s="5"/>
      <c r="E3190" s="5" t="str">
        <f t="shared" si="158"/>
        <v>QUIROFANO -MARIA DEL PILAR MEDINA</v>
      </c>
      <c r="F3190" s="5" t="str">
        <f>"Descripcion:ELECTROBISTURI ELECTROBISTURI MEDITOM DT 300 P Electrobisturi Monopolar de corte y coagulación:-Corte: corte puro (300W), mezcla I(200W), Mezcla II(150W) y MezclaIII(100W). -Coagulación: Contacto (80W)y spray (80W). Bipolar:-Coagulación estánd"&amp; "ar (80W) -C Estado: Excelente Placa anterior: 000037187 Material: METALICA Color: BEIGE Y GRIS Referencia:  Observacion:  Placa padre:  Tipo adquisicion : Entidad"</f>
        <v>Descripcion:ELECTROBISTURI ELECTROBISTURI MEDITOM DT 300 P Electrobisturi Monopolar de corte y coagulación:-Corte: corte puro (300W), mezcla I(200W), Mezcla II(150W) y MezclaIII(100W). -Coagulación: Contacto (80W)y spray (80W). Bipolar:-Coagulación estándar (80W) -C Estado: Excelente Placa anterior: 000037187 Material: METALICA Color: BEIGE Y GRIS Referencia:  Observacion:  Placa padre:  Tipo adquisicion : Entidad</v>
      </c>
      <c r="G3190" s="5" t="str">
        <f>"DT300P"</f>
        <v>DT300P</v>
      </c>
    </row>
    <row r="3191" spans="1:7" ht="58.5" customHeight="1" x14ac:dyDescent="0.25">
      <c r="A3191" s="5" t="str">
        <f>"H0003702"</f>
        <v>H0003702</v>
      </c>
      <c r="B3191" s="5" t="str">
        <f>"MESA DE MADERA PARA COMPUTADOR"</f>
        <v>MESA DE MADERA PARA COMPUTADOR</v>
      </c>
      <c r="C3191" s="6">
        <v>194717.6</v>
      </c>
      <c r="D3191" s="5"/>
      <c r="E3191" s="5" t="str">
        <f t="shared" si="158"/>
        <v>QUIROFANO -MARIA DEL PILAR MEDINA</v>
      </c>
      <c r="F3191" s="5" t="str">
        <f>"Descripcion: MESA PARA COMPUTADOR EN MADERA75X120X68 Estado: Bueno Placa anterior: 000001765 Material: MADERA Color:  Referencia:  Observacion:  Placa padre: Tipo adquisicion: Entidad"</f>
        <v>Descripcion: MESA PARA COMPUTADOR EN MADERA75X120X68 Estado: Bueno Placa anterior: 000001765 Material: MADERA Color:  Referencia:  Observacion:  Placa padre: Tipo adquisicion: Entidad</v>
      </c>
      <c r="G3191" s="5"/>
    </row>
    <row r="3192" spans="1:7" ht="58.5" customHeight="1" x14ac:dyDescent="0.25">
      <c r="A3192" s="5" t="str">
        <f>"H0006347"</f>
        <v>H0006347</v>
      </c>
      <c r="B3192" s="5" t="str">
        <f>"LOCKER DE 3 COMPARTIMIENTOS"</f>
        <v>LOCKER DE 3 COMPARTIMIENTOS</v>
      </c>
      <c r="C3192" s="6">
        <v>9130</v>
      </c>
      <c r="D3192" s="5"/>
      <c r="E3192" s="5" t="str">
        <f t="shared" si="158"/>
        <v>QUIROFANO -MARIA DEL PILAR MEDINA</v>
      </c>
      <c r="F3192" s="5" t="str">
        <f>"Descripcion: LOCKER DE 1 CUERPO CON 3 COMPARTIMIENTOS Estado: Bueno Placa anterior: 000000636 Material: METALICO Color: GRIS Referencia:  Observacion:  Placa padre: Tipo adquisicion: Entidad"</f>
        <v>Descripcion: LOCKER DE 1 CUERPO CON 3 COMPARTIMIENTOS Estado: Bueno Placa anterior: 000000636 Material: METALICO Color: GRIS Referencia:  Observacion:  Placa padre: Tipo adquisicion: Entidad</v>
      </c>
      <c r="G3192" s="5"/>
    </row>
    <row r="3193" spans="1:7" ht="58.5" customHeight="1" x14ac:dyDescent="0.25">
      <c r="A3193" s="5" t="str">
        <f>"H0007134"</f>
        <v>H0007134</v>
      </c>
      <c r="B3193" s="5" t="str">
        <f>"MESA REDONDA DE MADERA PARA JUNTAS DE 4 PUESTOS"</f>
        <v>MESA REDONDA DE MADERA PARA JUNTAS DE 4 PUESTOS</v>
      </c>
      <c r="C3193" s="6">
        <v>696000</v>
      </c>
      <c r="D3193" s="5" t="s">
        <v>285</v>
      </c>
      <c r="E3193" s="5" t="str">
        <f t="shared" si="158"/>
        <v>QUIROFANO -MARIA DEL PILAR MEDINA</v>
      </c>
      <c r="F3193" s="5" t="str">
        <f>"Descripcion: MESA DE JUNTAS CIRCULAR DIAMETRO 1.10SUPERFICIE EN FORMICA Estado: Excelente Placa anterior: 000030152 Material: FORMICA Color:  Referencia:  Observacion:  Placa padre: Tipo adquisicion: Entidad"</f>
        <v>Descripcion: MESA DE JUNTAS CIRCULAR DIAMETRO 1.10SUPERFICIE EN FORMICA Estado: Excelente Placa anterior: 000030152 Material: FORMICA Color:  Referencia:  Observacion:  Placa padre: Tipo adquisicion: Entidad</v>
      </c>
      <c r="G3193" s="5"/>
    </row>
    <row r="3194" spans="1:7" ht="58.5" customHeight="1" x14ac:dyDescent="0.25">
      <c r="A3194" s="5" t="str">
        <f>"H0009105"</f>
        <v>H0009105</v>
      </c>
      <c r="B3194" s="5" t="str">
        <f>"MONITOR DE SIGNOS VITALES"</f>
        <v>MONITOR DE SIGNOS VITALES</v>
      </c>
      <c r="C3194" s="6">
        <v>4002000</v>
      </c>
      <c r="D3194" s="5" t="s">
        <v>166</v>
      </c>
      <c r="E3194" s="5" t="str">
        <f t="shared" si="158"/>
        <v>QUIROFANO -MARIA DEL PILAR MEDINA</v>
      </c>
      <c r="F3194"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000031402 Material: PASTA Color: BLANCO Y GRIS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000031402 Material: PASTA Color: BLANCO Y GRIS Referencia:  Observacion:  Placa padre: Tipo adquisicion: Entidad</v>
      </c>
      <c r="G3194" s="5"/>
    </row>
    <row r="3195" spans="1:7" ht="58.5" customHeight="1" x14ac:dyDescent="0.25">
      <c r="A3195" s="5" t="str">
        <f>"H0010793"</f>
        <v>H0010793</v>
      </c>
      <c r="B3195" s="5" t="str">
        <f>"LOCKER DE 6 COMPARTIMIENTOS"</f>
        <v>LOCKER DE 6 COMPARTIMIENTOS</v>
      </c>
      <c r="C3195" s="6">
        <v>11440</v>
      </c>
      <c r="D3195" s="5"/>
      <c r="E3195" s="5" t="str">
        <f t="shared" si="158"/>
        <v>QUIROFANO -MARIA DEL PILAR MEDINA</v>
      </c>
      <c r="F3195" s="5" t="str">
        <f>"Descripcion: LOCKER TIPO A(6 PUESTOS METALICO) Estado: Bueno Placa anterior: 000006868 Material: METALICO Color: GRIS Referencia:  Observacion:  Placa padre: Tipo adquisicion: Entidad"</f>
        <v>Descripcion: LOCKER TIPO A(6 PUESTOS METALICO) Estado: Bueno Placa anterior: 000006868 Material: METALICO Color: GRIS Referencia:  Observacion:  Placa padre: Tipo adquisicion: Entidad</v>
      </c>
      <c r="G3195" s="5"/>
    </row>
    <row r="3196" spans="1:7" ht="58.5" customHeight="1" x14ac:dyDescent="0.25">
      <c r="A3196" s="5" t="str">
        <f>"H0010936"</f>
        <v>H0010936</v>
      </c>
      <c r="B3196" s="5" t="str">
        <f>"CUBETA DE ACERO INOXIDABLE CON TAPA PEQUEÑA"</f>
        <v>CUBETA DE ACERO INOXIDABLE CON TAPA PEQUEÑA</v>
      </c>
      <c r="C3196" s="6">
        <v>38480.699999999997</v>
      </c>
      <c r="D3196" s="5"/>
      <c r="E3196" s="5" t="str">
        <f t="shared" si="158"/>
        <v>QUIROFANO -MARIA DEL PILAR MEDINA</v>
      </c>
      <c r="F3196" s="5" t="str">
        <f>"Descripcion: CUBETA EN ACERO INOX. PEQ. CON TAPA Estado: Bueno Placa anterior: 000004126 Material: ACERO INOX. Color: PLATEADO Referencia:  Observacion:  Placa padre: Tipo adquisicion: Entidad"</f>
        <v>Descripcion: CUBETA EN ACERO INOX. PEQ. CON TAPA Estado: Bueno Placa anterior: 000004126 Material: ACERO INOX. Color: PLATEADO Referencia:  Observacion:  Placa padre: Tipo adquisicion: Entidad</v>
      </c>
      <c r="G3196" s="5"/>
    </row>
    <row r="3197" spans="1:7" ht="58.5" customHeight="1" x14ac:dyDescent="0.25">
      <c r="A3197" s="5" t="str">
        <f>"H0010938"</f>
        <v>H0010938</v>
      </c>
      <c r="B3197" s="5" t="str">
        <f>"ESCRITORIO METALICO 1 GAVETA"</f>
        <v>ESCRITORIO METALICO 1 GAVETA</v>
      </c>
      <c r="C3197" s="6">
        <v>7800</v>
      </c>
      <c r="D3197" s="5"/>
      <c r="E3197" s="5" t="str">
        <f t="shared" si="158"/>
        <v>QUIROFANO -MARIA DEL PILAR MEDINA</v>
      </c>
      <c r="F3197" s="5" t="str">
        <f>"Descripcion: MESA TIPO H (MECANOGRAFA CON ALA) Estado: Bueno Placa anterior: 000006190 Material: METAL Y FORMICA Color: GRIS Y FORMICA Referencia:  Observacion:  Placa padre: Tipo adquisicion: Entidad"</f>
        <v>Descripcion: MESA TIPO H (MECANOGRAFA CON ALA) Estado: Bueno Placa anterior: 000006190 Material: METAL Y FORMICA Color: GRIS Y FORMICA Referencia:  Observacion:  Placa padre: Tipo adquisicion: Entidad</v>
      </c>
      <c r="G3197" s="5"/>
    </row>
    <row r="3198" spans="1:7" ht="58.5" customHeight="1" x14ac:dyDescent="0.25">
      <c r="A3198" s="5" t="str">
        <f>"H0010939"</f>
        <v>H0010939</v>
      </c>
      <c r="B3198" s="5" t="str">
        <f>"EXTINTOR"</f>
        <v>EXTINTOR</v>
      </c>
      <c r="C3198" s="6">
        <v>135500</v>
      </c>
      <c r="D3198" s="5"/>
      <c r="E3198" s="5" t="str">
        <f t="shared" si="158"/>
        <v>QUIROFANO -MARIA DEL PILAR MEDINA</v>
      </c>
      <c r="F3198" s="5" t="str">
        <f>"Descripcion: EXTINTOR DE FUEGO CO2 Estado: Bueno Placa anterior: 000014865 Material: METAL Color: PLATEADO Referencia:  Observacion:  Placa padre: Tipo adquisicion: Entidad"</f>
        <v>Descripcion: EXTINTOR DE FUEGO CO2 Estado: Bueno Placa anterior: 000014865 Material: METAL Color: PLATEADO Referencia:  Observacion:  Placa padre: Tipo adquisicion: Entidad</v>
      </c>
      <c r="G3198" s="5"/>
    </row>
    <row r="3199" spans="1:7" ht="58.5" customHeight="1" x14ac:dyDescent="0.25">
      <c r="A3199" s="5" t="str">
        <f>"H0010940"</f>
        <v>H0010940</v>
      </c>
      <c r="B3199" s="5" t="str">
        <f>"CAMILLA DE TRASLADO CON BARANDAS"</f>
        <v>CAMILLA DE TRASLADO CON BARANDAS</v>
      </c>
      <c r="C3199" s="6">
        <v>1066050</v>
      </c>
      <c r="D3199" s="5"/>
      <c r="E3199" s="5" t="str">
        <f t="shared" si="158"/>
        <v>QUIROFANO -MARIA DEL PILAR MEDINA</v>
      </c>
      <c r="F3199" s="5" t="str">
        <f>"Descripcion: CAMILLA DE RECUPERACION Y TRANSPORTE 2 PLANOS Estado: Bueno Placa anterior: 000014827 Material: METAL Color: BEIGE Referencia:  Observacion:  Placa padre: Tipo adquisicion: Entidad"</f>
        <v>Descripcion: CAMILLA DE RECUPERACION Y TRANSPORTE 2 PLANOS Estado: Bueno Placa anterior: 000014827 Material: METAL Color: BEIGE Referencia:  Observacion:  Placa padre: Tipo adquisicion: Entidad</v>
      </c>
      <c r="G3199" s="5"/>
    </row>
    <row r="3200" spans="1:7" ht="58.5" customHeight="1" x14ac:dyDescent="0.25">
      <c r="A3200" s="5" t="str">
        <f>"H0010941"</f>
        <v>H0010941</v>
      </c>
      <c r="B3200" s="5" t="str">
        <f>"CAMILLA DE TRASLADO CON BARANDAS"</f>
        <v>CAMILLA DE TRASLADO CON BARANDAS</v>
      </c>
      <c r="C3200" s="6">
        <v>1066050</v>
      </c>
      <c r="D3200" s="5"/>
      <c r="E3200" s="5" t="str">
        <f t="shared" si="158"/>
        <v>QUIROFANO -MARIA DEL PILAR MEDINA</v>
      </c>
      <c r="F3200" s="5" t="str">
        <f>"Descripcion: CAMILLA DE RECUPERACION Y TRANSPORTE 2 PLANOS Estado: Bueno Placa anterior: 000014828 Material: METAL Color: BEIGE Referencia:  Observacion:  Placa padre: Tipo adquisicion: Entidad"</f>
        <v>Descripcion: CAMILLA DE RECUPERACION Y TRANSPORTE 2 PLANOS Estado: Bueno Placa anterior: 000014828 Material: METAL Color: BEIGE Referencia:  Observacion:  Placa padre: Tipo adquisicion: Entidad</v>
      </c>
      <c r="G3200" s="5"/>
    </row>
    <row r="3201" spans="1:7" ht="58.5" customHeight="1" x14ac:dyDescent="0.25">
      <c r="A3201" s="5" t="str">
        <f>"H0010943"</f>
        <v>H0010943</v>
      </c>
      <c r="B3201" s="5" t="str">
        <f>"CAMILLA DE TRASLADO CON BARANDAS"</f>
        <v>CAMILLA DE TRASLADO CON BARANDAS</v>
      </c>
      <c r="C3201" s="6">
        <v>6598797</v>
      </c>
      <c r="D3201" s="5" t="s">
        <v>286</v>
      </c>
      <c r="E3201" s="5" t="str">
        <f t="shared" si="158"/>
        <v>QUIROFANO -MARIA DEL PILAR MEDINA</v>
      </c>
      <c r="F3201" s="5" t="str">
        <f>"Descripcion: CAMILLA DE RECUPERACION Y TRANSPORTE DE DOS PLANOS Estado: Bueno Placa anterior: 000038891 Material: METAL Color: BEIGE Referencia:  Observacion: EL BIEN TRAE PLACA DE 000032896 FUNCIONARIO AUTORIZA SE CONCILIE CON PLACA 000038891 Placa padre"&amp; ": Tipo adquisicion: Entidad"</f>
        <v>Descripcion: CAMILLA DE RECUPERACION Y TRANSPORTE DE DOS PLANOS Estado: Bueno Placa anterior: 000038891 Material: METAL Color: BEIGE Referencia:  Observacion: EL BIEN TRAE PLACA DE 000032896 FUNCIONARIO AUTORIZA SE CONCILIE CON PLACA 000038891 Placa padre: Tipo adquisicion: Entidad</v>
      </c>
      <c r="G3201" s="5"/>
    </row>
    <row r="3202" spans="1:7" ht="58.5" customHeight="1" x14ac:dyDescent="0.25">
      <c r="A3202" s="5" t="str">
        <f>"H0010945"</f>
        <v>H0010945</v>
      </c>
      <c r="B3202" s="5" t="str">
        <f>"CAMARA DE VIDEOVIGILANCIA"</f>
        <v>CAMARA DE VIDEOVIGILANCIA</v>
      </c>
      <c r="C3202" s="6">
        <v>371000</v>
      </c>
      <c r="D3202" s="5" t="s">
        <v>213</v>
      </c>
      <c r="E3202" s="5" t="str">
        <f t="shared" si="158"/>
        <v>QUIROFANO -MARIA DEL PILAR MEDINA</v>
      </c>
      <c r="F3202" s="5" t="str">
        <f>"Descripcion: CAMARA IP TIPO DOMO 2 MPX LENTE DE 2.8 mm PoE 1/3 (WI-FI) Estado: Bueno Placa anterior: 000038211 Material: PASTA Color: BLANCO Referencia:  Observacion:  Placa padre: Tipo adquisicion: Entidad"</f>
        <v>Descripcion: CAMARA IP TIPO DOMO 2 MPX LENTE DE 2.8 mm PoE 1/3 (WI-FI) Estado: Bueno Placa anterior: 000038211 Material: PASTA Color: BLANCO Referencia:  Observacion:  Placa padre: Tipo adquisicion: Entidad</v>
      </c>
      <c r="G3202" s="5"/>
    </row>
    <row r="3203" spans="1:7" ht="58.5" customHeight="1" x14ac:dyDescent="0.25">
      <c r="A3203" s="5" t="str">
        <f>"H0010946"</f>
        <v>H0010946</v>
      </c>
      <c r="B3203" s="5" t="str">
        <f>"ESCALERILLA DE 2 PASOS"</f>
        <v>ESCALERILLA DE 2 PASOS</v>
      </c>
      <c r="C3203" s="6">
        <v>5600</v>
      </c>
      <c r="D3203" s="5"/>
      <c r="E3203" s="5" t="str">
        <f t="shared" si="158"/>
        <v>QUIROFANO -MARIA DEL PILAR MEDINA</v>
      </c>
      <c r="F3203" s="5" t="str">
        <f>"Descripcion: ESCALERILLA DE 2 PASOS Estado: Bueno Placa anterior: 000026286 Material: METAL Y MADERA Color: GRIS Y NEGRO Referencia:  Observacion:  Placa padre: Tipo adquisicion: Entidad"</f>
        <v>Descripcion: ESCALERILLA DE 2 PASOS Estado: Bueno Placa anterior: 000026286 Material: METAL Y MADERA Color: GRIS Y NEGRO Referencia:  Observacion:  Placa padre: Tipo adquisicion: Entidad</v>
      </c>
      <c r="G3203" s="5"/>
    </row>
    <row r="3204" spans="1:7" ht="58.5" customHeight="1" x14ac:dyDescent="0.25">
      <c r="A3204" s="5" t="str">
        <f>"H0010949"</f>
        <v>H0010949</v>
      </c>
      <c r="B3204" s="5" t="str">
        <f>"CAMARA DE VIDEOVIGILANCIA"</f>
        <v>CAMARA DE VIDEOVIGILANCIA</v>
      </c>
      <c r="C3204" s="6">
        <v>371000</v>
      </c>
      <c r="D3204" s="5" t="s">
        <v>213</v>
      </c>
      <c r="E3204" s="5" t="str">
        <f t="shared" si="158"/>
        <v>QUIROFANO -MARIA DEL PILAR MEDINA</v>
      </c>
      <c r="F3204" s="5" t="str">
        <f>"Descripcion: CAMARA IP TIPO DOMO 2 MPX LENTE DE 2.8 mm PoE 1/3 (WI-FI) Estado: Bueno Placa anterior: 000038206 Material: PASTA Color: BLANCO Referencia:  Observacion:  Placa padre: Tipo adquisicion: Entidad"</f>
        <v>Descripcion: CAMARA IP TIPO DOMO 2 MPX LENTE DE 2.8 mm PoE 1/3 (WI-FI) Estado: Bueno Placa anterior: 000038206 Material: PASTA Color: BLANCO Referencia:  Observacion:  Placa padre: Tipo adquisicion: Entidad</v>
      </c>
      <c r="G3204" s="5"/>
    </row>
    <row r="3205" spans="1:7" ht="58.5" customHeight="1" x14ac:dyDescent="0.25">
      <c r="A3205" s="5" t="str">
        <f>"H0010950"</f>
        <v>H0010950</v>
      </c>
      <c r="B3205" s="5" t="str">
        <f>"ESCALERILLA DE 2 PASOS"</f>
        <v>ESCALERILLA DE 2 PASOS</v>
      </c>
      <c r="C3205" s="6">
        <v>5600</v>
      </c>
      <c r="D3205" s="5"/>
      <c r="E3205" s="5" t="str">
        <f t="shared" si="158"/>
        <v>QUIROFANO -MARIA DEL PILAR MEDINA</v>
      </c>
      <c r="F3205" s="5" t="str">
        <f>"Descripcion: ESCALERILLA DE 2 PASOS EN PASTA Estado: Bueno Placa anterior: 000027658 Material: METAL Y PASTA Color: BLANCO Referencia:  Observacion:  Placa padre: Tipo adquisicion: Entidad"</f>
        <v>Descripcion: ESCALERILLA DE 2 PASOS EN PASTA Estado: Bueno Placa anterior: 000027658 Material: METAL Y PASTA Color: BLANCO Referencia:  Observacion:  Placa padre: Tipo adquisicion: Entidad</v>
      </c>
      <c r="G3205" s="5"/>
    </row>
    <row r="3206" spans="1:7" ht="58.5" customHeight="1" x14ac:dyDescent="0.25">
      <c r="A3206" s="5" t="str">
        <f>"H0010951"</f>
        <v>H0010951</v>
      </c>
      <c r="B3206" s="5" t="str">
        <f>"ESCALERILLA DE 2 PASOS"</f>
        <v>ESCALERILLA DE 2 PASOS</v>
      </c>
      <c r="C3206" s="6">
        <v>5600</v>
      </c>
      <c r="D3206" s="5"/>
      <c r="E3206" s="5" t="str">
        <f t="shared" si="158"/>
        <v>QUIROFANO -MARIA DEL PILAR MEDINA</v>
      </c>
      <c r="F3206" s="5" t="str">
        <f>"Descripcion: ESCALERILLA DE 2 PASOS EN PASTA Estado: Bueno Placa anterior: 000027720 Material: METAL Y PASTA Color: BLANCO Referencia:  Observacion:  Placa padre: Tipo adquisicion: Entidad"</f>
        <v>Descripcion: ESCALERILLA DE 2 PASOS EN PASTA Estado: Bueno Placa anterior: 000027720 Material: METAL Y PASTA Color: BLANCO Referencia:  Observacion:  Placa padre: Tipo adquisicion: Entidad</v>
      </c>
      <c r="G3206" s="5"/>
    </row>
    <row r="3207" spans="1:7" ht="58.5" customHeight="1" x14ac:dyDescent="0.25">
      <c r="A3207" s="5" t="str">
        <f>"H0010952"</f>
        <v>H0010952</v>
      </c>
      <c r="B3207" s="5" t="str">
        <f>"MUEBLE (ARCHIVADOR) AEREO (GABINETE DE PARED)"</f>
        <v>MUEBLE (ARCHIVADOR) AEREO (GABINETE DE PARED)</v>
      </c>
      <c r="C3207" s="6">
        <v>5500</v>
      </c>
      <c r="D3207" s="5"/>
      <c r="E3207" s="5" t="str">
        <f t="shared" si="158"/>
        <v>QUIROFANO -MARIA DEL PILAR MEDINA</v>
      </c>
      <c r="F3207" s="5" t="str">
        <f>"Descripcion: GABINETE METALICO DE PARED, 2 ENTREPAÑOS Y PUERTA CORREDIZA Estado: Bueno Placa anterior: 000014772 Material: METAL Color: GRIS Referencia:  Observacion:  Placa padre: Tipo adquisicion: Entidad"</f>
        <v>Descripcion: GABINETE METALICO DE PARED, 2 ENTREPAÑOS Y PUERTA CORREDIZA Estado: Bueno Placa anterior: 000014772 Material: METAL Color: GRIS Referencia:  Observacion:  Placa padre: Tipo adquisicion: Entidad</v>
      </c>
      <c r="G3207" s="5"/>
    </row>
    <row r="3208" spans="1:7" ht="58.5" customHeight="1" x14ac:dyDescent="0.25">
      <c r="A3208" s="5" t="str">
        <f>"H0010955"</f>
        <v>H0010955</v>
      </c>
      <c r="B3208" s="5" t="str">
        <f>"COMPUTADOR TODO EN UNO"</f>
        <v>COMPUTADOR TODO EN UNO</v>
      </c>
      <c r="C3208" s="6">
        <v>2470000</v>
      </c>
      <c r="D3208" s="5" t="s">
        <v>6</v>
      </c>
      <c r="E3208" s="5" t="str">
        <f t="shared" si="158"/>
        <v>QUIROFANO -MARIA DEL PILAR MEDINA</v>
      </c>
      <c r="F3208" s="5" t="str">
        <f>"Descripcion:EQUIPO DE COMPUTO TODO EN UNO CON PROCESADOR INTEL i5 Estado: Bueno Placa anterior: 000037024 Material: PASTA Color: NEGRO Referencia:  Observacion:  Placa anterior:, Placa nueva=H0010957, Descripcion:MOUSE 3 BOTONES OPTICO, Serial:44MG167, Ma"&amp; "rca:LENOVO, Modelo:, Material:PASTA, Color:NEGRO,   Referencia:, Placa anterior:, Placa nueva=H0010956, Descripcion:TECLADO USB PARA COMPUTADOR, Serial:8258424, Marca:LENOVO, Modelo:KU-0225, Material:PASTA, Color:NEGRO,   Referencia: Placa padre:  Tipo ad"&amp; "quisicion : Entidad"</f>
        <v>Descripcion:EQUIPO DE COMPUTO TODO EN UNO CON PROCESADOR INTEL i5 Estado: Bueno Placa anterior: 000037024 Material: PASTA Color: NEGRO Referencia:  Observacion:  Placa anterior:, Placa nueva=H0010957, Descripcion:MOUSE 3 BOTONES OPTICO, Serial:44MG167, Marca:LENOVO, Modelo:, Material:PASTA, Color:NEGRO,   Referencia:, Placa anterior:, Placa nueva=H0010956, Descripcion:TECLADO USB PARA COMPUTADOR, Serial:8258424, Marca:LENOVO, Modelo:KU-0225, Material:PASTA, Color:NEGRO,   Referencia: Placa padre:  Tipo adquisicion : Entidad</v>
      </c>
      <c r="G3208" s="5"/>
    </row>
    <row r="3209" spans="1:7" ht="58.5" customHeight="1" x14ac:dyDescent="0.25">
      <c r="A3209" s="5" t="str">
        <f>"H0010964"</f>
        <v>H0010964</v>
      </c>
      <c r="B3209" s="5" t="str">
        <f>"COMPUTADOR TODO EN UNO"</f>
        <v>COMPUTADOR TODO EN UNO</v>
      </c>
      <c r="C3209" s="6">
        <v>2470000</v>
      </c>
      <c r="D3209" s="5" t="s">
        <v>6</v>
      </c>
      <c r="E3209" s="5" t="str">
        <f t="shared" si="158"/>
        <v>QUIROFANO -MARIA DEL PILAR MEDINA</v>
      </c>
      <c r="F3209" s="5" t="str">
        <f>"Descripcion:EQUIPO DE COMPUTO TODO EN UNO CON PROCESADOR INTEL i5 Estado: Bueno Placa anterior: 000037030 Material: PASTA Color: NEGRO Referencia:  Observacion:  Placa anterior:, Placa nueva=H0010966, Descripcion:TECLADO USB PARA COMPUTADOR, Serial:825893"&amp; "0, Marca:LENOVO, Modelo:KU-0225, Material:PASTA, Color:NEGRO,   Referencia:, Placa anterior:, Placa nueva=H0010967, Descripcion:MOUSE 3 BOTONES OPTICO, Serial:44MG194, Marca:LENOVO, Modelo:, Material:PASTA, Color:NEGRO,   Referencia: Placa padre:  Tipo ad"&amp; "quisicion : Entidad"</f>
        <v>Descripcion:EQUIPO DE COMPUTO TODO EN UNO CON PROCESADOR INTEL i5 Estado: Bueno Placa anterior: 000037030 Material: PASTA Color: NEGRO Referencia:  Observacion:  Placa anterior:, Placa nueva=H0010966, Descripcion:TECLADO USB PARA COMPUTADOR, Serial:8258930, Marca:LENOVO, Modelo:KU-0225, Material:PASTA, Color:NEGRO,   Referencia:, Placa anterior:, Placa nueva=H0010967, Descripcion:MOUSE 3 BOTONES OPTICO, Serial:44MG194, Marca:LENOVO, Modelo:, Material:PASTA, Color:NEGRO,   Referencia: Placa padre:  Tipo adquisicion : Entidad</v>
      </c>
      <c r="G3209" s="5"/>
    </row>
    <row r="3210" spans="1:7" ht="58.5" customHeight="1" x14ac:dyDescent="0.25">
      <c r="A3210" s="5" t="str">
        <f>"H0011329"</f>
        <v>H0011329</v>
      </c>
      <c r="B3210" s="5" t="str">
        <f>"SILLA ERGONOMICA SIN BRAZOS CON REPOSAPIES"</f>
        <v>SILLA ERGONOMICA SIN BRAZOS CON REPOSAPIES</v>
      </c>
      <c r="C3210" s="6">
        <v>168000</v>
      </c>
      <c r="D3210" s="5"/>
      <c r="E3210" s="5" t="str">
        <f t="shared" si="158"/>
        <v>QUIROFANO -MARIA DEL PILAR MEDINA</v>
      </c>
      <c r="F3210" s="5" t="str">
        <f>"Descripcion: . Estado: Bueno Placa anterior: 000033281 Material: METALICO Color: NEGRO Referencia:  Observacion:  Placa padre: Tipo adquisicion: Entidad"</f>
        <v>Descripcion: . Estado: Bueno Placa anterior: 000033281 Material: METALICO Color: NEGRO Referencia:  Observacion:  Placa padre: Tipo adquisicion: Entidad</v>
      </c>
      <c r="G3210" s="5"/>
    </row>
    <row r="3211" spans="1:7" ht="58.5" customHeight="1" x14ac:dyDescent="0.25">
      <c r="A3211" s="5" t="str">
        <f>"H0011332"</f>
        <v>H0011332</v>
      </c>
      <c r="B3211" s="5" t="str">
        <f>"MESA (CARRO) DE CURACIONES"</f>
        <v>MESA (CARRO) DE CURACIONES</v>
      </c>
      <c r="C3211" s="6">
        <v>37276</v>
      </c>
      <c r="D3211" s="5"/>
      <c r="E3211" s="5" t="str">
        <f t="shared" si="158"/>
        <v>QUIROFANO -MARIA DEL PILAR MEDINA</v>
      </c>
      <c r="F3211" s="5" t="str">
        <f>"Descripcion: . Estado: Regular Placa anterior: 000027766 Material: METALICO Color: GRIS Referencia:  Observacion:  Placa padre: Tipo adquisicion: Entidad"</f>
        <v>Descripcion: . Estado: Regular Placa anterior: 000027766 Material: METALICO Color: GRIS Referencia:  Observacion:  Placa padre: Tipo adquisicion: Entidad</v>
      </c>
      <c r="G3211" s="5"/>
    </row>
    <row r="3212" spans="1:7" ht="58.5" customHeight="1" x14ac:dyDescent="0.25">
      <c r="A3212" s="5" t="str">
        <f>"H0011333"</f>
        <v>H0011333</v>
      </c>
      <c r="B3212" s="5" t="str">
        <f>"POTE (TARRO) ACERO INXODABLE CON TAPA MEDIANO"</f>
        <v>POTE (TARRO) ACERO INXODABLE CON TAPA MEDIANO</v>
      </c>
      <c r="C3212" s="6">
        <v>5547.87</v>
      </c>
      <c r="D3212" s="5"/>
      <c r="E3212" s="5" t="str">
        <f t="shared" si="158"/>
        <v>QUIROFANO -MARIA DEL PILAR MEDINA</v>
      </c>
      <c r="F3212" s="5" t="str">
        <f>"Descripcion: SIN TAPA Estado: Bueno Placa anterior: 000027650 Material: ACERO INOXIDABLE Color:  Referencia:  Observacion:  Placa padre: Tipo adquisicion: Entidad"</f>
        <v>Descripcion: SIN TAPA Estado: Bueno Placa anterior: 000027650 Material: ACERO INOXIDABLE Color:  Referencia:  Observacion:  Placa padre: Tipo adquisicion: Entidad</v>
      </c>
      <c r="G3212" s="5"/>
    </row>
    <row r="3213" spans="1:7" ht="58.5" customHeight="1" x14ac:dyDescent="0.25">
      <c r="A3213" s="5" t="str">
        <f>"H0011336"</f>
        <v>H0011336</v>
      </c>
      <c r="B3213"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213" s="6">
        <v>10266000</v>
      </c>
      <c r="D3213" s="5" t="s">
        <v>287</v>
      </c>
      <c r="E3213" s="5" t="str">
        <f t="shared" si="158"/>
        <v>QUIROFANO -MARIA DEL PILAR MEDINA</v>
      </c>
      <c r="F3213" s="5" t="str">
        <f>"Descripcion: ELECTROBISTURI monopolar de corte y coagulacion corte puro (300W) mezcla I (200W) mezcla II (150W) y Mezcla III (100W). Coagulacion:Contacto (800W) y spray (80W). Bipolar:coagulacion Estandar (80W)-Coagulacion Soft (40W). Accesorios:Pedales u"&amp; "no doble y s Estado: Bueno Placa anterior: 000028669 Material: PASTA Color: GRIS Referencia:  Observacion:  Placa padre: Tipo adquisicion: Entidad"</f>
        <v>Descripcion: ELECTROBISTURI monopolar de corte y coagulacion corte puro (300W) mezcla I (200W) mezcla II (150W) y Mezcla III (100W). Coagulacion:Contacto (800W) y spray (80W). Bipolar:coagulacion Estandar (80W)-Coagulacion Soft (40W). Accesorios:Pedales uno doble y s Estado: Bueno Placa anterior: 000028669 Material: PASTA Color: GRIS Referencia:  Observacion:  Placa padre: Tipo adquisicion: Entidad</v>
      </c>
      <c r="G3213" s="5" t="str">
        <f>"DT-003TP"</f>
        <v>DT-003TP</v>
      </c>
    </row>
    <row r="3214" spans="1:7" ht="58.5" customHeight="1" x14ac:dyDescent="0.25">
      <c r="A3214" s="5" t="str">
        <f>"H0011338"</f>
        <v>H0011338</v>
      </c>
      <c r="B3214" s="5" t="str">
        <f>"MESA RIÑONERA"</f>
        <v>MESA RIÑONERA</v>
      </c>
      <c r="C3214" s="6">
        <v>20843.5</v>
      </c>
      <c r="D3214" s="5"/>
      <c r="E3214" s="5" t="str">
        <f t="shared" si="158"/>
        <v>QUIROFANO -MARIA DEL PILAR MEDINA</v>
      </c>
      <c r="F3214" s="5" t="str">
        <f>"Descripcion: MESA RIÑONERA EN ACERO INOX.RUEDAS EN REGULAR ESTADO Estado: Regular Placa anterior: 000027716 Material: ACERO INOXIDABLE Color:  Referencia:  Observacion:  Placa padre: Tipo adquisicion: Entidad"</f>
        <v>Descripcion: MESA RIÑONERA EN ACERO INOX.RUEDAS EN REGULAR ESTADO Estado: Regular Placa anterior: 000027716 Material: ACERO INOXIDABLE Color:  Referencia:  Observacion:  Placa padre: Tipo adquisicion: Entidad</v>
      </c>
      <c r="G3214" s="5"/>
    </row>
    <row r="3215" spans="1:7" ht="58.5" customHeight="1" x14ac:dyDescent="0.25">
      <c r="A3215" s="5" t="str">
        <f>"H0011339"</f>
        <v>H0011339</v>
      </c>
      <c r="B3215" s="5" t="str">
        <f>"SILLA ERGONOMICA SIN BRAZOS CON REPOSAPIES"</f>
        <v>SILLA ERGONOMICA SIN BRAZOS CON REPOSAPIES</v>
      </c>
      <c r="C3215" s="6">
        <v>338720</v>
      </c>
      <c r="D3215" s="5"/>
      <c r="E3215" s="5" t="str">
        <f t="shared" si="158"/>
        <v>QUIROFANO -MARIA DEL PILAR MEDINA</v>
      </c>
      <c r="F3215" s="5" t="str">
        <f>"Descripcion: SILLA ERGONOMICA BPE 03TAPIZADO EN CUERO NEGRO Estado: Bueno Placa anterior: 000025326 Material: METALICO Color: NEGRO Referencia:  Observacion:  Placa padre: Tipo adquisicion: Entidad"</f>
        <v>Descripcion: SILLA ERGONOMICA BPE 03TAPIZADO EN CUERO NEGRO Estado: Bueno Placa anterior: 000025326 Material: METALICO Color: NEGRO Referencia:  Observacion:  Placa padre: Tipo adquisicion: Entidad</v>
      </c>
      <c r="G3215" s="5"/>
    </row>
    <row r="3216" spans="1:7" ht="58.5" customHeight="1" x14ac:dyDescent="0.25">
      <c r="A3216" s="5" t="str">
        <f>"H0011340"</f>
        <v>H0011340</v>
      </c>
      <c r="B3216" s="5" t="str">
        <f>"SILLA ERGONOMICA SIN BRAZOS CON REPOSAPIES"</f>
        <v>SILLA ERGONOMICA SIN BRAZOS CON REPOSAPIES</v>
      </c>
      <c r="C3216" s="6">
        <v>338720</v>
      </c>
      <c r="D3216" s="5"/>
      <c r="E3216" s="5" t="str">
        <f t="shared" si="158"/>
        <v>QUIROFANO -MARIA DEL PILAR MEDINA</v>
      </c>
      <c r="F3216" s="5" t="str">
        <f>"Descripcion: SILLA ERGONOMICA BPE 03 Estado: Bueno Placa anterior: 000025325 Material: METALICO Color: NEGRO Referencia:  Observacion:  Placa padre: Tipo adquisicion: Entidad"</f>
        <v>Descripcion: SILLA ERGONOMICA BPE 03 Estado: Bueno Placa anterior: 000025325 Material: METALICO Color: NEGRO Referencia:  Observacion:  Placa padre: Tipo adquisicion: Entidad</v>
      </c>
      <c r="G3216" s="5"/>
    </row>
    <row r="3217" spans="1:7" ht="58.5" customHeight="1" x14ac:dyDescent="0.25">
      <c r="A3217" s="5" t="str">
        <f>"H0011342"</f>
        <v>H0011342</v>
      </c>
      <c r="B3217" s="5" t="str">
        <f>"MESA (CARRO) DE CURACIONES"</f>
        <v>MESA (CARRO) DE CURACIONES</v>
      </c>
      <c r="C3217" s="6">
        <v>37276</v>
      </c>
      <c r="D3217" s="5"/>
      <c r="E3217" s="5" t="str">
        <f t="shared" si="158"/>
        <v>QUIROFANO -MARIA DEL PILAR MEDINA</v>
      </c>
      <c r="F3217" s="5" t="str">
        <f>"Descripcion: OXIDO Estado: Regular Placa anterior: 000015299 Material: ACERO INOXIDABLE Color: GRIS Referencia:  Observacion:  Placa padre: Tipo adquisicion: Entidad"</f>
        <v>Descripcion: OXIDO Estado: Regular Placa anterior: 000015299 Material: ACERO INOXIDABLE Color: GRIS Referencia:  Observacion:  Placa padre: Tipo adquisicion: Entidad</v>
      </c>
      <c r="G3217" s="5"/>
    </row>
    <row r="3218" spans="1:7" ht="58.5" customHeight="1" x14ac:dyDescent="0.25">
      <c r="A3218" s="5" t="str">
        <f>"H0011343"</f>
        <v>H0011343</v>
      </c>
      <c r="B3218" s="5" t="str">
        <f>"BANDEJA DE ACERO INOXIDABLE MEDIANA"</f>
        <v>BANDEJA DE ACERO INOXIDABLE MEDIANA</v>
      </c>
      <c r="C3218" s="6">
        <v>14616</v>
      </c>
      <c r="D3218" s="5"/>
      <c r="E3218" s="5" t="str">
        <f t="shared" si="158"/>
        <v>QUIROFANO -MARIA DEL PILAR MEDINA</v>
      </c>
      <c r="F3218" s="5" t="str">
        <f>"Descripcion: . Estado: Bueno Placa anterior: 000026313 Material: ACERO INOXIDABLE Color:  Referencia:  Observacion:  Placa padre: Tipo adquisicion: Entidad"</f>
        <v>Descripcion: . Estado: Bueno Placa anterior: 000026313 Material: ACERO INOXIDABLE Color:  Referencia:  Observacion:  Placa padre: Tipo adquisicion: Entidad</v>
      </c>
      <c r="G3218" s="5"/>
    </row>
    <row r="3219" spans="1:7" ht="58.5" customHeight="1" x14ac:dyDescent="0.25">
      <c r="A3219" s="5" t="str">
        <f>"H0011344"</f>
        <v>H0011344</v>
      </c>
      <c r="B3219" s="5" t="str">
        <f>"ATRIL PORTASUERO MOVIL"</f>
        <v>ATRIL PORTASUERO MOVIL</v>
      </c>
      <c r="C3219" s="6">
        <v>69600</v>
      </c>
      <c r="D3219" s="5"/>
      <c r="E3219" s="5" t="str">
        <f t="shared" si="158"/>
        <v>QUIROFANO -MARIA DEL PILAR MEDINA</v>
      </c>
      <c r="F3219" s="5" t="str">
        <f>"Descripcion: . Estado: Bueno Placa anterior: 000033217 Material: ACERO INOXIDABLE Color:  Referencia:  Observacion:  Placa padre: Tipo adquisicion: Entidad"</f>
        <v>Descripcion: . Estado: Bueno Placa anterior: 000033217 Material: ACERO INOXIDABLE Color:  Referencia:  Observacion:  Placa padre: Tipo adquisicion: Entidad</v>
      </c>
      <c r="G3219" s="5"/>
    </row>
    <row r="3220" spans="1:7" ht="58.5" customHeight="1" x14ac:dyDescent="0.25">
      <c r="A3220" s="5" t="str">
        <f>"H0011347"</f>
        <v>H0011347</v>
      </c>
      <c r="B3220" s="5" t="str">
        <f>"ATRIL PORTASUERO MOVIL"</f>
        <v>ATRIL PORTASUERO MOVIL</v>
      </c>
      <c r="C3220" s="6">
        <v>69600</v>
      </c>
      <c r="D3220" s="5"/>
      <c r="E3220" s="5" t="str">
        <f t="shared" si="158"/>
        <v>QUIROFANO -MARIA DEL PILAR MEDINA</v>
      </c>
      <c r="F3220" s="5" t="str">
        <f>"Descripcion: . Estado: Bueno Placa anterior: 000033218 Material: ACERO INOXIDABLE Color:  Referencia:  Observacion:  Placa padre: Tipo adquisicion: Entidad"</f>
        <v>Descripcion: . Estado: Bueno Placa anterior: 000033218 Material: ACERO INOXIDABLE Color:  Referencia:  Observacion:  Placa padre: Tipo adquisicion: Entidad</v>
      </c>
      <c r="G3220" s="5"/>
    </row>
    <row r="3221" spans="1:7" ht="58.5" customHeight="1" x14ac:dyDescent="0.25">
      <c r="A3221" s="5" t="str">
        <f>"H0011348"</f>
        <v>H0011348</v>
      </c>
      <c r="B3221" s="5" t="str">
        <f>"MAQUINA PARA ANESTESIA"</f>
        <v>MAQUINA PARA ANESTESIA</v>
      </c>
      <c r="C3221" s="6">
        <v>41296000</v>
      </c>
      <c r="D3221" s="5" t="s">
        <v>166</v>
      </c>
      <c r="E3221" s="5" t="str">
        <f t="shared" si="158"/>
        <v>QUIROFANO -MARIA DEL PILAR MEDINA</v>
      </c>
      <c r="F3221" s="5" t="str">
        <f>"Descripcion: MAQUINA DE ANESTESIA ADULTOS-PEDIATRICO-NEONATOS. Equipo para aplicaciones de anestesia inhalatoria con pacientes neonatales, pediatricos y adultos sin requerir cambio en algun componente del ventilador:controlado por volumen, contolado por p"&amp; "resion,SIMV, Estado: Bueno Placa anterior: 000031381 Material: PLASTICO-METALICO Color: BEIGE Referencia:  Observacion:  Placa padre: Tipo adquisicion: Entidad"</f>
        <v>Descripcion: MAQUINA DE ANESTESIA ADULTOS-PEDIATRICO-NEONATOS. Equipo para aplicaciones de anestesia inhalatoria con pacientes neonatales, pediatricos y adultos sin requerir cambio en algun componente del ventilador:controlado por volumen, contolado por presion,SIMV, Estado: Bueno Placa anterior: 000031381 Material: PLASTICO-METALICO Color: BEIGE Referencia:  Observacion:  Placa padre: Tipo adquisicion: Entidad</v>
      </c>
      <c r="G3221" s="5" t="str">
        <f>"WAT0EX-65"</f>
        <v>WAT0EX-65</v>
      </c>
    </row>
    <row r="3222" spans="1:7" ht="58.5" customHeight="1" x14ac:dyDescent="0.25">
      <c r="A3222" s="5" t="str">
        <f>"H0011350"</f>
        <v>H0011350</v>
      </c>
      <c r="B3222" s="5" t="str">
        <f>"LAMPARA CIELITICA"</f>
        <v>LAMPARA CIELITICA</v>
      </c>
      <c r="C3222" s="6">
        <v>37758000</v>
      </c>
      <c r="D3222" s="5" t="s">
        <v>166</v>
      </c>
      <c r="E3222" s="5" t="str">
        <f t="shared" si="158"/>
        <v>QUIROFANO -MARIA DEL PILAR MEDINA</v>
      </c>
      <c r="F3222" s="5" t="str">
        <f>"Descripcion: LAMPARA CIELITICA. De dos satelites, sistema de leds, pieza de movilizador esterizable, montadas sobre bases de anclaje, cielitica de rotacion 360° tiempo de vida de los leds 20.000 horas de voltaje de entrada 120vac frecuencia 60hz con ilumi"&amp; "nacion minim Estado: Bueno Placa anterior: 000031375 Material: METALICO-PLASTICO Color: BEIGE Referencia:  Observacion:  Placa padre: Tipo adquisicion: Entidad"</f>
        <v>Descripcion: LAMPARA CIELITICA. De dos satelites, sistema de leds, pieza de movilizador esterizable, montadas sobre bases de anclaje, cielitica de rotacion 360° tiempo de vida de los leds 20.000 horas de voltaje de entrada 120vac frecuencia 60hz con iluminacion minim Estado: Bueno Placa anterior: 000031375 Material: METALICO-PLASTICO Color: BEIGE Referencia:  Observacion:  Placa padre: Tipo adquisicion: Entidad</v>
      </c>
      <c r="G3222" s="5"/>
    </row>
    <row r="3223" spans="1:7" ht="58.5" customHeight="1" x14ac:dyDescent="0.25">
      <c r="A3223" s="5" t="str">
        <f>"H0011353"</f>
        <v>H0011353</v>
      </c>
      <c r="B3223" s="5" t="str">
        <f>"AIRE ACONDICIONADO DE 36000 BTU PISO TECHO"</f>
        <v>AIRE ACONDICIONADO DE 36000 BTU PISO TECHO</v>
      </c>
      <c r="C3223" s="6">
        <v>4135400</v>
      </c>
      <c r="D3223" s="5"/>
      <c r="E3223" s="5" t="str">
        <f t="shared" si="158"/>
        <v>QUIROFANO -MARIA DEL PILAR MEDINA</v>
      </c>
      <c r="F3223" s="5" t="str">
        <f>"Descripcion: AIRE ACONDICIONADO TIPO SPLIT MCA.YORK Estado: Bueno Placa anterior: 000000009 Material: PLASTICO Color: BEIGE Referencia:  Observacion:  Placa padre: Tipo adquisicion: Entidad"</f>
        <v>Descripcion: AIRE ACONDICIONADO TIPO SPLIT MCA.YORK Estado: Bueno Placa anterior: 000000009 Material: PLASTICO Color: BEIGE Referencia:  Observacion:  Placa padre: Tipo adquisicion: Entidad</v>
      </c>
      <c r="G3223" s="5" t="str">
        <f>"BRCS0361BD"</f>
        <v>BRCS0361BD</v>
      </c>
    </row>
    <row r="3224" spans="1:7" ht="58.5" customHeight="1" x14ac:dyDescent="0.25">
      <c r="A3224" s="5" t="str">
        <f>"H0011375"</f>
        <v>H0011375</v>
      </c>
      <c r="B3224" s="5" t="str">
        <f>"LOCKER DE 2 COMPARTIMIENTOS"</f>
        <v>LOCKER DE 2 COMPARTIMIENTOS</v>
      </c>
      <c r="C3224" s="6">
        <v>10750</v>
      </c>
      <c r="D3224" s="5"/>
      <c r="E3224" s="5" t="str">
        <f t="shared" si="158"/>
        <v>QUIROFANO -MARIA DEL PILAR MEDINA</v>
      </c>
      <c r="F3224" s="5" t="str">
        <f>"Descripcion: LOCKER TIPO C (2 PUESTOS) Estado: Bueno Placa anterior: 000014690 Material: METALICO Color: GRIS Referencia:  Observacion:  Placa padre: Tipo adquisicion: Entidad"</f>
        <v>Descripcion: LOCKER TIPO C (2 PUESTOS) Estado: Bueno Placa anterior: 000014690 Material: METALICO Color: GRIS Referencia:  Observacion:  Placa padre: Tipo adquisicion: Entidad</v>
      </c>
      <c r="G3224" s="5"/>
    </row>
    <row r="3225" spans="1:7" ht="58.5" customHeight="1" x14ac:dyDescent="0.25">
      <c r="A3225" s="5" t="str">
        <f>"H0011378"</f>
        <v>H0011378</v>
      </c>
      <c r="B3225" s="5" t="str">
        <f>"LOCKER DE 6 COMPARTIMIENTOS"</f>
        <v>LOCKER DE 6 COMPARTIMIENTOS</v>
      </c>
      <c r="C3225" s="6">
        <v>585988</v>
      </c>
      <c r="D3225" s="5" t="s">
        <v>60</v>
      </c>
      <c r="E3225" s="5" t="str">
        <f t="shared" si="158"/>
        <v>QUIROFANO -MARIA DEL PILAR MEDINA</v>
      </c>
      <c r="F3225" s="5" t="str">
        <f>"Descripcion: LOCKER DE LAMINA CALIBRE 22 C/6 CASILLEROS, PORTACANDADO, MANIJA PROFUNDIZADA MEDIDAS 1.80X1.90 DE ANCHO X 35 DE FONDO DE PINTURA Estado: Bueno Placa anterior: 000029190 Material: METALICO Color: GRIS Referencia:  Observacion:  Placa padre: T"&amp; "ipo adquisicion: Entidad"</f>
        <v>Descripcion: LOCKER DE LAMINA CALIBRE 22 C/6 CASILLEROS, PORTACANDADO, MANIJA PROFUNDIZADA MEDIDAS 1.80X1.90 DE ANCHO X 35 DE FONDO DE PINTURA Estado: Bueno Placa anterior: 000029190 Material: METALICO Color: GRIS Referencia:  Observacion:  Placa padre: Tipo adquisicion: Entidad</v>
      </c>
      <c r="G3225" s="5"/>
    </row>
    <row r="3226" spans="1:7" ht="58.5" customHeight="1" x14ac:dyDescent="0.25">
      <c r="A3226" s="5" t="str">
        <f>"H0011379"</f>
        <v>H0011379</v>
      </c>
      <c r="B3226" s="5" t="str">
        <f>"LOCKER DE 6 COMPARTIMIENTOS"</f>
        <v>LOCKER DE 6 COMPARTIMIENTOS</v>
      </c>
      <c r="C3226" s="6">
        <v>6864</v>
      </c>
      <c r="D3226" s="5"/>
      <c r="E3226" s="5" t="str">
        <f t="shared" si="158"/>
        <v>QUIROFANO -MARIA DEL PILAR MEDINA</v>
      </c>
      <c r="F3226" s="5" t="str">
        <f>"Descripcion: LOCKER DE LAMINA CALIBRE 22 C/6 CASILLEROS, PORTACANDADO, MANIJA PROFUNDIZADA MEDIDAS 1.80X1.90 DE ANCHO X 35 DE FONDO DE PINTURA Estado: Bueno Placa anterior: 000019442 Material: METALICO Color: GRIS Referencia:  Observacion: AUTORIZADO CONC"&amp; "ILIAR EN CRUCE GENERAL Placa padre: Tipo adquisicion: Entidad"</f>
        <v>Descripcion: LOCKER DE LAMINA CALIBRE 22 C/6 CASILLEROS, PORTACANDADO, MANIJA PROFUNDIZADA MEDIDAS 1.80X1.90 DE ANCHO X 35 DE FONDO DE PINTURA Estado: Bueno Placa anterior: 000019442 Material: METALICO Color: GRIS Referencia:  Observacion: AUTORIZADO CONCILIAR EN CRUCE GENERAL Placa padre: Tipo adquisicion: Entidad</v>
      </c>
      <c r="G3226" s="5"/>
    </row>
    <row r="3227" spans="1:7" ht="58.5" customHeight="1" x14ac:dyDescent="0.25">
      <c r="A3227" s="5" t="str">
        <f>"H0011636"</f>
        <v>H0011636</v>
      </c>
      <c r="B3227" s="5" t="str">
        <f>"LAMPARA QUIRURGICA DE PIE PORTATIL"</f>
        <v>LAMPARA QUIRURGICA DE PIE PORTATIL</v>
      </c>
      <c r="C3227" s="6">
        <v>23200000</v>
      </c>
      <c r="D3227" s="5" t="s">
        <v>166</v>
      </c>
      <c r="E3227" s="5" t="str">
        <f t="shared" si="158"/>
        <v>QUIROFANO -MARIA DEL PILAR MEDINA</v>
      </c>
      <c r="F3227" s="5" t="str">
        <f>"Descripcion: Lámpara Quirúrgica De Pie Rodable Modificar iluminacion a minimo 140000 luxes. Debe contar con tecnologia LED, tiempo de vida util minima de los LED 25000 horas.Iluminacion de 140000 lux.Ruedas con sistema de freno.Voltaje de conexion 120vac,"&amp; " frecuencia  Estado: Bueno Placa anterior: 000031376 Material: METALICO, PLASTICO Color: BEIGE CON AZUL Referencia:  Observacion:  Placa padre: Tipo adquisicion: Entidad"</f>
        <v>Descripcion: Lámpara Quirúrgica De Pie Rodable Modificar iluminacion a minimo 140000 luxes. Debe contar con tecnologia LED, tiempo de vida util minima de los LED 25000 horas.Iluminacion de 140000 lux.Ruedas con sistema de freno.Voltaje de conexion 120vac, frecuencia  Estado: Bueno Placa anterior: 000031376 Material: METALICO, PLASTICO Color: BEIGE CON AZUL Referencia:  Observacion:  Placa padre: Tipo adquisicion: Entidad</v>
      </c>
      <c r="G3227" s="5"/>
    </row>
    <row r="3228" spans="1:7" ht="58.5" customHeight="1" x14ac:dyDescent="0.25">
      <c r="A3228" s="5" t="str">
        <f>"H0011805"</f>
        <v>H0011805</v>
      </c>
      <c r="B3228" s="5"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C3228" s="6">
        <v>60900000</v>
      </c>
      <c r="D3228" s="5" t="s">
        <v>56</v>
      </c>
      <c r="E3228" s="5" t="str">
        <f t="shared" si="158"/>
        <v>QUIROFANO -MARIA DEL PILAR MEDINA</v>
      </c>
      <c r="F3228" s="5" t="str">
        <f>"Descripcion: BISTURI ARMONICO PARA PROCEDIMIENTOS QUIRURGICOS: Unidad de tecnologia ultrasonica y bipolar avanzada en una misma consola. Generador para Armonico y enseal con conectores universales y reconocimiento automatico de los instrumentos. Pantalla "&amp; "tactil. Soft Estado: Bueno Placa anterior: 000031091 Material: METALICO PLATICO Color: BLANCO Referencia:  Observacion:  Placa padre: Tipo adquisicion: Entidad"</f>
        <v>Descripcion: BISTURI ARMONICO PARA PROCEDIMIENTOS QUIRURGICOS: Unidad de tecnologia ultrasonica y bipolar avanzada en una misma consola. Generador para Armonico y enseal con conectores universales y reconocimiento automatico de los instrumentos. Pantalla tactil. Soft Estado: Bueno Placa anterior: 000031091 Material: METALICO PLATICO Color: BLANCO Referencia:  Observacion:  Placa padre: Tipo adquisicion: Entidad</v>
      </c>
      <c r="G3228" s="5"/>
    </row>
    <row r="3229" spans="1:7" ht="58.5" customHeight="1" x14ac:dyDescent="0.25">
      <c r="A3229" s="5" t="str">
        <f>"H0011807"</f>
        <v>H0011807</v>
      </c>
      <c r="B3229" s="5" t="str">
        <f>"COAGULADOR BIPOLAR"</f>
        <v>COAGULADOR BIPOLAR</v>
      </c>
      <c r="C3229" s="6">
        <v>1083500</v>
      </c>
      <c r="D3229" s="5"/>
      <c r="E3229" s="5" t="str">
        <f t="shared" si="158"/>
        <v>QUIROFANO -MARIA DEL PILAR MEDINA</v>
      </c>
      <c r="F3229" s="5" t="str">
        <f>"Descripcion: COAGULADOR BIPOLAR MCA.AESCULAP CON ACCESORIOS Estado: Bueno Placa anterior: 000021164 Material: METALICO Color: BEIGE Referencia:  Observacion:  Placa padre: Tipo adquisicion: Entidad"</f>
        <v>Descripcion: COAGULADOR BIPOLAR MCA.AESCULAP CON ACCESORIOS Estado: Bueno Placa anterior: 000021164 Material: METALICO Color: BEIGE Referencia:  Observacion:  Placa padre: Tipo adquisicion: Entidad</v>
      </c>
      <c r="G3229" s="5" t="str">
        <f>"TB50"</f>
        <v>TB50</v>
      </c>
    </row>
    <row r="3230" spans="1:7" ht="58.5" customHeight="1" x14ac:dyDescent="0.25">
      <c r="A3230" s="5" t="str">
        <f>"H0011809"</f>
        <v>H0011809</v>
      </c>
      <c r="B3230" s="5" t="str">
        <f>"MESA RIÑONERA"</f>
        <v>MESA RIÑONERA</v>
      </c>
      <c r="C3230" s="6">
        <v>20843.5</v>
      </c>
      <c r="D3230" s="5"/>
      <c r="E3230" s="5" t="str">
        <f t="shared" si="158"/>
        <v>QUIROFANO -MARIA DEL PILAR MEDINA</v>
      </c>
      <c r="F3230" s="5" t="str">
        <f>"Descripcion: MESA RIÑONERA Estado: Bueno Placa anterior: 000015305 Material: ACERO INOXIDABLE Color:  Referencia:  Observacion:  Placa padre: Tipo adquisicion: Entidad"</f>
        <v>Descripcion: MESA RIÑONERA Estado: Bueno Placa anterior: 000015305 Material: ACERO INOXIDABLE Color:  Referencia:  Observacion:  Placa padre: Tipo adquisicion: Entidad</v>
      </c>
      <c r="G3230" s="5"/>
    </row>
    <row r="3231" spans="1:7" ht="58.5" customHeight="1" x14ac:dyDescent="0.25">
      <c r="A3231" s="5" t="str">
        <f>"H0011810"</f>
        <v>H0011810</v>
      </c>
      <c r="B3231" s="5" t="str">
        <f>"MESA RIÑONERA"</f>
        <v>MESA RIÑONERA</v>
      </c>
      <c r="C3231" s="6">
        <v>20843.5</v>
      </c>
      <c r="D3231" s="5"/>
      <c r="E3231" s="5" t="str">
        <f t="shared" si="158"/>
        <v>QUIROFANO -MARIA DEL PILAR MEDINA</v>
      </c>
      <c r="F3231" s="5" t="str">
        <f>"Descripcion: MESA RIÑONERA Estado: Bueno Placa anterior: 000027639 Material: ACERO INOXIDABLE Color:  Referencia:  Observacion:  Placa padre: Tipo adquisicion: Entidad"</f>
        <v>Descripcion: MESA RIÑONERA Estado: Bueno Placa anterior: 000027639 Material: ACERO INOXIDABLE Color:  Referencia:  Observacion:  Placa padre: Tipo adquisicion: Entidad</v>
      </c>
      <c r="G3231" s="5"/>
    </row>
    <row r="3232" spans="1:7" ht="58.5" customHeight="1" x14ac:dyDescent="0.25">
      <c r="A3232" s="5" t="str">
        <f>"H0011812"</f>
        <v>H0011812</v>
      </c>
      <c r="B3232" s="5" t="str">
        <f>"MESA RIÑONERA"</f>
        <v>MESA RIÑONERA</v>
      </c>
      <c r="C3232" s="6">
        <v>20843.5</v>
      </c>
      <c r="D3232" s="5"/>
      <c r="E3232" s="5" t="str">
        <f t="shared" ref="E3232:E3295" si="159">"QUIROFANO -MARIA DEL PILAR MEDINA"</f>
        <v>QUIROFANO -MARIA DEL PILAR MEDINA</v>
      </c>
      <c r="F3232" s="5" t="str">
        <f>"Descripcion: MESA RIÑONERA Estado: Bueno Placa anterior: 000027865 Material: METALICO Color: GRIS Referencia:  Observacion:  Placa padre: Tipo adquisicion: Entidad"</f>
        <v>Descripcion: MESA RIÑONERA Estado: Bueno Placa anterior: 000027865 Material: METALICO Color: GRIS Referencia:  Observacion:  Placa padre: Tipo adquisicion: Entidad</v>
      </c>
      <c r="G3232" s="5"/>
    </row>
    <row r="3233" spans="1:7" ht="58.5" customHeight="1" x14ac:dyDescent="0.25">
      <c r="A3233" s="5" t="str">
        <f>"H0011814"</f>
        <v>H0011814</v>
      </c>
      <c r="B3233" s="5" t="str">
        <f>"MESA METALICA"</f>
        <v>MESA METALICA</v>
      </c>
      <c r="C3233" s="6">
        <v>53580</v>
      </c>
      <c r="D3233" s="5"/>
      <c r="E3233" s="5" t="str">
        <f t="shared" si="159"/>
        <v>QUIROFANO -MARIA DEL PILAR MEDINA</v>
      </c>
      <c r="F3233" s="5" t="str">
        <f>"Descripcion: MESA METALICA AUXILIAR Estado: Bueno Placa anterior: 000018589 Material: ACERO INOX Color:  Referencia:  Observacion:  Placa padre: Tipo adquisicion: Entidad"</f>
        <v>Descripcion: MESA METALICA AUXILIAR Estado: Bueno Placa anterior: 000018589 Material: ACERO INOX Color:  Referencia:  Observacion:  Placa padre: Tipo adquisicion: Entidad</v>
      </c>
      <c r="G3233" s="5"/>
    </row>
    <row r="3234" spans="1:7" ht="58.5" customHeight="1" x14ac:dyDescent="0.25">
      <c r="A3234" s="5" t="str">
        <f>"H0011815"</f>
        <v>H0011815</v>
      </c>
      <c r="B3234" s="5"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C3234" s="6">
        <v>60900000</v>
      </c>
      <c r="D3234" s="5" t="s">
        <v>56</v>
      </c>
      <c r="E3234" s="5" t="str">
        <f t="shared" si="159"/>
        <v>QUIROFANO -MARIA DEL PILAR MEDINA</v>
      </c>
      <c r="F3234" s="5" t="str">
        <f>"Descripcion: BISTURI ARMONICO PARA PROCEDIMIENTOS QUIRURGICOS: Unidad de tecnologia ultrasonica y bipolar avanzada en una misma consola. Generador para Armonico y enseal con conectores universales y reconocimiento automatico de los instrumentos. Pantalla "&amp; "tactil. Soft Estado: Bueno Placa anterior: 000031090 Material: PLASTICO, METALICO Color: BLANCO Referencia:  Observacion:  Placa padre: Tipo adquisicion: Entidad"</f>
        <v>Descripcion: BISTURI ARMONICO PARA PROCEDIMIENTOS QUIRURGICOS: Unidad de tecnologia ultrasonica y bipolar avanzada en una misma consola. Generador para Armonico y enseal con conectores universales y reconocimiento automatico de los instrumentos. Pantalla tactil. Soft Estado: Bueno Placa anterior: 000031090 Material: PLASTICO, METALICO Color: BLANCO Referencia:  Observacion:  Placa padre: Tipo adquisicion: Entidad</v>
      </c>
      <c r="G3234" s="5"/>
    </row>
    <row r="3235" spans="1:7" ht="58.5" customHeight="1" x14ac:dyDescent="0.25">
      <c r="A3235" s="5" t="str">
        <f>"H0011816"</f>
        <v>H0011816</v>
      </c>
      <c r="B3235" s="5" t="str">
        <f>"CAMA DESCANSO (SOFACAMA)"</f>
        <v>CAMA DESCANSO (SOFACAMA)</v>
      </c>
      <c r="C3235" s="6">
        <v>21400</v>
      </c>
      <c r="D3235" s="5"/>
      <c r="E3235" s="5" t="str">
        <f t="shared" si="159"/>
        <v>QUIROFANO -MARIA DEL PILAR MEDINA</v>
      </c>
      <c r="F3235" s="5" t="str">
        <f>"Descripcion: SOFA CAMA  Estado: Regular Placa anterior: 000022837 Material: TAPIZADO Color: NEGRO Referencia:  Observacion:  Placa padre: Tipo adquisicion: Entidad"</f>
        <v>Descripcion: SOFA CAMA  Estado: Regular Placa anterior: 000022837 Material: TAPIZADO Color: NEGRO Referencia:  Observacion:  Placa padre: Tipo adquisicion: Entidad</v>
      </c>
      <c r="G3235" s="5"/>
    </row>
    <row r="3236" spans="1:7" ht="58.5" customHeight="1" x14ac:dyDescent="0.25">
      <c r="A3236" s="5" t="str">
        <f>"H0011817"</f>
        <v>H0011817</v>
      </c>
      <c r="B3236" s="5" t="str">
        <f>"CAMA DESCANSO (SOFACAMA)"</f>
        <v>CAMA DESCANSO (SOFACAMA)</v>
      </c>
      <c r="C3236" s="6">
        <v>21400</v>
      </c>
      <c r="D3236" s="5"/>
      <c r="E3236" s="5" t="str">
        <f t="shared" si="159"/>
        <v>QUIROFANO -MARIA DEL PILAR MEDINA</v>
      </c>
      <c r="F3236" s="5" t="str">
        <f>"Descripcion: SOFA CAMA  Estado: Regular Placa anterior: 000019919 Material: TAPIZADO Color: NEGRO Referencia:  Observacion: AUTORIZADO CONCILIAR EN CRUCE GENERAL Placa padre: Tipo adquisicion: Entidad"</f>
        <v>Descripcion: SOFA CAMA  Estado: Regular Placa anterior: 000019919 Material: TAPIZADO Color: NEGRO Referencia:  Observacion: AUTORIZADO CONCILIAR EN CRUCE GENERAL Placa padre: Tipo adquisicion: Entidad</v>
      </c>
      <c r="G3236" s="5"/>
    </row>
    <row r="3237" spans="1:7" ht="58.5" customHeight="1" x14ac:dyDescent="0.25">
      <c r="A3237" s="5" t="str">
        <f>"H0011821"</f>
        <v>H0011821</v>
      </c>
      <c r="B3237" s="5" t="str">
        <f>"LOCKER DE 2 COMPARTIMIENTOS"</f>
        <v>LOCKER DE 2 COMPARTIMIENTOS</v>
      </c>
      <c r="C3237" s="6">
        <v>10750</v>
      </c>
      <c r="D3237" s="5"/>
      <c r="E3237" s="5" t="str">
        <f t="shared" si="159"/>
        <v>QUIROFANO -MARIA DEL PILAR MEDINA</v>
      </c>
      <c r="F3237" s="5" t="str">
        <f>"Descripcion: LOCKER TIPO C (2 PUESTOS) Estado: Bueno Placa anterior: 000014715 Material: METALICO  Color: GRIS  Referencia:  Observacion: BUEN ESTADO Placa padre: Tipo adquisicion: Entidad"</f>
        <v>Descripcion: LOCKER TIPO C (2 PUESTOS) Estado: Bueno Placa anterior: 000014715 Material: METALICO  Color: GRIS  Referencia:  Observacion: BUEN ESTADO Placa padre: Tipo adquisicion: Entidad</v>
      </c>
      <c r="G3237" s="5"/>
    </row>
    <row r="3238" spans="1:7" ht="58.5" customHeight="1" x14ac:dyDescent="0.25">
      <c r="A3238" s="5" t="str">
        <f>"H0011824"</f>
        <v>H0011824</v>
      </c>
      <c r="B3238" s="5" t="str">
        <f>"LOCKER DE 2 COMPARTIMIENTOS"</f>
        <v>LOCKER DE 2 COMPARTIMIENTOS</v>
      </c>
      <c r="C3238" s="6">
        <v>10384</v>
      </c>
      <c r="D3238" s="5"/>
      <c r="E3238" s="5" t="str">
        <f t="shared" si="159"/>
        <v>QUIROFANO -MARIA DEL PILAR MEDINA</v>
      </c>
      <c r="F3238" s="5" t="str">
        <f>"Descripcion: LOCKER TIPO C (2 PUESTOS) Estado: Bueno Placa anterior: 000000305 Material: METALICO Color: GRIS Referencia:  Observacion: BUEN ESTADO Placa padre: Tipo adquisicion: Entidad"</f>
        <v>Descripcion: LOCKER TIPO C (2 PUESTOS) Estado: Bueno Placa anterior: 000000305 Material: METALICO Color: GRIS Referencia:  Observacion: BUEN ESTADO Placa padre: Tipo adquisicion: Entidad</v>
      </c>
      <c r="G3238" s="5"/>
    </row>
    <row r="3239" spans="1:7" ht="58.5" customHeight="1" x14ac:dyDescent="0.25">
      <c r="A3239" s="5" t="str">
        <f>"H0011830"</f>
        <v>H0011830</v>
      </c>
      <c r="B3239" s="5" t="str">
        <f>"LOCKER DE 6 COMPARTIMIENTOS"</f>
        <v>LOCKER DE 6 COMPARTIMIENTOS</v>
      </c>
      <c r="C3239" s="6">
        <v>585988</v>
      </c>
      <c r="D3239" s="5" t="s">
        <v>60</v>
      </c>
      <c r="E3239" s="5" t="str">
        <f t="shared" si="159"/>
        <v>QUIROFANO -MARIA DEL PILAR MEDINA</v>
      </c>
      <c r="F3239" s="5" t="str">
        <f>"Descripcion: LOCKER DE LAMINA CALIBRE 22 C/6 CASILLEROS, PORTACANDADO, MANIJA PROFUNDIZADA MEDIDAS 1.80X1.90 DE ANCHO X 35 DE FONDO DE PINTURA Estado: Bueno Placa anterior: 000029192 Material: METALICO Color: GRIS Referencia:  Observacion: BUEN ESTADO Pla"&amp; "ca padre: Tipo adquisicion: Entidad"</f>
        <v>Descripcion: LOCKER DE LAMINA CALIBRE 22 C/6 CASILLEROS, PORTACANDADO, MANIJA PROFUNDIZADA MEDIDAS 1.80X1.90 DE ANCHO X 35 DE FONDO DE PINTURA Estado: Bueno Placa anterior: 000029192 Material: METALICO Color: GRIS Referencia:  Observacion: BUEN ESTADO Placa padre: Tipo adquisicion: Entidad</v>
      </c>
      <c r="G3239" s="5"/>
    </row>
    <row r="3240" spans="1:7" ht="58.5" customHeight="1" x14ac:dyDescent="0.25">
      <c r="A3240" s="5" t="str">
        <f>"H0011832"</f>
        <v>H0011832</v>
      </c>
      <c r="B3240" s="5" t="str">
        <f>"SILLA PLASTICA CON BRAZOS"</f>
        <v>SILLA PLASTICA CON BRAZOS</v>
      </c>
      <c r="C3240" s="6">
        <v>23000</v>
      </c>
      <c r="D3240" s="5"/>
      <c r="E3240" s="5" t="str">
        <f t="shared" si="159"/>
        <v>QUIROFANO -MARIA DEL PILAR MEDINA</v>
      </c>
      <c r="F3240" s="5" t="str">
        <f>"Descripcion: SILLA PLASTICA CON BRAZOS Estado: Bueno Placa anterior: 000033275 Material: PASTA Color: AZUL Referencia:  Observacion: BUEN ESTADO  Placa padre: Tipo adquisicion: Entidad"</f>
        <v>Descripcion: SILLA PLASTICA CON BRAZOS Estado: Bueno Placa anterior: 000033275 Material: PASTA Color: AZUL Referencia:  Observacion: BUEN ESTADO  Placa padre: Tipo adquisicion: Entidad</v>
      </c>
      <c r="G3240" s="5"/>
    </row>
    <row r="3241" spans="1:7" ht="58.5" customHeight="1" x14ac:dyDescent="0.25">
      <c r="A3241" s="5" t="str">
        <f>"H0011834"</f>
        <v>H0011834</v>
      </c>
      <c r="B3241" s="5" t="str">
        <f>"CAMA DESCANSO (SOFACAMA)"</f>
        <v>CAMA DESCANSO (SOFACAMA)</v>
      </c>
      <c r="C3241" s="6">
        <v>21400</v>
      </c>
      <c r="D3241" s="5"/>
      <c r="E3241" s="5" t="str">
        <f t="shared" si="159"/>
        <v>QUIROFANO -MARIA DEL PILAR MEDINA</v>
      </c>
      <c r="F3241" s="5" t="str">
        <f>"Descripcion: CAMA SOFA EN MADERA Estado: Malo Placa anterior: 000014788 Material: MADERA CON TAPIZADO Color: NEGRO Referencia:  Observacion: SE ENCUENTRA EN MAL ESTADO Placa padre: Tipo adquisicion: Entidad"</f>
        <v>Descripcion: CAMA SOFA EN MADERA Estado: Malo Placa anterior: 000014788 Material: MADERA CON TAPIZADO Color: NEGRO Referencia:  Observacion: SE ENCUENTRA EN MAL ESTADO Placa padre: Tipo adquisicion: Entidad</v>
      </c>
      <c r="G3241" s="5"/>
    </row>
    <row r="3242" spans="1:7" ht="58.5" customHeight="1" x14ac:dyDescent="0.25">
      <c r="A3242" s="5" t="str">
        <f>"H0011840"</f>
        <v>H0011840</v>
      </c>
      <c r="B3242" s="5" t="str">
        <f>"TELEFONO DE SOBREMESA"</f>
        <v>TELEFONO DE SOBREMESA</v>
      </c>
      <c r="C3242" s="6">
        <v>98600</v>
      </c>
      <c r="D3242" s="5"/>
      <c r="E3242" s="5" t="str">
        <f t="shared" si="159"/>
        <v>QUIROFANO -MARIA DEL PILAR MEDINA</v>
      </c>
      <c r="F3242" s="5" t="str">
        <f>"Descripcion: TELEFONO PANASONICO MODELO KXT Estado: Bueno Placa anterior: 000028072 Material: PASTA Color: BLANCO  Referencia:  Observacion: BUEN ESTADO Placa padre: Tipo adquisicion: Donacion"</f>
        <v>Descripcion: TELEFONO PANASONICO MODELO KXT Estado: Bueno Placa anterior: 000028072 Material: PASTA Color: BLANCO  Referencia:  Observacion: BUEN ESTADO Placa padre: Tipo adquisicion: Donacion</v>
      </c>
      <c r="G3242" s="5" t="str">
        <f>"KX-TS500LX"</f>
        <v>KX-TS500LX</v>
      </c>
    </row>
    <row r="3243" spans="1:7" ht="58.5" customHeight="1" x14ac:dyDescent="0.25">
      <c r="A3243" s="5" t="str">
        <f>"H0011843"</f>
        <v>H0011843</v>
      </c>
      <c r="B3243" s="5" t="str">
        <f>"EQUIPO ORGANOS DE LOS SENTIDOS  DE PARED"</f>
        <v>EQUIPO ORGANOS DE LOS SENTIDOS  DE PARED</v>
      </c>
      <c r="C3243" s="6">
        <v>600000</v>
      </c>
      <c r="D3243" s="5"/>
      <c r="E3243" s="5" t="str">
        <f t="shared" si="159"/>
        <v>QUIROFANO -MARIA DEL PILAR MEDINA</v>
      </c>
      <c r="F3243" s="5" t="str">
        <f>"Descripcion: EQUIPO DE ORGANOS Estado: Bueno Placa anterior: 000033171 Material: METALICO Color: GRIS Referencia:  Observacion: BUEN ESTADO Placa padre: Tipo adquisicion: Entidad"</f>
        <v>Descripcion: EQUIPO DE ORGANOS Estado: Bueno Placa anterior: 000033171 Material: METALICO Color: GRIS Referencia:  Observacion: BUEN ESTADO Placa padre: Tipo adquisicion: Entidad</v>
      </c>
      <c r="G3243" s="5"/>
    </row>
    <row r="3244" spans="1:7" ht="58.5" customHeight="1" x14ac:dyDescent="0.25">
      <c r="A3244" s="5" t="str">
        <f>"H0011845"</f>
        <v>H0011845</v>
      </c>
      <c r="B3244" s="5" t="str">
        <f>"CARRO PARA TRANSPORTAR ROPA"</f>
        <v>CARRO PARA TRANSPORTAR ROPA</v>
      </c>
      <c r="C3244" s="6">
        <v>7890</v>
      </c>
      <c r="D3244" s="5"/>
      <c r="E3244" s="5" t="str">
        <f t="shared" si="159"/>
        <v>QUIROFANO -MARIA DEL PILAR MEDINA</v>
      </c>
      <c r="F3244" s="5" t="str">
        <f>"Descripcion: CARRITO TRANSPORTADO DE ROPA SUCIA Estado: Bueno Placa anterior: 000027671 Material: METALICO Color: GRIS Referencia:  Observacion: BUEN ESTADOCIN BASE METALICA Placa padre: Tipo adquisicion: Entidad"</f>
        <v>Descripcion: CARRITO TRANSPORTADO DE ROPA SUCIA Estado: Bueno Placa anterior: 000027671 Material: METALICO Color: GRIS Referencia:  Observacion: BUEN ESTADOCIN BASE METALICA Placa padre: Tipo adquisicion: Entidad</v>
      </c>
      <c r="G3244" s="5"/>
    </row>
    <row r="3245" spans="1:7" ht="58.5" customHeight="1" x14ac:dyDescent="0.25">
      <c r="A3245" s="5" t="str">
        <f>"H0011932"</f>
        <v>H0011932</v>
      </c>
      <c r="B3245" s="5" t="str">
        <f>"AIRE ACONDICIONADO TIPO SPLIT 9000 BTU"</f>
        <v>AIRE ACONDICIONADO TIPO SPLIT 9000 BTU</v>
      </c>
      <c r="C3245" s="6">
        <v>979999</v>
      </c>
      <c r="D3245" s="5"/>
      <c r="E3245" s="5" t="str">
        <f t="shared" si="159"/>
        <v>QUIROFANO -MARIA DEL PILAR MEDINA</v>
      </c>
      <c r="F3245" s="5" t="str">
        <f>"Descripcion: AIRE ACONDICIONADO TIPO MINI SPLIT CON CAPACIDAD DE 9000 BTU MARCA LG Estado: Bueno Placa anterior: 000025812 Material: PLASTICO Color: BEIGE Referencia:  Observacion:  Placa padre: Tipo adquisicion: Entidad"</f>
        <v>Descripcion: AIRE ACONDICIONADO TIPO MINI SPLIT CON CAPACIDAD DE 9000 BTU MARCA LG Estado: Bueno Placa anterior: 000025812 Material: PLASTICO Color: BEIGE Referencia:  Observacion:  Placa padre: Tipo adquisicion: Entidad</v>
      </c>
      <c r="G3245" s="5" t="str">
        <f>"S092CP"</f>
        <v>S092CP</v>
      </c>
    </row>
    <row r="3246" spans="1:7" ht="58.5" customHeight="1" x14ac:dyDescent="0.25">
      <c r="A3246" s="5" t="str">
        <f>"H0011938"</f>
        <v>H0011938</v>
      </c>
      <c r="B3246" s="5" t="str">
        <f>"SILLA INTERLOCUTORA (FIJA) SIN BRAZOS"</f>
        <v>SILLA INTERLOCUTORA (FIJA) SIN BRAZOS</v>
      </c>
      <c r="C3246" s="6">
        <v>7480</v>
      </c>
      <c r="D3246" s="5"/>
      <c r="E3246" s="5" t="str">
        <f t="shared" si="159"/>
        <v>QUIROFANO -MARIA DEL PILAR MEDINA</v>
      </c>
      <c r="F3246" s="5" t="str">
        <f>"Descripcion: SILLA INTERLOCUTORA (FIJA) SIN BRAZOSMARRON Estado: Bueno Placa anterior: 000021142 Material: METALICO CON TAPIZADO  Color: MARRON Referencia:  Observacion:  Placa padre: Tipo adquisicion: Entidad"</f>
        <v>Descripcion: SILLA INTERLOCUTORA (FIJA) SIN BRAZOSMARRON Estado: Bueno Placa anterior: 000021142 Material: METALICO CON TAPIZADO  Color: MARRON Referencia:  Observacion:  Placa padre: Tipo adquisicion: Entidad</v>
      </c>
      <c r="G3246" s="5"/>
    </row>
    <row r="3247" spans="1:7" ht="58.5" customHeight="1" x14ac:dyDescent="0.25">
      <c r="A3247" s="5" t="str">
        <f>"H0011939"</f>
        <v>H0011939</v>
      </c>
      <c r="B3247" s="5" t="str">
        <f>"SILLA PLASTICA CON BRAZOS"</f>
        <v>SILLA PLASTICA CON BRAZOS</v>
      </c>
      <c r="C3247" s="6">
        <v>14000</v>
      </c>
      <c r="D3247" s="5"/>
      <c r="E3247" s="5" t="str">
        <f t="shared" si="159"/>
        <v>QUIROFANO -MARIA DEL PILAR MEDINA</v>
      </c>
      <c r="F3247" s="5" t="str">
        <f>"Descripcion: SILLA PLASTICA CON BRAZOS  Estado: Malo Placa anterior: 000005507 Material: PLASTICO Color: AZUL Referencia:  Observacion: AUTORIZADO CONCILIAR EN CRUCE GENERAL Placa padre: Tipo adquisicion: Entidad"</f>
        <v>Descripcion: SILLA PLASTICA CON BRAZOS  Estado: Malo Placa anterior: 000005507 Material: PLASTICO Color: AZUL Referencia:  Observacion: AUTORIZADO CONCILIAR EN CRUCE GENERAL Placa padre: Tipo adquisicion: Entidad</v>
      </c>
      <c r="G3247" s="5"/>
    </row>
    <row r="3248" spans="1:7" ht="58.5" customHeight="1" x14ac:dyDescent="0.25">
      <c r="A3248" s="5" t="str">
        <f>"H0011941"</f>
        <v>H0011941</v>
      </c>
      <c r="B3248" s="5" t="str">
        <f>"SILLA INTERLOCUTORA (FIJA) SIN BRAZOS"</f>
        <v>SILLA INTERLOCUTORA (FIJA) SIN BRAZOS</v>
      </c>
      <c r="C3248" s="6">
        <v>6308.9</v>
      </c>
      <c r="D3248" s="5"/>
      <c r="E3248" s="5" t="str">
        <f t="shared" si="159"/>
        <v>QUIROFANO -MARIA DEL PILAR MEDINA</v>
      </c>
      <c r="F3248" s="5" t="str">
        <f>"Descripcion: SILLA INTERLOCUTORA (FIJA) SIN BRAZOSMARRON Estado: Bueno Placa anterior: 000027690 Material: METALICO CON TAPIZADO  Color: MARRON Referencia:  Observacion: PLACA ANTERIOR NO ENCONTRADA 000002502 FUNCIONARIO AUTORIZA SE CONCILIE CON PLACA  00"&amp; "0027690 Placa padre: Tipo adquisicion: Entidad"</f>
        <v>Descripcion: SILLA INTERLOCUTORA (FIJA) SIN BRAZOSMARRON Estado: Bueno Placa anterior: 000027690 Material: METALICO CON TAPIZADO  Color: MARRON Referencia:  Observacion: PLACA ANTERIOR NO ENCONTRADA 000002502 FUNCIONARIO AUTORIZA SE CONCILIE CON PLACA  000027690 Placa padre: Tipo adquisicion: Entidad</v>
      </c>
      <c r="G3248" s="5"/>
    </row>
    <row r="3249" spans="1:7" ht="58.5" customHeight="1" x14ac:dyDescent="0.25">
      <c r="A3249" s="5" t="str">
        <f>"H0012001"</f>
        <v>H0012001</v>
      </c>
      <c r="B3249" s="5" t="str">
        <f>"MONITOR NEUROMUSCULAR (RELAJACION MUSCULAR) TOF"</f>
        <v>MONITOR NEUROMUSCULAR (RELAJACION MUSCULAR) TOF</v>
      </c>
      <c r="C3249" s="6">
        <v>350000</v>
      </c>
      <c r="D3249" s="5"/>
      <c r="E3249" s="5" t="str">
        <f t="shared" si="159"/>
        <v>QUIROFANO -MARIA DEL PILAR MEDINA</v>
      </c>
      <c r="F3249" s="5" t="str">
        <f>"Descripcion: TOF DE RELAJACION MUSCULAR.  Estado: Bueno Placa anterior: 000033436 Material: PLASTICO Color: GRIS Referencia:  Observacion: ORGANON TOF_WATCH Placa padre: Tipo adquisicion: Entidad"</f>
        <v>Descripcion: TOF DE RELAJACION MUSCULAR.  Estado: Bueno Placa anterior: 000033436 Material: PLASTICO Color: GRIS Referencia:  Observacion: ORGANON TOF_WATCH Placa padre: Tipo adquisicion: Entidad</v>
      </c>
      <c r="G3249" s="5" t="str">
        <f>"S"</f>
        <v>S</v>
      </c>
    </row>
    <row r="3250" spans="1:7" ht="58.5" customHeight="1" x14ac:dyDescent="0.25">
      <c r="A3250" s="5" t="str">
        <f>"H0012009"</f>
        <v>H0012009</v>
      </c>
      <c r="B3250" s="5" t="str">
        <f>"ESTANTE METALICO 5 ENTREPAÑOS"</f>
        <v>ESTANTE METALICO 5 ENTREPAÑOS</v>
      </c>
      <c r="C3250" s="6">
        <v>8415.2800000000007</v>
      </c>
      <c r="D3250" s="5"/>
      <c r="E3250" s="5" t="str">
        <f t="shared" si="159"/>
        <v>QUIROFANO -MARIA DEL PILAR MEDINA</v>
      </c>
      <c r="F3250" s="5" t="str">
        <f>"Descripcion: ESTANTE METALICO Estado: Bueno Placa anterior: 000027731 Material: METALICO Color: GRIS Referencia:  Observacion:  Placa padre: Tipo adquisicion: Entidad"</f>
        <v>Descripcion: ESTANTE METALICO Estado: Bueno Placa anterior: 000027731 Material: METALICO Color: GRIS Referencia:  Observacion:  Placa padre: Tipo adquisicion: Entidad</v>
      </c>
      <c r="G3250" s="5"/>
    </row>
    <row r="3251" spans="1:7" ht="58.5" customHeight="1" x14ac:dyDescent="0.25">
      <c r="A3251" s="5" t="str">
        <f>"H0012017"</f>
        <v>H0012017</v>
      </c>
      <c r="B3251" s="5" t="str">
        <f>"POTE (TARRO) ACERO INXODABLE CON TAPA JUEGO"</f>
        <v>POTE (TARRO) ACERO INXODABLE CON TAPA JUEGO</v>
      </c>
      <c r="C3251" s="6">
        <v>5547.87</v>
      </c>
      <c r="D3251" s="5"/>
      <c r="E3251" s="5" t="str">
        <f t="shared" si="159"/>
        <v>QUIROFANO -MARIA DEL PILAR MEDINA</v>
      </c>
      <c r="F3251" s="5" t="str">
        <f>"Descripcion: POTE DE CUERPO CILINDRICO CON TAPA MEDIANOS Estado: Bueno Placa anterior: 000027742 Material: ACERO INOXIDABLE Color: GRIS Referencia:  Observacion:  Placa padre: Tipo adquisicion: Entidad"</f>
        <v>Descripcion: POTE DE CUERPO CILINDRICO CON TAPA MEDIANOS Estado: Bueno Placa anterior: 000027742 Material: ACERO INOXIDABLE Color: GRIS Referencia:  Observacion:  Placa padre: Tipo adquisicion: Entidad</v>
      </c>
      <c r="G3251" s="5"/>
    </row>
    <row r="3252" spans="1:7" ht="58.5" customHeight="1" x14ac:dyDescent="0.25">
      <c r="A3252" s="5" t="str">
        <f>"H0012018"</f>
        <v>H0012018</v>
      </c>
      <c r="B3252" s="5" t="str">
        <f>"POTE (TARRO) ACERO INXODABLE CON TAPA JUEGO"</f>
        <v>POTE (TARRO) ACERO INXODABLE CON TAPA JUEGO</v>
      </c>
      <c r="C3252" s="6">
        <v>6919.49</v>
      </c>
      <c r="D3252" s="5"/>
      <c r="E3252" s="5" t="str">
        <f t="shared" si="159"/>
        <v>QUIROFANO -MARIA DEL PILAR MEDINA</v>
      </c>
      <c r="F3252" s="5" t="str">
        <f>"Descripcion: POTE DE CUERPO CILINDRICO CON TAPA MEDIANOS Estado: Bueno Placa anterior: 000004703 Material: ACERO INOXIDABLE Color: GRIS Referencia:  Observacion:  Placa padre: Tipo adquisicion: Entidad"</f>
        <v>Descripcion: POTE DE CUERPO CILINDRICO CON TAPA MEDIANOS Estado: Bueno Placa anterior: 000004703 Material: ACERO INOXIDABLE Color: GRIS Referencia:  Observacion:  Placa padre: Tipo adquisicion: Entidad</v>
      </c>
      <c r="G3252" s="5"/>
    </row>
    <row r="3253" spans="1:7" ht="58.5" customHeight="1" x14ac:dyDescent="0.25">
      <c r="A3253" s="5" t="str">
        <f>"H0012021"</f>
        <v>H0012021</v>
      </c>
      <c r="B3253" s="5" t="str">
        <f>"ESCALERILLA DE 2 PASOS"</f>
        <v>ESCALERILLA DE 2 PASOS</v>
      </c>
      <c r="C3253" s="6">
        <v>5600</v>
      </c>
      <c r="D3253" s="5"/>
      <c r="E3253" s="5" t="str">
        <f t="shared" si="159"/>
        <v>QUIROFANO -MARIA DEL PILAR MEDINA</v>
      </c>
      <c r="F3253" s="5" t="str">
        <f>"Descripcion: ESCALERA DE DOS PASOS   Estado: Bueno Placa anterior: 000027691 Material: METALICO Y MADERA Color: GRIS Y NEGRO Referencia:  Observacion:  Placa padre: Tipo adquisicion: Entidad"</f>
        <v>Descripcion: ESCALERA DE DOS PASOS   Estado: Bueno Placa anterior: 000027691 Material: METALICO Y MADERA Color: GRIS Y NEGRO Referencia:  Observacion:  Placa padre: Tipo adquisicion: Entidad</v>
      </c>
      <c r="G3253" s="5"/>
    </row>
    <row r="3254" spans="1:7" ht="58.5" customHeight="1" x14ac:dyDescent="0.25">
      <c r="A3254" s="5" t="str">
        <f>"H0012022"</f>
        <v>H0012022</v>
      </c>
      <c r="B3254" s="5" t="str">
        <f>"ATRIL PORTASUERO MOVIL"</f>
        <v>ATRIL PORTASUERO MOVIL</v>
      </c>
      <c r="C3254" s="6">
        <v>7025</v>
      </c>
      <c r="D3254" s="5"/>
      <c r="E3254" s="5" t="str">
        <f t="shared" si="159"/>
        <v>QUIROFANO -MARIA DEL PILAR MEDINA</v>
      </c>
      <c r="F3254" s="5" t="str">
        <f>"Descripcion: ATRIL CON RODACHINES DIMENSIONES: 184 Estado: Bueno Placa anterior: 000028732 Material: ACERO INOXIDABLE Color: GRIS Referencia:  Observacion:  Placa padre: Tipo adquisicion: Entidad"</f>
        <v>Descripcion: ATRIL CON RODACHINES DIMENSIONES: 184 Estado: Bueno Placa anterior: 000028732 Material: ACERO INOXIDABLE Color: GRIS Referencia:  Observacion:  Placa padre: Tipo adquisicion: Entidad</v>
      </c>
      <c r="G3254" s="5"/>
    </row>
    <row r="3255" spans="1:7" ht="58.5" customHeight="1" x14ac:dyDescent="0.25">
      <c r="A3255" s="5" t="str">
        <f>"H0012024"</f>
        <v>H0012024</v>
      </c>
      <c r="B3255" s="5" t="str">
        <f>"RODILLO PARA MOVILIZAR PACIENTES"</f>
        <v>RODILLO PARA MOVILIZAR PACIENTES</v>
      </c>
      <c r="C3255" s="6">
        <v>538240</v>
      </c>
      <c r="D3255" s="5" t="s">
        <v>161</v>
      </c>
      <c r="E3255" s="5" t="str">
        <f t="shared" si="159"/>
        <v>QUIROFANO -MARIA DEL PILAR MEDINA</v>
      </c>
      <c r="F3255" s="5" t="str">
        <f>"Descripcion: RODILLO PARA DESLIZAR A LAS PERSONAS  Estado: Bueno Placa anterior: 000031513 Material: METALICO Y CUERO Color: MARRON Y GRIS Referencia:  Observacion:  Placa padre: Tipo adquisicion: Entidad"</f>
        <v>Descripcion: RODILLO PARA DESLIZAR A LAS PERSONAS  Estado: Bueno Placa anterior: 000031513 Material: METALICO Y CUERO Color: MARRON Y GRIS Referencia:  Observacion:  Placa padre: Tipo adquisicion: Entidad</v>
      </c>
      <c r="G3255" s="5"/>
    </row>
    <row r="3256" spans="1:7" ht="58.5" customHeight="1" x14ac:dyDescent="0.25">
      <c r="A3256" s="5" t="str">
        <f>"H0012025"</f>
        <v>H0012025</v>
      </c>
      <c r="B3256" s="5" t="str">
        <f>"CALENTADOR CORPORAL"</f>
        <v>CALENTADOR CORPORAL</v>
      </c>
      <c r="C3256" s="6">
        <v>7192000</v>
      </c>
      <c r="D3256" s="5" t="s">
        <v>56</v>
      </c>
      <c r="E3256" s="5" t="str">
        <f t="shared" si="159"/>
        <v>QUIROFANO -MARIA DEL PILAR MEDINA</v>
      </c>
      <c r="F3256" s="5" t="str">
        <f>"Descripcion: EQUIPO DE CALENTAMIENTO CORPORAL CON MANGUERA Estado: Bueno Placa anterior: 000031111 Material: PLASTICO DE POLIPROPLINOE Color: AZUL Referencia:  Observacion:  Placa padre: Tipo adquisicion: Entidad"</f>
        <v>Descripcion: EQUIPO DE CALENTAMIENTO CORPORAL CON MANGUERA Estado: Bueno Placa anterior: 000031111 Material: PLASTICO DE POLIPROPLINOE Color: AZUL Referencia:  Observacion:  Placa padre: Tipo adquisicion: Entidad</v>
      </c>
      <c r="G3256" s="5" t="str">
        <f>"775"</f>
        <v>775</v>
      </c>
    </row>
    <row r="3257" spans="1:7" ht="58.5" customHeight="1" x14ac:dyDescent="0.25">
      <c r="A3257" s="5" t="str">
        <f>"H0012026"</f>
        <v>H0012026</v>
      </c>
      <c r="B3257" s="5" t="str">
        <f>"CALENTADOR CORPORAL"</f>
        <v>CALENTADOR CORPORAL</v>
      </c>
      <c r="C3257" s="6">
        <v>7192000</v>
      </c>
      <c r="D3257" s="5" t="s">
        <v>56</v>
      </c>
      <c r="E3257" s="5" t="str">
        <f t="shared" si="159"/>
        <v>QUIROFANO -MARIA DEL PILAR MEDINA</v>
      </c>
      <c r="F3257" s="5" t="str">
        <f>"Descripcion: EQUIPO DE CALENTAMIENTO CORPORAL CON MANGUERA Estado: Bueno Placa anterior: 000031113 Material: PLASTICO Color: AZUL Referencia:  Observacion:  Placa padre: Tipo adquisicion: Entidad"</f>
        <v>Descripcion: EQUIPO DE CALENTAMIENTO CORPORAL CON MANGUERA Estado: Bueno Placa anterior: 000031113 Material: PLASTICO Color: AZUL Referencia:  Observacion:  Placa padre: Tipo adquisicion: Entidad</v>
      </c>
      <c r="G3257" s="5" t="str">
        <f>"775"</f>
        <v>775</v>
      </c>
    </row>
    <row r="3258" spans="1:7" ht="58.5" customHeight="1" x14ac:dyDescent="0.25">
      <c r="A3258" s="5" t="str">
        <f>"H0012036"</f>
        <v>H0012036</v>
      </c>
      <c r="B3258" s="5" t="str">
        <f>"RODILLO PARA MOVILIZAR PACIENTES"</f>
        <v>RODILLO PARA MOVILIZAR PACIENTES</v>
      </c>
      <c r="C3258" s="6">
        <v>538240</v>
      </c>
      <c r="D3258" s="5" t="s">
        <v>161</v>
      </c>
      <c r="E3258" s="5" t="str">
        <f t="shared" si="159"/>
        <v>QUIROFANO -MARIA DEL PILAR MEDINA</v>
      </c>
      <c r="F3258" s="5" t="str">
        <f>"Descripcion: RODILLO PARA MOVER AL PACIENTE EN LA CAMA Estado: Bueno Placa anterior: 000031514 Material: METALICO Y CUERINA Color: MARRON Y GRIS Referencia:  Observacion:  Placa padre: Tipo adquisicion: Entidad"</f>
        <v>Descripcion: RODILLO PARA MOVER AL PACIENTE EN LA CAMA Estado: Bueno Placa anterior: 000031514 Material: METALICO Y CUERINA Color: MARRON Y GRIS Referencia:  Observacion:  Placa padre: Tipo adquisicion: Entidad</v>
      </c>
      <c r="G3258" s="5"/>
    </row>
    <row r="3259" spans="1:7" ht="58.5" customHeight="1" x14ac:dyDescent="0.25">
      <c r="A3259" s="5" t="str">
        <f>"H0012046"</f>
        <v>H0012046</v>
      </c>
      <c r="B3259" s="5" t="str">
        <f>"ESCRITORIO METALICO DE 6 GAVETAS"</f>
        <v>ESCRITORIO METALICO DE 6 GAVETAS</v>
      </c>
      <c r="C3259" s="6">
        <v>32000</v>
      </c>
      <c r="D3259" s="5"/>
      <c r="E3259" s="5" t="str">
        <f t="shared" si="159"/>
        <v>QUIROFANO -MARIA DEL PILAR MEDINA</v>
      </c>
      <c r="F3259" s="5" t="str">
        <f>"Descripcion: ESCRITORIO METALICO 6 GAVETAS. CON UN MESON EN FORMICA  Estado: Regular Placa anterior: 000014782 Material: METALICO Y FORMICA Color: GRIS Y MARRON Referencia:  Observacion: AUTORIZADO CONCILIAR EN CRUCE GENERAL Placa padre: Tipo adquisicion:"&amp; " Entidad"</f>
        <v>Descripcion: ESCRITORIO METALICO 6 GAVETAS. CON UN MESON EN FORMICA  Estado: Regular Placa anterior: 000014782 Material: METALICO Y FORMICA Color: GRIS Y MARRON Referencia:  Observacion: AUTORIZADO CONCILIAR EN CRUCE GENERAL Placa padre: Tipo adquisicion: Entidad</v>
      </c>
      <c r="G3259" s="5"/>
    </row>
    <row r="3260" spans="1:7" ht="58.5" customHeight="1" x14ac:dyDescent="0.25">
      <c r="A3260" s="5" t="str">
        <f>"H0012049"</f>
        <v>H0012049</v>
      </c>
      <c r="B3260" s="5" t="str">
        <f>"SILLA INTERLOCUTORA (FIJA) SIN BRAZOS"</f>
        <v>SILLA INTERLOCUTORA (FIJA) SIN BRAZOS</v>
      </c>
      <c r="C3260" s="6">
        <v>7480</v>
      </c>
      <c r="D3260" s="5"/>
      <c r="E3260" s="5" t="str">
        <f t="shared" si="159"/>
        <v>QUIROFANO -MARIA DEL PILAR MEDINA</v>
      </c>
      <c r="F3260" s="5" t="str">
        <f>"Descripcion: SILLA INTERLOCUTORA FIJA SIN BRAZOS TAPIZADO EN LONA Estado: Bueno Placa anterior: 000024382 Material: METALICO Y CUERINA Color: GRIS Referencia:  Observacion:  Placa padre: Tipo adquisicion: Entidad"</f>
        <v>Descripcion: SILLA INTERLOCUTORA FIJA SIN BRAZOS TAPIZADO EN LONA Estado: Bueno Placa anterior: 000024382 Material: METALICO Y CUERINA Color: GRIS Referencia:  Observacion:  Placa padre: Tipo adquisicion: Entidad</v>
      </c>
      <c r="G3260" s="5"/>
    </row>
    <row r="3261" spans="1:7" ht="58.5" customHeight="1" x14ac:dyDescent="0.25">
      <c r="A3261" s="5" t="str">
        <f>"H0012050"</f>
        <v>H0012050</v>
      </c>
      <c r="B3261" s="5" t="str">
        <f>"BUTACO GIRATORIO SIN RUEDAS"</f>
        <v>BUTACO GIRATORIO SIN RUEDAS</v>
      </c>
      <c r="C3261" s="6">
        <v>12256.28</v>
      </c>
      <c r="D3261" s="5"/>
      <c r="E3261" s="5" t="str">
        <f t="shared" si="159"/>
        <v>QUIROFANO -MARIA DEL PILAR MEDINA</v>
      </c>
      <c r="F3261" s="5" t="str">
        <f>"Descripcion: SILLA INTERLOCUTORA FIJA SIN BRAZOS TAPIZADO EN LONA Estado: Regular Placa anterior: 000000435 Material: METALICO, CUERINA Y PASTA Color: NEGRO Y AZUL Referencia:  Observacion: SILLA INTERLOCUTORA SIN ESPALDAR Y SIN BRAZOS Placa padre: Tipo a"&amp; "dquisicion: Entidad"</f>
        <v>Descripcion: SILLA INTERLOCUTORA FIJA SIN BRAZOS TAPIZADO EN LONA Estado: Regular Placa anterior: 000000435 Material: METALICO, CUERINA Y PASTA Color: NEGRO Y AZUL Referencia:  Observacion: SILLA INTERLOCUTORA SIN ESPALDAR Y SIN BRAZOS Placa padre: Tipo adquisicion: Entidad</v>
      </c>
      <c r="G3261" s="5"/>
    </row>
    <row r="3262" spans="1:7" ht="58.5" customHeight="1" x14ac:dyDescent="0.25">
      <c r="A3262" s="5" t="str">
        <f>"H0012286"</f>
        <v>H0012286</v>
      </c>
      <c r="B3262" s="5" t="str">
        <f>"ATRIL PORTASUERO MOVIL"</f>
        <v>ATRIL PORTASUERO MOVIL</v>
      </c>
      <c r="C3262" s="6">
        <v>210000</v>
      </c>
      <c r="D3262" s="5" t="s">
        <v>50</v>
      </c>
      <c r="E3262" s="5" t="str">
        <f t="shared" si="159"/>
        <v>QUIROFANO -MARIA DEL PILAR MEDINA</v>
      </c>
      <c r="F3262" s="5" t="str">
        <f>"Descripcion: ATRIL EN ACERO INOXIDABLE QUIRURGICO ANTIMAGNETICO Estado: Bueno Placa anterior: 000029725 Material: ACERO INOX. Color: PLATEADO Referencia:  Observacion:  Placa padre: Tipo adquisicion: Entidad"</f>
        <v>Descripcion: ATRIL EN ACERO INOXIDABLE QUIRURGICO ANTIMAGNETICO Estado: Bueno Placa anterior: 000029725 Material: ACERO INOX. Color: PLATEADO Referencia:  Observacion:  Placa padre: Tipo adquisicion: Entidad</v>
      </c>
      <c r="G3262" s="5"/>
    </row>
    <row r="3263" spans="1:7" ht="58.5" customHeight="1" x14ac:dyDescent="0.25">
      <c r="A3263" s="5" t="str">
        <f>"H0012288"</f>
        <v>H0012288</v>
      </c>
      <c r="B3263" s="5" t="str">
        <f>"MESA METALICA AUXILIAR"</f>
        <v>MESA METALICA AUXILIAR</v>
      </c>
      <c r="C3263" s="6">
        <v>37276</v>
      </c>
      <c r="D3263" s="5"/>
      <c r="E3263" s="5" t="str">
        <f t="shared" si="159"/>
        <v>QUIROFANO -MARIA DEL PILAR MEDINA</v>
      </c>
      <c r="F3263" s="5" t="str">
        <f>"Descripcion: MESA METALICA AUXILIAR -CON RODACHINES - PARATRANSPORTAR EL VENTILADOR PULMONAR Estado: Bueno Placa anterior: 000027745 Material: METAL Color: GRIS Referencia:  Observacion: FUNCIONARIO AUTORIZA SE CONCILIE CON PLACA 000027745 Placa padre: Ti"&amp; "po adquisicion: Entidad"</f>
        <v>Descripcion: MESA METALICA AUXILIAR -CON RODACHINES - PARATRANSPORTAR EL VENTILADOR PULMONAR Estado: Bueno Placa anterior: 000027745 Material: METAL Color: GRIS Referencia:  Observacion: FUNCIONARIO AUTORIZA SE CONCILIE CON PLACA 000027745 Placa padre: Tipo adquisicion: Entidad</v>
      </c>
      <c r="G3263" s="5"/>
    </row>
    <row r="3264" spans="1:7" ht="58.5" customHeight="1" x14ac:dyDescent="0.25">
      <c r="A3264" s="5" t="str">
        <f>"H0012289"</f>
        <v>H0012289</v>
      </c>
      <c r="B3264" s="5" t="str">
        <f>"MONITOR DE SIGNOS VITALES"</f>
        <v>MONITOR DE SIGNOS VITALES</v>
      </c>
      <c r="C3264" s="6">
        <v>4002000</v>
      </c>
      <c r="D3264" s="5" t="s">
        <v>166</v>
      </c>
      <c r="E3264" s="5" t="str">
        <f t="shared" si="159"/>
        <v>QUIROFANO -MARIA DEL PILAR MEDINA</v>
      </c>
      <c r="F3264"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000031418 Material: PASTA Color: BLANCO Y GRIS OSCURO Referencia:  Observacion: CONTIENE 3 CABLES DE CONEXION Y EL BRAZALETE DE TENSIOMETRO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000031418 Material: PASTA Color: BLANCO Y GRIS OSCURO Referencia:  Observacion: CONTIENE 3 CABLES DE CONEXION Y EL BRAZALETE DE TENSIOMETRO  Placa padre: Tipo adquisicion: Entidad</v>
      </c>
      <c r="G3264" s="5" t="str">
        <f>"IMEC10"</f>
        <v>IMEC10</v>
      </c>
    </row>
    <row r="3265" spans="1:7" ht="58.5" customHeight="1" x14ac:dyDescent="0.25">
      <c r="A3265" s="5" t="str">
        <f>"H0012293"</f>
        <v>H0012293</v>
      </c>
      <c r="B3265" s="5" t="str">
        <f>"ATRIL PORTASUERO MOVIL"</f>
        <v>ATRIL PORTASUERO MOVIL</v>
      </c>
      <c r="C3265" s="6">
        <v>210000</v>
      </c>
      <c r="D3265" s="5" t="s">
        <v>50</v>
      </c>
      <c r="E3265" s="5" t="str">
        <f t="shared" si="159"/>
        <v>QUIROFANO -MARIA DEL PILAR MEDINA</v>
      </c>
      <c r="F3265" s="5" t="str">
        <f>"Descripcion: ATRIL EN ACERO INOXIDABLE QUIRURGICO ANTIMAGNETICO Estado: Bueno Placa anterior: 000029729 Material: ACERO INOX. Color: PLATEADO Referencia:  Observacion:  Placa padre: Tipo adquisicion: Entidad"</f>
        <v>Descripcion: ATRIL EN ACERO INOXIDABLE QUIRURGICO ANTIMAGNETICO Estado: Bueno Placa anterior: 000029729 Material: ACERO INOX. Color: PLATEADO Referencia:  Observacion:  Placa padre: Tipo adquisicion: Entidad</v>
      </c>
      <c r="G3265" s="5"/>
    </row>
    <row r="3266" spans="1:7" ht="58.5" customHeight="1" x14ac:dyDescent="0.25">
      <c r="A3266" s="5" t="str">
        <f>"H0012296"</f>
        <v>H0012296</v>
      </c>
      <c r="B3266" s="5" t="str">
        <f>"CAMILLA DE TRASLADO DE 2 PLANOS"</f>
        <v>CAMILLA DE TRASLADO DE 2 PLANOS</v>
      </c>
      <c r="C3266" s="6">
        <v>7226800</v>
      </c>
      <c r="D3266" s="5" t="s">
        <v>288</v>
      </c>
      <c r="E3266" s="5" t="str">
        <f t="shared" si="159"/>
        <v>QUIROFANO -MARIA DEL PILAR MEDINA</v>
      </c>
      <c r="F3266" s="5" t="str">
        <f>"Descripcion: CAMILLA HIDRAULICA DOS PLANOS Estado: Bueno Placa anterior: 000038262 Material: METAL Y PASTA Color: BEIGE Y GRIS Referencia:  Observacion:  Placa padre: Tipo adquisicion: Entidad"</f>
        <v>Descripcion: CAMILLA HIDRAULICA DOS PLANOS Estado: Bueno Placa anterior: 000038262 Material: METAL Y PASTA Color: BEIGE Y GRIS Referencia:  Observacion:  Placa padre: Tipo adquisicion: Entidad</v>
      </c>
      <c r="G3266" s="5" t="str">
        <f>"7783"</f>
        <v>7783</v>
      </c>
    </row>
    <row r="3267" spans="1:7" ht="58.5" customHeight="1" x14ac:dyDescent="0.25">
      <c r="A3267" s="5" t="str">
        <f>"H0012300"</f>
        <v>H0012300</v>
      </c>
      <c r="B3267" s="5" t="str">
        <f>"CAMILLA DE TRASLADO CON BARANDAS"</f>
        <v>CAMILLA DE TRASLADO CON BARANDAS</v>
      </c>
      <c r="C3267" s="6">
        <v>6598797</v>
      </c>
      <c r="D3267" s="5" t="s">
        <v>286</v>
      </c>
      <c r="E3267" s="5" t="str">
        <f t="shared" si="159"/>
        <v>QUIROFANO -MARIA DEL PILAR MEDINA</v>
      </c>
      <c r="F3267" s="5" t="str">
        <f>"Descripcion:  CAMILLA DE RECUPERACION Y TRANSPORTE CON 1 ATRIL Estado: Bueno Placa anterior: 000038892 Material: METAL Y PASTA Color: BEIGE Referencia:  Observacion:  Placa padre: Tipo adquisicion: Entidad"</f>
        <v>Descripcion:  CAMILLA DE RECUPERACION Y TRANSPORTE CON 1 ATRIL Estado: Bueno Placa anterior: 000038892 Material: METAL Y PASTA Color: BEIGE Referencia:  Observacion:  Placa padre: Tipo adquisicion: Entidad</v>
      </c>
      <c r="G3267" s="5" t="str">
        <f>"C-374 BDA V"</f>
        <v>C-374 BDA V</v>
      </c>
    </row>
    <row r="3268" spans="1:7" ht="58.5" customHeight="1" x14ac:dyDescent="0.25">
      <c r="A3268" s="5" t="str">
        <f>"H0012303"</f>
        <v>H0012303</v>
      </c>
      <c r="B3268" s="5" t="str">
        <f>"ATRIL PORTASUERO MOVIL"</f>
        <v>ATRIL PORTASUERO MOVIL</v>
      </c>
      <c r="C3268" s="6">
        <v>210000</v>
      </c>
      <c r="D3268" s="5" t="s">
        <v>50</v>
      </c>
      <c r="E3268" s="5" t="str">
        <f t="shared" si="159"/>
        <v>QUIROFANO -MARIA DEL PILAR MEDINA</v>
      </c>
      <c r="F3268" s="5" t="str">
        <f>"Descripcion: ATRIL EN ACERO INOXIDABLE QUIRURGICO ANTIMAGNETICO Estado: Bueno Placa anterior: 000029732 Material: ACERO INOX. Color: PLATEADO Referencia:  Observacion: FUNCIONARIO AUTORIZA SE CONCILIE CON PLACA  000029732 Placa padre: Tipo adquisicion: En"&amp; "tidad"</f>
        <v>Descripcion: ATRIL EN ACERO INOXIDABLE QUIRURGICO ANTIMAGNETICO Estado: Bueno Placa anterior: 000029732 Material: ACERO INOX. Color: PLATEADO Referencia:  Observacion: FUNCIONARIO AUTORIZA SE CONCILIE CON PLACA  000029732 Placa padre: Tipo adquisicion: Entidad</v>
      </c>
      <c r="G3268" s="5"/>
    </row>
    <row r="3269" spans="1:7" ht="58.5" customHeight="1" x14ac:dyDescent="0.25">
      <c r="A3269" s="5" t="str">
        <f>"H0012305"</f>
        <v>H0012305</v>
      </c>
      <c r="B3269" s="5" t="str">
        <f>"ATRIL PORTASUERO MOVIL"</f>
        <v>ATRIL PORTASUERO MOVIL</v>
      </c>
      <c r="C3269" s="6">
        <v>210000</v>
      </c>
      <c r="D3269" s="5" t="s">
        <v>50</v>
      </c>
      <c r="E3269" s="5" t="str">
        <f t="shared" si="159"/>
        <v>QUIROFANO -MARIA DEL PILAR MEDINA</v>
      </c>
      <c r="F3269" s="5" t="str">
        <f>"Descripcion: ATRIL EN ACERO INOXIDABLE QUIRURGICO ANTIMAGNETICO Estado: Bueno Placa anterior: 000029730 Material: ACERO INOX. Color: PLATEADO Referencia:  Observacion: FUNCIONARIO AUTORIZA SE CONCILIE CON PLACA  000029730 Placa padre: Tipo adquisicion: En"&amp; "tidad"</f>
        <v>Descripcion: ATRIL EN ACERO INOXIDABLE QUIRURGICO ANTIMAGNETICO Estado: Bueno Placa anterior: 000029730 Material: ACERO INOX. Color: PLATEADO Referencia:  Observacion: FUNCIONARIO AUTORIZA SE CONCILIE CON PLACA  000029730 Placa padre: Tipo adquisicion: Entidad</v>
      </c>
      <c r="G3269" s="5"/>
    </row>
    <row r="3270" spans="1:7" ht="58.5" customHeight="1" x14ac:dyDescent="0.25">
      <c r="A3270" s="5" t="str">
        <f>"H0012310"</f>
        <v>H0012310</v>
      </c>
      <c r="B3270" s="5" t="str">
        <f>"CUBETA DE ACERO INOXIDABLE CON TAPA PEQUEÑA"</f>
        <v>CUBETA DE ACERO INOXIDABLE CON TAPA PEQUEÑA</v>
      </c>
      <c r="C3270" s="6">
        <v>38480.699999999997</v>
      </c>
      <c r="D3270" s="5"/>
      <c r="E3270" s="5" t="str">
        <f t="shared" si="159"/>
        <v>QUIROFANO -MARIA DEL PILAR MEDINA</v>
      </c>
      <c r="F3270" s="5" t="str">
        <f>"Descripcion: CUBETA EN ACERO INOX. PEQ.CON TAPA Estado: Bueno Placa anterior: 000004125 Material: ACERO INOX. Color: PLATEADO Referencia:  Observacion:  Placa padre: Tipo adquisicion: Entidad"</f>
        <v>Descripcion: CUBETA EN ACERO INOX. PEQ.CON TAPA Estado: Bueno Placa anterior: 000004125 Material: ACERO INOX. Color: PLATEADO Referencia:  Observacion:  Placa padre: Tipo adquisicion: Entidad</v>
      </c>
      <c r="G3270" s="5"/>
    </row>
    <row r="3271" spans="1:7" ht="58.5" customHeight="1" x14ac:dyDescent="0.25">
      <c r="A3271" s="5" t="str">
        <f>"H0012313"</f>
        <v>H0012313</v>
      </c>
      <c r="B3271" s="5" t="str">
        <f>"TELEFONO DE SOBREMESA"</f>
        <v>TELEFONO DE SOBREMESA</v>
      </c>
      <c r="C3271" s="6">
        <v>9149.39</v>
      </c>
      <c r="D3271" s="5"/>
      <c r="E3271" s="5" t="str">
        <f t="shared" si="159"/>
        <v>QUIROFANO -MARIA DEL PILAR MEDINA</v>
      </c>
      <c r="F3271" s="5" t="str">
        <f>"Descripcion: TELEFONO  Estado: Bueno Placa anterior: 000015271 Material: PASTA Color: FANTEL Referencia:  Observacion:  Placa padre: Tipo adquisicion: Entidad"</f>
        <v>Descripcion: TELEFONO  Estado: Bueno Placa anterior: 000015271 Material: PASTA Color: FANTEL Referencia:  Observacion:  Placa padre: Tipo adquisicion: Entidad</v>
      </c>
      <c r="G3271" s="5"/>
    </row>
    <row r="3272" spans="1:7" ht="58.5" customHeight="1" x14ac:dyDescent="0.25">
      <c r="A3272" s="5" t="str">
        <f>"H0012314"</f>
        <v>H0012314</v>
      </c>
      <c r="B3272" s="5" t="str">
        <f>"CUBETA DE ACERO INOXIDABLE CON TAPA PEQUEÑA"</f>
        <v>CUBETA DE ACERO INOXIDABLE CON TAPA PEQUEÑA</v>
      </c>
      <c r="C3272" s="6">
        <v>38480.699999999997</v>
      </c>
      <c r="D3272" s="5"/>
      <c r="E3272" s="5" t="str">
        <f t="shared" si="159"/>
        <v>QUIROFANO -MARIA DEL PILAR MEDINA</v>
      </c>
      <c r="F3272" s="5" t="str">
        <f>"Descripcion: CUBETA EN ACERO INOX. PEQ.CON TAPA Estado: Bueno Placa anterior: 000004704 Material: ACERO INOX. Color: PLATEADO Referencia:  Observacion: 17,5 ANCHO X 7,5 FONDO X 4 CM ALTO Placa padre: Tipo adquisicion: Entidad"</f>
        <v>Descripcion: CUBETA EN ACERO INOX. PEQ.CON TAPA Estado: Bueno Placa anterior: 000004704 Material: ACERO INOX. Color: PLATEADO Referencia:  Observacion: 17,5 ANCHO X 7,5 FONDO X 4 CM ALTO Placa padre: Tipo adquisicion: Entidad</v>
      </c>
      <c r="G3272" s="5"/>
    </row>
    <row r="3273" spans="1:7" ht="58.5" customHeight="1" x14ac:dyDescent="0.25">
      <c r="A3273" s="5" t="str">
        <f>"H0012315"</f>
        <v>H0012315</v>
      </c>
      <c r="B3273" s="5" t="str">
        <f>"POTE (TARRO) ACERO INXODABLE CON TAPA PEQUEÑO"</f>
        <v>POTE (TARRO) ACERO INXODABLE CON TAPA PEQUEÑO</v>
      </c>
      <c r="C3273" s="6">
        <v>5547.87</v>
      </c>
      <c r="D3273" s="5"/>
      <c r="E3273" s="5" t="str">
        <f t="shared" si="159"/>
        <v>QUIROFANO -MARIA DEL PILAR MEDINA</v>
      </c>
      <c r="F3273" s="5" t="str">
        <f>"Descripcion: POTE EN ACERO INOX. CON TAPA PEQ. Estado: Bueno Placa anterior: 000027701 Material: ACERO INOX. Color: PLATEADO Referencia:  Observacion:  Placa padre: Tipo adquisicion: Entidad"</f>
        <v>Descripcion: POTE EN ACERO INOX. CON TAPA PEQ. Estado: Bueno Placa anterior: 000027701 Material: ACERO INOX. Color: PLATEADO Referencia:  Observacion:  Placa padre: Tipo adquisicion: Entidad</v>
      </c>
      <c r="G3273" s="5"/>
    </row>
    <row r="3274" spans="1:7" ht="58.5" customHeight="1" x14ac:dyDescent="0.25">
      <c r="A3274" s="5" t="str">
        <f>"H0012316"</f>
        <v>H0012316</v>
      </c>
      <c r="B3274" s="5" t="str">
        <f>"POTE (TARRO) ACERO INXODABLE CON TAPA MEDIANO"</f>
        <v>POTE (TARRO) ACERO INXODABLE CON TAPA MEDIANO</v>
      </c>
      <c r="C3274" s="6">
        <v>5547.87</v>
      </c>
      <c r="D3274" s="5"/>
      <c r="E3274" s="5" t="str">
        <f t="shared" si="159"/>
        <v>QUIROFANO -MARIA DEL PILAR MEDINA</v>
      </c>
      <c r="F3274" s="5" t="str">
        <f>"Descripcion: POTE EN ACERO INOX. CON TAPA MED. Estado: Bueno Placa anterior: 000027689 Material: ACERO INOX. Color: PLATEADO Referencia:  Observacion:  Placa padre: Tipo adquisicion: Entidad"</f>
        <v>Descripcion: POTE EN ACERO INOX. CON TAPA MED. Estado: Bueno Placa anterior: 000027689 Material: ACERO INOX. Color: PLATEADO Referencia:  Observacion:  Placa padre: Tipo adquisicion: Entidad</v>
      </c>
      <c r="G3274" s="5"/>
    </row>
    <row r="3275" spans="1:7" ht="58.5" customHeight="1" x14ac:dyDescent="0.25">
      <c r="A3275" s="5" t="str">
        <f>"H0012317"</f>
        <v>H0012317</v>
      </c>
      <c r="B3275" s="5" t="str">
        <f>"MESA METALICA CROMADA"</f>
        <v>MESA METALICA CROMADA</v>
      </c>
      <c r="C3275" s="6">
        <v>1938116.78</v>
      </c>
      <c r="D3275" s="5"/>
      <c r="E3275" s="5" t="str">
        <f t="shared" si="159"/>
        <v>QUIROFANO -MARIA DEL PILAR MEDINA</v>
      </c>
      <c r="F3275" s="5" t="str">
        <f>"Descripcion: MESA EN ACERO INOX.  Estado: Bueno Placa anterior: 000016748 Material: ACERO INOX. Color: PLATEADO Referencia:  Observacion:  Placa padre: Tipo adquisicion: Entidad"</f>
        <v>Descripcion: MESA EN ACERO INOX.  Estado: Bueno Placa anterior: 000016748 Material: ACERO INOX. Color: PLATEADO Referencia:  Observacion:  Placa padre: Tipo adquisicion: Entidad</v>
      </c>
      <c r="G3275" s="5"/>
    </row>
    <row r="3276" spans="1:7" ht="58.5" customHeight="1" x14ac:dyDescent="0.25">
      <c r="A3276" s="5" t="str">
        <f>"H0012318"</f>
        <v>H0012318</v>
      </c>
      <c r="B3276" s="5" t="str">
        <f>"SILLA INTERLOCUTORA (FIJA) SIN BRAZOS"</f>
        <v>SILLA INTERLOCUTORA (FIJA) SIN BRAZOS</v>
      </c>
      <c r="C3276" s="6">
        <v>6308.9</v>
      </c>
      <c r="D3276" s="5"/>
      <c r="E3276" s="5" t="str">
        <f t="shared" si="159"/>
        <v>QUIROFANO -MARIA DEL PILAR MEDINA</v>
      </c>
      <c r="F3276" s="5" t="str">
        <f>"Descripcion: SILLA INTERLOCUTORA FIJA SIN BRAZOS Estado: Regular Placa anterior: 000028735 Material: METAL Y CUERINA Color: GRIS Y MARRON Referencia:  Observacion: ASIENTO DETERIORADO Y ESPALDAR SUELTO FUNCIONARIO AUTORIZA SE CONCILIE CON PLACA 000028735 "&amp; "Placa padre: Tipo adquisicion: Entidad"</f>
        <v>Descripcion: SILLA INTERLOCUTORA FIJA SIN BRAZOS Estado: Regular Placa anterior: 000028735 Material: METAL Y CUERINA Color: GRIS Y MARRON Referencia:  Observacion: ASIENTO DETERIORADO Y ESPALDAR SUELTO FUNCIONARIO AUTORIZA SE CONCILIE CON PLACA 000028735 Placa padre: Tipo adquisicion: Entidad</v>
      </c>
      <c r="G3276" s="5"/>
    </row>
    <row r="3277" spans="1:7" ht="58.5" customHeight="1" x14ac:dyDescent="0.25">
      <c r="A3277" s="5" t="str">
        <f>"H0012322"</f>
        <v>H0012322</v>
      </c>
      <c r="B3277" s="5" t="str">
        <f>"ESCRITORIO METALICO 3 GAVETAS"</f>
        <v>ESCRITORIO METALICO 3 GAVETAS</v>
      </c>
      <c r="C3277" s="6">
        <v>16397.66</v>
      </c>
      <c r="D3277" s="5"/>
      <c r="E3277" s="5" t="str">
        <f t="shared" si="159"/>
        <v>QUIROFANO -MARIA DEL PILAR MEDINA</v>
      </c>
      <c r="F3277" s="5" t="str">
        <f>"Descripcion: ESCRITORIO METALICO 3 GAVETAS Estado: Bueno Placa anterior: 000014726 Material: METAL Y FORMICA Color: GRIS Y MADERA Referencia:  Observacion:  Placa padre: Tipo adquisicion: Entidad"</f>
        <v>Descripcion: ESCRITORIO METALICO 3 GAVETAS Estado: Bueno Placa anterior: 000014726 Material: METAL Y FORMICA Color: GRIS Y MADERA Referencia:  Observacion:  Placa padre: Tipo adquisicion: Entidad</v>
      </c>
      <c r="G3277" s="5"/>
    </row>
    <row r="3278" spans="1:7" ht="58.5" customHeight="1" x14ac:dyDescent="0.25">
      <c r="A3278" s="5" t="str">
        <f>"H0012323"</f>
        <v>H0012323</v>
      </c>
      <c r="B3278" s="5" t="str">
        <f>"CUNA CON BARANDAS (RODACHINES) - ANTIGUAS"</f>
        <v>CUNA CON BARANDAS (RODACHINES) - ANTIGUAS</v>
      </c>
      <c r="C3278" s="6">
        <v>44410</v>
      </c>
      <c r="D3278" s="5"/>
      <c r="E3278" s="5" t="str">
        <f t="shared" si="159"/>
        <v>QUIROFANO -MARIA DEL PILAR MEDINA</v>
      </c>
      <c r="F3278" s="5" t="str">
        <f>"Descripcion: CAMA CUNA CON BARANDAS Y RODACHINES, CON 4 ATRILES Estado: Bueno Placa anterior: 000015224 Material: METAL Color: BEIGE Referencia:  Observacion:  Placa padre: Tipo adquisicion: Entidad"</f>
        <v>Descripcion: CAMA CUNA CON BARANDAS Y RODACHINES, CON 4 ATRILES Estado: Bueno Placa anterior: 000015224 Material: METAL Color: BEIGE Referencia:  Observacion:  Placa padre: Tipo adquisicion: Entidad</v>
      </c>
      <c r="G3278" s="5"/>
    </row>
    <row r="3279" spans="1:7" ht="58.5" customHeight="1" x14ac:dyDescent="0.25">
      <c r="A3279" s="5" t="str">
        <f>"H0012326"</f>
        <v>H0012326</v>
      </c>
      <c r="B3279" s="5" t="str">
        <f>"MONITOR DE SIGNOS VITALES"</f>
        <v>MONITOR DE SIGNOS VITALES</v>
      </c>
      <c r="C3279" s="6">
        <v>4176000</v>
      </c>
      <c r="D3279" s="5" t="s">
        <v>212</v>
      </c>
      <c r="E3279" s="5" t="str">
        <f t="shared" si="159"/>
        <v>QUIROFANO -MARIA DEL PILAR MEDINA</v>
      </c>
      <c r="F3279" s="5" t="str">
        <f>"Descripcion: MONITOR MARCA MINDRAY REF. MEC. 1200 COD. HOSP-3136 CONSTA DE : PANTALLA DE 8.4, TIPO TFT A COLOR. PARA PACIENTE NEONATAL, PEDIATRICO, ADULTO COMPATIBLE A CENTRAL DE MONITOREO Y PROTECCION A DESFIBRILADOR. LA BATERIA DURACION DE 120 ML CONFIG"&amp; "URACION MEDI Estado: Bueno Placa anterior: 000030226 Material: PASTA Color: BEIGE Y NEGRO Referencia:  Observacion:  Placa padre: Tipo adquisicion: Entidad"</f>
        <v>Descripcion: MONITOR MARCA MINDRAY REF. MEC. 1200 COD. HOSP-3136 CONSTA DE : PANTALLA DE 8.4, TIPO TFT A COLOR. PARA PACIENTE NEONATAL, PEDIATRICO, ADULTO COMPATIBLE A CENTRAL DE MONITOREO Y PROTECCION A DESFIBRILADOR. LA BATERIA DURACION DE 120 ML CONFIGURACION MEDI Estado: Bueno Placa anterior: 000030226 Material: PASTA Color: BEIGE Y NEGRO Referencia:  Observacion:  Placa padre: Tipo adquisicion: Entidad</v>
      </c>
      <c r="G3279" s="5" t="str">
        <f>"MEC 1200"</f>
        <v>MEC 1200</v>
      </c>
    </row>
    <row r="3280" spans="1:7" ht="58.5" customHeight="1" x14ac:dyDescent="0.25">
      <c r="A3280" s="5" t="str">
        <f>"H0012327"</f>
        <v>H0012327</v>
      </c>
      <c r="B3280" s="5" t="str">
        <f>"ATRIL PORTASUERO MOVIL"</f>
        <v>ATRIL PORTASUERO MOVIL</v>
      </c>
      <c r="C3280" s="6">
        <v>210000</v>
      </c>
      <c r="D3280" s="5" t="s">
        <v>50</v>
      </c>
      <c r="E3280" s="5" t="str">
        <f t="shared" si="159"/>
        <v>QUIROFANO -MARIA DEL PILAR MEDINA</v>
      </c>
      <c r="F3280" s="5" t="str">
        <f>"Descripcion: ATRIL EN ACERO INOXIDABLE QUIRURGICO ANTIMAGNETICO Estado: Bueno Placa anterior: 000029692 Material: ACERO INOX. Color: PLATEADO Referencia:  Observacion:  Placa padre: Tipo adquisicion: Entidad"</f>
        <v>Descripcion: ATRIL EN ACERO INOXIDABLE QUIRURGICO ANTIMAGNETICO Estado: Bueno Placa anterior: 000029692 Material: ACERO INOX. Color: PLATEADO Referencia:  Observacion:  Placa padre: Tipo adquisicion: Entidad</v>
      </c>
      <c r="G3280" s="5"/>
    </row>
    <row r="3281" spans="1:7" ht="58.5" customHeight="1" x14ac:dyDescent="0.25">
      <c r="A3281" s="5" t="str">
        <f>"H0012329"</f>
        <v>H0012329</v>
      </c>
      <c r="B3281" s="5" t="str">
        <f>"MESA (CARRO) DE CURACIONES"</f>
        <v>MESA (CARRO) DE CURACIONES</v>
      </c>
      <c r="C3281" s="6">
        <v>37276</v>
      </c>
      <c r="D3281" s="5"/>
      <c r="E3281" s="5" t="str">
        <f t="shared" si="159"/>
        <v>QUIROFANO -MARIA DEL PILAR MEDINA</v>
      </c>
      <c r="F3281" s="5" t="str">
        <f>"Descripcion: MESA METALICA CON RODACHINES Y SUPERFICIE EN MADERA Y FORRADA CON LAMINA ACERO Estado: Malo Placa anterior: 000027710 Material: BASE METAL, Y SUPERF. MADERA Y ACERO Color: PLATEADO Referencia:  Observacion: FUNCIONARIO AUTORIZA SE CONCILIE CO"&amp; "N PLACA 000027710 Placa padre: Tipo adquisicion: Entidad"</f>
        <v>Descripcion: MESA METALICA CON RODACHINES Y SUPERFICIE EN MADERA Y FORRADA CON LAMINA ACERO Estado: Malo Placa anterior: 000027710 Material: BASE METAL, Y SUPERF. MADERA Y ACERO Color: PLATEADO Referencia:  Observacion: FUNCIONARIO AUTORIZA SE CONCILIE CON PLACA 000027710 Placa padre: Tipo adquisicion: Entidad</v>
      </c>
      <c r="G3281" s="5"/>
    </row>
    <row r="3282" spans="1:7" ht="58.5" customHeight="1" x14ac:dyDescent="0.25">
      <c r="A3282" s="5" t="str">
        <f>"H0012332"</f>
        <v>H0012332</v>
      </c>
      <c r="B3282" s="5" t="str">
        <f>"MONITOR DE SIGNOS VITALES"</f>
        <v>MONITOR DE SIGNOS VITALES</v>
      </c>
      <c r="C3282" s="6">
        <v>4002000</v>
      </c>
      <c r="D3282" s="5" t="s">
        <v>166</v>
      </c>
      <c r="E3282" s="5" t="str">
        <f t="shared" si="159"/>
        <v>QUIROFANO -MARIA DEL PILAR MEDINA</v>
      </c>
      <c r="F3282"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000031397 Material: PASTA Color: BEIGE Y GRIS OSCURO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000031397 Material: PASTA Color: BEIGE Y GRIS OSCURO Referencia:  Observacion:  Placa padre: Tipo adquisicion: Entidad</v>
      </c>
      <c r="G3282" s="5" t="str">
        <f>"IMEC10"</f>
        <v>IMEC10</v>
      </c>
    </row>
    <row r="3283" spans="1:7" ht="58.5" customHeight="1" x14ac:dyDescent="0.25">
      <c r="A3283" s="5" t="str">
        <f>"H0012334"</f>
        <v>H0012334</v>
      </c>
      <c r="B3283" s="5" t="str">
        <f>"MONITOR DE SIGNOS VITALES"</f>
        <v>MONITOR DE SIGNOS VITALES</v>
      </c>
      <c r="C3283" s="6">
        <v>4002000</v>
      </c>
      <c r="D3283" s="5" t="s">
        <v>166</v>
      </c>
      <c r="E3283" s="5" t="str">
        <f t="shared" si="159"/>
        <v>QUIROFANO -MARIA DEL PILAR MEDINA</v>
      </c>
      <c r="F3283"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000031416 Material: PASTA Color: BEIGE Y GRIS NEGRO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000031416 Material: PASTA Color: BEIGE Y GRIS NEGRO Referencia:  Observacion:  Placa padre: Tipo adquisicion: Entidad</v>
      </c>
      <c r="G3283" s="5"/>
    </row>
    <row r="3284" spans="1:7" ht="58.5" customHeight="1" x14ac:dyDescent="0.25">
      <c r="A3284" s="5" t="str">
        <f>"H0012335"</f>
        <v>H0012335</v>
      </c>
      <c r="B3284" s="5" t="str">
        <f>"CAMILLA DE TRASLADO DE 2 PLANOS"</f>
        <v>CAMILLA DE TRASLADO DE 2 PLANOS</v>
      </c>
      <c r="C3284" s="6">
        <v>7226800</v>
      </c>
      <c r="D3284" s="5" t="s">
        <v>288</v>
      </c>
      <c r="E3284" s="5" t="str">
        <f t="shared" si="159"/>
        <v>QUIROFANO -MARIA DEL PILAR MEDINA</v>
      </c>
      <c r="F3284" s="5" t="str">
        <f>"Descripcion: CAMILLA HIDRAULICA DOS PLANOS Estado: Bueno Placa anterior: 000038267 Material: METAL Y PASTA Color: BEIGE Y GRIS Referencia:  Observacion: EL SERIAL ES 0000043924 Y NO EL 42924 Placa padre: Tipo adquisicion: Entidad"</f>
        <v>Descripcion: CAMILLA HIDRAULICA DOS PLANOS Estado: Bueno Placa anterior: 000038267 Material: METAL Y PASTA Color: BEIGE Y GRIS Referencia:  Observacion: EL SERIAL ES 0000043924 Y NO EL 42924 Placa padre: Tipo adquisicion: Entidad</v>
      </c>
      <c r="G3284" s="5" t="str">
        <f>"7783"</f>
        <v>7783</v>
      </c>
    </row>
    <row r="3285" spans="1:7" ht="58.5" customHeight="1" x14ac:dyDescent="0.25">
      <c r="A3285" s="5" t="str">
        <f>"H0012336"</f>
        <v>H0012336</v>
      </c>
      <c r="B3285" s="5" t="str">
        <f>"CAMILLA DE TRASLADO DE 2 PLANOS"</f>
        <v>CAMILLA DE TRASLADO DE 2 PLANOS</v>
      </c>
      <c r="C3285" s="6">
        <v>7226800</v>
      </c>
      <c r="D3285" s="5" t="s">
        <v>288</v>
      </c>
      <c r="E3285" s="5" t="str">
        <f t="shared" si="159"/>
        <v>QUIROFANO -MARIA DEL PILAR MEDINA</v>
      </c>
      <c r="F3285" s="5" t="str">
        <f>"Descripcion: CAMILLA HIDRAULICA DOS PLANOS Estado: Bueno Placa anterior: 000038271 Material: METAL Y PASTA Color: BEIGE Y GRIS Referencia:  Observacion: EL BIEN TIENE PLACA ANTERIOR   000038271 Placa padre: Tipo adquisicion: Entidad"</f>
        <v>Descripcion: CAMILLA HIDRAULICA DOS PLANOS Estado: Bueno Placa anterior: 000038271 Material: METAL Y PASTA Color: BEIGE Y GRIS Referencia:  Observacion: EL BIEN TIENE PLACA ANTERIOR   000038271 Placa padre: Tipo adquisicion: Entidad</v>
      </c>
      <c r="G3285" s="5" t="str">
        <f>"7783"</f>
        <v>7783</v>
      </c>
    </row>
    <row r="3286" spans="1:7" ht="58.5" customHeight="1" x14ac:dyDescent="0.25">
      <c r="A3286" s="5" t="str">
        <f>"H0012340"</f>
        <v>H0012340</v>
      </c>
      <c r="B3286" s="5" t="str">
        <f>"CAMILLA DE TRASLADO CON BARANDAS"</f>
        <v>CAMILLA DE TRASLADO CON BARANDAS</v>
      </c>
      <c r="C3286" s="6">
        <v>6598797</v>
      </c>
      <c r="D3286" s="5" t="s">
        <v>286</v>
      </c>
      <c r="E3286" s="5" t="str">
        <f t="shared" si="159"/>
        <v>QUIROFANO -MARIA DEL PILAR MEDINA</v>
      </c>
      <c r="F3286" s="5" t="str">
        <f>"Descripcion:  CAMILLA DE RECUPERACION Y TRANSPORTE Estado: Bueno Placa anterior: 000038895 Material: METAL Y PASTA Color: GRIS Y BEIGE Referencia:  Observacion:  Placa padre: Tipo adquisicion: Entidad"</f>
        <v>Descripcion:  CAMILLA DE RECUPERACION Y TRANSPORTE Estado: Bueno Placa anterior: 000038895 Material: METAL Y PASTA Color: GRIS Y BEIGE Referencia:  Observacion:  Placa padre: Tipo adquisicion: Entidad</v>
      </c>
      <c r="G3286" s="5" t="str">
        <f>"C-374 BDA V"</f>
        <v>C-374 BDA V</v>
      </c>
    </row>
    <row r="3287" spans="1:7" ht="58.5" customHeight="1" x14ac:dyDescent="0.25">
      <c r="A3287" s="5" t="str">
        <f>"H0012342"</f>
        <v>H0012342</v>
      </c>
      <c r="B3287" s="5" t="str">
        <f>"CAMILLA DE TRASLADO CON BARANDAS"</f>
        <v>CAMILLA DE TRASLADO CON BARANDAS</v>
      </c>
      <c r="C3287" s="6">
        <v>6598797</v>
      </c>
      <c r="D3287" s="5" t="s">
        <v>286</v>
      </c>
      <c r="E3287" s="5" t="str">
        <f t="shared" si="159"/>
        <v>QUIROFANO -MARIA DEL PILAR MEDINA</v>
      </c>
      <c r="F3287" s="5" t="str">
        <f>"Descripcion:  CAMILLA DE RECUPERACION Y TRANSPORTE Estado: Bueno Placa anterior: 000038897 Material: METAL Y PASTA Color: GRIS Y BEIGE Referencia:  Observacion:  Placa padre: Tipo adquisicion: Entidad"</f>
        <v>Descripcion:  CAMILLA DE RECUPERACION Y TRANSPORTE Estado: Bueno Placa anterior: 000038897 Material: METAL Y PASTA Color: GRIS Y BEIGE Referencia:  Observacion:  Placa padre: Tipo adquisicion: Entidad</v>
      </c>
      <c r="G3287" s="5" t="str">
        <f>"C-374 BBVV1.14"</f>
        <v>C-374 BBVV1.14</v>
      </c>
    </row>
    <row r="3288" spans="1:7" ht="58.5" customHeight="1" x14ac:dyDescent="0.25">
      <c r="A3288" s="5" t="str">
        <f>"H0012346"</f>
        <v>H0012346</v>
      </c>
      <c r="B3288" s="5" t="str">
        <f>"MONITOR DE SIGNOS VITALES"</f>
        <v>MONITOR DE SIGNOS VITALES</v>
      </c>
      <c r="C3288" s="6">
        <v>3364000</v>
      </c>
      <c r="D3288" s="5" t="s">
        <v>289</v>
      </c>
      <c r="E3288" s="5" t="str">
        <f t="shared" si="159"/>
        <v>QUIROFANO -MARIA DEL PILAR MEDINA</v>
      </c>
      <c r="F3288" s="5" t="str">
        <f>"Descripcion: MONITOR DE SIGNOS VITALES MARCA EDAM, PANTALLA TFTA COLOR, DE 12/10 ECG, SPO2 RESP.NIBP. 2 TEMPE. PR. 2-IBP. EtCO2 TECNOLOGIA NELLCOR OXIMAX/EDAN SPO2, OXIMETRIA CON MODULACION DE TONO POR PULSO. ANALISIS ECG DE 7 SEGMENTOS Estado: Bueno Plac"&amp; "a anterior: 000030433 Material: PASTA Color: GRIS CLARO Y NEGRO Referencia:  Observacion:  Placa padre: Tipo adquisicion: Entidad"</f>
        <v>Descripcion: MONITOR DE SIGNOS VITALES MARCA EDAM, PANTALLA TFTA COLOR, DE 12/10 ECG, SPO2 RESP.NIBP. 2 TEMPE. PR. 2-IBP. EtCO2 TECNOLOGIA NELLCOR OXIMAX/EDAN SPO2, OXIMETRIA CON MODULACION DE TONO POR PULSO. ANALISIS ECG DE 7 SEGMENTOS Estado: Bueno Placa anterior: 000030433 Material: PASTA Color: GRIS CLARO Y NEGRO Referencia:  Observacion:  Placa padre: Tipo adquisicion: Entidad</v>
      </c>
      <c r="G3288" s="5" t="str">
        <f>"M3"</f>
        <v>M3</v>
      </c>
    </row>
    <row r="3289" spans="1:7" ht="58.5" customHeight="1" x14ac:dyDescent="0.25">
      <c r="A3289" s="5" t="str">
        <f>"H0012347"</f>
        <v>H0012347</v>
      </c>
      <c r="B3289" s="5" t="str">
        <f>"CAMILLA DE TRASLADO CON BARANDAS"</f>
        <v>CAMILLA DE TRASLADO CON BARANDAS</v>
      </c>
      <c r="C3289" s="6">
        <v>7226800</v>
      </c>
      <c r="D3289" s="5" t="s">
        <v>288</v>
      </c>
      <c r="E3289" s="5" t="str">
        <f t="shared" si="159"/>
        <v>QUIROFANO -MARIA DEL PILAR MEDINA</v>
      </c>
      <c r="F3289" s="5" t="str">
        <f>"Descripcion: CAMILLA HIDRAULICA DOS PLANOS Estado: Bueno Placa anterior: 000038263 Material: METAL Y PASTA Color: BEIGE Y GRIS Referencia: 7783 Observacion:  Placa padre: Tipo adquisicion: Entidad"</f>
        <v>Descripcion: CAMILLA HIDRAULICA DOS PLANOS Estado: Bueno Placa anterior: 000038263 Material: METAL Y PASTA Color: BEIGE Y GRIS Referencia: 7783 Observacion:  Placa padre: Tipo adquisicion: Entidad</v>
      </c>
      <c r="G3289" s="5"/>
    </row>
    <row r="3290" spans="1:7" ht="58.5" customHeight="1" x14ac:dyDescent="0.25">
      <c r="A3290" s="5" t="str">
        <f>"H0012350"</f>
        <v>H0012350</v>
      </c>
      <c r="B3290" s="5" t="str">
        <f>"CAMILLA DE TRASLADO SIN BARANDAS"</f>
        <v>CAMILLA DE TRASLADO SIN BARANDAS</v>
      </c>
      <c r="C3290" s="6">
        <v>6598797</v>
      </c>
      <c r="D3290" s="5" t="s">
        <v>286</v>
      </c>
      <c r="E3290" s="5" t="str">
        <f t="shared" si="159"/>
        <v>QUIROFANO -MARIA DEL PILAR MEDINA</v>
      </c>
      <c r="F3290" s="5" t="str">
        <f>"Descripcion:  CAMILLA DE RECUPERACION Y TRANSPORTE Estado: Bueno Placa anterior: 000038896 Material: METAL Y PASTA Color: GRIS Y BEIGE Referencia:  Observacion:  Placa padre: Tipo adquisicion: Entidad"</f>
        <v>Descripcion:  CAMILLA DE RECUPERACION Y TRANSPORTE Estado: Bueno Placa anterior: 000038896 Material: METAL Y PASTA Color: GRIS Y BEIGE Referencia:  Observacion:  Placa padre: Tipo adquisicion: Entidad</v>
      </c>
      <c r="G3290" s="5" t="str">
        <f>"C-374 BDA V"</f>
        <v>C-374 BDA V</v>
      </c>
    </row>
    <row r="3291" spans="1:7" ht="58.5" customHeight="1" x14ac:dyDescent="0.25">
      <c r="A3291" s="5" t="str">
        <f>"H0012351"</f>
        <v>H0012351</v>
      </c>
      <c r="B3291" s="5" t="str">
        <f>"CALENTADOR CORPORAL"</f>
        <v>CALENTADOR CORPORAL</v>
      </c>
      <c r="C3291" s="6">
        <v>7192000</v>
      </c>
      <c r="D3291" s="5" t="s">
        <v>56</v>
      </c>
      <c r="E3291" s="5" t="str">
        <f t="shared" si="159"/>
        <v>QUIROFANO -MARIA DEL PILAR MEDINA</v>
      </c>
      <c r="F3291" s="5" t="str">
        <f>"Descripcion: Equipo de calentamiento corporal Estado: Bueno Placa anterior: 000031114 Material: PASTA  Color: AZUL Referencia:  Observacion:  Placa padre: Tipo adquisicion: Entidad"</f>
        <v>Descripcion: Equipo de calentamiento corporal Estado: Bueno Placa anterior: 000031114 Material: PASTA  Color: AZUL Referencia:  Observacion:  Placa padre: Tipo adquisicion: Entidad</v>
      </c>
      <c r="G3291" s="5" t="str">
        <f>"775"</f>
        <v>775</v>
      </c>
    </row>
    <row r="3292" spans="1:7" ht="58.5" customHeight="1" x14ac:dyDescent="0.25">
      <c r="A3292" s="5" t="str">
        <f>"H0012352"</f>
        <v>H0012352</v>
      </c>
      <c r="B3292" s="5" t="str">
        <f>"CAMILLA DE TRASLADO SIN BARANDAS"</f>
        <v>CAMILLA DE TRASLADO SIN BARANDAS</v>
      </c>
      <c r="C3292" s="6">
        <v>7226800</v>
      </c>
      <c r="D3292" s="5" t="s">
        <v>288</v>
      </c>
      <c r="E3292" s="5" t="str">
        <f t="shared" si="159"/>
        <v>QUIROFANO -MARIA DEL PILAR MEDINA</v>
      </c>
      <c r="F3292" s="5" t="str">
        <f>"Descripcion: CAMILLA HIDRAULICA DOS PLANOS Estado: Bueno Placa anterior: 000038266 Material: METAL Y PASTA Color: BEIGE Y GRIS Referencia:  Observacion:  Placa padre: Tipo adquisicion: Entidad"</f>
        <v>Descripcion: CAMILLA HIDRAULICA DOS PLANOS Estado: Bueno Placa anterior: 000038266 Material: METAL Y PASTA Color: BEIGE Y GRIS Referencia:  Observacion:  Placa padre: Tipo adquisicion: Entidad</v>
      </c>
      <c r="G3292" s="5" t="str">
        <f>"7783"</f>
        <v>7783</v>
      </c>
    </row>
    <row r="3293" spans="1:7" ht="58.5" customHeight="1" x14ac:dyDescent="0.25">
      <c r="A3293" s="5" t="str">
        <f>"H0012358"</f>
        <v>H0012358</v>
      </c>
      <c r="B3293" s="5" t="str">
        <f>"SILLA GIRATORIA SIN BRAZOS FIJA (NO ERGONOMICA)"</f>
        <v>SILLA GIRATORIA SIN BRAZOS FIJA (NO ERGONOMICA)</v>
      </c>
      <c r="C3293" s="6">
        <v>10136.35</v>
      </c>
      <c r="D3293" s="5"/>
      <c r="E3293" s="5" t="str">
        <f t="shared" si="159"/>
        <v>QUIROFANO -MARIA DEL PILAR MEDINA</v>
      </c>
      <c r="F3293" s="5" t="str">
        <f>"Descripcion: SILLA GIRATORIA SIN BRAZOS Estado: Bueno Placa anterior: 000014781 Material: PASTA Y CUERINA Color: AZUL Referencia:  Observacion: FUNCIONARIO AUTORIZA SE CONCILIE CON PLACA 000014781 Placa padre: Tipo adquisicion: Entidad"</f>
        <v>Descripcion: SILLA GIRATORIA SIN BRAZOS Estado: Bueno Placa anterior: 000014781 Material: PASTA Y CUERINA Color: AZUL Referencia:  Observacion: FUNCIONARIO AUTORIZA SE CONCILIE CON PLACA 000014781 Placa padre: Tipo adquisicion: Entidad</v>
      </c>
      <c r="G3293" s="5"/>
    </row>
    <row r="3294" spans="1:7" ht="58.5" customHeight="1" x14ac:dyDescent="0.25">
      <c r="A3294" s="5" t="str">
        <f>"H0012362"</f>
        <v>H0012362</v>
      </c>
      <c r="B3294" s="5" t="str">
        <f>"MESA DE MAYO"</f>
        <v>MESA DE MAYO</v>
      </c>
      <c r="C3294" s="6">
        <v>191400</v>
      </c>
      <c r="D3294" s="5"/>
      <c r="E3294" s="5" t="str">
        <f t="shared" si="159"/>
        <v>QUIROFANO -MARIA DEL PILAR MEDINA</v>
      </c>
      <c r="F3294" s="5" t="str">
        <f>"Descripcion: MESA DE MAYO Estado: Bueno Placa anterior: 000033244 Material: METAL Y BANDEJA EN ACERO Color: BEIGE Y PLATEADO Referencia:  Observacion:  Placa padre: Tipo adquisicion: Entidad"</f>
        <v>Descripcion: MESA DE MAYO Estado: Bueno Placa anterior: 000033244 Material: METAL Y BANDEJA EN ACERO Color: BEIGE Y PLATEADO Referencia:  Observacion:  Placa padre: Tipo adquisicion: Entidad</v>
      </c>
      <c r="G3294" s="5"/>
    </row>
    <row r="3295" spans="1:7" ht="58.5" customHeight="1" x14ac:dyDescent="0.25">
      <c r="A3295" s="5" t="str">
        <f>"H0012363"</f>
        <v>H0012363</v>
      </c>
      <c r="B3295" s="5" t="str">
        <f>"ESCALERILLA DE 2 PASOS"</f>
        <v>ESCALERILLA DE 2 PASOS</v>
      </c>
      <c r="C3295" s="6">
        <v>5600</v>
      </c>
      <c r="D3295" s="5"/>
      <c r="E3295" s="5" t="str">
        <f t="shared" si="159"/>
        <v>QUIROFANO -MARIA DEL PILAR MEDINA</v>
      </c>
      <c r="F3295" s="5" t="str">
        <f>"Descripcion: ESCALERILLA DE 2 PASOS Estado: Bueno Placa anterior: 000027726 Material: METAL Y MADERA Color: GRIS Y NEGRO Referencia:  Observacion:  Placa padre: Tipo adquisicion: Entidad"</f>
        <v>Descripcion: ESCALERILLA DE 2 PASOS Estado: Bueno Placa anterior: 000027726 Material: METAL Y MADERA Color: GRIS Y NEGRO Referencia:  Observacion:  Placa padre: Tipo adquisicion: Entidad</v>
      </c>
      <c r="G3295" s="5"/>
    </row>
    <row r="3296" spans="1:7" ht="58.5" customHeight="1" x14ac:dyDescent="0.25">
      <c r="A3296" s="5" t="str">
        <f>"H0012364"</f>
        <v>H0012364</v>
      </c>
      <c r="B3296" s="5" t="str">
        <f>"MESA METALICA"</f>
        <v>MESA METALICA</v>
      </c>
      <c r="C3296" s="6">
        <v>11987.44</v>
      </c>
      <c r="D3296" s="5"/>
      <c r="E3296" s="5" t="str">
        <f t="shared" ref="E3296:E3359" si="160">"QUIROFANO -MARIA DEL PILAR MEDINA"</f>
        <v>QUIROFANO -MARIA DEL PILAR MEDINA</v>
      </c>
      <c r="F3296" s="5" t="str">
        <f>"Descripcion: MESA METALICA Estado: Bueno Placa anterior: 000027654 Material: METAL  Color: PLATEADO Referencia:  Observacion:  Placa padre: Tipo adquisicion: Entidad"</f>
        <v>Descripcion: MESA METALICA Estado: Bueno Placa anterior: 000027654 Material: METAL  Color: PLATEADO Referencia:  Observacion:  Placa padre: Tipo adquisicion: Entidad</v>
      </c>
      <c r="G3296" s="5"/>
    </row>
    <row r="3297" spans="1:7" ht="58.5" customHeight="1" x14ac:dyDescent="0.25">
      <c r="A3297" s="5" t="str">
        <f>"H0012378"</f>
        <v>H0012378</v>
      </c>
      <c r="B3297" s="5" t="str">
        <f>"BUTACO GIRATORIO SIN RUEDAS"</f>
        <v>BUTACO GIRATORIO SIN RUEDAS</v>
      </c>
      <c r="C3297" s="6">
        <v>6930</v>
      </c>
      <c r="D3297" s="5"/>
      <c r="E3297" s="5" t="str">
        <f t="shared" si="160"/>
        <v>QUIROFANO -MARIA DEL PILAR MEDINA</v>
      </c>
      <c r="F3297" s="5" t="str">
        <f>"Descripcion: BUTACO GIRATORIO SIN ESPALDAR Estado: Regular Placa anterior: 000016749 Material: ASIENTO ROTO  Color: METAL Y CUERINA Referencia:  Observacion:  Placa padre: Tipo adquisicion: Entidad"</f>
        <v>Descripcion: BUTACO GIRATORIO SIN ESPALDAR Estado: Regular Placa anterior: 000016749 Material: ASIENTO ROTO  Color: METAL Y CUERINA Referencia:  Observacion:  Placa padre: Tipo adquisicion: Entidad</v>
      </c>
      <c r="G3297" s="5"/>
    </row>
    <row r="3298" spans="1:7" ht="58.5" customHeight="1" x14ac:dyDescent="0.25">
      <c r="A3298" s="5" t="str">
        <f>"H0012381"</f>
        <v>H0012381</v>
      </c>
      <c r="B3298" s="5" t="str">
        <f>"MESA (CARRO) DE CURACIONES"</f>
        <v>MESA (CARRO) DE CURACIONES</v>
      </c>
      <c r="C3298" s="6">
        <v>37276</v>
      </c>
      <c r="D3298" s="5"/>
      <c r="E3298" s="5" t="str">
        <f t="shared" si="160"/>
        <v>QUIROFANO -MARIA DEL PILAR MEDINA</v>
      </c>
      <c r="F3298" s="5" t="str">
        <f>"Descripcion: MESA (CARRILTO AUXILIAR Estado: Bueno Placa anterior: 000027669 Material: ACERO INOX. Color: BEIGE Referencia:  Observacion: FUNCIONARIO AUTORIZA SE CONCILIE CON PLACA 000027669 Placa padre: Tipo adquisicion: Entidad"</f>
        <v>Descripcion: MESA (CARRILTO AUXILIAR Estado: Bueno Placa anterior: 000027669 Material: ACERO INOX. Color: BEIGE Referencia:  Observacion: FUNCIONARIO AUTORIZA SE CONCILIE CON PLACA 000027669 Placa padre: Tipo adquisicion: Entidad</v>
      </c>
      <c r="G3298" s="5"/>
    </row>
    <row r="3299" spans="1:7" ht="58.5" customHeight="1" x14ac:dyDescent="0.25">
      <c r="A3299" s="5" t="str">
        <f>"H0012382"</f>
        <v>H0012382</v>
      </c>
      <c r="B3299" s="5" t="str">
        <f>"POTE (TARRO) ACERO INXODABLE CON TAPA GRANDE"</f>
        <v>POTE (TARRO) ACERO INXODABLE CON TAPA GRANDE</v>
      </c>
      <c r="C3299" s="6">
        <v>3870.05</v>
      </c>
      <c r="D3299" s="5"/>
      <c r="E3299" s="5" t="str">
        <f t="shared" si="160"/>
        <v>QUIROFANO -MARIA DEL PILAR MEDINA</v>
      </c>
      <c r="F3299" s="5" t="str">
        <f>"Descripcion: POTE EN ACERO MEDIANO CON TAPA Estado: Bueno Placa anterior: 000004202 Material: ACERO INOX. Color: GRIS Referencia:  Observacion:  Placa padre: Tipo adquisicion: Entidad"</f>
        <v>Descripcion: POTE EN ACERO MEDIANO CON TAPA Estado: Bueno Placa anterior: 000004202 Material: ACERO INOX. Color: GRIS Referencia:  Observacion:  Placa padre: Tipo adquisicion: Entidad</v>
      </c>
      <c r="G3299" s="5"/>
    </row>
    <row r="3300" spans="1:7" ht="58.5" customHeight="1" x14ac:dyDescent="0.25">
      <c r="A3300" s="5" t="str">
        <f>"H0012383"</f>
        <v>H0012383</v>
      </c>
      <c r="B3300" s="5" t="str">
        <f>"POTE (TARRO) ACERO INXODABLE CON TAPA GRANDE"</f>
        <v>POTE (TARRO) ACERO INXODABLE CON TAPA GRANDE</v>
      </c>
      <c r="C3300" s="6">
        <v>5547.87</v>
      </c>
      <c r="D3300" s="5"/>
      <c r="E3300" s="5" t="str">
        <f t="shared" si="160"/>
        <v>QUIROFANO -MARIA DEL PILAR MEDINA</v>
      </c>
      <c r="F3300" s="5" t="str">
        <f>"Descripcion: POTE EN ACERO MEDIANO CON TAPA Estado: Bueno Placa anterior: 000019476 Material: ACERO INOX. Color: GRIS Referencia:  Observacion:  Placa padre: Tipo adquisicion: Entidad"</f>
        <v>Descripcion: POTE EN ACERO MEDIANO CON TAPA Estado: Bueno Placa anterior: 000019476 Material: ACERO INOX. Color: GRIS Referencia:  Observacion:  Placa padre: Tipo adquisicion: Entidad</v>
      </c>
      <c r="G3300" s="5"/>
    </row>
    <row r="3301" spans="1:7" ht="58.5" customHeight="1" x14ac:dyDescent="0.25">
      <c r="A3301" s="5" t="str">
        <f>"H0012384"</f>
        <v>H0012384</v>
      </c>
      <c r="B3301" s="5" t="str">
        <f>"LAMPARA CIELITICA"</f>
        <v>LAMPARA CIELITICA</v>
      </c>
      <c r="C3301" s="6">
        <v>44999999</v>
      </c>
      <c r="D3301" s="5" t="s">
        <v>63</v>
      </c>
      <c r="E3301" s="5" t="str">
        <f t="shared" si="160"/>
        <v>QUIROFANO -MARIA DEL PILAR MEDINA</v>
      </c>
      <c r="F3301" s="5" t="str">
        <f>"Descripcion: CAMARA CIELIPTICA Estado: Bueno Placa anterior: 000037992 Material: METAL Color: BEIGE Y AZUL Referencia:  Observacion: AUTORIZADO CONCILIAR EN CRUCE GENERAL Placa padre: Tipo adquisicion: Entidad"</f>
        <v>Descripcion: CAMARA CIELIPTICA Estado: Bueno Placa anterior: 000037992 Material: METAL Color: BEIGE Y AZUL Referencia:  Observacion: AUTORIZADO CONCILIAR EN CRUCE GENERAL Placa padre: Tipo adquisicion: Entidad</v>
      </c>
      <c r="G3301" s="5"/>
    </row>
    <row r="3302" spans="1:7" ht="58.5" customHeight="1" x14ac:dyDescent="0.25">
      <c r="A3302" s="5" t="str">
        <f>"H0012387"</f>
        <v>H0012387</v>
      </c>
      <c r="B3302" s="5" t="str">
        <f>"ATRIL PORTASUERO MOVIL"</f>
        <v>ATRIL PORTASUERO MOVIL</v>
      </c>
      <c r="C3302" s="6">
        <v>210000</v>
      </c>
      <c r="D3302" s="5" t="s">
        <v>50</v>
      </c>
      <c r="E3302" s="5" t="str">
        <f t="shared" si="160"/>
        <v>QUIROFANO -MARIA DEL PILAR MEDINA</v>
      </c>
      <c r="F3302" s="5" t="str">
        <f>"Descripcion: ATRIL EN ACERO INOXIDABLE QUIRURGICO ANTIMAGNETICO Estado: Bueno Placa anterior: 000029696 Material: ACERO INOC. Color: PLATEADO Referencia:  Observacion:  Placa padre: Tipo adquisicion: Entidad"</f>
        <v>Descripcion: ATRIL EN ACERO INOXIDABLE QUIRURGICO ANTIMAGNETICO Estado: Bueno Placa anterior: 000029696 Material: ACERO INOC. Color: PLATEADO Referencia:  Observacion:  Placa padre: Tipo adquisicion: Entidad</v>
      </c>
      <c r="G3302" s="5"/>
    </row>
    <row r="3303" spans="1:7" ht="58.5" customHeight="1" x14ac:dyDescent="0.25">
      <c r="A3303" s="5" t="str">
        <f>"H0012408"</f>
        <v>H0012408</v>
      </c>
      <c r="B3303" s="5" t="str">
        <f>"ATRIL PORTASUERO MOVIL"</f>
        <v>ATRIL PORTASUERO MOVIL</v>
      </c>
      <c r="C3303" s="6">
        <v>145000</v>
      </c>
      <c r="D3303" s="5" t="s">
        <v>166</v>
      </c>
      <c r="E3303" s="5" t="str">
        <f t="shared" si="160"/>
        <v>QUIROFANO -MARIA DEL PILAR MEDINA</v>
      </c>
      <c r="F3303" s="5" t="str">
        <f>"Descripcion: ATRIL. Aatril portasuero en pintura electrostatica, debe contar con sistema portasuero minimo para dos bolsas de 50ml con varilla graduable,con rodachines Estado: Bueno Placa anterior: 000031469 Material: ACERO INOX. Color: BEIGE Referencia: "&amp; " Observacion:  Placa padre: Tipo adquisicion: Entidad"</f>
        <v>Descripcion: ATRIL. Aatril portasuero en pintura electrostatica, debe contar con sistema portasuero minimo para dos bolsas de 50ml con varilla graduable,con rodachines Estado: Bueno Placa anterior: 000031469 Material: ACERO INOX. Color: BEIGE Referencia:  Observacion:  Placa padre: Tipo adquisicion: Entidad</v>
      </c>
      <c r="G3303" s="5"/>
    </row>
    <row r="3304" spans="1:7" ht="58.5" customHeight="1" x14ac:dyDescent="0.25">
      <c r="A3304" s="5" t="str">
        <f>"H0012409"</f>
        <v>H0012409</v>
      </c>
      <c r="B3304" s="5" t="str">
        <f>"ATRIL PORTASUERO MOVIL"</f>
        <v>ATRIL PORTASUERO MOVIL</v>
      </c>
      <c r="C3304" s="6">
        <v>145000</v>
      </c>
      <c r="D3304" s="5" t="s">
        <v>166</v>
      </c>
      <c r="E3304" s="5" t="str">
        <f t="shared" si="160"/>
        <v>QUIROFANO -MARIA DEL PILAR MEDINA</v>
      </c>
      <c r="F3304" s="5" t="str">
        <f>"Descripcion: ATRIL. Aatril portasuero en pintura electrostatica, debe contar con sistema portasuero minimo para dos bolsas de 50ml con varilla graduable,con rodachines Estado: Bueno Placa anterior: 000031460 Material: ACERO INOX. Color: BEIGE Referencia: "&amp; " Observacion:  Placa padre: Tipo adquisicion: Entidad"</f>
        <v>Descripcion: ATRIL. Aatril portasuero en pintura electrostatica, debe contar con sistema portasuero minimo para dos bolsas de 50ml con varilla graduable,con rodachines Estado: Bueno Placa anterior: 000031460 Material: ACERO INOX. Color: BEIGE Referencia:  Observacion:  Placa padre: Tipo adquisicion: Entidad</v>
      </c>
      <c r="G3304" s="5" t="str">
        <f>"121-01"</f>
        <v>121-01</v>
      </c>
    </row>
    <row r="3305" spans="1:7" ht="58.5" customHeight="1" x14ac:dyDescent="0.25">
      <c r="A3305" s="5" t="str">
        <f>"H0012411"</f>
        <v>H0012411</v>
      </c>
      <c r="B3305" s="5" t="str">
        <f>"ATRIL PORTASUERO MOVIL"</f>
        <v>ATRIL PORTASUERO MOVIL</v>
      </c>
      <c r="C3305" s="6">
        <v>145000</v>
      </c>
      <c r="D3305" s="5" t="s">
        <v>166</v>
      </c>
      <c r="E3305" s="5" t="str">
        <f t="shared" si="160"/>
        <v>QUIROFANO -MARIA DEL PILAR MEDINA</v>
      </c>
      <c r="F3305" s="5" t="str">
        <f>"Descripcion: ATRIL. Aatril portasuero en pintura electrostatica, debe contar con sistema portasuero minimo para dos bolsas de 50ml con varilla graduable,con rodachines Estado: Bueno Placa anterior: 000031465 Material: ACERO INOX.  Color: BEIGE Referencia:"&amp; "  Observacion:  Placa padre: Tipo adquisicion: Entidad"</f>
        <v>Descripcion: ATRIL. Aatril portasuero en pintura electrostatica, debe contar con sistema portasuero minimo para dos bolsas de 50ml con varilla graduable,con rodachines Estado: Bueno Placa anterior: 000031465 Material: ACERO INOX.  Color: BEIGE Referencia:  Observacion:  Placa padre: Tipo adquisicion: Entidad</v>
      </c>
      <c r="G3305" s="5" t="str">
        <f>"121-01"</f>
        <v>121-01</v>
      </c>
    </row>
    <row r="3306" spans="1:7" ht="58.5" customHeight="1" x14ac:dyDescent="0.25">
      <c r="A3306" s="5" t="str">
        <f>"H0012412"</f>
        <v>H0012412</v>
      </c>
      <c r="B3306" s="5" t="str">
        <f>"ATRIL PORTASUERO MOVIL"</f>
        <v>ATRIL PORTASUERO MOVIL</v>
      </c>
      <c r="C3306" s="6">
        <v>145000</v>
      </c>
      <c r="D3306" s="5" t="s">
        <v>166</v>
      </c>
      <c r="E3306" s="5" t="str">
        <f t="shared" si="160"/>
        <v>QUIROFANO -MARIA DEL PILAR MEDINA</v>
      </c>
      <c r="F3306" s="5" t="str">
        <f>"Descripcion: ATRIL. Aatril portasuero en pintura electrostatica, debe contar con sistema portasuero minimo para dos bolsas de 50ml con varilla graduable,con rodachines Estado: Bueno Placa anterior: 000031430 Material: ACERO INOX. Color: BEIGE Referencia: "&amp; " Observacion:  Placa padre: Tipo adquisicion: Entidad"</f>
        <v>Descripcion: ATRIL. Aatril portasuero en pintura electrostatica, debe contar con sistema portasuero minimo para dos bolsas de 50ml con varilla graduable,con rodachines Estado: Bueno Placa anterior: 000031430 Material: ACERO INOX. Color: BEIGE Referencia:  Observacion:  Placa padre: Tipo adquisicion: Entidad</v>
      </c>
      <c r="G3306" s="5" t="str">
        <f>"121-01"</f>
        <v>121-01</v>
      </c>
    </row>
    <row r="3307" spans="1:7" ht="58.5" customHeight="1" x14ac:dyDescent="0.25">
      <c r="A3307" s="5" t="str">
        <f>"H0012417"</f>
        <v>H0012417</v>
      </c>
      <c r="B3307" s="5" t="str">
        <f>"VENTILADOR DE PARED"</f>
        <v>VENTILADOR DE PARED</v>
      </c>
      <c r="C3307" s="6">
        <v>10356.5</v>
      </c>
      <c r="D3307" s="5"/>
      <c r="E3307" s="5" t="str">
        <f t="shared" si="160"/>
        <v>QUIROFANO -MARIA DEL PILAR MEDINA</v>
      </c>
      <c r="F3307" s="5" t="str">
        <f>"Descripcion: VENTILADOR DE PARED CORPISAN Estado: Malo Placa anterior: 000000327 Material: METAL Y PASTA Color: MARRON Referencia:  Observacion:  Placa padre: Tipo adquisicion: Entidad"</f>
        <v>Descripcion: VENTILADOR DE PARED CORPISAN Estado: Malo Placa anterior: 000000327 Material: METAL Y PASTA Color: MARRON Referencia:  Observacion:  Placa padre: Tipo adquisicion: Entidad</v>
      </c>
      <c r="G3307" s="5"/>
    </row>
    <row r="3308" spans="1:7" ht="58.5" customHeight="1" x14ac:dyDescent="0.25">
      <c r="A3308" s="5" t="str">
        <f>"H0012418"</f>
        <v>H0012418</v>
      </c>
      <c r="B3308" s="5" t="str">
        <f>"MICROSCOPIO QUIRURGICO"</f>
        <v>MICROSCOPIO QUIRURGICO</v>
      </c>
      <c r="C3308" s="6">
        <v>32480000</v>
      </c>
      <c r="D3308" s="5"/>
      <c r="E3308" s="5" t="str">
        <f t="shared" si="160"/>
        <v>QUIROFANO -MARIA DEL PILAR MEDINA</v>
      </c>
      <c r="F3308" s="5" t="str">
        <f>"Descripcion: MICROSCOPIO OPERACIONAL Estado: Regular Placa anterior:  Material: METAL Color: BEIGE Referencia:  Observacion:  Placa padre: Tipo adquisicion: Entidad"</f>
        <v>Descripcion: MICROSCOPIO OPERACIONAL Estado: Regular Placa anterior:  Material: METAL Color: BEIGE Referencia:  Observacion:  Placa padre: Tipo adquisicion: Entidad</v>
      </c>
      <c r="G3308" s="5"/>
    </row>
    <row r="3309" spans="1:7" ht="58.5" customHeight="1" x14ac:dyDescent="0.25">
      <c r="A3309" s="5" t="str">
        <f>"H0012420"</f>
        <v>H0012420</v>
      </c>
      <c r="B3309" s="5" t="str">
        <f>"ESCRITORIO DE MADERA 3 GAVETAS"</f>
        <v>ESCRITORIO DE MADERA 3 GAVETAS</v>
      </c>
      <c r="C3309" s="6">
        <v>16397.66</v>
      </c>
      <c r="D3309" s="5"/>
      <c r="E3309" s="5" t="str">
        <f t="shared" si="160"/>
        <v>QUIROFANO -MARIA DEL PILAR MEDINA</v>
      </c>
      <c r="F3309" s="5" t="str">
        <f>"Descripcion: ESCRITORIO DE 3 GAVETAS Estado: Bueno Placa anterior: 000015318 Material: METAL Y FORMICA Color: GRIS Y MADERA Referencia:  Observacion: EL BIEN TIENE PLACA 000015318 FUNCIONARIO AUTORIZA SE CONCILIE CON PLACA 000015318 Placa padre: Tipo adqu"&amp; "isicion: Entidad"</f>
        <v>Descripcion: ESCRITORIO DE 3 GAVETAS Estado: Bueno Placa anterior: 000015318 Material: METAL Y FORMICA Color: GRIS Y MADERA Referencia:  Observacion: EL BIEN TIENE PLACA 000015318 FUNCIONARIO AUTORIZA SE CONCILIE CON PLACA 000015318 Placa padre: Tipo adquisicion: Entidad</v>
      </c>
      <c r="G3309" s="5"/>
    </row>
    <row r="3310" spans="1:7" ht="58.5" customHeight="1" x14ac:dyDescent="0.25">
      <c r="A3310" s="5" t="str">
        <f>"H0012422"</f>
        <v>H0012422</v>
      </c>
      <c r="B3310" s="5" t="str">
        <f>"ESTANTE METALICO 6 ENTREPAÑOS"</f>
        <v>ESTANTE METALICO 6 ENTREPAÑOS</v>
      </c>
      <c r="C3310" s="6">
        <v>5527.03</v>
      </c>
      <c r="D3310" s="5"/>
      <c r="E3310" s="5" t="str">
        <f t="shared" si="160"/>
        <v>QUIROFANO -MARIA DEL PILAR MEDINA</v>
      </c>
      <c r="F3310" s="5" t="str">
        <f>"Descripcion: ESTANTE METALICO 6 ENTREPAÑOS Estado: Bueno Placa anterior: 000028157 Material: METAL Color: GRIS Referencia:  Observacion: EL BIEN TIENE PLACA ANTERIOR 000009542 AUTORIZADO CONCILIAR EN CRUCE GENERAL Placa padre: Tipo adquisicion: Entidad"</f>
        <v>Descripcion: ESTANTE METALICO 6 ENTREPAÑOS Estado: Bueno Placa anterior: 000028157 Material: METAL Color: GRIS Referencia:  Observacion: EL BIEN TIENE PLACA ANTERIOR 000009542 AUTORIZADO CONCILIAR EN CRUCE GENERAL Placa padre: Tipo adquisicion: Entidad</v>
      </c>
      <c r="G3310" s="5"/>
    </row>
    <row r="3311" spans="1:7" ht="58.5" customHeight="1" x14ac:dyDescent="0.25">
      <c r="A3311" s="5" t="str">
        <f>"H0012424"</f>
        <v>H0012424</v>
      </c>
      <c r="B3311" s="5" t="str">
        <f>"LAVAMANOS QUIRURGICO 2 PUESTOS"</f>
        <v>LAVAMANOS QUIRURGICO 2 PUESTOS</v>
      </c>
      <c r="C3311" s="6">
        <v>100000</v>
      </c>
      <c r="D3311" s="5"/>
      <c r="E3311" s="5" t="str">
        <f t="shared" si="160"/>
        <v>QUIROFANO -MARIA DEL PILAR MEDINA</v>
      </c>
      <c r="F3311" s="5" t="str">
        <f>"Descripcion: LAVAMANOS QUIRURGICOS DOBLE Estado: Bueno Placa anterior: 000027644 Material: ACERO INOX. Color: PLATEADO Referencia:  Observacion:  Placa padre: Tipo adquisicion: Entidad"</f>
        <v>Descripcion: LAVAMANOS QUIRURGICOS DOBLE Estado: Bueno Placa anterior: 000027644 Material: ACERO INOX. Color: PLATEADO Referencia:  Observacion:  Placa padre: Tipo adquisicion: Entidad</v>
      </c>
      <c r="G3311" s="5"/>
    </row>
    <row r="3312" spans="1:7" ht="58.5" customHeight="1" x14ac:dyDescent="0.25">
      <c r="A3312" s="5" t="str">
        <f>"H0012429"</f>
        <v>H0012429</v>
      </c>
      <c r="B3312" s="5" t="str">
        <f>"PATO (COPROLOGICO) MUJER"</f>
        <v>PATO (COPROLOGICO) MUJER</v>
      </c>
      <c r="C3312" s="6">
        <v>13418.21</v>
      </c>
      <c r="D3312" s="5"/>
      <c r="E3312" s="5" t="str">
        <f t="shared" si="160"/>
        <v>QUIROFANO -MARIA DEL PILAR MEDINA</v>
      </c>
      <c r="F3312" s="5" t="str">
        <f>"Descripcion: PATO COPROLOGICO Estado: Bueno Placa anterior: 000018902 Material: ACERO INOXIDABLE Color: PLATEADO Referencia:  Observacion:  Placa padre: Tipo adquisicion: Entidad"</f>
        <v>Descripcion: PATO COPROLOGICO Estado: Bueno Placa anterior: 000018902 Material: ACERO INOXIDABLE Color: PLATEADO Referencia:  Observacion:  Placa padre: Tipo adquisicion: Entidad</v>
      </c>
      <c r="G3312" s="5"/>
    </row>
    <row r="3313" spans="1:7" ht="58.5" customHeight="1" x14ac:dyDescent="0.25">
      <c r="A3313" s="5" t="str">
        <f>"H0012430"</f>
        <v>H0012430</v>
      </c>
      <c r="B3313" s="5" t="str">
        <f>"PATO (COPROLOGICO) MUJER"</f>
        <v>PATO (COPROLOGICO) MUJER</v>
      </c>
      <c r="C3313" s="6">
        <v>13418.21</v>
      </c>
      <c r="D3313" s="5"/>
      <c r="E3313" s="5" t="str">
        <f t="shared" si="160"/>
        <v>QUIROFANO -MARIA DEL PILAR MEDINA</v>
      </c>
      <c r="F3313" s="5" t="str">
        <f>"Descripcion: PATO COPROLOGICO Estado: Bueno Placa anterior: 000018903 Material: ACERO INOXIDABLE Color: PLATEADO Referencia:  Observacion:  Placa padre: Tipo adquisicion: Entidad"</f>
        <v>Descripcion: PATO COPROLOGICO Estado: Bueno Placa anterior: 000018903 Material: ACERO INOXIDABLE Color: PLATEADO Referencia:  Observacion:  Placa padre: Tipo adquisicion: Entidad</v>
      </c>
      <c r="G3313" s="5"/>
    </row>
    <row r="3314" spans="1:7" ht="58.5" customHeight="1" x14ac:dyDescent="0.25">
      <c r="A3314" s="5" t="str">
        <f>"H0012431"</f>
        <v>H0012431</v>
      </c>
      <c r="B3314" s="5" t="str">
        <f>"PATO (COPROLOGICO) MUJER"</f>
        <v>PATO (COPROLOGICO) MUJER</v>
      </c>
      <c r="C3314" s="6">
        <v>13418.21</v>
      </c>
      <c r="D3314" s="5"/>
      <c r="E3314" s="5" t="str">
        <f t="shared" si="160"/>
        <v>QUIROFANO -MARIA DEL PILAR MEDINA</v>
      </c>
      <c r="F3314" s="5" t="str">
        <f>"Descripcion: PATO COPROLOGICO Estado: Bueno Placa anterior: 000018904 Material: ACERO INOXIDABLE Color: PLATEADO Referencia:  Observacion:  Placa padre: Tipo adquisicion: Entidad"</f>
        <v>Descripcion: PATO COPROLOGICO Estado: Bueno Placa anterior: 000018904 Material: ACERO INOXIDABLE Color: PLATEADO Referencia:  Observacion:  Placa padre: Tipo adquisicion: Entidad</v>
      </c>
      <c r="G3314" s="5"/>
    </row>
    <row r="3315" spans="1:7" ht="58.5" customHeight="1" x14ac:dyDescent="0.25">
      <c r="A3315" s="5" t="str">
        <f>"H0012433"</f>
        <v>H0012433</v>
      </c>
      <c r="B3315" s="5" t="str">
        <f>"MESA METALICA AUXILIAR"</f>
        <v>MESA METALICA AUXILIAR</v>
      </c>
      <c r="C3315" s="6">
        <v>1938116.78</v>
      </c>
      <c r="D3315" s="5"/>
      <c r="E3315" s="5" t="str">
        <f t="shared" si="160"/>
        <v>QUIROFANO -MARIA DEL PILAR MEDINA</v>
      </c>
      <c r="F3315" s="5" t="str">
        <f>"Descripcion: MESA METALICA AUXILIAR Estado: Bueno Placa anterior: 000000055 Material: METAL Color: BEIGE Referencia:  Observacion: 2 NIVELES  Placa padre: Tipo adquisicion: Entidad"</f>
        <v>Descripcion: MESA METALICA AUXILIAR Estado: Bueno Placa anterior: 000000055 Material: METAL Color: BEIGE Referencia:  Observacion: 2 NIVELES  Placa padre: Tipo adquisicion: Entidad</v>
      </c>
      <c r="G3315" s="5"/>
    </row>
    <row r="3316" spans="1:7" ht="58.5" customHeight="1" x14ac:dyDescent="0.25">
      <c r="A3316" s="5" t="str">
        <f>"H0012435"</f>
        <v>H0012435</v>
      </c>
      <c r="B3316" s="5" t="str">
        <f>"SILLA DE RUEDAS"</f>
        <v>SILLA DE RUEDAS</v>
      </c>
      <c r="C3316" s="6">
        <v>650000</v>
      </c>
      <c r="D3316" s="5"/>
      <c r="E3316" s="5" t="str">
        <f t="shared" si="160"/>
        <v>QUIROFANO -MARIA DEL PILAR MEDINA</v>
      </c>
      <c r="F3316" s="5" t="str">
        <f>"Descripcion: SILLA DE RUEDA  Estado: Bueno Placa anterior: 000026215 Material: METAL Y TELA  Color: AZUL Y NEGRO Referencia:  Observacion:  Placa padre: Tipo adquisicion: Entidad"</f>
        <v>Descripcion: SILLA DE RUEDA  Estado: Bueno Placa anterior: 000026215 Material: METAL Y TELA  Color: AZUL Y NEGRO Referencia:  Observacion:  Placa padre: Tipo adquisicion: Entidad</v>
      </c>
      <c r="G3316" s="5"/>
    </row>
    <row r="3317" spans="1:7" ht="58.5" customHeight="1" x14ac:dyDescent="0.25">
      <c r="A3317" s="5" t="str">
        <f>"H0012436"</f>
        <v>H0012436</v>
      </c>
      <c r="B3317" s="5" t="str">
        <f>"SILLA DE RUEDAS"</f>
        <v>SILLA DE RUEDAS</v>
      </c>
      <c r="C3317" s="6">
        <v>650000</v>
      </c>
      <c r="D3317" s="5"/>
      <c r="E3317" s="5" t="str">
        <f t="shared" si="160"/>
        <v>QUIROFANO -MARIA DEL PILAR MEDINA</v>
      </c>
      <c r="F3317" s="5" t="str">
        <f>"Descripcion: SILLA DE RUEDA  Estado: Bueno Placa anterior: 000026216 Material: ACERO Y CUERINA Color: PLATEADO Y NEGRO Referencia:  Observacion:  Placa padre: Tipo adquisicion: Entidad"</f>
        <v>Descripcion: SILLA DE RUEDA  Estado: Bueno Placa anterior: 000026216 Material: ACERO Y CUERINA Color: PLATEADO Y NEGRO Referencia:  Observacion:  Placa padre: Tipo adquisicion: Entidad</v>
      </c>
      <c r="G3317" s="5"/>
    </row>
    <row r="3318" spans="1:7" ht="58.5" customHeight="1" x14ac:dyDescent="0.25">
      <c r="A3318" s="5" t="str">
        <f>"H0012437"</f>
        <v>H0012437</v>
      </c>
      <c r="B3318" s="5" t="str">
        <f>"SILLA DE RUEDAS"</f>
        <v>SILLA DE RUEDAS</v>
      </c>
      <c r="C3318" s="6">
        <v>650000</v>
      </c>
      <c r="D3318" s="5"/>
      <c r="E3318" s="5" t="str">
        <f t="shared" si="160"/>
        <v>QUIROFANO -MARIA DEL PILAR MEDINA</v>
      </c>
      <c r="F3318" s="5" t="str">
        <f>"Descripcion: SILLA DE RUEDA  Estado: Bueno Placa anterior: 000028723 Material: ACERO Y CUERINA Color: PLATEADO Y AZUL Referencia:  Observacion:  Placa padre: Tipo adquisicion: Entidad"</f>
        <v>Descripcion: SILLA DE RUEDA  Estado: Bueno Placa anterior: 000028723 Material: ACERO Y CUERINA Color: PLATEADO Y AZUL Referencia:  Observacion:  Placa padre: Tipo adquisicion: Entidad</v>
      </c>
      <c r="G3318" s="5"/>
    </row>
    <row r="3319" spans="1:7" ht="58.5" customHeight="1" x14ac:dyDescent="0.25">
      <c r="A3319" s="5" t="str">
        <f>"H0012440"</f>
        <v>H0012440</v>
      </c>
      <c r="B3319" s="5" t="str">
        <f>"CUNA RECIEN NACIDO CON COLCHONETA"</f>
        <v>CUNA RECIEN NACIDO CON COLCHONETA</v>
      </c>
      <c r="C3319" s="6">
        <v>1100000</v>
      </c>
      <c r="D3319" s="5"/>
      <c r="E3319" s="5" t="str">
        <f t="shared" si="160"/>
        <v>QUIROFANO -MARIA DEL PILAR MEDINA</v>
      </c>
      <c r="F3319" s="5" t="str">
        <f>"Descripcion: CUNA RECIEN NACIDO CON COLCHONETA Estado: Bueno Placa anterior: 000028801 Material: BASE EN METAL Y PASTA,  CUNA EN VIDRIO Color: PLATEADO Y BEIGE Referencia:  Observacion:  Placa padre: Tipo adquisicion: Entidad"</f>
        <v>Descripcion: CUNA RECIEN NACIDO CON COLCHONETA Estado: Bueno Placa anterior: 000028801 Material: BASE EN METAL Y PASTA,  CUNA EN VIDRIO Color: PLATEADO Y BEIGE Referencia:  Observacion:  Placa padre: Tipo adquisicion: Entidad</v>
      </c>
      <c r="G3319" s="5"/>
    </row>
    <row r="3320" spans="1:7" ht="58.5" customHeight="1" x14ac:dyDescent="0.25">
      <c r="A3320" s="5" t="str">
        <f>"H0012446"</f>
        <v>H0012446</v>
      </c>
      <c r="B3320" s="5" t="str">
        <f>"LAVAMANOS QUIRURGICO 2 PUESTOS"</f>
        <v>LAVAMANOS QUIRURGICO 2 PUESTOS</v>
      </c>
      <c r="C3320" s="6">
        <v>100000</v>
      </c>
      <c r="D3320" s="5"/>
      <c r="E3320" s="5" t="str">
        <f t="shared" si="160"/>
        <v>QUIROFANO -MARIA DEL PILAR MEDINA</v>
      </c>
      <c r="F3320" s="5" t="str">
        <f>"Descripcion: LAVAMANOS QUIRURGICOS DOBLE Estado: Bueno Placa anterior: 000027672 Material: ACERO INOX. Color: PLATEADO Referencia:  Observacion: UN SOLO PUESTO Placa padre: Tipo adquisicion: Entidad"</f>
        <v>Descripcion: LAVAMANOS QUIRURGICOS DOBLE Estado: Bueno Placa anterior: 000027672 Material: ACERO INOX. Color: PLATEADO Referencia:  Observacion: UN SOLO PUESTO Placa padre: Tipo adquisicion: Entidad</v>
      </c>
      <c r="G3320" s="5"/>
    </row>
    <row r="3321" spans="1:7" ht="58.5" customHeight="1" x14ac:dyDescent="0.25">
      <c r="A3321" s="5" t="str">
        <f>"H0012447"</f>
        <v>H0012447</v>
      </c>
      <c r="B3321" s="5" t="str">
        <f>"CARRO CIRCULAR TRANSPORTE DE BOLSAS"</f>
        <v>CARRO CIRCULAR TRANSPORTE DE BOLSAS</v>
      </c>
      <c r="C3321" s="6">
        <v>7890</v>
      </c>
      <c r="D3321" s="5"/>
      <c r="E3321" s="5" t="str">
        <f t="shared" si="160"/>
        <v>QUIROFANO -MARIA DEL PILAR MEDINA</v>
      </c>
      <c r="F3321" s="5" t="str">
        <f>"Descripcion: CARRO TRANSPORTADOR ROPA SUCIA Estado: Bueno Placa anterior: 000027698 Material: METAL Color: BEIGE Referencia:  Observacion: FUNCIONARIO AUTORIZA SE CONCILIE CON PLACA  000027698 Placa padre: Tipo adquisicion: Entidad"</f>
        <v>Descripcion: CARRO TRANSPORTADOR ROPA SUCIA Estado: Bueno Placa anterior: 000027698 Material: METAL Color: BEIGE Referencia:  Observacion: FUNCIONARIO AUTORIZA SE CONCILIE CON PLACA  000027698 Placa padre: Tipo adquisicion: Entidad</v>
      </c>
      <c r="G3321" s="5"/>
    </row>
    <row r="3322" spans="1:7" ht="58.5" customHeight="1" x14ac:dyDescent="0.25">
      <c r="A3322" s="5" t="str">
        <f>"H0012450"</f>
        <v>H0012450</v>
      </c>
      <c r="B3322" s="5" t="str">
        <f>"CARRO CIRCULAR TRANSPORTE DE BOLSAS"</f>
        <v>CARRO CIRCULAR TRANSPORTE DE BOLSAS</v>
      </c>
      <c r="C3322" s="6">
        <v>7890</v>
      </c>
      <c r="D3322" s="5"/>
      <c r="E3322" s="5" t="str">
        <f t="shared" si="160"/>
        <v>QUIROFANO -MARIA DEL PILAR MEDINA</v>
      </c>
      <c r="F3322" s="5" t="str">
        <f>"Descripcion: CARRO TRANSPORTADOR ROPA SUCIA Estado: Bueno Placa anterior: 000027640 Material: METAL Color: BEIGE Referencia:  Observacion: FUNCIONARIO AUTORIZA SE CONCILIE CON PLACA  000027640 Placa padre: Tipo adquisicion: Entidad"</f>
        <v>Descripcion: CARRO TRANSPORTADOR ROPA SUCIA Estado: Bueno Placa anterior: 000027640 Material: METAL Color: BEIGE Referencia:  Observacion: FUNCIONARIO AUTORIZA SE CONCILIE CON PLACA  000027640 Placa padre: Tipo adquisicion: Entidad</v>
      </c>
      <c r="G3322" s="5"/>
    </row>
    <row r="3323" spans="1:7" ht="58.5" customHeight="1" x14ac:dyDescent="0.25">
      <c r="A3323" s="5" t="str">
        <f>"H0012452"</f>
        <v>H0012452</v>
      </c>
      <c r="B3323" s="5" t="str">
        <f>"LAVAMANOS QUIRURGICO 2 PUESTOS"</f>
        <v>LAVAMANOS QUIRURGICO 2 PUESTOS</v>
      </c>
      <c r="C3323" s="6">
        <v>100000</v>
      </c>
      <c r="D3323" s="5"/>
      <c r="E3323" s="5" t="str">
        <f t="shared" si="160"/>
        <v>QUIROFANO -MARIA DEL PILAR MEDINA</v>
      </c>
      <c r="F3323" s="5" t="str">
        <f>"Descripcion: LAVAMANOS QUIRURGICOS DOBLE Estado: Bueno Placa anterior: 000027674 Material: ACERO INOX. Color: PLATEADO Referencia:  Observacion:  Placa padre: Tipo adquisicion: Entidad"</f>
        <v>Descripcion: LAVAMANOS QUIRURGICOS DOBLE Estado: Bueno Placa anterior: 000027674 Material: ACERO INOX. Color: PLATEADO Referencia:  Observacion:  Placa padre: Tipo adquisicion: Entidad</v>
      </c>
      <c r="G3323" s="5"/>
    </row>
    <row r="3324" spans="1:7" ht="58.5" customHeight="1" x14ac:dyDescent="0.25">
      <c r="A3324" s="5" t="str">
        <f>"H0012453"</f>
        <v>H0012453</v>
      </c>
      <c r="B3324" s="5" t="str">
        <f>"MESA EN ACERO INOXIDABLE"</f>
        <v>MESA EN ACERO INOXIDABLE</v>
      </c>
      <c r="C3324" s="6">
        <v>980000</v>
      </c>
      <c r="D3324" s="5"/>
      <c r="E3324" s="5" t="str">
        <f t="shared" si="160"/>
        <v>QUIROFANO -MARIA DEL PILAR MEDINA</v>
      </c>
      <c r="F3324" s="5" t="str">
        <f>"Descripcion: MESA DE CIRUGIA PARA MANO Estado: Bueno Placa anterior: 000021843 Material: ACERO INOX. Color: PLATEADO Referencia:  Observacion:  Placa padre: Tipo adquisicion: Entidad"</f>
        <v>Descripcion: MESA DE CIRUGIA PARA MANO Estado: Bueno Placa anterior: 000021843 Material: ACERO INOX. Color: PLATEADO Referencia:  Observacion:  Placa padre: Tipo adquisicion: Entidad</v>
      </c>
      <c r="G3324" s="5"/>
    </row>
    <row r="3325" spans="1:7" ht="58.5" customHeight="1" x14ac:dyDescent="0.25">
      <c r="A3325" s="5" t="str">
        <f>"H0012456"</f>
        <v>H0012456</v>
      </c>
      <c r="B3325" s="5" t="str">
        <f>"MESA EN ACERO INOXIDABLE"</f>
        <v>MESA EN ACERO INOXIDABLE</v>
      </c>
      <c r="C3325" s="6">
        <v>3500</v>
      </c>
      <c r="D3325" s="5"/>
      <c r="E3325" s="5" t="str">
        <f t="shared" si="160"/>
        <v>QUIROFANO -MARIA DEL PILAR MEDINA</v>
      </c>
      <c r="F3325" s="5" t="str">
        <f>"Descripcion: MESA EN ACERO 2 NIVELES Estado: Bueno Placa anterior: 000012590 Material: ACERO INOX. Color: PLATEADO Referencia:  Observacion: EL BIEN TIENE PLACA 000014809 AUTORIZADO CONCILIAR EN CRUCE GENERAL Placa padre: Tipo adquisicion: Entidad"</f>
        <v>Descripcion: MESA EN ACERO 2 NIVELES Estado: Bueno Placa anterior: 000012590 Material: ACERO INOX. Color: PLATEADO Referencia:  Observacion: EL BIEN TIENE PLACA 000014809 AUTORIZADO CONCILIAR EN CRUCE GENERAL Placa padre: Tipo adquisicion: Entidad</v>
      </c>
      <c r="G3325" s="5"/>
    </row>
    <row r="3326" spans="1:7" ht="58.5" customHeight="1" x14ac:dyDescent="0.25">
      <c r="A3326" s="5" t="str">
        <f>"H0012457"</f>
        <v>H0012457</v>
      </c>
      <c r="B3326" s="5" t="str">
        <f>"MESA (CARRO) DE CURACIONES"</f>
        <v>MESA (CARRO) DE CURACIONES</v>
      </c>
      <c r="C3326" s="6">
        <v>37276</v>
      </c>
      <c r="D3326" s="5"/>
      <c r="E3326" s="5" t="str">
        <f t="shared" si="160"/>
        <v>QUIROFANO -MARIA DEL PILAR MEDINA</v>
      </c>
      <c r="F3326" s="5" t="str">
        <f>"Descripcion: MESA AUXILIAR TIPO CARRO C/BARANDAS Y RODACHINES Estado: Bueno Placa anterior: 000027697 Material: METAL Y ACERO Color: BEIGE Y PLATEADO Referencia:  Observacion: EL BIEN YA TIENE PLATA 000027697 Placa padre: Tipo adquisicion: Entidad"</f>
        <v>Descripcion: MESA AUXILIAR TIPO CARRO C/BARANDAS Y RODACHINES Estado: Bueno Placa anterior: 000027697 Material: METAL Y ACERO Color: BEIGE Y PLATEADO Referencia:  Observacion: EL BIEN YA TIENE PLATA 000027697 Placa padre: Tipo adquisicion: Entidad</v>
      </c>
      <c r="G3326" s="5"/>
    </row>
    <row r="3327" spans="1:7" ht="58.5" customHeight="1" x14ac:dyDescent="0.25">
      <c r="A3327" s="5" t="str">
        <f>"H0012459"</f>
        <v>H0012459</v>
      </c>
      <c r="B3327" s="5" t="str">
        <f>"MESA (CARRO) DE CURACIONES"</f>
        <v>MESA (CARRO) DE CURACIONES</v>
      </c>
      <c r="C3327" s="6">
        <v>37276</v>
      </c>
      <c r="D3327" s="5"/>
      <c r="E3327" s="5" t="str">
        <f t="shared" si="160"/>
        <v>QUIROFANO -MARIA DEL PILAR MEDINA</v>
      </c>
      <c r="F3327" s="5" t="str">
        <f>"Descripcion: MESA AUXILIAR TIPO CARRO  CON RODACHINES Estado: Bueno Placa anterior: 000027683 Material: ACERO INOX. Color: PLATEADO Referencia:  Observacion: EL BIEN YA TIENE PLACA 000027697 FUNCIONARIO AUTORIZA SE CONCILIE CON PLACA  000027683 Placa padr"&amp; "e: Tipo adquisicion: Entidad"</f>
        <v>Descripcion: MESA AUXILIAR TIPO CARRO  CON RODACHINES Estado: Bueno Placa anterior: 000027683 Material: ACERO INOX. Color: PLATEADO Referencia:  Observacion: EL BIEN YA TIENE PLACA 000027697 FUNCIONARIO AUTORIZA SE CONCILIE CON PLACA  000027683 Placa padre: Tipo adquisicion: Entidad</v>
      </c>
      <c r="G3327" s="5"/>
    </row>
    <row r="3328" spans="1:7" ht="58.5" customHeight="1" x14ac:dyDescent="0.25">
      <c r="A3328" s="5" t="str">
        <f>"H0012460"</f>
        <v>H0012460</v>
      </c>
      <c r="B3328" s="5" t="str">
        <f>"MESA METALICA AUXILIAR"</f>
        <v>MESA METALICA AUXILIAR</v>
      </c>
      <c r="C3328" s="6">
        <v>11987.44</v>
      </c>
      <c r="D3328" s="5"/>
      <c r="E3328" s="5" t="str">
        <f t="shared" si="160"/>
        <v>QUIROFANO -MARIA DEL PILAR MEDINA</v>
      </c>
      <c r="F3328" s="5" t="str">
        <f>"Descripcion: MESA AUXILIAR METALICA Estado: Bueno Placa anterior: 000015182 Material: ACEFRO INOX. Color: GRIS Referencia:  Observacion:  Placa padre: Tipo adquisicion: Entidad"</f>
        <v>Descripcion: MESA AUXILIAR METALICA Estado: Bueno Placa anterior: 000015182 Material: ACEFRO INOX. Color: GRIS Referencia:  Observacion:  Placa padre: Tipo adquisicion: Entidad</v>
      </c>
      <c r="G3328" s="5"/>
    </row>
    <row r="3329" spans="1:7" ht="58.5" customHeight="1" x14ac:dyDescent="0.25">
      <c r="A3329" s="5" t="str">
        <f>"H0012461"</f>
        <v>H0012461</v>
      </c>
      <c r="B3329" s="5" t="str">
        <f>"MESA (CARRO) DE CURACIONES"</f>
        <v>MESA (CARRO) DE CURACIONES</v>
      </c>
      <c r="C3329" s="6">
        <v>37276</v>
      </c>
      <c r="D3329" s="5"/>
      <c r="E3329" s="5" t="str">
        <f t="shared" si="160"/>
        <v>QUIROFANO -MARIA DEL PILAR MEDINA</v>
      </c>
      <c r="F3329" s="5" t="str">
        <f>"Descripcion: MESA AUXILIAR TIPO CARRO C/BARANDAS Y RODACHINES Estado: Bueno Placa anterior: 000027686 Material: ACERO INOX. Color: BEIGE Referencia:  Observacion: EL BIEN YA TIENE PLACA 000027686 Placa padre: Tipo adquisicion: Entidad"</f>
        <v>Descripcion: MESA AUXILIAR TIPO CARRO C/BARANDAS Y RODACHINES Estado: Bueno Placa anterior: 000027686 Material: ACERO INOX. Color: BEIGE Referencia:  Observacion: EL BIEN YA TIENE PLACA 000027686 Placa padre: Tipo adquisicion: Entidad</v>
      </c>
      <c r="G3329" s="5"/>
    </row>
    <row r="3330" spans="1:7" ht="58.5" customHeight="1" x14ac:dyDescent="0.25">
      <c r="A3330" s="5" t="str">
        <f>"H0012463"</f>
        <v>H0012463</v>
      </c>
      <c r="B3330" s="5" t="str">
        <f>"LAVAMANOS QUIRURGICO 2 PUESTOS"</f>
        <v>LAVAMANOS QUIRURGICO 2 PUESTOS</v>
      </c>
      <c r="C3330" s="6">
        <v>100000</v>
      </c>
      <c r="D3330" s="5"/>
      <c r="E3330" s="5" t="str">
        <f t="shared" si="160"/>
        <v>QUIROFANO -MARIA DEL PILAR MEDINA</v>
      </c>
      <c r="F3330" s="5" t="str">
        <f>"Descripcion: LAVAMANOS QUIRURGICOS DOBLE Estado: Bueno Placa anterior: 000027676 Material: ACERO INOX. Color: PLATEADO Referencia:  Observacion:  Placa padre: Tipo adquisicion: Entidad"</f>
        <v>Descripcion: LAVAMANOS QUIRURGICOS DOBLE Estado: Bueno Placa anterior: 000027676 Material: ACERO INOX. Color: PLATEADO Referencia:  Observacion:  Placa padre: Tipo adquisicion: Entidad</v>
      </c>
      <c r="G3330" s="5"/>
    </row>
    <row r="3331" spans="1:7" ht="58.5" customHeight="1" x14ac:dyDescent="0.25">
      <c r="A3331" s="5" t="str">
        <f>"H0012465"</f>
        <v>H0012465</v>
      </c>
      <c r="B3331" s="5" t="str">
        <f>"LAVAMANOS QUIRURGICO 2 PUESTOS"</f>
        <v>LAVAMANOS QUIRURGICO 2 PUESTOS</v>
      </c>
      <c r="C3331" s="6">
        <v>100000</v>
      </c>
      <c r="D3331" s="5"/>
      <c r="E3331" s="5" t="str">
        <f t="shared" si="160"/>
        <v>QUIROFANO -MARIA DEL PILAR MEDINA</v>
      </c>
      <c r="F3331" s="5" t="str">
        <f>"Descripcion: LAVAMANOS QUIRURGICOS DOBLE Estado: Bueno Placa anterior: 000027677 Material: ACERO INOX. Color: PLATEADO Referencia:  Observacion: EL BIEN TIENE PLACA ANTERIOR   000027677 Placa padre: Tipo adquisicion: Entidad"</f>
        <v>Descripcion: LAVAMANOS QUIRURGICOS DOBLE Estado: Bueno Placa anterior: 000027677 Material: ACERO INOX. Color: PLATEADO Referencia:  Observacion: EL BIEN TIENE PLACA ANTERIOR   000027677 Placa padre: Tipo adquisicion: Entidad</v>
      </c>
      <c r="G3331" s="5"/>
    </row>
    <row r="3332" spans="1:7" ht="58.5" customHeight="1" x14ac:dyDescent="0.25">
      <c r="A3332" s="5" t="str">
        <f>"H0012469"</f>
        <v>H0012469</v>
      </c>
      <c r="B3332" s="5" t="str">
        <f>"CARRO PARA TRANSPORTE BALA DE OXIGENO"</f>
        <v>CARRO PARA TRANSPORTE BALA DE OXIGENO</v>
      </c>
      <c r="C3332" s="6">
        <v>557682</v>
      </c>
      <c r="D3332" s="5" t="s">
        <v>290</v>
      </c>
      <c r="E3332" s="5" t="str">
        <f t="shared" si="160"/>
        <v>QUIROFANO -MARIA DEL PILAR MEDINA</v>
      </c>
      <c r="F3332" s="5" t="str">
        <f>"Descripcion: BASE BALA DE OXIGENO GRANDE Estado: Bueno Placa anterior: 000029539 Material: METAL Color: BEIGE Referencia:  Observacion:  Placa padre: Tipo adquisicion: Entidad"</f>
        <v>Descripcion: BASE BALA DE OXIGENO GRANDE Estado: Bueno Placa anterior: 000029539 Material: METAL Color: BEIGE Referencia:  Observacion:  Placa padre: Tipo adquisicion: Entidad</v>
      </c>
      <c r="G3332" s="5"/>
    </row>
    <row r="3333" spans="1:7" ht="58.5" customHeight="1" x14ac:dyDescent="0.25">
      <c r="A3333" s="5" t="str">
        <f>"H0012470"</f>
        <v>H0012470</v>
      </c>
      <c r="B3333" s="5" t="str">
        <f>"CARRO PARA TRANSPORTE BALA DE OXIGENO"</f>
        <v>CARRO PARA TRANSPORTE BALA DE OXIGENO</v>
      </c>
      <c r="C3333" s="6">
        <v>557682</v>
      </c>
      <c r="D3333" s="5" t="s">
        <v>290</v>
      </c>
      <c r="E3333" s="5" t="str">
        <f t="shared" si="160"/>
        <v>QUIROFANO -MARIA DEL PILAR MEDINA</v>
      </c>
      <c r="F3333" s="5" t="str">
        <f>"Descripcion: BASE BALA DE OXIGENO GRANDE Estado: Bueno Placa anterior: 000029540 Material: METAL Color: VERDE AGUA Referencia:  Observacion:  Placa padre: Tipo adquisicion: Entidad"</f>
        <v>Descripcion: BASE BALA DE OXIGENO GRANDE Estado: Bueno Placa anterior: 000029540 Material: METAL Color: VERDE AGUA Referencia:  Observacion:  Placa padre: Tipo adquisicion: Entidad</v>
      </c>
      <c r="G3333" s="5"/>
    </row>
    <row r="3334" spans="1:7" ht="58.5" customHeight="1" x14ac:dyDescent="0.25">
      <c r="A3334" s="5" t="str">
        <f>"H0012471"</f>
        <v>H0012471</v>
      </c>
      <c r="B3334" s="5" t="str">
        <f>"CARRO PARA TRANSPORTE BALA DE OXIGENO"</f>
        <v>CARRO PARA TRANSPORTE BALA DE OXIGENO</v>
      </c>
      <c r="C3334" s="6">
        <v>266800</v>
      </c>
      <c r="D3334" s="5" t="s">
        <v>166</v>
      </c>
      <c r="E3334" s="5" t="str">
        <f t="shared" si="160"/>
        <v>QUIROFANO -MARIA DEL PILAR MEDINA</v>
      </c>
      <c r="F3334" s="5" t="str">
        <f>"Descripcion: CARRO DE TRANSPORTE GRANDE PARA BLA DE OXIGENO. Crro de transporte para bala de oxigeno de 6.5 mts.wlaborado con pintura electrostatica y que cuenta con sistema para sujetar Estado: Bueno Placa anterior: 000031506 Material: METAL Color: BLANC"&amp; "O Referencia:  Observacion:  Placa padre: Tipo adquisicion: Entidad"</f>
        <v>Descripcion: CARRO DE TRANSPORTE GRANDE PARA BLA DE OXIGENO. Crro de transporte para bala de oxigeno de 6.5 mts.wlaborado con pintura electrostatica y que cuenta con sistema para sujetar Estado: Bueno Placa anterior: 000031506 Material: METAL Color: BLANCO Referencia:  Observacion:  Placa padre: Tipo adquisicion: Entidad</v>
      </c>
      <c r="G3334" s="5" t="str">
        <f>"121-02"</f>
        <v>121-02</v>
      </c>
    </row>
    <row r="3335" spans="1:7" ht="58.5" customHeight="1" x14ac:dyDescent="0.25">
      <c r="A3335" s="5" t="str">
        <f>"H0012472"</f>
        <v>H0012472</v>
      </c>
      <c r="B3335" s="5" t="str">
        <f>"CARRO PARA TRANSPORTE BALA DE OXIGENO"</f>
        <v>CARRO PARA TRANSPORTE BALA DE OXIGENO</v>
      </c>
      <c r="C3335" s="6">
        <v>557682</v>
      </c>
      <c r="D3335" s="5" t="s">
        <v>290</v>
      </c>
      <c r="E3335" s="5" t="str">
        <f t="shared" si="160"/>
        <v>QUIROFANO -MARIA DEL PILAR MEDINA</v>
      </c>
      <c r="F3335" s="5" t="str">
        <f>"Descripcion: BASE BALA DE OXIGENO GRANDE Estado: Bueno Placa anterior: 000029541 Material: METAL Color: BEIGE Referencia:  Observacion:  Placa padre: Tipo adquisicion: Entidad"</f>
        <v>Descripcion: BASE BALA DE OXIGENO GRANDE Estado: Bueno Placa anterior: 000029541 Material: METAL Color: BEIGE Referencia:  Observacion:  Placa padre: Tipo adquisicion: Entidad</v>
      </c>
      <c r="G3335" s="5"/>
    </row>
    <row r="3336" spans="1:7" ht="58.5" customHeight="1" x14ac:dyDescent="0.25">
      <c r="A3336" s="5" t="str">
        <f>"H0012474"</f>
        <v>H0012474</v>
      </c>
      <c r="B3336" s="5" t="str">
        <f>"DESFRIBILADOR"</f>
        <v>DESFRIBILADOR</v>
      </c>
      <c r="C3336" s="6">
        <v>11716000</v>
      </c>
      <c r="D3336" s="5" t="s">
        <v>166</v>
      </c>
      <c r="E3336" s="5" t="str">
        <f t="shared" si="160"/>
        <v>QUIROFANO -MARIA DEL PILAR MEDINA</v>
      </c>
      <c r="F3336" s="5" t="str">
        <f>"Descripcion: DESFRIBILADOR. Desfribilador cardiaco de onda bifasica, tipo de desfribilacion:manual,sincronica y AED.Entrega de enregia entre 0-270 joules, marcapaso externo, velocidad de registro 25mm bateria interna para dos horas de trabajo,monitor, con"&amp; "exion para e Estado: Bueno Placa anterior: 000031367 Material: PASTA Color: BLANCO Y GRIS  Referencia:  Observacion:  Placa padre: Tipo adquisicion: Entidad"</f>
        <v>Descripcion: DESFRIBILADOR. Desfribilador cardiaco de onda bifasica, tipo de desfribilacion:manual,sincronica y AED.Entrega de enregia entre 0-270 joules, marcapaso externo, velocidad de registro 25mm bateria interna para dos horas de trabajo,monitor, conexion para e Estado: Bueno Placa anterior: 000031367 Material: PASTA Color: BLANCO Y GRIS  Referencia:  Observacion:  Placa padre: Tipo adquisicion: Entidad</v>
      </c>
      <c r="G3336" s="5" t="str">
        <f>"BENEHEART D3"</f>
        <v>BENEHEART D3</v>
      </c>
    </row>
    <row r="3337" spans="1:7" ht="58.5" customHeight="1" x14ac:dyDescent="0.25">
      <c r="A3337" s="5" t="str">
        <f>"H0012475"</f>
        <v>H0012475</v>
      </c>
      <c r="B3337" s="5" t="str">
        <f>"CARRO DE PARO"</f>
        <v>CARRO DE PARO</v>
      </c>
      <c r="C3337" s="6">
        <v>3000004</v>
      </c>
      <c r="D3337" s="5"/>
      <c r="E3337" s="5" t="str">
        <f t="shared" si="160"/>
        <v>QUIROFANO -MARIA DEL PILAR MEDINA</v>
      </c>
      <c r="F3337" s="5" t="str">
        <f>"Descripcion: CARRO DE PARO IND. NAL. CON SUS ACCESORIOS Estado: Bueno Placa anterior: 000025875 Material: METAL Color: BEIGE Referencia:  Observacion:  Placa padre: Tipo adquisicion: Entidad"</f>
        <v>Descripcion: CARRO DE PARO IND. NAL. CON SUS ACCESORIOS Estado: Bueno Placa anterior: 000025875 Material: METAL Color: BEIGE Referencia:  Observacion:  Placa padre: Tipo adquisicion: Entidad</v>
      </c>
      <c r="G3337" s="5"/>
    </row>
    <row r="3338" spans="1:7" ht="58.5" customHeight="1" x14ac:dyDescent="0.25">
      <c r="A3338" s="5" t="str">
        <f>"H0012476"</f>
        <v>H0012476</v>
      </c>
      <c r="B3338" s="5" t="str">
        <f>"MESA METALICA"</f>
        <v>MESA METALICA</v>
      </c>
      <c r="C3338" s="6">
        <v>7021276.0700000003</v>
      </c>
      <c r="D3338" s="5"/>
      <c r="E3338" s="5" t="str">
        <f t="shared" si="160"/>
        <v>QUIROFANO -MARIA DEL PILAR MEDINA</v>
      </c>
      <c r="F3338" s="5" t="str">
        <f>"Descripcion: MESA METALICA SIN RODACHINES Estado: Bueno Placa anterior: 000027764 Material: METAL Color: PLATEADO Referencia:  Observacion:  Placa padre: Tipo adquisicion: Entidad"</f>
        <v>Descripcion: MESA METALICA SIN RODACHINES Estado: Bueno Placa anterior: 000027764 Material: METAL Color: PLATEADO Referencia:  Observacion:  Placa padre: Tipo adquisicion: Entidad</v>
      </c>
      <c r="G3338" s="5"/>
    </row>
    <row r="3339" spans="1:7" ht="58.5" customHeight="1" x14ac:dyDescent="0.25">
      <c r="A3339" s="5" t="str">
        <f>"H0012477"</f>
        <v>H0012477</v>
      </c>
      <c r="B3339" s="5" t="str">
        <f>"MESA (CARRO) DE CURACIONES"</f>
        <v>MESA (CARRO) DE CURACIONES</v>
      </c>
      <c r="C3339" s="6">
        <v>37276</v>
      </c>
      <c r="D3339" s="5"/>
      <c r="E3339" s="5" t="str">
        <f t="shared" si="160"/>
        <v>QUIROFANO -MARIA DEL PILAR MEDINA</v>
      </c>
      <c r="F3339" s="5" t="str">
        <f>"Descripcion: MESA METALICA MEDIA LUNA CON RODACHINES Estado: Bueno Placa anterior: 000027721 Material: METAL Y MADERA Color: PLATEADO Referencia:  Observacion: EL BIEN TIENE PLACA 000025977 FUNCIONARIO AUTORIZA SE CONCILIE CON PLACA  000027721 Placa padre"&amp; ": Tipo adquisicion: Entidad"</f>
        <v>Descripcion: MESA METALICA MEDIA LUNA CON RODACHINES Estado: Bueno Placa anterior: 000027721 Material: METAL Y MADERA Color: PLATEADO Referencia:  Observacion: EL BIEN TIENE PLACA 000025977 FUNCIONARIO AUTORIZA SE CONCILIE CON PLACA  000027721 Placa padre: Tipo adquisicion: Entidad</v>
      </c>
      <c r="G3339" s="5"/>
    </row>
    <row r="3340" spans="1:7" ht="58.5" customHeight="1" x14ac:dyDescent="0.25">
      <c r="A3340" s="5" t="str">
        <f>"H0012479"</f>
        <v>H0012479</v>
      </c>
      <c r="B3340" s="5" t="str">
        <f>"MESA (CARRO) DE CURACIONES"</f>
        <v>MESA (CARRO) DE CURACIONES</v>
      </c>
      <c r="C3340" s="6">
        <v>7000</v>
      </c>
      <c r="D3340" s="5"/>
      <c r="E3340" s="5" t="str">
        <f t="shared" si="160"/>
        <v>QUIROFANO -MARIA DEL PILAR MEDINA</v>
      </c>
      <c r="F3340" s="5" t="str">
        <f>"Descripcion: MESA AUXILIAR METALICA 2 NIVELES Estado: Bueno Placa anterior: 000012584 Material: ACERO INOX. Color: PLATEADO Referencia:  Observacion: AUTORIZADO CONCILIAR EN CRUCE GENERAL Placa padre: Tipo adquisicion: Entidad"</f>
        <v>Descripcion: MESA AUXILIAR METALICA 2 NIVELES Estado: Bueno Placa anterior: 000012584 Material: ACERO INOX. Color: PLATEADO Referencia:  Observacion: AUTORIZADO CONCILIAR EN CRUCE GENERAL Placa padre: Tipo adquisicion: Entidad</v>
      </c>
      <c r="G3340" s="5"/>
    </row>
    <row r="3341" spans="1:7" ht="58.5" customHeight="1" x14ac:dyDescent="0.25">
      <c r="A3341" s="5" t="str">
        <f>"H0012488"</f>
        <v>H0012488</v>
      </c>
      <c r="B3341" s="5" t="str">
        <f>"CAMILLA DE TRASLADO DE 2 PLANOS"</f>
        <v>CAMILLA DE TRASLADO DE 2 PLANOS</v>
      </c>
      <c r="C3341" s="6">
        <v>7226800</v>
      </c>
      <c r="D3341" s="5" t="s">
        <v>288</v>
      </c>
      <c r="E3341" s="5" t="str">
        <f t="shared" si="160"/>
        <v>QUIROFANO -MARIA DEL PILAR MEDINA</v>
      </c>
      <c r="F3341" s="5" t="str">
        <f>"Descripcion: CAMILLA HIDRAULICA DOS PLANOS Estado: Bueno Placa anterior: 000038270 Material: METAL Y PASTA Color: BEIGE Y GRIS Referencia:  Observacion:  Placa padre: Tipo adquisicion: Entidad"</f>
        <v>Descripcion: CAMILLA HIDRAULICA DOS PLANOS Estado: Bueno Placa anterior: 000038270 Material: METAL Y PASTA Color: BEIGE Y GRIS Referencia:  Observacion:  Placa padre: Tipo adquisicion: Entidad</v>
      </c>
      <c r="G3341" s="5" t="str">
        <f>"7783"</f>
        <v>7783</v>
      </c>
    </row>
    <row r="3342" spans="1:7" ht="58.5" customHeight="1" x14ac:dyDescent="0.25">
      <c r="A3342" s="5" t="str">
        <f>"H0012489"</f>
        <v>H0012489</v>
      </c>
      <c r="B3342" s="5" t="str">
        <f>"CAMILLA DE TRASLADO CON BARANDAS"</f>
        <v>CAMILLA DE TRASLADO CON BARANDAS</v>
      </c>
      <c r="C3342" s="6">
        <v>6598797</v>
      </c>
      <c r="D3342" s="5" t="s">
        <v>286</v>
      </c>
      <c r="E3342" s="5" t="str">
        <f t="shared" si="160"/>
        <v>QUIROFANO -MARIA DEL PILAR MEDINA</v>
      </c>
      <c r="F3342" s="5" t="str">
        <f>"Descripcion:  CAMILLA DE RECUPERACION Y TRANSPORTE Estado: Bueno Placa anterior: 000038894 Material: METAL Y PASTA Color: GRIS Y BEIGE Referencia:  Observacion:  Placa padre: Tipo adquisicion: Entidad"</f>
        <v>Descripcion:  CAMILLA DE RECUPERACION Y TRANSPORTE Estado: Bueno Placa anterior: 000038894 Material: METAL Y PASTA Color: GRIS Y BEIGE Referencia:  Observacion:  Placa padre: Tipo adquisicion: Entidad</v>
      </c>
      <c r="G3342" s="5" t="str">
        <f>"C-374 BDA V"</f>
        <v>C-374 BDA V</v>
      </c>
    </row>
    <row r="3343" spans="1:7" ht="58.5" customHeight="1" x14ac:dyDescent="0.25">
      <c r="A3343" s="5" t="str">
        <f>"H0012494"</f>
        <v>H0012494</v>
      </c>
      <c r="B3343" s="5" t="str">
        <f>"SILLON (SOFA)"</f>
        <v>SILLON (SOFA)</v>
      </c>
      <c r="C3343" s="6">
        <v>21400</v>
      </c>
      <c r="D3343" s="5"/>
      <c r="E3343" s="5" t="str">
        <f t="shared" si="160"/>
        <v>QUIROFANO -MARIA DEL PILAR MEDINA</v>
      </c>
      <c r="F3343" s="5" t="str">
        <f>"Descripcion: SOFA LIZZY - 2 PUESTOS Estado: Bueno Placa anterior: 000019918 Material: MADERA Y CUERINA Color: MADERA Y NEGRO Referencia:  Observacion: EL BIEN TRAE PLACA 000014788 SOFA LIZZY Placa padre: Tipo adquisicion: Entidad"</f>
        <v>Descripcion: SOFA LIZZY - 2 PUESTOS Estado: Bueno Placa anterior: 000019918 Material: MADERA Y CUERINA Color: MADERA Y NEGRO Referencia:  Observacion: EL BIEN TRAE PLACA 000014788 SOFA LIZZY Placa padre: Tipo adquisicion: Entidad</v>
      </c>
      <c r="G3343" s="5"/>
    </row>
    <row r="3344" spans="1:7" ht="58.5" customHeight="1" x14ac:dyDescent="0.25">
      <c r="A3344" s="5" t="str">
        <f>"H0012496"</f>
        <v>H0012496</v>
      </c>
      <c r="B3344" s="5" t="str">
        <f>"CARRO PORTA HISTORIAS CLINICAS"</f>
        <v>CARRO PORTA HISTORIAS CLINICAS</v>
      </c>
      <c r="C3344" s="6">
        <v>27500</v>
      </c>
      <c r="D3344" s="5"/>
      <c r="E3344" s="5" t="str">
        <f t="shared" si="160"/>
        <v>QUIROFANO -MARIA DEL PILAR MEDINA</v>
      </c>
      <c r="F3344" s="5" t="str">
        <f>"Descripcion: CARRO PORTA HISTORIA 2 CUERPOS 10 ENTREPAÑOS CADA UNO. Estado: Bueno Placa anterior: 000014761 Material: MADERA Color: BLANCO Referencia:  Observacion: FUNCIONARIO AUTORIZA SE CONCILIE CON PLACA  000014761 Placa padre: Tipo adquisicion: Entid"&amp; "ad"</f>
        <v>Descripcion: CARRO PORTA HISTORIA 2 CUERPOS 10 ENTREPAÑOS CADA UNO. Estado: Bueno Placa anterior: 000014761 Material: MADERA Color: BLANCO Referencia:  Observacion: FUNCIONARIO AUTORIZA SE CONCILIE CON PLACA  000014761 Placa padre: Tipo adquisicion: Entidad</v>
      </c>
      <c r="G3344" s="5"/>
    </row>
    <row r="3345" spans="1:7" ht="58.5" customHeight="1" x14ac:dyDescent="0.25">
      <c r="A3345" s="5" t="str">
        <f>"H0012498"</f>
        <v>H0012498</v>
      </c>
      <c r="B3345" s="5" t="str">
        <f>"POTE (TARRO) ACERO INXODABLE CON TAPA PEQUEÑO"</f>
        <v>POTE (TARRO) ACERO INXODABLE CON TAPA PEQUEÑO</v>
      </c>
      <c r="C3345" s="6">
        <v>5547.87</v>
      </c>
      <c r="D3345" s="5"/>
      <c r="E3345" s="5" t="str">
        <f t="shared" si="160"/>
        <v>QUIROFANO -MARIA DEL PILAR MEDINA</v>
      </c>
      <c r="F3345" s="5" t="str">
        <f>"Descripcion: POTE EN ACERO CON TAPA Estado: Bueno Placa anterior: 000027723 Material: ACERO INOX. Color: PLATEADO Referencia:  Observacion:  Placa padre: Tipo adquisicion: Entidad"</f>
        <v>Descripcion: POTE EN ACERO CON TAPA Estado: Bueno Placa anterior: 000027723 Material: ACERO INOX. Color: PLATEADO Referencia:  Observacion:  Placa padre: Tipo adquisicion: Entidad</v>
      </c>
      <c r="G3345" s="5"/>
    </row>
    <row r="3346" spans="1:7" ht="58.5" customHeight="1" x14ac:dyDescent="0.25">
      <c r="A3346" s="5" t="str">
        <f>"H0012499"</f>
        <v>H0012499</v>
      </c>
      <c r="B3346" s="5" t="str">
        <f>"POTE (TARRO) ACERO INXODABLE CON TAPA PEQUEÑO"</f>
        <v>POTE (TARRO) ACERO INXODABLE CON TAPA PEQUEÑO</v>
      </c>
      <c r="C3346" s="6">
        <v>5547.87</v>
      </c>
      <c r="D3346" s="5"/>
      <c r="E3346" s="5" t="str">
        <f t="shared" si="160"/>
        <v>QUIROFANO -MARIA DEL PILAR MEDINA</v>
      </c>
      <c r="F3346" s="5" t="str">
        <f>"Descripcion: POTE EN ACERO CON TAPA Estado: Bueno Placa anterior: 000027724 Material: ACERO INOX. Color: PLATEADO Referencia:  Observacion:  Placa padre: Tipo adquisicion: Entidad"</f>
        <v>Descripcion: POTE EN ACERO CON TAPA Estado: Bueno Placa anterior: 000027724 Material: ACERO INOX. Color: PLATEADO Referencia:  Observacion:  Placa padre: Tipo adquisicion: Entidad</v>
      </c>
      <c r="G3346" s="5"/>
    </row>
    <row r="3347" spans="1:7" ht="58.5" customHeight="1" x14ac:dyDescent="0.25">
      <c r="A3347" s="5" t="str">
        <f>"H0012500"</f>
        <v>H0012500</v>
      </c>
      <c r="B3347" s="5" t="str">
        <f>"CUBETA DE ACERO INOXIDABLE CON TAPA PEQUEÑA"</f>
        <v>CUBETA DE ACERO INOXIDABLE CON TAPA PEQUEÑA</v>
      </c>
      <c r="C3347" s="6">
        <v>38480.699999999997</v>
      </c>
      <c r="D3347" s="5"/>
      <c r="E3347" s="5" t="str">
        <f t="shared" si="160"/>
        <v>QUIROFANO -MARIA DEL PILAR MEDINA</v>
      </c>
      <c r="F3347" s="5" t="str">
        <f>"Descripcion: CUBETA EN ACERO INOX. PEQ. CON TAPA  Estado: Bueno Placa anterior: 000004697 Material: ACERO INOX. Color: PLATEADO Referencia:  Observacion:  Placa padre: Tipo adquisicion: Entidad"</f>
        <v>Descripcion: CUBETA EN ACERO INOX. PEQ. CON TAPA  Estado: Bueno Placa anterior: 000004697 Material: ACERO INOX. Color: PLATEADO Referencia:  Observacion:  Placa padre: Tipo adquisicion: Entidad</v>
      </c>
      <c r="G3347" s="5"/>
    </row>
    <row r="3348" spans="1:7" ht="58.5" customHeight="1" x14ac:dyDescent="0.25">
      <c r="A3348" s="5" t="str">
        <f>"H0012535"</f>
        <v>H0012535</v>
      </c>
      <c r="B3348" s="5" t="str">
        <f>"MESA (CARRO) DE CURACIONES"</f>
        <v>MESA (CARRO) DE CURACIONES</v>
      </c>
      <c r="C3348" s="6">
        <v>37276</v>
      </c>
      <c r="D3348" s="5"/>
      <c r="E3348" s="5" t="str">
        <f t="shared" si="160"/>
        <v>QUIROFANO -MARIA DEL PILAR MEDINA</v>
      </c>
      <c r="F3348" s="5" t="str">
        <f>"Descripcion: MESA AUXILIAR TIPO CARRO C/BARANDAS Y RODACHINES Estado: Bueno Placa anterior: 000015231 Material: METALICO Y ACERO Color: GRIS Referencia:  Observacion:  Placa padre: Tipo adquisicion: Entidad"</f>
        <v>Descripcion: MESA AUXILIAR TIPO CARRO C/BARANDAS Y RODACHINES Estado: Bueno Placa anterior: 000015231 Material: METALICO Y ACERO Color: GRIS Referencia:  Observacion:  Placa padre: Tipo adquisicion: Entidad</v>
      </c>
      <c r="G3348" s="5"/>
    </row>
    <row r="3349" spans="1:7" ht="58.5" customHeight="1" x14ac:dyDescent="0.25">
      <c r="A3349" s="5" t="str">
        <f>"H0012545"</f>
        <v>H0012545</v>
      </c>
      <c r="B3349" s="5" t="str">
        <f>"ATRIL PORTASUERO MOVIL"</f>
        <v>ATRIL PORTASUERO MOVIL</v>
      </c>
      <c r="C3349" s="6">
        <v>210000</v>
      </c>
      <c r="D3349" s="5" t="s">
        <v>50</v>
      </c>
      <c r="E3349" s="5" t="str">
        <f t="shared" si="160"/>
        <v>QUIROFANO -MARIA DEL PILAR MEDINA</v>
      </c>
      <c r="F3349" s="5" t="str">
        <f>"Descripcion: ATRIL EN ACERO INOXIDABLE QUIRURGICO ANTIMAGNETICO Estado: Bueno Placa anterior: 000029728 Material: ACERO INOXIDABLE Color: GRIS Referencia:  Observacion:  Placa padre: Tipo adquisicion: Entidad"</f>
        <v>Descripcion: ATRIL EN ACERO INOXIDABLE QUIRURGICO ANTIMAGNETICO Estado: Bueno Placa anterior: 000029728 Material: ACERO INOXIDABLE Color: GRIS Referencia:  Observacion:  Placa padre: Tipo adquisicion: Entidad</v>
      </c>
      <c r="G3349" s="5"/>
    </row>
    <row r="3350" spans="1:7" ht="58.5" customHeight="1" x14ac:dyDescent="0.25">
      <c r="A3350" s="5" t="str">
        <f>"H0012547"</f>
        <v>H0012547</v>
      </c>
      <c r="B3350" s="5" t="str">
        <f>"MONITOR DE SIGNOS VITALES"</f>
        <v>MONITOR DE SIGNOS VITALES</v>
      </c>
      <c r="C3350" s="6">
        <v>9048000</v>
      </c>
      <c r="D3350" s="5" t="s">
        <v>166</v>
      </c>
      <c r="E3350" s="5" t="str">
        <f t="shared" si="160"/>
        <v>QUIROFANO -MARIA DEL PILAR MEDINA</v>
      </c>
      <c r="F3350" s="5" t="str">
        <f>"Descripcion: MONITOR DE SIGNOS VITALES CON PRESION INVASIVA. Pantalla minimo de 10 LCD, a color minimo 6 parametros (ECG,RESPIRACION,SPO2,IBP,NIBP,TEMPERATURA) 6 formas de hondas, arritmias,deteccion de segmento, ST,marcapasos, medicion de tendencias las "&amp; "ultimas 24 h Estado: Bueno Placa anterior: 000031423 Material: PLASTICO Color: BLANCO Referencia:  Observacion:  Placa padre: Tipo adquisicion: Entidad"</f>
        <v>Descripcion: MONITOR DE SIGNOS VITALES CON PRESION INVASIVA. Pantalla minimo de 10 LCD, a color minimo 6 parametros (ECG,RESPIRACION,SPO2,IBP,NIBP,TEMPERATURA) 6 formas de hondas, arritmias,deteccion de segmento, ST,marcapasos, medicion de tendencias las ultimas 24 h Estado: Bueno Placa anterior: 000031423 Material: PLASTICO Color: BLANCO Referencia:  Observacion:  Placa padre: Tipo adquisicion: Entidad</v>
      </c>
      <c r="G3350" s="5" t="str">
        <f>"IMEC10"</f>
        <v>IMEC10</v>
      </c>
    </row>
    <row r="3351" spans="1:7" ht="58.5" customHeight="1" x14ac:dyDescent="0.25">
      <c r="A3351" s="5" t="str">
        <f>"H0012549"</f>
        <v>H0012549</v>
      </c>
      <c r="B3351" s="5" t="str">
        <f>"ATRIL PORTASUERO MOVIL"</f>
        <v>ATRIL PORTASUERO MOVIL</v>
      </c>
      <c r="C3351" s="6">
        <v>69600</v>
      </c>
      <c r="D3351" s="5"/>
      <c r="E3351" s="5" t="str">
        <f t="shared" si="160"/>
        <v>QUIROFANO -MARIA DEL PILAR MEDINA</v>
      </c>
      <c r="F3351" s="5" t="str">
        <f>"Descripcion: ATRIL Estado: Bueno Placa anterior: 000033219 Material: ACERO INOXIDABLE Color: GRIS Referencia:  Observacion:  Placa padre: Tipo adquisicion: Entidad"</f>
        <v>Descripcion: ATRIL Estado: Bueno Placa anterior: 000033219 Material: ACERO INOXIDABLE Color: GRIS Referencia:  Observacion:  Placa padre: Tipo adquisicion: Entidad</v>
      </c>
      <c r="G3351" s="5"/>
    </row>
    <row r="3352" spans="1:7" ht="58.5" customHeight="1" x14ac:dyDescent="0.25">
      <c r="A3352" s="5" t="str">
        <f>"H0012554"</f>
        <v>H0012554</v>
      </c>
      <c r="B3352" s="5" t="str">
        <f>"CARRO PARA TRANSPORTE BALA DE OXIGENO"</f>
        <v>CARRO PARA TRANSPORTE BALA DE OXIGENO</v>
      </c>
      <c r="C3352" s="6">
        <v>85500</v>
      </c>
      <c r="D3352" s="5"/>
      <c r="E3352" s="5" t="str">
        <f t="shared" si="160"/>
        <v>QUIROFANO -MARIA DEL PILAR MEDINA</v>
      </c>
      <c r="F3352" s="5" t="str">
        <f>"Descripcion: CARRO PARA BALA DE OXIGENO GRANDE Estado: Bueno Placa anterior: 000015212 Material: METALICO Color: BLANCO Referencia:  Observacion:  Placa padre: Tipo adquisicion: Entidad"</f>
        <v>Descripcion: CARRO PARA BALA DE OXIGENO GRANDE Estado: Bueno Placa anterior: 000015212 Material: METALICO Color: BLANCO Referencia:  Observacion:  Placa padre: Tipo adquisicion: Entidad</v>
      </c>
      <c r="G3352" s="5"/>
    </row>
    <row r="3353" spans="1:7" ht="58.5" customHeight="1" x14ac:dyDescent="0.25">
      <c r="A3353" s="5" t="str">
        <f>"H0012558"</f>
        <v>H0012558</v>
      </c>
      <c r="B3353" s="5" t="str">
        <f>"CARRO PARA TRANSPORTE MATERIAL ESTERIL (OBJETOS ESTERILIZADOS)"</f>
        <v>CARRO PARA TRANSPORTE MATERIAL ESTERIL (OBJETOS ESTERILIZADOS)</v>
      </c>
      <c r="C3353" s="6">
        <v>27500</v>
      </c>
      <c r="D3353" s="5"/>
      <c r="E3353" s="5" t="str">
        <f t="shared" si="160"/>
        <v>QUIROFANO -MARIA DEL PILAR MEDINA</v>
      </c>
      <c r="F3353" s="5" t="str">
        <f>"Descripcion: CARRO PARA TRANSPORTAR MATERIAL ESTERIL Estado: Bueno Placa anterior: 000027486 Material: METALICO Y ACERO Color: GRIS Referencia:  Observacion:  Placa padre: Tipo adquisicion: Entidad"</f>
        <v>Descripcion: CARRO PARA TRANSPORTAR MATERIAL ESTERIL Estado: Bueno Placa anterior: 000027486 Material: METALICO Y ACERO Color: GRIS Referencia:  Observacion:  Placa padre: Tipo adquisicion: Entidad</v>
      </c>
      <c r="G3353" s="5"/>
    </row>
    <row r="3354" spans="1:7" ht="58.5" customHeight="1" x14ac:dyDescent="0.25">
      <c r="A3354" s="5" t="str">
        <f>"H0012561"</f>
        <v>H0012561</v>
      </c>
      <c r="B3354" s="5" t="str">
        <f>"BUTACO GIRATORIO SIN RUEDAS"</f>
        <v>BUTACO GIRATORIO SIN RUEDAS</v>
      </c>
      <c r="C3354" s="6">
        <v>6930</v>
      </c>
      <c r="D3354" s="5"/>
      <c r="E3354" s="5" t="str">
        <f t="shared" si="160"/>
        <v>QUIROFANO -MARIA DEL PILAR MEDINA</v>
      </c>
      <c r="F3354" s="5" t="str">
        <f>"Descripcion: BUTACO TAPIZADO EN CUERINA Estado: Bueno Placa anterior: 000027727 Material: METALICO Y CUERINA Color: GRIS Y ROSADO Referencia:  Observacion:  Placa padre: Tipo adquisicion: Entidad"</f>
        <v>Descripcion: BUTACO TAPIZADO EN CUERINA Estado: Bueno Placa anterior: 000027727 Material: METALICO Y CUERINA Color: GRIS Y ROSADO Referencia:  Observacion:  Placa padre: Tipo adquisicion: Entidad</v>
      </c>
      <c r="G3354" s="5"/>
    </row>
    <row r="3355" spans="1:7" ht="58.5" customHeight="1" x14ac:dyDescent="0.25">
      <c r="A3355" s="5" t="str">
        <f>"H0012565"</f>
        <v>H0012565</v>
      </c>
      <c r="B3355" s="5" t="str">
        <f>"ATRIL PORTASUERO MOVIL"</f>
        <v>ATRIL PORTASUERO MOVIL</v>
      </c>
      <c r="C3355" s="6">
        <v>210000</v>
      </c>
      <c r="D3355" s="5" t="s">
        <v>50</v>
      </c>
      <c r="E3355" s="5" t="str">
        <f t="shared" si="160"/>
        <v>QUIROFANO -MARIA DEL PILAR MEDINA</v>
      </c>
      <c r="F3355" s="5" t="str">
        <f>"Descripcion: ATRIL EN ACERO INOXIDABLE QUIRURGICO ANTIMAGNETICO Estado: Bueno Placa anterior: 000029751 Material: ACERO INOXIDABLE Color: GRIS Referencia:  Observacion:  Placa padre: Tipo adquisicion: Entidad"</f>
        <v>Descripcion: ATRIL EN ACERO INOXIDABLE QUIRURGICO ANTIMAGNETICO Estado: Bueno Placa anterior: 000029751 Material: ACERO INOXIDABLE Color: GRIS Referencia:  Observacion:  Placa padre: Tipo adquisicion: Entidad</v>
      </c>
      <c r="G3355" s="5"/>
    </row>
    <row r="3356" spans="1:7" ht="58.5" customHeight="1" x14ac:dyDescent="0.25">
      <c r="A3356" s="5" t="str">
        <f>"H0012566"</f>
        <v>H0012566</v>
      </c>
      <c r="B3356" s="5" t="str">
        <f>"ATRIL PORTASUERO MOVIL"</f>
        <v>ATRIL PORTASUERO MOVIL</v>
      </c>
      <c r="C3356" s="6">
        <v>69600</v>
      </c>
      <c r="D3356" s="5"/>
      <c r="E3356" s="5" t="str">
        <f t="shared" si="160"/>
        <v>QUIROFANO -MARIA DEL PILAR MEDINA</v>
      </c>
      <c r="F3356" s="5" t="str">
        <f>"Descripcion: ATRIL  Estado: Bueno Placa anterior: 000033220 Material: ACERO INOXIDABLE Color: GRIS Referencia:  Observacion:  Placa padre: Tipo adquisicion: Entidad"</f>
        <v>Descripcion: ATRIL  Estado: Bueno Placa anterior: 000033220 Material: ACERO INOXIDABLE Color: GRIS Referencia:  Observacion:  Placa padre: Tipo adquisicion: Entidad</v>
      </c>
      <c r="G3356" s="5"/>
    </row>
    <row r="3357" spans="1:7" ht="58.5" customHeight="1" x14ac:dyDescent="0.25">
      <c r="A3357" s="5" t="str">
        <f>"H0012568"</f>
        <v>H0012568</v>
      </c>
      <c r="B3357" s="5" t="str">
        <f>"BANDEJA DE ACERO INOXIDABLE PEQUEÑA"</f>
        <v>BANDEJA DE ACERO INOXIDABLE PEQUEÑA</v>
      </c>
      <c r="C3357" s="6">
        <v>14616</v>
      </c>
      <c r="D3357" s="5"/>
      <c r="E3357" s="5" t="str">
        <f t="shared" si="160"/>
        <v>QUIROFANO -MARIA DEL PILAR MEDINA</v>
      </c>
      <c r="F3357" s="5" t="str">
        <f>"Descripcion: BANDEJA Estado: Bueno Placa anterior: 000007767 Material: ACERO INOXIDABLE Color: GRIS Referencia:  Observacion:  Placa padre: Tipo adquisicion: Entidad"</f>
        <v>Descripcion: BANDEJA Estado: Bueno Placa anterior: 000007767 Material: ACERO INOXIDABLE Color: GRIS Referencia:  Observacion:  Placa padre: Tipo adquisicion: Entidad</v>
      </c>
      <c r="G3357" s="5"/>
    </row>
    <row r="3358" spans="1:7" ht="58.5" customHeight="1" x14ac:dyDescent="0.25">
      <c r="A3358" s="5" t="str">
        <f>"H0012569"</f>
        <v>H0012569</v>
      </c>
      <c r="B3358" s="5" t="str">
        <f>"MESA (CARRO) DE CURACIONES"</f>
        <v>MESA (CARRO) DE CURACIONES</v>
      </c>
      <c r="C3358" s="6">
        <v>4655.93</v>
      </c>
      <c r="D3358" s="5"/>
      <c r="E3358" s="5" t="str">
        <f t="shared" si="160"/>
        <v>QUIROFANO -MARIA DEL PILAR MEDINA</v>
      </c>
      <c r="F3358" s="5" t="str">
        <f>"Descripcion: CON DOS ENTREPAÑOS Estado: Bueno Placa anterior: 000027647 Material: MATALICO Y ACERO INOXIDABLE Color: GRIS Referencia:  Observacion:  Placa padre: Tipo adquisicion: Entidad"</f>
        <v>Descripcion: CON DOS ENTREPAÑOS Estado: Bueno Placa anterior: 000027647 Material: MATALICO Y ACERO INOXIDABLE Color: GRIS Referencia:  Observacion:  Placa padre: Tipo adquisicion: Entidad</v>
      </c>
      <c r="G3358" s="5"/>
    </row>
    <row r="3359" spans="1:7" ht="58.5" customHeight="1" x14ac:dyDescent="0.25">
      <c r="A3359" s="5" t="str">
        <f>"H0012571"</f>
        <v>H0012571</v>
      </c>
      <c r="B3359" s="5" t="str">
        <f>"POTE (TARRO) ACERO INXODABLE CON TAPA JUEGO"</f>
        <v>POTE (TARRO) ACERO INXODABLE CON TAPA JUEGO</v>
      </c>
      <c r="C3359" s="6">
        <v>6080.56</v>
      </c>
      <c r="D3359" s="5"/>
      <c r="E3359" s="5" t="str">
        <f t="shared" si="160"/>
        <v>QUIROFANO -MARIA DEL PILAR MEDINA</v>
      </c>
      <c r="F3359" s="5" t="str">
        <f>"Descripcion: POTE GRANDE  Estado: Bueno Placa anterior: 000028737 Material: ACERO INOXIDABLE Color: GRIS Referencia:  Observacion:  Placa padre: Tipo adquisicion: Entidad"</f>
        <v>Descripcion: POTE GRANDE  Estado: Bueno Placa anterior: 000028737 Material: ACERO INOXIDABLE Color: GRIS Referencia:  Observacion:  Placa padre: Tipo adquisicion: Entidad</v>
      </c>
      <c r="G3359" s="5"/>
    </row>
    <row r="3360" spans="1:7" ht="58.5" customHeight="1" x14ac:dyDescent="0.25">
      <c r="A3360" s="5" t="str">
        <f>"H0012572"</f>
        <v>H0012572</v>
      </c>
      <c r="B3360" s="5" t="str">
        <f>"POTE (TARRO) ACERO INXODABLE CON TAPA JUEGO"</f>
        <v>POTE (TARRO) ACERO INXODABLE CON TAPA JUEGO</v>
      </c>
      <c r="C3360" s="6">
        <v>6080.56</v>
      </c>
      <c r="D3360" s="5"/>
      <c r="E3360" s="5" t="str">
        <f t="shared" ref="E3360:E3423" si="161">"QUIROFANO -MARIA DEL PILAR MEDINA"</f>
        <v>QUIROFANO -MARIA DEL PILAR MEDINA</v>
      </c>
      <c r="F3360" s="5" t="str">
        <f>"Descripcion: POTE PEQUEÑO  Estado: Bueno Placa anterior: 000027744 Material: ACERO INOXIDABLE Color: GRIS Referencia:  Observacion:  Placa padre: Tipo adquisicion: Entidad"</f>
        <v>Descripcion: POTE PEQUEÑO  Estado: Bueno Placa anterior: 000027744 Material: ACERO INOXIDABLE Color: GRIS Referencia:  Observacion:  Placa padre: Tipo adquisicion: Entidad</v>
      </c>
      <c r="G3360" s="5"/>
    </row>
    <row r="3361" spans="1:7" ht="58.5" customHeight="1" x14ac:dyDescent="0.25">
      <c r="A3361" s="5" t="str">
        <f>"H0012576"</f>
        <v>H0012576</v>
      </c>
      <c r="B3361" s="5" t="str">
        <f>"CARRO INSTRUMENTADOR QUIRURGICO"</f>
        <v>CARRO INSTRUMENTADOR QUIRURGICO</v>
      </c>
      <c r="C3361" s="6">
        <v>27500</v>
      </c>
      <c r="D3361" s="5"/>
      <c r="E3361" s="5" t="str">
        <f t="shared" si="161"/>
        <v>QUIROFANO -MARIA DEL PILAR MEDINA</v>
      </c>
      <c r="F3361" s="5" t="str">
        <f>"Descripcion: MESA CON RUEDAS, PARA SOPORTE DEL ELECTROVISTURI Estado: Bueno Placa anterior: 000027862 Material: METALICO Color: BLANCO Referencia:  Observacion: FUNCIONARIO AUTORIZA SE CONCILIE CON PLACA  000027862 Placa padre: Tipo adquisicion: Entidad"</f>
        <v>Descripcion: MESA CON RUEDAS, PARA SOPORTE DEL ELECTROVISTURI Estado: Bueno Placa anterior: 000027862 Material: METALICO Color: BLANCO Referencia:  Observacion: FUNCIONARIO AUTORIZA SE CONCILIE CON PLACA  000027862 Placa padre: Tipo adquisicion: Entidad</v>
      </c>
      <c r="G3361" s="5"/>
    </row>
    <row r="3362" spans="1:7" ht="58.5" customHeight="1" x14ac:dyDescent="0.25">
      <c r="A3362" s="5" t="str">
        <f>"H0012577"</f>
        <v>H0012577</v>
      </c>
      <c r="B3362"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362" s="6">
        <v>10266000</v>
      </c>
      <c r="D3362" s="5" t="s">
        <v>287</v>
      </c>
      <c r="E3362" s="5" t="str">
        <f t="shared" si="161"/>
        <v>QUIROFANO -MARIA DEL PILAR MEDINA</v>
      </c>
      <c r="F3362" s="5" t="str">
        <f>"Descripcion: ELECTROBISTURI monopolar de corte y coagulacion corte puro (300W) mezcla I (200W) mezcla II (150W) y Mezcla III (100W). Coagulacion:Contacto (800W) y spray (80W). Bipolar:coagulacion Estandar (80W)-Coagulacion Soft (40W). Accesorios:Pedales u"&amp; "no doble y s Estado: Bueno Placa anterior: 000032590 Material: METALICO Color: MARRON Referencia:  Observacion:  Placa padre: Tipo adquisicion: Entidad"</f>
        <v>Descripcion: ELECTROBISTURI monopolar de corte y coagulacion corte puro (300W) mezcla I (200W) mezcla II (150W) y Mezcla III (100W). Coagulacion:Contacto (800W) y spray (80W). Bipolar:coagulacion Estandar (80W)-Coagulacion Soft (40W). Accesorios:Pedales uno doble y s Estado: Bueno Placa anterior: 000032590 Material: METALICO Color: MARRON Referencia:  Observacion:  Placa padre: Tipo adquisicion: Entidad</v>
      </c>
      <c r="G3362" s="5" t="str">
        <f>"DT-300P"</f>
        <v>DT-300P</v>
      </c>
    </row>
    <row r="3363" spans="1:7" ht="58.5" customHeight="1" x14ac:dyDescent="0.25">
      <c r="A3363" s="5" t="str">
        <f>"H0012578"</f>
        <v>H0012578</v>
      </c>
      <c r="B3363" s="5" t="str">
        <f>"LAMPARA CIELITICA"</f>
        <v>LAMPARA CIELITICA</v>
      </c>
      <c r="C3363" s="6">
        <v>37758000</v>
      </c>
      <c r="D3363" s="5" t="s">
        <v>166</v>
      </c>
      <c r="E3363" s="5" t="str">
        <f t="shared" si="161"/>
        <v>QUIROFANO -MARIA DEL PILAR MEDINA</v>
      </c>
      <c r="F3363" s="5" t="str">
        <f>"Descripcion: LAMPARA CIELITICA. De dos satelites, sistema de leds, pieza de movilizador esterizable, montadas sobre bases de anclaje, cielitica de rotacion 360° tiempo de vida de los leds 20.000 horas de voltaje de entrada 120vac frecuencia 60hz con ilumi"&amp; "nacion minim Estado: Bueno Placa anterior: 000031374 Material: METALICO Color: BLANCO Referencia:  Observacion:  Placa padre: H0012579Tipo adquisicion: Entidad"</f>
        <v>Descripcion: LAMPARA CIELITICA. De dos satelites, sistema de leds, pieza de movilizador esterizable, montadas sobre bases de anclaje, cielitica de rotacion 360° tiempo de vida de los leds 20.000 horas de voltaje de entrada 120vac frecuencia 60hz con iluminacion minim Estado: Bueno Placa anterior: 000031374 Material: METALICO Color: BLANCO Referencia:  Observacion:  Placa padre: H0012579Tipo adquisicion: Entidad</v>
      </c>
      <c r="G3363" s="5" t="str">
        <f>"HILED 760"</f>
        <v>HILED 760</v>
      </c>
    </row>
    <row r="3364" spans="1:7" ht="58.5" customHeight="1" x14ac:dyDescent="0.25">
      <c r="A3364" s="5" t="str">
        <f>"H0012579"</f>
        <v>H0012579</v>
      </c>
      <c r="B3364" s="5" t="str">
        <f>"MESA QUIRURGICA"</f>
        <v>MESA QUIRURGICA</v>
      </c>
      <c r="C3364" s="6">
        <v>49300000</v>
      </c>
      <c r="D3364" s="5" t="s">
        <v>166</v>
      </c>
      <c r="E3364" s="5" t="str">
        <f t="shared" si="161"/>
        <v>QUIROFANO -MARIA DEL PILAR MEDINA</v>
      </c>
      <c r="F3364" s="5" t="str">
        <f>"Descripcion: MESA DE CIRUGIA ELECTROMECANICA. Mesa de cirugia electromecanica.Se aceptan mesas electrohidraulicas.Mesa de cirugia electromecanica o electrohidraulica de tres cuerpos con movimientos de trendeleburg a inverso, lateral levantamiento de espal"&amp; "dar, plecero Estado: Bueno Placa anterior: 000031384 Material: ACERO Y CUERINA Color: GRIS Y NEGRO Referencia:  Observacion:  Placa anterior:000031374, Placa nueva=H0012578, Descripcion:LAMPARA CIELITICA. De dos satelites, sistema de leds, pieza de movili"&amp; "zador esterizable, montadas sobre bases de anclaje, cielitica de rotacion 360° tiempo de vida de los leds 20.000 horas de voltaje de entrada 120vac frecuencia 60hz con iluminacion minim, Serial:15-45000117, Marca:MINDRAY, Modelo:HILED 760, Material:METALI"&amp; "CO, Color:BLANCO, Referencia: Placa padre: Tipo adquisicion: Entidad"</f>
        <v>Descripcion: MESA DE CIRUGIA ELECTROMECANICA. Mesa de cirugia electromecanica.Se aceptan mesas electrohidraulicas.Mesa de cirugia electromecanica o electrohidraulica de tres cuerpos con movimientos de trendeleburg a inverso, lateral levantamiento de espaldar, plecero Estado: Bueno Placa anterior: 000031384 Material: ACERO Y CUERINA Color: GRIS Y NEGRO Referencia:  Observacion:  Placa anterior:000031374, Placa nueva=H0012578, Descripcion:LAMPARA CIELITICA. De dos satelites, sistema de leds, pieza de movilizador esterizable, montadas sobre bases de anclaje, cielitica de rotacion 360° tiempo de vida de los leds 20.000 horas de voltaje de entrada 120vac frecuencia 60hz con iluminacion minim, Serial:15-45000117, Marca:MINDRAY, Modelo:HILED 760, Material:METALICO, Color:BLANCO, Referencia: Placa padre: Tipo adquisicion: Entidad</v>
      </c>
      <c r="G3364" s="5" t="str">
        <f>"HYBASE6100"</f>
        <v>HYBASE6100</v>
      </c>
    </row>
    <row r="3365" spans="1:7" ht="58.5" customHeight="1" x14ac:dyDescent="0.25">
      <c r="A3365" s="5" t="str">
        <f>"H0012580"</f>
        <v>H0012580</v>
      </c>
      <c r="B3365" s="5" t="str">
        <f>"MESA RIÑONERA"</f>
        <v>MESA RIÑONERA</v>
      </c>
      <c r="C3365" s="6">
        <v>20843.5</v>
      </c>
      <c r="D3365" s="5"/>
      <c r="E3365" s="5" t="str">
        <f t="shared" si="161"/>
        <v>QUIROFANO -MARIA DEL PILAR MEDINA</v>
      </c>
      <c r="F3365" s="5" t="str">
        <f>"Descripcion: MESA RIÑONERA EN ACERO INOX. Estado: Bueno Placa anterior: 000027768 Material: ACERO Y METALICO Color: GRIS Referencia:  Observacion:  Placa padre: Tipo adquisicion: Entidad"</f>
        <v>Descripcion: MESA RIÑONERA EN ACERO INOX. Estado: Bueno Placa anterior: 000027768 Material: ACERO Y METALICO Color: GRIS Referencia:  Observacion:  Placa padre: Tipo adquisicion: Entidad</v>
      </c>
      <c r="G3365" s="5"/>
    </row>
    <row r="3366" spans="1:7" ht="58.5" customHeight="1" x14ac:dyDescent="0.25">
      <c r="A3366" s="5" t="str">
        <f>"H0012581"</f>
        <v>H0012581</v>
      </c>
      <c r="B3366" s="5" t="str">
        <f>"MESA PUENTE (ALIMENTACION) (INSTRUMENTAL)"</f>
        <v>MESA PUENTE (ALIMENTACION) (INSTRUMENTAL)</v>
      </c>
      <c r="C3366" s="6">
        <v>15000</v>
      </c>
      <c r="D3366" s="5"/>
      <c r="E3366" s="5" t="str">
        <f t="shared" si="161"/>
        <v>QUIROFANO -MARIA DEL PILAR MEDINA</v>
      </c>
      <c r="F3366" s="5" t="str">
        <f>"Descripcion: MESA PUENTE PARA EL INTRUMENTAL QUIRURGICO. CON BANDEJA DE ACRO INOXIDABLE Estado: Bueno Placa anterior: 000026928 Material: METALICO Y ACERO Color: BEIS Y GRIS Referencia:  Observacion: AUTORIZADO CONCILIAR EN CRUCE GENERAL Placa padre: Tipo"&amp; " adquisicion: Entidad"</f>
        <v>Descripcion: MESA PUENTE PARA EL INTRUMENTAL QUIRURGICO. CON BANDEJA DE ACRO INOXIDABLE Estado: Bueno Placa anterior: 000026928 Material: METALICO Y ACERO Color: BEIS Y GRIS Referencia:  Observacion: AUTORIZADO CONCILIAR EN CRUCE GENERAL Placa padre: Tipo adquisicion: Entidad</v>
      </c>
      <c r="G3366" s="5"/>
    </row>
    <row r="3367" spans="1:7" ht="58.5" customHeight="1" x14ac:dyDescent="0.25">
      <c r="A3367" s="5" t="str">
        <f>"H0012588"</f>
        <v>H0012588</v>
      </c>
      <c r="B3367" s="5" t="str">
        <f>"MONITOR DE SIGNOS VITALES"</f>
        <v>MONITOR DE SIGNOS VITALES</v>
      </c>
      <c r="C3367" s="6">
        <v>19140000</v>
      </c>
      <c r="D3367" s="5" t="s">
        <v>291</v>
      </c>
      <c r="E3367" s="5" t="str">
        <f t="shared" si="161"/>
        <v>QUIROFANO -MARIA DEL PILAR MEDINA</v>
      </c>
      <c r="F3367" s="5" t="str">
        <f>"Descripcion: MONITOR DE SIGNOS VITALES CON PRESION INVASIVA Estado: Bueno Placa anterior: 000032619 Material: PASTA Color: BEIGE Referencia:  Observacion:  Placa padre: Tipo adquisicion: Entidad"</f>
        <v>Descripcion: MONITOR DE SIGNOS VITALES CON PRESION INVASIVA Estado: Bueno Placa anterior: 000032619 Material: PASTA Color: BEIGE Referencia:  Observacion:  Placa padre: Tipo adquisicion: Entidad</v>
      </c>
      <c r="G3367" s="5" t="str">
        <f>"IPM12"</f>
        <v>IPM12</v>
      </c>
    </row>
    <row r="3368" spans="1:7" ht="58.5" customHeight="1" x14ac:dyDescent="0.25">
      <c r="A3368" s="5" t="str">
        <f>"H0012591"</f>
        <v>H0012591</v>
      </c>
      <c r="B3368" s="5" t="str">
        <f>"MESA RIÑONERA"</f>
        <v>MESA RIÑONERA</v>
      </c>
      <c r="C3368" s="6">
        <v>20843.5</v>
      </c>
      <c r="D3368" s="5"/>
      <c r="E3368" s="5" t="str">
        <f t="shared" si="161"/>
        <v>QUIROFANO -MARIA DEL PILAR MEDINA</v>
      </c>
      <c r="F3368" s="5" t="str">
        <f>"Descripcion: MESA RIÑONERA EN ACERO INOX. Estado: Bueno Placa anterior: 000014881 Material: ACERO INOXIDABLE Color: PLATEADO Referencia:  Observacion:  Placa padre: Tipo adquisicion: Entidad"</f>
        <v>Descripcion: MESA RIÑONERA EN ACERO INOX. Estado: Bueno Placa anterior: 000014881 Material: ACERO INOXIDABLE Color: PLATEADO Referencia:  Observacion:  Placa padre: Tipo adquisicion: Entidad</v>
      </c>
      <c r="G3368" s="5"/>
    </row>
    <row r="3369" spans="1:7" ht="58.5" customHeight="1" x14ac:dyDescent="0.25">
      <c r="A3369" s="5" t="str">
        <f>"H0012592"</f>
        <v>H0012592</v>
      </c>
      <c r="B3369" s="5" t="str">
        <f>"MESA PUENTE (ALIMENTACION) (INSTRUMENTAL)"</f>
        <v>MESA PUENTE (ALIMENTACION) (INSTRUMENTAL)</v>
      </c>
      <c r="C3369" s="6">
        <v>15000</v>
      </c>
      <c r="D3369" s="5"/>
      <c r="E3369" s="5" t="str">
        <f t="shared" si="161"/>
        <v>QUIROFANO -MARIA DEL PILAR MEDINA</v>
      </c>
      <c r="F3369" s="5" t="str">
        <f>"Descripcion: MESA PUENTE PARA SOPORTE DE BANDEJA PARA MATERIAL QUIRURGICO Estado: Bueno Placa anterior: 000026927 Material: METAL Color: BEIGE Referencia:  Observacion: EL BIEN TIENE PLACA 000027484 AUTORIZADO CONCILIAR EN CRUCE GENERAL Placa padre: Tipo "&amp; "adquisicion: Entidad"</f>
        <v>Descripcion: MESA PUENTE PARA SOPORTE DE BANDEJA PARA MATERIAL QUIRURGICO Estado: Bueno Placa anterior: 000026927 Material: METAL Color: BEIGE Referencia:  Observacion: EL BIEN TIENE PLACA 000027484 AUTORIZADO CONCILIAR EN CRUCE GENERAL Placa padre: Tipo adquisicion: Entidad</v>
      </c>
      <c r="G3369" s="5"/>
    </row>
    <row r="3370" spans="1:7" ht="58.5" customHeight="1" x14ac:dyDescent="0.25">
      <c r="A3370" s="5" t="str">
        <f>"H0012593"</f>
        <v>H0012593</v>
      </c>
      <c r="B3370" s="5" t="str">
        <f>"BANDEJA DE ACERO INOXIDABLE GRANDE"</f>
        <v>BANDEJA DE ACERO INOXIDABLE GRANDE</v>
      </c>
      <c r="C3370" s="6">
        <v>14616</v>
      </c>
      <c r="D3370" s="5"/>
      <c r="E3370" s="5" t="str">
        <f t="shared" si="161"/>
        <v>QUIROFANO -MARIA DEL PILAR MEDINA</v>
      </c>
      <c r="F3370" s="5" t="str">
        <f>"Descripcion: ANDEJA DE ACERO INOXIDABLE PARA PORTA INSTRUMENTAL QUIRURGICO Estado: Bueno Placa anterior: 000026312 Material: ACERO INOXIDABLE Color: PLATEADO Referencia:  Observacion:  Placa padre: Tipo adquisicion: Entidad"</f>
        <v>Descripcion: ANDEJA DE ACERO INOXIDABLE PARA PORTA INSTRUMENTAL QUIRURGICO Estado: Bueno Placa anterior: 000026312 Material: ACERO INOXIDABLE Color: PLATEADO Referencia:  Observacion:  Placa padre: Tipo adquisicion: Entidad</v>
      </c>
      <c r="G3370" s="5"/>
    </row>
    <row r="3371" spans="1:7" ht="58.5" customHeight="1" x14ac:dyDescent="0.25">
      <c r="A3371" s="5" t="str">
        <f>"H0012596"</f>
        <v>H0012596</v>
      </c>
      <c r="B3371" s="5" t="str">
        <f>"ESCALERILLA DE 2 PASOS"</f>
        <v>ESCALERILLA DE 2 PASOS</v>
      </c>
      <c r="C3371" s="6">
        <v>4455</v>
      </c>
      <c r="D3371" s="5"/>
      <c r="E3371" s="5" t="str">
        <f t="shared" si="161"/>
        <v>QUIROFANO -MARIA DEL PILAR MEDINA</v>
      </c>
      <c r="F3371" s="5" t="str">
        <f>"Descripcion: ESCALERA DE DOS PASOS  Estado: Regular Placa anterior: 000005671 Material: METALICO Y MADERA Color: BLANCO Y NEGRO Referencia:  Observacion: PINTURA EN MAL ESTADO AUTORIZADO CONCILIAR EN CRUCE GENERAL Placa padre: Tipo adquisicion: Entidad"</f>
        <v>Descripcion: ESCALERA DE DOS PASOS  Estado: Regular Placa anterior: 000005671 Material: METALICO Y MADERA Color: BLANCO Y NEGRO Referencia:  Observacion: PINTURA EN MAL ESTADO AUTORIZADO CONCILIAR EN CRUCE GENERAL Placa padre: Tipo adquisicion: Entidad</v>
      </c>
      <c r="G3371" s="5"/>
    </row>
    <row r="3372" spans="1:7" ht="58.5" customHeight="1" x14ac:dyDescent="0.25">
      <c r="A3372" s="5" t="str">
        <f>"H0012597"</f>
        <v>H0012597</v>
      </c>
      <c r="B3372" s="5" t="str">
        <f>"MESA QUIRURGICA"</f>
        <v>MESA QUIRURGICA</v>
      </c>
      <c r="C3372" s="6">
        <v>49300000</v>
      </c>
      <c r="D3372" s="5" t="s">
        <v>166</v>
      </c>
      <c r="E3372" s="5" t="str">
        <f t="shared" si="161"/>
        <v>QUIROFANO -MARIA DEL PILAR MEDINA</v>
      </c>
      <c r="F3372" s="5" t="str">
        <f>"Descripcion: MESA DE CIRUGIA ELECTROMECANICA. Mesa de cirugia electromecanica.Se aceptan mesas electrohidraulicas.Mesa de cirugia electromecanica o electrohidraulica de tres cuerpos con movimientos de trendeleburg a inverso, lateral levantamiento de espal"&amp; "dar, plecero Estado: Bueno Placa anterior: 000031386 Material: ACERO Y CUERO Color: GRIS Y NEGRO Referencia:  Observacion: NO SE OBSERVO SERIAL Placa padre: Tipo adquisicion: Entidad"</f>
        <v>Descripcion: MESA DE CIRUGIA ELECTROMECANICA. Mesa de cirugia electromecanica.Se aceptan mesas electrohidraulicas.Mesa de cirugia electromecanica o electrohidraulica de tres cuerpos con movimientos de trendeleburg a inverso, lateral levantamiento de espaldar, plecero Estado: Bueno Placa anterior: 000031386 Material: ACERO Y CUERO Color: GRIS Y NEGRO Referencia:  Observacion: NO SE OBSERVO SERIAL Placa padre: Tipo adquisicion: Entidad</v>
      </c>
      <c r="G3372" s="5" t="str">
        <f>"HYBASE6100"</f>
        <v>HYBASE6100</v>
      </c>
    </row>
    <row r="3373" spans="1:7" ht="58.5" customHeight="1" x14ac:dyDescent="0.25">
      <c r="A3373" s="5" t="str">
        <f>"H0012598"</f>
        <v>H0012598</v>
      </c>
      <c r="B3373" s="5" t="str">
        <f>"LAMPARA CIELITICA"</f>
        <v>LAMPARA CIELITICA</v>
      </c>
      <c r="C3373" s="6">
        <v>44999999</v>
      </c>
      <c r="D3373" s="5" t="s">
        <v>63</v>
      </c>
      <c r="E3373" s="5" t="str">
        <f t="shared" si="161"/>
        <v>QUIROFANO -MARIA DEL PILAR MEDINA</v>
      </c>
      <c r="F3373" s="5" t="str">
        <f>"Descripcion: LAMPARA CIELITICA CON DOS BRAZOS EXPANSIVOS Estado: Bueno Placa anterior: 000037990 Material: METAL  Color: BEIGE Referencia: 3002-S600750-90 Observacion:  Placa padre: Tipo adquisicion: Entidad"</f>
        <v>Descripcion: LAMPARA CIELITICA CON DOS BRAZOS EXPANSIVOS Estado: Bueno Placa anterior: 000037990 Material: METAL  Color: BEIGE Referencia: 3002-S600750-90 Observacion:  Placa padre: Tipo adquisicion: Entidad</v>
      </c>
      <c r="G3373" s="5" t="str">
        <f>"TRILITE LED S600-75"</f>
        <v>TRILITE LED S600-75</v>
      </c>
    </row>
    <row r="3374" spans="1:7" ht="58.5" customHeight="1" x14ac:dyDescent="0.25">
      <c r="A3374" s="5" t="str">
        <f>"H0012599"</f>
        <v>H0012599</v>
      </c>
      <c r="B3374" s="5" t="str">
        <f>"NEGATOSCOPIO"</f>
        <v>NEGATOSCOPIO</v>
      </c>
      <c r="C3374" s="6">
        <v>28000</v>
      </c>
      <c r="D3374" s="5"/>
      <c r="E3374" s="5" t="str">
        <f t="shared" si="161"/>
        <v>QUIROFANO -MARIA DEL PILAR MEDINA</v>
      </c>
      <c r="F3374" s="5" t="str">
        <f>"Descripcion: NEGATOSCOPIO DOBLE Estado: Bueno Placa anterior: 000027653 Material: PASTA Color: BLANCO Referencia:  Observacion:  Placa padre: Tipo adquisicion: Entidad"</f>
        <v>Descripcion: NEGATOSCOPIO DOBLE Estado: Bueno Placa anterior: 000027653 Material: PASTA Color: BLANCO Referencia:  Observacion:  Placa padre: Tipo adquisicion: Entidad</v>
      </c>
      <c r="G3374" s="5"/>
    </row>
    <row r="3375" spans="1:7" ht="58.5" customHeight="1" x14ac:dyDescent="0.25">
      <c r="A3375" s="5" t="str">
        <f>"H0012601"</f>
        <v>H0012601</v>
      </c>
      <c r="B3375" s="5" t="str">
        <f>"CARRO INSTRUMENTADOR QUIRURGICO"</f>
        <v>CARRO INSTRUMENTADOR QUIRURGICO</v>
      </c>
      <c r="C3375" s="6">
        <v>27500</v>
      </c>
      <c r="D3375" s="5"/>
      <c r="E3375" s="5" t="str">
        <f t="shared" si="161"/>
        <v>QUIROFANO -MARIA DEL PILAR MEDINA</v>
      </c>
      <c r="F3375" s="5" t="str">
        <f>"Descripcion: CARRO SOPORTE CON RODACHINAS PARA ELECTROBISTURI Estado: Bueno Placa anterior: 000027656 Material: METAL Color: BEIGE Referencia:  Observacion: FUNCIONARIO AUTORIZA SE CONCILIE CON PLACA 000027656  Placa padre: Tipo adquisicion: Entidad"</f>
        <v>Descripcion: CARRO SOPORTE CON RODACHINAS PARA ELECTROBISTURI Estado: Bueno Placa anterior: 000027656 Material: METAL Color: BEIGE Referencia:  Observacion: FUNCIONARIO AUTORIZA SE CONCILIE CON PLACA 000027656  Placa padre: Tipo adquisicion: Entidad</v>
      </c>
      <c r="G3375" s="5"/>
    </row>
    <row r="3376" spans="1:7" ht="58.5" customHeight="1" x14ac:dyDescent="0.25">
      <c r="A3376" s="5" t="str">
        <f>"H0012602"</f>
        <v>H0012602</v>
      </c>
      <c r="B3376" s="5" t="str">
        <f>"SILLA ERGONOMICA TIPO SECRETARIA SIN BRAZOS"</f>
        <v>SILLA ERGONOMICA TIPO SECRETARIA SIN BRAZOS</v>
      </c>
      <c r="C3376" s="6">
        <v>338720</v>
      </c>
      <c r="D3376" s="5"/>
      <c r="E3376" s="5" t="str">
        <f t="shared" si="161"/>
        <v>QUIROFANO -MARIA DEL PILAR MEDINA</v>
      </c>
      <c r="F3376" s="5" t="str">
        <f>"Descripcion: SILLA ERGONOMICA BPE 03 GIRATORIA Estado: Bueno Placa anterior: 000025328 Material: METAL PASTA Y CUERINA Color: NEGRO Referencia:  Observacion:  Placa padre: Tipo adquisicion: Entidad"</f>
        <v>Descripcion: SILLA ERGONOMICA BPE 03 GIRATORIA Estado: Bueno Placa anterior: 000025328 Material: METAL PASTA Y CUERINA Color: NEGRO Referencia:  Observacion:  Placa padre: Tipo adquisicion: Entidad</v>
      </c>
      <c r="G3376" s="5"/>
    </row>
    <row r="3377" spans="1:7" ht="58.5" customHeight="1" x14ac:dyDescent="0.25">
      <c r="A3377" s="5" t="str">
        <f>"H0012606"</f>
        <v>H0012606</v>
      </c>
      <c r="B3377" s="5" t="str">
        <f>"POTE (TARRO) ACERO INXODABLE CON TAPA GRANDE"</f>
        <v>POTE (TARRO) ACERO INXODABLE CON TAPA GRANDE</v>
      </c>
      <c r="C3377" s="6">
        <v>5547.87</v>
      </c>
      <c r="D3377" s="5"/>
      <c r="E3377" s="5" t="str">
        <f t="shared" si="161"/>
        <v>QUIROFANO -MARIA DEL PILAR MEDINA</v>
      </c>
      <c r="F3377" s="5" t="str">
        <f>"Descripcion: POTE (TARRO) ACERO INXODABLE CON TAPA GRANDE Estado: Bueno Placa anterior: 000019477 Material: ACERO Color: PLATEADO Referencia:  Observacion:  Placa padre: Tipo adquisicion: Entidad"</f>
        <v>Descripcion: POTE (TARRO) ACERO INXODABLE CON TAPA GRANDE Estado: Bueno Placa anterior: 000019477 Material: ACERO Color: PLATEADO Referencia:  Observacion:  Placa padre: Tipo adquisicion: Entidad</v>
      </c>
      <c r="G3377" s="5"/>
    </row>
    <row r="3378" spans="1:7" ht="58.5" customHeight="1" x14ac:dyDescent="0.25">
      <c r="A3378" s="5" t="str">
        <f>"H0012607"</f>
        <v>H0012607</v>
      </c>
      <c r="B3378" s="5" t="str">
        <f>"POTE (TARRO) ACERO INXODABLE CON TAPA GRANDE"</f>
        <v>POTE (TARRO) ACERO INXODABLE CON TAPA GRANDE</v>
      </c>
      <c r="C3378" s="6">
        <v>5547.87</v>
      </c>
      <c r="D3378" s="5"/>
      <c r="E3378" s="5" t="str">
        <f t="shared" si="161"/>
        <v>QUIROFANO -MARIA DEL PILAR MEDINA</v>
      </c>
      <c r="F3378" s="5" t="str">
        <f>"Descripcion: POTE (TARRO) ACERO INXODABLE CON TAPA GRANDE Estado: Bueno Placa anterior: 000027649 Material: ACERO Color: PLATEADO Referencia:  Observacion:  Placa padre: Tipo adquisicion: Entidad"</f>
        <v>Descripcion: POTE (TARRO) ACERO INXODABLE CON TAPA GRANDE Estado: Bueno Placa anterior: 000027649 Material: ACERO Color: PLATEADO Referencia:  Observacion:  Placa padre: Tipo adquisicion: Entidad</v>
      </c>
      <c r="G3378" s="5"/>
    </row>
    <row r="3379" spans="1:7" ht="58.5" customHeight="1" x14ac:dyDescent="0.25">
      <c r="A3379" s="5" t="str">
        <f>"H0012615"</f>
        <v>H0012615</v>
      </c>
      <c r="B3379" s="5" t="str">
        <f>"MESA (CARRO) DE CURACIONES"</f>
        <v>MESA (CARRO) DE CURACIONES</v>
      </c>
      <c r="C3379" s="6">
        <v>37276</v>
      </c>
      <c r="D3379" s="5"/>
      <c r="E3379" s="5" t="str">
        <f t="shared" si="161"/>
        <v>QUIROFANO -MARIA DEL PILAR MEDINA</v>
      </c>
      <c r="F3379" s="5" t="str">
        <f>"Descripcion: CON DOS ENTREPAÑOS Estado: Bueno Placa anterior: 000027863 Material: METALICO Y ACERO Color: GRIS Referencia:  Observacion:  Placa padre: Tipo adquisicion: Entidad"</f>
        <v>Descripcion: CON DOS ENTREPAÑOS Estado: Bueno Placa anterior: 000027863 Material: METALICO Y ACERO Color: GRIS Referencia:  Observacion:  Placa padre: Tipo adquisicion: Entidad</v>
      </c>
      <c r="G3379" s="5"/>
    </row>
    <row r="3380" spans="1:7" ht="58.5" customHeight="1" x14ac:dyDescent="0.25">
      <c r="A3380" s="5" t="str">
        <f>"H0012617"</f>
        <v>H0012617</v>
      </c>
      <c r="B3380" s="5" t="str">
        <f>"MESA PUENTE (ALIMENTACION) (INSTRUMENTAL)"</f>
        <v>MESA PUENTE (ALIMENTACION) (INSTRUMENTAL)</v>
      </c>
      <c r="C3380" s="6">
        <v>15000</v>
      </c>
      <c r="D3380" s="5"/>
      <c r="E3380" s="5" t="str">
        <f t="shared" si="161"/>
        <v>QUIROFANO -MARIA DEL PILAR MEDINA</v>
      </c>
      <c r="F3380" s="5" t="str">
        <f>"Descripcion: MESA PUENTE PARA SOPORTAR LA BANDEJA QUE LLEVA EL INSTRUMENTAL Estado: Bueno Placa anterior: 000021544 Material: METALICO Color: BEIS Referencia:  Observacion: EL BIEN TIENE PLACA 000025978 AUTORIZADO CONCILIAR EN CRUCE GENERAL Placa padre: T"&amp; "ipo adquisicion: Entidad"</f>
        <v>Descripcion: MESA PUENTE PARA SOPORTAR LA BANDEJA QUE LLEVA EL INSTRUMENTAL Estado: Bueno Placa anterior: 000021544 Material: METALICO Color: BEIS Referencia:  Observacion: EL BIEN TIENE PLACA 000025978 AUTORIZADO CONCILIAR EN CRUCE GENERAL Placa padre: Tipo adquisicion: Entidad</v>
      </c>
      <c r="G3380" s="5"/>
    </row>
    <row r="3381" spans="1:7" ht="58.5" customHeight="1" x14ac:dyDescent="0.25">
      <c r="A3381" s="5" t="str">
        <f>"H0012618"</f>
        <v>H0012618</v>
      </c>
      <c r="B3381" s="5" t="str">
        <f>"BANDEJA DE ACERO INOXIDABLE MEDIANA"</f>
        <v>BANDEJA DE ACERO INOXIDABLE MEDIANA</v>
      </c>
      <c r="C3381" s="6">
        <v>3819.2</v>
      </c>
      <c r="D3381" s="5"/>
      <c r="E3381" s="5" t="str">
        <f t="shared" si="161"/>
        <v>QUIROFANO -MARIA DEL PILAR MEDINA</v>
      </c>
      <c r="F3381" s="5" t="str">
        <f>"Descripcion: PARA COLOCAR EL INSTRUMENTAL Estado: Bueno Placa anterior: 000014378 Material: ACERO INOXIDABLE Color: GRIS Referencia:  Observacion:  Placa padre: Tipo adquisicion: Entidad"</f>
        <v>Descripcion: PARA COLOCAR EL INSTRUMENTAL Estado: Bueno Placa anterior: 000014378 Material: ACERO INOXIDABLE Color: GRIS Referencia:  Observacion:  Placa padre: Tipo adquisicion: Entidad</v>
      </c>
      <c r="G3381" s="5"/>
    </row>
    <row r="3382" spans="1:7" ht="58.5" customHeight="1" x14ac:dyDescent="0.25">
      <c r="A3382" s="5" t="str">
        <f>"H0012619"</f>
        <v>H0012619</v>
      </c>
      <c r="B3382" s="5" t="str">
        <f>"MESA RIÑONERA"</f>
        <v>MESA RIÑONERA</v>
      </c>
      <c r="C3382" s="6">
        <v>20843.5</v>
      </c>
      <c r="D3382" s="5"/>
      <c r="E3382" s="5" t="str">
        <f t="shared" si="161"/>
        <v>QUIROFANO -MARIA DEL PILAR MEDINA</v>
      </c>
      <c r="F3382" s="5" t="str">
        <f>"Descripcion: MESA CON RODACHINES Estado: Bueno Placa anterior: 000027866 Material: ACERO INOXIDABLE Color: GRIS Referencia:  Observacion:  Placa padre: Tipo adquisicion: Entidad"</f>
        <v>Descripcion: MESA CON RODACHINES Estado: Bueno Placa anterior: 000027866 Material: ACERO INOXIDABLE Color: GRIS Referencia:  Observacion:  Placa padre: Tipo adquisicion: Entidad</v>
      </c>
      <c r="G3382" s="5"/>
    </row>
    <row r="3383" spans="1:7" ht="58.5" customHeight="1" x14ac:dyDescent="0.25">
      <c r="A3383" s="5" t="str">
        <f>"H0012620"</f>
        <v>H0012620</v>
      </c>
      <c r="B3383"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383" s="6">
        <v>13001280</v>
      </c>
      <c r="D3383" s="5" t="s">
        <v>292</v>
      </c>
      <c r="E3383" s="5" t="str">
        <f t="shared" si="161"/>
        <v>QUIROFANO -MARIA DEL PILAR MEDINA</v>
      </c>
      <c r="F3383" s="5" t="str">
        <f>"Descripcion: ELECTROBISTURI ELECTROBISTURI MEDITOM DT 300 P Electrobisturi Monopolar de corte y coagulación:-Corte: corte puro (300W), mezcla I(200W), Mezcla II(150W) y MezclaIII(100W). -Coagulación: Contacto (80W)y spray (80W). Bipolar:-Coagulación están"&amp; "dar (80W) -C Estado: Bueno Placa anterior: 000037188 Material: METALICO Color: MARRON Referencia:  Observacion:  Placa anterior:000037991, Placa nueva=H0012630, Descripcion:LAMPARA CIELITICA MARCA BENQ REF. LED 75 DE DE DOS SATELITE, SISTEMA DE LEDS, CON "&amp; "MANGO ESTERILIZABLE EN CADA SAT, MONTADA SOBRE BASES DE ANCLAJE CIELITICO DE ROTACION 360* TIEMPOD E VIDA DE LOS LESD 50.0000 HORAS VOLTAJE DE ENTRADAS 120VAC FRECUENCIA 60, Serial:2E243-01-0005, Marca:BENQ, Modelo:TRILITELED S600-750, Material:METALICA, "&amp; "Color:BLANCA Y AZUL,Referencia: Placa padre: Tipo adquisicion: Entidad"</f>
        <v>Descripcion: ELECTROBISTURI ELECTROBISTURI MEDITOM DT 300 P Electrobisturi Monopolar de corte y coagulación:-Corte: corte puro (300W), mezcla I(200W), Mezcla II(150W) y MezclaIII(100W). -Coagulación: Contacto (80W)y spray (80W). Bipolar:-Coagulación estándar (80W) -C Estado: Bueno Placa anterior: 000037188 Material: METALICO Color: MARRON Referencia:  Observacion:  Placa anterior:000037991, Placa nueva=H0012630, Descripcion:LAMPARA CIELITICA MARCA BENQ REF. LED 75 DE DE DOS SATELITE, SISTEMA DE LEDS, CON MANGO ESTERILIZABLE EN CADA SAT, MONTADA SOBRE BASES DE ANCLAJE CIELITICO DE ROTACION 360* TIEMPOD E VIDA DE LOS LESD 50.0000 HORAS VOLTAJE DE ENTRADAS 120VAC FRECUENCIA 60, Serial:2E243-01-0005, Marca:BENQ, Modelo:TRILITELED S600-750, Material:METALICA, Color:BLANCA Y AZUL,Referencia: Placa padre: Tipo adquisicion: Entidad</v>
      </c>
      <c r="G3383" s="5" t="str">
        <f>"DT-300P"</f>
        <v>DT-300P</v>
      </c>
    </row>
    <row r="3384" spans="1:7" ht="58.5" customHeight="1" x14ac:dyDescent="0.25">
      <c r="A3384" s="5" t="str">
        <f>"H0012622"</f>
        <v>H0012622</v>
      </c>
      <c r="B3384" s="5" t="str">
        <f>"ATRIL PORTASUERO MOVIL"</f>
        <v>ATRIL PORTASUERO MOVIL</v>
      </c>
      <c r="C3384" s="6">
        <v>5373.19</v>
      </c>
      <c r="D3384" s="5"/>
      <c r="E3384" s="5" t="str">
        <f t="shared" si="161"/>
        <v>QUIROFANO -MARIA DEL PILAR MEDINA</v>
      </c>
      <c r="F3384" s="5" t="str">
        <f>"Descripcion: ATRIL 184 CM Estado: Bueno Placa anterior: 000026297 Material: METALICO Color: BEIS Referencia:  Observacion:  Placa padre: Tipo adquisicion: Entidad"</f>
        <v>Descripcion: ATRIL 184 CM Estado: Bueno Placa anterior: 000026297 Material: METALICO Color: BEIS Referencia:  Observacion:  Placa padre: Tipo adquisicion: Entidad</v>
      </c>
      <c r="G3384" s="5"/>
    </row>
    <row r="3385" spans="1:7" ht="58.5" customHeight="1" x14ac:dyDescent="0.25">
      <c r="A3385" s="5" t="str">
        <f>"H0012624"</f>
        <v>H0012624</v>
      </c>
      <c r="B3385" s="5" t="str">
        <f>"BUTACO"</f>
        <v>BUTACO</v>
      </c>
      <c r="C3385" s="6">
        <v>6930</v>
      </c>
      <c r="D3385" s="5"/>
      <c r="E3385" s="5" t="str">
        <f t="shared" si="161"/>
        <v>QUIROFANO -MARIA DEL PILAR MEDINA</v>
      </c>
      <c r="F3385" s="5" t="str">
        <f>"Descripcion: BUTACO EN MADERA Estado: Bueno Placa anterior: 000014888 Material: MADERA Color: GRIS Referencia:  Observacion:  Placa padre: Tipo adquisicion: Entidad"</f>
        <v>Descripcion: BUTACO EN MADERA Estado: Bueno Placa anterior: 000014888 Material: MADERA Color: GRIS Referencia:  Observacion:  Placa padre: Tipo adquisicion: Entidad</v>
      </c>
      <c r="G3385" s="5"/>
    </row>
    <row r="3386" spans="1:7" ht="58.5" customHeight="1" x14ac:dyDescent="0.25">
      <c r="A3386" s="5" t="str">
        <f>"H0012626"</f>
        <v>H0012626</v>
      </c>
      <c r="B3386" s="5" t="str">
        <f>"BANDEJA DE ACERO INOXIDABLE MEDIANA"</f>
        <v>BANDEJA DE ACERO INOXIDABLE MEDIANA</v>
      </c>
      <c r="C3386" s="6">
        <v>14616</v>
      </c>
      <c r="D3386" s="5"/>
      <c r="E3386" s="5" t="str">
        <f t="shared" si="161"/>
        <v>QUIROFANO -MARIA DEL PILAR MEDINA</v>
      </c>
      <c r="F3386" s="5" t="str">
        <f>"Descripcion: BADEJA  Estado: Bueno Placa anterior: 000026315 Material: ACERO INOXIDABLE Color: GRIS Referencia:  Observacion:  Placa padre: Tipo adquisicion: Entidad"</f>
        <v>Descripcion: BADEJA  Estado: Bueno Placa anterior: 000026315 Material: ACERO INOXIDABLE Color: GRIS Referencia:  Observacion:  Placa padre: Tipo adquisicion: Entidad</v>
      </c>
      <c r="G3386" s="5"/>
    </row>
    <row r="3387" spans="1:7" ht="58.5" customHeight="1" x14ac:dyDescent="0.25">
      <c r="A3387" s="5" t="str">
        <f>"H0012630"</f>
        <v>H0012630</v>
      </c>
      <c r="B3387" s="5" t="str">
        <f>"LAMPARA CIELITICA"</f>
        <v>LAMPARA CIELITICA</v>
      </c>
      <c r="C3387" s="6">
        <v>44999999</v>
      </c>
      <c r="D3387" s="5" t="s">
        <v>63</v>
      </c>
      <c r="E3387" s="5" t="str">
        <f t="shared" si="161"/>
        <v>QUIROFANO -MARIA DEL PILAR MEDINA</v>
      </c>
      <c r="F3387" s="5" t="str">
        <f>"Descripcion: LAMPARA CIELITICA MARCA BENQ REF. LED 75 DE DE DOS SATELITE, SISTEMA DE LEDS, CON MANGO ESTERILIZABLE EN CADA SAT, MONTADA SOBRE BASES DE ANCLAJE CIELITICO DE ROTACION 360* TIEMPOD E VIDA DE LOS LESD 50.0000 HORAS VOLTAJE DE ENTRADAS 120VAC F"&amp; "RECUENCIA 60 Estado: Bueno Placa anterior: 000037991 Material: METALICA Color: BLANCA Y AZUL Referencia:  Observacion:  Placa padre: H0012620Tipo adquisicion: Entidad"</f>
        <v>Descripcion: LAMPARA CIELITICA MARCA BENQ REF. LED 75 DE DE DOS SATELITE, SISTEMA DE LEDS, CON MANGO ESTERILIZABLE EN CADA SAT, MONTADA SOBRE BASES DE ANCLAJE CIELITICO DE ROTACION 360* TIEMPOD E VIDA DE LOS LESD 50.0000 HORAS VOLTAJE DE ENTRADAS 120VAC FRECUENCIA 60 Estado: Bueno Placa anterior: 000037991 Material: METALICA Color: BLANCA Y AZUL Referencia:  Observacion:  Placa padre: H0012620Tipo adquisicion: Entidad</v>
      </c>
      <c r="G3387" s="5" t="str">
        <f>"TRILITELED S600-750"</f>
        <v>TRILITELED S600-750</v>
      </c>
    </row>
    <row r="3388" spans="1:7" ht="58.5" customHeight="1" x14ac:dyDescent="0.25">
      <c r="A3388" s="5" t="str">
        <f>"H0012633"</f>
        <v>H0012633</v>
      </c>
      <c r="B3388" s="5" t="str">
        <f>"RIÑONERA HOSPITALARIA EN ACERO INOXIDABLE"</f>
        <v>RIÑONERA HOSPITALARIA EN ACERO INOXIDABLE</v>
      </c>
      <c r="C3388" s="6">
        <v>1707.23</v>
      </c>
      <c r="D3388" s="5"/>
      <c r="E3388" s="5" t="str">
        <f t="shared" si="161"/>
        <v>QUIROFANO -MARIA DEL PILAR MEDINA</v>
      </c>
      <c r="F3388" s="5" t="str">
        <f>"Descripcion: RIÑONERA Estado: Bueno Placa anterior: 000019207 Material: ACERO INOXIDABLE Color: GRIS Referencia:  Observacion:  Placa padre: Tipo adquisicion: Entidad"</f>
        <v>Descripcion: RIÑONERA Estado: Bueno Placa anterior: 000019207 Material: ACERO INOXIDABLE Color: GRIS Referencia:  Observacion:  Placa padre: Tipo adquisicion: Entidad</v>
      </c>
      <c r="G3388" s="5"/>
    </row>
    <row r="3389" spans="1:7" ht="58.5" customHeight="1" x14ac:dyDescent="0.25">
      <c r="A3389" s="5" t="str">
        <f>"H0012634"</f>
        <v>H0012634</v>
      </c>
      <c r="B3389" s="5" t="str">
        <f>"ATRIL PORTASUERO MOVIL"</f>
        <v>ATRIL PORTASUERO MOVIL</v>
      </c>
      <c r="C3389" s="6">
        <v>5373.19</v>
      </c>
      <c r="D3389" s="5"/>
      <c r="E3389" s="5" t="str">
        <f t="shared" si="161"/>
        <v>QUIROFANO -MARIA DEL PILAR MEDINA</v>
      </c>
      <c r="F3389" s="5" t="str">
        <f>"Descripcion: ATRIL 184 CM Estado: Bueno Placa anterior: 000027655 Material: ACERO INOXIDABLE Color: GRIS Referencia:  Observacion:  Placa padre: Tipo adquisicion: Entidad"</f>
        <v>Descripcion: ATRIL 184 CM Estado: Bueno Placa anterior: 000027655 Material: ACERO INOXIDABLE Color: GRIS Referencia:  Observacion:  Placa padre: Tipo adquisicion: Entidad</v>
      </c>
      <c r="G3389" s="5"/>
    </row>
    <row r="3390" spans="1:7" ht="58.5" customHeight="1" x14ac:dyDescent="0.25">
      <c r="A3390" s="5" t="str">
        <f>"H0012635"</f>
        <v>H0012635</v>
      </c>
      <c r="B3390" s="5" t="str">
        <f>"MESA (CARRO) DE CURACIONES"</f>
        <v>MESA (CARRO) DE CURACIONES</v>
      </c>
      <c r="C3390" s="6">
        <v>37276</v>
      </c>
      <c r="D3390" s="5"/>
      <c r="E3390" s="5" t="str">
        <f t="shared" si="161"/>
        <v>QUIROFANO -MARIA DEL PILAR MEDINA</v>
      </c>
      <c r="F3390" s="5" t="str">
        <f>"Descripcion: CON DOS ENTREPAÑOS Y RODACHINES Estado: Bueno Placa anterior: 000027861 Material: METALICO Y ACERO Color: GRIS Referencia:  Observacion:  Placa padre: Tipo adquisicion: Entidad"</f>
        <v>Descripcion: CON DOS ENTREPAÑOS Y RODACHINES Estado: Bueno Placa anterior: 000027861 Material: METALICO Y ACERO Color: GRIS Referencia:  Observacion:  Placa padre: Tipo adquisicion: Entidad</v>
      </c>
      <c r="G3390" s="5"/>
    </row>
    <row r="3391" spans="1:7" ht="58.5" customHeight="1" x14ac:dyDescent="0.25">
      <c r="A3391" s="5" t="str">
        <f>"H0012639"</f>
        <v>H0012639</v>
      </c>
      <c r="B3391" s="5" t="str">
        <f>"CARRO CIRCULAR TRANSPORTE DE BOLSAS"</f>
        <v>CARRO CIRCULAR TRANSPORTE DE BOLSAS</v>
      </c>
      <c r="C3391" s="6">
        <v>85500</v>
      </c>
      <c r="D3391" s="5"/>
      <c r="E3391" s="5" t="str">
        <f t="shared" si="161"/>
        <v>QUIROFANO -MARIA DEL PILAR MEDINA</v>
      </c>
      <c r="F3391" s="5" t="str">
        <f>"Descripcion: ESTRUCTURA METALICA CON RODACHINES PARA SOPORTE DE BOLSA DE BASURA Estado: Bueno Placa anterior: 000027681 Material: METALICO Color: BEIS Referencia:  Observacion:  Placa padre: Tipo adquisicion: Entidad"</f>
        <v>Descripcion: ESTRUCTURA METALICA CON RODACHINES PARA SOPORTE DE BOLSA DE BASURA Estado: Bueno Placa anterior: 000027681 Material: METALICO Color: BEIS Referencia:  Observacion:  Placa padre: Tipo adquisicion: Entidad</v>
      </c>
      <c r="G3391" s="5"/>
    </row>
    <row r="3392" spans="1:7" ht="58.5" customHeight="1" x14ac:dyDescent="0.25">
      <c r="A3392" s="5" t="str">
        <f>"H0012640"</f>
        <v>H0012640</v>
      </c>
      <c r="B3392"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392" s="6">
        <v>10266000</v>
      </c>
      <c r="D3392" s="5" t="s">
        <v>287</v>
      </c>
      <c r="E3392" s="5" t="str">
        <f t="shared" si="161"/>
        <v>QUIROFANO -MARIA DEL PILAR MEDINA</v>
      </c>
      <c r="F3392" s="5" t="str">
        <f>"Descripcion: ELECTROBISTURI monopolar de corte y coagulacion corte puro (300W) mezcla I (200W) mezcla II (150W) y Mezcla III (100W). Coagulacion:Contacto (800W) y spray (80W). Bipolar:coagulacion Estandar (80W)-Coagulacion Soft (40W). Accesorios:Pedales u"&amp; "no doble y s Estado: Bueno Placa anterior: 000030661 Material: METALICO Color: MARRON Referencia:  Observacion:  Placa padre: Tipo adquisicion: Entidad"</f>
        <v>Descripcion: ELECTROBISTURI monopolar de corte y coagulacion corte puro (300W) mezcla I (200W) mezcla II (150W) y Mezcla III (100W). Coagulacion:Contacto (800W) y spray (80W). Bipolar:coagulacion Estandar (80W)-Coagulacion Soft (40W). Accesorios:Pedales uno doble y s Estado: Bueno Placa anterior: 000030661 Material: METALICO Color: MARRON Referencia:  Observacion:  Placa padre: Tipo adquisicion: Entidad</v>
      </c>
      <c r="G3392" s="5" t="str">
        <f>"DT-300P"</f>
        <v>DT-300P</v>
      </c>
    </row>
    <row r="3393" spans="1:7" ht="58.5" customHeight="1" x14ac:dyDescent="0.25">
      <c r="A3393" s="5" t="str">
        <f>"H0012641"</f>
        <v>H0012641</v>
      </c>
      <c r="B3393" s="5" t="str">
        <f>"BASE PARA ELECTROBISTURI"</f>
        <v>BASE PARA ELECTROBISTURI</v>
      </c>
      <c r="C3393" s="6">
        <v>50000</v>
      </c>
      <c r="D3393" s="5"/>
      <c r="E3393" s="5" t="str">
        <f t="shared" si="161"/>
        <v>QUIROFANO -MARIA DEL PILAR MEDINA</v>
      </c>
      <c r="F3393" s="5" t="str">
        <f>"Descripcion: CARRO PARA SOPORTE DE ELECTROBISTURI CON DOS ENTREPAÑOS  Estado: Bueno Placa anterior: 000022378 Material: METALICO Color: GRIS Referencia:  Observacion:  Placa padre: Tipo adquisicion: Entidad"</f>
        <v>Descripcion: CARRO PARA SOPORTE DE ELECTROBISTURI CON DOS ENTREPAÑOS  Estado: Bueno Placa anterior: 000022378 Material: METALICO Color: GRIS Referencia:  Observacion:  Placa padre: Tipo adquisicion: Entidad</v>
      </c>
      <c r="G3393" s="5"/>
    </row>
    <row r="3394" spans="1:7" ht="58.5" customHeight="1" x14ac:dyDescent="0.25">
      <c r="A3394" s="5" t="str">
        <f>"H0012642"</f>
        <v>H0012642</v>
      </c>
      <c r="B3394" s="5" t="str">
        <f>"MESA RIÑONERA"</f>
        <v>MESA RIÑONERA</v>
      </c>
      <c r="C3394" s="6">
        <v>20843.5</v>
      </c>
      <c r="D3394" s="5"/>
      <c r="E3394" s="5" t="str">
        <f t="shared" si="161"/>
        <v>QUIROFANO -MARIA DEL PILAR MEDINA</v>
      </c>
      <c r="F3394" s="5" t="str">
        <f>"Descripcion: MESA ROÑONERA Estado: Bueno Placa anterior: 000014845 Material: METALICA Y ACERO Color: GRIS Referencia:  Observacion:  Placa padre: Tipo adquisicion: Entidad"</f>
        <v>Descripcion: MESA ROÑONERA Estado: Bueno Placa anterior: 000014845 Material: METALICA Y ACERO Color: GRIS Referencia:  Observacion:  Placa padre: Tipo adquisicion: Entidad</v>
      </c>
      <c r="G3394" s="5"/>
    </row>
    <row r="3395" spans="1:7" ht="58.5" customHeight="1" x14ac:dyDescent="0.25">
      <c r="A3395" s="5" t="str">
        <f>"H0012644"</f>
        <v>H0012644</v>
      </c>
      <c r="B3395" s="5" t="str">
        <f>"MESA PUENTE (ALIMENTACION) (INSTRUMENTAL)"</f>
        <v>MESA PUENTE (ALIMENTACION) (INSTRUMENTAL)</v>
      </c>
      <c r="C3395" s="6">
        <v>15000</v>
      </c>
      <c r="D3395" s="5"/>
      <c r="E3395" s="5" t="str">
        <f t="shared" si="161"/>
        <v>QUIROFANO -MARIA DEL PILAR MEDINA</v>
      </c>
      <c r="F3395" s="5" t="str">
        <f>"Descripcion: MESA PUENTE PARA SOPORTAR LA BANDEJA QUE LLEVA EL INSTRUMENTAL Estado: Bueno Placa anterior: 000027223 Material: METALICO Color: BEIS Referencia:  Observacion: AUTORIZADO CONCILIAR EN CRUCE GENERAL Placa padre: Tipo adquisicion: Entidad"</f>
        <v>Descripcion: MESA PUENTE PARA SOPORTAR LA BANDEJA QUE LLEVA EL INSTRUMENTAL Estado: Bueno Placa anterior: 000027223 Material: METALICO Color: BEIS Referencia:  Observacion: AUTORIZADO CONCILIAR EN CRUCE GENERAL Placa padre: Tipo adquisicion: Entidad</v>
      </c>
      <c r="G3395" s="5"/>
    </row>
    <row r="3396" spans="1:7" ht="58.5" customHeight="1" x14ac:dyDescent="0.25">
      <c r="A3396" s="5" t="str">
        <f>"H0012646"</f>
        <v>H0012646</v>
      </c>
      <c r="B3396" s="5" t="str">
        <f>"MESA QUIRURGICA"</f>
        <v>MESA QUIRURGICA</v>
      </c>
      <c r="C3396" s="6">
        <v>1938116.78</v>
      </c>
      <c r="D3396" s="5"/>
      <c r="E3396" s="5" t="str">
        <f t="shared" si="161"/>
        <v>QUIROFANO -MARIA DEL PILAR MEDINA</v>
      </c>
      <c r="F3396" s="5" t="str">
        <f>"Descripcion: MESA DE CIRUGIA CON SUS APOYA BRAZOS Estado: Bueno Placa anterior: 000027751 Material: ACERO Y CUERO Color: GRIS Y NEGRO Referencia:  Observacion:  Placa anterior:000031372, Placa nueva=H0012647, Descripcion:LAMPARA CIELITICA. De dos satelite"&amp; "s, sistema de leds, pieza de movilizador esterizable, montadas sobre bases de anclaje, cielitica de rotacion 360° tiempo de vida de los leds 20.000 horas de voltaje de entrada 120vac frecuencia 60hz con iluminacion minim, Serial:15-45000115, Marca:MINDRAY"&amp; ", Modelo:HYLED 760, Material:METALICO, Color:BLANCO, Referencia: Placa padre: Tipo adquisicion: Entidad"</f>
        <v>Descripcion: MESA DE CIRUGIA CON SUS APOYA BRAZOS Estado: Bueno Placa anterior: 000027751 Material: ACERO Y CUERO Color: GRIS Y NEGRO Referencia:  Observacion:  Placa anterior:000031372, Placa nueva=H0012647, Descripcion:LAMPARA CIELITICA. De dos satelites, sistema de leds, pieza de movilizador esterizable, montadas sobre bases de anclaje, cielitica de rotacion 360° tiempo de vida de los leds 20.000 horas de voltaje de entrada 120vac frecuencia 60hz con iluminacion minim, Serial:15-45000115, Marca:MINDRAY, Modelo:HYLED 760, Material:METALICO, Color:BLANCO, Referencia: Placa padre: Tipo adquisicion: Entidad</v>
      </c>
      <c r="G3396" s="5" t="str">
        <f>"HYBASE6100"</f>
        <v>HYBASE6100</v>
      </c>
    </row>
    <row r="3397" spans="1:7" ht="58.5" customHeight="1" x14ac:dyDescent="0.25">
      <c r="A3397" s="5" t="str">
        <f>"H0012647"</f>
        <v>H0012647</v>
      </c>
      <c r="B3397" s="5" t="str">
        <f>"LAMPARA CIELITICA"</f>
        <v>LAMPARA CIELITICA</v>
      </c>
      <c r="C3397" s="6">
        <v>37758000</v>
      </c>
      <c r="D3397" s="5" t="s">
        <v>166</v>
      </c>
      <c r="E3397" s="5" t="str">
        <f t="shared" si="161"/>
        <v>QUIROFANO -MARIA DEL PILAR MEDINA</v>
      </c>
      <c r="F3397" s="5" t="str">
        <f>"Descripcion: LAMPARA CIELITICA. De dos satelites, sistema de leds, pieza de movilizador esterizable, montadas sobre bases de anclaje, cielitica de rotacion 360° tiempo de vida de los leds 20.000 horas de voltaje de entrada 120vac frecuencia 60hz con ilumi"&amp; "nacion minim Estado: Bueno Placa anterior: 000031372 Material: METALICO Color: BLANCO Referencia:  Observacion:  Placa padre: H0012646Tipo adquisicion: Entidad"</f>
        <v>Descripcion: LAMPARA CIELITICA. De dos satelites, sistema de leds, pieza de movilizador esterizable, montadas sobre bases de anclaje, cielitica de rotacion 360° tiempo de vida de los leds 20.000 horas de voltaje de entrada 120vac frecuencia 60hz con iluminacion minim Estado: Bueno Placa anterior: 000031372 Material: METALICO Color: BLANCO Referencia:  Observacion:  Placa padre: H0012646Tipo adquisicion: Entidad</v>
      </c>
      <c r="G3397" s="5" t="str">
        <f>"HYLED 760"</f>
        <v>HYLED 760</v>
      </c>
    </row>
    <row r="3398" spans="1:7" ht="58.5" customHeight="1" x14ac:dyDescent="0.25">
      <c r="A3398" s="5" t="str">
        <f>"H0012650"</f>
        <v>H0012650</v>
      </c>
      <c r="B3398" s="5" t="str">
        <f>"MESA RIÑONERA"</f>
        <v>MESA RIÑONERA</v>
      </c>
      <c r="C3398" s="6">
        <v>20843.5</v>
      </c>
      <c r="D3398" s="5"/>
      <c r="E3398" s="5" t="str">
        <f t="shared" si="161"/>
        <v>QUIROFANO -MARIA DEL PILAR MEDINA</v>
      </c>
      <c r="F3398" s="5" t="str">
        <f>"Descripcion: MESA RIÑONERA EN ACERO INOX. Estado: Bueno Placa anterior: 000014868 Material: ACERO INOXIDABLE Color: GRIS Referencia:  Observacion:  Placa padre: Tipo adquisicion: Entidad"</f>
        <v>Descripcion: MESA RIÑONERA EN ACERO INOX. Estado: Bueno Placa anterior: 000014868 Material: ACERO INOXIDABLE Color: GRIS Referencia:  Observacion:  Placa padre: Tipo adquisicion: Entidad</v>
      </c>
      <c r="G3398" s="5"/>
    </row>
    <row r="3399" spans="1:7" ht="58.5" customHeight="1" x14ac:dyDescent="0.25">
      <c r="A3399" s="5" t="str">
        <f>"H0012651"</f>
        <v>H0012651</v>
      </c>
      <c r="B3399" s="5" t="str">
        <f>"MESA PUENTE (ALIMENTACION) (INSTRUMENTAL)"</f>
        <v>MESA PUENTE (ALIMENTACION) (INSTRUMENTAL)</v>
      </c>
      <c r="C3399" s="6">
        <v>15000</v>
      </c>
      <c r="D3399" s="5"/>
      <c r="E3399" s="5" t="str">
        <f t="shared" si="161"/>
        <v>QUIROFANO -MARIA DEL PILAR MEDINA</v>
      </c>
      <c r="F3399" s="5" t="str">
        <f>"Descripcion: MESA PUENTE PARA SOPORTA EL MATERIAL ESTERIL Estado: Bueno Placa anterior: 000026907 Material: METALICO Color: GRIS Referencia:  Observacion: EL BIEN YA TIENE PLACA 000027728 AUTORIZADO CONCILIAR EN CRUCE GENERAL Placa padre: Tipo adquisicion"&amp; ": Entidad"</f>
        <v>Descripcion: MESA PUENTE PARA SOPORTA EL MATERIAL ESTERIL Estado: Bueno Placa anterior: 000026907 Material: METALICO Color: GRIS Referencia:  Observacion: EL BIEN YA TIENE PLACA 000027728 AUTORIZADO CONCILIAR EN CRUCE GENERAL Placa padre: Tipo adquisicion: Entidad</v>
      </c>
      <c r="G3399" s="5"/>
    </row>
    <row r="3400" spans="1:7" ht="58.5" customHeight="1" x14ac:dyDescent="0.25">
      <c r="A3400" s="5" t="str">
        <f>"H0012654"</f>
        <v>H0012654</v>
      </c>
      <c r="B3400" s="5" t="str">
        <f>"SILLA ERGONOMICA SIN BRAZOS CON REPOSAPIES"</f>
        <v>SILLA ERGONOMICA SIN BRAZOS CON REPOSAPIES</v>
      </c>
      <c r="C3400" s="6">
        <v>285592</v>
      </c>
      <c r="D3400" s="5"/>
      <c r="E3400" s="5" t="str">
        <f t="shared" si="161"/>
        <v>QUIROFANO -MARIA DEL PILAR MEDINA</v>
      </c>
      <c r="F3400" s="5" t="str">
        <f>"Descripcion: SILLA TAPIZADA EN CUERINA Estado: Bueno Placa anterior: 000025309 Material: METALICO, PASTA Y CUERINA Color: AZUL Y NEGRO Referencia:  Observacion:  Placa padre: Tipo adquisicion: Entidad"</f>
        <v>Descripcion: SILLA TAPIZADA EN CUERINA Estado: Bueno Placa anterior: 000025309 Material: METALICO, PASTA Y CUERINA Color: AZUL Y NEGRO Referencia:  Observacion:  Placa padre: Tipo adquisicion: Entidad</v>
      </c>
      <c r="G3400" s="5"/>
    </row>
    <row r="3401" spans="1:7" ht="58.5" customHeight="1" x14ac:dyDescent="0.25">
      <c r="A3401" s="5" t="str">
        <f>"H0012655"</f>
        <v>H0012655</v>
      </c>
      <c r="B3401" s="5" t="str">
        <f>"CUBETA DE ACERO INOXIDABLE CON TAPA GRANDE"</f>
        <v>CUBETA DE ACERO INOXIDABLE CON TAPA GRANDE</v>
      </c>
      <c r="C3401" s="6">
        <v>29125.48</v>
      </c>
      <c r="D3401" s="5"/>
      <c r="E3401" s="5" t="str">
        <f t="shared" si="161"/>
        <v>QUIROFANO -MARIA DEL PILAR MEDINA</v>
      </c>
      <c r="F3401" s="5" t="str">
        <f>"Descripcion: CUBETA EN ACERO INOXIDABLE Estado: Bueno Placa anterior: 000018467 Material: ACERO INOXIDABLE Color: GRIS Referencia:  Observacion:  Placa padre: Tipo adquisicion: Entidad"</f>
        <v>Descripcion: CUBETA EN ACERO INOXIDABLE Estado: Bueno Placa anterior: 000018467 Material: ACERO INOXIDABLE Color: GRIS Referencia:  Observacion:  Placa padre: Tipo adquisicion: Entidad</v>
      </c>
      <c r="G3401" s="5"/>
    </row>
    <row r="3402" spans="1:7" ht="58.5" customHeight="1" x14ac:dyDescent="0.25">
      <c r="A3402" s="5" t="str">
        <f>"H0012656"</f>
        <v>H0012656</v>
      </c>
      <c r="B3402" s="5" t="str">
        <f>"MESA (CARRO) DE CURACIONES"</f>
        <v>MESA (CARRO) DE CURACIONES</v>
      </c>
      <c r="C3402" s="6">
        <v>37276</v>
      </c>
      <c r="D3402" s="5"/>
      <c r="E3402" s="5" t="str">
        <f t="shared" si="161"/>
        <v>QUIROFANO -MARIA DEL PILAR MEDINA</v>
      </c>
      <c r="F3402" s="5" t="str">
        <f>"Descripcion: MESA CON DOS ENTREPAÑOS Estado: Bueno Placa anterior: 000015296 Material: ACERO INOXIDABLE Color: GRIS Referencia:  Observacion:  Placa padre: Tipo adquisicion: Entidad"</f>
        <v>Descripcion: MESA CON DOS ENTREPAÑOS Estado: Bueno Placa anterior: 000015296 Material: ACERO INOXIDABLE Color: GRIS Referencia:  Observacion:  Placa padre: Tipo adquisicion: Entidad</v>
      </c>
      <c r="G3402" s="5"/>
    </row>
    <row r="3403" spans="1:7" ht="58.5" customHeight="1" x14ac:dyDescent="0.25">
      <c r="A3403" s="5" t="str">
        <f>"H0012661"</f>
        <v>H0012661</v>
      </c>
      <c r="B3403"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3403" s="6">
        <v>13001280</v>
      </c>
      <c r="D3403" s="5" t="s">
        <v>293</v>
      </c>
      <c r="E3403" s="5" t="str">
        <f t="shared" si="161"/>
        <v>QUIROFANO -MARIA DEL PILAR MEDINA</v>
      </c>
      <c r="F3403" s="5" t="str">
        <f>"Descripcion: ELECTROBISTURI MEDITOM DT 30 P MONOPOLAR DE CORTE Y COAGULACION CORTE PURO (300W) MEZCLA I (200W) Y MEZCLA II (150W) Y MEZCLA III (100W) COAGULACION CONTACTO (80E) Y SPRAY (80W) COAGULACION SOFT (40W) MULTIPLES USOS GINECOLOGIA, CIRUGIA GENER"&amp; "AL, ENDOSCOP Estado: Bueno Placa anterior: 000036473 Material: METALICO Color: MARRON Referencia:  Observacion:  Placa padre: Tipo adquisicion: Entidad"</f>
        <v>Descripcion: ELECTROBISTURI MEDITOM DT 30 P MONOPOLAR DE CORTE Y COAGULACION CORTE PURO (300W) MEZCLA I (200W) Y MEZCLA II (150W) Y MEZCLA III (100W) COAGULACION CONTACTO (80E) Y SPRAY (80W) COAGULACION SOFT (40W) MULTIPLES USOS GINECOLOGIA, CIRUGIA GENERAL, ENDOSCOP Estado: Bueno Placa anterior: 000036473 Material: METALICO Color: MARRON Referencia:  Observacion:  Placa padre: Tipo adquisicion: Entidad</v>
      </c>
      <c r="G3403" s="5" t="str">
        <f>"DT300P"</f>
        <v>DT300P</v>
      </c>
    </row>
    <row r="3404" spans="1:7" ht="58.5" customHeight="1" x14ac:dyDescent="0.25">
      <c r="A3404" s="5" t="str">
        <f>"H0012662"</f>
        <v>H0012662</v>
      </c>
      <c r="B3404" s="5" t="str">
        <f>"MESA METALICA"</f>
        <v>MESA METALICA</v>
      </c>
      <c r="C3404" s="6">
        <v>37276</v>
      </c>
      <c r="D3404" s="5"/>
      <c r="E3404" s="5" t="str">
        <f t="shared" si="161"/>
        <v>QUIROFANO -MARIA DEL PILAR MEDINA</v>
      </c>
      <c r="F3404" s="5" t="str">
        <f>"Descripcion: MESA METALICA PARA COLOCAR EL EQUIPO DE ELECTROBISTURI Estado: Bueno Placa anterior: 000027544 Material: METALICA Color: BEIS Referencia:  Observacion: FUNCIONARIO AUTORIZA SE CONCILIE CON PLACA  000027544 Placa padre: Tipo adquisicion: Entid"&amp; "ad"</f>
        <v>Descripcion: MESA METALICA PARA COLOCAR EL EQUIPO DE ELECTROBISTURI Estado: Bueno Placa anterior: 000027544 Material: METALICA Color: BEIS Referencia:  Observacion: FUNCIONARIO AUTORIZA SE CONCILIE CON PLACA  000027544 Placa padre: Tipo adquisicion: Entidad</v>
      </c>
      <c r="G3404" s="5"/>
    </row>
    <row r="3405" spans="1:7" ht="58.5" customHeight="1" x14ac:dyDescent="0.25">
      <c r="A3405" s="5" t="str">
        <f>"H0012665"</f>
        <v>H0012665</v>
      </c>
      <c r="B3405" s="5" t="str">
        <f>"MONITOR DE SIGNOS VITALES"</f>
        <v>MONITOR DE SIGNOS VITALES</v>
      </c>
      <c r="C3405" s="6">
        <v>19140000</v>
      </c>
      <c r="D3405" s="5" t="s">
        <v>291</v>
      </c>
      <c r="E3405" s="5" t="str">
        <f t="shared" si="161"/>
        <v>QUIROFANO -MARIA DEL PILAR MEDINA</v>
      </c>
      <c r="F3405" s="5" t="str">
        <f>"Descripcion: MONITOR DE SIGNOS VITALES CON PRESION INVASIVA Estado: Bueno Placa anterior: 000032615 Material: PLASTICO Color: BLANCO Referencia:  Observacion:  Placa padre: Tipo adquisicion: Entidad"</f>
        <v>Descripcion: MONITOR DE SIGNOS VITALES CON PRESION INVASIVA Estado: Bueno Placa anterior: 000032615 Material: PLASTICO Color: BLANCO Referencia:  Observacion:  Placa padre: Tipo adquisicion: Entidad</v>
      </c>
      <c r="G3405" s="5" t="str">
        <f>"IPM12"</f>
        <v>IPM12</v>
      </c>
    </row>
    <row r="3406" spans="1:7" ht="58.5" customHeight="1" x14ac:dyDescent="0.25">
      <c r="A3406" s="5" t="str">
        <f>"H0012668"</f>
        <v>H0012668</v>
      </c>
      <c r="B3406" s="5" t="str">
        <f>"SILLA ERGONOMICA TIPO SECRETARIA SIN BRAZOS"</f>
        <v>SILLA ERGONOMICA TIPO SECRETARIA SIN BRAZOS</v>
      </c>
      <c r="C3406" s="6">
        <v>211120</v>
      </c>
      <c r="D3406" s="5"/>
      <c r="E3406" s="5" t="str">
        <f t="shared" si="161"/>
        <v>QUIROFANO -MARIA DEL PILAR MEDINA</v>
      </c>
      <c r="F3406" s="5" t="str">
        <f>"Descripcion: SILLA ERGONOMICA AT 02 (TA-SECRETARIAL) Estado: Bueno Placa anterior: 000025266 Material: METALICO, PASTA Y CUERO Color: NEGRO Referencia:  Observacion:  Placa padre: Tipo adquisicion: Entidad"</f>
        <v>Descripcion: SILLA ERGONOMICA AT 02 (TA-SECRETARIAL) Estado: Bueno Placa anterior: 000025266 Material: METALICO, PASTA Y CUERO Color: NEGRO Referencia:  Observacion:  Placa padre: Tipo adquisicion: Entidad</v>
      </c>
      <c r="G3406" s="5"/>
    </row>
    <row r="3407" spans="1:7" ht="58.5" customHeight="1" x14ac:dyDescent="0.25">
      <c r="A3407" s="5" t="str">
        <f>"H0012673"</f>
        <v>H0012673</v>
      </c>
      <c r="B3407" s="5" t="str">
        <f>"BUTACO"</f>
        <v>BUTACO</v>
      </c>
      <c r="C3407" s="6">
        <v>6930</v>
      </c>
      <c r="D3407" s="5"/>
      <c r="E3407" s="5" t="str">
        <f t="shared" si="161"/>
        <v>QUIROFANO -MARIA DEL PILAR MEDINA</v>
      </c>
      <c r="F3407" s="5" t="str">
        <f>"Descripcion: BUTACO EN MADERA DE UN SOLO PASO Estado: Bueno Placa anterior: 000015270 Material: MADERA Color: MARRON Referencia:  Observacion:  Placa padre: Tipo adquisicion: Entidad"</f>
        <v>Descripcion: BUTACO EN MADERA DE UN SOLO PASO Estado: Bueno Placa anterior: 000015270 Material: MADERA Color: MARRON Referencia:  Observacion:  Placa padre: Tipo adquisicion: Entidad</v>
      </c>
      <c r="G3407" s="5"/>
    </row>
    <row r="3408" spans="1:7" ht="58.5" customHeight="1" x14ac:dyDescent="0.25">
      <c r="A3408" s="5" t="str">
        <f>"H0012674"</f>
        <v>H0012674</v>
      </c>
      <c r="B3408" s="5" t="str">
        <f>"MESA QUIRURGICA"</f>
        <v>MESA QUIRURGICA</v>
      </c>
      <c r="C3408" s="6">
        <v>49300000</v>
      </c>
      <c r="D3408" s="5" t="s">
        <v>166</v>
      </c>
      <c r="E3408" s="5" t="str">
        <f t="shared" si="161"/>
        <v>QUIROFANO -MARIA DEL PILAR MEDINA</v>
      </c>
      <c r="F3408" s="5" t="str">
        <f>"Descripcion: MESA DE CIRUGIA ELECTROMECANICA. Mesa de cirugia electromecanica.Se aceptan mesas electrohidraulicas.Mesa de cirugia electromecanica o electrohidraulica de tres cuerpos con movimientos de trendeleburg a inverso, lateral levantamiento de espal"&amp; "dar, plecero Estado: Bueno Placa anterior: 000031383 Material: ACERO Y CUERO Color: GRIS Y ACERO Referencia:  Observacion:  Placa anterior:000031373, Placa nueva=H0012675, Descripcion:LAMPARA CIELITICA. De dos satelites, sistema de leds, pieza de moviliza"&amp; "dor esterizable, montadas sobre bases de anclaje, cielitica de rotacion 360° tiempo de vida de los leds 20.000 horas de voltaje de entrada 120vac frecuencia 60hz con iluminacion minim, Serial:15-45000116, Marca:MINDRAY, Modelo:HYLED 760/760, Material:META"&amp; "LICO, Color:BLANCO, Referencia:, Placa anterior:000000129, Placa nueva=H0012683, Descripcion:MESA HOLDE, Serial:, Marca:, Modelo:, Material:ACERO INOXIDABLE Y CUERO, Color:GRIS Y NEGRO, Referencia: Placa padre: Tipo adquisicion: Entidad"</f>
        <v>Descripcion: MESA DE CIRUGIA ELECTROMECANICA. Mesa de cirugia electromecanica.Se aceptan mesas electrohidraulicas.Mesa de cirugia electromecanica o electrohidraulica de tres cuerpos con movimientos de trendeleburg a inverso, lateral levantamiento de espaldar, plecero Estado: Bueno Placa anterior: 000031383 Material: ACERO Y CUERO Color: GRIS Y ACERO Referencia:  Observacion:  Placa anterior:000031373, Placa nueva=H0012675, Descripcion:LAMPARA CIELITICA. De dos satelites, sistema de leds, pieza de movilizador esterizable, montadas sobre bases de anclaje, cielitica de rotacion 360° tiempo de vida de los leds 20.000 horas de voltaje de entrada 120vac frecuencia 60hz con iluminacion minim, Serial:15-45000116, Marca:MINDRAY, Modelo:HYLED 760/760, Material:METALICO, Color:BLANCO, Referencia:, Placa anterior:000000129, Placa nueva=H0012683, Descripcion:MESA HOLDE, Serial:, Marca:, Modelo:, Material:ACERO INOXIDABLE Y CUERO, Color:GRIS Y NEGRO, Referencia: Placa padre: Tipo adquisicion: Entidad</v>
      </c>
      <c r="G3408" s="5" t="str">
        <f>"HYBASE6100"</f>
        <v>HYBASE6100</v>
      </c>
    </row>
    <row r="3409" spans="1:7" ht="58.5" customHeight="1" x14ac:dyDescent="0.25">
      <c r="A3409" s="5" t="str">
        <f>"H0012675"</f>
        <v>H0012675</v>
      </c>
      <c r="B3409" s="5" t="str">
        <f>"LAMPARA CIELITICA"</f>
        <v>LAMPARA CIELITICA</v>
      </c>
      <c r="C3409" s="6">
        <v>37758000</v>
      </c>
      <c r="D3409" s="5" t="s">
        <v>166</v>
      </c>
      <c r="E3409" s="5" t="str">
        <f t="shared" si="161"/>
        <v>QUIROFANO -MARIA DEL PILAR MEDINA</v>
      </c>
      <c r="F3409" s="5" t="str">
        <f>"Descripcion: LAMPARA CIELITICA. De dos satelites, sistema de leds, pieza de movilizador esterizable, montadas sobre bases de anclaje, cielitica de rotacion 360° tiempo de vida de los leds 20.000 horas de voltaje de entrada 120vac frecuencia 60hz con ilumi"&amp; "nacion minim Estado: Bueno Placa anterior: 000031373 Material: METALICO Color: BLANCO Referencia:  Observacion:  Placa padre: H0012674Tipo adquisicion: Entidad"</f>
        <v>Descripcion: LAMPARA CIELITICA. De dos satelites, sistema de leds, pieza de movilizador esterizable, montadas sobre bases de anclaje, cielitica de rotacion 360° tiempo de vida de los leds 20.000 horas de voltaje de entrada 120vac frecuencia 60hz con iluminacion minim Estado: Bueno Placa anterior: 000031373 Material: METALICO Color: BLANCO Referencia:  Observacion:  Placa padre: H0012674Tipo adquisicion: Entidad</v>
      </c>
      <c r="G3409" s="5" t="str">
        <f>"HYLED 760/760"</f>
        <v>HYLED 760/760</v>
      </c>
    </row>
    <row r="3410" spans="1:7" ht="58.5" customHeight="1" x14ac:dyDescent="0.25">
      <c r="A3410" s="5" t="str">
        <f>"H0012677"</f>
        <v>H0012677</v>
      </c>
      <c r="B3410" s="5" t="str">
        <f>"TORNIQUETE PARA HOMOSTASIS (KOMPRIMETER)"</f>
        <v>TORNIQUETE PARA HOMOSTASIS (KOMPRIMETER)</v>
      </c>
      <c r="C3410" s="6">
        <v>696000</v>
      </c>
      <c r="D3410" s="5"/>
      <c r="E3410" s="5" t="str">
        <f t="shared" si="161"/>
        <v>QUIROFANO -MARIA DEL PILAR MEDINA</v>
      </c>
      <c r="F3410" s="5" t="str">
        <f>"Descripcion: TORNIQUETE NEUMATICO. PARA CORTAR LA IRRIGACION SANGUINEA Estado: Bueno Placa anterior:  Material: METALICO Color: NEGRO Referencia:  Observacion:  Placa padre: Tipo adquisicion: Entidad"</f>
        <v>Descripcion: TORNIQUETE NEUMATICO. PARA CORTAR LA IRRIGACION SANGUINEA Estado: Bueno Placa anterior:  Material: METALICO Color: NEGRO Referencia:  Observacion:  Placa padre: Tipo adquisicion: Entidad</v>
      </c>
      <c r="G3410" s="5"/>
    </row>
    <row r="3411" spans="1:7" ht="58.5" customHeight="1" x14ac:dyDescent="0.25">
      <c r="A3411" s="5" t="str">
        <f>"H0012678"</f>
        <v>H0012678</v>
      </c>
      <c r="B3411" s="5" t="str">
        <f>"SILLA ERGONOMICA SIN BRAZOS CON REPOSAPIES"</f>
        <v>SILLA ERGONOMICA SIN BRAZOS CON REPOSAPIES</v>
      </c>
      <c r="C3411" s="6">
        <v>168000</v>
      </c>
      <c r="D3411" s="5"/>
      <c r="E3411" s="5" t="str">
        <f t="shared" si="161"/>
        <v>QUIROFANO -MARIA DEL PILAR MEDINA</v>
      </c>
      <c r="F3411" s="5" t="str">
        <f>"Descripcion: SILLA TAPIZADA Estado: Bueno Placa anterior: 000033282 Material: METALICO, PASTA Y CUERINA Color: NEGRO Referencia:  Observacion:  Placa padre: Tipo adquisicion: Entidad"</f>
        <v>Descripcion: SILLA TAPIZADA Estado: Bueno Placa anterior: 000033282 Material: METALICO, PASTA Y CUERINA Color: NEGRO Referencia:  Observacion:  Placa padre: Tipo adquisicion: Entidad</v>
      </c>
      <c r="G3411" s="5"/>
    </row>
    <row r="3412" spans="1:7" ht="58.5" customHeight="1" x14ac:dyDescent="0.25">
      <c r="A3412" s="5" t="str">
        <f>"H0012680"</f>
        <v>H0012680</v>
      </c>
      <c r="B3412" s="5" t="str">
        <f>"ESTANTE METALICO 5 ENTREPAÑOS"</f>
        <v>ESTANTE METALICO 5 ENTREPAÑOS</v>
      </c>
      <c r="C3412" s="6">
        <v>170000</v>
      </c>
      <c r="D3412" s="5"/>
      <c r="E3412" s="5" t="str">
        <f t="shared" si="161"/>
        <v>QUIROFANO -MARIA DEL PILAR MEDINA</v>
      </c>
      <c r="F3412" s="5" t="str">
        <f>"Descripcion: ESTANTE METALICO 5 ENTREPAÑOS Estado: Regular Placa anterior: 000027755 Material: METALICO Color: GRIS Referencia:  Observacion: TRES ENTREPAÑOS PANDIADO Placa padre: Tipo adquisicion: Entidad"</f>
        <v>Descripcion: ESTANTE METALICO 5 ENTREPAÑOS Estado: Regular Placa anterior: 000027755 Material: METALICO Color: GRIS Referencia:  Observacion: TRES ENTREPAÑOS PANDIADO Placa padre: Tipo adquisicion: Entidad</v>
      </c>
      <c r="G3412" s="5"/>
    </row>
    <row r="3413" spans="1:7" ht="58.5" customHeight="1" x14ac:dyDescent="0.25">
      <c r="A3413" s="5" t="str">
        <f>"H0012682"</f>
        <v>H0012682</v>
      </c>
      <c r="B3413" s="5" t="str">
        <f>"SILLA INTERLOCUTORA (FIJA) SIN BRAZOS"</f>
        <v>SILLA INTERLOCUTORA (FIJA) SIN BRAZOS</v>
      </c>
      <c r="C3413" s="6">
        <v>6308.9</v>
      </c>
      <c r="D3413" s="5"/>
      <c r="E3413" s="5" t="str">
        <f t="shared" si="161"/>
        <v>QUIROFANO -MARIA DEL PILAR MEDINA</v>
      </c>
      <c r="F3413" s="5" t="str">
        <f>"Descripcion: SILLA EN MADERA PEQUEÑA Estado: Bueno Placa anterior: 000027646 Material: MADERA Color: MARRON Referencia:  Observacion:  Placa padre: Tipo adquisicion: Entidad"</f>
        <v>Descripcion: SILLA EN MADERA PEQUEÑA Estado: Bueno Placa anterior: 000027646 Material: MADERA Color: MARRON Referencia:  Observacion:  Placa padre: Tipo adquisicion: Entidad</v>
      </c>
      <c r="G3413" s="5"/>
    </row>
    <row r="3414" spans="1:7" ht="58.5" customHeight="1" x14ac:dyDescent="0.25">
      <c r="A3414" s="5" t="str">
        <f>"H0012687"</f>
        <v>H0012687</v>
      </c>
      <c r="B3414" s="5" t="str">
        <f>"DELANTAL (CHALECO) DE PLOMO"</f>
        <v>DELANTAL (CHALECO) DE PLOMO</v>
      </c>
      <c r="C3414" s="6">
        <v>336400</v>
      </c>
      <c r="D3414" s="5"/>
      <c r="E3414" s="5" t="str">
        <f t="shared" si="161"/>
        <v>QUIROFANO -MARIA DEL PILAR MEDINA</v>
      </c>
      <c r="F3414" s="5" t="str">
        <f>"Descripcion: CHALECO PARA PROGERSE DE LA RADIACION Estado: Bueno Placa anterior: 000021931 Material: PLASTICO Color: AZUL Referencia:  Observacion:  Placa padre: Tipo adquisicion: Entidad"</f>
        <v>Descripcion: CHALECO PARA PROGERSE DE LA RADIACION Estado: Bueno Placa anterior: 000021931 Material: PLASTICO Color: AZUL Referencia:  Observacion:  Placa padre: Tipo adquisicion: Entidad</v>
      </c>
      <c r="G3414" s="5"/>
    </row>
    <row r="3415" spans="1:7" ht="58.5" customHeight="1" x14ac:dyDescent="0.25">
      <c r="A3415" s="5" t="str">
        <f>"H0012688"</f>
        <v>H0012688</v>
      </c>
      <c r="B3415" s="5" t="str">
        <f>"DELANTAL (CHALECO) DE PLOMO"</f>
        <v>DELANTAL (CHALECO) DE PLOMO</v>
      </c>
      <c r="C3415" s="6">
        <v>382800</v>
      </c>
      <c r="D3415" s="5"/>
      <c r="E3415" s="5" t="str">
        <f t="shared" si="161"/>
        <v>QUIROFANO -MARIA DEL PILAR MEDINA</v>
      </c>
      <c r="F3415" s="5" t="str">
        <f>"Descripcion: CHALECO PARA PROGERSE DE LA RADIACION Estado: Bueno Placa anterior: 000022717 Material: PLASTICO Color: AZUL Referencia:  Observacion:  Placa padre: Tipo adquisicion: Entidad"</f>
        <v>Descripcion: CHALECO PARA PROGERSE DE LA RADIACION Estado: Bueno Placa anterior: 000022717 Material: PLASTICO Color: AZUL Referencia:  Observacion:  Placa padre: Tipo adquisicion: Entidad</v>
      </c>
      <c r="G3415" s="5"/>
    </row>
    <row r="3416" spans="1:7" ht="58.5" customHeight="1" x14ac:dyDescent="0.25">
      <c r="A3416" s="5" t="str">
        <f>"H0012689"</f>
        <v>H0012689</v>
      </c>
      <c r="B3416" s="5" t="str">
        <f>"DELANTAL (CHALECO) DE PLOMO"</f>
        <v>DELANTAL (CHALECO) DE PLOMO</v>
      </c>
      <c r="C3416" s="6">
        <v>382800</v>
      </c>
      <c r="D3416" s="5"/>
      <c r="E3416" s="5" t="str">
        <f t="shared" si="161"/>
        <v>QUIROFANO -MARIA DEL PILAR MEDINA</v>
      </c>
      <c r="F3416" s="5" t="str">
        <f>"Descripcion: CHALECO PARA PROGERSE DE LA RADIACION Estado: Bueno Placa anterior: 000022718 Material: PLASTICO Color: AZUL Referencia:  Observacion:  Placa padre: Tipo adquisicion: Entidad"</f>
        <v>Descripcion: CHALECO PARA PROGERSE DE LA RADIACION Estado: Bueno Placa anterior: 000022718 Material: PLASTICO Color: AZUL Referencia:  Observacion:  Placa padre: Tipo adquisicion: Entidad</v>
      </c>
      <c r="G3416" s="5"/>
    </row>
    <row r="3417" spans="1:7" ht="58.5" customHeight="1" x14ac:dyDescent="0.25">
      <c r="A3417" s="5" t="str">
        <f>"H0012708"</f>
        <v>H0012708</v>
      </c>
      <c r="B3417" s="5" t="str">
        <f>"AIRE ACONDICIONADO TIPO SPLIT 24000 BTU"</f>
        <v>AIRE ACONDICIONADO TIPO SPLIT 24000 BTU</v>
      </c>
      <c r="C3417" s="6">
        <v>1666380</v>
      </c>
      <c r="D3417" s="5"/>
      <c r="E3417" s="5" t="str">
        <f t="shared" si="161"/>
        <v>QUIROFANO -MARIA DEL PILAR MEDINA</v>
      </c>
      <c r="F3417" s="5" t="str">
        <f>"Descripcion: AIRE ACONDICIONADO DE 24000 BTU Estado: Bueno Placa anterior: 000033102 Material: PLASTICO Color: BLANCO Referencia:  Observacion: EL BIEN TIENE PLACA ANTERIOR 000029243 AUTORIZADO CONCILIAR EN CRUCE GENERAL Placa padre: Tipo adquisicion: Ent"&amp; "idad"</f>
        <v>Descripcion: AIRE ACONDICIONADO DE 24000 BTU Estado: Bueno Placa anterior: 000033102 Material: PLASTICO Color: BLANCO Referencia:  Observacion: EL BIEN TIENE PLACA ANTERIOR 000029243 AUTORIZADO CONCILIAR EN CRUCE GENERAL Placa padre: Tipo adquisicion: Entidad</v>
      </c>
      <c r="G3417" s="5" t="str">
        <f>"SJ42CD"</f>
        <v>SJ42CD</v>
      </c>
    </row>
    <row r="3418" spans="1:7" ht="58.5" customHeight="1" x14ac:dyDescent="0.25">
      <c r="A3418" s="5" t="str">
        <f>"H0012710"</f>
        <v>H0012710</v>
      </c>
      <c r="B3418" s="5" t="str">
        <f>"LARINGOSCOPIO ADULTO"</f>
        <v>LARINGOSCOPIO ADULTO</v>
      </c>
      <c r="C3418" s="6">
        <v>522000</v>
      </c>
      <c r="D3418" s="5"/>
      <c r="E3418" s="5" t="str">
        <f t="shared" si="161"/>
        <v>QUIROFANO -MARIA DEL PILAR MEDINA</v>
      </c>
      <c r="F3418" s="5" t="str">
        <f>"Descripcion: LARINGO CON UNA HOJA No 3 Estado: Bueno Placa anterior: 000023570 Material: ACERO Color: GRIS Referencia:  Observacion:  Placa padre: Tipo adquisicion: Entidad"</f>
        <v>Descripcion: LARINGO CON UNA HOJA No 3 Estado: Bueno Placa anterior: 000023570 Material: ACERO Color: GRIS Referencia:  Observacion:  Placa padre: Tipo adquisicion: Entidad</v>
      </c>
      <c r="G3418" s="5"/>
    </row>
    <row r="3419" spans="1:7" ht="58.5" customHeight="1" x14ac:dyDescent="0.25">
      <c r="A3419" s="5" t="str">
        <f>"H0012711"</f>
        <v>H0012711</v>
      </c>
      <c r="B3419" s="5" t="str">
        <f>"CAMILLA DE TRASLADO DE 2 PLANOS"</f>
        <v>CAMILLA DE TRASLADO DE 2 PLANOS</v>
      </c>
      <c r="C3419" s="6">
        <v>7226800</v>
      </c>
      <c r="D3419" s="5" t="s">
        <v>288</v>
      </c>
      <c r="E3419" s="5" t="str">
        <f t="shared" si="161"/>
        <v>QUIROFANO -MARIA DEL PILAR MEDINA</v>
      </c>
      <c r="F3419" s="5" t="str">
        <f>"Descripcion: CAMILLA HIDRAULICA DOS PLANOS Estado: Bueno Placa anterior: 000038261 Material: METALICO Color: BEIS Referencia:  Observacion:  Placa padre: Tipo adquisicion: Entidad"</f>
        <v>Descripcion: CAMILLA HIDRAULICA DOS PLANOS Estado: Bueno Placa anterior: 000038261 Material: METALICO Color: BEIS Referencia:  Observacion:  Placa padre: Tipo adquisicion: Entidad</v>
      </c>
      <c r="G3419" s="5"/>
    </row>
    <row r="3420" spans="1:7" ht="58.5" customHeight="1" x14ac:dyDescent="0.25">
      <c r="A3420" s="5" t="str">
        <f>"H0012712"</f>
        <v>H0012712</v>
      </c>
      <c r="B3420" s="5" t="str">
        <f>"LAMPARA QUIRURGICA DE PIE PORTATIL"</f>
        <v>LAMPARA QUIRURGICA DE PIE PORTATIL</v>
      </c>
      <c r="C3420" s="6">
        <v>23200000</v>
      </c>
      <c r="D3420" s="5" t="s">
        <v>166</v>
      </c>
      <c r="E3420" s="5" t="str">
        <f t="shared" si="161"/>
        <v>QUIROFANO -MARIA DEL PILAR MEDINA</v>
      </c>
      <c r="F3420" s="5" t="str">
        <f>"Descripcion: Lámpara Quirúrgica De Pie Rodable Modificar iluminacion a minimo 140000 luxes. Debe contar con tecnologia LED, tiempo de vida util minima de los LED 25000 horas.Iluminacion de 140000 lux.Ruedas con sistema de freno.Voltaje de conexion 120vac,"&amp; " frecuencia  Estado: Bueno Placa anterior: 000031377 Material: METALICA Color: BLANCO Referencia:  Observacion:  Placa padre: Tipo adquisicion: Entidad"</f>
        <v>Descripcion: Lámpara Quirúrgica De Pie Rodable Modificar iluminacion a minimo 140000 luxes. Debe contar con tecnologia LED, tiempo de vida util minima de los LED 25000 horas.Iluminacion de 140000 lux.Ruedas con sistema de freno.Voltaje de conexion 120vac, frecuencia  Estado: Bueno Placa anterior: 000031377 Material: METALICA Color: BLANCO Referencia:  Observacion:  Placa padre: Tipo adquisicion: Entidad</v>
      </c>
      <c r="G3420" s="5" t="str">
        <f>"HYLED  760M"</f>
        <v>HYLED  760M</v>
      </c>
    </row>
    <row r="3421" spans="1:7" ht="58.5" customHeight="1" x14ac:dyDescent="0.25">
      <c r="A3421" s="5" t="str">
        <f>"H0012713"</f>
        <v>H0012713</v>
      </c>
      <c r="B3421" s="5" t="str">
        <f>"LAMPARA QUIRURGICA DE PIE PORTATIL"</f>
        <v>LAMPARA QUIRURGICA DE PIE PORTATIL</v>
      </c>
      <c r="C3421" s="6">
        <v>23200000</v>
      </c>
      <c r="D3421" s="5" t="s">
        <v>166</v>
      </c>
      <c r="E3421" s="5" t="str">
        <f t="shared" si="161"/>
        <v>QUIROFANO -MARIA DEL PILAR MEDINA</v>
      </c>
      <c r="F3421" s="5" t="str">
        <f>"Descripcion: Lámpara Quirúrgica De Pie Rodable Modificar iluminacion a minimo 140000 luxes. Debe contar con tecnologia LED, tiempo de vida util minima de los LED 25000 horas.Iluminacion de 140000 lux.Ruedas con sistema de freno.Voltaje de conexion 120vac,"&amp; " frecuencia  Estado: Bueno Placa anterior: 000031378 Material: METALICA Color: BLANCO Referencia:  Observacion:  Placa padre: Tipo adquisicion: Entidad"</f>
        <v>Descripcion: Lámpara Quirúrgica De Pie Rodable Modificar iluminacion a minimo 140000 luxes. Debe contar con tecnologia LED, tiempo de vida util minima de los LED 25000 horas.Iluminacion de 140000 lux.Ruedas con sistema de freno.Voltaje de conexion 120vac, frecuencia  Estado: Bueno Placa anterior: 000031378 Material: METALICA Color: BLANCO Referencia:  Observacion:  Placa padre: Tipo adquisicion: Entidad</v>
      </c>
      <c r="G3421" s="5" t="str">
        <f>"HYLED 760M"</f>
        <v>HYLED 760M</v>
      </c>
    </row>
    <row r="3422" spans="1:7" ht="58.5" customHeight="1" x14ac:dyDescent="0.25">
      <c r="A3422" s="5" t="str">
        <f>"H0012719"</f>
        <v>H0012719</v>
      </c>
      <c r="B3422" s="5" t="str">
        <f>"ATRIL PORTASUERO MOVIL"</f>
        <v>ATRIL PORTASUERO MOVIL</v>
      </c>
      <c r="C3422" s="6">
        <v>7025</v>
      </c>
      <c r="D3422" s="5"/>
      <c r="E3422" s="5" t="str">
        <f t="shared" si="161"/>
        <v>QUIROFANO -MARIA DEL PILAR MEDINA</v>
      </c>
      <c r="F3422" s="5" t="str">
        <f>"Descripcion: ATRIL CON RODACHINES Estado: Bueno Placa anterior: 000028733 Material: ACERO INOXIDABLE Color: GRIS Referencia:  Observacion:  Placa padre: Tipo adquisicion: Entidad"</f>
        <v>Descripcion: ATRIL CON RODACHINES Estado: Bueno Placa anterior: 000028733 Material: ACERO INOXIDABLE Color: GRIS Referencia:  Observacion:  Placa padre: Tipo adquisicion: Entidad</v>
      </c>
      <c r="G3422" s="5"/>
    </row>
    <row r="3423" spans="1:7" ht="58.5" customHeight="1" x14ac:dyDescent="0.25">
      <c r="A3423" s="5" t="str">
        <f>"H0012720"</f>
        <v>H0012720</v>
      </c>
      <c r="B3423" s="5" t="str">
        <f>"CARRO PARA TRANSPORTE BALA DE OXIGENO"</f>
        <v>CARRO PARA TRANSPORTE BALA DE OXIGENO</v>
      </c>
      <c r="C3423" s="6">
        <v>85500</v>
      </c>
      <c r="D3423" s="5"/>
      <c r="E3423" s="5" t="str">
        <f t="shared" si="161"/>
        <v>QUIROFANO -MARIA DEL PILAR MEDINA</v>
      </c>
      <c r="F3423" s="5" t="str">
        <f>"Descripcion: DOS BALA DE OXIGENO Estado: Bueno Placa anterior: 000027687 Material: METALICO Color: BLANCO Referencia:  Observacion: FUNCIONARIO MANIFIESTA QUE SE LE DAÑARON LAS LLANTAS AL CARRO Placa padre: Tipo adquisicion: Entidad"</f>
        <v>Descripcion: DOS BALA DE OXIGENO Estado: Bueno Placa anterior: 000027687 Material: METALICO Color: BLANCO Referencia:  Observacion: FUNCIONARIO MANIFIESTA QUE SE LE DAÑARON LAS LLANTAS AL CARRO Placa padre: Tipo adquisicion: Entidad</v>
      </c>
      <c r="G3423" s="5"/>
    </row>
    <row r="3424" spans="1:7" ht="58.5" customHeight="1" x14ac:dyDescent="0.25">
      <c r="A3424" s="5" t="str">
        <f>"H0012731"</f>
        <v>H0012731</v>
      </c>
      <c r="B3424" s="5" t="str">
        <f>"VITRINA DE 2 CUERPOS"</f>
        <v>VITRINA DE 2 CUERPOS</v>
      </c>
      <c r="C3424" s="6">
        <v>544600</v>
      </c>
      <c r="D3424" s="5"/>
      <c r="E3424" s="5" t="str">
        <f t="shared" ref="E3424:E3487" si="162">"QUIROFANO -MARIA DEL PILAR MEDINA"</f>
        <v>QUIROFANO -MARIA DEL PILAR MEDINA</v>
      </c>
      <c r="F3424" s="5" t="str">
        <f>"Descripcion: CON PUERTA CORREDIZA Y 3 ENTREPAÑOS Estado: Bueno Placa anterior: 000033288 Material: METALICO Y VIDRIO Color: GRIS Referencia:  Observacion: EL BIEN TIENE PLACA ANTERIOR 000014762 Placa padre: Tipo adquisicion: Entidad"</f>
        <v>Descripcion: CON PUERTA CORREDIZA Y 3 ENTREPAÑOS Estado: Bueno Placa anterior: 000033288 Material: METALICO Y VIDRIO Color: GRIS Referencia:  Observacion: EL BIEN TIENE PLACA ANTERIOR 000014762 Placa padre: Tipo adquisicion: Entidad</v>
      </c>
      <c r="G3424" s="5"/>
    </row>
    <row r="3425" spans="1:7" ht="58.5" customHeight="1" x14ac:dyDescent="0.25">
      <c r="A3425" s="5" t="str">
        <f>"H0012732"</f>
        <v>H0012732</v>
      </c>
      <c r="B3425" s="5" t="str">
        <f>"COMPRESOR VASCULAR"</f>
        <v>COMPRESOR VASCULAR</v>
      </c>
      <c r="C3425" s="6">
        <v>4640000</v>
      </c>
      <c r="D3425" s="5" t="s">
        <v>294</v>
      </c>
      <c r="E3425" s="5" t="str">
        <f t="shared" si="162"/>
        <v>QUIROFANO -MARIA DEL PILAR MEDINA</v>
      </c>
      <c r="F3425" s="5" t="str">
        <f>"Descripcion: COMPRESOR VASCULAR SCD EXPRESS UNIDAD Estado: Bueno Placa anterior: 000037236 Material: PLASTICO   Color: GRIS Referencia:  Observacion:  Placa padre: Tipo adquisicion: Entidad"</f>
        <v>Descripcion: COMPRESOR VASCULAR SCD EXPRESS UNIDAD Estado: Bueno Placa anterior: 000037236 Material: PLASTICO   Color: GRIS Referencia:  Observacion:  Placa padre: Tipo adquisicion: Entidad</v>
      </c>
      <c r="G3425" s="5" t="str">
        <f>"KENDALL"</f>
        <v>KENDALL</v>
      </c>
    </row>
    <row r="3426" spans="1:7" ht="58.5" customHeight="1" x14ac:dyDescent="0.25">
      <c r="A3426" s="5" t="str">
        <f>"H0012736"</f>
        <v>H0012736</v>
      </c>
      <c r="B3426" s="5" t="str">
        <f>"GAFAS CON LUPA"</f>
        <v>GAFAS CON LUPA</v>
      </c>
      <c r="C3426" s="6">
        <v>304732</v>
      </c>
      <c r="D3426" s="5"/>
      <c r="E3426" s="5" t="str">
        <f t="shared" si="162"/>
        <v>QUIROFANO -MARIA DEL PILAR MEDINA</v>
      </c>
      <c r="F3426" s="5" t="str">
        <f>"Descripcion: GAFAS LUPA   Estado: Bueno Placa anterior: 000018893 Material: PLASTICO Y LENTE EN VIDRIO Color: NEGRO Referencia:  Observacion:  Placa padre: Tipo adquisicion: Entidad"</f>
        <v>Descripcion: GAFAS LUPA   Estado: Bueno Placa anterior: 000018893 Material: PLASTICO Y LENTE EN VIDRIO Color: NEGRO Referencia:  Observacion:  Placa padre: Tipo adquisicion: Entidad</v>
      </c>
      <c r="G3426" s="5"/>
    </row>
    <row r="3427" spans="1:7" ht="58.5" customHeight="1" x14ac:dyDescent="0.25">
      <c r="A3427" s="5" t="str">
        <f>"H0012737"</f>
        <v>H0012737</v>
      </c>
      <c r="B3427" s="5" t="str">
        <f>"CALENTADOR DE FLUIDOS"</f>
        <v>CALENTADOR DE FLUIDOS</v>
      </c>
      <c r="C3427" s="6">
        <v>6264000</v>
      </c>
      <c r="D3427" s="5" t="s">
        <v>56</v>
      </c>
      <c r="E3427" s="5" t="str">
        <f t="shared" si="162"/>
        <v>QUIROFANO -MARIA DEL PILAR MEDINA</v>
      </c>
      <c r="F3427" s="5" t="str">
        <f>"Descripcion: EQUIPO DE CALENTAMIENTO DE FLUIDOS Estado: Bueno Placa anterior: 000032591 Material: PLASTICO  Color: GRIS Referencia:  Observacion:  Placa padre: Tipo adquisicion: Entidad"</f>
        <v>Descripcion: EQUIPO DE CALENTAMIENTO DE FLUIDOS Estado: Bueno Placa anterior: 000032591 Material: PLASTICO  Color: GRIS Referencia:  Observacion:  Placa padre: Tipo adquisicion: Entidad</v>
      </c>
      <c r="G3427" s="5" t="str">
        <f>"245"</f>
        <v>245</v>
      </c>
    </row>
    <row r="3428" spans="1:7" ht="58.5" customHeight="1" x14ac:dyDescent="0.25">
      <c r="A3428" s="5" t="str">
        <f>"H0012740"</f>
        <v>H0012740</v>
      </c>
      <c r="B3428" s="5" t="str">
        <f>"LARINGOSCOPIO ADULTO"</f>
        <v>LARINGOSCOPIO ADULTO</v>
      </c>
      <c r="C3428" s="6">
        <v>2354800</v>
      </c>
      <c r="D3428" s="5" t="s">
        <v>161</v>
      </c>
      <c r="E3428" s="5" t="str">
        <f t="shared" si="162"/>
        <v>QUIROFANO -MARIA DEL PILAR MEDINA</v>
      </c>
      <c r="F3428" s="5" t="str">
        <f>"Descripcion: LARINGOSCOPIO. Set de laringoscopio de fibra optica con estuche que incluye mangos de bateriasAA yCCon hojas macintoch Nº 3 y 4 y Miller nª0 y 2 Estado: Bueno Placa anterior: 000031542 Material: ACERO INOXIDABLE Color: GRIS Referencia:  Obser"&amp; "vacion: EQUIPO DE ORGANO CON DOS HOJAS UNA CURVA No 4 Y RECTA No 2. FALTA MANGO DEL LARINGO;  Placa padre: Tipo adquisicion: Entidad"</f>
        <v>Descripcion: LARINGOSCOPIO. Set de laringoscopio de fibra optica con estuche que incluye mangos de bateriasAA yCCon hojas macintoch Nº 3 y 4 y Miller nª0 y 2 Estado: Bueno Placa anterior: 000031542 Material: ACERO INOXIDABLE Color: GRIS Referencia:  Observacion: EQUIPO DE ORGANO CON DOS HOJAS UNA CURVA No 4 Y RECTA No 2. FALTA MANGO DEL LARINGO;  Placa padre: Tipo adquisicion: Entidad</v>
      </c>
      <c r="G3428" s="5"/>
    </row>
    <row r="3429" spans="1:7" ht="58.5" customHeight="1" x14ac:dyDescent="0.25">
      <c r="A3429" s="5" t="str">
        <f>"H0012741"</f>
        <v>H0012741</v>
      </c>
      <c r="B3429" s="5" t="str">
        <f>"ESTIMULADOR ULTRASONICO ELECTRICO PARA TERAPIA FISICA"</f>
        <v>ESTIMULADOR ULTRASONICO ELECTRICO PARA TERAPIA FISICA</v>
      </c>
      <c r="C3429" s="6">
        <v>2500000</v>
      </c>
      <c r="D3429" s="5"/>
      <c r="E3429" s="5" t="str">
        <f t="shared" si="162"/>
        <v>QUIROFANO -MARIA DEL PILAR MEDINA</v>
      </c>
      <c r="F3429" s="5" t="str">
        <f>"Descripcion: ESTIMULADOR (STIMUPLEX HNS 12) PERIFERICO ULTIMA GENERACION PARA BLOQUEO Y ANESTESIA DE PLEXOS. FORMA ERGONICA Y PANTALLA DIGITAL AMPLIADA DE 3 DIGITOS CON CABLE DE CONEXION PARA AGUJAS STIMUPLEX Y CONTIPLEX Estado: Regular Placa anterior: 00"&amp; "0033435 Material: PLASTICO Color: GRIS Referencia:  Observacion: ESTIMULADOR DE NERVIOS Placa padre: Tipo adquisicion: Entidad"</f>
        <v>Descripcion: ESTIMULADOR (STIMUPLEX HNS 12) PERIFERICO ULTIMA GENERACION PARA BLOQUEO Y ANESTESIA DE PLEXOS. FORMA ERGONICA Y PANTALLA DIGITAL AMPLIADA DE 3 DIGITOS CON CABLE DE CONEXION PARA AGUJAS STIMUPLEX Y CONTIPLEX Estado: Regular Placa anterior: 000033435 Material: PLASTICO Color: GRIS Referencia:  Observacion: ESTIMULADOR DE NERVIOS Placa padre: Tipo adquisicion: Entidad</v>
      </c>
      <c r="G3429" s="5" t="str">
        <f>"HNS 12"</f>
        <v>HNS 12</v>
      </c>
    </row>
    <row r="3430" spans="1:7" ht="58.5" customHeight="1" x14ac:dyDescent="0.25">
      <c r="A3430" s="5" t="str">
        <f>"H0012744"</f>
        <v>H0012744</v>
      </c>
      <c r="B3430" s="5" t="str">
        <f>"CUBETA DE ACERO INOXIDABLE CON TAPA MEDIANA"</f>
        <v>CUBETA DE ACERO INOXIDABLE CON TAPA MEDIANA</v>
      </c>
      <c r="C3430" s="6">
        <v>4400</v>
      </c>
      <c r="D3430" s="5"/>
      <c r="E3430" s="5" t="str">
        <f t="shared" si="162"/>
        <v>QUIROFANO -MARIA DEL PILAR MEDINA</v>
      </c>
      <c r="F3430" s="5" t="str">
        <f>"Descripcion: CUBETA CON TAPA Estado: Bueno Placa anterior: 000007317 Material: ACERO INOXIDABLE Color: PLATEADO Referencia:  Observacion:  Placa padre: Tipo adquisicion: Entidad"</f>
        <v>Descripcion: CUBETA CON TAPA Estado: Bueno Placa anterior: 000007317 Material: ACERO INOXIDABLE Color: PLATEADO Referencia:  Observacion:  Placa padre: Tipo adquisicion: Entidad</v>
      </c>
      <c r="G3430" s="5"/>
    </row>
    <row r="3431" spans="1:7" ht="58.5" customHeight="1" x14ac:dyDescent="0.25">
      <c r="A3431" s="5" t="str">
        <f>"H0012796"</f>
        <v>H0012796</v>
      </c>
      <c r="B3431" s="5" t="str">
        <f>"NEVERA 11 PIES (300LT)"</f>
        <v>NEVERA 11 PIES (300LT)</v>
      </c>
      <c r="C3431" s="6">
        <v>242000</v>
      </c>
      <c r="D3431" s="5"/>
      <c r="E3431" s="5" t="str">
        <f t="shared" si="162"/>
        <v>QUIROFANO -MARIA DEL PILAR MEDINA</v>
      </c>
      <c r="F3431" s="5" t="str">
        <f>"Descripcion: NEVERA MCA PHILIPS ESTANDAR Estado: Bueno Placa anterior: 000014784 Material: METAL Color: BEIGE Referencia:  Observacion:  Placa padre: Tipo adquisicion: Entidad"</f>
        <v>Descripcion: NEVERA MCA PHILIPS ESTANDAR Estado: Bueno Placa anterior: 000014784 Material: METAL Color: BEIGE Referencia:  Observacion:  Placa padre: Tipo adquisicion: Entidad</v>
      </c>
      <c r="G3431" s="5"/>
    </row>
    <row r="3432" spans="1:7" ht="58.5" customHeight="1" x14ac:dyDescent="0.25">
      <c r="A3432" s="5" t="str">
        <f>"H0013087"</f>
        <v>H0013087</v>
      </c>
      <c r="B3432" s="5" t="str">
        <f>"SILLA TANDEM DE 3 PUESTOS"</f>
        <v>SILLA TANDEM DE 3 PUESTOS</v>
      </c>
      <c r="C3432" s="6">
        <v>18141.38</v>
      </c>
      <c r="D3432" s="5"/>
      <c r="E3432" s="5" t="str">
        <f t="shared" si="162"/>
        <v>QUIROFANO -MARIA DEL PILAR MEDINA</v>
      </c>
      <c r="F3432" s="5" t="str">
        <f>"Descripcion: . Estado: Regular Placa anterior: 000015334 Material: PASTA Color: BLANCO Referencia:  Observacion: AUTORIZADO CONCILIAR EN CRUCE GENERAL Placa padre: Tipo adquisicion: Entidad"</f>
        <v>Descripcion: . Estado: Regular Placa anterior: 000015334 Material: PASTA Color: BLANCO Referencia:  Observacion: AUTORIZADO CONCILIAR EN CRUCE GENERAL Placa padre: Tipo adquisicion: Entidad</v>
      </c>
      <c r="G3432" s="5"/>
    </row>
    <row r="3433" spans="1:7" ht="58.5" customHeight="1" x14ac:dyDescent="0.25">
      <c r="A3433" s="5" t="str">
        <f>"H0013088"</f>
        <v>H0013088</v>
      </c>
      <c r="B3433" s="5" t="str">
        <f>"SILLA TANDEM DE 4 PUESTOS"</f>
        <v>SILLA TANDEM DE 4 PUESTOS</v>
      </c>
      <c r="C3433" s="6">
        <v>284200</v>
      </c>
      <c r="D3433" s="5"/>
      <c r="E3433" s="5" t="str">
        <f t="shared" si="162"/>
        <v>QUIROFANO -MARIA DEL PILAR MEDINA</v>
      </c>
      <c r="F3433" s="5" t="str">
        <f>"Descripcion: DOS PUESTOS EN MAL ESTADO Estado: Regular Placa anterior: 000022455 Material: PASTA Color: AZUL Referencia:  Observacion: FUNCIONARIO AUTORIZA SE CONCILIE CON PLACA 000022455 Placa padre: Tipo adquisicion: Entidad"</f>
        <v>Descripcion: DOS PUESTOS EN MAL ESTADO Estado: Regular Placa anterior: 000022455 Material: PASTA Color: AZUL Referencia:  Observacion: FUNCIONARIO AUTORIZA SE CONCILIE CON PLACA 000022455 Placa padre: Tipo adquisicion: Entidad</v>
      </c>
      <c r="G3433" s="5"/>
    </row>
    <row r="3434" spans="1:7" ht="58.5" customHeight="1" x14ac:dyDescent="0.25">
      <c r="A3434" s="5" t="str">
        <f>"H0013099"</f>
        <v>H0013099</v>
      </c>
      <c r="B3434" s="5" t="str">
        <f>"SILLA TANDEM DE 4 PUESTOS"</f>
        <v>SILLA TANDEM DE 4 PUESTOS</v>
      </c>
      <c r="C3434" s="6">
        <v>284200</v>
      </c>
      <c r="D3434" s="5"/>
      <c r="E3434" s="5" t="str">
        <f t="shared" si="162"/>
        <v>QUIROFANO -MARIA DEL PILAR MEDINA</v>
      </c>
      <c r="F3434" s="5" t="str">
        <f>"Descripcion: UN PUESTO MALO Estado: Regular Placa anterior: 000022457 Material: PASTA Color: AZUL Referencia:  Observacion: FUNCIONARIO AUTORIZA SE CONCILIE CON PLACA 000022457 Placa padre: Tipo adquisicion: Entidad"</f>
        <v>Descripcion: UN PUESTO MALO Estado: Regular Placa anterior: 000022457 Material: PASTA Color: AZUL Referencia:  Observacion: FUNCIONARIO AUTORIZA SE CONCILIE CON PLACA 000022457 Placa padre: Tipo adquisicion: Entidad</v>
      </c>
      <c r="G3434" s="5"/>
    </row>
    <row r="3435" spans="1:7" ht="58.5" customHeight="1" x14ac:dyDescent="0.25">
      <c r="A3435" s="5" t="str">
        <f>"H0013100"</f>
        <v>H0013100</v>
      </c>
      <c r="B3435" s="5" t="str">
        <f>"SILLA TANDEM DE 4 PUESTOS"</f>
        <v>SILLA TANDEM DE 4 PUESTOS</v>
      </c>
      <c r="C3435" s="6">
        <v>284200</v>
      </c>
      <c r="D3435" s="5"/>
      <c r="E3435" s="5" t="str">
        <f t="shared" si="162"/>
        <v>QUIROFANO -MARIA DEL PILAR MEDINA</v>
      </c>
      <c r="F3435" s="5" t="str">
        <f>"Descripcion: UN PUESTO MALO Estado: Regular Placa anterior: 000022458 Material: PASTA Color: AZUL Referencia:  Observacion: FUNCIONARIO AUTORIZA SE CONCILIE CON PLACA  000022458 Placa padre: Tipo adquisicion: Entidad"</f>
        <v>Descripcion: UN PUESTO MALO Estado: Regular Placa anterior: 000022458 Material: PASTA Color: AZUL Referencia:  Observacion: FUNCIONARIO AUTORIZA SE CONCILIE CON PLACA  000022458 Placa padre: Tipo adquisicion: Entidad</v>
      </c>
      <c r="G3435" s="5"/>
    </row>
    <row r="3436" spans="1:7" ht="58.5" customHeight="1" x14ac:dyDescent="0.25">
      <c r="A3436" s="5" t="str">
        <f>"H0015852"</f>
        <v>H0015852</v>
      </c>
      <c r="B3436" s="5" t="str">
        <f>"CAMARA DE VIDEOVIGILANCIA"</f>
        <v>CAMARA DE VIDEOVIGILANCIA</v>
      </c>
      <c r="C3436" s="6">
        <v>371000</v>
      </c>
      <c r="D3436" s="5" t="s">
        <v>213</v>
      </c>
      <c r="E3436" s="5" t="str">
        <f t="shared" si="162"/>
        <v>QUIROFANO -MARIA DEL PILAR MEDINA</v>
      </c>
      <c r="F3436" s="5" t="str">
        <f>"Descripcion: CAMARA IP TIPO DOMO 2 MPX LENTE DE 2.8 mm PoE 1/3 (WI-FI) Estado: Bueno Placa anterior: 000038209 Material: PASTA Color: BLANCO Referencia:  Observacion:  Placa padre: Tipo adquisicion: Entidad"</f>
        <v>Descripcion: CAMARA IP TIPO DOMO 2 MPX LENTE DE 2.8 mm PoE 1/3 (WI-FI) Estado: Bueno Placa anterior: 000038209 Material: PASTA Color: BLANCO Referencia:  Observacion:  Placa padre: Tipo adquisicion: Entidad</v>
      </c>
      <c r="G3436" s="5"/>
    </row>
    <row r="3437" spans="1:7" ht="58.5" customHeight="1" x14ac:dyDescent="0.25">
      <c r="A3437" s="5" t="str">
        <f>"H0016391"</f>
        <v>H0016391</v>
      </c>
      <c r="B3437" s="5" t="str">
        <f>"CAMARA DE VIDEOVIGILANCIA"</f>
        <v>CAMARA DE VIDEOVIGILANCIA</v>
      </c>
      <c r="C3437" s="6">
        <v>1600000</v>
      </c>
      <c r="D3437" s="5" t="s">
        <v>213</v>
      </c>
      <c r="E3437" s="5" t="str">
        <f t="shared" si="162"/>
        <v>QUIROFANO -MARIA DEL PILAR MEDINA</v>
      </c>
      <c r="F3437" s="5" t="str">
        <f>"Descripcion: CAMARA DE VIDEOVIGILANCIA TIPO DOMO Estado: Bueno Placa anterior: 000038259 Material: PASTA Color: BLANCO Referencia:  Observacion: EL BIEN TIENE PLACA ANTERIOR  000038208, LA CUAL ESTA ASIGNADA A OTRO BIEN Placa padre: Tipo adquisicion: Enti"&amp; "dad"</f>
        <v>Descripcion: CAMARA DE VIDEOVIGILANCIA TIPO DOMO Estado: Bueno Placa anterior: 000038259 Material: PASTA Color: BLANCO Referencia:  Observacion: EL BIEN TIENE PLACA ANTERIOR  000038208, LA CUAL ESTA ASIGNADA A OTRO BIEN Placa padre: Tipo adquisicion: Entidad</v>
      </c>
      <c r="G3437" s="5"/>
    </row>
    <row r="3438" spans="1:7" ht="58.5" customHeight="1" x14ac:dyDescent="0.25">
      <c r="A3438" s="5" t="str">
        <f>"H0018116"</f>
        <v>H0018116</v>
      </c>
      <c r="B3438" s="5" t="str">
        <f>"TELEFONO DE SOBREMESA"</f>
        <v>TELEFONO DE SOBREMESA</v>
      </c>
      <c r="C3438" s="6">
        <v>9149.39</v>
      </c>
      <c r="D3438" s="5"/>
      <c r="E3438" s="5" t="str">
        <f t="shared" si="162"/>
        <v>QUIROFANO -MARIA DEL PILAR MEDINA</v>
      </c>
      <c r="F3438" s="5" t="str">
        <f>"Descripcion: TELEFONO DE MESA Estado: Bueno Placa anterior: 000027667 Material: PLASTICO Color: VINOTINTO Referencia:  Observacion:  Placa padre: Tipo adquisicion: Entidad"</f>
        <v>Descripcion: TELEFONO DE MESA Estado: Bueno Placa anterior: 000027667 Material: PLASTICO Color: VINOTINTO Referencia:  Observacion:  Placa padre: Tipo adquisicion: Entidad</v>
      </c>
      <c r="G3438" s="5" t="str">
        <f>"GS-460"</f>
        <v>GS-460</v>
      </c>
    </row>
    <row r="3439" spans="1:7" ht="58.5" customHeight="1" x14ac:dyDescent="0.25">
      <c r="A3439" s="5" t="str">
        <f>"H0018126"</f>
        <v>H0018126</v>
      </c>
      <c r="B3439" s="5" t="str">
        <f>"EQUIPO DE ORGANOS PORTATIL"</f>
        <v>EQUIPO DE ORGANOS PORTATIL</v>
      </c>
      <c r="C3439" s="6">
        <v>974400</v>
      </c>
      <c r="D3439" s="5"/>
      <c r="E3439" s="5" t="str">
        <f t="shared" si="162"/>
        <v>QUIROFANO -MARIA DEL PILAR MEDINA</v>
      </c>
      <c r="F3439" s="5" t="str">
        <f>"Descripcion: EQUIPO DE ORGANOS DE LOS SENTIDO X 2 CON ESTUCHE GRIS Estado: Bueno Placa anterior:  Material: PLASTICO Color: BEIGE Referencia:  Observacion: PLACA ANTERIOR NO ENCONTRADA 000023374 Placa padre: Tipo adquisicion: Entidad"</f>
        <v>Descripcion: EQUIPO DE ORGANOS DE LOS SENTIDO X 2 CON ESTUCHE GRIS Estado: Bueno Placa anterior:  Material: PLASTICO Color: BEIGE Referencia:  Observacion: PLACA ANTERIOR NO ENCONTRADA 000023374 Placa padre: Tipo adquisicion: Entidad</v>
      </c>
      <c r="G3439" s="5"/>
    </row>
    <row r="3440" spans="1:7" ht="58.5" customHeight="1" x14ac:dyDescent="0.25">
      <c r="A3440" s="5" t="str">
        <f>"H0018130"</f>
        <v>H0018130</v>
      </c>
      <c r="B3440" s="5" t="str">
        <f>"SILLA INTERLOCUTORA (FIJA) SIN BRAZOS"</f>
        <v>SILLA INTERLOCUTORA (FIJA) SIN BRAZOS</v>
      </c>
      <c r="C3440" s="6">
        <v>6308.9</v>
      </c>
      <c r="D3440" s="5"/>
      <c r="E3440" s="5" t="str">
        <f t="shared" si="162"/>
        <v>QUIROFANO -MARIA DEL PILAR MEDINA</v>
      </c>
      <c r="F3440" s="5" t="str">
        <f>"Descripcion: SILLA INTERLOCUTORA (FIJA) SIN BRAZOS   Estado: Regular Placa anterior: 000014870 Material: METALICO CON TAPIZADO Color: MARRON Referencia:  Observacion:  Placa padre: Tipo adquisicion: Entidad"</f>
        <v>Descripcion: SILLA INTERLOCUTORA (FIJA) SIN BRAZOS   Estado: Regular Placa anterior: 000014870 Material: METALICO CON TAPIZADO Color: MARRON Referencia:  Observacion:  Placa padre: Tipo adquisicion: Entidad</v>
      </c>
      <c r="G3440" s="5"/>
    </row>
    <row r="3441" spans="1:7" ht="58.5" customHeight="1" x14ac:dyDescent="0.25">
      <c r="A3441" s="5" t="str">
        <f>"H0018401"</f>
        <v>H0018401</v>
      </c>
      <c r="B3441" s="5" t="str">
        <f>"CAMILLA DE TRASLADO CON BARANDAS"</f>
        <v>CAMILLA DE TRASLADO CON BARANDAS</v>
      </c>
      <c r="C3441" s="6">
        <v>1645000</v>
      </c>
      <c r="D3441" s="5"/>
      <c r="E3441" s="5" t="str">
        <f t="shared" si="162"/>
        <v>QUIROFANO -MARIA DEL PILAR MEDINA</v>
      </c>
      <c r="F3441" s="5" t="str">
        <f>"Descripcion: CAMILLA DE TRASLADO CON BARANDAS Estado: Bueno Placa anterior: 000033000 Material: METALICO Color: BEIGE Referencia:  Observacion: PLACA ANTERIOR NO ENCONTRADA 000026311 AUTORIZADO CONCILIAR EN CRUCE GENERAL Placa padre: Tipo adquisicion: Ent"&amp; "idad"</f>
        <v>Descripcion: CAMILLA DE TRASLADO CON BARANDAS Estado: Bueno Placa anterior: 000033000 Material: METALICO Color: BEIGE Referencia:  Observacion: PLACA ANTERIOR NO ENCONTRADA 000026311 AUTORIZADO CONCILIAR EN CRUCE GENERAL Placa padre: Tipo adquisicion: Entidad</v>
      </c>
      <c r="G3441" s="5"/>
    </row>
    <row r="3442" spans="1:7" ht="58.5" customHeight="1" x14ac:dyDescent="0.25">
      <c r="A3442" s="5" t="str">
        <f>"H0018403"</f>
        <v>H0018403</v>
      </c>
      <c r="B3442" s="5" t="str">
        <f>"CAMILLA DE TRASLADO CON BARANDAS"</f>
        <v>CAMILLA DE TRASLADO CON BARANDAS</v>
      </c>
      <c r="C3442" s="6">
        <v>1070680</v>
      </c>
      <c r="D3442" s="5"/>
      <c r="E3442" s="5" t="str">
        <f t="shared" si="162"/>
        <v>QUIROFANO -MARIA DEL PILAR MEDINA</v>
      </c>
      <c r="F3442" s="5" t="str">
        <f>"Descripcion: CAMILLA DE TRASLADO CON BARANDAS Estado: Bueno Placa anterior: 000025756 Material: METALICO Color: BEIGE Referencia:  Observacion: EL BIEN TRAE PLACA 000028151  AUTORIZADO CONCILIAR EN CRUCE GENERAL Placa padre: Tipo adquisicion: Entidad"</f>
        <v>Descripcion: CAMILLA DE TRASLADO CON BARANDAS Estado: Bueno Placa anterior: 000025756 Material: METALICO Color: BEIGE Referencia:  Observacion: EL BIEN TRAE PLACA 000028151  AUTORIZADO CONCILIAR EN CRUCE GENERAL Placa padre: Tipo adquisicion: Entidad</v>
      </c>
      <c r="G3442" s="5"/>
    </row>
    <row r="3443" spans="1:7" ht="58.5" customHeight="1" x14ac:dyDescent="0.25">
      <c r="A3443" s="5" t="str">
        <f>"H0018405"</f>
        <v>H0018405</v>
      </c>
      <c r="B3443" s="5" t="str">
        <f>"CAMILLA DE TRASLADO CON BARANDAS"</f>
        <v>CAMILLA DE TRASLADO CON BARANDAS</v>
      </c>
      <c r="C3443" s="6">
        <v>38995</v>
      </c>
      <c r="D3443" s="5"/>
      <c r="E3443" s="5" t="str">
        <f t="shared" si="162"/>
        <v>QUIROFANO -MARIA DEL PILAR MEDINA</v>
      </c>
      <c r="F3443" s="5" t="str">
        <f>"Descripcion: CAMILLA DE TRASLADO CON BARANDAS Estado: Bueno Placa anterior: 000016776 Material: METALICO Color: BEIGE Referencia:  Observacion:  Placa padre: Tipo adquisicion: Entidad"</f>
        <v>Descripcion: CAMILLA DE TRASLADO CON BARANDAS Estado: Bueno Placa anterior: 000016776 Material: METALICO Color: BEIGE Referencia:  Observacion:  Placa padre: Tipo adquisicion: Entidad</v>
      </c>
      <c r="G3443" s="5"/>
    </row>
    <row r="3444" spans="1:7" ht="58.5" customHeight="1" x14ac:dyDescent="0.25">
      <c r="A3444" s="5" t="str">
        <f>"H0018406"</f>
        <v>H0018406</v>
      </c>
      <c r="B3444" s="5" t="str">
        <f>"AIRE ACONDICIONADO TIPO SPLIT 12000 BTU"</f>
        <v>AIRE ACONDICIONADO TIPO SPLIT 12000 BTU</v>
      </c>
      <c r="C3444" s="6">
        <v>1836280</v>
      </c>
      <c r="D3444" s="5" t="s">
        <v>146</v>
      </c>
      <c r="E3444" s="5" t="str">
        <f t="shared" si="162"/>
        <v>QUIROFANO -MARIA DEL PILAR MEDINA</v>
      </c>
      <c r="F3444" s="5" t="str">
        <f>"Descripcion: AIRE ACONDICIONADO CAPACIDAD 12.000 BTU Equipo tipo mini split consola de lujo con control remoto y uso refrigerante ecologico Sistema inverter Debe incluir display para ser monitoreado por sistema central Estado: Bueno Placa anterior: 000036"&amp; "367 Material: PLASTICO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000036367 Material: PLASTICO Color: BLANCO Referencia:  Observacion:  Placa padre: Tipo adquisicion: Entidad</v>
      </c>
      <c r="G3444" s="5" t="str">
        <f>"VM122CENB3"</f>
        <v>VM122CENB3</v>
      </c>
    </row>
    <row r="3445" spans="1:7" ht="58.5" customHeight="1" x14ac:dyDescent="0.25">
      <c r="A3445" s="5" t="str">
        <f>"H0018407"</f>
        <v>H0018407</v>
      </c>
      <c r="B3445" s="5" t="str">
        <f>"POTE (TARRO) ACERO INXODABLE CON TAPA MEDIANO"</f>
        <v>POTE (TARRO) ACERO INXODABLE CON TAPA MEDIANO</v>
      </c>
      <c r="C3445" s="6">
        <v>5547.87</v>
      </c>
      <c r="D3445" s="5"/>
      <c r="E3445" s="5" t="str">
        <f t="shared" si="162"/>
        <v>QUIROFANO -MARIA DEL PILAR MEDINA</v>
      </c>
      <c r="F3445" s="5" t="str">
        <f>"Descripcion: TARRO EN ACERO INOXIDABLE Estado: Bueno Placa anterior: 000026304 Material: ACERO INOXIDABLE Color:  Referencia:  Observacion:  Placa padre: Tipo adquisicion: Entidad"</f>
        <v>Descripcion: TARRO EN ACERO INOXIDABLE Estado: Bueno Placa anterior: 000026304 Material: ACERO INOXIDABLE Color:  Referencia:  Observacion:  Placa padre: Tipo adquisicion: Entidad</v>
      </c>
      <c r="G3445" s="5"/>
    </row>
    <row r="3446" spans="1:7" ht="58.5" customHeight="1" x14ac:dyDescent="0.25">
      <c r="A3446" s="5" t="str">
        <f>"H0018408"</f>
        <v>H0018408</v>
      </c>
      <c r="B3446" s="5" t="str">
        <f>"CUBETA DE ACERO INOXIDABLE CON TAPA PEQUEÑA"</f>
        <v>CUBETA DE ACERO INOXIDABLE CON TAPA PEQUEÑA</v>
      </c>
      <c r="C3446" s="6">
        <v>38480.699999999997</v>
      </c>
      <c r="D3446" s="5"/>
      <c r="E3446" s="5" t="str">
        <f t="shared" si="162"/>
        <v>QUIROFANO -MARIA DEL PILAR MEDINA</v>
      </c>
      <c r="F3446" s="5" t="str">
        <f>"Descripcion: CUBETA DE ACERO INOXIDABLE CON TAPA PEQUEÑA Estado: Bueno Placa anterior: 000004390 Material: ACERO INOXIDABLE Color:  Referencia:  Observacion:  Placa padre: Tipo adquisicion: Entidad"</f>
        <v>Descripcion: CUBETA DE ACERO INOXIDABLE CON TAPA PEQUEÑA Estado: Bueno Placa anterior: 000004390 Material: ACERO INOXIDABLE Color:  Referencia:  Observacion:  Placa padre: Tipo adquisicion: Entidad</v>
      </c>
      <c r="G3446" s="5"/>
    </row>
    <row r="3447" spans="1:7" ht="58.5" customHeight="1" x14ac:dyDescent="0.25">
      <c r="A3447" s="5" t="str">
        <f>"H0018410"</f>
        <v>H0018410</v>
      </c>
      <c r="B3447" s="5" t="str">
        <f>"MESA (CARRO) DE CURACIONES"</f>
        <v>MESA (CARRO) DE CURACIONES</v>
      </c>
      <c r="C3447" s="6">
        <v>37276</v>
      </c>
      <c r="D3447" s="5"/>
      <c r="E3447" s="5" t="str">
        <f t="shared" si="162"/>
        <v>QUIROFANO -MARIA DEL PILAR MEDINA</v>
      </c>
      <c r="F3447" s="5" t="str">
        <f>"Descripcion: MESA (CARRO) DE CURACIONES Estado: Bueno Placa anterior: 000014813 Material: METALICO Color: BEIGE Referencia:  Observacion:  Placa padre: Tipo adquisicion: Entidad"</f>
        <v>Descripcion: MESA (CARRO) DE CURACIONES Estado: Bueno Placa anterior: 000014813 Material: METALICO Color: BEIGE Referencia:  Observacion:  Placa padre: Tipo adquisicion: Entidad</v>
      </c>
      <c r="G3447" s="5"/>
    </row>
    <row r="3448" spans="1:7" ht="58.5" customHeight="1" x14ac:dyDescent="0.25">
      <c r="A3448" s="5" t="str">
        <f>"H0018413"</f>
        <v>H0018413</v>
      </c>
      <c r="B3448" s="5" t="str">
        <f>"SILLA DE RUEDAS"</f>
        <v>SILLA DE RUEDAS</v>
      </c>
      <c r="C3448" s="6">
        <v>262500</v>
      </c>
      <c r="D3448" s="5" t="s">
        <v>295</v>
      </c>
      <c r="E3448" s="5" t="str">
        <f t="shared" si="162"/>
        <v>QUIROFANO -MARIA DEL PILAR MEDINA</v>
      </c>
      <c r="F3448" s="5" t="str">
        <f>"Descripcion: SILLA DE RUEDAS  Estado: Regular Placa anterior: 000036476 Material: METALICO TAPIZADO EN NEGRO Color: NEGRO Referencia:  Observacion:  Placa padre: Tipo adquisicion: Entidad"</f>
        <v>Descripcion: SILLA DE RUEDAS  Estado: Regular Placa anterior: 000036476 Material: METALICO TAPIZADO EN NEGRO Color: NEGRO Referencia:  Observacion:  Placa padre: Tipo adquisicion: Entidad</v>
      </c>
      <c r="G3448" s="5"/>
    </row>
    <row r="3449" spans="1:7" ht="58.5" customHeight="1" x14ac:dyDescent="0.25">
      <c r="A3449" s="5" t="str">
        <f>"H0018416"</f>
        <v>H0018416</v>
      </c>
      <c r="B3449" s="5" t="str">
        <f>"SILLA PLASTICA CON BRAZOS"</f>
        <v>SILLA PLASTICA CON BRAZOS</v>
      </c>
      <c r="C3449" s="6">
        <v>23000</v>
      </c>
      <c r="D3449" s="5"/>
      <c r="E3449" s="5" t="str">
        <f t="shared" si="162"/>
        <v>QUIROFANO -MARIA DEL PILAR MEDINA</v>
      </c>
      <c r="F3449" s="5" t="str">
        <f>"Descripcion: SILLA PLASTICA CON BRAZOS Estado: Bueno Placa anterior: 000033279 Material: PLASTICO Color: BLANCO Referencia:  Observacion:  Placa padre: Tipo adquisicion: Entidad"</f>
        <v>Descripcion: SILLA PLASTICA CON BRAZOS Estado: Bueno Placa anterior: 000033279 Material: PLASTICO Color: BLANCO Referencia:  Observacion:  Placa padre: Tipo adquisicion: Entidad</v>
      </c>
      <c r="G3449" s="5"/>
    </row>
    <row r="3450" spans="1:7" ht="58.5" customHeight="1" x14ac:dyDescent="0.25">
      <c r="A3450" s="5" t="str">
        <f>"H0018417"</f>
        <v>H0018417</v>
      </c>
      <c r="B3450" s="5" t="str">
        <f>"SILLA PLASTICA CON BRAZOS"</f>
        <v>SILLA PLASTICA CON BRAZOS</v>
      </c>
      <c r="C3450" s="6">
        <v>23000</v>
      </c>
      <c r="D3450" s="5"/>
      <c r="E3450" s="5" t="str">
        <f t="shared" si="162"/>
        <v>QUIROFANO -MARIA DEL PILAR MEDINA</v>
      </c>
      <c r="F3450" s="5" t="str">
        <f>"Descripcion: SILLA PLASTICA CON BRAZOS Estado: Bueno Placa anterior: 000033278 Material: PLASTICO Color: AZUL Referencia:  Observacion:  Placa padre: Tipo adquisicion: Entidad"</f>
        <v>Descripcion: SILLA PLASTICA CON BRAZOS Estado: Bueno Placa anterior: 000033278 Material: PLASTICO Color: AZUL Referencia:  Observacion:  Placa padre: Tipo adquisicion: Entidad</v>
      </c>
      <c r="G3450" s="5"/>
    </row>
    <row r="3451" spans="1:7" ht="58.5" customHeight="1" x14ac:dyDescent="0.25">
      <c r="A3451" s="5" t="str">
        <f>"H0018418"</f>
        <v>H0018418</v>
      </c>
      <c r="B3451" s="5" t="str">
        <f>"SILLA PLASTICA CON BRAZOS"</f>
        <v>SILLA PLASTICA CON BRAZOS</v>
      </c>
      <c r="C3451" s="6">
        <v>23000</v>
      </c>
      <c r="D3451" s="5"/>
      <c r="E3451" s="5" t="str">
        <f t="shared" si="162"/>
        <v>QUIROFANO -MARIA DEL PILAR MEDINA</v>
      </c>
      <c r="F3451" s="5" t="str">
        <f>"Descripcion: SILLA PLASTICA CON BRAZOS Estado: Bueno Placa anterior: 000033277 Material: PLASTICO Color: AZUL Referencia:  Observacion:  Placa padre: Tipo adquisicion: Entidad"</f>
        <v>Descripcion: SILLA PLASTICA CON BRAZOS Estado: Bueno Placa anterior: 000033277 Material: PLASTICO Color: AZUL Referencia:  Observacion:  Placa padre: Tipo adquisicion: Entidad</v>
      </c>
      <c r="G3451" s="5"/>
    </row>
    <row r="3452" spans="1:7" ht="58.5" customHeight="1" x14ac:dyDescent="0.25">
      <c r="A3452" s="5" t="str">
        <f>"H0018424"</f>
        <v>H0018424</v>
      </c>
      <c r="B3452" s="5" t="str">
        <f>"SILLA DE RUEDAS"</f>
        <v>SILLA DE RUEDAS</v>
      </c>
      <c r="C3452" s="6">
        <v>262500</v>
      </c>
      <c r="D3452" s="5" t="s">
        <v>295</v>
      </c>
      <c r="E3452" s="5" t="str">
        <f t="shared" si="162"/>
        <v>QUIROFANO -MARIA DEL PILAR MEDINA</v>
      </c>
      <c r="F3452" s="5" t="str">
        <f>"Descripcion: SILLA DE RUEDAS  Estado: Regular Placa anterior: 000036475 Material: METALICO TAPIZADO EN NEGRO Color: NEGRO Referencia:  Observacion:  Placa padre: Tipo adquisicion: Entidad"</f>
        <v>Descripcion: SILLA DE RUEDAS  Estado: Regular Placa anterior: 000036475 Material: METALICO TAPIZADO EN NEGRO Color: NEGRO Referencia:  Observacion:  Placa padre: Tipo adquisicion: Entidad</v>
      </c>
      <c r="G3452" s="5"/>
    </row>
    <row r="3453" spans="1:7" ht="58.5" customHeight="1" x14ac:dyDescent="0.25">
      <c r="A3453" s="5" t="str">
        <f>"H0018425"</f>
        <v>H0018425</v>
      </c>
      <c r="B3453" s="5" t="str">
        <f>"SILLA DE RUEDAS"</f>
        <v>SILLA DE RUEDAS</v>
      </c>
      <c r="C3453" s="6">
        <v>262500</v>
      </c>
      <c r="D3453" s="5" t="s">
        <v>295</v>
      </c>
      <c r="E3453" s="5" t="str">
        <f t="shared" si="162"/>
        <v>QUIROFANO -MARIA DEL PILAR MEDINA</v>
      </c>
      <c r="F3453" s="5" t="str">
        <f>"Descripcion: SILLA DE RUEDAS  Estado: Regular Placa anterior: 000036477 Material: METALICO TAPIZADO EN NEGRO Color: NEGRO Referencia:  Observacion:  Placa padre: Tipo adquisicion: Entidad"</f>
        <v>Descripcion: SILLA DE RUEDAS  Estado: Regular Placa anterior: 000036477 Material: METALICO TAPIZADO EN NEGRO Color: NEGRO Referencia:  Observacion:  Placa padre: Tipo adquisicion: Entidad</v>
      </c>
      <c r="G3453" s="5"/>
    </row>
    <row r="3454" spans="1:7" ht="58.5" customHeight="1" x14ac:dyDescent="0.25">
      <c r="A3454" s="5" t="str">
        <f>"H0018427"</f>
        <v>H0018427</v>
      </c>
      <c r="B3454" s="5" t="str">
        <f>"SILLON (SOFA)"</f>
        <v>SILLON (SOFA)</v>
      </c>
      <c r="C3454" s="6">
        <v>21400</v>
      </c>
      <c r="D3454" s="5"/>
      <c r="E3454" s="5" t="str">
        <f t="shared" si="162"/>
        <v>QUIROFANO -MARIA DEL PILAR MEDINA</v>
      </c>
      <c r="F3454" s="5" t="str">
        <f>"Descripcion: SOFA LIZZY TAPIZADO PARA 3 CUERPOS Estado: Malo Placa anterior: 000019391 Material: TAPIZADO EN SEMICUERO Color: NEGRO Referencia:  Observacion: EL BIEN TRAE PLACA 000022837 SOFA LIZZY Placa padre: Tipo adquisicion: Entidad"</f>
        <v>Descripcion: SOFA LIZZY TAPIZADO PARA 3 CUERPOS Estado: Malo Placa anterior: 000019391 Material: TAPIZADO EN SEMICUERO Color: NEGRO Referencia:  Observacion: EL BIEN TRAE PLACA 000022837 SOFA LIZZY Placa padre: Tipo adquisicion: Entidad</v>
      </c>
      <c r="G3454" s="5"/>
    </row>
    <row r="3455" spans="1:7" ht="58.5" customHeight="1" x14ac:dyDescent="0.25">
      <c r="A3455" s="5" t="str">
        <f>"H0018429"</f>
        <v>H0018429</v>
      </c>
      <c r="B3455" s="5" t="str">
        <f>"SILLA INTERLOCUTORA (FIJA) SIN BRAZOS"</f>
        <v>SILLA INTERLOCUTORA (FIJA) SIN BRAZOS</v>
      </c>
      <c r="C3455" s="6">
        <v>6308.9</v>
      </c>
      <c r="D3455" s="5"/>
      <c r="E3455" s="5" t="str">
        <f t="shared" si="162"/>
        <v>QUIROFANO -MARIA DEL PILAR MEDINA</v>
      </c>
      <c r="F3455" s="5" t="str">
        <f>"Descripcion: SILLA INTERLOCUTORA (FIJA) SIN BRAZOS Estado: Bueno Placa anterior: 000014855 Material: TAPIZADO EN PAÑO Color: NEGRO Referencia:  Observacion:  Placa padre: Tipo adquisicion: Entidad"</f>
        <v>Descripcion: SILLA INTERLOCUTORA (FIJA) SIN BRAZOS Estado: Bueno Placa anterior: 000014855 Material: TAPIZADO EN PAÑO Color: NEGRO Referencia:  Observacion:  Placa padre: Tipo adquisicion: Entidad</v>
      </c>
      <c r="G3455" s="5"/>
    </row>
    <row r="3456" spans="1:7" ht="58.5" customHeight="1" x14ac:dyDescent="0.25">
      <c r="A3456" s="5" t="str">
        <f>"H0018430"</f>
        <v>H0018430</v>
      </c>
      <c r="B3456" s="5" t="str">
        <f>"MESA DE MADERA PARA COMPUTADOR"</f>
        <v>MESA DE MADERA PARA COMPUTADOR</v>
      </c>
      <c r="C3456" s="6">
        <v>194717.6</v>
      </c>
      <c r="D3456" s="5"/>
      <c r="E3456" s="5" t="str">
        <f t="shared" si="162"/>
        <v>QUIROFANO -MARIA DEL PILAR MEDINA</v>
      </c>
      <c r="F3456" s="5" t="str">
        <f>"Descripcion: MESA DE MADERA PARA COMPUTADOR MEDIDAS:73X120X73CM Estado: Bueno Placa anterior: 000015260 Material: MADERA  Color: NEGRO CON MADERA OSCURO Referencia:  Observacion:  Placa padre: Tipo adquisicion: Entidad"</f>
        <v>Descripcion: MESA DE MADERA PARA COMPUTADOR MEDIDAS:73X120X73CM Estado: Bueno Placa anterior: 000015260 Material: MADERA  Color: NEGRO CON MADERA OSCURO Referencia:  Observacion:  Placa padre: Tipo adquisicion: Entidad</v>
      </c>
      <c r="G3456" s="5"/>
    </row>
    <row r="3457" spans="1:7" ht="58.5" customHeight="1" x14ac:dyDescent="0.25">
      <c r="A3457" s="5" t="str">
        <f>"H0018436"</f>
        <v>H0018436</v>
      </c>
      <c r="B3457" s="5" t="str">
        <f>"SILLA TANDEM DE 4 PUESTOS"</f>
        <v>SILLA TANDEM DE 4 PUESTOS</v>
      </c>
      <c r="C3457" s="6">
        <v>284200</v>
      </c>
      <c r="D3457" s="5"/>
      <c r="E3457" s="5" t="str">
        <f t="shared" si="162"/>
        <v>QUIROFANO -MARIA DEL PILAR MEDINA</v>
      </c>
      <c r="F3457" s="5" t="str">
        <f>"Descripcion: SILLA TANDEM DE 4 PUESTOS TAPIZADA EN PAÑO Estado: Bueno Placa anterior: 000022456 Material: METALICO CON TAPIZADO EN PAÑO Color: NEGRO CON AZUL Referencia:  Observacion:  Placa padre: Tipo adquisicion: Entidad"</f>
        <v>Descripcion: SILLA TANDEM DE 4 PUESTOS TAPIZADA EN PAÑO Estado: Bueno Placa anterior: 000022456 Material: METALICO CON TAPIZADO EN PAÑO Color: NEGRO CON AZUL Referencia:  Observacion:  Placa padre: Tipo adquisicion: Entidad</v>
      </c>
      <c r="G3457" s="5"/>
    </row>
    <row r="3458" spans="1:7" ht="58.5" customHeight="1" x14ac:dyDescent="0.25">
      <c r="A3458" s="5" t="str">
        <f>"H0018439"</f>
        <v>H0018439</v>
      </c>
      <c r="B3458" s="5" t="str">
        <f>"COMPUTADOR TODO EN UNO"</f>
        <v>COMPUTADOR TODO EN UNO</v>
      </c>
      <c r="C3458" s="6">
        <v>1200000</v>
      </c>
      <c r="D3458" s="5" t="s">
        <v>2</v>
      </c>
      <c r="E3458" s="5" t="str">
        <f t="shared" si="162"/>
        <v>QUIROFANO -MARIA DEL PILAR MEDINA</v>
      </c>
      <c r="F3458"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000030796 Material: PLASTICO Color: NEGRO Referencia: PANTALA 20  Observacion:  Placa anterior:, Placa nueva=H0018113, Descripcion:MOUSE OPTICO, Serial:, Marca:HP, Modelo:APOLLO-OU, Material:PLASTICO, Color:NEGR"&amp; "O,Referencia:, Placa anterior:, Placa nueva=H0018440, Descripcion:TECLADO, Serial:, Marca:HP, Modelo:KU-1156, Material:PLASTICO, Color:NEGRO,Referencia: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000030796 Material: PLASTICO Color: NEGRO Referencia: PANTALA 20  Observacion:  Placa anterior:, Placa nueva=H0018113, Descripcion:MOUSE OPTICO, Serial:, Marca:HP, Modelo:APOLLO-OU, Material:PLASTICO, Color:NEGRO,Referencia:, Placa anterior:, Placa nueva=H0018440, Descripcion:TECLADO, Serial:, Marca:HP, Modelo:KU-1156, Material:PLASTICO, Color:NEGRO,Referencia: Placa padre: Tipo adquisicion: Entidad</v>
      </c>
      <c r="G3458" s="5" t="str">
        <f>"COMPAQ PRO 4300"</f>
        <v>COMPAQ PRO 4300</v>
      </c>
    </row>
    <row r="3459" spans="1:7" ht="58.5" customHeight="1" x14ac:dyDescent="0.25">
      <c r="A3459" s="5" t="str">
        <f>"H0018441"</f>
        <v>H0018441</v>
      </c>
      <c r="B3459" s="5" t="str">
        <f>"AIRE ACONDICIONADO TIPO SPLIT 12000 BTU"</f>
        <v>AIRE ACONDICIONADO TIPO SPLIT 12000 BTU</v>
      </c>
      <c r="C3459" s="6">
        <v>1836280</v>
      </c>
      <c r="D3459" s="5" t="s">
        <v>146</v>
      </c>
      <c r="E3459" s="5" t="str">
        <f t="shared" si="162"/>
        <v>QUIROFANO -MARIA DEL PILAR MEDINA</v>
      </c>
      <c r="F3459" s="5" t="str">
        <f>"Descripcion: AIRE ACONDICIONADO CAPACIDAD 12.000 BTU Equipo tipo mini split consola de lujo con control remoto y uso refrigerante ecologico Sistema inverter Debe incluir display para ser monitoreado por sistema central Estado: Bueno Placa anterior: 000036"&amp; "365 Material: PLASTICO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000036365 Material: PLASTICO Color: BLANCO Referencia:  Observacion:  Placa padre: Tipo adquisicion: Entidad</v>
      </c>
      <c r="G3459" s="5" t="str">
        <f>"VM122CENB3"</f>
        <v>VM122CENB3</v>
      </c>
    </row>
    <row r="3460" spans="1:7" ht="58.5" customHeight="1" x14ac:dyDescent="0.25">
      <c r="A3460" s="5" t="str">
        <f>"H0018444"</f>
        <v>H0018444</v>
      </c>
      <c r="B3460" s="5" t="str">
        <f>"PUESTO DE TRABAJO EN L CON 3 GAVETAS"</f>
        <v>PUESTO DE TRABAJO EN L CON 3 GAVETAS</v>
      </c>
      <c r="C3460" s="6">
        <v>520000</v>
      </c>
      <c r="D3460" s="5"/>
      <c r="E3460" s="5" t="str">
        <f t="shared" si="162"/>
        <v>QUIROFANO -MARIA DEL PILAR MEDINA</v>
      </c>
      <c r="F3460" s="5" t="str">
        <f>"Descripcion: PUESTO DE TRABAJO EN L CON 3 GAVETAS MEDIDAS: 74X150X160X60CM Estado: Bueno Placa anterior: 000033270 Material: METALICO CON MESON EN FORMICA Color: GRIS Referencia:  Observacion: EL BIEN TIENE PLACA ANTERIOR  000028923  PLACA ANTERIOR NO ENC"&amp; "ONTRADA FUNCIONARIO AUTORIZA SE CONCILIE CON PLACA  000033270 Placa padre: Tipo adquisicion: Entidad"</f>
        <v>Descripcion: PUESTO DE TRABAJO EN L CON 3 GAVETAS MEDIDAS: 74X150X160X60CM Estado: Bueno Placa anterior: 000033270 Material: METALICO CON MESON EN FORMICA Color: GRIS Referencia:  Observacion: EL BIEN TIENE PLACA ANTERIOR  000028923  PLACA ANTERIOR NO ENCONTRADA FUNCIONARIO AUTORIZA SE CONCILIE CON PLACA  000033270 Placa padre: Tipo adquisicion: Entidad</v>
      </c>
      <c r="G3460" s="5"/>
    </row>
    <row r="3461" spans="1:7" ht="58.5" customHeight="1" x14ac:dyDescent="0.25">
      <c r="A3461" s="5" t="str">
        <f>"H0018446"</f>
        <v>H0018446</v>
      </c>
      <c r="B3461" s="5" t="str">
        <f>"FOLDERAMA METALICO"</f>
        <v>FOLDERAMA METALICO</v>
      </c>
      <c r="C3461" s="6">
        <v>510400</v>
      </c>
      <c r="D3461" s="5"/>
      <c r="E3461" s="5" t="str">
        <f t="shared" si="162"/>
        <v>QUIROFANO -MARIA DEL PILAR MEDINA</v>
      </c>
      <c r="F3461" s="5" t="str">
        <f>"Descripcion: FOLDERAMA DE 5 SERVICIOS F5 Estado: Bueno Placa anterior: 000028128 Material: METALICO Color: GRIS Referencia:  Observacion:  Placa padre: Tipo adquisicion: Entidad"</f>
        <v>Descripcion: FOLDERAMA DE 5 SERVICIOS F5 Estado: Bueno Placa anterior: 000028128 Material: METALICO Color: GRIS Referencia:  Observacion:  Placa padre: Tipo adquisicion: Entidad</v>
      </c>
      <c r="G3461" s="5"/>
    </row>
    <row r="3462" spans="1:7" ht="58.5" customHeight="1" x14ac:dyDescent="0.25">
      <c r="A3462" s="5" t="str">
        <f>"H0018447"</f>
        <v>H0018447</v>
      </c>
      <c r="B3462" s="5" t="str">
        <f>"FOLDERAMA METALICO"</f>
        <v>FOLDERAMA METALICO</v>
      </c>
      <c r="C3462" s="6">
        <v>742000</v>
      </c>
      <c r="D3462" s="5"/>
      <c r="E3462" s="5" t="str">
        <f t="shared" si="162"/>
        <v>QUIROFANO -MARIA DEL PILAR MEDINA</v>
      </c>
      <c r="F3462" s="5" t="str">
        <f>"Descripcion: FOLDERAMA DE 5 SERVICIOS F5 Estado: Bueno Placa anterior: 000033271 Material: METALICO Color: GRIS Referencia:  Observacion:  Placa padre: Tipo adquisicion: Entidad"</f>
        <v>Descripcion: FOLDERAMA DE 5 SERVICIOS F5 Estado: Bueno Placa anterior: 000033271 Material: METALICO Color: GRIS Referencia:  Observacion:  Placa padre: Tipo adquisicion: Entidad</v>
      </c>
      <c r="G3462" s="5"/>
    </row>
    <row r="3463" spans="1:7" ht="58.5" customHeight="1" x14ac:dyDescent="0.25">
      <c r="A3463" s="5" t="str">
        <f>"H0018449"</f>
        <v>H0018449</v>
      </c>
      <c r="B3463" s="5" t="str">
        <f>"SILLA INTERLOCUTORA (FIJA) SIN BRAZOS"</f>
        <v>SILLA INTERLOCUTORA (FIJA) SIN BRAZOS</v>
      </c>
      <c r="C3463" s="6">
        <v>6308.9</v>
      </c>
      <c r="D3463" s="5"/>
      <c r="E3463" s="5" t="str">
        <f t="shared" si="162"/>
        <v>QUIROFANO -MARIA DEL PILAR MEDINA</v>
      </c>
      <c r="F3463" s="5" t="str">
        <f>"Descripcion: SILLA INTERLOCUTORA (FIJA) SIN BRAZOSCON TAPIZADO EN SEMICUERO Estado: Bueno Placa anterior: 000015279 Material: METALICO CON TAPIZADO Color: MARRON Referencia:  Observacion:  Placa padre: Tipo adquisicion: Entidad"</f>
        <v>Descripcion: SILLA INTERLOCUTORA (FIJA) SIN BRAZOSCON TAPIZADO EN SEMICUERO Estado: Bueno Placa anterior: 000015279 Material: METALICO CON TAPIZADO Color: MARRON Referencia:  Observacion:  Placa padre: Tipo adquisicion: Entidad</v>
      </c>
      <c r="G3463" s="5"/>
    </row>
    <row r="3464" spans="1:7" ht="58.5" customHeight="1" x14ac:dyDescent="0.25">
      <c r="A3464" s="5" t="str">
        <f>"H0018450"</f>
        <v>H0018450</v>
      </c>
      <c r="B3464" s="5" t="str">
        <f>"SILLA INTERLOCUTORA (FIJA) SIN BRAZOS"</f>
        <v>SILLA INTERLOCUTORA (FIJA) SIN BRAZOS</v>
      </c>
      <c r="C3464" s="6">
        <v>6308.9</v>
      </c>
      <c r="D3464" s="5"/>
      <c r="E3464" s="5" t="str">
        <f t="shared" si="162"/>
        <v>QUIROFANO -MARIA DEL PILAR MEDINA</v>
      </c>
      <c r="F3464" s="5" t="str">
        <f>"Descripcion: SILLA INTERLOCUTORA (FIJA) SIN BRAZOSCON TAPIZADO EN SEMICUERO Estado: Bueno Placa anterior: 000015254 Material: METALICO CON TAPIZADO Color: MARRON Referencia:  Observacion:  Placa padre: Tipo adquisicion: Entidad"</f>
        <v>Descripcion: SILLA INTERLOCUTORA (FIJA) SIN BRAZOSCON TAPIZADO EN SEMICUERO Estado: Bueno Placa anterior: 000015254 Material: METALICO CON TAPIZADO Color: MARRON Referencia:  Observacion:  Placa padre: Tipo adquisicion: Entidad</v>
      </c>
      <c r="G3464" s="5"/>
    </row>
    <row r="3465" spans="1:7" ht="58.5" customHeight="1" x14ac:dyDescent="0.25">
      <c r="A3465" s="5" t="str">
        <f>"H0018452"</f>
        <v>H0018452</v>
      </c>
      <c r="B3465" s="5" t="str">
        <f>"MESA (SUPERFICIE) MODULAR"</f>
        <v>MESA (SUPERFICIE) MODULAR</v>
      </c>
      <c r="C3465" s="6">
        <v>110432</v>
      </c>
      <c r="D3465" s="5"/>
      <c r="E3465" s="5" t="str">
        <f t="shared" si="162"/>
        <v>QUIROFANO -MARIA DEL PILAR MEDINA</v>
      </c>
      <c r="F3465" s="5" t="str">
        <f>"Descripcion: MESA PARA IMPRESORA CON UN ENTREPAÑO Estado: Bueno Placa anterior: 000015259 Material: MADERA Color: NEGRO CON BEIGE Referencia:  Observacion:  Placa padre: Tipo adquisicion: Entidad"</f>
        <v>Descripcion: MESA PARA IMPRESORA CON UN ENTREPAÑO Estado: Bueno Placa anterior: 000015259 Material: MADERA Color: NEGRO CON BEIGE Referencia:  Observacion:  Placa padre: Tipo adquisicion: Entidad</v>
      </c>
      <c r="G3465" s="5"/>
    </row>
    <row r="3466" spans="1:7" ht="58.5" customHeight="1" x14ac:dyDescent="0.25">
      <c r="A3466" s="5" t="str">
        <f>"H0018453"</f>
        <v>H0018453</v>
      </c>
      <c r="B3466" s="5" t="str">
        <f>"PUESTO DE TRABAJO EN L CON 3 GAVETAS"</f>
        <v>PUESTO DE TRABAJO EN L CON 3 GAVETAS</v>
      </c>
      <c r="C3466" s="6">
        <v>520000</v>
      </c>
      <c r="D3466" s="5"/>
      <c r="E3466" s="5" t="str">
        <f t="shared" si="162"/>
        <v>QUIROFANO -MARIA DEL PILAR MEDINA</v>
      </c>
      <c r="F3466" s="5" t="str">
        <f>"Descripcion: PUESTO DE TRABAJO EN L CON 3 GAVETAS MEDIDAS: 74X150X160X60CM Estado: Bueno Placa anterior: 000033269 Material: METALICO CON MESON EN FORMICA Color: GRIS Referencia:  Observacion: EL BIEN TIENE PLACA ANTERIOR  000028925  PLACA ANTERIOR NO ENC"&amp; "ONTRADA FUNCIONARIO AUTORIZA SE CONCILIE CON PLACA  000033269 Placa padre: Tipo adquisicion: Entidad"</f>
        <v>Descripcion: PUESTO DE TRABAJO EN L CON 3 GAVETAS MEDIDAS: 74X150X160X60CM Estado: Bueno Placa anterior: 000033269 Material: METALICO CON MESON EN FORMICA Color: GRIS Referencia:  Observacion: EL BIEN TIENE PLACA ANTERIOR  000028925  PLACA ANTERIOR NO ENCONTRADA FUNCIONARIO AUTORIZA SE CONCILIE CON PLACA  000033269 Placa padre: Tipo adquisicion: Entidad</v>
      </c>
      <c r="G3466" s="5"/>
    </row>
    <row r="3467" spans="1:7" ht="58.5" customHeight="1" x14ac:dyDescent="0.25">
      <c r="A3467" s="5" t="str">
        <f>"H0018455"</f>
        <v>H0018455</v>
      </c>
      <c r="B3467" s="5" t="str">
        <f>"MONITOR LCD"</f>
        <v>MONITOR LCD</v>
      </c>
      <c r="C3467" s="6">
        <v>925680</v>
      </c>
      <c r="D3467" s="5"/>
      <c r="E3467" s="5" t="str">
        <f t="shared" si="162"/>
        <v>QUIROFANO -MARIA DEL PILAR MEDINA</v>
      </c>
      <c r="F3467" s="5" t="str">
        <f>"Descripcion: MONITOR LCD 21 O SUPERIOR Estado: Bueno Placa anterior: 000029406 Material: PLASTICO  Color: NEGRO Referencia:  Observacion:  Placa padre: H0018456Tipo adquisicion: Entidad"</f>
        <v>Descripcion: MONITOR LCD 21 O SUPERIOR Estado: Bueno Placa anterior: 000029406 Material: PLASTICO  Color: NEGRO Referencia:  Observacion:  Placa padre: H0018456Tipo adquisicion: Entidad</v>
      </c>
      <c r="G3467" s="5"/>
    </row>
    <row r="3468" spans="1:7" ht="58.5" customHeight="1" x14ac:dyDescent="0.25">
      <c r="A3468" s="5" t="str">
        <f>"H0018460"</f>
        <v>H0018460</v>
      </c>
      <c r="B3468" s="5" t="str">
        <f>"SILLA ERGONOMICA TIPO SECRETARIA SIN BRAZOS"</f>
        <v>SILLA ERGONOMICA TIPO SECRETARIA SIN BRAZOS</v>
      </c>
      <c r="C3468" s="6">
        <v>211120</v>
      </c>
      <c r="D3468" s="5"/>
      <c r="E3468" s="5" t="str">
        <f t="shared" si="162"/>
        <v>QUIROFANO -MARIA DEL PILAR MEDINA</v>
      </c>
      <c r="F3468" s="5" t="str">
        <f>"Descripcion: SILLA ERGONOMICA TIPO SECRETARIA SIN BRAZOS TAPIZADO EN SEMICUERO Estado: Bueno Placa anterior: 000025270 Material: TAPIZADO EN SEMICUERO Color: AZUL Referencia:  Observacion:  Placa padre: Tipo adquisicion: Entidad"</f>
        <v>Descripcion: SILLA ERGONOMICA TIPO SECRETARIA SIN BRAZOS TAPIZADO EN SEMICUERO Estado: Bueno Placa anterior: 000025270 Material: TAPIZADO EN SEMICUERO Color: AZUL Referencia:  Observacion:  Placa padre: Tipo adquisicion: Entidad</v>
      </c>
      <c r="G3468" s="5"/>
    </row>
    <row r="3469" spans="1:7" ht="58.5" customHeight="1" x14ac:dyDescent="0.25">
      <c r="A3469" s="5" t="str">
        <f>"H0018462"</f>
        <v>H0018462</v>
      </c>
      <c r="B3469" s="5" t="str">
        <f>"ELECTROCARDIOGRAFO"</f>
        <v>ELECTROCARDIOGRAFO</v>
      </c>
      <c r="C3469" s="6">
        <v>1740000</v>
      </c>
      <c r="D3469" s="5"/>
      <c r="E3469" s="5" t="str">
        <f t="shared" si="162"/>
        <v>QUIROFANO -MARIA DEL PILAR MEDINA</v>
      </c>
      <c r="F3469" s="5" t="str">
        <f>"Descripcion: ELECTROCARDIOGRAFO MCA. EDAM ECG SE-1 Estado: Bueno Placa anterior: 000025677 Material: PLASTICO Color: BEIGE Referencia:  Observacion:  Placa padre: Tipo adquisicion: Entidad"</f>
        <v>Descripcion: ELECTROCARDIOGRAFO MCA. EDAM ECG SE-1 Estado: Bueno Placa anterior: 000025677 Material: PLASTICO Color: BEIGE Referencia:  Observacion:  Placa padre: Tipo adquisicion: Entidad</v>
      </c>
      <c r="G3469" s="5"/>
    </row>
    <row r="3470" spans="1:7" ht="58.5" customHeight="1" x14ac:dyDescent="0.25">
      <c r="A3470" s="5" t="str">
        <f>"H0018463"</f>
        <v>H0018463</v>
      </c>
      <c r="B3470" s="5" t="str">
        <f>"MESA (CARRO) DE CURACIONES"</f>
        <v>MESA (CARRO) DE CURACIONES</v>
      </c>
      <c r="C3470" s="6">
        <v>37276</v>
      </c>
      <c r="D3470" s="5"/>
      <c r="E3470" s="5" t="str">
        <f t="shared" si="162"/>
        <v>QUIROFANO -MARIA DEL PILAR MEDINA</v>
      </c>
      <c r="F3470" s="5" t="str">
        <f>"Descripcion: MESA (CARRO) DE CURACIONES Estado: Bueno Placa anterior: 000014841 Material: METALICO Color: GRIS Referencia:  Observacion:  Placa padre: Tipo adquisicion: Entidad"</f>
        <v>Descripcion: MESA (CARRO) DE CURACIONES Estado: Bueno Placa anterior: 000014841 Material: METALICO Color: GRIS Referencia:  Observacion:  Placa padre: Tipo adquisicion: Entidad</v>
      </c>
      <c r="G3470" s="5"/>
    </row>
    <row r="3471" spans="1:7" ht="58.5" customHeight="1" x14ac:dyDescent="0.25">
      <c r="A3471" s="5" t="str">
        <f>"H0018464"</f>
        <v>H0018464</v>
      </c>
      <c r="B3471" s="5" t="str">
        <f>"POTE (TARRO) ACERO INXODABLE CON TAPA MEDIANO"</f>
        <v>POTE (TARRO) ACERO INXODABLE CON TAPA MEDIANO</v>
      </c>
      <c r="C3471" s="6">
        <v>5547.87</v>
      </c>
      <c r="D3471" s="5"/>
      <c r="E3471" s="5" t="str">
        <f t="shared" si="162"/>
        <v>QUIROFANO -MARIA DEL PILAR MEDINA</v>
      </c>
      <c r="F3471" s="5" t="str">
        <f>"Descripcion: POTE (TARRO) ACERO INXODABLE CON TAPA MEDIANO Estado: Bueno Placa anterior: 000027700 Material: ACERO INOXIDABLE Color:  Referencia:  Observacion:  Placa padre: Tipo adquisicion: Entidad"</f>
        <v>Descripcion: POTE (TARRO) ACERO INXODABLE CON TAPA MEDIANO Estado: Bueno Placa anterior: 000027700 Material: ACERO INOXIDABLE Color:  Referencia:  Observacion:  Placa padre: Tipo adquisicion: Entidad</v>
      </c>
      <c r="G3471" s="5"/>
    </row>
    <row r="3472" spans="1:7" ht="58.5" customHeight="1" x14ac:dyDescent="0.25">
      <c r="A3472" s="5" t="str">
        <f>"H0018465"</f>
        <v>H0018465</v>
      </c>
      <c r="B3472" s="5" t="str">
        <f>"POTE (TARRO) ACERO INXODABLE CON TAPA MEDIANO"</f>
        <v>POTE (TARRO) ACERO INXODABLE CON TAPA MEDIANO</v>
      </c>
      <c r="C3472" s="6">
        <v>5547.87</v>
      </c>
      <c r="D3472" s="5"/>
      <c r="E3472" s="5" t="str">
        <f t="shared" si="162"/>
        <v>QUIROFANO -MARIA DEL PILAR MEDINA</v>
      </c>
      <c r="F3472" s="5" t="str">
        <f>"Descripcion: POTE (TARRO) ACERO INXODABLE CON TAPA MEDIANO Estado: Bueno Placa anterior: 000027711 Material: ACERO INOXIDABLE Color:  Referencia:  Observacion:  Placa padre: Tipo adquisicion: Entidad"</f>
        <v>Descripcion: POTE (TARRO) ACERO INXODABLE CON TAPA MEDIANO Estado: Bueno Placa anterior: 000027711 Material: ACERO INOXIDABLE Color:  Referencia:  Observacion:  Placa padre: Tipo adquisicion: Entidad</v>
      </c>
      <c r="G3472" s="5"/>
    </row>
    <row r="3473" spans="1:7" ht="58.5" customHeight="1" x14ac:dyDescent="0.25">
      <c r="A3473" s="5" t="str">
        <f>"H0018466"</f>
        <v>H0018466</v>
      </c>
      <c r="B3473" s="5" t="str">
        <f>"POTE (TARRO) ACERO INXODABLE CON TAPA MEDIANO"</f>
        <v>POTE (TARRO) ACERO INXODABLE CON TAPA MEDIANO</v>
      </c>
      <c r="C3473" s="6">
        <v>5547.87</v>
      </c>
      <c r="D3473" s="5"/>
      <c r="E3473" s="5" t="str">
        <f t="shared" si="162"/>
        <v>QUIROFANO -MARIA DEL PILAR MEDINA</v>
      </c>
      <c r="F3473" s="5" t="str">
        <f>"Descripcion: POTE (TARRO) ACERO INXODABLE CON TAPA MEDIANO Estado: Bueno Placa anterior: 000027712 Material: ACERO INOXIDABLE Color:  Referencia:  Observacion:  Placa padre: Tipo adquisicion: Entidad"</f>
        <v>Descripcion: POTE (TARRO) ACERO INXODABLE CON TAPA MEDIANO Estado: Bueno Placa anterior: 000027712 Material: ACERO INOXIDABLE Color:  Referencia:  Observacion:  Placa padre: Tipo adquisicion: Entidad</v>
      </c>
      <c r="G3473" s="5"/>
    </row>
    <row r="3474" spans="1:7" ht="58.5" customHeight="1" x14ac:dyDescent="0.25">
      <c r="A3474" s="5" t="str">
        <f>"H0018467"</f>
        <v>H0018467</v>
      </c>
      <c r="B3474" s="5" t="str">
        <f>"PUESTO DE TRABAJO EN L CON 3 GAVETAS"</f>
        <v>PUESTO DE TRABAJO EN L CON 3 GAVETAS</v>
      </c>
      <c r="C3474" s="6">
        <v>520000</v>
      </c>
      <c r="D3474" s="5"/>
      <c r="E3474" s="5" t="str">
        <f t="shared" si="162"/>
        <v>QUIROFANO -MARIA DEL PILAR MEDINA</v>
      </c>
      <c r="F3474" s="5" t="str">
        <f>"Descripcion: PUESTO DE TRABAJO EN L CON 3 GAVETAS MEDIDAS: 74X150X160X60CM Estado: Bueno Placa anterior: 000033268 Material: MADERA EN FORMICA, METALICO Color: GRIS Referencia:  Observacion: FUNCIONARIO AUTORIZA SE CONCILIE CON PLACA  000033268 Placa padr"&amp; "e: Tipo adquisicion: Entidad"</f>
        <v>Descripcion: PUESTO DE TRABAJO EN L CON 3 GAVETAS MEDIDAS: 74X150X160X60CM Estado: Bueno Placa anterior: 000033268 Material: MADERA EN FORMICA, METALICO Color: GRIS Referencia:  Observacion: FUNCIONARIO AUTORIZA SE CONCILIE CON PLACA  000033268 Placa padre: Tipo adquisicion: Entidad</v>
      </c>
      <c r="G3474" s="5"/>
    </row>
    <row r="3475" spans="1:7" ht="58.5" customHeight="1" x14ac:dyDescent="0.25">
      <c r="A3475" s="5" t="str">
        <f>"H0018479"</f>
        <v>H0018479</v>
      </c>
      <c r="B3475" s="5" t="str">
        <f>"CAMILLA FIJA (TIPO DIVAN)"</f>
        <v>CAMILLA FIJA (TIPO DIVAN)</v>
      </c>
      <c r="C3475" s="6">
        <v>303600</v>
      </c>
      <c r="D3475" s="5"/>
      <c r="E3475" s="5" t="str">
        <f t="shared" si="162"/>
        <v>QUIROFANO -MARIA DEL PILAR MEDINA</v>
      </c>
      <c r="F3475" s="5" t="str">
        <f>"Descripcion: CAMILLA FIJA (TIPO DIVAN) Estado: Bueno Placa anterior: 000033227 Material: METALICO Color: BEIGE CON NEGRO Referencia:  Observacion: FUNCIONARIO AUTORIZA SE CONCILIE CON PLACA  000033227 Placa padre: Tipo adquisicion: Entidad"</f>
        <v>Descripcion: CAMILLA FIJA (TIPO DIVAN) Estado: Bueno Placa anterior: 000033227 Material: METALICO Color: BEIGE CON NEGRO Referencia:  Observacion: FUNCIONARIO AUTORIZA SE CONCILIE CON PLACA  000033227 Placa padre: Tipo adquisicion: Entidad</v>
      </c>
      <c r="G3475" s="5"/>
    </row>
    <row r="3476" spans="1:7" ht="58.5" customHeight="1" x14ac:dyDescent="0.25">
      <c r="A3476" s="5" t="str">
        <f>"H0018483"</f>
        <v>H0018483</v>
      </c>
      <c r="B3476" s="5" t="str">
        <f>"LOCKER DE 3 COMPARTIMIENTOS"</f>
        <v>LOCKER DE 3 COMPARTIMIENTOS</v>
      </c>
      <c r="C3476" s="6">
        <v>11684.45</v>
      </c>
      <c r="D3476" s="5"/>
      <c r="E3476" s="5" t="str">
        <f t="shared" si="162"/>
        <v>QUIROFANO -MARIA DEL PILAR MEDINA</v>
      </c>
      <c r="F3476" s="5" t="str">
        <f>"Descripcion: LOCKER TIPO B (3 PUESTOS) Estado: Bueno Placa anterior: 000015250 Material: METALICO Color: GRIS Referencia:  Observacion:  Placa padre: Tipo adquisicion: Entidad"</f>
        <v>Descripcion: LOCKER TIPO B (3 PUESTOS) Estado: Bueno Placa anterior: 000015250 Material: METALICO Color: GRIS Referencia:  Observacion:  Placa padre: Tipo adquisicion: Entidad</v>
      </c>
      <c r="G3476" s="5"/>
    </row>
    <row r="3477" spans="1:7" ht="58.5" customHeight="1" x14ac:dyDescent="0.25">
      <c r="A3477" s="5" t="str">
        <f>"H0018488"</f>
        <v>H0018488</v>
      </c>
      <c r="B3477" s="5" t="str">
        <f>"MONITOR DE SIGNOS VITALES"</f>
        <v>MONITOR DE SIGNOS VITALES</v>
      </c>
      <c r="C3477" s="6">
        <v>4002000</v>
      </c>
      <c r="D3477" s="5" t="s">
        <v>166</v>
      </c>
      <c r="E3477" s="5" t="str">
        <f t="shared" si="162"/>
        <v>QUIROFANO -MARIA DEL PILAR MEDINA</v>
      </c>
      <c r="F3477"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000031417 Material: PLASTICO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000031417 Material: PLASTICO Color: BLANCO Referencia:  Observacion:  Placa padre: Tipo adquisicion: Entidad</v>
      </c>
      <c r="G3477" s="5"/>
    </row>
    <row r="3478" spans="1:7" ht="58.5" customHeight="1" x14ac:dyDescent="0.25">
      <c r="A3478" s="5" t="str">
        <f>"H0018941"</f>
        <v>H0018941</v>
      </c>
      <c r="B3478" s="5" t="str">
        <f>"NEVERA DE 66 LTS"</f>
        <v>NEVERA DE 66 LTS</v>
      </c>
      <c r="C3478" s="6">
        <v>242000</v>
      </c>
      <c r="D3478" s="5"/>
      <c r="E3478" s="5" t="str">
        <f t="shared" si="162"/>
        <v>QUIROFANO -MARIA DEL PILAR MEDINA</v>
      </c>
      <c r="F3478" s="5" t="str">
        <f>"Descripcion: NEVERA MCA PHILIPS ESTANDAR Estado: Bueno Placa anterior: 000027634 Material: METALICO Color: BEIGE Referencia:  Observacion:  Placa padre: Tipo adquisicion: Entidad"</f>
        <v>Descripcion: NEVERA MCA PHILIPS ESTANDAR Estado: Bueno Placa anterior: 000027634 Material: METALICO Color: BEIGE Referencia:  Observacion:  Placa padre: Tipo adquisicion: Entidad</v>
      </c>
      <c r="G3478" s="5"/>
    </row>
    <row r="3479" spans="1:7" ht="58.5" customHeight="1" x14ac:dyDescent="0.25">
      <c r="A3479" s="5" t="str">
        <f>"H0019271"</f>
        <v>H0019271</v>
      </c>
      <c r="B3479" s="5" t="str">
        <f>"AIRE ACONDICIONADO TIPO SPLIT 12000 BTU"</f>
        <v>AIRE ACONDICIONADO TIPO SPLIT 12000 BTU</v>
      </c>
      <c r="C3479" s="6">
        <v>1836280</v>
      </c>
      <c r="D3479" s="5" t="s">
        <v>52</v>
      </c>
      <c r="E3479" s="5" t="str">
        <f t="shared" si="162"/>
        <v>QUIROFANO -MARIA DEL PILAR MEDINA</v>
      </c>
      <c r="F3479" s="5" t="str">
        <f>"Descripcion: AIRE ACODICIONADO BTU 12000 Estado: Bueno Placa anterior: 000036396 Material: PLASTICO Color: BLANCO Referencia:  Observacion:  Placa padre: Tipo adquisicion: Entidad"</f>
        <v>Descripcion: AIRE ACODICIONADO BTU 12000 Estado: Bueno Placa anterior: 000036396 Material: PLASTICO Color: BLANCO Referencia:  Observacion:  Placa padre: Tipo adquisicion: Entidad</v>
      </c>
      <c r="G3479" s="5" t="str">
        <f>"VM182CENC3"</f>
        <v>VM182CENC3</v>
      </c>
    </row>
    <row r="3480" spans="1:7" ht="58.5" customHeight="1" x14ac:dyDescent="0.25">
      <c r="A3480" s="5" t="str">
        <f>"H0019687"</f>
        <v>H0019687</v>
      </c>
      <c r="B3480" s="5" t="str">
        <f>"MONITOR DE SIGNOS VITALES"</f>
        <v>MONITOR DE SIGNOS VITALES</v>
      </c>
      <c r="C3480" s="6">
        <v>19140000</v>
      </c>
      <c r="D3480" s="5" t="s">
        <v>291</v>
      </c>
      <c r="E3480" s="5" t="str">
        <f t="shared" si="162"/>
        <v>QUIROFANO -MARIA DEL PILAR MEDINA</v>
      </c>
      <c r="F3480" s="5" t="str">
        <f>"Descripcion:MONITOR DE SIGNOS VITALES CON PRESION INVASIVA Estado: Regular Placa anterior: 000032617 Material: PASTA Color: BLANCO Referencia:  Observacion:  Placa padre:  Tipo adquisicion : Entidad"</f>
        <v>Descripcion:MONITOR DE SIGNOS VITALES CON PRESION INVASIVA Estado: Regular Placa anterior: 000032617 Material: PASTA Color: BLANCO Referencia:  Observacion:  Placa padre:  Tipo adquisicion : Entidad</v>
      </c>
      <c r="G3480" s="5" t="str">
        <f>"IPM 12"</f>
        <v>IPM 12</v>
      </c>
    </row>
    <row r="3481" spans="1:7" ht="58.5" customHeight="1" x14ac:dyDescent="0.25">
      <c r="A3481" s="5" t="str">
        <f>"H0019692"</f>
        <v>H0019692</v>
      </c>
      <c r="B3481" s="5" t="str">
        <f>"MONITOR DE SIGNOS VITALES"</f>
        <v>MONITOR DE SIGNOS VITALES</v>
      </c>
      <c r="C3481" s="6">
        <v>10000000</v>
      </c>
      <c r="D3481" s="5"/>
      <c r="E3481" s="5" t="str">
        <f t="shared" si="162"/>
        <v>QUIROFANO -MARIA DEL PILAR MEDINA</v>
      </c>
      <c r="F3481" s="5" t="str">
        <f>"Descripcion:MONITOR DE SIGNOS VITALES MARCA DATASCOPE MODELO TRIO. CARACTERISTICAS: MONITOR MULTIPARAMETROS CONB PANTALLA DE 8.4 A SPO2, RESPIRACION Y TEMPERATURA PARA CUIDADO CRITICO ADULTO, PEDITRICO Y NEONATAL ASCENSORIOS: SENSOR BASICO SET. SPO2, CABL"&amp; "E DE ECG DE Estado: Regular Placa anterior: 000033172 Material: PASTA Color: BLANCO Referencia:  Observacion:  Placa padre:  Tipo adquisicion : Entidad"</f>
        <v>Descripcion:MONITOR DE SIGNOS VITALES MARCA DATASCOPE MODELO TRIO. CARACTERISTICAS: MONITOR MULTIPARAMETROS CONB PANTALLA DE 8.4 A SPO2, RESPIRACION Y TEMPERATURA PARA CUIDADO CRITICO ADULTO, PEDITRICO Y NEONATAL ASCENSORIOS: SENSOR BASICO SET. SPO2, CABLE DE ECG DE Estado: Regular Placa anterior: 000033172 Material: PASTA Color: BLANCO Referencia:  Observacion:  Placa padre:  Tipo adquisicion : Entidad</v>
      </c>
      <c r="G3481" s="5" t="str">
        <f>"TRIO"</f>
        <v>TRIO</v>
      </c>
    </row>
    <row r="3482" spans="1:7" ht="58.5" customHeight="1" x14ac:dyDescent="0.25">
      <c r="A3482" s="5" t="str">
        <f>"H0020210"</f>
        <v>H0020210</v>
      </c>
      <c r="B3482" s="5" t="str">
        <f>"MONITOR DE SIGNOS VITALES"</f>
        <v>MONITOR DE SIGNOS VITALES</v>
      </c>
      <c r="C3482" s="6">
        <v>17980000</v>
      </c>
      <c r="D3482" s="5"/>
      <c r="E3482" s="5" t="str">
        <f t="shared" si="162"/>
        <v>QUIROFANO -MARIA DEL PILAR MEDINA</v>
      </c>
      <c r="F3482" s="5" t="str">
        <f>"Descripcion: MONITOR MULTIPARAMETROS DE SIGNOS VITALES MODELO ADVISOR MARCA: B.C.I.U.S.A. Estado: Malo Placa anterior: 000022550 Material: PLASTICO Color: BEIGE Referencia:  Observacion: LA PANTALLA TFT ESTA QUEMADA Placa padre: Tipo adquisicion: Entidad"</f>
        <v>Descripcion: MONITOR MULTIPARAMETROS DE SIGNOS VITALES MODELO ADVISOR MARCA: B.C.I.U.S.A. Estado: Malo Placa anterior: 000022550 Material: PLASTICO Color: BEIGE Referencia:  Observacion: LA PANTALLA TFT ESTA QUEMADA Placa padre: Tipo adquisicion: Entidad</v>
      </c>
      <c r="G3482" s="5" t="str">
        <f>"ADVISOR 9200"</f>
        <v>ADVISOR 9200</v>
      </c>
    </row>
    <row r="3483" spans="1:7" ht="58.5" customHeight="1" x14ac:dyDescent="0.25">
      <c r="A3483" s="5" t="str">
        <f>"H0020718"</f>
        <v>H0020718</v>
      </c>
      <c r="B3483" s="5" t="str">
        <f>"AIRE ACONDICIONADO CENTRAL (INTEGRAL)"</f>
        <v>AIRE ACONDICIONADO CENTRAL (INTEGRAL)</v>
      </c>
      <c r="C3483" s="6">
        <v>4284160</v>
      </c>
      <c r="D3483" s="5"/>
      <c r="E3483" s="5" t="str">
        <f t="shared" si="162"/>
        <v>QUIROFANO -MARIA DEL PILAR MEDINA</v>
      </c>
      <c r="F3483" s="5" t="str">
        <f>"Descripcion: * SALA DE RECUPERACION Estado: Bueno Placa anterior: 000000058 Material: METALICO Color: GRIS Referencia:  Observacion: AUTORIZADO CONCILIAR EN CRUCE GENERAL Placa padre: Tipo adquisicion: Entidad"</f>
        <v>Descripcion: * SALA DE RECUPERACION Estado: Bueno Placa anterior: 000000058 Material: METALICO Color: GRIS Referencia:  Observacion: AUTORIZADO CONCILIAR EN CRUCE GENERAL Placa padre: Tipo adquisicion: Entidad</v>
      </c>
      <c r="G3483" s="5" t="str">
        <f>"CKX60-1B"</f>
        <v>CKX60-1B</v>
      </c>
    </row>
    <row r="3484" spans="1:7" ht="58.5" customHeight="1" x14ac:dyDescent="0.25">
      <c r="A3484" s="5" t="str">
        <f>"H0020984"</f>
        <v>H0020984</v>
      </c>
      <c r="B3484" s="5" t="str">
        <f>"MESA QUIRURGICA"</f>
        <v>MESA QUIRURGICA</v>
      </c>
      <c r="C3484" s="6">
        <v>1020800</v>
      </c>
      <c r="D3484" s="5" t="s">
        <v>296</v>
      </c>
      <c r="E3484" s="5" t="str">
        <f t="shared" si="162"/>
        <v>QUIROFANO -MARIA DEL PILAR MEDINA</v>
      </c>
      <c r="F3484" s="5"/>
      <c r="G3484" s="5"/>
    </row>
    <row r="3485" spans="1:7" ht="58.5" customHeight="1" x14ac:dyDescent="0.25">
      <c r="A3485" s="5" t="str">
        <f>"H0021472"</f>
        <v>H0021472</v>
      </c>
      <c r="B3485" s="5" t="str">
        <f>"MAQUINA DE ANESTESIA ADULTOS-PEDIATRICA-NEONATOS"</f>
        <v>MAQUINA DE ANESTESIA ADULTOS-PEDIATRICA-NEONATOS</v>
      </c>
      <c r="C3485" s="6">
        <v>62408000</v>
      </c>
      <c r="D3485" s="5" t="s">
        <v>297</v>
      </c>
      <c r="E3485" s="5" t="str">
        <f t="shared" si="162"/>
        <v>QUIROFANO -MARIA DEL PILAR MEDINA</v>
      </c>
      <c r="F3485" s="5"/>
      <c r="G3485" s="5"/>
    </row>
    <row r="3486" spans="1:7" ht="58.5" customHeight="1" x14ac:dyDescent="0.25">
      <c r="A3486" s="5" t="str">
        <f>"H0021473"</f>
        <v>H0021473</v>
      </c>
      <c r="B3486" s="5" t="str">
        <f>"MONITOR DE SIGNOS VITALES CONPRESIÓN INVASIVA CON AGENTES ANESTESICOS"</f>
        <v>MONITOR DE SIGNOS VITALES CONPRESIÓN INVASIVA CON AGENTES ANESTESICOS</v>
      </c>
      <c r="C3486" s="6">
        <v>37120000</v>
      </c>
      <c r="D3486" s="5" t="s">
        <v>297</v>
      </c>
      <c r="E3486" s="5" t="str">
        <f t="shared" si="162"/>
        <v>QUIROFANO -MARIA DEL PILAR MEDINA</v>
      </c>
      <c r="F3486" s="5"/>
      <c r="G3486" s="5" t="str">
        <f>"M80"</f>
        <v>M80</v>
      </c>
    </row>
    <row r="3487" spans="1:7" ht="58.5" customHeight="1" x14ac:dyDescent="0.25">
      <c r="A3487" s="5" t="str">
        <f>"H0021474"</f>
        <v>H0021474</v>
      </c>
      <c r="B3487" s="5" t="str">
        <f>"MONITOR DE SIGNOS VITALES CONPRESIÓN INVASIVA CON AGENTES ANESTESICOS"</f>
        <v>MONITOR DE SIGNOS VITALES CONPRESIÓN INVASIVA CON AGENTES ANESTESICOS</v>
      </c>
      <c r="C3487" s="6">
        <v>37120000</v>
      </c>
      <c r="D3487" s="5" t="s">
        <v>297</v>
      </c>
      <c r="E3487" s="5" t="str">
        <f t="shared" si="162"/>
        <v>QUIROFANO -MARIA DEL PILAR MEDINA</v>
      </c>
      <c r="F3487" s="5"/>
      <c r="G3487" s="5" t="str">
        <f>"M80"</f>
        <v>M80</v>
      </c>
    </row>
    <row r="3488" spans="1:7" ht="58.5" customHeight="1" x14ac:dyDescent="0.25">
      <c r="A3488" s="5" t="str">
        <f>"H0021535"</f>
        <v>H0021535</v>
      </c>
      <c r="B3488" s="5" t="str">
        <f>"SILLA INTERLOCUTORA (FIJA) CON BRAZOS"</f>
        <v>SILLA INTERLOCUTORA (FIJA) CON BRAZOS</v>
      </c>
      <c r="C3488" s="6">
        <v>96672</v>
      </c>
      <c r="D3488" s="5"/>
      <c r="E3488" s="5" t="str">
        <f t="shared" ref="E3488:E3551" si="163">"QUIROFANO -MARIA DEL PILAR MEDINA"</f>
        <v>QUIROFANO -MARIA DEL PILAR MEDINA</v>
      </c>
      <c r="F3488" s="5" t="str">
        <f>"Descripcion:SILLA INTERLOCUTORA CON BRAZOS SIN ESPALDAR Estado: Inservible Placa anterior: 000013280 Material: METALY CUERINA Color: NEGRA Referencia:  Observacion: AUTORIZADO CONCILIAR EN CRUCE GENERAL Placa padre:  Tipo adquisicion : Entidad"</f>
        <v>Descripcion:SILLA INTERLOCUTORA CON BRAZOS SIN ESPALDAR Estado: Inservible Placa anterior: 000013280 Material: METALY CUERINA Color: NEGRA Referencia:  Observacion: AUTORIZADO CONCILIAR EN CRUCE GENERAL Placa padre:  Tipo adquisicion : Entidad</v>
      </c>
      <c r="G3488" s="5"/>
    </row>
    <row r="3489" spans="1:7" ht="58.5" customHeight="1" x14ac:dyDescent="0.25">
      <c r="A3489" s="5" t="str">
        <f>"H0021990"</f>
        <v>H0021990</v>
      </c>
      <c r="B3489" s="5" t="str">
        <f>"EQUIPO SIMULADOR QRS"</f>
        <v>EQUIPO SIMULADOR QRS</v>
      </c>
      <c r="C3489" s="6">
        <v>319200</v>
      </c>
      <c r="D3489" s="5"/>
      <c r="E3489" s="5" t="str">
        <f t="shared" si="163"/>
        <v>QUIROFANO -MARIA DEL PILAR MEDINA</v>
      </c>
      <c r="F3489" s="5" t="str">
        <f>"Descripcion:SIMULAR QRS Estado: Bueno Placa anterior: 000010692 Material: PASTA Y METALICO Color:  Referencia:  Observacion:  Placa padre:  Tipo adquisicion : Entidad"</f>
        <v>Descripcion:SIMULAR QRS Estado: Bueno Placa anterior: 000010692 Material: PASTA Y METALICO Color:  Referencia:  Observacion:  Placa padre:  Tipo adquisicion : Entidad</v>
      </c>
      <c r="G3489" s="5"/>
    </row>
    <row r="3490" spans="1:7" ht="58.5" customHeight="1" x14ac:dyDescent="0.25">
      <c r="A3490" s="5" t="str">
        <f>"H0022251"</f>
        <v>H0022251</v>
      </c>
      <c r="B3490" s="5" t="str">
        <f>"CARRO DE VIA AEREA"</f>
        <v>CARRO DE VIA AEREA</v>
      </c>
      <c r="C3490" s="6">
        <v>2900000</v>
      </c>
      <c r="D3490" s="5" t="s">
        <v>61</v>
      </c>
      <c r="E3490" s="5" t="str">
        <f t="shared" si="163"/>
        <v>QUIROFANO -MARIA DEL PILAR MEDINA</v>
      </c>
      <c r="F3490" s="5"/>
      <c r="G3490" s="5"/>
    </row>
    <row r="3491" spans="1:7" ht="58.5" customHeight="1" x14ac:dyDescent="0.25">
      <c r="A3491" s="5" t="str">
        <f>"H0022292"</f>
        <v>H0022292</v>
      </c>
      <c r="B3491" s="5" t="str">
        <f>"MONITOR DE SIGNOS VITALES"</f>
        <v>MONITOR DE SIGNOS VITALES</v>
      </c>
      <c r="C3491" s="6">
        <v>4756000</v>
      </c>
      <c r="D3491" s="5" t="s">
        <v>262</v>
      </c>
      <c r="E3491" s="5" t="str">
        <f t="shared" si="163"/>
        <v>QUIROFANO -MARIA DEL PILAR MEDINA</v>
      </c>
      <c r="F3491" s="5"/>
      <c r="G3491" s="5" t="str">
        <f>"M50"</f>
        <v>M50</v>
      </c>
    </row>
    <row r="3492" spans="1:7" ht="58.5" customHeight="1" x14ac:dyDescent="0.25">
      <c r="A3492" s="5" t="str">
        <f>"H0022296"</f>
        <v>H0022296</v>
      </c>
      <c r="B3492" s="5" t="str">
        <f>"MONITOR DE SIGNOS VITALES"</f>
        <v>MONITOR DE SIGNOS VITALES</v>
      </c>
      <c r="C3492" s="6">
        <v>4756000</v>
      </c>
      <c r="D3492" s="5" t="s">
        <v>262</v>
      </c>
      <c r="E3492" s="5" t="str">
        <f t="shared" si="163"/>
        <v>QUIROFANO -MARIA DEL PILAR MEDINA</v>
      </c>
      <c r="F3492" s="5"/>
      <c r="G3492" s="5" t="str">
        <f>"M50"</f>
        <v>M50</v>
      </c>
    </row>
    <row r="3493" spans="1:7" ht="58.5" customHeight="1" x14ac:dyDescent="0.25">
      <c r="A3493" s="5" t="str">
        <f>"H0022482"</f>
        <v>H0022482</v>
      </c>
      <c r="B3493" s="5" t="str">
        <f>"EQUIPO SIMULADOR DE NIBP (SIMULADOR DE PRESION ARTERIAL)"</f>
        <v>EQUIPO SIMULADOR DE NIBP (SIMULADOR DE PRESION ARTERIAL)</v>
      </c>
      <c r="C3493" s="6">
        <v>11368000</v>
      </c>
      <c r="D3493" s="5"/>
      <c r="E3493" s="5" t="str">
        <f t="shared" si="163"/>
        <v>QUIROFANO -MARIA DEL PILAR MEDINA</v>
      </c>
      <c r="F3493" s="5" t="str">
        <f>"Descripcion: EQUIPO SISTEMA AUTOMATICO DE PRESION APS:: TORNIQUETE DOBLE PEDIATRICO 68X12 TORNIQUETE DOBLE MIEMBRO SUPERIOR 68X12 TORNIQUETE SENCILLO MIEMBRO INFERIOR 60X10 TORNIQUETE SENCILLO MIEMBRO SUPERIOR 68X6 TORNIQUETE SENCILLO PEDIATRICO 43X5 DOS "&amp; "BALAS DE AIR Estado: Bueno Placa anterior: 000026041 Material:  Color:  Referencia:  Observacion: AUTORIZADO CONCILIAR EN CRUCE GENERAL Placa padre: Tipo adquisicion: Entidad"</f>
        <v>Descripcion: EQUIPO SISTEMA AUTOMATICO DE PRESION APS:: TORNIQUETE DOBLE PEDIATRICO 68X12 TORNIQUETE DOBLE MIEMBRO SUPERIOR 68X12 TORNIQUETE SENCILLO MIEMBRO INFERIOR 60X10 TORNIQUETE SENCILLO MIEMBRO SUPERIOR 68X6 TORNIQUETE SENCILLO PEDIATRICO 43X5 DOS BALAS DE AIR Estado: Bueno Placa anterior: 000026041 Material:  Color:  Referencia:  Observacion: AUTORIZADO CONCILIAR EN CRUCE GENERAL Placa padre: Tipo adquisicion: Entidad</v>
      </c>
      <c r="G3493" s="5"/>
    </row>
    <row r="3494" spans="1:7" ht="58.5" customHeight="1" x14ac:dyDescent="0.25">
      <c r="A3494" s="5" t="str">
        <f>"H0022786"</f>
        <v>H0022786</v>
      </c>
      <c r="B3494" s="5" t="str">
        <f>"SIERRA PARA CORTE DE YESO"</f>
        <v>SIERRA PARA CORTE DE YESO</v>
      </c>
      <c r="C3494" s="6">
        <v>2726000</v>
      </c>
      <c r="D3494" s="5"/>
      <c r="E3494" s="5" t="str">
        <f t="shared" si="163"/>
        <v>QUIROFANO -MARIA DEL PILAR MEDINA</v>
      </c>
      <c r="F3494" s="5" t="str">
        <f>"Descripcion: SIERRA OSCILANTE PARA RETIRAR YESO CON DOS HOJAS OSCILANTES DE 2.5 PULGADAS Y LLAVE HEXAGONAL DE FIJACION CABLE AC 5 MTS. 110 VOLT. MCA ALLEGAIER ALEMAN Estado: Bueno Placa anterior: 000025696 Material: PASTA Color: VERDE Y NEGRO Referencia: "&amp; " Observacion:  Placa padre: Tipo adquisicion: Entidad"</f>
        <v>Descripcion: SIERRA OSCILANTE PARA RETIRAR YESO CON DOS HOJAS OSCILANTES DE 2.5 PULGADAS Y LLAVE HEXAGONAL DE FIJACION CABLE AC 5 MTS. 110 VOLT. MCA ALLEGAIER ALEMAN Estado: Bueno Placa anterior: 000025696 Material: PASTA Color: VERDE Y NEGRO Referencia:  Observacion:  Placa padre: Tipo adquisicion: Entidad</v>
      </c>
      <c r="G3494" s="5"/>
    </row>
    <row r="3495" spans="1:7" ht="58.5" customHeight="1" x14ac:dyDescent="0.25">
      <c r="A3495" s="5" t="str">
        <f>"H0022787"</f>
        <v>H0022787</v>
      </c>
      <c r="B3495" s="5" t="str">
        <f>"CAMILLA GINECOLOGICA CON ESTRIBOS"</f>
        <v>CAMILLA GINECOLOGICA CON ESTRIBOS</v>
      </c>
      <c r="C3495" s="6">
        <v>1949976.12</v>
      </c>
      <c r="D3495" s="5"/>
      <c r="E3495" s="5" t="str">
        <f t="shared" si="163"/>
        <v>QUIROFANO -MARIA DEL PILAR MEDINA</v>
      </c>
      <c r="F3495" s="5" t="str">
        <f>"Descripcion: MESA QUIRURGICA GINECOLOGICA Estado: Regular Placa anterior: 000000006 Material: ACERO INOXIDABLE Y CUERO Color: PLATEADO Y NEGRO Referencia:  Observacion:  Placa padre: Tipo adquisicion: Entidad"</f>
        <v>Descripcion: MESA QUIRURGICA GINECOLOGICA Estado: Regular Placa anterior: 000000006 Material: ACERO INOXIDABLE Y CUERO Color: PLATEADO Y NEGRO Referencia:  Observacion:  Placa padre: Tipo adquisicion: Entidad</v>
      </c>
      <c r="G3495" s="5" t="str">
        <f>"CX 7"</f>
        <v>CX 7</v>
      </c>
    </row>
    <row r="3496" spans="1:7" ht="58.5" customHeight="1" x14ac:dyDescent="0.25">
      <c r="A3496" s="5" t="str">
        <f>"H0022788"</f>
        <v>H0022788</v>
      </c>
      <c r="B3496" s="5" t="str">
        <f>"HORNO MICROONDAS"</f>
        <v>HORNO MICROONDAS</v>
      </c>
      <c r="C3496" s="6">
        <v>300000</v>
      </c>
      <c r="D3496" s="5"/>
      <c r="E3496" s="5" t="str">
        <f t="shared" si="163"/>
        <v>QUIROFANO -MARIA DEL PILAR MEDINA</v>
      </c>
      <c r="F3496" s="5" t="str">
        <f>"Descripcion: HORNO MICROHONDAS MCA. MABE BIEN REEMPLAZADO POR HORNO MICROONDAS MCA. WHIRPOLL Estado: Bueno Placa anterior: 000023557 Material: METALICO Color: BLANCO Referencia:  Observacion:  Placa padre: Tipo adquisicion: Entidad"</f>
        <v>Descripcion: HORNO MICROHONDAS MCA. MABE BIEN REEMPLAZADO POR HORNO MICROONDAS MCA. WHIRPOLL Estado: Bueno Placa anterior: 000023557 Material: METALICO Color: BLANCO Referencia:  Observacion:  Placa padre: Tipo adquisicion: Entidad</v>
      </c>
      <c r="G3496" s="5"/>
    </row>
    <row r="3497" spans="1:7" ht="58.5" customHeight="1" x14ac:dyDescent="0.25">
      <c r="A3497" s="5" t="str">
        <f>"H0022789"</f>
        <v>H0022789</v>
      </c>
      <c r="B3497" s="5" t="str">
        <f>"CHUT EN ACERO INOXIDABLE"</f>
        <v>CHUT EN ACERO INOXIDABLE</v>
      </c>
      <c r="C3497" s="6">
        <v>70000</v>
      </c>
      <c r="D3497" s="5"/>
      <c r="E3497" s="5" t="str">
        <f t="shared" si="163"/>
        <v>QUIROFANO -MARIA DEL PILAR MEDINA</v>
      </c>
      <c r="F3497" s="5" t="str">
        <f>"Descripcion: CHUT EN ACERO INOX. CON TOPER Y TAPA Estado: Bueno Placa anterior: 000015161 Material: ACERO INOXIDABLE Color: PLATEADO Referencia:  Observacion:  Placa padre: Tipo adquisicion: Entidad"</f>
        <v>Descripcion: CHUT EN ACERO INOX. CON TOPER Y TAPA Estado: Bueno Placa anterior: 000015161 Material: ACERO INOXIDABLE Color: PLATEADO Referencia:  Observacion:  Placa padre: Tipo adquisicion: Entidad</v>
      </c>
      <c r="G3497" s="5"/>
    </row>
    <row r="3498" spans="1:7" ht="58.5" customHeight="1" x14ac:dyDescent="0.25">
      <c r="A3498" s="5" t="str">
        <f>"H0024567"</f>
        <v>H0024567</v>
      </c>
      <c r="B349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3498" s="6">
        <v>2600000</v>
      </c>
      <c r="D3498" s="5" t="s">
        <v>36</v>
      </c>
      <c r="E3498" s="5" t="str">
        <f t="shared" si="163"/>
        <v>QUIROFANO -MARIA DEL PILAR MEDINA</v>
      </c>
      <c r="F3498" s="5"/>
      <c r="G3498" s="5"/>
    </row>
    <row r="3499" spans="1:7" ht="58.5" customHeight="1" x14ac:dyDescent="0.25">
      <c r="A3499" s="5" t="str">
        <f>"H0024644"</f>
        <v>H0024644</v>
      </c>
      <c r="B3499" s="5" t="str">
        <f>"SUCCIONADOR (DONACION)"</f>
        <v>SUCCIONADOR (DONACION)</v>
      </c>
      <c r="C3499" s="6">
        <v>406000</v>
      </c>
      <c r="D3499" s="5" t="s">
        <v>64</v>
      </c>
      <c r="E3499" s="5" t="str">
        <f t="shared" si="163"/>
        <v>QUIROFANO -MARIA DEL PILAR MEDINA</v>
      </c>
      <c r="F3499" s="5"/>
      <c r="G3499" s="5"/>
    </row>
    <row r="3500" spans="1:7" ht="58.5" customHeight="1" x14ac:dyDescent="0.25">
      <c r="A3500" s="5" t="str">
        <f>"H0024650"</f>
        <v>H0024650</v>
      </c>
      <c r="B3500" s="5" t="str">
        <f>"SUCCIONADOR (DONACION)"</f>
        <v>SUCCIONADOR (DONACION)</v>
      </c>
      <c r="C3500" s="6">
        <v>406000</v>
      </c>
      <c r="D3500" s="5" t="s">
        <v>64</v>
      </c>
      <c r="E3500" s="5" t="str">
        <f t="shared" si="163"/>
        <v>QUIROFANO -MARIA DEL PILAR MEDINA</v>
      </c>
      <c r="F3500" s="5"/>
      <c r="G3500" s="5"/>
    </row>
    <row r="3501" spans="1:7" ht="58.5" customHeight="1" x14ac:dyDescent="0.25">
      <c r="A3501" s="5" t="str">
        <f>"H0024924"</f>
        <v>H0024924</v>
      </c>
      <c r="B3501" s="5" t="str">
        <f>"UNIDAD ININTERRUMPIDA DE POTENCIA (UPS) 2.2KW"</f>
        <v>UNIDAD ININTERRUMPIDA DE POTENCIA (UPS) 2.2KW</v>
      </c>
      <c r="C3501" s="6">
        <v>2872414</v>
      </c>
      <c r="D3501" s="5" t="s">
        <v>298</v>
      </c>
      <c r="E3501" s="5" t="str">
        <f t="shared" si="163"/>
        <v>QUIROFANO -MARIA DEL PILAR MEDINA</v>
      </c>
      <c r="F3501" s="5"/>
      <c r="G3501" s="5"/>
    </row>
    <row r="3502" spans="1:7" ht="58.5" customHeight="1" x14ac:dyDescent="0.25">
      <c r="A3502" s="5" t="str">
        <f>"H0024979"</f>
        <v>H0024979</v>
      </c>
      <c r="B3502" s="5" t="str">
        <f>"MICROSCOPIO BINOCULARES"</f>
        <v>MICROSCOPIO BINOCULARES</v>
      </c>
      <c r="C3502" s="6">
        <v>573040000</v>
      </c>
      <c r="D3502" s="5" t="s">
        <v>299</v>
      </c>
      <c r="E3502" s="5" t="str">
        <f t="shared" si="163"/>
        <v>QUIROFANO -MARIA DEL PILAR MEDINA</v>
      </c>
      <c r="F3502" s="5"/>
      <c r="G3502" s="5" t="str">
        <f>"OPMI  PENTERO"</f>
        <v>OPMI  PENTERO</v>
      </c>
    </row>
    <row r="3503" spans="1:7" ht="58.5" customHeight="1" x14ac:dyDescent="0.25">
      <c r="A3503" s="5" t="str">
        <f>"H0025000"</f>
        <v>H0025000</v>
      </c>
      <c r="B3503" s="5" t="str">
        <f>"UNIDAD ACONDICIONADORA TIPO CENTRAL DOBLE CIRCUITO, DOBLE PARED  2.400 CFM MOTOR DE 3,0 HP, THERMOTAR, TRIFASICA, VENTILADOR CENTRIFUGO, REFIRGERANTE R-410"</f>
        <v>UNIDAD ACONDICIONADORA TIPO CENTRAL DOBLE CIRCUITO, DOBLE PARED  2.400 CFM MOTOR DE 3,0 HP, THERMOTAR, TRIFASICA, VENTILADOR CENTRIFUGO, REFIRGERANTE R-410</v>
      </c>
      <c r="C3503" s="6">
        <v>23915720</v>
      </c>
      <c r="D3503" s="5" t="s">
        <v>10</v>
      </c>
      <c r="E3503" s="5" t="str">
        <f t="shared" si="163"/>
        <v>QUIROFANO -MARIA DEL PILAR MEDINA</v>
      </c>
      <c r="F3503" s="5"/>
      <c r="G3503" s="5" t="str">
        <f>"FCAPK410-300HTP6C-4"</f>
        <v>FCAPK410-300HTP6C-4</v>
      </c>
    </row>
    <row r="3504" spans="1:7" ht="58.5" customHeight="1" x14ac:dyDescent="0.25">
      <c r="A3504" s="5" t="str">
        <f>"H0025001"</f>
        <v>H0025001</v>
      </c>
      <c r="B3504" s="5" t="str">
        <f>"UNIDAD ACONDICIONADORA TIPO CENTRAL DOBLE CIRCUITO, DOBLE PARED  2.400 CFM MOTOR DE 3,0 HP, THERMOTAR, TRIFASICA, VENTILADOR CENTRIFUGO, REFIRGERANTE R-410"</f>
        <v>UNIDAD ACONDICIONADORA TIPO CENTRAL DOBLE CIRCUITO, DOBLE PARED  2.400 CFM MOTOR DE 3,0 HP, THERMOTAR, TRIFASICA, VENTILADOR CENTRIFUGO, REFIRGERANTE R-410</v>
      </c>
      <c r="C3504" s="6">
        <v>23915720</v>
      </c>
      <c r="D3504" s="5" t="s">
        <v>10</v>
      </c>
      <c r="E3504" s="5" t="str">
        <f t="shared" si="163"/>
        <v>QUIROFANO -MARIA DEL PILAR MEDINA</v>
      </c>
      <c r="F3504" s="5"/>
      <c r="G3504" s="5" t="str">
        <f>"FCAPK10-300H-TP6C-4"</f>
        <v>FCAPK10-300H-TP6C-4</v>
      </c>
    </row>
    <row r="3505" spans="1:7" ht="58.5" customHeight="1" x14ac:dyDescent="0.25">
      <c r="A3505" s="5" t="str">
        <f>"H0025002"</f>
        <v>H0025002</v>
      </c>
      <c r="B3505" s="5" t="str">
        <f>"UNIDAD ACONDICIONADORA TIPO CENTRAL DOBLE CIRCUITO, DOBLE PARED 1.800 CFM MOTOR DE 3,0 HP, THERMOTAR, REFRIGERANTE  R-410, TRIFÁSICA, VENTILADOR CENTRÍFUGO."</f>
        <v>UNIDAD ACONDICIONADORA TIPO CENTRAL DOBLE CIRCUITO, DOBLE PARED 1.800 CFM MOTOR DE 3,0 HP, THERMOTAR, REFRIGERANTE  R-410, TRIFÁSICA, VENTILADOR CENTRÍFUGO.</v>
      </c>
      <c r="C3505" s="6">
        <v>20165440</v>
      </c>
      <c r="D3505" s="5" t="s">
        <v>10</v>
      </c>
      <c r="E3505" s="5" t="str">
        <f t="shared" si="163"/>
        <v>QUIROFANO -MARIA DEL PILAR MEDINA</v>
      </c>
      <c r="F3505" s="5"/>
      <c r="G3505" s="5"/>
    </row>
    <row r="3506" spans="1:7" ht="58.5" customHeight="1" x14ac:dyDescent="0.25">
      <c r="A3506" s="5" t="str">
        <f>"H0025003"</f>
        <v>H0025003</v>
      </c>
      <c r="B3506" s="5" t="str">
        <f>"UNIDAD ACONDICIONADORA TIPO CENTRAL DOBLE CIRCUITO, DOBLE PARED 9.300 CFM MOTOR DE 3,0 HP, THERMOTAR, 220 VOLTIOS, TRIFÁSICA, VENTILADOR CENTRÍFUGO"</f>
        <v>UNIDAD ACONDICIONADORA TIPO CENTRAL DOBLE CIRCUITO, DOBLE PARED 9.300 CFM MOTOR DE 3,0 HP, THERMOTAR, 220 VOLTIOS, TRIFÁSICA, VENTILADOR CENTRÍFUGO</v>
      </c>
      <c r="C3506" s="6">
        <v>32277000</v>
      </c>
      <c r="D3506" s="5" t="s">
        <v>10</v>
      </c>
      <c r="E3506" s="5" t="str">
        <f t="shared" si="163"/>
        <v>QUIROFANO -MARIA DEL PILAR MEDINA</v>
      </c>
      <c r="F3506" s="5"/>
      <c r="G3506" s="5" t="str">
        <f>"FCAPK410-360H-TP6C-4"</f>
        <v>FCAPK410-360H-TP6C-4</v>
      </c>
    </row>
    <row r="3507" spans="1:7" ht="58.5" customHeight="1" x14ac:dyDescent="0.25">
      <c r="A3507" s="5" t="str">
        <f>"H0025004"</f>
        <v>H0025004</v>
      </c>
      <c r="B3507" s="5" t="str">
        <f>"UNIDAD ACONDICIONADORA TIPO CENTRAL DOBLE CIRCUITO, DOBLE PARED, 4.120 CFM MOTOR DE 3,0 HP, THERMOTAR, REFRIGERANTE R-410, TRIFÁSICA, VENTILADOR CENTRÍFUGO."</f>
        <v>UNIDAD ACONDICIONADORA TIPO CENTRAL DOBLE CIRCUITO, DOBLE PARED, 4.120 CFM MOTOR DE 3,0 HP, THERMOTAR, REFRIGERANTE R-410, TRIFÁSICA, VENTILADOR CENTRÍFUGO.</v>
      </c>
      <c r="C3507" s="6">
        <v>27481560</v>
      </c>
      <c r="D3507" s="5" t="s">
        <v>299</v>
      </c>
      <c r="E3507" s="5" t="str">
        <f t="shared" si="163"/>
        <v>QUIROFANO -MARIA DEL PILAR MEDINA</v>
      </c>
      <c r="F3507" s="5"/>
      <c r="G3507" s="5" t="str">
        <f>"FCAPK410-240H-TP4C-8"</f>
        <v>FCAPK410-240H-TP4C-8</v>
      </c>
    </row>
    <row r="3508" spans="1:7" ht="58.5" customHeight="1" x14ac:dyDescent="0.25">
      <c r="A3508" s="5" t="str">
        <f>"H0025005"</f>
        <v>H0025005</v>
      </c>
      <c r="B3508" s="5" t="str">
        <f>"UNIDAD ACONDICIONADORA TIPO CENTRAL DOBLE CIRCUITO, DOBLE PARED , 6.100 CFM MOTOR DE 3,0 HP, THERMOTAR, REFRIGERANTE R-410, TRIFÁSICA, VENTILADOR CENTRÍFUGO."</f>
        <v>UNIDAD ACONDICIONADORA TIPO CENTRAL DOBLE CIRCUITO, DOBLE PARED , 6.100 CFM MOTOR DE 3,0 HP, THERMOTAR, REFRIGERANTE R-410, TRIFÁSICA, VENTILADOR CENTRÍFUGO.</v>
      </c>
      <c r="C3508" s="6">
        <v>29754000</v>
      </c>
      <c r="D3508" s="5" t="s">
        <v>10</v>
      </c>
      <c r="E3508" s="5" t="str">
        <f t="shared" si="163"/>
        <v>QUIROFANO -MARIA DEL PILAR MEDINA</v>
      </c>
      <c r="F3508" s="5"/>
      <c r="G3508" s="5" t="str">
        <f>"FCAPK410-360H-TP6C-4-B2"</f>
        <v>FCAPK410-360H-TP6C-4-B2</v>
      </c>
    </row>
    <row r="3509" spans="1:7" ht="58.5" customHeight="1" x14ac:dyDescent="0.25">
      <c r="A3509" s="5" t="str">
        <f>"H0025006"</f>
        <v>H0025006</v>
      </c>
      <c r="B3509" s="5" t="str">
        <f>"UNIDAD ACONDICIONADORA TIPO CENTRAL DOBLE CIRCUITO, DOBLE PARED,  1.600 CFM MOTOR DE 2,5 HP, THERMOTAR, R-410, TRIFÁSICA, VENTILADOR CENTRÍFUGO."</f>
        <v>UNIDAD ACONDICIONADORA TIPO CENTRAL DOBLE CIRCUITO, DOBLE PARED,  1.600 CFM MOTOR DE 2,5 HP, THERMOTAR, R-410, TRIFÁSICA, VENTILADOR CENTRÍFUGO.</v>
      </c>
      <c r="C3509" s="6">
        <v>23055000</v>
      </c>
      <c r="D3509" s="5" t="s">
        <v>10</v>
      </c>
      <c r="E3509" s="5" t="str">
        <f t="shared" si="163"/>
        <v>QUIROFANO -MARIA DEL PILAR MEDINA</v>
      </c>
      <c r="F3509" s="5"/>
      <c r="G3509" s="5" t="str">
        <f>"FCAPK410-240H-TP4C-4B2"</f>
        <v>FCAPK410-240H-TP4C-4B2</v>
      </c>
    </row>
    <row r="3510" spans="1:7" ht="58.5" customHeight="1" x14ac:dyDescent="0.25">
      <c r="A3510" s="5" t="str">
        <f>"H0025007"</f>
        <v>H0025007</v>
      </c>
      <c r="B3510" s="5" t="str">
        <f>"UNIDAD ACONDICIONADORA TIPO CENTRAL DOBLE CIRCUITO, DOBLE PARED,  1.600 CFM MOTOR DE 2,5 HP, THERMOTAR, R-410, TRIFÁSICA, VENTILADOR CENTRÍFUGO."</f>
        <v>UNIDAD ACONDICIONADORA TIPO CENTRAL DOBLE CIRCUITO, DOBLE PARED,  1.600 CFM MOTOR DE 2,5 HP, THERMOTAR, R-410, TRIFÁSICA, VENTILADOR CENTRÍFUGO.</v>
      </c>
      <c r="C3510" s="6">
        <v>23055000</v>
      </c>
      <c r="D3510" s="5" t="s">
        <v>10</v>
      </c>
      <c r="E3510" s="5" t="str">
        <f t="shared" si="163"/>
        <v>QUIROFANO -MARIA DEL PILAR MEDINA</v>
      </c>
      <c r="F3510" s="5"/>
      <c r="G3510" s="5" t="str">
        <f>"FCAPK410-240H-TP4C-4-B2"</f>
        <v>FCAPK410-240H-TP4C-4-B2</v>
      </c>
    </row>
    <row r="3511" spans="1:7" ht="58.5" customHeight="1" x14ac:dyDescent="0.25">
      <c r="A3511" s="5" t="str">
        <f>"H0025008"</f>
        <v>H0025008</v>
      </c>
      <c r="B3511" s="5" t="str">
        <f>"UNIDAD ACONDICIONADORA TIPO CENTRAL DOBLE CIRCUITO, DOBLE PARED, 6.500 CFM MOTOR DE 2,0 HP, THERMOTAR, R-410, TRIFÁSICA, VENTILADOR CENTRÍFUGO."</f>
        <v>UNIDAD ACONDICIONADORA TIPO CENTRAL DOBLE CIRCUITO, DOBLE PARED, 6.500 CFM MOTOR DE 2,0 HP, THERMOTAR, R-410, TRIFÁSICA, VENTILADOR CENTRÍFUGO.</v>
      </c>
      <c r="C3511" s="6">
        <v>30055600</v>
      </c>
      <c r="D3511" s="5" t="s">
        <v>10</v>
      </c>
      <c r="E3511" s="5" t="str">
        <f t="shared" si="163"/>
        <v>QUIROFANO -MARIA DEL PILAR MEDINA</v>
      </c>
      <c r="F3511" s="5"/>
      <c r="G3511" s="5"/>
    </row>
    <row r="3512" spans="1:7" ht="58.5" customHeight="1" x14ac:dyDescent="0.25">
      <c r="A3512" s="5" t="str">
        <f>"H0025009"</f>
        <v>H0025009</v>
      </c>
      <c r="B3512" s="5" t="str">
        <f>"UNIDAD ACONDICIONADORA TIPO CENTRAL DOBLE CIRCUITO, DOBLE PARED,  DE  1.000 CFM MOTOR DE 2,0 HP, THERMOTAR, R-410, TRIFÁSICA, VENTILADOR CENTRÍFUGO"</f>
        <v>UNIDAD ACONDICIONADORA TIPO CENTRAL DOBLE CIRCUITO, DOBLE PARED,  DE  1.000 CFM MOTOR DE 2,0 HP, THERMOTAR, R-410, TRIFÁSICA, VENTILADOR CENTRÍFUGO</v>
      </c>
      <c r="C3512" s="6">
        <v>22686120</v>
      </c>
      <c r="D3512" s="5" t="s">
        <v>10</v>
      </c>
      <c r="E3512" s="5" t="str">
        <f t="shared" si="163"/>
        <v>QUIROFANO -MARIA DEL PILAR MEDINA</v>
      </c>
      <c r="F3512" s="5"/>
      <c r="G3512" s="5" t="str">
        <f>"FCAPK410-144H-TP3C-4"</f>
        <v>FCAPK410-144H-TP3C-4</v>
      </c>
    </row>
    <row r="3513" spans="1:7" ht="58.5" customHeight="1" x14ac:dyDescent="0.25">
      <c r="A3513" s="5" t="str">
        <f>"H0025010"</f>
        <v>H0025010</v>
      </c>
      <c r="B3513" s="5" t="str">
        <f>"UNIDAD ACONDICIONADORA TIPO CENTRAL DOBLE CIRCUITO, DOBLE PARED, 1.240 CFM MOTOR DE 2,0 HP, THERMOTAR, R-410, TRIFÁSICA, VENTILADOR CENTRÍFUGO"</f>
        <v>UNIDAD ACONDICIONADORA TIPO CENTRAL DOBLE CIRCUITO, DOBLE PARED, 1.240 CFM MOTOR DE 2,0 HP, THERMOTAR, R-410, TRIFÁSICA, VENTILADOR CENTRÍFUGO</v>
      </c>
      <c r="C3513" s="6">
        <v>28625088</v>
      </c>
      <c r="D3513" s="5" t="s">
        <v>10</v>
      </c>
      <c r="E3513" s="5" t="str">
        <f t="shared" si="163"/>
        <v>QUIROFANO -MARIA DEL PILAR MEDINA</v>
      </c>
      <c r="F3513" s="5"/>
      <c r="G3513" s="5" t="str">
        <f>"FCAPK410-150H-TP3C-4"</f>
        <v>FCAPK410-150H-TP3C-4</v>
      </c>
    </row>
    <row r="3514" spans="1:7" ht="58.5" customHeight="1" x14ac:dyDescent="0.25">
      <c r="A3514" s="5" t="str">
        <f>"H0025388"</f>
        <v>H0025388</v>
      </c>
      <c r="B351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514" s="6">
        <v>312156</v>
      </c>
      <c r="D3514" s="5" t="s">
        <v>10</v>
      </c>
      <c r="E3514" s="5" t="str">
        <f t="shared" si="163"/>
        <v>QUIROFANO -MARIA DEL PILAR MEDINA</v>
      </c>
      <c r="F3514" s="5"/>
      <c r="G3514" s="5"/>
    </row>
    <row r="3515" spans="1:7" ht="58.5" customHeight="1" x14ac:dyDescent="0.25">
      <c r="A3515" s="5" t="str">
        <f>"H0025390"</f>
        <v>H0025390</v>
      </c>
      <c r="B351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515" s="6">
        <v>312156</v>
      </c>
      <c r="D3515" s="5" t="s">
        <v>10</v>
      </c>
      <c r="E3515" s="5" t="str">
        <f t="shared" si="163"/>
        <v>QUIROFANO -MARIA DEL PILAR MEDINA</v>
      </c>
      <c r="F3515" s="5"/>
      <c r="G3515" s="5"/>
    </row>
    <row r="3516" spans="1:7" ht="58.5" customHeight="1" x14ac:dyDescent="0.25">
      <c r="A3516" s="5" t="str">
        <f>"H0025406"</f>
        <v>H0025406</v>
      </c>
      <c r="B351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516" s="6">
        <v>312156</v>
      </c>
      <c r="D3516" s="5" t="s">
        <v>10</v>
      </c>
      <c r="E3516" s="5" t="str">
        <f t="shared" si="163"/>
        <v>QUIROFANO -MARIA DEL PILAR MEDINA</v>
      </c>
      <c r="F3516" s="5"/>
      <c r="G3516" s="5"/>
    </row>
    <row r="3517" spans="1:7" ht="58.5" customHeight="1" x14ac:dyDescent="0.25">
      <c r="A3517" s="5" t="str">
        <f>"H0025423"</f>
        <v>H0025423</v>
      </c>
      <c r="B351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517" s="6">
        <v>312156</v>
      </c>
      <c r="D3517" s="5" t="s">
        <v>10</v>
      </c>
      <c r="E3517" s="5" t="str">
        <f t="shared" si="163"/>
        <v>QUIROFANO -MARIA DEL PILAR MEDINA</v>
      </c>
      <c r="F3517" s="5"/>
      <c r="G3517" s="5"/>
    </row>
    <row r="3518" spans="1:7" ht="58.5" customHeight="1" x14ac:dyDescent="0.25">
      <c r="A3518" s="5" t="str">
        <f>"H0025550"</f>
        <v>H0025550</v>
      </c>
      <c r="B3518" s="5" t="str">
        <f>"PATO ORINAL PISINGO PEDIATRICO, FABRICACION NACIONAL-OTRA"</f>
        <v>PATO ORINAL PISINGO PEDIATRICO, FABRICACION NACIONAL-OTRA</v>
      </c>
      <c r="C3518" s="6">
        <v>40600</v>
      </c>
      <c r="D3518" s="5" t="s">
        <v>66</v>
      </c>
      <c r="E3518" s="5" t="str">
        <f t="shared" si="163"/>
        <v>QUIROFANO -MARIA DEL PILAR MEDINA</v>
      </c>
      <c r="F3518" s="5"/>
      <c r="G3518" s="5"/>
    </row>
    <row r="3519" spans="1:7" ht="58.5" customHeight="1" x14ac:dyDescent="0.25">
      <c r="A3519" s="5" t="str">
        <f>"H0025551"</f>
        <v>H0025551</v>
      </c>
      <c r="B3519" s="5" t="str">
        <f>"PATO ORINAL PISINGO PEDIATRICO, FABRICACION NACIONAL-OTRA"</f>
        <v>PATO ORINAL PISINGO PEDIATRICO, FABRICACION NACIONAL-OTRA</v>
      </c>
      <c r="C3519" s="6">
        <v>40600</v>
      </c>
      <c r="D3519" s="5" t="s">
        <v>66</v>
      </c>
      <c r="E3519" s="5" t="str">
        <f t="shared" si="163"/>
        <v>QUIROFANO -MARIA DEL PILAR MEDINA</v>
      </c>
      <c r="F3519" s="5"/>
      <c r="G3519" s="5"/>
    </row>
    <row r="3520" spans="1:7" ht="58.5" customHeight="1" x14ac:dyDescent="0.25">
      <c r="A3520" s="5" t="str">
        <f>"H0025634"</f>
        <v>H0025634</v>
      </c>
      <c r="B3520" s="5" t="str">
        <f>"MASA PATRON DE 20 KG CON CERTIFICADO DE CALIBRACIÓN"</f>
        <v>MASA PATRON DE 20 KG CON CERTIFICADO DE CALIBRACIÓN</v>
      </c>
      <c r="C3520" s="6">
        <v>285600</v>
      </c>
      <c r="D3520" s="5" t="s">
        <v>206</v>
      </c>
      <c r="E3520" s="5" t="str">
        <f t="shared" si="163"/>
        <v>QUIROFANO -MARIA DEL PILAR MEDINA</v>
      </c>
      <c r="F3520" s="5"/>
      <c r="G3520" s="5"/>
    </row>
    <row r="3521" spans="1:7" ht="58.5" customHeight="1" x14ac:dyDescent="0.25">
      <c r="A3521" s="5" t="str">
        <f>"H0025635"</f>
        <v>H0025635</v>
      </c>
      <c r="B3521" s="5" t="str">
        <f>"MASA PATRON DE 20 KG CON CERTIFICADO DE CALIBRACIÓN"</f>
        <v>MASA PATRON DE 20 KG CON CERTIFICADO DE CALIBRACIÓN</v>
      </c>
      <c r="C3521" s="6">
        <v>285600</v>
      </c>
      <c r="D3521" s="5" t="s">
        <v>206</v>
      </c>
      <c r="E3521" s="5" t="str">
        <f t="shared" si="163"/>
        <v>QUIROFANO -MARIA DEL PILAR MEDINA</v>
      </c>
      <c r="F3521" s="5"/>
      <c r="G3521" s="5"/>
    </row>
    <row r="3522" spans="1:7" ht="58.5" customHeight="1" x14ac:dyDescent="0.25">
      <c r="A3522" s="5" t="str">
        <f>"H0025636"</f>
        <v>H0025636</v>
      </c>
      <c r="B3522" s="5" t="str">
        <f>"MASA PATRON DE 20 KG CON CERTIFICADO DE CALIBRACIÓN"</f>
        <v>MASA PATRON DE 20 KG CON CERTIFICADO DE CALIBRACIÓN</v>
      </c>
      <c r="C3522" s="6">
        <v>285600</v>
      </c>
      <c r="D3522" s="5" t="s">
        <v>206</v>
      </c>
      <c r="E3522" s="5" t="str">
        <f t="shared" si="163"/>
        <v>QUIROFANO -MARIA DEL PILAR MEDINA</v>
      </c>
      <c r="F3522" s="5"/>
      <c r="G3522" s="5"/>
    </row>
    <row r="3523" spans="1:7" ht="58.5" customHeight="1" x14ac:dyDescent="0.25">
      <c r="A3523" s="5" t="str">
        <f>"H0025638"</f>
        <v>H0025638</v>
      </c>
      <c r="B3523" s="5" t="str">
        <f>"MASA PATRON DE 20 KG CON CERTIFICADO DE CALIBRACIÓN"</f>
        <v>MASA PATRON DE 20 KG CON CERTIFICADO DE CALIBRACIÓN</v>
      </c>
      <c r="C3523" s="6">
        <v>285600</v>
      </c>
      <c r="D3523" s="5" t="s">
        <v>206</v>
      </c>
      <c r="E3523" s="5" t="str">
        <f t="shared" si="163"/>
        <v>QUIROFANO -MARIA DEL PILAR MEDINA</v>
      </c>
      <c r="F3523" s="5"/>
      <c r="G3523" s="5"/>
    </row>
    <row r="3524" spans="1:7" ht="58.5" customHeight="1" x14ac:dyDescent="0.25">
      <c r="A3524" s="5" t="str">
        <f>"H0025764"</f>
        <v>H0025764</v>
      </c>
      <c r="B3524" s="5"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C3524" s="6">
        <v>37901777.5</v>
      </c>
      <c r="D3524" s="5" t="s">
        <v>300</v>
      </c>
      <c r="E3524" s="5" t="str">
        <f t="shared" si="163"/>
        <v>QUIROFANO -MARIA DEL PILAR MEDINA</v>
      </c>
      <c r="F3524" s="5"/>
      <c r="G3524" s="5"/>
    </row>
    <row r="3525" spans="1:7" ht="58.5" customHeight="1" x14ac:dyDescent="0.25">
      <c r="A3525" s="5" t="str">
        <f>"H0025765"</f>
        <v>H0025765</v>
      </c>
      <c r="B3525" s="5" t="str">
        <f>"BISTURI ARMONICO CONSTA DE:  PEDALERA Y CABLE  PARA  GENERADO CARRO PARA GENERADOR, CONECTOR DE PUNTA, PIEZA DE MANO.  HARMONICO BLUE PIEZA DE MAYO 1"</f>
        <v>BISTURI ARMONICO CONSTA DE:  PEDALERA Y CABLE  PARA  GENERADO CARRO PARA GENERADOR, CONECTOR DE PUNTA, PIEZA DE MANO.  HARMONICO BLUE PIEZA DE MAYO 1</v>
      </c>
      <c r="C3525" s="6">
        <v>37901777.5</v>
      </c>
      <c r="D3525" s="5" t="s">
        <v>300</v>
      </c>
      <c r="E3525" s="5" t="str">
        <f t="shared" si="163"/>
        <v>QUIROFANO -MARIA DEL PILAR MEDINA</v>
      </c>
      <c r="F3525" s="5"/>
      <c r="G3525" s="5"/>
    </row>
    <row r="3526" spans="1:7" ht="58.5" customHeight="1" x14ac:dyDescent="0.25">
      <c r="A3526" s="5" t="str">
        <f>"H0025780"</f>
        <v>H0025780</v>
      </c>
      <c r="B3526" s="5" t="str">
        <f t="shared" ref="B3526:B3541" si="164">"CARRO DE TRES NIVELES CON CAPACIDAD MINIMA DE 100 KG Y LAVABLES"</f>
        <v>CARRO DE TRES NIVELES CON CAPACIDAD MINIMA DE 100 KG Y LAVABLES</v>
      </c>
      <c r="C3526" s="6">
        <v>779716.55</v>
      </c>
      <c r="D3526" s="5" t="s">
        <v>266</v>
      </c>
      <c r="E3526" s="5" t="str">
        <f t="shared" si="163"/>
        <v>QUIROFANO -MARIA DEL PILAR MEDINA</v>
      </c>
      <c r="F3526" s="5"/>
      <c r="G3526" s="5"/>
    </row>
    <row r="3527" spans="1:7" ht="58.5" customHeight="1" x14ac:dyDescent="0.25">
      <c r="A3527" s="5" t="str">
        <f>"H0025781"</f>
        <v>H0025781</v>
      </c>
      <c r="B3527" s="5" t="str">
        <f t="shared" si="164"/>
        <v>CARRO DE TRES NIVELES CON CAPACIDAD MINIMA DE 100 KG Y LAVABLES</v>
      </c>
      <c r="C3527" s="6">
        <v>779716.55</v>
      </c>
      <c r="D3527" s="5" t="s">
        <v>266</v>
      </c>
      <c r="E3527" s="5" t="str">
        <f t="shared" si="163"/>
        <v>QUIROFANO -MARIA DEL PILAR MEDINA</v>
      </c>
      <c r="F3527" s="5"/>
      <c r="G3527" s="5"/>
    </row>
    <row r="3528" spans="1:7" ht="58.5" customHeight="1" x14ac:dyDescent="0.25">
      <c r="A3528" s="5" t="str">
        <f>"H0025782"</f>
        <v>H0025782</v>
      </c>
      <c r="B3528" s="5" t="str">
        <f t="shared" si="164"/>
        <v>CARRO DE TRES NIVELES CON CAPACIDAD MINIMA DE 100 KG Y LAVABLES</v>
      </c>
      <c r="C3528" s="6">
        <v>779716.55</v>
      </c>
      <c r="D3528" s="5" t="s">
        <v>266</v>
      </c>
      <c r="E3528" s="5" t="str">
        <f t="shared" si="163"/>
        <v>QUIROFANO -MARIA DEL PILAR MEDINA</v>
      </c>
      <c r="F3528" s="5"/>
      <c r="G3528" s="5"/>
    </row>
    <row r="3529" spans="1:7" ht="58.5" customHeight="1" x14ac:dyDescent="0.25">
      <c r="A3529" s="5" t="str">
        <f>"H0025783"</f>
        <v>H0025783</v>
      </c>
      <c r="B3529" s="5" t="str">
        <f t="shared" si="164"/>
        <v>CARRO DE TRES NIVELES CON CAPACIDAD MINIMA DE 100 KG Y LAVABLES</v>
      </c>
      <c r="C3529" s="6">
        <v>779716.55</v>
      </c>
      <c r="D3529" s="5" t="s">
        <v>266</v>
      </c>
      <c r="E3529" s="5" t="str">
        <f t="shared" si="163"/>
        <v>QUIROFANO -MARIA DEL PILAR MEDINA</v>
      </c>
      <c r="F3529" s="5"/>
      <c r="G3529" s="5"/>
    </row>
    <row r="3530" spans="1:7" ht="58.5" customHeight="1" x14ac:dyDescent="0.25">
      <c r="A3530" s="5" t="str">
        <f>"H0025785"</f>
        <v>H0025785</v>
      </c>
      <c r="B3530" s="5" t="str">
        <f t="shared" si="164"/>
        <v>CARRO DE TRES NIVELES CON CAPACIDAD MINIMA DE 100 KG Y LAVABLES</v>
      </c>
      <c r="C3530" s="6">
        <v>779716.55</v>
      </c>
      <c r="D3530" s="5" t="s">
        <v>266</v>
      </c>
      <c r="E3530" s="5" t="str">
        <f t="shared" si="163"/>
        <v>QUIROFANO -MARIA DEL PILAR MEDINA</v>
      </c>
      <c r="F3530" s="5"/>
      <c r="G3530" s="5"/>
    </row>
    <row r="3531" spans="1:7" ht="58.5" customHeight="1" x14ac:dyDescent="0.25">
      <c r="A3531" s="5" t="str">
        <f>"H0025786"</f>
        <v>H0025786</v>
      </c>
      <c r="B3531" s="5" t="str">
        <f t="shared" si="164"/>
        <v>CARRO DE TRES NIVELES CON CAPACIDAD MINIMA DE 100 KG Y LAVABLES</v>
      </c>
      <c r="C3531" s="6">
        <v>779716.55</v>
      </c>
      <c r="D3531" s="5" t="s">
        <v>266</v>
      </c>
      <c r="E3531" s="5" t="str">
        <f t="shared" si="163"/>
        <v>QUIROFANO -MARIA DEL PILAR MEDINA</v>
      </c>
      <c r="F3531" s="5"/>
      <c r="G3531" s="5"/>
    </row>
    <row r="3532" spans="1:7" ht="58.5" customHeight="1" x14ac:dyDescent="0.25">
      <c r="A3532" s="5" t="str">
        <f>"H0025787"</f>
        <v>H0025787</v>
      </c>
      <c r="B3532" s="5" t="str">
        <f t="shared" si="164"/>
        <v>CARRO DE TRES NIVELES CON CAPACIDAD MINIMA DE 100 KG Y LAVABLES</v>
      </c>
      <c r="C3532" s="6">
        <v>779716.55</v>
      </c>
      <c r="D3532" s="5" t="s">
        <v>266</v>
      </c>
      <c r="E3532" s="5" t="str">
        <f t="shared" si="163"/>
        <v>QUIROFANO -MARIA DEL PILAR MEDINA</v>
      </c>
      <c r="F3532" s="5"/>
      <c r="G3532" s="5"/>
    </row>
    <row r="3533" spans="1:7" ht="58.5" customHeight="1" x14ac:dyDescent="0.25">
      <c r="A3533" s="5" t="str">
        <f>"H0025789"</f>
        <v>H0025789</v>
      </c>
      <c r="B3533" s="5" t="str">
        <f t="shared" si="164"/>
        <v>CARRO DE TRES NIVELES CON CAPACIDAD MINIMA DE 100 KG Y LAVABLES</v>
      </c>
      <c r="C3533" s="6">
        <v>779716.55</v>
      </c>
      <c r="D3533" s="5" t="s">
        <v>266</v>
      </c>
      <c r="E3533" s="5" t="str">
        <f t="shared" si="163"/>
        <v>QUIROFANO -MARIA DEL PILAR MEDINA</v>
      </c>
      <c r="F3533" s="5"/>
      <c r="G3533" s="5"/>
    </row>
    <row r="3534" spans="1:7" ht="58.5" customHeight="1" x14ac:dyDescent="0.25">
      <c r="A3534" s="5" t="str">
        <f>"h0025790"</f>
        <v>h0025790</v>
      </c>
      <c r="B3534" s="5" t="str">
        <f t="shared" si="164"/>
        <v>CARRO DE TRES NIVELES CON CAPACIDAD MINIMA DE 100 KG Y LAVABLES</v>
      </c>
      <c r="C3534" s="6">
        <v>779716.55</v>
      </c>
      <c r="D3534" s="5" t="s">
        <v>266</v>
      </c>
      <c r="E3534" s="5" t="str">
        <f t="shared" si="163"/>
        <v>QUIROFANO -MARIA DEL PILAR MEDINA</v>
      </c>
      <c r="F3534" s="5"/>
      <c r="G3534" s="5"/>
    </row>
    <row r="3535" spans="1:7" ht="58.5" customHeight="1" x14ac:dyDescent="0.25">
      <c r="A3535" s="5" t="str">
        <f>"h0025791"</f>
        <v>h0025791</v>
      </c>
      <c r="B3535" s="5" t="str">
        <f t="shared" si="164"/>
        <v>CARRO DE TRES NIVELES CON CAPACIDAD MINIMA DE 100 KG Y LAVABLES</v>
      </c>
      <c r="C3535" s="6">
        <v>779716.55</v>
      </c>
      <c r="D3535" s="5" t="s">
        <v>266</v>
      </c>
      <c r="E3535" s="5" t="str">
        <f t="shared" si="163"/>
        <v>QUIROFANO -MARIA DEL PILAR MEDINA</v>
      </c>
      <c r="F3535" s="5"/>
      <c r="G3535" s="5"/>
    </row>
    <row r="3536" spans="1:7" ht="58.5" customHeight="1" x14ac:dyDescent="0.25">
      <c r="A3536" s="5" t="str">
        <f>"h0025792"</f>
        <v>h0025792</v>
      </c>
      <c r="B3536" s="5" t="str">
        <f t="shared" si="164"/>
        <v>CARRO DE TRES NIVELES CON CAPACIDAD MINIMA DE 100 KG Y LAVABLES</v>
      </c>
      <c r="C3536" s="6">
        <v>779716.55</v>
      </c>
      <c r="D3536" s="5" t="s">
        <v>266</v>
      </c>
      <c r="E3536" s="5" t="str">
        <f t="shared" si="163"/>
        <v>QUIROFANO -MARIA DEL PILAR MEDINA</v>
      </c>
      <c r="F3536" s="5"/>
      <c r="G3536" s="5"/>
    </row>
    <row r="3537" spans="1:7" ht="58.5" customHeight="1" x14ac:dyDescent="0.25">
      <c r="A3537" s="5" t="str">
        <f>"H0025793"</f>
        <v>H0025793</v>
      </c>
      <c r="B3537" s="5" t="str">
        <f t="shared" si="164"/>
        <v>CARRO DE TRES NIVELES CON CAPACIDAD MINIMA DE 100 KG Y LAVABLES</v>
      </c>
      <c r="C3537" s="6">
        <v>779716.55</v>
      </c>
      <c r="D3537" s="5" t="s">
        <v>266</v>
      </c>
      <c r="E3537" s="5" t="str">
        <f t="shared" si="163"/>
        <v>QUIROFANO -MARIA DEL PILAR MEDINA</v>
      </c>
      <c r="F3537" s="5"/>
      <c r="G3537" s="5"/>
    </row>
    <row r="3538" spans="1:7" ht="58.5" customHeight="1" x14ac:dyDescent="0.25">
      <c r="A3538" s="5" t="str">
        <f>"H0025794"</f>
        <v>H0025794</v>
      </c>
      <c r="B3538" s="5" t="str">
        <f t="shared" si="164"/>
        <v>CARRO DE TRES NIVELES CON CAPACIDAD MINIMA DE 100 KG Y LAVABLES</v>
      </c>
      <c r="C3538" s="6">
        <v>779716.55</v>
      </c>
      <c r="D3538" s="5" t="s">
        <v>266</v>
      </c>
      <c r="E3538" s="5" t="str">
        <f t="shared" si="163"/>
        <v>QUIROFANO -MARIA DEL PILAR MEDINA</v>
      </c>
      <c r="F3538" s="5"/>
      <c r="G3538" s="5"/>
    </row>
    <row r="3539" spans="1:7" ht="58.5" customHeight="1" x14ac:dyDescent="0.25">
      <c r="A3539" s="5" t="str">
        <f>"H0025795"</f>
        <v>H0025795</v>
      </c>
      <c r="B3539" s="5" t="str">
        <f t="shared" si="164"/>
        <v>CARRO DE TRES NIVELES CON CAPACIDAD MINIMA DE 100 KG Y LAVABLES</v>
      </c>
      <c r="C3539" s="6">
        <v>779716.55</v>
      </c>
      <c r="D3539" s="5" t="s">
        <v>266</v>
      </c>
      <c r="E3539" s="5" t="str">
        <f t="shared" si="163"/>
        <v>QUIROFANO -MARIA DEL PILAR MEDINA</v>
      </c>
      <c r="F3539" s="5"/>
      <c r="G3539" s="5"/>
    </row>
    <row r="3540" spans="1:7" ht="58.5" customHeight="1" x14ac:dyDescent="0.25">
      <c r="A3540" s="5" t="str">
        <f>"H0025796"</f>
        <v>H0025796</v>
      </c>
      <c r="B3540" s="5" t="str">
        <f t="shared" si="164"/>
        <v>CARRO DE TRES NIVELES CON CAPACIDAD MINIMA DE 100 KG Y LAVABLES</v>
      </c>
      <c r="C3540" s="6">
        <v>779716.55</v>
      </c>
      <c r="D3540" s="5" t="s">
        <v>266</v>
      </c>
      <c r="E3540" s="5" t="str">
        <f t="shared" si="163"/>
        <v>QUIROFANO -MARIA DEL PILAR MEDINA</v>
      </c>
      <c r="F3540" s="5"/>
      <c r="G3540" s="5"/>
    </row>
    <row r="3541" spans="1:7" ht="58.5" customHeight="1" x14ac:dyDescent="0.25">
      <c r="A3541" s="5" t="str">
        <f>"H0025797"</f>
        <v>H0025797</v>
      </c>
      <c r="B3541" s="5" t="str">
        <f t="shared" si="164"/>
        <v>CARRO DE TRES NIVELES CON CAPACIDAD MINIMA DE 100 KG Y LAVABLES</v>
      </c>
      <c r="C3541" s="6">
        <v>779716.55</v>
      </c>
      <c r="D3541" s="5" t="s">
        <v>266</v>
      </c>
      <c r="E3541" s="5" t="str">
        <f t="shared" si="163"/>
        <v>QUIROFANO -MARIA DEL PILAR MEDINA</v>
      </c>
      <c r="F3541" s="5"/>
      <c r="G3541" s="5"/>
    </row>
    <row r="3542" spans="1:7" ht="58.5" customHeight="1" x14ac:dyDescent="0.25">
      <c r="A3542" s="5" t="str">
        <f>"H0025852"</f>
        <v>H0025852</v>
      </c>
      <c r="B3542" s="5" t="str">
        <f>"MONITOR DE SIGNOS VITALES"</f>
        <v>MONITOR DE SIGNOS VITALES</v>
      </c>
      <c r="C3542" s="6">
        <v>3909780</v>
      </c>
      <c r="D3542" s="5" t="s">
        <v>301</v>
      </c>
      <c r="E3542" s="5" t="str">
        <f t="shared" si="163"/>
        <v>QUIROFANO -MARIA DEL PILAR MEDINA</v>
      </c>
      <c r="F3542" s="5"/>
      <c r="G3542" s="5" t="str">
        <f>"UMEC10"</f>
        <v>UMEC10</v>
      </c>
    </row>
    <row r="3543" spans="1:7" ht="58.5" customHeight="1" x14ac:dyDescent="0.25">
      <c r="A3543" s="5" t="str">
        <f>"H0025897"</f>
        <v>H0025897</v>
      </c>
      <c r="B3543" s="5" t="str">
        <f>"PAR SOPORTE DE CUBITO LATERAL (Donación)"</f>
        <v>PAR SOPORTE DE CUBITO LATERAL (Donación)</v>
      </c>
      <c r="C3543" s="6">
        <v>987700</v>
      </c>
      <c r="D3543" s="5" t="s">
        <v>302</v>
      </c>
      <c r="E3543" s="5" t="str">
        <f t="shared" si="163"/>
        <v>QUIROFANO -MARIA DEL PILAR MEDINA</v>
      </c>
      <c r="F3543" s="5"/>
      <c r="G3543" s="5"/>
    </row>
    <row r="3544" spans="1:7" ht="58.5" customHeight="1" x14ac:dyDescent="0.25">
      <c r="A3544" s="5" t="str">
        <f>"h0025898"</f>
        <v>h0025898</v>
      </c>
      <c r="B3544" s="5" t="str">
        <f>"PAR SOPORTE DE CUBITO LATERAL (Donación)"</f>
        <v>PAR SOPORTE DE CUBITO LATERAL (Donación)</v>
      </c>
      <c r="C3544" s="6">
        <v>987700</v>
      </c>
      <c r="D3544" s="5" t="s">
        <v>302</v>
      </c>
      <c r="E3544" s="5" t="str">
        <f t="shared" si="163"/>
        <v>QUIROFANO -MARIA DEL PILAR MEDINA</v>
      </c>
      <c r="F3544" s="5"/>
      <c r="G3544" s="5"/>
    </row>
    <row r="3545" spans="1:7" ht="58.5" customHeight="1" x14ac:dyDescent="0.25">
      <c r="A3545" s="5" t="str">
        <f>"H0025899"</f>
        <v>H0025899</v>
      </c>
      <c r="B3545" s="5" t="str">
        <f>"PAR SOPORTE DE CUBITO LATERAL (Donación)"</f>
        <v>PAR SOPORTE DE CUBITO LATERAL (Donación)</v>
      </c>
      <c r="C3545" s="6">
        <v>987700</v>
      </c>
      <c r="D3545" s="5" t="s">
        <v>302</v>
      </c>
      <c r="E3545" s="5" t="str">
        <f t="shared" si="163"/>
        <v>QUIROFANO -MARIA DEL PILAR MEDINA</v>
      </c>
      <c r="F3545" s="5"/>
      <c r="G3545" s="5"/>
    </row>
    <row r="3546" spans="1:7" ht="58.5" customHeight="1" x14ac:dyDescent="0.25">
      <c r="A3546" s="5" t="str">
        <f>"H0025900"</f>
        <v>H0025900</v>
      </c>
      <c r="B3546" s="5" t="str">
        <f t="shared" ref="B3546:B3551" si="165">"SOPORTE PARA MESA DE CIRUGIA EN FORMA D"</f>
        <v>SOPORTE PARA MESA DE CIRUGIA EN FORMA D</v>
      </c>
      <c r="C3546" s="6">
        <v>190638</v>
      </c>
      <c r="D3546" s="5" t="s">
        <v>302</v>
      </c>
      <c r="E3546" s="5" t="str">
        <f t="shared" si="163"/>
        <v>QUIROFANO -MARIA DEL PILAR MEDINA</v>
      </c>
      <c r="F3546" s="5"/>
      <c r="G3546" s="5"/>
    </row>
    <row r="3547" spans="1:7" ht="58.5" customHeight="1" x14ac:dyDescent="0.25">
      <c r="A3547" s="5" t="str">
        <f>"H0025901"</f>
        <v>H0025901</v>
      </c>
      <c r="B3547" s="5" t="str">
        <f t="shared" si="165"/>
        <v>SOPORTE PARA MESA DE CIRUGIA EN FORMA D</v>
      </c>
      <c r="C3547" s="6">
        <v>190638</v>
      </c>
      <c r="D3547" s="5" t="s">
        <v>302</v>
      </c>
      <c r="E3547" s="5" t="str">
        <f t="shared" si="163"/>
        <v>QUIROFANO -MARIA DEL PILAR MEDINA</v>
      </c>
      <c r="F3547" s="5"/>
      <c r="G3547" s="5"/>
    </row>
    <row r="3548" spans="1:7" ht="58.5" customHeight="1" x14ac:dyDescent="0.25">
      <c r="A3548" s="5" t="str">
        <f>"H0025902"</f>
        <v>H0025902</v>
      </c>
      <c r="B3548" s="5" t="str">
        <f t="shared" si="165"/>
        <v>SOPORTE PARA MESA DE CIRUGIA EN FORMA D</v>
      </c>
      <c r="C3548" s="6">
        <v>190638</v>
      </c>
      <c r="D3548" s="5" t="s">
        <v>302</v>
      </c>
      <c r="E3548" s="5" t="str">
        <f t="shared" si="163"/>
        <v>QUIROFANO -MARIA DEL PILAR MEDINA</v>
      </c>
      <c r="F3548" s="5"/>
      <c r="G3548" s="5"/>
    </row>
    <row r="3549" spans="1:7" ht="58.5" customHeight="1" x14ac:dyDescent="0.25">
      <c r="A3549" s="5" t="str">
        <f>"h0025903"</f>
        <v>h0025903</v>
      </c>
      <c r="B3549" s="5" t="str">
        <f t="shared" si="165"/>
        <v>SOPORTE PARA MESA DE CIRUGIA EN FORMA D</v>
      </c>
      <c r="C3549" s="6">
        <v>190638</v>
      </c>
      <c r="D3549" s="5" t="s">
        <v>302</v>
      </c>
      <c r="E3549" s="5" t="str">
        <f t="shared" si="163"/>
        <v>QUIROFANO -MARIA DEL PILAR MEDINA</v>
      </c>
      <c r="F3549" s="5"/>
      <c r="G3549" s="5"/>
    </row>
    <row r="3550" spans="1:7" ht="58.5" customHeight="1" x14ac:dyDescent="0.25">
      <c r="A3550" s="5" t="str">
        <f>"h0025904"</f>
        <v>h0025904</v>
      </c>
      <c r="B3550" s="5" t="str">
        <f t="shared" si="165"/>
        <v>SOPORTE PARA MESA DE CIRUGIA EN FORMA D</v>
      </c>
      <c r="C3550" s="6">
        <v>190638</v>
      </c>
      <c r="D3550" s="5" t="s">
        <v>302</v>
      </c>
      <c r="E3550" s="5" t="str">
        <f t="shared" si="163"/>
        <v>QUIROFANO -MARIA DEL PILAR MEDINA</v>
      </c>
      <c r="F3550" s="5"/>
      <c r="G3550" s="5"/>
    </row>
    <row r="3551" spans="1:7" ht="58.5" customHeight="1" x14ac:dyDescent="0.25">
      <c r="A3551" s="5" t="str">
        <f>"h0025905"</f>
        <v>h0025905</v>
      </c>
      <c r="B3551" s="5" t="str">
        <f t="shared" si="165"/>
        <v>SOPORTE PARA MESA DE CIRUGIA EN FORMA D</v>
      </c>
      <c r="C3551" s="6">
        <v>190638</v>
      </c>
      <c r="D3551" s="5" t="s">
        <v>302</v>
      </c>
      <c r="E3551" s="5" t="str">
        <f t="shared" si="163"/>
        <v>QUIROFANO -MARIA DEL PILAR MEDINA</v>
      </c>
      <c r="F3551" s="5"/>
      <c r="G3551" s="5"/>
    </row>
    <row r="3552" spans="1:7" ht="58.5" customHeight="1" x14ac:dyDescent="0.25">
      <c r="A3552" s="5" t="str">
        <f>"H0025925"</f>
        <v>H0025925</v>
      </c>
      <c r="B3552" s="5" t="str">
        <f>"PROGRAMADOR  HAKIM VALVE ROHS  823190R"</f>
        <v>PROGRAMADOR  HAKIM VALVE ROHS  823190R</v>
      </c>
      <c r="C3552" s="6">
        <v>24130373.75</v>
      </c>
      <c r="D3552" s="5" t="s">
        <v>303</v>
      </c>
      <c r="E3552" s="5" t="str">
        <f t="shared" ref="E3552:E3615" si="166">"QUIROFANO -MARIA DEL PILAR MEDINA"</f>
        <v>QUIROFANO -MARIA DEL PILAR MEDINA</v>
      </c>
      <c r="F3552" s="5"/>
      <c r="G3552" s="5"/>
    </row>
    <row r="3553" spans="1:7" ht="58.5" customHeight="1" x14ac:dyDescent="0.25">
      <c r="A3553" s="5" t="str">
        <f>"H0026032"</f>
        <v>H0026032</v>
      </c>
      <c r="B3553" s="5" t="str">
        <f>"SILLA DE RUEDAS"</f>
        <v>SILLA DE RUEDAS</v>
      </c>
      <c r="C3553" s="6">
        <v>280000</v>
      </c>
      <c r="D3553" s="5" t="s">
        <v>77</v>
      </c>
      <c r="E3553" s="5" t="str">
        <f t="shared" si="166"/>
        <v>QUIROFANO -MARIA DEL PILAR MEDINA</v>
      </c>
      <c r="F3553" s="5"/>
      <c r="G3553" s="5"/>
    </row>
    <row r="3554" spans="1:7" ht="58.5" customHeight="1" x14ac:dyDescent="0.25">
      <c r="A3554" s="5" t="str">
        <f>"H0026033"</f>
        <v>H0026033</v>
      </c>
      <c r="B3554" s="5" t="str">
        <f>"SILLA DE RUEDAS"</f>
        <v>SILLA DE RUEDAS</v>
      </c>
      <c r="C3554" s="6">
        <v>280000</v>
      </c>
      <c r="D3554" s="5" t="s">
        <v>77</v>
      </c>
      <c r="E3554" s="5" t="str">
        <f t="shared" si="166"/>
        <v>QUIROFANO -MARIA DEL PILAR MEDINA</v>
      </c>
      <c r="F3554" s="5"/>
      <c r="G3554" s="5"/>
    </row>
    <row r="3555" spans="1:7" ht="58.5" customHeight="1" x14ac:dyDescent="0.25">
      <c r="A3555" s="5" t="str">
        <f>"H0026806"</f>
        <v>H0026806</v>
      </c>
      <c r="B3555"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55" s="6">
        <v>3296300</v>
      </c>
      <c r="D3555" s="5" t="s">
        <v>37</v>
      </c>
      <c r="E3555" s="5" t="str">
        <f t="shared" si="166"/>
        <v>QUIROFANO -MARIA DEL PILAR MEDINA</v>
      </c>
      <c r="F3555" s="5"/>
      <c r="G3555" s="5"/>
    </row>
    <row r="3556" spans="1:7" ht="58.5" customHeight="1" x14ac:dyDescent="0.25">
      <c r="A3556" s="5" t="str">
        <f>"H0026809"</f>
        <v>H0026809</v>
      </c>
      <c r="B3556"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56" s="6">
        <v>3296300</v>
      </c>
      <c r="D3556" s="5" t="s">
        <v>37</v>
      </c>
      <c r="E3556" s="5" t="str">
        <f t="shared" si="166"/>
        <v>QUIROFANO -MARIA DEL PILAR MEDINA</v>
      </c>
      <c r="F3556" s="5"/>
      <c r="G3556" s="5"/>
    </row>
    <row r="3557" spans="1:7" ht="58.5" customHeight="1" x14ac:dyDescent="0.25">
      <c r="A3557" s="5" t="str">
        <f>"H0026863"</f>
        <v>H0026863</v>
      </c>
      <c r="B3557" s="5" t="str">
        <f>"BOMBA DE INFUSION"</f>
        <v>BOMBA DE INFUSION</v>
      </c>
      <c r="C3557" s="6">
        <v>800000</v>
      </c>
      <c r="D3557" s="5" t="s">
        <v>79</v>
      </c>
      <c r="E3557" s="5" t="str">
        <f t="shared" si="166"/>
        <v>QUIROFANO -MARIA DEL PILAR MEDINA</v>
      </c>
      <c r="F3557" s="5"/>
      <c r="G3557" s="5"/>
    </row>
    <row r="3558" spans="1:7" ht="58.5" customHeight="1" x14ac:dyDescent="0.25">
      <c r="A3558" s="5" t="str">
        <f>"H0026882"</f>
        <v>H0026882</v>
      </c>
      <c r="B3558" s="5" t="str">
        <f>"BOMBA DE INFUSION"</f>
        <v>BOMBA DE INFUSION</v>
      </c>
      <c r="C3558" s="6">
        <v>800000</v>
      </c>
      <c r="D3558" s="5" t="s">
        <v>79</v>
      </c>
      <c r="E3558" s="5" t="str">
        <f t="shared" si="166"/>
        <v>QUIROFANO -MARIA DEL PILAR MEDINA</v>
      </c>
      <c r="F3558" s="5"/>
      <c r="G3558" s="5"/>
    </row>
    <row r="3559" spans="1:7" ht="58.5" customHeight="1" x14ac:dyDescent="0.25">
      <c r="A3559" s="5" t="str">
        <f>"H0026958"</f>
        <v>H0026958</v>
      </c>
      <c r="B3559" s="5" t="str">
        <f>"BOMBA DE INFUSION"</f>
        <v>BOMBA DE INFUSION</v>
      </c>
      <c r="C3559" s="6">
        <v>800000</v>
      </c>
      <c r="D3559" s="5" t="s">
        <v>79</v>
      </c>
      <c r="E3559" s="5" t="str">
        <f t="shared" si="166"/>
        <v>QUIROFANO -MARIA DEL PILAR MEDINA</v>
      </c>
      <c r="F3559" s="5"/>
      <c r="G3559" s="5"/>
    </row>
    <row r="3560" spans="1:7" ht="58.5" customHeight="1" x14ac:dyDescent="0.25">
      <c r="A3560" s="5" t="str">
        <f>"H0027107"</f>
        <v>H0027107</v>
      </c>
      <c r="B3560" s="5" t="str">
        <f>"BOMBA DE INFUSION"</f>
        <v>BOMBA DE INFUSION</v>
      </c>
      <c r="C3560" s="6">
        <v>1200000</v>
      </c>
      <c r="D3560" s="5" t="s">
        <v>81</v>
      </c>
      <c r="E3560" s="5" t="str">
        <f t="shared" si="166"/>
        <v>QUIROFANO -MARIA DEL PILAR MEDINA</v>
      </c>
      <c r="F3560" s="5"/>
      <c r="G3560" s="5"/>
    </row>
    <row r="3561" spans="1:7" ht="58.5" customHeight="1" x14ac:dyDescent="0.25">
      <c r="A3561" s="5" t="str">
        <f>"H0027114"</f>
        <v>H0027114</v>
      </c>
      <c r="B3561" s="5" t="str">
        <f t="shared" ref="B3561:B3568" si="167">"SOPORTE DE PARED (BRAZO) PARA MONITOR DE SIGNOS VITALES CON ALTURA VARIABLE Y ORGANIZADOR DE CABLES"</f>
        <v>SOPORTE DE PARED (BRAZO) PARA MONITOR DE SIGNOS VITALES CON ALTURA VARIABLE Y ORGANIZADOR DE CABLES</v>
      </c>
      <c r="C3561" s="6">
        <v>702100</v>
      </c>
      <c r="D3561" s="5" t="s">
        <v>304</v>
      </c>
      <c r="E3561" s="5" t="str">
        <f t="shared" si="166"/>
        <v>QUIROFANO -MARIA DEL PILAR MEDINA</v>
      </c>
      <c r="F3561" s="5"/>
      <c r="G3561" s="5"/>
    </row>
    <row r="3562" spans="1:7" ht="58.5" customHeight="1" x14ac:dyDescent="0.25">
      <c r="A3562" s="5" t="str">
        <f>"H0027115"</f>
        <v>H0027115</v>
      </c>
      <c r="B3562" s="5" t="str">
        <f t="shared" si="167"/>
        <v>SOPORTE DE PARED (BRAZO) PARA MONITOR DE SIGNOS VITALES CON ALTURA VARIABLE Y ORGANIZADOR DE CABLES</v>
      </c>
      <c r="C3562" s="6">
        <v>702100</v>
      </c>
      <c r="D3562" s="5" t="s">
        <v>81</v>
      </c>
      <c r="E3562" s="5" t="str">
        <f t="shared" si="166"/>
        <v>QUIROFANO -MARIA DEL PILAR MEDINA</v>
      </c>
      <c r="F3562" s="5"/>
      <c r="G3562" s="5"/>
    </row>
    <row r="3563" spans="1:7" ht="58.5" customHeight="1" x14ac:dyDescent="0.25">
      <c r="A3563" s="5" t="str">
        <f>"H0027116"</f>
        <v>H0027116</v>
      </c>
      <c r="B3563" s="5" t="str">
        <f t="shared" si="167"/>
        <v>SOPORTE DE PARED (BRAZO) PARA MONITOR DE SIGNOS VITALES CON ALTURA VARIABLE Y ORGANIZADOR DE CABLES</v>
      </c>
      <c r="C3563" s="6">
        <v>702100</v>
      </c>
      <c r="D3563" s="5" t="s">
        <v>81</v>
      </c>
      <c r="E3563" s="5" t="str">
        <f t="shared" si="166"/>
        <v>QUIROFANO -MARIA DEL PILAR MEDINA</v>
      </c>
      <c r="F3563" s="5"/>
      <c r="G3563" s="5"/>
    </row>
    <row r="3564" spans="1:7" ht="58.5" customHeight="1" x14ac:dyDescent="0.25">
      <c r="A3564" s="5" t="str">
        <f>"H0027117"</f>
        <v>H0027117</v>
      </c>
      <c r="B3564" s="5" t="str">
        <f t="shared" si="167"/>
        <v>SOPORTE DE PARED (BRAZO) PARA MONITOR DE SIGNOS VITALES CON ALTURA VARIABLE Y ORGANIZADOR DE CABLES</v>
      </c>
      <c r="C3564" s="6">
        <v>702100</v>
      </c>
      <c r="D3564" s="5" t="s">
        <v>81</v>
      </c>
      <c r="E3564" s="5" t="str">
        <f t="shared" si="166"/>
        <v>QUIROFANO -MARIA DEL PILAR MEDINA</v>
      </c>
      <c r="F3564" s="5"/>
      <c r="G3564" s="5"/>
    </row>
    <row r="3565" spans="1:7" ht="58.5" customHeight="1" x14ac:dyDescent="0.25">
      <c r="A3565" s="5" t="str">
        <f>"H0027118"</f>
        <v>H0027118</v>
      </c>
      <c r="B3565" s="5" t="str">
        <f t="shared" si="167"/>
        <v>SOPORTE DE PARED (BRAZO) PARA MONITOR DE SIGNOS VITALES CON ALTURA VARIABLE Y ORGANIZADOR DE CABLES</v>
      </c>
      <c r="C3565" s="6">
        <v>702100</v>
      </c>
      <c r="D3565" s="5" t="s">
        <v>81</v>
      </c>
      <c r="E3565" s="5" t="str">
        <f t="shared" si="166"/>
        <v>QUIROFANO -MARIA DEL PILAR MEDINA</v>
      </c>
      <c r="F3565" s="5"/>
      <c r="G3565" s="5"/>
    </row>
    <row r="3566" spans="1:7" ht="58.5" customHeight="1" x14ac:dyDescent="0.25">
      <c r="A3566" s="5" t="str">
        <f>"H0027120"</f>
        <v>H0027120</v>
      </c>
      <c r="B3566" s="5" t="str">
        <f t="shared" si="167"/>
        <v>SOPORTE DE PARED (BRAZO) PARA MONITOR DE SIGNOS VITALES CON ALTURA VARIABLE Y ORGANIZADOR DE CABLES</v>
      </c>
      <c r="C3566" s="6">
        <v>702100</v>
      </c>
      <c r="D3566" s="5" t="s">
        <v>81</v>
      </c>
      <c r="E3566" s="5" t="str">
        <f t="shared" si="166"/>
        <v>QUIROFANO -MARIA DEL PILAR MEDINA</v>
      </c>
      <c r="F3566" s="5"/>
      <c r="G3566" s="5"/>
    </row>
    <row r="3567" spans="1:7" ht="58.5" customHeight="1" x14ac:dyDescent="0.25">
      <c r="A3567" s="5" t="str">
        <f>"H0027121"</f>
        <v>H0027121</v>
      </c>
      <c r="B3567" s="5" t="str">
        <f t="shared" si="167"/>
        <v>SOPORTE DE PARED (BRAZO) PARA MONITOR DE SIGNOS VITALES CON ALTURA VARIABLE Y ORGANIZADOR DE CABLES</v>
      </c>
      <c r="C3567" s="6">
        <v>702100</v>
      </c>
      <c r="D3567" s="5" t="s">
        <v>81</v>
      </c>
      <c r="E3567" s="5" t="str">
        <f t="shared" si="166"/>
        <v>QUIROFANO -MARIA DEL PILAR MEDINA</v>
      </c>
      <c r="F3567" s="5"/>
      <c r="G3567" s="5"/>
    </row>
    <row r="3568" spans="1:7" ht="58.5" customHeight="1" x14ac:dyDescent="0.25">
      <c r="A3568" s="5" t="str">
        <f>"H0027122"</f>
        <v>H0027122</v>
      </c>
      <c r="B3568" s="5" t="str">
        <f t="shared" si="167"/>
        <v>SOPORTE DE PARED (BRAZO) PARA MONITOR DE SIGNOS VITALES CON ALTURA VARIABLE Y ORGANIZADOR DE CABLES</v>
      </c>
      <c r="C3568" s="6">
        <v>702100</v>
      </c>
      <c r="D3568" s="5" t="s">
        <v>81</v>
      </c>
      <c r="E3568" s="5" t="str">
        <f t="shared" si="166"/>
        <v>QUIROFANO -MARIA DEL PILAR MEDINA</v>
      </c>
      <c r="F3568" s="5"/>
      <c r="G3568" s="5"/>
    </row>
    <row r="3569" spans="1:7" ht="58.5" customHeight="1" x14ac:dyDescent="0.25">
      <c r="A3569" s="5" t="str">
        <f>"H0027169"</f>
        <v>H0027169</v>
      </c>
      <c r="B356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69" s="6">
        <v>2641800</v>
      </c>
      <c r="D3569" s="5" t="s">
        <v>38</v>
      </c>
      <c r="E3569" s="5" t="str">
        <f t="shared" si="166"/>
        <v>QUIROFANO -MARIA DEL PILAR MEDINA</v>
      </c>
      <c r="F3569" s="5"/>
      <c r="G3569" s="5"/>
    </row>
    <row r="3570" spans="1:7" ht="58.5" customHeight="1" x14ac:dyDescent="0.25">
      <c r="A3570" s="5" t="str">
        <f>"H0027170"</f>
        <v>H0027170</v>
      </c>
      <c r="B357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70" s="6">
        <v>2641800</v>
      </c>
      <c r="D3570" s="5" t="s">
        <v>38</v>
      </c>
      <c r="E3570" s="5" t="str">
        <f t="shared" si="166"/>
        <v>QUIROFANO -MARIA DEL PILAR MEDINA</v>
      </c>
      <c r="F3570" s="5"/>
      <c r="G3570" s="5"/>
    </row>
    <row r="3571" spans="1:7" ht="58.5" customHeight="1" x14ac:dyDescent="0.25">
      <c r="A3571" s="5" t="str">
        <f>"H0027256"</f>
        <v>H0027256</v>
      </c>
      <c r="B357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71" s="6">
        <v>2641800</v>
      </c>
      <c r="D3571" s="5" t="s">
        <v>38</v>
      </c>
      <c r="E3571" s="5" t="str">
        <f t="shared" si="166"/>
        <v>QUIROFANO -MARIA DEL PILAR MEDINA</v>
      </c>
      <c r="F3571" s="5"/>
      <c r="G3571" s="5"/>
    </row>
    <row r="3572" spans="1:7" ht="58.5" customHeight="1" x14ac:dyDescent="0.25">
      <c r="A3572" s="5" t="str">
        <f>"H0027300"</f>
        <v>H0027300</v>
      </c>
      <c r="B3572" s="5" t="str">
        <f>"BASE PARA MONITOR DE SIGNOS VITALES"</f>
        <v>BASE PARA MONITOR DE SIGNOS VITALES</v>
      </c>
      <c r="C3572" s="6">
        <v>809200</v>
      </c>
      <c r="D3572" s="5" t="s">
        <v>269</v>
      </c>
      <c r="E3572" s="5" t="str">
        <f t="shared" si="166"/>
        <v>QUIROFANO -MARIA DEL PILAR MEDINA</v>
      </c>
      <c r="F3572" s="5"/>
      <c r="G3572" s="5"/>
    </row>
    <row r="3573" spans="1:7" ht="58.5" customHeight="1" x14ac:dyDescent="0.25">
      <c r="A3573" s="5" t="str">
        <f>"H0027301"</f>
        <v>H0027301</v>
      </c>
      <c r="B3573" s="5" t="str">
        <f>"BASE PARA MONITOR DE SIGNOS VITALES"</f>
        <v>BASE PARA MONITOR DE SIGNOS VITALES</v>
      </c>
      <c r="C3573" s="6">
        <v>809200</v>
      </c>
      <c r="D3573" s="5" t="s">
        <v>269</v>
      </c>
      <c r="E3573" s="5" t="str">
        <f t="shared" si="166"/>
        <v>QUIROFANO -MARIA DEL PILAR MEDINA</v>
      </c>
      <c r="F3573" s="5"/>
      <c r="G3573" s="5"/>
    </row>
    <row r="3574" spans="1:7" ht="58.5" customHeight="1" x14ac:dyDescent="0.25">
      <c r="A3574" s="5" t="str">
        <f>"H0027302"</f>
        <v>H0027302</v>
      </c>
      <c r="B3574" s="5" t="str">
        <f>"BASE PARA MONITOR DE SIGNOS VITALES"</f>
        <v>BASE PARA MONITOR DE SIGNOS VITALES</v>
      </c>
      <c r="C3574" s="6">
        <v>809200</v>
      </c>
      <c r="D3574" s="5" t="s">
        <v>269</v>
      </c>
      <c r="E3574" s="5" t="str">
        <f t="shared" si="166"/>
        <v>QUIROFANO -MARIA DEL PILAR MEDINA</v>
      </c>
      <c r="F3574" s="5"/>
      <c r="G3574" s="5"/>
    </row>
    <row r="3575" spans="1:7" ht="58.5" customHeight="1" x14ac:dyDescent="0.25">
      <c r="A3575" s="5" t="str">
        <f>"H0027337"</f>
        <v>H0027337</v>
      </c>
      <c r="B3575" s="5" t="str">
        <f>"MAQUINA PARA ANESTESIA"</f>
        <v>MAQUINA PARA ANESTESIA</v>
      </c>
      <c r="C3575" s="6">
        <v>56450000.329999998</v>
      </c>
      <c r="D3575" s="5" t="s">
        <v>151</v>
      </c>
      <c r="E3575" s="5" t="str">
        <f t="shared" si="166"/>
        <v>QUIROFANO -MARIA DEL PILAR MEDINA</v>
      </c>
      <c r="F3575" s="5"/>
      <c r="G3575" s="5" t="str">
        <f>"WATO EX-65"</f>
        <v>WATO EX-65</v>
      </c>
    </row>
    <row r="3576" spans="1:7" ht="58.5" customHeight="1" x14ac:dyDescent="0.25">
      <c r="A3576" s="5" t="str">
        <f>"H0027338"</f>
        <v>H0027338</v>
      </c>
      <c r="B3576" s="5" t="str">
        <f>"MAQUINA PARA ANESTESIA"</f>
        <v>MAQUINA PARA ANESTESIA</v>
      </c>
      <c r="C3576" s="6">
        <v>56450000.329999998</v>
      </c>
      <c r="D3576" s="5" t="s">
        <v>305</v>
      </c>
      <c r="E3576" s="5" t="str">
        <f t="shared" si="166"/>
        <v>QUIROFANO -MARIA DEL PILAR MEDINA</v>
      </c>
      <c r="F3576" s="5"/>
      <c r="G3576" s="5" t="str">
        <f>"WATO EX-65"</f>
        <v>WATO EX-65</v>
      </c>
    </row>
    <row r="3577" spans="1:7" ht="58.5" customHeight="1" x14ac:dyDescent="0.25">
      <c r="A3577" s="5" t="str">
        <f>"H0027339"</f>
        <v>H0027339</v>
      </c>
      <c r="B3577" s="5" t="str">
        <f>"MAQUINA PARA ANESTESIA"</f>
        <v>MAQUINA PARA ANESTESIA</v>
      </c>
      <c r="C3577" s="6">
        <v>56450000.329999998</v>
      </c>
      <c r="D3577" s="5" t="s">
        <v>151</v>
      </c>
      <c r="E3577" s="5" t="str">
        <f t="shared" si="166"/>
        <v>QUIROFANO -MARIA DEL PILAR MEDINA</v>
      </c>
      <c r="F3577" s="5"/>
      <c r="G3577" s="5" t="str">
        <f>"WATO EX-65"</f>
        <v>WATO EX-65</v>
      </c>
    </row>
    <row r="3578" spans="1:7" ht="58.5" customHeight="1" x14ac:dyDescent="0.25">
      <c r="A3578" s="5" t="str">
        <f>"H0027341"</f>
        <v>H0027341</v>
      </c>
      <c r="B3578" s="5" t="str">
        <f>"DESFRIBILADOR"</f>
        <v>DESFRIBILADOR</v>
      </c>
      <c r="C3578" s="6">
        <v>15300000.140000001</v>
      </c>
      <c r="D3578" s="5" t="s">
        <v>305</v>
      </c>
      <c r="E3578" s="5" t="str">
        <f t="shared" si="166"/>
        <v>QUIROFANO -MARIA DEL PILAR MEDINA</v>
      </c>
      <c r="F3578" s="5"/>
      <c r="G3578" s="5" t="str">
        <f>"BENEHEART  D3"</f>
        <v>BENEHEART  D3</v>
      </c>
    </row>
    <row r="3579" spans="1:7" ht="58.5" customHeight="1" x14ac:dyDescent="0.25">
      <c r="A3579" s="5" t="str">
        <f>"H0027344"</f>
        <v>H0027344</v>
      </c>
      <c r="B3579" s="5" t="str">
        <f>"DESFRIBILADOR"</f>
        <v>DESFRIBILADOR</v>
      </c>
      <c r="C3579" s="6">
        <v>15300000.140000001</v>
      </c>
      <c r="D3579" s="5" t="s">
        <v>151</v>
      </c>
      <c r="E3579" s="5" t="str">
        <f t="shared" si="166"/>
        <v>QUIROFANO -MARIA DEL PILAR MEDINA</v>
      </c>
      <c r="F3579" s="5"/>
      <c r="G3579" s="5" t="str">
        <f>"BENEHEART D3"</f>
        <v>BENEHEART D3</v>
      </c>
    </row>
    <row r="3580" spans="1:7" ht="58.5" customHeight="1" x14ac:dyDescent="0.25">
      <c r="A3580" s="5" t="str">
        <f>"H0027354"</f>
        <v>H0027354</v>
      </c>
      <c r="B358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80" s="6">
        <v>2641800</v>
      </c>
      <c r="D3580" s="5" t="s">
        <v>306</v>
      </c>
      <c r="E3580" s="5" t="str">
        <f t="shared" si="166"/>
        <v>QUIROFANO -MARIA DEL PILAR MEDINA</v>
      </c>
      <c r="F3580" s="5"/>
      <c r="G3580" s="5"/>
    </row>
    <row r="3581" spans="1:7" ht="58.5" customHeight="1" x14ac:dyDescent="0.25">
      <c r="A3581" s="5" t="str">
        <f>"H0027356"</f>
        <v>H0027356</v>
      </c>
      <c r="B358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581" s="6">
        <v>2641800</v>
      </c>
      <c r="D3581" s="5" t="s">
        <v>83</v>
      </c>
      <c r="E3581" s="5" t="str">
        <f t="shared" si="166"/>
        <v>QUIROFANO -MARIA DEL PILAR MEDINA</v>
      </c>
      <c r="F3581" s="5"/>
      <c r="G3581" s="5"/>
    </row>
    <row r="3582" spans="1:7" ht="58.5" customHeight="1" x14ac:dyDescent="0.25">
      <c r="A3582" s="5" t="str">
        <f>"H0027474"</f>
        <v>H0027474</v>
      </c>
      <c r="B3582" s="5" t="str">
        <f t="shared" ref="B3582:B3591" si="168">"LECTOR DE HUELLAS DIGITALES"</f>
        <v>LECTOR DE HUELLAS DIGITALES</v>
      </c>
      <c r="C3582" s="6">
        <v>234000.41</v>
      </c>
      <c r="D3582" s="5" t="s">
        <v>83</v>
      </c>
      <c r="E3582" s="5" t="str">
        <f t="shared" si="166"/>
        <v>QUIROFANO -MARIA DEL PILAR MEDINA</v>
      </c>
      <c r="F3582" s="5"/>
      <c r="G3582" s="5"/>
    </row>
    <row r="3583" spans="1:7" ht="58.5" customHeight="1" x14ac:dyDescent="0.25">
      <c r="A3583" s="5" t="str">
        <f>"H0027475"</f>
        <v>H0027475</v>
      </c>
      <c r="B3583" s="5" t="str">
        <f t="shared" si="168"/>
        <v>LECTOR DE HUELLAS DIGITALES</v>
      </c>
      <c r="C3583" s="6">
        <v>234000.41</v>
      </c>
      <c r="D3583" s="5" t="s">
        <v>83</v>
      </c>
      <c r="E3583" s="5" t="str">
        <f t="shared" si="166"/>
        <v>QUIROFANO -MARIA DEL PILAR MEDINA</v>
      </c>
      <c r="F3583" s="5"/>
      <c r="G3583" s="5"/>
    </row>
    <row r="3584" spans="1:7" ht="58.5" customHeight="1" x14ac:dyDescent="0.25">
      <c r="A3584" s="5" t="str">
        <f>"H0027487"</f>
        <v>H0027487</v>
      </c>
      <c r="B3584" s="5" t="str">
        <f t="shared" si="168"/>
        <v>LECTOR DE HUELLAS DIGITALES</v>
      </c>
      <c r="C3584" s="6">
        <v>234000.41</v>
      </c>
      <c r="D3584" s="5" t="s">
        <v>83</v>
      </c>
      <c r="E3584" s="5" t="str">
        <f t="shared" si="166"/>
        <v>QUIROFANO -MARIA DEL PILAR MEDINA</v>
      </c>
      <c r="F3584" s="5"/>
      <c r="G3584" s="5"/>
    </row>
    <row r="3585" spans="1:7" ht="58.5" customHeight="1" x14ac:dyDescent="0.25">
      <c r="A3585" s="5" t="str">
        <f>"H0027551"</f>
        <v>H0027551</v>
      </c>
      <c r="B3585" s="5" t="str">
        <f t="shared" si="168"/>
        <v>LECTOR DE HUELLAS DIGITALES</v>
      </c>
      <c r="C3585" s="6">
        <v>234000.41</v>
      </c>
      <c r="D3585" s="5" t="s">
        <v>83</v>
      </c>
      <c r="E3585" s="5" t="str">
        <f t="shared" si="166"/>
        <v>QUIROFANO -MARIA DEL PILAR MEDINA</v>
      </c>
      <c r="F3585" s="5"/>
      <c r="G3585" s="5"/>
    </row>
    <row r="3586" spans="1:7" ht="58.5" customHeight="1" x14ac:dyDescent="0.25">
      <c r="A3586" s="5" t="str">
        <f>"H0027552"</f>
        <v>H0027552</v>
      </c>
      <c r="B3586" s="5" t="str">
        <f t="shared" si="168"/>
        <v>LECTOR DE HUELLAS DIGITALES</v>
      </c>
      <c r="C3586" s="6">
        <v>234000.41</v>
      </c>
      <c r="D3586" s="5" t="s">
        <v>83</v>
      </c>
      <c r="E3586" s="5" t="str">
        <f t="shared" si="166"/>
        <v>QUIROFANO -MARIA DEL PILAR MEDINA</v>
      </c>
      <c r="F3586" s="5"/>
      <c r="G3586" s="5"/>
    </row>
    <row r="3587" spans="1:7" ht="58.5" customHeight="1" x14ac:dyDescent="0.25">
      <c r="A3587" s="5" t="str">
        <f>"H0027553"</f>
        <v>H0027553</v>
      </c>
      <c r="B3587" s="5" t="str">
        <f t="shared" si="168"/>
        <v>LECTOR DE HUELLAS DIGITALES</v>
      </c>
      <c r="C3587" s="6">
        <v>234000.41</v>
      </c>
      <c r="D3587" s="5" t="s">
        <v>83</v>
      </c>
      <c r="E3587" s="5" t="str">
        <f t="shared" si="166"/>
        <v>QUIROFANO -MARIA DEL PILAR MEDINA</v>
      </c>
      <c r="F3587" s="5"/>
      <c r="G3587" s="5"/>
    </row>
    <row r="3588" spans="1:7" ht="58.5" customHeight="1" x14ac:dyDescent="0.25">
      <c r="A3588" s="5" t="str">
        <f>"H0027554"</f>
        <v>H0027554</v>
      </c>
      <c r="B3588" s="5" t="str">
        <f t="shared" si="168"/>
        <v>LECTOR DE HUELLAS DIGITALES</v>
      </c>
      <c r="C3588" s="6">
        <v>234000.41</v>
      </c>
      <c r="D3588" s="5" t="s">
        <v>83</v>
      </c>
      <c r="E3588" s="5" t="str">
        <f t="shared" si="166"/>
        <v>QUIROFANO -MARIA DEL PILAR MEDINA</v>
      </c>
      <c r="F3588" s="5"/>
      <c r="G3588" s="5"/>
    </row>
    <row r="3589" spans="1:7" ht="58.5" customHeight="1" x14ac:dyDescent="0.25">
      <c r="A3589" s="5" t="str">
        <f>"H0027555"</f>
        <v>H0027555</v>
      </c>
      <c r="B3589" s="5" t="str">
        <f t="shared" si="168"/>
        <v>LECTOR DE HUELLAS DIGITALES</v>
      </c>
      <c r="C3589" s="6">
        <v>234000.41</v>
      </c>
      <c r="D3589" s="5" t="s">
        <v>83</v>
      </c>
      <c r="E3589" s="5" t="str">
        <f t="shared" si="166"/>
        <v>QUIROFANO -MARIA DEL PILAR MEDINA</v>
      </c>
      <c r="F3589" s="5"/>
      <c r="G3589" s="5"/>
    </row>
    <row r="3590" spans="1:7" ht="58.5" customHeight="1" x14ac:dyDescent="0.25">
      <c r="A3590" s="5" t="str">
        <f>"H0027571"</f>
        <v>H0027571</v>
      </c>
      <c r="B3590" s="5" t="str">
        <f t="shared" si="168"/>
        <v>LECTOR DE HUELLAS DIGITALES</v>
      </c>
      <c r="C3590" s="6">
        <v>234000.41</v>
      </c>
      <c r="D3590" s="5" t="s">
        <v>83</v>
      </c>
      <c r="E3590" s="5" t="str">
        <f t="shared" si="166"/>
        <v>QUIROFANO -MARIA DEL PILAR MEDINA</v>
      </c>
      <c r="F3590" s="5"/>
      <c r="G3590" s="5"/>
    </row>
    <row r="3591" spans="1:7" ht="58.5" customHeight="1" x14ac:dyDescent="0.25">
      <c r="A3591" s="5" t="str">
        <f>"H0027572"</f>
        <v>H0027572</v>
      </c>
      <c r="B3591" s="5" t="str">
        <f t="shared" si="168"/>
        <v>LECTOR DE HUELLAS DIGITALES</v>
      </c>
      <c r="C3591" s="6">
        <v>234000.41</v>
      </c>
      <c r="D3591" s="5" t="s">
        <v>83</v>
      </c>
      <c r="E3591" s="5" t="str">
        <f t="shared" si="166"/>
        <v>QUIROFANO -MARIA DEL PILAR MEDINA</v>
      </c>
      <c r="F3591" s="5"/>
      <c r="G3591" s="5"/>
    </row>
    <row r="3592" spans="1:7" ht="58.5" customHeight="1" x14ac:dyDescent="0.25">
      <c r="A3592" s="5" t="str">
        <f>"H0027597"</f>
        <v>H0027597</v>
      </c>
      <c r="B3592" s="5" t="str">
        <f>"LARINGOSCOPIO ADULTO"</f>
        <v>LARINGOSCOPIO ADULTO</v>
      </c>
      <c r="C3592" s="6">
        <v>913920</v>
      </c>
      <c r="D3592" s="5" t="s">
        <v>84</v>
      </c>
      <c r="E3592" s="5" t="str">
        <f t="shared" si="166"/>
        <v>QUIROFANO -MARIA DEL PILAR MEDINA</v>
      </c>
      <c r="F3592" s="5"/>
      <c r="G3592" s="5"/>
    </row>
    <row r="3593" spans="1:7" ht="58.5" customHeight="1" x14ac:dyDescent="0.25">
      <c r="A3593" s="5" t="str">
        <f>"H0027610"</f>
        <v>H0027610</v>
      </c>
      <c r="B3593" s="5" t="str">
        <f>"MONITOR DE SIGNOS VITALES CONPRESIÓN INVASIVA CON AGENTES ANESTESICOS"</f>
        <v>MONITOR DE SIGNOS VITALES CONPRESIÓN INVASIVA CON AGENTES ANESTESICOS</v>
      </c>
      <c r="C3593" s="6">
        <v>21890000</v>
      </c>
      <c r="D3593" s="5" t="s">
        <v>84</v>
      </c>
      <c r="E3593" s="5" t="str">
        <f t="shared" si="166"/>
        <v>QUIROFANO -MARIA DEL PILAR MEDINA</v>
      </c>
      <c r="F3593" s="5"/>
      <c r="G3593" s="5" t="str">
        <f>"iM12"</f>
        <v>iM12</v>
      </c>
    </row>
    <row r="3594" spans="1:7" ht="58.5" customHeight="1" x14ac:dyDescent="0.25">
      <c r="A3594" s="5" t="str">
        <f>"H0027613"</f>
        <v>H0027613</v>
      </c>
      <c r="B3594" s="5" t="str">
        <f>"ELECTROCARDIOGRAFO"</f>
        <v>ELECTROCARDIOGRAFO</v>
      </c>
      <c r="C3594" s="6">
        <v>3011295</v>
      </c>
      <c r="D3594" s="5" t="s">
        <v>84</v>
      </c>
      <c r="E3594" s="5" t="str">
        <f t="shared" si="166"/>
        <v>QUIROFANO -MARIA DEL PILAR MEDINA</v>
      </c>
      <c r="F3594" s="5"/>
      <c r="G3594" s="5" t="str">
        <f>"R-3"</f>
        <v>R-3</v>
      </c>
    </row>
    <row r="3595" spans="1:7" ht="58.5" customHeight="1" x14ac:dyDescent="0.25">
      <c r="A3595" s="5" t="str">
        <f>"H0027633"</f>
        <v>H0027633</v>
      </c>
      <c r="B3595" s="5" t="str">
        <f t="shared" ref="B3595:B3600" si="169">"EQUIPO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595" s="6">
        <v>2580000</v>
      </c>
      <c r="D3595" s="5" t="s">
        <v>85</v>
      </c>
      <c r="E3595" s="5" t="str">
        <f t="shared" si="166"/>
        <v>QUIROFANO -MARIA DEL PILAR MEDINA</v>
      </c>
      <c r="F3595" s="5"/>
      <c r="G3595" s="5"/>
    </row>
    <row r="3596" spans="1:7" ht="58.5" customHeight="1" x14ac:dyDescent="0.25">
      <c r="A3596" s="5" t="str">
        <f>"H0027634"</f>
        <v>H0027634</v>
      </c>
      <c r="B3596" s="5" t="str">
        <f t="shared" si="1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596" s="6">
        <v>2580000</v>
      </c>
      <c r="D3596" s="5" t="s">
        <v>85</v>
      </c>
      <c r="E3596" s="5" t="str">
        <f t="shared" si="166"/>
        <v>QUIROFANO -MARIA DEL PILAR MEDINA</v>
      </c>
      <c r="F3596" s="5"/>
      <c r="G3596" s="5"/>
    </row>
    <row r="3597" spans="1:7" ht="58.5" customHeight="1" x14ac:dyDescent="0.25">
      <c r="A3597" s="5" t="str">
        <f>"H0027635"</f>
        <v>H0027635</v>
      </c>
      <c r="B3597" s="5" t="str">
        <f t="shared" si="1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597" s="6">
        <v>2580000</v>
      </c>
      <c r="D3597" s="5" t="s">
        <v>85</v>
      </c>
      <c r="E3597" s="5" t="str">
        <f t="shared" si="166"/>
        <v>QUIROFANO -MARIA DEL PILAR MEDINA</v>
      </c>
      <c r="F3597" s="5"/>
      <c r="G3597" s="5"/>
    </row>
    <row r="3598" spans="1:7" ht="58.5" customHeight="1" x14ac:dyDescent="0.25">
      <c r="A3598" s="5" t="str">
        <f>"H0027636"</f>
        <v>H0027636</v>
      </c>
      <c r="B3598" s="5" t="str">
        <f t="shared" si="1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598" s="6">
        <v>2580000</v>
      </c>
      <c r="D3598" s="5" t="s">
        <v>85</v>
      </c>
      <c r="E3598" s="5" t="str">
        <f t="shared" si="166"/>
        <v>QUIROFANO -MARIA DEL PILAR MEDINA</v>
      </c>
      <c r="F3598" s="5"/>
      <c r="G3598" s="5"/>
    </row>
    <row r="3599" spans="1:7" ht="58.5" customHeight="1" x14ac:dyDescent="0.25">
      <c r="A3599" s="5" t="str">
        <f>"H0027637"</f>
        <v>H0027637</v>
      </c>
      <c r="B3599" s="5" t="str">
        <f t="shared" si="1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599" s="6">
        <v>2580000</v>
      </c>
      <c r="D3599" s="5" t="s">
        <v>85</v>
      </c>
      <c r="E3599" s="5" t="str">
        <f t="shared" si="166"/>
        <v>QUIROFANO -MARIA DEL PILAR MEDINA</v>
      </c>
      <c r="F3599" s="5"/>
      <c r="G3599" s="5"/>
    </row>
    <row r="3600" spans="1:7" ht="58.5" customHeight="1" x14ac:dyDescent="0.25">
      <c r="A3600" s="5" t="str">
        <f>"H0027638"</f>
        <v>H0027638</v>
      </c>
      <c r="B3600" s="5" t="str">
        <f t="shared" si="1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600" s="6">
        <v>2580000</v>
      </c>
      <c r="D3600" s="5" t="s">
        <v>85</v>
      </c>
      <c r="E3600" s="5" t="str">
        <f t="shared" si="166"/>
        <v>QUIROFANO -MARIA DEL PILAR MEDINA</v>
      </c>
      <c r="F3600" s="5"/>
      <c r="G3600" s="5"/>
    </row>
    <row r="3601" spans="1:7" ht="58.5" customHeight="1" x14ac:dyDescent="0.25">
      <c r="A3601" s="5" t="str">
        <f>"H0028311"</f>
        <v>H0028311</v>
      </c>
      <c r="B3601" s="5" t="str">
        <f t="shared" ref="B3601:B3625" si="170">"DELANTAL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3601" s="6">
        <v>904995</v>
      </c>
      <c r="D3601" s="5" t="s">
        <v>307</v>
      </c>
      <c r="E3601" s="5" t="str">
        <f t="shared" si="166"/>
        <v>QUIROFANO -MARIA DEL PILAR MEDINA</v>
      </c>
      <c r="F3601" s="5"/>
      <c r="G3601" s="5"/>
    </row>
    <row r="3602" spans="1:7" ht="58.5" customHeight="1" x14ac:dyDescent="0.25">
      <c r="A3602" s="5" t="str">
        <f>"H0028312"</f>
        <v>H0028312</v>
      </c>
      <c r="B3602" s="5" t="str">
        <f t="shared" si="170"/>
        <v>DELANTAL ESTANDAR TALLA S – M (Utilice un diseño de alta calidad para facilitar la flexibilidad y la comodidad, así como una protección completa de equivalencia de 0,5 mm. Su diseño único reduce el peso y la fatiga)</v>
      </c>
      <c r="C3602" s="6">
        <v>904995</v>
      </c>
      <c r="D3602" s="5" t="s">
        <v>307</v>
      </c>
      <c r="E3602" s="5" t="str">
        <f t="shared" si="166"/>
        <v>QUIROFANO -MARIA DEL PILAR MEDINA</v>
      </c>
      <c r="F3602" s="5"/>
      <c r="G3602" s="5"/>
    </row>
    <row r="3603" spans="1:7" ht="58.5" customHeight="1" x14ac:dyDescent="0.25">
      <c r="A3603" s="5" t="str">
        <f>"H0028313"</f>
        <v>H0028313</v>
      </c>
      <c r="B3603" s="5" t="str">
        <f t="shared" si="170"/>
        <v>DELANTAL ESTANDAR TALLA S – M (Utilice un diseño de alta calidad para facilitar la flexibilidad y la comodidad, así como una protección completa de equivalencia de 0,5 mm. Su diseño único reduce el peso y la fatiga)</v>
      </c>
      <c r="C3603" s="6">
        <v>904995</v>
      </c>
      <c r="D3603" s="5" t="s">
        <v>307</v>
      </c>
      <c r="E3603" s="5" t="str">
        <f t="shared" si="166"/>
        <v>QUIROFANO -MARIA DEL PILAR MEDINA</v>
      </c>
      <c r="F3603" s="5"/>
      <c r="G3603" s="5"/>
    </row>
    <row r="3604" spans="1:7" ht="58.5" customHeight="1" x14ac:dyDescent="0.25">
      <c r="A3604" s="5" t="str">
        <f>"H0028314"</f>
        <v>H0028314</v>
      </c>
      <c r="B3604" s="5" t="str">
        <f t="shared" si="170"/>
        <v>DELANTAL ESTANDAR TALLA S – M (Utilice un diseño de alta calidad para facilitar la flexibilidad y la comodidad, así como una protección completa de equivalencia de 0,5 mm. Su diseño único reduce el peso y la fatiga)</v>
      </c>
      <c r="C3604" s="6">
        <v>904995</v>
      </c>
      <c r="D3604" s="5" t="s">
        <v>307</v>
      </c>
      <c r="E3604" s="5" t="str">
        <f t="shared" si="166"/>
        <v>QUIROFANO -MARIA DEL PILAR MEDINA</v>
      </c>
      <c r="F3604" s="5"/>
      <c r="G3604" s="5"/>
    </row>
    <row r="3605" spans="1:7" ht="58.5" customHeight="1" x14ac:dyDescent="0.25">
      <c r="A3605" s="5" t="str">
        <f>"H0028315"</f>
        <v>H0028315</v>
      </c>
      <c r="B3605" s="5" t="str">
        <f t="shared" si="170"/>
        <v>DELANTAL ESTANDAR TALLA S – M (Utilice un diseño de alta calidad para facilitar la flexibilidad y la comodidad, así como una protección completa de equivalencia de 0,5 mm. Su diseño único reduce el peso y la fatiga)</v>
      </c>
      <c r="C3605" s="6">
        <v>904995</v>
      </c>
      <c r="D3605" s="5" t="s">
        <v>307</v>
      </c>
      <c r="E3605" s="5" t="str">
        <f t="shared" si="166"/>
        <v>QUIROFANO -MARIA DEL PILAR MEDINA</v>
      </c>
      <c r="F3605" s="5"/>
      <c r="G3605" s="5"/>
    </row>
    <row r="3606" spans="1:7" ht="58.5" customHeight="1" x14ac:dyDescent="0.25">
      <c r="A3606" s="5" t="str">
        <f>"H0028316"</f>
        <v>H0028316</v>
      </c>
      <c r="B3606" s="5" t="str">
        <f t="shared" si="170"/>
        <v>DELANTAL ESTANDAR TALLA S – M (Utilice un diseño de alta calidad para facilitar la flexibilidad y la comodidad, así como una protección completa de equivalencia de 0,5 mm. Su diseño único reduce el peso y la fatiga)</v>
      </c>
      <c r="C3606" s="6">
        <v>904995</v>
      </c>
      <c r="D3606" s="5" t="s">
        <v>307</v>
      </c>
      <c r="E3606" s="5" t="str">
        <f t="shared" si="166"/>
        <v>QUIROFANO -MARIA DEL PILAR MEDINA</v>
      </c>
      <c r="F3606" s="5"/>
      <c r="G3606" s="5"/>
    </row>
    <row r="3607" spans="1:7" ht="58.5" customHeight="1" x14ac:dyDescent="0.25">
      <c r="A3607" s="5" t="str">
        <f>"H0028317"</f>
        <v>H0028317</v>
      </c>
      <c r="B3607" s="5" t="str">
        <f t="shared" si="170"/>
        <v>DELANTAL ESTANDAR TALLA S – M (Utilice un diseño de alta calidad para facilitar la flexibilidad y la comodidad, así como una protección completa de equivalencia de 0,5 mm. Su diseño único reduce el peso y la fatiga)</v>
      </c>
      <c r="C3607" s="6">
        <v>904995</v>
      </c>
      <c r="D3607" s="5" t="s">
        <v>307</v>
      </c>
      <c r="E3607" s="5" t="str">
        <f t="shared" si="166"/>
        <v>QUIROFANO -MARIA DEL PILAR MEDINA</v>
      </c>
      <c r="F3607" s="5"/>
      <c r="G3607" s="5"/>
    </row>
    <row r="3608" spans="1:7" ht="58.5" customHeight="1" x14ac:dyDescent="0.25">
      <c r="A3608" s="5" t="str">
        <f>"H0028318"</f>
        <v>H0028318</v>
      </c>
      <c r="B3608" s="5" t="str">
        <f t="shared" si="170"/>
        <v>DELANTAL ESTANDAR TALLA S – M (Utilice un diseño de alta calidad para facilitar la flexibilidad y la comodidad, así como una protección completa de equivalencia de 0,5 mm. Su diseño único reduce el peso y la fatiga)</v>
      </c>
      <c r="C3608" s="6">
        <v>904995</v>
      </c>
      <c r="D3608" s="5" t="s">
        <v>307</v>
      </c>
      <c r="E3608" s="5" t="str">
        <f t="shared" si="166"/>
        <v>QUIROFANO -MARIA DEL PILAR MEDINA</v>
      </c>
      <c r="F3608" s="5"/>
      <c r="G3608" s="5"/>
    </row>
    <row r="3609" spans="1:7" ht="58.5" customHeight="1" x14ac:dyDescent="0.25">
      <c r="A3609" s="5" t="str">
        <f>"H0028319"</f>
        <v>H0028319</v>
      </c>
      <c r="B3609" s="5" t="str">
        <f t="shared" si="170"/>
        <v>DELANTAL ESTANDAR TALLA S – M (Utilice un diseño de alta calidad para facilitar la flexibilidad y la comodidad, así como una protección completa de equivalencia de 0,5 mm. Su diseño único reduce el peso y la fatiga)</v>
      </c>
      <c r="C3609" s="6">
        <v>904995</v>
      </c>
      <c r="D3609" s="5" t="s">
        <v>307</v>
      </c>
      <c r="E3609" s="5" t="str">
        <f t="shared" si="166"/>
        <v>QUIROFANO -MARIA DEL PILAR MEDINA</v>
      </c>
      <c r="F3609" s="5"/>
      <c r="G3609" s="5"/>
    </row>
    <row r="3610" spans="1:7" ht="58.5" customHeight="1" x14ac:dyDescent="0.25">
      <c r="A3610" s="5" t="str">
        <f>"H0028320"</f>
        <v>H0028320</v>
      </c>
      <c r="B3610" s="5" t="str">
        <f t="shared" si="170"/>
        <v>DELANTAL ESTANDAR TALLA S – M (Utilice un diseño de alta calidad para facilitar la flexibilidad y la comodidad, así como una protección completa de equivalencia de 0,5 mm. Su diseño único reduce el peso y la fatiga)</v>
      </c>
      <c r="C3610" s="6">
        <v>904995</v>
      </c>
      <c r="D3610" s="5" t="s">
        <v>307</v>
      </c>
      <c r="E3610" s="5" t="str">
        <f t="shared" si="166"/>
        <v>QUIROFANO -MARIA DEL PILAR MEDINA</v>
      </c>
      <c r="F3610" s="5"/>
      <c r="G3610" s="5"/>
    </row>
    <row r="3611" spans="1:7" ht="58.5" customHeight="1" x14ac:dyDescent="0.25">
      <c r="A3611" s="5" t="str">
        <f>"H0028321"</f>
        <v>H0028321</v>
      </c>
      <c r="B3611" s="5" t="str">
        <f t="shared" si="170"/>
        <v>DELANTAL ESTANDAR TALLA S – M (Utilice un diseño de alta calidad para facilitar la flexibilidad y la comodidad, así como una protección completa de equivalencia de 0,5 mm. Su diseño único reduce el peso y la fatiga)</v>
      </c>
      <c r="C3611" s="6">
        <v>904995</v>
      </c>
      <c r="D3611" s="5" t="s">
        <v>307</v>
      </c>
      <c r="E3611" s="5" t="str">
        <f t="shared" si="166"/>
        <v>QUIROFANO -MARIA DEL PILAR MEDINA</v>
      </c>
      <c r="F3611" s="5"/>
      <c r="G3611" s="5"/>
    </row>
    <row r="3612" spans="1:7" ht="58.5" customHeight="1" x14ac:dyDescent="0.25">
      <c r="A3612" s="5" t="str">
        <f>"H0028322"</f>
        <v>H0028322</v>
      </c>
      <c r="B3612" s="5" t="str">
        <f t="shared" si="170"/>
        <v>DELANTAL ESTANDAR TALLA S – M (Utilice un diseño de alta calidad para facilitar la flexibilidad y la comodidad, así como una protección completa de equivalencia de 0,5 mm. Su diseño único reduce el peso y la fatiga)</v>
      </c>
      <c r="C3612" s="6">
        <v>904995</v>
      </c>
      <c r="D3612" s="5" t="s">
        <v>307</v>
      </c>
      <c r="E3612" s="5" t="str">
        <f t="shared" si="166"/>
        <v>QUIROFANO -MARIA DEL PILAR MEDINA</v>
      </c>
      <c r="F3612" s="5"/>
      <c r="G3612" s="5"/>
    </row>
    <row r="3613" spans="1:7" ht="58.5" customHeight="1" x14ac:dyDescent="0.25">
      <c r="A3613" s="5" t="str">
        <f>"H0028323"</f>
        <v>H0028323</v>
      </c>
      <c r="B3613" s="5" t="str">
        <f t="shared" si="170"/>
        <v>DELANTAL ESTANDAR TALLA S – M (Utilice un diseño de alta calidad para facilitar la flexibilidad y la comodidad, así como una protección completa de equivalencia de 0,5 mm. Su diseño único reduce el peso y la fatiga)</v>
      </c>
      <c r="C3613" s="6">
        <v>904995</v>
      </c>
      <c r="D3613" s="5" t="s">
        <v>307</v>
      </c>
      <c r="E3613" s="5" t="str">
        <f t="shared" si="166"/>
        <v>QUIROFANO -MARIA DEL PILAR MEDINA</v>
      </c>
      <c r="F3613" s="5"/>
      <c r="G3613" s="5"/>
    </row>
    <row r="3614" spans="1:7" ht="58.5" customHeight="1" x14ac:dyDescent="0.25">
      <c r="A3614" s="5" t="str">
        <f>"H0028324"</f>
        <v>H0028324</v>
      </c>
      <c r="B3614" s="5" t="str">
        <f t="shared" si="170"/>
        <v>DELANTAL ESTANDAR TALLA S – M (Utilice un diseño de alta calidad para facilitar la flexibilidad y la comodidad, así como una protección completa de equivalencia de 0,5 mm. Su diseño único reduce el peso y la fatiga)</v>
      </c>
      <c r="C3614" s="6">
        <v>904995</v>
      </c>
      <c r="D3614" s="5" t="s">
        <v>307</v>
      </c>
      <c r="E3614" s="5" t="str">
        <f t="shared" si="166"/>
        <v>QUIROFANO -MARIA DEL PILAR MEDINA</v>
      </c>
      <c r="F3614" s="5"/>
      <c r="G3614" s="5"/>
    </row>
    <row r="3615" spans="1:7" ht="58.5" customHeight="1" x14ac:dyDescent="0.25">
      <c r="A3615" s="5" t="str">
        <f>"H0028325"</f>
        <v>H0028325</v>
      </c>
      <c r="B3615" s="5" t="str">
        <f t="shared" si="170"/>
        <v>DELANTAL ESTANDAR TALLA S – M (Utilice un diseño de alta calidad para facilitar la flexibilidad y la comodidad, así como una protección completa de equivalencia de 0,5 mm. Su diseño único reduce el peso y la fatiga)</v>
      </c>
      <c r="C3615" s="6">
        <v>904995</v>
      </c>
      <c r="D3615" s="5" t="s">
        <v>307</v>
      </c>
      <c r="E3615" s="5" t="str">
        <f t="shared" si="166"/>
        <v>QUIROFANO -MARIA DEL PILAR MEDINA</v>
      </c>
      <c r="F3615" s="5"/>
      <c r="G3615" s="5"/>
    </row>
    <row r="3616" spans="1:7" ht="58.5" customHeight="1" x14ac:dyDescent="0.25">
      <c r="A3616" s="5" t="str">
        <f>"H0028326"</f>
        <v>H0028326</v>
      </c>
      <c r="B3616" s="5" t="str">
        <f t="shared" si="170"/>
        <v>DELANTAL ESTANDAR TALLA S – M (Utilice un diseño de alta calidad para facilitar la flexibilidad y la comodidad, así como una protección completa de equivalencia de 0,5 mm. Su diseño único reduce el peso y la fatiga)</v>
      </c>
      <c r="C3616" s="6">
        <v>904995</v>
      </c>
      <c r="D3616" s="5" t="s">
        <v>307</v>
      </c>
      <c r="E3616" s="5" t="str">
        <f t="shared" ref="E3616:E3679" si="171">"QUIROFANO -MARIA DEL PILAR MEDINA"</f>
        <v>QUIROFANO -MARIA DEL PILAR MEDINA</v>
      </c>
      <c r="F3616" s="5"/>
      <c r="G3616" s="5"/>
    </row>
    <row r="3617" spans="1:7" ht="58.5" customHeight="1" x14ac:dyDescent="0.25">
      <c r="A3617" s="5" t="str">
        <f>"H0028327"</f>
        <v>H0028327</v>
      </c>
      <c r="B3617" s="5" t="str">
        <f t="shared" si="170"/>
        <v>DELANTAL ESTANDAR TALLA S – M (Utilice un diseño de alta calidad para facilitar la flexibilidad y la comodidad, así como una protección completa de equivalencia de 0,5 mm. Su diseño único reduce el peso y la fatiga)</v>
      </c>
      <c r="C3617" s="6">
        <v>904995</v>
      </c>
      <c r="D3617" s="5" t="s">
        <v>307</v>
      </c>
      <c r="E3617" s="5" t="str">
        <f t="shared" si="171"/>
        <v>QUIROFANO -MARIA DEL PILAR MEDINA</v>
      </c>
      <c r="F3617" s="5"/>
      <c r="G3617" s="5"/>
    </row>
    <row r="3618" spans="1:7" ht="58.5" customHeight="1" x14ac:dyDescent="0.25">
      <c r="A3618" s="5" t="str">
        <f>"H0028328"</f>
        <v>H0028328</v>
      </c>
      <c r="B3618" s="5" t="str">
        <f t="shared" si="170"/>
        <v>DELANTAL ESTANDAR TALLA S – M (Utilice un diseño de alta calidad para facilitar la flexibilidad y la comodidad, así como una protección completa de equivalencia de 0,5 mm. Su diseño único reduce el peso y la fatiga)</v>
      </c>
      <c r="C3618" s="6">
        <v>904995</v>
      </c>
      <c r="D3618" s="5" t="s">
        <v>307</v>
      </c>
      <c r="E3618" s="5" t="str">
        <f t="shared" si="171"/>
        <v>QUIROFANO -MARIA DEL PILAR MEDINA</v>
      </c>
      <c r="F3618" s="5"/>
      <c r="G3618" s="5"/>
    </row>
    <row r="3619" spans="1:7" ht="58.5" customHeight="1" x14ac:dyDescent="0.25">
      <c r="A3619" s="5" t="str">
        <f>"H0028329"</f>
        <v>H0028329</v>
      </c>
      <c r="B3619" s="5" t="str">
        <f t="shared" si="170"/>
        <v>DELANTAL ESTANDAR TALLA S – M (Utilice un diseño de alta calidad para facilitar la flexibilidad y la comodidad, así como una protección completa de equivalencia de 0,5 mm. Su diseño único reduce el peso y la fatiga)</v>
      </c>
      <c r="C3619" s="6">
        <v>904995</v>
      </c>
      <c r="D3619" s="5" t="s">
        <v>307</v>
      </c>
      <c r="E3619" s="5" t="str">
        <f t="shared" si="171"/>
        <v>QUIROFANO -MARIA DEL PILAR MEDINA</v>
      </c>
      <c r="F3619" s="5"/>
      <c r="G3619" s="5"/>
    </row>
    <row r="3620" spans="1:7" ht="58.5" customHeight="1" x14ac:dyDescent="0.25">
      <c r="A3620" s="5" t="str">
        <f>"H0028330"</f>
        <v>H0028330</v>
      </c>
      <c r="B3620" s="5" t="str">
        <f t="shared" si="170"/>
        <v>DELANTAL ESTANDAR TALLA S – M (Utilice un diseño de alta calidad para facilitar la flexibilidad y la comodidad, así como una protección completa de equivalencia de 0,5 mm. Su diseño único reduce el peso y la fatiga)</v>
      </c>
      <c r="C3620" s="6">
        <v>904995</v>
      </c>
      <c r="D3620" s="5" t="s">
        <v>307</v>
      </c>
      <c r="E3620" s="5" t="str">
        <f t="shared" si="171"/>
        <v>QUIROFANO -MARIA DEL PILAR MEDINA</v>
      </c>
      <c r="F3620" s="5"/>
      <c r="G3620" s="5"/>
    </row>
    <row r="3621" spans="1:7" ht="58.5" customHeight="1" x14ac:dyDescent="0.25">
      <c r="A3621" s="5" t="str">
        <f>"H0028331"</f>
        <v>H0028331</v>
      </c>
      <c r="B3621" s="5" t="str">
        <f t="shared" si="170"/>
        <v>DELANTAL ESTANDAR TALLA S – M (Utilice un diseño de alta calidad para facilitar la flexibilidad y la comodidad, así como una protección completa de equivalencia de 0,5 mm. Su diseño único reduce el peso y la fatiga)</v>
      </c>
      <c r="C3621" s="6">
        <v>904995</v>
      </c>
      <c r="D3621" s="5" t="s">
        <v>307</v>
      </c>
      <c r="E3621" s="5" t="str">
        <f t="shared" si="171"/>
        <v>QUIROFANO -MARIA DEL PILAR MEDINA</v>
      </c>
      <c r="F3621" s="5"/>
      <c r="G3621" s="5"/>
    </row>
    <row r="3622" spans="1:7" ht="58.5" customHeight="1" x14ac:dyDescent="0.25">
      <c r="A3622" s="5" t="str">
        <f>"H0028332"</f>
        <v>H0028332</v>
      </c>
      <c r="B3622" s="5" t="str">
        <f t="shared" si="170"/>
        <v>DELANTAL ESTANDAR TALLA S – M (Utilice un diseño de alta calidad para facilitar la flexibilidad y la comodidad, así como una protección completa de equivalencia de 0,5 mm. Su diseño único reduce el peso y la fatiga)</v>
      </c>
      <c r="C3622" s="6">
        <v>904995</v>
      </c>
      <c r="D3622" s="5" t="s">
        <v>307</v>
      </c>
      <c r="E3622" s="5" t="str">
        <f t="shared" si="171"/>
        <v>QUIROFANO -MARIA DEL PILAR MEDINA</v>
      </c>
      <c r="F3622" s="5"/>
      <c r="G3622" s="5"/>
    </row>
    <row r="3623" spans="1:7" ht="58.5" customHeight="1" x14ac:dyDescent="0.25">
      <c r="A3623" s="5" t="str">
        <f>"H0028333"</f>
        <v>H0028333</v>
      </c>
      <c r="B3623" s="5" t="str">
        <f t="shared" si="170"/>
        <v>DELANTAL ESTANDAR TALLA S – M (Utilice un diseño de alta calidad para facilitar la flexibilidad y la comodidad, así como una protección completa de equivalencia de 0,5 mm. Su diseño único reduce el peso y la fatiga)</v>
      </c>
      <c r="C3623" s="6">
        <v>904995</v>
      </c>
      <c r="D3623" s="5" t="s">
        <v>307</v>
      </c>
      <c r="E3623" s="5" t="str">
        <f t="shared" si="171"/>
        <v>QUIROFANO -MARIA DEL PILAR MEDINA</v>
      </c>
      <c r="F3623" s="5"/>
      <c r="G3623" s="5"/>
    </row>
    <row r="3624" spans="1:7" ht="58.5" customHeight="1" x14ac:dyDescent="0.25">
      <c r="A3624" s="5" t="str">
        <f>"H0028334"</f>
        <v>H0028334</v>
      </c>
      <c r="B3624" s="5" t="str">
        <f t="shared" si="170"/>
        <v>DELANTAL ESTANDAR TALLA S – M (Utilice un diseño de alta calidad para facilitar la flexibilidad y la comodidad, así como una protección completa de equivalencia de 0,5 mm. Su diseño único reduce el peso y la fatiga)</v>
      </c>
      <c r="C3624" s="6">
        <v>904995</v>
      </c>
      <c r="D3624" s="5" t="s">
        <v>307</v>
      </c>
      <c r="E3624" s="5" t="str">
        <f t="shared" si="171"/>
        <v>QUIROFANO -MARIA DEL PILAR MEDINA</v>
      </c>
      <c r="F3624" s="5"/>
      <c r="G3624" s="5"/>
    </row>
    <row r="3625" spans="1:7" ht="58.5" customHeight="1" x14ac:dyDescent="0.25">
      <c r="A3625" s="5" t="str">
        <f>"H0028335"</f>
        <v>H0028335</v>
      </c>
      <c r="B3625" s="5" t="str">
        <f t="shared" si="170"/>
        <v>DELANTAL ESTANDAR TALLA S – M (Utilice un diseño de alta calidad para facilitar la flexibilidad y la comodidad, así como una protección completa de equivalencia de 0,5 mm. Su diseño único reduce el peso y la fatiga)</v>
      </c>
      <c r="C3625" s="6">
        <v>904995</v>
      </c>
      <c r="D3625" s="5" t="s">
        <v>307</v>
      </c>
      <c r="E3625" s="5" t="str">
        <f t="shared" si="171"/>
        <v>QUIROFANO -MARIA DEL PILAR MEDINA</v>
      </c>
      <c r="F3625" s="5"/>
      <c r="G3625" s="5"/>
    </row>
    <row r="3626" spans="1:7" ht="58.5" customHeight="1" x14ac:dyDescent="0.25">
      <c r="A3626" s="5" t="str">
        <f>"H0028341"</f>
        <v>H0028341</v>
      </c>
      <c r="B3626" s="5" t="str">
        <f t="shared" ref="B3626:B3650" si="172">"COLLAR DE TIROIDES TALLA S (#TC520, equivalencia de plomo de 0,5mm, cómodo cierre de velcro)"</f>
        <v>COLLAR DE TIROIDES TALLA S (#TC520, equivalencia de plomo de 0,5mm, cómodo cierre de velcro)</v>
      </c>
      <c r="C3626" s="6">
        <v>249275.27</v>
      </c>
      <c r="D3626" s="5" t="s">
        <v>307</v>
      </c>
      <c r="E3626" s="5" t="str">
        <f t="shared" si="171"/>
        <v>QUIROFANO -MARIA DEL PILAR MEDINA</v>
      </c>
      <c r="F3626" s="5"/>
      <c r="G3626" s="5"/>
    </row>
    <row r="3627" spans="1:7" ht="58.5" customHeight="1" x14ac:dyDescent="0.25">
      <c r="A3627" s="5" t="str">
        <f>"H0028342"</f>
        <v>H0028342</v>
      </c>
      <c r="B3627" s="5" t="str">
        <f t="shared" si="172"/>
        <v>COLLAR DE TIROIDES TALLA S (#TC520, equivalencia de plomo de 0,5mm, cómodo cierre de velcro)</v>
      </c>
      <c r="C3627" s="6">
        <v>249275.27</v>
      </c>
      <c r="D3627" s="5" t="s">
        <v>307</v>
      </c>
      <c r="E3627" s="5" t="str">
        <f t="shared" si="171"/>
        <v>QUIROFANO -MARIA DEL PILAR MEDINA</v>
      </c>
      <c r="F3627" s="5"/>
      <c r="G3627" s="5"/>
    </row>
    <row r="3628" spans="1:7" ht="58.5" customHeight="1" x14ac:dyDescent="0.25">
      <c r="A3628" s="5" t="str">
        <f>"H0028343"</f>
        <v>H0028343</v>
      </c>
      <c r="B3628" s="5" t="str">
        <f t="shared" si="172"/>
        <v>COLLAR DE TIROIDES TALLA S (#TC520, equivalencia de plomo de 0,5mm, cómodo cierre de velcro)</v>
      </c>
      <c r="C3628" s="6">
        <v>249275.27</v>
      </c>
      <c r="D3628" s="5" t="s">
        <v>307</v>
      </c>
      <c r="E3628" s="5" t="str">
        <f t="shared" si="171"/>
        <v>QUIROFANO -MARIA DEL PILAR MEDINA</v>
      </c>
      <c r="F3628" s="5"/>
      <c r="G3628" s="5"/>
    </row>
    <row r="3629" spans="1:7" ht="58.5" customHeight="1" x14ac:dyDescent="0.25">
      <c r="A3629" s="5" t="str">
        <f>"H0028344"</f>
        <v>H0028344</v>
      </c>
      <c r="B3629" s="5" t="str">
        <f t="shared" si="172"/>
        <v>COLLAR DE TIROIDES TALLA S (#TC520, equivalencia de plomo de 0,5mm, cómodo cierre de velcro)</v>
      </c>
      <c r="C3629" s="6">
        <v>249275.27</v>
      </c>
      <c r="D3629" s="5" t="s">
        <v>307</v>
      </c>
      <c r="E3629" s="5" t="str">
        <f t="shared" si="171"/>
        <v>QUIROFANO -MARIA DEL PILAR MEDINA</v>
      </c>
      <c r="F3629" s="5"/>
      <c r="G3629" s="5"/>
    </row>
    <row r="3630" spans="1:7" ht="58.5" customHeight="1" x14ac:dyDescent="0.25">
      <c r="A3630" s="5" t="str">
        <f>"H0028345"</f>
        <v>H0028345</v>
      </c>
      <c r="B3630" s="5" t="str">
        <f t="shared" si="172"/>
        <v>COLLAR DE TIROIDES TALLA S (#TC520, equivalencia de plomo de 0,5mm, cómodo cierre de velcro)</v>
      </c>
      <c r="C3630" s="6">
        <v>249275.27</v>
      </c>
      <c r="D3630" s="5" t="s">
        <v>307</v>
      </c>
      <c r="E3630" s="5" t="str">
        <f t="shared" si="171"/>
        <v>QUIROFANO -MARIA DEL PILAR MEDINA</v>
      </c>
      <c r="F3630" s="5"/>
      <c r="G3630" s="5"/>
    </row>
    <row r="3631" spans="1:7" ht="58.5" customHeight="1" x14ac:dyDescent="0.25">
      <c r="A3631" s="5" t="str">
        <f>"H0028346"</f>
        <v>H0028346</v>
      </c>
      <c r="B3631" s="5" t="str">
        <f t="shared" si="172"/>
        <v>COLLAR DE TIROIDES TALLA S (#TC520, equivalencia de plomo de 0,5mm, cómodo cierre de velcro)</v>
      </c>
      <c r="C3631" s="6">
        <v>249275.27</v>
      </c>
      <c r="D3631" s="5" t="s">
        <v>307</v>
      </c>
      <c r="E3631" s="5" t="str">
        <f t="shared" si="171"/>
        <v>QUIROFANO -MARIA DEL PILAR MEDINA</v>
      </c>
      <c r="F3631" s="5"/>
      <c r="G3631" s="5"/>
    </row>
    <row r="3632" spans="1:7" ht="58.5" customHeight="1" x14ac:dyDescent="0.25">
      <c r="A3632" s="5" t="str">
        <f>"H0028347"</f>
        <v>H0028347</v>
      </c>
      <c r="B3632" s="5" t="str">
        <f t="shared" si="172"/>
        <v>COLLAR DE TIROIDES TALLA S (#TC520, equivalencia de plomo de 0,5mm, cómodo cierre de velcro)</v>
      </c>
      <c r="C3632" s="6">
        <v>249275.27</v>
      </c>
      <c r="D3632" s="5" t="s">
        <v>307</v>
      </c>
      <c r="E3632" s="5" t="str">
        <f t="shared" si="171"/>
        <v>QUIROFANO -MARIA DEL PILAR MEDINA</v>
      </c>
      <c r="F3632" s="5"/>
      <c r="G3632" s="5"/>
    </row>
    <row r="3633" spans="1:7" ht="58.5" customHeight="1" x14ac:dyDescent="0.25">
      <c r="A3633" s="5" t="str">
        <f>"H0028348"</f>
        <v>H0028348</v>
      </c>
      <c r="B3633" s="5" t="str">
        <f t="shared" si="172"/>
        <v>COLLAR DE TIROIDES TALLA S (#TC520, equivalencia de plomo de 0,5mm, cómodo cierre de velcro)</v>
      </c>
      <c r="C3633" s="6">
        <v>249275.27</v>
      </c>
      <c r="D3633" s="5" t="s">
        <v>307</v>
      </c>
      <c r="E3633" s="5" t="str">
        <f t="shared" si="171"/>
        <v>QUIROFANO -MARIA DEL PILAR MEDINA</v>
      </c>
      <c r="F3633" s="5"/>
      <c r="G3633" s="5"/>
    </row>
    <row r="3634" spans="1:7" ht="58.5" customHeight="1" x14ac:dyDescent="0.25">
      <c r="A3634" s="5" t="str">
        <f>"H0028349"</f>
        <v>H0028349</v>
      </c>
      <c r="B3634" s="5" t="str">
        <f t="shared" si="172"/>
        <v>COLLAR DE TIROIDES TALLA S (#TC520, equivalencia de plomo de 0,5mm, cómodo cierre de velcro)</v>
      </c>
      <c r="C3634" s="6">
        <v>249275.27</v>
      </c>
      <c r="D3634" s="5" t="s">
        <v>307</v>
      </c>
      <c r="E3634" s="5" t="str">
        <f t="shared" si="171"/>
        <v>QUIROFANO -MARIA DEL PILAR MEDINA</v>
      </c>
      <c r="F3634" s="5"/>
      <c r="G3634" s="5"/>
    </row>
    <row r="3635" spans="1:7" ht="58.5" customHeight="1" x14ac:dyDescent="0.25">
      <c r="A3635" s="5" t="str">
        <f>"H0028350"</f>
        <v>H0028350</v>
      </c>
      <c r="B3635" s="5" t="str">
        <f t="shared" si="172"/>
        <v>COLLAR DE TIROIDES TALLA S (#TC520, equivalencia de plomo de 0,5mm, cómodo cierre de velcro)</v>
      </c>
      <c r="C3635" s="6">
        <v>249275.27</v>
      </c>
      <c r="D3635" s="5" t="s">
        <v>307</v>
      </c>
      <c r="E3635" s="5" t="str">
        <f t="shared" si="171"/>
        <v>QUIROFANO -MARIA DEL PILAR MEDINA</v>
      </c>
      <c r="F3635" s="5"/>
      <c r="G3635" s="5"/>
    </row>
    <row r="3636" spans="1:7" ht="58.5" customHeight="1" x14ac:dyDescent="0.25">
      <c r="A3636" s="5" t="str">
        <f>"H0028351"</f>
        <v>H0028351</v>
      </c>
      <c r="B3636" s="5" t="str">
        <f t="shared" si="172"/>
        <v>COLLAR DE TIROIDES TALLA S (#TC520, equivalencia de plomo de 0,5mm, cómodo cierre de velcro)</v>
      </c>
      <c r="C3636" s="6">
        <v>249275.27</v>
      </c>
      <c r="D3636" s="5" t="s">
        <v>307</v>
      </c>
      <c r="E3636" s="5" t="str">
        <f t="shared" si="171"/>
        <v>QUIROFANO -MARIA DEL PILAR MEDINA</v>
      </c>
      <c r="F3636" s="5"/>
      <c r="G3636" s="5"/>
    </row>
    <row r="3637" spans="1:7" ht="58.5" customHeight="1" x14ac:dyDescent="0.25">
      <c r="A3637" s="5" t="str">
        <f>"H0028352"</f>
        <v>H0028352</v>
      </c>
      <c r="B3637" s="5" t="str">
        <f t="shared" si="172"/>
        <v>COLLAR DE TIROIDES TALLA S (#TC520, equivalencia de plomo de 0,5mm, cómodo cierre de velcro)</v>
      </c>
      <c r="C3637" s="6">
        <v>249275.27</v>
      </c>
      <c r="D3637" s="5" t="s">
        <v>307</v>
      </c>
      <c r="E3637" s="5" t="str">
        <f t="shared" si="171"/>
        <v>QUIROFANO -MARIA DEL PILAR MEDINA</v>
      </c>
      <c r="F3637" s="5"/>
      <c r="G3637" s="5"/>
    </row>
    <row r="3638" spans="1:7" ht="58.5" customHeight="1" x14ac:dyDescent="0.25">
      <c r="A3638" s="5" t="str">
        <f>"H0028353"</f>
        <v>H0028353</v>
      </c>
      <c r="B3638" s="5" t="str">
        <f t="shared" si="172"/>
        <v>COLLAR DE TIROIDES TALLA S (#TC520, equivalencia de plomo de 0,5mm, cómodo cierre de velcro)</v>
      </c>
      <c r="C3638" s="6">
        <v>249275.27</v>
      </c>
      <c r="D3638" s="5" t="s">
        <v>307</v>
      </c>
      <c r="E3638" s="5" t="str">
        <f t="shared" si="171"/>
        <v>QUIROFANO -MARIA DEL PILAR MEDINA</v>
      </c>
      <c r="F3638" s="5"/>
      <c r="G3638" s="5"/>
    </row>
    <row r="3639" spans="1:7" ht="58.5" customHeight="1" x14ac:dyDescent="0.25">
      <c r="A3639" s="5" t="str">
        <f>"H0028354"</f>
        <v>H0028354</v>
      </c>
      <c r="B3639" s="5" t="str">
        <f t="shared" si="172"/>
        <v>COLLAR DE TIROIDES TALLA S (#TC520, equivalencia de plomo de 0,5mm, cómodo cierre de velcro)</v>
      </c>
      <c r="C3639" s="6">
        <v>249275.27</v>
      </c>
      <c r="D3639" s="5" t="s">
        <v>307</v>
      </c>
      <c r="E3639" s="5" t="str">
        <f t="shared" si="171"/>
        <v>QUIROFANO -MARIA DEL PILAR MEDINA</v>
      </c>
      <c r="F3639" s="5"/>
      <c r="G3639" s="5"/>
    </row>
    <row r="3640" spans="1:7" ht="58.5" customHeight="1" x14ac:dyDescent="0.25">
      <c r="A3640" s="5" t="str">
        <f>"H0028355"</f>
        <v>H0028355</v>
      </c>
      <c r="B3640" s="5" t="str">
        <f t="shared" si="172"/>
        <v>COLLAR DE TIROIDES TALLA S (#TC520, equivalencia de plomo de 0,5mm, cómodo cierre de velcro)</v>
      </c>
      <c r="C3640" s="6">
        <v>249275.27</v>
      </c>
      <c r="D3640" s="5" t="s">
        <v>307</v>
      </c>
      <c r="E3640" s="5" t="str">
        <f t="shared" si="171"/>
        <v>QUIROFANO -MARIA DEL PILAR MEDINA</v>
      </c>
      <c r="F3640" s="5"/>
      <c r="G3640" s="5"/>
    </row>
    <row r="3641" spans="1:7" ht="58.5" customHeight="1" x14ac:dyDescent="0.25">
      <c r="A3641" s="5" t="str">
        <f>"H0028356"</f>
        <v>H0028356</v>
      </c>
      <c r="B3641" s="5" t="str">
        <f t="shared" si="172"/>
        <v>COLLAR DE TIROIDES TALLA S (#TC520, equivalencia de plomo de 0,5mm, cómodo cierre de velcro)</v>
      </c>
      <c r="C3641" s="6">
        <v>249275.27</v>
      </c>
      <c r="D3641" s="5" t="s">
        <v>307</v>
      </c>
      <c r="E3641" s="5" t="str">
        <f t="shared" si="171"/>
        <v>QUIROFANO -MARIA DEL PILAR MEDINA</v>
      </c>
      <c r="F3641" s="5"/>
      <c r="G3641" s="5"/>
    </row>
    <row r="3642" spans="1:7" ht="58.5" customHeight="1" x14ac:dyDescent="0.25">
      <c r="A3642" s="5" t="str">
        <f>"H0028357"</f>
        <v>H0028357</v>
      </c>
      <c r="B3642" s="5" t="str">
        <f t="shared" si="172"/>
        <v>COLLAR DE TIROIDES TALLA S (#TC520, equivalencia de plomo de 0,5mm, cómodo cierre de velcro)</v>
      </c>
      <c r="C3642" s="6">
        <v>249275.27</v>
      </c>
      <c r="D3642" s="5" t="s">
        <v>307</v>
      </c>
      <c r="E3642" s="5" t="str">
        <f t="shared" si="171"/>
        <v>QUIROFANO -MARIA DEL PILAR MEDINA</v>
      </c>
      <c r="F3642" s="5"/>
      <c r="G3642" s="5"/>
    </row>
    <row r="3643" spans="1:7" ht="58.5" customHeight="1" x14ac:dyDescent="0.25">
      <c r="A3643" s="5" t="str">
        <f>"H0028358"</f>
        <v>H0028358</v>
      </c>
      <c r="B3643" s="5" t="str">
        <f t="shared" si="172"/>
        <v>COLLAR DE TIROIDES TALLA S (#TC520, equivalencia de plomo de 0,5mm, cómodo cierre de velcro)</v>
      </c>
      <c r="C3643" s="6">
        <v>249275.27</v>
      </c>
      <c r="D3643" s="5" t="s">
        <v>307</v>
      </c>
      <c r="E3643" s="5" t="str">
        <f t="shared" si="171"/>
        <v>QUIROFANO -MARIA DEL PILAR MEDINA</v>
      </c>
      <c r="F3643" s="5"/>
      <c r="G3643" s="5"/>
    </row>
    <row r="3644" spans="1:7" ht="58.5" customHeight="1" x14ac:dyDescent="0.25">
      <c r="A3644" s="5" t="str">
        <f>"H0028359"</f>
        <v>H0028359</v>
      </c>
      <c r="B3644" s="5" t="str">
        <f t="shared" si="172"/>
        <v>COLLAR DE TIROIDES TALLA S (#TC520, equivalencia de plomo de 0,5mm, cómodo cierre de velcro)</v>
      </c>
      <c r="C3644" s="6">
        <v>249275.27</v>
      </c>
      <c r="D3644" s="5" t="s">
        <v>307</v>
      </c>
      <c r="E3644" s="5" t="str">
        <f t="shared" si="171"/>
        <v>QUIROFANO -MARIA DEL PILAR MEDINA</v>
      </c>
      <c r="F3644" s="5"/>
      <c r="G3644" s="5"/>
    </row>
    <row r="3645" spans="1:7" ht="58.5" customHeight="1" x14ac:dyDescent="0.25">
      <c r="A3645" s="5" t="str">
        <f>"H0028360"</f>
        <v>H0028360</v>
      </c>
      <c r="B3645" s="5" t="str">
        <f t="shared" si="172"/>
        <v>COLLAR DE TIROIDES TALLA S (#TC520, equivalencia de plomo de 0,5mm, cómodo cierre de velcro)</v>
      </c>
      <c r="C3645" s="6">
        <v>249275.27</v>
      </c>
      <c r="D3645" s="5" t="s">
        <v>307</v>
      </c>
      <c r="E3645" s="5" t="str">
        <f t="shared" si="171"/>
        <v>QUIROFANO -MARIA DEL PILAR MEDINA</v>
      </c>
      <c r="F3645" s="5"/>
      <c r="G3645" s="5"/>
    </row>
    <row r="3646" spans="1:7" ht="58.5" customHeight="1" x14ac:dyDescent="0.25">
      <c r="A3646" s="5" t="str">
        <f>"H0028361"</f>
        <v>H0028361</v>
      </c>
      <c r="B3646" s="5" t="str">
        <f t="shared" si="172"/>
        <v>COLLAR DE TIROIDES TALLA S (#TC520, equivalencia de plomo de 0,5mm, cómodo cierre de velcro)</v>
      </c>
      <c r="C3646" s="6">
        <v>249275.27</v>
      </c>
      <c r="D3646" s="5" t="s">
        <v>307</v>
      </c>
      <c r="E3646" s="5" t="str">
        <f t="shared" si="171"/>
        <v>QUIROFANO -MARIA DEL PILAR MEDINA</v>
      </c>
      <c r="F3646" s="5"/>
      <c r="G3646" s="5"/>
    </row>
    <row r="3647" spans="1:7" ht="58.5" customHeight="1" x14ac:dyDescent="0.25">
      <c r="A3647" s="5" t="str">
        <f>"H0028362"</f>
        <v>H0028362</v>
      </c>
      <c r="B3647" s="5" t="str">
        <f t="shared" si="172"/>
        <v>COLLAR DE TIROIDES TALLA S (#TC520, equivalencia de plomo de 0,5mm, cómodo cierre de velcro)</v>
      </c>
      <c r="C3647" s="6">
        <v>249275.27</v>
      </c>
      <c r="D3647" s="5" t="s">
        <v>307</v>
      </c>
      <c r="E3647" s="5" t="str">
        <f t="shared" si="171"/>
        <v>QUIROFANO -MARIA DEL PILAR MEDINA</v>
      </c>
      <c r="F3647" s="5"/>
      <c r="G3647" s="5"/>
    </row>
    <row r="3648" spans="1:7" ht="58.5" customHeight="1" x14ac:dyDescent="0.25">
      <c r="A3648" s="5" t="str">
        <f>"H0028363"</f>
        <v>H0028363</v>
      </c>
      <c r="B3648" s="5" t="str">
        <f t="shared" si="172"/>
        <v>COLLAR DE TIROIDES TALLA S (#TC520, equivalencia de plomo de 0,5mm, cómodo cierre de velcro)</v>
      </c>
      <c r="C3648" s="6">
        <v>249275.27</v>
      </c>
      <c r="D3648" s="5" t="s">
        <v>307</v>
      </c>
      <c r="E3648" s="5" t="str">
        <f t="shared" si="171"/>
        <v>QUIROFANO -MARIA DEL PILAR MEDINA</v>
      </c>
      <c r="F3648" s="5"/>
      <c r="G3648" s="5"/>
    </row>
    <row r="3649" spans="1:7" ht="58.5" customHeight="1" x14ac:dyDescent="0.25">
      <c r="A3649" s="5" t="str">
        <f>"H0028364"</f>
        <v>H0028364</v>
      </c>
      <c r="B3649" s="5" t="str">
        <f t="shared" si="172"/>
        <v>COLLAR DE TIROIDES TALLA S (#TC520, equivalencia de plomo de 0,5mm, cómodo cierre de velcro)</v>
      </c>
      <c r="C3649" s="6">
        <v>249275.27</v>
      </c>
      <c r="D3649" s="5" t="s">
        <v>307</v>
      </c>
      <c r="E3649" s="5" t="str">
        <f t="shared" si="171"/>
        <v>QUIROFANO -MARIA DEL PILAR MEDINA</v>
      </c>
      <c r="F3649" s="5"/>
      <c r="G3649" s="5"/>
    </row>
    <row r="3650" spans="1:7" ht="58.5" customHeight="1" x14ac:dyDescent="0.25">
      <c r="A3650" s="5" t="str">
        <f>"H0028365"</f>
        <v>H0028365</v>
      </c>
      <c r="B3650" s="5" t="str">
        <f t="shared" si="172"/>
        <v>COLLAR DE TIROIDES TALLA S (#TC520, equivalencia de plomo de 0,5mm, cómodo cierre de velcro)</v>
      </c>
      <c r="C3650" s="6">
        <v>249275.27</v>
      </c>
      <c r="D3650" s="5" t="s">
        <v>307</v>
      </c>
      <c r="E3650" s="5" t="str">
        <f t="shared" si="171"/>
        <v>QUIROFANO -MARIA DEL PILAR MEDINA</v>
      </c>
      <c r="F3650" s="5"/>
      <c r="G3650" s="5"/>
    </row>
    <row r="3651" spans="1:7" ht="58.5" customHeight="1" x14ac:dyDescent="0.25">
      <c r="A3651" s="5" t="str">
        <f>"H0028429"</f>
        <v>H0028429</v>
      </c>
      <c r="B3651" s="5" t="str">
        <f>"SILLA RECLINOMATICA"</f>
        <v>SILLA RECLINOMATICA</v>
      </c>
      <c r="C3651" s="6">
        <v>900000</v>
      </c>
      <c r="D3651" s="5" t="s">
        <v>245</v>
      </c>
      <c r="E3651" s="5" t="str">
        <f t="shared" si="171"/>
        <v>QUIROFANO -MARIA DEL PILAR MEDINA</v>
      </c>
      <c r="F3651" s="5"/>
      <c r="G3651" s="5"/>
    </row>
    <row r="3652" spans="1:7" ht="58.5" customHeight="1" x14ac:dyDescent="0.25">
      <c r="A3652" s="5" t="str">
        <f>"H0028583"</f>
        <v>H0028583</v>
      </c>
      <c r="B3652" s="5" t="str">
        <f t="shared" ref="B3652:B3658" si="173">"MESA METALICA PARA COMPUTADOR"</f>
        <v>MESA METALICA PARA COMPUTADOR</v>
      </c>
      <c r="C3652" s="6">
        <v>447261.5</v>
      </c>
      <c r="D3652" s="5" t="s">
        <v>248</v>
      </c>
      <c r="E3652" s="5" t="str">
        <f t="shared" si="171"/>
        <v>QUIROFANO -MARIA DEL PILAR MEDINA</v>
      </c>
      <c r="F3652" s="5"/>
      <c r="G3652" s="5"/>
    </row>
    <row r="3653" spans="1:7" ht="58.5" customHeight="1" x14ac:dyDescent="0.25">
      <c r="A3653" s="5" t="str">
        <f>"h0028588"</f>
        <v>h0028588</v>
      </c>
      <c r="B3653" s="5" t="str">
        <f t="shared" si="173"/>
        <v>MESA METALICA PARA COMPUTADOR</v>
      </c>
      <c r="C3653" s="6">
        <v>447261.5</v>
      </c>
      <c r="D3653" s="5" t="s">
        <v>248</v>
      </c>
      <c r="E3653" s="5" t="str">
        <f t="shared" si="171"/>
        <v>QUIROFANO -MARIA DEL PILAR MEDINA</v>
      </c>
      <c r="F3653" s="5"/>
      <c r="G3653" s="5"/>
    </row>
    <row r="3654" spans="1:7" ht="58.5" customHeight="1" x14ac:dyDescent="0.25">
      <c r="A3654" s="5" t="str">
        <f>"H0028589"</f>
        <v>H0028589</v>
      </c>
      <c r="B3654" s="5" t="str">
        <f t="shared" si="173"/>
        <v>MESA METALICA PARA COMPUTADOR</v>
      </c>
      <c r="C3654" s="6">
        <v>447261.5</v>
      </c>
      <c r="D3654" s="5" t="s">
        <v>248</v>
      </c>
      <c r="E3654" s="5" t="str">
        <f t="shared" si="171"/>
        <v>QUIROFANO -MARIA DEL PILAR MEDINA</v>
      </c>
      <c r="F3654" s="5"/>
      <c r="G3654" s="5"/>
    </row>
    <row r="3655" spans="1:7" ht="58.5" customHeight="1" x14ac:dyDescent="0.25">
      <c r="A3655" s="5" t="str">
        <f>"H0028590"</f>
        <v>H0028590</v>
      </c>
      <c r="B3655" s="5" t="str">
        <f t="shared" si="173"/>
        <v>MESA METALICA PARA COMPUTADOR</v>
      </c>
      <c r="C3655" s="6">
        <v>447261.5</v>
      </c>
      <c r="D3655" s="5" t="s">
        <v>248</v>
      </c>
      <c r="E3655" s="5" t="str">
        <f t="shared" si="171"/>
        <v>QUIROFANO -MARIA DEL PILAR MEDINA</v>
      </c>
      <c r="F3655" s="5"/>
      <c r="G3655" s="5"/>
    </row>
    <row r="3656" spans="1:7" ht="58.5" customHeight="1" x14ac:dyDescent="0.25">
      <c r="A3656" s="5" t="str">
        <f>"H0028591"</f>
        <v>H0028591</v>
      </c>
      <c r="B3656" s="5" t="str">
        <f t="shared" si="173"/>
        <v>MESA METALICA PARA COMPUTADOR</v>
      </c>
      <c r="C3656" s="6">
        <v>447261.5</v>
      </c>
      <c r="D3656" s="5" t="s">
        <v>248</v>
      </c>
      <c r="E3656" s="5" t="str">
        <f t="shared" si="171"/>
        <v>QUIROFANO -MARIA DEL PILAR MEDINA</v>
      </c>
      <c r="F3656" s="5"/>
      <c r="G3656" s="5"/>
    </row>
    <row r="3657" spans="1:7" ht="58.5" customHeight="1" x14ac:dyDescent="0.25">
      <c r="A3657" s="5" t="str">
        <f>"H0028592"</f>
        <v>H0028592</v>
      </c>
      <c r="B3657" s="5" t="str">
        <f t="shared" si="173"/>
        <v>MESA METALICA PARA COMPUTADOR</v>
      </c>
      <c r="C3657" s="6">
        <v>447261.5</v>
      </c>
      <c r="D3657" s="5" t="s">
        <v>248</v>
      </c>
      <c r="E3657" s="5" t="str">
        <f t="shared" si="171"/>
        <v>QUIROFANO -MARIA DEL PILAR MEDINA</v>
      </c>
      <c r="F3657" s="5"/>
      <c r="G3657" s="5"/>
    </row>
    <row r="3658" spans="1:7" ht="58.5" customHeight="1" x14ac:dyDescent="0.25">
      <c r="A3658" s="5" t="str">
        <f>"H0028593"</f>
        <v>H0028593</v>
      </c>
      <c r="B3658" s="5" t="str">
        <f t="shared" si="173"/>
        <v>MESA METALICA PARA COMPUTADOR</v>
      </c>
      <c r="C3658" s="6">
        <v>447261.5</v>
      </c>
      <c r="D3658" s="5" t="s">
        <v>248</v>
      </c>
      <c r="E3658" s="5" t="str">
        <f t="shared" si="171"/>
        <v>QUIROFANO -MARIA DEL PILAR MEDINA</v>
      </c>
      <c r="F3658" s="5"/>
      <c r="G3658" s="5"/>
    </row>
    <row r="3659" spans="1:7" ht="58.5" customHeight="1" x14ac:dyDescent="0.25">
      <c r="A3659" s="5" t="str">
        <f>"H0028753"</f>
        <v>H0028753</v>
      </c>
      <c r="B3659" s="5" t="str">
        <f>"NEVERA MINI BAR DE 93 LT"</f>
        <v>NEVERA MINI BAR DE 93 LT</v>
      </c>
      <c r="C3659" s="6">
        <v>479900.02</v>
      </c>
      <c r="D3659" s="5" t="s">
        <v>39</v>
      </c>
      <c r="E3659" s="5" t="str">
        <f t="shared" si="171"/>
        <v>QUIROFANO -MARIA DEL PILAR MEDINA</v>
      </c>
      <c r="F3659" s="5"/>
      <c r="G3659" s="5"/>
    </row>
    <row r="3660" spans="1:7" ht="58.5" customHeight="1" x14ac:dyDescent="0.25">
      <c r="A3660" s="5" t="str">
        <f>"H0028799"</f>
        <v>H0028799</v>
      </c>
      <c r="B3660" s="5" t="str">
        <f>"SILLA HERGONOMICA CON SISTEMA HIDRAULICO"</f>
        <v>SILLA HERGONOMICA CON SISTEMA HIDRAULICO</v>
      </c>
      <c r="C3660" s="6">
        <v>174900</v>
      </c>
      <c r="D3660" s="5" t="s">
        <v>39</v>
      </c>
      <c r="E3660" s="5" t="str">
        <f t="shared" si="171"/>
        <v>QUIROFANO -MARIA DEL PILAR MEDINA</v>
      </c>
      <c r="F3660" s="5"/>
      <c r="G3660" s="5"/>
    </row>
    <row r="3661" spans="1:7" ht="58.5" customHeight="1" x14ac:dyDescent="0.25">
      <c r="A3661" s="5" t="str">
        <f>"H0028800"</f>
        <v>H0028800</v>
      </c>
      <c r="B3661" s="5" t="str">
        <f>"SILLA HERGONOMICA CON SISTEMA HIDRAULICO"</f>
        <v>SILLA HERGONOMICA CON SISTEMA HIDRAULICO</v>
      </c>
      <c r="C3661" s="6">
        <v>174900</v>
      </c>
      <c r="D3661" s="5" t="s">
        <v>39</v>
      </c>
      <c r="E3661" s="5" t="str">
        <f t="shared" si="171"/>
        <v>QUIROFANO -MARIA DEL PILAR MEDINA</v>
      </c>
      <c r="F3661" s="5"/>
      <c r="G3661" s="5"/>
    </row>
    <row r="3662" spans="1:7" ht="58.5" customHeight="1" x14ac:dyDescent="0.25">
      <c r="A3662" s="5" t="str">
        <f>"H0028802"</f>
        <v>H0028802</v>
      </c>
      <c r="B3662" s="5" t="str">
        <f>"SILLA HERGONOMICA CON SISTEMA HIDRAULICO"</f>
        <v>SILLA HERGONOMICA CON SISTEMA HIDRAULICO</v>
      </c>
      <c r="C3662" s="6">
        <v>174900</v>
      </c>
      <c r="D3662" s="5" t="s">
        <v>39</v>
      </c>
      <c r="E3662" s="5" t="str">
        <f t="shared" si="171"/>
        <v>QUIROFANO -MARIA DEL PILAR MEDINA</v>
      </c>
      <c r="F3662" s="5"/>
      <c r="G3662" s="5"/>
    </row>
    <row r="3663" spans="1:7" ht="58.5" customHeight="1" x14ac:dyDescent="0.25">
      <c r="A3663" s="5" t="str">
        <f>"H0028803"</f>
        <v>H0028803</v>
      </c>
      <c r="B3663" s="5" t="str">
        <f>"SILLA HERGONOMICA CON SISTEMA HIDRAULICO"</f>
        <v>SILLA HERGONOMICA CON SISTEMA HIDRAULICO</v>
      </c>
      <c r="C3663" s="6">
        <v>174900</v>
      </c>
      <c r="D3663" s="5" t="s">
        <v>39</v>
      </c>
      <c r="E3663" s="5" t="str">
        <f t="shared" si="171"/>
        <v>QUIROFANO -MARIA DEL PILAR MEDINA</v>
      </c>
      <c r="F3663" s="5"/>
      <c r="G3663" s="5"/>
    </row>
    <row r="3664" spans="1:7" ht="58.5" customHeight="1" x14ac:dyDescent="0.25">
      <c r="A3664" s="5" t="str">
        <f>"H0029052"</f>
        <v>H0029052</v>
      </c>
      <c r="B3664" s="5" t="str">
        <f>"SOPORTE PEDESTAL METALICO ELECTROCARDIOGRAFO COMPATIBLE CON EDAN OTRAS MARCAS"</f>
        <v>SOPORTE PEDESTAL METALICO ELECTROCARDIOGRAFO COMPATIBLE CON EDAN OTRAS MARCAS</v>
      </c>
      <c r="C3664" s="6">
        <v>730303</v>
      </c>
      <c r="D3664" s="5" t="s">
        <v>88</v>
      </c>
      <c r="E3664" s="5" t="str">
        <f t="shared" si="171"/>
        <v>QUIROFANO -MARIA DEL PILAR MEDINA</v>
      </c>
      <c r="F3664" s="5"/>
      <c r="G3664" s="5"/>
    </row>
    <row r="3665" spans="1:7" ht="58.5" customHeight="1" x14ac:dyDescent="0.25">
      <c r="A3665" s="5" t="str">
        <f>"H0029053"</f>
        <v>H0029053</v>
      </c>
      <c r="B3665" s="5" t="str">
        <f>"SOPORTE PEDESTAL METALICO ELECTROCARDIOGRAFO COMPATIBLE CON EDAN OTRAS MARCAS"</f>
        <v>SOPORTE PEDESTAL METALICO ELECTROCARDIOGRAFO COMPATIBLE CON EDAN OTRAS MARCAS</v>
      </c>
      <c r="C3665" s="6">
        <v>730303</v>
      </c>
      <c r="D3665" s="5" t="s">
        <v>88</v>
      </c>
      <c r="E3665" s="5" t="str">
        <f t="shared" si="171"/>
        <v>QUIROFANO -MARIA DEL PILAR MEDINA</v>
      </c>
      <c r="F3665" s="5"/>
      <c r="G3665" s="5"/>
    </row>
    <row r="3666" spans="1:7" ht="58.5" customHeight="1" x14ac:dyDescent="0.25">
      <c r="A3666" s="5" t="str">
        <f>"H0029054"</f>
        <v>H0029054</v>
      </c>
      <c r="B3666" s="5" t="str">
        <f>"SOPORTE PEDESTAL METALICO ELECTROCARDIOGRAFO COMPATIBLE CON EDAN OTRAS MARCAS"</f>
        <v>SOPORTE PEDESTAL METALICO ELECTROCARDIOGRAFO COMPATIBLE CON EDAN OTRAS MARCAS</v>
      </c>
      <c r="C3666" s="6">
        <v>730303</v>
      </c>
      <c r="D3666" s="5" t="s">
        <v>88</v>
      </c>
      <c r="E3666" s="5" t="str">
        <f t="shared" si="171"/>
        <v>QUIROFANO -MARIA DEL PILAR MEDINA</v>
      </c>
      <c r="F3666" s="5"/>
      <c r="G3666" s="5"/>
    </row>
    <row r="3667" spans="1:7" ht="58.5" customHeight="1" x14ac:dyDescent="0.25">
      <c r="A3667" s="5" t="str">
        <f>"H0029055"</f>
        <v>H0029055</v>
      </c>
      <c r="B3667" s="5" t="str">
        <f>"SOPORTE PEDESTAL METALICO ELECTROCARDIOGRAFO COMPATIBLE CON EDAN OTRAS MARCAS"</f>
        <v>SOPORTE PEDESTAL METALICO ELECTROCARDIOGRAFO COMPATIBLE CON EDAN OTRAS MARCAS</v>
      </c>
      <c r="C3667" s="6">
        <v>730303</v>
      </c>
      <c r="D3667" s="5" t="s">
        <v>88</v>
      </c>
      <c r="E3667" s="5" t="str">
        <f t="shared" si="171"/>
        <v>QUIROFANO -MARIA DEL PILAR MEDINA</v>
      </c>
      <c r="F3667" s="5"/>
      <c r="G3667" s="5"/>
    </row>
    <row r="3668" spans="1:7" ht="58.5" customHeight="1" x14ac:dyDescent="0.25">
      <c r="A3668" s="5" t="str">
        <f>"H0029064"</f>
        <v>H0029064</v>
      </c>
      <c r="B3668" s="5" t="str">
        <f>"CALENTADOR CORPORAL"</f>
        <v>CALENTADOR CORPORAL</v>
      </c>
      <c r="C3668" s="6">
        <v>6889877.4299999997</v>
      </c>
      <c r="D3668" s="5" t="s">
        <v>308</v>
      </c>
      <c r="E3668" s="5" t="str">
        <f t="shared" si="171"/>
        <v>QUIROFANO -MARIA DEL PILAR MEDINA</v>
      </c>
      <c r="F3668" s="5"/>
      <c r="G3668" s="5"/>
    </row>
    <row r="3669" spans="1:7" ht="58.5" customHeight="1" x14ac:dyDescent="0.25">
      <c r="A3669" s="5" t="str">
        <f>"H0029065"</f>
        <v>H0029065</v>
      </c>
      <c r="B3669" s="5" t="str">
        <f>"CALENTADOR CORPORAL"</f>
        <v>CALENTADOR CORPORAL</v>
      </c>
      <c r="C3669" s="6">
        <v>6889877.4299999997</v>
      </c>
      <c r="D3669" s="5" t="s">
        <v>308</v>
      </c>
      <c r="E3669" s="5" t="str">
        <f t="shared" si="171"/>
        <v>QUIROFANO -MARIA DEL PILAR MEDINA</v>
      </c>
      <c r="F3669" s="5"/>
      <c r="G3669" s="5"/>
    </row>
    <row r="3670" spans="1:7" ht="58.5" customHeight="1" x14ac:dyDescent="0.25">
      <c r="A3670" s="5" t="str">
        <f>"H0029066"</f>
        <v>H0029066</v>
      </c>
      <c r="B3670" s="5" t="str">
        <f>"CALENTADOR CORPORAL"</f>
        <v>CALENTADOR CORPORAL</v>
      </c>
      <c r="C3670" s="6">
        <v>6889877.4299999997</v>
      </c>
      <c r="D3670" s="5" t="s">
        <v>308</v>
      </c>
      <c r="E3670" s="5" t="str">
        <f t="shared" si="171"/>
        <v>QUIROFANO -MARIA DEL PILAR MEDINA</v>
      </c>
      <c r="F3670" s="5"/>
      <c r="G3670" s="5"/>
    </row>
    <row r="3671" spans="1:7" ht="58.5" customHeight="1" x14ac:dyDescent="0.25">
      <c r="A3671" s="5" t="str">
        <f>"H0029068"</f>
        <v>H0029068</v>
      </c>
      <c r="B3671" s="5" t="str">
        <f>"CALENTADOR CORPORAL"</f>
        <v>CALENTADOR CORPORAL</v>
      </c>
      <c r="C3671" s="6">
        <v>6889877.4299999997</v>
      </c>
      <c r="D3671" s="5" t="s">
        <v>308</v>
      </c>
      <c r="E3671" s="5" t="str">
        <f t="shared" si="171"/>
        <v>QUIROFANO -MARIA DEL PILAR MEDINA</v>
      </c>
      <c r="F3671" s="5"/>
      <c r="G3671" s="5"/>
    </row>
    <row r="3672" spans="1:7" ht="58.5" customHeight="1" x14ac:dyDescent="0.25">
      <c r="A3672" s="5" t="str">
        <f>"H0029071"</f>
        <v>H0029071</v>
      </c>
      <c r="B3672" s="5" t="str">
        <f>"MICROSCOPIO PARA CIRUGIA OFTAMOLOGICA"</f>
        <v>MICROSCOPIO PARA CIRUGIA OFTAMOLOGICA</v>
      </c>
      <c r="C3672" s="6">
        <v>464100000</v>
      </c>
      <c r="D3672" s="5" t="s">
        <v>309</v>
      </c>
      <c r="E3672" s="5" t="str">
        <f t="shared" si="171"/>
        <v>QUIROFANO -MARIA DEL PILAR MEDINA</v>
      </c>
      <c r="F3672" s="5"/>
      <c r="G3672" s="5"/>
    </row>
    <row r="3673" spans="1:7" ht="58.5" customHeight="1" x14ac:dyDescent="0.25">
      <c r="A3673" s="5" t="str">
        <f>"H0029081"</f>
        <v>H0029081</v>
      </c>
      <c r="B3673" s="5" t="str">
        <f>"MESA DE CIRUGIA GINECOLOGICA ( Proyecto Minsalud)"</f>
        <v>MESA DE CIRUGIA GINECOLOGICA ( Proyecto Minsalud)</v>
      </c>
      <c r="C3673" s="6">
        <v>77755969</v>
      </c>
      <c r="D3673" s="5" t="s">
        <v>310</v>
      </c>
      <c r="E3673" s="5" t="str">
        <f t="shared" si="171"/>
        <v>QUIROFANO -MARIA DEL PILAR MEDINA</v>
      </c>
      <c r="F3673" s="5"/>
      <c r="G3673" s="5"/>
    </row>
    <row r="3674" spans="1:7" ht="58.5" customHeight="1" x14ac:dyDescent="0.25">
      <c r="A3674" s="5" t="str">
        <f>"H0029082"</f>
        <v>H0029082</v>
      </c>
      <c r="B3674" s="5" t="str">
        <f>"MESA PARA CIRUGIA (Proyecto Minsalud)"</f>
        <v>MESA PARA CIRUGIA (Proyecto Minsalud)</v>
      </c>
      <c r="C3674" s="6">
        <v>72995968.670000002</v>
      </c>
      <c r="D3674" s="5" t="s">
        <v>310</v>
      </c>
      <c r="E3674" s="5" t="str">
        <f t="shared" si="171"/>
        <v>QUIROFANO -MARIA DEL PILAR MEDINA</v>
      </c>
      <c r="F3674" s="5"/>
      <c r="G3674" s="5"/>
    </row>
    <row r="3675" spans="1:7" ht="58.5" customHeight="1" x14ac:dyDescent="0.25">
      <c r="A3675" s="5" t="str">
        <f>"H0029083"</f>
        <v>H0029083</v>
      </c>
      <c r="B3675" s="5" t="str">
        <f>"MESA PARA CIRUGIA (Proyecto Minsalud)"</f>
        <v>MESA PARA CIRUGIA (Proyecto Minsalud)</v>
      </c>
      <c r="C3675" s="6">
        <v>72995968.670000002</v>
      </c>
      <c r="D3675" s="5" t="s">
        <v>310</v>
      </c>
      <c r="E3675" s="5" t="str">
        <f t="shared" si="171"/>
        <v>QUIROFANO -MARIA DEL PILAR MEDINA</v>
      </c>
      <c r="F3675" s="5"/>
      <c r="G3675" s="5"/>
    </row>
    <row r="3676" spans="1:7" ht="58.5" customHeight="1" x14ac:dyDescent="0.25">
      <c r="A3676" s="5" t="str">
        <f>"H0029084"</f>
        <v>H0029084</v>
      </c>
      <c r="B3676" s="5" t="str">
        <f>"MESA PARA CIRUGIA (Proyecto Minsalud)"</f>
        <v>MESA PARA CIRUGIA (Proyecto Minsalud)</v>
      </c>
      <c r="C3676" s="6">
        <v>72995968.670000002</v>
      </c>
      <c r="D3676" s="5" t="s">
        <v>310</v>
      </c>
      <c r="E3676" s="5" t="str">
        <f t="shared" si="171"/>
        <v>QUIROFANO -MARIA DEL PILAR MEDINA</v>
      </c>
      <c r="F3676" s="5"/>
      <c r="G3676" s="5"/>
    </row>
    <row r="3677" spans="1:7" ht="58.5" customHeight="1" x14ac:dyDescent="0.25">
      <c r="A3677" s="5" t="str">
        <f>"H0029085"</f>
        <v>H0029085</v>
      </c>
      <c r="B3677" s="5" t="str">
        <f>"MESA DE CIRUGIA CON ACCESORIOS PARA UROLOGIA (Proyecto Minsalud)"</f>
        <v>MESA DE CIRUGIA CON ACCESORIOS PARA UROLOGIA (Proyecto Minsalud)</v>
      </c>
      <c r="C3677" s="6">
        <v>82295640</v>
      </c>
      <c r="D3677" s="5" t="s">
        <v>310</v>
      </c>
      <c r="E3677" s="5" t="str">
        <f t="shared" si="171"/>
        <v>QUIROFANO -MARIA DEL PILAR MEDINA</v>
      </c>
      <c r="F3677" s="5"/>
      <c r="G3677" s="5"/>
    </row>
    <row r="3678" spans="1:7" ht="58.5" customHeight="1" x14ac:dyDescent="0.25">
      <c r="A3678" s="5" t="str">
        <f>"H0029086"</f>
        <v>H0029086</v>
      </c>
      <c r="B3678" s="5" t="str">
        <f>"ELECTROBISTURI (Proyecto Minsalud)"</f>
        <v>ELECTROBISTURI (Proyecto Minsalud)</v>
      </c>
      <c r="C3678" s="6">
        <v>25412450</v>
      </c>
      <c r="D3678" s="5" t="s">
        <v>310</v>
      </c>
      <c r="E3678" s="5" t="str">
        <f t="shared" si="171"/>
        <v>QUIROFANO -MARIA DEL PILAR MEDINA</v>
      </c>
      <c r="F3678" s="5"/>
      <c r="G3678" s="5"/>
    </row>
    <row r="3679" spans="1:7" ht="58.5" customHeight="1" x14ac:dyDescent="0.25">
      <c r="A3679" s="5" t="str">
        <f>"H0029087"</f>
        <v>H0029087</v>
      </c>
      <c r="B3679" s="5" t="str">
        <f>"ELECTROBISTURI (Proyecto Minsalud)"</f>
        <v>ELECTROBISTURI (Proyecto Minsalud)</v>
      </c>
      <c r="C3679" s="6">
        <v>25412450</v>
      </c>
      <c r="D3679" s="5" t="s">
        <v>310</v>
      </c>
      <c r="E3679" s="5" t="str">
        <f t="shared" si="171"/>
        <v>QUIROFANO -MARIA DEL PILAR MEDINA</v>
      </c>
      <c r="F3679" s="5"/>
      <c r="G3679" s="5"/>
    </row>
    <row r="3680" spans="1:7" ht="58.5" customHeight="1" x14ac:dyDescent="0.25">
      <c r="A3680" s="5" t="str">
        <f>"H0029088"</f>
        <v>H0029088</v>
      </c>
      <c r="B3680" s="5" t="str">
        <f>"ELECTROBISTURI (Proyecto Minsalud)"</f>
        <v>ELECTROBISTURI (Proyecto Minsalud)</v>
      </c>
      <c r="C3680" s="6">
        <v>25412450</v>
      </c>
      <c r="D3680" s="5" t="s">
        <v>310</v>
      </c>
      <c r="E3680" s="5" t="str">
        <f t="shared" ref="E3680:E3743" si="174">"QUIROFANO -MARIA DEL PILAR MEDINA"</f>
        <v>QUIROFANO -MARIA DEL PILAR MEDINA</v>
      </c>
      <c r="F3680" s="5"/>
      <c r="G3680" s="5"/>
    </row>
    <row r="3681" spans="1:7" ht="58.5" customHeight="1" x14ac:dyDescent="0.25">
      <c r="A3681" s="5" t="str">
        <f>"H0029089"</f>
        <v>H0029089</v>
      </c>
      <c r="B3681" s="5" t="str">
        <f>"ELECTROBISTURI (Proyecto Minsalud)"</f>
        <v>ELECTROBISTURI (Proyecto Minsalud)</v>
      </c>
      <c r="C3681" s="6">
        <v>25412450</v>
      </c>
      <c r="D3681" s="5" t="s">
        <v>310</v>
      </c>
      <c r="E3681" s="5" t="str">
        <f t="shared" si="174"/>
        <v>QUIROFANO -MARIA DEL PILAR MEDINA</v>
      </c>
      <c r="F3681" s="5"/>
      <c r="G3681" s="5"/>
    </row>
    <row r="3682" spans="1:7" ht="58.5" customHeight="1" x14ac:dyDescent="0.25">
      <c r="A3682" s="5" t="str">
        <f>"H0029090"</f>
        <v>H0029090</v>
      </c>
      <c r="B3682" s="5" t="str">
        <f>"MONITOR DE AGENTES ANESTESICOS (Proyecto Minsalud)"</f>
        <v>MONITOR DE AGENTES ANESTESICOS (Proyecto Minsalud)</v>
      </c>
      <c r="C3682" s="6">
        <v>47600000</v>
      </c>
      <c r="D3682" s="5" t="s">
        <v>310</v>
      </c>
      <c r="E3682" s="5" t="str">
        <f t="shared" si="174"/>
        <v>QUIROFANO -MARIA DEL PILAR MEDINA</v>
      </c>
      <c r="F3682" s="5"/>
      <c r="G3682" s="5" t="str">
        <f>"N-CAIO-00"</f>
        <v>N-CAIO-00</v>
      </c>
    </row>
    <row r="3683" spans="1:7" ht="58.5" customHeight="1" x14ac:dyDescent="0.25">
      <c r="A3683" s="5" t="str">
        <f>"H0029091"</f>
        <v>H0029091</v>
      </c>
      <c r="B3683" s="5" t="str">
        <f>"MAQUINA PARA ANESTESIA"</f>
        <v>MAQUINA PARA ANESTESIA</v>
      </c>
      <c r="C3683" s="6">
        <v>99204400</v>
      </c>
      <c r="D3683" s="5" t="s">
        <v>310</v>
      </c>
      <c r="E3683" s="5" t="str">
        <f t="shared" si="174"/>
        <v>QUIROFANO -MARIA DEL PILAR MEDINA</v>
      </c>
      <c r="F3683" s="5"/>
      <c r="G3683" s="5" t="str">
        <f>"CARESTATION 620A1"</f>
        <v>CARESTATION 620A1</v>
      </c>
    </row>
    <row r="3684" spans="1:7" ht="58.5" customHeight="1" x14ac:dyDescent="0.25">
      <c r="A3684" s="5" t="str">
        <f>"H0029110"</f>
        <v>H0029110</v>
      </c>
      <c r="B3684" s="5" t="str">
        <f t="shared" ref="B3684:B3689" si="175">"MESA RIÑONERA"</f>
        <v>MESA RIÑONERA</v>
      </c>
      <c r="C3684" s="6">
        <v>784221.91</v>
      </c>
      <c r="D3684" s="5" t="s">
        <v>13</v>
      </c>
      <c r="E3684" s="5" t="str">
        <f t="shared" si="174"/>
        <v>QUIROFANO -MARIA DEL PILAR MEDINA</v>
      </c>
      <c r="F3684" s="5"/>
      <c r="G3684" s="5" t="str">
        <f>"M-174"</f>
        <v>M-174</v>
      </c>
    </row>
    <row r="3685" spans="1:7" ht="58.5" customHeight="1" x14ac:dyDescent="0.25">
      <c r="A3685" s="5" t="str">
        <f>"H0029111"</f>
        <v>H0029111</v>
      </c>
      <c r="B3685" s="5" t="str">
        <f t="shared" si="175"/>
        <v>MESA RIÑONERA</v>
      </c>
      <c r="C3685" s="6">
        <v>784221.91</v>
      </c>
      <c r="D3685" s="5" t="s">
        <v>13</v>
      </c>
      <c r="E3685" s="5" t="str">
        <f t="shared" si="174"/>
        <v>QUIROFANO -MARIA DEL PILAR MEDINA</v>
      </c>
      <c r="F3685" s="5"/>
      <c r="G3685" s="5" t="str">
        <f>"M174"</f>
        <v>M174</v>
      </c>
    </row>
    <row r="3686" spans="1:7" ht="58.5" customHeight="1" x14ac:dyDescent="0.25">
      <c r="A3686" s="5" t="str">
        <f>"H0029112"</f>
        <v>H0029112</v>
      </c>
      <c r="B3686" s="5" t="str">
        <f t="shared" si="175"/>
        <v>MESA RIÑONERA</v>
      </c>
      <c r="C3686" s="6">
        <v>784221.91</v>
      </c>
      <c r="D3686" s="5" t="s">
        <v>13</v>
      </c>
      <c r="E3686" s="5" t="str">
        <f t="shared" si="174"/>
        <v>QUIROFANO -MARIA DEL PILAR MEDINA</v>
      </c>
      <c r="F3686" s="5"/>
      <c r="G3686" s="5" t="str">
        <f>"M174"</f>
        <v>M174</v>
      </c>
    </row>
    <row r="3687" spans="1:7" ht="58.5" customHeight="1" x14ac:dyDescent="0.25">
      <c r="A3687" s="5" t="str">
        <f>"H0029113"</f>
        <v>H0029113</v>
      </c>
      <c r="B3687" s="5" t="str">
        <f t="shared" si="175"/>
        <v>MESA RIÑONERA</v>
      </c>
      <c r="C3687" s="6">
        <v>784221.91</v>
      </c>
      <c r="D3687" s="5" t="s">
        <v>13</v>
      </c>
      <c r="E3687" s="5" t="str">
        <f t="shared" si="174"/>
        <v>QUIROFANO -MARIA DEL PILAR MEDINA</v>
      </c>
      <c r="F3687" s="5"/>
      <c r="G3687" s="5" t="str">
        <f>"M174"</f>
        <v>M174</v>
      </c>
    </row>
    <row r="3688" spans="1:7" ht="58.5" customHeight="1" x14ac:dyDescent="0.25">
      <c r="A3688" s="5" t="str">
        <f>"H0029114"</f>
        <v>H0029114</v>
      </c>
      <c r="B3688" s="5" t="str">
        <f t="shared" si="175"/>
        <v>MESA RIÑONERA</v>
      </c>
      <c r="C3688" s="6">
        <v>784221.91</v>
      </c>
      <c r="D3688" s="5" t="s">
        <v>13</v>
      </c>
      <c r="E3688" s="5" t="str">
        <f t="shared" si="174"/>
        <v>QUIROFANO -MARIA DEL PILAR MEDINA</v>
      </c>
      <c r="F3688" s="5"/>
      <c r="G3688" s="5" t="str">
        <f>"M174"</f>
        <v>M174</v>
      </c>
    </row>
    <row r="3689" spans="1:7" ht="58.5" customHeight="1" x14ac:dyDescent="0.25">
      <c r="A3689" s="5" t="str">
        <f>"H0029115"</f>
        <v>H0029115</v>
      </c>
      <c r="B3689" s="5" t="str">
        <f t="shared" si="175"/>
        <v>MESA RIÑONERA</v>
      </c>
      <c r="C3689" s="6">
        <v>784221.91</v>
      </c>
      <c r="D3689" s="5" t="s">
        <v>13</v>
      </c>
      <c r="E3689" s="5" t="str">
        <f t="shared" si="174"/>
        <v>QUIROFANO -MARIA DEL PILAR MEDINA</v>
      </c>
      <c r="F3689" s="5"/>
      <c r="G3689" s="5" t="str">
        <f>"M174"</f>
        <v>M174</v>
      </c>
    </row>
    <row r="3690" spans="1:7" ht="58.5" customHeight="1" x14ac:dyDescent="0.25">
      <c r="A3690" s="5" t="str">
        <f>"H0029141"</f>
        <v>H0029141</v>
      </c>
      <c r="B369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690" s="6">
        <v>2902000</v>
      </c>
      <c r="D3690" s="5" t="s">
        <v>13</v>
      </c>
      <c r="E3690" s="5" t="str">
        <f t="shared" si="174"/>
        <v>QUIROFANO -MARIA DEL PILAR MEDINA</v>
      </c>
      <c r="F3690" s="5"/>
      <c r="G3690" s="5"/>
    </row>
    <row r="3691" spans="1:7" ht="58.5" customHeight="1" x14ac:dyDescent="0.25">
      <c r="A3691" s="5" t="str">
        <f>"H0029146"</f>
        <v>H0029146</v>
      </c>
      <c r="B369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691" s="6">
        <v>2902000</v>
      </c>
      <c r="D3691" s="5" t="s">
        <v>13</v>
      </c>
      <c r="E3691" s="5" t="str">
        <f t="shared" si="174"/>
        <v>QUIROFANO -MARIA DEL PILAR MEDINA</v>
      </c>
      <c r="F3691" s="5"/>
      <c r="G3691" s="5"/>
    </row>
    <row r="3692" spans="1:7" ht="58.5" customHeight="1" x14ac:dyDescent="0.25">
      <c r="A3692" s="5" t="str">
        <f>"H0029147"</f>
        <v>H0029147</v>
      </c>
      <c r="B369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3692" s="6">
        <v>2902000</v>
      </c>
      <c r="D3692" s="5" t="s">
        <v>13</v>
      </c>
      <c r="E3692" s="5" t="str">
        <f t="shared" si="174"/>
        <v>QUIROFANO -MARIA DEL PILAR MEDINA</v>
      </c>
      <c r="F3692" s="5"/>
      <c r="G3692" s="5"/>
    </row>
    <row r="3693" spans="1:7" ht="58.5" customHeight="1" x14ac:dyDescent="0.25">
      <c r="A3693" s="5" t="str">
        <f>"H0029161"</f>
        <v>H0029161</v>
      </c>
      <c r="B369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693" s="6">
        <v>2425000</v>
      </c>
      <c r="D3693" s="5" t="s">
        <v>13</v>
      </c>
      <c r="E3693" s="5" t="str">
        <f t="shared" si="174"/>
        <v>QUIROFANO -MARIA DEL PILAR MEDINA</v>
      </c>
      <c r="F3693" s="5"/>
      <c r="G3693" s="5" t="str">
        <f>"V330-14LKB"</f>
        <v>V330-14LKB</v>
      </c>
    </row>
    <row r="3694" spans="1:7" ht="58.5" customHeight="1" x14ac:dyDescent="0.25">
      <c r="A3694" s="5" t="str">
        <f>"H0029212"</f>
        <v>H0029212</v>
      </c>
      <c r="B3694" s="5" t="str">
        <f>"FACOEMULSIFICADOR CONSTELLATION"</f>
        <v>FACOEMULSIFICADOR CONSTELLATION</v>
      </c>
      <c r="C3694" s="6">
        <v>272577830</v>
      </c>
      <c r="D3694" s="5" t="s">
        <v>311</v>
      </c>
      <c r="E3694" s="5" t="str">
        <f t="shared" si="174"/>
        <v>QUIROFANO -MARIA DEL PILAR MEDINA</v>
      </c>
      <c r="F3694" s="5"/>
      <c r="G3694" s="5"/>
    </row>
    <row r="3695" spans="1:7" ht="58.5" customHeight="1" x14ac:dyDescent="0.25">
      <c r="A3695" s="5" t="str">
        <f>"H0029213"</f>
        <v>H0029213</v>
      </c>
      <c r="B3695" s="5" t="str">
        <f>"CARRO DE TRANSPORTE UNIVERSAL PARA ELECTROBISTURI/ ELECTROCARDIOGRAFO"</f>
        <v>CARRO DE TRANSPORTE UNIVERSAL PARA ELECTROBISTURI/ ELECTROCARDIOGRAFO</v>
      </c>
      <c r="C3695" s="6">
        <v>902500.83</v>
      </c>
      <c r="D3695" s="5" t="s">
        <v>223</v>
      </c>
      <c r="E3695" s="5" t="str">
        <f t="shared" si="174"/>
        <v>QUIROFANO -MARIA DEL PILAR MEDINA</v>
      </c>
      <c r="F3695" s="5"/>
      <c r="G3695" s="5"/>
    </row>
    <row r="3696" spans="1:7" ht="58.5" customHeight="1" x14ac:dyDescent="0.25">
      <c r="A3696" s="5" t="str">
        <f>"H0029217"</f>
        <v>H0029217</v>
      </c>
      <c r="B3696" s="5" t="str">
        <f>"CARRO DE TRANSPORTE UNIVERSAL PARA ELECTROBISTURI/ ELECTROCARDIOGRAFO"</f>
        <v>CARRO DE TRANSPORTE UNIVERSAL PARA ELECTROBISTURI/ ELECTROCARDIOGRAFO</v>
      </c>
      <c r="C3696" s="6">
        <v>902500.83</v>
      </c>
      <c r="D3696" s="5" t="s">
        <v>223</v>
      </c>
      <c r="E3696" s="5" t="str">
        <f t="shared" si="174"/>
        <v>QUIROFANO -MARIA DEL PILAR MEDINA</v>
      </c>
      <c r="F3696" s="5"/>
      <c r="G3696" s="5"/>
    </row>
    <row r="3697" spans="1:7" ht="58.5" customHeight="1" x14ac:dyDescent="0.25">
      <c r="A3697" s="5" t="str">
        <f>"H0029219"</f>
        <v>H0029219</v>
      </c>
      <c r="B3697" s="5" t="str">
        <f t="shared" ref="B3697:B3703" si="176">"MESA DE MAYO"</f>
        <v>MESA DE MAYO</v>
      </c>
      <c r="C3697" s="6">
        <v>637078.36</v>
      </c>
      <c r="D3697" s="5" t="s">
        <v>249</v>
      </c>
      <c r="E3697" s="5" t="str">
        <f t="shared" si="174"/>
        <v>QUIROFANO -MARIA DEL PILAR MEDINA</v>
      </c>
      <c r="F3697" s="5"/>
      <c r="G3697" s="5"/>
    </row>
    <row r="3698" spans="1:7" ht="58.5" customHeight="1" x14ac:dyDescent="0.25">
      <c r="A3698" s="5" t="str">
        <f>"H0029220"</f>
        <v>H0029220</v>
      </c>
      <c r="B3698" s="5" t="str">
        <f t="shared" si="176"/>
        <v>MESA DE MAYO</v>
      </c>
      <c r="C3698" s="6">
        <v>637078.36</v>
      </c>
      <c r="D3698" s="5" t="s">
        <v>249</v>
      </c>
      <c r="E3698" s="5" t="str">
        <f t="shared" si="174"/>
        <v>QUIROFANO -MARIA DEL PILAR MEDINA</v>
      </c>
      <c r="F3698" s="5"/>
      <c r="G3698" s="5"/>
    </row>
    <row r="3699" spans="1:7" ht="58.5" customHeight="1" x14ac:dyDescent="0.25">
      <c r="A3699" s="5" t="str">
        <f>"H0029221"</f>
        <v>H0029221</v>
      </c>
      <c r="B3699" s="5" t="str">
        <f t="shared" si="176"/>
        <v>MESA DE MAYO</v>
      </c>
      <c r="C3699" s="6">
        <v>637078.36</v>
      </c>
      <c r="D3699" s="5" t="s">
        <v>249</v>
      </c>
      <c r="E3699" s="5" t="str">
        <f t="shared" si="174"/>
        <v>QUIROFANO -MARIA DEL PILAR MEDINA</v>
      </c>
      <c r="F3699" s="5"/>
      <c r="G3699" s="5"/>
    </row>
    <row r="3700" spans="1:7" ht="58.5" customHeight="1" x14ac:dyDescent="0.25">
      <c r="A3700" s="5" t="str">
        <f>"H0029222"</f>
        <v>H0029222</v>
      </c>
      <c r="B3700" s="5" t="str">
        <f t="shared" si="176"/>
        <v>MESA DE MAYO</v>
      </c>
      <c r="C3700" s="6">
        <v>637078.36</v>
      </c>
      <c r="D3700" s="5" t="s">
        <v>249</v>
      </c>
      <c r="E3700" s="5" t="str">
        <f t="shared" si="174"/>
        <v>QUIROFANO -MARIA DEL PILAR MEDINA</v>
      </c>
      <c r="F3700" s="5"/>
      <c r="G3700" s="5"/>
    </row>
    <row r="3701" spans="1:7" ht="58.5" customHeight="1" x14ac:dyDescent="0.25">
      <c r="A3701" s="5" t="str">
        <f>"H0029223"</f>
        <v>H0029223</v>
      </c>
      <c r="B3701" s="5" t="str">
        <f t="shared" si="176"/>
        <v>MESA DE MAYO</v>
      </c>
      <c r="C3701" s="6">
        <v>637078.36</v>
      </c>
      <c r="D3701" s="5" t="s">
        <v>312</v>
      </c>
      <c r="E3701" s="5" t="str">
        <f t="shared" si="174"/>
        <v>QUIROFANO -MARIA DEL PILAR MEDINA</v>
      </c>
      <c r="F3701" s="5"/>
      <c r="G3701" s="5"/>
    </row>
    <row r="3702" spans="1:7" ht="58.5" customHeight="1" x14ac:dyDescent="0.25">
      <c r="A3702" s="5" t="str">
        <f>"H0029224"</f>
        <v>H0029224</v>
      </c>
      <c r="B3702" s="5" t="str">
        <f t="shared" si="176"/>
        <v>MESA DE MAYO</v>
      </c>
      <c r="C3702" s="6">
        <v>637078.36</v>
      </c>
      <c r="D3702" s="5" t="s">
        <v>249</v>
      </c>
      <c r="E3702" s="5" t="str">
        <f t="shared" si="174"/>
        <v>QUIROFANO -MARIA DEL PILAR MEDINA</v>
      </c>
      <c r="F3702" s="5"/>
      <c r="G3702" s="5"/>
    </row>
    <row r="3703" spans="1:7" ht="58.5" customHeight="1" x14ac:dyDescent="0.25">
      <c r="A3703" s="5" t="str">
        <f>"H0029225"</f>
        <v>H0029225</v>
      </c>
      <c r="B3703" s="5" t="str">
        <f t="shared" si="176"/>
        <v>MESA DE MAYO</v>
      </c>
      <c r="C3703" s="6">
        <v>637078.36</v>
      </c>
      <c r="D3703" s="5" t="s">
        <v>249</v>
      </c>
      <c r="E3703" s="5" t="str">
        <f t="shared" si="174"/>
        <v>QUIROFANO -MARIA DEL PILAR MEDINA</v>
      </c>
      <c r="F3703" s="5"/>
      <c r="G3703" s="5"/>
    </row>
    <row r="3704" spans="1:7" ht="58.5" customHeight="1" x14ac:dyDescent="0.25">
      <c r="A3704" s="5" t="str">
        <f>"H0029456"</f>
        <v>H0029456</v>
      </c>
      <c r="B3704" s="5" t="str">
        <f t="shared" ref="B3704:B3711" si="177">"LECTOR DE HUELLAS DIGITALES"</f>
        <v>LECTOR DE HUELLAS DIGITALES</v>
      </c>
      <c r="C3704" s="6">
        <v>309400</v>
      </c>
      <c r="D3704" s="5" t="s">
        <v>14</v>
      </c>
      <c r="E3704" s="5" t="str">
        <f t="shared" si="174"/>
        <v>QUIROFANO -MARIA DEL PILAR MEDINA</v>
      </c>
      <c r="F3704" s="5"/>
      <c r="G3704" s="5"/>
    </row>
    <row r="3705" spans="1:7" ht="58.5" customHeight="1" x14ac:dyDescent="0.25">
      <c r="A3705" s="5" t="str">
        <f>"H0029458"</f>
        <v>H0029458</v>
      </c>
      <c r="B3705" s="5" t="str">
        <f t="shared" si="177"/>
        <v>LECTOR DE HUELLAS DIGITALES</v>
      </c>
      <c r="C3705" s="6">
        <v>309400</v>
      </c>
      <c r="D3705" s="5" t="s">
        <v>14</v>
      </c>
      <c r="E3705" s="5" t="str">
        <f t="shared" si="174"/>
        <v>QUIROFANO -MARIA DEL PILAR MEDINA</v>
      </c>
      <c r="F3705" s="5"/>
      <c r="G3705" s="5"/>
    </row>
    <row r="3706" spans="1:7" ht="58.5" customHeight="1" x14ac:dyDescent="0.25">
      <c r="A3706" s="5" t="str">
        <f>"H0029459"</f>
        <v>H0029459</v>
      </c>
      <c r="B3706" s="5" t="str">
        <f t="shared" si="177"/>
        <v>LECTOR DE HUELLAS DIGITALES</v>
      </c>
      <c r="C3706" s="6">
        <v>309400</v>
      </c>
      <c r="D3706" s="5" t="s">
        <v>14</v>
      </c>
      <c r="E3706" s="5" t="str">
        <f t="shared" si="174"/>
        <v>QUIROFANO -MARIA DEL PILAR MEDINA</v>
      </c>
      <c r="F3706" s="5"/>
      <c r="G3706" s="5"/>
    </row>
    <row r="3707" spans="1:7" ht="58.5" customHeight="1" x14ac:dyDescent="0.25">
      <c r="A3707" s="5" t="str">
        <f>"H0029460"</f>
        <v>H0029460</v>
      </c>
      <c r="B3707" s="5" t="str">
        <f t="shared" si="177"/>
        <v>LECTOR DE HUELLAS DIGITALES</v>
      </c>
      <c r="C3707" s="6">
        <v>309400</v>
      </c>
      <c r="D3707" s="5" t="s">
        <v>14</v>
      </c>
      <c r="E3707" s="5" t="str">
        <f t="shared" si="174"/>
        <v>QUIROFANO -MARIA DEL PILAR MEDINA</v>
      </c>
      <c r="F3707" s="5"/>
      <c r="G3707" s="5"/>
    </row>
    <row r="3708" spans="1:7" ht="58.5" customHeight="1" x14ac:dyDescent="0.25">
      <c r="A3708" s="5" t="str">
        <f>"H0029461"</f>
        <v>H0029461</v>
      </c>
      <c r="B3708" s="5" t="str">
        <f t="shared" si="177"/>
        <v>LECTOR DE HUELLAS DIGITALES</v>
      </c>
      <c r="C3708" s="6">
        <v>309400</v>
      </c>
      <c r="D3708" s="5" t="s">
        <v>14</v>
      </c>
      <c r="E3708" s="5" t="str">
        <f t="shared" si="174"/>
        <v>QUIROFANO -MARIA DEL PILAR MEDINA</v>
      </c>
      <c r="F3708" s="5"/>
      <c r="G3708" s="5"/>
    </row>
    <row r="3709" spans="1:7" ht="58.5" customHeight="1" x14ac:dyDescent="0.25">
      <c r="A3709" s="5" t="str">
        <f>"H0029467"</f>
        <v>H0029467</v>
      </c>
      <c r="B3709" s="5" t="str">
        <f t="shared" si="177"/>
        <v>LECTOR DE HUELLAS DIGITALES</v>
      </c>
      <c r="C3709" s="6">
        <v>309400</v>
      </c>
      <c r="D3709" s="5" t="s">
        <v>14</v>
      </c>
      <c r="E3709" s="5" t="str">
        <f t="shared" si="174"/>
        <v>QUIROFANO -MARIA DEL PILAR MEDINA</v>
      </c>
      <c r="F3709" s="5"/>
      <c r="G3709" s="5"/>
    </row>
    <row r="3710" spans="1:7" ht="58.5" customHeight="1" x14ac:dyDescent="0.25">
      <c r="A3710" s="5" t="str">
        <f>"H0029468"</f>
        <v>H0029468</v>
      </c>
      <c r="B3710" s="5" t="str">
        <f t="shared" si="177"/>
        <v>LECTOR DE HUELLAS DIGITALES</v>
      </c>
      <c r="C3710" s="6">
        <v>309400</v>
      </c>
      <c r="D3710" s="5" t="s">
        <v>14</v>
      </c>
      <c r="E3710" s="5" t="str">
        <f t="shared" si="174"/>
        <v>QUIROFANO -MARIA DEL PILAR MEDINA</v>
      </c>
      <c r="F3710" s="5"/>
      <c r="G3710" s="5"/>
    </row>
    <row r="3711" spans="1:7" ht="58.5" customHeight="1" x14ac:dyDescent="0.25">
      <c r="A3711" s="5" t="str">
        <f>"H0029469"</f>
        <v>H0029469</v>
      </c>
      <c r="B3711" s="5" t="str">
        <f t="shared" si="177"/>
        <v>LECTOR DE HUELLAS DIGITALES</v>
      </c>
      <c r="C3711" s="6">
        <v>309400</v>
      </c>
      <c r="D3711" s="5" t="s">
        <v>14</v>
      </c>
      <c r="E3711" s="5" t="str">
        <f t="shared" si="174"/>
        <v>QUIROFANO -MARIA DEL PILAR MEDINA</v>
      </c>
      <c r="F3711" s="5"/>
      <c r="G3711" s="5"/>
    </row>
    <row r="3712" spans="1:7" ht="58.5" customHeight="1" x14ac:dyDescent="0.25">
      <c r="A3712" s="5" t="str">
        <f>"H0029491"</f>
        <v>H0029491</v>
      </c>
      <c r="B371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712" s="6">
        <v>257040</v>
      </c>
      <c r="D3712" s="5" t="s">
        <v>14</v>
      </c>
      <c r="E3712" s="5" t="str">
        <f t="shared" si="174"/>
        <v>QUIROFANO -MARIA DEL PILAR MEDINA</v>
      </c>
      <c r="F3712" s="5"/>
      <c r="G3712" s="5"/>
    </row>
    <row r="3713" spans="1:7" ht="58.5" customHeight="1" x14ac:dyDescent="0.25">
      <c r="A3713" s="5" t="str">
        <f>"H0029508"</f>
        <v>H0029508</v>
      </c>
      <c r="B371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3713" s="6">
        <v>257040</v>
      </c>
      <c r="D3713" s="5" t="s">
        <v>14</v>
      </c>
      <c r="E3713" s="5" t="str">
        <f t="shared" si="174"/>
        <v>QUIROFANO -MARIA DEL PILAR MEDINA</v>
      </c>
      <c r="F3713" s="5"/>
      <c r="G3713" s="5"/>
    </row>
    <row r="3714" spans="1:7" ht="58.5" customHeight="1" x14ac:dyDescent="0.25">
      <c r="A3714" s="5" t="str">
        <f>"H0029572"</f>
        <v>H0029572</v>
      </c>
      <c r="B371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14" s="6">
        <v>252400.18</v>
      </c>
      <c r="D3714" s="5" t="s">
        <v>15</v>
      </c>
      <c r="E3714" s="5" t="str">
        <f t="shared" si="174"/>
        <v>QUIROFANO -MARIA DEL PILAR MEDINA</v>
      </c>
      <c r="F3714" s="5"/>
      <c r="G3714" s="5"/>
    </row>
    <row r="3715" spans="1:7" ht="58.5" customHeight="1" x14ac:dyDescent="0.25">
      <c r="A3715" s="5" t="str">
        <f>"H0029574"</f>
        <v>H0029574</v>
      </c>
      <c r="B371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15" s="6">
        <v>252400.18</v>
      </c>
      <c r="D3715" s="5" t="s">
        <v>15</v>
      </c>
      <c r="E3715" s="5" t="str">
        <f t="shared" si="174"/>
        <v>QUIROFANO -MARIA DEL PILAR MEDINA</v>
      </c>
      <c r="F3715" s="5"/>
      <c r="G3715" s="5"/>
    </row>
    <row r="3716" spans="1:7" ht="58.5" customHeight="1" x14ac:dyDescent="0.25">
      <c r="A3716" s="5" t="str">
        <f>"H0029607"</f>
        <v>H0029607</v>
      </c>
      <c r="B371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16" s="6">
        <v>252400.18</v>
      </c>
      <c r="D3716" s="5" t="s">
        <v>15</v>
      </c>
      <c r="E3716" s="5" t="str">
        <f t="shared" si="174"/>
        <v>QUIROFANO -MARIA DEL PILAR MEDINA</v>
      </c>
      <c r="F3716" s="5"/>
      <c r="G3716" s="5"/>
    </row>
    <row r="3717" spans="1:7" ht="58.5" customHeight="1" x14ac:dyDescent="0.25">
      <c r="A3717" s="5" t="str">
        <f>"H0029610"</f>
        <v>H0029610</v>
      </c>
      <c r="B371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17" s="6">
        <v>252400.18</v>
      </c>
      <c r="D3717" s="5" t="s">
        <v>15</v>
      </c>
      <c r="E3717" s="5" t="str">
        <f t="shared" si="174"/>
        <v>QUIROFANO -MARIA DEL PILAR MEDINA</v>
      </c>
      <c r="F3717" s="5"/>
      <c r="G3717" s="5"/>
    </row>
    <row r="3718" spans="1:7" ht="58.5" customHeight="1" x14ac:dyDescent="0.25">
      <c r="A3718" s="5" t="str">
        <f>"H0029715"</f>
        <v>H0029715</v>
      </c>
      <c r="B3718" s="5" t="s">
        <v>94</v>
      </c>
      <c r="C3718" s="6">
        <v>148999.9</v>
      </c>
      <c r="D3718" s="5" t="s">
        <v>93</v>
      </c>
      <c r="E3718" s="5" t="str">
        <f t="shared" si="174"/>
        <v>QUIROFANO -MARIA DEL PILAR MEDINA</v>
      </c>
      <c r="F3718" s="5"/>
      <c r="G3718" s="5"/>
    </row>
    <row r="3719" spans="1:7" ht="58.5" customHeight="1" x14ac:dyDescent="0.25">
      <c r="A3719" s="5" t="str">
        <f>"H0029800"</f>
        <v>H0029800</v>
      </c>
      <c r="B371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19" s="6">
        <v>252399.97</v>
      </c>
      <c r="D3719" s="5" t="s">
        <v>189</v>
      </c>
      <c r="E3719" s="5" t="str">
        <f t="shared" si="174"/>
        <v>QUIROFANO -MARIA DEL PILAR MEDINA</v>
      </c>
      <c r="F3719" s="5"/>
      <c r="G3719" s="5"/>
    </row>
    <row r="3720" spans="1:7" ht="58.5" customHeight="1" x14ac:dyDescent="0.25">
      <c r="A3720" s="5" t="str">
        <f>"H0029804"</f>
        <v>H0029804</v>
      </c>
      <c r="B372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20" s="6">
        <v>252399.97</v>
      </c>
      <c r="D3720" s="5" t="s">
        <v>189</v>
      </c>
      <c r="E3720" s="5" t="str">
        <f t="shared" si="174"/>
        <v>QUIROFANO -MARIA DEL PILAR MEDINA</v>
      </c>
      <c r="F3720" s="5"/>
      <c r="G3720" s="5"/>
    </row>
    <row r="3721" spans="1:7" ht="58.5" customHeight="1" x14ac:dyDescent="0.25">
      <c r="A3721" s="5" t="str">
        <f>"H0029847"</f>
        <v>H0029847</v>
      </c>
      <c r="B3721" s="5" t="str">
        <f>"CARRO MOVIL PARA COMPUTADOR PORTATIL CON CANASTA"</f>
        <v>CARRO MOVIL PARA COMPUTADOR PORTATIL CON CANASTA</v>
      </c>
      <c r="C3721" s="6">
        <v>420000</v>
      </c>
      <c r="D3721" s="5" t="s">
        <v>313</v>
      </c>
      <c r="E3721" s="5" t="str">
        <f t="shared" si="174"/>
        <v>QUIROFANO -MARIA DEL PILAR MEDINA</v>
      </c>
      <c r="F3721" s="5"/>
      <c r="G3721" s="5"/>
    </row>
    <row r="3722" spans="1:7" ht="58.5" customHeight="1" x14ac:dyDescent="0.25">
      <c r="A3722" s="5" t="str">
        <f>"H0029848"</f>
        <v>H0029848</v>
      </c>
      <c r="B3722" s="5" t="str">
        <f>"CARRO MOVIL PARA COMPUTADOR PORTATIL CON CANASTA"</f>
        <v>CARRO MOVIL PARA COMPUTADOR PORTATIL CON CANASTA</v>
      </c>
      <c r="C3722" s="6">
        <v>420000</v>
      </c>
      <c r="D3722" s="5" t="s">
        <v>313</v>
      </c>
      <c r="E3722" s="5" t="str">
        <f t="shared" si="174"/>
        <v>QUIROFANO -MARIA DEL PILAR MEDINA</v>
      </c>
      <c r="F3722" s="5"/>
      <c r="G3722" s="5"/>
    </row>
    <row r="3723" spans="1:7" ht="58.5" customHeight="1" x14ac:dyDescent="0.25">
      <c r="A3723" s="5" t="str">
        <f>"H0029849"</f>
        <v>H0029849</v>
      </c>
      <c r="B3723" s="5" t="str">
        <f>"CARRO MOVIL PARA COMPUTADOR PORTATIL CON CANASTA"</f>
        <v>CARRO MOVIL PARA COMPUTADOR PORTATIL CON CANASTA</v>
      </c>
      <c r="C3723" s="6">
        <v>420000</v>
      </c>
      <c r="D3723" s="5" t="s">
        <v>313</v>
      </c>
      <c r="E3723" s="5" t="str">
        <f t="shared" si="174"/>
        <v>QUIROFANO -MARIA DEL PILAR MEDINA</v>
      </c>
      <c r="F3723" s="5"/>
      <c r="G3723" s="5"/>
    </row>
    <row r="3724" spans="1:7" ht="58.5" customHeight="1" x14ac:dyDescent="0.25">
      <c r="A3724" s="5" t="str">
        <f>"H0029850"</f>
        <v>H0029850</v>
      </c>
      <c r="B3724" s="5" t="str">
        <f>"CARRO MOVIL PARA COMPUTADOR PORTATIL CON CANASTA"</f>
        <v>CARRO MOVIL PARA COMPUTADOR PORTATIL CON CANASTA</v>
      </c>
      <c r="C3724" s="6">
        <v>420000</v>
      </c>
      <c r="D3724" s="5" t="s">
        <v>313</v>
      </c>
      <c r="E3724" s="5" t="str">
        <f t="shared" si="174"/>
        <v>QUIROFANO -MARIA DEL PILAR MEDINA</v>
      </c>
      <c r="F3724" s="5"/>
      <c r="G3724" s="5"/>
    </row>
    <row r="3725" spans="1:7" ht="58.5" customHeight="1" x14ac:dyDescent="0.25">
      <c r="A3725" s="5" t="str">
        <f>"H0029937"</f>
        <v>H0029937</v>
      </c>
      <c r="B3725" s="5" t="s">
        <v>273</v>
      </c>
      <c r="C3725" s="6">
        <v>2010000</v>
      </c>
      <c r="D3725" s="5" t="s">
        <v>225</v>
      </c>
      <c r="E3725" s="5" t="str">
        <f t="shared" si="174"/>
        <v>QUIROFANO -MARIA DEL PILAR MEDINA</v>
      </c>
      <c r="F3725" s="5"/>
      <c r="G3725" s="5"/>
    </row>
    <row r="3726" spans="1:7" ht="58.5" customHeight="1" x14ac:dyDescent="0.25">
      <c r="A3726" s="5" t="str">
        <f>"H0029938"</f>
        <v>H0029938</v>
      </c>
      <c r="B3726" s="5" t="s">
        <v>273</v>
      </c>
      <c r="C3726" s="6">
        <v>2010000</v>
      </c>
      <c r="D3726" s="5" t="s">
        <v>225</v>
      </c>
      <c r="E3726" s="5" t="str">
        <f t="shared" si="174"/>
        <v>QUIROFANO -MARIA DEL PILAR MEDINA</v>
      </c>
      <c r="F3726" s="5"/>
      <c r="G3726" s="5"/>
    </row>
    <row r="3727" spans="1:7" ht="58.5" customHeight="1" x14ac:dyDescent="0.25">
      <c r="A3727" s="5" t="str">
        <f>"H0029939"</f>
        <v>H0029939</v>
      </c>
      <c r="B3727" s="5" t="s">
        <v>273</v>
      </c>
      <c r="C3727" s="6">
        <v>2010000</v>
      </c>
      <c r="D3727" s="5" t="s">
        <v>225</v>
      </c>
      <c r="E3727" s="5" t="str">
        <f t="shared" si="174"/>
        <v>QUIROFANO -MARIA DEL PILAR MEDINA</v>
      </c>
      <c r="F3727" s="5"/>
      <c r="G3727" s="5"/>
    </row>
    <row r="3728" spans="1:7" ht="58.5" customHeight="1" x14ac:dyDescent="0.25">
      <c r="A3728" s="5" t="str">
        <f>"H0029940"</f>
        <v>H0029940</v>
      </c>
      <c r="B3728" s="5" t="s">
        <v>273</v>
      </c>
      <c r="C3728" s="6">
        <v>2010000</v>
      </c>
      <c r="D3728" s="5" t="s">
        <v>225</v>
      </c>
      <c r="E3728" s="5" t="str">
        <f t="shared" si="174"/>
        <v>QUIROFANO -MARIA DEL PILAR MEDINA</v>
      </c>
      <c r="F3728" s="5"/>
      <c r="G3728" s="5"/>
    </row>
    <row r="3729" spans="1:7" ht="58.5" customHeight="1" x14ac:dyDescent="0.25">
      <c r="A3729" s="5" t="str">
        <f>"H0029944"</f>
        <v>H0029944</v>
      </c>
      <c r="B3729" s="5" t="str">
        <f>"ESET SMALL OFFICE SECURITY 1 AÑO"</f>
        <v>ESET SMALL OFFICE SECURITY 1 AÑO</v>
      </c>
      <c r="C3729" s="6">
        <v>50000</v>
      </c>
      <c r="D3729" s="5" t="s">
        <v>225</v>
      </c>
      <c r="E3729" s="5" t="str">
        <f t="shared" si="174"/>
        <v>QUIROFANO -MARIA DEL PILAR MEDINA</v>
      </c>
      <c r="F3729" s="5"/>
      <c r="G3729" s="5"/>
    </row>
    <row r="3730" spans="1:7" ht="58.5" customHeight="1" x14ac:dyDescent="0.25">
      <c r="A3730" s="5" t="str">
        <f>"H0029945"</f>
        <v>H0029945</v>
      </c>
      <c r="B3730" s="5" t="str">
        <f>"ESET SMALL OFFICE SECURITY 1 AÑO"</f>
        <v>ESET SMALL OFFICE SECURITY 1 AÑO</v>
      </c>
      <c r="C3730" s="6">
        <v>50000</v>
      </c>
      <c r="D3730" s="5" t="s">
        <v>225</v>
      </c>
      <c r="E3730" s="5" t="str">
        <f t="shared" si="174"/>
        <v>QUIROFANO -MARIA DEL PILAR MEDINA</v>
      </c>
      <c r="F3730" s="5"/>
      <c r="G3730" s="5"/>
    </row>
    <row r="3731" spans="1:7" ht="58.5" customHeight="1" x14ac:dyDescent="0.25">
      <c r="A3731" s="5" t="str">
        <f>"H0029946"</f>
        <v>H0029946</v>
      </c>
      <c r="B3731" s="5" t="str">
        <f>"ESET SMALL OFFICE SECURITY 1 AÑO"</f>
        <v>ESET SMALL OFFICE SECURITY 1 AÑO</v>
      </c>
      <c r="C3731" s="6">
        <v>50000</v>
      </c>
      <c r="D3731" s="5" t="s">
        <v>225</v>
      </c>
      <c r="E3731" s="5" t="str">
        <f t="shared" si="174"/>
        <v>QUIROFANO -MARIA DEL PILAR MEDINA</v>
      </c>
      <c r="F3731" s="5"/>
      <c r="G3731" s="5"/>
    </row>
    <row r="3732" spans="1:7" ht="58.5" customHeight="1" x14ac:dyDescent="0.25">
      <c r="A3732" s="5" t="str">
        <f>"H0029947"</f>
        <v>H0029947</v>
      </c>
      <c r="B3732" s="5" t="str">
        <f>"ESET SMALL OFFICE SECURITY 1 AÑO"</f>
        <v>ESET SMALL OFFICE SECURITY 1 AÑO</v>
      </c>
      <c r="C3732" s="6">
        <v>50000</v>
      </c>
      <c r="D3732" s="5" t="s">
        <v>225</v>
      </c>
      <c r="E3732" s="5" t="str">
        <f t="shared" si="174"/>
        <v>QUIROFANO -MARIA DEL PILAR MEDINA</v>
      </c>
      <c r="F3732" s="5"/>
      <c r="G3732" s="5"/>
    </row>
    <row r="3733" spans="1:7" ht="58.5" customHeight="1" x14ac:dyDescent="0.25">
      <c r="A3733" s="5" t="str">
        <f>"H0029951"</f>
        <v>H0029951</v>
      </c>
      <c r="B3733" s="5" t="str">
        <f>"MEMORIA 4GB DDR4 2400MHz SODIMM"</f>
        <v>MEMORIA 4GB DDR4 2400MHz SODIMM</v>
      </c>
      <c r="C3733" s="6">
        <v>110000</v>
      </c>
      <c r="D3733" s="5" t="s">
        <v>225</v>
      </c>
      <c r="E3733" s="5" t="str">
        <f t="shared" si="174"/>
        <v>QUIROFANO -MARIA DEL PILAR MEDINA</v>
      </c>
      <c r="F3733" s="5"/>
      <c r="G3733" s="5"/>
    </row>
    <row r="3734" spans="1:7" ht="58.5" customHeight="1" x14ac:dyDescent="0.25">
      <c r="A3734" s="5" t="str">
        <f>"H0029952"</f>
        <v>H0029952</v>
      </c>
      <c r="B3734" s="5" t="str">
        <f>"MEMORIA 4GB DDR4 2400MHz SODIMM"</f>
        <v>MEMORIA 4GB DDR4 2400MHz SODIMM</v>
      </c>
      <c r="C3734" s="6">
        <v>110000</v>
      </c>
      <c r="D3734" s="5" t="s">
        <v>225</v>
      </c>
      <c r="E3734" s="5" t="str">
        <f t="shared" si="174"/>
        <v>QUIROFANO -MARIA DEL PILAR MEDINA</v>
      </c>
      <c r="F3734" s="5"/>
      <c r="G3734" s="5"/>
    </row>
    <row r="3735" spans="1:7" ht="58.5" customHeight="1" x14ac:dyDescent="0.25">
      <c r="A3735" s="5" t="str">
        <f>"H0029953"</f>
        <v>H0029953</v>
      </c>
      <c r="B3735" s="5" t="str">
        <f>"MEMORIA 4GB DDR4 2400MHz SODIMM"</f>
        <v>MEMORIA 4GB DDR4 2400MHz SODIMM</v>
      </c>
      <c r="C3735" s="6">
        <v>110000</v>
      </c>
      <c r="D3735" s="5" t="s">
        <v>225</v>
      </c>
      <c r="E3735" s="5" t="str">
        <f t="shared" si="174"/>
        <v>QUIROFANO -MARIA DEL PILAR MEDINA</v>
      </c>
      <c r="F3735" s="5"/>
      <c r="G3735" s="5"/>
    </row>
    <row r="3736" spans="1:7" ht="58.5" customHeight="1" x14ac:dyDescent="0.25">
      <c r="A3736" s="5" t="str">
        <f>"H0029954"</f>
        <v>H0029954</v>
      </c>
      <c r="B3736" s="5" t="str">
        <f>"MEMORIA 4GB DDR4 2400MHz SODIMM"</f>
        <v>MEMORIA 4GB DDR4 2400MHz SODIMM</v>
      </c>
      <c r="C3736" s="6">
        <v>110000</v>
      </c>
      <c r="D3736" s="5" t="s">
        <v>225</v>
      </c>
      <c r="E3736" s="5" t="str">
        <f t="shared" si="174"/>
        <v>QUIROFANO -MARIA DEL PILAR MEDINA</v>
      </c>
      <c r="F3736" s="5"/>
      <c r="G3736" s="5"/>
    </row>
    <row r="3737" spans="1:7" ht="58.5" customHeight="1" x14ac:dyDescent="0.25">
      <c r="A3737" s="5" t="str">
        <f>"H0029958"</f>
        <v>H0029958</v>
      </c>
      <c r="B3737" s="5" t="str">
        <f>"ESET SMALL OFFICE SECURITY 1 AÑO"</f>
        <v>ESET SMALL OFFICE SECURITY 1 AÑO</v>
      </c>
      <c r="C3737" s="6">
        <v>810000</v>
      </c>
      <c r="D3737" s="5" t="s">
        <v>225</v>
      </c>
      <c r="E3737" s="5" t="str">
        <f t="shared" si="174"/>
        <v>QUIROFANO -MARIA DEL PILAR MEDINA</v>
      </c>
      <c r="F3737" s="5"/>
      <c r="G3737" s="5"/>
    </row>
    <row r="3738" spans="1:7" ht="58.5" customHeight="1" x14ac:dyDescent="0.25">
      <c r="A3738" s="5" t="str">
        <f>"H0029959"</f>
        <v>H0029959</v>
      </c>
      <c r="B3738" s="5" t="str">
        <f>"ESET SMALL OFFICE SECURITY 1 AÑO"</f>
        <v>ESET SMALL OFFICE SECURITY 1 AÑO</v>
      </c>
      <c r="C3738" s="6">
        <v>810000</v>
      </c>
      <c r="D3738" s="5" t="s">
        <v>225</v>
      </c>
      <c r="E3738" s="5" t="str">
        <f t="shared" si="174"/>
        <v>QUIROFANO -MARIA DEL PILAR MEDINA</v>
      </c>
      <c r="F3738" s="5"/>
      <c r="G3738" s="5"/>
    </row>
    <row r="3739" spans="1:7" ht="58.5" customHeight="1" x14ac:dyDescent="0.25">
      <c r="A3739" s="5" t="str">
        <f>"H0029960"</f>
        <v>H0029960</v>
      </c>
      <c r="B3739" s="5" t="str">
        <f>"ESET SMALL OFFICE SECURITY 1 AÑO"</f>
        <v>ESET SMALL OFFICE SECURITY 1 AÑO</v>
      </c>
      <c r="C3739" s="6">
        <v>810000</v>
      </c>
      <c r="D3739" s="5" t="s">
        <v>225</v>
      </c>
      <c r="E3739" s="5" t="str">
        <f t="shared" si="174"/>
        <v>QUIROFANO -MARIA DEL PILAR MEDINA</v>
      </c>
      <c r="F3739" s="5"/>
      <c r="G3739" s="5"/>
    </row>
    <row r="3740" spans="1:7" ht="58.5" customHeight="1" x14ac:dyDescent="0.25">
      <c r="A3740" s="5" t="str">
        <f>"H0029961"</f>
        <v>H0029961</v>
      </c>
      <c r="B3740" s="5" t="str">
        <f>"ESET SMALL OFFICE SECURITY 1 AÑO"</f>
        <v>ESET SMALL OFFICE SECURITY 1 AÑO</v>
      </c>
      <c r="C3740" s="6">
        <v>810000</v>
      </c>
      <c r="D3740" s="5" t="s">
        <v>225</v>
      </c>
      <c r="E3740" s="5" t="str">
        <f t="shared" si="174"/>
        <v>QUIROFANO -MARIA DEL PILAR MEDINA</v>
      </c>
      <c r="F3740" s="5"/>
      <c r="G3740" s="5"/>
    </row>
    <row r="3741" spans="1:7" ht="58.5" customHeight="1" x14ac:dyDescent="0.25">
      <c r="A3741" s="5" t="str">
        <f>"H0030099"</f>
        <v>H0030099</v>
      </c>
      <c r="B3741" s="5" t="str">
        <f t="shared" ref="B3741:B3748" si="178">"LOCKER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1" s="6">
        <v>773500</v>
      </c>
      <c r="D3741" s="5" t="s">
        <v>99</v>
      </c>
      <c r="E3741" s="5" t="str">
        <f t="shared" si="174"/>
        <v>QUIROFANO -MARIA DEL PILAR MEDINA</v>
      </c>
      <c r="F3741" s="5"/>
      <c r="G3741" s="5"/>
    </row>
    <row r="3742" spans="1:7" ht="58.5" customHeight="1" x14ac:dyDescent="0.25">
      <c r="A3742" s="5" t="str">
        <f>"H0030100"</f>
        <v>H0030100</v>
      </c>
      <c r="B3742"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2" s="6">
        <v>773500</v>
      </c>
      <c r="D3742" s="5" t="s">
        <v>99</v>
      </c>
      <c r="E3742" s="5" t="str">
        <f t="shared" si="174"/>
        <v>QUIROFANO -MARIA DEL PILAR MEDINA</v>
      </c>
      <c r="F3742" s="5"/>
      <c r="G3742" s="5"/>
    </row>
    <row r="3743" spans="1:7" ht="58.5" customHeight="1" x14ac:dyDescent="0.25">
      <c r="A3743" s="5" t="str">
        <f>"H0030101"</f>
        <v>H0030101</v>
      </c>
      <c r="B3743"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3" s="6">
        <v>773500</v>
      </c>
      <c r="D3743" s="5" t="s">
        <v>99</v>
      </c>
      <c r="E3743" s="5" t="str">
        <f t="shared" si="174"/>
        <v>QUIROFANO -MARIA DEL PILAR MEDINA</v>
      </c>
      <c r="F3743" s="5"/>
      <c r="G3743" s="5"/>
    </row>
    <row r="3744" spans="1:7" ht="58.5" customHeight="1" x14ac:dyDescent="0.25">
      <c r="A3744" s="5" t="str">
        <f>"H0030102"</f>
        <v>H0030102</v>
      </c>
      <c r="B3744"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4" s="6">
        <v>773500</v>
      </c>
      <c r="D3744" s="5" t="s">
        <v>99</v>
      </c>
      <c r="E3744" s="5" t="str">
        <f t="shared" ref="E3744:E3807" si="179">"QUIROFANO -MARIA DEL PILAR MEDINA"</f>
        <v>QUIROFANO -MARIA DEL PILAR MEDINA</v>
      </c>
      <c r="F3744" s="5"/>
      <c r="G3744" s="5"/>
    </row>
    <row r="3745" spans="1:7" ht="58.5" customHeight="1" x14ac:dyDescent="0.25">
      <c r="A3745" s="5" t="str">
        <f>"H0030103"</f>
        <v>H0030103</v>
      </c>
      <c r="B3745"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5" s="6">
        <v>773500</v>
      </c>
      <c r="D3745" s="5" t="s">
        <v>99</v>
      </c>
      <c r="E3745" s="5" t="str">
        <f t="shared" si="179"/>
        <v>QUIROFANO -MARIA DEL PILAR MEDINA</v>
      </c>
      <c r="F3745" s="5"/>
      <c r="G3745" s="5"/>
    </row>
    <row r="3746" spans="1:7" ht="58.5" customHeight="1" x14ac:dyDescent="0.25">
      <c r="A3746" s="5" t="str">
        <f>"H0030104"</f>
        <v>H0030104</v>
      </c>
      <c r="B3746"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6" s="6">
        <v>773500</v>
      </c>
      <c r="D3746" s="5" t="s">
        <v>99</v>
      </c>
      <c r="E3746" s="5" t="str">
        <f t="shared" si="179"/>
        <v>QUIROFANO -MARIA DEL PILAR MEDINA</v>
      </c>
      <c r="F3746" s="5"/>
      <c r="G3746" s="5"/>
    </row>
    <row r="3747" spans="1:7" ht="58.5" customHeight="1" x14ac:dyDescent="0.25">
      <c r="A3747" s="5" t="str">
        <f>"H0030105"</f>
        <v>H0030105</v>
      </c>
      <c r="B3747"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7" s="6">
        <v>773500</v>
      </c>
      <c r="D3747" s="5" t="s">
        <v>99</v>
      </c>
      <c r="E3747" s="5" t="str">
        <f t="shared" si="179"/>
        <v>QUIROFANO -MARIA DEL PILAR MEDINA</v>
      </c>
      <c r="F3747" s="5"/>
      <c r="G3747" s="5"/>
    </row>
    <row r="3748" spans="1:7" ht="58.5" customHeight="1" x14ac:dyDescent="0.25">
      <c r="A3748" s="5" t="str">
        <f>"H0030106"</f>
        <v>H0030106</v>
      </c>
      <c r="B3748" s="5" t="str">
        <f t="shared" si="178"/>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3748" s="6">
        <v>773500</v>
      </c>
      <c r="D3748" s="5" t="s">
        <v>99</v>
      </c>
      <c r="E3748" s="5" t="str">
        <f t="shared" si="179"/>
        <v>QUIROFANO -MARIA DEL PILAR MEDINA</v>
      </c>
      <c r="F3748" s="5"/>
      <c r="G3748" s="5"/>
    </row>
    <row r="3749" spans="1:7" ht="58.5" customHeight="1" x14ac:dyDescent="0.25">
      <c r="A3749" s="5" t="str">
        <f>"H0030108"</f>
        <v>H0030108</v>
      </c>
      <c r="B3749" s="5" t="str">
        <f>"Lockers de 3 columnas 9 puertas, medidas de 1.80 de alto *1.20 de ancho*0.35 de fondo, con portacandado y orificios para ventilación. Metálico, fabricado en lamina cold rolled calibre 22."</f>
        <v>Lockers de 3 columnas 9 puertas, medidas de 1.80 de alto *1.20 de ancho*0.35 de fondo, con portacandado y orificios para ventilación. Metálico, fabricado en lamina cold rolled calibre 22.</v>
      </c>
      <c r="C3749" s="6">
        <v>618800</v>
      </c>
      <c r="D3749" s="5" t="s">
        <v>314</v>
      </c>
      <c r="E3749" s="5" t="str">
        <f t="shared" si="179"/>
        <v>QUIROFANO -MARIA DEL PILAR MEDINA</v>
      </c>
      <c r="F3749" s="5"/>
      <c r="G3749" s="5"/>
    </row>
    <row r="3750" spans="1:7" ht="58.5" customHeight="1" x14ac:dyDescent="0.25">
      <c r="A3750" s="5" t="str">
        <f>"H0030160"</f>
        <v>H0030160</v>
      </c>
      <c r="B375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50" s="6">
        <v>252400</v>
      </c>
      <c r="D3750" s="5" t="s">
        <v>190</v>
      </c>
      <c r="E3750" s="5" t="str">
        <f t="shared" si="179"/>
        <v>QUIROFANO -MARIA DEL PILAR MEDINA</v>
      </c>
      <c r="F3750" s="5"/>
      <c r="G3750" s="5"/>
    </row>
    <row r="3751" spans="1:7" ht="58.5" customHeight="1" x14ac:dyDescent="0.25">
      <c r="A3751" s="5" t="str">
        <f>"H0030161"</f>
        <v>H0030161</v>
      </c>
      <c r="B375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3751" s="6">
        <v>252400</v>
      </c>
      <c r="D3751" s="5" t="s">
        <v>190</v>
      </c>
      <c r="E3751" s="5" t="str">
        <f t="shared" si="179"/>
        <v>QUIROFANO -MARIA DEL PILAR MEDINA</v>
      </c>
      <c r="F3751" s="5"/>
      <c r="G3751" s="5"/>
    </row>
    <row r="3752" spans="1:7" ht="58.5" customHeight="1" x14ac:dyDescent="0.25">
      <c r="A3752" s="5" t="str">
        <f>"H0030210"</f>
        <v>H0030210</v>
      </c>
      <c r="B3752" s="5" t="str">
        <f>"SUCCIONADOR YX980D QYUIRUGICO, 80LTS/MIN.SMAF"</f>
        <v>SUCCIONADOR YX980D QYUIRUGICO, 80LTS/MIN.SMAF</v>
      </c>
      <c r="C3752" s="6">
        <v>4748100</v>
      </c>
      <c r="D3752" s="5" t="s">
        <v>315</v>
      </c>
      <c r="E3752" s="5" t="str">
        <f t="shared" si="179"/>
        <v>QUIROFANO -MARIA DEL PILAR MEDINA</v>
      </c>
      <c r="F3752" s="5"/>
      <c r="G3752" s="5" t="str">
        <f>"YX980D"</f>
        <v>YX980D</v>
      </c>
    </row>
    <row r="3753" spans="1:7" ht="58.5" customHeight="1" x14ac:dyDescent="0.25">
      <c r="A3753" s="5" t="str">
        <f>"H0030212"</f>
        <v>H0030212</v>
      </c>
      <c r="B3753" s="5" t="str">
        <f>"LAMPARA DE CALOR RADIANTE.Lampara HKN9010"</f>
        <v>LAMPARA DE CALOR RADIANTE.Lampara HKN9010</v>
      </c>
      <c r="C3753" s="6">
        <v>17453800</v>
      </c>
      <c r="D3753" s="5" t="s">
        <v>316</v>
      </c>
      <c r="E3753" s="5" t="str">
        <f t="shared" si="179"/>
        <v>QUIROFANO -MARIA DEL PILAR MEDINA</v>
      </c>
      <c r="F3753" s="5"/>
      <c r="G3753" s="5" t="str">
        <f>"HRN 9010"</f>
        <v>HRN 9010</v>
      </c>
    </row>
    <row r="3754" spans="1:7" ht="58.5" customHeight="1" x14ac:dyDescent="0.25">
      <c r="A3754" s="5" t="str">
        <f>"H0031239"</f>
        <v>H0031239</v>
      </c>
      <c r="B3754" s="5" t="str">
        <f>"ACCESS POINT ARUBA 315 BASE Y CARGADOR (CODIGO DONACION)"</f>
        <v>ACCESS POINT ARUBA 315 BASE Y CARGADOR (CODIGO DONACION)</v>
      </c>
      <c r="C3754" s="6">
        <v>2604910</v>
      </c>
      <c r="D3754" s="5" t="s">
        <v>104</v>
      </c>
      <c r="E3754" s="5" t="str">
        <f t="shared" si="179"/>
        <v>QUIROFANO -MARIA DEL PILAR MEDINA</v>
      </c>
      <c r="F3754" s="5"/>
      <c r="G3754" s="5"/>
    </row>
    <row r="3755" spans="1:7" ht="58.5" customHeight="1" x14ac:dyDescent="0.25">
      <c r="A3755" s="5" t="str">
        <f>"H0031511"</f>
        <v>H0031511</v>
      </c>
      <c r="B3755" s="5" t="str">
        <f>"Plataforma Monitor Root, para uso con Radical 7, Radius 7"</f>
        <v>Plataforma Monitor Root, para uso con Radical 7, Radius 7</v>
      </c>
      <c r="C3755" s="6">
        <v>14077700</v>
      </c>
      <c r="D3755" s="5" t="s">
        <v>42</v>
      </c>
      <c r="E3755" s="5" t="str">
        <f t="shared" si="179"/>
        <v>QUIROFANO -MARIA DEL PILAR MEDINA</v>
      </c>
      <c r="F3755" s="5"/>
      <c r="G3755" s="5" t="str">
        <f>"ROOT"</f>
        <v>ROOT</v>
      </c>
    </row>
    <row r="3756" spans="1:7" ht="58.5" customHeight="1" x14ac:dyDescent="0.25">
      <c r="A3756" s="5" t="str">
        <f>"H0031619"</f>
        <v>H0031619</v>
      </c>
      <c r="B3756" s="5" t="str">
        <f>"CAMILLA DE TRASLADO CON BARANDAS"</f>
        <v>CAMILLA DE TRASLADO CON BARANDAS</v>
      </c>
      <c r="C3756" s="6">
        <v>8428770</v>
      </c>
      <c r="D3756" s="5" t="s">
        <v>317</v>
      </c>
      <c r="E3756" s="5" t="str">
        <f t="shared" si="179"/>
        <v>QUIROFANO -MARIA DEL PILAR MEDINA</v>
      </c>
      <c r="F3756" s="5"/>
      <c r="G3756" s="5"/>
    </row>
    <row r="3757" spans="1:7" ht="58.5" customHeight="1" x14ac:dyDescent="0.25">
      <c r="A3757" s="5" t="str">
        <f>"H0031640"</f>
        <v>H0031640</v>
      </c>
      <c r="B3757" s="5" t="str">
        <f>"CALENTADOR CORPORAL"</f>
        <v>CALENTADOR CORPORAL</v>
      </c>
      <c r="C3757" s="6">
        <v>7554441</v>
      </c>
      <c r="D3757" s="5" t="s">
        <v>317</v>
      </c>
      <c r="E3757" s="5" t="str">
        <f t="shared" si="179"/>
        <v>QUIROFANO -MARIA DEL PILAR MEDINA</v>
      </c>
      <c r="F3757" s="5"/>
      <c r="G3757" s="5"/>
    </row>
    <row r="3758" spans="1:7" ht="58.5" customHeight="1" x14ac:dyDescent="0.25">
      <c r="A3758" s="5" t="str">
        <f>"H0031641"</f>
        <v>H0031641</v>
      </c>
      <c r="B3758" s="5" t="str">
        <f>"CALENTADOR CORPORAL"</f>
        <v>CALENTADOR CORPORAL</v>
      </c>
      <c r="C3758" s="6">
        <v>7554441.5</v>
      </c>
      <c r="D3758" s="5" t="s">
        <v>317</v>
      </c>
      <c r="E3758" s="5" t="str">
        <f t="shared" si="179"/>
        <v>QUIROFANO -MARIA DEL PILAR MEDINA</v>
      </c>
      <c r="F3758" s="5"/>
      <c r="G3758" s="5"/>
    </row>
    <row r="3759" spans="1:7" ht="58.5" customHeight="1" x14ac:dyDescent="0.25">
      <c r="A3759" s="5" t="str">
        <f>"H0031642"</f>
        <v>H0031642</v>
      </c>
      <c r="B3759" s="5" t="str">
        <f>"CALENTADOR CORPORAL"</f>
        <v>CALENTADOR CORPORAL</v>
      </c>
      <c r="C3759" s="6">
        <v>7554441.5</v>
      </c>
      <c r="D3759" s="5" t="s">
        <v>317</v>
      </c>
      <c r="E3759" s="5" t="str">
        <f t="shared" si="179"/>
        <v>QUIROFANO -MARIA DEL PILAR MEDINA</v>
      </c>
      <c r="F3759" s="5"/>
      <c r="G3759" s="5"/>
    </row>
    <row r="3760" spans="1:7" ht="58.5" customHeight="1" x14ac:dyDescent="0.25">
      <c r="A3760" s="5" t="str">
        <f>"H0031643"</f>
        <v>H0031643</v>
      </c>
      <c r="B3760" s="5" t="str">
        <f>"CALENTADOR DE FLUIDOS"</f>
        <v>CALENTADOR DE FLUIDOS</v>
      </c>
      <c r="C3760" s="6">
        <v>7765940</v>
      </c>
      <c r="D3760" s="5" t="s">
        <v>317</v>
      </c>
      <c r="E3760" s="5" t="str">
        <f t="shared" si="179"/>
        <v>QUIROFANO -MARIA DEL PILAR MEDINA</v>
      </c>
      <c r="F3760" s="5"/>
      <c r="G3760" s="5"/>
    </row>
    <row r="3761" spans="1:7" ht="58.5" customHeight="1" x14ac:dyDescent="0.25">
      <c r="A3761" s="5" t="str">
        <f>"H0031644"</f>
        <v>H0031644</v>
      </c>
      <c r="B3761" s="5" t="str">
        <f>"CALENTADOR DE FLUIDOS"</f>
        <v>CALENTADOR DE FLUIDOS</v>
      </c>
      <c r="C3761" s="6">
        <v>7765940</v>
      </c>
      <c r="D3761" s="5" t="s">
        <v>317</v>
      </c>
      <c r="E3761" s="5" t="str">
        <f t="shared" si="179"/>
        <v>QUIROFANO -MARIA DEL PILAR MEDINA</v>
      </c>
      <c r="F3761" s="5"/>
      <c r="G3761" s="5"/>
    </row>
    <row r="3762" spans="1:7" ht="58.5" customHeight="1" x14ac:dyDescent="0.25">
      <c r="A3762" s="5" t="str">
        <f>"H0031645"</f>
        <v>H0031645</v>
      </c>
      <c r="B3762" s="5" t="str">
        <f>"ESTIMULADOR DE NERVIO"</f>
        <v>ESTIMULADOR DE NERVIO</v>
      </c>
      <c r="C3762" s="6">
        <v>8133287</v>
      </c>
      <c r="D3762" s="5" t="s">
        <v>317</v>
      </c>
      <c r="E3762" s="5" t="str">
        <f t="shared" si="179"/>
        <v>QUIROFANO -MARIA DEL PILAR MEDINA</v>
      </c>
      <c r="F3762" s="5"/>
      <c r="G3762" s="5"/>
    </row>
    <row r="3763" spans="1:7" ht="58.5" customHeight="1" x14ac:dyDescent="0.25">
      <c r="A3763" s="5" t="str">
        <f>"H0031662"</f>
        <v>H0031662</v>
      </c>
      <c r="B3763" s="5" t="str">
        <f>"MAQUINA PARA ANESTESIA"</f>
        <v>MAQUINA PARA ANESTESIA</v>
      </c>
      <c r="C3763" s="6">
        <v>172375486.5</v>
      </c>
      <c r="D3763" s="5" t="s">
        <v>252</v>
      </c>
      <c r="E3763" s="5" t="str">
        <f t="shared" si="179"/>
        <v>QUIROFANO -MARIA DEL PILAR MEDINA</v>
      </c>
      <c r="F3763" s="5"/>
      <c r="G3763" s="5"/>
    </row>
    <row r="3764" spans="1:7" ht="58.5" customHeight="1" x14ac:dyDescent="0.25">
      <c r="A3764" s="5" t="str">
        <f>"H0031664"</f>
        <v>H0031664</v>
      </c>
      <c r="B3764" s="5" t="str">
        <f>"MONITOR DE SIGNOS VITALES CONPRESIÓN INVASIVA CON AGENTES ANESTESICOS"</f>
        <v>MONITOR DE SIGNOS VITALES CONPRESIÓN INVASIVA CON AGENTES ANESTESICOS</v>
      </c>
      <c r="C3764" s="6">
        <v>39666674.5</v>
      </c>
      <c r="D3764" s="5" t="s">
        <v>252</v>
      </c>
      <c r="E3764" s="5" t="str">
        <f t="shared" si="179"/>
        <v>QUIROFANO -MARIA DEL PILAR MEDINA</v>
      </c>
      <c r="F3764" s="5"/>
      <c r="G3764" s="5" t="str">
        <f>"B450"</f>
        <v>B450</v>
      </c>
    </row>
    <row r="3765" spans="1:7" ht="58.5" customHeight="1" x14ac:dyDescent="0.25">
      <c r="A3765" s="5" t="str">
        <f>"H0031665"</f>
        <v>H0031665</v>
      </c>
      <c r="B3765" s="5" t="str">
        <f>"MONITOR DE SIGNOS VITALES CONPRESIÓN INVASIVA CON AGENTES ANESTESICOS"</f>
        <v>MONITOR DE SIGNOS VITALES CONPRESIÓN INVASIVA CON AGENTES ANESTESICOS</v>
      </c>
      <c r="C3765" s="6">
        <v>39666674.5</v>
      </c>
      <c r="D3765" s="5" t="s">
        <v>252</v>
      </c>
      <c r="E3765" s="5" t="str">
        <f t="shared" si="179"/>
        <v>QUIROFANO -MARIA DEL PILAR MEDINA</v>
      </c>
      <c r="F3765" s="5"/>
      <c r="G3765" s="5" t="str">
        <f>"B450"</f>
        <v>B450</v>
      </c>
    </row>
    <row r="3766" spans="1:7" ht="58.5" customHeight="1" x14ac:dyDescent="0.25">
      <c r="A3766" s="5" t="str">
        <f>"H0031668"</f>
        <v>H0031668</v>
      </c>
      <c r="B3766" s="5" t="str">
        <f>"LAMPARA CIELITICA"</f>
        <v>LAMPARA CIELITICA</v>
      </c>
      <c r="C3766" s="6">
        <v>72986686.670000002</v>
      </c>
      <c r="D3766" s="5" t="s">
        <v>252</v>
      </c>
      <c r="E3766" s="5" t="str">
        <f t="shared" si="179"/>
        <v>QUIROFANO -MARIA DEL PILAR MEDINA</v>
      </c>
      <c r="F3766" s="5"/>
      <c r="G3766" s="5"/>
    </row>
    <row r="3767" spans="1:7" ht="58.5" customHeight="1" x14ac:dyDescent="0.25">
      <c r="A3767" s="5" t="str">
        <f>"H0031669"</f>
        <v>H0031669</v>
      </c>
      <c r="B3767" s="5" t="str">
        <f>"LAMPARA CIELITICA"</f>
        <v>LAMPARA CIELITICA</v>
      </c>
      <c r="C3767" s="6">
        <v>72986686.670000002</v>
      </c>
      <c r="D3767" s="5" t="s">
        <v>252</v>
      </c>
      <c r="E3767" s="5" t="str">
        <f t="shared" si="179"/>
        <v>QUIROFANO -MARIA DEL PILAR MEDINA</v>
      </c>
      <c r="F3767" s="5"/>
      <c r="G3767" s="5"/>
    </row>
    <row r="3768" spans="1:7" ht="58.5" customHeight="1" x14ac:dyDescent="0.25">
      <c r="A3768" s="5" t="str">
        <f>"H0031670"</f>
        <v>H0031670</v>
      </c>
      <c r="B3768" s="5" t="str">
        <f>"LAMPARA CIELITICA"</f>
        <v>LAMPARA CIELITICA</v>
      </c>
      <c r="C3768" s="6">
        <v>72986686.670000002</v>
      </c>
      <c r="D3768" s="5" t="s">
        <v>252</v>
      </c>
      <c r="E3768" s="5" t="str">
        <f t="shared" si="179"/>
        <v>QUIROFANO -MARIA DEL PILAR MEDINA</v>
      </c>
      <c r="F3768" s="5"/>
      <c r="G3768" s="5"/>
    </row>
    <row r="3769" spans="1:7" ht="58.5" customHeight="1" x14ac:dyDescent="0.25">
      <c r="A3769" s="5" t="str">
        <f>"H0031672"</f>
        <v>H0031672</v>
      </c>
      <c r="B3769" s="5" t="str">
        <f>"MESA QUIRURGICA"</f>
        <v>MESA QUIRURGICA</v>
      </c>
      <c r="C3769" s="6">
        <v>79333337.25</v>
      </c>
      <c r="D3769" s="5" t="s">
        <v>252</v>
      </c>
      <c r="E3769" s="5" t="str">
        <f t="shared" si="179"/>
        <v>QUIROFANO -MARIA DEL PILAR MEDINA</v>
      </c>
      <c r="F3769" s="5"/>
      <c r="G3769" s="5"/>
    </row>
    <row r="3770" spans="1:7" ht="58.5" customHeight="1" x14ac:dyDescent="0.25">
      <c r="A3770" s="5" t="str">
        <f>"H0031674"</f>
        <v>H0031674</v>
      </c>
      <c r="B3770" s="5" t="str">
        <f>"MESA QUIRURGICA"</f>
        <v>MESA QUIRURGICA</v>
      </c>
      <c r="C3770" s="6">
        <v>79333337.25</v>
      </c>
      <c r="D3770" s="5" t="s">
        <v>252</v>
      </c>
      <c r="E3770" s="5" t="str">
        <f t="shared" si="179"/>
        <v>QUIROFANO -MARIA DEL PILAR MEDINA</v>
      </c>
      <c r="F3770" s="5"/>
      <c r="G3770" s="5"/>
    </row>
    <row r="3771" spans="1:7" ht="58.5" customHeight="1" x14ac:dyDescent="0.25">
      <c r="A3771" s="5" t="str">
        <f>"H0031690"</f>
        <v>H0031690</v>
      </c>
      <c r="B3771" s="5" t="str">
        <f>"CARRO DE PARO"</f>
        <v>CARRO DE PARO</v>
      </c>
      <c r="C3771" s="6">
        <v>1785000</v>
      </c>
      <c r="D3771" s="5" t="s">
        <v>156</v>
      </c>
      <c r="E3771" s="5" t="str">
        <f t="shared" si="179"/>
        <v>QUIROFANO -MARIA DEL PILAR MEDINA</v>
      </c>
      <c r="F3771" s="5"/>
      <c r="G3771" s="5"/>
    </row>
    <row r="3772" spans="1:7" ht="58.5" customHeight="1" x14ac:dyDescent="0.25">
      <c r="A3772" s="5" t="str">
        <f>"H0031693"</f>
        <v>H0031693</v>
      </c>
      <c r="B3772" s="5" t="str">
        <f>"LARINGOSCOPIO ADULTO"</f>
        <v>LARINGOSCOPIO ADULTO</v>
      </c>
      <c r="C3772" s="6">
        <v>1458607</v>
      </c>
      <c r="D3772" s="5" t="s">
        <v>318</v>
      </c>
      <c r="E3772" s="5" t="str">
        <f t="shared" si="179"/>
        <v>QUIROFANO -MARIA DEL PILAR MEDINA</v>
      </c>
      <c r="F3772" s="5"/>
      <c r="G3772" s="5"/>
    </row>
    <row r="3773" spans="1:7" ht="58.5" customHeight="1" x14ac:dyDescent="0.25">
      <c r="A3773" s="5" t="str">
        <f>"H0031694"</f>
        <v>H0031694</v>
      </c>
      <c r="B3773" s="5" t="str">
        <f>"LARINGOSCOPIO ADULTO"</f>
        <v>LARINGOSCOPIO ADULTO</v>
      </c>
      <c r="C3773" s="6">
        <v>1458607</v>
      </c>
      <c r="D3773" s="5" t="s">
        <v>156</v>
      </c>
      <c r="E3773" s="5" t="str">
        <f t="shared" si="179"/>
        <v>QUIROFANO -MARIA DEL PILAR MEDINA</v>
      </c>
      <c r="F3773" s="5"/>
      <c r="G3773" s="5"/>
    </row>
    <row r="3774" spans="1:7" ht="58.5" customHeight="1" x14ac:dyDescent="0.25">
      <c r="A3774" s="5" t="str">
        <f>"H0031695"</f>
        <v>H0031695</v>
      </c>
      <c r="B3774" s="5" t="str">
        <f>"LARINGOSCOPIO ADULTO"</f>
        <v>LARINGOSCOPIO ADULTO</v>
      </c>
      <c r="C3774" s="6">
        <v>1458607</v>
      </c>
      <c r="D3774" s="5" t="s">
        <v>156</v>
      </c>
      <c r="E3774" s="5" t="str">
        <f t="shared" si="179"/>
        <v>QUIROFANO -MARIA DEL PILAR MEDINA</v>
      </c>
      <c r="F3774" s="5"/>
      <c r="G3774" s="5"/>
    </row>
    <row r="3775" spans="1:7" ht="58.5" customHeight="1" x14ac:dyDescent="0.25">
      <c r="A3775" s="5" t="str">
        <f>"H0031696"</f>
        <v>H0031696</v>
      </c>
      <c r="B3775" s="5" t="str">
        <f>"LARINGOSCOPIO ADULTO"</f>
        <v>LARINGOSCOPIO ADULTO</v>
      </c>
      <c r="C3775" s="6">
        <v>1458607</v>
      </c>
      <c r="D3775" s="5" t="s">
        <v>156</v>
      </c>
      <c r="E3775" s="5" t="str">
        <f t="shared" si="179"/>
        <v>QUIROFANO -MARIA DEL PILAR MEDINA</v>
      </c>
      <c r="F3775" s="5"/>
      <c r="G3775" s="5"/>
    </row>
    <row r="3776" spans="1:7" ht="58.5" customHeight="1" x14ac:dyDescent="0.25">
      <c r="A3776" s="5" t="str">
        <f>"H0031702"</f>
        <v>H0031702</v>
      </c>
      <c r="B3776" s="5" t="str">
        <f>"MESA RIÑONERA"</f>
        <v>MESA RIÑONERA</v>
      </c>
      <c r="C3776" s="6">
        <v>928200</v>
      </c>
      <c r="D3776" s="5" t="s">
        <v>156</v>
      </c>
      <c r="E3776" s="5" t="str">
        <f t="shared" si="179"/>
        <v>QUIROFANO -MARIA DEL PILAR MEDINA</v>
      </c>
      <c r="F3776" s="5"/>
      <c r="G3776" s="5"/>
    </row>
    <row r="3777" spans="1:7" ht="58.5" customHeight="1" x14ac:dyDescent="0.25">
      <c r="A3777" s="5" t="str">
        <f>"H0031760"</f>
        <v>H0031760</v>
      </c>
      <c r="B3777" s="5" t="str">
        <f>"EQUIPO DE HIDROCIRUGIA PARA DESBRIDAMIENTO"</f>
        <v>EQUIPO DE HIDROCIRUGIA PARA DESBRIDAMIENTO</v>
      </c>
      <c r="C3777" s="6">
        <v>27060600</v>
      </c>
      <c r="D3777" s="5" t="s">
        <v>319</v>
      </c>
      <c r="E3777" s="5" t="str">
        <f t="shared" si="179"/>
        <v>QUIROFANO -MARIA DEL PILAR MEDINA</v>
      </c>
      <c r="F3777" s="5"/>
      <c r="G3777" s="5"/>
    </row>
    <row r="3778" spans="1:7" ht="58.5" customHeight="1" x14ac:dyDescent="0.25">
      <c r="A3778" s="5" t="str">
        <f>"H0031761"</f>
        <v>H0031761</v>
      </c>
      <c r="B3778" s="5" t="str">
        <f>"CARRO DE TRANSPORTE PARA EQUIPO DE HIDROCIRUGIA"</f>
        <v>CARRO DE TRANSPORTE PARA EQUIPO DE HIDROCIRUGIA</v>
      </c>
      <c r="C3778" s="6">
        <v>6426000</v>
      </c>
      <c r="D3778" s="5" t="s">
        <v>319</v>
      </c>
      <c r="E3778" s="5" t="str">
        <f t="shared" si="179"/>
        <v>QUIROFANO -MARIA DEL PILAR MEDINA</v>
      </c>
      <c r="F3778" s="5"/>
      <c r="G3778" s="5"/>
    </row>
    <row r="3779" spans="1:7" ht="58.5" customHeight="1" x14ac:dyDescent="0.25">
      <c r="A3779" s="5" t="str">
        <f>"H0031789"</f>
        <v>H0031789</v>
      </c>
      <c r="B3779" s="5" t="str">
        <f>"COAGULADOR BIPOLAR"</f>
        <v>COAGULADOR BIPOLAR</v>
      </c>
      <c r="C3779" s="6">
        <v>38657150</v>
      </c>
      <c r="D3779" s="5" t="s">
        <v>254</v>
      </c>
      <c r="E3779" s="5" t="str">
        <f t="shared" si="179"/>
        <v>QUIROFANO -MARIA DEL PILAR MEDINA</v>
      </c>
      <c r="F3779" s="5" t="str">
        <f>"30-12-2099"</f>
        <v>30-12-2099</v>
      </c>
      <c r="G3779" s="5" t="str">
        <f>"GN 160"</f>
        <v>GN 160</v>
      </c>
    </row>
    <row r="3780" spans="1:7" ht="58.5" customHeight="1" x14ac:dyDescent="0.25">
      <c r="A3780" s="5" t="str">
        <f>"H0031795"</f>
        <v>H0031795</v>
      </c>
      <c r="B3780" s="5" t="str">
        <f>"LOCKER DE 12 PUERTAS 1.39X1.66X0.35 MELAMINA RH COLOR BLANCO INCLUYE CERRADURAY MANIJA POR CASILLERO"</f>
        <v>LOCKER DE 12 PUERTAS 1.39X1.66X0.35 MELAMINA RH COLOR BLANCO INCLUYE CERRADURAY MANIJA POR CASILLERO</v>
      </c>
      <c r="C3780" s="6">
        <v>1450000</v>
      </c>
      <c r="D3780" s="5" t="s">
        <v>253</v>
      </c>
      <c r="E3780" s="5" t="str">
        <f t="shared" si="179"/>
        <v>QUIROFANO -MARIA DEL PILAR MEDINA</v>
      </c>
      <c r="F3780" s="5"/>
      <c r="G3780" s="5"/>
    </row>
    <row r="3781" spans="1:7" ht="58.5" customHeight="1" x14ac:dyDescent="0.25">
      <c r="A3781" s="5" t="str">
        <f>"H0031815"</f>
        <v>H0031815</v>
      </c>
      <c r="B3781" s="5" t="str">
        <f t="shared" ref="B3781:B3790" si="180">"SILLA GIRATORIA SIN BRAZOS CON RODACHINES"</f>
        <v>SILLA GIRATORIA SIN BRAZOS CON RODACHINES</v>
      </c>
      <c r="C3781" s="6">
        <v>244999.56</v>
      </c>
      <c r="D3781" s="5" t="s">
        <v>43</v>
      </c>
      <c r="E3781" s="5" t="str">
        <f t="shared" si="179"/>
        <v>QUIROFANO -MARIA DEL PILAR MEDINA</v>
      </c>
      <c r="F3781" s="5"/>
      <c r="G3781" s="5"/>
    </row>
    <row r="3782" spans="1:7" ht="58.5" customHeight="1" x14ac:dyDescent="0.25">
      <c r="A3782" s="5" t="str">
        <f>"H0031816"</f>
        <v>H0031816</v>
      </c>
      <c r="B3782" s="5" t="str">
        <f t="shared" si="180"/>
        <v>SILLA GIRATORIA SIN BRAZOS CON RODACHINES</v>
      </c>
      <c r="C3782" s="6">
        <v>244999.56</v>
      </c>
      <c r="D3782" s="5" t="s">
        <v>43</v>
      </c>
      <c r="E3782" s="5" t="str">
        <f t="shared" si="179"/>
        <v>QUIROFANO -MARIA DEL PILAR MEDINA</v>
      </c>
      <c r="F3782" s="5"/>
      <c r="G3782" s="5"/>
    </row>
    <row r="3783" spans="1:7" ht="58.5" customHeight="1" x14ac:dyDescent="0.25">
      <c r="A3783" s="5" t="str">
        <f>"H0031817"</f>
        <v>H0031817</v>
      </c>
      <c r="B3783" s="5" t="str">
        <f t="shared" si="180"/>
        <v>SILLA GIRATORIA SIN BRAZOS CON RODACHINES</v>
      </c>
      <c r="C3783" s="6">
        <v>244999.56</v>
      </c>
      <c r="D3783" s="5" t="s">
        <v>43</v>
      </c>
      <c r="E3783" s="5" t="str">
        <f t="shared" si="179"/>
        <v>QUIROFANO -MARIA DEL PILAR MEDINA</v>
      </c>
      <c r="F3783" s="5"/>
      <c r="G3783" s="5"/>
    </row>
    <row r="3784" spans="1:7" ht="58.5" customHeight="1" x14ac:dyDescent="0.25">
      <c r="A3784" s="5" t="str">
        <f>"H0031819"</f>
        <v>H0031819</v>
      </c>
      <c r="B3784" s="5" t="str">
        <f t="shared" si="180"/>
        <v>SILLA GIRATORIA SIN BRAZOS CON RODACHINES</v>
      </c>
      <c r="C3784" s="6">
        <v>244999.56</v>
      </c>
      <c r="D3784" s="5" t="s">
        <v>43</v>
      </c>
      <c r="E3784" s="5" t="str">
        <f t="shared" si="179"/>
        <v>QUIROFANO -MARIA DEL PILAR MEDINA</v>
      </c>
      <c r="F3784" s="5"/>
      <c r="G3784" s="5"/>
    </row>
    <row r="3785" spans="1:7" ht="58.5" customHeight="1" x14ac:dyDescent="0.25">
      <c r="A3785" s="5" t="str">
        <f>"H0031820"</f>
        <v>H0031820</v>
      </c>
      <c r="B3785" s="5" t="str">
        <f t="shared" si="180"/>
        <v>SILLA GIRATORIA SIN BRAZOS CON RODACHINES</v>
      </c>
      <c r="C3785" s="6">
        <v>244999.56</v>
      </c>
      <c r="D3785" s="5" t="s">
        <v>43</v>
      </c>
      <c r="E3785" s="5" t="str">
        <f t="shared" si="179"/>
        <v>QUIROFANO -MARIA DEL PILAR MEDINA</v>
      </c>
      <c r="F3785" s="5"/>
      <c r="G3785" s="5"/>
    </row>
    <row r="3786" spans="1:7" ht="58.5" customHeight="1" x14ac:dyDescent="0.25">
      <c r="A3786" s="5" t="str">
        <f>"H0031821"</f>
        <v>H0031821</v>
      </c>
      <c r="B3786" s="5" t="str">
        <f t="shared" si="180"/>
        <v>SILLA GIRATORIA SIN BRAZOS CON RODACHINES</v>
      </c>
      <c r="C3786" s="6">
        <v>244999.56</v>
      </c>
      <c r="D3786" s="5" t="s">
        <v>43</v>
      </c>
      <c r="E3786" s="5" t="str">
        <f t="shared" si="179"/>
        <v>QUIROFANO -MARIA DEL PILAR MEDINA</v>
      </c>
      <c r="F3786" s="5"/>
      <c r="G3786" s="5"/>
    </row>
    <row r="3787" spans="1:7" ht="58.5" customHeight="1" x14ac:dyDescent="0.25">
      <c r="A3787" s="5" t="str">
        <f>"H0031822"</f>
        <v>H0031822</v>
      </c>
      <c r="B3787" s="5" t="str">
        <f t="shared" si="180"/>
        <v>SILLA GIRATORIA SIN BRAZOS CON RODACHINES</v>
      </c>
      <c r="C3787" s="6">
        <v>244999.56</v>
      </c>
      <c r="D3787" s="5" t="s">
        <v>43</v>
      </c>
      <c r="E3787" s="5" t="str">
        <f t="shared" si="179"/>
        <v>QUIROFANO -MARIA DEL PILAR MEDINA</v>
      </c>
      <c r="F3787" s="5"/>
      <c r="G3787" s="5"/>
    </row>
    <row r="3788" spans="1:7" ht="58.5" customHeight="1" x14ac:dyDescent="0.25">
      <c r="A3788" s="5" t="str">
        <f>"H0031824"</f>
        <v>H0031824</v>
      </c>
      <c r="B3788" s="5" t="str">
        <f t="shared" si="180"/>
        <v>SILLA GIRATORIA SIN BRAZOS CON RODACHINES</v>
      </c>
      <c r="C3788" s="6">
        <v>244999.56</v>
      </c>
      <c r="D3788" s="5" t="s">
        <v>43</v>
      </c>
      <c r="E3788" s="5" t="str">
        <f t="shared" si="179"/>
        <v>QUIROFANO -MARIA DEL PILAR MEDINA</v>
      </c>
      <c r="F3788" s="5"/>
      <c r="G3788" s="5"/>
    </row>
    <row r="3789" spans="1:7" ht="58.5" customHeight="1" x14ac:dyDescent="0.25">
      <c r="A3789" s="5" t="str">
        <f>"H0031828"</f>
        <v>H0031828</v>
      </c>
      <c r="B3789" s="5" t="str">
        <f t="shared" si="180"/>
        <v>SILLA GIRATORIA SIN BRAZOS CON RODACHINES</v>
      </c>
      <c r="C3789" s="6">
        <v>244999.56</v>
      </c>
      <c r="D3789" s="5" t="s">
        <v>43</v>
      </c>
      <c r="E3789" s="5" t="str">
        <f t="shared" si="179"/>
        <v>QUIROFANO -MARIA DEL PILAR MEDINA</v>
      </c>
      <c r="F3789" s="5"/>
      <c r="G3789" s="5"/>
    </row>
    <row r="3790" spans="1:7" ht="58.5" customHeight="1" x14ac:dyDescent="0.25">
      <c r="A3790" s="5" t="str">
        <f>"H0031829"</f>
        <v>H0031829</v>
      </c>
      <c r="B3790" s="5" t="str">
        <f t="shared" si="180"/>
        <v>SILLA GIRATORIA SIN BRAZOS CON RODACHINES</v>
      </c>
      <c r="C3790" s="6">
        <v>244999.56</v>
      </c>
      <c r="D3790" s="5" t="s">
        <v>43</v>
      </c>
      <c r="E3790" s="5" t="str">
        <f t="shared" si="179"/>
        <v>QUIROFANO -MARIA DEL PILAR MEDINA</v>
      </c>
      <c r="F3790" s="5"/>
      <c r="G3790" s="5"/>
    </row>
    <row r="3791" spans="1:7" ht="58.5" customHeight="1" x14ac:dyDescent="0.25">
      <c r="A3791" s="5" t="str">
        <f>"H0031862"</f>
        <v>H0031862</v>
      </c>
      <c r="B3791" s="5" t="str">
        <f>"SOPORTE DE PARED (BRAZO) PARA MONITOR DE SIGNOS VITALES CON ALTURA VARIABLE Y ORGANIZADOR DE CABLES"</f>
        <v>SOPORTE DE PARED (BRAZO) PARA MONITOR DE SIGNOS VITALES CON ALTURA VARIABLE Y ORGANIZADOR DE CABLES</v>
      </c>
      <c r="C3791" s="6">
        <v>1122170</v>
      </c>
      <c r="D3791" s="5" t="s">
        <v>320</v>
      </c>
      <c r="E3791" s="5" t="str">
        <f t="shared" si="179"/>
        <v>QUIROFANO -MARIA DEL PILAR MEDINA</v>
      </c>
      <c r="F3791" s="5"/>
      <c r="G3791" s="5"/>
    </row>
    <row r="3792" spans="1:7" ht="58.5" customHeight="1" x14ac:dyDescent="0.25">
      <c r="A3792" s="5" t="str">
        <f>"H0031863"</f>
        <v>H0031863</v>
      </c>
      <c r="B3792" s="5" t="str">
        <f>"SOPORTE DE PARED (BRAZO) PARA MONITOR DE SIGNOS VITALES CON ALTURA VARIABLE Y ORGANIZADOR DE CABLES"</f>
        <v>SOPORTE DE PARED (BRAZO) PARA MONITOR DE SIGNOS VITALES CON ALTURA VARIABLE Y ORGANIZADOR DE CABLES</v>
      </c>
      <c r="C3792" s="6">
        <v>1122170</v>
      </c>
      <c r="D3792" s="5" t="s">
        <v>320</v>
      </c>
      <c r="E3792" s="5" t="str">
        <f t="shared" si="179"/>
        <v>QUIROFANO -MARIA DEL PILAR MEDINA</v>
      </c>
      <c r="F3792" s="5"/>
      <c r="G3792" s="5"/>
    </row>
    <row r="3793" spans="1:7" ht="58.5" customHeight="1" x14ac:dyDescent="0.25">
      <c r="A3793" s="5" t="str">
        <f>"H0031864"</f>
        <v>H0031864</v>
      </c>
      <c r="B3793" s="5" t="str">
        <f>"SOPORTE DE PARED (BRAZO) PARA MONITOR DE SIGNOS VITALES CON ALTURA VARIABLE Y ORGANIZADOR DE CABLES"</f>
        <v>SOPORTE DE PARED (BRAZO) PARA MONITOR DE SIGNOS VITALES CON ALTURA VARIABLE Y ORGANIZADOR DE CABLES</v>
      </c>
      <c r="C3793" s="6">
        <v>1122170</v>
      </c>
      <c r="D3793" s="5" t="s">
        <v>320</v>
      </c>
      <c r="E3793" s="5" t="str">
        <f t="shared" si="179"/>
        <v>QUIROFANO -MARIA DEL PILAR MEDINA</v>
      </c>
      <c r="F3793" s="5"/>
      <c r="G3793" s="5"/>
    </row>
    <row r="3794" spans="1:7" ht="58.5" customHeight="1" x14ac:dyDescent="0.25">
      <c r="A3794" s="5" t="str">
        <f>"H0031880"</f>
        <v>H0031880</v>
      </c>
      <c r="B3794" s="5" t="str">
        <f>"TORNIQUETE PARA HOMOSTASIS (KOMPRIMETER)"</f>
        <v>TORNIQUETE PARA HOMOSTASIS (KOMPRIMETER)</v>
      </c>
      <c r="C3794" s="6">
        <v>1517251</v>
      </c>
      <c r="D3794" s="5" t="s">
        <v>320</v>
      </c>
      <c r="E3794" s="5" t="str">
        <f t="shared" si="179"/>
        <v>QUIROFANO -MARIA DEL PILAR MEDINA</v>
      </c>
      <c r="F3794" s="5"/>
      <c r="G3794" s="5"/>
    </row>
    <row r="3795" spans="1:7" ht="58.5" customHeight="1" x14ac:dyDescent="0.25">
      <c r="A3795" s="5" t="str">
        <f>"H0031882"</f>
        <v>H0031882</v>
      </c>
      <c r="B3795" s="5" t="str">
        <f>"EQUIPO FOTOFORO"</f>
        <v>EQUIPO FOTOFORO</v>
      </c>
      <c r="C3795" s="6">
        <v>4188800</v>
      </c>
      <c r="D3795" s="5" t="s">
        <v>320</v>
      </c>
      <c r="E3795" s="5" t="str">
        <f t="shared" si="179"/>
        <v>QUIROFANO -MARIA DEL PILAR MEDINA</v>
      </c>
      <c r="F3795" s="5"/>
      <c r="G3795" s="5"/>
    </row>
    <row r="3796" spans="1:7" ht="58.5" customHeight="1" x14ac:dyDescent="0.25">
      <c r="A3796" s="5" t="str">
        <f>"H0031883"</f>
        <v>H0031883</v>
      </c>
      <c r="B3796" s="5" t="str">
        <f>"EQUIPO FOTOFORO"</f>
        <v>EQUIPO FOTOFORO</v>
      </c>
      <c r="C3796" s="6">
        <v>4188800</v>
      </c>
      <c r="D3796" s="5" t="s">
        <v>320</v>
      </c>
      <c r="E3796" s="5" t="str">
        <f t="shared" si="179"/>
        <v>QUIROFANO -MARIA DEL PILAR MEDINA</v>
      </c>
      <c r="F3796" s="5"/>
      <c r="G3796" s="5"/>
    </row>
    <row r="3797" spans="1:7" ht="58.5" customHeight="1" x14ac:dyDescent="0.25">
      <c r="A3797" s="5" t="str">
        <f>"H0031963"</f>
        <v>H0031963</v>
      </c>
      <c r="B3797" s="5" t="str">
        <f>"BOMBA DE INFUSION"</f>
        <v>BOMBA DE INFUSION</v>
      </c>
      <c r="C3797" s="6">
        <v>1900000</v>
      </c>
      <c r="D3797" s="5" t="s">
        <v>107</v>
      </c>
      <c r="E3797" s="5" t="str">
        <f t="shared" si="179"/>
        <v>QUIROFANO -MARIA DEL PILAR MEDINA</v>
      </c>
      <c r="F3797" s="5"/>
      <c r="G3797" s="5"/>
    </row>
    <row r="3798" spans="1:7" ht="58.5" customHeight="1" x14ac:dyDescent="0.25">
      <c r="A3798" s="5" t="str">
        <f>"H0031990"</f>
        <v>H0031990</v>
      </c>
      <c r="B3798" s="5" t="str">
        <f>"EQUIPO FOTOFORO"</f>
        <v>EQUIPO FOTOFORO</v>
      </c>
      <c r="C3798" s="6">
        <v>4188800</v>
      </c>
      <c r="D3798" s="5" t="s">
        <v>321</v>
      </c>
      <c r="E3798" s="5" t="str">
        <f t="shared" si="179"/>
        <v>QUIROFANO -MARIA DEL PILAR MEDINA</v>
      </c>
      <c r="F3798" s="5"/>
      <c r="G3798" s="5"/>
    </row>
    <row r="3799" spans="1:7" ht="58.5" customHeight="1" x14ac:dyDescent="0.25">
      <c r="A3799" s="5" t="str">
        <f>"H0031991"</f>
        <v>H0031991</v>
      </c>
      <c r="B3799" s="5" t="str">
        <f>"RASURADOR QUIRURGICO"</f>
        <v>RASURADOR QUIRURGICO</v>
      </c>
      <c r="C3799" s="6">
        <v>2975000</v>
      </c>
      <c r="D3799" s="5" t="s">
        <v>321</v>
      </c>
      <c r="E3799" s="5" t="str">
        <f t="shared" si="179"/>
        <v>QUIROFANO -MARIA DEL PILAR MEDINA</v>
      </c>
      <c r="F3799" s="5"/>
      <c r="G3799" s="5" t="str">
        <f>"9681"</f>
        <v>9681</v>
      </c>
    </row>
    <row r="3800" spans="1:7" ht="58.5" customHeight="1" x14ac:dyDescent="0.25">
      <c r="A3800" s="5" t="str">
        <f>"H0031992"</f>
        <v>H0031992</v>
      </c>
      <c r="B3800" s="5" t="str">
        <f>"RASURADOR QUIRURGICO"</f>
        <v>RASURADOR QUIRURGICO</v>
      </c>
      <c r="C3800" s="6">
        <v>2975000</v>
      </c>
      <c r="D3800" s="5" t="s">
        <v>321</v>
      </c>
      <c r="E3800" s="5" t="str">
        <f t="shared" si="179"/>
        <v>QUIROFANO -MARIA DEL PILAR MEDINA</v>
      </c>
      <c r="F3800" s="5"/>
      <c r="G3800" s="5" t="str">
        <f>"9681"</f>
        <v>9681</v>
      </c>
    </row>
    <row r="3801" spans="1:7" ht="58.5" customHeight="1" x14ac:dyDescent="0.25">
      <c r="A3801" s="5" t="str">
        <f>"H0032016"</f>
        <v>H0032016</v>
      </c>
      <c r="B3801" s="5" t="str">
        <f>"CUBETA EN ACERO INOXIDABLE SIN TAPA PARA EQUIPO DE RAQUIDEA 23*12 C20"</f>
        <v>CUBETA EN ACERO INOXIDABLE SIN TAPA PARA EQUIPO DE RAQUIDEA 23*12 C20</v>
      </c>
      <c r="C3801" s="6">
        <v>23562</v>
      </c>
      <c r="D3801" s="5" t="s">
        <v>109</v>
      </c>
      <c r="E3801" s="5" t="str">
        <f t="shared" si="179"/>
        <v>QUIROFANO -MARIA DEL PILAR MEDINA</v>
      </c>
      <c r="F3801" s="5"/>
      <c r="G3801" s="5"/>
    </row>
    <row r="3802" spans="1:7" ht="58.5" customHeight="1" x14ac:dyDescent="0.25">
      <c r="A3802" s="5" t="str">
        <f>"H0032022"</f>
        <v>H0032022</v>
      </c>
      <c r="B3802" s="5" t="str">
        <f>"CUBETA EN ACERO INOXIDABLE SIN TAPA PARA EQUIPO DE RAQUIDEA 23*12 C20"</f>
        <v>CUBETA EN ACERO INOXIDABLE SIN TAPA PARA EQUIPO DE RAQUIDEA 23*12 C20</v>
      </c>
      <c r="C3802" s="6">
        <v>23562</v>
      </c>
      <c r="D3802" s="5" t="s">
        <v>109</v>
      </c>
      <c r="E3802" s="5" t="str">
        <f t="shared" si="179"/>
        <v>QUIROFANO -MARIA DEL PILAR MEDINA</v>
      </c>
      <c r="F3802" s="5"/>
      <c r="G3802" s="5"/>
    </row>
    <row r="3803" spans="1:7" ht="58.5" customHeight="1" x14ac:dyDescent="0.25">
      <c r="A3803" s="5" t="str">
        <f>"H0032023"</f>
        <v>H0032023</v>
      </c>
      <c r="B3803" s="5" t="str">
        <f>"CUBETA EN ACERO INOXIDABLE SIN TAPA PARA EQUIPO DE RAQUIDEA 23*12 C20"</f>
        <v>CUBETA EN ACERO INOXIDABLE SIN TAPA PARA EQUIPO DE RAQUIDEA 23*12 C20</v>
      </c>
      <c r="C3803" s="6">
        <v>23562</v>
      </c>
      <c r="D3803" s="5" t="s">
        <v>109</v>
      </c>
      <c r="E3803" s="5" t="str">
        <f t="shared" si="179"/>
        <v>QUIROFANO -MARIA DEL PILAR MEDINA</v>
      </c>
      <c r="F3803" s="5"/>
      <c r="G3803" s="5"/>
    </row>
    <row r="3804" spans="1:7" ht="58.5" customHeight="1" x14ac:dyDescent="0.25">
      <c r="A3804" s="5" t="str">
        <f>"H0032039"</f>
        <v>H0032039</v>
      </c>
      <c r="B3804" s="5" t="str">
        <f>"CUBETA EN ACERO INOXIDABLE SIN TAPA PARA EQUIPO DE RAQUIDEA 23*12 C20"</f>
        <v>CUBETA EN ACERO INOXIDABLE SIN TAPA PARA EQUIPO DE RAQUIDEA 23*12 C20</v>
      </c>
      <c r="C3804" s="6">
        <v>23562</v>
      </c>
      <c r="D3804" s="5" t="s">
        <v>109</v>
      </c>
      <c r="E3804" s="5" t="str">
        <f t="shared" si="179"/>
        <v>QUIROFANO -MARIA DEL PILAR MEDINA</v>
      </c>
      <c r="F3804" s="5"/>
      <c r="G3804" s="5"/>
    </row>
    <row r="3805" spans="1:7" ht="58.5" customHeight="1" x14ac:dyDescent="0.25">
      <c r="A3805" s="5" t="str">
        <f>"H0032046"</f>
        <v>H0032046</v>
      </c>
      <c r="B3805" s="5" t="str">
        <f>"SUCCIONADOR (ASPIRADOR) DE FLUIDOS QUIRURGICO"</f>
        <v>SUCCIONADOR (ASPIRADOR) DE FLUIDOS QUIRURGICO</v>
      </c>
      <c r="C3805" s="6">
        <v>1329000</v>
      </c>
      <c r="D3805" s="5" t="s">
        <v>322</v>
      </c>
      <c r="E3805" s="5" t="str">
        <f t="shared" si="179"/>
        <v>QUIROFANO -MARIA DEL PILAR MEDINA</v>
      </c>
      <c r="F3805" s="5"/>
      <c r="G3805" s="5" t="str">
        <f>"7A3B"</f>
        <v>7A3B</v>
      </c>
    </row>
    <row r="3806" spans="1:7" ht="58.5" customHeight="1" x14ac:dyDescent="0.25">
      <c r="A3806" s="5" t="str">
        <f>"H0032262"</f>
        <v>H0032262</v>
      </c>
      <c r="B3806" s="5" t="str">
        <f>"SUCCIONADOR YX980D (DONACION)"</f>
        <v>SUCCIONADOR YX980D (DONACION)</v>
      </c>
      <c r="C3806" s="6">
        <v>3990000</v>
      </c>
      <c r="D3806" s="5" t="s">
        <v>323</v>
      </c>
      <c r="E3806" s="5" t="str">
        <f t="shared" si="179"/>
        <v>QUIROFANO -MARIA DEL PILAR MEDINA</v>
      </c>
      <c r="F3806" s="5"/>
      <c r="G3806" s="5" t="str">
        <f>"XY980D"</f>
        <v>XY980D</v>
      </c>
    </row>
    <row r="3807" spans="1:7" ht="58.5" customHeight="1" x14ac:dyDescent="0.25">
      <c r="A3807" s="5" t="str">
        <f>"H0032375"</f>
        <v>H0032375</v>
      </c>
      <c r="B3807" s="5" t="str">
        <f>"LARINGO DE FIBRA OPTICA (DONACION)"</f>
        <v>LARINGO DE FIBRA OPTICA (DONACION)</v>
      </c>
      <c r="C3807" s="6">
        <v>1078750</v>
      </c>
      <c r="D3807" s="5" t="s">
        <v>110</v>
      </c>
      <c r="E3807" s="5" t="str">
        <f t="shared" si="179"/>
        <v>QUIROFANO -MARIA DEL PILAR MEDINA</v>
      </c>
      <c r="F3807" s="5"/>
      <c r="G3807" s="5"/>
    </row>
    <row r="3808" spans="1:7" ht="58.5" customHeight="1" x14ac:dyDescent="0.25">
      <c r="A3808" s="5" t="str">
        <f>"H0032377"</f>
        <v>H0032377</v>
      </c>
      <c r="B3808" s="5" t="str">
        <f>"desfibrilador con marcapaso (DONACION)"</f>
        <v>desfibrilador con marcapaso (DONACION)</v>
      </c>
      <c r="C3808" s="6">
        <v>19250000</v>
      </c>
      <c r="D3808" s="5" t="s">
        <v>110</v>
      </c>
      <c r="E3808" s="5" t="str">
        <f t="shared" ref="E3808:E3871" si="181">"QUIROFANO -MARIA DEL PILAR MEDINA"</f>
        <v>QUIROFANO -MARIA DEL PILAR MEDINA</v>
      </c>
      <c r="F3808" s="5"/>
      <c r="G3808" s="5" t="str">
        <f>"DEA DFM100"</f>
        <v>DEA DFM100</v>
      </c>
    </row>
    <row r="3809" spans="1:7" ht="58.5" customHeight="1" x14ac:dyDescent="0.25">
      <c r="A3809" s="5" t="str">
        <f>"H0032380"</f>
        <v>H0032380</v>
      </c>
      <c r="B3809" s="5" t="str">
        <f>"succionador (DONACION)"</f>
        <v>succionador (DONACION)</v>
      </c>
      <c r="C3809" s="6">
        <v>649750</v>
      </c>
      <c r="D3809" s="5" t="s">
        <v>110</v>
      </c>
      <c r="E3809" s="5" t="str">
        <f t="shared" si="181"/>
        <v>QUIROFANO -MARIA DEL PILAR MEDINA</v>
      </c>
      <c r="F3809" s="5"/>
      <c r="G3809" s="5"/>
    </row>
    <row r="3810" spans="1:7" ht="58.5" customHeight="1" x14ac:dyDescent="0.25">
      <c r="A3810" s="5" t="str">
        <f>"H0032381"</f>
        <v>H0032381</v>
      </c>
      <c r="B3810" s="5" t="str">
        <f>"succionador (DONACION)"</f>
        <v>succionador (DONACION)</v>
      </c>
      <c r="C3810" s="6">
        <v>649750</v>
      </c>
      <c r="D3810" s="5" t="s">
        <v>110</v>
      </c>
      <c r="E3810" s="5" t="str">
        <f t="shared" si="181"/>
        <v>QUIROFANO -MARIA DEL PILAR MEDINA</v>
      </c>
      <c r="F3810" s="5"/>
      <c r="G3810" s="5"/>
    </row>
    <row r="3811" spans="1:7" ht="58.5" customHeight="1" x14ac:dyDescent="0.25">
      <c r="A3811" s="5" t="str">
        <f>"H0032383"</f>
        <v>H0032383</v>
      </c>
      <c r="B3811" s="5" t="str">
        <f>"succionador (DONACION)"</f>
        <v>succionador (DONACION)</v>
      </c>
      <c r="C3811" s="6">
        <v>649750</v>
      </c>
      <c r="D3811" s="5" t="s">
        <v>110</v>
      </c>
      <c r="E3811" s="5" t="str">
        <f t="shared" si="181"/>
        <v>QUIROFANO -MARIA DEL PILAR MEDINA</v>
      </c>
      <c r="F3811" s="5"/>
      <c r="G3811" s="5"/>
    </row>
    <row r="3812" spans="1:7" ht="58.5" customHeight="1" x14ac:dyDescent="0.25">
      <c r="A3812" s="5" t="str">
        <f>"H0032516"</f>
        <v>H0032516</v>
      </c>
      <c r="B3812" s="5" t="str">
        <f>"CAMARA DE SEGURIDAD (COVID-19) GRANDE CON SISTEMA DE APERTURA (DONACION)"</f>
        <v>CAMARA DE SEGURIDAD (COVID-19) GRANDE CON SISTEMA DE APERTURA (DONACION)</v>
      </c>
      <c r="C3812" s="6">
        <v>300000</v>
      </c>
      <c r="D3812" s="5" t="s">
        <v>112</v>
      </c>
      <c r="E3812" s="5" t="str">
        <f t="shared" si="181"/>
        <v>QUIROFANO -MARIA DEL PILAR MEDINA</v>
      </c>
      <c r="F3812" s="5"/>
      <c r="G3812" s="5"/>
    </row>
    <row r="3813" spans="1:7" ht="58.5" customHeight="1" x14ac:dyDescent="0.25">
      <c r="A3813" s="5" t="str">
        <f>"H0032517"</f>
        <v>H0032517</v>
      </c>
      <c r="B3813" s="5" t="str">
        <f>"CAMARA DE SEGURIDAD (COVID-19) GRANDE CON SISTEMA DE APERTURA (DONACION)"</f>
        <v>CAMARA DE SEGURIDAD (COVID-19) GRANDE CON SISTEMA DE APERTURA (DONACION)</v>
      </c>
      <c r="C3813" s="6">
        <v>300000</v>
      </c>
      <c r="D3813" s="5" t="s">
        <v>112</v>
      </c>
      <c r="E3813" s="5" t="str">
        <f t="shared" si="181"/>
        <v>QUIROFANO -MARIA DEL PILAR MEDINA</v>
      </c>
      <c r="F3813" s="5"/>
      <c r="G3813" s="5"/>
    </row>
    <row r="3814" spans="1:7" ht="58.5" customHeight="1" x14ac:dyDescent="0.25">
      <c r="A3814" s="5" t="str">
        <f>"H0032527"</f>
        <v>H0032527</v>
      </c>
      <c r="B3814" s="5" t="str">
        <f>"EQUIPO EUROPROBE 2.2 CON UNA SONDA (DONACION)"</f>
        <v>EQUIPO EUROPROBE 2.2 CON UNA SONDA (DONACION)</v>
      </c>
      <c r="C3814" s="6">
        <v>145000000</v>
      </c>
      <c r="D3814" s="5" t="s">
        <v>324</v>
      </c>
      <c r="E3814" s="5" t="str">
        <f t="shared" si="181"/>
        <v>QUIROFANO -MARIA DEL PILAR MEDINA</v>
      </c>
      <c r="F3814" s="5"/>
      <c r="G3814" s="5"/>
    </row>
    <row r="3815" spans="1:7" ht="58.5" customHeight="1" x14ac:dyDescent="0.25">
      <c r="A3815" s="5" t="str">
        <f>"H0032600"</f>
        <v>H0032600</v>
      </c>
      <c r="B3815" s="5" t="str">
        <f>"CAMILLA DE TRANSPORTE Y RECUPERACION (DONACION)"</f>
        <v>CAMILLA DE TRANSPORTE Y RECUPERACION (DONACION)</v>
      </c>
      <c r="C3815" s="6">
        <v>814000</v>
      </c>
      <c r="D3815" s="5" t="s">
        <v>113</v>
      </c>
      <c r="E3815" s="5" t="str">
        <f t="shared" si="181"/>
        <v>QUIROFANO -MARIA DEL PILAR MEDINA</v>
      </c>
      <c r="F3815" s="5"/>
      <c r="G3815" s="5"/>
    </row>
    <row r="3816" spans="1:7" ht="58.5" customHeight="1" x14ac:dyDescent="0.25">
      <c r="A3816" s="5" t="str">
        <f>"H0032629"</f>
        <v>H0032629</v>
      </c>
      <c r="B3816" s="5" t="str">
        <f>"DERMATOMO MANUAL"</f>
        <v>DERMATOMO MANUAL</v>
      </c>
      <c r="C3816" s="6">
        <v>3861550</v>
      </c>
      <c r="D3816" s="5" t="s">
        <v>325</v>
      </c>
      <c r="E3816" s="5" t="str">
        <f t="shared" si="181"/>
        <v>QUIROFANO -MARIA DEL PILAR MEDINA</v>
      </c>
      <c r="F3816" s="5"/>
      <c r="G3816" s="5"/>
    </row>
    <row r="3817" spans="1:7" ht="58.5" customHeight="1" x14ac:dyDescent="0.25">
      <c r="A3817" s="5" t="str">
        <f>"H0032630"</f>
        <v>H0032630</v>
      </c>
      <c r="B3817" s="5" t="str">
        <f>"DERMATOMO MANUAL"</f>
        <v>DERMATOMO MANUAL</v>
      </c>
      <c r="C3817" s="6">
        <v>3861550</v>
      </c>
      <c r="D3817" s="5" t="s">
        <v>325</v>
      </c>
      <c r="E3817" s="5" t="str">
        <f t="shared" si="181"/>
        <v>QUIROFANO -MARIA DEL PILAR MEDINA</v>
      </c>
      <c r="F3817" s="5"/>
      <c r="G3817" s="5"/>
    </row>
    <row r="3818" spans="1:7" ht="58.5" customHeight="1" x14ac:dyDescent="0.25">
      <c r="A3818" s="5" t="str">
        <f>"H0032631"</f>
        <v>H0032631</v>
      </c>
      <c r="B3818" s="5" t="str">
        <f>"DERMATOMO MANUAL"</f>
        <v>DERMATOMO MANUAL</v>
      </c>
      <c r="C3818" s="6">
        <v>3861550</v>
      </c>
      <c r="D3818" s="5" t="s">
        <v>325</v>
      </c>
      <c r="E3818" s="5" t="str">
        <f t="shared" si="181"/>
        <v>QUIROFANO -MARIA DEL PILAR MEDINA</v>
      </c>
      <c r="F3818" s="5"/>
      <c r="G3818" s="5"/>
    </row>
    <row r="3819" spans="1:7" ht="58.5" customHeight="1" x14ac:dyDescent="0.25">
      <c r="A3819" s="5" t="str">
        <f>"H0032653"</f>
        <v>H0032653</v>
      </c>
      <c r="B3819" s="5" t="str">
        <f>"CAMILLA DE TRANSPORTE Y RECUPERACION (DONACION)"</f>
        <v>CAMILLA DE TRANSPORTE Y RECUPERACION (DONACION)</v>
      </c>
      <c r="C3819" s="6">
        <v>814000</v>
      </c>
      <c r="D3819" s="5" t="s">
        <v>115</v>
      </c>
      <c r="E3819" s="5" t="str">
        <f t="shared" si="181"/>
        <v>QUIROFANO -MARIA DEL PILAR MEDINA</v>
      </c>
      <c r="F3819" s="5"/>
      <c r="G3819" s="5"/>
    </row>
    <row r="3820" spans="1:7" ht="58.5" customHeight="1" x14ac:dyDescent="0.25">
      <c r="A3820" s="5" t="str">
        <f>"H0032654"</f>
        <v>H0032654</v>
      </c>
      <c r="B3820" s="5" t="str">
        <f>"CAMILLA DE TRANSPORTE Y RECUPERACION (DONACION)"</f>
        <v>CAMILLA DE TRANSPORTE Y RECUPERACION (DONACION)</v>
      </c>
      <c r="C3820" s="6">
        <v>814000</v>
      </c>
      <c r="D3820" s="5" t="s">
        <v>115</v>
      </c>
      <c r="E3820" s="5" t="str">
        <f t="shared" si="181"/>
        <v>QUIROFANO -MARIA DEL PILAR MEDINA</v>
      </c>
      <c r="F3820" s="5"/>
      <c r="G3820" s="5"/>
    </row>
    <row r="3821" spans="1:7" ht="58.5" customHeight="1" x14ac:dyDescent="0.25">
      <c r="A3821" s="5" t="str">
        <f>"H0032864"</f>
        <v>H0032864</v>
      </c>
      <c r="B382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821" s="6">
        <v>5604900</v>
      </c>
      <c r="D3821" s="5" t="s">
        <v>116</v>
      </c>
      <c r="E3821" s="5" t="str">
        <f t="shared" si="181"/>
        <v>QUIROFANO -MARIA DEL PILAR MEDINA</v>
      </c>
      <c r="F3821" s="5"/>
      <c r="G3821" s="5"/>
    </row>
    <row r="3822" spans="1:7" ht="58.5" customHeight="1" x14ac:dyDescent="0.25">
      <c r="A3822" s="5" t="str">
        <f>"H0032870"</f>
        <v>H0032870</v>
      </c>
      <c r="B382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822" s="6">
        <v>5604900</v>
      </c>
      <c r="D3822" s="5" t="s">
        <v>116</v>
      </c>
      <c r="E3822" s="5" t="str">
        <f t="shared" si="181"/>
        <v>QUIROFANO -MARIA DEL PILAR MEDINA</v>
      </c>
      <c r="F3822" s="5"/>
      <c r="G3822" s="5"/>
    </row>
    <row r="3823" spans="1:7" ht="58.5" customHeight="1" x14ac:dyDescent="0.25">
      <c r="A3823" s="5" t="str">
        <f>"H0032874"</f>
        <v>H0032874</v>
      </c>
      <c r="B382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823" s="6">
        <v>5604900</v>
      </c>
      <c r="D3823" s="5" t="s">
        <v>116</v>
      </c>
      <c r="E3823" s="5" t="str">
        <f t="shared" si="181"/>
        <v>QUIROFANO -MARIA DEL PILAR MEDINA</v>
      </c>
      <c r="F3823" s="5"/>
      <c r="G3823" s="5"/>
    </row>
    <row r="3824" spans="1:7" ht="58.5" customHeight="1" x14ac:dyDescent="0.25">
      <c r="A3824" s="5" t="str">
        <f>"H0032875"</f>
        <v>H0032875</v>
      </c>
      <c r="B3824"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3824" s="6">
        <v>5604900</v>
      </c>
      <c r="D3824" s="5" t="s">
        <v>326</v>
      </c>
      <c r="E3824" s="5" t="str">
        <f t="shared" si="181"/>
        <v>QUIROFANO -MARIA DEL PILAR MEDINA</v>
      </c>
      <c r="F3824" s="5"/>
      <c r="G3824" s="5"/>
    </row>
    <row r="3825" spans="1:7" ht="58.5" customHeight="1" x14ac:dyDescent="0.25">
      <c r="A3825" s="5" t="str">
        <f>"H0033035"</f>
        <v>H0033035</v>
      </c>
      <c r="B3825" s="5" t="str">
        <f>"VIDEOLARINGOSCOPIO CON PANTALLA TACTIL INCLUYE FUENTE DE CARGA (DONACION)"</f>
        <v>VIDEOLARINGOSCOPIO CON PANTALLA TACTIL INCLUYE FUENTE DE CARGA (DONACION)</v>
      </c>
      <c r="C3825" s="6">
        <v>11214000</v>
      </c>
      <c r="D3825" s="5" t="s">
        <v>327</v>
      </c>
      <c r="E3825" s="5" t="str">
        <f t="shared" si="181"/>
        <v>QUIROFANO -MARIA DEL PILAR MEDINA</v>
      </c>
      <c r="F3825" s="5"/>
      <c r="G3825" s="5"/>
    </row>
    <row r="3826" spans="1:7" ht="58.5" customHeight="1" x14ac:dyDescent="0.25">
      <c r="A3826" s="5" t="str">
        <f>"H0033108"</f>
        <v>H0033108</v>
      </c>
      <c r="B3826" s="5" t="str">
        <f>"MONITOR DE SIGNOS VITALES"</f>
        <v>MONITOR DE SIGNOS VITALES</v>
      </c>
      <c r="C3826" s="6">
        <v>9470000</v>
      </c>
      <c r="D3826" s="5" t="s">
        <v>119</v>
      </c>
      <c r="E3826" s="5" t="str">
        <f t="shared" si="181"/>
        <v>QUIROFANO -MARIA DEL PILAR MEDINA</v>
      </c>
      <c r="F3826" s="5"/>
      <c r="G3826" s="5"/>
    </row>
    <row r="3827" spans="1:7" ht="58.5" customHeight="1" x14ac:dyDescent="0.25">
      <c r="A3827" s="5" t="str">
        <f>"H0033155"</f>
        <v>H0033155</v>
      </c>
      <c r="B3827"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27" s="6">
        <v>2533333</v>
      </c>
      <c r="D3827" s="5" t="s">
        <v>157</v>
      </c>
      <c r="E3827" s="5" t="str">
        <f t="shared" si="181"/>
        <v>QUIROFANO -MARIA DEL PILAR MEDINA</v>
      </c>
      <c r="F3827" s="5"/>
      <c r="G3827" s="5"/>
    </row>
    <row r="3828" spans="1:7" ht="58.5" customHeight="1" x14ac:dyDescent="0.25">
      <c r="A3828" s="5" t="str">
        <f>"H0033172"</f>
        <v>H0033172</v>
      </c>
      <c r="B3828"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28" s="6">
        <v>2533333</v>
      </c>
      <c r="D3828" s="5" t="s">
        <v>157</v>
      </c>
      <c r="E3828" s="5" t="str">
        <f t="shared" si="181"/>
        <v>QUIROFANO -MARIA DEL PILAR MEDINA</v>
      </c>
      <c r="F3828" s="5"/>
      <c r="G3828" s="5"/>
    </row>
    <row r="3829" spans="1:7" ht="58.5" customHeight="1" x14ac:dyDescent="0.25">
      <c r="A3829" s="5" t="str">
        <f>"H0033207"</f>
        <v>H0033207</v>
      </c>
      <c r="B3829"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29" s="6">
        <v>2533333</v>
      </c>
      <c r="D3829" s="5" t="s">
        <v>157</v>
      </c>
      <c r="E3829" s="5" t="str">
        <f t="shared" si="181"/>
        <v>QUIROFANO -MARIA DEL PILAR MEDINA</v>
      </c>
      <c r="F3829" s="5"/>
      <c r="G3829" s="5"/>
    </row>
    <row r="3830" spans="1:7" ht="58.5" customHeight="1" x14ac:dyDescent="0.25">
      <c r="A3830" s="5" t="str">
        <f>"H0033250"</f>
        <v>H0033250</v>
      </c>
      <c r="B3830" s="5" t="str">
        <f>"MONITOR DE SIGNOS VITALES"</f>
        <v>MONITOR DE SIGNOS VITALES</v>
      </c>
      <c r="C3830" s="6">
        <v>9470000</v>
      </c>
      <c r="D3830" s="5" t="s">
        <v>119</v>
      </c>
      <c r="E3830" s="5" t="str">
        <f t="shared" si="181"/>
        <v>QUIROFANO -MARIA DEL PILAR MEDINA</v>
      </c>
      <c r="F3830" s="5"/>
      <c r="G3830" s="5"/>
    </row>
    <row r="3831" spans="1:7" ht="58.5" customHeight="1" x14ac:dyDescent="0.25">
      <c r="A3831" s="5" t="str">
        <f>"H0033252"</f>
        <v>H0033252</v>
      </c>
      <c r="B3831" s="5" t="str">
        <f>"MONITOR DE SIGNOS VITALES"</f>
        <v>MONITOR DE SIGNOS VITALES</v>
      </c>
      <c r="C3831" s="6">
        <v>9470000</v>
      </c>
      <c r="D3831" s="5" t="s">
        <v>119</v>
      </c>
      <c r="E3831" s="5" t="str">
        <f t="shared" si="181"/>
        <v>QUIROFANO -MARIA DEL PILAR MEDINA</v>
      </c>
      <c r="F3831" s="5"/>
      <c r="G3831" s="5"/>
    </row>
    <row r="3832" spans="1:7" ht="58.5" customHeight="1" x14ac:dyDescent="0.25">
      <c r="A3832" s="5" t="str">
        <f>"H0033258"</f>
        <v>H0033258</v>
      </c>
      <c r="B3832" s="5" t="str">
        <f>"MONITOR DE SIGNOS VITALES"</f>
        <v>MONITOR DE SIGNOS VITALES</v>
      </c>
      <c r="C3832" s="6">
        <v>9470000</v>
      </c>
      <c r="D3832" s="5" t="s">
        <v>119</v>
      </c>
      <c r="E3832" s="5" t="str">
        <f t="shared" si="181"/>
        <v>QUIROFANO -MARIA DEL PILAR MEDINA</v>
      </c>
      <c r="F3832" s="5"/>
      <c r="G3832" s="5"/>
    </row>
    <row r="3833" spans="1:7" ht="58.5" customHeight="1" x14ac:dyDescent="0.25">
      <c r="A3833" s="5" t="str">
        <f>"H0033260"</f>
        <v>H0033260</v>
      </c>
      <c r="B3833" s="5" t="str">
        <f>"MONITOR DE SIGNOS VITALES"</f>
        <v>MONITOR DE SIGNOS VITALES</v>
      </c>
      <c r="C3833" s="6">
        <v>9470000</v>
      </c>
      <c r="D3833" s="5" t="s">
        <v>119</v>
      </c>
      <c r="E3833" s="5" t="str">
        <f t="shared" si="181"/>
        <v>QUIROFANO -MARIA DEL PILAR MEDINA</v>
      </c>
      <c r="F3833" s="5"/>
      <c r="G3833" s="5"/>
    </row>
    <row r="3834" spans="1:7" ht="58.5" customHeight="1" x14ac:dyDescent="0.25">
      <c r="A3834" s="5" t="str">
        <f>"H0033343"</f>
        <v>H0033343</v>
      </c>
      <c r="B3834"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34" s="6">
        <v>2533333</v>
      </c>
      <c r="D3834" s="5" t="s">
        <v>120</v>
      </c>
      <c r="E3834" s="5" t="str">
        <f t="shared" si="181"/>
        <v>QUIROFANO -MARIA DEL PILAR MEDINA</v>
      </c>
      <c r="F3834" s="5"/>
      <c r="G3834" s="5"/>
    </row>
    <row r="3835" spans="1:7" ht="58.5" customHeight="1" x14ac:dyDescent="0.25">
      <c r="A3835" s="5" t="str">
        <f>"H0033419"</f>
        <v>H0033419</v>
      </c>
      <c r="B3835"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35" s="6">
        <v>2533333</v>
      </c>
      <c r="D3835" s="5" t="s">
        <v>120</v>
      </c>
      <c r="E3835" s="5" t="str">
        <f t="shared" si="181"/>
        <v>QUIROFANO -MARIA DEL PILAR MEDINA</v>
      </c>
      <c r="F3835" s="5"/>
      <c r="G3835" s="5"/>
    </row>
    <row r="3836" spans="1:7" ht="58.5" customHeight="1" x14ac:dyDescent="0.25">
      <c r="A3836" s="5" t="str">
        <f>"H0033476"</f>
        <v>H0033476</v>
      </c>
      <c r="B3836" s="5" t="str">
        <f>"VIDEOLARINGOSCOPIO CON PANTALLA TACTIL INCLUYE FUENTE DE CARGA (DONACION)"</f>
        <v>VIDEOLARINGOSCOPIO CON PANTALLA TACTIL INCLUYE FUENTE DE CARGA (DONACION)</v>
      </c>
      <c r="C3836" s="6">
        <v>13004085</v>
      </c>
      <c r="D3836" s="5" t="s">
        <v>328</v>
      </c>
      <c r="E3836" s="5" t="str">
        <f t="shared" si="181"/>
        <v>QUIROFANO -MARIA DEL PILAR MEDINA</v>
      </c>
      <c r="F3836" s="5"/>
      <c r="G3836" s="5"/>
    </row>
    <row r="3837" spans="1:7" ht="58.5" customHeight="1" x14ac:dyDescent="0.25">
      <c r="A3837" s="5" t="str">
        <f>"H0033512"</f>
        <v>H0033512</v>
      </c>
      <c r="B3837" s="5" t="str">
        <f t="shared" ref="B3837:B3842" si="182">"BOMBA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3837" s="6">
        <v>2533333</v>
      </c>
      <c r="D3837" s="5" t="s">
        <v>120</v>
      </c>
      <c r="E3837" s="5" t="str">
        <f t="shared" si="181"/>
        <v>QUIROFANO -MARIA DEL PILAR MEDINA</v>
      </c>
      <c r="F3837" s="5"/>
      <c r="G3837" s="5"/>
    </row>
    <row r="3838" spans="1:7" ht="58.5" customHeight="1" x14ac:dyDescent="0.25">
      <c r="A3838" s="5" t="str">
        <f>"H0033516"</f>
        <v>H0033516</v>
      </c>
      <c r="B3838" s="5" t="str">
        <f t="shared" si="182"/>
        <v>BOMBA DE INFUSION. Apilables.5 modos. 01-1200 ml/h. 0.1 ml incr. Compatible con set de infusión genérico. anti-bolo. Detección de aire. Alarmas visuales audibles. Bitacora 1.000 reg. Batería de litio</v>
      </c>
      <c r="C3838" s="6">
        <v>2533333</v>
      </c>
      <c r="D3838" s="5" t="s">
        <v>120</v>
      </c>
      <c r="E3838" s="5" t="str">
        <f t="shared" si="181"/>
        <v>QUIROFANO -MARIA DEL PILAR MEDINA</v>
      </c>
      <c r="F3838" s="5"/>
      <c r="G3838" s="5"/>
    </row>
    <row r="3839" spans="1:7" ht="58.5" customHeight="1" x14ac:dyDescent="0.25">
      <c r="A3839" s="5" t="str">
        <f>"H0033554"</f>
        <v>H0033554</v>
      </c>
      <c r="B3839" s="5" t="str">
        <f t="shared" si="182"/>
        <v>BOMBA DE INFUSION. Apilables.5 modos. 01-1200 ml/h. 0.1 ml incr. Compatible con set de infusión genérico. anti-bolo. Detección de aire. Alarmas visuales audibles. Bitacora 1.000 reg. Batería de litio</v>
      </c>
      <c r="C3839" s="6">
        <v>2533333</v>
      </c>
      <c r="D3839" s="5" t="s">
        <v>120</v>
      </c>
      <c r="E3839" s="5" t="str">
        <f t="shared" si="181"/>
        <v>QUIROFANO -MARIA DEL PILAR MEDINA</v>
      </c>
      <c r="F3839" s="5"/>
      <c r="G3839" s="5"/>
    </row>
    <row r="3840" spans="1:7" ht="58.5" customHeight="1" x14ac:dyDescent="0.25">
      <c r="A3840" s="5" t="str">
        <f>"H0033708"</f>
        <v>H0033708</v>
      </c>
      <c r="B3840" s="5" t="str">
        <f t="shared" si="182"/>
        <v>BOMBA DE INFUSION. Apilables.5 modos. 01-1200 ml/h. 0.1 ml incr. Compatible con set de infusión genérico. anti-bolo. Detección de aire. Alarmas visuales audibles. Bitacora 1.000 reg. Batería de litio</v>
      </c>
      <c r="C3840" s="6">
        <v>2533333</v>
      </c>
      <c r="D3840" s="5" t="s">
        <v>120</v>
      </c>
      <c r="E3840" s="5" t="str">
        <f t="shared" si="181"/>
        <v>QUIROFANO -MARIA DEL PILAR MEDINA</v>
      </c>
      <c r="F3840" s="5"/>
      <c r="G3840" s="5"/>
    </row>
    <row r="3841" spans="1:7" ht="58.5" customHeight="1" x14ac:dyDescent="0.25">
      <c r="A3841" s="5" t="str">
        <f>"H0033786"</f>
        <v>H0033786</v>
      </c>
      <c r="B3841" s="5" t="str">
        <f t="shared" si="182"/>
        <v>BOMBA DE INFUSION. Apilables.5 modos. 01-1200 ml/h. 0.1 ml incr. Compatible con set de infusión genérico. anti-bolo. Detección de aire. Alarmas visuales audibles. Bitacora 1.000 reg. Batería de litio</v>
      </c>
      <c r="C3841" s="6">
        <v>2533333</v>
      </c>
      <c r="D3841" s="5" t="s">
        <v>120</v>
      </c>
      <c r="E3841" s="5" t="str">
        <f t="shared" si="181"/>
        <v>QUIROFANO -MARIA DEL PILAR MEDINA</v>
      </c>
      <c r="F3841" s="5"/>
      <c r="G3841" s="5"/>
    </row>
    <row r="3842" spans="1:7" ht="58.5" customHeight="1" x14ac:dyDescent="0.25">
      <c r="A3842" s="5" t="str">
        <f>"H0033792"</f>
        <v>H0033792</v>
      </c>
      <c r="B3842" s="5" t="str">
        <f t="shared" si="182"/>
        <v>BOMBA DE INFUSION. Apilables.5 modos. 01-1200 ml/h. 0.1 ml incr. Compatible con set de infusión genérico. anti-bolo. Detección de aire. Alarmas visuales audibles. Bitacora 1.000 reg. Batería de litio</v>
      </c>
      <c r="C3842" s="6">
        <v>2533333</v>
      </c>
      <c r="D3842" s="5" t="s">
        <v>120</v>
      </c>
      <c r="E3842" s="5" t="str">
        <f t="shared" si="181"/>
        <v>QUIROFANO -MARIA DEL PILAR MEDINA</v>
      </c>
      <c r="F3842" s="5"/>
      <c r="G3842" s="5"/>
    </row>
    <row r="3843" spans="1:7" ht="58.5" customHeight="1" x14ac:dyDescent="0.25">
      <c r="A3843" s="5" t="str">
        <f>"H0034049"</f>
        <v>H0034049</v>
      </c>
      <c r="B3843" s="5" t="s">
        <v>329</v>
      </c>
      <c r="C3843" s="6">
        <v>258000</v>
      </c>
      <c r="D3843" s="5" t="s">
        <v>122</v>
      </c>
      <c r="E3843" s="5" t="str">
        <f t="shared" si="181"/>
        <v>QUIROFANO -MARIA DEL PILAR MEDINA</v>
      </c>
      <c r="F3843" s="5"/>
      <c r="G3843" s="5"/>
    </row>
    <row r="3844" spans="1:7" ht="58.5" customHeight="1" x14ac:dyDescent="0.25">
      <c r="A3844" s="5" t="str">
        <f>"H0034050"</f>
        <v>H0034050</v>
      </c>
      <c r="B3844" s="5" t="s">
        <v>329</v>
      </c>
      <c r="C3844" s="6">
        <v>258000</v>
      </c>
      <c r="D3844" s="5" t="s">
        <v>122</v>
      </c>
      <c r="E3844" s="5" t="str">
        <f t="shared" si="181"/>
        <v>QUIROFANO -MARIA DEL PILAR MEDINA</v>
      </c>
      <c r="F3844" s="5"/>
      <c r="G3844" s="5"/>
    </row>
    <row r="3845" spans="1:7" ht="58.5" customHeight="1" x14ac:dyDescent="0.25">
      <c r="A3845" s="5" t="str">
        <f>"H0034081"</f>
        <v>H0034081</v>
      </c>
      <c r="B3845" s="5" t="str">
        <f>"BALANZA DE PESAJE DIGITAL CAPACIDAD 200 KG  (DONACION)"</f>
        <v>BALANZA DE PESAJE DIGITAL CAPACIDAD 200 KG  (DONACION)</v>
      </c>
      <c r="C3845" s="6">
        <v>1388725</v>
      </c>
      <c r="D3845" s="5" t="s">
        <v>330</v>
      </c>
      <c r="E3845" s="5" t="str">
        <f t="shared" si="181"/>
        <v>QUIROFANO -MARIA DEL PILAR MEDINA</v>
      </c>
      <c r="F3845" s="5"/>
      <c r="G3845" s="5"/>
    </row>
    <row r="3846" spans="1:7" ht="58.5" customHeight="1" x14ac:dyDescent="0.25">
      <c r="A3846" s="5" t="str">
        <f>"H0034349"</f>
        <v>H0034349</v>
      </c>
      <c r="B3846" s="5" t="str">
        <f>"INFUSOR DE LIQUIDOS. Soporta soluciones o bolsas de sangre. Capacidad 1000 mL. Manómetro escala mmHg. Pera bombeo"</f>
        <v>INFUSOR DE LIQUIDOS. Soporta soluciones o bolsas de sangre. Capacidad 1000 mL. Manómetro escala mmHg. Pera bombeo</v>
      </c>
      <c r="C3846" s="6">
        <v>343367</v>
      </c>
      <c r="D3846" s="5" t="s">
        <v>193</v>
      </c>
      <c r="E3846" s="5" t="str">
        <f t="shared" si="181"/>
        <v>QUIROFANO -MARIA DEL PILAR MEDINA</v>
      </c>
      <c r="F3846" s="5"/>
      <c r="G3846" s="5"/>
    </row>
    <row r="3847" spans="1:7" ht="58.5" customHeight="1" x14ac:dyDescent="0.25">
      <c r="A3847" s="5" t="str">
        <f>"H0034350"</f>
        <v>H0034350</v>
      </c>
      <c r="B3847" s="5" t="str">
        <f>"INFUSOR DE LIQUIDOS. Soporta soluciones o bolsas de sangre. Capacidad 1000 mL. Manómetro escala mmHg. Pera bombeo"</f>
        <v>INFUSOR DE LIQUIDOS. Soporta soluciones o bolsas de sangre. Capacidad 1000 mL. Manómetro escala mmHg. Pera bombeo</v>
      </c>
      <c r="C3847" s="6">
        <v>343367</v>
      </c>
      <c r="D3847" s="5" t="s">
        <v>193</v>
      </c>
      <c r="E3847" s="5" t="str">
        <f t="shared" si="181"/>
        <v>QUIROFANO -MARIA DEL PILAR MEDINA</v>
      </c>
      <c r="F3847" s="5"/>
      <c r="G3847" s="5"/>
    </row>
    <row r="3848" spans="1:7" ht="58.5" customHeight="1" x14ac:dyDescent="0.25">
      <c r="A3848" s="5" t="str">
        <f>"H0034351"</f>
        <v>H0034351</v>
      </c>
      <c r="B3848" s="5" t="str">
        <f>"INFUSOR DE LIQUIDOS. Soporta soluciones o bolsas de sangre. Capacidad 1000 mL. Manómetro escala mmHg. Pera bombeo"</f>
        <v>INFUSOR DE LIQUIDOS. Soporta soluciones o bolsas de sangre. Capacidad 1000 mL. Manómetro escala mmHg. Pera bombeo</v>
      </c>
      <c r="C3848" s="6">
        <v>343367</v>
      </c>
      <c r="D3848" s="5" t="s">
        <v>193</v>
      </c>
      <c r="E3848" s="5" t="str">
        <f t="shared" si="181"/>
        <v>QUIROFANO -MARIA DEL PILAR MEDINA</v>
      </c>
      <c r="F3848" s="5"/>
      <c r="G3848" s="5"/>
    </row>
    <row r="3849" spans="1:7" ht="58.5" customHeight="1" x14ac:dyDescent="0.25">
      <c r="A3849" s="5" t="str">
        <f>"H0034352"</f>
        <v>H0034352</v>
      </c>
      <c r="B3849" s="5" t="str">
        <f>"INFUSOR DE LIQUIDOS. Soporta soluciones o bolsas de sangre. Capacidad 1000 mL. Manómetro escala mmHg. Pera bombeo"</f>
        <v>INFUSOR DE LIQUIDOS. Soporta soluciones o bolsas de sangre. Capacidad 1000 mL. Manómetro escala mmHg. Pera bombeo</v>
      </c>
      <c r="C3849" s="6">
        <v>343367</v>
      </c>
      <c r="D3849" s="5" t="s">
        <v>193</v>
      </c>
      <c r="E3849" s="5" t="str">
        <f t="shared" si="181"/>
        <v>QUIROFANO -MARIA DEL PILAR MEDINA</v>
      </c>
      <c r="F3849" s="5"/>
      <c r="G3849" s="5"/>
    </row>
    <row r="3850" spans="1:7" ht="58.5" customHeight="1" x14ac:dyDescent="0.25">
      <c r="A3850" s="5" t="str">
        <f>"H0034354"</f>
        <v>H0034354</v>
      </c>
      <c r="B3850" s="5" t="str">
        <f>"INFUSOR DE LIQUIDOS. Soporta soluciones o bolsas de sangre. Capacidad 1000 mL. Manómetro escala mmHg. Pera bombeo"</f>
        <v>INFUSOR DE LIQUIDOS. Soporta soluciones o bolsas de sangre. Capacidad 1000 mL. Manómetro escala mmHg. Pera bombeo</v>
      </c>
      <c r="C3850" s="6">
        <v>343367</v>
      </c>
      <c r="D3850" s="5" t="s">
        <v>193</v>
      </c>
      <c r="E3850" s="5" t="str">
        <f t="shared" si="181"/>
        <v>QUIROFANO -MARIA DEL PILAR MEDINA</v>
      </c>
      <c r="F3850" s="5"/>
      <c r="G3850" s="5"/>
    </row>
    <row r="3851" spans="1:7" ht="58.5" customHeight="1" x14ac:dyDescent="0.25">
      <c r="A3851" s="5" t="str">
        <f>"H0034431"</f>
        <v>H0034431</v>
      </c>
      <c r="B3851" s="5" t="str">
        <f>"MONITOR DE SIGNOS VITALES (DONACION)"</f>
        <v>MONITOR DE SIGNOS VITALES (DONACION)</v>
      </c>
      <c r="C3851" s="6">
        <v>17900000</v>
      </c>
      <c r="D3851" s="5" t="s">
        <v>331</v>
      </c>
      <c r="E3851" s="5" t="str">
        <f t="shared" si="181"/>
        <v>QUIROFANO -MARIA DEL PILAR MEDINA</v>
      </c>
      <c r="F3851" s="5"/>
      <c r="G3851" s="5"/>
    </row>
    <row r="3852" spans="1:7" ht="58.5" customHeight="1" x14ac:dyDescent="0.25">
      <c r="A3852" s="5" t="str">
        <f>"h0034432"</f>
        <v>h0034432</v>
      </c>
      <c r="B3852" s="5" t="str">
        <f>"MODULO BIS PARA ELITE V8 (DONACION)"</f>
        <v>MODULO BIS PARA ELITE V8 (DONACION)</v>
      </c>
      <c r="C3852" s="6">
        <v>38895000</v>
      </c>
      <c r="D3852" s="5" t="s">
        <v>331</v>
      </c>
      <c r="E3852" s="5" t="str">
        <f t="shared" si="181"/>
        <v>QUIROFANO -MARIA DEL PILAR MEDINA</v>
      </c>
      <c r="F3852" s="5"/>
      <c r="G3852" s="5"/>
    </row>
    <row r="3853" spans="1:7" ht="58.5" customHeight="1" x14ac:dyDescent="0.25">
      <c r="A3853" s="5" t="str">
        <f>"H0034541"</f>
        <v>H0034541</v>
      </c>
      <c r="B3853" s="5" t="str">
        <f>"VENTILADOR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3853" s="6">
        <v>88970000</v>
      </c>
      <c r="D3853" s="5" t="s">
        <v>332</v>
      </c>
      <c r="E3853" s="5" t="str">
        <f t="shared" si="181"/>
        <v>QUIROFANO -MARIA DEL PILAR MEDINA</v>
      </c>
      <c r="F3853" s="5"/>
      <c r="G3853" s="5"/>
    </row>
    <row r="3854" spans="1:7" ht="58.5" customHeight="1" x14ac:dyDescent="0.25">
      <c r="A3854" s="5" t="str">
        <f>"H0034617"</f>
        <v>H0034617</v>
      </c>
      <c r="B3854" s="5" t="str">
        <f>"SUCCIONADOR QUIRURGICO REF 1240 (DONACION)"</f>
        <v>SUCCIONADOR QUIRURGICO REF 1240 (DONACION)</v>
      </c>
      <c r="C3854" s="6">
        <v>6790000</v>
      </c>
      <c r="D3854" s="5" t="s">
        <v>333</v>
      </c>
      <c r="E3854" s="5" t="str">
        <f t="shared" si="181"/>
        <v>QUIROFANO -MARIA DEL PILAR MEDINA</v>
      </c>
      <c r="F3854" s="5"/>
      <c r="G3854" s="5"/>
    </row>
    <row r="3855" spans="1:7" ht="58.5" customHeight="1" x14ac:dyDescent="0.25">
      <c r="A3855" s="5" t="str">
        <f>"H0034621"</f>
        <v>H0034621</v>
      </c>
      <c r="B3855" s="5" t="str">
        <f>"SUCCIONADOR YX980D (DONACION)"</f>
        <v>SUCCIONADOR YX980D (DONACION)</v>
      </c>
      <c r="C3855" s="6">
        <v>4942000</v>
      </c>
      <c r="D3855" s="5" t="s">
        <v>333</v>
      </c>
      <c r="E3855" s="5" t="str">
        <f t="shared" si="181"/>
        <v>QUIROFANO -MARIA DEL PILAR MEDINA</v>
      </c>
      <c r="F3855" s="5"/>
      <c r="G3855" s="5"/>
    </row>
    <row r="3856" spans="1:7" ht="58.5" customHeight="1" x14ac:dyDescent="0.25">
      <c r="A3856" s="5" t="str">
        <f>"H0034623"</f>
        <v>H0034623</v>
      </c>
      <c r="B3856" s="5" t="str">
        <f>"SUCCIONADOR YX980D (DONACION)"</f>
        <v>SUCCIONADOR YX980D (DONACION)</v>
      </c>
      <c r="C3856" s="6">
        <v>4942000</v>
      </c>
      <c r="D3856" s="5" t="s">
        <v>333</v>
      </c>
      <c r="E3856" s="5" t="str">
        <f t="shared" si="181"/>
        <v>QUIROFANO -MARIA DEL PILAR MEDINA</v>
      </c>
      <c r="F3856" s="5"/>
      <c r="G3856" s="5"/>
    </row>
    <row r="3857" spans="1:7" ht="58.5" customHeight="1" x14ac:dyDescent="0.25">
      <c r="A3857" s="5" t="str">
        <f>"H0034802"</f>
        <v>H0034802</v>
      </c>
      <c r="B3857" s="5" t="str">
        <f>"succionador (DONACION)"</f>
        <v>succionador (DONACION)</v>
      </c>
      <c r="C3857" s="6">
        <v>6216000</v>
      </c>
      <c r="D3857" s="5" t="s">
        <v>123</v>
      </c>
      <c r="E3857" s="5" t="str">
        <f t="shared" si="181"/>
        <v>QUIROFANO -MARIA DEL PILAR MEDINA</v>
      </c>
      <c r="F3857" s="5"/>
      <c r="G3857" s="5"/>
    </row>
    <row r="3858" spans="1:7" ht="58.5" customHeight="1" x14ac:dyDescent="0.25">
      <c r="A3858" s="5" t="str">
        <f>"H0035291"</f>
        <v>H0035291</v>
      </c>
      <c r="B3858" s="5" t="str">
        <f>"AIRE ACONDICIONADO DUAL INVERTER DE 12.000 BTU MARCA LG CON KIT DE TUBERIA DE 3 METROS"</f>
        <v>AIRE ACONDICIONADO DUAL INVERTER DE 12.000 BTU MARCA LG CON KIT DE TUBERIA DE 3 METROS</v>
      </c>
      <c r="C3858" s="6">
        <v>2707250</v>
      </c>
      <c r="D3858" s="5" t="s">
        <v>158</v>
      </c>
      <c r="E3858" s="5" t="str">
        <f t="shared" si="181"/>
        <v>QUIROFANO -MARIA DEL PILAR MEDINA</v>
      </c>
      <c r="F3858" s="5"/>
      <c r="G3858" s="5" t="str">
        <f>"VM122C7"</f>
        <v>VM122C7</v>
      </c>
    </row>
    <row r="3859" spans="1:7" ht="58.5" customHeight="1" x14ac:dyDescent="0.25">
      <c r="A3859" s="5" t="str">
        <f>"H0035296"</f>
        <v>H0035296</v>
      </c>
      <c r="B3859" s="5" t="str">
        <f>"AIRE ACONDICIONADO DUAL INVERTER DE 18.000 BTU MARCA LG CON KIT DE TUBERIA DE 3 METROS"</f>
        <v>AIRE ACONDICIONADO DUAL INVERTER DE 18.000 BTU MARCA LG CON KIT DE TUBERIA DE 3 METROS</v>
      </c>
      <c r="C3859" s="6">
        <v>3094000</v>
      </c>
      <c r="D3859" s="5" t="s">
        <v>158</v>
      </c>
      <c r="E3859" s="5" t="str">
        <f t="shared" si="181"/>
        <v>QUIROFANO -MARIA DEL PILAR MEDINA</v>
      </c>
      <c r="F3859" s="5"/>
      <c r="G3859" s="5" t="str">
        <f>"VM182C7"</f>
        <v>VM182C7</v>
      </c>
    </row>
    <row r="3860" spans="1:7" ht="58.5" customHeight="1" x14ac:dyDescent="0.25">
      <c r="A3860" s="5" t="str">
        <f>"H0035408"</f>
        <v>H0035408</v>
      </c>
      <c r="B3860" s="5" t="str">
        <f>"ECOGRAFO PORTATIL (DONACION)"</f>
        <v>ECOGRAFO PORTATIL (DONACION)</v>
      </c>
      <c r="C3860" s="6">
        <v>86000000</v>
      </c>
      <c r="D3860" s="5" t="s">
        <v>334</v>
      </c>
      <c r="E3860" s="5" t="str">
        <f t="shared" si="181"/>
        <v>QUIROFANO -MARIA DEL PILAR MEDINA</v>
      </c>
      <c r="F3860" s="5"/>
      <c r="G3860" s="5"/>
    </row>
    <row r="3861" spans="1:7" ht="58.5" customHeight="1" x14ac:dyDescent="0.25">
      <c r="A3861" s="5" t="str">
        <f>"H0035485"</f>
        <v>H0035485</v>
      </c>
      <c r="B3861" s="5" t="str">
        <f>"MESA (CARRO) DE CURACIONES"</f>
        <v>MESA (CARRO) DE CURACIONES</v>
      </c>
      <c r="C3861" s="6">
        <v>211250.01</v>
      </c>
      <c r="D3861" s="5" t="s">
        <v>159</v>
      </c>
      <c r="E3861" s="5" t="str">
        <f t="shared" si="181"/>
        <v>QUIROFANO -MARIA DEL PILAR MEDINA</v>
      </c>
      <c r="F3861" s="5"/>
      <c r="G3861" s="5"/>
    </row>
    <row r="3862" spans="1:7" ht="58.5" customHeight="1" x14ac:dyDescent="0.25">
      <c r="A3862" s="5" t="str">
        <f>"H0035892"</f>
        <v>H0035892</v>
      </c>
      <c r="B3862" s="5" t="str">
        <f t="shared" ref="B3862:B3878" si="183">"SILLA GERENTE NIZA MEC. BASCULANTE CON BRAZOS."</f>
        <v>SILLA GERENTE NIZA MEC. BASCULANTE CON BRAZOS.</v>
      </c>
      <c r="C3862" s="6">
        <v>639999.86</v>
      </c>
      <c r="D3862" s="5" t="s">
        <v>281</v>
      </c>
      <c r="E3862" s="5" t="str">
        <f t="shared" si="181"/>
        <v>QUIROFANO -MARIA DEL PILAR MEDINA</v>
      </c>
      <c r="F3862" s="5"/>
      <c r="G3862" s="5"/>
    </row>
    <row r="3863" spans="1:7" ht="58.5" customHeight="1" x14ac:dyDescent="0.25">
      <c r="A3863" s="5" t="str">
        <f>"H0035893"</f>
        <v>H0035893</v>
      </c>
      <c r="B3863" s="5" t="str">
        <f t="shared" si="183"/>
        <v>SILLA GERENTE NIZA MEC. BASCULANTE CON BRAZOS.</v>
      </c>
      <c r="C3863" s="6">
        <v>639999.86</v>
      </c>
      <c r="D3863" s="5" t="s">
        <v>281</v>
      </c>
      <c r="E3863" s="5" t="str">
        <f t="shared" si="181"/>
        <v>QUIROFANO -MARIA DEL PILAR MEDINA</v>
      </c>
      <c r="F3863" s="5"/>
      <c r="G3863" s="5"/>
    </row>
    <row r="3864" spans="1:7" ht="58.5" customHeight="1" x14ac:dyDescent="0.25">
      <c r="A3864" s="5" t="str">
        <f>"H0035894"</f>
        <v>H0035894</v>
      </c>
      <c r="B3864" s="5" t="str">
        <f t="shared" si="183"/>
        <v>SILLA GERENTE NIZA MEC. BASCULANTE CON BRAZOS.</v>
      </c>
      <c r="C3864" s="6">
        <v>639999.86</v>
      </c>
      <c r="D3864" s="5" t="s">
        <v>281</v>
      </c>
      <c r="E3864" s="5" t="str">
        <f t="shared" si="181"/>
        <v>QUIROFANO -MARIA DEL PILAR MEDINA</v>
      </c>
      <c r="F3864" s="5"/>
      <c r="G3864" s="5"/>
    </row>
    <row r="3865" spans="1:7" ht="58.5" customHeight="1" x14ac:dyDescent="0.25">
      <c r="A3865" s="5" t="str">
        <f>"H0035895"</f>
        <v>H0035895</v>
      </c>
      <c r="B3865" s="5" t="str">
        <f t="shared" si="183"/>
        <v>SILLA GERENTE NIZA MEC. BASCULANTE CON BRAZOS.</v>
      </c>
      <c r="C3865" s="6">
        <v>639999.86</v>
      </c>
      <c r="D3865" s="5" t="s">
        <v>281</v>
      </c>
      <c r="E3865" s="5" t="str">
        <f t="shared" si="181"/>
        <v>QUIROFANO -MARIA DEL PILAR MEDINA</v>
      </c>
      <c r="F3865" s="5"/>
      <c r="G3865" s="5"/>
    </row>
    <row r="3866" spans="1:7" ht="58.5" customHeight="1" x14ac:dyDescent="0.25">
      <c r="A3866" s="5" t="str">
        <f>"H0035896"</f>
        <v>H0035896</v>
      </c>
      <c r="B3866" s="5" t="str">
        <f t="shared" si="183"/>
        <v>SILLA GERENTE NIZA MEC. BASCULANTE CON BRAZOS.</v>
      </c>
      <c r="C3866" s="6">
        <v>639999.86</v>
      </c>
      <c r="D3866" s="5" t="s">
        <v>281</v>
      </c>
      <c r="E3866" s="5" t="str">
        <f t="shared" si="181"/>
        <v>QUIROFANO -MARIA DEL PILAR MEDINA</v>
      </c>
      <c r="F3866" s="5"/>
      <c r="G3866" s="5"/>
    </row>
    <row r="3867" spans="1:7" ht="58.5" customHeight="1" x14ac:dyDescent="0.25">
      <c r="A3867" s="5" t="str">
        <f>"H0035897"</f>
        <v>H0035897</v>
      </c>
      <c r="B3867" s="5" t="str">
        <f t="shared" si="183"/>
        <v>SILLA GERENTE NIZA MEC. BASCULANTE CON BRAZOS.</v>
      </c>
      <c r="C3867" s="6">
        <v>639999.86</v>
      </c>
      <c r="D3867" s="5" t="s">
        <v>281</v>
      </c>
      <c r="E3867" s="5" t="str">
        <f t="shared" si="181"/>
        <v>QUIROFANO -MARIA DEL PILAR MEDINA</v>
      </c>
      <c r="F3867" s="5"/>
      <c r="G3867" s="5"/>
    </row>
    <row r="3868" spans="1:7" ht="58.5" customHeight="1" x14ac:dyDescent="0.25">
      <c r="A3868" s="5" t="str">
        <f>"H0035898"</f>
        <v>H0035898</v>
      </c>
      <c r="B3868" s="5" t="str">
        <f t="shared" si="183"/>
        <v>SILLA GERENTE NIZA MEC. BASCULANTE CON BRAZOS.</v>
      </c>
      <c r="C3868" s="6">
        <v>639999.86</v>
      </c>
      <c r="D3868" s="5" t="s">
        <v>281</v>
      </c>
      <c r="E3868" s="5" t="str">
        <f t="shared" si="181"/>
        <v>QUIROFANO -MARIA DEL PILAR MEDINA</v>
      </c>
      <c r="F3868" s="5"/>
      <c r="G3868" s="5"/>
    </row>
    <row r="3869" spans="1:7" ht="58.5" customHeight="1" x14ac:dyDescent="0.25">
      <c r="A3869" s="5" t="str">
        <f>"H0035899"</f>
        <v>H0035899</v>
      </c>
      <c r="B3869" s="5" t="str">
        <f t="shared" si="183"/>
        <v>SILLA GERENTE NIZA MEC. BASCULANTE CON BRAZOS.</v>
      </c>
      <c r="C3869" s="6">
        <v>639999.86</v>
      </c>
      <c r="D3869" s="5" t="s">
        <v>281</v>
      </c>
      <c r="E3869" s="5" t="str">
        <f t="shared" si="181"/>
        <v>QUIROFANO -MARIA DEL PILAR MEDINA</v>
      </c>
      <c r="F3869" s="5"/>
      <c r="G3869" s="5"/>
    </row>
    <row r="3870" spans="1:7" ht="58.5" customHeight="1" x14ac:dyDescent="0.25">
      <c r="A3870" s="5" t="str">
        <f>"H0035900"</f>
        <v>H0035900</v>
      </c>
      <c r="B3870" s="5" t="str">
        <f t="shared" si="183"/>
        <v>SILLA GERENTE NIZA MEC. BASCULANTE CON BRAZOS.</v>
      </c>
      <c r="C3870" s="6">
        <v>639999.86</v>
      </c>
      <c r="D3870" s="5" t="s">
        <v>281</v>
      </c>
      <c r="E3870" s="5" t="str">
        <f t="shared" si="181"/>
        <v>QUIROFANO -MARIA DEL PILAR MEDINA</v>
      </c>
      <c r="F3870" s="5"/>
      <c r="G3870" s="5"/>
    </row>
    <row r="3871" spans="1:7" ht="58.5" customHeight="1" x14ac:dyDescent="0.25">
      <c r="A3871" s="5" t="str">
        <f>"H0035901"</f>
        <v>H0035901</v>
      </c>
      <c r="B3871" s="5" t="str">
        <f t="shared" si="183"/>
        <v>SILLA GERENTE NIZA MEC. BASCULANTE CON BRAZOS.</v>
      </c>
      <c r="C3871" s="6">
        <v>639999.86</v>
      </c>
      <c r="D3871" s="5" t="s">
        <v>281</v>
      </c>
      <c r="E3871" s="5" t="str">
        <f t="shared" si="181"/>
        <v>QUIROFANO -MARIA DEL PILAR MEDINA</v>
      </c>
      <c r="F3871" s="5"/>
      <c r="G3871" s="5"/>
    </row>
    <row r="3872" spans="1:7" ht="58.5" customHeight="1" x14ac:dyDescent="0.25">
      <c r="A3872" s="5" t="str">
        <f>"H0035902"</f>
        <v>H0035902</v>
      </c>
      <c r="B3872" s="5" t="str">
        <f t="shared" si="183"/>
        <v>SILLA GERENTE NIZA MEC. BASCULANTE CON BRAZOS.</v>
      </c>
      <c r="C3872" s="6">
        <v>639999.86</v>
      </c>
      <c r="D3872" s="5" t="s">
        <v>281</v>
      </c>
      <c r="E3872" s="5" t="str">
        <f t="shared" ref="E3872:E3928" si="184">"QUIROFANO -MARIA DEL PILAR MEDINA"</f>
        <v>QUIROFANO -MARIA DEL PILAR MEDINA</v>
      </c>
      <c r="F3872" s="5"/>
      <c r="G3872" s="5"/>
    </row>
    <row r="3873" spans="1:7" ht="58.5" customHeight="1" x14ac:dyDescent="0.25">
      <c r="A3873" s="5" t="str">
        <f>"H0035904"</f>
        <v>H0035904</v>
      </c>
      <c r="B3873" s="5" t="str">
        <f t="shared" si="183"/>
        <v>SILLA GERENTE NIZA MEC. BASCULANTE CON BRAZOS.</v>
      </c>
      <c r="C3873" s="6">
        <v>639999.86</v>
      </c>
      <c r="D3873" s="5" t="s">
        <v>281</v>
      </c>
      <c r="E3873" s="5" t="str">
        <f t="shared" si="184"/>
        <v>QUIROFANO -MARIA DEL PILAR MEDINA</v>
      </c>
      <c r="F3873" s="5"/>
      <c r="G3873" s="5"/>
    </row>
    <row r="3874" spans="1:7" ht="58.5" customHeight="1" x14ac:dyDescent="0.25">
      <c r="A3874" s="5" t="str">
        <f>"H0035905"</f>
        <v>H0035905</v>
      </c>
      <c r="B3874" s="5" t="str">
        <f t="shared" si="183"/>
        <v>SILLA GERENTE NIZA MEC. BASCULANTE CON BRAZOS.</v>
      </c>
      <c r="C3874" s="6">
        <v>639999.86</v>
      </c>
      <c r="D3874" s="5" t="s">
        <v>281</v>
      </c>
      <c r="E3874" s="5" t="str">
        <f t="shared" si="184"/>
        <v>QUIROFANO -MARIA DEL PILAR MEDINA</v>
      </c>
      <c r="F3874" s="5"/>
      <c r="G3874" s="5"/>
    </row>
    <row r="3875" spans="1:7" ht="58.5" customHeight="1" x14ac:dyDescent="0.25">
      <c r="A3875" s="5" t="str">
        <f>"H0035906"</f>
        <v>H0035906</v>
      </c>
      <c r="B3875" s="5" t="str">
        <f t="shared" si="183"/>
        <v>SILLA GERENTE NIZA MEC. BASCULANTE CON BRAZOS.</v>
      </c>
      <c r="C3875" s="6">
        <v>639999.86</v>
      </c>
      <c r="D3875" s="5" t="s">
        <v>281</v>
      </c>
      <c r="E3875" s="5" t="str">
        <f t="shared" si="184"/>
        <v>QUIROFANO -MARIA DEL PILAR MEDINA</v>
      </c>
      <c r="F3875" s="5"/>
      <c r="G3875" s="5"/>
    </row>
    <row r="3876" spans="1:7" ht="58.5" customHeight="1" x14ac:dyDescent="0.25">
      <c r="A3876" s="5" t="str">
        <f>"H0035907"</f>
        <v>H0035907</v>
      </c>
      <c r="B3876" s="5" t="str">
        <f t="shared" si="183"/>
        <v>SILLA GERENTE NIZA MEC. BASCULANTE CON BRAZOS.</v>
      </c>
      <c r="C3876" s="6">
        <v>639999.86</v>
      </c>
      <c r="D3876" s="5" t="s">
        <v>281</v>
      </c>
      <c r="E3876" s="5" t="str">
        <f t="shared" si="184"/>
        <v>QUIROFANO -MARIA DEL PILAR MEDINA</v>
      </c>
      <c r="F3876" s="5"/>
      <c r="G3876" s="5"/>
    </row>
    <row r="3877" spans="1:7" ht="58.5" customHeight="1" x14ac:dyDescent="0.25">
      <c r="A3877" s="5" t="str">
        <f>"H0035908"</f>
        <v>H0035908</v>
      </c>
      <c r="B3877" s="5" t="str">
        <f t="shared" si="183"/>
        <v>SILLA GERENTE NIZA MEC. BASCULANTE CON BRAZOS.</v>
      </c>
      <c r="C3877" s="6">
        <v>639999.86</v>
      </c>
      <c r="D3877" s="5" t="s">
        <v>281</v>
      </c>
      <c r="E3877" s="5" t="str">
        <f t="shared" si="184"/>
        <v>QUIROFANO -MARIA DEL PILAR MEDINA</v>
      </c>
      <c r="F3877" s="5"/>
      <c r="G3877" s="5"/>
    </row>
    <row r="3878" spans="1:7" ht="58.5" customHeight="1" x14ac:dyDescent="0.25">
      <c r="A3878" s="5" t="str">
        <f>"H0035909"</f>
        <v>H0035909</v>
      </c>
      <c r="B3878" s="5" t="str">
        <f t="shared" si="183"/>
        <v>SILLA GERENTE NIZA MEC. BASCULANTE CON BRAZOS.</v>
      </c>
      <c r="C3878" s="6">
        <v>639999.86</v>
      </c>
      <c r="D3878" s="5" t="s">
        <v>281</v>
      </c>
      <c r="E3878" s="5" t="str">
        <f t="shared" si="184"/>
        <v>QUIROFANO -MARIA DEL PILAR MEDINA</v>
      </c>
      <c r="F3878" s="5"/>
      <c r="G3878" s="5"/>
    </row>
    <row r="3879" spans="1:7" ht="58.5" customHeight="1" x14ac:dyDescent="0.25">
      <c r="A3879" s="5" t="str">
        <f>"H0036464"</f>
        <v>H0036464</v>
      </c>
      <c r="B3879" s="5" t="str">
        <f>"AIRE ACONDICIONADO TIPO TECHO DE 40.000 BTU MARCA LG NO CONTIENE KIT DE TUBERIA"</f>
        <v>AIRE ACONDICIONADO TIPO TECHO DE 40.000 BTU MARCA LG NO CONTIENE KIT DE TUBERIA</v>
      </c>
      <c r="C3879" s="6">
        <v>12138000</v>
      </c>
      <c r="D3879" s="5" t="s">
        <v>335</v>
      </c>
      <c r="E3879" s="5" t="str">
        <f t="shared" si="184"/>
        <v>QUIROFANO -MARIA DEL PILAR MEDINA</v>
      </c>
      <c r="F3879" s="5"/>
      <c r="G3879" s="5"/>
    </row>
    <row r="3880" spans="1:7" ht="58.5" customHeight="1" x14ac:dyDescent="0.25">
      <c r="A3880" s="5" t="str">
        <f>"H0036466"</f>
        <v>H0036466</v>
      </c>
      <c r="B3880" s="5" t="str">
        <f>"AIRE ACONDICIONADO TIPO TECHO DE 40.000 BTU MARCA LG NO CONTIENE KIT DE TUBERIA"</f>
        <v>AIRE ACONDICIONADO TIPO TECHO DE 40.000 BTU MARCA LG NO CONTIENE KIT DE TUBERIA</v>
      </c>
      <c r="C3880" s="6">
        <v>12138000</v>
      </c>
      <c r="D3880" s="5" t="s">
        <v>335</v>
      </c>
      <c r="E3880" s="5" t="str">
        <f t="shared" si="184"/>
        <v>QUIROFANO -MARIA DEL PILAR MEDINA</v>
      </c>
      <c r="F3880" s="5"/>
      <c r="G3880" s="5"/>
    </row>
    <row r="3881" spans="1:7" ht="58.5" customHeight="1" x14ac:dyDescent="0.25">
      <c r="A3881" s="5" t="str">
        <f>"H0036467"</f>
        <v>H0036467</v>
      </c>
      <c r="B3881" s="5" t="str">
        <f>"AIRE ACONDICIONADO TIPO TECHO DE 40.000 BTU MARCA LG NO CONTIENE KIT DE TUBERIA"</f>
        <v>AIRE ACONDICIONADO TIPO TECHO DE 40.000 BTU MARCA LG NO CONTIENE KIT DE TUBERIA</v>
      </c>
      <c r="C3881" s="6">
        <v>12138000</v>
      </c>
      <c r="D3881" s="5" t="s">
        <v>335</v>
      </c>
      <c r="E3881" s="5" t="str">
        <f t="shared" si="184"/>
        <v>QUIROFANO -MARIA DEL PILAR MEDINA</v>
      </c>
      <c r="F3881" s="5"/>
      <c r="G3881" s="5"/>
    </row>
    <row r="3882" spans="1:7" ht="58.5" customHeight="1" x14ac:dyDescent="0.25">
      <c r="A3882" s="5" t="str">
        <f>"H0036468"</f>
        <v>H0036468</v>
      </c>
      <c r="B3882" s="5" t="str">
        <f>"AIRE ACONDICIONADO TIPO TECHO DE 40.000 BTU MARCA LG NO CONTIENE KIT DE TUBERIA"</f>
        <v>AIRE ACONDICIONADO TIPO TECHO DE 40.000 BTU MARCA LG NO CONTIENE KIT DE TUBERIA</v>
      </c>
      <c r="C3882" s="6">
        <v>12138000</v>
      </c>
      <c r="D3882" s="5" t="s">
        <v>335</v>
      </c>
      <c r="E3882" s="5" t="str">
        <f t="shared" si="184"/>
        <v>QUIROFANO -MARIA DEL PILAR MEDINA</v>
      </c>
      <c r="F3882" s="5"/>
      <c r="G3882" s="5"/>
    </row>
    <row r="3883" spans="1:7" ht="58.5" customHeight="1" x14ac:dyDescent="0.25">
      <c r="A3883" s="5" t="str">
        <f>"H0036469"</f>
        <v>H0036469</v>
      </c>
      <c r="B3883" s="5" t="str">
        <f>"AIRE ACONDICIONADO DUAL INVERTER DE 24.000 BTU MARCA LG CON KIT DE TUBERIA DE 3 METROS"</f>
        <v>AIRE ACONDICIONADO DUAL INVERTER DE 24.000 BTU MARCA LG CON KIT DE TUBERIA DE 3 METROS</v>
      </c>
      <c r="C3883" s="6">
        <v>6188000</v>
      </c>
      <c r="D3883" s="5" t="s">
        <v>336</v>
      </c>
      <c r="E3883" s="5" t="str">
        <f t="shared" si="184"/>
        <v>QUIROFANO -MARIA DEL PILAR MEDINA</v>
      </c>
      <c r="F3883" s="5"/>
      <c r="G3883" s="5"/>
    </row>
    <row r="3884" spans="1:7" ht="58.5" customHeight="1" x14ac:dyDescent="0.25">
      <c r="A3884" s="5" t="str">
        <f>"H0036470"</f>
        <v>H0036470</v>
      </c>
      <c r="B3884" s="5" t="str">
        <f>"AIRE ACONDICIONADO DUAL INVERTER DE 24.000 BTU MARCA LG CON KIT DE TUBERIA DE 3 METROS"</f>
        <v>AIRE ACONDICIONADO DUAL INVERTER DE 24.000 BTU MARCA LG CON KIT DE TUBERIA DE 3 METROS</v>
      </c>
      <c r="C3884" s="6">
        <v>6188000</v>
      </c>
      <c r="D3884" s="5" t="s">
        <v>335</v>
      </c>
      <c r="E3884" s="5" t="str">
        <f t="shared" si="184"/>
        <v>QUIROFANO -MARIA DEL PILAR MEDINA</v>
      </c>
      <c r="F3884" s="5"/>
      <c r="G3884" s="5"/>
    </row>
    <row r="3885" spans="1:7" ht="58.5" customHeight="1" x14ac:dyDescent="0.25">
      <c r="A3885" s="5" t="str">
        <f>"H0036471"</f>
        <v>H0036471</v>
      </c>
      <c r="B3885" s="5" t="str">
        <f>"AIRE ACONDICIONADO DUAL INVERTER DE 24.000 BTU MARCA LG CON KIT DE TUBERIA DE 3 METROS"</f>
        <v>AIRE ACONDICIONADO DUAL INVERTER DE 24.000 BTU MARCA LG CON KIT DE TUBERIA DE 3 METROS</v>
      </c>
      <c r="C3885" s="6">
        <v>6188000</v>
      </c>
      <c r="D3885" s="5" t="s">
        <v>335</v>
      </c>
      <c r="E3885" s="5" t="str">
        <f t="shared" si="184"/>
        <v>QUIROFANO -MARIA DEL PILAR MEDINA</v>
      </c>
      <c r="F3885" s="5"/>
      <c r="G3885" s="5"/>
    </row>
    <row r="3886" spans="1:7" ht="58.5" customHeight="1" x14ac:dyDescent="0.25">
      <c r="A3886" s="5" t="str">
        <f>"H0036472"</f>
        <v>H0036472</v>
      </c>
      <c r="B3886" s="5" t="str">
        <f>"AIRE ACONDICIONADO DUAL INVERTER DE 24.000 BTU MARCA LG CON KIT DE TUBERIA DE 3 METROS"</f>
        <v>AIRE ACONDICIONADO DUAL INVERTER DE 24.000 BTU MARCA LG CON KIT DE TUBERIA DE 3 METROS</v>
      </c>
      <c r="C3886" s="6">
        <v>6188000</v>
      </c>
      <c r="D3886" s="5" t="s">
        <v>335</v>
      </c>
      <c r="E3886" s="5" t="str">
        <f t="shared" si="184"/>
        <v>QUIROFANO -MARIA DEL PILAR MEDINA</v>
      </c>
      <c r="F3886" s="5"/>
      <c r="G3886" s="5"/>
    </row>
    <row r="3887" spans="1:7" ht="58.5" customHeight="1" x14ac:dyDescent="0.25">
      <c r="A3887" s="5" t="str">
        <f>"H0036491"</f>
        <v>H0036491</v>
      </c>
      <c r="B3887" s="5" t="str">
        <f>"VIDEOLARINGOSCOPIO"</f>
        <v>VIDEOLARINGOSCOPIO</v>
      </c>
      <c r="C3887" s="6">
        <v>12650000</v>
      </c>
      <c r="D3887" s="5" t="s">
        <v>132</v>
      </c>
      <c r="E3887" s="5" t="str">
        <f t="shared" si="184"/>
        <v>QUIROFANO -MARIA DEL PILAR MEDINA</v>
      </c>
      <c r="F3887" s="5"/>
      <c r="G3887" s="5"/>
    </row>
    <row r="3888" spans="1:7" ht="58.5" customHeight="1" x14ac:dyDescent="0.25">
      <c r="A3888" s="5" t="str">
        <f>"H0036492"</f>
        <v>H0036492</v>
      </c>
      <c r="B3888" s="5" t="str">
        <f>"VIDEOLARINGOSCOPIO"</f>
        <v>VIDEOLARINGOSCOPIO</v>
      </c>
      <c r="C3888" s="6">
        <v>12650000</v>
      </c>
      <c r="D3888" s="5" t="s">
        <v>132</v>
      </c>
      <c r="E3888" s="5" t="str">
        <f t="shared" si="184"/>
        <v>QUIROFANO -MARIA DEL PILAR MEDINA</v>
      </c>
      <c r="F3888" s="5"/>
      <c r="G3888" s="5"/>
    </row>
    <row r="3889" spans="1:7" ht="58.5" customHeight="1" x14ac:dyDescent="0.25">
      <c r="A3889" s="5" t="str">
        <f>"H0036493"</f>
        <v>H0036493</v>
      </c>
      <c r="B3889" s="5" t="str">
        <f>"VIDEOLARINGOSCOPIO"</f>
        <v>VIDEOLARINGOSCOPIO</v>
      </c>
      <c r="C3889" s="6">
        <v>12650000</v>
      </c>
      <c r="D3889" s="5" t="s">
        <v>132</v>
      </c>
      <c r="E3889" s="5" t="str">
        <f t="shared" si="184"/>
        <v>QUIROFANO -MARIA DEL PILAR MEDINA</v>
      </c>
      <c r="F3889" s="5"/>
      <c r="G3889" s="5"/>
    </row>
    <row r="3890" spans="1:7" ht="58.5" customHeight="1" x14ac:dyDescent="0.25">
      <c r="A3890" s="5" t="str">
        <f>"H0036513"</f>
        <v>H0036513</v>
      </c>
      <c r="B3890" s="5" t="str">
        <f>"FOTOFORO LÁMPARA COAXIAL ULTRA LUMINOSA"</f>
        <v>FOTOFORO LÁMPARA COAXIAL ULTRA LUMINOSA</v>
      </c>
      <c r="C3890" s="6">
        <v>21182000</v>
      </c>
      <c r="D3890" s="5" t="s">
        <v>337</v>
      </c>
      <c r="E3890" s="5" t="str">
        <f t="shared" si="184"/>
        <v>QUIROFANO -MARIA DEL PILAR MEDINA</v>
      </c>
      <c r="F3890" s="5"/>
      <c r="G3890" s="5"/>
    </row>
    <row r="3891" spans="1:7" ht="58.5" customHeight="1" x14ac:dyDescent="0.25">
      <c r="A3891" s="5" t="str">
        <f>"H0036514"</f>
        <v>H0036514</v>
      </c>
      <c r="B3891" s="5" t="str">
        <f>"FOTOFORO LÁMPARA COAXIAL ULTRA LUMINOSA"</f>
        <v>FOTOFORO LÁMPARA COAXIAL ULTRA LUMINOSA</v>
      </c>
      <c r="C3891" s="6">
        <v>21182000</v>
      </c>
      <c r="D3891" s="5" t="s">
        <v>337</v>
      </c>
      <c r="E3891" s="5" t="str">
        <f t="shared" si="184"/>
        <v>QUIROFANO -MARIA DEL PILAR MEDINA</v>
      </c>
      <c r="F3891" s="5"/>
      <c r="G3891" s="5"/>
    </row>
    <row r="3892" spans="1:7" ht="58.5" customHeight="1" x14ac:dyDescent="0.25">
      <c r="A3892" s="5" t="str">
        <f>"H0036515"</f>
        <v>H0036515</v>
      </c>
      <c r="B3892" s="5" t="str">
        <f>"FOTOFORO DE LUZ FRIA (LAMPARA FRONTAL DE ESTADO SOLIDO)"</f>
        <v>FOTOFORO DE LUZ FRIA (LAMPARA FRONTAL DE ESTADO SOLIDO)</v>
      </c>
      <c r="C3892" s="6">
        <v>8157450</v>
      </c>
      <c r="D3892" s="5" t="s">
        <v>337</v>
      </c>
      <c r="E3892" s="5" t="str">
        <f t="shared" si="184"/>
        <v>QUIROFANO -MARIA DEL PILAR MEDINA</v>
      </c>
      <c r="F3892" s="5"/>
      <c r="G3892" s="5"/>
    </row>
    <row r="3893" spans="1:7" ht="58.5" customHeight="1" x14ac:dyDescent="0.25">
      <c r="A3893" s="5" t="str">
        <f>"H0036516"</f>
        <v>H0036516</v>
      </c>
      <c r="B3893" s="5" t="str">
        <f>"FOTOFORO DE LUZ FRIA (LAMPARA FRONTAL DE ESTADO SOLIDO)"</f>
        <v>FOTOFORO DE LUZ FRIA (LAMPARA FRONTAL DE ESTADO SOLIDO)</v>
      </c>
      <c r="C3893" s="6">
        <v>8157450</v>
      </c>
      <c r="D3893" s="5" t="s">
        <v>337</v>
      </c>
      <c r="E3893" s="5" t="str">
        <f t="shared" si="184"/>
        <v>QUIROFANO -MARIA DEL PILAR MEDINA</v>
      </c>
      <c r="F3893" s="5"/>
      <c r="G3893" s="5"/>
    </row>
    <row r="3894" spans="1:7" ht="58.5" customHeight="1" x14ac:dyDescent="0.25">
      <c r="A3894" s="5" t="str">
        <f>"H0036603"</f>
        <v>H0036603</v>
      </c>
      <c r="B3894" s="5" t="str">
        <f>"MONITOR DE PACIENTES (DONACION)"</f>
        <v>MONITOR DE PACIENTES (DONACION)</v>
      </c>
      <c r="C3894" s="6">
        <v>4450000</v>
      </c>
      <c r="D3894" s="5" t="s">
        <v>134</v>
      </c>
      <c r="E3894" s="5" t="str">
        <f t="shared" si="184"/>
        <v>QUIROFANO -MARIA DEL PILAR MEDINA</v>
      </c>
      <c r="F3894" s="5"/>
      <c r="G3894" s="5"/>
    </row>
    <row r="3895" spans="1:7" ht="58.5" customHeight="1" x14ac:dyDescent="0.25">
      <c r="A3895" s="5" t="str">
        <f>"H0036859"</f>
        <v>H0036859</v>
      </c>
      <c r="B3895" s="5" t="str">
        <f>"LAMPARA QUIRURGICA DE PIE PORTATIL"</f>
        <v>LAMPARA QUIRURGICA DE PIE PORTATIL</v>
      </c>
      <c r="C3895" s="6">
        <v>44030000</v>
      </c>
      <c r="D3895" s="5" t="s">
        <v>200</v>
      </c>
      <c r="E3895" s="5" t="str">
        <f t="shared" si="184"/>
        <v>QUIROFANO -MARIA DEL PILAR MEDINA</v>
      </c>
      <c r="F3895" s="5"/>
      <c r="G3895" s="5"/>
    </row>
    <row r="3896" spans="1:7" ht="58.5" customHeight="1" x14ac:dyDescent="0.25">
      <c r="A3896" s="5" t="str">
        <f>"H0036860"</f>
        <v>H0036860</v>
      </c>
      <c r="B3896" s="5" t="str">
        <f>"LAMPARA QUIRURGICA DE PIE PORTATIL"</f>
        <v>LAMPARA QUIRURGICA DE PIE PORTATIL</v>
      </c>
      <c r="C3896" s="6">
        <v>44030000</v>
      </c>
      <c r="D3896" s="5" t="s">
        <v>200</v>
      </c>
      <c r="E3896" s="5" t="str">
        <f t="shared" si="184"/>
        <v>QUIROFANO -MARIA DEL PILAR MEDINA</v>
      </c>
      <c r="F3896" s="5"/>
      <c r="G3896" s="5"/>
    </row>
    <row r="3897" spans="1:7" ht="58.5" customHeight="1" x14ac:dyDescent="0.25">
      <c r="A3897" s="5" t="str">
        <f>"H0036862"</f>
        <v>H0036862</v>
      </c>
      <c r="B3897" s="5" t="str">
        <f>"LAMPARA QUIRURGICA DE PIE PORTATIL"</f>
        <v>LAMPARA QUIRURGICA DE PIE PORTATIL</v>
      </c>
      <c r="C3897" s="6">
        <v>44030000</v>
      </c>
      <c r="D3897" s="5" t="s">
        <v>200</v>
      </c>
      <c r="E3897" s="5" t="str">
        <f t="shared" si="184"/>
        <v>QUIROFANO -MARIA DEL PILAR MEDINA</v>
      </c>
      <c r="F3897" s="5"/>
      <c r="G3897" s="5"/>
    </row>
    <row r="3898" spans="1:7" ht="58.5" customHeight="1" x14ac:dyDescent="0.25">
      <c r="A3898" s="5" t="str">
        <f>"H0036863"</f>
        <v>H0036863</v>
      </c>
      <c r="B3898" s="5" t="str">
        <f>"LAMPARA QUIRURGICA DE PIE PORTATIL"</f>
        <v>LAMPARA QUIRURGICA DE PIE PORTATIL</v>
      </c>
      <c r="C3898" s="6">
        <v>44030000</v>
      </c>
      <c r="D3898" s="5" t="s">
        <v>200</v>
      </c>
      <c r="E3898" s="5" t="str">
        <f t="shared" si="184"/>
        <v>QUIROFANO -MARIA DEL PILAR MEDINA</v>
      </c>
      <c r="F3898" s="5"/>
      <c r="G3898" s="5"/>
    </row>
    <row r="3899" spans="1:7" ht="58.5" customHeight="1" x14ac:dyDescent="0.25">
      <c r="A3899" s="5" t="str">
        <f>"H0037215"</f>
        <v>H0037215</v>
      </c>
      <c r="B3899" s="5" t="str">
        <f>"AIRE ACONDICIONADO DE 36000 BTU PISO TECHO"</f>
        <v>AIRE ACONDICIONADO DE 36000 BTU PISO TECHO</v>
      </c>
      <c r="C3899" s="6">
        <v>6426000</v>
      </c>
      <c r="D3899" s="5" t="s">
        <v>201</v>
      </c>
      <c r="E3899" s="5" t="str">
        <f t="shared" si="184"/>
        <v>QUIROFANO -MARIA DEL PILAR MEDINA</v>
      </c>
      <c r="F3899" s="5"/>
      <c r="G3899" s="5"/>
    </row>
    <row r="3900" spans="1:7" ht="58.5" customHeight="1" x14ac:dyDescent="0.25">
      <c r="A3900" s="5" t="str">
        <f>"H0037246"</f>
        <v>H0037246</v>
      </c>
      <c r="B3900" s="5" t="str">
        <f>"CRANEOTOMO"</f>
        <v>CRANEOTOMO</v>
      </c>
      <c r="C3900" s="6">
        <v>35629139</v>
      </c>
      <c r="D3900" s="5" t="s">
        <v>338</v>
      </c>
      <c r="E3900" s="5" t="str">
        <f t="shared" si="184"/>
        <v>QUIROFANO -MARIA DEL PILAR MEDINA</v>
      </c>
      <c r="F3900" s="5"/>
      <c r="G3900" s="5"/>
    </row>
    <row r="3901" spans="1:7" ht="58.5" customHeight="1" x14ac:dyDescent="0.25">
      <c r="A3901" s="5" t="str">
        <f>"H0037448"</f>
        <v>H0037448</v>
      </c>
      <c r="B3901" s="5" t="str">
        <f>"AIRE ACONDICIONADO TIPO MINISPLIT CAPACIDAD 24.000 BTU TECNOLOGIA INVERTER DUAL"</f>
        <v>AIRE ACONDICIONADO TIPO MINISPLIT CAPACIDAD 24.000 BTU TECNOLOGIA INVERTER DUAL</v>
      </c>
      <c r="C3901" s="6">
        <v>5848909.5300000003</v>
      </c>
      <c r="D3901" s="5" t="s">
        <v>202</v>
      </c>
      <c r="E3901" s="5" t="str">
        <f t="shared" si="184"/>
        <v>QUIROFANO -MARIA DEL PILAR MEDINA</v>
      </c>
      <c r="F3901" s="5"/>
      <c r="G3901" s="5"/>
    </row>
    <row r="3902" spans="1:7" ht="58.5" customHeight="1" x14ac:dyDescent="0.25">
      <c r="A3902" s="5" t="str">
        <f>"H0037584"</f>
        <v>H0037584</v>
      </c>
      <c r="B3902" s="5" t="str">
        <f>"TORNIQUETE PARA HOMOSTASIS (KOMPRIMETER)"</f>
        <v>TORNIQUETE PARA HOMOSTASIS (KOMPRIMETER)</v>
      </c>
      <c r="C3902" s="6">
        <v>69201724</v>
      </c>
      <c r="D3902" s="5" t="s">
        <v>339</v>
      </c>
      <c r="E3902" s="5" t="str">
        <f t="shared" si="184"/>
        <v>QUIROFANO -MARIA DEL PILAR MEDINA</v>
      </c>
      <c r="F3902" s="5"/>
      <c r="G3902" s="5"/>
    </row>
    <row r="3903" spans="1:7" ht="58.5" customHeight="1" x14ac:dyDescent="0.25">
      <c r="A3903" s="5" t="str">
        <f>"H0037884"</f>
        <v>H0037884</v>
      </c>
      <c r="B3903" s="5" t="str">
        <f t="shared" ref="B3903:B3908" si="185">"SILLA GERENTE NIZA MEC. BASCULANTE CON BRAZOS."</f>
        <v>SILLA GERENTE NIZA MEC. BASCULANTE CON BRAZOS.</v>
      </c>
      <c r="C3903" s="6">
        <v>710000.01</v>
      </c>
      <c r="D3903" s="5" t="s">
        <v>30</v>
      </c>
      <c r="E3903" s="5" t="str">
        <f t="shared" si="184"/>
        <v>QUIROFANO -MARIA DEL PILAR MEDINA</v>
      </c>
      <c r="F3903" s="5"/>
      <c r="G3903" s="5"/>
    </row>
    <row r="3904" spans="1:7" ht="58.5" customHeight="1" x14ac:dyDescent="0.25">
      <c r="A3904" s="5" t="str">
        <f>"H0037885"</f>
        <v>H0037885</v>
      </c>
      <c r="B3904" s="5" t="str">
        <f t="shared" si="185"/>
        <v>SILLA GERENTE NIZA MEC. BASCULANTE CON BRAZOS.</v>
      </c>
      <c r="C3904" s="6">
        <v>710000.01</v>
      </c>
      <c r="D3904" s="5" t="s">
        <v>30</v>
      </c>
      <c r="E3904" s="5" t="str">
        <f t="shared" si="184"/>
        <v>QUIROFANO -MARIA DEL PILAR MEDINA</v>
      </c>
      <c r="F3904" s="5"/>
      <c r="G3904" s="5"/>
    </row>
    <row r="3905" spans="1:7" ht="58.5" customHeight="1" x14ac:dyDescent="0.25">
      <c r="A3905" s="5" t="str">
        <f>"H0037886"</f>
        <v>H0037886</v>
      </c>
      <c r="B3905" s="5" t="str">
        <f t="shared" si="185"/>
        <v>SILLA GERENTE NIZA MEC. BASCULANTE CON BRAZOS.</v>
      </c>
      <c r="C3905" s="6">
        <v>710000.01</v>
      </c>
      <c r="D3905" s="5" t="s">
        <v>30</v>
      </c>
      <c r="E3905" s="5" t="str">
        <f t="shared" si="184"/>
        <v>QUIROFANO -MARIA DEL PILAR MEDINA</v>
      </c>
      <c r="F3905" s="5"/>
      <c r="G3905" s="5"/>
    </row>
    <row r="3906" spans="1:7" ht="58.5" customHeight="1" x14ac:dyDescent="0.25">
      <c r="A3906" s="5" t="str">
        <f>"H0037887"</f>
        <v>H0037887</v>
      </c>
      <c r="B3906" s="5" t="str">
        <f t="shared" si="185"/>
        <v>SILLA GERENTE NIZA MEC. BASCULANTE CON BRAZOS.</v>
      </c>
      <c r="C3906" s="6">
        <v>710000.01</v>
      </c>
      <c r="D3906" s="5" t="s">
        <v>30</v>
      </c>
      <c r="E3906" s="5" t="str">
        <f t="shared" si="184"/>
        <v>QUIROFANO -MARIA DEL PILAR MEDINA</v>
      </c>
      <c r="F3906" s="5"/>
      <c r="G3906" s="5"/>
    </row>
    <row r="3907" spans="1:7" ht="58.5" customHeight="1" x14ac:dyDescent="0.25">
      <c r="A3907" s="5" t="str">
        <f>"H0038010"</f>
        <v>H0038010</v>
      </c>
      <c r="B3907" s="5" t="str">
        <f t="shared" si="185"/>
        <v>SILLA GERENTE NIZA MEC. BASCULANTE CON BRAZOS.</v>
      </c>
      <c r="C3907" s="6">
        <v>710000.01</v>
      </c>
      <c r="D3907" s="5" t="s">
        <v>30</v>
      </c>
      <c r="E3907" s="5" t="str">
        <f t="shared" si="184"/>
        <v>QUIROFANO -MARIA DEL PILAR MEDINA</v>
      </c>
      <c r="F3907" s="5"/>
      <c r="G3907" s="5"/>
    </row>
    <row r="3908" spans="1:7" ht="58.5" customHeight="1" x14ac:dyDescent="0.25">
      <c r="A3908" s="5" t="str">
        <f>"H0038011"</f>
        <v>H0038011</v>
      </c>
      <c r="B3908" s="5" t="str">
        <f t="shared" si="185"/>
        <v>SILLA GERENTE NIZA MEC. BASCULANTE CON BRAZOS.</v>
      </c>
      <c r="C3908" s="6">
        <v>710000.01</v>
      </c>
      <c r="D3908" s="5" t="s">
        <v>30</v>
      </c>
      <c r="E3908" s="5" t="str">
        <f t="shared" si="184"/>
        <v>QUIROFANO -MARIA DEL PILAR MEDINA</v>
      </c>
      <c r="F3908" s="5"/>
      <c r="G3908" s="5"/>
    </row>
    <row r="3909" spans="1:7" ht="58.5" customHeight="1" x14ac:dyDescent="0.25">
      <c r="A3909" s="5" t="str">
        <f>"H0038089"</f>
        <v>H0038089</v>
      </c>
      <c r="B3909" s="5" t="str">
        <f t="shared" ref="B3909:B3914" si="186">"SILLA CAJERO KOPI"</f>
        <v>SILLA CAJERO KOPI</v>
      </c>
      <c r="C3909" s="6">
        <v>565000.01</v>
      </c>
      <c r="D3909" s="5" t="s">
        <v>30</v>
      </c>
      <c r="E3909" s="5" t="str">
        <f t="shared" si="184"/>
        <v>QUIROFANO -MARIA DEL PILAR MEDINA</v>
      </c>
      <c r="F3909" s="5"/>
      <c r="G3909" s="5"/>
    </row>
    <row r="3910" spans="1:7" ht="58.5" customHeight="1" x14ac:dyDescent="0.25">
      <c r="A3910" s="5" t="str">
        <f>"H0038090"</f>
        <v>H0038090</v>
      </c>
      <c r="B3910" s="5" t="str">
        <f t="shared" si="186"/>
        <v>SILLA CAJERO KOPI</v>
      </c>
      <c r="C3910" s="6">
        <v>565000.01</v>
      </c>
      <c r="D3910" s="5" t="s">
        <v>30</v>
      </c>
      <c r="E3910" s="5" t="str">
        <f t="shared" si="184"/>
        <v>QUIROFANO -MARIA DEL PILAR MEDINA</v>
      </c>
      <c r="F3910" s="5"/>
      <c r="G3910" s="5"/>
    </row>
    <row r="3911" spans="1:7" ht="58.5" customHeight="1" x14ac:dyDescent="0.25">
      <c r="A3911" s="5" t="str">
        <f>"H0038091"</f>
        <v>H0038091</v>
      </c>
      <c r="B3911" s="5" t="str">
        <f t="shared" si="186"/>
        <v>SILLA CAJERO KOPI</v>
      </c>
      <c r="C3911" s="6">
        <v>565000.01</v>
      </c>
      <c r="D3911" s="5" t="s">
        <v>30</v>
      </c>
      <c r="E3911" s="5" t="str">
        <f t="shared" si="184"/>
        <v>QUIROFANO -MARIA DEL PILAR MEDINA</v>
      </c>
      <c r="F3911" s="5"/>
      <c r="G3911" s="5"/>
    </row>
    <row r="3912" spans="1:7" ht="58.5" customHeight="1" x14ac:dyDescent="0.25">
      <c r="A3912" s="5" t="str">
        <f>"H0038092"</f>
        <v>H0038092</v>
      </c>
      <c r="B3912" s="5" t="str">
        <f t="shared" si="186"/>
        <v>SILLA CAJERO KOPI</v>
      </c>
      <c r="C3912" s="6">
        <v>565000.01</v>
      </c>
      <c r="D3912" s="5" t="s">
        <v>30</v>
      </c>
      <c r="E3912" s="5" t="str">
        <f t="shared" si="184"/>
        <v>QUIROFANO -MARIA DEL PILAR MEDINA</v>
      </c>
      <c r="F3912" s="5"/>
      <c r="G3912" s="5"/>
    </row>
    <row r="3913" spans="1:7" ht="58.5" customHeight="1" x14ac:dyDescent="0.25">
      <c r="A3913" s="5" t="str">
        <f>"H0038093"</f>
        <v>H0038093</v>
      </c>
      <c r="B3913" s="5" t="str">
        <f t="shared" si="186"/>
        <v>SILLA CAJERO KOPI</v>
      </c>
      <c r="C3913" s="6">
        <v>565000.01</v>
      </c>
      <c r="D3913" s="5" t="s">
        <v>30</v>
      </c>
      <c r="E3913" s="5" t="str">
        <f t="shared" si="184"/>
        <v>QUIROFANO -MARIA DEL PILAR MEDINA</v>
      </c>
      <c r="F3913" s="5"/>
      <c r="G3913" s="5"/>
    </row>
    <row r="3914" spans="1:7" ht="58.5" customHeight="1" x14ac:dyDescent="0.25">
      <c r="A3914" s="5" t="str">
        <f>"H0038094"</f>
        <v>H0038094</v>
      </c>
      <c r="B3914" s="5" t="str">
        <f t="shared" si="186"/>
        <v>SILLA CAJERO KOPI</v>
      </c>
      <c r="C3914" s="6">
        <v>565000.01</v>
      </c>
      <c r="D3914" s="5" t="s">
        <v>30</v>
      </c>
      <c r="E3914" s="5" t="str">
        <f t="shared" si="184"/>
        <v>QUIROFANO -MARIA DEL PILAR MEDINA</v>
      </c>
      <c r="F3914" s="5"/>
      <c r="G3914" s="5"/>
    </row>
    <row r="3915" spans="1:7" ht="58.5" customHeight="1" x14ac:dyDescent="0.25">
      <c r="A3915" s="5" t="str">
        <f>"H0038198"</f>
        <v>H0038198</v>
      </c>
      <c r="B3915" s="5" t="str">
        <f t="shared" ref="B3915:B3920" si="187">"GANCHO DE HOOD"</f>
        <v>GANCHO DE HOOD</v>
      </c>
      <c r="C3915" s="6">
        <v>2626925</v>
      </c>
      <c r="D3915" s="5" t="s">
        <v>340</v>
      </c>
      <c r="E3915" s="5" t="str">
        <f t="shared" si="184"/>
        <v>QUIROFANO -MARIA DEL PILAR MEDINA</v>
      </c>
      <c r="F3915" s="5"/>
      <c r="G3915" s="5"/>
    </row>
    <row r="3916" spans="1:7" ht="58.5" customHeight="1" x14ac:dyDescent="0.25">
      <c r="A3916" s="5" t="str">
        <f>"H0038199"</f>
        <v>H0038199</v>
      </c>
      <c r="B3916" s="5" t="str">
        <f t="shared" si="187"/>
        <v>GANCHO DE HOOD</v>
      </c>
      <c r="C3916" s="6">
        <v>2626925</v>
      </c>
      <c r="D3916" s="5" t="s">
        <v>340</v>
      </c>
      <c r="E3916" s="5" t="str">
        <f t="shared" si="184"/>
        <v>QUIROFANO -MARIA DEL PILAR MEDINA</v>
      </c>
      <c r="F3916" s="5"/>
      <c r="G3916" s="5"/>
    </row>
    <row r="3917" spans="1:7" ht="58.5" customHeight="1" x14ac:dyDescent="0.25">
      <c r="A3917" s="5" t="str">
        <f>"H0038200"</f>
        <v>H0038200</v>
      </c>
      <c r="B3917" s="5" t="str">
        <f t="shared" si="187"/>
        <v>GANCHO DE HOOD</v>
      </c>
      <c r="C3917" s="6">
        <v>2626925</v>
      </c>
      <c r="D3917" s="5" t="s">
        <v>340</v>
      </c>
      <c r="E3917" s="5" t="str">
        <f t="shared" si="184"/>
        <v>QUIROFANO -MARIA DEL PILAR MEDINA</v>
      </c>
      <c r="F3917" s="5"/>
      <c r="G3917" s="5"/>
    </row>
    <row r="3918" spans="1:7" ht="58.5" customHeight="1" x14ac:dyDescent="0.25">
      <c r="A3918" s="5" t="str">
        <f>"H0038201"</f>
        <v>H0038201</v>
      </c>
      <c r="B3918" s="5" t="str">
        <f t="shared" si="187"/>
        <v>GANCHO DE HOOD</v>
      </c>
      <c r="C3918" s="6">
        <v>2626925</v>
      </c>
      <c r="D3918" s="5" t="s">
        <v>340</v>
      </c>
      <c r="E3918" s="5" t="str">
        <f t="shared" si="184"/>
        <v>QUIROFANO -MARIA DEL PILAR MEDINA</v>
      </c>
      <c r="F3918" s="5"/>
      <c r="G3918" s="5"/>
    </row>
    <row r="3919" spans="1:7" ht="58.5" customHeight="1" x14ac:dyDescent="0.25">
      <c r="A3919" s="5" t="str">
        <f>"H0038202"</f>
        <v>H0038202</v>
      </c>
      <c r="B3919" s="5" t="str">
        <f t="shared" si="187"/>
        <v>GANCHO DE HOOD</v>
      </c>
      <c r="C3919" s="6">
        <v>2626925</v>
      </c>
      <c r="D3919" s="5" t="s">
        <v>340</v>
      </c>
      <c r="E3919" s="5" t="str">
        <f t="shared" si="184"/>
        <v>QUIROFANO -MARIA DEL PILAR MEDINA</v>
      </c>
      <c r="F3919" s="5"/>
      <c r="G3919" s="5"/>
    </row>
    <row r="3920" spans="1:7" ht="58.5" customHeight="1" x14ac:dyDescent="0.25">
      <c r="A3920" s="5" t="str">
        <f>"H0038203"</f>
        <v>H0038203</v>
      </c>
      <c r="B3920" s="5" t="str">
        <f t="shared" si="187"/>
        <v>GANCHO DE HOOD</v>
      </c>
      <c r="C3920" s="6">
        <v>2626925</v>
      </c>
      <c r="D3920" s="5" t="s">
        <v>340</v>
      </c>
      <c r="E3920" s="5" t="str">
        <f t="shared" si="184"/>
        <v>QUIROFANO -MARIA DEL PILAR MEDINA</v>
      </c>
      <c r="F3920" s="5"/>
      <c r="G3920" s="5"/>
    </row>
    <row r="3921" spans="1:7" ht="58.5" customHeight="1" x14ac:dyDescent="0.25">
      <c r="A3921" s="5" t="str">
        <f>"H0038665"</f>
        <v>H0038665</v>
      </c>
      <c r="B3921" s="5" t="str">
        <f>"FIBROBRONCOSCOPIO"</f>
        <v>FIBROBRONCOSCOPIO</v>
      </c>
      <c r="C3921" s="6">
        <v>119565651</v>
      </c>
      <c r="D3921" s="5" t="s">
        <v>341</v>
      </c>
      <c r="E3921" s="5" t="str">
        <f t="shared" si="184"/>
        <v>QUIROFANO -MARIA DEL PILAR MEDINA</v>
      </c>
      <c r="F3921" s="5"/>
      <c r="G3921" s="5"/>
    </row>
    <row r="3922" spans="1:7" ht="58.5" customHeight="1" x14ac:dyDescent="0.25">
      <c r="A3922" s="5" t="str">
        <f>"H0038710"</f>
        <v>H0038710</v>
      </c>
      <c r="B3922" s="5" t="str">
        <f>"SILLA DE RUEDAS (DONACION)"</f>
        <v>SILLA DE RUEDAS (DONACION)</v>
      </c>
      <c r="C3922" s="6">
        <v>680000</v>
      </c>
      <c r="D3922" s="5" t="s">
        <v>342</v>
      </c>
      <c r="E3922" s="5" t="str">
        <f t="shared" si="184"/>
        <v>QUIROFANO -MARIA DEL PILAR MEDINA</v>
      </c>
      <c r="F3922" s="5"/>
      <c r="G3922" s="5"/>
    </row>
    <row r="3923" spans="1:7" ht="58.5" customHeight="1" x14ac:dyDescent="0.25">
      <c r="A3923" s="5" t="str">
        <f>"H0038711"</f>
        <v>H0038711</v>
      </c>
      <c r="B3923" s="5" t="str">
        <f>"SILLA DE RUEDAS (DONACION)"</f>
        <v>SILLA DE RUEDAS (DONACION)</v>
      </c>
      <c r="C3923" s="6">
        <v>680000</v>
      </c>
      <c r="D3923" s="5" t="s">
        <v>342</v>
      </c>
      <c r="E3923" s="5" t="str">
        <f t="shared" si="184"/>
        <v>QUIROFANO -MARIA DEL PILAR MEDINA</v>
      </c>
      <c r="F3923" s="5"/>
      <c r="G3923" s="5"/>
    </row>
    <row r="3924" spans="1:7" ht="58.5" customHeight="1" x14ac:dyDescent="0.25">
      <c r="A3924" s="5" t="str">
        <f>"H0038712"</f>
        <v>H0038712</v>
      </c>
      <c r="B3924" s="5" t="str">
        <f>"SILLA DE RUEDAS (DONACION)"</f>
        <v>SILLA DE RUEDAS (DONACION)</v>
      </c>
      <c r="C3924" s="6">
        <v>680000</v>
      </c>
      <c r="D3924" s="5" t="s">
        <v>343</v>
      </c>
      <c r="E3924" s="5" t="str">
        <f t="shared" si="184"/>
        <v>QUIROFANO -MARIA DEL PILAR MEDINA</v>
      </c>
      <c r="F3924" s="5"/>
      <c r="G3924" s="5"/>
    </row>
    <row r="3925" spans="1:7" ht="58.5" customHeight="1" x14ac:dyDescent="0.25">
      <c r="A3925" s="5" t="str">
        <f>"H0038713"</f>
        <v>H0038713</v>
      </c>
      <c r="B3925" s="5" t="str">
        <f>"SILLA DE RUEDAS (DONACION)"</f>
        <v>SILLA DE RUEDAS (DONACION)</v>
      </c>
      <c r="C3925" s="6">
        <v>680000</v>
      </c>
      <c r="D3925" s="5" t="s">
        <v>342</v>
      </c>
      <c r="E3925" s="5" t="str">
        <f t="shared" si="184"/>
        <v>QUIROFANO -MARIA DEL PILAR MEDINA</v>
      </c>
      <c r="F3925" s="5"/>
      <c r="G3925" s="5"/>
    </row>
    <row r="3926" spans="1:7" ht="58.5" customHeight="1" x14ac:dyDescent="0.25">
      <c r="A3926" s="5" t="str">
        <f>"H0038714"</f>
        <v>H0038714</v>
      </c>
      <c r="B3926" s="5" t="str">
        <f>"SILLA DE RUEDAS (DONACION)"</f>
        <v>SILLA DE RUEDAS (DONACION)</v>
      </c>
      <c r="C3926" s="6">
        <v>680000</v>
      </c>
      <c r="D3926" s="5" t="s">
        <v>342</v>
      </c>
      <c r="E3926" s="5" t="str">
        <f t="shared" si="184"/>
        <v>QUIROFANO -MARIA DEL PILAR MEDINA</v>
      </c>
      <c r="F3926" s="5"/>
      <c r="G3926" s="5"/>
    </row>
    <row r="3927" spans="1:7" ht="58.5" customHeight="1" x14ac:dyDescent="0.25">
      <c r="A3927" s="5" t="str">
        <f>"H025013"</f>
        <v>H025013</v>
      </c>
      <c r="B3927" s="5" t="str">
        <f>"UNIDADES CONDENSADORAS ENFRIADAS POR AIRE, DESCARGA VERTICAL 180.000 BTU/HR (15 TR) ALTA EFICIENCIA. R-410, 60 HZ. TRIFÁSICAS"</f>
        <v>UNIDADES CONDENSADORAS ENFRIADAS POR AIRE, DESCARGA VERTICAL 180.000 BTU/HR (15 TR) ALTA EFICIENCIA. R-410, 60 HZ. TRIFÁSICAS</v>
      </c>
      <c r="C3927" s="6">
        <v>16968480</v>
      </c>
      <c r="D3927" s="5" t="s">
        <v>10</v>
      </c>
      <c r="E3927" s="5" t="str">
        <f t="shared" si="184"/>
        <v>QUIROFANO -MARIA DEL PILAR MEDINA</v>
      </c>
      <c r="F3927" s="5"/>
      <c r="G3927" s="5" t="str">
        <f>"CV410A2C-180-4"</f>
        <v>CV410A2C-180-4</v>
      </c>
    </row>
    <row r="3928" spans="1:7" ht="58.5" customHeight="1" x14ac:dyDescent="0.25">
      <c r="A3928" s="5" t="str">
        <f>"V000066"</f>
        <v>V000066</v>
      </c>
      <c r="B3928" s="5" t="str">
        <f>"INTENSIFICADOR DE IMAGEN PARA RADIOLOGIA"</f>
        <v>INTENSIFICADOR DE IMAGEN PARA RADIOLOGIA</v>
      </c>
      <c r="C3928" s="6">
        <v>643576752</v>
      </c>
      <c r="D3928" s="5" t="s">
        <v>344</v>
      </c>
      <c r="E3928" s="5" t="str">
        <f t="shared" si="184"/>
        <v>QUIROFANO -MARIA DEL PILAR MEDINA</v>
      </c>
      <c r="F3928" s="5"/>
      <c r="G3928" s="5" t="str">
        <f>"oscar classic"</f>
        <v>oscar classic</v>
      </c>
    </row>
    <row r="3929" spans="1:7" ht="58.5" customHeight="1" x14ac:dyDescent="0.25">
      <c r="A3929" s="5" t="str">
        <f>"B0004305"</f>
        <v>B0004305</v>
      </c>
      <c r="B3929" s="5" t="str">
        <f>"FONENDOSCOPIO (ESTETOSCOPIO) PEDIATRICO"</f>
        <v>FONENDOSCOPIO (ESTETOSCOPIO) PEDIATRICO</v>
      </c>
      <c r="C3929" s="6">
        <v>493000</v>
      </c>
      <c r="D3929" s="5"/>
      <c r="E3929" s="5" t="str">
        <f t="shared" ref="E3929:E3992" si="188">"ACTISALUD- SALA DE PARTOS-MARIA AUXILIADORA PERTUZ"</f>
        <v>ACTISALUD- SALA DE PARTOS-MARIA AUXILIADORA PERTUZ</v>
      </c>
      <c r="F3929" s="5" t="str">
        <f>"Descripcion:FONENDOSCOPIO PEDIATRICO Estado: Excelente Placa anterior: 000030523 Material: METAL Y CAUCHO Color: PLATEADO Y NEGRO Referencia:  Observacion:  Placa padre:  Tipo adquisicion : Entidad"</f>
        <v>Descripcion:FONENDOSCOPIO PEDIATRICO Estado: Excelente Placa anterior: 000030523 Material: METAL Y CAUCHO Color: PLATEADO Y NEGRO Referencia:  Observacion:  Placa padre:  Tipo adquisicion : Entidad</v>
      </c>
      <c r="G3929" s="5"/>
    </row>
    <row r="3930" spans="1:7" ht="58.5" customHeight="1" x14ac:dyDescent="0.25">
      <c r="A3930" s="5" t="str">
        <f>"B0005344"</f>
        <v>B0005344</v>
      </c>
      <c r="B3930" s="5" t="str">
        <f>"BALA OXIGENO"</f>
        <v>BALA OXIGENO</v>
      </c>
      <c r="C3930" s="6">
        <v>408320</v>
      </c>
      <c r="D3930" s="5"/>
      <c r="E3930" s="5" t="str">
        <f t="shared" si="188"/>
        <v>ACTISALUD- SALA DE PARTOS-MARIA AUXILIADORA PERTUZ</v>
      </c>
      <c r="F3930" s="5" t="str">
        <f>"Descripcion: CILINDRO EN ALUMINIO CON VALVULA DE YUGO Estado: Bueno Placa anterior: 000022405 Material: METALICO Color: GRIS Referencia:  Observacion: SE ESTA ROTANDO PARA EL RESPECTIVO LLENADO Placa padre: Tipo adquisicion: Entidad"</f>
        <v>Descripcion: CILINDRO EN ALUMINIO CON VALVULA DE YUGO Estado: Bueno Placa anterior: 000022405 Material: METALICO Color: GRIS Referencia:  Observacion: SE ESTA ROTANDO PARA EL RESPECTIVO LLENADO Placa padre: Tipo adquisicion: Entidad</v>
      </c>
      <c r="G3930" s="5"/>
    </row>
    <row r="3931" spans="1:7" ht="58.5" customHeight="1" x14ac:dyDescent="0.25">
      <c r="A3931" s="5" t="str">
        <f>"H0000976"</f>
        <v>H0000976</v>
      </c>
      <c r="B3931" s="5" t="str">
        <f>"ESCALERILLA DE 2 PASOS"</f>
        <v>ESCALERILLA DE 2 PASOS</v>
      </c>
      <c r="C3931" s="6">
        <v>100000</v>
      </c>
      <c r="D3931" s="5" t="s">
        <v>49</v>
      </c>
      <c r="E3931" s="5" t="str">
        <f t="shared" si="188"/>
        <v>ACTISALUD- SALA DE PARTOS-MARIA AUXILIADORA PERTUZ</v>
      </c>
      <c r="F3931" s="5" t="str">
        <f>"Descripcion: ESCALERA DE DOS PASOS CON PASOS EN PLASTICO Estado: Bueno Placa anterior: 000029947 Material: METALICO CON DOS PASOS EN PLASTICO Color: BLANCO Referencia:  Observacion:  Placa padre: Tipo adquisicion: Entidad"</f>
        <v>Descripcion: ESCALERA DE DOS PASOS CON PASOS EN PLASTICO Estado: Bueno Placa anterior: 000029947 Material: METALICO CON DOS PASOS EN PLASTICO Color: BLANCO Referencia:  Observacion:  Placa padre: Tipo adquisicion: Entidad</v>
      </c>
      <c r="G3931" s="5"/>
    </row>
    <row r="3932" spans="1:7" ht="58.5" customHeight="1" x14ac:dyDescent="0.25">
      <c r="A3932" s="5" t="str">
        <f>"H0001040"</f>
        <v>H0001040</v>
      </c>
      <c r="B3932" s="5" t="str">
        <f>"ESCALERILLA DE 2 PASOS"</f>
        <v>ESCALERILLA DE 2 PASOS</v>
      </c>
      <c r="C3932" s="6">
        <v>100000</v>
      </c>
      <c r="D3932" s="5" t="s">
        <v>49</v>
      </c>
      <c r="E3932" s="5" t="str">
        <f t="shared" si="188"/>
        <v>ACTISALUD- SALA DE PARTOS-MARIA AUXILIADORA PERTUZ</v>
      </c>
      <c r="F3932" s="5" t="str">
        <f>"Descripcion: ESCALERA DE DOS PASOS Estado: Bueno Placa anterior: 000029969 Material: METALICO CON PASOS EN MADERA Color: BLANCA Referencia:  Observacion:  Placa padre: Tipo adquisicion: Entidad"</f>
        <v>Descripcion: ESCALERA DE DOS PASOS Estado: Bueno Placa anterior: 000029969 Material: METALICO CON PASOS EN MADERA Color: BLANCA Referencia:  Observacion:  Placa padre: Tipo adquisicion: Entidad</v>
      </c>
      <c r="G3932" s="5"/>
    </row>
    <row r="3933" spans="1:7" ht="58.5" customHeight="1" x14ac:dyDescent="0.25">
      <c r="A3933" s="5" t="str">
        <f>"H0001202"</f>
        <v>H0001202</v>
      </c>
      <c r="B3933" s="5" t="str">
        <f>"MONITOR DE SIGNOS VITALES"</f>
        <v>MONITOR DE SIGNOS VITALES</v>
      </c>
      <c r="C3933" s="6">
        <v>4002000</v>
      </c>
      <c r="D3933" s="5" t="s">
        <v>166</v>
      </c>
      <c r="E3933" s="5" t="str">
        <f t="shared" si="188"/>
        <v>ACTISALUD- SALA DE PARTOS-MARIA AUXILIADORA PERTUZ</v>
      </c>
      <c r="F3933" s="5" t="str">
        <f>"Descripcion: MONITOR DE SIGNOS VITALES CON PANTALLA LCD Estado: Bueno Placa anterior: 000031399 Material: PLASTICO Color: BLANCO CON GRIS Referencia:  Observacion:  Placa padre: Tipo adquisicion: Entidad"</f>
        <v>Descripcion: MONITOR DE SIGNOS VITALES CON PANTALLA LCD Estado: Bueno Placa anterior: 000031399 Material: PLASTICO Color: BLANCO CON GRIS Referencia:  Observacion:  Placa padre: Tipo adquisicion: Entidad</v>
      </c>
      <c r="G3933" s="5" t="str">
        <f>"IMEC10"</f>
        <v>IMEC10</v>
      </c>
    </row>
    <row r="3934" spans="1:7" ht="58.5" customHeight="1" x14ac:dyDescent="0.25">
      <c r="A3934" s="5" t="str">
        <f>"H0001850"</f>
        <v>H0001850</v>
      </c>
      <c r="B3934" s="5" t="str">
        <f>"ESCALERILLA DE 2 PASOS"</f>
        <v>ESCALERILLA DE 2 PASOS</v>
      </c>
      <c r="C3934" s="6">
        <v>60000</v>
      </c>
      <c r="D3934" s="5" t="s">
        <v>63</v>
      </c>
      <c r="E3934" s="5" t="str">
        <f t="shared" si="188"/>
        <v>ACTISALUD- SALA DE PARTOS-MARIA AUXILIADORA PERTUZ</v>
      </c>
      <c r="F3934" s="5" t="str">
        <f>"Descripcion:ESCALERILLAS (DONACION ESTIPULADA EN EL CONTRATO 190/2015 IMPORTADORA MEDICA LOS ANDES) Estado: Excelente Placa anterior: 000037183 Material: METALICA CON PASOS EN MADERA  Color: NEGRO Referencia:  Observacion:  Placa padre:  Tipo adquisicion "&amp; ": Donacion"</f>
        <v>Descripcion:ESCALERILLAS (DONACION ESTIPULADA EN EL CONTRATO 190/2015 IMPORTADORA MEDICA LOS ANDES) Estado: Excelente Placa anterior: 000037183 Material: METALICA CON PASOS EN MADERA  Color: NEGRO Referencia:  Observacion:  Placa padre:  Tipo adquisicion : Donacion</v>
      </c>
      <c r="G3934" s="5"/>
    </row>
    <row r="3935" spans="1:7" ht="58.5" customHeight="1" x14ac:dyDescent="0.25">
      <c r="A3935" s="5" t="str">
        <f>"H0001874"</f>
        <v>H0001874</v>
      </c>
      <c r="B3935" s="5" t="str">
        <f>"ESCALERILLA DE 2 PASOS"</f>
        <v>ESCALERILLA DE 2 PASOS</v>
      </c>
      <c r="C3935" s="6">
        <v>60000</v>
      </c>
      <c r="D3935" s="5" t="s">
        <v>63</v>
      </c>
      <c r="E3935" s="5" t="str">
        <f t="shared" si="188"/>
        <v>ACTISALUD- SALA DE PARTOS-MARIA AUXILIADORA PERTUZ</v>
      </c>
      <c r="F3935" s="5" t="str">
        <f>"Descripcion:ESCALERILLAS (DONACION ESTIPULADA EN EL CONTRATO 190/2015 IMPORTADORA MEDICA LOS ANDES) Estado: Excelente Placa anterior: 000037254 Material: METALICA CON PASOS EN MADERA Color: NEGRO Referencia:  Observacion:  Placa padre:  Tipo adquisicion :"&amp; " Donacion"</f>
        <v>Descripcion:ESCALERILLAS (DONACION ESTIPULADA EN EL CONTRATO 190/2015 IMPORTADORA MEDICA LOS ANDES) Estado: Excelente Placa anterior: 000037254 Material: METALICA CON PASOS EN MADERA Color: NEGRO Referencia:  Observacion:  Placa padre:  Tipo adquisicion : Donacion</v>
      </c>
      <c r="G3935" s="5"/>
    </row>
    <row r="3936" spans="1:7" ht="58.5" customHeight="1" x14ac:dyDescent="0.25">
      <c r="A3936" s="5" t="str">
        <f>"H0002383"</f>
        <v>H0002383</v>
      </c>
      <c r="B3936" s="5" t="str">
        <f>"UNIDAD ININTERRUMPIDA DE POTENCIA (UPS) 1KW"</f>
        <v>UNIDAD ININTERRUMPIDA DE POTENCIA (UPS) 1KW</v>
      </c>
      <c r="C3936" s="6">
        <v>1276000</v>
      </c>
      <c r="D3936" s="5"/>
      <c r="E3936" s="5" t="str">
        <f t="shared" si="188"/>
        <v>ACTISALUD- SALA DE PARTOS-MARIA AUXILIADORA PERTUZ</v>
      </c>
      <c r="F3936" s="5" t="str">
        <f>"Descripcion:UPS U-1200 4 TOMAS - UPS DE 1Kva MONTAJE EN RACK  Estado: Excelente Placa anterior: 000037094 Material: PASTA Color: NEGRO Referencia: UPS U-1200 Observacion:  Placa padre:  Tipo adquisicion : Entidad"</f>
        <v>Descripcion:UPS U-1200 4 TOMAS - UPS DE 1Kva MONTAJE EN RACK  Estado: Excelente Placa anterior: 000037094 Material: PASTA Color: NEGRO Referencia: UPS U-1200 Observacion:  Placa padre:  Tipo adquisicion : Entidad</v>
      </c>
      <c r="G3936" s="5" t="str">
        <f>"U-1200"</f>
        <v>U-1200</v>
      </c>
    </row>
    <row r="3937" spans="1:7" ht="58.5" customHeight="1" x14ac:dyDescent="0.25">
      <c r="A3937" s="5" t="str">
        <f>"H0002428"</f>
        <v>H0002428</v>
      </c>
      <c r="B3937" s="5" t="str">
        <f>"COMPUTADOR TODO EN UNO"</f>
        <v>COMPUTADOR TODO EN UNO</v>
      </c>
      <c r="C3937" s="6">
        <v>2470000</v>
      </c>
      <c r="D3937" s="5"/>
      <c r="E3937" s="5" t="str">
        <f t="shared" si="188"/>
        <v>ACTISALUD- SALA DE PARTOS-MARIA AUXILIADORA PERTUZ</v>
      </c>
      <c r="F3937" s="5" t="str">
        <f>"Descripcion:EQUIPO DE COMPUTO TODO EN UNO CON PROCESADOR INTEL i5 Estado: Excelente Placa anterior: 000037279 Material: PASTA Color: NEGRO Referencia: 10BDFDLS Observacion:  Placa anterior:, Placa nueva=H0002429, Descripcion:TECLADO USB LENOVO, Serial:825"&amp; "9900, Marca:LENOVO, Modelo:KU-0225, Material:PASTA, Color:NEGRO,   Referencia:54Y9424, Placa anterior:, Placa nueva=H0002430, Descripcion:MOUSE USB  3 BOTONES, Serial:44MG852, Marca:LENOVO, Modelo:45J4889, Material:PASTA, Color:NEGRO,   Referencia: Placa "&amp; "padre:  Tipo adquisicion : Entidad"</f>
        <v>Descripcion:EQUIPO DE COMPUTO TODO EN UNO CON PROCESADOR INTEL i5 Estado: Excelente Placa anterior: 000037279 Material: PASTA Color: NEGRO Referencia: 10BDFDLS Observacion:  Placa anterior:, Placa nueva=H0002429, Descripcion:TECLADO USB LENOVO, Serial:8259900, Marca:LENOVO, Modelo:KU-0225, Material:PASTA, Color:NEGRO,   Referencia:54Y9424, Placa anterior:, Placa nueva=H0002430, Descripcion:MOUSE USB  3 BOTONES, Serial:44MG852, Marca:LENOVO, Modelo:45J4889, Material:PASTA, Color:NEGRO,   Referencia: Placa padre:  Tipo adquisicion : Entidad</v>
      </c>
      <c r="G3937" s="5" t="str">
        <f>"00FDLS"</f>
        <v>00FDLS</v>
      </c>
    </row>
    <row r="3938" spans="1:7" ht="58.5" customHeight="1" x14ac:dyDescent="0.25">
      <c r="A3938" s="5" t="str">
        <f>"H0002437"</f>
        <v>H0002437</v>
      </c>
      <c r="B3938" s="5" t="str">
        <f>"COMPUTADOR TODO EN UNO"</f>
        <v>COMPUTADOR TODO EN UNO</v>
      </c>
      <c r="C3938" s="6">
        <v>2470000</v>
      </c>
      <c r="D3938" s="5"/>
      <c r="E3938" s="5" t="str">
        <f t="shared" si="188"/>
        <v>ACTISALUD- SALA DE PARTOS-MARIA AUXILIADORA PERTUZ</v>
      </c>
      <c r="F3938" s="5" t="str">
        <f>"Descripcion:EQUIPO DE COMPUTO TODO EN UNO CON PROCESADOR INTEL i5 Estado: Excelente Placa anterior: 000037263 Material: PASTA Color: NEGRO Referencia: 10BDFDLS Observacion:  Placa anterior:, Placa nueva=H0002439, Descripcion:MOUSE USB  3 BOTONES, Serial:4"&amp; "4MG363, Marca:LENOVO, Modelo:45J4889, Material:PASTA, Color:NEGRO,   Referencia:, Placa anterior:, Placa nueva=H0002438, Descripcion:TECLADO USB LENOVO, Serial:8260056, Marca:LENOVO, Modelo:KU-0225, Material:PASTA, Color:NEGRO,   Referencia:54Y9424 Placa "&amp; "padre:  Tipo adquisicion : Entidad"</f>
        <v>Descripcion:EQUIPO DE COMPUTO TODO EN UNO CON PROCESADOR INTEL i5 Estado: Excelente Placa anterior: 000037263 Material: PASTA Color: NEGRO Referencia: 10BDFDLS Observacion:  Placa anterior:, Placa nueva=H0002439, Descripcion:MOUSE USB  3 BOTONES, Serial:44MG363, Marca:LENOVO, Modelo:45J4889, Material:PASTA, Color:NEGRO,   Referencia:, Placa anterior:, Placa nueva=H0002438, Descripcion:TECLADO USB LENOVO, Serial:8260056, Marca:LENOVO, Modelo:KU-0225, Material:PASTA, Color:NEGRO,   Referencia:54Y9424 Placa padre:  Tipo adquisicion : Entidad</v>
      </c>
      <c r="G3938" s="5" t="str">
        <f>"00FDLS"</f>
        <v>00FDLS</v>
      </c>
    </row>
    <row r="3939" spans="1:7" ht="58.5" customHeight="1" x14ac:dyDescent="0.25">
      <c r="A3939" s="5" t="str">
        <f>"H0002455"</f>
        <v>H0002455</v>
      </c>
      <c r="B3939" s="5" t="str">
        <f>"COMPUTADOR TODO EN UNO"</f>
        <v>COMPUTADOR TODO EN UNO</v>
      </c>
      <c r="C3939" s="6">
        <v>2470000</v>
      </c>
      <c r="D3939" s="5"/>
      <c r="E3939" s="5" t="str">
        <f t="shared" si="188"/>
        <v>ACTISALUD- SALA DE PARTOS-MARIA AUXILIADORA PERTUZ</v>
      </c>
      <c r="F3939" s="5" t="str">
        <f>"Descripcion:EQUIPO DE COMPUTO TODO EN UNO CON PROCESADOR INTEL i5 Estado: Excelente Placa anterior: 000037299 Material: PASTA Color: NEGRO Referencia: 10BDFDLS Observacion:  Placa anterior:, Placa nueva=H0002457, Descripcion:MOUSE USB  3 BOTONES, Serial:4"&amp; "4MG207, Marca:LENOVO, Modelo:45J4889, Material:PASTA, Color:NEGRO,   Referencia:, Placa anterior:, Placa nueva=H0002456, Descripcion:TECLADO USB LENOVO, Serial:8258868, Marca:LENOVO, Modelo:KU-0225, Material:PASTA, Color:NEGRO,   Referencia:54Y9424 Placa "&amp; "padre:  Tipo adquisicion : Entidad"</f>
        <v>Descripcion:EQUIPO DE COMPUTO TODO EN UNO CON PROCESADOR INTEL i5 Estado: Excelente Placa anterior: 000037299 Material: PASTA Color: NEGRO Referencia: 10BDFDLS Observacion:  Placa anterior:, Placa nueva=H0002457, Descripcion:MOUSE USB  3 BOTONES, Serial:44MG207, Marca:LENOVO, Modelo:45J4889, Material:PASTA, Color:NEGRO,   Referencia:, Placa anterior:, Placa nueva=H0002456, Descripcion:TECLADO USB LENOVO, Serial:8258868, Marca:LENOVO, Modelo:KU-0225, Material:PASTA, Color:NEGRO,   Referencia:54Y9424 Placa padre:  Tipo adquisicion : Entidad</v>
      </c>
      <c r="G3939" s="5" t="str">
        <f>"00FDLS"</f>
        <v>00FDLS</v>
      </c>
    </row>
    <row r="3940" spans="1:7" ht="58.5" customHeight="1" x14ac:dyDescent="0.25">
      <c r="A3940" s="5" t="str">
        <f>"H0002512"</f>
        <v>H0002512</v>
      </c>
      <c r="B3940" s="5" t="str">
        <f>"COMPUTADOR TODO EN UNO"</f>
        <v>COMPUTADOR TODO EN UNO</v>
      </c>
      <c r="C3940" s="6">
        <v>2470000</v>
      </c>
      <c r="D3940" s="5"/>
      <c r="E3940" s="5" t="str">
        <f t="shared" si="188"/>
        <v>ACTISALUD- SALA DE PARTOS-MARIA AUXILIADORA PERTUZ</v>
      </c>
      <c r="F3940" s="5" t="str">
        <f>"Descripcion:EQUIPO DE COMPUTO TODO EN UNO CON PROCESADOR INTEL i5 Estado: Excelente Placa anterior: 000037271 Material: PASTA Color: NEGRO Referencia: 10BDFDLS Observacion:  Placa anterior:, Placa nueva=H0002513, Descripcion:TECLADO USB LENOVO, Serial:825"&amp; "9835, Marca:LENOVO, Modelo:KU-0225, Material:PASTA, Color:NEGRO,   Referencia:54Y9424, Placa anterior:, Placa nueva=H0002514, Descripcion:MOUSE USB  3 BOTONES, Serial:44PD886, Marca:LENOVO, Modelo:45J4889, Material:PASTA, Color:NEGRO,   Referencia: Placa "&amp; "padre:  Tipo adquisicion : Entidad"</f>
        <v>Descripcion:EQUIPO DE COMPUTO TODO EN UNO CON PROCESADOR INTEL i5 Estado: Excelente Placa anterior: 000037271 Material: PASTA Color: NEGRO Referencia: 10BDFDLS Observacion:  Placa anterior:, Placa nueva=H0002513, Descripcion:TECLADO USB LENOVO, Serial:8259835, Marca:LENOVO, Modelo:KU-0225, Material:PASTA, Color:NEGRO,   Referencia:54Y9424, Placa anterior:, Placa nueva=H0002514, Descripcion:MOUSE USB  3 BOTONES, Serial:44PD886, Marca:LENOVO, Modelo:45J4889, Material:PASTA, Color:NEGRO,   Referencia: Placa padre:  Tipo adquisicion : Entidad</v>
      </c>
      <c r="G3940" s="5" t="str">
        <f>"00FDLS"</f>
        <v>00FDLS</v>
      </c>
    </row>
    <row r="3941" spans="1:7" ht="58.5" customHeight="1" x14ac:dyDescent="0.25">
      <c r="A3941" s="5" t="str">
        <f>"H0002787"</f>
        <v>H0002787</v>
      </c>
      <c r="B3941" s="5" t="str">
        <f>"SILLA DE RUEDAS"</f>
        <v>SILLA DE RUEDAS</v>
      </c>
      <c r="C3941" s="6">
        <v>510000</v>
      </c>
      <c r="D3941" s="5"/>
      <c r="E3941" s="5" t="str">
        <f t="shared" si="188"/>
        <v>ACTISALUD- SALA DE PARTOS-MARIA AUXILIADORA PERTUZ</v>
      </c>
      <c r="F3941" s="5" t="str">
        <f>"Descripcion:SILLA DE RUEDA ADULTO ESTANDAR CON BRAZOS Y DESCANSAPIES DESMONTABLES CON MARCO PLEGABLE CALIBRE 18 DE 7/8 Estado: Excelente Placa anterior: 000037985 Material: METAL Y ASIENTO EN CUERINA Color: PLATEADO Y NEGRO Referencia:  Observacion: YA TI"&amp; "ENE SALIDA DE ALMACEN, SON DEL PISO 11 PERO NO LAS QUISIERON RECIBIR HASTA QUE RESUELVAN UN ASUNTO PENDIENTE CON LAS OTRAS SILLAS DE RUEDAS. Placa padre:  Tipo adquisicion : Entidad"</f>
        <v>Descripcion:SILLA DE RUEDA ADULTO ESTANDAR CON BRAZOS Y DESCANSAPIES DESMONTABLES CON MARCO PLEGABLE CALIBRE 18 DE 7/8 Estado: Excelente Placa anterior: 000037985 Material: METAL Y ASIENTO EN CUERINA Color: PLATEADO Y NEGRO Referencia:  Observacion: YA TIENE SALIDA DE ALMACEN, SON DEL PISO 11 PERO NO LAS QUISIERON RECIBIR HASTA QUE RESUELVAN UN ASUNTO PENDIENTE CON LAS OTRAS SILLAS DE RUEDAS. Placa padre:  Tipo adquisicion : Entidad</v>
      </c>
      <c r="G3941" s="5" t="str">
        <f>"00007852"</f>
        <v>00007852</v>
      </c>
    </row>
    <row r="3942" spans="1:7" ht="58.5" customHeight="1" x14ac:dyDescent="0.25">
      <c r="A3942" s="5" t="str">
        <f>"H0002788"</f>
        <v>H0002788</v>
      </c>
      <c r="B3942" s="5" t="str">
        <f>"SILLA DE RUEDAS"</f>
        <v>SILLA DE RUEDAS</v>
      </c>
      <c r="C3942" s="6">
        <v>510000</v>
      </c>
      <c r="D3942" s="5"/>
      <c r="E3942" s="5" t="str">
        <f t="shared" si="188"/>
        <v>ACTISALUD- SALA DE PARTOS-MARIA AUXILIADORA PERTUZ</v>
      </c>
      <c r="F3942" s="5" t="str">
        <f>"Descripcion:SILLA DE RUEDA ADULTO ESTANDAR CON BRAZOS Y DESCANSAPIES DESMONTABLES CON MARCO PLEGABLE CALIBRE 18 DE 7/8 Estado: Excelente Placa anterior: 000037984 Material: METAL Y ASIENTO EN CUERINA Color: PLATEADO Y NEGRO Referencia:  Observacion: YA TI"&amp; "ENE SALIDA DE ALMACEN, SON DEL PISO 11 PERO NO LAS QUISIERON RECIBIR HASTA QUE RESUELVAN UN ASUNTO PENDIENTE CON LAS OTRAS SILLAS DE RUEDAS. Placa padre:  Tipo adquisicion : Entidad"</f>
        <v>Descripcion:SILLA DE RUEDA ADULTO ESTANDAR CON BRAZOS Y DESCANSAPIES DESMONTABLES CON MARCO PLEGABLE CALIBRE 18 DE 7/8 Estado: Excelente Placa anterior: 000037984 Material: METAL Y ASIENTO EN CUERINA Color: PLATEADO Y NEGRO Referencia:  Observacion: YA TIENE SALIDA DE ALMACEN, SON DEL PISO 11 PERO NO LAS QUISIERON RECIBIR HASTA QUE RESUELVAN UN ASUNTO PENDIENTE CON LAS OTRAS SILLAS DE RUEDAS. Placa padre:  Tipo adquisicion : Entidad</v>
      </c>
      <c r="G3942" s="5"/>
    </row>
    <row r="3943" spans="1:7" ht="58.5" customHeight="1" x14ac:dyDescent="0.25">
      <c r="A3943" s="5" t="str">
        <f>"H0006241"</f>
        <v>H0006241</v>
      </c>
      <c r="B3943" s="5" t="str">
        <f>"CAMILLA DE TRASLADO DE 2 PLANOS"</f>
        <v>CAMILLA DE TRASLADO DE 2 PLANOS</v>
      </c>
      <c r="C3943" s="6">
        <v>1693600</v>
      </c>
      <c r="D3943" s="5" t="s">
        <v>166</v>
      </c>
      <c r="E3943" s="5" t="str">
        <f t="shared" si="188"/>
        <v>ACTISALUD- SALA DE PARTOS-MARIA AUXILIADORA PERTUZ</v>
      </c>
      <c r="F3943"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000031357 Material: METALICA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000031357 Material: METALICA Color: BEIGE Referencia:  Observacion:  Placa padre: Tipo adquisicion: Entidad</v>
      </c>
      <c r="G3943" s="5" t="str">
        <f>"141-70"</f>
        <v>141-70</v>
      </c>
    </row>
    <row r="3944" spans="1:7" ht="58.5" customHeight="1" x14ac:dyDescent="0.25">
      <c r="A3944" s="5" t="str">
        <f>"H0006259"</f>
        <v>H0006259</v>
      </c>
      <c r="B3944" s="5" t="str">
        <f>"CAMILLA DE TRASLADO DE 2 PLANOS"</f>
        <v>CAMILLA DE TRASLADO DE 2 PLANOS</v>
      </c>
      <c r="C3944" s="6">
        <v>1693600</v>
      </c>
      <c r="D3944" s="5" t="s">
        <v>166</v>
      </c>
      <c r="E3944" s="5" t="str">
        <f t="shared" si="188"/>
        <v>ACTISALUD- SALA DE PARTOS-MARIA AUXILIADORA PERTUZ</v>
      </c>
      <c r="F3944"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000031355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000031355 Material: METAL Color: BEIGE Referencia:  Observacion:  Placa padre: Tipo adquisicion: Entidad</v>
      </c>
      <c r="G3944" s="5" t="str">
        <f>"141-70"</f>
        <v>141-70</v>
      </c>
    </row>
    <row r="3945" spans="1:7" ht="58.5" customHeight="1" x14ac:dyDescent="0.25">
      <c r="A3945" s="5" t="str">
        <f>"H0006378"</f>
        <v>H0006378</v>
      </c>
      <c r="B3945" s="5" t="str">
        <f>"LAMPARA CUELLO CISNE"</f>
        <v>LAMPARA CUELLO CISNE</v>
      </c>
      <c r="C3945" s="6">
        <v>1582982</v>
      </c>
      <c r="D3945" s="5" t="s">
        <v>55</v>
      </c>
      <c r="E3945" s="5" t="str">
        <f t="shared" si="188"/>
        <v>ACTISALUD- SALA DE PARTOS-MARIA AUXILIADORA PERTUZ</v>
      </c>
      <c r="F3945" s="5" t="str">
        <f>"Descripcion: LAMPARA CUELLO DE CISNE REF. 65-300 Estado: Bueno Placa anterior: 000030322 Material: METAL Color: BLANCO Referencia:  Observacion:  Placa padre: Tipo adquisicion: Donacion"</f>
        <v>Descripcion: LAMPARA CUELLO DE CISNE REF. 65-300 Estado: Bueno Placa anterior: 000030322 Material: METAL Color: BLANCO Referencia:  Observacion:  Placa padre: Tipo adquisicion: Donacion</v>
      </c>
      <c r="G3945" s="5" t="str">
        <f>"WELCH ALLYN"</f>
        <v>WELCH ALLYN</v>
      </c>
    </row>
    <row r="3946" spans="1:7" ht="58.5" customHeight="1" x14ac:dyDescent="0.25">
      <c r="A3946" s="5" t="str">
        <f>"H0007638"</f>
        <v>H0007638</v>
      </c>
      <c r="B3946" s="5" t="str">
        <f>"ATRIL PORTASUERO MOVIL"</f>
        <v>ATRIL PORTASUERO MOVIL</v>
      </c>
      <c r="C3946" s="6">
        <v>210000</v>
      </c>
      <c r="D3946" s="5" t="s">
        <v>50</v>
      </c>
      <c r="E3946" s="5" t="str">
        <f t="shared" si="188"/>
        <v>ACTISALUD- SALA DE PARTOS-MARIA AUXILIADORA PERTUZ</v>
      </c>
      <c r="F3946" s="5" t="str">
        <f>"Descripcion: ATRIL EN ACERO INOXIDABLE , CON OXIDO - ANTIMAGNETICO Estado: Regular Placa anterior: 000029763 Material: ACERO INOXIDABLE Color:  Referencia:  Observacion:  Placa padre: Tipo adquisicion: Entidad"</f>
        <v>Descripcion: ATRIL EN ACERO INOXIDABLE , CON OXIDO - ANTIMAGNETICO Estado: Regular Placa anterior: 000029763 Material: ACERO INOXIDABLE Color:  Referencia:  Observacion:  Placa padre: Tipo adquisicion: Entidad</v>
      </c>
      <c r="G3946" s="5"/>
    </row>
    <row r="3947" spans="1:7" ht="58.5" customHeight="1" x14ac:dyDescent="0.25">
      <c r="A3947" s="5" t="str">
        <f>"H0007649"</f>
        <v>H0007649</v>
      </c>
      <c r="B3947" s="5" t="str">
        <f>"ATRIL PORTASUERO MOVIL"</f>
        <v>ATRIL PORTASUERO MOVIL</v>
      </c>
      <c r="C3947" s="6">
        <v>210000</v>
      </c>
      <c r="D3947" s="5" t="s">
        <v>50</v>
      </c>
      <c r="E3947" s="5" t="str">
        <f t="shared" si="188"/>
        <v>ACTISALUD- SALA DE PARTOS-MARIA AUXILIADORA PERTUZ</v>
      </c>
      <c r="F3947" s="5" t="str">
        <f>"Descripcion: ATRIL EN ACERO INOXIDABLE , CON OXIDO - ANTIMAGNETICO Estado: Regular Placa anterior: 000029765 Material: ACERO INOXIDABLE Color:  Referencia:  Observacion:  Placa padre: Tipo adquisicion: Entidad"</f>
        <v>Descripcion: ATRIL EN ACERO INOXIDABLE , CON OXIDO - ANTIMAGNETICO Estado: Regular Placa anterior: 000029765 Material: ACERO INOXIDABLE Color:  Referencia:  Observacion:  Placa padre: Tipo adquisicion: Entidad</v>
      </c>
      <c r="G3947" s="5"/>
    </row>
    <row r="3948" spans="1:7" ht="58.5" customHeight="1" x14ac:dyDescent="0.25">
      <c r="A3948" s="5" t="str">
        <f>"H0007673"</f>
        <v>H0007673</v>
      </c>
      <c r="B3948" s="5" t="str">
        <f>"ESCALERILLA DE 2 PASOS"</f>
        <v>ESCALERILLA DE 2 PASOS</v>
      </c>
      <c r="C3948" s="6">
        <v>100000</v>
      </c>
      <c r="D3948" s="5" t="s">
        <v>49</v>
      </c>
      <c r="E3948" s="5" t="str">
        <f t="shared" si="188"/>
        <v>ACTISALUD- SALA DE PARTOS-MARIA AUXILIADORA PERTUZ</v>
      </c>
      <c r="F3948" s="5" t="str">
        <f>"Descripcion: PELADA.  ESCALERILLA DE DOS PASO EN TUBO REDONDO Estado: Regular Placa anterior: 000029861 Material: METALICO Color: BLANCO Referencia:  Observacion:  Placa padre: Tipo adquisicion: Entidad"</f>
        <v>Descripcion: PELADA.  ESCALERILLA DE DOS PASO EN TUBO REDONDO Estado: Regular Placa anterior: 000029861 Material: METALICO Color: BLANCO Referencia:  Observacion:  Placa padre: Tipo adquisicion: Entidad</v>
      </c>
      <c r="G3948" s="5"/>
    </row>
    <row r="3949" spans="1:7" ht="58.5" customHeight="1" x14ac:dyDescent="0.25">
      <c r="A3949" s="5" t="str">
        <f>"H0007712"</f>
        <v>H0007712</v>
      </c>
      <c r="B3949" s="5" t="str">
        <f>"ATRIL PORTASUERO MOVIL"</f>
        <v>ATRIL PORTASUERO MOVIL</v>
      </c>
      <c r="C3949" s="6">
        <v>210000</v>
      </c>
      <c r="D3949" s="5" t="s">
        <v>50</v>
      </c>
      <c r="E3949" s="5" t="str">
        <f t="shared" si="188"/>
        <v>ACTISALUD- SALA DE PARTOS-MARIA AUXILIADORA PERTUZ</v>
      </c>
      <c r="F3949" s="5" t="str">
        <f>"Descripcion: ATRIL EN ACERO INOXIDABLE QUIRURGICO ANTIMAGNETICOOXIIDO Estado: Regular Placa anterior: 000029717 Material: ACERO INOXIDABLE Color:  Referencia:  Observacion:  Placa padre: Tipo adquisicion: Entidad"</f>
        <v>Descripcion: ATRIL EN ACERO INOXIDABLE QUIRURGICO ANTIMAGNETICOOXIIDO Estado: Regular Placa anterior: 000029717 Material: ACERO INOXIDABLE Color:  Referencia:  Observacion:  Placa padre: Tipo adquisicion: Entidad</v>
      </c>
      <c r="G3949" s="5"/>
    </row>
    <row r="3950" spans="1:7" ht="58.5" customHeight="1" x14ac:dyDescent="0.25">
      <c r="A3950" s="5" t="str">
        <f>"H0007780"</f>
        <v>H0007780</v>
      </c>
      <c r="B3950" s="5" t="str">
        <f>"ESCALERILLA DE 2 PASOS"</f>
        <v>ESCALERILLA DE 2 PASOS</v>
      </c>
      <c r="C3950" s="6">
        <v>100000</v>
      </c>
      <c r="D3950" s="5" t="s">
        <v>49</v>
      </c>
      <c r="E3950" s="5" t="str">
        <f t="shared" si="188"/>
        <v>ACTISALUD- SALA DE PARTOS-MARIA AUXILIADORA PERTUZ</v>
      </c>
      <c r="F3950" s="5" t="str">
        <f>"Descripcion: ESCALERILLA DE DOS PASO EN TUBO REDONDO Estado: Bueno Placa anterior: 000029949 Material: METAL Color: BLANCO CON GRIS Referencia:  Observacion: BUEN ESTADO Placa padre: Tipo adquisicion: Entidad"</f>
        <v>Descripcion: ESCALERILLA DE DOS PASO EN TUBO REDONDO Estado: Bueno Placa anterior: 000029949 Material: METAL Color: BLANCO CON GRIS Referencia:  Observacion: BUEN ESTADO Placa padre: Tipo adquisicion: Entidad</v>
      </c>
      <c r="G3950" s="5"/>
    </row>
    <row r="3951" spans="1:7" ht="58.5" customHeight="1" x14ac:dyDescent="0.25">
      <c r="A3951" s="5" t="str">
        <f>"H0008765"</f>
        <v>H0008765</v>
      </c>
      <c r="B3951" s="5" t="str">
        <f>"BASE PARA MONITOR DE SIGNOS VITALES"</f>
        <v>BASE PARA MONITOR DE SIGNOS VITALES</v>
      </c>
      <c r="C3951" s="6">
        <v>859560</v>
      </c>
      <c r="D3951" s="5" t="s">
        <v>345</v>
      </c>
      <c r="E3951" s="5" t="str">
        <f t="shared" si="188"/>
        <v>ACTISALUD- SALA DE PARTOS-MARIA AUXILIADORA PERTUZ</v>
      </c>
      <c r="F3951" s="5" t="str">
        <f>"Descripcion: BASE RODANTE PARA MONITORES MCA W.A. CODIGO L2091 Estado: Bueno Placa anterior: 000030025 Material: METALICO  Color: BLANCO Referencia:  Observacion:  Placa padre: Tipo adquisicion: Entidad"</f>
        <v>Descripcion: BASE RODANTE PARA MONITORES MCA W.A. CODIGO L2091 Estado: Bueno Placa anterior: 000030025 Material: METALICO  Color: BLANCO Referencia:  Observacion:  Placa padre: Tipo adquisicion: Entidad</v>
      </c>
      <c r="G3951" s="5"/>
    </row>
    <row r="3952" spans="1:7" ht="58.5" customHeight="1" x14ac:dyDescent="0.25">
      <c r="A3952" s="5" t="str">
        <f>"H0009110"</f>
        <v>H0009110</v>
      </c>
      <c r="B3952" s="5" t="str">
        <f>"COMPUTADOR TODO EN UNO"</f>
        <v>COMPUTADOR TODO EN UNO</v>
      </c>
      <c r="C3952" s="6">
        <v>2470000</v>
      </c>
      <c r="D3952" s="5" t="s">
        <v>6</v>
      </c>
      <c r="E3952" s="5" t="str">
        <f t="shared" si="188"/>
        <v>ACTISALUD- SALA DE PARTOS-MARIA AUXILIADORA PERTUZ</v>
      </c>
      <c r="F3952" s="5" t="str">
        <f>"Descripcion: EQUIPO DE COMPUTO TODO EN UNO CON PROCESADOR INTEL i5 Estado: Bueno Placa anterior: 000036987 Material: PASTA Color: NEGRO Referencia:  Observacion:  Placa anterior:, Placa nueva=H0009111, Descripcion:TECLADO, Serial:8259117, Marca:LENOVO, Mo"&amp; "delo:KU-0225, Material:PASTA, Color:NEGRO, Referencia:, Placa anterior:, Placa nueva=H0009112, Descripcion:MOUSE, Serial:44PD690, Marca:LENOVO, Modelo:, Material:PASTA, Color:NEGRO, Referencia: Placa padre: Tipo adquisicion: Entidad"</f>
        <v>Descripcion: EQUIPO DE COMPUTO TODO EN UNO CON PROCESADOR INTEL i5 Estado: Bueno Placa anterior: 000036987 Material: PASTA Color: NEGRO Referencia:  Observacion:  Placa anterior:, Placa nueva=H0009111, Descripcion:TECLADO, Serial:8259117, Marca:LENOVO, Modelo:KU-0225, Material:PASTA, Color:NEGRO, Referencia:, Placa anterior:, Placa nueva=H0009112, Descripcion:MOUSE, Serial:44PD690, Marca:LENOVO, Modelo:, Material:PASTA, Color:NEGRO, Referencia: Placa padre: Tipo adquisicion: Entidad</v>
      </c>
      <c r="G3952" s="5" t="str">
        <f>"10BD-00FDLS"</f>
        <v>10BD-00FDLS</v>
      </c>
    </row>
    <row r="3953" spans="1:7" ht="58.5" customHeight="1" x14ac:dyDescent="0.25">
      <c r="A3953" s="5" t="str">
        <f>"H0009121"</f>
        <v>H0009121</v>
      </c>
      <c r="B3953" s="5" t="str">
        <f>"CAMILLA DE TRASLADO DE 2 PLANOS"</f>
        <v>CAMILLA DE TRASLADO DE 2 PLANOS</v>
      </c>
      <c r="C3953" s="6">
        <v>1693600</v>
      </c>
      <c r="D3953" s="5" t="s">
        <v>166</v>
      </c>
      <c r="E3953" s="5" t="str">
        <f t="shared" si="188"/>
        <v>ACTISALUD- SALA DE PARTOS-MARIA AUXILIADORA PERTUZ</v>
      </c>
      <c r="F3953" s="5" t="str">
        <f>"Descripcion: CAMILLA CON 1 ATRIL- Estructura fabricada en tuberia redonda tendido de dos planos en lamina de acero y marco de tuberia redonda.Espaldar graduable protector plastico en el contorno del plecero y el cabecero Barandas de seguridad Estado: Buen"&amp; "o Placa anterior: 000031362 Material: METAL Color: BEIGE Referencia: 171-70 Observacion: BUEN ESTADO Placa padre: Tipo adquisicion: Entidad"</f>
        <v>Descripcion: CAMILLA CON 1 ATRIL- Estructura fabricada en tuberia redonda tendido de dos planos en lamina de acero y marco de tuberia redonda.Espaldar graduable protector plastico en el contorno del plecero y el cabecero Barandas de seguridad Estado: Bueno Placa anterior: 000031362 Material: METAL Color: BEIGE Referencia: 171-70 Observacion: BUEN ESTADO Placa padre: Tipo adquisicion: Entidad</v>
      </c>
      <c r="G3953" s="5" t="str">
        <f>"6552"</f>
        <v>6552</v>
      </c>
    </row>
    <row r="3954" spans="1:7" ht="58.5" customHeight="1" x14ac:dyDescent="0.25">
      <c r="A3954" s="5" t="str">
        <f>"H0009138"</f>
        <v>H0009138</v>
      </c>
      <c r="B3954" s="5" t="str">
        <f>"CAMILLA DE TRASLADO DE 2 PLANOS"</f>
        <v>CAMILLA DE TRASLADO DE 2 PLANOS</v>
      </c>
      <c r="C3954" s="6">
        <v>1693600</v>
      </c>
      <c r="D3954" s="5" t="s">
        <v>166</v>
      </c>
      <c r="E3954" s="5" t="str">
        <f t="shared" si="188"/>
        <v>ACTISALUD- SALA DE PARTOS-MARIA AUXILIADORA PERTUZ</v>
      </c>
      <c r="F3954"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000031341 Material: METAL Color: BEIGE Referencia:  Observacion: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000031341 Material: METAL Color: BEIGE Referencia:  Observacion:  Placa padre: Tipo adquisicion: Entidad</v>
      </c>
      <c r="G3954" s="5" t="str">
        <f>"6552"</f>
        <v>6552</v>
      </c>
    </row>
    <row r="3955" spans="1:7" ht="58.5" customHeight="1" x14ac:dyDescent="0.25">
      <c r="A3955" s="5" t="str">
        <f>"H0009552"</f>
        <v>H0009552</v>
      </c>
      <c r="B3955" s="5" t="str">
        <f>"PATO (COPROLOGICO) MUJER"</f>
        <v>PATO (COPROLOGICO) MUJER</v>
      </c>
      <c r="C3955" s="6">
        <v>43881.91</v>
      </c>
      <c r="D3955" s="5"/>
      <c r="E3955" s="5" t="str">
        <f t="shared" si="188"/>
        <v>ACTISALUD- SALA DE PARTOS-MARIA AUXILIADORA PERTUZ</v>
      </c>
      <c r="F3955" s="5" t="str">
        <f>"Descripcion: PATO COPROLOGICO EN ACERO INOXIDABLE Estado: Excelente Placa anterior: 000005448 Material: ACERO Color: ACERO Referencia:  Observacion: PASAR A TOCOCIRUGIA Placa padre: Tipo adquisicion: Entidad"</f>
        <v>Descripcion: PATO COPROLOGICO EN ACERO INOXIDABLE Estado: Excelente Placa anterior: 000005448 Material: ACERO Color: ACERO Referencia:  Observacion: PASAR A TOCOCIRUGIA Placa padre: Tipo adquisicion: Entidad</v>
      </c>
      <c r="G3955" s="5"/>
    </row>
    <row r="3956" spans="1:7" ht="58.5" customHeight="1" x14ac:dyDescent="0.25">
      <c r="A3956" s="5" t="str">
        <f>"H0009555"</f>
        <v>H0009555</v>
      </c>
      <c r="B3956" s="5" t="str">
        <f>"PATO (COPROLOGICO) MUJER"</f>
        <v>PATO (COPROLOGICO) MUJER</v>
      </c>
      <c r="C3956" s="6">
        <v>43881.91</v>
      </c>
      <c r="D3956" s="5"/>
      <c r="E3956" s="5" t="str">
        <f t="shared" si="188"/>
        <v>ACTISALUD- SALA DE PARTOS-MARIA AUXILIADORA PERTUZ</v>
      </c>
      <c r="F3956" s="5" t="str">
        <f>"Descripcion: PATO COPROLOGICO EN ACERO INOXIDABLE Estado: Excelente Placa anterior: 000005555 Material: ACERO Color: ACERO Referencia:  Observacion:  Placa padre: Tipo adquisicion: Entidad"</f>
        <v>Descripcion: PATO COPROLOGICO EN ACERO INOXIDABLE Estado: Excelente Placa anterior: 000005555 Material: ACERO Color: ACERO Referencia:  Observacion:  Placa padre: Tipo adquisicion: Entidad</v>
      </c>
      <c r="G3956" s="5"/>
    </row>
    <row r="3957" spans="1:7" ht="58.5" customHeight="1" x14ac:dyDescent="0.25">
      <c r="A3957" s="5" t="str">
        <f>"H0009556"</f>
        <v>H0009556</v>
      </c>
      <c r="B3957" s="5" t="str">
        <f>"PATO (COPROLOGICO) MUJER"</f>
        <v>PATO (COPROLOGICO) MUJER</v>
      </c>
      <c r="C3957" s="6">
        <v>43881.91</v>
      </c>
      <c r="D3957" s="5"/>
      <c r="E3957" s="5" t="str">
        <f t="shared" si="188"/>
        <v>ACTISALUD- SALA DE PARTOS-MARIA AUXILIADORA PERTUZ</v>
      </c>
      <c r="F3957" s="5" t="str">
        <f>"Descripcion: PATO COPROLOGICO EN ACERO INOXIDABLE Estado: Excelente Placa anterior: 000005551 Material: ACERO Color: ACERO Referencia:  Observacion:  Placa padre: Tipo adquisicion: Entidad"</f>
        <v>Descripcion: PATO COPROLOGICO EN ACERO INOXIDABLE Estado: Excelente Placa anterior: 000005551 Material: ACERO Color: ACERO Referencia:  Observacion:  Placa padre: Tipo adquisicion: Entidad</v>
      </c>
      <c r="G3957" s="5"/>
    </row>
    <row r="3958" spans="1:7" ht="58.5" customHeight="1" x14ac:dyDescent="0.25">
      <c r="A3958" s="5" t="str">
        <f>"H0009767"</f>
        <v>H0009767</v>
      </c>
      <c r="B3958" s="5" t="str">
        <f>"MESA (SUPERFICIE) MODULAR"</f>
        <v>MESA (SUPERFICIE) MODULAR</v>
      </c>
      <c r="C3958" s="6">
        <v>110432</v>
      </c>
      <c r="D3958" s="5"/>
      <c r="E3958" s="5" t="str">
        <f t="shared" si="188"/>
        <v>ACTISALUD- SALA DE PARTOS-MARIA AUXILIADORA PERTUZ</v>
      </c>
      <c r="F3958" s="5" t="str">
        <f>"Descripcion: MESA PARA IMPRESORA Estado: Bueno Placa anterior: 000004852 Material: MADERA Color:  Referencia:  Observacion:  Placa padre: Tipo adquisicion: Entidad"</f>
        <v>Descripcion: MESA PARA IMPRESORA Estado: Bueno Placa anterior: 000004852 Material: MADERA Color:  Referencia:  Observacion:  Placa padre: Tipo adquisicion: Entidad</v>
      </c>
      <c r="G3958" s="5"/>
    </row>
    <row r="3959" spans="1:7" ht="58.5" customHeight="1" x14ac:dyDescent="0.25">
      <c r="A3959" s="5" t="str">
        <f>"H0010366"</f>
        <v>H0010366</v>
      </c>
      <c r="B3959" s="5" t="str">
        <f>"ESCALERILLA DE 2 PASOS"</f>
        <v>ESCALERILLA DE 2 PASOS</v>
      </c>
      <c r="C3959" s="6">
        <v>100000</v>
      </c>
      <c r="D3959" s="5" t="s">
        <v>49</v>
      </c>
      <c r="E3959" s="5" t="str">
        <f t="shared" si="188"/>
        <v>ACTISALUD- SALA DE PARTOS-MARIA AUXILIADORA PERTUZ</v>
      </c>
      <c r="F3959" s="5" t="str">
        <f>"Descripcion: ESCALERILLA DE DOS PASO EN TUBO REDONDO Estado: Bueno Placa anterior: 000029857 Material: METALICO Y FORMICA Color: GRIS Y BLANCO Referencia:  Observacion:  Placa padre: Tipo adquisicion: Entidad"</f>
        <v>Descripcion: ESCALERILLA DE DOS PASO EN TUBO REDONDO Estado: Bueno Placa anterior: 000029857 Material: METALICO Y FORMICA Color: GRIS Y BLANCO Referencia:  Observacion:  Placa padre: Tipo adquisicion: Entidad</v>
      </c>
      <c r="G3959" s="5"/>
    </row>
    <row r="3960" spans="1:7" ht="58.5" customHeight="1" x14ac:dyDescent="0.25">
      <c r="A3960" s="5" t="str">
        <f>"H0011178"</f>
        <v>H0011178</v>
      </c>
      <c r="B3960" s="5" t="str">
        <f>"SILLA PLASTICA CON BRAZOS"</f>
        <v>SILLA PLASTICA CON BRAZOS</v>
      </c>
      <c r="C3960" s="6">
        <v>12240.32</v>
      </c>
      <c r="D3960" s="5"/>
      <c r="E3960" s="5" t="str">
        <f t="shared" si="188"/>
        <v>ACTISALUD- SALA DE PARTOS-MARIA AUXILIADORA PERTUZ</v>
      </c>
      <c r="F3960" s="5" t="str">
        <f>"Descripcion: SILLA PLASTICA BLANCA Estado: Bueno Placa anterior: 000021181 Material: PASTA Color: BLANCO Referencia:  Observacion:  Placa padre: Tipo adquisicion: Entidad"</f>
        <v>Descripcion: SILLA PLASTICA BLANCA Estado: Bueno Placa anterior: 000021181 Material: PASTA Color: BLANCO Referencia:  Observacion:  Placa padre: Tipo adquisicion: Entidad</v>
      </c>
      <c r="G3960" s="5"/>
    </row>
    <row r="3961" spans="1:7" ht="58.5" customHeight="1" x14ac:dyDescent="0.25">
      <c r="A3961" s="5" t="str">
        <f>"H0011179"</f>
        <v>H0011179</v>
      </c>
      <c r="B3961" s="5" t="str">
        <f>"SILLA INTERLOCUTORA (FIJA) SIN BRAZOS"</f>
        <v>SILLA INTERLOCUTORA (FIJA) SIN BRAZOS</v>
      </c>
      <c r="C3961" s="6">
        <v>9679.7000000000007</v>
      </c>
      <c r="D3961" s="5"/>
      <c r="E3961" s="5" t="str">
        <f t="shared" si="188"/>
        <v>ACTISALUD- SALA DE PARTOS-MARIA AUXILIADORA PERTUZ</v>
      </c>
      <c r="F3961" s="5" t="str">
        <f>"Descripcion: TAPIZADA EN CUERO MARRON TAPIZADO ROTO Estado: Malo Placa anterior: 000031207 Material: METALICO Color: MARRON Referencia:  Observacion: AUTORIZADO CONCILIAR EN CRUCE GENERAL Placa padre: Tipo adquisicion: Entidad"</f>
        <v>Descripcion: TAPIZADA EN CUERO MARRON TAPIZADO ROTO Estado: Malo Placa anterior: 000031207 Material: METALICO Color: MARRON Referencia:  Observacion: AUTORIZADO CONCILIAR EN CRUCE GENERAL Placa padre: Tipo adquisicion: Entidad</v>
      </c>
      <c r="G3961" s="5"/>
    </row>
    <row r="3962" spans="1:7" ht="58.5" customHeight="1" x14ac:dyDescent="0.25">
      <c r="A3962" s="5" t="str">
        <f>"H0011180"</f>
        <v>H0011180</v>
      </c>
      <c r="B3962" s="5" t="str">
        <f>"SILLA INTERLOCUTORA (FIJA) SIN BRAZOS"</f>
        <v>SILLA INTERLOCUTORA (FIJA) SIN BRAZOS</v>
      </c>
      <c r="C3962" s="6">
        <v>9679.7000000000007</v>
      </c>
      <c r="D3962" s="5"/>
      <c r="E3962" s="5" t="str">
        <f t="shared" si="188"/>
        <v>ACTISALUD- SALA DE PARTOS-MARIA AUXILIADORA PERTUZ</v>
      </c>
      <c r="F3962" s="5" t="str">
        <f>"Descripcion: TAPIZADA EN CUERO MARRON TAPIZADO ROTO Estado: Malo Placa anterior: 000027887 Material: METALICO Color: MARRON Referencia:  Observacion: EL BIEN TIENE PLACA ANTERIOR 000024384 AUTORIZADO CONCILIAR EN CRUCE GENERAL Placa padre: Tipo adquisicio"&amp; "n: Entidad"</f>
        <v>Descripcion: TAPIZADA EN CUERO MARRON TAPIZADO ROTO Estado: Malo Placa anterior: 000027887 Material: METALICO Color: MARRON Referencia:  Observacion: EL BIEN TIENE PLACA ANTERIOR 000024384 AUTORIZADO CONCILIAR EN CRUCE GENERAL Placa padre: Tipo adquisicion: Entidad</v>
      </c>
      <c r="G3962" s="5"/>
    </row>
    <row r="3963" spans="1:7" ht="58.5" customHeight="1" x14ac:dyDescent="0.25">
      <c r="A3963" s="5" t="str">
        <f>"H0011181"</f>
        <v>H0011181</v>
      </c>
      <c r="B3963" s="5" t="str">
        <f>"MESA METALICA AUXILIAR"</f>
        <v>MESA METALICA AUXILIAR</v>
      </c>
      <c r="C3963" s="6">
        <v>7800</v>
      </c>
      <c r="D3963" s="5"/>
      <c r="E3963" s="5" t="str">
        <f t="shared" si="188"/>
        <v>ACTISALUD- SALA DE PARTOS-MARIA AUXILIADORA PERTUZ</v>
      </c>
      <c r="F3963" s="5" t="str">
        <f>"Descripcion: . Estado: Bueno Placa anterior: 000013820 Material: METALICO Color: BEIGE Referencia:  Observacion: AUTORIZADO CONCILIAR EN CRUCE GENERAL Placa padre: Tipo adquisicion: Entidad"</f>
        <v>Descripcion: . Estado: Bueno Placa anterior: 000013820 Material: METALICO Color: BEIGE Referencia:  Observacion: AUTORIZADO CONCILIAR EN CRUCE GENERAL Placa padre: Tipo adquisicion: Entidad</v>
      </c>
      <c r="G3963" s="5"/>
    </row>
    <row r="3964" spans="1:7" ht="58.5" customHeight="1" x14ac:dyDescent="0.25">
      <c r="A3964" s="5" t="str">
        <f>"H0011182"</f>
        <v>H0011182</v>
      </c>
      <c r="B3964" s="5" t="str">
        <f>"COMPUTADOR TODO EN UNO"</f>
        <v>COMPUTADOR TODO EN UNO</v>
      </c>
      <c r="C3964" s="6">
        <v>1572000</v>
      </c>
      <c r="D3964" s="5" t="s">
        <v>32</v>
      </c>
      <c r="E3964" s="5" t="str">
        <f t="shared" si="188"/>
        <v>ACTISALUD- SALA DE PARTOS-MARIA AUXILIADORA PERTUZ</v>
      </c>
      <c r="F3964" s="5" t="str">
        <f>"Descripcion: EQUIPOS DE COMPUTO TODO EN UNO PROCESADOR CORE 3.0 SUPERIOR CORPORATIVO WINDOWS 8 PRO- OFFICE 2013 SMALL BUSINES, TECNOLOGIA HT DE INTEL GARANTIA EXTENDIDA A 3 AÑOS Estado: Bueno Placa anterior: 000030575 Material: PASTA Color: NEGRO Referenc"&amp; "ia: C9G88LT#ABM Observacion:  Placa anterior:, Placa nueva=H0011183, Descripcion:., Serial:BDMHE0CVB515QM, Marca:HP, Modelo:KU-1156, Material:PASTA, Color:NEGRO,Referencia:, Placa anterior:, Placa nueva=H0011184, Descripcion:OPTICO, Serial:FCMHH0CQW5INT4,"&amp; " Marca:HP, Modelo:SM-2022, Material:PASTA, Color:NEGRO,Referencia: Placa padre: Tipo adquisicion: Entidad"</f>
        <v>Descripcion: EQUIPOS DE COMPUTO TODO EN UNO PROCESADOR CORE 3.0 SUPERIOR CORPORATIVO WINDOWS 8 PRO- OFFICE 2013 SMALL BUSINES, TECNOLOGIA HT DE INTEL GARANTIA EXTENDIDA A 3 AÑOS Estado: Bueno Placa anterior: 000030575 Material: PASTA Color: NEGRO Referencia: C9G88LT#ABM Observacion:  Placa anterior:, Placa nueva=H0011183, Descripcion:., Serial:BDMHE0CVB515QM, Marca:HP, Modelo:KU-1156, Material:PASTA, Color:NEGRO,Referencia:, Placa anterior:, Placa nueva=H0011184, Descripcion:OPTICO, Serial:FCMHH0CQW5INT4, Marca:HP, Modelo:SM-2022, Material:PASTA, Color:NEGRO,Referencia: Placa padre: Tipo adquisicion: Entidad</v>
      </c>
      <c r="G3964" s="5" t="str">
        <f>"COMPAQ PRO 4300"</f>
        <v>COMPAQ PRO 4300</v>
      </c>
    </row>
    <row r="3965" spans="1:7" ht="58.5" customHeight="1" x14ac:dyDescent="0.25">
      <c r="A3965" s="5" t="str">
        <f>"H0011195"</f>
        <v>H0011195</v>
      </c>
      <c r="B3965" s="5" t="str">
        <f>"VITRINA DE 2 CUERPOS"</f>
        <v>VITRINA DE 2 CUERPOS</v>
      </c>
      <c r="C3965" s="6">
        <v>44495.7</v>
      </c>
      <c r="D3965" s="5"/>
      <c r="E3965" s="5" t="str">
        <f t="shared" si="188"/>
        <v>ACTISALUD- SALA DE PARTOS-MARIA AUXILIADORA PERTUZ</v>
      </c>
      <c r="F3965" s="5" t="str">
        <f>"Descripcion: VITRINA DE 2 CUERPOS Estado: Bueno Placa anterior: 000013802 Material: METALICO Color: GRIS Referencia:  Observacion:  Placa padre: Tipo adquisicion: Entidad"</f>
        <v>Descripcion: VITRINA DE 2 CUERPOS Estado: Bueno Placa anterior: 000013802 Material: METALICO Color: GRIS Referencia:  Observacion:  Placa padre: Tipo adquisicion: Entidad</v>
      </c>
      <c r="G3965" s="5"/>
    </row>
    <row r="3966" spans="1:7" ht="58.5" customHeight="1" x14ac:dyDescent="0.25">
      <c r="A3966" s="5" t="str">
        <f>"H0011215"</f>
        <v>H0011215</v>
      </c>
      <c r="B3966" s="5" t="str">
        <f>"SILLA PLASTICA CON BRAZOS"</f>
        <v>SILLA PLASTICA CON BRAZOS</v>
      </c>
      <c r="C3966" s="6">
        <v>14000</v>
      </c>
      <c r="D3966" s="5"/>
      <c r="E3966" s="5" t="str">
        <f t="shared" si="188"/>
        <v>ACTISALUD- SALA DE PARTOS-MARIA AUXILIADORA PERTUZ</v>
      </c>
      <c r="F3966" s="5" t="str">
        <f>"Descripcion: . Estado: Bueno Placa anterior: 000005451 Material: PASTA Color: AZUL Referencia:  Observacion: SILLA PLASTICA BLANCA Placa padre: Tipo adquisicion: Entidad"</f>
        <v>Descripcion: . Estado: Bueno Placa anterior: 000005451 Material: PASTA Color: AZUL Referencia:  Observacion: SILLA PLASTICA BLANCA Placa padre: Tipo adquisicion: Entidad</v>
      </c>
      <c r="G3966" s="5"/>
    </row>
    <row r="3967" spans="1:7" ht="58.5" customHeight="1" x14ac:dyDescent="0.25">
      <c r="A3967" s="5" t="str">
        <f>"H0011216"</f>
        <v>H0011216</v>
      </c>
      <c r="B3967" s="5" t="str">
        <f>"SILLA PLASTICA CON BRAZOS"</f>
        <v>SILLA PLASTICA CON BRAZOS</v>
      </c>
      <c r="C3967" s="6">
        <v>14000</v>
      </c>
      <c r="D3967" s="5"/>
      <c r="E3967" s="5" t="str">
        <f t="shared" si="188"/>
        <v>ACTISALUD- SALA DE PARTOS-MARIA AUXILIADORA PERTUZ</v>
      </c>
      <c r="F3967" s="5" t="str">
        <f>"Descripcion: . Estado: Bueno Placa anterior: 000005452 Material: PASTA Color: ROJO Referencia:  Observacion: SILLA PLASTICA BLANCA Placa padre: Tipo adquisicion: Entidad"</f>
        <v>Descripcion: . Estado: Bueno Placa anterior: 000005452 Material: PASTA Color: ROJO Referencia:  Observacion: SILLA PLASTICA BLANCA Placa padre: Tipo adquisicion: Entidad</v>
      </c>
      <c r="G3967" s="5"/>
    </row>
    <row r="3968" spans="1:7" ht="58.5" customHeight="1" x14ac:dyDescent="0.25">
      <c r="A3968" s="5" t="str">
        <f>"H0011218"</f>
        <v>H0011218</v>
      </c>
      <c r="B3968" s="5" t="str">
        <f>"BANDEJA DE ACERO INOXIDABLE MEDIANA"</f>
        <v>BANDEJA DE ACERO INOXIDABLE MEDIANA</v>
      </c>
      <c r="C3968" s="6">
        <v>10632</v>
      </c>
      <c r="D3968" s="5"/>
      <c r="E3968" s="5" t="str">
        <f t="shared" si="188"/>
        <v>ACTISALUD- SALA DE PARTOS-MARIA AUXILIADORA PERTUZ</v>
      </c>
      <c r="F3968" s="5" t="str">
        <f>"Descripcion: BANDEJA CIRCULAR CON FONDO Estado: Bueno Placa anterior: 000005532 Material: ACERO INOXIDABLE Color:  Referencia:  Observacion: BANDEJA NIQUELADA MEDIANA Placa padre: Tipo adquisicion: Entidad"</f>
        <v>Descripcion: BANDEJA CIRCULAR CON FONDO Estado: Bueno Placa anterior: 000005532 Material: ACERO INOXIDABLE Color:  Referencia:  Observacion: BANDEJA NIQUELADA MEDIANA Placa padre: Tipo adquisicion: Entidad</v>
      </c>
      <c r="G3968" s="5"/>
    </row>
    <row r="3969" spans="1:7" ht="58.5" customHeight="1" x14ac:dyDescent="0.25">
      <c r="A3969" s="5" t="str">
        <f>"H0011230"</f>
        <v>H0011230</v>
      </c>
      <c r="B3969" s="5" t="str">
        <f>"CAMILLA GINECOLOGICA SIN ESTRIBOS"</f>
        <v>CAMILLA GINECOLOGICA SIN ESTRIBOS</v>
      </c>
      <c r="C3969" s="6">
        <v>1577600</v>
      </c>
      <c r="D3969" s="5"/>
      <c r="E3969" s="5" t="str">
        <f t="shared" si="188"/>
        <v>ACTISALUD- SALA DE PARTOS-MARIA AUXILIADORA PERTUZ</v>
      </c>
      <c r="F3969" s="5" t="str">
        <f>"Descripcion: CAMILLA GINECOLOGICA Estado: Bueno Placa anterior: 000025855 Material: METALICO Color: BEIGE Referencia:  Observacion:  Placa padre: Tipo adquisicion: Entidad"</f>
        <v>Descripcion: CAMILLA GINECOLOGICA Estado: Bueno Placa anterior: 000025855 Material: METALICO Color: BEIGE Referencia:  Observacion:  Placa padre: Tipo adquisicion: Entidad</v>
      </c>
      <c r="G3969" s="5"/>
    </row>
    <row r="3970" spans="1:7" ht="58.5" customHeight="1" x14ac:dyDescent="0.25">
      <c r="A3970" s="5" t="str">
        <f>"H0011239"</f>
        <v>H0011239</v>
      </c>
      <c r="B3970" s="5" t="str">
        <f>"SILLA INTERLOCUTORA (FIJA) SIN BRAZOS"</f>
        <v>SILLA INTERLOCUTORA (FIJA) SIN BRAZOS</v>
      </c>
      <c r="C3970" s="6">
        <v>5610</v>
      </c>
      <c r="D3970" s="5"/>
      <c r="E3970" s="5" t="str">
        <f t="shared" si="188"/>
        <v>ACTISALUD- SALA DE PARTOS-MARIA AUXILIADORA PERTUZ</v>
      </c>
      <c r="F3970" s="5" t="str">
        <f>"Descripcion: TAPIZADA EN CUERO MARRON ROTOASIENTO PARTIDO Estado: Malo Placa anterior: 000005254 Material: METALICO Color: MARRON Referencia:  Observacion: AUTORIZADO CONCILIAR EN CRUCE GENERAL Placa padre: Tipo adquisicion: Entidad"</f>
        <v>Descripcion: TAPIZADA EN CUERO MARRON ROTOASIENTO PARTIDO Estado: Malo Placa anterior: 000005254 Material: METALICO Color: MARRON Referencia:  Observacion: AUTORIZADO CONCILIAR EN CRUCE GENERAL Placa padre: Tipo adquisicion: Entidad</v>
      </c>
      <c r="G3970" s="5"/>
    </row>
    <row r="3971" spans="1:7" ht="58.5" customHeight="1" x14ac:dyDescent="0.25">
      <c r="A3971" s="5" t="str">
        <f>"H0011243"</f>
        <v>H0011243</v>
      </c>
      <c r="B3971" s="5" t="str">
        <f>"SILLA PLASTICA CON BRAZOS"</f>
        <v>SILLA PLASTICA CON BRAZOS</v>
      </c>
      <c r="C3971" s="6">
        <v>14000</v>
      </c>
      <c r="D3971" s="5"/>
      <c r="E3971" s="5" t="str">
        <f t="shared" si="188"/>
        <v>ACTISALUD- SALA DE PARTOS-MARIA AUXILIADORA PERTUZ</v>
      </c>
      <c r="F3971" s="5" t="str">
        <f>"Descripcion: . Estado: Bueno Placa anterior: 000005676 Material: PASTA Color: AZUL Referencia:  Observacion: SILLA PLASTICA BLANCA Placa padre: Tipo adquisicion: Entidad"</f>
        <v>Descripcion: . Estado: Bueno Placa anterior: 000005676 Material: PASTA Color: AZUL Referencia:  Observacion: SILLA PLASTICA BLANCA Placa padre: Tipo adquisicion: Entidad</v>
      </c>
      <c r="G3971" s="5"/>
    </row>
    <row r="3972" spans="1:7" ht="58.5" customHeight="1" x14ac:dyDescent="0.25">
      <c r="A3972" s="5" t="str">
        <f>"H0011248"</f>
        <v>H0011248</v>
      </c>
      <c r="B3972" s="5" t="str">
        <f>"BANDEJA DE ACERO INOXIDABLE GRANDE"</f>
        <v>BANDEJA DE ACERO INOXIDABLE GRANDE</v>
      </c>
      <c r="C3972" s="6">
        <v>8580</v>
      </c>
      <c r="D3972" s="5"/>
      <c r="E3972" s="5" t="str">
        <f t="shared" si="188"/>
        <v>ACTISALUD- SALA DE PARTOS-MARIA AUXILIADORA PERTUZ</v>
      </c>
      <c r="F3972" s="5" t="str">
        <f>"Descripcion: . Estado: Bueno Placa anterior: 000005524 Material: ACERO INOXIDABLE Color:  Referencia:  Observacion: BANDEJA EN ACERO INOXIDABLE GRANDE Placa padre: Tipo adquisicion: Entidad"</f>
        <v>Descripcion: . Estado: Bueno Placa anterior: 000005524 Material: ACERO INOXIDABLE Color:  Referencia:  Observacion: BANDEJA EN ACERO INOXIDABLE GRANDE Placa padre: Tipo adquisicion: Entidad</v>
      </c>
      <c r="G3972" s="5"/>
    </row>
    <row r="3973" spans="1:7" ht="58.5" customHeight="1" x14ac:dyDescent="0.25">
      <c r="A3973" s="5" t="str">
        <f>"H0011251"</f>
        <v>H0011251</v>
      </c>
      <c r="B3973" s="5" t="str">
        <f>"PATO (COPROLOGICO) MUJER"</f>
        <v>PATO (COPROLOGICO) MUJER</v>
      </c>
      <c r="C3973" s="6">
        <v>43881.91</v>
      </c>
      <c r="D3973" s="5"/>
      <c r="E3973" s="5" t="str">
        <f t="shared" si="188"/>
        <v>ACTISALUD- SALA DE PARTOS-MARIA AUXILIADORA PERTUZ</v>
      </c>
      <c r="F3973" s="5" t="str">
        <f>"Descripcion: . Estado: Bueno Placa anterior: 000005479 Material: ACERO INOXIDABLE Color:  Referencia:  Observacion: PATO COPROLOGICO Placa padre: Tipo adquisicion: Entidad"</f>
        <v>Descripcion: . Estado: Bueno Placa anterior: 000005479 Material: ACERO INOXIDABLE Color:  Referencia:  Observacion: PATO COPROLOGICO Placa padre: Tipo adquisicion: Entidad</v>
      </c>
      <c r="G3973" s="5"/>
    </row>
    <row r="3974" spans="1:7" ht="58.5" customHeight="1" x14ac:dyDescent="0.25">
      <c r="A3974" s="5" t="str">
        <f>"H0011262"</f>
        <v>H0011262</v>
      </c>
      <c r="B3974" s="5" t="str">
        <f>"CAMA DESCANSO (SOFACAMA)"</f>
        <v>CAMA DESCANSO (SOFACAMA)</v>
      </c>
      <c r="C3974" s="6">
        <v>73150</v>
      </c>
      <c r="D3974" s="5"/>
      <c r="E3974" s="5" t="str">
        <f t="shared" si="188"/>
        <v>ACTISALUD- SALA DE PARTOS-MARIA AUXILIADORA PERTUZ</v>
      </c>
      <c r="F3974" s="5" t="str">
        <f>"Descripcion: 9SOFA CAMATAPIZADO EN CUERO NEGRO (ROTO Estado: Regular Placa anterior: 000021133 Material: MADERA Color:  Referencia:  Observacion:  Placa padre: Tipo adquisicion: Entidad"</f>
        <v>Descripcion: 9SOFA CAMATAPIZADO EN CUERO NEGRO (ROTO Estado: Regular Placa anterior: 000021133 Material: MADERA Color:  Referencia:  Observacion:  Placa padre: Tipo adquisicion: Entidad</v>
      </c>
      <c r="G3974" s="5"/>
    </row>
    <row r="3975" spans="1:7" ht="58.5" customHeight="1" x14ac:dyDescent="0.25">
      <c r="A3975" s="5" t="str">
        <f>"H0011264"</f>
        <v>H0011264</v>
      </c>
      <c r="B3975" s="5" t="str">
        <f>"SILLA PLASTICA CON BRAZOS"</f>
        <v>SILLA PLASTICA CON BRAZOS</v>
      </c>
      <c r="C3975" s="6">
        <v>14000</v>
      </c>
      <c r="D3975" s="5"/>
      <c r="E3975" s="5" t="str">
        <f t="shared" si="188"/>
        <v>ACTISALUD- SALA DE PARTOS-MARIA AUXILIADORA PERTUZ</v>
      </c>
      <c r="F3975" s="5" t="str">
        <f>"Descripcion: . Estado: Bueno Placa anterior: 000005654 Material: PASTA Color: AZUL Referencia:  Observacion: SILLA PLASTICA BLANCA Placa padre: Tipo adquisicion: Entidad"</f>
        <v>Descripcion: . Estado: Bueno Placa anterior: 000005654 Material: PASTA Color: AZUL Referencia:  Observacion: SILLA PLASTICA BLANCA Placa padre: Tipo adquisicion: Entidad</v>
      </c>
      <c r="G3975" s="5"/>
    </row>
    <row r="3976" spans="1:7" ht="58.5" customHeight="1" x14ac:dyDescent="0.25">
      <c r="A3976" s="5" t="str">
        <f>"H0011267"</f>
        <v>H0011267</v>
      </c>
      <c r="B3976" s="5" t="str">
        <f>"COMPUTADOR TODO EN UNO"</f>
        <v>COMPUTADOR TODO EN UNO</v>
      </c>
      <c r="C3976" s="6">
        <v>1572000</v>
      </c>
      <c r="D3976" s="5" t="s">
        <v>32</v>
      </c>
      <c r="E3976" s="5" t="str">
        <f t="shared" si="188"/>
        <v>ACTISALUD- SALA DE PARTOS-MARIA AUXILIADORA PERTUZ</v>
      </c>
      <c r="F3976" s="5" t="str">
        <f>"Descripcion: EQUIPOS DE COMPUTO TODO EN UNO PROCESADOR CORE 3.0 SUPERIOR CORPORATIVO WINDOWS 8 PRO- OFFICE 2013 SMALL BUSINES, TECNOLOGIA HT DE INTEL GARANTIA EXTENDIDA A 3 AÑOS Estado: Bueno Placa anterior: 000030574 Material: PASTA Color: NEGRO Referenc"&amp; "ia: C9G88LT#ABM Observacion:  Placa anterior:, Placa nueva=H0011269, Descripcion:OPTICO, Serial:FCMHH0CJP5I4WB, Marca:HP, Modelo:SM-2022, Material:PASTA, Color:NEGRO,Referencia:, Placa anterior:, Placa nueva=H0011268, Descripcion:., Serial:BDMHE0CVB5I1EH,"&amp; " Marca:HP, Modelo:KU-1156, Material:PASTA, Color:NEGRO,Referencia:672647-163LA Placa padre: Tipo adquisicion: Entidad"</f>
        <v>Descripcion: EQUIPOS DE COMPUTO TODO EN UNO PROCESADOR CORE 3.0 SUPERIOR CORPORATIVO WINDOWS 8 PRO- OFFICE 2013 SMALL BUSINES, TECNOLOGIA HT DE INTEL GARANTIA EXTENDIDA A 3 AÑOS Estado: Bueno Placa anterior: 000030574 Material: PASTA Color: NEGRO Referencia: C9G88LT#ABM Observacion:  Placa anterior:, Placa nueva=H0011269, Descripcion:OPTICO, Serial:FCMHH0CJP5I4WB, Marca:HP, Modelo:SM-2022, Material:PASTA, Color:NEGRO,Referencia:, Placa anterior:, Placa nueva=H0011268, Descripcion:., Serial:BDMHE0CVB5I1EH, Marca:HP, Modelo:KU-1156, Material:PASTA, Color:NEGRO,Referencia:672647-163LA Placa padre: Tipo adquisicion: Entidad</v>
      </c>
      <c r="G3976" s="5" t="str">
        <f>"COMPRAQ PRO 4300"</f>
        <v>COMPRAQ PRO 4300</v>
      </c>
    </row>
    <row r="3977" spans="1:7" ht="58.5" customHeight="1" x14ac:dyDescent="0.25">
      <c r="A3977" s="5" t="str">
        <f>"H0011276"</f>
        <v>H0011276</v>
      </c>
      <c r="B3977" s="5" t="str">
        <f>"CAMILLA GINECOLOGICA SIN ESTRIBOS"</f>
        <v>CAMILLA GINECOLOGICA SIN ESTRIBOS</v>
      </c>
      <c r="C3977" s="6">
        <v>1577600</v>
      </c>
      <c r="D3977" s="5"/>
      <c r="E3977" s="5" t="str">
        <f t="shared" si="188"/>
        <v>ACTISALUD- SALA DE PARTOS-MARIA AUXILIADORA PERTUZ</v>
      </c>
      <c r="F3977" s="5" t="str">
        <f>"Descripcion: CAMILLA GINECOLOGICA|| Estado: Regular Placa anterior: 000025854 Material: METALICO Color: BEIGE Referencia:  Observacion:  Placa padre: Tipo adquisicion: Entidad"</f>
        <v>Descripcion: CAMILLA GINECOLOGICA|| Estado: Regular Placa anterior: 000025854 Material: METALICO Color: BEIGE Referencia:  Observacion:  Placa padre: Tipo adquisicion: Entidad</v>
      </c>
      <c r="G3977" s="5"/>
    </row>
    <row r="3978" spans="1:7" ht="58.5" customHeight="1" x14ac:dyDescent="0.25">
      <c r="A3978" s="5" t="str">
        <f>"H0011279"</f>
        <v>H0011279</v>
      </c>
      <c r="B3978" s="5" t="str">
        <f>"ARCHIVADOR METALICO 3 GAVETAS"</f>
        <v>ARCHIVADOR METALICO 3 GAVETAS</v>
      </c>
      <c r="C3978" s="6">
        <v>26339.5</v>
      </c>
      <c r="D3978" s="5"/>
      <c r="E3978" s="5" t="str">
        <f t="shared" si="188"/>
        <v>ACTISALUD- SALA DE PARTOS-MARIA AUXILIADORA PERTUZ</v>
      </c>
      <c r="F3978" s="5" t="str">
        <f>"Descripcion: ARCHIVADOR TIPO B (3 GAVETAS) Estado: Bueno Placa anterior: 000027578 Material: METALICO Color: GRIS Referencia:  Observacion:  Placa padre: Tipo adquisicion: Entidad"</f>
        <v>Descripcion: ARCHIVADOR TIPO B (3 GAVETAS) Estado: Bueno Placa anterior: 000027578 Material: METALICO Color: GRIS Referencia:  Observacion:  Placa padre: Tipo adquisicion: Entidad</v>
      </c>
      <c r="G3978" s="5"/>
    </row>
    <row r="3979" spans="1:7" ht="58.5" customHeight="1" x14ac:dyDescent="0.25">
      <c r="A3979" s="5" t="str">
        <f>"H0011284"</f>
        <v>H0011284</v>
      </c>
      <c r="B3979" s="5" t="str">
        <f>"COMPUTADOR TODO EN UNO"</f>
        <v>COMPUTADOR TODO EN UNO</v>
      </c>
      <c r="C3979" s="6">
        <v>1572000</v>
      </c>
      <c r="D3979" s="5" t="s">
        <v>346</v>
      </c>
      <c r="E3979" s="5" t="str">
        <f t="shared" si="188"/>
        <v>ACTISALUD- SALA DE PARTOS-MARIA AUXILIADORA PERTUZ</v>
      </c>
      <c r="F3979" s="5" t="str">
        <f>"Descripcion: EQUIPOS DE COMPUTO TODO EN UNO PROCESADOR CORE 3.0 SUPERIOR CORPORATIVO WINDOWS 8 PRO- OFFICE 2013 SMALL BUSINES, TECNOLOGIA HT DE INTEL GARANTIA EXTENDIDA A 3 AÑOS Estado: Bueno Placa anterior: 000030682 Material: PASTA Color: NEGRO Referenc"&amp; "ia: C9G88LT#ABM Observacion:  Placa anterior:, Placa nueva=H0011285, Descripcion:., Serial:BDMHE0C5Y5X15V, Marca:HP, Modelo:KU-1156, Material:PASTA, Color:NEGRO,Referencia:672647163-LA, Placa anterior:, Placa nueva=H0011286, Descripcion:OPTICO, Serial:FCM"&amp; "HH0CQW6AFM0, Marca:HP, Modelo:SM-2022, Material:PASTA, Color:NEGRO,Referencia:672652-001 Placa padre: Tipo adquisicion: Entidad"</f>
        <v>Descripcion: EQUIPOS DE COMPUTO TODO EN UNO PROCESADOR CORE 3.0 SUPERIOR CORPORATIVO WINDOWS 8 PRO- OFFICE 2013 SMALL BUSINES, TECNOLOGIA HT DE INTEL GARANTIA EXTENDIDA A 3 AÑOS Estado: Bueno Placa anterior: 000030682 Material: PASTA Color: NEGRO Referencia: C9G88LT#ABM Observacion:  Placa anterior:, Placa nueva=H0011285, Descripcion:., Serial:BDMHE0C5Y5X15V, Marca:HP, Modelo:KU-1156, Material:PASTA, Color:NEGRO,Referencia:672647163-LA, Placa anterior:, Placa nueva=H0011286, Descripcion:OPTICO, Serial:FCMHH0CQW6AFM0, Marca:HP, Modelo:SM-2022, Material:PASTA, Color:NEGRO,Referencia:672652-001 Placa padre: Tipo adquisicion: Entidad</v>
      </c>
      <c r="G3979" s="5" t="str">
        <f>"HP COMPAQ PRO 4300"</f>
        <v>HP COMPAQ PRO 4300</v>
      </c>
    </row>
    <row r="3980" spans="1:7" ht="58.5" customHeight="1" x14ac:dyDescent="0.25">
      <c r="A3980" s="5" t="str">
        <f>"H0011287"</f>
        <v>H0011287</v>
      </c>
      <c r="B3980" s="5" t="str">
        <f>"SILLA INTERLOCUTORA (FIJA) SIN BRAZOS"</f>
        <v>SILLA INTERLOCUTORA (FIJA) SIN BRAZOS</v>
      </c>
      <c r="C3980" s="6">
        <v>8833.02</v>
      </c>
      <c r="D3980" s="5"/>
      <c r="E3980" s="5" t="str">
        <f t="shared" si="188"/>
        <v>ACTISALUD- SALA DE PARTOS-MARIA AUXILIADORA PERTUZ</v>
      </c>
      <c r="F3980" s="5" t="str">
        <f>"Descripcion: TAPIZADA EN CUERO MARRON Estado: Bueno Placa anterior: 000027574 Material: METALICO Color: MARRON Referencia:  Observacion: SILLA FIJA TIPO A COLOR MARRON Placa padre: Tipo adquisicion: Entidad"</f>
        <v>Descripcion: TAPIZADA EN CUERO MARRON Estado: Bueno Placa anterior: 000027574 Material: METALICO Color: MARRON Referencia:  Observacion: SILLA FIJA TIPO A COLOR MARRON Placa padre: Tipo adquisicion: Entidad</v>
      </c>
      <c r="G3980" s="5"/>
    </row>
    <row r="3981" spans="1:7" ht="58.5" customHeight="1" x14ac:dyDescent="0.25">
      <c r="A3981" s="5" t="str">
        <f>"H0011301"</f>
        <v>H0011301</v>
      </c>
      <c r="B3981" s="5" t="str">
        <f>"LOCKER DE 2 COMPARTIMIENTOS"</f>
        <v>LOCKER DE 2 COMPARTIMIENTOS</v>
      </c>
      <c r="C3981" s="6">
        <v>10384</v>
      </c>
      <c r="D3981" s="5"/>
      <c r="E3981" s="5" t="str">
        <f t="shared" si="188"/>
        <v>ACTISALUD- SALA DE PARTOS-MARIA AUXILIADORA PERTUZ</v>
      </c>
      <c r="F3981" s="5" t="str">
        <f>"Descripcion: LOCKER TIPO C (2 PUESTOS) Estado: Regular Placa anterior: 000012398 Material: METALICO Color: GRIS Referencia:  Observacion:  Placa padre: Tipo adquisicion: Entidad"</f>
        <v>Descripcion: LOCKER TIPO C (2 PUESTOS) Estado: Regular Placa anterior: 000012398 Material: METALICO Color: GRIS Referencia:  Observacion:  Placa padre: Tipo adquisicion: Entidad</v>
      </c>
      <c r="G3981" s="5"/>
    </row>
    <row r="3982" spans="1:7" ht="58.5" customHeight="1" x14ac:dyDescent="0.25">
      <c r="A3982" s="5" t="str">
        <f>"H0011308"</f>
        <v>H0011308</v>
      </c>
      <c r="B3982" s="5" t="str">
        <f>"PERCHERO"</f>
        <v>PERCHERO</v>
      </c>
      <c r="C3982" s="6">
        <v>5080</v>
      </c>
      <c r="D3982" s="5"/>
      <c r="E3982" s="5" t="str">
        <f t="shared" si="188"/>
        <v>ACTISALUD- SALA DE PARTOS-MARIA AUXILIADORA PERTUZ</v>
      </c>
      <c r="F3982" s="5" t="str">
        <f>"Descripcion: 4 BRAZOSOXIDO Estado: Regular Placa anterior: 000027564 Material: ACERO INOXIDABLE Color:  Referencia:  Observacion: AUTORIZADO CONCILIAR EN CRUCE GENERAL Placa padre: Tipo adquisicion: Entidad"</f>
        <v>Descripcion: 4 BRAZOSOXIDO Estado: Regular Placa anterior: 000027564 Material: ACERO INOXIDABLE Color:  Referencia:  Observacion: AUTORIZADO CONCILIAR EN CRUCE GENERAL Placa padre: Tipo adquisicion: Entidad</v>
      </c>
      <c r="G3982" s="5"/>
    </row>
    <row r="3983" spans="1:7" ht="58.5" customHeight="1" x14ac:dyDescent="0.25">
      <c r="A3983" s="5" t="str">
        <f>"H0011312"</f>
        <v>H0011312</v>
      </c>
      <c r="B3983" s="5" t="str">
        <f>"MESA METALICA PARA COMPUTADOR"</f>
        <v>MESA METALICA PARA COMPUTADOR</v>
      </c>
      <c r="C3983" s="6">
        <v>139200</v>
      </c>
      <c r="D3983" s="5"/>
      <c r="E3983" s="5" t="str">
        <f t="shared" si="188"/>
        <v>ACTISALUD- SALA DE PARTOS-MARIA AUXILIADORA PERTUZ</v>
      </c>
      <c r="F3983" s="5" t="str">
        <f>"Descripcion: MESA PARA COMPUTADOR SENCILLA Estado: Bueno Placa anterior: 000025674 Material: FORMICA, METALICO Color:  Referencia:  Observacion:  Placa padre: Tipo adquisicion: Entidad"</f>
        <v>Descripcion: MESA PARA COMPUTADOR SENCILLA Estado: Bueno Placa anterior: 000025674 Material: FORMICA, METALICO Color:  Referencia:  Observacion:  Placa padre: Tipo adquisicion: Entidad</v>
      </c>
      <c r="G3983" s="5"/>
    </row>
    <row r="3984" spans="1:7" ht="58.5" customHeight="1" x14ac:dyDescent="0.25">
      <c r="A3984" s="5" t="str">
        <f>"H0011319"</f>
        <v>H0011319</v>
      </c>
      <c r="B3984" s="5" t="str">
        <f>"VITRINA DE 2 CUERPOS"</f>
        <v>VITRINA DE 2 CUERPOS</v>
      </c>
      <c r="C3984" s="6">
        <v>44495.7</v>
      </c>
      <c r="D3984" s="5"/>
      <c r="E3984" s="5" t="str">
        <f t="shared" si="188"/>
        <v>ACTISALUD- SALA DE PARTOS-MARIA AUXILIADORA PERTUZ</v>
      </c>
      <c r="F3984" s="5" t="str">
        <f>"Descripcion: VITRINA DE 2 CUERPOSFALTA UNA PUERTA Estado: Regular Placa anterior: 000012335 Material: METALICO Color: GRIS Referencia:  Observacion:  Placa padre: Tipo adquisicion: Entidad"</f>
        <v>Descripcion: VITRINA DE 2 CUERPOSFALTA UNA PUERTA Estado: Regular Placa anterior: 000012335 Material: METALICO Color: GRIS Referencia:  Observacion:  Placa padre: Tipo adquisicion: Entidad</v>
      </c>
      <c r="G3984" s="5"/>
    </row>
    <row r="3985" spans="1:7" ht="58.5" customHeight="1" x14ac:dyDescent="0.25">
      <c r="A3985" s="5" t="str">
        <f>"H0011321"</f>
        <v>H0011321</v>
      </c>
      <c r="B3985" s="5" t="str">
        <f>"MESA METALICA AUXILIAR"</f>
        <v>MESA METALICA AUXILIAR</v>
      </c>
      <c r="C3985" s="6">
        <v>18975</v>
      </c>
      <c r="D3985" s="5"/>
      <c r="E3985" s="5" t="str">
        <f t="shared" si="188"/>
        <v>ACTISALUD- SALA DE PARTOS-MARIA AUXILIADORA PERTUZ</v>
      </c>
      <c r="F3985" s="5" t="str">
        <f>"Descripcion: RODACHINES Estado: Bueno Placa anterior: 000013275 Material: METALICO Color: GRIS Referencia:  Observacion: AUTORIZADO CONCILIAR EN CRUCE GENERAL Placa padre: Tipo adquisicion: Entidad"</f>
        <v>Descripcion: RODACHINES Estado: Bueno Placa anterior: 000013275 Material: METALICO Color: GRIS Referencia:  Observacion: AUTORIZADO CONCILIAR EN CRUCE GENERAL Placa padre: Tipo adquisicion: Entidad</v>
      </c>
      <c r="G3985" s="5"/>
    </row>
    <row r="3986" spans="1:7" ht="58.5" customHeight="1" x14ac:dyDescent="0.25">
      <c r="A3986" s="5" t="str">
        <f>"H0011325"</f>
        <v>H0011325</v>
      </c>
      <c r="B3986" s="5" t="str">
        <f>"BUTACO GIRATORIO SIN RUEDAS"</f>
        <v>BUTACO GIRATORIO SIN RUEDAS</v>
      </c>
      <c r="C3986" s="6">
        <v>6930</v>
      </c>
      <c r="D3986" s="5"/>
      <c r="E3986" s="5" t="str">
        <f t="shared" si="188"/>
        <v>ACTISALUD- SALA DE PARTOS-MARIA AUXILIADORA PERTUZ</v>
      </c>
      <c r="F3986" s="5" t="str">
        <f>"Descripcion: BUTACO GIRATORIO SIN ESPALDAR Estado: Bueno Placa anterior: 000027635 Material: METALICO Color: MARRON Referencia:  Observacion:  Placa padre: Tipo adquisicion: Entidad"</f>
        <v>Descripcion: BUTACO GIRATORIO SIN ESPALDAR Estado: Bueno Placa anterior: 000027635 Material: METALICO Color: MARRON Referencia:  Observacion:  Placa padre: Tipo adquisicion: Entidad</v>
      </c>
      <c r="G3986" s="5"/>
    </row>
    <row r="3987" spans="1:7" ht="58.5" customHeight="1" x14ac:dyDescent="0.25">
      <c r="A3987" s="5" t="str">
        <f>"H0011327"</f>
        <v>H0011327</v>
      </c>
      <c r="B3987" s="5" t="str">
        <f>"ESCALERILLA DE 2 PASOS"</f>
        <v>ESCALERILLA DE 2 PASOS</v>
      </c>
      <c r="C3987" s="6">
        <v>100000</v>
      </c>
      <c r="D3987" s="5" t="s">
        <v>49</v>
      </c>
      <c r="E3987" s="5" t="str">
        <f t="shared" si="188"/>
        <v>ACTISALUD- SALA DE PARTOS-MARIA AUXILIADORA PERTUZ</v>
      </c>
      <c r="F3987" s="5" t="str">
        <f>"Descripcion: ESCALERILLA DE DOS PASO EN TUBO REDONDO1 PASO SUELTO Estado: Regular Placa anterior: 000029978 Material: METALICO Color:  Referencia:  Observacion:  Placa padre: Tipo adquisicion: Entidad"</f>
        <v>Descripcion: ESCALERILLA DE DOS PASO EN TUBO REDONDO1 PASO SUELTO Estado: Regular Placa anterior: 000029978 Material: METALICO Color:  Referencia:  Observacion:  Placa padre: Tipo adquisicion: Entidad</v>
      </c>
      <c r="G3987" s="5"/>
    </row>
    <row r="3988" spans="1:7" ht="58.5" customHeight="1" x14ac:dyDescent="0.25">
      <c r="A3988" s="5" t="str">
        <f>"H0011561"</f>
        <v>H0011561</v>
      </c>
      <c r="B3988" s="5" t="str">
        <f>"MESA DE NOCHE"</f>
        <v>MESA DE NOCHE</v>
      </c>
      <c r="C3988" s="6">
        <v>327586</v>
      </c>
      <c r="D3988" s="5"/>
      <c r="E3988" s="5" t="str">
        <f t="shared" si="188"/>
        <v>ACTISALUD- SALA DE PARTOS-MARIA AUXILIADORA PERTUZ</v>
      </c>
      <c r="F3988" s="5" t="str">
        <f>"Descripcion: MESA DE NOCHE EN ACERO Estado: Bueno Placa anterior: 000032980 Material: ACERO INOXIDABLE Color:  Referencia:  Observacion:  Placa padre: Tipo adquisicion: Entidad"</f>
        <v>Descripcion: MESA DE NOCHE EN ACERO Estado: Bueno Placa anterior: 000032980 Material: ACERO INOXIDABLE Color:  Referencia:  Observacion:  Placa padre: Tipo adquisicion: Entidad</v>
      </c>
      <c r="G3988" s="5"/>
    </row>
    <row r="3989" spans="1:7" ht="58.5" customHeight="1" x14ac:dyDescent="0.25">
      <c r="A3989" s="5" t="str">
        <f>"H0011562"</f>
        <v>H0011562</v>
      </c>
      <c r="B3989" s="5" t="str">
        <f>"ATRIL PORTASUERO MOVIL"</f>
        <v>ATRIL PORTASUERO MOVIL</v>
      </c>
      <c r="C3989" s="6">
        <v>145000</v>
      </c>
      <c r="D3989" s="5" t="s">
        <v>166</v>
      </c>
      <c r="E3989" s="5" t="str">
        <f t="shared" si="188"/>
        <v>ACTISALUD- SALA DE PARTOS-MARIA AUXILIADORA PERTUZ</v>
      </c>
      <c r="F3989" s="5" t="str">
        <f>"Descripcion: ATRIL PORTASUERO MOVIL CO  RODACHINES Estado: Bueno Placa anterior: 000031471 Material: METALICO Color: CROMADO Referencia:  Observacion:  Placa padre: Tipo adquisicion: Entidad"</f>
        <v>Descripcion: ATRIL PORTASUERO MOVIL CO  RODACHINES Estado: Bueno Placa anterior: 000031471 Material: METALICO Color: CROMADO Referencia:  Observacion:  Placa padre: Tipo adquisicion: Entidad</v>
      </c>
      <c r="G3989" s="5"/>
    </row>
    <row r="3990" spans="1:7" ht="58.5" customHeight="1" x14ac:dyDescent="0.25">
      <c r="A3990" s="5" t="str">
        <f>"H0011564"</f>
        <v>H0011564</v>
      </c>
      <c r="B3990" s="5" t="str">
        <f>"ESCALERILLA DE 2 PASOS"</f>
        <v>ESCALERILLA DE 2 PASOS</v>
      </c>
      <c r="C3990" s="6">
        <v>4070</v>
      </c>
      <c r="D3990" s="5"/>
      <c r="E3990" s="5" t="str">
        <f t="shared" si="188"/>
        <v>ACTISALUD- SALA DE PARTOS-MARIA AUXILIADORA PERTUZ</v>
      </c>
      <c r="F3990" s="5" t="str">
        <f>"Descripcion: ESCALERA DE DOS PASOS Estado: Bueno Placa anterior: 000027254 Material: METALICO CON PASOS EN MADERA Color: NEGRO Referencia:  Observacion:  Placa padre: Tipo adquisicion: Entidad"</f>
        <v>Descripcion: ESCALERA DE DOS PASOS Estado: Bueno Placa anterior: 000027254 Material: METALICO CON PASOS EN MADERA Color: NEGRO Referencia:  Observacion:  Placa padre: Tipo adquisicion: Entidad</v>
      </c>
      <c r="G3990" s="5"/>
    </row>
    <row r="3991" spans="1:7" ht="58.5" customHeight="1" x14ac:dyDescent="0.25">
      <c r="A3991" s="5" t="str">
        <f>"H0011565"</f>
        <v>H0011565</v>
      </c>
      <c r="B3991" s="5" t="str">
        <f>"CAMILLA DE TRASLADO CON BARANDAS"</f>
        <v>CAMILLA DE TRASLADO CON BARANDAS</v>
      </c>
      <c r="C3991" s="6">
        <v>1070680</v>
      </c>
      <c r="D3991" s="5"/>
      <c r="E3991" s="5" t="str">
        <f t="shared" si="188"/>
        <v>ACTISALUD- SALA DE PARTOS-MARIA AUXILIADORA PERTUZ</v>
      </c>
      <c r="F3991" s="5" t="str">
        <f>"Descripcion: CAMILLA DE TRASLADO CON BARANDAS Estado: Bueno Placa anterior: 000025752 Material: METALICO Color: BEIGE Referencia:  Observacion:  Placa padre: Tipo adquisicion: Entidad"</f>
        <v>Descripcion: CAMILLA DE TRASLADO CON BARANDAS Estado: Bueno Placa anterior: 000025752 Material: METALICO Color: BEIGE Referencia:  Observacion:  Placa padre: Tipo adquisicion: Entidad</v>
      </c>
      <c r="G3991" s="5"/>
    </row>
    <row r="3992" spans="1:7" ht="58.5" customHeight="1" x14ac:dyDescent="0.25">
      <c r="A3992" s="5" t="str">
        <f>"H0011567"</f>
        <v>H0011567</v>
      </c>
      <c r="B3992" s="5" t="str">
        <f>"ATRIL PORTASUERO MOVIL"</f>
        <v>ATRIL PORTASUERO MOVIL</v>
      </c>
      <c r="C3992" s="6">
        <v>145000</v>
      </c>
      <c r="D3992" s="5" t="s">
        <v>166</v>
      </c>
      <c r="E3992" s="5" t="str">
        <f t="shared" si="188"/>
        <v>ACTISALUD- SALA DE PARTOS-MARIA AUXILIADORA PERTUZ</v>
      </c>
      <c r="F3992" s="5" t="str">
        <f>"Descripcion: ATRIL. Aatril portasuero en pintura electrostatica, debe contar con sistema portasuero minimo para dos bolsas de 50ml con varilla graduable,con rodachines Estado: Bueno Placa anterior: 000031473 Material: METALICO  Color: BEIGE, CROMADO Refer"&amp; "encia:  Observacion:  Placa padre: Tipo adquisicion: Entidad"</f>
        <v>Descripcion: ATRIL. Aatril portasuero en pintura electrostatica, debe contar con sistema portasuero minimo para dos bolsas de 50ml con varilla graduable,con rodachines Estado: Bueno Placa anterior: 000031473 Material: METALICO  Color: BEIGE, CROMADO Referencia:  Observacion:  Placa padre: Tipo adquisicion: Entidad</v>
      </c>
      <c r="G3992" s="5" t="str">
        <f>"121-01"</f>
        <v>121-01</v>
      </c>
    </row>
    <row r="3993" spans="1:7" ht="58.5" customHeight="1" x14ac:dyDescent="0.25">
      <c r="A3993" s="5" t="str">
        <f>"H0011568"</f>
        <v>H0011568</v>
      </c>
      <c r="B3993" s="5" t="str">
        <f>"ESCALERILLA DE 2 PASOS"</f>
        <v>ESCALERILLA DE 2 PASOS</v>
      </c>
      <c r="C3993" s="6">
        <v>4070</v>
      </c>
      <c r="D3993" s="5"/>
      <c r="E3993" s="5" t="str">
        <f t="shared" ref="E3993:E4056" si="189">"ACTISALUD- SALA DE PARTOS-MARIA AUXILIADORA PERTUZ"</f>
        <v>ACTISALUD- SALA DE PARTOS-MARIA AUXILIADORA PERTUZ</v>
      </c>
      <c r="F3993" s="5" t="str">
        <f>"Descripcion: ESCALERA DE DOS PASOS Estado: Bueno Placa anterior: 000027833 Material: METALICO CON PASOS EN MADERA Color: NEGRO Referencia:  Observacion:  Placa padre: Tipo adquisicion: Entidad"</f>
        <v>Descripcion: ESCALERA DE DOS PASOS Estado: Bueno Placa anterior: 000027833 Material: METALICO CON PASOS EN MADERA Color: NEGRO Referencia:  Observacion:  Placa padre: Tipo adquisicion: Entidad</v>
      </c>
      <c r="G3993" s="5"/>
    </row>
    <row r="3994" spans="1:7" ht="58.5" customHeight="1" x14ac:dyDescent="0.25">
      <c r="A3994" s="5" t="str">
        <f>"H0011573"</f>
        <v>H0011573</v>
      </c>
      <c r="B3994" s="5" t="str">
        <f>"ESCALERILLA DE 2 PASOS"</f>
        <v>ESCALERILLA DE 2 PASOS</v>
      </c>
      <c r="C3994" s="6">
        <v>4070</v>
      </c>
      <c r="D3994" s="5"/>
      <c r="E3994" s="5" t="str">
        <f t="shared" si="189"/>
        <v>ACTISALUD- SALA DE PARTOS-MARIA AUXILIADORA PERTUZ</v>
      </c>
      <c r="F3994" s="5" t="str">
        <f>"Descripcion: ESCALERA DE DOS PASOS Estado: Bueno Placa anterior: 000027520 Material: METALICO CON PASOS PLASTICOS Color: BLANCO Referencia:  Observacion:  Placa padre: Tipo adquisicion: Entidad"</f>
        <v>Descripcion: ESCALERA DE DOS PASOS Estado: Bueno Placa anterior: 000027520 Material: METALICO CON PASOS PLASTICOS Color: BLANCO Referencia:  Observacion:  Placa padre: Tipo adquisicion: Entidad</v>
      </c>
      <c r="G3994" s="5"/>
    </row>
    <row r="3995" spans="1:7" ht="58.5" customHeight="1" x14ac:dyDescent="0.25">
      <c r="A3995" s="5" t="str">
        <f>"H0011574"</f>
        <v>H0011574</v>
      </c>
      <c r="B3995" s="5" t="str">
        <f>"MESA DE NOCHE"</f>
        <v>MESA DE NOCHE</v>
      </c>
      <c r="C3995" s="6">
        <v>8389.34</v>
      </c>
      <c r="D3995" s="5"/>
      <c r="E3995" s="5" t="str">
        <f t="shared" si="189"/>
        <v>ACTISALUD- SALA DE PARTOS-MARIA AUXILIADORA PERTUZ</v>
      </c>
      <c r="F3995" s="5" t="str">
        <f>"Descripcion: MESA DE NOCHE Estado: Bueno Placa anterior: 000027523 Material: METALICO CON MESON EN FORMICA Color: BEIGE Referencia:  Observacion:  Placa padre: Tipo adquisicion: Entidad"</f>
        <v>Descripcion: MESA DE NOCHE Estado: Bueno Placa anterior: 000027523 Material: METALICO CON MESON EN FORMICA Color: BEIGE Referencia:  Observacion:  Placa padre: Tipo adquisicion: Entidad</v>
      </c>
      <c r="G3995" s="5"/>
    </row>
    <row r="3996" spans="1:7" ht="58.5" customHeight="1" x14ac:dyDescent="0.25">
      <c r="A3996" s="5" t="str">
        <f>"H0011577"</f>
        <v>H0011577</v>
      </c>
      <c r="B3996" s="5" t="str">
        <f>"MONITOR DE SIGNOS VITALES"</f>
        <v>MONITOR DE SIGNOS VITALES</v>
      </c>
      <c r="C3996" s="6">
        <v>4002000</v>
      </c>
      <c r="D3996" s="5" t="s">
        <v>166</v>
      </c>
      <c r="E3996" s="5" t="str">
        <f t="shared" si="189"/>
        <v>ACTISALUD- SALA DE PARTOS-MARIA AUXILIADORA PERTUZ</v>
      </c>
      <c r="F3996"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000031412 Material: PLASTICO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000031412 Material: PLASTICO Color: BLANCO Referencia:  Observacion:  Placa padre: Tipo adquisicion: Entidad</v>
      </c>
      <c r="G3996" s="5"/>
    </row>
    <row r="3997" spans="1:7" ht="58.5" customHeight="1" x14ac:dyDescent="0.25">
      <c r="A3997" s="5" t="str">
        <f>"H0011578"</f>
        <v>H0011578</v>
      </c>
      <c r="B3997" s="5" t="str">
        <f>"CAMILLA DE TRASLADO CON BARANDAS"</f>
        <v>CAMILLA DE TRASLADO CON BARANDAS</v>
      </c>
      <c r="C3997" s="6">
        <v>1070680</v>
      </c>
      <c r="D3997" s="5"/>
      <c r="E3997" s="5" t="str">
        <f t="shared" si="189"/>
        <v>ACTISALUD- SALA DE PARTOS-MARIA AUXILIADORA PERTUZ</v>
      </c>
      <c r="F3997" s="5" t="str">
        <f>"Descripcion: CAMILLA DE TRASLADO CON BARANDAS Estado: Bueno Placa anterior: 000025750 Material: METALICO Color: BEIGE Referencia:  Observacion:  Placa padre: Tipo adquisicion: Entidad"</f>
        <v>Descripcion: CAMILLA DE TRASLADO CON BARANDAS Estado: Bueno Placa anterior: 000025750 Material: METALICO Color: BEIGE Referencia:  Observacion:  Placa padre: Tipo adquisicion: Entidad</v>
      </c>
      <c r="G3997" s="5"/>
    </row>
    <row r="3998" spans="1:7" ht="58.5" customHeight="1" x14ac:dyDescent="0.25">
      <c r="A3998" s="5" t="str">
        <f>"H0011579"</f>
        <v>H0011579</v>
      </c>
      <c r="B3998" s="5" t="str">
        <f>"CAMILLA DE TRASLADO CON BARANDAS"</f>
        <v>CAMILLA DE TRASLADO CON BARANDAS</v>
      </c>
      <c r="C3998" s="6">
        <v>1070680</v>
      </c>
      <c r="D3998" s="5"/>
      <c r="E3998" s="5" t="str">
        <f t="shared" si="189"/>
        <v>ACTISALUD- SALA DE PARTOS-MARIA AUXILIADORA PERTUZ</v>
      </c>
      <c r="F3998" s="5" t="str">
        <f>"Descripcion: CAMILLA DE TRASLADO CON BARANDAS Estado: Bueno Placa anterior: 000025749 Material: METALICO Color: VERDE Referencia:  Observacion:  Placa padre: Tipo adquisicion: Entidad"</f>
        <v>Descripcion: CAMILLA DE TRASLADO CON BARANDAS Estado: Bueno Placa anterior: 000025749 Material: METALICO Color: VERDE Referencia:  Observacion:  Placa padre: Tipo adquisicion: Entidad</v>
      </c>
      <c r="G3998" s="5"/>
    </row>
    <row r="3999" spans="1:7" ht="58.5" customHeight="1" x14ac:dyDescent="0.25">
      <c r="A3999" s="5" t="str">
        <f>"H0011581"</f>
        <v>H0011581</v>
      </c>
      <c r="B3999" s="5" t="str">
        <f>"MESA (CARRO) DE CURACIONES"</f>
        <v>MESA (CARRO) DE CURACIONES</v>
      </c>
      <c r="C3999" s="6">
        <v>11880</v>
      </c>
      <c r="D3999" s="5"/>
      <c r="E3999" s="5" t="str">
        <f t="shared" si="189"/>
        <v>ACTISALUD- SALA DE PARTOS-MARIA AUXILIADORA PERTUZ</v>
      </c>
      <c r="F3999" s="5" t="str">
        <f>"Descripcion: MESA AUXILIAR TIPO CARRO C/BARANDAS Y RODACHINES Estado: Bueno Placa anterior: 000027582 Material: METALICO CON MESON EN FORMICA Color: BEIGE Referencia:  Observacion:  Placa padre: Tipo adquisicion: Entidad"</f>
        <v>Descripcion: MESA AUXILIAR TIPO CARRO C/BARANDAS Y RODACHINES Estado: Bueno Placa anterior: 000027582 Material: METALICO CON MESON EN FORMICA Color: BEIGE Referencia:  Observacion:  Placa padre: Tipo adquisicion: Entidad</v>
      </c>
      <c r="G3999" s="5"/>
    </row>
    <row r="4000" spans="1:7" ht="58.5" customHeight="1" x14ac:dyDescent="0.25">
      <c r="A4000" s="5" t="str">
        <f>"H0011587"</f>
        <v>H0011587</v>
      </c>
      <c r="B4000" s="5" t="str">
        <f>"MESA DE NOCHE"</f>
        <v>MESA DE NOCHE</v>
      </c>
      <c r="C4000" s="6">
        <v>13530</v>
      </c>
      <c r="D4000" s="5"/>
      <c r="E4000" s="5" t="str">
        <f t="shared" si="189"/>
        <v>ACTISALUD- SALA DE PARTOS-MARIA AUXILIADORA PERTUZ</v>
      </c>
      <c r="F4000" s="5" t="str">
        <f>"Descripcion: MESA DE NOCHE Estado: Bueno Placa anterior: 000027535 Material: METALICO CON MESON EN FORMICA Color: BEIGE Referencia:  Observacion:  Placa padre: Tipo adquisicion: Entidad"</f>
        <v>Descripcion: MESA DE NOCHE Estado: Bueno Placa anterior: 000027535 Material: METALICO CON MESON EN FORMICA Color: BEIGE Referencia:  Observacion:  Placa padre: Tipo adquisicion: Entidad</v>
      </c>
      <c r="G4000" s="5"/>
    </row>
    <row r="4001" spans="1:7" ht="58.5" customHeight="1" x14ac:dyDescent="0.25">
      <c r="A4001" s="5" t="str">
        <f>"H0011588"</f>
        <v>H0011588</v>
      </c>
      <c r="B4001" s="5" t="str">
        <f>"ATRIL PORTASUERO MOVIL"</f>
        <v>ATRIL PORTASUERO MOVIL</v>
      </c>
      <c r="C4001" s="6">
        <v>145000</v>
      </c>
      <c r="D4001" s="5" t="s">
        <v>166</v>
      </c>
      <c r="E4001" s="5" t="str">
        <f t="shared" si="189"/>
        <v>ACTISALUD- SALA DE PARTOS-MARIA AUXILIADORA PERTUZ</v>
      </c>
      <c r="F4001" s="5" t="str">
        <f>"Descripcion: ATRIL. Aatril portasuero en pintura electrostatica, debe contar con sistema portasuero minimo para dos bolsas de 50ml con varilla graduable,con rodachines Estado: Bueno Placa anterior: 000031462 Material: METALICO Color: BEIGE, CROMADO Refere"&amp; "ncia:  Observacion:  Placa padre: Tipo adquisicion: Entidad"</f>
        <v>Descripcion: ATRIL. Aatril portasuero en pintura electrostatica, debe contar con sistema portasuero minimo para dos bolsas de 50ml con varilla graduable,con rodachines Estado: Bueno Placa anterior: 000031462 Material: METALICO Color: BEIGE, CROMADO Referencia:  Observacion:  Placa padre: Tipo adquisicion: Entidad</v>
      </c>
      <c r="G4001" s="5"/>
    </row>
    <row r="4002" spans="1:7" ht="58.5" customHeight="1" x14ac:dyDescent="0.25">
      <c r="A4002" s="5" t="str">
        <f>"H0011590"</f>
        <v>H0011590</v>
      </c>
      <c r="B4002" s="5" t="str">
        <f>"ATRIL PORTASUERO MOVIL"</f>
        <v>ATRIL PORTASUERO MOVIL</v>
      </c>
      <c r="C4002" s="6">
        <v>145000</v>
      </c>
      <c r="D4002" s="5" t="s">
        <v>166</v>
      </c>
      <c r="E4002" s="5" t="str">
        <f t="shared" si="189"/>
        <v>ACTISALUD- SALA DE PARTOS-MARIA AUXILIADORA PERTUZ</v>
      </c>
      <c r="F4002" s="5" t="str">
        <f>"Descripcion: ATRIL. Aatril portasuero en pintura electrostatica, debe contar con sistema portasuero minimo para dos bolsas de 50ml con varilla graduable,con rodachines Estado: Bueno Placa anterior: 000031463 Material: METALICO Color: BEIGE, CROMADO Refere"&amp; "ncia:  Observacion:  Placa padre: Tipo adquisicion: Entidad"</f>
        <v>Descripcion: ATRIL. Aatril portasuero en pintura electrostatica, debe contar con sistema portasuero minimo para dos bolsas de 50ml con varilla graduable,con rodachines Estado: Bueno Placa anterior: 000031463 Material: METALICO Color: BEIGE, CROMADO Referencia:  Observacion:  Placa padre: Tipo adquisicion: Entidad</v>
      </c>
      <c r="G4002" s="5" t="str">
        <f>"121-01"</f>
        <v>121-01</v>
      </c>
    </row>
    <row r="4003" spans="1:7" ht="58.5" customHeight="1" x14ac:dyDescent="0.25">
      <c r="A4003" s="5" t="str">
        <f>"H0011591"</f>
        <v>H0011591</v>
      </c>
      <c r="B4003" s="5" t="str">
        <f>"ESCALERILLA DE 2 PASOS"</f>
        <v>ESCALERILLA DE 2 PASOS</v>
      </c>
      <c r="C4003" s="6">
        <v>100000</v>
      </c>
      <c r="D4003" s="5" t="s">
        <v>49</v>
      </c>
      <c r="E4003" s="5" t="str">
        <f t="shared" si="189"/>
        <v>ACTISALUD- SALA DE PARTOS-MARIA AUXILIADORA PERTUZ</v>
      </c>
      <c r="F4003" s="5" t="str">
        <f>"Descripcion: ESCALERILLA DE DOS PASO EN TUBO REDONDO Estado: Bueno Placa anterior: 000029975 Material: METALICO CON PASOS EN MADERA Color: BLANCO Referencia:  Observacion:  Placa padre: Tipo adquisicion: Entidad"</f>
        <v>Descripcion: ESCALERILLA DE DOS PASO EN TUBO REDONDO Estado: Bueno Placa anterior: 000029975 Material: METALICO CON PASOS EN MADERA Color: BLANCO Referencia:  Observacion:  Placa padre: Tipo adquisicion: Entidad</v>
      </c>
      <c r="G4003" s="5"/>
    </row>
    <row r="4004" spans="1:7" ht="58.5" customHeight="1" x14ac:dyDescent="0.25">
      <c r="A4004" s="5" t="str">
        <f>"H0011592"</f>
        <v>H0011592</v>
      </c>
      <c r="B4004" s="5" t="str">
        <f>"MONITOR DE SIGNOS VITALES"</f>
        <v>MONITOR DE SIGNOS VITALES</v>
      </c>
      <c r="C4004" s="6">
        <v>4002000</v>
      </c>
      <c r="D4004" s="5" t="s">
        <v>166</v>
      </c>
      <c r="E4004" s="5" t="str">
        <f t="shared" si="189"/>
        <v>ACTISALUD- SALA DE PARTOS-MARIA AUXILIADORA PERTUZ</v>
      </c>
      <c r="F4004"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000031411 Material: PLASTICO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000031411 Material: PLASTICO Color: BLANCO Referencia:  Observacion:  Placa padre: Tipo adquisicion: Entidad</v>
      </c>
      <c r="G4004" s="5" t="str">
        <f>"IMEC 10"</f>
        <v>IMEC 10</v>
      </c>
    </row>
    <row r="4005" spans="1:7" ht="58.5" customHeight="1" x14ac:dyDescent="0.25">
      <c r="A4005" s="5" t="str">
        <f>"H0011593"</f>
        <v>H0011593</v>
      </c>
      <c r="B4005" s="5" t="str">
        <f>"BASE PARA MONITOR DE SIGNOS VITALES"</f>
        <v>BASE PARA MONITOR DE SIGNOS VITALES</v>
      </c>
      <c r="C4005" s="6">
        <v>859560</v>
      </c>
      <c r="D4005" s="5" t="s">
        <v>345</v>
      </c>
      <c r="E4005" s="5" t="str">
        <f t="shared" si="189"/>
        <v>ACTISALUD- SALA DE PARTOS-MARIA AUXILIADORA PERTUZ</v>
      </c>
      <c r="F4005" s="5" t="str">
        <f>"Descripcion: BASE RODANTE PARA MONITORES DE SIGNOS VITALES MCA W.A. CODIGO L2091 CON CANASTILLA Estado: Bueno Placa anterior: 000030026 Material: METALICO  Color: BLANCO Referencia:  Observacion:  Placa padre: Tipo adquisicion: Entidad"</f>
        <v>Descripcion: BASE RODANTE PARA MONITORES DE SIGNOS VITALES MCA W.A. CODIGO L2091 CON CANASTILLA Estado: Bueno Placa anterior: 000030026 Material: METALICO  Color: BLANCO Referencia:  Observacion:  Placa padre: Tipo adquisicion: Entidad</v>
      </c>
      <c r="G4005" s="5"/>
    </row>
    <row r="4006" spans="1:7" ht="58.5" customHeight="1" x14ac:dyDescent="0.25">
      <c r="A4006" s="5" t="str">
        <f>"H0011595"</f>
        <v>H0011595</v>
      </c>
      <c r="B4006" s="5" t="str">
        <f>"MESA DE NOCHE"</f>
        <v>MESA DE NOCHE</v>
      </c>
      <c r="C4006" s="6">
        <v>8389.34</v>
      </c>
      <c r="D4006" s="5"/>
      <c r="E4006" s="5" t="str">
        <f t="shared" si="189"/>
        <v>ACTISALUD- SALA DE PARTOS-MARIA AUXILIADORA PERTUZ</v>
      </c>
      <c r="F4006" s="5" t="str">
        <f>"Descripcion: MESA DE NOCHE EN ACERO Estado: Bueno Placa anterior: 000027528 Material: ACERO INOXIDABLE Color:  Referencia:  Observacion:  Placa padre: Tipo adquisicion: Entidad"</f>
        <v>Descripcion: MESA DE NOCHE EN ACERO Estado: Bueno Placa anterior: 000027528 Material: ACERO INOXIDABLE Color:  Referencia:  Observacion:  Placa padre: Tipo adquisicion: Entidad</v>
      </c>
      <c r="G4006" s="5"/>
    </row>
    <row r="4007" spans="1:7" ht="58.5" customHeight="1" x14ac:dyDescent="0.25">
      <c r="A4007" s="5" t="str">
        <f>"H0011600"</f>
        <v>H0011600</v>
      </c>
      <c r="B4007" s="5" t="str">
        <f>"MESA DE NOCHE"</f>
        <v>MESA DE NOCHE</v>
      </c>
      <c r="C4007" s="6">
        <v>8389.34</v>
      </c>
      <c r="D4007" s="5"/>
      <c r="E4007" s="5" t="str">
        <f t="shared" si="189"/>
        <v>ACTISALUD- SALA DE PARTOS-MARIA AUXILIADORA PERTUZ</v>
      </c>
      <c r="F4007" s="5" t="str">
        <f>"Descripcion: MESA DE NOCHE EN ACERO Estado: Bueno Placa anterior: 000012440 Material: ACERO INOXIDABLE Color:  Referencia:  Observacion:  Placa padre: Tipo adquisicion: Entidad"</f>
        <v>Descripcion: MESA DE NOCHE EN ACERO Estado: Bueno Placa anterior: 000012440 Material: ACERO INOXIDABLE Color:  Referencia:  Observacion:  Placa padre: Tipo adquisicion: Entidad</v>
      </c>
      <c r="G4007" s="5"/>
    </row>
    <row r="4008" spans="1:7" ht="58.5" customHeight="1" x14ac:dyDescent="0.25">
      <c r="A4008" s="5" t="str">
        <f>"H0011604"</f>
        <v>H0011604</v>
      </c>
      <c r="B4008" s="5" t="str">
        <f>"MESA DE NOCHE"</f>
        <v>MESA DE NOCHE</v>
      </c>
      <c r="C4008" s="6">
        <v>327586</v>
      </c>
      <c r="D4008" s="5"/>
      <c r="E4008" s="5" t="str">
        <f t="shared" si="189"/>
        <v>ACTISALUD- SALA DE PARTOS-MARIA AUXILIADORA PERTUZ</v>
      </c>
      <c r="F4008" s="5" t="str">
        <f>"Descripcion: MESA DE NOCHE EN ACERO Estado: Bueno Placa anterior: 000032982 Material: ACERO INOXIDABLE Color:  Referencia:  Observacion:  Placa padre: Tipo adquisicion: Entidad"</f>
        <v>Descripcion: MESA DE NOCHE EN ACERO Estado: Bueno Placa anterior: 000032982 Material: ACERO INOXIDABLE Color:  Referencia:  Observacion:  Placa padre: Tipo adquisicion: Entidad</v>
      </c>
      <c r="G4008" s="5"/>
    </row>
    <row r="4009" spans="1:7" ht="58.5" customHeight="1" x14ac:dyDescent="0.25">
      <c r="A4009" s="5" t="str">
        <f>"H0011606"</f>
        <v>H0011606</v>
      </c>
      <c r="B4009" s="5" t="str">
        <f>"ATRIL PORTASUERO MOVIL"</f>
        <v>ATRIL PORTASUERO MOVIL</v>
      </c>
      <c r="C4009" s="6">
        <v>145000</v>
      </c>
      <c r="D4009" s="5" t="s">
        <v>166</v>
      </c>
      <c r="E4009" s="5" t="str">
        <f t="shared" si="189"/>
        <v>ACTISALUD- SALA DE PARTOS-MARIA AUXILIADORA PERTUZ</v>
      </c>
      <c r="F4009" s="5" t="str">
        <f>"Descripcion: ATRIL. Aatril portasuero en pintura electrostatica, debe contar con sistema portasuero minimo para dos bolsas de 50ml con varilla graduable,con rodachines Estado: Bueno Placa anterior: 000031461 Material: METALICO Color: BEIGE, CROMADO Refere"&amp; "ncia:  Observacion:  Placa padre: Tipo adquisicion: Entidad"</f>
        <v>Descripcion: ATRIL. Aatril portasuero en pintura electrostatica, debe contar con sistema portasuero minimo para dos bolsas de 50ml con varilla graduable,con rodachines Estado: Bueno Placa anterior: 000031461 Material: METALICO Color: BEIGE, CROMADO Referencia:  Observacion:  Placa padre: Tipo adquisicion: Entidad</v>
      </c>
      <c r="G4009" s="5" t="str">
        <f>"121-01"</f>
        <v>121-01</v>
      </c>
    </row>
    <row r="4010" spans="1:7" ht="58.5" customHeight="1" x14ac:dyDescent="0.25">
      <c r="A4010" s="5" t="str">
        <f>"H0011607"</f>
        <v>H0011607</v>
      </c>
      <c r="B4010" s="5" t="str">
        <f>"ESCALERILLA DE 2 PASOS"</f>
        <v>ESCALERILLA DE 2 PASOS</v>
      </c>
      <c r="C4010" s="6">
        <v>4455</v>
      </c>
      <c r="D4010" s="5"/>
      <c r="E4010" s="5" t="str">
        <f t="shared" si="189"/>
        <v>ACTISALUD- SALA DE PARTOS-MARIA AUXILIADORA PERTUZ</v>
      </c>
      <c r="F4010" s="5" t="str">
        <f>"Descripcion: ESCALERA DE DOS PASOS Estado: Bueno Placa anterior: 000005683 Material: METALICO CON PASOS PLASTICOS Color: BLANCO Referencia:  Observacion: PLACA ANTERIOR NO ENCONTRADA 000029976 AUTORIZADO CONCILIAR EN CRUCE GENERAL Placa padre: Tipo adquis"&amp; "icion: Entidad"</f>
        <v>Descripcion: ESCALERA DE DOS PASOS Estado: Bueno Placa anterior: 000005683 Material: METALICO CON PASOS PLASTICOS Color: BLANCO Referencia:  Observacion: PLACA ANTERIOR NO ENCONTRADA 000029976 AUTORIZADO CONCILIAR EN CRUCE GENERAL Placa padre: Tipo adquisicion: Entidad</v>
      </c>
      <c r="G4010" s="5"/>
    </row>
    <row r="4011" spans="1:7" ht="58.5" customHeight="1" x14ac:dyDescent="0.25">
      <c r="A4011" s="5" t="str">
        <f>"H0011611"</f>
        <v>H0011611</v>
      </c>
      <c r="B4011" s="5" t="str">
        <f>"CAMILLA DE TRASLADO CON BARANDAS"</f>
        <v>CAMILLA DE TRASLADO CON BARANDAS</v>
      </c>
      <c r="C4011" s="6">
        <v>1066050</v>
      </c>
      <c r="D4011" s="5"/>
      <c r="E4011" s="5" t="str">
        <f t="shared" si="189"/>
        <v>ACTISALUD- SALA DE PARTOS-MARIA AUXILIADORA PERTUZ</v>
      </c>
      <c r="F4011" s="5" t="str">
        <f>"Descripcion: CAMILLA DE RECUPERACION , TRASLADO CON BARANDAS Estado: Bueno Placa anterior: 000014839 Material: METALICO Color: GRIS Referencia:  Observacion:  Placa padre: Tipo adquisicion: Entidad"</f>
        <v>Descripcion: CAMILLA DE RECUPERACION , TRASLADO CON BARANDAS Estado: Bueno Placa anterior: 000014839 Material: METALICO Color: GRIS Referencia:  Observacion:  Placa padre: Tipo adquisicion: Entidad</v>
      </c>
      <c r="G4011" s="5"/>
    </row>
    <row r="4012" spans="1:7" ht="58.5" customHeight="1" x14ac:dyDescent="0.25">
      <c r="A4012" s="5" t="str">
        <f>"H0011612"</f>
        <v>H0011612</v>
      </c>
      <c r="B4012" s="5" t="str">
        <f>"CAMILLA DE TRASLADO CON BARANDAS"</f>
        <v>CAMILLA DE TRASLADO CON BARANDAS</v>
      </c>
      <c r="C4012" s="6">
        <v>6598797</v>
      </c>
      <c r="D4012" s="5" t="s">
        <v>286</v>
      </c>
      <c r="E4012" s="5" t="str">
        <f t="shared" si="189"/>
        <v>ACTISALUD- SALA DE PARTOS-MARIA AUXILIADORA PERTUZ</v>
      </c>
      <c r="F4012" s="5" t="str">
        <f>"Descripcion:  CAMILLA DE RECUPERACION Y TRANSPORTE Estado: Bueno Placa anterior: 000038898 Material: METALICO Color: GRIS CON BEIGE Referencia:  Observacion:  Placa padre: Tipo adquisicion: Entidad"</f>
        <v>Descripcion:  CAMILLA DE RECUPERACION Y TRANSPORTE Estado: Bueno Placa anterior: 000038898 Material: METALICO Color: GRIS CON BEIGE Referencia:  Observacion:  Placa padre: Tipo adquisicion: Entidad</v>
      </c>
      <c r="G4012" s="5" t="str">
        <f>"C-374 BDA V"</f>
        <v>C-374 BDA V</v>
      </c>
    </row>
    <row r="4013" spans="1:7" ht="58.5" customHeight="1" x14ac:dyDescent="0.25">
      <c r="A4013" s="5" t="str">
        <f>"H0011613"</f>
        <v>H0011613</v>
      </c>
      <c r="B4013" s="5" t="str">
        <f>"CAMILLA DE TRASLADO CON BARANDAS"</f>
        <v>CAMILLA DE TRASLADO CON BARANDAS</v>
      </c>
      <c r="C4013" s="6">
        <v>6598797</v>
      </c>
      <c r="D4013" s="5" t="s">
        <v>286</v>
      </c>
      <c r="E4013" s="5" t="str">
        <f t="shared" si="189"/>
        <v>ACTISALUD- SALA DE PARTOS-MARIA AUXILIADORA PERTUZ</v>
      </c>
      <c r="F4013" s="5" t="str">
        <f>"Descripcion:  CAMILLA DE RECUPERACION Y TRANSPORTE Estado: Bueno Placa anterior: 000038899 Material: METALICO Color: GRIS CON BEIGE Referencia:  Observacion:  Placa padre: Tipo adquisicion: Entidad"</f>
        <v>Descripcion:  CAMILLA DE RECUPERACION Y TRANSPORTE Estado: Bueno Placa anterior: 000038899 Material: METALICO Color: GRIS CON BEIGE Referencia:  Observacion:  Placa padre: Tipo adquisicion: Entidad</v>
      </c>
      <c r="G4013" s="5"/>
    </row>
    <row r="4014" spans="1:7" ht="58.5" customHeight="1" x14ac:dyDescent="0.25">
      <c r="A4014" s="5" t="str">
        <f>"H0011614"</f>
        <v>H0011614</v>
      </c>
      <c r="B4014" s="5" t="str">
        <f>"CAMILLA DE TRASLADO CON BARANDAS"</f>
        <v>CAMILLA DE TRASLADO CON BARANDAS</v>
      </c>
      <c r="C4014" s="6">
        <v>6598797</v>
      </c>
      <c r="D4014" s="5" t="s">
        <v>286</v>
      </c>
      <c r="E4014" s="5" t="str">
        <f t="shared" si="189"/>
        <v>ACTISALUD- SALA DE PARTOS-MARIA AUXILIADORA PERTUZ</v>
      </c>
      <c r="F4014" s="5" t="str">
        <f>"Descripcion:  CAMILLA DE RECUPERACION Y TRANSPORTE Estado: Bueno Placa anterior: 000038900 Material: METALICO Color: GRIS CON BEIGE Referencia:  Observacion:  Placa padre: Tipo adquisicion: Entidad"</f>
        <v>Descripcion:  CAMILLA DE RECUPERACION Y TRANSPORTE Estado: Bueno Placa anterior: 000038900 Material: METALICO Color: GRIS CON BEIGE Referencia:  Observacion:  Placa padre: Tipo adquisicion: Entidad</v>
      </c>
      <c r="G4014" s="5" t="str">
        <f>"C-374 BDA V"</f>
        <v>C-374 BDA V</v>
      </c>
    </row>
    <row r="4015" spans="1:7" ht="58.5" customHeight="1" x14ac:dyDescent="0.25">
      <c r="A4015" s="5" t="str">
        <f>"H0011617"</f>
        <v>H0011617</v>
      </c>
      <c r="B4015" s="5" t="str">
        <f>"BIOMBO METALICO DE 3 CUERPOS"</f>
        <v>BIOMBO METALICO DE 3 CUERPOS</v>
      </c>
      <c r="C4015" s="6">
        <v>307400</v>
      </c>
      <c r="D4015" s="5" t="s">
        <v>166</v>
      </c>
      <c r="E4015" s="5" t="str">
        <f t="shared" si="189"/>
        <v>ACTISALUD- SALA DE PARTOS-MARIA AUXILIADORA PERTUZ</v>
      </c>
      <c r="F4015" s="5" t="str">
        <f>"Descripcion: BIOMBOS. Debe contenero como minimo 3 cuerpos en material lavable -antifluido, fabricado en tubo redondo de 1.25x1.80 de altura con 5 patas y tapones de caucho Estado: Bueno Placa anterior: 000031486 Material: METALICO Color: BEIGE Referencia"&amp; ":  Observacion:  Placa padre: Tipo adquisicion: Entidad"</f>
        <v>Descripcion: BIOMBOS. Debe contenero como minimo 3 cuerpos en material lavable -antifluido, fabricado en tubo redondo de 1.25x1.80 de altura con 5 patas y tapones de caucho Estado: Bueno Placa anterior: 000031486 Material: METALICO Color: BEIGE Referencia:  Observacion:  Placa padre: Tipo adquisicion: Entidad</v>
      </c>
      <c r="G4015" s="5" t="str">
        <f>"101-13"</f>
        <v>101-13</v>
      </c>
    </row>
    <row r="4016" spans="1:7" ht="58.5" customHeight="1" x14ac:dyDescent="0.25">
      <c r="A4016" s="5" t="str">
        <f>"H0011619"</f>
        <v>H0011619</v>
      </c>
      <c r="B4016" s="5" t="str">
        <f>"BIOMBO METALICO DE 3 CUERPOS"</f>
        <v>BIOMBO METALICO DE 3 CUERPOS</v>
      </c>
      <c r="C4016" s="6">
        <v>307400</v>
      </c>
      <c r="D4016" s="5" t="s">
        <v>166</v>
      </c>
      <c r="E4016" s="5" t="str">
        <f t="shared" si="189"/>
        <v>ACTISALUD- SALA DE PARTOS-MARIA AUXILIADORA PERTUZ</v>
      </c>
      <c r="F4016" s="5" t="str">
        <f>"Descripcion: BIOMBOS. Debe contenero como minimo 3 cuerpos en material lavable -antifluido, fabricado en tubo redondo de 1.25x1.80 de altura con 5 patas y tapones de caucho Estado: Bueno Placa anterior: 000031487 Material: METALICO Color: BEIGE Referencia"&amp; ":  Observacion:  Placa padre: Tipo adquisicion: Entidad"</f>
        <v>Descripcion: BIOMBOS. Debe contenero como minimo 3 cuerpos en material lavable -antifluido, fabricado en tubo redondo de 1.25x1.80 de altura con 5 patas y tapones de caucho Estado: Bueno Placa anterior: 000031487 Material: METALICO Color: BEIGE Referencia:  Observacion:  Placa padre: Tipo adquisicion: Entidad</v>
      </c>
      <c r="G4016" s="5" t="str">
        <f>"101-13"</f>
        <v>101-13</v>
      </c>
    </row>
    <row r="4017" spans="1:7" ht="58.5" customHeight="1" x14ac:dyDescent="0.25">
      <c r="A4017" s="5" t="str">
        <f>"H0011621"</f>
        <v>H0011621</v>
      </c>
      <c r="B4017" s="5" t="str">
        <f>"SILLA INTERLOCUTORA (FIJA) SIN BRAZOS"</f>
        <v>SILLA INTERLOCUTORA (FIJA) SIN BRAZOS</v>
      </c>
      <c r="C4017" s="6">
        <v>8833.02</v>
      </c>
      <c r="D4017" s="5"/>
      <c r="E4017" s="5" t="str">
        <f t="shared" si="189"/>
        <v>ACTISALUD- SALA DE PARTOS-MARIA AUXILIADORA PERTUZ</v>
      </c>
      <c r="F4017" s="5" t="str">
        <f>"Descripcion: SILLA FIJA TIPO A COLOR MARRON Estado: Regular Placa anterior: 000012386 Material: METALICO TAPIZADO Color: MARRON Referencia:  Observacion:  Placa padre: Tipo adquisicion: Entidad"</f>
        <v>Descripcion: SILLA FIJA TIPO A COLOR MARRON Estado: Regular Placa anterior: 000012386 Material: METALICO TAPIZADO Color: MARRON Referencia:  Observacion:  Placa padre: Tipo adquisicion: Entidad</v>
      </c>
      <c r="G4017" s="5"/>
    </row>
    <row r="4018" spans="1:7" ht="58.5" customHeight="1" x14ac:dyDescent="0.25">
      <c r="A4018" s="5" t="str">
        <f>"H0011623"</f>
        <v>H0011623</v>
      </c>
      <c r="B4018" s="5" t="str">
        <f>"MESA (CARRO) DE CURACIONES"</f>
        <v>MESA (CARRO) DE CURACIONES</v>
      </c>
      <c r="C4018" s="6">
        <v>11880</v>
      </c>
      <c r="D4018" s="5"/>
      <c r="E4018" s="5" t="str">
        <f t="shared" si="189"/>
        <v>ACTISALUD- SALA DE PARTOS-MARIA AUXILIADORA PERTUZ</v>
      </c>
      <c r="F4018" s="5" t="str">
        <f>"Descripcion: MESA (CARRO) DE CURACIONES Estado: Bueno Placa anterior: 000012445 Material: METALICO, ACERO INOX. Color: BEIGE Referencia:  Observacion:  Placa padre: Tipo adquisicion: Entidad"</f>
        <v>Descripcion: MESA (CARRO) DE CURACIONES Estado: Bueno Placa anterior: 000012445 Material: METALICO, ACERO INOX. Color: BEIGE Referencia:  Observacion:  Placa padre: Tipo adquisicion: Entidad</v>
      </c>
      <c r="G4018" s="5"/>
    </row>
    <row r="4019" spans="1:7" ht="58.5" customHeight="1" x14ac:dyDescent="0.25">
      <c r="A4019" s="5" t="str">
        <f>"H0011625"</f>
        <v>H0011625</v>
      </c>
      <c r="B4019" s="5" t="str">
        <f>"LAVAMANOS QUIRURGICO 2 PUESTOS"</f>
        <v>LAVAMANOS QUIRURGICO 2 PUESTOS</v>
      </c>
      <c r="C4019" s="6">
        <v>100000</v>
      </c>
      <c r="D4019" s="5"/>
      <c r="E4019" s="5" t="str">
        <f t="shared" si="189"/>
        <v>ACTISALUD- SALA DE PARTOS-MARIA AUXILIADORA PERTUZ</v>
      </c>
      <c r="F4019" s="5" t="str">
        <f>"Descripcion: LAVAMANOS QUIRURGICOS DOBLE Estado: Bueno Placa anterior: 000013788 Material: ACERO INOXIDABLE Color:  Referencia:  Observacion:  Placa padre: Tipo adquisicion: Entidad"</f>
        <v>Descripcion: LAVAMANOS QUIRURGICOS DOBLE Estado: Bueno Placa anterior: 000013788 Material: ACERO INOXIDABLE Color:  Referencia:  Observacion:  Placa padre: Tipo adquisicion: Entidad</v>
      </c>
      <c r="G4019" s="5"/>
    </row>
    <row r="4020" spans="1:7" ht="58.5" customHeight="1" x14ac:dyDescent="0.25">
      <c r="A4020" s="5" t="str">
        <f>"H0011626"</f>
        <v>H0011626</v>
      </c>
      <c r="B4020" s="5" t="str">
        <f>"CARRO DE PARO"</f>
        <v>CARRO DE PARO</v>
      </c>
      <c r="C4020" s="6">
        <v>3000004</v>
      </c>
      <c r="D4020" s="5"/>
      <c r="E4020" s="5" t="str">
        <f t="shared" si="189"/>
        <v>ACTISALUD- SALA DE PARTOS-MARIA AUXILIADORA PERTUZ</v>
      </c>
      <c r="F4020" s="5" t="str">
        <f>"Descripcion: CARRO DE PARO IND. NAL. CON SUS ACCESORIOS Estado: Bueno Placa anterior: 000025876 Material: METALICO Color: BEIGE Referencia:  Observacion:  Placa padre: Tipo adquisicion: Entidad"</f>
        <v>Descripcion: CARRO DE PARO IND. NAL. CON SUS ACCESORIOS Estado: Bueno Placa anterior: 000025876 Material: METALICO Color: BEIGE Referencia:  Observacion:  Placa padre: Tipo adquisicion: Entidad</v>
      </c>
      <c r="G4020" s="5"/>
    </row>
    <row r="4021" spans="1:7" ht="58.5" customHeight="1" x14ac:dyDescent="0.25">
      <c r="A4021" s="5" t="str">
        <f>"H0011633"</f>
        <v>H0011633</v>
      </c>
      <c r="B4021" s="5" t="str">
        <f>"EXTINTOR POLVO QUIMICO SECO DE 20LBS ABC"</f>
        <v>EXTINTOR POLVO QUIMICO SECO DE 20LBS ABC</v>
      </c>
      <c r="C4021" s="6">
        <v>165000</v>
      </c>
      <c r="D4021" s="5"/>
      <c r="E4021" s="5" t="str">
        <f t="shared" si="189"/>
        <v>ACTISALUD- SALA DE PARTOS-MARIA AUXILIADORA PERTUZ</v>
      </c>
      <c r="F4021" s="5" t="str">
        <f>"Descripcion: EXTINTOR AC BLANCO 20 LBS Estado: Bueno Placa anterior: 000012374 Material: METALICO Color: BLANCO Referencia:  Observacion:  Placa padre: Tipo adquisicion: Entidad"</f>
        <v>Descripcion: EXTINTOR AC BLANCO 20 LBS Estado: Bueno Placa anterior: 000012374 Material: METALICO Color: BLANCO Referencia:  Observacion:  Placa padre: Tipo adquisicion: Entidad</v>
      </c>
      <c r="G4021" s="5"/>
    </row>
    <row r="4022" spans="1:7" ht="58.5" customHeight="1" x14ac:dyDescent="0.25">
      <c r="A4022" s="5" t="str">
        <f>"H0011637"</f>
        <v>H0011637</v>
      </c>
      <c r="B4022" s="5" t="str">
        <f>"MESA (CARRO) DE CURACIONES"</f>
        <v>MESA (CARRO) DE CURACIONES</v>
      </c>
      <c r="C4022" s="6">
        <v>11880</v>
      </c>
      <c r="D4022" s="5"/>
      <c r="E4022" s="5" t="str">
        <f t="shared" si="189"/>
        <v>ACTISALUD- SALA DE PARTOS-MARIA AUXILIADORA PERTUZ</v>
      </c>
      <c r="F4022" s="5" t="str">
        <f>"Descripcion: MESA (CARRO) DE CURACIONES Estado: Bueno Placa anterior: 000012251 Material: METALICO, ACERO INOX. Color: GRIS Referencia:  Observacion:  Placa padre: Tipo adquisicion: Entidad"</f>
        <v>Descripcion: MESA (CARRO) DE CURACIONES Estado: Bueno Placa anterior: 000012251 Material: METALICO, ACERO INOX. Color: GRIS Referencia:  Observacion:  Placa padre: Tipo adquisicion: Entidad</v>
      </c>
      <c r="G4022" s="5"/>
    </row>
    <row r="4023" spans="1:7" ht="58.5" customHeight="1" x14ac:dyDescent="0.25">
      <c r="A4023" s="5" t="str">
        <f>"H0011643"</f>
        <v>H0011643</v>
      </c>
      <c r="B4023" s="5" t="str">
        <f>"ATRIL PORTASUERO MOVIL"</f>
        <v>ATRIL PORTASUERO MOVIL</v>
      </c>
      <c r="C4023" s="6">
        <v>145000</v>
      </c>
      <c r="D4023" s="5" t="s">
        <v>166</v>
      </c>
      <c r="E4023" s="5" t="str">
        <f t="shared" si="189"/>
        <v>ACTISALUD- SALA DE PARTOS-MARIA AUXILIADORA PERTUZ</v>
      </c>
      <c r="F4023" s="5" t="str">
        <f>"Descripcion: ATRIL. Aatril portasuero en pintura electrostatica, debe contar con sistema portasuero minimo para dos bolsas de 50ml con varilla graduable,con rodachines Estado: Bueno Placa anterior: 000031466 Material: METALICO, Color: BEIGE CROMADO Refere"&amp; "ncia:  Observacion:  Placa padre: Tipo adquisicion: Entidad"</f>
        <v>Descripcion: ATRIL. Aatril portasuero en pintura electrostatica, debe contar con sistema portasuero minimo para dos bolsas de 50ml con varilla graduable,con rodachines Estado: Bueno Placa anterior: 000031466 Material: METALICO, Color: BEIGE CROMADO Referencia:  Observacion:  Placa padre: Tipo adquisicion: Entidad</v>
      </c>
      <c r="G4023" s="5" t="str">
        <f>"121-01"</f>
        <v>121-01</v>
      </c>
    </row>
    <row r="4024" spans="1:7" ht="58.5" customHeight="1" x14ac:dyDescent="0.25">
      <c r="A4024" s="5" t="str">
        <f>"H0011645"</f>
        <v>H0011645</v>
      </c>
      <c r="B4024" s="5" t="str">
        <f>"SILLA INTERLOCUTORA (FIJA) SIN BRAZOS"</f>
        <v>SILLA INTERLOCUTORA (FIJA) SIN BRAZOS</v>
      </c>
      <c r="C4024" s="6">
        <v>8833.02</v>
      </c>
      <c r="D4024" s="5"/>
      <c r="E4024" s="5" t="str">
        <f t="shared" si="189"/>
        <v>ACTISALUD- SALA DE PARTOS-MARIA AUXILIADORA PERTUZ</v>
      </c>
      <c r="F4024" s="5" t="str">
        <f>"Descripcion: SILLA INTERLOCUTORA (FIJA) SIN BRAZOS Estado: Regular Placa anterior: 000027591 Material: METALICO CON TAPIZADO Color: MARRON Referencia:  Observacion:  Placa padre: Tipo adquisicion: Entidad"</f>
        <v>Descripcion: SILLA INTERLOCUTORA (FIJA) SIN BRAZOS Estado: Regular Placa anterior: 000027591 Material: METALICO CON TAPIZADO Color: MARRON Referencia:  Observacion:  Placa padre: Tipo adquisicion: Entidad</v>
      </c>
      <c r="G4024" s="5"/>
    </row>
    <row r="4025" spans="1:7" ht="58.5" customHeight="1" x14ac:dyDescent="0.25">
      <c r="A4025" s="5" t="str">
        <f>"H0011647"</f>
        <v>H0011647</v>
      </c>
      <c r="B4025" s="5" t="str">
        <f>"BUTACO GIRATORIO SIN RUEDAS"</f>
        <v>BUTACO GIRATORIO SIN RUEDAS</v>
      </c>
      <c r="C4025" s="6">
        <v>211120</v>
      </c>
      <c r="D4025" s="5"/>
      <c r="E4025" s="5" t="str">
        <f t="shared" si="189"/>
        <v>ACTISALUD- SALA DE PARTOS-MARIA AUXILIADORA PERTUZ</v>
      </c>
      <c r="F4025" s="5" t="str">
        <f>"Descripcion: BUTACO GIRATORIO SIN RUEDAS (ANTES SILLA ERGONOMICA BP 02 (COLM OPERATIVA)) Estado: Bueno Placa anterior: 000025321 Material: PLASTICO CON TAPIZADO Color: NEGRO Referencia:  Observacion:  Placa padre: Tipo adquisicion: Entidad"</f>
        <v>Descripcion: BUTACO GIRATORIO SIN RUEDAS (ANTES SILLA ERGONOMICA BP 02 (COLM OPERATIVA)) Estado: Bueno Placa anterior: 000025321 Material: PLASTICO CON TAPIZADO Color: NEGRO Referencia:  Observacion:  Placa padre: Tipo adquisicion: Entidad</v>
      </c>
      <c r="G4025" s="5"/>
    </row>
    <row r="4026" spans="1:7" ht="58.5" customHeight="1" x14ac:dyDescent="0.25">
      <c r="A4026" s="5" t="str">
        <f>"H0011651"</f>
        <v>H0011651</v>
      </c>
      <c r="B4026" s="5" t="str">
        <f>"CARRO PARA TRANSPORTE BALA DE OXIGENO"</f>
        <v>CARRO PARA TRANSPORTE BALA DE OXIGENO</v>
      </c>
      <c r="C4026" s="6">
        <v>4097.5</v>
      </c>
      <c r="D4026" s="5"/>
      <c r="E4026" s="5" t="str">
        <f t="shared" si="189"/>
        <v>ACTISALUD- SALA DE PARTOS-MARIA AUXILIADORA PERTUZ</v>
      </c>
      <c r="F4026" s="5" t="str">
        <f>"Descripcion: CARRO PARA TRANSPORTE BALA DE OXIGENO PEQUEÑO Estado: Bueno Placa anterior: 000012373 Material: METALICO Color: CROMADO Referencia:  Observacion:  Placa padre: Tipo adquisicion: Entidad"</f>
        <v>Descripcion: CARRO PARA TRANSPORTE BALA DE OXIGENO PEQUEÑO Estado: Bueno Placa anterior: 000012373 Material: METALICO Color: CROMADO Referencia:  Observacion:  Placa padre: Tipo adquisicion: Entidad</v>
      </c>
      <c r="G4026" s="5"/>
    </row>
    <row r="4027" spans="1:7" ht="58.5" customHeight="1" x14ac:dyDescent="0.25">
      <c r="A4027" s="5" t="str">
        <f>"H0011652"</f>
        <v>H0011652</v>
      </c>
      <c r="B4027" s="5" t="str">
        <f>"BIOMBO METALICO DE 3 CUERPOS"</f>
        <v>BIOMBO METALICO DE 3 CUERPOS</v>
      </c>
      <c r="C4027" s="6">
        <v>307400</v>
      </c>
      <c r="D4027" s="5" t="s">
        <v>166</v>
      </c>
      <c r="E4027" s="5" t="str">
        <f t="shared" si="189"/>
        <v>ACTISALUD- SALA DE PARTOS-MARIA AUXILIADORA PERTUZ</v>
      </c>
      <c r="F4027" s="5" t="str">
        <f>"Descripcion: BIOMBOS. Debe contenero como minimo 3 cuerpos en material lavable -antifluido, fabricado en tubo redondo de 1.25x1.80 de altura con 5 patas y tapones de caucho Estado: Bueno Placa anterior: 000031485 Material: METALICO Color: BEIGE Referencia"&amp; ":  Observacion:  Placa padre: Tipo adquisicion: Entidad"</f>
        <v>Descripcion: BIOMBOS. Debe contenero como minimo 3 cuerpos en material lavable -antifluido, fabricado en tubo redondo de 1.25x1.80 de altura con 5 patas y tapones de caucho Estado: Bueno Placa anterior: 000031485 Material: METALICO Color: BEIGE Referencia:  Observacion:  Placa padre: Tipo adquisicion: Entidad</v>
      </c>
      <c r="G4027" s="5" t="str">
        <f>"101-13"</f>
        <v>101-13</v>
      </c>
    </row>
    <row r="4028" spans="1:7" ht="58.5" customHeight="1" x14ac:dyDescent="0.25">
      <c r="A4028" s="5" t="str">
        <f>"H0011654"</f>
        <v>H0011654</v>
      </c>
      <c r="B4028" s="5" t="str">
        <f>"ESCALERILLA DE 2 PASOS"</f>
        <v>ESCALERILLA DE 2 PASOS</v>
      </c>
      <c r="C4028" s="6">
        <v>4070</v>
      </c>
      <c r="D4028" s="5"/>
      <c r="E4028" s="5" t="str">
        <f t="shared" si="189"/>
        <v>ACTISALUD- SALA DE PARTOS-MARIA AUXILIADORA PERTUZ</v>
      </c>
      <c r="F4028" s="5" t="str">
        <f>"Descripcion: ESCALERA DE DOS PASOS Estado: Bueno Placa anterior: 000027824 Material: METALICO CON PASOS EN MADERA Color: GRIS CON NEGRO Referencia:  Observacion:  Placa padre: Tipo adquisicion: Entidad"</f>
        <v>Descripcion: ESCALERA DE DOS PASOS Estado: Bueno Placa anterior: 000027824 Material: METALICO CON PASOS EN MADERA Color: GRIS CON NEGRO Referencia:  Observacion:  Placa padre: Tipo adquisicion: Entidad</v>
      </c>
      <c r="G4028" s="5"/>
    </row>
    <row r="4029" spans="1:7" ht="58.5" customHeight="1" x14ac:dyDescent="0.25">
      <c r="A4029" s="5" t="str">
        <f>"H0011655"</f>
        <v>H0011655</v>
      </c>
      <c r="B4029" s="5" t="str">
        <f>"LAMPARA CIELITICA"</f>
        <v>LAMPARA CIELITICA</v>
      </c>
      <c r="C4029" s="6">
        <v>44999999</v>
      </c>
      <c r="D4029" s="5" t="s">
        <v>63</v>
      </c>
      <c r="E4029" s="5" t="str">
        <f t="shared" si="189"/>
        <v>ACTISALUD- SALA DE PARTOS-MARIA AUXILIADORA PERTUZ</v>
      </c>
      <c r="F4029" s="5" t="str">
        <f>"Descripcion: LAMPARA CIELITICA MARCA BENQ REF. LED 75 DE DE DOS SATELITE, SISTEMA DE LEDS, CON MANGO ESTERILIZABLE EN CADA SAT, MONTADA SOBRE BASES DE ANCLAJE CIELITICO DE ROTACION 360* TIEMPOD E VIDA DE LOS LESD 50.0000 HORAS VOLTAJE DE ENTRADAS 120VAC F"&amp; "RECUENCIA 60 Estado: Bueno Placa anterior: 000037994 Material: METALICO Y PLASTICO Color: BEIGE CON AZUL Referencia:  Observacion:  Placa padre: Tipo adquisicion: Entidad"</f>
        <v>Descripcion: LAMPARA CIELITICA MARCA BENQ REF. LED 75 DE DE DOS SATELITE, SISTEMA DE LEDS, CON MANGO ESTERILIZABLE EN CADA SAT, MONTADA SOBRE BASES DE ANCLAJE CIELITICO DE ROTACION 360* TIEMPOD E VIDA DE LOS LESD 50.0000 HORAS VOLTAJE DE ENTRADAS 120VAC FRECUENCIA 60 Estado: Bueno Placa anterior: 000037994 Material: METALICO Y PLASTICO Color: BEIGE CON AZUL Referencia:  Observacion:  Placa padre: Tipo adquisicion: Entidad</v>
      </c>
      <c r="G4029" s="5" t="str">
        <f>"TRILITELED S600-750"</f>
        <v>TRILITELED S600-750</v>
      </c>
    </row>
    <row r="4030" spans="1:7" ht="58.5" customHeight="1" x14ac:dyDescent="0.25">
      <c r="A4030" s="5" t="str">
        <f>"H0011665"</f>
        <v>H0011665</v>
      </c>
      <c r="B4030" s="5" t="str">
        <f>"MESA (CARRO) DE CURACIONES"</f>
        <v>MESA (CARRO) DE CURACIONES</v>
      </c>
      <c r="C4030" s="6">
        <v>11880</v>
      </c>
      <c r="D4030" s="5"/>
      <c r="E4030" s="5" t="str">
        <f t="shared" si="189"/>
        <v>ACTISALUD- SALA DE PARTOS-MARIA AUXILIADORA PERTUZ</v>
      </c>
      <c r="F4030" s="5" t="str">
        <f>"Descripcion: MESA (CARRO) DE CURACIONES ACERO INOX. Estado: Bueno Placa anterior: 000027579 Material: ACERO INOXIDABLE Color:  Referencia:  Observacion:  Placa padre: Tipo adquisicion: Entidad"</f>
        <v>Descripcion: MESA (CARRO) DE CURACIONES ACERO INOX. Estado: Bueno Placa anterior: 000027579 Material: ACERO INOXIDABLE Color:  Referencia:  Observacion:  Placa padre: Tipo adquisicion: Entidad</v>
      </c>
      <c r="G4030" s="5"/>
    </row>
    <row r="4031" spans="1:7" ht="58.5" customHeight="1" x14ac:dyDescent="0.25">
      <c r="A4031" s="5" t="str">
        <f>"H0011667"</f>
        <v>H0011667</v>
      </c>
      <c r="B4031" s="5" t="str">
        <f>"MESA QUIRURGICA"</f>
        <v>MESA QUIRURGICA</v>
      </c>
      <c r="C4031" s="6">
        <v>32000004</v>
      </c>
      <c r="D4031" s="5"/>
      <c r="E4031" s="5" t="str">
        <f t="shared" si="189"/>
        <v>ACTISALUD- SALA DE PARTOS-MARIA AUXILIADORA PERTUZ</v>
      </c>
      <c r="F4031" s="5" t="str">
        <f>"Descripcion: MESA DE CIRUGIA UNIVERSAL CON ACCESORIOS Estado: Bueno Placa anterior: 000025922 Material: METALICO Color: BEIGE CROMADO Referencia:  Observacion:  Placa padre: Tipo adquisicion: Entidad"</f>
        <v>Descripcion: MESA DE CIRUGIA UNIVERSAL CON ACCESORIOS Estado: Bueno Placa anterior: 000025922 Material: METALICO Color: BEIGE CROMADO Referencia:  Observacion:  Placa padre: Tipo adquisicion: Entidad</v>
      </c>
      <c r="G4031" s="5" t="str">
        <f>"0T600A"</f>
        <v>0T600A</v>
      </c>
    </row>
    <row r="4032" spans="1:7" ht="58.5" customHeight="1" x14ac:dyDescent="0.25">
      <c r="A4032" s="5" t="str">
        <f>"H0011670"</f>
        <v>H0011670</v>
      </c>
      <c r="B4032" s="5" t="str">
        <f>"NEGATOSCOPIO"</f>
        <v>NEGATOSCOPIO</v>
      </c>
      <c r="C4032" s="6">
        <v>14917.5</v>
      </c>
      <c r="D4032" s="5"/>
      <c r="E4032" s="5" t="str">
        <f t="shared" si="189"/>
        <v>ACTISALUD- SALA DE PARTOS-MARIA AUXILIADORA PERTUZ</v>
      </c>
      <c r="F4032" s="5" t="str">
        <f>"Descripcion: NEGATOSCOPIO DE 2 CUERPOS Estado: Bueno Placa anterior: 000014666 Material: METALICO Color: BLANCO Referencia:  Observacion: EL BIEN TIENE PLACA ANTERIOR  000027747 AUTORIZADO CONCILIAR EN CRUCE GENERAL Placa padre: Tipo adquisicion: Entidad"</f>
        <v>Descripcion: NEGATOSCOPIO DE 2 CUERPOS Estado: Bueno Placa anterior: 000014666 Material: METALICO Color: BLANCO Referencia:  Observacion: EL BIEN TIENE PLACA ANTERIOR  000027747 AUTORIZADO CONCILIAR EN CRUCE GENERAL Placa padre: Tipo adquisicion: Entidad</v>
      </c>
      <c r="G4032" s="5"/>
    </row>
    <row r="4033" spans="1:7" ht="58.5" customHeight="1" x14ac:dyDescent="0.25">
      <c r="A4033" s="5" t="str">
        <f>"H0011673"</f>
        <v>H0011673</v>
      </c>
      <c r="B4033" s="5" t="str">
        <f>"LAMPARA CIELITICA"</f>
        <v>LAMPARA CIELITICA</v>
      </c>
      <c r="C4033" s="6">
        <v>44999999</v>
      </c>
      <c r="D4033" s="5" t="s">
        <v>63</v>
      </c>
      <c r="E4033" s="5" t="str">
        <f t="shared" si="189"/>
        <v>ACTISALUD- SALA DE PARTOS-MARIA AUXILIADORA PERTUZ</v>
      </c>
      <c r="F4033" s="5" t="str">
        <f>"Descripcion: LAMPARA CIELITICA MARCA BENQ REF. LED 75 DE DE DOS SATELITE, SISTEMA DE LEDS, CON MANGO ESTERILIZABLE EN CADA SAT, MONTADA SOBRE BASES DE ANCLAJE CIELITICO DE ROTACION 360* TIEMPOD E VIDA DE LOS LESD 50.0000 HORAS VOLTAJE DE ENTRADAS 120VAC F"&amp; "RECUENCIA 60 Estado: Bueno Placa anterior: 000037993 Material: METALICO Color: BEIGE CON AZUL Referencia:  Observacion:  Placa padre: Tipo adquisicion: Entidad"</f>
        <v>Descripcion: LAMPARA CIELITICA MARCA BENQ REF. LED 75 DE DE DOS SATELITE, SISTEMA DE LEDS, CON MANGO ESTERILIZABLE EN CADA SAT, MONTADA SOBRE BASES DE ANCLAJE CIELITICO DE ROTACION 360* TIEMPOD E VIDA DE LOS LESD 50.0000 HORAS VOLTAJE DE ENTRADAS 120VAC FRECUENCIA 60 Estado: Bueno Placa anterior: 000037993 Material: METALICO Color: BEIGE CON AZUL Referencia:  Observacion:  Placa padre: Tipo adquisicion: Entidad</v>
      </c>
      <c r="G4033" s="5" t="str">
        <f>"TRILITELED S600-750"</f>
        <v>TRILITELED S600-750</v>
      </c>
    </row>
    <row r="4034" spans="1:7" ht="58.5" customHeight="1" x14ac:dyDescent="0.25">
      <c r="A4034" s="5" t="str">
        <f>"H0011675"</f>
        <v>H0011675</v>
      </c>
      <c r="B4034" s="5" t="str">
        <f>"SILLA ERGONOMICA TIPO SECRETARIA SIN BRAZOS"</f>
        <v>SILLA ERGONOMICA TIPO SECRETARIA SIN BRAZOS</v>
      </c>
      <c r="C4034" s="6">
        <v>211120</v>
      </c>
      <c r="D4034" s="5"/>
      <c r="E4034" s="5" t="str">
        <f t="shared" si="189"/>
        <v>ACTISALUD- SALA DE PARTOS-MARIA AUXILIADORA PERTUZ</v>
      </c>
      <c r="F4034" s="5" t="str">
        <f>"Descripcion: SILLA ERGONOMICA AT 02 (TA-SECRETARIAL) Estado: Regular Placa anterior: 000025279 Material: PLASTICO Y TAPIZADO EN ASIENTO Color: NEGRO Referencia:  Observacion:  Placa padre: Tipo adquisicion: Entidad"</f>
        <v>Descripcion: SILLA ERGONOMICA AT 02 (TA-SECRETARIAL) Estado: Regular Placa anterior: 000025279 Material: PLASTICO Y TAPIZADO EN ASIENTO Color: NEGRO Referencia:  Observacion:  Placa padre: Tipo adquisicion: Entidad</v>
      </c>
      <c r="G4034" s="5"/>
    </row>
    <row r="4035" spans="1:7" ht="58.5" customHeight="1" x14ac:dyDescent="0.25">
      <c r="A4035" s="5" t="str">
        <f>"H0011677"</f>
        <v>H0011677</v>
      </c>
      <c r="B4035" s="5" t="str">
        <f>"VITRINA DE 2 CUERPOS"</f>
        <v>VITRINA DE 2 CUERPOS</v>
      </c>
      <c r="C4035" s="6">
        <v>13849</v>
      </c>
      <c r="D4035" s="5"/>
      <c r="E4035" s="5" t="str">
        <f t="shared" si="189"/>
        <v>ACTISALUD- SALA DE PARTOS-MARIA AUXILIADORA PERTUZ</v>
      </c>
      <c r="F4035" s="5" t="str">
        <f>"Descripcion: BIBLIOTECA METALICA 2 CUERPOS 3 ENTREPAÑOS PUERTAS CORREDIZAS Estado: Bueno Placa anterior: 000014886 Material: METALICO, VIDRIO Color: GRIS Referencia:  Observacion:  Placa padre: Tipo adquisicion: Entidad"</f>
        <v>Descripcion: BIBLIOTECA METALICA 2 CUERPOS 3 ENTREPAÑOS PUERTAS CORREDIZAS Estado: Bueno Placa anterior: 000014886 Material: METALICO, VIDRIO Color: GRIS Referencia:  Observacion:  Placa padre: Tipo adquisicion: Entidad</v>
      </c>
      <c r="G4035" s="5"/>
    </row>
    <row r="4036" spans="1:7" ht="58.5" customHeight="1" x14ac:dyDescent="0.25">
      <c r="A4036" s="5" t="str">
        <f>"H0011678"</f>
        <v>H0011678</v>
      </c>
      <c r="B4036" s="5" t="str">
        <f>"SILLON (SOFA)"</f>
        <v>SILLON (SOFA)</v>
      </c>
      <c r="C4036" s="6">
        <v>21400</v>
      </c>
      <c r="D4036" s="5"/>
      <c r="E4036" s="5" t="str">
        <f t="shared" si="189"/>
        <v>ACTISALUD- SALA DE PARTOS-MARIA AUXILIADORA PERTUZ</v>
      </c>
      <c r="F4036" s="5" t="str">
        <f>"Descripcion: SOFA MADERA DE 3 PUESTOS COLOR NEGRO Estado: Malo Placa anterior: 000022838 Material: MADERA, TAPIZADO Color: NEGRO Referencia:  Observacion:  Placa padre: Tipo adquisicion: Entidad"</f>
        <v>Descripcion: SOFA MADERA DE 3 PUESTOS COLOR NEGRO Estado: Malo Placa anterior: 000022838 Material: MADERA, TAPIZADO Color: NEGRO Referencia:  Observacion:  Placa padre: Tipo adquisicion: Entidad</v>
      </c>
      <c r="G4036" s="5"/>
    </row>
    <row r="4037" spans="1:7" ht="58.5" customHeight="1" x14ac:dyDescent="0.25">
      <c r="A4037" s="5" t="str">
        <f>"H0011681"</f>
        <v>H0011681</v>
      </c>
      <c r="B4037" s="5" t="str">
        <f>"VENTILADOR DE PARED"</f>
        <v>VENTILADOR DE PARED</v>
      </c>
      <c r="C4037" s="6">
        <v>74000</v>
      </c>
      <c r="D4037" s="5" t="s">
        <v>53</v>
      </c>
      <c r="E4037" s="5" t="str">
        <f t="shared" si="189"/>
        <v>ACTISALUD- SALA DE PARTOS-MARIA AUXILIADORA PERTUZ</v>
      </c>
      <c r="F4037" s="5" t="str">
        <f>"Descripcion: VENTILADOR DE PARED SAMURAI Estado: Bueno Placa anterior: 000032576 Material: PLASTICO Color: BLANCO Referencia:  Observacion:  Placa padre: Tipo adquisicion: Entidad"</f>
        <v>Descripcion: VENTILADOR DE PARED SAMURAI Estado: Bueno Placa anterior: 000032576 Material: PLASTICO Color: BLANCO Referencia:  Observacion:  Placa padre: Tipo adquisicion: Entidad</v>
      </c>
      <c r="G4037" s="5" t="str">
        <f>"NEW MAX AIR"</f>
        <v>NEW MAX AIR</v>
      </c>
    </row>
    <row r="4038" spans="1:7" ht="58.5" customHeight="1" x14ac:dyDescent="0.25">
      <c r="A4038" s="5" t="str">
        <f>"H0011683"</f>
        <v>H0011683</v>
      </c>
      <c r="B4038" s="5" t="str">
        <f>"NEVERA DE 66 LTS"</f>
        <v>NEVERA DE 66 LTS</v>
      </c>
      <c r="C4038" s="6">
        <v>475600</v>
      </c>
      <c r="D4038" s="5"/>
      <c r="E4038" s="5" t="str">
        <f t="shared" si="189"/>
        <v>ACTISALUD- SALA DE PARTOS-MARIA AUXILIADORA PERTUZ</v>
      </c>
      <c r="F4038" s="5" t="str">
        <f>"Descripcion: NEVERA MCA PHILIPS ESTANDAR Estado: Bueno Placa anterior: 000012413 Material: METALICO Color: BEIGE Referencia:  Observacion:  Placa padre: Tipo adquisicion: Entidad"</f>
        <v>Descripcion: NEVERA MCA PHILIPS ESTANDAR Estado: Bueno Placa anterior: 000012413 Material: METALICO Color: BEIGE Referencia:  Observacion:  Placa padre: Tipo adquisicion: Entidad</v>
      </c>
      <c r="G4038" s="5"/>
    </row>
    <row r="4039" spans="1:7" ht="58.5" customHeight="1" x14ac:dyDescent="0.25">
      <c r="A4039" s="5" t="str">
        <f>"H0011684"</f>
        <v>H0011684</v>
      </c>
      <c r="B4039" s="5" t="str">
        <f>"LOCKER DE 1 COMPARTIMIENTO"</f>
        <v>LOCKER DE 1 COMPARTIMIENTO</v>
      </c>
      <c r="C4039" s="6">
        <v>2189</v>
      </c>
      <c r="D4039" s="5"/>
      <c r="E4039" s="5" t="str">
        <f t="shared" si="189"/>
        <v>ACTISALUD- SALA DE PARTOS-MARIA AUXILIADORA PERTUZ</v>
      </c>
      <c r="F4039" s="5" t="str">
        <f>"Descripcion: LOCKER TIPO D (1 PUESTO) Estado: Bueno Placa anterior: 000012428 Material: METALICO  Color: GRIS Referencia:  Observacion:  Placa padre: Tipo adquisicion: Entidad"</f>
        <v>Descripcion: LOCKER TIPO D (1 PUESTO) Estado: Bueno Placa anterior: 000012428 Material: METALICO  Color: GRIS Referencia:  Observacion:  Placa padre: Tipo adquisicion: Entidad</v>
      </c>
      <c r="G4039" s="5"/>
    </row>
    <row r="4040" spans="1:7" ht="58.5" customHeight="1" x14ac:dyDescent="0.25">
      <c r="A4040" s="5" t="str">
        <f>"H0011688"</f>
        <v>H0011688</v>
      </c>
      <c r="B4040" s="5" t="str">
        <f>"LOCKER DE 2 COMPARTIMIENTOS"</f>
        <v>LOCKER DE 2 COMPARTIMIENTOS</v>
      </c>
      <c r="C4040" s="6">
        <v>10384</v>
      </c>
      <c r="D4040" s="5"/>
      <c r="E4040" s="5" t="str">
        <f t="shared" si="189"/>
        <v>ACTISALUD- SALA DE PARTOS-MARIA AUXILIADORA PERTUZ</v>
      </c>
      <c r="F4040" s="5" t="str">
        <f>"Descripcion: LOCKER TIPO C (2 PUESTOS) Estado: Bueno Placa anterior: 000013823 Material: METALICO Color: GRIS Referencia:  Observacion:  Placa padre: Tipo adquisicion: Entidad"</f>
        <v>Descripcion: LOCKER TIPO C (2 PUESTOS) Estado: Bueno Placa anterior: 000013823 Material: METALICO Color: GRIS Referencia:  Observacion:  Placa padre: Tipo adquisicion: Entidad</v>
      </c>
      <c r="G4040" s="5"/>
    </row>
    <row r="4041" spans="1:7" ht="58.5" customHeight="1" x14ac:dyDescent="0.25">
      <c r="A4041" s="5" t="str">
        <f>"H0011691"</f>
        <v>H0011691</v>
      </c>
      <c r="B4041" s="5" t="str">
        <f>"LOCKER DE 6 COMPARTIMIENTOS"</f>
        <v>LOCKER DE 6 COMPARTIMIENTOS</v>
      </c>
      <c r="C4041" s="6">
        <v>28685.55</v>
      </c>
      <c r="D4041" s="5"/>
      <c r="E4041" s="5" t="str">
        <f t="shared" si="189"/>
        <v>ACTISALUD- SALA DE PARTOS-MARIA AUXILIADORA PERTUZ</v>
      </c>
      <c r="F4041" s="5" t="str">
        <f>"Descripcion: LOCKER TIPO A(6 PUESTOS METALICO) Estado: Bueno Placa anterior: 000013824 Material: METALICO Color: GRIS Referencia:  Observacion:  Placa padre: Tipo adquisicion: Entidad"</f>
        <v>Descripcion: LOCKER TIPO A(6 PUESTOS METALICO) Estado: Bueno Placa anterior: 000013824 Material: METALICO Color: GRIS Referencia:  Observacion:  Placa padre: Tipo adquisicion: Entidad</v>
      </c>
      <c r="G4041" s="5"/>
    </row>
    <row r="4042" spans="1:7" ht="58.5" customHeight="1" x14ac:dyDescent="0.25">
      <c r="A4042" s="5" t="str">
        <f>"H0011693"</f>
        <v>H0011693</v>
      </c>
      <c r="B4042" s="5" t="str">
        <f>"LOCKER DE 1 COMPARTIMIENTO"</f>
        <v>LOCKER DE 1 COMPARTIMIENTO</v>
      </c>
      <c r="C4042" s="6">
        <v>2189</v>
      </c>
      <c r="D4042" s="5"/>
      <c r="E4042" s="5" t="str">
        <f t="shared" si="189"/>
        <v>ACTISALUD- SALA DE PARTOS-MARIA AUXILIADORA PERTUZ</v>
      </c>
      <c r="F4042" s="5" t="str">
        <f>"Descripcion: LOCKER TIPO D (1 PUESTO) Estado: Bueno Placa anterior: 000012434 Material: METALICO Color: GRIS Referencia:  Observacion:  Placa padre: Tipo adquisicion: Entidad"</f>
        <v>Descripcion: LOCKER TIPO D (1 PUESTO) Estado: Bueno Placa anterior: 000012434 Material: METALICO Color: GRIS Referencia:  Observacion:  Placa padre: Tipo adquisicion: Entidad</v>
      </c>
      <c r="G4042" s="5"/>
    </row>
    <row r="4043" spans="1:7" ht="58.5" customHeight="1" x14ac:dyDescent="0.25">
      <c r="A4043" s="5" t="str">
        <f>"H0011707"</f>
        <v>H0011707</v>
      </c>
      <c r="B4043" s="5" t="str">
        <f>"ESCALERA DE 1 PASO"</f>
        <v>ESCALERA DE 1 PASO</v>
      </c>
      <c r="C4043" s="6">
        <v>3080</v>
      </c>
      <c r="D4043" s="5"/>
      <c r="E4043" s="5" t="str">
        <f t="shared" si="189"/>
        <v>ACTISALUD- SALA DE PARTOS-MARIA AUXILIADORA PERTUZ</v>
      </c>
      <c r="F4043" s="5" t="str">
        <f>"Descripcion: ESCALERA DE UN PASO  Estado: Bueno Placa anterior: 000015080 Material: METALICO Color: GRIS Referencia:  Observacion: AUTORIZADO CONCILIAR EN CRUCE GENERAL Placa padre: Tipo adquisicion: Entidad"</f>
        <v>Descripcion: ESCALERA DE UN PASO  Estado: Bueno Placa anterior: 000015080 Material: METALICO Color: GRIS Referencia:  Observacion: AUTORIZADO CONCILIAR EN CRUCE GENERAL Placa padre: Tipo adquisicion: Entidad</v>
      </c>
      <c r="G4043" s="5"/>
    </row>
    <row r="4044" spans="1:7" ht="58.5" customHeight="1" x14ac:dyDescent="0.25">
      <c r="A4044" s="5" t="str">
        <f>"H0011708"</f>
        <v>H0011708</v>
      </c>
      <c r="B4044" s="5" t="str">
        <f>"ESCALERA DE 1 PASO"</f>
        <v>ESCALERA DE 1 PASO</v>
      </c>
      <c r="C4044" s="6">
        <v>5034</v>
      </c>
      <c r="D4044" s="5"/>
      <c r="E4044" s="5" t="str">
        <f t="shared" si="189"/>
        <v>ACTISALUD- SALA DE PARTOS-MARIA AUXILIADORA PERTUZ</v>
      </c>
      <c r="F4044" s="5" t="str">
        <f>"Descripcion: ESCALERA DE UN PASO  Estado: Bueno Placa anterior: 000019807 Material: METALICO Color: GRIS Referencia:  Observacion: AUTORIZADO CONCILIAR EN CRUCE GENERAL Placa padre: Tipo adquisicion: Entidad"</f>
        <v>Descripcion: ESCALERA DE UN PASO  Estado: Bueno Placa anterior: 000019807 Material: METALICO Color: GRIS Referencia:  Observacion: AUTORIZADO CONCILIAR EN CRUCE GENERAL Placa padre: Tipo adquisicion: Entidad</v>
      </c>
      <c r="G4044" s="5"/>
    </row>
    <row r="4045" spans="1:7" ht="58.5" customHeight="1" x14ac:dyDescent="0.25">
      <c r="A4045" s="5" t="str">
        <f>"H0011711"</f>
        <v>H0011711</v>
      </c>
      <c r="B4045" s="5" t="str">
        <f>"SILLA INTERLOCUTORA (FIJA) SIN BRAZOS"</f>
        <v>SILLA INTERLOCUTORA (FIJA) SIN BRAZOS</v>
      </c>
      <c r="C4045" s="6">
        <v>8833.02</v>
      </c>
      <c r="D4045" s="5"/>
      <c r="E4045" s="5" t="str">
        <f t="shared" si="189"/>
        <v>ACTISALUD- SALA DE PARTOS-MARIA AUXILIADORA PERTUZ</v>
      </c>
      <c r="F4045" s="5" t="str">
        <f>"Descripcion: SILLA INTERLOCUTORA (FIJA) SIN BRAZOS MARRON Estado: Malo Placa anterior: 000012310 Material: METALICO CON TAPIZADO Color: MARRON Referencia:  Observacion:  Placa padre: Tipo adquisicion: Entidad"</f>
        <v>Descripcion: SILLA INTERLOCUTORA (FIJA) SIN BRAZOS MARRON Estado: Malo Placa anterior: 000012310 Material: METALICO CON TAPIZADO Color: MARRON Referencia:  Observacion:  Placa padre: Tipo adquisicion: Entidad</v>
      </c>
      <c r="G4045" s="5"/>
    </row>
    <row r="4046" spans="1:7" ht="58.5" customHeight="1" x14ac:dyDescent="0.25">
      <c r="A4046" s="5" t="str">
        <f>"H0011712"</f>
        <v>H0011712</v>
      </c>
      <c r="B4046" s="5" t="str">
        <f>"BUTACO"</f>
        <v>BUTACO</v>
      </c>
      <c r="C4046" s="6">
        <v>6930</v>
      </c>
      <c r="D4046" s="5"/>
      <c r="E4046" s="5" t="str">
        <f t="shared" si="189"/>
        <v>ACTISALUD- SALA DE PARTOS-MARIA AUXILIADORA PERTUZ</v>
      </c>
      <c r="F4046" s="5" t="str">
        <f>"Descripcion: BUTACO PLASTICO Estado: Bueno Placa anterior: 000012446 Material: PLASTICO Color: BLANCO Referencia:  Observacion:  Placa padre: Tipo adquisicion: Entidad"</f>
        <v>Descripcion: BUTACO PLASTICO Estado: Bueno Placa anterior: 000012446 Material: PLASTICO Color: BLANCO Referencia:  Observacion:  Placa padre: Tipo adquisicion: Entidad</v>
      </c>
      <c r="G4046" s="5"/>
    </row>
    <row r="4047" spans="1:7" ht="58.5" customHeight="1" x14ac:dyDescent="0.25">
      <c r="A4047" s="5" t="str">
        <f>"H0011720"</f>
        <v>H0011720</v>
      </c>
      <c r="B4047" s="5" t="str">
        <f>"INCUBADORA ABIERTA (LAMPARA DE CALOR RADIANTE)"</f>
        <v>INCUBADORA ABIERTA (LAMPARA DE CALOR RADIANTE)</v>
      </c>
      <c r="C4047" s="6">
        <v>16008000</v>
      </c>
      <c r="D4047" s="5" t="s">
        <v>347</v>
      </c>
      <c r="E4047" s="5" t="str">
        <f t="shared" si="189"/>
        <v>ACTISALUD- SALA DE PARTOS-MARIA AUXILIADORA PERTUZ</v>
      </c>
      <c r="F4047" s="5" t="str">
        <f>"Descripcion: LAMPARA CALOR RADIANTE abierta sevocontrolada con luz de examen tipo led con altura ajustable sensor cuitaneo colchoneta inclinacion de la cuna trendelemburg de facil transporte sistemas de ruedas con freno conexion electrica de 120c y frecue"&amp; "ncia de 60hz Estado: Bueno Placa anterior: 000030526 Material: METALICO Color: BEIGE CON AZUL Referencia:  Observacion:  Placa padre: Tipo adquisicion: Entidad"</f>
        <v>Descripcion: LAMPARA CALOR RADIANTE abierta sevocontrolada con luz de examen tipo led con altura ajustable sensor cuitaneo colchoneta inclinacion de la cuna trendelemburg de facil transporte sistemas de ruedas con freno conexion electrica de 120c y frecuencia de 60hz Estado: Bueno Placa anterior: 000030526 Material: METALICO Color: BEIGE CON AZUL Referencia:  Observacion:  Placa padre: Tipo adquisicion: Entidad</v>
      </c>
      <c r="G4047" s="5" t="str">
        <f>"HKN93B"</f>
        <v>HKN93B</v>
      </c>
    </row>
    <row r="4048" spans="1:7" ht="58.5" customHeight="1" x14ac:dyDescent="0.25">
      <c r="A4048" s="5" t="str">
        <f>"H0011731"</f>
        <v>H0011731</v>
      </c>
      <c r="B4048" s="5" t="str">
        <f>"MESA (CARRO) DE CURACIONES"</f>
        <v>MESA (CARRO) DE CURACIONES</v>
      </c>
      <c r="C4048" s="6">
        <v>11880</v>
      </c>
      <c r="D4048" s="5"/>
      <c r="E4048" s="5" t="str">
        <f t="shared" si="189"/>
        <v>ACTISALUD- SALA DE PARTOS-MARIA AUXILIADORA PERTUZ</v>
      </c>
      <c r="F4048" s="5" t="str">
        <f>"Descripcion: MESA (CARRO) DE CURACIONES Estado: Bueno Placa anterior: 000012379 Material: METALICO, ACERO INOX. Color: GRIS Referencia:  Observacion:  Placa padre: Tipo adquisicion: Entidad"</f>
        <v>Descripcion: MESA (CARRO) DE CURACIONES Estado: Bueno Placa anterior: 000012379 Material: METALICO, ACERO INOX. Color: GRIS Referencia:  Observacion:  Placa padre: Tipo adquisicion: Entidad</v>
      </c>
      <c r="G4048" s="5"/>
    </row>
    <row r="4049" spans="1:7" ht="58.5" customHeight="1" x14ac:dyDescent="0.25">
      <c r="A4049" s="5" t="str">
        <f>"H0011732"</f>
        <v>H0011732</v>
      </c>
      <c r="B4049" s="5" t="str">
        <f>"SUCCIONADOR (DONACION)"</f>
        <v>SUCCIONADOR (DONACION)</v>
      </c>
      <c r="C4049" s="6">
        <v>50000</v>
      </c>
      <c r="D4049" s="5"/>
      <c r="E4049" s="5" t="str">
        <f t="shared" si="189"/>
        <v>ACTISALUD- SALA DE PARTOS-MARIA AUXILIADORA PERTUZ</v>
      </c>
      <c r="F4049" s="5" t="str">
        <f>"Descripcion: CARRO DE SUCCION PORTATIL Estado: Bueno Placa anterior: 000000122 Material: METALICO Color: GRIS CON AZUL Referencia:  Observacion:  Placa padre: Tipo adquisicion: Entidad"</f>
        <v>Descripcion: CARRO DE SUCCION PORTATIL Estado: Bueno Placa anterior: 000000122 Material: METALICO Color: GRIS CON AZUL Referencia:  Observacion:  Placa padre: Tipo adquisicion: Entidad</v>
      </c>
      <c r="G4049" s="5" t="str">
        <f>"2150X"</f>
        <v>2150X</v>
      </c>
    </row>
    <row r="4050" spans="1:7" ht="58.5" customHeight="1" x14ac:dyDescent="0.25">
      <c r="A4050" s="5" t="str">
        <f>"H0011734"</f>
        <v>H0011734</v>
      </c>
      <c r="B4050" s="5" t="str">
        <f>"DESFRIBILADOR"</f>
        <v>DESFRIBILADOR</v>
      </c>
      <c r="C4050" s="6">
        <v>11041750</v>
      </c>
      <c r="D4050" s="5" t="s">
        <v>348</v>
      </c>
      <c r="E4050" s="5" t="str">
        <f t="shared" si="189"/>
        <v>ACTISALUD- SALA DE PARTOS-MARIA AUXILIADORA PERTUZ</v>
      </c>
      <c r="F4050" s="5" t="str">
        <f>"Descripcion: DESFIBRILADOR (CON OPCION O INCLUSION DE IMPRESION) Estado: Bueno Placa anterior: 000030507 Material: METALICO Color: GRIS CON BEIGE Referencia:  Observacion:  Placa padre: Tipo adquisicion: Entidad"</f>
        <v>Descripcion: DESFIBRILADOR (CON OPCION O INCLUSION DE IMPRESION) Estado: Bueno Placa anterior: 000030507 Material: METALICO Color: GRIS CON BEIGE Referencia:  Observacion:  Placa padre: Tipo adquisicion: Entidad</v>
      </c>
      <c r="G4050" s="5" t="str">
        <f>"BENEHEART D3"</f>
        <v>BENEHEART D3</v>
      </c>
    </row>
    <row r="4051" spans="1:7" ht="58.5" customHeight="1" x14ac:dyDescent="0.25">
      <c r="A4051" s="5" t="str">
        <f>"H0011735"</f>
        <v>H0011735</v>
      </c>
      <c r="B4051" s="5" t="str">
        <f>"MESA (CARRO) DE CURACIONES"</f>
        <v>MESA (CARRO) DE CURACIONES</v>
      </c>
      <c r="C4051" s="6">
        <v>336400</v>
      </c>
      <c r="D4051" s="5" t="s">
        <v>161</v>
      </c>
      <c r="E4051" s="5" t="str">
        <f t="shared" si="189"/>
        <v>ACTISALUD- SALA DE PARTOS-MARIA AUXILIADORA PERTUZ</v>
      </c>
      <c r="F4051" s="5" t="str">
        <f>"Descripcion: MESA (CARRO) DE CURACIONES Estado: Bueno Placa anterior: 000031557 Material: METALICO Color: BLANCO Referencia:  Observacion:  Placa padre: Tipo adquisicion: Entidad"</f>
        <v>Descripcion: MESA (CARRO) DE CURACIONES Estado: Bueno Placa anterior: 000031557 Material: METALICO Color: BLANCO Referencia:  Observacion:  Placa padre: Tipo adquisicion: Entidad</v>
      </c>
      <c r="G4051" s="5"/>
    </row>
    <row r="4052" spans="1:7" ht="58.5" customHeight="1" x14ac:dyDescent="0.25">
      <c r="A4052" s="5" t="str">
        <f>"H0011740"</f>
        <v>H0011740</v>
      </c>
      <c r="B4052" s="5" t="str">
        <f>"MONITOR DE SIGNOS VITALES"</f>
        <v>MONITOR DE SIGNOS VITALES</v>
      </c>
      <c r="C4052" s="6">
        <v>4002000</v>
      </c>
      <c r="D4052" s="5" t="s">
        <v>166</v>
      </c>
      <c r="E4052" s="5" t="str">
        <f t="shared" si="189"/>
        <v>ACTISALUD- SALA DE PARTOS-MARIA AUXILIADORA PERTUZ</v>
      </c>
      <c r="F4052"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000031414 Material: PLASTICO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000031414 Material: PLASTICO Color: BLANCO Referencia:  Observacion:  Placa padre: Tipo adquisicion: Entidad</v>
      </c>
      <c r="G4052" s="5" t="str">
        <f>"IMEC10"</f>
        <v>IMEC10</v>
      </c>
    </row>
    <row r="4053" spans="1:7" ht="58.5" customHeight="1" x14ac:dyDescent="0.25">
      <c r="A4053" s="5" t="str">
        <f>"H0011742"</f>
        <v>H0011742</v>
      </c>
      <c r="B4053" s="5" t="str">
        <f>"BUTACO GIRATORIO SIN RUEDAS"</f>
        <v>BUTACO GIRATORIO SIN RUEDAS</v>
      </c>
      <c r="C4053" s="6">
        <v>211120</v>
      </c>
      <c r="D4053" s="5"/>
      <c r="E4053" s="5" t="str">
        <f t="shared" si="189"/>
        <v>ACTISALUD- SALA DE PARTOS-MARIA AUXILIADORA PERTUZ</v>
      </c>
      <c r="F4053" s="5" t="str">
        <f>"Descripcion: BUTACO GIRATORIO SIN RUEDAS (ANTES SILLA ERGONOMICA BP 02 (COLM OPERATIVA)) Estado: Bueno Placa anterior: 000025322 Material: PLASTICO Y TAPIZADO Color: NEGRO Referencia:  Observacion:  Placa padre: Tipo adquisicion: Entidad"</f>
        <v>Descripcion: BUTACO GIRATORIO SIN RUEDAS (ANTES SILLA ERGONOMICA BP 02 (COLM OPERATIVA)) Estado: Bueno Placa anterior: 000025322 Material: PLASTICO Y TAPIZADO Color: NEGRO Referencia:  Observacion:  Placa padre: Tipo adquisicion: Entidad</v>
      </c>
      <c r="G4053" s="5"/>
    </row>
    <row r="4054" spans="1:7" ht="58.5" customHeight="1" x14ac:dyDescent="0.25">
      <c r="A4054" s="5" t="str">
        <f>"H0011743"</f>
        <v>H0011743</v>
      </c>
      <c r="B4054" s="5" t="str">
        <f>"SILLA ERGONOMICA TIPO SECRETARIA SIN BRAZOS"</f>
        <v>SILLA ERGONOMICA TIPO SECRETARIA SIN BRAZOS</v>
      </c>
      <c r="C4054" s="6">
        <v>211120</v>
      </c>
      <c r="D4054" s="5"/>
      <c r="E4054" s="5" t="str">
        <f t="shared" si="189"/>
        <v>ACTISALUD- SALA DE PARTOS-MARIA AUXILIADORA PERTUZ</v>
      </c>
      <c r="F4054" s="5" t="str">
        <f>"Descripcion: SILLA ERGONOMICA AT 02 (TA-SECRETARIAL) Estado: Bueno Placa anterior: 000025262 Material: PLASTICO Y TAPIZADO Color: NEGRO Referencia:  Observacion:  Placa padre: Tipo adquisicion: Entidad"</f>
        <v>Descripcion: SILLA ERGONOMICA AT 02 (TA-SECRETARIAL) Estado: Bueno Placa anterior: 000025262 Material: PLASTICO Y TAPIZADO Color: NEGRO Referencia:  Observacion:  Placa padre: Tipo adquisicion: Entidad</v>
      </c>
      <c r="G4054" s="5"/>
    </row>
    <row r="4055" spans="1:7" ht="58.5" customHeight="1" x14ac:dyDescent="0.25">
      <c r="A4055" s="5" t="str">
        <f>"H0011751"</f>
        <v>H0011751</v>
      </c>
      <c r="B4055" s="5" t="str">
        <f>"FLUJOMETRO DOBLE"</f>
        <v>FLUJOMETRO DOBLE</v>
      </c>
      <c r="C4055" s="6">
        <v>365400</v>
      </c>
      <c r="D4055" s="5" t="s">
        <v>56</v>
      </c>
      <c r="E4055" s="5" t="str">
        <f t="shared" si="189"/>
        <v>ACTISALUD- SALA DE PARTOS-MARIA AUXILIADORA PERTUZ</v>
      </c>
      <c r="F4055" s="5" t="str">
        <f>"Descripcion: FLUJOMETRO DOBLE Estado: Bueno Placa anterior: 000031126 Material: METALICO, VIDRIO Color:  Referencia:  Observacion:  Placa padre: Tipo adquisicion: Entidad"</f>
        <v>Descripcion: FLUJOMETRO DOBLE Estado: Bueno Placa anterior: 000031126 Material: METALICO, VIDRIO Color:  Referencia:  Observacion:  Placa padre: Tipo adquisicion: Entidad</v>
      </c>
      <c r="G4055" s="5"/>
    </row>
    <row r="4056" spans="1:7" ht="58.5" customHeight="1" x14ac:dyDescent="0.25">
      <c r="A4056" s="5" t="str">
        <f>"H0011752"</f>
        <v>H0011752</v>
      </c>
      <c r="B4056" s="5" t="str">
        <f>"OXIMETRO"</f>
        <v>OXIMETRO</v>
      </c>
      <c r="C4056" s="6">
        <v>1300000</v>
      </c>
      <c r="D4056" s="5"/>
      <c r="E4056" s="5" t="str">
        <f t="shared" si="189"/>
        <v>ACTISALUD- SALA DE PARTOS-MARIA AUXILIADORA PERTUZ</v>
      </c>
      <c r="F4056" s="5" t="str">
        <f>"Descripcion: OXIMETRO DE PULSO MARCA MINDRAY Y MODELO PM, SISTEMA DE COBERTURA ABS ADULTO, PEDIATRICO, NEONATAL, DISPLAY DIGITAL Estado: Bueno Placa anterior: 000032991 Material: PLASTICO Color: AZUL Referencia:  Observacion:  Placa padre: Tipo adquisicio"&amp; "n: Entidad"</f>
        <v>Descripcion: OXIMETRO DE PULSO MARCA MINDRAY Y MODELO PM, SISTEMA DE COBERTURA ABS ADULTO, PEDIATRICO, NEONATAL, DISPLAY DIGITAL Estado: Bueno Placa anterior: 000032991 Material: PLASTICO Color: AZUL Referencia:  Observacion:  Placa padre: Tipo adquisicion: Entidad</v>
      </c>
      <c r="G4056" s="5" t="str">
        <f>"PM-50"</f>
        <v>PM-50</v>
      </c>
    </row>
    <row r="4057" spans="1:7" ht="58.5" customHeight="1" x14ac:dyDescent="0.25">
      <c r="A4057" s="5" t="str">
        <f>"H0011762"</f>
        <v>H0011762</v>
      </c>
      <c r="B4057" s="5" t="str">
        <f>"GABINETE CONTRA INCENDIO"</f>
        <v>GABINETE CONTRA INCENDIO</v>
      </c>
      <c r="C4057" s="6">
        <v>171000</v>
      </c>
      <c r="D4057" s="5"/>
      <c r="E4057" s="5" t="str">
        <f t="shared" ref="E4057:E4120" si="190">"ACTISALUD- SALA DE PARTOS-MARIA AUXILIADORA PERTUZ"</f>
        <v>ACTISALUD- SALA DE PARTOS-MARIA AUXILIADORA PERTUZ</v>
      </c>
      <c r="F4057" s="5" t="str">
        <f>"Descripcion: GABINETE CONTRA INCENDIO CONTIENE: EXTINTOR BLANCO, MANGUERA Y HACHA Estado: Bueno Placa anterior: 000019093 Material: METALICO  Color: ROJO Referencia:  Observacion:  Placa padre: Tipo adquisicion: Entidad"</f>
        <v>Descripcion: GABINETE CONTRA INCENDIO CONTIENE: EXTINTOR BLANCO, MANGUERA Y HACHA Estado: Bueno Placa anterior: 000019093 Material: METALICO  Color: ROJO Referencia:  Observacion:  Placa padre: Tipo adquisicion: Entidad</v>
      </c>
      <c r="G4057" s="5"/>
    </row>
    <row r="4058" spans="1:7" ht="58.5" customHeight="1" x14ac:dyDescent="0.25">
      <c r="A4058" s="5" t="str">
        <f>"H0011763"</f>
        <v>H0011763</v>
      </c>
      <c r="B4058" s="5" t="str">
        <f>"BUTACO"</f>
        <v>BUTACO</v>
      </c>
      <c r="C4058" s="6">
        <v>6930</v>
      </c>
      <c r="D4058" s="5"/>
      <c r="E4058" s="5" t="str">
        <f t="shared" si="190"/>
        <v>ACTISALUD- SALA DE PARTOS-MARIA AUXILIADORA PERTUZ</v>
      </c>
      <c r="F4058" s="5" t="str">
        <f>"Descripcion: BUTACO PLASTICO Estado: Bueno Placa anterior: 000027488 Material: PLASTICO Color: VERDE Referencia:  Observacion:  Placa padre: Tipo adquisicion: Entidad"</f>
        <v>Descripcion: BUTACO PLASTICO Estado: Bueno Placa anterior: 000027488 Material: PLASTICO Color: VERDE Referencia:  Observacion:  Placa padre: Tipo adquisicion: Entidad</v>
      </c>
      <c r="G4058" s="5"/>
    </row>
    <row r="4059" spans="1:7" ht="58.5" customHeight="1" x14ac:dyDescent="0.25">
      <c r="A4059" s="5" t="str">
        <f>"H0011765"</f>
        <v>H0011765</v>
      </c>
      <c r="B4059" s="5" t="str">
        <f>"ESCALERILLA DE 2 PASOS"</f>
        <v>ESCALERILLA DE 2 PASOS</v>
      </c>
      <c r="C4059" s="6">
        <v>4070</v>
      </c>
      <c r="D4059" s="5"/>
      <c r="E4059" s="5" t="str">
        <f t="shared" si="190"/>
        <v>ACTISALUD- SALA DE PARTOS-MARIA AUXILIADORA PERTUZ</v>
      </c>
      <c r="F4059" s="5" t="str">
        <f>"Descripcion: ESCALERA DE DOS PASOS Estado: Malo Placa anterior: 000027827 Material: METALICO CON PASOS EN MADERA  Color: VERDE CON BLANCO Referencia:  Observacion:  Placa padre: Tipo adquisicion: Entidad"</f>
        <v>Descripcion: ESCALERA DE DOS PASOS Estado: Malo Placa anterior: 000027827 Material: METALICO CON PASOS EN MADERA  Color: VERDE CON BLANCO Referencia:  Observacion:  Placa padre: Tipo adquisicion: Entidad</v>
      </c>
      <c r="G4059" s="5"/>
    </row>
    <row r="4060" spans="1:7" ht="58.5" customHeight="1" x14ac:dyDescent="0.25">
      <c r="A4060" s="5" t="str">
        <f>"H0011766"</f>
        <v>H0011766</v>
      </c>
      <c r="B4060" s="5" t="str">
        <f>"EXTINTOR DE AGUA A PRESION ACERO INOXIDABLE DE 2,58"</f>
        <v>EXTINTOR DE AGUA A PRESION ACERO INOXIDABLE DE 2,58</v>
      </c>
      <c r="C4060" s="6">
        <v>135000</v>
      </c>
      <c r="D4060" s="5"/>
      <c r="E4060" s="5" t="str">
        <f t="shared" si="190"/>
        <v>ACTISALUD- SALA DE PARTOS-MARIA AUXILIADORA PERTUZ</v>
      </c>
      <c r="F4060" s="5" t="str">
        <f>"Descripcion: EXTINTOR ABC ROJO Estado: Bueno Placa anterior: 000008771 Material: METALICO Color: ROJO Referencia:  Observacion:  Placa padre: Tipo adquisicion: Entidad"</f>
        <v>Descripcion: EXTINTOR ABC ROJO Estado: Bueno Placa anterior: 000008771 Material: METALICO Color: ROJO Referencia:  Observacion:  Placa padre: Tipo adquisicion: Entidad</v>
      </c>
      <c r="G4060" s="5"/>
    </row>
    <row r="4061" spans="1:7" ht="58.5" customHeight="1" x14ac:dyDescent="0.25">
      <c r="A4061" s="5" t="str">
        <f>"H0011767"</f>
        <v>H0011767</v>
      </c>
      <c r="B4061" s="5" t="str">
        <f>"CAMILLA DE TRASLADO CON BARANDAS"</f>
        <v>CAMILLA DE TRASLADO CON BARANDAS</v>
      </c>
      <c r="C4061" s="6">
        <v>1740000</v>
      </c>
      <c r="D4061" s="5"/>
      <c r="E4061" s="5" t="str">
        <f t="shared" si="190"/>
        <v>ACTISALUD- SALA DE PARTOS-MARIA AUXILIADORA PERTUZ</v>
      </c>
      <c r="F4061" s="5" t="str">
        <f>"Descripcion: CAMILLA RECUPERACION Y TRANSPORTE, MARCA HOSPITECH, MODELO 141-04: CARACTERISTICAS: FABRICADA EN TUBERIA REDONDA DE 1 Y 7/8 PLATO SUPERIOR EN LAMINA COLL-ROLLED, MARCO TUBERIA REDONDA DE 7/8 CON REFUERZOS ADICIONALES ESPALDAR GRADUABLE, COLCH"&amp; "ONETA EN ESP Estado: Bueno Placa anterior: 000025955 Material: METALICO Color: BEIGE Referencia:  Observacion:  Placa padre: Tipo adquisicion: Entidad"</f>
        <v>Descripcion: CAMILLA RECUPERACION Y TRANSPORTE, MARCA HOSPITECH, MODELO 141-04: CARACTERISTICAS: FABRICADA EN TUBERIA REDONDA DE 1 Y 7/8 PLATO SUPERIOR EN LAMINA COLL-ROLLED, MARCO TUBERIA REDONDA DE 7/8 CON REFUERZOS ADICIONALES ESPALDAR GRADUABLE, COLCHONETA EN ESP Estado: Bueno Placa anterior: 000025955 Material: METALICO Color: BEIGE Referencia:  Observacion:  Placa padre: Tipo adquisicion: Entidad</v>
      </c>
      <c r="G4061" s="5"/>
    </row>
    <row r="4062" spans="1:7" ht="58.5" customHeight="1" x14ac:dyDescent="0.25">
      <c r="A4062" s="5" t="str">
        <f>"H0011768"</f>
        <v>H0011768</v>
      </c>
      <c r="B4062" s="5" t="str">
        <f>"CAMILLA DE TRASLADO CON BARANDAS"</f>
        <v>CAMILLA DE TRASLADO CON BARANDAS</v>
      </c>
      <c r="C4062" s="6">
        <v>1740000</v>
      </c>
      <c r="D4062" s="5"/>
      <c r="E4062" s="5" t="str">
        <f t="shared" si="190"/>
        <v>ACTISALUD- SALA DE PARTOS-MARIA AUXILIADORA PERTUZ</v>
      </c>
      <c r="F4062" s="5" t="str">
        <f>"Descripcion: CAMILLA RECUPERACION Y TRANSPORTE, MARCA HOSPITECH, MODELO 141-04: CARACTERISTICAS: FABRICADA EN TUBERIA REDONDA DE 1 Y 7/8 PLATO SUPERIOR EN LAMINA COLL-ROLLED, MARCO TUBERIA REDONDA DE 7/8 CON REFUERZOS ADICIONALES ESPALDAR GRADUABLE, COLCH"&amp; "ONETA EN ESP Estado: Bueno Placa anterior: 000025957 Material: METALICO Color: BEIGE Referencia:  Observacion:  Placa padre: Tipo adquisicion: Entidad"</f>
        <v>Descripcion: CAMILLA RECUPERACION Y TRANSPORTE, MARCA HOSPITECH, MODELO 141-04: CARACTERISTICAS: FABRICADA EN TUBERIA REDONDA DE 1 Y 7/8 PLATO SUPERIOR EN LAMINA COLL-ROLLED, MARCO TUBERIA REDONDA DE 7/8 CON REFUERZOS ADICIONALES ESPALDAR GRADUABLE, COLCHONETA EN ESP Estado: Bueno Placa anterior: 000025957 Material: METALICO Color: BEIGE Referencia:  Observacion:  Placa padre: Tipo adquisicion: Entidad</v>
      </c>
      <c r="G4062" s="5"/>
    </row>
    <row r="4063" spans="1:7" ht="58.5" customHeight="1" x14ac:dyDescent="0.25">
      <c r="A4063" s="5" t="str">
        <f>"H0011769"</f>
        <v>H0011769</v>
      </c>
      <c r="B4063" s="5" t="str">
        <f>"CAMILLA DE TRASLADO CON BARANDAS"</f>
        <v>CAMILLA DE TRASLADO CON BARANDAS</v>
      </c>
      <c r="C4063" s="6">
        <v>1740000</v>
      </c>
      <c r="D4063" s="5"/>
      <c r="E4063" s="5" t="str">
        <f t="shared" si="190"/>
        <v>ACTISALUD- SALA DE PARTOS-MARIA AUXILIADORA PERTUZ</v>
      </c>
      <c r="F4063" s="5" t="str">
        <f>"Descripcion: CAMILLA RECUPERACION Y TRANSPORTE, MARCA HOSPITECH, MODELO 141-04: CARACTERISTICAS: FABRICADA EN TUBERIA REDONDA DE 1 Y 7/8 PLATO SUPERIOR EN LAMINA COLL-ROLLED, MARCO TUBERIA REDONDA DE 7/8 CON REFUERZOS ADICIONALES ESPALDAR GRADUABLE, COLCH"&amp; "ONETA EN ESP Estado: Bueno Placa anterior: 000025958 Material: METALICO Color: BEIGE Referencia:  Observacion:  Placa padre: Tipo adquisicion: Entidad"</f>
        <v>Descripcion: CAMILLA RECUPERACION Y TRANSPORTE, MARCA HOSPITECH, MODELO 141-04: CARACTERISTICAS: FABRICADA EN TUBERIA REDONDA DE 1 Y 7/8 PLATO SUPERIOR EN LAMINA COLL-ROLLED, MARCO TUBERIA REDONDA DE 7/8 CON REFUERZOS ADICIONALES ESPALDAR GRADUABLE, COLCHONETA EN ESP Estado: Bueno Placa anterior: 000025958 Material: METALICO Color: BEIGE Referencia:  Observacion:  Placa padre: Tipo adquisicion: Entidad</v>
      </c>
      <c r="G4063" s="5"/>
    </row>
    <row r="4064" spans="1:7" ht="58.5" customHeight="1" x14ac:dyDescent="0.25">
      <c r="A4064" s="5" t="str">
        <f>"H0011770"</f>
        <v>H0011770</v>
      </c>
      <c r="B4064" s="5" t="str">
        <f>"ESCALERILLA DE 2 PASOS"</f>
        <v>ESCALERILLA DE 2 PASOS</v>
      </c>
      <c r="C4064" s="6">
        <v>100000</v>
      </c>
      <c r="D4064" s="5" t="s">
        <v>49</v>
      </c>
      <c r="E4064" s="5" t="str">
        <f t="shared" si="190"/>
        <v>ACTISALUD- SALA DE PARTOS-MARIA AUXILIADORA PERTUZ</v>
      </c>
      <c r="F4064" s="5" t="str">
        <f>"Descripcion: ESCALERILLA DE DOS PASO EN TUBO REDONDO Estado: Bueno Placa anterior: 000029977 Material: METALICO CON PASOS EN MADERA Color: BLANCO Referencia:  Observacion:  Placa padre: Tipo adquisicion: Entidad"</f>
        <v>Descripcion: ESCALERILLA DE DOS PASO EN TUBO REDONDO Estado: Bueno Placa anterior: 000029977 Material: METALICO CON PASOS EN MADERA Color: BLANCO Referencia:  Observacion:  Placa padre: Tipo adquisicion: Entidad</v>
      </c>
      <c r="G4064" s="5"/>
    </row>
    <row r="4065" spans="1:7" ht="58.5" customHeight="1" x14ac:dyDescent="0.25">
      <c r="A4065" s="5" t="str">
        <f>"H0011772"</f>
        <v>H0011772</v>
      </c>
      <c r="B4065" s="5" t="str">
        <f>"ESCALERILLA DE 2 PASOS"</f>
        <v>ESCALERILLA DE 2 PASOS</v>
      </c>
      <c r="C4065" s="6">
        <v>100000</v>
      </c>
      <c r="D4065" s="5" t="s">
        <v>49</v>
      </c>
      <c r="E4065" s="5" t="str">
        <f t="shared" si="190"/>
        <v>ACTISALUD- SALA DE PARTOS-MARIA AUXILIADORA PERTUZ</v>
      </c>
      <c r="F4065" s="5" t="str">
        <f>"Descripcion: ESCALERILLA DE DOS PASO EN TUBO REDONDO Estado: Bueno Placa anterior: 000029973 Material: METALICO CON PASOS EN MADERA Color: BLANCO Referencia:  Observacion:  Placa padre: Tipo adquisicion: Entidad"</f>
        <v>Descripcion: ESCALERILLA DE DOS PASO EN TUBO REDONDO Estado: Bueno Placa anterior: 000029973 Material: METALICO CON PASOS EN MADERA Color: BLANCO Referencia:  Observacion:  Placa padre: Tipo adquisicion: Entidad</v>
      </c>
      <c r="G4065" s="5"/>
    </row>
    <row r="4066" spans="1:7" ht="58.5" customHeight="1" x14ac:dyDescent="0.25">
      <c r="A4066" s="5" t="str">
        <f>"H0011773"</f>
        <v>H0011773</v>
      </c>
      <c r="B4066" s="5" t="str">
        <f>"MESA METALICA AUXILIAR"</f>
        <v>MESA METALICA AUXILIAR</v>
      </c>
      <c r="C4066" s="6">
        <v>7800</v>
      </c>
      <c r="D4066" s="5"/>
      <c r="E4066" s="5" t="str">
        <f t="shared" si="190"/>
        <v>ACTISALUD- SALA DE PARTOS-MARIA AUXILIADORA PERTUZ</v>
      </c>
      <c r="F4066" s="5" t="str">
        <f>"Descripcion: MESA TIPO H (MECANOGRAFA CON ALA) Estado: Bueno Placa anterior: 000013797 Material: METALICO CON MESON EN FORMICA Color: GRIS CON MARRON Referencia:  Observacion:  Placa padre: Tipo adquisicion: Entidad"</f>
        <v>Descripcion: MESA TIPO H (MECANOGRAFA CON ALA) Estado: Bueno Placa anterior: 000013797 Material: METALICO CON MESON EN FORMICA Color: GRIS CON MARRON Referencia:  Observacion:  Placa padre: Tipo adquisicion: Entidad</v>
      </c>
      <c r="G4066" s="5"/>
    </row>
    <row r="4067" spans="1:7" ht="58.5" customHeight="1" x14ac:dyDescent="0.25">
      <c r="A4067" s="5" t="str">
        <f>"H0011776"</f>
        <v>H0011776</v>
      </c>
      <c r="B4067" s="5" t="str">
        <f>"MESA (CARRO) DE CURACIONES"</f>
        <v>MESA (CARRO) DE CURACIONES</v>
      </c>
      <c r="C4067" s="6">
        <v>11880</v>
      </c>
      <c r="D4067" s="5"/>
      <c r="E4067" s="5" t="str">
        <f t="shared" si="190"/>
        <v>ACTISALUD- SALA DE PARTOS-MARIA AUXILIADORA PERTUZ</v>
      </c>
      <c r="F4067" s="5" t="str">
        <f>"Descripcion: MESA (CARRO) DE CURACIONES Estado: Bueno Placa anterior: 000027548 Material: METALICO , ACERO INOX. Color: VERDE Referencia:  Observacion:  Placa padre: Tipo adquisicion: Entidad"</f>
        <v>Descripcion: MESA (CARRO) DE CURACIONES Estado: Bueno Placa anterior: 000027548 Material: METALICO , ACERO INOX. Color: VERDE Referencia:  Observacion:  Placa padre: Tipo adquisicion: Entidad</v>
      </c>
      <c r="G4067" s="5"/>
    </row>
    <row r="4068" spans="1:7" ht="58.5" customHeight="1" x14ac:dyDescent="0.25">
      <c r="A4068" s="5" t="str">
        <f>"H0011777"</f>
        <v>H0011777</v>
      </c>
      <c r="B4068" s="5" t="str">
        <f>"SILLA INTERLOCUTORA (FIJA) SIN BRAZOS"</f>
        <v>SILLA INTERLOCUTORA (FIJA) SIN BRAZOS</v>
      </c>
      <c r="C4068" s="6">
        <v>8833.02</v>
      </c>
      <c r="D4068" s="5"/>
      <c r="E4068" s="5" t="str">
        <f t="shared" si="190"/>
        <v>ACTISALUD- SALA DE PARTOS-MARIA AUXILIADORA PERTUZ</v>
      </c>
      <c r="F4068" s="5" t="str">
        <f>"Descripcion: SILLA FIJA TIPO A COLOR MARRON Estado: Bueno Placa anterior: 000012378 Material: METALICO TAPIZADO Color: MARRON Referencia:  Observacion:  Placa padre: Tipo adquisicion: Entidad"</f>
        <v>Descripcion: SILLA FIJA TIPO A COLOR MARRON Estado: Bueno Placa anterior: 000012378 Material: METALICO TAPIZADO Color: MARRON Referencia:  Observacion:  Placa padre: Tipo adquisicion: Entidad</v>
      </c>
      <c r="G4068" s="5"/>
    </row>
    <row r="4069" spans="1:7" ht="58.5" customHeight="1" x14ac:dyDescent="0.25">
      <c r="A4069" s="5" t="str">
        <f>"H0011779"</f>
        <v>H0011779</v>
      </c>
      <c r="B4069" s="5" t="str">
        <f>"MONITOR FETAL"</f>
        <v>MONITOR FETAL</v>
      </c>
      <c r="C4069" s="6">
        <v>5060268</v>
      </c>
      <c r="D4069" s="5" t="s">
        <v>349</v>
      </c>
      <c r="E4069" s="5" t="str">
        <f t="shared" si="190"/>
        <v>ACTISALUD- SALA DE PARTOS-MARIA AUXILIADORA PERTUZ</v>
      </c>
      <c r="F4069" s="5" t="str">
        <f>"Descripcion: Monitor Fetal EDAN F3-SHR:(F.C.S) V1 MHZ SENCILLO Estado: Bueno Placa anterior: 000036860 Material: PLASTICO Color: BLANCO CON GRIS  Referencia:  Observacion:  Placa padre: Tipo adquisicion: Entidad"</f>
        <v>Descripcion: Monitor Fetal EDAN F3-SHR:(F.C.S) V1 MHZ SENCILLO Estado: Bueno Placa anterior: 000036860 Material: PLASTICO Color: BLANCO CON GRIS  Referencia:  Observacion:  Placa padre: Tipo adquisicion: Entidad</v>
      </c>
      <c r="G4069" s="5"/>
    </row>
    <row r="4070" spans="1:7" ht="58.5" customHeight="1" x14ac:dyDescent="0.25">
      <c r="A4070" s="5" t="str">
        <f>"H0011781"</f>
        <v>H0011781</v>
      </c>
      <c r="B4070" s="5" t="str">
        <f>"VITRINA DE 2 CUERPOS"</f>
        <v>VITRINA DE 2 CUERPOS</v>
      </c>
      <c r="C4070" s="6">
        <v>44495.7</v>
      </c>
      <c r="D4070" s="5"/>
      <c r="E4070" s="5" t="str">
        <f t="shared" si="190"/>
        <v>ACTISALUD- SALA DE PARTOS-MARIA AUXILIADORA PERTUZ</v>
      </c>
      <c r="F4070" s="5" t="str">
        <f>"Descripcion: VITRINA DE 2 CUERPOS Estado: Bueno Placa anterior: 000013801 Material: METALICO Color: GRIS Referencia:  Observacion:  Placa padre: Tipo adquisicion: Entidad"</f>
        <v>Descripcion: VITRINA DE 2 CUERPOS Estado: Bueno Placa anterior: 000013801 Material: METALICO Color: GRIS Referencia:  Observacion:  Placa padre: Tipo adquisicion: Entidad</v>
      </c>
      <c r="G4070" s="5"/>
    </row>
    <row r="4071" spans="1:7" ht="58.5" customHeight="1" x14ac:dyDescent="0.25">
      <c r="A4071" s="5" t="str">
        <f>"H0011782"</f>
        <v>H0011782</v>
      </c>
      <c r="B4071" s="5" t="str">
        <f>"SILLA DE RUEDAS"</f>
        <v>SILLA DE RUEDAS</v>
      </c>
      <c r="C4071" s="6">
        <v>650000</v>
      </c>
      <c r="D4071" s="5"/>
      <c r="E4071" s="5" t="str">
        <f t="shared" si="190"/>
        <v>ACTISALUD- SALA DE PARTOS-MARIA AUXILIADORA PERTUZ</v>
      </c>
      <c r="F4071" s="5" t="str">
        <f>"Descripcion: SILLA DE RUEDA ADULTO ESTANDAR CON BRAZOS Y DESCANSAPIES DESMONTABLES CON MARCO PLEGABLE CALIBRE 18 DE 7/8 Estado: Bueno Placa anterior: 000026224 Material: METALICO  Color: CROMADO Referencia:  Observacion:  Placa padre: Tipo adquisicion: En"&amp; "tidad"</f>
        <v>Descripcion: SILLA DE RUEDA ADULTO ESTANDAR CON BRAZOS Y DESCANSAPIES DESMONTABLES CON MARCO PLEGABLE CALIBRE 18 DE 7/8 Estado: Bueno Placa anterior: 000026224 Material: METALICO  Color: CROMADO Referencia:  Observacion:  Placa padre: Tipo adquisicion: Entidad</v>
      </c>
      <c r="G4071" s="5"/>
    </row>
    <row r="4072" spans="1:7" ht="58.5" customHeight="1" x14ac:dyDescent="0.25">
      <c r="A4072" s="5" t="str">
        <f>"H0016693"</f>
        <v>H0016693</v>
      </c>
      <c r="B4072" s="5" t="str">
        <f>"ESTANTE METALICO 5 ENTREPAÑOS"</f>
        <v>ESTANTE METALICO 5 ENTREPAÑOS</v>
      </c>
      <c r="C4072" s="6">
        <v>8840.07</v>
      </c>
      <c r="D4072" s="5"/>
      <c r="E4072" s="5" t="str">
        <f t="shared" si="190"/>
        <v>ACTISALUD- SALA DE PARTOS-MARIA AUXILIADORA PERTUZ</v>
      </c>
      <c r="F4072" s="5" t="str">
        <f>"Descripcion:ESTANTE METALICO 5 ENTREPAÑOS Estado: Bueno Placa anterior: 000002326 Material: METALICO Color: GRIS Referencia:  Observacion:  Placa padre:  Tipo adquisicion : Entidad"</f>
        <v>Descripcion:ESTANTE METALICO 5 ENTREPAÑOS Estado: Bueno Placa anterior: 000002326 Material: METALICO Color: GRIS Referencia:  Observacion:  Placa padre:  Tipo adquisicion : Entidad</v>
      </c>
      <c r="G4072" s="5"/>
    </row>
    <row r="4073" spans="1:7" ht="58.5" customHeight="1" x14ac:dyDescent="0.25">
      <c r="A4073" s="5" t="str">
        <f>"H0016694"</f>
        <v>H0016694</v>
      </c>
      <c r="B4073" s="5" t="str">
        <f>"MESA DE MADERA PARA COMPUTADOR"</f>
        <v>MESA DE MADERA PARA COMPUTADOR</v>
      </c>
      <c r="C4073" s="6">
        <v>140000</v>
      </c>
      <c r="D4073" s="5"/>
      <c r="E4073" s="5" t="str">
        <f t="shared" si="190"/>
        <v>ACTISALUD- SALA DE PARTOS-MARIA AUXILIADORA PERTUZ</v>
      </c>
      <c r="F4073" s="5" t="str">
        <f>"Descripcion:MESA PARA COMPUTADOR  DE MADERA CIN ESTRUCTURA METALICA Y MESON EN FORMICA Estado: Bueno Placa anterior: 000023124 Material: MADERA Color: MARRON CLARO Referencia:  Observacion:  Placa padre:  Tipo adquisicion : Entidad"</f>
        <v>Descripcion:MESA PARA COMPUTADOR  DE MADERA CIN ESTRUCTURA METALICA Y MESON EN FORMICA Estado: Bueno Placa anterior: 000023124 Material: MADERA Color: MARRON CLARO Referencia:  Observacion:  Placa padre:  Tipo adquisicion : Entidad</v>
      </c>
      <c r="G4073" s="5"/>
    </row>
    <row r="4074" spans="1:7" ht="58.5" customHeight="1" x14ac:dyDescent="0.25">
      <c r="A4074" s="5" t="str">
        <f>"H0017165"</f>
        <v>H0017165</v>
      </c>
      <c r="B4074" s="5" t="str">
        <f>"LAMPARA CUELLO CISNE"</f>
        <v>LAMPARA CUELLO CISNE</v>
      </c>
      <c r="C4074" s="6">
        <v>153120</v>
      </c>
      <c r="D4074" s="5"/>
      <c r="E4074" s="5" t="str">
        <f t="shared" si="190"/>
        <v>ACTISALUD- SALA DE PARTOS-MARIA AUXILIADORA PERTUZ</v>
      </c>
      <c r="F4074" s="5" t="str">
        <f>"Descripcion:LAMPARA CUELLO DE CISNE Estado: Malo Placa anterior: 000028678 Material: ACERO INOX. Color: PLATEADO   Referencia:  Observacion: NO TIENE BASE Placa padre:  Tipo adquisicion : Entidad"</f>
        <v>Descripcion:LAMPARA CUELLO DE CISNE Estado: Malo Placa anterior: 000028678 Material: ACERO INOX. Color: PLATEADO   Referencia:  Observacion: NO TIENE BASE Placa padre:  Tipo adquisicion : Entidad</v>
      </c>
      <c r="G4074" s="5"/>
    </row>
    <row r="4075" spans="1:7" ht="58.5" customHeight="1" x14ac:dyDescent="0.25">
      <c r="A4075" s="5" t="str">
        <f>"H0018415"</f>
        <v>H0018415</v>
      </c>
      <c r="B4075" s="5" t="str">
        <f>"BALANZA ANALOGA DE PISO (PESO) SIN TALLIMETRO"</f>
        <v>BALANZA ANALOGA DE PISO (PESO) SIN TALLIMETRO</v>
      </c>
      <c r="C4075" s="6">
        <v>1300000</v>
      </c>
      <c r="D4075" s="5"/>
      <c r="E4075" s="5" t="str">
        <f t="shared" si="190"/>
        <v>ACTISALUD- SALA DE PARTOS-MARIA AUXILIADORA PERTUZ</v>
      </c>
      <c r="F4075" s="5" t="str">
        <f>"Descripcion: BALANZA ANALOGA DE PIE Estado: Bueno Placa anterior: 000026500 Material: PLASTICO- METALICO Color: BEIGE Referencia:  Observacion: EL BIEN TIENE PLACA ANTERIOR   000026500 Placa padre: Tipo adquisicion: Entidad"</f>
        <v>Descripcion: BALANZA ANALOGA DE PIE Estado: Bueno Placa anterior: 000026500 Material: PLASTICO- METALICO Color: BEIGE Referencia:  Observacion: EL BIEN TIENE PLACA ANTERIOR   000026500 Placa padre: Tipo adquisicion: Entidad</v>
      </c>
      <c r="G4075" s="5"/>
    </row>
    <row r="4076" spans="1:7" ht="58.5" customHeight="1" x14ac:dyDescent="0.25">
      <c r="A4076" s="5" t="str">
        <f>"H0018626"</f>
        <v>H0018626</v>
      </c>
      <c r="B4076" s="5" t="str">
        <f>"ECOGRAFO"</f>
        <v>ECOGRAFO</v>
      </c>
      <c r="C4076" s="6">
        <v>128000000</v>
      </c>
      <c r="D4076" s="5"/>
      <c r="E4076" s="5" t="str">
        <f t="shared" si="190"/>
        <v>ACTISALUD- SALA DE PARTOS-MARIA AUXILIADORA PERTUZ</v>
      </c>
      <c r="F4076" s="5" t="str">
        <f>"Descripcion: PLACA ANTERIOR 000033092 TRAE INFORMACION DE ECOGRAFO,MARCA LANDWIND,MOD. C-40,S/N C107E008640T13UK Estado: Bueno Placa anterior: 000033092 Material: PASTA Color: BEIGE Referencia:  Observacion: PASAR A TOCOCIRUGIA Placa padre: H0018625Tipo a"&amp; "dquisicion: Entidad"</f>
        <v>Descripcion: PLACA ANTERIOR 000033092 TRAE INFORMACION DE ECOGRAFO,MARCA LANDWIND,MOD. C-40,S/N C107E008640T13UK Estado: Bueno Placa anterior: 000033092 Material: PASTA Color: BEIGE Referencia:  Observacion: PASAR A TOCOCIRUGIA Placa padre: H0018625Tipo adquisicion: Entidad</v>
      </c>
      <c r="G4076" s="5" t="str">
        <f>"UP-897MD"</f>
        <v>UP-897MD</v>
      </c>
    </row>
    <row r="4077" spans="1:7" ht="58.5" customHeight="1" x14ac:dyDescent="0.25">
      <c r="A4077" s="5" t="str">
        <f>"H0020364"</f>
        <v>H0020364</v>
      </c>
      <c r="B4077" s="5" t="str">
        <f>"AIRE ACONDICIONADO CENTRAL (INTEGRAL)"</f>
        <v>AIRE ACONDICIONADO CENTRAL (INTEGRAL)</v>
      </c>
      <c r="C4077" s="6">
        <v>2030000</v>
      </c>
      <c r="D4077" s="5"/>
      <c r="E4077" s="5" t="str">
        <f t="shared" si="190"/>
        <v>ACTISALUD- SALA DE PARTOS-MARIA AUXILIADORA PERTUZ</v>
      </c>
      <c r="F4077" s="5" t="str">
        <f>"Descripcion: AIRE ACONDICIONADO INTEGRAL VA PARA LA SALA DE PARTOS . CON UNA CAPACIDAD DE ENFRIAMENTO DE 118.000 BTU Estado: Bueno Placa anterior:  Material: METALICO Color: BEIS Referencia:  Observacion: EL SERIAL NO SE OBSERVO Placa padre: Tipo adquisic"&amp; "ion: Entidad"</f>
        <v>Descripcion: AIRE ACONDICIONADO INTEGRAL VA PARA LA SALA DE PARTOS . CON UNA CAPACIDAD DE ENFRIAMENTO DE 118.000 BTU Estado: Bueno Placa anterior:  Material: METALICO Color: BEIS Referencia:  Observacion: EL SERIAL NO SE OBSERVO Placa padre: Tipo adquisicion: Entidad</v>
      </c>
      <c r="G4077" s="5" t="str">
        <f>"LK-C120BC00"</f>
        <v>LK-C120BC00</v>
      </c>
    </row>
    <row r="4078" spans="1:7" ht="58.5" customHeight="1" x14ac:dyDescent="0.25">
      <c r="A4078" s="5" t="str">
        <f>"H0020367"</f>
        <v>H0020367</v>
      </c>
      <c r="B4078" s="5" t="str">
        <f>"AIRE ACONDICIONADO CENTRAL (INTEGRAL)"</f>
        <v>AIRE ACONDICIONADO CENTRAL (INTEGRAL)</v>
      </c>
      <c r="C4078" s="6">
        <v>2030000</v>
      </c>
      <c r="D4078" s="5"/>
      <c r="E4078" s="5" t="str">
        <f t="shared" si="190"/>
        <v>ACTISALUD- SALA DE PARTOS-MARIA AUXILIADORA PERTUZ</v>
      </c>
      <c r="F4078" s="5" t="str">
        <f>"Descripcion: AIRE ACONDICIONADO INTEGRAL PRESTA SERVICIO A LA SALA DE PARTOS Estado: Bueno Placa anterior:  Material: METALICO Color: GRIS Referencia:  Observacion: LA MARCA, SERIAL Y MODELO NO SE OBSERVO Placa padre: Tipo adquisicion: Entidad"</f>
        <v>Descripcion: AIRE ACONDICIONADO INTEGRAL PRESTA SERVICIO A LA SALA DE PARTOS Estado: Bueno Placa anterior:  Material: METALICO Color: GRIS Referencia:  Observacion: LA MARCA, SERIAL Y MODELO NO SE OBSERVO Placa padre: Tipo adquisicion: Entidad</v>
      </c>
      <c r="G4078" s="5"/>
    </row>
    <row r="4079" spans="1:7" ht="58.5" customHeight="1" x14ac:dyDescent="0.25">
      <c r="A4079" s="5" t="str">
        <f>"H0020732"</f>
        <v>H0020732</v>
      </c>
      <c r="B4079" s="5" t="str">
        <f>"ATRIL PORTASUERO MOVIL"</f>
        <v>ATRIL PORTASUERO MOVIL</v>
      </c>
      <c r="C4079" s="6">
        <v>210000</v>
      </c>
      <c r="D4079" s="5" t="s">
        <v>50</v>
      </c>
      <c r="E4079" s="5" t="str">
        <f t="shared" si="190"/>
        <v>ACTISALUD- SALA DE PARTOS-MARIA AUXILIADORA PERTUZ</v>
      </c>
      <c r="F4079" s="5" t="str">
        <f>"Descripcion:ATRIL EN ACERO INOXIDABLE QUIRURGICO ANTIMAGNETICO* NO TIENE BASE * OXIDO Estado: Malo Placa anterior: 000029695 Material: ACERO INOXIDABLE Color:  Referencia:  Observacion:  Placa padre:  Tipo adquisicion : Entidad"</f>
        <v>Descripcion:ATRIL EN ACERO INOXIDABLE QUIRURGICO ANTIMAGNETICO* NO TIENE BASE * OXIDO Estado: Malo Placa anterior: 000029695 Material: ACERO INOXIDABLE Color:  Referencia:  Observacion:  Placa padre:  Tipo adquisicion : Entidad</v>
      </c>
      <c r="G4079" s="5"/>
    </row>
    <row r="4080" spans="1:7" ht="58.5" customHeight="1" x14ac:dyDescent="0.25">
      <c r="A4080" s="5" t="str">
        <f>"H0022293"</f>
        <v>H0022293</v>
      </c>
      <c r="B4080" s="5" t="str">
        <f>"MONITOR DE SIGNOS VITALES"</f>
        <v>MONITOR DE SIGNOS VITALES</v>
      </c>
      <c r="C4080" s="6">
        <v>4756000</v>
      </c>
      <c r="D4080" s="5" t="s">
        <v>262</v>
      </c>
      <c r="E4080" s="5" t="str">
        <f t="shared" si="190"/>
        <v>ACTISALUD- SALA DE PARTOS-MARIA AUXILIADORA PERTUZ</v>
      </c>
      <c r="F4080" s="5"/>
      <c r="G4080" s="5" t="str">
        <f>"M50"</f>
        <v>M50</v>
      </c>
    </row>
    <row r="4081" spans="1:7" ht="58.5" customHeight="1" x14ac:dyDescent="0.25">
      <c r="A4081" s="5" t="str">
        <f>"H0022294"</f>
        <v>H0022294</v>
      </c>
      <c r="B4081" s="5" t="str">
        <f>"MONITOR DE SIGNOS VITALES"</f>
        <v>MONITOR DE SIGNOS VITALES</v>
      </c>
      <c r="C4081" s="6">
        <v>4756000</v>
      </c>
      <c r="D4081" s="5" t="s">
        <v>262</v>
      </c>
      <c r="E4081" s="5" t="str">
        <f t="shared" si="190"/>
        <v>ACTISALUD- SALA DE PARTOS-MARIA AUXILIADORA PERTUZ</v>
      </c>
      <c r="F4081" s="5"/>
      <c r="G4081" s="5" t="str">
        <f>"M50"</f>
        <v>M50</v>
      </c>
    </row>
    <row r="4082" spans="1:7" ht="58.5" customHeight="1" x14ac:dyDescent="0.25">
      <c r="A4082" s="5" t="str">
        <f>"H0022373"</f>
        <v>H0022373</v>
      </c>
      <c r="B4082" s="5" t="str">
        <f>"ECOGRAFO ESTACIONARIO CON SISTEMA DOPPLER COLOR AVANZADO, TRANSDUCTORES TRANVAGINAL Y CONVEXO 2-6 Mhz.Monitor de minimo 15 pulgadas de alta definicón."</f>
        <v>ECOGRAFO ESTACIONARIO CON SISTEMA DOPPLER COLOR AVANZADO, TRANSDUCTORES TRANVAGINAL Y CONVEXO 2-6 Mhz.Monitor de minimo 15 pulgadas de alta definicón.</v>
      </c>
      <c r="C4082" s="6">
        <v>46267760</v>
      </c>
      <c r="D4082" s="5" t="s">
        <v>350</v>
      </c>
      <c r="E4082" s="5" t="str">
        <f t="shared" si="190"/>
        <v>ACTISALUD- SALA DE PARTOS-MARIA AUXILIADORA PERTUZ</v>
      </c>
      <c r="F4082" s="5" t="str">
        <f>"CONVESO C354 SN: T51441473, TRANSVAGINAL 6V1 sn  CONVEXO C354 SN: T51441473  TRANSVAGINAL 6V1  SR:  R11425392"</f>
        <v>CONVESO C354 SN: T51441473, TRANSVAGINAL 6V1 sn  CONVEXO C354 SN: T51441473  TRANSVAGINAL 6V1  SR:  R11425392</v>
      </c>
      <c r="G4082" s="5" t="str">
        <f>"S11"</f>
        <v>S11</v>
      </c>
    </row>
    <row r="4083" spans="1:7" ht="58.5" customHeight="1" x14ac:dyDescent="0.25">
      <c r="A4083" s="5" t="str">
        <f>"H0022748"</f>
        <v>H0022748</v>
      </c>
      <c r="B4083" s="5" t="str">
        <f>"JARRA EN ACERO INOXIDABLE MEDIANA"</f>
        <v>JARRA EN ACERO INOXIDABLE MEDIANA</v>
      </c>
      <c r="C4083" s="6">
        <v>8250</v>
      </c>
      <c r="D4083" s="5"/>
      <c r="E4083" s="5" t="str">
        <f t="shared" si="190"/>
        <v>ACTISALUD- SALA DE PARTOS-MARIA AUXILIADORA PERTUZ</v>
      </c>
      <c r="F4083" s="5" t="str">
        <f>"Descripcion: JARRA EN ACERO INOXIDABLE Estado: Bueno Placa anterior: 000014089 Material: ACERO INOXIDABLE Color: PLATEADO Referencia:  Observacion:  Placa padre: Tipo adquisicion: Entidad"</f>
        <v>Descripcion: JARRA EN ACERO INOXIDABLE Estado: Bueno Placa anterior: 000014089 Material: ACERO INOXIDABLE Color: PLATEADO Referencia:  Observacion:  Placa padre: Tipo adquisicion: Entidad</v>
      </c>
      <c r="G4083" s="5"/>
    </row>
    <row r="4084" spans="1:7" ht="58.5" customHeight="1" x14ac:dyDescent="0.25">
      <c r="A4084" s="5" t="str">
        <f>"H0024602"</f>
        <v>H0024602</v>
      </c>
      <c r="B4084"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4084" s="6">
        <v>2600000</v>
      </c>
      <c r="D4084" s="5" t="s">
        <v>36</v>
      </c>
      <c r="E4084" s="5" t="str">
        <f t="shared" si="190"/>
        <v>ACTISALUD- SALA DE PARTOS-MARIA AUXILIADORA PERTUZ</v>
      </c>
      <c r="F4084" s="5"/>
      <c r="G4084" s="5"/>
    </row>
    <row r="4085" spans="1:7" ht="58.5" customHeight="1" x14ac:dyDescent="0.25">
      <c r="A4085" s="5" t="str">
        <f>"H0024604"</f>
        <v>H0024604</v>
      </c>
      <c r="B408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4085" s="6">
        <v>2600000</v>
      </c>
      <c r="D4085" s="5" t="s">
        <v>36</v>
      </c>
      <c r="E4085" s="5" t="str">
        <f t="shared" si="190"/>
        <v>ACTISALUD- SALA DE PARTOS-MARIA AUXILIADORA PERTUZ</v>
      </c>
      <c r="F4085" s="5"/>
      <c r="G4085" s="5"/>
    </row>
    <row r="4086" spans="1:7" ht="58.5" customHeight="1" x14ac:dyDescent="0.25">
      <c r="A4086" s="5" t="str">
        <f>"H0025302"</f>
        <v>H0025302</v>
      </c>
      <c r="B4086" s="5" t="str">
        <f>"NEVERA DE 50 LITROS CONDENSADORA OCULTO"</f>
        <v>NEVERA DE 50 LITROS CONDENSADORA OCULTO</v>
      </c>
      <c r="C4086" s="6">
        <v>418951.4</v>
      </c>
      <c r="D4086" s="5" t="s">
        <v>10</v>
      </c>
      <c r="E4086" s="5" t="str">
        <f t="shared" si="190"/>
        <v>ACTISALUD- SALA DE PARTOS-MARIA AUXILIADORA PERTUZ</v>
      </c>
      <c r="F4086" s="5"/>
      <c r="G4086" s="5"/>
    </row>
    <row r="4087" spans="1:7" ht="58.5" customHeight="1" x14ac:dyDescent="0.25">
      <c r="A4087" s="5" t="str">
        <f>"H0025329"</f>
        <v>H0025329</v>
      </c>
      <c r="B408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4087" s="6">
        <v>312156</v>
      </c>
      <c r="D4087" s="5" t="s">
        <v>10</v>
      </c>
      <c r="E4087" s="5" t="str">
        <f t="shared" si="190"/>
        <v>ACTISALUD- SALA DE PARTOS-MARIA AUXILIADORA PERTUZ</v>
      </c>
      <c r="F4087" s="5"/>
      <c r="G4087" s="5"/>
    </row>
    <row r="4088" spans="1:7" ht="58.5" customHeight="1" x14ac:dyDescent="0.25">
      <c r="A4088" s="5" t="str">
        <f>"H0025440"</f>
        <v>H0025440</v>
      </c>
      <c r="B408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4088" s="6">
        <v>312156</v>
      </c>
      <c r="D4088" s="5" t="s">
        <v>10</v>
      </c>
      <c r="E4088" s="5" t="str">
        <f t="shared" si="190"/>
        <v>ACTISALUD- SALA DE PARTOS-MARIA AUXILIADORA PERTUZ</v>
      </c>
      <c r="F4088" s="5"/>
      <c r="G4088" s="5"/>
    </row>
    <row r="4089" spans="1:7" ht="58.5" customHeight="1" x14ac:dyDescent="0.25">
      <c r="A4089" s="5" t="str">
        <f>"H0025506"</f>
        <v>H0025506</v>
      </c>
      <c r="B4089" s="5" t="str">
        <f>"UPS DE MINIMO KVA"</f>
        <v>UPS DE MINIMO KVA</v>
      </c>
      <c r="C4089" s="6">
        <v>2870400</v>
      </c>
      <c r="D4089" s="5" t="s">
        <v>298</v>
      </c>
      <c r="E4089" s="5" t="str">
        <f t="shared" si="190"/>
        <v>ACTISALUD- SALA DE PARTOS-MARIA AUXILIADORA PERTUZ</v>
      </c>
      <c r="F4089" s="5"/>
      <c r="G4089" s="5"/>
    </row>
    <row r="4090" spans="1:7" ht="58.5" customHeight="1" x14ac:dyDescent="0.25">
      <c r="A4090" s="5" t="str">
        <f>"H0025569"</f>
        <v>H0025569</v>
      </c>
      <c r="B4090" s="5" t="str">
        <f>"CAMARA DE HOOD PEQUENA"</f>
        <v>CAMARA DE HOOD PEQUENA</v>
      </c>
      <c r="C4090" s="6">
        <v>131699.67000000001</v>
      </c>
      <c r="D4090" s="5" t="s">
        <v>180</v>
      </c>
      <c r="E4090" s="5" t="str">
        <f t="shared" si="190"/>
        <v>ACTISALUD- SALA DE PARTOS-MARIA AUXILIADORA PERTUZ</v>
      </c>
      <c r="F4090" s="5"/>
      <c r="G4090" s="5"/>
    </row>
    <row r="4091" spans="1:7" ht="58.5" customHeight="1" x14ac:dyDescent="0.25">
      <c r="A4091" s="5" t="str">
        <f>"H0025570"</f>
        <v>H0025570</v>
      </c>
      <c r="B4091" s="5" t="str">
        <f>"CAMARA DE HOOD PEQUENA"</f>
        <v>CAMARA DE HOOD PEQUENA</v>
      </c>
      <c r="C4091" s="6">
        <v>131699.67000000001</v>
      </c>
      <c r="D4091" s="5" t="s">
        <v>180</v>
      </c>
      <c r="E4091" s="5" t="str">
        <f t="shared" si="190"/>
        <v>ACTISALUD- SALA DE PARTOS-MARIA AUXILIADORA PERTUZ</v>
      </c>
      <c r="F4091" s="5"/>
      <c r="G4091" s="5"/>
    </row>
    <row r="4092" spans="1:7" ht="58.5" customHeight="1" x14ac:dyDescent="0.25">
      <c r="A4092" s="5" t="str">
        <f>"H0025581"</f>
        <v>H0025581</v>
      </c>
      <c r="B4092" s="5" t="str">
        <f>"CAMARA DE HOOD MEDIANA"</f>
        <v>CAMARA DE HOOD MEDIANA</v>
      </c>
      <c r="C4092" s="6">
        <v>212902.91</v>
      </c>
      <c r="D4092" s="5" t="s">
        <v>180</v>
      </c>
      <c r="E4092" s="5" t="str">
        <f t="shared" si="190"/>
        <v>ACTISALUD- SALA DE PARTOS-MARIA AUXILIADORA PERTUZ</v>
      </c>
      <c r="F4092" s="5"/>
      <c r="G4092" s="5"/>
    </row>
    <row r="4093" spans="1:7" ht="58.5" customHeight="1" x14ac:dyDescent="0.25">
      <c r="A4093" s="5" t="str">
        <f>"H0025582"</f>
        <v>H0025582</v>
      </c>
      <c r="B4093" s="5" t="str">
        <f>"CAMARA DE HOOD MEDIANA"</f>
        <v>CAMARA DE HOOD MEDIANA</v>
      </c>
      <c r="C4093" s="6">
        <v>212902.91</v>
      </c>
      <c r="D4093" s="5" t="s">
        <v>180</v>
      </c>
      <c r="E4093" s="5" t="str">
        <f t="shared" si="190"/>
        <v>ACTISALUD- SALA DE PARTOS-MARIA AUXILIADORA PERTUZ</v>
      </c>
      <c r="F4093" s="5"/>
      <c r="G4093" s="5"/>
    </row>
    <row r="4094" spans="1:7" ht="58.5" customHeight="1" x14ac:dyDescent="0.25">
      <c r="A4094" s="5" t="str">
        <f>"H0025718"</f>
        <v>H0025718</v>
      </c>
      <c r="B4094" s="5" t="str">
        <f>"MONITOR FETAL DOPPLER (MONITOR DE RITMO CARDIACO)"</f>
        <v>MONITOR FETAL DOPPLER (MONITOR DE RITMO CARDIACO)</v>
      </c>
      <c r="C4094" s="6">
        <v>599462.5</v>
      </c>
      <c r="D4094" s="5" t="s">
        <v>265</v>
      </c>
      <c r="E4094" s="5" t="str">
        <f t="shared" si="190"/>
        <v>ACTISALUD- SALA DE PARTOS-MARIA AUXILIADORA PERTUZ</v>
      </c>
      <c r="F4094" s="5"/>
      <c r="G4094" s="5"/>
    </row>
    <row r="4095" spans="1:7" ht="58.5" customHeight="1" x14ac:dyDescent="0.25">
      <c r="A4095" s="5" t="str">
        <f>"H0025990"</f>
        <v>H0025990</v>
      </c>
      <c r="B4095" s="5" t="str">
        <f>"SILLA DE RUEDAS"</f>
        <v>SILLA DE RUEDAS</v>
      </c>
      <c r="C4095" s="6">
        <v>280000</v>
      </c>
      <c r="D4095" s="5" t="s">
        <v>77</v>
      </c>
      <c r="E4095" s="5" t="str">
        <f t="shared" si="190"/>
        <v>ACTISALUD- SALA DE PARTOS-MARIA AUXILIADORA PERTUZ</v>
      </c>
      <c r="F4095" s="5"/>
      <c r="G4095" s="5"/>
    </row>
    <row r="4096" spans="1:7" ht="58.5" customHeight="1" x14ac:dyDescent="0.25">
      <c r="A4096" s="5" t="str">
        <f>"H0025991"</f>
        <v>H0025991</v>
      </c>
      <c r="B4096" s="5" t="str">
        <f>"SILLA DE RUEDAS"</f>
        <v>SILLA DE RUEDAS</v>
      </c>
      <c r="C4096" s="6">
        <v>280000</v>
      </c>
      <c r="D4096" s="5" t="s">
        <v>77</v>
      </c>
      <c r="E4096" s="5" t="str">
        <f t="shared" si="190"/>
        <v>ACTISALUD- SALA DE PARTOS-MARIA AUXILIADORA PERTUZ</v>
      </c>
      <c r="F4096" s="5"/>
      <c r="G4096" s="5"/>
    </row>
    <row r="4097" spans="1:7" ht="58.5" customHeight="1" x14ac:dyDescent="0.25">
      <c r="A4097" s="5" t="str">
        <f>"H0025992"</f>
        <v>H0025992</v>
      </c>
      <c r="B4097" s="5" t="str">
        <f>"SILLA DE RUEDAS"</f>
        <v>SILLA DE RUEDAS</v>
      </c>
      <c r="C4097" s="6">
        <v>280000</v>
      </c>
      <c r="D4097" s="5" t="s">
        <v>77</v>
      </c>
      <c r="E4097" s="5" t="str">
        <f t="shared" si="190"/>
        <v>ACTISALUD- SALA DE PARTOS-MARIA AUXILIADORA PERTUZ</v>
      </c>
      <c r="F4097" s="5"/>
      <c r="G4097" s="5"/>
    </row>
    <row r="4098" spans="1:7" ht="58.5" customHeight="1" x14ac:dyDescent="0.25">
      <c r="A4098" s="5" t="str">
        <f>"H0025994"</f>
        <v>H0025994</v>
      </c>
      <c r="B4098" s="5" t="str">
        <f>"SILLA DE RUEDAS"</f>
        <v>SILLA DE RUEDAS</v>
      </c>
      <c r="C4098" s="6">
        <v>280000</v>
      </c>
      <c r="D4098" s="5" t="s">
        <v>77</v>
      </c>
      <c r="E4098" s="5" t="str">
        <f t="shared" si="190"/>
        <v>ACTISALUD- SALA DE PARTOS-MARIA AUXILIADORA PERTUZ</v>
      </c>
      <c r="F4098" s="5"/>
      <c r="G4098" s="5"/>
    </row>
    <row r="4099" spans="1:7" ht="58.5" customHeight="1" x14ac:dyDescent="0.25">
      <c r="A4099" s="5" t="str">
        <f>"H0026819"</f>
        <v>H0026819</v>
      </c>
      <c r="B4099" s="5" t="str">
        <f t="shared" ref="B4099:B4108" si="191">"BOMBA DE INFUSION"</f>
        <v>BOMBA DE INFUSION</v>
      </c>
      <c r="C4099" s="6">
        <v>1000000</v>
      </c>
      <c r="D4099" s="5" t="s">
        <v>351</v>
      </c>
      <c r="E4099" s="5" t="str">
        <f t="shared" si="190"/>
        <v>ACTISALUD- SALA DE PARTOS-MARIA AUXILIADORA PERTUZ</v>
      </c>
      <c r="F4099" s="5"/>
      <c r="G4099" s="5"/>
    </row>
    <row r="4100" spans="1:7" ht="58.5" customHeight="1" x14ac:dyDescent="0.25">
      <c r="A4100" s="5" t="str">
        <f>"H0026820"</f>
        <v>H0026820</v>
      </c>
      <c r="B4100" s="5" t="str">
        <f t="shared" si="191"/>
        <v>BOMBA DE INFUSION</v>
      </c>
      <c r="C4100" s="6">
        <v>1000000</v>
      </c>
      <c r="D4100" s="5" t="s">
        <v>351</v>
      </c>
      <c r="E4100" s="5" t="str">
        <f t="shared" si="190"/>
        <v>ACTISALUD- SALA DE PARTOS-MARIA AUXILIADORA PERTUZ</v>
      </c>
      <c r="F4100" s="5"/>
      <c r="G4100" s="5"/>
    </row>
    <row r="4101" spans="1:7" ht="58.5" customHeight="1" x14ac:dyDescent="0.25">
      <c r="A4101" s="5" t="str">
        <f>"H0026821"</f>
        <v>H0026821</v>
      </c>
      <c r="B4101" s="5" t="str">
        <f t="shared" si="191"/>
        <v>BOMBA DE INFUSION</v>
      </c>
      <c r="C4101" s="6">
        <v>1000000</v>
      </c>
      <c r="D4101" s="5" t="s">
        <v>351</v>
      </c>
      <c r="E4101" s="5" t="str">
        <f t="shared" si="190"/>
        <v>ACTISALUD- SALA DE PARTOS-MARIA AUXILIADORA PERTUZ</v>
      </c>
      <c r="F4101" s="5"/>
      <c r="G4101" s="5"/>
    </row>
    <row r="4102" spans="1:7" ht="58.5" customHeight="1" x14ac:dyDescent="0.25">
      <c r="A4102" s="5" t="str">
        <f>"H0026824"</f>
        <v>H0026824</v>
      </c>
      <c r="B4102" s="5" t="str">
        <f t="shared" si="191"/>
        <v>BOMBA DE INFUSION</v>
      </c>
      <c r="C4102" s="6">
        <v>1000000</v>
      </c>
      <c r="D4102" s="5" t="s">
        <v>351</v>
      </c>
      <c r="E4102" s="5" t="str">
        <f t="shared" si="190"/>
        <v>ACTISALUD- SALA DE PARTOS-MARIA AUXILIADORA PERTUZ</v>
      </c>
      <c r="F4102" s="5"/>
      <c r="G4102" s="5"/>
    </row>
    <row r="4103" spans="1:7" ht="58.5" customHeight="1" x14ac:dyDescent="0.25">
      <c r="A4103" s="5" t="str">
        <f>"H0026826"</f>
        <v>H0026826</v>
      </c>
      <c r="B4103" s="5" t="str">
        <f t="shared" si="191"/>
        <v>BOMBA DE INFUSION</v>
      </c>
      <c r="C4103" s="6">
        <v>1000000</v>
      </c>
      <c r="D4103" s="5" t="s">
        <v>351</v>
      </c>
      <c r="E4103" s="5" t="str">
        <f t="shared" si="190"/>
        <v>ACTISALUD- SALA DE PARTOS-MARIA AUXILIADORA PERTUZ</v>
      </c>
      <c r="F4103" s="5"/>
      <c r="G4103" s="5"/>
    </row>
    <row r="4104" spans="1:7" ht="58.5" customHeight="1" x14ac:dyDescent="0.25">
      <c r="A4104" s="5" t="str">
        <f>"H0026828"</f>
        <v>H0026828</v>
      </c>
      <c r="B4104" s="5" t="str">
        <f t="shared" si="191"/>
        <v>BOMBA DE INFUSION</v>
      </c>
      <c r="C4104" s="6">
        <v>1000000</v>
      </c>
      <c r="D4104" s="5" t="s">
        <v>351</v>
      </c>
      <c r="E4104" s="5" t="str">
        <f t="shared" si="190"/>
        <v>ACTISALUD- SALA DE PARTOS-MARIA AUXILIADORA PERTUZ</v>
      </c>
      <c r="F4104" s="5"/>
      <c r="G4104" s="5"/>
    </row>
    <row r="4105" spans="1:7" ht="58.5" customHeight="1" x14ac:dyDescent="0.25">
      <c r="A4105" s="5" t="str">
        <f>"H0026887"</f>
        <v>H0026887</v>
      </c>
      <c r="B4105" s="5" t="str">
        <f t="shared" si="191"/>
        <v>BOMBA DE INFUSION</v>
      </c>
      <c r="C4105" s="6">
        <v>800000</v>
      </c>
      <c r="D4105" s="5" t="s">
        <v>79</v>
      </c>
      <c r="E4105" s="5" t="str">
        <f t="shared" si="190"/>
        <v>ACTISALUD- SALA DE PARTOS-MARIA AUXILIADORA PERTUZ</v>
      </c>
      <c r="F4105" s="5"/>
      <c r="G4105" s="5"/>
    </row>
    <row r="4106" spans="1:7" ht="58.5" customHeight="1" x14ac:dyDescent="0.25">
      <c r="A4106" s="5" t="str">
        <f>"H0026891"</f>
        <v>H0026891</v>
      </c>
      <c r="B4106" s="5" t="str">
        <f t="shared" si="191"/>
        <v>BOMBA DE INFUSION</v>
      </c>
      <c r="C4106" s="6">
        <v>800000</v>
      </c>
      <c r="D4106" s="5" t="s">
        <v>79</v>
      </c>
      <c r="E4106" s="5" t="str">
        <f t="shared" si="190"/>
        <v>ACTISALUD- SALA DE PARTOS-MARIA AUXILIADORA PERTUZ</v>
      </c>
      <c r="F4106" s="5"/>
      <c r="G4106" s="5"/>
    </row>
    <row r="4107" spans="1:7" ht="58.5" customHeight="1" x14ac:dyDescent="0.25">
      <c r="A4107" s="5" t="str">
        <f>"H0026985"</f>
        <v>H0026985</v>
      </c>
      <c r="B4107" s="5" t="str">
        <f t="shared" si="191"/>
        <v>BOMBA DE INFUSION</v>
      </c>
      <c r="C4107" s="6">
        <v>800000</v>
      </c>
      <c r="D4107" s="5" t="s">
        <v>79</v>
      </c>
      <c r="E4107" s="5" t="str">
        <f t="shared" si="190"/>
        <v>ACTISALUD- SALA DE PARTOS-MARIA AUXILIADORA PERTUZ</v>
      </c>
      <c r="F4107" s="5"/>
      <c r="G4107" s="5"/>
    </row>
    <row r="4108" spans="1:7" ht="58.5" customHeight="1" x14ac:dyDescent="0.25">
      <c r="A4108" s="5" t="str">
        <f>"H0026987"</f>
        <v>H0026987</v>
      </c>
      <c r="B4108" s="5" t="str">
        <f t="shared" si="191"/>
        <v>BOMBA DE INFUSION</v>
      </c>
      <c r="C4108" s="6">
        <v>800000</v>
      </c>
      <c r="D4108" s="5" t="s">
        <v>79</v>
      </c>
      <c r="E4108" s="5" t="str">
        <f t="shared" si="190"/>
        <v>ACTISALUD- SALA DE PARTOS-MARIA AUXILIADORA PERTUZ</v>
      </c>
      <c r="F4108" s="5"/>
      <c r="G4108" s="5"/>
    </row>
    <row r="4109" spans="1:7" ht="58.5" customHeight="1" x14ac:dyDescent="0.25">
      <c r="A4109" s="5" t="str">
        <f>"H0027010"</f>
        <v>H0027010</v>
      </c>
      <c r="B4109" s="5" t="str">
        <f>"BASE PARA MONITOR DE SIGNOS VITALES"</f>
        <v>BASE PARA MONITOR DE SIGNOS VITALES</v>
      </c>
      <c r="C4109" s="6">
        <v>809200</v>
      </c>
      <c r="D4109" s="5" t="s">
        <v>80</v>
      </c>
      <c r="E4109" s="5" t="str">
        <f t="shared" si="190"/>
        <v>ACTISALUD- SALA DE PARTOS-MARIA AUXILIADORA PERTUZ</v>
      </c>
      <c r="F4109" s="5"/>
      <c r="G4109" s="5"/>
    </row>
    <row r="4110" spans="1:7" ht="58.5" customHeight="1" x14ac:dyDescent="0.25">
      <c r="A4110" s="5" t="str">
        <f>"H0027011"</f>
        <v>H0027011</v>
      </c>
      <c r="B4110" s="5" t="str">
        <f>"BASE PARA MONITOR DE SIGNOS VITALES"</f>
        <v>BASE PARA MONITOR DE SIGNOS VITALES</v>
      </c>
      <c r="C4110" s="6">
        <v>809200</v>
      </c>
      <c r="D4110" s="5" t="s">
        <v>80</v>
      </c>
      <c r="E4110" s="5" t="str">
        <f t="shared" si="190"/>
        <v>ACTISALUD- SALA DE PARTOS-MARIA AUXILIADORA PERTUZ</v>
      </c>
      <c r="F4110" s="5"/>
      <c r="G4110" s="5"/>
    </row>
    <row r="4111" spans="1:7" ht="58.5" customHeight="1" x14ac:dyDescent="0.25">
      <c r="A4111" s="5" t="str">
        <f>"H0027012"</f>
        <v>H0027012</v>
      </c>
      <c r="B4111" s="5" t="str">
        <f>"BASE PARA MONITOR DE SIGNOS VITALES"</f>
        <v>BASE PARA MONITOR DE SIGNOS VITALES</v>
      </c>
      <c r="C4111" s="6">
        <v>809200</v>
      </c>
      <c r="D4111" s="5" t="s">
        <v>80</v>
      </c>
      <c r="E4111" s="5" t="str">
        <f t="shared" si="190"/>
        <v>ACTISALUD- SALA DE PARTOS-MARIA AUXILIADORA PERTUZ</v>
      </c>
      <c r="F4111" s="5"/>
      <c r="G4111" s="5"/>
    </row>
    <row r="4112" spans="1:7" ht="58.5" customHeight="1" x14ac:dyDescent="0.25">
      <c r="A4112" s="5" t="str">
        <f>"H0027013"</f>
        <v>H0027013</v>
      </c>
      <c r="B4112" s="5" t="str">
        <f>"BASE PARA MONITOR DE SIGNOS VITALES"</f>
        <v>BASE PARA MONITOR DE SIGNOS VITALES</v>
      </c>
      <c r="C4112" s="6">
        <v>809200</v>
      </c>
      <c r="D4112" s="5" t="s">
        <v>80</v>
      </c>
      <c r="E4112" s="5" t="str">
        <f t="shared" si="190"/>
        <v>ACTISALUD- SALA DE PARTOS-MARIA AUXILIADORA PERTUZ</v>
      </c>
      <c r="F4112" s="5"/>
      <c r="G4112" s="5"/>
    </row>
    <row r="4113" spans="1:7" ht="58.5" customHeight="1" x14ac:dyDescent="0.25">
      <c r="A4113" s="5" t="str">
        <f>"H0027141"</f>
        <v>H0027141</v>
      </c>
      <c r="B4113" s="5" t="str">
        <f>"MONITOR DE SIGNOS VITALES"</f>
        <v>MONITOR DE SIGNOS VITALES</v>
      </c>
      <c r="C4113" s="6">
        <v>3680000.05</v>
      </c>
      <c r="D4113" s="5" t="s">
        <v>82</v>
      </c>
      <c r="E4113" s="5" t="str">
        <f t="shared" si="190"/>
        <v>ACTISALUD- SALA DE PARTOS-MARIA AUXILIADORA PERTUZ</v>
      </c>
      <c r="F4113" s="5"/>
      <c r="G4113" s="5" t="str">
        <f>"IM12"</f>
        <v>IM12</v>
      </c>
    </row>
    <row r="4114" spans="1:7" ht="58.5" customHeight="1" x14ac:dyDescent="0.25">
      <c r="A4114" s="5" t="str">
        <f>"H0027153"</f>
        <v>H0027153</v>
      </c>
      <c r="B4114" s="5" t="str">
        <f>"MONITOR DE SIGNOS VITALES"</f>
        <v>MONITOR DE SIGNOS VITALES</v>
      </c>
      <c r="C4114" s="6">
        <v>3680000.05</v>
      </c>
      <c r="D4114" s="5" t="s">
        <v>82</v>
      </c>
      <c r="E4114" s="5" t="str">
        <f t="shared" si="190"/>
        <v>ACTISALUD- SALA DE PARTOS-MARIA AUXILIADORA PERTUZ</v>
      </c>
      <c r="F4114" s="5"/>
      <c r="G4114" s="5" t="str">
        <f>"IM12"</f>
        <v>IM12</v>
      </c>
    </row>
    <row r="4115" spans="1:7" ht="58.5" customHeight="1" x14ac:dyDescent="0.25">
      <c r="A4115" s="5" t="str">
        <f>"H0027156"</f>
        <v>H0027156</v>
      </c>
      <c r="B4115" s="5" t="str">
        <f>"TALLIMETRO PARA PESABEBÉS SECA 374/376"</f>
        <v>TALLIMETRO PARA PESABEBÉS SECA 374/376</v>
      </c>
      <c r="C4115" s="6">
        <v>420581.5</v>
      </c>
      <c r="D4115" s="5" t="s">
        <v>244</v>
      </c>
      <c r="E4115" s="5" t="str">
        <f t="shared" si="190"/>
        <v>ACTISALUD- SALA DE PARTOS-MARIA AUXILIADORA PERTUZ</v>
      </c>
      <c r="F4115" s="5"/>
      <c r="G4115" s="5"/>
    </row>
    <row r="4116" spans="1:7" ht="58.5" customHeight="1" x14ac:dyDescent="0.25">
      <c r="A4116" s="5" t="str">
        <f>"H0027157"</f>
        <v>H0027157</v>
      </c>
      <c r="B4116" s="5" t="str">
        <f>"TALLIMETRO PARA PESABEBÉS SECA 374/376"</f>
        <v>TALLIMETRO PARA PESABEBÉS SECA 374/376</v>
      </c>
      <c r="C4116" s="6">
        <v>420581.5</v>
      </c>
      <c r="D4116" s="5" t="s">
        <v>244</v>
      </c>
      <c r="E4116" s="5" t="str">
        <f t="shared" si="190"/>
        <v>ACTISALUD- SALA DE PARTOS-MARIA AUXILIADORA PERTUZ</v>
      </c>
      <c r="F4116" s="5"/>
      <c r="G4116" s="5"/>
    </row>
    <row r="4117" spans="1:7" ht="58.5" customHeight="1" x14ac:dyDescent="0.25">
      <c r="A4117" s="5" t="str">
        <f>"H0027158"</f>
        <v>H0027158</v>
      </c>
      <c r="B4117" s="5" t="str">
        <f>"BASCULA PESA BEBE MARCA SECA MODELO 374"</f>
        <v>BASCULA PESA BEBE MARCA SECA MODELO 374</v>
      </c>
      <c r="C4117" s="6">
        <v>1866581.5</v>
      </c>
      <c r="D4117" s="5" t="s">
        <v>244</v>
      </c>
      <c r="E4117" s="5" t="str">
        <f t="shared" si="190"/>
        <v>ACTISALUD- SALA DE PARTOS-MARIA AUXILIADORA PERTUZ</v>
      </c>
      <c r="F4117" s="5"/>
      <c r="G4117" s="5" t="str">
        <f>"334"</f>
        <v>334</v>
      </c>
    </row>
    <row r="4118" spans="1:7" ht="58.5" customHeight="1" x14ac:dyDescent="0.25">
      <c r="A4118" s="5" t="str">
        <f>"H0027159"</f>
        <v>H0027159</v>
      </c>
      <c r="B4118" s="5" t="str">
        <f>"BASCULA PESA BEBE MARCA SECA MODELO 374"</f>
        <v>BASCULA PESA BEBE MARCA SECA MODELO 374</v>
      </c>
      <c r="C4118" s="6">
        <v>1866581.5</v>
      </c>
      <c r="D4118" s="5" t="s">
        <v>244</v>
      </c>
      <c r="E4118" s="5" t="str">
        <f t="shared" si="190"/>
        <v>ACTISALUD- SALA DE PARTOS-MARIA AUXILIADORA PERTUZ</v>
      </c>
      <c r="F4118" s="5"/>
      <c r="G4118" s="5"/>
    </row>
    <row r="4119" spans="1:7" ht="58.5" customHeight="1" x14ac:dyDescent="0.25">
      <c r="A4119" s="5" t="str">
        <f>"H0027182"</f>
        <v>H0027182</v>
      </c>
      <c r="B411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4119" s="6">
        <v>2641800</v>
      </c>
      <c r="D4119" s="5" t="s">
        <v>38</v>
      </c>
      <c r="E4119" s="5" t="str">
        <f t="shared" si="190"/>
        <v>ACTISALUD- SALA DE PARTOS-MARIA AUXILIADORA PERTUZ</v>
      </c>
      <c r="F4119" s="5"/>
      <c r="G4119" s="5"/>
    </row>
    <row r="4120" spans="1:7" ht="58.5" customHeight="1" x14ac:dyDescent="0.25">
      <c r="A4120" s="5" t="str">
        <f>"H0027330"</f>
        <v>H0027330</v>
      </c>
      <c r="B4120" s="5" t="str">
        <f>"CAMILLA GINECOLOGICA CON ESTRIBOS"</f>
        <v>CAMILLA GINECOLOGICA CON ESTRIBOS</v>
      </c>
      <c r="C4120" s="6">
        <v>13137600</v>
      </c>
      <c r="D4120" s="5" t="s">
        <v>352</v>
      </c>
      <c r="E4120" s="5" t="str">
        <f t="shared" si="190"/>
        <v>ACTISALUD- SALA DE PARTOS-MARIA AUXILIADORA PERTUZ</v>
      </c>
      <c r="F4120" s="5"/>
      <c r="G4120" s="5"/>
    </row>
    <row r="4121" spans="1:7" ht="58.5" customHeight="1" x14ac:dyDescent="0.25">
      <c r="A4121" s="5" t="str">
        <f>"H0027331"</f>
        <v>H0027331</v>
      </c>
      <c r="B4121" s="5" t="str">
        <f>"CAMILLA GINECOLOGICA CON ESTRIBOS"</f>
        <v>CAMILLA GINECOLOGICA CON ESTRIBOS</v>
      </c>
      <c r="C4121" s="6">
        <v>13137600</v>
      </c>
      <c r="D4121" s="5" t="s">
        <v>352</v>
      </c>
      <c r="E4121" s="5" t="str">
        <f t="shared" ref="E4121:E4184" si="192">"ACTISALUD- SALA DE PARTOS-MARIA AUXILIADORA PERTUZ"</f>
        <v>ACTISALUD- SALA DE PARTOS-MARIA AUXILIADORA PERTUZ</v>
      </c>
      <c r="F4121" s="5"/>
      <c r="G4121" s="5"/>
    </row>
    <row r="4122" spans="1:7" ht="58.5" customHeight="1" x14ac:dyDescent="0.25">
      <c r="A4122" s="5" t="str">
        <f>"H0027332"</f>
        <v>H0027332</v>
      </c>
      <c r="B4122" s="5" t="str">
        <f>"CAMILLA FIJA"</f>
        <v>CAMILLA FIJA</v>
      </c>
      <c r="C4122" s="6">
        <v>2975000</v>
      </c>
      <c r="D4122" s="5" t="s">
        <v>352</v>
      </c>
      <c r="E4122" s="5" t="str">
        <f t="shared" si="192"/>
        <v>ACTISALUD- SALA DE PARTOS-MARIA AUXILIADORA PERTUZ</v>
      </c>
      <c r="F4122" s="5"/>
      <c r="G4122" s="5"/>
    </row>
    <row r="4123" spans="1:7" ht="58.5" customHeight="1" x14ac:dyDescent="0.25">
      <c r="A4123" s="5" t="str">
        <f>"H0027333"</f>
        <v>H0027333</v>
      </c>
      <c r="B4123" s="5" t="str">
        <f>"CAMILLA FIJA"</f>
        <v>CAMILLA FIJA</v>
      </c>
      <c r="C4123" s="6">
        <v>2975000</v>
      </c>
      <c r="D4123" s="5" t="s">
        <v>353</v>
      </c>
      <c r="E4123" s="5" t="str">
        <f t="shared" si="192"/>
        <v>ACTISALUD- SALA DE PARTOS-MARIA AUXILIADORA PERTUZ</v>
      </c>
      <c r="F4123" s="5"/>
      <c r="G4123" s="5"/>
    </row>
    <row r="4124" spans="1:7" ht="58.5" customHeight="1" x14ac:dyDescent="0.25">
      <c r="A4124" s="5" t="str">
        <f>"H0027386"</f>
        <v>H0027386</v>
      </c>
      <c r="B4124"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4124" s="6">
        <v>589999.67000000004</v>
      </c>
      <c r="D4124" s="5" t="s">
        <v>354</v>
      </c>
      <c r="E4124" s="5" t="str">
        <f t="shared" si="192"/>
        <v>ACTISALUD- SALA DE PARTOS-MARIA AUXILIADORA PERTUZ</v>
      </c>
      <c r="F4124" s="5"/>
      <c r="G4124" s="5"/>
    </row>
    <row r="4125" spans="1:7" ht="58.5" customHeight="1" x14ac:dyDescent="0.25">
      <c r="A4125" s="5" t="str">
        <f>"H0027387"</f>
        <v>H0027387</v>
      </c>
      <c r="B4125" s="5" t="str">
        <f>"ELECTROCARDIOGRAFO"</f>
        <v>ELECTROCARDIOGRAFO</v>
      </c>
      <c r="C4125" s="6">
        <v>3011295</v>
      </c>
      <c r="D4125" s="5" t="s">
        <v>355</v>
      </c>
      <c r="E4125" s="5" t="str">
        <f t="shared" si="192"/>
        <v>ACTISALUD- SALA DE PARTOS-MARIA AUXILIADORA PERTUZ</v>
      </c>
      <c r="F4125" s="5"/>
      <c r="G4125" s="5" t="str">
        <f>"BENEHEART R3"</f>
        <v>BENEHEART R3</v>
      </c>
    </row>
    <row r="4126" spans="1:7" ht="58.5" customHeight="1" x14ac:dyDescent="0.25">
      <c r="A4126" s="5" t="str">
        <f>"H0027432"</f>
        <v>H0027432</v>
      </c>
      <c r="B4126" s="5" t="str">
        <f t="shared" ref="B4126:B4132" si="193">"LECTOR DE HUELLAS DIGITALES"</f>
        <v>LECTOR DE HUELLAS DIGITALES</v>
      </c>
      <c r="C4126" s="6">
        <v>234000.41</v>
      </c>
      <c r="D4126" s="5" t="s">
        <v>83</v>
      </c>
      <c r="E4126" s="5" t="str">
        <f t="shared" si="192"/>
        <v>ACTISALUD- SALA DE PARTOS-MARIA AUXILIADORA PERTUZ</v>
      </c>
      <c r="F4126" s="5"/>
      <c r="G4126" s="5"/>
    </row>
    <row r="4127" spans="1:7" ht="58.5" customHeight="1" x14ac:dyDescent="0.25">
      <c r="A4127" s="5" t="str">
        <f>"H0027453"</f>
        <v>H0027453</v>
      </c>
      <c r="B4127" s="5" t="str">
        <f t="shared" si="193"/>
        <v>LECTOR DE HUELLAS DIGITALES</v>
      </c>
      <c r="C4127" s="6">
        <v>234000.41</v>
      </c>
      <c r="D4127" s="5" t="s">
        <v>83</v>
      </c>
      <c r="E4127" s="5" t="str">
        <f t="shared" si="192"/>
        <v>ACTISALUD- SALA DE PARTOS-MARIA AUXILIADORA PERTUZ</v>
      </c>
      <c r="F4127" s="5"/>
      <c r="G4127" s="5"/>
    </row>
    <row r="4128" spans="1:7" ht="58.5" customHeight="1" x14ac:dyDescent="0.25">
      <c r="A4128" s="5" t="str">
        <f>"H0027481"</f>
        <v>H0027481</v>
      </c>
      <c r="B4128" s="5" t="str">
        <f t="shared" si="193"/>
        <v>LECTOR DE HUELLAS DIGITALES</v>
      </c>
      <c r="C4128" s="6">
        <v>234000.41</v>
      </c>
      <c r="D4128" s="5" t="s">
        <v>83</v>
      </c>
      <c r="E4128" s="5" t="str">
        <f t="shared" si="192"/>
        <v>ACTISALUD- SALA DE PARTOS-MARIA AUXILIADORA PERTUZ</v>
      </c>
      <c r="F4128" s="5"/>
      <c r="G4128" s="5"/>
    </row>
    <row r="4129" spans="1:7" ht="58.5" customHeight="1" x14ac:dyDescent="0.25">
      <c r="A4129" s="5" t="str">
        <f>"H0027495"</f>
        <v>H0027495</v>
      </c>
      <c r="B4129" s="5" t="str">
        <f t="shared" si="193"/>
        <v>LECTOR DE HUELLAS DIGITALES</v>
      </c>
      <c r="C4129" s="6">
        <v>234000.41</v>
      </c>
      <c r="D4129" s="5" t="s">
        <v>83</v>
      </c>
      <c r="E4129" s="5" t="str">
        <f t="shared" si="192"/>
        <v>ACTISALUD- SALA DE PARTOS-MARIA AUXILIADORA PERTUZ</v>
      </c>
      <c r="F4129" s="5"/>
      <c r="G4129" s="5"/>
    </row>
    <row r="4130" spans="1:7" ht="58.5" customHeight="1" x14ac:dyDescent="0.25">
      <c r="A4130" s="5" t="str">
        <f>"H0027496"</f>
        <v>H0027496</v>
      </c>
      <c r="B4130" s="5" t="str">
        <f t="shared" si="193"/>
        <v>LECTOR DE HUELLAS DIGITALES</v>
      </c>
      <c r="C4130" s="6">
        <v>234000.41</v>
      </c>
      <c r="D4130" s="5" t="s">
        <v>83</v>
      </c>
      <c r="E4130" s="5" t="str">
        <f t="shared" si="192"/>
        <v>ACTISALUD- SALA DE PARTOS-MARIA AUXILIADORA PERTUZ</v>
      </c>
      <c r="F4130" s="5"/>
      <c r="G4130" s="5"/>
    </row>
    <row r="4131" spans="1:7" ht="58.5" customHeight="1" x14ac:dyDescent="0.25">
      <c r="A4131" s="5" t="str">
        <f>"H0027497"</f>
        <v>H0027497</v>
      </c>
      <c r="B4131" s="5" t="str">
        <f t="shared" si="193"/>
        <v>LECTOR DE HUELLAS DIGITALES</v>
      </c>
      <c r="C4131" s="6">
        <v>234000.41</v>
      </c>
      <c r="D4131" s="5" t="s">
        <v>83</v>
      </c>
      <c r="E4131" s="5" t="str">
        <f t="shared" si="192"/>
        <v>ACTISALUD- SALA DE PARTOS-MARIA AUXILIADORA PERTUZ</v>
      </c>
      <c r="F4131" s="5"/>
      <c r="G4131" s="5"/>
    </row>
    <row r="4132" spans="1:7" ht="58.5" customHeight="1" x14ac:dyDescent="0.25">
      <c r="A4132" s="5" t="str">
        <f>"H0027498"</f>
        <v>H0027498</v>
      </c>
      <c r="B4132" s="5" t="str">
        <f t="shared" si="193"/>
        <v>LECTOR DE HUELLAS DIGITALES</v>
      </c>
      <c r="C4132" s="6">
        <v>234000.41</v>
      </c>
      <c r="D4132" s="5" t="s">
        <v>83</v>
      </c>
      <c r="E4132" s="5" t="str">
        <f t="shared" si="192"/>
        <v>ACTISALUD- SALA DE PARTOS-MARIA AUXILIADORA PERTUZ</v>
      </c>
      <c r="F4132" s="5"/>
      <c r="G4132" s="5"/>
    </row>
    <row r="4133" spans="1:7" ht="58.5" customHeight="1" x14ac:dyDescent="0.25">
      <c r="A4133" s="5" t="str">
        <f>"H0027608"</f>
        <v>H0027608</v>
      </c>
      <c r="B4133" s="5" t="str">
        <f>"LARINGOSCOPIO PEDIATRICO"</f>
        <v>LARINGOSCOPIO PEDIATRICO</v>
      </c>
      <c r="C4133" s="6">
        <v>913920</v>
      </c>
      <c r="D4133" s="5" t="s">
        <v>84</v>
      </c>
      <c r="E4133" s="5" t="str">
        <f t="shared" si="192"/>
        <v>ACTISALUD- SALA DE PARTOS-MARIA AUXILIADORA PERTUZ</v>
      </c>
      <c r="F4133" s="5"/>
      <c r="G4133" s="5"/>
    </row>
    <row r="4134" spans="1:7" ht="58.5" customHeight="1" x14ac:dyDescent="0.25">
      <c r="A4134" s="5" t="str">
        <f>"H0027642"</f>
        <v>H0027642</v>
      </c>
      <c r="B4134" s="5" t="str">
        <f>"CAMILLA SKK-B (Camilla de transporte, incluye colchoneta y atril)"</f>
        <v>CAMILLA SKK-B (Camilla de transporte, incluye colchoneta y atril)</v>
      </c>
      <c r="C4134" s="6">
        <v>6961500</v>
      </c>
      <c r="D4134" s="5" t="s">
        <v>356</v>
      </c>
      <c r="E4134" s="5" t="str">
        <f t="shared" si="192"/>
        <v>ACTISALUD- SALA DE PARTOS-MARIA AUXILIADORA PERTUZ</v>
      </c>
      <c r="F4134" s="5"/>
      <c r="G4134" s="5"/>
    </row>
    <row r="4135" spans="1:7" ht="58.5" customHeight="1" x14ac:dyDescent="0.25">
      <c r="A4135" s="5" t="str">
        <f>"H0027643"</f>
        <v>H0027643</v>
      </c>
      <c r="B4135" s="5" t="s">
        <v>357</v>
      </c>
      <c r="C4135" s="6">
        <v>5462100</v>
      </c>
      <c r="D4135" s="5" t="s">
        <v>85</v>
      </c>
      <c r="E4135" s="5" t="str">
        <f t="shared" si="192"/>
        <v>ACTISALUD- SALA DE PARTOS-MARIA AUXILIADORA PERTUZ</v>
      </c>
      <c r="F4135" s="5"/>
      <c r="G4135" s="5"/>
    </row>
    <row r="4136" spans="1:7" ht="58.5" customHeight="1" x14ac:dyDescent="0.25">
      <c r="A4136" s="5" t="str">
        <f>"H0027645"</f>
        <v>H0027645</v>
      </c>
      <c r="B4136" s="5" t="s">
        <v>358</v>
      </c>
      <c r="C4136" s="6">
        <v>10370850</v>
      </c>
      <c r="D4136" s="5" t="s">
        <v>85</v>
      </c>
      <c r="E4136" s="5" t="str">
        <f t="shared" si="192"/>
        <v>ACTISALUD- SALA DE PARTOS-MARIA AUXILIADORA PERTUZ</v>
      </c>
      <c r="F4136" s="5"/>
      <c r="G4136" s="5"/>
    </row>
    <row r="4137" spans="1:7" ht="58.5" customHeight="1" x14ac:dyDescent="0.25">
      <c r="A4137" s="5" t="str">
        <f>"H0027650"</f>
        <v>H0027650</v>
      </c>
      <c r="B4137" s="5" t="str">
        <f>"SILLA DE RUEDAS"</f>
        <v>SILLA DE RUEDAS</v>
      </c>
      <c r="C4137" s="6">
        <v>484000</v>
      </c>
      <c r="D4137" s="5" t="s">
        <v>359</v>
      </c>
      <c r="E4137" s="5" t="str">
        <f t="shared" si="192"/>
        <v>ACTISALUD- SALA DE PARTOS-MARIA AUXILIADORA PERTUZ</v>
      </c>
      <c r="F4137" s="5"/>
      <c r="G4137" s="5"/>
    </row>
    <row r="4138" spans="1:7" ht="58.5" customHeight="1" x14ac:dyDescent="0.25">
      <c r="A4138" s="5" t="str">
        <f>"H0027652"</f>
        <v>H0027652</v>
      </c>
      <c r="B4138" s="5" t="str">
        <f>"SILLA DE RUEDAS"</f>
        <v>SILLA DE RUEDAS</v>
      </c>
      <c r="C4138" s="6">
        <v>484000</v>
      </c>
      <c r="D4138" s="5" t="s">
        <v>359</v>
      </c>
      <c r="E4138" s="5" t="str">
        <f t="shared" si="192"/>
        <v>ACTISALUD- SALA DE PARTOS-MARIA AUXILIADORA PERTUZ</v>
      </c>
      <c r="F4138" s="5"/>
      <c r="G4138" s="5"/>
    </row>
    <row r="4139" spans="1:7" ht="58.5" customHeight="1" x14ac:dyDescent="0.25">
      <c r="A4139" s="5" t="str">
        <f>"H0027653"</f>
        <v>H0027653</v>
      </c>
      <c r="B4139" s="5" t="str">
        <f t="shared" ref="B4139:B4150" si="194">"ESCALERILLA DE 2 PASOS"</f>
        <v>ESCALERILLA DE 2 PASOS</v>
      </c>
      <c r="C4139" s="6">
        <v>99960</v>
      </c>
      <c r="D4139" s="5" t="s">
        <v>359</v>
      </c>
      <c r="E4139" s="5" t="str">
        <f t="shared" si="192"/>
        <v>ACTISALUD- SALA DE PARTOS-MARIA AUXILIADORA PERTUZ</v>
      </c>
      <c r="F4139" s="5"/>
      <c r="G4139" s="5"/>
    </row>
    <row r="4140" spans="1:7" ht="58.5" customHeight="1" x14ac:dyDescent="0.25">
      <c r="A4140" s="5" t="str">
        <f>"H0027654"</f>
        <v>H0027654</v>
      </c>
      <c r="B4140" s="5" t="str">
        <f t="shared" si="194"/>
        <v>ESCALERILLA DE 2 PASOS</v>
      </c>
      <c r="C4140" s="6">
        <v>99960</v>
      </c>
      <c r="D4140" s="5" t="s">
        <v>359</v>
      </c>
      <c r="E4140" s="5" t="str">
        <f t="shared" si="192"/>
        <v>ACTISALUD- SALA DE PARTOS-MARIA AUXILIADORA PERTUZ</v>
      </c>
      <c r="F4140" s="5"/>
      <c r="G4140" s="5"/>
    </row>
    <row r="4141" spans="1:7" ht="58.5" customHeight="1" x14ac:dyDescent="0.25">
      <c r="A4141" s="5" t="str">
        <f>"H0027655"</f>
        <v>H0027655</v>
      </c>
      <c r="B4141" s="5" t="str">
        <f t="shared" si="194"/>
        <v>ESCALERILLA DE 2 PASOS</v>
      </c>
      <c r="C4141" s="6">
        <v>99960</v>
      </c>
      <c r="D4141" s="5" t="s">
        <v>359</v>
      </c>
      <c r="E4141" s="5" t="str">
        <f t="shared" si="192"/>
        <v>ACTISALUD- SALA DE PARTOS-MARIA AUXILIADORA PERTUZ</v>
      </c>
      <c r="F4141" s="5"/>
      <c r="G4141" s="5"/>
    </row>
    <row r="4142" spans="1:7" ht="58.5" customHeight="1" x14ac:dyDescent="0.25">
      <c r="A4142" s="5" t="str">
        <f>"H0027656"</f>
        <v>H0027656</v>
      </c>
      <c r="B4142" s="5" t="str">
        <f t="shared" si="194"/>
        <v>ESCALERILLA DE 2 PASOS</v>
      </c>
      <c r="C4142" s="6">
        <v>99960</v>
      </c>
      <c r="D4142" s="5" t="s">
        <v>359</v>
      </c>
      <c r="E4142" s="5" t="str">
        <f t="shared" si="192"/>
        <v>ACTISALUD- SALA DE PARTOS-MARIA AUXILIADORA PERTUZ</v>
      </c>
      <c r="F4142" s="5"/>
      <c r="G4142" s="5"/>
    </row>
    <row r="4143" spans="1:7" ht="58.5" customHeight="1" x14ac:dyDescent="0.25">
      <c r="A4143" s="5" t="str">
        <f>"H0027657"</f>
        <v>H0027657</v>
      </c>
      <c r="B4143" s="5" t="str">
        <f t="shared" si="194"/>
        <v>ESCALERILLA DE 2 PASOS</v>
      </c>
      <c r="C4143" s="6">
        <v>99960</v>
      </c>
      <c r="D4143" s="5" t="s">
        <v>359</v>
      </c>
      <c r="E4143" s="5" t="str">
        <f t="shared" si="192"/>
        <v>ACTISALUD- SALA DE PARTOS-MARIA AUXILIADORA PERTUZ</v>
      </c>
      <c r="F4143" s="5"/>
      <c r="G4143" s="5"/>
    </row>
    <row r="4144" spans="1:7" ht="58.5" customHeight="1" x14ac:dyDescent="0.25">
      <c r="A4144" s="5" t="str">
        <f>"H0027658"</f>
        <v>H0027658</v>
      </c>
      <c r="B4144" s="5" t="str">
        <f t="shared" si="194"/>
        <v>ESCALERILLA DE 2 PASOS</v>
      </c>
      <c r="C4144" s="6">
        <v>99960</v>
      </c>
      <c r="D4144" s="5" t="s">
        <v>359</v>
      </c>
      <c r="E4144" s="5" t="str">
        <f t="shared" si="192"/>
        <v>ACTISALUD- SALA DE PARTOS-MARIA AUXILIADORA PERTUZ</v>
      </c>
      <c r="F4144" s="5"/>
      <c r="G4144" s="5"/>
    </row>
    <row r="4145" spans="1:7" ht="58.5" customHeight="1" x14ac:dyDescent="0.25">
      <c r="A4145" s="5" t="str">
        <f>"H0027659"</f>
        <v>H0027659</v>
      </c>
      <c r="B4145" s="5" t="str">
        <f t="shared" si="194"/>
        <v>ESCALERILLA DE 2 PASOS</v>
      </c>
      <c r="C4145" s="6">
        <v>99960</v>
      </c>
      <c r="D4145" s="5" t="s">
        <v>359</v>
      </c>
      <c r="E4145" s="5" t="str">
        <f t="shared" si="192"/>
        <v>ACTISALUD- SALA DE PARTOS-MARIA AUXILIADORA PERTUZ</v>
      </c>
      <c r="F4145" s="5"/>
      <c r="G4145" s="5"/>
    </row>
    <row r="4146" spans="1:7" ht="58.5" customHeight="1" x14ac:dyDescent="0.25">
      <c r="A4146" s="5" t="str">
        <f>"H0027660"</f>
        <v>H0027660</v>
      </c>
      <c r="B4146" s="5" t="str">
        <f t="shared" si="194"/>
        <v>ESCALERILLA DE 2 PASOS</v>
      </c>
      <c r="C4146" s="6">
        <v>99960</v>
      </c>
      <c r="D4146" s="5" t="s">
        <v>359</v>
      </c>
      <c r="E4146" s="5" t="str">
        <f t="shared" si="192"/>
        <v>ACTISALUD- SALA DE PARTOS-MARIA AUXILIADORA PERTUZ</v>
      </c>
      <c r="F4146" s="5"/>
      <c r="G4146" s="5"/>
    </row>
    <row r="4147" spans="1:7" ht="58.5" customHeight="1" x14ac:dyDescent="0.25">
      <c r="A4147" s="5" t="str">
        <f>"H0027661"</f>
        <v>H0027661</v>
      </c>
      <c r="B4147" s="5" t="str">
        <f t="shared" si="194"/>
        <v>ESCALERILLA DE 2 PASOS</v>
      </c>
      <c r="C4147" s="6">
        <v>99960</v>
      </c>
      <c r="D4147" s="5" t="s">
        <v>359</v>
      </c>
      <c r="E4147" s="5" t="str">
        <f t="shared" si="192"/>
        <v>ACTISALUD- SALA DE PARTOS-MARIA AUXILIADORA PERTUZ</v>
      </c>
      <c r="F4147" s="5"/>
      <c r="G4147" s="5"/>
    </row>
    <row r="4148" spans="1:7" ht="58.5" customHeight="1" x14ac:dyDescent="0.25">
      <c r="A4148" s="5" t="str">
        <f>"H0027662"</f>
        <v>H0027662</v>
      </c>
      <c r="B4148" s="5" t="str">
        <f t="shared" si="194"/>
        <v>ESCALERILLA DE 2 PASOS</v>
      </c>
      <c r="C4148" s="6">
        <v>99960</v>
      </c>
      <c r="D4148" s="5" t="s">
        <v>359</v>
      </c>
      <c r="E4148" s="5" t="str">
        <f t="shared" si="192"/>
        <v>ACTISALUD- SALA DE PARTOS-MARIA AUXILIADORA PERTUZ</v>
      </c>
      <c r="F4148" s="5"/>
      <c r="G4148" s="5"/>
    </row>
    <row r="4149" spans="1:7" ht="58.5" customHeight="1" x14ac:dyDescent="0.25">
      <c r="A4149" s="5" t="str">
        <f>"H0027663"</f>
        <v>H0027663</v>
      </c>
      <c r="B4149" s="5" t="str">
        <f t="shared" si="194"/>
        <v>ESCALERILLA DE 2 PASOS</v>
      </c>
      <c r="C4149" s="6">
        <v>99960</v>
      </c>
      <c r="D4149" s="5" t="s">
        <v>359</v>
      </c>
      <c r="E4149" s="5" t="str">
        <f t="shared" si="192"/>
        <v>ACTISALUD- SALA DE PARTOS-MARIA AUXILIADORA PERTUZ</v>
      </c>
      <c r="F4149" s="5"/>
      <c r="G4149" s="5"/>
    </row>
    <row r="4150" spans="1:7" ht="58.5" customHeight="1" x14ac:dyDescent="0.25">
      <c r="A4150" s="5" t="str">
        <f>"H0027664"</f>
        <v>H0027664</v>
      </c>
      <c r="B4150" s="5" t="str">
        <f t="shared" si="194"/>
        <v>ESCALERILLA DE 2 PASOS</v>
      </c>
      <c r="C4150" s="6">
        <v>99960</v>
      </c>
      <c r="D4150" s="5" t="s">
        <v>359</v>
      </c>
      <c r="E4150" s="5" t="str">
        <f t="shared" si="192"/>
        <v>ACTISALUD- SALA DE PARTOS-MARIA AUXILIADORA PERTUZ</v>
      </c>
      <c r="F4150" s="5"/>
      <c r="G4150" s="5"/>
    </row>
    <row r="4151" spans="1:7" ht="58.5" customHeight="1" x14ac:dyDescent="0.25">
      <c r="A4151" s="5" t="str">
        <f>"H0028553"</f>
        <v>H0028553</v>
      </c>
      <c r="B4151" s="5" t="str">
        <f t="shared" ref="B4151:B4158" si="195">"CAMA ELECTRICA ADULTOS"</f>
        <v>CAMA ELECTRICA ADULTOS</v>
      </c>
      <c r="C4151" s="6">
        <v>11222890</v>
      </c>
      <c r="D4151" s="5" t="s">
        <v>270</v>
      </c>
      <c r="E4151" s="5" t="str">
        <f t="shared" si="192"/>
        <v>ACTISALUD- SALA DE PARTOS-MARIA AUXILIADORA PERTUZ</v>
      </c>
      <c r="F4151" s="5"/>
      <c r="G4151" s="5"/>
    </row>
    <row r="4152" spans="1:7" ht="58.5" customHeight="1" x14ac:dyDescent="0.25">
      <c r="A4152" s="5" t="str">
        <f>"H0028554"</f>
        <v>H0028554</v>
      </c>
      <c r="B4152" s="5" t="str">
        <f t="shared" si="195"/>
        <v>CAMA ELECTRICA ADULTOS</v>
      </c>
      <c r="C4152" s="6">
        <v>11222890</v>
      </c>
      <c r="D4152" s="5" t="s">
        <v>270</v>
      </c>
      <c r="E4152" s="5" t="str">
        <f t="shared" si="192"/>
        <v>ACTISALUD- SALA DE PARTOS-MARIA AUXILIADORA PERTUZ</v>
      </c>
      <c r="F4152" s="5"/>
      <c r="G4152" s="5"/>
    </row>
    <row r="4153" spans="1:7" ht="58.5" customHeight="1" x14ac:dyDescent="0.25">
      <c r="A4153" s="5" t="str">
        <f>"H0028555"</f>
        <v>H0028555</v>
      </c>
      <c r="B4153" s="5" t="str">
        <f t="shared" si="195"/>
        <v>CAMA ELECTRICA ADULTOS</v>
      </c>
      <c r="C4153" s="6">
        <v>11222890</v>
      </c>
      <c r="D4153" s="5" t="s">
        <v>270</v>
      </c>
      <c r="E4153" s="5" t="str">
        <f t="shared" si="192"/>
        <v>ACTISALUD- SALA DE PARTOS-MARIA AUXILIADORA PERTUZ</v>
      </c>
      <c r="F4153" s="5"/>
      <c r="G4153" s="5"/>
    </row>
    <row r="4154" spans="1:7" ht="58.5" customHeight="1" x14ac:dyDescent="0.25">
      <c r="A4154" s="5" t="str">
        <f>"H0028556"</f>
        <v>H0028556</v>
      </c>
      <c r="B4154" s="5" t="str">
        <f t="shared" si="195"/>
        <v>CAMA ELECTRICA ADULTOS</v>
      </c>
      <c r="C4154" s="6">
        <v>11222890</v>
      </c>
      <c r="D4154" s="5" t="s">
        <v>270</v>
      </c>
      <c r="E4154" s="5" t="str">
        <f t="shared" si="192"/>
        <v>ACTISALUD- SALA DE PARTOS-MARIA AUXILIADORA PERTUZ</v>
      </c>
      <c r="F4154" s="5"/>
      <c r="G4154" s="5"/>
    </row>
    <row r="4155" spans="1:7" ht="58.5" customHeight="1" x14ac:dyDescent="0.25">
      <c r="A4155" s="5" t="str">
        <f>"H0028557"</f>
        <v>H0028557</v>
      </c>
      <c r="B4155" s="5" t="str">
        <f t="shared" si="195"/>
        <v>CAMA ELECTRICA ADULTOS</v>
      </c>
      <c r="C4155" s="6">
        <v>11222890</v>
      </c>
      <c r="D4155" s="5" t="s">
        <v>270</v>
      </c>
      <c r="E4155" s="5" t="str">
        <f t="shared" si="192"/>
        <v>ACTISALUD- SALA DE PARTOS-MARIA AUXILIADORA PERTUZ</v>
      </c>
      <c r="F4155" s="5"/>
      <c r="G4155" s="5"/>
    </row>
    <row r="4156" spans="1:7" ht="58.5" customHeight="1" x14ac:dyDescent="0.25">
      <c r="A4156" s="5" t="str">
        <f>"H0028558"</f>
        <v>H0028558</v>
      </c>
      <c r="B4156" s="5" t="str">
        <f t="shared" si="195"/>
        <v>CAMA ELECTRICA ADULTOS</v>
      </c>
      <c r="C4156" s="6">
        <v>11222890</v>
      </c>
      <c r="D4156" s="5" t="s">
        <v>270</v>
      </c>
      <c r="E4156" s="5" t="str">
        <f t="shared" si="192"/>
        <v>ACTISALUD- SALA DE PARTOS-MARIA AUXILIADORA PERTUZ</v>
      </c>
      <c r="F4156" s="5"/>
      <c r="G4156" s="5"/>
    </row>
    <row r="4157" spans="1:7" ht="58.5" customHeight="1" x14ac:dyDescent="0.25">
      <c r="A4157" s="5" t="str">
        <f>"H0028559"</f>
        <v>H0028559</v>
      </c>
      <c r="B4157" s="5" t="str">
        <f t="shared" si="195"/>
        <v>CAMA ELECTRICA ADULTOS</v>
      </c>
      <c r="C4157" s="6">
        <v>11222890</v>
      </c>
      <c r="D4157" s="5" t="s">
        <v>270</v>
      </c>
      <c r="E4157" s="5" t="str">
        <f t="shared" si="192"/>
        <v>ACTISALUD- SALA DE PARTOS-MARIA AUXILIADORA PERTUZ</v>
      </c>
      <c r="F4157" s="5"/>
      <c r="G4157" s="5"/>
    </row>
    <row r="4158" spans="1:7" ht="58.5" customHeight="1" x14ac:dyDescent="0.25">
      <c r="A4158" s="5" t="str">
        <f>"H0028562"</f>
        <v>H0028562</v>
      </c>
      <c r="B4158" s="5" t="str">
        <f t="shared" si="195"/>
        <v>CAMA ELECTRICA ADULTOS</v>
      </c>
      <c r="C4158" s="6">
        <v>11222890</v>
      </c>
      <c r="D4158" s="5" t="s">
        <v>270</v>
      </c>
      <c r="E4158" s="5" t="str">
        <f t="shared" si="192"/>
        <v>ACTISALUD- SALA DE PARTOS-MARIA AUXILIADORA PERTUZ</v>
      </c>
      <c r="F4158" s="5"/>
      <c r="G4158" s="5"/>
    </row>
    <row r="4159" spans="1:7" ht="58.5" customHeight="1" x14ac:dyDescent="0.25">
      <c r="A4159" s="5" t="str">
        <f>"H0028563"</f>
        <v>H0028563</v>
      </c>
      <c r="B4159" s="5" t="str">
        <f>"CAMA ELECTRICA PARA OBSTETRICIA Y PARTOS"</f>
        <v>CAMA ELECTRICA PARA OBSTETRICIA Y PARTOS</v>
      </c>
      <c r="C4159" s="6">
        <v>20587000</v>
      </c>
      <c r="D4159" s="5" t="s">
        <v>270</v>
      </c>
      <c r="E4159" s="5" t="str">
        <f t="shared" si="192"/>
        <v>ACTISALUD- SALA DE PARTOS-MARIA AUXILIADORA PERTUZ</v>
      </c>
      <c r="F4159" s="5"/>
      <c r="G4159" s="5"/>
    </row>
    <row r="4160" spans="1:7" ht="58.5" customHeight="1" x14ac:dyDescent="0.25">
      <c r="A4160" s="5" t="str">
        <f>"H0028564"</f>
        <v>H0028564</v>
      </c>
      <c r="B4160" s="5" t="str">
        <f>"CAMA ELECTRICA PARA OBSTETRICIA Y PARTOS"</f>
        <v>CAMA ELECTRICA PARA OBSTETRICIA Y PARTOS</v>
      </c>
      <c r="C4160" s="6">
        <v>20587000</v>
      </c>
      <c r="D4160" s="5" t="s">
        <v>270</v>
      </c>
      <c r="E4160" s="5" t="str">
        <f t="shared" si="192"/>
        <v>ACTISALUD- SALA DE PARTOS-MARIA AUXILIADORA PERTUZ</v>
      </c>
      <c r="F4160" s="5"/>
      <c r="G4160" s="5"/>
    </row>
    <row r="4161" spans="1:7" ht="58.5" customHeight="1" x14ac:dyDescent="0.25">
      <c r="A4161" s="5" t="str">
        <f>"H0028994"</f>
        <v>H0028994</v>
      </c>
      <c r="B4161" s="5" t="str">
        <f>"REANIMADOR INFANTIL NEOPUFF RD900ASU"</f>
        <v>REANIMADOR INFANTIL NEOPUFF RD900ASU</v>
      </c>
      <c r="C4161" s="6">
        <v>3000000</v>
      </c>
      <c r="D4161" s="5" t="s">
        <v>360</v>
      </c>
      <c r="E4161" s="5" t="str">
        <f t="shared" si="192"/>
        <v>ACTISALUD- SALA DE PARTOS-MARIA AUXILIADORA PERTUZ</v>
      </c>
      <c r="F4161" s="5"/>
      <c r="G4161" s="5" t="str">
        <f>"RD900ASU"</f>
        <v>RD900ASU</v>
      </c>
    </row>
    <row r="4162" spans="1:7" ht="58.5" customHeight="1" x14ac:dyDescent="0.25">
      <c r="A4162" s="5" t="str">
        <f>"H0029057"</f>
        <v>H0029057</v>
      </c>
      <c r="B4162" s="5" t="str">
        <f>"SOPORTE PEDESTAL METALICO ELECTROCARDIOGRAFO COMPATIBLE CON EDAN OTRAS MARCAS"</f>
        <v>SOPORTE PEDESTAL METALICO ELECTROCARDIOGRAFO COMPATIBLE CON EDAN OTRAS MARCAS</v>
      </c>
      <c r="C4162" s="6">
        <v>730303</v>
      </c>
      <c r="D4162" s="5" t="s">
        <v>88</v>
      </c>
      <c r="E4162" s="5" t="str">
        <f t="shared" si="192"/>
        <v>ACTISALUD- SALA DE PARTOS-MARIA AUXILIADORA PERTUZ</v>
      </c>
      <c r="F4162" s="5"/>
      <c r="G4162" s="5"/>
    </row>
    <row r="4163" spans="1:7" ht="58.5" customHeight="1" x14ac:dyDescent="0.25">
      <c r="A4163" s="5" t="str">
        <f>"H0029061"</f>
        <v>H0029061</v>
      </c>
      <c r="B4163" s="5" t="str">
        <f>"SOPORTE PEDESTAL METALICO MONITOR FETAL"</f>
        <v>SOPORTE PEDESTAL METALICO MONITOR FETAL</v>
      </c>
      <c r="C4163" s="6">
        <v>730303</v>
      </c>
      <c r="D4163" s="5" t="s">
        <v>361</v>
      </c>
      <c r="E4163" s="5" t="str">
        <f t="shared" si="192"/>
        <v>ACTISALUD- SALA DE PARTOS-MARIA AUXILIADORA PERTUZ</v>
      </c>
      <c r="F4163" s="5"/>
      <c r="G4163" s="5"/>
    </row>
    <row r="4164" spans="1:7" ht="58.5" customHeight="1" x14ac:dyDescent="0.25">
      <c r="A4164" s="5" t="str">
        <f>"H0029069"</f>
        <v>H0029069</v>
      </c>
      <c r="B4164" s="5" t="str">
        <f>"CALENTADOR CORPORAL"</f>
        <v>CALENTADOR CORPORAL</v>
      </c>
      <c r="C4164" s="6">
        <v>6889877.4299999997</v>
      </c>
      <c r="D4164" s="5" t="s">
        <v>308</v>
      </c>
      <c r="E4164" s="5" t="str">
        <f t="shared" si="192"/>
        <v>ACTISALUD- SALA DE PARTOS-MARIA AUXILIADORA PERTUZ</v>
      </c>
      <c r="F4164" s="5"/>
      <c r="G4164" s="5"/>
    </row>
    <row r="4165" spans="1:7" ht="58.5" customHeight="1" x14ac:dyDescent="0.25">
      <c r="A4165" s="5" t="str">
        <f>"H0029092"</f>
        <v>H0029092</v>
      </c>
      <c r="B4165" s="5" t="str">
        <f>"LAMPARA CIELITICA"</f>
        <v>LAMPARA CIELITICA</v>
      </c>
      <c r="C4165" s="6">
        <v>59500000</v>
      </c>
      <c r="D4165" s="5" t="s">
        <v>310</v>
      </c>
      <c r="E4165" s="5" t="str">
        <f t="shared" si="192"/>
        <v>ACTISALUD- SALA DE PARTOS-MARIA AUXILIADORA PERTUZ</v>
      </c>
      <c r="F4165" s="5"/>
      <c r="G4165" s="5" t="str">
        <f>"BEN"</f>
        <v>BEN</v>
      </c>
    </row>
    <row r="4166" spans="1:7" ht="58.5" customHeight="1" x14ac:dyDescent="0.25">
      <c r="A4166" s="5" t="str">
        <f>"H0029093"</f>
        <v>H0029093</v>
      </c>
      <c r="B4166" s="5" t="str">
        <f>"LAMPARA CIELITICA"</f>
        <v>LAMPARA CIELITICA</v>
      </c>
      <c r="C4166" s="6">
        <v>59500000</v>
      </c>
      <c r="D4166" s="5" t="s">
        <v>310</v>
      </c>
      <c r="E4166" s="5" t="str">
        <f t="shared" si="192"/>
        <v>ACTISALUD- SALA DE PARTOS-MARIA AUXILIADORA PERTUZ</v>
      </c>
      <c r="F4166" s="5"/>
      <c r="G4166" s="5" t="str">
        <f>"BEN"</f>
        <v>BEN</v>
      </c>
    </row>
    <row r="4167" spans="1:7" ht="58.5" customHeight="1" x14ac:dyDescent="0.25">
      <c r="A4167" s="5" t="str">
        <f>"H0029125"</f>
        <v>H0029125</v>
      </c>
      <c r="B4167" s="5" t="str">
        <f>"LAMPARA DE FOTOTERAPIA XHZ90L (Lampara de fototerapia tipo LED,Advanced)"</f>
        <v>LAMPARA DE FOTOTERAPIA XHZ90L (Lampara de fototerapia tipo LED,Advanced)</v>
      </c>
      <c r="C4167" s="6">
        <v>8358322</v>
      </c>
      <c r="D4167" s="5" t="s">
        <v>223</v>
      </c>
      <c r="E4167" s="5" t="str">
        <f t="shared" si="192"/>
        <v>ACTISALUD- SALA DE PARTOS-MARIA AUXILIADORA PERTUZ</v>
      </c>
      <c r="F4167" s="5"/>
      <c r="G4167" s="5"/>
    </row>
    <row r="4168" spans="1:7" ht="58.5" customHeight="1" x14ac:dyDescent="0.25">
      <c r="A4168" s="5" t="str">
        <f>"H0029127"</f>
        <v>H0029127</v>
      </c>
      <c r="B4168" s="5" t="str">
        <f>"LAMPARA DE FOTOTERAPIA XHZ90L (Lampara de fototerapia tipo LED,Advanced)"</f>
        <v>LAMPARA DE FOTOTERAPIA XHZ90L (Lampara de fototerapia tipo LED,Advanced)</v>
      </c>
      <c r="C4168" s="6">
        <v>8358322</v>
      </c>
      <c r="D4168" s="5" t="s">
        <v>223</v>
      </c>
      <c r="E4168" s="5" t="str">
        <f t="shared" si="192"/>
        <v>ACTISALUD- SALA DE PARTOS-MARIA AUXILIADORA PERTUZ</v>
      </c>
      <c r="F4168" s="5"/>
      <c r="G4168" s="5"/>
    </row>
    <row r="4169" spans="1:7" ht="58.5" customHeight="1" x14ac:dyDescent="0.25">
      <c r="A4169" s="5" t="str">
        <f>"H0029226"</f>
        <v>H0029226</v>
      </c>
      <c r="B4169" s="5" t="str">
        <f>"MESA DE MAYO"</f>
        <v>MESA DE MAYO</v>
      </c>
      <c r="C4169" s="6">
        <v>637078.36</v>
      </c>
      <c r="D4169" s="5" t="s">
        <v>249</v>
      </c>
      <c r="E4169" s="5" t="str">
        <f t="shared" si="192"/>
        <v>ACTISALUD- SALA DE PARTOS-MARIA AUXILIADORA PERTUZ</v>
      </c>
      <c r="F4169" s="5"/>
      <c r="G4169" s="5"/>
    </row>
    <row r="4170" spans="1:7" ht="58.5" customHeight="1" x14ac:dyDescent="0.25">
      <c r="A4170" s="5" t="str">
        <f>"H0029227"</f>
        <v>H0029227</v>
      </c>
      <c r="B4170" s="5" t="str">
        <f>"MESA DE MAYO"</f>
        <v>MESA DE MAYO</v>
      </c>
      <c r="C4170" s="6">
        <v>637078.36</v>
      </c>
      <c r="D4170" s="5" t="s">
        <v>249</v>
      </c>
      <c r="E4170" s="5" t="str">
        <f t="shared" si="192"/>
        <v>ACTISALUD- SALA DE PARTOS-MARIA AUXILIADORA PERTUZ</v>
      </c>
      <c r="F4170" s="5"/>
      <c r="G4170" s="5"/>
    </row>
    <row r="4171" spans="1:7" ht="58.5" customHeight="1" x14ac:dyDescent="0.25">
      <c r="A4171" s="5" t="str">
        <f>"H0029228"</f>
        <v>H0029228</v>
      </c>
      <c r="B4171" s="5" t="str">
        <f>"MESA DE MAYO"</f>
        <v>MESA DE MAYO</v>
      </c>
      <c r="C4171" s="6">
        <v>637078.36</v>
      </c>
      <c r="D4171" s="5" t="s">
        <v>249</v>
      </c>
      <c r="E4171" s="5" t="str">
        <f t="shared" si="192"/>
        <v>ACTISALUD- SALA DE PARTOS-MARIA AUXILIADORA PERTUZ</v>
      </c>
      <c r="F4171" s="5"/>
      <c r="G4171" s="5"/>
    </row>
    <row r="4172" spans="1:7" ht="58.5" customHeight="1" x14ac:dyDescent="0.25">
      <c r="A4172" s="5" t="str">
        <f>"H0029229"</f>
        <v>H0029229</v>
      </c>
      <c r="B4172" s="5" t="str">
        <f>"MESA DE MAYO"</f>
        <v>MESA DE MAYO</v>
      </c>
      <c r="C4172" s="6">
        <v>637078.36</v>
      </c>
      <c r="D4172" s="5" t="s">
        <v>249</v>
      </c>
      <c r="E4172" s="5" t="str">
        <f t="shared" si="192"/>
        <v>ACTISALUD- SALA DE PARTOS-MARIA AUXILIADORA PERTUZ</v>
      </c>
      <c r="F4172" s="5"/>
      <c r="G4172" s="5"/>
    </row>
    <row r="4173" spans="1:7" ht="58.5" customHeight="1" x14ac:dyDescent="0.25">
      <c r="A4173" s="5" t="str">
        <f>"H0029470"</f>
        <v>H0029470</v>
      </c>
      <c r="B4173" s="5" t="str">
        <f>"LECTOR DE HUELLAS DIGITALES"</f>
        <v>LECTOR DE HUELLAS DIGITALES</v>
      </c>
      <c r="C4173" s="6">
        <v>309400</v>
      </c>
      <c r="D4173" s="5" t="s">
        <v>14</v>
      </c>
      <c r="E4173" s="5" t="str">
        <f t="shared" si="192"/>
        <v>ACTISALUD- SALA DE PARTOS-MARIA AUXILIADORA PERTUZ</v>
      </c>
      <c r="F4173" s="5"/>
      <c r="G4173" s="5"/>
    </row>
    <row r="4174" spans="1:7" ht="58.5" customHeight="1" x14ac:dyDescent="0.25">
      <c r="A4174" s="5" t="str">
        <f>"H0029471"</f>
        <v>H0029471</v>
      </c>
      <c r="B4174" s="5" t="str">
        <f>"LECTOR DE HUELLAS DIGITALES"</f>
        <v>LECTOR DE HUELLAS DIGITALES</v>
      </c>
      <c r="C4174" s="6">
        <v>309400</v>
      </c>
      <c r="D4174" s="5" t="s">
        <v>14</v>
      </c>
      <c r="E4174" s="5" t="str">
        <f t="shared" si="192"/>
        <v>ACTISALUD- SALA DE PARTOS-MARIA AUXILIADORA PERTUZ</v>
      </c>
      <c r="F4174" s="5"/>
      <c r="G4174" s="5"/>
    </row>
    <row r="4175" spans="1:7" ht="58.5" customHeight="1" x14ac:dyDescent="0.25">
      <c r="A4175" s="5" t="str">
        <f>"H0029861"</f>
        <v>H0029861</v>
      </c>
      <c r="B4175" s="5" t="str">
        <f>"CARRO MOVIL PARA COMPUTADOR PORTATIL CON CANASTA"</f>
        <v>CARRO MOVIL PARA COMPUTADOR PORTATIL CON CANASTA</v>
      </c>
      <c r="C4175" s="6">
        <v>420000</v>
      </c>
      <c r="D4175" s="5" t="s">
        <v>313</v>
      </c>
      <c r="E4175" s="5" t="str">
        <f t="shared" si="192"/>
        <v>ACTISALUD- SALA DE PARTOS-MARIA AUXILIADORA PERTUZ</v>
      </c>
      <c r="F4175" s="5"/>
      <c r="G4175" s="5"/>
    </row>
    <row r="4176" spans="1:7" ht="58.5" customHeight="1" x14ac:dyDescent="0.25">
      <c r="A4176" s="5" t="str">
        <f>"H0029862"</f>
        <v>H0029862</v>
      </c>
      <c r="B4176" s="5" t="str">
        <f>"CARRO MOVIL PARA COMPUTADOR PORTATIL CON CANASTA"</f>
        <v>CARRO MOVIL PARA COMPUTADOR PORTATIL CON CANASTA</v>
      </c>
      <c r="C4176" s="6">
        <v>420000</v>
      </c>
      <c r="D4176" s="5" t="s">
        <v>313</v>
      </c>
      <c r="E4176" s="5" t="str">
        <f t="shared" si="192"/>
        <v>ACTISALUD- SALA DE PARTOS-MARIA AUXILIADORA PERTUZ</v>
      </c>
      <c r="F4176" s="5"/>
      <c r="G4176" s="5"/>
    </row>
    <row r="4177" spans="1:7" ht="58.5" customHeight="1" x14ac:dyDescent="0.25">
      <c r="A4177" s="5" t="str">
        <f>"H0029863"</f>
        <v>H0029863</v>
      </c>
      <c r="B4177" s="5" t="str">
        <f>"CARRO MOVIL PARA COMPUTADOR PORTATIL CON CANASTA"</f>
        <v>CARRO MOVIL PARA COMPUTADOR PORTATIL CON CANASTA</v>
      </c>
      <c r="C4177" s="6">
        <v>420000</v>
      </c>
      <c r="D4177" s="5" t="s">
        <v>313</v>
      </c>
      <c r="E4177" s="5" t="str">
        <f t="shared" si="192"/>
        <v>ACTISALUD- SALA DE PARTOS-MARIA AUXILIADORA PERTUZ</v>
      </c>
      <c r="F4177" s="5"/>
      <c r="G4177" s="5"/>
    </row>
    <row r="4178" spans="1:7" ht="58.5" customHeight="1" x14ac:dyDescent="0.25">
      <c r="A4178" s="5" t="str">
        <f>"H0029879"</f>
        <v>H0029879</v>
      </c>
      <c r="B4178" s="5" t="str">
        <f>"SILLA MULTIPROPOSITO SQFT TM"</f>
        <v>SILLA MULTIPROPOSITO SQFT TM</v>
      </c>
      <c r="C4178" s="6">
        <v>3136800</v>
      </c>
      <c r="D4178" s="5" t="s">
        <v>225</v>
      </c>
      <c r="E4178" s="5" t="str">
        <f t="shared" si="192"/>
        <v>ACTISALUD- SALA DE PARTOS-MARIA AUXILIADORA PERTUZ</v>
      </c>
      <c r="F4178" s="5"/>
      <c r="G4178" s="5"/>
    </row>
    <row r="4179" spans="1:7" ht="58.5" customHeight="1" x14ac:dyDescent="0.25">
      <c r="A4179" s="5" t="str">
        <f>"H0029880"</f>
        <v>H0029880</v>
      </c>
      <c r="B4179" s="5" t="str">
        <f>"SILLA MULTIPROPOSITO SQFT TM"</f>
        <v>SILLA MULTIPROPOSITO SQFT TM</v>
      </c>
      <c r="C4179" s="6">
        <v>3136800</v>
      </c>
      <c r="D4179" s="5" t="s">
        <v>225</v>
      </c>
      <c r="E4179" s="5" t="str">
        <f t="shared" si="192"/>
        <v>ACTISALUD- SALA DE PARTOS-MARIA AUXILIADORA PERTUZ</v>
      </c>
      <c r="F4179" s="5"/>
      <c r="G4179" s="5"/>
    </row>
    <row r="4180" spans="1:7" ht="58.5" customHeight="1" x14ac:dyDescent="0.25">
      <c r="A4180" s="5" t="str">
        <f>"H0029881"</f>
        <v>H0029881</v>
      </c>
      <c r="B4180" s="5" t="str">
        <f>"SILLA MULTIPROPOSITO SQFT TM"</f>
        <v>SILLA MULTIPROPOSITO SQFT TM</v>
      </c>
      <c r="C4180" s="6">
        <v>3136800</v>
      </c>
      <c r="D4180" s="5" t="s">
        <v>225</v>
      </c>
      <c r="E4180" s="5" t="str">
        <f t="shared" si="192"/>
        <v>ACTISALUD- SALA DE PARTOS-MARIA AUXILIADORA PERTUZ</v>
      </c>
      <c r="F4180" s="5"/>
      <c r="G4180" s="5"/>
    </row>
    <row r="4181" spans="1:7" ht="58.5" customHeight="1" x14ac:dyDescent="0.25">
      <c r="A4181" s="5" t="str">
        <f>"H0029882"</f>
        <v>H0029882</v>
      </c>
      <c r="B4181" s="5" t="str">
        <f>"SILLA MULTIPROPOSITO SQFT TM"</f>
        <v>SILLA MULTIPROPOSITO SQFT TM</v>
      </c>
      <c r="C4181" s="6">
        <v>3136800</v>
      </c>
      <c r="D4181" s="5" t="s">
        <v>225</v>
      </c>
      <c r="E4181" s="5" t="str">
        <f t="shared" si="192"/>
        <v>ACTISALUD- SALA DE PARTOS-MARIA AUXILIADORA PERTUZ</v>
      </c>
      <c r="F4181" s="5"/>
      <c r="G4181" s="5"/>
    </row>
    <row r="4182" spans="1:7" ht="58.5" customHeight="1" x14ac:dyDescent="0.25">
      <c r="A4182" s="5" t="str">
        <f>"H0029983"</f>
        <v>H0029983</v>
      </c>
      <c r="B4182" s="5" t="str">
        <f>"ESET SMALL OFFICE SECURITY 1 AÑO"</f>
        <v>ESET SMALL OFFICE SECURITY 1 AÑO</v>
      </c>
      <c r="C4182" s="6">
        <v>35000</v>
      </c>
      <c r="D4182" s="5" t="s">
        <v>225</v>
      </c>
      <c r="E4182" s="5" t="str">
        <f t="shared" si="192"/>
        <v>ACTISALUD- SALA DE PARTOS-MARIA AUXILIADORA PERTUZ</v>
      </c>
      <c r="F4182" s="5"/>
      <c r="G4182" s="5"/>
    </row>
    <row r="4183" spans="1:7" ht="58.5" customHeight="1" x14ac:dyDescent="0.25">
      <c r="A4183" s="5" t="str">
        <f>"H0029984"</f>
        <v>H0029984</v>
      </c>
      <c r="B4183" s="5" t="str">
        <f>"ESET SMALL OFFICE SECURITY 1 AÑO"</f>
        <v>ESET SMALL OFFICE SECURITY 1 AÑO</v>
      </c>
      <c r="C4183" s="6">
        <v>35000</v>
      </c>
      <c r="D4183" s="5" t="s">
        <v>225</v>
      </c>
      <c r="E4183" s="5" t="str">
        <f t="shared" si="192"/>
        <v>ACTISALUD- SALA DE PARTOS-MARIA AUXILIADORA PERTUZ</v>
      </c>
      <c r="F4183" s="5"/>
      <c r="G4183" s="5"/>
    </row>
    <row r="4184" spans="1:7" ht="58.5" customHeight="1" x14ac:dyDescent="0.25">
      <c r="A4184" s="5" t="str">
        <f>"H0029985"</f>
        <v>H0029985</v>
      </c>
      <c r="B4184" s="5" t="str">
        <f>"ESET SMALL OFFICE SECURITY 1 AÑO"</f>
        <v>ESET SMALL OFFICE SECURITY 1 AÑO</v>
      </c>
      <c r="C4184" s="6">
        <v>35000</v>
      </c>
      <c r="D4184" s="5" t="s">
        <v>225</v>
      </c>
      <c r="E4184" s="5" t="str">
        <f t="shared" si="192"/>
        <v>ACTISALUD- SALA DE PARTOS-MARIA AUXILIADORA PERTUZ</v>
      </c>
      <c r="F4184" s="5"/>
      <c r="G4184" s="5"/>
    </row>
    <row r="4185" spans="1:7" ht="58.5" customHeight="1" x14ac:dyDescent="0.25">
      <c r="A4185" s="5" t="str">
        <f>"H0029993"</f>
        <v>H0029993</v>
      </c>
      <c r="B4185" s="5" t="str">
        <f>"LICENCIA OFFICE HOME AND BUSINEES"</f>
        <v>LICENCIA OFFICE HOME AND BUSINEES</v>
      </c>
      <c r="C4185" s="6">
        <v>731150</v>
      </c>
      <c r="D4185" s="5" t="s">
        <v>225</v>
      </c>
      <c r="E4185" s="5" t="str">
        <f t="shared" ref="E4185:E4248" si="196">"ACTISALUD- SALA DE PARTOS-MARIA AUXILIADORA PERTUZ"</f>
        <v>ACTISALUD- SALA DE PARTOS-MARIA AUXILIADORA PERTUZ</v>
      </c>
      <c r="F4185" s="5"/>
      <c r="G4185" s="5"/>
    </row>
    <row r="4186" spans="1:7" ht="58.5" customHeight="1" x14ac:dyDescent="0.25">
      <c r="A4186" s="5" t="str">
        <f>"H0029994"</f>
        <v>H0029994</v>
      </c>
      <c r="B4186" s="5" t="str">
        <f>"LICENCIA OFFICE HOME AND BUSINEES"</f>
        <v>LICENCIA OFFICE HOME AND BUSINEES</v>
      </c>
      <c r="C4186" s="6">
        <v>731150</v>
      </c>
      <c r="D4186" s="5" t="s">
        <v>225</v>
      </c>
      <c r="E4186" s="5" t="str">
        <f t="shared" si="196"/>
        <v>ACTISALUD- SALA DE PARTOS-MARIA AUXILIADORA PERTUZ</v>
      </c>
      <c r="F4186" s="5"/>
      <c r="G4186" s="5"/>
    </row>
    <row r="4187" spans="1:7" ht="58.5" customHeight="1" x14ac:dyDescent="0.25">
      <c r="A4187" s="5" t="str">
        <f>"H0029995"</f>
        <v>H0029995</v>
      </c>
      <c r="B4187" s="5" t="str">
        <f>"LICENCIA OFFICE HOME AND BUSINEES"</f>
        <v>LICENCIA OFFICE HOME AND BUSINEES</v>
      </c>
      <c r="C4187" s="6">
        <v>731150</v>
      </c>
      <c r="D4187" s="5" t="s">
        <v>225</v>
      </c>
      <c r="E4187" s="5" t="str">
        <f t="shared" si="196"/>
        <v>ACTISALUD- SALA DE PARTOS-MARIA AUXILIADORA PERTUZ</v>
      </c>
      <c r="F4187" s="5"/>
      <c r="G4187" s="5"/>
    </row>
    <row r="4188" spans="1:7" ht="58.5" customHeight="1" x14ac:dyDescent="0.25">
      <c r="A4188" s="5" t="str">
        <f>"H0030291"</f>
        <v>H0030291</v>
      </c>
      <c r="B4188" s="5" t="str">
        <f>"LAMPARA DE PASILLO DE LLAMADO DE ENFERMERIA"</f>
        <v>LAMPARA DE PASILLO DE LLAMADO DE ENFERMERIA</v>
      </c>
      <c r="C4188" s="6">
        <v>497740.11</v>
      </c>
      <c r="D4188" s="5" t="s">
        <v>155</v>
      </c>
      <c r="E4188" s="5" t="str">
        <f t="shared" si="196"/>
        <v>ACTISALUD- SALA DE PARTOS-MARIA AUXILIADORA PERTUZ</v>
      </c>
      <c r="F4188" s="5"/>
      <c r="G4188" s="5"/>
    </row>
    <row r="4189" spans="1:7" ht="58.5" customHeight="1" x14ac:dyDescent="0.25">
      <c r="A4189" s="5" t="str">
        <f>"H0030292"</f>
        <v>H0030292</v>
      </c>
      <c r="B4189" s="5" t="str">
        <f>"LAMPARA DE PASILLO DE LLAMADO DE ENFERMERIA"</f>
        <v>LAMPARA DE PASILLO DE LLAMADO DE ENFERMERIA</v>
      </c>
      <c r="C4189" s="6">
        <v>497740.11</v>
      </c>
      <c r="D4189" s="5" t="s">
        <v>155</v>
      </c>
      <c r="E4189" s="5" t="str">
        <f t="shared" si="196"/>
        <v>ACTISALUD- SALA DE PARTOS-MARIA AUXILIADORA PERTUZ</v>
      </c>
      <c r="F4189" s="5"/>
      <c r="G4189" s="5"/>
    </row>
    <row r="4190" spans="1:7" ht="58.5" customHeight="1" x14ac:dyDescent="0.25">
      <c r="A4190" s="5" t="str">
        <f>"H0030293"</f>
        <v>H0030293</v>
      </c>
      <c r="B4190" s="5" t="str">
        <f>"LAMPARA DE PASILLO DE LLAMADO DE ENFERMERIA"</f>
        <v>LAMPARA DE PASILLO DE LLAMADO DE ENFERMERIA</v>
      </c>
      <c r="C4190" s="6">
        <v>497740.11</v>
      </c>
      <c r="D4190" s="5" t="s">
        <v>155</v>
      </c>
      <c r="E4190" s="5" t="str">
        <f t="shared" si="196"/>
        <v>ACTISALUD- SALA DE PARTOS-MARIA AUXILIADORA PERTUZ</v>
      </c>
      <c r="F4190" s="5"/>
      <c r="G4190" s="5"/>
    </row>
    <row r="4191" spans="1:7" ht="58.5" customHeight="1" x14ac:dyDescent="0.25">
      <c r="A4191" s="5" t="str">
        <f>"H0030294"</f>
        <v>H0030294</v>
      </c>
      <c r="B4191" s="5" t="str">
        <f>"LAMPARA DE PASILLO DE LLAMADO DE ENFERMERIA"</f>
        <v>LAMPARA DE PASILLO DE LLAMADO DE ENFERMERIA</v>
      </c>
      <c r="C4191" s="6">
        <v>497740.11</v>
      </c>
      <c r="D4191" s="5" t="s">
        <v>155</v>
      </c>
      <c r="E4191" s="5" t="str">
        <f t="shared" si="196"/>
        <v>ACTISALUD- SALA DE PARTOS-MARIA AUXILIADORA PERTUZ</v>
      </c>
      <c r="F4191" s="5"/>
      <c r="G4191" s="5"/>
    </row>
    <row r="4192" spans="1:7" ht="58.5" customHeight="1" x14ac:dyDescent="0.25">
      <c r="A4192" s="5" t="str">
        <f>"H0030320"</f>
        <v>H0030320</v>
      </c>
      <c r="B4192" s="5" t="str">
        <f>"PANTALLA RECEPTORA DE LLAMADO DE ENFERMERIA"</f>
        <v>PANTALLA RECEPTORA DE LLAMADO DE ENFERMERIA</v>
      </c>
      <c r="C4192" s="6">
        <v>1670041.22</v>
      </c>
      <c r="D4192" s="5" t="s">
        <v>155</v>
      </c>
      <c r="E4192" s="5" t="str">
        <f t="shared" si="196"/>
        <v>ACTISALUD- SALA DE PARTOS-MARIA AUXILIADORA PERTUZ</v>
      </c>
      <c r="F4192" s="5"/>
      <c r="G4192" s="5"/>
    </row>
    <row r="4193" spans="1:7" ht="58.5" customHeight="1" x14ac:dyDescent="0.25">
      <c r="A4193" s="5" t="str">
        <f>"H0030378"</f>
        <v>H0030378</v>
      </c>
      <c r="B4193" s="5" t="str">
        <f>"UNIDAD DE LLAMADO DE ENFERMERIA PARA BAÑO CON CORDON TIRADOR. RESISTENTE A SALPICADURAS DE AGUA Y LUZ INDICADORA DE PULSACIÓN"</f>
        <v>UNIDAD DE LLAMADO DE ENFERMERIA PARA BAÑO CON CORDON TIRADOR. RESISTENTE A SALPICADURAS DE AGUA Y LUZ INDICADORA DE PULSACIÓN</v>
      </c>
      <c r="C4193" s="6">
        <v>205537.98</v>
      </c>
      <c r="D4193" s="5" t="s">
        <v>155</v>
      </c>
      <c r="E4193" s="5" t="str">
        <f t="shared" si="196"/>
        <v>ACTISALUD- SALA DE PARTOS-MARIA AUXILIADORA PERTUZ</v>
      </c>
      <c r="F4193" s="5"/>
      <c r="G4193" s="5"/>
    </row>
    <row r="4194" spans="1:7" ht="58.5" customHeight="1" x14ac:dyDescent="0.25">
      <c r="A4194" s="5" t="str">
        <f>"H0030379"</f>
        <v>H0030379</v>
      </c>
      <c r="B4194" s="5" t="str">
        <f>"UNIDAD DE LLAMADO DE ENFERMERIA PARA BAÑO CON CORDON TIRADOR. RESISTENTE A SALPICADURAS DE AGUA Y LUZ INDICADORA DE PULSACIÓN"</f>
        <v>UNIDAD DE LLAMADO DE ENFERMERIA PARA BAÑO CON CORDON TIRADOR. RESISTENTE A SALPICADURAS DE AGUA Y LUZ INDICADORA DE PULSACIÓN</v>
      </c>
      <c r="C4194" s="6">
        <v>205537.98</v>
      </c>
      <c r="D4194" s="5" t="s">
        <v>155</v>
      </c>
      <c r="E4194" s="5" t="str">
        <f t="shared" si="196"/>
        <v>ACTISALUD- SALA DE PARTOS-MARIA AUXILIADORA PERTUZ</v>
      </c>
      <c r="F4194" s="5"/>
      <c r="G4194" s="5"/>
    </row>
    <row r="4195" spans="1:7" ht="58.5" customHeight="1" x14ac:dyDescent="0.25">
      <c r="A4195" s="5" t="str">
        <f>"H0030456"</f>
        <v>H0030456</v>
      </c>
      <c r="B4195" s="5" t="str">
        <f t="shared" ref="B4195:B4206" si="197">"UNIDAD DE LLAMADO DE ENFERMERIA PARA CAMA O BAÑO"</f>
        <v>UNIDAD DE LLAMADO DE ENFERMERIA PARA CAMA O BAÑO</v>
      </c>
      <c r="C4195" s="6">
        <v>207719.26</v>
      </c>
      <c r="D4195" s="5" t="s">
        <v>155</v>
      </c>
      <c r="E4195" s="5" t="str">
        <f t="shared" si="196"/>
        <v>ACTISALUD- SALA DE PARTOS-MARIA AUXILIADORA PERTUZ</v>
      </c>
      <c r="F4195" s="5"/>
      <c r="G4195" s="5"/>
    </row>
    <row r="4196" spans="1:7" ht="58.5" customHeight="1" x14ac:dyDescent="0.25">
      <c r="A4196" s="5" t="str">
        <f>"H0030457"</f>
        <v>H0030457</v>
      </c>
      <c r="B4196" s="5" t="str">
        <f t="shared" si="197"/>
        <v>UNIDAD DE LLAMADO DE ENFERMERIA PARA CAMA O BAÑO</v>
      </c>
      <c r="C4196" s="6">
        <v>207719.26</v>
      </c>
      <c r="D4196" s="5" t="s">
        <v>155</v>
      </c>
      <c r="E4196" s="5" t="str">
        <f t="shared" si="196"/>
        <v>ACTISALUD- SALA DE PARTOS-MARIA AUXILIADORA PERTUZ</v>
      </c>
      <c r="F4196" s="5"/>
      <c r="G4196" s="5"/>
    </row>
    <row r="4197" spans="1:7" ht="58.5" customHeight="1" x14ac:dyDescent="0.25">
      <c r="A4197" s="5" t="str">
        <f>"H0030458"</f>
        <v>H0030458</v>
      </c>
      <c r="B4197" s="5" t="str">
        <f t="shared" si="197"/>
        <v>UNIDAD DE LLAMADO DE ENFERMERIA PARA CAMA O BAÑO</v>
      </c>
      <c r="C4197" s="6">
        <v>207719.26</v>
      </c>
      <c r="D4197" s="5" t="s">
        <v>155</v>
      </c>
      <c r="E4197" s="5" t="str">
        <f t="shared" si="196"/>
        <v>ACTISALUD- SALA DE PARTOS-MARIA AUXILIADORA PERTUZ</v>
      </c>
      <c r="F4197" s="5"/>
      <c r="G4197" s="5"/>
    </row>
    <row r="4198" spans="1:7" ht="58.5" customHeight="1" x14ac:dyDescent="0.25">
      <c r="A4198" s="5" t="str">
        <f>"H0030459"</f>
        <v>H0030459</v>
      </c>
      <c r="B4198" s="5" t="str">
        <f t="shared" si="197"/>
        <v>UNIDAD DE LLAMADO DE ENFERMERIA PARA CAMA O BAÑO</v>
      </c>
      <c r="C4198" s="6">
        <v>207719.26</v>
      </c>
      <c r="D4198" s="5" t="s">
        <v>155</v>
      </c>
      <c r="E4198" s="5" t="str">
        <f t="shared" si="196"/>
        <v>ACTISALUD- SALA DE PARTOS-MARIA AUXILIADORA PERTUZ</v>
      </c>
      <c r="F4198" s="5"/>
      <c r="G4198" s="5"/>
    </row>
    <row r="4199" spans="1:7" ht="58.5" customHeight="1" x14ac:dyDescent="0.25">
      <c r="A4199" s="5" t="str">
        <f>"H0030460"</f>
        <v>H0030460</v>
      </c>
      <c r="B4199" s="5" t="str">
        <f t="shared" si="197"/>
        <v>UNIDAD DE LLAMADO DE ENFERMERIA PARA CAMA O BAÑO</v>
      </c>
      <c r="C4199" s="6">
        <v>207719.26</v>
      </c>
      <c r="D4199" s="5" t="s">
        <v>155</v>
      </c>
      <c r="E4199" s="5" t="str">
        <f t="shared" si="196"/>
        <v>ACTISALUD- SALA DE PARTOS-MARIA AUXILIADORA PERTUZ</v>
      </c>
      <c r="F4199" s="5"/>
      <c r="G4199" s="5"/>
    </row>
    <row r="4200" spans="1:7" ht="58.5" customHeight="1" x14ac:dyDescent="0.25">
      <c r="A4200" s="5" t="str">
        <f>"H0030461"</f>
        <v>H0030461</v>
      </c>
      <c r="B4200" s="5" t="str">
        <f t="shared" si="197"/>
        <v>UNIDAD DE LLAMADO DE ENFERMERIA PARA CAMA O BAÑO</v>
      </c>
      <c r="C4200" s="6">
        <v>207719.26</v>
      </c>
      <c r="D4200" s="5" t="s">
        <v>155</v>
      </c>
      <c r="E4200" s="5" t="str">
        <f t="shared" si="196"/>
        <v>ACTISALUD- SALA DE PARTOS-MARIA AUXILIADORA PERTUZ</v>
      </c>
      <c r="F4200" s="5"/>
      <c r="G4200" s="5"/>
    </row>
    <row r="4201" spans="1:7" ht="58.5" customHeight="1" x14ac:dyDescent="0.25">
      <c r="A4201" s="5" t="str">
        <f>"H0030462"</f>
        <v>H0030462</v>
      </c>
      <c r="B4201" s="5" t="str">
        <f t="shared" si="197"/>
        <v>UNIDAD DE LLAMADO DE ENFERMERIA PARA CAMA O BAÑO</v>
      </c>
      <c r="C4201" s="6">
        <v>207719.26</v>
      </c>
      <c r="D4201" s="5" t="s">
        <v>155</v>
      </c>
      <c r="E4201" s="5" t="str">
        <f t="shared" si="196"/>
        <v>ACTISALUD- SALA DE PARTOS-MARIA AUXILIADORA PERTUZ</v>
      </c>
      <c r="F4201" s="5"/>
      <c r="G4201" s="5"/>
    </row>
    <row r="4202" spans="1:7" ht="58.5" customHeight="1" x14ac:dyDescent="0.25">
      <c r="A4202" s="5" t="str">
        <f>"H0030463"</f>
        <v>H0030463</v>
      </c>
      <c r="B4202" s="5" t="str">
        <f t="shared" si="197"/>
        <v>UNIDAD DE LLAMADO DE ENFERMERIA PARA CAMA O BAÑO</v>
      </c>
      <c r="C4202" s="6">
        <v>207719.26</v>
      </c>
      <c r="D4202" s="5" t="s">
        <v>155</v>
      </c>
      <c r="E4202" s="5" t="str">
        <f t="shared" si="196"/>
        <v>ACTISALUD- SALA DE PARTOS-MARIA AUXILIADORA PERTUZ</v>
      </c>
      <c r="F4202" s="5"/>
      <c r="G4202" s="5"/>
    </row>
    <row r="4203" spans="1:7" ht="58.5" customHeight="1" x14ac:dyDescent="0.25">
      <c r="A4203" s="5" t="str">
        <f>"H0030464"</f>
        <v>H0030464</v>
      </c>
      <c r="B4203" s="5" t="str">
        <f t="shared" si="197"/>
        <v>UNIDAD DE LLAMADO DE ENFERMERIA PARA CAMA O BAÑO</v>
      </c>
      <c r="C4203" s="6">
        <v>207719.26</v>
      </c>
      <c r="D4203" s="5" t="s">
        <v>155</v>
      </c>
      <c r="E4203" s="5" t="str">
        <f t="shared" si="196"/>
        <v>ACTISALUD- SALA DE PARTOS-MARIA AUXILIADORA PERTUZ</v>
      </c>
      <c r="F4203" s="5"/>
      <c r="G4203" s="5"/>
    </row>
    <row r="4204" spans="1:7" ht="58.5" customHeight="1" x14ac:dyDescent="0.25">
      <c r="A4204" s="5" t="str">
        <f>"H0030465"</f>
        <v>H0030465</v>
      </c>
      <c r="B4204" s="5" t="str">
        <f t="shared" si="197"/>
        <v>UNIDAD DE LLAMADO DE ENFERMERIA PARA CAMA O BAÑO</v>
      </c>
      <c r="C4204" s="6">
        <v>207719.26</v>
      </c>
      <c r="D4204" s="5" t="s">
        <v>155</v>
      </c>
      <c r="E4204" s="5" t="str">
        <f t="shared" si="196"/>
        <v>ACTISALUD- SALA DE PARTOS-MARIA AUXILIADORA PERTUZ</v>
      </c>
      <c r="F4204" s="5"/>
      <c r="G4204" s="5"/>
    </row>
    <row r="4205" spans="1:7" ht="58.5" customHeight="1" x14ac:dyDescent="0.25">
      <c r="A4205" s="5" t="str">
        <f>"H0030466"</f>
        <v>H0030466</v>
      </c>
      <c r="B4205" s="5" t="str">
        <f t="shared" si="197"/>
        <v>UNIDAD DE LLAMADO DE ENFERMERIA PARA CAMA O BAÑO</v>
      </c>
      <c r="C4205" s="6">
        <v>207719.26</v>
      </c>
      <c r="D4205" s="5" t="s">
        <v>155</v>
      </c>
      <c r="E4205" s="5" t="str">
        <f t="shared" si="196"/>
        <v>ACTISALUD- SALA DE PARTOS-MARIA AUXILIADORA PERTUZ</v>
      </c>
      <c r="F4205" s="5"/>
      <c r="G4205" s="5"/>
    </row>
    <row r="4206" spans="1:7" ht="58.5" customHeight="1" x14ac:dyDescent="0.25">
      <c r="A4206" s="5" t="str">
        <f>"H0030467"</f>
        <v>H0030467</v>
      </c>
      <c r="B4206" s="5" t="str">
        <f t="shared" si="197"/>
        <v>UNIDAD DE LLAMADO DE ENFERMERIA PARA CAMA O BAÑO</v>
      </c>
      <c r="C4206" s="6">
        <v>207719.26</v>
      </c>
      <c r="D4206" s="5" t="s">
        <v>155</v>
      </c>
      <c r="E4206" s="5" t="str">
        <f t="shared" si="196"/>
        <v>ACTISALUD- SALA DE PARTOS-MARIA AUXILIADORA PERTUZ</v>
      </c>
      <c r="F4206" s="5"/>
      <c r="G4206" s="5"/>
    </row>
    <row r="4207" spans="1:7" ht="58.5" customHeight="1" x14ac:dyDescent="0.25">
      <c r="A4207" s="5" t="str">
        <f>"H0030574"</f>
        <v>H0030574</v>
      </c>
      <c r="B4207" s="5" t="str">
        <f>"LICENCIA DE ANTIVIRUS ESET ENDPOINT POR TRES (3) AÑOS - RENOVACIÓN"</f>
        <v>LICENCIA DE ANTIVIRUS ESET ENDPOINT POR TRES (3) AÑOS - RENOVACIÓN</v>
      </c>
      <c r="C4207" s="6">
        <v>50000</v>
      </c>
      <c r="D4207" s="5" t="s">
        <v>362</v>
      </c>
      <c r="E4207" s="5" t="str">
        <f t="shared" si="196"/>
        <v>ACTISALUD- SALA DE PARTOS-MARIA AUXILIADORA PERTUZ</v>
      </c>
      <c r="F4207" s="5"/>
      <c r="G4207" s="5"/>
    </row>
    <row r="4208" spans="1:7" ht="58.5" customHeight="1" x14ac:dyDescent="0.25">
      <c r="A4208" s="5" t="str">
        <f>"H0031177"</f>
        <v>H0031177</v>
      </c>
      <c r="B4208"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4208" s="6">
        <v>773500</v>
      </c>
      <c r="D4208" s="5" t="s">
        <v>251</v>
      </c>
      <c r="E4208" s="5" t="str">
        <f t="shared" si="196"/>
        <v>ACTISALUD- SALA DE PARTOS-MARIA AUXILIADORA PERTUZ</v>
      </c>
      <c r="F4208" s="5"/>
      <c r="G4208" s="5"/>
    </row>
    <row r="4209" spans="1:7" ht="58.5" customHeight="1" x14ac:dyDescent="0.25">
      <c r="A4209" s="5" t="str">
        <f>"H0031179"</f>
        <v>H0031179</v>
      </c>
      <c r="B4209"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4209" s="6">
        <v>773500</v>
      </c>
      <c r="D4209" s="5" t="s">
        <v>274</v>
      </c>
      <c r="E4209" s="5" t="str">
        <f t="shared" si="196"/>
        <v>ACTISALUD- SALA DE PARTOS-MARIA AUXILIADORA PERTUZ</v>
      </c>
      <c r="F4209" s="5"/>
      <c r="G4209" s="5"/>
    </row>
    <row r="4210" spans="1:7" ht="58.5" customHeight="1" x14ac:dyDescent="0.25">
      <c r="A4210" s="5" t="str">
        <f>"H0031388"</f>
        <v>H0031388</v>
      </c>
      <c r="B4210"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4210" s="6">
        <v>773500</v>
      </c>
      <c r="D4210" s="5" t="s">
        <v>363</v>
      </c>
      <c r="E4210" s="5" t="str">
        <f t="shared" si="196"/>
        <v>ACTISALUD- SALA DE PARTOS-MARIA AUXILIADORA PERTUZ</v>
      </c>
      <c r="F4210" s="5"/>
      <c r="G4210" s="5"/>
    </row>
    <row r="4211" spans="1:7" ht="58.5" customHeight="1" x14ac:dyDescent="0.25">
      <c r="A4211" s="5" t="str">
        <f>"H0031389"</f>
        <v>H0031389</v>
      </c>
      <c r="B4211"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4211" s="6">
        <v>773500</v>
      </c>
      <c r="D4211" s="5" t="s">
        <v>363</v>
      </c>
      <c r="E4211" s="5" t="str">
        <f t="shared" si="196"/>
        <v>ACTISALUD- SALA DE PARTOS-MARIA AUXILIADORA PERTUZ</v>
      </c>
      <c r="F4211" s="5"/>
      <c r="G4211" s="5"/>
    </row>
    <row r="4212" spans="1:7" ht="58.5" customHeight="1" x14ac:dyDescent="0.25">
      <c r="A4212" s="5" t="str">
        <f>"H0031610"</f>
        <v>H0031610</v>
      </c>
      <c r="B4212" s="5" t="str">
        <f>"ESCRITORIO CON UNA GAVETA MATERIAL MELAMINA RF MEDIDAS  LARGO 1.2 MTS ALTO 0.76 MTS FONDO 0.60 MTS"</f>
        <v>ESCRITORIO CON UNA GAVETA MATERIAL MELAMINA RF MEDIDAS  LARGO 1.2 MTS ALTO 0.76 MTS FONDO 0.60 MTS</v>
      </c>
      <c r="C4212" s="6">
        <v>565000</v>
      </c>
      <c r="D4212" s="5" t="s">
        <v>42</v>
      </c>
      <c r="E4212" s="5" t="str">
        <f t="shared" si="196"/>
        <v>ACTISALUD- SALA DE PARTOS-MARIA AUXILIADORA PERTUZ</v>
      </c>
      <c r="F4212" s="5"/>
      <c r="G4212" s="5"/>
    </row>
    <row r="4213" spans="1:7" ht="58.5" customHeight="1" x14ac:dyDescent="0.25">
      <c r="A4213" s="5" t="str">
        <f>"H0031611"</f>
        <v>H0031611</v>
      </c>
      <c r="B4213" s="5" t="str">
        <f>"ESCRITORIO CON UNA GAVETA MATERIAL MELAMINA RF MEDIDAS  LARGO 1.2 MTS ALTO 0.76 MTS FONDO 0.60 MTS"</f>
        <v>ESCRITORIO CON UNA GAVETA MATERIAL MELAMINA RF MEDIDAS  LARGO 1.2 MTS ALTO 0.76 MTS FONDO 0.60 MTS</v>
      </c>
      <c r="C4213" s="6">
        <v>565000</v>
      </c>
      <c r="D4213" s="5" t="s">
        <v>42</v>
      </c>
      <c r="E4213" s="5" t="str">
        <f t="shared" si="196"/>
        <v>ACTISALUD- SALA DE PARTOS-MARIA AUXILIADORA PERTUZ</v>
      </c>
      <c r="F4213" s="5"/>
      <c r="G4213" s="5"/>
    </row>
    <row r="4214" spans="1:7" ht="58.5" customHeight="1" x14ac:dyDescent="0.25">
      <c r="A4214" s="5" t="str">
        <f>"H0031612"</f>
        <v>H0031612</v>
      </c>
      <c r="B4214" s="5" t="str">
        <f>"ESCRITORIO CON UNA GAVETA MATERIAL MELAMINA RF MEDIDAS  LARGO 1.2 MTS ALTO 0.76 MTS FONDO 0.60 MTS"</f>
        <v>ESCRITORIO CON UNA GAVETA MATERIAL MELAMINA RF MEDIDAS  LARGO 1.2 MTS ALTO 0.76 MTS FONDO 0.60 MTS</v>
      </c>
      <c r="C4214" s="6">
        <v>565000</v>
      </c>
      <c r="D4214" s="5" t="s">
        <v>42</v>
      </c>
      <c r="E4214" s="5" t="str">
        <f t="shared" si="196"/>
        <v>ACTISALUD- SALA DE PARTOS-MARIA AUXILIADORA PERTUZ</v>
      </c>
      <c r="F4214" s="5"/>
      <c r="G4214" s="5"/>
    </row>
    <row r="4215" spans="1:7" ht="58.5" customHeight="1" x14ac:dyDescent="0.25">
      <c r="A4215" s="5" t="str">
        <f>"H0031613"</f>
        <v>H0031613</v>
      </c>
      <c r="B4215" s="5" t="str">
        <f>"ESCRITORIO CON UNA GAVETA MATERIAL MELAMINA RF MEDIDAS  LARGO 1.2 MTS ALTO 0.76 MTS FONDO 0.60 MTS"</f>
        <v>ESCRITORIO CON UNA GAVETA MATERIAL MELAMINA RF MEDIDAS  LARGO 1.2 MTS ALTO 0.76 MTS FONDO 0.60 MTS</v>
      </c>
      <c r="C4215" s="6">
        <v>565000</v>
      </c>
      <c r="D4215" s="5" t="s">
        <v>42</v>
      </c>
      <c r="E4215" s="5" t="str">
        <f t="shared" si="196"/>
        <v>ACTISALUD- SALA DE PARTOS-MARIA AUXILIADORA PERTUZ</v>
      </c>
      <c r="F4215" s="5"/>
      <c r="G4215" s="5"/>
    </row>
    <row r="4216" spans="1:7" ht="58.5" customHeight="1" x14ac:dyDescent="0.25">
      <c r="A4216" s="5" t="str">
        <f>"H0031614"</f>
        <v>H0031614</v>
      </c>
      <c r="B4216" s="5" t="str">
        <f>"ESCRITORIO CON UNA GAVETA MATERIAL MELAMINA RF MEDIDAS LARGO 1 MT ALTO 0.76 MTS FONDO 0.60 MTS"</f>
        <v>ESCRITORIO CON UNA GAVETA MATERIAL MELAMINA RF MEDIDAS LARGO 1 MT ALTO 0.76 MTS FONDO 0.60 MTS</v>
      </c>
      <c r="C4216" s="6">
        <v>495000</v>
      </c>
      <c r="D4216" s="5" t="s">
        <v>42</v>
      </c>
      <c r="E4216" s="5" t="str">
        <f t="shared" si="196"/>
        <v>ACTISALUD- SALA DE PARTOS-MARIA AUXILIADORA PERTUZ</v>
      </c>
      <c r="F4216" s="5"/>
      <c r="G4216" s="5"/>
    </row>
    <row r="4217" spans="1:7" ht="58.5" customHeight="1" x14ac:dyDescent="0.25">
      <c r="A4217" s="5" t="str">
        <f>"h0031731"</f>
        <v>h0031731</v>
      </c>
      <c r="B4217" s="5" t="str">
        <f>"SISTEMA DE ULTRASONIDO REF. ACUSON JUNIPER (CODIGO PARA DONACION)"</f>
        <v>SISTEMA DE ULTRASONIDO REF. ACUSON JUNIPER (CODIGO PARA DONACION)</v>
      </c>
      <c r="C4217" s="6">
        <v>201796298</v>
      </c>
      <c r="D4217" s="5" t="s">
        <v>364</v>
      </c>
      <c r="E4217" s="5" t="str">
        <f t="shared" si="196"/>
        <v>ACTISALUD- SALA DE PARTOS-MARIA AUXILIADORA PERTUZ</v>
      </c>
      <c r="F4217" s="5"/>
      <c r="G4217" s="5"/>
    </row>
    <row r="4218" spans="1:7" ht="58.5" customHeight="1" x14ac:dyDescent="0.25">
      <c r="A4218" s="5" t="str">
        <f>"H0031901"</f>
        <v>H0031901</v>
      </c>
      <c r="B4218" s="5" t="str">
        <f>"TERMOMETRO LASER (CODIGO DONACION"</f>
        <v>TERMOMETRO LASER (CODIGO DONACION</v>
      </c>
      <c r="C4218" s="6">
        <v>390000</v>
      </c>
      <c r="D4218" s="5" t="s">
        <v>365</v>
      </c>
      <c r="E4218" s="5" t="str">
        <f t="shared" si="196"/>
        <v>ACTISALUD- SALA DE PARTOS-MARIA AUXILIADORA PERTUZ</v>
      </c>
      <c r="F4218" s="5"/>
      <c r="G4218" s="5"/>
    </row>
    <row r="4219" spans="1:7" ht="58.5" customHeight="1" x14ac:dyDescent="0.25">
      <c r="A4219" s="5" t="str">
        <f>"H0032252"</f>
        <v>H0032252</v>
      </c>
      <c r="B4219" s="5" t="str">
        <f>"CAMA ELECTRICA ADULTOS"</f>
        <v>CAMA ELECTRICA ADULTOS</v>
      </c>
      <c r="C4219" s="6">
        <v>7745200</v>
      </c>
      <c r="D4219" s="5" t="s">
        <v>231</v>
      </c>
      <c r="E4219" s="5" t="str">
        <f t="shared" si="196"/>
        <v>ACTISALUD- SALA DE PARTOS-MARIA AUXILIADORA PERTUZ</v>
      </c>
      <c r="F4219" s="5"/>
      <c r="G4219" s="5"/>
    </row>
    <row r="4220" spans="1:7" ht="58.5" customHeight="1" x14ac:dyDescent="0.25">
      <c r="A4220" s="5" t="str">
        <f>"H0032354"</f>
        <v>H0032354</v>
      </c>
      <c r="B4220" s="5" t="str">
        <f>"CUNA RECIEN NACIDO CON COLCHONETA"</f>
        <v>CUNA RECIEN NACIDO CON COLCHONETA</v>
      </c>
      <c r="C4220" s="6">
        <v>1667725.5</v>
      </c>
      <c r="D4220" s="5" t="s">
        <v>254</v>
      </c>
      <c r="E4220" s="5" t="str">
        <f t="shared" si="196"/>
        <v>ACTISALUD- SALA DE PARTOS-MARIA AUXILIADORA PERTUZ</v>
      </c>
      <c r="F4220" s="5"/>
      <c r="G4220" s="5"/>
    </row>
    <row r="4221" spans="1:7" ht="58.5" customHeight="1" x14ac:dyDescent="0.25">
      <c r="A4221" s="5" t="str">
        <f>"H0032355"</f>
        <v>H0032355</v>
      </c>
      <c r="B4221" s="5" t="str">
        <f>"CUNA RECIEN NACIDO CON COLCHONETA"</f>
        <v>CUNA RECIEN NACIDO CON COLCHONETA</v>
      </c>
      <c r="C4221" s="6">
        <v>1667725.5</v>
      </c>
      <c r="D4221" s="5" t="s">
        <v>254</v>
      </c>
      <c r="E4221" s="5" t="str">
        <f t="shared" si="196"/>
        <v>ACTISALUD- SALA DE PARTOS-MARIA AUXILIADORA PERTUZ</v>
      </c>
      <c r="F4221" s="5"/>
      <c r="G4221" s="5"/>
    </row>
    <row r="4222" spans="1:7" ht="58.5" customHeight="1" x14ac:dyDescent="0.25">
      <c r="A4222" s="5" t="str">
        <f>"H0032387"</f>
        <v>H0032387</v>
      </c>
      <c r="B4222" s="5" t="str">
        <f>"succionador (DONACION)"</f>
        <v>succionador (DONACION)</v>
      </c>
      <c r="C4222" s="6">
        <v>649750</v>
      </c>
      <c r="D4222" s="5" t="s">
        <v>110</v>
      </c>
      <c r="E4222" s="5" t="str">
        <f t="shared" si="196"/>
        <v>ACTISALUD- SALA DE PARTOS-MARIA AUXILIADORA PERTUZ</v>
      </c>
      <c r="F4222" s="5"/>
      <c r="G4222" s="5"/>
    </row>
    <row r="4223" spans="1:7" ht="58.5" customHeight="1" x14ac:dyDescent="0.25">
      <c r="A4223" s="5" t="str">
        <f>"H0032510"</f>
        <v>H0032510</v>
      </c>
      <c r="B4223" s="5" t="str">
        <f>"VISUALIZADOR DE VENAS VIVOLIGH 500S (DONACION)"</f>
        <v>VISUALIZADOR DE VENAS VIVOLIGH 500S (DONACION)</v>
      </c>
      <c r="C4223" s="6">
        <v>32950000</v>
      </c>
      <c r="D4223" s="5" t="s">
        <v>366</v>
      </c>
      <c r="E4223" s="5" t="str">
        <f t="shared" si="196"/>
        <v>ACTISALUD- SALA DE PARTOS-MARIA AUXILIADORA PERTUZ</v>
      </c>
      <c r="F4223" s="5"/>
      <c r="G4223" s="5"/>
    </row>
    <row r="4224" spans="1:7" ht="58.5" customHeight="1" x14ac:dyDescent="0.25">
      <c r="A4224" s="5" t="str">
        <f>"H0032624"</f>
        <v>H0032624</v>
      </c>
      <c r="B4224" s="5" t="str">
        <f>"LARINGO DE FIBRA OPTICA (DONACION)"</f>
        <v>LARINGO DE FIBRA OPTICA (DONACION)</v>
      </c>
      <c r="C4224" s="6">
        <v>1437000</v>
      </c>
      <c r="D4224" s="5" t="s">
        <v>113</v>
      </c>
      <c r="E4224" s="5" t="str">
        <f t="shared" si="196"/>
        <v>ACTISALUD- SALA DE PARTOS-MARIA AUXILIADORA PERTUZ</v>
      </c>
      <c r="F4224" s="5"/>
      <c r="G4224" s="5"/>
    </row>
    <row r="4225" spans="1:7" ht="58.5" customHeight="1" x14ac:dyDescent="0.25">
      <c r="A4225" s="5" t="str">
        <f>"H0032626"</f>
        <v>H0032626</v>
      </c>
      <c r="B4225" s="5" t="str">
        <f>"LARINGO DE FIBRA OPTICA (DONACION)"</f>
        <v>LARINGO DE FIBRA OPTICA (DONACION)</v>
      </c>
      <c r="C4225" s="6">
        <v>1437000</v>
      </c>
      <c r="D4225" s="5" t="s">
        <v>113</v>
      </c>
      <c r="E4225" s="5" t="str">
        <f t="shared" si="196"/>
        <v>ACTISALUD- SALA DE PARTOS-MARIA AUXILIADORA PERTUZ</v>
      </c>
      <c r="F4225" s="5"/>
      <c r="G4225" s="5"/>
    </row>
    <row r="4226" spans="1:7" ht="58.5" customHeight="1" x14ac:dyDescent="0.25">
      <c r="A4226" s="5" t="str">
        <f>"H0033044"</f>
        <v>H0033044</v>
      </c>
      <c r="B4226" s="5" t="str">
        <f>"MONITOR DE SIGNOS VITALES"</f>
        <v>MONITOR DE SIGNOS VITALES</v>
      </c>
      <c r="C4226" s="6">
        <v>9470000</v>
      </c>
      <c r="D4226" s="5" t="s">
        <v>119</v>
      </c>
      <c r="E4226" s="5" t="str">
        <f t="shared" si="196"/>
        <v>ACTISALUD- SALA DE PARTOS-MARIA AUXILIADORA PERTUZ</v>
      </c>
      <c r="F4226" s="5"/>
      <c r="G4226" s="5"/>
    </row>
    <row r="4227" spans="1:7" ht="58.5" customHeight="1" x14ac:dyDescent="0.25">
      <c r="A4227" s="5" t="str">
        <f>"H0033052"</f>
        <v>H0033052</v>
      </c>
      <c r="B4227" s="5" t="str">
        <f>"MONITOR DE SIGNOS VITALES"</f>
        <v>MONITOR DE SIGNOS VITALES</v>
      </c>
      <c r="C4227" s="6">
        <v>9470000</v>
      </c>
      <c r="D4227" s="5" t="s">
        <v>119</v>
      </c>
      <c r="E4227" s="5" t="str">
        <f t="shared" si="196"/>
        <v>ACTISALUD- SALA DE PARTOS-MARIA AUXILIADORA PERTUZ</v>
      </c>
      <c r="F4227" s="5"/>
      <c r="G4227" s="5"/>
    </row>
    <row r="4228" spans="1:7" ht="58.5" customHeight="1" x14ac:dyDescent="0.25">
      <c r="A4228" s="5" t="str">
        <f>"H0033068"</f>
        <v>H0033068</v>
      </c>
      <c r="B4228" s="5" t="str">
        <f>"MONITOR DE SIGNOS VITALES"</f>
        <v>MONITOR DE SIGNOS VITALES</v>
      </c>
      <c r="C4228" s="6">
        <v>9470000</v>
      </c>
      <c r="D4228" s="5" t="s">
        <v>119</v>
      </c>
      <c r="E4228" s="5" t="str">
        <f t="shared" si="196"/>
        <v>ACTISALUD- SALA DE PARTOS-MARIA AUXILIADORA PERTUZ</v>
      </c>
      <c r="F4228" s="5"/>
      <c r="G4228" s="5"/>
    </row>
    <row r="4229" spans="1:7" ht="58.5" customHeight="1" x14ac:dyDescent="0.25">
      <c r="A4229" s="5" t="str">
        <f>"H0033114"</f>
        <v>H0033114</v>
      </c>
      <c r="B4229" s="5" t="str">
        <f>"MONITOR DE SIGNOS VITALES"</f>
        <v>MONITOR DE SIGNOS VITALES</v>
      </c>
      <c r="C4229" s="6">
        <v>9470000</v>
      </c>
      <c r="D4229" s="5" t="s">
        <v>119</v>
      </c>
      <c r="E4229" s="5" t="str">
        <f t="shared" si="196"/>
        <v>ACTISALUD- SALA DE PARTOS-MARIA AUXILIADORA PERTUZ</v>
      </c>
      <c r="F4229" s="5"/>
      <c r="G4229" s="5"/>
    </row>
    <row r="4230" spans="1:7" ht="58.5" customHeight="1" x14ac:dyDescent="0.25">
      <c r="A4230" s="5" t="str">
        <f>"H0033286"</f>
        <v>H0033286</v>
      </c>
      <c r="B4230" s="5" t="str">
        <f t="shared" ref="B4230:B4243" si="198">"BOMBA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4230" s="6">
        <v>2533333</v>
      </c>
      <c r="D4230" s="5" t="s">
        <v>120</v>
      </c>
      <c r="E4230" s="5" t="str">
        <f t="shared" si="196"/>
        <v>ACTISALUD- SALA DE PARTOS-MARIA AUXILIADORA PERTUZ</v>
      </c>
      <c r="F4230" s="5"/>
      <c r="G4230" s="5"/>
    </row>
    <row r="4231" spans="1:7" ht="58.5" customHeight="1" x14ac:dyDescent="0.25">
      <c r="A4231" s="5" t="str">
        <f>"H0033291"</f>
        <v>H0033291</v>
      </c>
      <c r="B4231" s="5" t="str">
        <f t="shared" si="198"/>
        <v>BOMBA DE INFUSION. Apilables.5 modos. 01-1200 ml/h. 0.1 ml incr. Compatible con set de infusión genérico. anti-bolo. Detección de aire. Alarmas visuales audibles. Bitacora 1.000 reg. Batería de litio</v>
      </c>
      <c r="C4231" s="6">
        <v>2533333</v>
      </c>
      <c r="D4231" s="5" t="s">
        <v>120</v>
      </c>
      <c r="E4231" s="5" t="str">
        <f t="shared" si="196"/>
        <v>ACTISALUD- SALA DE PARTOS-MARIA AUXILIADORA PERTUZ</v>
      </c>
      <c r="F4231" s="5"/>
      <c r="G4231" s="5"/>
    </row>
    <row r="4232" spans="1:7" ht="58.5" customHeight="1" x14ac:dyDescent="0.25">
      <c r="A4232" s="5" t="str">
        <f>"H0033292"</f>
        <v>H0033292</v>
      </c>
      <c r="B4232" s="5" t="str">
        <f t="shared" si="198"/>
        <v>BOMBA DE INFUSION. Apilables.5 modos. 01-1200 ml/h. 0.1 ml incr. Compatible con set de infusión genérico. anti-bolo. Detección de aire. Alarmas visuales audibles. Bitacora 1.000 reg. Batería de litio</v>
      </c>
      <c r="C4232" s="6">
        <v>2533333</v>
      </c>
      <c r="D4232" s="5" t="s">
        <v>120</v>
      </c>
      <c r="E4232" s="5" t="str">
        <f t="shared" si="196"/>
        <v>ACTISALUD- SALA DE PARTOS-MARIA AUXILIADORA PERTUZ</v>
      </c>
      <c r="F4232" s="5"/>
      <c r="G4232" s="5"/>
    </row>
    <row r="4233" spans="1:7" ht="58.5" customHeight="1" x14ac:dyDescent="0.25">
      <c r="A4233" s="5" t="str">
        <f>"H0033316"</f>
        <v>H0033316</v>
      </c>
      <c r="B4233" s="5" t="str">
        <f t="shared" si="198"/>
        <v>BOMBA DE INFUSION. Apilables.5 modos. 01-1200 ml/h. 0.1 ml incr. Compatible con set de infusión genérico. anti-bolo. Detección de aire. Alarmas visuales audibles. Bitacora 1.000 reg. Batería de litio</v>
      </c>
      <c r="C4233" s="6">
        <v>2533333</v>
      </c>
      <c r="D4233" s="5" t="s">
        <v>120</v>
      </c>
      <c r="E4233" s="5" t="str">
        <f t="shared" si="196"/>
        <v>ACTISALUD- SALA DE PARTOS-MARIA AUXILIADORA PERTUZ</v>
      </c>
      <c r="F4233" s="5"/>
      <c r="G4233" s="5"/>
    </row>
    <row r="4234" spans="1:7" ht="58.5" customHeight="1" x14ac:dyDescent="0.25">
      <c r="A4234" s="5" t="str">
        <f>"H0033329"</f>
        <v>H0033329</v>
      </c>
      <c r="B4234" s="5" t="str">
        <f t="shared" si="198"/>
        <v>BOMBA DE INFUSION. Apilables.5 modos. 01-1200 ml/h. 0.1 ml incr. Compatible con set de infusión genérico. anti-bolo. Detección de aire. Alarmas visuales audibles. Bitacora 1.000 reg. Batería de litio</v>
      </c>
      <c r="C4234" s="6">
        <v>2533333</v>
      </c>
      <c r="D4234" s="5" t="s">
        <v>120</v>
      </c>
      <c r="E4234" s="5" t="str">
        <f t="shared" si="196"/>
        <v>ACTISALUD- SALA DE PARTOS-MARIA AUXILIADORA PERTUZ</v>
      </c>
      <c r="F4234" s="5"/>
      <c r="G4234" s="5"/>
    </row>
    <row r="4235" spans="1:7" ht="58.5" customHeight="1" x14ac:dyDescent="0.25">
      <c r="A4235" s="5" t="str">
        <f>"H0033334"</f>
        <v>H0033334</v>
      </c>
      <c r="B4235" s="5" t="str">
        <f t="shared" si="198"/>
        <v>BOMBA DE INFUSION. Apilables.5 modos. 01-1200 ml/h. 0.1 ml incr. Compatible con set de infusión genérico. anti-bolo. Detección de aire. Alarmas visuales audibles. Bitacora 1.000 reg. Batería de litio</v>
      </c>
      <c r="C4235" s="6">
        <v>2533333</v>
      </c>
      <c r="D4235" s="5" t="s">
        <v>120</v>
      </c>
      <c r="E4235" s="5" t="str">
        <f t="shared" si="196"/>
        <v>ACTISALUD- SALA DE PARTOS-MARIA AUXILIADORA PERTUZ</v>
      </c>
      <c r="F4235" s="5"/>
      <c r="G4235" s="5"/>
    </row>
    <row r="4236" spans="1:7" ht="58.5" customHeight="1" x14ac:dyDescent="0.25">
      <c r="A4236" s="5" t="str">
        <f>"H0033370"</f>
        <v>H0033370</v>
      </c>
      <c r="B4236" s="5" t="str">
        <f t="shared" si="198"/>
        <v>BOMBA DE INFUSION. Apilables.5 modos. 01-1200 ml/h. 0.1 ml incr. Compatible con set de infusión genérico. anti-bolo. Detección de aire. Alarmas visuales audibles. Bitacora 1.000 reg. Batería de litio</v>
      </c>
      <c r="C4236" s="6">
        <v>2533333</v>
      </c>
      <c r="D4236" s="5" t="s">
        <v>120</v>
      </c>
      <c r="E4236" s="5" t="str">
        <f t="shared" si="196"/>
        <v>ACTISALUD- SALA DE PARTOS-MARIA AUXILIADORA PERTUZ</v>
      </c>
      <c r="F4236" s="5"/>
      <c r="G4236" s="5"/>
    </row>
    <row r="4237" spans="1:7" ht="58.5" customHeight="1" x14ac:dyDescent="0.25">
      <c r="A4237" s="5" t="str">
        <f>"H0033377"</f>
        <v>H0033377</v>
      </c>
      <c r="B4237" s="5" t="str">
        <f t="shared" si="198"/>
        <v>BOMBA DE INFUSION. Apilables.5 modos. 01-1200 ml/h. 0.1 ml incr. Compatible con set de infusión genérico. anti-bolo. Detección de aire. Alarmas visuales audibles. Bitacora 1.000 reg. Batería de litio</v>
      </c>
      <c r="C4237" s="6">
        <v>2533333</v>
      </c>
      <c r="D4237" s="5" t="s">
        <v>120</v>
      </c>
      <c r="E4237" s="5" t="str">
        <f t="shared" si="196"/>
        <v>ACTISALUD- SALA DE PARTOS-MARIA AUXILIADORA PERTUZ</v>
      </c>
      <c r="F4237" s="5"/>
      <c r="G4237" s="5"/>
    </row>
    <row r="4238" spans="1:7" ht="58.5" customHeight="1" x14ac:dyDescent="0.25">
      <c r="A4238" s="5" t="str">
        <f>"H0033379"</f>
        <v>H0033379</v>
      </c>
      <c r="B4238" s="5" t="str">
        <f t="shared" si="198"/>
        <v>BOMBA DE INFUSION. Apilables.5 modos. 01-1200 ml/h. 0.1 ml incr. Compatible con set de infusión genérico. anti-bolo. Detección de aire. Alarmas visuales audibles. Bitacora 1.000 reg. Batería de litio</v>
      </c>
      <c r="C4238" s="6">
        <v>2533333</v>
      </c>
      <c r="D4238" s="5" t="s">
        <v>120</v>
      </c>
      <c r="E4238" s="5" t="str">
        <f t="shared" si="196"/>
        <v>ACTISALUD- SALA DE PARTOS-MARIA AUXILIADORA PERTUZ</v>
      </c>
      <c r="F4238" s="5"/>
      <c r="G4238" s="5"/>
    </row>
    <row r="4239" spans="1:7" ht="58.5" customHeight="1" x14ac:dyDescent="0.25">
      <c r="A4239" s="5" t="str">
        <f>"H0033384"</f>
        <v>H0033384</v>
      </c>
      <c r="B4239" s="5" t="str">
        <f t="shared" si="198"/>
        <v>BOMBA DE INFUSION. Apilables.5 modos. 01-1200 ml/h. 0.1 ml incr. Compatible con set de infusión genérico. anti-bolo. Detección de aire. Alarmas visuales audibles. Bitacora 1.000 reg. Batería de litio</v>
      </c>
      <c r="C4239" s="6">
        <v>2533333</v>
      </c>
      <c r="D4239" s="5" t="s">
        <v>120</v>
      </c>
      <c r="E4239" s="5" t="str">
        <f t="shared" si="196"/>
        <v>ACTISALUD- SALA DE PARTOS-MARIA AUXILIADORA PERTUZ</v>
      </c>
      <c r="F4239" s="5"/>
      <c r="G4239" s="5"/>
    </row>
    <row r="4240" spans="1:7" ht="58.5" customHeight="1" x14ac:dyDescent="0.25">
      <c r="A4240" s="5" t="str">
        <f>"H0033385"</f>
        <v>H0033385</v>
      </c>
      <c r="B4240" s="5" t="str">
        <f t="shared" si="198"/>
        <v>BOMBA DE INFUSION. Apilables.5 modos. 01-1200 ml/h. 0.1 ml incr. Compatible con set de infusión genérico. anti-bolo. Detección de aire. Alarmas visuales audibles. Bitacora 1.000 reg. Batería de litio</v>
      </c>
      <c r="C4240" s="6">
        <v>2533333</v>
      </c>
      <c r="D4240" s="5" t="s">
        <v>120</v>
      </c>
      <c r="E4240" s="5" t="str">
        <f t="shared" si="196"/>
        <v>ACTISALUD- SALA DE PARTOS-MARIA AUXILIADORA PERTUZ</v>
      </c>
      <c r="F4240" s="5"/>
      <c r="G4240" s="5"/>
    </row>
    <row r="4241" spans="1:7" ht="58.5" customHeight="1" x14ac:dyDescent="0.25">
      <c r="A4241" s="5" t="str">
        <f>"H0033394"</f>
        <v>H0033394</v>
      </c>
      <c r="B4241" s="5" t="str">
        <f t="shared" si="198"/>
        <v>BOMBA DE INFUSION. Apilables.5 modos. 01-1200 ml/h. 0.1 ml incr. Compatible con set de infusión genérico. anti-bolo. Detección de aire. Alarmas visuales audibles. Bitacora 1.000 reg. Batería de litio</v>
      </c>
      <c r="C4241" s="6">
        <v>2533333</v>
      </c>
      <c r="D4241" s="5" t="s">
        <v>120</v>
      </c>
      <c r="E4241" s="5" t="str">
        <f t="shared" si="196"/>
        <v>ACTISALUD- SALA DE PARTOS-MARIA AUXILIADORA PERTUZ</v>
      </c>
      <c r="F4241" s="5"/>
      <c r="G4241" s="5"/>
    </row>
    <row r="4242" spans="1:7" ht="58.5" customHeight="1" x14ac:dyDescent="0.25">
      <c r="A4242" s="5" t="str">
        <f>"H0033400"</f>
        <v>H0033400</v>
      </c>
      <c r="B4242" s="5" t="str">
        <f t="shared" si="198"/>
        <v>BOMBA DE INFUSION. Apilables.5 modos. 01-1200 ml/h. 0.1 ml incr. Compatible con set de infusión genérico. anti-bolo. Detección de aire. Alarmas visuales audibles. Bitacora 1.000 reg. Batería de litio</v>
      </c>
      <c r="C4242" s="6">
        <v>2533333</v>
      </c>
      <c r="D4242" s="5" t="s">
        <v>120</v>
      </c>
      <c r="E4242" s="5" t="str">
        <f t="shared" si="196"/>
        <v>ACTISALUD- SALA DE PARTOS-MARIA AUXILIADORA PERTUZ</v>
      </c>
      <c r="F4242" s="5"/>
      <c r="G4242" s="5"/>
    </row>
    <row r="4243" spans="1:7" ht="58.5" customHeight="1" x14ac:dyDescent="0.25">
      <c r="A4243" s="5" t="str">
        <f>"H0033867"</f>
        <v>H0033867</v>
      </c>
      <c r="B4243" s="5" t="str">
        <f t="shared" si="198"/>
        <v>BOMBA DE INFUSION. Apilables.5 modos. 01-1200 ml/h. 0.1 ml incr. Compatible con set de infusión genérico. anti-bolo. Detección de aire. Alarmas visuales audibles. Bitacora 1.000 reg. Batería de litio</v>
      </c>
      <c r="C4243" s="6">
        <v>2533333</v>
      </c>
      <c r="D4243" s="5" t="s">
        <v>120</v>
      </c>
      <c r="E4243" s="5" t="str">
        <f t="shared" si="196"/>
        <v>ACTISALUD- SALA DE PARTOS-MARIA AUXILIADORA PERTUZ</v>
      </c>
      <c r="F4243" s="5"/>
      <c r="G4243" s="5"/>
    </row>
    <row r="4244" spans="1:7" ht="58.5" customHeight="1" x14ac:dyDescent="0.25">
      <c r="A4244" s="5" t="str">
        <f>"H0033916"</f>
        <v>H0033916</v>
      </c>
      <c r="B4244" s="5" t="str">
        <f>"LECTOR DE HUELLAS DIGITALES"</f>
        <v>LECTOR DE HUELLAS DIGITALES</v>
      </c>
      <c r="C4244" s="6">
        <v>340340</v>
      </c>
      <c r="D4244" s="5" t="s">
        <v>119</v>
      </c>
      <c r="E4244" s="5" t="str">
        <f t="shared" si="196"/>
        <v>ACTISALUD- SALA DE PARTOS-MARIA AUXILIADORA PERTUZ</v>
      </c>
      <c r="F4244" s="5"/>
      <c r="G4244" s="5"/>
    </row>
    <row r="4245" spans="1:7" ht="58.5" customHeight="1" x14ac:dyDescent="0.25">
      <c r="A4245" s="5" t="str">
        <f>"H0033917"</f>
        <v>H0033917</v>
      </c>
      <c r="B4245" s="5" t="str">
        <f>"LECTOR DE HUELLAS DIGITALES"</f>
        <v>LECTOR DE HUELLAS DIGITALES</v>
      </c>
      <c r="C4245" s="6">
        <v>340340</v>
      </c>
      <c r="D4245" s="5" t="s">
        <v>119</v>
      </c>
      <c r="E4245" s="5" t="str">
        <f t="shared" si="196"/>
        <v>ACTISALUD- SALA DE PARTOS-MARIA AUXILIADORA PERTUZ</v>
      </c>
      <c r="F4245" s="5"/>
      <c r="G4245" s="5"/>
    </row>
    <row r="4246" spans="1:7" ht="58.5" customHeight="1" x14ac:dyDescent="0.25">
      <c r="A4246" s="5" t="str">
        <f>"H0033922"</f>
        <v>H0033922</v>
      </c>
      <c r="B4246" s="5" t="str">
        <f>"LECTOR DE HUELLAS DIGITALES"</f>
        <v>LECTOR DE HUELLAS DIGITALES</v>
      </c>
      <c r="C4246" s="6">
        <v>340340</v>
      </c>
      <c r="D4246" s="5" t="s">
        <v>119</v>
      </c>
      <c r="E4246" s="5" t="str">
        <f t="shared" si="196"/>
        <v>ACTISALUD- SALA DE PARTOS-MARIA AUXILIADORA PERTUZ</v>
      </c>
      <c r="F4246" s="5"/>
      <c r="G4246" s="5"/>
    </row>
    <row r="4247" spans="1:7" ht="58.5" customHeight="1" x14ac:dyDescent="0.25">
      <c r="A4247" s="5" t="str">
        <f>"H0033934"</f>
        <v>H0033934</v>
      </c>
      <c r="B4247" s="5" t="str">
        <f>"LECTOR DE HUELLAS DIGITALES"</f>
        <v>LECTOR DE HUELLAS DIGITALES</v>
      </c>
      <c r="C4247" s="6">
        <v>340340</v>
      </c>
      <c r="D4247" s="5" t="s">
        <v>119</v>
      </c>
      <c r="E4247" s="5" t="str">
        <f t="shared" si="196"/>
        <v>ACTISALUD- SALA DE PARTOS-MARIA AUXILIADORA PERTUZ</v>
      </c>
      <c r="F4247" s="5"/>
      <c r="G4247" s="5"/>
    </row>
    <row r="4248" spans="1:7" ht="58.5" customHeight="1" x14ac:dyDescent="0.25">
      <c r="A4248" s="5" t="str">
        <f>"H0033948"</f>
        <v>H0033948</v>
      </c>
      <c r="B4248" s="5" t="str">
        <f>"LECTOR DE HUELLAS DIGITALES"</f>
        <v>LECTOR DE HUELLAS DIGITALES</v>
      </c>
      <c r="C4248" s="6">
        <v>340340</v>
      </c>
      <c r="D4248" s="5" t="s">
        <v>119</v>
      </c>
      <c r="E4248" s="5" t="str">
        <f t="shared" si="196"/>
        <v>ACTISALUD- SALA DE PARTOS-MARIA AUXILIADORA PERTUZ</v>
      </c>
      <c r="F4248" s="5"/>
      <c r="G4248" s="5"/>
    </row>
    <row r="4249" spans="1:7" ht="58.5" customHeight="1" x14ac:dyDescent="0.25">
      <c r="A4249" s="5" t="str">
        <f>"H0034333"</f>
        <v>H0034333</v>
      </c>
      <c r="B4249" s="5" t="str">
        <f>"BASCULA MECANICA METALICA (DONACION)"</f>
        <v>BASCULA MECANICA METALICA (DONACION)</v>
      </c>
      <c r="C4249" s="6">
        <v>1357000</v>
      </c>
      <c r="D4249" s="5" t="s">
        <v>193</v>
      </c>
      <c r="E4249" s="5" t="str">
        <f t="shared" ref="E4249:E4317" si="199">"ACTISALUD- SALA DE PARTOS-MARIA AUXILIADORA PERTUZ"</f>
        <v>ACTISALUD- SALA DE PARTOS-MARIA AUXILIADORA PERTUZ</v>
      </c>
      <c r="F4249" s="5"/>
      <c r="G4249" s="5"/>
    </row>
    <row r="4250" spans="1:7" ht="58.5" customHeight="1" x14ac:dyDescent="0.25">
      <c r="A4250" s="5" t="str">
        <f>"h0034335"</f>
        <v>h0034335</v>
      </c>
      <c r="B4250" s="5" t="str">
        <f>"CAMILLA DE TRANSPORTE Y RECUPERACION (DONACION)"</f>
        <v>CAMILLA DE TRANSPORTE Y RECUPERACION (DONACION)</v>
      </c>
      <c r="C4250" s="6">
        <v>2200000</v>
      </c>
      <c r="D4250" s="5" t="s">
        <v>193</v>
      </c>
      <c r="E4250" s="5" t="str">
        <f t="shared" si="199"/>
        <v>ACTISALUD- SALA DE PARTOS-MARIA AUXILIADORA PERTUZ</v>
      </c>
      <c r="F4250" s="5"/>
      <c r="G4250" s="5"/>
    </row>
    <row r="4251" spans="1:7" ht="58.5" customHeight="1" x14ac:dyDescent="0.25">
      <c r="A4251" s="5" t="str">
        <f>"H0034336"</f>
        <v>H0034336</v>
      </c>
      <c r="B4251" s="5" t="str">
        <f>"CAMILLA DE TRANSPORTE Y RECUPERACION (DONACION)"</f>
        <v>CAMILLA DE TRANSPORTE Y RECUPERACION (DONACION)</v>
      </c>
      <c r="C4251" s="6">
        <v>2200000</v>
      </c>
      <c r="D4251" s="5" t="s">
        <v>193</v>
      </c>
      <c r="E4251" s="5" t="str">
        <f t="shared" si="199"/>
        <v>ACTISALUD- SALA DE PARTOS-MARIA AUXILIADORA PERTUZ</v>
      </c>
      <c r="F4251" s="5"/>
      <c r="G4251" s="5"/>
    </row>
    <row r="4252" spans="1:7" ht="58.5" customHeight="1" x14ac:dyDescent="0.25">
      <c r="A4252" s="5" t="str">
        <f>"H0034557"</f>
        <v>H0034557</v>
      </c>
      <c r="B4252" s="5" t="str">
        <f>"COMPRESOR SCROLL 7 HP INVERTE MULTIN V REF ZP83KCE-TFD-422 CON SOFTWARE INCLUIDO"</f>
        <v>COMPRESOR SCROLL 7 HP INVERTE MULTIN V REF ZP83KCE-TFD-422 CON SOFTWARE INCLUIDO</v>
      </c>
      <c r="C4252" s="6">
        <v>11869999.92</v>
      </c>
      <c r="D4252" s="5" t="s">
        <v>18</v>
      </c>
      <c r="E4252" s="5" t="str">
        <f t="shared" si="199"/>
        <v>ACTISALUD- SALA DE PARTOS-MARIA AUXILIADORA PERTUZ</v>
      </c>
      <c r="F4252" s="5"/>
      <c r="G4252" s="5"/>
    </row>
    <row r="4253" spans="1:7" ht="58.5" customHeight="1" x14ac:dyDescent="0.25">
      <c r="A4253" s="5" t="str">
        <f>"H0034628"</f>
        <v>H0034628</v>
      </c>
      <c r="B4253" s="5" t="str">
        <f>"COMPRESOR MARCA DANFOSS MODELO HCM120T4LCG 460V 3-60 HZ  R-22"</f>
        <v>COMPRESOR MARCA DANFOSS MODELO HCM120T4LCG 460V 3-60 HZ  R-22</v>
      </c>
      <c r="C4253" s="6">
        <v>7749999.5499999998</v>
      </c>
      <c r="D4253" s="5" t="s">
        <v>367</v>
      </c>
      <c r="E4253" s="5" t="str">
        <f t="shared" si="199"/>
        <v>ACTISALUD- SALA DE PARTOS-MARIA AUXILIADORA PERTUZ</v>
      </c>
      <c r="F4253" s="5"/>
      <c r="G4253" s="5"/>
    </row>
    <row r="4254" spans="1:7" ht="58.5" customHeight="1" x14ac:dyDescent="0.25">
      <c r="A4254" s="5" t="str">
        <f>"H0034805"</f>
        <v>H0034805</v>
      </c>
      <c r="B4254" s="5" t="str">
        <f>"succionador (DONACION)"</f>
        <v>succionador (DONACION)</v>
      </c>
      <c r="C4254" s="6">
        <v>6216000</v>
      </c>
      <c r="D4254" s="5" t="s">
        <v>123</v>
      </c>
      <c r="E4254" s="5" t="str">
        <f t="shared" si="199"/>
        <v>ACTISALUD- SALA DE PARTOS-MARIA AUXILIADORA PERTUZ</v>
      </c>
      <c r="F4254" s="5"/>
      <c r="G4254" s="5"/>
    </row>
    <row r="4255" spans="1:7" ht="58.5" customHeight="1" x14ac:dyDescent="0.25">
      <c r="A4255" s="5" t="str">
        <f>"H0034808"</f>
        <v>H0034808</v>
      </c>
      <c r="B4255" s="5" t="str">
        <f>"succionador (DONACION)"</f>
        <v>succionador (DONACION)</v>
      </c>
      <c r="C4255" s="6">
        <v>6216000</v>
      </c>
      <c r="D4255" s="5" t="s">
        <v>123</v>
      </c>
      <c r="E4255" s="5" t="str">
        <f t="shared" si="199"/>
        <v>ACTISALUD- SALA DE PARTOS-MARIA AUXILIADORA PERTUZ</v>
      </c>
      <c r="F4255" s="5"/>
      <c r="G4255" s="5"/>
    </row>
    <row r="4256" spans="1:7" ht="58.5" customHeight="1" x14ac:dyDescent="0.25">
      <c r="A4256" s="5" t="str">
        <f>"H0035024"</f>
        <v>H0035024</v>
      </c>
      <c r="B4256"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4256" s="6">
        <v>5289550</v>
      </c>
      <c r="D4256" s="5" t="s">
        <v>22</v>
      </c>
      <c r="E4256" s="5" t="str">
        <f t="shared" si="199"/>
        <v>ACTISALUD- SALA DE PARTOS-MARIA AUXILIADORA PERTUZ</v>
      </c>
      <c r="F4256" s="5"/>
      <c r="G4256" s="5"/>
    </row>
    <row r="4257" spans="1:7" ht="58.5" customHeight="1" x14ac:dyDescent="0.25">
      <c r="A4257" s="5" t="str">
        <f>"H0035027"</f>
        <v>H0035027</v>
      </c>
      <c r="B4257"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4257" s="6">
        <v>5289550</v>
      </c>
      <c r="D4257" s="5" t="s">
        <v>22</v>
      </c>
      <c r="E4257" s="5" t="str">
        <f t="shared" si="199"/>
        <v>ACTISALUD- SALA DE PARTOS-MARIA AUXILIADORA PERTUZ</v>
      </c>
      <c r="F4257" s="5"/>
      <c r="G4257" s="5"/>
    </row>
    <row r="4258" spans="1:7" ht="58.5" customHeight="1" x14ac:dyDescent="0.25">
      <c r="A4258" s="5" t="str">
        <f>"H0035048"</f>
        <v>H0035048</v>
      </c>
      <c r="B425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4258" s="6">
        <v>5289550</v>
      </c>
      <c r="D4258" s="5" t="s">
        <v>22</v>
      </c>
      <c r="E4258" s="5" t="str">
        <f t="shared" si="199"/>
        <v>ACTISALUD- SALA DE PARTOS-MARIA AUXILIADORA PERTUZ</v>
      </c>
      <c r="F4258" s="5"/>
      <c r="G4258" s="5"/>
    </row>
    <row r="4259" spans="1:7" ht="58.5" customHeight="1" x14ac:dyDescent="0.25">
      <c r="A4259" s="5" t="str">
        <f>"H0035165"</f>
        <v>H0035165</v>
      </c>
      <c r="B4259" s="5" t="str">
        <f>"INCUBADORA DE TRANSPORTE (DONACION)"</f>
        <v>INCUBADORA DE TRANSPORTE (DONACION)</v>
      </c>
      <c r="C4259" s="6">
        <v>32278750</v>
      </c>
      <c r="D4259" s="5" t="s">
        <v>278</v>
      </c>
      <c r="E4259" s="5" t="str">
        <f t="shared" si="199"/>
        <v>ACTISALUD- SALA DE PARTOS-MARIA AUXILIADORA PERTUZ</v>
      </c>
      <c r="F4259" s="5"/>
      <c r="G4259" s="5"/>
    </row>
    <row r="4260" spans="1:7" ht="58.5" customHeight="1" x14ac:dyDescent="0.25">
      <c r="A4260" s="5" t="str">
        <f>"H0035167"</f>
        <v>H0035167</v>
      </c>
      <c r="B4260" s="5" t="str">
        <f>"INCUBADORA DE TRANSPORTE (DONACION)"</f>
        <v>INCUBADORA DE TRANSPORTE (DONACION)</v>
      </c>
      <c r="C4260" s="6">
        <v>32278750</v>
      </c>
      <c r="D4260" s="5" t="s">
        <v>278</v>
      </c>
      <c r="E4260" s="5" t="str">
        <f t="shared" si="199"/>
        <v>ACTISALUD- SALA DE PARTOS-MARIA AUXILIADORA PERTUZ</v>
      </c>
      <c r="F4260" s="5"/>
      <c r="G4260" s="5"/>
    </row>
    <row r="4261" spans="1:7" ht="58.5" customHeight="1" x14ac:dyDescent="0.25">
      <c r="A4261" s="5" t="str">
        <f>"H0035179"</f>
        <v>H0035179</v>
      </c>
      <c r="B4261" s="5" t="str">
        <f>"LECTOR DE HUELLAS DIGITALES"</f>
        <v>LECTOR DE HUELLAS DIGITALES</v>
      </c>
      <c r="C4261" s="6">
        <v>357666.4</v>
      </c>
      <c r="D4261" s="5" t="s">
        <v>126</v>
      </c>
      <c r="E4261" s="5" t="str">
        <f t="shared" si="199"/>
        <v>ACTISALUD- SALA DE PARTOS-MARIA AUXILIADORA PERTUZ</v>
      </c>
      <c r="F4261" s="5"/>
      <c r="G4261" s="5"/>
    </row>
    <row r="4262" spans="1:7" ht="58.5" customHeight="1" x14ac:dyDescent="0.25">
      <c r="A4262" s="5" t="str">
        <f>"H0035221"</f>
        <v>H0035221</v>
      </c>
      <c r="B4262" s="5" t="str">
        <f>"LECTOR DE HUELLAS DIGITALES"</f>
        <v>LECTOR DE HUELLAS DIGITALES</v>
      </c>
      <c r="C4262" s="6">
        <v>357666.4</v>
      </c>
      <c r="D4262" s="5" t="s">
        <v>126</v>
      </c>
      <c r="E4262" s="5" t="str">
        <f t="shared" si="199"/>
        <v>ACTISALUD- SALA DE PARTOS-MARIA AUXILIADORA PERTUZ</v>
      </c>
      <c r="F4262" s="5"/>
      <c r="G4262" s="5"/>
    </row>
    <row r="4263" spans="1:7" ht="58.5" customHeight="1" x14ac:dyDescent="0.25">
      <c r="A4263" s="5" t="str">
        <f>"H0035222"</f>
        <v>H0035222</v>
      </c>
      <c r="B4263" s="5" t="str">
        <f>"LECTOR DE HUELLAS DIGITALES"</f>
        <v>LECTOR DE HUELLAS DIGITALES</v>
      </c>
      <c r="C4263" s="6">
        <v>357666.4</v>
      </c>
      <c r="D4263" s="5" t="s">
        <v>126</v>
      </c>
      <c r="E4263" s="5" t="str">
        <f t="shared" si="199"/>
        <v>ACTISALUD- SALA DE PARTOS-MARIA AUXILIADORA PERTUZ</v>
      </c>
      <c r="F4263" s="5"/>
      <c r="G4263" s="5"/>
    </row>
    <row r="4264" spans="1:7" ht="58.5" customHeight="1" x14ac:dyDescent="0.25">
      <c r="A4264" s="5" t="str">
        <f>"H0035261"</f>
        <v>H0035261</v>
      </c>
      <c r="B4264" s="5" t="str">
        <f>"MONITOR FETAL (DONACION)"</f>
        <v>MONITOR FETAL (DONACION)</v>
      </c>
      <c r="C4264" s="6">
        <v>48690000</v>
      </c>
      <c r="D4264" s="5" t="s">
        <v>279</v>
      </c>
      <c r="E4264" s="5" t="str">
        <f t="shared" si="199"/>
        <v>ACTISALUD- SALA DE PARTOS-MARIA AUXILIADORA PERTUZ</v>
      </c>
      <c r="F4264" s="5"/>
      <c r="G4264" s="5"/>
    </row>
    <row r="4265" spans="1:7" ht="58.5" customHeight="1" x14ac:dyDescent="0.25">
      <c r="A4265" s="5" t="str">
        <f>"H0035262"</f>
        <v>H0035262</v>
      </c>
      <c r="B4265" s="5" t="str">
        <f>"MONITOR FETAL (DONACION)"</f>
        <v>MONITOR FETAL (DONACION)</v>
      </c>
      <c r="C4265" s="6">
        <v>48690000</v>
      </c>
      <c r="D4265" s="5" t="s">
        <v>279</v>
      </c>
      <c r="E4265" s="5" t="str">
        <f t="shared" si="199"/>
        <v>ACTISALUD- SALA DE PARTOS-MARIA AUXILIADORA PERTUZ</v>
      </c>
      <c r="F4265" s="5"/>
      <c r="G4265" s="5"/>
    </row>
    <row r="4266" spans="1:7" ht="58.5" customHeight="1" x14ac:dyDescent="0.25">
      <c r="A4266" s="5" t="str">
        <f>"H0035417"</f>
        <v>H0035417</v>
      </c>
      <c r="B4266" s="5" t="str">
        <f>"COMPUTADOR TODO EN UNO HP  200 G4 CORPORATIVO  21.5  Intel® Core™ i5-10210U 10ma generación), Disco Duro 1TB"</f>
        <v>COMPUTADOR TODO EN UNO HP  200 G4 CORPORATIVO  21.5  Intel® Core™ i5-10210U 10ma generación), Disco Duro 1TB</v>
      </c>
      <c r="C4266" s="6">
        <v>5343100</v>
      </c>
      <c r="D4266" s="5" t="s">
        <v>197</v>
      </c>
      <c r="E4266" s="5" t="str">
        <f t="shared" si="199"/>
        <v>ACTISALUD- SALA DE PARTOS-MARIA AUXILIADORA PERTUZ</v>
      </c>
      <c r="F4266" s="5"/>
      <c r="G4266" s="5"/>
    </row>
    <row r="4267" spans="1:7" ht="58.5" customHeight="1" x14ac:dyDescent="0.25">
      <c r="A4267" s="5" t="str">
        <f>"H0035418"</f>
        <v>H0035418</v>
      </c>
      <c r="B4267" s="5" t="str">
        <f>"COMPUTADOR TODO EN UNO HP  200 G4 CORPORATIVO  21.5  Intel® Core™ i5-10210U 10ma generación), Disco Duro 1TB"</f>
        <v>COMPUTADOR TODO EN UNO HP  200 G4 CORPORATIVO  21.5  Intel® Core™ i5-10210U 10ma generación), Disco Duro 1TB</v>
      </c>
      <c r="C4267" s="6">
        <v>5343100</v>
      </c>
      <c r="D4267" s="5" t="s">
        <v>197</v>
      </c>
      <c r="E4267" s="5" t="str">
        <f t="shared" si="199"/>
        <v>ACTISALUD- SALA DE PARTOS-MARIA AUXILIADORA PERTUZ</v>
      </c>
      <c r="F4267" s="5"/>
      <c r="G4267" s="5"/>
    </row>
    <row r="4268" spans="1:7" ht="58.5" customHeight="1" x14ac:dyDescent="0.25">
      <c r="A4268" s="5" t="str">
        <f>"H0035871"</f>
        <v>H0035871</v>
      </c>
      <c r="B4268" s="5" t="str">
        <f t="shared" ref="B4268:B4279" si="200">"SILLA GERENTE NIZA MEC. BASCULANTE CON BRAZOS."</f>
        <v>SILLA GERENTE NIZA MEC. BASCULANTE CON BRAZOS.</v>
      </c>
      <c r="C4268" s="6">
        <v>639999.86</v>
      </c>
      <c r="D4268" s="5" t="s">
        <v>281</v>
      </c>
      <c r="E4268" s="5" t="str">
        <f t="shared" si="199"/>
        <v>ACTISALUD- SALA DE PARTOS-MARIA AUXILIADORA PERTUZ</v>
      </c>
      <c r="F4268" s="5"/>
      <c r="G4268" s="5"/>
    </row>
    <row r="4269" spans="1:7" ht="58.5" customHeight="1" x14ac:dyDescent="0.25">
      <c r="A4269" s="5" t="str">
        <f>"H0035872"</f>
        <v>H0035872</v>
      </c>
      <c r="B4269" s="5" t="str">
        <f t="shared" si="200"/>
        <v>SILLA GERENTE NIZA MEC. BASCULANTE CON BRAZOS.</v>
      </c>
      <c r="C4269" s="6">
        <v>639999.86</v>
      </c>
      <c r="D4269" s="5" t="s">
        <v>281</v>
      </c>
      <c r="E4269" s="5" t="str">
        <f t="shared" si="199"/>
        <v>ACTISALUD- SALA DE PARTOS-MARIA AUXILIADORA PERTUZ</v>
      </c>
      <c r="F4269" s="5"/>
      <c r="G4269" s="5"/>
    </row>
    <row r="4270" spans="1:7" ht="58.5" customHeight="1" x14ac:dyDescent="0.25">
      <c r="A4270" s="5" t="str">
        <f>"H0035873"</f>
        <v>H0035873</v>
      </c>
      <c r="B4270" s="5" t="str">
        <f t="shared" si="200"/>
        <v>SILLA GERENTE NIZA MEC. BASCULANTE CON BRAZOS.</v>
      </c>
      <c r="C4270" s="6">
        <v>639999.86</v>
      </c>
      <c r="D4270" s="5" t="s">
        <v>281</v>
      </c>
      <c r="E4270" s="5" t="str">
        <f t="shared" si="199"/>
        <v>ACTISALUD- SALA DE PARTOS-MARIA AUXILIADORA PERTUZ</v>
      </c>
      <c r="F4270" s="5"/>
      <c r="G4270" s="5"/>
    </row>
    <row r="4271" spans="1:7" ht="58.5" customHeight="1" x14ac:dyDescent="0.25">
      <c r="A4271" s="5" t="str">
        <f>"H0035874"</f>
        <v>H0035874</v>
      </c>
      <c r="B4271" s="5" t="str">
        <f t="shared" si="200"/>
        <v>SILLA GERENTE NIZA MEC. BASCULANTE CON BRAZOS.</v>
      </c>
      <c r="C4271" s="6">
        <v>639999.86</v>
      </c>
      <c r="D4271" s="5" t="s">
        <v>281</v>
      </c>
      <c r="E4271" s="5" t="str">
        <f t="shared" si="199"/>
        <v>ACTISALUD- SALA DE PARTOS-MARIA AUXILIADORA PERTUZ</v>
      </c>
      <c r="F4271" s="5"/>
      <c r="G4271" s="5"/>
    </row>
    <row r="4272" spans="1:7" ht="58.5" customHeight="1" x14ac:dyDescent="0.25">
      <c r="A4272" s="5" t="str">
        <f>"H0035875"</f>
        <v>H0035875</v>
      </c>
      <c r="B4272" s="5" t="str">
        <f t="shared" si="200"/>
        <v>SILLA GERENTE NIZA MEC. BASCULANTE CON BRAZOS.</v>
      </c>
      <c r="C4272" s="6">
        <v>639999.86</v>
      </c>
      <c r="D4272" s="5" t="s">
        <v>281</v>
      </c>
      <c r="E4272" s="5" t="str">
        <f t="shared" si="199"/>
        <v>ACTISALUD- SALA DE PARTOS-MARIA AUXILIADORA PERTUZ</v>
      </c>
      <c r="F4272" s="5"/>
      <c r="G4272" s="5"/>
    </row>
    <row r="4273" spans="1:7" ht="58.5" customHeight="1" x14ac:dyDescent="0.25">
      <c r="A4273" s="5" t="str">
        <f>"H0035876"</f>
        <v>H0035876</v>
      </c>
      <c r="B4273" s="5" t="str">
        <f t="shared" si="200"/>
        <v>SILLA GERENTE NIZA MEC. BASCULANTE CON BRAZOS.</v>
      </c>
      <c r="C4273" s="6">
        <v>639999.86</v>
      </c>
      <c r="D4273" s="5" t="s">
        <v>281</v>
      </c>
      <c r="E4273" s="5" t="str">
        <f t="shared" si="199"/>
        <v>ACTISALUD- SALA DE PARTOS-MARIA AUXILIADORA PERTUZ</v>
      </c>
      <c r="F4273" s="5"/>
      <c r="G4273" s="5"/>
    </row>
    <row r="4274" spans="1:7" ht="58.5" customHeight="1" x14ac:dyDescent="0.25">
      <c r="A4274" s="5" t="str">
        <f>"H0035878"</f>
        <v>H0035878</v>
      </c>
      <c r="B4274" s="5" t="str">
        <f t="shared" si="200"/>
        <v>SILLA GERENTE NIZA MEC. BASCULANTE CON BRAZOS.</v>
      </c>
      <c r="C4274" s="6">
        <v>639999.86</v>
      </c>
      <c r="D4274" s="5" t="s">
        <v>281</v>
      </c>
      <c r="E4274" s="5" t="str">
        <f t="shared" si="199"/>
        <v>ACTISALUD- SALA DE PARTOS-MARIA AUXILIADORA PERTUZ</v>
      </c>
      <c r="F4274" s="5"/>
      <c r="G4274" s="5"/>
    </row>
    <row r="4275" spans="1:7" ht="58.5" customHeight="1" x14ac:dyDescent="0.25">
      <c r="A4275" s="5" t="str">
        <f>"H0035879"</f>
        <v>H0035879</v>
      </c>
      <c r="B4275" s="5" t="str">
        <f t="shared" si="200"/>
        <v>SILLA GERENTE NIZA MEC. BASCULANTE CON BRAZOS.</v>
      </c>
      <c r="C4275" s="6">
        <v>639999.86</v>
      </c>
      <c r="D4275" s="5" t="s">
        <v>281</v>
      </c>
      <c r="E4275" s="5" t="str">
        <f t="shared" si="199"/>
        <v>ACTISALUD- SALA DE PARTOS-MARIA AUXILIADORA PERTUZ</v>
      </c>
      <c r="F4275" s="5"/>
      <c r="G4275" s="5"/>
    </row>
    <row r="4276" spans="1:7" ht="58.5" customHeight="1" x14ac:dyDescent="0.25">
      <c r="A4276" s="5" t="str">
        <f>"H0035880"</f>
        <v>H0035880</v>
      </c>
      <c r="B4276" s="5" t="str">
        <f t="shared" si="200"/>
        <v>SILLA GERENTE NIZA MEC. BASCULANTE CON BRAZOS.</v>
      </c>
      <c r="C4276" s="6">
        <v>639999.86</v>
      </c>
      <c r="D4276" s="5" t="s">
        <v>281</v>
      </c>
      <c r="E4276" s="5" t="str">
        <f t="shared" si="199"/>
        <v>ACTISALUD- SALA DE PARTOS-MARIA AUXILIADORA PERTUZ</v>
      </c>
      <c r="F4276" s="5"/>
      <c r="G4276" s="5"/>
    </row>
    <row r="4277" spans="1:7" ht="58.5" customHeight="1" x14ac:dyDescent="0.25">
      <c r="A4277" s="5" t="str">
        <f>"H0035881"</f>
        <v>H0035881</v>
      </c>
      <c r="B4277" s="5" t="str">
        <f t="shared" si="200"/>
        <v>SILLA GERENTE NIZA MEC. BASCULANTE CON BRAZOS.</v>
      </c>
      <c r="C4277" s="6">
        <v>639999.86</v>
      </c>
      <c r="D4277" s="5" t="s">
        <v>281</v>
      </c>
      <c r="E4277" s="5" t="str">
        <f t="shared" si="199"/>
        <v>ACTISALUD- SALA DE PARTOS-MARIA AUXILIADORA PERTUZ</v>
      </c>
      <c r="F4277" s="5"/>
      <c r="G4277" s="5"/>
    </row>
    <row r="4278" spans="1:7" ht="58.5" customHeight="1" x14ac:dyDescent="0.25">
      <c r="A4278" s="5" t="str">
        <f>"H0035882"</f>
        <v>H0035882</v>
      </c>
      <c r="B4278" s="5" t="str">
        <f t="shared" si="200"/>
        <v>SILLA GERENTE NIZA MEC. BASCULANTE CON BRAZOS.</v>
      </c>
      <c r="C4278" s="6">
        <v>639999.86</v>
      </c>
      <c r="D4278" s="5" t="s">
        <v>281</v>
      </c>
      <c r="E4278" s="5" t="str">
        <f t="shared" si="199"/>
        <v>ACTISALUD- SALA DE PARTOS-MARIA AUXILIADORA PERTUZ</v>
      </c>
      <c r="F4278" s="5"/>
      <c r="G4278" s="5"/>
    </row>
    <row r="4279" spans="1:7" ht="58.5" customHeight="1" x14ac:dyDescent="0.25">
      <c r="A4279" s="5" t="str">
        <f>"H0035885"</f>
        <v>H0035885</v>
      </c>
      <c r="B4279" s="5" t="str">
        <f t="shared" si="200"/>
        <v>SILLA GERENTE NIZA MEC. BASCULANTE CON BRAZOS.</v>
      </c>
      <c r="C4279" s="6">
        <v>639999.86</v>
      </c>
      <c r="D4279" s="5" t="s">
        <v>281</v>
      </c>
      <c r="E4279" s="5" t="str">
        <f t="shared" si="199"/>
        <v>ACTISALUD- SALA DE PARTOS-MARIA AUXILIADORA PERTUZ</v>
      </c>
      <c r="F4279" s="5"/>
      <c r="G4279" s="5"/>
    </row>
    <row r="4280" spans="1:7" ht="58.5" customHeight="1" x14ac:dyDescent="0.25">
      <c r="A4280" s="5" t="str">
        <f>"H0036406"</f>
        <v>H0036406</v>
      </c>
      <c r="B4280" s="5" t="str">
        <f>"VENTILADOR DE PARED"</f>
        <v>VENTILADOR DE PARED</v>
      </c>
      <c r="C4280" s="6">
        <v>295260</v>
      </c>
      <c r="D4280" s="5" t="s">
        <v>131</v>
      </c>
      <c r="E4280" s="5" t="str">
        <f t="shared" si="199"/>
        <v>ACTISALUD- SALA DE PARTOS-MARIA AUXILIADORA PERTUZ</v>
      </c>
      <c r="F4280" s="5"/>
      <c r="G4280" s="5"/>
    </row>
    <row r="4281" spans="1:7" ht="58.5" customHeight="1" x14ac:dyDescent="0.25">
      <c r="A4281" s="5" t="str">
        <f>"H0036442"</f>
        <v>H0036442</v>
      </c>
      <c r="B4281" s="5" t="str">
        <f>"VENTILADOR DE PARED"</f>
        <v>VENTILADOR DE PARED</v>
      </c>
      <c r="C4281" s="6">
        <v>295260</v>
      </c>
      <c r="D4281" s="5" t="s">
        <v>131</v>
      </c>
      <c r="E4281" s="5" t="str">
        <f t="shared" si="199"/>
        <v>ACTISALUD- SALA DE PARTOS-MARIA AUXILIADORA PERTUZ</v>
      </c>
      <c r="F4281" s="5"/>
      <c r="G4281" s="5"/>
    </row>
    <row r="4282" spans="1:7" ht="58.5" customHeight="1" x14ac:dyDescent="0.25">
      <c r="A4282" s="5" t="str">
        <f>"H0036488"</f>
        <v>H0036488</v>
      </c>
      <c r="B4282" s="5" t="str">
        <f>"INCUBADORA DE TRANSPORTE (DONACION)"</f>
        <v>INCUBADORA DE TRANSPORTE (DONACION)</v>
      </c>
      <c r="C4282" s="6">
        <v>18250000</v>
      </c>
      <c r="D4282" s="5" t="s">
        <v>132</v>
      </c>
      <c r="E4282" s="5" t="str">
        <f t="shared" si="199"/>
        <v>ACTISALUD- SALA DE PARTOS-MARIA AUXILIADORA PERTUZ</v>
      </c>
      <c r="F4282" s="5"/>
      <c r="G4282" s="5"/>
    </row>
    <row r="4283" spans="1:7" ht="58.5" customHeight="1" x14ac:dyDescent="0.25">
      <c r="A4283" s="5" t="str">
        <f>"H0036502"</f>
        <v>H0036502</v>
      </c>
      <c r="B4283" s="5" t="str">
        <f>"ASPIRADOR DE SECRECIONES"</f>
        <v>ASPIRADOR DE SECRECIONES</v>
      </c>
      <c r="C4283" s="6">
        <v>645000</v>
      </c>
      <c r="D4283" s="5" t="s">
        <v>132</v>
      </c>
      <c r="E4283" s="5" t="str">
        <f t="shared" si="199"/>
        <v>ACTISALUD- SALA DE PARTOS-MARIA AUXILIADORA PERTUZ</v>
      </c>
      <c r="F4283" s="5"/>
      <c r="G4283" s="5"/>
    </row>
    <row r="4284" spans="1:7" ht="58.5" customHeight="1" x14ac:dyDescent="0.25">
      <c r="A4284" s="5" t="str">
        <f>"H0036504"</f>
        <v>H0036504</v>
      </c>
      <c r="B4284" s="5" t="str">
        <f>"ASPIRADOR DE SECRECIONES"</f>
        <v>ASPIRADOR DE SECRECIONES</v>
      </c>
      <c r="C4284" s="6">
        <v>645000</v>
      </c>
      <c r="D4284" s="5" t="s">
        <v>132</v>
      </c>
      <c r="E4284" s="5" t="str">
        <f t="shared" si="199"/>
        <v>ACTISALUD- SALA DE PARTOS-MARIA AUXILIADORA PERTUZ</v>
      </c>
      <c r="F4284" s="5"/>
      <c r="G4284" s="5"/>
    </row>
    <row r="4285" spans="1:7" ht="58.5" customHeight="1" x14ac:dyDescent="0.25">
      <c r="A4285" s="5" t="str">
        <f>"H0036523"</f>
        <v>H0036523</v>
      </c>
      <c r="B4285"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4285" s="6">
        <v>6307000</v>
      </c>
      <c r="D4285" s="5" t="s">
        <v>48</v>
      </c>
      <c r="E4285" s="5" t="str">
        <f t="shared" si="199"/>
        <v>ACTISALUD- SALA DE PARTOS-MARIA AUXILIADORA PERTUZ</v>
      </c>
      <c r="F4285" s="5"/>
      <c r="G4285" s="5" t="str">
        <f>"VZ4680G"</f>
        <v>VZ4680G</v>
      </c>
    </row>
    <row r="4286" spans="1:7" ht="58.5" customHeight="1" x14ac:dyDescent="0.25">
      <c r="A4286" s="5" t="str">
        <f>"H0036592"</f>
        <v>H0036592</v>
      </c>
      <c r="B4286" s="5" t="str">
        <f>"DESFIBRILADOR (DONACION)"</f>
        <v>DESFIBRILADOR (DONACION)</v>
      </c>
      <c r="C4286" s="6">
        <v>19285000</v>
      </c>
      <c r="D4286" s="5" t="s">
        <v>368</v>
      </c>
      <c r="E4286" s="5" t="str">
        <f t="shared" si="199"/>
        <v>ACTISALUD- SALA DE PARTOS-MARIA AUXILIADORA PERTUZ</v>
      </c>
      <c r="F4286" s="5"/>
      <c r="G4286" s="5" t="str">
        <f>"BENEHEART-D3"</f>
        <v>BENEHEART-D3</v>
      </c>
    </row>
    <row r="4287" spans="1:7" ht="58.5" customHeight="1" x14ac:dyDescent="0.25">
      <c r="A4287" s="5" t="str">
        <f>"H0036607"</f>
        <v>H0036607</v>
      </c>
      <c r="B4287" s="5" t="str">
        <f>"MONITOR DE PACIENTES (DONACION)"</f>
        <v>MONITOR DE PACIENTES (DONACION)</v>
      </c>
      <c r="C4287" s="6">
        <v>4450000</v>
      </c>
      <c r="D4287" s="5" t="s">
        <v>134</v>
      </c>
      <c r="E4287" s="5" t="str">
        <f t="shared" si="199"/>
        <v>ACTISALUD- SALA DE PARTOS-MARIA AUXILIADORA PERTUZ</v>
      </c>
      <c r="F4287" s="5"/>
      <c r="G4287" s="5"/>
    </row>
    <row r="4288" spans="1:7" ht="58.5" customHeight="1" x14ac:dyDescent="0.25">
      <c r="A4288" s="5" t="str">
        <f>"H0036858"</f>
        <v>H0036858</v>
      </c>
      <c r="B4288" s="5" t="str">
        <f>"ECOGRAFO PORTATIL (DONACION)"</f>
        <v>ECOGRAFO PORTATIL (DONACION)</v>
      </c>
      <c r="C4288" s="6">
        <v>20168067</v>
      </c>
      <c r="D4288" s="5" t="s">
        <v>369</v>
      </c>
      <c r="E4288" s="5" t="str">
        <f t="shared" si="199"/>
        <v>ACTISALUD- SALA DE PARTOS-MARIA AUXILIADORA PERTUZ</v>
      </c>
      <c r="F4288" s="5"/>
      <c r="G4288" s="5"/>
    </row>
    <row r="4289" spans="1:7" ht="58.5" customHeight="1" x14ac:dyDescent="0.25">
      <c r="A4289" s="5" t="str">
        <f>"H0036861"</f>
        <v>H0036861</v>
      </c>
      <c r="B4289" s="5" t="str">
        <f>"LAMPARA QUIRURGICA DE PIE PORTATIL"</f>
        <v>LAMPARA QUIRURGICA DE PIE PORTATIL</v>
      </c>
      <c r="C4289" s="6">
        <v>44030000</v>
      </c>
      <c r="D4289" s="5" t="s">
        <v>200</v>
      </c>
      <c r="E4289" s="5" t="str">
        <f t="shared" si="199"/>
        <v>ACTISALUD- SALA DE PARTOS-MARIA AUXILIADORA PERTUZ</v>
      </c>
      <c r="F4289" s="5"/>
      <c r="G4289" s="5"/>
    </row>
    <row r="4290" spans="1:7" ht="58.5" customHeight="1" x14ac:dyDescent="0.25">
      <c r="A4290" s="5" t="str">
        <f>"H0036983"</f>
        <v>H0036983</v>
      </c>
      <c r="B4290" s="5" t="str">
        <f>"ECOGRAFO PORTATIL (DONACION)"</f>
        <v>ECOGRAFO PORTATIL (DONACION)</v>
      </c>
      <c r="C4290" s="6">
        <v>86000000</v>
      </c>
      <c r="D4290" s="5" t="s">
        <v>370</v>
      </c>
      <c r="E4290" s="5" t="str">
        <f t="shared" si="199"/>
        <v>ACTISALUD- SALA DE PARTOS-MARIA AUXILIADORA PERTUZ</v>
      </c>
      <c r="F4290" s="5"/>
      <c r="G4290" s="5"/>
    </row>
    <row r="4291" spans="1:7" ht="58.5" customHeight="1" x14ac:dyDescent="0.25">
      <c r="A4291" s="5" t="str">
        <f>"H0036989"</f>
        <v>H0036989</v>
      </c>
      <c r="B4291" s="5" t="str">
        <f>"BOMBA JERINGA (DONACION)"</f>
        <v>BOMBA JERINGA (DONACION)</v>
      </c>
      <c r="C4291" s="6">
        <v>6862152</v>
      </c>
      <c r="D4291" s="5" t="s">
        <v>238</v>
      </c>
      <c r="E4291" s="5" t="str">
        <f t="shared" si="199"/>
        <v>ACTISALUD- SALA DE PARTOS-MARIA AUXILIADORA PERTUZ</v>
      </c>
      <c r="F4291" s="5"/>
      <c r="G4291" s="5"/>
    </row>
    <row r="4292" spans="1:7" ht="58.5" customHeight="1" x14ac:dyDescent="0.25">
      <c r="A4292" s="5" t="str">
        <f>"H0036990"</f>
        <v>H0036990</v>
      </c>
      <c r="B4292" s="5" t="str">
        <f>"BOMBA JERINGA (DONACION)"</f>
        <v>BOMBA JERINGA (DONACION)</v>
      </c>
      <c r="C4292" s="6">
        <v>6862152</v>
      </c>
      <c r="D4292" s="5" t="s">
        <v>238</v>
      </c>
      <c r="E4292" s="5" t="str">
        <f t="shared" si="199"/>
        <v>ACTISALUD- SALA DE PARTOS-MARIA AUXILIADORA PERTUZ</v>
      </c>
      <c r="F4292" s="5"/>
      <c r="G4292" s="5"/>
    </row>
    <row r="4293" spans="1:7" ht="58.5" customHeight="1" x14ac:dyDescent="0.25">
      <c r="A4293" s="5" t="str">
        <f>"H0037100"</f>
        <v>H0037100</v>
      </c>
      <c r="B4293" s="5" t="str">
        <f>"INFANTOMETRO"</f>
        <v>INFANTOMETRO</v>
      </c>
      <c r="C4293" s="6">
        <v>1191337.03</v>
      </c>
      <c r="D4293" s="5" t="s">
        <v>136</v>
      </c>
      <c r="E4293" s="5" t="str">
        <f t="shared" si="199"/>
        <v>ACTISALUD- SALA DE PARTOS-MARIA AUXILIADORA PERTUZ</v>
      </c>
      <c r="F4293" s="5"/>
      <c r="G4293" s="5"/>
    </row>
    <row r="4294" spans="1:7" ht="58.5" customHeight="1" x14ac:dyDescent="0.25">
      <c r="A4294" s="5" t="str">
        <f>"H0037112"</f>
        <v>H0037112</v>
      </c>
      <c r="B4294" s="5" t="str">
        <f>"BASCULA PESA BEBE MARCA SECA MODELO 374"</f>
        <v>BASCULA PESA BEBE MARCA SECA MODELO 374</v>
      </c>
      <c r="C4294" s="6">
        <v>3971069.02</v>
      </c>
      <c r="D4294" s="5" t="s">
        <v>136</v>
      </c>
      <c r="E4294" s="5" t="str">
        <f t="shared" si="199"/>
        <v>ACTISALUD- SALA DE PARTOS-MARIA AUXILIADORA PERTUZ</v>
      </c>
      <c r="F4294" s="5"/>
      <c r="G4294" s="5"/>
    </row>
    <row r="4295" spans="1:7" ht="58.5" customHeight="1" x14ac:dyDescent="0.25">
      <c r="A4295" s="5" t="str">
        <f>"H0037153"</f>
        <v>H0037153</v>
      </c>
      <c r="B4295" s="5" t="str">
        <f>"TALLIMETRO CAPACIDAD 20-205 CM (DONACION)"</f>
        <v>TALLIMETRO CAPACIDAD 20-205 CM (DONACION)</v>
      </c>
      <c r="C4295" s="6">
        <v>1254705.99</v>
      </c>
      <c r="D4295" s="5" t="s">
        <v>136</v>
      </c>
      <c r="E4295" s="5" t="str">
        <f t="shared" si="199"/>
        <v>ACTISALUD- SALA DE PARTOS-MARIA AUXILIADORA PERTUZ</v>
      </c>
      <c r="F4295" s="5"/>
      <c r="G4295" s="5"/>
    </row>
    <row r="4296" spans="1:7" ht="58.5" customHeight="1" x14ac:dyDescent="0.25">
      <c r="A4296" s="5" t="str">
        <f>"H0037155"</f>
        <v>H0037155</v>
      </c>
      <c r="B4296" s="5" t="str">
        <f>"TALLIMETRO CAPACIDAD 20-205 CM (DONACION)"</f>
        <v>TALLIMETRO CAPACIDAD 20-205 CM (DONACION)</v>
      </c>
      <c r="C4296" s="6">
        <v>1254705.99</v>
      </c>
      <c r="D4296" s="5" t="s">
        <v>136</v>
      </c>
      <c r="E4296" s="5" t="str">
        <f t="shared" si="199"/>
        <v>ACTISALUD- SALA DE PARTOS-MARIA AUXILIADORA PERTUZ</v>
      </c>
      <c r="F4296" s="5"/>
      <c r="G4296" s="5"/>
    </row>
    <row r="4297" spans="1:7" ht="58.5" customHeight="1" x14ac:dyDescent="0.25">
      <c r="A4297" s="5" t="str">
        <f>"H0037173"</f>
        <v>H0037173</v>
      </c>
      <c r="B4297" s="5" t="str">
        <f>"BASCULA ADULTO"</f>
        <v>BASCULA ADULTO</v>
      </c>
      <c r="C4297" s="6">
        <v>3588385.98</v>
      </c>
      <c r="D4297" s="5" t="s">
        <v>136</v>
      </c>
      <c r="E4297" s="5" t="str">
        <f t="shared" si="199"/>
        <v>ACTISALUD- SALA DE PARTOS-MARIA AUXILIADORA PERTUZ</v>
      </c>
      <c r="F4297" s="5"/>
      <c r="G4297" s="5"/>
    </row>
    <row r="4298" spans="1:7" ht="58.5" customHeight="1" x14ac:dyDescent="0.25">
      <c r="A4298" s="5" t="str">
        <f>"H0037203"</f>
        <v>H0037203</v>
      </c>
      <c r="B4298" s="5" t="str">
        <f>"BASCULA: Capacidad: 200 kg, División: 100 g &lt; 150 kg &gt; 200 g, Dimensiones (AxAxP):321 x 61 x 362 mm, Peso: 4,1 kg"</f>
        <v>BASCULA: Capacidad: 200 kg, División: 100 g &lt; 150 kg &gt; 200 g, Dimensiones (AxAxP):321 x 61 x 362 mm, Peso: 4,1 kg</v>
      </c>
      <c r="C4298" s="6">
        <v>3588386.01</v>
      </c>
      <c r="D4298" s="5" t="s">
        <v>160</v>
      </c>
      <c r="E4298" s="5" t="str">
        <f t="shared" si="199"/>
        <v>ACTISALUD- SALA DE PARTOS-MARIA AUXILIADORA PERTUZ</v>
      </c>
      <c r="F4298" s="5"/>
      <c r="G4298" s="5"/>
    </row>
    <row r="4299" spans="1:7" ht="58.5" customHeight="1" x14ac:dyDescent="0.25">
      <c r="A4299" s="5" t="str">
        <f>"H0037239"</f>
        <v>H0037239</v>
      </c>
      <c r="B4299" s="5" t="str">
        <f>"ECOGRAFO PORTATIL (DONACION)"</f>
        <v>ECOGRAFO PORTATIL (DONACION)</v>
      </c>
      <c r="C4299" s="6">
        <v>147286073</v>
      </c>
      <c r="D4299" s="5" t="s">
        <v>283</v>
      </c>
      <c r="E4299" s="5" t="str">
        <f t="shared" si="199"/>
        <v>ACTISALUD- SALA DE PARTOS-MARIA AUXILIADORA PERTUZ</v>
      </c>
      <c r="F4299" s="5"/>
      <c r="G4299" s="5"/>
    </row>
    <row r="4300" spans="1:7" ht="58.5" customHeight="1" x14ac:dyDescent="0.25">
      <c r="A4300" s="5" t="str">
        <f>"H0037240"</f>
        <v>H0037240</v>
      </c>
      <c r="B4300" s="5" t="str">
        <f>"ECOGRAFO PORTATIL (DONACION)"</f>
        <v>ECOGRAFO PORTATIL (DONACION)</v>
      </c>
      <c r="C4300" s="6">
        <v>147286073</v>
      </c>
      <c r="D4300" s="5" t="s">
        <v>283</v>
      </c>
      <c r="E4300" s="5" t="str">
        <f t="shared" si="199"/>
        <v>ACTISALUD- SALA DE PARTOS-MARIA AUXILIADORA PERTUZ</v>
      </c>
      <c r="F4300" s="5"/>
      <c r="G4300" s="5"/>
    </row>
    <row r="4301" spans="1:7" ht="58.5" customHeight="1" x14ac:dyDescent="0.25">
      <c r="A4301" s="5" t="str">
        <f>"H0037241"</f>
        <v>H0037241</v>
      </c>
      <c r="B4301" s="5" t="str">
        <f>"ECOGRAFO PORTATIL (DONACION)"</f>
        <v>ECOGRAFO PORTATIL (DONACION)</v>
      </c>
      <c r="C4301" s="6">
        <v>147286073</v>
      </c>
      <c r="D4301" s="5" t="s">
        <v>283</v>
      </c>
      <c r="E4301" s="5" t="str">
        <f t="shared" si="199"/>
        <v>ACTISALUD- SALA DE PARTOS-MARIA AUXILIADORA PERTUZ</v>
      </c>
      <c r="F4301" s="5"/>
      <c r="G4301" s="5"/>
    </row>
    <row r="4302" spans="1:7" ht="58.5" customHeight="1" x14ac:dyDescent="0.25">
      <c r="A4302" s="5" t="str">
        <f>"H0037283"</f>
        <v>H0037283</v>
      </c>
      <c r="B4302" s="5" t="str">
        <f>"LECTOR DE HUELLAS DIGITALES"</f>
        <v>LECTOR DE HUELLAS DIGITALES</v>
      </c>
      <c r="C4302" s="6">
        <v>580000</v>
      </c>
      <c r="D4302" s="5" t="s">
        <v>137</v>
      </c>
      <c r="E4302" s="5" t="str">
        <f t="shared" si="199"/>
        <v>ACTISALUD- SALA DE PARTOS-MARIA AUXILIADORA PERTUZ</v>
      </c>
      <c r="F4302" s="5"/>
      <c r="G4302" s="5"/>
    </row>
    <row r="4303" spans="1:7" ht="58.5" customHeight="1" x14ac:dyDescent="0.25">
      <c r="A4303" s="5" t="str">
        <f>"H0037585"</f>
        <v>H0037585</v>
      </c>
      <c r="B4303" s="5" t="str">
        <f>"KIT DE ORGANO DE LOS SENTIDOS CON FIBRA OPTICA (DONACION)"</f>
        <v>KIT DE ORGANO DE LOS SENTIDOS CON FIBRA OPTICA (DONACION)</v>
      </c>
      <c r="C4303" s="6">
        <v>1456600</v>
      </c>
      <c r="D4303" s="5" t="s">
        <v>141</v>
      </c>
      <c r="E4303" s="5" t="str">
        <f t="shared" si="199"/>
        <v>ACTISALUD- SALA DE PARTOS-MARIA AUXILIADORA PERTUZ</v>
      </c>
      <c r="F4303" s="5"/>
      <c r="G4303" s="5"/>
    </row>
    <row r="4304" spans="1:7" ht="58.5" customHeight="1" x14ac:dyDescent="0.25">
      <c r="A4304" s="5" t="str">
        <f>"H0037586"</f>
        <v>H0037586</v>
      </c>
      <c r="B4304" s="5" t="str">
        <f>"KIT DE ORGANO DE LOS SENTIDOS CON FIBRA OPTICA (DONACION)"</f>
        <v>KIT DE ORGANO DE LOS SENTIDOS CON FIBRA OPTICA (DONACION)</v>
      </c>
      <c r="C4304" s="6">
        <v>1456600</v>
      </c>
      <c r="D4304" s="5" t="s">
        <v>141</v>
      </c>
      <c r="E4304" s="5" t="str">
        <f t="shared" si="199"/>
        <v>ACTISALUD- SALA DE PARTOS-MARIA AUXILIADORA PERTUZ</v>
      </c>
      <c r="F4304" s="5"/>
      <c r="G4304" s="5"/>
    </row>
    <row r="4305" spans="1:7" ht="58.5" customHeight="1" x14ac:dyDescent="0.25">
      <c r="A4305" s="5" t="str">
        <f>"H0037587"</f>
        <v>H0037587</v>
      </c>
      <c r="B4305" s="5" t="str">
        <f>"KIT DE ORGANO DE LOS SENTIDOS CON FIBRA OPTICA (DONACION)"</f>
        <v>KIT DE ORGANO DE LOS SENTIDOS CON FIBRA OPTICA (DONACION)</v>
      </c>
      <c r="C4305" s="6">
        <v>1456600</v>
      </c>
      <c r="D4305" s="5" t="s">
        <v>141</v>
      </c>
      <c r="E4305" s="5" t="str">
        <f t="shared" si="199"/>
        <v>ACTISALUD- SALA DE PARTOS-MARIA AUXILIADORA PERTUZ</v>
      </c>
      <c r="F4305" s="5"/>
      <c r="G4305" s="5"/>
    </row>
    <row r="4306" spans="1:7" ht="58.5" customHeight="1" x14ac:dyDescent="0.25">
      <c r="A4306" s="5" t="str">
        <f>"H0037608"</f>
        <v>H0037608</v>
      </c>
      <c r="B4306" s="5" t="str">
        <f>"CAMA ELECTRICA PARA OBSTETRICIA Y PARTOS"</f>
        <v>CAMA ELECTRICA PARA OBSTETRICIA Y PARTOS</v>
      </c>
      <c r="C4306" s="6">
        <v>6300000</v>
      </c>
      <c r="D4306" s="5" t="s">
        <v>141</v>
      </c>
      <c r="E4306" s="5" t="str">
        <f t="shared" si="199"/>
        <v>ACTISALUD- SALA DE PARTOS-MARIA AUXILIADORA PERTUZ</v>
      </c>
      <c r="F4306" s="5"/>
      <c r="G4306" s="5"/>
    </row>
    <row r="4307" spans="1:7" ht="58.5" customHeight="1" x14ac:dyDescent="0.25">
      <c r="A4307" s="5" t="str">
        <f>"H0037735"</f>
        <v>H0037735</v>
      </c>
      <c r="B4307" s="5" t="str">
        <f>"MESA (CARRO) DE CURACIONES"</f>
        <v>MESA (CARRO) DE CURACIONES</v>
      </c>
      <c r="C4307" s="6">
        <v>722000</v>
      </c>
      <c r="D4307" s="5" t="s">
        <v>141</v>
      </c>
      <c r="E4307" s="5" t="str">
        <f t="shared" si="199"/>
        <v>ACTISALUD- SALA DE PARTOS-MARIA AUXILIADORA PERTUZ</v>
      </c>
      <c r="F4307" s="5"/>
      <c r="G4307" s="5"/>
    </row>
    <row r="4308" spans="1:7" ht="58.5" customHeight="1" x14ac:dyDescent="0.25">
      <c r="A4308" s="5" t="str">
        <f>"H0037736"</f>
        <v>H0037736</v>
      </c>
      <c r="B4308" s="5" t="str">
        <f>"MESA (CARRO) DE CURACIONES"</f>
        <v>MESA (CARRO) DE CURACIONES</v>
      </c>
      <c r="C4308" s="6">
        <v>722000</v>
      </c>
      <c r="D4308" s="5" t="s">
        <v>141</v>
      </c>
      <c r="E4308" s="5" t="str">
        <f t="shared" si="199"/>
        <v>ACTISALUD- SALA DE PARTOS-MARIA AUXILIADORA PERTUZ</v>
      </c>
      <c r="F4308" s="5"/>
      <c r="G4308" s="5"/>
    </row>
    <row r="4309" spans="1:7" ht="58.5" customHeight="1" x14ac:dyDescent="0.25">
      <c r="A4309" s="5" t="str">
        <f>"H0037737"</f>
        <v>H0037737</v>
      </c>
      <c r="B4309" s="5" t="str">
        <f>"MESA (CARRO) DE CURACIONES"</f>
        <v>MESA (CARRO) DE CURACIONES</v>
      </c>
      <c r="C4309" s="6">
        <v>722000</v>
      </c>
      <c r="D4309" s="5" t="s">
        <v>141</v>
      </c>
      <c r="E4309" s="5" t="str">
        <f t="shared" si="199"/>
        <v>ACTISALUD- SALA DE PARTOS-MARIA AUXILIADORA PERTUZ</v>
      </c>
      <c r="F4309" s="5"/>
      <c r="G4309" s="5"/>
    </row>
    <row r="4310" spans="1:7" ht="58.5" customHeight="1" x14ac:dyDescent="0.25">
      <c r="A4310" s="5" t="str">
        <f>"H0037738"</f>
        <v>H0037738</v>
      </c>
      <c r="B4310" s="5" t="str">
        <f>"MESA (CARRO) DE CURACIONES"</f>
        <v>MESA (CARRO) DE CURACIONES</v>
      </c>
      <c r="C4310" s="6">
        <v>722000</v>
      </c>
      <c r="D4310" s="5" t="s">
        <v>141</v>
      </c>
      <c r="E4310" s="5" t="str">
        <f t="shared" si="199"/>
        <v>ACTISALUD- SALA DE PARTOS-MARIA AUXILIADORA PERTUZ</v>
      </c>
      <c r="F4310" s="5"/>
      <c r="G4310" s="5"/>
    </row>
    <row r="4311" spans="1:7" ht="58.5" customHeight="1" x14ac:dyDescent="0.25">
      <c r="A4311" s="5" t="str">
        <f>"H0037746"</f>
        <v>H0037746</v>
      </c>
      <c r="B4311" s="5" t="str">
        <f>"BUTACO GIRATORIO CON RUEDAS"</f>
        <v>BUTACO GIRATORIO CON RUEDAS</v>
      </c>
      <c r="C4311" s="6">
        <v>275000</v>
      </c>
      <c r="D4311" s="5" t="s">
        <v>141</v>
      </c>
      <c r="E4311" s="5" t="str">
        <f t="shared" si="199"/>
        <v>ACTISALUD- SALA DE PARTOS-MARIA AUXILIADORA PERTUZ</v>
      </c>
      <c r="F4311" s="5"/>
      <c r="G4311" s="5"/>
    </row>
    <row r="4312" spans="1:7" ht="58.5" customHeight="1" x14ac:dyDescent="0.25">
      <c r="A4312" s="5" t="str">
        <f>"H0037747"</f>
        <v>H0037747</v>
      </c>
      <c r="B4312" s="5" t="str">
        <f>"BUTACO GIRATORIO CON RUEDAS"</f>
        <v>BUTACO GIRATORIO CON RUEDAS</v>
      </c>
      <c r="C4312" s="6">
        <v>275000</v>
      </c>
      <c r="D4312" s="5" t="s">
        <v>141</v>
      </c>
      <c r="E4312" s="5" t="str">
        <f t="shared" si="199"/>
        <v>ACTISALUD- SALA DE PARTOS-MARIA AUXILIADORA PERTUZ</v>
      </c>
      <c r="F4312" s="5"/>
      <c r="G4312" s="5"/>
    </row>
    <row r="4313" spans="1:7" ht="58.5" customHeight="1" x14ac:dyDescent="0.25">
      <c r="A4313" s="5" t="str">
        <f>"H0037758"</f>
        <v>H0037758</v>
      </c>
      <c r="B4313" s="5" t="str">
        <f>"CAMILLA GINECOLOGICA ELECTRICA (DONACION)"</f>
        <v>CAMILLA GINECOLOGICA ELECTRICA (DONACION)</v>
      </c>
      <c r="C4313" s="6">
        <v>2886940</v>
      </c>
      <c r="D4313" s="5" t="s">
        <v>141</v>
      </c>
      <c r="E4313" s="5" t="str">
        <f t="shared" si="199"/>
        <v>ACTISALUD- SALA DE PARTOS-MARIA AUXILIADORA PERTUZ</v>
      </c>
      <c r="F4313" s="5"/>
      <c r="G4313" s="5"/>
    </row>
    <row r="4314" spans="1:7" ht="58.5" customHeight="1" x14ac:dyDescent="0.25">
      <c r="A4314" s="5" t="str">
        <f>"H0037910"</f>
        <v>H0037910</v>
      </c>
      <c r="B4314" s="5" t="str">
        <f>"SILLA GERENTE NIZA MEC. BASCULANTE CON BRAZOS."</f>
        <v>SILLA GERENTE NIZA MEC. BASCULANTE CON BRAZOS.</v>
      </c>
      <c r="C4314" s="6">
        <v>710000.01</v>
      </c>
      <c r="D4314" s="5" t="s">
        <v>30</v>
      </c>
      <c r="E4314" s="5" t="str">
        <f t="shared" si="199"/>
        <v>ACTISALUD- SALA DE PARTOS-MARIA AUXILIADORA PERTUZ</v>
      </c>
      <c r="F4314" s="5"/>
      <c r="G4314" s="5"/>
    </row>
    <row r="4315" spans="1:7" ht="58.5" customHeight="1" x14ac:dyDescent="0.25">
      <c r="A4315" s="5" t="str">
        <f>"H0038051"</f>
        <v>H0038051</v>
      </c>
      <c r="B4315" s="5" t="str">
        <f>"SILLA GERENTE NIZA MEC. BASCULANTE CON BRAZOS."</f>
        <v>SILLA GERENTE NIZA MEC. BASCULANTE CON BRAZOS.</v>
      </c>
      <c r="C4315" s="6">
        <v>710000.01</v>
      </c>
      <c r="D4315" s="5" t="s">
        <v>30</v>
      </c>
      <c r="E4315" s="5" t="str">
        <f t="shared" si="199"/>
        <v>ACTISALUD- SALA DE PARTOS-MARIA AUXILIADORA PERTUZ</v>
      </c>
      <c r="F4315" s="5"/>
      <c r="G4315" s="5"/>
    </row>
    <row r="4316" spans="1:7" ht="58.5" customHeight="1" x14ac:dyDescent="0.25">
      <c r="A4316" s="5" t="str">
        <f>"H0038052"</f>
        <v>H0038052</v>
      </c>
      <c r="B4316" s="5" t="str">
        <f>"SILLA GERENTE NIZA MEC. BASCULANTE CON BRAZOS."</f>
        <v>SILLA GERENTE NIZA MEC. BASCULANTE CON BRAZOS.</v>
      </c>
      <c r="C4316" s="6">
        <v>710000.01</v>
      </c>
      <c r="D4316" s="5" t="s">
        <v>30</v>
      </c>
      <c r="E4316" s="5" t="str">
        <f t="shared" si="199"/>
        <v>ACTISALUD- SALA DE PARTOS-MARIA AUXILIADORA PERTUZ</v>
      </c>
      <c r="F4316" s="5"/>
      <c r="G4316" s="5"/>
    </row>
    <row r="4317" spans="1:7" ht="58.5" customHeight="1" x14ac:dyDescent="0.25">
      <c r="A4317" s="5" t="str">
        <f>"H0038053"</f>
        <v>H0038053</v>
      </c>
      <c r="B4317" s="5" t="str">
        <f>"SILLA GERENTE NIZA MEC. BASCULANTE CON BRAZOS."</f>
        <v>SILLA GERENTE NIZA MEC. BASCULANTE CON BRAZOS.</v>
      </c>
      <c r="C4317" s="6">
        <v>710000.01</v>
      </c>
      <c r="D4317" s="5" t="s">
        <v>30</v>
      </c>
      <c r="E4317" s="5" t="str">
        <f t="shared" si="199"/>
        <v>ACTISALUD- SALA DE PARTOS-MARIA AUXILIADORA PERTUZ</v>
      </c>
      <c r="F4317" s="5"/>
      <c r="G4317" s="5"/>
    </row>
    <row r="4318" spans="1:7" ht="58.5" customHeight="1" x14ac:dyDescent="0.25">
      <c r="A4318" s="5" t="str">
        <f>"H0024651"</f>
        <v>H0024651</v>
      </c>
      <c r="B4318" s="5" t="str">
        <f t="shared" ref="B4318:B4327" si="201">"PINZA DE DISECCIÓN CON GARRA 14.5 cms"</f>
        <v>PINZA DE DISECCIÓN CON GARRA 14.5 cms</v>
      </c>
      <c r="C4318" s="6">
        <v>18903.400000000001</v>
      </c>
      <c r="D4318" s="5" t="s">
        <v>371</v>
      </c>
      <c r="E4318" s="5" t="str">
        <f t="shared" ref="E4318:E4381" si="202">"DIANA SOFIA DIAZ CASTRO"</f>
        <v>DIANA SOFIA DIAZ CASTRO</v>
      </c>
      <c r="F4318" s="5"/>
      <c r="G4318" s="5"/>
    </row>
    <row r="4319" spans="1:7" ht="58.5" customHeight="1" x14ac:dyDescent="0.25">
      <c r="A4319" s="5" t="str">
        <f>"H0024652"</f>
        <v>H0024652</v>
      </c>
      <c r="B4319" s="5" t="str">
        <f t="shared" si="201"/>
        <v>PINZA DE DISECCIÓN CON GARRA 14.5 cms</v>
      </c>
      <c r="C4319" s="6">
        <v>18903.400000000001</v>
      </c>
      <c r="D4319" s="5" t="s">
        <v>371</v>
      </c>
      <c r="E4319" s="5" t="str">
        <f t="shared" si="202"/>
        <v>DIANA SOFIA DIAZ CASTRO</v>
      </c>
      <c r="F4319" s="5"/>
      <c r="G4319" s="5"/>
    </row>
    <row r="4320" spans="1:7" ht="58.5" customHeight="1" x14ac:dyDescent="0.25">
      <c r="A4320" s="5" t="str">
        <f>"H0024653"</f>
        <v>H0024653</v>
      </c>
      <c r="B4320" s="5" t="str">
        <f t="shared" si="201"/>
        <v>PINZA DE DISECCIÓN CON GARRA 14.5 cms</v>
      </c>
      <c r="C4320" s="6">
        <v>18903.400000000001</v>
      </c>
      <c r="D4320" s="5" t="s">
        <v>371</v>
      </c>
      <c r="E4320" s="5" t="str">
        <f t="shared" si="202"/>
        <v>DIANA SOFIA DIAZ CASTRO</v>
      </c>
      <c r="F4320" s="5"/>
      <c r="G4320" s="5"/>
    </row>
    <row r="4321" spans="1:7" ht="58.5" customHeight="1" x14ac:dyDescent="0.25">
      <c r="A4321" s="5" t="str">
        <f>"H0024654"</f>
        <v>H0024654</v>
      </c>
      <c r="B4321" s="5" t="str">
        <f t="shared" si="201"/>
        <v>PINZA DE DISECCIÓN CON GARRA 14.5 cms</v>
      </c>
      <c r="C4321" s="6">
        <v>18903.400000000001</v>
      </c>
      <c r="D4321" s="5" t="s">
        <v>371</v>
      </c>
      <c r="E4321" s="5" t="str">
        <f t="shared" si="202"/>
        <v>DIANA SOFIA DIAZ CASTRO</v>
      </c>
      <c r="F4321" s="5"/>
      <c r="G4321" s="5"/>
    </row>
    <row r="4322" spans="1:7" ht="58.5" customHeight="1" x14ac:dyDescent="0.25">
      <c r="A4322" s="5" t="str">
        <f>"H0024655"</f>
        <v>H0024655</v>
      </c>
      <c r="B4322" s="5" t="str">
        <f t="shared" si="201"/>
        <v>PINZA DE DISECCIÓN CON GARRA 14.5 cms</v>
      </c>
      <c r="C4322" s="6">
        <v>18903.400000000001</v>
      </c>
      <c r="D4322" s="5" t="s">
        <v>371</v>
      </c>
      <c r="E4322" s="5" t="str">
        <f t="shared" si="202"/>
        <v>DIANA SOFIA DIAZ CASTRO</v>
      </c>
      <c r="F4322" s="5"/>
      <c r="G4322" s="5"/>
    </row>
    <row r="4323" spans="1:7" ht="58.5" customHeight="1" x14ac:dyDescent="0.25">
      <c r="A4323" s="5" t="str">
        <f>"H0024656"</f>
        <v>H0024656</v>
      </c>
      <c r="B4323" s="5" t="str">
        <f t="shared" si="201"/>
        <v>PINZA DE DISECCIÓN CON GARRA 14.5 cms</v>
      </c>
      <c r="C4323" s="6">
        <v>18903.400000000001</v>
      </c>
      <c r="D4323" s="5" t="s">
        <v>371</v>
      </c>
      <c r="E4323" s="5" t="str">
        <f t="shared" si="202"/>
        <v>DIANA SOFIA DIAZ CASTRO</v>
      </c>
      <c r="F4323" s="5"/>
      <c r="G4323" s="5"/>
    </row>
    <row r="4324" spans="1:7" ht="58.5" customHeight="1" x14ac:dyDescent="0.25">
      <c r="A4324" s="5" t="str">
        <f>"H0024657"</f>
        <v>H0024657</v>
      </c>
      <c r="B4324" s="5" t="str">
        <f t="shared" si="201"/>
        <v>PINZA DE DISECCIÓN CON GARRA 14.5 cms</v>
      </c>
      <c r="C4324" s="6">
        <v>18903.400000000001</v>
      </c>
      <c r="D4324" s="5" t="s">
        <v>371</v>
      </c>
      <c r="E4324" s="5" t="str">
        <f t="shared" si="202"/>
        <v>DIANA SOFIA DIAZ CASTRO</v>
      </c>
      <c r="F4324" s="5"/>
      <c r="G4324" s="5"/>
    </row>
    <row r="4325" spans="1:7" ht="58.5" customHeight="1" x14ac:dyDescent="0.25">
      <c r="A4325" s="5" t="str">
        <f>"H0024658"</f>
        <v>H0024658</v>
      </c>
      <c r="B4325" s="5" t="str">
        <f t="shared" si="201"/>
        <v>PINZA DE DISECCIÓN CON GARRA 14.5 cms</v>
      </c>
      <c r="C4325" s="6">
        <v>18903.400000000001</v>
      </c>
      <c r="D4325" s="5" t="s">
        <v>371</v>
      </c>
      <c r="E4325" s="5" t="str">
        <f t="shared" si="202"/>
        <v>DIANA SOFIA DIAZ CASTRO</v>
      </c>
      <c r="F4325" s="5"/>
      <c r="G4325" s="5"/>
    </row>
    <row r="4326" spans="1:7" ht="58.5" customHeight="1" x14ac:dyDescent="0.25">
      <c r="A4326" s="5" t="str">
        <f>"H0024659"</f>
        <v>H0024659</v>
      </c>
      <c r="B4326" s="5" t="str">
        <f t="shared" si="201"/>
        <v>PINZA DE DISECCIÓN CON GARRA 14.5 cms</v>
      </c>
      <c r="C4326" s="6">
        <v>18903.400000000001</v>
      </c>
      <c r="D4326" s="5" t="s">
        <v>371</v>
      </c>
      <c r="E4326" s="5" t="str">
        <f t="shared" si="202"/>
        <v>DIANA SOFIA DIAZ CASTRO</v>
      </c>
      <c r="F4326" s="5"/>
      <c r="G4326" s="5"/>
    </row>
    <row r="4327" spans="1:7" ht="58.5" customHeight="1" x14ac:dyDescent="0.25">
      <c r="A4327" s="5" t="str">
        <f>"H0024660"</f>
        <v>H0024660</v>
      </c>
      <c r="B4327" s="5" t="str">
        <f t="shared" si="201"/>
        <v>PINZA DE DISECCIÓN CON GARRA 14.5 cms</v>
      </c>
      <c r="C4327" s="6">
        <v>18903.400000000001</v>
      </c>
      <c r="D4327" s="5" t="s">
        <v>371</v>
      </c>
      <c r="E4327" s="5" t="str">
        <f t="shared" si="202"/>
        <v>DIANA SOFIA DIAZ CASTRO</v>
      </c>
      <c r="F4327" s="5"/>
      <c r="G4327" s="5"/>
    </row>
    <row r="4328" spans="1:7" ht="58.5" customHeight="1" x14ac:dyDescent="0.25">
      <c r="A4328" s="5" t="str">
        <f>"H0024661"</f>
        <v>H0024661</v>
      </c>
      <c r="B4328" s="5" t="str">
        <f t="shared" ref="B4328:B4337" si="203">"TIJERA PARA TEJIDOS RECTA 14 cm-MAYO"</f>
        <v>TIJERA PARA TEJIDOS RECTA 14 cm-MAYO</v>
      </c>
      <c r="C4328" s="6">
        <v>39411</v>
      </c>
      <c r="D4328" s="5" t="s">
        <v>371</v>
      </c>
      <c r="E4328" s="5" t="str">
        <f t="shared" si="202"/>
        <v>DIANA SOFIA DIAZ CASTRO</v>
      </c>
      <c r="F4328" s="5"/>
      <c r="G4328" s="5"/>
    </row>
    <row r="4329" spans="1:7" ht="58.5" customHeight="1" x14ac:dyDescent="0.25">
      <c r="A4329" s="5" t="str">
        <f>"H0024662"</f>
        <v>H0024662</v>
      </c>
      <c r="B4329" s="5" t="str">
        <f t="shared" si="203"/>
        <v>TIJERA PARA TEJIDOS RECTA 14 cm-MAYO</v>
      </c>
      <c r="C4329" s="6">
        <v>39411</v>
      </c>
      <c r="D4329" s="5" t="s">
        <v>371</v>
      </c>
      <c r="E4329" s="5" t="str">
        <f t="shared" si="202"/>
        <v>DIANA SOFIA DIAZ CASTRO</v>
      </c>
      <c r="F4329" s="5"/>
      <c r="G4329" s="5"/>
    </row>
    <row r="4330" spans="1:7" ht="58.5" customHeight="1" x14ac:dyDescent="0.25">
      <c r="A4330" s="5" t="str">
        <f>"H0024663"</f>
        <v>H0024663</v>
      </c>
      <c r="B4330" s="5" t="str">
        <f t="shared" si="203"/>
        <v>TIJERA PARA TEJIDOS RECTA 14 cm-MAYO</v>
      </c>
      <c r="C4330" s="6">
        <v>39411</v>
      </c>
      <c r="D4330" s="5" t="s">
        <v>371</v>
      </c>
      <c r="E4330" s="5" t="str">
        <f t="shared" si="202"/>
        <v>DIANA SOFIA DIAZ CASTRO</v>
      </c>
      <c r="F4330" s="5"/>
      <c r="G4330" s="5"/>
    </row>
    <row r="4331" spans="1:7" ht="58.5" customHeight="1" x14ac:dyDescent="0.25">
      <c r="A4331" s="5" t="str">
        <f>"H0024664"</f>
        <v>H0024664</v>
      </c>
      <c r="B4331" s="5" t="str">
        <f t="shared" si="203"/>
        <v>TIJERA PARA TEJIDOS RECTA 14 cm-MAYO</v>
      </c>
      <c r="C4331" s="6">
        <v>39411</v>
      </c>
      <c r="D4331" s="5" t="s">
        <v>371</v>
      </c>
      <c r="E4331" s="5" t="str">
        <f t="shared" si="202"/>
        <v>DIANA SOFIA DIAZ CASTRO</v>
      </c>
      <c r="F4331" s="5"/>
      <c r="G4331" s="5"/>
    </row>
    <row r="4332" spans="1:7" ht="58.5" customHeight="1" x14ac:dyDescent="0.25">
      <c r="A4332" s="5" t="str">
        <f>"H0024665"</f>
        <v>H0024665</v>
      </c>
      <c r="B4332" s="5" t="str">
        <f t="shared" si="203"/>
        <v>TIJERA PARA TEJIDOS RECTA 14 cm-MAYO</v>
      </c>
      <c r="C4332" s="6">
        <v>39411</v>
      </c>
      <c r="D4332" s="5" t="s">
        <v>371</v>
      </c>
      <c r="E4332" s="5" t="str">
        <f t="shared" si="202"/>
        <v>DIANA SOFIA DIAZ CASTRO</v>
      </c>
      <c r="F4332" s="5"/>
      <c r="G4332" s="5"/>
    </row>
    <row r="4333" spans="1:7" ht="58.5" customHeight="1" x14ac:dyDescent="0.25">
      <c r="A4333" s="5" t="str">
        <f>"H0024666"</f>
        <v>H0024666</v>
      </c>
      <c r="B4333" s="5" t="str">
        <f t="shared" si="203"/>
        <v>TIJERA PARA TEJIDOS RECTA 14 cm-MAYO</v>
      </c>
      <c r="C4333" s="6">
        <v>39411</v>
      </c>
      <c r="D4333" s="5" t="s">
        <v>371</v>
      </c>
      <c r="E4333" s="5" t="str">
        <f t="shared" si="202"/>
        <v>DIANA SOFIA DIAZ CASTRO</v>
      </c>
      <c r="F4333" s="5"/>
      <c r="G4333" s="5"/>
    </row>
    <row r="4334" spans="1:7" ht="58.5" customHeight="1" x14ac:dyDescent="0.25">
      <c r="A4334" s="5" t="str">
        <f>"H0024667"</f>
        <v>H0024667</v>
      </c>
      <c r="B4334" s="5" t="str">
        <f t="shared" si="203"/>
        <v>TIJERA PARA TEJIDOS RECTA 14 cm-MAYO</v>
      </c>
      <c r="C4334" s="6">
        <v>39411</v>
      </c>
      <c r="D4334" s="5" t="s">
        <v>371</v>
      </c>
      <c r="E4334" s="5" t="str">
        <f t="shared" si="202"/>
        <v>DIANA SOFIA DIAZ CASTRO</v>
      </c>
      <c r="F4334" s="5"/>
      <c r="G4334" s="5"/>
    </row>
    <row r="4335" spans="1:7" ht="58.5" customHeight="1" x14ac:dyDescent="0.25">
      <c r="A4335" s="5" t="str">
        <f>"H0024668"</f>
        <v>H0024668</v>
      </c>
      <c r="B4335" s="5" t="str">
        <f t="shared" si="203"/>
        <v>TIJERA PARA TEJIDOS RECTA 14 cm-MAYO</v>
      </c>
      <c r="C4335" s="6">
        <v>39411</v>
      </c>
      <c r="D4335" s="5" t="s">
        <v>371</v>
      </c>
      <c r="E4335" s="5" t="str">
        <f t="shared" si="202"/>
        <v>DIANA SOFIA DIAZ CASTRO</v>
      </c>
      <c r="F4335" s="5"/>
      <c r="G4335" s="5"/>
    </row>
    <row r="4336" spans="1:7" ht="58.5" customHeight="1" x14ac:dyDescent="0.25">
      <c r="A4336" s="5" t="str">
        <f>"H0024669"</f>
        <v>H0024669</v>
      </c>
      <c r="B4336" s="5" t="str">
        <f t="shared" si="203"/>
        <v>TIJERA PARA TEJIDOS RECTA 14 cm-MAYO</v>
      </c>
      <c r="C4336" s="6">
        <v>39411</v>
      </c>
      <c r="D4336" s="5" t="s">
        <v>371</v>
      </c>
      <c r="E4336" s="5" t="str">
        <f t="shared" si="202"/>
        <v>DIANA SOFIA DIAZ CASTRO</v>
      </c>
      <c r="F4336" s="5"/>
      <c r="G4336" s="5"/>
    </row>
    <row r="4337" spans="1:7" ht="58.5" customHeight="1" x14ac:dyDescent="0.25">
      <c r="A4337" s="5" t="str">
        <f>"H0024670"</f>
        <v>H0024670</v>
      </c>
      <c r="B4337" s="5" t="str">
        <f t="shared" si="203"/>
        <v>TIJERA PARA TEJIDOS RECTA 14 cm-MAYO</v>
      </c>
      <c r="C4337" s="6">
        <v>39411</v>
      </c>
      <c r="D4337" s="5" t="s">
        <v>371</v>
      </c>
      <c r="E4337" s="5" t="str">
        <f t="shared" si="202"/>
        <v>DIANA SOFIA DIAZ CASTRO</v>
      </c>
      <c r="F4337" s="5"/>
      <c r="G4337" s="5"/>
    </row>
    <row r="4338" spans="1:7" ht="58.5" customHeight="1" x14ac:dyDescent="0.25">
      <c r="A4338" s="5" t="str">
        <f>"H0024671"</f>
        <v>H0024671</v>
      </c>
      <c r="B4338" s="5" t="str">
        <f t="shared" ref="B4338:B4347" si="204">"TIJERA PARA EPISIOTOMIA 22.0 cms-BRAUN-STADLER"</f>
        <v>TIJERA PARA EPISIOTOMIA 22.0 cms-BRAUN-STADLER</v>
      </c>
      <c r="C4338" s="6">
        <v>87873.5</v>
      </c>
      <c r="D4338" s="5" t="s">
        <v>371</v>
      </c>
      <c r="E4338" s="5" t="str">
        <f t="shared" si="202"/>
        <v>DIANA SOFIA DIAZ CASTRO</v>
      </c>
      <c r="F4338" s="5"/>
      <c r="G4338" s="5"/>
    </row>
    <row r="4339" spans="1:7" ht="58.5" customHeight="1" x14ac:dyDescent="0.25">
      <c r="A4339" s="5" t="str">
        <f>"H0024672"</f>
        <v>H0024672</v>
      </c>
      <c r="B4339" s="5" t="str">
        <f t="shared" si="204"/>
        <v>TIJERA PARA EPISIOTOMIA 22.0 cms-BRAUN-STADLER</v>
      </c>
      <c r="C4339" s="6">
        <v>87873.5</v>
      </c>
      <c r="D4339" s="5" t="s">
        <v>371</v>
      </c>
      <c r="E4339" s="5" t="str">
        <f t="shared" si="202"/>
        <v>DIANA SOFIA DIAZ CASTRO</v>
      </c>
      <c r="F4339" s="5"/>
      <c r="G4339" s="5"/>
    </row>
    <row r="4340" spans="1:7" ht="58.5" customHeight="1" x14ac:dyDescent="0.25">
      <c r="A4340" s="5" t="str">
        <f>"H0024673"</f>
        <v>H0024673</v>
      </c>
      <c r="B4340" s="5" t="str">
        <f t="shared" si="204"/>
        <v>TIJERA PARA EPISIOTOMIA 22.0 cms-BRAUN-STADLER</v>
      </c>
      <c r="C4340" s="6">
        <v>87873.5</v>
      </c>
      <c r="D4340" s="5" t="s">
        <v>371</v>
      </c>
      <c r="E4340" s="5" t="str">
        <f t="shared" si="202"/>
        <v>DIANA SOFIA DIAZ CASTRO</v>
      </c>
      <c r="F4340" s="5"/>
      <c r="G4340" s="5"/>
    </row>
    <row r="4341" spans="1:7" ht="58.5" customHeight="1" x14ac:dyDescent="0.25">
      <c r="A4341" s="5" t="str">
        <f>"H0024674"</f>
        <v>H0024674</v>
      </c>
      <c r="B4341" s="5" t="str">
        <f t="shared" si="204"/>
        <v>TIJERA PARA EPISIOTOMIA 22.0 cms-BRAUN-STADLER</v>
      </c>
      <c r="C4341" s="6">
        <v>87873.5</v>
      </c>
      <c r="D4341" s="5" t="s">
        <v>371</v>
      </c>
      <c r="E4341" s="5" t="str">
        <f t="shared" si="202"/>
        <v>DIANA SOFIA DIAZ CASTRO</v>
      </c>
      <c r="F4341" s="5"/>
      <c r="G4341" s="5"/>
    </row>
    <row r="4342" spans="1:7" ht="58.5" customHeight="1" x14ac:dyDescent="0.25">
      <c r="A4342" s="5" t="str">
        <f>"H0024675"</f>
        <v>H0024675</v>
      </c>
      <c r="B4342" s="5" t="str">
        <f t="shared" si="204"/>
        <v>TIJERA PARA EPISIOTOMIA 22.0 cms-BRAUN-STADLER</v>
      </c>
      <c r="C4342" s="6">
        <v>87873.5</v>
      </c>
      <c r="D4342" s="5" t="s">
        <v>371</v>
      </c>
      <c r="E4342" s="5" t="str">
        <f t="shared" si="202"/>
        <v>DIANA SOFIA DIAZ CASTRO</v>
      </c>
      <c r="F4342" s="5"/>
      <c r="G4342" s="5"/>
    </row>
    <row r="4343" spans="1:7" ht="58.5" customHeight="1" x14ac:dyDescent="0.25">
      <c r="A4343" s="5" t="str">
        <f>"H0024676"</f>
        <v>H0024676</v>
      </c>
      <c r="B4343" s="5" t="str">
        <f t="shared" si="204"/>
        <v>TIJERA PARA EPISIOTOMIA 22.0 cms-BRAUN-STADLER</v>
      </c>
      <c r="C4343" s="6">
        <v>87873.5</v>
      </c>
      <c r="D4343" s="5" t="s">
        <v>371</v>
      </c>
      <c r="E4343" s="5" t="str">
        <f t="shared" si="202"/>
        <v>DIANA SOFIA DIAZ CASTRO</v>
      </c>
      <c r="F4343" s="5"/>
      <c r="G4343" s="5"/>
    </row>
    <row r="4344" spans="1:7" ht="58.5" customHeight="1" x14ac:dyDescent="0.25">
      <c r="A4344" s="5" t="str">
        <f>"H0024677"</f>
        <v>H0024677</v>
      </c>
      <c r="B4344" s="5" t="str">
        <f t="shared" si="204"/>
        <v>TIJERA PARA EPISIOTOMIA 22.0 cms-BRAUN-STADLER</v>
      </c>
      <c r="C4344" s="6">
        <v>87873.5</v>
      </c>
      <c r="D4344" s="5" t="s">
        <v>371</v>
      </c>
      <c r="E4344" s="5" t="str">
        <f t="shared" si="202"/>
        <v>DIANA SOFIA DIAZ CASTRO</v>
      </c>
      <c r="F4344" s="5"/>
      <c r="G4344" s="5"/>
    </row>
    <row r="4345" spans="1:7" ht="58.5" customHeight="1" x14ac:dyDescent="0.25">
      <c r="A4345" s="5" t="str">
        <f>"H0024678"</f>
        <v>H0024678</v>
      </c>
      <c r="B4345" s="5" t="str">
        <f t="shared" si="204"/>
        <v>TIJERA PARA EPISIOTOMIA 22.0 cms-BRAUN-STADLER</v>
      </c>
      <c r="C4345" s="6">
        <v>87873.5</v>
      </c>
      <c r="D4345" s="5" t="s">
        <v>371</v>
      </c>
      <c r="E4345" s="5" t="str">
        <f t="shared" si="202"/>
        <v>DIANA SOFIA DIAZ CASTRO</v>
      </c>
      <c r="F4345" s="5"/>
      <c r="G4345" s="5"/>
    </row>
    <row r="4346" spans="1:7" ht="58.5" customHeight="1" x14ac:dyDescent="0.25">
      <c r="A4346" s="5" t="str">
        <f>"H0024679"</f>
        <v>H0024679</v>
      </c>
      <c r="B4346" s="5" t="str">
        <f t="shared" si="204"/>
        <v>TIJERA PARA EPISIOTOMIA 22.0 cms-BRAUN-STADLER</v>
      </c>
      <c r="C4346" s="6">
        <v>87873.5</v>
      </c>
      <c r="D4346" s="5" t="s">
        <v>371</v>
      </c>
      <c r="E4346" s="5" t="str">
        <f t="shared" si="202"/>
        <v>DIANA SOFIA DIAZ CASTRO</v>
      </c>
      <c r="F4346" s="5"/>
      <c r="G4346" s="5"/>
    </row>
    <row r="4347" spans="1:7" ht="58.5" customHeight="1" x14ac:dyDescent="0.25">
      <c r="A4347" s="5" t="str">
        <f>"H0024680"</f>
        <v>H0024680</v>
      </c>
      <c r="B4347" s="5" t="str">
        <f t="shared" si="204"/>
        <v>TIJERA PARA EPISIOTOMIA 22.0 cms-BRAUN-STADLER</v>
      </c>
      <c r="C4347" s="6">
        <v>87873.5</v>
      </c>
      <c r="D4347" s="5" t="s">
        <v>371</v>
      </c>
      <c r="E4347" s="5" t="str">
        <f t="shared" si="202"/>
        <v>DIANA SOFIA DIAZ CASTRO</v>
      </c>
      <c r="F4347" s="5"/>
      <c r="G4347" s="5"/>
    </row>
    <row r="4348" spans="1:7" ht="58.5" customHeight="1" x14ac:dyDescent="0.25">
      <c r="A4348" s="5" t="str">
        <f>"H0024681"</f>
        <v>H0024681</v>
      </c>
      <c r="B4348" s="5" t="str">
        <f t="shared" ref="B4348:B4362" si="205">"PINZA HEMOSTATICA RECTA 18 cm-ROCHESTER-PEANs"</f>
        <v>PINZA HEMOSTATICA RECTA 18 cm-ROCHESTER-PEANs</v>
      </c>
      <c r="C4348" s="6">
        <v>59345.599999999999</v>
      </c>
      <c r="D4348" s="5" t="s">
        <v>371</v>
      </c>
      <c r="E4348" s="5" t="str">
        <f t="shared" si="202"/>
        <v>DIANA SOFIA DIAZ CASTRO</v>
      </c>
      <c r="F4348" s="5"/>
      <c r="G4348" s="5"/>
    </row>
    <row r="4349" spans="1:7" ht="58.5" customHeight="1" x14ac:dyDescent="0.25">
      <c r="A4349" s="5" t="str">
        <f>"H0024682"</f>
        <v>H0024682</v>
      </c>
      <c r="B4349" s="5" t="str">
        <f t="shared" si="205"/>
        <v>PINZA HEMOSTATICA RECTA 18 cm-ROCHESTER-PEANs</v>
      </c>
      <c r="C4349" s="6">
        <v>59345.599999999999</v>
      </c>
      <c r="D4349" s="5" t="s">
        <v>371</v>
      </c>
      <c r="E4349" s="5" t="str">
        <f t="shared" si="202"/>
        <v>DIANA SOFIA DIAZ CASTRO</v>
      </c>
      <c r="F4349" s="5"/>
      <c r="G4349" s="5"/>
    </row>
    <row r="4350" spans="1:7" ht="58.5" customHeight="1" x14ac:dyDescent="0.25">
      <c r="A4350" s="5" t="str">
        <f>"H0024683"</f>
        <v>H0024683</v>
      </c>
      <c r="B4350" s="5" t="str">
        <f t="shared" si="205"/>
        <v>PINZA HEMOSTATICA RECTA 18 cm-ROCHESTER-PEANs</v>
      </c>
      <c r="C4350" s="6">
        <v>59345.599999999999</v>
      </c>
      <c r="D4350" s="5" t="s">
        <v>371</v>
      </c>
      <c r="E4350" s="5" t="str">
        <f t="shared" si="202"/>
        <v>DIANA SOFIA DIAZ CASTRO</v>
      </c>
      <c r="F4350" s="5"/>
      <c r="G4350" s="5"/>
    </row>
    <row r="4351" spans="1:7" ht="58.5" customHeight="1" x14ac:dyDescent="0.25">
      <c r="A4351" s="5" t="str">
        <f>"H0024684"</f>
        <v>H0024684</v>
      </c>
      <c r="B4351" s="5" t="str">
        <f t="shared" si="205"/>
        <v>PINZA HEMOSTATICA RECTA 18 cm-ROCHESTER-PEANs</v>
      </c>
      <c r="C4351" s="6">
        <v>59345.599999999999</v>
      </c>
      <c r="D4351" s="5" t="s">
        <v>371</v>
      </c>
      <c r="E4351" s="5" t="str">
        <f t="shared" si="202"/>
        <v>DIANA SOFIA DIAZ CASTRO</v>
      </c>
      <c r="F4351" s="5"/>
      <c r="G4351" s="5"/>
    </row>
    <row r="4352" spans="1:7" ht="58.5" customHeight="1" x14ac:dyDescent="0.25">
      <c r="A4352" s="5" t="str">
        <f>"H0024685"</f>
        <v>H0024685</v>
      </c>
      <c r="B4352" s="5" t="str">
        <f t="shared" si="205"/>
        <v>PINZA HEMOSTATICA RECTA 18 cm-ROCHESTER-PEANs</v>
      </c>
      <c r="C4352" s="6">
        <v>59345.599999999999</v>
      </c>
      <c r="D4352" s="5" t="s">
        <v>371</v>
      </c>
      <c r="E4352" s="5" t="str">
        <f t="shared" si="202"/>
        <v>DIANA SOFIA DIAZ CASTRO</v>
      </c>
      <c r="F4352" s="5"/>
      <c r="G4352" s="5"/>
    </row>
    <row r="4353" spans="1:7" ht="58.5" customHeight="1" x14ac:dyDescent="0.25">
      <c r="A4353" s="5" t="str">
        <f>"H0024686"</f>
        <v>H0024686</v>
      </c>
      <c r="B4353" s="5" t="str">
        <f t="shared" si="205"/>
        <v>PINZA HEMOSTATICA RECTA 18 cm-ROCHESTER-PEANs</v>
      </c>
      <c r="C4353" s="6">
        <v>59345.599999999999</v>
      </c>
      <c r="D4353" s="5" t="s">
        <v>372</v>
      </c>
      <c r="E4353" s="5" t="str">
        <f t="shared" si="202"/>
        <v>DIANA SOFIA DIAZ CASTRO</v>
      </c>
      <c r="F4353" s="5"/>
      <c r="G4353" s="5"/>
    </row>
    <row r="4354" spans="1:7" ht="58.5" customHeight="1" x14ac:dyDescent="0.25">
      <c r="A4354" s="5" t="str">
        <f>"H0024687"</f>
        <v>H0024687</v>
      </c>
      <c r="B4354" s="5" t="str">
        <f t="shared" si="205"/>
        <v>PINZA HEMOSTATICA RECTA 18 cm-ROCHESTER-PEANs</v>
      </c>
      <c r="C4354" s="6">
        <v>59345.599999999999</v>
      </c>
      <c r="D4354" s="5" t="s">
        <v>371</v>
      </c>
      <c r="E4354" s="5" t="str">
        <f t="shared" si="202"/>
        <v>DIANA SOFIA DIAZ CASTRO</v>
      </c>
      <c r="F4354" s="5"/>
      <c r="G4354" s="5"/>
    </row>
    <row r="4355" spans="1:7" ht="58.5" customHeight="1" x14ac:dyDescent="0.25">
      <c r="A4355" s="5" t="str">
        <f>"H0024688"</f>
        <v>H0024688</v>
      </c>
      <c r="B4355" s="5" t="str">
        <f t="shared" si="205"/>
        <v>PINZA HEMOSTATICA RECTA 18 cm-ROCHESTER-PEANs</v>
      </c>
      <c r="C4355" s="6">
        <v>59345.599999999999</v>
      </c>
      <c r="D4355" s="5" t="s">
        <v>371</v>
      </c>
      <c r="E4355" s="5" t="str">
        <f t="shared" si="202"/>
        <v>DIANA SOFIA DIAZ CASTRO</v>
      </c>
      <c r="F4355" s="5"/>
      <c r="G4355" s="5"/>
    </row>
    <row r="4356" spans="1:7" ht="58.5" customHeight="1" x14ac:dyDescent="0.25">
      <c r="A4356" s="5" t="str">
        <f>"H0024689"</f>
        <v>H0024689</v>
      </c>
      <c r="B4356" s="5" t="str">
        <f t="shared" si="205"/>
        <v>PINZA HEMOSTATICA RECTA 18 cm-ROCHESTER-PEANs</v>
      </c>
      <c r="C4356" s="6">
        <v>59345.599999999999</v>
      </c>
      <c r="D4356" s="5" t="s">
        <v>371</v>
      </c>
      <c r="E4356" s="5" t="str">
        <f t="shared" si="202"/>
        <v>DIANA SOFIA DIAZ CASTRO</v>
      </c>
      <c r="F4356" s="5"/>
      <c r="G4356" s="5"/>
    </row>
    <row r="4357" spans="1:7" ht="58.5" customHeight="1" x14ac:dyDescent="0.25">
      <c r="A4357" s="5" t="str">
        <f>"H0024690"</f>
        <v>H0024690</v>
      </c>
      <c r="B4357" s="5" t="str">
        <f t="shared" si="205"/>
        <v>PINZA HEMOSTATICA RECTA 18 cm-ROCHESTER-PEANs</v>
      </c>
      <c r="C4357" s="6">
        <v>59345.599999999999</v>
      </c>
      <c r="D4357" s="5" t="s">
        <v>371</v>
      </c>
      <c r="E4357" s="5" t="str">
        <f t="shared" si="202"/>
        <v>DIANA SOFIA DIAZ CASTRO</v>
      </c>
      <c r="F4357" s="5"/>
      <c r="G4357" s="5"/>
    </row>
    <row r="4358" spans="1:7" ht="58.5" customHeight="1" x14ac:dyDescent="0.25">
      <c r="A4358" s="5" t="str">
        <f>"H0024691"</f>
        <v>H0024691</v>
      </c>
      <c r="B4358" s="5" t="str">
        <f t="shared" si="205"/>
        <v>PINZA HEMOSTATICA RECTA 18 cm-ROCHESTER-PEANs</v>
      </c>
      <c r="C4358" s="6">
        <v>59345.599999999999</v>
      </c>
      <c r="D4358" s="5" t="s">
        <v>371</v>
      </c>
      <c r="E4358" s="5" t="str">
        <f t="shared" si="202"/>
        <v>DIANA SOFIA DIAZ CASTRO</v>
      </c>
      <c r="F4358" s="5"/>
      <c r="G4358" s="5"/>
    </row>
    <row r="4359" spans="1:7" ht="58.5" customHeight="1" x14ac:dyDescent="0.25">
      <c r="A4359" s="5" t="str">
        <f>"H0024692"</f>
        <v>H0024692</v>
      </c>
      <c r="B4359" s="5" t="str">
        <f t="shared" si="205"/>
        <v>PINZA HEMOSTATICA RECTA 18 cm-ROCHESTER-PEANs</v>
      </c>
      <c r="C4359" s="6">
        <v>59345.599999999999</v>
      </c>
      <c r="D4359" s="5" t="s">
        <v>371</v>
      </c>
      <c r="E4359" s="5" t="str">
        <f t="shared" si="202"/>
        <v>DIANA SOFIA DIAZ CASTRO</v>
      </c>
      <c r="F4359" s="5"/>
      <c r="G4359" s="5"/>
    </row>
    <row r="4360" spans="1:7" ht="58.5" customHeight="1" x14ac:dyDescent="0.25">
      <c r="A4360" s="5" t="str">
        <f>"H0024693"</f>
        <v>H0024693</v>
      </c>
      <c r="B4360" s="5" t="str">
        <f t="shared" si="205"/>
        <v>PINZA HEMOSTATICA RECTA 18 cm-ROCHESTER-PEANs</v>
      </c>
      <c r="C4360" s="6">
        <v>59345.599999999999</v>
      </c>
      <c r="D4360" s="5" t="s">
        <v>371</v>
      </c>
      <c r="E4360" s="5" t="str">
        <f t="shared" si="202"/>
        <v>DIANA SOFIA DIAZ CASTRO</v>
      </c>
      <c r="F4360" s="5"/>
      <c r="G4360" s="5"/>
    </row>
    <row r="4361" spans="1:7" ht="58.5" customHeight="1" x14ac:dyDescent="0.25">
      <c r="A4361" s="5" t="str">
        <f>"H0024694"</f>
        <v>H0024694</v>
      </c>
      <c r="B4361" s="5" t="str">
        <f t="shared" si="205"/>
        <v>PINZA HEMOSTATICA RECTA 18 cm-ROCHESTER-PEANs</v>
      </c>
      <c r="C4361" s="6">
        <v>59345.599999999999</v>
      </c>
      <c r="D4361" s="5" t="s">
        <v>371</v>
      </c>
      <c r="E4361" s="5" t="str">
        <f t="shared" si="202"/>
        <v>DIANA SOFIA DIAZ CASTRO</v>
      </c>
      <c r="F4361" s="5"/>
      <c r="G4361" s="5"/>
    </row>
    <row r="4362" spans="1:7" ht="58.5" customHeight="1" x14ac:dyDescent="0.25">
      <c r="A4362" s="5" t="str">
        <f>"H0024695"</f>
        <v>H0024695</v>
      </c>
      <c r="B4362" s="5" t="str">
        <f t="shared" si="205"/>
        <v>PINZA HEMOSTATICA RECTA 18 cm-ROCHESTER-PEANs</v>
      </c>
      <c r="C4362" s="6">
        <v>59345.599999999999</v>
      </c>
      <c r="D4362" s="5" t="s">
        <v>371</v>
      </c>
      <c r="E4362" s="5" t="str">
        <f t="shared" si="202"/>
        <v>DIANA SOFIA DIAZ CASTRO</v>
      </c>
      <c r="F4362" s="5"/>
      <c r="G4362" s="5"/>
    </row>
    <row r="4363" spans="1:7" ht="58.5" customHeight="1" x14ac:dyDescent="0.25">
      <c r="A4363" s="5" t="str">
        <f>"H0024700"</f>
        <v>H0024700</v>
      </c>
      <c r="B4363" s="5" t="str">
        <f t="shared" ref="B4363:B4372" si="206">"PORTA AGUJAS  16 cms MAYO- HEGAR"</f>
        <v>PORTA AGUJAS  16 cms MAYO- HEGAR</v>
      </c>
      <c r="C4363" s="6">
        <v>47316.4</v>
      </c>
      <c r="D4363" s="5" t="s">
        <v>371</v>
      </c>
      <c r="E4363" s="5" t="str">
        <f t="shared" si="202"/>
        <v>DIANA SOFIA DIAZ CASTRO</v>
      </c>
      <c r="F4363" s="5"/>
      <c r="G4363" s="5"/>
    </row>
    <row r="4364" spans="1:7" ht="58.5" customHeight="1" x14ac:dyDescent="0.25">
      <c r="A4364" s="5" t="str">
        <f>"H0024701"</f>
        <v>H0024701</v>
      </c>
      <c r="B4364" s="5" t="str">
        <f t="shared" si="206"/>
        <v>PORTA AGUJAS  16 cms MAYO- HEGAR</v>
      </c>
      <c r="C4364" s="6">
        <v>47316.4</v>
      </c>
      <c r="D4364" s="5" t="s">
        <v>371</v>
      </c>
      <c r="E4364" s="5" t="str">
        <f t="shared" si="202"/>
        <v>DIANA SOFIA DIAZ CASTRO</v>
      </c>
      <c r="F4364" s="5"/>
      <c r="G4364" s="5"/>
    </row>
    <row r="4365" spans="1:7" ht="58.5" customHeight="1" x14ac:dyDescent="0.25">
      <c r="A4365" s="5" t="str">
        <f>"H0024702"</f>
        <v>H0024702</v>
      </c>
      <c r="B4365" s="5" t="str">
        <f t="shared" si="206"/>
        <v>PORTA AGUJAS  16 cms MAYO- HEGAR</v>
      </c>
      <c r="C4365" s="6">
        <v>47316.4</v>
      </c>
      <c r="D4365" s="5" t="s">
        <v>371</v>
      </c>
      <c r="E4365" s="5" t="str">
        <f t="shared" si="202"/>
        <v>DIANA SOFIA DIAZ CASTRO</v>
      </c>
      <c r="F4365" s="5"/>
      <c r="G4365" s="5"/>
    </row>
    <row r="4366" spans="1:7" ht="58.5" customHeight="1" x14ac:dyDescent="0.25">
      <c r="A4366" s="5" t="str">
        <f>"H0024703"</f>
        <v>H0024703</v>
      </c>
      <c r="B4366" s="5" t="str">
        <f t="shared" si="206"/>
        <v>PORTA AGUJAS  16 cms MAYO- HEGAR</v>
      </c>
      <c r="C4366" s="6">
        <v>47316.4</v>
      </c>
      <c r="D4366" s="5" t="s">
        <v>371</v>
      </c>
      <c r="E4366" s="5" t="str">
        <f t="shared" si="202"/>
        <v>DIANA SOFIA DIAZ CASTRO</v>
      </c>
      <c r="F4366" s="5"/>
      <c r="G4366" s="5"/>
    </row>
    <row r="4367" spans="1:7" ht="58.5" customHeight="1" x14ac:dyDescent="0.25">
      <c r="A4367" s="5" t="str">
        <f>"H0024704"</f>
        <v>H0024704</v>
      </c>
      <c r="B4367" s="5" t="str">
        <f t="shared" si="206"/>
        <v>PORTA AGUJAS  16 cms MAYO- HEGAR</v>
      </c>
      <c r="C4367" s="6">
        <v>47316.4</v>
      </c>
      <c r="D4367" s="5" t="s">
        <v>371</v>
      </c>
      <c r="E4367" s="5" t="str">
        <f t="shared" si="202"/>
        <v>DIANA SOFIA DIAZ CASTRO</v>
      </c>
      <c r="F4367" s="5"/>
      <c r="G4367" s="5"/>
    </row>
    <row r="4368" spans="1:7" ht="58.5" customHeight="1" x14ac:dyDescent="0.25">
      <c r="A4368" s="5" t="str">
        <f>"H0024705"</f>
        <v>H0024705</v>
      </c>
      <c r="B4368" s="5" t="str">
        <f t="shared" si="206"/>
        <v>PORTA AGUJAS  16 cms MAYO- HEGAR</v>
      </c>
      <c r="C4368" s="6">
        <v>47316.4</v>
      </c>
      <c r="D4368" s="5" t="s">
        <v>371</v>
      </c>
      <c r="E4368" s="5" t="str">
        <f t="shared" si="202"/>
        <v>DIANA SOFIA DIAZ CASTRO</v>
      </c>
      <c r="F4368" s="5"/>
      <c r="G4368" s="5"/>
    </row>
    <row r="4369" spans="1:7" ht="58.5" customHeight="1" x14ac:dyDescent="0.25">
      <c r="A4369" s="5" t="str">
        <f>"H0024706"</f>
        <v>H0024706</v>
      </c>
      <c r="B4369" s="5" t="str">
        <f t="shared" si="206"/>
        <v>PORTA AGUJAS  16 cms MAYO- HEGAR</v>
      </c>
      <c r="C4369" s="6">
        <v>47316.4</v>
      </c>
      <c r="D4369" s="5" t="s">
        <v>371</v>
      </c>
      <c r="E4369" s="5" t="str">
        <f t="shared" si="202"/>
        <v>DIANA SOFIA DIAZ CASTRO</v>
      </c>
      <c r="F4369" s="5"/>
      <c r="G4369" s="5"/>
    </row>
    <row r="4370" spans="1:7" ht="58.5" customHeight="1" x14ac:dyDescent="0.25">
      <c r="A4370" s="5" t="str">
        <f>"H0024707"</f>
        <v>H0024707</v>
      </c>
      <c r="B4370" s="5" t="str">
        <f t="shared" si="206"/>
        <v>PORTA AGUJAS  16 cms MAYO- HEGAR</v>
      </c>
      <c r="C4370" s="6">
        <v>47316.4</v>
      </c>
      <c r="D4370" s="5" t="s">
        <v>371</v>
      </c>
      <c r="E4370" s="5" t="str">
        <f t="shared" si="202"/>
        <v>DIANA SOFIA DIAZ CASTRO</v>
      </c>
      <c r="F4370" s="5"/>
      <c r="G4370" s="5"/>
    </row>
    <row r="4371" spans="1:7" ht="58.5" customHeight="1" x14ac:dyDescent="0.25">
      <c r="A4371" s="5" t="str">
        <f>"H0024708"</f>
        <v>H0024708</v>
      </c>
      <c r="B4371" s="5" t="str">
        <f t="shared" si="206"/>
        <v>PORTA AGUJAS  16 cms MAYO- HEGAR</v>
      </c>
      <c r="C4371" s="6">
        <v>47316.4</v>
      </c>
      <c r="D4371" s="5" t="s">
        <v>371</v>
      </c>
      <c r="E4371" s="5" t="str">
        <f t="shared" si="202"/>
        <v>DIANA SOFIA DIAZ CASTRO</v>
      </c>
      <c r="F4371" s="5"/>
      <c r="G4371" s="5"/>
    </row>
    <row r="4372" spans="1:7" ht="58.5" customHeight="1" x14ac:dyDescent="0.25">
      <c r="A4372" s="5" t="str">
        <f>"H0024709"</f>
        <v>H0024709</v>
      </c>
      <c r="B4372" s="5" t="str">
        <f t="shared" si="206"/>
        <v>PORTA AGUJAS  16 cms MAYO- HEGAR</v>
      </c>
      <c r="C4372" s="6">
        <v>47316.4</v>
      </c>
      <c r="D4372" s="5" t="s">
        <v>371</v>
      </c>
      <c r="E4372" s="5" t="str">
        <f t="shared" si="202"/>
        <v>DIANA SOFIA DIAZ CASTRO</v>
      </c>
      <c r="F4372" s="5"/>
      <c r="G4372" s="5"/>
    </row>
    <row r="4373" spans="1:7" ht="58.5" customHeight="1" x14ac:dyDescent="0.25">
      <c r="A4373" s="5" t="str">
        <f>"H0024710"</f>
        <v>H0024710</v>
      </c>
      <c r="B4373" s="5" t="str">
        <f t="shared" ref="B4373:B4382" si="207">"FORCEPS-OBSTETRICOS JUEGO X 2 UNIDADES"</f>
        <v>FORCEPS-OBSTETRICOS JUEGO X 2 UNIDADES</v>
      </c>
      <c r="C4373" s="6">
        <v>95893.7</v>
      </c>
      <c r="D4373" s="5" t="s">
        <v>371</v>
      </c>
      <c r="E4373" s="5" t="str">
        <f t="shared" si="202"/>
        <v>DIANA SOFIA DIAZ CASTRO</v>
      </c>
      <c r="F4373" s="5"/>
      <c r="G4373" s="5"/>
    </row>
    <row r="4374" spans="1:7" ht="58.5" customHeight="1" x14ac:dyDescent="0.25">
      <c r="A4374" s="5" t="str">
        <f>"H0024711"</f>
        <v>H0024711</v>
      </c>
      <c r="B4374" s="5" t="str">
        <f t="shared" si="207"/>
        <v>FORCEPS-OBSTETRICOS JUEGO X 2 UNIDADES</v>
      </c>
      <c r="C4374" s="6">
        <v>95893.7</v>
      </c>
      <c r="D4374" s="5" t="s">
        <v>371</v>
      </c>
      <c r="E4374" s="5" t="str">
        <f t="shared" si="202"/>
        <v>DIANA SOFIA DIAZ CASTRO</v>
      </c>
      <c r="F4374" s="5"/>
      <c r="G4374" s="5"/>
    </row>
    <row r="4375" spans="1:7" ht="58.5" customHeight="1" x14ac:dyDescent="0.25">
      <c r="A4375" s="5" t="str">
        <f>"H0024712"</f>
        <v>H0024712</v>
      </c>
      <c r="B4375" s="5" t="str">
        <f t="shared" si="207"/>
        <v>FORCEPS-OBSTETRICOS JUEGO X 2 UNIDADES</v>
      </c>
      <c r="C4375" s="6">
        <v>95893.7</v>
      </c>
      <c r="D4375" s="5" t="s">
        <v>371</v>
      </c>
      <c r="E4375" s="5" t="str">
        <f t="shared" si="202"/>
        <v>DIANA SOFIA DIAZ CASTRO</v>
      </c>
      <c r="F4375" s="5"/>
      <c r="G4375" s="5"/>
    </row>
    <row r="4376" spans="1:7" ht="58.5" customHeight="1" x14ac:dyDescent="0.25">
      <c r="A4376" s="5" t="str">
        <f>"H0024713"</f>
        <v>H0024713</v>
      </c>
      <c r="B4376" s="5" t="str">
        <f t="shared" si="207"/>
        <v>FORCEPS-OBSTETRICOS JUEGO X 2 UNIDADES</v>
      </c>
      <c r="C4376" s="6">
        <v>95893.7</v>
      </c>
      <c r="D4376" s="5" t="s">
        <v>371</v>
      </c>
      <c r="E4376" s="5" t="str">
        <f t="shared" si="202"/>
        <v>DIANA SOFIA DIAZ CASTRO</v>
      </c>
      <c r="F4376" s="5"/>
      <c r="G4376" s="5"/>
    </row>
    <row r="4377" spans="1:7" ht="58.5" customHeight="1" x14ac:dyDescent="0.25">
      <c r="A4377" s="5" t="str">
        <f>"H0024714"</f>
        <v>H0024714</v>
      </c>
      <c r="B4377" s="5" t="str">
        <f t="shared" si="207"/>
        <v>FORCEPS-OBSTETRICOS JUEGO X 2 UNIDADES</v>
      </c>
      <c r="C4377" s="6">
        <v>95893.7</v>
      </c>
      <c r="D4377" s="5" t="s">
        <v>371</v>
      </c>
      <c r="E4377" s="5" t="str">
        <f t="shared" si="202"/>
        <v>DIANA SOFIA DIAZ CASTRO</v>
      </c>
      <c r="F4377" s="5"/>
      <c r="G4377" s="5"/>
    </row>
    <row r="4378" spans="1:7" ht="58.5" customHeight="1" x14ac:dyDescent="0.25">
      <c r="A4378" s="5" t="str">
        <f>"H0024715"</f>
        <v>H0024715</v>
      </c>
      <c r="B4378" s="5" t="str">
        <f t="shared" si="207"/>
        <v>FORCEPS-OBSTETRICOS JUEGO X 2 UNIDADES</v>
      </c>
      <c r="C4378" s="6">
        <v>95893.7</v>
      </c>
      <c r="D4378" s="5" t="s">
        <v>373</v>
      </c>
      <c r="E4378" s="5" t="str">
        <f t="shared" si="202"/>
        <v>DIANA SOFIA DIAZ CASTRO</v>
      </c>
      <c r="F4378" s="5"/>
      <c r="G4378" s="5"/>
    </row>
    <row r="4379" spans="1:7" ht="58.5" customHeight="1" x14ac:dyDescent="0.25">
      <c r="A4379" s="5" t="str">
        <f>"H0024716"</f>
        <v>H0024716</v>
      </c>
      <c r="B4379" s="5" t="str">
        <f t="shared" si="207"/>
        <v>FORCEPS-OBSTETRICOS JUEGO X 2 UNIDADES</v>
      </c>
      <c r="C4379" s="6">
        <v>95893.7</v>
      </c>
      <c r="D4379" s="5" t="s">
        <v>371</v>
      </c>
      <c r="E4379" s="5" t="str">
        <f t="shared" si="202"/>
        <v>DIANA SOFIA DIAZ CASTRO</v>
      </c>
      <c r="F4379" s="5"/>
      <c r="G4379" s="5"/>
    </row>
    <row r="4380" spans="1:7" ht="58.5" customHeight="1" x14ac:dyDescent="0.25">
      <c r="A4380" s="5" t="str">
        <f>"H0024717"</f>
        <v>H0024717</v>
      </c>
      <c r="B4380" s="5" t="str">
        <f t="shared" si="207"/>
        <v>FORCEPS-OBSTETRICOS JUEGO X 2 UNIDADES</v>
      </c>
      <c r="C4380" s="6">
        <v>95893.7</v>
      </c>
      <c r="D4380" s="5" t="s">
        <v>371</v>
      </c>
      <c r="E4380" s="5" t="str">
        <f t="shared" si="202"/>
        <v>DIANA SOFIA DIAZ CASTRO</v>
      </c>
      <c r="F4380" s="5"/>
      <c r="G4380" s="5"/>
    </row>
    <row r="4381" spans="1:7" ht="58.5" customHeight="1" x14ac:dyDescent="0.25">
      <c r="A4381" s="5" t="str">
        <f>"H0024718"</f>
        <v>H0024718</v>
      </c>
      <c r="B4381" s="5" t="str">
        <f t="shared" si="207"/>
        <v>FORCEPS-OBSTETRICOS JUEGO X 2 UNIDADES</v>
      </c>
      <c r="C4381" s="6">
        <v>95893.7</v>
      </c>
      <c r="D4381" s="5" t="s">
        <v>371</v>
      </c>
      <c r="E4381" s="5" t="str">
        <f t="shared" si="202"/>
        <v>DIANA SOFIA DIAZ CASTRO</v>
      </c>
      <c r="F4381" s="5"/>
      <c r="G4381" s="5"/>
    </row>
    <row r="4382" spans="1:7" ht="58.5" customHeight="1" x14ac:dyDescent="0.25">
      <c r="A4382" s="5" t="str">
        <f>"H0024719"</f>
        <v>H0024719</v>
      </c>
      <c r="B4382" s="5" t="str">
        <f t="shared" si="207"/>
        <v>FORCEPS-OBSTETRICOS JUEGO X 2 UNIDADES</v>
      </c>
      <c r="C4382" s="6">
        <v>95893.7</v>
      </c>
      <c r="D4382" s="5" t="s">
        <v>371</v>
      </c>
      <c r="E4382" s="5" t="str">
        <f t="shared" ref="E4382:E4445" si="208">"DIANA SOFIA DIAZ CASTRO"</f>
        <v>DIANA SOFIA DIAZ CASTRO</v>
      </c>
      <c r="F4382" s="5"/>
      <c r="G4382" s="5"/>
    </row>
    <row r="4383" spans="1:7" ht="58.5" customHeight="1" x14ac:dyDescent="0.25">
      <c r="A4383" s="5" t="str">
        <f>"H0024720"</f>
        <v>H0024720</v>
      </c>
      <c r="B4383" s="5" t="str">
        <f>"PINZA HEMOSTATICA RECTA 18 cm-ROCHESTER-PEANs"</f>
        <v>PINZA HEMOSTATICA RECTA 18 cm-ROCHESTER-PEANs</v>
      </c>
      <c r="C4383" s="6">
        <v>59345.599999999999</v>
      </c>
      <c r="D4383" s="5" t="s">
        <v>372</v>
      </c>
      <c r="E4383" s="5" t="str">
        <f t="shared" si="208"/>
        <v>DIANA SOFIA DIAZ CASTRO</v>
      </c>
      <c r="F4383" s="5"/>
      <c r="G4383" s="5"/>
    </row>
    <row r="4384" spans="1:7" ht="58.5" customHeight="1" x14ac:dyDescent="0.25">
      <c r="A4384" s="5" t="str">
        <f>"H0024721"</f>
        <v>H0024721</v>
      </c>
      <c r="B4384" s="5" t="str">
        <f>"PINZA HEMOSTATICA RECTA 18 cm-ROCHESTER-PEANs"</f>
        <v>PINZA HEMOSTATICA RECTA 18 cm-ROCHESTER-PEANs</v>
      </c>
      <c r="C4384" s="6">
        <v>59345.599999999999</v>
      </c>
      <c r="D4384" s="5" t="s">
        <v>371</v>
      </c>
      <c r="E4384" s="5" t="str">
        <f t="shared" si="208"/>
        <v>DIANA SOFIA DIAZ CASTRO</v>
      </c>
      <c r="F4384" s="5"/>
      <c r="G4384" s="5"/>
    </row>
    <row r="4385" spans="1:7" ht="58.5" customHeight="1" x14ac:dyDescent="0.25">
      <c r="A4385" s="5" t="str">
        <f>"H0024722"</f>
        <v>H0024722</v>
      </c>
      <c r="B4385" s="5" t="str">
        <f>"PINZA HEMOSTATICA RECTA 18 cm-ROCHESTER-PEANs"</f>
        <v>PINZA HEMOSTATICA RECTA 18 cm-ROCHESTER-PEANs</v>
      </c>
      <c r="C4385" s="6">
        <v>59345.599999999999</v>
      </c>
      <c r="D4385" s="5" t="s">
        <v>371</v>
      </c>
      <c r="E4385" s="5" t="str">
        <f t="shared" si="208"/>
        <v>DIANA SOFIA DIAZ CASTRO</v>
      </c>
      <c r="F4385" s="5"/>
      <c r="G4385" s="5"/>
    </row>
    <row r="4386" spans="1:7" ht="58.5" customHeight="1" x14ac:dyDescent="0.25">
      <c r="A4386" s="5" t="str">
        <f>"H0024723"</f>
        <v>H0024723</v>
      </c>
      <c r="B4386" s="5" t="str">
        <f>"PINZA HEMOSTATICA RECTA 18 cm-ROCHESTER-PEANs"</f>
        <v>PINZA HEMOSTATICA RECTA 18 cm-ROCHESTER-PEANs</v>
      </c>
      <c r="C4386" s="6">
        <v>59345.599999999999</v>
      </c>
      <c r="D4386" s="5" t="s">
        <v>371</v>
      </c>
      <c r="E4386" s="5" t="str">
        <f t="shared" si="208"/>
        <v>DIANA SOFIA DIAZ CASTRO</v>
      </c>
      <c r="F4386" s="5"/>
      <c r="G4386" s="5"/>
    </row>
    <row r="4387" spans="1:7" ht="58.5" customHeight="1" x14ac:dyDescent="0.25">
      <c r="A4387" s="5" t="str">
        <f>"H0024724"</f>
        <v>H0024724</v>
      </c>
      <c r="B4387" s="5" t="str">
        <f>"PINZA HEMOSTATICA RECTA 18 cm-ROCHESTER-PEANs"</f>
        <v>PINZA HEMOSTATICA RECTA 18 cm-ROCHESTER-PEANs</v>
      </c>
      <c r="C4387" s="6">
        <v>59345.599999999999</v>
      </c>
      <c r="D4387" s="5" t="s">
        <v>371</v>
      </c>
      <c r="E4387" s="5" t="str">
        <f t="shared" si="208"/>
        <v>DIANA SOFIA DIAZ CASTRO</v>
      </c>
      <c r="F4387" s="5"/>
      <c r="G4387" s="5"/>
    </row>
    <row r="4388" spans="1:7" ht="58.5" customHeight="1" x14ac:dyDescent="0.25">
      <c r="A4388" s="5" t="str">
        <f>"H0024725"</f>
        <v>H0024725</v>
      </c>
      <c r="B4388" s="5" t="str">
        <f t="shared" ref="B4388:B4394" si="209">"ESPECULO VAGINAL MEDIANO 95X35 mm-GRAVE"</f>
        <v>ESPECULO VAGINAL MEDIANO 95X35 mm-GRAVE</v>
      </c>
      <c r="C4388" s="6">
        <v>46629.71</v>
      </c>
      <c r="D4388" s="5" t="s">
        <v>371</v>
      </c>
      <c r="E4388" s="5" t="str">
        <f t="shared" si="208"/>
        <v>DIANA SOFIA DIAZ CASTRO</v>
      </c>
      <c r="F4388" s="5"/>
      <c r="G4388" s="5"/>
    </row>
    <row r="4389" spans="1:7" ht="58.5" customHeight="1" x14ac:dyDescent="0.25">
      <c r="A4389" s="5" t="str">
        <f>"H0024726"</f>
        <v>H0024726</v>
      </c>
      <c r="B4389" s="5" t="str">
        <f t="shared" si="209"/>
        <v>ESPECULO VAGINAL MEDIANO 95X35 mm-GRAVE</v>
      </c>
      <c r="C4389" s="6">
        <v>46629.71</v>
      </c>
      <c r="D4389" s="5" t="s">
        <v>371</v>
      </c>
      <c r="E4389" s="5" t="str">
        <f t="shared" si="208"/>
        <v>DIANA SOFIA DIAZ CASTRO</v>
      </c>
      <c r="F4389" s="5"/>
      <c r="G4389" s="5"/>
    </row>
    <row r="4390" spans="1:7" ht="58.5" customHeight="1" x14ac:dyDescent="0.25">
      <c r="A4390" s="5" t="str">
        <f>"H0024727"</f>
        <v>H0024727</v>
      </c>
      <c r="B4390" s="5" t="str">
        <f t="shared" si="209"/>
        <v>ESPECULO VAGINAL MEDIANO 95X35 mm-GRAVE</v>
      </c>
      <c r="C4390" s="6">
        <v>46629.71</v>
      </c>
      <c r="D4390" s="5" t="s">
        <v>371</v>
      </c>
      <c r="E4390" s="5" t="str">
        <f t="shared" si="208"/>
        <v>DIANA SOFIA DIAZ CASTRO</v>
      </c>
      <c r="F4390" s="5"/>
      <c r="G4390" s="5"/>
    </row>
    <row r="4391" spans="1:7" ht="58.5" customHeight="1" x14ac:dyDescent="0.25">
      <c r="A4391" s="5" t="str">
        <f>"H0024728"</f>
        <v>H0024728</v>
      </c>
      <c r="B4391" s="5" t="str">
        <f t="shared" si="209"/>
        <v>ESPECULO VAGINAL MEDIANO 95X35 mm-GRAVE</v>
      </c>
      <c r="C4391" s="6">
        <v>46629.71</v>
      </c>
      <c r="D4391" s="5" t="s">
        <v>371</v>
      </c>
      <c r="E4391" s="5" t="str">
        <f t="shared" si="208"/>
        <v>DIANA SOFIA DIAZ CASTRO</v>
      </c>
      <c r="F4391" s="5"/>
      <c r="G4391" s="5"/>
    </row>
    <row r="4392" spans="1:7" ht="58.5" customHeight="1" x14ac:dyDescent="0.25">
      <c r="A4392" s="5" t="str">
        <f>"H0024729"</f>
        <v>H0024729</v>
      </c>
      <c r="B4392" s="5" t="str">
        <f t="shared" si="209"/>
        <v>ESPECULO VAGINAL MEDIANO 95X35 mm-GRAVE</v>
      </c>
      <c r="C4392" s="6">
        <v>46629.71</v>
      </c>
      <c r="D4392" s="5" t="s">
        <v>371</v>
      </c>
      <c r="E4392" s="5" t="str">
        <f t="shared" si="208"/>
        <v>DIANA SOFIA DIAZ CASTRO</v>
      </c>
      <c r="F4392" s="5"/>
      <c r="G4392" s="5"/>
    </row>
    <row r="4393" spans="1:7" ht="58.5" customHeight="1" x14ac:dyDescent="0.25">
      <c r="A4393" s="5" t="str">
        <f>"H0024730"</f>
        <v>H0024730</v>
      </c>
      <c r="B4393" s="5" t="str">
        <f t="shared" si="209"/>
        <v>ESPECULO VAGINAL MEDIANO 95X35 mm-GRAVE</v>
      </c>
      <c r="C4393" s="6">
        <v>46629.71</v>
      </c>
      <c r="D4393" s="5" t="s">
        <v>371</v>
      </c>
      <c r="E4393" s="5" t="str">
        <f t="shared" si="208"/>
        <v>DIANA SOFIA DIAZ CASTRO</v>
      </c>
      <c r="F4393" s="5"/>
      <c r="G4393" s="5"/>
    </row>
    <row r="4394" spans="1:7" ht="58.5" customHeight="1" x14ac:dyDescent="0.25">
      <c r="A4394" s="5" t="str">
        <f>"H0024731"</f>
        <v>H0024731</v>
      </c>
      <c r="B4394" s="5" t="str">
        <f t="shared" si="209"/>
        <v>ESPECULO VAGINAL MEDIANO 95X35 mm-GRAVE</v>
      </c>
      <c r="C4394" s="6">
        <v>46629.71</v>
      </c>
      <c r="D4394" s="5" t="s">
        <v>371</v>
      </c>
      <c r="E4394" s="5" t="str">
        <f t="shared" si="208"/>
        <v>DIANA SOFIA DIAZ CASTRO</v>
      </c>
      <c r="F4394" s="5"/>
      <c r="G4394" s="5"/>
    </row>
    <row r="4395" spans="1:7" ht="58.5" customHeight="1" x14ac:dyDescent="0.25">
      <c r="A4395" s="5" t="str">
        <f>"H0024732"</f>
        <v>H0024732</v>
      </c>
      <c r="B4395" s="5" t="str">
        <f>"CURETA PARA BIOPSIA 23cms, 4mm-NOVAK"</f>
        <v>CURETA PARA BIOPSIA 23cms, 4mm-NOVAK</v>
      </c>
      <c r="C4395" s="6">
        <v>63928.800000000003</v>
      </c>
      <c r="D4395" s="5" t="s">
        <v>371</v>
      </c>
      <c r="E4395" s="5" t="str">
        <f t="shared" si="208"/>
        <v>DIANA SOFIA DIAZ CASTRO</v>
      </c>
      <c r="F4395" s="5"/>
      <c r="G4395" s="5"/>
    </row>
    <row r="4396" spans="1:7" ht="58.5" customHeight="1" x14ac:dyDescent="0.25">
      <c r="A4396" s="5" t="str">
        <f>"H0024733"</f>
        <v>H0024733</v>
      </c>
      <c r="B4396" s="5" t="str">
        <f>"CURETA PARA BIOPSIA 23cms, 4mm-NOVAK"</f>
        <v>CURETA PARA BIOPSIA 23cms, 4mm-NOVAK</v>
      </c>
      <c r="C4396" s="6">
        <v>63928.800000000003</v>
      </c>
      <c r="D4396" s="5" t="s">
        <v>371</v>
      </c>
      <c r="E4396" s="5" t="str">
        <f t="shared" si="208"/>
        <v>DIANA SOFIA DIAZ CASTRO</v>
      </c>
      <c r="F4396" s="5"/>
      <c r="G4396" s="5"/>
    </row>
    <row r="4397" spans="1:7" ht="58.5" customHeight="1" x14ac:dyDescent="0.25">
      <c r="A4397" s="5" t="str">
        <f>"H0024734"</f>
        <v>H0024734</v>
      </c>
      <c r="B4397" s="5" t="str">
        <f>"CURETA PARA BIOPSIA 23cms, 4mm-NOVAK"</f>
        <v>CURETA PARA BIOPSIA 23cms, 4mm-NOVAK</v>
      </c>
      <c r="C4397" s="6">
        <v>63928.800000000003</v>
      </c>
      <c r="D4397" s="5" t="s">
        <v>371</v>
      </c>
      <c r="E4397" s="5" t="str">
        <f t="shared" si="208"/>
        <v>DIANA SOFIA DIAZ CASTRO</v>
      </c>
      <c r="F4397" s="5"/>
      <c r="G4397" s="5"/>
    </row>
    <row r="4398" spans="1:7" ht="58.5" customHeight="1" x14ac:dyDescent="0.25">
      <c r="A4398" s="5" t="str">
        <f>"H0024735"</f>
        <v>H0024735</v>
      </c>
      <c r="B4398" s="5" t="str">
        <f>"CURETA PARA BIOPSIA 23cms, 4mm-NOVAK"</f>
        <v>CURETA PARA BIOPSIA 23cms, 4mm-NOVAK</v>
      </c>
      <c r="C4398" s="6">
        <v>63928.800000000003</v>
      </c>
      <c r="D4398" s="5" t="s">
        <v>371</v>
      </c>
      <c r="E4398" s="5" t="str">
        <f t="shared" si="208"/>
        <v>DIANA SOFIA DIAZ CASTRO</v>
      </c>
      <c r="F4398" s="5"/>
      <c r="G4398" s="5"/>
    </row>
    <row r="4399" spans="1:7" ht="58.5" customHeight="1" x14ac:dyDescent="0.25">
      <c r="A4399" s="5" t="str">
        <f>"H0024736"</f>
        <v>H0024736</v>
      </c>
      <c r="B4399" s="5" t="str">
        <f>"CURETA PARA BIOPSIA 23cms, 4mm-NOVAK"</f>
        <v>CURETA PARA BIOPSIA 23cms, 4mm-NOVAK</v>
      </c>
      <c r="C4399" s="6">
        <v>63928.800000000003</v>
      </c>
      <c r="D4399" s="5" t="s">
        <v>371</v>
      </c>
      <c r="E4399" s="5" t="str">
        <f t="shared" si="208"/>
        <v>DIANA SOFIA DIAZ CASTRO</v>
      </c>
      <c r="F4399" s="5"/>
      <c r="G4399" s="5"/>
    </row>
    <row r="4400" spans="1:7" ht="58.5" customHeight="1" x14ac:dyDescent="0.25">
      <c r="A4400" s="5" t="str">
        <f>"H0024737"</f>
        <v>H0024737</v>
      </c>
      <c r="B4400" s="5" t="str">
        <f>"CURETA UTERINA COSTANTE 28 cms, fig.1 7m.m-SIMS"</f>
        <v>CURETA UTERINA COSTANTE 28 cms, fig.1 7m.m-SIMS</v>
      </c>
      <c r="C4400" s="6">
        <v>80770.8</v>
      </c>
      <c r="D4400" s="5" t="s">
        <v>371</v>
      </c>
      <c r="E4400" s="5" t="str">
        <f t="shared" si="208"/>
        <v>DIANA SOFIA DIAZ CASTRO</v>
      </c>
      <c r="F4400" s="5"/>
      <c r="G4400" s="5"/>
    </row>
    <row r="4401" spans="1:7" ht="58.5" customHeight="1" x14ac:dyDescent="0.25">
      <c r="A4401" s="5" t="str">
        <f>"H0024738"</f>
        <v>H0024738</v>
      </c>
      <c r="B4401" s="5" t="str">
        <f>"CURETA UTERINA COSTANTE 28 cms, fig.1 7m.m-SIMS"</f>
        <v>CURETA UTERINA COSTANTE 28 cms, fig.1 7m.m-SIMS</v>
      </c>
      <c r="C4401" s="6">
        <v>80770.8</v>
      </c>
      <c r="D4401" s="5" t="s">
        <v>371</v>
      </c>
      <c r="E4401" s="5" t="str">
        <f t="shared" si="208"/>
        <v>DIANA SOFIA DIAZ CASTRO</v>
      </c>
      <c r="F4401" s="5"/>
      <c r="G4401" s="5"/>
    </row>
    <row r="4402" spans="1:7" ht="58.5" customHeight="1" x14ac:dyDescent="0.25">
      <c r="A4402" s="5" t="str">
        <f>"H0024739"</f>
        <v>H0024739</v>
      </c>
      <c r="B4402" s="5" t="str">
        <f>"CURETA UTERINA COSTANTE 28 cms, fig.1 7m.m-SIMS"</f>
        <v>CURETA UTERINA COSTANTE 28 cms, fig.1 7m.m-SIMS</v>
      </c>
      <c r="C4402" s="6">
        <v>80770.8</v>
      </c>
      <c r="D4402" s="5" t="s">
        <v>371</v>
      </c>
      <c r="E4402" s="5" t="str">
        <f t="shared" si="208"/>
        <v>DIANA SOFIA DIAZ CASTRO</v>
      </c>
      <c r="F4402" s="5"/>
      <c r="G4402" s="5"/>
    </row>
    <row r="4403" spans="1:7" ht="58.5" customHeight="1" x14ac:dyDescent="0.25">
      <c r="A4403" s="5" t="str">
        <f>"H0024740"</f>
        <v>H0024740</v>
      </c>
      <c r="B4403" s="5" t="str">
        <f>"CURETA UTERINA COSTANTE 28 cms, fig.1 7m.m-SIMS"</f>
        <v>CURETA UTERINA COSTANTE 28 cms, fig.1 7m.m-SIMS</v>
      </c>
      <c r="C4403" s="6">
        <v>80770.8</v>
      </c>
      <c r="D4403" s="5" t="s">
        <v>371</v>
      </c>
      <c r="E4403" s="5" t="str">
        <f t="shared" si="208"/>
        <v>DIANA SOFIA DIAZ CASTRO</v>
      </c>
      <c r="F4403" s="5"/>
      <c r="G4403" s="5"/>
    </row>
    <row r="4404" spans="1:7" ht="58.5" customHeight="1" x14ac:dyDescent="0.25">
      <c r="A4404" s="5" t="str">
        <f>"H0024741"</f>
        <v>H0024741</v>
      </c>
      <c r="B4404" s="5" t="str">
        <f>"CURETA UTERINA COSTANTE 28 cms, fig.1 7m.m-SIMS"</f>
        <v>CURETA UTERINA COSTANTE 28 cms, fig.1 7m.m-SIMS</v>
      </c>
      <c r="C4404" s="6">
        <v>80770.8</v>
      </c>
      <c r="D4404" s="5" t="s">
        <v>371</v>
      </c>
      <c r="E4404" s="5" t="str">
        <f t="shared" si="208"/>
        <v>DIANA SOFIA DIAZ CASTRO</v>
      </c>
      <c r="F4404" s="5"/>
      <c r="G4404" s="5"/>
    </row>
    <row r="4405" spans="1:7" ht="58.5" customHeight="1" x14ac:dyDescent="0.25">
      <c r="A4405" s="5" t="str">
        <f>"H0024742"</f>
        <v>H0024742</v>
      </c>
      <c r="B4405" s="5" t="str">
        <f t="shared" ref="B4405:B4411" si="210">"CURETA UTERINA CORTANTE fig 16,28 cm,40 mm,rig-BUMM"</f>
        <v>CURETA UTERINA CORTANTE fig 16,28 cm,40 mm,rig-BUMM</v>
      </c>
      <c r="C4405" s="6">
        <v>189838.57</v>
      </c>
      <c r="D4405" s="5" t="s">
        <v>371</v>
      </c>
      <c r="E4405" s="5" t="str">
        <f t="shared" si="208"/>
        <v>DIANA SOFIA DIAZ CASTRO</v>
      </c>
      <c r="F4405" s="5"/>
      <c r="G4405" s="5"/>
    </row>
    <row r="4406" spans="1:7" ht="58.5" customHeight="1" x14ac:dyDescent="0.25">
      <c r="A4406" s="5" t="str">
        <f>"H0024743"</f>
        <v>H0024743</v>
      </c>
      <c r="B4406" s="5" t="str">
        <f t="shared" si="210"/>
        <v>CURETA UTERINA CORTANTE fig 16,28 cm,40 mm,rig-BUMM</v>
      </c>
      <c r="C4406" s="6">
        <v>189838.57</v>
      </c>
      <c r="D4406" s="5" t="s">
        <v>371</v>
      </c>
      <c r="E4406" s="5" t="str">
        <f t="shared" si="208"/>
        <v>DIANA SOFIA DIAZ CASTRO</v>
      </c>
      <c r="F4406" s="5"/>
      <c r="G4406" s="5"/>
    </row>
    <row r="4407" spans="1:7" ht="58.5" customHeight="1" x14ac:dyDescent="0.25">
      <c r="A4407" s="5" t="str">
        <f>"H0024744"</f>
        <v>H0024744</v>
      </c>
      <c r="B4407" s="5" t="str">
        <f t="shared" si="210"/>
        <v>CURETA UTERINA CORTANTE fig 16,28 cm,40 mm,rig-BUMM</v>
      </c>
      <c r="C4407" s="6">
        <v>189838.57</v>
      </c>
      <c r="D4407" s="5" t="s">
        <v>371</v>
      </c>
      <c r="E4407" s="5" t="str">
        <f t="shared" si="208"/>
        <v>DIANA SOFIA DIAZ CASTRO</v>
      </c>
      <c r="F4407" s="5"/>
      <c r="G4407" s="5"/>
    </row>
    <row r="4408" spans="1:7" ht="58.5" customHeight="1" x14ac:dyDescent="0.25">
      <c r="A4408" s="5" t="str">
        <f>"H0024745"</f>
        <v>H0024745</v>
      </c>
      <c r="B4408" s="5" t="str">
        <f t="shared" si="210"/>
        <v>CURETA UTERINA CORTANTE fig 16,28 cm,40 mm,rig-BUMM</v>
      </c>
      <c r="C4408" s="6">
        <v>189838.57</v>
      </c>
      <c r="D4408" s="5" t="s">
        <v>371</v>
      </c>
      <c r="E4408" s="5" t="str">
        <f t="shared" si="208"/>
        <v>DIANA SOFIA DIAZ CASTRO</v>
      </c>
      <c r="F4408" s="5"/>
      <c r="G4408" s="5"/>
    </row>
    <row r="4409" spans="1:7" ht="58.5" customHeight="1" x14ac:dyDescent="0.25">
      <c r="A4409" s="5" t="str">
        <f>"H0024746"</f>
        <v>H0024746</v>
      </c>
      <c r="B4409" s="5" t="str">
        <f t="shared" si="210"/>
        <v>CURETA UTERINA CORTANTE fig 16,28 cm,40 mm,rig-BUMM</v>
      </c>
      <c r="C4409" s="6">
        <v>189838.57</v>
      </c>
      <c r="D4409" s="5" t="s">
        <v>371</v>
      </c>
      <c r="E4409" s="5" t="str">
        <f t="shared" si="208"/>
        <v>DIANA SOFIA DIAZ CASTRO</v>
      </c>
      <c r="F4409" s="5"/>
      <c r="G4409" s="5"/>
    </row>
    <row r="4410" spans="1:7" ht="58.5" customHeight="1" x14ac:dyDescent="0.25">
      <c r="A4410" s="5" t="str">
        <f>"H0024747"</f>
        <v>H0024747</v>
      </c>
      <c r="B4410" s="5" t="str">
        <f t="shared" si="210"/>
        <v>CURETA UTERINA CORTANTE fig 16,28 cm,40 mm,rig-BUMM</v>
      </c>
      <c r="C4410" s="6">
        <v>189838.57</v>
      </c>
      <c r="D4410" s="5" t="s">
        <v>371</v>
      </c>
      <c r="E4410" s="5" t="str">
        <f t="shared" si="208"/>
        <v>DIANA SOFIA DIAZ CASTRO</v>
      </c>
      <c r="F4410" s="5"/>
      <c r="G4410" s="5"/>
    </row>
    <row r="4411" spans="1:7" ht="58.5" customHeight="1" x14ac:dyDescent="0.25">
      <c r="A4411" s="5" t="str">
        <f>"H0024748"</f>
        <v>H0024748</v>
      </c>
      <c r="B4411" s="5" t="str">
        <f t="shared" si="210"/>
        <v>CURETA UTERINA CORTANTE fig 16,28 cm,40 mm,rig-BUMM</v>
      </c>
      <c r="C4411" s="6">
        <v>189838.57</v>
      </c>
      <c r="D4411" s="5" t="s">
        <v>371</v>
      </c>
      <c r="E4411" s="5" t="str">
        <f t="shared" si="208"/>
        <v>DIANA SOFIA DIAZ CASTRO</v>
      </c>
      <c r="F4411" s="5"/>
      <c r="G4411" s="5"/>
    </row>
    <row r="4412" spans="1:7" ht="58.5" customHeight="1" x14ac:dyDescent="0.25">
      <c r="A4412" s="5" t="str">
        <f>"H0024749"</f>
        <v>H0024749</v>
      </c>
      <c r="B4412" s="5" t="str">
        <f>"DILATADORES UTERINOS JUEGO DE 8 UNIDADES EN BOLSA DE LONA HEGAR"</f>
        <v>DILATADORES UTERINOS JUEGO DE 8 UNIDADES EN BOLSA DE LONA HEGAR</v>
      </c>
      <c r="C4412" s="6">
        <v>326862.40000000002</v>
      </c>
      <c r="D4412" s="5" t="s">
        <v>371</v>
      </c>
      <c r="E4412" s="5" t="str">
        <f t="shared" si="208"/>
        <v>DIANA SOFIA DIAZ CASTRO</v>
      </c>
      <c r="F4412" s="5"/>
      <c r="G4412" s="5"/>
    </row>
    <row r="4413" spans="1:7" ht="58.5" customHeight="1" x14ac:dyDescent="0.25">
      <c r="A4413" s="5" t="str">
        <f>"H0024750"</f>
        <v>H0024750</v>
      </c>
      <c r="B4413" s="5" t="str">
        <f>"DILATADORES UTERINOS JUEGO DE 8 UNIDADES EN BOLSA DE LONA HEGAR"</f>
        <v>DILATADORES UTERINOS JUEGO DE 8 UNIDADES EN BOLSA DE LONA HEGAR</v>
      </c>
      <c r="C4413" s="6">
        <v>326862.40000000002</v>
      </c>
      <c r="D4413" s="5" t="s">
        <v>371</v>
      </c>
      <c r="E4413" s="5" t="str">
        <f t="shared" si="208"/>
        <v>DIANA SOFIA DIAZ CASTRO</v>
      </c>
      <c r="F4413" s="5"/>
      <c r="G4413" s="5"/>
    </row>
    <row r="4414" spans="1:7" ht="58.5" customHeight="1" x14ac:dyDescent="0.25">
      <c r="A4414" s="5" t="str">
        <f>"H0024751"</f>
        <v>H0024751</v>
      </c>
      <c r="B4414" s="5" t="str">
        <f>"DILATADORES UTERINOS JUEGO DE 8 UNIDADES EN BOLSA DE LONA HEGAR"</f>
        <v>DILATADORES UTERINOS JUEGO DE 8 UNIDADES EN BOLSA DE LONA HEGAR</v>
      </c>
      <c r="C4414" s="6">
        <v>326862.40000000002</v>
      </c>
      <c r="D4414" s="5" t="s">
        <v>371</v>
      </c>
      <c r="E4414" s="5" t="str">
        <f t="shared" si="208"/>
        <v>DIANA SOFIA DIAZ CASTRO</v>
      </c>
      <c r="F4414" s="5"/>
      <c r="G4414" s="5"/>
    </row>
    <row r="4415" spans="1:7" ht="58.5" customHeight="1" x14ac:dyDescent="0.25">
      <c r="A4415" s="5" t="str">
        <f>"H0024752"</f>
        <v>H0024752</v>
      </c>
      <c r="B4415" s="5" t="str">
        <f>"DILATADORES UTERINOS JUEGO DE 8 UNIDADES EN BOLSA DE LONA HEGAR"</f>
        <v>DILATADORES UTERINOS JUEGO DE 8 UNIDADES EN BOLSA DE LONA HEGAR</v>
      </c>
      <c r="C4415" s="6">
        <v>326862.40000000002</v>
      </c>
      <c r="D4415" s="5" t="s">
        <v>371</v>
      </c>
      <c r="E4415" s="5" t="str">
        <f t="shared" si="208"/>
        <v>DIANA SOFIA DIAZ CASTRO</v>
      </c>
      <c r="F4415" s="5"/>
      <c r="G4415" s="5"/>
    </row>
    <row r="4416" spans="1:7" ht="58.5" customHeight="1" x14ac:dyDescent="0.25">
      <c r="A4416" s="5" t="str">
        <f>"H0024753"</f>
        <v>H0024753</v>
      </c>
      <c r="B4416" s="5" t="str">
        <f>"DILATADORES UTERINOS JUEGO DE 8 UNIDADES EN BOLSA DE LONA HEGAR"</f>
        <v>DILATADORES UTERINOS JUEGO DE 8 UNIDADES EN BOLSA DE LONA HEGAR</v>
      </c>
      <c r="C4416" s="6">
        <v>326862.40000000002</v>
      </c>
      <c r="D4416" s="5" t="s">
        <v>371</v>
      </c>
      <c r="E4416" s="5" t="str">
        <f t="shared" si="208"/>
        <v>DIANA SOFIA DIAZ CASTRO</v>
      </c>
      <c r="F4416" s="5"/>
      <c r="G4416" s="5"/>
    </row>
    <row r="4417" spans="1:7" ht="58.5" customHeight="1" x14ac:dyDescent="0.25">
      <c r="A4417" s="5" t="str">
        <f>"H0024754"</f>
        <v>H0024754</v>
      </c>
      <c r="B4417" s="5" t="str">
        <f t="shared" ref="B4417:B4426" si="211">"PINZA DE DISECCIÓN SIN GARRA 14.5 cms"</f>
        <v>PINZA DE DISECCIÓN SIN GARRA 14.5 cms</v>
      </c>
      <c r="C4417" s="6">
        <v>17643.599999999999</v>
      </c>
      <c r="D4417" s="5" t="s">
        <v>374</v>
      </c>
      <c r="E4417" s="5" t="str">
        <f t="shared" si="208"/>
        <v>DIANA SOFIA DIAZ CASTRO</v>
      </c>
      <c r="F4417" s="5"/>
      <c r="G4417" s="5"/>
    </row>
    <row r="4418" spans="1:7" ht="58.5" customHeight="1" x14ac:dyDescent="0.25">
      <c r="A4418" s="5" t="str">
        <f>"H0024755"</f>
        <v>H0024755</v>
      </c>
      <c r="B4418" s="5" t="str">
        <f t="shared" si="211"/>
        <v>PINZA DE DISECCIÓN SIN GARRA 14.5 cms</v>
      </c>
      <c r="C4418" s="6">
        <v>17643.599999999999</v>
      </c>
      <c r="D4418" s="5" t="s">
        <v>375</v>
      </c>
      <c r="E4418" s="5" t="str">
        <f t="shared" si="208"/>
        <v>DIANA SOFIA DIAZ CASTRO</v>
      </c>
      <c r="F4418" s="5"/>
      <c r="G4418" s="5"/>
    </row>
    <row r="4419" spans="1:7" ht="58.5" customHeight="1" x14ac:dyDescent="0.25">
      <c r="A4419" s="5" t="str">
        <f>"H0024756"</f>
        <v>H0024756</v>
      </c>
      <c r="B4419" s="5" t="str">
        <f t="shared" si="211"/>
        <v>PINZA DE DISECCIÓN SIN GARRA 14.5 cms</v>
      </c>
      <c r="C4419" s="6">
        <v>17643.599999999999</v>
      </c>
      <c r="D4419" s="5" t="s">
        <v>374</v>
      </c>
      <c r="E4419" s="5" t="str">
        <f t="shared" si="208"/>
        <v>DIANA SOFIA DIAZ CASTRO</v>
      </c>
      <c r="F4419" s="5"/>
      <c r="G4419" s="5"/>
    </row>
    <row r="4420" spans="1:7" ht="58.5" customHeight="1" x14ac:dyDescent="0.25">
      <c r="A4420" s="5" t="str">
        <f>"H0024757"</f>
        <v>H0024757</v>
      </c>
      <c r="B4420" s="5" t="str">
        <f t="shared" si="211"/>
        <v>PINZA DE DISECCIÓN SIN GARRA 14.5 cms</v>
      </c>
      <c r="C4420" s="6">
        <v>17643.599999999999</v>
      </c>
      <c r="D4420" s="5" t="s">
        <v>374</v>
      </c>
      <c r="E4420" s="5" t="str">
        <f t="shared" si="208"/>
        <v>DIANA SOFIA DIAZ CASTRO</v>
      </c>
      <c r="F4420" s="5"/>
      <c r="G4420" s="5"/>
    </row>
    <row r="4421" spans="1:7" ht="58.5" customHeight="1" x14ac:dyDescent="0.25">
      <c r="A4421" s="5" t="str">
        <f>"H0024758"</f>
        <v>H0024758</v>
      </c>
      <c r="B4421" s="5" t="str">
        <f t="shared" si="211"/>
        <v>PINZA DE DISECCIÓN SIN GARRA 14.5 cms</v>
      </c>
      <c r="C4421" s="6">
        <v>17643.599999999999</v>
      </c>
      <c r="D4421" s="5" t="s">
        <v>374</v>
      </c>
      <c r="E4421" s="5" t="str">
        <f t="shared" si="208"/>
        <v>DIANA SOFIA DIAZ CASTRO</v>
      </c>
      <c r="F4421" s="5"/>
      <c r="G4421" s="5"/>
    </row>
    <row r="4422" spans="1:7" ht="58.5" customHeight="1" x14ac:dyDescent="0.25">
      <c r="A4422" s="5" t="str">
        <f>"H0024759"</f>
        <v>H0024759</v>
      </c>
      <c r="B4422" s="5" t="str">
        <f t="shared" si="211"/>
        <v>PINZA DE DISECCIÓN SIN GARRA 14.5 cms</v>
      </c>
      <c r="C4422" s="6">
        <v>17643.599999999999</v>
      </c>
      <c r="D4422" s="5" t="s">
        <v>374</v>
      </c>
      <c r="E4422" s="5" t="str">
        <f t="shared" si="208"/>
        <v>DIANA SOFIA DIAZ CASTRO</v>
      </c>
      <c r="F4422" s="5"/>
      <c r="G4422" s="5"/>
    </row>
    <row r="4423" spans="1:7" ht="58.5" customHeight="1" x14ac:dyDescent="0.25">
      <c r="A4423" s="5" t="str">
        <f>"H0024760"</f>
        <v>H0024760</v>
      </c>
      <c r="B4423" s="5" t="str">
        <f t="shared" si="211"/>
        <v>PINZA DE DISECCIÓN SIN GARRA 14.5 cms</v>
      </c>
      <c r="C4423" s="6">
        <v>17643.599999999999</v>
      </c>
      <c r="D4423" s="5" t="s">
        <v>374</v>
      </c>
      <c r="E4423" s="5" t="str">
        <f t="shared" si="208"/>
        <v>DIANA SOFIA DIAZ CASTRO</v>
      </c>
      <c r="F4423" s="5"/>
      <c r="G4423" s="5"/>
    </row>
    <row r="4424" spans="1:7" ht="58.5" customHeight="1" x14ac:dyDescent="0.25">
      <c r="A4424" s="5" t="str">
        <f>"H0024761"</f>
        <v>H0024761</v>
      </c>
      <c r="B4424" s="5" t="str">
        <f t="shared" si="211"/>
        <v>PINZA DE DISECCIÓN SIN GARRA 14.5 cms</v>
      </c>
      <c r="C4424" s="6">
        <v>17643.599999999999</v>
      </c>
      <c r="D4424" s="5" t="s">
        <v>374</v>
      </c>
      <c r="E4424" s="5" t="str">
        <f t="shared" si="208"/>
        <v>DIANA SOFIA DIAZ CASTRO</v>
      </c>
      <c r="F4424" s="5"/>
      <c r="G4424" s="5"/>
    </row>
    <row r="4425" spans="1:7" ht="58.5" customHeight="1" x14ac:dyDescent="0.25">
      <c r="A4425" s="5" t="str">
        <f>"H0024762"</f>
        <v>H0024762</v>
      </c>
      <c r="B4425" s="5" t="str">
        <f t="shared" si="211"/>
        <v>PINZA DE DISECCIÓN SIN GARRA 14.5 cms</v>
      </c>
      <c r="C4425" s="6">
        <v>17643.599999999999</v>
      </c>
      <c r="D4425" s="5" t="s">
        <v>374</v>
      </c>
      <c r="E4425" s="5" t="str">
        <f t="shared" si="208"/>
        <v>DIANA SOFIA DIAZ CASTRO</v>
      </c>
      <c r="F4425" s="5"/>
      <c r="G4425" s="5"/>
    </row>
    <row r="4426" spans="1:7" ht="58.5" customHeight="1" x14ac:dyDescent="0.25">
      <c r="A4426" s="5" t="str">
        <f>"H0024763"</f>
        <v>H0024763</v>
      </c>
      <c r="B4426" s="5" t="str">
        <f t="shared" si="211"/>
        <v>PINZA DE DISECCIÓN SIN GARRA 14.5 cms</v>
      </c>
      <c r="C4426" s="6">
        <v>17643.599999999999</v>
      </c>
      <c r="D4426" s="5" t="s">
        <v>374</v>
      </c>
      <c r="E4426" s="5" t="str">
        <f t="shared" si="208"/>
        <v>DIANA SOFIA DIAZ CASTRO</v>
      </c>
      <c r="F4426" s="5"/>
      <c r="G4426" s="5"/>
    </row>
    <row r="4427" spans="1:7" ht="58.5" customHeight="1" x14ac:dyDescent="0.25">
      <c r="A4427" s="5" t="str">
        <f>"H0024764"</f>
        <v>H0024764</v>
      </c>
      <c r="B4427" s="5" t="str">
        <f t="shared" ref="B4427:B4436" si="212">"PINZA DE DISECCIÓN CON GARRA 14.5 cms"</f>
        <v>PINZA DE DISECCIÓN CON GARRA 14.5 cms</v>
      </c>
      <c r="C4427" s="6">
        <v>18903.400000000001</v>
      </c>
      <c r="D4427" s="5" t="s">
        <v>374</v>
      </c>
      <c r="E4427" s="5" t="str">
        <f t="shared" si="208"/>
        <v>DIANA SOFIA DIAZ CASTRO</v>
      </c>
      <c r="F4427" s="5"/>
      <c r="G4427" s="5"/>
    </row>
    <row r="4428" spans="1:7" ht="58.5" customHeight="1" x14ac:dyDescent="0.25">
      <c r="A4428" s="5" t="str">
        <f>"H0024765"</f>
        <v>H0024765</v>
      </c>
      <c r="B4428" s="5" t="str">
        <f t="shared" si="212"/>
        <v>PINZA DE DISECCIÓN CON GARRA 14.5 cms</v>
      </c>
      <c r="C4428" s="6">
        <v>18903.400000000001</v>
      </c>
      <c r="D4428" s="5" t="s">
        <v>374</v>
      </c>
      <c r="E4428" s="5" t="str">
        <f t="shared" si="208"/>
        <v>DIANA SOFIA DIAZ CASTRO</v>
      </c>
      <c r="F4428" s="5"/>
      <c r="G4428" s="5"/>
    </row>
    <row r="4429" spans="1:7" ht="58.5" customHeight="1" x14ac:dyDescent="0.25">
      <c r="A4429" s="5" t="str">
        <f>"H0024766"</f>
        <v>H0024766</v>
      </c>
      <c r="B4429" s="5" t="str">
        <f t="shared" si="212"/>
        <v>PINZA DE DISECCIÓN CON GARRA 14.5 cms</v>
      </c>
      <c r="C4429" s="6">
        <v>18903.400000000001</v>
      </c>
      <c r="D4429" s="5" t="s">
        <v>374</v>
      </c>
      <c r="E4429" s="5" t="str">
        <f t="shared" si="208"/>
        <v>DIANA SOFIA DIAZ CASTRO</v>
      </c>
      <c r="F4429" s="5"/>
      <c r="G4429" s="5"/>
    </row>
    <row r="4430" spans="1:7" ht="58.5" customHeight="1" x14ac:dyDescent="0.25">
      <c r="A4430" s="5" t="str">
        <f>"H0024767"</f>
        <v>H0024767</v>
      </c>
      <c r="B4430" s="5" t="str">
        <f t="shared" si="212"/>
        <v>PINZA DE DISECCIÓN CON GARRA 14.5 cms</v>
      </c>
      <c r="C4430" s="6">
        <v>18903.400000000001</v>
      </c>
      <c r="D4430" s="5" t="s">
        <v>374</v>
      </c>
      <c r="E4430" s="5" t="str">
        <f t="shared" si="208"/>
        <v>DIANA SOFIA DIAZ CASTRO</v>
      </c>
      <c r="F4430" s="5"/>
      <c r="G4430" s="5"/>
    </row>
    <row r="4431" spans="1:7" ht="58.5" customHeight="1" x14ac:dyDescent="0.25">
      <c r="A4431" s="5" t="str">
        <f>"H0024768"</f>
        <v>H0024768</v>
      </c>
      <c r="B4431" s="5" t="str">
        <f t="shared" si="212"/>
        <v>PINZA DE DISECCIÓN CON GARRA 14.5 cms</v>
      </c>
      <c r="C4431" s="6">
        <v>18903.400000000001</v>
      </c>
      <c r="D4431" s="5" t="s">
        <v>374</v>
      </c>
      <c r="E4431" s="5" t="str">
        <f t="shared" si="208"/>
        <v>DIANA SOFIA DIAZ CASTRO</v>
      </c>
      <c r="F4431" s="5"/>
      <c r="G4431" s="5"/>
    </row>
    <row r="4432" spans="1:7" ht="58.5" customHeight="1" x14ac:dyDescent="0.25">
      <c r="A4432" s="5" t="str">
        <f>"H0024769"</f>
        <v>H0024769</v>
      </c>
      <c r="B4432" s="5" t="str">
        <f t="shared" si="212"/>
        <v>PINZA DE DISECCIÓN CON GARRA 14.5 cms</v>
      </c>
      <c r="C4432" s="6">
        <v>18903.400000000001</v>
      </c>
      <c r="D4432" s="5" t="s">
        <v>374</v>
      </c>
      <c r="E4432" s="5" t="str">
        <f t="shared" si="208"/>
        <v>DIANA SOFIA DIAZ CASTRO</v>
      </c>
      <c r="F4432" s="5"/>
      <c r="G4432" s="5"/>
    </row>
    <row r="4433" spans="1:7" ht="58.5" customHeight="1" x14ac:dyDescent="0.25">
      <c r="A4433" s="5" t="str">
        <f>"H0024770"</f>
        <v>H0024770</v>
      </c>
      <c r="B4433" s="5" t="str">
        <f t="shared" si="212"/>
        <v>PINZA DE DISECCIÓN CON GARRA 14.5 cms</v>
      </c>
      <c r="C4433" s="6">
        <v>18903.400000000001</v>
      </c>
      <c r="D4433" s="5" t="s">
        <v>374</v>
      </c>
      <c r="E4433" s="5" t="str">
        <f t="shared" si="208"/>
        <v>DIANA SOFIA DIAZ CASTRO</v>
      </c>
      <c r="F4433" s="5"/>
      <c r="G4433" s="5"/>
    </row>
    <row r="4434" spans="1:7" ht="58.5" customHeight="1" x14ac:dyDescent="0.25">
      <c r="A4434" s="5" t="str">
        <f>"H0024771"</f>
        <v>H0024771</v>
      </c>
      <c r="B4434" s="5" t="str">
        <f t="shared" si="212"/>
        <v>PINZA DE DISECCIÓN CON GARRA 14.5 cms</v>
      </c>
      <c r="C4434" s="6">
        <v>18903.400000000001</v>
      </c>
      <c r="D4434" s="5" t="s">
        <v>374</v>
      </c>
      <c r="E4434" s="5" t="str">
        <f t="shared" si="208"/>
        <v>DIANA SOFIA DIAZ CASTRO</v>
      </c>
      <c r="F4434" s="5"/>
      <c r="G4434" s="5"/>
    </row>
    <row r="4435" spans="1:7" ht="58.5" customHeight="1" x14ac:dyDescent="0.25">
      <c r="A4435" s="5" t="str">
        <f>"H0024772"</f>
        <v>H0024772</v>
      </c>
      <c r="B4435" s="5" t="str">
        <f t="shared" si="212"/>
        <v>PINZA DE DISECCIÓN CON GARRA 14.5 cms</v>
      </c>
      <c r="C4435" s="6">
        <v>18903.400000000001</v>
      </c>
      <c r="D4435" s="5" t="s">
        <v>374</v>
      </c>
      <c r="E4435" s="5" t="str">
        <f t="shared" si="208"/>
        <v>DIANA SOFIA DIAZ CASTRO</v>
      </c>
      <c r="F4435" s="5"/>
      <c r="G4435" s="5"/>
    </row>
    <row r="4436" spans="1:7" ht="58.5" customHeight="1" x14ac:dyDescent="0.25">
      <c r="A4436" s="5" t="str">
        <f>"H0024773"</f>
        <v>H0024773</v>
      </c>
      <c r="B4436" s="5" t="str">
        <f t="shared" si="212"/>
        <v>PINZA DE DISECCIÓN CON GARRA 14.5 cms</v>
      </c>
      <c r="C4436" s="6">
        <v>18903.400000000001</v>
      </c>
      <c r="D4436" s="5" t="s">
        <v>374</v>
      </c>
      <c r="E4436" s="5" t="str">
        <f t="shared" si="208"/>
        <v>DIANA SOFIA DIAZ CASTRO</v>
      </c>
      <c r="F4436" s="5"/>
      <c r="G4436" s="5"/>
    </row>
    <row r="4437" spans="1:7" ht="58.5" customHeight="1" x14ac:dyDescent="0.25">
      <c r="A4437" s="5" t="str">
        <f>"H0024774"</f>
        <v>H0024774</v>
      </c>
      <c r="B4437" s="5" t="str">
        <f t="shared" ref="B4437:B4446" si="213">"PINZA DE DISECCIÓN CON GARRA PEQUEÑA 20 CM"</f>
        <v>PINZA DE DISECCIÓN CON GARRA PEQUEÑA 20 CM</v>
      </c>
      <c r="C4437" s="6">
        <v>24288.1</v>
      </c>
      <c r="D4437" s="5" t="s">
        <v>374</v>
      </c>
      <c r="E4437" s="5" t="str">
        <f t="shared" si="208"/>
        <v>DIANA SOFIA DIAZ CASTRO</v>
      </c>
      <c r="F4437" s="5"/>
      <c r="G4437" s="5"/>
    </row>
    <row r="4438" spans="1:7" ht="58.5" customHeight="1" x14ac:dyDescent="0.25">
      <c r="A4438" s="5" t="str">
        <f>"H0024775"</f>
        <v>H0024775</v>
      </c>
      <c r="B4438" s="5" t="str">
        <f t="shared" si="213"/>
        <v>PINZA DE DISECCIÓN CON GARRA PEQUEÑA 20 CM</v>
      </c>
      <c r="C4438" s="6">
        <v>24288.1</v>
      </c>
      <c r="D4438" s="5" t="s">
        <v>374</v>
      </c>
      <c r="E4438" s="5" t="str">
        <f t="shared" si="208"/>
        <v>DIANA SOFIA DIAZ CASTRO</v>
      </c>
      <c r="F4438" s="5"/>
      <c r="G4438" s="5"/>
    </row>
    <row r="4439" spans="1:7" ht="58.5" customHeight="1" x14ac:dyDescent="0.25">
      <c r="A4439" s="5" t="str">
        <f>"H0024776"</f>
        <v>H0024776</v>
      </c>
      <c r="B4439" s="5" t="str">
        <f t="shared" si="213"/>
        <v>PINZA DE DISECCIÓN CON GARRA PEQUEÑA 20 CM</v>
      </c>
      <c r="C4439" s="6">
        <v>24288.1</v>
      </c>
      <c r="D4439" s="5" t="s">
        <v>374</v>
      </c>
      <c r="E4439" s="5" t="str">
        <f t="shared" si="208"/>
        <v>DIANA SOFIA DIAZ CASTRO</v>
      </c>
      <c r="F4439" s="5"/>
      <c r="G4439" s="5"/>
    </row>
    <row r="4440" spans="1:7" ht="58.5" customHeight="1" x14ac:dyDescent="0.25">
      <c r="A4440" s="5" t="str">
        <f>"H0024777"</f>
        <v>H0024777</v>
      </c>
      <c r="B4440" s="5" t="str">
        <f t="shared" si="213"/>
        <v>PINZA DE DISECCIÓN CON GARRA PEQUEÑA 20 CM</v>
      </c>
      <c r="C4440" s="6">
        <v>24288.1</v>
      </c>
      <c r="D4440" s="5" t="s">
        <v>374</v>
      </c>
      <c r="E4440" s="5" t="str">
        <f t="shared" si="208"/>
        <v>DIANA SOFIA DIAZ CASTRO</v>
      </c>
      <c r="F4440" s="5"/>
      <c r="G4440" s="5"/>
    </row>
    <row r="4441" spans="1:7" ht="58.5" customHeight="1" x14ac:dyDescent="0.25">
      <c r="A4441" s="5" t="str">
        <f>"H0024778"</f>
        <v>H0024778</v>
      </c>
      <c r="B4441" s="5" t="str">
        <f t="shared" si="213"/>
        <v>PINZA DE DISECCIÓN CON GARRA PEQUEÑA 20 CM</v>
      </c>
      <c r="C4441" s="6">
        <v>24288.1</v>
      </c>
      <c r="D4441" s="5" t="s">
        <v>374</v>
      </c>
      <c r="E4441" s="5" t="str">
        <f t="shared" si="208"/>
        <v>DIANA SOFIA DIAZ CASTRO</v>
      </c>
      <c r="F4441" s="5"/>
      <c r="G4441" s="5"/>
    </row>
    <row r="4442" spans="1:7" ht="58.5" customHeight="1" x14ac:dyDescent="0.25">
      <c r="A4442" s="5" t="str">
        <f>"H0024779"</f>
        <v>H0024779</v>
      </c>
      <c r="B4442" s="5" t="str">
        <f t="shared" si="213"/>
        <v>PINZA DE DISECCIÓN CON GARRA PEQUEÑA 20 CM</v>
      </c>
      <c r="C4442" s="6">
        <v>24288.1</v>
      </c>
      <c r="D4442" s="5" t="s">
        <v>374</v>
      </c>
      <c r="E4442" s="5" t="str">
        <f t="shared" si="208"/>
        <v>DIANA SOFIA DIAZ CASTRO</v>
      </c>
      <c r="F4442" s="5"/>
      <c r="G4442" s="5"/>
    </row>
    <row r="4443" spans="1:7" ht="58.5" customHeight="1" x14ac:dyDescent="0.25">
      <c r="A4443" s="5" t="str">
        <f>"H0024780"</f>
        <v>H0024780</v>
      </c>
      <c r="B4443" s="5" t="str">
        <f t="shared" si="213"/>
        <v>PINZA DE DISECCIÓN CON GARRA PEQUEÑA 20 CM</v>
      </c>
      <c r="C4443" s="6">
        <v>24288.1</v>
      </c>
      <c r="D4443" s="5" t="s">
        <v>374</v>
      </c>
      <c r="E4443" s="5" t="str">
        <f t="shared" si="208"/>
        <v>DIANA SOFIA DIAZ CASTRO</v>
      </c>
      <c r="F4443" s="5"/>
      <c r="G4443" s="5"/>
    </row>
    <row r="4444" spans="1:7" ht="58.5" customHeight="1" x14ac:dyDescent="0.25">
      <c r="A4444" s="5" t="str">
        <f>"H0024781"</f>
        <v>H0024781</v>
      </c>
      <c r="B4444" s="5" t="str">
        <f t="shared" si="213"/>
        <v>PINZA DE DISECCIÓN CON GARRA PEQUEÑA 20 CM</v>
      </c>
      <c r="C4444" s="6">
        <v>24288.1</v>
      </c>
      <c r="D4444" s="5" t="s">
        <v>374</v>
      </c>
      <c r="E4444" s="5" t="str">
        <f t="shared" si="208"/>
        <v>DIANA SOFIA DIAZ CASTRO</v>
      </c>
      <c r="F4444" s="5"/>
      <c r="G4444" s="5"/>
    </row>
    <row r="4445" spans="1:7" ht="58.5" customHeight="1" x14ac:dyDescent="0.25">
      <c r="A4445" s="5" t="str">
        <f>"H0024782"</f>
        <v>H0024782</v>
      </c>
      <c r="B4445" s="5" t="str">
        <f t="shared" si="213"/>
        <v>PINZA DE DISECCIÓN CON GARRA PEQUEÑA 20 CM</v>
      </c>
      <c r="C4445" s="6">
        <v>24288.1</v>
      </c>
      <c r="D4445" s="5" t="s">
        <v>374</v>
      </c>
      <c r="E4445" s="5" t="str">
        <f t="shared" si="208"/>
        <v>DIANA SOFIA DIAZ CASTRO</v>
      </c>
      <c r="F4445" s="5"/>
      <c r="G4445" s="5"/>
    </row>
    <row r="4446" spans="1:7" ht="58.5" customHeight="1" x14ac:dyDescent="0.25">
      <c r="A4446" s="5" t="str">
        <f>"H0024783"</f>
        <v>H0024783</v>
      </c>
      <c r="B4446" s="5" t="str">
        <f t="shared" si="213"/>
        <v>PINZA DE DISECCIÓN CON GARRA PEQUEÑA 20 CM</v>
      </c>
      <c r="C4446" s="6">
        <v>24288.1</v>
      </c>
      <c r="D4446" s="5" t="s">
        <v>374</v>
      </c>
      <c r="E4446" s="5" t="str">
        <f t="shared" ref="E4446:E4509" si="214">"DIANA SOFIA DIAZ CASTRO"</f>
        <v>DIANA SOFIA DIAZ CASTRO</v>
      </c>
      <c r="F4446" s="5"/>
      <c r="G4446" s="5"/>
    </row>
    <row r="4447" spans="1:7" ht="58.5" customHeight="1" x14ac:dyDescent="0.25">
      <c r="A4447" s="5" t="str">
        <f>"H0024784"</f>
        <v>H0024784</v>
      </c>
      <c r="B4447" s="5" t="str">
        <f t="shared" ref="B4447:B4456" si="215">"pinza hemostatica, curva 14.5 cms. KELLY"</f>
        <v>pinza hemostatica, curva 14.5 cms. KELLY</v>
      </c>
      <c r="C4447" s="6">
        <v>40213.699999999997</v>
      </c>
      <c r="D4447" s="5" t="s">
        <v>374</v>
      </c>
      <c r="E4447" s="5" t="str">
        <f t="shared" si="214"/>
        <v>DIANA SOFIA DIAZ CASTRO</v>
      </c>
      <c r="F4447" s="5"/>
      <c r="G4447" s="5"/>
    </row>
    <row r="4448" spans="1:7" ht="58.5" customHeight="1" x14ac:dyDescent="0.25">
      <c r="A4448" s="5" t="str">
        <f>"H0024785"</f>
        <v>H0024785</v>
      </c>
      <c r="B4448" s="5" t="str">
        <f t="shared" si="215"/>
        <v>pinza hemostatica, curva 14.5 cms. KELLY</v>
      </c>
      <c r="C4448" s="6">
        <v>40213.699999999997</v>
      </c>
      <c r="D4448" s="5" t="s">
        <v>374</v>
      </c>
      <c r="E4448" s="5" t="str">
        <f t="shared" si="214"/>
        <v>DIANA SOFIA DIAZ CASTRO</v>
      </c>
      <c r="F4448" s="5"/>
      <c r="G4448" s="5"/>
    </row>
    <row r="4449" spans="1:7" ht="58.5" customHeight="1" x14ac:dyDescent="0.25">
      <c r="A4449" s="5" t="str">
        <f>"H0024786"</f>
        <v>H0024786</v>
      </c>
      <c r="B4449" s="5" t="str">
        <f t="shared" si="215"/>
        <v>pinza hemostatica, curva 14.5 cms. KELLY</v>
      </c>
      <c r="C4449" s="6">
        <v>40213.699999999997</v>
      </c>
      <c r="D4449" s="5" t="s">
        <v>374</v>
      </c>
      <c r="E4449" s="5" t="str">
        <f t="shared" si="214"/>
        <v>DIANA SOFIA DIAZ CASTRO</v>
      </c>
      <c r="F4449" s="5"/>
      <c r="G4449" s="5"/>
    </row>
    <row r="4450" spans="1:7" ht="58.5" customHeight="1" x14ac:dyDescent="0.25">
      <c r="A4450" s="5" t="str">
        <f>"H0024787"</f>
        <v>H0024787</v>
      </c>
      <c r="B4450" s="5" t="str">
        <f t="shared" si="215"/>
        <v>pinza hemostatica, curva 14.5 cms. KELLY</v>
      </c>
      <c r="C4450" s="6">
        <v>40213.699999999997</v>
      </c>
      <c r="D4450" s="5" t="s">
        <v>374</v>
      </c>
      <c r="E4450" s="5" t="str">
        <f t="shared" si="214"/>
        <v>DIANA SOFIA DIAZ CASTRO</v>
      </c>
      <c r="F4450" s="5"/>
      <c r="G4450" s="5"/>
    </row>
    <row r="4451" spans="1:7" ht="58.5" customHeight="1" x14ac:dyDescent="0.25">
      <c r="A4451" s="5" t="str">
        <f>"H0024788"</f>
        <v>H0024788</v>
      </c>
      <c r="B4451" s="5" t="str">
        <f t="shared" si="215"/>
        <v>pinza hemostatica, curva 14.5 cms. KELLY</v>
      </c>
      <c r="C4451" s="6">
        <v>40213.699999999997</v>
      </c>
      <c r="D4451" s="5" t="s">
        <v>374</v>
      </c>
      <c r="E4451" s="5" t="str">
        <f t="shared" si="214"/>
        <v>DIANA SOFIA DIAZ CASTRO</v>
      </c>
      <c r="F4451" s="5"/>
      <c r="G4451" s="5"/>
    </row>
    <row r="4452" spans="1:7" ht="58.5" customHeight="1" x14ac:dyDescent="0.25">
      <c r="A4452" s="5" t="str">
        <f>"H0024789"</f>
        <v>H0024789</v>
      </c>
      <c r="B4452" s="5" t="str">
        <f t="shared" si="215"/>
        <v>pinza hemostatica, curva 14.5 cms. KELLY</v>
      </c>
      <c r="C4452" s="6">
        <v>40213.699999999997</v>
      </c>
      <c r="D4452" s="5" t="s">
        <v>374</v>
      </c>
      <c r="E4452" s="5" t="str">
        <f t="shared" si="214"/>
        <v>DIANA SOFIA DIAZ CASTRO</v>
      </c>
      <c r="F4452" s="5"/>
      <c r="G4452" s="5"/>
    </row>
    <row r="4453" spans="1:7" ht="58.5" customHeight="1" x14ac:dyDescent="0.25">
      <c r="A4453" s="5" t="str">
        <f>"H0024790"</f>
        <v>H0024790</v>
      </c>
      <c r="B4453" s="5" t="str">
        <f t="shared" si="215"/>
        <v>pinza hemostatica, curva 14.5 cms. KELLY</v>
      </c>
      <c r="C4453" s="6">
        <v>40213.699999999997</v>
      </c>
      <c r="D4453" s="5" t="s">
        <v>374</v>
      </c>
      <c r="E4453" s="5" t="str">
        <f t="shared" si="214"/>
        <v>DIANA SOFIA DIAZ CASTRO</v>
      </c>
      <c r="F4453" s="5"/>
      <c r="G4453" s="5"/>
    </row>
    <row r="4454" spans="1:7" ht="58.5" customHeight="1" x14ac:dyDescent="0.25">
      <c r="A4454" s="5" t="str">
        <f>"H0024791"</f>
        <v>H0024791</v>
      </c>
      <c r="B4454" s="5" t="str">
        <f t="shared" si="215"/>
        <v>pinza hemostatica, curva 14.5 cms. KELLY</v>
      </c>
      <c r="C4454" s="6">
        <v>40213.699999999997</v>
      </c>
      <c r="D4454" s="5" t="s">
        <v>374</v>
      </c>
      <c r="E4454" s="5" t="str">
        <f t="shared" si="214"/>
        <v>DIANA SOFIA DIAZ CASTRO</v>
      </c>
      <c r="F4454" s="5"/>
      <c r="G4454" s="5"/>
    </row>
    <row r="4455" spans="1:7" ht="58.5" customHeight="1" x14ac:dyDescent="0.25">
      <c r="A4455" s="5" t="str">
        <f>"H0024792"</f>
        <v>H0024792</v>
      </c>
      <c r="B4455" s="5" t="str">
        <f t="shared" si="215"/>
        <v>pinza hemostatica, curva 14.5 cms. KELLY</v>
      </c>
      <c r="C4455" s="6">
        <v>40213.699999999997</v>
      </c>
      <c r="D4455" s="5" t="s">
        <v>374</v>
      </c>
      <c r="E4455" s="5" t="str">
        <f t="shared" si="214"/>
        <v>DIANA SOFIA DIAZ CASTRO</v>
      </c>
      <c r="F4455" s="5"/>
      <c r="G4455" s="5"/>
    </row>
    <row r="4456" spans="1:7" ht="58.5" customHeight="1" x14ac:dyDescent="0.25">
      <c r="A4456" s="5" t="str">
        <f>"H0024793"</f>
        <v>H0024793</v>
      </c>
      <c r="B4456" s="5" t="str">
        <f t="shared" si="215"/>
        <v>pinza hemostatica, curva 14.5 cms. KELLY</v>
      </c>
      <c r="C4456" s="6">
        <v>40213.699999999997</v>
      </c>
      <c r="D4456" s="5" t="s">
        <v>374</v>
      </c>
      <c r="E4456" s="5" t="str">
        <f t="shared" si="214"/>
        <v>DIANA SOFIA DIAZ CASTRO</v>
      </c>
      <c r="F4456" s="5"/>
      <c r="G4456" s="5"/>
    </row>
    <row r="4457" spans="1:7" ht="58.5" customHeight="1" x14ac:dyDescent="0.25">
      <c r="A4457" s="5" t="str">
        <f>"H0024794"</f>
        <v>H0024794</v>
      </c>
      <c r="B4457" s="5" t="str">
        <f t="shared" ref="B4457:B4466" si="216">"TIJERA PARA PUNTOS, RECTA 17 - 18 cms MAYOs"</f>
        <v>TIJERA PARA PUNTOS, RECTA 17 - 18 cms MAYOs</v>
      </c>
      <c r="C4457" s="6">
        <v>43192.6</v>
      </c>
      <c r="D4457" s="5" t="s">
        <v>374</v>
      </c>
      <c r="E4457" s="5" t="str">
        <f t="shared" si="214"/>
        <v>DIANA SOFIA DIAZ CASTRO</v>
      </c>
      <c r="F4457" s="5"/>
      <c r="G4457" s="5"/>
    </row>
    <row r="4458" spans="1:7" ht="58.5" customHeight="1" x14ac:dyDescent="0.25">
      <c r="A4458" s="5" t="str">
        <f>"H0024795"</f>
        <v>H0024795</v>
      </c>
      <c r="B4458" s="5" t="str">
        <f t="shared" si="216"/>
        <v>TIJERA PARA PUNTOS, RECTA 17 - 18 cms MAYOs</v>
      </c>
      <c r="C4458" s="6">
        <v>43192.6</v>
      </c>
      <c r="D4458" s="5" t="s">
        <v>374</v>
      </c>
      <c r="E4458" s="5" t="str">
        <f t="shared" si="214"/>
        <v>DIANA SOFIA DIAZ CASTRO</v>
      </c>
      <c r="F4458" s="5"/>
      <c r="G4458" s="5"/>
    </row>
    <row r="4459" spans="1:7" ht="58.5" customHeight="1" x14ac:dyDescent="0.25">
      <c r="A4459" s="5" t="str">
        <f>"H0024796"</f>
        <v>H0024796</v>
      </c>
      <c r="B4459" s="5" t="str">
        <f t="shared" si="216"/>
        <v>TIJERA PARA PUNTOS, RECTA 17 - 18 cms MAYOs</v>
      </c>
      <c r="C4459" s="6">
        <v>43192.6</v>
      </c>
      <c r="D4459" s="5" t="s">
        <v>374</v>
      </c>
      <c r="E4459" s="5" t="str">
        <f t="shared" si="214"/>
        <v>DIANA SOFIA DIAZ CASTRO</v>
      </c>
      <c r="F4459" s="5"/>
      <c r="G4459" s="5"/>
    </row>
    <row r="4460" spans="1:7" ht="58.5" customHeight="1" x14ac:dyDescent="0.25">
      <c r="A4460" s="5" t="str">
        <f>"H0024797"</f>
        <v>H0024797</v>
      </c>
      <c r="B4460" s="5" t="str">
        <f t="shared" si="216"/>
        <v>TIJERA PARA PUNTOS, RECTA 17 - 18 cms MAYOs</v>
      </c>
      <c r="C4460" s="6">
        <v>43192.6</v>
      </c>
      <c r="D4460" s="5" t="s">
        <v>374</v>
      </c>
      <c r="E4460" s="5" t="str">
        <f t="shared" si="214"/>
        <v>DIANA SOFIA DIAZ CASTRO</v>
      </c>
      <c r="F4460" s="5"/>
      <c r="G4460" s="5"/>
    </row>
    <row r="4461" spans="1:7" ht="58.5" customHeight="1" x14ac:dyDescent="0.25">
      <c r="A4461" s="5" t="str">
        <f>"H0024798"</f>
        <v>H0024798</v>
      </c>
      <c r="B4461" s="5" t="str">
        <f t="shared" si="216"/>
        <v>TIJERA PARA PUNTOS, RECTA 17 - 18 cms MAYOs</v>
      </c>
      <c r="C4461" s="6">
        <v>43192.6</v>
      </c>
      <c r="D4461" s="5" t="s">
        <v>374</v>
      </c>
      <c r="E4461" s="5" t="str">
        <f t="shared" si="214"/>
        <v>DIANA SOFIA DIAZ CASTRO</v>
      </c>
      <c r="F4461" s="5"/>
      <c r="G4461" s="5"/>
    </row>
    <row r="4462" spans="1:7" ht="58.5" customHeight="1" x14ac:dyDescent="0.25">
      <c r="A4462" s="5" t="str">
        <f>"H0024799"</f>
        <v>H0024799</v>
      </c>
      <c r="B4462" s="5" t="str">
        <f t="shared" si="216"/>
        <v>TIJERA PARA PUNTOS, RECTA 17 - 18 cms MAYOs</v>
      </c>
      <c r="C4462" s="6">
        <v>43192.6</v>
      </c>
      <c r="D4462" s="5" t="s">
        <v>374</v>
      </c>
      <c r="E4462" s="5" t="str">
        <f t="shared" si="214"/>
        <v>DIANA SOFIA DIAZ CASTRO</v>
      </c>
      <c r="F4462" s="5"/>
      <c r="G4462" s="5"/>
    </row>
    <row r="4463" spans="1:7" ht="58.5" customHeight="1" x14ac:dyDescent="0.25">
      <c r="A4463" s="5" t="str">
        <f>"H0024800"</f>
        <v>H0024800</v>
      </c>
      <c r="B4463" s="5" t="str">
        <f t="shared" si="216"/>
        <v>TIJERA PARA PUNTOS, RECTA 17 - 18 cms MAYOs</v>
      </c>
      <c r="C4463" s="6">
        <v>43192.6</v>
      </c>
      <c r="D4463" s="5" t="s">
        <v>374</v>
      </c>
      <c r="E4463" s="5" t="str">
        <f t="shared" si="214"/>
        <v>DIANA SOFIA DIAZ CASTRO</v>
      </c>
      <c r="F4463" s="5"/>
      <c r="G4463" s="5"/>
    </row>
    <row r="4464" spans="1:7" ht="58.5" customHeight="1" x14ac:dyDescent="0.25">
      <c r="A4464" s="5" t="str">
        <f>"H0024801"</f>
        <v>H0024801</v>
      </c>
      <c r="B4464" s="5" t="str">
        <f t="shared" si="216"/>
        <v>TIJERA PARA PUNTOS, RECTA 17 - 18 cms MAYOs</v>
      </c>
      <c r="C4464" s="6">
        <v>43192.6</v>
      </c>
      <c r="D4464" s="5" t="s">
        <v>374</v>
      </c>
      <c r="E4464" s="5" t="str">
        <f t="shared" si="214"/>
        <v>DIANA SOFIA DIAZ CASTRO</v>
      </c>
      <c r="F4464" s="5"/>
      <c r="G4464" s="5"/>
    </row>
    <row r="4465" spans="1:7" ht="58.5" customHeight="1" x14ac:dyDescent="0.25">
      <c r="A4465" s="5" t="str">
        <f>"H0024802"</f>
        <v>H0024802</v>
      </c>
      <c r="B4465" s="5" t="str">
        <f t="shared" si="216"/>
        <v>TIJERA PARA PUNTOS, RECTA 17 - 18 cms MAYOs</v>
      </c>
      <c r="C4465" s="6">
        <v>43192.6</v>
      </c>
      <c r="D4465" s="5" t="s">
        <v>374</v>
      </c>
      <c r="E4465" s="5" t="str">
        <f t="shared" si="214"/>
        <v>DIANA SOFIA DIAZ CASTRO</v>
      </c>
      <c r="F4465" s="5"/>
      <c r="G4465" s="5"/>
    </row>
    <row r="4466" spans="1:7" ht="58.5" customHeight="1" x14ac:dyDescent="0.25">
      <c r="A4466" s="5" t="str">
        <f>"H0024803"</f>
        <v>H0024803</v>
      </c>
      <c r="B4466" s="5" t="str">
        <f t="shared" si="216"/>
        <v>TIJERA PARA PUNTOS, RECTA 17 - 18 cms MAYOs</v>
      </c>
      <c r="C4466" s="6">
        <v>43192.6</v>
      </c>
      <c r="D4466" s="5" t="s">
        <v>374</v>
      </c>
      <c r="E4466" s="5" t="str">
        <f t="shared" si="214"/>
        <v>DIANA SOFIA DIAZ CASTRO</v>
      </c>
      <c r="F4466" s="5"/>
      <c r="G4466" s="5"/>
    </row>
    <row r="4467" spans="1:7" ht="58.5" customHeight="1" x14ac:dyDescent="0.25">
      <c r="A4467" s="5" t="str">
        <f>"H0024804"</f>
        <v>H0024804</v>
      </c>
      <c r="B4467" s="5" t="str">
        <f t="shared" ref="B4467:B4476" si="217">"PORTA AGUJAS  16 cms MAYO- HEGAR"</f>
        <v>PORTA AGUJAS  16 cms MAYO- HEGAR</v>
      </c>
      <c r="C4467" s="6">
        <v>47316.4</v>
      </c>
      <c r="D4467" s="5" t="s">
        <v>374</v>
      </c>
      <c r="E4467" s="5" t="str">
        <f t="shared" si="214"/>
        <v>DIANA SOFIA DIAZ CASTRO</v>
      </c>
      <c r="F4467" s="5"/>
      <c r="G4467" s="5"/>
    </row>
    <row r="4468" spans="1:7" ht="58.5" customHeight="1" x14ac:dyDescent="0.25">
      <c r="A4468" s="5" t="str">
        <f>"H0024805"</f>
        <v>H0024805</v>
      </c>
      <c r="B4468" s="5" t="str">
        <f t="shared" si="217"/>
        <v>PORTA AGUJAS  16 cms MAYO- HEGAR</v>
      </c>
      <c r="C4468" s="6">
        <v>47316.4</v>
      </c>
      <c r="D4468" s="5" t="s">
        <v>374</v>
      </c>
      <c r="E4468" s="5" t="str">
        <f t="shared" si="214"/>
        <v>DIANA SOFIA DIAZ CASTRO</v>
      </c>
      <c r="F4468" s="5"/>
      <c r="G4468" s="5"/>
    </row>
    <row r="4469" spans="1:7" ht="58.5" customHeight="1" x14ac:dyDescent="0.25">
      <c r="A4469" s="5" t="str">
        <f>"H0024806"</f>
        <v>H0024806</v>
      </c>
      <c r="B4469" s="5" t="str">
        <f t="shared" si="217"/>
        <v>PORTA AGUJAS  16 cms MAYO- HEGAR</v>
      </c>
      <c r="C4469" s="6">
        <v>47316.4</v>
      </c>
      <c r="D4469" s="5" t="s">
        <v>374</v>
      </c>
      <c r="E4469" s="5" t="str">
        <f t="shared" si="214"/>
        <v>DIANA SOFIA DIAZ CASTRO</v>
      </c>
      <c r="F4469" s="5"/>
      <c r="G4469" s="5"/>
    </row>
    <row r="4470" spans="1:7" ht="58.5" customHeight="1" x14ac:dyDescent="0.25">
      <c r="A4470" s="5" t="str">
        <f>"H0024807"</f>
        <v>H0024807</v>
      </c>
      <c r="B4470" s="5" t="str">
        <f t="shared" si="217"/>
        <v>PORTA AGUJAS  16 cms MAYO- HEGAR</v>
      </c>
      <c r="C4470" s="6">
        <v>47316.4</v>
      </c>
      <c r="D4470" s="5" t="s">
        <v>374</v>
      </c>
      <c r="E4470" s="5" t="str">
        <f t="shared" si="214"/>
        <v>DIANA SOFIA DIAZ CASTRO</v>
      </c>
      <c r="F4470" s="5"/>
      <c r="G4470" s="5"/>
    </row>
    <row r="4471" spans="1:7" ht="58.5" customHeight="1" x14ac:dyDescent="0.25">
      <c r="A4471" s="5" t="str">
        <f>"H0024808"</f>
        <v>H0024808</v>
      </c>
      <c r="B4471" s="5" t="str">
        <f t="shared" si="217"/>
        <v>PORTA AGUJAS  16 cms MAYO- HEGAR</v>
      </c>
      <c r="C4471" s="6">
        <v>47316.4</v>
      </c>
      <c r="D4471" s="5" t="s">
        <v>374</v>
      </c>
      <c r="E4471" s="5" t="str">
        <f t="shared" si="214"/>
        <v>DIANA SOFIA DIAZ CASTRO</v>
      </c>
      <c r="F4471" s="5"/>
      <c r="G4471" s="5"/>
    </row>
    <row r="4472" spans="1:7" ht="58.5" customHeight="1" x14ac:dyDescent="0.25">
      <c r="A4472" s="5" t="str">
        <f>"H0024809"</f>
        <v>H0024809</v>
      </c>
      <c r="B4472" s="5" t="str">
        <f t="shared" si="217"/>
        <v>PORTA AGUJAS  16 cms MAYO- HEGAR</v>
      </c>
      <c r="C4472" s="6">
        <v>47316.4</v>
      </c>
      <c r="D4472" s="5" t="s">
        <v>374</v>
      </c>
      <c r="E4472" s="5" t="str">
        <f t="shared" si="214"/>
        <v>DIANA SOFIA DIAZ CASTRO</v>
      </c>
      <c r="F4472" s="5"/>
      <c r="G4472" s="5"/>
    </row>
    <row r="4473" spans="1:7" ht="58.5" customHeight="1" x14ac:dyDescent="0.25">
      <c r="A4473" s="5" t="str">
        <f>"H0024810"</f>
        <v>H0024810</v>
      </c>
      <c r="B4473" s="5" t="str">
        <f t="shared" si="217"/>
        <v>PORTA AGUJAS  16 cms MAYO- HEGAR</v>
      </c>
      <c r="C4473" s="6">
        <v>47316.4</v>
      </c>
      <c r="D4473" s="5" t="s">
        <v>374</v>
      </c>
      <c r="E4473" s="5" t="str">
        <f t="shared" si="214"/>
        <v>DIANA SOFIA DIAZ CASTRO</v>
      </c>
      <c r="F4473" s="5"/>
      <c r="G4473" s="5"/>
    </row>
    <row r="4474" spans="1:7" ht="58.5" customHeight="1" x14ac:dyDescent="0.25">
      <c r="A4474" s="5" t="str">
        <f>"H0024811"</f>
        <v>H0024811</v>
      </c>
      <c r="B4474" s="5" t="str">
        <f t="shared" si="217"/>
        <v>PORTA AGUJAS  16 cms MAYO- HEGAR</v>
      </c>
      <c r="C4474" s="6">
        <v>47316.4</v>
      </c>
      <c r="D4474" s="5" t="s">
        <v>374</v>
      </c>
      <c r="E4474" s="5" t="str">
        <f t="shared" si="214"/>
        <v>DIANA SOFIA DIAZ CASTRO</v>
      </c>
      <c r="F4474" s="5"/>
      <c r="G4474" s="5"/>
    </row>
    <row r="4475" spans="1:7" ht="58.5" customHeight="1" x14ac:dyDescent="0.25">
      <c r="A4475" s="5" t="str">
        <f>"H0024812"</f>
        <v>H0024812</v>
      </c>
      <c r="B4475" s="5" t="str">
        <f t="shared" si="217"/>
        <v>PORTA AGUJAS  16 cms MAYO- HEGAR</v>
      </c>
      <c r="C4475" s="6">
        <v>47316.4</v>
      </c>
      <c r="D4475" s="5" t="s">
        <v>374</v>
      </c>
      <c r="E4475" s="5" t="str">
        <f t="shared" si="214"/>
        <v>DIANA SOFIA DIAZ CASTRO</v>
      </c>
      <c r="F4475" s="5"/>
      <c r="G4475" s="5"/>
    </row>
    <row r="4476" spans="1:7" ht="58.5" customHeight="1" x14ac:dyDescent="0.25">
      <c r="A4476" s="5" t="str">
        <f>"H0024813"</f>
        <v>H0024813</v>
      </c>
      <c r="B4476" s="5" t="str">
        <f t="shared" si="217"/>
        <v>PORTA AGUJAS  16 cms MAYO- HEGAR</v>
      </c>
      <c r="C4476" s="6">
        <v>47316.4</v>
      </c>
      <c r="D4476" s="5" t="s">
        <v>374</v>
      </c>
      <c r="E4476" s="5" t="str">
        <f t="shared" si="214"/>
        <v>DIANA SOFIA DIAZ CASTRO</v>
      </c>
      <c r="F4476" s="5"/>
      <c r="G4476" s="5"/>
    </row>
    <row r="4477" spans="1:7" ht="58.5" customHeight="1" x14ac:dyDescent="0.25">
      <c r="A4477" s="5" t="str">
        <f>"H0024814"</f>
        <v>H0024814</v>
      </c>
      <c r="B4477" s="5" t="str">
        <f t="shared" ref="B4477:B4486" si="218">"TIJERA PARA TEJIDOS, CURVA 18 cms-METZENBAUM"</f>
        <v>TIJERA PARA TEJIDOS, CURVA 18 cms-METZENBAUM</v>
      </c>
      <c r="C4477" s="6">
        <v>57284.3</v>
      </c>
      <c r="D4477" s="5" t="s">
        <v>374</v>
      </c>
      <c r="E4477" s="5" t="str">
        <f t="shared" si="214"/>
        <v>DIANA SOFIA DIAZ CASTRO</v>
      </c>
      <c r="F4477" s="5"/>
      <c r="G4477" s="5"/>
    </row>
    <row r="4478" spans="1:7" ht="58.5" customHeight="1" x14ac:dyDescent="0.25">
      <c r="A4478" s="5" t="str">
        <f>"H0024815"</f>
        <v>H0024815</v>
      </c>
      <c r="B4478" s="5" t="str">
        <f t="shared" si="218"/>
        <v>TIJERA PARA TEJIDOS, CURVA 18 cms-METZENBAUM</v>
      </c>
      <c r="C4478" s="6">
        <v>57284.3</v>
      </c>
      <c r="D4478" s="5" t="s">
        <v>374</v>
      </c>
      <c r="E4478" s="5" t="str">
        <f t="shared" si="214"/>
        <v>DIANA SOFIA DIAZ CASTRO</v>
      </c>
      <c r="F4478" s="5"/>
      <c r="G4478" s="5"/>
    </row>
    <row r="4479" spans="1:7" ht="58.5" customHeight="1" x14ac:dyDescent="0.25">
      <c r="A4479" s="5" t="str">
        <f>"H0024816"</f>
        <v>H0024816</v>
      </c>
      <c r="B4479" s="5" t="str">
        <f t="shared" si="218"/>
        <v>TIJERA PARA TEJIDOS, CURVA 18 cms-METZENBAUM</v>
      </c>
      <c r="C4479" s="6">
        <v>57284.3</v>
      </c>
      <c r="D4479" s="5" t="s">
        <v>374</v>
      </c>
      <c r="E4479" s="5" t="str">
        <f t="shared" si="214"/>
        <v>DIANA SOFIA DIAZ CASTRO</v>
      </c>
      <c r="F4479" s="5"/>
      <c r="G4479" s="5"/>
    </row>
    <row r="4480" spans="1:7" ht="58.5" customHeight="1" x14ac:dyDescent="0.25">
      <c r="A4480" s="5" t="str">
        <f>"H0024817"</f>
        <v>H0024817</v>
      </c>
      <c r="B4480" s="5" t="str">
        <f t="shared" si="218"/>
        <v>TIJERA PARA TEJIDOS, CURVA 18 cms-METZENBAUM</v>
      </c>
      <c r="C4480" s="6">
        <v>57284.3</v>
      </c>
      <c r="D4480" s="5" t="s">
        <v>374</v>
      </c>
      <c r="E4480" s="5" t="str">
        <f t="shared" si="214"/>
        <v>DIANA SOFIA DIAZ CASTRO</v>
      </c>
      <c r="F4480" s="5"/>
      <c r="G4480" s="5"/>
    </row>
    <row r="4481" spans="1:7" ht="58.5" customHeight="1" x14ac:dyDescent="0.25">
      <c r="A4481" s="5" t="str">
        <f>"H0024818"</f>
        <v>H0024818</v>
      </c>
      <c r="B4481" s="5" t="str">
        <f t="shared" si="218"/>
        <v>TIJERA PARA TEJIDOS, CURVA 18 cms-METZENBAUM</v>
      </c>
      <c r="C4481" s="6">
        <v>57284.3</v>
      </c>
      <c r="D4481" s="5" t="s">
        <v>374</v>
      </c>
      <c r="E4481" s="5" t="str">
        <f t="shared" si="214"/>
        <v>DIANA SOFIA DIAZ CASTRO</v>
      </c>
      <c r="F4481" s="5"/>
      <c r="G4481" s="5"/>
    </row>
    <row r="4482" spans="1:7" ht="58.5" customHeight="1" x14ac:dyDescent="0.25">
      <c r="A4482" s="5" t="str">
        <f>"H0024819"</f>
        <v>H0024819</v>
      </c>
      <c r="B4482" s="5" t="str">
        <f t="shared" si="218"/>
        <v>TIJERA PARA TEJIDOS, CURVA 18 cms-METZENBAUM</v>
      </c>
      <c r="C4482" s="6">
        <v>57284.3</v>
      </c>
      <c r="D4482" s="5" t="s">
        <v>374</v>
      </c>
      <c r="E4482" s="5" t="str">
        <f t="shared" si="214"/>
        <v>DIANA SOFIA DIAZ CASTRO</v>
      </c>
      <c r="F4482" s="5"/>
      <c r="G4482" s="5"/>
    </row>
    <row r="4483" spans="1:7" ht="58.5" customHeight="1" x14ac:dyDescent="0.25">
      <c r="A4483" s="5" t="str">
        <f>"H0024820"</f>
        <v>H0024820</v>
      </c>
      <c r="B4483" s="5" t="str">
        <f t="shared" si="218"/>
        <v>TIJERA PARA TEJIDOS, CURVA 18 cms-METZENBAUM</v>
      </c>
      <c r="C4483" s="6">
        <v>57284.3</v>
      </c>
      <c r="D4483" s="5" t="s">
        <v>374</v>
      </c>
      <c r="E4483" s="5" t="str">
        <f t="shared" si="214"/>
        <v>DIANA SOFIA DIAZ CASTRO</v>
      </c>
      <c r="F4483" s="5"/>
      <c r="G4483" s="5"/>
    </row>
    <row r="4484" spans="1:7" ht="58.5" customHeight="1" x14ac:dyDescent="0.25">
      <c r="A4484" s="5" t="str">
        <f>"H0024821"</f>
        <v>H0024821</v>
      </c>
      <c r="B4484" s="5" t="str">
        <f t="shared" si="218"/>
        <v>TIJERA PARA TEJIDOS, CURVA 18 cms-METZENBAUM</v>
      </c>
      <c r="C4484" s="6">
        <v>57284.3</v>
      </c>
      <c r="D4484" s="5" t="s">
        <v>374</v>
      </c>
      <c r="E4484" s="5" t="str">
        <f t="shared" si="214"/>
        <v>DIANA SOFIA DIAZ CASTRO</v>
      </c>
      <c r="F4484" s="5"/>
      <c r="G4484" s="5"/>
    </row>
    <row r="4485" spans="1:7" ht="58.5" customHeight="1" x14ac:dyDescent="0.25">
      <c r="A4485" s="5" t="str">
        <f>"H0024822"</f>
        <v>H0024822</v>
      </c>
      <c r="B4485" s="5" t="str">
        <f t="shared" si="218"/>
        <v>TIJERA PARA TEJIDOS, CURVA 18 cms-METZENBAUM</v>
      </c>
      <c r="C4485" s="6">
        <v>57284.3</v>
      </c>
      <c r="D4485" s="5" t="s">
        <v>374</v>
      </c>
      <c r="E4485" s="5" t="str">
        <f t="shared" si="214"/>
        <v>DIANA SOFIA DIAZ CASTRO</v>
      </c>
      <c r="F4485" s="5"/>
      <c r="G4485" s="5"/>
    </row>
    <row r="4486" spans="1:7" ht="58.5" customHeight="1" x14ac:dyDescent="0.25">
      <c r="A4486" s="5" t="str">
        <f>"H0024823"</f>
        <v>H0024823</v>
      </c>
      <c r="B4486" s="5" t="str">
        <f t="shared" si="218"/>
        <v>TIJERA PARA TEJIDOS, CURVA 18 cms-METZENBAUM</v>
      </c>
      <c r="C4486" s="6">
        <v>57284.3</v>
      </c>
      <c r="D4486" s="5" t="s">
        <v>374</v>
      </c>
      <c r="E4486" s="5" t="str">
        <f t="shared" si="214"/>
        <v>DIANA SOFIA DIAZ CASTRO</v>
      </c>
      <c r="F4486" s="5"/>
      <c r="G4486" s="5"/>
    </row>
    <row r="4487" spans="1:7" ht="58.5" customHeight="1" x14ac:dyDescent="0.25">
      <c r="A4487" s="5" t="str">
        <f>"H0024831"</f>
        <v>H0024831</v>
      </c>
      <c r="B4487" s="5" t="str">
        <f t="shared" ref="B4487:B4493" si="219">"PINZA INSTESTINAL 5X6 DIENTES ALLIS"</f>
        <v>PINZA INSTESTINAL 5X6 DIENTES ALLIS</v>
      </c>
      <c r="C4487" s="6">
        <v>82947</v>
      </c>
      <c r="D4487" s="5" t="s">
        <v>376</v>
      </c>
      <c r="E4487" s="5" t="str">
        <f t="shared" si="214"/>
        <v>DIANA SOFIA DIAZ CASTRO</v>
      </c>
      <c r="F4487" s="5"/>
      <c r="G4487" s="5"/>
    </row>
    <row r="4488" spans="1:7" ht="58.5" customHeight="1" x14ac:dyDescent="0.25">
      <c r="A4488" s="5" t="str">
        <f>"H0024832"</f>
        <v>H0024832</v>
      </c>
      <c r="B4488" s="5" t="str">
        <f t="shared" si="219"/>
        <v>PINZA INSTESTINAL 5X6 DIENTES ALLIS</v>
      </c>
      <c r="C4488" s="6">
        <v>82947</v>
      </c>
      <c r="D4488" s="5" t="s">
        <v>376</v>
      </c>
      <c r="E4488" s="5" t="str">
        <f t="shared" si="214"/>
        <v>DIANA SOFIA DIAZ CASTRO</v>
      </c>
      <c r="F4488" s="5"/>
      <c r="G4488" s="5"/>
    </row>
    <row r="4489" spans="1:7" ht="58.5" customHeight="1" x14ac:dyDescent="0.25">
      <c r="A4489" s="5" t="str">
        <f>"H0024833"</f>
        <v>H0024833</v>
      </c>
      <c r="B4489" s="5" t="str">
        <f t="shared" si="219"/>
        <v>PINZA INSTESTINAL 5X6 DIENTES ALLIS</v>
      </c>
      <c r="C4489" s="6">
        <v>82947</v>
      </c>
      <c r="D4489" s="5" t="s">
        <v>376</v>
      </c>
      <c r="E4489" s="5" t="str">
        <f t="shared" si="214"/>
        <v>DIANA SOFIA DIAZ CASTRO</v>
      </c>
      <c r="F4489" s="5"/>
      <c r="G4489" s="5"/>
    </row>
    <row r="4490" spans="1:7" ht="58.5" customHeight="1" x14ac:dyDescent="0.25">
      <c r="A4490" s="5" t="str">
        <f>"H0024834"</f>
        <v>H0024834</v>
      </c>
      <c r="B4490" s="5" t="str">
        <f t="shared" si="219"/>
        <v>PINZA INSTESTINAL 5X6 DIENTES ALLIS</v>
      </c>
      <c r="C4490" s="6">
        <v>82947</v>
      </c>
      <c r="D4490" s="5" t="s">
        <v>376</v>
      </c>
      <c r="E4490" s="5" t="str">
        <f t="shared" si="214"/>
        <v>DIANA SOFIA DIAZ CASTRO</v>
      </c>
      <c r="F4490" s="5"/>
      <c r="G4490" s="5"/>
    </row>
    <row r="4491" spans="1:7" ht="58.5" customHeight="1" x14ac:dyDescent="0.25">
      <c r="A4491" s="5" t="str">
        <f>"H0024835"</f>
        <v>H0024835</v>
      </c>
      <c r="B4491" s="5" t="str">
        <f t="shared" si="219"/>
        <v>PINZA INSTESTINAL 5X6 DIENTES ALLIS</v>
      </c>
      <c r="C4491" s="6">
        <v>82947</v>
      </c>
      <c r="D4491" s="5" t="s">
        <v>376</v>
      </c>
      <c r="E4491" s="5" t="str">
        <f t="shared" si="214"/>
        <v>DIANA SOFIA DIAZ CASTRO</v>
      </c>
      <c r="F4491" s="5"/>
      <c r="G4491" s="5"/>
    </row>
    <row r="4492" spans="1:7" ht="58.5" customHeight="1" x14ac:dyDescent="0.25">
      <c r="A4492" s="5" t="str">
        <f>"H0024836"</f>
        <v>H0024836</v>
      </c>
      <c r="B4492" s="5" t="str">
        <f t="shared" si="219"/>
        <v>PINZA INSTESTINAL 5X6 DIENTES ALLIS</v>
      </c>
      <c r="C4492" s="6">
        <v>82947</v>
      </c>
      <c r="D4492" s="5" t="s">
        <v>376</v>
      </c>
      <c r="E4492" s="5" t="str">
        <f t="shared" si="214"/>
        <v>DIANA SOFIA DIAZ CASTRO</v>
      </c>
      <c r="F4492" s="5"/>
      <c r="G4492" s="5"/>
    </row>
    <row r="4493" spans="1:7" ht="58.5" customHeight="1" x14ac:dyDescent="0.25">
      <c r="A4493" s="5" t="str">
        <f>"H0024837"</f>
        <v>H0024837</v>
      </c>
      <c r="B4493" s="5" t="str">
        <f t="shared" si="219"/>
        <v>PINZA INSTESTINAL 5X6 DIENTES ALLIS</v>
      </c>
      <c r="C4493" s="6">
        <v>82947</v>
      </c>
      <c r="D4493" s="5" t="s">
        <v>376</v>
      </c>
      <c r="E4493" s="5" t="str">
        <f t="shared" si="214"/>
        <v>DIANA SOFIA DIAZ CASTRO</v>
      </c>
      <c r="F4493" s="5"/>
      <c r="G4493" s="5"/>
    </row>
    <row r="4494" spans="1:7" ht="58.5" customHeight="1" x14ac:dyDescent="0.25">
      <c r="A4494" s="5" t="str">
        <f>"H0024838"</f>
        <v>H0024838</v>
      </c>
      <c r="B4494" s="5" t="str">
        <f t="shared" ref="B4494:B4500" si="220">"PINZA UTERINA CURVA 26 cms.ESTRIADA CURACIÓN BOZEMANN"</f>
        <v>PINZA UTERINA CURVA 26 cms.ESTRIADA CURACIÓN BOZEMANN</v>
      </c>
      <c r="C4494" s="6">
        <v>84207.86</v>
      </c>
      <c r="D4494" s="5" t="s">
        <v>376</v>
      </c>
      <c r="E4494" s="5" t="str">
        <f t="shared" si="214"/>
        <v>DIANA SOFIA DIAZ CASTRO</v>
      </c>
      <c r="F4494" s="5"/>
      <c r="G4494" s="5"/>
    </row>
    <row r="4495" spans="1:7" ht="58.5" customHeight="1" x14ac:dyDescent="0.25">
      <c r="A4495" s="5" t="str">
        <f>"H0024839"</f>
        <v>H0024839</v>
      </c>
      <c r="B4495" s="5" t="str">
        <f t="shared" si="220"/>
        <v>PINZA UTERINA CURVA 26 cms.ESTRIADA CURACIÓN BOZEMANN</v>
      </c>
      <c r="C4495" s="6">
        <v>84207.86</v>
      </c>
      <c r="D4495" s="5" t="s">
        <v>376</v>
      </c>
      <c r="E4495" s="5" t="str">
        <f t="shared" si="214"/>
        <v>DIANA SOFIA DIAZ CASTRO</v>
      </c>
      <c r="F4495" s="5"/>
      <c r="G4495" s="5"/>
    </row>
    <row r="4496" spans="1:7" ht="58.5" customHeight="1" x14ac:dyDescent="0.25">
      <c r="A4496" s="5" t="str">
        <f>"H0024840"</f>
        <v>H0024840</v>
      </c>
      <c r="B4496" s="5" t="str">
        <f t="shared" si="220"/>
        <v>PINZA UTERINA CURVA 26 cms.ESTRIADA CURACIÓN BOZEMANN</v>
      </c>
      <c r="C4496" s="6">
        <v>84207.86</v>
      </c>
      <c r="D4496" s="5" t="s">
        <v>376</v>
      </c>
      <c r="E4496" s="5" t="str">
        <f t="shared" si="214"/>
        <v>DIANA SOFIA DIAZ CASTRO</v>
      </c>
      <c r="F4496" s="5"/>
      <c r="G4496" s="5"/>
    </row>
    <row r="4497" spans="1:7" ht="58.5" customHeight="1" x14ac:dyDescent="0.25">
      <c r="A4497" s="5" t="str">
        <f>"H0024841"</f>
        <v>H0024841</v>
      </c>
      <c r="B4497" s="5" t="str">
        <f t="shared" si="220"/>
        <v>PINZA UTERINA CURVA 26 cms.ESTRIADA CURACIÓN BOZEMANN</v>
      </c>
      <c r="C4497" s="6">
        <v>84207.86</v>
      </c>
      <c r="D4497" s="5" t="s">
        <v>376</v>
      </c>
      <c r="E4497" s="5" t="str">
        <f t="shared" si="214"/>
        <v>DIANA SOFIA DIAZ CASTRO</v>
      </c>
      <c r="F4497" s="5"/>
      <c r="G4497" s="5"/>
    </row>
    <row r="4498" spans="1:7" ht="58.5" customHeight="1" x14ac:dyDescent="0.25">
      <c r="A4498" s="5" t="str">
        <f>"H0024842"</f>
        <v>H0024842</v>
      </c>
      <c r="B4498" s="5" t="str">
        <f t="shared" si="220"/>
        <v>PINZA UTERINA CURVA 26 cms.ESTRIADA CURACIÓN BOZEMANN</v>
      </c>
      <c r="C4498" s="6">
        <v>84207.86</v>
      </c>
      <c r="D4498" s="5" t="s">
        <v>376</v>
      </c>
      <c r="E4498" s="5" t="str">
        <f t="shared" si="214"/>
        <v>DIANA SOFIA DIAZ CASTRO</v>
      </c>
      <c r="F4498" s="5"/>
      <c r="G4498" s="5"/>
    </row>
    <row r="4499" spans="1:7" ht="58.5" customHeight="1" x14ac:dyDescent="0.25">
      <c r="A4499" s="5" t="str">
        <f>"H0024843"</f>
        <v>H0024843</v>
      </c>
      <c r="B4499" s="5" t="str">
        <f t="shared" si="220"/>
        <v>PINZA UTERINA CURVA 26 cms.ESTRIADA CURACIÓN BOZEMANN</v>
      </c>
      <c r="C4499" s="6">
        <v>84207.86</v>
      </c>
      <c r="D4499" s="5" t="s">
        <v>376</v>
      </c>
      <c r="E4499" s="5" t="str">
        <f t="shared" si="214"/>
        <v>DIANA SOFIA DIAZ CASTRO</v>
      </c>
      <c r="F4499" s="5"/>
      <c r="G4499" s="5"/>
    </row>
    <row r="4500" spans="1:7" ht="58.5" customHeight="1" x14ac:dyDescent="0.25">
      <c r="A4500" s="5" t="str">
        <f>"H0024844"</f>
        <v>H0024844</v>
      </c>
      <c r="B4500" s="5" t="str">
        <f t="shared" si="220"/>
        <v>PINZA UTERINA CURVA 26 cms.ESTRIADA CURACIÓN BOZEMANN</v>
      </c>
      <c r="C4500" s="6">
        <v>84207.86</v>
      </c>
      <c r="D4500" s="5" t="s">
        <v>376</v>
      </c>
      <c r="E4500" s="5" t="str">
        <f t="shared" si="214"/>
        <v>DIANA SOFIA DIAZ CASTRO</v>
      </c>
      <c r="F4500" s="5"/>
      <c r="G4500" s="5"/>
    </row>
    <row r="4501" spans="1:7" ht="58.5" customHeight="1" x14ac:dyDescent="0.25">
      <c r="A4501" s="5" t="str">
        <f>"H0024845"</f>
        <v>H0024845</v>
      </c>
      <c r="B4501" s="5" t="str">
        <f t="shared" ref="B4501:B4507" si="221">"PINZA PARA FALSOS GERMENES érmenes, recta, fig 2.28 cms-WINTER"</f>
        <v>PINZA PARA FALSOS GERMENES érmenes, recta, fig 2.28 cms-WINTER</v>
      </c>
      <c r="C4501" s="6">
        <v>96351.86</v>
      </c>
      <c r="D4501" s="5" t="s">
        <v>376</v>
      </c>
      <c r="E4501" s="5" t="str">
        <f t="shared" si="214"/>
        <v>DIANA SOFIA DIAZ CASTRO</v>
      </c>
      <c r="F4501" s="5"/>
      <c r="G4501" s="5"/>
    </row>
    <row r="4502" spans="1:7" ht="58.5" customHeight="1" x14ac:dyDescent="0.25">
      <c r="A4502" s="5" t="str">
        <f>"H0024846"</f>
        <v>H0024846</v>
      </c>
      <c r="B4502" s="5" t="str">
        <f t="shared" si="221"/>
        <v>PINZA PARA FALSOS GERMENES érmenes, recta, fig 2.28 cms-WINTER</v>
      </c>
      <c r="C4502" s="6">
        <v>96351.86</v>
      </c>
      <c r="D4502" s="5" t="s">
        <v>376</v>
      </c>
      <c r="E4502" s="5" t="str">
        <f t="shared" si="214"/>
        <v>DIANA SOFIA DIAZ CASTRO</v>
      </c>
      <c r="F4502" s="5"/>
      <c r="G4502" s="5"/>
    </row>
    <row r="4503" spans="1:7" ht="58.5" customHeight="1" x14ac:dyDescent="0.25">
      <c r="A4503" s="5" t="str">
        <f>"H0024847"</f>
        <v>H0024847</v>
      </c>
      <c r="B4503" s="5" t="str">
        <f t="shared" si="221"/>
        <v>PINZA PARA FALSOS GERMENES érmenes, recta, fig 2.28 cms-WINTER</v>
      </c>
      <c r="C4503" s="6">
        <v>96351.86</v>
      </c>
      <c r="D4503" s="5" t="s">
        <v>376</v>
      </c>
      <c r="E4503" s="5" t="str">
        <f t="shared" si="214"/>
        <v>DIANA SOFIA DIAZ CASTRO</v>
      </c>
      <c r="F4503" s="5"/>
      <c r="G4503" s="5"/>
    </row>
    <row r="4504" spans="1:7" ht="58.5" customHeight="1" x14ac:dyDescent="0.25">
      <c r="A4504" s="5" t="str">
        <f>"H0024848"</f>
        <v>H0024848</v>
      </c>
      <c r="B4504" s="5" t="str">
        <f t="shared" si="221"/>
        <v>PINZA PARA FALSOS GERMENES érmenes, recta, fig 2.28 cms-WINTER</v>
      </c>
      <c r="C4504" s="6">
        <v>96351.86</v>
      </c>
      <c r="D4504" s="5" t="s">
        <v>376</v>
      </c>
      <c r="E4504" s="5" t="str">
        <f t="shared" si="214"/>
        <v>DIANA SOFIA DIAZ CASTRO</v>
      </c>
      <c r="F4504" s="5"/>
      <c r="G4504" s="5"/>
    </row>
    <row r="4505" spans="1:7" ht="58.5" customHeight="1" x14ac:dyDescent="0.25">
      <c r="A4505" s="5" t="str">
        <f>"H0024849"</f>
        <v>H0024849</v>
      </c>
      <c r="B4505" s="5" t="str">
        <f t="shared" si="221"/>
        <v>PINZA PARA FALSOS GERMENES érmenes, recta, fig 2.28 cms-WINTER</v>
      </c>
      <c r="C4505" s="6">
        <v>96351.86</v>
      </c>
      <c r="D4505" s="5" t="s">
        <v>376</v>
      </c>
      <c r="E4505" s="5" t="str">
        <f t="shared" si="214"/>
        <v>DIANA SOFIA DIAZ CASTRO</v>
      </c>
      <c r="F4505" s="5"/>
      <c r="G4505" s="5"/>
    </row>
    <row r="4506" spans="1:7" ht="58.5" customHeight="1" x14ac:dyDescent="0.25">
      <c r="A4506" s="5" t="str">
        <f>"H0024850"</f>
        <v>H0024850</v>
      </c>
      <c r="B4506" s="5" t="str">
        <f t="shared" si="221"/>
        <v>PINZA PARA FALSOS GERMENES érmenes, recta, fig 2.28 cms-WINTER</v>
      </c>
      <c r="C4506" s="6">
        <v>96351.86</v>
      </c>
      <c r="D4506" s="5" t="s">
        <v>376</v>
      </c>
      <c r="E4506" s="5" t="str">
        <f t="shared" si="214"/>
        <v>DIANA SOFIA DIAZ CASTRO</v>
      </c>
      <c r="F4506" s="5"/>
      <c r="G4506" s="5"/>
    </row>
    <row r="4507" spans="1:7" ht="58.5" customHeight="1" x14ac:dyDescent="0.25">
      <c r="A4507" s="5" t="str">
        <f>"H0024851"</f>
        <v>H0024851</v>
      </c>
      <c r="B4507" s="5" t="str">
        <f t="shared" si="221"/>
        <v>PINZA PARA FALSOS GERMENES érmenes, recta, fig 2.28 cms-WINTER</v>
      </c>
      <c r="C4507" s="6">
        <v>96351.86</v>
      </c>
      <c r="D4507" s="5" t="s">
        <v>376</v>
      </c>
      <c r="E4507" s="5" t="str">
        <f t="shared" si="214"/>
        <v>DIANA SOFIA DIAZ CASTRO</v>
      </c>
      <c r="F4507" s="5"/>
      <c r="G4507" s="5"/>
    </row>
    <row r="4508" spans="1:7" ht="58.5" customHeight="1" x14ac:dyDescent="0.25">
      <c r="A4508" s="5" t="str">
        <f>"H0024852"</f>
        <v>H0024852</v>
      </c>
      <c r="B4508" s="5" t="str">
        <f t="shared" ref="B4508:B4514" si="222">"PINZA PARA FALSOS GERMENES CURVA fig 3.28 cms-WINTER"</f>
        <v>PINZA PARA FALSOS GERMENES CURVA fig 3.28 cms-WINTER</v>
      </c>
      <c r="C4508" s="6">
        <v>125909.86</v>
      </c>
      <c r="D4508" s="5" t="s">
        <v>376</v>
      </c>
      <c r="E4508" s="5" t="str">
        <f t="shared" si="214"/>
        <v>DIANA SOFIA DIAZ CASTRO</v>
      </c>
      <c r="F4508" s="5"/>
      <c r="G4508" s="5"/>
    </row>
    <row r="4509" spans="1:7" ht="58.5" customHeight="1" x14ac:dyDescent="0.25">
      <c r="A4509" s="5" t="str">
        <f>"H0024853"</f>
        <v>H0024853</v>
      </c>
      <c r="B4509" s="5" t="str">
        <f t="shared" si="222"/>
        <v>PINZA PARA FALSOS GERMENES CURVA fig 3.28 cms-WINTER</v>
      </c>
      <c r="C4509" s="6">
        <v>125909.86</v>
      </c>
      <c r="D4509" s="5" t="s">
        <v>376</v>
      </c>
      <c r="E4509" s="5" t="str">
        <f t="shared" si="214"/>
        <v>DIANA SOFIA DIAZ CASTRO</v>
      </c>
      <c r="F4509" s="5"/>
      <c r="G4509" s="5"/>
    </row>
    <row r="4510" spans="1:7" ht="58.5" customHeight="1" x14ac:dyDescent="0.25">
      <c r="A4510" s="5" t="str">
        <f>"H0024854"</f>
        <v>H0024854</v>
      </c>
      <c r="B4510" s="5" t="str">
        <f t="shared" si="222"/>
        <v>PINZA PARA FALSOS GERMENES CURVA fig 3.28 cms-WINTER</v>
      </c>
      <c r="C4510" s="6">
        <v>125909.86</v>
      </c>
      <c r="D4510" s="5" t="s">
        <v>376</v>
      </c>
      <c r="E4510" s="5" t="str">
        <f t="shared" ref="E4510:E4573" si="223">"DIANA SOFIA DIAZ CASTRO"</f>
        <v>DIANA SOFIA DIAZ CASTRO</v>
      </c>
      <c r="F4510" s="5"/>
      <c r="G4510" s="5"/>
    </row>
    <row r="4511" spans="1:7" ht="58.5" customHeight="1" x14ac:dyDescent="0.25">
      <c r="A4511" s="5" t="str">
        <f>"H0024855"</f>
        <v>H0024855</v>
      </c>
      <c r="B4511" s="5" t="str">
        <f t="shared" si="222"/>
        <v>PINZA PARA FALSOS GERMENES CURVA fig 3.28 cms-WINTER</v>
      </c>
      <c r="C4511" s="6">
        <v>125909.86</v>
      </c>
      <c r="D4511" s="5" t="s">
        <v>376</v>
      </c>
      <c r="E4511" s="5" t="str">
        <f t="shared" si="223"/>
        <v>DIANA SOFIA DIAZ CASTRO</v>
      </c>
      <c r="F4511" s="5"/>
      <c r="G4511" s="5"/>
    </row>
    <row r="4512" spans="1:7" ht="58.5" customHeight="1" x14ac:dyDescent="0.25">
      <c r="A4512" s="5" t="str">
        <f>"H0024856"</f>
        <v>H0024856</v>
      </c>
      <c r="B4512" s="5" t="str">
        <f t="shared" si="222"/>
        <v>PINZA PARA FALSOS GERMENES CURVA fig 3.28 cms-WINTER</v>
      </c>
      <c r="C4512" s="6">
        <v>125909.86</v>
      </c>
      <c r="D4512" s="5" t="s">
        <v>376</v>
      </c>
      <c r="E4512" s="5" t="str">
        <f t="shared" si="223"/>
        <v>DIANA SOFIA DIAZ CASTRO</v>
      </c>
      <c r="F4512" s="5"/>
      <c r="G4512" s="5"/>
    </row>
    <row r="4513" spans="1:7" ht="58.5" customHeight="1" x14ac:dyDescent="0.25">
      <c r="A4513" s="5" t="str">
        <f>"H0024857"</f>
        <v>H0024857</v>
      </c>
      <c r="B4513" s="5" t="str">
        <f t="shared" si="222"/>
        <v>PINZA PARA FALSOS GERMENES CURVA fig 3.28 cms-WINTER</v>
      </c>
      <c r="C4513" s="6">
        <v>125909.86</v>
      </c>
      <c r="D4513" s="5" t="s">
        <v>376</v>
      </c>
      <c r="E4513" s="5" t="str">
        <f t="shared" si="223"/>
        <v>DIANA SOFIA DIAZ CASTRO</v>
      </c>
      <c r="F4513" s="5"/>
      <c r="G4513" s="5"/>
    </row>
    <row r="4514" spans="1:7" ht="58.5" customHeight="1" x14ac:dyDescent="0.25">
      <c r="A4514" s="5" t="str">
        <f>"H0024858"</f>
        <v>H0024858</v>
      </c>
      <c r="B4514" s="5" t="str">
        <f t="shared" si="222"/>
        <v>PINZA PARA FALSOS GERMENES CURVA fig 3.28 cms-WINTER</v>
      </c>
      <c r="C4514" s="6">
        <v>125909.86</v>
      </c>
      <c r="D4514" s="5" t="s">
        <v>376</v>
      </c>
      <c r="E4514" s="5" t="str">
        <f t="shared" si="223"/>
        <v>DIANA SOFIA DIAZ CASTRO</v>
      </c>
      <c r="F4514" s="5"/>
      <c r="G4514" s="5"/>
    </row>
    <row r="4515" spans="1:7" ht="58.5" customHeight="1" x14ac:dyDescent="0.25">
      <c r="A4515" s="5" t="str">
        <f>"H0024859"</f>
        <v>H0024859</v>
      </c>
      <c r="B4515" s="5" t="str">
        <f t="shared" ref="B4515:B4534" si="224">"PINZA HEMOSTATICA CURVA 22 cms-ROCHESTER-PEAN"</f>
        <v>PINZA HEMOSTATICA CURVA 22 cms-ROCHESTER-PEAN</v>
      </c>
      <c r="C4515" s="6">
        <v>66677.95</v>
      </c>
      <c r="D4515" s="5" t="s">
        <v>376</v>
      </c>
      <c r="E4515" s="5" t="str">
        <f t="shared" si="223"/>
        <v>DIANA SOFIA DIAZ CASTRO</v>
      </c>
      <c r="F4515" s="5"/>
      <c r="G4515" s="5"/>
    </row>
    <row r="4516" spans="1:7" ht="58.5" customHeight="1" x14ac:dyDescent="0.25">
      <c r="A4516" s="5" t="str">
        <f>"H0024860"</f>
        <v>H0024860</v>
      </c>
      <c r="B4516" s="5" t="str">
        <f t="shared" si="224"/>
        <v>PINZA HEMOSTATICA CURVA 22 cms-ROCHESTER-PEAN</v>
      </c>
      <c r="C4516" s="6">
        <v>66677.95</v>
      </c>
      <c r="D4516" s="5" t="s">
        <v>376</v>
      </c>
      <c r="E4516" s="5" t="str">
        <f t="shared" si="223"/>
        <v>DIANA SOFIA DIAZ CASTRO</v>
      </c>
      <c r="F4516" s="5"/>
      <c r="G4516" s="5"/>
    </row>
    <row r="4517" spans="1:7" ht="58.5" customHeight="1" x14ac:dyDescent="0.25">
      <c r="A4517" s="5" t="str">
        <f>"H0024861"</f>
        <v>H0024861</v>
      </c>
      <c r="B4517" s="5" t="str">
        <f t="shared" si="224"/>
        <v>PINZA HEMOSTATICA CURVA 22 cms-ROCHESTER-PEAN</v>
      </c>
      <c r="C4517" s="6">
        <v>66677.95</v>
      </c>
      <c r="D4517" s="5" t="s">
        <v>376</v>
      </c>
      <c r="E4517" s="5" t="str">
        <f t="shared" si="223"/>
        <v>DIANA SOFIA DIAZ CASTRO</v>
      </c>
      <c r="F4517" s="5"/>
      <c r="G4517" s="5"/>
    </row>
    <row r="4518" spans="1:7" ht="58.5" customHeight="1" x14ac:dyDescent="0.25">
      <c r="A4518" s="5" t="str">
        <f>"H0024862"</f>
        <v>H0024862</v>
      </c>
      <c r="B4518" s="5" t="str">
        <f t="shared" si="224"/>
        <v>PINZA HEMOSTATICA CURVA 22 cms-ROCHESTER-PEAN</v>
      </c>
      <c r="C4518" s="6">
        <v>66677.95</v>
      </c>
      <c r="D4518" s="5" t="s">
        <v>376</v>
      </c>
      <c r="E4518" s="5" t="str">
        <f t="shared" si="223"/>
        <v>DIANA SOFIA DIAZ CASTRO</v>
      </c>
      <c r="F4518" s="5"/>
      <c r="G4518" s="5"/>
    </row>
    <row r="4519" spans="1:7" ht="58.5" customHeight="1" x14ac:dyDescent="0.25">
      <c r="A4519" s="5" t="str">
        <f>"H0024863"</f>
        <v>H0024863</v>
      </c>
      <c r="B4519" s="5" t="str">
        <f t="shared" si="224"/>
        <v>PINZA HEMOSTATICA CURVA 22 cms-ROCHESTER-PEAN</v>
      </c>
      <c r="C4519" s="6">
        <v>66677.95</v>
      </c>
      <c r="D4519" s="5" t="s">
        <v>376</v>
      </c>
      <c r="E4519" s="5" t="str">
        <f t="shared" si="223"/>
        <v>DIANA SOFIA DIAZ CASTRO</v>
      </c>
      <c r="F4519" s="5"/>
      <c r="G4519" s="5"/>
    </row>
    <row r="4520" spans="1:7" ht="58.5" customHeight="1" x14ac:dyDescent="0.25">
      <c r="A4520" s="5" t="str">
        <f>"H0024864"</f>
        <v>H0024864</v>
      </c>
      <c r="B4520" s="5" t="str">
        <f t="shared" si="224"/>
        <v>PINZA HEMOSTATICA CURVA 22 cms-ROCHESTER-PEAN</v>
      </c>
      <c r="C4520" s="6">
        <v>66677.95</v>
      </c>
      <c r="D4520" s="5" t="s">
        <v>376</v>
      </c>
      <c r="E4520" s="5" t="str">
        <f t="shared" si="223"/>
        <v>DIANA SOFIA DIAZ CASTRO</v>
      </c>
      <c r="F4520" s="5"/>
      <c r="G4520" s="5"/>
    </row>
    <row r="4521" spans="1:7" ht="58.5" customHeight="1" x14ac:dyDescent="0.25">
      <c r="A4521" s="5" t="str">
        <f>"H0024865"</f>
        <v>H0024865</v>
      </c>
      <c r="B4521" s="5" t="str">
        <f t="shared" si="224"/>
        <v>PINZA HEMOSTATICA CURVA 22 cms-ROCHESTER-PEAN</v>
      </c>
      <c r="C4521" s="6">
        <v>66677.95</v>
      </c>
      <c r="D4521" s="5" t="s">
        <v>376</v>
      </c>
      <c r="E4521" s="5" t="str">
        <f t="shared" si="223"/>
        <v>DIANA SOFIA DIAZ CASTRO</v>
      </c>
      <c r="F4521" s="5"/>
      <c r="G4521" s="5"/>
    </row>
    <row r="4522" spans="1:7" ht="58.5" customHeight="1" x14ac:dyDescent="0.25">
      <c r="A4522" s="5" t="str">
        <f>"H0024866"</f>
        <v>H0024866</v>
      </c>
      <c r="B4522" s="5" t="str">
        <f t="shared" si="224"/>
        <v>PINZA HEMOSTATICA CURVA 22 cms-ROCHESTER-PEAN</v>
      </c>
      <c r="C4522" s="6">
        <v>66677.95</v>
      </c>
      <c r="D4522" s="5" t="s">
        <v>376</v>
      </c>
      <c r="E4522" s="5" t="str">
        <f t="shared" si="223"/>
        <v>DIANA SOFIA DIAZ CASTRO</v>
      </c>
      <c r="F4522" s="5"/>
      <c r="G4522" s="5"/>
    </row>
    <row r="4523" spans="1:7" ht="58.5" customHeight="1" x14ac:dyDescent="0.25">
      <c r="A4523" s="5" t="str">
        <f>"H0024867"</f>
        <v>H0024867</v>
      </c>
      <c r="B4523" s="5" t="str">
        <f t="shared" si="224"/>
        <v>PINZA HEMOSTATICA CURVA 22 cms-ROCHESTER-PEAN</v>
      </c>
      <c r="C4523" s="6">
        <v>66677.95</v>
      </c>
      <c r="D4523" s="5" t="s">
        <v>376</v>
      </c>
      <c r="E4523" s="5" t="str">
        <f t="shared" si="223"/>
        <v>DIANA SOFIA DIAZ CASTRO</v>
      </c>
      <c r="F4523" s="5"/>
      <c r="G4523" s="5"/>
    </row>
    <row r="4524" spans="1:7" ht="58.5" customHeight="1" x14ac:dyDescent="0.25">
      <c r="A4524" s="5" t="str">
        <f>"H0024868"</f>
        <v>H0024868</v>
      </c>
      <c r="B4524" s="5" t="str">
        <f t="shared" si="224"/>
        <v>PINZA HEMOSTATICA CURVA 22 cms-ROCHESTER-PEAN</v>
      </c>
      <c r="C4524" s="6">
        <v>66677.95</v>
      </c>
      <c r="D4524" s="5" t="s">
        <v>376</v>
      </c>
      <c r="E4524" s="5" t="str">
        <f t="shared" si="223"/>
        <v>DIANA SOFIA DIAZ CASTRO</v>
      </c>
      <c r="F4524" s="5"/>
      <c r="G4524" s="5"/>
    </row>
    <row r="4525" spans="1:7" ht="58.5" customHeight="1" x14ac:dyDescent="0.25">
      <c r="A4525" s="5" t="str">
        <f>"H0024869"</f>
        <v>H0024869</v>
      </c>
      <c r="B4525" s="5" t="str">
        <f t="shared" si="224"/>
        <v>PINZA HEMOSTATICA CURVA 22 cms-ROCHESTER-PEAN</v>
      </c>
      <c r="C4525" s="6">
        <v>66677.95</v>
      </c>
      <c r="D4525" s="5" t="s">
        <v>376</v>
      </c>
      <c r="E4525" s="5" t="str">
        <f t="shared" si="223"/>
        <v>DIANA SOFIA DIAZ CASTRO</v>
      </c>
      <c r="F4525" s="5"/>
      <c r="G4525" s="5"/>
    </row>
    <row r="4526" spans="1:7" ht="58.5" customHeight="1" x14ac:dyDescent="0.25">
      <c r="A4526" s="5" t="str">
        <f>"H0024870"</f>
        <v>H0024870</v>
      </c>
      <c r="B4526" s="5" t="str">
        <f t="shared" si="224"/>
        <v>PINZA HEMOSTATICA CURVA 22 cms-ROCHESTER-PEAN</v>
      </c>
      <c r="C4526" s="6">
        <v>66677.95</v>
      </c>
      <c r="D4526" s="5" t="s">
        <v>376</v>
      </c>
      <c r="E4526" s="5" t="str">
        <f t="shared" si="223"/>
        <v>DIANA SOFIA DIAZ CASTRO</v>
      </c>
      <c r="F4526" s="5"/>
      <c r="G4526" s="5"/>
    </row>
    <row r="4527" spans="1:7" ht="58.5" customHeight="1" x14ac:dyDescent="0.25">
      <c r="A4527" s="5" t="str">
        <f>"H0024871"</f>
        <v>H0024871</v>
      </c>
      <c r="B4527" s="5" t="str">
        <f t="shared" si="224"/>
        <v>PINZA HEMOSTATICA CURVA 22 cms-ROCHESTER-PEAN</v>
      </c>
      <c r="C4527" s="6">
        <v>66677.95</v>
      </c>
      <c r="D4527" s="5" t="s">
        <v>376</v>
      </c>
      <c r="E4527" s="5" t="str">
        <f t="shared" si="223"/>
        <v>DIANA SOFIA DIAZ CASTRO</v>
      </c>
      <c r="F4527" s="5"/>
      <c r="G4527" s="5"/>
    </row>
    <row r="4528" spans="1:7" ht="58.5" customHeight="1" x14ac:dyDescent="0.25">
      <c r="A4528" s="5" t="str">
        <f>"H0024872"</f>
        <v>H0024872</v>
      </c>
      <c r="B4528" s="5" t="str">
        <f t="shared" si="224"/>
        <v>PINZA HEMOSTATICA CURVA 22 cms-ROCHESTER-PEAN</v>
      </c>
      <c r="C4528" s="6">
        <v>66677.95</v>
      </c>
      <c r="D4528" s="5" t="s">
        <v>376</v>
      </c>
      <c r="E4528" s="5" t="str">
        <f t="shared" si="223"/>
        <v>DIANA SOFIA DIAZ CASTRO</v>
      </c>
      <c r="F4528" s="5"/>
      <c r="G4528" s="5"/>
    </row>
    <row r="4529" spans="1:7" ht="58.5" customHeight="1" x14ac:dyDescent="0.25">
      <c r="A4529" s="5" t="str">
        <f>"H0024873"</f>
        <v>H0024873</v>
      </c>
      <c r="B4529" s="5" t="str">
        <f t="shared" si="224"/>
        <v>PINZA HEMOSTATICA CURVA 22 cms-ROCHESTER-PEAN</v>
      </c>
      <c r="C4529" s="6">
        <v>66677.95</v>
      </c>
      <c r="D4529" s="5" t="s">
        <v>376</v>
      </c>
      <c r="E4529" s="5" t="str">
        <f t="shared" si="223"/>
        <v>DIANA SOFIA DIAZ CASTRO</v>
      </c>
      <c r="F4529" s="5"/>
      <c r="G4529" s="5"/>
    </row>
    <row r="4530" spans="1:7" ht="58.5" customHeight="1" x14ac:dyDescent="0.25">
      <c r="A4530" s="5" t="str">
        <f>"H0024874"</f>
        <v>H0024874</v>
      </c>
      <c r="B4530" s="5" t="str">
        <f t="shared" si="224"/>
        <v>PINZA HEMOSTATICA CURVA 22 cms-ROCHESTER-PEAN</v>
      </c>
      <c r="C4530" s="6">
        <v>66677.95</v>
      </c>
      <c r="D4530" s="5" t="s">
        <v>376</v>
      </c>
      <c r="E4530" s="5" t="str">
        <f t="shared" si="223"/>
        <v>DIANA SOFIA DIAZ CASTRO</v>
      </c>
      <c r="F4530" s="5"/>
      <c r="G4530" s="5"/>
    </row>
    <row r="4531" spans="1:7" ht="58.5" customHeight="1" x14ac:dyDescent="0.25">
      <c r="A4531" s="5" t="str">
        <f>"H0024875"</f>
        <v>H0024875</v>
      </c>
      <c r="B4531" s="5" t="str">
        <f t="shared" si="224"/>
        <v>PINZA HEMOSTATICA CURVA 22 cms-ROCHESTER-PEAN</v>
      </c>
      <c r="C4531" s="6">
        <v>66677.95</v>
      </c>
      <c r="D4531" s="5" t="s">
        <v>376</v>
      </c>
      <c r="E4531" s="5" t="str">
        <f t="shared" si="223"/>
        <v>DIANA SOFIA DIAZ CASTRO</v>
      </c>
      <c r="F4531" s="5"/>
      <c r="G4531" s="5"/>
    </row>
    <row r="4532" spans="1:7" ht="58.5" customHeight="1" x14ac:dyDescent="0.25">
      <c r="A4532" s="5" t="str">
        <f>"H0024876"</f>
        <v>H0024876</v>
      </c>
      <c r="B4532" s="5" t="str">
        <f t="shared" si="224"/>
        <v>PINZA HEMOSTATICA CURVA 22 cms-ROCHESTER-PEAN</v>
      </c>
      <c r="C4532" s="6">
        <v>66677.95</v>
      </c>
      <c r="D4532" s="5" t="s">
        <v>376</v>
      </c>
      <c r="E4532" s="5" t="str">
        <f t="shared" si="223"/>
        <v>DIANA SOFIA DIAZ CASTRO</v>
      </c>
      <c r="F4532" s="5"/>
      <c r="G4532" s="5"/>
    </row>
    <row r="4533" spans="1:7" ht="58.5" customHeight="1" x14ac:dyDescent="0.25">
      <c r="A4533" s="5" t="str">
        <f>"H0024877"</f>
        <v>H0024877</v>
      </c>
      <c r="B4533" s="5" t="str">
        <f t="shared" si="224"/>
        <v>PINZA HEMOSTATICA CURVA 22 cms-ROCHESTER-PEAN</v>
      </c>
      <c r="C4533" s="6">
        <v>66677.95</v>
      </c>
      <c r="D4533" s="5" t="s">
        <v>376</v>
      </c>
      <c r="E4533" s="5" t="str">
        <f t="shared" si="223"/>
        <v>DIANA SOFIA DIAZ CASTRO</v>
      </c>
      <c r="F4533" s="5"/>
      <c r="G4533" s="5"/>
    </row>
    <row r="4534" spans="1:7" ht="58.5" customHeight="1" x14ac:dyDescent="0.25">
      <c r="A4534" s="5" t="str">
        <f>"H0024878"</f>
        <v>H0024878</v>
      </c>
      <c r="B4534" s="5" t="str">
        <f t="shared" si="224"/>
        <v>PINZA HEMOSTATICA CURVA 22 cms-ROCHESTER-PEAN</v>
      </c>
      <c r="C4534" s="6">
        <v>66677.95</v>
      </c>
      <c r="D4534" s="5" t="s">
        <v>376</v>
      </c>
      <c r="E4534" s="5" t="str">
        <f t="shared" si="223"/>
        <v>DIANA SOFIA DIAZ CASTRO</v>
      </c>
      <c r="F4534" s="5"/>
      <c r="G4534" s="5"/>
    </row>
    <row r="4535" spans="1:7" ht="58.5" customHeight="1" x14ac:dyDescent="0.25">
      <c r="A4535" s="5" t="str">
        <f>"H0024879"</f>
        <v>H0024879</v>
      </c>
      <c r="B4535" s="5" t="str">
        <f t="shared" ref="B4535:B4541" si="225">"PINZA PARA BIOPSIA (ginecología)24 cms-THOMS-GAYLOR"</f>
        <v>PINZA PARA BIOPSIA (ginecología)24 cms-THOMS-GAYLOR</v>
      </c>
      <c r="C4535" s="6">
        <v>257777.57</v>
      </c>
      <c r="D4535" s="5" t="s">
        <v>376</v>
      </c>
      <c r="E4535" s="5" t="str">
        <f t="shared" si="223"/>
        <v>DIANA SOFIA DIAZ CASTRO</v>
      </c>
      <c r="F4535" s="5"/>
      <c r="G4535" s="5"/>
    </row>
    <row r="4536" spans="1:7" ht="58.5" customHeight="1" x14ac:dyDescent="0.25">
      <c r="A4536" s="5" t="str">
        <f>"H0024880"</f>
        <v>H0024880</v>
      </c>
      <c r="B4536" s="5" t="str">
        <f t="shared" si="225"/>
        <v>PINZA PARA BIOPSIA (ginecología)24 cms-THOMS-GAYLOR</v>
      </c>
      <c r="C4536" s="6">
        <v>257777.57</v>
      </c>
      <c r="D4536" s="5" t="s">
        <v>376</v>
      </c>
      <c r="E4536" s="5" t="str">
        <f t="shared" si="223"/>
        <v>DIANA SOFIA DIAZ CASTRO</v>
      </c>
      <c r="F4536" s="5"/>
      <c r="G4536" s="5"/>
    </row>
    <row r="4537" spans="1:7" ht="58.5" customHeight="1" x14ac:dyDescent="0.25">
      <c r="A4537" s="5" t="str">
        <f>"H0024881"</f>
        <v>H0024881</v>
      </c>
      <c r="B4537" s="5" t="str">
        <f t="shared" si="225"/>
        <v>PINZA PARA BIOPSIA (ginecología)24 cms-THOMS-GAYLOR</v>
      </c>
      <c r="C4537" s="6">
        <v>257777.57</v>
      </c>
      <c r="D4537" s="5" t="s">
        <v>376</v>
      </c>
      <c r="E4537" s="5" t="str">
        <f t="shared" si="223"/>
        <v>DIANA SOFIA DIAZ CASTRO</v>
      </c>
      <c r="F4537" s="5"/>
      <c r="G4537" s="5"/>
    </row>
    <row r="4538" spans="1:7" ht="58.5" customHeight="1" x14ac:dyDescent="0.25">
      <c r="A4538" s="5" t="str">
        <f>"H0024882"</f>
        <v>H0024882</v>
      </c>
      <c r="B4538" s="5" t="str">
        <f t="shared" si="225"/>
        <v>PINZA PARA BIOPSIA (ginecología)24 cms-THOMS-GAYLOR</v>
      </c>
      <c r="C4538" s="6">
        <v>257777.57</v>
      </c>
      <c r="D4538" s="5" t="s">
        <v>376</v>
      </c>
      <c r="E4538" s="5" t="str">
        <f t="shared" si="223"/>
        <v>DIANA SOFIA DIAZ CASTRO</v>
      </c>
      <c r="F4538" s="5"/>
      <c r="G4538" s="5"/>
    </row>
    <row r="4539" spans="1:7" ht="58.5" customHeight="1" x14ac:dyDescent="0.25">
      <c r="A4539" s="5" t="str">
        <f>"H0024883"</f>
        <v>H0024883</v>
      </c>
      <c r="B4539" s="5" t="str">
        <f t="shared" si="225"/>
        <v>PINZA PARA BIOPSIA (ginecología)24 cms-THOMS-GAYLOR</v>
      </c>
      <c r="C4539" s="6">
        <v>257777.57</v>
      </c>
      <c r="D4539" s="5" t="s">
        <v>376</v>
      </c>
      <c r="E4539" s="5" t="str">
        <f t="shared" si="223"/>
        <v>DIANA SOFIA DIAZ CASTRO</v>
      </c>
      <c r="F4539" s="5"/>
      <c r="G4539" s="5"/>
    </row>
    <row r="4540" spans="1:7" ht="58.5" customHeight="1" x14ac:dyDescent="0.25">
      <c r="A4540" s="5" t="str">
        <f>"H0024884"</f>
        <v>H0024884</v>
      </c>
      <c r="B4540" s="5" t="str">
        <f t="shared" si="225"/>
        <v>PINZA PARA BIOPSIA (ginecología)24 cms-THOMS-GAYLOR</v>
      </c>
      <c r="C4540" s="6">
        <v>257777.57</v>
      </c>
      <c r="D4540" s="5" t="s">
        <v>376</v>
      </c>
      <c r="E4540" s="5" t="str">
        <f t="shared" si="223"/>
        <v>DIANA SOFIA DIAZ CASTRO</v>
      </c>
      <c r="F4540" s="5"/>
      <c r="G4540" s="5"/>
    </row>
    <row r="4541" spans="1:7" ht="58.5" customHeight="1" x14ac:dyDescent="0.25">
      <c r="A4541" s="5" t="str">
        <f>"H0024885"</f>
        <v>H0024885</v>
      </c>
      <c r="B4541" s="5" t="str">
        <f t="shared" si="225"/>
        <v>PINZA PARA BIOPSIA (ginecología)24 cms-THOMS-GAYLOR</v>
      </c>
      <c r="C4541" s="6">
        <v>257777.57</v>
      </c>
      <c r="D4541" s="5" t="s">
        <v>376</v>
      </c>
      <c r="E4541" s="5" t="str">
        <f t="shared" si="223"/>
        <v>DIANA SOFIA DIAZ CASTRO</v>
      </c>
      <c r="F4541" s="5"/>
      <c r="G4541" s="5"/>
    </row>
    <row r="4542" spans="1:7" ht="58.5" customHeight="1" x14ac:dyDescent="0.25">
      <c r="A4542" s="5" t="str">
        <f>"H0024886"</f>
        <v>H0024886</v>
      </c>
      <c r="B4542" s="5" t="str">
        <f>"DILATADORES UTERINOS JUEGO DE 8 UNIDADES EN BOLSA DE LONA HEGAR"</f>
        <v>DILATADORES UTERINOS JUEGO DE 8 UNIDADES EN BOLSA DE LONA HEGAR</v>
      </c>
      <c r="C4542" s="6">
        <v>326862.5</v>
      </c>
      <c r="D4542" s="5" t="s">
        <v>376</v>
      </c>
      <c r="E4542" s="5" t="str">
        <f t="shared" si="223"/>
        <v>DIANA SOFIA DIAZ CASTRO</v>
      </c>
      <c r="F4542" s="5"/>
      <c r="G4542" s="5"/>
    </row>
    <row r="4543" spans="1:7" ht="58.5" customHeight="1" x14ac:dyDescent="0.25">
      <c r="A4543" s="5" t="str">
        <f>"H0024887"</f>
        <v>H0024887</v>
      </c>
      <c r="B4543" s="5" t="str">
        <f>"DILATADORES UTERINOS JUEGO DE 8 UNIDADES EN BOLSA DE LONA HEGAR"</f>
        <v>DILATADORES UTERINOS JUEGO DE 8 UNIDADES EN BOLSA DE LONA HEGAR</v>
      </c>
      <c r="C4543" s="6">
        <v>326862.5</v>
      </c>
      <c r="D4543" s="5" t="s">
        <v>376</v>
      </c>
      <c r="E4543" s="5" t="str">
        <f t="shared" si="223"/>
        <v>DIANA SOFIA DIAZ CASTRO</v>
      </c>
      <c r="F4543" s="5"/>
      <c r="G4543" s="5"/>
    </row>
    <row r="4544" spans="1:7" ht="58.5" customHeight="1" x14ac:dyDescent="0.25">
      <c r="A4544" s="5" t="str">
        <f>"H0024888"</f>
        <v>H0024888</v>
      </c>
      <c r="B4544" s="5" t="str">
        <f>"CONDUCTO-VESICAL Ch #14, METALICO PARA MUJER"</f>
        <v>CONDUCTO-VESICAL Ch #14, METALICO PARA MUJER</v>
      </c>
      <c r="C4544" s="6">
        <v>32078.5</v>
      </c>
      <c r="D4544" s="5" t="s">
        <v>376</v>
      </c>
      <c r="E4544" s="5" t="str">
        <f t="shared" si="223"/>
        <v>DIANA SOFIA DIAZ CASTRO</v>
      </c>
      <c r="F4544" s="5"/>
      <c r="G4544" s="5"/>
    </row>
    <row r="4545" spans="1:7" ht="58.5" customHeight="1" x14ac:dyDescent="0.25">
      <c r="A4545" s="5" t="str">
        <f>"H0024889"</f>
        <v>H0024889</v>
      </c>
      <c r="B4545" s="5" t="str">
        <f>"CONDUCTO-VESICAL Ch #14, METALICO PARA MUJER"</f>
        <v>CONDUCTO-VESICAL Ch #14, METALICO PARA MUJER</v>
      </c>
      <c r="C4545" s="6">
        <v>32078.5</v>
      </c>
      <c r="D4545" s="5" t="s">
        <v>376</v>
      </c>
      <c r="E4545" s="5" t="str">
        <f t="shared" si="223"/>
        <v>DIANA SOFIA DIAZ CASTRO</v>
      </c>
      <c r="F4545" s="5"/>
      <c r="G4545" s="5"/>
    </row>
    <row r="4546" spans="1:7" ht="58.5" customHeight="1" x14ac:dyDescent="0.25">
      <c r="A4546" s="5" t="str">
        <f>"H0024890"</f>
        <v>H0024890</v>
      </c>
      <c r="B4546" s="5" t="str">
        <f>"ESPECULO VAGINAL MEDIANO 115 X 35 mm-GRAVE"</f>
        <v>ESPECULO VAGINAL MEDIANO 115 X 35 mm-GRAVE</v>
      </c>
      <c r="C4546" s="6">
        <v>55450.5</v>
      </c>
      <c r="D4546" s="5" t="s">
        <v>376</v>
      </c>
      <c r="E4546" s="5" t="str">
        <f t="shared" si="223"/>
        <v>DIANA SOFIA DIAZ CASTRO</v>
      </c>
      <c r="F4546" s="5"/>
      <c r="G4546" s="5"/>
    </row>
    <row r="4547" spans="1:7" ht="58.5" customHeight="1" x14ac:dyDescent="0.25">
      <c r="A4547" s="5" t="str">
        <f>"H0024891"</f>
        <v>H0024891</v>
      </c>
      <c r="B4547" s="5" t="str">
        <f>"ESPECULO VAGINAL MEDIANO 115 X 35 mm-GRAVE"</f>
        <v>ESPECULO VAGINAL MEDIANO 115 X 35 mm-GRAVE</v>
      </c>
      <c r="C4547" s="6">
        <v>55450.5</v>
      </c>
      <c r="D4547" s="5" t="s">
        <v>376</v>
      </c>
      <c r="E4547" s="5" t="str">
        <f t="shared" si="223"/>
        <v>DIANA SOFIA DIAZ CASTRO</v>
      </c>
      <c r="F4547" s="5"/>
      <c r="G4547" s="5"/>
    </row>
    <row r="4548" spans="1:7" ht="58.5" customHeight="1" x14ac:dyDescent="0.25">
      <c r="A4548" s="5" t="str">
        <f>"H0024892"</f>
        <v>H0024892</v>
      </c>
      <c r="B4548" s="5" t="str">
        <f t="shared" ref="B4548:B4554" si="226">"HISTEROMETRO MALEABLE GRADUADO 32 cms-SIMS"</f>
        <v>HISTEROMETRO MALEABLE GRADUADO 32 cms-SIMS</v>
      </c>
      <c r="C4548" s="6">
        <v>42962.86</v>
      </c>
      <c r="D4548" s="5" t="s">
        <v>376</v>
      </c>
      <c r="E4548" s="5" t="str">
        <f t="shared" si="223"/>
        <v>DIANA SOFIA DIAZ CASTRO</v>
      </c>
      <c r="F4548" s="5"/>
      <c r="G4548" s="5"/>
    </row>
    <row r="4549" spans="1:7" ht="58.5" customHeight="1" x14ac:dyDescent="0.25">
      <c r="A4549" s="5" t="str">
        <f>"H0024893"</f>
        <v>H0024893</v>
      </c>
      <c r="B4549" s="5" t="str">
        <f t="shared" si="226"/>
        <v>HISTEROMETRO MALEABLE GRADUADO 32 cms-SIMS</v>
      </c>
      <c r="C4549" s="6">
        <v>42962.86</v>
      </c>
      <c r="D4549" s="5" t="s">
        <v>376</v>
      </c>
      <c r="E4549" s="5" t="str">
        <f t="shared" si="223"/>
        <v>DIANA SOFIA DIAZ CASTRO</v>
      </c>
      <c r="F4549" s="5"/>
      <c r="G4549" s="5"/>
    </row>
    <row r="4550" spans="1:7" ht="58.5" customHeight="1" x14ac:dyDescent="0.25">
      <c r="A4550" s="5" t="str">
        <f>"H0024894"</f>
        <v>H0024894</v>
      </c>
      <c r="B4550" s="5" t="str">
        <f t="shared" si="226"/>
        <v>HISTEROMETRO MALEABLE GRADUADO 32 cms-SIMS</v>
      </c>
      <c r="C4550" s="6">
        <v>42962.86</v>
      </c>
      <c r="D4550" s="5" t="s">
        <v>376</v>
      </c>
      <c r="E4550" s="5" t="str">
        <f t="shared" si="223"/>
        <v>DIANA SOFIA DIAZ CASTRO</v>
      </c>
      <c r="F4550" s="5"/>
      <c r="G4550" s="5"/>
    </row>
    <row r="4551" spans="1:7" ht="58.5" customHeight="1" x14ac:dyDescent="0.25">
      <c r="A4551" s="5" t="str">
        <f>"H0024895"</f>
        <v>H0024895</v>
      </c>
      <c r="B4551" s="5" t="str">
        <f t="shared" si="226"/>
        <v>HISTEROMETRO MALEABLE GRADUADO 32 cms-SIMS</v>
      </c>
      <c r="C4551" s="6">
        <v>42962.86</v>
      </c>
      <c r="D4551" s="5" t="s">
        <v>376</v>
      </c>
      <c r="E4551" s="5" t="str">
        <f t="shared" si="223"/>
        <v>DIANA SOFIA DIAZ CASTRO</v>
      </c>
      <c r="F4551" s="5"/>
      <c r="G4551" s="5"/>
    </row>
    <row r="4552" spans="1:7" ht="58.5" customHeight="1" x14ac:dyDescent="0.25">
      <c r="A4552" s="5" t="str">
        <f>"H0024896"</f>
        <v>H0024896</v>
      </c>
      <c r="B4552" s="5" t="str">
        <f t="shared" si="226"/>
        <v>HISTEROMETRO MALEABLE GRADUADO 32 cms-SIMS</v>
      </c>
      <c r="C4552" s="6">
        <v>42962.86</v>
      </c>
      <c r="D4552" s="5" t="s">
        <v>376</v>
      </c>
      <c r="E4552" s="5" t="str">
        <f t="shared" si="223"/>
        <v>DIANA SOFIA DIAZ CASTRO</v>
      </c>
      <c r="F4552" s="5"/>
      <c r="G4552" s="5"/>
    </row>
    <row r="4553" spans="1:7" ht="58.5" customHeight="1" x14ac:dyDescent="0.25">
      <c r="A4553" s="5" t="str">
        <f>"H0024897"</f>
        <v>H0024897</v>
      </c>
      <c r="B4553" s="5" t="str">
        <f t="shared" si="226"/>
        <v>HISTEROMETRO MALEABLE GRADUADO 32 cms-SIMS</v>
      </c>
      <c r="C4553" s="6">
        <v>42962.86</v>
      </c>
      <c r="D4553" s="5" t="s">
        <v>376</v>
      </c>
      <c r="E4553" s="5" t="str">
        <f t="shared" si="223"/>
        <v>DIANA SOFIA DIAZ CASTRO</v>
      </c>
      <c r="F4553" s="5"/>
      <c r="G4553" s="5"/>
    </row>
    <row r="4554" spans="1:7" ht="58.5" customHeight="1" x14ac:dyDescent="0.25">
      <c r="A4554" s="5" t="str">
        <f>"H0024898"</f>
        <v>H0024898</v>
      </c>
      <c r="B4554" s="5" t="str">
        <f t="shared" si="226"/>
        <v>HISTEROMETRO MALEABLE GRADUADO 32 cms-SIMS</v>
      </c>
      <c r="C4554" s="6">
        <v>42962.86</v>
      </c>
      <c r="D4554" s="5" t="s">
        <v>376</v>
      </c>
      <c r="E4554" s="5" t="str">
        <f t="shared" si="223"/>
        <v>DIANA SOFIA DIAZ CASTRO</v>
      </c>
      <c r="F4554" s="5"/>
      <c r="G4554" s="5"/>
    </row>
    <row r="4555" spans="1:7" ht="58.5" customHeight="1" x14ac:dyDescent="0.25">
      <c r="A4555" s="5" t="str">
        <f>"H0024899"</f>
        <v>H0024899</v>
      </c>
      <c r="B4555" s="5" t="str">
        <f>"CURETA PARA BIOPSIA 23cms, 4mm-NOVAK"</f>
        <v>CURETA PARA BIOPSIA 23cms, 4mm-NOVAK</v>
      </c>
      <c r="C4555" s="6">
        <v>63929</v>
      </c>
      <c r="D4555" s="5" t="s">
        <v>376</v>
      </c>
      <c r="E4555" s="5" t="str">
        <f t="shared" si="223"/>
        <v>DIANA SOFIA DIAZ CASTRO</v>
      </c>
      <c r="F4555" s="5"/>
      <c r="G4555" s="5"/>
    </row>
    <row r="4556" spans="1:7" ht="58.5" customHeight="1" x14ac:dyDescent="0.25">
      <c r="A4556" s="5" t="str">
        <f>"H0024900"</f>
        <v>H0024900</v>
      </c>
      <c r="B4556" s="5" t="str">
        <f>"CURETA PARA BIOPSIA 23cms, 4mm-NOVAK"</f>
        <v>CURETA PARA BIOPSIA 23cms, 4mm-NOVAK</v>
      </c>
      <c r="C4556" s="6">
        <v>63929</v>
      </c>
      <c r="D4556" s="5" t="s">
        <v>376</v>
      </c>
      <c r="E4556" s="5" t="str">
        <f t="shared" si="223"/>
        <v>DIANA SOFIA DIAZ CASTRO</v>
      </c>
      <c r="F4556" s="5"/>
      <c r="G4556" s="5"/>
    </row>
    <row r="4557" spans="1:7" ht="58.5" customHeight="1" x14ac:dyDescent="0.25">
      <c r="A4557" s="5" t="str">
        <f>"H0024901"</f>
        <v>H0024901</v>
      </c>
      <c r="B4557" s="5" t="str">
        <f t="shared" ref="B4557:B4563" si="227">"PINZA PARA COGER CUELLO UTERINO (TENACULO) RECTA-SCHOEDER"</f>
        <v>PINZA PARA COGER CUELLO UTERINO (TENACULO) RECTA-SCHOEDER</v>
      </c>
      <c r="C4557" s="6">
        <v>76072.86</v>
      </c>
      <c r="D4557" s="5" t="s">
        <v>376</v>
      </c>
      <c r="E4557" s="5" t="str">
        <f t="shared" si="223"/>
        <v>DIANA SOFIA DIAZ CASTRO</v>
      </c>
      <c r="F4557" s="5"/>
      <c r="G4557" s="5"/>
    </row>
    <row r="4558" spans="1:7" ht="58.5" customHeight="1" x14ac:dyDescent="0.25">
      <c r="A4558" s="5" t="str">
        <f>"H0024902"</f>
        <v>H0024902</v>
      </c>
      <c r="B4558" s="5" t="str">
        <f t="shared" si="227"/>
        <v>PINZA PARA COGER CUELLO UTERINO (TENACULO) RECTA-SCHOEDER</v>
      </c>
      <c r="C4558" s="6">
        <v>76072.86</v>
      </c>
      <c r="D4558" s="5" t="s">
        <v>376</v>
      </c>
      <c r="E4558" s="5" t="str">
        <f t="shared" si="223"/>
        <v>DIANA SOFIA DIAZ CASTRO</v>
      </c>
      <c r="F4558" s="5"/>
      <c r="G4558" s="5"/>
    </row>
    <row r="4559" spans="1:7" ht="58.5" customHeight="1" x14ac:dyDescent="0.25">
      <c r="A4559" s="5" t="str">
        <f>"H0024903"</f>
        <v>H0024903</v>
      </c>
      <c r="B4559" s="5" t="str">
        <f t="shared" si="227"/>
        <v>PINZA PARA COGER CUELLO UTERINO (TENACULO) RECTA-SCHOEDER</v>
      </c>
      <c r="C4559" s="6">
        <v>76072.86</v>
      </c>
      <c r="D4559" s="5" t="s">
        <v>376</v>
      </c>
      <c r="E4559" s="5" t="str">
        <f t="shared" si="223"/>
        <v>DIANA SOFIA DIAZ CASTRO</v>
      </c>
      <c r="F4559" s="5"/>
      <c r="G4559" s="5"/>
    </row>
    <row r="4560" spans="1:7" ht="58.5" customHeight="1" x14ac:dyDescent="0.25">
      <c r="A4560" s="5" t="str">
        <f>"H0024904"</f>
        <v>H0024904</v>
      </c>
      <c r="B4560" s="5" t="str">
        <f t="shared" si="227"/>
        <v>PINZA PARA COGER CUELLO UTERINO (TENACULO) RECTA-SCHOEDER</v>
      </c>
      <c r="C4560" s="6">
        <v>76072.86</v>
      </c>
      <c r="D4560" s="5" t="s">
        <v>376</v>
      </c>
      <c r="E4560" s="5" t="str">
        <f t="shared" si="223"/>
        <v>DIANA SOFIA DIAZ CASTRO</v>
      </c>
      <c r="F4560" s="5"/>
      <c r="G4560" s="5"/>
    </row>
    <row r="4561" spans="1:7" ht="58.5" customHeight="1" x14ac:dyDescent="0.25">
      <c r="A4561" s="5" t="str">
        <f>"H0024905"</f>
        <v>H0024905</v>
      </c>
      <c r="B4561" s="5" t="str">
        <f t="shared" si="227"/>
        <v>PINZA PARA COGER CUELLO UTERINO (TENACULO) RECTA-SCHOEDER</v>
      </c>
      <c r="C4561" s="6">
        <v>76072.86</v>
      </c>
      <c r="D4561" s="5" t="s">
        <v>376</v>
      </c>
      <c r="E4561" s="5" t="str">
        <f t="shared" si="223"/>
        <v>DIANA SOFIA DIAZ CASTRO</v>
      </c>
      <c r="F4561" s="5"/>
      <c r="G4561" s="5"/>
    </row>
    <row r="4562" spans="1:7" ht="58.5" customHeight="1" x14ac:dyDescent="0.25">
      <c r="A4562" s="5" t="str">
        <f>"H0024906"</f>
        <v>H0024906</v>
      </c>
      <c r="B4562" s="5" t="str">
        <f t="shared" si="227"/>
        <v>PINZA PARA COGER CUELLO UTERINO (TENACULO) RECTA-SCHOEDER</v>
      </c>
      <c r="C4562" s="6">
        <v>76072.86</v>
      </c>
      <c r="D4562" s="5" t="s">
        <v>376</v>
      </c>
      <c r="E4562" s="5" t="str">
        <f t="shared" si="223"/>
        <v>DIANA SOFIA DIAZ CASTRO</v>
      </c>
      <c r="F4562" s="5"/>
      <c r="G4562" s="5"/>
    </row>
    <row r="4563" spans="1:7" ht="58.5" customHeight="1" x14ac:dyDescent="0.25">
      <c r="A4563" s="5" t="str">
        <f>"H0024907"</f>
        <v>H0024907</v>
      </c>
      <c r="B4563" s="5" t="str">
        <f t="shared" si="227"/>
        <v>PINZA PARA COGER CUELLO UTERINO (TENACULO) RECTA-SCHOEDER</v>
      </c>
      <c r="C4563" s="6">
        <v>76072.86</v>
      </c>
      <c r="D4563" s="5" t="s">
        <v>376</v>
      </c>
      <c r="E4563" s="5" t="str">
        <f t="shared" si="223"/>
        <v>DIANA SOFIA DIAZ CASTRO</v>
      </c>
      <c r="F4563" s="5"/>
      <c r="G4563" s="5"/>
    </row>
    <row r="4564" spans="1:7" ht="58.5" customHeight="1" x14ac:dyDescent="0.25">
      <c r="A4564" s="5" t="str">
        <f>"H0024908"</f>
        <v>H0024908</v>
      </c>
      <c r="B4564" s="5" t="str">
        <f t="shared" ref="B4564:B4570" si="228">"PINZA PORTA-ESPONJA ESTRIADA, RECTA 25 cms FOERSTER"</f>
        <v>PINZA PORTA-ESPONJA ESTRIADA, RECTA 25 cms FOERSTER</v>
      </c>
      <c r="C4564" s="6">
        <v>77905.570000000007</v>
      </c>
      <c r="D4564" s="5" t="s">
        <v>376</v>
      </c>
      <c r="E4564" s="5" t="str">
        <f t="shared" si="223"/>
        <v>DIANA SOFIA DIAZ CASTRO</v>
      </c>
      <c r="F4564" s="5"/>
      <c r="G4564" s="5"/>
    </row>
    <row r="4565" spans="1:7" ht="58.5" customHeight="1" x14ac:dyDescent="0.25">
      <c r="A4565" s="5" t="str">
        <f>"H0024909"</f>
        <v>H0024909</v>
      </c>
      <c r="B4565" s="5" t="str">
        <f t="shared" si="228"/>
        <v>PINZA PORTA-ESPONJA ESTRIADA, RECTA 25 cms FOERSTER</v>
      </c>
      <c r="C4565" s="6">
        <v>77905.570000000007</v>
      </c>
      <c r="D4565" s="5" t="s">
        <v>376</v>
      </c>
      <c r="E4565" s="5" t="str">
        <f t="shared" si="223"/>
        <v>DIANA SOFIA DIAZ CASTRO</v>
      </c>
      <c r="F4565" s="5"/>
      <c r="G4565" s="5"/>
    </row>
    <row r="4566" spans="1:7" ht="58.5" customHeight="1" x14ac:dyDescent="0.25">
      <c r="A4566" s="5" t="str">
        <f>"H0024910"</f>
        <v>H0024910</v>
      </c>
      <c r="B4566" s="5" t="str">
        <f t="shared" si="228"/>
        <v>PINZA PORTA-ESPONJA ESTRIADA, RECTA 25 cms FOERSTER</v>
      </c>
      <c r="C4566" s="6">
        <v>77905.570000000007</v>
      </c>
      <c r="D4566" s="5" t="s">
        <v>376</v>
      </c>
      <c r="E4566" s="5" t="str">
        <f t="shared" si="223"/>
        <v>DIANA SOFIA DIAZ CASTRO</v>
      </c>
      <c r="F4566" s="5"/>
      <c r="G4566" s="5"/>
    </row>
    <row r="4567" spans="1:7" ht="58.5" customHeight="1" x14ac:dyDescent="0.25">
      <c r="A4567" s="5" t="str">
        <f>"H0024911"</f>
        <v>H0024911</v>
      </c>
      <c r="B4567" s="5" t="str">
        <f t="shared" si="228"/>
        <v>PINZA PORTA-ESPONJA ESTRIADA, RECTA 25 cms FOERSTER</v>
      </c>
      <c r="C4567" s="6">
        <v>77905.570000000007</v>
      </c>
      <c r="D4567" s="5" t="s">
        <v>376</v>
      </c>
      <c r="E4567" s="5" t="str">
        <f t="shared" si="223"/>
        <v>DIANA SOFIA DIAZ CASTRO</v>
      </c>
      <c r="F4567" s="5"/>
      <c r="G4567" s="5"/>
    </row>
    <row r="4568" spans="1:7" ht="58.5" customHeight="1" x14ac:dyDescent="0.25">
      <c r="A4568" s="5" t="str">
        <f>"H0024912"</f>
        <v>H0024912</v>
      </c>
      <c r="B4568" s="5" t="str">
        <f t="shared" si="228"/>
        <v>PINZA PORTA-ESPONJA ESTRIADA, RECTA 25 cms FOERSTER</v>
      </c>
      <c r="C4568" s="6">
        <v>77905.570000000007</v>
      </c>
      <c r="D4568" s="5" t="s">
        <v>376</v>
      </c>
      <c r="E4568" s="5" t="str">
        <f t="shared" si="223"/>
        <v>DIANA SOFIA DIAZ CASTRO</v>
      </c>
      <c r="F4568" s="5"/>
      <c r="G4568" s="5"/>
    </row>
    <row r="4569" spans="1:7" ht="58.5" customHeight="1" x14ac:dyDescent="0.25">
      <c r="A4569" s="5" t="str">
        <f>"H0024913"</f>
        <v>H0024913</v>
      </c>
      <c r="B4569" s="5" t="str">
        <f t="shared" si="228"/>
        <v>PINZA PORTA-ESPONJA ESTRIADA, RECTA 25 cms FOERSTER</v>
      </c>
      <c r="C4569" s="6">
        <v>77905.570000000007</v>
      </c>
      <c r="D4569" s="5" t="s">
        <v>376</v>
      </c>
      <c r="E4569" s="5" t="str">
        <f t="shared" si="223"/>
        <v>DIANA SOFIA DIAZ CASTRO</v>
      </c>
      <c r="F4569" s="5"/>
      <c r="G4569" s="5"/>
    </row>
    <row r="4570" spans="1:7" ht="58.5" customHeight="1" x14ac:dyDescent="0.25">
      <c r="A4570" s="5" t="str">
        <f>"H0024914"</f>
        <v>H0024914</v>
      </c>
      <c r="B4570" s="5" t="str">
        <f t="shared" si="228"/>
        <v>PINZA PORTA-ESPONJA ESTRIADA, RECTA 25 cms FOERSTER</v>
      </c>
      <c r="C4570" s="6">
        <v>77905.570000000007</v>
      </c>
      <c r="D4570" s="5" t="s">
        <v>376</v>
      </c>
      <c r="E4570" s="5" t="str">
        <f t="shared" si="223"/>
        <v>DIANA SOFIA DIAZ CASTRO</v>
      </c>
      <c r="F4570" s="5"/>
      <c r="G4570" s="5"/>
    </row>
    <row r="4571" spans="1:7" ht="58.5" customHeight="1" x14ac:dyDescent="0.25">
      <c r="A4571" s="5" t="str">
        <f>"H0024915"</f>
        <v>H0024915</v>
      </c>
      <c r="B4571" s="5" t="str">
        <f>"CURETA UTERINA COSTANTE 28 cms, fig.1 7m.m-SIMS"</f>
        <v>CURETA UTERINA COSTANTE 28 cms, fig.1 7m.m-SIMS</v>
      </c>
      <c r="C4571" s="6">
        <v>80771</v>
      </c>
      <c r="D4571" s="5" t="s">
        <v>376</v>
      </c>
      <c r="E4571" s="5" t="str">
        <f t="shared" si="223"/>
        <v>DIANA SOFIA DIAZ CASTRO</v>
      </c>
      <c r="F4571" s="5"/>
      <c r="G4571" s="5"/>
    </row>
    <row r="4572" spans="1:7" ht="58.5" customHeight="1" x14ac:dyDescent="0.25">
      <c r="A4572" s="5" t="str">
        <f>"H0024916"</f>
        <v>H0024916</v>
      </c>
      <c r="B4572" s="5" t="str">
        <f>"CURETA UTERINA COSTANTE 28 cms, fig.1 7m.m-SIMS"</f>
        <v>CURETA UTERINA COSTANTE 28 cms, fig.1 7m.m-SIMS</v>
      </c>
      <c r="C4572" s="6">
        <v>80771</v>
      </c>
      <c r="D4572" s="5" t="s">
        <v>376</v>
      </c>
      <c r="E4572" s="5" t="str">
        <f t="shared" si="223"/>
        <v>DIANA SOFIA DIAZ CASTRO</v>
      </c>
      <c r="F4572" s="5"/>
      <c r="G4572" s="5"/>
    </row>
    <row r="4573" spans="1:7" ht="58.5" customHeight="1" x14ac:dyDescent="0.25">
      <c r="A4573" s="5" t="str">
        <f>"H0024917"</f>
        <v>H0024917</v>
      </c>
      <c r="B4573" s="5" t="str">
        <f t="shared" ref="B4573:B4579" si="229">"CURETA UTERINA CORTANTE 28 cms, fig.2 8m.m-SIMS"</f>
        <v>CURETA UTERINA CORTANTE 28 cms, fig.2 8m.m-SIMS</v>
      </c>
      <c r="C4573" s="6">
        <v>80770.86</v>
      </c>
      <c r="D4573" s="5" t="s">
        <v>376</v>
      </c>
      <c r="E4573" s="5" t="str">
        <f t="shared" si="223"/>
        <v>DIANA SOFIA DIAZ CASTRO</v>
      </c>
      <c r="F4573" s="5"/>
      <c r="G4573" s="5"/>
    </row>
    <row r="4574" spans="1:7" ht="58.5" customHeight="1" x14ac:dyDescent="0.25">
      <c r="A4574" s="5" t="str">
        <f>"H0024918"</f>
        <v>H0024918</v>
      </c>
      <c r="B4574" s="5" t="str">
        <f t="shared" si="229"/>
        <v>CURETA UTERINA CORTANTE 28 cms, fig.2 8m.m-SIMS</v>
      </c>
      <c r="C4574" s="6">
        <v>80770.86</v>
      </c>
      <c r="D4574" s="5" t="s">
        <v>376</v>
      </c>
      <c r="E4574" s="5" t="str">
        <f t="shared" ref="E4574:E4607" si="230">"DIANA SOFIA DIAZ CASTRO"</f>
        <v>DIANA SOFIA DIAZ CASTRO</v>
      </c>
      <c r="F4574" s="5"/>
      <c r="G4574" s="5"/>
    </row>
    <row r="4575" spans="1:7" ht="58.5" customHeight="1" x14ac:dyDescent="0.25">
      <c r="A4575" s="5" t="str">
        <f>"H0024919"</f>
        <v>H0024919</v>
      </c>
      <c r="B4575" s="5" t="str">
        <f t="shared" si="229"/>
        <v>CURETA UTERINA CORTANTE 28 cms, fig.2 8m.m-SIMS</v>
      </c>
      <c r="C4575" s="6">
        <v>80770.86</v>
      </c>
      <c r="D4575" s="5" t="s">
        <v>376</v>
      </c>
      <c r="E4575" s="5" t="str">
        <f t="shared" si="230"/>
        <v>DIANA SOFIA DIAZ CASTRO</v>
      </c>
      <c r="F4575" s="5"/>
      <c r="G4575" s="5"/>
    </row>
    <row r="4576" spans="1:7" ht="58.5" customHeight="1" x14ac:dyDescent="0.25">
      <c r="A4576" s="5" t="str">
        <f>"H0024920"</f>
        <v>H0024920</v>
      </c>
      <c r="B4576" s="5" t="str">
        <f t="shared" si="229"/>
        <v>CURETA UTERINA CORTANTE 28 cms, fig.2 8m.m-SIMS</v>
      </c>
      <c r="C4576" s="6">
        <v>80770.86</v>
      </c>
      <c r="D4576" s="5" t="s">
        <v>376</v>
      </c>
      <c r="E4576" s="5" t="str">
        <f t="shared" si="230"/>
        <v>DIANA SOFIA DIAZ CASTRO</v>
      </c>
      <c r="F4576" s="5"/>
      <c r="G4576" s="5"/>
    </row>
    <row r="4577" spans="1:7" ht="58.5" customHeight="1" x14ac:dyDescent="0.25">
      <c r="A4577" s="5" t="str">
        <f>"H0024921"</f>
        <v>H0024921</v>
      </c>
      <c r="B4577" s="5" t="str">
        <f t="shared" si="229"/>
        <v>CURETA UTERINA CORTANTE 28 cms, fig.2 8m.m-SIMS</v>
      </c>
      <c r="C4577" s="6">
        <v>80770.86</v>
      </c>
      <c r="D4577" s="5" t="s">
        <v>377</v>
      </c>
      <c r="E4577" s="5" t="str">
        <f t="shared" si="230"/>
        <v>DIANA SOFIA DIAZ CASTRO</v>
      </c>
      <c r="F4577" s="5"/>
      <c r="G4577" s="5"/>
    </row>
    <row r="4578" spans="1:7" ht="58.5" customHeight="1" x14ac:dyDescent="0.25">
      <c r="A4578" s="5" t="str">
        <f>"H0024922"</f>
        <v>H0024922</v>
      </c>
      <c r="B4578" s="5" t="str">
        <f t="shared" si="229"/>
        <v>CURETA UTERINA CORTANTE 28 cms, fig.2 8m.m-SIMS</v>
      </c>
      <c r="C4578" s="6">
        <v>80770.86</v>
      </c>
      <c r="D4578" s="5" t="s">
        <v>376</v>
      </c>
      <c r="E4578" s="5" t="str">
        <f t="shared" si="230"/>
        <v>DIANA SOFIA DIAZ CASTRO</v>
      </c>
      <c r="F4578" s="5"/>
      <c r="G4578" s="5"/>
    </row>
    <row r="4579" spans="1:7" ht="58.5" customHeight="1" x14ac:dyDescent="0.25">
      <c r="A4579" s="5" t="str">
        <f>"H0024923"</f>
        <v>H0024923</v>
      </c>
      <c r="B4579" s="5" t="str">
        <f t="shared" si="229"/>
        <v>CURETA UTERINA CORTANTE 28 cms, fig.2 8m.m-SIMS</v>
      </c>
      <c r="C4579" s="6">
        <v>80770.86</v>
      </c>
      <c r="D4579" s="5" t="s">
        <v>376</v>
      </c>
      <c r="E4579" s="5" t="str">
        <f t="shared" si="230"/>
        <v>DIANA SOFIA DIAZ CASTRO</v>
      </c>
      <c r="F4579" s="5"/>
      <c r="G4579" s="5"/>
    </row>
    <row r="4580" spans="1:7" ht="58.5" customHeight="1" x14ac:dyDescent="0.25">
      <c r="A4580" s="5" t="str">
        <f>"H0024927"</f>
        <v>H0024927</v>
      </c>
      <c r="B4580" s="5" t="str">
        <f t="shared" ref="B4580:B4586" si="231">"CURETA UTERINA CORTANTE 28 cms, fig.2 9m.m-SIMS"</f>
        <v>CURETA UTERINA CORTANTE 28 cms, fig.2 9m.m-SIMS</v>
      </c>
      <c r="C4580" s="6">
        <v>80770.86</v>
      </c>
      <c r="D4580" s="5" t="s">
        <v>376</v>
      </c>
      <c r="E4580" s="5" t="str">
        <f t="shared" si="230"/>
        <v>DIANA SOFIA DIAZ CASTRO</v>
      </c>
      <c r="F4580" s="5"/>
      <c r="G4580" s="5"/>
    </row>
    <row r="4581" spans="1:7" ht="58.5" customHeight="1" x14ac:dyDescent="0.25">
      <c r="A4581" s="5" t="str">
        <f>"H0024928"</f>
        <v>H0024928</v>
      </c>
      <c r="B4581" s="5" t="str">
        <f t="shared" si="231"/>
        <v>CURETA UTERINA CORTANTE 28 cms, fig.2 9m.m-SIMS</v>
      </c>
      <c r="C4581" s="6">
        <v>80770.86</v>
      </c>
      <c r="D4581" s="5" t="s">
        <v>376</v>
      </c>
      <c r="E4581" s="5" t="str">
        <f t="shared" si="230"/>
        <v>DIANA SOFIA DIAZ CASTRO</v>
      </c>
      <c r="F4581" s="5"/>
      <c r="G4581" s="5"/>
    </row>
    <row r="4582" spans="1:7" ht="58.5" customHeight="1" x14ac:dyDescent="0.25">
      <c r="A4582" s="5" t="str">
        <f>"H0024929"</f>
        <v>H0024929</v>
      </c>
      <c r="B4582" s="5" t="str">
        <f t="shared" si="231"/>
        <v>CURETA UTERINA CORTANTE 28 cms, fig.2 9m.m-SIMS</v>
      </c>
      <c r="C4582" s="6">
        <v>80770.86</v>
      </c>
      <c r="D4582" s="5" t="s">
        <v>376</v>
      </c>
      <c r="E4582" s="5" t="str">
        <f t="shared" si="230"/>
        <v>DIANA SOFIA DIAZ CASTRO</v>
      </c>
      <c r="F4582" s="5"/>
      <c r="G4582" s="5"/>
    </row>
    <row r="4583" spans="1:7" ht="58.5" customHeight="1" x14ac:dyDescent="0.25">
      <c r="A4583" s="5" t="str">
        <f>"H0024930"</f>
        <v>H0024930</v>
      </c>
      <c r="B4583" s="5" t="str">
        <f t="shared" si="231"/>
        <v>CURETA UTERINA CORTANTE 28 cms, fig.2 9m.m-SIMS</v>
      </c>
      <c r="C4583" s="6">
        <v>80770.86</v>
      </c>
      <c r="D4583" s="5" t="s">
        <v>376</v>
      </c>
      <c r="E4583" s="5" t="str">
        <f t="shared" si="230"/>
        <v>DIANA SOFIA DIAZ CASTRO</v>
      </c>
      <c r="F4583" s="5"/>
      <c r="G4583" s="5"/>
    </row>
    <row r="4584" spans="1:7" ht="58.5" customHeight="1" x14ac:dyDescent="0.25">
      <c r="A4584" s="5" t="str">
        <f>"H0024931"</f>
        <v>H0024931</v>
      </c>
      <c r="B4584" s="5" t="str">
        <f t="shared" si="231"/>
        <v>CURETA UTERINA CORTANTE 28 cms, fig.2 9m.m-SIMS</v>
      </c>
      <c r="C4584" s="6">
        <v>80770.86</v>
      </c>
      <c r="D4584" s="5" t="s">
        <v>376</v>
      </c>
      <c r="E4584" s="5" t="str">
        <f t="shared" si="230"/>
        <v>DIANA SOFIA DIAZ CASTRO</v>
      </c>
      <c r="F4584" s="5"/>
      <c r="G4584" s="5"/>
    </row>
    <row r="4585" spans="1:7" ht="58.5" customHeight="1" x14ac:dyDescent="0.25">
      <c r="A4585" s="5" t="str">
        <f>"H0024932"</f>
        <v>H0024932</v>
      </c>
      <c r="B4585" s="5" t="str">
        <f t="shared" si="231"/>
        <v>CURETA UTERINA CORTANTE 28 cms, fig.2 9m.m-SIMS</v>
      </c>
      <c r="C4585" s="6">
        <v>80770.86</v>
      </c>
      <c r="D4585" s="5" t="s">
        <v>376</v>
      </c>
      <c r="E4585" s="5" t="str">
        <f t="shared" si="230"/>
        <v>DIANA SOFIA DIAZ CASTRO</v>
      </c>
      <c r="F4585" s="5"/>
      <c r="G4585" s="5"/>
    </row>
    <row r="4586" spans="1:7" ht="58.5" customHeight="1" x14ac:dyDescent="0.25">
      <c r="A4586" s="5" t="str">
        <f>"H0024933"</f>
        <v>H0024933</v>
      </c>
      <c r="B4586" s="5" t="str">
        <f t="shared" si="231"/>
        <v>CURETA UTERINA CORTANTE 28 cms, fig.2 9m.m-SIMS</v>
      </c>
      <c r="C4586" s="6">
        <v>80770.86</v>
      </c>
      <c r="D4586" s="5" t="s">
        <v>376</v>
      </c>
      <c r="E4586" s="5" t="str">
        <f t="shared" si="230"/>
        <v>DIANA SOFIA DIAZ CASTRO</v>
      </c>
      <c r="F4586" s="5"/>
      <c r="G4586" s="5"/>
    </row>
    <row r="4587" spans="1:7" ht="58.5" customHeight="1" x14ac:dyDescent="0.25">
      <c r="A4587" s="5" t="str">
        <f>"H0024934"</f>
        <v>H0024934</v>
      </c>
      <c r="B4587" s="5" t="str">
        <f t="shared" ref="B4587:B4593" si="232">"CURETA UTERINA CORTANTE 28 cms, fig.4 11 m.m-SIMS"</f>
        <v>CURETA UTERINA CORTANTE 28 cms, fig.4 11 m.m-SIMS</v>
      </c>
      <c r="C4587" s="6">
        <v>80770.86</v>
      </c>
      <c r="D4587" s="5" t="s">
        <v>376</v>
      </c>
      <c r="E4587" s="5" t="str">
        <f t="shared" si="230"/>
        <v>DIANA SOFIA DIAZ CASTRO</v>
      </c>
      <c r="F4587" s="5"/>
      <c r="G4587" s="5"/>
    </row>
    <row r="4588" spans="1:7" ht="58.5" customHeight="1" x14ac:dyDescent="0.25">
      <c r="A4588" s="5" t="str">
        <f>"H0024935"</f>
        <v>H0024935</v>
      </c>
      <c r="B4588" s="5" t="str">
        <f t="shared" si="232"/>
        <v>CURETA UTERINA CORTANTE 28 cms, fig.4 11 m.m-SIMS</v>
      </c>
      <c r="C4588" s="6">
        <v>80770.86</v>
      </c>
      <c r="D4588" s="5" t="s">
        <v>376</v>
      </c>
      <c r="E4588" s="5" t="str">
        <f t="shared" si="230"/>
        <v>DIANA SOFIA DIAZ CASTRO</v>
      </c>
      <c r="F4588" s="5"/>
      <c r="G4588" s="5"/>
    </row>
    <row r="4589" spans="1:7" ht="58.5" customHeight="1" x14ac:dyDescent="0.25">
      <c r="A4589" s="5" t="str">
        <f>"H0024936"</f>
        <v>H0024936</v>
      </c>
      <c r="B4589" s="5" t="str">
        <f t="shared" si="232"/>
        <v>CURETA UTERINA CORTANTE 28 cms, fig.4 11 m.m-SIMS</v>
      </c>
      <c r="C4589" s="6">
        <v>80770.86</v>
      </c>
      <c r="D4589" s="5" t="s">
        <v>376</v>
      </c>
      <c r="E4589" s="5" t="str">
        <f t="shared" si="230"/>
        <v>DIANA SOFIA DIAZ CASTRO</v>
      </c>
      <c r="F4589" s="5"/>
      <c r="G4589" s="5"/>
    </row>
    <row r="4590" spans="1:7" ht="58.5" customHeight="1" x14ac:dyDescent="0.25">
      <c r="A4590" s="5" t="str">
        <f>"H0024937"</f>
        <v>H0024937</v>
      </c>
      <c r="B4590" s="5" t="str">
        <f t="shared" si="232"/>
        <v>CURETA UTERINA CORTANTE 28 cms, fig.4 11 m.m-SIMS</v>
      </c>
      <c r="C4590" s="6">
        <v>80770.86</v>
      </c>
      <c r="D4590" s="5" t="s">
        <v>376</v>
      </c>
      <c r="E4590" s="5" t="str">
        <f t="shared" si="230"/>
        <v>DIANA SOFIA DIAZ CASTRO</v>
      </c>
      <c r="F4590" s="5"/>
      <c r="G4590" s="5"/>
    </row>
    <row r="4591" spans="1:7" ht="58.5" customHeight="1" x14ac:dyDescent="0.25">
      <c r="A4591" s="5" t="str">
        <f>"H0024938"</f>
        <v>H0024938</v>
      </c>
      <c r="B4591" s="5" t="str">
        <f t="shared" si="232"/>
        <v>CURETA UTERINA CORTANTE 28 cms, fig.4 11 m.m-SIMS</v>
      </c>
      <c r="C4591" s="6">
        <v>80770.86</v>
      </c>
      <c r="D4591" s="5" t="s">
        <v>376</v>
      </c>
      <c r="E4591" s="5" t="str">
        <f t="shared" si="230"/>
        <v>DIANA SOFIA DIAZ CASTRO</v>
      </c>
      <c r="F4591" s="5"/>
      <c r="G4591" s="5"/>
    </row>
    <row r="4592" spans="1:7" ht="58.5" customHeight="1" x14ac:dyDescent="0.25">
      <c r="A4592" s="5" t="str">
        <f>"H0024939"</f>
        <v>H0024939</v>
      </c>
      <c r="B4592" s="5" t="str">
        <f t="shared" si="232"/>
        <v>CURETA UTERINA CORTANTE 28 cms, fig.4 11 m.m-SIMS</v>
      </c>
      <c r="C4592" s="6">
        <v>80770.86</v>
      </c>
      <c r="D4592" s="5" t="s">
        <v>376</v>
      </c>
      <c r="E4592" s="5" t="str">
        <f t="shared" si="230"/>
        <v>DIANA SOFIA DIAZ CASTRO</v>
      </c>
      <c r="F4592" s="5"/>
      <c r="G4592" s="5"/>
    </row>
    <row r="4593" spans="1:7" ht="58.5" customHeight="1" x14ac:dyDescent="0.25">
      <c r="A4593" s="5" t="str">
        <f>"H0024940"</f>
        <v>H0024940</v>
      </c>
      <c r="B4593" s="5" t="str">
        <f t="shared" si="232"/>
        <v>CURETA UTERINA CORTANTE 28 cms, fig.4 11 m.m-SIMS</v>
      </c>
      <c r="C4593" s="6">
        <v>80770.86</v>
      </c>
      <c r="D4593" s="5" t="s">
        <v>376</v>
      </c>
      <c r="E4593" s="5" t="str">
        <f t="shared" si="230"/>
        <v>DIANA SOFIA DIAZ CASTRO</v>
      </c>
      <c r="F4593" s="5"/>
      <c r="G4593" s="5"/>
    </row>
    <row r="4594" spans="1:7" ht="58.5" customHeight="1" x14ac:dyDescent="0.25">
      <c r="A4594" s="5" t="str">
        <f>"H0025469"</f>
        <v>H0025469</v>
      </c>
      <c r="B4594" s="5" t="str">
        <f t="shared" ref="B4594:B4600" si="233">"CURETA UTERINA CORTANTE 28 cms, fig.5 12 m.m-SIMS"</f>
        <v>CURETA UTERINA CORTANTE 28 cms, fig.5 12 m.m-SIMS</v>
      </c>
      <c r="C4594" s="6">
        <v>80770.86</v>
      </c>
      <c r="D4594" s="5" t="s">
        <v>378</v>
      </c>
      <c r="E4594" s="5" t="str">
        <f t="shared" si="230"/>
        <v>DIANA SOFIA DIAZ CASTRO</v>
      </c>
      <c r="F4594" s="5"/>
      <c r="G4594" s="5"/>
    </row>
    <row r="4595" spans="1:7" ht="58.5" customHeight="1" x14ac:dyDescent="0.25">
      <c r="A4595" s="5" t="str">
        <f>"H0025470"</f>
        <v>H0025470</v>
      </c>
      <c r="B4595" s="5" t="str">
        <f t="shared" si="233"/>
        <v>CURETA UTERINA CORTANTE 28 cms, fig.5 12 m.m-SIMS</v>
      </c>
      <c r="C4595" s="6">
        <v>80770.86</v>
      </c>
      <c r="D4595" s="5" t="s">
        <v>379</v>
      </c>
      <c r="E4595" s="5" t="str">
        <f t="shared" si="230"/>
        <v>DIANA SOFIA DIAZ CASTRO</v>
      </c>
      <c r="F4595" s="5"/>
      <c r="G4595" s="5"/>
    </row>
    <row r="4596" spans="1:7" ht="58.5" customHeight="1" x14ac:dyDescent="0.25">
      <c r="A4596" s="5" t="str">
        <f>"H0025471"</f>
        <v>H0025471</v>
      </c>
      <c r="B4596" s="5" t="str">
        <f t="shared" si="233"/>
        <v>CURETA UTERINA CORTANTE 28 cms, fig.5 12 m.m-SIMS</v>
      </c>
      <c r="C4596" s="6">
        <v>80770.86</v>
      </c>
      <c r="D4596" s="5" t="s">
        <v>379</v>
      </c>
      <c r="E4596" s="5" t="str">
        <f t="shared" si="230"/>
        <v>DIANA SOFIA DIAZ CASTRO</v>
      </c>
      <c r="F4596" s="5"/>
      <c r="G4596" s="5"/>
    </row>
    <row r="4597" spans="1:7" ht="58.5" customHeight="1" x14ac:dyDescent="0.25">
      <c r="A4597" s="5" t="str">
        <f>"H0025472"</f>
        <v>H0025472</v>
      </c>
      <c r="B4597" s="5" t="str">
        <f t="shared" si="233"/>
        <v>CURETA UTERINA CORTANTE 28 cms, fig.5 12 m.m-SIMS</v>
      </c>
      <c r="C4597" s="6">
        <v>80770.86</v>
      </c>
      <c r="D4597" s="5" t="s">
        <v>379</v>
      </c>
      <c r="E4597" s="5" t="str">
        <f t="shared" si="230"/>
        <v>DIANA SOFIA DIAZ CASTRO</v>
      </c>
      <c r="F4597" s="5"/>
      <c r="G4597" s="5"/>
    </row>
    <row r="4598" spans="1:7" ht="58.5" customHeight="1" x14ac:dyDescent="0.25">
      <c r="A4598" s="5" t="str">
        <f>"H0025473"</f>
        <v>H0025473</v>
      </c>
      <c r="B4598" s="5" t="str">
        <f t="shared" si="233"/>
        <v>CURETA UTERINA CORTANTE 28 cms, fig.5 12 m.m-SIMS</v>
      </c>
      <c r="C4598" s="6">
        <v>80770.86</v>
      </c>
      <c r="D4598" s="5" t="s">
        <v>379</v>
      </c>
      <c r="E4598" s="5" t="str">
        <f t="shared" si="230"/>
        <v>DIANA SOFIA DIAZ CASTRO</v>
      </c>
      <c r="F4598" s="5"/>
      <c r="G4598" s="5"/>
    </row>
    <row r="4599" spans="1:7" ht="58.5" customHeight="1" x14ac:dyDescent="0.25">
      <c r="A4599" s="5" t="str">
        <f>"H0025474"</f>
        <v>H0025474</v>
      </c>
      <c r="B4599" s="5" t="str">
        <f t="shared" si="233"/>
        <v>CURETA UTERINA CORTANTE 28 cms, fig.5 12 m.m-SIMS</v>
      </c>
      <c r="C4599" s="6">
        <v>80770.86</v>
      </c>
      <c r="D4599" s="5" t="s">
        <v>379</v>
      </c>
      <c r="E4599" s="5" t="str">
        <f t="shared" si="230"/>
        <v>DIANA SOFIA DIAZ CASTRO</v>
      </c>
      <c r="F4599" s="5"/>
      <c r="G4599" s="5"/>
    </row>
    <row r="4600" spans="1:7" ht="58.5" customHeight="1" x14ac:dyDescent="0.25">
      <c r="A4600" s="5" t="str">
        <f>"H0025475"</f>
        <v>H0025475</v>
      </c>
      <c r="B4600" s="5" t="str">
        <f t="shared" si="233"/>
        <v>CURETA UTERINA CORTANTE 28 cms, fig.5 12 m.m-SIMS</v>
      </c>
      <c r="C4600" s="6">
        <v>80770.86</v>
      </c>
      <c r="D4600" s="5" t="s">
        <v>379</v>
      </c>
      <c r="E4600" s="5" t="str">
        <f t="shared" si="230"/>
        <v>DIANA SOFIA DIAZ CASTRO</v>
      </c>
      <c r="F4600" s="5"/>
      <c r="G4600" s="5"/>
    </row>
    <row r="4601" spans="1:7" ht="58.5" customHeight="1" x14ac:dyDescent="0.25">
      <c r="A4601" s="5" t="str">
        <f>"H0025476"</f>
        <v>H0025476</v>
      </c>
      <c r="B4601" s="5" t="str">
        <f t="shared" ref="B4601:B4607" si="234">"CURETA UTERINA CORTANTE 28 cms, fig.6 14 m.m-SIMS"</f>
        <v>CURETA UTERINA CORTANTE 28 cms, fig.6 14 m.m-SIMS</v>
      </c>
      <c r="C4601" s="6">
        <v>80770.86</v>
      </c>
      <c r="D4601" s="5" t="s">
        <v>380</v>
      </c>
      <c r="E4601" s="5" t="str">
        <f t="shared" si="230"/>
        <v>DIANA SOFIA DIAZ CASTRO</v>
      </c>
      <c r="F4601" s="5"/>
      <c r="G4601" s="5"/>
    </row>
    <row r="4602" spans="1:7" ht="58.5" customHeight="1" x14ac:dyDescent="0.25">
      <c r="A4602" s="5" t="str">
        <f>"H0025477"</f>
        <v>H0025477</v>
      </c>
      <c r="B4602" s="5" t="str">
        <f t="shared" si="234"/>
        <v>CURETA UTERINA CORTANTE 28 cms, fig.6 14 m.m-SIMS</v>
      </c>
      <c r="C4602" s="6">
        <v>80770.86</v>
      </c>
      <c r="D4602" s="5" t="s">
        <v>380</v>
      </c>
      <c r="E4602" s="5" t="str">
        <f t="shared" si="230"/>
        <v>DIANA SOFIA DIAZ CASTRO</v>
      </c>
      <c r="F4602" s="5"/>
      <c r="G4602" s="5"/>
    </row>
    <row r="4603" spans="1:7" ht="58.5" customHeight="1" x14ac:dyDescent="0.25">
      <c r="A4603" s="5" t="str">
        <f>"H0025478"</f>
        <v>H0025478</v>
      </c>
      <c r="B4603" s="5" t="str">
        <f t="shared" si="234"/>
        <v>CURETA UTERINA CORTANTE 28 cms, fig.6 14 m.m-SIMS</v>
      </c>
      <c r="C4603" s="6">
        <v>80770.86</v>
      </c>
      <c r="D4603" s="5" t="s">
        <v>380</v>
      </c>
      <c r="E4603" s="5" t="str">
        <f t="shared" si="230"/>
        <v>DIANA SOFIA DIAZ CASTRO</v>
      </c>
      <c r="F4603" s="5"/>
      <c r="G4603" s="5"/>
    </row>
    <row r="4604" spans="1:7" ht="58.5" customHeight="1" x14ac:dyDescent="0.25">
      <c r="A4604" s="5" t="str">
        <f>"H0025479"</f>
        <v>H0025479</v>
      </c>
      <c r="B4604" s="5" t="str">
        <f t="shared" si="234"/>
        <v>CURETA UTERINA CORTANTE 28 cms, fig.6 14 m.m-SIMS</v>
      </c>
      <c r="C4604" s="6">
        <v>80770.86</v>
      </c>
      <c r="D4604" s="5" t="s">
        <v>380</v>
      </c>
      <c r="E4604" s="5" t="str">
        <f t="shared" si="230"/>
        <v>DIANA SOFIA DIAZ CASTRO</v>
      </c>
      <c r="F4604" s="5"/>
      <c r="G4604" s="5"/>
    </row>
    <row r="4605" spans="1:7" ht="58.5" customHeight="1" x14ac:dyDescent="0.25">
      <c r="A4605" s="5" t="str">
        <f>"H0025480"</f>
        <v>H0025480</v>
      </c>
      <c r="B4605" s="5" t="str">
        <f t="shared" si="234"/>
        <v>CURETA UTERINA CORTANTE 28 cms, fig.6 14 m.m-SIMS</v>
      </c>
      <c r="C4605" s="6">
        <v>80770.86</v>
      </c>
      <c r="D4605" s="5" t="s">
        <v>380</v>
      </c>
      <c r="E4605" s="5" t="str">
        <f t="shared" si="230"/>
        <v>DIANA SOFIA DIAZ CASTRO</v>
      </c>
      <c r="F4605" s="5"/>
      <c r="G4605" s="5"/>
    </row>
    <row r="4606" spans="1:7" ht="58.5" customHeight="1" x14ac:dyDescent="0.25">
      <c r="A4606" s="5" t="str">
        <f>"H0025481"</f>
        <v>H0025481</v>
      </c>
      <c r="B4606" s="5" t="str">
        <f t="shared" si="234"/>
        <v>CURETA UTERINA CORTANTE 28 cms, fig.6 14 m.m-SIMS</v>
      </c>
      <c r="C4606" s="6">
        <v>80770.86</v>
      </c>
      <c r="D4606" s="5" t="s">
        <v>380</v>
      </c>
      <c r="E4606" s="5" t="str">
        <f t="shared" si="230"/>
        <v>DIANA SOFIA DIAZ CASTRO</v>
      </c>
      <c r="F4606" s="5"/>
      <c r="G4606" s="5"/>
    </row>
    <row r="4607" spans="1:7" ht="58.5" customHeight="1" x14ac:dyDescent="0.25">
      <c r="A4607" s="5" t="str">
        <f>"H0025482"</f>
        <v>H0025482</v>
      </c>
      <c r="B4607" s="5" t="str">
        <f t="shared" si="234"/>
        <v>CURETA UTERINA CORTANTE 28 cms, fig.6 14 m.m-SIMS</v>
      </c>
      <c r="C4607" s="6">
        <v>80770.86</v>
      </c>
      <c r="D4607" s="5" t="s">
        <v>380</v>
      </c>
      <c r="E4607" s="5" t="str">
        <f t="shared" si="230"/>
        <v>DIANA SOFIA DIAZ CASTRO</v>
      </c>
      <c r="F4607" s="5"/>
      <c r="G4607" s="5"/>
    </row>
    <row r="4608" spans="1:7" ht="58.5" customHeight="1" x14ac:dyDescent="0.25">
      <c r="A4608" s="5" t="str">
        <f>"B0005370"</f>
        <v>B0005370</v>
      </c>
      <c r="B4608" s="5" t="str">
        <f>"ESPECULO VAGINAL TALLA L (ENDOCERVICAL)"</f>
        <v>ESPECULO VAGINAL TALLA L (ENDOCERVICAL)</v>
      </c>
      <c r="C4608" s="6">
        <v>996.11</v>
      </c>
      <c r="D4608" s="5"/>
      <c r="E4608" s="5" t="str">
        <f t="shared" ref="E4608:E4671" si="235">"ESTERILIZACION-DIANA SOFIA DIAZ CASTRO"</f>
        <v>ESTERILIZACION-DIANA SOFIA DIAZ CASTRO</v>
      </c>
      <c r="F4608" s="5" t="str">
        <f>"Descripcion: ESPECULO GRANDE Y PEQUEÑO Estado: Bueno Placa anterior: 000013866 Material:  Color:  Referencia:  Observacion:  Placa padre: Tipo adquisicion: Entidad"</f>
        <v>Descripcion: ESPECULO GRANDE Y PEQUEÑO Estado: Bueno Placa anterior: 000013866 Material:  Color:  Referencia:  Observacion:  Placa padre: Tipo adquisicion: Entidad</v>
      </c>
      <c r="G4608" s="5"/>
    </row>
    <row r="4609" spans="1:7" ht="58.5" customHeight="1" x14ac:dyDescent="0.25">
      <c r="A4609" s="5" t="str">
        <f>"B0005371"</f>
        <v>B0005371</v>
      </c>
      <c r="B4609" s="5" t="str">
        <f>"ESPECULO VAGINAL TALLA L (ENDOCERVICAL)"</f>
        <v>ESPECULO VAGINAL TALLA L (ENDOCERVICAL)</v>
      </c>
      <c r="C4609" s="6">
        <v>996.11</v>
      </c>
      <c r="D4609" s="5"/>
      <c r="E4609" s="5" t="str">
        <f t="shared" si="235"/>
        <v>ESTERILIZACION-DIANA SOFIA DIAZ CASTRO</v>
      </c>
      <c r="F4609" s="5" t="str">
        <f>"Descripcion: ESPECULO GRANDE Y PEQUEÑO Estado: Bueno Placa anterior: 000013867 Material:  Color:  Referencia:  Observacion:  Placa padre: Tipo adquisicion: Entidad"</f>
        <v>Descripcion: ESPECULO GRANDE Y PEQUEÑO Estado: Bueno Placa anterior: 000013867 Material:  Color:  Referencia:  Observacion:  Placa padre: Tipo adquisicion: Entidad</v>
      </c>
      <c r="G4609" s="5"/>
    </row>
    <row r="4610" spans="1:7" ht="58.5" customHeight="1" x14ac:dyDescent="0.25">
      <c r="A4610" s="5" t="str">
        <f>"B0005372"</f>
        <v>B0005372</v>
      </c>
      <c r="B4610" s="5" t="str">
        <f>"ESPECULO VAGINAL TALLA L (ENDOCERVICAL)"</f>
        <v>ESPECULO VAGINAL TALLA L (ENDOCERVICAL)</v>
      </c>
      <c r="C4610" s="6">
        <v>996.11</v>
      </c>
      <c r="D4610" s="5"/>
      <c r="E4610" s="5" t="str">
        <f t="shared" si="235"/>
        <v>ESTERILIZACION-DIANA SOFIA DIAZ CASTRO</v>
      </c>
      <c r="F4610" s="5" t="str">
        <f>"Descripcion: ESPECULO GRANDE Y PEQUEÑO Estado: Bueno Placa anterior: 000013868 Material:  Color:  Referencia:  Observacion:  Placa padre: Tipo adquisicion: Entidad"</f>
        <v>Descripcion: ESPECULO GRANDE Y PEQUEÑO Estado: Bueno Placa anterior: 000013868 Material:  Color:  Referencia:  Observacion:  Placa padre: Tipo adquisicion: Entidad</v>
      </c>
      <c r="G4610" s="5"/>
    </row>
    <row r="4611" spans="1:7" ht="58.5" customHeight="1" x14ac:dyDescent="0.25">
      <c r="A4611" s="5" t="str">
        <f>"B0005373"</f>
        <v>B0005373</v>
      </c>
      <c r="B4611" s="5" t="str">
        <f>"ESPECULO VAGINAL TALLA L (ENDOCERVICAL)"</f>
        <v>ESPECULO VAGINAL TALLA L (ENDOCERVICAL)</v>
      </c>
      <c r="C4611" s="6">
        <v>996.11</v>
      </c>
      <c r="D4611" s="5"/>
      <c r="E4611" s="5" t="str">
        <f t="shared" si="235"/>
        <v>ESTERILIZACION-DIANA SOFIA DIAZ CASTRO</v>
      </c>
      <c r="F4611" s="5" t="str">
        <f>"Descripcion: ESPECULO GRANDE Y PEQUEÑO Estado: Bueno Placa anterior: 000013869 Material:  Color:  Referencia:  Observacion:  Placa padre: Tipo adquisicion: Entidad"</f>
        <v>Descripcion: ESPECULO GRANDE Y PEQUEÑO Estado: Bueno Placa anterior: 000013869 Material:  Color:  Referencia:  Observacion:  Placa padre: Tipo adquisicion: Entidad</v>
      </c>
      <c r="G4611" s="5"/>
    </row>
    <row r="4612" spans="1:7" ht="58.5" customHeight="1" x14ac:dyDescent="0.25">
      <c r="A4612" s="5" t="str">
        <f>"B0005374"</f>
        <v>B0005374</v>
      </c>
      <c r="B4612" s="5" t="str">
        <f>"ESPECULO VAGINAL TALLA L (ENDOCERVICAL)"</f>
        <v>ESPECULO VAGINAL TALLA L (ENDOCERVICAL)</v>
      </c>
      <c r="C4612" s="6">
        <v>996.11</v>
      </c>
      <c r="D4612" s="5"/>
      <c r="E4612" s="5" t="str">
        <f t="shared" si="235"/>
        <v>ESTERILIZACION-DIANA SOFIA DIAZ CASTRO</v>
      </c>
      <c r="F4612" s="5" t="str">
        <f>"Descripcion: ESPECULO GRANDE Y PEQUEÑO Estado: Bueno Placa anterior: 000013872 Material:  Color:  Referencia:  Observacion:  Placa padre: Tipo adquisicion: Entidad"</f>
        <v>Descripcion: ESPECULO GRANDE Y PEQUEÑO Estado: Bueno Placa anterior: 000013872 Material:  Color:  Referencia:  Observacion:  Placa padre: Tipo adquisicion: Entidad</v>
      </c>
      <c r="G4612" s="5"/>
    </row>
    <row r="4613" spans="1:7" ht="58.5" customHeight="1" x14ac:dyDescent="0.25">
      <c r="A4613" s="5" t="str">
        <f>"B0005375"</f>
        <v>B0005375</v>
      </c>
      <c r="B4613" s="5" t="str">
        <f>"ESPECULO VAGINAL TALLA M (ENDOCERVICAL)"</f>
        <v>ESPECULO VAGINAL TALLA M (ENDOCERVICAL)</v>
      </c>
      <c r="C4613" s="6">
        <v>996.11</v>
      </c>
      <c r="D4613" s="5"/>
      <c r="E4613" s="5" t="str">
        <f t="shared" si="235"/>
        <v>ESTERILIZACION-DIANA SOFIA DIAZ CASTRO</v>
      </c>
      <c r="F4613" s="5" t="str">
        <f>"Descripcion: ESPECULO GRANDE Y PEQUEÑO Estado: Bueno Placa anterior: 000013873 Material:  Color:  Referencia:  Observacion:  Placa padre: Tipo adquisicion: Entidad"</f>
        <v>Descripcion: ESPECULO GRANDE Y PEQUEÑO Estado: Bueno Placa anterior: 000013873 Material:  Color:  Referencia:  Observacion:  Placa padre: Tipo adquisicion: Entidad</v>
      </c>
      <c r="G4613" s="5"/>
    </row>
    <row r="4614" spans="1:7" ht="58.5" customHeight="1" x14ac:dyDescent="0.25">
      <c r="A4614" s="5" t="str">
        <f>"B0005376"</f>
        <v>B0005376</v>
      </c>
      <c r="B4614" s="5" t="str">
        <f>"ESPECULO VAGINAL TALLA M (ENDOCERVICAL)"</f>
        <v>ESPECULO VAGINAL TALLA M (ENDOCERVICAL)</v>
      </c>
      <c r="C4614" s="6">
        <v>996.11</v>
      </c>
      <c r="D4614" s="5"/>
      <c r="E4614" s="5" t="str">
        <f t="shared" si="235"/>
        <v>ESTERILIZACION-DIANA SOFIA DIAZ CASTRO</v>
      </c>
      <c r="F4614" s="5" t="str">
        <f>"Descripcion: ESPECULO GRANDE Y PEQUEÑO Estado: Bueno Placa anterior: 000013874 Material:  Color:  Referencia:  Observacion:  Placa padre: Tipo adquisicion: Entidad"</f>
        <v>Descripcion: ESPECULO GRANDE Y PEQUEÑO Estado: Bueno Placa anterior: 000013874 Material:  Color:  Referencia:  Observacion:  Placa padre: Tipo adquisicion: Entidad</v>
      </c>
      <c r="G4614" s="5"/>
    </row>
    <row r="4615" spans="1:7" ht="58.5" customHeight="1" x14ac:dyDescent="0.25">
      <c r="A4615" s="5" t="str">
        <f>"B0005377"</f>
        <v>B0005377</v>
      </c>
      <c r="B4615" s="5" t="str">
        <f>"ESPECULO VAGINAL TALLA M (ENDOCERVICAL)"</f>
        <v>ESPECULO VAGINAL TALLA M (ENDOCERVICAL)</v>
      </c>
      <c r="C4615" s="6">
        <v>996.11</v>
      </c>
      <c r="D4615" s="5"/>
      <c r="E4615" s="5" t="str">
        <f t="shared" si="235"/>
        <v>ESTERILIZACION-DIANA SOFIA DIAZ CASTRO</v>
      </c>
      <c r="F4615" s="5" t="str">
        <f>"Descripcion: ESPECULO GRANDE Y PEQUEÑO Estado: Bueno Placa anterior: 000013875 Material:  Color:  Referencia:  Observacion:  Placa padre: Tipo adquisicion: Entidad"</f>
        <v>Descripcion: ESPECULO GRANDE Y PEQUEÑO Estado: Bueno Placa anterior: 000013875 Material:  Color:  Referencia:  Observacion:  Placa padre: Tipo adquisicion: Entidad</v>
      </c>
      <c r="G4615" s="5"/>
    </row>
    <row r="4616" spans="1:7" ht="58.5" customHeight="1" x14ac:dyDescent="0.25">
      <c r="A4616" s="5" t="str">
        <f>"B0005378"</f>
        <v>B0005378</v>
      </c>
      <c r="B4616" s="5" t="str">
        <f>"ESPECULO VAGINAL TALLA M (ENDOCERVICAL)"</f>
        <v>ESPECULO VAGINAL TALLA M (ENDOCERVICAL)</v>
      </c>
      <c r="C4616" s="6">
        <v>996.11</v>
      </c>
      <c r="D4616" s="5"/>
      <c r="E4616" s="5" t="str">
        <f t="shared" si="235"/>
        <v>ESTERILIZACION-DIANA SOFIA DIAZ CASTRO</v>
      </c>
      <c r="F4616" s="5" t="str">
        <f>"Descripcion: ESPECULO GRANDE Y PEQUEÑO Estado: Bueno Placa anterior: 000013877 Material:  Color:  Referencia:  Observacion:  Placa padre: Tipo adquisicion: Entidad"</f>
        <v>Descripcion: ESPECULO GRANDE Y PEQUEÑO Estado: Bueno Placa anterior: 000013877 Material:  Color:  Referencia:  Observacion:  Placa padre: Tipo adquisicion: Entidad</v>
      </c>
      <c r="G4616" s="5"/>
    </row>
    <row r="4617" spans="1:7" ht="58.5" customHeight="1" x14ac:dyDescent="0.25">
      <c r="A4617" s="5" t="str">
        <f>"B0005379"</f>
        <v>B0005379</v>
      </c>
      <c r="B4617" s="5" t="str">
        <f>"ESPECULO VAGINAL TALLA M (ENDOCERVICAL)"</f>
        <v>ESPECULO VAGINAL TALLA M (ENDOCERVICAL)</v>
      </c>
      <c r="C4617" s="6">
        <v>996.11</v>
      </c>
      <c r="D4617" s="5"/>
      <c r="E4617" s="5" t="str">
        <f t="shared" si="235"/>
        <v>ESTERILIZACION-DIANA SOFIA DIAZ CASTRO</v>
      </c>
      <c r="F4617" s="5" t="str">
        <f>"Descripcion: ESPECULO GRANDE Y PEQUEÑO Estado: Bueno Placa anterior: 000013878 Material:  Color:  Referencia:  Observacion:  Placa padre: Tipo adquisicion: Entidad"</f>
        <v>Descripcion: ESPECULO GRANDE Y PEQUEÑO Estado: Bueno Placa anterior: 000013878 Material:  Color:  Referencia:  Observacion:  Placa padre: Tipo adquisicion: Entidad</v>
      </c>
      <c r="G4617" s="5"/>
    </row>
    <row r="4618" spans="1:7" ht="58.5" customHeight="1" x14ac:dyDescent="0.25">
      <c r="A4618" s="5" t="str">
        <f>"B0005380"</f>
        <v>B0005380</v>
      </c>
      <c r="B4618" s="5" t="str">
        <f>"ESPECULO VAGINAL TALLA S (ENDOCERVICAL)"</f>
        <v>ESPECULO VAGINAL TALLA S (ENDOCERVICAL)</v>
      </c>
      <c r="C4618" s="6">
        <v>996.11</v>
      </c>
      <c r="D4618" s="5"/>
      <c r="E4618" s="5" t="str">
        <f t="shared" si="235"/>
        <v>ESTERILIZACION-DIANA SOFIA DIAZ CASTRO</v>
      </c>
      <c r="F4618" s="5" t="str">
        <f>"Descripcion: ESPECULO GRANDE Y PEQUEÑO Estado: Bueno Placa anterior: 000013876 Material:  Color:  Referencia:  Observacion:  Placa padre: Tipo adquisicion: Entidad"</f>
        <v>Descripcion: ESPECULO GRANDE Y PEQUEÑO Estado: Bueno Placa anterior: 000013876 Material:  Color:  Referencia:  Observacion:  Placa padre: Tipo adquisicion: Entidad</v>
      </c>
      <c r="G4618" s="5"/>
    </row>
    <row r="4619" spans="1:7" ht="58.5" customHeight="1" x14ac:dyDescent="0.25">
      <c r="A4619" s="5" t="str">
        <f>"B0005381"</f>
        <v>B0005381</v>
      </c>
      <c r="B4619" s="5" t="str">
        <f>"PINZA CORAZON (COLLIN)"</f>
        <v>PINZA CORAZON (COLLIN)</v>
      </c>
      <c r="C4619" s="6">
        <v>5453.79</v>
      </c>
      <c r="D4619" s="5"/>
      <c r="E4619" s="5" t="str">
        <f t="shared" si="235"/>
        <v>ESTERILIZACION-DIANA SOFIA DIAZ CASTRO</v>
      </c>
      <c r="F4619" s="5" t="str">
        <f>"Descripcion: PINZA CORAZON Estado: Bueno Placa anterior: 000013905 Material:  Color:  Referencia:  Observacion:  Placa padre: Tipo adquisicion: Entidad"</f>
        <v>Descripcion: PINZA CORAZON Estado: Bueno Placa anterior: 000013905 Material:  Color:  Referencia:  Observacion:  Placa padre: Tipo adquisicion: Entidad</v>
      </c>
      <c r="G4619" s="5"/>
    </row>
    <row r="4620" spans="1:7" ht="58.5" customHeight="1" x14ac:dyDescent="0.25">
      <c r="A4620" s="5" t="str">
        <f>"B0005383"</f>
        <v>B0005383</v>
      </c>
      <c r="B4620" s="5" t="str">
        <f>"PINZA CORAZON (COLLIN)"</f>
        <v>PINZA CORAZON (COLLIN)</v>
      </c>
      <c r="C4620" s="6">
        <v>5453.79</v>
      </c>
      <c r="D4620" s="5"/>
      <c r="E4620" s="5" t="str">
        <f t="shared" si="235"/>
        <v>ESTERILIZACION-DIANA SOFIA DIAZ CASTRO</v>
      </c>
      <c r="F4620" s="5" t="str">
        <f>"Descripcion: PINZA CORAZON Estado: Bueno Placa anterior: 000013906 Material:  Color:  Referencia:  Observacion:  Placa padre: Tipo adquisicion: Entidad"</f>
        <v>Descripcion: PINZA CORAZON Estado: Bueno Placa anterior: 000013906 Material:  Color:  Referencia:  Observacion:  Placa padre: Tipo adquisicion: Entidad</v>
      </c>
      <c r="G4620" s="5"/>
    </row>
    <row r="4621" spans="1:7" ht="58.5" customHeight="1" x14ac:dyDescent="0.25">
      <c r="A4621" s="5" t="str">
        <f>"B0005384"</f>
        <v>B0005384</v>
      </c>
      <c r="B4621" s="5" t="str">
        <f>"ESPATULA VELASCO (PAR)"</f>
        <v>ESPATULA VELASCO (PAR)</v>
      </c>
      <c r="C4621" s="6">
        <v>14560</v>
      </c>
      <c r="D4621" s="5"/>
      <c r="E4621" s="5" t="str">
        <f t="shared" si="235"/>
        <v>ESTERILIZACION-DIANA SOFIA DIAZ CASTRO</v>
      </c>
      <c r="F4621" s="5" t="str">
        <f>"Descripcion: ESPATULA DE VELASCO Estado: Bueno Placa anterior: 000013843 Material:  Color:  Referencia:  Observacion:  Placa padre: Tipo adquisicion: Entidad"</f>
        <v>Descripcion: ESPATULA DE VELASCO Estado: Bueno Placa anterior: 000013843 Material:  Color:  Referencia:  Observacion:  Placa padre: Tipo adquisicion: Entidad</v>
      </c>
      <c r="G4621" s="5"/>
    </row>
    <row r="4622" spans="1:7" ht="58.5" customHeight="1" x14ac:dyDescent="0.25">
      <c r="A4622" s="5" t="str">
        <f>"B0005385"</f>
        <v>B0005385</v>
      </c>
      <c r="B4622" s="5" t="str">
        <f>"ESPATULA VELASCO (PAR)"</f>
        <v>ESPATULA VELASCO (PAR)</v>
      </c>
      <c r="C4622" s="6">
        <v>14560</v>
      </c>
      <c r="D4622" s="5"/>
      <c r="E4622" s="5" t="str">
        <f t="shared" si="235"/>
        <v>ESTERILIZACION-DIANA SOFIA DIAZ CASTRO</v>
      </c>
      <c r="F4622" s="5" t="str">
        <f>"Descripcion: ESPATULA DE VELASCO Estado: Bueno Placa anterior: 000013844 Material:  Color:  Referencia:  Observacion:  Placa padre: Tipo adquisicion: Entidad"</f>
        <v>Descripcion: ESPATULA DE VELASCO Estado: Bueno Placa anterior: 000013844 Material:  Color:  Referencia:  Observacion:  Placa padre: Tipo adquisicion: Entidad</v>
      </c>
      <c r="G4622" s="5"/>
    </row>
    <row r="4623" spans="1:7" ht="58.5" customHeight="1" x14ac:dyDescent="0.25">
      <c r="A4623" s="5" t="str">
        <f>"B0005386"</f>
        <v>B0005386</v>
      </c>
      <c r="B4623" s="5" t="str">
        <f>"PINZA PARA BIOPSIA - CANULA"</f>
        <v>PINZA PARA BIOPSIA - CANULA</v>
      </c>
      <c r="C4623" s="6">
        <v>221.43</v>
      </c>
      <c r="D4623" s="5"/>
      <c r="E4623" s="5" t="str">
        <f t="shared" si="235"/>
        <v>ESTERILIZACION-DIANA SOFIA DIAZ CASTRO</v>
      </c>
      <c r="F4623" s="5" t="str">
        <f>"Descripcion: PINZA PARA BIOPSIA Estado: Bueno Placa anterior: 000015494 Material:  Color:  Referencia:  Observacion:  Placa padre: Tipo adquisicion: Entidad"</f>
        <v>Descripcion: PINZA PARA BIOPSIA Estado: Bueno Placa anterior: 000015494 Material:  Color:  Referencia:  Observacion:  Placa padre: Tipo adquisicion: Entidad</v>
      </c>
      <c r="G4623" s="5"/>
    </row>
    <row r="4624" spans="1:7" ht="58.5" customHeight="1" x14ac:dyDescent="0.25">
      <c r="A4624" s="5" t="str">
        <f>"B0005387"</f>
        <v>B0005387</v>
      </c>
      <c r="B4624" s="5" t="str">
        <f>"PINZA PARA BIOPSIA - CANULA"</f>
        <v>PINZA PARA BIOPSIA - CANULA</v>
      </c>
      <c r="C4624" s="6">
        <v>221.43</v>
      </c>
      <c r="D4624" s="5"/>
      <c r="E4624" s="5" t="str">
        <f t="shared" si="235"/>
        <v>ESTERILIZACION-DIANA SOFIA DIAZ CASTRO</v>
      </c>
      <c r="F4624" s="5" t="str">
        <f>"Descripcion: PINZA PARA BIOPSIA Estado: Bueno Placa anterior: 000015495 Material:  Color:  Referencia:  Observacion:  Placa padre: Tipo adquisicion: Entidad"</f>
        <v>Descripcion: PINZA PARA BIOPSIA Estado: Bueno Placa anterior: 000015495 Material:  Color:  Referencia:  Observacion:  Placa padre: Tipo adquisicion: Entidad</v>
      </c>
      <c r="G4624" s="5"/>
    </row>
    <row r="4625" spans="1:7" ht="58.5" customHeight="1" x14ac:dyDescent="0.25">
      <c r="A4625" s="5" t="str">
        <f>"B0005388"</f>
        <v>B0005388</v>
      </c>
      <c r="B4625" s="5" t="str">
        <f>"FORCEPS 150"</f>
        <v>FORCEPS 150</v>
      </c>
      <c r="C4625" s="6">
        <v>17500</v>
      </c>
      <c r="D4625" s="5"/>
      <c r="E4625" s="5" t="str">
        <f t="shared" si="235"/>
        <v>ESTERILIZACION-DIANA SOFIA DIAZ CASTRO</v>
      </c>
      <c r="F4625" s="5" t="str">
        <f>"Descripcion: FORCEPS X 2 UNIDADES Estado: Bueno Placa anterior: 000014073 Material:  Color:  Referencia:  Observacion:  Placa padre: Tipo adquisicion: Entidad"</f>
        <v>Descripcion: FORCEPS X 2 UNIDADES Estado: Bueno Placa anterior: 000014073 Material:  Color:  Referencia:  Observacion:  Placa padre: Tipo adquisicion: Entidad</v>
      </c>
      <c r="G4625" s="5"/>
    </row>
    <row r="4626" spans="1:7" ht="58.5" customHeight="1" x14ac:dyDescent="0.25">
      <c r="A4626" s="5" t="str">
        <f>"B0005389"</f>
        <v>B0005389</v>
      </c>
      <c r="B4626" s="5" t="str">
        <f>"PINZA PARA BIOPSIA - CANULA"</f>
        <v>PINZA PARA BIOPSIA - CANULA</v>
      </c>
      <c r="C4626" s="6">
        <v>11143.75</v>
      </c>
      <c r="D4626" s="5"/>
      <c r="E4626" s="5" t="str">
        <f t="shared" si="235"/>
        <v>ESTERILIZACION-DIANA SOFIA DIAZ CASTRO</v>
      </c>
      <c r="F4626" s="5" t="str">
        <f>"Descripcion: PINZA DE FALSOS GERMENES Estado: Bueno Placa anterior: 000015499 Material:  Color:  Referencia:  Observacion:  Placa padre: Tipo adquisicion: Entidad"</f>
        <v>Descripcion: PINZA DE FALSOS GERMENES Estado: Bueno Placa anterior: 000015499 Material:  Color:  Referencia:  Observacion:  Placa padre: Tipo adquisicion: Entidad</v>
      </c>
      <c r="G4626" s="5"/>
    </row>
    <row r="4627" spans="1:7" ht="58.5" customHeight="1" x14ac:dyDescent="0.25">
      <c r="A4627" s="5" t="str">
        <f>"B0005390"</f>
        <v>B0005390</v>
      </c>
      <c r="B4627" s="5" t="str">
        <f t="shared" ref="B4627:B4644" si="236">"PINZA ROCHESTER CURVA 25 CM"</f>
        <v>PINZA ROCHESTER CURVA 25 CM</v>
      </c>
      <c r="C4627" s="6">
        <v>17594.919999999998</v>
      </c>
      <c r="D4627" s="5"/>
      <c r="E4627" s="5" t="str">
        <f t="shared" si="235"/>
        <v>ESTERILIZACION-DIANA SOFIA DIAZ CASTRO</v>
      </c>
      <c r="F4627" s="5" t="str">
        <f>"Descripcion: PINZA ROCHESTER RECTA Estado: Bueno Placa anterior: 000014074 Material: ACERO Color:  Referencia:  Observacion: PERTENECE AL EQUIPO DE PARTO Placa padre: Tipo adquisicion: Entidad"</f>
        <v>Descripcion: PINZA ROCHESTER RECTA Estado: Bueno Placa anterior: 000014074 Material: ACERO Color:  Referencia:  Observacion: PERTENECE AL EQUIPO DE PARTO Placa padre: Tipo adquisicion: Entidad</v>
      </c>
      <c r="G4627" s="5"/>
    </row>
    <row r="4628" spans="1:7" ht="58.5" customHeight="1" x14ac:dyDescent="0.25">
      <c r="A4628" s="5" t="str">
        <f>"B0005391"</f>
        <v>B0005391</v>
      </c>
      <c r="B4628" s="5" t="str">
        <f t="shared" si="236"/>
        <v>PINZA ROCHESTER CURVA 25 CM</v>
      </c>
      <c r="C4628" s="6">
        <v>17594.919999999998</v>
      </c>
      <c r="D4628" s="5"/>
      <c r="E4628" s="5" t="str">
        <f t="shared" si="235"/>
        <v>ESTERILIZACION-DIANA SOFIA DIAZ CASTRO</v>
      </c>
      <c r="F4628" s="5" t="str">
        <f>"Descripcion: PINZA ROCHESTER RECTA Estado: Bueno Placa anterior: 000014076 Material: ACERO Color:  Referencia:  Observacion: PERTENECE AL EQUIPO DE PARTO Placa padre: Tipo adquisicion: Entidad"</f>
        <v>Descripcion: PINZA ROCHESTER RECTA Estado: Bueno Placa anterior: 000014076 Material: ACERO Color:  Referencia:  Observacion: PERTENECE AL EQUIPO DE PARTO Placa padre: Tipo adquisicion: Entidad</v>
      </c>
      <c r="G4628" s="5"/>
    </row>
    <row r="4629" spans="1:7" ht="58.5" customHeight="1" x14ac:dyDescent="0.25">
      <c r="A4629" s="5" t="str">
        <f>"B0005392"</f>
        <v>B0005392</v>
      </c>
      <c r="B4629" s="5" t="str">
        <f t="shared" si="236"/>
        <v>PINZA ROCHESTER CURVA 25 CM</v>
      </c>
      <c r="C4629" s="6">
        <v>17594.919999999998</v>
      </c>
      <c r="D4629" s="5"/>
      <c r="E4629" s="5" t="str">
        <f t="shared" si="235"/>
        <v>ESTERILIZACION-DIANA SOFIA DIAZ CASTRO</v>
      </c>
      <c r="F4629" s="5" t="str">
        <f>"Descripcion: PINZA ROCHESTER RECTA Estado: Bueno Placa anterior: 000014077 Material: ACERO Color:  Referencia:  Observacion: PERTENECE AL EQUIPO DE PARTO Placa padre: Tipo adquisicion: Entidad"</f>
        <v>Descripcion: PINZA ROCHESTER RECTA Estado: Bueno Placa anterior: 000014077 Material: ACERO Color:  Referencia:  Observacion: PERTENECE AL EQUIPO DE PARTO Placa padre: Tipo adquisicion: Entidad</v>
      </c>
      <c r="G4629" s="5"/>
    </row>
    <row r="4630" spans="1:7" ht="58.5" customHeight="1" x14ac:dyDescent="0.25">
      <c r="A4630" s="5" t="str">
        <f>"B0005393"</f>
        <v>B0005393</v>
      </c>
      <c r="B4630" s="5" t="str">
        <f t="shared" si="236"/>
        <v>PINZA ROCHESTER CURVA 25 CM</v>
      </c>
      <c r="C4630" s="6">
        <v>17750.37</v>
      </c>
      <c r="D4630" s="5"/>
      <c r="E4630" s="5" t="str">
        <f t="shared" si="235"/>
        <v>ESTERILIZACION-DIANA SOFIA DIAZ CASTRO</v>
      </c>
      <c r="F4630" s="5" t="str">
        <f>"Descripcion: PINZA ROCHESTER CURVA Estado: Bueno Placa anterior: 000013959 Material: ACERO Color:  Referencia:  Observacion: PERTENECE AL EQUIPO DE PARTO Placa padre: Tipo adquisicion: Entidad"</f>
        <v>Descripcion: PINZA ROCHESTER CURVA Estado: Bueno Placa anterior: 000013959 Material: ACERO Color:  Referencia:  Observacion: PERTENECE AL EQUIPO DE PARTO Placa padre: Tipo adquisicion: Entidad</v>
      </c>
      <c r="G4630" s="5"/>
    </row>
    <row r="4631" spans="1:7" ht="58.5" customHeight="1" x14ac:dyDescent="0.25">
      <c r="A4631" s="5" t="str">
        <f>"B0005394"</f>
        <v>B0005394</v>
      </c>
      <c r="B4631" s="5" t="str">
        <f t="shared" si="236"/>
        <v>PINZA ROCHESTER CURVA 25 CM</v>
      </c>
      <c r="C4631" s="6">
        <v>17750.37</v>
      </c>
      <c r="D4631" s="5"/>
      <c r="E4631" s="5" t="str">
        <f t="shared" si="235"/>
        <v>ESTERILIZACION-DIANA SOFIA DIAZ CASTRO</v>
      </c>
      <c r="F4631" s="5" t="str">
        <f>"Descripcion: PINZA ROCHESTER CURVA Estado: Bueno Placa anterior: 000013960 Material: ACERO Color:  Referencia:  Observacion: PERTENECE AL EQUIPO DE PARTO Placa padre: Tipo adquisicion: Entidad"</f>
        <v>Descripcion: PINZA ROCHESTER CURVA Estado: Bueno Placa anterior: 000013960 Material: ACERO Color:  Referencia:  Observacion: PERTENECE AL EQUIPO DE PARTO Placa padre: Tipo adquisicion: Entidad</v>
      </c>
      <c r="G4631" s="5"/>
    </row>
    <row r="4632" spans="1:7" ht="58.5" customHeight="1" x14ac:dyDescent="0.25">
      <c r="A4632" s="5" t="str">
        <f>"B0005395"</f>
        <v>B0005395</v>
      </c>
      <c r="B4632" s="5" t="str">
        <f t="shared" si="236"/>
        <v>PINZA ROCHESTER CURVA 25 CM</v>
      </c>
      <c r="C4632" s="6">
        <v>17750.37</v>
      </c>
      <c r="D4632" s="5"/>
      <c r="E4632" s="5" t="str">
        <f t="shared" si="235"/>
        <v>ESTERILIZACION-DIANA SOFIA DIAZ CASTRO</v>
      </c>
      <c r="F4632" s="5" t="str">
        <f>"Descripcion: PINZA ROCHESTER CURVA Estado: Bueno Placa anterior: 000013961 Material: ACERO Color:  Referencia:  Observacion: PERTENECE AL EQUIPO DE PARTO Placa padre: Tipo adquisicion: Entidad"</f>
        <v>Descripcion: PINZA ROCHESTER CURVA Estado: Bueno Placa anterior: 000013961 Material: ACERO Color:  Referencia:  Observacion: PERTENECE AL EQUIPO DE PARTO Placa padre: Tipo adquisicion: Entidad</v>
      </c>
      <c r="G4632" s="5"/>
    </row>
    <row r="4633" spans="1:7" ht="58.5" customHeight="1" x14ac:dyDescent="0.25">
      <c r="A4633" s="5" t="str">
        <f>"B0005396"</f>
        <v>B0005396</v>
      </c>
      <c r="B4633" s="5" t="str">
        <f t="shared" si="236"/>
        <v>PINZA ROCHESTER CURVA 25 CM</v>
      </c>
      <c r="C4633" s="6">
        <v>17750.37</v>
      </c>
      <c r="D4633" s="5"/>
      <c r="E4633" s="5" t="str">
        <f t="shared" si="235"/>
        <v>ESTERILIZACION-DIANA SOFIA DIAZ CASTRO</v>
      </c>
      <c r="F4633" s="5" t="str">
        <f>"Descripcion: PINZA ROCHESTER CURVA Estado: Bueno Placa anterior: 000013962 Material: ACERO Color:  Referencia:  Observacion: PERTENECE AL EQUIPO DE PARTO Placa padre: Tipo adquisicion: Entidad"</f>
        <v>Descripcion: PINZA ROCHESTER CURVA Estado: Bueno Placa anterior: 000013962 Material: ACERO Color:  Referencia:  Observacion: PERTENECE AL EQUIPO DE PARTO Placa padre: Tipo adquisicion: Entidad</v>
      </c>
      <c r="G4633" s="5"/>
    </row>
    <row r="4634" spans="1:7" ht="58.5" customHeight="1" x14ac:dyDescent="0.25">
      <c r="A4634" s="5" t="str">
        <f>"B0005397"</f>
        <v>B0005397</v>
      </c>
      <c r="B4634" s="5" t="str">
        <f t="shared" si="236"/>
        <v>PINZA ROCHESTER CURVA 25 CM</v>
      </c>
      <c r="C4634" s="6">
        <v>17750.37</v>
      </c>
      <c r="D4634" s="5"/>
      <c r="E4634" s="5" t="str">
        <f t="shared" si="235"/>
        <v>ESTERILIZACION-DIANA SOFIA DIAZ CASTRO</v>
      </c>
      <c r="F4634" s="5" t="str">
        <f>"Descripcion: PINZA ROCHESTER CURVA Estado: Bueno Placa anterior: 000013963 Material: ACERO Color:  Referencia:  Observacion: PERTENECE AL EQUIPO DE PARTO Placa padre: Tipo adquisicion: Entidad"</f>
        <v>Descripcion: PINZA ROCHESTER CURVA Estado: Bueno Placa anterior: 000013963 Material: ACERO Color:  Referencia:  Observacion: PERTENECE AL EQUIPO DE PARTO Placa padre: Tipo adquisicion: Entidad</v>
      </c>
      <c r="G4634" s="5"/>
    </row>
    <row r="4635" spans="1:7" ht="58.5" customHeight="1" x14ac:dyDescent="0.25">
      <c r="A4635" s="5" t="str">
        <f>"B0005398"</f>
        <v>B0005398</v>
      </c>
      <c r="B4635" s="5" t="str">
        <f t="shared" si="236"/>
        <v>PINZA ROCHESTER CURVA 25 CM</v>
      </c>
      <c r="C4635" s="6">
        <v>17750.37</v>
      </c>
      <c r="D4635" s="5"/>
      <c r="E4635" s="5" t="str">
        <f t="shared" si="235"/>
        <v>ESTERILIZACION-DIANA SOFIA DIAZ CASTRO</v>
      </c>
      <c r="F4635" s="5" t="str">
        <f>"Descripcion: PINZA ROCHESTER CURVA Estado: Bueno Placa anterior: 000013964 Material: ACERO Color:  Referencia:  Observacion: PERTENECE AL EQUIPO DE PARTO Placa padre: Tipo adquisicion: Entidad"</f>
        <v>Descripcion: PINZA ROCHESTER CURVA Estado: Bueno Placa anterior: 000013964 Material: ACERO Color:  Referencia:  Observacion: PERTENECE AL EQUIPO DE PARTO Placa padre: Tipo adquisicion: Entidad</v>
      </c>
      <c r="G4635" s="5"/>
    </row>
    <row r="4636" spans="1:7" ht="58.5" customHeight="1" x14ac:dyDescent="0.25">
      <c r="A4636" s="5" t="str">
        <f>"B0005399"</f>
        <v>B0005399</v>
      </c>
      <c r="B4636" s="5" t="str">
        <f t="shared" si="236"/>
        <v>PINZA ROCHESTER CURVA 25 CM</v>
      </c>
      <c r="C4636" s="6">
        <v>17750.37</v>
      </c>
      <c r="D4636" s="5"/>
      <c r="E4636" s="5" t="str">
        <f t="shared" si="235"/>
        <v>ESTERILIZACION-DIANA SOFIA DIAZ CASTRO</v>
      </c>
      <c r="F4636" s="5" t="str">
        <f>"Descripcion: PINZA ROCHESTER CURVA Estado: Bueno Placa anterior: 000013965 Material: ACERO Color:  Referencia:  Observacion: PERTENECE AL EQUIPO DE PARTO Placa padre: Tipo adquisicion: Entidad"</f>
        <v>Descripcion: PINZA ROCHESTER CURVA Estado: Bueno Placa anterior: 000013965 Material: ACERO Color:  Referencia:  Observacion: PERTENECE AL EQUIPO DE PARTO Placa padre: Tipo adquisicion: Entidad</v>
      </c>
      <c r="G4636" s="5"/>
    </row>
    <row r="4637" spans="1:7" ht="58.5" customHeight="1" x14ac:dyDescent="0.25">
      <c r="A4637" s="5" t="str">
        <f>"B0005400"</f>
        <v>B0005400</v>
      </c>
      <c r="B4637" s="5" t="str">
        <f t="shared" si="236"/>
        <v>PINZA ROCHESTER CURVA 25 CM</v>
      </c>
      <c r="C4637" s="6">
        <v>17750.37</v>
      </c>
      <c r="D4637" s="5"/>
      <c r="E4637" s="5" t="str">
        <f t="shared" si="235"/>
        <v>ESTERILIZACION-DIANA SOFIA DIAZ CASTRO</v>
      </c>
      <c r="F4637" s="5" t="str">
        <f>"Descripcion: PINZA ROCHESTER CURVA Estado: Bueno Placa anterior: 000013966 Material: ACERI Color:  Referencia:  Observacion: PERTENECE AL EQUIPO DE PARTO Placa padre: Tipo adquisicion: Entidad"</f>
        <v>Descripcion: PINZA ROCHESTER CURVA Estado: Bueno Placa anterior: 000013966 Material: ACERI Color:  Referencia:  Observacion: PERTENECE AL EQUIPO DE PARTO Placa padre: Tipo adquisicion: Entidad</v>
      </c>
      <c r="G4637" s="5"/>
    </row>
    <row r="4638" spans="1:7" ht="58.5" customHeight="1" x14ac:dyDescent="0.25">
      <c r="A4638" s="5" t="str">
        <f>"B0005401"</f>
        <v>B0005401</v>
      </c>
      <c r="B4638" s="5" t="str">
        <f t="shared" si="236"/>
        <v>PINZA ROCHESTER CURVA 25 CM</v>
      </c>
      <c r="C4638" s="6">
        <v>17750.37</v>
      </c>
      <c r="D4638" s="5"/>
      <c r="E4638" s="5" t="str">
        <f t="shared" si="235"/>
        <v>ESTERILIZACION-DIANA SOFIA DIAZ CASTRO</v>
      </c>
      <c r="F4638" s="5" t="str">
        <f>"Descripcion: PINZA ROCHESTER CURVA Estado: Bueno Placa anterior: 000013967 Material: ACERO Color:  Referencia:  Observacion: PERTENECE AL EQUIPO DE PARTO Placa padre: Tipo adquisicion: Entidad"</f>
        <v>Descripcion: PINZA ROCHESTER CURVA Estado: Bueno Placa anterior: 000013967 Material: ACERO Color:  Referencia:  Observacion: PERTENECE AL EQUIPO DE PARTO Placa padre: Tipo adquisicion: Entidad</v>
      </c>
      <c r="G4638" s="5"/>
    </row>
    <row r="4639" spans="1:7" ht="58.5" customHeight="1" x14ac:dyDescent="0.25">
      <c r="A4639" s="5" t="str">
        <f>"B0005402"</f>
        <v>B0005402</v>
      </c>
      <c r="B4639" s="5" t="str">
        <f t="shared" si="236"/>
        <v>PINZA ROCHESTER CURVA 25 CM</v>
      </c>
      <c r="C4639" s="6">
        <v>17750.37</v>
      </c>
      <c r="D4639" s="5"/>
      <c r="E4639" s="5" t="str">
        <f t="shared" si="235"/>
        <v>ESTERILIZACION-DIANA SOFIA DIAZ CASTRO</v>
      </c>
      <c r="F4639" s="5" t="str">
        <f>"Descripcion: PINZA ROCHESTER CURVA Estado: Bueno Placa anterior: 000013968 Material: ACERO Color:  Referencia:  Observacion: PERTENECE AL EQUIPO DE PARTO Placa padre: Tipo adquisicion: Entidad"</f>
        <v>Descripcion: PINZA ROCHESTER CURVA Estado: Bueno Placa anterior: 000013968 Material: ACERO Color:  Referencia:  Observacion: PERTENECE AL EQUIPO DE PARTO Placa padre: Tipo adquisicion: Entidad</v>
      </c>
      <c r="G4639" s="5"/>
    </row>
    <row r="4640" spans="1:7" ht="58.5" customHeight="1" x14ac:dyDescent="0.25">
      <c r="A4640" s="5" t="str">
        <f>"B0005403"</f>
        <v>B0005403</v>
      </c>
      <c r="B4640" s="5" t="str">
        <f t="shared" si="236"/>
        <v>PINZA ROCHESTER CURVA 25 CM</v>
      </c>
      <c r="C4640" s="6">
        <v>17750.37</v>
      </c>
      <c r="D4640" s="5"/>
      <c r="E4640" s="5" t="str">
        <f t="shared" si="235"/>
        <v>ESTERILIZACION-DIANA SOFIA DIAZ CASTRO</v>
      </c>
      <c r="F4640" s="5" t="str">
        <f>"Descripcion: PINZA ROCHESTER CURVA Estado: Bueno Placa anterior: 000013969 Material: ACERO Color:  Referencia:  Observacion: PERTENECE AL EQUIPO DE PARTO Placa padre: Tipo adquisicion: Entidad"</f>
        <v>Descripcion: PINZA ROCHESTER CURVA Estado: Bueno Placa anterior: 000013969 Material: ACERO Color:  Referencia:  Observacion: PERTENECE AL EQUIPO DE PARTO Placa padre: Tipo adquisicion: Entidad</v>
      </c>
      <c r="G4640" s="5"/>
    </row>
    <row r="4641" spans="1:7" ht="58.5" customHeight="1" x14ac:dyDescent="0.25">
      <c r="A4641" s="5" t="str">
        <f>"B0005404"</f>
        <v>B0005404</v>
      </c>
      <c r="B4641" s="5" t="str">
        <f t="shared" si="236"/>
        <v>PINZA ROCHESTER CURVA 25 CM</v>
      </c>
      <c r="C4641" s="6">
        <v>17750.37</v>
      </c>
      <c r="D4641" s="5"/>
      <c r="E4641" s="5" t="str">
        <f t="shared" si="235"/>
        <v>ESTERILIZACION-DIANA SOFIA DIAZ CASTRO</v>
      </c>
      <c r="F4641" s="5" t="str">
        <f>"Descripcion: PINZA ROCHESTER CURVA Estado: Bueno Placa anterior: 000013970 Material: ACERO Color:  Referencia:  Observacion: PERTENECE AL EQUIPO DE PARTO Placa padre: Tipo adquisicion: Entidad"</f>
        <v>Descripcion: PINZA ROCHESTER CURVA Estado: Bueno Placa anterior: 000013970 Material: ACERO Color:  Referencia:  Observacion: PERTENECE AL EQUIPO DE PARTO Placa padre: Tipo adquisicion: Entidad</v>
      </c>
      <c r="G4641" s="5"/>
    </row>
    <row r="4642" spans="1:7" ht="58.5" customHeight="1" x14ac:dyDescent="0.25">
      <c r="A4642" s="5" t="str">
        <f>"B0005405"</f>
        <v>B0005405</v>
      </c>
      <c r="B4642" s="5" t="str">
        <f t="shared" si="236"/>
        <v>PINZA ROCHESTER CURVA 25 CM</v>
      </c>
      <c r="C4642" s="6">
        <v>17750.37</v>
      </c>
      <c r="D4642" s="5"/>
      <c r="E4642" s="5" t="str">
        <f t="shared" si="235"/>
        <v>ESTERILIZACION-DIANA SOFIA DIAZ CASTRO</v>
      </c>
      <c r="F4642" s="5" t="str">
        <f>"Descripcion: PINZA ROCHESTER CURVA Estado: Bueno Placa anterior: 000013971 Material: ACERO Color:  Referencia:  Observacion: PERTENECE AL EQUIPO DE PARTO Placa padre: Tipo adquisicion: Entidad"</f>
        <v>Descripcion: PINZA ROCHESTER CURVA Estado: Bueno Placa anterior: 000013971 Material: ACERO Color:  Referencia:  Observacion: PERTENECE AL EQUIPO DE PARTO Placa padre: Tipo adquisicion: Entidad</v>
      </c>
      <c r="G4642" s="5"/>
    </row>
    <row r="4643" spans="1:7" ht="58.5" customHeight="1" x14ac:dyDescent="0.25">
      <c r="A4643" s="5" t="str">
        <f>"B0005406"</f>
        <v>B0005406</v>
      </c>
      <c r="B4643" s="5" t="str">
        <f t="shared" si="236"/>
        <v>PINZA ROCHESTER CURVA 25 CM</v>
      </c>
      <c r="C4643" s="6">
        <v>17750.37</v>
      </c>
      <c r="D4643" s="5"/>
      <c r="E4643" s="5" t="str">
        <f t="shared" si="235"/>
        <v>ESTERILIZACION-DIANA SOFIA DIAZ CASTRO</v>
      </c>
      <c r="F4643" s="5" t="str">
        <f>"Descripcion: PINZA ROCHESTER CURVA Estado: Bueno Placa anterior: 000013972 Material: ACERO Color:  Referencia:  Observacion: PERTENECE AL EQUIPO DE PARTO Placa padre: Tipo adquisicion: Entidad"</f>
        <v>Descripcion: PINZA ROCHESTER CURVA Estado: Bueno Placa anterior: 000013972 Material: ACERO Color:  Referencia:  Observacion: PERTENECE AL EQUIPO DE PARTO Placa padre: Tipo adquisicion: Entidad</v>
      </c>
      <c r="G4643" s="5"/>
    </row>
    <row r="4644" spans="1:7" ht="58.5" customHeight="1" x14ac:dyDescent="0.25">
      <c r="A4644" s="5" t="str">
        <f>"B0005407"</f>
        <v>B0005407</v>
      </c>
      <c r="B4644" s="5" t="str">
        <f t="shared" si="236"/>
        <v>PINZA ROCHESTER CURVA 25 CM</v>
      </c>
      <c r="C4644" s="6">
        <v>17750.37</v>
      </c>
      <c r="D4644" s="5"/>
      <c r="E4644" s="5" t="str">
        <f t="shared" si="235"/>
        <v>ESTERILIZACION-DIANA SOFIA DIAZ CASTRO</v>
      </c>
      <c r="F4644" s="5" t="str">
        <f>"Descripcion: PINZA ROCHESTER CURVA Estado: Bueno Placa anterior: 000013973 Material:  Color:  Referencia:  Observacion: PERTENECE AL EQUIPO DE PARTO Placa padre: Tipo adquisicion: Entidad"</f>
        <v>Descripcion: PINZA ROCHESTER CURVA Estado: Bueno Placa anterior: 000013973 Material:  Color:  Referencia:  Observacion: PERTENECE AL EQUIPO DE PARTO Placa padre: Tipo adquisicion: Entidad</v>
      </c>
      <c r="G4644" s="5"/>
    </row>
    <row r="4645" spans="1:7" ht="58.5" customHeight="1" x14ac:dyDescent="0.25">
      <c r="A4645" s="5" t="str">
        <f>"B0005408"</f>
        <v>B0005408</v>
      </c>
      <c r="B4645" s="5" t="str">
        <f t="shared" ref="B4645:B4652" si="237">"PINZA DE DISECCION CON GARRA MEDIANA 25 CM"</f>
        <v>PINZA DE DISECCION CON GARRA MEDIANA 25 CM</v>
      </c>
      <c r="C4645" s="6">
        <v>3879.55</v>
      </c>
      <c r="D4645" s="5"/>
      <c r="E4645" s="5" t="str">
        <f t="shared" si="235"/>
        <v>ESTERILIZACION-DIANA SOFIA DIAZ CASTRO</v>
      </c>
      <c r="F4645" s="5" t="str">
        <f>"Descripcion: PINZA DISECCION Estado: Bueno Placa anterior: 000013913 Material: AACERO Color:  Referencia:  Observacion: PERTENECE AL EQUIPO DE EPISIO Placa padre: Tipo adquisicion: Entidad"</f>
        <v>Descripcion: PINZA DISECCION Estado: Bueno Placa anterior: 000013913 Material: AACERO Color:  Referencia:  Observacion: PERTENECE AL EQUIPO DE EPISIO Placa padre: Tipo adquisicion: Entidad</v>
      </c>
      <c r="G4645" s="5"/>
    </row>
    <row r="4646" spans="1:7" ht="58.5" customHeight="1" x14ac:dyDescent="0.25">
      <c r="A4646" s="5" t="str">
        <f>"B0005409"</f>
        <v>B0005409</v>
      </c>
      <c r="B4646" s="5" t="str">
        <f t="shared" si="237"/>
        <v>PINZA DE DISECCION CON GARRA MEDIANA 25 CM</v>
      </c>
      <c r="C4646" s="6">
        <v>3879.55</v>
      </c>
      <c r="D4646" s="5"/>
      <c r="E4646" s="5" t="str">
        <f t="shared" si="235"/>
        <v>ESTERILIZACION-DIANA SOFIA DIAZ CASTRO</v>
      </c>
      <c r="F4646" s="5" t="str">
        <f>"Descripcion: PINZA DISECCION Estado: Bueno Placa anterior: 000013914 Material: ACERO Color:  Referencia:  Observacion: PERTENECE AL EQUIPO DE EPISIO Placa padre: Tipo adquisicion: Entidad"</f>
        <v>Descripcion: PINZA DISECCION Estado: Bueno Placa anterior: 000013914 Material: ACERO Color:  Referencia:  Observacion: PERTENECE AL EQUIPO DE EPISIO Placa padre: Tipo adquisicion: Entidad</v>
      </c>
      <c r="G4646" s="5"/>
    </row>
    <row r="4647" spans="1:7" ht="58.5" customHeight="1" x14ac:dyDescent="0.25">
      <c r="A4647" s="5" t="str">
        <f>"B0005419"</f>
        <v>B0005419</v>
      </c>
      <c r="B4647" s="5" t="str">
        <f t="shared" si="237"/>
        <v>PINZA DE DISECCION CON GARRA MEDIANA 25 CM</v>
      </c>
      <c r="C4647" s="6">
        <v>3879.55</v>
      </c>
      <c r="D4647" s="5"/>
      <c r="E4647" s="5" t="str">
        <f t="shared" si="235"/>
        <v>ESTERILIZACION-DIANA SOFIA DIAZ CASTRO</v>
      </c>
      <c r="F4647" s="5" t="str">
        <f>"Descripcion: PINZA DISECCION Estado: Bueno Placa anterior: 000013915 Material: ACERO Color:  Referencia:  Observacion: PERTENECE AL EQUIPO DE EPISIO Placa padre: Tipo adquisicion: Entidad"</f>
        <v>Descripcion: PINZA DISECCION Estado: Bueno Placa anterior: 000013915 Material: ACERO Color:  Referencia:  Observacion: PERTENECE AL EQUIPO DE EPISIO Placa padre: Tipo adquisicion: Entidad</v>
      </c>
      <c r="G4647" s="5"/>
    </row>
    <row r="4648" spans="1:7" ht="58.5" customHeight="1" x14ac:dyDescent="0.25">
      <c r="A4648" s="5" t="str">
        <f>"B0005420"</f>
        <v>B0005420</v>
      </c>
      <c r="B4648" s="5" t="str">
        <f t="shared" si="237"/>
        <v>PINZA DE DISECCION CON GARRA MEDIANA 25 CM</v>
      </c>
      <c r="C4648" s="6">
        <v>3879.55</v>
      </c>
      <c r="D4648" s="5"/>
      <c r="E4648" s="5" t="str">
        <f t="shared" si="235"/>
        <v>ESTERILIZACION-DIANA SOFIA DIAZ CASTRO</v>
      </c>
      <c r="F4648" s="5" t="str">
        <f>"Descripcion: PINZA DISECCION Estado: Bueno Placa anterior: 000013916 Material: ACERO Color:  Referencia:  Observacion: PERTENECE AL EQUIPO DE EPISIO Placa padre: Tipo adquisicion: Entidad"</f>
        <v>Descripcion: PINZA DISECCION Estado: Bueno Placa anterior: 000013916 Material: ACERO Color:  Referencia:  Observacion: PERTENECE AL EQUIPO DE EPISIO Placa padre: Tipo adquisicion: Entidad</v>
      </c>
      <c r="G4648" s="5"/>
    </row>
    <row r="4649" spans="1:7" ht="58.5" customHeight="1" x14ac:dyDescent="0.25">
      <c r="A4649" s="5" t="str">
        <f>"B0005421"</f>
        <v>B0005421</v>
      </c>
      <c r="B4649" s="5" t="str">
        <f t="shared" si="237"/>
        <v>PINZA DE DISECCION CON GARRA MEDIANA 25 CM</v>
      </c>
      <c r="C4649" s="6">
        <v>3879.55</v>
      </c>
      <c r="D4649" s="5"/>
      <c r="E4649" s="5" t="str">
        <f t="shared" si="235"/>
        <v>ESTERILIZACION-DIANA SOFIA DIAZ CASTRO</v>
      </c>
      <c r="F4649" s="5" t="str">
        <f>"Descripcion: PINZA DISECCION Estado: Bueno Placa anterior: 000013917 Material: ACERO Color:  Referencia:  Observacion: PERTENECE AL EQUIPO DE EPISIO Placa padre: Tipo adquisicion: Entidad"</f>
        <v>Descripcion: PINZA DISECCION Estado: Bueno Placa anterior: 000013917 Material: ACERO Color:  Referencia:  Observacion: PERTENECE AL EQUIPO DE EPISIO Placa padre: Tipo adquisicion: Entidad</v>
      </c>
      <c r="G4649" s="5"/>
    </row>
    <row r="4650" spans="1:7" ht="58.5" customHeight="1" x14ac:dyDescent="0.25">
      <c r="A4650" s="5" t="str">
        <f>"B0005422"</f>
        <v>B0005422</v>
      </c>
      <c r="B4650" s="5" t="str">
        <f t="shared" si="237"/>
        <v>PINZA DE DISECCION CON GARRA MEDIANA 25 CM</v>
      </c>
      <c r="C4650" s="6">
        <v>3879.55</v>
      </c>
      <c r="D4650" s="5"/>
      <c r="E4650" s="5" t="str">
        <f t="shared" si="235"/>
        <v>ESTERILIZACION-DIANA SOFIA DIAZ CASTRO</v>
      </c>
      <c r="F4650" s="5" t="str">
        <f>"Descripcion: PINZA DISECCION Estado: Bueno Placa anterior: 000013918 Material: ACERO Color:  Referencia:  Observacion: PERTENECE AL EQUIPO DE EPISIO Placa padre: Tipo adquisicion: Entidad"</f>
        <v>Descripcion: PINZA DISECCION Estado: Bueno Placa anterior: 000013918 Material: ACERO Color:  Referencia:  Observacion: PERTENECE AL EQUIPO DE EPISIO Placa padre: Tipo adquisicion: Entidad</v>
      </c>
      <c r="G4650" s="5"/>
    </row>
    <row r="4651" spans="1:7" ht="58.5" customHeight="1" x14ac:dyDescent="0.25">
      <c r="A4651" s="5" t="str">
        <f>"B0005423"</f>
        <v>B0005423</v>
      </c>
      <c r="B4651" s="5" t="str">
        <f t="shared" si="237"/>
        <v>PINZA DE DISECCION CON GARRA MEDIANA 25 CM</v>
      </c>
      <c r="C4651" s="6">
        <v>3879.55</v>
      </c>
      <c r="D4651" s="5"/>
      <c r="E4651" s="5" t="str">
        <f t="shared" si="235"/>
        <v>ESTERILIZACION-DIANA SOFIA DIAZ CASTRO</v>
      </c>
      <c r="F4651" s="5" t="str">
        <f>"Descripcion: PINZA DISECCION CON GARRA Estado: Bueno Placa anterior: 000014065 Material: ACERO Color:  Referencia:  Observacion: PERTENECE AL EQUIPO DE EPISIO Placa padre: Tipo adquisicion: Entidad"</f>
        <v>Descripcion: PINZA DISECCION CON GARRA Estado: Bueno Placa anterior: 000014065 Material: ACERO Color:  Referencia:  Observacion: PERTENECE AL EQUIPO DE EPISIO Placa padre: Tipo adquisicion: Entidad</v>
      </c>
      <c r="G4651" s="5"/>
    </row>
    <row r="4652" spans="1:7" ht="58.5" customHeight="1" x14ac:dyDescent="0.25">
      <c r="A4652" s="5" t="str">
        <f>"B0005424"</f>
        <v>B0005424</v>
      </c>
      <c r="B4652" s="5" t="str">
        <f t="shared" si="237"/>
        <v>PINZA DE DISECCION CON GARRA MEDIANA 25 CM</v>
      </c>
      <c r="C4652" s="6">
        <v>3879.55</v>
      </c>
      <c r="D4652" s="5"/>
      <c r="E4652" s="5" t="str">
        <f t="shared" si="235"/>
        <v>ESTERILIZACION-DIANA SOFIA DIAZ CASTRO</v>
      </c>
      <c r="F4652" s="5" t="str">
        <f>"Descripcion: PINZA DISECCION CON GARRA Estado: Bueno Placa anterior: 000014066 Material: ACERO Color:  Referencia:  Observacion: PERTENECE AL EQUIPO DE EPISIO Placa padre: Tipo adquisicion: Entidad"</f>
        <v>Descripcion: PINZA DISECCION CON GARRA Estado: Bueno Placa anterior: 000014066 Material: ACERO Color:  Referencia:  Observacion: PERTENECE AL EQUIPO DE EPISIO Placa padre: Tipo adquisicion: Entidad</v>
      </c>
      <c r="G4652" s="5"/>
    </row>
    <row r="4653" spans="1:7" ht="58.5" customHeight="1" x14ac:dyDescent="0.25">
      <c r="A4653" s="5" t="str">
        <f>"B0005425"</f>
        <v>B0005425</v>
      </c>
      <c r="B4653" s="5" t="str">
        <f t="shared" ref="B4653:B4660" si="238">"PINZA KELLY CURVA 16 CM"</f>
        <v>PINZA KELLY CURVA 16 CM</v>
      </c>
      <c r="C4653" s="6">
        <v>13932.46</v>
      </c>
      <c r="D4653" s="5"/>
      <c r="E4653" s="5" t="str">
        <f t="shared" si="235"/>
        <v>ESTERILIZACION-DIANA SOFIA DIAZ CASTRO</v>
      </c>
      <c r="F4653" s="5" t="str">
        <f>"Descripcion: PINZA KELLY CURVA Estado: Bueno Placa anterior: 000013926 Material: ACERO Color:  Referencia:  Observacion: PERTENECE AL EQUIPO DE EPISIO Placa padre: Tipo adquisicion: Entidad"</f>
        <v>Descripcion: PINZA KELLY CURVA Estado: Bueno Placa anterior: 000013926 Material: ACERO Color:  Referencia:  Observacion: PERTENECE AL EQUIPO DE EPISIO Placa padre: Tipo adquisicion: Entidad</v>
      </c>
      <c r="G4653" s="5"/>
    </row>
    <row r="4654" spans="1:7" ht="58.5" customHeight="1" x14ac:dyDescent="0.25">
      <c r="A4654" s="5" t="str">
        <f>"B0005426"</f>
        <v>B0005426</v>
      </c>
      <c r="B4654" s="5" t="str">
        <f t="shared" si="238"/>
        <v>PINZA KELLY CURVA 16 CM</v>
      </c>
      <c r="C4654" s="6">
        <v>13932.46</v>
      </c>
      <c r="D4654" s="5"/>
      <c r="E4654" s="5" t="str">
        <f t="shared" si="235"/>
        <v>ESTERILIZACION-DIANA SOFIA DIAZ CASTRO</v>
      </c>
      <c r="F4654" s="5" t="str">
        <f>"Descripcion: PINZA KELLY CURVA Estado: Bueno Placa anterior: 000013927 Material: ACERO Color:  Referencia:  Observacion: PERTENECE AL EQUIPO DE EPISIO Placa padre: Tipo adquisicion: Entidad"</f>
        <v>Descripcion: PINZA KELLY CURVA Estado: Bueno Placa anterior: 000013927 Material: ACERO Color:  Referencia:  Observacion: PERTENECE AL EQUIPO DE EPISIO Placa padre: Tipo adquisicion: Entidad</v>
      </c>
      <c r="G4654" s="5"/>
    </row>
    <row r="4655" spans="1:7" ht="58.5" customHeight="1" x14ac:dyDescent="0.25">
      <c r="A4655" s="5" t="str">
        <f>"B0005427"</f>
        <v>B0005427</v>
      </c>
      <c r="B4655" s="5" t="str">
        <f t="shared" si="238"/>
        <v>PINZA KELLY CURVA 16 CM</v>
      </c>
      <c r="C4655" s="6">
        <v>13932.46</v>
      </c>
      <c r="D4655" s="5"/>
      <c r="E4655" s="5" t="str">
        <f t="shared" si="235"/>
        <v>ESTERILIZACION-DIANA SOFIA DIAZ CASTRO</v>
      </c>
      <c r="F4655" s="5" t="str">
        <f>"Descripcion: PINZA KELLY CURVA Estado: Bueno Placa anterior: 000013928 Material: ACERO Color:  Referencia:  Observacion: PERTENECE AL EQUIPO DE EPISIO Placa padre: Tipo adquisicion: Entidad"</f>
        <v>Descripcion: PINZA KELLY CURVA Estado: Bueno Placa anterior: 000013928 Material: ACERO Color:  Referencia:  Observacion: PERTENECE AL EQUIPO DE EPISIO Placa padre: Tipo adquisicion: Entidad</v>
      </c>
      <c r="G4655" s="5"/>
    </row>
    <row r="4656" spans="1:7" ht="58.5" customHeight="1" x14ac:dyDescent="0.25">
      <c r="A4656" s="5" t="str">
        <f>"B0005428"</f>
        <v>B0005428</v>
      </c>
      <c r="B4656" s="5" t="str">
        <f t="shared" si="238"/>
        <v>PINZA KELLY CURVA 16 CM</v>
      </c>
      <c r="C4656" s="6">
        <v>13932.46</v>
      </c>
      <c r="D4656" s="5"/>
      <c r="E4656" s="5" t="str">
        <f t="shared" si="235"/>
        <v>ESTERILIZACION-DIANA SOFIA DIAZ CASTRO</v>
      </c>
      <c r="F4656" s="5" t="str">
        <f>"Descripcion: PINZA KELLY CURVA Estado: Bueno Placa anterior: 000013929 Material: ACERO Color:  Referencia:  Observacion: PERTENECE AL EQUIPO DE EPISIO Placa padre: Tipo adquisicion: Entidad"</f>
        <v>Descripcion: PINZA KELLY CURVA Estado: Bueno Placa anterior: 000013929 Material: ACERO Color:  Referencia:  Observacion: PERTENECE AL EQUIPO DE EPISIO Placa padre: Tipo adquisicion: Entidad</v>
      </c>
      <c r="G4656" s="5"/>
    </row>
    <row r="4657" spans="1:7" ht="58.5" customHeight="1" x14ac:dyDescent="0.25">
      <c r="A4657" s="5" t="str">
        <f>"B0005429"</f>
        <v>B0005429</v>
      </c>
      <c r="B4657" s="5" t="str">
        <f t="shared" si="238"/>
        <v>PINZA KELLY CURVA 16 CM</v>
      </c>
      <c r="C4657" s="6">
        <v>13932.46</v>
      </c>
      <c r="D4657" s="5"/>
      <c r="E4657" s="5" t="str">
        <f t="shared" si="235"/>
        <v>ESTERILIZACION-DIANA SOFIA DIAZ CASTRO</v>
      </c>
      <c r="F4657" s="5" t="str">
        <f>"Descripcion: PINZA KELLY CURVA Estado: Bueno Placa anterior: 000013930 Material: ACERO Color:  Referencia:  Observacion: PERTENECE AL EQUIPO DE EPISIO Placa padre: Tipo adquisicion: Entidad"</f>
        <v>Descripcion: PINZA KELLY CURVA Estado: Bueno Placa anterior: 000013930 Material: ACERO Color:  Referencia:  Observacion: PERTENECE AL EQUIPO DE EPISIO Placa padre: Tipo adquisicion: Entidad</v>
      </c>
      <c r="G4657" s="5"/>
    </row>
    <row r="4658" spans="1:7" ht="58.5" customHeight="1" x14ac:dyDescent="0.25">
      <c r="A4658" s="5" t="str">
        <f>"B0005430"</f>
        <v>B0005430</v>
      </c>
      <c r="B4658" s="5" t="str">
        <f t="shared" si="238"/>
        <v>PINZA KELLY CURVA 16 CM</v>
      </c>
      <c r="C4658" s="6">
        <v>13932.46</v>
      </c>
      <c r="D4658" s="5"/>
      <c r="E4658" s="5" t="str">
        <f t="shared" si="235"/>
        <v>ESTERILIZACION-DIANA SOFIA DIAZ CASTRO</v>
      </c>
      <c r="F4658" s="5" t="str">
        <f>"Descripcion: PINZA KELLY CURVA Estado: Bueno Placa anterior: 000013934 Material: ACERO Color:  Referencia:  Observacion: PERTENECE AL EQUIPO DE EPISIO Placa padre: Tipo adquisicion: Entidad"</f>
        <v>Descripcion: PINZA KELLY CURVA Estado: Bueno Placa anterior: 000013934 Material: ACERO Color:  Referencia:  Observacion: PERTENECE AL EQUIPO DE EPISIO Placa padre: Tipo adquisicion: Entidad</v>
      </c>
      <c r="G4658" s="5"/>
    </row>
    <row r="4659" spans="1:7" ht="58.5" customHeight="1" x14ac:dyDescent="0.25">
      <c r="A4659" s="5" t="str">
        <f>"B0005431"</f>
        <v>B0005431</v>
      </c>
      <c r="B4659" s="5" t="str">
        <f t="shared" si="238"/>
        <v>PINZA KELLY CURVA 16 CM</v>
      </c>
      <c r="C4659" s="6">
        <v>13932.46</v>
      </c>
      <c r="D4659" s="5"/>
      <c r="E4659" s="5" t="str">
        <f t="shared" si="235"/>
        <v>ESTERILIZACION-DIANA SOFIA DIAZ CASTRO</v>
      </c>
      <c r="F4659" s="5" t="str">
        <f>"Descripcion: PINZA KELLY CURVA Estado: Bueno Placa anterior: 000013935 Material: ACERO Color:  Referencia:  Observacion: PERTENECE AL EQUIPO DE EPISIO Placa padre: Tipo adquisicion: Entidad"</f>
        <v>Descripcion: PINZA KELLY CURVA Estado: Bueno Placa anterior: 000013935 Material: ACERO Color:  Referencia:  Observacion: PERTENECE AL EQUIPO DE EPISIO Placa padre: Tipo adquisicion: Entidad</v>
      </c>
      <c r="G4659" s="5"/>
    </row>
    <row r="4660" spans="1:7" ht="58.5" customHeight="1" x14ac:dyDescent="0.25">
      <c r="A4660" s="5" t="str">
        <f>"B0005432"</f>
        <v>B0005432</v>
      </c>
      <c r="B4660" s="5" t="str">
        <f t="shared" si="238"/>
        <v>PINZA KELLY CURVA 16 CM</v>
      </c>
      <c r="C4660" s="6">
        <v>13932.46</v>
      </c>
      <c r="D4660" s="5"/>
      <c r="E4660" s="5" t="str">
        <f t="shared" si="235"/>
        <v>ESTERILIZACION-DIANA SOFIA DIAZ CASTRO</v>
      </c>
      <c r="F4660" s="5" t="str">
        <f>"Descripcion: PINZA KELLY CURVA Estado: Bueno Placa anterior: 000013936 Material: ACERO Color:  Referencia:  Observacion: PERTENECE AL EQUIPO DE EPISIO Placa padre: Tipo adquisicion: Entidad"</f>
        <v>Descripcion: PINZA KELLY CURVA Estado: Bueno Placa anterior: 000013936 Material: ACERO Color:  Referencia:  Observacion: PERTENECE AL EQUIPO DE EPISIO Placa padre: Tipo adquisicion: Entidad</v>
      </c>
      <c r="G4660" s="5"/>
    </row>
    <row r="4661" spans="1:7" ht="58.5" customHeight="1" x14ac:dyDescent="0.25">
      <c r="A4661" s="5" t="str">
        <f>"B0005433"</f>
        <v>B0005433</v>
      </c>
      <c r="B4661" s="5" t="str">
        <f>"PINZA DE TRASLADO (TRANSFERENCIA)"</f>
        <v>PINZA DE TRASLADO (TRANSFERENCIA)</v>
      </c>
      <c r="C4661" s="6">
        <v>5920.56</v>
      </c>
      <c r="D4661" s="5"/>
      <c r="E4661" s="5" t="str">
        <f t="shared" si="235"/>
        <v>ESTERILIZACION-DIANA SOFIA DIAZ CASTRO</v>
      </c>
      <c r="F4661" s="5" t="str">
        <f>"Descripcion: PINZA DE TRANFERENCIA Estado: Bueno Placa anterior: 000014081 Material: ACERO Color:  Referencia:  Observacion: PERTENECE AL EQUIPO DE EPISIO Placa padre: Tipo adquisicion: Entidad"</f>
        <v>Descripcion: PINZA DE TRANFERENCIA Estado: Bueno Placa anterior: 000014081 Material: ACERO Color:  Referencia:  Observacion: PERTENECE AL EQUIPO DE EPISIO Placa padre: Tipo adquisicion: Entidad</v>
      </c>
      <c r="G4661" s="5"/>
    </row>
    <row r="4662" spans="1:7" ht="58.5" customHeight="1" x14ac:dyDescent="0.25">
      <c r="A4662" s="5" t="str">
        <f>"B0005434"</f>
        <v>B0005434</v>
      </c>
      <c r="B4662" s="5" t="str">
        <f>"PINZA DE TRASLADO (TRANSFERENCIA)"</f>
        <v>PINZA DE TRASLADO (TRANSFERENCIA)</v>
      </c>
      <c r="C4662" s="6">
        <v>5920.56</v>
      </c>
      <c r="D4662" s="5"/>
      <c r="E4662" s="5" t="str">
        <f t="shared" si="235"/>
        <v>ESTERILIZACION-DIANA SOFIA DIAZ CASTRO</v>
      </c>
      <c r="F4662" s="5" t="str">
        <f>"Descripcion: PINZA DE TRANFERENCIA Estado: Bueno Placa anterior: 000014082 Material: ACERO Color:  Referencia:  Observacion: PERTENECE AL EQUIPO DE EPISIO Placa padre: Tipo adquisicion: Entidad"</f>
        <v>Descripcion: PINZA DE TRANFERENCIA Estado: Bueno Placa anterior: 000014082 Material: ACERO Color:  Referencia:  Observacion: PERTENECE AL EQUIPO DE EPISIO Placa padre: Tipo adquisicion: Entidad</v>
      </c>
      <c r="G4662" s="5"/>
    </row>
    <row r="4663" spans="1:7" ht="58.5" customHeight="1" x14ac:dyDescent="0.25">
      <c r="A4663" s="5" t="str">
        <f>"B0005435"</f>
        <v>B0005435</v>
      </c>
      <c r="B4663" s="5" t="str">
        <f t="shared" ref="B4663:B4671" si="239">"MESA EN ACERO INOXIDABLE"</f>
        <v>MESA EN ACERO INOXIDABLE</v>
      </c>
      <c r="C4663" s="6">
        <v>6118.97</v>
      </c>
      <c r="D4663" s="5"/>
      <c r="E4663" s="5" t="str">
        <f t="shared" si="235"/>
        <v>ESTERILIZACION-DIANA SOFIA DIAZ CASTRO</v>
      </c>
      <c r="F4663" s="5" t="str">
        <f>"Descripcion: PLATON EN ACERO INOX. Estado: Bueno Placa anterior: 000012265 Material: ACERO Color:  Referencia:  Observacion: PERTENECE AL EQUIPO DE PARTO Placa padre: Tipo adquisicion: Entidad"</f>
        <v>Descripcion: PLATON EN ACERO INOX. Estado: Bueno Placa anterior: 000012265 Material: ACERO Color:  Referencia:  Observacion: PERTENECE AL EQUIPO DE PARTO Placa padre: Tipo adquisicion: Entidad</v>
      </c>
      <c r="G4663" s="5"/>
    </row>
    <row r="4664" spans="1:7" ht="58.5" customHeight="1" x14ac:dyDescent="0.25">
      <c r="A4664" s="5" t="str">
        <f>"B0005436"</f>
        <v>B0005436</v>
      </c>
      <c r="B4664" s="5" t="str">
        <f t="shared" si="239"/>
        <v>MESA EN ACERO INOXIDABLE</v>
      </c>
      <c r="C4664" s="6">
        <v>6118.97</v>
      </c>
      <c r="D4664" s="5"/>
      <c r="E4664" s="5" t="str">
        <f t="shared" si="235"/>
        <v>ESTERILIZACION-DIANA SOFIA DIAZ CASTRO</v>
      </c>
      <c r="F4664" s="5" t="str">
        <f>"Descripcion: PLATON EN ACERO INOX. Estado: Bueno Placa anterior: 000012266 Material: ACERO Color:  Referencia:  Observacion: PERTENECE AL EQUIPO DE PARTO Placa padre: Tipo adquisicion: Entidad"</f>
        <v>Descripcion: PLATON EN ACERO INOX. Estado: Bueno Placa anterior: 000012266 Material: ACERO Color:  Referencia:  Observacion: PERTENECE AL EQUIPO DE PARTO Placa padre: Tipo adquisicion: Entidad</v>
      </c>
      <c r="G4664" s="5"/>
    </row>
    <row r="4665" spans="1:7" ht="58.5" customHeight="1" x14ac:dyDescent="0.25">
      <c r="A4665" s="5" t="str">
        <f>"B0005437"</f>
        <v>B0005437</v>
      </c>
      <c r="B4665" s="5" t="str">
        <f t="shared" si="239"/>
        <v>MESA EN ACERO INOXIDABLE</v>
      </c>
      <c r="C4665" s="6">
        <v>6118.97</v>
      </c>
      <c r="D4665" s="5"/>
      <c r="E4665" s="5" t="str">
        <f t="shared" si="235"/>
        <v>ESTERILIZACION-DIANA SOFIA DIAZ CASTRO</v>
      </c>
      <c r="F4665" s="5" t="str">
        <f>"Descripcion: PLATON EN ACERO INOX. Estado: Bueno Placa anterior: 000012267 Material: ACERO Color:  Referencia:  Observacion: PERTENECE AL EQUIPO DE PARTO Placa padre: Tipo adquisicion: Entidad"</f>
        <v>Descripcion: PLATON EN ACERO INOX. Estado: Bueno Placa anterior: 000012267 Material: ACERO Color:  Referencia:  Observacion: PERTENECE AL EQUIPO DE PARTO Placa padre: Tipo adquisicion: Entidad</v>
      </c>
      <c r="G4665" s="5"/>
    </row>
    <row r="4666" spans="1:7" ht="58.5" customHeight="1" x14ac:dyDescent="0.25">
      <c r="A4666" s="5" t="str">
        <f>"B0005438"</f>
        <v>B0005438</v>
      </c>
      <c r="B4666" s="5" t="str">
        <f t="shared" si="239"/>
        <v>MESA EN ACERO INOXIDABLE</v>
      </c>
      <c r="C4666" s="6">
        <v>6118.97</v>
      </c>
      <c r="D4666" s="5"/>
      <c r="E4666" s="5" t="str">
        <f t="shared" si="235"/>
        <v>ESTERILIZACION-DIANA SOFIA DIAZ CASTRO</v>
      </c>
      <c r="F4666" s="5" t="str">
        <f>"Descripcion: PLATON EN ACERO INOX. Estado: Bueno Placa anterior: 000012268 Material: ACERO Color:  Referencia:  Observacion: PERTENECE AL EQUIPO DE PARTO Placa padre: Tipo adquisicion: Entidad"</f>
        <v>Descripcion: PLATON EN ACERO INOX. Estado: Bueno Placa anterior: 000012268 Material: ACERO Color:  Referencia:  Observacion: PERTENECE AL EQUIPO DE PARTO Placa padre: Tipo adquisicion: Entidad</v>
      </c>
      <c r="G4666" s="5"/>
    </row>
    <row r="4667" spans="1:7" ht="58.5" customHeight="1" x14ac:dyDescent="0.25">
      <c r="A4667" s="5" t="str">
        <f>"B0005439"</f>
        <v>B0005439</v>
      </c>
      <c r="B4667" s="5" t="str">
        <f t="shared" si="239"/>
        <v>MESA EN ACERO INOXIDABLE</v>
      </c>
      <c r="C4667" s="6">
        <v>6118.97</v>
      </c>
      <c r="D4667" s="5"/>
      <c r="E4667" s="5" t="str">
        <f t="shared" si="235"/>
        <v>ESTERILIZACION-DIANA SOFIA DIAZ CASTRO</v>
      </c>
      <c r="F4667" s="5" t="str">
        <f>"Descripcion: PLATON EN ACERO INOX. Estado: Bueno Placa anterior: 000012269 Material: ACERO Color:  Referencia:  Observacion: PERTENECE AL EQUIPO DE PARTO Placa padre: Tipo adquisicion: Entidad"</f>
        <v>Descripcion: PLATON EN ACERO INOX. Estado: Bueno Placa anterior: 000012269 Material: ACERO Color:  Referencia:  Observacion: PERTENECE AL EQUIPO DE PARTO Placa padre: Tipo adquisicion: Entidad</v>
      </c>
      <c r="G4667" s="5"/>
    </row>
    <row r="4668" spans="1:7" ht="58.5" customHeight="1" x14ac:dyDescent="0.25">
      <c r="A4668" s="5" t="str">
        <f>"B0005440"</f>
        <v>B0005440</v>
      </c>
      <c r="B4668" s="5" t="str">
        <f t="shared" si="239"/>
        <v>MESA EN ACERO INOXIDABLE</v>
      </c>
      <c r="C4668" s="6">
        <v>6118.97</v>
      </c>
      <c r="D4668" s="5"/>
      <c r="E4668" s="5" t="str">
        <f t="shared" si="235"/>
        <v>ESTERILIZACION-DIANA SOFIA DIAZ CASTRO</v>
      </c>
      <c r="F4668" s="5" t="str">
        <f>"Descripcion: PLATON EN ACERO INOX. Estado: Bueno Placa anterior: 000012270 Material: ACERO Color:  Referencia:  Observacion: PERTENECE AL EQUIPO DE PARTO Placa padre: Tipo adquisicion: Entidad"</f>
        <v>Descripcion: PLATON EN ACERO INOX. Estado: Bueno Placa anterior: 000012270 Material: ACERO Color:  Referencia:  Observacion: PERTENECE AL EQUIPO DE PARTO Placa padre: Tipo adquisicion: Entidad</v>
      </c>
      <c r="G4668" s="5"/>
    </row>
    <row r="4669" spans="1:7" ht="58.5" customHeight="1" x14ac:dyDescent="0.25">
      <c r="A4669" s="5" t="str">
        <f>"B0005441"</f>
        <v>B0005441</v>
      </c>
      <c r="B4669" s="5" t="str">
        <f t="shared" si="239"/>
        <v>MESA EN ACERO INOXIDABLE</v>
      </c>
      <c r="C4669" s="6">
        <v>6118.97</v>
      </c>
      <c r="D4669" s="5"/>
      <c r="E4669" s="5" t="str">
        <f t="shared" si="235"/>
        <v>ESTERILIZACION-DIANA SOFIA DIAZ CASTRO</v>
      </c>
      <c r="F4669" s="5" t="str">
        <f>"Descripcion: PLATON EN ACERO INOX. Estado: Bueno Placa anterior: 000012271 Material: ACERO Color:  Referencia:  Observacion: PERTENECE AL EQUIPO DE PARTO Placa padre: Tipo adquisicion: Entidad"</f>
        <v>Descripcion: PLATON EN ACERO INOX. Estado: Bueno Placa anterior: 000012271 Material: ACERO Color:  Referencia:  Observacion: PERTENECE AL EQUIPO DE PARTO Placa padre: Tipo adquisicion: Entidad</v>
      </c>
      <c r="G4669" s="5"/>
    </row>
    <row r="4670" spans="1:7" ht="58.5" customHeight="1" x14ac:dyDescent="0.25">
      <c r="A4670" s="5" t="str">
        <f>"B0005442"</f>
        <v>B0005442</v>
      </c>
      <c r="B4670" s="5" t="str">
        <f t="shared" si="239"/>
        <v>MESA EN ACERO INOXIDABLE</v>
      </c>
      <c r="C4670" s="6">
        <v>6118.97</v>
      </c>
      <c r="D4670" s="5"/>
      <c r="E4670" s="5" t="str">
        <f t="shared" si="235"/>
        <v>ESTERILIZACION-DIANA SOFIA DIAZ CASTRO</v>
      </c>
      <c r="F4670" s="5" t="str">
        <f>"Descripcion: PLATON EN ACERO INOX. Estado: Bueno Placa anterior: 000012272 Material: ACERO Color:  Referencia:  Observacion: PERTENECE AL EQUIPO DE PARTO Placa padre: Tipo adquisicion: Entidad"</f>
        <v>Descripcion: PLATON EN ACERO INOX. Estado: Bueno Placa anterior: 000012272 Material: ACERO Color:  Referencia:  Observacion: PERTENECE AL EQUIPO DE PARTO Placa padre: Tipo adquisicion: Entidad</v>
      </c>
      <c r="G4670" s="5"/>
    </row>
    <row r="4671" spans="1:7" ht="58.5" customHeight="1" x14ac:dyDescent="0.25">
      <c r="A4671" s="5" t="str">
        <f>"B0005443"</f>
        <v>B0005443</v>
      </c>
      <c r="B4671" s="5" t="str">
        <f t="shared" si="239"/>
        <v>MESA EN ACERO INOXIDABLE</v>
      </c>
      <c r="C4671" s="6">
        <v>6118.97</v>
      </c>
      <c r="D4671" s="5"/>
      <c r="E4671" s="5" t="str">
        <f t="shared" si="235"/>
        <v>ESTERILIZACION-DIANA SOFIA DIAZ CASTRO</v>
      </c>
      <c r="F4671" s="5" t="str">
        <f>"Descripcion: PLATON EN ACERO INOX. Estado: Bueno Placa anterior: 000012282 Material: ACERO Color:  Referencia:  Observacion: PERTENECE AL EQUIPO DE PARTO Placa padre: Tipo adquisicion: Entidad"</f>
        <v>Descripcion: PLATON EN ACERO INOX. Estado: Bueno Placa anterior: 000012282 Material: ACERO Color:  Referencia:  Observacion: PERTENECE AL EQUIPO DE PARTO Placa padre: Tipo adquisicion: Entidad</v>
      </c>
      <c r="G4671" s="5"/>
    </row>
    <row r="4672" spans="1:7" ht="58.5" customHeight="1" x14ac:dyDescent="0.25">
      <c r="A4672" s="5" t="str">
        <f>"B0005444"</f>
        <v>B0005444</v>
      </c>
      <c r="B4672" s="5" t="str">
        <f t="shared" ref="B4672:B4677" si="240">"CUBETA DE ACERO INOXIDABLE CON TAPA MEDIANA"</f>
        <v>CUBETA DE ACERO INOXIDABLE CON TAPA MEDIANA</v>
      </c>
      <c r="C4672" s="6">
        <v>3454.98</v>
      </c>
      <c r="D4672" s="5"/>
      <c r="E4672" s="5" t="str">
        <f t="shared" ref="E4672:E4735" si="241">"ESTERILIZACION-DIANA SOFIA DIAZ CASTRO"</f>
        <v>ESTERILIZACION-DIANA SOFIA DIAZ CASTRO</v>
      </c>
      <c r="F4672" s="5" t="str">
        <f>"Descripcion: CUBETA EN ACERO INOX. C/ Y S/ TAPA GRANDE,MEDIANA Y PEQUEÑA Estado: Bueno Placa anterior: 000013783 Material: ACERO Color:  Referencia:  Observacion: EQUIPO DE EPISIO Placa padre: Tipo adquisicion: Entidad"</f>
        <v>Descripcion: CUBETA EN ACERO INOX. C/ Y S/ TAPA GRANDE,MEDIANA Y PEQUEÑA Estado: Bueno Placa anterior: 000013783 Material: ACERO Color:  Referencia:  Observacion: EQUIPO DE EPISIO Placa padre: Tipo adquisicion: Entidad</v>
      </c>
      <c r="G4672" s="5"/>
    </row>
    <row r="4673" spans="1:7" ht="58.5" customHeight="1" x14ac:dyDescent="0.25">
      <c r="A4673" s="5" t="str">
        <f>"B0005445"</f>
        <v>B0005445</v>
      </c>
      <c r="B4673" s="5" t="str">
        <f t="shared" si="240"/>
        <v>CUBETA DE ACERO INOXIDABLE CON TAPA MEDIANA</v>
      </c>
      <c r="C4673" s="6">
        <v>3454.98</v>
      </c>
      <c r="D4673" s="5"/>
      <c r="E4673" s="5" t="str">
        <f t="shared" si="241"/>
        <v>ESTERILIZACION-DIANA SOFIA DIAZ CASTRO</v>
      </c>
      <c r="F4673" s="5" t="str">
        <f>"Descripcion: CUBETA EN ACERO INOX. C/ Y S/ TAPA GRANDE,MEDIANA Y PEQUEÑA Estado: Bueno Placa anterior: 000013784 Material: ACERO Color:  Referencia:  Observacion: EQUIPO DE EPISIO Placa padre: Tipo adquisicion: Entidad"</f>
        <v>Descripcion: CUBETA EN ACERO INOX. C/ Y S/ TAPA GRANDE,MEDIANA Y PEQUEÑA Estado: Bueno Placa anterior: 000013784 Material: ACERO Color:  Referencia:  Observacion: EQUIPO DE EPISIO Placa padre: Tipo adquisicion: Entidad</v>
      </c>
      <c r="G4673" s="5"/>
    </row>
    <row r="4674" spans="1:7" ht="58.5" customHeight="1" x14ac:dyDescent="0.25">
      <c r="A4674" s="5" t="str">
        <f>"B0005446"</f>
        <v>B0005446</v>
      </c>
      <c r="B4674" s="5" t="str">
        <f t="shared" si="240"/>
        <v>CUBETA DE ACERO INOXIDABLE CON TAPA MEDIANA</v>
      </c>
      <c r="C4674" s="6">
        <v>3454.98</v>
      </c>
      <c r="D4674" s="5"/>
      <c r="E4674" s="5" t="str">
        <f t="shared" si="241"/>
        <v>ESTERILIZACION-DIANA SOFIA DIAZ CASTRO</v>
      </c>
      <c r="F4674" s="5" t="str">
        <f>"Descripcion: CUBETA EN ACERO INOX. C/ Y S/ TAPA GRANDE,MEDIANA Y PEQUEÑA Estado: Bueno Placa anterior: 000015442 Material: ACERO Color:  Referencia:  Observacion: EQUIPO DE EPISIO Placa padre: Tipo adquisicion: Entidad"</f>
        <v>Descripcion: CUBETA EN ACERO INOX. C/ Y S/ TAPA GRANDE,MEDIANA Y PEQUEÑA Estado: Bueno Placa anterior: 000015442 Material: ACERO Color:  Referencia:  Observacion: EQUIPO DE EPISIO Placa padre: Tipo adquisicion: Entidad</v>
      </c>
      <c r="G4674" s="5"/>
    </row>
    <row r="4675" spans="1:7" ht="58.5" customHeight="1" x14ac:dyDescent="0.25">
      <c r="A4675" s="5" t="str">
        <f>"B0005447"</f>
        <v>B0005447</v>
      </c>
      <c r="B4675" s="5" t="str">
        <f t="shared" si="240"/>
        <v>CUBETA DE ACERO INOXIDABLE CON TAPA MEDIANA</v>
      </c>
      <c r="C4675" s="6">
        <v>3454.98</v>
      </c>
      <c r="D4675" s="5"/>
      <c r="E4675" s="5" t="str">
        <f t="shared" si="241"/>
        <v>ESTERILIZACION-DIANA SOFIA DIAZ CASTRO</v>
      </c>
      <c r="F4675" s="5" t="str">
        <f>"Descripcion: CUBETA EN ACERO INOX. C/ Y S/ TAPA GRANDE,MEDIANA Y PEQUEÑA Estado: Bueno Placa anterior: 000015447 Material: ACERO Color:  Referencia:  Observacion: EQUIPO DE EPISIO Placa padre: Tipo adquisicion: Entidad"</f>
        <v>Descripcion: CUBETA EN ACERO INOX. C/ Y S/ TAPA GRANDE,MEDIANA Y PEQUEÑA Estado: Bueno Placa anterior: 000015447 Material: ACERO Color:  Referencia:  Observacion: EQUIPO DE EPISIO Placa padre: Tipo adquisicion: Entidad</v>
      </c>
      <c r="G4675" s="5"/>
    </row>
    <row r="4676" spans="1:7" ht="58.5" customHeight="1" x14ac:dyDescent="0.25">
      <c r="A4676" s="5" t="str">
        <f>"B0005448"</f>
        <v>B0005448</v>
      </c>
      <c r="B4676" s="5" t="str">
        <f t="shared" si="240"/>
        <v>CUBETA DE ACERO INOXIDABLE CON TAPA MEDIANA</v>
      </c>
      <c r="C4676" s="6">
        <v>3454.98</v>
      </c>
      <c r="D4676" s="5"/>
      <c r="E4676" s="5" t="str">
        <f t="shared" si="241"/>
        <v>ESTERILIZACION-DIANA SOFIA DIAZ CASTRO</v>
      </c>
      <c r="F4676" s="5" t="str">
        <f>"Descripcion: CUBETA EN ACERO INOX. C/ Y S/ TAPA GRANDE,MEDIANA Y PEQUEÑA Estado: Bueno Placa anterior: 000015448 Material: ACERO Color:  Referencia:  Observacion: EQUIPO DE EPISIO Placa padre: Tipo adquisicion: Entidad"</f>
        <v>Descripcion: CUBETA EN ACERO INOX. C/ Y S/ TAPA GRANDE,MEDIANA Y PEQUEÑA Estado: Bueno Placa anterior: 000015448 Material: ACERO Color:  Referencia:  Observacion: EQUIPO DE EPISIO Placa padre: Tipo adquisicion: Entidad</v>
      </c>
      <c r="G4676" s="5"/>
    </row>
    <row r="4677" spans="1:7" ht="58.5" customHeight="1" x14ac:dyDescent="0.25">
      <c r="A4677" s="5" t="str">
        <f>"B0005449"</f>
        <v>B0005449</v>
      </c>
      <c r="B4677" s="5" t="str">
        <f t="shared" si="240"/>
        <v>CUBETA DE ACERO INOXIDABLE CON TAPA MEDIANA</v>
      </c>
      <c r="C4677" s="6">
        <v>3454.98</v>
      </c>
      <c r="D4677" s="5"/>
      <c r="E4677" s="5" t="str">
        <f t="shared" si="241"/>
        <v>ESTERILIZACION-DIANA SOFIA DIAZ CASTRO</v>
      </c>
      <c r="F4677" s="5" t="str">
        <f>"Descripcion: CUBETA EN ACERO INOX. C/ Y S/ TAPA GRANDE,MEDIANA Y PEQUEÑA Estado: Bueno Placa anterior: 000013814 Material: ACERO Color:  Referencia:  Observacion: EQUIPO DE EPISIO Placa padre: Tipo adquisicion: Entidad"</f>
        <v>Descripcion: CUBETA EN ACERO INOX. C/ Y S/ TAPA GRANDE,MEDIANA Y PEQUEÑA Estado: Bueno Placa anterior: 000013814 Material: ACERO Color:  Referencia:  Observacion: EQUIPO DE EPISIO Placa padre: Tipo adquisicion: Entidad</v>
      </c>
      <c r="G4677" s="5"/>
    </row>
    <row r="4678" spans="1:7" ht="58.5" customHeight="1" x14ac:dyDescent="0.25">
      <c r="A4678" s="5" t="str">
        <f>"B0005452"</f>
        <v>B0005452</v>
      </c>
      <c r="B4678" s="5" t="str">
        <f t="shared" ref="B4678:B4685" si="242">"PORTAGUJAS (PINZA)"</f>
        <v>PORTAGUJAS (PINZA)</v>
      </c>
      <c r="C4678" s="6">
        <v>23886</v>
      </c>
      <c r="D4678" s="5"/>
      <c r="E4678" s="5" t="str">
        <f t="shared" si="241"/>
        <v>ESTERILIZACION-DIANA SOFIA DIAZ CASTRO</v>
      </c>
      <c r="F4678" s="5" t="str">
        <f>"Descripcion: PORTA AGUJA DE MAYO Estado: Bueno Placa anterior: 000014002 Material: ACERO Color:  Referencia:  Observacion: EQUIPO DE EPISIO Placa padre: Tipo adquisicion: Entidad"</f>
        <v>Descripcion: PORTA AGUJA DE MAYO Estado: Bueno Placa anterior: 000014002 Material: ACERO Color:  Referencia:  Observacion: EQUIPO DE EPISIO Placa padre: Tipo adquisicion: Entidad</v>
      </c>
      <c r="G4678" s="5"/>
    </row>
    <row r="4679" spans="1:7" ht="58.5" customHeight="1" x14ac:dyDescent="0.25">
      <c r="A4679" s="5" t="str">
        <f>"B0005453"</f>
        <v>B0005453</v>
      </c>
      <c r="B4679" s="5" t="str">
        <f t="shared" si="242"/>
        <v>PORTAGUJAS (PINZA)</v>
      </c>
      <c r="C4679" s="6">
        <v>23886</v>
      </c>
      <c r="D4679" s="5"/>
      <c r="E4679" s="5" t="str">
        <f t="shared" si="241"/>
        <v>ESTERILIZACION-DIANA SOFIA DIAZ CASTRO</v>
      </c>
      <c r="F4679" s="5" t="str">
        <f>"Descripcion: PORTA AGUJA DE MAYO Estado: Bueno Placa anterior: 000014003 Material: ACERO Color:  Referencia:  Observacion: EQUIPO DE EPISIO Placa padre: Tipo adquisicion: Entidad"</f>
        <v>Descripcion: PORTA AGUJA DE MAYO Estado: Bueno Placa anterior: 000014003 Material: ACERO Color:  Referencia:  Observacion: EQUIPO DE EPISIO Placa padre: Tipo adquisicion: Entidad</v>
      </c>
      <c r="G4679" s="5"/>
    </row>
    <row r="4680" spans="1:7" ht="58.5" customHeight="1" x14ac:dyDescent="0.25">
      <c r="A4680" s="5" t="str">
        <f>"B0005454"</f>
        <v>B0005454</v>
      </c>
      <c r="B4680" s="5" t="str">
        <f t="shared" si="242"/>
        <v>PORTAGUJAS (PINZA)</v>
      </c>
      <c r="C4680" s="6">
        <v>23886</v>
      </c>
      <c r="D4680" s="5"/>
      <c r="E4680" s="5" t="str">
        <f t="shared" si="241"/>
        <v>ESTERILIZACION-DIANA SOFIA DIAZ CASTRO</v>
      </c>
      <c r="F4680" s="5" t="str">
        <f>"Descripcion: PORTA AGUJA DE MAYO Estado: Bueno Placa anterior: 000014004 Material: ACERO Color:  Referencia:  Observacion: EQUIPO DE EPISIO Placa padre: Tipo adquisicion: Entidad"</f>
        <v>Descripcion: PORTA AGUJA DE MAYO Estado: Bueno Placa anterior: 000014004 Material: ACERO Color:  Referencia:  Observacion: EQUIPO DE EPISIO Placa padre: Tipo adquisicion: Entidad</v>
      </c>
      <c r="G4680" s="5"/>
    </row>
    <row r="4681" spans="1:7" ht="58.5" customHeight="1" x14ac:dyDescent="0.25">
      <c r="A4681" s="5" t="str">
        <f>"B0005455"</f>
        <v>B0005455</v>
      </c>
      <c r="B4681" s="5" t="str">
        <f t="shared" si="242"/>
        <v>PORTAGUJAS (PINZA)</v>
      </c>
      <c r="C4681" s="6">
        <v>23886</v>
      </c>
      <c r="D4681" s="5"/>
      <c r="E4681" s="5" t="str">
        <f t="shared" si="241"/>
        <v>ESTERILIZACION-DIANA SOFIA DIAZ CASTRO</v>
      </c>
      <c r="F4681" s="5" t="str">
        <f>"Descripcion: PORTA AGUJA DE MAYO Estado: Bueno Placa anterior: 000014006 Material: ACERO Color:  Referencia:  Observacion: EQUIPO DE EPISIO Placa padre: Tipo adquisicion: Entidad"</f>
        <v>Descripcion: PORTA AGUJA DE MAYO Estado: Bueno Placa anterior: 000014006 Material: ACERO Color:  Referencia:  Observacion: EQUIPO DE EPISIO Placa padre: Tipo adquisicion: Entidad</v>
      </c>
      <c r="G4681" s="5"/>
    </row>
    <row r="4682" spans="1:7" ht="58.5" customHeight="1" x14ac:dyDescent="0.25">
      <c r="A4682" s="5" t="str">
        <f>"B0005456"</f>
        <v>B0005456</v>
      </c>
      <c r="B4682" s="5" t="str">
        <f t="shared" si="242"/>
        <v>PORTAGUJAS (PINZA)</v>
      </c>
      <c r="C4682" s="6">
        <v>23886</v>
      </c>
      <c r="D4682" s="5"/>
      <c r="E4682" s="5" t="str">
        <f t="shared" si="241"/>
        <v>ESTERILIZACION-DIANA SOFIA DIAZ CASTRO</v>
      </c>
      <c r="F4682" s="5" t="str">
        <f>"Descripcion: PORTA AGUJA DE MAYO Estado: Bueno Placa anterior: 000014007 Material: ACERO Color:  Referencia:  Observacion: EQUIPO DE EPISIO Placa padre: Tipo adquisicion: Entidad"</f>
        <v>Descripcion: PORTA AGUJA DE MAYO Estado: Bueno Placa anterior: 000014007 Material: ACERO Color:  Referencia:  Observacion: EQUIPO DE EPISIO Placa padre: Tipo adquisicion: Entidad</v>
      </c>
      <c r="G4682" s="5"/>
    </row>
    <row r="4683" spans="1:7" ht="58.5" customHeight="1" x14ac:dyDescent="0.25">
      <c r="A4683" s="5" t="str">
        <f>"B0005457"</f>
        <v>B0005457</v>
      </c>
      <c r="B4683" s="5" t="str">
        <f t="shared" si="242"/>
        <v>PORTAGUJAS (PINZA)</v>
      </c>
      <c r="C4683" s="6">
        <v>23886</v>
      </c>
      <c r="D4683" s="5"/>
      <c r="E4683" s="5" t="str">
        <f t="shared" si="241"/>
        <v>ESTERILIZACION-DIANA SOFIA DIAZ CASTRO</v>
      </c>
      <c r="F4683" s="5" t="str">
        <f>"Descripcion: PORTA AGUJA DE MAYO Estado: Bueno Placa anterior: 000014008 Material: ACERO Color:  Referencia:  Observacion: EQUIPO DE EPISIO Placa padre: Tipo adquisicion: Entidad"</f>
        <v>Descripcion: PORTA AGUJA DE MAYO Estado: Bueno Placa anterior: 000014008 Material: ACERO Color:  Referencia:  Observacion: EQUIPO DE EPISIO Placa padre: Tipo adquisicion: Entidad</v>
      </c>
      <c r="G4683" s="5"/>
    </row>
    <row r="4684" spans="1:7" ht="58.5" customHeight="1" x14ac:dyDescent="0.25">
      <c r="A4684" s="5" t="str">
        <f>"B0005458"</f>
        <v>B0005458</v>
      </c>
      <c r="B4684" s="5" t="str">
        <f t="shared" si="242"/>
        <v>PORTAGUJAS (PINZA)</v>
      </c>
      <c r="C4684" s="6">
        <v>23886</v>
      </c>
      <c r="D4684" s="5"/>
      <c r="E4684" s="5" t="str">
        <f t="shared" si="241"/>
        <v>ESTERILIZACION-DIANA SOFIA DIAZ CASTRO</v>
      </c>
      <c r="F4684" s="5" t="str">
        <f>"Descripcion: PORTA AGUJA DE MAYO Estado: Bueno Placa anterior: 000014009 Material: ACERO Color:  Referencia:  Observacion: EQUIPO DE EPISIO Placa padre: Tipo adquisicion: Entidad"</f>
        <v>Descripcion: PORTA AGUJA DE MAYO Estado: Bueno Placa anterior: 000014009 Material: ACERO Color:  Referencia:  Observacion: EQUIPO DE EPISIO Placa padre: Tipo adquisicion: Entidad</v>
      </c>
      <c r="G4684" s="5"/>
    </row>
    <row r="4685" spans="1:7" ht="58.5" customHeight="1" x14ac:dyDescent="0.25">
      <c r="A4685" s="5" t="str">
        <f>"B0005459"</f>
        <v>B0005459</v>
      </c>
      <c r="B4685" s="5" t="str">
        <f t="shared" si="242"/>
        <v>PORTAGUJAS (PINZA)</v>
      </c>
      <c r="C4685" s="6">
        <v>23886</v>
      </c>
      <c r="D4685" s="5"/>
      <c r="E4685" s="5" t="str">
        <f t="shared" si="241"/>
        <v>ESTERILIZACION-DIANA SOFIA DIAZ CASTRO</v>
      </c>
      <c r="F4685" s="5" t="str">
        <f>"Descripcion: PORTA AGUJA DE MAYO Estado: Bueno Placa anterior: 000014010 Material: ACERO Color:  Referencia:  Observacion: EQUIPO DE EPISIO Placa padre: Tipo adquisicion: Entidad"</f>
        <v>Descripcion: PORTA AGUJA DE MAYO Estado: Bueno Placa anterior: 000014010 Material: ACERO Color:  Referencia:  Observacion: EQUIPO DE EPISIO Placa padre: Tipo adquisicion: Entidad</v>
      </c>
      <c r="G4685" s="5"/>
    </row>
    <row r="4686" spans="1:7" ht="58.5" customHeight="1" x14ac:dyDescent="0.25">
      <c r="A4686" s="5" t="str">
        <f>"B0005460"</f>
        <v>B0005460</v>
      </c>
      <c r="B4686" s="5" t="str">
        <f t="shared" ref="B4686:B4691" si="243">"TIJERA DE EPISIOTOMIA DE 14 CM"</f>
        <v>TIJERA DE EPISIOTOMIA DE 14 CM</v>
      </c>
      <c r="C4686" s="6">
        <v>18482.759999999998</v>
      </c>
      <c r="D4686" s="5"/>
      <c r="E4686" s="5" t="str">
        <f t="shared" si="241"/>
        <v>ESTERILIZACION-DIANA SOFIA DIAZ CASTRO</v>
      </c>
      <c r="F4686" s="5" t="str">
        <f>"Descripcion: TIJERA DE EPISIOTOMIA Estado: Bueno Placa anterior: 000014025 Material:  Color:  Referencia:  Observacion: PERTENECE AL EQUIPO DE EPISIO Placa padre: Tipo adquisicion: Entidad"</f>
        <v>Descripcion: TIJERA DE EPISIOTOMIA Estado: Bueno Placa anterior: 000014025 Material:  Color:  Referencia:  Observacion: PERTENECE AL EQUIPO DE EPISIO Placa padre: Tipo adquisicion: Entidad</v>
      </c>
      <c r="G4686" s="5"/>
    </row>
    <row r="4687" spans="1:7" ht="58.5" customHeight="1" x14ac:dyDescent="0.25">
      <c r="A4687" s="5" t="str">
        <f>"B0005461"</f>
        <v>B0005461</v>
      </c>
      <c r="B4687" s="5" t="str">
        <f t="shared" si="243"/>
        <v>TIJERA DE EPISIOTOMIA DE 14 CM</v>
      </c>
      <c r="C4687" s="6">
        <v>18482.759999999998</v>
      </c>
      <c r="D4687" s="5"/>
      <c r="E4687" s="5" t="str">
        <f t="shared" si="241"/>
        <v>ESTERILIZACION-DIANA SOFIA DIAZ CASTRO</v>
      </c>
      <c r="F4687" s="5" t="str">
        <f>"Descripcion: TIJERA DE EPISIOTOMIA Estado: Bueno Placa anterior: 000014026 Material:  Color:  Referencia:  Observacion: PERTENECE AL EQUIPO DE EPISO Placa padre: Tipo adquisicion: Entidad"</f>
        <v>Descripcion: TIJERA DE EPISIOTOMIA Estado: Bueno Placa anterior: 000014026 Material:  Color:  Referencia:  Observacion: PERTENECE AL EQUIPO DE EPISO Placa padre: Tipo adquisicion: Entidad</v>
      </c>
      <c r="G4687" s="5"/>
    </row>
    <row r="4688" spans="1:7" ht="58.5" customHeight="1" x14ac:dyDescent="0.25">
      <c r="A4688" s="5" t="str">
        <f>"B0005462"</f>
        <v>B0005462</v>
      </c>
      <c r="B4688" s="5" t="str">
        <f t="shared" si="243"/>
        <v>TIJERA DE EPISIOTOMIA DE 14 CM</v>
      </c>
      <c r="C4688" s="6">
        <v>18482.759999999998</v>
      </c>
      <c r="D4688" s="5"/>
      <c r="E4688" s="5" t="str">
        <f t="shared" si="241"/>
        <v>ESTERILIZACION-DIANA SOFIA DIAZ CASTRO</v>
      </c>
      <c r="F4688" s="5" t="str">
        <f>"Descripcion: TIJERA DE EPISIOTOMIA Estado: Bueno Placa anterior: 000014027 Material: ACERO Color:  Referencia:  Observacion: PERTENECE AL EQUIPO DE EPISIO Placa padre: Tipo adquisicion: Entidad"</f>
        <v>Descripcion: TIJERA DE EPISIOTOMIA Estado: Bueno Placa anterior: 000014027 Material: ACERO Color:  Referencia:  Observacion: PERTENECE AL EQUIPO DE EPISIO Placa padre: Tipo adquisicion: Entidad</v>
      </c>
      <c r="G4688" s="5"/>
    </row>
    <row r="4689" spans="1:7" ht="58.5" customHeight="1" x14ac:dyDescent="0.25">
      <c r="A4689" s="5" t="str">
        <f>"B0005463"</f>
        <v>B0005463</v>
      </c>
      <c r="B4689" s="5" t="str">
        <f t="shared" si="243"/>
        <v>TIJERA DE EPISIOTOMIA DE 14 CM</v>
      </c>
      <c r="C4689" s="6">
        <v>18482.759999999998</v>
      </c>
      <c r="D4689" s="5"/>
      <c r="E4689" s="5" t="str">
        <f t="shared" si="241"/>
        <v>ESTERILIZACION-DIANA SOFIA DIAZ CASTRO</v>
      </c>
      <c r="F4689" s="5" t="str">
        <f>"Descripcion: TIJERA DE EPISIOTOMIA Estado: Bueno Placa anterior: 000014028 Material: ACERO Color:  Referencia:  Observacion: PERTENECE AL EQUIPO DE EPISIO Placa padre: Tipo adquisicion: Entidad"</f>
        <v>Descripcion: TIJERA DE EPISIOTOMIA Estado: Bueno Placa anterior: 000014028 Material: ACERO Color:  Referencia:  Observacion: PERTENECE AL EQUIPO DE EPISIO Placa padre: Tipo adquisicion: Entidad</v>
      </c>
      <c r="G4689" s="5"/>
    </row>
    <row r="4690" spans="1:7" ht="58.5" customHeight="1" x14ac:dyDescent="0.25">
      <c r="A4690" s="5" t="str">
        <f>"B0005464"</f>
        <v>B0005464</v>
      </c>
      <c r="B4690" s="5" t="str">
        <f t="shared" si="243"/>
        <v>TIJERA DE EPISIOTOMIA DE 14 CM</v>
      </c>
      <c r="C4690" s="6">
        <v>18482.759999999998</v>
      </c>
      <c r="D4690" s="5"/>
      <c r="E4690" s="5" t="str">
        <f t="shared" si="241"/>
        <v>ESTERILIZACION-DIANA SOFIA DIAZ CASTRO</v>
      </c>
      <c r="F4690" s="5" t="str">
        <f>"Descripcion: TIJERA DE EPISIOTOMIA Estado: Bueno Placa anterior: 000014029 Material: ACERO Color:  Referencia:  Observacion: PERTENECE AL EQUIPO DE EPISIO Placa padre: Tipo adquisicion: Entidad"</f>
        <v>Descripcion: TIJERA DE EPISIOTOMIA Estado: Bueno Placa anterior: 000014029 Material: ACERO Color:  Referencia:  Observacion: PERTENECE AL EQUIPO DE EPISIO Placa padre: Tipo adquisicion: Entidad</v>
      </c>
      <c r="G4690" s="5"/>
    </row>
    <row r="4691" spans="1:7" ht="58.5" customHeight="1" x14ac:dyDescent="0.25">
      <c r="A4691" s="5" t="str">
        <f>"B0005465"</f>
        <v>B0005465</v>
      </c>
      <c r="B4691" s="5" t="str">
        <f t="shared" si="243"/>
        <v>TIJERA DE EPISIOTOMIA DE 14 CM</v>
      </c>
      <c r="C4691" s="6">
        <v>18482.759999999998</v>
      </c>
      <c r="D4691" s="5"/>
      <c r="E4691" s="5" t="str">
        <f t="shared" si="241"/>
        <v>ESTERILIZACION-DIANA SOFIA DIAZ CASTRO</v>
      </c>
      <c r="F4691" s="5" t="str">
        <f>"Descripcion: TIJERA DE EPISIOTOMIA Estado: Bueno Placa anterior: 000014030 Material: ACERO Color:  Referencia:  Observacion: PERTENECE AL EQUIPO DE EPISIO Placa padre: Tipo adquisicion: Entidad"</f>
        <v>Descripcion: TIJERA DE EPISIOTOMIA Estado: Bueno Placa anterior: 000014030 Material: ACERO Color:  Referencia:  Observacion: PERTENECE AL EQUIPO DE EPISIO Placa padre: Tipo adquisicion: Entidad</v>
      </c>
      <c r="G4691" s="5"/>
    </row>
    <row r="4692" spans="1:7" ht="58.5" customHeight="1" x14ac:dyDescent="0.25">
      <c r="A4692" s="5" t="str">
        <f>"B0005466"</f>
        <v>B0005466</v>
      </c>
      <c r="B4692" s="5" t="str">
        <f t="shared" ref="B4692:B4701" si="244">"TIJERA DE MAYO LARGA 25 CM"</f>
        <v>TIJERA DE MAYO LARGA 25 CM</v>
      </c>
      <c r="C4692" s="6">
        <v>4370.68</v>
      </c>
      <c r="D4692" s="5"/>
      <c r="E4692" s="5" t="str">
        <f t="shared" si="241"/>
        <v>ESTERILIZACION-DIANA SOFIA DIAZ CASTRO</v>
      </c>
      <c r="F4692" s="5" t="str">
        <f>"Descripcion: TIJERA DE MAYO MEDIANA Estado: Bueno Placa anterior: 000014036 Material: ACERO Color:  Referencia:  Observacion: PERTENECE AL EQUIPO DE EPISIO Placa padre: Tipo adquisicion: Entidad"</f>
        <v>Descripcion: TIJERA DE MAYO MEDIANA Estado: Bueno Placa anterior: 000014036 Material: ACERO Color:  Referencia:  Observacion: PERTENECE AL EQUIPO DE EPISIO Placa padre: Tipo adquisicion: Entidad</v>
      </c>
      <c r="G4692" s="5"/>
    </row>
    <row r="4693" spans="1:7" ht="58.5" customHeight="1" x14ac:dyDescent="0.25">
      <c r="A4693" s="5" t="str">
        <f>"B0005467"</f>
        <v>B0005467</v>
      </c>
      <c r="B4693" s="5" t="str">
        <f t="shared" si="244"/>
        <v>TIJERA DE MAYO LARGA 25 CM</v>
      </c>
      <c r="C4693" s="6">
        <v>4370.68</v>
      </c>
      <c r="D4693" s="5"/>
      <c r="E4693" s="5" t="str">
        <f t="shared" si="241"/>
        <v>ESTERILIZACION-DIANA SOFIA DIAZ CASTRO</v>
      </c>
      <c r="F4693" s="5" t="str">
        <f>"Descripcion: TIJERA DE MAYO MEDIANA Estado: Bueno Placa anterior: 000014037 Material: ACERO Color:  Referencia:  Observacion: PERTENECE AL EQUIPO DE PARTO Placa padre: Tipo adquisicion: Entidad"</f>
        <v>Descripcion: TIJERA DE MAYO MEDIANA Estado: Bueno Placa anterior: 000014037 Material: ACERO Color:  Referencia:  Observacion: PERTENECE AL EQUIPO DE PARTO Placa padre: Tipo adquisicion: Entidad</v>
      </c>
      <c r="G4693" s="5"/>
    </row>
    <row r="4694" spans="1:7" ht="58.5" customHeight="1" x14ac:dyDescent="0.25">
      <c r="A4694" s="5" t="str">
        <f>"B0005468"</f>
        <v>B0005468</v>
      </c>
      <c r="B4694" s="5" t="str">
        <f t="shared" si="244"/>
        <v>TIJERA DE MAYO LARGA 25 CM</v>
      </c>
      <c r="C4694" s="6">
        <v>4370.68</v>
      </c>
      <c r="D4694" s="5"/>
      <c r="E4694" s="5" t="str">
        <f t="shared" si="241"/>
        <v>ESTERILIZACION-DIANA SOFIA DIAZ CASTRO</v>
      </c>
      <c r="F4694" s="5" t="str">
        <f>"Descripcion: TIJERA DE MAYO MEDIANA Estado: Bueno Placa anterior: 000014038 Material: ACERO Color:  Referencia:  Observacion: PERTENECE AL EQUIPO DE PARTO Placa padre: Tipo adquisicion: Entidad"</f>
        <v>Descripcion: TIJERA DE MAYO MEDIANA Estado: Bueno Placa anterior: 000014038 Material: ACERO Color:  Referencia:  Observacion: PERTENECE AL EQUIPO DE PARTO Placa padre: Tipo adquisicion: Entidad</v>
      </c>
      <c r="G4694" s="5"/>
    </row>
    <row r="4695" spans="1:7" ht="58.5" customHeight="1" x14ac:dyDescent="0.25">
      <c r="A4695" s="5" t="str">
        <f>"B0005469"</f>
        <v>B0005469</v>
      </c>
      <c r="B4695" s="5" t="str">
        <f t="shared" si="244"/>
        <v>TIJERA DE MAYO LARGA 25 CM</v>
      </c>
      <c r="C4695" s="6">
        <v>4370.68</v>
      </c>
      <c r="D4695" s="5"/>
      <c r="E4695" s="5" t="str">
        <f t="shared" si="241"/>
        <v>ESTERILIZACION-DIANA SOFIA DIAZ CASTRO</v>
      </c>
      <c r="F4695" s="5" t="str">
        <f>"Descripcion: TIJERA DE MAYO MEDIANA Estado: Bueno Placa anterior: 000014039 Material: ACERO Color:  Referencia:  Observacion: PERTENECE AL EQUIPO DE PARTO Placa padre: Tipo adquisicion: Entidad"</f>
        <v>Descripcion: TIJERA DE MAYO MEDIANA Estado: Bueno Placa anterior: 000014039 Material: ACERO Color:  Referencia:  Observacion: PERTENECE AL EQUIPO DE PARTO Placa padre: Tipo adquisicion: Entidad</v>
      </c>
      <c r="G4695" s="5"/>
    </row>
    <row r="4696" spans="1:7" ht="58.5" customHeight="1" x14ac:dyDescent="0.25">
      <c r="A4696" s="5" t="str">
        <f>"B0005470"</f>
        <v>B0005470</v>
      </c>
      <c r="B4696" s="5" t="str">
        <f t="shared" si="244"/>
        <v>TIJERA DE MAYO LARGA 25 CM</v>
      </c>
      <c r="C4696" s="6">
        <v>4370.68</v>
      </c>
      <c r="D4696" s="5"/>
      <c r="E4696" s="5" t="str">
        <f t="shared" si="241"/>
        <v>ESTERILIZACION-DIANA SOFIA DIAZ CASTRO</v>
      </c>
      <c r="F4696" s="5" t="str">
        <f>"Descripcion: TIJERA DE MAYO MEDIANA Estado: Bueno Placa anterior: 000014040 Material: ACERO Color:  Referencia:  Observacion: PERTENECE AL EQUIPO DE PARTO Placa padre: Tipo adquisicion: Entidad"</f>
        <v>Descripcion: TIJERA DE MAYO MEDIANA Estado: Bueno Placa anterior: 000014040 Material: ACERO Color:  Referencia:  Observacion: PERTENECE AL EQUIPO DE PARTO Placa padre: Tipo adquisicion: Entidad</v>
      </c>
      <c r="G4696" s="5"/>
    </row>
    <row r="4697" spans="1:7" ht="58.5" customHeight="1" x14ac:dyDescent="0.25">
      <c r="A4697" s="5" t="str">
        <f>"B0005471"</f>
        <v>B0005471</v>
      </c>
      <c r="B4697" s="5" t="str">
        <f t="shared" si="244"/>
        <v>TIJERA DE MAYO LARGA 25 CM</v>
      </c>
      <c r="C4697" s="6">
        <v>4370.68</v>
      </c>
      <c r="D4697" s="5"/>
      <c r="E4697" s="5" t="str">
        <f t="shared" si="241"/>
        <v>ESTERILIZACION-DIANA SOFIA DIAZ CASTRO</v>
      </c>
      <c r="F4697" s="5" t="str">
        <f>"Descripcion: TIJERA DE MAYO MEDIANA Estado: Bueno Placa anterior: 000014041 Material: ACERO Color:  Referencia:  Observacion: PERTENECE AL EQUIPO DE PARTO Placa padre: Tipo adquisicion: Entidad"</f>
        <v>Descripcion: TIJERA DE MAYO MEDIANA Estado: Bueno Placa anterior: 000014041 Material: ACERO Color:  Referencia:  Observacion: PERTENECE AL EQUIPO DE PARTO Placa padre: Tipo adquisicion: Entidad</v>
      </c>
      <c r="G4697" s="5"/>
    </row>
    <row r="4698" spans="1:7" ht="58.5" customHeight="1" x14ac:dyDescent="0.25">
      <c r="A4698" s="5" t="str">
        <f>"B0005472"</f>
        <v>B0005472</v>
      </c>
      <c r="B4698" s="5" t="str">
        <f t="shared" si="244"/>
        <v>TIJERA DE MAYO LARGA 25 CM</v>
      </c>
      <c r="C4698" s="6">
        <v>4370.68</v>
      </c>
      <c r="D4698" s="5"/>
      <c r="E4698" s="5" t="str">
        <f t="shared" si="241"/>
        <v>ESTERILIZACION-DIANA SOFIA DIAZ CASTRO</v>
      </c>
      <c r="F4698" s="5" t="str">
        <f>"Descripcion: TIJERA DE MAYO MEDIANA Estado: Bueno Placa anterior: 000014042 Material: ACERO Color:  Referencia:  Observacion: PERTENECE AL EQUIPO DE PARTO Placa padre: Tipo adquisicion: Entidad"</f>
        <v>Descripcion: TIJERA DE MAYO MEDIANA Estado: Bueno Placa anterior: 000014042 Material: ACERO Color:  Referencia:  Observacion: PERTENECE AL EQUIPO DE PARTO Placa padre: Tipo adquisicion: Entidad</v>
      </c>
      <c r="G4698" s="5"/>
    </row>
    <row r="4699" spans="1:7" ht="58.5" customHeight="1" x14ac:dyDescent="0.25">
      <c r="A4699" s="5" t="str">
        <f>"B0005473"</f>
        <v>B0005473</v>
      </c>
      <c r="B4699" s="5" t="str">
        <f t="shared" si="244"/>
        <v>TIJERA DE MAYO LARGA 25 CM</v>
      </c>
      <c r="C4699" s="6">
        <v>4370.68</v>
      </c>
      <c r="D4699" s="5"/>
      <c r="E4699" s="5" t="str">
        <f t="shared" si="241"/>
        <v>ESTERILIZACION-DIANA SOFIA DIAZ CASTRO</v>
      </c>
      <c r="F4699" s="5" t="str">
        <f>"Descripcion: TIJERA DE MAYO MEDIANA Estado: Bueno Placa anterior: 000014043 Material: ACERO Color:  Referencia:  Observacion: PERTENECE AL EQUIPO DE PARTO Placa padre: Tipo adquisicion: Entidad"</f>
        <v>Descripcion: TIJERA DE MAYO MEDIANA Estado: Bueno Placa anterior: 000014043 Material: ACERO Color:  Referencia:  Observacion: PERTENECE AL EQUIPO DE PARTO Placa padre: Tipo adquisicion: Entidad</v>
      </c>
      <c r="G4699" s="5"/>
    </row>
    <row r="4700" spans="1:7" ht="58.5" customHeight="1" x14ac:dyDescent="0.25">
      <c r="A4700" s="5" t="str">
        <f>"B0005474"</f>
        <v>B0005474</v>
      </c>
      <c r="B4700" s="5" t="str">
        <f t="shared" si="244"/>
        <v>TIJERA DE MAYO LARGA 25 CM</v>
      </c>
      <c r="C4700" s="6">
        <v>4370.68</v>
      </c>
      <c r="D4700" s="5"/>
      <c r="E4700" s="5" t="str">
        <f t="shared" si="241"/>
        <v>ESTERILIZACION-DIANA SOFIA DIAZ CASTRO</v>
      </c>
      <c r="F4700" s="5" t="str">
        <f>"Descripcion: TIJERA DE MAYO MEDIANA Estado: Bueno Placa anterior: 000014044 Material: ACERO Color:  Referencia:  Observacion: PERTENECE AL EQUIPO DE PARTO Placa padre: Tipo adquisicion: Entidad"</f>
        <v>Descripcion: TIJERA DE MAYO MEDIANA Estado: Bueno Placa anterior: 000014044 Material: ACERO Color:  Referencia:  Observacion: PERTENECE AL EQUIPO DE PARTO Placa padre: Tipo adquisicion: Entidad</v>
      </c>
      <c r="G4700" s="5"/>
    </row>
    <row r="4701" spans="1:7" ht="58.5" customHeight="1" x14ac:dyDescent="0.25">
      <c r="A4701" s="5" t="str">
        <f>"B0005475"</f>
        <v>B0005475</v>
      </c>
      <c r="B4701" s="5" t="str">
        <f t="shared" si="244"/>
        <v>TIJERA DE MAYO LARGA 25 CM</v>
      </c>
      <c r="C4701" s="6">
        <v>4370.68</v>
      </c>
      <c r="D4701" s="5"/>
      <c r="E4701" s="5" t="str">
        <f t="shared" si="241"/>
        <v>ESTERILIZACION-DIANA SOFIA DIAZ CASTRO</v>
      </c>
      <c r="F4701" s="5" t="str">
        <f>"Descripcion: TIJERA DE MAYO MEDIANA Estado: Bueno Placa anterior: 000014045 Material: ACERO Color:  Referencia:  Observacion: PERTENECE AL EQUIPO DE PARTO Placa padre: Tipo adquisicion: Entidad"</f>
        <v>Descripcion: TIJERA DE MAYO MEDIANA Estado: Bueno Placa anterior: 000014045 Material: ACERO Color:  Referencia:  Observacion: PERTENECE AL EQUIPO DE PARTO Placa padre: Tipo adquisicion: Entidad</v>
      </c>
      <c r="G4701" s="5"/>
    </row>
    <row r="4702" spans="1:7" ht="58.5" customHeight="1" x14ac:dyDescent="0.25">
      <c r="A4702" s="5" t="str">
        <f>"B0005477"</f>
        <v>B0005477</v>
      </c>
      <c r="B4702" s="5" t="str">
        <f>"TIJERA DE EPISIOTOMIA DE 14 CM"</f>
        <v>TIJERA DE EPISIOTOMIA DE 14 CM</v>
      </c>
      <c r="C4702" s="6">
        <v>276000</v>
      </c>
      <c r="D4702" s="5"/>
      <c r="E4702" s="5" t="str">
        <f t="shared" si="241"/>
        <v>ESTERILIZACION-DIANA SOFIA DIAZ CASTRO</v>
      </c>
      <c r="F4702" s="5" t="str">
        <f>"Descripcion: TIJERA DE EPISIOTOMIA 14.5 cm. (1) TIJERA DE MATERIAL 15 cm (1) PINZA STANDAR CON GARRA 14.5 cm PORTA AGUJA MEDIANO 17cm (1) RIÑONERA 25 cm EN ACERO INOXIDABLE SE ACEPTA QUE POSEAN UNA TOLERANCIA EN LA LONGITUD DE + = 10% Estado: Bueno Placa "&amp; "anterior: 000028082 Material: ACERO Color:  Referencia:  Observacion: PERTENECE AL EQUIPO DE EPISIO Placa padre: Tipo adquisicion: Donacion"</f>
        <v>Descripcion: TIJERA DE EPISIOTOMIA 14.5 cm. (1) TIJERA DE MATERIAL 15 cm (1) PINZA STANDAR CON GARRA 14.5 cm PORTA AGUJA MEDIANO 17cm (1) RIÑONERA 25 cm EN ACERO INOXIDABLE SE ACEPTA QUE POSEAN UNA TOLERANCIA EN LA LONGITUD DE + = 10% Estado: Bueno Placa anterior: 000028082 Material: ACERO Color:  Referencia:  Observacion: PERTENECE AL EQUIPO DE EPISIO Placa padre: Tipo adquisicion: Donacion</v>
      </c>
      <c r="G4702" s="5"/>
    </row>
    <row r="4703" spans="1:7" ht="58.5" customHeight="1" x14ac:dyDescent="0.25">
      <c r="A4703" s="5" t="str">
        <f>"H0007127"</f>
        <v>H0007127</v>
      </c>
      <c r="B4703" s="5" t="str">
        <f>"COMPUTADOR TODO EN UNO"</f>
        <v>COMPUTADOR TODO EN UNO</v>
      </c>
      <c r="C4703" s="6">
        <v>2470000</v>
      </c>
      <c r="D4703" s="5" t="s">
        <v>6</v>
      </c>
      <c r="E4703" s="5" t="str">
        <f t="shared" si="241"/>
        <v>ESTERILIZACION-DIANA SOFIA DIAZ CASTRO</v>
      </c>
      <c r="F4703" s="5" t="str">
        <f>"Descripcion: EQUIPO DE COMPUTO TODO EN UNO CON PROCESADOR INTEL i5 Estado: Excelente Placa anterior: 000036972 Material: PLASTICO Color: NEGRO Referencia: 10BD-00FDLS Observacion:  Placa anterior:, Placa nueva=H0007129, Descripcion:OPTICO, Serial:44PC998,"&amp; " Marca:LENOVO, Modelo:MOEUUOA, Material:PLASTICO, Color:NEGRO,  Referencia:45J4889, Placa anterior:, Placa nueva=H0007128, Descripcion:., Serial:8259149, Marca:LENOVO, Modelo:KU-0225, Material:PLASTICO, Color:NEGRO,  Referencia:54Y9424 Placa padre: Tipo a"&amp; "dquisicion: Entidad"</f>
        <v>Descripcion: EQUIPO DE COMPUTO TODO EN UNO CON PROCESADOR INTEL i5 Estado: Excelente Placa anterior: 000036972 Material: PLASTICO Color: NEGRO Referencia: 10BD-00FDLS Observacion:  Placa anterior:, Placa nueva=H0007129, Descripcion:OPTICO, Serial:44PC998, Marca:LENOVO, Modelo:MOEUUOA, Material:PLASTICO, Color:NEGRO,  Referencia:45J4889, Placa anterior:, Placa nueva=H0007128, Descripcion:., Serial:8259149, Marca:LENOVO, Modelo:KU-0225, Material:PLASTICO, Color:NEGRO,  Referencia:54Y9424 Placa padre: Tipo adquisicion: Entidad</v>
      </c>
      <c r="G4703" s="5" t="str">
        <f>"THINKCENTRE"</f>
        <v>THINKCENTRE</v>
      </c>
    </row>
    <row r="4704" spans="1:7" ht="58.5" customHeight="1" x14ac:dyDescent="0.25">
      <c r="A4704" s="5" t="str">
        <f>"H0009021"</f>
        <v>H0009021</v>
      </c>
      <c r="B4704" s="5" t="str">
        <f>"AIRE ACONDICIONADO DE 36000 BTU PISO TECHO"</f>
        <v>AIRE ACONDICIONADO DE 36000 BTU PISO TECHO</v>
      </c>
      <c r="C4704" s="6">
        <v>3700000</v>
      </c>
      <c r="D4704" s="5" t="s">
        <v>381</v>
      </c>
      <c r="E4704" s="5" t="str">
        <f t="shared" si="241"/>
        <v>ESTERILIZACION-DIANA SOFIA DIAZ CASTRO</v>
      </c>
      <c r="F4704" s="5"/>
      <c r="G4704" s="5" t="str">
        <f>"MUA-36CR"</f>
        <v>MUA-36CR</v>
      </c>
    </row>
    <row r="4705" spans="1:7" ht="58.5" customHeight="1" x14ac:dyDescent="0.25">
      <c r="A4705" s="5" t="str">
        <f>"H0011847"</f>
        <v>H0011847</v>
      </c>
      <c r="B4705" s="5" t="str">
        <f>"MESON EN ACERO INOXIDABLE"</f>
        <v>MESON EN ACERO INOXIDABLE</v>
      </c>
      <c r="C4705" s="6">
        <v>68770</v>
      </c>
      <c r="D4705" s="5"/>
      <c r="E4705" s="5" t="str">
        <f t="shared" si="241"/>
        <v>ESTERILIZACION-DIANA SOFIA DIAZ CASTRO</v>
      </c>
      <c r="F4705" s="5" t="str">
        <f>"Descripcion: MESA DE TRABAJO PARA ESTERILIZACION 1 ENTREPAÑO MEDIDAS: 86X230X63CM Estado: Bueno Placa anterior: 000012498 Material: ACERO INOXIDABLE Color:  Referencia:  Observacion:  Placa padre: Tipo adquisicion: Entidad"</f>
        <v>Descripcion: MESA DE TRABAJO PARA ESTERILIZACION 1 ENTREPAÑO MEDIDAS: 86X230X63CM Estado: Bueno Placa anterior: 000012498 Material: ACERO INOXIDABLE Color:  Referencia:  Observacion:  Placa padre: Tipo adquisicion: Entidad</v>
      </c>
      <c r="G4705" s="5"/>
    </row>
    <row r="4706" spans="1:7" ht="58.5" customHeight="1" x14ac:dyDescent="0.25">
      <c r="A4706" s="5" t="str">
        <f>"H0011849"</f>
        <v>H0011849</v>
      </c>
      <c r="B4706" s="5" t="str">
        <f>"ARCHIVADOR METALICO 4 GAVETAS"</f>
        <v>ARCHIVADOR METALICO 4 GAVETAS</v>
      </c>
      <c r="C4706" s="6">
        <v>40810.550000000003</v>
      </c>
      <c r="D4706" s="5"/>
      <c r="E4706" s="5" t="str">
        <f t="shared" si="241"/>
        <v>ESTERILIZACION-DIANA SOFIA DIAZ CASTRO</v>
      </c>
      <c r="F4706" s="5" t="str">
        <f>"Descripcion: ARCHIVADOR TIPO C (4 GAVETAS) Estado: Bueno Placa anterior: 000012493 Material: METALICO Color: GRIS Referencia:  Observacion:  Placa padre: Tipo adquisicion: Entidad"</f>
        <v>Descripcion: ARCHIVADOR TIPO C (4 GAVETAS) Estado: Bueno Placa anterior: 000012493 Material: METALICO Color: GRIS Referencia:  Observacion:  Placa padre: Tipo adquisicion: Entidad</v>
      </c>
      <c r="G4706" s="5"/>
    </row>
    <row r="4707" spans="1:7" ht="58.5" customHeight="1" x14ac:dyDescent="0.25">
      <c r="A4707" s="5" t="str">
        <f>"H0011850"</f>
        <v>H0011850</v>
      </c>
      <c r="B4707" s="5" t="str">
        <f>"VITRINA DE 2 CUERPOS"</f>
        <v>VITRINA DE 2 CUERPOS</v>
      </c>
      <c r="C4707" s="6">
        <v>580832.65</v>
      </c>
      <c r="D4707" s="5"/>
      <c r="E4707" s="5" t="str">
        <f t="shared" si="241"/>
        <v>ESTERILIZACION-DIANA SOFIA DIAZ CASTRO</v>
      </c>
      <c r="F4707" s="5" t="str">
        <f>"Descripcion: BIBLIOTECA METALICA TIPO VITRINA DE DOS CUERPOS MEDIDAS: 170X120X40CM Estado: Bueno Placa anterior: 000012572 Material: METALICO Color: VERDE Referencia:  Observacion:  Placa padre: Tipo adquisicion: Entidad"</f>
        <v>Descripcion: BIBLIOTECA METALICA TIPO VITRINA DE DOS CUERPOS MEDIDAS: 170X120X40CM Estado: Bueno Placa anterior: 000012572 Material: METALICO Color: VERDE Referencia:  Observacion:  Placa padre: Tipo adquisicion: Entidad</v>
      </c>
      <c r="G4707" s="5"/>
    </row>
    <row r="4708" spans="1:7" ht="58.5" customHeight="1" x14ac:dyDescent="0.25">
      <c r="A4708" s="5" t="str">
        <f>"H0011851"</f>
        <v>H0011851</v>
      </c>
      <c r="B4708" s="5" t="str">
        <f>"MESA (CARRO) DE CURACIONES"</f>
        <v>MESA (CARRO) DE CURACIONES</v>
      </c>
      <c r="C4708" s="6">
        <v>16300</v>
      </c>
      <c r="D4708" s="5"/>
      <c r="E4708" s="5" t="str">
        <f t="shared" si="241"/>
        <v>ESTERILIZACION-DIANA SOFIA DIAZ CASTRO</v>
      </c>
      <c r="F4708" s="5" t="str">
        <f>"Descripcion: MESA (CARRO) DE CURACIONES METALICO CON 1 ENTRPAÑO  Estado: Bueno Placa anterior: 000021435 Material: METALICO  Color: GRIS Referencia:  Observacion: PLACA ANTERIOR NO ENCONTRADA 000022112 FUNCIONARIO AUTORIZA SE CONCILIE CON PLACA 000021435 "&amp; "Placa padre: Tipo adquisicion: Entidad"</f>
        <v>Descripcion: MESA (CARRO) DE CURACIONES METALICO CON 1 ENTRPAÑO  Estado: Bueno Placa anterior: 000021435 Material: METALICO  Color: GRIS Referencia:  Observacion: PLACA ANTERIOR NO ENCONTRADA 000022112 FUNCIONARIO AUTORIZA SE CONCILIE CON PLACA 000021435 Placa padre: Tipo adquisicion: Entidad</v>
      </c>
      <c r="G4708" s="5"/>
    </row>
    <row r="4709" spans="1:7" ht="58.5" customHeight="1" x14ac:dyDescent="0.25">
      <c r="A4709" s="5" t="str">
        <f>"H0011856"</f>
        <v>H0011856</v>
      </c>
      <c r="B4709" s="5" t="str">
        <f>"CUBETA DE ACERO INOXIDABLE CON TAPA GRANDE"</f>
        <v>CUBETA DE ACERO INOXIDABLE CON TAPA GRANDE</v>
      </c>
      <c r="C4709" s="6">
        <v>22200.11</v>
      </c>
      <c r="D4709" s="5"/>
      <c r="E4709" s="5" t="str">
        <f t="shared" si="241"/>
        <v>ESTERILIZACION-DIANA SOFIA DIAZ CASTRO</v>
      </c>
      <c r="F4709" s="5" t="str">
        <f>"Descripcion: CUBETA DE ACERO INOXIDABLE CON TAPA GRANDE Estado: Bueno Placa anterior: 000007705 Material: ACERO INOXIDABLE Color:  Referencia:  Observacion:  Placa padre: Tipo adquisicion: Entidad"</f>
        <v>Descripcion: CUBETA DE ACERO INOXIDABLE CON TAPA GRANDE Estado: Bueno Placa anterior: 000007705 Material: ACERO INOXIDABLE Color:  Referencia:  Observacion:  Placa padre: Tipo adquisicion: Entidad</v>
      </c>
      <c r="G4709" s="5"/>
    </row>
    <row r="4710" spans="1:7" ht="58.5" customHeight="1" x14ac:dyDescent="0.25">
      <c r="A4710" s="5" t="str">
        <f>"H0011857"</f>
        <v>H0011857</v>
      </c>
      <c r="B4710" s="5" t="str">
        <f>"CUBETA DE ACERO INOXIDABLE CON TAPA GRANDE"</f>
        <v>CUBETA DE ACERO INOXIDABLE CON TAPA GRANDE</v>
      </c>
      <c r="C4710" s="6">
        <v>22200.11</v>
      </c>
      <c r="D4710" s="5"/>
      <c r="E4710" s="5" t="str">
        <f t="shared" si="241"/>
        <v>ESTERILIZACION-DIANA SOFIA DIAZ CASTRO</v>
      </c>
      <c r="F4710" s="5" t="str">
        <f>"Descripcion: CUBETA DE ACERO INOXIDABLE CON TAPA GRANDE Estado: Bueno Placa anterior: 000007706 Material: ACERO INOXIDABLE Color:  Referencia:  Observacion:  Placa padre: Tipo adquisicion: Entidad"</f>
        <v>Descripcion: CUBETA DE ACERO INOXIDABLE CON TAPA GRANDE Estado: Bueno Placa anterior: 000007706 Material: ACERO INOXIDABLE Color:  Referencia:  Observacion:  Placa padre: Tipo adquisicion: Entidad</v>
      </c>
      <c r="G4710" s="5"/>
    </row>
    <row r="4711" spans="1:7" ht="58.5" customHeight="1" x14ac:dyDescent="0.25">
      <c r="A4711" s="5" t="str">
        <f>"H0011858"</f>
        <v>H0011858</v>
      </c>
      <c r="B4711" s="5" t="str">
        <f>"CUBETA DE ACERO INOXIDABLE CON TAPA GRANDE"</f>
        <v>CUBETA DE ACERO INOXIDABLE CON TAPA GRANDE</v>
      </c>
      <c r="C4711" s="6">
        <v>22200</v>
      </c>
      <c r="D4711" s="5"/>
      <c r="E4711" s="5" t="str">
        <f t="shared" si="241"/>
        <v>ESTERILIZACION-DIANA SOFIA DIAZ CASTRO</v>
      </c>
      <c r="F4711" s="5" t="str">
        <f>"Descripcion: CUBETA DE ACERO INOXIDABLE CON TAPA GRANDE Estado: Bueno Placa anterior: 000007741 Material: ACERO INOXIDABLE Color:  Referencia:  Observacion:  Placa padre: Tipo adquisicion: Entidad"</f>
        <v>Descripcion: CUBETA DE ACERO INOXIDABLE CON TAPA GRANDE Estado: Bueno Placa anterior: 000007741 Material: ACERO INOXIDABLE Color:  Referencia:  Observacion:  Placa padre: Tipo adquisicion: Entidad</v>
      </c>
      <c r="G4711" s="5"/>
    </row>
    <row r="4712" spans="1:7" ht="58.5" customHeight="1" x14ac:dyDescent="0.25">
      <c r="A4712" s="5" t="str">
        <f>"H0011859"</f>
        <v>H0011859</v>
      </c>
      <c r="B4712" s="5" t="str">
        <f>"CUBETA DE ACERO INOXIDABLE CON TAPA GRANDE"</f>
        <v>CUBETA DE ACERO INOXIDABLE CON TAPA GRANDE</v>
      </c>
      <c r="C4712" s="6">
        <v>22200.11</v>
      </c>
      <c r="D4712" s="5"/>
      <c r="E4712" s="5" t="str">
        <f t="shared" si="241"/>
        <v>ESTERILIZACION-DIANA SOFIA DIAZ CASTRO</v>
      </c>
      <c r="F4712" s="5" t="str">
        <f>"Descripcion: CUBETA DE ACERO INOXIDABLE CON TAPA GRANDE Estado: Bueno Placa anterior: 000007704 Material: ACERO INOXIDABLE Color:  Referencia:  Observacion:  Placa padre: Tipo adquisicion: Entidad"</f>
        <v>Descripcion: CUBETA DE ACERO INOXIDABLE CON TAPA GRANDE Estado: Bueno Placa anterior: 000007704 Material: ACERO INOXIDABLE Color:  Referencia:  Observacion:  Placa padre: Tipo adquisicion: Entidad</v>
      </c>
      <c r="G4712" s="5"/>
    </row>
    <row r="4713" spans="1:7" ht="58.5" customHeight="1" x14ac:dyDescent="0.25">
      <c r="A4713" s="5" t="str">
        <f>"H0011870"</f>
        <v>H0011870</v>
      </c>
      <c r="B4713" s="5" t="str">
        <f>"MESA METALICA"</f>
        <v>MESA METALICA</v>
      </c>
      <c r="C4713" s="6">
        <v>68770</v>
      </c>
      <c r="D4713" s="5"/>
      <c r="E4713" s="5" t="str">
        <f t="shared" si="241"/>
        <v>ESTERILIZACION-DIANA SOFIA DIAZ CASTRO</v>
      </c>
      <c r="F4713" s="5" t="str">
        <f>"Descripcion: MESA METALICA MEDIDAS: 75X87X58 Estado: Bueno Placa anterior: 000012501 Material: ACERO INOXIDABLE Color:  Referencia:  Observacion:  Placa padre: Tipo adquisicion: Entidad"</f>
        <v>Descripcion: MESA METALICA MEDIDAS: 75X87X58 Estado: Bueno Placa anterior: 000012501 Material: ACERO INOXIDABLE Color:  Referencia:  Observacion:  Placa padre: Tipo adquisicion: Entidad</v>
      </c>
      <c r="G4713" s="5"/>
    </row>
    <row r="4714" spans="1:7" ht="58.5" customHeight="1" x14ac:dyDescent="0.25">
      <c r="A4714" s="5" t="str">
        <f>"H0011874"</f>
        <v>H0011874</v>
      </c>
      <c r="B4714" s="5" t="str">
        <f>"CORTADORA VERTICAL DE 8"</f>
        <v>CORTADORA VERTICAL DE 8</v>
      </c>
      <c r="C4714" s="6">
        <v>1776120</v>
      </c>
      <c r="D4714" s="5"/>
      <c r="E4714" s="5" t="str">
        <f t="shared" si="241"/>
        <v>ESTERILIZACION-DIANA SOFIA DIAZ CASTRO</v>
      </c>
      <c r="F4714" s="5" t="str">
        <f>"Descripcion: CORTADORA SABRE 1000 MAIMIN CUCHILLA VERTICAL Estado: Bueno Placa anterior: 000012494 Material: METALICO Color: NEGRO Referencia:  Observacion:  Placa padre: Tipo adquisicion: Entidad"</f>
        <v>Descripcion: CORTADORA SABRE 1000 MAIMIN CUCHILLA VERTICAL Estado: Bueno Placa anterior: 000012494 Material: METALICO Color: NEGRO Referencia:  Observacion:  Placa padre: Tipo adquisicion: Entidad</v>
      </c>
      <c r="G4714" s="5" t="str">
        <f>"MAIMIN"</f>
        <v>MAIMIN</v>
      </c>
    </row>
    <row r="4715" spans="1:7" ht="58.5" customHeight="1" x14ac:dyDescent="0.25">
      <c r="A4715" s="5" t="str">
        <f>"H0011876"</f>
        <v>H0011876</v>
      </c>
      <c r="B4715" s="5" t="str">
        <f>"MESA METALICA"</f>
        <v>MESA METALICA</v>
      </c>
      <c r="C4715" s="6">
        <v>19250</v>
      </c>
      <c r="D4715" s="5"/>
      <c r="E4715" s="5" t="str">
        <f t="shared" si="241"/>
        <v>ESTERILIZACION-DIANA SOFIA DIAZ CASTRO</v>
      </c>
      <c r="F4715" s="5" t="str">
        <f>"Descripcion: MESA METALICA MEDIDAS: 83X110X75 CM Estado: Bueno Placa anterior: 000012502 Material: ACERO INOXIDABLE Color:  Referencia:  Observacion: FUNCIONARIO AUTORIZA SE CONCILIE CON PLACA 000012502 Placa padre: Tipo adquisicion: Entidad"</f>
        <v>Descripcion: MESA METALICA MEDIDAS: 83X110X75 CM Estado: Bueno Placa anterior: 000012502 Material: ACERO INOXIDABLE Color:  Referencia:  Observacion: FUNCIONARIO AUTORIZA SE CONCILIE CON PLACA 000012502 Placa padre: Tipo adquisicion: Entidad</v>
      </c>
      <c r="G4715" s="5"/>
    </row>
    <row r="4716" spans="1:7" ht="58.5" customHeight="1" x14ac:dyDescent="0.25">
      <c r="A4716" s="5" t="str">
        <f>"H0011879"</f>
        <v>H0011879</v>
      </c>
      <c r="B4716" s="5" t="str">
        <f>"ESTANTE METALICO 5 ENTREPAÑOS"</f>
        <v>ESTANTE METALICO 5 ENTREPAÑOS</v>
      </c>
      <c r="C4716" s="6">
        <v>10167.52</v>
      </c>
      <c r="D4716" s="5"/>
      <c r="E4716" s="5" t="str">
        <f t="shared" si="241"/>
        <v>ESTERILIZACION-DIANA SOFIA DIAZ CASTRO</v>
      </c>
      <c r="F4716" s="5" t="str">
        <f>"Descripcion: ESTANTE METALICO 5 ENTREPAÑOS Estado: Bueno Placa anterior: 000012552 Material: METALICO Color: GRIS Referencia:  Observacion:  Placa padre: Tipo adquisicion: Entidad"</f>
        <v>Descripcion: ESTANTE METALICO 5 ENTREPAÑOS Estado: Bueno Placa anterior: 000012552 Material: METALICO Color: GRIS Referencia:  Observacion:  Placa padre: Tipo adquisicion: Entidad</v>
      </c>
      <c r="G4716" s="5"/>
    </row>
    <row r="4717" spans="1:7" ht="58.5" customHeight="1" x14ac:dyDescent="0.25">
      <c r="A4717" s="5" t="str">
        <f>"H0011880"</f>
        <v>H0011880</v>
      </c>
      <c r="B4717" s="5" t="str">
        <f>"ESTANTE METALICO 6 ENTREPAÑOS"</f>
        <v>ESTANTE METALICO 6 ENTREPAÑOS</v>
      </c>
      <c r="C4717" s="6">
        <v>6916.85</v>
      </c>
      <c r="D4717" s="5"/>
      <c r="E4717" s="5" t="str">
        <f t="shared" si="241"/>
        <v>ESTERILIZACION-DIANA SOFIA DIAZ CASTRO</v>
      </c>
      <c r="F4717" s="5" t="str">
        <f>"Descripcion: ESTANTE METALICO 6 ENTREPAÑOS  Estado: Bueno Placa anterior: 000012579 Material: METALICO, PLASTICO Color: BLANCO CON GRIS Referencia:  Observacion: PLACA ANTERIOR NO ENCONTRADA 000016680 Placa padre: Tipo adquisicion: Entidad"</f>
        <v>Descripcion: ESTANTE METALICO 6 ENTREPAÑOS  Estado: Bueno Placa anterior: 000012579 Material: METALICO, PLASTICO Color: BLANCO CON GRIS Referencia:  Observacion: PLACA ANTERIOR NO ENCONTRADA 000016680 Placa padre: Tipo adquisicion: Entidad</v>
      </c>
      <c r="G4717" s="5"/>
    </row>
    <row r="4718" spans="1:7" ht="58.5" customHeight="1" x14ac:dyDescent="0.25">
      <c r="A4718" s="5" t="str">
        <f>"H0011881"</f>
        <v>H0011881</v>
      </c>
      <c r="B4718" s="5" t="str">
        <f>"ESTANTE METALICO 5 ENTREPAÑOS"</f>
        <v>ESTANTE METALICO 5 ENTREPAÑOS</v>
      </c>
      <c r="C4718" s="6">
        <v>170000</v>
      </c>
      <c r="D4718" s="5"/>
      <c r="E4718" s="5" t="str">
        <f t="shared" si="241"/>
        <v>ESTERILIZACION-DIANA SOFIA DIAZ CASTRO</v>
      </c>
      <c r="F4718" s="5" t="str">
        <f>"Descripcion: ESTANTE METALICO 5 ENTREPAÑOS Estado: Bueno Placa anterior: 000022180 Material: METALICO Color: GRIS Referencia:  Observacion:  Placa padre: Tipo adquisicion: Entidad"</f>
        <v>Descripcion: ESTANTE METALICO 5 ENTREPAÑOS Estado: Bueno Placa anterior: 000022180 Material: METALICO Color: GRIS Referencia:  Observacion:  Placa padre: Tipo adquisicion: Entidad</v>
      </c>
      <c r="G4718" s="5"/>
    </row>
    <row r="4719" spans="1:7" ht="58.5" customHeight="1" x14ac:dyDescent="0.25">
      <c r="A4719" s="5" t="str">
        <f>"H0011882"</f>
        <v>H0011882</v>
      </c>
      <c r="B4719" s="5" t="str">
        <f>"ESTANTE METALICO 5 ENTREPAÑOS"</f>
        <v>ESTANTE METALICO 5 ENTREPAÑOS</v>
      </c>
      <c r="C4719" s="6">
        <v>6916.85</v>
      </c>
      <c r="D4719" s="5"/>
      <c r="E4719" s="5" t="str">
        <f t="shared" si="241"/>
        <v>ESTERILIZACION-DIANA SOFIA DIAZ CASTRO</v>
      </c>
      <c r="F4719" s="5" t="str">
        <f>"Descripcion: ESTANTE METALICO 5 ENTREPAÑOS Estado: Bueno Placa anterior: 000012581 Material: METALICO Color: GRIS Referencia:  Observacion:  Placa padre: Tipo adquisicion: Entidad"</f>
        <v>Descripcion: ESTANTE METALICO 5 ENTREPAÑOS Estado: Bueno Placa anterior: 000012581 Material: METALICO Color: GRIS Referencia:  Observacion:  Placa padre: Tipo adquisicion: Entidad</v>
      </c>
      <c r="G4719" s="5"/>
    </row>
    <row r="4720" spans="1:7" ht="58.5" customHeight="1" x14ac:dyDescent="0.25">
      <c r="A4720" s="5" t="str">
        <f>"H0011883"</f>
        <v>H0011883</v>
      </c>
      <c r="B4720" s="5" t="str">
        <f>"ESTANTE METALICO 5 ENTREPAÑOS"</f>
        <v>ESTANTE METALICO 5 ENTREPAÑOS</v>
      </c>
      <c r="C4720" s="6">
        <v>6916.85</v>
      </c>
      <c r="D4720" s="5"/>
      <c r="E4720" s="5" t="str">
        <f t="shared" si="241"/>
        <v>ESTERILIZACION-DIANA SOFIA DIAZ CASTRO</v>
      </c>
      <c r="F4720" s="5" t="str">
        <f>"Descripcion: ESTANTE METALICO 5 ENTREPAÑOS Estado: Bueno Placa anterior: 000015327 Material: METALICO Color: BEIGE Referencia:  Observacion:  Placa padre: Tipo adquisicion: Entidad"</f>
        <v>Descripcion: ESTANTE METALICO 5 ENTREPAÑOS Estado: Bueno Placa anterior: 000015327 Material: METALICO Color: BEIGE Referencia:  Observacion:  Placa padre: Tipo adquisicion: Entidad</v>
      </c>
      <c r="G4720" s="5"/>
    </row>
    <row r="4721" spans="1:7" ht="58.5" customHeight="1" x14ac:dyDescent="0.25">
      <c r="A4721" s="5" t="str">
        <f>"H0011884"</f>
        <v>H0011884</v>
      </c>
      <c r="B4721" s="5" t="str">
        <f>"ESTANTE METALICO 5 ENTREPAÑOS"</f>
        <v>ESTANTE METALICO 5 ENTREPAÑOS</v>
      </c>
      <c r="C4721" s="6">
        <v>6916.85</v>
      </c>
      <c r="D4721" s="5"/>
      <c r="E4721" s="5" t="str">
        <f t="shared" si="241"/>
        <v>ESTERILIZACION-DIANA SOFIA DIAZ CASTRO</v>
      </c>
      <c r="F4721" s="5" t="str">
        <f>"Descripcion: ESTANTE METALICO 5 ENTREPAÑOS Estado: Bueno Placa anterior: 000015328 Material: METALICO  Color: BEIGE Referencia:  Observacion:  Placa padre: Tipo adquisicion: Entidad"</f>
        <v>Descripcion: ESTANTE METALICO 5 ENTREPAÑOS Estado: Bueno Placa anterior: 000015328 Material: METALICO  Color: BEIGE Referencia:  Observacion:  Placa padre: Tipo adquisicion: Entidad</v>
      </c>
      <c r="G4721" s="5"/>
    </row>
    <row r="4722" spans="1:7" ht="58.5" customHeight="1" x14ac:dyDescent="0.25">
      <c r="A4722" s="5" t="str">
        <f>"H0011885"</f>
        <v>H0011885</v>
      </c>
      <c r="B4722" s="5" t="str">
        <f>"POTE (TARRO) ACERO INXODABLE CON TAPA GRANDE"</f>
        <v>POTE (TARRO) ACERO INXODABLE CON TAPA GRANDE</v>
      </c>
      <c r="C4722" s="6">
        <v>5060</v>
      </c>
      <c r="D4722" s="5"/>
      <c r="E4722" s="5" t="str">
        <f t="shared" si="241"/>
        <v>ESTERILIZACION-DIANA SOFIA DIAZ CASTRO</v>
      </c>
      <c r="F4722" s="5" t="str">
        <f>"Descripcion: POTE (TARRO) ACERO INXODABLE CON TAPA GRANDE Estado: Bueno Placa anterior: 000014644 Material: ACERO INOXIDABLE Color:  Referencia:  Observacion:  Placa padre: Tipo adquisicion: Entidad"</f>
        <v>Descripcion: POTE (TARRO) ACERO INXODABLE CON TAPA GRANDE Estado: Bueno Placa anterior: 000014644 Material: ACERO INOXIDABLE Color:  Referencia:  Observacion:  Placa padre: Tipo adquisicion: Entidad</v>
      </c>
      <c r="G4722" s="5"/>
    </row>
    <row r="4723" spans="1:7" ht="58.5" customHeight="1" x14ac:dyDescent="0.25">
      <c r="A4723" s="5" t="str">
        <f>"H0011886"</f>
        <v>H0011886</v>
      </c>
      <c r="B4723" s="5" t="str">
        <f>"POTE (TARRO) ACERO INXODABLE CON TAPA GRANDE"</f>
        <v>POTE (TARRO) ACERO INXODABLE CON TAPA GRANDE</v>
      </c>
      <c r="C4723" s="6">
        <v>5060</v>
      </c>
      <c r="D4723" s="5"/>
      <c r="E4723" s="5" t="str">
        <f t="shared" si="241"/>
        <v>ESTERILIZACION-DIANA SOFIA DIAZ CASTRO</v>
      </c>
      <c r="F4723" s="5" t="str">
        <f>"Descripcion: POTE (TARRO) ACERO INXODABLE CON TAPA GRANDE Estado: Bueno Placa anterior: 000014645 Material: ACERO INOXIDABLE Color:  Referencia:  Observacion:  Placa padre: Tipo adquisicion: Entidad"</f>
        <v>Descripcion: POTE (TARRO) ACERO INXODABLE CON TAPA GRANDE Estado: Bueno Placa anterior: 000014645 Material: ACERO INOXIDABLE Color:  Referencia:  Observacion:  Placa padre: Tipo adquisicion: Entidad</v>
      </c>
      <c r="G4723" s="5"/>
    </row>
    <row r="4724" spans="1:7" ht="58.5" customHeight="1" x14ac:dyDescent="0.25">
      <c r="A4724" s="5" t="str">
        <f>"H0011887"</f>
        <v>H0011887</v>
      </c>
      <c r="B4724" s="5" t="str">
        <f>"ESTANTE METALICO 5 ENTREPAÑOS"</f>
        <v>ESTANTE METALICO 5 ENTREPAÑOS</v>
      </c>
      <c r="C4724" s="6">
        <v>6916.85</v>
      </c>
      <c r="D4724" s="5"/>
      <c r="E4724" s="5" t="str">
        <f t="shared" si="241"/>
        <v>ESTERILIZACION-DIANA SOFIA DIAZ CASTRO</v>
      </c>
      <c r="F4724" s="5" t="str">
        <f>"Descripcion: ESTANTE METALICO 5 ENTREPAÑOS Estado: Bueno Placa anterior: 000012580 Material: METALICO Color: GRIS Referencia:  Observacion: PLACA ANTERIOR NO ENCONTRADA 000022171 Placa padre: Tipo adquisicion: Entidad"</f>
        <v>Descripcion: ESTANTE METALICO 5 ENTREPAÑOS Estado: Bueno Placa anterior: 000012580 Material: METALICO Color: GRIS Referencia:  Observacion: PLACA ANTERIOR NO ENCONTRADA 000022171 Placa padre: Tipo adquisicion: Entidad</v>
      </c>
      <c r="G4724" s="5"/>
    </row>
    <row r="4725" spans="1:7" ht="58.5" customHeight="1" x14ac:dyDescent="0.25">
      <c r="A4725" s="5" t="str">
        <f>"H0011888"</f>
        <v>H0011888</v>
      </c>
      <c r="B4725" s="5" t="str">
        <f>"ESTANTE METALICO 6 ENTREPAÑOS"</f>
        <v>ESTANTE METALICO 6 ENTREPAÑOS</v>
      </c>
      <c r="C4725" s="6">
        <v>423230.2</v>
      </c>
      <c r="D4725" s="5"/>
      <c r="E4725" s="5" t="str">
        <f t="shared" si="241"/>
        <v>ESTERILIZACION-DIANA SOFIA DIAZ CASTRO</v>
      </c>
      <c r="F4725" s="5" t="str">
        <f>"Descripcion: ESTANTE METALICO 6 ENTREPAÑOS  Estado: Bueno Placa anterior: 000016679 Material: METALICO, PLASTICO Color: BLANCO CON GRIS Referencia:  Observacion:  Placa padre: Tipo adquisicion: Entidad"</f>
        <v>Descripcion: ESTANTE METALICO 6 ENTREPAÑOS  Estado: Bueno Placa anterior: 000016679 Material: METALICO, PLASTICO Color: BLANCO CON GRIS Referencia:  Observacion:  Placa padre: Tipo adquisicion: Entidad</v>
      </c>
      <c r="G4725" s="5"/>
    </row>
    <row r="4726" spans="1:7" ht="58.5" customHeight="1" x14ac:dyDescent="0.25">
      <c r="A4726" s="5" t="str">
        <f>"H0011889"</f>
        <v>H0011889</v>
      </c>
      <c r="B4726" s="5" t="str">
        <f>"ESTANTE METALICO 6 ENTREPAÑOS"</f>
        <v>ESTANTE METALICO 6 ENTREPAÑOS</v>
      </c>
      <c r="C4726" s="6">
        <v>423230.2</v>
      </c>
      <c r="D4726" s="5"/>
      <c r="E4726" s="5" t="str">
        <f t="shared" si="241"/>
        <v>ESTERILIZACION-DIANA SOFIA DIAZ CASTRO</v>
      </c>
      <c r="F4726" s="5" t="str">
        <f>"Descripcion: ESTANTE METALICO 6 ENTREPAÑOS  Estado: Bueno Placa anterior: 000016797 Material: METALICO, PLASTICO Color: BLANCO CON GRIS Referencia:  Observacion:  Placa padre: Tipo adquisicion: Entidad"</f>
        <v>Descripcion: ESTANTE METALICO 6 ENTREPAÑOS  Estado: Bueno Placa anterior: 000016797 Material: METALICO, PLASTICO Color: BLANCO CON GRIS Referencia:  Observacion:  Placa padre: Tipo adquisicion: Entidad</v>
      </c>
      <c r="G4726" s="5"/>
    </row>
    <row r="4727" spans="1:7" ht="58.5" customHeight="1" x14ac:dyDescent="0.25">
      <c r="A4727" s="5" t="str">
        <f>"H0011890"</f>
        <v>H0011890</v>
      </c>
      <c r="B4727" s="5" t="str">
        <f>"VITRINA DE 2 CUERPOS"</f>
        <v>VITRINA DE 2 CUERPOS</v>
      </c>
      <c r="C4727" s="6">
        <v>55000</v>
      </c>
      <c r="D4727" s="5"/>
      <c r="E4727" s="5" t="str">
        <f t="shared" si="241"/>
        <v>ESTERILIZACION-DIANA SOFIA DIAZ CASTRO</v>
      </c>
      <c r="F4727" s="5" t="str">
        <f>"Descripcion: VITRINA METALICA PARA INSTRUMENTAL 7 ENTREPAÑOS (NO TIENE VIDRIOS EN EL FRENTE) Estado: Bueno Placa anterior: 000012573 Material: METALICO, ENTEPAÑOS EN VIDRIO Color: VERDE, CROMADO Referencia:  Observacion:  Placa padre: Tipo adquisicion: En"&amp; "tidad"</f>
        <v>Descripcion: VITRINA METALICA PARA INSTRUMENTAL 7 ENTREPAÑOS (NO TIENE VIDRIOS EN EL FRENTE) Estado: Bueno Placa anterior: 000012573 Material: METALICO, ENTEPAÑOS EN VIDRIO Color: VERDE, CROMADO Referencia:  Observacion:  Placa padre: Tipo adquisicion: Entidad</v>
      </c>
      <c r="G4727" s="5"/>
    </row>
    <row r="4728" spans="1:7" ht="58.5" customHeight="1" x14ac:dyDescent="0.25">
      <c r="A4728" s="5" t="str">
        <f>"H0011891"</f>
        <v>H0011891</v>
      </c>
      <c r="B4728" s="5" t="str">
        <f>"ESTANTE METALICO 6 ENTREPAÑOS"</f>
        <v>ESTANTE METALICO 6 ENTREPAÑOS</v>
      </c>
      <c r="C4728" s="6">
        <v>423230.2</v>
      </c>
      <c r="D4728" s="5"/>
      <c r="E4728" s="5" t="str">
        <f t="shared" si="241"/>
        <v>ESTERILIZACION-DIANA SOFIA DIAZ CASTRO</v>
      </c>
      <c r="F4728" s="5" t="str">
        <f>"Descripcion: ESTANTE METALICO 6 ENTREPAÑOS  Estado: Bueno Placa anterior: 000016676 Material: METALICO, PLASTICO Color: BLANCO CON GRIS Referencia:  Observacion:  Placa padre: Tipo adquisicion: Entidad"</f>
        <v>Descripcion: ESTANTE METALICO 6 ENTREPAÑOS  Estado: Bueno Placa anterior: 000016676 Material: METALICO, PLASTICO Color: BLANCO CON GRIS Referencia:  Observacion:  Placa padre: Tipo adquisicion: Entidad</v>
      </c>
      <c r="G4728" s="5"/>
    </row>
    <row r="4729" spans="1:7" ht="58.5" customHeight="1" x14ac:dyDescent="0.25">
      <c r="A4729" s="5" t="str">
        <f>"H0011892"</f>
        <v>H0011892</v>
      </c>
      <c r="B4729" s="5" t="str">
        <f>"ESTANTE METALICO 6 ENTREPAÑOS"</f>
        <v>ESTANTE METALICO 6 ENTREPAÑOS</v>
      </c>
      <c r="C4729" s="6">
        <v>10167.52</v>
      </c>
      <c r="D4729" s="5"/>
      <c r="E4729" s="5" t="str">
        <f t="shared" si="241"/>
        <v>ESTERILIZACION-DIANA SOFIA DIAZ CASTRO</v>
      </c>
      <c r="F4729" s="5" t="str">
        <f>"Descripcion: ESTANTE METALICO 6 ENTREPAÑOS  Estado: Bueno Placa anterior: 000012491 Material: METALICO, PLASTICO Color: BLANCO CON GRIS Referencia:  Observacion:  Placa padre: Tipo adquisicion: Entidad"</f>
        <v>Descripcion: ESTANTE METALICO 6 ENTREPAÑOS  Estado: Bueno Placa anterior: 000012491 Material: METALICO, PLASTICO Color: BLANCO CON GRIS Referencia:  Observacion:  Placa padre: Tipo adquisicion: Entidad</v>
      </c>
      <c r="G4729" s="5"/>
    </row>
    <row r="4730" spans="1:7" ht="58.5" customHeight="1" x14ac:dyDescent="0.25">
      <c r="A4730" s="5" t="str">
        <f>"H0011893"</f>
        <v>H0011893</v>
      </c>
      <c r="B4730" s="5" t="str">
        <f>"ESTANTE METALICO 6 ENTREPAÑOS"</f>
        <v>ESTANTE METALICO 6 ENTREPAÑOS</v>
      </c>
      <c r="C4730" s="6">
        <v>423230.2</v>
      </c>
      <c r="D4730" s="5"/>
      <c r="E4730" s="5" t="str">
        <f t="shared" si="241"/>
        <v>ESTERILIZACION-DIANA SOFIA DIAZ CASTRO</v>
      </c>
      <c r="F4730" s="5" t="str">
        <f>"Descripcion: ESTANTE METALICO 6 ENTREPAÑOS  Estado: Bueno Placa anterior: 000016677 Material: METALICO, PLASTICO Color: BLANCO  CON GRIS Referencia:  Observacion:  Placa padre: Tipo adquisicion: Entidad"</f>
        <v>Descripcion: ESTANTE METALICO 6 ENTREPAÑOS  Estado: Bueno Placa anterior: 000016677 Material: METALICO, PLASTICO Color: BLANCO  CON GRIS Referencia:  Observacion:  Placa padre: Tipo adquisicion: Entidad</v>
      </c>
      <c r="G4730" s="5"/>
    </row>
    <row r="4731" spans="1:7" ht="58.5" customHeight="1" x14ac:dyDescent="0.25">
      <c r="A4731" s="5" t="str">
        <f>"H0011894"</f>
        <v>H0011894</v>
      </c>
      <c r="B4731" s="5" t="str">
        <f>"ESTANTE METALICO 6 ENTREPAÑOS"</f>
        <v>ESTANTE METALICO 6 ENTREPAÑOS</v>
      </c>
      <c r="C4731" s="6">
        <v>423230.2</v>
      </c>
      <c r="D4731" s="5"/>
      <c r="E4731" s="5" t="str">
        <f t="shared" si="241"/>
        <v>ESTERILIZACION-DIANA SOFIA DIAZ CASTRO</v>
      </c>
      <c r="F4731" s="5" t="str">
        <f>"Descripcion: ESTANTE METALICO 6 ENTREPAÑOS  Estado: Bueno Placa anterior: 000016796 Material: METALICO, PLASTICO Color: BLANCO CON GRIS Referencia:  Observacion:  Placa padre: Tipo adquisicion: Entidad"</f>
        <v>Descripcion: ESTANTE METALICO 6 ENTREPAÑOS  Estado: Bueno Placa anterior: 000016796 Material: METALICO, PLASTICO Color: BLANCO CON GRIS Referencia:  Observacion:  Placa padre: Tipo adquisicion: Entidad</v>
      </c>
      <c r="G4731" s="5"/>
    </row>
    <row r="4732" spans="1:7" ht="58.5" customHeight="1" x14ac:dyDescent="0.25">
      <c r="A4732" s="5" t="str">
        <f>"H0011895"</f>
        <v>H0011895</v>
      </c>
      <c r="B4732" s="5" t="str">
        <f>"POTE (TARRO) ACERO INXODABLE CON TAPA PEQUEÑO"</f>
        <v>POTE (TARRO) ACERO INXODABLE CON TAPA PEQUEÑO</v>
      </c>
      <c r="C4732" s="6">
        <v>5060</v>
      </c>
      <c r="D4732" s="5"/>
      <c r="E4732" s="5" t="str">
        <f t="shared" si="241"/>
        <v>ESTERILIZACION-DIANA SOFIA DIAZ CASTRO</v>
      </c>
      <c r="F4732" s="5" t="str">
        <f>"Descripcion: POTE (TARRO) ACERO INXODABLE CON TAPA PEQUEÑO Estado: Bueno Placa anterior: 000014640 Material: ACERO INOXIDABLE Color:  Referencia:  Observacion:  Placa padre: Tipo adquisicion: Entidad"</f>
        <v>Descripcion: POTE (TARRO) ACERO INXODABLE CON TAPA PEQUEÑO Estado: Bueno Placa anterior: 000014640 Material: ACERO INOXIDABLE Color:  Referencia:  Observacion:  Placa padre: Tipo adquisicion: Entidad</v>
      </c>
      <c r="G4732" s="5"/>
    </row>
    <row r="4733" spans="1:7" ht="58.5" customHeight="1" x14ac:dyDescent="0.25">
      <c r="A4733" s="5" t="str">
        <f>"H0011896"</f>
        <v>H0011896</v>
      </c>
      <c r="B4733" s="5" t="str">
        <f>"POTE (TARRO) ACERO INXODABLE CON TAPA PEQUEÑO"</f>
        <v>POTE (TARRO) ACERO INXODABLE CON TAPA PEQUEÑO</v>
      </c>
      <c r="C4733" s="6">
        <v>5060</v>
      </c>
      <c r="D4733" s="5"/>
      <c r="E4733" s="5" t="str">
        <f t="shared" si="241"/>
        <v>ESTERILIZACION-DIANA SOFIA DIAZ CASTRO</v>
      </c>
      <c r="F4733" s="5" t="str">
        <f>"Descripcion: POTE (TARRO) ACERO INXODABLE CON TAPA PEQUEÑO Estado: Bueno Placa anterior: 000014641 Material: ACERO INOXIDABLE Color:  Referencia:  Observacion:  Placa padre: Tipo adquisicion: Entidad"</f>
        <v>Descripcion: POTE (TARRO) ACERO INXODABLE CON TAPA PEQUEÑO Estado: Bueno Placa anterior: 000014641 Material: ACERO INOXIDABLE Color:  Referencia:  Observacion:  Placa padre: Tipo adquisicion: Entidad</v>
      </c>
      <c r="G4733" s="5"/>
    </row>
    <row r="4734" spans="1:7" ht="58.5" customHeight="1" x14ac:dyDescent="0.25">
      <c r="A4734" s="5" t="str">
        <f>"H0011897"</f>
        <v>H0011897</v>
      </c>
      <c r="B4734" s="5" t="str">
        <f>"POTE (TARRO) ACERO INXODABLE CON TAPA PEQUEÑO"</f>
        <v>POTE (TARRO) ACERO INXODABLE CON TAPA PEQUEÑO</v>
      </c>
      <c r="C4734" s="6">
        <v>5060</v>
      </c>
      <c r="D4734" s="5"/>
      <c r="E4734" s="5" t="str">
        <f t="shared" si="241"/>
        <v>ESTERILIZACION-DIANA SOFIA DIAZ CASTRO</v>
      </c>
      <c r="F4734" s="5" t="str">
        <f>"Descripcion: POTE (TARRO) ACERO INXODABLE  PEQUEÑO (NO TIENE TAPA) Estado: Bueno Placa anterior: 000014642 Material: ACERO INOXIDABLE Color:  Referencia:  Observacion:  Placa padre: Tipo adquisicion: Entidad"</f>
        <v>Descripcion: POTE (TARRO) ACERO INXODABLE  PEQUEÑO (NO TIENE TAPA) Estado: Bueno Placa anterior: 000014642 Material: ACERO INOXIDABLE Color:  Referencia:  Observacion:  Placa padre: Tipo adquisicion: Entidad</v>
      </c>
      <c r="G4734" s="5"/>
    </row>
    <row r="4735" spans="1:7" ht="58.5" customHeight="1" x14ac:dyDescent="0.25">
      <c r="A4735" s="5" t="str">
        <f>"H0011899"</f>
        <v>H0011899</v>
      </c>
      <c r="B4735" s="5" t="str">
        <f>"CARRO INSTRUMENTADOR QUIRURGICO"</f>
        <v>CARRO INSTRUMENTADOR QUIRURGICO</v>
      </c>
      <c r="C4735" s="6">
        <v>19250</v>
      </c>
      <c r="D4735" s="5"/>
      <c r="E4735" s="5" t="str">
        <f t="shared" si="241"/>
        <v>ESTERILIZACION-DIANA SOFIA DIAZ CASTRO</v>
      </c>
      <c r="F4735" s="5" t="str">
        <f>"Descripcion: MESA PARA INSTRUMENTAL CON CANASTILLA Y RODACHINES Estado: Bueno Placa anterior: 000012560 Material: METALICO Color: BEIGE Referencia:  Observacion:  Placa padre: Tipo adquisicion: Entidad"</f>
        <v>Descripcion: MESA PARA INSTRUMENTAL CON CANASTILLA Y RODACHINES Estado: Bueno Placa anterior: 000012560 Material: METALICO Color: BEIGE Referencia:  Observacion:  Placa padre: Tipo adquisicion: Entidad</v>
      </c>
      <c r="G4735" s="5"/>
    </row>
    <row r="4736" spans="1:7" ht="58.5" customHeight="1" x14ac:dyDescent="0.25">
      <c r="A4736" s="5" t="str">
        <f>"H0011900"</f>
        <v>H0011900</v>
      </c>
      <c r="B4736" s="5" t="str">
        <f>"ESCALERILLA DE 2 PASOS"</f>
        <v>ESCALERILLA DE 2 PASOS</v>
      </c>
      <c r="C4736" s="6">
        <v>4455</v>
      </c>
      <c r="D4736" s="5"/>
      <c r="E4736" s="5" t="str">
        <f t="shared" ref="E4736:E4799" si="245">"ESTERILIZACION-DIANA SOFIA DIAZ CASTRO"</f>
        <v>ESTERILIZACION-DIANA SOFIA DIAZ CASTRO</v>
      </c>
      <c r="F4736" s="5" t="str">
        <f>"Descripcion: ESCALA TIPO B (2 PASOS) Estado: Bueno Placa anterior: 000012536 Material: METALICO CON PASOS EN MADERA Color:  Referencia:  Observacion:  Placa padre: Tipo adquisicion: Entidad"</f>
        <v>Descripcion: ESCALA TIPO B (2 PASOS) Estado: Bueno Placa anterior: 000012536 Material: METALICO CON PASOS EN MADERA Color:  Referencia:  Observacion:  Placa padre: Tipo adquisicion: Entidad</v>
      </c>
      <c r="G4736" s="5"/>
    </row>
    <row r="4737" spans="1:7" ht="58.5" customHeight="1" x14ac:dyDescent="0.25">
      <c r="A4737" s="5" t="str">
        <f>"H0011901"</f>
        <v>H0011901</v>
      </c>
      <c r="B4737" s="5" t="str">
        <f>"TERMOHIGROMETRO DIGITAL"</f>
        <v>TERMOHIGROMETRO DIGITAL</v>
      </c>
      <c r="C4737" s="6">
        <v>320038</v>
      </c>
      <c r="D4737" s="5"/>
      <c r="E4737" s="5" t="str">
        <f t="shared" si="245"/>
        <v>ESTERILIZACION-DIANA SOFIA DIAZ CASTRO</v>
      </c>
      <c r="F4737" s="5" t="str">
        <f>"Descripcion: TERMOHIGROMETRO REF.TS96 Estado: Bueno Placa anterior: 000022313 Material: METALICO Color: GRIS CON BLANCO Referencia:  Observacion:  Placa padre: Tipo adquisicion: Entidad"</f>
        <v>Descripcion: TERMOHIGROMETRO REF.TS96 Estado: Bueno Placa anterior: 000022313 Material: METALICO Color: GRIS CON BLANCO Referencia:  Observacion:  Placa padre: Tipo adquisicion: Entidad</v>
      </c>
      <c r="G4737" s="5"/>
    </row>
    <row r="4738" spans="1:7" ht="58.5" customHeight="1" x14ac:dyDescent="0.25">
      <c r="A4738" s="5" t="str">
        <f>"H0011908"</f>
        <v>H0011908</v>
      </c>
      <c r="B4738" s="5" t="str">
        <f>"ESTANTE METALICO 5 ENTREPAÑOS"</f>
        <v>ESTANTE METALICO 5 ENTREPAÑOS</v>
      </c>
      <c r="C4738" s="6">
        <v>10167.52</v>
      </c>
      <c r="D4738" s="5"/>
      <c r="E4738" s="5" t="str">
        <f t="shared" si="245"/>
        <v>ESTERILIZACION-DIANA SOFIA DIAZ CASTRO</v>
      </c>
      <c r="F4738" s="5" t="str">
        <f>"Descripcion: ESTANTE METALICO 5 ENTREPAÑOS Estado: Bueno Placa anterior: 000012517 Material: METALICO Color: GRIS Referencia:  Observacion:  Placa padre: Tipo adquisicion: Entidad"</f>
        <v>Descripcion: ESTANTE METALICO 5 ENTREPAÑOS Estado: Bueno Placa anterior: 000012517 Material: METALICO Color: GRIS Referencia:  Observacion:  Placa padre: Tipo adquisicion: Entidad</v>
      </c>
      <c r="G4738" s="5"/>
    </row>
    <row r="4739" spans="1:7" ht="58.5" customHeight="1" x14ac:dyDescent="0.25">
      <c r="A4739" s="5" t="str">
        <f>"H0011909"</f>
        <v>H0011909</v>
      </c>
      <c r="B4739" s="5" t="str">
        <f>"CARRO PARA TRANSPORTE MATERIAL ESTERIL (OBJETOS ESTERILIZADOS)"</f>
        <v>CARRO PARA TRANSPORTE MATERIAL ESTERIL (OBJETOS ESTERILIZADOS)</v>
      </c>
      <c r="C4739" s="6">
        <v>155760</v>
      </c>
      <c r="D4739" s="5"/>
      <c r="E4739" s="5" t="str">
        <f t="shared" si="245"/>
        <v>ESTERILIZACION-DIANA SOFIA DIAZ CASTRO</v>
      </c>
      <c r="F4739" s="5" t="str">
        <f>"Descripcion: CARRO PARA TRANSPORTAR MATERIAL ESTERIL 3 ENTREPAÑOS Estado: Bueno Placa anterior: 000012530 Material: ACERO INOXIDABLE Color:  Referencia:  Observacion:  Placa padre: Tipo adquisicion: Entidad"</f>
        <v>Descripcion: CARRO PARA TRANSPORTAR MATERIAL ESTERIL 3 ENTREPAÑOS Estado: Bueno Placa anterior: 000012530 Material: ACERO INOXIDABLE Color:  Referencia:  Observacion:  Placa padre: Tipo adquisicion: Entidad</v>
      </c>
      <c r="G4739" s="5"/>
    </row>
    <row r="4740" spans="1:7" ht="58.5" customHeight="1" x14ac:dyDescent="0.25">
      <c r="A4740" s="5" t="str">
        <f>"H0011911"</f>
        <v>H0011911</v>
      </c>
      <c r="B4740" s="5" t="str">
        <f>"MESA (CARRO) DE CURACIONES"</f>
        <v>MESA (CARRO) DE CURACIONES</v>
      </c>
      <c r="C4740" s="6">
        <v>7800</v>
      </c>
      <c r="D4740" s="5"/>
      <c r="E4740" s="5" t="str">
        <f t="shared" si="245"/>
        <v>ESTERILIZACION-DIANA SOFIA DIAZ CASTRO</v>
      </c>
      <c r="F4740" s="5" t="str">
        <f>"Descripcion: MESA AUXILIAR TIPO CARRO C/BARANDAS Y RODACHINES Estado: Bueno Placa anterior: 000012522 Material: METALICO, ACERO INOX Color:  Referencia:  Observacion:  Placa padre: Tipo adquisicion: Entidad"</f>
        <v>Descripcion: MESA AUXILIAR TIPO CARRO C/BARANDAS Y RODACHINES Estado: Bueno Placa anterior: 000012522 Material: METALICO, ACERO INOX Color:  Referencia:  Observacion:  Placa padre: Tipo adquisicion: Entidad</v>
      </c>
      <c r="G4740" s="5"/>
    </row>
    <row r="4741" spans="1:7" ht="58.5" customHeight="1" x14ac:dyDescent="0.25">
      <c r="A4741" s="5" t="str">
        <f>"H0011912"</f>
        <v>H0011912</v>
      </c>
      <c r="B4741" s="5" t="str">
        <f>"CARRO PARA TRANSPORTE MATERIAL ESTERIL (OBJETOS ESTERILIZADOS)"</f>
        <v>CARRO PARA TRANSPORTE MATERIAL ESTERIL (OBJETOS ESTERILIZADOS)</v>
      </c>
      <c r="C4741" s="6">
        <v>155760</v>
      </c>
      <c r="D4741" s="5"/>
      <c r="E4741" s="5" t="str">
        <f t="shared" si="245"/>
        <v>ESTERILIZACION-DIANA SOFIA DIAZ CASTRO</v>
      </c>
      <c r="F4741" s="5" t="str">
        <f>"Descripcion: CARRO PARA TRANSPORTAR MATERIAL ESTERIL Estado: Bueno Placa anterior: 000012531 Material: ACERO INOXIDABLE Color:  Referencia:  Observacion:  Placa padre: Tipo adquisicion: Entidad"</f>
        <v>Descripcion: CARRO PARA TRANSPORTAR MATERIAL ESTERIL Estado: Bueno Placa anterior: 000012531 Material: ACERO INOXIDABLE Color:  Referencia:  Observacion:  Placa padre: Tipo adquisicion: Entidad</v>
      </c>
      <c r="G4741" s="5"/>
    </row>
    <row r="4742" spans="1:7" ht="58.5" customHeight="1" x14ac:dyDescent="0.25">
      <c r="A4742" s="5" t="str">
        <f>"H0011913"</f>
        <v>H0011913</v>
      </c>
      <c r="B4742" s="5" t="str">
        <f>"MESON EN ACERO INOXIDABLE"</f>
        <v>MESON EN ACERO INOXIDABLE</v>
      </c>
      <c r="C4742" s="6">
        <v>68770</v>
      </c>
      <c r="D4742" s="5"/>
      <c r="E4742" s="5" t="str">
        <f t="shared" si="245"/>
        <v>ESTERILIZACION-DIANA SOFIA DIAZ CASTRO</v>
      </c>
      <c r="F4742" s="5" t="str">
        <f>"Descripcion: MESA DE TRABAJO PARA ESTERILIZACION MEDIDAS: 86X230X82CM Estado: Bueno Placa anterior: 000012499 Material: ACERO INOXIDABLE Color:  Referencia:  Observacion:  Placa padre: Tipo adquisicion: Entidad"</f>
        <v>Descripcion: MESA DE TRABAJO PARA ESTERILIZACION MEDIDAS: 86X230X82CM Estado: Bueno Placa anterior: 000012499 Material: ACERO INOXIDABLE Color:  Referencia:  Observacion:  Placa padre: Tipo adquisicion: Entidad</v>
      </c>
      <c r="G4742" s="5"/>
    </row>
    <row r="4743" spans="1:7" ht="58.5" customHeight="1" x14ac:dyDescent="0.25">
      <c r="A4743" s="5" t="str">
        <f>"H0011916"</f>
        <v>H0011916</v>
      </c>
      <c r="B4743" s="5" t="str">
        <f>"VITRINA DE 2 CUERPOS"</f>
        <v>VITRINA DE 2 CUERPOS</v>
      </c>
      <c r="C4743" s="6">
        <v>55000</v>
      </c>
      <c r="D4743" s="5"/>
      <c r="E4743" s="5" t="str">
        <f t="shared" si="245"/>
        <v>ESTERILIZACION-DIANA SOFIA DIAZ CASTRO</v>
      </c>
      <c r="F4743" s="5" t="str">
        <f>"Descripcion: VITRINA METALICA PARA INSTRUMENTAL CON  5 ENTREPAÑOS (NO TIENE VIDRIOS AL FRENTE) Estado: Bueno Placa anterior: 000012574 Material: METALICO, ENTREPAÑOS EN VIDRIO Color: VERDE, CROMADO Referencia:  Observacion:  Placa padre: Tipo adquisicion:"&amp; " Entidad"</f>
        <v>Descripcion: VITRINA METALICA PARA INSTRUMENTAL CON  5 ENTREPAÑOS (NO TIENE VIDRIOS AL FRENTE) Estado: Bueno Placa anterior: 000012574 Material: METALICO, ENTREPAÑOS EN VIDRIO Color: VERDE, CROMADO Referencia:  Observacion:  Placa padre: Tipo adquisicion: Entidad</v>
      </c>
      <c r="G4743" s="5"/>
    </row>
    <row r="4744" spans="1:7" ht="58.5" customHeight="1" x14ac:dyDescent="0.25">
      <c r="A4744" s="5" t="str">
        <f>"H0011918"</f>
        <v>H0011918</v>
      </c>
      <c r="B4744" s="5" t="str">
        <f>"INCUBADORA  DE ESTERILIZACION"</f>
        <v>INCUBADORA  DE ESTERILIZACION</v>
      </c>
      <c r="C4744" s="6">
        <v>9000000</v>
      </c>
      <c r="D4744" s="5"/>
      <c r="E4744" s="5" t="str">
        <f t="shared" si="245"/>
        <v>ESTERILIZACION-DIANA SOFIA DIAZ CASTRO</v>
      </c>
      <c r="F4744" s="5" t="str">
        <f>"Descripcion: INCUBADORA RAPIDA (PARA LA CENTRAL DE ESTERILIZACION) Estado: Bueno Placa anterior: 000024843 Material: PLASTICO Color: BEIGE Referencia:  Observacion:  Placa padre: Tipo adquisicion: Entidad"</f>
        <v>Descripcion: INCUBADORA RAPIDA (PARA LA CENTRAL DE ESTERILIZACION) Estado: Bueno Placa anterior: 000024843 Material: PLASTICO Color: BEIGE Referencia:  Observacion:  Placa padre: Tipo adquisicion: Entidad</v>
      </c>
      <c r="G4744" s="5" t="str">
        <f>"ATTEST 1291"</f>
        <v>ATTEST 1291</v>
      </c>
    </row>
    <row r="4745" spans="1:7" ht="58.5" customHeight="1" x14ac:dyDescent="0.25">
      <c r="A4745" s="5" t="str">
        <f>"H0011919"</f>
        <v>H0011919</v>
      </c>
      <c r="B4745" s="5" t="str">
        <f>"INCUBADORA  DE ESTERILIZACION"</f>
        <v>INCUBADORA  DE ESTERILIZACION</v>
      </c>
      <c r="C4745" s="6">
        <v>1951120</v>
      </c>
      <c r="D4745" s="5"/>
      <c r="E4745" s="5" t="str">
        <f t="shared" si="245"/>
        <v>ESTERILIZACION-DIANA SOFIA DIAZ CASTRO</v>
      </c>
      <c r="F4745" s="5" t="str">
        <f>"Descripcion: INCUBADORA DE INDICADORES BIOLOGICOS PARA VIALSVAPORETO 57/37 C. MARCA BROWNE Estado: Bueno Placa anterior: 000024112 Material: PLASTICO Color: BEIGE Referencia:  Observacion:  Placa padre: Tipo adquisicion: Entidad"</f>
        <v>Descripcion: INCUBADORA DE INDICADORES BIOLOGICOS PARA VIALSVAPORETO 57/37 C. MARCA BROWNE Estado: Bueno Placa anterior: 000024112 Material: PLASTICO Color: BEIGE Referencia:  Observacion:  Placa padre: Tipo adquisicion: Entidad</v>
      </c>
      <c r="G4745" s="5" t="str">
        <f>"1400"</f>
        <v>1400</v>
      </c>
    </row>
    <row r="4746" spans="1:7" ht="58.5" customHeight="1" x14ac:dyDescent="0.25">
      <c r="A4746" s="5" t="str">
        <f>"H0011920"</f>
        <v>H0011920</v>
      </c>
      <c r="B4746" s="5" t="str">
        <f>"VITRINA DE 2 CUERPOS"</f>
        <v>VITRINA DE 2 CUERPOS</v>
      </c>
      <c r="C4746" s="6">
        <v>423230.2</v>
      </c>
      <c r="D4746" s="5"/>
      <c r="E4746" s="5" t="str">
        <f t="shared" si="245"/>
        <v>ESTERILIZACION-DIANA SOFIA DIAZ CASTRO</v>
      </c>
      <c r="F4746" s="5" t="str">
        <f>"Descripcion: VITRINA DE 2 CUERPOS CON 6 ENTRPAÑOS Estado: Bueno Placa anterior: 000016673 Material: METALICO, PLASTICO Color: BLANCO CON GRIS Referencia:  Observacion:  Placa padre: Tipo adquisicion: Entidad"</f>
        <v>Descripcion: VITRINA DE 2 CUERPOS CON 6 ENTRPAÑOS Estado: Bueno Placa anterior: 000016673 Material: METALICO, PLASTICO Color: BLANCO CON GRIS Referencia:  Observacion:  Placa padre: Tipo adquisicion: Entidad</v>
      </c>
      <c r="G4746" s="5"/>
    </row>
    <row r="4747" spans="1:7" ht="58.5" customHeight="1" x14ac:dyDescent="0.25">
      <c r="A4747" s="5" t="str">
        <f>"H0011921"</f>
        <v>H0011921</v>
      </c>
      <c r="B4747" s="5" t="str">
        <f>"VITRINA DE 2 CUERPOS"</f>
        <v>VITRINA DE 2 CUERPOS</v>
      </c>
      <c r="C4747" s="6">
        <v>423230.2</v>
      </c>
      <c r="D4747" s="5"/>
      <c r="E4747" s="5" t="str">
        <f t="shared" si="245"/>
        <v>ESTERILIZACION-DIANA SOFIA DIAZ CASTRO</v>
      </c>
      <c r="F4747" s="5" t="str">
        <f>"Descripcion: VITRINA DE 2 CUERPOS CON 6 ENTRPAÑOS Estado: Bueno Placa anterior: 000016674 Material: METALICO, PLASTICO Color: BLANCO CON GRIS Referencia:  Observacion:  Placa padre: Tipo adquisicion: Entidad"</f>
        <v>Descripcion: VITRINA DE 2 CUERPOS CON 6 ENTRPAÑOS Estado: Bueno Placa anterior: 000016674 Material: METALICO, PLASTICO Color: BLANCO CON GRIS Referencia:  Observacion:  Placa padre: Tipo adquisicion: Entidad</v>
      </c>
      <c r="G4747" s="5"/>
    </row>
    <row r="4748" spans="1:7" ht="58.5" customHeight="1" x14ac:dyDescent="0.25">
      <c r="A4748" s="5" t="str">
        <f>"H0011922"</f>
        <v>H0011922</v>
      </c>
      <c r="B4748" s="5" t="str">
        <f>"ESTANTE METALICO 6 ENTREPAÑOS"</f>
        <v>ESTANTE METALICO 6 ENTREPAÑOS</v>
      </c>
      <c r="C4748" s="6">
        <v>6916.85</v>
      </c>
      <c r="D4748" s="5"/>
      <c r="E4748" s="5" t="str">
        <f t="shared" si="245"/>
        <v>ESTERILIZACION-DIANA SOFIA DIAZ CASTRO</v>
      </c>
      <c r="F4748" s="5" t="str">
        <f>"Descripcion: ESTANTE METALICO 6 ENTREPAÑOS Estado: Bueno Placa anterior: 000015326 Material: METALICO Color: GRIS Referencia:  Observacion:  Placa padre: Tipo adquisicion: Entidad"</f>
        <v>Descripcion: ESTANTE METALICO 6 ENTREPAÑOS Estado: Bueno Placa anterior: 000015326 Material: METALICO Color: GRIS Referencia:  Observacion:  Placa padre: Tipo adquisicion: Entidad</v>
      </c>
      <c r="G4748" s="5"/>
    </row>
    <row r="4749" spans="1:7" ht="58.5" customHeight="1" x14ac:dyDescent="0.25">
      <c r="A4749" s="5" t="str">
        <f>"H0011923"</f>
        <v>H0011923</v>
      </c>
      <c r="B4749" s="5" t="str">
        <f>"CARRO PARA TRANSPORTE MATERIAL ESTERIL (OBJETOS ESTERILIZADOS)"</f>
        <v>CARRO PARA TRANSPORTE MATERIAL ESTERIL (OBJETOS ESTERILIZADOS)</v>
      </c>
      <c r="C4749" s="6">
        <v>155760</v>
      </c>
      <c r="D4749" s="5"/>
      <c r="E4749" s="5" t="str">
        <f t="shared" si="245"/>
        <v>ESTERILIZACION-DIANA SOFIA DIAZ CASTRO</v>
      </c>
      <c r="F4749" s="5" t="str">
        <f>"Descripcion: CARRO PARA TRANSPORTAR MATERIAL ESTERIL Estado: Bueno Placa anterior: 000012528 Material: ACERO INOXIDABLE Color:  Referencia:  Observacion:  Placa padre: Tipo adquisicion: Entidad"</f>
        <v>Descripcion: CARRO PARA TRANSPORTAR MATERIAL ESTERIL Estado: Bueno Placa anterior: 000012528 Material: ACERO INOXIDABLE Color:  Referencia:  Observacion:  Placa padre: Tipo adquisicion: Entidad</v>
      </c>
      <c r="G4749" s="5"/>
    </row>
    <row r="4750" spans="1:7" ht="58.5" customHeight="1" x14ac:dyDescent="0.25">
      <c r="A4750" s="5" t="str">
        <f>"H0011925"</f>
        <v>H0011925</v>
      </c>
      <c r="B4750" s="5" t="str">
        <f>"MESA DE MADERA"</f>
        <v>MESA DE MADERA</v>
      </c>
      <c r="C4750" s="6">
        <v>28332.3</v>
      </c>
      <c r="D4750" s="5"/>
      <c r="E4750" s="5" t="str">
        <f t="shared" si="245"/>
        <v>ESTERILIZACION-DIANA SOFIA DIAZ CASTRO</v>
      </c>
      <c r="F4750" s="5" t="str">
        <f>"Descripcion: MESA DE MADERA PULIDA EN LACA Estado: Bueno Placa anterior: 000012556 Material: MADERA Color: MARRON Referencia:  Observacion:  Placa padre: Tipo adquisicion: Entidad"</f>
        <v>Descripcion: MESA DE MADERA PULIDA EN LACA Estado: Bueno Placa anterior: 000012556 Material: MADERA Color: MARRON Referencia:  Observacion:  Placa padre: Tipo adquisicion: Entidad</v>
      </c>
      <c r="G4750" s="5"/>
    </row>
    <row r="4751" spans="1:7" ht="58.5" customHeight="1" x14ac:dyDescent="0.25">
      <c r="A4751" s="5" t="str">
        <f>"H0011926"</f>
        <v>H0011926</v>
      </c>
      <c r="B4751" s="5" t="str">
        <f>"ESCALERILLA DE 2 PASOS"</f>
        <v>ESCALERILLA DE 2 PASOS</v>
      </c>
      <c r="C4751" s="6">
        <v>4455</v>
      </c>
      <c r="D4751" s="5"/>
      <c r="E4751" s="5" t="str">
        <f t="shared" si="245"/>
        <v>ESTERILIZACION-DIANA SOFIA DIAZ CASTRO</v>
      </c>
      <c r="F4751" s="5" t="str">
        <f>"Descripcion: ESCALERILLA DE 2 PASOS Estado: Bueno Placa anterior: 000015321 Material: METALICO CON PASOS EN MADERA Color: GRIS CON NEGRO Referencia:  Observacion:  Placa padre: Tipo adquisicion: Entidad"</f>
        <v>Descripcion: ESCALERILLA DE 2 PASOS Estado: Bueno Placa anterior: 000015321 Material: METALICO CON PASOS EN MADERA Color: GRIS CON NEGRO Referencia:  Observacion:  Placa padre: Tipo adquisicion: Entidad</v>
      </c>
      <c r="G4751" s="5"/>
    </row>
    <row r="4752" spans="1:7" ht="58.5" customHeight="1" x14ac:dyDescent="0.25">
      <c r="A4752" s="5" t="str">
        <f>"H0011928"</f>
        <v>H0011928</v>
      </c>
      <c r="B4752" s="5" t="str">
        <f>"MESON EN ACERO INOXIDABLE"</f>
        <v>MESON EN ACERO INOXIDABLE</v>
      </c>
      <c r="C4752" s="6">
        <v>68770</v>
      </c>
      <c r="D4752" s="5"/>
      <c r="E4752" s="5" t="str">
        <f t="shared" si="245"/>
        <v>ESTERILIZACION-DIANA SOFIA DIAZ CASTRO</v>
      </c>
      <c r="F4752" s="5" t="str">
        <f>"Descripcion: MESA DE TRABAJO PARA ESTERILIZACION Estado: Bueno Placa anterior: 000012500 Material: ACERO INOXIDABLE Color:  Referencia:  Observacion:  Placa padre: Tipo adquisicion: Entidad"</f>
        <v>Descripcion: MESA DE TRABAJO PARA ESTERILIZACION Estado: Bueno Placa anterior: 000012500 Material: ACERO INOXIDABLE Color:  Referencia:  Observacion:  Placa padre: Tipo adquisicion: Entidad</v>
      </c>
      <c r="G4752" s="5"/>
    </row>
    <row r="4753" spans="1:7" ht="58.5" customHeight="1" x14ac:dyDescent="0.25">
      <c r="A4753" s="5" t="str">
        <f>"H0011930"</f>
        <v>H0011930</v>
      </c>
      <c r="B4753" s="5" t="str">
        <f>"SILLA ERGONOMICA TIPO SECRETARIA SIN BRAZOS"</f>
        <v>SILLA ERGONOMICA TIPO SECRETARIA SIN BRAZOS</v>
      </c>
      <c r="C4753" s="6">
        <v>16500</v>
      </c>
      <c r="D4753" s="5"/>
      <c r="E4753" s="5" t="str">
        <f t="shared" si="245"/>
        <v>ESTERILIZACION-DIANA SOFIA DIAZ CASTRO</v>
      </c>
      <c r="F4753" s="5" t="str">
        <f>"Descripcion: SILLA TIPO B (GIRATORIA SIN BRAZOS) Estado: Malo Placa anterior: 000012554 Material: METALICO CON TAPIZADO  Color: MARRON Referencia:  Observacion:  Placa padre: Tipo adquisicion: Entidad"</f>
        <v>Descripcion: SILLA TIPO B (GIRATORIA SIN BRAZOS) Estado: Malo Placa anterior: 000012554 Material: METALICO CON TAPIZADO  Color: MARRON Referencia:  Observacion:  Placa padre: Tipo adquisicion: Entidad</v>
      </c>
      <c r="G4753" s="5"/>
    </row>
    <row r="4754" spans="1:7" ht="58.5" customHeight="1" x14ac:dyDescent="0.25">
      <c r="A4754" s="5" t="str">
        <f>"H0011935"</f>
        <v>H0011935</v>
      </c>
      <c r="B4754" s="5" t="str">
        <f>"MESA DE MADERA"</f>
        <v>MESA DE MADERA</v>
      </c>
      <c r="C4754" s="6">
        <v>28332.3</v>
      </c>
      <c r="D4754" s="5"/>
      <c r="E4754" s="5" t="str">
        <f t="shared" si="245"/>
        <v>ESTERILIZACION-DIANA SOFIA DIAZ CASTRO</v>
      </c>
      <c r="F4754" s="5" t="str">
        <f>"Descripcion: MESA EN MADERA CON UN ENTREPAÑO Y RODACHINES Estado: Bueno Placa anterior: 000014657 Material: MADERA Color: GRIS Referencia:  Observacion:  Placa padre: Tipo adquisicion: Entidad"</f>
        <v>Descripcion: MESA EN MADERA CON UN ENTREPAÑO Y RODACHINES Estado: Bueno Placa anterior: 000014657 Material: MADERA Color: GRIS Referencia:  Observacion:  Placa padre: Tipo adquisicion: Entidad</v>
      </c>
      <c r="G4754" s="5"/>
    </row>
    <row r="4755" spans="1:7" ht="58.5" customHeight="1" x14ac:dyDescent="0.25">
      <c r="A4755" s="5" t="str">
        <f>"H0011936"</f>
        <v>H0011936</v>
      </c>
      <c r="B4755" s="5" t="str">
        <f>"MESON EN ACERO INOXIDABLE"</f>
        <v>MESON EN ACERO INOXIDABLE</v>
      </c>
      <c r="C4755" s="6">
        <v>68770</v>
      </c>
      <c r="D4755" s="5"/>
      <c r="E4755" s="5" t="str">
        <f t="shared" si="245"/>
        <v>ESTERILIZACION-DIANA SOFIA DIAZ CASTRO</v>
      </c>
      <c r="F4755" s="5" t="str">
        <f>"Descripcion: MESA DE TRABAJO PARA ESTERILIZACION MEDIDAS: 87X233X82CM Estado: Bueno Placa anterior: 000012497 Material: ACERO INOXIDABLE Color:  Referencia:  Observacion:  Placa padre: Tipo adquisicion: Entidad"</f>
        <v>Descripcion: MESA DE TRABAJO PARA ESTERILIZACION MEDIDAS: 87X233X82CM Estado: Bueno Placa anterior: 000012497 Material: ACERO INOXIDABLE Color:  Referencia:  Observacion:  Placa padre: Tipo adquisicion: Entidad</v>
      </c>
      <c r="G4755" s="5"/>
    </row>
    <row r="4756" spans="1:7" ht="58.5" customHeight="1" x14ac:dyDescent="0.25">
      <c r="A4756" s="5" t="str">
        <f>"H0012751"</f>
        <v>H0012751</v>
      </c>
      <c r="B4756" s="5" t="str">
        <f>"IMPRESORA MATRIZ DE PUNTOS"</f>
        <v>IMPRESORA MATRIZ DE PUNTOS</v>
      </c>
      <c r="C4756" s="6">
        <v>1278320</v>
      </c>
      <c r="D4756" s="5"/>
      <c r="E4756" s="5" t="str">
        <f t="shared" si="245"/>
        <v>ESTERILIZACION-DIANA SOFIA DIAZ CASTRO</v>
      </c>
      <c r="F4756" s="5" t="str">
        <f>"Descripcion: IMPRESORA DE MATRIZ DE PUNTOS EPSON FX 890 Estado: Bueno Placa anterior: 000023500 Material: PASTA Color: GRIS Referencia:  Observacion:  Placa padre: Tipo adquisicion: Entidad"</f>
        <v>Descripcion: IMPRESORA DE MATRIZ DE PUNTOS EPSON FX 890 Estado: Bueno Placa anterior: 000023500 Material: PASTA Color: GRIS Referencia:  Observacion:  Placa padre: Tipo adquisicion: Entidad</v>
      </c>
      <c r="G4756" s="5" t="str">
        <f>"FX-890"</f>
        <v>FX-890</v>
      </c>
    </row>
    <row r="4757" spans="1:7" ht="58.5" customHeight="1" x14ac:dyDescent="0.25">
      <c r="A4757" s="5" t="str">
        <f>"H0012752"</f>
        <v>H0012752</v>
      </c>
      <c r="B4757" s="5" t="str">
        <f>"MESA (CARRO) DE CURACIONES"</f>
        <v>MESA (CARRO) DE CURACIONES</v>
      </c>
      <c r="C4757" s="6">
        <v>7800</v>
      </c>
      <c r="D4757" s="5"/>
      <c r="E4757" s="5" t="str">
        <f t="shared" si="245"/>
        <v>ESTERILIZACION-DIANA SOFIA DIAZ CASTRO</v>
      </c>
      <c r="F4757" s="5" t="str">
        <f>"Descripcion: MESA (CARRO) DE CURACIONES Estado: Excelente Placa anterior: 000012523 Material: ACERO Color: PLATEADO Referencia:  Observacion:  Placa padre: Tipo adquisicion: Entidad"</f>
        <v>Descripcion: MESA (CARRO) DE CURACIONES Estado: Excelente Placa anterior: 000012523 Material: ACERO Color: PLATEADO Referencia:  Observacion:  Placa padre: Tipo adquisicion: Entidad</v>
      </c>
      <c r="G4757" s="5"/>
    </row>
    <row r="4758" spans="1:7" ht="58.5" customHeight="1" x14ac:dyDescent="0.25">
      <c r="A4758" s="5" t="str">
        <f>"H0012753"</f>
        <v>H0012753</v>
      </c>
      <c r="B4758" s="5" t="str">
        <f>"IMPRESORA TERMICA"</f>
        <v>IMPRESORA TERMICA</v>
      </c>
      <c r="C4758" s="6">
        <v>1530722.76</v>
      </c>
      <c r="D4758" s="5" t="s">
        <v>382</v>
      </c>
      <c r="E4758" s="5" t="str">
        <f t="shared" si="245"/>
        <v>ESTERILIZACION-DIANA SOFIA DIAZ CASTRO</v>
      </c>
      <c r="F4758" s="5" t="str">
        <f>"Descripcion: IMPRESORA ZEBRA REF GT 800. Impresora de codigo de barras de transferencia termica y termica directta y resolucion de 203 dpi, velocidad de impresion de 127 mm/sg, ancho del area de impresion es de 104 mm y permite utilizar rollos de 127 mm, "&amp; "memoria RAM  Estado: Bueno Placa anterior: 000038888 Material: PASTA Color: GRIS Referencia:  Observacion:  Placa padre: Tipo adquisicion: Entidad"</f>
        <v>Descripcion: IMPRESORA ZEBRA REF GT 800. Impresora de codigo de barras de transferencia termica y termica directta y resolucion de 203 dpi, velocidad de impresion de 127 mm/sg, ancho del area de impresion es de 104 mm y permite utilizar rollos de 127 mm, memoria RAM  Estado: Bueno Placa anterior: 000038888 Material: PASTA Color: GRIS Referencia:  Observacion:  Placa padre: Tipo adquisicion: Entidad</v>
      </c>
      <c r="G4758" s="5" t="str">
        <f>"GT800"</f>
        <v>GT800</v>
      </c>
    </row>
    <row r="4759" spans="1:7" ht="58.5" customHeight="1" x14ac:dyDescent="0.25">
      <c r="A4759" s="5" t="str">
        <f>"H0012754"</f>
        <v>H0012754</v>
      </c>
      <c r="B4759" s="5" t="str">
        <f>"VITRINA DE 2 CUERPOS"</f>
        <v>VITRINA DE 2 CUERPOS</v>
      </c>
      <c r="C4759" s="6">
        <v>55463.58</v>
      </c>
      <c r="D4759" s="5"/>
      <c r="E4759" s="5" t="str">
        <f t="shared" si="245"/>
        <v>ESTERILIZACION-DIANA SOFIA DIAZ CASTRO</v>
      </c>
      <c r="F4759" s="5" t="str">
        <f>"Descripcion: VITRINA DE 2 CUERPOS Estado: Bueno Placa anterior: 000014812 Material: METAL Color: GRIS Referencia:  Observacion:  Placa padre: Tipo adquisicion: Entidad"</f>
        <v>Descripcion: VITRINA DE 2 CUERPOS Estado: Bueno Placa anterior: 000014812 Material: METAL Color: GRIS Referencia:  Observacion:  Placa padre: Tipo adquisicion: Entidad</v>
      </c>
      <c r="G4759" s="5"/>
    </row>
    <row r="4760" spans="1:7" ht="58.5" customHeight="1" x14ac:dyDescent="0.25">
      <c r="A4760" s="5" t="str">
        <f>"H0012760"</f>
        <v>H0012760</v>
      </c>
      <c r="B4760" s="5" t="str">
        <f>"SILLA ERGONOMICA TIPO SECRETARIA SIN BRAZOS"</f>
        <v>SILLA ERGONOMICA TIPO SECRETARIA SIN BRAZOS</v>
      </c>
      <c r="C4760" s="6">
        <v>211120</v>
      </c>
      <c r="D4760" s="5"/>
      <c r="E4760" s="5" t="str">
        <f t="shared" si="245"/>
        <v>ESTERILIZACION-DIANA SOFIA DIAZ CASTRO</v>
      </c>
      <c r="F4760" s="5" t="str">
        <f>"Descripcion: SILLA ERGONOMICA AT 02 (TA-SECRETARIAL) GIRATORIA Estado: Bueno Placa anterior: 000025273 Material: METAL TAPIZADO Color: NEGRO Referencia:  Observacion:  Placa padre: Tipo adquisicion: Entidad"</f>
        <v>Descripcion: SILLA ERGONOMICA AT 02 (TA-SECRETARIAL) GIRATORIA Estado: Bueno Placa anterior: 000025273 Material: METAL TAPIZADO Color: NEGRO Referencia:  Observacion:  Placa padre: Tipo adquisicion: Entidad</v>
      </c>
      <c r="G4760" s="5"/>
    </row>
    <row r="4761" spans="1:7" ht="58.5" customHeight="1" x14ac:dyDescent="0.25">
      <c r="A4761" s="5" t="str">
        <f>"H0012761"</f>
        <v>H0012761</v>
      </c>
      <c r="B4761" s="5" t="str">
        <f>"LOCKER DE 12 COMPARTIMIENTOS"</f>
        <v>LOCKER DE 12 COMPARTIMIENTOS</v>
      </c>
      <c r="C4761" s="6">
        <v>770000</v>
      </c>
      <c r="D4761" s="5" t="s">
        <v>383</v>
      </c>
      <c r="E4761" s="5" t="str">
        <f t="shared" si="245"/>
        <v>ESTERILIZACION-DIANA SOFIA DIAZ CASTRO</v>
      </c>
      <c r="F4761" s="5" t="str">
        <f>"Descripcion: LOCKER DE 3 CUERPOS CON 12 COMPARTIMIENTOS Estado: Bueno Placa anterior:  Material: METAL Color: GRIS Referencia:  Observacion: EL BIEN TIENE PLACA ANTERIOR 000026133 Placa padre: Tipo adquisicion: Entidad"</f>
        <v>Descripcion: LOCKER DE 3 CUERPOS CON 12 COMPARTIMIENTOS Estado: Bueno Placa anterior:  Material: METAL Color: GRIS Referencia:  Observacion: EL BIEN TIENE PLACA ANTERIOR 000026133 Placa padre: Tipo adquisicion: Entidad</v>
      </c>
      <c r="G4761" s="5"/>
    </row>
    <row r="4762" spans="1:7" ht="58.5" customHeight="1" x14ac:dyDescent="0.25">
      <c r="A4762" s="5" t="str">
        <f>"H0012765"</f>
        <v>H0012765</v>
      </c>
      <c r="B4762" s="5" t="str">
        <f>"LOCKER DE 1 COMPARTIMIENTO"</f>
        <v>LOCKER DE 1 COMPARTIMIENTO</v>
      </c>
      <c r="C4762" s="6">
        <v>10384</v>
      </c>
      <c r="D4762" s="5"/>
      <c r="E4762" s="5" t="str">
        <f t="shared" si="245"/>
        <v>ESTERILIZACION-DIANA SOFIA DIAZ CASTRO</v>
      </c>
      <c r="F4762" s="5" t="str">
        <f>"Descripcion: LOCKER TIPO D (1 PUESTO) Estado: Bueno Placa anterior: 000015200 Material: METAL Color: GRIS Referencia:  Observacion:  Placa padre: Tipo adquisicion: Entidad"</f>
        <v>Descripcion: LOCKER TIPO D (1 PUESTO) Estado: Bueno Placa anterior: 000015200 Material: METAL Color: GRIS Referencia:  Observacion:  Placa padre: Tipo adquisicion: Entidad</v>
      </c>
      <c r="G4762" s="5"/>
    </row>
    <row r="4763" spans="1:7" ht="58.5" customHeight="1" x14ac:dyDescent="0.25">
      <c r="A4763" s="5" t="str">
        <f>"H0012772"</f>
        <v>H0012772</v>
      </c>
      <c r="B4763" s="5" t="str">
        <f>"NEVERA 8 PIES (226LT)"</f>
        <v>NEVERA 8 PIES (226LT)</v>
      </c>
      <c r="C4763" s="6">
        <v>242820</v>
      </c>
      <c r="D4763" s="5"/>
      <c r="E4763" s="5" t="str">
        <f t="shared" si="245"/>
        <v>ESTERILIZACION-DIANA SOFIA DIAZ CASTRO</v>
      </c>
      <c r="F4763" s="5" t="str">
        <f>"Descripcion: NEVERA PHILIPS DE 8 PIES Estado: Regular Placa anterior: 000021433 Material: METAL Color: BEIGE Referencia:  Observacion:  Placa padre: Tipo adquisicion: Entidad"</f>
        <v>Descripcion: NEVERA PHILIPS DE 8 PIES Estado: Regular Placa anterior: 000021433 Material: METAL Color: BEIGE Referencia:  Observacion:  Placa padre: Tipo adquisicion: Entidad</v>
      </c>
      <c r="G4763" s="5"/>
    </row>
    <row r="4764" spans="1:7" ht="58.5" customHeight="1" x14ac:dyDescent="0.25">
      <c r="A4764" s="5" t="str">
        <f>"H0012773"</f>
        <v>H0012773</v>
      </c>
      <c r="B4764" s="5" t="str">
        <f>"CARRO PARA TRANSPORTE MATERIAL ESTERIL (OBJETOS ESTERILIZADOS)"</f>
        <v>CARRO PARA TRANSPORTE MATERIAL ESTERIL (OBJETOS ESTERILIZADOS)</v>
      </c>
      <c r="C4764" s="6">
        <v>155760</v>
      </c>
      <c r="D4764" s="5"/>
      <c r="E4764" s="5" t="str">
        <f t="shared" si="245"/>
        <v>ESTERILIZACION-DIANA SOFIA DIAZ CASTRO</v>
      </c>
      <c r="F4764" s="5" t="str">
        <f>"Descripcion: CARRO PARA TRANSPORTAR MATERIAL ESTERIL Estado: Bueno Placa anterior: 000012529 Material: ACERO Color: PLATEADO Referencia:  Observacion:  Placa padre: Tipo adquisicion: Entidad"</f>
        <v>Descripcion: CARRO PARA TRANSPORTAR MATERIAL ESTERIL Estado: Bueno Placa anterior: 000012529 Material: ACERO Color: PLATEADO Referencia:  Observacion:  Placa padre: Tipo adquisicion: Entidad</v>
      </c>
      <c r="G4764" s="5"/>
    </row>
    <row r="4765" spans="1:7" ht="58.5" customHeight="1" x14ac:dyDescent="0.25">
      <c r="A4765" s="5" t="str">
        <f>"H0012778"</f>
        <v>H0012778</v>
      </c>
      <c r="B4765" s="5" t="str">
        <f>"IMPRESORA MATRIZ DE PUNTOS"</f>
        <v>IMPRESORA MATRIZ DE PUNTOS</v>
      </c>
      <c r="C4765" s="6">
        <v>1295000</v>
      </c>
      <c r="D4765" s="5"/>
      <c r="E4765" s="5" t="str">
        <f t="shared" si="245"/>
        <v>ESTERILIZACION-DIANA SOFIA DIAZ CASTRO</v>
      </c>
      <c r="F4765" s="5" t="str">
        <f>"Descripcion: IMPRESORAS EPSON FX890 DE MATRIZ DE PUNTOS Estado: Malo Placa anterior: 000026875 Material: PASTA Color: GRIS Referencia:  Observacion:  Placa padre: Tipo adquisicion: Entidad"</f>
        <v>Descripcion: IMPRESORAS EPSON FX890 DE MATRIZ DE PUNTOS Estado: Malo Placa anterior: 000026875 Material: PASTA Color: GRIS Referencia:  Observacion:  Placa padre: Tipo adquisicion: Entidad</v>
      </c>
      <c r="G4765" s="5" t="str">
        <f>"FX-890"</f>
        <v>FX-890</v>
      </c>
    </row>
    <row r="4766" spans="1:7" ht="58.5" customHeight="1" x14ac:dyDescent="0.25">
      <c r="A4766" s="5" t="str">
        <f>"H0012780"</f>
        <v>H0012780</v>
      </c>
      <c r="B4766" s="5" t="str">
        <f>"ESTANTE METALICO 6 ENTREPAÑOS"</f>
        <v>ESTANTE METALICO 6 ENTREPAÑOS</v>
      </c>
      <c r="C4766" s="6">
        <v>10167.52</v>
      </c>
      <c r="D4766" s="5"/>
      <c r="E4766" s="5" t="str">
        <f t="shared" si="245"/>
        <v>ESTERILIZACION-DIANA SOFIA DIAZ CASTRO</v>
      </c>
      <c r="F4766" s="5" t="str">
        <f>"Descripcion: ESTANTE METALICO 6 ENTREPAÑOS Estado: Bueno Placa anterior: 000012527 Material: METAL Color: GRIS Referencia:  Observacion:  Placa padre: Tipo adquisicion: Entidad"</f>
        <v>Descripcion: ESTANTE METALICO 6 ENTREPAÑOS Estado: Bueno Placa anterior: 000012527 Material: METAL Color: GRIS Referencia:  Observacion:  Placa padre: Tipo adquisicion: Entidad</v>
      </c>
      <c r="G4766" s="5"/>
    </row>
    <row r="4767" spans="1:7" ht="58.5" customHeight="1" x14ac:dyDescent="0.25">
      <c r="A4767" s="5" t="str">
        <f>"H0012781"</f>
        <v>H0012781</v>
      </c>
      <c r="B4767" s="5" t="str">
        <f>"VITRINA DE 2 CUERPOS"</f>
        <v>VITRINA DE 2 CUERPOS</v>
      </c>
      <c r="C4767" s="6">
        <v>83383.5</v>
      </c>
      <c r="D4767" s="5"/>
      <c r="E4767" s="5" t="str">
        <f t="shared" si="245"/>
        <v>ESTERILIZACION-DIANA SOFIA DIAZ CASTRO</v>
      </c>
      <c r="F4767" s="5" t="str">
        <f>"Descripcion: VITRINA DE 2 CUERPOS CON DOS GAVETAS, DOS PUERTAS EN VIDRIO Y DOS PUERTAS METALICAS Estado: Bueno Placa anterior: 000012519 Material: METAL Color: GRIS Referencia:  Observacion:  Placa padre: Tipo adquisicion: Entidad"</f>
        <v>Descripcion: VITRINA DE 2 CUERPOS CON DOS GAVETAS, DOS PUERTAS EN VIDRIO Y DOS PUERTAS METALICAS Estado: Bueno Placa anterior: 000012519 Material: METAL Color: GRIS Referencia:  Observacion:  Placa padre: Tipo adquisicion: Entidad</v>
      </c>
      <c r="G4767" s="5"/>
    </row>
    <row r="4768" spans="1:7" ht="58.5" customHeight="1" x14ac:dyDescent="0.25">
      <c r="A4768" s="5" t="str">
        <f>"H0012786"</f>
        <v>H0012786</v>
      </c>
      <c r="B4768" s="5" t="str">
        <f>"POTE (TARRO) ACERO INXODABLE CON TAPA PEQUEÑO"</f>
        <v>POTE (TARRO) ACERO INXODABLE CON TAPA PEQUEÑO</v>
      </c>
      <c r="C4768" s="6">
        <v>5060</v>
      </c>
      <c r="D4768" s="5"/>
      <c r="E4768" s="5" t="str">
        <f t="shared" si="245"/>
        <v>ESTERILIZACION-DIANA SOFIA DIAZ CASTRO</v>
      </c>
      <c r="F4768" s="5" t="str">
        <f>"Descripcion: POTE (TARRO) ACERO INXODABLE CON TAPA PEQUEÑO Estado: Bueno Placa anterior: 000014643 Material: ACERO Color: ACERADO Referencia:  Observacion:  Placa padre: Tipo adquisicion: Entidad"</f>
        <v>Descripcion: POTE (TARRO) ACERO INXODABLE CON TAPA PEQUEÑO Estado: Bueno Placa anterior: 000014643 Material: ACERO Color: ACERADO Referencia:  Observacion:  Placa padre: Tipo adquisicion: Entidad</v>
      </c>
      <c r="G4768" s="5"/>
    </row>
    <row r="4769" spans="1:7" ht="58.5" customHeight="1" x14ac:dyDescent="0.25">
      <c r="A4769" s="5" t="str">
        <f>"H0012792"</f>
        <v>H0012792</v>
      </c>
      <c r="B4769" s="5" t="str">
        <f>"MESA METALICA AUXILIAR"</f>
        <v>MESA METALICA AUXILIAR</v>
      </c>
      <c r="C4769" s="6">
        <v>10400</v>
      </c>
      <c r="D4769" s="5"/>
      <c r="E4769" s="5" t="str">
        <f t="shared" si="245"/>
        <v>ESTERILIZACION-DIANA SOFIA DIAZ CASTRO</v>
      </c>
      <c r="F4769" s="5" t="str">
        <f>"Descripcion: MESA MECANOGRAFA CON ALA Y MESON EN FORMICA  Estado: Bueno Placa anterior: 000014769 Material: METAL Y FORMICA Color: GRIS CON MARRON Referencia:  Observacion:  Placa padre: Tipo adquisicion: Entidad"</f>
        <v>Descripcion: MESA MECANOGRAFA CON ALA Y MESON EN FORMICA  Estado: Bueno Placa anterior: 000014769 Material: METAL Y FORMICA Color: GRIS CON MARRON Referencia:  Observacion:  Placa padre: Tipo adquisicion: Entidad</v>
      </c>
      <c r="G4769" s="5"/>
    </row>
    <row r="4770" spans="1:7" ht="58.5" customHeight="1" x14ac:dyDescent="0.25">
      <c r="A4770" s="5" t="str">
        <f>"H0012793"</f>
        <v>H0012793</v>
      </c>
      <c r="B4770" s="5" t="str">
        <f>"SILLA PLASTICA SIN BRAZOS"</f>
        <v>SILLA PLASTICA SIN BRAZOS</v>
      </c>
      <c r="C4770" s="6">
        <v>14000</v>
      </c>
      <c r="D4770" s="5"/>
      <c r="E4770" s="5" t="str">
        <f t="shared" si="245"/>
        <v>ESTERILIZACION-DIANA SOFIA DIAZ CASTRO</v>
      </c>
      <c r="F4770" s="5" t="str">
        <f>"Descripcion: SILLA PLASTICA SIN BRAZOS Estado: Malo Placa anterior: 000005568 Material: PASTA Color: AZUL Referencia:  Observacion: AUTORIZADO CONCILIAR EN CRUCE GENERAL Placa padre: Tipo adquisicion: Entidad"</f>
        <v>Descripcion: SILLA PLASTICA SIN BRAZOS Estado: Malo Placa anterior: 000005568 Material: PASTA Color: AZUL Referencia:  Observacion: AUTORIZADO CONCILIAR EN CRUCE GENERAL Placa padre: Tipo adquisicion: Entidad</v>
      </c>
      <c r="G4770" s="5"/>
    </row>
    <row r="4771" spans="1:7" ht="58.5" customHeight="1" x14ac:dyDescent="0.25">
      <c r="A4771" s="5" t="str">
        <f>"H0012794"</f>
        <v>H0012794</v>
      </c>
      <c r="B4771" s="5" t="str">
        <f>"AIRE ACONDICIONADO 18000 BTU"</f>
        <v>AIRE ACONDICIONADO 18000 BTU</v>
      </c>
      <c r="C4771" s="6">
        <v>1364000</v>
      </c>
      <c r="D4771" s="5"/>
      <c r="E4771" s="5" t="str">
        <f t="shared" si="245"/>
        <v>ESTERILIZACION-DIANA SOFIA DIAZ CASTRO</v>
      </c>
      <c r="F4771" s="5" t="str">
        <f>"Descripcion: AIRE ACONDICIONADO TIPO MINI SPLIT CON CAPACIDAD DE 18000 BTU MARCA LG CONTROL REMOTO Estado: Bueno Placa anterior: 000025806 Material: PASTA METAL Color: BLANCO Referencia:  Observacion:  Placa padre: Tipo adquisicion: Entidad"</f>
        <v>Descripcion: AIRE ACONDICIONADO TIPO MINI SPLIT CON CAPACIDAD DE 18000 BTU MARCA LG CONTROL REMOTO Estado: Bueno Placa anterior: 000025806 Material: PASTA METAL Color: BLANCO Referencia:  Observacion:  Placa padre: Tipo adquisicion: Entidad</v>
      </c>
      <c r="G4771" s="5" t="str">
        <f>"AS18FBAN"</f>
        <v>AS18FBAN</v>
      </c>
    </row>
    <row r="4772" spans="1:7" ht="58.5" customHeight="1" x14ac:dyDescent="0.25">
      <c r="A4772" s="5" t="str">
        <f>"H0012795"</f>
        <v>H0012795</v>
      </c>
      <c r="B4772" s="5" t="str">
        <f>"ESTANTE METALICO 6 ENTREPAÑOS"</f>
        <v>ESTANTE METALICO 6 ENTREPAÑOS</v>
      </c>
      <c r="C4772" s="6">
        <v>8415.2800000000007</v>
      </c>
      <c r="D4772" s="5"/>
      <c r="E4772" s="5" t="str">
        <f t="shared" si="245"/>
        <v>ESTERILIZACION-DIANA SOFIA DIAZ CASTRO</v>
      </c>
      <c r="F4772" s="5" t="str">
        <f>"Descripcion: ESTANTE METALICO DE 6 ENTREPAÑOS Estado: Bueno Placa anterior: 000014738 Material: METAL Color: GRIS Referencia:  Observacion:  Placa padre: Tipo adquisicion: Entidad"</f>
        <v>Descripcion: ESTANTE METALICO DE 6 ENTREPAÑOS Estado: Bueno Placa anterior: 000014738 Material: METAL Color: GRIS Referencia:  Observacion:  Placa padre: Tipo adquisicion: Entidad</v>
      </c>
      <c r="G4772" s="5"/>
    </row>
    <row r="4773" spans="1:7" ht="58.5" customHeight="1" x14ac:dyDescent="0.25">
      <c r="A4773" s="5" t="str">
        <f>"H0012797"</f>
        <v>H0012797</v>
      </c>
      <c r="B4773" s="5" t="str">
        <f>"SILLA INTERLOCUTORA (FIJA) SIN BRAZOS"</f>
        <v>SILLA INTERLOCUTORA (FIJA) SIN BRAZOS</v>
      </c>
      <c r="C4773" s="6">
        <v>6308.9</v>
      </c>
      <c r="D4773" s="5"/>
      <c r="E4773" s="5" t="str">
        <f t="shared" si="245"/>
        <v>ESTERILIZACION-DIANA SOFIA DIAZ CASTRO</v>
      </c>
      <c r="F4773" s="5" t="str">
        <f>"Descripcion: SILLA FIJA TIPO A COLOR MARRON SIN BRAZOS Estado: Bueno Placa anterior: 000015319 Material: METAL CUERINA Color: GRIS CON MARRON Referencia:  Observacion:  Placa padre: Tipo adquisicion: Entidad"</f>
        <v>Descripcion: SILLA FIJA TIPO A COLOR MARRON SIN BRAZOS Estado: Bueno Placa anterior: 000015319 Material: METAL CUERINA Color: GRIS CON MARRON Referencia:  Observacion:  Placa padre: Tipo adquisicion: Entidad</v>
      </c>
      <c r="G4773" s="5"/>
    </row>
    <row r="4774" spans="1:7" ht="58.5" customHeight="1" x14ac:dyDescent="0.25">
      <c r="A4774" s="5" t="str">
        <f>"H0012812"</f>
        <v>H0012812</v>
      </c>
      <c r="B4774" s="5" t="str">
        <f>"CUBETA DE ACERO INOXIDABLE MEDIANA"</f>
        <v>CUBETA DE ACERO INOXIDABLE MEDIANA</v>
      </c>
      <c r="C4774" s="6">
        <v>4400</v>
      </c>
      <c r="D4774" s="5"/>
      <c r="E4774" s="5" t="str">
        <f t="shared" si="245"/>
        <v>ESTERILIZACION-DIANA SOFIA DIAZ CASTRO</v>
      </c>
      <c r="F4774" s="5" t="str">
        <f>"Descripcion: CUBETA REDONDA EN ACERO INOXIDABLE Estado: Bueno Placa anterior: 000007709 Material: ACERO Color: PLATEADO Referencia:  Observacion:  Placa padre: Tipo adquisicion: Entidad"</f>
        <v>Descripcion: CUBETA REDONDA EN ACERO INOXIDABLE Estado: Bueno Placa anterior: 000007709 Material: ACERO Color: PLATEADO Referencia:  Observacion:  Placa padre: Tipo adquisicion: Entidad</v>
      </c>
      <c r="G4774" s="5"/>
    </row>
    <row r="4775" spans="1:7" ht="58.5" customHeight="1" x14ac:dyDescent="0.25">
      <c r="A4775" s="5" t="str">
        <f>"H0012813"</f>
        <v>H0012813</v>
      </c>
      <c r="B4775" s="5" t="str">
        <f>"CUBETA DE ACERO INOXIDABLE MEDIANA"</f>
        <v>CUBETA DE ACERO INOXIDABLE MEDIANA</v>
      </c>
      <c r="C4775" s="6">
        <v>4400</v>
      </c>
      <c r="D4775" s="5"/>
      <c r="E4775" s="5" t="str">
        <f t="shared" si="245"/>
        <v>ESTERILIZACION-DIANA SOFIA DIAZ CASTRO</v>
      </c>
      <c r="F4775" s="5" t="str">
        <f>"Descripcion: CUBETA CUADRADA PEQUEÑA SIN TAPA Estado: Bueno Placa anterior: 000007714 Material: ACERO Color: PLATEADO Referencia:  Observacion:  Placa padre: Tipo adquisicion: Entidad"</f>
        <v>Descripcion: CUBETA CUADRADA PEQUEÑA SIN TAPA Estado: Bueno Placa anterior: 000007714 Material: ACERO Color: PLATEADO Referencia:  Observacion:  Placa padre: Tipo adquisicion: Entidad</v>
      </c>
      <c r="G4775" s="5"/>
    </row>
    <row r="4776" spans="1:7" ht="58.5" customHeight="1" x14ac:dyDescent="0.25">
      <c r="A4776" s="5" t="str">
        <f>"H0012814"</f>
        <v>H0012814</v>
      </c>
      <c r="B4776" s="5" t="str">
        <f>"CUBETA DE ACERO INOXIDABLE MEDIANA"</f>
        <v>CUBETA DE ACERO INOXIDABLE MEDIANA</v>
      </c>
      <c r="C4776" s="6">
        <v>4400</v>
      </c>
      <c r="D4776" s="5"/>
      <c r="E4776" s="5" t="str">
        <f t="shared" si="245"/>
        <v>ESTERILIZACION-DIANA SOFIA DIAZ CASTRO</v>
      </c>
      <c r="F4776" s="5" t="str">
        <f>"Descripcion: CUBETA CUADRADA PEQUEÑA SIN TAPA Estado: Bueno Placa anterior: 000007713 Material: ACERO Color: PLATEADO Referencia:  Observacion:  Placa padre: Tipo adquisicion: Entidad"</f>
        <v>Descripcion: CUBETA CUADRADA PEQUEÑA SIN TAPA Estado: Bueno Placa anterior: 000007713 Material: ACERO Color: PLATEADO Referencia:  Observacion:  Placa padre: Tipo adquisicion: Entidad</v>
      </c>
      <c r="G4776" s="5"/>
    </row>
    <row r="4777" spans="1:7" ht="58.5" customHeight="1" x14ac:dyDescent="0.25">
      <c r="A4777" s="5" t="str">
        <f>"H0012815"</f>
        <v>H0012815</v>
      </c>
      <c r="B4777" s="5" t="str">
        <f>"CUBETA DE ACERO INOXIDABLE MEDIANA"</f>
        <v>CUBETA DE ACERO INOXIDABLE MEDIANA</v>
      </c>
      <c r="C4777" s="6">
        <v>4400</v>
      </c>
      <c r="D4777" s="5"/>
      <c r="E4777" s="5" t="str">
        <f t="shared" si="245"/>
        <v>ESTERILIZACION-DIANA SOFIA DIAZ CASTRO</v>
      </c>
      <c r="F4777" s="5" t="str">
        <f>"Descripcion: CUBETA REDONDA EN ACERO INOXIDABLE Estado: Bueno Placa anterior: 000007712 Material: ACERO Color: PLATEADO Referencia:  Observacion:  Placa padre: Tipo adquisicion: Entidad"</f>
        <v>Descripcion: CUBETA REDONDA EN ACERO INOXIDABLE Estado: Bueno Placa anterior: 000007712 Material: ACERO Color: PLATEADO Referencia:  Observacion:  Placa padre: Tipo adquisicion: Entidad</v>
      </c>
      <c r="G4777" s="5"/>
    </row>
    <row r="4778" spans="1:7" ht="58.5" customHeight="1" x14ac:dyDescent="0.25">
      <c r="A4778" s="5" t="str">
        <f>"H0012816"</f>
        <v>H0012816</v>
      </c>
      <c r="B4778" s="5" t="str">
        <f>"CUBETA DE ACERO INOXIDABLE MEDIANA"</f>
        <v>CUBETA DE ACERO INOXIDABLE MEDIANA</v>
      </c>
      <c r="C4778" s="6">
        <v>4400</v>
      </c>
      <c r="D4778" s="5"/>
      <c r="E4778" s="5" t="str">
        <f t="shared" si="245"/>
        <v>ESTERILIZACION-DIANA SOFIA DIAZ CASTRO</v>
      </c>
      <c r="F4778" s="5" t="str">
        <f>"Descripcion: CUBETA REDONDA EN ACERO INOXIDABLE Estado: Bueno Placa anterior: 000007711 Material: ACERO Color: PLATEADO Referencia:  Observacion:  Placa padre: Tipo adquisicion: Entidad"</f>
        <v>Descripcion: CUBETA REDONDA EN ACERO INOXIDABLE Estado: Bueno Placa anterior: 000007711 Material: ACERO Color: PLATEADO Referencia:  Observacion:  Placa padre: Tipo adquisicion: Entidad</v>
      </c>
      <c r="G4778" s="5"/>
    </row>
    <row r="4779" spans="1:7" ht="58.5" customHeight="1" x14ac:dyDescent="0.25">
      <c r="A4779" s="5" t="str">
        <f>"H0012818"</f>
        <v>H0012818</v>
      </c>
      <c r="B4779" s="5" t="str">
        <f>"CUBETA DE ACERO INOXIDABLE PEQUEÑA"</f>
        <v>CUBETA DE ACERO INOXIDABLE PEQUEÑA</v>
      </c>
      <c r="C4779" s="6">
        <v>3454.98</v>
      </c>
      <c r="D4779" s="5"/>
      <c r="E4779" s="5" t="str">
        <f t="shared" si="245"/>
        <v>ESTERILIZACION-DIANA SOFIA DIAZ CASTRO</v>
      </c>
      <c r="F4779" s="5" t="str">
        <f>"Descripcion: CUBETA REDONDA EN ACERO INOXIDABLE Estado: Bueno Placa anterior: 000012362 Material: ACERO Color: PLATEADO Referencia:  Observacion:  Placa padre: Tipo adquisicion: Entidad"</f>
        <v>Descripcion: CUBETA REDONDA EN ACERO INOXIDABLE Estado: Bueno Placa anterior: 000012362 Material: ACERO Color: PLATEADO Referencia:  Observacion:  Placa padre: Tipo adquisicion: Entidad</v>
      </c>
      <c r="G4779" s="5"/>
    </row>
    <row r="4780" spans="1:7" ht="58.5" customHeight="1" x14ac:dyDescent="0.25">
      <c r="A4780" s="5" t="str">
        <f>"H0012819"</f>
        <v>H0012819</v>
      </c>
      <c r="B4780" s="5" t="str">
        <f>"CUBETA DE ACERO INOXIDABLE CON TAPA GRANDE"</f>
        <v>CUBETA DE ACERO INOXIDABLE CON TAPA GRANDE</v>
      </c>
      <c r="C4780" s="6">
        <v>22200</v>
      </c>
      <c r="D4780" s="5"/>
      <c r="E4780" s="5" t="str">
        <f t="shared" si="245"/>
        <v>ESTERILIZACION-DIANA SOFIA DIAZ CASTRO</v>
      </c>
      <c r="F4780" s="5" t="str">
        <f>"Descripcion: CUBETA RECTANGULAR EN ACERO INOXIDABLE Estado: Bueno Placa anterior: 000007743 Material: ACERO Color: PLATEADO Referencia:  Observacion:  Placa padre: Tipo adquisicion: Entidad"</f>
        <v>Descripcion: CUBETA RECTANGULAR EN ACERO INOXIDABLE Estado: Bueno Placa anterior: 000007743 Material: ACERO Color: PLATEADO Referencia:  Observacion:  Placa padre: Tipo adquisicion: Entidad</v>
      </c>
      <c r="G4780" s="5"/>
    </row>
    <row r="4781" spans="1:7" ht="58.5" customHeight="1" x14ac:dyDescent="0.25">
      <c r="A4781" s="5" t="str">
        <f>"H0012820"</f>
        <v>H0012820</v>
      </c>
      <c r="B4781" s="5" t="str">
        <f>"CUBETA DE ACERO INOXIDABLE MEDIANA"</f>
        <v>CUBETA DE ACERO INOXIDABLE MEDIANA</v>
      </c>
      <c r="C4781" s="6">
        <v>27776.1</v>
      </c>
      <c r="D4781" s="5"/>
      <c r="E4781" s="5" t="str">
        <f t="shared" si="245"/>
        <v>ESTERILIZACION-DIANA SOFIA DIAZ CASTRO</v>
      </c>
      <c r="F4781" s="5" t="str">
        <f>"Descripcion: CUBETA REDONDA EN ACERO INOXIDABLE Estado: Bueno Placa anterior: 000014432 Material: ACERO Color: PLATEADO Referencia:  Observacion:  Placa padre: Tipo adquisicion: Entidad"</f>
        <v>Descripcion: CUBETA REDONDA EN ACERO INOXIDABLE Estado: Bueno Placa anterior: 000014432 Material: ACERO Color: PLATEADO Referencia:  Observacion:  Placa padre: Tipo adquisicion: Entidad</v>
      </c>
      <c r="G4781" s="5"/>
    </row>
    <row r="4782" spans="1:7" ht="58.5" customHeight="1" x14ac:dyDescent="0.25">
      <c r="A4782" s="5" t="str">
        <f>"H0012821"</f>
        <v>H0012821</v>
      </c>
      <c r="B4782" s="5" t="str">
        <f>"PLATON NIQUELADO – INOXIDABLE"</f>
        <v>PLATON NIQUELADO – INOXIDABLE</v>
      </c>
      <c r="C4782" s="6">
        <v>10184.530000000001</v>
      </c>
      <c r="D4782" s="5"/>
      <c r="E4782" s="5" t="str">
        <f t="shared" si="245"/>
        <v>ESTERILIZACION-DIANA SOFIA DIAZ CASTRO</v>
      </c>
      <c r="F4782" s="5" t="str">
        <f>"Descripcion: CUBETA REDONA EN ALUMINO Estado: Bueno Placa anterior: 000005752 Material: ALUMINIO Color: ALUMINIO Referencia:  Observacion:  Placa padre: Tipo adquisicion: Entidad"</f>
        <v>Descripcion: CUBETA REDONA EN ALUMINO Estado: Bueno Placa anterior: 000005752 Material: ALUMINIO Color: ALUMINIO Referencia:  Observacion:  Placa padre: Tipo adquisicion: Entidad</v>
      </c>
      <c r="G4782" s="5"/>
    </row>
    <row r="4783" spans="1:7" ht="58.5" customHeight="1" x14ac:dyDescent="0.25">
      <c r="A4783" s="5" t="str">
        <f>"H0012822"</f>
        <v>H0012822</v>
      </c>
      <c r="B4783" s="5" t="str">
        <f>"CUBETA DE ACERO INOXIDABLE MEDIANA"</f>
        <v>CUBETA DE ACERO INOXIDABLE MEDIANA</v>
      </c>
      <c r="C4783" s="6">
        <v>4400</v>
      </c>
      <c r="D4783" s="5"/>
      <c r="E4783" s="5" t="str">
        <f t="shared" si="245"/>
        <v>ESTERILIZACION-DIANA SOFIA DIAZ CASTRO</v>
      </c>
      <c r="F4783" s="5" t="str">
        <f>"Descripcion: CUBETA REDONDA EN ACERO INOXIDABLE Estado: Bueno Placa anterior: 000007710 Material: ACERO Color: PLATEADO Referencia:  Observacion:  Placa padre: Tipo adquisicion: Entidad"</f>
        <v>Descripcion: CUBETA REDONDA EN ACERO INOXIDABLE Estado: Bueno Placa anterior: 000007710 Material: ACERO Color: PLATEADO Referencia:  Observacion:  Placa padre: Tipo adquisicion: Entidad</v>
      </c>
      <c r="G4783" s="5"/>
    </row>
    <row r="4784" spans="1:7" ht="58.5" customHeight="1" x14ac:dyDescent="0.25">
      <c r="A4784" s="5" t="str">
        <f>"H0012823"</f>
        <v>H0012823</v>
      </c>
      <c r="B4784" s="5" t="str">
        <f>"CUBETA DE ACERO INOXIDABLE MEDIANA"</f>
        <v>CUBETA DE ACERO INOXIDABLE MEDIANA</v>
      </c>
      <c r="C4784" s="6">
        <v>4400</v>
      </c>
      <c r="D4784" s="5"/>
      <c r="E4784" s="5" t="str">
        <f t="shared" si="245"/>
        <v>ESTERILIZACION-DIANA SOFIA DIAZ CASTRO</v>
      </c>
      <c r="F4784" s="5" t="str">
        <f>"Descripcion: CUBETA REDONDA EN ACERO INOXIDABLE Estado: Bueno Placa anterior: 000007708 Material: ACERO Color: PLATEADO Referencia:  Observacion:  Placa padre: Tipo adquisicion: Entidad"</f>
        <v>Descripcion: CUBETA REDONDA EN ACERO INOXIDABLE Estado: Bueno Placa anterior: 000007708 Material: ACERO Color: PLATEADO Referencia:  Observacion:  Placa padre: Tipo adquisicion: Entidad</v>
      </c>
      <c r="G4784" s="5"/>
    </row>
    <row r="4785" spans="1:7" ht="58.5" customHeight="1" x14ac:dyDescent="0.25">
      <c r="A4785" s="5" t="str">
        <f>"H0012824"</f>
        <v>H0012824</v>
      </c>
      <c r="B4785" s="5" t="str">
        <f>"SILLA GIRATORIA SIN BRAZOS FIJA (NO ERGONOMICA)"</f>
        <v>SILLA GIRATORIA SIN BRAZOS FIJA (NO ERGONOMICA)</v>
      </c>
      <c r="C4785" s="6">
        <v>323640</v>
      </c>
      <c r="D4785" s="5"/>
      <c r="E4785" s="5" t="str">
        <f t="shared" si="245"/>
        <v>ESTERILIZACION-DIANA SOFIA DIAZ CASTRO</v>
      </c>
      <c r="F4785" s="5" t="str">
        <f>"Descripcion: SILLA GIRATORIA SIN BRAZOS FIJA (NO ERGONOMICA) Estado: Bueno Placa anterior: 000025234 Material: PASTA Color: NEGRO Referencia:  Observacion:  Placa padre: Tipo adquisicion: Entidad"</f>
        <v>Descripcion: SILLA GIRATORIA SIN BRAZOS FIJA (NO ERGONOMICA) Estado: Bueno Placa anterior: 000025234 Material: PASTA Color: NEGRO Referencia:  Observacion:  Placa padre: Tipo adquisicion: Entidad</v>
      </c>
      <c r="G4785" s="5"/>
    </row>
    <row r="4786" spans="1:7" ht="58.5" customHeight="1" x14ac:dyDescent="0.25">
      <c r="A4786" s="5" t="str">
        <f>"H0012826"</f>
        <v>H0012826</v>
      </c>
      <c r="B4786" s="5" t="str">
        <f>"CUBETA DE ACERO INOXIDABLE PEQUEÑA"</f>
        <v>CUBETA DE ACERO INOXIDABLE PEQUEÑA</v>
      </c>
      <c r="C4786" s="6">
        <v>3454.98</v>
      </c>
      <c r="D4786" s="5"/>
      <c r="E4786" s="5" t="str">
        <f t="shared" si="245"/>
        <v>ESTERILIZACION-DIANA SOFIA DIAZ CASTRO</v>
      </c>
      <c r="F4786" s="5" t="str">
        <f>"Descripcion: CUBETA RECTANGULAR EN ACERO INOXIDABLE Estado: Bueno Placa anterior: 000012300 Material: ACERO Color: ACERADA Referencia:  Observacion:  Placa padre: Tipo adquisicion: Entidad"</f>
        <v>Descripcion: CUBETA RECTANGULAR EN ACERO INOXIDABLE Estado: Bueno Placa anterior: 000012300 Material: ACERO Color: ACERADA Referencia:  Observacion:  Placa padre: Tipo adquisicion: Entidad</v>
      </c>
      <c r="G4786" s="5"/>
    </row>
    <row r="4787" spans="1:7" ht="58.5" customHeight="1" x14ac:dyDescent="0.25">
      <c r="A4787" s="5" t="str">
        <f>"H0012827"</f>
        <v>H0012827</v>
      </c>
      <c r="B4787" s="5" t="str">
        <f>"CUBETA DE ACERO INOXIDABLE PEQUEÑA"</f>
        <v>CUBETA DE ACERO INOXIDABLE PEQUEÑA</v>
      </c>
      <c r="C4787" s="6">
        <v>27776.1</v>
      </c>
      <c r="D4787" s="5"/>
      <c r="E4787" s="5" t="str">
        <f t="shared" si="245"/>
        <v>ESTERILIZACION-DIANA SOFIA DIAZ CASTRO</v>
      </c>
      <c r="F4787" s="5" t="str">
        <f>"Descripcion: CUBETA REDONDA EN ACERO INOXIDABLE Estado: Bueno Placa anterior: 000014431 Material: ACERO Color: ACERADO Referencia:  Observacion:  Placa padre: Tipo adquisicion: Entidad"</f>
        <v>Descripcion: CUBETA REDONDA EN ACERO INOXIDABLE Estado: Bueno Placa anterior: 000014431 Material: ACERO Color: ACERADO Referencia:  Observacion:  Placa padre: Tipo adquisicion: Entidad</v>
      </c>
      <c r="G4787" s="5"/>
    </row>
    <row r="4788" spans="1:7" ht="58.5" customHeight="1" x14ac:dyDescent="0.25">
      <c r="A4788" s="5" t="str">
        <f>"H0012828"</f>
        <v>H0012828</v>
      </c>
      <c r="B4788" s="5" t="str">
        <f>"PLATON NIQUELADO – INOXIDABLE"</f>
        <v>PLATON NIQUELADO – INOXIDABLE</v>
      </c>
      <c r="C4788" s="6">
        <v>10184.530000000001</v>
      </c>
      <c r="D4788" s="5"/>
      <c r="E4788" s="5" t="str">
        <f t="shared" si="245"/>
        <v>ESTERILIZACION-DIANA SOFIA DIAZ CASTRO</v>
      </c>
      <c r="F4788" s="5" t="str">
        <f>"Descripcion: CUBETA REDONA EN ALUMINO Estado: Bueno Placa anterior: 000005753 Material: ALUMINIO Color: ALUMINIO Referencia:  Observacion:  Placa padre: Tipo adquisicion: Entidad"</f>
        <v>Descripcion: CUBETA REDONA EN ALUMINO Estado: Bueno Placa anterior: 000005753 Material: ALUMINIO Color: ALUMINIO Referencia:  Observacion:  Placa padre: Tipo adquisicion: Entidad</v>
      </c>
      <c r="G4788" s="5"/>
    </row>
    <row r="4789" spans="1:7" ht="58.5" customHeight="1" x14ac:dyDescent="0.25">
      <c r="A4789" s="5" t="str">
        <f>"H0012829"</f>
        <v>H0012829</v>
      </c>
      <c r="B4789" s="5" t="str">
        <f>"CUBETA DE ACERO INOXIDABLE GRANDE"</f>
        <v>CUBETA DE ACERO INOXIDABLE GRANDE</v>
      </c>
      <c r="C4789" s="6">
        <v>22200</v>
      </c>
      <c r="D4789" s="5"/>
      <c r="E4789" s="5" t="str">
        <f t="shared" si="245"/>
        <v>ESTERILIZACION-DIANA SOFIA DIAZ CASTRO</v>
      </c>
      <c r="F4789" s="5" t="str">
        <f>"Descripcion: CUBETA DE ACERO INOXIDABLE SIN TAPA GRANDE Estado: Bueno Placa anterior: 000007746 Material: ACERO Color: PLATEADO Referencia:  Observacion:  Placa padre: Tipo adquisicion: Entidad"</f>
        <v>Descripcion: CUBETA DE ACERO INOXIDABLE SIN TAPA GRANDE Estado: Bueno Placa anterior: 000007746 Material: ACERO Color: PLATEADO Referencia:  Observacion:  Placa padre: Tipo adquisicion: Entidad</v>
      </c>
      <c r="G4789" s="5"/>
    </row>
    <row r="4790" spans="1:7" ht="58.5" customHeight="1" x14ac:dyDescent="0.25">
      <c r="A4790" s="5" t="str">
        <f>"H0012830"</f>
        <v>H0012830</v>
      </c>
      <c r="B4790" s="5" t="str">
        <f>"CUBETA DE ACERO INOXIDABLE MEDIANA"</f>
        <v>CUBETA DE ACERO INOXIDABLE MEDIANA</v>
      </c>
      <c r="C4790" s="6">
        <v>4400</v>
      </c>
      <c r="D4790" s="5"/>
      <c r="E4790" s="5" t="str">
        <f t="shared" si="245"/>
        <v>ESTERILIZACION-DIANA SOFIA DIAZ CASTRO</v>
      </c>
      <c r="F4790" s="5" t="str">
        <f>"Descripcion: CUBETA REDONDA EN ACERO INOXIDABLE Estado: Bueno Placa anterior: 000007707 Material: ACERO Color: PLATEADO Referencia:  Observacion:  Placa padre: Tipo adquisicion: Entidad"</f>
        <v>Descripcion: CUBETA REDONDA EN ACERO INOXIDABLE Estado: Bueno Placa anterior: 000007707 Material: ACERO Color: PLATEADO Referencia:  Observacion:  Placa padre: Tipo adquisicion: Entidad</v>
      </c>
      <c r="G4790" s="5"/>
    </row>
    <row r="4791" spans="1:7" ht="58.5" customHeight="1" x14ac:dyDescent="0.25">
      <c r="A4791" s="5" t="str">
        <f>"H0012831"</f>
        <v>H0012831</v>
      </c>
      <c r="B4791" s="5" t="str">
        <f>"CUBETA DE ACERO INOXIDABLE MEDIANA"</f>
        <v>CUBETA DE ACERO INOXIDABLE MEDIANA</v>
      </c>
      <c r="C4791" s="6">
        <v>22200</v>
      </c>
      <c r="D4791" s="5"/>
      <c r="E4791" s="5" t="str">
        <f t="shared" si="245"/>
        <v>ESTERILIZACION-DIANA SOFIA DIAZ CASTRO</v>
      </c>
      <c r="F4791" s="5" t="str">
        <f>"Descripcion: CUBETA REDONDA EN ACERO INOXIDABLE Estado: Bueno Placa anterior: 000007747 Material: ACERO Color: PLATEADO Referencia:  Observacion:  Placa padre: Tipo adquisicion: Entidad"</f>
        <v>Descripcion: CUBETA REDONDA EN ACERO INOXIDABLE Estado: Bueno Placa anterior: 000007747 Material: ACERO Color: PLATEADO Referencia:  Observacion:  Placa padre: Tipo adquisicion: Entidad</v>
      </c>
      <c r="G4791" s="5"/>
    </row>
    <row r="4792" spans="1:7" ht="58.5" customHeight="1" x14ac:dyDescent="0.25">
      <c r="A4792" s="5" t="str">
        <f>"H0012832"</f>
        <v>H0012832</v>
      </c>
      <c r="B4792" s="5" t="str">
        <f>"SILLA INTERLOCUTORA (FIJA) SIN BRAZOS"</f>
        <v>SILLA INTERLOCUTORA (FIJA) SIN BRAZOS</v>
      </c>
      <c r="C4792" s="6">
        <v>5610</v>
      </c>
      <c r="D4792" s="5"/>
      <c r="E4792" s="5" t="str">
        <f t="shared" si="245"/>
        <v>ESTERILIZACION-DIANA SOFIA DIAZ CASTRO</v>
      </c>
      <c r="F4792" s="5" t="str">
        <f>"Descripcion: SILLA INTERLOCUTORA FIJA TIPO A COLOR MARRON Estado: Bueno Placa anterior: 000012506 Material: METAL Y CUERINA Color: MARRON CON GRIS Referencia:  Observacion:  Placa padre: Tipo adquisicion: Entidad"</f>
        <v>Descripcion: SILLA INTERLOCUTORA FIJA TIPO A COLOR MARRON Estado: Bueno Placa anterior: 000012506 Material: METAL Y CUERINA Color: MARRON CON GRIS Referencia:  Observacion:  Placa padre: Tipo adquisicion: Entidad</v>
      </c>
      <c r="G4792" s="5"/>
    </row>
    <row r="4793" spans="1:7" ht="58.5" customHeight="1" x14ac:dyDescent="0.25">
      <c r="A4793" s="5" t="str">
        <f>"H0015975"</f>
        <v>H0015975</v>
      </c>
      <c r="B4793" s="5" t="str">
        <f>"ESTANTE METALICO 6 ENTREPAÑOS"</f>
        <v>ESTANTE METALICO 6 ENTREPAÑOS</v>
      </c>
      <c r="C4793" s="6">
        <v>8840.07</v>
      </c>
      <c r="D4793" s="5"/>
      <c r="E4793" s="5" t="str">
        <f t="shared" si="245"/>
        <v>ESTERILIZACION-DIANA SOFIA DIAZ CASTRO</v>
      </c>
      <c r="F4793" s="5" t="str">
        <f>"Descripcion: ESTANTE METALICO 6 ENTREPAÑOS Estado: Bueno Placa anterior: 000002341 Material: METALICO Color: GRIS Referencia:  Observacion:  Placa padre: Tipo adquisicion: Entidad"</f>
        <v>Descripcion: ESTANTE METALICO 6 ENTREPAÑOS Estado: Bueno Placa anterior: 000002341 Material: METALICO Color: GRIS Referencia:  Observacion:  Placa padre: Tipo adquisicion: Entidad</v>
      </c>
      <c r="G4793" s="5"/>
    </row>
    <row r="4794" spans="1:7" ht="58.5" customHeight="1" x14ac:dyDescent="0.25">
      <c r="A4794" s="5" t="str">
        <f>"H0015982"</f>
        <v>H0015982</v>
      </c>
      <c r="B4794" s="5" t="str">
        <f>"ESTANTE METALICO 6 ENTREPAÑOS"</f>
        <v>ESTANTE METALICO 6 ENTREPAÑOS</v>
      </c>
      <c r="C4794" s="6">
        <v>8840.07</v>
      </c>
      <c r="D4794" s="5"/>
      <c r="E4794" s="5" t="str">
        <f t="shared" si="245"/>
        <v>ESTERILIZACION-DIANA SOFIA DIAZ CASTRO</v>
      </c>
      <c r="F4794" s="5" t="str">
        <f>"Descripcion: ESTANTE METALICO 6 ENTREPAÑOS Estado: Bueno Placa anterior: 000002346 Material: METALICO Color: GRIS Referencia:  Observacion:  Placa padre: Tipo adquisicion: Entidad"</f>
        <v>Descripcion: ESTANTE METALICO 6 ENTREPAÑOS Estado: Bueno Placa anterior: 000002346 Material: METALICO Color: GRIS Referencia:  Observacion:  Placa padre: Tipo adquisicion: Entidad</v>
      </c>
      <c r="G4794" s="5"/>
    </row>
    <row r="4795" spans="1:7" ht="58.5" customHeight="1" x14ac:dyDescent="0.25">
      <c r="A4795" s="5" t="str">
        <f>"H0018471"</f>
        <v>H0018471</v>
      </c>
      <c r="B4795" s="5" t="str">
        <f>"AIRE ACONDICIONADO TIPO SPLIT 12000 BTU"</f>
        <v>AIRE ACONDICIONADO TIPO SPLIT 12000 BTU</v>
      </c>
      <c r="C4795" s="6">
        <v>1836280</v>
      </c>
      <c r="D4795" s="5" t="s">
        <v>146</v>
      </c>
      <c r="E4795" s="5" t="str">
        <f t="shared" si="245"/>
        <v>ESTERILIZACION-DIANA SOFIA DIAZ CASTRO</v>
      </c>
      <c r="F4795" s="5" t="str">
        <f>"Descripcion: AIRE ACONDICIONADO CAPACIDAD 12.000 BTU Equipo tipo mini split consola de lujo con control remoto y uso refrigerante ecologico Sistema inverter Debe incluir display para ser monitoreado por sistema central Estado: Bueno Placa anterior: 000036"&amp; "366 Material: PLASTICO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000036366 Material: PLASTICO Color: BLANCO Referencia:  Observacion:  Placa padre: Tipo adquisicion: Entidad</v>
      </c>
      <c r="G4795" s="5" t="str">
        <f>"VM122CENB3"</f>
        <v>VM122CENB3</v>
      </c>
    </row>
    <row r="4796" spans="1:7" ht="58.5" customHeight="1" x14ac:dyDescent="0.25">
      <c r="A4796" s="5" t="str">
        <f>"H0021450"</f>
        <v>H0021450</v>
      </c>
      <c r="B4796" s="5" t="str">
        <f>"DISPENSADOR DE PAPEL"</f>
        <v>DISPENSADOR DE PAPEL</v>
      </c>
      <c r="C4796" s="6">
        <v>100001</v>
      </c>
      <c r="D4796" s="5" t="s">
        <v>384</v>
      </c>
      <c r="E4796" s="5" t="str">
        <f t="shared" si="245"/>
        <v>ESTERILIZACION-DIANA SOFIA DIAZ CASTRO</v>
      </c>
      <c r="F4796" s="5"/>
      <c r="G4796" s="5"/>
    </row>
    <row r="4797" spans="1:7" ht="58.5" customHeight="1" x14ac:dyDescent="0.25">
      <c r="A4797" s="5" t="str">
        <f>"H0021812"</f>
        <v>H0021812</v>
      </c>
      <c r="B4797" s="5" t="str">
        <f>"TIJERA"</f>
        <v>TIJERA</v>
      </c>
      <c r="C4797" s="6">
        <v>12641.43</v>
      </c>
      <c r="D4797" s="5"/>
      <c r="E4797" s="5" t="str">
        <f t="shared" si="245"/>
        <v>ESTERILIZACION-DIANA SOFIA DIAZ CASTRO</v>
      </c>
      <c r="F4797" s="5" t="str">
        <f>"Descripcion: TIJERA INDUSTRIAL Estado: Bueno Placa anterior: 000014639 Material:  Color:  Referencia:  Observacion:  Placa padre: Tipo adquisicion: Entidad"</f>
        <v>Descripcion: TIJERA INDUSTRIAL Estado: Bueno Placa anterior: 000014639 Material:  Color:  Referencia:  Observacion:  Placa padre: Tipo adquisicion: Entidad</v>
      </c>
      <c r="G4797" s="5"/>
    </row>
    <row r="4798" spans="1:7" ht="58.5" customHeight="1" x14ac:dyDescent="0.25">
      <c r="A4798" s="5" t="str">
        <f>"H0021901"</f>
        <v>H0021901</v>
      </c>
      <c r="B4798" s="5" t="str">
        <f>"PERCHERO"</f>
        <v>PERCHERO</v>
      </c>
      <c r="C4798" s="6">
        <v>15000</v>
      </c>
      <c r="D4798" s="5"/>
      <c r="E4798" s="5" t="str">
        <f t="shared" si="245"/>
        <v>ESTERILIZACION-DIANA SOFIA DIAZ CASTRO</v>
      </c>
      <c r="F4798" s="5" t="str">
        <f>"Descripcion: PERCHERO Estado: Bueno Placa anterior: 000015191 Material: ACERO INOXIDABLE Color: PLATEADO Referencia:  Observacion: FUNCIONARIO AUTORIZA SE CONCILIE CON PLACA 000015191 Placa padre: Tipo adquisicion: Entidad"</f>
        <v>Descripcion: PERCHERO Estado: Bueno Placa anterior: 000015191 Material: ACERO INOXIDABLE Color: PLATEADO Referencia:  Observacion: FUNCIONARIO AUTORIZA SE CONCILIE CON PLACA 000015191 Placa padre: Tipo adquisicion: Entidad</v>
      </c>
      <c r="G4798" s="5"/>
    </row>
    <row r="4799" spans="1:7" ht="58.5" customHeight="1" x14ac:dyDescent="0.25">
      <c r="A4799" s="5" t="str">
        <f>"H0021902"</f>
        <v>H0021902</v>
      </c>
      <c r="B4799" s="5" t="str">
        <f>"ESTUFA (COCINA) A GAS 2 FOGONES"</f>
        <v>ESTUFA (COCINA) A GAS 2 FOGONES</v>
      </c>
      <c r="C4799" s="6">
        <v>22500</v>
      </c>
      <c r="D4799" s="5"/>
      <c r="E4799" s="5" t="str">
        <f t="shared" si="245"/>
        <v>ESTERILIZACION-DIANA SOFIA DIAZ CASTRO</v>
      </c>
      <c r="F4799" s="5" t="str">
        <f>"Descripcion: COCINA DE 2 PUESTOS Estado: Bueno Placa anterior: 000012563 Material:  Color: GRIS CON NEGRO Referencia:  Observacion: FUNCIONARIO AUTORIZA SE CONCILIE CON PLACA 000012563 Placa padre: Tipo adquisicion: Entidad"</f>
        <v>Descripcion: COCINA DE 2 PUESTOS Estado: Bueno Placa anterior: 000012563 Material:  Color: GRIS CON NEGRO Referencia:  Observacion: FUNCIONARIO AUTORIZA SE CONCILIE CON PLACA 000012563 Placa padre: Tipo adquisicion: Entidad</v>
      </c>
      <c r="G4799" s="5" t="str">
        <f>"EM2"</f>
        <v>EM2</v>
      </c>
    </row>
    <row r="4800" spans="1:7" ht="58.5" customHeight="1" x14ac:dyDescent="0.25">
      <c r="A4800" s="5" t="str">
        <f>"H0021903"</f>
        <v>H0021903</v>
      </c>
      <c r="B4800" s="5" t="str">
        <f>"CALDERA"</f>
        <v>CALDERA</v>
      </c>
      <c r="C4800" s="6">
        <v>7656000</v>
      </c>
      <c r="D4800" s="5"/>
      <c r="E4800" s="5" t="str">
        <f t="shared" ref="E4800:E4830" si="246">"ESTERILIZACION-DIANA SOFIA DIAZ CASTRO"</f>
        <v>ESTERILIZACION-DIANA SOFIA DIAZ CASTRO</v>
      </c>
      <c r="F4800" s="5" t="str">
        <f>"Descripcion: CALDERA Estado: Bueno Placa anterior: 000025683 Material:  Color:  Referencia:  Observacion:  Placa padre: Tipo adquisicion: Entidad"</f>
        <v>Descripcion: CALDERA Estado: Bueno Placa anterior: 000025683 Material:  Color:  Referencia:  Observacion:  Placa padre: Tipo adquisicion: Entidad</v>
      </c>
      <c r="G4800" s="5"/>
    </row>
    <row r="4801" spans="1:7" ht="58.5" customHeight="1" x14ac:dyDescent="0.25">
      <c r="A4801" s="5" t="str">
        <f>"H0021904"</f>
        <v>H0021904</v>
      </c>
      <c r="B4801" s="5" t="str">
        <f>"EXTRACTOR DE AIRE"</f>
        <v>EXTRACTOR DE AIRE</v>
      </c>
      <c r="C4801" s="6">
        <v>63333</v>
      </c>
      <c r="D4801" s="5"/>
      <c r="E4801" s="5" t="str">
        <f t="shared" si="246"/>
        <v>ESTERILIZACION-DIANA SOFIA DIAZ CASTRO</v>
      </c>
      <c r="F4801" s="5" t="str">
        <f>"Descripcion: EXTRACTOR DE AIRE Estado: Bueno Placa anterior: 000012535 Material:  Color:  Referencia:  Observacion: FUNCIONARIO AUTORIZA SE CONCILIE CON PLACA 000012535 Placa padre: Tipo adquisicion: Entidad"</f>
        <v>Descripcion: EXTRACTOR DE AIRE Estado: Bueno Placa anterior: 000012535 Material:  Color:  Referencia:  Observacion: FUNCIONARIO AUTORIZA SE CONCILIE CON PLACA 000012535 Placa padre: Tipo adquisicion: Entidad</v>
      </c>
      <c r="G4801" s="5"/>
    </row>
    <row r="4802" spans="1:7" ht="58.5" customHeight="1" x14ac:dyDescent="0.25">
      <c r="A4802" s="5" t="str">
        <f>"H0025403"</f>
        <v>H0025403</v>
      </c>
      <c r="B480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4802" s="6">
        <v>312156</v>
      </c>
      <c r="D4802" s="5" t="s">
        <v>10</v>
      </c>
      <c r="E4802" s="5" t="str">
        <f t="shared" si="246"/>
        <v>ESTERILIZACION-DIANA SOFIA DIAZ CASTRO</v>
      </c>
      <c r="F4802" s="5"/>
      <c r="G4802" s="5"/>
    </row>
    <row r="4803" spans="1:7" ht="58.5" customHeight="1" x14ac:dyDescent="0.25">
      <c r="A4803" s="5" t="str">
        <f>"H0025446"</f>
        <v>H0025446</v>
      </c>
      <c r="B480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4803" s="6">
        <v>312156</v>
      </c>
      <c r="D4803" s="5" t="s">
        <v>10</v>
      </c>
      <c r="E4803" s="5" t="str">
        <f t="shared" si="246"/>
        <v>ESTERILIZACION-DIANA SOFIA DIAZ CASTRO</v>
      </c>
      <c r="F4803" s="5"/>
      <c r="G4803" s="5"/>
    </row>
    <row r="4804" spans="1:7" ht="58.5" customHeight="1" x14ac:dyDescent="0.25">
      <c r="A4804" s="5" t="str">
        <f>"H0025467"</f>
        <v>H0025467</v>
      </c>
      <c r="B4804" s="5" t="str">
        <f>"ESTERILIZADOR (OFTAMOLOGIA9"</f>
        <v>ESTERILIZADOR (OFTAMOLOGIA9</v>
      </c>
      <c r="C4804" s="6">
        <v>21924000</v>
      </c>
      <c r="D4804" s="5" t="s">
        <v>10</v>
      </c>
      <c r="E4804" s="5" t="str">
        <f t="shared" si="246"/>
        <v>ESTERILIZACION-DIANA SOFIA DIAZ CASTRO</v>
      </c>
      <c r="F4804" s="5"/>
      <c r="G4804" s="5" t="str">
        <f>"GA-121105"</f>
        <v>GA-121105</v>
      </c>
    </row>
    <row r="4805" spans="1:7" ht="58.5" customHeight="1" x14ac:dyDescent="0.25">
      <c r="A4805" s="5" t="str">
        <f>"H0025955"</f>
        <v>H0025955</v>
      </c>
      <c r="B4805" s="5" t="str">
        <f>"AUTOCLAVE DE 400L"</f>
        <v>AUTOCLAVE DE 400L</v>
      </c>
      <c r="C4805" s="6">
        <v>172801779</v>
      </c>
      <c r="D4805" s="5" t="s">
        <v>385</v>
      </c>
      <c r="E4805" s="5" t="str">
        <f t="shared" si="246"/>
        <v>ESTERILIZACION-DIANA SOFIA DIAZ CASTRO</v>
      </c>
      <c r="F4805" s="5"/>
      <c r="G4805" s="5" t="str">
        <f>"STE400-L2P Y"</f>
        <v>STE400-L2P Y</v>
      </c>
    </row>
    <row r="4806" spans="1:7" ht="58.5" customHeight="1" x14ac:dyDescent="0.25">
      <c r="A4806" s="5" t="str">
        <f>"H0027209"</f>
        <v>H0027209</v>
      </c>
      <c r="B480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4806" s="6">
        <v>2641800</v>
      </c>
      <c r="D4806" s="5" t="s">
        <v>386</v>
      </c>
      <c r="E4806" s="5" t="str">
        <f t="shared" si="246"/>
        <v>ESTERILIZACION-DIANA SOFIA DIAZ CASTRO</v>
      </c>
      <c r="F4806" s="5"/>
      <c r="G4806" s="5"/>
    </row>
    <row r="4807" spans="1:7" ht="58.5" customHeight="1" x14ac:dyDescent="0.25">
      <c r="A4807" s="5" t="str">
        <f>"H0027320"</f>
        <v>H0027320</v>
      </c>
      <c r="B4807" s="5" t="str">
        <f>"SISTEMA DE ÓSMOSIS INVERSA 5 ETAPAS, MARCA PUROLINE-MODELO PL50T100PP"</f>
        <v>SISTEMA DE ÓSMOSIS INVERSA 5 ETAPAS, MARCA PUROLINE-MODELO PL50T100PP</v>
      </c>
      <c r="C4807" s="6">
        <v>6188000</v>
      </c>
      <c r="D4807" s="5" t="s">
        <v>387</v>
      </c>
      <c r="E4807" s="5" t="str">
        <f t="shared" si="246"/>
        <v>ESTERILIZACION-DIANA SOFIA DIAZ CASTRO</v>
      </c>
      <c r="F4807" s="5"/>
      <c r="G4807" s="5"/>
    </row>
    <row r="4808" spans="1:7" ht="58.5" customHeight="1" x14ac:dyDescent="0.25">
      <c r="A4808" s="5" t="str">
        <f>"H0031602"</f>
        <v>H0031602</v>
      </c>
      <c r="B4808" s="5" t="str">
        <f>"AUTOCLAVE 250LT"</f>
        <v>AUTOCLAVE 250LT</v>
      </c>
      <c r="C4808" s="6">
        <v>176857800</v>
      </c>
      <c r="D4808" s="5" t="s">
        <v>388</v>
      </c>
      <c r="E4808" s="5" t="str">
        <f t="shared" si="246"/>
        <v>ESTERILIZACION-DIANA SOFIA DIAZ CASTRO</v>
      </c>
      <c r="F4808" s="5"/>
      <c r="G4808" s="5"/>
    </row>
    <row r="4809" spans="1:7" ht="58.5" customHeight="1" x14ac:dyDescent="0.25">
      <c r="A4809" s="5" t="str">
        <f>"H0031603"</f>
        <v>H0031603</v>
      </c>
      <c r="B4809" s="5" t="str">
        <f>"AUTOCLAVE DE 400L"</f>
        <v>AUTOCLAVE DE 400L</v>
      </c>
      <c r="C4809" s="6">
        <v>216580000</v>
      </c>
      <c r="D4809" s="5" t="s">
        <v>388</v>
      </c>
      <c r="E4809" s="5" t="str">
        <f t="shared" si="246"/>
        <v>ESTERILIZACION-DIANA SOFIA DIAZ CASTRO</v>
      </c>
      <c r="F4809" s="5"/>
      <c r="G4809" s="5"/>
    </row>
    <row r="4810" spans="1:7" ht="58.5" customHeight="1" x14ac:dyDescent="0.25">
      <c r="A4810" s="5" t="str">
        <f>"H0035783"</f>
        <v>H0035783</v>
      </c>
      <c r="B4810" s="5" t="str">
        <f>"SILLA GERENTE NIZA MEC. BASCULANTE CON BRAZOS."</f>
        <v>SILLA GERENTE NIZA MEC. BASCULANTE CON BRAZOS.</v>
      </c>
      <c r="C4810" s="6">
        <v>640002.24</v>
      </c>
      <c r="D4810" s="5" t="s">
        <v>47</v>
      </c>
      <c r="E4810" s="5" t="str">
        <f t="shared" si="246"/>
        <v>ESTERILIZACION-DIANA SOFIA DIAZ CASTRO</v>
      </c>
      <c r="F4810" s="5"/>
      <c r="G4810" s="5"/>
    </row>
    <row r="4811" spans="1:7" ht="58.5" customHeight="1" x14ac:dyDescent="0.25">
      <c r="A4811" s="5" t="str">
        <f>"H0035983"</f>
        <v>H0035983</v>
      </c>
      <c r="B4811" s="5" t="str">
        <f t="shared" ref="B4811:B4818" si="247">"SILLA CAJERO KOPI"</f>
        <v>SILLA CAJERO KOPI</v>
      </c>
      <c r="C4811" s="6">
        <v>532000.25</v>
      </c>
      <c r="D4811" s="5" t="s">
        <v>27</v>
      </c>
      <c r="E4811" s="5" t="str">
        <f t="shared" si="246"/>
        <v>ESTERILIZACION-DIANA SOFIA DIAZ CASTRO</v>
      </c>
      <c r="F4811" s="5"/>
      <c r="G4811" s="5"/>
    </row>
    <row r="4812" spans="1:7" ht="58.5" customHeight="1" x14ac:dyDescent="0.25">
      <c r="A4812" s="5" t="str">
        <f>"H0035984"</f>
        <v>H0035984</v>
      </c>
      <c r="B4812" s="5" t="str">
        <f t="shared" si="247"/>
        <v>SILLA CAJERO KOPI</v>
      </c>
      <c r="C4812" s="6">
        <v>532000.25</v>
      </c>
      <c r="D4812" s="5" t="s">
        <v>27</v>
      </c>
      <c r="E4812" s="5" t="str">
        <f t="shared" si="246"/>
        <v>ESTERILIZACION-DIANA SOFIA DIAZ CASTRO</v>
      </c>
      <c r="F4812" s="5"/>
      <c r="G4812" s="5"/>
    </row>
    <row r="4813" spans="1:7" ht="58.5" customHeight="1" x14ac:dyDescent="0.25">
      <c r="A4813" s="5" t="str">
        <f>"H0035985"</f>
        <v>H0035985</v>
      </c>
      <c r="B4813" s="5" t="str">
        <f t="shared" si="247"/>
        <v>SILLA CAJERO KOPI</v>
      </c>
      <c r="C4813" s="6">
        <v>532000.25</v>
      </c>
      <c r="D4813" s="5" t="s">
        <v>27</v>
      </c>
      <c r="E4813" s="5" t="str">
        <f t="shared" si="246"/>
        <v>ESTERILIZACION-DIANA SOFIA DIAZ CASTRO</v>
      </c>
      <c r="F4813" s="5"/>
      <c r="G4813" s="5"/>
    </row>
    <row r="4814" spans="1:7" ht="58.5" customHeight="1" x14ac:dyDescent="0.25">
      <c r="A4814" s="5" t="str">
        <f>"H0035986"</f>
        <v>H0035986</v>
      </c>
      <c r="B4814" s="5" t="str">
        <f t="shared" si="247"/>
        <v>SILLA CAJERO KOPI</v>
      </c>
      <c r="C4814" s="6">
        <v>532000.25</v>
      </c>
      <c r="D4814" s="5" t="s">
        <v>27</v>
      </c>
      <c r="E4814" s="5" t="str">
        <f t="shared" si="246"/>
        <v>ESTERILIZACION-DIANA SOFIA DIAZ CASTRO</v>
      </c>
      <c r="F4814" s="5"/>
      <c r="G4814" s="5"/>
    </row>
    <row r="4815" spans="1:7" ht="58.5" customHeight="1" x14ac:dyDescent="0.25">
      <c r="A4815" s="5" t="str">
        <f>"H0035987"</f>
        <v>H0035987</v>
      </c>
      <c r="B4815" s="5" t="str">
        <f t="shared" si="247"/>
        <v>SILLA CAJERO KOPI</v>
      </c>
      <c r="C4815" s="6">
        <v>532000.25</v>
      </c>
      <c r="D4815" s="5" t="s">
        <v>27</v>
      </c>
      <c r="E4815" s="5" t="str">
        <f t="shared" si="246"/>
        <v>ESTERILIZACION-DIANA SOFIA DIAZ CASTRO</v>
      </c>
      <c r="F4815" s="5"/>
      <c r="G4815" s="5"/>
    </row>
    <row r="4816" spans="1:7" ht="58.5" customHeight="1" x14ac:dyDescent="0.25">
      <c r="A4816" s="5" t="str">
        <f>"H0035988"</f>
        <v>H0035988</v>
      </c>
      <c r="B4816" s="5" t="str">
        <f t="shared" si="247"/>
        <v>SILLA CAJERO KOPI</v>
      </c>
      <c r="C4816" s="6">
        <v>532000.25</v>
      </c>
      <c r="D4816" s="5" t="s">
        <v>27</v>
      </c>
      <c r="E4816" s="5" t="str">
        <f t="shared" si="246"/>
        <v>ESTERILIZACION-DIANA SOFIA DIAZ CASTRO</v>
      </c>
      <c r="F4816" s="5"/>
      <c r="G4816" s="5"/>
    </row>
    <row r="4817" spans="1:7" ht="58.5" customHeight="1" x14ac:dyDescent="0.25">
      <c r="A4817" s="5" t="str">
        <f>"H0035989"</f>
        <v>H0035989</v>
      </c>
      <c r="B4817" s="5" t="str">
        <f t="shared" si="247"/>
        <v>SILLA CAJERO KOPI</v>
      </c>
      <c r="C4817" s="6">
        <v>532000.25</v>
      </c>
      <c r="D4817" s="5" t="s">
        <v>27</v>
      </c>
      <c r="E4817" s="5" t="str">
        <f t="shared" si="246"/>
        <v>ESTERILIZACION-DIANA SOFIA DIAZ CASTRO</v>
      </c>
      <c r="F4817" s="5"/>
      <c r="G4817" s="5"/>
    </row>
    <row r="4818" spans="1:7" ht="58.5" customHeight="1" x14ac:dyDescent="0.25">
      <c r="A4818" s="5" t="str">
        <f>"H0035990"</f>
        <v>H0035990</v>
      </c>
      <c r="B4818" s="5" t="str">
        <f t="shared" si="247"/>
        <v>SILLA CAJERO KOPI</v>
      </c>
      <c r="C4818" s="6">
        <v>532000.25</v>
      </c>
      <c r="D4818" s="5" t="s">
        <v>27</v>
      </c>
      <c r="E4818" s="5" t="str">
        <f t="shared" si="246"/>
        <v>ESTERILIZACION-DIANA SOFIA DIAZ CASTRO</v>
      </c>
      <c r="F4818" s="5"/>
      <c r="G4818" s="5"/>
    </row>
    <row r="4819" spans="1:7" ht="58.5" customHeight="1" x14ac:dyDescent="0.25">
      <c r="A4819" s="5" t="str">
        <f>"H0036444"</f>
        <v>H0036444</v>
      </c>
      <c r="B4819" s="5" t="str">
        <f>"VENTILADOR DE PARED"</f>
        <v>VENTILADOR DE PARED</v>
      </c>
      <c r="C4819" s="6">
        <v>295260</v>
      </c>
      <c r="D4819" s="5" t="s">
        <v>131</v>
      </c>
      <c r="E4819" s="5" t="str">
        <f t="shared" si="246"/>
        <v>ESTERILIZACION-DIANA SOFIA DIAZ CASTRO</v>
      </c>
      <c r="F4819" s="5"/>
      <c r="G4819" s="5"/>
    </row>
    <row r="4820" spans="1:7" ht="58.5" customHeight="1" x14ac:dyDescent="0.25">
      <c r="A4820" s="5" t="str">
        <f>"H0036559"</f>
        <v>H0036559</v>
      </c>
      <c r="B4820" s="5" t="str">
        <f t="shared" ref="B4820:B4829" si="248">"Carro de Transporte de Material Estéril"</f>
        <v>Carro de Transporte de Material Estéril</v>
      </c>
      <c r="C4820" s="6">
        <v>5560275</v>
      </c>
      <c r="D4820" s="5" t="s">
        <v>389</v>
      </c>
      <c r="E4820" s="5" t="str">
        <f t="shared" si="246"/>
        <v>ESTERILIZACION-DIANA SOFIA DIAZ CASTRO</v>
      </c>
      <c r="F4820" s="5"/>
      <c r="G4820" s="5"/>
    </row>
    <row r="4821" spans="1:7" ht="58.5" customHeight="1" x14ac:dyDescent="0.25">
      <c r="A4821" s="5" t="str">
        <f>"H0036560"</f>
        <v>H0036560</v>
      </c>
      <c r="B4821" s="5" t="str">
        <f t="shared" si="248"/>
        <v>Carro de Transporte de Material Estéril</v>
      </c>
      <c r="C4821" s="6">
        <v>5560275</v>
      </c>
      <c r="D4821" s="5" t="s">
        <v>389</v>
      </c>
      <c r="E4821" s="5" t="str">
        <f t="shared" si="246"/>
        <v>ESTERILIZACION-DIANA SOFIA DIAZ CASTRO</v>
      </c>
      <c r="F4821" s="5"/>
      <c r="G4821" s="5"/>
    </row>
    <row r="4822" spans="1:7" ht="58.5" customHeight="1" x14ac:dyDescent="0.25">
      <c r="A4822" s="5" t="str">
        <f>"H0036561"</f>
        <v>H0036561</v>
      </c>
      <c r="B4822" s="5" t="str">
        <f t="shared" si="248"/>
        <v>Carro de Transporte de Material Estéril</v>
      </c>
      <c r="C4822" s="6">
        <v>5560275</v>
      </c>
      <c r="D4822" s="5" t="s">
        <v>390</v>
      </c>
      <c r="E4822" s="5" t="str">
        <f t="shared" si="246"/>
        <v>ESTERILIZACION-DIANA SOFIA DIAZ CASTRO</v>
      </c>
      <c r="F4822" s="5"/>
      <c r="G4822" s="5"/>
    </row>
    <row r="4823" spans="1:7" ht="58.5" customHeight="1" x14ac:dyDescent="0.25">
      <c r="A4823" s="5" t="str">
        <f>"H0036562"</f>
        <v>H0036562</v>
      </c>
      <c r="B4823" s="5" t="str">
        <f t="shared" si="248"/>
        <v>Carro de Transporte de Material Estéril</v>
      </c>
      <c r="C4823" s="6">
        <v>5560275</v>
      </c>
      <c r="D4823" s="5" t="s">
        <v>390</v>
      </c>
      <c r="E4823" s="5" t="str">
        <f t="shared" si="246"/>
        <v>ESTERILIZACION-DIANA SOFIA DIAZ CASTRO</v>
      </c>
      <c r="F4823" s="5"/>
      <c r="G4823" s="5"/>
    </row>
    <row r="4824" spans="1:7" ht="58.5" customHeight="1" x14ac:dyDescent="0.25">
      <c r="A4824" s="5" t="str">
        <f>"H0036563"</f>
        <v>H0036563</v>
      </c>
      <c r="B4824" s="5" t="str">
        <f t="shared" si="248"/>
        <v>Carro de Transporte de Material Estéril</v>
      </c>
      <c r="C4824" s="6">
        <v>5560275</v>
      </c>
      <c r="D4824" s="5" t="s">
        <v>390</v>
      </c>
      <c r="E4824" s="5" t="str">
        <f t="shared" si="246"/>
        <v>ESTERILIZACION-DIANA SOFIA DIAZ CASTRO</v>
      </c>
      <c r="F4824" s="5"/>
      <c r="G4824" s="5"/>
    </row>
    <row r="4825" spans="1:7" ht="58.5" customHeight="1" x14ac:dyDescent="0.25">
      <c r="A4825" s="5" t="str">
        <f>"H0036565"</f>
        <v>H0036565</v>
      </c>
      <c r="B4825" s="5" t="str">
        <f t="shared" si="248"/>
        <v>Carro de Transporte de Material Estéril</v>
      </c>
      <c r="C4825" s="6">
        <v>5560275</v>
      </c>
      <c r="D4825" s="5" t="s">
        <v>391</v>
      </c>
      <c r="E4825" s="5" t="str">
        <f t="shared" si="246"/>
        <v>ESTERILIZACION-DIANA SOFIA DIAZ CASTRO</v>
      </c>
      <c r="F4825" s="5"/>
      <c r="G4825" s="5"/>
    </row>
    <row r="4826" spans="1:7" ht="58.5" customHeight="1" x14ac:dyDescent="0.25">
      <c r="A4826" s="5" t="str">
        <f>"H0036566"</f>
        <v>H0036566</v>
      </c>
      <c r="B4826" s="5" t="str">
        <f t="shared" si="248"/>
        <v>Carro de Transporte de Material Estéril</v>
      </c>
      <c r="C4826" s="6">
        <v>5560275</v>
      </c>
      <c r="D4826" s="5" t="s">
        <v>391</v>
      </c>
      <c r="E4826" s="5" t="str">
        <f t="shared" si="246"/>
        <v>ESTERILIZACION-DIANA SOFIA DIAZ CASTRO</v>
      </c>
      <c r="F4826" s="5"/>
      <c r="G4826" s="5"/>
    </row>
    <row r="4827" spans="1:7" ht="58.5" customHeight="1" x14ac:dyDescent="0.25">
      <c r="A4827" s="5" t="str">
        <f>"H0036567"</f>
        <v>H0036567</v>
      </c>
      <c r="B4827" s="5" t="str">
        <f t="shared" si="248"/>
        <v>Carro de Transporte de Material Estéril</v>
      </c>
      <c r="C4827" s="6">
        <v>5560275</v>
      </c>
      <c r="D4827" s="5" t="s">
        <v>391</v>
      </c>
      <c r="E4827" s="5" t="str">
        <f t="shared" si="246"/>
        <v>ESTERILIZACION-DIANA SOFIA DIAZ CASTRO</v>
      </c>
      <c r="F4827" s="5"/>
      <c r="G4827" s="5"/>
    </row>
    <row r="4828" spans="1:7" ht="58.5" customHeight="1" x14ac:dyDescent="0.25">
      <c r="A4828" s="5" t="str">
        <f>"H0036568"</f>
        <v>H0036568</v>
      </c>
      <c r="B4828" s="5" t="str">
        <f t="shared" si="248"/>
        <v>Carro de Transporte de Material Estéril</v>
      </c>
      <c r="C4828" s="6">
        <v>5560275</v>
      </c>
      <c r="D4828" s="5" t="s">
        <v>391</v>
      </c>
      <c r="E4828" s="5" t="str">
        <f t="shared" si="246"/>
        <v>ESTERILIZACION-DIANA SOFIA DIAZ CASTRO</v>
      </c>
      <c r="F4828" s="5"/>
      <c r="G4828" s="5"/>
    </row>
    <row r="4829" spans="1:7" ht="58.5" customHeight="1" x14ac:dyDescent="0.25">
      <c r="A4829" s="5" t="str">
        <f>"H0036569"</f>
        <v>H0036569</v>
      </c>
      <c r="B4829" s="5" t="str">
        <f t="shared" si="248"/>
        <v>Carro de Transporte de Material Estéril</v>
      </c>
      <c r="C4829" s="6">
        <v>5560275</v>
      </c>
      <c r="D4829" s="5" t="s">
        <v>391</v>
      </c>
      <c r="E4829" s="5" t="str">
        <f t="shared" si="246"/>
        <v>ESTERILIZACION-DIANA SOFIA DIAZ CASTRO</v>
      </c>
      <c r="F4829" s="5"/>
      <c r="G4829" s="5"/>
    </row>
    <row r="4830" spans="1:7" ht="58.5" customHeight="1" x14ac:dyDescent="0.25">
      <c r="A4830" s="5" t="str">
        <f>"H0037826"</f>
        <v>H0037826</v>
      </c>
      <c r="B4830" s="5" t="str">
        <f>"SILLA GERENTE NIZA MEC. BASCULANTE CON BRAZOS."</f>
        <v>SILLA GERENTE NIZA MEC. BASCULANTE CON BRAZOS.</v>
      </c>
      <c r="C4830" s="6">
        <v>710000.01</v>
      </c>
      <c r="D4830" s="5" t="s">
        <v>30</v>
      </c>
      <c r="E4830" s="5" t="str">
        <f t="shared" si="246"/>
        <v>ESTERILIZACION-DIANA SOFIA DIAZ CASTRO</v>
      </c>
      <c r="F4830" s="5"/>
      <c r="G4830" s="5"/>
    </row>
    <row r="4831" spans="1:7" ht="58.5" customHeight="1" x14ac:dyDescent="0.25">
      <c r="A4831" s="5" t="str">
        <f>"H0021475"</f>
        <v>H0021475</v>
      </c>
      <c r="B4831" s="5" t="str">
        <f>"SEPARADOR ABDOMINAL, 14 CMS GELPI"</f>
        <v>SEPARADOR ABDOMINAL, 14 CMS GELPI</v>
      </c>
      <c r="C4831" s="6">
        <v>273180</v>
      </c>
      <c r="D4831" s="5" t="s">
        <v>392</v>
      </c>
      <c r="E4831" s="5" t="str">
        <f t="shared" ref="E4831:E4894" si="249">"INSTRUMENTACION-DIANA CAICEDO-DIANA DIAZ"</f>
        <v>INSTRUMENTACION-DIANA CAICEDO-DIANA DIAZ</v>
      </c>
      <c r="F4831" s="5"/>
      <c r="G4831" s="5"/>
    </row>
    <row r="4832" spans="1:7" ht="58.5" customHeight="1" x14ac:dyDescent="0.25">
      <c r="A4832" s="5" t="str">
        <f>"H0021476"</f>
        <v>H0021476</v>
      </c>
      <c r="B4832" s="5" t="str">
        <f>"SEPARADOR ABDOMINAL, 14 CMS GELPI"</f>
        <v>SEPARADOR ABDOMINAL, 14 CMS GELPI</v>
      </c>
      <c r="C4832" s="6">
        <v>273180</v>
      </c>
      <c r="D4832" s="5" t="s">
        <v>392</v>
      </c>
      <c r="E4832" s="5" t="str">
        <f t="shared" si="249"/>
        <v>INSTRUMENTACION-DIANA CAICEDO-DIANA DIAZ</v>
      </c>
      <c r="F4832" s="5"/>
      <c r="G4832" s="5"/>
    </row>
    <row r="4833" spans="1:7" ht="58.5" customHeight="1" x14ac:dyDescent="0.25">
      <c r="A4833" s="5" t="str">
        <f>"H0021477"</f>
        <v>H0021477</v>
      </c>
      <c r="B4833" s="5" t="str">
        <f>"PINZA A TRAUMATICA, 16 CM, 2.0 MMC  PARA DISCRECIÓN DE BAKEY"</f>
        <v>PINZA A TRAUMATICA, 16 CM, 2.0 MMC  PARA DISCRECIÓN DE BAKEY</v>
      </c>
      <c r="C4833" s="6">
        <v>160225</v>
      </c>
      <c r="D4833" s="5" t="s">
        <v>179</v>
      </c>
      <c r="E4833" s="5" t="str">
        <f t="shared" si="249"/>
        <v>INSTRUMENTACION-DIANA CAICEDO-DIANA DIAZ</v>
      </c>
      <c r="F4833" s="5"/>
      <c r="G4833" s="5"/>
    </row>
    <row r="4834" spans="1:7" ht="58.5" customHeight="1" x14ac:dyDescent="0.25">
      <c r="A4834" s="5" t="str">
        <f>"H0021478"</f>
        <v>H0021478</v>
      </c>
      <c r="B4834" s="5" t="str">
        <f>"PINZA A TRAUMATICA, 16 CM, 2.0 MMC  PARA DISCRECIÓN DE BAKEY"</f>
        <v>PINZA A TRAUMATICA, 16 CM, 2.0 MMC  PARA DISCRECIÓN DE BAKEY</v>
      </c>
      <c r="C4834" s="6">
        <v>160225</v>
      </c>
      <c r="D4834" s="5" t="s">
        <v>179</v>
      </c>
      <c r="E4834" s="5" t="str">
        <f t="shared" si="249"/>
        <v>INSTRUMENTACION-DIANA CAICEDO-DIANA DIAZ</v>
      </c>
      <c r="F4834" s="5"/>
      <c r="G4834" s="5"/>
    </row>
    <row r="4835" spans="1:7" ht="58.5" customHeight="1" x14ac:dyDescent="0.25">
      <c r="A4835" s="5" t="str">
        <f>"H0021479"</f>
        <v>H0021479</v>
      </c>
      <c r="B4835" s="5" t="str">
        <f>"PINZA A TRAUMATICA, 16 CM, 2.0 MMC  PARA DISCRECIÓN DE BAKEY"</f>
        <v>PINZA A TRAUMATICA, 16 CM, 2.0 MMC  PARA DISCRECIÓN DE BAKEY</v>
      </c>
      <c r="C4835" s="6">
        <v>160225</v>
      </c>
      <c r="D4835" s="5" t="s">
        <v>179</v>
      </c>
      <c r="E4835" s="5" t="str">
        <f t="shared" si="249"/>
        <v>INSTRUMENTACION-DIANA CAICEDO-DIANA DIAZ</v>
      </c>
      <c r="F4835" s="5"/>
      <c r="G4835" s="5"/>
    </row>
    <row r="4836" spans="1:7" ht="58.5" customHeight="1" x14ac:dyDescent="0.25">
      <c r="A4836" s="5" t="str">
        <f>"H0021480"</f>
        <v>H0021480</v>
      </c>
      <c r="B4836" s="5" t="str">
        <f>"PINZA A TRAUMATICA, 16 CM, 2.0 MMC  PARA DISCRECIÓN DE BAKEY"</f>
        <v>PINZA A TRAUMATICA, 16 CM, 2.0 MMC  PARA DISCRECIÓN DE BAKEY</v>
      </c>
      <c r="C4836" s="6">
        <v>160225</v>
      </c>
      <c r="D4836" s="5" t="s">
        <v>179</v>
      </c>
      <c r="E4836" s="5" t="str">
        <f t="shared" si="249"/>
        <v>INSTRUMENTACION-DIANA CAICEDO-DIANA DIAZ</v>
      </c>
      <c r="F4836" s="5"/>
      <c r="G4836" s="5"/>
    </row>
    <row r="4837" spans="1:7" ht="58.5" customHeight="1" x14ac:dyDescent="0.25">
      <c r="A4837" s="5" t="str">
        <f>"h0021481"</f>
        <v>h0021481</v>
      </c>
      <c r="B4837" s="5" t="str">
        <f>"PINZA AUTOMATICA, 24 cms 2,0mm PARA DISECCIÓN DE BAKEY"</f>
        <v>PINZA AUTOMATICA, 24 cms 2,0mm PARA DISECCIÓN DE BAKEY</v>
      </c>
      <c r="C4837" s="6">
        <v>178060</v>
      </c>
      <c r="D4837" s="5" t="s">
        <v>179</v>
      </c>
      <c r="E4837" s="5" t="str">
        <f t="shared" si="249"/>
        <v>INSTRUMENTACION-DIANA CAICEDO-DIANA DIAZ</v>
      </c>
      <c r="F4837" s="5"/>
      <c r="G4837" s="5"/>
    </row>
    <row r="4838" spans="1:7" ht="58.5" customHeight="1" x14ac:dyDescent="0.25">
      <c r="A4838" s="5" t="str">
        <f>"h0021482"</f>
        <v>h0021482</v>
      </c>
      <c r="B4838" s="5" t="str">
        <f>"PINZA AUTOMATICA, 24 cms 2,0mm PARA DISECCIÓN DE BAKEY"</f>
        <v>PINZA AUTOMATICA, 24 cms 2,0mm PARA DISECCIÓN DE BAKEY</v>
      </c>
      <c r="C4838" s="6">
        <v>178060</v>
      </c>
      <c r="D4838" s="5" t="s">
        <v>179</v>
      </c>
      <c r="E4838" s="5" t="str">
        <f t="shared" si="249"/>
        <v>INSTRUMENTACION-DIANA CAICEDO-DIANA DIAZ</v>
      </c>
      <c r="F4838" s="5"/>
      <c r="G4838" s="5"/>
    </row>
    <row r="4839" spans="1:7" ht="58.5" customHeight="1" x14ac:dyDescent="0.25">
      <c r="A4839" s="5" t="str">
        <f>"H0021483"</f>
        <v>H0021483</v>
      </c>
      <c r="B4839" s="5" t="str">
        <f>"PINZA AUTOMATICA, 24 cms 2,0mm PARA DISECCIÓN DE BAKEY"</f>
        <v>PINZA AUTOMATICA, 24 cms 2,0mm PARA DISECCIÓN DE BAKEY</v>
      </c>
      <c r="C4839" s="6">
        <v>178060</v>
      </c>
      <c r="D4839" s="5" t="s">
        <v>179</v>
      </c>
      <c r="E4839" s="5" t="str">
        <f t="shared" si="249"/>
        <v>INSTRUMENTACION-DIANA CAICEDO-DIANA DIAZ</v>
      </c>
      <c r="F4839" s="5"/>
      <c r="G4839" s="5"/>
    </row>
    <row r="4840" spans="1:7" ht="58.5" customHeight="1" x14ac:dyDescent="0.25">
      <c r="A4840" s="5" t="str">
        <f>"H0021484"</f>
        <v>H0021484</v>
      </c>
      <c r="B4840" s="5" t="str">
        <f>"PINZA AUTOMATICA, 24 cms 2,0mm PARA DISECCIÓN DE BAKEY"</f>
        <v>PINZA AUTOMATICA, 24 cms 2,0mm PARA DISECCIÓN DE BAKEY</v>
      </c>
      <c r="C4840" s="6">
        <v>178060</v>
      </c>
      <c r="D4840" s="5" t="s">
        <v>179</v>
      </c>
      <c r="E4840" s="5" t="str">
        <f t="shared" si="249"/>
        <v>INSTRUMENTACION-DIANA CAICEDO-DIANA DIAZ</v>
      </c>
      <c r="F4840" s="5"/>
      <c r="G4840" s="5"/>
    </row>
    <row r="4841" spans="1:7" ht="58.5" customHeight="1" x14ac:dyDescent="0.25">
      <c r="A4841" s="5" t="str">
        <f>"H0021485"</f>
        <v>H0021485</v>
      </c>
      <c r="B4841" s="5" t="str">
        <f>"PINZA AUTOMATICA, 30 cms 2,0mm PARA DISECCIÓN DE BAKEY"</f>
        <v>PINZA AUTOMATICA, 30 cms 2,0mm PARA DISECCIÓN DE BAKEY</v>
      </c>
      <c r="C4841" s="6">
        <v>194155</v>
      </c>
      <c r="D4841" s="5" t="s">
        <v>179</v>
      </c>
      <c r="E4841" s="5" t="str">
        <f t="shared" si="249"/>
        <v>INSTRUMENTACION-DIANA CAICEDO-DIANA DIAZ</v>
      </c>
      <c r="F4841" s="5"/>
      <c r="G4841" s="5"/>
    </row>
    <row r="4842" spans="1:7" ht="58.5" customHeight="1" x14ac:dyDescent="0.25">
      <c r="A4842" s="5" t="str">
        <f>"H0021486"</f>
        <v>H0021486</v>
      </c>
      <c r="B4842" s="5" t="str">
        <f>"PINZA AUTOMATICA, 30 cms 2,0mm PARA DISECCIÓN DE BAKEY"</f>
        <v>PINZA AUTOMATICA, 30 cms 2,0mm PARA DISECCIÓN DE BAKEY</v>
      </c>
      <c r="C4842" s="6">
        <v>194155</v>
      </c>
      <c r="D4842" s="5" t="s">
        <v>179</v>
      </c>
      <c r="E4842" s="5" t="str">
        <f t="shared" si="249"/>
        <v>INSTRUMENTACION-DIANA CAICEDO-DIANA DIAZ</v>
      </c>
      <c r="F4842" s="5"/>
      <c r="G4842" s="5"/>
    </row>
    <row r="4843" spans="1:7" ht="58.5" customHeight="1" x14ac:dyDescent="0.25">
      <c r="A4843" s="5" t="str">
        <f>"H0021487"</f>
        <v>H0021487</v>
      </c>
      <c r="B4843" s="5" t="str">
        <f>"PORTA AGUJAS  26 cm 1,0mm TC VASCULAR RYDER"</f>
        <v>PORTA AGUJAS  26 cm 1,0mm TC VASCULAR RYDER</v>
      </c>
      <c r="C4843" s="6">
        <v>400490</v>
      </c>
      <c r="D4843" s="5" t="s">
        <v>179</v>
      </c>
      <c r="E4843" s="5" t="str">
        <f t="shared" si="249"/>
        <v>INSTRUMENTACION-DIANA CAICEDO-DIANA DIAZ</v>
      </c>
      <c r="F4843" s="5"/>
      <c r="G4843" s="5"/>
    </row>
    <row r="4844" spans="1:7" ht="58.5" customHeight="1" x14ac:dyDescent="0.25">
      <c r="A4844" s="5" t="str">
        <f>"H0021488"</f>
        <v>H0021488</v>
      </c>
      <c r="B4844" s="5" t="str">
        <f>"PORTA AGUJAS  26 cm 1,0mm TC VASCULAR RYDER"</f>
        <v>PORTA AGUJAS  26 cm 1,0mm TC VASCULAR RYDER</v>
      </c>
      <c r="C4844" s="6">
        <v>400490</v>
      </c>
      <c r="D4844" s="5" t="s">
        <v>179</v>
      </c>
      <c r="E4844" s="5" t="str">
        <f t="shared" si="249"/>
        <v>INSTRUMENTACION-DIANA CAICEDO-DIANA DIAZ</v>
      </c>
      <c r="F4844" s="5"/>
      <c r="G4844" s="5"/>
    </row>
    <row r="4845" spans="1:7" ht="58.5" customHeight="1" x14ac:dyDescent="0.25">
      <c r="A4845" s="5" t="str">
        <f>"H0021489"</f>
        <v>H0021489</v>
      </c>
      <c r="B4845" s="5" t="str">
        <f>"TIJERAS VASCULAR, 21 cms POTT- DE MARTEL"</f>
        <v>TIJERAS VASCULAR, 21 cms POTT- DE MARTEL</v>
      </c>
      <c r="C4845" s="6">
        <v>443410</v>
      </c>
      <c r="D4845" s="5" t="s">
        <v>179</v>
      </c>
      <c r="E4845" s="5" t="str">
        <f t="shared" si="249"/>
        <v>INSTRUMENTACION-DIANA CAICEDO-DIANA DIAZ</v>
      </c>
      <c r="F4845" s="5"/>
      <c r="G4845" s="5"/>
    </row>
    <row r="4846" spans="1:7" ht="58.5" customHeight="1" x14ac:dyDescent="0.25">
      <c r="A4846" s="5" t="str">
        <f>"H0021490"</f>
        <v>H0021490</v>
      </c>
      <c r="B4846" s="5" t="str">
        <f>"PINZA HEMOSTATICA CVA  s/g 18,5 cms ( Kelly Adson) ADSON"</f>
        <v>PINZA HEMOSTATICA CVA  s/g 18,5 cms ( Kelly Adson) ADSON</v>
      </c>
      <c r="C4846" s="6">
        <v>86130</v>
      </c>
      <c r="D4846" s="5" t="s">
        <v>179</v>
      </c>
      <c r="E4846" s="5" t="str">
        <f t="shared" si="249"/>
        <v>INSTRUMENTACION-DIANA CAICEDO-DIANA DIAZ</v>
      </c>
      <c r="F4846" s="5"/>
      <c r="G4846" s="5"/>
    </row>
    <row r="4847" spans="1:7" ht="58.5" customHeight="1" x14ac:dyDescent="0.25">
      <c r="A4847" s="5" t="str">
        <f>"H0021491"</f>
        <v>H0021491</v>
      </c>
      <c r="B4847" s="5" t="str">
        <f>"PINZA HEMOSTATICA CVA  s/g 18,5 cms ( Kelly Adson) ADSON"</f>
        <v>PINZA HEMOSTATICA CVA  s/g 18,5 cms ( Kelly Adson) ADSON</v>
      </c>
      <c r="C4847" s="6">
        <v>86130</v>
      </c>
      <c r="D4847" s="5" t="s">
        <v>179</v>
      </c>
      <c r="E4847" s="5" t="str">
        <f t="shared" si="249"/>
        <v>INSTRUMENTACION-DIANA CAICEDO-DIANA DIAZ</v>
      </c>
      <c r="F4847" s="5"/>
      <c r="G4847" s="5"/>
    </row>
    <row r="4848" spans="1:7" ht="58.5" customHeight="1" x14ac:dyDescent="0.25">
      <c r="A4848" s="5" t="str">
        <f>"H0021492"</f>
        <v>H0021492</v>
      </c>
      <c r="B4848" s="5" t="str">
        <f>"PINZA PARA CONDUCTOS BILIARES 19cm ( cistico) LAHEY"</f>
        <v>PINZA PARA CONDUCTOS BILIARES 19cm ( cistico) LAHEY</v>
      </c>
      <c r="C4848" s="6">
        <v>128180</v>
      </c>
      <c r="D4848" s="5" t="s">
        <v>179</v>
      </c>
      <c r="E4848" s="5" t="str">
        <f t="shared" si="249"/>
        <v>INSTRUMENTACION-DIANA CAICEDO-DIANA DIAZ</v>
      </c>
      <c r="F4848" s="5"/>
      <c r="G4848" s="5"/>
    </row>
    <row r="4849" spans="1:7" ht="58.5" customHeight="1" x14ac:dyDescent="0.25">
      <c r="A4849" s="5" t="str">
        <f>"H0021493"</f>
        <v>H0021493</v>
      </c>
      <c r="B4849" s="5" t="str">
        <f>"PINZA PARA CONDUCTOS BILIARES 19cm ( cistico) LAHEY"</f>
        <v>PINZA PARA CONDUCTOS BILIARES 19cm ( cistico) LAHEY</v>
      </c>
      <c r="C4849" s="6">
        <v>128180</v>
      </c>
      <c r="D4849" s="5" t="s">
        <v>179</v>
      </c>
      <c r="E4849" s="5" t="str">
        <f t="shared" si="249"/>
        <v>INSTRUMENTACION-DIANA CAICEDO-DIANA DIAZ</v>
      </c>
      <c r="F4849" s="5"/>
      <c r="G4849" s="5"/>
    </row>
    <row r="4850" spans="1:7" ht="58.5" customHeight="1" x14ac:dyDescent="0.25">
      <c r="A4850" s="5" t="str">
        <f>"H0021494"</f>
        <v>H0021494</v>
      </c>
      <c r="B4850" s="5" t="str">
        <f>"SEPARADOR PARA VENA 20cms, 08mm CUSHING"</f>
        <v>SEPARADOR PARA VENA 20cms, 08mm CUSHING</v>
      </c>
      <c r="C4850" s="6">
        <v>107590</v>
      </c>
      <c r="D4850" s="5" t="s">
        <v>179</v>
      </c>
      <c r="E4850" s="5" t="str">
        <f t="shared" si="249"/>
        <v>INSTRUMENTACION-DIANA CAICEDO-DIANA DIAZ</v>
      </c>
      <c r="F4850" s="5"/>
      <c r="G4850" s="5"/>
    </row>
    <row r="4851" spans="1:7" ht="58.5" customHeight="1" x14ac:dyDescent="0.25">
      <c r="A4851" s="5" t="str">
        <f>"H0021495"</f>
        <v>H0021495</v>
      </c>
      <c r="B4851" s="5" t="str">
        <f>"SEPARADOR PARA VENA 20cms, 08mm CUSHING"</f>
        <v>SEPARADOR PARA VENA 20cms, 08mm CUSHING</v>
      </c>
      <c r="C4851" s="6">
        <v>107590</v>
      </c>
      <c r="D4851" s="5" t="s">
        <v>179</v>
      </c>
      <c r="E4851" s="5" t="str">
        <f t="shared" si="249"/>
        <v>INSTRUMENTACION-DIANA CAICEDO-DIANA DIAZ</v>
      </c>
      <c r="F4851" s="5"/>
      <c r="G4851" s="5"/>
    </row>
    <row r="4852" spans="1:7" ht="58.5" customHeight="1" x14ac:dyDescent="0.25">
      <c r="A4852" s="5" t="str">
        <f>"H0021496"</f>
        <v>H0021496</v>
      </c>
      <c r="B4852" s="5" t="str">
        <f>"SEPARADOR PARA VENA 20cms, 08mm CUSHING"</f>
        <v>SEPARADOR PARA VENA 20cms, 08mm CUSHING</v>
      </c>
      <c r="C4852" s="6">
        <v>107590</v>
      </c>
      <c r="D4852" s="5" t="s">
        <v>179</v>
      </c>
      <c r="E4852" s="5" t="str">
        <f t="shared" si="249"/>
        <v>INSTRUMENTACION-DIANA CAICEDO-DIANA DIAZ</v>
      </c>
      <c r="F4852" s="5"/>
      <c r="G4852" s="5"/>
    </row>
    <row r="4853" spans="1:7" ht="58.5" customHeight="1" x14ac:dyDescent="0.25">
      <c r="A4853" s="5" t="str">
        <f>"H0021498"</f>
        <v>H0021498</v>
      </c>
      <c r="B4853" s="5" t="str">
        <f>"SEPARADOR PARA VENA 20cms, 08mm CUSHING"</f>
        <v>SEPARADOR PARA VENA 20cms, 08mm CUSHING</v>
      </c>
      <c r="C4853" s="6">
        <v>107590</v>
      </c>
      <c r="D4853" s="5" t="s">
        <v>179</v>
      </c>
      <c r="E4853" s="5" t="str">
        <f t="shared" si="249"/>
        <v>INSTRUMENTACION-DIANA CAICEDO-DIANA DIAZ</v>
      </c>
      <c r="F4853" s="5"/>
      <c r="G4853" s="5"/>
    </row>
    <row r="4854" spans="1:7" ht="58.5" customHeight="1" x14ac:dyDescent="0.25">
      <c r="A4854" s="5" t="str">
        <f>"H0022298"</f>
        <v>H0022298</v>
      </c>
      <c r="B4854" s="5" t="str">
        <f>"CORTA HILOS DE ALAMBRE 22cms, TC CAPACIDAD 2,5 mm"</f>
        <v>CORTA HILOS DE ALAMBRE 22cms, TC CAPACIDAD 2,5 mm</v>
      </c>
      <c r="C4854" s="6">
        <v>1201470</v>
      </c>
      <c r="D4854" s="5" t="s">
        <v>262</v>
      </c>
      <c r="E4854" s="5" t="str">
        <f t="shared" si="249"/>
        <v>INSTRUMENTACION-DIANA CAICEDO-DIANA DIAZ</v>
      </c>
      <c r="F4854" s="5"/>
      <c r="G4854" s="5"/>
    </row>
    <row r="4855" spans="1:7" ht="58.5" customHeight="1" x14ac:dyDescent="0.25">
      <c r="A4855" s="5" t="str">
        <f>"H0022299"</f>
        <v>H0022299</v>
      </c>
      <c r="B4855" s="5" t="str">
        <f>"CORTA HILOS DE ALAMBRE 22cms, TC CAPACIDAD 2,5 mm"</f>
        <v>CORTA HILOS DE ALAMBRE 22cms, TC CAPACIDAD 2,5 mm</v>
      </c>
      <c r="C4855" s="6">
        <v>1201470</v>
      </c>
      <c r="D4855" s="5" t="s">
        <v>262</v>
      </c>
      <c r="E4855" s="5" t="str">
        <f t="shared" si="249"/>
        <v>INSTRUMENTACION-DIANA CAICEDO-DIANA DIAZ</v>
      </c>
      <c r="F4855" s="5"/>
      <c r="G4855" s="5"/>
    </row>
    <row r="4856" spans="1:7" ht="58.5" customHeight="1" x14ac:dyDescent="0.25">
      <c r="A4856" s="5" t="str">
        <f>"H0022300"</f>
        <v>H0022300</v>
      </c>
      <c r="B4856" s="5" t="str">
        <f>"ALICATE PARA DOBLAR ALAMBRE 18cm"</f>
        <v>ALICATE PARA DOBLAR ALAMBRE 18cm</v>
      </c>
      <c r="C4856" s="6">
        <v>494305</v>
      </c>
      <c r="D4856" s="5" t="s">
        <v>262</v>
      </c>
      <c r="E4856" s="5" t="str">
        <f t="shared" si="249"/>
        <v>INSTRUMENTACION-DIANA CAICEDO-DIANA DIAZ</v>
      </c>
      <c r="F4856" s="5"/>
      <c r="G4856" s="5"/>
    </row>
    <row r="4857" spans="1:7" ht="58.5" customHeight="1" x14ac:dyDescent="0.25">
      <c r="A4857" s="5" t="str">
        <f>"H0022301"</f>
        <v>H0022301</v>
      </c>
      <c r="B4857" s="5" t="str">
        <f>"ALICATE PARA DOBLAR ALAMBRE 18cm"</f>
        <v>ALICATE PARA DOBLAR ALAMBRE 18cm</v>
      </c>
      <c r="C4857" s="6">
        <v>494305</v>
      </c>
      <c r="D4857" s="5" t="s">
        <v>262</v>
      </c>
      <c r="E4857" s="5" t="str">
        <f t="shared" si="249"/>
        <v>INSTRUMENTACION-DIANA CAICEDO-DIANA DIAZ</v>
      </c>
      <c r="F4857" s="5"/>
      <c r="G4857" s="5"/>
    </row>
    <row r="4858" spans="1:7" ht="58.5" customHeight="1" x14ac:dyDescent="0.25">
      <c r="A4858" s="5" t="str">
        <f>"H0022302"</f>
        <v>H0022302</v>
      </c>
      <c r="B4858" s="5" t="str">
        <f>"ALICATE PARA DOBLAR ALAMBRE 18cm"</f>
        <v>ALICATE PARA DOBLAR ALAMBRE 18cm</v>
      </c>
      <c r="C4858" s="6">
        <v>494305</v>
      </c>
      <c r="D4858" s="5" t="s">
        <v>262</v>
      </c>
      <c r="E4858" s="5" t="str">
        <f t="shared" si="249"/>
        <v>INSTRUMENTACION-DIANA CAICEDO-DIANA DIAZ</v>
      </c>
      <c r="F4858" s="5"/>
      <c r="G4858" s="5"/>
    </row>
    <row r="4859" spans="1:7" ht="58.5" customHeight="1" x14ac:dyDescent="0.25">
      <c r="A4859" s="5" t="str">
        <f>"H0022303"</f>
        <v>H0022303</v>
      </c>
      <c r="B4859" s="5" t="str">
        <f>"PINZA PARA COGER ALAMBRE , 19cm"</f>
        <v>PINZA PARA COGER ALAMBRE , 19cm</v>
      </c>
      <c r="C4859" s="6">
        <v>178060</v>
      </c>
      <c r="D4859" s="5" t="s">
        <v>262</v>
      </c>
      <c r="E4859" s="5" t="str">
        <f t="shared" si="249"/>
        <v>INSTRUMENTACION-DIANA CAICEDO-DIANA DIAZ</v>
      </c>
      <c r="F4859" s="5"/>
      <c r="G4859" s="5"/>
    </row>
    <row r="4860" spans="1:7" ht="58.5" customHeight="1" x14ac:dyDescent="0.25">
      <c r="A4860" s="5" t="str">
        <f>"H0022304"</f>
        <v>H0022304</v>
      </c>
      <c r="B4860" s="5" t="str">
        <f>"PINZA PARA COGER ALAMBRE , 19cm"</f>
        <v>PINZA PARA COGER ALAMBRE , 19cm</v>
      </c>
      <c r="C4860" s="6">
        <v>178060</v>
      </c>
      <c r="D4860" s="5" t="s">
        <v>262</v>
      </c>
      <c r="E4860" s="5" t="str">
        <f t="shared" si="249"/>
        <v>INSTRUMENTACION-DIANA CAICEDO-DIANA DIAZ</v>
      </c>
      <c r="F4860" s="5"/>
      <c r="G4860" s="5"/>
    </row>
    <row r="4861" spans="1:7" ht="58.5" customHeight="1" x14ac:dyDescent="0.25">
      <c r="A4861" s="5" t="str">
        <f>"H0022337"</f>
        <v>H0022337</v>
      </c>
      <c r="B4861" s="5" t="str">
        <f>"SEPARADOR ABDOMINAL, 14 CMS GELPI"</f>
        <v>SEPARADOR ABDOMINAL, 14 CMS GELPI</v>
      </c>
      <c r="C4861" s="6">
        <v>273180</v>
      </c>
      <c r="D4861" s="5" t="s">
        <v>393</v>
      </c>
      <c r="E4861" s="5" t="str">
        <f t="shared" si="249"/>
        <v>INSTRUMENTACION-DIANA CAICEDO-DIANA DIAZ</v>
      </c>
      <c r="F4861" s="5"/>
      <c r="G4861" s="5"/>
    </row>
    <row r="4862" spans="1:7" ht="58.5" customHeight="1" x14ac:dyDescent="0.25">
      <c r="A4862" s="5" t="str">
        <f>"H0022338"</f>
        <v>H0022338</v>
      </c>
      <c r="B4862" s="5" t="str">
        <f>"SEPARADOR ABDOMINAL, 14 CMS GELPI"</f>
        <v>SEPARADOR ABDOMINAL, 14 CMS GELPI</v>
      </c>
      <c r="C4862" s="6">
        <v>273180</v>
      </c>
      <c r="D4862" s="5" t="s">
        <v>393</v>
      </c>
      <c r="E4862" s="5" t="str">
        <f t="shared" si="249"/>
        <v>INSTRUMENTACION-DIANA CAICEDO-DIANA DIAZ</v>
      </c>
      <c r="F4862" s="5"/>
      <c r="G4862" s="5"/>
    </row>
    <row r="4863" spans="1:7" ht="58.5" customHeight="1" x14ac:dyDescent="0.25">
      <c r="A4863" s="5" t="str">
        <f>"H0022339"</f>
        <v>H0022339</v>
      </c>
      <c r="B4863" s="5" t="str">
        <f>"PINZA-CLAMP CARDIOVASCULAR ATRAUM 26.0cm PARA AORTA CURVA FRENTE DE BAKEY"</f>
        <v>PINZA-CLAMP CARDIOVASCULAR ATRAUM 26.0cm PARA AORTA CURVA FRENTE DE BAKEY</v>
      </c>
      <c r="C4863" s="6">
        <v>1120560</v>
      </c>
      <c r="D4863" s="5" t="s">
        <v>393</v>
      </c>
      <c r="E4863" s="5" t="str">
        <f t="shared" si="249"/>
        <v>INSTRUMENTACION-DIANA CAICEDO-DIANA DIAZ</v>
      </c>
      <c r="F4863" s="5"/>
      <c r="G4863" s="5"/>
    </row>
    <row r="4864" spans="1:7" ht="58.5" customHeight="1" x14ac:dyDescent="0.25">
      <c r="A4864" s="5" t="str">
        <f>"H0022340"</f>
        <v>H0022340</v>
      </c>
      <c r="B4864" s="5" t="str">
        <f>"PINZA-CLAMP CARDIOVASCULAR ATRAUM 26.0cm PARA AORTA CURVA FRENTE DE BAKEY"</f>
        <v>PINZA-CLAMP CARDIOVASCULAR ATRAUM 26.0cm PARA AORTA CURVA FRENTE DE BAKEY</v>
      </c>
      <c r="C4864" s="6">
        <v>1120560</v>
      </c>
      <c r="D4864" s="5" t="s">
        <v>393</v>
      </c>
      <c r="E4864" s="5" t="str">
        <f t="shared" si="249"/>
        <v>INSTRUMENTACION-DIANA CAICEDO-DIANA DIAZ</v>
      </c>
      <c r="F4864" s="5"/>
      <c r="G4864" s="5"/>
    </row>
    <row r="4865" spans="1:7" ht="58.5" customHeight="1" x14ac:dyDescent="0.25">
      <c r="A4865" s="5" t="str">
        <f>"H0022341"</f>
        <v>H0022341</v>
      </c>
      <c r="B4865" s="5" t="str">
        <f>"PINZA-CLAMP CARDIOVASCULAR ATRAUM 20.5 cm PARA OCLUSIÓN DE BAKEY- SATINSKY"</f>
        <v>PINZA-CLAMP CARDIOVASCULAR ATRAUM 20.5 cm PARA OCLUSIÓN DE BAKEY- SATINSKY</v>
      </c>
      <c r="C4865" s="6">
        <v>800980</v>
      </c>
      <c r="D4865" s="5" t="s">
        <v>393</v>
      </c>
      <c r="E4865" s="5" t="str">
        <f t="shared" si="249"/>
        <v>INSTRUMENTACION-DIANA CAICEDO-DIANA DIAZ</v>
      </c>
      <c r="F4865" s="5"/>
      <c r="G4865" s="5"/>
    </row>
    <row r="4866" spans="1:7" ht="58.5" customHeight="1" x14ac:dyDescent="0.25">
      <c r="A4866" s="5" t="str">
        <f>"H0022342"</f>
        <v>H0022342</v>
      </c>
      <c r="B4866" s="5" t="str">
        <f>"PINZA-CLAMP CARDIOVASCULAR ATRAUM 20.5 cm PARA OCLUSIÓN DE BAKEY- SATINSKY"</f>
        <v>PINZA-CLAMP CARDIOVASCULAR ATRAUM 20.5 cm PARA OCLUSIÓN DE BAKEY- SATINSKY</v>
      </c>
      <c r="C4866" s="6">
        <v>800980</v>
      </c>
      <c r="D4866" s="5" t="s">
        <v>394</v>
      </c>
      <c r="E4866" s="5" t="str">
        <f t="shared" si="249"/>
        <v>INSTRUMENTACION-DIANA CAICEDO-DIANA DIAZ</v>
      </c>
      <c r="F4866" s="5"/>
      <c r="G4866" s="5"/>
    </row>
    <row r="4867" spans="1:7" ht="58.5" customHeight="1" x14ac:dyDescent="0.25">
      <c r="A4867" s="5" t="str">
        <f>"H0022343"</f>
        <v>H0022343</v>
      </c>
      <c r="B4867" s="5" t="str">
        <f>"PINZA-CLAMP CARDIOVASCULAR ATRAUM 27.0cm PARA OCLUSIÓN DE BAKEY- SATINSKY"</f>
        <v>PINZA-CLAMP CARDIOVASCULAR ATRAUM 27.0cm PARA OCLUSIÓN DE BAKEY- SATINSKY</v>
      </c>
      <c r="C4867" s="6">
        <v>800980</v>
      </c>
      <c r="D4867" s="5" t="s">
        <v>393</v>
      </c>
      <c r="E4867" s="5" t="str">
        <f t="shared" si="249"/>
        <v>INSTRUMENTACION-DIANA CAICEDO-DIANA DIAZ</v>
      </c>
      <c r="F4867" s="5"/>
      <c r="G4867" s="5"/>
    </row>
    <row r="4868" spans="1:7" ht="58.5" customHeight="1" x14ac:dyDescent="0.25">
      <c r="A4868" s="5" t="str">
        <f>"H0022344"</f>
        <v>H0022344</v>
      </c>
      <c r="B4868" s="5" t="str">
        <f>"PINZA-CLAMP CARDIOVASCULAR ATRAUM 27.0cm PARA OCLUSIÓN DE BAKEY- SATINSKY"</f>
        <v>PINZA-CLAMP CARDIOVASCULAR ATRAUM 27.0cm PARA OCLUSIÓN DE BAKEY- SATINSKY</v>
      </c>
      <c r="C4868" s="6">
        <v>800980</v>
      </c>
      <c r="D4868" s="5" t="s">
        <v>393</v>
      </c>
      <c r="E4868" s="5" t="str">
        <f t="shared" si="249"/>
        <v>INSTRUMENTACION-DIANA CAICEDO-DIANA DIAZ</v>
      </c>
      <c r="F4868" s="5"/>
      <c r="G4868" s="5"/>
    </row>
    <row r="4869" spans="1:7" ht="58.5" customHeight="1" x14ac:dyDescent="0.25">
      <c r="A4869" s="5" t="str">
        <f>"H0022345"</f>
        <v>H0022345</v>
      </c>
      <c r="B4869" s="5" t="str">
        <f>"PORTA AGUJAS 15cm 1,0mm TC VACULAR RYDER"</f>
        <v>PORTA AGUJAS 15cm 1,0mm TC VACULAR RYDER</v>
      </c>
      <c r="C4869" s="6">
        <v>309720</v>
      </c>
      <c r="D4869" s="5" t="s">
        <v>393</v>
      </c>
      <c r="E4869" s="5" t="str">
        <f t="shared" si="249"/>
        <v>INSTRUMENTACION-DIANA CAICEDO-DIANA DIAZ</v>
      </c>
      <c r="F4869" s="5"/>
      <c r="G4869" s="5"/>
    </row>
    <row r="4870" spans="1:7" ht="58.5" customHeight="1" x14ac:dyDescent="0.25">
      <c r="A4870" s="5" t="str">
        <f>"H0022346"</f>
        <v>H0022346</v>
      </c>
      <c r="B4870" s="5" t="str">
        <f>"PORTA AGUJAS 15cm 1,0mm TC VACULAR RYDER"</f>
        <v>PORTA AGUJAS 15cm 1,0mm TC VACULAR RYDER</v>
      </c>
      <c r="C4870" s="6">
        <v>309720</v>
      </c>
      <c r="D4870" s="5" t="s">
        <v>393</v>
      </c>
      <c r="E4870" s="5" t="str">
        <f t="shared" si="249"/>
        <v>INSTRUMENTACION-DIANA CAICEDO-DIANA DIAZ</v>
      </c>
      <c r="F4870" s="5"/>
      <c r="G4870" s="5"/>
    </row>
    <row r="4871" spans="1:7" ht="58.5" customHeight="1" x14ac:dyDescent="0.25">
      <c r="A4871" s="5" t="str">
        <f>"H0022347"</f>
        <v>H0022347</v>
      </c>
      <c r="B4871" s="5" t="str">
        <f>"PORTA AGUJAS 20 cm 1,0mm TC vascular RYDER"</f>
        <v>PORTA AGUJAS 20 cm 1,0mm TC vascular RYDER</v>
      </c>
      <c r="C4871" s="6">
        <v>332920</v>
      </c>
      <c r="D4871" s="5" t="s">
        <v>393</v>
      </c>
      <c r="E4871" s="5" t="str">
        <f t="shared" si="249"/>
        <v>INSTRUMENTACION-DIANA CAICEDO-DIANA DIAZ</v>
      </c>
      <c r="F4871" s="5"/>
      <c r="G4871" s="5"/>
    </row>
    <row r="4872" spans="1:7" ht="58.5" customHeight="1" x14ac:dyDescent="0.25">
      <c r="A4872" s="5" t="str">
        <f>"H0022348"</f>
        <v>H0022348</v>
      </c>
      <c r="B4872" s="5" t="str">
        <f>"PORTA AGUJAS 20 cm 1,0mm TC vascular RYDER"</f>
        <v>PORTA AGUJAS 20 cm 1,0mm TC vascular RYDER</v>
      </c>
      <c r="C4872" s="6">
        <v>332920</v>
      </c>
      <c r="D4872" s="5" t="s">
        <v>393</v>
      </c>
      <c r="E4872" s="5" t="str">
        <f t="shared" si="249"/>
        <v>INSTRUMENTACION-DIANA CAICEDO-DIANA DIAZ</v>
      </c>
      <c r="F4872" s="5"/>
      <c r="G4872" s="5"/>
    </row>
    <row r="4873" spans="1:7" ht="58.5" customHeight="1" x14ac:dyDescent="0.25">
      <c r="A4873" s="5" t="str">
        <f>"H0022349"</f>
        <v>H0022349</v>
      </c>
      <c r="B4873" s="5" t="str">
        <f>"PINZA PARA ANAST  (clamp vena cava) 15 cms BOCA MOLDEADA EN SATINSKY"</f>
        <v>PINZA PARA ANAST  (clamp vena cava) 15 cms BOCA MOLDEADA EN SATINSKY</v>
      </c>
      <c r="C4873" s="6">
        <v>194155</v>
      </c>
      <c r="D4873" s="5" t="s">
        <v>395</v>
      </c>
      <c r="E4873" s="5" t="str">
        <f t="shared" si="249"/>
        <v>INSTRUMENTACION-DIANA CAICEDO-DIANA DIAZ</v>
      </c>
      <c r="F4873" s="5"/>
      <c r="G4873" s="5"/>
    </row>
    <row r="4874" spans="1:7" ht="58.5" customHeight="1" x14ac:dyDescent="0.25">
      <c r="A4874" s="5" t="str">
        <f>"H0022350"</f>
        <v>H0022350</v>
      </c>
      <c r="B4874" s="5" t="str">
        <f>"PINZA PARA ANAST  (clamp vena cava) 15 cms BOCA MOLDEADA EN SATINSKY"</f>
        <v>PINZA PARA ANAST  (clamp vena cava) 15 cms BOCA MOLDEADA EN SATINSKY</v>
      </c>
      <c r="C4874" s="6">
        <v>194155</v>
      </c>
      <c r="D4874" s="5" t="s">
        <v>393</v>
      </c>
      <c r="E4874" s="5" t="str">
        <f t="shared" si="249"/>
        <v>INSTRUMENTACION-DIANA CAICEDO-DIANA DIAZ</v>
      </c>
      <c r="F4874" s="5"/>
      <c r="G4874" s="5"/>
    </row>
    <row r="4875" spans="1:7" ht="58.5" customHeight="1" x14ac:dyDescent="0.25">
      <c r="A4875" s="5" t="str">
        <f>"H0022351"</f>
        <v>H0022351</v>
      </c>
      <c r="B4875" s="5" t="str">
        <f>"PINZA PARA ANAST (clamp vena cava) 26 cms BOCA MOLDEADA EN SATINSKY"</f>
        <v>PINZA PARA ANAST (clamp vena cava) 26 cms BOCA MOLDEADA EN SATINSKY</v>
      </c>
      <c r="C4875" s="6">
        <v>263465</v>
      </c>
      <c r="D4875" s="5" t="s">
        <v>393</v>
      </c>
      <c r="E4875" s="5" t="str">
        <f t="shared" si="249"/>
        <v>INSTRUMENTACION-DIANA CAICEDO-DIANA DIAZ</v>
      </c>
      <c r="F4875" s="5"/>
      <c r="G4875" s="5"/>
    </row>
    <row r="4876" spans="1:7" ht="58.5" customHeight="1" x14ac:dyDescent="0.25">
      <c r="A4876" s="5" t="str">
        <f>"H0022352"</f>
        <v>H0022352</v>
      </c>
      <c r="B4876" s="5" t="str">
        <f>"PINZA PARA ANAST (clamp vena cava) 26 cms BOCA MOLDEADA EN SATINSKY"</f>
        <v>PINZA PARA ANAST (clamp vena cava) 26 cms BOCA MOLDEADA EN SATINSKY</v>
      </c>
      <c r="C4876" s="6">
        <v>263465</v>
      </c>
      <c r="D4876" s="5" t="s">
        <v>396</v>
      </c>
      <c r="E4876" s="5" t="str">
        <f t="shared" si="249"/>
        <v>INSTRUMENTACION-DIANA CAICEDO-DIANA DIAZ</v>
      </c>
      <c r="F4876" s="5"/>
      <c r="G4876" s="5"/>
    </row>
    <row r="4877" spans="1:7" ht="58.5" customHeight="1" x14ac:dyDescent="0.25">
      <c r="A4877" s="5" t="str">
        <f>"H0022353"</f>
        <v>H0022353</v>
      </c>
      <c r="B4877" s="5" t="str">
        <f>"PINZA-CLAMP CARDIOVASCULAR ATRAUM 21.5cms para coartación recto de BAKEY"</f>
        <v>PINZA-CLAMP CARDIOVASCULAR ATRAUM 21.5cms para coartación recto de BAKEY</v>
      </c>
      <c r="C4877" s="6">
        <v>937425</v>
      </c>
      <c r="D4877" s="5" t="s">
        <v>393</v>
      </c>
      <c r="E4877" s="5" t="str">
        <f t="shared" si="249"/>
        <v>INSTRUMENTACION-DIANA CAICEDO-DIANA DIAZ</v>
      </c>
      <c r="F4877" s="5"/>
      <c r="G4877" s="5"/>
    </row>
    <row r="4878" spans="1:7" ht="58.5" customHeight="1" x14ac:dyDescent="0.25">
      <c r="A4878" s="5" t="str">
        <f>"H0022354"</f>
        <v>H0022354</v>
      </c>
      <c r="B4878" s="5" t="str">
        <f>"PINZA-CLAMP CARDIOVASCULAR ATRAUM 21.5cms para coartación recto de BAKEY"</f>
        <v>PINZA-CLAMP CARDIOVASCULAR ATRAUM 21.5cms para coartación recto de BAKEY</v>
      </c>
      <c r="C4878" s="6">
        <v>937425</v>
      </c>
      <c r="D4878" s="5" t="s">
        <v>393</v>
      </c>
      <c r="E4878" s="5" t="str">
        <f t="shared" si="249"/>
        <v>INSTRUMENTACION-DIANA CAICEDO-DIANA DIAZ</v>
      </c>
      <c r="F4878" s="5"/>
      <c r="G4878" s="5"/>
    </row>
    <row r="4879" spans="1:7" ht="58.5" customHeight="1" x14ac:dyDescent="0.25">
      <c r="A4879" s="5" t="str">
        <f>"H0022355"</f>
        <v>H0022355</v>
      </c>
      <c r="B4879" s="5" t="str">
        <f>"PINZA-CLAMP CARDIOVASCULAR ATRAUM 20.0cms EN ANGULO DE  45° DE BAKEY"</f>
        <v>PINZA-CLAMP CARDIOVASCULAR ATRAUM 20.0cms EN ANGULO DE  45° DE BAKEY</v>
      </c>
      <c r="C4879" s="6">
        <v>867825</v>
      </c>
      <c r="D4879" s="5" t="s">
        <v>393</v>
      </c>
      <c r="E4879" s="5" t="str">
        <f t="shared" si="249"/>
        <v>INSTRUMENTACION-DIANA CAICEDO-DIANA DIAZ</v>
      </c>
      <c r="F4879" s="5"/>
      <c r="G4879" s="5"/>
    </row>
    <row r="4880" spans="1:7" ht="58.5" customHeight="1" x14ac:dyDescent="0.25">
      <c r="A4880" s="5" t="str">
        <f>"H0022356"</f>
        <v>H0022356</v>
      </c>
      <c r="B4880" s="5" t="str">
        <f>"PINZA-CLAMP CARDIOVASCULAR ATRAUM 20.0cms EN ANGULO DE  45° DE BAKEY"</f>
        <v>PINZA-CLAMP CARDIOVASCULAR ATRAUM 20.0cms EN ANGULO DE  45° DE BAKEY</v>
      </c>
      <c r="C4880" s="6">
        <v>867825</v>
      </c>
      <c r="D4880" s="5" t="s">
        <v>393</v>
      </c>
      <c r="E4880" s="5" t="str">
        <f t="shared" si="249"/>
        <v>INSTRUMENTACION-DIANA CAICEDO-DIANA DIAZ</v>
      </c>
      <c r="F4880" s="5"/>
      <c r="G4880" s="5"/>
    </row>
    <row r="4881" spans="1:7" ht="58.5" customHeight="1" x14ac:dyDescent="0.25">
      <c r="A4881" s="5" t="str">
        <f>"H0025770"</f>
        <v>H0025770</v>
      </c>
      <c r="B4881" s="5" t="str">
        <f>"CANULA SIMCOE"</f>
        <v>CANULA SIMCOE</v>
      </c>
      <c r="C4881" s="6">
        <v>224910</v>
      </c>
      <c r="D4881" s="5" t="s">
        <v>397</v>
      </c>
      <c r="E4881" s="5" t="str">
        <f t="shared" si="249"/>
        <v>INSTRUMENTACION-DIANA CAICEDO-DIANA DIAZ</v>
      </c>
      <c r="F4881" s="5"/>
      <c r="G4881" s="5"/>
    </row>
    <row r="4882" spans="1:7" ht="58.5" customHeight="1" x14ac:dyDescent="0.25">
      <c r="A4882" s="5" t="str">
        <f>"H0025771"</f>
        <v>H0025771</v>
      </c>
      <c r="B4882" s="5" t="str">
        <f>"CANULA SIMCOE"</f>
        <v>CANULA SIMCOE</v>
      </c>
      <c r="C4882" s="6">
        <v>224910</v>
      </c>
      <c r="D4882" s="5" t="s">
        <v>397</v>
      </c>
      <c r="E4882" s="5" t="str">
        <f t="shared" si="249"/>
        <v>INSTRUMENTACION-DIANA CAICEDO-DIANA DIAZ</v>
      </c>
      <c r="F4882" s="5"/>
      <c r="G4882" s="5"/>
    </row>
    <row r="4883" spans="1:7" ht="58.5" customHeight="1" x14ac:dyDescent="0.25">
      <c r="A4883" s="5" t="str">
        <f>"H0025772"</f>
        <v>H0025772</v>
      </c>
      <c r="B4883" s="5" t="str">
        <f>"CANULA SIMCOE"</f>
        <v>CANULA SIMCOE</v>
      </c>
      <c r="C4883" s="6">
        <v>224910</v>
      </c>
      <c r="D4883" s="5" t="s">
        <v>397</v>
      </c>
      <c r="E4883" s="5" t="str">
        <f t="shared" si="249"/>
        <v>INSTRUMENTACION-DIANA CAICEDO-DIANA DIAZ</v>
      </c>
      <c r="F4883" s="5"/>
      <c r="G4883" s="5"/>
    </row>
    <row r="4884" spans="1:7" ht="58.5" customHeight="1" x14ac:dyDescent="0.25">
      <c r="A4884" s="5" t="str">
        <f>"H0025773"</f>
        <v>H0025773</v>
      </c>
      <c r="B4884" s="5" t="str">
        <f>"CANULA SIMCOE"</f>
        <v>CANULA SIMCOE</v>
      </c>
      <c r="C4884" s="6">
        <v>224910</v>
      </c>
      <c r="D4884" s="5" t="s">
        <v>397</v>
      </c>
      <c r="E4884" s="5" t="str">
        <f t="shared" si="249"/>
        <v>INSTRUMENTACION-DIANA CAICEDO-DIANA DIAZ</v>
      </c>
      <c r="F4884" s="5"/>
      <c r="G4884" s="5"/>
    </row>
    <row r="4885" spans="1:7" ht="58.5" customHeight="1" x14ac:dyDescent="0.25">
      <c r="A4885" s="5" t="str">
        <f>"H0025805"</f>
        <v>H0025805</v>
      </c>
      <c r="B4885" s="5" t="str">
        <f>"CUBETA DE ACERO INOXIDABLE CON TAPA MEDIANA"</f>
        <v>CUBETA DE ACERO INOXIDABLE CON TAPA MEDIANA</v>
      </c>
      <c r="C4885" s="6">
        <v>761153.8</v>
      </c>
      <c r="D4885" s="5" t="s">
        <v>266</v>
      </c>
      <c r="E4885" s="5" t="str">
        <f t="shared" si="249"/>
        <v>INSTRUMENTACION-DIANA CAICEDO-DIANA DIAZ</v>
      </c>
      <c r="F4885" s="5"/>
      <c r="G4885" s="5"/>
    </row>
    <row r="4886" spans="1:7" ht="58.5" customHeight="1" x14ac:dyDescent="0.25">
      <c r="A4886" s="5" t="str">
        <f>"H0025806"</f>
        <v>H0025806</v>
      </c>
      <c r="B4886" s="5" t="str">
        <f>"CUBETA DE ACERO INOXIDABLE CON TAPA MEDIANA"</f>
        <v>CUBETA DE ACERO INOXIDABLE CON TAPA MEDIANA</v>
      </c>
      <c r="C4886" s="6">
        <v>761153.8</v>
      </c>
      <c r="D4886" s="5" t="s">
        <v>266</v>
      </c>
      <c r="E4886" s="5" t="str">
        <f t="shared" si="249"/>
        <v>INSTRUMENTACION-DIANA CAICEDO-DIANA DIAZ</v>
      </c>
      <c r="F4886" s="5"/>
      <c r="G4886" s="5"/>
    </row>
    <row r="4887" spans="1:7" ht="58.5" customHeight="1" x14ac:dyDescent="0.25">
      <c r="A4887" s="5" t="str">
        <f>"H0025807"</f>
        <v>H0025807</v>
      </c>
      <c r="B4887" s="5" t="str">
        <f>"CUBETA DE ACERO INOXIDABLE CON TAPA MEDIANA"</f>
        <v>CUBETA DE ACERO INOXIDABLE CON TAPA MEDIANA</v>
      </c>
      <c r="C4887" s="6">
        <v>761153.8</v>
      </c>
      <c r="D4887" s="5" t="s">
        <v>266</v>
      </c>
      <c r="E4887" s="5" t="str">
        <f t="shared" si="249"/>
        <v>INSTRUMENTACION-DIANA CAICEDO-DIANA DIAZ</v>
      </c>
      <c r="F4887" s="5"/>
      <c r="G4887" s="5"/>
    </row>
    <row r="4888" spans="1:7" ht="58.5" customHeight="1" x14ac:dyDescent="0.25">
      <c r="A4888" s="5" t="str">
        <f>"H0025808"</f>
        <v>H0025808</v>
      </c>
      <c r="B4888" s="5" t="str">
        <f>"CUBETA DE ACERO INOXIDABLE CON TAPA MEDIANA"</f>
        <v>CUBETA DE ACERO INOXIDABLE CON TAPA MEDIANA</v>
      </c>
      <c r="C4888" s="6">
        <v>761153.8</v>
      </c>
      <c r="D4888" s="5" t="s">
        <v>266</v>
      </c>
      <c r="E4888" s="5" t="str">
        <f t="shared" si="249"/>
        <v>INSTRUMENTACION-DIANA CAICEDO-DIANA DIAZ</v>
      </c>
      <c r="F4888" s="5"/>
      <c r="G4888" s="5"/>
    </row>
    <row r="4889" spans="1:7" ht="58.5" customHeight="1" x14ac:dyDescent="0.25">
      <c r="A4889" s="5" t="str">
        <f>"H0025809"</f>
        <v>H0025809</v>
      </c>
      <c r="B4889" s="5" t="str">
        <f>"CUBETA DE ACERO INOXIDABLE CON TAPA MEDIANA"</f>
        <v>CUBETA DE ACERO INOXIDABLE CON TAPA MEDIANA</v>
      </c>
      <c r="C4889" s="6">
        <v>761153.8</v>
      </c>
      <c r="D4889" s="5" t="s">
        <v>266</v>
      </c>
      <c r="E4889" s="5" t="str">
        <f t="shared" si="249"/>
        <v>INSTRUMENTACION-DIANA CAICEDO-DIANA DIAZ</v>
      </c>
      <c r="F4889" s="5"/>
      <c r="G4889" s="5"/>
    </row>
    <row r="4890" spans="1:7" ht="58.5" customHeight="1" x14ac:dyDescent="0.25">
      <c r="A4890" s="5" t="str">
        <f>"H0025810"</f>
        <v>H0025810</v>
      </c>
      <c r="B4890" s="5" t="str">
        <f>"RECIPIENTE PARA LENTES DE LAPAROSCOPIA"</f>
        <v>RECIPIENTE PARA LENTES DE LAPAROSCOPIA</v>
      </c>
      <c r="C4890" s="6">
        <v>583248.75</v>
      </c>
      <c r="D4890" s="5" t="s">
        <v>398</v>
      </c>
      <c r="E4890" s="5" t="str">
        <f t="shared" si="249"/>
        <v>INSTRUMENTACION-DIANA CAICEDO-DIANA DIAZ</v>
      </c>
      <c r="F4890" s="5"/>
      <c r="G4890" s="5"/>
    </row>
    <row r="4891" spans="1:7" ht="58.5" customHeight="1" x14ac:dyDescent="0.25">
      <c r="A4891" s="5" t="str">
        <f>"H0025811"</f>
        <v>H0025811</v>
      </c>
      <c r="B4891" s="5" t="str">
        <f>"RECIPIENTE PARA LENTES DE LAPAROSCOPIA"</f>
        <v>RECIPIENTE PARA LENTES DE LAPAROSCOPIA</v>
      </c>
      <c r="C4891" s="6">
        <v>583248.75</v>
      </c>
      <c r="D4891" s="5" t="s">
        <v>266</v>
      </c>
      <c r="E4891" s="5" t="str">
        <f t="shared" si="249"/>
        <v>INSTRUMENTACION-DIANA CAICEDO-DIANA DIAZ</v>
      </c>
      <c r="F4891" s="5"/>
      <c r="G4891" s="5"/>
    </row>
    <row r="4892" spans="1:7" ht="58.5" customHeight="1" x14ac:dyDescent="0.25">
      <c r="A4892" s="5" t="str">
        <f>"H0025812"</f>
        <v>H0025812</v>
      </c>
      <c r="B4892" s="5" t="str">
        <f>"RECIPIENTE PARA LENTES DE LAPAROSCOPIA"</f>
        <v>RECIPIENTE PARA LENTES DE LAPAROSCOPIA</v>
      </c>
      <c r="C4892" s="6">
        <v>583248.75</v>
      </c>
      <c r="D4892" s="5" t="s">
        <v>266</v>
      </c>
      <c r="E4892" s="5" t="str">
        <f t="shared" si="249"/>
        <v>INSTRUMENTACION-DIANA CAICEDO-DIANA DIAZ</v>
      </c>
      <c r="F4892" s="5"/>
      <c r="G4892" s="5"/>
    </row>
    <row r="4893" spans="1:7" ht="58.5" customHeight="1" x14ac:dyDescent="0.25">
      <c r="A4893" s="5" t="str">
        <f>"H0025813"</f>
        <v>H0025813</v>
      </c>
      <c r="B4893" s="5" t="str">
        <f>"RECIPIENTE PARA LENTES DE LAPAROSCOPIA"</f>
        <v>RECIPIENTE PARA LENTES DE LAPAROSCOPIA</v>
      </c>
      <c r="C4893" s="6">
        <v>583248.75</v>
      </c>
      <c r="D4893" s="5" t="s">
        <v>266</v>
      </c>
      <c r="E4893" s="5" t="str">
        <f t="shared" si="249"/>
        <v>INSTRUMENTACION-DIANA CAICEDO-DIANA DIAZ</v>
      </c>
      <c r="F4893" s="5"/>
      <c r="G4893" s="5"/>
    </row>
    <row r="4894" spans="1:7" ht="58.5" customHeight="1" x14ac:dyDescent="0.25">
      <c r="A4894" s="5" t="str">
        <f>"H0025814"</f>
        <v>H0025814</v>
      </c>
      <c r="B4894" s="5" t="str">
        <f>"BLEFAROSTATO GRANDE"</f>
        <v>BLEFAROSTATO GRANDE</v>
      </c>
      <c r="C4894" s="6">
        <v>49980</v>
      </c>
      <c r="D4894" s="5" t="s">
        <v>399</v>
      </c>
      <c r="E4894" s="5" t="str">
        <f t="shared" si="249"/>
        <v>INSTRUMENTACION-DIANA CAICEDO-DIANA DIAZ</v>
      </c>
      <c r="F4894" s="5"/>
      <c r="G4894" s="5"/>
    </row>
    <row r="4895" spans="1:7" ht="58.5" customHeight="1" x14ac:dyDescent="0.25">
      <c r="A4895" s="5" t="str">
        <f>"H0025815"</f>
        <v>H0025815</v>
      </c>
      <c r="B4895" s="5" t="str">
        <f>"BLEFAROSTATO GRANDE"</f>
        <v>BLEFAROSTATO GRANDE</v>
      </c>
      <c r="C4895" s="6">
        <v>49980</v>
      </c>
      <c r="D4895" s="5" t="s">
        <v>399</v>
      </c>
      <c r="E4895" s="5" t="str">
        <f t="shared" ref="E4895:E4958" si="250">"INSTRUMENTACION-DIANA CAICEDO-DIANA DIAZ"</f>
        <v>INSTRUMENTACION-DIANA CAICEDO-DIANA DIAZ</v>
      </c>
      <c r="F4895" s="5"/>
      <c r="G4895" s="5"/>
    </row>
    <row r="4896" spans="1:7" ht="58.5" customHeight="1" x14ac:dyDescent="0.25">
      <c r="A4896" s="5" t="str">
        <f>"H0025818"</f>
        <v>H0025818</v>
      </c>
      <c r="B4896" s="5" t="str">
        <f>"TUBO IRRIGACION/ASPIRACION"</f>
        <v>TUBO IRRIGACION/ASPIRACION</v>
      </c>
      <c r="C4896" s="6">
        <v>767550</v>
      </c>
      <c r="D4896" s="5" t="s">
        <v>399</v>
      </c>
      <c r="E4896" s="5" t="str">
        <f t="shared" si="250"/>
        <v>INSTRUMENTACION-DIANA CAICEDO-DIANA DIAZ</v>
      </c>
      <c r="F4896" s="5"/>
      <c r="G4896" s="5"/>
    </row>
    <row r="4897" spans="1:7" ht="58.5" customHeight="1" x14ac:dyDescent="0.25">
      <c r="A4897" s="5" t="str">
        <f>"H0025819"</f>
        <v>H0025819</v>
      </c>
      <c r="B4897" s="5" t="str">
        <f>"TUBO IRRIGACION/ASPIRACION"</f>
        <v>TUBO IRRIGACION/ASPIRACION</v>
      </c>
      <c r="C4897" s="6">
        <v>767550</v>
      </c>
      <c r="D4897" s="5" t="s">
        <v>399</v>
      </c>
      <c r="E4897" s="5" t="str">
        <f t="shared" si="250"/>
        <v>INSTRUMENTACION-DIANA CAICEDO-DIANA DIAZ</v>
      </c>
      <c r="F4897" s="5"/>
      <c r="G4897" s="5"/>
    </row>
    <row r="4898" spans="1:7" ht="58.5" customHeight="1" x14ac:dyDescent="0.25">
      <c r="A4898" s="5" t="str">
        <f>"H0025822"</f>
        <v>H0025822</v>
      </c>
      <c r="B4898" s="5" t="str">
        <f>"CUCHARA BUNGE PARA EVISERACIÓN GRANDE"</f>
        <v>CUCHARA BUNGE PARA EVISERACIÓN GRANDE</v>
      </c>
      <c r="C4898" s="6">
        <v>153510</v>
      </c>
      <c r="D4898" s="5" t="s">
        <v>399</v>
      </c>
      <c r="E4898" s="5" t="str">
        <f t="shared" si="250"/>
        <v>INSTRUMENTACION-DIANA CAICEDO-DIANA DIAZ</v>
      </c>
      <c r="F4898" s="5"/>
      <c r="G4898" s="5"/>
    </row>
    <row r="4899" spans="1:7" ht="58.5" customHeight="1" x14ac:dyDescent="0.25">
      <c r="A4899" s="5" t="str">
        <f>"H0025823"</f>
        <v>H0025823</v>
      </c>
      <c r="B4899" s="5" t="str">
        <f>"CUCHARA BUNGE PARA EVISERACIÓN PEQUEÑA"</f>
        <v>CUCHARA BUNGE PARA EVISERACIÓN PEQUEÑA</v>
      </c>
      <c r="C4899" s="6">
        <v>153510</v>
      </c>
      <c r="D4899" s="5" t="s">
        <v>399</v>
      </c>
      <c r="E4899" s="5" t="str">
        <f t="shared" si="250"/>
        <v>INSTRUMENTACION-DIANA CAICEDO-DIANA DIAZ</v>
      </c>
      <c r="F4899" s="5"/>
      <c r="G4899" s="5"/>
    </row>
    <row r="4900" spans="1:7" ht="58.5" customHeight="1" x14ac:dyDescent="0.25">
      <c r="A4900" s="5" t="str">
        <f>"H0025824"</f>
        <v>H0025824</v>
      </c>
      <c r="B4900" s="5" t="str">
        <f>"DILATADOR LAGRIMAL"</f>
        <v>DILATADOR LAGRIMAL</v>
      </c>
      <c r="C4900" s="6">
        <v>42840</v>
      </c>
      <c r="D4900" s="5" t="s">
        <v>399</v>
      </c>
      <c r="E4900" s="5" t="str">
        <f t="shared" si="250"/>
        <v>INSTRUMENTACION-DIANA CAICEDO-DIANA DIAZ</v>
      </c>
      <c r="F4900" s="5"/>
      <c r="G4900" s="5"/>
    </row>
    <row r="4901" spans="1:7" ht="58.5" customHeight="1" x14ac:dyDescent="0.25">
      <c r="A4901" s="5" t="str">
        <f>"H0025825"</f>
        <v>H0025825</v>
      </c>
      <c r="B4901" s="5" t="str">
        <f>"DILATADOR LAGRIMAL"</f>
        <v>DILATADOR LAGRIMAL</v>
      </c>
      <c r="C4901" s="6">
        <v>42840</v>
      </c>
      <c r="D4901" s="5" t="s">
        <v>399</v>
      </c>
      <c r="E4901" s="5" t="str">
        <f t="shared" si="250"/>
        <v>INSTRUMENTACION-DIANA CAICEDO-DIANA DIAZ</v>
      </c>
      <c r="F4901" s="5"/>
      <c r="G4901" s="5"/>
    </row>
    <row r="4902" spans="1:7" ht="58.5" customHeight="1" x14ac:dyDescent="0.25">
      <c r="A4902" s="5" t="str">
        <f>"H0025826"</f>
        <v>H0025826</v>
      </c>
      <c r="B4902" s="5" t="str">
        <f>"ESPATULA (INSTRUMENTAL)"</f>
        <v>ESPATULA (INSTRUMENTAL)</v>
      </c>
      <c r="C4902" s="6">
        <v>107100</v>
      </c>
      <c r="D4902" s="5" t="s">
        <v>399</v>
      </c>
      <c r="E4902" s="5" t="str">
        <f t="shared" si="250"/>
        <v>INSTRUMENTACION-DIANA CAICEDO-DIANA DIAZ</v>
      </c>
      <c r="F4902" s="5"/>
      <c r="G4902" s="5"/>
    </row>
    <row r="4903" spans="1:7" ht="58.5" customHeight="1" x14ac:dyDescent="0.25">
      <c r="A4903" s="5" t="str">
        <f>"H0025828"</f>
        <v>H0025828</v>
      </c>
      <c r="B4903" s="5" t="str">
        <f>"GANCHO DE ESTRAVISMO GRANDE"</f>
        <v>GANCHO DE ESTRAVISMO GRANDE</v>
      </c>
      <c r="C4903" s="6">
        <v>74970</v>
      </c>
      <c r="D4903" s="5" t="s">
        <v>399</v>
      </c>
      <c r="E4903" s="5" t="str">
        <f t="shared" si="250"/>
        <v>INSTRUMENTACION-DIANA CAICEDO-DIANA DIAZ</v>
      </c>
      <c r="F4903" s="5"/>
      <c r="G4903" s="5"/>
    </row>
    <row r="4904" spans="1:7" ht="58.5" customHeight="1" x14ac:dyDescent="0.25">
      <c r="A4904" s="5" t="str">
        <f>"H0025829"</f>
        <v>H0025829</v>
      </c>
      <c r="B4904" s="5" t="str">
        <f>"GANCHO DE ESTRAVISMO MEDIANO"</f>
        <v>GANCHO DE ESTRAVISMO MEDIANO</v>
      </c>
      <c r="C4904" s="6">
        <v>74970</v>
      </c>
      <c r="D4904" s="5" t="s">
        <v>399</v>
      </c>
      <c r="E4904" s="5" t="str">
        <f t="shared" si="250"/>
        <v>INSTRUMENTACION-DIANA CAICEDO-DIANA DIAZ</v>
      </c>
      <c r="F4904" s="5"/>
      <c r="G4904" s="5"/>
    </row>
    <row r="4905" spans="1:7" ht="58.5" customHeight="1" x14ac:dyDescent="0.25">
      <c r="A4905" s="5" t="str">
        <f>"H0025831"</f>
        <v>H0025831</v>
      </c>
      <c r="B4905" s="5" t="str">
        <f>"PINZA DE AKAOSHI"</f>
        <v>PINZA DE AKAOSHI</v>
      </c>
      <c r="C4905" s="6">
        <v>813960</v>
      </c>
      <c r="D4905" s="5" t="s">
        <v>399</v>
      </c>
      <c r="E4905" s="5" t="str">
        <f t="shared" si="250"/>
        <v>INSTRUMENTACION-DIANA CAICEDO-DIANA DIAZ</v>
      </c>
      <c r="F4905" s="5"/>
      <c r="G4905" s="5"/>
    </row>
    <row r="4906" spans="1:7" ht="58.5" customHeight="1" x14ac:dyDescent="0.25">
      <c r="A4906" s="5" t="str">
        <f>"H0025832"</f>
        <v>H0025832</v>
      </c>
      <c r="B4906" s="5" t="str">
        <f>"PINZA DE AKAOSHI"</f>
        <v>PINZA DE AKAOSHI</v>
      </c>
      <c r="C4906" s="6">
        <v>813960</v>
      </c>
      <c r="D4906" s="5" t="s">
        <v>399</v>
      </c>
      <c r="E4906" s="5" t="str">
        <f t="shared" si="250"/>
        <v>INSTRUMENTACION-DIANA CAICEDO-DIANA DIAZ</v>
      </c>
      <c r="F4906" s="5"/>
      <c r="G4906" s="5"/>
    </row>
    <row r="4907" spans="1:7" ht="58.5" customHeight="1" x14ac:dyDescent="0.25">
      <c r="A4907" s="5" t="str">
        <f>"H0025834"</f>
        <v>H0025834</v>
      </c>
      <c r="B4907" s="5" t="str">
        <f>"PORTA AGUJAS PARA SUTURA 10-0"</f>
        <v>PORTA AGUJAS PARA SUTURA 10-0</v>
      </c>
      <c r="C4907" s="6">
        <v>774690</v>
      </c>
      <c r="D4907" s="5" t="s">
        <v>399</v>
      </c>
      <c r="E4907" s="5" t="str">
        <f t="shared" si="250"/>
        <v>INSTRUMENTACION-DIANA CAICEDO-DIANA DIAZ</v>
      </c>
      <c r="F4907" s="5"/>
      <c r="G4907" s="5"/>
    </row>
    <row r="4908" spans="1:7" ht="58.5" customHeight="1" x14ac:dyDescent="0.25">
      <c r="A4908" s="5" t="str">
        <f>"H0025835"</f>
        <v>H0025835</v>
      </c>
      <c r="B4908" s="5" t="str">
        <f>"REGLA (INSTRUMENTAL)"</f>
        <v>REGLA (INSTRUMENTAL)</v>
      </c>
      <c r="C4908" s="6">
        <v>21420</v>
      </c>
      <c r="D4908" s="5" t="s">
        <v>399</v>
      </c>
      <c r="E4908" s="5" t="str">
        <f t="shared" si="250"/>
        <v>INSTRUMENTACION-DIANA CAICEDO-DIANA DIAZ</v>
      </c>
      <c r="F4908" s="5"/>
      <c r="G4908" s="5"/>
    </row>
    <row r="4909" spans="1:7" ht="58.5" customHeight="1" x14ac:dyDescent="0.25">
      <c r="A4909" s="5" t="str">
        <f>"H0025836"</f>
        <v>H0025836</v>
      </c>
      <c r="B4909" s="5" t="str">
        <f>"SET DE SONDAS DE BOWMAN 00/0, 1/2, 3/4"</f>
        <v>SET DE SONDAS DE BOWMAN 00/0, 1/2, 3/4</v>
      </c>
      <c r="C4909" s="6">
        <v>60690</v>
      </c>
      <c r="D4909" s="5" t="s">
        <v>399</v>
      </c>
      <c r="E4909" s="5" t="str">
        <f t="shared" si="250"/>
        <v>INSTRUMENTACION-DIANA CAICEDO-DIANA DIAZ</v>
      </c>
      <c r="F4909" s="5"/>
      <c r="G4909" s="5"/>
    </row>
    <row r="4910" spans="1:7" ht="58.5" customHeight="1" x14ac:dyDescent="0.25">
      <c r="A4910" s="5" t="str">
        <f>"H0025837"</f>
        <v>H0025837</v>
      </c>
      <c r="B4910" s="5" t="str">
        <f>"SET DE SONDAS DE BOWMAN 00/0, 1/2, 3/4"</f>
        <v>SET DE SONDAS DE BOWMAN 00/0, 1/2, 3/4</v>
      </c>
      <c r="C4910" s="6">
        <v>60690</v>
      </c>
      <c r="D4910" s="5" t="s">
        <v>399</v>
      </c>
      <c r="E4910" s="5" t="str">
        <f t="shared" si="250"/>
        <v>INSTRUMENTACION-DIANA CAICEDO-DIANA DIAZ</v>
      </c>
      <c r="F4910" s="5"/>
      <c r="G4910" s="5"/>
    </row>
    <row r="4911" spans="1:7" ht="58.5" customHeight="1" x14ac:dyDescent="0.25">
      <c r="A4911" s="5" t="str">
        <f>"H0025838"</f>
        <v>H0025838</v>
      </c>
      <c r="B4911" s="5" t="str">
        <f>"SET DE SONDAS DE BOWMAN 00/0, 1/2, 3/4"</f>
        <v>SET DE SONDAS DE BOWMAN 00/0, 1/2, 3/4</v>
      </c>
      <c r="C4911" s="6">
        <v>60690</v>
      </c>
      <c r="D4911" s="5" t="s">
        <v>399</v>
      </c>
      <c r="E4911" s="5" t="str">
        <f t="shared" si="250"/>
        <v>INSTRUMENTACION-DIANA CAICEDO-DIANA DIAZ</v>
      </c>
      <c r="F4911" s="5"/>
      <c r="G4911" s="5"/>
    </row>
    <row r="4912" spans="1:7" ht="58.5" customHeight="1" x14ac:dyDescent="0.25">
      <c r="A4912" s="5" t="str">
        <f>"H0025839"</f>
        <v>H0025839</v>
      </c>
      <c r="B4912" s="5" t="str">
        <f>"SET DE SONDAS DE BOWMAN 00/0, 1/2, 3/4"</f>
        <v>SET DE SONDAS DE BOWMAN 00/0, 1/2, 3/4</v>
      </c>
      <c r="C4912" s="6">
        <v>60690</v>
      </c>
      <c r="D4912" s="5" t="s">
        <v>399</v>
      </c>
      <c r="E4912" s="5" t="str">
        <f t="shared" si="250"/>
        <v>INSTRUMENTACION-DIANA CAICEDO-DIANA DIAZ</v>
      </c>
      <c r="F4912" s="5"/>
      <c r="G4912" s="5"/>
    </row>
    <row r="4913" spans="1:7" ht="58.5" customHeight="1" x14ac:dyDescent="0.25">
      <c r="A4913" s="5" t="str">
        <f>"H0025840"</f>
        <v>H0025840</v>
      </c>
      <c r="B4913" s="5" t="str">
        <f>"TIJERA CASTROVIEJO PARA CORNEA"</f>
        <v>TIJERA CASTROVIEJO PARA CORNEA</v>
      </c>
      <c r="C4913" s="6">
        <v>478380</v>
      </c>
      <c r="D4913" s="5" t="s">
        <v>399</v>
      </c>
      <c r="E4913" s="5" t="str">
        <f t="shared" si="250"/>
        <v>INSTRUMENTACION-DIANA CAICEDO-DIANA DIAZ</v>
      </c>
      <c r="F4913" s="5"/>
      <c r="G4913" s="5"/>
    </row>
    <row r="4914" spans="1:7" ht="58.5" customHeight="1" x14ac:dyDescent="0.25">
      <c r="A4914" s="5" t="str">
        <f>"H0025841"</f>
        <v>H0025841</v>
      </c>
      <c r="B4914" s="5" t="str">
        <f>"TIJERA CASTROVIEJO PARA CORNEA"</f>
        <v>TIJERA CASTROVIEJO PARA CORNEA</v>
      </c>
      <c r="C4914" s="6">
        <v>478380</v>
      </c>
      <c r="D4914" s="5" t="s">
        <v>399</v>
      </c>
      <c r="E4914" s="5" t="str">
        <f t="shared" si="250"/>
        <v>INSTRUMENTACION-DIANA CAICEDO-DIANA DIAZ</v>
      </c>
      <c r="F4914" s="5"/>
      <c r="G4914" s="5"/>
    </row>
    <row r="4915" spans="1:7" ht="58.5" customHeight="1" x14ac:dyDescent="0.25">
      <c r="A4915" s="5" t="str">
        <f>"H0025842"</f>
        <v>H0025842</v>
      </c>
      <c r="B4915" s="5" t="str">
        <f>"URTRATA"</f>
        <v>URTRATA</v>
      </c>
      <c r="C4915" s="6">
        <v>778260</v>
      </c>
      <c r="D4915" s="5" t="s">
        <v>399</v>
      </c>
      <c r="E4915" s="5" t="str">
        <f t="shared" si="250"/>
        <v>INSTRUMENTACION-DIANA CAICEDO-DIANA DIAZ</v>
      </c>
      <c r="F4915" s="5"/>
      <c r="G4915" s="5"/>
    </row>
    <row r="4916" spans="1:7" ht="58.5" customHeight="1" x14ac:dyDescent="0.25">
      <c r="A4916" s="5" t="str">
        <f>"H0025843"</f>
        <v>H0025843</v>
      </c>
      <c r="B4916" s="5" t="str">
        <f>"URTRATA"</f>
        <v>URTRATA</v>
      </c>
      <c r="C4916" s="6">
        <v>778260</v>
      </c>
      <c r="D4916" s="5" t="s">
        <v>399</v>
      </c>
      <c r="E4916" s="5" t="str">
        <f t="shared" si="250"/>
        <v>INSTRUMENTACION-DIANA CAICEDO-DIANA DIAZ</v>
      </c>
      <c r="F4916" s="5"/>
      <c r="G4916" s="5"/>
    </row>
    <row r="4917" spans="1:7" ht="58.5" customHeight="1" x14ac:dyDescent="0.25">
      <c r="A4917" s="5" t="str">
        <f>"H0025845"</f>
        <v>H0025845</v>
      </c>
      <c r="B4917" s="5" t="str">
        <f>"COMPAS CASTROVIEJO RECTO"</f>
        <v>COMPAS CASTROVIEJO RECTO</v>
      </c>
      <c r="C4917" s="6">
        <v>132923</v>
      </c>
      <c r="D4917" s="5" t="s">
        <v>400</v>
      </c>
      <c r="E4917" s="5" t="str">
        <f t="shared" si="250"/>
        <v>INSTRUMENTACION-DIANA CAICEDO-DIANA DIAZ</v>
      </c>
      <c r="F4917" s="5"/>
      <c r="G4917" s="5"/>
    </row>
    <row r="4918" spans="1:7" ht="58.5" customHeight="1" x14ac:dyDescent="0.25">
      <c r="A4918" s="5" t="str">
        <f>"H0025846"</f>
        <v>H0025846</v>
      </c>
      <c r="B4918" s="5" t="str">
        <f>"GANCHO DE DOBLE FIJACIÓN"</f>
        <v>GANCHO DE DOBLE FIJACIÓN</v>
      </c>
      <c r="C4918" s="6">
        <v>163327.5</v>
      </c>
      <c r="D4918" s="5" t="s">
        <v>400</v>
      </c>
      <c r="E4918" s="5" t="str">
        <f t="shared" si="250"/>
        <v>INSTRUMENTACION-DIANA CAICEDO-DIANA DIAZ</v>
      </c>
      <c r="F4918" s="5"/>
      <c r="G4918" s="5"/>
    </row>
    <row r="4919" spans="1:7" ht="58.5" customHeight="1" x14ac:dyDescent="0.25">
      <c r="A4919" s="5" t="str">
        <f>"H0025847"</f>
        <v>H0025847</v>
      </c>
      <c r="B4919" s="5" t="str">
        <f>"GANCHO DE DOBLE FIJACIÓN"</f>
        <v>GANCHO DE DOBLE FIJACIÓN</v>
      </c>
      <c r="C4919" s="6">
        <v>163327.5</v>
      </c>
      <c r="D4919" s="5" t="s">
        <v>400</v>
      </c>
      <c r="E4919" s="5" t="str">
        <f t="shared" si="250"/>
        <v>INSTRUMENTACION-DIANA CAICEDO-DIANA DIAZ</v>
      </c>
      <c r="F4919" s="5"/>
      <c r="G4919" s="5"/>
    </row>
    <row r="4920" spans="1:7" ht="58.5" customHeight="1" x14ac:dyDescent="0.25">
      <c r="A4920" s="5" t="str">
        <f>"H0025848"</f>
        <v>H0025848</v>
      </c>
      <c r="B4920" s="5" t="str">
        <f>"GANCHO SINSKEY"</f>
        <v>GANCHO SINSKEY</v>
      </c>
      <c r="C4920" s="6">
        <v>179839</v>
      </c>
      <c r="D4920" s="5" t="s">
        <v>400</v>
      </c>
      <c r="E4920" s="5" t="str">
        <f t="shared" si="250"/>
        <v>INSTRUMENTACION-DIANA CAICEDO-DIANA DIAZ</v>
      </c>
      <c r="F4920" s="5"/>
      <c r="G4920" s="5"/>
    </row>
    <row r="4921" spans="1:7" ht="58.5" customHeight="1" x14ac:dyDescent="0.25">
      <c r="A4921" s="5" t="str">
        <f>"H0025849"</f>
        <v>H0025849</v>
      </c>
      <c r="B4921" s="5" t="str">
        <f>"GANCHO SINSKEY"</f>
        <v>GANCHO SINSKEY</v>
      </c>
      <c r="C4921" s="6">
        <v>179839</v>
      </c>
      <c r="D4921" s="5" t="s">
        <v>400</v>
      </c>
      <c r="E4921" s="5" t="str">
        <f t="shared" si="250"/>
        <v>INSTRUMENTACION-DIANA CAICEDO-DIANA DIAZ</v>
      </c>
      <c r="F4921" s="5"/>
      <c r="G4921" s="5"/>
    </row>
    <row r="4922" spans="1:7" ht="58.5" customHeight="1" x14ac:dyDescent="0.25">
      <c r="A4922" s="5" t="str">
        <f>"H0025850"</f>
        <v>H0025850</v>
      </c>
      <c r="B4922" s="5" t="str">
        <f>"PINZA CATROVIEJO CON GARRA 0,5"</f>
        <v>PINZA CATROVIEJO CON GARRA 0,5</v>
      </c>
      <c r="C4922" s="6">
        <v>340786</v>
      </c>
      <c r="D4922" s="5" t="s">
        <v>400</v>
      </c>
      <c r="E4922" s="5" t="str">
        <f t="shared" si="250"/>
        <v>INSTRUMENTACION-DIANA CAICEDO-DIANA DIAZ</v>
      </c>
      <c r="F4922" s="5"/>
      <c r="G4922" s="5"/>
    </row>
    <row r="4923" spans="1:7" ht="58.5" customHeight="1" x14ac:dyDescent="0.25">
      <c r="A4923" s="5" t="str">
        <f>"H0025855"</f>
        <v>H0025855</v>
      </c>
      <c r="B4923" s="5" t="str">
        <f>"PINZA DE DISECCION COLIBRI (GILL)"</f>
        <v>PINZA DE DISECCION COLIBRI (GILL)</v>
      </c>
      <c r="C4923" s="6">
        <v>308448</v>
      </c>
      <c r="D4923" s="5" t="s">
        <v>400</v>
      </c>
      <c r="E4923" s="5" t="str">
        <f t="shared" si="250"/>
        <v>INSTRUMENTACION-DIANA CAICEDO-DIANA DIAZ</v>
      </c>
      <c r="F4923" s="5"/>
      <c r="G4923" s="5"/>
    </row>
    <row r="4924" spans="1:7" ht="58.5" customHeight="1" x14ac:dyDescent="0.25">
      <c r="A4924" s="5" t="str">
        <f>"H0025856"</f>
        <v>H0025856</v>
      </c>
      <c r="B4924" s="5" t="str">
        <f>"PINZA DE DISECCION COLIBRI (GILL)"</f>
        <v>PINZA DE DISECCION COLIBRI (GILL)</v>
      </c>
      <c r="C4924" s="6">
        <v>308448</v>
      </c>
      <c r="D4924" s="5" t="s">
        <v>400</v>
      </c>
      <c r="E4924" s="5" t="str">
        <f t="shared" si="250"/>
        <v>INSTRUMENTACION-DIANA CAICEDO-DIANA DIAZ</v>
      </c>
      <c r="F4924" s="5"/>
      <c r="G4924" s="5"/>
    </row>
    <row r="4925" spans="1:7" ht="58.5" customHeight="1" x14ac:dyDescent="0.25">
      <c r="A4925" s="5" t="str">
        <f>"H0025857"</f>
        <v>H0025857</v>
      </c>
      <c r="B4925" s="5" t="str">
        <f>"PINZA DE RELOJERO"</f>
        <v>PINZA DE RELOJERO</v>
      </c>
      <c r="C4925" s="6">
        <v>34748</v>
      </c>
      <c r="D4925" s="5" t="s">
        <v>400</v>
      </c>
      <c r="E4925" s="5" t="str">
        <f t="shared" si="250"/>
        <v>INSTRUMENTACION-DIANA CAICEDO-DIANA DIAZ</v>
      </c>
      <c r="F4925" s="5"/>
      <c r="G4925" s="5"/>
    </row>
    <row r="4926" spans="1:7" ht="58.5" customHeight="1" x14ac:dyDescent="0.25">
      <c r="A4926" s="5" t="str">
        <f>"H0025858"</f>
        <v>H0025858</v>
      </c>
      <c r="B4926" s="5" t="str">
        <f>"PINZA DE RELOJERO"</f>
        <v>PINZA DE RELOJERO</v>
      </c>
      <c r="C4926" s="6">
        <v>34748</v>
      </c>
      <c r="D4926" s="5" t="s">
        <v>400</v>
      </c>
      <c r="E4926" s="5" t="str">
        <f t="shared" si="250"/>
        <v>INSTRUMENTACION-DIANA CAICEDO-DIANA DIAZ</v>
      </c>
      <c r="F4926" s="5"/>
      <c r="G4926" s="5"/>
    </row>
    <row r="4927" spans="1:7" ht="58.5" customHeight="1" x14ac:dyDescent="0.25">
      <c r="A4927" s="5" t="str">
        <f>"H0025859"</f>
        <v>H0025859</v>
      </c>
      <c r="B4927" s="5" t="str">
        <f>"PINZA DE RELOJERO"</f>
        <v>PINZA DE RELOJERO</v>
      </c>
      <c r="C4927" s="6">
        <v>34748</v>
      </c>
      <c r="D4927" s="5" t="s">
        <v>400</v>
      </c>
      <c r="E4927" s="5" t="str">
        <f t="shared" si="250"/>
        <v>INSTRUMENTACION-DIANA CAICEDO-DIANA DIAZ</v>
      </c>
      <c r="F4927" s="5"/>
      <c r="G4927" s="5"/>
    </row>
    <row r="4928" spans="1:7" ht="58.5" customHeight="1" x14ac:dyDescent="0.25">
      <c r="A4928" s="5" t="str">
        <f>"H0025860"</f>
        <v>H0025860</v>
      </c>
      <c r="B4928" s="5" t="str">
        <f>"TIJERAS DE VANNAS CURVAS"</f>
        <v>TIJERAS DE VANNAS CURVAS</v>
      </c>
      <c r="C4928" s="6">
        <v>454937</v>
      </c>
      <c r="D4928" s="5" t="s">
        <v>400</v>
      </c>
      <c r="E4928" s="5" t="str">
        <f t="shared" si="250"/>
        <v>INSTRUMENTACION-DIANA CAICEDO-DIANA DIAZ</v>
      </c>
      <c r="F4928" s="5"/>
      <c r="G4928" s="5"/>
    </row>
    <row r="4929" spans="1:7" ht="58.5" customHeight="1" x14ac:dyDescent="0.25">
      <c r="A4929" s="5" t="str">
        <f>"H0025861"</f>
        <v>H0025861</v>
      </c>
      <c r="B4929" s="5" t="str">
        <f>"TIJERAS DE VANNAS CURVAS"</f>
        <v>TIJERAS DE VANNAS CURVAS</v>
      </c>
      <c r="C4929" s="6">
        <v>454937</v>
      </c>
      <c r="D4929" s="5" t="s">
        <v>400</v>
      </c>
      <c r="E4929" s="5" t="str">
        <f t="shared" si="250"/>
        <v>INSTRUMENTACION-DIANA CAICEDO-DIANA DIAZ</v>
      </c>
      <c r="F4929" s="5"/>
      <c r="G4929" s="5"/>
    </row>
    <row r="4930" spans="1:7" ht="58.5" customHeight="1" x14ac:dyDescent="0.25">
      <c r="A4930" s="5" t="str">
        <f>"H0025862"</f>
        <v>H0025862</v>
      </c>
      <c r="B4930" s="5" t="str">
        <f>"ADSON FORCEPS CON GARRA"</f>
        <v>ADSON FORCEPS CON GARRA</v>
      </c>
      <c r="C4930" s="6">
        <v>22253</v>
      </c>
      <c r="D4930" s="5" t="s">
        <v>400</v>
      </c>
      <c r="E4930" s="5" t="str">
        <f t="shared" si="250"/>
        <v>INSTRUMENTACION-DIANA CAICEDO-DIANA DIAZ</v>
      </c>
      <c r="F4930" s="5"/>
      <c r="G4930" s="5"/>
    </row>
    <row r="4931" spans="1:7" ht="58.5" customHeight="1" x14ac:dyDescent="0.25">
      <c r="A4931" s="5" t="str">
        <f>"H0025863"</f>
        <v>H0025863</v>
      </c>
      <c r="B4931" s="5" t="str">
        <f>"ADSON FORCEPS CON GARRA"</f>
        <v>ADSON FORCEPS CON GARRA</v>
      </c>
      <c r="C4931" s="6">
        <v>22253</v>
      </c>
      <c r="D4931" s="5" t="s">
        <v>400</v>
      </c>
      <c r="E4931" s="5" t="str">
        <f t="shared" si="250"/>
        <v>INSTRUMENTACION-DIANA CAICEDO-DIANA DIAZ</v>
      </c>
      <c r="F4931" s="5"/>
      <c r="G4931" s="5"/>
    </row>
    <row r="4932" spans="1:7" ht="58.5" customHeight="1" x14ac:dyDescent="0.25">
      <c r="A4932" s="5" t="str">
        <f>"H0025869"</f>
        <v>H0025869</v>
      </c>
      <c r="B4932" s="5" t="str">
        <f>"MANGO PARA BISTURI #4"</f>
        <v>MANGO PARA BISTURI #4</v>
      </c>
      <c r="C4932" s="6">
        <v>13804</v>
      </c>
      <c r="D4932" s="5" t="s">
        <v>400</v>
      </c>
      <c r="E4932" s="5" t="str">
        <f t="shared" si="250"/>
        <v>INSTRUMENTACION-DIANA CAICEDO-DIANA DIAZ</v>
      </c>
      <c r="F4932" s="5"/>
      <c r="G4932" s="5"/>
    </row>
    <row r="4933" spans="1:7" ht="58.5" customHeight="1" x14ac:dyDescent="0.25">
      <c r="A4933" s="5" t="str">
        <f>"H0025870"</f>
        <v>H0025870</v>
      </c>
      <c r="B4933" s="5" t="str">
        <f>"MANGO PARA BISTURI #4"</f>
        <v>MANGO PARA BISTURI #4</v>
      </c>
      <c r="C4933" s="6">
        <v>13804</v>
      </c>
      <c r="D4933" s="5" t="s">
        <v>400</v>
      </c>
      <c r="E4933" s="5" t="str">
        <f t="shared" si="250"/>
        <v>INSTRUMENTACION-DIANA CAICEDO-DIANA DIAZ</v>
      </c>
      <c r="F4933" s="5"/>
      <c r="G4933" s="5"/>
    </row>
    <row r="4934" spans="1:7" ht="58.5" customHeight="1" x14ac:dyDescent="0.25">
      <c r="A4934" s="5" t="str">
        <f>"H0025871"</f>
        <v>H0025871</v>
      </c>
      <c r="B4934" s="5" t="str">
        <f>"MANGO PARA BISTURI #4"</f>
        <v>MANGO PARA BISTURI #4</v>
      </c>
      <c r="C4934" s="6">
        <v>13804</v>
      </c>
      <c r="D4934" s="5" t="s">
        <v>400</v>
      </c>
      <c r="E4934" s="5" t="str">
        <f t="shared" si="250"/>
        <v>INSTRUMENTACION-DIANA CAICEDO-DIANA DIAZ</v>
      </c>
      <c r="F4934" s="5"/>
      <c r="G4934" s="5"/>
    </row>
    <row r="4935" spans="1:7" ht="58.5" customHeight="1" x14ac:dyDescent="0.25">
      <c r="A4935" s="5" t="str">
        <f>"H0025873"</f>
        <v>H0025873</v>
      </c>
      <c r="B4935" s="5" t="str">
        <f>"PORTA AGUJAS PARA SUTURA 5-0 Y 6-0"</f>
        <v>PORTA AGUJAS PARA SUTURA 5-0 Y 6-0</v>
      </c>
      <c r="C4935" s="6">
        <v>462672</v>
      </c>
      <c r="D4935" s="5" t="s">
        <v>400</v>
      </c>
      <c r="E4935" s="5" t="str">
        <f t="shared" si="250"/>
        <v>INSTRUMENTACION-DIANA CAICEDO-DIANA DIAZ</v>
      </c>
      <c r="F4935" s="5"/>
      <c r="G4935" s="5"/>
    </row>
    <row r="4936" spans="1:7" ht="58.5" customHeight="1" x14ac:dyDescent="0.25">
      <c r="A4936" s="5" t="str">
        <f>"H0025874"</f>
        <v>H0025874</v>
      </c>
      <c r="B4936" s="5" t="str">
        <f>"RETRACTOR DE PARPADO DESMARRES MEDIANO"</f>
        <v>RETRACTOR DE PARPADO DESMARRES MEDIANO</v>
      </c>
      <c r="C4936" s="6">
        <v>65569</v>
      </c>
      <c r="D4936" s="5" t="s">
        <v>400</v>
      </c>
      <c r="E4936" s="5" t="str">
        <f t="shared" si="250"/>
        <v>INSTRUMENTACION-DIANA CAICEDO-DIANA DIAZ</v>
      </c>
      <c r="F4936" s="5"/>
      <c r="G4936" s="5"/>
    </row>
    <row r="4937" spans="1:7" ht="58.5" customHeight="1" x14ac:dyDescent="0.25">
      <c r="A4937" s="5" t="str">
        <f>"H0025875"</f>
        <v>H0025875</v>
      </c>
      <c r="B4937" s="5" t="str">
        <f>"RETRACTOR DE PARPADO DESMARRES PEQUEÑO"</f>
        <v>RETRACTOR DE PARPADO DESMARRES PEQUEÑO</v>
      </c>
      <c r="C4937" s="6">
        <v>65569</v>
      </c>
      <c r="D4937" s="5" t="s">
        <v>400</v>
      </c>
      <c r="E4937" s="5" t="str">
        <f t="shared" si="250"/>
        <v>INSTRUMENTACION-DIANA CAICEDO-DIANA DIAZ</v>
      </c>
      <c r="F4937" s="5"/>
      <c r="G4937" s="5"/>
    </row>
    <row r="4938" spans="1:7" ht="58.5" customHeight="1" x14ac:dyDescent="0.25">
      <c r="A4938" s="5" t="str">
        <f>"H0025878"</f>
        <v>H0025878</v>
      </c>
      <c r="B4938" s="5" t="str">
        <f>"TIJERA DE CÓRNEA CURVA, HOJA DE  15 MM"</f>
        <v>TIJERA DE CÓRNEA CURVA, HOJA DE  15 MM</v>
      </c>
      <c r="C4938" s="6">
        <v>508130</v>
      </c>
      <c r="D4938" s="5" t="s">
        <v>400</v>
      </c>
      <c r="E4938" s="5" t="str">
        <f t="shared" si="250"/>
        <v>INSTRUMENTACION-DIANA CAICEDO-DIANA DIAZ</v>
      </c>
      <c r="F4938" s="5"/>
      <c r="G4938" s="5"/>
    </row>
    <row r="4939" spans="1:7" ht="58.5" customHeight="1" x14ac:dyDescent="0.25">
      <c r="A4939" s="5" t="str">
        <f>"H0025879"</f>
        <v>H0025879</v>
      </c>
      <c r="B4939" s="5" t="str">
        <f>"TIJERA DE CÓRNEA CURVA, HOJA DE  15 MM"</f>
        <v>TIJERA DE CÓRNEA CURVA, HOJA DE  15 MM</v>
      </c>
      <c r="C4939" s="6">
        <v>508130</v>
      </c>
      <c r="D4939" s="5" t="s">
        <v>400</v>
      </c>
      <c r="E4939" s="5" t="str">
        <f t="shared" si="250"/>
        <v>INSTRUMENTACION-DIANA CAICEDO-DIANA DIAZ</v>
      </c>
      <c r="F4939" s="5"/>
      <c r="G4939" s="5"/>
    </row>
    <row r="4940" spans="1:7" ht="58.5" customHeight="1" x14ac:dyDescent="0.25">
      <c r="A4940" s="5" t="str">
        <f>"H0025880"</f>
        <v>H0025880</v>
      </c>
      <c r="B4940" s="5" t="str">
        <f>"TIJERA DE STEVENS CURVA"</f>
        <v>TIJERA DE STEVENS CURVA</v>
      </c>
      <c r="C4940" s="6">
        <v>56763</v>
      </c>
      <c r="D4940" s="5" t="s">
        <v>400</v>
      </c>
      <c r="E4940" s="5" t="str">
        <f t="shared" si="250"/>
        <v>INSTRUMENTACION-DIANA CAICEDO-DIANA DIAZ</v>
      </c>
      <c r="F4940" s="5"/>
      <c r="G4940" s="5"/>
    </row>
    <row r="4941" spans="1:7" ht="58.5" customHeight="1" x14ac:dyDescent="0.25">
      <c r="A4941" s="5" t="str">
        <f>"H0025881"</f>
        <v>H0025881</v>
      </c>
      <c r="B4941" s="5" t="str">
        <f>"TIJERA DE STEVENS CURVA"</f>
        <v>TIJERA DE STEVENS CURVA</v>
      </c>
      <c r="C4941" s="6">
        <v>56763</v>
      </c>
      <c r="D4941" s="5" t="s">
        <v>400</v>
      </c>
      <c r="E4941" s="5" t="str">
        <f t="shared" si="250"/>
        <v>INSTRUMENTACION-DIANA CAICEDO-DIANA DIAZ</v>
      </c>
      <c r="F4941" s="5"/>
      <c r="G4941" s="5"/>
    </row>
    <row r="4942" spans="1:7" ht="58.5" customHeight="1" x14ac:dyDescent="0.25">
      <c r="A4942" s="5" t="str">
        <f>"H0025883"</f>
        <v>H0025883</v>
      </c>
      <c r="B4942" s="5" t="str">
        <f>"TIJERA DE STEVENS RECTA"</f>
        <v>TIJERA DE STEVENS RECTA</v>
      </c>
      <c r="C4942" s="6">
        <v>56763</v>
      </c>
      <c r="D4942" s="5" t="s">
        <v>400</v>
      </c>
      <c r="E4942" s="5" t="str">
        <f t="shared" si="250"/>
        <v>INSTRUMENTACION-DIANA CAICEDO-DIANA DIAZ</v>
      </c>
      <c r="F4942" s="5"/>
      <c r="G4942" s="5"/>
    </row>
    <row r="4943" spans="1:7" ht="58.5" customHeight="1" x14ac:dyDescent="0.25">
      <c r="A4943" s="5" t="str">
        <f>"H0025884"</f>
        <v>H0025884</v>
      </c>
      <c r="B4943" s="5" t="str">
        <f>"TIJERAS DE VANNAS CURVAS"</f>
        <v>TIJERAS DE VANNAS CURVAS</v>
      </c>
      <c r="C4943" s="6">
        <v>454937</v>
      </c>
      <c r="D4943" s="5" t="s">
        <v>400</v>
      </c>
      <c r="E4943" s="5" t="str">
        <f t="shared" si="250"/>
        <v>INSTRUMENTACION-DIANA CAICEDO-DIANA DIAZ</v>
      </c>
      <c r="F4943" s="5"/>
      <c r="G4943" s="5"/>
    </row>
    <row r="4944" spans="1:7" ht="58.5" customHeight="1" x14ac:dyDescent="0.25">
      <c r="A4944" s="5" t="str">
        <f>"H0025885"</f>
        <v>H0025885</v>
      </c>
      <c r="B4944" s="5" t="str">
        <f>"TIJERAS DE VANNAS CURVAS"</f>
        <v>TIJERAS DE VANNAS CURVAS</v>
      </c>
      <c r="C4944" s="6">
        <v>454937</v>
      </c>
      <c r="D4944" s="5" t="s">
        <v>400</v>
      </c>
      <c r="E4944" s="5" t="str">
        <f t="shared" si="250"/>
        <v>INSTRUMENTACION-DIANA CAICEDO-DIANA DIAZ</v>
      </c>
      <c r="F4944" s="5"/>
      <c r="G4944" s="5"/>
    </row>
    <row r="4945" spans="1:7" ht="58.5" customHeight="1" x14ac:dyDescent="0.25">
      <c r="A4945" s="5" t="str">
        <f>"H0025887"</f>
        <v>H0025887</v>
      </c>
      <c r="B4945" s="5" t="str">
        <f>"TIEJERAS DE WESCOT CURVA, HOJA DE 13 MM"</f>
        <v>TIEJERAS DE WESCOT CURVA, HOJA DE 13 MM</v>
      </c>
      <c r="C4945" s="6">
        <v>441133</v>
      </c>
      <c r="D4945" s="5" t="s">
        <v>400</v>
      </c>
      <c r="E4945" s="5" t="str">
        <f t="shared" si="250"/>
        <v>INSTRUMENTACION-DIANA CAICEDO-DIANA DIAZ</v>
      </c>
      <c r="F4945" s="5"/>
      <c r="G4945" s="5"/>
    </row>
    <row r="4946" spans="1:7" ht="58.5" customHeight="1" x14ac:dyDescent="0.25">
      <c r="A4946" s="5" t="str">
        <f>"H0025888"</f>
        <v>H0025888</v>
      </c>
      <c r="B4946" s="5" t="str">
        <f>"TIEJERAS DE WESCOT CURVA, HOJA DE 13 MM"</f>
        <v>TIEJERAS DE WESCOT CURVA, HOJA DE 13 MM</v>
      </c>
      <c r="C4946" s="6">
        <v>441133</v>
      </c>
      <c r="D4946" s="5" t="s">
        <v>401</v>
      </c>
      <c r="E4946" s="5" t="str">
        <f t="shared" si="250"/>
        <v>INSTRUMENTACION-DIANA CAICEDO-DIANA DIAZ</v>
      </c>
      <c r="F4946" s="5"/>
      <c r="G4946" s="5"/>
    </row>
    <row r="4947" spans="1:7" ht="58.5" customHeight="1" x14ac:dyDescent="0.25">
      <c r="A4947" s="5" t="str">
        <f>"H0025889"</f>
        <v>H0025889</v>
      </c>
      <c r="B4947" s="5" t="str">
        <f>"TIEJERAS DE WESCOT RECTA"</f>
        <v>TIEJERAS DE WESCOT RECTA</v>
      </c>
      <c r="C4947" s="6">
        <v>441133</v>
      </c>
      <c r="D4947" s="5" t="s">
        <v>400</v>
      </c>
      <c r="E4947" s="5" t="str">
        <f t="shared" si="250"/>
        <v>INSTRUMENTACION-DIANA CAICEDO-DIANA DIAZ</v>
      </c>
      <c r="F4947" s="5"/>
      <c r="G4947" s="5"/>
    </row>
    <row r="4948" spans="1:7" ht="58.5" customHeight="1" x14ac:dyDescent="0.25">
      <c r="A4948" s="5" t="str">
        <f>"H0025890"</f>
        <v>H0025890</v>
      </c>
      <c r="B4948" s="5" t="str">
        <f>"TIEJERAS DE WESCOT CURVA, HOJA DE 16 MM"</f>
        <v>TIEJERAS DE WESCOT CURVA, HOJA DE 16 MM</v>
      </c>
      <c r="C4948" s="6">
        <v>441133</v>
      </c>
      <c r="D4948" s="5" t="s">
        <v>400</v>
      </c>
      <c r="E4948" s="5" t="str">
        <f t="shared" si="250"/>
        <v>INSTRUMENTACION-DIANA CAICEDO-DIANA DIAZ</v>
      </c>
      <c r="F4948" s="5"/>
      <c r="G4948" s="5"/>
    </row>
    <row r="4949" spans="1:7" ht="58.5" customHeight="1" x14ac:dyDescent="0.25">
      <c r="A4949" s="5" t="str">
        <f>"H0025891"</f>
        <v>H0025891</v>
      </c>
      <c r="B4949" s="5" t="str">
        <f>"TIEJERAS DE WESCOT CURVA, HOJA DE 16 MM"</f>
        <v>TIEJERAS DE WESCOT CURVA, HOJA DE 16 MM</v>
      </c>
      <c r="C4949" s="6">
        <v>441133</v>
      </c>
      <c r="D4949" s="5" t="s">
        <v>400</v>
      </c>
      <c r="E4949" s="5" t="str">
        <f t="shared" si="250"/>
        <v>INSTRUMENTACION-DIANA CAICEDO-DIANA DIAZ</v>
      </c>
      <c r="F4949" s="5"/>
      <c r="G4949" s="5"/>
    </row>
    <row r="4950" spans="1:7" ht="58.5" customHeight="1" x14ac:dyDescent="0.25">
      <c r="A4950" s="5" t="str">
        <f>"H0025892"</f>
        <v>H0025892</v>
      </c>
      <c r="B4950" s="5" t="str">
        <f>"TIEJERAS DE WESCOT CURVA, HOJA DE 13 MM"</f>
        <v>TIEJERAS DE WESCOT CURVA, HOJA DE 13 MM</v>
      </c>
      <c r="C4950" s="6">
        <v>441133</v>
      </c>
      <c r="D4950" s="5" t="s">
        <v>400</v>
      </c>
      <c r="E4950" s="5" t="str">
        <f t="shared" si="250"/>
        <v>INSTRUMENTACION-DIANA CAICEDO-DIANA DIAZ</v>
      </c>
      <c r="F4950" s="5"/>
      <c r="G4950" s="5"/>
    </row>
    <row r="4951" spans="1:7" ht="58.5" customHeight="1" x14ac:dyDescent="0.25">
      <c r="A4951" s="5" t="str">
        <f>"H0025918"</f>
        <v>H0025918</v>
      </c>
      <c r="B4951" s="5" t="str">
        <f>"PINZA LAPAROSCOPICA DE AGARRE"</f>
        <v>PINZA LAPAROSCOPICA DE AGARRE</v>
      </c>
      <c r="C4951" s="6">
        <v>2322083</v>
      </c>
      <c r="D4951" s="5" t="s">
        <v>402</v>
      </c>
      <c r="E4951" s="5" t="str">
        <f t="shared" si="250"/>
        <v>INSTRUMENTACION-DIANA CAICEDO-DIANA DIAZ</v>
      </c>
      <c r="F4951" s="5"/>
      <c r="G4951" s="5"/>
    </row>
    <row r="4952" spans="1:7" ht="58.5" customHeight="1" x14ac:dyDescent="0.25">
      <c r="A4952" s="5" t="str">
        <f>"H0025919"</f>
        <v>H0025919</v>
      </c>
      <c r="B4952" s="5" t="str">
        <f>"PINZA LAPAROSCOPICA DE GARRA"</f>
        <v>PINZA LAPAROSCOPICA DE GARRA</v>
      </c>
      <c r="C4952" s="6">
        <v>2463276</v>
      </c>
      <c r="D4952" s="5" t="s">
        <v>403</v>
      </c>
      <c r="E4952" s="5" t="str">
        <f t="shared" si="250"/>
        <v>INSTRUMENTACION-DIANA CAICEDO-DIANA DIAZ</v>
      </c>
      <c r="F4952" s="5"/>
      <c r="G4952" s="5"/>
    </row>
    <row r="4953" spans="1:7" ht="58.5" customHeight="1" x14ac:dyDescent="0.25">
      <c r="A4953" s="5" t="str">
        <f>"H0025920"</f>
        <v>H0025920</v>
      </c>
      <c r="B4953" s="5" t="str">
        <f>"PINZA LAPAROSCOPICA DE GARRA"</f>
        <v>PINZA LAPAROSCOPICA DE GARRA</v>
      </c>
      <c r="C4953" s="6">
        <v>2463276</v>
      </c>
      <c r="D4953" s="5" t="s">
        <v>403</v>
      </c>
      <c r="E4953" s="5" t="str">
        <f t="shared" si="250"/>
        <v>INSTRUMENTACION-DIANA CAICEDO-DIANA DIAZ</v>
      </c>
      <c r="F4953" s="5"/>
      <c r="G4953" s="5"/>
    </row>
    <row r="4954" spans="1:7" ht="58.5" customHeight="1" x14ac:dyDescent="0.25">
      <c r="A4954" s="5" t="str">
        <f>"H0026768"</f>
        <v>H0026768</v>
      </c>
      <c r="B4954" s="5" t="str">
        <f>"CANULA SUCCION/IRRIGACION"</f>
        <v>CANULA SUCCION/IRRIGACION</v>
      </c>
      <c r="C4954" s="6">
        <v>2057977.75</v>
      </c>
      <c r="D4954" s="5" t="s">
        <v>220</v>
      </c>
      <c r="E4954" s="5" t="str">
        <f t="shared" si="250"/>
        <v>INSTRUMENTACION-DIANA CAICEDO-DIANA DIAZ</v>
      </c>
      <c r="F4954" s="5"/>
      <c r="G4954" s="5"/>
    </row>
    <row r="4955" spans="1:7" ht="58.5" customHeight="1" x14ac:dyDescent="0.25">
      <c r="A4955" s="5" t="str">
        <f>"H0026769"</f>
        <v>H0026769</v>
      </c>
      <c r="B4955" s="5" t="str">
        <f>"CANULA SUCCION/IRRIGACION"</f>
        <v>CANULA SUCCION/IRRIGACION</v>
      </c>
      <c r="C4955" s="6">
        <v>2057977.75</v>
      </c>
      <c r="D4955" s="5" t="s">
        <v>220</v>
      </c>
      <c r="E4955" s="5" t="str">
        <f t="shared" si="250"/>
        <v>INSTRUMENTACION-DIANA CAICEDO-DIANA DIAZ</v>
      </c>
      <c r="F4955" s="5"/>
      <c r="G4955" s="5"/>
    </row>
    <row r="4956" spans="1:7" ht="58.5" customHeight="1" x14ac:dyDescent="0.25">
      <c r="A4956" s="5" t="str">
        <f>"H0026770"</f>
        <v>H0026770</v>
      </c>
      <c r="B4956" s="5" t="str">
        <f>"CANULA SUCCION/IRRIGACION"</f>
        <v>CANULA SUCCION/IRRIGACION</v>
      </c>
      <c r="C4956" s="6">
        <v>2057977.75</v>
      </c>
      <c r="D4956" s="5" t="s">
        <v>220</v>
      </c>
      <c r="E4956" s="5" t="str">
        <f t="shared" si="250"/>
        <v>INSTRUMENTACION-DIANA CAICEDO-DIANA DIAZ</v>
      </c>
      <c r="F4956" s="5"/>
      <c r="G4956" s="5"/>
    </row>
    <row r="4957" spans="1:7" ht="58.5" customHeight="1" x14ac:dyDescent="0.25">
      <c r="A4957" s="5" t="str">
        <f>"H0026771"</f>
        <v>H0026771</v>
      </c>
      <c r="B4957" s="5" t="str">
        <f>"CANULA SUCCION/IRRIGACION"</f>
        <v>CANULA SUCCION/IRRIGACION</v>
      </c>
      <c r="C4957" s="6">
        <v>2057977.75</v>
      </c>
      <c r="D4957" s="5" t="s">
        <v>220</v>
      </c>
      <c r="E4957" s="5" t="str">
        <f t="shared" si="250"/>
        <v>INSTRUMENTACION-DIANA CAICEDO-DIANA DIAZ</v>
      </c>
      <c r="F4957" s="5"/>
      <c r="G4957" s="5"/>
    </row>
    <row r="4958" spans="1:7" ht="58.5" customHeight="1" x14ac:dyDescent="0.25">
      <c r="A4958" s="5" t="str">
        <f>"H0026773"</f>
        <v>H0026773</v>
      </c>
      <c r="B4958" s="5" t="str">
        <f>"PINZA LAPAROSCOPICA DE AGARRE"</f>
        <v>PINZA LAPAROSCOPICA DE AGARRE</v>
      </c>
      <c r="C4958" s="6">
        <v>2322081.67</v>
      </c>
      <c r="D4958" s="5" t="s">
        <v>220</v>
      </c>
      <c r="E4958" s="5" t="str">
        <f t="shared" si="250"/>
        <v>INSTRUMENTACION-DIANA CAICEDO-DIANA DIAZ</v>
      </c>
      <c r="F4958" s="5"/>
      <c r="G4958" s="5"/>
    </row>
    <row r="4959" spans="1:7" ht="58.5" customHeight="1" x14ac:dyDescent="0.25">
      <c r="A4959" s="5" t="str">
        <f>"H0026774"</f>
        <v>H0026774</v>
      </c>
      <c r="B4959" s="5" t="str">
        <f>"PINZA LAPAROSCOPICA DE AGARRE"</f>
        <v>PINZA LAPAROSCOPICA DE AGARRE</v>
      </c>
      <c r="C4959" s="6">
        <v>2322081.67</v>
      </c>
      <c r="D4959" s="5" t="s">
        <v>220</v>
      </c>
      <c r="E4959" s="5" t="str">
        <f t="shared" ref="E4959:E5022" si="251">"INSTRUMENTACION-DIANA CAICEDO-DIANA DIAZ"</f>
        <v>INSTRUMENTACION-DIANA CAICEDO-DIANA DIAZ</v>
      </c>
      <c r="F4959" s="5"/>
      <c r="G4959" s="5"/>
    </row>
    <row r="4960" spans="1:7" ht="58.5" customHeight="1" x14ac:dyDescent="0.25">
      <c r="A4960" s="5" t="str">
        <f>"H0027284"</f>
        <v>H0027284</v>
      </c>
      <c r="B4960" s="5" t="str">
        <f>"PINZA KERRINSON 90° MORDIDA HACIA ABAJO, 1MM  180MM LONGITUD"</f>
        <v>PINZA KERRINSON 90° MORDIDA HACIA ABAJO, 1MM  180MM LONGITUD</v>
      </c>
      <c r="C4960" s="6">
        <v>2274155</v>
      </c>
      <c r="D4960" s="5" t="s">
        <v>269</v>
      </c>
      <c r="E4960" s="5" t="str">
        <f t="shared" si="251"/>
        <v>INSTRUMENTACION-DIANA CAICEDO-DIANA DIAZ</v>
      </c>
      <c r="F4960" s="5"/>
      <c r="G4960" s="5"/>
    </row>
    <row r="4961" spans="1:7" ht="58.5" customHeight="1" x14ac:dyDescent="0.25">
      <c r="A4961" s="5" t="str">
        <f>"H0027285"</f>
        <v>H0027285</v>
      </c>
      <c r="B4961" s="5" t="str">
        <f>"PINZA KERRINSON 90° MORDIDA HACIA ABAJO,   2 MM  180MM LONGITUD."</f>
        <v>PINZA KERRINSON 90° MORDIDA HACIA ABAJO,   2 MM  180MM LONGITUD.</v>
      </c>
      <c r="C4961" s="6">
        <v>2274155</v>
      </c>
      <c r="D4961" s="5" t="s">
        <v>269</v>
      </c>
      <c r="E4961" s="5" t="str">
        <f t="shared" si="251"/>
        <v>INSTRUMENTACION-DIANA CAICEDO-DIANA DIAZ</v>
      </c>
      <c r="F4961" s="5"/>
      <c r="G4961" s="5"/>
    </row>
    <row r="4962" spans="1:7" ht="58.5" customHeight="1" x14ac:dyDescent="0.25">
      <c r="A4962" s="5" t="str">
        <f>"H0027286"</f>
        <v>H0027286</v>
      </c>
      <c r="B4962" s="5" t="str">
        <f>"PINZA KERRINSON 130° MORDIDA HACIA ARRIBA 200MM 1.5MM LONGITUD."</f>
        <v>PINZA KERRINSON 130° MORDIDA HACIA ARRIBA 200MM 1.5MM LONGITUD.</v>
      </c>
      <c r="C4962" s="6">
        <v>2487177</v>
      </c>
      <c r="D4962" s="5" t="s">
        <v>269</v>
      </c>
      <c r="E4962" s="5" t="str">
        <f t="shared" si="251"/>
        <v>INSTRUMENTACION-DIANA CAICEDO-DIANA DIAZ</v>
      </c>
      <c r="F4962" s="5"/>
      <c r="G4962" s="5"/>
    </row>
    <row r="4963" spans="1:7" ht="58.5" customHeight="1" x14ac:dyDescent="0.25">
      <c r="A4963" s="5" t="str">
        <f>"H0027287"</f>
        <v>H0027287</v>
      </c>
      <c r="B4963" s="5" t="str">
        <f>"PINZA KERRINSON 130°  MORDIDA HACIA ARRIBA  2MM, 200 MM LONGITUD."</f>
        <v>PINZA KERRINSON 130°  MORDIDA HACIA ARRIBA  2MM, 200 MM LONGITUD.</v>
      </c>
      <c r="C4963" s="6">
        <v>2334947</v>
      </c>
      <c r="D4963" s="5" t="s">
        <v>404</v>
      </c>
      <c r="E4963" s="5" t="str">
        <f t="shared" si="251"/>
        <v>INSTRUMENTACION-DIANA CAICEDO-DIANA DIAZ</v>
      </c>
      <c r="F4963" s="5"/>
      <c r="G4963" s="5"/>
    </row>
    <row r="4964" spans="1:7" ht="58.5" customHeight="1" x14ac:dyDescent="0.25">
      <c r="A4964" s="5" t="str">
        <f>"H0027288"</f>
        <v>H0027288</v>
      </c>
      <c r="B4964" s="5" t="str">
        <f>"PINZA KERRINSON 130° MORDIDA HACIA ARRIBA,2MM  230MM LONGITUD."</f>
        <v>PINZA KERRINSON 130° MORDIDA HACIA ARRIBA,2MM  230MM LONGITUD.</v>
      </c>
      <c r="C4964" s="6">
        <v>2395535</v>
      </c>
      <c r="D4964" s="5" t="s">
        <v>404</v>
      </c>
      <c r="E4964" s="5" t="str">
        <f t="shared" si="251"/>
        <v>INSTRUMENTACION-DIANA CAICEDO-DIANA DIAZ</v>
      </c>
      <c r="F4964" s="5"/>
      <c r="G4964" s="5"/>
    </row>
    <row r="4965" spans="1:7" ht="58.5" customHeight="1" x14ac:dyDescent="0.25">
      <c r="A4965" s="5" t="str">
        <f>"H0027289"</f>
        <v>H0027289</v>
      </c>
      <c r="B4965" s="5" t="str">
        <f>"PINZA KERRINSON 130° FINA  MORDIDA HACIA ARRIBA, DE 3.0MM 280MM LONGITUD"</f>
        <v>PINZA KERRINSON 130° FINA  MORDIDA HACIA ARRIBA, DE 3.0MM 280MM LONGITUD</v>
      </c>
      <c r="C4965" s="6">
        <v>4962621</v>
      </c>
      <c r="D4965" s="5" t="s">
        <v>269</v>
      </c>
      <c r="E4965" s="5" t="str">
        <f t="shared" si="251"/>
        <v>INSTRUMENTACION-DIANA CAICEDO-DIANA DIAZ</v>
      </c>
      <c r="F4965" s="5"/>
      <c r="G4965" s="5"/>
    </row>
    <row r="4966" spans="1:7" ht="58.5" customHeight="1" x14ac:dyDescent="0.25">
      <c r="A4966" s="5" t="str">
        <f>"H0027292"</f>
        <v>H0027292</v>
      </c>
      <c r="B4966" s="5" t="str">
        <f>"PINZA CORTANTE CASPAR BOCA RECTA 4MM RAMA 150° MM LONGITUD 155MM"</f>
        <v>PINZA CORTANTE CASPAR BOCA RECTA 4MM RAMA 150° MM LONGITUD 155MM</v>
      </c>
      <c r="C4966" s="6">
        <v>2453090</v>
      </c>
      <c r="D4966" s="5" t="s">
        <v>269</v>
      </c>
      <c r="E4966" s="5" t="str">
        <f t="shared" si="251"/>
        <v>INSTRUMENTACION-DIANA CAICEDO-DIANA DIAZ</v>
      </c>
      <c r="F4966" s="5"/>
      <c r="G4966" s="5"/>
    </row>
    <row r="4967" spans="1:7" ht="58.5" customHeight="1" x14ac:dyDescent="0.25">
      <c r="A4967" s="5" t="str">
        <f>"H0027293"</f>
        <v>H0027293</v>
      </c>
      <c r="B4967" s="5" t="str">
        <f>"PINZA CORTANTE CASPAR BOCA ANGULADA  3MM RAMA 150° MM LONGITUD 155MM"</f>
        <v>PINZA CORTANTE CASPAR BOCA ANGULADA  3MM RAMA 150° MM LONGITUD 155MM</v>
      </c>
      <c r="C4967" s="6">
        <v>2650636</v>
      </c>
      <c r="D4967" s="5" t="s">
        <v>269</v>
      </c>
      <c r="E4967" s="5" t="str">
        <f t="shared" si="251"/>
        <v>INSTRUMENTACION-DIANA CAICEDO-DIANA DIAZ</v>
      </c>
      <c r="F4967" s="5"/>
      <c r="G4967" s="5"/>
    </row>
    <row r="4968" spans="1:7" ht="58.5" customHeight="1" x14ac:dyDescent="0.25">
      <c r="A4968" s="5" t="str">
        <f>"H0027294"</f>
        <v>H0027294</v>
      </c>
      <c r="B4968" s="5" t="str">
        <f>"PINZA CORTANTE CASPAR BOCA ANGULADA HACIA ABAJO 2MM RAMA 150° MM LONGITUD 155MM"</f>
        <v>PINZA CORTANTE CASPAR BOCA ANGULADA HACIA ABAJO 2MM RAMA 150° MM LONGITUD 155MM</v>
      </c>
      <c r="C4968" s="6">
        <v>2821478</v>
      </c>
      <c r="D4968" s="5" t="s">
        <v>269</v>
      </c>
      <c r="E4968" s="5" t="str">
        <f t="shared" si="251"/>
        <v>INSTRUMENTACION-DIANA CAICEDO-DIANA DIAZ</v>
      </c>
      <c r="F4968" s="5"/>
      <c r="G4968" s="5"/>
    </row>
    <row r="4969" spans="1:7" ht="58.5" customHeight="1" x14ac:dyDescent="0.25">
      <c r="A4969" s="5" t="str">
        <f>"H0027295"</f>
        <v>H0027295</v>
      </c>
      <c r="B4969" s="5" t="str">
        <f>"PINZA CORTANTE CASPAR BOCA ANGULADA HACIA ABAJO  3MM RAMA 150° MM LONGITUD 155MM"</f>
        <v>PINZA CORTANTE CASPAR BOCA ANGULADA HACIA ABAJO  3MM RAMA 150° MM LONGITUD 155MM</v>
      </c>
      <c r="C4969" s="6">
        <v>2821478</v>
      </c>
      <c r="D4969" s="5" t="s">
        <v>269</v>
      </c>
      <c r="E4969" s="5" t="str">
        <f t="shared" si="251"/>
        <v>INSTRUMENTACION-DIANA CAICEDO-DIANA DIAZ</v>
      </c>
      <c r="F4969" s="5"/>
      <c r="G4969" s="5"/>
    </row>
    <row r="4970" spans="1:7" ht="58.5" customHeight="1" x14ac:dyDescent="0.25">
      <c r="A4970" s="5" t="str">
        <f>"H0027296"</f>
        <v>H0027296</v>
      </c>
      <c r="B4970" s="5" t="str">
        <f>"PINZA CORTANTE CASPAR BOCA ANGULADA HACIA ABAJO  3MM RAMA 150° MM LONGITUD 155MM"</f>
        <v>PINZA CORTANTE CASPAR BOCA ANGULADA HACIA ABAJO  3MM RAMA 150° MM LONGITUD 155MM</v>
      </c>
      <c r="C4970" s="6">
        <v>240636</v>
      </c>
      <c r="D4970" s="5" t="s">
        <v>269</v>
      </c>
      <c r="E4970" s="5" t="str">
        <f t="shared" si="251"/>
        <v>INSTRUMENTACION-DIANA CAICEDO-DIANA DIAZ</v>
      </c>
      <c r="F4970" s="5"/>
      <c r="G4970" s="5"/>
    </row>
    <row r="4971" spans="1:7" ht="58.5" customHeight="1" x14ac:dyDescent="0.25">
      <c r="A4971" s="5" t="str">
        <f>"H0027297"</f>
        <v>H0027297</v>
      </c>
      <c r="B4971" s="5" t="str">
        <f>"CÁNULA SUCCIÓN FERGUSON DIÁMETRO 3.0MM LON 160MM"</f>
        <v>CÁNULA SUCCIÓN FERGUSON DIÁMETRO 3.0MM LON 160MM</v>
      </c>
      <c r="C4971" s="6">
        <v>240636</v>
      </c>
      <c r="D4971" s="5" t="s">
        <v>269</v>
      </c>
      <c r="E4971" s="5" t="str">
        <f t="shared" si="251"/>
        <v>INSTRUMENTACION-DIANA CAICEDO-DIANA DIAZ</v>
      </c>
      <c r="F4971" s="5"/>
      <c r="G4971" s="5"/>
    </row>
    <row r="4972" spans="1:7" ht="58.5" customHeight="1" x14ac:dyDescent="0.25">
      <c r="A4972" s="5" t="str">
        <f>"H0027298"</f>
        <v>H0027298</v>
      </c>
      <c r="B4972" s="5" t="str">
        <f>"CÁNULA SUCCIÓN FERGUSON DIÁMETRO 4.0MM LON 160MM"</f>
        <v>CÁNULA SUCCIÓN FERGUSON DIÁMETRO 4.0MM LON 160MM</v>
      </c>
      <c r="C4972" s="6">
        <v>240636</v>
      </c>
      <c r="D4972" s="5" t="s">
        <v>269</v>
      </c>
      <c r="E4972" s="5" t="str">
        <f t="shared" si="251"/>
        <v>INSTRUMENTACION-DIANA CAICEDO-DIANA DIAZ</v>
      </c>
      <c r="F4972" s="5"/>
      <c r="G4972" s="5"/>
    </row>
    <row r="4973" spans="1:7" ht="58.5" customHeight="1" x14ac:dyDescent="0.25">
      <c r="A4973" s="5" t="str">
        <f>"H0027321"</f>
        <v>H0027321</v>
      </c>
      <c r="B4973" s="5" t="str">
        <f>"LENTE DE 30° COMPATIBLE CON TODA CAMARA.KARL STORZ"</f>
        <v>LENTE DE 30° COMPATIBLE CON TODA CAMARA.KARL STORZ</v>
      </c>
      <c r="C4973" s="6">
        <v>14994000</v>
      </c>
      <c r="D4973" s="5" t="s">
        <v>405</v>
      </c>
      <c r="E4973" s="5" t="str">
        <f t="shared" si="251"/>
        <v>INSTRUMENTACION-DIANA CAICEDO-DIANA DIAZ</v>
      </c>
      <c r="F4973" s="5"/>
      <c r="G4973" s="5"/>
    </row>
    <row r="4974" spans="1:7" ht="58.5" customHeight="1" x14ac:dyDescent="0.25">
      <c r="A4974" s="5" t="str">
        <f>"H0027322"</f>
        <v>H0027322</v>
      </c>
      <c r="B4974" s="5" t="str">
        <f>"LENTE DE 30° COMPATIBLE CON TODA CAMARA.KARL STORZ"</f>
        <v>LENTE DE 30° COMPATIBLE CON TODA CAMARA.KARL STORZ</v>
      </c>
      <c r="C4974" s="6">
        <v>14994000</v>
      </c>
      <c r="D4974" s="5" t="s">
        <v>405</v>
      </c>
      <c r="E4974" s="5" t="str">
        <f t="shared" si="251"/>
        <v>INSTRUMENTACION-DIANA CAICEDO-DIANA DIAZ</v>
      </c>
      <c r="F4974" s="5"/>
      <c r="G4974" s="5"/>
    </row>
    <row r="4975" spans="1:7" ht="58.5" customHeight="1" x14ac:dyDescent="0.25">
      <c r="A4975" s="5" t="str">
        <f>"H0027323"</f>
        <v>H0027323</v>
      </c>
      <c r="B4975" s="5" t="str">
        <f>"LENTE DE 30° COMPATIBLE CON TODA CAMARA.KARL STORZ"</f>
        <v>LENTE DE 30° COMPATIBLE CON TODA CAMARA.KARL STORZ</v>
      </c>
      <c r="C4975" s="6">
        <v>14994000</v>
      </c>
      <c r="D4975" s="5" t="s">
        <v>405</v>
      </c>
      <c r="E4975" s="5" t="str">
        <f t="shared" si="251"/>
        <v>INSTRUMENTACION-DIANA CAICEDO-DIANA DIAZ</v>
      </c>
      <c r="F4975" s="5"/>
      <c r="G4975" s="5"/>
    </row>
    <row r="4976" spans="1:7" ht="58.5" customHeight="1" x14ac:dyDescent="0.25">
      <c r="A4976" s="5" t="str">
        <f>"H0027334"</f>
        <v>H0027334</v>
      </c>
      <c r="B4976" s="5" t="str">
        <f>"CANASTILLA PARA LENTE.REF.KARL STORZ"</f>
        <v>CANASTILLA PARA LENTE.REF.KARL STORZ</v>
      </c>
      <c r="C4976" s="6">
        <v>73212.34</v>
      </c>
      <c r="D4976" s="5" t="s">
        <v>406</v>
      </c>
      <c r="E4976" s="5" t="str">
        <f t="shared" si="251"/>
        <v>INSTRUMENTACION-DIANA CAICEDO-DIANA DIAZ</v>
      </c>
      <c r="F4976" s="5"/>
      <c r="G4976" s="5"/>
    </row>
    <row r="4977" spans="1:7" ht="58.5" customHeight="1" x14ac:dyDescent="0.25">
      <c r="A4977" s="5" t="str">
        <f>"H0027335"</f>
        <v>H0027335</v>
      </c>
      <c r="B4977" s="5" t="str">
        <f>"CANASTILLA PARA LENTE.REF.KARL STORZ"</f>
        <v>CANASTILLA PARA LENTE.REF.KARL STORZ</v>
      </c>
      <c r="C4977" s="6">
        <v>73212.34</v>
      </c>
      <c r="D4977" s="5" t="s">
        <v>407</v>
      </c>
      <c r="E4977" s="5" t="str">
        <f t="shared" si="251"/>
        <v>INSTRUMENTACION-DIANA CAICEDO-DIANA DIAZ</v>
      </c>
      <c r="F4977" s="5"/>
      <c r="G4977" s="5"/>
    </row>
    <row r="4978" spans="1:7" ht="58.5" customHeight="1" x14ac:dyDescent="0.25">
      <c r="A4978" s="5" t="str">
        <f>"H0027336"</f>
        <v>H0027336</v>
      </c>
      <c r="B4978" s="5" t="str">
        <f>"CANASTILLA PARA LENTE.REF.KARL STORZ"</f>
        <v>CANASTILLA PARA LENTE.REF.KARL STORZ</v>
      </c>
      <c r="C4978" s="6">
        <v>73212.34</v>
      </c>
      <c r="D4978" s="5" t="s">
        <v>407</v>
      </c>
      <c r="E4978" s="5" t="str">
        <f t="shared" si="251"/>
        <v>INSTRUMENTACION-DIANA CAICEDO-DIANA DIAZ</v>
      </c>
      <c r="F4978" s="5"/>
      <c r="G4978" s="5"/>
    </row>
    <row r="4979" spans="1:7" ht="58.5" customHeight="1" x14ac:dyDescent="0.25">
      <c r="A4979" s="5" t="str">
        <f>"H0027404"</f>
        <v>H0027404</v>
      </c>
      <c r="B4979" s="5" t="str">
        <f>"SIERRA RECIPROCANTE A BATERIA (cirugia)"</f>
        <v>SIERRA RECIPROCANTE A BATERIA (cirugia)</v>
      </c>
      <c r="C4979" s="6">
        <v>22989086</v>
      </c>
      <c r="D4979" s="5" t="s">
        <v>83</v>
      </c>
      <c r="E4979" s="5" t="str">
        <f t="shared" si="251"/>
        <v>INSTRUMENTACION-DIANA CAICEDO-DIANA DIAZ</v>
      </c>
      <c r="F4979" s="5"/>
      <c r="G4979" s="5"/>
    </row>
    <row r="4980" spans="1:7" ht="58.5" customHeight="1" x14ac:dyDescent="0.25">
      <c r="A4980" s="5" t="str">
        <f>"H0027405"</f>
        <v>H0027405</v>
      </c>
      <c r="B4980" s="5" t="str">
        <f>"PROTECTOR DE SIERRA PARA ESTERNOTOMIA"</f>
        <v>PROTECTOR DE SIERRA PARA ESTERNOTOMIA</v>
      </c>
      <c r="C4980" s="6">
        <v>1630490</v>
      </c>
      <c r="D4980" s="5" t="s">
        <v>83</v>
      </c>
      <c r="E4980" s="5" t="str">
        <f t="shared" si="251"/>
        <v>INSTRUMENTACION-DIANA CAICEDO-DIANA DIAZ</v>
      </c>
      <c r="F4980" s="5"/>
      <c r="G4980" s="5"/>
    </row>
    <row r="4981" spans="1:7" ht="58.5" customHeight="1" x14ac:dyDescent="0.25">
      <c r="A4981" s="5" t="str">
        <f>"H0027406"</f>
        <v>H0027406</v>
      </c>
      <c r="B4981" s="5" t="str">
        <f>"CARGADOR DE BATERIAS (sierra reciprocante)"</f>
        <v>CARGADOR DE BATERIAS (sierra reciprocante)</v>
      </c>
      <c r="C4981" s="6">
        <v>9945734</v>
      </c>
      <c r="D4981" s="5" t="s">
        <v>83</v>
      </c>
      <c r="E4981" s="5" t="str">
        <f t="shared" si="251"/>
        <v>INSTRUMENTACION-DIANA CAICEDO-DIANA DIAZ</v>
      </c>
      <c r="F4981" s="5"/>
      <c r="G4981" s="5"/>
    </row>
    <row r="4982" spans="1:7" ht="58.5" customHeight="1" x14ac:dyDescent="0.25">
      <c r="A4982" s="5" t="str">
        <f>"H0027407"</f>
        <v>H0027407</v>
      </c>
      <c r="B4982" s="5" t="str">
        <f>"HOJAS DE SIERRA"</f>
        <v>HOJAS DE SIERRA</v>
      </c>
      <c r="C4982" s="6">
        <v>329035</v>
      </c>
      <c r="D4982" s="5" t="s">
        <v>83</v>
      </c>
      <c r="E4982" s="5" t="str">
        <f t="shared" si="251"/>
        <v>INSTRUMENTACION-DIANA CAICEDO-DIANA DIAZ</v>
      </c>
      <c r="F4982" s="5"/>
      <c r="G4982" s="5"/>
    </row>
    <row r="4983" spans="1:7" ht="58.5" customHeight="1" x14ac:dyDescent="0.25">
      <c r="A4983" s="5" t="str">
        <f>"H0028302"</f>
        <v>H0028302</v>
      </c>
      <c r="B4983" s="5" t="str">
        <f>"PROGRAMADOR  HAKIM VALVE ROHS  823190R"</f>
        <v>PROGRAMADOR  HAKIM VALVE ROHS  823190R</v>
      </c>
      <c r="C4983" s="6">
        <v>20000000</v>
      </c>
      <c r="D4983" s="5" t="s">
        <v>408</v>
      </c>
      <c r="E4983" s="5" t="str">
        <f t="shared" si="251"/>
        <v>INSTRUMENTACION-DIANA CAICEDO-DIANA DIAZ</v>
      </c>
      <c r="F4983" s="5"/>
      <c r="G4983" s="5"/>
    </row>
    <row r="4984" spans="1:7" ht="58.5" customHeight="1" x14ac:dyDescent="0.25">
      <c r="A4984" s="5" t="str">
        <f>"H0028376"</f>
        <v>H0028376</v>
      </c>
      <c r="B4984" s="5" t="str">
        <f>"CESTA DE ALAMBRE 540X255X100 CMS"</f>
        <v>CESTA DE ALAMBRE 540X255X100 CMS</v>
      </c>
      <c r="C4984" s="6">
        <v>814000</v>
      </c>
      <c r="D4984" s="5" t="s">
        <v>409</v>
      </c>
      <c r="E4984" s="5" t="str">
        <f t="shared" si="251"/>
        <v>INSTRUMENTACION-DIANA CAICEDO-DIANA DIAZ</v>
      </c>
      <c r="F4984" s="5"/>
      <c r="G4984" s="5"/>
    </row>
    <row r="4985" spans="1:7" ht="58.5" customHeight="1" x14ac:dyDescent="0.25">
      <c r="A4985" s="5" t="str">
        <f>"H0028377"</f>
        <v>H0028377</v>
      </c>
      <c r="B4985" s="5" t="str">
        <f>"CESTA DE ACERO INOXIDABLE 540X240X30MM"</f>
        <v>CESTA DE ACERO INOXIDABLE 540X240X30MM</v>
      </c>
      <c r="C4985" s="6">
        <v>676000</v>
      </c>
      <c r="D4985" s="5" t="s">
        <v>409</v>
      </c>
      <c r="E4985" s="5" t="str">
        <f t="shared" si="251"/>
        <v>INSTRUMENTACION-DIANA CAICEDO-DIANA DIAZ</v>
      </c>
      <c r="F4985" s="5"/>
      <c r="G4985" s="5"/>
    </row>
    <row r="4986" spans="1:7" ht="58.5" customHeight="1" x14ac:dyDescent="0.25">
      <c r="A4986" s="5" t="str">
        <f>"H0028397"</f>
        <v>H0028397</v>
      </c>
      <c r="B4986" s="5" t="str">
        <f>"PINZA PARA LA EXTRACCIÓN DE CUERPOS EXTRAÑOS FLEXIBLE, ABERTURA BILATERAL, 7 CHARR. LONGITUD 40CM"</f>
        <v>PINZA PARA LA EXTRACCIÓN DE CUERPOS EXTRAÑOS FLEXIBLE, ABERTURA BILATERAL, 7 CHARR. LONGITUD 40CM</v>
      </c>
      <c r="C4986" s="6">
        <v>2409750</v>
      </c>
      <c r="D4986" s="5" t="s">
        <v>410</v>
      </c>
      <c r="E4986" s="5" t="str">
        <f t="shared" si="251"/>
        <v>INSTRUMENTACION-DIANA CAICEDO-DIANA DIAZ</v>
      </c>
      <c r="F4986" s="5"/>
      <c r="G4986" s="5"/>
    </row>
    <row r="4987" spans="1:7" ht="58.5" customHeight="1" x14ac:dyDescent="0.25">
      <c r="A4987" s="5" t="str">
        <f>"H0028398"</f>
        <v>H0028398</v>
      </c>
      <c r="B4987" s="5" t="str">
        <f>"PINZA PARA LA EXTRACCIÓN DE CUERPOS EXTRAÑOS FLEXIBLE, ABERTURA BILATERAL, 9 CHARR. LONGITUD 40CM"</f>
        <v>PINZA PARA LA EXTRACCIÓN DE CUERPOS EXTRAÑOS FLEXIBLE, ABERTURA BILATERAL, 9 CHARR. LONGITUD 40CM</v>
      </c>
      <c r="C4987" s="6">
        <v>2409750</v>
      </c>
      <c r="D4987" s="5" t="s">
        <v>410</v>
      </c>
      <c r="E4987" s="5" t="str">
        <f t="shared" si="251"/>
        <v>INSTRUMENTACION-DIANA CAICEDO-DIANA DIAZ</v>
      </c>
      <c r="F4987" s="5"/>
      <c r="G4987" s="5"/>
    </row>
    <row r="4988" spans="1:7" ht="58.5" customHeight="1" x14ac:dyDescent="0.25">
      <c r="A4988" s="5" t="str">
        <f>"H0028399"</f>
        <v>H0028399</v>
      </c>
      <c r="B4988" s="5" t="str">
        <f>"BRONCOSCOPIO DE DOESE-HUZLY"</f>
        <v>BRONCOSCOPIO DE DOESE-HUZLY</v>
      </c>
      <c r="C4988" s="6">
        <v>2227680</v>
      </c>
      <c r="D4988" s="5" t="s">
        <v>410</v>
      </c>
      <c r="E4988" s="5" t="str">
        <f t="shared" si="251"/>
        <v>INSTRUMENTACION-DIANA CAICEDO-DIANA DIAZ</v>
      </c>
      <c r="F4988" s="5"/>
      <c r="G4988" s="5"/>
    </row>
    <row r="4989" spans="1:7" ht="58.5" customHeight="1" x14ac:dyDescent="0.25">
      <c r="A4989" s="5" t="str">
        <f>"H0028400"</f>
        <v>H0028400</v>
      </c>
      <c r="B4989" s="5" t="str">
        <f>"TIJERA BAYONETA RECTA 90MM"</f>
        <v>TIJERA BAYONETA RECTA 90MM</v>
      </c>
      <c r="C4989" s="6">
        <v>2063258</v>
      </c>
      <c r="D4989" s="5" t="s">
        <v>411</v>
      </c>
      <c r="E4989" s="5" t="str">
        <f t="shared" si="251"/>
        <v>INSTRUMENTACION-DIANA CAICEDO-DIANA DIAZ</v>
      </c>
      <c r="F4989" s="5"/>
      <c r="G4989" s="5"/>
    </row>
    <row r="4990" spans="1:7" ht="58.5" customHeight="1" x14ac:dyDescent="0.25">
      <c r="A4990" s="5" t="str">
        <f>"H0028403"</f>
        <v>H0028403</v>
      </c>
      <c r="B4990" s="5" t="str">
        <f>"CURETA HARDY PITUITARIA 130MM X 280MM"</f>
        <v>CURETA HARDY PITUITARIA 130MM X 280MM</v>
      </c>
      <c r="C4990" s="6">
        <v>1265690</v>
      </c>
      <c r="D4990" s="5" t="s">
        <v>411</v>
      </c>
      <c r="E4990" s="5" t="str">
        <f t="shared" si="251"/>
        <v>INSTRUMENTACION-DIANA CAICEDO-DIANA DIAZ</v>
      </c>
      <c r="F4990" s="5"/>
      <c r="G4990" s="5"/>
    </row>
    <row r="4991" spans="1:7" ht="58.5" customHeight="1" x14ac:dyDescent="0.25">
      <c r="A4991" s="5" t="str">
        <f>"H0028404"</f>
        <v>H0028404</v>
      </c>
      <c r="B4991" s="5" t="str">
        <f>"INSTRUMENTO EN BAYONETA CURETA HARDY 130X280MM"</f>
        <v>INSTRUMENTO EN BAYONETA CURETA HARDY 130X280MM</v>
      </c>
      <c r="C4991" s="6">
        <v>1265690</v>
      </c>
      <c r="D4991" s="5" t="s">
        <v>411</v>
      </c>
      <c r="E4991" s="5" t="str">
        <f t="shared" si="251"/>
        <v>INSTRUMENTACION-DIANA CAICEDO-DIANA DIAZ</v>
      </c>
      <c r="F4991" s="5"/>
      <c r="G4991" s="5"/>
    </row>
    <row r="4992" spans="1:7" ht="58.5" customHeight="1" x14ac:dyDescent="0.25">
      <c r="A4992" s="5" t="str">
        <f>"H0028405"</f>
        <v>H0028405</v>
      </c>
      <c r="B4992" s="5" t="str">
        <f>"INSTRUMENTO EN BAYONETA CURETA HARDY 130X280MM 4.0MM"</f>
        <v>INSTRUMENTO EN BAYONETA CURETA HARDY 130X280MM 4.0MM</v>
      </c>
      <c r="C4992" s="6">
        <v>1265690</v>
      </c>
      <c r="D4992" s="5" t="s">
        <v>411</v>
      </c>
      <c r="E4992" s="5" t="str">
        <f t="shared" si="251"/>
        <v>INSTRUMENTACION-DIANA CAICEDO-DIANA DIAZ</v>
      </c>
      <c r="F4992" s="5"/>
      <c r="G4992" s="5"/>
    </row>
    <row r="4993" spans="1:7" ht="58.5" customHeight="1" x14ac:dyDescent="0.25">
      <c r="A4993" s="5" t="str">
        <f>"H0028406"</f>
        <v>H0028406</v>
      </c>
      <c r="B4993" s="5" t="str">
        <f>"INSTRUMENTO EN BAYONETA HARDY CURETA 130MMX280MM"</f>
        <v>INSTRUMENTO EN BAYONETA HARDY CURETA 130MMX280MM</v>
      </c>
      <c r="C4993" s="6">
        <v>1265690</v>
      </c>
      <c r="D4993" s="5" t="s">
        <v>411</v>
      </c>
      <c r="E4993" s="5" t="str">
        <f t="shared" si="251"/>
        <v>INSTRUMENTACION-DIANA CAICEDO-DIANA DIAZ</v>
      </c>
      <c r="F4993" s="5"/>
      <c r="G4993" s="5"/>
    </row>
    <row r="4994" spans="1:7" ht="58.5" customHeight="1" x14ac:dyDescent="0.25">
      <c r="A4994" s="5" t="str">
        <f>"H0028407"</f>
        <v>H0028407</v>
      </c>
      <c r="B4994" s="5" t="str">
        <f>"INSTRUMENTO EN BAYONETA HARDY CURETA 4MM X 260MM"</f>
        <v>INSTRUMENTO EN BAYONETA HARDY CURETA 4MM X 260MM</v>
      </c>
      <c r="C4994" s="6">
        <v>659700</v>
      </c>
      <c r="D4994" s="5" t="s">
        <v>411</v>
      </c>
      <c r="E4994" s="5" t="str">
        <f t="shared" si="251"/>
        <v>INSTRUMENTACION-DIANA CAICEDO-DIANA DIAZ</v>
      </c>
      <c r="F4994" s="5"/>
      <c r="G4994" s="5"/>
    </row>
    <row r="4995" spans="1:7" ht="58.5" customHeight="1" x14ac:dyDescent="0.25">
      <c r="A4995" s="5" t="str">
        <f>"H0028409"</f>
        <v>H0028409</v>
      </c>
      <c r="B4995" s="5" t="str">
        <f>"SEPARADOR DE CUSHING PEQUEÑO"</f>
        <v>SEPARADOR DE CUSHING PEQUEÑO</v>
      </c>
      <c r="C4995" s="6">
        <v>2131129</v>
      </c>
      <c r="D4995" s="5" t="s">
        <v>411</v>
      </c>
      <c r="E4995" s="5" t="str">
        <f t="shared" si="251"/>
        <v>INSTRUMENTACION-DIANA CAICEDO-DIANA DIAZ</v>
      </c>
      <c r="F4995" s="5"/>
      <c r="G4995" s="5"/>
    </row>
    <row r="4996" spans="1:7" ht="58.5" customHeight="1" x14ac:dyDescent="0.25">
      <c r="A4996" s="5" t="str">
        <f>"H0028410"</f>
        <v>H0028410</v>
      </c>
      <c r="B4996" s="5" t="str">
        <f>"SEPARADOR DE CUSHING MEDIANO"</f>
        <v>SEPARADOR DE CUSHING MEDIANO</v>
      </c>
      <c r="C4996" s="6">
        <v>2223884</v>
      </c>
      <c r="D4996" s="5" t="s">
        <v>412</v>
      </c>
      <c r="E4996" s="5" t="str">
        <f t="shared" si="251"/>
        <v>INSTRUMENTACION-DIANA CAICEDO-DIANA DIAZ</v>
      </c>
      <c r="F4996" s="5"/>
      <c r="G4996" s="5"/>
    </row>
    <row r="4997" spans="1:7" ht="58.5" customHeight="1" x14ac:dyDescent="0.25">
      <c r="A4997" s="5" t="str">
        <f>"H0028411"</f>
        <v>H0028411</v>
      </c>
      <c r="B4997" s="5" t="str">
        <f>"SEPARADOR DE CUSHING GRANDE"</f>
        <v>SEPARADOR DE CUSHING GRANDE</v>
      </c>
      <c r="C4997" s="6">
        <v>2442570</v>
      </c>
      <c r="D4997" s="5" t="s">
        <v>411</v>
      </c>
      <c r="E4997" s="5" t="str">
        <f t="shared" si="251"/>
        <v>INSTRUMENTACION-DIANA CAICEDO-DIANA DIAZ</v>
      </c>
      <c r="F4997" s="5"/>
      <c r="G4997" s="5"/>
    </row>
    <row r="4998" spans="1:7" ht="58.5" customHeight="1" x14ac:dyDescent="0.25">
      <c r="A4998" s="5" t="str">
        <f>"H0028412"</f>
        <v>H0028412</v>
      </c>
      <c r="B4998" s="5" t="str">
        <f>"FÓRCEPS OLLIGEITOR BOCA PEQUEÑA PINZA AGARRE"</f>
        <v>FÓRCEPS OLLIGEITOR BOCA PEQUEÑA PINZA AGARRE</v>
      </c>
      <c r="C4998" s="6">
        <v>2405145</v>
      </c>
      <c r="D4998" s="5" t="s">
        <v>411</v>
      </c>
      <c r="E4998" s="5" t="str">
        <f t="shared" si="251"/>
        <v>INSTRUMENTACION-DIANA CAICEDO-DIANA DIAZ</v>
      </c>
      <c r="F4998" s="5"/>
      <c r="G4998" s="5"/>
    </row>
    <row r="4999" spans="1:7" ht="58.5" customHeight="1" x14ac:dyDescent="0.25">
      <c r="A4999" s="5" t="str">
        <f>"H0028413"</f>
        <v>H0028413</v>
      </c>
      <c r="B4999" s="5" t="str">
        <f>"FÓRCEPS OLLIGEITOR BOCA  MEDIANA PINZA AGARRE"</f>
        <v>FÓRCEPS OLLIGEITOR BOCA  MEDIANA PINZA AGARRE</v>
      </c>
      <c r="C4999" s="6">
        <v>2405145</v>
      </c>
      <c r="D4999" s="5" t="s">
        <v>411</v>
      </c>
      <c r="E4999" s="5" t="str">
        <f t="shared" si="251"/>
        <v>INSTRUMENTACION-DIANA CAICEDO-DIANA DIAZ</v>
      </c>
      <c r="F4999" s="5"/>
      <c r="G4999" s="5"/>
    </row>
    <row r="5000" spans="1:7" ht="58.5" customHeight="1" x14ac:dyDescent="0.25">
      <c r="A5000" s="5" t="str">
        <f>"H0028414"</f>
        <v>H0028414</v>
      </c>
      <c r="B5000" s="5" t="str">
        <f>"FÓRCEPS OLLIGEITOR BOCA GRANDE PINZA AGARRE"</f>
        <v>FÓRCEPS OLLIGEITOR BOCA GRANDE PINZA AGARRE</v>
      </c>
      <c r="C5000" s="6">
        <v>2405145</v>
      </c>
      <c r="D5000" s="5" t="s">
        <v>411</v>
      </c>
      <c r="E5000" s="5" t="str">
        <f t="shared" si="251"/>
        <v>INSTRUMENTACION-DIANA CAICEDO-DIANA DIAZ</v>
      </c>
      <c r="F5000" s="5"/>
      <c r="G5000" s="5"/>
    </row>
    <row r="5001" spans="1:7" ht="58.5" customHeight="1" x14ac:dyDescent="0.25">
      <c r="A5001" s="5" t="str">
        <f>"H0028415"</f>
        <v>H0028415</v>
      </c>
      <c r="B5001" s="5" t="str">
        <f>"INSTRUMENTO EN BAYONETA HARDY CURETA 6MMX260"</f>
        <v>INSTRUMENTO EN BAYONETA HARDY CURETA 6MMX260</v>
      </c>
      <c r="C5001" s="6">
        <v>659700</v>
      </c>
      <c r="D5001" s="5" t="s">
        <v>411</v>
      </c>
      <c r="E5001" s="5" t="str">
        <f t="shared" si="251"/>
        <v>INSTRUMENTACION-DIANA CAICEDO-DIANA DIAZ</v>
      </c>
      <c r="F5001" s="5"/>
      <c r="G5001" s="5"/>
    </row>
    <row r="5002" spans="1:7" ht="58.5" customHeight="1" x14ac:dyDescent="0.25">
      <c r="A5002" s="5" t="str">
        <f>"H0028416"</f>
        <v>H0028416</v>
      </c>
      <c r="B5002" s="5" t="str">
        <f>"CÁNULA DE FERGUSSON 110 MM"</f>
        <v>CÁNULA DE FERGUSSON 110 MM</v>
      </c>
      <c r="C5002" s="6">
        <v>208672</v>
      </c>
      <c r="D5002" s="5" t="s">
        <v>411</v>
      </c>
      <c r="E5002" s="5" t="str">
        <f t="shared" si="251"/>
        <v>INSTRUMENTACION-DIANA CAICEDO-DIANA DIAZ</v>
      </c>
      <c r="F5002" s="5"/>
      <c r="G5002" s="5"/>
    </row>
    <row r="5003" spans="1:7" ht="58.5" customHeight="1" x14ac:dyDescent="0.25">
      <c r="A5003" s="5" t="str">
        <f>"H0028417"</f>
        <v>H0028417</v>
      </c>
      <c r="B5003" s="5" t="str">
        <f>"PINZA BIPOLAR PUNTA EN T"</f>
        <v>PINZA BIPOLAR PUNTA EN T</v>
      </c>
      <c r="C5003" s="6">
        <v>2985841</v>
      </c>
      <c r="D5003" s="5" t="s">
        <v>411</v>
      </c>
      <c r="E5003" s="5" t="str">
        <f t="shared" si="251"/>
        <v>INSTRUMENTACION-DIANA CAICEDO-DIANA DIAZ</v>
      </c>
      <c r="F5003" s="5"/>
      <c r="G5003" s="5"/>
    </row>
    <row r="5004" spans="1:7" ht="58.5" customHeight="1" x14ac:dyDescent="0.25">
      <c r="A5004" s="5" t="str">
        <f>"H0029121"</f>
        <v>H0029121</v>
      </c>
      <c r="B5004" s="5" t="str">
        <f>"PINZA YASARGIL GRASPING 3MM"</f>
        <v>PINZA YASARGIL GRASPING 3MM</v>
      </c>
      <c r="C5004" s="6">
        <v>2261208</v>
      </c>
      <c r="D5004" s="5" t="s">
        <v>13</v>
      </c>
      <c r="E5004" s="5" t="str">
        <f t="shared" si="251"/>
        <v>INSTRUMENTACION-DIANA CAICEDO-DIANA DIAZ</v>
      </c>
      <c r="F5004" s="5"/>
      <c r="G5004" s="5"/>
    </row>
    <row r="5005" spans="1:7" ht="58.5" customHeight="1" x14ac:dyDescent="0.25">
      <c r="A5005" s="5" t="str">
        <f>"H0032267"</f>
        <v>H0032267</v>
      </c>
      <c r="B5005"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5005" s="6">
        <v>901008.5</v>
      </c>
      <c r="D5005" s="5" t="s">
        <v>413</v>
      </c>
      <c r="E5005" s="5" t="str">
        <f t="shared" si="251"/>
        <v>INSTRUMENTACION-DIANA CAICEDO-DIANA DIAZ</v>
      </c>
      <c r="F5005" s="5"/>
      <c r="G5005" s="5"/>
    </row>
    <row r="5006" spans="1:7" ht="58.5" customHeight="1" x14ac:dyDescent="0.25">
      <c r="A5006" s="5" t="str">
        <f>"H0034103"</f>
        <v>H0034103</v>
      </c>
      <c r="B5006" s="5" t="str">
        <f>"Ureterorrenoscopio  longitud 43 cm, 6°"</f>
        <v>Ureterorrenoscopio  longitud 43 cm, 6°</v>
      </c>
      <c r="C5006" s="6">
        <v>22959731</v>
      </c>
      <c r="D5006" s="5" t="s">
        <v>414</v>
      </c>
      <c r="E5006" s="5" t="str">
        <f t="shared" si="251"/>
        <v>INSTRUMENTACION-DIANA CAICEDO-DIANA DIAZ</v>
      </c>
      <c r="F5006" s="5"/>
      <c r="G5006" s="5"/>
    </row>
    <row r="5007" spans="1:7" ht="58.5" customHeight="1" x14ac:dyDescent="0.25">
      <c r="A5007" s="5" t="str">
        <f>"H0034110"</f>
        <v>H0034110</v>
      </c>
      <c r="B5007" s="5" t="str">
        <f>"Set para elemento de trabajo bipolar, corte mediante tensión de resorte. Anilla de pulgar móvil. Se compone de: * Elemento de trabajo, bipolar, 2 Asa de corte , bipolar, puntiagudo, Electrodo de corte, bipolar, puntiagudo, Electrodo de coagulacion, HALF M"&amp; "OON,bipolar, forma de bola, Cable de Alta Frecuencia bipolar, Vaina de Protección"</f>
        <v>Set para elemento de trabajo bipolar, corte mediante tensión de resorte. Anilla de pulgar móvil. Se compone de: * Elemento de trabajo, bipolar, 2 Asa de corte , bipolar, puntiagudo, Electrodo de corte, bipolar, puntiagudo, Electrodo de coagulacion, HALF MOON,bipolar, forma de bola, Cable de Alta Frecuencia bipolar, Vaina de Protección</v>
      </c>
      <c r="C5007" s="6">
        <v>8606585</v>
      </c>
      <c r="D5007" s="5" t="s">
        <v>415</v>
      </c>
      <c r="E5007" s="5" t="str">
        <f t="shared" si="251"/>
        <v>INSTRUMENTACION-DIANA CAICEDO-DIANA DIAZ</v>
      </c>
      <c r="F5007" s="5"/>
      <c r="G5007" s="5"/>
    </row>
    <row r="5008" spans="1:7" ht="58.5" customHeight="1" x14ac:dyDescent="0.25">
      <c r="A5008" s="5" t="str">
        <f>"H0034111"</f>
        <v>H0034111</v>
      </c>
      <c r="B5008" s="5" t="str">
        <f>"Vaina de resectoscopio incluye tubo de aflujo y evacuación, 26 Charr"</f>
        <v>Vaina de resectoscopio incluye tubo de aflujo y evacuación, 26 Charr</v>
      </c>
      <c r="C5008" s="6">
        <v>3324166</v>
      </c>
      <c r="D5008" s="5" t="s">
        <v>415</v>
      </c>
      <c r="E5008" s="5" t="str">
        <f t="shared" si="251"/>
        <v>INSTRUMENTACION-DIANA CAICEDO-DIANA DIAZ</v>
      </c>
      <c r="F5008" s="5"/>
      <c r="G5008" s="5"/>
    </row>
    <row r="5009" spans="1:7" ht="58.5" customHeight="1" x14ac:dyDescent="0.25">
      <c r="A5009" s="5" t="str">
        <f>"H0034112"</f>
        <v>H0034112</v>
      </c>
      <c r="B5009" s="5" t="str">
        <f>"Obturador acodable para vainas de 24/26 Charr"</f>
        <v>Obturador acodable para vainas de 24/26 Charr</v>
      </c>
      <c r="C5009" s="6">
        <v>1224460</v>
      </c>
      <c r="D5009" s="5" t="s">
        <v>415</v>
      </c>
      <c r="E5009" s="5" t="str">
        <f t="shared" si="251"/>
        <v>INSTRUMENTACION-DIANA CAICEDO-DIANA DIAZ</v>
      </c>
      <c r="F5009" s="5"/>
      <c r="G5009" s="5"/>
    </row>
    <row r="5010" spans="1:7" ht="58.5" customHeight="1" x14ac:dyDescent="0.25">
      <c r="A5010" s="5" t="str">
        <f>"H0034113"</f>
        <v>H0034113</v>
      </c>
      <c r="B5010" s="5" t="str">
        <f>"AUTOCON® III 400 High-End Módulo complementario tensión de trabajo 100 – 120 VAC, 50/60 Hz, conexiones de alta frecuencia: Combinación bipolar Multifunción Unipolar 3 pines + Erbe Electrodo neutro con jack 6,3 mm y 2 pines"</f>
        <v>AUTOCON® III 400 High-End Módulo complementario tensión de trabajo 100 – 120 VAC, 50/60 Hz, conexiones de alta frecuencia: Combinación bipolar Multifunción Unipolar 3 pines + Erbe Electrodo neutro con jack 6,3 mm y 2 pines</v>
      </c>
      <c r="C5010" s="6">
        <v>74143931</v>
      </c>
      <c r="D5010" s="5" t="s">
        <v>415</v>
      </c>
      <c r="E5010" s="5" t="str">
        <f t="shared" si="251"/>
        <v>INSTRUMENTACION-DIANA CAICEDO-DIANA DIAZ</v>
      </c>
      <c r="F5010" s="5"/>
      <c r="G5010" s="5"/>
    </row>
    <row r="5011" spans="1:7" ht="58.5" customHeight="1" x14ac:dyDescent="0.25">
      <c r="A5011" s="5" t="str">
        <f>"H0034114"</f>
        <v>H0034114</v>
      </c>
      <c r="B5011" s="5" t="str">
        <f>"Interruptor de dos pedales"</f>
        <v>Interruptor de dos pedales</v>
      </c>
      <c r="C5011" s="6">
        <v>3054519</v>
      </c>
      <c r="D5011" s="5" t="s">
        <v>415</v>
      </c>
      <c r="E5011" s="5" t="str">
        <f t="shared" si="251"/>
        <v>INSTRUMENTACION-DIANA CAICEDO-DIANA DIAZ</v>
      </c>
      <c r="F5011" s="5"/>
      <c r="G5011" s="5"/>
    </row>
    <row r="5012" spans="1:7" ht="58.5" customHeight="1" x14ac:dyDescent="0.25">
      <c r="A5012" s="5" t="str">
        <f>"H0034115"</f>
        <v>H0034115</v>
      </c>
      <c r="B5012" s="5" t="str">
        <f>"Vaina de uretrotomo de SACHSE 21 Charr., con canal para bujías dilatadoras FILIFORM y 2 conos LUER Lock"</f>
        <v>Vaina de uretrotomo de SACHSE 21 Charr., con canal para bujías dilatadoras FILIFORM y 2 conos LUER Lock</v>
      </c>
      <c r="C5012" s="6">
        <v>4681239</v>
      </c>
      <c r="D5012" s="5" t="s">
        <v>415</v>
      </c>
      <c r="E5012" s="5" t="str">
        <f t="shared" si="251"/>
        <v>INSTRUMENTACION-DIANA CAICEDO-DIANA DIAZ</v>
      </c>
      <c r="F5012" s="5"/>
      <c r="G5012" s="5"/>
    </row>
    <row r="5013" spans="1:7" ht="58.5" customHeight="1" x14ac:dyDescent="0.25">
      <c r="A5013" s="5" t="str">
        <f>"H0034116"</f>
        <v>H0034116</v>
      </c>
      <c r="B5013" s="5" t="str">
        <f>"Obturador para vaina de uretrotomo de 21 Charr., 27068 D"</f>
        <v>Obturador para vaina de uretrotomo de 21 Charr., 27068 D</v>
      </c>
      <c r="C5013" s="6">
        <v>1083006</v>
      </c>
      <c r="D5013" s="5" t="s">
        <v>415</v>
      </c>
      <c r="E5013" s="5" t="str">
        <f t="shared" si="251"/>
        <v>INSTRUMENTACION-DIANA CAICEDO-DIANA DIAZ</v>
      </c>
      <c r="F5013" s="5"/>
      <c r="G5013" s="5"/>
    </row>
    <row r="5014" spans="1:7" ht="58.5" customHeight="1" x14ac:dyDescent="0.25">
      <c r="A5014" s="5" t="str">
        <f>"H0034117"</f>
        <v>H0034117</v>
      </c>
      <c r="B5014" s="5" t="str">
        <f t="shared" ref="B5014:B5019" si="252">"Bisturí de SACHSE recto No utilizar con corriente de alta frecuencia"</f>
        <v>Bisturí de SACHSE recto No utilizar con corriente de alta frecuencia</v>
      </c>
      <c r="C5014" s="6">
        <v>755894.17</v>
      </c>
      <c r="D5014" s="5" t="s">
        <v>415</v>
      </c>
      <c r="E5014" s="5" t="str">
        <f t="shared" si="251"/>
        <v>INSTRUMENTACION-DIANA CAICEDO-DIANA DIAZ</v>
      </c>
      <c r="F5014" s="5"/>
      <c r="G5014" s="5"/>
    </row>
    <row r="5015" spans="1:7" ht="58.5" customHeight="1" x14ac:dyDescent="0.25">
      <c r="A5015" s="5" t="str">
        <f>"H0034118"</f>
        <v>H0034118</v>
      </c>
      <c r="B5015" s="5" t="str">
        <f t="shared" si="252"/>
        <v>Bisturí de SACHSE recto No utilizar con corriente de alta frecuencia</v>
      </c>
      <c r="C5015" s="6">
        <v>755894.17</v>
      </c>
      <c r="D5015" s="5" t="s">
        <v>415</v>
      </c>
      <c r="E5015" s="5" t="str">
        <f t="shared" si="251"/>
        <v>INSTRUMENTACION-DIANA CAICEDO-DIANA DIAZ</v>
      </c>
      <c r="F5015" s="5"/>
      <c r="G5015" s="5"/>
    </row>
    <row r="5016" spans="1:7" ht="58.5" customHeight="1" x14ac:dyDescent="0.25">
      <c r="A5016" s="5" t="str">
        <f>"H0034119"</f>
        <v>H0034119</v>
      </c>
      <c r="B5016" s="5" t="str">
        <f t="shared" si="252"/>
        <v>Bisturí de SACHSE recto No utilizar con corriente de alta frecuencia</v>
      </c>
      <c r="C5016" s="6">
        <v>755894.17</v>
      </c>
      <c r="D5016" s="5" t="s">
        <v>415</v>
      </c>
      <c r="E5016" s="5" t="str">
        <f t="shared" si="251"/>
        <v>INSTRUMENTACION-DIANA CAICEDO-DIANA DIAZ</v>
      </c>
      <c r="F5016" s="5"/>
      <c r="G5016" s="5"/>
    </row>
    <row r="5017" spans="1:7" ht="58.5" customHeight="1" x14ac:dyDescent="0.25">
      <c r="A5017" s="5" t="str">
        <f>"H0034120"</f>
        <v>H0034120</v>
      </c>
      <c r="B5017" s="5" t="str">
        <f t="shared" si="252"/>
        <v>Bisturí de SACHSE recto No utilizar con corriente de alta frecuencia</v>
      </c>
      <c r="C5017" s="6">
        <v>755894.17</v>
      </c>
      <c r="D5017" s="5" t="s">
        <v>415</v>
      </c>
      <c r="E5017" s="5" t="str">
        <f t="shared" si="251"/>
        <v>INSTRUMENTACION-DIANA CAICEDO-DIANA DIAZ</v>
      </c>
      <c r="F5017" s="5"/>
      <c r="G5017" s="5"/>
    </row>
    <row r="5018" spans="1:7" ht="58.5" customHeight="1" x14ac:dyDescent="0.25">
      <c r="A5018" s="5" t="str">
        <f>"H0034121"</f>
        <v>H0034121</v>
      </c>
      <c r="B5018" s="5" t="str">
        <f t="shared" si="252"/>
        <v>Bisturí de SACHSE recto No utilizar con corriente de alta frecuencia</v>
      </c>
      <c r="C5018" s="6">
        <v>755894.17</v>
      </c>
      <c r="D5018" s="5" t="s">
        <v>415</v>
      </c>
      <c r="E5018" s="5" t="str">
        <f t="shared" si="251"/>
        <v>INSTRUMENTACION-DIANA CAICEDO-DIANA DIAZ</v>
      </c>
      <c r="F5018" s="5"/>
      <c r="G5018" s="5"/>
    </row>
    <row r="5019" spans="1:7" ht="58.5" customHeight="1" x14ac:dyDescent="0.25">
      <c r="A5019" s="5" t="str">
        <f>"H0034122"</f>
        <v>H0034122</v>
      </c>
      <c r="B5019" s="5" t="str">
        <f t="shared" si="252"/>
        <v>Bisturí de SACHSE recto No utilizar con corriente de alta frecuencia</v>
      </c>
      <c r="C5019" s="6">
        <v>755894.17</v>
      </c>
      <c r="D5019" s="5" t="s">
        <v>415</v>
      </c>
      <c r="E5019" s="5" t="str">
        <f t="shared" si="251"/>
        <v>INSTRUMENTACION-DIANA CAICEDO-DIANA DIAZ</v>
      </c>
      <c r="F5019" s="5"/>
      <c r="G5019" s="5"/>
    </row>
    <row r="5020" spans="1:7" ht="58.5" customHeight="1" x14ac:dyDescent="0.25">
      <c r="A5020" s="5" t="str">
        <f>"H0035651"</f>
        <v>H0035651</v>
      </c>
      <c r="B5020" s="5" t="str">
        <f>"ELEMENTO DE TRABAJO PARA URETROTOMIA"</f>
        <v>ELEMENTO DE TRABAJO PARA URETROTOMIA</v>
      </c>
      <c r="C5020" s="6">
        <v>11719961</v>
      </c>
      <c r="D5020" s="5" t="s">
        <v>416</v>
      </c>
      <c r="E5020" s="5" t="str">
        <f t="shared" si="251"/>
        <v>INSTRUMENTACION-DIANA CAICEDO-DIANA DIAZ</v>
      </c>
      <c r="F5020" s="5"/>
      <c r="G5020" s="5"/>
    </row>
    <row r="5021" spans="1:7" ht="58.5" customHeight="1" x14ac:dyDescent="0.25">
      <c r="A5021" s="5" t="str">
        <f>"H0035652"</f>
        <v>H0035652</v>
      </c>
      <c r="B5021" s="5" t="str">
        <f>"Óptica de visión frontal panorámica HOPKINS® 0° 4 mm Ø, longitud 30 cm"</f>
        <v>Óptica de visión frontal panorámica HOPKINS® 0° 4 mm Ø, longitud 30 cm</v>
      </c>
      <c r="C5021" s="6">
        <v>17670666</v>
      </c>
      <c r="D5021" s="5" t="s">
        <v>416</v>
      </c>
      <c r="E5021" s="5" t="str">
        <f t="shared" si="251"/>
        <v>INSTRUMENTACION-DIANA CAICEDO-DIANA DIAZ</v>
      </c>
      <c r="F5021" s="5"/>
      <c r="G5021" s="5"/>
    </row>
    <row r="5022" spans="1:7" ht="58.5" customHeight="1" x14ac:dyDescent="0.25">
      <c r="A5022" s="5" t="str">
        <f>"H0035653"</f>
        <v>H0035653</v>
      </c>
      <c r="B5022" s="5" t="str">
        <f>"Óptica de visión foroblicua panorámica HOPKINS® 30° 4 mm Ø, longitud 30 cm AUTOCLAVABLE"</f>
        <v>Óptica de visión foroblicua panorámica HOPKINS® 30° 4 mm Ø, longitud 30 cm AUTOCLAVABLE</v>
      </c>
      <c r="C5022" s="6">
        <v>12602576</v>
      </c>
      <c r="D5022" s="5" t="s">
        <v>416</v>
      </c>
      <c r="E5022" s="5" t="str">
        <f t="shared" si="251"/>
        <v>INSTRUMENTACION-DIANA CAICEDO-DIANA DIAZ</v>
      </c>
      <c r="F5022" s="5"/>
      <c r="G5022" s="5"/>
    </row>
    <row r="5023" spans="1:7" ht="58.5" customHeight="1" x14ac:dyDescent="0.25">
      <c r="A5023" s="5" t="str">
        <f>"H0035654"</f>
        <v>H0035654</v>
      </c>
      <c r="B5023" s="5" t="str">
        <f>"Vaina para cisto-uretroscopio 19 Charr.  Con obturator 27026 DO y Adaptadores  LUER-Lock"</f>
        <v>Vaina para cisto-uretroscopio 19 Charr.  Con obturator 27026 DO y Adaptadores  LUER-Lock</v>
      </c>
      <c r="C5023" s="6">
        <v>4437254</v>
      </c>
      <c r="D5023" s="5" t="s">
        <v>416</v>
      </c>
      <c r="E5023" s="5" t="str">
        <f t="shared" ref="E5023:E5086" si="253">"INSTRUMENTACION-DIANA CAICEDO-DIANA DIAZ"</f>
        <v>INSTRUMENTACION-DIANA CAICEDO-DIANA DIAZ</v>
      </c>
      <c r="F5023" s="5"/>
      <c r="G5023" s="5"/>
    </row>
    <row r="5024" spans="1:7" ht="58.5" customHeight="1" x14ac:dyDescent="0.25">
      <c r="A5024" s="5" t="str">
        <f>"H0035655"</f>
        <v>H0035655</v>
      </c>
      <c r="B5024" s="5" t="str">
        <f>"Vaina para cistouretroscopio 22 Charr."</f>
        <v>Vaina para cistouretroscopio 22 Charr.</v>
      </c>
      <c r="C5024" s="6">
        <v>2420696</v>
      </c>
      <c r="D5024" s="5" t="s">
        <v>417</v>
      </c>
      <c r="E5024" s="5" t="str">
        <f t="shared" si="253"/>
        <v>INSTRUMENTACION-DIANA CAICEDO-DIANA DIAZ</v>
      </c>
      <c r="F5024" s="5"/>
      <c r="G5024" s="5"/>
    </row>
    <row r="5025" spans="1:7" ht="58.5" customHeight="1" x14ac:dyDescent="0.25">
      <c r="A5025" s="5" t="str">
        <f>"H0035656"</f>
        <v>H0035656</v>
      </c>
      <c r="B5025" s="5" t="str">
        <f>"Inserto de exploración con 2 entradas obturables"</f>
        <v>Inserto de exploración con 2 entradas obturables</v>
      </c>
      <c r="C5025" s="6">
        <v>1195914</v>
      </c>
      <c r="D5025" s="5" t="s">
        <v>416</v>
      </c>
      <c r="E5025" s="5" t="str">
        <f t="shared" si="253"/>
        <v>INSTRUMENTACION-DIANA CAICEDO-DIANA DIAZ</v>
      </c>
      <c r="F5025" s="5"/>
      <c r="G5025" s="5"/>
    </row>
    <row r="5026" spans="1:7" ht="58.5" customHeight="1" x14ac:dyDescent="0.25">
      <c r="A5026" s="5" t="str">
        <f>"H0036564"</f>
        <v>H0036564</v>
      </c>
      <c r="B5026" s="5" t="str">
        <f>"Litotriptor intracorporeo neumático balístico, sistema de aspiración y evacuación, para una fijación más eficaz del cálculo y una mejor visión, potencia de salida: Aprox. 85 mJ"</f>
        <v>Litotriptor intracorporeo neumático balístico, sistema de aspiración y evacuación, para una fijación más eficaz del cálculo y una mejor visión, potencia de salida: Aprox. 85 mJ</v>
      </c>
      <c r="C5026" s="6">
        <v>145775000</v>
      </c>
      <c r="D5026" s="5" t="s">
        <v>418</v>
      </c>
      <c r="E5026" s="5" t="str">
        <f t="shared" si="253"/>
        <v>INSTRUMENTACION-DIANA CAICEDO-DIANA DIAZ</v>
      </c>
      <c r="F5026" s="5"/>
      <c r="G5026" s="5"/>
    </row>
    <row r="5027" spans="1:7" ht="58.5" customHeight="1" x14ac:dyDescent="0.25">
      <c r="A5027" s="5" t="str">
        <f>"H0036856"</f>
        <v>H0036856</v>
      </c>
      <c r="B5027" s="5" t="str">
        <f>"CANASTILLA ACERO PARA ESTERILIZAR"</f>
        <v>CANASTILLA ACERO PARA ESTERILIZAR</v>
      </c>
      <c r="C5027" s="6">
        <v>16032632</v>
      </c>
      <c r="D5027" s="5" t="s">
        <v>419</v>
      </c>
      <c r="E5027" s="5" t="str">
        <f t="shared" si="253"/>
        <v>INSTRUMENTACION-DIANA CAICEDO-DIANA DIAZ</v>
      </c>
      <c r="F5027" s="5"/>
      <c r="G5027" s="5"/>
    </row>
    <row r="5028" spans="1:7" ht="58.5" customHeight="1" x14ac:dyDescent="0.25">
      <c r="A5028" s="5" t="str">
        <f>"H0036864"</f>
        <v>H0036864</v>
      </c>
      <c r="B5028" s="5" t="str">
        <f>"CRANEOTOMO"</f>
        <v>CRANEOTOMO</v>
      </c>
      <c r="C5028" s="6">
        <v>9235900</v>
      </c>
      <c r="D5028" s="5" t="s">
        <v>420</v>
      </c>
      <c r="E5028" s="5" t="str">
        <f t="shared" si="253"/>
        <v>INSTRUMENTACION-DIANA CAICEDO-DIANA DIAZ</v>
      </c>
      <c r="F5028" s="5"/>
      <c r="G5028" s="5"/>
    </row>
    <row r="5029" spans="1:7" ht="58.5" customHeight="1" x14ac:dyDescent="0.25">
      <c r="A5029" s="5" t="str">
        <f>"H0036949"</f>
        <v>H0036949</v>
      </c>
      <c r="B5029" s="5" t="str">
        <f>"PINZA CONJUNTIVA OSHER"</f>
        <v>PINZA CONJUNTIVA OSHER</v>
      </c>
      <c r="C5029" s="6">
        <v>2668148.1800000002</v>
      </c>
      <c r="D5029" s="5" t="s">
        <v>421</v>
      </c>
      <c r="E5029" s="5" t="str">
        <f t="shared" si="253"/>
        <v>INSTRUMENTACION-DIANA CAICEDO-DIANA DIAZ</v>
      </c>
      <c r="F5029" s="5"/>
      <c r="G5029" s="5"/>
    </row>
    <row r="5030" spans="1:7" ht="58.5" customHeight="1" x14ac:dyDescent="0.25">
      <c r="A5030" s="5" t="str">
        <f>"H0036950"</f>
        <v>H0036950</v>
      </c>
      <c r="B5030" s="5" t="str">
        <f>"PINZA CONJUNTIVA OSHER"</f>
        <v>PINZA CONJUNTIVA OSHER</v>
      </c>
      <c r="C5030" s="6">
        <v>2668148.1800000002</v>
      </c>
      <c r="D5030" s="5" t="s">
        <v>421</v>
      </c>
      <c r="E5030" s="5" t="str">
        <f t="shared" si="253"/>
        <v>INSTRUMENTACION-DIANA CAICEDO-DIANA DIAZ</v>
      </c>
      <c r="F5030" s="5"/>
      <c r="G5030" s="5"/>
    </row>
    <row r="5031" spans="1:7" ht="58.5" customHeight="1" x14ac:dyDescent="0.25">
      <c r="A5031" s="5" t="str">
        <f>"H0036951"</f>
        <v>H0036951</v>
      </c>
      <c r="B5031" s="5" t="str">
        <f>"PINZA CONJUNTIVA CHIHARA"</f>
        <v>PINZA CONJUNTIVA CHIHARA</v>
      </c>
      <c r="C5031" s="6">
        <v>2254173.02</v>
      </c>
      <c r="D5031" s="5" t="s">
        <v>421</v>
      </c>
      <c r="E5031" s="5" t="str">
        <f t="shared" si="253"/>
        <v>INSTRUMENTACION-DIANA CAICEDO-DIANA DIAZ</v>
      </c>
      <c r="F5031" s="5"/>
      <c r="G5031" s="5"/>
    </row>
    <row r="5032" spans="1:7" ht="58.5" customHeight="1" x14ac:dyDescent="0.25">
      <c r="A5032" s="5" t="str">
        <f>"H0036952"</f>
        <v>H0036952</v>
      </c>
      <c r="B5032" s="5" t="str">
        <f>"PINZA CONJUNTIVA CHIHARA"</f>
        <v>PINZA CONJUNTIVA CHIHARA</v>
      </c>
      <c r="C5032" s="6">
        <v>2254173.02</v>
      </c>
      <c r="D5032" s="5" t="s">
        <v>421</v>
      </c>
      <c r="E5032" s="5" t="str">
        <f t="shared" si="253"/>
        <v>INSTRUMENTACION-DIANA CAICEDO-DIANA DIAZ</v>
      </c>
      <c r="F5032" s="5"/>
      <c r="G5032" s="5"/>
    </row>
    <row r="5033" spans="1:7" ht="58.5" customHeight="1" x14ac:dyDescent="0.25">
      <c r="A5033" s="5" t="str">
        <f>"H0036953"</f>
        <v>H0036953</v>
      </c>
      <c r="B5033" s="5" t="str">
        <f>"PRECHOPER AKAHOSHI"</f>
        <v>PRECHOPER AKAHOSHI</v>
      </c>
      <c r="C5033" s="6">
        <v>2222328.86</v>
      </c>
      <c r="D5033" s="5" t="s">
        <v>421</v>
      </c>
      <c r="E5033" s="5" t="str">
        <f t="shared" si="253"/>
        <v>INSTRUMENTACION-DIANA CAICEDO-DIANA DIAZ</v>
      </c>
      <c r="F5033" s="5"/>
      <c r="G5033" s="5"/>
    </row>
    <row r="5034" spans="1:7" ht="58.5" customHeight="1" x14ac:dyDescent="0.25">
      <c r="A5034" s="5" t="str">
        <f>"H0036954"</f>
        <v>H0036954</v>
      </c>
      <c r="B5034" s="5" t="str">
        <f>"PRECHOPER AKAHOSHI"</f>
        <v>PRECHOPER AKAHOSHI</v>
      </c>
      <c r="C5034" s="6">
        <v>2222328.86</v>
      </c>
      <c r="D5034" s="5" t="s">
        <v>421</v>
      </c>
      <c r="E5034" s="5" t="str">
        <f t="shared" si="253"/>
        <v>INSTRUMENTACION-DIANA CAICEDO-DIANA DIAZ</v>
      </c>
      <c r="F5034" s="5"/>
      <c r="G5034" s="5"/>
    </row>
    <row r="5035" spans="1:7" ht="58.5" customHeight="1" x14ac:dyDescent="0.25">
      <c r="A5035" s="5" t="str">
        <f>"H0036955"</f>
        <v>H0036955</v>
      </c>
      <c r="B5035" s="5" t="str">
        <f>"PINZA UTRATA  (EJES CURVOS )"</f>
        <v>PINZA UTRATA  (EJES CURVOS )</v>
      </c>
      <c r="C5035" s="6">
        <v>3368724.01</v>
      </c>
      <c r="D5035" s="5" t="s">
        <v>421</v>
      </c>
      <c r="E5035" s="5" t="str">
        <f t="shared" si="253"/>
        <v>INSTRUMENTACION-DIANA CAICEDO-DIANA DIAZ</v>
      </c>
      <c r="F5035" s="5"/>
      <c r="G5035" s="5"/>
    </row>
    <row r="5036" spans="1:7" ht="58.5" customHeight="1" x14ac:dyDescent="0.25">
      <c r="A5036" s="5" t="str">
        <f>"H0036956"</f>
        <v>H0036956</v>
      </c>
      <c r="B5036" s="5" t="str">
        <f>"PINZA UTRATA  (EJES CURVOS )"</f>
        <v>PINZA UTRATA  (EJES CURVOS )</v>
      </c>
      <c r="C5036" s="6">
        <v>3368724.01</v>
      </c>
      <c r="D5036" s="5" t="s">
        <v>421</v>
      </c>
      <c r="E5036" s="5" t="str">
        <f t="shared" si="253"/>
        <v>INSTRUMENTACION-DIANA CAICEDO-DIANA DIAZ</v>
      </c>
      <c r="F5036" s="5"/>
      <c r="G5036" s="5"/>
    </row>
    <row r="5037" spans="1:7" ht="58.5" customHeight="1" x14ac:dyDescent="0.25">
      <c r="A5037" s="5" t="str">
        <f>"H0036957"</f>
        <v>H0036957</v>
      </c>
      <c r="B5037" s="5" t="str">
        <f>"ROTADORDELENTE"</f>
        <v>ROTADORDELENTE</v>
      </c>
      <c r="C5037" s="6">
        <v>1235157.05</v>
      </c>
      <c r="D5037" s="5" t="s">
        <v>422</v>
      </c>
      <c r="E5037" s="5" t="str">
        <f t="shared" si="253"/>
        <v>INSTRUMENTACION-DIANA CAICEDO-DIANA DIAZ</v>
      </c>
      <c r="F5037" s="5"/>
      <c r="G5037" s="5"/>
    </row>
    <row r="5038" spans="1:7" ht="58.5" customHeight="1" x14ac:dyDescent="0.25">
      <c r="A5038" s="5" t="str">
        <f>"H0036958"</f>
        <v>H0036958</v>
      </c>
      <c r="B5038" s="5" t="str">
        <f>"ROTADORDELENTE"</f>
        <v>ROTADORDELENTE</v>
      </c>
      <c r="C5038" s="6">
        <v>1235157.05</v>
      </c>
      <c r="D5038" s="5" t="s">
        <v>421</v>
      </c>
      <c r="E5038" s="5" t="str">
        <f t="shared" si="253"/>
        <v>INSTRUMENTACION-DIANA CAICEDO-DIANA DIAZ</v>
      </c>
      <c r="F5038" s="5"/>
      <c r="G5038" s="5"/>
    </row>
    <row r="5039" spans="1:7" ht="58.5" customHeight="1" x14ac:dyDescent="0.25">
      <c r="A5039" s="5" t="str">
        <f>"H0036959"</f>
        <v>H0036959</v>
      </c>
      <c r="B5039" s="5" t="str">
        <f>"PINZA UTRATA (EJES RECTOS)"</f>
        <v>PINZA UTRATA (EJES RECTOS)</v>
      </c>
      <c r="C5039" s="6">
        <v>3066200.99</v>
      </c>
      <c r="D5039" s="5" t="s">
        <v>421</v>
      </c>
      <c r="E5039" s="5" t="str">
        <f t="shared" si="253"/>
        <v>INSTRUMENTACION-DIANA CAICEDO-DIANA DIAZ</v>
      </c>
      <c r="F5039" s="5"/>
      <c r="G5039" s="5"/>
    </row>
    <row r="5040" spans="1:7" ht="58.5" customHeight="1" x14ac:dyDescent="0.25">
      <c r="A5040" s="5" t="str">
        <f>"H0036960"</f>
        <v>H0036960</v>
      </c>
      <c r="B5040" s="5" t="str">
        <f>"PINZA UTRATA (EJES RECTOS)"</f>
        <v>PINZA UTRATA (EJES RECTOS)</v>
      </c>
      <c r="C5040" s="6">
        <v>3066200.99</v>
      </c>
      <c r="D5040" s="5" t="s">
        <v>421</v>
      </c>
      <c r="E5040" s="5" t="str">
        <f t="shared" si="253"/>
        <v>INSTRUMENTACION-DIANA CAICEDO-DIANA DIAZ</v>
      </c>
      <c r="F5040" s="5"/>
      <c r="G5040" s="5"/>
    </row>
    <row r="5041" spans="1:7" ht="58.5" customHeight="1" x14ac:dyDescent="0.25">
      <c r="A5041" s="5" t="str">
        <f>"H0036961"</f>
        <v>H0036961</v>
      </c>
      <c r="B5041" s="5" t="str">
        <f>"ESPATULADELIRIS"</f>
        <v>ESPATULADELIRIS</v>
      </c>
      <c r="C5041" s="6">
        <v>1442142.88</v>
      </c>
      <c r="D5041" s="5" t="s">
        <v>421</v>
      </c>
      <c r="E5041" s="5" t="str">
        <f t="shared" si="253"/>
        <v>INSTRUMENTACION-DIANA CAICEDO-DIANA DIAZ</v>
      </c>
      <c r="F5041" s="5"/>
      <c r="G5041" s="5"/>
    </row>
    <row r="5042" spans="1:7" ht="58.5" customHeight="1" x14ac:dyDescent="0.25">
      <c r="A5042" s="5" t="str">
        <f>"H0036962"</f>
        <v>H0036962</v>
      </c>
      <c r="B5042" s="5" t="str">
        <f>"ESPATULADELIRIS"</f>
        <v>ESPATULADELIRIS</v>
      </c>
      <c r="C5042" s="6">
        <v>1442142.88</v>
      </c>
      <c r="D5042" s="5" t="s">
        <v>421</v>
      </c>
      <c r="E5042" s="5" t="str">
        <f t="shared" si="253"/>
        <v>INSTRUMENTACION-DIANA CAICEDO-DIANA DIAZ</v>
      </c>
      <c r="F5042" s="5"/>
      <c r="G5042" s="5"/>
    </row>
    <row r="5043" spans="1:7" ht="58.5" customHeight="1" x14ac:dyDescent="0.25">
      <c r="A5043" s="5" t="str">
        <f>"H0036963"</f>
        <v>H0036963</v>
      </c>
      <c r="B5043" s="5" t="str">
        <f>"CHOPER"</f>
        <v>CHOPER</v>
      </c>
      <c r="C5043" s="6">
        <v>2349705.86</v>
      </c>
      <c r="D5043" s="5" t="s">
        <v>421</v>
      </c>
      <c r="E5043" s="5" t="str">
        <f t="shared" si="253"/>
        <v>INSTRUMENTACION-DIANA CAICEDO-DIANA DIAZ</v>
      </c>
      <c r="F5043" s="5"/>
      <c r="G5043" s="5"/>
    </row>
    <row r="5044" spans="1:7" ht="58.5" customHeight="1" x14ac:dyDescent="0.25">
      <c r="A5044" s="5" t="str">
        <f>"H0036964"</f>
        <v>H0036964</v>
      </c>
      <c r="B5044" s="5" t="str">
        <f>"CHOPER"</f>
        <v>CHOPER</v>
      </c>
      <c r="C5044" s="6">
        <v>2349705.86</v>
      </c>
      <c r="D5044" s="5" t="s">
        <v>421</v>
      </c>
      <c r="E5044" s="5" t="str">
        <f t="shared" si="253"/>
        <v>INSTRUMENTACION-DIANA CAICEDO-DIANA DIAZ</v>
      </c>
      <c r="F5044" s="5"/>
      <c r="G5044" s="5"/>
    </row>
    <row r="5045" spans="1:7" ht="58.5" customHeight="1" x14ac:dyDescent="0.25">
      <c r="A5045" s="5" t="str">
        <f>"H0036965"</f>
        <v>H0036965</v>
      </c>
      <c r="B5045" s="5" t="str">
        <f>"TIJERAWESTCOT"</f>
        <v>TIJERAWESTCOT</v>
      </c>
      <c r="C5045" s="6">
        <v>3050280.01</v>
      </c>
      <c r="D5045" s="5" t="s">
        <v>421</v>
      </c>
      <c r="E5045" s="5" t="str">
        <f t="shared" si="253"/>
        <v>INSTRUMENTACION-DIANA CAICEDO-DIANA DIAZ</v>
      </c>
      <c r="F5045" s="5"/>
      <c r="G5045" s="5"/>
    </row>
    <row r="5046" spans="1:7" ht="58.5" customHeight="1" x14ac:dyDescent="0.25">
      <c r="A5046" s="5" t="str">
        <f>"H0036966"</f>
        <v>H0036966</v>
      </c>
      <c r="B5046" s="5" t="str">
        <f>"TIJERAWESTCOT"</f>
        <v>TIJERAWESTCOT</v>
      </c>
      <c r="C5046" s="6">
        <v>3050280.01</v>
      </c>
      <c r="D5046" s="5" t="s">
        <v>421</v>
      </c>
      <c r="E5046" s="5" t="str">
        <f t="shared" si="253"/>
        <v>INSTRUMENTACION-DIANA CAICEDO-DIANA DIAZ</v>
      </c>
      <c r="F5046" s="5"/>
      <c r="G5046" s="5"/>
    </row>
    <row r="5047" spans="1:7" ht="58.5" customHeight="1" x14ac:dyDescent="0.25">
      <c r="A5047" s="5" t="str">
        <f>"H0036967"</f>
        <v>H0036967</v>
      </c>
      <c r="B5047" s="5" t="str">
        <f>"PORTAGUJAS"</f>
        <v>PORTAGUJAS</v>
      </c>
      <c r="C5047" s="6">
        <v>2747779.82</v>
      </c>
      <c r="D5047" s="5" t="s">
        <v>421</v>
      </c>
      <c r="E5047" s="5" t="str">
        <f t="shared" si="253"/>
        <v>INSTRUMENTACION-DIANA CAICEDO-DIANA DIAZ</v>
      </c>
      <c r="F5047" s="5"/>
      <c r="G5047" s="5"/>
    </row>
    <row r="5048" spans="1:7" ht="58.5" customHeight="1" x14ac:dyDescent="0.25">
      <c r="A5048" s="5" t="str">
        <f>"H0036968"</f>
        <v>H0036968</v>
      </c>
      <c r="B5048" s="5" t="str">
        <f>"PORTAGUJAS"</f>
        <v>PORTAGUJAS</v>
      </c>
      <c r="C5048" s="6">
        <v>2747779.82</v>
      </c>
      <c r="D5048" s="5" t="s">
        <v>421</v>
      </c>
      <c r="E5048" s="5" t="str">
        <f t="shared" si="253"/>
        <v>INSTRUMENTACION-DIANA CAICEDO-DIANA DIAZ</v>
      </c>
      <c r="F5048" s="5"/>
      <c r="G5048" s="5"/>
    </row>
    <row r="5049" spans="1:7" ht="58.5" customHeight="1" x14ac:dyDescent="0.25">
      <c r="A5049" s="5" t="str">
        <f>"H0036976"</f>
        <v>H0036976</v>
      </c>
      <c r="B5049" s="5" t="str">
        <f>"ATT AF02 LEGEND F2 (B-1) 2.4MM STEM"</f>
        <v>ATT AF02 LEGEND F2 (B-1) 2.4MM STEM</v>
      </c>
      <c r="C5049" s="6">
        <v>5424020</v>
      </c>
      <c r="D5049" s="5" t="s">
        <v>423</v>
      </c>
      <c r="E5049" s="5" t="str">
        <f t="shared" si="253"/>
        <v>INSTRUMENTACION-DIANA CAICEDO-DIANA DIAZ</v>
      </c>
      <c r="F5049" s="5"/>
      <c r="G5049" s="5"/>
    </row>
    <row r="5050" spans="1:7" ht="58.5" customHeight="1" x14ac:dyDescent="0.25">
      <c r="A5050" s="5" t="str">
        <f>"H0036977"</f>
        <v>H0036977</v>
      </c>
      <c r="B5050" s="5" t="str">
        <f>"ATT AF02 LEGEND F2 (B-1) 2.4MM STEM"</f>
        <v>ATT AF02 LEGEND F2 (B-1) 2.4MM STEM</v>
      </c>
      <c r="C5050" s="6">
        <v>5424020</v>
      </c>
      <c r="D5050" s="5" t="s">
        <v>423</v>
      </c>
      <c r="E5050" s="5" t="str">
        <f t="shared" si="253"/>
        <v>INSTRUMENTACION-DIANA CAICEDO-DIANA DIAZ</v>
      </c>
      <c r="F5050" s="5"/>
      <c r="G5050" s="5"/>
    </row>
    <row r="5051" spans="1:7" ht="58.5" customHeight="1" x14ac:dyDescent="0.25">
      <c r="A5051" s="5" t="str">
        <f>"H0036978"</f>
        <v>H0036978</v>
      </c>
      <c r="B5051" s="5" t="str">
        <f>"ATT AF02 LEGEND F2 (B-1) 2.4MM STEM"</f>
        <v>ATT AF02 LEGEND F2 (B-1) 2.4MM STEM</v>
      </c>
      <c r="C5051" s="6">
        <v>5424020</v>
      </c>
      <c r="D5051" s="5" t="s">
        <v>423</v>
      </c>
      <c r="E5051" s="5" t="str">
        <f t="shared" si="253"/>
        <v>INSTRUMENTACION-DIANA CAICEDO-DIANA DIAZ</v>
      </c>
      <c r="F5051" s="5"/>
      <c r="G5051" s="5"/>
    </row>
    <row r="5052" spans="1:7" ht="58.5" customHeight="1" x14ac:dyDescent="0.25">
      <c r="A5052" s="5" t="str">
        <f>"H0036979"</f>
        <v>H0036979</v>
      </c>
      <c r="B5052" s="5" t="str">
        <f>"ACCY PA200 MIDAS REX REGULATOR DISS"</f>
        <v>ACCY PA200 MIDAS REX REGULATOR DISS</v>
      </c>
      <c r="C5052" s="6">
        <v>5424020</v>
      </c>
      <c r="D5052" s="5" t="s">
        <v>423</v>
      </c>
      <c r="E5052" s="5" t="str">
        <f t="shared" si="253"/>
        <v>INSTRUMENTACION-DIANA CAICEDO-DIANA DIAZ</v>
      </c>
      <c r="F5052" s="5"/>
      <c r="G5052" s="5"/>
    </row>
    <row r="5053" spans="1:7" ht="58.5" customHeight="1" x14ac:dyDescent="0.25">
      <c r="A5053" s="5" t="str">
        <f>"H0036980"</f>
        <v>H0036980</v>
      </c>
      <c r="B5053" s="5" t="str">
        <f>"BRONCOSCOPIO FLEXIBLE PEDRIATRICO 3.7 X 54"</f>
        <v>BRONCOSCOPIO FLEXIBLE PEDRIATRICO 3.7 X 54</v>
      </c>
      <c r="C5053" s="6">
        <v>96539965.010000005</v>
      </c>
      <c r="D5053" s="5" t="s">
        <v>424</v>
      </c>
      <c r="E5053" s="5" t="str">
        <f t="shared" si="253"/>
        <v>INSTRUMENTACION-DIANA CAICEDO-DIANA DIAZ</v>
      </c>
      <c r="F5053" s="5"/>
      <c r="G5053" s="5" t="str">
        <f>"11002BD1"</f>
        <v>11002BD1</v>
      </c>
    </row>
    <row r="5054" spans="1:7" ht="58.5" customHeight="1" x14ac:dyDescent="0.25">
      <c r="A5054" s="5" t="str">
        <f>"H0036981"</f>
        <v>H0036981</v>
      </c>
      <c r="B5054" s="5" t="str">
        <f>"CANASTILLA  ( CONTENEDOR DE FIBRO )"</f>
        <v>CANASTILLA  ( CONTENEDOR DE FIBRO )</v>
      </c>
      <c r="C5054" s="6">
        <v>15546810.220000001</v>
      </c>
      <c r="D5054" s="5" t="s">
        <v>424</v>
      </c>
      <c r="E5054" s="5" t="str">
        <f t="shared" si="253"/>
        <v>INSTRUMENTACION-DIANA CAICEDO-DIANA DIAZ</v>
      </c>
      <c r="F5054" s="5"/>
      <c r="G5054" s="5"/>
    </row>
    <row r="5055" spans="1:7" ht="58.5" customHeight="1" x14ac:dyDescent="0.25">
      <c r="A5055" s="5" t="str">
        <f>"H0036982"</f>
        <v>H0036982</v>
      </c>
      <c r="B5055" s="5" t="str">
        <f>"CANASTILLA  ( CONTENEDOR DE FIBRO )"</f>
        <v>CANASTILLA  ( CONTENEDOR DE FIBRO )</v>
      </c>
      <c r="C5055" s="6">
        <v>15546810.220000001</v>
      </c>
      <c r="D5055" s="5" t="s">
        <v>424</v>
      </c>
      <c r="E5055" s="5" t="str">
        <f t="shared" si="253"/>
        <v>INSTRUMENTACION-DIANA CAICEDO-DIANA DIAZ</v>
      </c>
      <c r="F5055" s="5"/>
      <c r="G5055" s="5"/>
    </row>
    <row r="5056" spans="1:7" ht="58.5" customHeight="1" x14ac:dyDescent="0.25">
      <c r="A5056" s="5" t="str">
        <f>"H0036997"</f>
        <v>H0036997</v>
      </c>
      <c r="B5056" s="5" t="str">
        <f>"PINZAS MICRO-PRECHOPPER SALVITTI AKAHOSHI, PUNTA PEQUEÑA, REF, 2-817E"</f>
        <v>PINZAS MICRO-PRECHOPPER SALVITTI AKAHOSHI, PUNTA PEQUEÑA, REF, 2-817E</v>
      </c>
      <c r="C5056" s="6">
        <v>7037415.1100000003</v>
      </c>
      <c r="D5056" s="5" t="s">
        <v>238</v>
      </c>
      <c r="E5056" s="5" t="str">
        <f t="shared" si="253"/>
        <v>INSTRUMENTACION-DIANA CAICEDO-DIANA DIAZ</v>
      </c>
      <c r="F5056" s="5"/>
      <c r="G5056" s="5"/>
    </row>
    <row r="5057" spans="1:7" ht="58.5" customHeight="1" x14ac:dyDescent="0.25">
      <c r="A5057" s="5" t="str">
        <f>"H0036998"</f>
        <v>H0036998</v>
      </c>
      <c r="B5057" s="5" t="str">
        <f>"PINZAS MICRO-PRECHOPPER SALVITTI AKAHOSHI, PUNTA PEQUEÑA, REF, 2-817E"</f>
        <v>PINZAS MICRO-PRECHOPPER SALVITTI AKAHOSHI, PUNTA PEQUEÑA, REF, 2-817E</v>
      </c>
      <c r="C5057" s="6">
        <v>7037415.1100000003</v>
      </c>
      <c r="D5057" s="5" t="s">
        <v>238</v>
      </c>
      <c r="E5057" s="5" t="str">
        <f t="shared" si="253"/>
        <v>INSTRUMENTACION-DIANA CAICEDO-DIANA DIAZ</v>
      </c>
      <c r="F5057" s="5"/>
      <c r="G5057" s="5"/>
    </row>
    <row r="5058" spans="1:7" ht="58.5" customHeight="1" x14ac:dyDescent="0.25">
      <c r="A5058" s="5" t="str">
        <f>"H0037208"</f>
        <v>H0037208</v>
      </c>
      <c r="B5058" s="5" t="str">
        <f>"DERMATOMO ELECTRICO"</f>
        <v>DERMATOMO ELECTRICO</v>
      </c>
      <c r="C5058" s="6">
        <v>101881005</v>
      </c>
      <c r="D5058" s="5" t="s">
        <v>425</v>
      </c>
      <c r="E5058" s="5" t="str">
        <f t="shared" si="253"/>
        <v>INSTRUMENTACION-DIANA CAICEDO-DIANA DIAZ</v>
      </c>
      <c r="F5058" s="5"/>
      <c r="G5058" s="5"/>
    </row>
    <row r="5059" spans="1:7" ht="58.5" customHeight="1" x14ac:dyDescent="0.25">
      <c r="A5059" s="5" t="str">
        <f>"H0038145"</f>
        <v>H0038145</v>
      </c>
      <c r="B5059" s="5" t="str">
        <f>"LENTE DE 30° COMPATIBLE CON TODA CAMARA.KARL STORZ"</f>
        <v>LENTE DE 30° COMPATIBLE CON TODA CAMARA.KARL STORZ</v>
      </c>
      <c r="C5059" s="6">
        <v>37128000</v>
      </c>
      <c r="D5059" s="5" t="s">
        <v>426</v>
      </c>
      <c r="E5059" s="5" t="str">
        <f t="shared" si="253"/>
        <v>INSTRUMENTACION-DIANA CAICEDO-DIANA DIAZ</v>
      </c>
      <c r="F5059" s="5"/>
      <c r="G5059" s="5"/>
    </row>
    <row r="5060" spans="1:7" ht="58.5" customHeight="1" x14ac:dyDescent="0.25">
      <c r="A5060" s="5" t="str">
        <f>"H0038146"</f>
        <v>H0038146</v>
      </c>
      <c r="B5060" s="5" t="str">
        <f>"PINZA DE AGARRE"</f>
        <v>PINZA DE AGARRE</v>
      </c>
      <c r="C5060" s="6">
        <v>7616000</v>
      </c>
      <c r="D5060" s="5" t="s">
        <v>426</v>
      </c>
      <c r="E5060" s="5" t="str">
        <f t="shared" si="253"/>
        <v>INSTRUMENTACION-DIANA CAICEDO-DIANA DIAZ</v>
      </c>
      <c r="F5060" s="5"/>
      <c r="G5060" s="5"/>
    </row>
    <row r="5061" spans="1:7" ht="58.5" customHeight="1" x14ac:dyDescent="0.25">
      <c r="A5061" s="5" t="str">
        <f>"H0038191"</f>
        <v>H0038191</v>
      </c>
      <c r="B5061" s="5" t="str">
        <f>"OPTICA DE VISION FRONTAL 0° de 1.9  y 2.1mm longitud 18cm Lente"</f>
        <v>OPTICA DE VISION FRONTAL 0° de 1.9  y 2.1mm longitud 18cm Lente</v>
      </c>
      <c r="C5061" s="6">
        <v>29127154</v>
      </c>
      <c r="D5061" s="5" t="s">
        <v>340</v>
      </c>
      <c r="E5061" s="5" t="str">
        <f t="shared" si="253"/>
        <v>INSTRUMENTACION-DIANA CAICEDO-DIANA DIAZ</v>
      </c>
      <c r="F5061" s="5"/>
      <c r="G5061" s="5"/>
    </row>
    <row r="5062" spans="1:7" ht="58.5" customHeight="1" x14ac:dyDescent="0.25">
      <c r="A5062" s="5" t="str">
        <f>"H0038192"</f>
        <v>H0038192</v>
      </c>
      <c r="B5062" s="5" t="str">
        <f>"OPTICA DE VISION FRONTAL 0°4 mm Longitud 30 cm Lente"</f>
        <v>OPTICA DE VISION FRONTAL 0°4 mm Longitud 30 cm Lente</v>
      </c>
      <c r="C5062" s="6">
        <v>36188495</v>
      </c>
      <c r="D5062" s="5" t="s">
        <v>340</v>
      </c>
      <c r="E5062" s="5" t="str">
        <f t="shared" si="253"/>
        <v>INSTRUMENTACION-DIANA CAICEDO-DIANA DIAZ</v>
      </c>
      <c r="F5062" s="5"/>
      <c r="G5062" s="5"/>
    </row>
    <row r="5063" spans="1:7" ht="58.5" customHeight="1" x14ac:dyDescent="0.25">
      <c r="A5063" s="5" t="str">
        <f>"H0038193"</f>
        <v>H0038193</v>
      </c>
      <c r="B5063" s="5" t="str">
        <f>"PINZA LIGA CLIP LAPAROSCOPIA"</f>
        <v>PINZA LIGA CLIP LAPAROSCOPIA</v>
      </c>
      <c r="C5063" s="6">
        <v>11942840</v>
      </c>
      <c r="D5063" s="5" t="s">
        <v>340</v>
      </c>
      <c r="E5063" s="5" t="str">
        <f t="shared" si="253"/>
        <v>INSTRUMENTACION-DIANA CAICEDO-DIANA DIAZ</v>
      </c>
      <c r="F5063" s="5"/>
      <c r="G5063" s="5"/>
    </row>
    <row r="5064" spans="1:7" ht="58.5" customHeight="1" x14ac:dyDescent="0.25">
      <c r="A5064" s="5" t="str">
        <f>"H0038194"</f>
        <v>H0038194</v>
      </c>
      <c r="B5064" s="5" t="str">
        <f>"PINZA LIGA CLIP LAPAROSCOPIA"</f>
        <v>PINZA LIGA CLIP LAPAROSCOPIA</v>
      </c>
      <c r="C5064" s="6">
        <v>11942840</v>
      </c>
      <c r="D5064" s="5" t="s">
        <v>340</v>
      </c>
      <c r="E5064" s="5" t="str">
        <f t="shared" si="253"/>
        <v>INSTRUMENTACION-DIANA CAICEDO-DIANA DIAZ</v>
      </c>
      <c r="F5064" s="5"/>
      <c r="G5064" s="5"/>
    </row>
    <row r="5065" spans="1:7" ht="58.5" customHeight="1" x14ac:dyDescent="0.25">
      <c r="A5065" s="5" t="str">
        <f>"H0038195"</f>
        <v>H0038195</v>
      </c>
      <c r="B5065" s="5" t="str">
        <f>"PINZA AGARRE JOHANS 5MM LONGITUD 36"</f>
        <v>PINZA AGARRE JOHANS 5MM LONGITUD 36</v>
      </c>
      <c r="C5065" s="6">
        <v>6591767</v>
      </c>
      <c r="D5065" s="5" t="s">
        <v>340</v>
      </c>
      <c r="E5065" s="5" t="str">
        <f t="shared" si="253"/>
        <v>INSTRUMENTACION-DIANA CAICEDO-DIANA DIAZ</v>
      </c>
      <c r="F5065" s="5"/>
      <c r="G5065" s="5"/>
    </row>
    <row r="5066" spans="1:7" ht="58.5" customHeight="1" x14ac:dyDescent="0.25">
      <c r="A5066" s="5" t="str">
        <f>"H0038196"</f>
        <v>H0038196</v>
      </c>
      <c r="B5066" s="5" t="str">
        <f>"PINZA AGARRE JOHANS 5MM LONGITUD 36"</f>
        <v>PINZA AGARRE JOHANS 5MM LONGITUD 36</v>
      </c>
      <c r="C5066" s="6">
        <v>6591767</v>
      </c>
      <c r="D5066" s="5" t="s">
        <v>340</v>
      </c>
      <c r="E5066" s="5" t="str">
        <f t="shared" si="253"/>
        <v>INSTRUMENTACION-DIANA CAICEDO-DIANA DIAZ</v>
      </c>
      <c r="F5066" s="5"/>
      <c r="G5066" s="5"/>
    </row>
    <row r="5067" spans="1:7" ht="58.5" customHeight="1" x14ac:dyDescent="0.25">
      <c r="A5067" s="5" t="str">
        <f>"H0038197"</f>
        <v>H0038197</v>
      </c>
      <c r="B5067" s="5" t="str">
        <f>"PINZA AGARRE JOHANS 5MM LONGITUD 36"</f>
        <v>PINZA AGARRE JOHANS 5MM LONGITUD 36</v>
      </c>
      <c r="C5067" s="6">
        <v>6591767</v>
      </c>
      <c r="D5067" s="5" t="s">
        <v>340</v>
      </c>
      <c r="E5067" s="5" t="str">
        <f t="shared" si="253"/>
        <v>INSTRUMENTACION-DIANA CAICEDO-DIANA DIAZ</v>
      </c>
      <c r="F5067" s="5"/>
      <c r="G5067" s="5"/>
    </row>
    <row r="5068" spans="1:7" ht="58.5" customHeight="1" x14ac:dyDescent="0.25">
      <c r="A5068" s="5" t="str">
        <f>"H0038205"</f>
        <v>H0038205</v>
      </c>
      <c r="B5068" s="5" t="str">
        <f>"OPTICA DE VISION FOROBLICUA PANORAMICA HOPKINS 30°"</f>
        <v>OPTICA DE VISION FOROBLICUA PANORAMICA HOPKINS 30°</v>
      </c>
      <c r="C5068" s="6">
        <v>34690047</v>
      </c>
      <c r="D5068" s="5" t="s">
        <v>340</v>
      </c>
      <c r="E5068" s="5" t="str">
        <f t="shared" si="253"/>
        <v>INSTRUMENTACION-DIANA CAICEDO-DIANA DIAZ</v>
      </c>
      <c r="F5068" s="5"/>
      <c r="G5068" s="5"/>
    </row>
    <row r="5069" spans="1:7" ht="58.5" customHeight="1" x14ac:dyDescent="0.25">
      <c r="A5069" s="5" t="str">
        <f>"H0038206"</f>
        <v>H0038206</v>
      </c>
      <c r="B5069" s="5" t="str">
        <f>"OPTICA DE VISION FOROBLICUA PANORAMICA HOPKINS 30°"</f>
        <v>OPTICA DE VISION FOROBLICUA PANORAMICA HOPKINS 30°</v>
      </c>
      <c r="C5069" s="6">
        <v>34690047</v>
      </c>
      <c r="D5069" s="5" t="s">
        <v>340</v>
      </c>
      <c r="E5069" s="5" t="str">
        <f t="shared" si="253"/>
        <v>INSTRUMENTACION-DIANA CAICEDO-DIANA DIAZ</v>
      </c>
      <c r="F5069" s="5"/>
      <c r="G5069" s="5"/>
    </row>
    <row r="5070" spans="1:7" ht="58.5" customHeight="1" x14ac:dyDescent="0.25">
      <c r="A5070" s="5" t="str">
        <f>"H0038207"</f>
        <v>H0038207</v>
      </c>
      <c r="B5070" s="5" t="str">
        <f>"OPTICA DE VISION FOROBLICUA PANORAMICA HOPKINS 30°"</f>
        <v>OPTICA DE VISION FOROBLICUA PANORAMICA HOPKINS 30°</v>
      </c>
      <c r="C5070" s="6">
        <v>34690047</v>
      </c>
      <c r="D5070" s="5" t="s">
        <v>340</v>
      </c>
      <c r="E5070" s="5" t="str">
        <f t="shared" si="253"/>
        <v>INSTRUMENTACION-DIANA CAICEDO-DIANA DIAZ</v>
      </c>
      <c r="F5070" s="5"/>
      <c r="G5070" s="5"/>
    </row>
    <row r="5071" spans="1:7" ht="58.5" customHeight="1" x14ac:dyDescent="0.25">
      <c r="A5071" s="5" t="str">
        <f>"H0038208"</f>
        <v>H0038208</v>
      </c>
      <c r="B5071" s="5" t="str">
        <f>"OPTICA DE VISION FRONTAL 0° DE 2,9mm longuitud 30cm Lente"</f>
        <v>OPTICA DE VISION FRONTAL 0° DE 2,9mm longuitud 30cm Lente</v>
      </c>
      <c r="C5071" s="6">
        <v>35645855</v>
      </c>
      <c r="D5071" s="5" t="s">
        <v>340</v>
      </c>
      <c r="E5071" s="5" t="str">
        <f t="shared" si="253"/>
        <v>INSTRUMENTACION-DIANA CAICEDO-DIANA DIAZ</v>
      </c>
      <c r="F5071" s="5"/>
      <c r="G5071" s="5"/>
    </row>
    <row r="5072" spans="1:7" ht="58.5" customHeight="1" x14ac:dyDescent="0.25">
      <c r="A5072" s="5" t="str">
        <f>"H0038209"</f>
        <v>H0038209</v>
      </c>
      <c r="B5072" s="5" t="str">
        <f>"PINZA AGARRE JOHANS 5MM LONGITUD 36"</f>
        <v>PINZA AGARRE JOHANS 5MM LONGITUD 36</v>
      </c>
      <c r="C5072" s="6">
        <v>6591767</v>
      </c>
      <c r="D5072" s="5" t="s">
        <v>340</v>
      </c>
      <c r="E5072" s="5" t="str">
        <f t="shared" si="253"/>
        <v>INSTRUMENTACION-DIANA CAICEDO-DIANA DIAZ</v>
      </c>
      <c r="F5072" s="5"/>
      <c r="G5072" s="5"/>
    </row>
    <row r="5073" spans="1:7" ht="58.5" customHeight="1" x14ac:dyDescent="0.25">
      <c r="A5073" s="5" t="str">
        <f>"H0038210"</f>
        <v>H0038210</v>
      </c>
      <c r="B5073" s="5" t="str">
        <f>"PINZA AGARRE JOHANS 5MM LONGITUD 36"</f>
        <v>PINZA AGARRE JOHANS 5MM LONGITUD 36</v>
      </c>
      <c r="C5073" s="6">
        <v>6591767</v>
      </c>
      <c r="D5073" s="5" t="s">
        <v>340</v>
      </c>
      <c r="E5073" s="5" t="str">
        <f t="shared" si="253"/>
        <v>INSTRUMENTACION-DIANA CAICEDO-DIANA DIAZ</v>
      </c>
      <c r="F5073" s="5"/>
      <c r="G5073" s="5"/>
    </row>
    <row r="5074" spans="1:7" ht="58.5" customHeight="1" x14ac:dyDescent="0.25">
      <c r="A5074" s="5" t="str">
        <f>"H0038212"</f>
        <v>H0038212</v>
      </c>
      <c r="B5074" s="5" t="str">
        <f>"PINZA AGARRE JOHANS 5MM LONGITUD 36"</f>
        <v>PINZA AGARRE JOHANS 5MM LONGITUD 36</v>
      </c>
      <c r="C5074" s="6">
        <v>6591767</v>
      </c>
      <c r="D5074" s="5" t="s">
        <v>340</v>
      </c>
      <c r="E5074" s="5" t="str">
        <f t="shared" si="253"/>
        <v>INSTRUMENTACION-DIANA CAICEDO-DIANA DIAZ</v>
      </c>
      <c r="F5074" s="5"/>
      <c r="G5074" s="5"/>
    </row>
    <row r="5075" spans="1:7" ht="58.5" customHeight="1" x14ac:dyDescent="0.25">
      <c r="A5075" s="5" t="str">
        <f>"H0038213"</f>
        <v>H0038213</v>
      </c>
      <c r="B5075" s="5" t="str">
        <f>"PINZA AGARRE JOHANS 5MM LONGITUD 43"</f>
        <v>PINZA AGARRE JOHANS 5MM LONGITUD 43</v>
      </c>
      <c r="C5075" s="6">
        <v>6429689</v>
      </c>
      <c r="D5075" s="5" t="s">
        <v>340</v>
      </c>
      <c r="E5075" s="5" t="str">
        <f t="shared" si="253"/>
        <v>INSTRUMENTACION-DIANA CAICEDO-DIANA DIAZ</v>
      </c>
      <c r="F5075" s="5"/>
      <c r="G5075" s="5"/>
    </row>
    <row r="5076" spans="1:7" ht="58.5" customHeight="1" x14ac:dyDescent="0.25">
      <c r="A5076" s="5" t="str">
        <f>"H0038214"</f>
        <v>H0038214</v>
      </c>
      <c r="B5076" s="5" t="str">
        <f>"CORTA FRIOS TUNGSTENO 22CM"</f>
        <v>CORTA FRIOS TUNGSTENO 22CM</v>
      </c>
      <c r="C5076" s="6">
        <v>1833619</v>
      </c>
      <c r="D5076" s="5" t="s">
        <v>143</v>
      </c>
      <c r="E5076" s="5" t="str">
        <f t="shared" si="253"/>
        <v>INSTRUMENTACION-DIANA CAICEDO-DIANA DIAZ</v>
      </c>
      <c r="F5076" s="5"/>
      <c r="G5076" s="5"/>
    </row>
    <row r="5077" spans="1:7" ht="58.5" customHeight="1" x14ac:dyDescent="0.25">
      <c r="A5077" s="5" t="str">
        <f>"H0038215"</f>
        <v>H0038215</v>
      </c>
      <c r="B5077" s="5" t="str">
        <f>"GUBIA FRIEDMANN PARA CIRUGIA DE HUESO"</f>
        <v>GUBIA FRIEDMANN PARA CIRUGIA DE HUESO</v>
      </c>
      <c r="C5077" s="6">
        <v>430083.8</v>
      </c>
      <c r="D5077" s="5" t="s">
        <v>143</v>
      </c>
      <c r="E5077" s="5" t="str">
        <f t="shared" si="253"/>
        <v>INSTRUMENTACION-DIANA CAICEDO-DIANA DIAZ</v>
      </c>
      <c r="F5077" s="5"/>
      <c r="G5077" s="5"/>
    </row>
    <row r="5078" spans="1:7" ht="58.5" customHeight="1" x14ac:dyDescent="0.25">
      <c r="A5078" s="5" t="str">
        <f>"H0038216"</f>
        <v>H0038216</v>
      </c>
      <c r="B5078" s="5" t="str">
        <f>"GUBIA FRIEDMANN PARA CIRUGIA DE HUESO"</f>
        <v>GUBIA FRIEDMANN PARA CIRUGIA DE HUESO</v>
      </c>
      <c r="C5078" s="6">
        <v>430083.8</v>
      </c>
      <c r="D5078" s="5" t="s">
        <v>143</v>
      </c>
      <c r="E5078" s="5" t="str">
        <f t="shared" si="253"/>
        <v>INSTRUMENTACION-DIANA CAICEDO-DIANA DIAZ</v>
      </c>
      <c r="F5078" s="5"/>
      <c r="G5078" s="5"/>
    </row>
    <row r="5079" spans="1:7" ht="58.5" customHeight="1" x14ac:dyDescent="0.25">
      <c r="A5079" s="5" t="str">
        <f>"H0038217"</f>
        <v>H0038217</v>
      </c>
      <c r="B5079" s="5" t="str">
        <f>"GUBIA FRIEDMANN PARA CIRUGIA DE HUESO"</f>
        <v>GUBIA FRIEDMANN PARA CIRUGIA DE HUESO</v>
      </c>
      <c r="C5079" s="6">
        <v>430083.8</v>
      </c>
      <c r="D5079" s="5" t="s">
        <v>143</v>
      </c>
      <c r="E5079" s="5" t="str">
        <f t="shared" si="253"/>
        <v>INSTRUMENTACION-DIANA CAICEDO-DIANA DIAZ</v>
      </c>
      <c r="F5079" s="5"/>
      <c r="G5079" s="5"/>
    </row>
    <row r="5080" spans="1:7" ht="58.5" customHeight="1" x14ac:dyDescent="0.25">
      <c r="A5080" s="5" t="str">
        <f>"H0038218"</f>
        <v>H0038218</v>
      </c>
      <c r="B5080" s="5" t="str">
        <f>"GUBIA FRIEDMANN PARA CIRUGIA DE HUESO"</f>
        <v>GUBIA FRIEDMANN PARA CIRUGIA DE HUESO</v>
      </c>
      <c r="C5080" s="6">
        <v>430083.8</v>
      </c>
      <c r="D5080" s="5" t="s">
        <v>143</v>
      </c>
      <c r="E5080" s="5" t="str">
        <f t="shared" si="253"/>
        <v>INSTRUMENTACION-DIANA CAICEDO-DIANA DIAZ</v>
      </c>
      <c r="F5080" s="5"/>
      <c r="G5080" s="5"/>
    </row>
    <row r="5081" spans="1:7" ht="58.5" customHeight="1" x14ac:dyDescent="0.25">
      <c r="A5081" s="5" t="str">
        <f>"H0038219"</f>
        <v>H0038219</v>
      </c>
      <c r="B5081" s="5" t="str">
        <f>"GUBIA FRIEDMANN PARA CIRUGIA DE HUESO"</f>
        <v>GUBIA FRIEDMANN PARA CIRUGIA DE HUESO</v>
      </c>
      <c r="C5081" s="6">
        <v>430083.8</v>
      </c>
      <c r="D5081" s="5" t="s">
        <v>143</v>
      </c>
      <c r="E5081" s="5" t="str">
        <f t="shared" si="253"/>
        <v>INSTRUMENTACION-DIANA CAICEDO-DIANA DIAZ</v>
      </c>
      <c r="F5081" s="5"/>
      <c r="G5081" s="5"/>
    </row>
    <row r="5082" spans="1:7" ht="58.5" customHeight="1" x14ac:dyDescent="0.25">
      <c r="A5082" s="5" t="str">
        <f>"H0038220"</f>
        <v>H0038220</v>
      </c>
      <c r="B5082" s="5" t="str">
        <f>"PINZA DE AGARRE"</f>
        <v>PINZA DE AGARRE</v>
      </c>
      <c r="C5082" s="6">
        <v>7616000</v>
      </c>
      <c r="D5082" s="5" t="s">
        <v>340</v>
      </c>
      <c r="E5082" s="5" t="str">
        <f t="shared" si="253"/>
        <v>INSTRUMENTACION-DIANA CAICEDO-DIANA DIAZ</v>
      </c>
      <c r="F5082" s="5"/>
      <c r="G5082" s="5"/>
    </row>
    <row r="5083" spans="1:7" ht="58.5" customHeight="1" x14ac:dyDescent="0.25">
      <c r="A5083" s="5" t="str">
        <f>"H0038717"</f>
        <v>H0038717</v>
      </c>
      <c r="B5083" s="5" t="str">
        <f>"PINZA RIGIDAS 4 CHARR. (DONACION)"</f>
        <v>PINZA RIGIDAS 4 CHARR. (DONACION)</v>
      </c>
      <c r="C5083" s="6">
        <v>8860000</v>
      </c>
      <c r="D5083" s="5" t="s">
        <v>342</v>
      </c>
      <c r="E5083" s="5" t="str">
        <f t="shared" si="253"/>
        <v>INSTRUMENTACION-DIANA CAICEDO-DIANA DIAZ</v>
      </c>
      <c r="F5083" s="5"/>
      <c r="G5083" s="5"/>
    </row>
    <row r="5084" spans="1:7" ht="58.5" customHeight="1" x14ac:dyDescent="0.25">
      <c r="A5084" s="5" t="str">
        <f>"H0038718"</f>
        <v>H0038718</v>
      </c>
      <c r="B5084" s="5" t="str">
        <f>"PINZA RIGIDAS 4 CHARR. (DONACION)"</f>
        <v>PINZA RIGIDAS 4 CHARR. (DONACION)</v>
      </c>
      <c r="C5084" s="6">
        <v>8860000</v>
      </c>
      <c r="D5084" s="5" t="s">
        <v>342</v>
      </c>
      <c r="E5084" s="5" t="str">
        <f t="shared" si="253"/>
        <v>INSTRUMENTACION-DIANA CAICEDO-DIANA DIAZ</v>
      </c>
      <c r="F5084" s="5"/>
      <c r="G5084" s="5"/>
    </row>
    <row r="5085" spans="1:7" ht="58.5" customHeight="1" x14ac:dyDescent="0.25">
      <c r="A5085" s="5" t="str">
        <f>"H0038720"</f>
        <v>H0038720</v>
      </c>
      <c r="B5085" s="5" t="str">
        <f>"EQUIPO DE LAPAROSCOPIA DE NEONATOS"</f>
        <v>EQUIPO DE LAPAROSCOPIA DE NEONATOS</v>
      </c>
      <c r="C5085" s="6">
        <v>144866998</v>
      </c>
      <c r="D5085" s="5" t="s">
        <v>427</v>
      </c>
      <c r="E5085" s="5" t="str">
        <f t="shared" si="253"/>
        <v>INSTRUMENTACION-DIANA CAICEDO-DIANA DIAZ</v>
      </c>
      <c r="F5085" s="5" t="str">
        <f>"EQUIPO DE LAPAROSCOPIA DE NEONATOS:  (3) CABLE PARA ELECTRODO   (3) CANASTILLA PARA INSTRUMENTAL NEONATOS DE 3MM  (3) CANULA 3MM  (3) ESPATULA 3MM  (3)HOOK 3MM  (3) PINZA BABCOCK 3MM"</f>
        <v>EQUIPO DE LAPAROSCOPIA DE NEONATOS:  (3) CABLE PARA ELECTRODO   (3) CANASTILLA PARA INSTRUMENTAL NEONATOS DE 3MM  (3) CANULA 3MM  (3) ESPATULA 3MM  (3)HOOK 3MM  (3) PINZA BABCOCK 3MM</v>
      </c>
      <c r="G5085" s="5"/>
    </row>
    <row r="5086" spans="1:7" ht="58.5" customHeight="1" x14ac:dyDescent="0.25">
      <c r="A5086" s="5" t="str">
        <f>"H0038721"</f>
        <v>H0038721</v>
      </c>
      <c r="B5086" s="5" t="str">
        <f>"EQUIPO DE TORAX BABY"</f>
        <v>EQUIPO DE TORAX BABY</v>
      </c>
      <c r="C5086" s="6">
        <v>9982196</v>
      </c>
      <c r="D5086" s="5" t="s">
        <v>427</v>
      </c>
      <c r="E5086" s="5" t="str">
        <f t="shared" si="253"/>
        <v>INSTRUMENTACION-DIANA CAICEDO-DIANA DIAZ</v>
      </c>
      <c r="F5086" s="5" t="str">
        <f>"EQUIPO DE TORAX BABY CONSTA DE:  (3) CUBETA CON TAPA EN ACERO INOXIDABLE  (1) PINZA INTESTINAL DUVAL  (1) SEPARADOR DEAVER DE 19X*180MM  (1) SEPARADOR COSTAL FINOCHIETTO BABY"</f>
        <v>EQUIPO DE TORAX BABY CONSTA DE:  (3) CUBETA CON TAPA EN ACERO INOXIDABLE  (1) PINZA INTESTINAL DUVAL  (1) SEPARADOR DEAVER DE 19X*180MM  (1) SEPARADOR COSTAL FINOCHIETTO BABY</v>
      </c>
      <c r="G5086" s="5"/>
    </row>
    <row r="5087" spans="1:7" ht="58.5" customHeight="1" x14ac:dyDescent="0.25">
      <c r="A5087" s="5" t="str">
        <f>"H0038722"</f>
        <v>H0038722</v>
      </c>
      <c r="B5087" s="5" t="str">
        <f>"EQUIPO DE MICROMANO"</f>
        <v>EQUIPO DE MICROMANO</v>
      </c>
      <c r="C5087" s="6">
        <v>51231118</v>
      </c>
      <c r="D5087" s="5" t="s">
        <v>427</v>
      </c>
      <c r="E5087" s="5" t="str">
        <f t="shared" ref="E5087:E5150" si="254">"INSTRUMENTACION-DIANA CAICEDO-DIANA DIAZ"</f>
        <v>INSTRUMENTACION-DIANA CAICEDO-DIANA DIAZ</v>
      </c>
      <c r="F5087" s="5" t="str">
        <f>"EQUIPO DE MICROMANO CONSTA DE:  (2) CUBETA CON TAPA EN ACERO INOXIDABLE  (3) DISECTOR FREER DE DOBLE EXTREMO  (3) GANCHO JOSEPH PARA PIEL 2 GARFIOS  (3) MANGO PARA BISTURI N3  (6) PINZA ALLIS ADAIR  (8) PINZA BABY MOSQUITO CURVA HEMOSTATICA  (6) PINZA BAB"&amp; "Y MOSQUITO RECTA HEMOSTATICA  (6) PINZA DE CAMPO BACKHAUS DE 15CM  (2) PINZA DE DISECCION ADSON CON GARRA DE 12CM  (2) PINZA DE DISECCION ADSON SIN GARRA  (4) PINZA GUBIA FRIEDMAN PARA HUESOS  (6) PINZA KELLY CURVA HEMOSTATICA  (5) PINZA PEAN ROCHESTER CU"&amp; "RVA HEMOSTATICA  (2) PORTA AGUJAS MAYO HEGAR  (6) SEPARADOR SENN PUNTA AGUDA  (4) SEPARADORES FARABEUF  (3) SONDA ACANALADA  (3) TIJERA DE MAYO RECTA PARA MATERIAL  (3) TIJERA METZEMBAUM PARA TEJIDOS"</f>
        <v>EQUIPO DE MICROMANO CONSTA DE:  (2) CUBETA CON TAPA EN ACERO INOXIDABLE  (3) DISECTOR FREER DE DOBLE EXTREMO  (3) GANCHO JOSEPH PARA PIEL 2 GARFIOS  (3) MANGO PARA BISTURI N3  (6) PINZA ALLIS ADAIR  (8) PINZA BABY MOSQUITO CURVA HEMOSTATICA  (6) PINZA BABY MOSQUITO RECTA HEMOSTATICA  (6) PINZA DE CAMPO BACKHAUS DE 15CM  (2) PINZA DE DISECCION ADSON CON GARRA DE 12CM  (2) PINZA DE DISECCION ADSON SIN GARRA  (4) PINZA GUBIA FRIEDMAN PARA HUESOS  (6) PINZA KELLY CURVA HEMOSTATICA  (5) PINZA PEAN ROCHESTER CURVA HEMOSTATICA  (2) PORTA AGUJAS MAYO HEGAR  (6) SEPARADOR SENN PUNTA AGUDA  (4) SEPARADORES FARABEUF  (3) SONDA ACANALADA  (3) TIJERA DE MAYO RECTA PARA MATERIAL  (3) TIJERA METZEMBAUM PARA TEJIDOS</v>
      </c>
      <c r="G5087" s="5"/>
    </row>
    <row r="5088" spans="1:7" ht="58.5" customHeight="1" x14ac:dyDescent="0.25">
      <c r="A5088" s="5" t="str">
        <f>"H0038723"</f>
        <v>H0038723</v>
      </c>
      <c r="B5088" s="5" t="str">
        <f>"EQUIPO DE OIDO"</f>
        <v>EQUIPO DE OIDO</v>
      </c>
      <c r="C5088" s="6">
        <v>36618299</v>
      </c>
      <c r="D5088" s="5" t="s">
        <v>427</v>
      </c>
      <c r="E5088" s="5" t="str">
        <f t="shared" si="254"/>
        <v>INSTRUMENTACION-DIANA CAICEDO-DIANA DIAZ</v>
      </c>
      <c r="F5088" s="5" t="str">
        <f>"EQUIPO DE OIDO CONSTA:  (2) BANDEJA PARA INSTRUMENTAL EN ACERO  (4) CONDUCTO FRAZIER DE ASPIRACION  (2) DISECTOR FREER DE DOBLE EXTREMO  (4) JASEN SEPARADOR MASTOIDES ROMO  (8) PINZA BABY MOSQUITO CURVA HEMOSTATICA   (2) PINZA BAYONETA   (2) PINZA DE DISE"&amp; "CCION ADSON CON GARRA  (2) PINZA DE DISECCION ADSON SIN GARRA  (2) PINZA DE DISECCION ESTANDAR CON GARRA  (2) PINZA DE DISECCION ESTANDAR SIN GARRA  (2) PINZA HARTMAN PARA CUERPOS EXTRAÑOS  (8) PINZA KELLY CURVA HEMOSTATICA  (2) PORTA AGUJAS MAYO HEGAR  ("&amp; "1) SEPARADOR AGUDO JANSEN GIFFORD  (4) SEPARADOR FARABEUF  (4) SEPARADOR SENN PUNTA ROMA  (2) TIJERA MAYO RECTA PARA MATERIAL  (2) TIJERA LEXER BABY CURVA PUNTA FINA ROMA  (2) CINCEL COTTLE PARA LA PLASTICA NASAL  (6) PINZA DE CAMPO   (1) SEPARADOR AGUDO "&amp; "4 GARRAS"</f>
        <v>EQUIPO DE OIDO CONSTA:  (2) BANDEJA PARA INSTRUMENTAL EN ACERO  (4) CONDUCTO FRAZIER DE ASPIRACION  (2) DISECTOR FREER DE DOBLE EXTREMO  (4) JASEN SEPARADOR MASTOIDES ROMO  (8) PINZA BABY MOSQUITO CURVA HEMOSTATICA   (2) PINZA BAYONETA   (2) PINZA DE DISECCION ADSON CON GARRA  (2) PINZA DE DISECCION ADSON SIN GARRA  (2) PINZA DE DISECCION ESTANDAR CON GARRA  (2) PINZA DE DISECCION ESTANDAR SIN GARRA  (2) PINZA HARTMAN PARA CUERPOS EXTRAÑOS  (8) PINZA KELLY CURVA HEMOSTATICA  (2) PORTA AGUJAS MAYO HEGAR  (1) SEPARADOR AGUDO JANSEN GIFFORD  (4) SEPARADOR FARABEUF  (4) SEPARADOR SENN PUNTA ROMA  (2) TIJERA MAYO RECTA PARA MATERIAL  (2) TIJERA LEXER BABY CURVA PUNTA FINA ROMA  (2) CINCEL COTTLE PARA LA PLASTICA NASAL  (6) PINZA DE CAMPO   (1) SEPARADOR AGUDO 4 GARRAS</v>
      </c>
      <c r="G5088" s="5"/>
    </row>
    <row r="5089" spans="1:7" ht="58.5" customHeight="1" x14ac:dyDescent="0.25">
      <c r="A5089" s="5" t="str">
        <f>"H0038724"</f>
        <v>H0038724</v>
      </c>
      <c r="B5089" s="5" t="str">
        <f>"EQUIPO DE PEQUEÑOS FRAGMENTOS"</f>
        <v>EQUIPO DE PEQUEÑOS FRAGMENTOS</v>
      </c>
      <c r="C5089" s="6">
        <v>30045120</v>
      </c>
      <c r="D5089" s="5" t="s">
        <v>427</v>
      </c>
      <c r="E5089" s="5" t="str">
        <f t="shared" si="254"/>
        <v>INSTRUMENTACION-DIANA CAICEDO-DIANA DIAZ</v>
      </c>
      <c r="F5089" s="5" t="str">
        <f>"EQUIPO DE PEQUEÑOS FRAGMENTOS INSTRUMENTAL ESPECIALIZADO:  (1) ATORNILLADOR HEXAGONAL   (1) LANE DOBLADOR DE PLACAS   (1) PINZA DE REDUCCION PARA HUESOS ESPANOLAS  (1) PINZA LEWIN PARA HUESO  (3) CUBETA PERFORADA SIN TAPA  (2) LANE DOBLADOR DE PLACAS   (9"&amp; ") MINI ELEVADOR HOMANN PARA HUESOS  (2) PINZA DE REDUCCION PARA HUESOS ESPANOLA"</f>
        <v>EQUIPO DE PEQUEÑOS FRAGMENTOS INSTRUMENTAL ESPECIALIZADO:  (1) ATORNILLADOR HEXAGONAL   (1) LANE DOBLADOR DE PLACAS   (1) PINZA DE REDUCCION PARA HUESOS ESPANOLAS  (1) PINZA LEWIN PARA HUESO  (3) CUBETA PERFORADA SIN TAPA  (2) LANE DOBLADOR DE PLACAS   (9) MINI ELEVADOR HOMANN PARA HUESOS  (2) PINZA DE REDUCCION PARA HUESOS ESPANOLA</v>
      </c>
      <c r="G5089" s="5"/>
    </row>
    <row r="5090" spans="1:7" ht="58.5" customHeight="1" x14ac:dyDescent="0.25">
      <c r="A5090" s="5" t="str">
        <f>"H0038725"</f>
        <v>H0038725</v>
      </c>
      <c r="B5090" s="5" t="str">
        <f>"INSTRUMENTAL LAPAROSCOPICO GINECOLOGICO"</f>
        <v>INSTRUMENTAL LAPAROSCOPICO GINECOLOGICO</v>
      </c>
      <c r="C5090" s="6">
        <v>348892786</v>
      </c>
      <c r="D5090" s="5" t="s">
        <v>427</v>
      </c>
      <c r="E5090" s="5" t="str">
        <f t="shared" si="254"/>
        <v>INSTRUMENTACION-DIANA CAICEDO-DIANA DIAZ</v>
      </c>
      <c r="F5090" s="5" t="str">
        <f>"EQUIPO LAPAROSCOPICO GINECOLOGICO:  (1) CABLE PARA ELECTRODO  (1) CAMISA EXTERNA PARA HISTEROSCOPIO  (1) CAMISA INTERNA HISTEROSCOPIO  (1) CANASTILLA LENTE   (1) CANASTILLA PARA INSTRUMENTAL NEONATOS 3MM  (1) CANULA IRRIGACION SUCCION 5MM-36CM  (1) CANULA"&amp; " PARA INYECCION 5MM-1.2MM  (1) CANULA PARA PERITONEO   (1) GANCHO DE HOOK DE 330MM  (1) LENTE OPTICO DE VISION 30°2.9MM  (1) PINZA GRASPER DE BIOPSIA  (1) PINZA ROBI CON CABLE DE 5MM-36CM  (1) PINZA TENACULO UTERINA   (1) PINZA DE GARRA CLICKLINE GIRATORI"&amp; "AS 10MM-36CM  (1) TIJERA PARA HISTEROSCOPIA SEMIRRIGIDAS ROMAS  (1) ESPECULO VAGINAL MEDIANO 95-35MM  (1) HISTEROMETRO MALABLE GRADIADO 32CMS  (1) CANASTILLA PERFORADA PARA INSTRUMENTAL 25-30C  (1) MANIPULADOR UTERINO CLERMONT"</f>
        <v>EQUIPO LAPAROSCOPICO GINECOLOGICO:  (1) CABLE PARA ELECTRODO  (1) CAMISA EXTERNA PARA HISTEROSCOPIO  (1) CAMISA INTERNA HISTEROSCOPIO  (1) CANASTILLA LENTE   (1) CANASTILLA PARA INSTRUMENTAL NEONATOS 3MM  (1) CANULA IRRIGACION SUCCION 5MM-36CM  (1) CANULA PARA INYECCION 5MM-1.2MM  (1) CANULA PARA PERITONEO   (1) GANCHO DE HOOK DE 330MM  (1) LENTE OPTICO DE VISION 30°2.9MM  (1) PINZA GRASPER DE BIOPSIA  (1) PINZA ROBI CON CABLE DE 5MM-36CM  (1) PINZA TENACULO UTERINA   (1) PINZA DE GARRA CLICKLINE GIRATORIAS 10MM-36CM  (1) TIJERA PARA HISTEROSCOPIA SEMIRRIGIDAS ROMAS  (1) ESPECULO VAGINAL MEDIANO 95-35MM  (1) HISTEROMETRO MALABLE GRADIADO 32CMS  (1) CANASTILLA PERFORADA PARA INSTRUMENTAL 25-30C  (1) MANIPULADOR UTERINO CLERMONT</v>
      </c>
      <c r="G5090" s="5"/>
    </row>
    <row r="5091" spans="1:7" ht="58.5" customHeight="1" x14ac:dyDescent="0.25">
      <c r="A5091" s="5" t="str">
        <f>"H0038726"</f>
        <v>H0038726</v>
      </c>
      <c r="B5091" s="5" t="str">
        <f>"EQUIPO DE PALADAR"</f>
        <v>EQUIPO DE PALADAR</v>
      </c>
      <c r="C5091" s="6">
        <v>27669023</v>
      </c>
      <c r="D5091" s="5" t="s">
        <v>427</v>
      </c>
      <c r="E5091" s="5" t="str">
        <f t="shared" si="254"/>
        <v>INSTRUMENTACION-DIANA CAICEDO-DIANA DIAZ</v>
      </c>
      <c r="F5091" s="5" t="str">
        <f>"EQUIPO PALADAR CONSTA DE:  (2) CUBETA CON TAPA EN ACERO  (4) DISECTOR FREER DE DOBLE EXTREMO  (2) DISECTOR PARA AMIGDALAS  (2) FRAIZER CONDUCTO DE ASPIRACION  (2) MANGO PARA BISTURI N3 LARGO  (2) MARTILLO TRAUMATOLOGIA LUCAE  (6) PINZA DE CAMPO BACKHAUS  "&amp; "(2) PINZA DE DISECCION ESTANDAR DE 18CM CON GARRA  (2) PINZA DE DISECCION ESTANDAR DE 18CM SIN GARRA  (12) PINZA KELLY CURVA HEMOSTATICA  (2) PORTA AGUJAS MAYO HEGAR  (12) PINZA BABY MOSQUITO CURVA HEMOSTATICA  (2) PLATON PARA PEQUÑA CIRUGIA  (2) TIJERA M"&amp; "AYO STILLE PARA TEJIDOS RECTA  (2) TIJERA METZENBAUM PARA TEJIDOS CURVA"</f>
        <v>EQUIPO PALADAR CONSTA DE:  (2) CUBETA CON TAPA EN ACERO  (4) DISECTOR FREER DE DOBLE EXTREMO  (2) DISECTOR PARA AMIGDALAS  (2) FRAIZER CONDUCTO DE ASPIRACION  (2) MANGO PARA BISTURI N3 LARGO  (2) MARTILLO TRAUMATOLOGIA LUCAE  (6) PINZA DE CAMPO BACKHAUS  (2) PINZA DE DISECCION ESTANDAR DE 18CM CON GARRA  (2) PINZA DE DISECCION ESTANDAR DE 18CM SIN GARRA  (12) PINZA KELLY CURVA HEMOSTATICA  (2) PORTA AGUJAS MAYO HEGAR  (12) PINZA BABY MOSQUITO CURVA HEMOSTATICA  (2) PLATON PARA PEQUÑA CIRUGIA  (2) TIJERA MAYO STILLE PARA TEJIDOS RECTA  (2) TIJERA METZENBAUM PARA TEJIDOS CURVA</v>
      </c>
      <c r="G5091" s="5"/>
    </row>
    <row r="5092" spans="1:7" ht="58.5" customHeight="1" x14ac:dyDescent="0.25">
      <c r="A5092" s="5" t="str">
        <f>"H0038727"</f>
        <v>H0038727</v>
      </c>
      <c r="B5092" s="5" t="str">
        <f>"INSTRUMENTAL OTORRINOLARINGOLOGIA ENDOSCOPICO"</f>
        <v>INSTRUMENTAL OTORRINOLARINGOLOGIA ENDOSCOPICO</v>
      </c>
      <c r="C5092" s="6">
        <v>288048389</v>
      </c>
      <c r="D5092" s="5" t="s">
        <v>427</v>
      </c>
      <c r="E5092" s="5" t="str">
        <f t="shared" si="254"/>
        <v>INSTRUMENTACION-DIANA CAICEDO-DIANA DIAZ</v>
      </c>
      <c r="F5092" s="5" t="str">
        <f>"EQUIPO OTORRINOLARINGOLOGIA ENDOSCOPICO:  (1) BISTURI FALCIFORME PUNTIAGUDO  (1) CABLE DE LUZ DE FIBRA OPTICA CON CONEXION RECTA  (1) CANASTILLA PARA LENTE DE 24CM ACERO INOXIDABLE  (1) CANASTILLA PERFORADA PARA INSTRUMENTAL DE ACERO INOXIDABLE  (1) ELEVA"&amp; "DOR DE ASPIRACION FREER CON MANDRIL  (1) ELEVADOR DOBLE FREER SEMICORTANTE Y ROMO  (1) INSTRUMENTO DOBLE PARA PALPAR EL OSTIUM  (1) OPTICA DE VISION FRONTAL PANORAMICA GRAN ANGULAR HOPKINS  (1) PINZA DOBLE CUCHRA ABERTURA HORIZONTAL CURVA 70º HACIA ARRIBA"&amp; "  (1) PINZA ETMOIDALES RHINOFORCE II DE BLAKESLEY RECTAS  (1) PINZA JIRAFA CON DOBLE CUCHARA DE KUHN-BOLGER CURVA  (1) PINZA SACABOCADOS OSEAS DE KERRISON  (1) TUBO ASPIRACION FERGUSON  (1) TUBO ASPIRACION FRAZIER  (1) TUBO ASPIRACION FRAZIER  (1) TUBO AS"&amp; "PIRACION DE FERGUSON  (1) TUBO DE ASPIRACION DE V EICKEN ADAPTADOR LUER-LOCK  (1) TUBO DE IRRIGACION DE V EICKEN ADAPTADOR LUER-LOCK  (1) LEGRA PARA SENOS FRONTALES DE KUHN BOLGER CURVADA 55  (1) LEGRA PARA SENOS FRONTALES DE KUHN BOLGER CURVADA 90  (1) P"&amp; "INZAS PARA ETMOIDES RHINOFORCE DE BLAKESLEY WILDE LONGITUD UTIL 16CM"</f>
        <v>EQUIPO OTORRINOLARINGOLOGIA ENDOSCOPICO:  (1) BISTURI FALCIFORME PUNTIAGUDO  (1) CABLE DE LUZ DE FIBRA OPTICA CON CONEXION RECTA  (1) CANASTILLA PARA LENTE DE 24CM ACERO INOXIDABLE  (1) CANASTILLA PERFORADA PARA INSTRUMENTAL DE ACERO INOXIDABLE  (1) ELEVADOR DE ASPIRACION FREER CON MANDRIL  (1) ELEVADOR DOBLE FREER SEMICORTANTE Y ROMO  (1) INSTRUMENTO DOBLE PARA PALPAR EL OSTIUM  (1) OPTICA DE VISION FRONTAL PANORAMICA GRAN ANGULAR HOPKINS  (1) PINZA DOBLE CUCHRA ABERTURA HORIZONTAL CURVA 70º HACIA ARRIBA  (1) PINZA ETMOIDALES RHINOFORCE II DE BLAKESLEY RECTAS  (1) PINZA JIRAFA CON DOBLE CUCHARA DE KUHN-BOLGER CURVA  (1) PINZA SACABOCADOS OSEAS DE KERRISON  (1) TUBO ASPIRACION FERGUSON  (1) TUBO ASPIRACION FRAZIER  (1) TUBO ASPIRACION FRAZIER  (1) TUBO ASPIRACION DE FERGUSON  (1) TUBO DE ASPIRACION DE V EICKEN ADAPTADOR LUER-LOCK  (1) TUBO DE IRRIGACION DE V EICKEN ADAPTADOR LUER-LOCK  (1) LEGRA PARA SENOS FRONTALES DE KUHN BOLGER CURVADA 55  (1) LEGRA PARA SENOS FRONTALES DE KUHN BOLGER CURVADA 90  (1) PINZAS PARA ETMOIDES RHINOFORCE DE BLAKESLEY WILDE LONGITUD UTIL 16CM</v>
      </c>
      <c r="G5092" s="5"/>
    </row>
    <row r="5093" spans="1:7" ht="58.5" customHeight="1" x14ac:dyDescent="0.25">
      <c r="A5093" s="5" t="str">
        <f>"H0038728"</f>
        <v>H0038728</v>
      </c>
      <c r="B5093" s="5" t="str">
        <f>"EQUIPO CIRUGIA PLASTICA"</f>
        <v>EQUIPO CIRUGIA PLASTICA</v>
      </c>
      <c r="C5093" s="6">
        <v>75857359</v>
      </c>
      <c r="D5093" s="5" t="s">
        <v>427</v>
      </c>
      <c r="E5093" s="5" t="str">
        <f t="shared" si="254"/>
        <v>INSTRUMENTACION-DIANA CAICEDO-DIANA DIAZ</v>
      </c>
      <c r="F5093" s="5" t="str">
        <f>"EQUIPO CIRUGIA PLASTICA CONSTA DE:  (2) CONDUCTO FRAIZER DE ASPIRACION  (3) CUBETA CON TAPA EN ACERO INOXIDABLE  (2) FRAZIER CONDUCTO DE ASPIRACION  (10) GANCHO JOSEPH PARA PIEL DE UN GARFIO  (6) MANGO PARA BISTURI N4  (6) MANGO PARA BISTURI N3  (6) METZE"&amp; "NBAUM TIJERA PARA TEJIDOS CURVA  (20) PINZA BABY MOSQUITO RECTA HEMOSTATICA DE 10 CMS  (10) PINZA DE CAMPO BACKHAUS  (6) PINZA DE DISECCION ADSON CON GARRA  (6) PINZA DE DISECCION ADSON SIN GARRA  (6) PINZA DE DISECCION ESTANDAR CON GARRA  (6) PINZA DE DI"&amp; "SECCION ESTANDAR SIN GARRA  (12) PINZA KELLY CURVA HEMOSTATICA   (10) PINZA MOSQUITO CURVA HERSTATICA   (10) PINZA ROCHESTER CURVA HEMOSTATICA  (6) PORTA AGUJAS HALSEY BOCA LISA PARA PLASTIA  (6) PORTA AGUJAS MAYO HEGAR  (12) SEPARADOR SENN PUNTA AGUDA  ("&amp; "12) SEPARADORES FARABEUF  (6) SONDA ACANALADA  (6) TIJERA DE MAYO RECTA MATERIAL   (3) CUBETA PERFORADA SIN TAPA"</f>
        <v>EQUIPO CIRUGIA PLASTICA CONSTA DE:  (2) CONDUCTO FRAIZER DE ASPIRACION  (3) CUBETA CON TAPA EN ACERO INOXIDABLE  (2) FRAZIER CONDUCTO DE ASPIRACION  (10) GANCHO JOSEPH PARA PIEL DE UN GARFIO  (6) MANGO PARA BISTURI N4  (6) MANGO PARA BISTURI N3  (6) METZENBAUM TIJERA PARA TEJIDOS CURVA  (20) PINZA BABY MOSQUITO RECTA HEMOSTATICA DE 10 CMS  (10) PINZA DE CAMPO BACKHAUS  (6) PINZA DE DISECCION ADSON CON GARRA  (6) PINZA DE DISECCION ADSON SIN GARRA  (6) PINZA DE DISECCION ESTANDAR CON GARRA  (6) PINZA DE DISECCION ESTANDAR SIN GARRA  (12) PINZA KELLY CURVA HEMOSTATICA   (10) PINZA MOSQUITO CURVA HERSTATICA   (10) PINZA ROCHESTER CURVA HEMOSTATICA  (6) PORTA AGUJAS HALSEY BOCA LISA PARA PLASTIA  (6) PORTA AGUJAS MAYO HEGAR  (12) SEPARADOR SENN PUNTA AGUDA  (12) SEPARADORES FARABEUF  (6) SONDA ACANALADA  (6) TIJERA DE MAYO RECTA MATERIAL   (3) CUBETA PERFORADA SIN TAPA</v>
      </c>
      <c r="G5093" s="5"/>
    </row>
    <row r="5094" spans="1:7" ht="58.5" customHeight="1" x14ac:dyDescent="0.25">
      <c r="A5094" s="5" t="str">
        <f>"H0038729"</f>
        <v>H0038729</v>
      </c>
      <c r="B5094" s="5" t="str">
        <f>"EQUIPO DE VARICES"</f>
        <v>EQUIPO DE VARICES</v>
      </c>
      <c r="C5094" s="6">
        <v>61123731</v>
      </c>
      <c r="D5094" s="5" t="s">
        <v>427</v>
      </c>
      <c r="E5094" s="5" t="str">
        <f t="shared" si="254"/>
        <v>INSTRUMENTACION-DIANA CAICEDO-DIANA DIAZ</v>
      </c>
      <c r="F5094" s="5" t="str">
        <f>"EQUIPO DE VARICES INSTRUMENTAL ESPECIALIZADO:  (3) CANULA PARA SUCCION YANKAUER CON PUNTA  (3) CONDUCTO FRAZIER DE ASPIRACION 30GR  (2) MANGO PARA BISTURI N. 4  (2) MANGO PARA BISTURI N. 7  (12) PINZA BABY MOSQUITO CURVA HEMOSTATICA DE 10CMS  (10) PINZA D"&amp; "E CAMPO  BACKHAUS DE 15CM  (2) PINZA DE DISECCION ADSON CON GARRA  (2) PINZA DE DISECCION ADSON SIN GARRA  (2) PINZA DE DISECCION ESTANDAR DE 11.5 CM SIN GARRA  (3) PINZA FOERSTER RECTA ESTRIADA PORTA ESPONJA DE 18CM  (20) PINZA KELLY CURVA HEMOSTATICA DE"&amp; " 14CM  (8) PINZA PEAN ROCHESTER CURVA HEMOSTATICA DE 20CM  (4) PORTA AGUJAS MAYO HEGAR DE 16CM  (4) PORTA AGUJAS MAYO HEGAR DE 20CM  (2) SEPARADOR SENN PUNTA ROMA  (2) SEPARADORES FARABEUF DE 12CMS  (3) TIJERA DE MAYO PARA TEJIDOS RECTA   (3) TIJERA METZE"&amp; "NBAUM PARA TEJIDOS CURVA   (2) CUBETA PERFORADORA SIN TAPA  (5) PINZA ALLYS INTESTINAL   (2) PINZA DE DISECCION CON GARRA   (8) PINZA HEMOSTATICA ADSON CURVA  (12) PINZA HEMOSTATICA MOSQUITO RECTA"</f>
        <v>EQUIPO DE VARICES INSTRUMENTAL ESPECIALIZADO:  (3) CANULA PARA SUCCION YANKAUER CON PUNTA  (3) CONDUCTO FRAZIER DE ASPIRACION 30GR  (2) MANGO PARA BISTURI N. 4  (2) MANGO PARA BISTURI N. 7  (12) PINZA BABY MOSQUITO CURVA HEMOSTATICA DE 10CMS  (10) PINZA DE CAMPO  BACKHAUS DE 15CM  (2) PINZA DE DISECCION ADSON CON GARRA  (2) PINZA DE DISECCION ADSON SIN GARRA  (2) PINZA DE DISECCION ESTANDAR DE 11.5 CM SIN GARRA  (3) PINZA FOERSTER RECTA ESTRIADA PORTA ESPONJA DE 18CM  (20) PINZA KELLY CURVA HEMOSTATICA DE 14CM  (8) PINZA PEAN ROCHESTER CURVA HEMOSTATICA DE 20CM  (4) PORTA AGUJAS MAYO HEGAR DE 16CM  (4) PORTA AGUJAS MAYO HEGAR DE 20CM  (2) SEPARADOR SENN PUNTA ROMA  (2) SEPARADORES FARABEUF DE 12CMS  (3) TIJERA DE MAYO PARA TEJIDOS RECTA   (3) TIJERA METZENBAUM PARA TEJIDOS CURVA   (2) CUBETA PERFORADORA SIN TAPA  (5) PINZA ALLYS INTESTINAL   (2) PINZA DE DISECCION CON GARRA   (8) PINZA HEMOSTATICA ADSON CURVA  (12) PINZA HEMOSTATICA MOSQUITO RECTA</v>
      </c>
      <c r="G5094" s="5"/>
    </row>
    <row r="5095" spans="1:7" ht="58.5" customHeight="1" x14ac:dyDescent="0.25">
      <c r="A5095" s="5" t="str">
        <f>"H0038730"</f>
        <v>H0038730</v>
      </c>
      <c r="B5095" s="5" t="str">
        <f>"EQUIPO DE BABY ESTOMAGO"</f>
        <v>EQUIPO DE BABY ESTOMAGO</v>
      </c>
      <c r="C5095" s="6">
        <v>14664322</v>
      </c>
      <c r="D5095" s="5" t="s">
        <v>427</v>
      </c>
      <c r="E5095" s="5" t="str">
        <f t="shared" si="254"/>
        <v>INSTRUMENTACION-DIANA CAICEDO-DIANA DIAZ</v>
      </c>
      <c r="F5095" s="5" t="str">
        <f>"EQUIPO BABY ESTOMAGO CONSTA:  (1) CUBETA CON TAPA EN ACERO INOXIDABLE  (3) PINZA BABCOCK INTESTINAL  (6) PINZA BABY MOSQUITO CURVA HEMOSTATICA  (3) PINZA CISTICO GEMINI PARA DISECCION Y LIGADURAS  (2) PINZA CLAMP INTESTINAL Y ESTOMAGO  (3) TIJERA METZEMBA"&amp; "UM CURVA ROMA  (2) CUBETA PERFORADA SIN TAPA"</f>
        <v>EQUIPO BABY ESTOMAGO CONSTA:  (1) CUBETA CON TAPA EN ACERO INOXIDABLE  (3) PINZA BABCOCK INTESTINAL  (6) PINZA BABY MOSQUITO CURVA HEMOSTATICA  (3) PINZA CISTICO GEMINI PARA DISECCION Y LIGADURAS  (2) PINZA CLAMP INTESTINAL Y ESTOMAGO  (3) TIJERA METZEMBAUM CURVA ROMA  (2) CUBETA PERFORADA SIN TAPA</v>
      </c>
      <c r="G5095" s="5"/>
    </row>
    <row r="5096" spans="1:7" ht="58.5" customHeight="1" x14ac:dyDescent="0.25">
      <c r="A5096" s="5" t="str">
        <f>"H0038731"</f>
        <v>H0038731</v>
      </c>
      <c r="B5096" s="5" t="str">
        <f>"EQUIPO PARA LAPAROTOMIA DE NIÑOS"</f>
        <v>EQUIPO PARA LAPAROTOMIA DE NIÑOS</v>
      </c>
      <c r="C5096" s="6">
        <v>151196688</v>
      </c>
      <c r="D5096" s="5" t="s">
        <v>427</v>
      </c>
      <c r="E5096" s="5" t="str">
        <f t="shared" si="254"/>
        <v>INSTRUMENTACION-DIANA CAICEDO-DIANA DIAZ</v>
      </c>
      <c r="F5096" s="5" t="str">
        <f>"EQUIPO LAPARATOMIA DE NIÑOS CONSTA:  (1) CANULA DE SUCCION DE FRAZIER  (3) CANULA PARA SUCCION YANKAUER CON PUNTA  (1) CONDUCTO  DE ASPIRACION FRAZIER  (1) CONDUCTO FRAZIER DE ASPIRACION   (3) CUBETA CON TAPA EN ACERO INOXIDABLE   (3) MANGO PARA BISTURI N"&amp; ".4  (3) MANGO PARA BISTURI N. 3  (6) PINZA ADSON CURVA HEMOSTATICA   (18) PINZA BABCOCK INTESTINAL DE 16CM  (12) PINZA BABY MOSQUITO CURVA HEMOSTATICA   (10) PINZA DE CAMPO BACKHAUS  (3) PINZA DE DISECCION ADSON CON GARRA   (3) PINZA DE DISECCION ADSON SI"&amp; "N GARRA   (3) PINZA DE DISECCION ESTANDAR DE 11.5CM SIN GARRA  (3) PINZA DE DISECCION ESTANDAR DE 13CM SIN GARRA  (3) PINZA DISECCION CON GARRA ESTRECHA FINA  (3) PINZA DISECCION RUSA DE 15CM  (3) PINZA FOERSTER RECTA ESTRIADA PORTA ESPONJA  (12) PINZA IN"&amp; "TESTINAL ALLIS BABY  (18) PINZA KELLY CURVA HEMOSTATICA DE 14 CM  (18) PINZA MOSQUITO CURVA HEMOSTATICA DE 12.5CM  (9) PINZA PEAN ROCHESTER CURVA HEMOSTATICA   (12) PINZA PEAN-ROCHESTER CURVA HEMOSTATICA  (9) PORTA AGUJAS MAYO HEGAR DE 14CM  (9) PORTA AGU"&amp; "JAS MAYO HEGAR MANGO DORADO   (3) SEPARADOR ABDOMINAL BALFOUR PARA NIÑOS  (6) ESPARADOR SENN PUNTA AGUDA   (6) SEPARADORES FARABEUF DE 12CMS  (6) SEPARADORES FARABEUF DE 15CMS  (3) SONDA ACANALADA 14.5CMS  (3) TIJERA DE MAYO RECTA PARA MATERIAL DE 15.5CM "&amp; " (3) TIJERA DE METZENBAUM CURVA  (3) TIJERA METZEMBAUM CURVA PARA TEJIDOS  (3) TIJERA METZEMBAUM FINA ROMA CURVA  (3) PINZA CISTICO GEMINI DE LIGADURA LONGITUD TOTAL  (15) PINZA CISTICO GEMINI PARA DISECCION Y LIGADURAS  (3) PINZA DE DISECCION 11.5CMS SIN"&amp; " GARRA  (6) PINZA HEMOSTATICA ADSON CURVA 18.5CM KELLY ADSON  (27) PINZA HEMOSTATICA PEAN ROCHESTER CURVA  (16) PINZA INTESTINAL ALLIS"</f>
        <v>EQUIPO LAPARATOMIA DE NIÑOS CONSTA:  (1) CANULA DE SUCCION DE FRAZIER  (3) CANULA PARA SUCCION YANKAUER CON PUNTA  (1) CONDUCTO  DE ASPIRACION FRAZIER  (1) CONDUCTO FRAZIER DE ASPIRACION   (3) CUBETA CON TAPA EN ACERO INOXIDABLE   (3) MANGO PARA BISTURI N.4  (3) MANGO PARA BISTURI N. 3  (6) PINZA ADSON CURVA HEMOSTATICA   (18) PINZA BABCOCK INTESTINAL DE 16CM  (12) PINZA BABY MOSQUITO CURVA HEMOSTATICA   (10) PINZA DE CAMPO BACKHAUS  (3) PINZA DE DISECCION ADSON CON GARRA   (3) PINZA DE DISECCION ADSON SIN GARRA   (3) PINZA DE DISECCION ESTANDAR DE 11.5CM SIN GARRA  (3) PINZA DE DISECCION ESTANDAR DE 13CM SIN GARRA  (3) PINZA DISECCION CON GARRA ESTRECHA FINA  (3) PINZA DISECCION RUSA DE 15CM  (3) PINZA FOERSTER RECTA ESTRIADA PORTA ESPONJA  (12) PINZA INTESTINAL ALLIS BABY  (18) PINZA KELLY CURVA HEMOSTATICA DE 14 CM  (18) PINZA MOSQUITO CURVA HEMOSTATICA DE 12.5CM  (9) PINZA PEAN ROCHESTER CURVA HEMOSTATICA   (12) PINZA PEAN-ROCHESTER CURVA HEMOSTATICA  (9) PORTA AGUJAS MAYO HEGAR DE 14CM  (9) PORTA AGUJAS MAYO HEGAR MANGO DORADO   (3) SEPARADOR ABDOMINAL BALFOUR PARA NIÑOS  (6) ESPARADOR SENN PUNTA AGUDA   (6) SEPARADORES FARABEUF DE 12CMS  (6) SEPARADORES FARABEUF DE 15CMS  (3) SONDA ACANALADA 14.5CMS  (3) TIJERA DE MAYO RECTA PARA MATERIAL DE 15.5CM  (3) TIJERA DE METZENBAUM CURVA  (3) TIJERA METZEMBAUM CURVA PARA TEJIDOS  (3) TIJERA METZEMBAUM FINA ROMA CURVA  (3) PINZA CISTICO GEMINI DE LIGADURA LONGITUD TOTAL  (15) PINZA CISTICO GEMINI PARA DISECCION Y LIGADURAS  (3) PINZA DE DISECCION 11.5CMS SIN GARRA  (6) PINZA HEMOSTATICA ADSON CURVA 18.5CM KELLY ADSON  (27) PINZA HEMOSTATICA PEAN ROCHESTER CURVA  (16) PINZA INTESTINAL ALLIS</v>
      </c>
      <c r="G5096" s="5"/>
    </row>
    <row r="5097" spans="1:7" ht="58.5" customHeight="1" x14ac:dyDescent="0.25">
      <c r="A5097" s="5" t="str">
        <f>"H0038732"</f>
        <v>H0038732</v>
      </c>
      <c r="B5097" s="5" t="str">
        <f>"EQUIPO MEDIANO"</f>
        <v>EQUIPO MEDIANO</v>
      </c>
      <c r="C5097" s="6">
        <v>69453065</v>
      </c>
      <c r="D5097" s="5" t="s">
        <v>428</v>
      </c>
      <c r="E5097" s="5" t="str">
        <f t="shared" si="254"/>
        <v>INSTRUMENTACION-DIANA CAICEDO-DIANA DIAZ</v>
      </c>
      <c r="F5097" s="5" t="str">
        <f>"EQUIPO MEDIANO:  (3) CANULA PARA SUCCION YANKAUER CON PUNTA   (3) CUBETA CON TAPA DE ACERO   (3) MANGO PARA BISTURI N°4  (3) MANGO PARA BISTURI NH°7  (6) PINZA ADSON CURVA DE 18.5CMS  (12) PINZA ALLYS INTESTINAL DE 22CM  (6) PINZA BABCOCK INTESTINAL DE 18"&amp; "CM  (18) PINZA BACKHAUS DE 15CM  (3) PINZA DE DISECCION 13CMS  (3) PINZA DE DISECCION ADSON 15CM  (3) PINZA DE DISECCION ADSON 12CM  (3) PINZA DE DISECCION ESTANDAR DE 14.5CM  (3) PINZA DE DISECCION RUSA DE 20CM  (3) PINZA KELLY CURVA DE 14CM  (24) PINZA "&amp; "KELLY RECTA DE 14CM  (18) PINZA PEAN- ROCHESTER CURVA DE 18CMS  (3) PLANTON PARA CIRUGIA DE ACERO  (3) PORTA AGUJAS MAYO DE 18CM  (3) SEPARADOR DEAVER DE 22 X 215MM  (6) SEPARADOR FARABEUF DE 15CMS  (3) TIJERA METZENBAUM CURVA 20CMS  (6) PINZA HEMOSTATICA"&amp; " VIAS BILLARES CURVA 25CMS"</f>
        <v>EQUIPO MEDIANO:  (3) CANULA PARA SUCCION YANKAUER CON PUNTA   (3) CUBETA CON TAPA DE ACERO   (3) MANGO PARA BISTURI N°4  (3) MANGO PARA BISTURI NH°7  (6) PINZA ADSON CURVA DE 18.5CMS  (12) PINZA ALLYS INTESTINAL DE 22CM  (6) PINZA BABCOCK INTESTINAL DE 18CM  (18) PINZA BACKHAUS DE 15CM  (3) PINZA DE DISECCION 13CMS  (3) PINZA DE DISECCION ADSON 15CM  (3) PINZA DE DISECCION ADSON 12CM  (3) PINZA DE DISECCION ESTANDAR DE 14.5CM  (3) PINZA DE DISECCION RUSA DE 20CM  (3) PINZA KELLY CURVA DE 14CM  (24) PINZA KELLY RECTA DE 14CM  (18) PINZA PEAN- ROCHESTER CURVA DE 18CMS  (3) PLANTON PARA CIRUGIA DE ACERO  (3) PORTA AGUJAS MAYO DE 18CM  (3) SEPARADOR DEAVER DE 22 X 215MM  (6) SEPARADOR FARABEUF DE 15CMS  (3) TIJERA METZENBAUM CURVA 20CMS  (6) PINZA HEMOSTATICA VIAS BILLARES CURVA 25CMS</v>
      </c>
      <c r="G5097" s="5"/>
    </row>
    <row r="5098" spans="1:7" ht="58.5" customHeight="1" x14ac:dyDescent="0.25">
      <c r="A5098" s="5" t="str">
        <f>"H0038733"</f>
        <v>H0038733</v>
      </c>
      <c r="B5098" s="5" t="str">
        <f>"EQUIPO DE LAPAROTOMIA"</f>
        <v>EQUIPO DE LAPAROTOMIA</v>
      </c>
      <c r="C5098" s="6">
        <v>49668696</v>
      </c>
      <c r="D5098" s="5" t="s">
        <v>427</v>
      </c>
      <c r="E5098" s="5" t="str">
        <f t="shared" si="254"/>
        <v>INSTRUMENTACION-DIANA CAICEDO-DIANA DIAZ</v>
      </c>
      <c r="F5098" s="5" t="str">
        <f>"EQUIPO LAPARATOMIA:  (3) CANULA PARA SUCCION YANKAUER   (3) CUBETA CON TAPA DE ACERO   (3) MANGO PARA BISTURI N°4  (3) MANGO PARA BISTURI N°7  (5) PINZA BABCOCK INTESTINAL DE 24CM  (18) PINZA DE CAMPO BACKHAUS DE 15CM  (3) PINZA DE DISECCION ESTANDAR DE 1"&amp; "4.5 CM CON GARRA   (3) PINZA DE DISECCION ESTANDAR DE 14.5 CM CON GARRA   (3) PINZA DE DISECCION ESTANDAR DE 14.5 CM SIN GARRA  (3) PINZA DE DISECCION ESWTANDAR DE 18CM SIN GARRA  (3) PINZA DE DISECCION RUSA DE 20CM  (3) PINZA FOERSTER RECTA ESTRIADA PORT"&amp; "A ESPONJA DE 25CM  (30) PINZA KELLY CURVA HEMOSTATICA DE 14CM  (3) PINZA MIXTER MISTICA CURVA DE 22CMS  (3) PLATON PARA CIRUGIA DE ACERO  (3) PORTA AGUJAS MAYO DE 24CM  (3) POSTA AGUJAS MAYO DE 26CMS  (3) SEPARADOR DEAVER DE 22 X 215MM  (6) SEPARADORES FA"&amp; "RABEAF DE 15CMS  (3) PINZA DE DISECCION 11.5 CMS  (6) PINZA HEMOSTATICA ADSON CURVA 18.5CM  (6) PINZA KELLY RECTA 14.5 CMS  (1) PINZA INTESTINAL BABCOCK 24CM"</f>
        <v>EQUIPO LAPARATOMIA:  (3) CANULA PARA SUCCION YANKAUER   (3) CUBETA CON TAPA DE ACERO   (3) MANGO PARA BISTURI N°4  (3) MANGO PARA BISTURI N°7  (5) PINZA BABCOCK INTESTINAL DE 24CM  (18) PINZA DE CAMPO BACKHAUS DE 15CM  (3) PINZA DE DISECCION ESTANDAR DE 14.5 CM CON GARRA   (3) PINZA DE DISECCION ESTANDAR DE 14.5 CM CON GARRA   (3) PINZA DE DISECCION ESTANDAR DE 14.5 CM SIN GARRA  (3) PINZA DE DISECCION ESWTANDAR DE 18CM SIN GARRA  (3) PINZA DE DISECCION RUSA DE 20CM  (3) PINZA FOERSTER RECTA ESTRIADA PORTA ESPONJA DE 25CM  (30) PINZA KELLY CURVA HEMOSTATICA DE 14CM  (3) PINZA MIXTER MISTICA CURVA DE 22CMS  (3) PLATON PARA CIRUGIA DE ACERO  (3) PORTA AGUJAS MAYO DE 24CM  (3) POSTA AGUJAS MAYO DE 26CMS  (3) SEPARADOR DEAVER DE 22 X 215MM  (6) SEPARADORES FARABEAF DE 15CMS  (3) PINZA DE DISECCION 11.5 CMS  (6) PINZA HEMOSTATICA ADSON CURVA 18.5CM  (6) PINZA KELLY RECTA 14.5 CMS  (1) PINZA INTESTINAL BABCOCK 24CM</v>
      </c>
      <c r="G5098" s="5"/>
    </row>
    <row r="5099" spans="1:7" ht="58.5" customHeight="1" x14ac:dyDescent="0.25">
      <c r="A5099" s="5" t="str">
        <f>"H0038734"</f>
        <v>H0038734</v>
      </c>
      <c r="B5099" s="5" t="str">
        <f>"EQUIPO DE COLUMNA #1"</f>
        <v>EQUIPO DE COLUMNA #1</v>
      </c>
      <c r="C5099" s="6">
        <v>36728969</v>
      </c>
      <c r="D5099" s="5" t="s">
        <v>427</v>
      </c>
      <c r="E5099" s="5" t="str">
        <f t="shared" si="254"/>
        <v>INSTRUMENTACION-DIANA CAICEDO-DIANA DIAZ</v>
      </c>
      <c r="F5099" s="5" t="str">
        <f>"EQUIPO DE COLUMNA #1:  (1) CURETA VOLKMANN 20CM  (1) CURETA VOLKMANN CORTANTE N°0 17CM  (1) DISECTORE DE PILARES DE HURD LISO DE 22CM  (1) DISECTOR FREER DE FOBLE EXTREMO  (1) PERIOSTOTOMO LANGENBECK 19CMS  (1) PINZA ALLIGATORE CUSHING FINA DE 18.5CM  (6)"&amp; " PINZA BACKHAUS PARA CAMPOS DE 15CM  (1) PINZA DE DISECCION ADSON CON GARRA DE 12CM  (1) PINZA DE DISECCION ADSON SIN ARRA DE 12CM  (1) PINZA DE DISECCION CORTA CON GARRA 14.5CM  (1) PINZA DE DISECCION CORTA SIN GARRA 14.5CM  (1) PINZA DE DISECCION MEDIAN"&amp; "A CON GARRA 16CM  (1) PINZA FOERSTER CURVA ESTRIADA PORTA ESPONJA 25CM  (4) PINZA KOCHER HEMOSTATICA RECTA DE 16CM  (4) PINZA ROCHESTER CURVA HEMOSTATICA DE 16CM  (2) PORTA AGUJAS MAYO HEGAR DE 18CM  (2) PORTA AGUJAS DE MAYO HEGAR 16CMS  (2) CUBETA PERFOR"&amp; "ADA SIN TAPA 30 X 20 X 4  (4) PINZA HEMOSTATICA MOSQUITO CURVA 12.5CM  (4) PINZA KELLY HEMOSTATICA CURVA 14.5CM"</f>
        <v>EQUIPO DE COLUMNA #1:  (1) CURETA VOLKMANN 20CM  (1) CURETA VOLKMANN CORTANTE N°0 17CM  (1) DISECTORE DE PILARES DE HURD LISO DE 22CM  (1) DISECTOR FREER DE FOBLE EXTREMO  (1) PERIOSTOTOMO LANGENBECK 19CMS  (1) PINZA ALLIGATORE CUSHING FINA DE 18.5CM  (6) PINZA BACKHAUS PARA CAMPOS DE 15CM  (1) PINZA DE DISECCION ADSON CON GARRA DE 12CM  (1) PINZA DE DISECCION ADSON SIN ARRA DE 12CM  (1) PINZA DE DISECCION CORTA CON GARRA 14.5CM  (1) PINZA DE DISECCION CORTA SIN GARRA 14.5CM  (1) PINZA DE DISECCION MEDIANA CON GARRA 16CM  (1) PINZA FOERSTER CURVA ESTRIADA PORTA ESPONJA 25CM  (4) PINZA KOCHER HEMOSTATICA RECTA DE 16CM  (4) PINZA ROCHESTER CURVA HEMOSTATICA DE 16CM  (2) PORTA AGUJAS MAYO HEGAR DE 18CM  (2) PORTA AGUJAS DE MAYO HEGAR 16CMS  (2) CUBETA PERFORADA SIN TAPA 30 X 20 X 4  (4) PINZA HEMOSTATICA MOSQUITO CURVA 12.5CM  (4) PINZA KELLY HEMOSTATICA CURVA 14.5CM</v>
      </c>
      <c r="G5099" s="5"/>
    </row>
    <row r="5100" spans="1:7" ht="58.5" customHeight="1" x14ac:dyDescent="0.25">
      <c r="A5100" s="5" t="str">
        <f>"H0038735"</f>
        <v>H0038735</v>
      </c>
      <c r="B5100" s="5" t="str">
        <f>"EQUIPO DE MAXILOFACIAL"</f>
        <v>EQUIPO DE MAXILOFACIAL</v>
      </c>
      <c r="C5100" s="6">
        <v>32047842</v>
      </c>
      <c r="D5100" s="5" t="s">
        <v>427</v>
      </c>
      <c r="E5100" s="5" t="str">
        <f t="shared" si="254"/>
        <v>INSTRUMENTACION-DIANA CAICEDO-DIANA DIAZ</v>
      </c>
      <c r="F5100" s="5" t="str">
        <f>"EQUIPO DE MAXILO:  (2) CANULA PARA SUCCION YANKAUER CON PUNTA  (1) CONDUCTO FRAZIER DE APIRACION 30 GR  (1) DISECTOR FREER DE DOBLE EXTREMO  (1) FARABEUF PERIOSTOTOMO RECTO 15CM  (4) GANCHO JOSEPH PARA PIEL DE UN GARFIO DE 16CM  (4) KILLIAN ESPECULO NASAL"&amp; " 35MM  (1) LUCAE MARTILLO TRAUMATOLOGIA 19CM  (2) MANGO PARA BISTURI N°3  (6) PINZA BABY MOSQUITO DE 10CM  (2) PINZA BAYONETA RAMA DE 14CM  (6) PINZA DE CAMPO BACKHAUS DE 15CM  (2) PINZA DE DISECCION ADSON CON GARRA DE 12CM  (2) PINZA DE DISECCION ESTANDA"&amp; "R CON GARRA DE 14.5CM  (4) PINZA KELLY CURVA DE 14CM  (4) PINZA KELLY RECTA DE 14CM  (4) PINZA PEAN-ROCHESTER CURVA 18CM  (2) PORTA AGUJAS MAYO HEGAR DE 14CM  (2) PORTA AGUJAS MAYO HEGAR DE 16CM  (2) SEPARADORES FARABEUF DE 12CM  (2) SEPARADORES SENN PUNT"&amp; "A ROMA 17CM  (2) TIJERA DE MAYO RECTA PARA MATERIAL DE 14.5CM  (2) TIJERA METZENBAUM PARA TEJIDOS RECTA DE 12CM  (2) CONDUCTO DE ASPIRACION FRAZIER 30GR  (1) CONDUCTO FRAZIER DE ASPIRACION 30GR  (1) CUBETA CON TAPA DE ACERO   (1) CUBETA PERFORADA SIN TAPA"&amp; " 30 X 20 X 4  (2) PLATON PARA PEQUEÑA CIRUGIA 25 X 6   (2) TIJERA PARA TEJIDOPS CURVA 12CM"</f>
        <v>EQUIPO DE MAXILO:  (2) CANULA PARA SUCCION YANKAUER CON PUNTA  (1) CONDUCTO FRAZIER DE APIRACION 30 GR  (1) DISECTOR FREER DE DOBLE EXTREMO  (1) FARABEUF PERIOSTOTOMO RECTO 15CM  (4) GANCHO JOSEPH PARA PIEL DE UN GARFIO DE 16CM  (4) KILLIAN ESPECULO NASAL 35MM  (1) LUCAE MARTILLO TRAUMATOLOGIA 19CM  (2) MANGO PARA BISTURI N°3  (6) PINZA BABY MOSQUITO DE 10CM  (2) PINZA BAYONETA RAMA DE 14CM  (6) PINZA DE CAMPO BACKHAUS DE 15CM  (2) PINZA DE DISECCION ADSON CON GARRA DE 12CM  (2) PINZA DE DISECCION ESTANDAR CON GARRA DE 14.5CM  (4) PINZA KELLY CURVA DE 14CM  (4) PINZA KELLY RECTA DE 14CM  (4) PINZA PEAN-ROCHESTER CURVA 18CM  (2) PORTA AGUJAS MAYO HEGAR DE 14CM  (2) PORTA AGUJAS MAYO HEGAR DE 16CM  (2) SEPARADORES FARABEUF DE 12CM  (2) SEPARADORES SENN PUNTA ROMA 17CM  (2) TIJERA DE MAYO RECTA PARA MATERIAL DE 14.5CM  (2) TIJERA METZENBAUM PARA TEJIDOS RECTA DE 12CM  (2) CONDUCTO DE ASPIRACION FRAZIER 30GR  (1) CONDUCTO FRAZIER DE ASPIRACION 30GR  (1) CUBETA CON TAPA DE ACERO   (1) CUBETA PERFORADA SIN TAPA 30 X 20 X 4  (2) PLATON PARA PEQUEÑA CIRUGIA 25 X 6   (2) TIJERA PARA TEJIDOPS CURVA 12CM</v>
      </c>
      <c r="G5100" s="5"/>
    </row>
    <row r="5101" spans="1:7" ht="58.5" customHeight="1" x14ac:dyDescent="0.25">
      <c r="A5101" s="5" t="str">
        <f>"H0038736"</f>
        <v>H0038736</v>
      </c>
      <c r="B5101" s="5" t="str">
        <f>"EQUIPO DE SEPTOPLASTIA"</f>
        <v>EQUIPO DE SEPTOPLASTIA</v>
      </c>
      <c r="C5101" s="6">
        <v>74177365</v>
      </c>
      <c r="D5101" s="5" t="s">
        <v>427</v>
      </c>
      <c r="E5101" s="5" t="str">
        <f t="shared" si="254"/>
        <v>INSTRUMENTACION-DIANA CAICEDO-DIANA DIAZ</v>
      </c>
      <c r="F5101" s="5" t="str">
        <f>"EQUIPO DE SETOPLASTIA:  (2) BISTURI COTTLE NASAL 15CM  (2) CONDUCTO FRAZIER DE ASPIRACION 30GR  (2) CUBETA CON TAPA EN ACERO INOXIDABLE 30X20X4  (2) DISECTOR FREER DE DOBLE EXTREMO  (2) ELEVADOR JOSEPH PARA TABIQUE   (1) ELEVADOR PARA TABIQUE MCKENTY 22CM"&amp; "  (3) ESPECULO NASAL DE COTTLE  (3) MARTILLO TRUMATOLOGIA 19CM 260GR  (2) PINZA AURICULAR HARTMANN WULLSTEIN 8.5CM  (2) PINZA BAYONETA 18CM  (12) PINZA BERNHARD PARA SUJETAR CAMPOS 16 CM  (2) PINZA DE DISECCION ADSON CON GARRA DE 12CM  (2) PINZA DE DISECC"&amp; "ION ADSON SIN GARRA DE 12CM  (4) PINZA KELLY CURVA HEMOSTATICA DE 14CM  (4) PINZA KELLY HEMOSTATICA CURVA 14CM  (4) PINZA KELLY RECTA HEMOSTATICA DE 14CM  (1) PLATON PARA CIRUGIA ENA CERO INOXIDABLE   (2) PORTA AGUJAS MAYO HEGAR DE 18CM  (2) RETRACTOR DE "&amp; "ALA NASAL DE AUFRICHT DE 16CM  (3) SEPARADOR FOMON DOBLE RINOLOGIA 16CM  (4) SEPARADOR DENN PUNTA AGUDA 17CM  (4) SEPARADORES FARABEUF DE 12CM   (2) TIJERA FOMON 15CM  (2) TIJERA JOSEPH PARA CIRUGIA PLASTICA RECTA 14CM  (2) TIJERA METZEMBAUM FINA ROMA CUR"&amp; "VA   (2) TIJERA METZENBAUM PARA TEJIDOS RECTA 12CM  (3) ESPECULO NASAL VIENA PARA ADULTOS   (2) LIMA NASAL MALTZ CLOTTLE DE 21CM  (2) TIJERA DE MAYO PARA MATERIA RECTA 14CM  (2) TIJERA KNIFE NASAL HEYMANN 18CM  (3) ESPECULO NASAL 50MM  (2) SEPARADOR FOMON"&amp; " DOBLE RINOLOGIA 16CM"</f>
        <v>EQUIPO DE SETOPLASTIA:  (2) BISTURI COTTLE NASAL 15CM  (2) CONDUCTO FRAZIER DE ASPIRACION 30GR  (2) CUBETA CON TAPA EN ACERO INOXIDABLE 30X20X4  (2) DISECTOR FREER DE DOBLE EXTREMO  (2) ELEVADOR JOSEPH PARA TABIQUE   (1) ELEVADOR PARA TABIQUE MCKENTY 22CM  (3) ESPECULO NASAL DE COTTLE  (3) MARTILLO TRUMATOLOGIA 19CM 260GR  (2) PINZA AURICULAR HARTMANN WULLSTEIN 8.5CM  (2) PINZA BAYONETA 18CM  (12) PINZA BERNHARD PARA SUJETAR CAMPOS 16 CM  (2) PINZA DE DISECCION ADSON CON GARRA DE 12CM  (2) PINZA DE DISECCION ADSON SIN GARRA DE 12CM  (4) PINZA KELLY CURVA HEMOSTATICA DE 14CM  (4) PINZA KELLY HEMOSTATICA CURVA 14CM  (4) PINZA KELLY RECTA HEMOSTATICA DE 14CM  (1) PLATON PARA CIRUGIA ENA CERO INOXIDABLE   (2) PORTA AGUJAS MAYO HEGAR DE 18CM  (2) RETRACTOR DE ALA NASAL DE AUFRICHT DE 16CM  (3) SEPARADOR FOMON DOBLE RINOLOGIA 16CM  (4) SEPARADOR DENN PUNTA AGUDA 17CM  (4) SEPARADORES FARABEUF DE 12CM   (2) TIJERA FOMON 15CM  (2) TIJERA JOSEPH PARA CIRUGIA PLASTICA RECTA 14CM  (2) TIJERA METZEMBAUM FINA ROMA CURVA   (2) TIJERA METZENBAUM PARA TEJIDOS RECTA 12CM  (3) ESPECULO NASAL VIENA PARA ADULTOS   (2) LIMA NASAL MALTZ CLOTTLE DE 21CM  (2) TIJERA DE MAYO PARA MATERIA RECTA 14CM  (2) TIJERA KNIFE NASAL HEYMANN 18CM  (3) ESPECULO NASAL 50MM  (2) SEPARADOR FOMON DOBLE RINOLOGIA 16CM</v>
      </c>
      <c r="G5101" s="5"/>
    </row>
    <row r="5102" spans="1:7" ht="58.5" customHeight="1" x14ac:dyDescent="0.25">
      <c r="A5102" s="5" t="str">
        <f>"H0038737"</f>
        <v>H0038737</v>
      </c>
      <c r="B5102" s="5" t="str">
        <f>"EQUIPO DE DERIVACIÓN"</f>
        <v>EQUIPO DE DERIVACIÓN</v>
      </c>
      <c r="C5102" s="6">
        <v>71686738</v>
      </c>
      <c r="D5102" s="5" t="s">
        <v>427</v>
      </c>
      <c r="E5102" s="5" t="str">
        <f t="shared" si="254"/>
        <v>INSTRUMENTACION-DIANA CAICEDO-DIANA DIAZ</v>
      </c>
      <c r="F5102" s="5" t="str">
        <f>"EQUIPO DE DERIVACION:  (1) CONDUCTO FRAZIER DE ASPIRACION 30GR 19CM  (1) CONDUCTO FRAZIER DE ASPIRACION 30GR 19CM  (1) CUBETA CON TAPA DE ACERO INOXIDABLE 26*17*4CM  (1) CUBETA CON TAPA EN ACERO INOXIDABLE   (1) CUBETA METALICA C/TAPA ACERO 23*12*4CM  (2)"&amp; " DISECTOR FREER DE DOBLE EXTREMO  (1) ESPATULA CEREBRAL CUSHING CON CABEZA DE 7 Y 9MM, 18CMS  (1) ESPATULA CEREBRAL CUSHING CON CABEZA DE 7 Y 9MM, 18CMS  (2) FARABEUF PERIOSTOTOMO RECTO 15CM  (2) GUBIA RUSKIN RECTA DE 18CM  (3) HISTEROMETRO DE SIMS MALEAB"&amp; "LE GRADUADO DE 32CM  (4) JANSEN  SEPARADOR MASTOIDES ROMO 10CMS  (2) MANGO PARA BISTURI N.4   (2) MANGO PARA BISTURI N. 3  (8) PINZA BABY MOSQUITO CURVA HEMOSTATICA DE 10CMS  (6) PINZA BABY MOSQUITO RECTA HEMOSTATICA DE 10CMS   (12) PINZA BABY MOSQUITO RE"&amp; "CTA HEMOSTATICA DE 10CMS  (4) PINZA BACKHAUS PARA CAMPOS DE 15CM  (4) PINZA CISTICO GEMINI PARA DISECCION Y LIGADURA 13CMS  (2) PINZA DE CAMPO BACKHAUS DE 15CM  (4) PINZA DE DISECCION ADSON CON GARRA DE 12CM  (4) PINZA DE DISECCION ADSON SIN GARRA DE 12CM"&amp; "   (4) PINZA DE DISECCION ESTANDAR DE 14.5 CM CON GARRA  (4) PINZA DE DISECCION ESTANDAR DE 14.5 CM SIN GARRA  (1) PINZA GUBIA FRIEDMAN MINI PARA HUESOS 12CMS  (8) PINZA KELLY CURVA HEMOSTATICA DE 14CM  (6) PINZA KELLY RECTA HEMOSTATICA DE 14CM  (2) PINZA"&amp; " PARA DISECCION BAYONETA JANSEN RINOLOGIA 20CMS  (6) PINZA PEAN-ROCHESTER CURVA HEMOSTATICA 18CMS  (4) PORTA AGUJAS MAYO HEGAR DE 14 CM  (4) PORTA AGUJAS MAYO HEGAR DE 18CM  (1) REGLA METALICA, GRAD MM,PULGADAS, 15CMS  (2) SEPARADOR FARABEUF 2 PIEZAS 12 C"&amp; "M DIMEDA  (4) SEPARADOR SENN PUNTA AGUDA 17CM  (2) SONDA ACANALADA 14.5 CMS  (2) TIJERA DE MAYO RECTA PARA MATERIAL DE 14.5 CM  (2) TIJERA METZEMBAUM CURVA PARA TEJIDOS DE 15CM  (2) TIJERA ROMA METZEMBAUM 11.5 CM  (3) CURETA CORTANTE VOLKMANN  (3) CURETA "&amp; "CORTANTE VOLKMANN  (1) PINZA GUBIA FRIEDMAN MINI PARA HUESOS 12 CMS"</f>
        <v>EQUIPO DE DERIVACION:  (1) CONDUCTO FRAZIER DE ASPIRACION 30GR 19CM  (1) CONDUCTO FRAZIER DE ASPIRACION 30GR 19CM  (1) CUBETA CON TAPA DE ACERO INOXIDABLE 26*17*4CM  (1) CUBETA CON TAPA EN ACERO INOXIDABLE   (1) CUBETA METALICA C/TAPA ACERO 23*12*4CM  (2) DISECTOR FREER DE DOBLE EXTREMO  (1) ESPATULA CEREBRAL CUSHING CON CABEZA DE 7 Y 9MM, 18CMS  (1) ESPATULA CEREBRAL CUSHING CON CABEZA DE 7 Y 9MM, 18CMS  (2) FARABEUF PERIOSTOTOMO RECTO 15CM  (2) GUBIA RUSKIN RECTA DE 18CM  (3) HISTEROMETRO DE SIMS MALEABLE GRADUADO DE 32CM  (4) JANSEN  SEPARADOR MASTOIDES ROMO 10CMS  (2) MANGO PARA BISTURI N.4   (2) MANGO PARA BISTURI N. 3  (8) PINZA BABY MOSQUITO CURVA HEMOSTATICA DE 10CMS  (6) PINZA BABY MOSQUITO RECTA HEMOSTATICA DE 10CMS   (12) PINZA BABY MOSQUITO RECTA HEMOSTATICA DE 10CMS  (4) PINZA BACKHAUS PARA CAMPOS DE 15CM  (4) PINZA CISTICO GEMINI PARA DISECCION Y LIGADURA 13CMS  (2) PINZA DE CAMPO BACKHAUS DE 15CM  (4) PINZA DE DISECCION ADSON CON GARRA DE 12CM  (4) PINZA DE DISECCION ADSON SIN GARRA DE 12CM   (4) PINZA DE DISECCION ESTANDAR DE 14.5 CM CON GARRA  (4) PINZA DE DISECCION ESTANDAR DE 14.5 CM SIN GARRA  (1) PINZA GUBIA FRIEDMAN MINI PARA HUESOS 12CMS  (8) PINZA KELLY CURVA HEMOSTATICA DE 14CM  (6) PINZA KELLY RECTA HEMOSTATICA DE 14CM  (2) PINZA PARA DISECCION BAYONETA JANSEN RINOLOGIA 20CMS  (6) PINZA PEAN-ROCHESTER CURVA HEMOSTATICA 18CMS  (4) PORTA AGUJAS MAYO HEGAR DE 14 CM  (4) PORTA AGUJAS MAYO HEGAR DE 18CM  (1) REGLA METALICA, GRAD MM,PULGADAS, 15CMS  (2) SEPARADOR FARABEUF 2 PIEZAS 12 CM DIMEDA  (4) SEPARADOR SENN PUNTA AGUDA 17CM  (2) SONDA ACANALADA 14.5 CMS  (2) TIJERA DE MAYO RECTA PARA MATERIAL DE 14.5 CM  (2) TIJERA METZEMBAUM CURVA PARA TEJIDOS DE 15CM  (2) TIJERA ROMA METZEMBAUM 11.5 CM  (3) CURETA CORTANTE VOLKMANN  (3) CURETA CORTANTE VOLKMANN  (1) PINZA GUBIA FRIEDMAN MINI PARA HUESOS 12 CMS</v>
      </c>
      <c r="G5102" s="5"/>
    </row>
    <row r="5103" spans="1:7" ht="58.5" customHeight="1" x14ac:dyDescent="0.25">
      <c r="A5103" s="5" t="str">
        <f>"H0038738"</f>
        <v>H0038738</v>
      </c>
      <c r="B5103" s="5" t="str">
        <f>"EQUIPO DE CRANEO"</f>
        <v>EQUIPO DE CRANEO</v>
      </c>
      <c r="C5103" s="6">
        <v>88574746</v>
      </c>
      <c r="D5103" s="5" t="s">
        <v>427</v>
      </c>
      <c r="E5103" s="5" t="str">
        <f t="shared" si="254"/>
        <v>INSTRUMENTACION-DIANA CAICEDO-DIANA DIAZ</v>
      </c>
      <c r="F5103" s="5" t="str">
        <f>"EQUIPO DE CRANEO CONSTA:  (3) CUBETA PERFORADORA SIN TAPA  (2) CURETA CORTANTE VOLKMANN  (2) CURETA CORTANTE VOLKMANN  (2) CURETA CORTANTE VOLKMANN  (2) DISECTOR COTTLE PARA TABIQUE 22CMS  (2) PERIOSTOTOMO FARABEUF CURVO 15CM  (2) PINZA DE DISECCION CON G"&amp; "ARRA 13CMS  (2) PINZA PARA DISECCION BAYONETA JANSEN RINOLOGIA 20CMS  (4) SEPARADOR GELPI 16CMS  (2) MANGO PARA BISTURI Nº 3  (12) PINZA DE CAMPO BACKHAUS DE 15 CM  (2) PINZA DE DISECCION ADSON CON GARRA DE 12 CM  (2) PINZA DE DISECCION ADSON SIN GARRA DE"&amp; " 12 CM  (2) PINZA DE DISECCION ESTANDAR DE 14.5CM SIN GARRA  (2) PINZA DISECCION SIN GARRA, ESTRECHA FINA DE 11.5CM  (4) PINZA INTESTINAL ALLIS BABY 4X5 14CMS  (10) PINZA KELLY CURVA HEMOSTATICA DE 14CM  (2) PINZA KELLY CURVA HEMOSTATICA DE 14CM  (1) PORT"&amp; "A AGUAJS DURAMADRE PLASTIA BOCA ESTRIADA 13CM  (2) CONDUCTO FRAZIER DE ASPIRACION 30GR CH 10 19 CMS  (2) CONDUCTO FRAZIER DE ASPIRACION 30GR CH 10 19CMS  (1) DAVIS ESPATULA CEREBLAR 18CMS, 7 PULGADAS 16MM  (2) DAVIS ESPATULA CEREBLAR 18CMS, 7 PULGADAS 16M"&amp; "M  (2) DISECTOR FREER DE DOBLE EXTREMO   (1) FARABEUF PERIOSTOTOMO RECTO 15CM  (2) LEKSELL STILLE PINZA GUBIA, 23CMS, 7MM  (2) MANGO PARA BISTURI Nº 4  (1) PINZA MICRO EN BAYONETA ALLIGATORE 22CM  (20) PINZA MOSQUITO CURVA HEMOSTATICA DE 12.5 CM  (20) PIN"&amp; "ZA MOSQUITO RECTA HEMOSTATICA DE 12.5CM  (1) PORTA AGUJAS DURAMADRE PLASTIA BOCA ESTRIADA 13CM  (2) PORTA AGUJAS MAYO HEGAR MANGO DORADO DE 16CM  (2) SCHMIEDEN TYLOR TIJERA PARA CIRUGIA, ANGULADA 17CMS  (2) SONDA ACANALADA 14.5CMS  (2) TIJERA DE MAYO RECT"&amp; "A PARA MATERIAL DE 14.5CM  (2) TIJERA METZEMBAUM CURVA PARA TEJIDOS DE 15CM  (2) TIJERA METZEMBAUM CURVA ROMA DE 14.5CM"</f>
        <v>EQUIPO DE CRANEO CONSTA:  (3) CUBETA PERFORADORA SIN TAPA  (2) CURETA CORTANTE VOLKMANN  (2) CURETA CORTANTE VOLKMANN  (2) CURETA CORTANTE VOLKMANN  (2) DISECTOR COTTLE PARA TABIQUE 22CMS  (2) PERIOSTOTOMO FARABEUF CURVO 15CM  (2) PINZA DE DISECCION CON GARRA 13CMS  (2) PINZA PARA DISECCION BAYONETA JANSEN RINOLOGIA 20CMS  (4) SEPARADOR GELPI 16CMS  (2) MANGO PARA BISTURI Nº 3  (12) PINZA DE CAMPO BACKHAUS DE 15 CM  (2) PINZA DE DISECCION ADSON CON GARRA DE 12 CM  (2) PINZA DE DISECCION ADSON SIN GARRA DE 12 CM  (2) PINZA DE DISECCION ESTANDAR DE 14.5CM SIN GARRA  (2) PINZA DISECCION SIN GARRA, ESTRECHA FINA DE 11.5CM  (4) PINZA INTESTINAL ALLIS BABY 4X5 14CMS  (10) PINZA KELLY CURVA HEMOSTATICA DE 14CM  (2) PINZA KELLY CURVA HEMOSTATICA DE 14CM  (1) PORTA AGUAJS DURAMADRE PLASTIA BOCA ESTRIADA 13CM  (2) CONDUCTO FRAZIER DE ASPIRACION 30GR CH 10 19 CMS  (2) CONDUCTO FRAZIER DE ASPIRACION 30GR CH 10 19CMS  (1) DAVIS ESPATULA CEREBLAR 18CMS, 7 PULGADAS 16MM  (2) DAVIS ESPATULA CEREBLAR 18CMS, 7 PULGADAS 16MM  (2) DISECTOR FREER DE DOBLE EXTREMO   (1) FARABEUF PERIOSTOTOMO RECTO 15CM  (2) LEKSELL STILLE PINZA GUBIA, 23CMS, 7MM  (2) MANGO PARA BISTURI Nº 4  (1) PINZA MICRO EN BAYONETA ALLIGATORE 22CM  (20) PINZA MOSQUITO CURVA HEMOSTATICA DE 12.5 CM  (20) PINZA MOSQUITO RECTA HEMOSTATICA DE 12.5CM  (1) PORTA AGUJAS DURAMADRE PLASTIA BOCA ESTRIADA 13CM  (2) PORTA AGUJAS MAYO HEGAR MANGO DORADO DE 16CM  (2) SCHMIEDEN TYLOR TIJERA PARA CIRUGIA, ANGULADA 17CMS  (2) SONDA ACANALADA 14.5CMS  (2) TIJERA DE MAYO RECTA PARA MATERIAL DE 14.5CM  (2) TIJERA METZEMBAUM CURVA PARA TEJIDOS DE 15CM  (2) TIJERA METZEMBAUM CURVA ROMA DE 14.5CM</v>
      </c>
      <c r="G5103" s="5"/>
    </row>
    <row r="5104" spans="1:7" ht="58.5" customHeight="1" x14ac:dyDescent="0.25">
      <c r="A5104" s="5" t="str">
        <f>"H0038742"</f>
        <v>H0038742</v>
      </c>
      <c r="B5104" s="5" t="str">
        <f>"EQUIPO DE TORAX BABY"</f>
        <v>EQUIPO DE TORAX BABY</v>
      </c>
      <c r="C5104" s="6">
        <v>15050168</v>
      </c>
      <c r="D5104" s="5" t="s">
        <v>429</v>
      </c>
      <c r="E5104" s="5" t="str">
        <f t="shared" si="254"/>
        <v>INSTRUMENTACION-DIANA CAICEDO-DIANA DIAZ</v>
      </c>
      <c r="F5104" s="5" t="str">
        <f>"EQUIPO TORAX BABY CONSTA:  (2) SEPARADOR DEAVER  (2) SEPARADOR FINOCHIETTO"</f>
        <v>EQUIPO TORAX BABY CONSTA:  (2) SEPARADOR DEAVER  (2) SEPARADOR FINOCHIETTO</v>
      </c>
      <c r="G5104" s="5"/>
    </row>
    <row r="5105" spans="1:7" ht="58.5" customHeight="1" x14ac:dyDescent="0.25">
      <c r="A5105" s="5" t="str">
        <f>"H0038743"</f>
        <v>H0038743</v>
      </c>
      <c r="B5105" s="5" t="str">
        <f>"EQUIPO DE BABY ESTOMAGO"</f>
        <v>EQUIPO DE BABY ESTOMAGO</v>
      </c>
      <c r="C5105" s="6">
        <v>14280000</v>
      </c>
      <c r="D5105" s="5" t="s">
        <v>429</v>
      </c>
      <c r="E5105" s="5" t="str">
        <f t="shared" si="254"/>
        <v>INSTRUMENTACION-DIANA CAICEDO-DIANA DIAZ</v>
      </c>
      <c r="F5105" s="5" t="str">
        <f>"EQUIPO BABY ESTOMAGO CONSTA:  (3) CLAMP DE BAKEY RECTO ATRAUMATICO 17CM  (3) PINZA CLAMP DE DEBAKEY"</f>
        <v>EQUIPO BABY ESTOMAGO CONSTA:  (3) CLAMP DE BAKEY RECTO ATRAUMATICO 17CM  (3) PINZA CLAMP DE DEBAKEY</v>
      </c>
      <c r="G5105" s="5"/>
    </row>
    <row r="5106" spans="1:7" ht="58.5" customHeight="1" x14ac:dyDescent="0.25">
      <c r="A5106" s="5" t="str">
        <f>"I0000001"</f>
        <v>I0000001</v>
      </c>
      <c r="B5106" s="5" t="str">
        <f>"EQUIPO DE LAPAROTOMIA"</f>
        <v>EQUIPO DE LAPAROTOMIA</v>
      </c>
      <c r="C5106" s="6">
        <v>1563053.4</v>
      </c>
      <c r="D5106" s="5"/>
      <c r="E5106" s="5" t="str">
        <f t="shared" si="254"/>
        <v>INSTRUMENTACION-DIANA CAICEDO-DIANA DIAZ</v>
      </c>
      <c r="F5106" s="5" t="str">
        <f>"Descripcion: EQUIPO DE LAPAROTOMIA #1 QUE CONSTA DE:  (1)MANGO DE BISTURI  #4  (1) MANGO DE BISTURI  #7  (2) SEPARADORES DE FARA BEUF  (1) SEPARADOR DE DEAVERS ANGOSTO  (1) TIJERA DE MAYO LARGA  (1) TIJERA DE METZEMBAUM LARGA  (1) PINZA DE DISECCION SIN G"&amp; "ARRA CORTA  (1) PINZA DE DISECCION SIN GARRA MEDIANA  (1) PINZA DE DISECCION SIN GARRA LARGA (DIMEDA)  (1) PINZA DE DISECCION CON GARRA PEQUEÑA  (1) PINZA DE DISECCION CON GARRA MEDIANA  (1) PINZA DISECCION RUSA  (9) PINZAS  KELLY CURVAS  (2) PINZAS  KELL"&amp; "Y RECTAS   (3) PINZAS ROCHESTER CURVAS  (6) PINZAS ALLIX LARGAS (DIMEDA)  (2)  PINZAS KELLY ADSON  (1)  PINZAS CISTICO  (2)  PINZAS BABCOCK  (1) PORTA AGUJAS LARGO (DIMEDA)  (1) PORTA AGUJAS MEDIANO(DIMEDA)  (1) PINZA FOSTER  (1) PINZA MIXTER  (1) PINZA D"&amp; "UVAL   (6) PINZAS DE CAMPO (DIMEDA)  (1) CANULA DE SUCCION DE YANKAWER (DIMEDA)  (1) PLATON NIQUELADO  (1) CUBETA DE INSTRUMENTAL NIQUELADA Estado: Bueno Placa anterior: 000016756 Material: ACERO INOXIDABLE Color: PLATEADO Referencia:  Observacion: Observ"&amp; "acion Placa padre: Tipo adquisicion: Entidad"</f>
        <v>Descripcion: EQUIPO DE LAPAROTOMIA #1 QUE CONSTA DE:  (1)MANGO DE BISTURI  #4  (1) MANGO DE BISTURI  #7  (2) SEPARADORES DE FARA BEUF  (1) SEPARADOR DE DEAVERS ANGOSTO  (1) TIJERA DE MAYO LARGA  (1) TIJERA DE METZEMBAUM LARGA  (1) PINZA DE DISECCION SIN GARRA CORTA  (1) PINZA DE DISECCION SIN GARRA MEDIANA  (1) PINZA DE DISECCION SIN GARRA LARGA (DIMEDA)  (1) PINZA DE DISECCION CON GARRA PEQUEÑA  (1) PINZA DE DISECCION CON GARRA MEDIANA  (1) PINZA DISECCION RUSA  (9) PINZAS  KELLY CURVAS  (2) PINZAS  KELLY RECTAS   (3) PINZAS ROCHESTER CURVAS  (6) PINZAS ALLIX LARGAS (DIMEDA)  (2)  PINZAS KELLY ADSON  (1)  PINZAS CISTICO  (2)  PINZAS BABCOCK  (1) PORTA AGUJAS LARGO (DIMEDA)  (1) PORTA AGUJAS MEDIANO(DIMEDA)  (1) PINZA FOSTER  (1) PINZA MIXTER  (1) PINZA DUVAL   (6) PINZAS DE CAMPO (DIMEDA)  (1) CANULA DE SUCCION DE YANKAWER (DIMEDA)  (1) PLATON NIQUELADO  (1) CUBETA DE INSTRUMENTAL NIQUELADA Estado: Bueno Placa anterior: 000016756 Material: ACERO INOXIDABLE Color: PLATEADO Referencia:  Observacion: Observacion Placa padre: Tipo adquisicion: Entidad</v>
      </c>
      <c r="G5106" s="5"/>
    </row>
    <row r="5107" spans="1:7" ht="58.5" customHeight="1" x14ac:dyDescent="0.25">
      <c r="A5107" s="5" t="str">
        <f>"I0000002"</f>
        <v>I0000002</v>
      </c>
      <c r="B5107" s="5" t="str">
        <f>"MANGO PARA BISTURI #4"</f>
        <v>MANGO PARA BISTURI #4</v>
      </c>
      <c r="C5107" s="6">
        <v>15080</v>
      </c>
      <c r="D5107" s="5"/>
      <c r="E5107" s="5" t="str">
        <f t="shared" si="254"/>
        <v>INSTRUMENTACION-DIANA CAICEDO-DIANA DIAZ</v>
      </c>
      <c r="F5107" s="5" t="str">
        <f>"Descripcion: MANGO DE BISTURI  #4 Estado: Bueno Placa anterior: 000031865 Material: ACERO INOXIDABLE Color: PLATEADO Referencia:  Observacion: Observacion Placa padre: I0000001Tipo adquisicion: Entidad"</f>
        <v>Descripcion: MANGO DE BISTURI  #4 Estado: Bueno Placa anterior: 000031865 Material: ACERO INOXIDABLE Color: PLATEADO Referencia:  Observacion: Observacion Placa padre: I0000001Tipo adquisicion: Entidad</v>
      </c>
      <c r="G5107" s="5"/>
    </row>
    <row r="5108" spans="1:7" ht="58.5" customHeight="1" x14ac:dyDescent="0.25">
      <c r="A5108" s="5" t="str">
        <f>"I0000003"</f>
        <v>I0000003</v>
      </c>
      <c r="B5108" s="5" t="str">
        <f>"MANGO PARA BISTURI #4"</f>
        <v>MANGO PARA BISTURI #4</v>
      </c>
      <c r="C5108" s="6">
        <v>27840</v>
      </c>
      <c r="D5108" s="5"/>
      <c r="E5108" s="5" t="str">
        <f t="shared" si="254"/>
        <v>INSTRUMENTACION-DIANA CAICEDO-DIANA DIAZ</v>
      </c>
      <c r="F5108" s="5" t="str">
        <f>"Descripcion: MANGO DE BISTURI  #7 Estado: Bueno Placa anterior: 000031847 Material: ACERO INOXIDABLE Color: PLATEADO Referencia:  Observacion: Observacion Placa padre: I0000001Tipo adquisicion: Entidad"</f>
        <v>Descripcion: MANGO DE BISTURI  #7 Estado: Bueno Placa anterior: 000031847 Material: ACERO INOXIDABLE Color: PLATEADO Referencia:  Observacion: Observacion Placa padre: I0000001Tipo adquisicion: Entidad</v>
      </c>
      <c r="G5108" s="5"/>
    </row>
    <row r="5109" spans="1:7" ht="58.5" customHeight="1" x14ac:dyDescent="0.25">
      <c r="A5109" s="5" t="str">
        <f>"I0000004"</f>
        <v>I0000004</v>
      </c>
      <c r="B5109" s="5" t="str">
        <f>"SEPARADOR DE ABDOMEN (FARABEUF)"</f>
        <v>SEPARADOR DE ABDOMEN (FARABEUF)</v>
      </c>
      <c r="C5109" s="6">
        <v>46400</v>
      </c>
      <c r="D5109" s="5"/>
      <c r="E5109" s="5" t="str">
        <f t="shared" si="254"/>
        <v>INSTRUMENTACION-DIANA CAICEDO-DIANA DIAZ</v>
      </c>
      <c r="F5109" s="5" t="str">
        <f>"Descripcion: SEPARADOR DE FARA BEUF Estado: Bueno Placa anterior: 000032509 Material: ACERO INOXIDABLE Color: PLATEADO Referencia:  Observacion:     Placa padre: I0000001Tipo adquisicion: Entidad"</f>
        <v>Descripcion: SEPARADOR DE FARA BEUF Estado: Bueno Placa anterior: 000032509 Material: ACERO INOXIDABLE Color: PLATEADO Referencia:  Observacion:     Placa padre: I0000001Tipo adquisicion: Entidad</v>
      </c>
      <c r="G5109" s="5"/>
    </row>
    <row r="5110" spans="1:7" ht="58.5" customHeight="1" x14ac:dyDescent="0.25">
      <c r="A5110" s="5" t="str">
        <f>"I0000005"</f>
        <v>I0000005</v>
      </c>
      <c r="B5110" s="5" t="str">
        <f>"SEPARADOR DE ABDOMEN (FARABEUF)"</f>
        <v>SEPARADOR DE ABDOMEN (FARABEUF)</v>
      </c>
      <c r="C5110" s="6">
        <v>46400</v>
      </c>
      <c r="D5110" s="5"/>
      <c r="E5110" s="5" t="str">
        <f t="shared" si="254"/>
        <v>INSTRUMENTACION-DIANA CAICEDO-DIANA DIAZ</v>
      </c>
      <c r="F5110" s="5" t="str">
        <f>"Descripcion: SEPARADOR DE FARA BEUF Estado: Bueno Placa anterior: 000032515 Material: ACERO INOXIDABLE Color: PLATEADO Referencia:  Observacion:     Placa padre: I0000001Tipo adquisicion: Entidad"</f>
        <v>Descripcion: SEPARADOR DE FARA BEUF Estado: Bueno Placa anterior: 000032515 Material: ACERO INOXIDABLE Color: PLATEADO Referencia:  Observacion:     Placa padre: I0000001Tipo adquisicion: Entidad</v>
      </c>
      <c r="G5110" s="5"/>
    </row>
    <row r="5111" spans="1:7" ht="58.5" customHeight="1" x14ac:dyDescent="0.25">
      <c r="A5111" s="5" t="str">
        <f>"I0000009"</f>
        <v>I0000009</v>
      </c>
      <c r="B5111" s="5" t="str">
        <f>"PINZA DE DISECCION SIN GARRA LARGA 25 CM"</f>
        <v>PINZA DE DISECCION SIN GARRA LARGA 25 CM</v>
      </c>
      <c r="C5111" s="6">
        <v>18560</v>
      </c>
      <c r="D5111" s="5"/>
      <c r="E5111" s="5" t="str">
        <f t="shared" si="254"/>
        <v>INSTRUMENTACION-DIANA CAICEDO-DIANA DIAZ</v>
      </c>
      <c r="F5111" s="5" t="str">
        <f>"Descripcion: PINZA DE DISECCION SIN GARRA CORTA Estado: Bueno Placa anterior: 000031993 Material: ACERO INOXIDABLE Color: PLATEADO Referencia:  Observacion:     Placa padre: I0000001Tipo adquisicion: Entidad"</f>
        <v>Descripcion: PINZA DE DISECCION SIN GARRA CORTA Estado: Bueno Placa anterior: 000031993 Material: ACERO INOXIDABLE Color: PLATEADO Referencia:  Observacion:     Placa padre: I0000001Tipo adquisicion: Entidad</v>
      </c>
      <c r="G5111" s="5"/>
    </row>
    <row r="5112" spans="1:7" ht="58.5" customHeight="1" x14ac:dyDescent="0.25">
      <c r="A5112" s="5" t="str">
        <f>"I0000010"</f>
        <v>I0000010</v>
      </c>
      <c r="B5112" s="5" t="str">
        <f>"PINZA DE DISECCION SIN GARRA LARGA 25 CM"</f>
        <v>PINZA DE DISECCION SIN GARRA LARGA 25 CM</v>
      </c>
      <c r="C5112" s="6">
        <v>18560</v>
      </c>
      <c r="D5112" s="5"/>
      <c r="E5112" s="5" t="str">
        <f t="shared" si="254"/>
        <v>INSTRUMENTACION-DIANA CAICEDO-DIANA DIAZ</v>
      </c>
      <c r="F5112" s="5" t="str">
        <f>"Descripcion: PINZA DE DISECCION SIN GARRA MEDIANA Estado: Bueno Placa anterior: 000031994 Material: ACERO INOXIDABLE Color: PLATEADO Referencia:  Observacion:     Placa padre: I0000001Tipo adquisicion: Entidad"</f>
        <v>Descripcion: PINZA DE DISECCION SIN GARRA MEDIANA Estado: Bueno Placa anterior: 000031994 Material: ACERO INOXIDABLE Color: PLATEADO Referencia:  Observacion:     Placa padre: I0000001Tipo adquisicion: Entidad</v>
      </c>
      <c r="G5112" s="5"/>
    </row>
    <row r="5113" spans="1:7" ht="58.5" customHeight="1" x14ac:dyDescent="0.25">
      <c r="A5113" s="5" t="str">
        <f>"I0000011"</f>
        <v>I0000011</v>
      </c>
      <c r="B5113" s="5" t="str">
        <f>"PINZA DE DISECCION SIN GARRA LARGA 25 CM"</f>
        <v>PINZA DE DISECCION SIN GARRA LARGA 25 CM</v>
      </c>
      <c r="C5113" s="6">
        <v>18560</v>
      </c>
      <c r="D5113" s="5"/>
      <c r="E5113" s="5" t="str">
        <f t="shared" si="254"/>
        <v>INSTRUMENTACION-DIANA CAICEDO-DIANA DIAZ</v>
      </c>
      <c r="F5113" s="5" t="str">
        <f>"Descripcion: PINZA DE DISECCION SIN GARRA LARGA (DIMEDA) Estado: Bueno Placa anterior: 000031995 Material: ACERO INOXIDABLE Color: PLATEADO Referencia:  Observacion:     Placa padre: I0000001Tipo adquisicion: Entidad"</f>
        <v>Descripcion: PINZA DE DISECCION SIN GARRA LARGA (DIMEDA) Estado: Bueno Placa anterior: 000031995 Material: ACERO INOXIDABLE Color: PLATEADO Referencia:  Observacion:     Placa padre: I0000001Tipo adquisicion: Entidad</v>
      </c>
      <c r="G5113" s="5"/>
    </row>
    <row r="5114" spans="1:7" ht="58.5" customHeight="1" x14ac:dyDescent="0.25">
      <c r="A5114" s="5" t="str">
        <f>"I0000012"</f>
        <v>I0000012</v>
      </c>
      <c r="B5114" s="5" t="str">
        <f>"PINZA DE DISECCION CON GARRA MEDIANA 25 CM"</f>
        <v>PINZA DE DISECCION CON GARRA MEDIANA 25 CM</v>
      </c>
      <c r="C5114" s="6">
        <v>39440</v>
      </c>
      <c r="D5114" s="5"/>
      <c r="E5114" s="5" t="str">
        <f t="shared" si="254"/>
        <v>INSTRUMENTACION-DIANA CAICEDO-DIANA DIAZ</v>
      </c>
      <c r="F5114" s="5" t="str">
        <f>"Descripcion: PINZA DE DISECCION CON GARRA PEQUEÑA Estado: Bueno Placa anterior: 000031958 Material: ACERO INOXIDABLE Color: PLATEADO Referencia:  Observacion:     Placa padre: I0000001Tipo adquisicion: Entidad"</f>
        <v>Descripcion: PINZA DE DISECCION CON GARRA PEQUEÑA Estado: Bueno Placa anterior: 000031958 Material: ACERO INOXIDABLE Color: PLATEADO Referencia:  Observacion:     Placa padre: I0000001Tipo adquisicion: Entidad</v>
      </c>
      <c r="G5114" s="5"/>
    </row>
    <row r="5115" spans="1:7" ht="58.5" customHeight="1" x14ac:dyDescent="0.25">
      <c r="A5115" s="5" t="str">
        <f>"I0000013"</f>
        <v>I0000013</v>
      </c>
      <c r="B5115" s="5" t="str">
        <f>"PINZA DE DISECCION CON GARRA MEDIANA 25 CM"</f>
        <v>PINZA DE DISECCION CON GARRA MEDIANA 25 CM</v>
      </c>
      <c r="C5115" s="6">
        <v>39440</v>
      </c>
      <c r="D5115" s="5"/>
      <c r="E5115" s="5" t="str">
        <f t="shared" si="254"/>
        <v>INSTRUMENTACION-DIANA CAICEDO-DIANA DIAZ</v>
      </c>
      <c r="F5115" s="5" t="str">
        <f>"Descripcion: PINZA DE DISECCION CON GARRA MEDIANA Estado: Bueno Placa anterior: 000031959 Material: ACERO INOXIDABLE Color: PLATEADO Referencia:  Observacion:     Placa padre: I0000001Tipo adquisicion: Entidad"</f>
        <v>Descripcion: PINZA DE DISECCION CON GARRA MEDIANA Estado: Bueno Placa anterior: 000031959 Material: ACERO INOXIDABLE Color: PLATEADO Referencia:  Observacion:     Placa padre: I0000001Tipo adquisicion: Entidad</v>
      </c>
      <c r="G5115" s="5"/>
    </row>
    <row r="5116" spans="1:7" ht="58.5" customHeight="1" x14ac:dyDescent="0.25">
      <c r="A5116" s="5" t="str">
        <f>"I0000014"</f>
        <v>I0000014</v>
      </c>
      <c r="B5116" s="5" t="str">
        <f>"PINZA DE DISECCION SIN GARRA CORTA 20 CM"</f>
        <v>PINZA DE DISECCION SIN GARRA CORTA 20 CM</v>
      </c>
      <c r="C5116" s="6">
        <v>67280</v>
      </c>
      <c r="D5116" s="5"/>
      <c r="E5116" s="5" t="str">
        <f t="shared" si="254"/>
        <v>INSTRUMENTACION-DIANA CAICEDO-DIANA DIAZ</v>
      </c>
      <c r="F5116" s="5" t="str">
        <f>"Descripcion: PINZA DISECCION RUSA Estado: Bueno Placa anterior: 000031986 Material: ACERO INOXIDABLE Color: PLATEADO Referencia:  Observacion:     Placa padre: I0000001Tipo adquisicion: Entidad"</f>
        <v>Descripcion: PINZA DISECCION RUSA Estado: Bueno Placa anterior: 000031986 Material: ACERO INOXIDABLE Color: PLATEADO Referencia:  Observacion:     Placa padre: I0000001Tipo adquisicion: Entidad</v>
      </c>
      <c r="G5116" s="5"/>
    </row>
    <row r="5117" spans="1:7" ht="58.5" customHeight="1" x14ac:dyDescent="0.25">
      <c r="A5117" s="5" t="str">
        <f>"I0000023"</f>
        <v>I0000023</v>
      </c>
      <c r="B5117" s="5" t="str">
        <f>"PINZA KELLY CURVA 16 CM"</f>
        <v>PINZA KELLY CURVA 16 CM</v>
      </c>
      <c r="C5117" s="6">
        <v>52200</v>
      </c>
      <c r="D5117" s="5"/>
      <c r="E5117" s="5" t="str">
        <f t="shared" si="254"/>
        <v>INSTRUMENTACION-DIANA CAICEDO-DIANA DIAZ</v>
      </c>
      <c r="F5117" s="5" t="str">
        <f>"Descripcion: PINZAS  KELLY CURVAS Estado: Bueno Placa anterior: 000036031 Material: ACERO INOXIDABLE Color: PLATEADO Referencia:  Observacion:     Placa padre: I0000001Tipo adquisicion: Entidad"</f>
        <v>Descripcion: PINZAS  KELLY CURVAS Estado: Bueno Placa anterior: 000036031 Material: ACERO INOXIDABLE Color: PLATEADO Referencia:  Observacion:     Placa padre: I0000001Tipo adquisicion: Entidad</v>
      </c>
      <c r="G5117" s="5"/>
    </row>
    <row r="5118" spans="1:7" ht="58.5" customHeight="1" x14ac:dyDescent="0.25">
      <c r="A5118" s="5" t="str">
        <f>"I0000024"</f>
        <v>I0000024</v>
      </c>
      <c r="B5118" s="5" t="str">
        <f>"PINZA KELLY CURVA 16 CM"</f>
        <v>PINZA KELLY CURVA 16 CM</v>
      </c>
      <c r="C5118" s="6">
        <v>52200</v>
      </c>
      <c r="D5118" s="5"/>
      <c r="E5118" s="5" t="str">
        <f t="shared" si="254"/>
        <v>INSTRUMENTACION-DIANA CAICEDO-DIANA DIAZ</v>
      </c>
      <c r="F5118" s="5" t="str">
        <f>"Descripcion: PINZAS  KELLY CURVAS Estado: Bueno Placa anterior: 000036032 Material: ACERO INOXIDABLE Color: PLATEADO Referencia:  Observacion:     Placa padre: I0000001Tipo adquisicion: Entidad"</f>
        <v>Descripcion: PINZAS  KELLY CURVAS Estado: Bueno Placa anterior: 000036032 Material: ACERO INOXIDABLE Color: PLATEADO Referencia:  Observacion:     Placa padre: I0000001Tipo adquisicion: Entidad</v>
      </c>
      <c r="G5118" s="5"/>
    </row>
    <row r="5119" spans="1:7" ht="58.5" customHeight="1" x14ac:dyDescent="0.25">
      <c r="A5119" s="5" t="str">
        <f>"I0000025"</f>
        <v>I0000025</v>
      </c>
      <c r="B5119" s="5" t="str">
        <f>"PINZA KELLY RECTA 16 CM"</f>
        <v>PINZA KELLY RECTA 16 CM</v>
      </c>
      <c r="C5119" s="6">
        <v>52200</v>
      </c>
      <c r="D5119" s="5"/>
      <c r="E5119" s="5" t="str">
        <f t="shared" si="254"/>
        <v>INSTRUMENTACION-DIANA CAICEDO-DIANA DIAZ</v>
      </c>
      <c r="F5119" s="5" t="str">
        <f>"Descripcion: PINZAS  KELLY RECTAS  Estado: Bueno Placa anterior: 000036033 Material: ACERO INOXIDABLE Color: PLATEADO Referencia:  Observacion:     Placa padre: I0000001Tipo adquisicion: Entidad"</f>
        <v>Descripcion: PINZAS  KELLY RECTAS  Estado: Bueno Placa anterior: 000036033 Material: ACERO INOXIDABLE Color: PLATEADO Referencia:  Observacion:     Placa padre: I0000001Tipo adquisicion: Entidad</v>
      </c>
      <c r="G5119" s="5"/>
    </row>
    <row r="5120" spans="1:7" ht="58.5" customHeight="1" x14ac:dyDescent="0.25">
      <c r="A5120" s="5" t="str">
        <f>"I0000026"</f>
        <v>I0000026</v>
      </c>
      <c r="B5120" s="5" t="str">
        <f>"PINZA KELLY RECTA 16 CM"</f>
        <v>PINZA KELLY RECTA 16 CM</v>
      </c>
      <c r="C5120" s="6">
        <v>52200</v>
      </c>
      <c r="D5120" s="5"/>
      <c r="E5120" s="5" t="str">
        <f t="shared" si="254"/>
        <v>INSTRUMENTACION-DIANA CAICEDO-DIANA DIAZ</v>
      </c>
      <c r="F5120" s="5" t="str">
        <f>"Descripcion: PINZAS  KELLY RECTAS  Estado: Bueno Placa anterior: 000036034 Material: ACERO INOXIDABLE Color: PLATEADO Referencia:  Observacion:     Placa padre: I0000001Tipo adquisicion: Entidad"</f>
        <v>Descripcion: PINZAS  KELLY RECTAS  Estado: Bueno Placa anterior: 000036034 Material: ACERO INOXIDABLE Color: PLATEADO Referencia:  Observacion:     Placa padre: I0000001Tipo adquisicion: Entidad</v>
      </c>
      <c r="G5120" s="5"/>
    </row>
    <row r="5121" spans="1:7" ht="58.5" customHeight="1" x14ac:dyDescent="0.25">
      <c r="A5121" s="5" t="str">
        <f>"I0000027"</f>
        <v>I0000027</v>
      </c>
      <c r="B5121" s="5" t="str">
        <f t="shared" ref="B5121:B5128" si="255">"PINZA ROCHESTER CURVA 25 CM"</f>
        <v>PINZA ROCHESTER CURVA 25 CM</v>
      </c>
      <c r="C5121" s="6">
        <v>81200</v>
      </c>
      <c r="D5121" s="5"/>
      <c r="E5121" s="5" t="str">
        <f t="shared" si="254"/>
        <v>INSTRUMENTACION-DIANA CAICEDO-DIANA DIAZ</v>
      </c>
      <c r="F5121" s="5" t="str">
        <f>"Descripcion: PINZAS ROCHESTER CURVAS Estado: Bueno Placa anterior: 000036137 Material: ACERO INOXIDABLE Color: PLATEADO Referencia:  Observacion:     Placa padre: I0000001Tipo adquisicion: Entidad"</f>
        <v>Descripcion: PINZAS ROCHESTER CURVAS Estado: Bueno Placa anterior: 000036137 Material: ACERO INOXIDABLE Color: PLATEADO Referencia:  Observacion:     Placa padre: I0000001Tipo adquisicion: Entidad</v>
      </c>
      <c r="G5121" s="5"/>
    </row>
    <row r="5122" spans="1:7" ht="58.5" customHeight="1" x14ac:dyDescent="0.25">
      <c r="A5122" s="5" t="str">
        <f>"I0000028"</f>
        <v>I0000028</v>
      </c>
      <c r="B5122" s="5" t="str">
        <f t="shared" si="255"/>
        <v>PINZA ROCHESTER CURVA 25 CM</v>
      </c>
      <c r="C5122" s="6">
        <v>81200</v>
      </c>
      <c r="D5122" s="5"/>
      <c r="E5122" s="5" t="str">
        <f t="shared" si="254"/>
        <v>INSTRUMENTACION-DIANA CAICEDO-DIANA DIAZ</v>
      </c>
      <c r="F5122" s="5" t="str">
        <f>"Descripcion: PINZAS ROCHESTER CURVAS Estado: Bueno Placa anterior: 000036138 Material: ACERO INOXIDABLE Color: PLATEADO Referencia:  Observacion:     Placa padre: I0000001Tipo adquisicion: Entidad"</f>
        <v>Descripcion: PINZAS ROCHESTER CURVAS Estado: Bueno Placa anterior: 000036138 Material: ACERO INOXIDABLE Color: PLATEADO Referencia:  Observacion:     Placa padre: I0000001Tipo adquisicion: Entidad</v>
      </c>
      <c r="G5122" s="5"/>
    </row>
    <row r="5123" spans="1:7" ht="58.5" customHeight="1" x14ac:dyDescent="0.25">
      <c r="A5123" s="5" t="str">
        <f>"I0000029"</f>
        <v>I0000029</v>
      </c>
      <c r="B5123" s="5" t="str">
        <f t="shared" si="255"/>
        <v>PINZA ROCHESTER CURVA 25 CM</v>
      </c>
      <c r="C5123" s="6">
        <v>81200</v>
      </c>
      <c r="D5123" s="5"/>
      <c r="E5123" s="5" t="str">
        <f t="shared" si="254"/>
        <v>INSTRUMENTACION-DIANA CAICEDO-DIANA DIAZ</v>
      </c>
      <c r="F5123" s="5" t="str">
        <f>"Descripcion: PINZAS ROCHESTER CURVAS Estado: Bueno Placa anterior: 000036139 Material: ACERO INOXIDABLE Color: PLATEADO Referencia:  Observacion:     Placa padre: I0000001Tipo adquisicion: Entidad"</f>
        <v>Descripcion: PINZAS ROCHESTER CURVAS Estado: Bueno Placa anterior: 000036139 Material: ACERO INOXIDABLE Color: PLATEADO Referencia:  Observacion:     Placa padre: I0000001Tipo adquisicion: Entidad</v>
      </c>
      <c r="G5123" s="5"/>
    </row>
    <row r="5124" spans="1:7" ht="58.5" customHeight="1" x14ac:dyDescent="0.25">
      <c r="A5124" s="5" t="str">
        <f>"I0000030"</f>
        <v>I0000030</v>
      </c>
      <c r="B5124" s="5" t="str">
        <f t="shared" si="255"/>
        <v>PINZA ROCHESTER CURVA 25 CM</v>
      </c>
      <c r="C5124" s="6">
        <v>81200</v>
      </c>
      <c r="D5124" s="5"/>
      <c r="E5124" s="5" t="str">
        <f t="shared" si="254"/>
        <v>INSTRUMENTACION-DIANA CAICEDO-DIANA DIAZ</v>
      </c>
      <c r="F5124" s="5" t="str">
        <f>"Descripcion: PINZAS ROCHESTER CURVAS Estado: Bueno Placa anterior: 000036140 Material: ACERO INOXIDABLE Color: PLATEADO Referencia:  Observacion:     Placa padre: I0000001Tipo adquisicion: Entidad"</f>
        <v>Descripcion: PINZAS ROCHESTER CURVAS Estado: Bueno Placa anterior: 000036140 Material: ACERO INOXIDABLE Color: PLATEADO Referencia:  Observacion:     Placa padre: I0000001Tipo adquisicion: Entidad</v>
      </c>
      <c r="G5124" s="5"/>
    </row>
    <row r="5125" spans="1:7" ht="58.5" customHeight="1" x14ac:dyDescent="0.25">
      <c r="A5125" s="5" t="str">
        <f>"I0000031"</f>
        <v>I0000031</v>
      </c>
      <c r="B5125" s="5" t="str">
        <f t="shared" si="255"/>
        <v>PINZA ROCHESTER CURVA 25 CM</v>
      </c>
      <c r="C5125" s="6">
        <v>81200</v>
      </c>
      <c r="D5125" s="5"/>
      <c r="E5125" s="5" t="str">
        <f t="shared" si="254"/>
        <v>INSTRUMENTACION-DIANA CAICEDO-DIANA DIAZ</v>
      </c>
      <c r="F5125" s="5" t="str">
        <f>"Descripcion: PINZAS ROCHESTER CURVAS Estado: Bueno Placa anterior: 000036141 Material: ACERO INOXIDABLE Color: PLATEADO Referencia:  Observacion:     Placa padre: I0000001Tipo adquisicion: Entidad"</f>
        <v>Descripcion: PINZAS ROCHESTER CURVAS Estado: Bueno Placa anterior: 000036141 Material: ACERO INOXIDABLE Color: PLATEADO Referencia:  Observacion:     Placa padre: I0000001Tipo adquisicion: Entidad</v>
      </c>
      <c r="G5125" s="5"/>
    </row>
    <row r="5126" spans="1:7" ht="58.5" customHeight="1" x14ac:dyDescent="0.25">
      <c r="A5126" s="5" t="str">
        <f>"I0000032"</f>
        <v>I0000032</v>
      </c>
      <c r="B5126" s="5" t="str">
        <f t="shared" si="255"/>
        <v>PINZA ROCHESTER CURVA 25 CM</v>
      </c>
      <c r="C5126" s="6">
        <v>81200</v>
      </c>
      <c r="D5126" s="5"/>
      <c r="E5126" s="5" t="str">
        <f t="shared" si="254"/>
        <v>INSTRUMENTACION-DIANA CAICEDO-DIANA DIAZ</v>
      </c>
      <c r="F5126" s="5" t="str">
        <f>"Descripcion: PINZAS ROCHESTER CURVAS Estado: Bueno Placa anterior: 000036142 Material: ACERO INOXIDABLE Color: PLATEADO Referencia:  Observacion:     Placa padre: I0000001Tipo adquisicion: Entidad"</f>
        <v>Descripcion: PINZAS ROCHESTER CURVAS Estado: Bueno Placa anterior: 000036142 Material: ACERO INOXIDABLE Color: PLATEADO Referencia:  Observacion:     Placa padre: I0000001Tipo adquisicion: Entidad</v>
      </c>
      <c r="G5126" s="5"/>
    </row>
    <row r="5127" spans="1:7" ht="58.5" customHeight="1" x14ac:dyDescent="0.25">
      <c r="A5127" s="5" t="str">
        <f>"I0000033"</f>
        <v>I0000033</v>
      </c>
      <c r="B5127" s="5" t="str">
        <f t="shared" si="255"/>
        <v>PINZA ROCHESTER CURVA 25 CM</v>
      </c>
      <c r="C5127" s="6">
        <v>81200</v>
      </c>
      <c r="D5127" s="5"/>
      <c r="E5127" s="5" t="str">
        <f t="shared" si="254"/>
        <v>INSTRUMENTACION-DIANA CAICEDO-DIANA DIAZ</v>
      </c>
      <c r="F5127" s="5" t="str">
        <f>"Descripcion: PINZAS ROCHESTER CURVAS Estado: Bueno Placa anterior: 000036144 Material: ACERO INOXIDABLE Color: PLATEADO Referencia:  Observacion:     Placa padre: I0000001Tipo adquisicion: Entidad"</f>
        <v>Descripcion: PINZAS ROCHESTER CURVAS Estado: Bueno Placa anterior: 000036144 Material: ACERO INOXIDABLE Color: PLATEADO Referencia:  Observacion:     Placa padre: I0000001Tipo adquisicion: Entidad</v>
      </c>
      <c r="G5127" s="5"/>
    </row>
    <row r="5128" spans="1:7" ht="58.5" customHeight="1" x14ac:dyDescent="0.25">
      <c r="A5128" s="5" t="str">
        <f>"I0000034"</f>
        <v>I0000034</v>
      </c>
      <c r="B5128" s="5" t="str">
        <f t="shared" si="255"/>
        <v>PINZA ROCHESTER CURVA 25 CM</v>
      </c>
      <c r="C5128" s="6">
        <v>81200</v>
      </c>
      <c r="D5128" s="5"/>
      <c r="E5128" s="5" t="str">
        <f t="shared" si="254"/>
        <v>INSTRUMENTACION-DIANA CAICEDO-DIANA DIAZ</v>
      </c>
      <c r="F5128" s="5" t="str">
        <f>"Descripcion: PINZAS ROCHESTER CURVAS Estado: Bueno Placa anterior: 000036145 Material: ACERO INOXIDABLE Color: PLATEADO Referencia:  Observacion:     Placa padre: I0000001Tipo adquisicion: Entidad"</f>
        <v>Descripcion: PINZAS ROCHESTER CURVAS Estado: Bueno Placa anterior: 000036145 Material: ACERO INOXIDABLE Color: PLATEADO Referencia:  Observacion:     Placa padre: I0000001Tipo adquisicion: Entidad</v>
      </c>
      <c r="G5128" s="5"/>
    </row>
    <row r="5129" spans="1:7" ht="58.5" customHeight="1" x14ac:dyDescent="0.25">
      <c r="A5129" s="5" t="str">
        <f>"I0000042"</f>
        <v>I0000042</v>
      </c>
      <c r="B5129" s="5" t="str">
        <f>"PINZA KELLY ADSON 25 CM"</f>
        <v>PINZA KELLY ADSON 25 CM</v>
      </c>
      <c r="C5129" s="6">
        <v>81200</v>
      </c>
      <c r="D5129" s="5"/>
      <c r="E5129" s="5" t="str">
        <f t="shared" si="254"/>
        <v>INSTRUMENTACION-DIANA CAICEDO-DIANA DIAZ</v>
      </c>
      <c r="F5129" s="5" t="str">
        <f>"Descripcion: PINZAS KELLY ADSON Estado: Bueno Placa anterior: 000031666 Material: ACERO INOXIDABLE Color: PLATEADO Referencia:  Observacion: PINZA ADSON HEMOSTATICA CURVA, LONGITUD 180MM(7) EN ACERO INXIDABLE Placa padre: I0000001Tipo adquisicion: Entidad"&amp; ""</f>
        <v>Descripcion: PINZAS KELLY ADSON Estado: Bueno Placa anterior: 000031666 Material: ACERO INOXIDABLE Color: PLATEADO Referencia:  Observacion: PINZA ADSON HEMOSTATICA CURVA, LONGITUD 180MM(7) EN ACERO INXIDABLE Placa padre: I0000001Tipo adquisicion: Entidad</v>
      </c>
      <c r="G5129" s="5"/>
    </row>
    <row r="5130" spans="1:7" ht="58.5" customHeight="1" x14ac:dyDescent="0.25">
      <c r="A5130" s="5" t="str">
        <f>"I0000044"</f>
        <v>I0000044</v>
      </c>
      <c r="B5130" s="5" t="str">
        <f>"PINZA CISTICO"</f>
        <v>PINZA CISTICO</v>
      </c>
      <c r="C5130" s="6">
        <v>162400</v>
      </c>
      <c r="D5130" s="5"/>
      <c r="E5130" s="5" t="str">
        <f t="shared" si="254"/>
        <v>INSTRUMENTACION-DIANA CAICEDO-DIANA DIAZ</v>
      </c>
      <c r="F5130" s="5" t="str">
        <f>"Descripcion: PINZAS CISTICO Estado: Bueno Placa anterior: 000036183 Material: ACERO INOXIDABLE Color: PLATEADO Referencia:  Observacion: PINZA LAHEY DUCTO BILIAR CURVA  Placa padre: I0000001Tipo adquisicion: Entidad"</f>
        <v>Descripcion: PINZAS CISTICO Estado: Bueno Placa anterior: 000036183 Material: ACERO INOXIDABLE Color: PLATEADO Referencia:  Observacion: PINZA LAHEY DUCTO BILIAR CURVA  Placa padre: I0000001Tipo adquisicion: Entidad</v>
      </c>
      <c r="G5130" s="5"/>
    </row>
    <row r="5131" spans="1:7" ht="58.5" customHeight="1" x14ac:dyDescent="0.25">
      <c r="A5131" s="5" t="str">
        <f>"I0000045"</f>
        <v>I0000045</v>
      </c>
      <c r="B5131" s="5" t="str">
        <f>"PINZA BABCOCK LARGAS 25 CM"</f>
        <v>PINZA BABCOCK LARGAS 25 CM</v>
      </c>
      <c r="C5131" s="6">
        <v>21504</v>
      </c>
      <c r="D5131" s="5"/>
      <c r="E5131" s="5" t="str">
        <f t="shared" si="254"/>
        <v>INSTRUMENTACION-DIANA CAICEDO-DIANA DIAZ</v>
      </c>
      <c r="F5131" s="5" t="str">
        <f>"Descripcion: PINZAS BABCOCK Estado: Bueno Placa anterior: 000015978 Material: ACERO INOXIDABLE Color: PLATEADO Referencia:  Observacion:     Placa padre: I0000001Tipo adquisicion: Entidad"</f>
        <v>Descripcion: PINZAS BABCOCK Estado: Bueno Placa anterior: 000015978 Material: ACERO INOXIDABLE Color: PLATEADO Referencia:  Observacion:     Placa padre: I0000001Tipo adquisicion: Entidad</v>
      </c>
      <c r="G5131" s="5"/>
    </row>
    <row r="5132" spans="1:7" ht="58.5" customHeight="1" x14ac:dyDescent="0.25">
      <c r="A5132" s="5" t="str">
        <f>"I0000046"</f>
        <v>I0000046</v>
      </c>
      <c r="B5132" s="5" t="str">
        <f>"PINZA BABCOCK LARGAS 25 CM"</f>
        <v>PINZA BABCOCK LARGAS 25 CM</v>
      </c>
      <c r="C5132" s="6">
        <v>21504</v>
      </c>
      <c r="D5132" s="5"/>
      <c r="E5132" s="5" t="str">
        <f t="shared" si="254"/>
        <v>INSTRUMENTACION-DIANA CAICEDO-DIANA DIAZ</v>
      </c>
      <c r="F5132" s="5" t="str">
        <f>"Descripcion: PINZAS BABCOCK Estado: Bueno Placa anterior: 000015979 Material: ACERO INOXIDABLE Color: PLATEADO Referencia:  Observacion:     Placa padre: I0000001Tipo adquisicion: Entidad"</f>
        <v>Descripcion: PINZAS BABCOCK Estado: Bueno Placa anterior: 000015979 Material: ACERO INOXIDABLE Color: PLATEADO Referencia:  Observacion:     Placa padre: I0000001Tipo adquisicion: Entidad</v>
      </c>
      <c r="G5132" s="5"/>
    </row>
    <row r="5133" spans="1:7" ht="58.5" customHeight="1" x14ac:dyDescent="0.25">
      <c r="A5133" s="5" t="str">
        <f>"I0000054"</f>
        <v>I0000054</v>
      </c>
      <c r="B5133" s="5" t="str">
        <f>"PINZA DE CAMPO"</f>
        <v>PINZA DE CAMPO</v>
      </c>
      <c r="C5133" s="6">
        <v>39440</v>
      </c>
      <c r="D5133" s="5"/>
      <c r="E5133" s="5" t="str">
        <f t="shared" si="254"/>
        <v>INSTRUMENTACION-DIANA CAICEDO-DIANA DIAZ</v>
      </c>
      <c r="F5133" s="5" t="str">
        <f>"Descripcion: PINZAS DE CAMPO (DIMEDA) Estado: Bueno Placa anterior: 000031730 Material: ACERO INOXIDABLE Color: PLATEADO Referencia:  Observacion:     Placa padre: I0000001Tipo adquisicion: Entidad"</f>
        <v>Descripcion: PINZAS DE CAMPO (DIMEDA) Estado: Bueno Placa anterior: 000031730 Material: ACERO INOXIDABLE Color: PLATEADO Referencia:  Observacion:     Placa padre: I0000001Tipo adquisicion: Entidad</v>
      </c>
      <c r="G5133" s="5"/>
    </row>
    <row r="5134" spans="1:7" ht="58.5" customHeight="1" x14ac:dyDescent="0.25">
      <c r="A5134" s="5" t="str">
        <f>"I0000055"</f>
        <v>I0000055</v>
      </c>
      <c r="B5134" s="5" t="str">
        <f>"PINZA DE CAMPO"</f>
        <v>PINZA DE CAMPO</v>
      </c>
      <c r="C5134" s="6">
        <v>39440</v>
      </c>
      <c r="D5134" s="5"/>
      <c r="E5134" s="5" t="str">
        <f t="shared" si="254"/>
        <v>INSTRUMENTACION-DIANA CAICEDO-DIANA DIAZ</v>
      </c>
      <c r="F5134" s="5" t="str">
        <f>"Descripcion: PINZAS DE CAMPO (DIMEDA) Estado: Bueno Placa anterior: 000031731 Material: ACERO INOXIDABLE Color: PLATEADO Referencia:  Observacion:     Placa padre: I0000001Tipo adquisicion: Entidad"</f>
        <v>Descripcion: PINZAS DE CAMPO (DIMEDA) Estado: Bueno Placa anterior: 000031731 Material: ACERO INOXIDABLE Color: PLATEADO Referencia:  Observacion:     Placa padre: I0000001Tipo adquisicion: Entidad</v>
      </c>
      <c r="G5134" s="5"/>
    </row>
    <row r="5135" spans="1:7" ht="58.5" customHeight="1" x14ac:dyDescent="0.25">
      <c r="A5135" s="5" t="str">
        <f>"I0000056"</f>
        <v>I0000056</v>
      </c>
      <c r="B5135" s="5" t="str">
        <f>"PINZA DE CAMPO"</f>
        <v>PINZA DE CAMPO</v>
      </c>
      <c r="C5135" s="6">
        <v>39440</v>
      </c>
      <c r="D5135" s="5"/>
      <c r="E5135" s="5" t="str">
        <f t="shared" si="254"/>
        <v>INSTRUMENTACION-DIANA CAICEDO-DIANA DIAZ</v>
      </c>
      <c r="F5135" s="5" t="str">
        <f>"Descripcion: PINZAS DE CAMPO (DIMEDA) Estado: Bueno Placa anterior: 000031732 Material: ACERO INOXIDABLE Color: PLATEADO Referencia:  Observacion:     Placa padre: I0000001Tipo adquisicion: Entidad"</f>
        <v>Descripcion: PINZAS DE CAMPO (DIMEDA) Estado: Bueno Placa anterior: 000031732 Material: ACERO INOXIDABLE Color: PLATEADO Referencia:  Observacion:     Placa padre: I0000001Tipo adquisicion: Entidad</v>
      </c>
      <c r="G5135" s="5"/>
    </row>
    <row r="5136" spans="1:7" ht="58.5" customHeight="1" x14ac:dyDescent="0.25">
      <c r="A5136" s="5" t="str">
        <f>"I0000057"</f>
        <v>I0000057</v>
      </c>
      <c r="B5136" s="5" t="str">
        <f>"PINZA DE CAMPO"</f>
        <v>PINZA DE CAMPO</v>
      </c>
      <c r="C5136" s="6">
        <v>39440</v>
      </c>
      <c r="D5136" s="5"/>
      <c r="E5136" s="5" t="str">
        <f t="shared" si="254"/>
        <v>INSTRUMENTACION-DIANA CAICEDO-DIANA DIAZ</v>
      </c>
      <c r="F5136" s="5" t="str">
        <f>"Descripcion: PINZAS DE CAMPO (DIMEDA) Estado: Bueno Placa anterior: 000031733 Material: ACERO INOXIDABLE Color: PLATEADO Referencia:  Observacion:     Placa padre: I0000001Tipo adquisicion: Entidad"</f>
        <v>Descripcion: PINZAS DE CAMPO (DIMEDA) Estado: Bueno Placa anterior: 000031733 Material: ACERO INOXIDABLE Color: PLATEADO Referencia:  Observacion:     Placa padre: I0000001Tipo adquisicion: Entidad</v>
      </c>
      <c r="G5136" s="5"/>
    </row>
    <row r="5137" spans="1:7" ht="58.5" customHeight="1" x14ac:dyDescent="0.25">
      <c r="A5137" s="5" t="str">
        <f>"I0000058"</f>
        <v>I0000058</v>
      </c>
      <c r="B5137" s="5" t="str">
        <f>"PINZA DE CAMPO"</f>
        <v>PINZA DE CAMPO</v>
      </c>
      <c r="C5137" s="6">
        <v>39440</v>
      </c>
      <c r="D5137" s="5"/>
      <c r="E5137" s="5" t="str">
        <f t="shared" si="254"/>
        <v>INSTRUMENTACION-DIANA CAICEDO-DIANA DIAZ</v>
      </c>
      <c r="F5137" s="5" t="str">
        <f>"Descripcion: PINZAS DE CAMPO (DIMEDA) Estado: Bueno Placa anterior: 000031734 Material: ACERO INOXIDABLE Color: PLATEADO Referencia:  Observacion:     Placa padre: I0000001Tipo adquisicion: Entidad"</f>
        <v>Descripcion: PINZAS DE CAMPO (DIMEDA) Estado: Bueno Placa anterior: 000031734 Material: ACERO INOXIDABLE Color: PLATEADO Referencia:  Observacion:     Placa padre: I0000001Tipo adquisicion: Entidad</v>
      </c>
      <c r="G5137" s="5"/>
    </row>
    <row r="5138" spans="1:7" ht="58.5" customHeight="1" x14ac:dyDescent="0.25">
      <c r="A5138" s="5" t="str">
        <f>"I0000059"</f>
        <v>I0000059</v>
      </c>
      <c r="B5138" s="5" t="str">
        <f>"CANULA DE YANKAUER"</f>
        <v>CANULA DE YANKAUER</v>
      </c>
      <c r="C5138" s="6">
        <v>92800</v>
      </c>
      <c r="D5138" s="5"/>
      <c r="E5138" s="5" t="str">
        <f t="shared" si="254"/>
        <v>INSTRUMENTACION-DIANA CAICEDO-DIANA DIAZ</v>
      </c>
      <c r="F5138" s="5" t="str">
        <f>"Descripcion: CANULA DE SUCCION DE YANKAWER (DIMEDA) Estado: Bueno Placa anterior: 000031633 Material: ACERO INOXIDABLE Color: PLATEADO Referencia:  Observacion:     Placa padre: I0000001Tipo adquisicion: Entidad"</f>
        <v>Descripcion: CANULA DE SUCCION DE YANKAWER (DIMEDA) Estado: Bueno Placa anterior: 000031633 Material: ACERO INOXIDABLE Color: PLATEADO Referencia:  Observacion:     Placa padre: I0000001Tipo adquisicion: Entidad</v>
      </c>
      <c r="G5138" s="5"/>
    </row>
    <row r="5139" spans="1:7" ht="58.5" customHeight="1" x14ac:dyDescent="0.25">
      <c r="A5139" s="5" t="str">
        <f>"I0000060"</f>
        <v>I0000060</v>
      </c>
      <c r="B5139" s="5" t="str">
        <f>"PLATON NIQUELADO – INOXIDABLE"</f>
        <v>PLATON NIQUELADO – INOXIDABLE</v>
      </c>
      <c r="C5139" s="6">
        <v>10438.4</v>
      </c>
      <c r="D5139" s="5"/>
      <c r="E5139" s="5" t="str">
        <f t="shared" si="254"/>
        <v>INSTRUMENTACION-DIANA CAICEDO-DIANA DIAZ</v>
      </c>
      <c r="F5139" s="5" t="str">
        <f>"Descripcion: PLATON NIQUELADO Estado: Bueno Placa anterior: 000019494 Material: ACERO INOXIDABLE Color: PLATEADO Referencia:  Observacion:     Placa padre: I0000001Tipo adquisicion: Entidad"</f>
        <v>Descripcion: PLATON NIQUELADO Estado: Bueno Placa anterior: 000019494 Material: ACERO INOXIDABLE Color: PLATEADO Referencia:  Observacion:     Placa padre: I0000001Tipo adquisicion: Entidad</v>
      </c>
      <c r="G5139" s="5"/>
    </row>
    <row r="5140" spans="1:7" ht="58.5" customHeight="1" x14ac:dyDescent="0.25">
      <c r="A5140" s="5" t="str">
        <f>"I0000061"</f>
        <v>I0000061</v>
      </c>
      <c r="B5140" s="5" t="str">
        <f>"CUBETA DE ACERO INOXIDABLE GRANDE"</f>
        <v>CUBETA DE ACERO INOXIDABLE GRANDE</v>
      </c>
      <c r="C5140" s="6">
        <v>5421.11</v>
      </c>
      <c r="D5140" s="5"/>
      <c r="E5140" s="5" t="str">
        <f t="shared" si="254"/>
        <v>INSTRUMENTACION-DIANA CAICEDO-DIANA DIAZ</v>
      </c>
      <c r="F5140" s="5" t="str">
        <f>"Descripcion: CUBETA DE INSTRUMENTAL NIQUELADA Estado: Bueno Placa anterior: 000019527 Material: ACERO INOXIDABLE Color: PLATEADO Referencia:  Observacion:     Placa padre: I0000001Tipo adquisicion: Entidad"</f>
        <v>Descripcion: CUBETA DE INSTRUMENTAL NIQUELADA Estado: Bueno Placa anterior: 000019527 Material: ACERO INOXIDABLE Color: PLATEADO Referencia:  Observacion:     Placa padre: I0000001Tipo adquisicion: Entidad</v>
      </c>
      <c r="G5140" s="5"/>
    </row>
    <row r="5141" spans="1:7" ht="58.5" customHeight="1" x14ac:dyDescent="0.25">
      <c r="A5141" s="5" t="str">
        <f>"I0000062"</f>
        <v>I0000062</v>
      </c>
      <c r="B5141" s="5" t="str">
        <f>"EQUIPO DE LAPAROTOMIA"</f>
        <v>EQUIPO DE LAPAROTOMIA</v>
      </c>
      <c r="C5141" s="6">
        <v>1820062.3</v>
      </c>
      <c r="D5141" s="5"/>
      <c r="E5141" s="5" t="str">
        <f t="shared" si="254"/>
        <v>INSTRUMENTACION-DIANA CAICEDO-DIANA DIAZ</v>
      </c>
      <c r="F5141" s="5" t="str">
        <f>"Descripcion: EQUIPO DE LAPAROTOMIA #2 QUE CONSTA DE:  (0)MANGO DE BISTURI  #4  (1) MANGO DE BISTURI  #7  (2) SEPARADORES DE FARA BEUF  (1) SEPARADOR DE DEAVERS ANGOSTO  (1) TIJERA DE MAYO LARGA  (1) TIJERA DE METZEMBAUM LARGA  (1) PINZA DE DISECCION SIN G"&amp; "ARRA CORTA  (1) PINZA DE DISECCION SIN GARRA MEDIANA  (1) PINZA DE DISECCION SIN GARRA LARGA  (1) PINZA DE DISECCION CON GARRA PEQUEÑA  (1) PINZA DE DISECCION CON GARRA MEDIANA  (1) PINZA DISECCION RUSA  (9) PINZAS  KELLY CURVAS  (2) PINZAS  KELLY RECTAS "&amp; "  (7) PINZAS  ROCHESTER CURVAS   (6) PINZAS  ALLIX LARGAS (DIMEDA)  (2)  PINZAS KELLY ADSON  (2)  PINZAS DE CISTICO  (2)  PINZAS BABCOCK  (1) PORTA AGUJAS LARGO (DIMEDA)  (2) PORTA AGUJAS MEDIANO (DIMEDA)  (1) PINZA FOSTER  (0) PINZA MIXTER  (1)  PINZA DU"&amp; "VAL  (5) PINZAS DE CAMPO (DIMEDA)  (1) CANULA DE SUCCION DE YANKAWER (DIMEDA)  (1) PLATON NIQUELADO  (1) CUBETA DE INSTRUMENTAL NIQUELADA   Estado: Bueno Placa anterior: 000016757 Material: ACERO INOXIDABLE Color: PLATEADO Referencia:  Observacion:     Pl"&amp; "aca padre: Tipo adquisicion: Entidad"</f>
        <v>Descripcion: EQUIPO DE LAPAROTOMIA #2 QUE CONSTA DE:  (0)MANGO DE BISTURI  #4  (1) MANGO DE BISTURI  #7  (2) SEPARADORES DE FARA BEUF  (1) SEPARADOR DE DEAVERS ANGOSTO  (1) TIJERA DE MAYO LARGA  (1) TIJERA DE METZEMBAUM LARGA  (1) PINZA DE DISECCION SIN GARRA CORTA  (1) PINZA DE DISECCION SIN GARRA MEDIANA  (1) PINZA DE DISECCION SIN GARRA LARGA  (1) PINZA DE DISECCION CON GARRA PEQUEÑA  (1) PINZA DE DISECCION CON GARRA MEDIANA  (1) PINZA DISECCION RUSA  (9) PINZAS  KELLY CURVAS  (2) PINZAS  KELLY RECTAS   (7) PINZAS  ROCHESTER CURVAS   (6) PINZAS  ALLIX LARGAS (DIMEDA)  (2)  PINZAS KELLY ADSON  (2)  PINZAS DE CISTICO  (2)  PINZAS BABCOCK  (1) PORTA AGUJAS LARGO (DIMEDA)  (2) PORTA AGUJAS MEDIANO (DIMEDA)  (1) PINZA FOSTER  (0) PINZA MIXTER  (1)  PINZA DUVAL  (5) PINZAS DE CAMPO (DIMEDA)  (1) CANULA DE SUCCION DE YANKAWER (DIMEDA)  (1) PLATON NIQUELADO  (1) CUBETA DE INSTRUMENTAL NIQUELADA   Estado: Bueno Placa anterior: 000016757 Material: ACERO INOXIDABLE Color: PLATEADO Referencia:  Observacion:     Placa padre: Tipo adquisicion: Entidad</v>
      </c>
      <c r="G5141" s="5"/>
    </row>
    <row r="5142" spans="1:7" ht="58.5" customHeight="1" x14ac:dyDescent="0.25">
      <c r="A5142" s="5" t="str">
        <f>"I0000063"</f>
        <v>I0000063</v>
      </c>
      <c r="B5142" s="5" t="str">
        <f>"MANGO PARA BISTURI #4"</f>
        <v>MANGO PARA BISTURI #4</v>
      </c>
      <c r="C5142" s="6">
        <v>15080</v>
      </c>
      <c r="D5142" s="5"/>
      <c r="E5142" s="5" t="str">
        <f t="shared" si="254"/>
        <v>INSTRUMENTACION-DIANA CAICEDO-DIANA DIAZ</v>
      </c>
      <c r="F5142" s="5" t="str">
        <f>"Descripcion: MANGO DE BISTURI  #4 Estado: Bueno Placa anterior: 000031866 Material: ACERO INOXIDABLE Color: PLATEADO Referencia:  Observacion:     Placa padre: I0000062Tipo adquisicion: Entidad"</f>
        <v>Descripcion: MANGO DE BISTURI  #4 Estado: Bueno Placa anterior: 000031866 Material: ACERO INOXIDABLE Color: PLATEADO Referencia:  Observacion:     Placa padre: I0000062Tipo adquisicion: Entidad</v>
      </c>
      <c r="G5142" s="5"/>
    </row>
    <row r="5143" spans="1:7" ht="58.5" customHeight="1" x14ac:dyDescent="0.25">
      <c r="A5143" s="5" t="str">
        <f>"I0000064"</f>
        <v>I0000064</v>
      </c>
      <c r="B5143" s="5" t="str">
        <f>"MANGO PARA BISTURI #4"</f>
        <v>MANGO PARA BISTURI #4</v>
      </c>
      <c r="C5143" s="6">
        <v>27840</v>
      </c>
      <c r="D5143" s="5"/>
      <c r="E5143" s="5" t="str">
        <f t="shared" si="254"/>
        <v>INSTRUMENTACION-DIANA CAICEDO-DIANA DIAZ</v>
      </c>
      <c r="F5143" s="5" t="str">
        <f>"Descripcion: MANGO DE BISTURI  #7 Estado: Bueno Placa anterior: 000031846 Material: ACERO INOXIDABLE Color: PLATEADO Referencia:  Observacion:     Placa padre: I0000062Tipo adquisicion: Entidad"</f>
        <v>Descripcion: MANGO DE BISTURI  #7 Estado: Bueno Placa anterior: 000031846 Material: ACERO INOXIDABLE Color: PLATEADO Referencia:  Observacion:     Placa padre: I0000062Tipo adquisicion: Entidad</v>
      </c>
      <c r="G5143" s="5"/>
    </row>
    <row r="5144" spans="1:7" ht="58.5" customHeight="1" x14ac:dyDescent="0.25">
      <c r="A5144" s="5" t="str">
        <f>"I0000066"</f>
        <v>I0000066</v>
      </c>
      <c r="B5144" s="5" t="str">
        <f>"SEPARADOR DE ABDOMEN (FARABEUF)"</f>
        <v>SEPARADOR DE ABDOMEN (FARABEUF)</v>
      </c>
      <c r="C5144" s="6">
        <v>46400</v>
      </c>
      <c r="D5144" s="5"/>
      <c r="E5144" s="5" t="str">
        <f t="shared" si="254"/>
        <v>INSTRUMENTACION-DIANA CAICEDO-DIANA DIAZ</v>
      </c>
      <c r="F5144" s="5" t="str">
        <f>"Descripcion: SEPARADOR DE FARA BEUF Estado: Bueno Placa anterior: 000032499 Material: ACERO INOXIDABLE Color: PLATEADO Referencia:  Observacion:     Placa padre: I0000062Tipo adquisicion: Entidad"</f>
        <v>Descripcion: SEPARADOR DE FARA BEUF Estado: Bueno Placa anterior: 000032499 Material: ACERO INOXIDABLE Color: PLATEADO Referencia:  Observacion:     Placa padre: I0000062Tipo adquisicion: Entidad</v>
      </c>
      <c r="G5144" s="5"/>
    </row>
    <row r="5145" spans="1:7" ht="58.5" customHeight="1" x14ac:dyDescent="0.25">
      <c r="A5145" s="5" t="str">
        <f>"I0000068"</f>
        <v>I0000068</v>
      </c>
      <c r="B5145" s="5" t="str">
        <f>"TIJERA DE MAYO LARGA 25 CM"</f>
        <v>TIJERA DE MAYO LARGA 25 CM</v>
      </c>
      <c r="C5145" s="6">
        <v>56840</v>
      </c>
      <c r="D5145" s="5"/>
      <c r="E5145" s="5" t="str">
        <f t="shared" si="254"/>
        <v>INSTRUMENTACION-DIANA CAICEDO-DIANA DIAZ</v>
      </c>
      <c r="F5145" s="5" t="str">
        <f>"Descripcion: TIJERA DE MAYO LARGA Estado: Bueno Placa anterior: 000032063 Material: ACERO INOXIDABLE Color: PLATEADO Referencia:  Observacion:     Placa padre: I0000062Tipo adquisicion: Entidad"</f>
        <v>Descripcion: TIJERA DE MAYO LARGA Estado: Bueno Placa anterior: 000032063 Material: ACERO INOXIDABLE Color: PLATEADO Referencia:  Observacion:     Placa padre: I0000062Tipo adquisicion: Entidad</v>
      </c>
      <c r="G5145" s="5"/>
    </row>
    <row r="5146" spans="1:7" ht="58.5" customHeight="1" x14ac:dyDescent="0.25">
      <c r="A5146" s="5" t="str">
        <f>"I0000069"</f>
        <v>I0000069</v>
      </c>
      <c r="B5146" s="5" t="str">
        <f>"TIJERA DE METZEMBAUM"</f>
        <v>TIJERA DE METZEMBAUM</v>
      </c>
      <c r="C5146" s="6">
        <v>63800</v>
      </c>
      <c r="D5146" s="5"/>
      <c r="E5146" s="5" t="str">
        <f t="shared" si="254"/>
        <v>INSTRUMENTACION-DIANA CAICEDO-DIANA DIAZ</v>
      </c>
      <c r="F5146" s="5" t="str">
        <f>"Descripcion: TIJERA DE METZEMBAUM LARGA Estado: Bueno Placa anterior: 000032073 Material: ACERO INOXIDABLE Color: PLATEADO Referencia:  Observacion:     Placa padre: I0000062Tipo adquisicion: Entidad"</f>
        <v>Descripcion: TIJERA DE METZEMBAUM LARGA Estado: Bueno Placa anterior: 000032073 Material: ACERO INOXIDABLE Color: PLATEADO Referencia:  Observacion:     Placa padre: I0000062Tipo adquisicion: Entidad</v>
      </c>
      <c r="G5146" s="5"/>
    </row>
    <row r="5147" spans="1:7" ht="58.5" customHeight="1" x14ac:dyDescent="0.25">
      <c r="A5147" s="5" t="str">
        <f>"I0000070"</f>
        <v>I0000070</v>
      </c>
      <c r="B5147" s="5" t="str">
        <f>"PINZA DE DISECCION SIN GARRA LARGA 25 CM"</f>
        <v>PINZA DE DISECCION SIN GARRA LARGA 25 CM</v>
      </c>
      <c r="C5147" s="6">
        <v>18560</v>
      </c>
      <c r="D5147" s="5"/>
      <c r="E5147" s="5" t="str">
        <f t="shared" si="254"/>
        <v>INSTRUMENTACION-DIANA CAICEDO-DIANA DIAZ</v>
      </c>
      <c r="F5147" s="5" t="str">
        <f>"Descripcion: PINZA DE DISECCION SIN GARRA CORTA Estado: Bueno Placa anterior: 000031992 Material: ACERO INOXIDABLE Color: PLATEADO Referencia:  Observacion:     Placa padre: I0000062Tipo adquisicion: Entidad"</f>
        <v>Descripcion: PINZA DE DISECCION SIN GARRA CORTA Estado: Bueno Placa anterior: 000031992 Material: ACERO INOXIDABLE Color: PLATEADO Referencia:  Observacion:     Placa padre: I0000062Tipo adquisicion: Entidad</v>
      </c>
      <c r="G5147" s="5"/>
    </row>
    <row r="5148" spans="1:7" ht="58.5" customHeight="1" x14ac:dyDescent="0.25">
      <c r="A5148" s="5" t="str">
        <f>"I0000071"</f>
        <v>I0000071</v>
      </c>
      <c r="B5148" s="5" t="str">
        <f>"PINZA DE DISECCION SIN GARRA LARGA 25 CM"</f>
        <v>PINZA DE DISECCION SIN GARRA LARGA 25 CM</v>
      </c>
      <c r="C5148" s="6">
        <v>18560</v>
      </c>
      <c r="D5148" s="5"/>
      <c r="E5148" s="5" t="str">
        <f t="shared" si="254"/>
        <v>INSTRUMENTACION-DIANA CAICEDO-DIANA DIAZ</v>
      </c>
      <c r="F5148" s="5" t="str">
        <f>"Descripcion: PINZA DE DISECCION SIN GARRA MEDIANA Estado: Bueno Placa anterior: 000031991 Material: ACERO INOXIDABLE Color: PLATEADO Referencia:  Observacion:     Placa padre: I0000062Tipo adquisicion: Entidad"</f>
        <v>Descripcion: PINZA DE DISECCION SIN GARRA MEDIANA Estado: Bueno Placa anterior: 000031991 Material: ACERO INOXIDABLE Color: PLATEADO Referencia:  Observacion:     Placa padre: I0000062Tipo adquisicion: Entidad</v>
      </c>
      <c r="G5148" s="5"/>
    </row>
    <row r="5149" spans="1:7" ht="58.5" customHeight="1" x14ac:dyDescent="0.25">
      <c r="A5149" s="5" t="str">
        <f>"I0000072"</f>
        <v>I0000072</v>
      </c>
      <c r="B5149" s="5" t="str">
        <f>"PINZA DE DISECCION SIN GARRA LARGA 25 CM"</f>
        <v>PINZA DE DISECCION SIN GARRA LARGA 25 CM</v>
      </c>
      <c r="C5149" s="6">
        <v>18560</v>
      </c>
      <c r="D5149" s="5"/>
      <c r="E5149" s="5" t="str">
        <f t="shared" si="254"/>
        <v>INSTRUMENTACION-DIANA CAICEDO-DIANA DIAZ</v>
      </c>
      <c r="F5149" s="5" t="str">
        <f>"Descripcion: PINZA DE DISECCION SIN GARRA LARGA (DIMEDA) Estado: Bueno Placa anterior: 000031996 Material: ACERO INOXIDABLE Color: PLATEADO Referencia:  Observacion:     Placa padre: I0000062Tipo adquisicion: Entidad"</f>
        <v>Descripcion: PINZA DE DISECCION SIN GARRA LARGA (DIMEDA) Estado: Bueno Placa anterior: 000031996 Material: ACERO INOXIDABLE Color: PLATEADO Referencia:  Observacion:     Placa padre: I0000062Tipo adquisicion: Entidad</v>
      </c>
      <c r="G5149" s="5"/>
    </row>
    <row r="5150" spans="1:7" ht="58.5" customHeight="1" x14ac:dyDescent="0.25">
      <c r="A5150" s="5" t="str">
        <f>"I0000073"</f>
        <v>I0000073</v>
      </c>
      <c r="B5150" s="5" t="str">
        <f>"PINZA DE DISECCION CON GARRA MEDIANA 25 CM"</f>
        <v>PINZA DE DISECCION CON GARRA MEDIANA 25 CM</v>
      </c>
      <c r="C5150" s="6">
        <v>39440</v>
      </c>
      <c r="D5150" s="5"/>
      <c r="E5150" s="5" t="str">
        <f t="shared" si="254"/>
        <v>INSTRUMENTACION-DIANA CAICEDO-DIANA DIAZ</v>
      </c>
      <c r="F5150" s="5" t="str">
        <f>"Descripcion: PINZA DE DISECCION CON GARRA PEQUEÑA Estado: Bueno Placa anterior: 000031956 Material: ACERO INOXIDABLE Color: PLATEADO Referencia:  Observacion:     Placa padre: I0000062Tipo adquisicion: Entidad"</f>
        <v>Descripcion: PINZA DE DISECCION CON GARRA PEQUEÑA Estado: Bueno Placa anterior: 000031956 Material: ACERO INOXIDABLE Color: PLATEADO Referencia:  Observacion:     Placa padre: I0000062Tipo adquisicion: Entidad</v>
      </c>
      <c r="G5150" s="5"/>
    </row>
    <row r="5151" spans="1:7" ht="58.5" customHeight="1" x14ac:dyDescent="0.25">
      <c r="A5151" s="5" t="str">
        <f>"I0000074"</f>
        <v>I0000074</v>
      </c>
      <c r="B5151" s="5" t="str">
        <f>"PINZA DE DISECCION CON GARRA MEDIANA 25 CM"</f>
        <v>PINZA DE DISECCION CON GARRA MEDIANA 25 CM</v>
      </c>
      <c r="C5151" s="6">
        <v>39440</v>
      </c>
      <c r="D5151" s="5"/>
      <c r="E5151" s="5" t="str">
        <f t="shared" ref="E5151:E5214" si="256">"INSTRUMENTACION-DIANA CAICEDO-DIANA DIAZ"</f>
        <v>INSTRUMENTACION-DIANA CAICEDO-DIANA DIAZ</v>
      </c>
      <c r="F5151" s="5" t="str">
        <f>"Descripcion: PINZA DE DISECCION CON GARRA MEDIANA Estado: Bueno Placa anterior: 000031957 Material: ACERO INOXIDABLE Color: PLATEADO Referencia:  Observacion:     Placa padre: I0000062Tipo adquisicion: Entidad"</f>
        <v>Descripcion: PINZA DE DISECCION CON GARRA MEDIANA Estado: Bueno Placa anterior: 000031957 Material: ACERO INOXIDABLE Color: PLATEADO Referencia:  Observacion:     Placa padre: I0000062Tipo adquisicion: Entidad</v>
      </c>
      <c r="G5151" s="5"/>
    </row>
    <row r="5152" spans="1:7" ht="58.5" customHeight="1" x14ac:dyDescent="0.25">
      <c r="A5152" s="5" t="str">
        <f>"I0000075"</f>
        <v>I0000075</v>
      </c>
      <c r="B5152" s="5" t="str">
        <f>"PINZA DE DISECCION SIN GARRA CORTA 20 CM"</f>
        <v>PINZA DE DISECCION SIN GARRA CORTA 20 CM</v>
      </c>
      <c r="C5152" s="6">
        <v>67280</v>
      </c>
      <c r="D5152" s="5"/>
      <c r="E5152" s="5" t="str">
        <f t="shared" si="256"/>
        <v>INSTRUMENTACION-DIANA CAICEDO-DIANA DIAZ</v>
      </c>
      <c r="F5152" s="5" t="str">
        <f>"Descripcion: PINZA DISECCION RUSA Estado: Bueno Placa anterior: 000031987 Material: ACERO INOXIDABLE Color: PLATEADO Referencia:  Observacion:     Placa padre: I0000062Tipo adquisicion: Entidad"</f>
        <v>Descripcion: PINZA DISECCION RUSA Estado: Bueno Placa anterior: 000031987 Material: ACERO INOXIDABLE Color: PLATEADO Referencia:  Observacion:     Placa padre: I0000062Tipo adquisicion: Entidad</v>
      </c>
      <c r="G5152" s="5"/>
    </row>
    <row r="5153" spans="1:7" ht="58.5" customHeight="1" x14ac:dyDescent="0.25">
      <c r="A5153" s="5" t="str">
        <f>"I0000076"</f>
        <v>I0000076</v>
      </c>
      <c r="B5153" s="5" t="str">
        <f t="shared" ref="B5153:B5162" si="257">"PINZA KELLY CURVA 16 CM"</f>
        <v>PINZA KELLY CURVA 16 CM</v>
      </c>
      <c r="C5153" s="6">
        <v>52200</v>
      </c>
      <c r="D5153" s="5"/>
      <c r="E5153" s="5" t="str">
        <f t="shared" si="256"/>
        <v>INSTRUMENTACION-DIANA CAICEDO-DIANA DIAZ</v>
      </c>
      <c r="F5153" s="5" t="str">
        <f>"Descripcion: PINZAS  KELLY CURVAS Estado: Bueno Placa anterior: 000036035 Material: ACERO INOXIDABLE Color: PLATEADO Referencia:  Observacion:     Placa padre: I0000062Tipo adquisicion: Entidad"</f>
        <v>Descripcion: PINZAS  KELLY CURVAS Estado: Bueno Placa anterior: 000036035 Material: ACERO INOXIDABLE Color: PLATEADO Referencia:  Observacion:     Placa padre: I0000062Tipo adquisicion: Entidad</v>
      </c>
      <c r="G5153" s="5"/>
    </row>
    <row r="5154" spans="1:7" ht="58.5" customHeight="1" x14ac:dyDescent="0.25">
      <c r="A5154" s="5" t="str">
        <f>"I0000077"</f>
        <v>I0000077</v>
      </c>
      <c r="B5154" s="5" t="str">
        <f t="shared" si="257"/>
        <v>PINZA KELLY CURVA 16 CM</v>
      </c>
      <c r="C5154" s="6">
        <v>52200</v>
      </c>
      <c r="D5154" s="5"/>
      <c r="E5154" s="5" t="str">
        <f t="shared" si="256"/>
        <v>INSTRUMENTACION-DIANA CAICEDO-DIANA DIAZ</v>
      </c>
      <c r="F5154" s="5" t="str">
        <f>"Descripcion: PINZAS  KELLY CURVAS Estado: Bueno Placa anterior: 000036036 Material: ACERO INOXIDABLE Color: PLATEADO Referencia:  Observacion:     Placa padre: I0000062Tipo adquisicion: Entidad"</f>
        <v>Descripcion: PINZAS  KELLY CURVAS Estado: Bueno Placa anterior: 000036036 Material: ACERO INOXIDABLE Color: PLATEADO Referencia:  Observacion:     Placa padre: I0000062Tipo adquisicion: Entidad</v>
      </c>
      <c r="G5154" s="5"/>
    </row>
    <row r="5155" spans="1:7" ht="58.5" customHeight="1" x14ac:dyDescent="0.25">
      <c r="A5155" s="5" t="str">
        <f>"I0000078"</f>
        <v>I0000078</v>
      </c>
      <c r="B5155" s="5" t="str">
        <f t="shared" si="257"/>
        <v>PINZA KELLY CURVA 16 CM</v>
      </c>
      <c r="C5155" s="6">
        <v>52200</v>
      </c>
      <c r="D5155" s="5"/>
      <c r="E5155" s="5" t="str">
        <f t="shared" si="256"/>
        <v>INSTRUMENTACION-DIANA CAICEDO-DIANA DIAZ</v>
      </c>
      <c r="F5155" s="5" t="str">
        <f>"Descripcion: PINZAS  KELLY CURVAS Estado: Bueno Placa anterior: 000036037 Material: ACERO INOXIDABLE Color: PLATEADO Referencia:  Observacion:     Placa padre: I0000062Tipo adquisicion: Entidad"</f>
        <v>Descripcion: PINZAS  KELLY CURVAS Estado: Bueno Placa anterior: 000036037 Material: ACERO INOXIDABLE Color: PLATEADO Referencia:  Observacion:     Placa padre: I0000062Tipo adquisicion: Entidad</v>
      </c>
      <c r="G5155" s="5"/>
    </row>
    <row r="5156" spans="1:7" ht="58.5" customHeight="1" x14ac:dyDescent="0.25">
      <c r="A5156" s="5" t="str">
        <f>"I0000079"</f>
        <v>I0000079</v>
      </c>
      <c r="B5156" s="5" t="str">
        <f t="shared" si="257"/>
        <v>PINZA KELLY CURVA 16 CM</v>
      </c>
      <c r="C5156" s="6">
        <v>52200</v>
      </c>
      <c r="D5156" s="5"/>
      <c r="E5156" s="5" t="str">
        <f t="shared" si="256"/>
        <v>INSTRUMENTACION-DIANA CAICEDO-DIANA DIAZ</v>
      </c>
      <c r="F5156" s="5" t="str">
        <f>"Descripcion: PINZAS  KELLY CURVAS Estado: Bueno Placa anterior: 000036038 Material: ACERO INOXIDABLE Color: PLATEADO Referencia:  Observacion:     Placa padre: I0000062Tipo adquisicion: Entidad"</f>
        <v>Descripcion: PINZAS  KELLY CURVAS Estado: Bueno Placa anterior: 000036038 Material: ACERO INOXIDABLE Color: PLATEADO Referencia:  Observacion:     Placa padre: I0000062Tipo adquisicion: Entidad</v>
      </c>
      <c r="G5156" s="5"/>
    </row>
    <row r="5157" spans="1:7" ht="58.5" customHeight="1" x14ac:dyDescent="0.25">
      <c r="A5157" s="5" t="str">
        <f>"I0000080"</f>
        <v>I0000080</v>
      </c>
      <c r="B5157" s="5" t="str">
        <f t="shared" si="257"/>
        <v>PINZA KELLY CURVA 16 CM</v>
      </c>
      <c r="C5157" s="6">
        <v>52200</v>
      </c>
      <c r="D5157" s="5"/>
      <c r="E5157" s="5" t="str">
        <f t="shared" si="256"/>
        <v>INSTRUMENTACION-DIANA CAICEDO-DIANA DIAZ</v>
      </c>
      <c r="F5157" s="5" t="str">
        <f>"Descripcion: PINZAS  KELLY CURVAS Estado: Bueno Placa anterior: 000036039 Material: ACERO INOXIDABLE Color: PLATEADO Referencia:  Observacion:     Placa padre: I0000062Tipo adquisicion: Entidad"</f>
        <v>Descripcion: PINZAS  KELLY CURVAS Estado: Bueno Placa anterior: 000036039 Material: ACERO INOXIDABLE Color: PLATEADO Referencia:  Observacion:     Placa padre: I0000062Tipo adquisicion: Entidad</v>
      </c>
      <c r="G5157" s="5"/>
    </row>
    <row r="5158" spans="1:7" ht="58.5" customHeight="1" x14ac:dyDescent="0.25">
      <c r="A5158" s="5" t="str">
        <f>"I0000081"</f>
        <v>I0000081</v>
      </c>
      <c r="B5158" s="5" t="str">
        <f t="shared" si="257"/>
        <v>PINZA KELLY CURVA 16 CM</v>
      </c>
      <c r="C5158" s="6">
        <v>52200</v>
      </c>
      <c r="D5158" s="5"/>
      <c r="E5158" s="5" t="str">
        <f t="shared" si="256"/>
        <v>INSTRUMENTACION-DIANA CAICEDO-DIANA DIAZ</v>
      </c>
      <c r="F5158" s="5" t="str">
        <f>"Descripcion: PINZAS  KELLY CURVAS Estado: Bueno Placa anterior: 000036040 Material: ACERO INOXIDABLE Color: PLATEADO Referencia:  Observacion:     Placa padre: I0000062Tipo adquisicion: Entidad"</f>
        <v>Descripcion: PINZAS  KELLY CURVAS Estado: Bueno Placa anterior: 000036040 Material: ACERO INOXIDABLE Color: PLATEADO Referencia:  Observacion:     Placa padre: I0000062Tipo adquisicion: Entidad</v>
      </c>
      <c r="G5158" s="5"/>
    </row>
    <row r="5159" spans="1:7" ht="58.5" customHeight="1" x14ac:dyDescent="0.25">
      <c r="A5159" s="5" t="str">
        <f>"I0000082"</f>
        <v>I0000082</v>
      </c>
      <c r="B5159" s="5" t="str">
        <f t="shared" si="257"/>
        <v>PINZA KELLY CURVA 16 CM</v>
      </c>
      <c r="C5159" s="6">
        <v>52200</v>
      </c>
      <c r="D5159" s="5"/>
      <c r="E5159" s="5" t="str">
        <f t="shared" si="256"/>
        <v>INSTRUMENTACION-DIANA CAICEDO-DIANA DIAZ</v>
      </c>
      <c r="F5159" s="5" t="str">
        <f>"Descripcion: PINZAS  KELLY CURVAS Estado: Bueno Placa anterior: 000036041 Material: ACERO INOXIDABLE Color: PLATEADO Referencia:  Observacion:     Placa padre: I0000062Tipo adquisicion: Entidad"</f>
        <v>Descripcion: PINZAS  KELLY CURVAS Estado: Bueno Placa anterior: 000036041 Material: ACERO INOXIDABLE Color: PLATEADO Referencia:  Observacion:     Placa padre: I0000062Tipo adquisicion: Entidad</v>
      </c>
      <c r="G5159" s="5"/>
    </row>
    <row r="5160" spans="1:7" ht="58.5" customHeight="1" x14ac:dyDescent="0.25">
      <c r="A5160" s="5" t="str">
        <f>"I0000083"</f>
        <v>I0000083</v>
      </c>
      <c r="B5160" s="5" t="str">
        <f t="shared" si="257"/>
        <v>PINZA KELLY CURVA 16 CM</v>
      </c>
      <c r="C5160" s="6">
        <v>52200</v>
      </c>
      <c r="D5160" s="5"/>
      <c r="E5160" s="5" t="str">
        <f t="shared" si="256"/>
        <v>INSTRUMENTACION-DIANA CAICEDO-DIANA DIAZ</v>
      </c>
      <c r="F5160" s="5" t="str">
        <f>"Descripcion: PINZAS  KELLY CURVAS Estado: Bueno Placa anterior: 000036042 Material: ACERO INOXIDABLE Color: PLATEADO Referencia:  Observacion:     Placa padre: I0000062Tipo adquisicion: Entidad"</f>
        <v>Descripcion: PINZAS  KELLY CURVAS Estado: Bueno Placa anterior: 000036042 Material: ACERO INOXIDABLE Color: PLATEADO Referencia:  Observacion:     Placa padre: I0000062Tipo adquisicion: Entidad</v>
      </c>
      <c r="G5160" s="5"/>
    </row>
    <row r="5161" spans="1:7" ht="58.5" customHeight="1" x14ac:dyDescent="0.25">
      <c r="A5161" s="5" t="str">
        <f>"I0000084"</f>
        <v>I0000084</v>
      </c>
      <c r="B5161" s="5" t="str">
        <f t="shared" si="257"/>
        <v>PINZA KELLY CURVA 16 CM</v>
      </c>
      <c r="C5161" s="6">
        <v>52200</v>
      </c>
      <c r="D5161" s="5"/>
      <c r="E5161" s="5" t="str">
        <f t="shared" si="256"/>
        <v>INSTRUMENTACION-DIANA CAICEDO-DIANA DIAZ</v>
      </c>
      <c r="F5161" s="5" t="str">
        <f>"Descripcion: PINZAS  KELLY CURVAS Estado: Bueno Placa anterior: 000036043 Material: ACERO INOXIDABLE Color: PLATEADO Referencia:  Observacion:     Placa padre: I0000062Tipo adquisicion: Entidad"</f>
        <v>Descripcion: PINZAS  KELLY CURVAS Estado: Bueno Placa anterior: 000036043 Material: ACERO INOXIDABLE Color: PLATEADO Referencia:  Observacion:     Placa padre: I0000062Tipo adquisicion: Entidad</v>
      </c>
      <c r="G5161" s="5"/>
    </row>
    <row r="5162" spans="1:7" ht="58.5" customHeight="1" x14ac:dyDescent="0.25">
      <c r="A5162" s="5" t="str">
        <f>"I0000085"</f>
        <v>I0000085</v>
      </c>
      <c r="B5162" s="5" t="str">
        <f t="shared" si="257"/>
        <v>PINZA KELLY CURVA 16 CM</v>
      </c>
      <c r="C5162" s="6">
        <v>52200</v>
      </c>
      <c r="D5162" s="5"/>
      <c r="E5162" s="5" t="str">
        <f t="shared" si="256"/>
        <v>INSTRUMENTACION-DIANA CAICEDO-DIANA DIAZ</v>
      </c>
      <c r="F5162" s="5" t="str">
        <f>"Descripcion: PINZAS  KELLY CURVAS Estado: Bueno Placa anterior: 000036044 Material: ACERO INOXIDABLE Color: PLATEADO Referencia:  Observacion:     Placa padre: I0000062Tipo adquisicion: Entidad"</f>
        <v>Descripcion: PINZAS  KELLY CURVAS Estado: Bueno Placa anterior: 000036044 Material: ACERO INOXIDABLE Color: PLATEADO Referencia:  Observacion:     Placa padre: I0000062Tipo adquisicion: Entidad</v>
      </c>
      <c r="G5162" s="5"/>
    </row>
    <row r="5163" spans="1:7" ht="58.5" customHeight="1" x14ac:dyDescent="0.25">
      <c r="A5163" s="5" t="str">
        <f>"I0000086"</f>
        <v>I0000086</v>
      </c>
      <c r="B5163" s="5" t="str">
        <f>"PINZA KELLY RECTA 16 CM"</f>
        <v>PINZA KELLY RECTA 16 CM</v>
      </c>
      <c r="C5163" s="6">
        <v>52200</v>
      </c>
      <c r="D5163" s="5"/>
      <c r="E5163" s="5" t="str">
        <f t="shared" si="256"/>
        <v>INSTRUMENTACION-DIANA CAICEDO-DIANA DIAZ</v>
      </c>
      <c r="F5163" s="5" t="str">
        <f>"Descripcion: PINZAS  KELLY RECTAS  Estado: Bueno Placa anterior: 000036045 Material: ACERO INOXIDABLE Color: PLATEADO Referencia:  Observacion:     Placa padre: I0000062Tipo adquisicion: Entidad"</f>
        <v>Descripcion: PINZAS  KELLY RECTAS  Estado: Bueno Placa anterior: 000036045 Material: ACERO INOXIDABLE Color: PLATEADO Referencia:  Observacion:     Placa padre: I0000062Tipo adquisicion: Entidad</v>
      </c>
      <c r="G5163" s="5"/>
    </row>
    <row r="5164" spans="1:7" ht="58.5" customHeight="1" x14ac:dyDescent="0.25">
      <c r="A5164" s="5" t="str">
        <f>"I0000087"</f>
        <v>I0000087</v>
      </c>
      <c r="B5164" s="5" t="str">
        <f>"PINZA KELLY RECTA 16 CM"</f>
        <v>PINZA KELLY RECTA 16 CM</v>
      </c>
      <c r="C5164" s="6">
        <v>52200</v>
      </c>
      <c r="D5164" s="5"/>
      <c r="E5164" s="5" t="str">
        <f t="shared" si="256"/>
        <v>INSTRUMENTACION-DIANA CAICEDO-DIANA DIAZ</v>
      </c>
      <c r="F5164" s="5" t="str">
        <f>"Descripcion: PINZAS  KELLY RECTAS  Estado: Bueno Placa anterior: 000036046 Material: ACERO INOXIDABLE Color: PLATEADO Referencia:  Observacion:     Placa padre: I0000062Tipo adquisicion: Entidad"</f>
        <v>Descripcion: PINZAS  KELLY RECTAS  Estado: Bueno Placa anterior: 000036046 Material: ACERO INOXIDABLE Color: PLATEADO Referencia:  Observacion:     Placa padre: I0000062Tipo adquisicion: Entidad</v>
      </c>
      <c r="G5164" s="5"/>
    </row>
    <row r="5165" spans="1:7" ht="58.5" customHeight="1" x14ac:dyDescent="0.25">
      <c r="A5165" s="5" t="str">
        <f>"I0000088"</f>
        <v>I0000088</v>
      </c>
      <c r="B5165" s="5" t="str">
        <f t="shared" ref="B5165:B5172" si="258">"PINZA ROCHESTER CURVA 25 CM"</f>
        <v>PINZA ROCHESTER CURVA 25 CM</v>
      </c>
      <c r="C5165" s="6">
        <v>81200</v>
      </c>
      <c r="D5165" s="5"/>
      <c r="E5165" s="5" t="str">
        <f t="shared" si="256"/>
        <v>INSTRUMENTACION-DIANA CAICEDO-DIANA DIAZ</v>
      </c>
      <c r="F5165" s="5" t="str">
        <f>"Descripcion: PINZAS ROCHESTER CURVAS Estado: Bueno Placa anterior: 000036146 Material: ACERO INOXIDABLE Color: PLATEADO Referencia:  Observacion:     Placa padre: I0000062Tipo adquisicion: Entidad"</f>
        <v>Descripcion: PINZAS ROCHESTER CURVAS Estado: Bueno Placa anterior: 000036146 Material: ACERO INOXIDABLE Color: PLATEADO Referencia:  Observacion:     Placa padre: I0000062Tipo adquisicion: Entidad</v>
      </c>
      <c r="G5165" s="5"/>
    </row>
    <row r="5166" spans="1:7" ht="58.5" customHeight="1" x14ac:dyDescent="0.25">
      <c r="A5166" s="5" t="str">
        <f>"I0000089"</f>
        <v>I0000089</v>
      </c>
      <c r="B5166" s="5" t="str">
        <f t="shared" si="258"/>
        <v>PINZA ROCHESTER CURVA 25 CM</v>
      </c>
      <c r="C5166" s="6">
        <v>81200</v>
      </c>
      <c r="D5166" s="5"/>
      <c r="E5166" s="5" t="str">
        <f t="shared" si="256"/>
        <v>INSTRUMENTACION-DIANA CAICEDO-DIANA DIAZ</v>
      </c>
      <c r="F5166" s="5" t="str">
        <f>"Descripcion: PINZAS ROCHESTER CURVAS Estado: Bueno Placa anterior: 000036147 Material: ACERO INOXIDABLE Color: PLATEADO Referencia:  Observacion:     Placa padre: I0000062Tipo adquisicion: Entidad"</f>
        <v>Descripcion: PINZAS ROCHESTER CURVAS Estado: Bueno Placa anterior: 000036147 Material: ACERO INOXIDABLE Color: PLATEADO Referencia:  Observacion:     Placa padre: I0000062Tipo adquisicion: Entidad</v>
      </c>
      <c r="G5166" s="5"/>
    </row>
    <row r="5167" spans="1:7" ht="58.5" customHeight="1" x14ac:dyDescent="0.25">
      <c r="A5167" s="5" t="str">
        <f>"I0000090"</f>
        <v>I0000090</v>
      </c>
      <c r="B5167" s="5" t="str">
        <f t="shared" si="258"/>
        <v>PINZA ROCHESTER CURVA 25 CM</v>
      </c>
      <c r="C5167" s="6">
        <v>81200</v>
      </c>
      <c r="D5167" s="5"/>
      <c r="E5167" s="5" t="str">
        <f t="shared" si="256"/>
        <v>INSTRUMENTACION-DIANA CAICEDO-DIANA DIAZ</v>
      </c>
      <c r="F5167" s="5" t="str">
        <f>"Descripcion: PINZAS ROCHESTER CURVAS Estado: Bueno Placa anterior: 000036148 Material: ACERO INOXIDABLE Color: PLATEADO Referencia:  Observacion:     Placa padre: I0000062Tipo adquisicion: Entidad"</f>
        <v>Descripcion: PINZAS ROCHESTER CURVAS Estado: Bueno Placa anterior: 000036148 Material: ACERO INOXIDABLE Color: PLATEADO Referencia:  Observacion:     Placa padre: I0000062Tipo adquisicion: Entidad</v>
      </c>
      <c r="G5167" s="5"/>
    </row>
    <row r="5168" spans="1:7" ht="58.5" customHeight="1" x14ac:dyDescent="0.25">
      <c r="A5168" s="5" t="str">
        <f>"I0000091"</f>
        <v>I0000091</v>
      </c>
      <c r="B5168" s="5" t="str">
        <f t="shared" si="258"/>
        <v>PINZA ROCHESTER CURVA 25 CM</v>
      </c>
      <c r="C5168" s="6">
        <v>81200</v>
      </c>
      <c r="D5168" s="5"/>
      <c r="E5168" s="5" t="str">
        <f t="shared" si="256"/>
        <v>INSTRUMENTACION-DIANA CAICEDO-DIANA DIAZ</v>
      </c>
      <c r="F5168" s="5" t="str">
        <f>"Descripcion: PINZAS ROCHESTER CURVAS Estado: Bueno Placa anterior: 000036149 Material: ACERO INOXIDABLE Color: PLATEADO Referencia:  Observacion:     Placa padre: I0000062Tipo adquisicion: Entidad"</f>
        <v>Descripcion: PINZAS ROCHESTER CURVAS Estado: Bueno Placa anterior: 000036149 Material: ACERO INOXIDABLE Color: PLATEADO Referencia:  Observacion:     Placa padre: I0000062Tipo adquisicion: Entidad</v>
      </c>
      <c r="G5168" s="5"/>
    </row>
    <row r="5169" spans="1:7" ht="58.5" customHeight="1" x14ac:dyDescent="0.25">
      <c r="A5169" s="5" t="str">
        <f>"I0000092"</f>
        <v>I0000092</v>
      </c>
      <c r="B5169" s="5" t="str">
        <f t="shared" si="258"/>
        <v>PINZA ROCHESTER CURVA 25 CM</v>
      </c>
      <c r="C5169" s="6">
        <v>81200</v>
      </c>
      <c r="D5169" s="5"/>
      <c r="E5169" s="5" t="str">
        <f t="shared" si="256"/>
        <v>INSTRUMENTACION-DIANA CAICEDO-DIANA DIAZ</v>
      </c>
      <c r="F5169" s="5" t="str">
        <f>"Descripcion: PINZAS ROCHESTER CURVAS Estado: Bueno Placa anterior: 000036150 Material: ACERO INOXIDABLE Color: PLATEADO Referencia:  Observacion:     Placa padre: I0000062Tipo adquisicion: Entidad"</f>
        <v>Descripcion: PINZAS ROCHESTER CURVAS Estado: Bueno Placa anterior: 000036150 Material: ACERO INOXIDABLE Color: PLATEADO Referencia:  Observacion:     Placa padre: I0000062Tipo adquisicion: Entidad</v>
      </c>
      <c r="G5169" s="5"/>
    </row>
    <row r="5170" spans="1:7" ht="58.5" customHeight="1" x14ac:dyDescent="0.25">
      <c r="A5170" s="5" t="str">
        <f>"I0000093"</f>
        <v>I0000093</v>
      </c>
      <c r="B5170" s="5" t="str">
        <f t="shared" si="258"/>
        <v>PINZA ROCHESTER CURVA 25 CM</v>
      </c>
      <c r="C5170" s="6">
        <v>81200</v>
      </c>
      <c r="D5170" s="5"/>
      <c r="E5170" s="5" t="str">
        <f t="shared" si="256"/>
        <v>INSTRUMENTACION-DIANA CAICEDO-DIANA DIAZ</v>
      </c>
      <c r="F5170" s="5" t="str">
        <f>"Descripcion: PINZAS ROCHESTER CURVAS Estado: Bueno Placa anterior: 000036151 Material: ACERO INOXIDABLE Color: PLATEADO Referencia:  Observacion:     Placa padre: I0000062Tipo adquisicion: Entidad"</f>
        <v>Descripcion: PINZAS ROCHESTER CURVAS Estado: Bueno Placa anterior: 000036151 Material: ACERO INOXIDABLE Color: PLATEADO Referencia:  Observacion:     Placa padre: I0000062Tipo adquisicion: Entidad</v>
      </c>
      <c r="G5170" s="5"/>
    </row>
    <row r="5171" spans="1:7" ht="58.5" customHeight="1" x14ac:dyDescent="0.25">
      <c r="A5171" s="5" t="str">
        <f>"I0000094"</f>
        <v>I0000094</v>
      </c>
      <c r="B5171" s="5" t="str">
        <f t="shared" si="258"/>
        <v>PINZA ROCHESTER CURVA 25 CM</v>
      </c>
      <c r="C5171" s="6">
        <v>81200</v>
      </c>
      <c r="D5171" s="5"/>
      <c r="E5171" s="5" t="str">
        <f t="shared" si="256"/>
        <v>INSTRUMENTACION-DIANA CAICEDO-DIANA DIAZ</v>
      </c>
      <c r="F5171" s="5" t="str">
        <f>"Descripcion: PINZAS ROCHESTER CURVAS Estado: Bueno Placa anterior: 000036152 Material: ACERO INOXIDABLE Color: PLATEADO Referencia:  Observacion:     Placa padre: I0000062Tipo adquisicion: Entidad"</f>
        <v>Descripcion: PINZAS ROCHESTER CURVAS Estado: Bueno Placa anterior: 000036152 Material: ACERO INOXIDABLE Color: PLATEADO Referencia:  Observacion:     Placa padre: I0000062Tipo adquisicion: Entidad</v>
      </c>
      <c r="G5171" s="5"/>
    </row>
    <row r="5172" spans="1:7" ht="58.5" customHeight="1" x14ac:dyDescent="0.25">
      <c r="A5172" s="5" t="str">
        <f>"I0000095"</f>
        <v>I0000095</v>
      </c>
      <c r="B5172" s="5" t="str">
        <f t="shared" si="258"/>
        <v>PINZA ROCHESTER CURVA 25 CM</v>
      </c>
      <c r="C5172" s="6">
        <v>81200</v>
      </c>
      <c r="D5172" s="5"/>
      <c r="E5172" s="5" t="str">
        <f t="shared" si="256"/>
        <v>INSTRUMENTACION-DIANA CAICEDO-DIANA DIAZ</v>
      </c>
      <c r="F5172" s="5" t="str">
        <f>"Descripcion: PINZAS ROCHESTER CURVAS Estado: Bueno Placa anterior: 000036153 Material: ACERO INOXIDABLE Color: PLATEADO Referencia:  Observacion:     Placa padre: I0000062Tipo adquisicion: Entidad"</f>
        <v>Descripcion: PINZAS ROCHESTER CURVAS Estado: Bueno Placa anterior: 000036153 Material: ACERO INOXIDABLE Color: PLATEADO Referencia:  Observacion:     Placa padre: I0000062Tipo adquisicion: Entidad</v>
      </c>
      <c r="G5172" s="5"/>
    </row>
    <row r="5173" spans="1:7" ht="58.5" customHeight="1" x14ac:dyDescent="0.25">
      <c r="A5173" s="5" t="str">
        <f>"I0000102"</f>
        <v>I0000102</v>
      </c>
      <c r="B5173" s="5" t="str">
        <f>"PINZA KELLY ADSON 25 CM"</f>
        <v>PINZA KELLY ADSON 25 CM</v>
      </c>
      <c r="C5173" s="6">
        <v>81200</v>
      </c>
      <c r="D5173" s="5"/>
      <c r="E5173" s="5" t="str">
        <f t="shared" si="256"/>
        <v>INSTRUMENTACION-DIANA CAICEDO-DIANA DIAZ</v>
      </c>
      <c r="F5173" s="5" t="str">
        <f>"Descripcion: PINZAS KELLY ADSON Estado: Bueno Placa anterior: 000031663 Material: ACERO INOXIDABLE Color: PLATEADO Referencia:  Observacion: PINZA ADSON HEMOSTATICA CURVA, LONGITUD 180MM(7) EN ACERO INXIDABLE Placa padre: I0000062Tipo adquisicion: Entidad"&amp; ""</f>
        <v>Descripcion: PINZAS KELLY ADSON Estado: Bueno Placa anterior: 000031663 Material: ACERO INOXIDABLE Color: PLATEADO Referencia:  Observacion: PINZA ADSON HEMOSTATICA CURVA, LONGITUD 180MM(7) EN ACERO INXIDABLE Placa padre: I0000062Tipo adquisicion: Entidad</v>
      </c>
      <c r="G5173" s="5"/>
    </row>
    <row r="5174" spans="1:7" ht="58.5" customHeight="1" x14ac:dyDescent="0.25">
      <c r="A5174" s="5" t="str">
        <f>"I0000104"</f>
        <v>I0000104</v>
      </c>
      <c r="B5174" s="5" t="str">
        <f>"PINZA CISTICO"</f>
        <v>PINZA CISTICO</v>
      </c>
      <c r="C5174" s="6">
        <v>162400</v>
      </c>
      <c r="D5174" s="5"/>
      <c r="E5174" s="5" t="str">
        <f t="shared" si="256"/>
        <v>INSTRUMENTACION-DIANA CAICEDO-DIANA DIAZ</v>
      </c>
      <c r="F5174" s="5" t="str">
        <f>"Descripcion: PINZAS CISTICO Estado: Bueno Placa anterior: 000036191 Material: ACERO INOXIDABLE Color: PLATEADO Referencia:  Observacion: PINZA LAHEY DUCTO BILIAR CURVA  Placa padre: I0000062Tipo adquisicion: Entidad"</f>
        <v>Descripcion: PINZAS CISTICO Estado: Bueno Placa anterior: 000036191 Material: ACERO INOXIDABLE Color: PLATEADO Referencia:  Observacion: PINZA LAHEY DUCTO BILIAR CURVA  Placa padre: I0000062Tipo adquisicion: Entidad</v>
      </c>
      <c r="G5174" s="5"/>
    </row>
    <row r="5175" spans="1:7" ht="58.5" customHeight="1" x14ac:dyDescent="0.25">
      <c r="A5175" s="5" t="str">
        <f>"I0000105"</f>
        <v>I0000105</v>
      </c>
      <c r="B5175" s="5" t="str">
        <f>"PINZA CISTICO"</f>
        <v>PINZA CISTICO</v>
      </c>
      <c r="C5175" s="6">
        <v>162400</v>
      </c>
      <c r="D5175" s="5"/>
      <c r="E5175" s="5" t="str">
        <f t="shared" si="256"/>
        <v>INSTRUMENTACION-DIANA CAICEDO-DIANA DIAZ</v>
      </c>
      <c r="F5175" s="5" t="str">
        <f>"Descripcion: PINZAS CISTICO Estado: Bueno Placa anterior: 000036190 Material: ACERO INOXIDABLE Color: PLATEADO Referencia:  Observacion: PINZA LAHEY DUCTO BILIAR CURVA  Placa padre: I0000062Tipo adquisicion: Entidad"</f>
        <v>Descripcion: PINZAS CISTICO Estado: Bueno Placa anterior: 000036190 Material: ACERO INOXIDABLE Color: PLATEADO Referencia:  Observacion: PINZA LAHEY DUCTO BILIAR CURVA  Placa padre: I0000062Tipo adquisicion: Entidad</v>
      </c>
      <c r="G5175" s="5"/>
    </row>
    <row r="5176" spans="1:7" ht="58.5" customHeight="1" x14ac:dyDescent="0.25">
      <c r="A5176" s="5" t="str">
        <f>"I0000106"</f>
        <v>I0000106</v>
      </c>
      <c r="B5176" s="5" t="str">
        <f>"PINZA BABCOCK LARGAS 25 CM"</f>
        <v>PINZA BABCOCK LARGAS 25 CM</v>
      </c>
      <c r="C5176" s="6">
        <v>2725.41</v>
      </c>
      <c r="D5176" s="5"/>
      <c r="E5176" s="5" t="str">
        <f t="shared" si="256"/>
        <v>INSTRUMENTACION-DIANA CAICEDO-DIANA DIAZ</v>
      </c>
      <c r="F5176" s="5" t="str">
        <f>"Descripcion: PINZAS BABCOCK Estado: Bueno Placa anterior: 000016588 Material: ACERO INOXIDABLE Color: PLATEADO Referencia:  Observacion:     Placa padre: I0000062Tipo adquisicion: Entidad"</f>
        <v>Descripcion: PINZAS BABCOCK Estado: Bueno Placa anterior: 000016588 Material: ACERO INOXIDABLE Color: PLATEADO Referencia:  Observacion:     Placa padre: I0000062Tipo adquisicion: Entidad</v>
      </c>
      <c r="G5176" s="5"/>
    </row>
    <row r="5177" spans="1:7" ht="58.5" customHeight="1" x14ac:dyDescent="0.25">
      <c r="A5177" s="5" t="str">
        <f>"I0000107"</f>
        <v>I0000107</v>
      </c>
      <c r="B5177" s="5" t="str">
        <f>"PINZA BABCOCK LARGAS 25 CM"</f>
        <v>PINZA BABCOCK LARGAS 25 CM</v>
      </c>
      <c r="C5177" s="6">
        <v>2725.41</v>
      </c>
      <c r="D5177" s="5"/>
      <c r="E5177" s="5" t="str">
        <f t="shared" si="256"/>
        <v>INSTRUMENTACION-DIANA CAICEDO-DIANA DIAZ</v>
      </c>
      <c r="F5177" s="5" t="str">
        <f>"Descripcion: PINZAS BABCOCK Estado: Bueno Placa anterior: 000016589 Material: ACERO INOXIDABLE Color: PLATEADO Referencia:  Observacion:     Placa padre: I0000062Tipo adquisicion: Entidad"</f>
        <v>Descripcion: PINZAS BABCOCK Estado: Bueno Placa anterior: 000016589 Material: ACERO INOXIDABLE Color: PLATEADO Referencia:  Observacion:     Placa padre: I0000062Tipo adquisicion: Entidad</v>
      </c>
      <c r="G5177" s="5"/>
    </row>
    <row r="5178" spans="1:7" ht="58.5" customHeight="1" x14ac:dyDescent="0.25">
      <c r="A5178" s="5" t="str">
        <f>"I0000110"</f>
        <v>I0000110</v>
      </c>
      <c r="B5178" s="5" t="str">
        <f>"PORTAGUJAS (PINZA)"</f>
        <v>PORTAGUJAS (PINZA)</v>
      </c>
      <c r="C5178" s="6">
        <v>75400</v>
      </c>
      <c r="D5178" s="5"/>
      <c r="E5178" s="5" t="str">
        <f t="shared" si="256"/>
        <v>INSTRUMENTACION-DIANA CAICEDO-DIANA DIAZ</v>
      </c>
      <c r="F5178" s="5" t="str">
        <f>"Descripcion: PORTA AGUJAS MEDIANO(DIMEDA Estado: Bueno Placa anterior: 000032444 Material: ACERO INOXIDABLE Color: PLATEADO Referencia:  Observacion:     Placa padre: I0000062Tipo adquisicion: Entidad"</f>
        <v>Descripcion: PORTA AGUJAS MEDIANO(DIMEDA Estado: Bueno Placa anterior: 000032444 Material: ACERO INOXIDABLE Color: PLATEADO Referencia:  Observacion:     Placa padre: I0000062Tipo adquisicion: Entidad</v>
      </c>
      <c r="G5178" s="5"/>
    </row>
    <row r="5179" spans="1:7" ht="58.5" customHeight="1" x14ac:dyDescent="0.25">
      <c r="A5179" s="5" t="str">
        <f>"I0000111"</f>
        <v>I0000111</v>
      </c>
      <c r="B5179" s="5" t="str">
        <f>"PORTAGUJAS (PINZA)"</f>
        <v>PORTAGUJAS (PINZA)</v>
      </c>
      <c r="C5179" s="6">
        <v>68440</v>
      </c>
      <c r="D5179" s="5"/>
      <c r="E5179" s="5" t="str">
        <f t="shared" si="256"/>
        <v>INSTRUMENTACION-DIANA CAICEDO-DIANA DIAZ</v>
      </c>
      <c r="F5179" s="5" t="str">
        <f>"Descripcion: PORTA AGUJAS MEDIANO(DIMEDA Estado: Bueno Placa anterior: 000032399 Material: ACERO INOXIDABLE Color: PLATEADO Referencia:  Observacion:     Placa padre: I0000062Tipo adquisicion: Entidad"</f>
        <v>Descripcion: PORTA AGUJAS MEDIANO(DIMEDA Estado: Bueno Placa anterior: 000032399 Material: ACERO INOXIDABLE Color: PLATEADO Referencia:  Observacion:     Placa padre: I0000062Tipo adquisicion: Entidad</v>
      </c>
      <c r="G5179" s="5"/>
    </row>
    <row r="5180" spans="1:7" ht="58.5" customHeight="1" x14ac:dyDescent="0.25">
      <c r="A5180" s="5" t="str">
        <f>"I0000115"</f>
        <v>I0000115</v>
      </c>
      <c r="B5180" s="5" t="str">
        <f t="shared" ref="B5180:B5185" si="259">"PINZA DE CAMPO"</f>
        <v>PINZA DE CAMPO</v>
      </c>
      <c r="C5180" s="6">
        <v>39440</v>
      </c>
      <c r="D5180" s="5"/>
      <c r="E5180" s="5" t="str">
        <f t="shared" si="256"/>
        <v>INSTRUMENTACION-DIANA CAICEDO-DIANA DIAZ</v>
      </c>
      <c r="F5180" s="5" t="str">
        <f>"Descripcion: PINZAS DE CAMPO (DIMEDA) Estado: Bueno Placa anterior: 000031735 Material: ACERO INOXIDABLE Color: PLATEADO Referencia:  Observacion:     Placa padre: I0000062Tipo adquisicion: Entidad"</f>
        <v>Descripcion: PINZAS DE CAMPO (DIMEDA) Estado: Bueno Placa anterior: 000031735 Material: ACERO INOXIDABLE Color: PLATEADO Referencia:  Observacion:     Placa padre: I0000062Tipo adquisicion: Entidad</v>
      </c>
      <c r="G5180" s="5"/>
    </row>
    <row r="5181" spans="1:7" ht="58.5" customHeight="1" x14ac:dyDescent="0.25">
      <c r="A5181" s="5" t="str">
        <f>"I0000116"</f>
        <v>I0000116</v>
      </c>
      <c r="B5181" s="5" t="str">
        <f t="shared" si="259"/>
        <v>PINZA DE CAMPO</v>
      </c>
      <c r="C5181" s="6">
        <v>39440</v>
      </c>
      <c r="D5181" s="5"/>
      <c r="E5181" s="5" t="str">
        <f t="shared" si="256"/>
        <v>INSTRUMENTACION-DIANA CAICEDO-DIANA DIAZ</v>
      </c>
      <c r="F5181" s="5" t="str">
        <f>"Descripcion: PINZAS DE CAMPO (DIMEDA) Estado: Bueno Placa anterior: 000031736 Material: ACERO INOXIDABLE Color: PLATEADO Referencia:  Observacion:     Placa padre: I0000062Tipo adquisicion: Entidad"</f>
        <v>Descripcion: PINZAS DE CAMPO (DIMEDA) Estado: Bueno Placa anterior: 000031736 Material: ACERO INOXIDABLE Color: PLATEADO Referencia:  Observacion:     Placa padre: I0000062Tipo adquisicion: Entidad</v>
      </c>
      <c r="G5181" s="5"/>
    </row>
    <row r="5182" spans="1:7" ht="58.5" customHeight="1" x14ac:dyDescent="0.25">
      <c r="A5182" s="5" t="str">
        <f>"I0000117"</f>
        <v>I0000117</v>
      </c>
      <c r="B5182" s="5" t="str">
        <f t="shared" si="259"/>
        <v>PINZA DE CAMPO</v>
      </c>
      <c r="C5182" s="6">
        <v>39440</v>
      </c>
      <c r="D5182" s="5"/>
      <c r="E5182" s="5" t="str">
        <f t="shared" si="256"/>
        <v>INSTRUMENTACION-DIANA CAICEDO-DIANA DIAZ</v>
      </c>
      <c r="F5182" s="5" t="str">
        <f>"Descripcion: PINZAS DE CAMPO (DIMEDA) Estado: Bueno Placa anterior: 000031737 Material: ACERO INOXIDABLE Color: PLATEADO Referencia:  Observacion:     Placa padre: I0000062Tipo adquisicion: Entidad"</f>
        <v>Descripcion: PINZAS DE CAMPO (DIMEDA) Estado: Bueno Placa anterior: 000031737 Material: ACERO INOXIDABLE Color: PLATEADO Referencia:  Observacion:     Placa padre: I0000062Tipo adquisicion: Entidad</v>
      </c>
      <c r="G5182" s="5"/>
    </row>
    <row r="5183" spans="1:7" ht="58.5" customHeight="1" x14ac:dyDescent="0.25">
      <c r="A5183" s="5" t="str">
        <f>"I0000118"</f>
        <v>I0000118</v>
      </c>
      <c r="B5183" s="5" t="str">
        <f t="shared" si="259"/>
        <v>PINZA DE CAMPO</v>
      </c>
      <c r="C5183" s="6">
        <v>39440</v>
      </c>
      <c r="D5183" s="5"/>
      <c r="E5183" s="5" t="str">
        <f t="shared" si="256"/>
        <v>INSTRUMENTACION-DIANA CAICEDO-DIANA DIAZ</v>
      </c>
      <c r="F5183" s="5" t="str">
        <f>"Descripcion: PINZAS DE CAMPO (DIMEDA) Estado: Bueno Placa anterior: 000031738 Material: ACERO INOXIDABLE Color: PLATEADO Referencia:  Observacion:     Placa padre: I0000062Tipo adquisicion: Entidad"</f>
        <v>Descripcion: PINZAS DE CAMPO (DIMEDA) Estado: Bueno Placa anterior: 000031738 Material: ACERO INOXIDABLE Color: PLATEADO Referencia:  Observacion:     Placa padre: I0000062Tipo adquisicion: Entidad</v>
      </c>
      <c r="G5183" s="5"/>
    </row>
    <row r="5184" spans="1:7" ht="58.5" customHeight="1" x14ac:dyDescent="0.25">
      <c r="A5184" s="5" t="str">
        <f>"I0000119"</f>
        <v>I0000119</v>
      </c>
      <c r="B5184" s="5" t="str">
        <f t="shared" si="259"/>
        <v>PINZA DE CAMPO</v>
      </c>
      <c r="C5184" s="6">
        <v>39440</v>
      </c>
      <c r="D5184" s="5"/>
      <c r="E5184" s="5" t="str">
        <f t="shared" si="256"/>
        <v>INSTRUMENTACION-DIANA CAICEDO-DIANA DIAZ</v>
      </c>
      <c r="F5184" s="5" t="str">
        <f>"Descripcion: PINZAS DE CAMPO (DIMEDA) Estado: Bueno Placa anterior: 000031739 Material: ACERO INOXIDABLE Color: PLATEADO Referencia:  Observacion:     Placa padre: I0000062Tipo adquisicion: Entidad"</f>
        <v>Descripcion: PINZAS DE CAMPO (DIMEDA) Estado: Bueno Placa anterior: 000031739 Material: ACERO INOXIDABLE Color: PLATEADO Referencia:  Observacion:     Placa padre: I0000062Tipo adquisicion: Entidad</v>
      </c>
      <c r="G5184" s="5"/>
    </row>
    <row r="5185" spans="1:7" ht="58.5" customHeight="1" x14ac:dyDescent="0.25">
      <c r="A5185" s="5" t="str">
        <f>"I0000120"</f>
        <v>I0000120</v>
      </c>
      <c r="B5185" s="5" t="str">
        <f t="shared" si="259"/>
        <v>PINZA DE CAMPO</v>
      </c>
      <c r="C5185" s="6">
        <v>39440</v>
      </c>
      <c r="D5185" s="5"/>
      <c r="E5185" s="5" t="str">
        <f t="shared" si="256"/>
        <v>INSTRUMENTACION-DIANA CAICEDO-DIANA DIAZ</v>
      </c>
      <c r="F5185" s="5" t="str">
        <f>"Descripcion: PINZAS DE CAMPO (DIMEDA) Estado: Bueno Placa anterior: 000031740 Material: ACERO INOXIDABLE Color: PLATEADO Referencia:  Observacion:     Placa padre: I0000062Tipo adquisicion: Entidad"</f>
        <v>Descripcion: PINZAS DE CAMPO (DIMEDA) Estado: Bueno Placa anterior: 000031740 Material: ACERO INOXIDABLE Color: PLATEADO Referencia:  Observacion:     Placa padre: I0000062Tipo adquisicion: Entidad</v>
      </c>
      <c r="G5185" s="5"/>
    </row>
    <row r="5186" spans="1:7" ht="58.5" customHeight="1" x14ac:dyDescent="0.25">
      <c r="A5186" s="5" t="str">
        <f>"I0000121"</f>
        <v>I0000121</v>
      </c>
      <c r="B5186" s="5" t="str">
        <f>"CANULA DE YANKAUER"</f>
        <v>CANULA DE YANKAUER</v>
      </c>
      <c r="C5186" s="6">
        <v>92800</v>
      </c>
      <c r="D5186" s="5"/>
      <c r="E5186" s="5" t="str">
        <f t="shared" si="256"/>
        <v>INSTRUMENTACION-DIANA CAICEDO-DIANA DIAZ</v>
      </c>
      <c r="F5186" s="5" t="str">
        <f>"Descripcion: CANULA DE SUCCION DE YANKAWER (DIMEDA) Estado: Bueno Placa anterior: 000031634 Material: ACERO INOXIDABLE Color: PLATEADO Referencia:  Observacion:     Placa padre: I0000062Tipo adquisicion: Entidad"</f>
        <v>Descripcion: CANULA DE SUCCION DE YANKAWER (DIMEDA) Estado: Bueno Placa anterior: 000031634 Material: ACERO INOXIDABLE Color: PLATEADO Referencia:  Observacion:     Placa padre: I0000062Tipo adquisicion: Entidad</v>
      </c>
      <c r="G5186" s="5"/>
    </row>
    <row r="5187" spans="1:7" ht="58.5" customHeight="1" x14ac:dyDescent="0.25">
      <c r="A5187" s="5" t="str">
        <f>"I0000122"</f>
        <v>I0000122</v>
      </c>
      <c r="B5187" s="5" t="str">
        <f>"PLATON NIQUELADO – INOXIDABLE"</f>
        <v>PLATON NIQUELADO – INOXIDABLE</v>
      </c>
      <c r="C5187" s="6">
        <v>7638.4</v>
      </c>
      <c r="D5187" s="5"/>
      <c r="E5187" s="5" t="str">
        <f t="shared" si="256"/>
        <v>INSTRUMENTACION-DIANA CAICEDO-DIANA DIAZ</v>
      </c>
      <c r="F5187" s="5" t="str">
        <f>"Descripcion: PLATON NIQUELADO Estado: Bueno Placa anterior: 000019554 Material: ACERO INOXIDABLE Color: PLATEADO Referencia:  Observacion:     Placa padre: I0000062Tipo adquisicion: Entidad"</f>
        <v>Descripcion: PLATON NIQUELADO Estado: Bueno Placa anterior: 000019554 Material: ACERO INOXIDABLE Color: PLATEADO Referencia:  Observacion:     Placa padre: I0000062Tipo adquisicion: Entidad</v>
      </c>
      <c r="G5187" s="5"/>
    </row>
    <row r="5188" spans="1:7" ht="58.5" customHeight="1" x14ac:dyDescent="0.25">
      <c r="A5188" s="5" t="str">
        <f>"I0000123"</f>
        <v>I0000123</v>
      </c>
      <c r="B5188" s="5" t="str">
        <f>"CUBETA DE ACERO INOXIDABLE GRANDE"</f>
        <v>CUBETA DE ACERO INOXIDABLE GRANDE</v>
      </c>
      <c r="C5188" s="6">
        <v>5421.11</v>
      </c>
      <c r="D5188" s="5"/>
      <c r="E5188" s="5" t="str">
        <f t="shared" si="256"/>
        <v>INSTRUMENTACION-DIANA CAICEDO-DIANA DIAZ</v>
      </c>
      <c r="F5188" s="5" t="str">
        <f>"Descripcion: CUBETA DE INSTRUMENTAL NIQUELADA Estado: Bueno Placa anterior: 000019529 Material: ACERO INOXIDABLE Color: PLATEADO Referencia:  Observacion:     Placa padre: I0000062Tipo adquisicion: Entidad"</f>
        <v>Descripcion: CUBETA DE INSTRUMENTAL NIQUELADA Estado: Bueno Placa anterior: 000019529 Material: ACERO INOXIDABLE Color: PLATEADO Referencia:  Observacion:     Placa padre: I0000062Tipo adquisicion: Entidad</v>
      </c>
      <c r="G5188" s="5"/>
    </row>
    <row r="5189" spans="1:7" ht="58.5" customHeight="1" x14ac:dyDescent="0.25">
      <c r="A5189" s="5" t="str">
        <f>"I0000124"</f>
        <v>I0000124</v>
      </c>
      <c r="B5189" s="5" t="str">
        <f>"EQUIPO DE LAPAROTOMIA"</f>
        <v>EQUIPO DE LAPAROTOMIA</v>
      </c>
      <c r="C5189" s="6">
        <v>1672971.5</v>
      </c>
      <c r="D5189" s="5"/>
      <c r="E5189" s="5" t="str">
        <f t="shared" si="256"/>
        <v>INSTRUMENTACION-DIANA CAICEDO-DIANA DIAZ</v>
      </c>
      <c r="F5189" s="5" t="str">
        <f>"Descripcion: EQUIPO DE LAPAROTOMIA #3 QUE CONSTA DE:  (0)MANGO DE BISTURI  #4  (1) MANGO DE BISTURI  #7  (2) SEPARADORES DE FARA BEUF  (1) SEPARADOR DE DEAVERS ANGOSTO  (0) TIJERA DE MAYO LARGA  (0) TIJERA DE METZEMBAUM LARGA  (1) PINZA DE DISECCION SIN G"&amp; "ARRA CORTA  (1) PINZA DE DISECCION SIN GARRA MEDIANA  (0) PINZA DE DISECCION SIN GARRA LARGA  (1) PINZA DE DISECCION CON GARRA PEQUEÑA  (1) PINZA DE DISECCION CON GARRA MEDIANA  (1) PINZA DISECCION RUSA  (8) PINZAS  KELLY CURVAS  (1) PINZAS  KELLY RECTAS "&amp; "  (7) PINZAS  ROCHESTER CURVAS   (5) PINZAS  ALLIX LARGAS (DIMEDA)  (1)  PINZAS KELLY ADSON  (2)  PINZAS DE CISTICO  (2)  PINZAS BABCOCK  (1) PORTA AGUJAS LARGO (DIMEDA)  (2) PORTA AGUJAS MEDIANO (DIMEDA)  (1) PINZA FOSTER  (1) PINZA MIXTER  (1)  PINZA DU"&amp; "VAL  (5) PINZAS DE CAMPO (DIMEDA)  (1) CANULA DE SUCCION DE YANKAWER (DIMEDA)  (1) PLATON NIQUELADO  (1) CUBETA DE INSTRUMENTAL NIQUELADA   Estado: Bueno Placa anterior: 000016758 Material: ACERO INOXIDABLE Color: PLATEADO Referencia:  Observacion:     Pl"&amp; "aca padre: Tipo adquisicion: Entidad"</f>
        <v>Descripcion: EQUIPO DE LAPAROTOMIA #3 QUE CONSTA DE:  (0)MANGO DE BISTURI  #4  (1) MANGO DE BISTURI  #7  (2) SEPARADORES DE FARA BEUF  (1) SEPARADOR DE DEAVERS ANGOSTO  (0) TIJERA DE MAYO LARGA  (0) TIJERA DE METZEMBAUM LARGA  (1) PINZA DE DISECCION SIN GARRA CORTA  (1) PINZA DE DISECCION SIN GARRA MEDIANA  (0) PINZA DE DISECCION SIN GARRA LARGA  (1) PINZA DE DISECCION CON GARRA PEQUEÑA  (1) PINZA DE DISECCION CON GARRA MEDIANA  (1) PINZA DISECCION RUSA  (8) PINZAS  KELLY CURVAS  (1) PINZAS  KELLY RECTAS   (7) PINZAS  ROCHESTER CURVAS   (5) PINZAS  ALLIX LARGAS (DIMEDA)  (1)  PINZAS KELLY ADSON  (2)  PINZAS DE CISTICO  (2)  PINZAS BABCOCK  (1) PORTA AGUJAS LARGO (DIMEDA)  (2) PORTA AGUJAS MEDIANO (DIMEDA)  (1) PINZA FOSTER  (1) PINZA MIXTER  (1)  PINZA DUVAL  (5) PINZAS DE CAMPO (DIMEDA)  (1) CANULA DE SUCCION DE YANKAWER (DIMEDA)  (1) PLATON NIQUELADO  (1) CUBETA DE INSTRUMENTAL NIQUELADA   Estado: Bueno Placa anterior: 000016758 Material: ACERO INOXIDABLE Color: PLATEADO Referencia:  Observacion:     Placa padre: Tipo adquisicion: Entidad</v>
      </c>
      <c r="G5189" s="5"/>
    </row>
    <row r="5190" spans="1:7" ht="58.5" customHeight="1" x14ac:dyDescent="0.25">
      <c r="A5190" s="5" t="str">
        <f>"I0000125"</f>
        <v>I0000125</v>
      </c>
      <c r="B5190" s="5" t="str">
        <f>"MANGO PARA BISTURI #4"</f>
        <v>MANGO PARA BISTURI #4</v>
      </c>
      <c r="C5190" s="6">
        <v>15080</v>
      </c>
      <c r="D5190" s="5"/>
      <c r="E5190" s="5" t="str">
        <f t="shared" si="256"/>
        <v>INSTRUMENTACION-DIANA CAICEDO-DIANA DIAZ</v>
      </c>
      <c r="F5190" s="5" t="str">
        <f>"Descripcion: MANGO DE BISTURI  #4 Estado: Bueno Placa anterior: 000031867 Material: ACERO INOXIDABLE Color: PLATEADO Referencia:  Observacion:     Placa padre: I0000124Tipo adquisicion: Entidad"</f>
        <v>Descripcion: MANGO DE BISTURI  #4 Estado: Bueno Placa anterior: 000031867 Material: ACERO INOXIDABLE Color: PLATEADO Referencia:  Observacion:     Placa padre: I0000124Tipo adquisicion: Entidad</v>
      </c>
      <c r="G5190" s="5"/>
    </row>
    <row r="5191" spans="1:7" ht="58.5" customHeight="1" x14ac:dyDescent="0.25">
      <c r="A5191" s="5" t="str">
        <f>"I0000126"</f>
        <v>I0000126</v>
      </c>
      <c r="B5191" s="5" t="str">
        <f>"MANGO PARA BISTURI #4"</f>
        <v>MANGO PARA BISTURI #4</v>
      </c>
      <c r="C5191" s="6">
        <v>27840</v>
      </c>
      <c r="D5191" s="5"/>
      <c r="E5191" s="5" t="str">
        <f t="shared" si="256"/>
        <v>INSTRUMENTACION-DIANA CAICEDO-DIANA DIAZ</v>
      </c>
      <c r="F5191" s="5" t="str">
        <f>"Descripcion: MANGO DE BISTURI  #7 Estado: Bueno Placa anterior: 000031848 Material: ACERO INOXIDABLE Color: PLATEADO Referencia:  Observacion:     Placa padre: I0000124Tipo adquisicion: Entidad"</f>
        <v>Descripcion: MANGO DE BISTURI  #7 Estado: Bueno Placa anterior: 000031848 Material: ACERO INOXIDABLE Color: PLATEADO Referencia:  Observacion:     Placa padre: I0000124Tipo adquisicion: Entidad</v>
      </c>
      <c r="G5191" s="5"/>
    </row>
    <row r="5192" spans="1:7" ht="58.5" customHeight="1" x14ac:dyDescent="0.25">
      <c r="A5192" s="5" t="str">
        <f>"I0000127"</f>
        <v>I0000127</v>
      </c>
      <c r="B5192" s="5" t="str">
        <f>"SEPARADOR DE ABDOMEN (FARABEUF)"</f>
        <v>SEPARADOR DE ABDOMEN (FARABEUF)</v>
      </c>
      <c r="C5192" s="6">
        <v>46400</v>
      </c>
      <c r="D5192" s="5"/>
      <c r="E5192" s="5" t="str">
        <f t="shared" si="256"/>
        <v>INSTRUMENTACION-DIANA CAICEDO-DIANA DIAZ</v>
      </c>
      <c r="F5192" s="5" t="str">
        <f>"Descripcion: SEPARADOR DE FARA BEUF Estado: Bueno Placa anterior: 000032500 Material: ACERO INOXIDABLE Color: PLATEADO Referencia:  Observacion:     Placa padre: I0000124Tipo adquisicion: Entidad"</f>
        <v>Descripcion: SEPARADOR DE FARA BEUF Estado: Bueno Placa anterior: 000032500 Material: ACERO INOXIDABLE Color: PLATEADO Referencia:  Observacion:     Placa padre: I0000124Tipo adquisicion: Entidad</v>
      </c>
      <c r="G5192" s="5"/>
    </row>
    <row r="5193" spans="1:7" ht="58.5" customHeight="1" x14ac:dyDescent="0.25">
      <c r="A5193" s="5" t="str">
        <f>"I0000128"</f>
        <v>I0000128</v>
      </c>
      <c r="B5193" s="5" t="str">
        <f>"SEPARADOR DE ABDOMEN (FARABEUF)"</f>
        <v>SEPARADOR DE ABDOMEN (FARABEUF)</v>
      </c>
      <c r="C5193" s="6">
        <v>46400</v>
      </c>
      <c r="D5193" s="5"/>
      <c r="E5193" s="5" t="str">
        <f t="shared" si="256"/>
        <v>INSTRUMENTACION-DIANA CAICEDO-DIANA DIAZ</v>
      </c>
      <c r="F5193" s="5" t="str">
        <f>"Descripcion: SEPARADOR DE FARA BEUF Estado: Bueno Placa anterior: 000032501 Material: ACERO INOXIDABLE Color: PLATEADO Referencia:  Observacion:     Placa padre: I0000124Tipo adquisicion: Entidad"</f>
        <v>Descripcion: SEPARADOR DE FARA BEUF Estado: Bueno Placa anterior: 000032501 Material: ACERO INOXIDABLE Color: PLATEADO Referencia:  Observacion:     Placa padre: I0000124Tipo adquisicion: Entidad</v>
      </c>
      <c r="G5193" s="5"/>
    </row>
    <row r="5194" spans="1:7" ht="58.5" customHeight="1" x14ac:dyDescent="0.25">
      <c r="A5194" s="5" t="str">
        <f>"I0000130"</f>
        <v>I0000130</v>
      </c>
      <c r="B5194" s="5" t="str">
        <f>"TIJERA DE MAYO LARGA 25 CM"</f>
        <v>TIJERA DE MAYO LARGA 25 CM</v>
      </c>
      <c r="C5194" s="6">
        <v>56840</v>
      </c>
      <c r="D5194" s="5"/>
      <c r="E5194" s="5" t="str">
        <f t="shared" si="256"/>
        <v>INSTRUMENTACION-DIANA CAICEDO-DIANA DIAZ</v>
      </c>
      <c r="F5194" s="5" t="str">
        <f>"Descripcion: TIJERA DE MAYO LARGA Estado: Bueno Placa anterior: 000032064 Material: ACERO INOXIDABLE Color: PLATEADO Referencia:  Observacion:     Placa padre: I0000124Tipo adquisicion: Entidad"</f>
        <v>Descripcion: TIJERA DE MAYO LARGA Estado: Bueno Placa anterior: 000032064 Material: ACERO INOXIDABLE Color: PLATEADO Referencia:  Observacion:     Placa padre: I0000124Tipo adquisicion: Entidad</v>
      </c>
      <c r="G5194" s="5"/>
    </row>
    <row r="5195" spans="1:7" ht="58.5" customHeight="1" x14ac:dyDescent="0.25">
      <c r="A5195" s="5" t="str">
        <f>"I0000131"</f>
        <v>I0000131</v>
      </c>
      <c r="B5195" s="5" t="str">
        <f>"TIJERA DE METZEMBAUM"</f>
        <v>TIJERA DE METZEMBAUM</v>
      </c>
      <c r="C5195" s="6">
        <v>63800</v>
      </c>
      <c r="D5195" s="5"/>
      <c r="E5195" s="5" t="str">
        <f t="shared" si="256"/>
        <v>INSTRUMENTACION-DIANA CAICEDO-DIANA DIAZ</v>
      </c>
      <c r="F5195" s="5" t="str">
        <f>"Descripcion: TIJERA DE METZEMBAUM LARGA Estado: Bueno Placa anterior: 000032074 Material: ACERO INOXIDABLE Color: PLATEADO Referencia:  Observacion:     Placa padre: I0000124Tipo adquisicion: Entidad"</f>
        <v>Descripcion: TIJERA DE METZEMBAUM LARGA Estado: Bueno Placa anterior: 000032074 Material: ACERO INOXIDABLE Color: PLATEADO Referencia:  Observacion:     Placa padre: I0000124Tipo adquisicion: Entidad</v>
      </c>
      <c r="G5195" s="5"/>
    </row>
    <row r="5196" spans="1:7" ht="58.5" customHeight="1" x14ac:dyDescent="0.25">
      <c r="A5196" s="5" t="str">
        <f>"I0000133"</f>
        <v>I0000133</v>
      </c>
      <c r="B5196" s="5" t="str">
        <f>"PINZA DE DISECCION SIN GARRA LARGA 25 CM"</f>
        <v>PINZA DE DISECCION SIN GARRA LARGA 25 CM</v>
      </c>
      <c r="C5196" s="6">
        <v>14967.53</v>
      </c>
      <c r="D5196" s="5"/>
      <c r="E5196" s="5" t="str">
        <f t="shared" si="256"/>
        <v>INSTRUMENTACION-DIANA CAICEDO-DIANA DIAZ</v>
      </c>
      <c r="F5196" s="5" t="str">
        <f>"Descripcion: PINZA DE DISECCION SIN GARRA MEDIANA Estado: Bueno Placa anterior: 000006555 Material: ACERO INOXIDABLE Color: PLATEADO Referencia:  Observacion:     Placa padre: I0000124Tipo adquisicion: Entidad"</f>
        <v>Descripcion: PINZA DE DISECCION SIN GARRA MEDIANA Estado: Bueno Placa anterior: 000006555 Material: ACERO INOXIDABLE Color: PLATEADO Referencia:  Observacion:     Placa padre: I0000124Tipo adquisicion: Entidad</v>
      </c>
      <c r="G5196" s="5"/>
    </row>
    <row r="5197" spans="1:7" ht="58.5" customHeight="1" x14ac:dyDescent="0.25">
      <c r="A5197" s="5" t="str">
        <f>"I0000134"</f>
        <v>I0000134</v>
      </c>
      <c r="B5197" s="5" t="str">
        <f>"PINZA DE DISECCION SIN GARRA LARGA 25 CM"</f>
        <v>PINZA DE DISECCION SIN GARRA LARGA 25 CM</v>
      </c>
      <c r="C5197" s="6">
        <v>15146</v>
      </c>
      <c r="D5197" s="5"/>
      <c r="E5197" s="5" t="str">
        <f t="shared" si="256"/>
        <v>INSTRUMENTACION-DIANA CAICEDO-DIANA DIAZ</v>
      </c>
      <c r="F5197" s="5" t="str">
        <f>"Descripcion: PINZA DE DISECCION SIN GARRA LARGA (DIMEDA) Estado: Bueno Placa anterior: 000023806 Material: ACERO INOXIDABLE Color: PLATEADO Referencia:  Observacion:     Placa padre: I0000124Tipo adquisicion: Entidad"</f>
        <v>Descripcion: PINZA DE DISECCION SIN GARRA LARGA (DIMEDA) Estado: Bueno Placa anterior: 000023806 Material: ACERO INOXIDABLE Color: PLATEADO Referencia:  Observacion:     Placa padre: I0000124Tipo adquisicion: Entidad</v>
      </c>
      <c r="G5197" s="5"/>
    </row>
    <row r="5198" spans="1:7" ht="58.5" customHeight="1" x14ac:dyDescent="0.25">
      <c r="A5198" s="5" t="str">
        <f>"I0000135"</f>
        <v>I0000135</v>
      </c>
      <c r="B5198" s="5" t="str">
        <f>"PINZA DE DISECCION CON GARRA MEDIANA 25 CM"</f>
        <v>PINZA DE DISECCION CON GARRA MEDIANA 25 CM</v>
      </c>
      <c r="C5198" s="6">
        <v>16052</v>
      </c>
      <c r="D5198" s="5"/>
      <c r="E5198" s="5" t="str">
        <f t="shared" si="256"/>
        <v>INSTRUMENTACION-DIANA CAICEDO-DIANA DIAZ</v>
      </c>
      <c r="F5198" s="5" t="str">
        <f>"Descripcion: PINZA DE DISECCION CON GARRA PEQUEÑA Estado: Bueno Placa anterior: 000024539 Material: ACERO INOXIDABLE Color: PLATEADO Referencia:  Observacion:     Placa padre: I0000124Tipo adquisicion: Entidad"</f>
        <v>Descripcion: PINZA DE DISECCION CON GARRA PEQUEÑA Estado: Bueno Placa anterior: 000024539 Material: ACERO INOXIDABLE Color: PLATEADO Referencia:  Observacion:     Placa padre: I0000124Tipo adquisicion: Entidad</v>
      </c>
      <c r="G5198" s="5"/>
    </row>
    <row r="5199" spans="1:7" ht="58.5" customHeight="1" x14ac:dyDescent="0.25">
      <c r="A5199" s="5" t="str">
        <f>"I0000136"</f>
        <v>I0000136</v>
      </c>
      <c r="B5199" s="5" t="str">
        <f>"PINZA DE DISECCION CON GARRA MEDIANA 25 CM"</f>
        <v>PINZA DE DISECCION CON GARRA MEDIANA 25 CM</v>
      </c>
      <c r="C5199" s="6">
        <v>39440</v>
      </c>
      <c r="D5199" s="5"/>
      <c r="E5199" s="5" t="str">
        <f t="shared" si="256"/>
        <v>INSTRUMENTACION-DIANA CAICEDO-DIANA DIAZ</v>
      </c>
      <c r="F5199" s="5" t="str">
        <f>"Descripcion: PINZA DE DISECCION CON GARRA MEDIANA Estado: Bueno Placa anterior: 000031955 Material: ACERO INOXIDABLE Color: PLATEADO Referencia:  Observacion:     Placa padre: I0000124Tipo adquisicion: Entidad"</f>
        <v>Descripcion: PINZA DE DISECCION CON GARRA MEDIANA Estado: Bueno Placa anterior: 000031955 Material: ACERO INOXIDABLE Color: PLATEADO Referencia:  Observacion:     Placa padre: I0000124Tipo adquisicion: Entidad</v>
      </c>
      <c r="G5199" s="5"/>
    </row>
    <row r="5200" spans="1:7" ht="58.5" customHeight="1" x14ac:dyDescent="0.25">
      <c r="A5200" s="5" t="str">
        <f>"I0000137"</f>
        <v>I0000137</v>
      </c>
      <c r="B5200" s="5" t="str">
        <f>"PINZA DE DISECCION SIN GARRA CORTA 20 CM"</f>
        <v>PINZA DE DISECCION SIN GARRA CORTA 20 CM</v>
      </c>
      <c r="C5200" s="6">
        <v>67280</v>
      </c>
      <c r="D5200" s="5"/>
      <c r="E5200" s="5" t="str">
        <f t="shared" si="256"/>
        <v>INSTRUMENTACION-DIANA CAICEDO-DIANA DIAZ</v>
      </c>
      <c r="F5200" s="5" t="str">
        <f>"Descripcion: PINZA DISECCION RUSA Estado: Bueno Placa anterior: 000031988 Material: ACERO INOXIDABLE Color: PLATEADO Referencia:  Observacion:     Placa padre: I0000124Tipo adquisicion: Entidad"</f>
        <v>Descripcion: PINZA DISECCION RUSA Estado: Bueno Placa anterior: 000031988 Material: ACERO INOXIDABLE Color: PLATEADO Referencia:  Observacion:     Placa padre: I0000124Tipo adquisicion: Entidad</v>
      </c>
      <c r="G5200" s="5"/>
    </row>
    <row r="5201" spans="1:7" ht="58.5" customHeight="1" x14ac:dyDescent="0.25">
      <c r="A5201" s="5" t="str">
        <f>"I0000138"</f>
        <v>I0000138</v>
      </c>
      <c r="B5201" s="5" t="str">
        <f t="shared" ref="B5201:B5210" si="260">"PINZA KELLY CURVA 16 CM"</f>
        <v>PINZA KELLY CURVA 16 CM</v>
      </c>
      <c r="C5201" s="6">
        <v>52200</v>
      </c>
      <c r="D5201" s="5"/>
      <c r="E5201" s="5" t="str">
        <f t="shared" si="256"/>
        <v>INSTRUMENTACION-DIANA CAICEDO-DIANA DIAZ</v>
      </c>
      <c r="F5201" s="5" t="str">
        <f>"Descripcion: PINZAS  KELLY CURVAS Estado: Bueno Placa anterior: 000036047 Material: ACERO INOXIDABLE Color: PLATEADO Referencia:  Observacion:     Placa padre: I0000124Tipo adquisicion: Entidad"</f>
        <v>Descripcion: PINZAS  KELLY CURVAS Estado: Bueno Placa anterior: 000036047 Material: ACERO INOXIDABLE Color: PLATEADO Referencia:  Observacion:     Placa padre: I0000124Tipo adquisicion: Entidad</v>
      </c>
      <c r="G5201" s="5"/>
    </row>
    <row r="5202" spans="1:7" ht="58.5" customHeight="1" x14ac:dyDescent="0.25">
      <c r="A5202" s="5" t="str">
        <f>"I0000139"</f>
        <v>I0000139</v>
      </c>
      <c r="B5202" s="5" t="str">
        <f t="shared" si="260"/>
        <v>PINZA KELLY CURVA 16 CM</v>
      </c>
      <c r="C5202" s="6">
        <v>52200</v>
      </c>
      <c r="D5202" s="5"/>
      <c r="E5202" s="5" t="str">
        <f t="shared" si="256"/>
        <v>INSTRUMENTACION-DIANA CAICEDO-DIANA DIAZ</v>
      </c>
      <c r="F5202" s="5" t="str">
        <f>"Descripcion: PINZAS  KELLY CURVAS Estado: Bueno Placa anterior: 000036048 Material: ACERO INOXIDABLE Color: PLATEADO Referencia:  Observacion:     Placa padre: I0000124Tipo adquisicion: Entidad"</f>
        <v>Descripcion: PINZAS  KELLY CURVAS Estado: Bueno Placa anterior: 000036048 Material: ACERO INOXIDABLE Color: PLATEADO Referencia:  Observacion:     Placa padre: I0000124Tipo adquisicion: Entidad</v>
      </c>
      <c r="G5202" s="5"/>
    </row>
    <row r="5203" spans="1:7" ht="58.5" customHeight="1" x14ac:dyDescent="0.25">
      <c r="A5203" s="5" t="str">
        <f>"I0000140"</f>
        <v>I0000140</v>
      </c>
      <c r="B5203" s="5" t="str">
        <f t="shared" si="260"/>
        <v>PINZA KELLY CURVA 16 CM</v>
      </c>
      <c r="C5203" s="6">
        <v>52200</v>
      </c>
      <c r="D5203" s="5"/>
      <c r="E5203" s="5" t="str">
        <f t="shared" si="256"/>
        <v>INSTRUMENTACION-DIANA CAICEDO-DIANA DIAZ</v>
      </c>
      <c r="F5203" s="5" t="str">
        <f>"Descripcion: PINZAS  KELLY CURVAS Estado: Bueno Placa anterior: 000036049 Material: ACERO INOXIDABLE Color: PLATEADO Referencia:  Observacion:     Placa padre: I0000124Tipo adquisicion: Entidad"</f>
        <v>Descripcion: PINZAS  KELLY CURVAS Estado: Bueno Placa anterior: 000036049 Material: ACERO INOXIDABLE Color: PLATEADO Referencia:  Observacion:     Placa padre: I0000124Tipo adquisicion: Entidad</v>
      </c>
      <c r="G5203" s="5"/>
    </row>
    <row r="5204" spans="1:7" ht="58.5" customHeight="1" x14ac:dyDescent="0.25">
      <c r="A5204" s="5" t="str">
        <f>"I0000141"</f>
        <v>I0000141</v>
      </c>
      <c r="B5204" s="5" t="str">
        <f t="shared" si="260"/>
        <v>PINZA KELLY CURVA 16 CM</v>
      </c>
      <c r="C5204" s="6">
        <v>52200</v>
      </c>
      <c r="D5204" s="5"/>
      <c r="E5204" s="5" t="str">
        <f t="shared" si="256"/>
        <v>INSTRUMENTACION-DIANA CAICEDO-DIANA DIAZ</v>
      </c>
      <c r="F5204" s="5" t="str">
        <f>"Descripcion: PINZAS  KELLY CURVAS Estado: Bueno Placa anterior: 000036050 Material: ACERO INOXIDABLE Color: PLATEADO Referencia:  Observacion:     Placa padre: I0000124Tipo adquisicion: Entidad"</f>
        <v>Descripcion: PINZAS  KELLY CURVAS Estado: Bueno Placa anterior: 000036050 Material: ACERO INOXIDABLE Color: PLATEADO Referencia:  Observacion:     Placa padre: I0000124Tipo adquisicion: Entidad</v>
      </c>
      <c r="G5204" s="5"/>
    </row>
    <row r="5205" spans="1:7" ht="58.5" customHeight="1" x14ac:dyDescent="0.25">
      <c r="A5205" s="5" t="str">
        <f>"I0000142"</f>
        <v>I0000142</v>
      </c>
      <c r="B5205" s="5" t="str">
        <f t="shared" si="260"/>
        <v>PINZA KELLY CURVA 16 CM</v>
      </c>
      <c r="C5205" s="6">
        <v>52200</v>
      </c>
      <c r="D5205" s="5"/>
      <c r="E5205" s="5" t="str">
        <f t="shared" si="256"/>
        <v>INSTRUMENTACION-DIANA CAICEDO-DIANA DIAZ</v>
      </c>
      <c r="F5205" s="5" t="str">
        <f>"Descripcion: PINZAS  KELLY CURVAS Estado: Bueno Placa anterior: 000036052 Material: ACERO INOXIDABLE Color: PLATEADO Referencia:  Observacion:     Placa padre: I0000124Tipo adquisicion: Entidad"</f>
        <v>Descripcion: PINZAS  KELLY CURVAS Estado: Bueno Placa anterior: 000036052 Material: ACERO INOXIDABLE Color: PLATEADO Referencia:  Observacion:     Placa padre: I0000124Tipo adquisicion: Entidad</v>
      </c>
      <c r="G5205" s="5"/>
    </row>
    <row r="5206" spans="1:7" ht="58.5" customHeight="1" x14ac:dyDescent="0.25">
      <c r="A5206" s="5" t="str">
        <f>"I0000143"</f>
        <v>I0000143</v>
      </c>
      <c r="B5206" s="5" t="str">
        <f t="shared" si="260"/>
        <v>PINZA KELLY CURVA 16 CM</v>
      </c>
      <c r="C5206" s="6">
        <v>52200</v>
      </c>
      <c r="D5206" s="5"/>
      <c r="E5206" s="5" t="str">
        <f t="shared" si="256"/>
        <v>INSTRUMENTACION-DIANA CAICEDO-DIANA DIAZ</v>
      </c>
      <c r="F5206" s="5" t="str">
        <f>"Descripcion: PINZAS  KELLY CURVAS Estado: Bueno Placa anterior: 000036053 Material: ACERO INOXIDABLE Color: PLATEADO Referencia:  Observacion:     Placa padre: I0000124Tipo adquisicion: Entidad"</f>
        <v>Descripcion: PINZAS  KELLY CURVAS Estado: Bueno Placa anterior: 000036053 Material: ACERO INOXIDABLE Color: PLATEADO Referencia:  Observacion:     Placa padre: I0000124Tipo adquisicion: Entidad</v>
      </c>
      <c r="G5206" s="5"/>
    </row>
    <row r="5207" spans="1:7" ht="58.5" customHeight="1" x14ac:dyDescent="0.25">
      <c r="A5207" s="5" t="str">
        <f>"I0000144"</f>
        <v>I0000144</v>
      </c>
      <c r="B5207" s="5" t="str">
        <f t="shared" si="260"/>
        <v>PINZA KELLY CURVA 16 CM</v>
      </c>
      <c r="C5207" s="6">
        <v>52200</v>
      </c>
      <c r="D5207" s="5"/>
      <c r="E5207" s="5" t="str">
        <f t="shared" si="256"/>
        <v>INSTRUMENTACION-DIANA CAICEDO-DIANA DIAZ</v>
      </c>
      <c r="F5207" s="5" t="str">
        <f>"Descripcion: PINZAS  KELLY CURVAS Estado: Bueno Placa anterior: 000036054 Material: ACERO INOXIDABLE Color: PLATEADO Referencia:  Observacion:     Placa padre: I0000124Tipo adquisicion: Entidad"</f>
        <v>Descripcion: PINZAS  KELLY CURVAS Estado: Bueno Placa anterior: 000036054 Material: ACERO INOXIDABLE Color: PLATEADO Referencia:  Observacion:     Placa padre: I0000124Tipo adquisicion: Entidad</v>
      </c>
      <c r="G5207" s="5"/>
    </row>
    <row r="5208" spans="1:7" ht="58.5" customHeight="1" x14ac:dyDescent="0.25">
      <c r="A5208" s="5" t="str">
        <f>"I0000145"</f>
        <v>I0000145</v>
      </c>
      <c r="B5208" s="5" t="str">
        <f t="shared" si="260"/>
        <v>PINZA KELLY CURVA 16 CM</v>
      </c>
      <c r="C5208" s="6">
        <v>52200</v>
      </c>
      <c r="D5208" s="5"/>
      <c r="E5208" s="5" t="str">
        <f t="shared" si="256"/>
        <v>INSTRUMENTACION-DIANA CAICEDO-DIANA DIAZ</v>
      </c>
      <c r="F5208" s="5" t="str">
        <f>"Descripcion: PINZAS  KELLY CURVAS Estado: Bueno Placa anterior: 000036055 Material: ACERO INOXIDABLE Color: PLATEADO Referencia:  Observacion:     Placa padre: I0000124Tipo adquisicion: Entidad"</f>
        <v>Descripcion: PINZAS  KELLY CURVAS Estado: Bueno Placa anterior: 000036055 Material: ACERO INOXIDABLE Color: PLATEADO Referencia:  Observacion:     Placa padre: I0000124Tipo adquisicion: Entidad</v>
      </c>
      <c r="G5208" s="5"/>
    </row>
    <row r="5209" spans="1:7" ht="58.5" customHeight="1" x14ac:dyDescent="0.25">
      <c r="A5209" s="5" t="str">
        <f>"I0000146"</f>
        <v>I0000146</v>
      </c>
      <c r="B5209" s="5" t="str">
        <f t="shared" si="260"/>
        <v>PINZA KELLY CURVA 16 CM</v>
      </c>
      <c r="C5209" s="6">
        <v>52200</v>
      </c>
      <c r="D5209" s="5"/>
      <c r="E5209" s="5" t="str">
        <f t="shared" si="256"/>
        <v>INSTRUMENTACION-DIANA CAICEDO-DIANA DIAZ</v>
      </c>
      <c r="F5209" s="5" t="str">
        <f>"Descripcion: PINZAS  KELLY CURVAS Estado: Bueno Placa anterior: 000036056 Material: ACERO INOXIDABLE Color: PLATEADO Referencia:  Observacion:     Placa padre: I0000124Tipo adquisicion: Entidad"</f>
        <v>Descripcion: PINZAS  KELLY CURVAS Estado: Bueno Placa anterior: 000036056 Material: ACERO INOXIDABLE Color: PLATEADO Referencia:  Observacion:     Placa padre: I0000124Tipo adquisicion: Entidad</v>
      </c>
      <c r="G5209" s="5"/>
    </row>
    <row r="5210" spans="1:7" ht="58.5" customHeight="1" x14ac:dyDescent="0.25">
      <c r="A5210" s="5" t="str">
        <f>"I0000147"</f>
        <v>I0000147</v>
      </c>
      <c r="B5210" s="5" t="str">
        <f t="shared" si="260"/>
        <v>PINZA KELLY CURVA 16 CM</v>
      </c>
      <c r="C5210" s="6">
        <v>52200</v>
      </c>
      <c r="D5210" s="5"/>
      <c r="E5210" s="5" t="str">
        <f t="shared" si="256"/>
        <v>INSTRUMENTACION-DIANA CAICEDO-DIANA DIAZ</v>
      </c>
      <c r="F5210" s="5" t="str">
        <f>"Descripcion: PINZAS  KELLY CURVAS Estado: Bueno Placa anterior: 000036057 Material: ACERO INOXIDABLE Color: PLATEADO Referencia:  Observacion:     Placa padre: I0000124Tipo adquisicion: Entidad"</f>
        <v>Descripcion: PINZAS  KELLY CURVAS Estado: Bueno Placa anterior: 000036057 Material: ACERO INOXIDABLE Color: PLATEADO Referencia:  Observacion:     Placa padre: I0000124Tipo adquisicion: Entidad</v>
      </c>
      <c r="G5210" s="5"/>
    </row>
    <row r="5211" spans="1:7" ht="58.5" customHeight="1" x14ac:dyDescent="0.25">
      <c r="A5211" s="5" t="str">
        <f>"I0000148"</f>
        <v>I0000148</v>
      </c>
      <c r="B5211" s="5" t="str">
        <f>"PINZA KELLY RECTA 16 CM"</f>
        <v>PINZA KELLY RECTA 16 CM</v>
      </c>
      <c r="C5211" s="6">
        <v>52200</v>
      </c>
      <c r="D5211" s="5"/>
      <c r="E5211" s="5" t="str">
        <f t="shared" si="256"/>
        <v>INSTRUMENTACION-DIANA CAICEDO-DIANA DIAZ</v>
      </c>
      <c r="F5211" s="5" t="str">
        <f>"Descripcion: PINZAS  KELLY RECTAS  Estado: Bueno Placa anterior: 000036058 Material: ACERO INOXIDABLE Color: PLATEADO Referencia:  Observacion:     Placa padre: I0000124Tipo adquisicion: Entidad"</f>
        <v>Descripcion: PINZAS  KELLY RECTAS  Estado: Bueno Placa anterior: 000036058 Material: ACERO INOXIDABLE Color: PLATEADO Referencia:  Observacion:     Placa padre: I0000124Tipo adquisicion: Entidad</v>
      </c>
      <c r="G5211" s="5"/>
    </row>
    <row r="5212" spans="1:7" ht="58.5" customHeight="1" x14ac:dyDescent="0.25">
      <c r="A5212" s="5" t="str">
        <f>"I0000149"</f>
        <v>I0000149</v>
      </c>
      <c r="B5212" s="5" t="str">
        <f>"PINZA KELLY RECTA 16 CM"</f>
        <v>PINZA KELLY RECTA 16 CM</v>
      </c>
      <c r="C5212" s="6">
        <v>52200</v>
      </c>
      <c r="D5212" s="5"/>
      <c r="E5212" s="5" t="str">
        <f t="shared" si="256"/>
        <v>INSTRUMENTACION-DIANA CAICEDO-DIANA DIAZ</v>
      </c>
      <c r="F5212" s="5" t="str">
        <f>"Descripcion: PINZAS  KELLY RECTAS  Estado: Bueno Placa anterior: 000036059 Material: ACERO INOXIDABLE Color: PLATEADO Referencia:  Observacion:     Placa padre: I0000124Tipo adquisicion: Entidad"</f>
        <v>Descripcion: PINZAS  KELLY RECTAS  Estado: Bueno Placa anterior: 000036059 Material: ACERO INOXIDABLE Color: PLATEADO Referencia:  Observacion:     Placa padre: I0000124Tipo adquisicion: Entidad</v>
      </c>
      <c r="G5212" s="5"/>
    </row>
    <row r="5213" spans="1:7" ht="58.5" customHeight="1" x14ac:dyDescent="0.25">
      <c r="A5213" s="5" t="str">
        <f>"I0000150"</f>
        <v>I0000150</v>
      </c>
      <c r="B5213" s="5" t="str">
        <f t="shared" ref="B5213:B5220" si="261">"PINZA ROCHESTER CURVA 25 CM"</f>
        <v>PINZA ROCHESTER CURVA 25 CM</v>
      </c>
      <c r="C5213" s="6">
        <v>81200</v>
      </c>
      <c r="D5213" s="5"/>
      <c r="E5213" s="5" t="str">
        <f t="shared" si="256"/>
        <v>INSTRUMENTACION-DIANA CAICEDO-DIANA DIAZ</v>
      </c>
      <c r="F5213" s="5" t="str">
        <f>"Descripcion: PINZAS ROCHESTER CURVAS Estado: Bueno Placa anterior: 000036154 Material: ACERO INOXIDABLE Color: PLATEADO Referencia:  Observacion:     Placa padre: I0000124Tipo adquisicion: Entidad"</f>
        <v>Descripcion: PINZAS ROCHESTER CURVAS Estado: Bueno Placa anterior: 000036154 Material: ACERO INOXIDABLE Color: PLATEADO Referencia:  Observacion:     Placa padre: I0000124Tipo adquisicion: Entidad</v>
      </c>
      <c r="G5213" s="5"/>
    </row>
    <row r="5214" spans="1:7" ht="58.5" customHeight="1" x14ac:dyDescent="0.25">
      <c r="A5214" s="5" t="str">
        <f>"I0000151"</f>
        <v>I0000151</v>
      </c>
      <c r="B5214" s="5" t="str">
        <f t="shared" si="261"/>
        <v>PINZA ROCHESTER CURVA 25 CM</v>
      </c>
      <c r="C5214" s="6">
        <v>81200</v>
      </c>
      <c r="D5214" s="5"/>
      <c r="E5214" s="5" t="str">
        <f t="shared" si="256"/>
        <v>INSTRUMENTACION-DIANA CAICEDO-DIANA DIAZ</v>
      </c>
      <c r="F5214" s="5" t="str">
        <f>"Descripcion: PINZAS ROCHESTER CURVAS Estado: Bueno Placa anterior: 000036155 Material: ACERO INOXIDABLE Color: PLATEADO Referencia:  Observacion:     Placa padre: I0000124Tipo adquisicion: Entidad"</f>
        <v>Descripcion: PINZAS ROCHESTER CURVAS Estado: Bueno Placa anterior: 000036155 Material: ACERO INOXIDABLE Color: PLATEADO Referencia:  Observacion:     Placa padre: I0000124Tipo adquisicion: Entidad</v>
      </c>
      <c r="G5214" s="5"/>
    </row>
    <row r="5215" spans="1:7" ht="58.5" customHeight="1" x14ac:dyDescent="0.25">
      <c r="A5215" s="5" t="str">
        <f>"I0000152"</f>
        <v>I0000152</v>
      </c>
      <c r="B5215" s="5" t="str">
        <f t="shared" si="261"/>
        <v>PINZA ROCHESTER CURVA 25 CM</v>
      </c>
      <c r="C5215" s="6">
        <v>81200</v>
      </c>
      <c r="D5215" s="5"/>
      <c r="E5215" s="5" t="str">
        <f t="shared" ref="E5215:E5278" si="262">"INSTRUMENTACION-DIANA CAICEDO-DIANA DIAZ"</f>
        <v>INSTRUMENTACION-DIANA CAICEDO-DIANA DIAZ</v>
      </c>
      <c r="F5215" s="5" t="str">
        <f>"Descripcion: PINZAS ROCHESTER CURVAS Estado: Bueno Placa anterior: 000036156 Material: ACERO INOXIDABLE Color: PLATEADO Referencia:  Observacion:     Placa padre: I0000124Tipo adquisicion: Entidad"</f>
        <v>Descripcion: PINZAS ROCHESTER CURVAS Estado: Bueno Placa anterior: 000036156 Material: ACERO INOXIDABLE Color: PLATEADO Referencia:  Observacion:     Placa padre: I0000124Tipo adquisicion: Entidad</v>
      </c>
      <c r="G5215" s="5"/>
    </row>
    <row r="5216" spans="1:7" ht="58.5" customHeight="1" x14ac:dyDescent="0.25">
      <c r="A5216" s="5" t="str">
        <f>"I0000153"</f>
        <v>I0000153</v>
      </c>
      <c r="B5216" s="5" t="str">
        <f t="shared" si="261"/>
        <v>PINZA ROCHESTER CURVA 25 CM</v>
      </c>
      <c r="C5216" s="6">
        <v>81200</v>
      </c>
      <c r="D5216" s="5"/>
      <c r="E5216" s="5" t="str">
        <f t="shared" si="262"/>
        <v>INSTRUMENTACION-DIANA CAICEDO-DIANA DIAZ</v>
      </c>
      <c r="F5216" s="5" t="str">
        <f>"Descripcion: PINZAS ROCHESTER CURVAS Estado: Bueno Placa anterior: 000036157 Material: ACERO INOXIDABLE Color: PLATEADO Referencia:  Observacion:     Placa padre: I0000124Tipo adquisicion: Entidad"</f>
        <v>Descripcion: PINZAS ROCHESTER CURVAS Estado: Bueno Placa anterior: 000036157 Material: ACERO INOXIDABLE Color: PLATEADO Referencia:  Observacion:     Placa padre: I0000124Tipo adquisicion: Entidad</v>
      </c>
      <c r="G5216" s="5"/>
    </row>
    <row r="5217" spans="1:7" ht="58.5" customHeight="1" x14ac:dyDescent="0.25">
      <c r="A5217" s="5" t="str">
        <f>"I0000154"</f>
        <v>I0000154</v>
      </c>
      <c r="B5217" s="5" t="str">
        <f t="shared" si="261"/>
        <v>PINZA ROCHESTER CURVA 25 CM</v>
      </c>
      <c r="C5217" s="6">
        <v>81200</v>
      </c>
      <c r="D5217" s="5"/>
      <c r="E5217" s="5" t="str">
        <f t="shared" si="262"/>
        <v>INSTRUMENTACION-DIANA CAICEDO-DIANA DIAZ</v>
      </c>
      <c r="F5217" s="5" t="str">
        <f>"Descripcion: PINZAS ROCHESTER CURVAS Estado: Bueno Placa anterior: 000036158 Material: ACERO INOXIDABLE Color: PLATEADO Referencia:  Observacion:     Placa padre: I0000124Tipo adquisicion: Entidad"</f>
        <v>Descripcion: PINZAS ROCHESTER CURVAS Estado: Bueno Placa anterior: 000036158 Material: ACERO INOXIDABLE Color: PLATEADO Referencia:  Observacion:     Placa padre: I0000124Tipo adquisicion: Entidad</v>
      </c>
      <c r="G5217" s="5"/>
    </row>
    <row r="5218" spans="1:7" ht="58.5" customHeight="1" x14ac:dyDescent="0.25">
      <c r="A5218" s="5" t="str">
        <f>"I0000155"</f>
        <v>I0000155</v>
      </c>
      <c r="B5218" s="5" t="str">
        <f t="shared" si="261"/>
        <v>PINZA ROCHESTER CURVA 25 CM</v>
      </c>
      <c r="C5218" s="6">
        <v>81200</v>
      </c>
      <c r="D5218" s="5"/>
      <c r="E5218" s="5" t="str">
        <f t="shared" si="262"/>
        <v>INSTRUMENTACION-DIANA CAICEDO-DIANA DIAZ</v>
      </c>
      <c r="F5218" s="5" t="str">
        <f>"Descripcion: PINZAS ROCHESTER CURVAS Estado: Bueno Placa anterior: 000036159 Material: ACERO INOXIDABLE Color: PLATEADO Referencia:  Observacion:     Placa padre: I0000124Tipo adquisicion: Entidad"</f>
        <v>Descripcion: PINZAS ROCHESTER CURVAS Estado: Bueno Placa anterior: 000036159 Material: ACERO INOXIDABLE Color: PLATEADO Referencia:  Observacion:     Placa padre: I0000124Tipo adquisicion: Entidad</v>
      </c>
      <c r="G5218" s="5"/>
    </row>
    <row r="5219" spans="1:7" ht="58.5" customHeight="1" x14ac:dyDescent="0.25">
      <c r="A5219" s="5" t="str">
        <f>"I0000156"</f>
        <v>I0000156</v>
      </c>
      <c r="B5219" s="5" t="str">
        <f t="shared" si="261"/>
        <v>PINZA ROCHESTER CURVA 25 CM</v>
      </c>
      <c r="C5219" s="6">
        <v>81200</v>
      </c>
      <c r="D5219" s="5"/>
      <c r="E5219" s="5" t="str">
        <f t="shared" si="262"/>
        <v>INSTRUMENTACION-DIANA CAICEDO-DIANA DIAZ</v>
      </c>
      <c r="F5219" s="5" t="str">
        <f>"Descripcion: PINZAS ROCHESTER CURVAS Estado: Bueno Placa anterior: 000036160 Material: ACERO INOXIDABLE Color: PLATEADO Referencia:  Observacion:     Placa padre: I0000124Tipo adquisicion: Entidad"</f>
        <v>Descripcion: PINZAS ROCHESTER CURVAS Estado: Bueno Placa anterior: 000036160 Material: ACERO INOXIDABLE Color: PLATEADO Referencia:  Observacion:     Placa padre: I0000124Tipo adquisicion: Entidad</v>
      </c>
      <c r="G5219" s="5"/>
    </row>
    <row r="5220" spans="1:7" ht="58.5" customHeight="1" x14ac:dyDescent="0.25">
      <c r="A5220" s="5" t="str">
        <f>"I0000157"</f>
        <v>I0000157</v>
      </c>
      <c r="B5220" s="5" t="str">
        <f t="shared" si="261"/>
        <v>PINZA ROCHESTER CURVA 25 CM</v>
      </c>
      <c r="C5220" s="6">
        <v>81200</v>
      </c>
      <c r="D5220" s="5"/>
      <c r="E5220" s="5" t="str">
        <f t="shared" si="262"/>
        <v>INSTRUMENTACION-DIANA CAICEDO-DIANA DIAZ</v>
      </c>
      <c r="F5220" s="5" t="str">
        <f>"Descripcion: PINZAS ROCHESTER CURVAS Estado: Bueno Placa anterior: 000036161 Material: ACERO INOXIDABLE Color: PLATEADO Referencia:  Observacion:     Placa padre: I0000124Tipo adquisicion: Entidad"</f>
        <v>Descripcion: PINZAS ROCHESTER CURVAS Estado: Bueno Placa anterior: 000036161 Material: ACERO INOXIDABLE Color: PLATEADO Referencia:  Observacion:     Placa padre: I0000124Tipo adquisicion: Entidad</v>
      </c>
      <c r="G5220" s="5"/>
    </row>
    <row r="5221" spans="1:7" ht="58.5" customHeight="1" x14ac:dyDescent="0.25">
      <c r="A5221" s="5" t="str">
        <f>"I0000158"</f>
        <v>I0000158</v>
      </c>
      <c r="B5221" s="5" t="str">
        <f>"PINZA ALLIX"</f>
        <v>PINZA ALLIX</v>
      </c>
      <c r="C5221" s="6">
        <v>98600</v>
      </c>
      <c r="D5221" s="5"/>
      <c r="E5221" s="5" t="str">
        <f t="shared" si="262"/>
        <v>INSTRUMENTACION-DIANA CAICEDO-DIANA DIAZ</v>
      </c>
      <c r="F5221" s="5" t="str">
        <f>"Descripcion: PINZAS ALLIX LARGAS (DIMEDA) Estado: Bueno Placa anterior: 000031687 Material: ACERO INOXIDABLE Color: PLATEADO Referencia:  Observacion:     Placa padre: I0000124Tipo adquisicion: Entidad"</f>
        <v>Descripcion: PINZAS ALLIX LARGAS (DIMEDA) Estado: Bueno Placa anterior: 000031687 Material: ACERO INOXIDABLE Color: PLATEADO Referencia:  Observacion:     Placa padre: I0000124Tipo adquisicion: Entidad</v>
      </c>
      <c r="G5221" s="5"/>
    </row>
    <row r="5222" spans="1:7" ht="58.5" customHeight="1" x14ac:dyDescent="0.25">
      <c r="A5222" s="5" t="str">
        <f>"I0000159"</f>
        <v>I0000159</v>
      </c>
      <c r="B5222" s="5" t="str">
        <f>"PINZA ALLIX"</f>
        <v>PINZA ALLIX</v>
      </c>
      <c r="C5222" s="6">
        <v>98600</v>
      </c>
      <c r="D5222" s="5"/>
      <c r="E5222" s="5" t="str">
        <f t="shared" si="262"/>
        <v>INSTRUMENTACION-DIANA CAICEDO-DIANA DIAZ</v>
      </c>
      <c r="F5222" s="5" t="str">
        <f>"Descripcion: PINZAS ALLIX LARGAS (DIMEDA) Estado: Bueno Placa anterior: 000031702 Material: ACERO INOXIDABLE Color: PLATEADO Referencia:  Observacion:     Placa padre: I0000124Tipo adquisicion: Entidad"</f>
        <v>Descripcion: PINZAS ALLIX LARGAS (DIMEDA) Estado: Bueno Placa anterior: 000031702 Material: ACERO INOXIDABLE Color: PLATEADO Referencia:  Observacion:     Placa padre: I0000124Tipo adquisicion: Entidad</v>
      </c>
      <c r="G5222" s="5"/>
    </row>
    <row r="5223" spans="1:7" ht="58.5" customHeight="1" x14ac:dyDescent="0.25">
      <c r="A5223" s="5" t="str">
        <f>"I0000161"</f>
        <v>I0000161</v>
      </c>
      <c r="B5223" s="5" t="str">
        <f>"PINZA ALLIX"</f>
        <v>PINZA ALLIX</v>
      </c>
      <c r="C5223" s="6">
        <v>98600</v>
      </c>
      <c r="D5223" s="5"/>
      <c r="E5223" s="5" t="str">
        <f t="shared" si="262"/>
        <v>INSTRUMENTACION-DIANA CAICEDO-DIANA DIAZ</v>
      </c>
      <c r="F5223" s="5" t="str">
        <f>"Descripcion: PINZAS ALLIX LARGAS (DIMEDA) Estado: Bueno Placa anterior: 000031682 Material: ACERO INOXIDABLE Color: PLATEADO Referencia:  Observacion:     Placa padre: I0000124Tipo adquisicion: Entidad"</f>
        <v>Descripcion: PINZAS ALLIX LARGAS (DIMEDA) Estado: Bueno Placa anterior: 000031682 Material: ACERO INOXIDABLE Color: PLATEADO Referencia:  Observacion:     Placa padre: I0000124Tipo adquisicion: Entidad</v>
      </c>
      <c r="G5223" s="5"/>
    </row>
    <row r="5224" spans="1:7" ht="58.5" customHeight="1" x14ac:dyDescent="0.25">
      <c r="A5224" s="5" t="str">
        <f>"I0000162"</f>
        <v>I0000162</v>
      </c>
      <c r="B5224" s="5" t="str">
        <f>"PINZA ALLIX"</f>
        <v>PINZA ALLIX</v>
      </c>
      <c r="C5224" s="6">
        <v>98600</v>
      </c>
      <c r="D5224" s="5"/>
      <c r="E5224" s="5" t="str">
        <f t="shared" si="262"/>
        <v>INSTRUMENTACION-DIANA CAICEDO-DIANA DIAZ</v>
      </c>
      <c r="F5224" s="5" t="str">
        <f>"Descripcion: PINZAS ALLIX LARGAS (DIMEDA) Estado: Bueno Placa anterior: 000031684 Material: ACERO INOXIDABLE Color: PLATEADO Referencia:  Observacion:     Placa padre: I0000124Tipo adquisicion: Entidad"</f>
        <v>Descripcion: PINZAS ALLIX LARGAS (DIMEDA) Estado: Bueno Placa anterior: 000031684 Material: ACERO INOXIDABLE Color: PLATEADO Referencia:  Observacion:     Placa padre: I0000124Tipo adquisicion: Entidad</v>
      </c>
      <c r="G5224" s="5"/>
    </row>
    <row r="5225" spans="1:7" ht="58.5" customHeight="1" x14ac:dyDescent="0.25">
      <c r="A5225" s="5" t="str">
        <f>"I0000163"</f>
        <v>I0000163</v>
      </c>
      <c r="B5225" s="5" t="str">
        <f>"PINZA ALLIX"</f>
        <v>PINZA ALLIX</v>
      </c>
      <c r="C5225" s="6">
        <v>98600</v>
      </c>
      <c r="D5225" s="5"/>
      <c r="E5225" s="5" t="str">
        <f t="shared" si="262"/>
        <v>INSTRUMENTACION-DIANA CAICEDO-DIANA DIAZ</v>
      </c>
      <c r="F5225" s="5" t="str">
        <f>"Descripcion: PINZAS ALLIX LARGAS (DIMEDA) Estado: Bueno Placa anterior: 000031685 Material: ACERO INOXIDABLE Color: PLATEADO Referencia:  Observacion:     Placa padre: I0000124Tipo adquisicion: Entidad"</f>
        <v>Descripcion: PINZAS ALLIX LARGAS (DIMEDA) Estado: Bueno Placa anterior: 000031685 Material: ACERO INOXIDABLE Color: PLATEADO Referencia:  Observacion:     Placa padre: I0000124Tipo adquisicion: Entidad</v>
      </c>
      <c r="G5225" s="5"/>
    </row>
    <row r="5226" spans="1:7" ht="58.5" customHeight="1" x14ac:dyDescent="0.25">
      <c r="A5226" s="5" t="str">
        <f>"I0000164"</f>
        <v>I0000164</v>
      </c>
      <c r="B5226" s="5" t="str">
        <f>"PINZA KELLY ADSON 25 CM"</f>
        <v>PINZA KELLY ADSON 25 CM</v>
      </c>
      <c r="C5226" s="6">
        <v>81200</v>
      </c>
      <c r="D5226" s="5"/>
      <c r="E5226" s="5" t="str">
        <f t="shared" si="262"/>
        <v>INSTRUMENTACION-DIANA CAICEDO-DIANA DIAZ</v>
      </c>
      <c r="F5226" s="5" t="str">
        <f>"Descripcion: PINZAS KELLY ADSON Estado: Bueno Placa anterior: 000031667 Material: ACERO INOXIDABLE Color: PLATEADO Referencia:  Observacion: PINZA ADSON HEMOSTATICA CURVA, LONGITUD 180MM(7) EN ACERO INXIDABLE Placa padre: I0000124Tipo adquisicion: Entidad"&amp; ""</f>
        <v>Descripcion: PINZAS KELLY ADSON Estado: Bueno Placa anterior: 000031667 Material: ACERO INOXIDABLE Color: PLATEADO Referencia:  Observacion: PINZA ADSON HEMOSTATICA CURVA, LONGITUD 180MM(7) EN ACERO INXIDABLE Placa padre: I0000124Tipo adquisicion: Entidad</v>
      </c>
      <c r="G5226" s="5"/>
    </row>
    <row r="5227" spans="1:7" ht="58.5" customHeight="1" x14ac:dyDescent="0.25">
      <c r="A5227" s="5" t="str">
        <f>"I0000165"</f>
        <v>I0000165</v>
      </c>
      <c r="B5227" s="5" t="str">
        <f>"PINZA KELLY ADSON 25 CM"</f>
        <v>PINZA KELLY ADSON 25 CM</v>
      </c>
      <c r="C5227" s="6">
        <v>81200</v>
      </c>
      <c r="D5227" s="5"/>
      <c r="E5227" s="5" t="str">
        <f t="shared" si="262"/>
        <v>INSTRUMENTACION-DIANA CAICEDO-DIANA DIAZ</v>
      </c>
      <c r="F5227" s="5" t="str">
        <f>"Descripcion: PINZAS KELLY ADSON Estado: Bueno Placa anterior: 000031665 Material: ACERO INOXIDABLE Color: PLATEADO Referencia:  Observacion: PINZA ADSON HEMOSTATICA CURVA, LONGITUD 180MM(7) EN ACERO INXIDABLE Placa padre: I0000124Tipo adquisicion: Entidad"&amp; ""</f>
        <v>Descripcion: PINZAS KELLY ADSON Estado: Bueno Placa anterior: 000031665 Material: ACERO INOXIDABLE Color: PLATEADO Referencia:  Observacion: PINZA ADSON HEMOSTATICA CURVA, LONGITUD 180MM(7) EN ACERO INXIDABLE Placa padre: I0000124Tipo adquisicion: Entidad</v>
      </c>
      <c r="G5227" s="5"/>
    </row>
    <row r="5228" spans="1:7" ht="58.5" customHeight="1" x14ac:dyDescent="0.25">
      <c r="A5228" s="5" t="str">
        <f>"I0000169"</f>
        <v>I0000169</v>
      </c>
      <c r="B5228" s="5" t="str">
        <f>"PINZA BABCOCK LARGAS 25 CM"</f>
        <v>PINZA BABCOCK LARGAS 25 CM</v>
      </c>
      <c r="C5228" s="6">
        <v>88289</v>
      </c>
      <c r="D5228" s="5"/>
      <c r="E5228" s="5" t="str">
        <f t="shared" si="262"/>
        <v>INSTRUMENTACION-DIANA CAICEDO-DIANA DIAZ</v>
      </c>
      <c r="F5228" s="5" t="str">
        <f>"Descripcion: PINZAS BABCOCK Estado: Bueno Placa anterior: 000023767 Material: ACERO INOXIDABLE Color: PLATEADO Referencia:  Observacion: PINZA BAVCOCK INTESTINAL DE 18 cm. Placa padre: I0000124Tipo adquisicion: Entidad"</f>
        <v>Descripcion: PINZAS BABCOCK Estado: Bueno Placa anterior: 000023767 Material: ACERO INOXIDABLE Color: PLATEADO Referencia:  Observacion: PINZA BAVCOCK INTESTINAL DE 18 cm. Placa padre: I0000124Tipo adquisicion: Entidad</v>
      </c>
      <c r="G5228" s="5"/>
    </row>
    <row r="5229" spans="1:7" ht="58.5" customHeight="1" x14ac:dyDescent="0.25">
      <c r="A5229" s="5" t="str">
        <f>"I0000171"</f>
        <v>I0000171</v>
      </c>
      <c r="B5229" s="5" t="str">
        <f>"PORTAGUJAS (PINZA)"</f>
        <v>PORTAGUJAS (PINZA)</v>
      </c>
      <c r="C5229" s="6">
        <v>68440</v>
      </c>
      <c r="D5229" s="5"/>
      <c r="E5229" s="5" t="str">
        <f t="shared" si="262"/>
        <v>INSTRUMENTACION-DIANA CAICEDO-DIANA DIAZ</v>
      </c>
      <c r="F5229" s="5" t="str">
        <f>"Descripcion: PORTA AGUJAS MEDIANO(DIMEDA Estado: Bueno Placa anterior: 000032400 Material: ACERO INOXIDABLE Color: PLATEADO Referencia:  Observacion:     Placa padre: I0000124Tipo adquisicion: Entidad"</f>
        <v>Descripcion: PORTA AGUJAS MEDIANO(DIMEDA Estado: Bueno Placa anterior: 000032400 Material: ACERO INOXIDABLE Color: PLATEADO Referencia:  Observacion:     Placa padre: I0000124Tipo adquisicion: Entidad</v>
      </c>
      <c r="G5229" s="5"/>
    </row>
    <row r="5230" spans="1:7" ht="58.5" customHeight="1" x14ac:dyDescent="0.25">
      <c r="A5230" s="5" t="str">
        <f>"I0000172"</f>
        <v>I0000172</v>
      </c>
      <c r="B5230" s="5" t="str">
        <f>"PORTAGUJAS (PINZA)"</f>
        <v>PORTAGUJAS (PINZA)</v>
      </c>
      <c r="C5230" s="6">
        <v>68440</v>
      </c>
      <c r="D5230" s="5"/>
      <c r="E5230" s="5" t="str">
        <f t="shared" si="262"/>
        <v>INSTRUMENTACION-DIANA CAICEDO-DIANA DIAZ</v>
      </c>
      <c r="F5230" s="5" t="str">
        <f>"Descripcion: PORTA AGUJAS MEDIANO(DIMEDA Estado: Bueno Placa anterior: 000032401 Material: ACERO INOXIDABLE Color: PLATEADO Referencia:  Observacion:     Placa padre: I0000124Tipo adquisicion: Entidad"</f>
        <v>Descripcion: PORTA AGUJAS MEDIANO(DIMEDA Estado: Bueno Placa anterior: 000032401 Material: ACERO INOXIDABLE Color: PLATEADO Referencia:  Observacion:     Placa padre: I0000124Tipo adquisicion: Entidad</v>
      </c>
      <c r="G5230" s="5"/>
    </row>
    <row r="5231" spans="1:7" ht="58.5" customHeight="1" x14ac:dyDescent="0.25">
      <c r="A5231" s="5" t="str">
        <f>"I0000174"</f>
        <v>I0000174</v>
      </c>
      <c r="B5231" s="5" t="str">
        <f>"PINZA MIXTER"</f>
        <v>PINZA MIXTER</v>
      </c>
      <c r="C5231" s="6">
        <v>8500</v>
      </c>
      <c r="D5231" s="5"/>
      <c r="E5231" s="5" t="str">
        <f t="shared" si="262"/>
        <v>INSTRUMENTACION-DIANA CAICEDO-DIANA DIAZ</v>
      </c>
      <c r="F5231" s="5" t="str">
        <f>"Descripcion: PINZA MIXTER Estado: Bueno Placa anterior: 000016036 Material: ACERO INOXIDABLE Color: PLATEADO Referencia:  Observacion:     Placa padre: I0000124Tipo adquisicion: Entidad"</f>
        <v>Descripcion: PINZA MIXTER Estado: Bueno Placa anterior: 000016036 Material: ACERO INOXIDABLE Color: PLATEADO Referencia:  Observacion:     Placa padre: I0000124Tipo adquisicion: Entidad</v>
      </c>
      <c r="G5231" s="5"/>
    </row>
    <row r="5232" spans="1:7" ht="58.5" customHeight="1" x14ac:dyDescent="0.25">
      <c r="A5232" s="5" t="str">
        <f>"I0000176"</f>
        <v>I0000176</v>
      </c>
      <c r="B5232" s="5" t="str">
        <f t="shared" ref="B5232:B5237" si="263">"PINZA DE CAMPO"</f>
        <v>PINZA DE CAMPO</v>
      </c>
      <c r="C5232" s="6">
        <v>39440</v>
      </c>
      <c r="D5232" s="5"/>
      <c r="E5232" s="5" t="str">
        <f t="shared" si="262"/>
        <v>INSTRUMENTACION-DIANA CAICEDO-DIANA DIAZ</v>
      </c>
      <c r="F5232" s="5" t="str">
        <f>"Descripcion: PINZAS DE CAMPO (DIMEDA) Estado: Bueno Placa anterior: 000031741 Material: ACERO INOXIDABLE Color: PLATEADO Referencia:  Observacion:     Placa padre: I0000124Tipo adquisicion: Entidad"</f>
        <v>Descripcion: PINZAS DE CAMPO (DIMEDA) Estado: Bueno Placa anterior: 000031741 Material: ACERO INOXIDABLE Color: PLATEADO Referencia:  Observacion:     Placa padre: I0000124Tipo adquisicion: Entidad</v>
      </c>
      <c r="G5232" s="5"/>
    </row>
    <row r="5233" spans="1:7" ht="58.5" customHeight="1" x14ac:dyDescent="0.25">
      <c r="A5233" s="5" t="str">
        <f>"I0000177"</f>
        <v>I0000177</v>
      </c>
      <c r="B5233" s="5" t="str">
        <f t="shared" si="263"/>
        <v>PINZA DE CAMPO</v>
      </c>
      <c r="C5233" s="6">
        <v>39440</v>
      </c>
      <c r="D5233" s="5"/>
      <c r="E5233" s="5" t="str">
        <f t="shared" si="262"/>
        <v>INSTRUMENTACION-DIANA CAICEDO-DIANA DIAZ</v>
      </c>
      <c r="F5233" s="5" t="str">
        <f>"Descripcion: PINZAS DE CAMPO (DIMEDA) Estado: Bueno Placa anterior: 000031742 Material: ACERO INOXIDABLE Color: PLATEADO Referencia:  Observacion:     Placa padre: I0000124Tipo adquisicion: Entidad"</f>
        <v>Descripcion: PINZAS DE CAMPO (DIMEDA) Estado: Bueno Placa anterior: 000031742 Material: ACERO INOXIDABLE Color: PLATEADO Referencia:  Observacion:     Placa padre: I0000124Tipo adquisicion: Entidad</v>
      </c>
      <c r="G5233" s="5"/>
    </row>
    <row r="5234" spans="1:7" ht="58.5" customHeight="1" x14ac:dyDescent="0.25">
      <c r="A5234" s="5" t="str">
        <f>"I0000178"</f>
        <v>I0000178</v>
      </c>
      <c r="B5234" s="5" t="str">
        <f t="shared" si="263"/>
        <v>PINZA DE CAMPO</v>
      </c>
      <c r="C5234" s="6">
        <v>39440</v>
      </c>
      <c r="D5234" s="5"/>
      <c r="E5234" s="5" t="str">
        <f t="shared" si="262"/>
        <v>INSTRUMENTACION-DIANA CAICEDO-DIANA DIAZ</v>
      </c>
      <c r="F5234" s="5" t="str">
        <f>"Descripcion: PINZAS DE CAMPO (DIMEDA) Estado: Bueno Placa anterior: 000031743 Material: ACERO INOXIDABLE Color: PLATEADO Referencia:  Observacion:     Placa padre: I0000124Tipo adquisicion: Entidad"</f>
        <v>Descripcion: PINZAS DE CAMPO (DIMEDA) Estado: Bueno Placa anterior: 000031743 Material: ACERO INOXIDABLE Color: PLATEADO Referencia:  Observacion:     Placa padre: I0000124Tipo adquisicion: Entidad</v>
      </c>
      <c r="G5234" s="5"/>
    </row>
    <row r="5235" spans="1:7" ht="58.5" customHeight="1" x14ac:dyDescent="0.25">
      <c r="A5235" s="5" t="str">
        <f>"I0000179"</f>
        <v>I0000179</v>
      </c>
      <c r="B5235" s="5" t="str">
        <f t="shared" si="263"/>
        <v>PINZA DE CAMPO</v>
      </c>
      <c r="C5235" s="6">
        <v>39440</v>
      </c>
      <c r="D5235" s="5"/>
      <c r="E5235" s="5" t="str">
        <f t="shared" si="262"/>
        <v>INSTRUMENTACION-DIANA CAICEDO-DIANA DIAZ</v>
      </c>
      <c r="F5235" s="5" t="str">
        <f>"Descripcion: PINZAS DE CAMPO (DIMEDA) Estado: Bueno Placa anterior: 000031744 Material: ACERO INOXIDABLE Color: PLATEADO Referencia:  Observacion:     Placa padre: I0000124Tipo adquisicion: Entidad"</f>
        <v>Descripcion: PINZAS DE CAMPO (DIMEDA) Estado: Bueno Placa anterior: 000031744 Material: ACERO INOXIDABLE Color: PLATEADO Referencia:  Observacion:     Placa padre: I0000124Tipo adquisicion: Entidad</v>
      </c>
      <c r="G5235" s="5"/>
    </row>
    <row r="5236" spans="1:7" ht="58.5" customHeight="1" x14ac:dyDescent="0.25">
      <c r="A5236" s="5" t="str">
        <f>"I0000180"</f>
        <v>I0000180</v>
      </c>
      <c r="B5236" s="5" t="str">
        <f t="shared" si="263"/>
        <v>PINZA DE CAMPO</v>
      </c>
      <c r="C5236" s="6">
        <v>39440</v>
      </c>
      <c r="D5236" s="5"/>
      <c r="E5236" s="5" t="str">
        <f t="shared" si="262"/>
        <v>INSTRUMENTACION-DIANA CAICEDO-DIANA DIAZ</v>
      </c>
      <c r="F5236" s="5" t="str">
        <f>"Descripcion: PINZAS DE CAMPO (DIMEDA) Estado: Bueno Placa anterior: 000031745 Material: ACERO INOXIDABLE Color: PLATEADO Referencia:  Observacion:     Placa padre: I0000124Tipo adquisicion: Entidad"</f>
        <v>Descripcion: PINZAS DE CAMPO (DIMEDA) Estado: Bueno Placa anterior: 000031745 Material: ACERO INOXIDABLE Color: PLATEADO Referencia:  Observacion:     Placa padre: I0000124Tipo adquisicion: Entidad</v>
      </c>
      <c r="G5236" s="5"/>
    </row>
    <row r="5237" spans="1:7" ht="58.5" customHeight="1" x14ac:dyDescent="0.25">
      <c r="A5237" s="5" t="str">
        <f>"I0000181"</f>
        <v>I0000181</v>
      </c>
      <c r="B5237" s="5" t="str">
        <f t="shared" si="263"/>
        <v>PINZA DE CAMPO</v>
      </c>
      <c r="C5237" s="6">
        <v>39440</v>
      </c>
      <c r="D5237" s="5"/>
      <c r="E5237" s="5" t="str">
        <f t="shared" si="262"/>
        <v>INSTRUMENTACION-DIANA CAICEDO-DIANA DIAZ</v>
      </c>
      <c r="F5237" s="5" t="str">
        <f>"Descripcion: PINZAS DE CAMPO (DIMEDA) Estado: Bueno Placa anterior: 000031746 Material: ACERO INOXIDABLE Color: PLATEADO Referencia:  Observacion:     Placa padre: I0000124Tipo adquisicion: Entidad"</f>
        <v>Descripcion: PINZAS DE CAMPO (DIMEDA) Estado: Bueno Placa anterior: 000031746 Material: ACERO INOXIDABLE Color: PLATEADO Referencia:  Observacion:     Placa padre: I0000124Tipo adquisicion: Entidad</v>
      </c>
      <c r="G5237" s="5"/>
    </row>
    <row r="5238" spans="1:7" ht="58.5" customHeight="1" x14ac:dyDescent="0.25">
      <c r="A5238" s="5" t="str">
        <f>"I0000182"</f>
        <v>I0000182</v>
      </c>
      <c r="B5238" s="5" t="str">
        <f>"CANULA DE YANKAUER"</f>
        <v>CANULA DE YANKAUER</v>
      </c>
      <c r="C5238" s="6">
        <v>92800</v>
      </c>
      <c r="D5238" s="5"/>
      <c r="E5238" s="5" t="str">
        <f t="shared" si="262"/>
        <v>INSTRUMENTACION-DIANA CAICEDO-DIANA DIAZ</v>
      </c>
      <c r="F5238" s="5" t="str">
        <f>"Descripcion: CANULA DE SUCCION DE YANKAWER (DIMEDA) Estado: Bueno Placa anterior: 000031635 Material: ACERO INOXIDABLE Color: PLATEADO Referencia:  Observacion:     Placa padre: I0000124Tipo adquisicion: Entidad"</f>
        <v>Descripcion: CANULA DE SUCCION DE YANKAWER (DIMEDA) Estado: Bueno Placa anterior: 000031635 Material: ACERO INOXIDABLE Color: PLATEADO Referencia:  Observacion:     Placa padre: I0000124Tipo adquisicion: Entidad</v>
      </c>
      <c r="G5238" s="5"/>
    </row>
    <row r="5239" spans="1:7" ht="58.5" customHeight="1" x14ac:dyDescent="0.25">
      <c r="A5239" s="5" t="str">
        <f>"I0000183"</f>
        <v>I0000183</v>
      </c>
      <c r="B5239" s="5" t="str">
        <f>"PLATON NIQUELADO – INOXIDABLE"</f>
        <v>PLATON NIQUELADO – INOXIDABLE</v>
      </c>
      <c r="C5239" s="6">
        <v>7638.4</v>
      </c>
      <c r="D5239" s="5"/>
      <c r="E5239" s="5" t="str">
        <f t="shared" si="262"/>
        <v>INSTRUMENTACION-DIANA CAICEDO-DIANA DIAZ</v>
      </c>
      <c r="F5239" s="5" t="str">
        <f>"Descripcion: PLATON NIQUELADO Estado: Bueno Placa anterior: 000019555 Material: ACERO INOXIDABLE Color: PLATEADO Referencia:  Observacion:     Placa padre: I0000124Tipo adquisicion: Entidad"</f>
        <v>Descripcion: PLATON NIQUELADO Estado: Bueno Placa anterior: 000019555 Material: ACERO INOXIDABLE Color: PLATEADO Referencia:  Observacion:     Placa padre: I0000124Tipo adquisicion: Entidad</v>
      </c>
      <c r="G5239" s="5"/>
    </row>
    <row r="5240" spans="1:7" ht="58.5" customHeight="1" x14ac:dyDescent="0.25">
      <c r="A5240" s="5" t="str">
        <f>"I0000184"</f>
        <v>I0000184</v>
      </c>
      <c r="B5240" s="5" t="str">
        <f>"CUBETA DE ACERO INOXIDABLE GRANDE"</f>
        <v>CUBETA DE ACERO INOXIDABLE GRANDE</v>
      </c>
      <c r="C5240" s="6">
        <v>5421.11</v>
      </c>
      <c r="D5240" s="5"/>
      <c r="E5240" s="5" t="str">
        <f t="shared" si="262"/>
        <v>INSTRUMENTACION-DIANA CAICEDO-DIANA DIAZ</v>
      </c>
      <c r="F5240" s="5" t="str">
        <f>"Descripcion: CUBETA DE INSTRUMENTAL NIQUELADA Estado: Bueno Placa anterior: 000019528 Material: ACERO INOXIDABLE Color: PLATEADO Referencia:  Observacion:     Placa padre: I0000124Tipo adquisicion: Entidad"</f>
        <v>Descripcion: CUBETA DE INSTRUMENTAL NIQUELADA Estado: Bueno Placa anterior: 000019528 Material: ACERO INOXIDABLE Color: PLATEADO Referencia:  Observacion:     Placa padre: I0000124Tipo adquisicion: Entidad</v>
      </c>
      <c r="G5240" s="5"/>
    </row>
    <row r="5241" spans="1:7" ht="58.5" customHeight="1" x14ac:dyDescent="0.25">
      <c r="A5241" s="5" t="str">
        <f>"I0000185"</f>
        <v>I0000185</v>
      </c>
      <c r="B5241" s="5" t="str">
        <f>"EQUIPO DE LAPAROTOMIA"</f>
        <v>EQUIPO DE LAPAROTOMIA</v>
      </c>
      <c r="C5241" s="6">
        <v>1783889.6</v>
      </c>
      <c r="D5241" s="5"/>
      <c r="E5241" s="5" t="str">
        <f t="shared" si="262"/>
        <v>INSTRUMENTACION-DIANA CAICEDO-DIANA DIAZ</v>
      </c>
      <c r="F5241" s="5" t="str">
        <f>"Descripcion: EQUIPO DE LAPAROTOMIA #4 QUE CONSTA DE:  (0)MANGO DE BISTURI  #4  (1) MANGO DE BISTURI  #7  (2) SEPARADORES DE FARA BEUF  (1) SEPARADOR DE DEAVERS ANGOSTO  (1) TIJERA DE MAYO LARGA  (1) TIJERA DE METZEMBAUM LARGA  (1) PINZA DE DISECCION SIN G"&amp; "ARRA CORTA  (1) PINZA DE DISECCION SIN GARRA MEDIANA  (1) PINZA DE DISECCION SIN GARRA LARGA  (1) PINZA DE DISECCION CON GARRA PEQUEÑA  (1) PINZA DE DISECCION CON GARRA MEDIANA  (1) PINZA DISECCION RUSA  (8) PINZAS  KELLY CURVAS  (2) PINZAS  KELLY RECTAS "&amp; "  (8) PINZAS  ROCHESTER CURVAS   (6) PINZAS  ALLIX LARGAS (DIMEDA)  (2)  PINZAS KELLY ADSON  (2)  PINZAS DE CISTICO  (2)  PINZAS BABCOCK  (1) PORTA AGUJAS LARGO (DIMEDA)  (2) PORTA AGUJAS MEDIANO (DIMEDA)  (1) PINZA FOSTER  (1) PINZA MIXTER  (1)  PINZA DU"&amp; "VAL  (6) PINZAS DE CAMPO (DIMEDA)  (1) CANULA DE SUCCION DE YANKAWER (DIMEDA)  (1) PLATON NIQUELADO  (1) CUBETA DE INSTRUMENTAL NIQUELADA   Estado: Bueno Placa anterior:  Material: ACERO INOXIDABLE Color: PLATEADO Referencia:  Observacion:     Placa padre"&amp; ": Tipo adquisicion: Entidad"</f>
        <v>Descripcion: EQUIPO DE LAPAROTOMIA #4 QUE CONSTA DE:  (0)MANGO DE BISTURI  #4  (1) MANGO DE BISTURI  #7  (2) SEPARADORES DE FARA BEUF  (1) SEPARADOR DE DEAVERS ANGOSTO  (1) TIJERA DE MAYO LARGA  (1) TIJERA DE METZEMBAUM LARGA  (1) PINZA DE DISECCION SIN GARRA CORTA  (1) PINZA DE DISECCION SIN GARRA MEDIANA  (1) PINZA DE DISECCION SIN GARRA LARGA  (1) PINZA DE DISECCION CON GARRA PEQUEÑA  (1) PINZA DE DISECCION CON GARRA MEDIANA  (1) PINZA DISECCION RUSA  (8) PINZAS  KELLY CURVAS  (2) PINZAS  KELLY RECTAS   (8) PINZAS  ROCHESTER CURVAS   (6) PINZAS  ALLIX LARGAS (DIMEDA)  (2)  PINZAS KELLY ADSON  (2)  PINZAS DE CISTICO  (2)  PINZAS BABCOCK  (1) PORTA AGUJAS LARGO (DIMEDA)  (2) PORTA AGUJAS MEDIANO (DIMEDA)  (1) PINZA FOSTER  (1) PINZA MIXTER  (1)  PINZA DUVAL  (6) PINZAS DE CAMPO (DIMEDA)  (1) CANULA DE SUCCION DE YANKAWER (DIMEDA)  (1) PLATON NIQUELADO  (1) CUBETA DE INSTRUMENTAL NIQUELADA   Estado: Bueno Placa anterior:  Material: ACERO INOXIDABLE Color: PLATEADO Referencia:  Observacion:     Placa padre: Tipo adquisicion: Entidad</v>
      </c>
      <c r="G5241" s="5"/>
    </row>
    <row r="5242" spans="1:7" ht="58.5" customHeight="1" x14ac:dyDescent="0.25">
      <c r="A5242" s="5" t="str">
        <f>"I0000186"</f>
        <v>I0000186</v>
      </c>
      <c r="B5242" s="5" t="str">
        <f>"MANGO PARA BISTURI #4"</f>
        <v>MANGO PARA BISTURI #4</v>
      </c>
      <c r="C5242" s="6">
        <v>15080</v>
      </c>
      <c r="D5242" s="5"/>
      <c r="E5242" s="5" t="str">
        <f t="shared" si="262"/>
        <v>INSTRUMENTACION-DIANA CAICEDO-DIANA DIAZ</v>
      </c>
      <c r="F5242" s="5" t="str">
        <f>"Descripcion: MANGO DE BISTURI  #4 Estado: Bueno Placa anterior: 000031868 Material: ACERO INOXIDABLE Color: PLATEADO Referencia:  Observacion:     Placa padre: I0000185Tipo adquisicion: Entidad"</f>
        <v>Descripcion: MANGO DE BISTURI  #4 Estado: Bueno Placa anterior: 000031868 Material: ACERO INOXIDABLE Color: PLATEADO Referencia:  Observacion:     Placa padre: I0000185Tipo adquisicion: Entidad</v>
      </c>
      <c r="G5242" s="5"/>
    </row>
    <row r="5243" spans="1:7" ht="58.5" customHeight="1" x14ac:dyDescent="0.25">
      <c r="A5243" s="5" t="str">
        <f>"I0000188"</f>
        <v>I0000188</v>
      </c>
      <c r="B5243" s="5" t="str">
        <f>"SEPARADOR DE ABDOMEN (FARABEUF)"</f>
        <v>SEPARADOR DE ABDOMEN (FARABEUF)</v>
      </c>
      <c r="C5243" s="6">
        <v>46400</v>
      </c>
      <c r="D5243" s="5"/>
      <c r="E5243" s="5" t="str">
        <f t="shared" si="262"/>
        <v>INSTRUMENTACION-DIANA CAICEDO-DIANA DIAZ</v>
      </c>
      <c r="F5243" s="5" t="str">
        <f>"Descripcion: SEPARADOR DE FARA BEUF Estado: Bueno Placa anterior: 000032502 Material: ACERO INOXIDABLE Color: PLATEADO Referencia:  Observacion:     Placa padre: I0000185Tipo adquisicion: Entidad"</f>
        <v>Descripcion: SEPARADOR DE FARA BEUF Estado: Bueno Placa anterior: 000032502 Material: ACERO INOXIDABLE Color: PLATEADO Referencia:  Observacion:     Placa padre: I0000185Tipo adquisicion: Entidad</v>
      </c>
      <c r="G5243" s="5"/>
    </row>
    <row r="5244" spans="1:7" ht="58.5" customHeight="1" x14ac:dyDescent="0.25">
      <c r="A5244" s="5" t="str">
        <f>"I0000189"</f>
        <v>I0000189</v>
      </c>
      <c r="B5244" s="5" t="str">
        <f>"SEPARADOR DE ABDOMEN (FARABEUF)"</f>
        <v>SEPARADOR DE ABDOMEN (FARABEUF)</v>
      </c>
      <c r="C5244" s="6">
        <v>46400</v>
      </c>
      <c r="D5244" s="5"/>
      <c r="E5244" s="5" t="str">
        <f t="shared" si="262"/>
        <v>INSTRUMENTACION-DIANA CAICEDO-DIANA DIAZ</v>
      </c>
      <c r="F5244" s="5" t="str">
        <f>"Descripcion: SEPARADOR DE FARA BEUF Estado: Bueno Placa anterior: 000032503 Material: ACERO INOXIDABLE Color: PLATEADO Referencia:  Observacion:     Placa padre: I0000185Tipo adquisicion: Entidad"</f>
        <v>Descripcion: SEPARADOR DE FARA BEUF Estado: Bueno Placa anterior: 000032503 Material: ACERO INOXIDABLE Color: PLATEADO Referencia:  Observacion:     Placa padre: I0000185Tipo adquisicion: Entidad</v>
      </c>
      <c r="G5244" s="5"/>
    </row>
    <row r="5245" spans="1:7" ht="58.5" customHeight="1" x14ac:dyDescent="0.25">
      <c r="A5245" s="5" t="str">
        <f>"I0000191"</f>
        <v>I0000191</v>
      </c>
      <c r="B5245" s="5" t="str">
        <f>"TIJERA DE MAYO LARGA 25 CM"</f>
        <v>TIJERA DE MAYO LARGA 25 CM</v>
      </c>
      <c r="C5245" s="6">
        <v>56840</v>
      </c>
      <c r="D5245" s="5"/>
      <c r="E5245" s="5" t="str">
        <f t="shared" si="262"/>
        <v>INSTRUMENTACION-DIANA CAICEDO-DIANA DIAZ</v>
      </c>
      <c r="F5245" s="5" t="str">
        <f>"Descripcion: TIJERA DE MAYO LARGA Estado: Bueno Placa anterior: 000032065 Material: ACERO INOXIDABLE Color: PLATEADO Referencia:  Observacion:     Placa padre: I0000185Tipo adquisicion: Entidad"</f>
        <v>Descripcion: TIJERA DE MAYO LARGA Estado: Bueno Placa anterior: 000032065 Material: ACERO INOXIDABLE Color: PLATEADO Referencia:  Observacion:     Placa padre: I0000185Tipo adquisicion: Entidad</v>
      </c>
      <c r="G5245" s="5"/>
    </row>
    <row r="5246" spans="1:7" ht="58.5" customHeight="1" x14ac:dyDescent="0.25">
      <c r="A5246" s="5" t="str">
        <f>"I0000192"</f>
        <v>I0000192</v>
      </c>
      <c r="B5246" s="5" t="str">
        <f>"TIJERA DE METZEMBAUM"</f>
        <v>TIJERA DE METZEMBAUM</v>
      </c>
      <c r="C5246" s="6">
        <v>63800</v>
      </c>
      <c r="D5246" s="5"/>
      <c r="E5246" s="5" t="str">
        <f t="shared" si="262"/>
        <v>INSTRUMENTACION-DIANA CAICEDO-DIANA DIAZ</v>
      </c>
      <c r="F5246" s="5" t="str">
        <f>"Descripcion: TIJERA DE METZEMBAUM LARGA Estado: Bueno Placa anterior: 000032075 Material: ACERO INOXIDABLE Color: PLATEADO Referencia:  Observacion:     Placa padre: I0000185Tipo adquisicion: Entidad"</f>
        <v>Descripcion: TIJERA DE METZEMBAUM LARGA Estado: Bueno Placa anterior: 000032075 Material: ACERO INOXIDABLE Color: PLATEADO Referencia:  Observacion:     Placa padre: I0000185Tipo adquisicion: Entidad</v>
      </c>
      <c r="G5246" s="5"/>
    </row>
    <row r="5247" spans="1:7" ht="58.5" customHeight="1" x14ac:dyDescent="0.25">
      <c r="A5247" s="5" t="str">
        <f>"I0000193"</f>
        <v>I0000193</v>
      </c>
      <c r="B5247" s="5" t="str">
        <f>"PINZA DE DISECCION SIN GARRA LARGA 25 CM"</f>
        <v>PINZA DE DISECCION SIN GARRA LARGA 25 CM</v>
      </c>
      <c r="C5247" s="6">
        <v>15146</v>
      </c>
      <c r="D5247" s="5"/>
      <c r="E5247" s="5" t="str">
        <f t="shared" si="262"/>
        <v>INSTRUMENTACION-DIANA CAICEDO-DIANA DIAZ</v>
      </c>
      <c r="F5247" s="5" t="str">
        <f>"Descripcion: PINZA DE DISECCION SIN GARRA CORTA Estado: Bueno Placa anterior: 000024540 Material: ACERO INOXIDABLE Color: PLATEADO Referencia:  Observacion:     Placa padre: I0000185Tipo adquisicion: Entidad"</f>
        <v>Descripcion: PINZA DE DISECCION SIN GARRA CORTA Estado: Bueno Placa anterior: 000024540 Material: ACERO INOXIDABLE Color: PLATEADO Referencia:  Observacion:     Placa padre: I0000185Tipo adquisicion: Entidad</v>
      </c>
      <c r="G5247" s="5"/>
    </row>
    <row r="5248" spans="1:7" ht="58.5" customHeight="1" x14ac:dyDescent="0.25">
      <c r="A5248" s="5" t="str">
        <f>"I0000196"</f>
        <v>I0000196</v>
      </c>
      <c r="B5248" s="5" t="str">
        <f>"PINZA DE DISECCION CON GARRA MEDIANA 25 CM"</f>
        <v>PINZA DE DISECCION CON GARRA MEDIANA 25 CM</v>
      </c>
      <c r="C5248" s="6">
        <v>39440</v>
      </c>
      <c r="D5248" s="5"/>
      <c r="E5248" s="5" t="str">
        <f t="shared" si="262"/>
        <v>INSTRUMENTACION-DIANA CAICEDO-DIANA DIAZ</v>
      </c>
      <c r="F5248" s="5" t="str">
        <f>"Descripcion: PINZA DE DISECCION CON GARRA PEQUEÑA Estado: Bueno Placa anterior: 000031960 Material: ACERO INOXIDABLE Color: PLATEADO Referencia:  Observacion:     Placa padre: I0000185Tipo adquisicion: Entidad"</f>
        <v>Descripcion: PINZA DE DISECCION CON GARRA PEQUEÑA Estado: Bueno Placa anterior: 000031960 Material: ACERO INOXIDABLE Color: PLATEADO Referencia:  Observacion:     Placa padre: I0000185Tipo adquisicion: Entidad</v>
      </c>
      <c r="G5248" s="5"/>
    </row>
    <row r="5249" spans="1:7" ht="58.5" customHeight="1" x14ac:dyDescent="0.25">
      <c r="A5249" s="5" t="str">
        <f>"I0000197"</f>
        <v>I0000197</v>
      </c>
      <c r="B5249" s="5" t="str">
        <f>"PINZA DE DISECCION CON GARRA MEDIANA 25 CM"</f>
        <v>PINZA DE DISECCION CON GARRA MEDIANA 25 CM</v>
      </c>
      <c r="C5249" s="6">
        <v>18560</v>
      </c>
      <c r="D5249" s="5"/>
      <c r="E5249" s="5" t="str">
        <f t="shared" si="262"/>
        <v>INSTRUMENTACION-DIANA CAICEDO-DIANA DIAZ</v>
      </c>
      <c r="F5249" s="5" t="str">
        <f>"Descripcion: PINZA DE DISECCION CON GARRA MEDIANA Estado: Bueno Placa anterior: 000032267 Material: ACERO INOXIDABLE Color: PLATEADO Referencia:  Observacion:     Placa padre: I0000185Tipo adquisicion: Entidad"</f>
        <v>Descripcion: PINZA DE DISECCION CON GARRA MEDIANA Estado: Bueno Placa anterior: 000032267 Material: ACERO INOXIDABLE Color: PLATEADO Referencia:  Observacion:     Placa padre: I0000185Tipo adquisicion: Entidad</v>
      </c>
      <c r="G5249" s="5"/>
    </row>
    <row r="5250" spans="1:7" ht="58.5" customHeight="1" x14ac:dyDescent="0.25">
      <c r="A5250" s="5" t="str">
        <f>"I0000198"</f>
        <v>I0000198</v>
      </c>
      <c r="B5250" s="5" t="str">
        <f>"PINZA DE DISECCION SIN GARRA CORTA 20 CM"</f>
        <v>PINZA DE DISECCION SIN GARRA CORTA 20 CM</v>
      </c>
      <c r="C5250" s="6">
        <v>36972.160000000003</v>
      </c>
      <c r="D5250" s="5"/>
      <c r="E5250" s="5" t="str">
        <f t="shared" si="262"/>
        <v>INSTRUMENTACION-DIANA CAICEDO-DIANA DIAZ</v>
      </c>
      <c r="F5250" s="5" t="str">
        <f>"Descripcion: PINZA DISECCION RUSA Estado: Bueno Placa anterior: 000012892 Material: ACERO INOXIDABLE Color: PLATEADO Referencia:  Observacion:     Placa padre: I0000185Tipo adquisicion: Entidad"</f>
        <v>Descripcion: PINZA DISECCION RUSA Estado: Bueno Placa anterior: 000012892 Material: ACERO INOXIDABLE Color: PLATEADO Referencia:  Observacion:     Placa padre: I0000185Tipo adquisicion: Entidad</v>
      </c>
      <c r="G5250" s="5"/>
    </row>
    <row r="5251" spans="1:7" ht="58.5" customHeight="1" x14ac:dyDescent="0.25">
      <c r="A5251" s="5" t="str">
        <f>"I0000199"</f>
        <v>I0000199</v>
      </c>
      <c r="B5251" s="5" t="str">
        <f t="shared" ref="B5251:B5260" si="264">"PINZA KELLY CURVA 16 CM"</f>
        <v>PINZA KELLY CURVA 16 CM</v>
      </c>
      <c r="C5251" s="6">
        <v>52200</v>
      </c>
      <c r="D5251" s="5"/>
      <c r="E5251" s="5" t="str">
        <f t="shared" si="262"/>
        <v>INSTRUMENTACION-DIANA CAICEDO-DIANA DIAZ</v>
      </c>
      <c r="F5251" s="5" t="str">
        <f>"Descripcion: PINZAS  KELLY CURVAS Estado: Bueno Placa anterior: 000036060 Material: ACERO INOXIDABLE Color: PLATEADO Referencia:  Observacion:     Placa padre: I0000185Tipo adquisicion: Entidad"</f>
        <v>Descripcion: PINZAS  KELLY CURVAS Estado: Bueno Placa anterior: 000036060 Material: ACERO INOXIDABLE Color: PLATEADO Referencia:  Observacion:     Placa padre: I0000185Tipo adquisicion: Entidad</v>
      </c>
      <c r="G5251" s="5"/>
    </row>
    <row r="5252" spans="1:7" ht="58.5" customHeight="1" x14ac:dyDescent="0.25">
      <c r="A5252" s="5" t="str">
        <f>"I0000200"</f>
        <v>I0000200</v>
      </c>
      <c r="B5252" s="5" t="str">
        <f t="shared" si="264"/>
        <v>PINZA KELLY CURVA 16 CM</v>
      </c>
      <c r="C5252" s="6">
        <v>52200</v>
      </c>
      <c r="D5252" s="5"/>
      <c r="E5252" s="5" t="str">
        <f t="shared" si="262"/>
        <v>INSTRUMENTACION-DIANA CAICEDO-DIANA DIAZ</v>
      </c>
      <c r="F5252" s="5" t="str">
        <f>"Descripcion: PINZAS  KELLY CURVAS Estado: Bueno Placa anterior: 000036061 Material: ACERO INOXIDABLE Color: PLATEADO Referencia:  Observacion:     Placa padre: I0000185Tipo adquisicion: Entidad"</f>
        <v>Descripcion: PINZAS  KELLY CURVAS Estado: Bueno Placa anterior: 000036061 Material: ACERO INOXIDABLE Color: PLATEADO Referencia:  Observacion:     Placa padre: I0000185Tipo adquisicion: Entidad</v>
      </c>
      <c r="G5252" s="5"/>
    </row>
    <row r="5253" spans="1:7" ht="58.5" customHeight="1" x14ac:dyDescent="0.25">
      <c r="A5253" s="5" t="str">
        <f>"I0000201"</f>
        <v>I0000201</v>
      </c>
      <c r="B5253" s="5" t="str">
        <f t="shared" si="264"/>
        <v>PINZA KELLY CURVA 16 CM</v>
      </c>
      <c r="C5253" s="6">
        <v>52200</v>
      </c>
      <c r="D5253" s="5"/>
      <c r="E5253" s="5" t="str">
        <f t="shared" si="262"/>
        <v>INSTRUMENTACION-DIANA CAICEDO-DIANA DIAZ</v>
      </c>
      <c r="F5253" s="5" t="str">
        <f>"Descripcion: PINZAS  KELLY CURVAS Estado: Bueno Placa anterior: 000036062 Material: ACERO INOXIDABLE Color: PLATEADO Referencia:  Observacion:     Placa padre: I0000185Tipo adquisicion: Entidad"</f>
        <v>Descripcion: PINZAS  KELLY CURVAS Estado: Bueno Placa anterior: 000036062 Material: ACERO INOXIDABLE Color: PLATEADO Referencia:  Observacion:     Placa padre: I0000185Tipo adquisicion: Entidad</v>
      </c>
      <c r="G5253" s="5"/>
    </row>
    <row r="5254" spans="1:7" ht="58.5" customHeight="1" x14ac:dyDescent="0.25">
      <c r="A5254" s="5" t="str">
        <f>"I0000202"</f>
        <v>I0000202</v>
      </c>
      <c r="B5254" s="5" t="str">
        <f t="shared" si="264"/>
        <v>PINZA KELLY CURVA 16 CM</v>
      </c>
      <c r="C5254" s="6">
        <v>52200</v>
      </c>
      <c r="D5254" s="5"/>
      <c r="E5254" s="5" t="str">
        <f t="shared" si="262"/>
        <v>INSTRUMENTACION-DIANA CAICEDO-DIANA DIAZ</v>
      </c>
      <c r="F5254" s="5" t="str">
        <f>"Descripcion: PINZAS  KELLY CURVAS Estado: Bueno Placa anterior: 000036063 Material: ACERO INOXIDABLE Color: PLATEADO Referencia:  Observacion:     Placa padre: I0000185Tipo adquisicion: Entidad"</f>
        <v>Descripcion: PINZAS  KELLY CURVAS Estado: Bueno Placa anterior: 000036063 Material: ACERO INOXIDABLE Color: PLATEADO Referencia:  Observacion:     Placa padre: I0000185Tipo adquisicion: Entidad</v>
      </c>
      <c r="G5254" s="5"/>
    </row>
    <row r="5255" spans="1:7" ht="58.5" customHeight="1" x14ac:dyDescent="0.25">
      <c r="A5255" s="5" t="str">
        <f>"I0000203"</f>
        <v>I0000203</v>
      </c>
      <c r="B5255" s="5" t="str">
        <f t="shared" si="264"/>
        <v>PINZA KELLY CURVA 16 CM</v>
      </c>
      <c r="C5255" s="6">
        <v>52200</v>
      </c>
      <c r="D5255" s="5"/>
      <c r="E5255" s="5" t="str">
        <f t="shared" si="262"/>
        <v>INSTRUMENTACION-DIANA CAICEDO-DIANA DIAZ</v>
      </c>
      <c r="F5255" s="5" t="str">
        <f>"Descripcion: PINZAS  KELLY CURVAS Estado: Bueno Placa anterior: 000036064 Material: ACERO INOXIDABLE Color: PLATEADO Referencia:  Observacion:     Placa padre: I0000185Tipo adquisicion: Entidad"</f>
        <v>Descripcion: PINZAS  KELLY CURVAS Estado: Bueno Placa anterior: 000036064 Material: ACERO INOXIDABLE Color: PLATEADO Referencia:  Observacion:     Placa padre: I0000185Tipo adquisicion: Entidad</v>
      </c>
      <c r="G5255" s="5"/>
    </row>
    <row r="5256" spans="1:7" ht="58.5" customHeight="1" x14ac:dyDescent="0.25">
      <c r="A5256" s="5" t="str">
        <f>"I0000204"</f>
        <v>I0000204</v>
      </c>
      <c r="B5256" s="5" t="str">
        <f t="shared" si="264"/>
        <v>PINZA KELLY CURVA 16 CM</v>
      </c>
      <c r="C5256" s="6">
        <v>52200</v>
      </c>
      <c r="D5256" s="5"/>
      <c r="E5256" s="5" t="str">
        <f t="shared" si="262"/>
        <v>INSTRUMENTACION-DIANA CAICEDO-DIANA DIAZ</v>
      </c>
      <c r="F5256" s="5" t="str">
        <f>"Descripcion: PINZAS  KELLY CURVAS Estado: Bueno Placa anterior: 000036065 Material: ACERO INOXIDABLE Color: PLATEADO Referencia:  Observacion:     Placa padre: I0000185Tipo adquisicion: Entidad"</f>
        <v>Descripcion: PINZAS  KELLY CURVAS Estado: Bueno Placa anterior: 000036065 Material: ACERO INOXIDABLE Color: PLATEADO Referencia:  Observacion:     Placa padre: I0000185Tipo adquisicion: Entidad</v>
      </c>
      <c r="G5256" s="5"/>
    </row>
    <row r="5257" spans="1:7" ht="58.5" customHeight="1" x14ac:dyDescent="0.25">
      <c r="A5257" s="5" t="str">
        <f>"I0000205"</f>
        <v>I0000205</v>
      </c>
      <c r="B5257" s="5" t="str">
        <f t="shared" si="264"/>
        <v>PINZA KELLY CURVA 16 CM</v>
      </c>
      <c r="C5257" s="6">
        <v>52200</v>
      </c>
      <c r="D5257" s="5"/>
      <c r="E5257" s="5" t="str">
        <f t="shared" si="262"/>
        <v>INSTRUMENTACION-DIANA CAICEDO-DIANA DIAZ</v>
      </c>
      <c r="F5257" s="5" t="str">
        <f>"Descripcion: PINZAS  KELLY CURVAS Estado: Bueno Placa anterior: 000036066 Material: ACERO INOXIDABLE Color: PLATEADO Referencia:  Observacion:     Placa padre: I0000185Tipo adquisicion: Entidad"</f>
        <v>Descripcion: PINZAS  KELLY CURVAS Estado: Bueno Placa anterior: 000036066 Material: ACERO INOXIDABLE Color: PLATEADO Referencia:  Observacion:     Placa padre: I0000185Tipo adquisicion: Entidad</v>
      </c>
      <c r="G5257" s="5"/>
    </row>
    <row r="5258" spans="1:7" ht="58.5" customHeight="1" x14ac:dyDescent="0.25">
      <c r="A5258" s="5" t="str">
        <f>"I0000206"</f>
        <v>I0000206</v>
      </c>
      <c r="B5258" s="5" t="str">
        <f t="shared" si="264"/>
        <v>PINZA KELLY CURVA 16 CM</v>
      </c>
      <c r="C5258" s="6">
        <v>52200</v>
      </c>
      <c r="D5258" s="5"/>
      <c r="E5258" s="5" t="str">
        <f t="shared" si="262"/>
        <v>INSTRUMENTACION-DIANA CAICEDO-DIANA DIAZ</v>
      </c>
      <c r="F5258" s="5" t="str">
        <f>"Descripcion: PINZAS  KELLY CURVAS Estado: Bueno Placa anterior: 000036067 Material: ACERO INOXIDABLE Color: PLATEADO Referencia:  Observacion:     Placa padre: I0000185Tipo adquisicion: Entidad"</f>
        <v>Descripcion: PINZAS  KELLY CURVAS Estado: Bueno Placa anterior: 000036067 Material: ACERO INOXIDABLE Color: PLATEADO Referencia:  Observacion:     Placa padre: I0000185Tipo adquisicion: Entidad</v>
      </c>
      <c r="G5258" s="5"/>
    </row>
    <row r="5259" spans="1:7" ht="58.5" customHeight="1" x14ac:dyDescent="0.25">
      <c r="A5259" s="5" t="str">
        <f>"I0000207"</f>
        <v>I0000207</v>
      </c>
      <c r="B5259" s="5" t="str">
        <f t="shared" si="264"/>
        <v>PINZA KELLY CURVA 16 CM</v>
      </c>
      <c r="C5259" s="6">
        <v>52200</v>
      </c>
      <c r="D5259" s="5"/>
      <c r="E5259" s="5" t="str">
        <f t="shared" si="262"/>
        <v>INSTRUMENTACION-DIANA CAICEDO-DIANA DIAZ</v>
      </c>
      <c r="F5259" s="5" t="str">
        <f>"Descripcion: PINZAS  KELLY CURVAS Estado: Bueno Placa anterior: 000036068 Material: ACERO INOXIDABLE Color: PLATEADO Referencia:  Observacion:     Placa padre: I0000185Tipo adquisicion: Entidad"</f>
        <v>Descripcion: PINZAS  KELLY CURVAS Estado: Bueno Placa anterior: 000036068 Material: ACERO INOXIDABLE Color: PLATEADO Referencia:  Observacion:     Placa padre: I0000185Tipo adquisicion: Entidad</v>
      </c>
      <c r="G5259" s="5"/>
    </row>
    <row r="5260" spans="1:7" ht="58.5" customHeight="1" x14ac:dyDescent="0.25">
      <c r="A5260" s="5" t="str">
        <f>"I0000208"</f>
        <v>I0000208</v>
      </c>
      <c r="B5260" s="5" t="str">
        <f t="shared" si="264"/>
        <v>PINZA KELLY CURVA 16 CM</v>
      </c>
      <c r="C5260" s="6">
        <v>52200</v>
      </c>
      <c r="D5260" s="5"/>
      <c r="E5260" s="5" t="str">
        <f t="shared" si="262"/>
        <v>INSTRUMENTACION-DIANA CAICEDO-DIANA DIAZ</v>
      </c>
      <c r="F5260" s="5" t="str">
        <f>"Descripcion: PINZAS  KELLY CURVAS Estado: Bueno Placa anterior: 000036069 Material: ACERO INOXIDABLE Color: PLATEADO Referencia:  Observacion:     Placa padre: I0000185Tipo adquisicion: Entidad"</f>
        <v>Descripcion: PINZAS  KELLY CURVAS Estado: Bueno Placa anterior: 000036069 Material: ACERO INOXIDABLE Color: PLATEADO Referencia:  Observacion:     Placa padre: I0000185Tipo adquisicion: Entidad</v>
      </c>
      <c r="G5260" s="5"/>
    </row>
    <row r="5261" spans="1:7" ht="58.5" customHeight="1" x14ac:dyDescent="0.25">
      <c r="A5261" s="5" t="str">
        <f>"I0000209"</f>
        <v>I0000209</v>
      </c>
      <c r="B5261" s="5" t="str">
        <f>"PINZA KELLY RECTA 16 CM"</f>
        <v>PINZA KELLY RECTA 16 CM</v>
      </c>
      <c r="C5261" s="6">
        <v>52200</v>
      </c>
      <c r="D5261" s="5"/>
      <c r="E5261" s="5" t="str">
        <f t="shared" si="262"/>
        <v>INSTRUMENTACION-DIANA CAICEDO-DIANA DIAZ</v>
      </c>
      <c r="F5261" s="5" t="str">
        <f>"Descripcion: PINZAS  KELLY RECTAS  Estado: Bueno Placa anterior: 000036070 Material: ACERO INOXIDABLE Color: PLATEADO Referencia:  Observacion:     Placa padre: I0000185Tipo adquisicion: Entidad"</f>
        <v>Descripcion: PINZAS  KELLY RECTAS  Estado: Bueno Placa anterior: 000036070 Material: ACERO INOXIDABLE Color: PLATEADO Referencia:  Observacion:     Placa padre: I0000185Tipo adquisicion: Entidad</v>
      </c>
      <c r="G5261" s="5"/>
    </row>
    <row r="5262" spans="1:7" ht="58.5" customHeight="1" x14ac:dyDescent="0.25">
      <c r="A5262" s="5" t="str">
        <f>"I0000210"</f>
        <v>I0000210</v>
      </c>
      <c r="B5262" s="5" t="str">
        <f>"PINZA KELLY RECTA 16 CM"</f>
        <v>PINZA KELLY RECTA 16 CM</v>
      </c>
      <c r="C5262" s="6">
        <v>52200</v>
      </c>
      <c r="D5262" s="5"/>
      <c r="E5262" s="5" t="str">
        <f t="shared" si="262"/>
        <v>INSTRUMENTACION-DIANA CAICEDO-DIANA DIAZ</v>
      </c>
      <c r="F5262" s="5" t="str">
        <f>"Descripcion: PINZAS  KELLY RECTAS  Estado: Bueno Placa anterior: 000036071 Material: ACERO INOXIDABLE Color: PLATEADO Referencia:  Observacion:     Placa padre: I0000185Tipo adquisicion: Entidad"</f>
        <v>Descripcion: PINZAS  KELLY RECTAS  Estado: Bueno Placa anterior: 000036071 Material: ACERO INOXIDABLE Color: PLATEADO Referencia:  Observacion:     Placa padre: I0000185Tipo adquisicion: Entidad</v>
      </c>
      <c r="G5262" s="5"/>
    </row>
    <row r="5263" spans="1:7" ht="58.5" customHeight="1" x14ac:dyDescent="0.25">
      <c r="A5263" s="5" t="str">
        <f>"I0000211"</f>
        <v>I0000211</v>
      </c>
      <c r="B5263" s="5" t="str">
        <f t="shared" ref="B5263:B5270" si="265">"PINZA ROCHESTER CURVA 25 CM"</f>
        <v>PINZA ROCHESTER CURVA 25 CM</v>
      </c>
      <c r="C5263" s="6">
        <v>81200</v>
      </c>
      <c r="D5263" s="5"/>
      <c r="E5263" s="5" t="str">
        <f t="shared" si="262"/>
        <v>INSTRUMENTACION-DIANA CAICEDO-DIANA DIAZ</v>
      </c>
      <c r="F5263" s="5" t="str">
        <f>"Descripcion: PINZAS ROCHESTER CURVAS Estado: Bueno Placa anterior: 000036162 Material: ACERO INOXIDABLE Color: PLATEADO Referencia:  Observacion:     Placa padre: I0000185Tipo adquisicion: Entidad"</f>
        <v>Descripcion: PINZAS ROCHESTER CURVAS Estado: Bueno Placa anterior: 000036162 Material: ACERO INOXIDABLE Color: PLATEADO Referencia:  Observacion:     Placa padre: I0000185Tipo adquisicion: Entidad</v>
      </c>
      <c r="G5263" s="5"/>
    </row>
    <row r="5264" spans="1:7" ht="58.5" customHeight="1" x14ac:dyDescent="0.25">
      <c r="A5264" s="5" t="str">
        <f>"I0000212"</f>
        <v>I0000212</v>
      </c>
      <c r="B5264" s="5" t="str">
        <f t="shared" si="265"/>
        <v>PINZA ROCHESTER CURVA 25 CM</v>
      </c>
      <c r="C5264" s="6">
        <v>81200</v>
      </c>
      <c r="D5264" s="5"/>
      <c r="E5264" s="5" t="str">
        <f t="shared" si="262"/>
        <v>INSTRUMENTACION-DIANA CAICEDO-DIANA DIAZ</v>
      </c>
      <c r="F5264" s="5" t="str">
        <f>"Descripcion: PINZAS ROCHESTER CURVAS Estado: Bueno Placa anterior: 000036163 Material: ACERO INOXIDABLE Color: PLATEADO Referencia:  Observacion:     Placa padre: I0000185Tipo adquisicion: Entidad"</f>
        <v>Descripcion: PINZAS ROCHESTER CURVAS Estado: Bueno Placa anterior: 000036163 Material: ACERO INOXIDABLE Color: PLATEADO Referencia:  Observacion:     Placa padre: I0000185Tipo adquisicion: Entidad</v>
      </c>
      <c r="G5264" s="5"/>
    </row>
    <row r="5265" spans="1:7" ht="58.5" customHeight="1" x14ac:dyDescent="0.25">
      <c r="A5265" s="5" t="str">
        <f>"I0000213"</f>
        <v>I0000213</v>
      </c>
      <c r="B5265" s="5" t="str">
        <f t="shared" si="265"/>
        <v>PINZA ROCHESTER CURVA 25 CM</v>
      </c>
      <c r="C5265" s="6">
        <v>81200</v>
      </c>
      <c r="D5265" s="5"/>
      <c r="E5265" s="5" t="str">
        <f t="shared" si="262"/>
        <v>INSTRUMENTACION-DIANA CAICEDO-DIANA DIAZ</v>
      </c>
      <c r="F5265" s="5" t="str">
        <f>"Descripcion: PINZAS ROCHESTER CURVAS Estado: Bueno Placa anterior: 000036164 Material: ACERO INOXIDABLE Color: PLATEADO Referencia:  Observacion:     Placa padre: I0000185Tipo adquisicion: Entidad"</f>
        <v>Descripcion: PINZAS ROCHESTER CURVAS Estado: Bueno Placa anterior: 000036164 Material: ACERO INOXIDABLE Color: PLATEADO Referencia:  Observacion:     Placa padre: I0000185Tipo adquisicion: Entidad</v>
      </c>
      <c r="G5265" s="5"/>
    </row>
    <row r="5266" spans="1:7" ht="58.5" customHeight="1" x14ac:dyDescent="0.25">
      <c r="A5266" s="5" t="str">
        <f>"I0000214"</f>
        <v>I0000214</v>
      </c>
      <c r="B5266" s="5" t="str">
        <f t="shared" si="265"/>
        <v>PINZA ROCHESTER CURVA 25 CM</v>
      </c>
      <c r="C5266" s="6">
        <v>81200</v>
      </c>
      <c r="D5266" s="5"/>
      <c r="E5266" s="5" t="str">
        <f t="shared" si="262"/>
        <v>INSTRUMENTACION-DIANA CAICEDO-DIANA DIAZ</v>
      </c>
      <c r="F5266" s="5" t="str">
        <f>"Descripcion: PINZAS ROCHESTER CURVAS Estado: Bueno Placa anterior: 000036165 Material: ACERO INOXIDABLE Color: PLATEADO Referencia:  Observacion:     Placa padre: I0000185Tipo adquisicion: Entidad"</f>
        <v>Descripcion: PINZAS ROCHESTER CURVAS Estado: Bueno Placa anterior: 000036165 Material: ACERO INOXIDABLE Color: PLATEADO Referencia:  Observacion:     Placa padre: I0000185Tipo adquisicion: Entidad</v>
      </c>
      <c r="G5266" s="5"/>
    </row>
    <row r="5267" spans="1:7" ht="58.5" customHeight="1" x14ac:dyDescent="0.25">
      <c r="A5267" s="5" t="str">
        <f>"I0000215"</f>
        <v>I0000215</v>
      </c>
      <c r="B5267" s="5" t="str">
        <f t="shared" si="265"/>
        <v>PINZA ROCHESTER CURVA 25 CM</v>
      </c>
      <c r="C5267" s="6">
        <v>81200</v>
      </c>
      <c r="D5267" s="5"/>
      <c r="E5267" s="5" t="str">
        <f t="shared" si="262"/>
        <v>INSTRUMENTACION-DIANA CAICEDO-DIANA DIAZ</v>
      </c>
      <c r="F5267" s="5" t="str">
        <f>"Descripcion: PINZAS ROCHESTER CURVAS Estado: Bueno Placa anterior: 000036166 Material: ACERO INOXIDABLE Color: PLATEADO Referencia:  Observacion:     Placa padre: I0000185Tipo adquisicion: Entidad"</f>
        <v>Descripcion: PINZAS ROCHESTER CURVAS Estado: Bueno Placa anterior: 000036166 Material: ACERO INOXIDABLE Color: PLATEADO Referencia:  Observacion:     Placa padre: I0000185Tipo adquisicion: Entidad</v>
      </c>
      <c r="G5267" s="5"/>
    </row>
    <row r="5268" spans="1:7" ht="58.5" customHeight="1" x14ac:dyDescent="0.25">
      <c r="A5268" s="5" t="str">
        <f>"I0000216"</f>
        <v>I0000216</v>
      </c>
      <c r="B5268" s="5" t="str">
        <f t="shared" si="265"/>
        <v>PINZA ROCHESTER CURVA 25 CM</v>
      </c>
      <c r="C5268" s="6">
        <v>81200</v>
      </c>
      <c r="D5268" s="5"/>
      <c r="E5268" s="5" t="str">
        <f t="shared" si="262"/>
        <v>INSTRUMENTACION-DIANA CAICEDO-DIANA DIAZ</v>
      </c>
      <c r="F5268" s="5" t="str">
        <f>"Descripcion: PINZAS ROCHESTER CURVAS Estado: Bueno Placa anterior: 000036167 Material: ACERO INOXIDABLE Color: PLATEADO Referencia:  Observacion:     Placa padre: I0000185Tipo adquisicion: Entidad"</f>
        <v>Descripcion: PINZAS ROCHESTER CURVAS Estado: Bueno Placa anterior: 000036167 Material: ACERO INOXIDABLE Color: PLATEADO Referencia:  Observacion:     Placa padre: I0000185Tipo adquisicion: Entidad</v>
      </c>
      <c r="G5268" s="5"/>
    </row>
    <row r="5269" spans="1:7" ht="58.5" customHeight="1" x14ac:dyDescent="0.25">
      <c r="A5269" s="5" t="str">
        <f>"I0000217"</f>
        <v>I0000217</v>
      </c>
      <c r="B5269" s="5" t="str">
        <f t="shared" si="265"/>
        <v>PINZA ROCHESTER CURVA 25 CM</v>
      </c>
      <c r="C5269" s="6">
        <v>81200</v>
      </c>
      <c r="D5269" s="5"/>
      <c r="E5269" s="5" t="str">
        <f t="shared" si="262"/>
        <v>INSTRUMENTACION-DIANA CAICEDO-DIANA DIAZ</v>
      </c>
      <c r="F5269" s="5" t="str">
        <f>"Descripcion: PINZAS ROCHESTER CURVAS Estado: Bueno Placa anterior: 000036168 Material: ACERO INOXIDABLE Color: PLATEADO Referencia:  Observacion:     Placa padre: I0000185Tipo adquisicion: Entidad"</f>
        <v>Descripcion: PINZAS ROCHESTER CURVAS Estado: Bueno Placa anterior: 000036168 Material: ACERO INOXIDABLE Color: PLATEADO Referencia:  Observacion:     Placa padre: I0000185Tipo adquisicion: Entidad</v>
      </c>
      <c r="G5269" s="5"/>
    </row>
    <row r="5270" spans="1:7" ht="58.5" customHeight="1" x14ac:dyDescent="0.25">
      <c r="A5270" s="5" t="str">
        <f>"I0000218"</f>
        <v>I0000218</v>
      </c>
      <c r="B5270" s="5" t="str">
        <f t="shared" si="265"/>
        <v>PINZA ROCHESTER CURVA 25 CM</v>
      </c>
      <c r="C5270" s="6">
        <v>81200</v>
      </c>
      <c r="D5270" s="5"/>
      <c r="E5270" s="5" t="str">
        <f t="shared" si="262"/>
        <v>INSTRUMENTACION-DIANA CAICEDO-DIANA DIAZ</v>
      </c>
      <c r="F5270" s="5" t="str">
        <f>"Descripcion: PINZAS ROCHESTER CURVAS Estado: Bueno Placa anterior: 000036169 Material: ACERO INOXIDABLE Color: PLATEADO Referencia:  Observacion:     Placa padre: I0000185Tipo adquisicion: Entidad"</f>
        <v>Descripcion: PINZAS ROCHESTER CURVAS Estado: Bueno Placa anterior: 000036169 Material: ACERO INOXIDABLE Color: PLATEADO Referencia:  Observacion:     Placa padre: I0000185Tipo adquisicion: Entidad</v>
      </c>
      <c r="G5270" s="5"/>
    </row>
    <row r="5271" spans="1:7" ht="58.5" customHeight="1" x14ac:dyDescent="0.25">
      <c r="A5271" s="5" t="str">
        <f>"I0000219"</f>
        <v>I0000219</v>
      </c>
      <c r="B5271" s="5" t="str">
        <f t="shared" ref="B5271:B5276" si="266">"PINZA ALLIX"</f>
        <v>PINZA ALLIX</v>
      </c>
      <c r="C5271" s="6">
        <v>98600</v>
      </c>
      <c r="D5271" s="5"/>
      <c r="E5271" s="5" t="str">
        <f t="shared" si="262"/>
        <v>INSTRUMENTACION-DIANA CAICEDO-DIANA DIAZ</v>
      </c>
      <c r="F5271" s="5" t="str">
        <f>"Descripcion: PINZAS ALLIX LARGAS (DIMEDA) Estado: Bueno Placa anterior: 000031686 Material: ACERO INOXIDABLE Color: PLATEADO Referencia:  Observacion:     Placa padre: I0000185Tipo adquisicion: Entidad"</f>
        <v>Descripcion: PINZAS ALLIX LARGAS (DIMEDA) Estado: Bueno Placa anterior: 000031686 Material: ACERO INOXIDABLE Color: PLATEADO Referencia:  Observacion:     Placa padre: I0000185Tipo adquisicion: Entidad</v>
      </c>
      <c r="G5271" s="5"/>
    </row>
    <row r="5272" spans="1:7" ht="58.5" customHeight="1" x14ac:dyDescent="0.25">
      <c r="A5272" s="5" t="str">
        <f>"I0000220"</f>
        <v>I0000220</v>
      </c>
      <c r="B5272" s="5" t="str">
        <f t="shared" si="266"/>
        <v>PINZA ALLIX</v>
      </c>
      <c r="C5272" s="6">
        <v>98600</v>
      </c>
      <c r="D5272" s="5"/>
      <c r="E5272" s="5" t="str">
        <f t="shared" si="262"/>
        <v>INSTRUMENTACION-DIANA CAICEDO-DIANA DIAZ</v>
      </c>
      <c r="F5272" s="5" t="str">
        <f>"Descripcion: PINZAS ALLIX LARGAS (DIMEDA) Estado: Bueno Placa anterior: 000031688 Material: ACERO INOXIDABLE Color: PLATEADO Referencia:  Observacion:     Placa padre: I0000185Tipo adquisicion: Entidad"</f>
        <v>Descripcion: PINZAS ALLIX LARGAS (DIMEDA) Estado: Bueno Placa anterior: 000031688 Material: ACERO INOXIDABLE Color: PLATEADO Referencia:  Observacion:     Placa padre: I0000185Tipo adquisicion: Entidad</v>
      </c>
      <c r="G5272" s="5"/>
    </row>
    <row r="5273" spans="1:7" ht="58.5" customHeight="1" x14ac:dyDescent="0.25">
      <c r="A5273" s="5" t="str">
        <f>"I0000221"</f>
        <v>I0000221</v>
      </c>
      <c r="B5273" s="5" t="str">
        <f t="shared" si="266"/>
        <v>PINZA ALLIX</v>
      </c>
      <c r="C5273" s="6">
        <v>98600</v>
      </c>
      <c r="D5273" s="5"/>
      <c r="E5273" s="5" t="str">
        <f t="shared" si="262"/>
        <v>INSTRUMENTACION-DIANA CAICEDO-DIANA DIAZ</v>
      </c>
      <c r="F5273" s="5" t="str">
        <f>"Descripcion: PINZAS ALLIX LARGAS (DIMEDA) Estado: Bueno Placa anterior: 000031689 Material: ACERO INOXIDABLE Color: PLATEADO Referencia:  Observacion:     Placa padre: I0000185Tipo adquisicion: Entidad"</f>
        <v>Descripcion: PINZAS ALLIX LARGAS (DIMEDA) Estado: Bueno Placa anterior: 000031689 Material: ACERO INOXIDABLE Color: PLATEADO Referencia:  Observacion:     Placa padre: I0000185Tipo adquisicion: Entidad</v>
      </c>
      <c r="G5273" s="5"/>
    </row>
    <row r="5274" spans="1:7" ht="58.5" customHeight="1" x14ac:dyDescent="0.25">
      <c r="A5274" s="5" t="str">
        <f>"I0000222"</f>
        <v>I0000222</v>
      </c>
      <c r="B5274" s="5" t="str">
        <f t="shared" si="266"/>
        <v>PINZA ALLIX</v>
      </c>
      <c r="C5274" s="6">
        <v>98600</v>
      </c>
      <c r="D5274" s="5"/>
      <c r="E5274" s="5" t="str">
        <f t="shared" si="262"/>
        <v>INSTRUMENTACION-DIANA CAICEDO-DIANA DIAZ</v>
      </c>
      <c r="F5274" s="5" t="str">
        <f>"Descripcion: PINZAS ALLIX LARGAS (DIMEDA) Estado: Bueno Placa anterior: 000031690 Material: ACERO INOXIDABLE Color: PLATEADO Referencia:  Observacion:     Placa padre: I0000185Tipo adquisicion: Entidad"</f>
        <v>Descripcion: PINZAS ALLIX LARGAS (DIMEDA) Estado: Bueno Placa anterior: 000031690 Material: ACERO INOXIDABLE Color: PLATEADO Referencia:  Observacion:     Placa padre: I0000185Tipo adquisicion: Entidad</v>
      </c>
      <c r="G5274" s="5"/>
    </row>
    <row r="5275" spans="1:7" ht="58.5" customHeight="1" x14ac:dyDescent="0.25">
      <c r="A5275" s="5" t="str">
        <f>"I0000223"</f>
        <v>I0000223</v>
      </c>
      <c r="B5275" s="5" t="str">
        <f t="shared" si="266"/>
        <v>PINZA ALLIX</v>
      </c>
      <c r="C5275" s="6">
        <v>98600</v>
      </c>
      <c r="D5275" s="5"/>
      <c r="E5275" s="5" t="str">
        <f t="shared" si="262"/>
        <v>INSTRUMENTACION-DIANA CAICEDO-DIANA DIAZ</v>
      </c>
      <c r="F5275" s="5" t="str">
        <f>"Descripcion: PINZAS ALLIX LARGAS (DIMEDA) Estado: Bueno Placa anterior: 000031692 Material: ACERO INOXIDABLE Color: PLATEADO Referencia:  Observacion:     Placa padre: I0000185Tipo adquisicion: Entidad"</f>
        <v>Descripcion: PINZAS ALLIX LARGAS (DIMEDA) Estado: Bueno Placa anterior: 000031692 Material: ACERO INOXIDABLE Color: PLATEADO Referencia:  Observacion:     Placa padre: I0000185Tipo adquisicion: Entidad</v>
      </c>
      <c r="G5275" s="5"/>
    </row>
    <row r="5276" spans="1:7" ht="58.5" customHeight="1" x14ac:dyDescent="0.25">
      <c r="A5276" s="5" t="str">
        <f>"I0000224"</f>
        <v>I0000224</v>
      </c>
      <c r="B5276" s="5" t="str">
        <f t="shared" si="266"/>
        <v>PINZA ALLIX</v>
      </c>
      <c r="C5276" s="6">
        <v>98600</v>
      </c>
      <c r="D5276" s="5"/>
      <c r="E5276" s="5" t="str">
        <f t="shared" si="262"/>
        <v>INSTRUMENTACION-DIANA CAICEDO-DIANA DIAZ</v>
      </c>
      <c r="F5276" s="5" t="str">
        <f>"Descripcion: PINZAS ALLIX LARGAS (DIMEDA) Estado: Bueno Placa anterior: 000031693 Material: ACERO INOXIDABLE Color: PLATEADO Referencia:  Observacion:     Placa padre: I0000185Tipo adquisicion: Entidad"</f>
        <v>Descripcion: PINZAS ALLIX LARGAS (DIMEDA) Estado: Bueno Placa anterior: 000031693 Material: ACERO INOXIDABLE Color: PLATEADO Referencia:  Observacion:     Placa padre: I0000185Tipo adquisicion: Entidad</v>
      </c>
      <c r="G5276" s="5"/>
    </row>
    <row r="5277" spans="1:7" ht="58.5" customHeight="1" x14ac:dyDescent="0.25">
      <c r="A5277" s="5" t="str">
        <f>"I0000227"</f>
        <v>I0000227</v>
      </c>
      <c r="B5277" s="5" t="str">
        <f>"PINZA CISTICO"</f>
        <v>PINZA CISTICO</v>
      </c>
      <c r="C5277" s="6">
        <v>44080</v>
      </c>
      <c r="D5277" s="5"/>
      <c r="E5277" s="5" t="str">
        <f t="shared" si="262"/>
        <v>INSTRUMENTACION-DIANA CAICEDO-DIANA DIAZ</v>
      </c>
      <c r="F5277" s="5" t="str">
        <f>"Descripcion: PINZAS CISTICO Estado: Bueno Placa anterior: 000016032 Material: ACERO INOXIDABLE Color: PLATEADO Referencia:  Observacion: PINZAS DE RANDALL  Placa padre: I0000185Tipo adquisicion: Entidad"</f>
        <v>Descripcion: PINZAS CISTICO Estado: Bueno Placa anterior: 000016032 Material: ACERO INOXIDABLE Color: PLATEADO Referencia:  Observacion: PINZAS DE RANDALL  Placa padre: I0000185Tipo adquisicion: Entidad</v>
      </c>
      <c r="G5277" s="5"/>
    </row>
    <row r="5278" spans="1:7" ht="58.5" customHeight="1" x14ac:dyDescent="0.25">
      <c r="A5278" s="5" t="str">
        <f>"I0000228"</f>
        <v>I0000228</v>
      </c>
      <c r="B5278" s="5" t="str">
        <f>"PINZA CISTICO"</f>
        <v>PINZA CISTICO</v>
      </c>
      <c r="C5278" s="6">
        <v>44080</v>
      </c>
      <c r="D5278" s="5"/>
      <c r="E5278" s="5" t="str">
        <f t="shared" si="262"/>
        <v>INSTRUMENTACION-DIANA CAICEDO-DIANA DIAZ</v>
      </c>
      <c r="F5278" s="5" t="str">
        <f>"Descripcion: PINZAS CISTICO Estado: Bueno Placa anterior: 000016027 Material: ACERO INOXIDABLE Color: PLATEADO Referencia:  Observacion: PINZAS DE RANDALL  Placa padre: I0000185Tipo adquisicion: Entidad"</f>
        <v>Descripcion: PINZAS CISTICO Estado: Bueno Placa anterior: 000016027 Material: ACERO INOXIDABLE Color: PLATEADO Referencia:  Observacion: PINZAS DE RANDALL  Placa padre: I0000185Tipo adquisicion: Entidad</v>
      </c>
      <c r="G5278" s="5"/>
    </row>
    <row r="5279" spans="1:7" ht="58.5" customHeight="1" x14ac:dyDescent="0.25">
      <c r="A5279" s="5" t="str">
        <f>"I0000232"</f>
        <v>I0000232</v>
      </c>
      <c r="B5279" s="5" t="str">
        <f>"PORTAGUJAS (PINZA)"</f>
        <v>PORTAGUJAS (PINZA)</v>
      </c>
      <c r="C5279" s="6">
        <v>68440</v>
      </c>
      <c r="D5279" s="5"/>
      <c r="E5279" s="5" t="str">
        <f t="shared" ref="E5279:E5342" si="267">"INSTRUMENTACION-DIANA CAICEDO-DIANA DIAZ"</f>
        <v>INSTRUMENTACION-DIANA CAICEDO-DIANA DIAZ</v>
      </c>
      <c r="F5279" s="5" t="str">
        <f>"Descripcion: PORTA AGUJAS MEDIANO(DIMEDA Estado: Bueno Placa anterior: 000032402 Material: ACERO INOXIDABLE Color: PLATEADO Referencia:  Observacion:     Placa padre: I0000185Tipo adquisicion: Entidad"</f>
        <v>Descripcion: PORTA AGUJAS MEDIANO(DIMEDA Estado: Bueno Placa anterior: 000032402 Material: ACERO INOXIDABLE Color: PLATEADO Referencia:  Observacion:     Placa padre: I0000185Tipo adquisicion: Entidad</v>
      </c>
      <c r="G5279" s="5"/>
    </row>
    <row r="5280" spans="1:7" ht="58.5" customHeight="1" x14ac:dyDescent="0.25">
      <c r="A5280" s="5" t="str">
        <f>"I0000233"</f>
        <v>I0000233</v>
      </c>
      <c r="B5280" s="5" t="str">
        <f>"PORTAGUJAS (PINZA)"</f>
        <v>PORTAGUJAS (PINZA)</v>
      </c>
      <c r="C5280" s="6">
        <v>68440</v>
      </c>
      <c r="D5280" s="5"/>
      <c r="E5280" s="5" t="str">
        <f t="shared" si="267"/>
        <v>INSTRUMENTACION-DIANA CAICEDO-DIANA DIAZ</v>
      </c>
      <c r="F5280" s="5" t="str">
        <f>"Descripcion: PORTA AGUJAS MEDIANO(DIMEDA Estado: Bueno Placa anterior: 000032404 Material: ACERO INOXIDABLE Color: PLATEADO Referencia:  Observacion:     Placa padre: I0000185Tipo adquisicion: Entidad"</f>
        <v>Descripcion: PORTA AGUJAS MEDIANO(DIMEDA Estado: Bueno Placa anterior: 000032404 Material: ACERO INOXIDABLE Color: PLATEADO Referencia:  Observacion:     Placa padre: I0000185Tipo adquisicion: Entidad</v>
      </c>
      <c r="G5280" s="5"/>
    </row>
    <row r="5281" spans="1:7" ht="58.5" customHeight="1" x14ac:dyDescent="0.25">
      <c r="A5281" s="5" t="str">
        <f>"I0000237"</f>
        <v>I0000237</v>
      </c>
      <c r="B5281" s="5" t="str">
        <f t="shared" ref="B5281:B5286" si="268">"PINZA DE CAMPO"</f>
        <v>PINZA DE CAMPO</v>
      </c>
      <c r="C5281" s="6">
        <v>39440</v>
      </c>
      <c r="D5281" s="5"/>
      <c r="E5281" s="5" t="str">
        <f t="shared" si="267"/>
        <v>INSTRUMENTACION-DIANA CAICEDO-DIANA DIAZ</v>
      </c>
      <c r="F5281" s="5" t="str">
        <f>"Descripcion: PINZAS DE CAMPO (DIMEDA) Estado: Bueno Placa anterior: 000031747 Material: ACERO INOXIDABLE Color: PLATEADO Referencia:  Observacion:     Placa padre: I0000185Tipo adquisicion: Entidad"</f>
        <v>Descripcion: PINZAS DE CAMPO (DIMEDA) Estado: Bueno Placa anterior: 000031747 Material: ACERO INOXIDABLE Color: PLATEADO Referencia:  Observacion:     Placa padre: I0000185Tipo adquisicion: Entidad</v>
      </c>
      <c r="G5281" s="5"/>
    </row>
    <row r="5282" spans="1:7" ht="58.5" customHeight="1" x14ac:dyDescent="0.25">
      <c r="A5282" s="5" t="str">
        <f>"I0000238"</f>
        <v>I0000238</v>
      </c>
      <c r="B5282" s="5" t="str">
        <f t="shared" si="268"/>
        <v>PINZA DE CAMPO</v>
      </c>
      <c r="C5282" s="6">
        <v>39440</v>
      </c>
      <c r="D5282" s="5"/>
      <c r="E5282" s="5" t="str">
        <f t="shared" si="267"/>
        <v>INSTRUMENTACION-DIANA CAICEDO-DIANA DIAZ</v>
      </c>
      <c r="F5282" s="5" t="str">
        <f>"Descripcion: PINZAS DE CAMPO (DIMEDA) Estado: Bueno Placa anterior: 000031748 Material: ACERO INOXIDABLE Color: PLATEADO Referencia:  Observacion:     Placa padre: I0000185Tipo adquisicion: Entidad"</f>
        <v>Descripcion: PINZAS DE CAMPO (DIMEDA) Estado: Bueno Placa anterior: 000031748 Material: ACERO INOXIDABLE Color: PLATEADO Referencia:  Observacion:     Placa padre: I0000185Tipo adquisicion: Entidad</v>
      </c>
      <c r="G5282" s="5"/>
    </row>
    <row r="5283" spans="1:7" ht="58.5" customHeight="1" x14ac:dyDescent="0.25">
      <c r="A5283" s="5" t="str">
        <f>"I0000239"</f>
        <v>I0000239</v>
      </c>
      <c r="B5283" s="5" t="str">
        <f t="shared" si="268"/>
        <v>PINZA DE CAMPO</v>
      </c>
      <c r="C5283" s="6">
        <v>39440</v>
      </c>
      <c r="D5283" s="5"/>
      <c r="E5283" s="5" t="str">
        <f t="shared" si="267"/>
        <v>INSTRUMENTACION-DIANA CAICEDO-DIANA DIAZ</v>
      </c>
      <c r="F5283" s="5" t="str">
        <f>"Descripcion: PINZAS DE CAMPO (DIMEDA) Estado: Bueno Placa anterior: 000031749 Material: ACERO INOXIDABLE Color: PLATEADO Referencia:  Observacion:     Placa padre: I0000185Tipo adquisicion: Entidad"</f>
        <v>Descripcion: PINZAS DE CAMPO (DIMEDA) Estado: Bueno Placa anterior: 000031749 Material: ACERO INOXIDABLE Color: PLATEADO Referencia:  Observacion:     Placa padre: I0000185Tipo adquisicion: Entidad</v>
      </c>
      <c r="G5283" s="5"/>
    </row>
    <row r="5284" spans="1:7" ht="58.5" customHeight="1" x14ac:dyDescent="0.25">
      <c r="A5284" s="5" t="str">
        <f>"I0000240"</f>
        <v>I0000240</v>
      </c>
      <c r="B5284" s="5" t="str">
        <f t="shared" si="268"/>
        <v>PINZA DE CAMPO</v>
      </c>
      <c r="C5284" s="6">
        <v>39440</v>
      </c>
      <c r="D5284" s="5"/>
      <c r="E5284" s="5" t="str">
        <f t="shared" si="267"/>
        <v>INSTRUMENTACION-DIANA CAICEDO-DIANA DIAZ</v>
      </c>
      <c r="F5284" s="5" t="str">
        <f>"Descripcion: PINZAS DE CAMPO (DIMEDA) Estado: Bueno Placa anterior: 000031750 Material: ACERO INOXIDABLE Color: PLATEADO Referencia:  Observacion:     Placa padre: I0000185Tipo adquisicion: Entidad"</f>
        <v>Descripcion: PINZAS DE CAMPO (DIMEDA) Estado: Bueno Placa anterior: 000031750 Material: ACERO INOXIDABLE Color: PLATEADO Referencia:  Observacion:     Placa padre: I0000185Tipo adquisicion: Entidad</v>
      </c>
      <c r="G5284" s="5"/>
    </row>
    <row r="5285" spans="1:7" ht="58.5" customHeight="1" x14ac:dyDescent="0.25">
      <c r="A5285" s="5" t="str">
        <f>"I0000241"</f>
        <v>I0000241</v>
      </c>
      <c r="B5285" s="5" t="str">
        <f t="shared" si="268"/>
        <v>PINZA DE CAMPO</v>
      </c>
      <c r="C5285" s="6">
        <v>39440</v>
      </c>
      <c r="D5285" s="5"/>
      <c r="E5285" s="5" t="str">
        <f t="shared" si="267"/>
        <v>INSTRUMENTACION-DIANA CAICEDO-DIANA DIAZ</v>
      </c>
      <c r="F5285" s="5" t="str">
        <f>"Descripcion: PINZAS DE CAMPO (DIMEDA) Estado: Bueno Placa anterior: 000031751 Material: ACERO INOXIDABLE Color: PLATEADO Referencia:  Observacion:     Placa padre: I0000185Tipo adquisicion: Entidad"</f>
        <v>Descripcion: PINZAS DE CAMPO (DIMEDA) Estado: Bueno Placa anterior: 000031751 Material: ACERO INOXIDABLE Color: PLATEADO Referencia:  Observacion:     Placa padre: I0000185Tipo adquisicion: Entidad</v>
      </c>
      <c r="G5285" s="5"/>
    </row>
    <row r="5286" spans="1:7" ht="58.5" customHeight="1" x14ac:dyDescent="0.25">
      <c r="A5286" s="5" t="str">
        <f>"I0000242"</f>
        <v>I0000242</v>
      </c>
      <c r="B5286" s="5" t="str">
        <f t="shared" si="268"/>
        <v>PINZA DE CAMPO</v>
      </c>
      <c r="C5286" s="6">
        <v>39440</v>
      </c>
      <c r="D5286" s="5"/>
      <c r="E5286" s="5" t="str">
        <f t="shared" si="267"/>
        <v>INSTRUMENTACION-DIANA CAICEDO-DIANA DIAZ</v>
      </c>
      <c r="F5286" s="5" t="str">
        <f>"Descripcion: PINZAS DE CAMPO (DIMEDA) Estado: Bueno Placa anterior: 000031752 Material: ACERO INOXIDABLE Color: PLATEADO Referencia:  Observacion:     Placa padre: I0000185Tipo adquisicion: Entidad"</f>
        <v>Descripcion: PINZAS DE CAMPO (DIMEDA) Estado: Bueno Placa anterior: 000031752 Material: ACERO INOXIDABLE Color: PLATEADO Referencia:  Observacion:     Placa padre: I0000185Tipo adquisicion: Entidad</v>
      </c>
      <c r="G5286" s="5"/>
    </row>
    <row r="5287" spans="1:7" ht="58.5" customHeight="1" x14ac:dyDescent="0.25">
      <c r="A5287" s="5" t="str">
        <f>"I0000243"</f>
        <v>I0000243</v>
      </c>
      <c r="B5287" s="5" t="str">
        <f>"CANULA DE YANKAUER"</f>
        <v>CANULA DE YANKAUER</v>
      </c>
      <c r="C5287" s="6">
        <v>92800</v>
      </c>
      <c r="D5287" s="5"/>
      <c r="E5287" s="5" t="str">
        <f t="shared" si="267"/>
        <v>INSTRUMENTACION-DIANA CAICEDO-DIANA DIAZ</v>
      </c>
      <c r="F5287" s="5" t="str">
        <f>"Descripcion: CANULA DE SUCCION DE YANKAWER (DIMEDA) Estado: Bueno Placa anterior: 000031636 Material: ACERO INOXIDABLE Color: PLATEADO Referencia:  Observacion:     Placa padre: I0000185Tipo adquisicion: Entidad"</f>
        <v>Descripcion: CANULA DE SUCCION DE YANKAWER (DIMEDA) Estado: Bueno Placa anterior: 000031636 Material: ACERO INOXIDABLE Color: PLATEADO Referencia:  Observacion:     Placa padre: I0000185Tipo adquisicion: Entidad</v>
      </c>
      <c r="G5287" s="5"/>
    </row>
    <row r="5288" spans="1:7" ht="58.5" customHeight="1" x14ac:dyDescent="0.25">
      <c r="A5288" s="5" t="str">
        <f>"I0000245"</f>
        <v>I0000245</v>
      </c>
      <c r="B5288" s="5" t="str">
        <f>"CUBETA DE ACERO INOXIDABLE GRANDE"</f>
        <v>CUBETA DE ACERO INOXIDABLE GRANDE</v>
      </c>
      <c r="C5288" s="6">
        <v>22200.11</v>
      </c>
      <c r="D5288" s="5"/>
      <c r="E5288" s="5" t="str">
        <f t="shared" si="267"/>
        <v>INSTRUMENTACION-DIANA CAICEDO-DIANA DIAZ</v>
      </c>
      <c r="F5288" s="5" t="str">
        <f>"Descripcion: CUBETA DE INSTRUMENTAL NIQUELADA Estado: Bueno Placa anterior: 000007703 Material: ACERO INOXIDABLE Color: PLATEADO Referencia:  Observacion:     Placa padre: I0000185Tipo adquisicion: Entidad"</f>
        <v>Descripcion: CUBETA DE INSTRUMENTAL NIQUELADA Estado: Bueno Placa anterior: 000007703 Material: ACERO INOXIDABLE Color: PLATEADO Referencia:  Observacion:     Placa padre: I0000185Tipo adquisicion: Entidad</v>
      </c>
      <c r="G5288" s="5"/>
    </row>
    <row r="5289" spans="1:7" ht="58.5" customHeight="1" x14ac:dyDescent="0.25">
      <c r="A5289" s="5" t="str">
        <f>"I0000246"</f>
        <v>I0000246</v>
      </c>
      <c r="B5289" s="5" t="str">
        <f>"EQUIPO DE LAPAROTOMIA"</f>
        <v>EQUIPO DE LAPAROTOMIA</v>
      </c>
      <c r="C5289" s="6">
        <v>1783889.6</v>
      </c>
      <c r="D5289" s="5"/>
      <c r="E5289" s="5" t="str">
        <f t="shared" si="267"/>
        <v>INSTRUMENTACION-DIANA CAICEDO-DIANA DIAZ</v>
      </c>
      <c r="F5289" s="5" t="str">
        <f>"Descripcion: EQUIPO DE LAPAROTOMIA #5 QUE CONSTA DE:  (1)MANGO DE BISTURI  #4  (1) MANGO DE BISTURI  #7  (2) SEPARADORES DE FARA BEUF  (1) SEPARADOR DE DEAVERS ANGOSTO  (1) TIJERA DE MAYO LARGA  (1) TIJERA DE METZEMBAUM LARGA  (1) PINZA DE DISECCION SIN G"&amp; "ARRA CORTA  (1) PINZA DE DISECCION SIN GARRA MEDIANA  (0) PINZA DE DISECCION SIN GARRA LARGA  (1) PINZA DE DISECCION CON GARRA PEQUEÑA  (1) PINZA DE DISECCION CON GARRA MEDIANA  (1) PINZA DISECCION RUSA  (0) PINZAS  KELLY CURVAS  (1) PINZAS  KELLY RECTAS "&amp; "  (6) PINZAS  ROCHESTER CURVAS   (6) PINZAS  ALLIX LARGAS (DIMEDA)  (2)  PINZAS KELLY ADSON  (2)  PINZAS DE CISTICO  (2)  PINZAS BABCOCK  (1) PORTA AGUJAS LARGO (DIMEDA)  (2) PORTA AGUJAS MEDIANO (DIMEDA)  (1) PINZA FOSTER  (1) PINZA MIXTER  (1)  PINZA DU"&amp; "VAL  (5) PINZAS DE CAMPO (DIMEDA)  (1) CANULA DE SUCCION DE YANKAWER (DIMEDA)  (1) PLATON NIQUELADO  (1) CUBETA DE INSTRUMENTAL NIQUELADA   Estado: Bueno Placa anterior: 000014659 Material: ACERO INOXIDABLE Color: PLATEADO Referencia:  Observacion:     Pl"&amp; "aca padre: Tipo adquisicion: Entidad"</f>
        <v>Descripcion: EQUIPO DE LAPAROTOMIA #5 QUE CONSTA DE:  (1)MANGO DE BISTURI  #4  (1) MANGO DE BISTURI  #7  (2) SEPARADORES DE FARA BEUF  (1) SEPARADOR DE DEAVERS ANGOSTO  (1) TIJERA DE MAYO LARGA  (1) TIJERA DE METZEMBAUM LARGA  (1) PINZA DE DISECCION SIN GARRA CORTA  (1) PINZA DE DISECCION SIN GARRA MEDIANA  (0) PINZA DE DISECCION SIN GARRA LARGA  (1) PINZA DE DISECCION CON GARRA PEQUEÑA  (1) PINZA DE DISECCION CON GARRA MEDIANA  (1) PINZA DISECCION RUSA  (0) PINZAS  KELLY CURVAS  (1) PINZAS  KELLY RECTAS   (6) PINZAS  ROCHESTER CURVAS   (6) PINZAS  ALLIX LARGAS (DIMEDA)  (2)  PINZAS KELLY ADSON  (2)  PINZAS DE CISTICO  (2)  PINZAS BABCOCK  (1) PORTA AGUJAS LARGO (DIMEDA)  (2) PORTA AGUJAS MEDIANO (DIMEDA)  (1) PINZA FOSTER  (1) PINZA MIXTER  (1)  PINZA DUVAL  (5) PINZAS DE CAMPO (DIMEDA)  (1) CANULA DE SUCCION DE YANKAWER (DIMEDA)  (1) PLATON NIQUELADO  (1) CUBETA DE INSTRUMENTAL NIQUELADA   Estado: Bueno Placa anterior: 000014659 Material: ACERO INOXIDABLE Color: PLATEADO Referencia:  Observacion:     Placa padre: Tipo adquisicion: Entidad</v>
      </c>
      <c r="G5289" s="5"/>
    </row>
    <row r="5290" spans="1:7" ht="58.5" customHeight="1" x14ac:dyDescent="0.25">
      <c r="A5290" s="5" t="str">
        <f>"I0000247"</f>
        <v>I0000247</v>
      </c>
      <c r="B5290" s="5" t="str">
        <f>"MANGO PARA BISTURI #4"</f>
        <v>MANGO PARA BISTURI #4</v>
      </c>
      <c r="C5290" s="6">
        <v>15080</v>
      </c>
      <c r="D5290" s="5"/>
      <c r="E5290" s="5" t="str">
        <f t="shared" si="267"/>
        <v>INSTRUMENTACION-DIANA CAICEDO-DIANA DIAZ</v>
      </c>
      <c r="F5290" s="5" t="str">
        <f>"Descripcion: MANGO DE BISTURI  #4 Estado: Bueno Placa anterior: 000031869 Material: ACERO INOXIDABLE Color: PLATEADO Referencia:  Observacion:     Placa padre: I0000246Tipo adquisicion: Entidad"</f>
        <v>Descripcion: MANGO DE BISTURI  #4 Estado: Bueno Placa anterior: 000031869 Material: ACERO INOXIDABLE Color: PLATEADO Referencia:  Observacion:     Placa padre: I0000246Tipo adquisicion: Entidad</v>
      </c>
      <c r="G5290" s="5"/>
    </row>
    <row r="5291" spans="1:7" ht="58.5" customHeight="1" x14ac:dyDescent="0.25">
      <c r="A5291" s="5" t="str">
        <f>"I0000249"</f>
        <v>I0000249</v>
      </c>
      <c r="B5291" s="5" t="str">
        <f>"SEPARADOR DE ABDOMEN (FARABEUF)"</f>
        <v>SEPARADOR DE ABDOMEN (FARABEUF)</v>
      </c>
      <c r="C5291" s="6">
        <v>46400</v>
      </c>
      <c r="D5291" s="5"/>
      <c r="E5291" s="5" t="str">
        <f t="shared" si="267"/>
        <v>INSTRUMENTACION-DIANA CAICEDO-DIANA DIAZ</v>
      </c>
      <c r="F5291" s="5" t="str">
        <f>"Descripcion: SEPARADOR DE FARA BEUF Estado: Bueno Placa anterior: 000032504 Material: ACERO INOXIDABLE Color: PLATEADO Referencia:  Observacion:     Placa padre: I0000246Tipo adquisicion: Entidad"</f>
        <v>Descripcion: SEPARADOR DE FARA BEUF Estado: Bueno Placa anterior: 000032504 Material: ACERO INOXIDABLE Color: PLATEADO Referencia:  Observacion:     Placa padre: I0000246Tipo adquisicion: Entidad</v>
      </c>
      <c r="G5291" s="5"/>
    </row>
    <row r="5292" spans="1:7" ht="58.5" customHeight="1" x14ac:dyDescent="0.25">
      <c r="A5292" s="5" t="str">
        <f>"I0000250"</f>
        <v>I0000250</v>
      </c>
      <c r="B5292" s="5" t="str">
        <f>"SEPARADOR DE ABDOMEN (FARABEUF)"</f>
        <v>SEPARADOR DE ABDOMEN (FARABEUF)</v>
      </c>
      <c r="C5292" s="6">
        <v>46400</v>
      </c>
      <c r="D5292" s="5"/>
      <c r="E5292" s="5" t="str">
        <f t="shared" si="267"/>
        <v>INSTRUMENTACION-DIANA CAICEDO-DIANA DIAZ</v>
      </c>
      <c r="F5292" s="5" t="str">
        <f>"Descripcion: SEPARADOR DE FARA BEUF Estado: Bueno Placa anterior: 000032505 Material: ACERO INOXIDABLE Color: PLATEADO Referencia:  Observacion:     Placa padre: I0000246Tipo adquisicion: Entidad"</f>
        <v>Descripcion: SEPARADOR DE FARA BEUF Estado: Bueno Placa anterior: 000032505 Material: ACERO INOXIDABLE Color: PLATEADO Referencia:  Observacion:     Placa padre: I0000246Tipo adquisicion: Entidad</v>
      </c>
      <c r="G5292" s="5"/>
    </row>
    <row r="5293" spans="1:7" ht="58.5" customHeight="1" x14ac:dyDescent="0.25">
      <c r="A5293" s="5" t="str">
        <f>"I0000252"</f>
        <v>I0000252</v>
      </c>
      <c r="B5293" s="5" t="str">
        <f>"TIJERA DE MAYO LARGA 25 CM"</f>
        <v>TIJERA DE MAYO LARGA 25 CM</v>
      </c>
      <c r="C5293" s="6">
        <v>56840</v>
      </c>
      <c r="D5293" s="5"/>
      <c r="E5293" s="5" t="str">
        <f t="shared" si="267"/>
        <v>INSTRUMENTACION-DIANA CAICEDO-DIANA DIAZ</v>
      </c>
      <c r="F5293" s="5" t="str">
        <f>"Descripcion: TIJERA DE MAYO LARGA Estado: Bueno Placa anterior: 000032066 Material: ACERO INOXIDABLE Color: PLATEADO Referencia:  Observacion:     Placa padre: I0000246Tipo adquisicion: Entidad"</f>
        <v>Descripcion: TIJERA DE MAYO LARGA Estado: Bueno Placa anterior: 000032066 Material: ACERO INOXIDABLE Color: PLATEADO Referencia:  Observacion:     Placa padre: I0000246Tipo adquisicion: Entidad</v>
      </c>
      <c r="G5293" s="5"/>
    </row>
    <row r="5294" spans="1:7" ht="58.5" customHeight="1" x14ac:dyDescent="0.25">
      <c r="A5294" s="5" t="str">
        <f>"I0000253"</f>
        <v>I0000253</v>
      </c>
      <c r="B5294" s="5" t="str">
        <f>"TIJERA DE METZEMBAUM"</f>
        <v>TIJERA DE METZEMBAUM</v>
      </c>
      <c r="C5294" s="6">
        <v>63800</v>
      </c>
      <c r="D5294" s="5"/>
      <c r="E5294" s="5" t="str">
        <f t="shared" si="267"/>
        <v>INSTRUMENTACION-DIANA CAICEDO-DIANA DIAZ</v>
      </c>
      <c r="F5294" s="5" t="str">
        <f>"Descripcion: TIJERA DE METZEMBAUM LARGA Estado: Bueno Placa anterior: 000032076 Material: ACERO INOXIDABLE Color: PLATEADO Referencia:  Observacion:     Placa padre: I0000246Tipo adquisicion: Entidad"</f>
        <v>Descripcion: TIJERA DE METZEMBAUM LARGA Estado: Bueno Placa anterior: 000032076 Material: ACERO INOXIDABLE Color: PLATEADO Referencia:  Observacion:     Placa padre: I0000246Tipo adquisicion: Entidad</v>
      </c>
      <c r="G5294" s="5"/>
    </row>
    <row r="5295" spans="1:7" ht="58.5" customHeight="1" x14ac:dyDescent="0.25">
      <c r="A5295" s="5" t="str">
        <f>"I0000255"</f>
        <v>I0000255</v>
      </c>
      <c r="B5295" s="5" t="str">
        <f>"PINZA DE DISECCION SIN GARRA LARGA 25 CM"</f>
        <v>PINZA DE DISECCION SIN GARRA LARGA 25 CM</v>
      </c>
      <c r="C5295" s="6">
        <v>17400</v>
      </c>
      <c r="D5295" s="5"/>
      <c r="E5295" s="5" t="str">
        <f t="shared" si="267"/>
        <v>INSTRUMENTACION-DIANA CAICEDO-DIANA DIAZ</v>
      </c>
      <c r="F5295" s="5" t="str">
        <f>"Descripcion: PINZA DE DISECCION SIN GARRA MEDIANA Estado: Bueno Placa anterior: 000032284 Material: ACERO INOXIDABLE Color: PLATEADO Referencia:  Observacion:     Placa padre: I0000246Tipo adquisicion: Entidad"</f>
        <v>Descripcion: PINZA DE DISECCION SIN GARRA MEDIANA Estado: Bueno Placa anterior: 000032284 Material: ACERO INOXIDABLE Color: PLATEADO Referencia:  Observacion:     Placa padre: I0000246Tipo adquisicion: Entidad</v>
      </c>
      <c r="G5295" s="5"/>
    </row>
    <row r="5296" spans="1:7" ht="58.5" customHeight="1" x14ac:dyDescent="0.25">
      <c r="A5296" s="5" t="str">
        <f>"I0000257"</f>
        <v>I0000257</v>
      </c>
      <c r="B5296" s="5" t="str">
        <f>"PINZA DE DISECCION CON GARRA MEDIANA 25 CM"</f>
        <v>PINZA DE DISECCION CON GARRA MEDIANA 25 CM</v>
      </c>
      <c r="C5296" s="6">
        <v>12200</v>
      </c>
      <c r="D5296" s="5"/>
      <c r="E5296" s="5" t="str">
        <f t="shared" si="267"/>
        <v>INSTRUMENTACION-DIANA CAICEDO-DIANA DIAZ</v>
      </c>
      <c r="F5296" s="5" t="str">
        <f>"Descripcion: PINZA DE DISECCION CON GARRA PEQUEÑA Estado: Bueno Placa anterior: 000020473 Material: ACERO INOXIDABLE Color: PLATEADO Referencia:  Observacion: PINZA CON GARRA MARTIN Placa padre: I0000246Tipo adquisicion: Entidad"</f>
        <v>Descripcion: PINZA DE DISECCION CON GARRA PEQUEÑA Estado: Bueno Placa anterior: 000020473 Material: ACERO INOXIDABLE Color: PLATEADO Referencia:  Observacion: PINZA CON GARRA MARTIN Placa padre: I0000246Tipo adquisicion: Entidad</v>
      </c>
      <c r="G5296" s="5"/>
    </row>
    <row r="5297" spans="1:7" ht="58.5" customHeight="1" x14ac:dyDescent="0.25">
      <c r="A5297" s="5" t="str">
        <f>"I0000259"</f>
        <v>I0000259</v>
      </c>
      <c r="B5297" s="5" t="str">
        <f>"PINZA DE DISECCION SIN GARRA CORTA 20 CM"</f>
        <v>PINZA DE DISECCION SIN GARRA CORTA 20 CM</v>
      </c>
      <c r="C5297" s="6">
        <v>36972.160000000003</v>
      </c>
      <c r="D5297" s="5"/>
      <c r="E5297" s="5" t="str">
        <f t="shared" si="267"/>
        <v>INSTRUMENTACION-DIANA CAICEDO-DIANA DIAZ</v>
      </c>
      <c r="F5297" s="5" t="str">
        <f>"Descripcion: PINZA DISECCION RUSA Estado: Bueno Placa anterior: 000012893 Material: ACERO INOXIDABLE Color: PLATEADO Referencia:  Observacion:     Placa padre: I0000246Tipo adquisicion: Entidad"</f>
        <v>Descripcion: PINZA DISECCION RUSA Estado: Bueno Placa anterior: 000012893 Material: ACERO INOXIDABLE Color: PLATEADO Referencia:  Observacion:     Placa padre: I0000246Tipo adquisicion: Entidad</v>
      </c>
      <c r="G5297" s="5"/>
    </row>
    <row r="5298" spans="1:7" ht="58.5" customHeight="1" x14ac:dyDescent="0.25">
      <c r="A5298" s="5" t="str">
        <f>"I0000260"</f>
        <v>I0000260</v>
      </c>
      <c r="B5298" s="5" t="str">
        <f t="shared" ref="B5298:B5307" si="269">"PINZA KELLY CURVA 16 CM"</f>
        <v>PINZA KELLY CURVA 16 CM</v>
      </c>
      <c r="C5298" s="6">
        <v>52200</v>
      </c>
      <c r="D5298" s="5"/>
      <c r="E5298" s="5" t="str">
        <f t="shared" si="267"/>
        <v>INSTRUMENTACION-DIANA CAICEDO-DIANA DIAZ</v>
      </c>
      <c r="F5298" s="5" t="str">
        <f>"Descripcion: PINZAS  KELLY CURVAS Estado: Bueno Placa anterior: 000036072 Material: ACERO INOXIDABLE Color: PLATEADO Referencia:  Observacion:     Placa padre: I0000246Tipo adquisicion: Entidad"</f>
        <v>Descripcion: PINZAS  KELLY CURVAS Estado: Bueno Placa anterior: 000036072 Material: ACERO INOXIDABLE Color: PLATEADO Referencia:  Observacion:     Placa padre: I0000246Tipo adquisicion: Entidad</v>
      </c>
      <c r="G5298" s="5"/>
    </row>
    <row r="5299" spans="1:7" ht="58.5" customHeight="1" x14ac:dyDescent="0.25">
      <c r="A5299" s="5" t="str">
        <f>"I0000261"</f>
        <v>I0000261</v>
      </c>
      <c r="B5299" s="5" t="str">
        <f t="shared" si="269"/>
        <v>PINZA KELLY CURVA 16 CM</v>
      </c>
      <c r="C5299" s="6">
        <v>52200</v>
      </c>
      <c r="D5299" s="5"/>
      <c r="E5299" s="5" t="str">
        <f t="shared" si="267"/>
        <v>INSTRUMENTACION-DIANA CAICEDO-DIANA DIAZ</v>
      </c>
      <c r="F5299" s="5" t="str">
        <f>"Descripcion: PINZAS  KELLY CURVAS Estado: Bueno Placa anterior: 000036073 Material: ACERO INOXIDABLE Color: PLATEADO Referencia:  Observacion:     Placa padre: I0000246Tipo adquisicion: Entidad"</f>
        <v>Descripcion: PINZAS  KELLY CURVAS Estado: Bueno Placa anterior: 000036073 Material: ACERO INOXIDABLE Color: PLATEADO Referencia:  Observacion:     Placa padre: I0000246Tipo adquisicion: Entidad</v>
      </c>
      <c r="G5299" s="5"/>
    </row>
    <row r="5300" spans="1:7" ht="58.5" customHeight="1" x14ac:dyDescent="0.25">
      <c r="A5300" s="5" t="str">
        <f>"I0000262"</f>
        <v>I0000262</v>
      </c>
      <c r="B5300" s="5" t="str">
        <f t="shared" si="269"/>
        <v>PINZA KELLY CURVA 16 CM</v>
      </c>
      <c r="C5300" s="6">
        <v>52200</v>
      </c>
      <c r="D5300" s="5"/>
      <c r="E5300" s="5" t="str">
        <f t="shared" si="267"/>
        <v>INSTRUMENTACION-DIANA CAICEDO-DIANA DIAZ</v>
      </c>
      <c r="F5300" s="5" t="str">
        <f>"Descripcion: PINZAS  KELLY CURVAS Estado: Bueno Placa anterior: 000036074 Material: ACERO INOXIDABLE Color: PLATEADO Referencia:  Observacion:     Placa padre: I0000246Tipo adquisicion: Entidad"</f>
        <v>Descripcion: PINZAS  KELLY CURVAS Estado: Bueno Placa anterior: 000036074 Material: ACERO INOXIDABLE Color: PLATEADO Referencia:  Observacion:     Placa padre: I0000246Tipo adquisicion: Entidad</v>
      </c>
      <c r="G5300" s="5"/>
    </row>
    <row r="5301" spans="1:7" ht="58.5" customHeight="1" x14ac:dyDescent="0.25">
      <c r="A5301" s="5" t="str">
        <f>"I0000263"</f>
        <v>I0000263</v>
      </c>
      <c r="B5301" s="5" t="str">
        <f t="shared" si="269"/>
        <v>PINZA KELLY CURVA 16 CM</v>
      </c>
      <c r="C5301" s="6">
        <v>52200</v>
      </c>
      <c r="D5301" s="5"/>
      <c r="E5301" s="5" t="str">
        <f t="shared" si="267"/>
        <v>INSTRUMENTACION-DIANA CAICEDO-DIANA DIAZ</v>
      </c>
      <c r="F5301" s="5" t="str">
        <f>"Descripcion: PINZAS  KELLY CURVAS Estado: Bueno Placa anterior: 000036075 Material: ACERO INOXIDABLE Color: PLATEADO Referencia:  Observacion:     Placa padre: I0000246Tipo adquisicion: Entidad"</f>
        <v>Descripcion: PINZAS  KELLY CURVAS Estado: Bueno Placa anterior: 000036075 Material: ACERO INOXIDABLE Color: PLATEADO Referencia:  Observacion:     Placa padre: I0000246Tipo adquisicion: Entidad</v>
      </c>
      <c r="G5301" s="5"/>
    </row>
    <row r="5302" spans="1:7" ht="58.5" customHeight="1" x14ac:dyDescent="0.25">
      <c r="A5302" s="5" t="str">
        <f>"I0000264"</f>
        <v>I0000264</v>
      </c>
      <c r="B5302" s="5" t="str">
        <f t="shared" si="269"/>
        <v>PINZA KELLY CURVA 16 CM</v>
      </c>
      <c r="C5302" s="6">
        <v>52200</v>
      </c>
      <c r="D5302" s="5"/>
      <c r="E5302" s="5" t="str">
        <f t="shared" si="267"/>
        <v>INSTRUMENTACION-DIANA CAICEDO-DIANA DIAZ</v>
      </c>
      <c r="F5302" s="5" t="str">
        <f>"Descripcion: PINZAS  KELLY CURVAS Estado: Bueno Placa anterior: 000036076 Material: ACERO INOXIDABLE Color: PLATEADO Referencia:  Observacion:     Placa padre: I0000246Tipo adquisicion: Entidad"</f>
        <v>Descripcion: PINZAS  KELLY CURVAS Estado: Bueno Placa anterior: 000036076 Material: ACERO INOXIDABLE Color: PLATEADO Referencia:  Observacion:     Placa padre: I0000246Tipo adquisicion: Entidad</v>
      </c>
      <c r="G5302" s="5"/>
    </row>
    <row r="5303" spans="1:7" ht="58.5" customHeight="1" x14ac:dyDescent="0.25">
      <c r="A5303" s="5" t="str">
        <f>"I0000265"</f>
        <v>I0000265</v>
      </c>
      <c r="B5303" s="5" t="str">
        <f t="shared" si="269"/>
        <v>PINZA KELLY CURVA 16 CM</v>
      </c>
      <c r="C5303" s="6">
        <v>52200</v>
      </c>
      <c r="D5303" s="5"/>
      <c r="E5303" s="5" t="str">
        <f t="shared" si="267"/>
        <v>INSTRUMENTACION-DIANA CAICEDO-DIANA DIAZ</v>
      </c>
      <c r="F5303" s="5" t="str">
        <f>"Descripcion: PINZAS  KELLY CURVAS Estado: Bueno Placa anterior: 000036077 Material: ACERO INOXIDABLE Color: PLATEADO Referencia:  Observacion:     Placa padre: I0000246Tipo adquisicion: Entidad"</f>
        <v>Descripcion: PINZAS  KELLY CURVAS Estado: Bueno Placa anterior: 000036077 Material: ACERO INOXIDABLE Color: PLATEADO Referencia:  Observacion:     Placa padre: I0000246Tipo adquisicion: Entidad</v>
      </c>
      <c r="G5303" s="5"/>
    </row>
    <row r="5304" spans="1:7" ht="58.5" customHeight="1" x14ac:dyDescent="0.25">
      <c r="A5304" s="5" t="str">
        <f>"I0000266"</f>
        <v>I0000266</v>
      </c>
      <c r="B5304" s="5" t="str">
        <f t="shared" si="269"/>
        <v>PINZA KELLY CURVA 16 CM</v>
      </c>
      <c r="C5304" s="6">
        <v>52200</v>
      </c>
      <c r="D5304" s="5"/>
      <c r="E5304" s="5" t="str">
        <f t="shared" si="267"/>
        <v>INSTRUMENTACION-DIANA CAICEDO-DIANA DIAZ</v>
      </c>
      <c r="F5304" s="5" t="str">
        <f>"Descripcion: PINZAS  KELLY CURVAS Estado: Bueno Placa anterior: 000036078 Material: ACERO INOXIDABLE Color: PLATEADO Referencia:  Observacion:     Placa padre: I0000246Tipo adquisicion: Entidad"</f>
        <v>Descripcion: PINZAS  KELLY CURVAS Estado: Bueno Placa anterior: 000036078 Material: ACERO INOXIDABLE Color: PLATEADO Referencia:  Observacion:     Placa padre: I0000246Tipo adquisicion: Entidad</v>
      </c>
      <c r="G5304" s="5"/>
    </row>
    <row r="5305" spans="1:7" ht="58.5" customHeight="1" x14ac:dyDescent="0.25">
      <c r="A5305" s="5" t="str">
        <f>"I0000267"</f>
        <v>I0000267</v>
      </c>
      <c r="B5305" s="5" t="str">
        <f t="shared" si="269"/>
        <v>PINZA KELLY CURVA 16 CM</v>
      </c>
      <c r="C5305" s="6">
        <v>52200</v>
      </c>
      <c r="D5305" s="5"/>
      <c r="E5305" s="5" t="str">
        <f t="shared" si="267"/>
        <v>INSTRUMENTACION-DIANA CAICEDO-DIANA DIAZ</v>
      </c>
      <c r="F5305" s="5" t="str">
        <f>"Descripcion: PINZAS  KELLY CURVAS Estado: Bueno Placa anterior: 000036079 Material: ACERO INOXIDABLE Color: PLATEADO Referencia:  Observacion:     Placa padre: I0000246Tipo adquisicion: Entidad"</f>
        <v>Descripcion: PINZAS  KELLY CURVAS Estado: Bueno Placa anterior: 000036079 Material: ACERO INOXIDABLE Color: PLATEADO Referencia:  Observacion:     Placa padre: I0000246Tipo adquisicion: Entidad</v>
      </c>
      <c r="G5305" s="5"/>
    </row>
    <row r="5306" spans="1:7" ht="58.5" customHeight="1" x14ac:dyDescent="0.25">
      <c r="A5306" s="5" t="str">
        <f>"I0000268"</f>
        <v>I0000268</v>
      </c>
      <c r="B5306" s="5" t="str">
        <f t="shared" si="269"/>
        <v>PINZA KELLY CURVA 16 CM</v>
      </c>
      <c r="C5306" s="6">
        <v>52200</v>
      </c>
      <c r="D5306" s="5"/>
      <c r="E5306" s="5" t="str">
        <f t="shared" si="267"/>
        <v>INSTRUMENTACION-DIANA CAICEDO-DIANA DIAZ</v>
      </c>
      <c r="F5306" s="5" t="str">
        <f>"Descripcion: PINZAS  KELLY CURVAS Estado: Bueno Placa anterior: 000036080 Material: ACERO INOXIDABLE Color: PLATEADO Referencia:  Observacion:     Placa padre: I0000246Tipo adquisicion: Entidad"</f>
        <v>Descripcion: PINZAS  KELLY CURVAS Estado: Bueno Placa anterior: 000036080 Material: ACERO INOXIDABLE Color: PLATEADO Referencia:  Observacion:     Placa padre: I0000246Tipo adquisicion: Entidad</v>
      </c>
      <c r="G5306" s="5"/>
    </row>
    <row r="5307" spans="1:7" ht="58.5" customHeight="1" x14ac:dyDescent="0.25">
      <c r="A5307" s="5" t="str">
        <f>"I0000269"</f>
        <v>I0000269</v>
      </c>
      <c r="B5307" s="5" t="str">
        <f t="shared" si="269"/>
        <v>PINZA KELLY CURVA 16 CM</v>
      </c>
      <c r="C5307" s="6">
        <v>52200</v>
      </c>
      <c r="D5307" s="5"/>
      <c r="E5307" s="5" t="str">
        <f t="shared" si="267"/>
        <v>INSTRUMENTACION-DIANA CAICEDO-DIANA DIAZ</v>
      </c>
      <c r="F5307" s="5" t="str">
        <f>"Descripcion: PINZAS  KELLY CURVAS Estado: Bueno Placa anterior: 000036081 Material: ACERO INOXIDABLE Color: PLATEADO Referencia:  Observacion:     Placa padre: I0000246Tipo adquisicion: Entidad"</f>
        <v>Descripcion: PINZAS  KELLY CURVAS Estado: Bueno Placa anterior: 000036081 Material: ACERO INOXIDABLE Color: PLATEADO Referencia:  Observacion:     Placa padre: I0000246Tipo adquisicion: Entidad</v>
      </c>
      <c r="G5307" s="5"/>
    </row>
    <row r="5308" spans="1:7" ht="58.5" customHeight="1" x14ac:dyDescent="0.25">
      <c r="A5308" s="5" t="str">
        <f>"I0000270"</f>
        <v>I0000270</v>
      </c>
      <c r="B5308" s="5" t="str">
        <f>"PINZA KELLY RECTA 16 CM"</f>
        <v>PINZA KELLY RECTA 16 CM</v>
      </c>
      <c r="C5308" s="6">
        <v>52200</v>
      </c>
      <c r="D5308" s="5"/>
      <c r="E5308" s="5" t="str">
        <f t="shared" si="267"/>
        <v>INSTRUMENTACION-DIANA CAICEDO-DIANA DIAZ</v>
      </c>
      <c r="F5308" s="5" t="str">
        <f>"Descripcion: PINZAS  KELLY RECTAS  Estado: Bueno Placa anterior: 000036084 Material: ACERO INOXIDABLE Color: PLATEADO Referencia:  Observacion:     Placa padre: I0000246Tipo adquisicion: Entidad"</f>
        <v>Descripcion: PINZAS  KELLY RECTAS  Estado: Bueno Placa anterior: 000036084 Material: ACERO INOXIDABLE Color: PLATEADO Referencia:  Observacion:     Placa padre: I0000246Tipo adquisicion: Entidad</v>
      </c>
      <c r="G5308" s="5"/>
    </row>
    <row r="5309" spans="1:7" ht="58.5" customHeight="1" x14ac:dyDescent="0.25">
      <c r="A5309" s="5" t="str">
        <f>"I0000271"</f>
        <v>I0000271</v>
      </c>
      <c r="B5309" s="5" t="str">
        <f>"PINZA KELLY RECTA 16 CM"</f>
        <v>PINZA KELLY RECTA 16 CM</v>
      </c>
      <c r="C5309" s="6">
        <v>52200</v>
      </c>
      <c r="D5309" s="5"/>
      <c r="E5309" s="5" t="str">
        <f t="shared" si="267"/>
        <v>INSTRUMENTACION-DIANA CAICEDO-DIANA DIAZ</v>
      </c>
      <c r="F5309" s="5" t="str">
        <f>"Descripcion: PINZAS  KELLY RECTAS  Estado: Bueno Placa anterior: 000036085 Material: ACERO INOXIDABLE Color: PLATEADO Referencia:  Observacion:     Placa padre: I0000246Tipo adquisicion: Entidad"</f>
        <v>Descripcion: PINZAS  KELLY RECTAS  Estado: Bueno Placa anterior: 000036085 Material: ACERO INOXIDABLE Color: PLATEADO Referencia:  Observacion:     Placa padre: I0000246Tipo adquisicion: Entidad</v>
      </c>
      <c r="G5309" s="5"/>
    </row>
    <row r="5310" spans="1:7" ht="58.5" customHeight="1" x14ac:dyDescent="0.25">
      <c r="A5310" s="5" t="str">
        <f>"I0000272"</f>
        <v>I0000272</v>
      </c>
      <c r="B5310" s="5" t="str">
        <f>"PINZA ROCHESTER CURVA 25 CM"</f>
        <v>PINZA ROCHESTER CURVA 25 CM</v>
      </c>
      <c r="C5310" s="6">
        <v>81200</v>
      </c>
      <c r="D5310" s="5"/>
      <c r="E5310" s="5" t="str">
        <f t="shared" si="267"/>
        <v>INSTRUMENTACION-DIANA CAICEDO-DIANA DIAZ</v>
      </c>
      <c r="F5310" s="5" t="str">
        <f>"Descripcion: PINZAS ROCHESTER CURVAS Estado: Bueno Placa anterior: 000036170 Material: ACERO INOXIDABLE Color: PLATEADO Referencia:  Observacion:     Placa padre: I0000246Tipo adquisicion: Entidad"</f>
        <v>Descripcion: PINZAS ROCHESTER CURVAS Estado: Bueno Placa anterior: 000036170 Material: ACERO INOXIDABLE Color: PLATEADO Referencia:  Observacion:     Placa padre: I0000246Tipo adquisicion: Entidad</v>
      </c>
      <c r="G5310" s="5"/>
    </row>
    <row r="5311" spans="1:7" ht="58.5" customHeight="1" x14ac:dyDescent="0.25">
      <c r="A5311" s="5" t="str">
        <f>"I0000273"</f>
        <v>I0000273</v>
      </c>
      <c r="B5311" s="5" t="str">
        <f>"PINZA ROCHESTER CURVA 25 CM"</f>
        <v>PINZA ROCHESTER CURVA 25 CM</v>
      </c>
      <c r="C5311" s="6">
        <v>81200</v>
      </c>
      <c r="D5311" s="5"/>
      <c r="E5311" s="5" t="str">
        <f t="shared" si="267"/>
        <v>INSTRUMENTACION-DIANA CAICEDO-DIANA DIAZ</v>
      </c>
      <c r="F5311" s="5" t="str">
        <f>"Descripcion: PINZAS ROCHESTER CURVAS Estado: Bueno Placa anterior: 000036171 Material: ACERO INOXIDABLE Color: PLATEADO Referencia:  Observacion:     Placa padre: I0000246Tipo adquisicion: Entidad"</f>
        <v>Descripcion: PINZAS ROCHESTER CURVAS Estado: Bueno Placa anterior: 000036171 Material: ACERO INOXIDABLE Color: PLATEADO Referencia:  Observacion:     Placa padre: I0000246Tipo adquisicion: Entidad</v>
      </c>
      <c r="G5311" s="5"/>
    </row>
    <row r="5312" spans="1:7" ht="58.5" customHeight="1" x14ac:dyDescent="0.25">
      <c r="A5312" s="5" t="str">
        <f>"I0000274"</f>
        <v>I0000274</v>
      </c>
      <c r="B5312" s="5" t="str">
        <f>"PINZA ROCHESTER CURVA 25 CM"</f>
        <v>PINZA ROCHESTER CURVA 25 CM</v>
      </c>
      <c r="C5312" s="6">
        <v>81200</v>
      </c>
      <c r="D5312" s="5"/>
      <c r="E5312" s="5" t="str">
        <f t="shared" si="267"/>
        <v>INSTRUMENTACION-DIANA CAICEDO-DIANA DIAZ</v>
      </c>
      <c r="F5312" s="5" t="str">
        <f>"Descripcion: PINZAS ROCHESTER CURVAS Estado: Bueno Placa anterior: 000036172 Material: ACERO INOXIDABLE Color: PLATEADO Referencia:  Observacion:     Placa padre: I0000246Tipo adquisicion: Entidad"</f>
        <v>Descripcion: PINZAS ROCHESTER CURVAS Estado: Bueno Placa anterior: 000036172 Material: ACERO INOXIDABLE Color: PLATEADO Referencia:  Observacion:     Placa padre: I0000246Tipo adquisicion: Entidad</v>
      </c>
      <c r="G5312" s="5"/>
    </row>
    <row r="5313" spans="1:7" ht="58.5" customHeight="1" x14ac:dyDescent="0.25">
      <c r="A5313" s="5" t="str">
        <f>"I0000280"</f>
        <v>I0000280</v>
      </c>
      <c r="B5313" s="5" t="str">
        <f>"PINZA ALLIX"</f>
        <v>PINZA ALLIX</v>
      </c>
      <c r="C5313" s="6">
        <v>98600</v>
      </c>
      <c r="D5313" s="5"/>
      <c r="E5313" s="5" t="str">
        <f t="shared" si="267"/>
        <v>INSTRUMENTACION-DIANA CAICEDO-DIANA DIAZ</v>
      </c>
      <c r="F5313" s="5" t="str">
        <f>"Descripcion: PINZAS ALLIX LARGAS (DIMEDA) Estado: Bueno Placa anterior: 000031694 Material: ACERO INOXIDABLE Color: PLATEADO Referencia:  Observacion:     Placa padre: I0000246Tipo adquisicion: Entidad"</f>
        <v>Descripcion: PINZAS ALLIX LARGAS (DIMEDA) Estado: Bueno Placa anterior: 000031694 Material: ACERO INOXIDABLE Color: PLATEADO Referencia:  Observacion:     Placa padre: I0000246Tipo adquisicion: Entidad</v>
      </c>
      <c r="G5313" s="5"/>
    </row>
    <row r="5314" spans="1:7" ht="58.5" customHeight="1" x14ac:dyDescent="0.25">
      <c r="A5314" s="5" t="str">
        <f>"I0000281"</f>
        <v>I0000281</v>
      </c>
      <c r="B5314" s="5" t="str">
        <f>"PINZA ALLIX"</f>
        <v>PINZA ALLIX</v>
      </c>
      <c r="C5314" s="6">
        <v>98600</v>
      </c>
      <c r="D5314" s="5"/>
      <c r="E5314" s="5" t="str">
        <f t="shared" si="267"/>
        <v>INSTRUMENTACION-DIANA CAICEDO-DIANA DIAZ</v>
      </c>
      <c r="F5314" s="5" t="str">
        <f>"Descripcion: PINZAS ALLIX LARGAS (DIMEDA) Estado: Bueno Placa anterior: 000031695 Material: ACERO INOXIDABLE Color: PLATEADO Referencia:  Observacion:     Placa padre: I0000246Tipo adquisicion: Entidad"</f>
        <v>Descripcion: PINZAS ALLIX LARGAS (DIMEDA) Estado: Bueno Placa anterior: 000031695 Material: ACERO INOXIDABLE Color: PLATEADO Referencia:  Observacion:     Placa padre: I0000246Tipo adquisicion: Entidad</v>
      </c>
      <c r="G5314" s="5"/>
    </row>
    <row r="5315" spans="1:7" ht="58.5" customHeight="1" x14ac:dyDescent="0.25">
      <c r="A5315" s="5" t="str">
        <f>"I0000282"</f>
        <v>I0000282</v>
      </c>
      <c r="B5315" s="5" t="str">
        <f>"PINZA ALLIX"</f>
        <v>PINZA ALLIX</v>
      </c>
      <c r="C5315" s="6">
        <v>98600</v>
      </c>
      <c r="D5315" s="5"/>
      <c r="E5315" s="5" t="str">
        <f t="shared" si="267"/>
        <v>INSTRUMENTACION-DIANA CAICEDO-DIANA DIAZ</v>
      </c>
      <c r="F5315" s="5" t="str">
        <f>"Descripcion: PINZAS ALLIX LARGAS (DIMEDA) Estado: Bueno Placa anterior: 000031696 Material: ACERO INOXIDABLE Color: PLATEADO Referencia:  Observacion:     Placa padre: I0000246Tipo adquisicion: Entidad"</f>
        <v>Descripcion: PINZAS ALLIX LARGAS (DIMEDA) Estado: Bueno Placa anterior: 000031696 Material: ACERO INOXIDABLE Color: PLATEADO Referencia:  Observacion:     Placa padre: I0000246Tipo adquisicion: Entidad</v>
      </c>
      <c r="G5315" s="5"/>
    </row>
    <row r="5316" spans="1:7" ht="58.5" customHeight="1" x14ac:dyDescent="0.25">
      <c r="A5316" s="5" t="str">
        <f>"I0000298"</f>
        <v>I0000298</v>
      </c>
      <c r="B5316" s="5" t="str">
        <f t="shared" ref="B5316:B5321" si="270">"PINZA DE CAMPO"</f>
        <v>PINZA DE CAMPO</v>
      </c>
      <c r="C5316" s="6">
        <v>39440</v>
      </c>
      <c r="D5316" s="5"/>
      <c r="E5316" s="5" t="str">
        <f t="shared" si="267"/>
        <v>INSTRUMENTACION-DIANA CAICEDO-DIANA DIAZ</v>
      </c>
      <c r="F5316" s="5" t="str">
        <f>"Descripcion: PINZAS DE CAMPO (DIMEDA) Estado: Bueno Placa anterior: 000031753 Material: ACERO INOXIDABLE Color: PLATEADO Referencia:  Observacion:     Placa padre: I0000246Tipo adquisicion: Entidad"</f>
        <v>Descripcion: PINZAS DE CAMPO (DIMEDA) Estado: Bueno Placa anterior: 000031753 Material: ACERO INOXIDABLE Color: PLATEADO Referencia:  Observacion:     Placa padre: I0000246Tipo adquisicion: Entidad</v>
      </c>
      <c r="G5316" s="5"/>
    </row>
    <row r="5317" spans="1:7" ht="58.5" customHeight="1" x14ac:dyDescent="0.25">
      <c r="A5317" s="5" t="str">
        <f>"I0000299"</f>
        <v>I0000299</v>
      </c>
      <c r="B5317" s="5" t="str">
        <f t="shared" si="270"/>
        <v>PINZA DE CAMPO</v>
      </c>
      <c r="C5317" s="6">
        <v>39440</v>
      </c>
      <c r="D5317" s="5"/>
      <c r="E5317" s="5" t="str">
        <f t="shared" si="267"/>
        <v>INSTRUMENTACION-DIANA CAICEDO-DIANA DIAZ</v>
      </c>
      <c r="F5317" s="5" t="str">
        <f>"Descripcion: PINZAS DE CAMPO (DIMEDA) Estado: Bueno Placa anterior: 000031754 Material: ACERO INOXIDABLE Color: PLATEADO Referencia:  Observacion:     Placa padre: I0000246Tipo adquisicion: Entidad"</f>
        <v>Descripcion: PINZAS DE CAMPO (DIMEDA) Estado: Bueno Placa anterior: 000031754 Material: ACERO INOXIDABLE Color: PLATEADO Referencia:  Observacion:     Placa padre: I0000246Tipo adquisicion: Entidad</v>
      </c>
      <c r="G5317" s="5"/>
    </row>
    <row r="5318" spans="1:7" ht="58.5" customHeight="1" x14ac:dyDescent="0.25">
      <c r="A5318" s="5" t="str">
        <f>"I0000300"</f>
        <v>I0000300</v>
      </c>
      <c r="B5318" s="5" t="str">
        <f t="shared" si="270"/>
        <v>PINZA DE CAMPO</v>
      </c>
      <c r="C5318" s="6">
        <v>39440</v>
      </c>
      <c r="D5318" s="5"/>
      <c r="E5318" s="5" t="str">
        <f t="shared" si="267"/>
        <v>INSTRUMENTACION-DIANA CAICEDO-DIANA DIAZ</v>
      </c>
      <c r="F5318" s="5" t="str">
        <f>"Descripcion: PINZAS DE CAMPO (DIMEDA) Estado: Bueno Placa anterior: 000031755 Material: ACERO INOXIDABLE Color: PLATEADO Referencia:  Observacion:     Placa padre: I0000246Tipo adquisicion: Entidad"</f>
        <v>Descripcion: PINZAS DE CAMPO (DIMEDA) Estado: Bueno Placa anterior: 000031755 Material: ACERO INOXIDABLE Color: PLATEADO Referencia:  Observacion:     Placa padre: I0000246Tipo adquisicion: Entidad</v>
      </c>
      <c r="G5318" s="5"/>
    </row>
    <row r="5319" spans="1:7" ht="58.5" customHeight="1" x14ac:dyDescent="0.25">
      <c r="A5319" s="5" t="str">
        <f>"I0000301"</f>
        <v>I0000301</v>
      </c>
      <c r="B5319" s="5" t="str">
        <f t="shared" si="270"/>
        <v>PINZA DE CAMPO</v>
      </c>
      <c r="C5319" s="6">
        <v>39440</v>
      </c>
      <c r="D5319" s="5"/>
      <c r="E5319" s="5" t="str">
        <f t="shared" si="267"/>
        <v>INSTRUMENTACION-DIANA CAICEDO-DIANA DIAZ</v>
      </c>
      <c r="F5319" s="5" t="str">
        <f>"Descripcion: PINZAS DE CAMPO (DIMEDA) Estado: Bueno Placa anterior: 000031756 Material: ACERO INOXIDABLE Color: PLATEADO Referencia:  Observacion:     Placa padre: I0000246Tipo adquisicion: Entidad"</f>
        <v>Descripcion: PINZAS DE CAMPO (DIMEDA) Estado: Bueno Placa anterior: 000031756 Material: ACERO INOXIDABLE Color: PLATEADO Referencia:  Observacion:     Placa padre: I0000246Tipo adquisicion: Entidad</v>
      </c>
      <c r="G5319" s="5"/>
    </row>
    <row r="5320" spans="1:7" ht="58.5" customHeight="1" x14ac:dyDescent="0.25">
      <c r="A5320" s="5" t="str">
        <f>"I0000302"</f>
        <v>I0000302</v>
      </c>
      <c r="B5320" s="5" t="str">
        <f t="shared" si="270"/>
        <v>PINZA DE CAMPO</v>
      </c>
      <c r="C5320" s="6">
        <v>39440</v>
      </c>
      <c r="D5320" s="5"/>
      <c r="E5320" s="5" t="str">
        <f t="shared" si="267"/>
        <v>INSTRUMENTACION-DIANA CAICEDO-DIANA DIAZ</v>
      </c>
      <c r="F5320" s="5" t="str">
        <f>"Descripcion: PINZAS DE CAMPO (DIMEDA) Estado: Bueno Placa anterior: 000031757 Material: ACERO INOXIDABLE Color: PLATEADO Referencia:  Observacion:     Placa padre: I0000246Tipo adquisicion: Entidad"</f>
        <v>Descripcion: PINZAS DE CAMPO (DIMEDA) Estado: Bueno Placa anterior: 000031757 Material: ACERO INOXIDABLE Color: PLATEADO Referencia:  Observacion:     Placa padre: I0000246Tipo adquisicion: Entidad</v>
      </c>
      <c r="G5320" s="5"/>
    </row>
    <row r="5321" spans="1:7" ht="58.5" customHeight="1" x14ac:dyDescent="0.25">
      <c r="A5321" s="5" t="str">
        <f>"I0000303"</f>
        <v>I0000303</v>
      </c>
      <c r="B5321" s="5" t="str">
        <f t="shared" si="270"/>
        <v>PINZA DE CAMPO</v>
      </c>
      <c r="C5321" s="6">
        <v>39440</v>
      </c>
      <c r="D5321" s="5"/>
      <c r="E5321" s="5" t="str">
        <f t="shared" si="267"/>
        <v>INSTRUMENTACION-DIANA CAICEDO-DIANA DIAZ</v>
      </c>
      <c r="F5321" s="5" t="str">
        <f>"Descripcion: PINZAS DE CAMPO (DIMEDA) Estado: Bueno Placa anterior: 000031758 Material: ACERO INOXIDABLE Color: PLATEADO Referencia:  Observacion:     Placa padre: I0000246Tipo adquisicion: Entidad"</f>
        <v>Descripcion: PINZAS DE CAMPO (DIMEDA) Estado: Bueno Placa anterior: 000031758 Material: ACERO INOXIDABLE Color: PLATEADO Referencia:  Observacion:     Placa padre: I0000246Tipo adquisicion: Entidad</v>
      </c>
      <c r="G5321" s="5"/>
    </row>
    <row r="5322" spans="1:7" ht="58.5" customHeight="1" x14ac:dyDescent="0.25">
      <c r="A5322" s="5" t="str">
        <f>"I0000304"</f>
        <v>I0000304</v>
      </c>
      <c r="B5322" s="5" t="str">
        <f>"CANULA DE YANKAUER"</f>
        <v>CANULA DE YANKAUER</v>
      </c>
      <c r="C5322" s="6">
        <v>92800</v>
      </c>
      <c r="D5322" s="5"/>
      <c r="E5322" s="5" t="str">
        <f t="shared" si="267"/>
        <v>INSTRUMENTACION-DIANA CAICEDO-DIANA DIAZ</v>
      </c>
      <c r="F5322" s="5" t="str">
        <f>"Descripcion: CANULA DE SUCCION DE YANKAWER (DIMEDA) Estado: Bueno Placa anterior: 000031637 Material: ACERO INOXIDABLE Color: PLATEADO Referencia:  Observacion:     Placa padre: I0000246Tipo adquisicion: Entidad"</f>
        <v>Descripcion: CANULA DE SUCCION DE YANKAWER (DIMEDA) Estado: Bueno Placa anterior: 000031637 Material: ACERO INOXIDABLE Color: PLATEADO Referencia:  Observacion:     Placa padre: I0000246Tipo adquisicion: Entidad</v>
      </c>
      <c r="G5322" s="5"/>
    </row>
    <row r="5323" spans="1:7" ht="58.5" customHeight="1" x14ac:dyDescent="0.25">
      <c r="A5323" s="5" t="str">
        <f>"I0000306"</f>
        <v>I0000306</v>
      </c>
      <c r="B5323" s="5" t="str">
        <f>"CUBETA DE ACERO INOXIDABLE GRANDE"</f>
        <v>CUBETA DE ACERO INOXIDABLE GRANDE</v>
      </c>
      <c r="C5323" s="6">
        <v>5421.11</v>
      </c>
      <c r="D5323" s="5"/>
      <c r="E5323" s="5" t="str">
        <f t="shared" si="267"/>
        <v>INSTRUMENTACION-DIANA CAICEDO-DIANA DIAZ</v>
      </c>
      <c r="F5323" s="5" t="str">
        <f>"Descripcion: CUBETA DE INSTRUMENTAL NIQUELADA Estado: Bueno Placa anterior: 000019522 Material: ACERO INOXIDABLE Color: PLATEADO Referencia:  Observacion:     Placa padre: I0000246Tipo adquisicion: Entidad"</f>
        <v>Descripcion: CUBETA DE INSTRUMENTAL NIQUELADA Estado: Bueno Placa anterior: 000019522 Material: ACERO INOXIDABLE Color: PLATEADO Referencia:  Observacion:     Placa padre: I0000246Tipo adquisicion: Entidad</v>
      </c>
      <c r="G5323" s="5"/>
    </row>
    <row r="5324" spans="1:7" ht="58.5" customHeight="1" x14ac:dyDescent="0.25">
      <c r="A5324" s="5" t="str">
        <f>"I0000307"</f>
        <v>I0000307</v>
      </c>
      <c r="B5324" s="5" t="str">
        <f>"EQUIPO DE LAPAROTOMIA"</f>
        <v>EQUIPO DE LAPAROTOMIA</v>
      </c>
      <c r="C5324" s="6">
        <v>1820862.3</v>
      </c>
      <c r="D5324" s="5"/>
      <c r="E5324" s="5" t="str">
        <f t="shared" si="267"/>
        <v>INSTRUMENTACION-DIANA CAICEDO-DIANA DIAZ</v>
      </c>
      <c r="F5324" s="5" t="str">
        <f>"Descripcion: EQUIPO DE LAPAROTOMIA #6 QUE CONSTA DE:  (1)MANGO DE BISTURI  #4  (1) MANGO DE BISTURI  #7  (2) SEPARADORES DE FARA BEUF  (1) SEPARADOR DE DEAVERS ANGOSTO  (1) TIJERA DE MAYO LARGA  (1) TIJERA DE METZEMBAUM LARGA  (1) PINZA DE DISECCION SIN G"&amp; "ARRA CORTA  (1) PINZA DE DISECCION SIN GARRA MEDIANA  (1) PINZA DE DISECCION SIN GARRA LARGA  (1) PINZA DE DISECCION CON GARRA PEQUEÑA  (1) PINZA DE DISECCION CON GARRA MEDIANA  (1) PINZA DISECCION RUSA  (10) PINZAS  KELLY CURVAS  (2) PINZAS  KELLY RECTAS"&amp; "   (8) PINZAS  ROCHESTER CURVAS   (6) PINZAS  ALLIX LARGAS (DIMEDA)  (2)  PINZAS KELLY ADSON  (2)  PINZAS DE CISTICO  (2)  PINZAS BABCOCK  (1) PORTA AGUJAS LARGO (DIMEDA)  (2) PORTA AGUJAS MEDIANO (DIMEDA)  (1) PINZA FOSTER  (1) PINZA MIXTER  (1)  PINZA D"&amp; "UVAL  (6) PINZAS DE CAMPO (DIMEDA)  (1) CANULA DE SUCCION DE YANKAWER (DIMEDA)  (1) PLATON NIQUELADO  (1) CUBETA DE INSTRUMENTAL NIQUELADA   Estado: Bueno Placa anterior: 000014660 Material: ACERO INOXIDABLE Color: PLATEADO Referencia:  Observacion:     P"&amp; "laca padre: Tipo adquisicion: Entidad"</f>
        <v>Descripcion: EQUIPO DE LAPAROTOMIA #6 QUE CONSTA DE:  (1)MANGO DE BISTURI  #4  (1) MANGO DE BISTURI  #7  (2) SEPARADORES DE FARA BEUF  (1) SEPARADOR DE DEAVERS ANGOSTO  (1) TIJERA DE MAYO LARGA  (1) TIJERA DE METZEMBAUM LARGA  (1) PINZA DE DISECCION SIN GARRA CORTA  (1) PINZA DE DISECCION SIN GARRA MEDIANA  (1) PINZA DE DISECCION SIN GARRA LARGA  (1) PINZA DE DISECCION CON GARRA PEQUEÑA  (1) PINZA DE DISECCION CON GARRA MEDIANA  (1) PINZA DISECCION RUSA  (10) PINZAS  KELLY CURVAS  (2) PINZAS  KELLY RECTAS   (8) PINZAS  ROCHESTER CURVAS   (6) PINZAS  ALLIX LARGAS (DIMEDA)  (2)  PINZAS KELLY ADSON  (2)  PINZAS DE CISTICO  (2)  PINZAS BABCOCK  (1) PORTA AGUJAS LARGO (DIMEDA)  (2) PORTA AGUJAS MEDIANO (DIMEDA)  (1) PINZA FOSTER  (1) PINZA MIXTER  (1)  PINZA DUVAL  (6) PINZAS DE CAMPO (DIMEDA)  (1) CANULA DE SUCCION DE YANKAWER (DIMEDA)  (1) PLATON NIQUELADO  (1) CUBETA DE INSTRUMENTAL NIQUELADA   Estado: Bueno Placa anterior: 000014660 Material: ACERO INOXIDABLE Color: PLATEADO Referencia:  Observacion:     Placa padre: Tipo adquisicion: Entidad</v>
      </c>
      <c r="G5324" s="5"/>
    </row>
    <row r="5325" spans="1:7" ht="58.5" customHeight="1" x14ac:dyDescent="0.25">
      <c r="A5325" s="5" t="str">
        <f>"I0000308"</f>
        <v>I0000308</v>
      </c>
      <c r="B5325" s="5" t="str">
        <f>"MANGO PARA BISTURI #4"</f>
        <v>MANGO PARA BISTURI #4</v>
      </c>
      <c r="C5325" s="6">
        <v>15080</v>
      </c>
      <c r="D5325" s="5"/>
      <c r="E5325" s="5" t="str">
        <f t="shared" si="267"/>
        <v>INSTRUMENTACION-DIANA CAICEDO-DIANA DIAZ</v>
      </c>
      <c r="F5325" s="5" t="str">
        <f>"Descripcion: MANGO DE BISTURI  #4 Estado: Bueno Placa anterior: 000031870 Material: ACERO INOXIDABLE Color: PLATEADO Referencia:  Observacion:     Placa padre: I0000307Tipo adquisicion: Entidad"</f>
        <v>Descripcion: MANGO DE BISTURI  #4 Estado: Bueno Placa anterior: 000031870 Material: ACERO INOXIDABLE Color: PLATEADO Referencia:  Observacion:     Placa padre: I0000307Tipo adquisicion: Entidad</v>
      </c>
      <c r="G5325" s="5"/>
    </row>
    <row r="5326" spans="1:7" ht="58.5" customHeight="1" x14ac:dyDescent="0.25">
      <c r="A5326" s="5" t="str">
        <f>"I0000310"</f>
        <v>I0000310</v>
      </c>
      <c r="B5326" s="5" t="str">
        <f>"SEPARADOR DE ABDOMEN (FARABEUF)"</f>
        <v>SEPARADOR DE ABDOMEN (FARABEUF)</v>
      </c>
      <c r="C5326" s="6">
        <v>46400</v>
      </c>
      <c r="D5326" s="5"/>
      <c r="E5326" s="5" t="str">
        <f t="shared" si="267"/>
        <v>INSTRUMENTACION-DIANA CAICEDO-DIANA DIAZ</v>
      </c>
      <c r="F5326" s="5" t="str">
        <f>"Descripcion: SEPARADOR DE FARA BEUF Estado: Bueno Placa anterior: 000032506 Material: ACERO INOXIDABLE Color: PLATEADO Referencia:  Observacion:     Placa padre: I0000307Tipo adquisicion: Entidad"</f>
        <v>Descripcion: SEPARADOR DE FARA BEUF Estado: Bueno Placa anterior: 000032506 Material: ACERO INOXIDABLE Color: PLATEADO Referencia:  Observacion:     Placa padre: I0000307Tipo adquisicion: Entidad</v>
      </c>
      <c r="G5326" s="5"/>
    </row>
    <row r="5327" spans="1:7" ht="58.5" customHeight="1" x14ac:dyDescent="0.25">
      <c r="A5327" s="5" t="str">
        <f>"I0000311"</f>
        <v>I0000311</v>
      </c>
      <c r="B5327" s="5" t="str">
        <f>"SEPARADOR DE ABDOMEN (FARABEUF)"</f>
        <v>SEPARADOR DE ABDOMEN (FARABEUF)</v>
      </c>
      <c r="C5327" s="6">
        <v>46400</v>
      </c>
      <c r="D5327" s="5"/>
      <c r="E5327" s="5" t="str">
        <f t="shared" si="267"/>
        <v>INSTRUMENTACION-DIANA CAICEDO-DIANA DIAZ</v>
      </c>
      <c r="F5327" s="5" t="str">
        <f>"Descripcion: SEPARADOR DE FARA BEUF Estado: Bueno Placa anterior: 000032507 Material: ACERO INOXIDABLE Color: PLATEADO Referencia:  Observacion:     Placa padre: I0000307Tipo adquisicion: Entidad"</f>
        <v>Descripcion: SEPARADOR DE FARA BEUF Estado: Bueno Placa anterior: 000032507 Material: ACERO INOXIDABLE Color: PLATEADO Referencia:  Observacion:     Placa padre: I0000307Tipo adquisicion: Entidad</v>
      </c>
      <c r="G5327" s="5"/>
    </row>
    <row r="5328" spans="1:7" ht="58.5" customHeight="1" x14ac:dyDescent="0.25">
      <c r="A5328" s="5" t="str">
        <f>"I0000315"</f>
        <v>I0000315</v>
      </c>
      <c r="B5328" s="5" t="str">
        <f>"TIJERA DE METZEMBAUM"</f>
        <v>TIJERA DE METZEMBAUM</v>
      </c>
      <c r="C5328" s="6">
        <v>63800</v>
      </c>
      <c r="D5328" s="5"/>
      <c r="E5328" s="5" t="str">
        <f t="shared" si="267"/>
        <v>INSTRUMENTACION-DIANA CAICEDO-DIANA DIAZ</v>
      </c>
      <c r="F5328" s="5" t="str">
        <f>"Descripcion: TIJERA DE METZEMBAUM LARGA Estado: Bueno Placa anterior: 000032077 Material: ACERO INOXIDABLE Color: PLATEADO Referencia:  Observacion:     Placa padre: I0000307Tipo adquisicion: Entidad"</f>
        <v>Descripcion: TIJERA DE METZEMBAUM LARGA Estado: Bueno Placa anterior: 000032077 Material: ACERO INOXIDABLE Color: PLATEADO Referencia:  Observacion:     Placa padre: I0000307Tipo adquisicion: Entidad</v>
      </c>
      <c r="G5328" s="5"/>
    </row>
    <row r="5329" spans="1:7" ht="58.5" customHeight="1" x14ac:dyDescent="0.25">
      <c r="A5329" s="5" t="str">
        <f>"I0000321"</f>
        <v>I0000321</v>
      </c>
      <c r="B5329" s="5" t="str">
        <f>"PINZA DE DISECCION SIN GARRA CORTA 20 CM"</f>
        <v>PINZA DE DISECCION SIN GARRA CORTA 20 CM</v>
      </c>
      <c r="C5329" s="6">
        <v>36972.160000000003</v>
      </c>
      <c r="D5329" s="5"/>
      <c r="E5329" s="5" t="str">
        <f t="shared" si="267"/>
        <v>INSTRUMENTACION-DIANA CAICEDO-DIANA DIAZ</v>
      </c>
      <c r="F5329" s="5" t="str">
        <f>"Descripcion: PINZA DISECCION RUSA Estado: Bueno Placa anterior: 000012894 Material: ACERO INOXIDABLE Color: PLATEADO Referencia:  Observacion:     Placa padre: I0000307Tipo adquisicion: Entidad"</f>
        <v>Descripcion: PINZA DISECCION RUSA Estado: Bueno Placa anterior: 000012894 Material: ACERO INOXIDABLE Color: PLATEADO Referencia:  Observacion:     Placa padre: I0000307Tipo adquisicion: Entidad</v>
      </c>
      <c r="G5329" s="5"/>
    </row>
    <row r="5330" spans="1:7" ht="58.5" customHeight="1" x14ac:dyDescent="0.25">
      <c r="A5330" s="5" t="str">
        <f>"I0000322"</f>
        <v>I0000322</v>
      </c>
      <c r="B5330" s="5" t="str">
        <f t="shared" ref="B5330:B5339" si="271">"PINZA KELLY CURVA 16 CM"</f>
        <v>PINZA KELLY CURVA 16 CM</v>
      </c>
      <c r="C5330" s="6">
        <v>52200</v>
      </c>
      <c r="D5330" s="5"/>
      <c r="E5330" s="5" t="str">
        <f t="shared" si="267"/>
        <v>INSTRUMENTACION-DIANA CAICEDO-DIANA DIAZ</v>
      </c>
      <c r="F5330" s="5" t="str">
        <f>"Descripcion: PINZAS  KELLY CURVAS Estado: Bueno Placa anterior: 000036086 Material: ACERO INOXIDABLE Color: PLATEADO Referencia:  Observacion:     Placa padre: I0000307Tipo adquisicion: Entidad"</f>
        <v>Descripcion: PINZAS  KELLY CURVAS Estado: Bueno Placa anterior: 000036086 Material: ACERO INOXIDABLE Color: PLATEADO Referencia:  Observacion:     Placa padre: I0000307Tipo adquisicion: Entidad</v>
      </c>
      <c r="G5330" s="5"/>
    </row>
    <row r="5331" spans="1:7" ht="58.5" customHeight="1" x14ac:dyDescent="0.25">
      <c r="A5331" s="5" t="str">
        <f>"I0000323"</f>
        <v>I0000323</v>
      </c>
      <c r="B5331" s="5" t="str">
        <f t="shared" si="271"/>
        <v>PINZA KELLY CURVA 16 CM</v>
      </c>
      <c r="C5331" s="6">
        <v>52200</v>
      </c>
      <c r="D5331" s="5"/>
      <c r="E5331" s="5" t="str">
        <f t="shared" si="267"/>
        <v>INSTRUMENTACION-DIANA CAICEDO-DIANA DIAZ</v>
      </c>
      <c r="F5331" s="5" t="str">
        <f>"Descripcion: PINZAS  KELLY CURVAS Estado: Bueno Placa anterior: 000036087 Material: ACERO INOXIDABLE Color: PLATEADO Referencia:  Observacion:     Placa padre: I0000307Tipo adquisicion: Entidad"</f>
        <v>Descripcion: PINZAS  KELLY CURVAS Estado: Bueno Placa anterior: 000036087 Material: ACERO INOXIDABLE Color: PLATEADO Referencia:  Observacion:     Placa padre: I0000307Tipo adquisicion: Entidad</v>
      </c>
      <c r="G5331" s="5"/>
    </row>
    <row r="5332" spans="1:7" ht="58.5" customHeight="1" x14ac:dyDescent="0.25">
      <c r="A5332" s="5" t="str">
        <f>"I0000324"</f>
        <v>I0000324</v>
      </c>
      <c r="B5332" s="5" t="str">
        <f t="shared" si="271"/>
        <v>PINZA KELLY CURVA 16 CM</v>
      </c>
      <c r="C5332" s="6">
        <v>52200</v>
      </c>
      <c r="D5332" s="5"/>
      <c r="E5332" s="5" t="str">
        <f t="shared" si="267"/>
        <v>INSTRUMENTACION-DIANA CAICEDO-DIANA DIAZ</v>
      </c>
      <c r="F5332" s="5" t="str">
        <f>"Descripcion: PINZAS  KELLY CURVAS Estado: Bueno Placa anterior: 000036088 Material: ACERO INOXIDABLE Color: PLATEADO Referencia:  Observacion:     Placa padre: I0000307Tipo adquisicion: Entidad"</f>
        <v>Descripcion: PINZAS  KELLY CURVAS Estado: Bueno Placa anterior: 000036088 Material: ACERO INOXIDABLE Color: PLATEADO Referencia:  Observacion:     Placa padre: I0000307Tipo adquisicion: Entidad</v>
      </c>
      <c r="G5332" s="5"/>
    </row>
    <row r="5333" spans="1:7" ht="58.5" customHeight="1" x14ac:dyDescent="0.25">
      <c r="A5333" s="5" t="str">
        <f>"I0000325"</f>
        <v>I0000325</v>
      </c>
      <c r="B5333" s="5" t="str">
        <f t="shared" si="271"/>
        <v>PINZA KELLY CURVA 16 CM</v>
      </c>
      <c r="C5333" s="6">
        <v>52200</v>
      </c>
      <c r="D5333" s="5"/>
      <c r="E5333" s="5" t="str">
        <f t="shared" si="267"/>
        <v>INSTRUMENTACION-DIANA CAICEDO-DIANA DIAZ</v>
      </c>
      <c r="F5333" s="5" t="str">
        <f>"Descripcion: PINZAS  KELLY CURVAS Estado: Bueno Placa anterior: 000036089 Material: ACERO INOXIDABLE Color: PLATEADO Referencia:  Observacion:     Placa padre: I0000307Tipo adquisicion: Entidad"</f>
        <v>Descripcion: PINZAS  KELLY CURVAS Estado: Bueno Placa anterior: 000036089 Material: ACERO INOXIDABLE Color: PLATEADO Referencia:  Observacion:     Placa padre: I0000307Tipo adquisicion: Entidad</v>
      </c>
      <c r="G5333" s="5"/>
    </row>
    <row r="5334" spans="1:7" ht="58.5" customHeight="1" x14ac:dyDescent="0.25">
      <c r="A5334" s="5" t="str">
        <f>"I0000326"</f>
        <v>I0000326</v>
      </c>
      <c r="B5334" s="5" t="str">
        <f t="shared" si="271"/>
        <v>PINZA KELLY CURVA 16 CM</v>
      </c>
      <c r="C5334" s="6">
        <v>52200</v>
      </c>
      <c r="D5334" s="5"/>
      <c r="E5334" s="5" t="str">
        <f t="shared" si="267"/>
        <v>INSTRUMENTACION-DIANA CAICEDO-DIANA DIAZ</v>
      </c>
      <c r="F5334" s="5" t="str">
        <f>"Descripcion: PINZAS  KELLY CURVAS Estado: Bueno Placa anterior: 000036090 Material: ACERO INOXIDABLE Color: PLATEADO Referencia:  Observacion:     Placa padre: I0000307Tipo adquisicion: Entidad"</f>
        <v>Descripcion: PINZAS  KELLY CURVAS Estado: Bueno Placa anterior: 000036090 Material: ACERO INOXIDABLE Color: PLATEADO Referencia:  Observacion:     Placa padre: I0000307Tipo adquisicion: Entidad</v>
      </c>
      <c r="G5334" s="5"/>
    </row>
    <row r="5335" spans="1:7" ht="58.5" customHeight="1" x14ac:dyDescent="0.25">
      <c r="A5335" s="5" t="str">
        <f>"I0000327"</f>
        <v>I0000327</v>
      </c>
      <c r="B5335" s="5" t="str">
        <f t="shared" si="271"/>
        <v>PINZA KELLY CURVA 16 CM</v>
      </c>
      <c r="C5335" s="6">
        <v>52200</v>
      </c>
      <c r="D5335" s="5"/>
      <c r="E5335" s="5" t="str">
        <f t="shared" si="267"/>
        <v>INSTRUMENTACION-DIANA CAICEDO-DIANA DIAZ</v>
      </c>
      <c r="F5335" s="5" t="str">
        <f>"Descripcion: PINZAS  KELLY CURVAS Estado: Bueno Placa anterior: 000036091 Material: ACERO INOXIDABLE Color: PLATEADO Referencia:  Observacion:     Placa padre: I0000307Tipo adquisicion: Entidad"</f>
        <v>Descripcion: PINZAS  KELLY CURVAS Estado: Bueno Placa anterior: 000036091 Material: ACERO INOXIDABLE Color: PLATEADO Referencia:  Observacion:     Placa padre: I0000307Tipo adquisicion: Entidad</v>
      </c>
      <c r="G5335" s="5"/>
    </row>
    <row r="5336" spans="1:7" ht="58.5" customHeight="1" x14ac:dyDescent="0.25">
      <c r="A5336" s="5" t="str">
        <f>"I0000328"</f>
        <v>I0000328</v>
      </c>
      <c r="B5336" s="5" t="str">
        <f t="shared" si="271"/>
        <v>PINZA KELLY CURVA 16 CM</v>
      </c>
      <c r="C5336" s="6">
        <v>52200</v>
      </c>
      <c r="D5336" s="5"/>
      <c r="E5336" s="5" t="str">
        <f t="shared" si="267"/>
        <v>INSTRUMENTACION-DIANA CAICEDO-DIANA DIAZ</v>
      </c>
      <c r="F5336" s="5" t="str">
        <f>"Descripcion: PINZAS  KELLY CURVAS Estado: Bueno Placa anterior: 000036092 Material: ACERO INOXIDABLE Color: PLATEADO Referencia:  Observacion:     Placa padre: I0000307Tipo adquisicion: Entidad"</f>
        <v>Descripcion: PINZAS  KELLY CURVAS Estado: Bueno Placa anterior: 000036092 Material: ACERO INOXIDABLE Color: PLATEADO Referencia:  Observacion:     Placa padre: I0000307Tipo adquisicion: Entidad</v>
      </c>
      <c r="G5336" s="5"/>
    </row>
    <row r="5337" spans="1:7" ht="58.5" customHeight="1" x14ac:dyDescent="0.25">
      <c r="A5337" s="5" t="str">
        <f>"I0000329"</f>
        <v>I0000329</v>
      </c>
      <c r="B5337" s="5" t="str">
        <f t="shared" si="271"/>
        <v>PINZA KELLY CURVA 16 CM</v>
      </c>
      <c r="C5337" s="6">
        <v>52200</v>
      </c>
      <c r="D5337" s="5"/>
      <c r="E5337" s="5" t="str">
        <f t="shared" si="267"/>
        <v>INSTRUMENTACION-DIANA CAICEDO-DIANA DIAZ</v>
      </c>
      <c r="F5337" s="5" t="str">
        <f>"Descripcion: PINZAS  KELLY CURVAS Estado: Bueno Placa anterior: 000036093 Material: ACERO INOXIDABLE Color: PLATEADO Referencia:  Observacion:     Placa padre: I0000307Tipo adquisicion: Entidad"</f>
        <v>Descripcion: PINZAS  KELLY CURVAS Estado: Bueno Placa anterior: 000036093 Material: ACERO INOXIDABLE Color: PLATEADO Referencia:  Observacion:     Placa padre: I0000307Tipo adquisicion: Entidad</v>
      </c>
      <c r="G5337" s="5"/>
    </row>
    <row r="5338" spans="1:7" ht="58.5" customHeight="1" x14ac:dyDescent="0.25">
      <c r="A5338" s="5" t="str">
        <f>"I0000330"</f>
        <v>I0000330</v>
      </c>
      <c r="B5338" s="5" t="str">
        <f t="shared" si="271"/>
        <v>PINZA KELLY CURVA 16 CM</v>
      </c>
      <c r="C5338" s="6">
        <v>52200</v>
      </c>
      <c r="D5338" s="5"/>
      <c r="E5338" s="5" t="str">
        <f t="shared" si="267"/>
        <v>INSTRUMENTACION-DIANA CAICEDO-DIANA DIAZ</v>
      </c>
      <c r="F5338" s="5" t="str">
        <f>"Descripcion: PINZAS  KELLY CURVAS Estado: Bueno Placa anterior: 000036094 Material: ACERO INOXIDABLE Color: PLATEADO Referencia:  Observacion:     Placa padre: I0000307Tipo adquisicion: Entidad"</f>
        <v>Descripcion: PINZAS  KELLY CURVAS Estado: Bueno Placa anterior: 000036094 Material: ACERO INOXIDABLE Color: PLATEADO Referencia:  Observacion:     Placa padre: I0000307Tipo adquisicion: Entidad</v>
      </c>
      <c r="G5338" s="5"/>
    </row>
    <row r="5339" spans="1:7" ht="58.5" customHeight="1" x14ac:dyDescent="0.25">
      <c r="A5339" s="5" t="str">
        <f>"I0000331"</f>
        <v>I0000331</v>
      </c>
      <c r="B5339" s="5" t="str">
        <f t="shared" si="271"/>
        <v>PINZA KELLY CURVA 16 CM</v>
      </c>
      <c r="C5339" s="6">
        <v>52200</v>
      </c>
      <c r="D5339" s="5"/>
      <c r="E5339" s="5" t="str">
        <f t="shared" si="267"/>
        <v>INSTRUMENTACION-DIANA CAICEDO-DIANA DIAZ</v>
      </c>
      <c r="F5339" s="5" t="str">
        <f>"Descripcion: PINZAS  KELLY CURVAS Estado: Bueno Placa anterior: 000036095 Material: ACERO INOXIDABLE Color: PLATEADO Referencia:  Observacion:     Placa padre: I0000307Tipo adquisicion: Entidad"</f>
        <v>Descripcion: PINZAS  KELLY CURVAS Estado: Bueno Placa anterior: 000036095 Material: ACERO INOXIDABLE Color: PLATEADO Referencia:  Observacion:     Placa padre: I0000307Tipo adquisicion: Entidad</v>
      </c>
      <c r="G5339" s="5"/>
    </row>
    <row r="5340" spans="1:7" ht="58.5" customHeight="1" x14ac:dyDescent="0.25">
      <c r="A5340" s="5" t="str">
        <f>"I0000332"</f>
        <v>I0000332</v>
      </c>
      <c r="B5340" s="5" t="str">
        <f>"PINZA KELLY RECTA 16 CM"</f>
        <v>PINZA KELLY RECTA 16 CM</v>
      </c>
      <c r="C5340" s="6">
        <v>52200</v>
      </c>
      <c r="D5340" s="5"/>
      <c r="E5340" s="5" t="str">
        <f t="shared" si="267"/>
        <v>INSTRUMENTACION-DIANA CAICEDO-DIANA DIAZ</v>
      </c>
      <c r="F5340" s="5" t="str">
        <f>"Descripcion: PINZAS  KELLY RECTAS  Estado: Bueno Placa anterior: 000036096 Material: ACERO INOXIDABLE Color: PLATEADO Referencia:  Observacion:     Placa padre: I0000307Tipo adquisicion: Entidad"</f>
        <v>Descripcion: PINZAS  KELLY RECTAS  Estado: Bueno Placa anterior: 000036096 Material: ACERO INOXIDABLE Color: PLATEADO Referencia:  Observacion:     Placa padre: I0000307Tipo adquisicion: Entidad</v>
      </c>
      <c r="G5340" s="5"/>
    </row>
    <row r="5341" spans="1:7" ht="58.5" customHeight="1" x14ac:dyDescent="0.25">
      <c r="A5341" s="5" t="str">
        <f>"I0000333"</f>
        <v>I0000333</v>
      </c>
      <c r="B5341" s="5" t="str">
        <f>"PINZA KELLY RECTA 16 CM"</f>
        <v>PINZA KELLY RECTA 16 CM</v>
      </c>
      <c r="C5341" s="6">
        <v>52200</v>
      </c>
      <c r="D5341" s="5"/>
      <c r="E5341" s="5" t="str">
        <f t="shared" si="267"/>
        <v>INSTRUMENTACION-DIANA CAICEDO-DIANA DIAZ</v>
      </c>
      <c r="F5341" s="5" t="str">
        <f>"Descripcion: PINZAS  KELLY RECTAS  Estado: Bueno Placa anterior: 000036097 Material: ACERO INOXIDABLE Color: PLATEADO Referencia:  Observacion:     Placa padre: I0000307Tipo adquisicion: Entidad"</f>
        <v>Descripcion: PINZAS  KELLY RECTAS  Estado: Bueno Placa anterior: 000036097 Material: ACERO INOXIDABLE Color: PLATEADO Referencia:  Observacion:     Placa padre: I0000307Tipo adquisicion: Entidad</v>
      </c>
      <c r="G5341" s="5"/>
    </row>
    <row r="5342" spans="1:7" ht="58.5" customHeight="1" x14ac:dyDescent="0.25">
      <c r="A5342" s="5" t="str">
        <f>"I0000342"</f>
        <v>I0000342</v>
      </c>
      <c r="B5342" s="5" t="str">
        <f t="shared" ref="B5342:B5347" si="272">"PINZA ALLIX"</f>
        <v>PINZA ALLIX</v>
      </c>
      <c r="C5342" s="6">
        <v>98600</v>
      </c>
      <c r="D5342" s="5"/>
      <c r="E5342" s="5" t="str">
        <f t="shared" si="267"/>
        <v>INSTRUMENTACION-DIANA CAICEDO-DIANA DIAZ</v>
      </c>
      <c r="F5342" s="5" t="str">
        <f>"Descripcion: PINZAS ALLIX LARGAS (DIMEDA) Estado: Bueno Placa anterior: 000031700 Material: ACERO INOXIDABLE Color: PLATEADO Referencia:  Observacion:     Placa padre: I0000307Tipo adquisicion: Entidad"</f>
        <v>Descripcion: PINZAS ALLIX LARGAS (DIMEDA) Estado: Bueno Placa anterior: 000031700 Material: ACERO INOXIDABLE Color: PLATEADO Referencia:  Observacion:     Placa padre: I0000307Tipo adquisicion: Entidad</v>
      </c>
      <c r="G5342" s="5"/>
    </row>
    <row r="5343" spans="1:7" ht="58.5" customHeight="1" x14ac:dyDescent="0.25">
      <c r="A5343" s="5" t="str">
        <f>"I0000343"</f>
        <v>I0000343</v>
      </c>
      <c r="B5343" s="5" t="str">
        <f t="shared" si="272"/>
        <v>PINZA ALLIX</v>
      </c>
      <c r="C5343" s="6">
        <v>98600</v>
      </c>
      <c r="D5343" s="5"/>
      <c r="E5343" s="5" t="str">
        <f t="shared" ref="E5343:E5406" si="273">"INSTRUMENTACION-DIANA CAICEDO-DIANA DIAZ"</f>
        <v>INSTRUMENTACION-DIANA CAICEDO-DIANA DIAZ</v>
      </c>
      <c r="F5343" s="5" t="str">
        <f>"Descripcion: PINZAS ALLIX LARGAS (DIMEDA) Estado: Bueno Placa anterior: 000031701 Material: ACERO INOXIDABLE Color: PLATEADO Referencia:  Observacion:     Placa padre: I0000307Tipo adquisicion: Entidad"</f>
        <v>Descripcion: PINZAS ALLIX LARGAS (DIMEDA) Estado: Bueno Placa anterior: 000031701 Material: ACERO INOXIDABLE Color: PLATEADO Referencia:  Observacion:     Placa padre: I0000307Tipo adquisicion: Entidad</v>
      </c>
      <c r="G5343" s="5"/>
    </row>
    <row r="5344" spans="1:7" ht="58.5" customHeight="1" x14ac:dyDescent="0.25">
      <c r="A5344" s="5" t="str">
        <f>"I0000344"</f>
        <v>I0000344</v>
      </c>
      <c r="B5344" s="5" t="str">
        <f t="shared" si="272"/>
        <v>PINZA ALLIX</v>
      </c>
      <c r="C5344" s="6">
        <v>98600</v>
      </c>
      <c r="D5344" s="5"/>
      <c r="E5344" s="5" t="str">
        <f t="shared" si="273"/>
        <v>INSTRUMENTACION-DIANA CAICEDO-DIANA DIAZ</v>
      </c>
      <c r="F5344" s="5" t="str">
        <f>"Descripcion: PINZAS ALLIX LARGAS (DIMEDA) Estado: Bueno Placa anterior: 000031703 Material: ACERO INOXIDABLE Color: PLATEADO Referencia:  Observacion:     Placa padre: I0000307Tipo adquisicion: Entidad"</f>
        <v>Descripcion: PINZAS ALLIX LARGAS (DIMEDA) Estado: Bueno Placa anterior: 000031703 Material: ACERO INOXIDABLE Color: PLATEADO Referencia:  Observacion:     Placa padre: I0000307Tipo adquisicion: Entidad</v>
      </c>
      <c r="G5344" s="5"/>
    </row>
    <row r="5345" spans="1:7" ht="58.5" customHeight="1" x14ac:dyDescent="0.25">
      <c r="A5345" s="5" t="str">
        <f>"I0000345"</f>
        <v>I0000345</v>
      </c>
      <c r="B5345" s="5" t="str">
        <f t="shared" si="272"/>
        <v>PINZA ALLIX</v>
      </c>
      <c r="C5345" s="6">
        <v>98600</v>
      </c>
      <c r="D5345" s="5"/>
      <c r="E5345" s="5" t="str">
        <f t="shared" si="273"/>
        <v>INSTRUMENTACION-DIANA CAICEDO-DIANA DIAZ</v>
      </c>
      <c r="F5345" s="5" t="str">
        <f>"Descripcion: PINZAS ALLIX LARGAS (DIMEDA) Estado: Bueno Placa anterior: 000031704 Material: ACERO INOXIDABLE Color: PLATEADO Referencia:  Observacion:     Placa padre: I0000307Tipo adquisicion: Entidad"</f>
        <v>Descripcion: PINZAS ALLIX LARGAS (DIMEDA) Estado: Bueno Placa anterior: 000031704 Material: ACERO INOXIDABLE Color: PLATEADO Referencia:  Observacion:     Placa padre: I0000307Tipo adquisicion: Entidad</v>
      </c>
      <c r="G5345" s="5"/>
    </row>
    <row r="5346" spans="1:7" ht="58.5" customHeight="1" x14ac:dyDescent="0.25">
      <c r="A5346" s="5" t="str">
        <f>"I0000346"</f>
        <v>I0000346</v>
      </c>
      <c r="B5346" s="5" t="str">
        <f t="shared" si="272"/>
        <v>PINZA ALLIX</v>
      </c>
      <c r="C5346" s="6">
        <v>98600</v>
      </c>
      <c r="D5346" s="5"/>
      <c r="E5346" s="5" t="str">
        <f t="shared" si="273"/>
        <v>INSTRUMENTACION-DIANA CAICEDO-DIANA DIAZ</v>
      </c>
      <c r="F5346" s="5" t="str">
        <f>"Descripcion: PINZAS ALLIX LARGAS (DIMEDA) Estado: Bueno Placa anterior: 000031683 Material: ACERO INOXIDABLE Color: PLATEADO Referencia:  Observacion:     Placa padre: I0000307Tipo adquisicion: Entidad"</f>
        <v>Descripcion: PINZAS ALLIX LARGAS (DIMEDA) Estado: Bueno Placa anterior: 000031683 Material: ACERO INOXIDABLE Color: PLATEADO Referencia:  Observacion:     Placa padre: I0000307Tipo adquisicion: Entidad</v>
      </c>
      <c r="G5346" s="5"/>
    </row>
    <row r="5347" spans="1:7" ht="58.5" customHeight="1" x14ac:dyDescent="0.25">
      <c r="A5347" s="5" t="str">
        <f>"I0000347"</f>
        <v>I0000347</v>
      </c>
      <c r="B5347" s="5" t="str">
        <f t="shared" si="272"/>
        <v>PINZA ALLIX</v>
      </c>
      <c r="C5347" s="6">
        <v>98600</v>
      </c>
      <c r="D5347" s="5"/>
      <c r="E5347" s="5" t="str">
        <f t="shared" si="273"/>
        <v>INSTRUMENTACION-DIANA CAICEDO-DIANA DIAZ</v>
      </c>
      <c r="F5347" s="5" t="str">
        <f>"Descripcion: PINZAS ALLIX LARGAS (DIMEDA) Estado: Bueno Placa anterior: 000031691 Material: ACERO INOXIDABLE Color: PLATEADO Referencia:  Observacion:     Placa padre: I0000307Tipo adquisicion: Entidad"</f>
        <v>Descripcion: PINZAS ALLIX LARGAS (DIMEDA) Estado: Bueno Placa anterior: 000031691 Material: ACERO INOXIDABLE Color: PLATEADO Referencia:  Observacion:     Placa padre: I0000307Tipo adquisicion: Entidad</v>
      </c>
      <c r="G5347" s="5"/>
    </row>
    <row r="5348" spans="1:7" ht="58.5" customHeight="1" x14ac:dyDescent="0.25">
      <c r="A5348" s="5" t="str">
        <f>"I0000350"</f>
        <v>I0000350</v>
      </c>
      <c r="B5348" s="5" t="str">
        <f>"PINZA CISTICO"</f>
        <v>PINZA CISTICO</v>
      </c>
      <c r="C5348" s="6">
        <v>44080</v>
      </c>
      <c r="D5348" s="5"/>
      <c r="E5348" s="5" t="str">
        <f t="shared" si="273"/>
        <v>INSTRUMENTACION-DIANA CAICEDO-DIANA DIAZ</v>
      </c>
      <c r="F5348" s="5" t="str">
        <f>"Descripcion: PINZAS CISTICO Estado: Bueno Placa anterior: 000016015 Material: ACERO INOXIDABLE Color: PLATEADO Referencia:  Observacion: PINZAS DE RANDALL  Placa padre: I0000307Tipo adquisicion: Entidad"</f>
        <v>Descripcion: PINZAS CISTICO Estado: Bueno Placa anterior: 000016015 Material: ACERO INOXIDABLE Color: PLATEADO Referencia:  Observacion: PINZAS DE RANDALL  Placa padre: I0000307Tipo adquisicion: Entidad</v>
      </c>
      <c r="G5348" s="5"/>
    </row>
    <row r="5349" spans="1:7" ht="58.5" customHeight="1" x14ac:dyDescent="0.25">
      <c r="A5349" s="5" t="str">
        <f>"I0000351"</f>
        <v>I0000351</v>
      </c>
      <c r="B5349" s="5" t="str">
        <f>"PINZA CISTICO"</f>
        <v>PINZA CISTICO</v>
      </c>
      <c r="C5349" s="6">
        <v>44080</v>
      </c>
      <c r="D5349" s="5"/>
      <c r="E5349" s="5" t="str">
        <f t="shared" si="273"/>
        <v>INSTRUMENTACION-DIANA CAICEDO-DIANA DIAZ</v>
      </c>
      <c r="F5349" s="5" t="str">
        <f>"Descripcion: PINZAS CISTICO Estado: Bueno Placa anterior: 000016030 Material: ACERO INOXIDABLE Color: PLATEADO Referencia:  Observacion: PINZAS DE RANDALL  Placa padre: I0000307Tipo adquisicion: Entidad"</f>
        <v>Descripcion: PINZAS CISTICO Estado: Bueno Placa anterior: 000016030 Material: ACERO INOXIDABLE Color: PLATEADO Referencia:  Observacion: PINZAS DE RANDALL  Placa padre: I0000307Tipo adquisicion: Entidad</v>
      </c>
      <c r="G5349" s="5"/>
    </row>
    <row r="5350" spans="1:7" ht="58.5" customHeight="1" x14ac:dyDescent="0.25">
      <c r="A5350" s="5" t="str">
        <f>"I0000360"</f>
        <v>I0000360</v>
      </c>
      <c r="B5350" s="5" t="str">
        <f t="shared" ref="B5350:B5355" si="274">"PINZA DE CAMPO"</f>
        <v>PINZA DE CAMPO</v>
      </c>
      <c r="C5350" s="6">
        <v>39440</v>
      </c>
      <c r="D5350" s="5"/>
      <c r="E5350" s="5" t="str">
        <f t="shared" si="273"/>
        <v>INSTRUMENTACION-DIANA CAICEDO-DIANA DIAZ</v>
      </c>
      <c r="F5350" s="5" t="str">
        <f>"Descripcion: PINZAS DE CAMPO (DIMEDA) Estado: Bueno Placa anterior: 000031759 Material: ACERO INOXIDABLE Color: PLATEADO Referencia:  Observacion:     Placa padre: I0000307Tipo adquisicion: Entidad"</f>
        <v>Descripcion: PINZAS DE CAMPO (DIMEDA) Estado: Bueno Placa anterior: 000031759 Material: ACERO INOXIDABLE Color: PLATEADO Referencia:  Observacion:     Placa padre: I0000307Tipo adquisicion: Entidad</v>
      </c>
      <c r="G5350" s="5"/>
    </row>
    <row r="5351" spans="1:7" ht="58.5" customHeight="1" x14ac:dyDescent="0.25">
      <c r="A5351" s="5" t="str">
        <f>"I0000361"</f>
        <v>I0000361</v>
      </c>
      <c r="B5351" s="5" t="str">
        <f t="shared" si="274"/>
        <v>PINZA DE CAMPO</v>
      </c>
      <c r="C5351" s="6">
        <v>39440</v>
      </c>
      <c r="D5351" s="5"/>
      <c r="E5351" s="5" t="str">
        <f t="shared" si="273"/>
        <v>INSTRUMENTACION-DIANA CAICEDO-DIANA DIAZ</v>
      </c>
      <c r="F5351" s="5" t="str">
        <f>"Descripcion: PINZAS DE CAMPO (DIMEDA) Estado: Bueno Placa anterior: 000031760 Material: ACERO INOXIDABLE Color: PLATEADO Referencia:  Observacion:     Placa padre: I0000307Tipo adquisicion: Entidad"</f>
        <v>Descripcion: PINZAS DE CAMPO (DIMEDA) Estado: Bueno Placa anterior: 000031760 Material: ACERO INOXIDABLE Color: PLATEADO Referencia:  Observacion:     Placa padre: I0000307Tipo adquisicion: Entidad</v>
      </c>
      <c r="G5351" s="5"/>
    </row>
    <row r="5352" spans="1:7" ht="58.5" customHeight="1" x14ac:dyDescent="0.25">
      <c r="A5352" s="5" t="str">
        <f>"I0000362"</f>
        <v>I0000362</v>
      </c>
      <c r="B5352" s="5" t="str">
        <f t="shared" si="274"/>
        <v>PINZA DE CAMPO</v>
      </c>
      <c r="C5352" s="6">
        <v>39440</v>
      </c>
      <c r="D5352" s="5"/>
      <c r="E5352" s="5" t="str">
        <f t="shared" si="273"/>
        <v>INSTRUMENTACION-DIANA CAICEDO-DIANA DIAZ</v>
      </c>
      <c r="F5352" s="5" t="str">
        <f>"Descripcion: PINZAS DE CAMPO (DIMEDA) Estado: Bueno Placa anterior: 000031761 Material: ACERO INOXIDABLE Color: PLATEADO Referencia:  Observacion:     Placa padre: I0000307Tipo adquisicion: Entidad"</f>
        <v>Descripcion: PINZAS DE CAMPO (DIMEDA) Estado: Bueno Placa anterior: 000031761 Material: ACERO INOXIDABLE Color: PLATEADO Referencia:  Observacion:     Placa padre: I0000307Tipo adquisicion: Entidad</v>
      </c>
      <c r="G5352" s="5"/>
    </row>
    <row r="5353" spans="1:7" ht="58.5" customHeight="1" x14ac:dyDescent="0.25">
      <c r="A5353" s="5" t="str">
        <f>"I0000363"</f>
        <v>I0000363</v>
      </c>
      <c r="B5353" s="5" t="str">
        <f t="shared" si="274"/>
        <v>PINZA DE CAMPO</v>
      </c>
      <c r="C5353" s="6">
        <v>39440</v>
      </c>
      <c r="D5353" s="5"/>
      <c r="E5353" s="5" t="str">
        <f t="shared" si="273"/>
        <v>INSTRUMENTACION-DIANA CAICEDO-DIANA DIAZ</v>
      </c>
      <c r="F5353" s="5" t="str">
        <f>"Descripcion: PINZAS DE CAMPO (DIMEDA) Estado: Bueno Placa anterior: 000031762 Material: ACERO INOXIDABLE Color: PLATEADO Referencia:  Observacion:     Placa padre: I0000307Tipo adquisicion: Entidad"</f>
        <v>Descripcion: PINZAS DE CAMPO (DIMEDA) Estado: Bueno Placa anterior: 000031762 Material: ACERO INOXIDABLE Color: PLATEADO Referencia:  Observacion:     Placa padre: I0000307Tipo adquisicion: Entidad</v>
      </c>
      <c r="G5353" s="5"/>
    </row>
    <row r="5354" spans="1:7" ht="58.5" customHeight="1" x14ac:dyDescent="0.25">
      <c r="A5354" s="5" t="str">
        <f>"I0000364"</f>
        <v>I0000364</v>
      </c>
      <c r="B5354" s="5" t="str">
        <f t="shared" si="274"/>
        <v>PINZA DE CAMPO</v>
      </c>
      <c r="C5354" s="6">
        <v>39440</v>
      </c>
      <c r="D5354" s="5"/>
      <c r="E5354" s="5" t="str">
        <f t="shared" si="273"/>
        <v>INSTRUMENTACION-DIANA CAICEDO-DIANA DIAZ</v>
      </c>
      <c r="F5354" s="5" t="str">
        <f>"Descripcion: PINZAS DE CAMPO (DIMEDA) Estado: Bueno Placa anterior: 000031763 Material: ACERO INOXIDABLE Color: PLATEADO Referencia:  Observacion:     Placa padre: I0000307Tipo adquisicion: Entidad"</f>
        <v>Descripcion: PINZAS DE CAMPO (DIMEDA) Estado: Bueno Placa anterior: 000031763 Material: ACERO INOXIDABLE Color: PLATEADO Referencia:  Observacion:     Placa padre: I0000307Tipo adquisicion: Entidad</v>
      </c>
      <c r="G5354" s="5"/>
    </row>
    <row r="5355" spans="1:7" ht="58.5" customHeight="1" x14ac:dyDescent="0.25">
      <c r="A5355" s="5" t="str">
        <f>"I0000365"</f>
        <v>I0000365</v>
      </c>
      <c r="B5355" s="5" t="str">
        <f t="shared" si="274"/>
        <v>PINZA DE CAMPO</v>
      </c>
      <c r="C5355" s="6">
        <v>39440</v>
      </c>
      <c r="D5355" s="5"/>
      <c r="E5355" s="5" t="str">
        <f t="shared" si="273"/>
        <v>INSTRUMENTACION-DIANA CAICEDO-DIANA DIAZ</v>
      </c>
      <c r="F5355" s="5" t="str">
        <f>"Descripcion: PINZAS DE CAMPO (DIMEDA) Estado: Bueno Placa anterior: 000031764 Material: ACERO INOXIDABLE Color: PLATEADO Referencia:  Observacion:     Placa padre: I0000307Tipo adquisicion: Entidad"</f>
        <v>Descripcion: PINZAS DE CAMPO (DIMEDA) Estado: Bueno Placa anterior: 000031764 Material: ACERO INOXIDABLE Color: PLATEADO Referencia:  Observacion:     Placa padre: I0000307Tipo adquisicion: Entidad</v>
      </c>
      <c r="G5355" s="5"/>
    </row>
    <row r="5356" spans="1:7" ht="58.5" customHeight="1" x14ac:dyDescent="0.25">
      <c r="A5356" s="5" t="str">
        <f>"I0000366"</f>
        <v>I0000366</v>
      </c>
      <c r="B5356" s="5" t="str">
        <f>"CANULA DE YANKAUER"</f>
        <v>CANULA DE YANKAUER</v>
      </c>
      <c r="C5356" s="6">
        <v>92800</v>
      </c>
      <c r="D5356" s="5"/>
      <c r="E5356" s="5" t="str">
        <f t="shared" si="273"/>
        <v>INSTRUMENTACION-DIANA CAICEDO-DIANA DIAZ</v>
      </c>
      <c r="F5356" s="5" t="str">
        <f>"Descripcion: CANULA DE SUCCION DE YANKAWER (DIMEDA) Estado: Bueno Placa anterior: 000031638 Material: ACERO INOXIDABLE Color: PLATEADO Referencia:  Observacion:     Placa padre: I0000307Tipo adquisicion: Entidad"</f>
        <v>Descripcion: CANULA DE SUCCION DE YANKAWER (DIMEDA) Estado: Bueno Placa anterior: 000031638 Material: ACERO INOXIDABLE Color: PLATEADO Referencia:  Observacion:     Placa padre: I0000307Tipo adquisicion: Entidad</v>
      </c>
      <c r="G5356" s="5"/>
    </row>
    <row r="5357" spans="1:7" ht="58.5" customHeight="1" x14ac:dyDescent="0.25">
      <c r="A5357" s="5" t="str">
        <f>"I0000370"</f>
        <v>I0000370</v>
      </c>
      <c r="B5357" s="5" t="str">
        <f>"MANGO PARA BISTURI #4"</f>
        <v>MANGO PARA BISTURI #4</v>
      </c>
      <c r="C5357" s="6">
        <v>15080</v>
      </c>
      <c r="D5357" s="5"/>
      <c r="E5357" s="5" t="str">
        <f t="shared" si="273"/>
        <v>INSTRUMENTACION-DIANA CAICEDO-DIANA DIAZ</v>
      </c>
      <c r="F5357" s="5" t="str">
        <f>"Descripcion: MANGO DE BISTURI N.3 Estado: Bueno Placa anterior: 000031862 Material: ACERO INOXIDABLE Color: PLATEADO Referencia:  Observacion:     Placa padre: I0000369Tipo adquisicion: Entidad"</f>
        <v>Descripcion: MANGO DE BISTURI N.3 Estado: Bueno Placa anterior: 000031862 Material: ACERO INOXIDABLE Color: PLATEADO Referencia:  Observacion:     Placa padre: I0000369Tipo adquisicion: Entidad</v>
      </c>
      <c r="G5357" s="5"/>
    </row>
    <row r="5358" spans="1:7" ht="58.5" customHeight="1" x14ac:dyDescent="0.25">
      <c r="A5358" s="5" t="str">
        <f>"I0000371"</f>
        <v>I0000371</v>
      </c>
      <c r="B5358" s="5" t="str">
        <f>"TIJERA DE MAYO LARGA 25 CM"</f>
        <v>TIJERA DE MAYO LARGA 25 CM</v>
      </c>
      <c r="C5358" s="6">
        <v>56840</v>
      </c>
      <c r="D5358" s="5"/>
      <c r="E5358" s="5" t="str">
        <f t="shared" si="273"/>
        <v>INSTRUMENTACION-DIANA CAICEDO-DIANA DIAZ</v>
      </c>
      <c r="F5358" s="5" t="str">
        <f>"Descripcion: TIJERA DE MAYO Estado: Bueno Placa anterior: 000032068 Material: ACERO INOXIDABLE Color: PLATEADO Referencia:  Observacion:     Placa padre: I0000369Tipo adquisicion: Entidad"</f>
        <v>Descripcion: TIJERA DE MAYO Estado: Bueno Placa anterior: 000032068 Material: ACERO INOXIDABLE Color: PLATEADO Referencia:  Observacion:     Placa padre: I0000369Tipo adquisicion: Entidad</v>
      </c>
      <c r="G5358" s="5"/>
    </row>
    <row r="5359" spans="1:7" ht="58.5" customHeight="1" x14ac:dyDescent="0.25">
      <c r="A5359" s="5" t="str">
        <f>"I0000372"</f>
        <v>I0000372</v>
      </c>
      <c r="B5359" s="5" t="str">
        <f>"PINZA MOSQUITO CURVA 12 CM"</f>
        <v>PINZA MOSQUITO CURVA 12 CM</v>
      </c>
      <c r="C5359" s="6">
        <v>39440</v>
      </c>
      <c r="D5359" s="5"/>
      <c r="E5359" s="5" t="str">
        <f t="shared" si="273"/>
        <v>INSTRUMENTACION-DIANA CAICEDO-DIANA DIAZ</v>
      </c>
      <c r="F5359" s="5" t="str">
        <f>"Descripcion: PINZA MOSQUITO CURVA Estado: Bueno Placa anterior: 000031912 Material: ACERO INOXIDABLE Color: PLATEADO Referencia:  Observacion:     Placa padre: I0000369Tipo adquisicion: Entidad"</f>
        <v>Descripcion: PINZA MOSQUITO CURVA Estado: Bueno Placa anterior: 000031912 Material: ACERO INOXIDABLE Color: PLATEADO Referencia:  Observacion:     Placa padre: I0000369Tipo adquisicion: Entidad</v>
      </c>
      <c r="G5359" s="5"/>
    </row>
    <row r="5360" spans="1:7" ht="58.5" customHeight="1" x14ac:dyDescent="0.25">
      <c r="A5360" s="5" t="str">
        <f>"I0000374"</f>
        <v>I0000374</v>
      </c>
      <c r="B5360" s="5" t="str">
        <f>"PINZA DE DISECCION CON GARRA MEDIANA 25 CM"</f>
        <v>PINZA DE DISECCION CON GARRA MEDIANA 25 CM</v>
      </c>
      <c r="C5360" s="6">
        <v>39440</v>
      </c>
      <c r="D5360" s="5"/>
      <c r="E5360" s="5" t="str">
        <f t="shared" si="273"/>
        <v>INSTRUMENTACION-DIANA CAICEDO-DIANA DIAZ</v>
      </c>
      <c r="F5360" s="5" t="str">
        <f>"Descripcion: PINZA DISECCION CON GARRA Estado: Bueno Placa anterior: 000031961 Material: ACERO INOXIDABLE Color: PLATEADO Referencia:  Observacion:     Placa padre: I0000369Tipo adquisicion: Entidad"</f>
        <v>Descripcion: PINZA DISECCION CON GARRA Estado: Bueno Placa anterior: 000031961 Material: ACERO INOXIDABLE Color: PLATEADO Referencia:  Observacion:     Placa padre: I0000369Tipo adquisicion: Entidad</v>
      </c>
      <c r="G5360" s="5"/>
    </row>
    <row r="5361" spans="1:7" ht="58.5" customHeight="1" x14ac:dyDescent="0.25">
      <c r="A5361" s="5" t="str">
        <f>"I0000378"</f>
        <v>I0000378</v>
      </c>
      <c r="B5361" s="5" t="str">
        <f>"MANGO PARA BISTURI #4"</f>
        <v>MANGO PARA BISTURI #4</v>
      </c>
      <c r="C5361" s="6">
        <v>15080</v>
      </c>
      <c r="D5361" s="5"/>
      <c r="E5361" s="5" t="str">
        <f t="shared" si="273"/>
        <v>INSTRUMENTACION-DIANA CAICEDO-DIANA DIAZ</v>
      </c>
      <c r="F5361" s="5" t="str">
        <f>"Descripcion: MANGO DE BISTURI N.3 Estado: Bueno Placa anterior: 000031849 Material: ACERO INOXIDABLE Color: PLATEADO Referencia:  Observacion:     Placa padre: I0000377Tipo adquisicion: Entidad"</f>
        <v>Descripcion: MANGO DE BISTURI N.3 Estado: Bueno Placa anterior: 000031849 Material: ACERO INOXIDABLE Color: PLATEADO Referencia:  Observacion:     Placa padre: I0000377Tipo adquisicion: Entidad</v>
      </c>
      <c r="G5361" s="5"/>
    </row>
    <row r="5362" spans="1:7" ht="58.5" customHeight="1" x14ac:dyDescent="0.25">
      <c r="A5362" s="5" t="str">
        <f>"I0000380"</f>
        <v>I0000380</v>
      </c>
      <c r="B5362" s="5" t="str">
        <f>"PINZA MOSQUITO CURVA 12 CM"</f>
        <v>PINZA MOSQUITO CURVA 12 CM</v>
      </c>
      <c r="C5362" s="6">
        <v>39440</v>
      </c>
      <c r="D5362" s="5"/>
      <c r="E5362" s="5" t="str">
        <f t="shared" si="273"/>
        <v>INSTRUMENTACION-DIANA CAICEDO-DIANA DIAZ</v>
      </c>
      <c r="F5362" s="5" t="str">
        <f>"Descripcion: PINZA MOSQUITO CURVA Estado: Bueno Placa anterior: 000031921 Material: ACERO INOXIDABLE Color: PLATEADO Referencia:  Observacion:     Placa padre: I0000377Tipo adquisicion: Entidad"</f>
        <v>Descripcion: PINZA MOSQUITO CURVA Estado: Bueno Placa anterior: 000031921 Material: ACERO INOXIDABLE Color: PLATEADO Referencia:  Observacion:     Placa padre: I0000377Tipo adquisicion: Entidad</v>
      </c>
      <c r="G5362" s="5"/>
    </row>
    <row r="5363" spans="1:7" ht="58.5" customHeight="1" x14ac:dyDescent="0.25">
      <c r="A5363" s="5" t="str">
        <f>"I0000382"</f>
        <v>I0000382</v>
      </c>
      <c r="B5363" s="5" t="str">
        <f>"PINZA DE DISECCION CON GARRA MEDIANA 25 CM"</f>
        <v>PINZA DE DISECCION CON GARRA MEDIANA 25 CM</v>
      </c>
      <c r="C5363" s="6">
        <v>39440</v>
      </c>
      <c r="D5363" s="5"/>
      <c r="E5363" s="5" t="str">
        <f t="shared" si="273"/>
        <v>INSTRUMENTACION-DIANA CAICEDO-DIANA DIAZ</v>
      </c>
      <c r="F5363" s="5" t="str">
        <f>"Descripcion: PINZA DISECCION CON GARRA Estado: Bueno Placa anterior: 000031962 Material: ACERO INOXIDABLE Color: PLATEADO Referencia:  Observacion:     Placa padre: I0000377Tipo adquisicion: Entidad"</f>
        <v>Descripcion: PINZA DISECCION CON GARRA Estado: Bueno Placa anterior: 000031962 Material: ACERO INOXIDABLE Color: PLATEADO Referencia:  Observacion:     Placa padre: I0000377Tipo adquisicion: Entidad</v>
      </c>
      <c r="G5363" s="5"/>
    </row>
    <row r="5364" spans="1:7" ht="58.5" customHeight="1" x14ac:dyDescent="0.25">
      <c r="A5364" s="5" t="str">
        <f>"I0000383"</f>
        <v>I0000383</v>
      </c>
      <c r="B5364" s="5" t="str">
        <f>"PINZA DE DISECCION SIN GARRA CORTA 20 CM"</f>
        <v>PINZA DE DISECCION SIN GARRA CORTA 20 CM</v>
      </c>
      <c r="C5364" s="6">
        <v>31320</v>
      </c>
      <c r="D5364" s="5"/>
      <c r="E5364" s="5" t="str">
        <f t="shared" si="273"/>
        <v>INSTRUMENTACION-DIANA CAICEDO-DIANA DIAZ</v>
      </c>
      <c r="F5364" s="5" t="str">
        <f>"Descripcion: PINZA DISECCION ADSON CON GARRA Estado: Bueno Placa anterior: 000032252 Material: ACERO INOXIDABLE Color: PLATEADO Referencia:  Observacion:     Placa padre: I0000377Tipo adquisicion: Entidad"</f>
        <v>Descripcion: PINZA DISECCION ADSON CON GARRA Estado: Bueno Placa anterior: 000032252 Material: ACERO INOXIDABLE Color: PLATEADO Referencia:  Observacion:     Placa padre: I0000377Tipo adquisicion: Entidad</v>
      </c>
      <c r="G5364" s="5"/>
    </row>
    <row r="5365" spans="1:7" ht="58.5" customHeight="1" x14ac:dyDescent="0.25">
      <c r="A5365" s="5" t="str">
        <f>"I0000385"</f>
        <v>I0000385</v>
      </c>
      <c r="B5365" s="5" t="str">
        <f>"EQUIPO DE CIRUGIA"</f>
        <v>EQUIPO DE CIRUGIA</v>
      </c>
      <c r="C5365" s="6">
        <v>1553653.4</v>
      </c>
      <c r="D5365" s="5"/>
      <c r="E5365" s="5" t="str">
        <f t="shared" si="273"/>
        <v>INSTRUMENTACION-DIANA CAICEDO-DIANA DIAZ</v>
      </c>
      <c r="F5365" s="5" t="str">
        <f>"Descripcion: EQUIPO MEDIANO DE CIRUGIA  # 1   (1)MANGO DE BISTURI  #4  (1) MANGO DE BISTURI  #7  (0) SEPARADORES DE FARA BEUF  (1) SEPARADOR DE DEAVERS ANGOSTO  (1) TIJERA DE MAYO RECTA (DIMEDA)  (1) TIJERA DE METZEMBAUM CURVA   (1) PINZA DE DISECCION SIN"&amp; " GARRA PEQUEÑA (DIMEDA)  (1) PINZA DE DISECCION SIN GARRA MEDIANA  (1) PINZA DE DISECCION ADSON CON GARRA  (1) PINZA DE DISECCION CON GARRA (DIMEDA)  (1) PINZA DE DISECCION RUSA (DIMEDA)  (8) PINZAS KELLY CURVAS  (0) PINZAS KELLY RECTAS   (4) PINZAS ALLIX"&amp; "  (5) PINZAS ROCHESTER CURVAS   (2)  PINZAS KELLY ADSON (DIMEDA)  (2)  PINZAS DE CISTICO  (2)  PINZAS BABCOCK  (1) PORTA AGUJAS MEDIANO (DIMEDA)  (6) PINZAS DE CAMPO  (1) CANULA DE YANKAWER (DIMEDA)  (1) PLATON NIQUELADO  (1) CUBETA DE INSTRUMENTAL NIQUEL"&amp; "ADA Estado: Bueno Placa anterior: 000014663 Material: ACERO INOXIDABLE Color: PLATEADO Referencia:  Observacion:     Placa padre: Tipo adquisicion: Entidad"</f>
        <v>Descripcion: EQUIPO MEDIANO DE CIRUGIA  # 1   (1)MANGO DE BISTURI  #4  (1) MANGO DE BISTURI  #7  (0) SEPARADORES DE FARA BEUF  (1) SEPARADOR DE DEAVERS ANGOSTO  (1) TIJERA DE MAYO RECTA (DIMEDA)  (1) TIJERA DE METZEMBAUM CURVA   (1) PINZA DE DISECCION SIN GARRA PEQUEÑA (DIMEDA)  (1) PINZA DE DISECCION SIN GARRA MEDIANA  (1) PINZA DE DISECCION ADSON CON GARRA  (1) PINZA DE DISECCION CON GARRA (DIMEDA)  (1) PINZA DE DISECCION RUSA (DIMEDA)  (8) PINZAS KELLY CURVAS  (0) PINZAS KELLY RECTAS   (4) PINZAS ALLIX  (5) PINZAS ROCHESTER CURVAS   (2)  PINZAS KELLY ADSON (DIMEDA)  (2)  PINZAS DE CISTICO  (2)  PINZAS BABCOCK  (1) PORTA AGUJAS MEDIANO (DIMEDA)  (6) PINZAS DE CAMPO  (1) CANULA DE YANKAWER (DIMEDA)  (1) PLATON NIQUELADO  (1) CUBETA DE INSTRUMENTAL NIQUELADA Estado: Bueno Placa anterior: 000014663 Material: ACERO INOXIDABLE Color: PLATEADO Referencia:  Observacion:     Placa padre: Tipo adquisicion: Entidad</v>
      </c>
      <c r="G5365" s="5"/>
    </row>
    <row r="5366" spans="1:7" ht="58.5" customHeight="1" x14ac:dyDescent="0.25">
      <c r="A5366" s="5" t="str">
        <f>"I0000386"</f>
        <v>I0000386</v>
      </c>
      <c r="B5366" s="5" t="str">
        <f>"MANGO PARA BISTURI #4"</f>
        <v>MANGO PARA BISTURI #4</v>
      </c>
      <c r="C5366" s="6">
        <v>15080</v>
      </c>
      <c r="D5366" s="5"/>
      <c r="E5366" s="5" t="str">
        <f t="shared" si="273"/>
        <v>INSTRUMENTACION-DIANA CAICEDO-DIANA DIAZ</v>
      </c>
      <c r="F5366" s="5" t="str">
        <f>"Descripcion: MANGO DE BISTURI  #4 Estado: Bueno Placa anterior: 000031871 Material: ACERO INOXIDABLE Color: PLATEADO Referencia:  Observacion:     Placa padre: I0000385Tipo adquisicion: Entidad"</f>
        <v>Descripcion: MANGO DE BISTURI  #4 Estado: Bueno Placa anterior: 000031871 Material: ACERO INOXIDABLE Color: PLATEADO Referencia:  Observacion:     Placa padre: I0000385Tipo adquisicion: Entidad</v>
      </c>
      <c r="G5366" s="5"/>
    </row>
    <row r="5367" spans="1:7" ht="58.5" customHeight="1" x14ac:dyDescent="0.25">
      <c r="A5367" s="5" t="str">
        <f>"I0000388"</f>
        <v>I0000388</v>
      </c>
      <c r="B5367" s="5" t="str">
        <f>"SEPARADOR DE ABDOMEN (FARABEUF)"</f>
        <v>SEPARADOR DE ABDOMEN (FARABEUF)</v>
      </c>
      <c r="C5367" s="6">
        <v>46400</v>
      </c>
      <c r="D5367" s="5"/>
      <c r="E5367" s="5" t="str">
        <f t="shared" si="273"/>
        <v>INSTRUMENTACION-DIANA CAICEDO-DIANA DIAZ</v>
      </c>
      <c r="F5367" s="5" t="str">
        <f>"Descripcion: SEPARADORES DE FARA BEUF Estado: Bueno Placa anterior: 000032508 Material: ACERO INOXIDABLE Color: PLATEADO Referencia:  Observacion:     Placa padre: I0000385Tipo adquisicion: Entidad"</f>
        <v>Descripcion: SEPARADORES DE FARA BEUF Estado: Bueno Placa anterior: 000032508 Material: ACERO INOXIDABLE Color: PLATEADO Referencia:  Observacion:     Placa padre: I0000385Tipo adquisicion: Entidad</v>
      </c>
      <c r="G5367" s="5"/>
    </row>
    <row r="5368" spans="1:7" ht="58.5" customHeight="1" x14ac:dyDescent="0.25">
      <c r="A5368" s="5" t="str">
        <f>"I0000389"</f>
        <v>I0000389</v>
      </c>
      <c r="B5368" s="5" t="str">
        <f>"SEPARADOR DE ABDOMEN (FARABEUF)"</f>
        <v>SEPARADOR DE ABDOMEN (FARABEUF)</v>
      </c>
      <c r="C5368" s="6">
        <v>46400</v>
      </c>
      <c r="D5368" s="5"/>
      <c r="E5368" s="5" t="str">
        <f t="shared" si="273"/>
        <v>INSTRUMENTACION-DIANA CAICEDO-DIANA DIAZ</v>
      </c>
      <c r="F5368" s="5" t="str">
        <f>"Descripcion: SEPARADORES DE FARA BEUF Estado: Bueno Placa anterior: 000032511 Material: ACERO INOXIDABLE Color: PLATEADO Referencia:  Observacion:     Placa padre: I0000385Tipo adquisicion: Entidad"</f>
        <v>Descripcion: SEPARADORES DE FARA BEUF Estado: Bueno Placa anterior: 000032511 Material: ACERO INOXIDABLE Color: PLATEADO Referencia:  Observacion:     Placa padre: I0000385Tipo adquisicion: Entidad</v>
      </c>
      <c r="G5368" s="5"/>
    </row>
    <row r="5369" spans="1:7" ht="58.5" customHeight="1" x14ac:dyDescent="0.25">
      <c r="A5369" s="5" t="str">
        <f>"I0000392"</f>
        <v>I0000392</v>
      </c>
      <c r="B5369" s="5" t="str">
        <f>"TIJERA  DE METZEMBAUM CURVA"</f>
        <v>TIJERA  DE METZEMBAUM CURVA</v>
      </c>
      <c r="C5369" s="6">
        <v>63800</v>
      </c>
      <c r="D5369" s="5"/>
      <c r="E5369" s="5" t="str">
        <f t="shared" si="273"/>
        <v>INSTRUMENTACION-DIANA CAICEDO-DIANA DIAZ</v>
      </c>
      <c r="F5369" s="5" t="str">
        <f>"Descripcion: TIJERA DE METZEMBAUM CURVA  Estado: Bueno Placa anterior: 000032078 Material: ACERO INOXIDABLE Color: PLATEADO Referencia:  Observacion:     Placa padre: I0000385Tipo adquisicion: Entidad"</f>
        <v>Descripcion: TIJERA DE METZEMBAUM CURVA  Estado: Bueno Placa anterior: 000032078 Material: ACERO INOXIDABLE Color: PLATEADO Referencia:  Observacion:     Placa padre: I0000385Tipo adquisicion: Entidad</v>
      </c>
      <c r="G5369" s="5"/>
    </row>
    <row r="5370" spans="1:7" ht="58.5" customHeight="1" x14ac:dyDescent="0.25">
      <c r="A5370" s="5" t="str">
        <f>"I0000395"</f>
        <v>I0000395</v>
      </c>
      <c r="B5370" s="5" t="str">
        <f>"PINZA DE DISECCION CON GARRA MEDIANA 25 CM"</f>
        <v>PINZA DE DISECCION CON GARRA MEDIANA 25 CM</v>
      </c>
      <c r="C5370" s="6">
        <v>31320</v>
      </c>
      <c r="D5370" s="5"/>
      <c r="E5370" s="5" t="str">
        <f t="shared" si="273"/>
        <v>INSTRUMENTACION-DIANA CAICEDO-DIANA DIAZ</v>
      </c>
      <c r="F5370" s="5" t="str">
        <f>"Descripcion: PINZA DE DISECCION ADSON CON GARRA Estado: Bueno Placa anterior: 000032253 Material: ACERO INOXIDABLE Color: PLATEADO Referencia:  Observacion:     Placa padre: I0000385Tipo adquisicion: Entidad"</f>
        <v>Descripcion: PINZA DE DISECCION ADSON CON GARRA Estado: Bueno Placa anterior: 000032253 Material: ACERO INOXIDABLE Color: PLATEADO Referencia:  Observacion:     Placa padre: I0000385Tipo adquisicion: Entidad</v>
      </c>
      <c r="G5370" s="5"/>
    </row>
    <row r="5371" spans="1:7" ht="58.5" customHeight="1" x14ac:dyDescent="0.25">
      <c r="A5371" s="5" t="str">
        <f>"I0000397"</f>
        <v>I0000397</v>
      </c>
      <c r="B5371" s="5" t="str">
        <f>"PINZA DISECCION RUSA"</f>
        <v>PINZA DISECCION RUSA</v>
      </c>
      <c r="C5371" s="6">
        <v>67280</v>
      </c>
      <c r="D5371" s="5"/>
      <c r="E5371" s="5" t="str">
        <f t="shared" si="273"/>
        <v>INSTRUMENTACION-DIANA CAICEDO-DIANA DIAZ</v>
      </c>
      <c r="F5371" s="5" t="str">
        <f>"Descripcion: PINZA DE DISECCION RUSA (DIMEDA) Estado: Bueno Placa anterior: 000031989 Material: ACERO INOXIDABLE Color: PLATEADO Referencia:  Observacion:     Placa padre: I0000385Tipo adquisicion: Entidad"</f>
        <v>Descripcion: PINZA DE DISECCION RUSA (DIMEDA) Estado: Bueno Placa anterior: 000031989 Material: ACERO INOXIDABLE Color: PLATEADO Referencia:  Observacion:     Placa padre: I0000385Tipo adquisicion: Entidad</v>
      </c>
      <c r="G5371" s="5"/>
    </row>
    <row r="5372" spans="1:7" ht="58.5" customHeight="1" x14ac:dyDescent="0.25">
      <c r="A5372" s="5" t="str">
        <f>"I0000398"</f>
        <v>I0000398</v>
      </c>
      <c r="B5372" s="5" t="str">
        <f t="shared" ref="B5372:B5379" si="275">"PINZA KELLY CURVA 16 CM"</f>
        <v>PINZA KELLY CURVA 16 CM</v>
      </c>
      <c r="C5372" s="6">
        <v>52200</v>
      </c>
      <c r="D5372" s="5"/>
      <c r="E5372" s="5" t="str">
        <f t="shared" si="273"/>
        <v>INSTRUMENTACION-DIANA CAICEDO-DIANA DIAZ</v>
      </c>
      <c r="F5372" s="5" t="str">
        <f>"Descripcion: PINZAS KELLY CURVAS Estado: Bueno Placa anterior: 000036098 Material: ACERO INOXIDABLE Color: PLATEADO Referencia:  Observacion:     Placa padre: I0000385Tipo adquisicion: Entidad"</f>
        <v>Descripcion: PINZAS KELLY CURVAS Estado: Bueno Placa anterior: 000036098 Material: ACERO INOXIDABLE Color: PLATEADO Referencia:  Observacion:     Placa padre: I0000385Tipo adquisicion: Entidad</v>
      </c>
      <c r="G5372" s="5"/>
    </row>
    <row r="5373" spans="1:7" ht="58.5" customHeight="1" x14ac:dyDescent="0.25">
      <c r="A5373" s="5" t="str">
        <f>"I0000399"</f>
        <v>I0000399</v>
      </c>
      <c r="B5373" s="5" t="str">
        <f t="shared" si="275"/>
        <v>PINZA KELLY CURVA 16 CM</v>
      </c>
      <c r="C5373" s="6">
        <v>52200</v>
      </c>
      <c r="D5373" s="5"/>
      <c r="E5373" s="5" t="str">
        <f t="shared" si="273"/>
        <v>INSTRUMENTACION-DIANA CAICEDO-DIANA DIAZ</v>
      </c>
      <c r="F5373" s="5" t="str">
        <f>"Descripcion: PINZAS KELLY CURVAS Estado: Bueno Placa anterior: 000036099 Material: ACERO INOXIDABLE Color: PLATEADO Referencia:  Observacion:     Placa padre: I0000385Tipo adquisicion: Entidad"</f>
        <v>Descripcion: PINZAS KELLY CURVAS Estado: Bueno Placa anterior: 000036099 Material: ACERO INOXIDABLE Color: PLATEADO Referencia:  Observacion:     Placa padre: I0000385Tipo adquisicion: Entidad</v>
      </c>
      <c r="G5373" s="5"/>
    </row>
    <row r="5374" spans="1:7" ht="58.5" customHeight="1" x14ac:dyDescent="0.25">
      <c r="A5374" s="5" t="str">
        <f>"I0000400"</f>
        <v>I0000400</v>
      </c>
      <c r="B5374" s="5" t="str">
        <f t="shared" si="275"/>
        <v>PINZA KELLY CURVA 16 CM</v>
      </c>
      <c r="C5374" s="6">
        <v>52200</v>
      </c>
      <c r="D5374" s="5"/>
      <c r="E5374" s="5" t="str">
        <f t="shared" si="273"/>
        <v>INSTRUMENTACION-DIANA CAICEDO-DIANA DIAZ</v>
      </c>
      <c r="F5374" s="5" t="str">
        <f>"Descripcion: PINZAS KELLY CURVAS Estado: Bueno Placa anterior: 000036100 Material: ACERO INOXIDABLE Color: PLATEADO Referencia:  Observacion:     Placa padre: I0000385Tipo adquisicion: Entidad"</f>
        <v>Descripcion: PINZAS KELLY CURVAS Estado: Bueno Placa anterior: 000036100 Material: ACERO INOXIDABLE Color: PLATEADO Referencia:  Observacion:     Placa padre: I0000385Tipo adquisicion: Entidad</v>
      </c>
      <c r="G5374" s="5"/>
    </row>
    <row r="5375" spans="1:7" ht="58.5" customHeight="1" x14ac:dyDescent="0.25">
      <c r="A5375" s="5" t="str">
        <f>"I0000401"</f>
        <v>I0000401</v>
      </c>
      <c r="B5375" s="5" t="str">
        <f t="shared" si="275"/>
        <v>PINZA KELLY CURVA 16 CM</v>
      </c>
      <c r="C5375" s="6">
        <v>52200</v>
      </c>
      <c r="D5375" s="5"/>
      <c r="E5375" s="5" t="str">
        <f t="shared" si="273"/>
        <v>INSTRUMENTACION-DIANA CAICEDO-DIANA DIAZ</v>
      </c>
      <c r="F5375" s="5" t="str">
        <f>"Descripcion: PINZAS KELLY CURVAS Estado: Bueno Placa anterior: 000036101 Material: ACERO INOXIDABLE Color: PLATEADO Referencia:  Observacion:     Placa padre: I0000385Tipo adquisicion: Entidad"</f>
        <v>Descripcion: PINZAS KELLY CURVAS Estado: Bueno Placa anterior: 000036101 Material: ACERO INOXIDABLE Color: PLATEADO Referencia:  Observacion:     Placa padre: I0000385Tipo adquisicion: Entidad</v>
      </c>
      <c r="G5375" s="5"/>
    </row>
    <row r="5376" spans="1:7" ht="58.5" customHeight="1" x14ac:dyDescent="0.25">
      <c r="A5376" s="5" t="str">
        <f>"I0000402"</f>
        <v>I0000402</v>
      </c>
      <c r="B5376" s="5" t="str">
        <f t="shared" si="275"/>
        <v>PINZA KELLY CURVA 16 CM</v>
      </c>
      <c r="C5376" s="6">
        <v>52200</v>
      </c>
      <c r="D5376" s="5"/>
      <c r="E5376" s="5" t="str">
        <f t="shared" si="273"/>
        <v>INSTRUMENTACION-DIANA CAICEDO-DIANA DIAZ</v>
      </c>
      <c r="F5376" s="5" t="str">
        <f>"Descripcion: PINZAS KELLY CURVAS Estado: Bueno Placa anterior: 000036102 Material: ACERO INOXIDABLE Color: PLATEADO Referencia:  Observacion:     Placa padre: I0000385Tipo adquisicion: Entidad"</f>
        <v>Descripcion: PINZAS KELLY CURVAS Estado: Bueno Placa anterior: 000036102 Material: ACERO INOXIDABLE Color: PLATEADO Referencia:  Observacion:     Placa padre: I0000385Tipo adquisicion: Entidad</v>
      </c>
      <c r="G5376" s="5"/>
    </row>
    <row r="5377" spans="1:7" ht="58.5" customHeight="1" x14ac:dyDescent="0.25">
      <c r="A5377" s="5" t="str">
        <f>"I0000403"</f>
        <v>I0000403</v>
      </c>
      <c r="B5377" s="5" t="str">
        <f t="shared" si="275"/>
        <v>PINZA KELLY CURVA 16 CM</v>
      </c>
      <c r="C5377" s="6">
        <v>52200</v>
      </c>
      <c r="D5377" s="5"/>
      <c r="E5377" s="5" t="str">
        <f t="shared" si="273"/>
        <v>INSTRUMENTACION-DIANA CAICEDO-DIANA DIAZ</v>
      </c>
      <c r="F5377" s="5" t="str">
        <f>"Descripcion: PINZAS KELLY CURVAS Estado: Bueno Placa anterior: 000036103 Material: ACERO INOXIDABLE Color: PLATEADO Referencia:  Observacion:     Placa padre: I0000385Tipo adquisicion: Entidad"</f>
        <v>Descripcion: PINZAS KELLY CURVAS Estado: Bueno Placa anterior: 000036103 Material: ACERO INOXIDABLE Color: PLATEADO Referencia:  Observacion:     Placa padre: I0000385Tipo adquisicion: Entidad</v>
      </c>
      <c r="G5377" s="5"/>
    </row>
    <row r="5378" spans="1:7" ht="58.5" customHeight="1" x14ac:dyDescent="0.25">
      <c r="A5378" s="5" t="str">
        <f>"I0000404"</f>
        <v>I0000404</v>
      </c>
      <c r="B5378" s="5" t="str">
        <f t="shared" si="275"/>
        <v>PINZA KELLY CURVA 16 CM</v>
      </c>
      <c r="C5378" s="6">
        <v>52200</v>
      </c>
      <c r="D5378" s="5"/>
      <c r="E5378" s="5" t="str">
        <f t="shared" si="273"/>
        <v>INSTRUMENTACION-DIANA CAICEDO-DIANA DIAZ</v>
      </c>
      <c r="F5378" s="5" t="str">
        <f>"Descripcion: PINZAS KELLY CURVAS Estado: Bueno Placa anterior: 000036104 Material: ACERO INOXIDABLE Color: PLATEADO Referencia:  Observacion:     Placa padre: I0000385Tipo adquisicion: Entidad"</f>
        <v>Descripcion: PINZAS KELLY CURVAS Estado: Bueno Placa anterior: 000036104 Material: ACERO INOXIDABLE Color: PLATEADO Referencia:  Observacion:     Placa padre: I0000385Tipo adquisicion: Entidad</v>
      </c>
      <c r="G5378" s="5"/>
    </row>
    <row r="5379" spans="1:7" ht="58.5" customHeight="1" x14ac:dyDescent="0.25">
      <c r="A5379" s="5" t="str">
        <f>"I0000405"</f>
        <v>I0000405</v>
      </c>
      <c r="B5379" s="5" t="str">
        <f t="shared" si="275"/>
        <v>PINZA KELLY CURVA 16 CM</v>
      </c>
      <c r="C5379" s="6">
        <v>52200</v>
      </c>
      <c r="D5379" s="5"/>
      <c r="E5379" s="5" t="str">
        <f t="shared" si="273"/>
        <v>INSTRUMENTACION-DIANA CAICEDO-DIANA DIAZ</v>
      </c>
      <c r="F5379" s="5" t="str">
        <f>"Descripcion: PINZAS KELLY CURVAS Estado: Bueno Placa anterior: 000036105 Material: ACERO INOXIDABLE Color: PLATEADO Referencia:  Observacion:     Placa padre: I0000385Tipo adquisicion: Entidad"</f>
        <v>Descripcion: PINZAS KELLY CURVAS Estado: Bueno Placa anterior: 000036105 Material: ACERO INOXIDABLE Color: PLATEADO Referencia:  Observacion:     Placa padre: I0000385Tipo adquisicion: Entidad</v>
      </c>
      <c r="G5379" s="5"/>
    </row>
    <row r="5380" spans="1:7" ht="58.5" customHeight="1" x14ac:dyDescent="0.25">
      <c r="A5380" s="5" t="str">
        <f>"I0000406"</f>
        <v>I0000406</v>
      </c>
      <c r="B5380" s="5" t="str">
        <f>"PINZA KELLY RECTA 16 CM"</f>
        <v>PINZA KELLY RECTA 16 CM</v>
      </c>
      <c r="C5380" s="6">
        <v>52200</v>
      </c>
      <c r="D5380" s="5"/>
      <c r="E5380" s="5" t="str">
        <f t="shared" si="273"/>
        <v>INSTRUMENTACION-DIANA CAICEDO-DIANA DIAZ</v>
      </c>
      <c r="F5380" s="5" t="str">
        <f>"Descripcion: PINZAS KELLY RECTAS  Estado: Bueno Placa anterior: 000036106 Material: ACERO INOXIDABLE Color: PLATEADO Referencia:  Observacion:     Placa padre: I0000385Tipo adquisicion: Entidad"</f>
        <v>Descripcion: PINZAS KELLY RECTAS  Estado: Bueno Placa anterior: 000036106 Material: ACERO INOXIDABLE Color: PLATEADO Referencia:  Observacion:     Placa padre: I0000385Tipo adquisicion: Entidad</v>
      </c>
      <c r="G5380" s="5"/>
    </row>
    <row r="5381" spans="1:7" ht="58.5" customHeight="1" x14ac:dyDescent="0.25">
      <c r="A5381" s="5" t="str">
        <f>"I0000407"</f>
        <v>I0000407</v>
      </c>
      <c r="B5381" s="5" t="str">
        <f>"PINZA KELLY RECTA 16 CM"</f>
        <v>PINZA KELLY RECTA 16 CM</v>
      </c>
      <c r="C5381" s="6">
        <v>52200</v>
      </c>
      <c r="D5381" s="5"/>
      <c r="E5381" s="5" t="str">
        <f t="shared" si="273"/>
        <v>INSTRUMENTACION-DIANA CAICEDO-DIANA DIAZ</v>
      </c>
      <c r="F5381" s="5" t="str">
        <f>"Descripcion: PINZAS KELLY RECTAS  Estado: Bueno Placa anterior: 000036107 Material: ACERO INOXIDABLE Color: PLATEADO Referencia:  Observacion:     Placa padre: I0000385Tipo adquisicion: Entidad"</f>
        <v>Descripcion: PINZAS KELLY RECTAS  Estado: Bueno Placa anterior: 000036107 Material: ACERO INOXIDABLE Color: PLATEADO Referencia:  Observacion:     Placa padre: I0000385Tipo adquisicion: Entidad</v>
      </c>
      <c r="G5381" s="5"/>
    </row>
    <row r="5382" spans="1:7" ht="58.5" customHeight="1" x14ac:dyDescent="0.25">
      <c r="A5382" s="5" t="str">
        <f>"I0000415"</f>
        <v>I0000415</v>
      </c>
      <c r="B5382" s="5" t="str">
        <f>"PINZA ROCHESTER CURVA 25 CM"</f>
        <v>PINZA ROCHESTER CURVA 25 CM</v>
      </c>
      <c r="C5382" s="6">
        <v>54500</v>
      </c>
      <c r="D5382" s="5"/>
      <c r="E5382" s="5" t="str">
        <f t="shared" si="273"/>
        <v>INSTRUMENTACION-DIANA CAICEDO-DIANA DIAZ</v>
      </c>
      <c r="F5382" s="5" t="str">
        <f>"Descripcion: PINZAS ROCHESTER CURVAS  Estado: Bueno Placa anterior: 000016073 Material: ACERO INOXIDABLE Color: PLATEADO Referencia:  Observacion:     Placa padre: I0000385Tipo adquisicion: Entidad"</f>
        <v>Descripcion: PINZAS ROCHESTER CURVAS  Estado: Bueno Placa anterior: 000016073 Material: ACERO INOXIDABLE Color: PLATEADO Referencia:  Observacion:     Placa padre: I0000385Tipo adquisicion: Entidad</v>
      </c>
      <c r="G5382" s="5"/>
    </row>
    <row r="5383" spans="1:7" ht="58.5" customHeight="1" x14ac:dyDescent="0.25">
      <c r="A5383" s="5" t="str">
        <f>"I0000416"</f>
        <v>I0000416</v>
      </c>
      <c r="B5383" s="5" t="str">
        <f>"PINZA ROCHESTER CURVA 25 CM"</f>
        <v>PINZA ROCHESTER CURVA 25 CM</v>
      </c>
      <c r="C5383" s="6">
        <v>54500</v>
      </c>
      <c r="D5383" s="5"/>
      <c r="E5383" s="5" t="str">
        <f t="shared" si="273"/>
        <v>INSTRUMENTACION-DIANA CAICEDO-DIANA DIAZ</v>
      </c>
      <c r="F5383" s="5" t="str">
        <f>"Descripcion: PINZAS ROCHESTER CURVAS  Estado: Bueno Placa anterior: 000016074 Material: ACERO INOXIDABLE Color: PLATEADO Referencia:  Observacion:     Placa padre: I0000385Tipo adquisicion: Entidad"</f>
        <v>Descripcion: PINZAS ROCHESTER CURVAS  Estado: Bueno Placa anterior: 000016074 Material: ACERO INOXIDABLE Color: PLATEADO Referencia:  Observacion:     Placa padre: I0000385Tipo adquisicion: Entidad</v>
      </c>
      <c r="G5383" s="5"/>
    </row>
    <row r="5384" spans="1:7" ht="58.5" customHeight="1" x14ac:dyDescent="0.25">
      <c r="A5384" s="5" t="str">
        <f>"I0000418"</f>
        <v>I0000418</v>
      </c>
      <c r="B5384" s="5" t="str">
        <f>"PINZA KELLY ADSON 25 CM"</f>
        <v>PINZA KELLY ADSON 25 CM</v>
      </c>
      <c r="C5384" s="6">
        <v>81200</v>
      </c>
      <c r="D5384" s="5"/>
      <c r="E5384" s="5" t="str">
        <f t="shared" si="273"/>
        <v>INSTRUMENTACION-DIANA CAICEDO-DIANA DIAZ</v>
      </c>
      <c r="F5384" s="5" t="str">
        <f>"Descripcion: PINZAS KELLY ADSON (DIMEDA) Estado: Bueno Placa anterior: 000031662 Material: ACERO INOXIDABLE Color: PLATEADO Referencia:  Observacion: PINZA ADSON HEMOSTATICA CURVA, LONGITUD 180MM(7) EN ACERO INXIDABLE Placa padre: I0000385Tipo adquisicion"&amp; ": Entidad"</f>
        <v>Descripcion: PINZAS KELLY ADSON (DIMEDA) Estado: Bueno Placa anterior: 000031662 Material: ACERO INOXIDABLE Color: PLATEADO Referencia:  Observacion: PINZA ADSON HEMOSTATICA CURVA, LONGITUD 180MM(7) EN ACERO INXIDABLE Placa padre: I0000385Tipo adquisicion: Entidad</v>
      </c>
      <c r="G5384" s="5"/>
    </row>
    <row r="5385" spans="1:7" ht="58.5" customHeight="1" x14ac:dyDescent="0.25">
      <c r="A5385" s="5" t="str">
        <f>"I0000419"</f>
        <v>I0000419</v>
      </c>
      <c r="B5385" s="5" t="str">
        <f>"PINZA KELLY ADSON 25 CM"</f>
        <v>PINZA KELLY ADSON 25 CM</v>
      </c>
      <c r="C5385" s="6">
        <v>81200</v>
      </c>
      <c r="D5385" s="5"/>
      <c r="E5385" s="5" t="str">
        <f t="shared" si="273"/>
        <v>INSTRUMENTACION-DIANA CAICEDO-DIANA DIAZ</v>
      </c>
      <c r="F5385" s="5" t="str">
        <f>"Descripcion: PINZAS KELLY ADSON (DIMEDA) Estado: Bueno Placa anterior: 000031668 Material: ACERO INOXIDABLE Color: PLATEADO Referencia:  Observacion: PINZA ADSON HEMOSTATICA CURVA, LONGITUD 180MM(7) EN ACERO INXIDABLE Placa padre: I0000385Tipo adquisicion"&amp; ": Entidad"</f>
        <v>Descripcion: PINZAS KELLY ADSON (DIMEDA) Estado: Bueno Placa anterior: 000031668 Material: ACERO INOXIDABLE Color: PLATEADO Referencia:  Observacion: PINZA ADSON HEMOSTATICA CURVA, LONGITUD 180MM(7) EN ACERO INXIDABLE Placa padre: I0000385Tipo adquisicion: Entidad</v>
      </c>
      <c r="G5385" s="5"/>
    </row>
    <row r="5386" spans="1:7" ht="58.5" customHeight="1" x14ac:dyDescent="0.25">
      <c r="A5386" s="5" t="str">
        <f>"I0000424"</f>
        <v>I0000424</v>
      </c>
      <c r="B5386" s="5" t="str">
        <f>"PORTAGUJAS (PINZA)"</f>
        <v>PORTAGUJAS (PINZA)</v>
      </c>
      <c r="C5386" s="6">
        <v>139200</v>
      </c>
      <c r="D5386" s="5"/>
      <c r="E5386" s="5" t="str">
        <f t="shared" si="273"/>
        <v>INSTRUMENTACION-DIANA CAICEDO-DIANA DIAZ</v>
      </c>
      <c r="F5386" s="5" t="str">
        <f>"Descripcion: PORTA AGUJAS MEDIANO (DIMEDA) Estado: Bueno Placa anterior: 000032419 Material: ACERO INOXIDABLE Color: PLATEADO Referencia:  Observacion: PORTA AGUJAS MASSON RANURADO EN LA PUNTA CIERRE DE CREMALLERA  Placa padre: I0000385Tipo adquisicion: E"&amp; "ntidad"</f>
        <v>Descripcion: PORTA AGUJAS MEDIANO (DIMEDA) Estado: Bueno Placa anterior: 000032419 Material: ACERO INOXIDABLE Color: PLATEADO Referencia:  Observacion: PORTA AGUJAS MASSON RANURADO EN LA PUNTA CIERRE DE CREMALLERA  Placa padre: I0000385Tipo adquisicion: Entidad</v>
      </c>
      <c r="G5386" s="5"/>
    </row>
    <row r="5387" spans="1:7" ht="58.5" customHeight="1" x14ac:dyDescent="0.25">
      <c r="A5387" s="5" t="str">
        <f>"I0000425"</f>
        <v>I0000425</v>
      </c>
      <c r="B5387" s="5" t="str">
        <f t="shared" ref="B5387:B5392" si="276">"PINZA DE CAMPO"</f>
        <v>PINZA DE CAMPO</v>
      </c>
      <c r="C5387" s="6">
        <v>39440</v>
      </c>
      <c r="D5387" s="5"/>
      <c r="E5387" s="5" t="str">
        <f t="shared" si="273"/>
        <v>INSTRUMENTACION-DIANA CAICEDO-DIANA DIAZ</v>
      </c>
      <c r="F5387" s="5" t="str">
        <f>"Descripcion: PINZAS DE CAMPO Estado: Bueno Placa anterior: 000031765 Material: ACERO INOXIDABLE Color: PLATEADO Referencia:  Observacion:     Placa padre: I0000385Tipo adquisicion: Entidad"</f>
        <v>Descripcion: PINZAS DE CAMPO Estado: Bueno Placa anterior: 000031765 Material: ACERO INOXIDABLE Color: PLATEADO Referencia:  Observacion:     Placa padre: I0000385Tipo adquisicion: Entidad</v>
      </c>
      <c r="G5387" s="5"/>
    </row>
    <row r="5388" spans="1:7" ht="58.5" customHeight="1" x14ac:dyDescent="0.25">
      <c r="A5388" s="5" t="str">
        <f>"I0000426"</f>
        <v>I0000426</v>
      </c>
      <c r="B5388" s="5" t="str">
        <f t="shared" si="276"/>
        <v>PINZA DE CAMPO</v>
      </c>
      <c r="C5388" s="6">
        <v>39440</v>
      </c>
      <c r="D5388" s="5"/>
      <c r="E5388" s="5" t="str">
        <f t="shared" si="273"/>
        <v>INSTRUMENTACION-DIANA CAICEDO-DIANA DIAZ</v>
      </c>
      <c r="F5388" s="5" t="str">
        <f>"Descripcion: PINZAS DE CAMPO Estado: Bueno Placa anterior: 000031766 Material: ACERO INOXIDABLE Color: PLATEADO Referencia:  Observacion:     Placa padre: I0000385Tipo adquisicion: Entidad"</f>
        <v>Descripcion: PINZAS DE CAMPO Estado: Bueno Placa anterior: 000031766 Material: ACERO INOXIDABLE Color: PLATEADO Referencia:  Observacion:     Placa padre: I0000385Tipo adquisicion: Entidad</v>
      </c>
      <c r="G5388" s="5"/>
    </row>
    <row r="5389" spans="1:7" ht="58.5" customHeight="1" x14ac:dyDescent="0.25">
      <c r="A5389" s="5" t="str">
        <f>"I0000427"</f>
        <v>I0000427</v>
      </c>
      <c r="B5389" s="5" t="str">
        <f t="shared" si="276"/>
        <v>PINZA DE CAMPO</v>
      </c>
      <c r="C5389" s="6">
        <v>39440</v>
      </c>
      <c r="D5389" s="5"/>
      <c r="E5389" s="5" t="str">
        <f t="shared" si="273"/>
        <v>INSTRUMENTACION-DIANA CAICEDO-DIANA DIAZ</v>
      </c>
      <c r="F5389" s="5" t="str">
        <f>"Descripcion: PINZAS DE CAMPO Estado: Bueno Placa anterior: 000031767 Material: ACERO INOXIDABLE Color: PLATEADO Referencia:  Observacion:     Placa padre: I0000385Tipo adquisicion: Entidad"</f>
        <v>Descripcion: PINZAS DE CAMPO Estado: Bueno Placa anterior: 000031767 Material: ACERO INOXIDABLE Color: PLATEADO Referencia:  Observacion:     Placa padre: I0000385Tipo adquisicion: Entidad</v>
      </c>
      <c r="G5389" s="5"/>
    </row>
    <row r="5390" spans="1:7" ht="58.5" customHeight="1" x14ac:dyDescent="0.25">
      <c r="A5390" s="5" t="str">
        <f>"I0000428"</f>
        <v>I0000428</v>
      </c>
      <c r="B5390" s="5" t="str">
        <f t="shared" si="276"/>
        <v>PINZA DE CAMPO</v>
      </c>
      <c r="C5390" s="6">
        <v>39440</v>
      </c>
      <c r="D5390" s="5"/>
      <c r="E5390" s="5" t="str">
        <f t="shared" si="273"/>
        <v>INSTRUMENTACION-DIANA CAICEDO-DIANA DIAZ</v>
      </c>
      <c r="F5390" s="5" t="str">
        <f>"Descripcion: PINZAS DE CAMPO Estado: Bueno Placa anterior: 000031768 Material: ACERO INOXIDABLE Color: PLATEADO Referencia:  Observacion:     Placa padre: I0000385Tipo adquisicion: Entidad"</f>
        <v>Descripcion: PINZAS DE CAMPO Estado: Bueno Placa anterior: 000031768 Material: ACERO INOXIDABLE Color: PLATEADO Referencia:  Observacion:     Placa padre: I0000385Tipo adquisicion: Entidad</v>
      </c>
      <c r="G5390" s="5"/>
    </row>
    <row r="5391" spans="1:7" ht="58.5" customHeight="1" x14ac:dyDescent="0.25">
      <c r="A5391" s="5" t="str">
        <f>"I0000429"</f>
        <v>I0000429</v>
      </c>
      <c r="B5391" s="5" t="str">
        <f t="shared" si="276"/>
        <v>PINZA DE CAMPO</v>
      </c>
      <c r="C5391" s="6">
        <v>39440</v>
      </c>
      <c r="D5391" s="5"/>
      <c r="E5391" s="5" t="str">
        <f t="shared" si="273"/>
        <v>INSTRUMENTACION-DIANA CAICEDO-DIANA DIAZ</v>
      </c>
      <c r="F5391" s="5" t="str">
        <f>"Descripcion: PINZAS DE CAMPO Estado: Bueno Placa anterior: 000031769 Material: ACERO INOXIDABLE Color: PLATEADO Referencia:  Observacion:     Placa padre: I0000385Tipo adquisicion: Entidad"</f>
        <v>Descripcion: PINZAS DE CAMPO Estado: Bueno Placa anterior: 000031769 Material: ACERO INOXIDABLE Color: PLATEADO Referencia:  Observacion:     Placa padre: I0000385Tipo adquisicion: Entidad</v>
      </c>
      <c r="G5391" s="5"/>
    </row>
    <row r="5392" spans="1:7" ht="58.5" customHeight="1" x14ac:dyDescent="0.25">
      <c r="A5392" s="5" t="str">
        <f>"I0000430"</f>
        <v>I0000430</v>
      </c>
      <c r="B5392" s="5" t="str">
        <f t="shared" si="276"/>
        <v>PINZA DE CAMPO</v>
      </c>
      <c r="C5392" s="6">
        <v>39440</v>
      </c>
      <c r="D5392" s="5"/>
      <c r="E5392" s="5" t="str">
        <f t="shared" si="273"/>
        <v>INSTRUMENTACION-DIANA CAICEDO-DIANA DIAZ</v>
      </c>
      <c r="F5392" s="5" t="str">
        <f>"Descripcion: PINZAS DE CAMPO Estado: Bueno Placa anterior: 000031770 Material: ACERO INOXIDABLE Color: PLATEADO Referencia:  Observacion:     Placa padre: I0000385Tipo adquisicion: Entidad"</f>
        <v>Descripcion: PINZAS DE CAMPO Estado: Bueno Placa anterior: 000031770 Material: ACERO INOXIDABLE Color: PLATEADO Referencia:  Observacion:     Placa padre: I0000385Tipo adquisicion: Entidad</v>
      </c>
      <c r="G5392" s="5"/>
    </row>
    <row r="5393" spans="1:7" ht="58.5" customHeight="1" x14ac:dyDescent="0.25">
      <c r="A5393" s="5" t="str">
        <f>"I0000431"</f>
        <v>I0000431</v>
      </c>
      <c r="B5393" s="5" t="str">
        <f>"CANULA DE YANKAUER"</f>
        <v>CANULA DE YANKAUER</v>
      </c>
      <c r="C5393" s="6">
        <v>92800</v>
      </c>
      <c r="D5393" s="5"/>
      <c r="E5393" s="5" t="str">
        <f t="shared" si="273"/>
        <v>INSTRUMENTACION-DIANA CAICEDO-DIANA DIAZ</v>
      </c>
      <c r="F5393" s="5" t="str">
        <f>"Descripcion: CANULA DE YANKAWER (DIMEDA) Estado: Bueno Placa anterior: 000031639 Material: ACERO INOXIDABLE Color: PLATEADO Referencia:  Observacion:     Placa padre: I0000385Tipo adquisicion: Entidad"</f>
        <v>Descripcion: CANULA DE YANKAWER (DIMEDA) Estado: Bueno Placa anterior: 000031639 Material: ACERO INOXIDABLE Color: PLATEADO Referencia:  Observacion:     Placa padre: I0000385Tipo adquisicion: Entidad</v>
      </c>
      <c r="G5393" s="5"/>
    </row>
    <row r="5394" spans="1:7" ht="58.5" customHeight="1" x14ac:dyDescent="0.25">
      <c r="A5394" s="5" t="str">
        <f>"I0000433"</f>
        <v>I0000433</v>
      </c>
      <c r="B5394" s="5" t="str">
        <f>"CUBETA ESMALTADA MEDIANA"</f>
        <v>CUBETA ESMALTADA MEDIANA</v>
      </c>
      <c r="C5394" s="6">
        <v>160660</v>
      </c>
      <c r="D5394" s="5"/>
      <c r="E5394" s="5" t="str">
        <f t="shared" si="273"/>
        <v>INSTRUMENTACION-DIANA CAICEDO-DIANA DIAZ</v>
      </c>
      <c r="F5394" s="5" t="str">
        <f>"Descripcion: CUBETA DE INSTRUMENTAL NIQUELADA Estado: Bueno Placa anterior: 000025342 Material: ACERO INOXIDABLE Color: PLATEADO Referencia:  Observacion:     Placa padre: I0000385Tipo adquisicion: Entidad"</f>
        <v>Descripcion: CUBETA DE INSTRUMENTAL NIQUELADA Estado: Bueno Placa anterior: 000025342 Material: ACERO INOXIDABLE Color: PLATEADO Referencia:  Observacion:     Placa padre: I0000385Tipo adquisicion: Entidad</v>
      </c>
      <c r="G5394" s="5"/>
    </row>
    <row r="5395" spans="1:7" ht="58.5" customHeight="1" x14ac:dyDescent="0.25">
      <c r="A5395" s="5" t="str">
        <f>"I0000434"</f>
        <v>I0000434</v>
      </c>
      <c r="B5395" s="5" t="str">
        <f>"EQUIPO DE CIRUGIA"</f>
        <v>EQUIPO DE CIRUGIA</v>
      </c>
      <c r="C5395" s="6">
        <v>1553653.4</v>
      </c>
      <c r="D5395" s="5"/>
      <c r="E5395" s="5" t="str">
        <f t="shared" si="273"/>
        <v>INSTRUMENTACION-DIANA CAICEDO-DIANA DIAZ</v>
      </c>
      <c r="F5395" s="5" t="str">
        <f>"Descripcion: EQUIPO MEDIANO DE CIRUGIA  # 2  (1)MANGO DE BISTURI  #4  (1) MANGO DE BISTURI  #7  (2) SEPARADORES DE FARA BEUF  (1) SEPARADOR DE DEAVERS ANGOSTO  (1) TIJERA DE MAYO RECTA (DIMEDA)  (0) TIJERA DE METZEMBAUM CURVA   (1) PINZA DE DISECCION SIN "&amp; "GARRA PEQUEÑA (DIMEDA)  (1) PINZA DE DISECCION SIN GARRA MEDIANA  (0) PINZA DE DISECCION ADSON CON GARRA  (1) PINZA DE DISECCION CON GARRA (DIMEDA)  (1) PINZA DE DISECCION RUSA (DIMEDA)  (8) PINZAS KELLY CURVAS  (2) PINZAS KELLY RECTAS   (4) PINZAS ALLIX "&amp; " (6) PINZAS ROCHESTER CURVAS   (2)  PINZAS KELLY ADSON (DIMEDA)  (2)  PINZAS DE CISTICO  (2)  PINZAS BABCOCK  (1) PORTA AGUJAS MEDIANO (DIMEDA)  (6) PINZAS DE CAMPO  (1) CANULA DE YANKAWER (DIMEDA)  (1) PLATON NIQUELADO  (1) CUBETA DE INSTRUMENTAL NIQUELA"&amp; "DA Estado: Bueno Placa anterior: 000014664 Material: ACERO INOXIDABLE Color: PLATEADO Referencia:  Observacion:     Placa padre: Tipo adquisicion: Entidad"</f>
        <v>Descripcion: EQUIPO MEDIANO DE CIRUGIA  # 2  (1)MANGO DE BISTURI  #4  (1) MANGO DE BISTURI  #7  (2) SEPARADORES DE FARA BEUF  (1) SEPARADOR DE DEAVERS ANGOSTO  (1) TIJERA DE MAYO RECTA (DIMEDA)  (0) TIJERA DE METZEMBAUM CURVA   (1) PINZA DE DISECCION SIN GARRA PEQUEÑA (DIMEDA)  (1) PINZA DE DISECCION SIN GARRA MEDIANA  (0) PINZA DE DISECCION ADSON CON GARRA  (1) PINZA DE DISECCION CON GARRA (DIMEDA)  (1) PINZA DE DISECCION RUSA (DIMEDA)  (8) PINZAS KELLY CURVAS  (2) PINZAS KELLY RECTAS   (4) PINZAS ALLIX  (6) PINZAS ROCHESTER CURVAS   (2)  PINZAS KELLY ADSON (DIMEDA)  (2)  PINZAS DE CISTICO  (2)  PINZAS BABCOCK  (1) PORTA AGUJAS MEDIANO (DIMEDA)  (6) PINZAS DE CAMPO  (1) CANULA DE YANKAWER (DIMEDA)  (1) PLATON NIQUELADO  (1) CUBETA DE INSTRUMENTAL NIQUELADA Estado: Bueno Placa anterior: 000014664 Material: ACERO INOXIDABLE Color: PLATEADO Referencia:  Observacion:     Placa padre: Tipo adquisicion: Entidad</v>
      </c>
      <c r="G5395" s="5"/>
    </row>
    <row r="5396" spans="1:7" ht="58.5" customHeight="1" x14ac:dyDescent="0.25">
      <c r="A5396" s="5" t="str">
        <f>"I0000435"</f>
        <v>I0000435</v>
      </c>
      <c r="B5396" s="5" t="str">
        <f>"MANGO PARA BISTURI #4"</f>
        <v>MANGO PARA BISTURI #4</v>
      </c>
      <c r="C5396" s="6">
        <v>15080</v>
      </c>
      <c r="D5396" s="5"/>
      <c r="E5396" s="5" t="str">
        <f t="shared" si="273"/>
        <v>INSTRUMENTACION-DIANA CAICEDO-DIANA DIAZ</v>
      </c>
      <c r="F5396" s="5" t="str">
        <f>"Descripcion: MANGO DE BISTURI  #4 Estado: Bueno Placa anterior: 000031872 Material: ACERO INOXIDABLE Color: PLATEADO Referencia:  Observacion:     Placa padre: I0000434Tipo adquisicion: Entidad"</f>
        <v>Descripcion: MANGO DE BISTURI  #4 Estado: Bueno Placa anterior: 000031872 Material: ACERO INOXIDABLE Color: PLATEADO Referencia:  Observacion:     Placa padre: I0000434Tipo adquisicion: Entidad</v>
      </c>
      <c r="G5396" s="5"/>
    </row>
    <row r="5397" spans="1:7" ht="58.5" customHeight="1" x14ac:dyDescent="0.25">
      <c r="A5397" s="5" t="str">
        <f>"I0000437"</f>
        <v>I0000437</v>
      </c>
      <c r="B5397" s="5" t="str">
        <f>"SEPARADOR DE ABDOMEN (FARABEUF)"</f>
        <v>SEPARADOR DE ABDOMEN (FARABEUF)</v>
      </c>
      <c r="C5397" s="6">
        <v>46400</v>
      </c>
      <c r="D5397" s="5"/>
      <c r="E5397" s="5" t="str">
        <f t="shared" si="273"/>
        <v>INSTRUMENTACION-DIANA CAICEDO-DIANA DIAZ</v>
      </c>
      <c r="F5397" s="5" t="str">
        <f>"Descripcion: SEPARADORES DE FARA BEUF Estado: Bueno Placa anterior: 000032512 Material: ACERO INOXIDABLE Color: PLATEADO Referencia:  Observacion:     Placa padre: I0000434Tipo adquisicion: Entidad"</f>
        <v>Descripcion: SEPARADORES DE FARA BEUF Estado: Bueno Placa anterior: 000032512 Material: ACERO INOXIDABLE Color: PLATEADO Referencia:  Observacion:     Placa padre: I0000434Tipo adquisicion: Entidad</v>
      </c>
      <c r="G5397" s="5"/>
    </row>
    <row r="5398" spans="1:7" ht="58.5" customHeight="1" x14ac:dyDescent="0.25">
      <c r="A5398" s="5" t="str">
        <f>"I0000438"</f>
        <v>I0000438</v>
      </c>
      <c r="B5398" s="5" t="str">
        <f>"SEPARADOR DE ABDOMEN (FARABEUF)"</f>
        <v>SEPARADOR DE ABDOMEN (FARABEUF)</v>
      </c>
      <c r="C5398" s="6">
        <v>46400</v>
      </c>
      <c r="D5398" s="5"/>
      <c r="E5398" s="5" t="str">
        <f t="shared" si="273"/>
        <v>INSTRUMENTACION-DIANA CAICEDO-DIANA DIAZ</v>
      </c>
      <c r="F5398" s="5" t="str">
        <f>"Descripcion: SEPARADORES DE FARA BEUF Estado: Bueno Placa anterior: 000032513 Material: ACERO INOXIDABLE Color: PLATEADO Referencia:  Observacion:     Placa padre: I0000434Tipo adquisicion: Entidad"</f>
        <v>Descripcion: SEPARADORES DE FARA BEUF Estado: Bueno Placa anterior: 000032513 Material: ACERO INOXIDABLE Color: PLATEADO Referencia:  Observacion:     Placa padre: I0000434Tipo adquisicion: Entidad</v>
      </c>
      <c r="G5398" s="5"/>
    </row>
    <row r="5399" spans="1:7" ht="58.5" customHeight="1" x14ac:dyDescent="0.25">
      <c r="A5399" s="5" t="str">
        <f>"I0000441"</f>
        <v>I0000441</v>
      </c>
      <c r="B5399" s="5" t="str">
        <f>"TIJERA  DE METZEMBAUM CURVA"</f>
        <v>TIJERA  DE METZEMBAUM CURVA</v>
      </c>
      <c r="C5399" s="6">
        <v>63800</v>
      </c>
      <c r="D5399" s="5"/>
      <c r="E5399" s="5" t="str">
        <f t="shared" si="273"/>
        <v>INSTRUMENTACION-DIANA CAICEDO-DIANA DIAZ</v>
      </c>
      <c r="F5399" s="5" t="str">
        <f>"Descripcion: TIJERA DE METZEMBAUM CURVA  Estado: Bueno Placa anterior: 000032079 Material: ACERO INOXIDABLE Color: PLATEADO Referencia:  Observacion:     Placa padre: I0000434Tipo adquisicion: Entidad"</f>
        <v>Descripcion: TIJERA DE METZEMBAUM CURVA  Estado: Bueno Placa anterior: 000032079 Material: ACERO INOXIDABLE Color: PLATEADO Referencia:  Observacion:     Placa padre: I0000434Tipo adquisicion: Entidad</v>
      </c>
      <c r="G5399" s="5"/>
    </row>
    <row r="5400" spans="1:7" ht="58.5" customHeight="1" x14ac:dyDescent="0.25">
      <c r="A5400" s="5" t="str">
        <f>"I0000446"</f>
        <v>I0000446</v>
      </c>
      <c r="B5400" s="5" t="str">
        <f>"PINZA DISECCION RUSA"</f>
        <v>PINZA DISECCION RUSA</v>
      </c>
      <c r="C5400" s="6">
        <v>67280</v>
      </c>
      <c r="D5400" s="5"/>
      <c r="E5400" s="5" t="str">
        <f t="shared" si="273"/>
        <v>INSTRUMENTACION-DIANA CAICEDO-DIANA DIAZ</v>
      </c>
      <c r="F5400" s="5" t="str">
        <f>"Descripcion: PINZA DE DISECCION RUSA (DIMEDA) Estado: Bueno Placa anterior: 000031990 Material: ACERO INOXIDABLE Color: PLATEADO Referencia:  Observacion:     Placa padre: I0000434Tipo adquisicion: Entidad"</f>
        <v>Descripcion: PINZA DE DISECCION RUSA (DIMEDA) Estado: Bueno Placa anterior: 000031990 Material: ACERO INOXIDABLE Color: PLATEADO Referencia:  Observacion:     Placa padre: I0000434Tipo adquisicion: Entidad</v>
      </c>
      <c r="G5400" s="5"/>
    </row>
    <row r="5401" spans="1:7" ht="58.5" customHeight="1" x14ac:dyDescent="0.25">
      <c r="A5401" s="5" t="str">
        <f>"I0000447"</f>
        <v>I0000447</v>
      </c>
      <c r="B5401" s="5" t="str">
        <f t="shared" ref="B5401:B5408" si="277">"PINZA KELLY CURVA 16 CM"</f>
        <v>PINZA KELLY CURVA 16 CM</v>
      </c>
      <c r="C5401" s="6">
        <v>52200</v>
      </c>
      <c r="D5401" s="5"/>
      <c r="E5401" s="5" t="str">
        <f t="shared" si="273"/>
        <v>INSTRUMENTACION-DIANA CAICEDO-DIANA DIAZ</v>
      </c>
      <c r="F5401" s="5" t="str">
        <f>"Descripcion: PINZAS KELLY CURVAS Estado: Bueno Placa anterior: 000036108 Material: ACERO INOXIDABLE Color: PLATEADO Referencia:  Observacion:     Placa padre: I0000434Tipo adquisicion: Entidad"</f>
        <v>Descripcion: PINZAS KELLY CURVAS Estado: Bueno Placa anterior: 000036108 Material: ACERO INOXIDABLE Color: PLATEADO Referencia:  Observacion:     Placa padre: I0000434Tipo adquisicion: Entidad</v>
      </c>
      <c r="G5401" s="5"/>
    </row>
    <row r="5402" spans="1:7" ht="58.5" customHeight="1" x14ac:dyDescent="0.25">
      <c r="A5402" s="5" t="str">
        <f>"I0000448"</f>
        <v>I0000448</v>
      </c>
      <c r="B5402" s="5" t="str">
        <f t="shared" si="277"/>
        <v>PINZA KELLY CURVA 16 CM</v>
      </c>
      <c r="C5402" s="6">
        <v>52200</v>
      </c>
      <c r="D5402" s="5"/>
      <c r="E5402" s="5" t="str">
        <f t="shared" si="273"/>
        <v>INSTRUMENTACION-DIANA CAICEDO-DIANA DIAZ</v>
      </c>
      <c r="F5402" s="5" t="str">
        <f>"Descripcion: PINZAS KELLY CURVAS Estado: Bueno Placa anterior: 000036109 Material: ACERO INOXIDABLE Color: PLATEADO Referencia:  Observacion:     Placa padre: I0000434Tipo adquisicion: Entidad"</f>
        <v>Descripcion: PINZAS KELLY CURVAS Estado: Bueno Placa anterior: 000036109 Material: ACERO INOXIDABLE Color: PLATEADO Referencia:  Observacion:     Placa padre: I0000434Tipo adquisicion: Entidad</v>
      </c>
      <c r="G5402" s="5"/>
    </row>
    <row r="5403" spans="1:7" ht="58.5" customHeight="1" x14ac:dyDescent="0.25">
      <c r="A5403" s="5" t="str">
        <f>"I0000449"</f>
        <v>I0000449</v>
      </c>
      <c r="B5403" s="5" t="str">
        <f t="shared" si="277"/>
        <v>PINZA KELLY CURVA 16 CM</v>
      </c>
      <c r="C5403" s="6">
        <v>52200</v>
      </c>
      <c r="D5403" s="5"/>
      <c r="E5403" s="5" t="str">
        <f t="shared" si="273"/>
        <v>INSTRUMENTACION-DIANA CAICEDO-DIANA DIAZ</v>
      </c>
      <c r="F5403" s="5" t="str">
        <f>"Descripcion: PINZAS KELLY CURVAS Estado: Bueno Placa anterior: 000036110 Material: ACERO INOXIDABLE Color: PLATEADO Referencia:  Observacion:     Placa padre: I0000434Tipo adquisicion: Entidad"</f>
        <v>Descripcion: PINZAS KELLY CURVAS Estado: Bueno Placa anterior: 000036110 Material: ACERO INOXIDABLE Color: PLATEADO Referencia:  Observacion:     Placa padre: I0000434Tipo adquisicion: Entidad</v>
      </c>
      <c r="G5403" s="5"/>
    </row>
    <row r="5404" spans="1:7" ht="58.5" customHeight="1" x14ac:dyDescent="0.25">
      <c r="A5404" s="5" t="str">
        <f>"I0000450"</f>
        <v>I0000450</v>
      </c>
      <c r="B5404" s="5" t="str">
        <f t="shared" si="277"/>
        <v>PINZA KELLY CURVA 16 CM</v>
      </c>
      <c r="C5404" s="6">
        <v>52200</v>
      </c>
      <c r="D5404" s="5"/>
      <c r="E5404" s="5" t="str">
        <f t="shared" si="273"/>
        <v>INSTRUMENTACION-DIANA CAICEDO-DIANA DIAZ</v>
      </c>
      <c r="F5404" s="5" t="str">
        <f>"Descripcion: PINZAS KELLY CURVAS Estado: Bueno Placa anterior: 000036111 Material: ACERO INOXIDABLE Color: PLATEADO Referencia:  Observacion:     Placa padre: I0000434Tipo adquisicion: Entidad"</f>
        <v>Descripcion: PINZAS KELLY CURVAS Estado: Bueno Placa anterior: 000036111 Material: ACERO INOXIDABLE Color: PLATEADO Referencia:  Observacion:     Placa padre: I0000434Tipo adquisicion: Entidad</v>
      </c>
      <c r="G5404" s="5"/>
    </row>
    <row r="5405" spans="1:7" ht="58.5" customHeight="1" x14ac:dyDescent="0.25">
      <c r="A5405" s="5" t="str">
        <f>"I0000451"</f>
        <v>I0000451</v>
      </c>
      <c r="B5405" s="5" t="str">
        <f t="shared" si="277"/>
        <v>PINZA KELLY CURVA 16 CM</v>
      </c>
      <c r="C5405" s="6">
        <v>52200</v>
      </c>
      <c r="D5405" s="5"/>
      <c r="E5405" s="5" t="str">
        <f t="shared" si="273"/>
        <v>INSTRUMENTACION-DIANA CAICEDO-DIANA DIAZ</v>
      </c>
      <c r="F5405" s="5" t="str">
        <f>"Descripcion: PINZAS KELLY CURVAS Estado: Bueno Placa anterior: 000036112 Material: ACERO INOXIDABLE Color: PLATEADO Referencia:  Observacion:     Placa padre: I0000434Tipo adquisicion: Entidad"</f>
        <v>Descripcion: PINZAS KELLY CURVAS Estado: Bueno Placa anterior: 000036112 Material: ACERO INOXIDABLE Color: PLATEADO Referencia:  Observacion:     Placa padre: I0000434Tipo adquisicion: Entidad</v>
      </c>
      <c r="G5405" s="5"/>
    </row>
    <row r="5406" spans="1:7" ht="58.5" customHeight="1" x14ac:dyDescent="0.25">
      <c r="A5406" s="5" t="str">
        <f>"I0000452"</f>
        <v>I0000452</v>
      </c>
      <c r="B5406" s="5" t="str">
        <f t="shared" si="277"/>
        <v>PINZA KELLY CURVA 16 CM</v>
      </c>
      <c r="C5406" s="6">
        <v>52200</v>
      </c>
      <c r="D5406" s="5"/>
      <c r="E5406" s="5" t="str">
        <f t="shared" si="273"/>
        <v>INSTRUMENTACION-DIANA CAICEDO-DIANA DIAZ</v>
      </c>
      <c r="F5406" s="5" t="str">
        <f>"Descripcion: PINZAS KELLY CURVAS Estado: Bueno Placa anterior: 000036113 Material: ACERO INOXIDABLE Color: PLATEADO Referencia:  Observacion:     Placa padre: I0000434Tipo adquisicion: Entidad"</f>
        <v>Descripcion: PINZAS KELLY CURVAS Estado: Bueno Placa anterior: 000036113 Material: ACERO INOXIDABLE Color: PLATEADO Referencia:  Observacion:     Placa padre: I0000434Tipo adquisicion: Entidad</v>
      </c>
      <c r="G5406" s="5"/>
    </row>
    <row r="5407" spans="1:7" ht="58.5" customHeight="1" x14ac:dyDescent="0.25">
      <c r="A5407" s="5" t="str">
        <f>"I0000453"</f>
        <v>I0000453</v>
      </c>
      <c r="B5407" s="5" t="str">
        <f t="shared" si="277"/>
        <v>PINZA KELLY CURVA 16 CM</v>
      </c>
      <c r="C5407" s="6">
        <v>52200</v>
      </c>
      <c r="D5407" s="5"/>
      <c r="E5407" s="5" t="str">
        <f t="shared" ref="E5407:E5470" si="278">"INSTRUMENTACION-DIANA CAICEDO-DIANA DIAZ"</f>
        <v>INSTRUMENTACION-DIANA CAICEDO-DIANA DIAZ</v>
      </c>
      <c r="F5407" s="5" t="str">
        <f>"Descripcion: PINZAS KELLY CURVAS Estado: Bueno Placa anterior: 000036114 Material: ACERO INOXIDABLE Color: PLATEADO Referencia:  Observacion:     Placa padre: I0000434Tipo adquisicion: Entidad"</f>
        <v>Descripcion: PINZAS KELLY CURVAS Estado: Bueno Placa anterior: 000036114 Material: ACERO INOXIDABLE Color: PLATEADO Referencia:  Observacion:     Placa padre: I0000434Tipo adquisicion: Entidad</v>
      </c>
      <c r="G5407" s="5"/>
    </row>
    <row r="5408" spans="1:7" ht="58.5" customHeight="1" x14ac:dyDescent="0.25">
      <c r="A5408" s="5" t="str">
        <f>"I0000454"</f>
        <v>I0000454</v>
      </c>
      <c r="B5408" s="5" t="str">
        <f t="shared" si="277"/>
        <v>PINZA KELLY CURVA 16 CM</v>
      </c>
      <c r="C5408" s="6">
        <v>52200</v>
      </c>
      <c r="D5408" s="5"/>
      <c r="E5408" s="5" t="str">
        <f t="shared" si="278"/>
        <v>INSTRUMENTACION-DIANA CAICEDO-DIANA DIAZ</v>
      </c>
      <c r="F5408" s="5" t="str">
        <f>"Descripcion: PINZAS KELLY CURVAS Estado: Bueno Placa anterior: 000036115 Material: ACERO INOXIDABLE Color: PLATEADO Referencia:  Observacion:     Placa padre: I0000434Tipo adquisicion: Entidad"</f>
        <v>Descripcion: PINZAS KELLY CURVAS Estado: Bueno Placa anterior: 000036115 Material: ACERO INOXIDABLE Color: PLATEADO Referencia:  Observacion:     Placa padre: I0000434Tipo adquisicion: Entidad</v>
      </c>
      <c r="G5408" s="5"/>
    </row>
    <row r="5409" spans="1:7" ht="58.5" customHeight="1" x14ac:dyDescent="0.25">
      <c r="A5409" s="5" t="str">
        <f>"I0000455"</f>
        <v>I0000455</v>
      </c>
      <c r="B5409" s="5" t="str">
        <f>"PINZA KELLY RECTA 16 CM"</f>
        <v>PINZA KELLY RECTA 16 CM</v>
      </c>
      <c r="C5409" s="6">
        <v>52200</v>
      </c>
      <c r="D5409" s="5"/>
      <c r="E5409" s="5" t="str">
        <f t="shared" si="278"/>
        <v>INSTRUMENTACION-DIANA CAICEDO-DIANA DIAZ</v>
      </c>
      <c r="F5409" s="5" t="str">
        <f>"Descripcion: PINZAS KELLY RECTAS  Estado: Bueno Placa anterior: 000036116 Material: ACERO INOXIDABLE Color: PLATEADO Referencia:  Observacion:     Placa padre: I0000434Tipo adquisicion: Entidad"</f>
        <v>Descripcion: PINZAS KELLY RECTAS  Estado: Bueno Placa anterior: 000036116 Material: ACERO INOXIDABLE Color: PLATEADO Referencia:  Observacion:     Placa padre: I0000434Tipo adquisicion: Entidad</v>
      </c>
      <c r="G5409" s="5"/>
    </row>
    <row r="5410" spans="1:7" ht="58.5" customHeight="1" x14ac:dyDescent="0.25">
      <c r="A5410" s="5" t="str">
        <f>"I0000456"</f>
        <v>I0000456</v>
      </c>
      <c r="B5410" s="5" t="str">
        <f>"PINZA KELLY RECTA 16 CM"</f>
        <v>PINZA KELLY RECTA 16 CM</v>
      </c>
      <c r="C5410" s="6">
        <v>52200</v>
      </c>
      <c r="D5410" s="5"/>
      <c r="E5410" s="5" t="str">
        <f t="shared" si="278"/>
        <v>INSTRUMENTACION-DIANA CAICEDO-DIANA DIAZ</v>
      </c>
      <c r="F5410" s="5" t="str">
        <f>"Descripcion: PINZAS KELLY RECTAS  Estado: Bueno Placa anterior: 000036117 Material: ACERO INOXIDABLE Color: PLATEADO Referencia:  Observacion:     Placa padre: I0000434Tipo adquisicion: Entidad"</f>
        <v>Descripcion: PINZAS KELLY RECTAS  Estado: Bueno Placa anterior: 000036117 Material: ACERO INOXIDABLE Color: PLATEADO Referencia:  Observacion:     Placa padre: I0000434Tipo adquisicion: Entidad</v>
      </c>
      <c r="G5410" s="5"/>
    </row>
    <row r="5411" spans="1:7" ht="58.5" customHeight="1" x14ac:dyDescent="0.25">
      <c r="A5411" s="5" t="str">
        <f>"I0000461"</f>
        <v>I0000461</v>
      </c>
      <c r="B5411" s="5" t="str">
        <f t="shared" ref="B5411:B5416" si="279">"PINZA ROCHESTER CURVA 25 CM"</f>
        <v>PINZA ROCHESTER CURVA 25 CM</v>
      </c>
      <c r="C5411" s="6">
        <v>113680</v>
      </c>
      <c r="D5411" s="5"/>
      <c r="E5411" s="5" t="str">
        <f t="shared" si="278"/>
        <v>INSTRUMENTACION-DIANA CAICEDO-DIANA DIAZ</v>
      </c>
      <c r="F5411" s="5" t="str">
        <f>"Descripcion: PINZAS ROCHESTER CURVAS  Estado: Bueno Placa anterior: 000032458 Material: ACERO INOXIDABLE Color: PLATEADO Referencia:  Observacion:     Placa padre: I0000434Tipo adquisicion: Entidad"</f>
        <v>Descripcion: PINZAS ROCHESTER CURVAS  Estado: Bueno Placa anterior: 000032458 Material: ACERO INOXIDABLE Color: PLATEADO Referencia:  Observacion:     Placa padre: I0000434Tipo adquisicion: Entidad</v>
      </c>
      <c r="G5411" s="5"/>
    </row>
    <row r="5412" spans="1:7" ht="58.5" customHeight="1" x14ac:dyDescent="0.25">
      <c r="A5412" s="5" t="str">
        <f>"I0000462"</f>
        <v>I0000462</v>
      </c>
      <c r="B5412" s="5" t="str">
        <f t="shared" si="279"/>
        <v>PINZA ROCHESTER CURVA 25 CM</v>
      </c>
      <c r="C5412" s="6">
        <v>113680</v>
      </c>
      <c r="D5412" s="5"/>
      <c r="E5412" s="5" t="str">
        <f t="shared" si="278"/>
        <v>INSTRUMENTACION-DIANA CAICEDO-DIANA DIAZ</v>
      </c>
      <c r="F5412" s="5" t="str">
        <f>"Descripcion: PINZAS ROCHESTER CURVAS  Estado: Bueno Placa anterior: 000032459 Material: ACERO INOXIDABLE Color: PLATEADO Referencia:  Observacion:     Placa padre: I0000434Tipo adquisicion: Entidad"</f>
        <v>Descripcion: PINZAS ROCHESTER CURVAS  Estado: Bueno Placa anterior: 000032459 Material: ACERO INOXIDABLE Color: PLATEADO Referencia:  Observacion:     Placa padre: I0000434Tipo adquisicion: Entidad</v>
      </c>
      <c r="G5412" s="5"/>
    </row>
    <row r="5413" spans="1:7" ht="58.5" customHeight="1" x14ac:dyDescent="0.25">
      <c r="A5413" s="5" t="str">
        <f>"I0000463"</f>
        <v>I0000463</v>
      </c>
      <c r="B5413" s="5" t="str">
        <f t="shared" si="279"/>
        <v>PINZA ROCHESTER CURVA 25 CM</v>
      </c>
      <c r="C5413" s="6">
        <v>113680</v>
      </c>
      <c r="D5413" s="5"/>
      <c r="E5413" s="5" t="str">
        <f t="shared" si="278"/>
        <v>INSTRUMENTACION-DIANA CAICEDO-DIANA DIAZ</v>
      </c>
      <c r="F5413" s="5" t="str">
        <f>"Descripcion: PINZAS ROCHESTER CURVAS  Estado: Bueno Placa anterior: 000032460 Material: ACERO INOXIDABLE Color: PLATEADO Referencia:  Observacion:     Placa padre: I0000434Tipo adquisicion: Entidad"</f>
        <v>Descripcion: PINZAS ROCHESTER CURVAS  Estado: Bueno Placa anterior: 000032460 Material: ACERO INOXIDABLE Color: PLATEADO Referencia:  Observacion:     Placa padre: I0000434Tipo adquisicion: Entidad</v>
      </c>
      <c r="G5413" s="5"/>
    </row>
    <row r="5414" spans="1:7" ht="58.5" customHeight="1" x14ac:dyDescent="0.25">
      <c r="A5414" s="5" t="str">
        <f>"I0000464"</f>
        <v>I0000464</v>
      </c>
      <c r="B5414" s="5" t="str">
        <f t="shared" si="279"/>
        <v>PINZA ROCHESTER CURVA 25 CM</v>
      </c>
      <c r="C5414" s="6">
        <v>113680</v>
      </c>
      <c r="D5414" s="5"/>
      <c r="E5414" s="5" t="str">
        <f t="shared" si="278"/>
        <v>INSTRUMENTACION-DIANA CAICEDO-DIANA DIAZ</v>
      </c>
      <c r="F5414" s="5" t="str">
        <f>"Descripcion: PINZAS ROCHESTER CURVAS  Estado: Bueno Placa anterior: 000032461 Material: ACERO INOXIDABLE Color: PLATEADO Referencia:  Observacion:     Placa padre: I0000434Tipo adquisicion: Entidad"</f>
        <v>Descripcion: PINZAS ROCHESTER CURVAS  Estado: Bueno Placa anterior: 000032461 Material: ACERO INOXIDABLE Color: PLATEADO Referencia:  Observacion:     Placa padre: I0000434Tipo adquisicion: Entidad</v>
      </c>
      <c r="G5414" s="5"/>
    </row>
    <row r="5415" spans="1:7" ht="58.5" customHeight="1" x14ac:dyDescent="0.25">
      <c r="A5415" s="5" t="str">
        <f>"I0000465"</f>
        <v>I0000465</v>
      </c>
      <c r="B5415" s="5" t="str">
        <f t="shared" si="279"/>
        <v>PINZA ROCHESTER CURVA 25 CM</v>
      </c>
      <c r="C5415" s="6">
        <v>113680</v>
      </c>
      <c r="D5415" s="5"/>
      <c r="E5415" s="5" t="str">
        <f t="shared" si="278"/>
        <v>INSTRUMENTACION-DIANA CAICEDO-DIANA DIAZ</v>
      </c>
      <c r="F5415" s="5" t="str">
        <f>"Descripcion: PINZAS ROCHESTER CURVAS  Estado: Bueno Placa anterior: 000032462 Material: ACERO INOXIDABLE Color: PLATEADO Referencia:  Observacion:     Placa padre: I0000434Tipo adquisicion: Entidad"</f>
        <v>Descripcion: PINZAS ROCHESTER CURVAS  Estado: Bueno Placa anterior: 000032462 Material: ACERO INOXIDABLE Color: PLATEADO Referencia:  Observacion:     Placa padre: I0000434Tipo adquisicion: Entidad</v>
      </c>
      <c r="G5415" s="5"/>
    </row>
    <row r="5416" spans="1:7" ht="58.5" customHeight="1" x14ac:dyDescent="0.25">
      <c r="A5416" s="5" t="str">
        <f>"I0000466"</f>
        <v>I0000466</v>
      </c>
      <c r="B5416" s="5" t="str">
        <f t="shared" si="279"/>
        <v>PINZA ROCHESTER CURVA 25 CM</v>
      </c>
      <c r="C5416" s="6">
        <v>113680</v>
      </c>
      <c r="D5416" s="5"/>
      <c r="E5416" s="5" t="str">
        <f t="shared" si="278"/>
        <v>INSTRUMENTACION-DIANA CAICEDO-DIANA DIAZ</v>
      </c>
      <c r="F5416" s="5" t="str">
        <f>"Descripcion: PINZAS ROCHESTER CURVAS  Estado: Bueno Placa anterior: 000032463 Material: ACERO INOXIDABLE Color: PLATEADO Referencia:  Observacion:     Placa padre: I0000434Tipo adquisicion: Entidad"</f>
        <v>Descripcion: PINZAS ROCHESTER CURVAS  Estado: Bueno Placa anterior: 000032463 Material: ACERO INOXIDABLE Color: PLATEADO Referencia:  Observacion:     Placa padre: I0000434Tipo adquisicion: Entidad</v>
      </c>
      <c r="G5416" s="5"/>
    </row>
    <row r="5417" spans="1:7" ht="58.5" customHeight="1" x14ac:dyDescent="0.25">
      <c r="A5417" s="5" t="str">
        <f>"I0000467"</f>
        <v>I0000467</v>
      </c>
      <c r="B5417" s="5" t="str">
        <f>"PINZA KELLY ADSON 25 CM"</f>
        <v>PINZA KELLY ADSON 25 CM</v>
      </c>
      <c r="C5417" s="6">
        <v>81200</v>
      </c>
      <c r="D5417" s="5"/>
      <c r="E5417" s="5" t="str">
        <f t="shared" si="278"/>
        <v>INSTRUMENTACION-DIANA CAICEDO-DIANA DIAZ</v>
      </c>
      <c r="F5417" s="5" t="str">
        <f>"Descripcion: PINZAS KELLY ADSON (DIMEDA) Estado: Bueno Placa anterior: 000031664 Material: ACERO INOXIDABLE Color: PLATEADO Referencia:  Observacion: PINZA ADSON HEMOSTATICA CURVA, LONGITUD 180MM(7) EN ACERO INXIDABLE  Placa padre: I0000434Tipo adquisicio"&amp; "n: Entidad"</f>
        <v>Descripcion: PINZAS KELLY ADSON (DIMEDA) Estado: Bueno Placa anterior: 000031664 Material: ACERO INOXIDABLE Color: PLATEADO Referencia:  Observacion: PINZA ADSON HEMOSTATICA CURVA, LONGITUD 180MM(7) EN ACERO INXIDABLE  Placa padre: I0000434Tipo adquisicion: Entidad</v>
      </c>
      <c r="G5417" s="5"/>
    </row>
    <row r="5418" spans="1:7" ht="58.5" customHeight="1" x14ac:dyDescent="0.25">
      <c r="A5418" s="5" t="str">
        <f>"I0000473"</f>
        <v>I0000473</v>
      </c>
      <c r="B5418" s="5" t="str">
        <f>"PORTAGUJAS (PINZA)"</f>
        <v>PORTAGUJAS (PINZA)</v>
      </c>
      <c r="C5418" s="6">
        <v>139200</v>
      </c>
      <c r="D5418" s="5"/>
      <c r="E5418" s="5" t="str">
        <f t="shared" si="278"/>
        <v>INSTRUMENTACION-DIANA CAICEDO-DIANA DIAZ</v>
      </c>
      <c r="F5418" s="5" t="str">
        <f>"Descripcion: PORTA AGUJAS MEDIANO (DIMEDA) Estado: Bueno Placa anterior: 000032425 Material: ACERO INOXIDABLE Color: PLATEADO Referencia:  Observacion: PORTA AGUJAS MASSON RANURADO EN LA PUNTA CIERRE DE CREMALLERA  Placa padre: I0000434Tipo adquisicion: E"&amp; "ntidad"</f>
        <v>Descripcion: PORTA AGUJAS MEDIANO (DIMEDA) Estado: Bueno Placa anterior: 000032425 Material: ACERO INOXIDABLE Color: PLATEADO Referencia:  Observacion: PORTA AGUJAS MASSON RANURADO EN LA PUNTA CIERRE DE CREMALLERA  Placa padre: I0000434Tipo adquisicion: Entidad</v>
      </c>
      <c r="G5418" s="5"/>
    </row>
    <row r="5419" spans="1:7" ht="58.5" customHeight="1" x14ac:dyDescent="0.25">
      <c r="A5419" s="5" t="str">
        <f>"I0000474"</f>
        <v>I0000474</v>
      </c>
      <c r="B5419" s="5" t="str">
        <f t="shared" ref="B5419:B5424" si="280">"PINZA DE CAMPO"</f>
        <v>PINZA DE CAMPO</v>
      </c>
      <c r="C5419" s="6">
        <v>39440</v>
      </c>
      <c r="D5419" s="5"/>
      <c r="E5419" s="5" t="str">
        <f t="shared" si="278"/>
        <v>INSTRUMENTACION-DIANA CAICEDO-DIANA DIAZ</v>
      </c>
      <c r="F5419" s="5" t="str">
        <f>"Descripcion: PINZAS DE CAMPO Estado: Bueno Placa anterior: 000031771 Material: ACERO INOXIDABLE Color: PLATEADO Referencia:  Observacion:     Placa padre: I0000434Tipo adquisicion: Entidad"</f>
        <v>Descripcion: PINZAS DE CAMPO Estado: Bueno Placa anterior: 000031771 Material: ACERO INOXIDABLE Color: PLATEADO Referencia:  Observacion:     Placa padre: I0000434Tipo adquisicion: Entidad</v>
      </c>
      <c r="G5419" s="5"/>
    </row>
    <row r="5420" spans="1:7" ht="58.5" customHeight="1" x14ac:dyDescent="0.25">
      <c r="A5420" s="5" t="str">
        <f>"I0000475"</f>
        <v>I0000475</v>
      </c>
      <c r="B5420" s="5" t="str">
        <f t="shared" si="280"/>
        <v>PINZA DE CAMPO</v>
      </c>
      <c r="C5420" s="6">
        <v>39440</v>
      </c>
      <c r="D5420" s="5"/>
      <c r="E5420" s="5" t="str">
        <f t="shared" si="278"/>
        <v>INSTRUMENTACION-DIANA CAICEDO-DIANA DIAZ</v>
      </c>
      <c r="F5420" s="5" t="str">
        <f>"Descripcion: PINZAS DE CAMPO Estado: Bueno Placa anterior: 000031772 Material: ACERO INOXIDABLE Color: PLATEADO Referencia:  Observacion:     Placa padre: I0000434Tipo adquisicion: Entidad"</f>
        <v>Descripcion: PINZAS DE CAMPO Estado: Bueno Placa anterior: 000031772 Material: ACERO INOXIDABLE Color: PLATEADO Referencia:  Observacion:     Placa padre: I0000434Tipo adquisicion: Entidad</v>
      </c>
      <c r="G5420" s="5"/>
    </row>
    <row r="5421" spans="1:7" ht="58.5" customHeight="1" x14ac:dyDescent="0.25">
      <c r="A5421" s="5" t="str">
        <f>"I0000476"</f>
        <v>I0000476</v>
      </c>
      <c r="B5421" s="5" t="str">
        <f t="shared" si="280"/>
        <v>PINZA DE CAMPO</v>
      </c>
      <c r="C5421" s="6">
        <v>39440</v>
      </c>
      <c r="D5421" s="5"/>
      <c r="E5421" s="5" t="str">
        <f t="shared" si="278"/>
        <v>INSTRUMENTACION-DIANA CAICEDO-DIANA DIAZ</v>
      </c>
      <c r="F5421" s="5" t="str">
        <f>"Descripcion: PINZAS DE CAMPO Estado: Bueno Placa anterior: 000031773 Material: ACERO INOXIDABLE Color: PLATEADO Referencia:  Observacion:     Placa padre: I0000434Tipo adquisicion: Entidad"</f>
        <v>Descripcion: PINZAS DE CAMPO Estado: Bueno Placa anterior: 000031773 Material: ACERO INOXIDABLE Color: PLATEADO Referencia:  Observacion:     Placa padre: I0000434Tipo adquisicion: Entidad</v>
      </c>
      <c r="G5421" s="5"/>
    </row>
    <row r="5422" spans="1:7" ht="58.5" customHeight="1" x14ac:dyDescent="0.25">
      <c r="A5422" s="5" t="str">
        <f>"I0000477"</f>
        <v>I0000477</v>
      </c>
      <c r="B5422" s="5" t="str">
        <f t="shared" si="280"/>
        <v>PINZA DE CAMPO</v>
      </c>
      <c r="C5422" s="6">
        <v>39440</v>
      </c>
      <c r="D5422" s="5"/>
      <c r="E5422" s="5" t="str">
        <f t="shared" si="278"/>
        <v>INSTRUMENTACION-DIANA CAICEDO-DIANA DIAZ</v>
      </c>
      <c r="F5422" s="5" t="str">
        <f>"Descripcion: PINZAS DE CAMPO Estado: Bueno Placa anterior: 000031774 Material: ACERO INOXIDABLE Color: PLATEADO Referencia:  Observacion:     Placa padre: I0000434Tipo adquisicion: Entidad"</f>
        <v>Descripcion: PINZAS DE CAMPO Estado: Bueno Placa anterior: 000031774 Material: ACERO INOXIDABLE Color: PLATEADO Referencia:  Observacion:     Placa padre: I0000434Tipo adquisicion: Entidad</v>
      </c>
      <c r="G5422" s="5"/>
    </row>
    <row r="5423" spans="1:7" ht="58.5" customHeight="1" x14ac:dyDescent="0.25">
      <c r="A5423" s="5" t="str">
        <f>"I0000478"</f>
        <v>I0000478</v>
      </c>
      <c r="B5423" s="5" t="str">
        <f t="shared" si="280"/>
        <v>PINZA DE CAMPO</v>
      </c>
      <c r="C5423" s="6">
        <v>39440</v>
      </c>
      <c r="D5423" s="5"/>
      <c r="E5423" s="5" t="str">
        <f t="shared" si="278"/>
        <v>INSTRUMENTACION-DIANA CAICEDO-DIANA DIAZ</v>
      </c>
      <c r="F5423" s="5" t="str">
        <f>"Descripcion: PINZAS DE CAMPO Estado: Bueno Placa anterior: 000031775 Material: ACERO INOXIDABLE Color: PLATEADO Referencia:  Observacion:     Placa padre: I0000434Tipo adquisicion: Entidad"</f>
        <v>Descripcion: PINZAS DE CAMPO Estado: Bueno Placa anterior: 000031775 Material: ACERO INOXIDABLE Color: PLATEADO Referencia:  Observacion:     Placa padre: I0000434Tipo adquisicion: Entidad</v>
      </c>
      <c r="G5423" s="5"/>
    </row>
    <row r="5424" spans="1:7" ht="58.5" customHeight="1" x14ac:dyDescent="0.25">
      <c r="A5424" s="5" t="str">
        <f>"I0000479"</f>
        <v>I0000479</v>
      </c>
      <c r="B5424" s="5" t="str">
        <f t="shared" si="280"/>
        <v>PINZA DE CAMPO</v>
      </c>
      <c r="C5424" s="6">
        <v>39440</v>
      </c>
      <c r="D5424" s="5"/>
      <c r="E5424" s="5" t="str">
        <f t="shared" si="278"/>
        <v>INSTRUMENTACION-DIANA CAICEDO-DIANA DIAZ</v>
      </c>
      <c r="F5424" s="5" t="str">
        <f>"Descripcion: PINZAS DE CAMPO Estado: Bueno Placa anterior: 000031776 Material: ACERO INOXIDABLE Color: PLATEADO Referencia:  Observacion:     Placa padre: I0000434Tipo adquisicion: Entidad"</f>
        <v>Descripcion: PINZAS DE CAMPO Estado: Bueno Placa anterior: 000031776 Material: ACERO INOXIDABLE Color: PLATEADO Referencia:  Observacion:     Placa padre: I0000434Tipo adquisicion: Entidad</v>
      </c>
      <c r="G5424" s="5"/>
    </row>
    <row r="5425" spans="1:7" ht="58.5" customHeight="1" x14ac:dyDescent="0.25">
      <c r="A5425" s="5" t="str">
        <f>"I0000480"</f>
        <v>I0000480</v>
      </c>
      <c r="B5425" s="5" t="str">
        <f>"CANULA DE YANKAUER"</f>
        <v>CANULA DE YANKAUER</v>
      </c>
      <c r="C5425" s="6">
        <v>92800</v>
      </c>
      <c r="D5425" s="5"/>
      <c r="E5425" s="5" t="str">
        <f t="shared" si="278"/>
        <v>INSTRUMENTACION-DIANA CAICEDO-DIANA DIAZ</v>
      </c>
      <c r="F5425" s="5" t="str">
        <f>"Descripcion: CANULA DE YANKAWER (DIMEDA) Estado: Bueno Placa anterior: 000031640 Material: ACERO INOXIDABLE Color: PLATEADO Referencia:  Observacion:     Placa padre: I0000434Tipo adquisicion: Entidad"</f>
        <v>Descripcion: CANULA DE YANKAWER (DIMEDA) Estado: Bueno Placa anterior: 000031640 Material: ACERO INOXIDABLE Color: PLATEADO Referencia:  Observacion:     Placa padre: I0000434Tipo adquisicion: Entidad</v>
      </c>
      <c r="G5425" s="5"/>
    </row>
    <row r="5426" spans="1:7" ht="58.5" customHeight="1" x14ac:dyDescent="0.25">
      <c r="A5426" s="5" t="str">
        <f>"I0000482"</f>
        <v>I0000482</v>
      </c>
      <c r="B5426" s="5" t="str">
        <f>"CUBETA ESMALTADA MEDIANA"</f>
        <v>CUBETA ESMALTADA MEDIANA</v>
      </c>
      <c r="C5426" s="6">
        <v>160660</v>
      </c>
      <c r="D5426" s="5"/>
      <c r="E5426" s="5" t="str">
        <f t="shared" si="278"/>
        <v>INSTRUMENTACION-DIANA CAICEDO-DIANA DIAZ</v>
      </c>
      <c r="F5426" s="5" t="str">
        <f>"Descripcion: CUBETA DE INSTRUMENTAL NIQUELADA Estado: Bueno Placa anterior: 000025343 Material: ACERO INOXIDABLE Color: PLATEADO Referencia:  Observacion:     Placa padre: I0000434Tipo adquisicion: Entidad"</f>
        <v>Descripcion: CUBETA DE INSTRUMENTAL NIQUELADA Estado: Bueno Placa anterior: 000025343 Material: ACERO INOXIDABLE Color: PLATEADO Referencia:  Observacion:     Placa padre: I0000434Tipo adquisicion: Entidad</v>
      </c>
      <c r="G5426" s="5"/>
    </row>
    <row r="5427" spans="1:7" ht="58.5" customHeight="1" x14ac:dyDescent="0.25">
      <c r="A5427" s="5" t="str">
        <f>"I0000483"</f>
        <v>I0000483</v>
      </c>
      <c r="B5427" s="5" t="str">
        <f>"EQUIPO DE CIRUGIA"</f>
        <v>EQUIPO DE CIRUGIA</v>
      </c>
      <c r="C5427" s="6">
        <v>1479708</v>
      </c>
      <c r="D5427" s="5"/>
      <c r="E5427" s="5" t="str">
        <f t="shared" si="278"/>
        <v>INSTRUMENTACION-DIANA CAICEDO-DIANA DIAZ</v>
      </c>
      <c r="F5427" s="5" t="str">
        <f>"Descripcion: EQUIPO MEDIANO DE CIRUGIA  # 3  (1)MANGO DE BISTURI  #4  (1) MANGO DE BISTURI  #7  (2) SEPARADORES DE FARA BEUF  (1) SEPARADOR DE DEAVERS ANGOSTO  (1) TIJERA DE MAYO RECTA (DIMEDA)  (1) TIJERA DE METZEMBAUM CURVA   (0) PINZA DE DISECCION SIN "&amp; "GARRA PEQUEÑA (DIMEDA)  (1) PINZA DE DISECCION SIN GARRA MEDIANA  (1) PINZA DE DISECCION ADSON CON GARRA  (1) PINZA DE DISECCION CON GARRA (DIMEDA)  (1) PINZA DE DISECCION RUSA (DIMEDA)  (8) PINZAS KELLY CURVAS  (2) PINZAS KELLY RECTAS   (4) PINZAS ALLIX "&amp; " (6) PINZAS ROCHESTER CURVAS   (2)  PINZAS KELLY ADSON (DIMEDA)  (2)  PINZAS DE CISTICO  (2)  PINZAS BABCOCK  (1) PORTA AGUJAS MEDIANO (DIMEDA)  (6) PINZAS DE CAMPO  (1) CANULA DE YANKAWER (DIMEDA)  (1) PLATON NIQUELADO  (1) CUBETA DE INSTRUMENTAL NIQUELA"&amp; "DA Estado: Bueno Placa anterior: 000016739 Material: ACERO INOXIDABLE Color: PLATEADO Referencia:  Observacion:     Placa padre: Tipo adquisicion: Entidad"</f>
        <v>Descripcion: EQUIPO MEDIANO DE CIRUGIA  # 3  (1)MANGO DE BISTURI  #4  (1) MANGO DE BISTURI  #7  (2) SEPARADORES DE FARA BEUF  (1) SEPARADOR DE DEAVERS ANGOSTO  (1) TIJERA DE MAYO RECTA (DIMEDA)  (1) TIJERA DE METZEMBAUM CURVA   (0) PINZA DE DISECCION SIN GARRA PEQUEÑA (DIMEDA)  (1) PINZA DE DISECCION SIN GARRA MEDIANA  (1) PINZA DE DISECCION ADSON CON GARRA  (1) PINZA DE DISECCION CON GARRA (DIMEDA)  (1) PINZA DE DISECCION RUSA (DIMEDA)  (8) PINZAS KELLY CURVAS  (2) PINZAS KELLY RECTAS   (4) PINZAS ALLIX  (6) PINZAS ROCHESTER CURVAS   (2)  PINZAS KELLY ADSON (DIMEDA)  (2)  PINZAS DE CISTICO  (2)  PINZAS BABCOCK  (1) PORTA AGUJAS MEDIANO (DIMEDA)  (6) PINZAS DE CAMPO  (1) CANULA DE YANKAWER (DIMEDA)  (1) PLATON NIQUELADO  (1) CUBETA DE INSTRUMENTAL NIQUELADA Estado: Bueno Placa anterior: 000016739 Material: ACERO INOXIDABLE Color: PLATEADO Referencia:  Observacion:     Placa padre: Tipo adquisicion: Entidad</v>
      </c>
      <c r="G5427" s="5"/>
    </row>
    <row r="5428" spans="1:7" ht="58.5" customHeight="1" x14ac:dyDescent="0.25">
      <c r="A5428" s="5" t="str">
        <f>"I0000484"</f>
        <v>I0000484</v>
      </c>
      <c r="B5428" s="5" t="str">
        <f>"MANGO PARA BISTURI #4"</f>
        <v>MANGO PARA BISTURI #4</v>
      </c>
      <c r="C5428" s="6">
        <v>15080</v>
      </c>
      <c r="D5428" s="5"/>
      <c r="E5428" s="5" t="str">
        <f t="shared" si="278"/>
        <v>INSTRUMENTACION-DIANA CAICEDO-DIANA DIAZ</v>
      </c>
      <c r="F5428" s="5" t="str">
        <f>"Descripcion: MANGO DE BISTURI  #4 Estado: Bueno Placa anterior: 000031873 Material: ACERO INOXIDABLE Color: PLATEADO Referencia:  Observacion:     Placa padre: I0000483Tipo adquisicion: Entidad"</f>
        <v>Descripcion: MANGO DE BISTURI  #4 Estado: Bueno Placa anterior: 000031873 Material: ACERO INOXIDABLE Color: PLATEADO Referencia:  Observacion:     Placa padre: I0000483Tipo adquisicion: Entidad</v>
      </c>
      <c r="G5428" s="5"/>
    </row>
    <row r="5429" spans="1:7" ht="58.5" customHeight="1" x14ac:dyDescent="0.25">
      <c r="A5429" s="5" t="str">
        <f>"I0000486"</f>
        <v>I0000486</v>
      </c>
      <c r="B5429" s="5" t="str">
        <f>"SEPARADOR DE ABDOMEN (FARABEUF)"</f>
        <v>SEPARADOR DE ABDOMEN (FARABEUF)</v>
      </c>
      <c r="C5429" s="6">
        <v>46400</v>
      </c>
      <c r="D5429" s="5"/>
      <c r="E5429" s="5" t="str">
        <f t="shared" si="278"/>
        <v>INSTRUMENTACION-DIANA CAICEDO-DIANA DIAZ</v>
      </c>
      <c r="F5429" s="5" t="str">
        <f>"Descripcion: SEPARADORES DE FARA BEUF Estado: Bueno Placa anterior: 000032514 Material: ACERO INOXIDABLE Color: PLATEADO Referencia:  Observacion:     Placa padre: I0000483Tipo adquisicion: Entidad"</f>
        <v>Descripcion: SEPARADORES DE FARA BEUF Estado: Bueno Placa anterior: 000032514 Material: ACERO INOXIDABLE Color: PLATEADO Referencia:  Observacion:     Placa padre: I0000483Tipo adquisicion: Entidad</v>
      </c>
      <c r="G5429" s="5"/>
    </row>
    <row r="5430" spans="1:7" ht="58.5" customHeight="1" x14ac:dyDescent="0.25">
      <c r="A5430" s="5" t="str">
        <f>"I0000487"</f>
        <v>I0000487</v>
      </c>
      <c r="B5430" s="5" t="str">
        <f>"SEPARADOR DE ABDOMEN (FARABEUF)"</f>
        <v>SEPARADOR DE ABDOMEN (FARABEUF)</v>
      </c>
      <c r="C5430" s="6">
        <v>46400</v>
      </c>
      <c r="D5430" s="5"/>
      <c r="E5430" s="5" t="str">
        <f t="shared" si="278"/>
        <v>INSTRUMENTACION-DIANA CAICEDO-DIANA DIAZ</v>
      </c>
      <c r="F5430" s="5" t="str">
        <f>"Descripcion: SEPARADORES DE FARA BEUF Estado: Bueno Placa anterior: 000032516 Material: ACERO INOXIDABLE Color: PLATEADO Referencia:  Observacion:     Placa padre: I0000483Tipo adquisicion: Entidad"</f>
        <v>Descripcion: SEPARADORES DE FARA BEUF Estado: Bueno Placa anterior: 000032516 Material: ACERO INOXIDABLE Color: PLATEADO Referencia:  Observacion:     Placa padre: I0000483Tipo adquisicion: Entidad</v>
      </c>
      <c r="G5430" s="5"/>
    </row>
    <row r="5431" spans="1:7" ht="58.5" customHeight="1" x14ac:dyDescent="0.25">
      <c r="A5431" s="5" t="str">
        <f>"I0000489"</f>
        <v>I0000489</v>
      </c>
      <c r="B5431" s="5" t="str">
        <f>"TIJERA DE MAYO LARGA 25 CM"</f>
        <v>TIJERA DE MAYO LARGA 25 CM</v>
      </c>
      <c r="C5431" s="6">
        <v>52200</v>
      </c>
      <c r="D5431" s="5"/>
      <c r="E5431" s="5" t="str">
        <f t="shared" si="278"/>
        <v>INSTRUMENTACION-DIANA CAICEDO-DIANA DIAZ</v>
      </c>
      <c r="F5431" s="5" t="str">
        <f>"Descripcion: TIJERA DE MAYO RECTA (DIMEDA) Estado: Bueno Placa anterior: 000032192 Material: ACERO INOXIDABLE Color: PLATEADO Referencia:  Observacion:     Placa padre: I0000483Tipo adquisicion: Entidad"</f>
        <v>Descripcion: TIJERA DE MAYO RECTA (DIMEDA) Estado: Bueno Placa anterior: 000032192 Material: ACERO INOXIDABLE Color: PLATEADO Referencia:  Observacion:     Placa padre: I0000483Tipo adquisicion: Entidad</v>
      </c>
      <c r="G5431" s="5"/>
    </row>
    <row r="5432" spans="1:7" ht="58.5" customHeight="1" x14ac:dyDescent="0.25">
      <c r="A5432" s="5" t="str">
        <f>"I0000490"</f>
        <v>I0000490</v>
      </c>
      <c r="B5432" s="5" t="str">
        <f>"TIJERA  DE METZEMBAUM CURVA"</f>
        <v>TIJERA  DE METZEMBAUM CURVA</v>
      </c>
      <c r="C5432" s="6">
        <v>63800</v>
      </c>
      <c r="D5432" s="5"/>
      <c r="E5432" s="5" t="str">
        <f t="shared" si="278"/>
        <v>INSTRUMENTACION-DIANA CAICEDO-DIANA DIAZ</v>
      </c>
      <c r="F5432" s="5" t="str">
        <f>"Descripcion: TIJERA DE METZEMBAUM CURVA  Estado: Bueno Placa anterior: 000032080 Material: ACERO INOXIDABLE Color: PLATEADO Referencia:  Observacion:     Placa padre: I0000483Tipo adquisicion: Entidad"</f>
        <v>Descripcion: TIJERA DE METZEMBAUM CURVA  Estado: Bueno Placa anterior: 000032080 Material: ACERO INOXIDABLE Color: PLATEADO Referencia:  Observacion:     Placa padre: I0000483Tipo adquisicion: Entidad</v>
      </c>
      <c r="G5432" s="5"/>
    </row>
    <row r="5433" spans="1:7" ht="58.5" customHeight="1" x14ac:dyDescent="0.25">
      <c r="A5433" s="5" t="str">
        <f>"I0000493"</f>
        <v>I0000493</v>
      </c>
      <c r="B5433" s="5" t="str">
        <f>"PINZA DE DISECCION CON GARRA MEDIANA 25 CM"</f>
        <v>PINZA DE DISECCION CON GARRA MEDIANA 25 CM</v>
      </c>
      <c r="C5433" s="6">
        <v>31320</v>
      </c>
      <c r="D5433" s="5"/>
      <c r="E5433" s="5" t="str">
        <f t="shared" si="278"/>
        <v>INSTRUMENTACION-DIANA CAICEDO-DIANA DIAZ</v>
      </c>
      <c r="F5433" s="5" t="str">
        <f>"Descripcion: PINZA DE DISECCION ADSON CON GARRA Estado: Bueno Placa anterior: 000032254 Material: ACERO INOXIDABLE Color: PLATEADO Referencia:  Observacion:     Placa padre: I0000483Tipo adquisicion: Entidad"</f>
        <v>Descripcion: PINZA DE DISECCION ADSON CON GARRA Estado: Bueno Placa anterior: 000032254 Material: ACERO INOXIDABLE Color: PLATEADO Referencia:  Observacion:     Placa padre: I0000483Tipo adquisicion: Entidad</v>
      </c>
      <c r="G5433" s="5"/>
    </row>
    <row r="5434" spans="1:7" ht="58.5" customHeight="1" x14ac:dyDescent="0.25">
      <c r="A5434" s="5" t="str">
        <f>"I0000496"</f>
        <v>I0000496</v>
      </c>
      <c r="B5434" s="5" t="str">
        <f t="shared" ref="B5434:B5441" si="281">"PINZA KELLY CURVA 16 CM"</f>
        <v>PINZA KELLY CURVA 16 CM</v>
      </c>
      <c r="C5434" s="6">
        <v>52200</v>
      </c>
      <c r="D5434" s="5"/>
      <c r="E5434" s="5" t="str">
        <f t="shared" si="278"/>
        <v>INSTRUMENTACION-DIANA CAICEDO-DIANA DIAZ</v>
      </c>
      <c r="F5434" s="5" t="str">
        <f>"Descripcion: PINZAS KELLY CURVAS Estado: Bueno Placa anterior: 000036118 Material: ACERO INOXIDABLE Color: PLATEADO Referencia:  Observacion:     Placa padre: I0000483Tipo adquisicion: Entidad"</f>
        <v>Descripcion: PINZAS KELLY CURVAS Estado: Bueno Placa anterior: 000036118 Material: ACERO INOXIDABLE Color: PLATEADO Referencia:  Observacion:     Placa padre: I0000483Tipo adquisicion: Entidad</v>
      </c>
      <c r="G5434" s="5"/>
    </row>
    <row r="5435" spans="1:7" ht="58.5" customHeight="1" x14ac:dyDescent="0.25">
      <c r="A5435" s="5" t="str">
        <f>"I0000497"</f>
        <v>I0000497</v>
      </c>
      <c r="B5435" s="5" t="str">
        <f t="shared" si="281"/>
        <v>PINZA KELLY CURVA 16 CM</v>
      </c>
      <c r="C5435" s="6">
        <v>52200</v>
      </c>
      <c r="D5435" s="5"/>
      <c r="E5435" s="5" t="str">
        <f t="shared" si="278"/>
        <v>INSTRUMENTACION-DIANA CAICEDO-DIANA DIAZ</v>
      </c>
      <c r="F5435" s="5" t="str">
        <f>"Descripcion: PINZAS KELLY CURVAS Estado: Bueno Placa anterior: 000036119 Material: ACERO INOXIDABLE Color: PLATEADO Referencia:  Observacion:     Placa padre: I0000483Tipo adquisicion: Entidad"</f>
        <v>Descripcion: PINZAS KELLY CURVAS Estado: Bueno Placa anterior: 000036119 Material: ACERO INOXIDABLE Color: PLATEADO Referencia:  Observacion:     Placa padre: I0000483Tipo adquisicion: Entidad</v>
      </c>
      <c r="G5435" s="5"/>
    </row>
    <row r="5436" spans="1:7" ht="58.5" customHeight="1" x14ac:dyDescent="0.25">
      <c r="A5436" s="5" t="str">
        <f>"I0000498"</f>
        <v>I0000498</v>
      </c>
      <c r="B5436" s="5" t="str">
        <f t="shared" si="281"/>
        <v>PINZA KELLY CURVA 16 CM</v>
      </c>
      <c r="C5436" s="6">
        <v>52200</v>
      </c>
      <c r="D5436" s="5"/>
      <c r="E5436" s="5" t="str">
        <f t="shared" si="278"/>
        <v>INSTRUMENTACION-DIANA CAICEDO-DIANA DIAZ</v>
      </c>
      <c r="F5436" s="5" t="str">
        <f>"Descripcion: PINZAS KELLY CURVAS Estado: Bueno Placa anterior: 000036120 Material: ACERO INOXIDABLE Color: PLATEADO Referencia:  Observacion:     Placa padre: I0000483Tipo adquisicion: Entidad"</f>
        <v>Descripcion: PINZAS KELLY CURVAS Estado: Bueno Placa anterior: 000036120 Material: ACERO INOXIDABLE Color: PLATEADO Referencia:  Observacion:     Placa padre: I0000483Tipo adquisicion: Entidad</v>
      </c>
      <c r="G5436" s="5"/>
    </row>
    <row r="5437" spans="1:7" ht="58.5" customHeight="1" x14ac:dyDescent="0.25">
      <c r="A5437" s="5" t="str">
        <f>"I0000499"</f>
        <v>I0000499</v>
      </c>
      <c r="B5437" s="5" t="str">
        <f t="shared" si="281"/>
        <v>PINZA KELLY CURVA 16 CM</v>
      </c>
      <c r="C5437" s="6">
        <v>52200</v>
      </c>
      <c r="D5437" s="5"/>
      <c r="E5437" s="5" t="str">
        <f t="shared" si="278"/>
        <v>INSTRUMENTACION-DIANA CAICEDO-DIANA DIAZ</v>
      </c>
      <c r="F5437" s="5" t="str">
        <f>"Descripcion: PINZAS KELLY CURVAS Estado: Bueno Placa anterior: 000036121 Material: ACERO INOXIDABLE Color: PLATEADO Referencia:  Observacion:     Placa padre: I0000483Tipo adquisicion: Entidad"</f>
        <v>Descripcion: PINZAS KELLY CURVAS Estado: Bueno Placa anterior: 000036121 Material: ACERO INOXIDABLE Color: PLATEADO Referencia:  Observacion:     Placa padre: I0000483Tipo adquisicion: Entidad</v>
      </c>
      <c r="G5437" s="5"/>
    </row>
    <row r="5438" spans="1:7" ht="58.5" customHeight="1" x14ac:dyDescent="0.25">
      <c r="A5438" s="5" t="str">
        <f>"I0000500"</f>
        <v>I0000500</v>
      </c>
      <c r="B5438" s="5" t="str">
        <f t="shared" si="281"/>
        <v>PINZA KELLY CURVA 16 CM</v>
      </c>
      <c r="C5438" s="6">
        <v>52200</v>
      </c>
      <c r="D5438" s="5"/>
      <c r="E5438" s="5" t="str">
        <f t="shared" si="278"/>
        <v>INSTRUMENTACION-DIANA CAICEDO-DIANA DIAZ</v>
      </c>
      <c r="F5438" s="5" t="str">
        <f>"Descripcion: PINZAS KELLY CURVAS Estado: Bueno Placa anterior: 000036122 Material: ACERO INOXIDABLE Color: PLATEADO Referencia:  Observacion:     Placa padre: I0000483Tipo adquisicion: Entidad"</f>
        <v>Descripcion: PINZAS KELLY CURVAS Estado: Bueno Placa anterior: 000036122 Material: ACERO INOXIDABLE Color: PLATEADO Referencia:  Observacion:     Placa padre: I0000483Tipo adquisicion: Entidad</v>
      </c>
      <c r="G5438" s="5"/>
    </row>
    <row r="5439" spans="1:7" ht="58.5" customHeight="1" x14ac:dyDescent="0.25">
      <c r="A5439" s="5" t="str">
        <f>"I0000501"</f>
        <v>I0000501</v>
      </c>
      <c r="B5439" s="5" t="str">
        <f t="shared" si="281"/>
        <v>PINZA KELLY CURVA 16 CM</v>
      </c>
      <c r="C5439" s="6">
        <v>52200</v>
      </c>
      <c r="D5439" s="5"/>
      <c r="E5439" s="5" t="str">
        <f t="shared" si="278"/>
        <v>INSTRUMENTACION-DIANA CAICEDO-DIANA DIAZ</v>
      </c>
      <c r="F5439" s="5" t="str">
        <f>"Descripcion: PINZAS KELLY CURVAS Estado: Bueno Placa anterior: 000036123 Material: ACERO INOXIDABLE Color: PLATEADO Referencia:  Observacion:     Placa padre: I0000483Tipo adquisicion: Entidad"</f>
        <v>Descripcion: PINZAS KELLY CURVAS Estado: Bueno Placa anterior: 000036123 Material: ACERO INOXIDABLE Color: PLATEADO Referencia:  Observacion:     Placa padre: I0000483Tipo adquisicion: Entidad</v>
      </c>
      <c r="G5439" s="5"/>
    </row>
    <row r="5440" spans="1:7" ht="58.5" customHeight="1" x14ac:dyDescent="0.25">
      <c r="A5440" s="5" t="str">
        <f>"I0000502"</f>
        <v>I0000502</v>
      </c>
      <c r="B5440" s="5" t="str">
        <f t="shared" si="281"/>
        <v>PINZA KELLY CURVA 16 CM</v>
      </c>
      <c r="C5440" s="6">
        <v>52200</v>
      </c>
      <c r="D5440" s="5"/>
      <c r="E5440" s="5" t="str">
        <f t="shared" si="278"/>
        <v>INSTRUMENTACION-DIANA CAICEDO-DIANA DIAZ</v>
      </c>
      <c r="F5440" s="5" t="str">
        <f>"Descripcion: PINZAS KELLY CURVAS Estado: Bueno Placa anterior: 000036124 Material: ACERO INOXIDABLE Color: PLATEADO Referencia:  Observacion:     Placa padre: I0000483Tipo adquisicion: Entidad"</f>
        <v>Descripcion: PINZAS KELLY CURVAS Estado: Bueno Placa anterior: 000036124 Material: ACERO INOXIDABLE Color: PLATEADO Referencia:  Observacion:     Placa padre: I0000483Tipo adquisicion: Entidad</v>
      </c>
      <c r="G5440" s="5"/>
    </row>
    <row r="5441" spans="1:7" ht="58.5" customHeight="1" x14ac:dyDescent="0.25">
      <c r="A5441" s="5" t="str">
        <f>"I0000503"</f>
        <v>I0000503</v>
      </c>
      <c r="B5441" s="5" t="str">
        <f t="shared" si="281"/>
        <v>PINZA KELLY CURVA 16 CM</v>
      </c>
      <c r="C5441" s="6">
        <v>52200</v>
      </c>
      <c r="D5441" s="5"/>
      <c r="E5441" s="5" t="str">
        <f t="shared" si="278"/>
        <v>INSTRUMENTACION-DIANA CAICEDO-DIANA DIAZ</v>
      </c>
      <c r="F5441" s="5" t="str">
        <f>"Descripcion: PINZAS KELLY CURVAS Estado: Bueno Placa anterior: 000036125 Material: ACERO INOXIDABLE Color: PLATEADO Referencia:  Observacion:     Placa padre: I0000483Tipo adquisicion: Entidad"</f>
        <v>Descripcion: PINZAS KELLY CURVAS Estado: Bueno Placa anterior: 000036125 Material: ACERO INOXIDABLE Color: PLATEADO Referencia:  Observacion:     Placa padre: I0000483Tipo adquisicion: Entidad</v>
      </c>
      <c r="G5441" s="5"/>
    </row>
    <row r="5442" spans="1:7" ht="58.5" customHeight="1" x14ac:dyDescent="0.25">
      <c r="A5442" s="5" t="str">
        <f>"I0000504"</f>
        <v>I0000504</v>
      </c>
      <c r="B5442" s="5" t="str">
        <f>"PINZA KELLY RECTA 16 CM"</f>
        <v>PINZA KELLY RECTA 16 CM</v>
      </c>
      <c r="C5442" s="6">
        <v>52200</v>
      </c>
      <c r="D5442" s="5"/>
      <c r="E5442" s="5" t="str">
        <f t="shared" si="278"/>
        <v>INSTRUMENTACION-DIANA CAICEDO-DIANA DIAZ</v>
      </c>
      <c r="F5442" s="5" t="str">
        <f>"Descripcion: PINZAS KELLY RECTAS  Estado: Bueno Placa anterior: 000036126 Material: ACERO INOXIDABLE Color: PLATEADO Referencia:  Observacion:     Placa padre: I0000483Tipo adquisicion: Entidad"</f>
        <v>Descripcion: PINZAS KELLY RECTAS  Estado: Bueno Placa anterior: 000036126 Material: ACERO INOXIDABLE Color: PLATEADO Referencia:  Observacion:     Placa padre: I0000483Tipo adquisicion: Entidad</v>
      </c>
      <c r="G5442" s="5"/>
    </row>
    <row r="5443" spans="1:7" ht="58.5" customHeight="1" x14ac:dyDescent="0.25">
      <c r="A5443" s="5" t="str">
        <f>"I0000505"</f>
        <v>I0000505</v>
      </c>
      <c r="B5443" s="5" t="str">
        <f>"PINZA KELLY RECTA 16 CM"</f>
        <v>PINZA KELLY RECTA 16 CM</v>
      </c>
      <c r="C5443" s="6">
        <v>52200</v>
      </c>
      <c r="D5443" s="5"/>
      <c r="E5443" s="5" t="str">
        <f t="shared" si="278"/>
        <v>INSTRUMENTACION-DIANA CAICEDO-DIANA DIAZ</v>
      </c>
      <c r="F5443" s="5" t="str">
        <f>"Descripcion: PINZAS KELLY RECTAS  Estado: Bueno Placa anterior: 000036127 Material: ACERO INOXIDABLE Color: PLATEADO Referencia:  Observacion:     Placa padre: I0000483Tipo adquisicion: Entidad"</f>
        <v>Descripcion: PINZAS KELLY RECTAS  Estado: Bueno Placa anterior: 000036127 Material: ACERO INOXIDABLE Color: PLATEADO Referencia:  Observacion:     Placa padre: I0000483Tipo adquisicion: Entidad</v>
      </c>
      <c r="G5443" s="5"/>
    </row>
    <row r="5444" spans="1:7" ht="58.5" customHeight="1" x14ac:dyDescent="0.25">
      <c r="A5444" s="5" t="str">
        <f>"I0000510"</f>
        <v>I0000510</v>
      </c>
      <c r="B5444" s="5" t="str">
        <f t="shared" ref="B5444:B5449" si="282">"PINZA ROCHESTER CURVA 25 CM"</f>
        <v>PINZA ROCHESTER CURVA 25 CM</v>
      </c>
      <c r="C5444" s="6">
        <v>113680</v>
      </c>
      <c r="D5444" s="5"/>
      <c r="E5444" s="5" t="str">
        <f t="shared" si="278"/>
        <v>INSTRUMENTACION-DIANA CAICEDO-DIANA DIAZ</v>
      </c>
      <c r="F5444" s="5" t="str">
        <f>"Descripcion: PINZAS ROCHESTER CURVAS  Estado: Bueno Placa anterior: 000032464 Material: ACERO INOXIDABLE Color: PLATEADO Referencia:  Observacion:     Placa padre: I0000483Tipo adquisicion: Entidad"</f>
        <v>Descripcion: PINZAS ROCHESTER CURVAS  Estado: Bueno Placa anterior: 000032464 Material: ACERO INOXIDABLE Color: PLATEADO Referencia:  Observacion:     Placa padre: I0000483Tipo adquisicion: Entidad</v>
      </c>
      <c r="G5444" s="5"/>
    </row>
    <row r="5445" spans="1:7" ht="58.5" customHeight="1" x14ac:dyDescent="0.25">
      <c r="A5445" s="5" t="str">
        <f>"I0000511"</f>
        <v>I0000511</v>
      </c>
      <c r="B5445" s="5" t="str">
        <f t="shared" si="282"/>
        <v>PINZA ROCHESTER CURVA 25 CM</v>
      </c>
      <c r="C5445" s="6">
        <v>113680</v>
      </c>
      <c r="D5445" s="5"/>
      <c r="E5445" s="5" t="str">
        <f t="shared" si="278"/>
        <v>INSTRUMENTACION-DIANA CAICEDO-DIANA DIAZ</v>
      </c>
      <c r="F5445" s="5" t="str">
        <f>"Descripcion: PINZAS ROCHESTER CURVAS  Estado: Bueno Placa anterior: 000032465 Material: ACERO INOXIDABLE Color: PLATEADO Referencia:  Observacion:     Placa padre: I0000483Tipo adquisicion: Entidad"</f>
        <v>Descripcion: PINZAS ROCHESTER CURVAS  Estado: Bueno Placa anterior: 000032465 Material: ACERO INOXIDABLE Color: PLATEADO Referencia:  Observacion:     Placa padre: I0000483Tipo adquisicion: Entidad</v>
      </c>
      <c r="G5445" s="5"/>
    </row>
    <row r="5446" spans="1:7" ht="58.5" customHeight="1" x14ac:dyDescent="0.25">
      <c r="A5446" s="5" t="str">
        <f>"I0000512"</f>
        <v>I0000512</v>
      </c>
      <c r="B5446" s="5" t="str">
        <f t="shared" si="282"/>
        <v>PINZA ROCHESTER CURVA 25 CM</v>
      </c>
      <c r="C5446" s="6">
        <v>113680</v>
      </c>
      <c r="D5446" s="5"/>
      <c r="E5446" s="5" t="str">
        <f t="shared" si="278"/>
        <v>INSTRUMENTACION-DIANA CAICEDO-DIANA DIAZ</v>
      </c>
      <c r="F5446" s="5" t="str">
        <f>"Descripcion: PINZAS ROCHESTER CURVAS  Estado: Bueno Placa anterior: 000032466 Material: ACERO INOXIDABLE Color: PLATEADO Referencia:  Observacion:     Placa padre: I0000483Tipo adquisicion: Entidad"</f>
        <v>Descripcion: PINZAS ROCHESTER CURVAS  Estado: Bueno Placa anterior: 000032466 Material: ACERO INOXIDABLE Color: PLATEADO Referencia:  Observacion:     Placa padre: I0000483Tipo adquisicion: Entidad</v>
      </c>
      <c r="G5446" s="5"/>
    </row>
    <row r="5447" spans="1:7" ht="58.5" customHeight="1" x14ac:dyDescent="0.25">
      <c r="A5447" s="5" t="str">
        <f>"I0000513"</f>
        <v>I0000513</v>
      </c>
      <c r="B5447" s="5" t="str">
        <f t="shared" si="282"/>
        <v>PINZA ROCHESTER CURVA 25 CM</v>
      </c>
      <c r="C5447" s="6">
        <v>113680</v>
      </c>
      <c r="D5447" s="5"/>
      <c r="E5447" s="5" t="str">
        <f t="shared" si="278"/>
        <v>INSTRUMENTACION-DIANA CAICEDO-DIANA DIAZ</v>
      </c>
      <c r="F5447" s="5" t="str">
        <f>"Descripcion: PINZAS ROCHESTER CURVAS  Estado: Bueno Placa anterior: 000032467 Material: ACERO INOXIDABLE Color: PLATEADO Referencia:  Observacion:     Placa padre: I0000483Tipo adquisicion: Entidad"</f>
        <v>Descripcion: PINZAS ROCHESTER CURVAS  Estado: Bueno Placa anterior: 000032467 Material: ACERO INOXIDABLE Color: PLATEADO Referencia:  Observacion:     Placa padre: I0000483Tipo adquisicion: Entidad</v>
      </c>
      <c r="G5447" s="5"/>
    </row>
    <row r="5448" spans="1:7" ht="58.5" customHeight="1" x14ac:dyDescent="0.25">
      <c r="A5448" s="5" t="str">
        <f>"I0000514"</f>
        <v>I0000514</v>
      </c>
      <c r="B5448" s="5" t="str">
        <f t="shared" si="282"/>
        <v>PINZA ROCHESTER CURVA 25 CM</v>
      </c>
      <c r="C5448" s="6">
        <v>113680</v>
      </c>
      <c r="D5448" s="5"/>
      <c r="E5448" s="5" t="str">
        <f t="shared" si="278"/>
        <v>INSTRUMENTACION-DIANA CAICEDO-DIANA DIAZ</v>
      </c>
      <c r="F5448" s="5" t="str">
        <f>"Descripcion: PINZAS ROCHESTER CURVAS  Estado: Bueno Placa anterior: 000032468 Material: ACERO INOXIDABLE Color: PLATEADO Referencia:  Observacion:     Placa padre: I0000483Tipo adquisicion: Entidad"</f>
        <v>Descripcion: PINZAS ROCHESTER CURVAS  Estado: Bueno Placa anterior: 000032468 Material: ACERO INOXIDABLE Color: PLATEADO Referencia:  Observacion:     Placa padre: I0000483Tipo adquisicion: Entidad</v>
      </c>
      <c r="G5448" s="5"/>
    </row>
    <row r="5449" spans="1:7" ht="58.5" customHeight="1" x14ac:dyDescent="0.25">
      <c r="A5449" s="5" t="str">
        <f>"I0000515"</f>
        <v>I0000515</v>
      </c>
      <c r="B5449" s="5" t="str">
        <f t="shared" si="282"/>
        <v>PINZA ROCHESTER CURVA 25 CM</v>
      </c>
      <c r="C5449" s="6">
        <v>113680</v>
      </c>
      <c r="D5449" s="5"/>
      <c r="E5449" s="5" t="str">
        <f t="shared" si="278"/>
        <v>INSTRUMENTACION-DIANA CAICEDO-DIANA DIAZ</v>
      </c>
      <c r="F5449" s="5" t="str">
        <f>"Descripcion: PINZAS ROCHESTER CURVAS  Estado: Bueno Placa anterior: 000032469 Material: ACERO INOXIDABLE Color: PLATEADO Referencia:  Observacion:     Placa padre: I0000483Tipo adquisicion: Entidad"</f>
        <v>Descripcion: PINZAS ROCHESTER CURVAS  Estado: Bueno Placa anterior: 000032469 Material: ACERO INOXIDABLE Color: PLATEADO Referencia:  Observacion:     Placa padre: I0000483Tipo adquisicion: Entidad</v>
      </c>
      <c r="G5449" s="5"/>
    </row>
    <row r="5450" spans="1:7" ht="58.5" customHeight="1" x14ac:dyDescent="0.25">
      <c r="A5450" s="5" t="str">
        <f>"I0000522"</f>
        <v>I0000522</v>
      </c>
      <c r="B5450" s="5" t="str">
        <f>"PORTAGUJAS (PINZA)"</f>
        <v>PORTAGUJAS (PINZA)</v>
      </c>
      <c r="C5450" s="6">
        <v>139200</v>
      </c>
      <c r="D5450" s="5"/>
      <c r="E5450" s="5" t="str">
        <f t="shared" si="278"/>
        <v>INSTRUMENTACION-DIANA CAICEDO-DIANA DIAZ</v>
      </c>
      <c r="F5450" s="5" t="str">
        <f>"Descripcion: PORTA AGUJAS MEDIANO (DIMEDA) Estado: Bueno Placa anterior: 000032416 Material: ACERO INOXIDABLE Color: PLATEADO Referencia:  Observacion: PORTA AGUJAS MASSON RANURADO EN LA PUNTA CIERRE DE CREMALLERA  Placa padre: I0000483Tipo adquisicion: E"&amp; "ntidad"</f>
        <v>Descripcion: PORTA AGUJAS MEDIANO (DIMEDA) Estado: Bueno Placa anterior: 000032416 Material: ACERO INOXIDABLE Color: PLATEADO Referencia:  Observacion: PORTA AGUJAS MASSON RANURADO EN LA PUNTA CIERRE DE CREMALLERA  Placa padre: I0000483Tipo adquisicion: Entidad</v>
      </c>
      <c r="G5450" s="5"/>
    </row>
    <row r="5451" spans="1:7" ht="58.5" customHeight="1" x14ac:dyDescent="0.25">
      <c r="A5451" s="5" t="str">
        <f>"I0000523"</f>
        <v>I0000523</v>
      </c>
      <c r="B5451" s="5" t="str">
        <f t="shared" ref="B5451:B5456" si="283">"PINZA DE CAMPO"</f>
        <v>PINZA DE CAMPO</v>
      </c>
      <c r="C5451" s="6">
        <v>39440</v>
      </c>
      <c r="D5451" s="5"/>
      <c r="E5451" s="5" t="str">
        <f t="shared" si="278"/>
        <v>INSTRUMENTACION-DIANA CAICEDO-DIANA DIAZ</v>
      </c>
      <c r="F5451" s="5" t="str">
        <f>"Descripcion: PINZAS DE CAMPO Estado: Bueno Placa anterior: 000031777 Material: ACERO INOXIDABLE Color: PLATEADO Referencia:  Observacion:     Placa padre: I0000483Tipo adquisicion: Entidad"</f>
        <v>Descripcion: PINZAS DE CAMPO Estado: Bueno Placa anterior: 000031777 Material: ACERO INOXIDABLE Color: PLATEADO Referencia:  Observacion:     Placa padre: I0000483Tipo adquisicion: Entidad</v>
      </c>
      <c r="G5451" s="5"/>
    </row>
    <row r="5452" spans="1:7" ht="58.5" customHeight="1" x14ac:dyDescent="0.25">
      <c r="A5452" s="5" t="str">
        <f>"I0000524"</f>
        <v>I0000524</v>
      </c>
      <c r="B5452" s="5" t="str">
        <f t="shared" si="283"/>
        <v>PINZA DE CAMPO</v>
      </c>
      <c r="C5452" s="6">
        <v>39440</v>
      </c>
      <c r="D5452" s="5"/>
      <c r="E5452" s="5" t="str">
        <f t="shared" si="278"/>
        <v>INSTRUMENTACION-DIANA CAICEDO-DIANA DIAZ</v>
      </c>
      <c r="F5452" s="5" t="str">
        <f>"Descripcion: PINZAS DE CAMPO Estado: Bueno Placa anterior: 000031778 Material: ACERO INOXIDABLE Color: PLATEADO Referencia:  Observacion:     Placa padre: I0000483Tipo adquisicion: Entidad"</f>
        <v>Descripcion: PINZAS DE CAMPO Estado: Bueno Placa anterior: 000031778 Material: ACERO INOXIDABLE Color: PLATEADO Referencia:  Observacion:     Placa padre: I0000483Tipo adquisicion: Entidad</v>
      </c>
      <c r="G5452" s="5"/>
    </row>
    <row r="5453" spans="1:7" ht="58.5" customHeight="1" x14ac:dyDescent="0.25">
      <c r="A5453" s="5" t="str">
        <f>"I0000525"</f>
        <v>I0000525</v>
      </c>
      <c r="B5453" s="5" t="str">
        <f t="shared" si="283"/>
        <v>PINZA DE CAMPO</v>
      </c>
      <c r="C5453" s="6">
        <v>39440</v>
      </c>
      <c r="D5453" s="5"/>
      <c r="E5453" s="5" t="str">
        <f t="shared" si="278"/>
        <v>INSTRUMENTACION-DIANA CAICEDO-DIANA DIAZ</v>
      </c>
      <c r="F5453" s="5" t="str">
        <f>"Descripcion: PINZAS DE CAMPO Estado: Bueno Placa anterior: 000031779 Material: ACERO INOXIDABLE Color: PLATEADO Referencia:  Observacion:     Placa padre: I0000483Tipo adquisicion: Entidad"</f>
        <v>Descripcion: PINZAS DE CAMPO Estado: Bueno Placa anterior: 000031779 Material: ACERO INOXIDABLE Color: PLATEADO Referencia:  Observacion:     Placa padre: I0000483Tipo adquisicion: Entidad</v>
      </c>
      <c r="G5453" s="5"/>
    </row>
    <row r="5454" spans="1:7" ht="58.5" customHeight="1" x14ac:dyDescent="0.25">
      <c r="A5454" s="5" t="str">
        <f>"I0000526"</f>
        <v>I0000526</v>
      </c>
      <c r="B5454" s="5" t="str">
        <f t="shared" si="283"/>
        <v>PINZA DE CAMPO</v>
      </c>
      <c r="C5454" s="6">
        <v>39440</v>
      </c>
      <c r="D5454" s="5"/>
      <c r="E5454" s="5" t="str">
        <f t="shared" si="278"/>
        <v>INSTRUMENTACION-DIANA CAICEDO-DIANA DIAZ</v>
      </c>
      <c r="F5454" s="5" t="str">
        <f>"Descripcion: PINZAS DE CAMPO Estado: Bueno Placa anterior: 000031780 Material: ACERO INOXIDABLE Color: PLATEADO Referencia:  Observacion:     Placa padre: I0000483Tipo adquisicion: Entidad"</f>
        <v>Descripcion: PINZAS DE CAMPO Estado: Bueno Placa anterior: 000031780 Material: ACERO INOXIDABLE Color: PLATEADO Referencia:  Observacion:     Placa padre: I0000483Tipo adquisicion: Entidad</v>
      </c>
      <c r="G5454" s="5"/>
    </row>
    <row r="5455" spans="1:7" ht="58.5" customHeight="1" x14ac:dyDescent="0.25">
      <c r="A5455" s="5" t="str">
        <f>"I0000527"</f>
        <v>I0000527</v>
      </c>
      <c r="B5455" s="5" t="str">
        <f t="shared" si="283"/>
        <v>PINZA DE CAMPO</v>
      </c>
      <c r="C5455" s="6">
        <v>39440</v>
      </c>
      <c r="D5455" s="5"/>
      <c r="E5455" s="5" t="str">
        <f t="shared" si="278"/>
        <v>INSTRUMENTACION-DIANA CAICEDO-DIANA DIAZ</v>
      </c>
      <c r="F5455" s="5" t="str">
        <f>"Descripcion: PINZAS DE CAMPO Estado: Bueno Placa anterior: 000031781 Material: ACERO INOXIDABLE Color: PLATEADO Referencia:  Observacion:     Placa padre: I0000483Tipo adquisicion: Entidad"</f>
        <v>Descripcion: PINZAS DE CAMPO Estado: Bueno Placa anterior: 000031781 Material: ACERO INOXIDABLE Color: PLATEADO Referencia:  Observacion:     Placa padre: I0000483Tipo adquisicion: Entidad</v>
      </c>
      <c r="G5455" s="5"/>
    </row>
    <row r="5456" spans="1:7" ht="58.5" customHeight="1" x14ac:dyDescent="0.25">
      <c r="A5456" s="5" t="str">
        <f>"I0000528"</f>
        <v>I0000528</v>
      </c>
      <c r="B5456" s="5" t="str">
        <f t="shared" si="283"/>
        <v>PINZA DE CAMPO</v>
      </c>
      <c r="C5456" s="6">
        <v>39440</v>
      </c>
      <c r="D5456" s="5"/>
      <c r="E5456" s="5" t="str">
        <f t="shared" si="278"/>
        <v>INSTRUMENTACION-DIANA CAICEDO-DIANA DIAZ</v>
      </c>
      <c r="F5456" s="5" t="str">
        <f>"Descripcion: PINZAS DE CAMPO Estado: Bueno Placa anterior: 000031782 Material: ACERO INOXIDABLE Color: PLATEADO Referencia:  Observacion:     Placa padre: I0000483Tipo adquisicion: Entidad"</f>
        <v>Descripcion: PINZAS DE CAMPO Estado: Bueno Placa anterior: 000031782 Material: ACERO INOXIDABLE Color: PLATEADO Referencia:  Observacion:     Placa padre: I0000483Tipo adquisicion: Entidad</v>
      </c>
      <c r="G5456" s="5"/>
    </row>
    <row r="5457" spans="1:7" ht="58.5" customHeight="1" x14ac:dyDescent="0.25">
      <c r="A5457" s="5" t="str">
        <f>"I0000529"</f>
        <v>I0000529</v>
      </c>
      <c r="B5457" s="5" t="str">
        <f>"CANULA DE YANKAUER"</f>
        <v>CANULA DE YANKAUER</v>
      </c>
      <c r="C5457" s="6">
        <v>92800</v>
      </c>
      <c r="D5457" s="5"/>
      <c r="E5457" s="5" t="str">
        <f t="shared" si="278"/>
        <v>INSTRUMENTACION-DIANA CAICEDO-DIANA DIAZ</v>
      </c>
      <c r="F5457" s="5" t="str">
        <f>"Descripcion: CANULA DE YANKAWER (DIMEDA) Estado: Bueno Placa anterior: 000031641 Material: ACERO INOXIDABLE Color: PLATEADO Referencia:  Observacion:     Placa padre: I0000483Tipo adquisicion: Entidad"</f>
        <v>Descripcion: CANULA DE YANKAWER (DIMEDA) Estado: Bueno Placa anterior: 000031641 Material: ACERO INOXIDABLE Color: PLATEADO Referencia:  Observacion:     Placa padre: I0000483Tipo adquisicion: Entidad</v>
      </c>
      <c r="G5457" s="5"/>
    </row>
    <row r="5458" spans="1:7" ht="58.5" customHeight="1" x14ac:dyDescent="0.25">
      <c r="A5458" s="5" t="str">
        <f>"I0000532"</f>
        <v>I0000532</v>
      </c>
      <c r="B5458" s="5" t="str">
        <f>"EQUIPO DE HEMORROIDES"</f>
        <v>EQUIPO DE HEMORROIDES</v>
      </c>
      <c r="C5458" s="6">
        <v>405011.86</v>
      </c>
      <c r="D5458" s="5"/>
      <c r="E5458" s="5" t="str">
        <f t="shared" si="278"/>
        <v>INSTRUMENTACION-DIANA CAICEDO-DIANA DIAZ</v>
      </c>
      <c r="F5458" s="5" t="str">
        <f>"Descripcion: EQUIPO DE HEMORROIDES QUE CONSTA DE:  (1) MANGO DE BISSTURI #7  (2) SEPARADORES BABY FARABEUF  (1) SEPARADOR ANAL MARTIN  (1) TIJERA DE METZENBAUM  (1) TIJERA DE MAYO  (1) PINZA DE DISECCION SIN GARRA CORTA  (1) PINZA DE DISECCION SIN GARRA M"&amp; "EDIANA  (1) PINZA DE DISECCION CON GARRA CORTA  (1) PINZA DE DISECCION ADSON CON GARRA  (3) PINZAS MOSQUITO RECTAS  (4) PINZAS MOSQUITO CURVAS  (4) PINZAS DE KELLY CURVAS  (2)PINZAS ROCHESTER CURVAS  (4) PINZAS ALLIX  (0) PINZAS BABCOCK  (1) SONDA ACANALA"&amp; "DA DE MARTIN  (0) ESTILETES GRUESOS  (1) ANOSCOPIO PRAT  (1) CANULA DE SUCCION DE YANKAWER  (1) CANULA DE SUCCION DE FRAZIER  (2) PINZAS DE CAMPO  (1) PORTA AGUJAS MEDIANO (DIMEDA)   (1) COPA NIQUELADA  (1) RIÑONONERA NIQUELADA  (1) CUBETA DE INSTRUMENTAL"&amp; " NIQUELADA Estado: Bueno Placa anterior: 000016581 Material: ACERO INOXIDABLE Color: PLATEADO Referencia:  Observacion:     Placa padre: Tipo adquisicion: Entidad"</f>
        <v>Descripcion: EQUIPO DE HEMORROIDES QUE CONSTA DE:  (1) MANGO DE BISSTURI #7  (2) SEPARADORES BABY FARABEUF  (1) SEPARADOR ANAL MARTIN  (1) TIJERA DE METZENBAUM  (1) TIJERA DE MAYO  (1) PINZA DE DISECCION SIN GARRA CORTA  (1) PINZA DE DISECCION SIN GARRA MEDIANA  (1) PINZA DE DISECCION CON GARRA CORTA  (1) PINZA DE DISECCION ADSON CON GARRA  (3) PINZAS MOSQUITO RECTAS  (4) PINZAS MOSQUITO CURVAS  (4) PINZAS DE KELLY CURVAS  (2)PINZAS ROCHESTER CURVAS  (4) PINZAS ALLIX  (0) PINZAS BABCOCK  (1) SONDA ACANALADA DE MARTIN  (0) ESTILETES GRUESOS  (1) ANOSCOPIO PRAT  (1) CANULA DE SUCCION DE YANKAWER  (1) CANULA DE SUCCION DE FRAZIER  (2) PINZAS DE CAMPO  (1) PORTA AGUJAS MEDIANO (DIMEDA)   (1) COPA NIQUELADA  (1) RIÑONONERA NIQUELADA  (1) CUBETA DE INSTRUMENTAL NIQUELADA Estado: Bueno Placa anterior: 000016581 Material: ACERO INOXIDABLE Color: PLATEADO Referencia:  Observacion:     Placa padre: Tipo adquisicion: Entidad</v>
      </c>
      <c r="G5458" s="5"/>
    </row>
    <row r="5459" spans="1:7" ht="58.5" customHeight="1" x14ac:dyDescent="0.25">
      <c r="A5459" s="5" t="str">
        <f>"I0000534"</f>
        <v>I0000534</v>
      </c>
      <c r="B5459" s="5" t="str">
        <f>"SEPARADOR DE ABDOMEN (FARABEUF)"</f>
        <v>SEPARADOR DE ABDOMEN (FARABEUF)</v>
      </c>
      <c r="C5459" s="6">
        <v>41760</v>
      </c>
      <c r="D5459" s="5"/>
      <c r="E5459" s="5" t="str">
        <f t="shared" si="278"/>
        <v>INSTRUMENTACION-DIANA CAICEDO-DIANA DIAZ</v>
      </c>
      <c r="F5459" s="5" t="str">
        <f>"Descripcion: SEPARADORES BABY FARABEUF Estado: Bueno Placa anterior: 000032013 Material: ACERO INOXIDABLE Color: PLATEADO Referencia:  Observacion:     Placa padre: I0000532Tipo adquisicion: Entidad"</f>
        <v>Descripcion: SEPARADORES BABY FARABEUF Estado: Bueno Placa anterior: 000032013 Material: ACERO INOXIDABLE Color: PLATEADO Referencia:  Observacion:     Placa padre: I0000532Tipo adquisicion: Entidad</v>
      </c>
      <c r="G5459" s="5"/>
    </row>
    <row r="5460" spans="1:7" ht="58.5" customHeight="1" x14ac:dyDescent="0.25">
      <c r="A5460" s="5" t="str">
        <f>"I0000535"</f>
        <v>I0000535</v>
      </c>
      <c r="B5460" s="5" t="str">
        <f>"SEPARADOR DE ABDOMEN (FARABEUF)"</f>
        <v>SEPARADOR DE ABDOMEN (FARABEUF)</v>
      </c>
      <c r="C5460" s="6">
        <v>41760</v>
      </c>
      <c r="D5460" s="5"/>
      <c r="E5460" s="5" t="str">
        <f t="shared" si="278"/>
        <v>INSTRUMENTACION-DIANA CAICEDO-DIANA DIAZ</v>
      </c>
      <c r="F5460" s="5" t="str">
        <f>"Descripcion: SEPARADORES BABY FARABEUF Estado: Bueno Placa anterior: 000032014 Material: ACERO INOXIDABLE Color: PLATEADO Referencia:  Observacion:     Placa padre: I0000532Tipo adquisicion: Entidad"</f>
        <v>Descripcion: SEPARADORES BABY FARABEUF Estado: Bueno Placa anterior: 000032014 Material: ACERO INOXIDABLE Color: PLATEADO Referencia:  Observacion:     Placa padre: I0000532Tipo adquisicion: Entidad</v>
      </c>
      <c r="G5460" s="5"/>
    </row>
    <row r="5461" spans="1:7" ht="58.5" customHeight="1" x14ac:dyDescent="0.25">
      <c r="A5461" s="5" t="str">
        <f>"I0000536"</f>
        <v>I0000536</v>
      </c>
      <c r="B5461" s="5" t="str">
        <f>"SEPARADOR ANAL"</f>
        <v>SEPARADOR ANAL</v>
      </c>
      <c r="C5461" s="6">
        <v>11571</v>
      </c>
      <c r="D5461" s="5"/>
      <c r="E5461" s="5" t="str">
        <f t="shared" si="278"/>
        <v>INSTRUMENTACION-DIANA CAICEDO-DIANA DIAZ</v>
      </c>
      <c r="F5461" s="5" t="str">
        <f>"Descripcion: SEPARADOR ANAL MARTIN Estado: Bueno Placa anterior: 000012600 Material: ACERO INOXIDABLE Color: PLATEADO Referencia:  Observacion:     Placa padre: I0000532Tipo adquisicion: Entidad"</f>
        <v>Descripcion: SEPARADOR ANAL MARTIN Estado: Bueno Placa anterior: 000012600 Material: ACERO INOXIDABLE Color: PLATEADO Referencia:  Observacion:     Placa padre: I0000532Tipo adquisicion: Entidad</v>
      </c>
      <c r="G5461" s="5"/>
    </row>
    <row r="5462" spans="1:7" ht="58.5" customHeight="1" x14ac:dyDescent="0.25">
      <c r="A5462" s="5" t="str">
        <f>"I0000537"</f>
        <v>I0000537</v>
      </c>
      <c r="B5462" s="5" t="str">
        <f>"TIJERA DE METZEMBAUM"</f>
        <v>TIJERA DE METZEMBAUM</v>
      </c>
      <c r="C5462" s="6">
        <v>63800</v>
      </c>
      <c r="D5462" s="5"/>
      <c r="E5462" s="5" t="str">
        <f t="shared" si="278"/>
        <v>INSTRUMENTACION-DIANA CAICEDO-DIANA DIAZ</v>
      </c>
      <c r="F5462" s="5" t="str">
        <f>"Descripcion: TIJERA DE METZENBAUM Estado: Bueno Placa anterior: 000032081 Material: ACERO INOXIDABLE Color: PLATEADO Referencia:  Observacion:     Placa padre: I0000532Tipo adquisicion: Entidad"</f>
        <v>Descripcion: TIJERA DE METZENBAUM Estado: Bueno Placa anterior: 000032081 Material: ACERO INOXIDABLE Color: PLATEADO Referencia:  Observacion:     Placa padre: I0000532Tipo adquisicion: Entidad</v>
      </c>
      <c r="G5462" s="5"/>
    </row>
    <row r="5463" spans="1:7" ht="58.5" customHeight="1" x14ac:dyDescent="0.25">
      <c r="A5463" s="5" t="str">
        <f>"I0000538"</f>
        <v>I0000538</v>
      </c>
      <c r="B5463" s="5" t="str">
        <f>"TIJERA DE MAYO LARGA 25 CM"</f>
        <v>TIJERA DE MAYO LARGA 25 CM</v>
      </c>
      <c r="C5463" s="6">
        <v>52200</v>
      </c>
      <c r="D5463" s="5"/>
      <c r="E5463" s="5" t="str">
        <f t="shared" si="278"/>
        <v>INSTRUMENTACION-DIANA CAICEDO-DIANA DIAZ</v>
      </c>
      <c r="F5463" s="5" t="str">
        <f>"Descripcion: TIJERA DE MAYO Estado: Bueno Placa anterior: 000032193 Material: ACERO INOXIDABLE Color: PLATEADO Referencia:  Observacion:     Placa padre: I0000532Tipo adquisicion: Entidad"</f>
        <v>Descripcion: TIJERA DE MAYO Estado: Bueno Placa anterior: 000032193 Material: ACERO INOXIDABLE Color: PLATEADO Referencia:  Observacion:     Placa padre: I0000532Tipo adquisicion: Entidad</v>
      </c>
      <c r="G5463" s="5"/>
    </row>
    <row r="5464" spans="1:7" ht="58.5" customHeight="1" x14ac:dyDescent="0.25">
      <c r="A5464" s="5" t="str">
        <f>"I0000542"</f>
        <v>I0000542</v>
      </c>
      <c r="B5464" s="5" t="str">
        <f>"PINZA DE DISECCION SIN GARRA CORTA 20 CM"</f>
        <v>PINZA DE DISECCION SIN GARRA CORTA 20 CM</v>
      </c>
      <c r="C5464" s="6">
        <v>31320</v>
      </c>
      <c r="D5464" s="5"/>
      <c r="E5464" s="5" t="str">
        <f t="shared" si="278"/>
        <v>INSTRUMENTACION-DIANA CAICEDO-DIANA DIAZ</v>
      </c>
      <c r="F5464" s="5" t="str">
        <f>"Descripcion: PINZA DE DISECCION ADSON CON GARRA Estado: Bueno Placa anterior: 000032255 Material: ACERO INOXIDABLE Color: PLATEADO Referencia:  Observacion:     Placa padre: I0000532Tipo adquisicion: Entidad"</f>
        <v>Descripcion: PINZA DE DISECCION ADSON CON GARRA Estado: Bueno Placa anterior: 000032255 Material: ACERO INOXIDABLE Color: PLATEADO Referencia:  Observacion:     Placa padre: I0000532Tipo adquisicion: Entidad</v>
      </c>
      <c r="G5464" s="5"/>
    </row>
    <row r="5465" spans="1:7" ht="58.5" customHeight="1" x14ac:dyDescent="0.25">
      <c r="A5465" s="5" t="str">
        <f>"I0000547"</f>
        <v>I0000547</v>
      </c>
      <c r="B5465" s="5" t="str">
        <f>"PINZA MOSQUITO CURVA 12 CM"</f>
        <v>PINZA MOSQUITO CURVA 12 CM</v>
      </c>
      <c r="C5465" s="6">
        <v>42462</v>
      </c>
      <c r="D5465" s="5"/>
      <c r="E5465" s="5" t="str">
        <f t="shared" si="278"/>
        <v>INSTRUMENTACION-DIANA CAICEDO-DIANA DIAZ</v>
      </c>
      <c r="F5465" s="5" t="str">
        <f>"Descripcion: PINZAS MOSQUITO CURVAS Estado: Bueno Placa anterior: 000024497 Material: ACERO INOXIDABLE Color: PLATEADO Referencia:  Observacion:     Placa padre: I0000532Tipo adquisicion: Entidad"</f>
        <v>Descripcion: PINZAS MOSQUITO CURVAS Estado: Bueno Placa anterior: 000024497 Material: ACERO INOXIDABLE Color: PLATEADO Referencia:  Observacion:     Placa padre: I0000532Tipo adquisicion: Entidad</v>
      </c>
      <c r="G5465" s="5"/>
    </row>
    <row r="5466" spans="1:7" ht="58.5" customHeight="1" x14ac:dyDescent="0.25">
      <c r="A5466" s="5" t="str">
        <f>"I0000548"</f>
        <v>I0000548</v>
      </c>
      <c r="B5466" s="5" t="str">
        <f>"PINZA MOSQUITO CURVA 12 CM"</f>
        <v>PINZA MOSQUITO CURVA 12 CM</v>
      </c>
      <c r="C5466" s="6">
        <v>42462</v>
      </c>
      <c r="D5466" s="5"/>
      <c r="E5466" s="5" t="str">
        <f t="shared" si="278"/>
        <v>INSTRUMENTACION-DIANA CAICEDO-DIANA DIAZ</v>
      </c>
      <c r="F5466" s="5" t="str">
        <f>"Descripcion: PINZAS MOSQUITO CURVAS Estado: Bueno Placa anterior: 000024522 Material: ACERO INOXIDABLE Color: PLATEADO Referencia:  Observacion:     Placa padre: I0000532Tipo adquisicion: Entidad"</f>
        <v>Descripcion: PINZAS MOSQUITO CURVAS Estado: Bueno Placa anterior: 000024522 Material: ACERO INOXIDABLE Color: PLATEADO Referencia:  Observacion:     Placa padre: I0000532Tipo adquisicion: Entidad</v>
      </c>
      <c r="G5466" s="5"/>
    </row>
    <row r="5467" spans="1:7" ht="58.5" customHeight="1" x14ac:dyDescent="0.25">
      <c r="A5467" s="5" t="str">
        <f>"I0000549"</f>
        <v>I0000549</v>
      </c>
      <c r="B5467" s="5" t="str">
        <f>"PINZA MOSQUITO CURVA 12 CM"</f>
        <v>PINZA MOSQUITO CURVA 12 CM</v>
      </c>
      <c r="C5467" s="6">
        <v>39440</v>
      </c>
      <c r="D5467" s="5"/>
      <c r="E5467" s="5" t="str">
        <f t="shared" si="278"/>
        <v>INSTRUMENTACION-DIANA CAICEDO-DIANA DIAZ</v>
      </c>
      <c r="F5467" s="5" t="str">
        <f>"Descripcion: PINZAS MOSQUITO CURVAS Estado: Bueno Placa anterior: 000031922 Material: ACERO INOXIDABLE Color: PLATEADO Referencia:  Observacion:     Placa padre: I0000532Tipo adquisicion: Entidad"</f>
        <v>Descripcion: PINZAS MOSQUITO CURVAS Estado: Bueno Placa anterior: 000031922 Material: ACERO INOXIDABLE Color: PLATEADO Referencia:  Observacion:     Placa padre: I0000532Tipo adquisicion: Entidad</v>
      </c>
      <c r="G5467" s="5"/>
    </row>
    <row r="5468" spans="1:7" ht="58.5" customHeight="1" x14ac:dyDescent="0.25">
      <c r="A5468" s="5" t="str">
        <f>"I0000550"</f>
        <v>I0000550</v>
      </c>
      <c r="B5468" s="5" t="str">
        <f>"PINZA MOSQUITO CURVA 12 CM"</f>
        <v>PINZA MOSQUITO CURVA 12 CM</v>
      </c>
      <c r="C5468" s="6">
        <v>39440</v>
      </c>
      <c r="D5468" s="5"/>
      <c r="E5468" s="5" t="str">
        <f t="shared" si="278"/>
        <v>INSTRUMENTACION-DIANA CAICEDO-DIANA DIAZ</v>
      </c>
      <c r="F5468" s="5" t="str">
        <f>"Descripcion: PINZAS MOSQUITO CURVAS Estado: Bueno Placa anterior: 000031925 Material: ACERO INOXIDABLE Color: PLATEADO Referencia:  Observacion:     Placa padre: I0000532Tipo adquisicion: Entidad"</f>
        <v>Descripcion: PINZAS MOSQUITO CURVAS Estado: Bueno Placa anterior: 000031925 Material: ACERO INOXIDABLE Color: PLATEADO Referencia:  Observacion:     Placa padre: I0000532Tipo adquisicion: Entidad</v>
      </c>
      <c r="G5468" s="5"/>
    </row>
    <row r="5469" spans="1:7" ht="58.5" customHeight="1" x14ac:dyDescent="0.25">
      <c r="A5469" s="5" t="str">
        <f>"I0000555"</f>
        <v>I0000555</v>
      </c>
      <c r="B5469" s="5" t="str">
        <f>"PINZA ROCHESTER CURVA 25 CM"</f>
        <v>PINZA ROCHESTER CURVA 25 CM</v>
      </c>
      <c r="C5469" s="6">
        <v>113680</v>
      </c>
      <c r="D5469" s="5"/>
      <c r="E5469" s="5" t="str">
        <f t="shared" si="278"/>
        <v>INSTRUMENTACION-DIANA CAICEDO-DIANA DIAZ</v>
      </c>
      <c r="F5469" s="5" t="str">
        <f>"Descripcion: PINZAS ROCHESTER CURVAS Estado: Bueno Placa anterior: 000032470 Material: ACERO INOXIDABLE Color: PLATEADO Referencia:  Observacion:     Placa padre: I0000532Tipo adquisicion: Entidad"</f>
        <v>Descripcion: PINZAS ROCHESTER CURVAS Estado: Bueno Placa anterior: 000032470 Material: ACERO INOXIDABLE Color: PLATEADO Referencia:  Observacion:     Placa padre: I0000532Tipo adquisicion: Entidad</v>
      </c>
      <c r="G5469" s="5"/>
    </row>
    <row r="5470" spans="1:7" ht="58.5" customHeight="1" x14ac:dyDescent="0.25">
      <c r="A5470" s="5" t="str">
        <f>"I0000556"</f>
        <v>I0000556</v>
      </c>
      <c r="B5470" s="5" t="str">
        <f>"PINZA ROCHESTER CURVA 25 CM"</f>
        <v>PINZA ROCHESTER CURVA 25 CM</v>
      </c>
      <c r="C5470" s="6">
        <v>113680</v>
      </c>
      <c r="D5470" s="5"/>
      <c r="E5470" s="5" t="str">
        <f t="shared" si="278"/>
        <v>INSTRUMENTACION-DIANA CAICEDO-DIANA DIAZ</v>
      </c>
      <c r="F5470" s="5" t="str">
        <f>"Descripcion: PINZAS ROCHESTER CURVAS Estado: Bueno Placa anterior: 000032471 Material: ACERO INOXIDABLE Color: PLATEADO Referencia:  Observacion:     Placa padre: I0000532Tipo adquisicion: Entidad"</f>
        <v>Descripcion: PINZAS ROCHESTER CURVAS Estado: Bueno Placa anterior: 000032471 Material: ACERO INOXIDABLE Color: PLATEADO Referencia:  Observacion:     Placa padre: I0000532Tipo adquisicion: Entidad</v>
      </c>
      <c r="G5470" s="5"/>
    </row>
    <row r="5471" spans="1:7" ht="58.5" customHeight="1" x14ac:dyDescent="0.25">
      <c r="A5471" s="5" t="str">
        <f>"I0000563"</f>
        <v>I0000563</v>
      </c>
      <c r="B5471" s="5" t="str">
        <f>"SONDA ACANALADA"</f>
        <v>SONDA ACANALADA</v>
      </c>
      <c r="C5471" s="6">
        <v>36972.699999999997</v>
      </c>
      <c r="D5471" s="5"/>
      <c r="E5471" s="5" t="str">
        <f t="shared" ref="E5471:E5534" si="284">"INSTRUMENTACION-DIANA CAICEDO-DIANA DIAZ"</f>
        <v>INSTRUMENTACION-DIANA CAICEDO-DIANA DIAZ</v>
      </c>
      <c r="F5471" s="5" t="str">
        <f>"Descripcion: SONDA ACANALADA DE MARTIN Estado: Bueno Placa anterior: 000014570 Material: ACERO INOXIDABLE Color: PLATEADO Referencia:  Observacion:     Placa padre: I0000532Tipo adquisicion: Entidad"</f>
        <v>Descripcion: SONDA ACANALADA DE MARTIN Estado: Bueno Placa anterior: 000014570 Material: ACERO INOXIDABLE Color: PLATEADO Referencia:  Observacion:     Placa padre: I0000532Tipo adquisicion: Entidad</v>
      </c>
      <c r="G5471" s="5"/>
    </row>
    <row r="5472" spans="1:7" ht="58.5" customHeight="1" x14ac:dyDescent="0.25">
      <c r="A5472" s="5" t="str">
        <f>"I0000566"</f>
        <v>I0000566</v>
      </c>
      <c r="B5472" s="5" t="str">
        <f>"ANOSCOPIOS"</f>
        <v>ANOSCOPIOS</v>
      </c>
      <c r="C5472" s="6">
        <v>54720</v>
      </c>
      <c r="D5472" s="5"/>
      <c r="E5472" s="5" t="str">
        <f t="shared" si="284"/>
        <v>INSTRUMENTACION-DIANA CAICEDO-DIANA DIAZ</v>
      </c>
      <c r="F5472" s="5" t="str">
        <f>"Descripcion: ANOSCOPIO PRAT Estado: Bueno Placa anterior: 000015950 Material: ACERO INOXIDABLE Color: PLATEADO Referencia:  Observacion: ESPECULO DE PRATT Placa padre: I0000532Tipo adquisicion: Entidad"</f>
        <v>Descripcion: ANOSCOPIO PRAT Estado: Bueno Placa anterior: 000015950 Material: ACERO INOXIDABLE Color: PLATEADO Referencia:  Observacion: ESPECULO DE PRATT Placa padre: I0000532Tipo adquisicion: Entidad</v>
      </c>
      <c r="G5472" s="5"/>
    </row>
    <row r="5473" spans="1:7" ht="58.5" customHeight="1" x14ac:dyDescent="0.25">
      <c r="A5473" s="5" t="str">
        <f>"I0000568"</f>
        <v>I0000568</v>
      </c>
      <c r="B5473" s="5" t="str">
        <f>"CANULA DE FRAZIER"</f>
        <v>CANULA DE FRAZIER</v>
      </c>
      <c r="C5473" s="6">
        <v>76560</v>
      </c>
      <c r="D5473" s="5"/>
      <c r="E5473" s="5" t="str">
        <f t="shared" si="284"/>
        <v>INSTRUMENTACION-DIANA CAICEDO-DIANA DIAZ</v>
      </c>
      <c r="F5473" s="5" t="str">
        <f>"Descripcion: CANULA DE SUCCION DE FRAZIER Estado: Bueno Placa anterior: 000031605 Material: ACERO INOXIDABLE Color: PLATEADO Referencia:  Observacion:     Placa padre: I0000532Tipo adquisicion: Entidad"</f>
        <v>Descripcion: CANULA DE SUCCION DE FRAZIER Estado: Bueno Placa anterior: 000031605 Material: ACERO INOXIDABLE Color: PLATEADO Referencia:  Observacion:     Placa padre: I0000532Tipo adquisicion: Entidad</v>
      </c>
      <c r="G5473" s="5"/>
    </row>
    <row r="5474" spans="1:7" ht="58.5" customHeight="1" x14ac:dyDescent="0.25">
      <c r="A5474" s="5" t="str">
        <f>"I0000569"</f>
        <v>I0000569</v>
      </c>
      <c r="B5474" s="5" t="str">
        <f>"PINZA DE CAMPO"</f>
        <v>PINZA DE CAMPO</v>
      </c>
      <c r="C5474" s="6">
        <v>39440</v>
      </c>
      <c r="D5474" s="5"/>
      <c r="E5474" s="5" t="str">
        <f t="shared" si="284"/>
        <v>INSTRUMENTACION-DIANA CAICEDO-DIANA DIAZ</v>
      </c>
      <c r="F5474" s="5" t="str">
        <f>"Descripcion: PINZAS DE CAMPO Estado: Bueno Placa anterior: 000031783 Material: ACERO INOXIDABLE Color: PLATEADO Referencia:  Observacion:     Placa padre: I0000532Tipo adquisicion: Entidad"</f>
        <v>Descripcion: PINZAS DE CAMPO Estado: Bueno Placa anterior: 000031783 Material: ACERO INOXIDABLE Color: PLATEADO Referencia:  Observacion:     Placa padre: I0000532Tipo adquisicion: Entidad</v>
      </c>
      <c r="G5474" s="5"/>
    </row>
    <row r="5475" spans="1:7" ht="58.5" customHeight="1" x14ac:dyDescent="0.25">
      <c r="A5475" s="5" t="str">
        <f>"I0000570"</f>
        <v>I0000570</v>
      </c>
      <c r="B5475" s="5" t="str">
        <f>"PINZA DE CAMPO"</f>
        <v>PINZA DE CAMPO</v>
      </c>
      <c r="C5475" s="6">
        <v>39440</v>
      </c>
      <c r="D5475" s="5"/>
      <c r="E5475" s="5" t="str">
        <f t="shared" si="284"/>
        <v>INSTRUMENTACION-DIANA CAICEDO-DIANA DIAZ</v>
      </c>
      <c r="F5475" s="5" t="str">
        <f>"Descripcion: PINZAS DE CAMPO Estado: Bueno Placa anterior: 000031784 Material: ACERO INOXIDABLE Color: PLATEADO Referencia:  Observacion:     Placa padre: I0000532Tipo adquisicion: Entidad"</f>
        <v>Descripcion: PINZAS DE CAMPO Estado: Bueno Placa anterior: 000031784 Material: ACERO INOXIDABLE Color: PLATEADO Referencia:  Observacion:     Placa padre: I0000532Tipo adquisicion: Entidad</v>
      </c>
      <c r="G5475" s="5"/>
    </row>
    <row r="5476" spans="1:7" ht="58.5" customHeight="1" x14ac:dyDescent="0.25">
      <c r="A5476" s="5" t="str">
        <f>"I0000571"</f>
        <v>I0000571</v>
      </c>
      <c r="B5476" s="5" t="str">
        <f>"PORTAGUJAS (PINZA)"</f>
        <v>PORTAGUJAS (PINZA)</v>
      </c>
      <c r="C5476" s="6">
        <v>139200</v>
      </c>
      <c r="D5476" s="5"/>
      <c r="E5476" s="5" t="str">
        <f t="shared" si="284"/>
        <v>INSTRUMENTACION-DIANA CAICEDO-DIANA DIAZ</v>
      </c>
      <c r="F5476" s="5" t="str">
        <f>"Descripcion: PORTA AGUJAS MEDIANO (DIMEDA Estado: Bueno Placa anterior: 000032426 Material: ACERO INOXIDABLE Color: PLATEADO Referencia:  Observacion: PORTA AGUJAS MASSON RANURADO EN LA PUNTA CIERRE DE CREMALLERA  Placa padre: I0000532Tipo adquisicion: En"&amp; "tidad"</f>
        <v>Descripcion: PORTA AGUJAS MEDIANO (DIMEDA Estado: Bueno Placa anterior: 000032426 Material: ACERO INOXIDABLE Color: PLATEADO Referencia:  Observacion: PORTA AGUJAS MASSON RANURADO EN LA PUNTA CIERRE DE CREMALLERA  Placa padre: I0000532Tipo adquisicion: Entidad</v>
      </c>
      <c r="G5476" s="5"/>
    </row>
    <row r="5477" spans="1:7" ht="58.5" customHeight="1" x14ac:dyDescent="0.25">
      <c r="A5477" s="5" t="str">
        <f>"I0000573"</f>
        <v>I0000573</v>
      </c>
      <c r="B5477" s="5" t="str">
        <f>"RIÑONERA HOSPITALARIA EN ACERO INOXIDABLE"</f>
        <v>RIÑONERA HOSPITALARIA EN ACERO INOXIDABLE</v>
      </c>
      <c r="C5477" s="6">
        <v>1946.85</v>
      </c>
      <c r="D5477" s="5"/>
      <c r="E5477" s="5" t="str">
        <f t="shared" si="284"/>
        <v>INSTRUMENTACION-DIANA CAICEDO-DIANA DIAZ</v>
      </c>
      <c r="F5477" s="5" t="str">
        <f>"Descripcion: RIÑONONERA NIQUELADA Estado: Bueno Placa anterior: 000019458 Material: ACERO INOXIDABLE Color: PLATEADO Referencia:  Observacion:     Placa padre: I0000532Tipo adquisicion: Entidad"</f>
        <v>Descripcion: RIÑONONERA NIQUELADA Estado: Bueno Placa anterior: 000019458 Material: ACERO INOXIDABLE Color: PLATEADO Referencia:  Observacion:     Placa padre: I0000532Tipo adquisicion: Entidad</v>
      </c>
      <c r="G5477" s="5"/>
    </row>
    <row r="5478" spans="1:7" ht="58.5" customHeight="1" x14ac:dyDescent="0.25">
      <c r="A5478" s="5" t="str">
        <f>"I0000575"</f>
        <v>I0000575</v>
      </c>
      <c r="B5478" s="5" t="str">
        <f>"EXPLORADOR DE VIA BILIAR"</f>
        <v>EXPLORADOR DE VIA BILIAR</v>
      </c>
      <c r="C5478" s="6">
        <v>332754.3</v>
      </c>
      <c r="D5478" s="5"/>
      <c r="E5478" s="5" t="str">
        <f t="shared" si="284"/>
        <v>INSTRUMENTACION-DIANA CAICEDO-DIANA DIAZ</v>
      </c>
      <c r="F5478" s="5" t="str">
        <f>"Descripcion: EQUIPO EXPLORACION DE VIA BILIAR #1 QUE CONSTA DE:  (4) PINZAS DE RANDALL  (9) EXPLORADORES DE VIA BILIAR Estado: Bueno Placa anterior: 000016743 Material: ACERO INOXIDABLE Color: PLATEADO Referencia:  Observacion:     Placa padre: Tipo adqui"&amp; "sicion: Entidad"</f>
        <v>Descripcion: EQUIPO EXPLORACION DE VIA BILIAR #1 QUE CONSTA DE:  (4) PINZAS DE RANDALL  (9) EXPLORADORES DE VIA BILIAR Estado: Bueno Placa anterior: 000016743 Material: ACERO INOXIDABLE Color: PLATEADO Referencia:  Observacion:     Placa padre: Tipo adquisicion: Entidad</v>
      </c>
      <c r="G5478" s="5"/>
    </row>
    <row r="5479" spans="1:7" ht="58.5" customHeight="1" x14ac:dyDescent="0.25">
      <c r="A5479" s="5" t="str">
        <f>"I0000578"</f>
        <v>I0000578</v>
      </c>
      <c r="B5479" s="5" t="str">
        <f>"PINZA RANDALL"</f>
        <v>PINZA RANDALL</v>
      </c>
      <c r="C5479" s="6">
        <v>44080</v>
      </c>
      <c r="D5479" s="5"/>
      <c r="E5479" s="5" t="str">
        <f t="shared" si="284"/>
        <v>INSTRUMENTACION-DIANA CAICEDO-DIANA DIAZ</v>
      </c>
      <c r="F5479" s="5" t="str">
        <f>"Descripcion: PINZAS DE RANDALL Estado: Bueno Placa anterior: 000016017 Material: ACERO INOXIDABLE Color: PLATEADO Referencia:  Observacion:     Placa padre: I0000575Tipo adquisicion: Entidad"</f>
        <v>Descripcion: PINZAS DE RANDALL Estado: Bueno Placa anterior: 000016017 Material: ACERO INOXIDABLE Color: PLATEADO Referencia:  Observacion:     Placa padre: I0000575Tipo adquisicion: Entidad</v>
      </c>
      <c r="G5479" s="5"/>
    </row>
    <row r="5480" spans="1:7" ht="58.5" customHeight="1" x14ac:dyDescent="0.25">
      <c r="A5480" s="5" t="str">
        <f>"I0000579"</f>
        <v>I0000579</v>
      </c>
      <c r="B5480" s="5" t="str">
        <f>"PINZA RANDALL"</f>
        <v>PINZA RANDALL</v>
      </c>
      <c r="C5480" s="6">
        <v>44080</v>
      </c>
      <c r="D5480" s="5"/>
      <c r="E5480" s="5" t="str">
        <f t="shared" si="284"/>
        <v>INSTRUMENTACION-DIANA CAICEDO-DIANA DIAZ</v>
      </c>
      <c r="F5480" s="5" t="str">
        <f>"Descripcion: PINZAS DE RANDALL Estado: Bueno Placa anterior: 000016018 Material: ACERO INOXIDABLE Color: PLATEADO Referencia:  Observacion:     Placa padre: I0000575Tipo adquisicion: Entidad"</f>
        <v>Descripcion: PINZAS DE RANDALL Estado: Bueno Placa anterior: 000016018 Material: ACERO INOXIDABLE Color: PLATEADO Referencia:  Observacion:     Placa padre: I0000575Tipo adquisicion: Entidad</v>
      </c>
      <c r="G5480" s="5"/>
    </row>
    <row r="5481" spans="1:7" ht="58.5" customHeight="1" x14ac:dyDescent="0.25">
      <c r="A5481" s="5" t="str">
        <f>"I0000589"</f>
        <v>I0000589</v>
      </c>
      <c r="B5481" s="5" t="str">
        <f>"EXPLORADOR DE VIA BILIAR"</f>
        <v>EXPLORADOR DE VIA BILIAR</v>
      </c>
      <c r="C5481" s="6">
        <v>480645.1</v>
      </c>
      <c r="D5481" s="5"/>
      <c r="E5481" s="5" t="str">
        <f t="shared" si="284"/>
        <v>INSTRUMENTACION-DIANA CAICEDO-DIANA DIAZ</v>
      </c>
      <c r="F5481" s="5" t="str">
        <f>"Descripcion: EQUIPO EXPLORACION DE VIA BILIAR #2 QUE CONSTA DE:  (4) PINZAS DE RANDALL  (9) EXPLORADORES DE VIA BILIAR Estado: Bueno Placa anterior: 000016744 Material: ACERO INOXIDABLE Color: PLATEADO Referencia:  Observacion:     Placa padre: Tipo adqui"&amp; "sicion: Entidad"</f>
        <v>Descripcion: EQUIPO EXPLORACION DE VIA BILIAR #2 QUE CONSTA DE:  (4) PINZAS DE RANDALL  (9) EXPLORADORES DE VIA BILIAR Estado: Bueno Placa anterior: 000016744 Material: ACERO INOXIDABLE Color: PLATEADO Referencia:  Observacion:     Placa padre: Tipo adquisicion: Entidad</v>
      </c>
      <c r="G5481" s="5"/>
    </row>
    <row r="5482" spans="1:7" ht="58.5" customHeight="1" x14ac:dyDescent="0.25">
      <c r="A5482" s="5" t="str">
        <f>"I0000590"</f>
        <v>I0000590</v>
      </c>
      <c r="B5482" s="5" t="str">
        <f>"PINZA RANDALL"</f>
        <v>PINZA RANDALL</v>
      </c>
      <c r="C5482" s="6">
        <v>44080</v>
      </c>
      <c r="D5482" s="5"/>
      <c r="E5482" s="5" t="str">
        <f t="shared" si="284"/>
        <v>INSTRUMENTACION-DIANA CAICEDO-DIANA DIAZ</v>
      </c>
      <c r="F5482" s="5" t="str">
        <f>"Descripcion: PINZAS DE RANDALL Estado: Bueno Placa anterior: 000016019 Material: ACERO INOXIDABLE Color: PLATEADO Referencia:  Observacion:     Placa padre: I0000589Tipo adquisicion: Entidad"</f>
        <v>Descripcion: PINZAS DE RANDALL Estado: Bueno Placa anterior: 000016019 Material: ACERO INOXIDABLE Color: PLATEADO Referencia:  Observacion:     Placa padre: I0000589Tipo adquisicion: Entidad</v>
      </c>
      <c r="G5482" s="5"/>
    </row>
    <row r="5483" spans="1:7" ht="58.5" customHeight="1" x14ac:dyDescent="0.25">
      <c r="A5483" s="5" t="str">
        <f>"I0000591"</f>
        <v>I0000591</v>
      </c>
      <c r="B5483" s="5" t="str">
        <f>"PINZA RANDALL"</f>
        <v>PINZA RANDALL</v>
      </c>
      <c r="C5483" s="6">
        <v>44080</v>
      </c>
      <c r="D5483" s="5"/>
      <c r="E5483" s="5" t="str">
        <f t="shared" si="284"/>
        <v>INSTRUMENTACION-DIANA CAICEDO-DIANA DIAZ</v>
      </c>
      <c r="F5483" s="5" t="str">
        <f>"Descripcion: PINZAS DE RANDALL Estado: Bueno Placa anterior: 000016020 Material: ACERO INOXIDABLE Color: PLATEADO Referencia:  Observacion:     Placa padre: I0000589Tipo adquisicion: Entidad"</f>
        <v>Descripcion: PINZAS DE RANDALL Estado: Bueno Placa anterior: 000016020 Material: ACERO INOXIDABLE Color: PLATEADO Referencia:  Observacion:     Placa padre: I0000589Tipo adquisicion: Entidad</v>
      </c>
      <c r="G5483" s="5"/>
    </row>
    <row r="5484" spans="1:7" ht="58.5" customHeight="1" x14ac:dyDescent="0.25">
      <c r="A5484" s="5" t="str">
        <f>"I0000592"</f>
        <v>I0000592</v>
      </c>
      <c r="B5484" s="5" t="str">
        <f>"PINZA RANDALL"</f>
        <v>PINZA RANDALL</v>
      </c>
      <c r="C5484" s="6">
        <v>44080</v>
      </c>
      <c r="D5484" s="5"/>
      <c r="E5484" s="5" t="str">
        <f t="shared" si="284"/>
        <v>INSTRUMENTACION-DIANA CAICEDO-DIANA DIAZ</v>
      </c>
      <c r="F5484" s="5" t="str">
        <f>"Descripcion: PINZAS DE RANDALL Estado: Bueno Placa anterior: 000016021 Material: ACERO INOXIDABLE Color: PLATEADO Referencia:  Observacion:     Placa padre: I0000589Tipo adquisicion: Entidad"</f>
        <v>Descripcion: PINZAS DE RANDALL Estado: Bueno Placa anterior: 000016021 Material: ACERO INOXIDABLE Color: PLATEADO Referencia:  Observacion:     Placa padre: I0000589Tipo adquisicion: Entidad</v>
      </c>
      <c r="G5484" s="5"/>
    </row>
    <row r="5485" spans="1:7" ht="58.5" customHeight="1" x14ac:dyDescent="0.25">
      <c r="A5485" s="5" t="str">
        <f>"I0000593"</f>
        <v>I0000593</v>
      </c>
      <c r="B5485" s="5" t="str">
        <f>"PINZA RANDALL"</f>
        <v>PINZA RANDALL</v>
      </c>
      <c r="C5485" s="6">
        <v>44080</v>
      </c>
      <c r="D5485" s="5"/>
      <c r="E5485" s="5" t="str">
        <f t="shared" si="284"/>
        <v>INSTRUMENTACION-DIANA CAICEDO-DIANA DIAZ</v>
      </c>
      <c r="F5485" s="5" t="str">
        <f>"Descripcion: PINZAS DE RANDALL Estado: Bueno Placa anterior: 000016022 Material: ACERO INOXIDABLE Color: PLATEADO Referencia:  Observacion:     Placa padre: I0000589Tipo adquisicion: Entidad"</f>
        <v>Descripcion: PINZAS DE RANDALL Estado: Bueno Placa anterior: 000016022 Material: ACERO INOXIDABLE Color: PLATEADO Referencia:  Observacion:     Placa padre: I0000589Tipo adquisicion: Entidad</v>
      </c>
      <c r="G5485" s="5"/>
    </row>
    <row r="5486" spans="1:7" ht="58.5" customHeight="1" x14ac:dyDescent="0.25">
      <c r="A5486" s="5" t="str">
        <f>"I0000603"</f>
        <v>I0000603</v>
      </c>
      <c r="B5486" s="5" t="str">
        <f>"EXPLORADOR DE VIA BILIAR"</f>
        <v>EXPLORADOR DE VIA BILIAR</v>
      </c>
      <c r="C5486" s="6">
        <v>480645.1</v>
      </c>
      <c r="D5486" s="5"/>
      <c r="E5486" s="5" t="str">
        <f t="shared" si="284"/>
        <v>INSTRUMENTACION-DIANA CAICEDO-DIANA DIAZ</v>
      </c>
      <c r="F5486" s="5" t="str">
        <f>"Descripcion: EQUIPO EXPLORACION DE VIA BILIAR #3 QUE CONSTA DE:(4) PINZAS DE RANDALL(9) EXPLORADORES DE VIA BILIAR Estado: Bueno Placa anterior: 000016745 Material: ACERO INOXIDABLE Color: PLATEADO Referencia:  Observacion:     Placa padre: Tipo adquisici"&amp; "on: Entidad"</f>
        <v>Descripcion: EQUIPO EXPLORACION DE VIA BILIAR #3 QUE CONSTA DE:(4) PINZAS DE RANDALL(9) EXPLORADORES DE VIA BILIAR Estado: Bueno Placa anterior: 000016745 Material: ACERO INOXIDABLE Color: PLATEADO Referencia:  Observacion:     Placa padre: Tipo adquisicion: Entidad</v>
      </c>
      <c r="G5486" s="5"/>
    </row>
    <row r="5487" spans="1:7" ht="58.5" customHeight="1" x14ac:dyDescent="0.25">
      <c r="A5487" s="5" t="str">
        <f>"I0000604"</f>
        <v>I0000604</v>
      </c>
      <c r="B5487" s="5" t="str">
        <f>"PINZA RANDALL"</f>
        <v>PINZA RANDALL</v>
      </c>
      <c r="C5487" s="6">
        <v>44080</v>
      </c>
      <c r="D5487" s="5"/>
      <c r="E5487" s="5" t="str">
        <f t="shared" si="284"/>
        <v>INSTRUMENTACION-DIANA CAICEDO-DIANA DIAZ</v>
      </c>
      <c r="F5487" s="5" t="str">
        <f>"Descripcion: PINZAS DE RANDALL Estado: Bueno Placa anterior: 000016023 Material: ACERO INOXIDABLE Color: PLATEADO Referencia:  Observacion:     Placa padre: I0000603Tipo adquisicion: Entidad"</f>
        <v>Descripcion: PINZAS DE RANDALL Estado: Bueno Placa anterior: 000016023 Material: ACERO INOXIDABLE Color: PLATEADO Referencia:  Observacion:     Placa padre: I0000603Tipo adquisicion: Entidad</v>
      </c>
      <c r="G5487" s="5"/>
    </row>
    <row r="5488" spans="1:7" ht="58.5" customHeight="1" x14ac:dyDescent="0.25">
      <c r="A5488" s="5" t="str">
        <f>"I0000605"</f>
        <v>I0000605</v>
      </c>
      <c r="B5488" s="5" t="str">
        <f>"PINZA RANDALL"</f>
        <v>PINZA RANDALL</v>
      </c>
      <c r="C5488" s="6">
        <v>44080</v>
      </c>
      <c r="D5488" s="5"/>
      <c r="E5488" s="5" t="str">
        <f t="shared" si="284"/>
        <v>INSTRUMENTACION-DIANA CAICEDO-DIANA DIAZ</v>
      </c>
      <c r="F5488" s="5" t="str">
        <f>"Descripcion: PINZAS DE RANDALL Estado: Bueno Placa anterior: 000016024 Material: ACERO INOXIDABLE Color: PLATEADO Referencia:  Observacion:     Placa padre: I0000603Tipo adquisicion: Entidad"</f>
        <v>Descripcion: PINZAS DE RANDALL Estado: Bueno Placa anterior: 000016024 Material: ACERO INOXIDABLE Color: PLATEADO Referencia:  Observacion:     Placa padre: I0000603Tipo adquisicion: Entidad</v>
      </c>
      <c r="G5488" s="5"/>
    </row>
    <row r="5489" spans="1:7" ht="58.5" customHeight="1" x14ac:dyDescent="0.25">
      <c r="A5489" s="5" t="str">
        <f>"I0000606"</f>
        <v>I0000606</v>
      </c>
      <c r="B5489" s="5" t="str">
        <f>"PINZA RANDALL"</f>
        <v>PINZA RANDALL</v>
      </c>
      <c r="C5489" s="6">
        <v>44080</v>
      </c>
      <c r="D5489" s="5"/>
      <c r="E5489" s="5" t="str">
        <f t="shared" si="284"/>
        <v>INSTRUMENTACION-DIANA CAICEDO-DIANA DIAZ</v>
      </c>
      <c r="F5489" s="5" t="str">
        <f>"Descripcion: PINZAS DE RANDALL Estado: Bueno Placa anterior: 000016025 Material: ACERO INOXIDABLE Color: PLATEADO Referencia:  Observacion:     Placa padre: I0000603Tipo adquisicion: Entidad"</f>
        <v>Descripcion: PINZAS DE RANDALL Estado: Bueno Placa anterior: 000016025 Material: ACERO INOXIDABLE Color: PLATEADO Referencia:  Observacion:     Placa padre: I0000603Tipo adquisicion: Entidad</v>
      </c>
      <c r="G5489" s="5"/>
    </row>
    <row r="5490" spans="1:7" ht="58.5" customHeight="1" x14ac:dyDescent="0.25">
      <c r="A5490" s="5" t="str">
        <f>"I0000607"</f>
        <v>I0000607</v>
      </c>
      <c r="B5490" s="5" t="str">
        <f>"PINZA RANDALL"</f>
        <v>PINZA RANDALL</v>
      </c>
      <c r="C5490" s="6">
        <v>44080</v>
      </c>
      <c r="D5490" s="5"/>
      <c r="E5490" s="5" t="str">
        <f t="shared" si="284"/>
        <v>INSTRUMENTACION-DIANA CAICEDO-DIANA DIAZ</v>
      </c>
      <c r="F5490" s="5" t="str">
        <f>"Descripcion: PINZAS DE RANDALL Estado: Bueno Placa anterior: 000016026 Material: ACERO INOXIDABLE Color: PLATEADO Referencia:  Observacion:     Placa padre: I0000603Tipo adquisicion: Entidad"</f>
        <v>Descripcion: PINZAS DE RANDALL Estado: Bueno Placa anterior: 000016026 Material: ACERO INOXIDABLE Color: PLATEADO Referencia:  Observacion:     Placa padre: I0000603Tipo adquisicion: Entidad</v>
      </c>
      <c r="G5490" s="5"/>
    </row>
    <row r="5491" spans="1:7" ht="58.5" customHeight="1" x14ac:dyDescent="0.25">
      <c r="A5491" s="5" t="str">
        <f>"I0000617"</f>
        <v>I0000617</v>
      </c>
      <c r="B5491" s="5" t="str">
        <f>"EQUIPO AUXILIAR DE VIAS BILIARES"</f>
        <v>EQUIPO AUXILIAR DE VIAS BILIARES</v>
      </c>
      <c r="C5491" s="6">
        <v>312580.59000000003</v>
      </c>
      <c r="D5491" s="5"/>
      <c r="E5491" s="5" t="str">
        <f t="shared" si="284"/>
        <v>INSTRUMENTACION-DIANA CAICEDO-DIANA DIAZ</v>
      </c>
      <c r="F5491" s="5" t="str">
        <f>"Descripcion: EQUIPO AUXILIAR DE VIAS BILIARES #1 QUE CONSTA DE:  (1)MANGO DE BISTURI #7  (1) TIJERA DE PLASTICA  (1) TIJERA DE TAYLOR  (1) PINZA DE DISECCION PUNTA FINA  (8) PINZAS MOSQUITO CURVAS  (1) PINZA MIXTER LARGA  (1) SONDA ACANALADA  (1) PORTA AG"&amp; "UJAS LARGO DORADO  (1) CANULA DE SUCCION Estado: Bueno Placa anterior: 000016741 Material: ACERO INOXIDABLE Color: PLATEADO Referencia:  Observacion:     Placa padre: Tipo adquisicion: Entidad"</f>
        <v>Descripcion: EQUIPO AUXILIAR DE VIAS BILIARES #1 QUE CONSTA DE:  (1)MANGO DE BISTURI #7  (1) TIJERA DE PLASTICA  (1) TIJERA DE TAYLOR  (1) PINZA DE DISECCION PUNTA FINA  (8) PINZAS MOSQUITO CURVAS  (1) PINZA MIXTER LARGA  (1) SONDA ACANALADA  (1) PORTA AGUJAS LARGO DORADO  (1) CANULA DE SUCCION Estado: Bueno Placa anterior: 000016741 Material: ACERO INOXIDABLE Color: PLATEADO Referencia:  Observacion:     Placa padre: Tipo adquisicion: Entidad</v>
      </c>
      <c r="G5491" s="5"/>
    </row>
    <row r="5492" spans="1:7" ht="58.5" customHeight="1" x14ac:dyDescent="0.25">
      <c r="A5492" s="5" t="str">
        <f>"I0000619"</f>
        <v>I0000619</v>
      </c>
      <c r="B5492" s="5" t="str">
        <f>"TIJERA (INSTRUMENTAL)"</f>
        <v>TIJERA (INSTRUMENTAL)</v>
      </c>
      <c r="C5492" s="6">
        <v>65893</v>
      </c>
      <c r="D5492" s="5"/>
      <c r="E5492" s="5" t="str">
        <f t="shared" si="284"/>
        <v>INSTRUMENTACION-DIANA CAICEDO-DIANA DIAZ</v>
      </c>
      <c r="F5492" s="5" t="str">
        <f>"Descripcion: TIJERA DE PLASTICA Estado: Bueno Placa anterior: 000023756 Material: ACERO INOXIDABLE Color: PLATEADO Referencia:  Observacion: TIJERA PLASTICA LEXER BABY DE DISECCION DE 10 CM  Placa padre: I0000617Tipo adquisicion: Entidad"</f>
        <v>Descripcion: TIJERA DE PLASTICA Estado: Bueno Placa anterior: 000023756 Material: ACERO INOXIDABLE Color: PLATEADO Referencia:  Observacion: TIJERA PLASTICA LEXER BABY DE DISECCION DE 10 CM  Placa padre: I0000617Tipo adquisicion: Entidad</v>
      </c>
      <c r="G5492" s="5"/>
    </row>
    <row r="5493" spans="1:7" ht="58.5" customHeight="1" x14ac:dyDescent="0.25">
      <c r="A5493" s="5" t="str">
        <f>"I0000620"</f>
        <v>I0000620</v>
      </c>
      <c r="B5493" s="5" t="str">
        <f>"TIJERA (INSTRUMENTAL)"</f>
        <v>TIJERA (INSTRUMENTAL)</v>
      </c>
      <c r="C5493" s="6">
        <v>272484</v>
      </c>
      <c r="D5493" s="5"/>
      <c r="E5493" s="5" t="str">
        <f t="shared" si="284"/>
        <v>INSTRUMENTACION-DIANA CAICEDO-DIANA DIAZ</v>
      </c>
      <c r="F5493" s="5" t="str">
        <f>"Descripcion: TIJERA DE TAYLOR Estado: Bueno Placa anterior: 000025354 Material: ACERO INOXIDABLE Color: PLATEADO Referencia:  Observacion:     Placa padre: I0000617Tipo adquisicion: Entidad"</f>
        <v>Descripcion: TIJERA DE TAYLOR Estado: Bueno Placa anterior: 000025354 Material: ACERO INOXIDABLE Color: PLATEADO Referencia:  Observacion:     Placa padre: I0000617Tipo adquisicion: Entidad</v>
      </c>
      <c r="G5493" s="5"/>
    </row>
    <row r="5494" spans="1:7" ht="58.5" customHeight="1" x14ac:dyDescent="0.25">
      <c r="A5494" s="5" t="str">
        <f>"I0000625"</f>
        <v>I0000625</v>
      </c>
      <c r="B5494" s="5" t="str">
        <f>"PINZA MOSQUITO CURVA 12 CM"</f>
        <v>PINZA MOSQUITO CURVA 12 CM</v>
      </c>
      <c r="C5494" s="6">
        <v>39440</v>
      </c>
      <c r="D5494" s="5"/>
      <c r="E5494" s="5" t="str">
        <f t="shared" si="284"/>
        <v>INSTRUMENTACION-DIANA CAICEDO-DIANA DIAZ</v>
      </c>
      <c r="F5494" s="5" t="str">
        <f>"Descripcion: PINZAS MOSQUITO CURVAS Estado: Bueno Placa anterior: 000031915 Material: ACERO INOXIDABLE Color: PLATEADO Referencia:  Observacion:     Placa padre: I0000617Tipo adquisicion: Entidad"</f>
        <v>Descripcion: PINZAS MOSQUITO CURVAS Estado: Bueno Placa anterior: 000031915 Material: ACERO INOXIDABLE Color: PLATEADO Referencia:  Observacion:     Placa padre: I0000617Tipo adquisicion: Entidad</v>
      </c>
      <c r="G5494" s="5"/>
    </row>
    <row r="5495" spans="1:7" ht="58.5" customHeight="1" x14ac:dyDescent="0.25">
      <c r="A5495" s="5" t="str">
        <f>"I0000626"</f>
        <v>I0000626</v>
      </c>
      <c r="B5495" s="5" t="str">
        <f>"PINZA MOSQUITO CURVA 12 CM"</f>
        <v>PINZA MOSQUITO CURVA 12 CM</v>
      </c>
      <c r="C5495" s="6">
        <v>39440</v>
      </c>
      <c r="D5495" s="5"/>
      <c r="E5495" s="5" t="str">
        <f t="shared" si="284"/>
        <v>INSTRUMENTACION-DIANA CAICEDO-DIANA DIAZ</v>
      </c>
      <c r="F5495" s="5" t="str">
        <f>"Descripcion: PINZAS MOSQUITO CURVAS Estado: Bueno Placa anterior: 000031916 Material: ACERO INOXIDABLE Color: PLATEADO Referencia:  Observacion:     Placa padre: I0000617Tipo adquisicion: Entidad"</f>
        <v>Descripcion: PINZAS MOSQUITO CURVAS Estado: Bueno Placa anterior: 000031916 Material: ACERO INOXIDABLE Color: PLATEADO Referencia:  Observacion:     Placa padre: I0000617Tipo adquisicion: Entidad</v>
      </c>
      <c r="G5495" s="5"/>
    </row>
    <row r="5496" spans="1:7" ht="58.5" customHeight="1" x14ac:dyDescent="0.25">
      <c r="A5496" s="5" t="str">
        <f>"I0000627"</f>
        <v>I0000627</v>
      </c>
      <c r="B5496" s="5" t="str">
        <f>"PINZA MOSQUITO CURVA 12 CM"</f>
        <v>PINZA MOSQUITO CURVA 12 CM</v>
      </c>
      <c r="C5496" s="6">
        <v>39440</v>
      </c>
      <c r="D5496" s="5"/>
      <c r="E5496" s="5" t="str">
        <f t="shared" si="284"/>
        <v>INSTRUMENTACION-DIANA CAICEDO-DIANA DIAZ</v>
      </c>
      <c r="F5496" s="5" t="str">
        <f>"Descripcion: PINZAS MOSQUITO CURVAS Estado: Bueno Placa anterior: 000031917 Material: ACERO INOXIDABLE Color: PLATEADO Referencia:  Observacion:     Placa padre: I0000617Tipo adquisicion: Entidad"</f>
        <v>Descripcion: PINZAS MOSQUITO CURVAS Estado: Bueno Placa anterior: 000031917 Material: ACERO INOXIDABLE Color: PLATEADO Referencia:  Observacion:     Placa padre: I0000617Tipo adquisicion: Entidad</v>
      </c>
      <c r="G5496" s="5"/>
    </row>
    <row r="5497" spans="1:7" ht="58.5" customHeight="1" x14ac:dyDescent="0.25">
      <c r="A5497" s="5" t="str">
        <f>"I0000628"</f>
        <v>I0000628</v>
      </c>
      <c r="B5497" s="5" t="str">
        <f>"PINZA MOSQUITO CURVA 12 CM"</f>
        <v>PINZA MOSQUITO CURVA 12 CM</v>
      </c>
      <c r="C5497" s="6">
        <v>39440</v>
      </c>
      <c r="D5497" s="5"/>
      <c r="E5497" s="5" t="str">
        <f t="shared" si="284"/>
        <v>INSTRUMENTACION-DIANA CAICEDO-DIANA DIAZ</v>
      </c>
      <c r="F5497" s="5" t="str">
        <f>"Descripcion: PINZAS MOSQUITO CURVAS Estado: Bueno Placa anterior: 000031918 Material: ACERO INOXIDABLE Color: PLATEADO Referencia:  Observacion:     Placa padre: I0000617Tipo adquisicion: Entidad"</f>
        <v>Descripcion: PINZAS MOSQUITO CURVAS Estado: Bueno Placa anterior: 000031918 Material: ACERO INOXIDABLE Color: PLATEADO Referencia:  Observacion:     Placa padre: I0000617Tipo adquisicion: Entidad</v>
      </c>
      <c r="G5497" s="5"/>
    </row>
    <row r="5498" spans="1:7" ht="58.5" customHeight="1" x14ac:dyDescent="0.25">
      <c r="A5498" s="5" t="str">
        <f>"I0000629"</f>
        <v>I0000629</v>
      </c>
      <c r="B5498" s="5" t="str">
        <f>"PINZA MOSQUITO CURVA 12 CM"</f>
        <v>PINZA MOSQUITO CURVA 12 CM</v>
      </c>
      <c r="C5498" s="6">
        <v>39440</v>
      </c>
      <c r="D5498" s="5"/>
      <c r="E5498" s="5" t="str">
        <f t="shared" si="284"/>
        <v>INSTRUMENTACION-DIANA CAICEDO-DIANA DIAZ</v>
      </c>
      <c r="F5498" s="5" t="str">
        <f>"Descripcion: PINZAS MOSQUITO CURVAS Estado: Bueno Placa anterior: 000031919 Material: ACERO INOXIDABLE Color: PLATEADO Referencia:  Observacion:     Placa padre: I0000617Tipo adquisicion: Entidad"</f>
        <v>Descripcion: PINZAS MOSQUITO CURVAS Estado: Bueno Placa anterior: 000031919 Material: ACERO INOXIDABLE Color: PLATEADO Referencia:  Observacion:     Placa padre: I0000617Tipo adquisicion: Entidad</v>
      </c>
      <c r="G5498" s="5"/>
    </row>
    <row r="5499" spans="1:7" ht="58.5" customHeight="1" x14ac:dyDescent="0.25">
      <c r="A5499" s="5" t="str">
        <f>"I0000637"</f>
        <v>I0000637</v>
      </c>
      <c r="B5499" s="5" t="str">
        <f>"TIJERA (INSTRUMENTAL)"</f>
        <v>TIJERA (INSTRUMENTAL)</v>
      </c>
      <c r="C5499" s="6">
        <v>272484</v>
      </c>
      <c r="D5499" s="5"/>
      <c r="E5499" s="5" t="str">
        <f t="shared" si="284"/>
        <v>INSTRUMENTACION-DIANA CAICEDO-DIANA DIAZ</v>
      </c>
      <c r="F5499" s="5" t="str">
        <f>"Descripcion: TIJERA DE TAYLOR Estado: Bueno Placa anterior: 000025355 Material: ACERO INOXIDABLE Color: PLATEADO Referencia:  Observacion:     Placa padre: I0000634Tipo adquisicion: Entidad"</f>
        <v>Descripcion: TIJERA DE TAYLOR Estado: Bueno Placa anterior: 000025355 Material: ACERO INOXIDABLE Color: PLATEADO Referencia:  Observacion:     Placa padre: I0000634Tipo adquisicion: Entidad</v>
      </c>
      <c r="G5499" s="5"/>
    </row>
    <row r="5500" spans="1:7" ht="58.5" customHeight="1" x14ac:dyDescent="0.25">
      <c r="A5500" s="5" t="str">
        <f>"I0000639"</f>
        <v>I0000639</v>
      </c>
      <c r="B5500" s="5" t="str">
        <f t="shared" ref="B5500:B5507" si="285">"PINZA MOSQUITO CURVA 12 CM"</f>
        <v>PINZA MOSQUITO CURVA 12 CM</v>
      </c>
      <c r="C5500" s="6">
        <v>39440</v>
      </c>
      <c r="D5500" s="5"/>
      <c r="E5500" s="5" t="str">
        <f t="shared" si="284"/>
        <v>INSTRUMENTACION-DIANA CAICEDO-DIANA DIAZ</v>
      </c>
      <c r="F5500" s="5" t="str">
        <f>"Descripcion: PINZAS MOSQUITO CURVAS Estado: Bueno Placa anterior: 000031920 Material: ACERO INOXIDABLE Color: PLATEADO Referencia:  Observacion:     Placa padre: I0000634Tipo adquisicion: Entidad"</f>
        <v>Descripcion: PINZAS MOSQUITO CURVAS Estado: Bueno Placa anterior: 000031920 Material: ACERO INOXIDABLE Color: PLATEADO Referencia:  Observacion:     Placa padre: I0000634Tipo adquisicion: Entidad</v>
      </c>
      <c r="G5500" s="5"/>
    </row>
    <row r="5501" spans="1:7" ht="58.5" customHeight="1" x14ac:dyDescent="0.25">
      <c r="A5501" s="5" t="str">
        <f>"I0000640"</f>
        <v>I0000640</v>
      </c>
      <c r="B5501" s="5" t="str">
        <f t="shared" si="285"/>
        <v>PINZA MOSQUITO CURVA 12 CM</v>
      </c>
      <c r="C5501" s="6">
        <v>39440</v>
      </c>
      <c r="D5501" s="5"/>
      <c r="E5501" s="5" t="str">
        <f t="shared" si="284"/>
        <v>INSTRUMENTACION-DIANA CAICEDO-DIANA DIAZ</v>
      </c>
      <c r="F5501" s="5" t="str">
        <f>"Descripcion: PINZAS MOSQUITO CURVAS Estado: Bueno Placa anterior: 000031923 Material: ACERO INOXIDABLE Color: PLATEADO Referencia:  Observacion:     Placa padre: I0000634Tipo adquisicion: Entidad"</f>
        <v>Descripcion: PINZAS MOSQUITO CURVAS Estado: Bueno Placa anterior: 000031923 Material: ACERO INOXIDABLE Color: PLATEADO Referencia:  Observacion:     Placa padre: I0000634Tipo adquisicion: Entidad</v>
      </c>
      <c r="G5501" s="5"/>
    </row>
    <row r="5502" spans="1:7" ht="58.5" customHeight="1" x14ac:dyDescent="0.25">
      <c r="A5502" s="5" t="str">
        <f>"I0000641"</f>
        <v>I0000641</v>
      </c>
      <c r="B5502" s="5" t="str">
        <f t="shared" si="285"/>
        <v>PINZA MOSQUITO CURVA 12 CM</v>
      </c>
      <c r="C5502" s="6">
        <v>39440</v>
      </c>
      <c r="D5502" s="5"/>
      <c r="E5502" s="5" t="str">
        <f t="shared" si="284"/>
        <v>INSTRUMENTACION-DIANA CAICEDO-DIANA DIAZ</v>
      </c>
      <c r="F5502" s="5" t="str">
        <f>"Descripcion: PINZAS MOSQUITO CURVAS Estado: Bueno Placa anterior: 000031924 Material: ACERO INOXIDABLE Color: PLATEADO Referencia:  Observacion:     Placa padre: I0000634Tipo adquisicion: Entidad"</f>
        <v>Descripcion: PINZAS MOSQUITO CURVAS Estado: Bueno Placa anterior: 000031924 Material: ACERO INOXIDABLE Color: PLATEADO Referencia:  Observacion:     Placa padre: I0000634Tipo adquisicion: Entidad</v>
      </c>
      <c r="G5502" s="5"/>
    </row>
    <row r="5503" spans="1:7" ht="58.5" customHeight="1" x14ac:dyDescent="0.25">
      <c r="A5503" s="5" t="str">
        <f>"I0000642"</f>
        <v>I0000642</v>
      </c>
      <c r="B5503" s="5" t="str">
        <f t="shared" si="285"/>
        <v>PINZA MOSQUITO CURVA 12 CM</v>
      </c>
      <c r="C5503" s="6">
        <v>39440</v>
      </c>
      <c r="D5503" s="5"/>
      <c r="E5503" s="5" t="str">
        <f t="shared" si="284"/>
        <v>INSTRUMENTACION-DIANA CAICEDO-DIANA DIAZ</v>
      </c>
      <c r="F5503" s="5" t="str">
        <f>"Descripcion: PINZAS MOSQUITO CURVAS Estado: Bueno Placa anterior: 000031926 Material: ACERO INOXIDABLE Color: PLATEADO Referencia:  Observacion:     Placa padre: I0000634Tipo adquisicion: Entidad"</f>
        <v>Descripcion: PINZAS MOSQUITO CURVAS Estado: Bueno Placa anterior: 000031926 Material: ACERO INOXIDABLE Color: PLATEADO Referencia:  Observacion:     Placa padre: I0000634Tipo adquisicion: Entidad</v>
      </c>
      <c r="G5503" s="5"/>
    </row>
    <row r="5504" spans="1:7" ht="58.5" customHeight="1" x14ac:dyDescent="0.25">
      <c r="A5504" s="5" t="str">
        <f>"I0000643"</f>
        <v>I0000643</v>
      </c>
      <c r="B5504" s="5" t="str">
        <f t="shared" si="285"/>
        <v>PINZA MOSQUITO CURVA 12 CM</v>
      </c>
      <c r="C5504" s="6">
        <v>39440</v>
      </c>
      <c r="D5504" s="5"/>
      <c r="E5504" s="5" t="str">
        <f t="shared" si="284"/>
        <v>INSTRUMENTACION-DIANA CAICEDO-DIANA DIAZ</v>
      </c>
      <c r="F5504" s="5" t="str">
        <f>"Descripcion: PINZAS MOSQUITO CURVAS Estado: Bueno Placa anterior: 000031927 Material: ACERO INOXIDABLE Color: PLATEADO Referencia:  Observacion:     Placa padre: I0000634Tipo adquisicion: Entidad"</f>
        <v>Descripcion: PINZAS MOSQUITO CURVAS Estado: Bueno Placa anterior: 000031927 Material: ACERO INOXIDABLE Color: PLATEADO Referencia:  Observacion:     Placa padre: I0000634Tipo adquisicion: Entidad</v>
      </c>
      <c r="G5504" s="5"/>
    </row>
    <row r="5505" spans="1:7" ht="58.5" customHeight="1" x14ac:dyDescent="0.25">
      <c r="A5505" s="5" t="str">
        <f>"I0000644"</f>
        <v>I0000644</v>
      </c>
      <c r="B5505" s="5" t="str">
        <f t="shared" si="285"/>
        <v>PINZA MOSQUITO CURVA 12 CM</v>
      </c>
      <c r="C5505" s="6">
        <v>39440</v>
      </c>
      <c r="D5505" s="5"/>
      <c r="E5505" s="5" t="str">
        <f t="shared" si="284"/>
        <v>INSTRUMENTACION-DIANA CAICEDO-DIANA DIAZ</v>
      </c>
      <c r="F5505" s="5" t="str">
        <f>"Descripcion: PINZAS MOSQUITO CURVAS Estado: Bueno Placa anterior: 000031928 Material: ACERO INOXIDABLE Color: PLATEADO Referencia:  Observacion:     Placa padre: I0000634Tipo adquisicion: Entidad"</f>
        <v>Descripcion: PINZAS MOSQUITO CURVAS Estado: Bueno Placa anterior: 000031928 Material: ACERO INOXIDABLE Color: PLATEADO Referencia:  Observacion:     Placa padre: I0000634Tipo adquisicion: Entidad</v>
      </c>
      <c r="G5505" s="5"/>
    </row>
    <row r="5506" spans="1:7" ht="58.5" customHeight="1" x14ac:dyDescent="0.25">
      <c r="A5506" s="5" t="str">
        <f>"I0000645"</f>
        <v>I0000645</v>
      </c>
      <c r="B5506" s="5" t="str">
        <f t="shared" si="285"/>
        <v>PINZA MOSQUITO CURVA 12 CM</v>
      </c>
      <c r="C5506" s="6">
        <v>39440</v>
      </c>
      <c r="D5506" s="5"/>
      <c r="E5506" s="5" t="str">
        <f t="shared" si="284"/>
        <v>INSTRUMENTACION-DIANA CAICEDO-DIANA DIAZ</v>
      </c>
      <c r="F5506" s="5" t="str">
        <f>"Descripcion: PINZAS MOSQUITO CURVAS Estado: Bueno Placa anterior: 000031929 Material: ACERO INOXIDABLE Color: PLATEADO Referencia:  Observacion:     Placa padre: I0000634Tipo adquisicion: Entidad"</f>
        <v>Descripcion: PINZAS MOSQUITO CURVAS Estado: Bueno Placa anterior: 000031929 Material: ACERO INOXIDABLE Color: PLATEADO Referencia:  Observacion:     Placa padre: I0000634Tipo adquisicion: Entidad</v>
      </c>
      <c r="G5506" s="5"/>
    </row>
    <row r="5507" spans="1:7" ht="58.5" customHeight="1" x14ac:dyDescent="0.25">
      <c r="A5507" s="5" t="str">
        <f>"I0000646"</f>
        <v>I0000646</v>
      </c>
      <c r="B5507" s="5" t="str">
        <f t="shared" si="285"/>
        <v>PINZA MOSQUITO CURVA 12 CM</v>
      </c>
      <c r="C5507" s="6">
        <v>39440</v>
      </c>
      <c r="D5507" s="5"/>
      <c r="E5507" s="5" t="str">
        <f t="shared" si="284"/>
        <v>INSTRUMENTACION-DIANA CAICEDO-DIANA DIAZ</v>
      </c>
      <c r="F5507" s="5" t="str">
        <f>"Descripcion: PINZAS MOSQUITO CURVAS Estado: Bueno Placa anterior: 000031930 Material: ACERO INOXIDABLE Color: PLATEADO Referencia:  Observacion:     Placa padre: I0000634Tipo adquisicion: Entidad"</f>
        <v>Descripcion: PINZAS MOSQUITO CURVAS Estado: Bueno Placa anterior: 000031930 Material: ACERO INOXIDABLE Color: PLATEADO Referencia:  Observacion:     Placa padre: I0000634Tipo adquisicion: Entidad</v>
      </c>
      <c r="G5507" s="5"/>
    </row>
    <row r="5508" spans="1:7" ht="58.5" customHeight="1" x14ac:dyDescent="0.25">
      <c r="A5508" s="5" t="str">
        <f>"I0000647"</f>
        <v>I0000647</v>
      </c>
      <c r="B5508" s="5" t="str">
        <f>"PINZA MIXTER"</f>
        <v>PINZA MIXTER</v>
      </c>
      <c r="C5508" s="6">
        <v>1420000</v>
      </c>
      <c r="D5508" s="5"/>
      <c r="E5508" s="5" t="str">
        <f t="shared" si="284"/>
        <v>INSTRUMENTACION-DIANA CAICEDO-DIANA DIAZ</v>
      </c>
      <c r="F5508" s="5" t="str">
        <f>"Descripcion: PINZA MIXTER LARGA Estado: Bueno Placa anterior: 000032683 Material: ACERO INOXIDABLE Color: PLATEADO Referencia:  Observacion:     Placa padre: I0000634Tipo adquisicion: Entidad"</f>
        <v>Descripcion: PINZA MIXTER LARGA Estado: Bueno Placa anterior: 000032683 Material: ACERO INOXIDABLE Color: PLATEADO Referencia:  Observacion:     Placa padre: I0000634Tipo adquisicion: Entidad</v>
      </c>
      <c r="G5508" s="5"/>
    </row>
    <row r="5509" spans="1:7" ht="58.5" customHeight="1" x14ac:dyDescent="0.25">
      <c r="A5509" s="5" t="str">
        <f>"I0000651"</f>
        <v>I0000651</v>
      </c>
      <c r="B5509" s="5" t="str">
        <f>"EQUIPO DE ESTOMAGO"</f>
        <v>EQUIPO DE ESTOMAGO</v>
      </c>
      <c r="C5509" s="6">
        <v>419860</v>
      </c>
      <c r="D5509" s="5"/>
      <c r="E5509" s="5" t="str">
        <f t="shared" si="284"/>
        <v>INSTRUMENTACION-DIANA CAICEDO-DIANA DIAZ</v>
      </c>
      <c r="F5509" s="5" t="str">
        <f>"Descripcion: EQUIPO PARA CIRUGIA DE ESTOMAGO #1 COMPUESTO DE:  (2) CLAMPS DE DOYEN RECTOS  (2) CLAMPS DE DOYEN CURVOS  (2) CLAMPS DE DOYEN EN BAYONETA  (1) CLAMP DE PAIR PEQUEÑO   (1) CLAMP DE PAIR MEDIANO  (1) CLAMP DE PAIR GRANDE  (4) PINZAS DE ALLIS JU"&amp; "DD Estado: Bueno Placa anterior: 000016746 Material: ACERO INOXIDABLE Color: PLATEADO Referencia:  Observacion:     Placa padre: Tipo adquisicion: Entidad"</f>
        <v>Descripcion: EQUIPO PARA CIRUGIA DE ESTOMAGO #1 COMPUESTO DE:  (2) CLAMPS DE DOYEN RECTOS  (2) CLAMPS DE DOYEN CURVOS  (2) CLAMPS DE DOYEN EN BAYONETA  (1) CLAMP DE PAIR PEQUEÑO   (1) CLAMP DE PAIR MEDIANO  (1) CLAMP DE PAIR GRANDE  (4) PINZAS DE ALLIS JUDD Estado: Bueno Placa anterior: 000016746 Material: ACERO INOXIDABLE Color: PLATEADO Referencia:  Observacion:     Placa padre: Tipo adquisicion: Entidad</v>
      </c>
      <c r="G5509" s="5"/>
    </row>
    <row r="5510" spans="1:7" ht="58.5" customHeight="1" x14ac:dyDescent="0.25">
      <c r="A5510" s="5" t="str">
        <f>"I0000665"</f>
        <v>I0000665</v>
      </c>
      <c r="B5510" s="5" t="str">
        <f>"EQUIPO DE ESTOMAGO"</f>
        <v>EQUIPO DE ESTOMAGO</v>
      </c>
      <c r="C5510" s="6">
        <v>419860</v>
      </c>
      <c r="D5510" s="5"/>
      <c r="E5510" s="5" t="str">
        <f t="shared" si="284"/>
        <v>INSTRUMENTACION-DIANA CAICEDO-DIANA DIAZ</v>
      </c>
      <c r="F5510" s="5" t="str">
        <f>"Descripcion: EQUIPO PARA CIRUGIA DE ESTOMAGO #2 COMPUESTO DE:  (2) CLAMPS DE DOYEN RECTOS  (2) CLAMPS DE DOYEN CURVOS  (2) CLAMPS DE DOYEN EN BAYONETA  (1) CLAMP DE PAIR PEQUEÑO   (1) CLAMP DE PAIR MEDIANO  (1) CLAMP DE PAIR GRANDE  (4) PINZAS DE ALLIS JU"&amp; "DD Estado: Bueno Placa anterior: 000016747 Material: ACERO INOXIDABLE Color: PLATEADO Referencia:  Observacion:     Placa padre: Tipo adquisicion: Entidad"</f>
        <v>Descripcion: EQUIPO PARA CIRUGIA DE ESTOMAGO #2 COMPUESTO DE:  (2) CLAMPS DE DOYEN RECTOS  (2) CLAMPS DE DOYEN CURVOS  (2) CLAMPS DE DOYEN EN BAYONETA  (1) CLAMP DE PAIR PEQUEÑO   (1) CLAMP DE PAIR MEDIANO  (1) CLAMP DE PAIR GRANDE  (4) PINZAS DE ALLIS JUDD Estado: Bueno Placa anterior: 000016747 Material: ACERO INOXIDABLE Color: PLATEADO Referencia:  Observacion:     Placa padre: Tipo adquisicion: Entidad</v>
      </c>
      <c r="G5510" s="5"/>
    </row>
    <row r="5511" spans="1:7" ht="58.5" customHeight="1" x14ac:dyDescent="0.25">
      <c r="A5511" s="5" t="str">
        <f>"I0000672"</f>
        <v>I0000672</v>
      </c>
      <c r="B5511" s="5" t="str">
        <f>"CLAMP PAIR"</f>
        <v>CLAMP PAIR</v>
      </c>
      <c r="C5511" s="6">
        <v>29000</v>
      </c>
      <c r="D5511" s="5"/>
      <c r="E5511" s="5" t="str">
        <f t="shared" si="284"/>
        <v>INSTRUMENTACION-DIANA CAICEDO-DIANA DIAZ</v>
      </c>
      <c r="F5511" s="5" t="str">
        <f>"Descripcion: CLAMP DE PAIR PEQUEÑO  Estado: Bueno Placa anterior: 000016117 Material: ACERO INOXIDABLE Color: PLATEADO Referencia:  Observacion:     Placa padre: I0000665Tipo adquisicion: Entidad"</f>
        <v>Descripcion: CLAMP DE PAIR PEQUEÑO  Estado: Bueno Placa anterior: 000016117 Material: ACERO INOXIDABLE Color: PLATEADO Referencia:  Observacion:     Placa padre: I0000665Tipo adquisicion: Entidad</v>
      </c>
      <c r="G5511" s="5"/>
    </row>
    <row r="5512" spans="1:7" ht="58.5" customHeight="1" x14ac:dyDescent="0.25">
      <c r="A5512" s="5" t="str">
        <f>"I0000673"</f>
        <v>I0000673</v>
      </c>
      <c r="B5512" s="5" t="str">
        <f>"CLAMP PAIR"</f>
        <v>CLAMP PAIR</v>
      </c>
      <c r="C5512" s="6">
        <v>29000</v>
      </c>
      <c r="D5512" s="5"/>
      <c r="E5512" s="5" t="str">
        <f t="shared" si="284"/>
        <v>INSTRUMENTACION-DIANA CAICEDO-DIANA DIAZ</v>
      </c>
      <c r="F5512" s="5" t="str">
        <f>"Descripcion: CLAMP DE PAIR MEDIANO Estado: Bueno Placa anterior: 000016118 Material: ACERO INOXIDABLE Color: PLATEADO Referencia:  Observacion:     Placa padre: I0000665Tipo adquisicion: Entidad"</f>
        <v>Descripcion: CLAMP DE PAIR MEDIANO Estado: Bueno Placa anterior: 000016118 Material: ACERO INOXIDABLE Color: PLATEADO Referencia:  Observacion:     Placa padre: I0000665Tipo adquisicion: Entidad</v>
      </c>
      <c r="G5512" s="5"/>
    </row>
    <row r="5513" spans="1:7" ht="58.5" customHeight="1" x14ac:dyDescent="0.25">
      <c r="A5513" s="5" t="str">
        <f>"I0000680"</f>
        <v>I0000680</v>
      </c>
      <c r="B5513" s="5" t="str">
        <f>"TIJERA DE METZEMBAUM"</f>
        <v>TIJERA DE METZEMBAUM</v>
      </c>
      <c r="C5513" s="6">
        <v>63800</v>
      </c>
      <c r="D5513" s="5"/>
      <c r="E5513" s="5" t="str">
        <f t="shared" si="284"/>
        <v>INSTRUMENTACION-DIANA CAICEDO-DIANA DIAZ</v>
      </c>
      <c r="F5513" s="5" t="str">
        <f>"Descripcion: TIJERA METZEMBAUM PEQUEÑA Estado: Bueno Placa anterior: 000032082 Material: ACERO INOXIDABLE Color: PLATEADO Referencia:  Observacion:     Placa padre: I0000679Tipo adquisicion: Entidad"</f>
        <v>Descripcion: TIJERA METZEMBAUM PEQUEÑA Estado: Bueno Placa anterior: 000032082 Material: ACERO INOXIDABLE Color: PLATEADO Referencia:  Observacion:     Placa padre: I0000679Tipo adquisicion: Entidad</v>
      </c>
      <c r="G5513" s="5"/>
    </row>
    <row r="5514" spans="1:7" ht="58.5" customHeight="1" x14ac:dyDescent="0.25">
      <c r="A5514" s="5" t="str">
        <f>"I0000682"</f>
        <v>I0000682</v>
      </c>
      <c r="B5514" s="5" t="str">
        <f>"SEPARADOR DE SENN MILLER"</f>
        <v>SEPARADOR DE SENN MILLER</v>
      </c>
      <c r="C5514" s="6">
        <v>88160</v>
      </c>
      <c r="D5514" s="5"/>
      <c r="E5514" s="5" t="str">
        <f t="shared" si="284"/>
        <v>INSTRUMENTACION-DIANA CAICEDO-DIANA DIAZ</v>
      </c>
      <c r="F5514" s="5" t="str">
        <f>"Descripcion: SEPARADORES DE SENN MILLER Estado: Bueno Placa anterior: 000032029 Material: ACERO INOXIDABLE Color: PLATEADO Referencia:  Observacion:     Placa padre: I0000679Tipo adquisicion: Entidad"</f>
        <v>Descripcion: SEPARADORES DE SENN MILLER Estado: Bueno Placa anterior: 000032029 Material: ACERO INOXIDABLE Color: PLATEADO Referencia:  Observacion:     Placa padre: I0000679Tipo adquisicion: Entidad</v>
      </c>
      <c r="G5514" s="5"/>
    </row>
    <row r="5515" spans="1:7" ht="58.5" customHeight="1" x14ac:dyDescent="0.25">
      <c r="A5515" s="5" t="str">
        <f>"I0000683"</f>
        <v>I0000683</v>
      </c>
      <c r="B5515" s="5" t="str">
        <f>"SEPARADOR DE FARABEUF PEDIATRICO"</f>
        <v>SEPARADOR DE FARABEUF PEDIATRICO</v>
      </c>
      <c r="C5515" s="6">
        <v>41760</v>
      </c>
      <c r="D5515" s="5"/>
      <c r="E5515" s="5" t="str">
        <f t="shared" si="284"/>
        <v>INSTRUMENTACION-DIANA CAICEDO-DIANA DIAZ</v>
      </c>
      <c r="F5515" s="5" t="str">
        <f>"Descripcion: SEPARADORES BABY FARABEUF  Estado: Bueno Placa anterior: 000032015 Material: ACERO INOXIDABLE Color: PLATEADO Referencia:  Observacion:     Placa padre: I0000679Tipo adquisicion: Entidad"</f>
        <v>Descripcion: SEPARADORES BABY FARABEUF  Estado: Bueno Placa anterior: 000032015 Material: ACERO INOXIDABLE Color: PLATEADO Referencia:  Observacion:     Placa padre: I0000679Tipo adquisicion: Entidad</v>
      </c>
      <c r="G5515" s="5"/>
    </row>
    <row r="5516" spans="1:7" ht="58.5" customHeight="1" x14ac:dyDescent="0.25">
      <c r="A5516" s="5" t="str">
        <f>"I0000684"</f>
        <v>I0000684</v>
      </c>
      <c r="B5516" s="5" t="str">
        <f>"SEPARADOR DE FARABEUF PEDIATRICO"</f>
        <v>SEPARADOR DE FARABEUF PEDIATRICO</v>
      </c>
      <c r="C5516" s="6">
        <v>41760</v>
      </c>
      <c r="D5516" s="5"/>
      <c r="E5516" s="5" t="str">
        <f t="shared" si="284"/>
        <v>INSTRUMENTACION-DIANA CAICEDO-DIANA DIAZ</v>
      </c>
      <c r="F5516" s="5" t="str">
        <f>"Descripcion: SEPARADORES BABY FARABEUF  Estado: Bueno Placa anterior: 000032016 Material: ACERO INOXIDABLE Color: PLATEADO Referencia:  Observacion:     Placa padre: I0000679Tipo adquisicion: Entidad"</f>
        <v>Descripcion: SEPARADORES BABY FARABEUF  Estado: Bueno Placa anterior: 000032016 Material: ACERO INOXIDABLE Color: PLATEADO Referencia:  Observacion:     Placa padre: I0000679Tipo adquisicion: Entidad</v>
      </c>
      <c r="G5516" s="5"/>
    </row>
    <row r="5517" spans="1:7" ht="58.5" customHeight="1" x14ac:dyDescent="0.25">
      <c r="A5517" s="5" t="str">
        <f>"I0000687"</f>
        <v>I0000687</v>
      </c>
      <c r="B5517" s="5" t="str">
        <f>"SEPARADOR DE SENN MILLER"</f>
        <v>SEPARADOR DE SENN MILLER</v>
      </c>
      <c r="C5517" s="6">
        <v>88160</v>
      </c>
      <c r="D5517" s="5"/>
      <c r="E5517" s="5" t="str">
        <f t="shared" si="284"/>
        <v>INSTRUMENTACION-DIANA CAICEDO-DIANA DIAZ</v>
      </c>
      <c r="F5517" s="5" t="str">
        <f>"Descripcion: SEPARADORES DE SENN MILLER Estado: Bueno Placa anterior: 000032030 Material: ACERO INOXIDABLE Color: PLATEADO Referencia:  Observacion:     Placa padre: I0000685Tipo adquisicion: Entidad"</f>
        <v>Descripcion: SEPARADORES DE SENN MILLER Estado: Bueno Placa anterior: 000032030 Material: ACERO INOXIDABLE Color: PLATEADO Referencia:  Observacion:     Placa padre: I0000685Tipo adquisicion: Entidad</v>
      </c>
      <c r="G5517" s="5"/>
    </row>
    <row r="5518" spans="1:7" ht="58.5" customHeight="1" x14ac:dyDescent="0.25">
      <c r="A5518" s="5" t="str">
        <f>"I0000688"</f>
        <v>I0000688</v>
      </c>
      <c r="B5518" s="5" t="str">
        <f>"SEPARADOR DE SENN MILLER"</f>
        <v>SEPARADOR DE SENN MILLER</v>
      </c>
      <c r="C5518" s="6">
        <v>88160</v>
      </c>
      <c r="D5518" s="5"/>
      <c r="E5518" s="5" t="str">
        <f t="shared" si="284"/>
        <v>INSTRUMENTACION-DIANA CAICEDO-DIANA DIAZ</v>
      </c>
      <c r="F5518" s="5" t="str">
        <f>"Descripcion: SEPARADORES DE SENN MILLER Estado: Bueno Placa anterior: 000032031 Material: ACERO INOXIDABLE Color: PLATEADO Referencia:  Observacion:     Placa padre: I0000685Tipo adquisicion: Entidad"</f>
        <v>Descripcion: SEPARADORES DE SENN MILLER Estado: Bueno Placa anterior: 000032031 Material: ACERO INOXIDABLE Color: PLATEADO Referencia:  Observacion:     Placa padre: I0000685Tipo adquisicion: Entidad</v>
      </c>
      <c r="G5518" s="5"/>
    </row>
    <row r="5519" spans="1:7" ht="58.5" customHeight="1" x14ac:dyDescent="0.25">
      <c r="A5519" s="5" t="str">
        <f>"I0000689"</f>
        <v>I0000689</v>
      </c>
      <c r="B5519" s="5" t="str">
        <f>"SEPARADOR DE FARABEUF PEDIATRICO"</f>
        <v>SEPARADOR DE FARABEUF PEDIATRICO</v>
      </c>
      <c r="C5519" s="6">
        <v>41760</v>
      </c>
      <c r="D5519" s="5"/>
      <c r="E5519" s="5" t="str">
        <f t="shared" si="284"/>
        <v>INSTRUMENTACION-DIANA CAICEDO-DIANA DIAZ</v>
      </c>
      <c r="F5519" s="5" t="str">
        <f>"Descripcion: SEPARADORES BABY FARABEUF  Estado: Bueno Placa anterior: 000032017 Material: ACERO INOXIDABLE Color: PLATEADO Referencia:  Observacion:     Placa padre: I0000685Tipo adquisicion: Entidad"</f>
        <v>Descripcion: SEPARADORES BABY FARABEUF  Estado: Bueno Placa anterior: 000032017 Material: ACERO INOXIDABLE Color: PLATEADO Referencia:  Observacion:     Placa padre: I0000685Tipo adquisicion: Entidad</v>
      </c>
      <c r="G5519" s="5"/>
    </row>
    <row r="5520" spans="1:7" ht="58.5" customHeight="1" x14ac:dyDescent="0.25">
      <c r="A5520" s="5" t="str">
        <f>"I0000690"</f>
        <v>I0000690</v>
      </c>
      <c r="B5520" s="5" t="str">
        <f>"SEPARADOR DE FARABEUF PEDIATRICO"</f>
        <v>SEPARADOR DE FARABEUF PEDIATRICO</v>
      </c>
      <c r="C5520" s="6">
        <v>41760</v>
      </c>
      <c r="D5520" s="5"/>
      <c r="E5520" s="5" t="str">
        <f t="shared" si="284"/>
        <v>INSTRUMENTACION-DIANA CAICEDO-DIANA DIAZ</v>
      </c>
      <c r="F5520" s="5" t="str">
        <f>"Descripcion: SEPARADORES BABY FARABEUF  Estado: Bueno Placa anterior: 000032018 Material: ACERO INOXIDABLE Color: PLATEADO Referencia:  Observacion:     Placa padre: I0000685Tipo adquisicion: Entidad"</f>
        <v>Descripcion: SEPARADORES BABY FARABEUF  Estado: Bueno Placa anterior: 000032018 Material: ACERO INOXIDABLE Color: PLATEADO Referencia:  Observacion:     Placa padre: I0000685Tipo adquisicion: Entidad</v>
      </c>
      <c r="G5520" s="5"/>
    </row>
    <row r="5521" spans="1:7" ht="58.5" customHeight="1" x14ac:dyDescent="0.25">
      <c r="A5521" s="5" t="str">
        <f>"I0000693"</f>
        <v>I0000693</v>
      </c>
      <c r="B5521" s="5" t="str">
        <f>"SEPARADOR DE SENN MILLER"</f>
        <v>SEPARADOR DE SENN MILLER</v>
      </c>
      <c r="C5521" s="6">
        <v>88160</v>
      </c>
      <c r="D5521" s="5"/>
      <c r="E5521" s="5" t="str">
        <f t="shared" si="284"/>
        <v>INSTRUMENTACION-DIANA CAICEDO-DIANA DIAZ</v>
      </c>
      <c r="F5521" s="5" t="str">
        <f>"Descripcion: SEPARADORES DE SENN MILLER Estado: Bueno Placa anterior: 000032032 Material: ACERO INOXIDABLE Color: PLATEADO Referencia:  Observacion:     Placa padre: I0000691Tipo adquisicion: Entidad"</f>
        <v>Descripcion: SEPARADORES DE SENN MILLER Estado: Bueno Placa anterior: 000032032 Material: ACERO INOXIDABLE Color: PLATEADO Referencia:  Observacion:     Placa padre: I0000691Tipo adquisicion: Entidad</v>
      </c>
      <c r="G5521" s="5"/>
    </row>
    <row r="5522" spans="1:7" ht="58.5" customHeight="1" x14ac:dyDescent="0.25">
      <c r="A5522" s="5" t="str">
        <f>"I0000694"</f>
        <v>I0000694</v>
      </c>
      <c r="B5522" s="5" t="str">
        <f>"SEPARADOR DE SENN MILLER"</f>
        <v>SEPARADOR DE SENN MILLER</v>
      </c>
      <c r="C5522" s="6">
        <v>88160</v>
      </c>
      <c r="D5522" s="5"/>
      <c r="E5522" s="5" t="str">
        <f t="shared" si="284"/>
        <v>INSTRUMENTACION-DIANA CAICEDO-DIANA DIAZ</v>
      </c>
      <c r="F5522" s="5" t="str">
        <f>"Descripcion: SEPARADORES DE SENN MILLER Estado: Bueno Placa anterior: 000032033 Material: ACERO INOXIDABLE Color: PLATEADO Referencia:  Observacion:     Placa padre: I0000691Tipo adquisicion: Entidad"</f>
        <v>Descripcion: SEPARADORES DE SENN MILLER Estado: Bueno Placa anterior: 000032033 Material: ACERO INOXIDABLE Color: PLATEADO Referencia:  Observacion:     Placa padre: I0000691Tipo adquisicion: Entidad</v>
      </c>
      <c r="G5522" s="5"/>
    </row>
    <row r="5523" spans="1:7" ht="58.5" customHeight="1" x14ac:dyDescent="0.25">
      <c r="A5523" s="5" t="str">
        <f>"I0000695"</f>
        <v>I0000695</v>
      </c>
      <c r="B5523" s="5" t="str">
        <f>"SEPARADOR DE FARABEUF PEDIATRICO"</f>
        <v>SEPARADOR DE FARABEUF PEDIATRICO</v>
      </c>
      <c r="C5523" s="6">
        <v>41760</v>
      </c>
      <c r="D5523" s="5"/>
      <c r="E5523" s="5" t="str">
        <f t="shared" si="284"/>
        <v>INSTRUMENTACION-DIANA CAICEDO-DIANA DIAZ</v>
      </c>
      <c r="F5523" s="5" t="str">
        <f>"Descripcion: SEPARADORES BABY FARABEUF  Estado: Bueno Placa anterior: 000032019 Material: ACERO INOXIDABLE Color: PLATEADO Referencia:  Observacion:     Placa padre: I0000691Tipo adquisicion: Entidad"</f>
        <v>Descripcion: SEPARADORES BABY FARABEUF  Estado: Bueno Placa anterior: 000032019 Material: ACERO INOXIDABLE Color: PLATEADO Referencia:  Observacion:     Placa padre: I0000691Tipo adquisicion: Entidad</v>
      </c>
      <c r="G5523" s="5"/>
    </row>
    <row r="5524" spans="1:7" ht="58.5" customHeight="1" x14ac:dyDescent="0.25">
      <c r="A5524" s="5" t="str">
        <f>"I0000696"</f>
        <v>I0000696</v>
      </c>
      <c r="B5524" s="5" t="str">
        <f>"SEPARADOR DE FARABEUF PEDIATRICO"</f>
        <v>SEPARADOR DE FARABEUF PEDIATRICO</v>
      </c>
      <c r="C5524" s="6">
        <v>41760</v>
      </c>
      <c r="D5524" s="5"/>
      <c r="E5524" s="5" t="str">
        <f t="shared" si="284"/>
        <v>INSTRUMENTACION-DIANA CAICEDO-DIANA DIAZ</v>
      </c>
      <c r="F5524" s="5" t="str">
        <f>"Descripcion: SEPARADORES BABY FARABEUF  Estado: Bueno Placa anterior: 000032020 Material: ACERO INOXIDABLE Color: PLATEADO Referencia:  Observacion:     Placa padre: I0000691Tipo adquisicion: Entidad"</f>
        <v>Descripcion: SEPARADORES BABY FARABEUF  Estado: Bueno Placa anterior: 000032020 Material: ACERO INOXIDABLE Color: PLATEADO Referencia:  Observacion:     Placa padre: I0000691Tipo adquisicion: Entidad</v>
      </c>
      <c r="G5524" s="5"/>
    </row>
    <row r="5525" spans="1:7" ht="58.5" customHeight="1" x14ac:dyDescent="0.25">
      <c r="A5525" s="5" t="str">
        <f>"I0000704"</f>
        <v>I0000704</v>
      </c>
      <c r="B5525" s="5" t="str">
        <f>"PINZA LAHEY"</f>
        <v>PINZA LAHEY</v>
      </c>
      <c r="C5525" s="6">
        <v>250</v>
      </c>
      <c r="D5525" s="5"/>
      <c r="E5525" s="5" t="str">
        <f t="shared" si="284"/>
        <v>INSTRUMENTACION-DIANA CAICEDO-DIANA DIAZ</v>
      </c>
      <c r="F5525" s="5" t="str">
        <f>"Descripcion: PINZAS DE LAHEY Estado: Bueno Placa anterior: 000016591 Material: ACERO INOXIDABLE Color: PLATEADO Referencia:  Observacion:     Placa padre: I0000697Tipo adquisicion: Entidad"</f>
        <v>Descripcion: PINZAS DE LAHEY Estado: Bueno Placa anterior: 000016591 Material: ACERO INOXIDABLE Color: PLATEADO Referencia:  Observacion:     Placa padre: I0000697Tipo adquisicion: Entidad</v>
      </c>
      <c r="G5525" s="5"/>
    </row>
    <row r="5526" spans="1:7" ht="58.5" customHeight="1" x14ac:dyDescent="0.25">
      <c r="A5526" s="5" t="str">
        <f>"I0000705"</f>
        <v>I0000705</v>
      </c>
      <c r="B5526" s="5" t="str">
        <f>"PINZA LAHEY"</f>
        <v>PINZA LAHEY</v>
      </c>
      <c r="C5526" s="6">
        <v>250</v>
      </c>
      <c r="D5526" s="5"/>
      <c r="E5526" s="5" t="str">
        <f t="shared" si="284"/>
        <v>INSTRUMENTACION-DIANA CAICEDO-DIANA DIAZ</v>
      </c>
      <c r="F5526" s="5" t="str">
        <f>"Descripcion: PINZAS DE LAHEY Estado: Bueno Placa anterior: 000016592 Material: ACERO INOXIDABLE Color: PLATEADO Referencia:  Observacion:     Placa padre: I0000697Tipo adquisicion: Entidad"</f>
        <v>Descripcion: PINZAS DE LAHEY Estado: Bueno Placa anterior: 000016592 Material: ACERO INOXIDABLE Color: PLATEADO Referencia:  Observacion:     Placa padre: I0000697Tipo adquisicion: Entidad</v>
      </c>
      <c r="G5526" s="5"/>
    </row>
    <row r="5527" spans="1:7" ht="58.5" customHeight="1" x14ac:dyDescent="0.25">
      <c r="A5527" s="5" t="str">
        <f>"I0000706"</f>
        <v>I0000706</v>
      </c>
      <c r="B5527" s="5" t="str">
        <f>"PINZA LAHEY"</f>
        <v>PINZA LAHEY</v>
      </c>
      <c r="C5527" s="6">
        <v>250</v>
      </c>
      <c r="D5527" s="5"/>
      <c r="E5527" s="5" t="str">
        <f t="shared" si="284"/>
        <v>INSTRUMENTACION-DIANA CAICEDO-DIANA DIAZ</v>
      </c>
      <c r="F5527" s="5" t="str">
        <f>"Descripcion: PINZAS DE LAHEY Estado: Bueno Placa anterior: 000016593 Material: ACERO INOXIDABLE Color: PLATEADO Referencia:  Observacion:     Placa padre: I0000697Tipo adquisicion: Entidad"</f>
        <v>Descripcion: PINZAS DE LAHEY Estado: Bueno Placa anterior: 000016593 Material: ACERO INOXIDABLE Color: PLATEADO Referencia:  Observacion:     Placa padre: I0000697Tipo adquisicion: Entidad</v>
      </c>
      <c r="G5527" s="5"/>
    </row>
    <row r="5528" spans="1:7" ht="58.5" customHeight="1" x14ac:dyDescent="0.25">
      <c r="A5528" s="5" t="str">
        <f>"I0000707"</f>
        <v>I0000707</v>
      </c>
      <c r="B5528" s="5" t="str">
        <f>"PINZA LAHEY"</f>
        <v>PINZA LAHEY</v>
      </c>
      <c r="C5528" s="6">
        <v>162400</v>
      </c>
      <c r="D5528" s="5"/>
      <c r="E5528" s="5" t="str">
        <f t="shared" si="284"/>
        <v>INSTRUMENTACION-DIANA CAICEDO-DIANA DIAZ</v>
      </c>
      <c r="F5528" s="5" t="str">
        <f>"Descripcion: PINZAS DE LAHEY Estado: Bueno Placa anterior: 000036194 Material: ACERO INOXIDABLE Color: PLATEADO Referencia:  Observacion: PINZA LAHEY DUCTO BILIAR CURVA  Placa padre: I0000697Tipo adquisicion: Entidad"</f>
        <v>Descripcion: PINZAS DE LAHEY Estado: Bueno Placa anterior: 000036194 Material: ACERO INOXIDABLE Color: PLATEADO Referencia:  Observacion: PINZA LAHEY DUCTO BILIAR CURVA  Placa padre: I0000697Tipo adquisicion: Entidad</v>
      </c>
      <c r="G5528" s="5"/>
    </row>
    <row r="5529" spans="1:7" ht="58.5" customHeight="1" x14ac:dyDescent="0.25">
      <c r="A5529" s="5" t="str">
        <f>"I0000708"</f>
        <v>I0000708</v>
      </c>
      <c r="B5529" s="5" t="str">
        <f t="shared" ref="B5529:B5537" si="286">"PINZAS ADDER"</f>
        <v>PINZAS ADDER</v>
      </c>
      <c r="C5529" s="6">
        <v>6165.48</v>
      </c>
      <c r="D5529" s="5"/>
      <c r="E5529" s="5" t="str">
        <f t="shared" si="284"/>
        <v>INSTRUMENTACION-DIANA CAICEDO-DIANA DIAZ</v>
      </c>
      <c r="F5529" s="5" t="str">
        <f>"Descripcion: PINZAS ADDER Estado: Bueno Placa anterior: 000014573 Material: ACERO INOXIDABLE Color: PLATEADO Referencia:  Observacion:     Placa padre: I0000697Tipo adquisicion: Entidad"</f>
        <v>Descripcion: PINZAS ADDER Estado: Bueno Placa anterior: 000014573 Material: ACERO INOXIDABLE Color: PLATEADO Referencia:  Observacion:     Placa padre: I0000697Tipo adquisicion: Entidad</v>
      </c>
      <c r="G5529" s="5"/>
    </row>
    <row r="5530" spans="1:7" ht="58.5" customHeight="1" x14ac:dyDescent="0.25">
      <c r="A5530" s="5" t="str">
        <f>"I0000709"</f>
        <v>I0000709</v>
      </c>
      <c r="B5530" s="5" t="str">
        <f t="shared" si="286"/>
        <v>PINZAS ADDER</v>
      </c>
      <c r="C5530" s="6">
        <v>6165.48</v>
      </c>
      <c r="D5530" s="5"/>
      <c r="E5530" s="5" t="str">
        <f t="shared" si="284"/>
        <v>INSTRUMENTACION-DIANA CAICEDO-DIANA DIAZ</v>
      </c>
      <c r="F5530" s="5" t="str">
        <f>"Descripcion: PINZAS ADDER Estado: Bueno Placa anterior: 000014574 Material: ACERO INOXIDABLE Color: PLATEADO Referencia:  Observacion:     Placa padre: I0000697Tipo adquisicion: Entidad"</f>
        <v>Descripcion: PINZAS ADDER Estado: Bueno Placa anterior: 000014574 Material: ACERO INOXIDABLE Color: PLATEADO Referencia:  Observacion:     Placa padre: I0000697Tipo adquisicion: Entidad</v>
      </c>
      <c r="G5530" s="5"/>
    </row>
    <row r="5531" spans="1:7" ht="58.5" customHeight="1" x14ac:dyDescent="0.25">
      <c r="A5531" s="5" t="str">
        <f>"I0000711"</f>
        <v>I0000711</v>
      </c>
      <c r="B5531" s="5" t="str">
        <f t="shared" si="286"/>
        <v>PINZAS ADDER</v>
      </c>
      <c r="C5531" s="6">
        <v>6165.48</v>
      </c>
      <c r="D5531" s="5"/>
      <c r="E5531" s="5" t="str">
        <f t="shared" si="284"/>
        <v>INSTRUMENTACION-DIANA CAICEDO-DIANA DIAZ</v>
      </c>
      <c r="F5531" s="5" t="str">
        <f>"Descripcion: PINZAS ADDER Estado: Bueno Placa anterior: 000014576 Material: ACERO INOXIDABLE Color: PLATEADO Referencia:  Observacion:     Placa padre: I0000697Tipo adquisicion: Entidad"</f>
        <v>Descripcion: PINZAS ADDER Estado: Bueno Placa anterior: 000014576 Material: ACERO INOXIDABLE Color: PLATEADO Referencia:  Observacion:     Placa padre: I0000697Tipo adquisicion: Entidad</v>
      </c>
      <c r="G5531" s="5"/>
    </row>
    <row r="5532" spans="1:7" ht="58.5" customHeight="1" x14ac:dyDescent="0.25">
      <c r="A5532" s="5" t="str">
        <f>"I0000712"</f>
        <v>I0000712</v>
      </c>
      <c r="B5532" s="5" t="str">
        <f t="shared" si="286"/>
        <v>PINZAS ADDER</v>
      </c>
      <c r="C5532" s="6">
        <v>6165.48</v>
      </c>
      <c r="D5532" s="5"/>
      <c r="E5532" s="5" t="str">
        <f t="shared" si="284"/>
        <v>INSTRUMENTACION-DIANA CAICEDO-DIANA DIAZ</v>
      </c>
      <c r="F5532" s="5" t="str">
        <f>"Descripcion: PINZAS ADDER Estado: Bueno Placa anterior: 000014577 Material: ACERO INOXIDABLE Color: PLATEADO Referencia:  Observacion:     Placa padre: I0000697Tipo adquisicion: Entidad"</f>
        <v>Descripcion: PINZAS ADDER Estado: Bueno Placa anterior: 000014577 Material: ACERO INOXIDABLE Color: PLATEADO Referencia:  Observacion:     Placa padre: I0000697Tipo adquisicion: Entidad</v>
      </c>
      <c r="G5532" s="5"/>
    </row>
    <row r="5533" spans="1:7" ht="58.5" customHeight="1" x14ac:dyDescent="0.25">
      <c r="A5533" s="5" t="str">
        <f>"I0000713"</f>
        <v>I0000713</v>
      </c>
      <c r="B5533" s="5" t="str">
        <f t="shared" si="286"/>
        <v>PINZAS ADDER</v>
      </c>
      <c r="C5533" s="6">
        <v>6165.48</v>
      </c>
      <c r="D5533" s="5"/>
      <c r="E5533" s="5" t="str">
        <f t="shared" si="284"/>
        <v>INSTRUMENTACION-DIANA CAICEDO-DIANA DIAZ</v>
      </c>
      <c r="F5533" s="5" t="str">
        <f>"Descripcion: PINZAS ADDER Estado: Bueno Placa anterior: 000014578 Material: ACERO INOXIDABLE Color: PLATEADO Referencia:  Observacion:     Placa padre: I0000697Tipo adquisicion: Entidad"</f>
        <v>Descripcion: PINZAS ADDER Estado: Bueno Placa anterior: 000014578 Material: ACERO INOXIDABLE Color: PLATEADO Referencia:  Observacion:     Placa padre: I0000697Tipo adquisicion: Entidad</v>
      </c>
      <c r="G5533" s="5"/>
    </row>
    <row r="5534" spans="1:7" ht="58.5" customHeight="1" x14ac:dyDescent="0.25">
      <c r="A5534" s="5" t="str">
        <f>"I0000714"</f>
        <v>I0000714</v>
      </c>
      <c r="B5534" s="5" t="str">
        <f t="shared" si="286"/>
        <v>PINZAS ADDER</v>
      </c>
      <c r="C5534" s="6">
        <v>6165.48</v>
      </c>
      <c r="D5534" s="5"/>
      <c r="E5534" s="5" t="str">
        <f t="shared" si="284"/>
        <v>INSTRUMENTACION-DIANA CAICEDO-DIANA DIAZ</v>
      </c>
      <c r="F5534" s="5" t="str">
        <f>"Descripcion: PINZAS ADDER Estado: Bueno Placa anterior: 000014579 Material: ACERO INOXIDABLE Color: PLATEADO Referencia:  Observacion:     Placa padre: I0000697Tipo adquisicion: Entidad"</f>
        <v>Descripcion: PINZAS ADDER Estado: Bueno Placa anterior: 000014579 Material: ACERO INOXIDABLE Color: PLATEADO Referencia:  Observacion:     Placa padre: I0000697Tipo adquisicion: Entidad</v>
      </c>
      <c r="G5534" s="5"/>
    </row>
    <row r="5535" spans="1:7" ht="58.5" customHeight="1" x14ac:dyDescent="0.25">
      <c r="A5535" s="5" t="str">
        <f>"I0000715"</f>
        <v>I0000715</v>
      </c>
      <c r="B5535" s="5" t="str">
        <f t="shared" si="286"/>
        <v>PINZAS ADDER</v>
      </c>
      <c r="C5535" s="6">
        <v>6165.48</v>
      </c>
      <c r="D5535" s="5"/>
      <c r="E5535" s="5" t="str">
        <f t="shared" ref="E5535:E5598" si="287">"INSTRUMENTACION-DIANA CAICEDO-DIANA DIAZ"</f>
        <v>INSTRUMENTACION-DIANA CAICEDO-DIANA DIAZ</v>
      </c>
      <c r="F5535" s="5" t="str">
        <f>"Descripcion: PINZAS ADDER Estado: Bueno Placa anterior: 000014580 Material: ACERO INOXIDABLE Color: PLATEADO Referencia:  Observacion:     Placa padre: I0000697Tipo adquisicion: Entidad"</f>
        <v>Descripcion: PINZAS ADDER Estado: Bueno Placa anterior: 000014580 Material: ACERO INOXIDABLE Color: PLATEADO Referencia:  Observacion:     Placa padre: I0000697Tipo adquisicion: Entidad</v>
      </c>
      <c r="G5535" s="5"/>
    </row>
    <row r="5536" spans="1:7" ht="58.5" customHeight="1" x14ac:dyDescent="0.25">
      <c r="A5536" s="5" t="str">
        <f>"I0000716"</f>
        <v>I0000716</v>
      </c>
      <c r="B5536" s="5" t="str">
        <f t="shared" si="286"/>
        <v>PINZAS ADDER</v>
      </c>
      <c r="C5536" s="6">
        <v>6165.48</v>
      </c>
      <c r="D5536" s="5"/>
      <c r="E5536" s="5" t="str">
        <f t="shared" si="287"/>
        <v>INSTRUMENTACION-DIANA CAICEDO-DIANA DIAZ</v>
      </c>
      <c r="F5536" s="5" t="str">
        <f>"Descripcion: PINZAS ADDER Estado: Bueno Placa anterior: 000014581 Material: ACERO INOXIDABLE Color: PLATEADO Referencia:  Observacion:     Placa padre: I0000697Tipo adquisicion: Entidad"</f>
        <v>Descripcion: PINZAS ADDER Estado: Bueno Placa anterior: 000014581 Material: ACERO INOXIDABLE Color: PLATEADO Referencia:  Observacion:     Placa padre: I0000697Tipo adquisicion: Entidad</v>
      </c>
      <c r="G5536" s="5"/>
    </row>
    <row r="5537" spans="1:7" ht="58.5" customHeight="1" x14ac:dyDescent="0.25">
      <c r="A5537" s="5" t="str">
        <f>"I0000717"</f>
        <v>I0000717</v>
      </c>
      <c r="B5537" s="5" t="str">
        <f t="shared" si="286"/>
        <v>PINZAS ADDER</v>
      </c>
      <c r="C5537" s="6">
        <v>6165.48</v>
      </c>
      <c r="D5537" s="5"/>
      <c r="E5537" s="5" t="str">
        <f t="shared" si="287"/>
        <v>INSTRUMENTACION-DIANA CAICEDO-DIANA DIAZ</v>
      </c>
      <c r="F5537" s="5" t="str">
        <f>"Descripcion: PINZAS ADDER Estado: Bueno Placa anterior: 000014582 Material: ACERO INOXIDABLE Color: PLATEADO Referencia:  Observacion:     Placa padre: I0000697Tipo adquisicion: Entidad"</f>
        <v>Descripcion: PINZAS ADDER Estado: Bueno Placa anterior: 000014582 Material: ACERO INOXIDABLE Color: PLATEADO Referencia:  Observacion:     Placa padre: I0000697Tipo adquisicion: Entidad</v>
      </c>
      <c r="G5537" s="5"/>
    </row>
    <row r="5538" spans="1:7" ht="58.5" customHeight="1" x14ac:dyDescent="0.25">
      <c r="A5538" s="5" t="str">
        <f>"I0000718"</f>
        <v>I0000718</v>
      </c>
      <c r="B5538" s="5" t="str">
        <f t="shared" ref="B5538:B5548" si="288">"VALVAS"</f>
        <v>VALVAS</v>
      </c>
      <c r="C5538" s="6">
        <v>6165.48</v>
      </c>
      <c r="D5538" s="5"/>
      <c r="E5538" s="5" t="str">
        <f t="shared" si="287"/>
        <v>INSTRUMENTACION-DIANA CAICEDO-DIANA DIAZ</v>
      </c>
      <c r="F5538" s="5" t="str">
        <f>"Descripcion: VALVA DE MAYO O DE BALFOUR  Estado: Bueno Placa anterior: 000014583 Material: ACERO INOXIDABLE Color: PLATEADO Referencia:  Observacion:     Placa padre: I0000697Tipo adquisicion: Entidad"</f>
        <v>Descripcion: VALVA DE MAYO O DE BALFOUR  Estado: Bueno Placa anterior: 000014583 Material: ACERO INOXIDABLE Color: PLATEADO Referencia:  Observacion:     Placa padre: I0000697Tipo adquisicion: Entidad</v>
      </c>
      <c r="G5538" s="5"/>
    </row>
    <row r="5539" spans="1:7" ht="58.5" customHeight="1" x14ac:dyDescent="0.25">
      <c r="A5539" s="5" t="str">
        <f>"I0000719"</f>
        <v>I0000719</v>
      </c>
      <c r="B5539" s="5" t="str">
        <f t="shared" si="288"/>
        <v>VALVAS</v>
      </c>
      <c r="C5539" s="6">
        <v>6165.48</v>
      </c>
      <c r="D5539" s="5"/>
      <c r="E5539" s="5" t="str">
        <f t="shared" si="287"/>
        <v>INSTRUMENTACION-DIANA CAICEDO-DIANA DIAZ</v>
      </c>
      <c r="F5539" s="5" t="str">
        <f>"Descripcion: VALVA DE MAYO O DE BALFOUR  Estado: Bueno Placa anterior: 000014584 Material: ACERO INOXIDABLE Color: PLATEADO Referencia:  Observacion:     Placa padre: I0000697Tipo adquisicion: Entidad"</f>
        <v>Descripcion: VALVA DE MAYO O DE BALFOUR  Estado: Bueno Placa anterior: 000014584 Material: ACERO INOXIDABLE Color: PLATEADO Referencia:  Observacion:     Placa padre: I0000697Tipo adquisicion: Entidad</v>
      </c>
      <c r="G5539" s="5"/>
    </row>
    <row r="5540" spans="1:7" ht="58.5" customHeight="1" x14ac:dyDescent="0.25">
      <c r="A5540" s="5" t="str">
        <f>"I0000720"</f>
        <v>I0000720</v>
      </c>
      <c r="B5540" s="5" t="str">
        <f t="shared" si="288"/>
        <v>VALVAS</v>
      </c>
      <c r="C5540" s="6">
        <v>6165.48</v>
      </c>
      <c r="D5540" s="5"/>
      <c r="E5540" s="5" t="str">
        <f t="shared" si="287"/>
        <v>INSTRUMENTACION-DIANA CAICEDO-DIANA DIAZ</v>
      </c>
      <c r="F5540" s="5" t="str">
        <f>"Descripcion: VALVA DE MAYO O DE BALFOUR  Estado: Bueno Placa anterior: 000014585 Material: ACERO INOXIDABLE Color: PLATEADO Referencia:  Observacion:     Placa padre: I0000697Tipo adquisicion: Entidad"</f>
        <v>Descripcion: VALVA DE MAYO O DE BALFOUR  Estado: Bueno Placa anterior: 000014585 Material: ACERO INOXIDABLE Color: PLATEADO Referencia:  Observacion:     Placa padre: I0000697Tipo adquisicion: Entidad</v>
      </c>
      <c r="G5540" s="5"/>
    </row>
    <row r="5541" spans="1:7" ht="58.5" customHeight="1" x14ac:dyDescent="0.25">
      <c r="A5541" s="5" t="str">
        <f>"I0000721"</f>
        <v>I0000721</v>
      </c>
      <c r="B5541" s="5" t="str">
        <f t="shared" si="288"/>
        <v>VALVAS</v>
      </c>
      <c r="C5541" s="6">
        <v>6165.48</v>
      </c>
      <c r="D5541" s="5"/>
      <c r="E5541" s="5" t="str">
        <f t="shared" si="287"/>
        <v>INSTRUMENTACION-DIANA CAICEDO-DIANA DIAZ</v>
      </c>
      <c r="F5541" s="5" t="str">
        <f>"Descripcion: VALVA DE MAYO O DE BALFOUR  Estado: Bueno Placa anterior: 000014586 Material: ACERO INOXIDABLE Color: PLATEADO Referencia:  Observacion:     Placa padre: I0000697Tipo adquisicion: Entidad"</f>
        <v>Descripcion: VALVA DE MAYO O DE BALFOUR  Estado: Bueno Placa anterior: 000014586 Material: ACERO INOXIDABLE Color: PLATEADO Referencia:  Observacion:     Placa padre: I0000697Tipo adquisicion: Entidad</v>
      </c>
      <c r="G5541" s="5"/>
    </row>
    <row r="5542" spans="1:7" ht="58.5" customHeight="1" x14ac:dyDescent="0.25">
      <c r="A5542" s="5" t="str">
        <f>"I0000722"</f>
        <v>I0000722</v>
      </c>
      <c r="B5542" s="5" t="str">
        <f t="shared" si="288"/>
        <v>VALVAS</v>
      </c>
      <c r="C5542" s="6">
        <v>55512</v>
      </c>
      <c r="D5542" s="5"/>
      <c r="E5542" s="5" t="str">
        <f t="shared" si="287"/>
        <v>INSTRUMENTACION-DIANA CAICEDO-DIANA DIAZ</v>
      </c>
      <c r="F5542" s="5" t="str">
        <f>"Descripcion: VALVA DE MAYO O DE BALFOUR  Estado: Bueno Placa anterior: 000015953 Material: ACERO INOXIDABLE Color: PLATEADO Referencia:  Observacion: SEPARADORES DE VALFOUR PEQUEÑOS CON VALVA  Placa padre: I0000697Tipo adquisicion: Entidad"</f>
        <v>Descripcion: VALVA DE MAYO O DE BALFOUR  Estado: Bueno Placa anterior: 000015953 Material: ACERO INOXIDABLE Color: PLATEADO Referencia:  Observacion: SEPARADORES DE VALFOUR PEQUEÑOS CON VALVA  Placa padre: I0000697Tipo adquisicion: Entidad</v>
      </c>
      <c r="G5542" s="5"/>
    </row>
    <row r="5543" spans="1:7" ht="58.5" customHeight="1" x14ac:dyDescent="0.25">
      <c r="A5543" s="5" t="str">
        <f>"I0000723"</f>
        <v>I0000723</v>
      </c>
      <c r="B5543" s="5" t="str">
        <f t="shared" si="288"/>
        <v>VALVAS</v>
      </c>
      <c r="C5543" s="6">
        <v>55512</v>
      </c>
      <c r="D5543" s="5"/>
      <c r="E5543" s="5" t="str">
        <f t="shared" si="287"/>
        <v>INSTRUMENTACION-DIANA CAICEDO-DIANA DIAZ</v>
      </c>
      <c r="F5543" s="5" t="str">
        <f>"Descripcion: VALVA DE MAYO O DE BALFOUR  Estado: Bueno Placa anterior: 000015952 Material: ACERO INOXIDABLE Color: PLATEADO Referencia:  Observacion: SEPARADORES DE VALFOUR PEQUEÑOS CON VALVA  Placa padre: I0000697Tipo adquisicion: Entidad"</f>
        <v>Descripcion: VALVA DE MAYO O DE BALFOUR  Estado: Bueno Placa anterior: 000015952 Material: ACERO INOXIDABLE Color: PLATEADO Referencia:  Observacion: SEPARADORES DE VALFOUR PEQUEÑOS CON VALVA  Placa padre: I0000697Tipo adquisicion: Entidad</v>
      </c>
      <c r="G5543" s="5"/>
    </row>
    <row r="5544" spans="1:7" ht="58.5" customHeight="1" x14ac:dyDescent="0.25">
      <c r="A5544" s="5" t="str">
        <f>"I0000725"</f>
        <v>I0000725</v>
      </c>
      <c r="B5544" s="5" t="str">
        <f t="shared" si="288"/>
        <v>VALVAS</v>
      </c>
      <c r="C5544" s="6">
        <v>500</v>
      </c>
      <c r="D5544" s="5"/>
      <c r="E5544" s="5" t="str">
        <f t="shared" si="287"/>
        <v>INSTRUMENTACION-DIANA CAICEDO-DIANA DIAZ</v>
      </c>
      <c r="F5544" s="5" t="str">
        <f>"Descripcion: VALVAS MALEABLES Estado: Bueno Placa anterior: 000014589 Material: ACERO INOXIDABLE Color: PLATEADO Referencia:  Observacion:     Placa padre: I0000697Tipo adquisicion: Entidad"</f>
        <v>Descripcion: VALVAS MALEABLES Estado: Bueno Placa anterior: 000014589 Material: ACERO INOXIDABLE Color: PLATEADO Referencia:  Observacion:     Placa padre: I0000697Tipo adquisicion: Entidad</v>
      </c>
      <c r="G5544" s="5"/>
    </row>
    <row r="5545" spans="1:7" ht="58.5" customHeight="1" x14ac:dyDescent="0.25">
      <c r="A5545" s="5" t="str">
        <f>"I0000726"</f>
        <v>I0000726</v>
      </c>
      <c r="B5545" s="5" t="str">
        <f t="shared" si="288"/>
        <v>VALVAS</v>
      </c>
      <c r="C5545" s="6">
        <v>500</v>
      </c>
      <c r="D5545" s="5"/>
      <c r="E5545" s="5" t="str">
        <f t="shared" si="287"/>
        <v>INSTRUMENTACION-DIANA CAICEDO-DIANA DIAZ</v>
      </c>
      <c r="F5545" s="5" t="str">
        <f>"Descripcion: VALVAS MALEABLES Estado: Bueno Placa anterior: 000014590 Material: ACERO INOXIDABLE Color: PLATEADO Referencia:  Observacion:     Placa padre: I0000697Tipo adquisicion: Entidad"</f>
        <v>Descripcion: VALVAS MALEABLES Estado: Bueno Placa anterior: 000014590 Material: ACERO INOXIDABLE Color: PLATEADO Referencia:  Observacion:     Placa padre: I0000697Tipo adquisicion: Entidad</v>
      </c>
      <c r="G5545" s="5"/>
    </row>
    <row r="5546" spans="1:7" ht="58.5" customHeight="1" x14ac:dyDescent="0.25">
      <c r="A5546" s="5" t="str">
        <f>"I0000727"</f>
        <v>I0000727</v>
      </c>
      <c r="B5546" s="5" t="str">
        <f t="shared" si="288"/>
        <v>VALVAS</v>
      </c>
      <c r="C5546" s="6">
        <v>500</v>
      </c>
      <c r="D5546" s="5"/>
      <c r="E5546" s="5" t="str">
        <f t="shared" si="287"/>
        <v>INSTRUMENTACION-DIANA CAICEDO-DIANA DIAZ</v>
      </c>
      <c r="F5546" s="5" t="str">
        <f>"Descripcion: VALVAS MALEABLES Estado: Bueno Placa anterior: 000014591 Material: ACERO INOXIDABLE Color: PLATEADO Referencia:  Observacion:     Placa padre: I0000697Tipo adquisicion: Entidad"</f>
        <v>Descripcion: VALVAS MALEABLES Estado: Bueno Placa anterior: 000014591 Material: ACERO INOXIDABLE Color: PLATEADO Referencia:  Observacion:     Placa padre: I0000697Tipo adquisicion: Entidad</v>
      </c>
      <c r="G5546" s="5"/>
    </row>
    <row r="5547" spans="1:7" ht="58.5" customHeight="1" x14ac:dyDescent="0.25">
      <c r="A5547" s="5" t="str">
        <f>"I0000728"</f>
        <v>I0000728</v>
      </c>
      <c r="B5547" s="5" t="str">
        <f t="shared" si="288"/>
        <v>VALVAS</v>
      </c>
      <c r="C5547" s="6">
        <v>500</v>
      </c>
      <c r="D5547" s="5"/>
      <c r="E5547" s="5" t="str">
        <f t="shared" si="287"/>
        <v>INSTRUMENTACION-DIANA CAICEDO-DIANA DIAZ</v>
      </c>
      <c r="F5547" s="5" t="str">
        <f>"Descripcion: VALVAS MALEABLES Estado: Bueno Placa anterior: 000014592 Material: ACERO INOXIDABLE Color: PLATEADO Referencia:  Observacion:     Placa padre: I0000697Tipo adquisicion: Entidad"</f>
        <v>Descripcion: VALVAS MALEABLES Estado: Bueno Placa anterior: 000014592 Material: ACERO INOXIDABLE Color: PLATEADO Referencia:  Observacion:     Placa padre: I0000697Tipo adquisicion: Entidad</v>
      </c>
      <c r="G5547" s="5"/>
    </row>
    <row r="5548" spans="1:7" ht="58.5" customHeight="1" x14ac:dyDescent="0.25">
      <c r="A5548" s="5" t="str">
        <f>"I0000729"</f>
        <v>I0000729</v>
      </c>
      <c r="B5548" s="5" t="str">
        <f t="shared" si="288"/>
        <v>VALVAS</v>
      </c>
      <c r="C5548" s="6">
        <v>500</v>
      </c>
      <c r="D5548" s="5"/>
      <c r="E5548" s="5" t="str">
        <f t="shared" si="287"/>
        <v>INSTRUMENTACION-DIANA CAICEDO-DIANA DIAZ</v>
      </c>
      <c r="F5548" s="5" t="str">
        <f>"Descripcion: VALVAS MALEABLES Estado: Bueno Placa anterior: 000014593 Material: ACERO INOXIDABLE Color: PLATEADO Referencia:  Observacion:     Placa padre: I0000697Tipo adquisicion: Entidad"</f>
        <v>Descripcion: VALVAS MALEABLES Estado: Bueno Placa anterior: 000014593 Material: ACERO INOXIDABLE Color: PLATEADO Referencia:  Observacion:     Placa padre: I0000697Tipo adquisicion: Entidad</v>
      </c>
      <c r="G5548" s="5"/>
    </row>
    <row r="5549" spans="1:7" ht="58.5" customHeight="1" x14ac:dyDescent="0.25">
      <c r="A5549" s="5" t="str">
        <f>"I0000731"</f>
        <v>I0000731</v>
      </c>
      <c r="B5549" s="5" t="str">
        <f t="shared" ref="B5549:B5554" si="289">"SEPARADOR DE RICHARDSON PEQUEÑO"</f>
        <v>SEPARADOR DE RICHARDSON PEQUEÑO</v>
      </c>
      <c r="C5549" s="6">
        <v>180</v>
      </c>
      <c r="D5549" s="5"/>
      <c r="E5549" s="5" t="str">
        <f t="shared" si="287"/>
        <v>INSTRUMENTACION-DIANA CAICEDO-DIANA DIAZ</v>
      </c>
      <c r="F5549" s="5" t="str">
        <f>"Descripcion: SEPARADORES DE RICHARDSON Estado: Bueno Placa anterior: 000014595 Material: ACERO INOXIDABLE Color: PLATEADO Referencia:  Observacion:     Placa padre: I0000697Tipo adquisicion: Entidad"</f>
        <v>Descripcion: SEPARADORES DE RICHARDSON Estado: Bueno Placa anterior: 000014595 Material: ACERO INOXIDABLE Color: PLATEADO Referencia:  Observacion:     Placa padre: I0000697Tipo adquisicion: Entidad</v>
      </c>
      <c r="G5549" s="5"/>
    </row>
    <row r="5550" spans="1:7" ht="58.5" customHeight="1" x14ac:dyDescent="0.25">
      <c r="A5550" s="5" t="str">
        <f>"I0000732"</f>
        <v>I0000732</v>
      </c>
      <c r="B5550" s="5" t="str">
        <f t="shared" si="289"/>
        <v>SEPARADOR DE RICHARDSON PEQUEÑO</v>
      </c>
      <c r="C5550" s="6">
        <v>180</v>
      </c>
      <c r="D5550" s="5"/>
      <c r="E5550" s="5" t="str">
        <f t="shared" si="287"/>
        <v>INSTRUMENTACION-DIANA CAICEDO-DIANA DIAZ</v>
      </c>
      <c r="F5550" s="5" t="str">
        <f>"Descripcion: SEPARADORES DE RICHARDSON Estado: Bueno Placa anterior: 000014596 Material: ACERO INOXIDABLE Color: PLATEADO Referencia:  Observacion:     Placa padre: I0000697Tipo adquisicion: Entidad"</f>
        <v>Descripcion: SEPARADORES DE RICHARDSON Estado: Bueno Placa anterior: 000014596 Material: ACERO INOXIDABLE Color: PLATEADO Referencia:  Observacion:     Placa padre: I0000697Tipo adquisicion: Entidad</v>
      </c>
      <c r="G5550" s="5"/>
    </row>
    <row r="5551" spans="1:7" ht="58.5" customHeight="1" x14ac:dyDescent="0.25">
      <c r="A5551" s="5" t="str">
        <f>"I0000733"</f>
        <v>I0000733</v>
      </c>
      <c r="B5551" s="5" t="str">
        <f t="shared" si="289"/>
        <v>SEPARADOR DE RICHARDSON PEQUEÑO</v>
      </c>
      <c r="C5551" s="6">
        <v>180</v>
      </c>
      <c r="D5551" s="5"/>
      <c r="E5551" s="5" t="str">
        <f t="shared" si="287"/>
        <v>INSTRUMENTACION-DIANA CAICEDO-DIANA DIAZ</v>
      </c>
      <c r="F5551" s="5" t="str">
        <f>"Descripcion: SEPARADORES DE RICHARDSON Estado: Bueno Placa anterior: 000014597 Material: ACERO INOXIDABLE Color: PLATEADO Referencia:  Observacion:     Placa padre: I0000697Tipo adquisicion: Entidad"</f>
        <v>Descripcion: SEPARADORES DE RICHARDSON Estado: Bueno Placa anterior: 000014597 Material: ACERO INOXIDABLE Color: PLATEADO Referencia:  Observacion:     Placa padre: I0000697Tipo adquisicion: Entidad</v>
      </c>
      <c r="G5551" s="5"/>
    </row>
    <row r="5552" spans="1:7" ht="58.5" customHeight="1" x14ac:dyDescent="0.25">
      <c r="A5552" s="5" t="str">
        <f>"I0000734"</f>
        <v>I0000734</v>
      </c>
      <c r="B5552" s="5" t="str">
        <f t="shared" si="289"/>
        <v>SEPARADOR DE RICHARDSON PEQUEÑO</v>
      </c>
      <c r="C5552" s="6">
        <v>180</v>
      </c>
      <c r="D5552" s="5"/>
      <c r="E5552" s="5" t="str">
        <f t="shared" si="287"/>
        <v>INSTRUMENTACION-DIANA CAICEDO-DIANA DIAZ</v>
      </c>
      <c r="F5552" s="5" t="str">
        <f>"Descripcion: SEPARADORES DE RICHARDSON Estado: Bueno Placa anterior: 000014598 Material: ACERO INOXIDABLE Color: PLATEADO Referencia:  Observacion:     Placa padre: I0000697Tipo adquisicion: Entidad"</f>
        <v>Descripcion: SEPARADORES DE RICHARDSON Estado: Bueno Placa anterior: 000014598 Material: ACERO INOXIDABLE Color: PLATEADO Referencia:  Observacion:     Placa padre: I0000697Tipo adquisicion: Entidad</v>
      </c>
      <c r="G5552" s="5"/>
    </row>
    <row r="5553" spans="1:7" ht="58.5" customHeight="1" x14ac:dyDescent="0.25">
      <c r="A5553" s="5" t="str">
        <f>"I0000735"</f>
        <v>I0000735</v>
      </c>
      <c r="B5553" s="5" t="str">
        <f t="shared" si="289"/>
        <v>SEPARADOR DE RICHARDSON PEQUEÑO</v>
      </c>
      <c r="C5553" s="6">
        <v>180</v>
      </c>
      <c r="D5553" s="5"/>
      <c r="E5553" s="5" t="str">
        <f t="shared" si="287"/>
        <v>INSTRUMENTACION-DIANA CAICEDO-DIANA DIAZ</v>
      </c>
      <c r="F5553" s="5" t="str">
        <f>"Descripcion: SEPARADORES DE RICHARDSON Estado: Bueno Placa anterior: 000014599 Material: ACERO INOXIDABLE Color: PLATEADO Referencia:  Observacion:     Placa padre: I0000697Tipo adquisicion: Entidad"</f>
        <v>Descripcion: SEPARADORES DE RICHARDSON Estado: Bueno Placa anterior: 000014599 Material: ACERO INOXIDABLE Color: PLATEADO Referencia:  Observacion:     Placa padre: I0000697Tipo adquisicion: Entidad</v>
      </c>
      <c r="G5553" s="5"/>
    </row>
    <row r="5554" spans="1:7" ht="58.5" customHeight="1" x14ac:dyDescent="0.25">
      <c r="A5554" s="5" t="str">
        <f>"I0000736"</f>
        <v>I0000736</v>
      </c>
      <c r="B5554" s="5" t="str">
        <f t="shared" si="289"/>
        <v>SEPARADOR DE RICHARDSON PEQUEÑO</v>
      </c>
      <c r="C5554" s="6">
        <v>180</v>
      </c>
      <c r="D5554" s="5"/>
      <c r="E5554" s="5" t="str">
        <f t="shared" si="287"/>
        <v>INSTRUMENTACION-DIANA CAICEDO-DIANA DIAZ</v>
      </c>
      <c r="F5554" s="5" t="str">
        <f>"Descripcion: SEPARADORES DE RICHARDSON Estado: Bueno Placa anterior: 000014600 Material: ACERO INOXIDABLE Color: PLATEADO Referencia:  Observacion:     Placa padre: I0000697Tipo adquisicion: Entidad"</f>
        <v>Descripcion: SEPARADORES DE RICHARDSON Estado: Bueno Placa anterior: 000014600 Material: ACERO INOXIDABLE Color: PLATEADO Referencia:  Observacion:     Placa padre: I0000697Tipo adquisicion: Entidad</v>
      </c>
      <c r="G5554" s="5"/>
    </row>
    <row r="5555" spans="1:7" ht="58.5" customHeight="1" x14ac:dyDescent="0.25">
      <c r="A5555" s="5" t="str">
        <f>"I0000737"</f>
        <v>I0000737</v>
      </c>
      <c r="B5555" s="5" t="str">
        <f t="shared" ref="B5555:B5571" si="290">"SEPARADOR DE PAREDES (DEAVER)"</f>
        <v>SEPARADOR DE PAREDES (DEAVER)</v>
      </c>
      <c r="C5555" s="6">
        <v>2388.89</v>
      </c>
      <c r="D5555" s="5"/>
      <c r="E5555" s="5" t="str">
        <f t="shared" si="287"/>
        <v>INSTRUMENTACION-DIANA CAICEDO-DIANA DIAZ</v>
      </c>
      <c r="F5555" s="5" t="str">
        <f>"Descripcion: SEPARADORES DE DEAVERS (ANCHO Y MEDIANO) Estado: Bueno Placa anterior: 000014606 Material: ACERO INOXIDABLE Color: PLATEADO Referencia:  Observacion: VALVAS DE DEAVER  Placa padre: I0000697Tipo adquisicion: Entidad"</f>
        <v>Descripcion: SEPARADORES DE DEAVERS (ANCHO Y MEDIANO) Estado: Bueno Placa anterior: 000014606 Material: ACERO INOXIDABLE Color: PLATEADO Referencia:  Observacion: VALVAS DE DEAVER  Placa padre: I0000697Tipo adquisicion: Entidad</v>
      </c>
      <c r="G5555" s="5"/>
    </row>
    <row r="5556" spans="1:7" ht="58.5" customHeight="1" x14ac:dyDescent="0.25">
      <c r="A5556" s="5" t="str">
        <f>"I0000738"</f>
        <v>I0000738</v>
      </c>
      <c r="B5556" s="5" t="str">
        <f t="shared" si="290"/>
        <v>SEPARADOR DE PAREDES (DEAVER)</v>
      </c>
      <c r="C5556" s="6">
        <v>2388.89</v>
      </c>
      <c r="D5556" s="5"/>
      <c r="E5556" s="5" t="str">
        <f t="shared" si="287"/>
        <v>INSTRUMENTACION-DIANA CAICEDO-DIANA DIAZ</v>
      </c>
      <c r="F5556" s="5" t="str">
        <f>"Descripcion: SEPARADORES DE DEAVERS (ANCHO Y MEDIANO) Estado: Bueno Placa anterior: 000014607 Material: ACERO INOXIDABLE Color: PLATEADO Referencia:  Observacion: VALVAS DE DEAVER  Placa padre: I0000697Tipo adquisicion: Entidad"</f>
        <v>Descripcion: SEPARADORES DE DEAVERS (ANCHO Y MEDIANO) Estado: Bueno Placa anterior: 000014607 Material: ACERO INOXIDABLE Color: PLATEADO Referencia:  Observacion: VALVAS DE DEAVER  Placa padre: I0000697Tipo adquisicion: Entidad</v>
      </c>
      <c r="G5556" s="5"/>
    </row>
    <row r="5557" spans="1:7" ht="58.5" customHeight="1" x14ac:dyDescent="0.25">
      <c r="A5557" s="5" t="str">
        <f>"I0000739"</f>
        <v>I0000739</v>
      </c>
      <c r="B5557" s="5" t="str">
        <f t="shared" si="290"/>
        <v>SEPARADOR DE PAREDES (DEAVER)</v>
      </c>
      <c r="C5557" s="6">
        <v>2388.89</v>
      </c>
      <c r="D5557" s="5"/>
      <c r="E5557" s="5" t="str">
        <f t="shared" si="287"/>
        <v>INSTRUMENTACION-DIANA CAICEDO-DIANA DIAZ</v>
      </c>
      <c r="F5557" s="5" t="str">
        <f>"Descripcion: SEPARADORES DE DEAVERS (ANCHO Y MEDIANO) Estado: Bueno Placa anterior: 000014608 Material: ACERO INOXIDABLE Color: PLATEADO Referencia:  Observacion: VALVAS DE DEAVER  Placa padre: I0000697Tipo adquisicion: Entidad"</f>
        <v>Descripcion: SEPARADORES DE DEAVERS (ANCHO Y MEDIANO) Estado: Bueno Placa anterior: 000014608 Material: ACERO INOXIDABLE Color: PLATEADO Referencia:  Observacion: VALVAS DE DEAVER  Placa padre: I0000697Tipo adquisicion: Entidad</v>
      </c>
      <c r="G5557" s="5"/>
    </row>
    <row r="5558" spans="1:7" ht="58.5" customHeight="1" x14ac:dyDescent="0.25">
      <c r="A5558" s="5" t="str">
        <f>"I0000740"</f>
        <v>I0000740</v>
      </c>
      <c r="B5558" s="5" t="str">
        <f t="shared" si="290"/>
        <v>SEPARADOR DE PAREDES (DEAVER)</v>
      </c>
      <c r="C5558" s="6">
        <v>2388.89</v>
      </c>
      <c r="D5558" s="5"/>
      <c r="E5558" s="5" t="str">
        <f t="shared" si="287"/>
        <v>INSTRUMENTACION-DIANA CAICEDO-DIANA DIAZ</v>
      </c>
      <c r="F5558" s="5" t="str">
        <f>"Descripcion: SEPARADORES DE DEAVERS (ANCHO Y MEDIANO) Estado: Bueno Placa anterior: 000014620 Material: ACERO INOXIDABLE Color: PLATEADO Referencia:  Observacion: VALVAS DE DEAVER  Placa padre: I0000697Tipo adquisicion: Entidad"</f>
        <v>Descripcion: SEPARADORES DE DEAVERS (ANCHO Y MEDIANO) Estado: Bueno Placa anterior: 000014620 Material: ACERO INOXIDABLE Color: PLATEADO Referencia:  Observacion: VALVAS DE DEAVER  Placa padre: I0000697Tipo adquisicion: Entidad</v>
      </c>
      <c r="G5558" s="5"/>
    </row>
    <row r="5559" spans="1:7" ht="58.5" customHeight="1" x14ac:dyDescent="0.25">
      <c r="A5559" s="5" t="str">
        <f>"I0000741"</f>
        <v>I0000741</v>
      </c>
      <c r="B5559" s="5" t="str">
        <f t="shared" si="290"/>
        <v>SEPARADOR DE PAREDES (DEAVER)</v>
      </c>
      <c r="C5559" s="6">
        <v>2388.89</v>
      </c>
      <c r="D5559" s="5"/>
      <c r="E5559" s="5" t="str">
        <f t="shared" si="287"/>
        <v>INSTRUMENTACION-DIANA CAICEDO-DIANA DIAZ</v>
      </c>
      <c r="F5559" s="5" t="str">
        <f>"Descripcion: SEPARADORES DE DEAVERS (ANCHO Y MEDIANO) Estado: Bueno Placa anterior: 000014621 Material: ACERO INOXIDABLE Color: PLATEADO Referencia:  Observacion: VALVAS DE DEAVER Placa padre: I0000697Tipo adquisicion: Entidad"</f>
        <v>Descripcion: SEPARADORES DE DEAVERS (ANCHO Y MEDIANO) Estado: Bueno Placa anterior: 000014621 Material: ACERO INOXIDABLE Color: PLATEADO Referencia:  Observacion: VALVAS DE DEAVER Placa padre: I0000697Tipo adquisicion: Entidad</v>
      </c>
      <c r="G5559" s="5"/>
    </row>
    <row r="5560" spans="1:7" ht="58.5" customHeight="1" x14ac:dyDescent="0.25">
      <c r="A5560" s="5" t="str">
        <f>"I0000742"</f>
        <v>I0000742</v>
      </c>
      <c r="B5560" s="5" t="str">
        <f t="shared" si="290"/>
        <v>SEPARADOR DE PAREDES (DEAVER)</v>
      </c>
      <c r="C5560" s="6">
        <v>2388.89</v>
      </c>
      <c r="D5560" s="5"/>
      <c r="E5560" s="5" t="str">
        <f t="shared" si="287"/>
        <v>INSTRUMENTACION-DIANA CAICEDO-DIANA DIAZ</v>
      </c>
      <c r="F5560" s="5" t="str">
        <f>"Descripcion: SEPARADORES DE DEAVERS (ANCHO Y MEDIANO) Estado: Bueno Placa anterior: 000014609 Material: ACERO INOXIDABLE Color: PLATEADO Referencia:  Observacion: VALVAS DE DEAVER  Placa padre: I0000697Tipo adquisicion: Entidad"</f>
        <v>Descripcion: SEPARADORES DE DEAVERS (ANCHO Y MEDIANO) Estado: Bueno Placa anterior: 000014609 Material: ACERO INOXIDABLE Color: PLATEADO Referencia:  Observacion: VALVAS DE DEAVER  Placa padre: I0000697Tipo adquisicion: Entidad</v>
      </c>
      <c r="G5560" s="5"/>
    </row>
    <row r="5561" spans="1:7" ht="58.5" customHeight="1" x14ac:dyDescent="0.25">
      <c r="A5561" s="5" t="str">
        <f>"I0000743"</f>
        <v>I0000743</v>
      </c>
      <c r="B5561" s="5" t="str">
        <f t="shared" si="290"/>
        <v>SEPARADOR DE PAREDES (DEAVER)</v>
      </c>
      <c r="C5561" s="6">
        <v>2388.89</v>
      </c>
      <c r="D5561" s="5"/>
      <c r="E5561" s="5" t="str">
        <f t="shared" si="287"/>
        <v>INSTRUMENTACION-DIANA CAICEDO-DIANA DIAZ</v>
      </c>
      <c r="F5561" s="5" t="str">
        <f>"Descripcion: SEPARADORES DE DEAVERS (ANCHO Y MEDIANO) Estado: Bueno Placa anterior: 000014610 Material: ACERO INOXIDABLE Color: PLATEADO Referencia:  Observacion: VALVAS DE DEAVER  Placa padre: I0000697Tipo adquisicion: Entidad"</f>
        <v>Descripcion: SEPARADORES DE DEAVERS (ANCHO Y MEDIANO) Estado: Bueno Placa anterior: 000014610 Material: ACERO INOXIDABLE Color: PLATEADO Referencia:  Observacion: VALVAS DE DEAVER  Placa padre: I0000697Tipo adquisicion: Entidad</v>
      </c>
      <c r="G5561" s="5"/>
    </row>
    <row r="5562" spans="1:7" ht="58.5" customHeight="1" x14ac:dyDescent="0.25">
      <c r="A5562" s="5" t="str">
        <f>"I0000744"</f>
        <v>I0000744</v>
      </c>
      <c r="B5562" s="5" t="str">
        <f t="shared" si="290"/>
        <v>SEPARADOR DE PAREDES (DEAVER)</v>
      </c>
      <c r="C5562" s="6">
        <v>2388.89</v>
      </c>
      <c r="D5562" s="5"/>
      <c r="E5562" s="5" t="str">
        <f t="shared" si="287"/>
        <v>INSTRUMENTACION-DIANA CAICEDO-DIANA DIAZ</v>
      </c>
      <c r="F5562" s="5" t="str">
        <f>"Descripcion: SEPARADORES DE DEAVERS (ANCHO Y MEDIANO) Estado: Bueno Placa anterior: 000014611 Material: ACERO INOXIDABLE Color: PLATEADO Referencia:  Observacion: VALVAS DE DEAVER  Placa padre: I0000697Tipo adquisicion: Entidad"</f>
        <v>Descripcion: SEPARADORES DE DEAVERS (ANCHO Y MEDIANO) Estado: Bueno Placa anterior: 000014611 Material: ACERO INOXIDABLE Color: PLATEADO Referencia:  Observacion: VALVAS DE DEAVER  Placa padre: I0000697Tipo adquisicion: Entidad</v>
      </c>
      <c r="G5562" s="5"/>
    </row>
    <row r="5563" spans="1:7" ht="58.5" customHeight="1" x14ac:dyDescent="0.25">
      <c r="A5563" s="5" t="str">
        <f>"I0000745"</f>
        <v>I0000745</v>
      </c>
      <c r="B5563" s="5" t="str">
        <f t="shared" si="290"/>
        <v>SEPARADOR DE PAREDES (DEAVER)</v>
      </c>
      <c r="C5563" s="6">
        <v>2388.89</v>
      </c>
      <c r="D5563" s="5"/>
      <c r="E5563" s="5" t="str">
        <f t="shared" si="287"/>
        <v>INSTRUMENTACION-DIANA CAICEDO-DIANA DIAZ</v>
      </c>
      <c r="F5563" s="5" t="str">
        <f>"Descripcion: SEPARADORES DE DEAVERS (ANCHO Y MEDIANO) Estado: Bueno Placa anterior: 000014612 Material: ACERO INOXIDABLE Color: PLATEADO Referencia:  Observacion: VALVAS DE DEAVER  Placa padre: I0000697Tipo adquisicion: Entidad"</f>
        <v>Descripcion: SEPARADORES DE DEAVERS (ANCHO Y MEDIANO) Estado: Bueno Placa anterior: 000014612 Material: ACERO INOXIDABLE Color: PLATEADO Referencia:  Observacion: VALVAS DE DEAVER  Placa padre: I0000697Tipo adquisicion: Entidad</v>
      </c>
      <c r="G5563" s="5"/>
    </row>
    <row r="5564" spans="1:7" ht="58.5" customHeight="1" x14ac:dyDescent="0.25">
      <c r="A5564" s="5" t="str">
        <f>"I0000746"</f>
        <v>I0000746</v>
      </c>
      <c r="B5564" s="5" t="str">
        <f t="shared" si="290"/>
        <v>SEPARADOR DE PAREDES (DEAVER)</v>
      </c>
      <c r="C5564" s="6">
        <v>2388.89</v>
      </c>
      <c r="D5564" s="5"/>
      <c r="E5564" s="5" t="str">
        <f t="shared" si="287"/>
        <v>INSTRUMENTACION-DIANA CAICEDO-DIANA DIAZ</v>
      </c>
      <c r="F5564" s="5" t="str">
        <f>"Descripcion: SEPARADORES DE DEAVERS (ANCHO Y MEDIANO) Estado: Bueno Placa anterior: 000014613 Material: ACERO INOXIDABLE Color: PLATEADO Referencia:  Observacion: VALVAS DE DEAVER  Placa padre: I0000697Tipo adquisicion: Entidad"</f>
        <v>Descripcion: SEPARADORES DE DEAVERS (ANCHO Y MEDIANO) Estado: Bueno Placa anterior: 000014613 Material: ACERO INOXIDABLE Color: PLATEADO Referencia:  Observacion: VALVAS DE DEAVER  Placa padre: I0000697Tipo adquisicion: Entidad</v>
      </c>
      <c r="G5564" s="5"/>
    </row>
    <row r="5565" spans="1:7" ht="58.5" customHeight="1" x14ac:dyDescent="0.25">
      <c r="A5565" s="5" t="str">
        <f>"I0000747"</f>
        <v>I0000747</v>
      </c>
      <c r="B5565" s="5" t="str">
        <f t="shared" si="290"/>
        <v>SEPARADOR DE PAREDES (DEAVER)</v>
      </c>
      <c r="C5565" s="6">
        <v>2388.89</v>
      </c>
      <c r="D5565" s="5"/>
      <c r="E5565" s="5" t="str">
        <f t="shared" si="287"/>
        <v>INSTRUMENTACION-DIANA CAICEDO-DIANA DIAZ</v>
      </c>
      <c r="F5565" s="5" t="str">
        <f>"Descripcion: SEPARADORES DE DEAVERS (ANCHO Y MEDIANO) Estado: Bueno Placa anterior: 000014614 Material: ACERO INOXIDABLE Color: PLATEADO Referencia:  Observacion: VALVAS DE DEAVER  Placa padre: I0000697Tipo adquisicion: Entidad"</f>
        <v>Descripcion: SEPARADORES DE DEAVERS (ANCHO Y MEDIANO) Estado: Bueno Placa anterior: 000014614 Material: ACERO INOXIDABLE Color: PLATEADO Referencia:  Observacion: VALVAS DE DEAVER  Placa padre: I0000697Tipo adquisicion: Entidad</v>
      </c>
      <c r="G5565" s="5"/>
    </row>
    <row r="5566" spans="1:7" ht="58.5" customHeight="1" x14ac:dyDescent="0.25">
      <c r="A5566" s="5" t="str">
        <f>"I0000748"</f>
        <v>I0000748</v>
      </c>
      <c r="B5566" s="5" t="str">
        <f t="shared" si="290"/>
        <v>SEPARADOR DE PAREDES (DEAVER)</v>
      </c>
      <c r="C5566" s="6">
        <v>2388.89</v>
      </c>
      <c r="D5566" s="5"/>
      <c r="E5566" s="5" t="str">
        <f t="shared" si="287"/>
        <v>INSTRUMENTACION-DIANA CAICEDO-DIANA DIAZ</v>
      </c>
      <c r="F5566" s="5" t="str">
        <f>"Descripcion: SEPARADORES DE DEAVERS (ANCHO Y MEDIANO) Estado: Bueno Placa anterior: 000014619 Material: ACERO INOXIDABLE Color: PLATEADO Referencia:  Observacion: VALVAS DE DEAVER  Placa padre: I0000697Tipo adquisicion: Entidad"</f>
        <v>Descripcion: SEPARADORES DE DEAVERS (ANCHO Y MEDIANO) Estado: Bueno Placa anterior: 000014619 Material: ACERO INOXIDABLE Color: PLATEADO Referencia:  Observacion: VALVAS DE DEAVER  Placa padre: I0000697Tipo adquisicion: Entidad</v>
      </c>
      <c r="G5566" s="5"/>
    </row>
    <row r="5567" spans="1:7" ht="58.5" customHeight="1" x14ac:dyDescent="0.25">
      <c r="A5567" s="5" t="str">
        <f>"I0000749"</f>
        <v>I0000749</v>
      </c>
      <c r="B5567" s="5" t="str">
        <f t="shared" si="290"/>
        <v>SEPARADOR DE PAREDES (DEAVER)</v>
      </c>
      <c r="C5567" s="6">
        <v>2388.89</v>
      </c>
      <c r="D5567" s="5"/>
      <c r="E5567" s="5" t="str">
        <f t="shared" si="287"/>
        <v>INSTRUMENTACION-DIANA CAICEDO-DIANA DIAZ</v>
      </c>
      <c r="F5567" s="5" t="str">
        <f>"Descripcion: SEPARADORES DE DEAVERS (ANCHO Y MEDIANO) Estado: Bueno Placa anterior: 000014622 Material: ACERO INOXIDABLE Color: PLATEADO Referencia:  Observacion: VALVAS DE DEAVER  Placa padre: I0000697Tipo adquisicion: Entidad"</f>
        <v>Descripcion: SEPARADORES DE DEAVERS (ANCHO Y MEDIANO) Estado: Bueno Placa anterior: 000014622 Material: ACERO INOXIDABLE Color: PLATEADO Referencia:  Observacion: VALVAS DE DEAVER  Placa padre: I0000697Tipo adquisicion: Entidad</v>
      </c>
      <c r="G5567" s="5"/>
    </row>
    <row r="5568" spans="1:7" ht="58.5" customHeight="1" x14ac:dyDescent="0.25">
      <c r="A5568" s="5" t="str">
        <f>"I0000750"</f>
        <v>I0000750</v>
      </c>
      <c r="B5568" s="5" t="str">
        <f t="shared" si="290"/>
        <v>SEPARADOR DE PAREDES (DEAVER)</v>
      </c>
      <c r="C5568" s="6">
        <v>100600</v>
      </c>
      <c r="D5568" s="5"/>
      <c r="E5568" s="5" t="str">
        <f t="shared" si="287"/>
        <v>INSTRUMENTACION-DIANA CAICEDO-DIANA DIAZ</v>
      </c>
      <c r="F5568" s="5" t="str">
        <f>"Descripcion: SEPARADORES DE DEAVERS (ANCHO Y MEDIANO) Estado: Bueno Placa anterior: 000015954 Material: ACERO INOXIDABLE Color: PLATEADO Referencia:  Observacion: VALVAS DE DEAVER  Placa padre: I0000697Tipo adquisicion: Entidad"</f>
        <v>Descripcion: SEPARADORES DE DEAVERS (ANCHO Y MEDIANO) Estado: Bueno Placa anterior: 000015954 Material: ACERO INOXIDABLE Color: PLATEADO Referencia:  Observacion: VALVAS DE DEAVER  Placa padre: I0000697Tipo adquisicion: Entidad</v>
      </c>
      <c r="G5568" s="5"/>
    </row>
    <row r="5569" spans="1:7" ht="58.5" customHeight="1" x14ac:dyDescent="0.25">
      <c r="A5569" s="5" t="str">
        <f>"I0000751"</f>
        <v>I0000751</v>
      </c>
      <c r="B5569" s="5" t="str">
        <f t="shared" si="290"/>
        <v>SEPARADOR DE PAREDES (DEAVER)</v>
      </c>
      <c r="C5569" s="6">
        <v>2388.89</v>
      </c>
      <c r="D5569" s="5"/>
      <c r="E5569" s="5" t="str">
        <f t="shared" si="287"/>
        <v>INSTRUMENTACION-DIANA CAICEDO-DIANA DIAZ</v>
      </c>
      <c r="F5569" s="5" t="str">
        <f>"Descripcion: SEPARADORES DE DEAVERS (ANCHO Y MEDIANO) Estado: Bueno Placa anterior: 000014623 Material: ACERO INOXIDABLE Color: PLATEADO Referencia:  Observacion: VALVAS DE DEAVER  Placa padre: I0000697Tipo adquisicion: Entidad"</f>
        <v>Descripcion: SEPARADORES DE DEAVERS (ANCHO Y MEDIANO) Estado: Bueno Placa anterior: 000014623 Material: ACERO INOXIDABLE Color: PLATEADO Referencia:  Observacion: VALVAS DE DEAVER  Placa padre: I0000697Tipo adquisicion: Entidad</v>
      </c>
      <c r="G5569" s="5"/>
    </row>
    <row r="5570" spans="1:7" ht="58.5" customHeight="1" x14ac:dyDescent="0.25">
      <c r="A5570" s="5" t="str">
        <f>"I0000752"</f>
        <v>I0000752</v>
      </c>
      <c r="B5570" s="5" t="str">
        <f t="shared" si="290"/>
        <v>SEPARADOR DE PAREDES (DEAVER)</v>
      </c>
      <c r="C5570" s="6">
        <v>2388.89</v>
      </c>
      <c r="D5570" s="5"/>
      <c r="E5570" s="5" t="str">
        <f t="shared" si="287"/>
        <v>INSTRUMENTACION-DIANA CAICEDO-DIANA DIAZ</v>
      </c>
      <c r="F5570" s="5" t="str">
        <f>"Descripcion: SEPARADORES DE DEAVERS (ANCHO Y MEDIANO) Estado: Bueno Placa anterior: 000014624 Material: ACERO INOXIDABLE Color: PLATEADO Referencia:  Observacion: VALVAS DE DEAVER  Placa padre: I0000697Tipo adquisicion: Entidad"</f>
        <v>Descripcion: SEPARADORES DE DEAVERS (ANCHO Y MEDIANO) Estado: Bueno Placa anterior: 000014624 Material: ACERO INOXIDABLE Color: PLATEADO Referencia:  Observacion: VALVAS DE DEAVER  Placa padre: I0000697Tipo adquisicion: Entidad</v>
      </c>
      <c r="G5570" s="5"/>
    </row>
    <row r="5571" spans="1:7" ht="58.5" customHeight="1" x14ac:dyDescent="0.25">
      <c r="A5571" s="5" t="str">
        <f>"I0000758"</f>
        <v>I0000758</v>
      </c>
      <c r="B5571" s="5" t="str">
        <f t="shared" si="290"/>
        <v>SEPARADOR DE PAREDES (DEAVER)</v>
      </c>
      <c r="C5571" s="6">
        <v>16120690</v>
      </c>
      <c r="D5571" s="5" t="s">
        <v>430</v>
      </c>
      <c r="E5571" s="5" t="str">
        <f t="shared" si="287"/>
        <v>INSTRUMENTACION-DIANA CAICEDO-DIANA DIAZ</v>
      </c>
      <c r="F5571" s="5" t="str">
        <f>"Descripcion: SEPARADORES DEAVERS PEQUEÑOS Estado: Bueno Placa anterior: 000033457 Material: ACERO INOXIDABLE Color: PLATEADO Referencia:  Observacion:     Placa padre: I0000697Tipo adquisicion: Entidad"</f>
        <v>Descripcion: SEPARADORES DEAVERS PEQUEÑOS Estado: Bueno Placa anterior: 000033457 Material: ACERO INOXIDABLE Color: PLATEADO Referencia:  Observacion:     Placa padre: I0000697Tipo adquisicion: Entidad</v>
      </c>
      <c r="G5571" s="5"/>
    </row>
    <row r="5572" spans="1:7" ht="58.5" customHeight="1" x14ac:dyDescent="0.25">
      <c r="A5572" s="5" t="str">
        <f>"I0000759"</f>
        <v>I0000759</v>
      </c>
      <c r="B5572" s="5" t="str">
        <f>"CLAMP INTESTINAL"</f>
        <v>CLAMP INTESTINAL</v>
      </c>
      <c r="C5572" s="6">
        <v>15000</v>
      </c>
      <c r="D5572" s="5"/>
      <c r="E5572" s="5" t="str">
        <f t="shared" si="287"/>
        <v>INSTRUMENTACION-DIANA CAICEDO-DIANA DIAZ</v>
      </c>
      <c r="F5572" s="5" t="str">
        <f>"Descripcion: CLAMPS INTESTINALES Estado: Bueno Placa anterior: 000015922 Material: ACERO INOXIDABLE Color: PLATEADO Referencia:  Observacion:     Placa padre: I0000697Tipo adquisicion: Entidad"</f>
        <v>Descripcion: CLAMPS INTESTINALES Estado: Bueno Placa anterior: 000015922 Material: ACERO INOXIDABLE Color: PLATEADO Referencia:  Observacion:     Placa padre: I0000697Tipo adquisicion: Entidad</v>
      </c>
      <c r="G5572" s="5"/>
    </row>
    <row r="5573" spans="1:7" ht="58.5" customHeight="1" x14ac:dyDescent="0.25">
      <c r="A5573" s="5" t="str">
        <f>"I0000771"</f>
        <v>I0000771</v>
      </c>
      <c r="B5573" s="5" t="str">
        <f>"TIJERA (INSTRUMENTAL)"</f>
        <v>TIJERA (INSTRUMENTAL)</v>
      </c>
      <c r="C5573" s="6">
        <v>1500</v>
      </c>
      <c r="D5573" s="5"/>
      <c r="E5573" s="5" t="str">
        <f t="shared" si="287"/>
        <v>INSTRUMENTACION-DIANA CAICEDO-DIANA DIAZ</v>
      </c>
      <c r="F5573" s="5" t="str">
        <f>"Descripcion: TIJERA DE TOREK Estado: Bueno Placa anterior: 000014635 Material: ACERO INOXIDABLE Color: PLATEADO Referencia:  Observacion:     Placa padre: I0000697Tipo adquisicion: Entidad"</f>
        <v>Descripcion: TIJERA DE TOREK Estado: Bueno Placa anterior: 000014635 Material: ACERO INOXIDABLE Color: PLATEADO Referencia:  Observacion:     Placa padre: I0000697Tipo adquisicion: Entidad</v>
      </c>
      <c r="G5573" s="5"/>
    </row>
    <row r="5574" spans="1:7" ht="58.5" customHeight="1" x14ac:dyDescent="0.25">
      <c r="A5574" s="5" t="str">
        <f>"I0000784"</f>
        <v>I0000784</v>
      </c>
      <c r="B5574" s="5" t="str">
        <f>"SEPARADOR DE PRATT"</f>
        <v>SEPARADOR DE PRATT</v>
      </c>
      <c r="C5574" s="6">
        <v>11571</v>
      </c>
      <c r="D5574" s="5"/>
      <c r="E5574" s="5" t="str">
        <f t="shared" si="287"/>
        <v>INSTRUMENTACION-DIANA CAICEDO-DIANA DIAZ</v>
      </c>
      <c r="F5574" s="5" t="str">
        <f>"Descripcion: SEPARADOR DE PRATT Estado: Bueno Placa anterior: 000012601 Material: ACERO INOXIDABLE Color: PLATEADO Referencia:  Observacion:     Placa padre: I0000697Tipo adquisicion: Entidad"</f>
        <v>Descripcion: SEPARADOR DE PRATT Estado: Bueno Placa anterior: 000012601 Material: ACERO INOXIDABLE Color: PLATEADO Referencia:  Observacion:     Placa padre: I0000697Tipo adquisicion: Entidad</v>
      </c>
      <c r="G5574" s="5"/>
    </row>
    <row r="5575" spans="1:7" ht="58.5" customHeight="1" x14ac:dyDescent="0.25">
      <c r="A5575" s="5" t="str">
        <f>"I0000785"</f>
        <v>I0000785</v>
      </c>
      <c r="B5575" s="5" t="str">
        <f>"SEPARADOR DE PRATT"</f>
        <v>SEPARADOR DE PRATT</v>
      </c>
      <c r="C5575" s="6">
        <v>11571</v>
      </c>
      <c r="D5575" s="5"/>
      <c r="E5575" s="5" t="str">
        <f t="shared" si="287"/>
        <v>INSTRUMENTACION-DIANA CAICEDO-DIANA DIAZ</v>
      </c>
      <c r="F5575" s="5" t="str">
        <f>"Descripcion: SEPARADOR DE PRATT Estado: Bueno Placa anterior: 000012602 Material: ACERO INOXIDABLE Color: PLATEADO Referencia:  Observacion:     Placa padre: I0000697Tipo adquisicion: Entidad"</f>
        <v>Descripcion: SEPARADOR DE PRATT Estado: Bueno Placa anterior: 000012602 Material: ACERO INOXIDABLE Color: PLATEADO Referencia:  Observacion:     Placa padre: I0000697Tipo adquisicion: Entidad</v>
      </c>
      <c r="G5575" s="5"/>
    </row>
    <row r="5576" spans="1:7" ht="58.5" customHeight="1" x14ac:dyDescent="0.25">
      <c r="A5576" s="5" t="str">
        <f>"I0000786"</f>
        <v>I0000786</v>
      </c>
      <c r="B5576" s="5" t="str">
        <f>"ANOSCOPIOS"</f>
        <v>ANOSCOPIOS</v>
      </c>
      <c r="C5576" s="6">
        <v>54720</v>
      </c>
      <c r="D5576" s="5"/>
      <c r="E5576" s="5" t="str">
        <f t="shared" si="287"/>
        <v>INSTRUMENTACION-DIANA CAICEDO-DIANA DIAZ</v>
      </c>
      <c r="F5576" s="5" t="str">
        <f>"Descripcion: ANOSCOPIO Estado: Bueno Placa anterior: 000015951 Material: ACERO INOXIDABLE Color: PLATEADO Referencia:  Observacion: ESPECULO DE PRATT Placa padre: I0000697Tipo adquisicion: Entidad"</f>
        <v>Descripcion: ANOSCOPIO Estado: Bueno Placa anterior: 000015951 Material: ACERO INOXIDABLE Color: PLATEADO Referencia:  Observacion: ESPECULO DE PRATT Placa padre: I0000697Tipo adquisicion: Entidad</v>
      </c>
      <c r="G5576" s="5"/>
    </row>
    <row r="5577" spans="1:7" ht="58.5" customHeight="1" x14ac:dyDescent="0.25">
      <c r="A5577" s="5" t="str">
        <f>"I0000787"</f>
        <v>I0000787</v>
      </c>
      <c r="B5577" s="5" t="str">
        <f>"SEPARADOR DE BALFOUR"</f>
        <v>SEPARADOR DE BALFOUR</v>
      </c>
      <c r="C5577" s="6">
        <v>36973</v>
      </c>
      <c r="D5577" s="5"/>
      <c r="E5577" s="5" t="str">
        <f t="shared" si="287"/>
        <v>INSTRUMENTACION-DIANA CAICEDO-DIANA DIAZ</v>
      </c>
      <c r="F5577" s="5" t="str">
        <f>"Descripcion: SEPARADOR DE BALFOUR Estado: Bueno Placa anterior: 000012606 Material: ACERO INOXIDABLE Color: PLATEADO Referencia:  Observacion:     Placa padre: I0000697Tipo adquisicion: Entidad"</f>
        <v>Descripcion: SEPARADOR DE BALFOUR Estado: Bueno Placa anterior: 000012606 Material: ACERO INOXIDABLE Color: PLATEADO Referencia:  Observacion:     Placa padre: I0000697Tipo adquisicion: Entidad</v>
      </c>
      <c r="G5577" s="5"/>
    </row>
    <row r="5578" spans="1:7" ht="58.5" customHeight="1" x14ac:dyDescent="0.25">
      <c r="A5578" s="5" t="str">
        <f>"I0000788"</f>
        <v>I0000788</v>
      </c>
      <c r="B5578" s="5" t="str">
        <f>"SEPARADOR DE BALFOUR"</f>
        <v>SEPARADOR DE BALFOUR</v>
      </c>
      <c r="C5578" s="6">
        <v>36973</v>
      </c>
      <c r="D5578" s="5"/>
      <c r="E5578" s="5" t="str">
        <f t="shared" si="287"/>
        <v>INSTRUMENTACION-DIANA CAICEDO-DIANA DIAZ</v>
      </c>
      <c r="F5578" s="5" t="str">
        <f>"Descripcion: SEPARADOR DE BALFOUR Estado: Bueno Placa anterior: 000012607 Material: ACERO INOXIDABLE Color: PLATEADO Referencia:  Observacion:     Placa padre: I0000697Tipo adquisicion: Entidad"</f>
        <v>Descripcion: SEPARADOR DE BALFOUR Estado: Bueno Placa anterior: 000012607 Material: ACERO INOXIDABLE Color: PLATEADO Referencia:  Observacion:     Placa padre: I0000697Tipo adquisicion: Entidad</v>
      </c>
      <c r="G5578" s="5"/>
    </row>
    <row r="5579" spans="1:7" ht="58.5" customHeight="1" x14ac:dyDescent="0.25">
      <c r="A5579" s="5" t="str">
        <f>"I0000789"</f>
        <v>I0000789</v>
      </c>
      <c r="B5579" s="5" t="str">
        <f>"SEPARADOR DE BALFOUR"</f>
        <v>SEPARADOR DE BALFOUR</v>
      </c>
      <c r="C5579" s="6">
        <v>36973</v>
      </c>
      <c r="D5579" s="5"/>
      <c r="E5579" s="5" t="str">
        <f t="shared" si="287"/>
        <v>INSTRUMENTACION-DIANA CAICEDO-DIANA DIAZ</v>
      </c>
      <c r="F5579" s="5" t="str">
        <f>"Descripcion: SEPARADOR DE BALFOUR Estado: Bueno Placa anterior: 000012608 Material: ACERO INOXIDABLE Color: PLATEADO Referencia:  Observacion:     Placa padre: I0000697Tipo adquisicion: Entidad"</f>
        <v>Descripcion: SEPARADOR DE BALFOUR Estado: Bueno Placa anterior: 000012608 Material: ACERO INOXIDABLE Color: PLATEADO Referencia:  Observacion:     Placa padre: I0000697Tipo adquisicion: Entidad</v>
      </c>
      <c r="G5579" s="5"/>
    </row>
    <row r="5580" spans="1:7" ht="58.5" customHeight="1" x14ac:dyDescent="0.25">
      <c r="A5580" s="5" t="str">
        <f>"I0000790"</f>
        <v>I0000790</v>
      </c>
      <c r="B5580" s="5" t="str">
        <f>"SEPARADOR DE BALFOUR"</f>
        <v>SEPARADOR DE BALFOUR</v>
      </c>
      <c r="C5580" s="6">
        <v>36973</v>
      </c>
      <c r="D5580" s="5"/>
      <c r="E5580" s="5" t="str">
        <f t="shared" si="287"/>
        <v>INSTRUMENTACION-DIANA CAICEDO-DIANA DIAZ</v>
      </c>
      <c r="F5580" s="5" t="str">
        <f>"Descripcion: SEPARADOR DE BALFOUR Estado: Bueno Placa anterior: 000012609 Material: ACERO INOXIDABLE Color: PLATEADO Referencia:  Observacion:     Placa padre: I0000697Tipo adquisicion: Entidad"</f>
        <v>Descripcion: SEPARADOR DE BALFOUR Estado: Bueno Placa anterior: 000012609 Material: ACERO INOXIDABLE Color: PLATEADO Referencia:  Observacion:     Placa padre: I0000697Tipo adquisicion: Entidad</v>
      </c>
      <c r="G5580" s="5"/>
    </row>
    <row r="5581" spans="1:7" ht="58.5" customHeight="1" x14ac:dyDescent="0.25">
      <c r="A5581" s="5" t="str">
        <f>"I0000791"</f>
        <v>I0000791</v>
      </c>
      <c r="B5581" s="5" t="str">
        <f>"SEPARADOR DE BALFOUR"</f>
        <v>SEPARADOR DE BALFOUR</v>
      </c>
      <c r="C5581" s="6">
        <v>36973</v>
      </c>
      <c r="D5581" s="5"/>
      <c r="E5581" s="5" t="str">
        <f t="shared" si="287"/>
        <v>INSTRUMENTACION-DIANA CAICEDO-DIANA DIAZ</v>
      </c>
      <c r="F5581" s="5" t="str">
        <f>"Descripcion: SEPARADOR DE BALFOUR Estado: Bueno Placa anterior: 000012610 Material: ACERO INOXIDABLE Color: PLATEADO Referencia:  Observacion:     Placa padre: I0000697Tipo adquisicion: Entidad"</f>
        <v>Descripcion: SEPARADOR DE BALFOUR Estado: Bueno Placa anterior: 000012610 Material: ACERO INOXIDABLE Color: PLATEADO Referencia:  Observacion:     Placa padre: I0000697Tipo adquisicion: Entidad</v>
      </c>
      <c r="G5581" s="5"/>
    </row>
    <row r="5582" spans="1:7" ht="58.5" customHeight="1" x14ac:dyDescent="0.25">
      <c r="A5582" s="5" t="str">
        <f>"I0000794"</f>
        <v>I0000794</v>
      </c>
      <c r="B5582" s="5" t="str">
        <f>"SEPARADOR DE MASSON"</f>
        <v>SEPARADOR DE MASSON</v>
      </c>
      <c r="C5582" s="6">
        <v>19253</v>
      </c>
      <c r="D5582" s="5"/>
      <c r="E5582" s="5" t="str">
        <f t="shared" si="287"/>
        <v>INSTRUMENTACION-DIANA CAICEDO-DIANA DIAZ</v>
      </c>
      <c r="F5582" s="5" t="str">
        <f>"Descripcion: SEPARADOR DE MASSON CUADRADO CON 4 VALVAS Estado: Bueno Placa anterior: 000012617 Material: ACERO INOXIDABLE Color: PLATEADO Referencia:  Observacion: SEPARADOR MASSON DE CUATRO VALVAS  Placa padre: I0000697Tipo adquisicion: Entidad"</f>
        <v>Descripcion: SEPARADOR DE MASSON CUADRADO CON 4 VALVAS Estado: Bueno Placa anterior: 000012617 Material: ACERO INOXIDABLE Color: PLATEADO Referencia:  Observacion: SEPARADOR MASSON DE CUATRO VALVAS  Placa padre: I0000697Tipo adquisicion: Entidad</v>
      </c>
      <c r="G5582" s="5"/>
    </row>
    <row r="5583" spans="1:7" ht="58.5" customHeight="1" x14ac:dyDescent="0.25">
      <c r="A5583" s="5" t="str">
        <f>"I0000795"</f>
        <v>I0000795</v>
      </c>
      <c r="B5583" s="5" t="str">
        <f>"SEPARADOR SULLIVAN"</f>
        <v>SEPARADOR SULLIVAN</v>
      </c>
      <c r="C5583" s="6">
        <v>1231630</v>
      </c>
      <c r="D5583" s="5"/>
      <c r="E5583" s="5" t="str">
        <f t="shared" si="287"/>
        <v>INSTRUMENTACION-DIANA CAICEDO-DIANA DIAZ</v>
      </c>
      <c r="F5583" s="5" t="str">
        <f>"Descripcion: SEPARADOR DE SULLIVAN CON 3 VALVAS Estado: Bueno Placa anterior: 000023796 Material: ACERO INOXIDABLE Color: PLATEADO Referencia:  Observacion:     Placa padre: I0000697Tipo adquisicion: Entidad"</f>
        <v>Descripcion: SEPARADOR DE SULLIVAN CON 3 VALVAS Estado: Bueno Placa anterior: 000023796 Material: ACERO INOXIDABLE Color: PLATEADO Referencia:  Observacion:     Placa padre: I0000697Tipo adquisicion: Entidad</v>
      </c>
      <c r="G5583" s="5"/>
    </row>
    <row r="5584" spans="1:7" ht="58.5" customHeight="1" x14ac:dyDescent="0.25">
      <c r="A5584" s="5" t="str">
        <f>"I0000798"</f>
        <v>I0000798</v>
      </c>
      <c r="B5584" s="5" t="str">
        <f>"PINZA DE DISECCION CON GARRA MEDIANA 25 CM"</f>
        <v>PINZA DE DISECCION CON GARRA MEDIANA 25 CM</v>
      </c>
      <c r="C5584" s="6">
        <v>39440</v>
      </c>
      <c r="D5584" s="5"/>
      <c r="E5584" s="5" t="str">
        <f t="shared" si="287"/>
        <v>INSTRUMENTACION-DIANA CAICEDO-DIANA DIAZ</v>
      </c>
      <c r="F5584" s="5" t="str">
        <f>"Descripcion: DISECCION CON GARRA Estado: Bueno Placa anterior: 000031963 Material: ACERO INOXIDABLE Color: PLATEADO Referencia:  Observacion:     Placa padre: I0000697Tipo adquisicion: Entidad"</f>
        <v>Descripcion: DISECCION CON GARRA Estado: Bueno Placa anterior: 000031963 Material: ACERO INOXIDABLE Color: PLATEADO Referencia:  Observacion:     Placa padre: I0000697Tipo adquisicion: Entidad</v>
      </c>
      <c r="G5584" s="5"/>
    </row>
    <row r="5585" spans="1:7" ht="58.5" customHeight="1" x14ac:dyDescent="0.25">
      <c r="A5585" s="5" t="str">
        <f>"I0000803"</f>
        <v>I0000803</v>
      </c>
      <c r="B5585" s="5" t="str">
        <f>"MANGO PARA BISTURI #4"</f>
        <v>MANGO PARA BISTURI #4</v>
      </c>
      <c r="C5585" s="6">
        <v>15080</v>
      </c>
      <c r="D5585" s="5"/>
      <c r="E5585" s="5" t="str">
        <f t="shared" si="287"/>
        <v>INSTRUMENTACION-DIANA CAICEDO-DIANA DIAZ</v>
      </c>
      <c r="F5585" s="5" t="str">
        <f>"Descripcion: MANGO DE BISTURI 3L Estado: Bueno Placa anterior: 000031850 Material: ACERO INOXIDABLE Color: PLATEADO Referencia:  Observacion:     Placa padre: I0000801Tipo adquisicion: Entidad"</f>
        <v>Descripcion: MANGO DE BISTURI 3L Estado: Bueno Placa anterior: 000031850 Material: ACERO INOXIDABLE Color: PLATEADO Referencia:  Observacion:     Placa padre: I0000801Tipo adquisicion: Entidad</v>
      </c>
      <c r="G5585" s="5"/>
    </row>
    <row r="5586" spans="1:7" ht="58.5" customHeight="1" x14ac:dyDescent="0.25">
      <c r="A5586" s="5" t="str">
        <f>"I0000806"</f>
        <v>I0000806</v>
      </c>
      <c r="B5586" s="5" t="str">
        <f>"PINZA KELLY CURVA 16 CM"</f>
        <v>PINZA KELLY CURVA 16 CM</v>
      </c>
      <c r="C5586" s="6">
        <v>52200</v>
      </c>
      <c r="D5586" s="5"/>
      <c r="E5586" s="5" t="str">
        <f t="shared" si="287"/>
        <v>INSTRUMENTACION-DIANA CAICEDO-DIANA DIAZ</v>
      </c>
      <c r="F5586" s="5" t="str">
        <f>"Descripcion: KELLY CURVAS Estado: Bueno Placa anterior: 000036128 Material: ACERO INOXIDABLE Color: PLATEADO Referencia:  Observacion:     Placa padre: I0000801Tipo adquisicion: Entidad"</f>
        <v>Descripcion: KELLY CURVAS Estado: Bueno Placa anterior: 000036128 Material: ACERO INOXIDABLE Color: PLATEADO Referencia:  Observacion:     Placa padre: I0000801Tipo adquisicion: Entidad</v>
      </c>
      <c r="G5586" s="5"/>
    </row>
    <row r="5587" spans="1:7" ht="58.5" customHeight="1" x14ac:dyDescent="0.25">
      <c r="A5587" s="5" t="str">
        <f>"I0000807"</f>
        <v>I0000807</v>
      </c>
      <c r="B5587" s="5" t="str">
        <f>"PINZA KELLY CURVA 16 CM"</f>
        <v>PINZA KELLY CURVA 16 CM</v>
      </c>
      <c r="C5587" s="6">
        <v>52200</v>
      </c>
      <c r="D5587" s="5"/>
      <c r="E5587" s="5" t="str">
        <f t="shared" si="287"/>
        <v>INSTRUMENTACION-DIANA CAICEDO-DIANA DIAZ</v>
      </c>
      <c r="F5587" s="5" t="str">
        <f>"Descripcion: KELLY CURVAS Estado: Bueno Placa anterior: 000036129 Material: ACERO INOXIDABLE Color: PLATEADO Referencia:  Observacion:     Placa padre: I0000801Tipo adquisicion: Entidad"</f>
        <v>Descripcion: KELLY CURVAS Estado: Bueno Placa anterior: 000036129 Material: ACERO INOXIDABLE Color: PLATEADO Referencia:  Observacion:     Placa padre: I0000801Tipo adquisicion: Entidad</v>
      </c>
      <c r="G5587" s="5"/>
    </row>
    <row r="5588" spans="1:7" ht="58.5" customHeight="1" x14ac:dyDescent="0.25">
      <c r="A5588" s="5" t="str">
        <f>"I0000808"</f>
        <v>I0000808</v>
      </c>
      <c r="B5588" s="5" t="str">
        <f>"PINZA KELLY CURVA 16 CM"</f>
        <v>PINZA KELLY CURVA 16 CM</v>
      </c>
      <c r="C5588" s="6">
        <v>52200</v>
      </c>
      <c r="D5588" s="5"/>
      <c r="E5588" s="5" t="str">
        <f t="shared" si="287"/>
        <v>INSTRUMENTACION-DIANA CAICEDO-DIANA DIAZ</v>
      </c>
      <c r="F5588" s="5" t="str">
        <f>"Descripcion: KELLY CURVAS Estado: Bueno Placa anterior: 000036130 Material: ACERO INOXIDABLE Color: PLATEADO Referencia:  Observacion:     Placa padre: I0000801Tipo adquisicion: Entidad"</f>
        <v>Descripcion: KELLY CURVAS Estado: Bueno Placa anterior: 000036130 Material: ACERO INOXIDABLE Color: PLATEADO Referencia:  Observacion:     Placa padre: I0000801Tipo adquisicion: Entidad</v>
      </c>
      <c r="G5588" s="5"/>
    </row>
    <row r="5589" spans="1:7" ht="58.5" customHeight="1" x14ac:dyDescent="0.25">
      <c r="A5589" s="5" t="str">
        <f>"I0000809"</f>
        <v>I0000809</v>
      </c>
      <c r="B5589" s="5" t="str">
        <f>"PINZA KELLY CURVA 16 CM"</f>
        <v>PINZA KELLY CURVA 16 CM</v>
      </c>
      <c r="C5589" s="6">
        <v>52200</v>
      </c>
      <c r="D5589" s="5"/>
      <c r="E5589" s="5" t="str">
        <f t="shared" si="287"/>
        <v>INSTRUMENTACION-DIANA CAICEDO-DIANA DIAZ</v>
      </c>
      <c r="F5589" s="5" t="str">
        <f>"Descripcion: KELLY CURVAS Estado: Bueno Placa anterior: 000036131 Material: ACERO INOXIDABLE Color: PLATEADO Referencia:  Observacion:     Placa padre: I0000801Tipo adquisicion: Entidad"</f>
        <v>Descripcion: KELLY CURVAS Estado: Bueno Placa anterior: 000036131 Material: ACERO INOXIDABLE Color: PLATEADO Referencia:  Observacion:     Placa padre: I0000801Tipo adquisicion: Entidad</v>
      </c>
      <c r="G5589" s="5"/>
    </row>
    <row r="5590" spans="1:7" ht="58.5" customHeight="1" x14ac:dyDescent="0.25">
      <c r="A5590" s="5" t="str">
        <f>"I0000812"</f>
        <v>I0000812</v>
      </c>
      <c r="B5590" s="5" t="str">
        <f>"PORTAGUJAS (PINZA)"</f>
        <v>PORTAGUJAS (PINZA)</v>
      </c>
      <c r="C5590" s="6">
        <v>81200</v>
      </c>
      <c r="D5590" s="5"/>
      <c r="E5590" s="5" t="str">
        <f t="shared" si="287"/>
        <v>INSTRUMENTACION-DIANA CAICEDO-DIANA DIAZ</v>
      </c>
      <c r="F5590" s="5" t="str">
        <f>"Descripcion: PORTAAGUJAS DE MAYO Estado: Bueno Placa anterior: 000032437 Material: ACERO INOXIDABLE Color: PLATEADO Referencia:  Observacion:     Placa padre: I0000801Tipo adquisicion: Entidad"</f>
        <v>Descripcion: PORTAAGUJAS DE MAYO Estado: Bueno Placa anterior: 000032437 Material: ACERO INOXIDABLE Color: PLATEADO Referencia:  Observacion:     Placa padre: I0000801Tipo adquisicion: Entidad</v>
      </c>
      <c r="G5590" s="5"/>
    </row>
    <row r="5591" spans="1:7" ht="58.5" customHeight="1" x14ac:dyDescent="0.25">
      <c r="A5591" s="5" t="str">
        <f>"I0000814"</f>
        <v>I0000814</v>
      </c>
      <c r="B5591" s="5" t="str">
        <f>"SEPARADOR DE ABDOMEN (FARABEUF)"</f>
        <v>SEPARADOR DE ABDOMEN (FARABEUF)</v>
      </c>
      <c r="C5591" s="6">
        <v>46400</v>
      </c>
      <c r="D5591" s="5"/>
      <c r="E5591" s="5" t="str">
        <f t="shared" si="287"/>
        <v>INSTRUMENTACION-DIANA CAICEDO-DIANA DIAZ</v>
      </c>
      <c r="F5591" s="5" t="str">
        <f>"Descripcion: SEPARADORES DE FARABEUF  Estado: Bueno Placa anterior: 000032517 Material: ACERO INOXIDABLE Color: PLATEADO Referencia:  Observacion:     Placa padre: I0000801Tipo adquisicion: Entidad"</f>
        <v>Descripcion: SEPARADORES DE FARABEUF  Estado: Bueno Placa anterior: 000032517 Material: ACERO INOXIDABLE Color: PLATEADO Referencia:  Observacion:     Placa padre: I0000801Tipo adquisicion: Entidad</v>
      </c>
      <c r="G5591" s="5"/>
    </row>
    <row r="5592" spans="1:7" ht="58.5" customHeight="1" x14ac:dyDescent="0.25">
      <c r="A5592" s="5" t="str">
        <f>"I0000815"</f>
        <v>I0000815</v>
      </c>
      <c r="B5592" s="5" t="str">
        <f>"SEPARADOR DE ABDOMEN (FARABEUF)"</f>
        <v>SEPARADOR DE ABDOMEN (FARABEUF)</v>
      </c>
      <c r="C5592" s="6">
        <v>46400</v>
      </c>
      <c r="D5592" s="5"/>
      <c r="E5592" s="5" t="str">
        <f t="shared" si="287"/>
        <v>INSTRUMENTACION-DIANA CAICEDO-DIANA DIAZ</v>
      </c>
      <c r="F5592" s="5" t="str">
        <f>"Descripcion: SEPARADORES DE FARABEUF  Estado: Bueno Placa anterior: 000032518 Material: ACERO INOXIDABLE Color: PLATEADO Referencia:  Observacion:     Placa padre: I0000801Tipo adquisicion: Entidad"</f>
        <v>Descripcion: SEPARADORES DE FARABEUF  Estado: Bueno Placa anterior: 000032518 Material: ACERO INOXIDABLE Color: PLATEADO Referencia:  Observacion:     Placa padre: I0000801Tipo adquisicion: Entidad</v>
      </c>
      <c r="G5592" s="5"/>
    </row>
    <row r="5593" spans="1:7" ht="58.5" customHeight="1" x14ac:dyDescent="0.25">
      <c r="A5593" s="5" t="str">
        <f>"I0000816"</f>
        <v>I0000816</v>
      </c>
      <c r="B5593" s="5" t="str">
        <f>"EQUIPO DE LAPARATOMIA"</f>
        <v>EQUIPO DE LAPARATOMIA</v>
      </c>
      <c r="C5593" s="6">
        <v>2045192.45</v>
      </c>
      <c r="D5593" s="5"/>
      <c r="E5593" s="5" t="str">
        <f t="shared" si="287"/>
        <v>INSTRUMENTACION-DIANA CAICEDO-DIANA DIAZ</v>
      </c>
      <c r="F5593" s="5" t="str">
        <f>"Descripcion: EQUIPO DE LAPARATOMIA DE NIÑOS # 1 QUE CONSTA DE:  (1) MANGO DE BISTURI # 3  (1) MANGO DE BISTURI # 4  (2) SEPARADORES DE FARABEUF   (0) SEPARADORES BABY FARABEUF   (2) SEPARADORES DE SENN MILLER   (1)SEPARADOR ABDOMINAL DE NIÑOS  (1) TIJERA "&amp; " CURVA DE METZEMBAU  (1)TIJERA METZEMBAUM MEDIANA (DIMEDA)  (0) TIJERA DE METZEMBAU FINA PEQUEÑA  (1) TIJERA RECTA DE MAYO (DIMEDA)  (1) PINZA DE DISECCION ADSON CON GARRA  (1) PINZA DE DISECCION ADSON SIN GARRA   (1) PINZA DE DISECCION CON GARRA PEQUEÑA "&amp; " (1) PINZA DE DISECCION  SIN GARRA  CORTA PEQUEÑA  (1) PINZA DE DISECCION  SIN GARRA  MEDIANA  (1) PINZA DE DISECCION FINA LARGA SIN GARRA  (1) PINZA DE DISECCION RUSA  (2) PINZAS BABY MOSQUITOS CURVAS  (4) PINZAS MOSQUITOS  CURVAS  (1) PINZAS KELLY CURVA"&amp; "S CORTAS    (1) PINZAS ROCHESTER CURVAS BAJA14/01/20  (4) PINZAS ALLIX  PEQUEÑAS (DIMEDA)  (2) PINZAS KELLY ADSON (DIMEDA)  (1) PORTA AGUJAS MEDIANO  (1) PORTA AGUJAS PEQUEÑO  (1) PINZA CISTICO    (2) PINZAS BABCOCK  (0) PINZA FOSTER   (1) SONDA ACANALADA"&amp; "   (1) CANULA DE SUCCION  FRAZIER (DIMEDA)  (1) CANULA DE SUCCION YANKAWER   (6) PINZAS DE CAMPO (DIMEDA)  (1) COCA NIQUELADA   (1) PLATON NIQUELADA   (1) CUBETA  DE INSTRUMENTAL NIQUELADA Estado: Bueno Placa anterior: 000014661 Material: ACERO INOXIDABLE"&amp; " Color: PLATEADO Referencia:  Observacion:     Placa padre: Tipo adquisicion: Entidad"</f>
        <v>Descripcion: EQUIPO DE LAPARATOMIA DE NIÑOS # 1 QUE CONSTA DE:  (1) MANGO DE BISTURI # 3  (1) MANGO DE BISTURI # 4  (2) SEPARADORES DE FARABEUF   (0) SEPARADORES BABY FARABEUF   (2) SEPARADORES DE SENN MILLER   (1)SEPARADOR ABDOMINAL DE NIÑOS  (1) TIJERA  CURVA DE METZEMBAU  (1)TIJERA METZEMBAUM MEDIANA (DIMEDA)  (0) TIJERA DE METZEMBAU FINA PEQUEÑA  (1) TIJERA RECTA DE MAYO (DIMEDA)  (1) PINZA DE DISECCION ADSON CON GARRA  (1) PINZA DE DISECCION ADSON SIN GARRA   (1) PINZA DE DISECCION CON GARRA PEQUEÑA  (1) PINZA DE DISECCION  SIN GARRA  CORTA PEQUEÑA  (1) PINZA DE DISECCION  SIN GARRA  MEDIANA  (1) PINZA DE DISECCION FINA LARGA SIN GARRA  (1) PINZA DE DISECCION RUSA  (2) PINZAS BABY MOSQUITOS CURVAS  (4) PINZAS MOSQUITOS  CURVAS  (1) PINZAS KELLY CURVAS CORTAS    (1) PINZAS ROCHESTER CURVAS BAJA14/01/20  (4) PINZAS ALLIX  PEQUEÑAS (DIMEDA)  (2) PINZAS KELLY ADSON (DIMEDA)  (1) PORTA AGUJAS MEDIANO  (1) PORTA AGUJAS PEQUEÑO  (1) PINZA CISTICO    (2) PINZAS BABCOCK  (0) PINZA FOSTER   (1) SONDA ACANALADA   (1) CANULA DE SUCCION  FRAZIER (DIMEDA)  (1) CANULA DE SUCCION YANKAWER   (6) PINZAS DE CAMPO (DIMEDA)  (1) COCA NIQUELADA   (1) PLATON NIQUELADA   (1) CUBETA  DE INSTRUMENTAL NIQUELADA Estado: Bueno Placa anterior: 000014661 Material: ACERO INOXIDABLE Color: PLATEADO Referencia:  Observacion:     Placa padre: Tipo adquisicion: Entidad</v>
      </c>
      <c r="G5593" s="5"/>
    </row>
    <row r="5594" spans="1:7" ht="58.5" customHeight="1" x14ac:dyDescent="0.25">
      <c r="A5594" s="5" t="str">
        <f>"I0000817"</f>
        <v>I0000817</v>
      </c>
      <c r="B5594" s="5" t="str">
        <f>"MANGO PARA BISTURI #4"</f>
        <v>MANGO PARA BISTURI #4</v>
      </c>
      <c r="C5594" s="6">
        <v>15080</v>
      </c>
      <c r="D5594" s="5"/>
      <c r="E5594" s="5" t="str">
        <f t="shared" si="287"/>
        <v>INSTRUMENTACION-DIANA CAICEDO-DIANA DIAZ</v>
      </c>
      <c r="F5594" s="5" t="str">
        <f>"Descripcion: MANGO DE BISTURI # 3 Estado: Bueno Placa anterior: 000031851 Material: ACERO INOXIDABLE Color: PLATEADO Referencia:  Observacion:     Placa padre: I0000816Tipo adquisicion: Entidad"</f>
        <v>Descripcion: MANGO DE BISTURI # 3 Estado: Bueno Placa anterior: 000031851 Material: ACERO INOXIDABLE Color: PLATEADO Referencia:  Observacion:     Placa padre: I0000816Tipo adquisicion: Entidad</v>
      </c>
      <c r="G5594" s="5"/>
    </row>
    <row r="5595" spans="1:7" ht="58.5" customHeight="1" x14ac:dyDescent="0.25">
      <c r="A5595" s="5" t="str">
        <f>"I0000818"</f>
        <v>I0000818</v>
      </c>
      <c r="B5595" s="5" t="str">
        <f>"MANGO PARA BISTURI #4"</f>
        <v>MANGO PARA BISTURI #4</v>
      </c>
      <c r="C5595" s="6">
        <v>15080</v>
      </c>
      <c r="D5595" s="5"/>
      <c r="E5595" s="5" t="str">
        <f t="shared" si="287"/>
        <v>INSTRUMENTACION-DIANA CAICEDO-DIANA DIAZ</v>
      </c>
      <c r="F5595" s="5" t="str">
        <f>"Descripcion: MANGO DE BISTURI # 4 Estado: Bueno Placa anterior: 000031874 Material: ACERO INOXIDABLE Color: PLATEADO Referencia:  Observacion:     Placa padre: I0000816Tipo adquisicion: Entidad"</f>
        <v>Descripcion: MANGO DE BISTURI # 4 Estado: Bueno Placa anterior: 000031874 Material: ACERO INOXIDABLE Color: PLATEADO Referencia:  Observacion:     Placa padre: I0000816Tipo adquisicion: Entidad</v>
      </c>
      <c r="G5595" s="5"/>
    </row>
    <row r="5596" spans="1:7" ht="58.5" customHeight="1" x14ac:dyDescent="0.25">
      <c r="A5596" s="5" t="str">
        <f>"I0000819"</f>
        <v>I0000819</v>
      </c>
      <c r="B5596" s="5" t="str">
        <f>"SEPARADOR DE ABDOMEN (FARABEUF)"</f>
        <v>SEPARADOR DE ABDOMEN (FARABEUF)</v>
      </c>
      <c r="C5596" s="6">
        <v>46400</v>
      </c>
      <c r="D5596" s="5"/>
      <c r="E5596" s="5" t="str">
        <f t="shared" si="287"/>
        <v>INSTRUMENTACION-DIANA CAICEDO-DIANA DIAZ</v>
      </c>
      <c r="F5596" s="5" t="str">
        <f>"Descripcion: SEPARADORES DE FARABEUF  Estado: Bueno Placa anterior: 000032519 Material: ACERO INOXIDABLE Color: PLATEADO Referencia:  Observacion:     Placa padre: I0000816Tipo adquisicion: Entidad"</f>
        <v>Descripcion: SEPARADORES DE FARABEUF  Estado: Bueno Placa anterior: 000032519 Material: ACERO INOXIDABLE Color: PLATEADO Referencia:  Observacion:     Placa padre: I0000816Tipo adquisicion: Entidad</v>
      </c>
      <c r="G5596" s="5"/>
    </row>
    <row r="5597" spans="1:7" ht="58.5" customHeight="1" x14ac:dyDescent="0.25">
      <c r="A5597" s="5" t="str">
        <f>"I0000820"</f>
        <v>I0000820</v>
      </c>
      <c r="B5597" s="5" t="str">
        <f>"SEPARADOR DE ABDOMEN (FARABEUF)"</f>
        <v>SEPARADOR DE ABDOMEN (FARABEUF)</v>
      </c>
      <c r="C5597" s="6">
        <v>46400</v>
      </c>
      <c r="D5597" s="5"/>
      <c r="E5597" s="5" t="str">
        <f t="shared" si="287"/>
        <v>INSTRUMENTACION-DIANA CAICEDO-DIANA DIAZ</v>
      </c>
      <c r="F5597" s="5" t="str">
        <f>"Descripcion: SEPARADORES DE FARABEUF  Estado: Bueno Placa anterior: 000032520 Material: ACERO INOXIDABLE Color: PLATEADO Referencia:  Observacion:     Placa padre: I0000816Tipo adquisicion: Entidad"</f>
        <v>Descripcion: SEPARADORES DE FARABEUF  Estado: Bueno Placa anterior: 000032520 Material: ACERO INOXIDABLE Color: PLATEADO Referencia:  Observacion:     Placa padre: I0000816Tipo adquisicion: Entidad</v>
      </c>
      <c r="G5597" s="5"/>
    </row>
    <row r="5598" spans="1:7" ht="58.5" customHeight="1" x14ac:dyDescent="0.25">
      <c r="A5598" s="5" t="str">
        <f>"I0000821"</f>
        <v>I0000821</v>
      </c>
      <c r="B5598" s="5" t="str">
        <f>"SEPARADOR DE FARABEUF PEDIATRICO"</f>
        <v>SEPARADOR DE FARABEUF PEDIATRICO</v>
      </c>
      <c r="C5598" s="6">
        <v>41760</v>
      </c>
      <c r="D5598" s="5"/>
      <c r="E5598" s="5" t="str">
        <f t="shared" si="287"/>
        <v>INSTRUMENTACION-DIANA CAICEDO-DIANA DIAZ</v>
      </c>
      <c r="F5598" s="5" t="str">
        <f>"Descripcion: SEPARADORES BABY FARABEUF  Estado: Bueno Placa anterior: 000032021 Material: ACERO INOXIDABLE Color: PLATEADO Referencia:  Observacion:     Placa padre: I0000816Tipo adquisicion: Entidad"</f>
        <v>Descripcion: SEPARADORES BABY FARABEUF  Estado: Bueno Placa anterior: 000032021 Material: ACERO INOXIDABLE Color: PLATEADO Referencia:  Observacion:     Placa padre: I0000816Tipo adquisicion: Entidad</v>
      </c>
      <c r="G5598" s="5"/>
    </row>
    <row r="5599" spans="1:7" ht="58.5" customHeight="1" x14ac:dyDescent="0.25">
      <c r="A5599" s="5" t="str">
        <f>"I0000822"</f>
        <v>I0000822</v>
      </c>
      <c r="B5599" s="5" t="str">
        <f>"SEPARADOR DE FARABEUF PEDIATRICO"</f>
        <v>SEPARADOR DE FARABEUF PEDIATRICO</v>
      </c>
      <c r="C5599" s="6">
        <v>46400</v>
      </c>
      <c r="D5599" s="5"/>
      <c r="E5599" s="5" t="str">
        <f t="shared" ref="E5599:E5662" si="291">"INSTRUMENTACION-DIANA CAICEDO-DIANA DIAZ"</f>
        <v>INSTRUMENTACION-DIANA CAICEDO-DIANA DIAZ</v>
      </c>
      <c r="F5599" s="5" t="str">
        <f>"Descripcion: SEPARADORES BABY FARABEUF  Estado: Bueno Placa anterior: 000032022 Material: ACERO INOXIDABLE Color: PLATEADO Referencia:  Observacion:     Placa padre: I0000816Tipo adquisicion: Entidad"</f>
        <v>Descripcion: SEPARADORES BABY FARABEUF  Estado: Bueno Placa anterior: 000032022 Material: ACERO INOXIDABLE Color: PLATEADO Referencia:  Observacion:     Placa padre: I0000816Tipo adquisicion: Entidad</v>
      </c>
      <c r="G5599" s="5"/>
    </row>
    <row r="5600" spans="1:7" ht="58.5" customHeight="1" x14ac:dyDescent="0.25">
      <c r="A5600" s="5" t="str">
        <f>"I0000823"</f>
        <v>I0000823</v>
      </c>
      <c r="B5600" s="5" t="str">
        <f>"SEPARADOR DE SENN MILLER"</f>
        <v>SEPARADOR DE SENN MILLER</v>
      </c>
      <c r="C5600" s="6">
        <v>88160</v>
      </c>
      <c r="D5600" s="5"/>
      <c r="E5600" s="5" t="str">
        <f t="shared" si="291"/>
        <v>INSTRUMENTACION-DIANA CAICEDO-DIANA DIAZ</v>
      </c>
      <c r="F5600" s="5" t="str">
        <f>"Descripcion: SEPARADORES DE SENN MILLER  Estado: Bueno Placa anterior: 000032034 Material: ACERO INOXIDABLE Color: PLATEADO Referencia:  Observacion:     Placa padre: I0000816Tipo adquisicion: Entidad"</f>
        <v>Descripcion: SEPARADORES DE SENN MILLER  Estado: Bueno Placa anterior: 000032034 Material: ACERO INOXIDABLE Color: PLATEADO Referencia:  Observacion:     Placa padre: I0000816Tipo adquisicion: Entidad</v>
      </c>
      <c r="G5600" s="5"/>
    </row>
    <row r="5601" spans="1:7" ht="58.5" customHeight="1" x14ac:dyDescent="0.25">
      <c r="A5601" s="5" t="str">
        <f>"I0000824"</f>
        <v>I0000824</v>
      </c>
      <c r="B5601" s="5" t="str">
        <f>"SEPARADOR DE SENN MILLER"</f>
        <v>SEPARADOR DE SENN MILLER</v>
      </c>
      <c r="C5601" s="6">
        <v>88160</v>
      </c>
      <c r="D5601" s="5"/>
      <c r="E5601" s="5" t="str">
        <f t="shared" si="291"/>
        <v>INSTRUMENTACION-DIANA CAICEDO-DIANA DIAZ</v>
      </c>
      <c r="F5601" s="5" t="str">
        <f>"Descripcion: SEPARADORES DE SENN MILLER  Estado: Bueno Placa anterior: 000032035 Material: ACERO INOXIDABLE Color: PLATEADO Referencia:  Observacion:     Placa padre: I0000816Tipo adquisicion: Entidad"</f>
        <v>Descripcion: SEPARADORES DE SENN MILLER  Estado: Bueno Placa anterior: 000032035 Material: ACERO INOXIDABLE Color: PLATEADO Referencia:  Observacion:     Placa padre: I0000816Tipo adquisicion: Entidad</v>
      </c>
      <c r="G5601" s="5"/>
    </row>
    <row r="5602" spans="1:7" ht="58.5" customHeight="1" x14ac:dyDescent="0.25">
      <c r="A5602" s="5" t="str">
        <f>"I0000826"</f>
        <v>I0000826</v>
      </c>
      <c r="B5602" s="5" t="str">
        <f>"TIJERA  DE METZEMBAUM CURVA"</f>
        <v>TIJERA  DE METZEMBAUM CURVA</v>
      </c>
      <c r="C5602" s="6">
        <v>63800</v>
      </c>
      <c r="D5602" s="5"/>
      <c r="E5602" s="5" t="str">
        <f t="shared" si="291"/>
        <v>INSTRUMENTACION-DIANA CAICEDO-DIANA DIAZ</v>
      </c>
      <c r="F5602" s="5" t="str">
        <f>"Descripcion: TIJERA  CURVA DE METZEMBAU Estado: Bueno Placa anterior: 000032083 Material: ACERO INOXIDABLE Color: PLATEADO Referencia:  Observacion:     Placa padre: I0000816Tipo adquisicion: Entidad"</f>
        <v>Descripcion: TIJERA  CURVA DE METZEMBAU Estado: Bueno Placa anterior: 000032083 Material: ACERO INOXIDABLE Color: PLATEADO Referencia:  Observacion:     Placa padre: I0000816Tipo adquisicion: Entidad</v>
      </c>
      <c r="G5602" s="5"/>
    </row>
    <row r="5603" spans="1:7" ht="58.5" customHeight="1" x14ac:dyDescent="0.25">
      <c r="A5603" s="5" t="str">
        <f>"I0000827"</f>
        <v>I0000827</v>
      </c>
      <c r="B5603" s="5" t="str">
        <f>"TIJERA DE METZEMBAUM"</f>
        <v>TIJERA DE METZEMBAUM</v>
      </c>
      <c r="C5603" s="6">
        <v>63800</v>
      </c>
      <c r="D5603" s="5"/>
      <c r="E5603" s="5" t="str">
        <f t="shared" si="291"/>
        <v>INSTRUMENTACION-DIANA CAICEDO-DIANA DIAZ</v>
      </c>
      <c r="F5603" s="5" t="str">
        <f>"Descripcion: TIJERA METZEMBAUM MEDIANA (DIMEDA) Estado: Bueno Placa anterior: 000032084 Material: ACERO INOXIDABLE Color: PLATEADO Referencia:  Observacion:     Placa padre: I0000816Tipo adquisicion: Entidad"</f>
        <v>Descripcion: TIJERA METZEMBAUM MEDIANA (DIMEDA) Estado: Bueno Placa anterior: 000032084 Material: ACERO INOXIDABLE Color: PLATEADO Referencia:  Observacion:     Placa padre: I0000816Tipo adquisicion: Entidad</v>
      </c>
      <c r="G5603" s="5"/>
    </row>
    <row r="5604" spans="1:7" ht="58.5" customHeight="1" x14ac:dyDescent="0.25">
      <c r="A5604" s="5" t="str">
        <f>"I0000828"</f>
        <v>I0000828</v>
      </c>
      <c r="B5604" s="5" t="str">
        <f>"TIJERA DE METZEMBAUM"</f>
        <v>TIJERA DE METZEMBAUM</v>
      </c>
      <c r="C5604" s="6">
        <v>63800</v>
      </c>
      <c r="D5604" s="5"/>
      <c r="E5604" s="5" t="str">
        <f t="shared" si="291"/>
        <v>INSTRUMENTACION-DIANA CAICEDO-DIANA DIAZ</v>
      </c>
      <c r="F5604" s="5" t="str">
        <f>"Descripcion: TIJERA DE METZEMBAU FINA PEQUEÑA Estado: Bueno Placa anterior: 000032085 Material: ACERO INOXIDABLE Color: PLATEADO Referencia:  Observacion:     Placa padre: I0000816Tipo adquisicion: Entidad"</f>
        <v>Descripcion: TIJERA DE METZEMBAU FINA PEQUEÑA Estado: Bueno Placa anterior: 000032085 Material: ACERO INOXIDABLE Color: PLATEADO Referencia:  Observacion:     Placa padre: I0000816Tipo adquisicion: Entidad</v>
      </c>
      <c r="G5604" s="5"/>
    </row>
    <row r="5605" spans="1:7" ht="58.5" customHeight="1" x14ac:dyDescent="0.25">
      <c r="A5605" s="5" t="str">
        <f>"I0000830"</f>
        <v>I0000830</v>
      </c>
      <c r="B5605" s="5" t="str">
        <f>"PINZA ADSON"</f>
        <v>PINZA ADSON</v>
      </c>
      <c r="C5605" s="6">
        <v>31320</v>
      </c>
      <c r="D5605" s="5"/>
      <c r="E5605" s="5" t="str">
        <f t="shared" si="291"/>
        <v>INSTRUMENTACION-DIANA CAICEDO-DIANA DIAZ</v>
      </c>
      <c r="F5605" s="5" t="str">
        <f>"Descripcion: PINZA DE DISECCION ADSON CON GARRA Estado: Bueno Placa anterior: 000032256 Material: ACERO INOXIDABLE Color: PLATEADO Referencia:  Observacion:     Placa padre: I0000816Tipo adquisicion: Entidad"</f>
        <v>Descripcion: PINZA DE DISECCION ADSON CON GARRA Estado: Bueno Placa anterior: 000032256 Material: ACERO INOXIDABLE Color: PLATEADO Referencia:  Observacion:     Placa padre: I0000816Tipo adquisicion: Entidad</v>
      </c>
      <c r="G5605" s="5"/>
    </row>
    <row r="5606" spans="1:7" ht="58.5" customHeight="1" x14ac:dyDescent="0.25">
      <c r="A5606" s="5" t="str">
        <f>"I0000832"</f>
        <v>I0000832</v>
      </c>
      <c r="B5606" s="5" t="str">
        <f>"PINZA DE DISECCION CON GARRA MEDIANA 25 CM"</f>
        <v>PINZA DE DISECCION CON GARRA MEDIANA 25 CM</v>
      </c>
      <c r="C5606" s="6">
        <v>39440</v>
      </c>
      <c r="D5606" s="5"/>
      <c r="E5606" s="5" t="str">
        <f t="shared" si="291"/>
        <v>INSTRUMENTACION-DIANA CAICEDO-DIANA DIAZ</v>
      </c>
      <c r="F5606" s="5" t="str">
        <f>"Descripcion: PINZA DE DISECCION CON GARRA PEQUEÑA Estado: Bueno Placa anterior: 000031964 Material: ACERO INOXIDABLE Color: PLATEADO Referencia:  Observacion:     Placa padre: I0000816Tipo adquisicion: Entidad"</f>
        <v>Descripcion: PINZA DE DISECCION CON GARRA PEQUEÑA Estado: Bueno Placa anterior: 000031964 Material: ACERO INOXIDABLE Color: PLATEADO Referencia:  Observacion:     Placa padre: I0000816Tipo adquisicion: Entidad</v>
      </c>
      <c r="G5606" s="5"/>
    </row>
    <row r="5607" spans="1:7" ht="58.5" customHeight="1" x14ac:dyDescent="0.25">
      <c r="A5607" s="5" t="str">
        <f>"I0000838"</f>
        <v>I0000838</v>
      </c>
      <c r="B5607" s="5" t="str">
        <f>"PINZA BABY MOSQUITOS CURVA 10 CM"</f>
        <v>PINZA BABY MOSQUITOS CURVA 10 CM</v>
      </c>
      <c r="C5607" s="6">
        <v>41943</v>
      </c>
      <c r="D5607" s="5"/>
      <c r="E5607" s="5" t="str">
        <f t="shared" si="291"/>
        <v>INSTRUMENTACION-DIANA CAICEDO-DIANA DIAZ</v>
      </c>
      <c r="F5607" s="5" t="str">
        <f>"Descripcion: PINZAS BABY MOSQUITOS CURVAS Estado: Bueno Placa anterior: 000024535 Material: ACERO INOXIDABLE Color: PLATEADO Referencia:  Observacion:     Placa padre: I0000816Tipo adquisicion: Entidad"</f>
        <v>Descripcion: PINZAS BABY MOSQUITOS CURVAS Estado: Bueno Placa anterior: 000024535 Material: ACERO INOXIDABLE Color: PLATEADO Referencia:  Observacion:     Placa padre: I0000816Tipo adquisicion: Entidad</v>
      </c>
      <c r="G5607" s="5"/>
    </row>
    <row r="5608" spans="1:7" ht="58.5" customHeight="1" x14ac:dyDescent="0.25">
      <c r="A5608" s="5" t="str">
        <f>"I0000841"</f>
        <v>I0000841</v>
      </c>
      <c r="B5608" s="5" t="str">
        <f t="shared" ref="B5608:B5613" si="292">"PINZA MOSQUITO CURVA 12 CM"</f>
        <v>PINZA MOSQUITO CURVA 12 CM</v>
      </c>
      <c r="C5608" s="6">
        <v>39440</v>
      </c>
      <c r="D5608" s="5"/>
      <c r="E5608" s="5" t="str">
        <f t="shared" si="291"/>
        <v>INSTRUMENTACION-DIANA CAICEDO-DIANA DIAZ</v>
      </c>
      <c r="F5608" s="5" t="str">
        <f>"Descripcion: PINZAS MOSQUITOS  CURVAS Estado: Bueno Placa anterior: 000031932 Material: ACERO INOXIDABLE Color: PLATEADO Referencia:  Observacion:     Placa padre: I0000816Tipo adquisicion: Entidad"</f>
        <v>Descripcion: PINZAS MOSQUITOS  CURVAS Estado: Bueno Placa anterior: 000031932 Material: ACERO INOXIDABLE Color: PLATEADO Referencia:  Observacion:     Placa padre: I0000816Tipo adquisicion: Entidad</v>
      </c>
      <c r="G5608" s="5"/>
    </row>
    <row r="5609" spans="1:7" ht="58.5" customHeight="1" x14ac:dyDescent="0.25">
      <c r="A5609" s="5" t="str">
        <f>"I0000842"</f>
        <v>I0000842</v>
      </c>
      <c r="B5609" s="5" t="str">
        <f t="shared" si="292"/>
        <v>PINZA MOSQUITO CURVA 12 CM</v>
      </c>
      <c r="C5609" s="6">
        <v>39440</v>
      </c>
      <c r="D5609" s="5"/>
      <c r="E5609" s="5" t="str">
        <f t="shared" si="291"/>
        <v>INSTRUMENTACION-DIANA CAICEDO-DIANA DIAZ</v>
      </c>
      <c r="F5609" s="5" t="str">
        <f>"Descripcion: PINZAS MOSQUITOS  CURVAS Estado: Bueno Placa anterior: 000031933 Material: ACERO INOXIDABLE Color: PLATEADO Referencia:  Observacion:     Placa padre: I0000816Tipo adquisicion: Entidad"</f>
        <v>Descripcion: PINZAS MOSQUITOS  CURVAS Estado: Bueno Placa anterior: 000031933 Material: ACERO INOXIDABLE Color: PLATEADO Referencia:  Observacion:     Placa padre: I0000816Tipo adquisicion: Entidad</v>
      </c>
      <c r="G5609" s="5"/>
    </row>
    <row r="5610" spans="1:7" ht="58.5" customHeight="1" x14ac:dyDescent="0.25">
      <c r="A5610" s="5" t="str">
        <f>"I0000843"</f>
        <v>I0000843</v>
      </c>
      <c r="B5610" s="5" t="str">
        <f t="shared" si="292"/>
        <v>PINZA MOSQUITO CURVA 12 CM</v>
      </c>
      <c r="C5610" s="6">
        <v>39440</v>
      </c>
      <c r="D5610" s="5"/>
      <c r="E5610" s="5" t="str">
        <f t="shared" si="291"/>
        <v>INSTRUMENTACION-DIANA CAICEDO-DIANA DIAZ</v>
      </c>
      <c r="F5610" s="5" t="str">
        <f>"Descripcion: PINZAS MOSQUITOS  CURVAS Estado: Bueno Placa anterior: 000031934 Material: ACERO INOXIDABLE Color: PLATEADO Referencia:  Observacion:     Placa padre: I0000816Tipo adquisicion: Entidad"</f>
        <v>Descripcion: PINZAS MOSQUITOS  CURVAS Estado: Bueno Placa anterior: 000031934 Material: ACERO INOXIDABLE Color: PLATEADO Referencia:  Observacion:     Placa padre: I0000816Tipo adquisicion: Entidad</v>
      </c>
      <c r="G5610" s="5"/>
    </row>
    <row r="5611" spans="1:7" ht="58.5" customHeight="1" x14ac:dyDescent="0.25">
      <c r="A5611" s="5" t="str">
        <f>"I0000844"</f>
        <v>I0000844</v>
      </c>
      <c r="B5611" s="5" t="str">
        <f t="shared" si="292"/>
        <v>PINZA MOSQUITO CURVA 12 CM</v>
      </c>
      <c r="C5611" s="6">
        <v>39440</v>
      </c>
      <c r="D5611" s="5"/>
      <c r="E5611" s="5" t="str">
        <f t="shared" si="291"/>
        <v>INSTRUMENTACION-DIANA CAICEDO-DIANA DIAZ</v>
      </c>
      <c r="F5611" s="5" t="str">
        <f>"Descripcion: PINZAS MOSQUITOS  CURVAS Estado: Bueno Placa anterior: 000031935 Material: ACERO INOXIDABLE Color: PLATEADO Referencia:  Observacion:     Placa padre: I0000816Tipo adquisicion: Entidad"</f>
        <v>Descripcion: PINZAS MOSQUITOS  CURVAS Estado: Bueno Placa anterior: 000031935 Material: ACERO INOXIDABLE Color: PLATEADO Referencia:  Observacion:     Placa padre: I0000816Tipo adquisicion: Entidad</v>
      </c>
      <c r="G5611" s="5"/>
    </row>
    <row r="5612" spans="1:7" ht="58.5" customHeight="1" x14ac:dyDescent="0.25">
      <c r="A5612" s="5" t="str">
        <f>"I0000845"</f>
        <v>I0000845</v>
      </c>
      <c r="B5612" s="5" t="str">
        <f t="shared" si="292"/>
        <v>PINZA MOSQUITO CURVA 12 CM</v>
      </c>
      <c r="C5612" s="6">
        <v>39440</v>
      </c>
      <c r="D5612" s="5"/>
      <c r="E5612" s="5" t="str">
        <f t="shared" si="291"/>
        <v>INSTRUMENTACION-DIANA CAICEDO-DIANA DIAZ</v>
      </c>
      <c r="F5612" s="5" t="str">
        <f>"Descripcion: PINZAS MOSQUITOS  CURVAS Estado: Bueno Placa anterior: 000036242 Material: ACERO INOXIDABLE Color: PLATEADO Referencia:  Observacion:     Placa padre: I0000816Tipo adquisicion: Entidad"</f>
        <v>Descripcion: PINZAS MOSQUITOS  CURVAS Estado: Bueno Placa anterior: 000036242 Material: ACERO INOXIDABLE Color: PLATEADO Referencia:  Observacion:     Placa padre: I0000816Tipo adquisicion: Entidad</v>
      </c>
      <c r="G5612" s="5"/>
    </row>
    <row r="5613" spans="1:7" ht="58.5" customHeight="1" x14ac:dyDescent="0.25">
      <c r="A5613" s="5" t="str">
        <f>"I0000846"</f>
        <v>I0000846</v>
      </c>
      <c r="B5613" s="5" t="str">
        <f t="shared" si="292"/>
        <v>PINZA MOSQUITO CURVA 12 CM</v>
      </c>
      <c r="C5613" s="6">
        <v>39440</v>
      </c>
      <c r="D5613" s="5"/>
      <c r="E5613" s="5" t="str">
        <f t="shared" si="291"/>
        <v>INSTRUMENTACION-DIANA CAICEDO-DIANA DIAZ</v>
      </c>
      <c r="F5613" s="5" t="str">
        <f>"Descripcion: PINZAS MOSQUITOS  CURVAS Estado: Bueno Placa anterior: 000036231 Material: ACERO INOXIDABLE Color: PLATEADO Referencia:  Observacion:     Placa padre: I0000816Tipo adquisicion: Entidad"</f>
        <v>Descripcion: PINZAS MOSQUITOS  CURVAS Estado: Bueno Placa anterior: 000036231 Material: ACERO INOXIDABLE Color: PLATEADO Referencia:  Observacion:     Placa padre: I0000816Tipo adquisicion: Entidad</v>
      </c>
      <c r="G5613" s="5"/>
    </row>
    <row r="5614" spans="1:7" ht="58.5" customHeight="1" x14ac:dyDescent="0.25">
      <c r="A5614" s="5" t="str">
        <f>"I0000847"</f>
        <v>I0000847</v>
      </c>
      <c r="B5614" s="5" t="str">
        <f>"PINZA KELLY CURVA 16 CM"</f>
        <v>PINZA KELLY CURVA 16 CM</v>
      </c>
      <c r="C5614" s="6">
        <v>52200</v>
      </c>
      <c r="D5614" s="5"/>
      <c r="E5614" s="5" t="str">
        <f t="shared" si="291"/>
        <v>INSTRUMENTACION-DIANA CAICEDO-DIANA DIAZ</v>
      </c>
      <c r="F5614" s="5" t="str">
        <f>"Descripcion: PINZAS KELLY CURVAS CORTAS   Estado: Bueno Placa anterior: 000036132 Material: ACERO INOXIDABLE Color: PLATEADO Referencia:  Observacion:     Placa padre: I0000816Tipo adquisicion: Entidad"</f>
        <v>Descripcion: PINZAS KELLY CURVAS CORTAS   Estado: Bueno Placa anterior: 000036132 Material: ACERO INOXIDABLE Color: PLATEADO Referencia:  Observacion:     Placa padre: I0000816Tipo adquisicion: Entidad</v>
      </c>
      <c r="G5614" s="5"/>
    </row>
    <row r="5615" spans="1:7" ht="58.5" customHeight="1" x14ac:dyDescent="0.25">
      <c r="A5615" s="5" t="str">
        <f>"I0000848"</f>
        <v>I0000848</v>
      </c>
      <c r="B5615" s="5" t="str">
        <f>"PINZA KELLY CURVA 16 CM"</f>
        <v>PINZA KELLY CURVA 16 CM</v>
      </c>
      <c r="C5615" s="6">
        <v>52200</v>
      </c>
      <c r="D5615" s="5"/>
      <c r="E5615" s="5" t="str">
        <f t="shared" si="291"/>
        <v>INSTRUMENTACION-DIANA CAICEDO-DIANA DIAZ</v>
      </c>
      <c r="F5615" s="5" t="str">
        <f>"Descripcion: PINZAS KELLY CURVAS CORTAS   Estado: Bueno Placa anterior: 000036133 Material: ACERO INOXIDABLE Color: PLATEADO Referencia:  Observacion:     Placa padre: I0000816Tipo adquisicion: Entidad"</f>
        <v>Descripcion: PINZAS KELLY CURVAS CORTAS   Estado: Bueno Placa anterior: 000036133 Material: ACERO INOXIDABLE Color: PLATEADO Referencia:  Observacion:     Placa padre: I0000816Tipo adquisicion: Entidad</v>
      </c>
      <c r="G5615" s="5"/>
    </row>
    <row r="5616" spans="1:7" ht="58.5" customHeight="1" x14ac:dyDescent="0.25">
      <c r="A5616" s="5" t="str">
        <f>"I0000849"</f>
        <v>I0000849</v>
      </c>
      <c r="B5616" s="5" t="str">
        <f>"PINZA KELLY CURVA 16 CM"</f>
        <v>PINZA KELLY CURVA 16 CM</v>
      </c>
      <c r="C5616" s="6">
        <v>52200</v>
      </c>
      <c r="D5616" s="5"/>
      <c r="E5616" s="5" t="str">
        <f t="shared" si="291"/>
        <v>INSTRUMENTACION-DIANA CAICEDO-DIANA DIAZ</v>
      </c>
      <c r="F5616" s="5" t="str">
        <f>"Descripcion: PINZAS KELLY CURVAS CORTAS   Estado: Bueno Placa anterior: 000036134 Material: ACERO INOXIDABLE Color: PLATEADO Referencia:  Observacion:     Placa padre: I0000816Tipo adquisicion: Entidad"</f>
        <v>Descripcion: PINZAS KELLY CURVAS CORTAS   Estado: Bueno Placa anterior: 000036134 Material: ACERO INOXIDABLE Color: PLATEADO Referencia:  Observacion:     Placa padre: I0000816Tipo adquisicion: Entidad</v>
      </c>
      <c r="G5616" s="5"/>
    </row>
    <row r="5617" spans="1:7" ht="58.5" customHeight="1" x14ac:dyDescent="0.25">
      <c r="A5617" s="5" t="str">
        <f>"I0000850"</f>
        <v>I0000850</v>
      </c>
      <c r="B5617" s="5" t="str">
        <f>"PINZA KELLY CURVA 16 CM"</f>
        <v>PINZA KELLY CURVA 16 CM</v>
      </c>
      <c r="C5617" s="6">
        <v>52200</v>
      </c>
      <c r="D5617" s="5"/>
      <c r="E5617" s="5" t="str">
        <f t="shared" si="291"/>
        <v>INSTRUMENTACION-DIANA CAICEDO-DIANA DIAZ</v>
      </c>
      <c r="F5617" s="5" t="str">
        <f>"Descripcion: PINZAS KELLY CURVAS CORTAS   Estado: Bueno Placa anterior: 000036135 Material: ACERO INOXIDABLE Color: PLATEADO Referencia:  Observacion:     Placa padre: I0000816Tipo adquisicion: Entidad"</f>
        <v>Descripcion: PINZAS KELLY CURVAS CORTAS   Estado: Bueno Placa anterior: 000036135 Material: ACERO INOXIDABLE Color: PLATEADO Referencia:  Observacion:     Placa padre: I0000816Tipo adquisicion: Entidad</v>
      </c>
      <c r="G5617" s="5"/>
    </row>
    <row r="5618" spans="1:7" ht="58.5" customHeight="1" x14ac:dyDescent="0.25">
      <c r="A5618" s="5" t="str">
        <f>"I0000851"</f>
        <v>I0000851</v>
      </c>
      <c r="B5618" s="5" t="str">
        <f>"PINZA ROCHESTER CURVA 25 CM"</f>
        <v>PINZA ROCHESTER CURVA 25 CM</v>
      </c>
      <c r="C5618" s="6">
        <v>113680</v>
      </c>
      <c r="D5618" s="5"/>
      <c r="E5618" s="5" t="str">
        <f t="shared" si="291"/>
        <v>INSTRUMENTACION-DIANA CAICEDO-DIANA DIAZ</v>
      </c>
      <c r="F5618" s="5" t="str">
        <f>"Descripcion: PINZAS ROCHESTER CURVAS  Estado: Bueno Placa anterior: 000032472 Material: ACERO INOXIDABLE Color: PLATEADO Referencia:  Observacion:     Placa padre: I0000816Tipo adquisicion: Entidad"</f>
        <v>Descripcion: PINZAS ROCHESTER CURVAS  Estado: Bueno Placa anterior: 000032472 Material: ACERO INOXIDABLE Color: PLATEADO Referencia:  Observacion:     Placa padre: I0000816Tipo adquisicion: Entidad</v>
      </c>
      <c r="G5618" s="5"/>
    </row>
    <row r="5619" spans="1:7" ht="58.5" customHeight="1" x14ac:dyDescent="0.25">
      <c r="A5619" s="5" t="str">
        <f>"I0000852"</f>
        <v>I0000852</v>
      </c>
      <c r="B5619" s="5" t="str">
        <f>"PINZA ROCHESTER CURVA 25 CM"</f>
        <v>PINZA ROCHESTER CURVA 25 CM</v>
      </c>
      <c r="C5619" s="6">
        <v>113680</v>
      </c>
      <c r="D5619" s="5"/>
      <c r="E5619" s="5" t="str">
        <f t="shared" si="291"/>
        <v>INSTRUMENTACION-DIANA CAICEDO-DIANA DIAZ</v>
      </c>
      <c r="F5619" s="5" t="str">
        <f>"Descripcion: PINZAS ROCHESTER CURVAS  Estado: Bueno Placa anterior: 000032473 Material: ACERO INOXIDABLE Color: PLATEADO Referencia:  Observacion:     Placa padre: I0000816Tipo adquisicion: Entidad"</f>
        <v>Descripcion: PINZAS ROCHESTER CURVAS  Estado: Bueno Placa anterior: 000032473 Material: ACERO INOXIDABLE Color: PLATEADO Referencia:  Observacion:     Placa padre: I0000816Tipo adquisicion: Entidad</v>
      </c>
      <c r="G5619" s="5"/>
    </row>
    <row r="5620" spans="1:7" ht="58.5" customHeight="1" x14ac:dyDescent="0.25">
      <c r="A5620" s="5" t="str">
        <f>"I0000859"</f>
        <v>I0000859</v>
      </c>
      <c r="B5620" s="5" t="str">
        <f>"PORTAGUJAS (PINZA)"</f>
        <v>PORTAGUJAS (PINZA)</v>
      </c>
      <c r="C5620" s="6">
        <v>7500</v>
      </c>
      <c r="D5620" s="5"/>
      <c r="E5620" s="5" t="str">
        <f t="shared" si="291"/>
        <v>INSTRUMENTACION-DIANA CAICEDO-DIANA DIAZ</v>
      </c>
      <c r="F5620" s="5" t="str">
        <f>"Descripcion: PORTA AGUJAS MEDIANO Estado: Bueno Placa anterior: 000006604 Material: ACERO INOXIDABLE Color: PLATEADO Referencia:  Observacion:     Placa padre: I0000816Tipo adquisicion: Entidad"</f>
        <v>Descripcion: PORTA AGUJAS MEDIANO Estado: Bueno Placa anterior: 000006604 Material: ACERO INOXIDABLE Color: PLATEADO Referencia:  Observacion:     Placa padre: I0000816Tipo adquisicion: Entidad</v>
      </c>
      <c r="G5620" s="5"/>
    </row>
    <row r="5621" spans="1:7" ht="58.5" customHeight="1" x14ac:dyDescent="0.25">
      <c r="A5621" s="5" t="str">
        <f>"I0000860"</f>
        <v>I0000860</v>
      </c>
      <c r="B5621" s="5" t="str">
        <f>"PORTAGUJAS (PINZA)"</f>
        <v>PORTAGUJAS (PINZA)</v>
      </c>
      <c r="C5621" s="6">
        <v>63800</v>
      </c>
      <c r="D5621" s="5"/>
      <c r="E5621" s="5" t="str">
        <f t="shared" si="291"/>
        <v>INSTRUMENTACION-DIANA CAICEDO-DIANA DIAZ</v>
      </c>
      <c r="F5621" s="5" t="str">
        <f>"Descripcion: PORTA AGUJAS PEQUEÑO Estado: Bueno Placa anterior: 000032451 Material: ACERO INOXIDABLE Color: PLATEADO Referencia:  Observacion:     Placa padre: I0000816Tipo adquisicion: Entidad"</f>
        <v>Descripcion: PORTA AGUJAS PEQUEÑO Estado: Bueno Placa anterior: 000032451 Material: ACERO INOXIDABLE Color: PLATEADO Referencia:  Observacion:     Placa padre: I0000816Tipo adquisicion: Entidad</v>
      </c>
      <c r="G5621" s="5"/>
    </row>
    <row r="5622" spans="1:7" ht="58.5" customHeight="1" x14ac:dyDescent="0.25">
      <c r="A5622" s="5" t="str">
        <f>"I0000861"</f>
        <v>I0000861</v>
      </c>
      <c r="B5622" s="5" t="str">
        <f>"PINZA CISTICO"</f>
        <v>PINZA CISTICO</v>
      </c>
      <c r="C5622" s="6">
        <v>162400</v>
      </c>
      <c r="D5622" s="5"/>
      <c r="E5622" s="5" t="str">
        <f t="shared" si="291"/>
        <v>INSTRUMENTACION-DIANA CAICEDO-DIANA DIAZ</v>
      </c>
      <c r="F5622" s="5" t="str">
        <f>"Descripcion: PINZA CISTICO   Estado: Bueno Placa anterior: 000036187 Material: ACERO INOXIDABLE Color: PLATEADO Referencia:  Observacion: PINZA LAHEY DUCTO BILIAR CURVA  Placa padre: I0000816Tipo adquisicion: Entidad"</f>
        <v>Descripcion: PINZA CISTICO   Estado: Bueno Placa anterior: 000036187 Material: ACERO INOXIDABLE Color: PLATEADO Referencia:  Observacion: PINZA LAHEY DUCTO BILIAR CURVA  Placa padre: I0000816Tipo adquisicion: Entidad</v>
      </c>
      <c r="G5622" s="5"/>
    </row>
    <row r="5623" spans="1:7" ht="58.5" customHeight="1" x14ac:dyDescent="0.25">
      <c r="A5623" s="5" t="str">
        <f>"I0000867"</f>
        <v>I0000867</v>
      </c>
      <c r="B5623" s="5" t="str">
        <f>"CANULA DE YANKAUER"</f>
        <v>CANULA DE YANKAUER</v>
      </c>
      <c r="C5623" s="6">
        <v>92800</v>
      </c>
      <c r="D5623" s="5"/>
      <c r="E5623" s="5" t="str">
        <f t="shared" si="291"/>
        <v>INSTRUMENTACION-DIANA CAICEDO-DIANA DIAZ</v>
      </c>
      <c r="F5623" s="5" t="str">
        <f>"Descripcion: CANULA DE SUCCION YANKAWER Estado: Bueno Placa anterior: 000031642 Material: ACERO INOXIDABLE Color: PLATEADO Referencia:  Observacion:     Placa padre: I0000816Tipo adquisicion: Entidad"</f>
        <v>Descripcion: CANULA DE SUCCION YANKAWER Estado: Bueno Placa anterior: 000031642 Material: ACERO INOXIDABLE Color: PLATEADO Referencia:  Observacion:     Placa padre: I0000816Tipo adquisicion: Entidad</v>
      </c>
      <c r="G5623" s="5"/>
    </row>
    <row r="5624" spans="1:7" ht="58.5" customHeight="1" x14ac:dyDescent="0.25">
      <c r="A5624" s="5" t="str">
        <f>"I0000868"</f>
        <v>I0000868</v>
      </c>
      <c r="B5624" s="5" t="str">
        <f t="shared" ref="B5624:B5629" si="293">"PINZA DE CAMPO"</f>
        <v>PINZA DE CAMPO</v>
      </c>
      <c r="C5624" s="6">
        <v>39440</v>
      </c>
      <c r="D5624" s="5"/>
      <c r="E5624" s="5" t="str">
        <f t="shared" si="291"/>
        <v>INSTRUMENTACION-DIANA CAICEDO-DIANA DIAZ</v>
      </c>
      <c r="F5624" s="5" t="str">
        <f>"Descripcion: PINZAS DE CAMPO (DIMEDA) Estado: Bueno Placa anterior: 000031785 Material: ACERO INOXIDABLE Color: PLATEADO Referencia:  Observacion:     Placa padre: I0000816Tipo adquisicion: Entidad"</f>
        <v>Descripcion: PINZAS DE CAMPO (DIMEDA) Estado: Bueno Placa anterior: 000031785 Material: ACERO INOXIDABLE Color: PLATEADO Referencia:  Observacion:     Placa padre: I0000816Tipo adquisicion: Entidad</v>
      </c>
      <c r="G5624" s="5"/>
    </row>
    <row r="5625" spans="1:7" ht="58.5" customHeight="1" x14ac:dyDescent="0.25">
      <c r="A5625" s="5" t="str">
        <f>"I0000869"</f>
        <v>I0000869</v>
      </c>
      <c r="B5625" s="5" t="str">
        <f t="shared" si="293"/>
        <v>PINZA DE CAMPO</v>
      </c>
      <c r="C5625" s="6">
        <v>39440</v>
      </c>
      <c r="D5625" s="5"/>
      <c r="E5625" s="5" t="str">
        <f t="shared" si="291"/>
        <v>INSTRUMENTACION-DIANA CAICEDO-DIANA DIAZ</v>
      </c>
      <c r="F5625" s="5" t="str">
        <f>"Descripcion: PINZAS DE CAMPO (DIMEDA) Estado: Bueno Placa anterior: 000031786 Material: ACERO INOXIDABLE Color: PLATEADO Referencia:  Observacion:     Placa padre: I0000816Tipo adquisicion: Entidad"</f>
        <v>Descripcion: PINZAS DE CAMPO (DIMEDA) Estado: Bueno Placa anterior: 000031786 Material: ACERO INOXIDABLE Color: PLATEADO Referencia:  Observacion:     Placa padre: I0000816Tipo adquisicion: Entidad</v>
      </c>
      <c r="G5625" s="5"/>
    </row>
    <row r="5626" spans="1:7" ht="58.5" customHeight="1" x14ac:dyDescent="0.25">
      <c r="A5626" s="5" t="str">
        <f>"I0000870"</f>
        <v>I0000870</v>
      </c>
      <c r="B5626" s="5" t="str">
        <f t="shared" si="293"/>
        <v>PINZA DE CAMPO</v>
      </c>
      <c r="C5626" s="6">
        <v>39440</v>
      </c>
      <c r="D5626" s="5"/>
      <c r="E5626" s="5" t="str">
        <f t="shared" si="291"/>
        <v>INSTRUMENTACION-DIANA CAICEDO-DIANA DIAZ</v>
      </c>
      <c r="F5626" s="5" t="str">
        <f>"Descripcion: PINZAS DE CAMPO (DIMEDA) Estado: Bueno Placa anterior: 000031787 Material: ACERO INOXIDABLE Color: PLATEADO Referencia:  Observacion:     Placa padre: I0000816Tipo adquisicion: Entidad"</f>
        <v>Descripcion: PINZAS DE CAMPO (DIMEDA) Estado: Bueno Placa anterior: 000031787 Material: ACERO INOXIDABLE Color: PLATEADO Referencia:  Observacion:     Placa padre: I0000816Tipo adquisicion: Entidad</v>
      </c>
      <c r="G5626" s="5"/>
    </row>
    <row r="5627" spans="1:7" ht="58.5" customHeight="1" x14ac:dyDescent="0.25">
      <c r="A5627" s="5" t="str">
        <f>"I0000871"</f>
        <v>I0000871</v>
      </c>
      <c r="B5627" s="5" t="str">
        <f t="shared" si="293"/>
        <v>PINZA DE CAMPO</v>
      </c>
      <c r="C5627" s="6">
        <v>39440</v>
      </c>
      <c r="D5627" s="5"/>
      <c r="E5627" s="5" t="str">
        <f t="shared" si="291"/>
        <v>INSTRUMENTACION-DIANA CAICEDO-DIANA DIAZ</v>
      </c>
      <c r="F5627" s="5" t="str">
        <f>"Descripcion: PINZAS DE CAMPO (DIMEDA) Estado: Bueno Placa anterior: 000031788 Material: ACERO INOXIDABLE Color: PLATEADO Referencia:  Observacion:     Placa padre: I0000816Tipo adquisicion: Entidad"</f>
        <v>Descripcion: PINZAS DE CAMPO (DIMEDA) Estado: Bueno Placa anterior: 000031788 Material: ACERO INOXIDABLE Color: PLATEADO Referencia:  Observacion:     Placa padre: I0000816Tipo adquisicion: Entidad</v>
      </c>
      <c r="G5627" s="5"/>
    </row>
    <row r="5628" spans="1:7" ht="58.5" customHeight="1" x14ac:dyDescent="0.25">
      <c r="A5628" s="5" t="str">
        <f>"I0000872"</f>
        <v>I0000872</v>
      </c>
      <c r="B5628" s="5" t="str">
        <f t="shared" si="293"/>
        <v>PINZA DE CAMPO</v>
      </c>
      <c r="C5628" s="6">
        <v>39440</v>
      </c>
      <c r="D5628" s="5"/>
      <c r="E5628" s="5" t="str">
        <f t="shared" si="291"/>
        <v>INSTRUMENTACION-DIANA CAICEDO-DIANA DIAZ</v>
      </c>
      <c r="F5628" s="5" t="str">
        <f>"Descripcion: PINZAS DE CAMPO (DIMEDA) Estado: Bueno Placa anterior: 000031789 Material: ACERO INOXIDABLE Color: PLATEADO Referencia:  Observacion:     Placa padre: I0000816Tipo adquisicion: Entidad"</f>
        <v>Descripcion: PINZAS DE CAMPO (DIMEDA) Estado: Bueno Placa anterior: 000031789 Material: ACERO INOXIDABLE Color: PLATEADO Referencia:  Observacion:     Placa padre: I0000816Tipo adquisicion: Entidad</v>
      </c>
      <c r="G5628" s="5"/>
    </row>
    <row r="5629" spans="1:7" ht="58.5" customHeight="1" x14ac:dyDescent="0.25">
      <c r="A5629" s="5" t="str">
        <f>"I0000873"</f>
        <v>I0000873</v>
      </c>
      <c r="B5629" s="5" t="str">
        <f t="shared" si="293"/>
        <v>PINZA DE CAMPO</v>
      </c>
      <c r="C5629" s="6">
        <v>39440</v>
      </c>
      <c r="D5629" s="5"/>
      <c r="E5629" s="5" t="str">
        <f t="shared" si="291"/>
        <v>INSTRUMENTACION-DIANA CAICEDO-DIANA DIAZ</v>
      </c>
      <c r="F5629" s="5" t="str">
        <f>"Descripcion: PINZAS DE CAMPO (DIMEDA) Estado: Bueno Placa anterior: 000031790 Material: ACERO INOXIDABLE Color: PLATEADO Referencia:  Observacion:     Placa padre: I0000816Tipo adquisicion: Entidad"</f>
        <v>Descripcion: PINZAS DE CAMPO (DIMEDA) Estado: Bueno Placa anterior: 000031790 Material: ACERO INOXIDABLE Color: PLATEADO Referencia:  Observacion:     Placa padre: I0000816Tipo adquisicion: Entidad</v>
      </c>
      <c r="G5629" s="5"/>
    </row>
    <row r="5630" spans="1:7" ht="58.5" customHeight="1" x14ac:dyDescent="0.25">
      <c r="A5630" s="5" t="str">
        <f>"I0000874"</f>
        <v>I0000874</v>
      </c>
      <c r="B5630" s="5" t="str">
        <f>"COCAS EN ACERO INOXIDABLE (ENTREGAR DOSIS DE MEDICINA)"</f>
        <v>COCAS EN ACERO INOXIDABLE (ENTREGAR DOSIS DE MEDICINA)</v>
      </c>
      <c r="C5630" s="6">
        <v>6000</v>
      </c>
      <c r="D5630" s="5"/>
      <c r="E5630" s="5" t="str">
        <f t="shared" si="291"/>
        <v>INSTRUMENTACION-DIANA CAICEDO-DIANA DIAZ</v>
      </c>
      <c r="F5630" s="5" t="str">
        <f>"Descripcion: COCA NIQUELADA  Estado: Bueno Placa anterior: 000016195 Material: ACERO INOXIDABLE Color: PLATEADO Referencia:  Observacion:     Placa padre: I0000816Tipo adquisicion: Entidad"</f>
        <v>Descripcion: COCA NIQUELADA  Estado: Bueno Placa anterior: 000016195 Material: ACERO INOXIDABLE Color: PLATEADO Referencia:  Observacion:     Placa padre: I0000816Tipo adquisicion: Entidad</v>
      </c>
      <c r="G5630" s="5"/>
    </row>
    <row r="5631" spans="1:7" ht="58.5" customHeight="1" x14ac:dyDescent="0.25">
      <c r="A5631" s="5" t="str">
        <f>"I0000876"</f>
        <v>I0000876</v>
      </c>
      <c r="B5631" s="5" t="str">
        <f>"CUBETA DE ACERO INOXIDABLE MEDIANA"</f>
        <v>CUBETA DE ACERO INOXIDABLE MEDIANA</v>
      </c>
      <c r="C5631" s="6">
        <v>160660</v>
      </c>
      <c r="D5631" s="5"/>
      <c r="E5631" s="5" t="str">
        <f t="shared" si="291"/>
        <v>INSTRUMENTACION-DIANA CAICEDO-DIANA DIAZ</v>
      </c>
      <c r="F5631" s="5" t="str">
        <f>"Descripcion: CUBETA  DE INSTRUMENTAL NIQUELADA Estado: Bueno Placa anterior: 000025344 Material: ACERO INOXIDABLE Color: PLATEADO Referencia:  Observacion:     Placa padre: I0000816Tipo adquisicion: Entidad"</f>
        <v>Descripcion: CUBETA  DE INSTRUMENTAL NIQUELADA Estado: Bueno Placa anterior: 000025344 Material: ACERO INOXIDABLE Color: PLATEADO Referencia:  Observacion:     Placa padre: I0000816Tipo adquisicion: Entidad</v>
      </c>
      <c r="G5631" s="5"/>
    </row>
    <row r="5632" spans="1:7" ht="58.5" customHeight="1" x14ac:dyDescent="0.25">
      <c r="A5632" s="5" t="str">
        <f>"I0000877"</f>
        <v>I0000877</v>
      </c>
      <c r="B5632" s="5" t="str">
        <f>"EQUIPO DE LAPARATOMIA"</f>
        <v>EQUIPO DE LAPARATOMIA</v>
      </c>
      <c r="C5632" s="6">
        <v>2046192.45</v>
      </c>
      <c r="D5632" s="5"/>
      <c r="E5632" s="5" t="str">
        <f t="shared" si="291"/>
        <v>INSTRUMENTACION-DIANA CAICEDO-DIANA DIAZ</v>
      </c>
      <c r="F5632" s="5" t="str">
        <f>"Descripcion: EQUIPO DE LAPARATOMIA DE NIÑOS # 2 QUE CONSTA DE:  (1) MANGO DE BISTURI # 3  (1) MANGO DE BISTURI # 4  (0) SEPARADORES DE FARABEUF   (2) SEPARADORES BABY FARABEUF   (1) SEPARADORES DE SENN MILLER   (1)SEPARADOR ABDOMINAL DE NIÑOS  (0) TIJERA "&amp; " CURVA DE METZEMBAU  (1)TIJERA METZEMBAUM MEDIANA (DIMEDA)  (1) TIJERA DE METZEMBAU FINA PEQUEÑA  (0) TIJERA RECTA DE MAYO (DIMEDA)  (1) PINZA DE DISECCION ADSON CON GARRA  (1) PINZA DE DISECCION ADSON SIN GARRA   (1) PINZA DE DISECCION CON GARRA PEQUEÑA "&amp; " (1) PINZA DE DISECCION  SIN GARRA  CORTA PEQUEÑA  (1) PINZA DE DISECCION  SIN GARRA  MEDIANA  (1) PINZA DE DISECCION FINA LARGA SIN GARRA  (1) PINZA DE DISECCION RUSA  (4) PINZAS BABY MOSQUITOS CURVAS  (6) PINZAS MOSQUITOS  CURVAS  (4) PINZAS KELLY CURVA"&amp; "S CORTAS    (0) PINZAS ROCHESTER CURVAS   (2) PINZAS ALLIX  PEQUEÑAS (DIMEDA)  (2) PINZAS KELLY ADSON (DIMEDA)  (1) PORTA AGUJAS MEDIANO  (1) PORTA AGUJAS PEQUEÑO  (1) PINZA CISTICO    (2) PINZAS BABCOCK  (1) PINZA FOSTER   (1) SONDA ACANALADA   (0) CANUL"&amp; "A DE SUCCION  FRAZIER (DIMEDA)  (1) CANULA DE SUCCION YANKAWER   (6) PINZAS DE CAMPO (DIMEDA)  (1) COCA NIQUELADA   (1) PLATON NIQUELADA   (1) CUBETA  DE INSTRUMENTAL NIQUELADA Estado: Bueno Placa anterior: 000014662 Material: ACERO INOXIDABLE Color: PLAT"&amp; "EADO Referencia:  Observacion:     Placa padre: Tipo adquisicion: Entidad"</f>
        <v>Descripcion: EQUIPO DE LAPARATOMIA DE NIÑOS # 2 QUE CONSTA DE:  (1) MANGO DE BISTURI # 3  (1) MANGO DE BISTURI # 4  (0) SEPARADORES DE FARABEUF   (2) SEPARADORES BABY FARABEUF   (1) SEPARADORES DE SENN MILLER   (1)SEPARADOR ABDOMINAL DE NIÑOS  (0) TIJERA  CURVA DE METZEMBAU  (1)TIJERA METZEMBAUM MEDIANA (DIMEDA)  (1) TIJERA DE METZEMBAU FINA PEQUEÑA  (0) TIJERA RECTA DE MAYO (DIMEDA)  (1) PINZA DE DISECCION ADSON CON GARRA  (1) PINZA DE DISECCION ADSON SIN GARRA   (1) PINZA DE DISECCION CON GARRA PEQUEÑA  (1) PINZA DE DISECCION  SIN GARRA  CORTA PEQUEÑA  (1) PINZA DE DISECCION  SIN GARRA  MEDIANA  (1) PINZA DE DISECCION FINA LARGA SIN GARRA  (1) PINZA DE DISECCION RUSA  (4) PINZAS BABY MOSQUITOS CURVAS  (6) PINZAS MOSQUITOS  CURVAS  (4) PINZAS KELLY CURVAS CORTAS    (0) PINZAS ROCHESTER CURVAS   (2) PINZAS ALLIX  PEQUEÑAS (DIMEDA)  (2) PINZAS KELLY ADSON (DIMEDA)  (1) PORTA AGUJAS MEDIANO  (1) PORTA AGUJAS PEQUEÑO  (1) PINZA CISTICO    (2) PINZAS BABCOCK  (1) PINZA FOSTER   (1) SONDA ACANALADA   (0) CANULA DE SUCCION  FRAZIER (DIMEDA)  (1) CANULA DE SUCCION YANKAWER   (6) PINZAS DE CAMPO (DIMEDA)  (1) COCA NIQUELADA   (1) PLATON NIQUELADA   (1) CUBETA  DE INSTRUMENTAL NIQUELADA Estado: Bueno Placa anterior: 000014662 Material: ACERO INOXIDABLE Color: PLATEADO Referencia:  Observacion:     Placa padre: Tipo adquisicion: Entidad</v>
      </c>
      <c r="G5632" s="5"/>
    </row>
    <row r="5633" spans="1:7" ht="58.5" customHeight="1" x14ac:dyDescent="0.25">
      <c r="A5633" s="5" t="str">
        <f>"I0000878"</f>
        <v>I0000878</v>
      </c>
      <c r="B5633" s="5" t="str">
        <f>"MANGO PARA BISTURI #4"</f>
        <v>MANGO PARA BISTURI #4</v>
      </c>
      <c r="C5633" s="6">
        <v>15080</v>
      </c>
      <c r="D5633" s="5"/>
      <c r="E5633" s="5" t="str">
        <f t="shared" si="291"/>
        <v>INSTRUMENTACION-DIANA CAICEDO-DIANA DIAZ</v>
      </c>
      <c r="F5633" s="5" t="str">
        <f>"Descripcion: MANGO DE BISTURI # 3 Estado: Bueno Placa anterior: 000031852 Material: ACERO INOXIDABLE Color: PLATEADO Referencia:  Observacion:     Placa padre: I0000877Tipo adquisicion: Entidad"</f>
        <v>Descripcion: MANGO DE BISTURI # 3 Estado: Bueno Placa anterior: 000031852 Material: ACERO INOXIDABLE Color: PLATEADO Referencia:  Observacion:     Placa padre: I0000877Tipo adquisicion: Entidad</v>
      </c>
      <c r="G5633" s="5"/>
    </row>
    <row r="5634" spans="1:7" ht="58.5" customHeight="1" x14ac:dyDescent="0.25">
      <c r="A5634" s="5" t="str">
        <f>"I0000879"</f>
        <v>I0000879</v>
      </c>
      <c r="B5634" s="5" t="str">
        <f>"MANGO PARA BISTURI #4"</f>
        <v>MANGO PARA BISTURI #4</v>
      </c>
      <c r="C5634" s="6">
        <v>15080</v>
      </c>
      <c r="D5634" s="5"/>
      <c r="E5634" s="5" t="str">
        <f t="shared" si="291"/>
        <v>INSTRUMENTACION-DIANA CAICEDO-DIANA DIAZ</v>
      </c>
      <c r="F5634" s="5" t="str">
        <f>"Descripcion: MANGO DE BISTURI # 4 Estado: Bueno Placa anterior: 000031875 Material: ACERO INOXIDABLE Color: PLATEADO Referencia:  Observacion:     Placa padre: I0000877Tipo adquisicion: Entidad"</f>
        <v>Descripcion: MANGO DE BISTURI # 4 Estado: Bueno Placa anterior: 000031875 Material: ACERO INOXIDABLE Color: PLATEADO Referencia:  Observacion:     Placa padre: I0000877Tipo adquisicion: Entidad</v>
      </c>
      <c r="G5634" s="5"/>
    </row>
    <row r="5635" spans="1:7" ht="58.5" customHeight="1" x14ac:dyDescent="0.25">
      <c r="A5635" s="5" t="str">
        <f>"I0000880"</f>
        <v>I0000880</v>
      </c>
      <c r="B5635" s="5" t="str">
        <f>"SEPARADOR DE ABDOMEN (FARABEUF)"</f>
        <v>SEPARADOR DE ABDOMEN (FARABEUF)</v>
      </c>
      <c r="C5635" s="6">
        <v>46400</v>
      </c>
      <c r="D5635" s="5"/>
      <c r="E5635" s="5" t="str">
        <f t="shared" si="291"/>
        <v>INSTRUMENTACION-DIANA CAICEDO-DIANA DIAZ</v>
      </c>
      <c r="F5635" s="5" t="str">
        <f>"Descripcion: SEPARADORES DE FARABEUF  Estado: Bueno Placa anterior: 000032521 Material: ACERO INOXIDABLE Color: PLATEADO Referencia:  Observacion:     Placa padre: I0000877Tipo adquisicion: Entidad"</f>
        <v>Descripcion: SEPARADORES DE FARABEUF  Estado: Bueno Placa anterior: 000032521 Material: ACERO INOXIDABLE Color: PLATEADO Referencia:  Observacion:     Placa padre: I0000877Tipo adquisicion: Entidad</v>
      </c>
      <c r="G5635" s="5"/>
    </row>
    <row r="5636" spans="1:7" ht="58.5" customHeight="1" x14ac:dyDescent="0.25">
      <c r="A5636" s="5" t="str">
        <f>"I0000881"</f>
        <v>I0000881</v>
      </c>
      <c r="B5636" s="5" t="str">
        <f>"SEPARADOR DE ABDOMEN (FARABEUF)"</f>
        <v>SEPARADOR DE ABDOMEN (FARABEUF)</v>
      </c>
      <c r="C5636" s="6">
        <v>46400</v>
      </c>
      <c r="D5636" s="5"/>
      <c r="E5636" s="5" t="str">
        <f t="shared" si="291"/>
        <v>INSTRUMENTACION-DIANA CAICEDO-DIANA DIAZ</v>
      </c>
      <c r="F5636" s="5" t="str">
        <f>"Descripcion: SEPARADORES DE FARABEUF  Estado: Bueno Placa anterior: 000032522 Material: ACERO INOXIDABLE Color: PLATEADO Referencia:  Observacion:     Placa padre: I0000877Tipo adquisicion: Entidad"</f>
        <v>Descripcion: SEPARADORES DE FARABEUF  Estado: Bueno Placa anterior: 000032522 Material: ACERO INOXIDABLE Color: PLATEADO Referencia:  Observacion:     Placa padre: I0000877Tipo adquisicion: Entidad</v>
      </c>
      <c r="G5636" s="5"/>
    </row>
    <row r="5637" spans="1:7" ht="58.5" customHeight="1" x14ac:dyDescent="0.25">
      <c r="A5637" s="5" t="str">
        <f>"I0000882"</f>
        <v>I0000882</v>
      </c>
      <c r="B5637" s="5" t="str">
        <f>"SEPARADOR DE FARABEUF PEDIATRICO"</f>
        <v>SEPARADOR DE FARABEUF PEDIATRICO</v>
      </c>
      <c r="C5637" s="6">
        <v>46400</v>
      </c>
      <c r="D5637" s="5"/>
      <c r="E5637" s="5" t="str">
        <f t="shared" si="291"/>
        <v>INSTRUMENTACION-DIANA CAICEDO-DIANA DIAZ</v>
      </c>
      <c r="F5637" s="5" t="str">
        <f>"Descripcion: SEPARADORES BABY FARABEUF  Estado: Bueno Placa anterior: 000032023 Material: ACERO INOXIDABLE Color: PLATEADO Referencia:  Observacion:     Placa padre: I0000877Tipo adquisicion: Entidad"</f>
        <v>Descripcion: SEPARADORES BABY FARABEUF  Estado: Bueno Placa anterior: 000032023 Material: ACERO INOXIDABLE Color: PLATEADO Referencia:  Observacion:     Placa padre: I0000877Tipo adquisicion: Entidad</v>
      </c>
      <c r="G5637" s="5"/>
    </row>
    <row r="5638" spans="1:7" ht="58.5" customHeight="1" x14ac:dyDescent="0.25">
      <c r="A5638" s="5" t="str">
        <f>"I0000883"</f>
        <v>I0000883</v>
      </c>
      <c r="B5638" s="5" t="str">
        <f>"SEPARADOR DE FARABEUF PEDIATRICO"</f>
        <v>SEPARADOR DE FARABEUF PEDIATRICO</v>
      </c>
      <c r="C5638" s="6">
        <v>46400</v>
      </c>
      <c r="D5638" s="5"/>
      <c r="E5638" s="5" t="str">
        <f t="shared" si="291"/>
        <v>INSTRUMENTACION-DIANA CAICEDO-DIANA DIAZ</v>
      </c>
      <c r="F5638" s="5" t="str">
        <f>"Descripcion: SEPARADORES BABY FARABEUF  Estado: Bueno Placa anterior: 000032024 Material: ACERO INOXIDABLE Color: PLATEADO Referencia:  Observacion:     Placa padre: I0000877Tipo adquisicion: Entidad"</f>
        <v>Descripcion: SEPARADORES BABY FARABEUF  Estado: Bueno Placa anterior: 000032024 Material: ACERO INOXIDABLE Color: PLATEADO Referencia:  Observacion:     Placa padre: I0000877Tipo adquisicion: Entidad</v>
      </c>
      <c r="G5638" s="5"/>
    </row>
    <row r="5639" spans="1:7" ht="58.5" customHeight="1" x14ac:dyDescent="0.25">
      <c r="A5639" s="5" t="str">
        <f>"I0000886"</f>
        <v>I0000886</v>
      </c>
      <c r="B5639" s="5" t="str">
        <f>"SEPARADOR DE FARABEUF PEDIATRICO"</f>
        <v>SEPARADOR DE FARABEUF PEDIATRICO</v>
      </c>
      <c r="C5639" s="6">
        <v>46400</v>
      </c>
      <c r="D5639" s="5"/>
      <c r="E5639" s="5" t="str">
        <f t="shared" si="291"/>
        <v>INSTRUMENTACION-DIANA CAICEDO-DIANA DIAZ</v>
      </c>
      <c r="F5639" s="5" t="str">
        <f>"Descripcion: SEPARADOR ABDOMINAL DE NIÑOS Estado: Bueno Placa anterior: 000032025 Material: ACERO INOXIDABLE Color: PLATEADO Referencia:  Observacion:     Placa padre: I0000877Tipo adquisicion: Entidad"</f>
        <v>Descripcion: SEPARADOR ABDOMINAL DE NIÑOS Estado: Bueno Placa anterior: 000032025 Material: ACERO INOXIDABLE Color: PLATEADO Referencia:  Observacion:     Placa padre: I0000877Tipo adquisicion: Entidad</v>
      </c>
      <c r="G5639" s="5"/>
    </row>
    <row r="5640" spans="1:7" ht="58.5" customHeight="1" x14ac:dyDescent="0.25">
      <c r="A5640" s="5" t="str">
        <f>"I0000887"</f>
        <v>I0000887</v>
      </c>
      <c r="B5640" s="5" t="str">
        <f>"TIJERA  DE METZEMBAUM CURVA"</f>
        <v>TIJERA  DE METZEMBAUM CURVA</v>
      </c>
      <c r="C5640" s="6">
        <v>63800</v>
      </c>
      <c r="D5640" s="5"/>
      <c r="E5640" s="5" t="str">
        <f t="shared" si="291"/>
        <v>INSTRUMENTACION-DIANA CAICEDO-DIANA DIAZ</v>
      </c>
      <c r="F5640" s="5" t="str">
        <f>"Descripcion: TIJERA  CURVA DE METZEMBAU Estado: Bueno Placa anterior: 000032086 Material: ACERO INOXIDABLE Color: PLATEADO Referencia:  Observacion:     Placa padre: I0000877Tipo adquisicion: Entidad"</f>
        <v>Descripcion: TIJERA  CURVA DE METZEMBAU Estado: Bueno Placa anterior: 000032086 Material: ACERO INOXIDABLE Color: PLATEADO Referencia:  Observacion:     Placa padre: I0000877Tipo adquisicion: Entidad</v>
      </c>
      <c r="G5640" s="5"/>
    </row>
    <row r="5641" spans="1:7" ht="58.5" customHeight="1" x14ac:dyDescent="0.25">
      <c r="A5641" s="5" t="str">
        <f>"I0000888"</f>
        <v>I0000888</v>
      </c>
      <c r="B5641" s="5" t="str">
        <f>"TIJERA DE METZEMBAUM"</f>
        <v>TIJERA DE METZEMBAUM</v>
      </c>
      <c r="C5641" s="6">
        <v>63800</v>
      </c>
      <c r="D5641" s="5"/>
      <c r="E5641" s="5" t="str">
        <f t="shared" si="291"/>
        <v>INSTRUMENTACION-DIANA CAICEDO-DIANA DIAZ</v>
      </c>
      <c r="F5641" s="5" t="str">
        <f>"Descripcion: TIJERA METZEMBAUM MEDIANA (DIMEDA) Estado: Bueno Placa anterior: 000032087 Material: ACERO INOXIDABLE Color: PLATEADO Referencia:  Observacion:     Placa padre: I0000877Tipo adquisicion: Entidad"</f>
        <v>Descripcion: TIJERA METZEMBAUM MEDIANA (DIMEDA) Estado: Bueno Placa anterior: 000032087 Material: ACERO INOXIDABLE Color: PLATEADO Referencia:  Observacion:     Placa padre: I0000877Tipo adquisicion: Entidad</v>
      </c>
      <c r="G5641" s="5"/>
    </row>
    <row r="5642" spans="1:7" ht="58.5" customHeight="1" x14ac:dyDescent="0.25">
      <c r="A5642" s="5" t="str">
        <f>"I0000889"</f>
        <v>I0000889</v>
      </c>
      <c r="B5642" s="5" t="str">
        <f>"TIJERA DE METZEMBAUM"</f>
        <v>TIJERA DE METZEMBAUM</v>
      </c>
      <c r="C5642" s="6">
        <v>63800</v>
      </c>
      <c r="D5642" s="5"/>
      <c r="E5642" s="5" t="str">
        <f t="shared" si="291"/>
        <v>INSTRUMENTACION-DIANA CAICEDO-DIANA DIAZ</v>
      </c>
      <c r="F5642" s="5" t="str">
        <f>"Descripcion: TIJERA DE METZEMBAU FINA PEQUEÑA Estado: Bueno Placa anterior: 000032088 Material: ACERO INOXIDABLE Color: PLATEADO Referencia:  Observacion:     Placa padre: I0000877Tipo adquisicion: Entidad"</f>
        <v>Descripcion: TIJERA DE METZEMBAU FINA PEQUEÑA Estado: Bueno Placa anterior: 000032088 Material: ACERO INOXIDABLE Color: PLATEADO Referencia:  Observacion:     Placa padre: I0000877Tipo adquisicion: Entidad</v>
      </c>
      <c r="G5642" s="5"/>
    </row>
    <row r="5643" spans="1:7" ht="58.5" customHeight="1" x14ac:dyDescent="0.25">
      <c r="A5643" s="5" t="str">
        <f>"I0000891"</f>
        <v>I0000891</v>
      </c>
      <c r="B5643" s="5" t="str">
        <f>"PINZA ADSON"</f>
        <v>PINZA ADSON</v>
      </c>
      <c r="C5643" s="6">
        <v>31320</v>
      </c>
      <c r="D5643" s="5"/>
      <c r="E5643" s="5" t="str">
        <f t="shared" si="291"/>
        <v>INSTRUMENTACION-DIANA CAICEDO-DIANA DIAZ</v>
      </c>
      <c r="F5643" s="5" t="str">
        <f>"Descripcion: PINZA DE DISECCION ADSON CON GARRA Estado: Bueno Placa anterior: 000032258 Material: ACERO INOXIDABLE Color: PLATEADO Referencia:  Observacion:     Placa padre: I0000877Tipo adquisicion: Entidad"</f>
        <v>Descripcion: PINZA DE DISECCION ADSON CON GARRA Estado: Bueno Placa anterior: 000032258 Material: ACERO INOXIDABLE Color: PLATEADO Referencia:  Observacion:     Placa padre: I0000877Tipo adquisicion: Entidad</v>
      </c>
      <c r="G5643" s="5"/>
    </row>
    <row r="5644" spans="1:7" ht="58.5" customHeight="1" x14ac:dyDescent="0.25">
      <c r="A5644" s="5" t="str">
        <f>"I0000892"</f>
        <v>I0000892</v>
      </c>
      <c r="B5644" s="5" t="str">
        <f>"PINZA ADSON"</f>
        <v>PINZA ADSON</v>
      </c>
      <c r="C5644" s="6">
        <v>37120</v>
      </c>
      <c r="D5644" s="5"/>
      <c r="E5644" s="5" t="str">
        <f t="shared" si="291"/>
        <v>INSTRUMENTACION-DIANA CAICEDO-DIANA DIAZ</v>
      </c>
      <c r="F5644" s="5" t="str">
        <f>"Descripcion: PINZA DE DISECCION ADSON SIN GARRA  Estado: Bueno Placa anterior: 000021806 Material: ACERO INOXIDABLE Color: PLATEADO Referencia:  Observacion:     Placa padre: I0000877Tipo adquisicion: Entidad"</f>
        <v>Descripcion: PINZA DE DISECCION ADSON SIN GARRA  Estado: Bueno Placa anterior: 000021806 Material: ACERO INOXIDABLE Color: PLATEADO Referencia:  Observacion:     Placa padre: I0000877Tipo adquisicion: Entidad</v>
      </c>
      <c r="G5644" s="5"/>
    </row>
    <row r="5645" spans="1:7" ht="58.5" customHeight="1" x14ac:dyDescent="0.25">
      <c r="A5645" s="5" t="str">
        <f>"I0000898"</f>
        <v>I0000898</v>
      </c>
      <c r="B5645" s="5" t="str">
        <f>"PINZA BABY MOSQUITOS CURVA 10 CM"</f>
        <v>PINZA BABY MOSQUITOS CURVA 10 CM</v>
      </c>
      <c r="C5645" s="6">
        <v>41943</v>
      </c>
      <c r="D5645" s="5"/>
      <c r="E5645" s="5" t="str">
        <f t="shared" si="291"/>
        <v>INSTRUMENTACION-DIANA CAICEDO-DIANA DIAZ</v>
      </c>
      <c r="F5645" s="5" t="str">
        <f>"Descripcion: PINZAS BABY MOSQUITOS CURVAS Estado: Bueno Placa anterior: 000024009 Material: ACERO INOXIDABLE Color: PLATEADO Referencia:  Observacion:     Placa padre: I0000877Tipo adquisicion: Entidad"</f>
        <v>Descripcion: PINZAS BABY MOSQUITOS CURVAS Estado: Bueno Placa anterior: 000024009 Material: ACERO INOXIDABLE Color: PLATEADO Referencia:  Observacion:     Placa padre: I0000877Tipo adquisicion: Entidad</v>
      </c>
      <c r="G5645" s="5"/>
    </row>
    <row r="5646" spans="1:7" ht="58.5" customHeight="1" x14ac:dyDescent="0.25">
      <c r="A5646" s="5" t="str">
        <f>"I0000899"</f>
        <v>I0000899</v>
      </c>
      <c r="B5646" s="5" t="str">
        <f>"PINZA BABY MOSQUITOS CURVA 10 CM"</f>
        <v>PINZA BABY MOSQUITOS CURVA 10 CM</v>
      </c>
      <c r="C5646" s="6">
        <v>41943</v>
      </c>
      <c r="D5646" s="5"/>
      <c r="E5646" s="5" t="str">
        <f t="shared" si="291"/>
        <v>INSTRUMENTACION-DIANA CAICEDO-DIANA DIAZ</v>
      </c>
      <c r="F5646" s="5" t="str">
        <f>"Descripcion: PINZAS BABY MOSQUITOS CURVAS Estado: Bueno Placa anterior: 000024010 Material: ACERO INOXIDABLE Color: PLATEADO Referencia:  Observacion:     Placa padre: I0000877Tipo adquisicion: Entidad"</f>
        <v>Descripcion: PINZAS BABY MOSQUITOS CURVAS Estado: Bueno Placa anterior: 000024010 Material: ACERO INOXIDABLE Color: PLATEADO Referencia:  Observacion:     Placa padre: I0000877Tipo adquisicion: Entidad</v>
      </c>
      <c r="G5646" s="5"/>
    </row>
    <row r="5647" spans="1:7" ht="58.5" customHeight="1" x14ac:dyDescent="0.25">
      <c r="A5647" s="5" t="str">
        <f>"I0000908"</f>
        <v>I0000908</v>
      </c>
      <c r="B5647" s="5" t="str">
        <f>"PINZA KELLY CURVA 16 CM"</f>
        <v>PINZA KELLY CURVA 16 CM</v>
      </c>
      <c r="C5647" s="6">
        <v>52200</v>
      </c>
      <c r="D5647" s="5"/>
      <c r="E5647" s="5" t="str">
        <f t="shared" si="291"/>
        <v>INSTRUMENTACION-DIANA CAICEDO-DIANA DIAZ</v>
      </c>
      <c r="F5647" s="5" t="str">
        <f>"Descripcion: PINZAS KELLY CURVAS CORTAS   Estado: Bueno Placa anterior: 000036136 Material: ACERO INOXIDABLE Color: PLATEADO Referencia:  Observacion:     Placa padre: I0000877Tipo adquisicion: Entidad"</f>
        <v>Descripcion: PINZAS KELLY CURVAS CORTAS   Estado: Bueno Placa anterior: 000036136 Material: ACERO INOXIDABLE Color: PLATEADO Referencia:  Observacion:     Placa padre: I0000877Tipo adquisicion: Entidad</v>
      </c>
      <c r="G5647" s="5"/>
    </row>
    <row r="5648" spans="1:7" ht="58.5" customHeight="1" x14ac:dyDescent="0.25">
      <c r="A5648" s="5" t="str">
        <f>"I0000912"</f>
        <v>I0000912</v>
      </c>
      <c r="B5648" s="5" t="str">
        <f>"PINZA ROCHESTER CURVA 25 CM"</f>
        <v>PINZA ROCHESTER CURVA 25 CM</v>
      </c>
      <c r="C5648" s="6">
        <v>113680</v>
      </c>
      <c r="D5648" s="5"/>
      <c r="E5648" s="5" t="str">
        <f t="shared" si="291"/>
        <v>INSTRUMENTACION-DIANA CAICEDO-DIANA DIAZ</v>
      </c>
      <c r="F5648" s="5" t="str">
        <f>"Descripcion: PINZAS ROCHESTER CURVAS  Estado: Bueno Placa anterior: 000032474 Material: ACERO INOXIDABLE Color: PLATEADO Referencia:  Observacion:     Placa padre: I0000877Tipo adquisicion: Entidad"</f>
        <v>Descripcion: PINZAS ROCHESTER CURVAS  Estado: Bueno Placa anterior: 000032474 Material: ACERO INOXIDABLE Color: PLATEADO Referencia:  Observacion:     Placa padre: I0000877Tipo adquisicion: Entidad</v>
      </c>
      <c r="G5648" s="5"/>
    </row>
    <row r="5649" spans="1:7" ht="58.5" customHeight="1" x14ac:dyDescent="0.25">
      <c r="A5649" s="5" t="str">
        <f>"I0000913"</f>
        <v>I0000913</v>
      </c>
      <c r="B5649" s="5" t="str">
        <f>"PINZA ROCHESTER CURVA 25 CM"</f>
        <v>PINZA ROCHESTER CURVA 25 CM</v>
      </c>
      <c r="C5649" s="6">
        <v>113680</v>
      </c>
      <c r="D5649" s="5"/>
      <c r="E5649" s="5" t="str">
        <f t="shared" si="291"/>
        <v>INSTRUMENTACION-DIANA CAICEDO-DIANA DIAZ</v>
      </c>
      <c r="F5649" s="5" t="str">
        <f>"Descripcion: PINZAS ROCHESTER CURVAS  Estado: Bueno Placa anterior: 000032475 Material: ACERO INOXIDABLE Color: PLATEADO Referencia:  Observacion:     Placa padre: I0000877Tipo adquisicion: Entidad"</f>
        <v>Descripcion: PINZAS ROCHESTER CURVAS  Estado: Bueno Placa anterior: 000032475 Material: ACERO INOXIDABLE Color: PLATEADO Referencia:  Observacion:     Placa padre: I0000877Tipo adquisicion: Entidad</v>
      </c>
      <c r="G5649" s="5"/>
    </row>
    <row r="5650" spans="1:7" ht="58.5" customHeight="1" x14ac:dyDescent="0.25">
      <c r="A5650" s="5" t="str">
        <f>"I0000920"</f>
        <v>I0000920</v>
      </c>
      <c r="B5650" s="5" t="str">
        <f>"PORTAGUJAS (PINZA)"</f>
        <v>PORTAGUJAS (PINZA)</v>
      </c>
      <c r="C5650" s="6">
        <v>139200</v>
      </c>
      <c r="D5650" s="5"/>
      <c r="E5650" s="5" t="str">
        <f t="shared" si="291"/>
        <v>INSTRUMENTACION-DIANA CAICEDO-DIANA DIAZ</v>
      </c>
      <c r="F5650" s="5" t="str">
        <f>"Descripcion: PORTA AGUJAS MEDIANO Estado: Bueno Placa anterior: 000032421 Material: ACERO INOXIDABLE Color: PLATEADO Referencia:  Observacion: PORTA AGUJAS MASSON RANURADO EN LA PUNTA CIERRE DE CREMALLERA  Placa padre: I0000877Tipo adquisicion: Entidad"</f>
        <v>Descripcion: PORTA AGUJAS MEDIANO Estado: Bueno Placa anterior: 000032421 Material: ACERO INOXIDABLE Color: PLATEADO Referencia:  Observacion: PORTA AGUJAS MASSON RANURADO EN LA PUNTA CIERRE DE CREMALLERA  Placa padre: I0000877Tipo adquisicion: Entidad</v>
      </c>
      <c r="G5650" s="5"/>
    </row>
    <row r="5651" spans="1:7" ht="58.5" customHeight="1" x14ac:dyDescent="0.25">
      <c r="A5651" s="5" t="str">
        <f>"I0000921"</f>
        <v>I0000921</v>
      </c>
      <c r="B5651" s="5" t="str">
        <f>"PORTAGUJAS (PINZA)"</f>
        <v>PORTAGUJAS (PINZA)</v>
      </c>
      <c r="C5651" s="6">
        <v>63800</v>
      </c>
      <c r="D5651" s="5"/>
      <c r="E5651" s="5" t="str">
        <f t="shared" si="291"/>
        <v>INSTRUMENTACION-DIANA CAICEDO-DIANA DIAZ</v>
      </c>
      <c r="F5651" s="5" t="str">
        <f>"Descripcion: PORTA AGUJAS PEQUEÑO Estado: Bueno Placa anterior: 000032450 Material: ACERO INOXIDABLE Color: PLATEADO Referencia:  Observacion:     Placa padre: I0000877Tipo adquisicion: Entidad"</f>
        <v>Descripcion: PORTA AGUJAS PEQUEÑO Estado: Bueno Placa anterior: 000032450 Material: ACERO INOXIDABLE Color: PLATEADO Referencia:  Observacion:     Placa padre: I0000877Tipo adquisicion: Entidad</v>
      </c>
      <c r="G5651" s="5"/>
    </row>
    <row r="5652" spans="1:7" ht="58.5" customHeight="1" x14ac:dyDescent="0.25">
      <c r="A5652" s="5" t="str">
        <f>"I0000922"</f>
        <v>I0000922</v>
      </c>
      <c r="B5652" s="5" t="str">
        <f>"PINZA CISTICO"</f>
        <v>PINZA CISTICO</v>
      </c>
      <c r="C5652" s="6">
        <v>162400</v>
      </c>
      <c r="D5652" s="5"/>
      <c r="E5652" s="5" t="str">
        <f t="shared" si="291"/>
        <v>INSTRUMENTACION-DIANA CAICEDO-DIANA DIAZ</v>
      </c>
      <c r="F5652" s="5" t="str">
        <f>"Descripcion: PINZA CISTICO   Estado: Bueno Placa anterior: 000036184 Material: ACERO INOXIDABLE Color: PLATEADO Referencia:  Observacion: PINZA LAHEY DUCTO BILIAR CURVA  Placa padre: I0000877Tipo adquisicion: Entidad"</f>
        <v>Descripcion: PINZA CISTICO   Estado: Bueno Placa anterior: 000036184 Material: ACERO INOXIDABLE Color: PLATEADO Referencia:  Observacion: PINZA LAHEY DUCTO BILIAR CURVA  Placa padre: I0000877Tipo adquisicion: Entidad</v>
      </c>
      <c r="G5652" s="5"/>
    </row>
    <row r="5653" spans="1:7" ht="58.5" customHeight="1" x14ac:dyDescent="0.25">
      <c r="A5653" s="5" t="str">
        <f>"I0000928"</f>
        <v>I0000928</v>
      </c>
      <c r="B5653" s="5" t="str">
        <f>"CANULA DE YANKAUER"</f>
        <v>CANULA DE YANKAUER</v>
      </c>
      <c r="C5653" s="6">
        <v>92800</v>
      </c>
      <c r="D5653" s="5"/>
      <c r="E5653" s="5" t="str">
        <f t="shared" si="291"/>
        <v>INSTRUMENTACION-DIANA CAICEDO-DIANA DIAZ</v>
      </c>
      <c r="F5653" s="5" t="str">
        <f>"Descripcion: CANULA DE SUCCION YANKAWER Estado: Bueno Placa anterior: 000031643 Material: ACERO INOXIDABLE Color: PLATEADO Referencia:  Observacion:     Placa padre: I0000877Tipo adquisicion: Entidad"</f>
        <v>Descripcion: CANULA DE SUCCION YANKAWER Estado: Bueno Placa anterior: 000031643 Material: ACERO INOXIDABLE Color: PLATEADO Referencia:  Observacion:     Placa padre: I0000877Tipo adquisicion: Entidad</v>
      </c>
      <c r="G5653" s="5"/>
    </row>
    <row r="5654" spans="1:7" ht="58.5" customHeight="1" x14ac:dyDescent="0.25">
      <c r="A5654" s="5" t="str">
        <f>"I0000929"</f>
        <v>I0000929</v>
      </c>
      <c r="B5654" s="5" t="str">
        <f t="shared" ref="B5654:B5659" si="294">"PINZA DE CAMPO"</f>
        <v>PINZA DE CAMPO</v>
      </c>
      <c r="C5654" s="6">
        <v>39440</v>
      </c>
      <c r="D5654" s="5"/>
      <c r="E5654" s="5" t="str">
        <f t="shared" si="291"/>
        <v>INSTRUMENTACION-DIANA CAICEDO-DIANA DIAZ</v>
      </c>
      <c r="F5654" s="5" t="str">
        <f>"Descripcion: PINZAS DE CAMPO (DIMEDA) Estado: Bueno Placa anterior: 000031791 Material: ACERO INOXIDABLE Color: PLATEADO Referencia:  Observacion:     Placa padre: I0000877Tipo adquisicion: Entidad"</f>
        <v>Descripcion: PINZAS DE CAMPO (DIMEDA) Estado: Bueno Placa anterior: 000031791 Material: ACERO INOXIDABLE Color: PLATEADO Referencia:  Observacion:     Placa padre: I0000877Tipo adquisicion: Entidad</v>
      </c>
      <c r="G5654" s="5"/>
    </row>
    <row r="5655" spans="1:7" ht="58.5" customHeight="1" x14ac:dyDescent="0.25">
      <c r="A5655" s="5" t="str">
        <f>"I0000930"</f>
        <v>I0000930</v>
      </c>
      <c r="B5655" s="5" t="str">
        <f t="shared" si="294"/>
        <v>PINZA DE CAMPO</v>
      </c>
      <c r="C5655" s="6">
        <v>39440</v>
      </c>
      <c r="D5655" s="5"/>
      <c r="E5655" s="5" t="str">
        <f t="shared" si="291"/>
        <v>INSTRUMENTACION-DIANA CAICEDO-DIANA DIAZ</v>
      </c>
      <c r="F5655" s="5" t="str">
        <f>"Descripcion: PINZAS DE CAMPO (DIMEDA) Estado: Bueno Placa anterior: 000031792 Material: ACERO INOXIDABLE Color: PLATEADO Referencia:  Observacion:     Placa padre: I0000877Tipo adquisicion: Entidad"</f>
        <v>Descripcion: PINZAS DE CAMPO (DIMEDA) Estado: Bueno Placa anterior: 000031792 Material: ACERO INOXIDABLE Color: PLATEADO Referencia:  Observacion:     Placa padre: I0000877Tipo adquisicion: Entidad</v>
      </c>
      <c r="G5655" s="5"/>
    </row>
    <row r="5656" spans="1:7" ht="58.5" customHeight="1" x14ac:dyDescent="0.25">
      <c r="A5656" s="5" t="str">
        <f>"I0000931"</f>
        <v>I0000931</v>
      </c>
      <c r="B5656" s="5" t="str">
        <f t="shared" si="294"/>
        <v>PINZA DE CAMPO</v>
      </c>
      <c r="C5656" s="6">
        <v>39440</v>
      </c>
      <c r="D5656" s="5"/>
      <c r="E5656" s="5" t="str">
        <f t="shared" si="291"/>
        <v>INSTRUMENTACION-DIANA CAICEDO-DIANA DIAZ</v>
      </c>
      <c r="F5656" s="5" t="str">
        <f>"Descripcion: PINZAS DE CAMPO (DIMEDA) Estado: Bueno Placa anterior: 000031793 Material: ACERO INOXIDABLE Color: PLATEADO Referencia:  Observacion:     Placa padre: I0000877Tipo adquisicion: Entidad"</f>
        <v>Descripcion: PINZAS DE CAMPO (DIMEDA) Estado: Bueno Placa anterior: 000031793 Material: ACERO INOXIDABLE Color: PLATEADO Referencia:  Observacion:     Placa padre: I0000877Tipo adquisicion: Entidad</v>
      </c>
      <c r="G5656" s="5"/>
    </row>
    <row r="5657" spans="1:7" ht="58.5" customHeight="1" x14ac:dyDescent="0.25">
      <c r="A5657" s="5" t="str">
        <f>"I0000932"</f>
        <v>I0000932</v>
      </c>
      <c r="B5657" s="5" t="str">
        <f t="shared" si="294"/>
        <v>PINZA DE CAMPO</v>
      </c>
      <c r="C5657" s="6">
        <v>39440</v>
      </c>
      <c r="D5657" s="5"/>
      <c r="E5657" s="5" t="str">
        <f t="shared" si="291"/>
        <v>INSTRUMENTACION-DIANA CAICEDO-DIANA DIAZ</v>
      </c>
      <c r="F5657" s="5" t="str">
        <f>"Descripcion: PINZAS DE CAMPO (DIMEDA) Estado: Bueno Placa anterior: 000031794 Material: ACERO INOXIDABLE Color: PLATEADO Referencia:  Observacion:     Placa padre: I0000877Tipo adquisicion: Entidad"</f>
        <v>Descripcion: PINZAS DE CAMPO (DIMEDA) Estado: Bueno Placa anterior: 000031794 Material: ACERO INOXIDABLE Color: PLATEADO Referencia:  Observacion:     Placa padre: I0000877Tipo adquisicion: Entidad</v>
      </c>
      <c r="G5657" s="5"/>
    </row>
    <row r="5658" spans="1:7" ht="58.5" customHeight="1" x14ac:dyDescent="0.25">
      <c r="A5658" s="5" t="str">
        <f>"I0000933"</f>
        <v>I0000933</v>
      </c>
      <c r="B5658" s="5" t="str">
        <f t="shared" si="294"/>
        <v>PINZA DE CAMPO</v>
      </c>
      <c r="C5658" s="6">
        <v>39440</v>
      </c>
      <c r="D5658" s="5"/>
      <c r="E5658" s="5" t="str">
        <f t="shared" si="291"/>
        <v>INSTRUMENTACION-DIANA CAICEDO-DIANA DIAZ</v>
      </c>
      <c r="F5658" s="5" t="str">
        <f>"Descripcion: PINZAS DE CAMPO (DIMEDA) Estado: Bueno Placa anterior: 000031795 Material: ACERO INOXIDABLE Color: PLATEADO Referencia:  Observacion:     Placa padre: I0000877Tipo adquisicion: Entidad"</f>
        <v>Descripcion: PINZAS DE CAMPO (DIMEDA) Estado: Bueno Placa anterior: 000031795 Material: ACERO INOXIDABLE Color: PLATEADO Referencia:  Observacion:     Placa padre: I0000877Tipo adquisicion: Entidad</v>
      </c>
      <c r="G5658" s="5"/>
    </row>
    <row r="5659" spans="1:7" ht="58.5" customHeight="1" x14ac:dyDescent="0.25">
      <c r="A5659" s="5" t="str">
        <f>"I0000934"</f>
        <v>I0000934</v>
      </c>
      <c r="B5659" s="5" t="str">
        <f t="shared" si="294"/>
        <v>PINZA DE CAMPO</v>
      </c>
      <c r="C5659" s="6">
        <v>39440</v>
      </c>
      <c r="D5659" s="5"/>
      <c r="E5659" s="5" t="str">
        <f t="shared" si="291"/>
        <v>INSTRUMENTACION-DIANA CAICEDO-DIANA DIAZ</v>
      </c>
      <c r="F5659" s="5" t="str">
        <f>"Descripcion: PINZAS DE CAMPO (DIMEDA) Estado: Bueno Placa anterior: 000031796 Material: ACERO INOXIDABLE Color: PLATEADO Referencia:  Observacion:     Placa padre: I0000877Tipo adquisicion: Entidad"</f>
        <v>Descripcion: PINZAS DE CAMPO (DIMEDA) Estado: Bueno Placa anterior: 000031796 Material: ACERO INOXIDABLE Color: PLATEADO Referencia:  Observacion:     Placa padre: I0000877Tipo adquisicion: Entidad</v>
      </c>
      <c r="G5659" s="5"/>
    </row>
    <row r="5660" spans="1:7" ht="58.5" customHeight="1" x14ac:dyDescent="0.25">
      <c r="A5660" s="5" t="str">
        <f>"I0000935"</f>
        <v>I0000935</v>
      </c>
      <c r="B5660" s="5" t="str">
        <f>"COCAS EN ACERO INOXIDABLE (ENTREGAR DOSIS DE MEDICINA)"</f>
        <v>COCAS EN ACERO INOXIDABLE (ENTREGAR DOSIS DE MEDICINA)</v>
      </c>
      <c r="C5660" s="6">
        <v>6000</v>
      </c>
      <c r="D5660" s="5"/>
      <c r="E5660" s="5" t="str">
        <f t="shared" si="291"/>
        <v>INSTRUMENTACION-DIANA CAICEDO-DIANA DIAZ</v>
      </c>
      <c r="F5660" s="5" t="str">
        <f>"Descripcion: COCA NIQUELADA  Estado: Bueno Placa anterior: 000016196 Material: ACERO INOXIDABLE Color: PLATEADO Referencia:  Observacion:     Placa padre: I0000877Tipo adquisicion: Entidad"</f>
        <v>Descripcion: COCA NIQUELADA  Estado: Bueno Placa anterior: 000016196 Material: ACERO INOXIDABLE Color: PLATEADO Referencia:  Observacion:     Placa padre: I0000877Tipo adquisicion: Entidad</v>
      </c>
      <c r="G5660" s="5"/>
    </row>
    <row r="5661" spans="1:7" ht="58.5" customHeight="1" x14ac:dyDescent="0.25">
      <c r="A5661" s="5" t="str">
        <f>"I0000939"</f>
        <v>I0000939</v>
      </c>
      <c r="B5661" s="5" t="str">
        <f>"PORTAGUJAS DE MICRO"</f>
        <v>PORTAGUJAS DE MICRO</v>
      </c>
      <c r="C5661" s="6">
        <v>450000</v>
      </c>
      <c r="D5661" s="5"/>
      <c r="E5661" s="5" t="str">
        <f t="shared" si="291"/>
        <v>INSTRUMENTACION-DIANA CAICEDO-DIANA DIAZ</v>
      </c>
      <c r="F5661" s="5" t="str">
        <f>"Descripcion: PORTA AGUJAS DE MICRO Estado: Bueno Placa anterior: 000016373 Material: ACERO INOXIDABLE Color: PLATEADO Referencia:  Observacion:     Placa padre: I0000938Tipo adquisicion: Entidad"</f>
        <v>Descripcion: PORTA AGUJAS DE MICRO Estado: Bueno Placa anterior: 000016373 Material: ACERO INOXIDABLE Color: PLATEADO Referencia:  Observacion:     Placa padre: I0000938Tipo adquisicion: Entidad</v>
      </c>
      <c r="G5661" s="5"/>
    </row>
    <row r="5662" spans="1:7" ht="58.5" customHeight="1" x14ac:dyDescent="0.25">
      <c r="A5662" s="5" t="str">
        <f>"I0000943"</f>
        <v>I0000943</v>
      </c>
      <c r="B5662" s="5" t="str">
        <f>"PORTAGUJAS DE MICRO"</f>
        <v>PORTAGUJAS DE MICRO</v>
      </c>
      <c r="C5662" s="6">
        <v>800400</v>
      </c>
      <c r="D5662" s="5" t="s">
        <v>284</v>
      </c>
      <c r="E5662" s="5" t="str">
        <f t="shared" si="291"/>
        <v>INSTRUMENTACION-DIANA CAICEDO-DIANA DIAZ</v>
      </c>
      <c r="F5662" s="5" t="str">
        <f>"Descripcion: PORTA AGUJAS DE MICRO Estado: Bueno Placa anterior: 000032446 Material: ACERO INOXIDABLE Color: PLATEADO Referencia:  Observacion:     Placa padre: I0000942Tipo adquisicion: Entidad"</f>
        <v>Descripcion: PORTA AGUJAS DE MICRO Estado: Bueno Placa anterior: 000032446 Material: ACERO INOXIDABLE Color: PLATEADO Referencia:  Observacion:     Placa padre: I0000942Tipo adquisicion: Entidad</v>
      </c>
      <c r="G5662" s="5"/>
    </row>
    <row r="5663" spans="1:7" ht="58.5" customHeight="1" x14ac:dyDescent="0.25">
      <c r="A5663" s="5" t="str">
        <f>"I0000946"</f>
        <v>I0000946</v>
      </c>
      <c r="B5663" s="5" t="str">
        <f>"EQUIPO DE TORAX"</f>
        <v>EQUIPO DE TORAX</v>
      </c>
      <c r="C5663" s="6">
        <v>1015312</v>
      </c>
      <c r="D5663" s="5"/>
      <c r="E5663" s="5" t="str">
        <f t="shared" ref="E5663:E5726" si="295">"INSTRUMENTACION-DIANA CAICEDO-DIANA DIAZ"</f>
        <v>INSTRUMENTACION-DIANA CAICEDO-DIANA DIAZ</v>
      </c>
      <c r="F5663" s="5" t="str">
        <f>"Descripcion: EQUIPO DE TORAX BABY QUE CONSTA DE:  (1) SEPARADOR FINOCHETO  (2) PINZAS DUVAL   (1) SEPARADOR DEAVER PEQUEÑO Estado: Bueno Placa anterior:  Material: ACERO INOXIDABLE Color: PLATEADO Referencia:  Observacion:     Placa padre: Tipo adquisicio"&amp; "n: Entidad"</f>
        <v>Descripcion: EQUIPO DE TORAX BABY QUE CONSTA DE:  (1) SEPARADOR FINOCHETO  (2) PINZAS DUVAL   (1) SEPARADOR DEAVER PEQUEÑO Estado: Bueno Placa anterior:  Material: ACERO INOXIDABLE Color: PLATEADO Referencia:  Observacion:     Placa padre: Tipo adquisicion: Entidad</v>
      </c>
      <c r="G5663" s="5"/>
    </row>
    <row r="5664" spans="1:7" ht="58.5" customHeight="1" x14ac:dyDescent="0.25">
      <c r="A5664" s="5" t="str">
        <f>"I0000951"</f>
        <v>I0000951</v>
      </c>
      <c r="B5664" s="5" t="str">
        <f>"EQUIPO DE VASCULAR"</f>
        <v>EQUIPO DE VASCULAR</v>
      </c>
      <c r="C5664" s="6">
        <v>3123154</v>
      </c>
      <c r="D5664" s="5"/>
      <c r="E5664" s="5" t="str">
        <f t="shared" si="295"/>
        <v>INSTRUMENTACION-DIANA CAICEDO-DIANA DIAZ</v>
      </c>
      <c r="F5664" s="5" t="str">
        <f>"Descripcion: EQUIPO VASCULAR PEDIATRICO QUE CONSTA DE:  (1) PINZA DE DISECCION VASCULAR  (1) PINZA BABY CISTICO   (1) TIJERA DE STIVEN AESCULAP Estado: Bueno Placa anterior:  Material: ACERO INOXIDABLE Color: PLATEADO Referencia:  Observacion:     Placa p"&amp; "adre: Tipo adquisicion: Entidad"</f>
        <v>Descripcion: EQUIPO VASCULAR PEDIATRICO QUE CONSTA DE:  (1) PINZA DE DISECCION VASCULAR  (1) PINZA BABY CISTICO   (1) TIJERA DE STIVEN AESCULAP Estado: Bueno Placa anterior:  Material: ACERO INOXIDABLE Color: PLATEADO Referencia:  Observacion:     Placa padre: Tipo adquisicion: Entidad</v>
      </c>
      <c r="G5664" s="5"/>
    </row>
    <row r="5665" spans="1:7" ht="58.5" customHeight="1" x14ac:dyDescent="0.25">
      <c r="A5665" s="5" t="str">
        <f>"I0000952"</f>
        <v>I0000952</v>
      </c>
      <c r="B5665" s="5" t="str">
        <f>"PINZA DE DISECCION SIN GARRA CORTA 20 CM"</f>
        <v>PINZA DE DISECCION SIN GARRA CORTA 20 CM</v>
      </c>
      <c r="C5665" s="6">
        <v>239192</v>
      </c>
      <c r="D5665" s="5"/>
      <c r="E5665" s="5" t="str">
        <f t="shared" si="295"/>
        <v>INSTRUMENTACION-DIANA CAICEDO-DIANA DIAZ</v>
      </c>
      <c r="F5665" s="5" t="str">
        <f>"Descripcion: PINZA DE DISECCION VASCULAR Estado: Bueno Placa anterior: 000025357 Material: ACERO INOXIDABLE Color: PLATEADO Referencia:  Observacion: PINZA ATRAUMATICA PARA TEJIDO VASCULAR    Placa padre: I0000951Tipo adquisicion: Entidad"</f>
        <v>Descripcion: PINZA DE DISECCION VASCULAR Estado: Bueno Placa anterior: 000025357 Material: ACERO INOXIDABLE Color: PLATEADO Referencia:  Observacion: PINZA ATRAUMATICA PARA TEJIDO VASCULAR    Placa padre: I0000951Tipo adquisicion: Entidad</v>
      </c>
      <c r="G5665" s="5"/>
    </row>
    <row r="5666" spans="1:7" ht="58.5" customHeight="1" x14ac:dyDescent="0.25">
      <c r="A5666" s="5" t="str">
        <f>"I0000955"</f>
        <v>I0000955</v>
      </c>
      <c r="B5666" s="5" t="str">
        <f>"EQUIPO DE BABY ESTOMAGO"</f>
        <v>EQUIPO DE BABY ESTOMAGO</v>
      </c>
      <c r="C5666" s="6">
        <v>337457.62</v>
      </c>
      <c r="D5666" s="5"/>
      <c r="E5666" s="5" t="str">
        <f t="shared" si="295"/>
        <v>INSTRUMENTACION-DIANA CAICEDO-DIANA DIAZ</v>
      </c>
      <c r="F5666" s="5" t="str">
        <f>"Descripcion: EQUIPO DE BABY  ESTOMAGO QUE CONSTA DE:  (1) CLAMPS  PAYR BABY   (2) CLAMPS RECTO  PEQUEÑO   (2) CLAMPS CURVO BABY AESCULAP   (2) PINZAS BABCOCK   (1) PINZA CISTICO BABY MILTEX   (1) TIJERA  FINA DE METZENBAUMM BABY   (4) PINZAS  BABY MOSQUIT"&amp; "O  Estado: Bueno Placa anterior: 000016579 Material: ACERO INOXIDABLE Color: PLATEADO Referencia:  Observacion:     Placa padre: Tipo adquisicion: Entidad"</f>
        <v>Descripcion: EQUIPO DE BABY  ESTOMAGO QUE CONSTA DE:  (1) CLAMPS  PAYR BABY   (2) CLAMPS RECTO  PEQUEÑO   (2) CLAMPS CURVO BABY AESCULAP   (2) PINZAS BABCOCK   (1) PINZA CISTICO BABY MILTEX   (1) TIJERA  FINA DE METZENBAUMM BABY   (4) PINZAS  BABY MOSQUITO  Estado: Bueno Placa anterior: 000016579 Material: ACERO INOXIDABLE Color: PLATEADO Referencia:  Observacion:     Placa padre: Tipo adquisicion: Entidad</v>
      </c>
      <c r="G5666" s="5"/>
    </row>
    <row r="5667" spans="1:7" ht="58.5" customHeight="1" x14ac:dyDescent="0.25">
      <c r="A5667" s="5" t="str">
        <f>"I0000965"</f>
        <v>I0000965</v>
      </c>
      <c r="B5667" s="5" t="str">
        <f>"PINZA BABY MOSQUITOS CURVA 10 CM"</f>
        <v>PINZA BABY MOSQUITOS CURVA 10 CM</v>
      </c>
      <c r="C5667" s="6">
        <v>41943</v>
      </c>
      <c r="D5667" s="5"/>
      <c r="E5667" s="5" t="str">
        <f t="shared" si="295"/>
        <v>INSTRUMENTACION-DIANA CAICEDO-DIANA DIAZ</v>
      </c>
      <c r="F5667" s="5" t="str">
        <f>"Descripcion: PINZAS  BABY MOSQUITO  Estado: Bueno Placa anterior: 000024531 Material: ACERO INOXIDABLE Color: PLATEADO Referencia:  Observacion:     Placa padre: I0000955Tipo adquisicion: Entidad"</f>
        <v>Descripcion: PINZAS  BABY MOSQUITO  Estado: Bueno Placa anterior: 000024531 Material: ACERO INOXIDABLE Color: PLATEADO Referencia:  Observacion:     Placa padre: I0000955Tipo adquisicion: Entidad</v>
      </c>
      <c r="G5667" s="5"/>
    </row>
    <row r="5668" spans="1:7" ht="58.5" customHeight="1" x14ac:dyDescent="0.25">
      <c r="A5668" s="5" t="str">
        <f>"I0000966"</f>
        <v>I0000966</v>
      </c>
      <c r="B5668" s="5" t="str">
        <f>"PINZA BABY MOSQUITOS CURVA 10 CM"</f>
        <v>PINZA BABY MOSQUITOS CURVA 10 CM</v>
      </c>
      <c r="C5668" s="6">
        <v>41943</v>
      </c>
      <c r="D5668" s="5"/>
      <c r="E5668" s="5" t="str">
        <f t="shared" si="295"/>
        <v>INSTRUMENTACION-DIANA CAICEDO-DIANA DIAZ</v>
      </c>
      <c r="F5668" s="5" t="str">
        <f>"Descripcion: PINZAS  BABY MOSQUITO  Estado: Bueno Placa anterior: 000024532 Material: ACERO INOXIDABLE Color: PLATEADO Referencia:  Observacion:     Placa padre: I0000955Tipo adquisicion: Entidad"</f>
        <v>Descripcion: PINZAS  BABY MOSQUITO  Estado: Bueno Placa anterior: 000024532 Material: ACERO INOXIDABLE Color: PLATEADO Referencia:  Observacion:     Placa padre: I0000955Tipo adquisicion: Entidad</v>
      </c>
      <c r="G5668" s="5"/>
    </row>
    <row r="5669" spans="1:7" ht="58.5" customHeight="1" x14ac:dyDescent="0.25">
      <c r="A5669" s="5" t="str">
        <f>"I0000967"</f>
        <v>I0000967</v>
      </c>
      <c r="B5669" s="5" t="str">
        <f>"PINZA BABY MOSQUITOS CURVA 10 CM"</f>
        <v>PINZA BABY MOSQUITOS CURVA 10 CM</v>
      </c>
      <c r="C5669" s="6">
        <v>41943</v>
      </c>
      <c r="D5669" s="5"/>
      <c r="E5669" s="5" t="str">
        <f t="shared" si="295"/>
        <v>INSTRUMENTACION-DIANA CAICEDO-DIANA DIAZ</v>
      </c>
      <c r="F5669" s="5" t="str">
        <f>"Descripcion: PINZAS  BABY MOSQUITO  Estado: Bueno Placa anterior: 000024533 Material: ACERO INOXIDABLE Color: PLATEADO Referencia:  Observacion:     Placa padre: I0000955Tipo adquisicion: Entidad"</f>
        <v>Descripcion: PINZAS  BABY MOSQUITO  Estado: Bueno Placa anterior: 000024533 Material: ACERO INOXIDABLE Color: PLATEADO Referencia:  Observacion:     Placa padre: I0000955Tipo adquisicion: Entidad</v>
      </c>
      <c r="G5669" s="5"/>
    </row>
    <row r="5670" spans="1:7" ht="58.5" customHeight="1" x14ac:dyDescent="0.25">
      <c r="A5670" s="5" t="str">
        <f>"I0000968"</f>
        <v>I0000968</v>
      </c>
      <c r="B5670" s="5" t="str">
        <f>"PINZA BABY MOSQUITOS CURVA 10 CM"</f>
        <v>PINZA BABY MOSQUITOS CURVA 10 CM</v>
      </c>
      <c r="C5670" s="6">
        <v>41943</v>
      </c>
      <c r="D5670" s="5"/>
      <c r="E5670" s="5" t="str">
        <f t="shared" si="295"/>
        <v>INSTRUMENTACION-DIANA CAICEDO-DIANA DIAZ</v>
      </c>
      <c r="F5670" s="5" t="str">
        <f>"Descripcion: PINZAS  BABY MOSQUITO  Estado: Bueno Placa anterior: 000024534 Material: ACERO INOXIDABLE Color: PLATEADO Referencia:  Observacion:     Placa padre: I0000955Tipo adquisicion: Entidad"</f>
        <v>Descripcion: PINZAS  BABY MOSQUITO  Estado: Bueno Placa anterior: 000024534 Material: ACERO INOXIDABLE Color: PLATEADO Referencia:  Observacion:     Placa padre: I0000955Tipo adquisicion: Entidad</v>
      </c>
      <c r="G5670" s="5"/>
    </row>
    <row r="5671" spans="1:7" ht="58.5" customHeight="1" x14ac:dyDescent="0.25">
      <c r="A5671" s="5" t="str">
        <f>"I0000969"</f>
        <v>I0000969</v>
      </c>
      <c r="B5671" s="5" t="str">
        <f>"EQUIPO CISTOSCOPIO PEDIATRICO"</f>
        <v>EQUIPO CISTOSCOPIO PEDIATRICO</v>
      </c>
      <c r="C5671" s="6">
        <v>26500200</v>
      </c>
      <c r="D5671" s="5"/>
      <c r="E5671" s="5" t="str">
        <f t="shared" si="295"/>
        <v>INSTRUMENTACION-DIANA CAICEDO-DIANA DIAZ</v>
      </c>
      <c r="F5671" s="5" t="str">
        <f>"Descripcion: EQUIPO DE CISTOSCOPIO PEDIATRICO QUE CONSTA DE:  (1) LENTE PEDIATRICO DE 30° DE 2.7  (1) CABLE FUENTE DE LUZ R. WOLF   (1) CAMISA R. WOLF  (1) TROCART R. WOLF  Estado: Bueno Placa anterior: 000025925 Material: ACERO INOXIDABLE Color: PLATEADO"&amp; " Referencia:  Observacion:     Placa padre: Tipo adquisicion: Entidad"</f>
        <v>Descripcion: EQUIPO DE CISTOSCOPIO PEDIATRICO QUE CONSTA DE:  (1) LENTE PEDIATRICO DE 30° DE 2.7  (1) CABLE FUENTE DE LUZ R. WOLF   (1) CAMISA R. WOLF  (1) TROCART R. WOLF  Estado: Bueno Placa anterior: 000025925 Material: ACERO INOXIDABLE Color: PLATEADO Referencia:  Observacion:     Placa padre: Tipo adquisicion: Entidad</v>
      </c>
      <c r="G5671" s="5"/>
    </row>
    <row r="5672" spans="1:7" ht="58.5" customHeight="1" x14ac:dyDescent="0.25">
      <c r="A5672" s="5" t="str">
        <f>"I0000993"</f>
        <v>I0000993</v>
      </c>
      <c r="B5672" s="5" t="str">
        <f>"EQUIPO DE LAPAROSCOPIA NEONATOS"</f>
        <v>EQUIPO DE LAPAROSCOPIA NEONATOS</v>
      </c>
      <c r="C5672" s="6">
        <v>78660000</v>
      </c>
      <c r="D5672" s="5"/>
      <c r="E5672" s="5" t="str">
        <f t="shared" si="295"/>
        <v>INSTRUMENTACION-DIANA CAICEDO-DIANA DIAZ</v>
      </c>
      <c r="F5672" s="5" t="str">
        <f>"Descripcion: EQUIPO NEONATOS NUEVO LAPAROSCOPICO KARL STORZ QUE CONSTA DE:  (1) PORTA AGUJAS DE CLIPS ULTRAMICRO DE KOH 2616FNS  (1) PINZA MARYLAND DE AGARRE GIRATORIA 30322KS   (1) TUBO IRRIGACION Y ASPIRACION 3 MM  (1) LLAVE EN C DOS VIAS   (1) PINZA BA"&amp; "BCOCK DE AGARRE 30341AS  (1) TIJERA DE 3MM GIRATORIA DESMONTABLE 30321 MSW  (1) PINZA GRASPY O KELLY CON AGARRE 30321 MLS  (0) OPTICA 30° 5 MM DE 24 CM   (1) RECIPIENTE CON TAPA PERFORADO PARA INSTRUMENTAL 39301H  (1) RECIPIENTE PERFORADA  PARA LENTE  (1)"&amp; " ESPATULA Estado: Bueno Placa anterior: 000000016 Material: ACERO INOXIDABLE Color: PLATEADO Referencia:  Observacion:     Placa padre: Tipo adquisicion: Entidad"</f>
        <v>Descripcion: EQUIPO NEONATOS NUEVO LAPAROSCOPICO KARL STORZ QUE CONSTA DE:  (1) PORTA AGUJAS DE CLIPS ULTRAMICRO DE KOH 2616FNS  (1) PINZA MARYLAND DE AGARRE GIRATORIA 30322KS   (1) TUBO IRRIGACION Y ASPIRACION 3 MM  (1) LLAVE EN C DOS VIAS   (1) PINZA BABCOCK DE AGARRE 30341AS  (1) TIJERA DE 3MM GIRATORIA DESMONTABLE 30321 MSW  (1) PINZA GRASPY O KELLY CON AGARRE 30321 MLS  (0) OPTICA 30° 5 MM DE 24 CM   (1) RECIPIENTE CON TAPA PERFORADO PARA INSTRUMENTAL 39301H  (1) RECIPIENTE PERFORADA  PARA LENTE  (1) ESPATULA Estado: Bueno Placa anterior: 000000016 Material: ACERO INOXIDABLE Color: PLATEADO Referencia:  Observacion:     Placa padre: Tipo adquisicion: Entidad</v>
      </c>
      <c r="G5672" s="5"/>
    </row>
    <row r="5673" spans="1:7" ht="58.5" customHeight="1" x14ac:dyDescent="0.25">
      <c r="A5673" s="5" t="str">
        <f>"I0000998"</f>
        <v>I0000998</v>
      </c>
      <c r="B5673" s="5" t="str">
        <f>"PINZA BABCOCK LARGAS 25 CM"</f>
        <v>PINZA BABCOCK LARGAS 25 CM</v>
      </c>
      <c r="C5673" s="6">
        <v>4028610</v>
      </c>
      <c r="D5673" s="5" t="s">
        <v>162</v>
      </c>
      <c r="E5673" s="5" t="str">
        <f t="shared" si="295"/>
        <v>INSTRUMENTACION-DIANA CAICEDO-DIANA DIAZ</v>
      </c>
      <c r="F5673" s="5" t="str">
        <f>"Descripcion: PINZA BABCOCK DE AGARRE 30341AS Estado: Bueno Placa anterior: 000038797 Material: ACERO INOXIDABLE Color: PLATEADO Referencia:  Observacion:     Placa padre: I0000993Tipo adquisicion: Entidad"</f>
        <v>Descripcion: PINZA BABCOCK DE AGARRE 30341AS Estado: Bueno Placa anterior: 000038797 Material: ACERO INOXIDABLE Color: PLATEADO Referencia:  Observacion:     Placa padre: I0000993Tipo adquisicion: Entidad</v>
      </c>
      <c r="G5673" s="5"/>
    </row>
    <row r="5674" spans="1:7" ht="58.5" customHeight="1" x14ac:dyDescent="0.25">
      <c r="A5674" s="5" t="str">
        <f>"I0000999"</f>
        <v>I0000999</v>
      </c>
      <c r="B5674" s="5" t="str">
        <f>"TIJERA (INSTRUMENTAL)"</f>
        <v>TIJERA (INSTRUMENTAL)</v>
      </c>
      <c r="C5674" s="6">
        <v>3709274</v>
      </c>
      <c r="D5674" s="5" t="s">
        <v>162</v>
      </c>
      <c r="E5674" s="5" t="str">
        <f t="shared" si="295"/>
        <v>INSTRUMENTACION-DIANA CAICEDO-DIANA DIAZ</v>
      </c>
      <c r="F5674" s="5" t="str">
        <f>"Descripcion: TIJERA DE 3MM GIRATORIA DESMONTABLE 30321 MSW Estado: Bueno Placa anterior: 000038799 Material: ACERO INOXIDABLE Color: PLATEADO Referencia:  Observacion:     Placa padre: I0000993Tipo adquisicion: Entidad"</f>
        <v>Descripcion: TIJERA DE 3MM GIRATORIA DESMONTABLE 30321 MSW Estado: Bueno Placa anterior: 000038799 Material: ACERO INOXIDABLE Color: PLATEADO Referencia:  Observacion:     Placa padre: I0000993Tipo adquisicion: Entidad</v>
      </c>
      <c r="G5674" s="5"/>
    </row>
    <row r="5675" spans="1:7" ht="58.5" customHeight="1" x14ac:dyDescent="0.25">
      <c r="A5675" s="5" t="str">
        <f>"I0001002"</f>
        <v>I0001002</v>
      </c>
      <c r="B5675" s="5" t="str">
        <f>"CANASTA DE INSTRUMENTAL"</f>
        <v>CANASTA DE INSTRUMENTAL</v>
      </c>
      <c r="C5675" s="6">
        <v>2501505</v>
      </c>
      <c r="D5675" s="5" t="s">
        <v>162</v>
      </c>
      <c r="E5675" s="5" t="str">
        <f t="shared" si="295"/>
        <v>INSTRUMENTACION-DIANA CAICEDO-DIANA DIAZ</v>
      </c>
      <c r="F5675" s="5" t="str">
        <f>"Descripcion: RECIPIENTE CON TAPA PERFORADO PARA INSTRUMENTAL 39301H Estado: Bueno Placa anterior: 000038804 Material: ACERO INOXIDABLE Color: PLATEADO Referencia:  Observacion:     Placa padre: I0000993Tipo adquisicion: Entidad"</f>
        <v>Descripcion: RECIPIENTE CON TAPA PERFORADO PARA INSTRUMENTAL 39301H Estado: Bueno Placa anterior: 000038804 Material: ACERO INOXIDABLE Color: PLATEADO Referencia:  Observacion:     Placa padre: I0000993Tipo adquisicion: Entidad</v>
      </c>
      <c r="G5675" s="5"/>
    </row>
    <row r="5676" spans="1:7" ht="58.5" customHeight="1" x14ac:dyDescent="0.25">
      <c r="A5676" s="5" t="str">
        <f>"I0001005"</f>
        <v>I0001005</v>
      </c>
      <c r="B5676" s="5" t="str">
        <f>"EQUIPO CISTOSCOPIO PEDIATRICO"</f>
        <v>EQUIPO CISTOSCOPIO PEDIATRICO</v>
      </c>
      <c r="C5676" s="6">
        <v>119222717</v>
      </c>
      <c r="D5676" s="5"/>
      <c r="E5676" s="5" t="str">
        <f t="shared" si="295"/>
        <v>INSTRUMENTACION-DIANA CAICEDO-DIANA DIAZ</v>
      </c>
      <c r="F5676" s="5" t="str">
        <f>"Descripcion: CISTORESECTOSCOPIO PEDIATRICO KARL STORZ QUE CONSTA DE:  (1) ELEMENTO TRABAJO RESECTOSCOPIO  KARL STORZ 27033E  (1) CAMISA RESECTOSCOPIO  27033R  (1) OBTURADOR RESECTOSCOPIO   27033RO  (1)  CABLE GRIS  (1) LENTE 0°  DE 1.2MM 27033AA  (1) PINZ"&amp; "A BIOPCIA  270712 J  (0) PINZA CUERPO EXTRAÑO 2707 TJ  (1) CISTOSCOPIO CON LENTE INCLUIDO 27030 KA  (1) PUENTE CON TAPON NEGRO PARA CISTOSCOPIO 270016  (1) PUENTE DE ALARGUE CON TAPON PARA CISTOSCOPIO 27033 F   (1) RECIPIENTE CON TAPA PERFORADO PARA INSTR"&amp; "UMENTAL Estado: Bueno Placa anterior: 000038889 Material: ACERO INOXIDABLE Color: PLATEADO Referencia:  Observacion:     Placa padre: Tipo adquisicion: Entidad"</f>
        <v>Descripcion: CISTORESECTOSCOPIO PEDIATRICO KARL STORZ QUE CONSTA DE:  (1) ELEMENTO TRABAJO RESECTOSCOPIO  KARL STORZ 27033E  (1) CAMISA RESECTOSCOPIO  27033R  (1) OBTURADOR RESECTOSCOPIO   27033RO  (1)  CABLE GRIS  (1) LENTE 0°  DE 1.2MM 27033AA  (1) PINZA BIOPCIA  270712 J  (0) PINZA CUERPO EXTRAÑO 2707 TJ  (1) CISTOSCOPIO CON LENTE INCLUIDO 27030 KA  (1) PUENTE CON TAPON NEGRO PARA CISTOSCOPIO 270016  (1) PUENTE DE ALARGUE CON TAPON PARA CISTOSCOPIO 27033 F   (1) RECIPIENTE CON TAPA PERFORADO PARA INSTRUMENTAL Estado: Bueno Placa anterior: 000038889 Material: ACERO INOXIDABLE Color: PLATEADO Referencia:  Observacion:     Placa padre: Tipo adquisicion: Entidad</v>
      </c>
      <c r="G5676" s="5"/>
    </row>
    <row r="5677" spans="1:7" ht="58.5" customHeight="1" x14ac:dyDescent="0.25">
      <c r="A5677" s="5" t="str">
        <f>"I0001008"</f>
        <v>I0001008</v>
      </c>
      <c r="B5677" s="5" t="str">
        <f>"OBTURADOR RESECTOSCOPIO"</f>
        <v>OBTURADOR RESECTOSCOPIO</v>
      </c>
      <c r="C5677" s="6">
        <v>591312.06999999995</v>
      </c>
      <c r="D5677" s="5"/>
      <c r="E5677" s="5" t="str">
        <f t="shared" si="295"/>
        <v>INSTRUMENTACION-DIANA CAICEDO-DIANA DIAZ</v>
      </c>
      <c r="F5677" s="5" t="str">
        <f>"Descripcion: OBTURADOR RESECTOSCOPIO   27033RO Estado: Bueno Placa anterior: 000007149 Material: ACERO INOXIDABLE Color: PLATEADO Referencia:  Observacion: RESECTOSCOPIO PARA ADULTOS  Placa padre: I0001005Tipo adquisicion: Entidad"</f>
        <v>Descripcion: OBTURADOR RESECTOSCOPIO   27033RO Estado: Bueno Placa anterior: 000007149 Material: ACERO INOXIDABLE Color: PLATEADO Referencia:  Observacion: RESECTOSCOPIO PARA ADULTOS  Placa padre: I0001005Tipo adquisicion: Entidad</v>
      </c>
      <c r="G5677" s="5"/>
    </row>
    <row r="5678" spans="1:7" ht="58.5" customHeight="1" x14ac:dyDescent="0.25">
      <c r="A5678" s="5" t="str">
        <f>"I0001016"</f>
        <v>I0001016</v>
      </c>
      <c r="B5678" s="5" t="str">
        <f>"CANASTA DE INSTRUMENTAL"</f>
        <v>CANASTA DE INSTRUMENTAL</v>
      </c>
      <c r="C5678" s="6">
        <v>1080847</v>
      </c>
      <c r="D5678" s="5" t="s">
        <v>162</v>
      </c>
      <c r="E5678" s="5" t="str">
        <f t="shared" si="295"/>
        <v>INSTRUMENTACION-DIANA CAICEDO-DIANA DIAZ</v>
      </c>
      <c r="F5678" s="5" t="str">
        <f>"Descripcion: RECIPIENTE CON TAPA PERFORADO PARA INSTRUMENTAL Estado: Bueno Placa anterior: 000038803 Material: ACERO INOXIDABLE Color: PLATEADO Referencia:  Observacion:     Placa padre: I0001005Tipo adquisicion: Entidad"</f>
        <v>Descripcion: RECIPIENTE CON TAPA PERFORADO PARA INSTRUMENTAL Estado: Bueno Placa anterior: 000038803 Material: ACERO INOXIDABLE Color: PLATEADO Referencia:  Observacion:     Placa padre: I0001005Tipo adquisicion: Entidad</v>
      </c>
      <c r="G5678" s="5"/>
    </row>
    <row r="5679" spans="1:7" ht="58.5" customHeight="1" x14ac:dyDescent="0.25">
      <c r="A5679" s="5" t="str">
        <f>"I0001017"</f>
        <v>I0001017</v>
      </c>
      <c r="B5679" s="5" t="str">
        <f>"EQUIPO DE CESAREA"</f>
        <v>EQUIPO DE CESAREA</v>
      </c>
      <c r="C5679" s="6">
        <v>1296000</v>
      </c>
      <c r="D5679" s="5"/>
      <c r="E5679" s="5" t="str">
        <f t="shared" si="295"/>
        <v>INSTRUMENTACION-DIANA CAICEDO-DIANA DIAZ</v>
      </c>
      <c r="F5679" s="5" t="str">
        <f>"Descripcion: EQUIPO DE CESAREA # 1 QUE CONSTA DE:(1) MANGO DE BISTURI # 4(1) TIJERA DE METZEMBAUM CURVA (2) TIJERAS DE MAYO CURVAS (DIMEDA)(2) SEPARADORES DE FARABEUF (1) PINZA DE DISECCION RUSA (1) PINZA DE DISECCION CON GARRA (1) PINZA DE DISECCION SIN "&amp; "GARRA (2) PINZAS KELLY RECTAS (6) PINZAS KELLY CURVAS (2) PINZAS ROCHESTER CURVAS(2) PINZAS BACBOCK (6) PINZAS ALLIX (DIMEDA)(1) PORTA AGUJAS MEDIANO DE MAYO (DIMEDA)(0) PINZA FOSTER (DIMEDA)(1) CANULA  DE SUCCION (DIMEDA)(1) VALVA DE MAYO (4) PINZAS DE C"&amp; "AMPO (2) PLATONES (1) CUBETA NIQUELADA Estado: Bueno Placa anterior: 000012806 Material: ACERO INOXIDABLE Color: PLATEADO Referencia:  Observacion:     Placa padre: Tipo adquisicion: Entidad"</f>
        <v>Descripcion: EQUIPO DE CESAREA # 1 QUE CONSTA DE:(1) MANGO DE BISTURI # 4(1) TIJERA DE METZEMBAUM CURVA (2) TIJERAS DE MAYO CURVAS (DIMEDA)(2) SEPARADORES DE FARABEUF (1) PINZA DE DISECCION RUSA (1) PINZA DE DISECCION CON GARRA (1) PINZA DE DISECCION SIN GARRA (2) PINZAS KELLY RECTAS (6) PINZAS KELLY CURVAS (2) PINZAS ROCHESTER CURVAS(2) PINZAS BACBOCK (6) PINZAS ALLIX (DIMEDA)(1) PORTA AGUJAS MEDIANO DE MAYO (DIMEDA)(0) PINZA FOSTER (DIMEDA)(1) CANULA  DE SUCCION (DIMEDA)(1) VALVA DE MAYO (4) PINZAS DE CAMPO (2) PLATONES (1) CUBETA NIQUELADA Estado: Bueno Placa anterior: 000012806 Material: ACERO INOXIDABLE Color: PLATEADO Referencia:  Observacion:     Placa padre: Tipo adquisicion: Entidad</v>
      </c>
      <c r="G5679" s="5"/>
    </row>
    <row r="5680" spans="1:7" ht="58.5" customHeight="1" x14ac:dyDescent="0.25">
      <c r="A5680" s="5" t="str">
        <f>"I0001018"</f>
        <v>I0001018</v>
      </c>
      <c r="B5680" s="5" t="str">
        <f>"MANGO PARA BISTURI #4"</f>
        <v>MANGO PARA BISTURI #4</v>
      </c>
      <c r="C5680" s="6">
        <v>15080</v>
      </c>
      <c r="D5680" s="5"/>
      <c r="E5680" s="5" t="str">
        <f t="shared" si="295"/>
        <v>INSTRUMENTACION-DIANA CAICEDO-DIANA DIAZ</v>
      </c>
      <c r="F5680" s="5" t="str">
        <f>"Descripcion: MANGO DE BISTURI # 4 Estado: Bueno Placa anterior: 000031876 Material: ACERO INOXIDABLE Color: PLATEADO Referencia:  Observacion:     Placa padre: I0001017Tipo adquisicion: Entidad"</f>
        <v>Descripcion: MANGO DE BISTURI # 4 Estado: Bueno Placa anterior: 000031876 Material: ACERO INOXIDABLE Color: PLATEADO Referencia:  Observacion:     Placa padre: I0001017Tipo adquisicion: Entidad</v>
      </c>
      <c r="G5680" s="5"/>
    </row>
    <row r="5681" spans="1:7" ht="58.5" customHeight="1" x14ac:dyDescent="0.25">
      <c r="A5681" s="5" t="str">
        <f>"I0001019"</f>
        <v>I0001019</v>
      </c>
      <c r="B5681" s="5" t="str">
        <f>"TIJERA  DE METZEMBAUM CURVA"</f>
        <v>TIJERA  DE METZEMBAUM CURVA</v>
      </c>
      <c r="C5681" s="6">
        <v>63800</v>
      </c>
      <c r="D5681" s="5"/>
      <c r="E5681" s="5" t="str">
        <f t="shared" si="295"/>
        <v>INSTRUMENTACION-DIANA CAICEDO-DIANA DIAZ</v>
      </c>
      <c r="F5681" s="5" t="str">
        <f>"Descripcion: TIJERA DE METZEMBAUM CURVA  Estado: Bueno Placa anterior: 000032089 Material: ACERO INOXIDABLE Color: PLATEADO Referencia:  Observacion:     Placa padre: I0001017Tipo adquisicion: Entidad"</f>
        <v>Descripcion: TIJERA DE METZEMBAUM CURVA  Estado: Bueno Placa anterior: 000032089 Material: ACERO INOXIDABLE Color: PLATEADO Referencia:  Observacion:     Placa padre: I0001017Tipo adquisicion: Entidad</v>
      </c>
      <c r="G5681" s="5"/>
    </row>
    <row r="5682" spans="1:7" ht="58.5" customHeight="1" x14ac:dyDescent="0.25">
      <c r="A5682" s="5" t="str">
        <f>"I0001022"</f>
        <v>I0001022</v>
      </c>
      <c r="B5682" s="5" t="str">
        <f>"SEPARADOR DE ABDOMEN (FARABEUF)"</f>
        <v>SEPARADOR DE ABDOMEN (FARABEUF)</v>
      </c>
      <c r="C5682" s="6">
        <v>46400</v>
      </c>
      <c r="D5682" s="5"/>
      <c r="E5682" s="5" t="str">
        <f t="shared" si="295"/>
        <v>INSTRUMENTACION-DIANA CAICEDO-DIANA DIAZ</v>
      </c>
      <c r="F5682" s="5" t="str">
        <f>"Descripcion: SEPARADORES DE FARABEUF  Estado: Bueno Placa anterior: 000032510 Material: ACERO INOXIDABLE Color: PLATEADO Referencia:  Observacion:     Placa padre: I0001017Tipo adquisicion: Entidad"</f>
        <v>Descripcion: SEPARADORES DE FARABEUF  Estado: Bueno Placa anterior: 000032510 Material: ACERO INOXIDABLE Color: PLATEADO Referencia:  Observacion:     Placa padre: I0001017Tipo adquisicion: Entidad</v>
      </c>
      <c r="G5682" s="5"/>
    </row>
    <row r="5683" spans="1:7" ht="58.5" customHeight="1" x14ac:dyDescent="0.25">
      <c r="A5683" s="5" t="str">
        <f>"I0001024"</f>
        <v>I0001024</v>
      </c>
      <c r="B5683" s="5" t="str">
        <f>"PINZA DE DISECCION SIN GARRA CORTA 20 CM"</f>
        <v>PINZA DE DISECCION SIN GARRA CORTA 20 CM</v>
      </c>
      <c r="C5683" s="6">
        <v>67280</v>
      </c>
      <c r="D5683" s="5"/>
      <c r="E5683" s="5" t="str">
        <f t="shared" si="295"/>
        <v>INSTRUMENTACION-DIANA CAICEDO-DIANA DIAZ</v>
      </c>
      <c r="F5683" s="5" t="str">
        <f>"Descripcion: PINZA DE DISECCION RUSA  Estado: Bueno Placa anterior: 000031979 Material: ACERO INOXIDABLE Color: PLATEADO Referencia:  Observacion:     Placa padre: I0001017Tipo adquisicion: Entidad"</f>
        <v>Descripcion: PINZA DE DISECCION RUSA  Estado: Bueno Placa anterior: 000031979 Material: ACERO INOXIDABLE Color: PLATEADO Referencia:  Observacion:     Placa padre: I0001017Tipo adquisicion: Entidad</v>
      </c>
      <c r="G5683" s="5"/>
    </row>
    <row r="5684" spans="1:7" ht="58.5" customHeight="1" x14ac:dyDescent="0.25">
      <c r="A5684" s="5" t="str">
        <f>"I0001035"</f>
        <v>I0001035</v>
      </c>
      <c r="B5684" s="5" t="str">
        <f>"PINZA ROCHESTER CURVA 25 CM"</f>
        <v>PINZA ROCHESTER CURVA 25 CM</v>
      </c>
      <c r="C5684" s="6">
        <v>113680</v>
      </c>
      <c r="D5684" s="5"/>
      <c r="E5684" s="5" t="str">
        <f t="shared" si="295"/>
        <v>INSTRUMENTACION-DIANA CAICEDO-DIANA DIAZ</v>
      </c>
      <c r="F5684" s="5" t="str">
        <f>"Descripcion: PINZAS ROCHESTER CURVAS Estado: Bueno Placa anterior: 000032476 Material: ACERO INOXIDABLE Color: PLATEADO Referencia:  Observacion:     Placa padre: I0001017Tipo adquisicion: Entidad"</f>
        <v>Descripcion: PINZAS ROCHESTER CURVAS Estado: Bueno Placa anterior: 000032476 Material: ACERO INOXIDABLE Color: PLATEADO Referencia:  Observacion:     Placa padre: I0001017Tipo adquisicion: Entidad</v>
      </c>
      <c r="G5684" s="5"/>
    </row>
    <row r="5685" spans="1:7" ht="58.5" customHeight="1" x14ac:dyDescent="0.25">
      <c r="A5685" s="5" t="str">
        <f>"I0001036"</f>
        <v>I0001036</v>
      </c>
      <c r="B5685" s="5" t="str">
        <f>"PINZA ROCHESTER CURVA 25 CM"</f>
        <v>PINZA ROCHESTER CURVA 25 CM</v>
      </c>
      <c r="C5685" s="6">
        <v>113680</v>
      </c>
      <c r="D5685" s="5"/>
      <c r="E5685" s="5" t="str">
        <f t="shared" si="295"/>
        <v>INSTRUMENTACION-DIANA CAICEDO-DIANA DIAZ</v>
      </c>
      <c r="F5685" s="5" t="str">
        <f>"Descripcion: PINZAS ROCHESTER CURVAS Estado: Bueno Placa anterior: 000032477 Material: ACERO INOXIDABLE Color: PLATEADO Referencia:  Observacion:     Placa padre: I0001017Tipo adquisicion: Entidad"</f>
        <v>Descripcion: PINZAS ROCHESTER CURVAS Estado: Bueno Placa anterior: 000032477 Material: ACERO INOXIDABLE Color: PLATEADO Referencia:  Observacion:     Placa padre: I0001017Tipo adquisicion: Entidad</v>
      </c>
      <c r="G5685" s="5"/>
    </row>
    <row r="5686" spans="1:7" ht="58.5" customHeight="1" x14ac:dyDescent="0.25">
      <c r="A5686" s="5" t="str">
        <f>"I0001045"</f>
        <v>I0001045</v>
      </c>
      <c r="B5686" s="5" t="str">
        <f>"PORTAGUJAS (PINZA)"</f>
        <v>PORTAGUJAS (PINZA)</v>
      </c>
      <c r="C5686" s="6">
        <v>81200</v>
      </c>
      <c r="D5686" s="5"/>
      <c r="E5686" s="5" t="str">
        <f t="shared" si="295"/>
        <v>INSTRUMENTACION-DIANA CAICEDO-DIANA DIAZ</v>
      </c>
      <c r="F5686" s="5" t="str">
        <f>"Descripcion: PORTA AGUJAS MEDIANO DE MAYO (DIMEDA) Estado: Bueno Placa anterior: 000032427 Material: ACERO INOXIDABLE Color: PLATEADO Referencia:  Observacion:     Placa padre: I0001017Tipo adquisicion: Entidad"</f>
        <v>Descripcion: PORTA AGUJAS MEDIANO DE MAYO (DIMEDA) Estado: Bueno Placa anterior: 000032427 Material: ACERO INOXIDABLE Color: PLATEADO Referencia:  Observacion:     Placa padre: I0001017Tipo adquisicion: Entidad</v>
      </c>
      <c r="G5686" s="5"/>
    </row>
    <row r="5687" spans="1:7" ht="58.5" customHeight="1" x14ac:dyDescent="0.25">
      <c r="A5687" s="5" t="str">
        <f>"I0001046"</f>
        <v>I0001046</v>
      </c>
      <c r="B5687" s="5" t="str">
        <f>"PINZA FOSTER"</f>
        <v>PINZA FOSTER</v>
      </c>
      <c r="C5687" s="6">
        <v>127600</v>
      </c>
      <c r="D5687" s="5"/>
      <c r="E5687" s="5" t="str">
        <f t="shared" si="295"/>
        <v>INSTRUMENTACION-DIANA CAICEDO-DIANA DIAZ</v>
      </c>
      <c r="F5687" s="5" t="str">
        <f>"Descripcion: PINZA FOSTER (DIMEDA) Estado: Bueno Placa anterior: 000032003 Material: ACERO INOXIDABLE Color: PLATEADO Referencia:  Observacion:     Placa padre: I0001017Tipo adquisicion: Entidad"</f>
        <v>Descripcion: PINZA FOSTER (DIMEDA) Estado: Bueno Placa anterior: 000032003 Material: ACERO INOXIDABLE Color: PLATEADO Referencia:  Observacion:     Placa padre: I0001017Tipo adquisicion: Entidad</v>
      </c>
      <c r="G5687" s="5"/>
    </row>
    <row r="5688" spans="1:7" ht="58.5" customHeight="1" x14ac:dyDescent="0.25">
      <c r="A5688" s="5" t="str">
        <f>"I0001055"</f>
        <v>I0001055</v>
      </c>
      <c r="B5688" s="5" t="str">
        <f>"CUBETA DE ACERO INOXIDABLE MEDIANA"</f>
        <v>CUBETA DE ACERO INOXIDABLE MEDIANA</v>
      </c>
      <c r="C5688" s="6">
        <v>139200</v>
      </c>
      <c r="D5688" s="5"/>
      <c r="E5688" s="5" t="str">
        <f t="shared" si="295"/>
        <v>INSTRUMENTACION-DIANA CAICEDO-DIANA DIAZ</v>
      </c>
      <c r="F5688" s="5" t="str">
        <f>"Descripcion: CUBETA NIQUELADA  Estado: Bueno Placa anterior: 000025345 Material: ACERO INOXIDABLE Color: PLATEADO Referencia:  Observacion:     Placa padre: I0001017Tipo adquisicion: Entidad"</f>
        <v>Descripcion: CUBETA NIQUELADA  Estado: Bueno Placa anterior: 000025345 Material: ACERO INOXIDABLE Color: PLATEADO Referencia:  Observacion:     Placa padre: I0001017Tipo adquisicion: Entidad</v>
      </c>
      <c r="G5688" s="5"/>
    </row>
    <row r="5689" spans="1:7" ht="58.5" customHeight="1" x14ac:dyDescent="0.25">
      <c r="A5689" s="5" t="str">
        <f>"I0001056"</f>
        <v>I0001056</v>
      </c>
      <c r="B5689" s="5" t="str">
        <f>"EQUIPO DE CESAREA"</f>
        <v>EQUIPO DE CESAREA</v>
      </c>
      <c r="C5689" s="6">
        <v>1296000</v>
      </c>
      <c r="D5689" s="5"/>
      <c r="E5689" s="5" t="str">
        <f t="shared" si="295"/>
        <v>INSTRUMENTACION-DIANA CAICEDO-DIANA DIAZ</v>
      </c>
      <c r="F5689" s="5" t="str">
        <f>"Descripcion: EQUIPO DE CESAREA # 2 QUE CONSTA DE:(1) MANGO DE BISTURI # 4(1) TIJERA DE METZEMBAUM CURVA (2) TIJERAS DE MAYO CURVAS (DIMEDA)(2) SEPARADORES DE FARABEUF (1) PINZA DE DISECCION RUSA (1) PINZA DE DISECCION CON GARRA (1) PINZA DE DISECCION SIN "&amp; "GARRA (2) PINZAS KELLY RECTAS (4) PINZAS KELLY CURVAS (1) PINZAS ROCHESTER CURVAS(1) PINZAS BACBOCK (5) PINZAS ALLIX (DIMEDA)(1) PORTA AGUJAS MEDIANO DE MAYO (DIMEDA)(1) PINZA FOSTER (DIMEDA)(1) CANULA  DE SUCCION (DIMEDA)(1) VALVA DE MAYO (4) PINZAS DE C"&amp; "AMPO (1) PLATONES (1) CUBETA NIQUELADA Estado: Bueno Placa anterior: 000012833 Material: ACERO INOXIDABLE Color: PLATEADO Referencia:  Observacion:     Placa padre: Tipo adquisicion: Entidad"</f>
        <v>Descripcion: EQUIPO DE CESAREA # 2 QUE CONSTA DE:(1) MANGO DE BISTURI # 4(1) TIJERA DE METZEMBAUM CURVA (2) TIJERAS DE MAYO CURVAS (DIMEDA)(2) SEPARADORES DE FARABEUF (1) PINZA DE DISECCION RUSA (1) PINZA DE DISECCION CON GARRA (1) PINZA DE DISECCION SIN GARRA (2) PINZAS KELLY RECTAS (4) PINZAS KELLY CURVAS (1) PINZAS ROCHESTER CURVAS(1) PINZAS BACBOCK (5) PINZAS ALLIX (DIMEDA)(1) PORTA AGUJAS MEDIANO DE MAYO (DIMEDA)(1) PINZA FOSTER (DIMEDA)(1) CANULA  DE SUCCION (DIMEDA)(1) VALVA DE MAYO (4) PINZAS DE CAMPO (1) PLATONES (1) CUBETA NIQUELADA Estado: Bueno Placa anterior: 000012833 Material: ACERO INOXIDABLE Color: PLATEADO Referencia:  Observacion:     Placa padre: Tipo adquisicion: Entidad</v>
      </c>
      <c r="G5689" s="5"/>
    </row>
    <row r="5690" spans="1:7" ht="58.5" customHeight="1" x14ac:dyDescent="0.25">
      <c r="A5690" s="5" t="str">
        <f>"I0001063"</f>
        <v>I0001063</v>
      </c>
      <c r="B5690" s="5" t="str">
        <f>"PINZA DE DISECCION SIN GARRA CORTA 20 CM"</f>
        <v>PINZA DE DISECCION SIN GARRA CORTA 20 CM</v>
      </c>
      <c r="C5690" s="6">
        <v>67280</v>
      </c>
      <c r="D5690" s="5"/>
      <c r="E5690" s="5" t="str">
        <f t="shared" si="295"/>
        <v>INSTRUMENTACION-DIANA CAICEDO-DIANA DIAZ</v>
      </c>
      <c r="F5690" s="5" t="str">
        <f>"Descripcion: PINZA DE DISECCION RUSA  Estado: Bueno Placa anterior: 000031980 Material: ACERO INOXIDABLE Color: PLATEADO Referencia:  Observacion:     Placa padre: I0001056Tipo adquisicion: Entidad"</f>
        <v>Descripcion: PINZA DE DISECCION RUSA  Estado: Bueno Placa anterior: 000031980 Material: ACERO INOXIDABLE Color: PLATEADO Referencia:  Observacion:     Placa padre: I0001056Tipo adquisicion: Entidad</v>
      </c>
      <c r="G5690" s="5"/>
    </row>
    <row r="5691" spans="1:7" ht="58.5" customHeight="1" x14ac:dyDescent="0.25">
      <c r="A5691" s="5" t="str">
        <f>"I0001064"</f>
        <v>I0001064</v>
      </c>
      <c r="B5691" s="5" t="str">
        <f>"PINZA DE DISECCION CON GARRA MEDIANA 25 CM"</f>
        <v>PINZA DE DISECCION CON GARRA MEDIANA 25 CM</v>
      </c>
      <c r="C5691" s="6">
        <v>39440</v>
      </c>
      <c r="D5691" s="5"/>
      <c r="E5691" s="5" t="str">
        <f t="shared" si="295"/>
        <v>INSTRUMENTACION-DIANA CAICEDO-DIANA DIAZ</v>
      </c>
      <c r="F5691" s="5" t="str">
        <f>"Descripcion: PINZA DE DISECCION CON GARRA Estado: Bueno Placa anterior: 000031966 Material: ACERO INOXIDABLE Color: PLATEADO Referencia:  Observacion:     Placa padre: I0001056Tipo adquisicion: Entidad"</f>
        <v>Descripcion: PINZA DE DISECCION CON GARRA Estado: Bueno Placa anterior: 000031966 Material: ACERO INOXIDABLE Color: PLATEADO Referencia:  Observacion:     Placa padre: I0001056Tipo adquisicion: Entidad</v>
      </c>
      <c r="G5691" s="5"/>
    </row>
    <row r="5692" spans="1:7" ht="58.5" customHeight="1" x14ac:dyDescent="0.25">
      <c r="A5692" s="5" t="str">
        <f>"I0001074"</f>
        <v>I0001074</v>
      </c>
      <c r="B5692" s="5" t="str">
        <f>"PINZA ROCHESTER CURVA 25 CM"</f>
        <v>PINZA ROCHESTER CURVA 25 CM</v>
      </c>
      <c r="C5692" s="6">
        <v>113680</v>
      </c>
      <c r="D5692" s="5"/>
      <c r="E5692" s="5" t="str">
        <f t="shared" si="295"/>
        <v>INSTRUMENTACION-DIANA CAICEDO-DIANA DIAZ</v>
      </c>
      <c r="F5692" s="5" t="str">
        <f>"Descripcion: PINZAS ROCHESTER CURVAS Estado: Bueno Placa anterior: 000032478 Material: ACERO INOXIDABLE Color: PLATEADO Referencia:  Observacion:     Placa padre: I0001056Tipo adquisicion: Entidad"</f>
        <v>Descripcion: PINZAS ROCHESTER CURVAS Estado: Bueno Placa anterior: 000032478 Material: ACERO INOXIDABLE Color: PLATEADO Referencia:  Observacion:     Placa padre: I0001056Tipo adquisicion: Entidad</v>
      </c>
      <c r="G5692" s="5"/>
    </row>
    <row r="5693" spans="1:7" ht="58.5" customHeight="1" x14ac:dyDescent="0.25">
      <c r="A5693" s="5" t="str">
        <f>"I0001075"</f>
        <v>I0001075</v>
      </c>
      <c r="B5693" s="5" t="str">
        <f>"PINZA ROCHESTER CURVA 25 CM"</f>
        <v>PINZA ROCHESTER CURVA 25 CM</v>
      </c>
      <c r="C5693" s="6">
        <v>113680</v>
      </c>
      <c r="D5693" s="5"/>
      <c r="E5693" s="5" t="str">
        <f t="shared" si="295"/>
        <v>INSTRUMENTACION-DIANA CAICEDO-DIANA DIAZ</v>
      </c>
      <c r="F5693" s="5" t="str">
        <f>"Descripcion: PINZAS ROCHESTER CURVAS Estado: Bueno Placa anterior: 000032479 Material: ACERO INOXIDABLE Color: PLATEADO Referencia:  Observacion:     Placa padre: I0001056Tipo adquisicion: Entidad"</f>
        <v>Descripcion: PINZAS ROCHESTER CURVAS Estado: Bueno Placa anterior: 000032479 Material: ACERO INOXIDABLE Color: PLATEADO Referencia:  Observacion:     Placa padre: I0001056Tipo adquisicion: Entidad</v>
      </c>
      <c r="G5693" s="5"/>
    </row>
    <row r="5694" spans="1:7" ht="58.5" customHeight="1" x14ac:dyDescent="0.25">
      <c r="A5694" s="5" t="str">
        <f>"I0001084"</f>
        <v>I0001084</v>
      </c>
      <c r="B5694" s="5" t="str">
        <f>"PORTAGUJAS (PINZA)"</f>
        <v>PORTAGUJAS (PINZA)</v>
      </c>
      <c r="C5694" s="6">
        <v>68440</v>
      </c>
      <c r="D5694" s="5"/>
      <c r="E5694" s="5" t="str">
        <f t="shared" si="295"/>
        <v>INSTRUMENTACION-DIANA CAICEDO-DIANA DIAZ</v>
      </c>
      <c r="F5694" s="5" t="str">
        <f>"Descripcion: PORTA AGUJAS MEDIANO DE MAYO (DIMEDA) Estado: Bueno Placa anterior: 000032407 Material: ACERO INOXIDABLE Color: PLATEADO Referencia:  Observacion:     Placa padre: I0001056Tipo adquisicion: Entidad"</f>
        <v>Descripcion: PORTA AGUJAS MEDIANO DE MAYO (DIMEDA) Estado: Bueno Placa anterior: 000032407 Material: ACERO INOXIDABLE Color: PLATEADO Referencia:  Observacion:     Placa padre: I0001056Tipo adquisicion: Entidad</v>
      </c>
      <c r="G5694" s="5"/>
    </row>
    <row r="5695" spans="1:7" ht="58.5" customHeight="1" x14ac:dyDescent="0.25">
      <c r="A5695" s="5" t="str">
        <f>"I0001085"</f>
        <v>I0001085</v>
      </c>
      <c r="B5695" s="5" t="str">
        <f>"PINZA FOSTER"</f>
        <v>PINZA FOSTER</v>
      </c>
      <c r="C5695" s="6">
        <v>127600</v>
      </c>
      <c r="D5695" s="5"/>
      <c r="E5695" s="5" t="str">
        <f t="shared" si="295"/>
        <v>INSTRUMENTACION-DIANA CAICEDO-DIANA DIAZ</v>
      </c>
      <c r="F5695" s="5" t="str">
        <f>"Descripcion: PINZA FOSTER (DIMEDA) Estado: Bueno Placa anterior: 000032004 Material: ACERO INOXIDABLE Color: PLATEADO Referencia:  Observacion:     Placa padre: I0001056Tipo adquisicion: Entidad"</f>
        <v>Descripcion: PINZA FOSTER (DIMEDA) Estado: Bueno Placa anterior: 000032004 Material: ACERO INOXIDABLE Color: PLATEADO Referencia:  Observacion:     Placa padre: I0001056Tipo adquisicion: Entidad</v>
      </c>
      <c r="G5695" s="5"/>
    </row>
    <row r="5696" spans="1:7" ht="58.5" customHeight="1" x14ac:dyDescent="0.25">
      <c r="A5696" s="5" t="str">
        <f>"I0001088"</f>
        <v>I0001088</v>
      </c>
      <c r="B5696" s="5" t="str">
        <f>"PINZA DE CAMPO"</f>
        <v>PINZA DE CAMPO</v>
      </c>
      <c r="C5696" s="6">
        <v>39440</v>
      </c>
      <c r="D5696" s="5"/>
      <c r="E5696" s="5" t="str">
        <f t="shared" si="295"/>
        <v>INSTRUMENTACION-DIANA CAICEDO-DIANA DIAZ</v>
      </c>
      <c r="F5696" s="5" t="str">
        <f>"Descripcion: PINZAS DE CAMPO  Estado: Bueno Placa anterior: 000031798 Material: ACERO INOXIDABLE Color: PLATEADO Referencia:  Observacion:     Placa padre: I0001056Tipo adquisicion: Entidad"</f>
        <v>Descripcion: PINZAS DE CAMPO  Estado: Bueno Placa anterior: 000031798 Material: ACERO INOXIDABLE Color: PLATEADO Referencia:  Observacion:     Placa padre: I0001056Tipo adquisicion: Entidad</v>
      </c>
      <c r="G5696" s="5"/>
    </row>
    <row r="5697" spans="1:7" ht="58.5" customHeight="1" x14ac:dyDescent="0.25">
      <c r="A5697" s="5" t="str">
        <f>"I0001089"</f>
        <v>I0001089</v>
      </c>
      <c r="B5697" s="5" t="str">
        <f>"PINZA DE CAMPO"</f>
        <v>PINZA DE CAMPO</v>
      </c>
      <c r="C5697" s="6">
        <v>39440</v>
      </c>
      <c r="D5697" s="5"/>
      <c r="E5697" s="5" t="str">
        <f t="shared" si="295"/>
        <v>INSTRUMENTACION-DIANA CAICEDO-DIANA DIAZ</v>
      </c>
      <c r="F5697" s="5" t="str">
        <f>"Descripcion: PINZAS DE CAMPO  Estado: Bueno Placa anterior: 000031799 Material: ACERO INOXIDABLE Color: PLATEADO Referencia:  Observacion:     Placa padre: I0001056Tipo adquisicion: Entidad"</f>
        <v>Descripcion: PINZAS DE CAMPO  Estado: Bueno Placa anterior: 000031799 Material: ACERO INOXIDABLE Color: PLATEADO Referencia:  Observacion:     Placa padre: I0001056Tipo adquisicion: Entidad</v>
      </c>
      <c r="G5697" s="5"/>
    </row>
    <row r="5698" spans="1:7" ht="58.5" customHeight="1" x14ac:dyDescent="0.25">
      <c r="A5698" s="5" t="str">
        <f>"I0001090"</f>
        <v>I0001090</v>
      </c>
      <c r="B5698" s="5" t="str">
        <f>"PINZA DE CAMPO"</f>
        <v>PINZA DE CAMPO</v>
      </c>
      <c r="C5698" s="6">
        <v>39440</v>
      </c>
      <c r="D5698" s="5"/>
      <c r="E5698" s="5" t="str">
        <f t="shared" si="295"/>
        <v>INSTRUMENTACION-DIANA CAICEDO-DIANA DIAZ</v>
      </c>
      <c r="F5698" s="5" t="str">
        <f>"Descripcion: PINZAS DE CAMPO  Estado: Bueno Placa anterior: 000031800 Material: ACERO INOXIDABLE Color: PLATEADO Referencia:  Observacion:     Placa padre: I0001056Tipo adquisicion: Entidad"</f>
        <v>Descripcion: PINZAS DE CAMPO  Estado: Bueno Placa anterior: 000031800 Material: ACERO INOXIDABLE Color: PLATEADO Referencia:  Observacion:     Placa padre: I0001056Tipo adquisicion: Entidad</v>
      </c>
      <c r="G5698" s="5"/>
    </row>
    <row r="5699" spans="1:7" ht="58.5" customHeight="1" x14ac:dyDescent="0.25">
      <c r="A5699" s="5" t="str">
        <f>"I0001091"</f>
        <v>I0001091</v>
      </c>
      <c r="B5699" s="5" t="str">
        <f>"PINZA DE CAMPO"</f>
        <v>PINZA DE CAMPO</v>
      </c>
      <c r="C5699" s="6">
        <v>39440</v>
      </c>
      <c r="D5699" s="5"/>
      <c r="E5699" s="5" t="str">
        <f t="shared" si="295"/>
        <v>INSTRUMENTACION-DIANA CAICEDO-DIANA DIAZ</v>
      </c>
      <c r="F5699" s="5" t="str">
        <f>"Descripcion: PINZAS DE CAMPO  Estado: Bueno Placa anterior: 000031801 Material: ACERO INOXIDABLE Color: PLATEADO Referencia:  Observacion:     Placa padre: I0001056Tipo adquisicion: Entidad"</f>
        <v>Descripcion: PINZAS DE CAMPO  Estado: Bueno Placa anterior: 000031801 Material: ACERO INOXIDABLE Color: PLATEADO Referencia:  Observacion:     Placa padre: I0001056Tipo adquisicion: Entidad</v>
      </c>
      <c r="G5699" s="5"/>
    </row>
    <row r="5700" spans="1:7" ht="58.5" customHeight="1" x14ac:dyDescent="0.25">
      <c r="A5700" s="5" t="str">
        <f>"I0001094"</f>
        <v>I0001094</v>
      </c>
      <c r="B5700" s="5" t="str">
        <f>"CUBETA DE ACERO INOXIDABLE MEDIANA"</f>
        <v>CUBETA DE ACERO INOXIDABLE MEDIANA</v>
      </c>
      <c r="C5700" s="6">
        <v>139200</v>
      </c>
      <c r="D5700" s="5"/>
      <c r="E5700" s="5" t="str">
        <f t="shared" si="295"/>
        <v>INSTRUMENTACION-DIANA CAICEDO-DIANA DIAZ</v>
      </c>
      <c r="F5700" s="5" t="str">
        <f>"Descripcion: CUBETA NIQUELADA  Estado: Bueno Placa anterior: 000025346 Material: ACERO INOXIDABLE Color: PLATEADO Referencia:  Observacion:     Placa padre: I0001056Tipo adquisicion: Entidad"</f>
        <v>Descripcion: CUBETA NIQUELADA  Estado: Bueno Placa anterior: 000025346 Material: ACERO INOXIDABLE Color: PLATEADO Referencia:  Observacion:     Placa padre: I0001056Tipo adquisicion: Entidad</v>
      </c>
      <c r="G5700" s="5"/>
    </row>
    <row r="5701" spans="1:7" ht="58.5" customHeight="1" x14ac:dyDescent="0.25">
      <c r="A5701" s="5" t="str">
        <f>"I0001095"</f>
        <v>I0001095</v>
      </c>
      <c r="B5701" s="5" t="str">
        <f>"EQUIPO DE CESAREA"</f>
        <v>EQUIPO DE CESAREA</v>
      </c>
      <c r="C5701" s="6">
        <v>1296000</v>
      </c>
      <c r="D5701" s="5"/>
      <c r="E5701" s="5" t="str">
        <f t="shared" si="295"/>
        <v>INSTRUMENTACION-DIANA CAICEDO-DIANA DIAZ</v>
      </c>
      <c r="F5701" s="5" t="str">
        <f>"Descripcion: EQUIPO DE CESAREA # 3 QUE CONSTA DE:(1) MANGO DE BISTURI # 4(1) TIJERA DE METZEMBAUM CURVA (2) TIJERAS DE MAYO CURVAS (DIMEDA)(2) SEPARADORES DE FARABEUF (1) PINZA DE DISECCION RUSA (1) PINZA DE DISECCION CON GARRA (1) PINZA DE DISECCION SIN "&amp; "GARRA (2) PINZAS KELLY RECTAS (6) PINZAS KELLY CURVAS (0) PINZAS ROCHESTER CURVAS(2) PINZAS BACBOCK (6) PINZAS ALLIX (DIMEDA)(0) PORTA AGUJAS MEDIANO DE MAYO (DIMEDA)(1) PINZA FOSTER (DIMEDA)(0) CANULA  DE SUCCION (DIMEDA)(1) VALVA DE MAYO (4) PINZAS DE C"&amp; "AMPO (2) PLATONES (1) CUBETA NIQUELADA Estado: Bueno Placa anterior: 000012804 Material: ACERO INOXIDABLE Color: PLATEADO Referencia:  Observacion:     Placa padre: Tipo adquisicion: Entidad"</f>
        <v>Descripcion: EQUIPO DE CESAREA # 3 QUE CONSTA DE:(1) MANGO DE BISTURI # 4(1) TIJERA DE METZEMBAUM CURVA (2) TIJERAS DE MAYO CURVAS (DIMEDA)(2) SEPARADORES DE FARABEUF (1) PINZA DE DISECCION RUSA (1) PINZA DE DISECCION CON GARRA (1) PINZA DE DISECCION SIN GARRA (2) PINZAS KELLY RECTAS (6) PINZAS KELLY CURVAS (0) PINZAS ROCHESTER CURVAS(2) PINZAS BACBOCK (6) PINZAS ALLIX (DIMEDA)(0) PORTA AGUJAS MEDIANO DE MAYO (DIMEDA)(1) PINZA FOSTER (DIMEDA)(0) CANULA  DE SUCCION (DIMEDA)(1) VALVA DE MAYO (4) PINZAS DE CAMPO (2) PLATONES (1) CUBETA NIQUELADA Estado: Bueno Placa anterior: 000012804 Material: ACERO INOXIDABLE Color: PLATEADO Referencia:  Observacion:     Placa padre: Tipo adquisicion: Entidad</v>
      </c>
      <c r="G5701" s="5"/>
    </row>
    <row r="5702" spans="1:7" ht="58.5" customHeight="1" x14ac:dyDescent="0.25">
      <c r="A5702" s="5" t="str">
        <f>"I0001098"</f>
        <v>I0001098</v>
      </c>
      <c r="B5702" s="5" t="str">
        <f>"TIJERA MAYO CURVA"</f>
        <v>TIJERA MAYO CURVA</v>
      </c>
      <c r="C5702" s="6">
        <v>63800</v>
      </c>
      <c r="D5702" s="5"/>
      <c r="E5702" s="5" t="str">
        <f t="shared" si="295"/>
        <v>INSTRUMENTACION-DIANA CAICEDO-DIANA DIAZ</v>
      </c>
      <c r="F5702" s="5" t="str">
        <f>"Descripcion: TIJERAS DE MAYO CURVAS (DIMEDA) Estado: Bueno Placa anterior: 000032176 Material: ACERO INOXIDABLE Color: PLATEADO Referencia:  Observacion:     Placa padre: I0001095Tipo adquisicion: Entidad"</f>
        <v>Descripcion: TIJERAS DE MAYO CURVAS (DIMEDA) Estado: Bueno Placa anterior: 000032176 Material: ACERO INOXIDABLE Color: PLATEADO Referencia:  Observacion:     Placa padre: I0001095Tipo adquisicion: Entidad</v>
      </c>
      <c r="G5702" s="5"/>
    </row>
    <row r="5703" spans="1:7" ht="58.5" customHeight="1" x14ac:dyDescent="0.25">
      <c r="A5703" s="5" t="str">
        <f>"I0001099"</f>
        <v>I0001099</v>
      </c>
      <c r="B5703" s="5" t="str">
        <f>"TIJERA MAYO CURVA"</f>
        <v>TIJERA MAYO CURVA</v>
      </c>
      <c r="C5703" s="6">
        <v>63800</v>
      </c>
      <c r="D5703" s="5"/>
      <c r="E5703" s="5" t="str">
        <f t="shared" si="295"/>
        <v>INSTRUMENTACION-DIANA CAICEDO-DIANA DIAZ</v>
      </c>
      <c r="F5703" s="5" t="str">
        <f>"Descripcion: TIJERAS DE MAYO CURVAS (DIMEDA) Estado: Bueno Placa anterior: 000032177 Material: ACERO INOXIDABLE Color: PLATEADO Referencia:  Observacion:     Placa padre: I0001095Tipo adquisicion: Entidad"</f>
        <v>Descripcion: TIJERAS DE MAYO CURVAS (DIMEDA) Estado: Bueno Placa anterior: 000032177 Material: ACERO INOXIDABLE Color: PLATEADO Referencia:  Observacion:     Placa padre: I0001095Tipo adquisicion: Entidad</v>
      </c>
      <c r="G5703" s="5"/>
    </row>
    <row r="5704" spans="1:7" ht="58.5" customHeight="1" x14ac:dyDescent="0.25">
      <c r="A5704" s="5" t="str">
        <f>"I0001102"</f>
        <v>I0001102</v>
      </c>
      <c r="B5704" s="5" t="str">
        <f>"PINZA DE DISECCION SIN GARRA CORTA 20 CM"</f>
        <v>PINZA DE DISECCION SIN GARRA CORTA 20 CM</v>
      </c>
      <c r="C5704" s="6">
        <v>67280</v>
      </c>
      <c r="D5704" s="5"/>
      <c r="E5704" s="5" t="str">
        <f t="shared" si="295"/>
        <v>INSTRUMENTACION-DIANA CAICEDO-DIANA DIAZ</v>
      </c>
      <c r="F5704" s="5" t="str">
        <f>"Descripcion: PINZA DE DISECCION RUSA  Estado: Bueno Placa anterior: 000031981 Material: ACERO INOXIDABLE Color: PLATEADO Referencia:  Observacion:     Placa padre: I0001095Tipo adquisicion: Entidad"</f>
        <v>Descripcion: PINZA DE DISECCION RUSA  Estado: Bueno Placa anterior: 000031981 Material: ACERO INOXIDABLE Color: PLATEADO Referencia:  Observacion:     Placa padre: I0001095Tipo adquisicion: Entidad</v>
      </c>
      <c r="G5704" s="5"/>
    </row>
    <row r="5705" spans="1:7" ht="58.5" customHeight="1" x14ac:dyDescent="0.25">
      <c r="A5705" s="5" t="str">
        <f>"I0001103"</f>
        <v>I0001103</v>
      </c>
      <c r="B5705" s="5" t="str">
        <f>"PINZA DE DISECCION CON GARRA MEDIANA 25 CM"</f>
        <v>PINZA DE DISECCION CON GARRA MEDIANA 25 CM</v>
      </c>
      <c r="C5705" s="6">
        <v>18560</v>
      </c>
      <c r="D5705" s="5"/>
      <c r="E5705" s="5" t="str">
        <f t="shared" si="295"/>
        <v>INSTRUMENTACION-DIANA CAICEDO-DIANA DIAZ</v>
      </c>
      <c r="F5705" s="5" t="str">
        <f>"Descripcion: PINZA DE DISECCION CON GARRA Estado: Bueno Placa anterior: 000032268 Material: ACERO INOXIDABLE Color: PLATEADO Referencia:  Observacion:     Placa padre: I0001095Tipo adquisicion: Entidad"</f>
        <v>Descripcion: PINZA DE DISECCION CON GARRA Estado: Bueno Placa anterior: 000032268 Material: ACERO INOXIDABLE Color: PLATEADO Referencia:  Observacion:     Placa padre: I0001095Tipo adquisicion: Entidad</v>
      </c>
      <c r="G5705" s="5"/>
    </row>
    <row r="5706" spans="1:7" ht="58.5" customHeight="1" x14ac:dyDescent="0.25">
      <c r="A5706" s="5" t="str">
        <f>"I0001113"</f>
        <v>I0001113</v>
      </c>
      <c r="B5706" s="5" t="str">
        <f>"PINZA ROCHESTER CURVA 25 CM"</f>
        <v>PINZA ROCHESTER CURVA 25 CM</v>
      </c>
      <c r="C5706" s="6">
        <v>113680</v>
      </c>
      <c r="D5706" s="5"/>
      <c r="E5706" s="5" t="str">
        <f t="shared" si="295"/>
        <v>INSTRUMENTACION-DIANA CAICEDO-DIANA DIAZ</v>
      </c>
      <c r="F5706" s="5" t="str">
        <f>"Descripcion: PINZAS ROCHESTER CURVAS Estado: Bueno Placa anterior: 000032480 Material: ACERO INOXIDABLE Color: PLATEADO Referencia:  Observacion:     Placa padre: I0001095Tipo adquisicion: Entidad"</f>
        <v>Descripcion: PINZAS ROCHESTER CURVAS Estado: Bueno Placa anterior: 000032480 Material: ACERO INOXIDABLE Color: PLATEADO Referencia:  Observacion:     Placa padre: I0001095Tipo adquisicion: Entidad</v>
      </c>
      <c r="G5706" s="5"/>
    </row>
    <row r="5707" spans="1:7" ht="58.5" customHeight="1" x14ac:dyDescent="0.25">
      <c r="A5707" s="5" t="str">
        <f>"I0001123"</f>
        <v>I0001123</v>
      </c>
      <c r="B5707" s="5" t="str">
        <f>"PORTAGUJAS (PINZA)"</f>
        <v>PORTAGUJAS (PINZA)</v>
      </c>
      <c r="C5707" s="6">
        <v>81200</v>
      </c>
      <c r="D5707" s="5"/>
      <c r="E5707" s="5" t="str">
        <f t="shared" si="295"/>
        <v>INSTRUMENTACION-DIANA CAICEDO-DIANA DIAZ</v>
      </c>
      <c r="F5707" s="5" t="str">
        <f>"Descripcion: PORTA AGUJAS MEDIANO DE MAYO (DIMEDA) Estado: Bueno Placa anterior: 000032428 Material: ACERO INOXIDABLE Color: PLATEADO Referencia:  Observacion:     Placa padre: I0001095Tipo adquisicion: Entidad"</f>
        <v>Descripcion: PORTA AGUJAS MEDIANO DE MAYO (DIMEDA) Estado: Bueno Placa anterior: 000032428 Material: ACERO INOXIDABLE Color: PLATEADO Referencia:  Observacion:     Placa padre: I0001095Tipo adquisicion: Entidad</v>
      </c>
      <c r="G5707" s="5"/>
    </row>
    <row r="5708" spans="1:7" ht="58.5" customHeight="1" x14ac:dyDescent="0.25">
      <c r="A5708" s="5" t="str">
        <f>"I0001124"</f>
        <v>I0001124</v>
      </c>
      <c r="B5708" s="5" t="str">
        <f>"PINZA FOSTER"</f>
        <v>PINZA FOSTER</v>
      </c>
      <c r="C5708" s="6">
        <v>127600</v>
      </c>
      <c r="D5708" s="5"/>
      <c r="E5708" s="5" t="str">
        <f t="shared" si="295"/>
        <v>INSTRUMENTACION-DIANA CAICEDO-DIANA DIAZ</v>
      </c>
      <c r="F5708" s="5" t="str">
        <f>"Descripcion: PINZA FOSTER (DIMEDA) Estado: Bueno Placa anterior: 000032005 Material: ACERO INOXIDABLE Color: PLATEADO Referencia:  Observacion:     Placa padre: I0001095Tipo adquisicion: Entidad"</f>
        <v>Descripcion: PINZA FOSTER (DIMEDA) Estado: Bueno Placa anterior: 000032005 Material: ACERO INOXIDABLE Color: PLATEADO Referencia:  Observacion:     Placa padre: I0001095Tipo adquisicion: Entidad</v>
      </c>
      <c r="G5708" s="5"/>
    </row>
    <row r="5709" spans="1:7" ht="58.5" customHeight="1" x14ac:dyDescent="0.25">
      <c r="A5709" s="5" t="str">
        <f>"I0001127"</f>
        <v>I0001127</v>
      </c>
      <c r="B5709" s="5" t="str">
        <f>"PINZA DE CAMPO"</f>
        <v>PINZA DE CAMPO</v>
      </c>
      <c r="C5709" s="6">
        <v>39440</v>
      </c>
      <c r="D5709" s="5"/>
      <c r="E5709" s="5" t="str">
        <f t="shared" si="295"/>
        <v>INSTRUMENTACION-DIANA CAICEDO-DIANA DIAZ</v>
      </c>
      <c r="F5709" s="5" t="str">
        <f>"Descripcion: PINZAS DE CAMPO  Estado: Bueno Placa anterior: 000031802 Material: ACERO INOXIDABLE Color: PLATEADO Referencia:  Observacion:     Placa padre: I0001095Tipo adquisicion: Entidad"</f>
        <v>Descripcion: PINZAS DE CAMPO  Estado: Bueno Placa anterior: 000031802 Material: ACERO INOXIDABLE Color: PLATEADO Referencia:  Observacion:     Placa padre: I0001095Tipo adquisicion: Entidad</v>
      </c>
      <c r="G5709" s="5"/>
    </row>
    <row r="5710" spans="1:7" ht="58.5" customHeight="1" x14ac:dyDescent="0.25">
      <c r="A5710" s="5" t="str">
        <f>"I0001128"</f>
        <v>I0001128</v>
      </c>
      <c r="B5710" s="5" t="str">
        <f>"PINZA DE CAMPO"</f>
        <v>PINZA DE CAMPO</v>
      </c>
      <c r="C5710" s="6">
        <v>39440</v>
      </c>
      <c r="D5710" s="5"/>
      <c r="E5710" s="5" t="str">
        <f t="shared" si="295"/>
        <v>INSTRUMENTACION-DIANA CAICEDO-DIANA DIAZ</v>
      </c>
      <c r="F5710" s="5" t="str">
        <f>"Descripcion: PINZAS DE CAMPO  Estado: Bueno Placa anterior: 000031803 Material: ACERO INOXIDABLE Color: PLATEADO Referencia:  Observacion:     Placa padre: I0001095Tipo adquisicion: Entidad"</f>
        <v>Descripcion: PINZAS DE CAMPO  Estado: Bueno Placa anterior: 000031803 Material: ACERO INOXIDABLE Color: PLATEADO Referencia:  Observacion:     Placa padre: I0001095Tipo adquisicion: Entidad</v>
      </c>
      <c r="G5710" s="5"/>
    </row>
    <row r="5711" spans="1:7" ht="58.5" customHeight="1" x14ac:dyDescent="0.25">
      <c r="A5711" s="5" t="str">
        <f>"I0001129"</f>
        <v>I0001129</v>
      </c>
      <c r="B5711" s="5" t="str">
        <f>"PINZA DE CAMPO"</f>
        <v>PINZA DE CAMPO</v>
      </c>
      <c r="C5711" s="6">
        <v>39440</v>
      </c>
      <c r="D5711" s="5"/>
      <c r="E5711" s="5" t="str">
        <f t="shared" si="295"/>
        <v>INSTRUMENTACION-DIANA CAICEDO-DIANA DIAZ</v>
      </c>
      <c r="F5711" s="5" t="str">
        <f>"Descripcion: PINZAS DE CAMPO  Estado: Bueno Placa anterior: 000031804 Material: ACERO INOXIDABLE Color: PLATEADO Referencia:  Observacion:     Placa padre: I0001095Tipo adquisicion: Entidad"</f>
        <v>Descripcion: PINZAS DE CAMPO  Estado: Bueno Placa anterior: 000031804 Material: ACERO INOXIDABLE Color: PLATEADO Referencia:  Observacion:     Placa padre: I0001095Tipo adquisicion: Entidad</v>
      </c>
      <c r="G5711" s="5"/>
    </row>
    <row r="5712" spans="1:7" ht="58.5" customHeight="1" x14ac:dyDescent="0.25">
      <c r="A5712" s="5" t="str">
        <f>"I0001130"</f>
        <v>I0001130</v>
      </c>
      <c r="B5712" s="5" t="str">
        <f>"PINZA DE CAMPO"</f>
        <v>PINZA DE CAMPO</v>
      </c>
      <c r="C5712" s="6">
        <v>39440</v>
      </c>
      <c r="D5712" s="5"/>
      <c r="E5712" s="5" t="str">
        <f t="shared" si="295"/>
        <v>INSTRUMENTACION-DIANA CAICEDO-DIANA DIAZ</v>
      </c>
      <c r="F5712" s="5" t="str">
        <f>"Descripcion: PINZAS DE CAMPO  Estado: Bueno Placa anterior: 000031805 Material: ACERO INOXIDABLE Color: PLATEADO Referencia:  Observacion:     Placa padre: I0001095Tipo adquisicion: Entidad"</f>
        <v>Descripcion: PINZAS DE CAMPO  Estado: Bueno Placa anterior: 000031805 Material: ACERO INOXIDABLE Color: PLATEADO Referencia:  Observacion:     Placa padre: I0001095Tipo adquisicion: Entidad</v>
      </c>
      <c r="G5712" s="5"/>
    </row>
    <row r="5713" spans="1:7" ht="58.5" customHeight="1" x14ac:dyDescent="0.25">
      <c r="A5713" s="5" t="str">
        <f>"I0001133"</f>
        <v>I0001133</v>
      </c>
      <c r="B5713" s="5" t="str">
        <f>"CUBETA DE ACERO INOXIDABLE MEDIANA"</f>
        <v>CUBETA DE ACERO INOXIDABLE MEDIANA</v>
      </c>
      <c r="C5713" s="6">
        <v>139200</v>
      </c>
      <c r="D5713" s="5"/>
      <c r="E5713" s="5" t="str">
        <f t="shared" si="295"/>
        <v>INSTRUMENTACION-DIANA CAICEDO-DIANA DIAZ</v>
      </c>
      <c r="F5713" s="5" t="str">
        <f>"Descripcion: CUBETA NIQUELADA  Estado: Bueno Placa anterior: 000025347 Material: ACERO INOXIDABLE Color: PLATEADO Referencia:  Observacion:     Placa padre: I0001095Tipo adquisicion: Entidad"</f>
        <v>Descripcion: CUBETA NIQUELADA  Estado: Bueno Placa anterior: 000025347 Material: ACERO INOXIDABLE Color: PLATEADO Referencia:  Observacion:     Placa padre: I0001095Tipo adquisicion: Entidad</v>
      </c>
      <c r="G5713" s="5"/>
    </row>
    <row r="5714" spans="1:7" ht="58.5" customHeight="1" x14ac:dyDescent="0.25">
      <c r="A5714" s="5" t="str">
        <f>"I0001134"</f>
        <v>I0001134</v>
      </c>
      <c r="B5714" s="5" t="str">
        <f>"EQUIPO DE CESAREA"</f>
        <v>EQUIPO DE CESAREA</v>
      </c>
      <c r="C5714" s="6">
        <v>1296000</v>
      </c>
      <c r="D5714" s="5"/>
      <c r="E5714" s="5" t="str">
        <f t="shared" si="295"/>
        <v>INSTRUMENTACION-DIANA CAICEDO-DIANA DIAZ</v>
      </c>
      <c r="F5714" s="5" t="str">
        <f>"Descripcion: EQUIPO DE CESAREA # 4 QUE CONSTA DE:(1) MANGO DE BISTURI # 4(1) TIJERA DE METZEMBAUM CURVA (2) TIJERAS DE MAYO CURVAS (DIMEDA)(2) SEPARADORES DE FARABEUF (1) PINZA DE DISECCION RUSA (1) PINZA DE DISECCION CON GARRA (1) PINZA DE DISECCION SIN "&amp; "GARRA (0) PINZAS KELLY RECTAS (6) PINZAS KELLY CURVAS (1) PINZAS ROCHESTER CURVAS(2) PINZAS BACBOCK (6) PINZAS ALLIX (DIMEDA)(1) PORTA AGUJAS MEDIANO DE MAYO (DIMEDA)(1) PINZA FOSTER (DIMEDA)(1) CANULA  DE SUCCION (DIMEDA)(1) VALVA DE MAYO (4) PINZAS DE C"&amp; "AMPO (2) PLATONES (1) CUBETA NIQUELADA Estado: Bueno Placa anterior: 000012832 Material: ACERO INOXIDABLE Color: PLATEADO Referencia:  Observacion:     Placa padre: Tipo adquisicion: Entidad"</f>
        <v>Descripcion: EQUIPO DE CESAREA # 4 QUE CONSTA DE:(1) MANGO DE BISTURI # 4(1) TIJERA DE METZEMBAUM CURVA (2) TIJERAS DE MAYO CURVAS (DIMEDA)(2) SEPARADORES DE FARABEUF (1) PINZA DE DISECCION RUSA (1) PINZA DE DISECCION CON GARRA (1) PINZA DE DISECCION SIN GARRA (0) PINZAS KELLY RECTAS (6) PINZAS KELLY CURVAS (1) PINZAS ROCHESTER CURVAS(2) PINZAS BACBOCK (6) PINZAS ALLIX (DIMEDA)(1) PORTA AGUJAS MEDIANO DE MAYO (DIMEDA)(1) PINZA FOSTER (DIMEDA)(1) CANULA  DE SUCCION (DIMEDA)(1) VALVA DE MAYO (4) PINZAS DE CAMPO (2) PLATONES (1) CUBETA NIQUELADA Estado: Bueno Placa anterior: 000012832 Material: ACERO INOXIDABLE Color: PLATEADO Referencia:  Observacion:     Placa padre: Tipo adquisicion: Entidad</v>
      </c>
      <c r="G5714" s="5"/>
    </row>
    <row r="5715" spans="1:7" ht="58.5" customHeight="1" x14ac:dyDescent="0.25">
      <c r="A5715" s="5" t="str">
        <f>"I0001136"</f>
        <v>I0001136</v>
      </c>
      <c r="B5715" s="5" t="str">
        <f>"TIJERA  DE METZEMBAUM CURVA"</f>
        <v>TIJERA  DE METZEMBAUM CURVA</v>
      </c>
      <c r="C5715" s="6">
        <v>52171</v>
      </c>
      <c r="D5715" s="5"/>
      <c r="E5715" s="5" t="str">
        <f t="shared" si="295"/>
        <v>INSTRUMENTACION-DIANA CAICEDO-DIANA DIAZ</v>
      </c>
      <c r="F5715" s="5" t="str">
        <f>"Descripcion: TIJERA DE METZEMBAUM CURVA  Estado: Bueno Placa anterior: 000023904 Material: ACERO INOXIDABLE Color: PLATEADO Referencia:  Observacion:     Placa padre: I0001134Tipo adquisicion: Entidad"</f>
        <v>Descripcion: TIJERA DE METZEMBAUM CURVA  Estado: Bueno Placa anterior: 000023904 Material: ACERO INOXIDABLE Color: PLATEADO Referencia:  Observacion:     Placa padre: I0001134Tipo adquisicion: Entidad</v>
      </c>
      <c r="G5715" s="5"/>
    </row>
    <row r="5716" spans="1:7" ht="58.5" customHeight="1" x14ac:dyDescent="0.25">
      <c r="A5716" s="5" t="str">
        <f>"I0001137"</f>
        <v>I0001137</v>
      </c>
      <c r="B5716" s="5" t="str">
        <f>"TIJERA MAYO CURVA"</f>
        <v>TIJERA MAYO CURVA</v>
      </c>
      <c r="C5716" s="6">
        <v>63800</v>
      </c>
      <c r="D5716" s="5"/>
      <c r="E5716" s="5" t="str">
        <f t="shared" si="295"/>
        <v>INSTRUMENTACION-DIANA CAICEDO-DIANA DIAZ</v>
      </c>
      <c r="F5716" s="5" t="str">
        <f>"Descripcion: TIJERAS DE MAYO CURVAS (DIMEDA) Estado: Bueno Placa anterior: 000032178 Material: ACERO INOXIDABLE Color: PLATEADO Referencia:  Observacion:     Placa padre: I0001134Tipo adquisicion: Entidad"</f>
        <v>Descripcion: TIJERAS DE MAYO CURVAS (DIMEDA) Estado: Bueno Placa anterior: 000032178 Material: ACERO INOXIDABLE Color: PLATEADO Referencia:  Observacion:     Placa padre: I0001134Tipo adquisicion: Entidad</v>
      </c>
      <c r="G5716" s="5"/>
    </row>
    <row r="5717" spans="1:7" ht="58.5" customHeight="1" x14ac:dyDescent="0.25">
      <c r="A5717" s="5" t="str">
        <f>"I0001138"</f>
        <v>I0001138</v>
      </c>
      <c r="B5717" s="5" t="str">
        <f>"TIJERA MAYO CURVA"</f>
        <v>TIJERA MAYO CURVA</v>
      </c>
      <c r="C5717" s="6">
        <v>63800</v>
      </c>
      <c r="D5717" s="5"/>
      <c r="E5717" s="5" t="str">
        <f t="shared" si="295"/>
        <v>INSTRUMENTACION-DIANA CAICEDO-DIANA DIAZ</v>
      </c>
      <c r="F5717" s="5" t="str">
        <f>"Descripcion: TIJERAS DE MAYO CURVAS (DIMEDA) Estado: Bueno Placa anterior: 000032179 Material: ACERO INOXIDABLE Color: PLATEADO Referencia:  Observacion:     Placa padre: I0001134Tipo adquisicion: Entidad"</f>
        <v>Descripcion: TIJERAS DE MAYO CURVAS (DIMEDA) Estado: Bueno Placa anterior: 000032179 Material: ACERO INOXIDABLE Color: PLATEADO Referencia:  Observacion:     Placa padre: I0001134Tipo adquisicion: Entidad</v>
      </c>
      <c r="G5717" s="5"/>
    </row>
    <row r="5718" spans="1:7" ht="58.5" customHeight="1" x14ac:dyDescent="0.25">
      <c r="A5718" s="5" t="str">
        <f>"I0001141"</f>
        <v>I0001141</v>
      </c>
      <c r="B5718" s="5" t="str">
        <f>"PINZA DE DISECCION SIN GARRA CORTA 20 CM"</f>
        <v>PINZA DE DISECCION SIN GARRA CORTA 20 CM</v>
      </c>
      <c r="C5718" s="6">
        <v>67280</v>
      </c>
      <c r="D5718" s="5"/>
      <c r="E5718" s="5" t="str">
        <f t="shared" si="295"/>
        <v>INSTRUMENTACION-DIANA CAICEDO-DIANA DIAZ</v>
      </c>
      <c r="F5718" s="5" t="str">
        <f>"Descripcion: PINZA DE DISECCION RUSA  Estado: Bueno Placa anterior: 000031982 Material: ACERO INOXIDABLE Color: PLATEADO Referencia:  Observacion:     Placa padre: I0001134Tipo adquisicion: Entidad"</f>
        <v>Descripcion: PINZA DE DISECCION RUSA  Estado: Bueno Placa anterior: 000031982 Material: ACERO INOXIDABLE Color: PLATEADO Referencia:  Observacion:     Placa padre: I0001134Tipo adquisicion: Entidad</v>
      </c>
      <c r="G5718" s="5"/>
    </row>
    <row r="5719" spans="1:7" ht="58.5" customHeight="1" x14ac:dyDescent="0.25">
      <c r="A5719" s="5" t="str">
        <f>"I0001142"</f>
        <v>I0001142</v>
      </c>
      <c r="B5719" s="5" t="str">
        <f>"PINZA DE DISECCION CON GARRA MEDIANA 25 CM"</f>
        <v>PINZA DE DISECCION CON GARRA MEDIANA 25 CM</v>
      </c>
      <c r="C5719" s="6">
        <v>18560</v>
      </c>
      <c r="D5719" s="5"/>
      <c r="E5719" s="5" t="str">
        <f t="shared" si="295"/>
        <v>INSTRUMENTACION-DIANA CAICEDO-DIANA DIAZ</v>
      </c>
      <c r="F5719" s="5" t="str">
        <f>"Descripcion: PINZA DE DISECCION CON GARRA Estado: Bueno Placa anterior: 000032269 Material: ACERO INOXIDABLE Color: PLATEADO Referencia:  Observacion:     Placa padre: I0001134Tipo adquisicion: Entidad"</f>
        <v>Descripcion: PINZA DE DISECCION CON GARRA Estado: Bueno Placa anterior: 000032269 Material: ACERO INOXIDABLE Color: PLATEADO Referencia:  Observacion:     Placa padre: I0001134Tipo adquisicion: Entidad</v>
      </c>
      <c r="G5719" s="5"/>
    </row>
    <row r="5720" spans="1:7" ht="58.5" customHeight="1" x14ac:dyDescent="0.25">
      <c r="A5720" s="5" t="str">
        <f>"I0001152"</f>
        <v>I0001152</v>
      </c>
      <c r="B5720" s="5" t="str">
        <f>"PINZA ROCHESTER CURVA 25 CM"</f>
        <v>PINZA ROCHESTER CURVA 25 CM</v>
      </c>
      <c r="C5720" s="6">
        <v>113680</v>
      </c>
      <c r="D5720" s="5"/>
      <c r="E5720" s="5" t="str">
        <f t="shared" si="295"/>
        <v>INSTRUMENTACION-DIANA CAICEDO-DIANA DIAZ</v>
      </c>
      <c r="F5720" s="5" t="str">
        <f>"Descripcion: PINZAS ROCHESTER CURVAS Estado: Bueno Placa anterior: 000032482 Material: ACERO INOXIDABLE Color: PLATEADO Referencia:  Observacion:     Placa padre: I0001134Tipo adquisicion: Entidad"</f>
        <v>Descripcion: PINZAS ROCHESTER CURVAS Estado: Bueno Placa anterior: 000032482 Material: ACERO INOXIDABLE Color: PLATEADO Referencia:  Observacion:     Placa padre: I0001134Tipo adquisicion: Entidad</v>
      </c>
      <c r="G5720" s="5"/>
    </row>
    <row r="5721" spans="1:7" ht="58.5" customHeight="1" x14ac:dyDescent="0.25">
      <c r="A5721" s="5" t="str">
        <f>"I0001153"</f>
        <v>I0001153</v>
      </c>
      <c r="B5721" s="5" t="str">
        <f>"PINZA ROCHESTER CURVA 25 CM"</f>
        <v>PINZA ROCHESTER CURVA 25 CM</v>
      </c>
      <c r="C5721" s="6">
        <v>113680</v>
      </c>
      <c r="D5721" s="5"/>
      <c r="E5721" s="5" t="str">
        <f t="shared" si="295"/>
        <v>INSTRUMENTACION-DIANA CAICEDO-DIANA DIAZ</v>
      </c>
      <c r="F5721" s="5" t="str">
        <f>"Descripcion: PINZAS ROCHESTER CURVAS Estado: Bueno Placa anterior: 000032483 Material: ACERO INOXIDABLE Color: PLATEADO Referencia:  Observacion:     Placa padre: I0001134Tipo adquisicion: Entidad"</f>
        <v>Descripcion: PINZAS ROCHESTER CURVAS Estado: Bueno Placa anterior: 000032483 Material: ACERO INOXIDABLE Color: PLATEADO Referencia:  Observacion:     Placa padre: I0001134Tipo adquisicion: Entidad</v>
      </c>
      <c r="G5721" s="5"/>
    </row>
    <row r="5722" spans="1:7" ht="58.5" customHeight="1" x14ac:dyDescent="0.25">
      <c r="A5722" s="5" t="str">
        <f>"I0001162"</f>
        <v>I0001162</v>
      </c>
      <c r="B5722" s="5" t="str">
        <f>"PORTAGUJAS (PINZA)"</f>
        <v>PORTAGUJAS (PINZA)</v>
      </c>
      <c r="C5722" s="6">
        <v>81200</v>
      </c>
      <c r="D5722" s="5"/>
      <c r="E5722" s="5" t="str">
        <f t="shared" si="295"/>
        <v>INSTRUMENTACION-DIANA CAICEDO-DIANA DIAZ</v>
      </c>
      <c r="F5722" s="5" t="str">
        <f>"Descripcion: PORTA AGUJAS MEDIANO DE MAYO (DIMEDA) Estado: Bueno Placa anterior: 000032429 Material: ACERO INOXIDABLE Color: PLATEADO Referencia:  Observacion:     Placa padre: I0001134Tipo adquisicion: Entidad"</f>
        <v>Descripcion: PORTA AGUJAS MEDIANO DE MAYO (DIMEDA) Estado: Bueno Placa anterior: 000032429 Material: ACERO INOXIDABLE Color: PLATEADO Referencia:  Observacion:     Placa padre: I0001134Tipo adquisicion: Entidad</v>
      </c>
      <c r="G5722" s="5"/>
    </row>
    <row r="5723" spans="1:7" ht="58.5" customHeight="1" x14ac:dyDescent="0.25">
      <c r="A5723" s="5" t="str">
        <f>"I0001166"</f>
        <v>I0001166</v>
      </c>
      <c r="B5723" s="5" t="str">
        <f>"PINZA DE CAMPO"</f>
        <v>PINZA DE CAMPO</v>
      </c>
      <c r="C5723" s="6">
        <v>39440</v>
      </c>
      <c r="D5723" s="5"/>
      <c r="E5723" s="5" t="str">
        <f t="shared" si="295"/>
        <v>INSTRUMENTACION-DIANA CAICEDO-DIANA DIAZ</v>
      </c>
      <c r="F5723" s="5" t="str">
        <f>"Descripcion: PINZAS DE CAMPO  Estado: Bueno Placa anterior: 000031806 Material: ACERO INOXIDABLE Color: PLATEADO Referencia:  Observacion:     Placa padre: I0001134Tipo adquisicion: Entidad"</f>
        <v>Descripcion: PINZAS DE CAMPO  Estado: Bueno Placa anterior: 000031806 Material: ACERO INOXIDABLE Color: PLATEADO Referencia:  Observacion:     Placa padre: I0001134Tipo adquisicion: Entidad</v>
      </c>
      <c r="G5723" s="5"/>
    </row>
    <row r="5724" spans="1:7" ht="58.5" customHeight="1" x14ac:dyDescent="0.25">
      <c r="A5724" s="5" t="str">
        <f>"I0001167"</f>
        <v>I0001167</v>
      </c>
      <c r="B5724" s="5" t="str">
        <f>"PINZA DE CAMPO"</f>
        <v>PINZA DE CAMPO</v>
      </c>
      <c r="C5724" s="6">
        <v>39440</v>
      </c>
      <c r="D5724" s="5"/>
      <c r="E5724" s="5" t="str">
        <f t="shared" si="295"/>
        <v>INSTRUMENTACION-DIANA CAICEDO-DIANA DIAZ</v>
      </c>
      <c r="F5724" s="5" t="str">
        <f>"Descripcion: PINZAS DE CAMPO  Estado: Bueno Placa anterior: 000031807 Material: ACERO INOXIDABLE Color: PLATEADO Referencia:  Observacion:     Placa padre: I0001134Tipo adquisicion: Entidad"</f>
        <v>Descripcion: PINZAS DE CAMPO  Estado: Bueno Placa anterior: 000031807 Material: ACERO INOXIDABLE Color: PLATEADO Referencia:  Observacion:     Placa padre: I0001134Tipo adquisicion: Entidad</v>
      </c>
      <c r="G5724" s="5"/>
    </row>
    <row r="5725" spans="1:7" ht="58.5" customHeight="1" x14ac:dyDescent="0.25">
      <c r="A5725" s="5" t="str">
        <f>"I0001168"</f>
        <v>I0001168</v>
      </c>
      <c r="B5725" s="5" t="str">
        <f>"PINZA DE CAMPO"</f>
        <v>PINZA DE CAMPO</v>
      </c>
      <c r="C5725" s="6">
        <v>39440</v>
      </c>
      <c r="D5725" s="5"/>
      <c r="E5725" s="5" t="str">
        <f t="shared" si="295"/>
        <v>INSTRUMENTACION-DIANA CAICEDO-DIANA DIAZ</v>
      </c>
      <c r="F5725" s="5" t="str">
        <f>"Descripcion: PINZAS DE CAMPO  Estado: Bueno Placa anterior: 000031808 Material: ACERO INOXIDABLE Color: PLATEADO Referencia:  Observacion:     Placa padre: I0001134Tipo adquisicion: Entidad"</f>
        <v>Descripcion: PINZAS DE CAMPO  Estado: Bueno Placa anterior: 000031808 Material: ACERO INOXIDABLE Color: PLATEADO Referencia:  Observacion:     Placa padre: I0001134Tipo adquisicion: Entidad</v>
      </c>
      <c r="G5725" s="5"/>
    </row>
    <row r="5726" spans="1:7" ht="58.5" customHeight="1" x14ac:dyDescent="0.25">
      <c r="A5726" s="5" t="str">
        <f>"I0001169"</f>
        <v>I0001169</v>
      </c>
      <c r="B5726" s="5" t="str">
        <f>"PINZA DE CAMPO"</f>
        <v>PINZA DE CAMPO</v>
      </c>
      <c r="C5726" s="6">
        <v>39440</v>
      </c>
      <c r="D5726" s="5"/>
      <c r="E5726" s="5" t="str">
        <f t="shared" si="295"/>
        <v>INSTRUMENTACION-DIANA CAICEDO-DIANA DIAZ</v>
      </c>
      <c r="F5726" s="5" t="str">
        <f>"Descripcion: PINZAS DE CAMPO  Estado: Bueno Placa anterior: 000031809 Material: ACERO INOXIDABLE Color: PLATEADO Referencia:  Observacion:     Placa padre: I0001134Tipo adquisicion: Entidad"</f>
        <v>Descripcion: PINZAS DE CAMPO  Estado: Bueno Placa anterior: 000031809 Material: ACERO INOXIDABLE Color: PLATEADO Referencia:  Observacion:     Placa padre: I0001134Tipo adquisicion: Entidad</v>
      </c>
      <c r="G5726" s="5"/>
    </row>
    <row r="5727" spans="1:7" ht="58.5" customHeight="1" x14ac:dyDescent="0.25">
      <c r="A5727" s="5" t="str">
        <f>"I0001170"</f>
        <v>I0001170</v>
      </c>
      <c r="B5727" s="5" t="str">
        <f>"PLATON NIQUELADO – INOXIDABLE"</f>
        <v>PLATON NIQUELADO – INOXIDABLE</v>
      </c>
      <c r="C5727" s="6">
        <v>841.5</v>
      </c>
      <c r="D5727" s="5"/>
      <c r="E5727" s="5" t="str">
        <f t="shared" ref="E5727:E5790" si="296">"INSTRUMENTACION-DIANA CAICEDO-DIANA DIAZ"</f>
        <v>INSTRUMENTACION-DIANA CAICEDO-DIANA DIAZ</v>
      </c>
      <c r="F5727" s="5" t="str">
        <f>"Descripcion: PLATONES Estado: Bueno Placa anterior: 000006798 Material: ACERO INOXIDABLE Color: PLATEADO Referencia:  Observacion: PLATONES DE ALUMINIO   Placa padre: I0001134Tipo adquisicion: Entidad"</f>
        <v>Descripcion: PLATONES Estado: Bueno Placa anterior: 000006798 Material: ACERO INOXIDABLE Color: PLATEADO Referencia:  Observacion: PLATONES DE ALUMINIO   Placa padre: I0001134Tipo adquisicion: Entidad</v>
      </c>
      <c r="G5727" s="5"/>
    </row>
    <row r="5728" spans="1:7" ht="58.5" customHeight="1" x14ac:dyDescent="0.25">
      <c r="A5728" s="5" t="str">
        <f>"I0001172"</f>
        <v>I0001172</v>
      </c>
      <c r="B5728" s="5" t="str">
        <f>"CUBETA DE ACERO INOXIDABLE MEDIANA"</f>
        <v>CUBETA DE ACERO INOXIDABLE MEDIANA</v>
      </c>
      <c r="C5728" s="6">
        <v>5421.11</v>
      </c>
      <c r="D5728" s="5"/>
      <c r="E5728" s="5" t="str">
        <f t="shared" si="296"/>
        <v>INSTRUMENTACION-DIANA CAICEDO-DIANA DIAZ</v>
      </c>
      <c r="F5728" s="5" t="str">
        <f>"Descripcion: CUBETA NIQUELADA  Estado: Bueno Placa anterior: 000019524 Material: ACERO INOXIDABLE Color: PLATEADO Referencia:  Observacion:     Placa padre: I0001134Tipo adquisicion: Entidad"</f>
        <v>Descripcion: CUBETA NIQUELADA  Estado: Bueno Placa anterior: 000019524 Material: ACERO INOXIDABLE Color: PLATEADO Referencia:  Observacion:     Placa padre: I0001134Tipo adquisicion: Entidad</v>
      </c>
      <c r="G5728" s="5"/>
    </row>
    <row r="5729" spans="1:7" ht="58.5" customHeight="1" x14ac:dyDescent="0.25">
      <c r="A5729" s="5" t="str">
        <f>"I0001173"</f>
        <v>I0001173</v>
      </c>
      <c r="B5729" s="5" t="str">
        <f>"EQUIPO DE CESAREA"</f>
        <v>EQUIPO DE CESAREA</v>
      </c>
      <c r="C5729" s="6">
        <v>1296000</v>
      </c>
      <c r="D5729" s="5"/>
      <c r="E5729" s="5" t="str">
        <f t="shared" si="296"/>
        <v>INSTRUMENTACION-DIANA CAICEDO-DIANA DIAZ</v>
      </c>
      <c r="F5729" s="5" t="str">
        <f>"Descripcion: EQUIPO DE CESAREA # 5 QUE CONSTA DE:  (1) MANGO DE BISTURI # 4  (1) TIJERA DE METZEMBAUM CURVA   (2) TIJERAS DE MAYO CURVAS (DIMEDA)  (2) SEPARADORES DE FARABEUF   (1) PINZA DE DISECCION RUSA   (1) PINZA DE DISECCION CON GARRA   (1) PINZA DE "&amp; "DISECCION SIN GARRA   (2) PINZAS KELLY RECTAS   (6) PINZAS KELLY CURVAS   (2) PINZAS ROCHESTER CURVAS  (0) PINZAS BACBOCK   (6) PINZAS ALLIX (DIMEDA)  (1) PORTA AGUJAS MEDIANO DE MAYO (DIMEDA)  (1) PINZA FOSTER (DIMEDA)  (1) CANULA  DE SUCCION (DIMEDA)  ("&amp; "1) VALVA DE MAYO   (3) PINZAS DE CAMPO   (2) PLATONES   (1) CUBETA NIQUELADA Estado: Bueno Placa anterior:  Material: ACERO INOXIDABLE Color: PLATEADO Referencia:  Observacion:     Placa padre: Tipo adquisicion: Entidad"</f>
        <v>Descripcion: EQUIPO DE CESAREA # 5 QUE CONSTA DE:  (1) MANGO DE BISTURI # 4  (1) TIJERA DE METZEMBAUM CURVA   (2) TIJERAS DE MAYO CURVAS (DIMEDA)  (2) SEPARADORES DE FARABEUF   (1) PINZA DE DISECCION RUSA   (1) PINZA DE DISECCION CON GARRA   (1) PINZA DE DISECCION SIN GARRA   (2) PINZAS KELLY RECTAS   (6) PINZAS KELLY CURVAS   (2) PINZAS ROCHESTER CURVAS  (0) PINZAS BACBOCK   (6) PINZAS ALLIX (DIMEDA)  (1) PORTA AGUJAS MEDIANO DE MAYO (DIMEDA)  (1) PINZA FOSTER (DIMEDA)  (1) CANULA  DE SUCCION (DIMEDA)  (1) VALVA DE MAYO   (3) PINZAS DE CAMPO   (2) PLATONES   (1) CUBETA NIQUELADA Estado: Bueno Placa anterior:  Material: ACERO INOXIDABLE Color: PLATEADO Referencia:  Observacion:     Placa padre: Tipo adquisicion: Entidad</v>
      </c>
      <c r="G5729" s="5"/>
    </row>
    <row r="5730" spans="1:7" ht="58.5" customHeight="1" x14ac:dyDescent="0.25">
      <c r="A5730" s="5" t="str">
        <f>"I0001175"</f>
        <v>I0001175</v>
      </c>
      <c r="B5730" s="5" t="str">
        <f>"TIJERA  DE METZEMBAUM CURVA"</f>
        <v>TIJERA  DE METZEMBAUM CURVA</v>
      </c>
      <c r="C5730" s="6">
        <v>52171</v>
      </c>
      <c r="D5730" s="5"/>
      <c r="E5730" s="5" t="str">
        <f t="shared" si="296"/>
        <v>INSTRUMENTACION-DIANA CAICEDO-DIANA DIAZ</v>
      </c>
      <c r="F5730" s="5" t="str">
        <f>"Descripcion: TIJERA DE METZEMBAUM CURVA  Estado: Bueno Placa anterior: 000023905 Material: ACERO INOXIDABLE Color: PLATEADO Referencia:  Observacion:     Placa padre: I0001173Tipo adquisicion: Entidad"</f>
        <v>Descripcion: TIJERA DE METZEMBAUM CURVA  Estado: Bueno Placa anterior: 000023905 Material: ACERO INOXIDABLE Color: PLATEADO Referencia:  Observacion:     Placa padre: I0001173Tipo adquisicion: Entidad</v>
      </c>
      <c r="G5730" s="5"/>
    </row>
    <row r="5731" spans="1:7" ht="58.5" customHeight="1" x14ac:dyDescent="0.25">
      <c r="A5731" s="5" t="str">
        <f>"I0001176"</f>
        <v>I0001176</v>
      </c>
      <c r="B5731" s="5" t="str">
        <f>"TIJERA MAYO CURVA"</f>
        <v>TIJERA MAYO CURVA</v>
      </c>
      <c r="C5731" s="6">
        <v>63800</v>
      </c>
      <c r="D5731" s="5"/>
      <c r="E5731" s="5" t="str">
        <f t="shared" si="296"/>
        <v>INSTRUMENTACION-DIANA CAICEDO-DIANA DIAZ</v>
      </c>
      <c r="F5731" s="5" t="str">
        <f>"Descripcion: TIJERAS DE MAYO CURVAS (DIMEDA) Estado: Bueno Placa anterior: 000032180 Material: ACERO INOXIDABLE Color: PLATEADO Referencia:  Observacion:     Placa padre: I0001173Tipo adquisicion: Entidad"</f>
        <v>Descripcion: TIJERAS DE MAYO CURVAS (DIMEDA) Estado: Bueno Placa anterior: 000032180 Material: ACERO INOXIDABLE Color: PLATEADO Referencia:  Observacion:     Placa padre: I0001173Tipo adquisicion: Entidad</v>
      </c>
      <c r="G5731" s="5"/>
    </row>
    <row r="5732" spans="1:7" ht="58.5" customHeight="1" x14ac:dyDescent="0.25">
      <c r="A5732" s="5" t="str">
        <f>"I0001177"</f>
        <v>I0001177</v>
      </c>
      <c r="B5732" s="5" t="str">
        <f>"TIJERA MAYO CURVA"</f>
        <v>TIJERA MAYO CURVA</v>
      </c>
      <c r="C5732" s="6">
        <v>63800</v>
      </c>
      <c r="D5732" s="5"/>
      <c r="E5732" s="5" t="str">
        <f t="shared" si="296"/>
        <v>INSTRUMENTACION-DIANA CAICEDO-DIANA DIAZ</v>
      </c>
      <c r="F5732" s="5" t="str">
        <f>"Descripcion: TIJERAS DE MAYO CURVAS (DIMEDA) Estado: Bueno Placa anterior: 000032182 Material: ACERO INOXIDABLE Color: PLATEADO Referencia:  Observacion:     Placa padre: I0001173Tipo adquisicion: Entidad"</f>
        <v>Descripcion: TIJERAS DE MAYO CURVAS (DIMEDA) Estado: Bueno Placa anterior: 000032182 Material: ACERO INOXIDABLE Color: PLATEADO Referencia:  Observacion:     Placa padre: I0001173Tipo adquisicion: Entidad</v>
      </c>
      <c r="G5732" s="5"/>
    </row>
    <row r="5733" spans="1:7" ht="58.5" customHeight="1" x14ac:dyDescent="0.25">
      <c r="A5733" s="5" t="str">
        <f>"I0001180"</f>
        <v>I0001180</v>
      </c>
      <c r="B5733" s="5" t="str">
        <f>"PINZA DE DISECCION SIN GARRA CORTA 20 CM"</f>
        <v>PINZA DE DISECCION SIN GARRA CORTA 20 CM</v>
      </c>
      <c r="C5733" s="6">
        <v>67280</v>
      </c>
      <c r="D5733" s="5"/>
      <c r="E5733" s="5" t="str">
        <f t="shared" si="296"/>
        <v>INSTRUMENTACION-DIANA CAICEDO-DIANA DIAZ</v>
      </c>
      <c r="F5733" s="5" t="str">
        <f>"Descripcion: PINZA DE DISECCION RUSA  Estado: Bueno Placa anterior: 000031983 Material: ACERO INOXIDABLE Color: PLATEADO Referencia:  Observacion:     Placa padre: I0001173Tipo adquisicion: Entidad"</f>
        <v>Descripcion: PINZA DE DISECCION RUSA  Estado: Bueno Placa anterior: 000031983 Material: ACERO INOXIDABLE Color: PLATEADO Referencia:  Observacion:     Placa padre: I0001173Tipo adquisicion: Entidad</v>
      </c>
      <c r="G5733" s="5"/>
    </row>
    <row r="5734" spans="1:7" ht="58.5" customHeight="1" x14ac:dyDescent="0.25">
      <c r="A5734" s="5" t="str">
        <f>"I0001181"</f>
        <v>I0001181</v>
      </c>
      <c r="B5734" s="5" t="str">
        <f>"PINZA DE DISECCION CON GARRA MEDIANA 25 CM"</f>
        <v>PINZA DE DISECCION CON GARRA MEDIANA 25 CM</v>
      </c>
      <c r="C5734" s="6">
        <v>18560</v>
      </c>
      <c r="D5734" s="5"/>
      <c r="E5734" s="5" t="str">
        <f t="shared" si="296"/>
        <v>INSTRUMENTACION-DIANA CAICEDO-DIANA DIAZ</v>
      </c>
      <c r="F5734" s="5" t="str">
        <f>"Descripcion: PINZA DE DISECCION CON GARRA Estado: Bueno Placa anterior: 000032270 Material: ACERO INOXIDABLE Color: PLATEADO Referencia:  Observacion:     Placa padre: I0001173Tipo adquisicion: Entidad"</f>
        <v>Descripcion: PINZA DE DISECCION CON GARRA Estado: Bueno Placa anterior: 000032270 Material: ACERO INOXIDABLE Color: PLATEADO Referencia:  Observacion:     Placa padre: I0001173Tipo adquisicion: Entidad</v>
      </c>
      <c r="G5734" s="5"/>
    </row>
    <row r="5735" spans="1:7" ht="58.5" customHeight="1" x14ac:dyDescent="0.25">
      <c r="A5735" s="5" t="str">
        <f>"I0001191"</f>
        <v>I0001191</v>
      </c>
      <c r="B5735" s="5" t="str">
        <f>"PINZA ROCHESTER CURVA 25 CM"</f>
        <v>PINZA ROCHESTER CURVA 25 CM</v>
      </c>
      <c r="C5735" s="6">
        <v>113680</v>
      </c>
      <c r="D5735" s="5"/>
      <c r="E5735" s="5" t="str">
        <f t="shared" si="296"/>
        <v>INSTRUMENTACION-DIANA CAICEDO-DIANA DIAZ</v>
      </c>
      <c r="F5735" s="5" t="str">
        <f>"Descripcion: PINZAS ROCHESTER CURVAS Estado: Bueno Placa anterior: 000032484 Material: ACERO INOXIDABLE Color: PLATEADO Referencia:  Observacion:     Placa padre: I0001173Tipo adquisicion: Entidad"</f>
        <v>Descripcion: PINZAS ROCHESTER CURVAS Estado: Bueno Placa anterior: 000032484 Material: ACERO INOXIDABLE Color: PLATEADO Referencia:  Observacion:     Placa padre: I0001173Tipo adquisicion: Entidad</v>
      </c>
      <c r="G5735" s="5"/>
    </row>
    <row r="5736" spans="1:7" ht="58.5" customHeight="1" x14ac:dyDescent="0.25">
      <c r="A5736" s="5" t="str">
        <f>"I0001192"</f>
        <v>I0001192</v>
      </c>
      <c r="B5736" s="5" t="str">
        <f>"PINZA ROCHESTER CURVA 25 CM"</f>
        <v>PINZA ROCHESTER CURVA 25 CM</v>
      </c>
      <c r="C5736" s="6">
        <v>113680</v>
      </c>
      <c r="D5736" s="5"/>
      <c r="E5736" s="5" t="str">
        <f t="shared" si="296"/>
        <v>INSTRUMENTACION-DIANA CAICEDO-DIANA DIAZ</v>
      </c>
      <c r="F5736" s="5" t="str">
        <f>"Descripcion: PINZAS ROCHESTER CURVAS Estado: Bueno Placa anterior: 000032485 Material: ACERO INOXIDABLE Color: PLATEADO Referencia:  Observacion:     Placa padre: I0001173Tipo adquisicion: Entidad"</f>
        <v>Descripcion: PINZAS ROCHESTER CURVAS Estado: Bueno Placa anterior: 000032485 Material: ACERO INOXIDABLE Color: PLATEADO Referencia:  Observacion:     Placa padre: I0001173Tipo adquisicion: Entidad</v>
      </c>
      <c r="G5736" s="5"/>
    </row>
    <row r="5737" spans="1:7" ht="58.5" customHeight="1" x14ac:dyDescent="0.25">
      <c r="A5737" s="5" t="str">
        <f>"I0001201"</f>
        <v>I0001201</v>
      </c>
      <c r="B5737" s="5" t="str">
        <f>"PORTAGUJAS (PINZA)"</f>
        <v>PORTAGUJAS (PINZA)</v>
      </c>
      <c r="C5737" s="6">
        <v>81200</v>
      </c>
      <c r="D5737" s="5"/>
      <c r="E5737" s="5" t="str">
        <f t="shared" si="296"/>
        <v>INSTRUMENTACION-DIANA CAICEDO-DIANA DIAZ</v>
      </c>
      <c r="F5737" s="5" t="str">
        <f>"Descripcion: PORTA AGUJAS MEDIANO DE MAYO (DIMEDA) Estado: Bueno Placa anterior: 000032430 Material: ACERO INOXIDABLE Color: PLATEADO Referencia:  Observacion:     Placa padre: I0001173Tipo adquisicion: Entidad"</f>
        <v>Descripcion: PORTA AGUJAS MEDIANO DE MAYO (DIMEDA) Estado: Bueno Placa anterior: 000032430 Material: ACERO INOXIDABLE Color: PLATEADO Referencia:  Observacion:     Placa padre: I0001173Tipo adquisicion: Entidad</v>
      </c>
      <c r="G5737" s="5"/>
    </row>
    <row r="5738" spans="1:7" ht="58.5" customHeight="1" x14ac:dyDescent="0.25">
      <c r="A5738" s="5" t="str">
        <f>"I0001202"</f>
        <v>I0001202</v>
      </c>
      <c r="B5738" s="5" t="str">
        <f>"PINZA FOSTER"</f>
        <v>PINZA FOSTER</v>
      </c>
      <c r="C5738" s="6">
        <v>127600</v>
      </c>
      <c r="D5738" s="5"/>
      <c r="E5738" s="5" t="str">
        <f t="shared" si="296"/>
        <v>INSTRUMENTACION-DIANA CAICEDO-DIANA DIAZ</v>
      </c>
      <c r="F5738" s="5" t="str">
        <f>"Descripcion: PINZA FOSTER (DIMEDA) Estado: Bueno Placa anterior: 000032006 Material: ACERO INOXIDABLE Color: PLATEADO Referencia:  Observacion:     Placa padre: I0001173Tipo adquisicion: Entidad"</f>
        <v>Descripcion: PINZA FOSTER (DIMEDA) Estado: Bueno Placa anterior: 000032006 Material: ACERO INOXIDABLE Color: PLATEADO Referencia:  Observacion:     Placa padre: I0001173Tipo adquisicion: Entidad</v>
      </c>
      <c r="G5738" s="5"/>
    </row>
    <row r="5739" spans="1:7" ht="58.5" customHeight="1" x14ac:dyDescent="0.25">
      <c r="A5739" s="5" t="str">
        <f>"I0001205"</f>
        <v>I0001205</v>
      </c>
      <c r="B5739" s="5" t="str">
        <f>"PINZA DE CAMPO"</f>
        <v>PINZA DE CAMPO</v>
      </c>
      <c r="C5739" s="6">
        <v>39440</v>
      </c>
      <c r="D5739" s="5"/>
      <c r="E5739" s="5" t="str">
        <f t="shared" si="296"/>
        <v>INSTRUMENTACION-DIANA CAICEDO-DIANA DIAZ</v>
      </c>
      <c r="F5739" s="5" t="str">
        <f>"Descripcion: PINZAS DE CAMPO  Estado: Bueno Placa anterior: 000031810 Material: ACERO INOXIDABLE Color: PLATEADO Referencia:  Observacion:     Placa padre: I0001173Tipo adquisicion: Entidad"</f>
        <v>Descripcion: PINZAS DE CAMPO  Estado: Bueno Placa anterior: 000031810 Material: ACERO INOXIDABLE Color: PLATEADO Referencia:  Observacion:     Placa padre: I0001173Tipo adquisicion: Entidad</v>
      </c>
      <c r="G5739" s="5"/>
    </row>
    <row r="5740" spans="1:7" ht="58.5" customHeight="1" x14ac:dyDescent="0.25">
      <c r="A5740" s="5" t="str">
        <f>"I0001206"</f>
        <v>I0001206</v>
      </c>
      <c r="B5740" s="5" t="str">
        <f>"PINZA DE CAMPO"</f>
        <v>PINZA DE CAMPO</v>
      </c>
      <c r="C5740" s="6">
        <v>39440</v>
      </c>
      <c r="D5740" s="5"/>
      <c r="E5740" s="5" t="str">
        <f t="shared" si="296"/>
        <v>INSTRUMENTACION-DIANA CAICEDO-DIANA DIAZ</v>
      </c>
      <c r="F5740" s="5" t="str">
        <f>"Descripcion: PINZAS DE CAMPO  Estado: Bueno Placa anterior: 000031811 Material: ACERO INOXIDABLE Color: PLATEADO Referencia:  Observacion:     Placa padre: I0001173Tipo adquisicion: Entidad"</f>
        <v>Descripcion: PINZAS DE CAMPO  Estado: Bueno Placa anterior: 000031811 Material: ACERO INOXIDABLE Color: PLATEADO Referencia:  Observacion:     Placa padre: I0001173Tipo adquisicion: Entidad</v>
      </c>
      <c r="G5740" s="5"/>
    </row>
    <row r="5741" spans="1:7" ht="58.5" customHeight="1" x14ac:dyDescent="0.25">
      <c r="A5741" s="5" t="str">
        <f>"I0001207"</f>
        <v>I0001207</v>
      </c>
      <c r="B5741" s="5" t="str">
        <f>"PINZA DE CAMPO"</f>
        <v>PINZA DE CAMPO</v>
      </c>
      <c r="C5741" s="6">
        <v>39440</v>
      </c>
      <c r="D5741" s="5"/>
      <c r="E5741" s="5" t="str">
        <f t="shared" si="296"/>
        <v>INSTRUMENTACION-DIANA CAICEDO-DIANA DIAZ</v>
      </c>
      <c r="F5741" s="5" t="str">
        <f>"Descripcion: PINZAS DE CAMPO  Estado: Bueno Placa anterior: 000031812 Material: ACERO INOXIDABLE Color: PLATEADO Referencia:  Observacion:     Placa padre: I0001173Tipo adquisicion: Entidad"</f>
        <v>Descripcion: PINZAS DE CAMPO  Estado: Bueno Placa anterior: 000031812 Material: ACERO INOXIDABLE Color: PLATEADO Referencia:  Observacion:     Placa padre: I0001173Tipo adquisicion: Entidad</v>
      </c>
      <c r="G5741" s="5"/>
    </row>
    <row r="5742" spans="1:7" ht="58.5" customHeight="1" x14ac:dyDescent="0.25">
      <c r="A5742" s="5" t="str">
        <f>"I0001208"</f>
        <v>I0001208</v>
      </c>
      <c r="B5742" s="5" t="str">
        <f>"PINZA DE CAMPO"</f>
        <v>PINZA DE CAMPO</v>
      </c>
      <c r="C5742" s="6">
        <v>39440</v>
      </c>
      <c r="D5742" s="5"/>
      <c r="E5742" s="5" t="str">
        <f t="shared" si="296"/>
        <v>INSTRUMENTACION-DIANA CAICEDO-DIANA DIAZ</v>
      </c>
      <c r="F5742" s="5" t="str">
        <f>"Descripcion: PINZAS DE CAMPO  Estado: Bueno Placa anterior: 000031813 Material: ACERO INOXIDABLE Color: PLATEADO Referencia:  Observacion:     Placa padre: I0001173Tipo adquisicion: Entidad"</f>
        <v>Descripcion: PINZAS DE CAMPO  Estado: Bueno Placa anterior: 000031813 Material: ACERO INOXIDABLE Color: PLATEADO Referencia:  Observacion:     Placa padre: I0001173Tipo adquisicion: Entidad</v>
      </c>
      <c r="G5742" s="5"/>
    </row>
    <row r="5743" spans="1:7" ht="58.5" customHeight="1" x14ac:dyDescent="0.25">
      <c r="A5743" s="5" t="str">
        <f>"I0001211"</f>
        <v>I0001211</v>
      </c>
      <c r="B5743" s="5" t="str">
        <f>"CUBETA DE ACERO INOXIDABLE MEDIANA"</f>
        <v>CUBETA DE ACERO INOXIDABLE MEDIANA</v>
      </c>
      <c r="C5743" s="6">
        <v>5421.11</v>
      </c>
      <c r="D5743" s="5"/>
      <c r="E5743" s="5" t="str">
        <f t="shared" si="296"/>
        <v>INSTRUMENTACION-DIANA CAICEDO-DIANA DIAZ</v>
      </c>
      <c r="F5743" s="5" t="str">
        <f>"Descripcion: CUBETA NIQUELADA  Estado: Bueno Placa anterior: 000019525 Material: ACERO INOXIDABLE Color: PLATEADO Referencia:  Observacion:     Placa padre: I0001173Tipo adquisicion: Entidad"</f>
        <v>Descripcion: CUBETA NIQUELADA  Estado: Bueno Placa anterior: 000019525 Material: ACERO INOXIDABLE Color: PLATEADO Referencia:  Observacion:     Placa padre: I0001173Tipo adquisicion: Entidad</v>
      </c>
      <c r="G5743" s="5"/>
    </row>
    <row r="5744" spans="1:7" ht="58.5" customHeight="1" x14ac:dyDescent="0.25">
      <c r="A5744" s="5" t="str">
        <f>"I0001212"</f>
        <v>I0001212</v>
      </c>
      <c r="B5744" s="5" t="str">
        <f>"EQUIPO DE CESAREA"</f>
        <v>EQUIPO DE CESAREA</v>
      </c>
      <c r="C5744" s="6">
        <v>1296000</v>
      </c>
      <c r="D5744" s="5"/>
      <c r="E5744" s="5" t="str">
        <f t="shared" si="296"/>
        <v>INSTRUMENTACION-DIANA CAICEDO-DIANA DIAZ</v>
      </c>
      <c r="F5744" s="5" t="str">
        <f>"Descripcion: EQUIPO DE CESAREA # 6 QUE CONSTA DE:  (0) MANGO DE BISTURI # 4  (1) TIJERA DE METZEMBAUM CURVA   (2) TIJERAS DE MAYO CURVAS (DIMEDA)  (2) SEPARADORES DE FARABEUF   (0) PINZA DE DISECCION RUSA   (1) PINZA DE DISECCION CON GARRA   (1) PINZA DE "&amp; "DISECCION SIN GARRA   (2) PINZAS KELLY RECTAS   (5) PINZAS KELLY CURVAS   (2) PINZAS ROCHESTER CURVAS  (2) PINZAS BACBOCK   (5) PINZAS ALLIX (DIMEDA)  (0) PORTA AGUJAS MEDIANO DE MAYO (DIMEDA)  (0) PINZA FOSTER (DIMEDA)  (1) CANULA  DE SUCCION (DIMEDA)  ("&amp; "1) VALVA DE MAYO   (4) PINZAS DE CAMPO   (2) PLATONES   (1) CUBETA NIQUELADA Estado: Bueno Placa anterior:  Material: ACERO INOXIDABLE Color: PLATEADO Referencia:  Observacion:     Placa padre: Tipo adquisicion: Entidad"</f>
        <v>Descripcion: EQUIPO DE CESAREA # 6 QUE CONSTA DE:  (0) MANGO DE BISTURI # 4  (1) TIJERA DE METZEMBAUM CURVA   (2) TIJERAS DE MAYO CURVAS (DIMEDA)  (2) SEPARADORES DE FARABEUF   (0) PINZA DE DISECCION RUSA   (1) PINZA DE DISECCION CON GARRA   (1) PINZA DE DISECCION SIN GARRA   (2) PINZAS KELLY RECTAS   (5) PINZAS KELLY CURVAS   (2) PINZAS ROCHESTER CURVAS  (2) PINZAS BACBOCK   (5) PINZAS ALLIX (DIMEDA)  (0) PORTA AGUJAS MEDIANO DE MAYO (DIMEDA)  (0) PINZA FOSTER (DIMEDA)  (1) CANULA  DE SUCCION (DIMEDA)  (1) VALVA DE MAYO   (4) PINZAS DE CAMPO   (2) PLATONES   (1) CUBETA NIQUELADA Estado: Bueno Placa anterior:  Material: ACERO INOXIDABLE Color: PLATEADO Referencia:  Observacion:     Placa padre: Tipo adquisicion: Entidad</v>
      </c>
      <c r="G5744" s="5"/>
    </row>
    <row r="5745" spans="1:7" ht="58.5" customHeight="1" x14ac:dyDescent="0.25">
      <c r="A5745" s="5" t="str">
        <f>"I0001214"</f>
        <v>I0001214</v>
      </c>
      <c r="B5745" s="5" t="str">
        <f>"TIJERA  DE METZEMBAUM CURVA"</f>
        <v>TIJERA  DE METZEMBAUM CURVA</v>
      </c>
      <c r="C5745" s="6">
        <v>52171</v>
      </c>
      <c r="D5745" s="5"/>
      <c r="E5745" s="5" t="str">
        <f t="shared" si="296"/>
        <v>INSTRUMENTACION-DIANA CAICEDO-DIANA DIAZ</v>
      </c>
      <c r="F5745" s="5" t="str">
        <f>"Descripcion: TIJERA DE METZEMBAUM CURVA  Estado: Bueno Placa anterior: 000023906 Material: ACERO INOXIDABLE Color: PLATEADO Referencia:  Observacion:     Placa padre: I0001212Tipo adquisicion: Entidad"</f>
        <v>Descripcion: TIJERA DE METZEMBAUM CURVA  Estado: Bueno Placa anterior: 000023906 Material: ACERO INOXIDABLE Color: PLATEADO Referencia:  Observacion:     Placa padre: I0001212Tipo adquisicion: Entidad</v>
      </c>
      <c r="G5745" s="5"/>
    </row>
    <row r="5746" spans="1:7" ht="58.5" customHeight="1" x14ac:dyDescent="0.25">
      <c r="A5746" s="5" t="str">
        <f>"I0001215"</f>
        <v>I0001215</v>
      </c>
      <c r="B5746" s="5" t="str">
        <f>"TIJERA MAYO CURVA"</f>
        <v>TIJERA MAYO CURVA</v>
      </c>
      <c r="C5746" s="6">
        <v>63800</v>
      </c>
      <c r="D5746" s="5"/>
      <c r="E5746" s="5" t="str">
        <f t="shared" si="296"/>
        <v>INSTRUMENTACION-DIANA CAICEDO-DIANA DIAZ</v>
      </c>
      <c r="F5746" s="5" t="str">
        <f>"Descripcion: TIJERAS DE MAYO CURVAS (DIMEDA) Estado: Bueno Placa anterior: 000032183 Material: ACERO INOXIDABLE Color: PLATEADO Referencia:  Observacion:     Placa padre: I0001212Tipo adquisicion: Entidad"</f>
        <v>Descripcion: TIJERAS DE MAYO CURVAS (DIMEDA) Estado: Bueno Placa anterior: 000032183 Material: ACERO INOXIDABLE Color: PLATEADO Referencia:  Observacion:     Placa padre: I0001212Tipo adquisicion: Entidad</v>
      </c>
      <c r="G5746" s="5"/>
    </row>
    <row r="5747" spans="1:7" ht="58.5" customHeight="1" x14ac:dyDescent="0.25">
      <c r="A5747" s="5" t="str">
        <f>"I0001216"</f>
        <v>I0001216</v>
      </c>
      <c r="B5747" s="5" t="str">
        <f>"TIJERA MAYO CURVA"</f>
        <v>TIJERA MAYO CURVA</v>
      </c>
      <c r="C5747" s="6">
        <v>63800</v>
      </c>
      <c r="D5747" s="5"/>
      <c r="E5747" s="5" t="str">
        <f t="shared" si="296"/>
        <v>INSTRUMENTACION-DIANA CAICEDO-DIANA DIAZ</v>
      </c>
      <c r="F5747" s="5" t="str">
        <f>"Descripcion: TIJERAS DE MAYO CURVAS (DIMEDA) Estado: Bueno Placa anterior: 000032184 Material: ACERO INOXIDABLE Color: PLATEADO Referencia:  Observacion:     Placa padre: I0001212Tipo adquisicion: Entidad"</f>
        <v>Descripcion: TIJERAS DE MAYO CURVAS (DIMEDA) Estado: Bueno Placa anterior: 000032184 Material: ACERO INOXIDABLE Color: PLATEADO Referencia:  Observacion:     Placa padre: I0001212Tipo adquisicion: Entidad</v>
      </c>
      <c r="G5747" s="5"/>
    </row>
    <row r="5748" spans="1:7" ht="58.5" customHeight="1" x14ac:dyDescent="0.25">
      <c r="A5748" s="5" t="str">
        <f>"I0001219"</f>
        <v>I0001219</v>
      </c>
      <c r="B5748" s="5" t="str">
        <f>"PINZA DE DISECCION SIN GARRA CORTA 20 CM"</f>
        <v>PINZA DE DISECCION SIN GARRA CORTA 20 CM</v>
      </c>
      <c r="C5748" s="6">
        <v>67280</v>
      </c>
      <c r="D5748" s="5"/>
      <c r="E5748" s="5" t="str">
        <f t="shared" si="296"/>
        <v>INSTRUMENTACION-DIANA CAICEDO-DIANA DIAZ</v>
      </c>
      <c r="F5748" s="5" t="str">
        <f>"Descripcion: PINZA DE DISECCION RUSA  Estado: Bueno Placa anterior: 000031984 Material: ACERO INOXIDABLE Color: PLATEADO Referencia:  Observacion:     Placa padre: I0001212Tipo adquisicion: Entidad"</f>
        <v>Descripcion: PINZA DE DISECCION RUSA  Estado: Bueno Placa anterior: 000031984 Material: ACERO INOXIDABLE Color: PLATEADO Referencia:  Observacion:     Placa padre: I0001212Tipo adquisicion: Entidad</v>
      </c>
      <c r="G5748" s="5"/>
    </row>
    <row r="5749" spans="1:7" ht="58.5" customHeight="1" x14ac:dyDescent="0.25">
      <c r="A5749" s="5" t="str">
        <f>"I0001230"</f>
        <v>I0001230</v>
      </c>
      <c r="B5749" s="5" t="str">
        <f>"PINZA ROCHESTER CURVA 25 CM"</f>
        <v>PINZA ROCHESTER CURVA 25 CM</v>
      </c>
      <c r="C5749" s="6">
        <v>54500</v>
      </c>
      <c r="D5749" s="5"/>
      <c r="E5749" s="5" t="str">
        <f t="shared" si="296"/>
        <v>INSTRUMENTACION-DIANA CAICEDO-DIANA DIAZ</v>
      </c>
      <c r="F5749" s="5" t="str">
        <f>"Descripcion: PINZAS ROCHESTER CURVAS Estado: Bueno Placa anterior: 000016075 Material: ACERO INOXIDABLE Color: PLATEADO Referencia:  Observacion:     Placa padre: I0001212Tipo adquisicion: Entidad"</f>
        <v>Descripcion: PINZAS ROCHESTER CURVAS Estado: Bueno Placa anterior: 000016075 Material: ACERO INOXIDABLE Color: PLATEADO Referencia:  Observacion:     Placa padre: I0001212Tipo adquisicion: Entidad</v>
      </c>
      <c r="G5749" s="5"/>
    </row>
    <row r="5750" spans="1:7" ht="58.5" customHeight="1" x14ac:dyDescent="0.25">
      <c r="A5750" s="5" t="str">
        <f>"I0001231"</f>
        <v>I0001231</v>
      </c>
      <c r="B5750" s="5" t="str">
        <f>"PINZA ROCHESTER CURVA 25 CM"</f>
        <v>PINZA ROCHESTER CURVA 25 CM</v>
      </c>
      <c r="C5750" s="6">
        <v>54500</v>
      </c>
      <c r="D5750" s="5"/>
      <c r="E5750" s="5" t="str">
        <f t="shared" si="296"/>
        <v>INSTRUMENTACION-DIANA CAICEDO-DIANA DIAZ</v>
      </c>
      <c r="F5750" s="5" t="str">
        <f>"Descripcion: PINZAS ROCHESTER CURVAS Estado: Bueno Placa anterior: 000016076 Material: ACERO INOXIDABLE Color: PLATEADO Referencia:  Observacion:     Placa padre: I0001212Tipo adquisicion: Entidad"</f>
        <v>Descripcion: PINZAS ROCHESTER CURVAS Estado: Bueno Placa anterior: 000016076 Material: ACERO INOXIDABLE Color: PLATEADO Referencia:  Observacion:     Placa padre: I0001212Tipo adquisicion: Entidad</v>
      </c>
      <c r="G5750" s="5"/>
    </row>
    <row r="5751" spans="1:7" ht="58.5" customHeight="1" x14ac:dyDescent="0.25">
      <c r="A5751" s="5" t="str">
        <f>"I0001240"</f>
        <v>I0001240</v>
      </c>
      <c r="B5751" s="5" t="str">
        <f>"PORTAGUJAS (PINZA)"</f>
        <v>PORTAGUJAS (PINZA)</v>
      </c>
      <c r="C5751" s="6">
        <v>81200</v>
      </c>
      <c r="D5751" s="5"/>
      <c r="E5751" s="5" t="str">
        <f t="shared" si="296"/>
        <v>INSTRUMENTACION-DIANA CAICEDO-DIANA DIAZ</v>
      </c>
      <c r="F5751" s="5" t="str">
        <f>"Descripcion: PORTA AGUJAS MEDIANO DE MAYO (DIMEDA) Estado: Bueno Placa anterior: 000032431 Material: ACERO INOXIDABLE Color: PLATEADO Referencia:  Observacion:     Placa padre: I0001212Tipo adquisicion: Entidad"</f>
        <v>Descripcion: PORTA AGUJAS MEDIANO DE MAYO (DIMEDA) Estado: Bueno Placa anterior: 000032431 Material: ACERO INOXIDABLE Color: PLATEADO Referencia:  Observacion:     Placa padre: I0001212Tipo adquisicion: Entidad</v>
      </c>
      <c r="G5751" s="5"/>
    </row>
    <row r="5752" spans="1:7" ht="58.5" customHeight="1" x14ac:dyDescent="0.25">
      <c r="A5752" s="5" t="str">
        <f>"I0001241"</f>
        <v>I0001241</v>
      </c>
      <c r="B5752" s="5" t="str">
        <f>"PINZA FOSTER"</f>
        <v>PINZA FOSTER</v>
      </c>
      <c r="C5752" s="6">
        <v>127600</v>
      </c>
      <c r="D5752" s="5"/>
      <c r="E5752" s="5" t="str">
        <f t="shared" si="296"/>
        <v>INSTRUMENTACION-DIANA CAICEDO-DIANA DIAZ</v>
      </c>
      <c r="F5752" s="5" t="str">
        <f>"Descripcion: PINZA FOSTER (DIMEDA) Estado: Bueno Placa anterior: 000032007 Material: ACERO INOXIDABLE Color: PLATEADO Referencia:  Observacion:     Placa padre: I0001212Tipo adquisicion: Entidad"</f>
        <v>Descripcion: PINZA FOSTER (DIMEDA) Estado: Bueno Placa anterior: 000032007 Material: ACERO INOXIDABLE Color: PLATEADO Referencia:  Observacion:     Placa padre: I0001212Tipo adquisicion: Entidad</v>
      </c>
      <c r="G5752" s="5"/>
    </row>
    <row r="5753" spans="1:7" ht="58.5" customHeight="1" x14ac:dyDescent="0.25">
      <c r="A5753" s="5" t="str">
        <f>"I0001244"</f>
        <v>I0001244</v>
      </c>
      <c r="B5753" s="5" t="str">
        <f>"PINZA DE CAMPO"</f>
        <v>PINZA DE CAMPO</v>
      </c>
      <c r="C5753" s="6">
        <v>39440</v>
      </c>
      <c r="D5753" s="5"/>
      <c r="E5753" s="5" t="str">
        <f t="shared" si="296"/>
        <v>INSTRUMENTACION-DIANA CAICEDO-DIANA DIAZ</v>
      </c>
      <c r="F5753" s="5" t="str">
        <f>"Descripcion: PINZAS DE CAMPO  Estado: Bueno Placa anterior: 000031814 Material: ACERO INOXIDABLE Color: PLATEADO Referencia:  Observacion:     Placa padre: I0001212Tipo adquisicion: Entidad"</f>
        <v>Descripcion: PINZAS DE CAMPO  Estado: Bueno Placa anterior: 000031814 Material: ACERO INOXIDABLE Color: PLATEADO Referencia:  Observacion:     Placa padre: I0001212Tipo adquisicion: Entidad</v>
      </c>
      <c r="G5753" s="5"/>
    </row>
    <row r="5754" spans="1:7" ht="58.5" customHeight="1" x14ac:dyDescent="0.25">
      <c r="A5754" s="5" t="str">
        <f>"I0001245"</f>
        <v>I0001245</v>
      </c>
      <c r="B5754" s="5" t="str">
        <f>"PINZA DE CAMPO"</f>
        <v>PINZA DE CAMPO</v>
      </c>
      <c r="C5754" s="6">
        <v>39440</v>
      </c>
      <c r="D5754" s="5"/>
      <c r="E5754" s="5" t="str">
        <f t="shared" si="296"/>
        <v>INSTRUMENTACION-DIANA CAICEDO-DIANA DIAZ</v>
      </c>
      <c r="F5754" s="5" t="str">
        <f>"Descripcion: PINZAS DE CAMPO  Estado: Bueno Placa anterior: 000031815 Material: ACERO INOXIDABLE Color: PLATEADO Referencia:  Observacion:     Placa padre: I0001212Tipo adquisicion: Entidad"</f>
        <v>Descripcion: PINZAS DE CAMPO  Estado: Bueno Placa anterior: 000031815 Material: ACERO INOXIDABLE Color: PLATEADO Referencia:  Observacion:     Placa padre: I0001212Tipo adquisicion: Entidad</v>
      </c>
      <c r="G5754" s="5"/>
    </row>
    <row r="5755" spans="1:7" ht="58.5" customHeight="1" x14ac:dyDescent="0.25">
      <c r="A5755" s="5" t="str">
        <f>"I0001246"</f>
        <v>I0001246</v>
      </c>
      <c r="B5755" s="5" t="str">
        <f>"PINZA DE CAMPO"</f>
        <v>PINZA DE CAMPO</v>
      </c>
      <c r="C5755" s="6">
        <v>39440</v>
      </c>
      <c r="D5755" s="5"/>
      <c r="E5755" s="5" t="str">
        <f t="shared" si="296"/>
        <v>INSTRUMENTACION-DIANA CAICEDO-DIANA DIAZ</v>
      </c>
      <c r="F5755" s="5" t="str">
        <f>"Descripcion: PINZAS DE CAMPO  Estado: Bueno Placa anterior: 000031816 Material: ACERO INOXIDABLE Color: PLATEADO Referencia:  Observacion:     Placa padre: I0001212Tipo adquisicion: Entidad"</f>
        <v>Descripcion: PINZAS DE CAMPO  Estado: Bueno Placa anterior: 000031816 Material: ACERO INOXIDABLE Color: PLATEADO Referencia:  Observacion:     Placa padre: I0001212Tipo adquisicion: Entidad</v>
      </c>
      <c r="G5755" s="5"/>
    </row>
    <row r="5756" spans="1:7" ht="58.5" customHeight="1" x14ac:dyDescent="0.25">
      <c r="A5756" s="5" t="str">
        <f>"I0001247"</f>
        <v>I0001247</v>
      </c>
      <c r="B5756" s="5" t="str">
        <f>"PINZA DE CAMPO"</f>
        <v>PINZA DE CAMPO</v>
      </c>
      <c r="C5756" s="6">
        <v>39440</v>
      </c>
      <c r="D5756" s="5"/>
      <c r="E5756" s="5" t="str">
        <f t="shared" si="296"/>
        <v>INSTRUMENTACION-DIANA CAICEDO-DIANA DIAZ</v>
      </c>
      <c r="F5756" s="5" t="str">
        <f>"Descripcion: PINZAS DE CAMPO  Estado: Bueno Placa anterior: 000031817 Material: ACERO INOXIDABLE Color: PLATEADO Referencia:  Observacion:     Placa padre: I0001212Tipo adquisicion: Entidad"</f>
        <v>Descripcion: PINZAS DE CAMPO  Estado: Bueno Placa anterior: 000031817 Material: ACERO INOXIDABLE Color: PLATEADO Referencia:  Observacion:     Placa padre: I0001212Tipo adquisicion: Entidad</v>
      </c>
      <c r="G5756" s="5"/>
    </row>
    <row r="5757" spans="1:7" ht="58.5" customHeight="1" x14ac:dyDescent="0.25">
      <c r="A5757" s="5" t="str">
        <f>"I0001250"</f>
        <v>I0001250</v>
      </c>
      <c r="B5757" s="5" t="str">
        <f>"CUBETA DE ACERO INOXIDABLE MEDIANA"</f>
        <v>CUBETA DE ACERO INOXIDABLE MEDIANA</v>
      </c>
      <c r="C5757" s="6">
        <v>5421.11</v>
      </c>
      <c r="D5757" s="5"/>
      <c r="E5757" s="5" t="str">
        <f t="shared" si="296"/>
        <v>INSTRUMENTACION-DIANA CAICEDO-DIANA DIAZ</v>
      </c>
      <c r="F5757" s="5" t="str">
        <f>"Descripcion: CUBETA NIQUELADA  Estado: Bueno Placa anterior: 000019526 Material: ACERO INOXIDABLE Color: PLATEADO Referencia:  Observacion:     Placa padre: I0001212Tipo adquisicion: Entidad"</f>
        <v>Descripcion: CUBETA NIQUELADA  Estado: Bueno Placa anterior: 000019526 Material: ACERO INOXIDABLE Color: PLATEADO Referencia:  Observacion:     Placa padre: I0001212Tipo adquisicion: Entidad</v>
      </c>
      <c r="G5757" s="5"/>
    </row>
    <row r="5758" spans="1:7" ht="58.5" customHeight="1" x14ac:dyDescent="0.25">
      <c r="A5758" s="5" t="str">
        <f>"I0001251"</f>
        <v>I0001251</v>
      </c>
      <c r="B5758" s="5" t="str">
        <f>"EQUIPO DE CESAREA"</f>
        <v>EQUIPO DE CESAREA</v>
      </c>
      <c r="C5758" s="6">
        <v>1296000</v>
      </c>
      <c r="D5758" s="5"/>
      <c r="E5758" s="5" t="str">
        <f t="shared" si="296"/>
        <v>INSTRUMENTACION-DIANA CAICEDO-DIANA DIAZ</v>
      </c>
      <c r="F5758" s="5" t="str">
        <f>"Descripcion: EQUIPO DE CESAREA # 7 QUE CONSTA DE:  (1) MANGO DE BISTURI # 4  (1) TIJERA DE METZEMBAUM CURVA   (2) TIJERAS DE MAYO CURVAS (DIMEDA)  (2) SEPARADORES DE FARABEUF   (1) PINZA DE DISECCION RUSA   (1) PINZA DE DISECCION CON GARRA   (1) PINZA DE "&amp; "DISECCION SIN GARRA   (2) PINZAS KELLY RECTAS   (6) PINZAS KELLY CURVAS   (2) PINZAS ROCHESTER CURVAS  (2) PINZAS BACBOCK   (6) PINZAS ALLIX (DIMEDA)  (1) PORTA AGUJAS MEDIANO DE MAYO (DIMEDA)  (1) PINZA FOSTER (DIMEDA)  (1) CANULA  DE SUCCION (DIMEDA)  ("&amp; "1) VALVA DE MAYO   (4) PINZAS DE CAMPO   (2) PLATONES   (1) CUBETA NIQUELADA Estado: Bueno Placa anterior:  Material: ACERO INOXIDABLE Color: PLATEADO Referencia:  Observacion:     Placa padre: Tipo adquisicion: Entidad"</f>
        <v>Descripcion: EQUIPO DE CESAREA # 7 QUE CONSTA DE:  (1) MANGO DE BISTURI # 4  (1) TIJERA DE METZEMBAUM CURVA   (2) TIJERAS DE MAYO CURVAS (DIMEDA)  (2) SEPARADORES DE FARABEUF   (1) PINZA DE DISECCION RUSA   (1) PINZA DE DISECCION CON GARRA   (1) PINZA DE DISECCION SIN GARRA   (2) PINZAS KELLY RECTAS   (6) PINZAS KELLY CURVAS   (2) PINZAS ROCHESTER CURVAS  (2) PINZAS BACBOCK   (6) PINZAS ALLIX (DIMEDA)  (1) PORTA AGUJAS MEDIANO DE MAYO (DIMEDA)  (1) PINZA FOSTER (DIMEDA)  (1) CANULA  DE SUCCION (DIMEDA)  (1) VALVA DE MAYO   (4) PINZAS DE CAMPO   (2) PLATONES   (1) CUBETA NIQUELADA Estado: Bueno Placa anterior:  Material: ACERO INOXIDABLE Color: PLATEADO Referencia:  Observacion:     Placa padre: Tipo adquisicion: Entidad</v>
      </c>
      <c r="G5758" s="5"/>
    </row>
    <row r="5759" spans="1:7" ht="58.5" customHeight="1" x14ac:dyDescent="0.25">
      <c r="A5759" s="5" t="str">
        <f>"I0001253"</f>
        <v>I0001253</v>
      </c>
      <c r="B5759" s="5" t="str">
        <f>"TIJERA  DE METZEMBAUM CURVA"</f>
        <v>TIJERA  DE METZEMBAUM CURVA</v>
      </c>
      <c r="C5759" s="6">
        <v>52171</v>
      </c>
      <c r="D5759" s="5"/>
      <c r="E5759" s="5" t="str">
        <f t="shared" si="296"/>
        <v>INSTRUMENTACION-DIANA CAICEDO-DIANA DIAZ</v>
      </c>
      <c r="F5759" s="5" t="str">
        <f>"Descripcion: TIJERA DE METZEMBAUM CURVA  Estado: Bueno Placa anterior: 000023907 Material: ACERO INOXIDABLE Color: PLATEADO Referencia:  Observacion:     Placa padre: I0001251Tipo adquisicion: Entidad"</f>
        <v>Descripcion: TIJERA DE METZEMBAUM CURVA  Estado: Bueno Placa anterior: 000023907 Material: ACERO INOXIDABLE Color: PLATEADO Referencia:  Observacion:     Placa padre: I0001251Tipo adquisicion: Entidad</v>
      </c>
      <c r="G5759" s="5"/>
    </row>
    <row r="5760" spans="1:7" ht="58.5" customHeight="1" x14ac:dyDescent="0.25">
      <c r="A5760" s="5" t="str">
        <f>"I0001254"</f>
        <v>I0001254</v>
      </c>
      <c r="B5760" s="5" t="str">
        <f>"TIJERA MAYO CURVA"</f>
        <v>TIJERA MAYO CURVA</v>
      </c>
      <c r="C5760" s="6">
        <v>63800</v>
      </c>
      <c r="D5760" s="5"/>
      <c r="E5760" s="5" t="str">
        <f t="shared" si="296"/>
        <v>INSTRUMENTACION-DIANA CAICEDO-DIANA DIAZ</v>
      </c>
      <c r="F5760" s="5" t="str">
        <f>"Descripcion: TIJERAS DE MAYO CURVAS (DIMEDA) Estado: Bueno Placa anterior: 000032185 Material: ACERO INOXIDABLE Color: PLATEADO Referencia:  Observacion:     Placa padre: I0001251Tipo adquisicion: Entidad"</f>
        <v>Descripcion: TIJERAS DE MAYO CURVAS (DIMEDA) Estado: Bueno Placa anterior: 000032185 Material: ACERO INOXIDABLE Color: PLATEADO Referencia:  Observacion:     Placa padre: I0001251Tipo adquisicion: Entidad</v>
      </c>
      <c r="G5760" s="5"/>
    </row>
    <row r="5761" spans="1:7" ht="58.5" customHeight="1" x14ac:dyDescent="0.25">
      <c r="A5761" s="5" t="str">
        <f>"I0001255"</f>
        <v>I0001255</v>
      </c>
      <c r="B5761" s="5" t="str">
        <f>"TIJERA MAYO CURVA"</f>
        <v>TIJERA MAYO CURVA</v>
      </c>
      <c r="C5761" s="6">
        <v>63800</v>
      </c>
      <c r="D5761" s="5"/>
      <c r="E5761" s="5" t="str">
        <f t="shared" si="296"/>
        <v>INSTRUMENTACION-DIANA CAICEDO-DIANA DIAZ</v>
      </c>
      <c r="F5761" s="5" t="str">
        <f>"Descripcion: TIJERAS DE MAYO CURVAS (DIMEDA) Estado: Bueno Placa anterior: 000032186 Material: ACERO INOXIDABLE Color: PLATEADO Referencia:  Observacion:     Placa padre: I0001251Tipo adquisicion: Entidad"</f>
        <v>Descripcion: TIJERAS DE MAYO CURVAS (DIMEDA) Estado: Bueno Placa anterior: 000032186 Material: ACERO INOXIDABLE Color: PLATEADO Referencia:  Observacion:     Placa padre: I0001251Tipo adquisicion: Entidad</v>
      </c>
      <c r="G5761" s="5"/>
    </row>
    <row r="5762" spans="1:7" ht="58.5" customHeight="1" x14ac:dyDescent="0.25">
      <c r="A5762" s="5" t="str">
        <f>"I0001258"</f>
        <v>I0001258</v>
      </c>
      <c r="B5762" s="5" t="str">
        <f>"PINZA DE DISECCION SIN GARRA CORTA 20 CM"</f>
        <v>PINZA DE DISECCION SIN GARRA CORTA 20 CM</v>
      </c>
      <c r="C5762" s="6">
        <v>67280</v>
      </c>
      <c r="D5762" s="5"/>
      <c r="E5762" s="5" t="str">
        <f t="shared" si="296"/>
        <v>INSTRUMENTACION-DIANA CAICEDO-DIANA DIAZ</v>
      </c>
      <c r="F5762" s="5" t="str">
        <f>"Descripcion: PINZA DE DISECCION RUSA  Estado: Bueno Placa anterior: 000031985 Material: ACERO INOXIDABLE Color: PLATEADO Referencia:  Observacion:     Placa padre: I0001251Tipo adquisicion: Entidad"</f>
        <v>Descripcion: PINZA DE DISECCION RUSA  Estado: Bueno Placa anterior: 000031985 Material: ACERO INOXIDABLE Color: PLATEADO Referencia:  Observacion:     Placa padre: I0001251Tipo adquisicion: Entidad</v>
      </c>
      <c r="G5762" s="5"/>
    </row>
    <row r="5763" spans="1:7" ht="58.5" customHeight="1" x14ac:dyDescent="0.25">
      <c r="A5763" s="5" t="str">
        <f>"I0001259"</f>
        <v>I0001259</v>
      </c>
      <c r="B5763" s="5" t="str">
        <f>"PINZA DE DISECCION CON GARRA MEDIANA 25 CM"</f>
        <v>PINZA DE DISECCION CON GARRA MEDIANA 25 CM</v>
      </c>
      <c r="C5763" s="6">
        <v>18560</v>
      </c>
      <c r="D5763" s="5"/>
      <c r="E5763" s="5" t="str">
        <f t="shared" si="296"/>
        <v>INSTRUMENTACION-DIANA CAICEDO-DIANA DIAZ</v>
      </c>
      <c r="F5763" s="5" t="str">
        <f>"Descripcion: PINZA DE DISECCION CON GARRA Estado: Bueno Placa anterior: 000032271 Material: ACERO INOXIDABLE Color: PLATEADO Referencia:  Observacion:     Placa padre: I0001251Tipo adquisicion: Entidad"</f>
        <v>Descripcion: PINZA DE DISECCION CON GARRA Estado: Bueno Placa anterior: 000032271 Material: ACERO INOXIDABLE Color: PLATEADO Referencia:  Observacion:     Placa padre: I0001251Tipo adquisicion: Entidad</v>
      </c>
      <c r="G5763" s="5"/>
    </row>
    <row r="5764" spans="1:7" ht="58.5" customHeight="1" x14ac:dyDescent="0.25">
      <c r="A5764" s="5" t="str">
        <f>"I0001269"</f>
        <v>I0001269</v>
      </c>
      <c r="B5764" s="5" t="str">
        <f>"PINZA ROCHESTER CURVA 25 CM"</f>
        <v>PINZA ROCHESTER CURVA 25 CM</v>
      </c>
      <c r="C5764" s="6">
        <v>113680</v>
      </c>
      <c r="D5764" s="5"/>
      <c r="E5764" s="5" t="str">
        <f t="shared" si="296"/>
        <v>INSTRUMENTACION-DIANA CAICEDO-DIANA DIAZ</v>
      </c>
      <c r="F5764" s="5" t="str">
        <f>"Descripcion: PINZAS ROCHESTER CURVAS Estado: Bueno Placa anterior: 000032486 Material: ACERO INOXIDABLE Color: PLATEADO Referencia:  Observacion:     Placa padre: I0001251Tipo adquisicion: Entidad"</f>
        <v>Descripcion: PINZAS ROCHESTER CURVAS Estado: Bueno Placa anterior: 000032486 Material: ACERO INOXIDABLE Color: PLATEADO Referencia:  Observacion:     Placa padre: I0001251Tipo adquisicion: Entidad</v>
      </c>
      <c r="G5764" s="5"/>
    </row>
    <row r="5765" spans="1:7" ht="58.5" customHeight="1" x14ac:dyDescent="0.25">
      <c r="A5765" s="5" t="str">
        <f>"I0001270"</f>
        <v>I0001270</v>
      </c>
      <c r="B5765" s="5" t="str">
        <f>"PINZA ROCHESTER CURVA 25 CM"</f>
        <v>PINZA ROCHESTER CURVA 25 CM</v>
      </c>
      <c r="C5765" s="6">
        <v>54500</v>
      </c>
      <c r="D5765" s="5"/>
      <c r="E5765" s="5" t="str">
        <f t="shared" si="296"/>
        <v>INSTRUMENTACION-DIANA CAICEDO-DIANA DIAZ</v>
      </c>
      <c r="F5765" s="5" t="str">
        <f>"Descripcion: PINZAS ROCHESTER CURVAS Estado: Bueno Placa anterior: 000016077 Material: ACERO INOXIDABLE Color: PLATEADO Referencia:  Observacion:     Placa padre: I0001251Tipo adquisicion: Entidad"</f>
        <v>Descripcion: PINZAS ROCHESTER CURVAS Estado: Bueno Placa anterior: 000016077 Material: ACERO INOXIDABLE Color: PLATEADO Referencia:  Observacion:     Placa padre: I0001251Tipo adquisicion: Entidad</v>
      </c>
      <c r="G5765" s="5"/>
    </row>
    <row r="5766" spans="1:7" ht="58.5" customHeight="1" x14ac:dyDescent="0.25">
      <c r="A5766" s="5" t="str">
        <f>"I0001279"</f>
        <v>I0001279</v>
      </c>
      <c r="B5766" s="5" t="str">
        <f>"PORTAGUJAS (PINZA)"</f>
        <v>PORTAGUJAS (PINZA)</v>
      </c>
      <c r="C5766" s="6">
        <v>81200</v>
      </c>
      <c r="D5766" s="5"/>
      <c r="E5766" s="5" t="str">
        <f t="shared" si="296"/>
        <v>INSTRUMENTACION-DIANA CAICEDO-DIANA DIAZ</v>
      </c>
      <c r="F5766" s="5" t="str">
        <f>"Descripcion: PORTA AGUJAS MEDIANO DE MAYO (DIMEDA) Estado: Bueno Placa anterior: 000032432 Material: ACERO INOXIDABLE Color: PLATEADO Referencia:  Observacion:     Placa padre: I0001251Tipo adquisicion: Entidad"</f>
        <v>Descripcion: PORTA AGUJAS MEDIANO DE MAYO (DIMEDA) Estado: Bueno Placa anterior: 000032432 Material: ACERO INOXIDABLE Color: PLATEADO Referencia:  Observacion:     Placa padre: I0001251Tipo adquisicion: Entidad</v>
      </c>
      <c r="G5766" s="5"/>
    </row>
    <row r="5767" spans="1:7" ht="58.5" customHeight="1" x14ac:dyDescent="0.25">
      <c r="A5767" s="5" t="str">
        <f>"I0001280"</f>
        <v>I0001280</v>
      </c>
      <c r="B5767" s="5" t="str">
        <f>"PINZA FOSTER"</f>
        <v>PINZA FOSTER</v>
      </c>
      <c r="C5767" s="6">
        <v>127600</v>
      </c>
      <c r="D5767" s="5"/>
      <c r="E5767" s="5" t="str">
        <f t="shared" si="296"/>
        <v>INSTRUMENTACION-DIANA CAICEDO-DIANA DIAZ</v>
      </c>
      <c r="F5767" s="5" t="str">
        <f>"Descripcion: PINZA FOSTER (DIMEDA) Estado: Bueno Placa anterior: 000032008 Material: ACERO INOXIDABLE Color: PLATEADO Referencia:  Observacion:     Placa padre: I0001251Tipo adquisicion: Entidad"</f>
        <v>Descripcion: PINZA FOSTER (DIMEDA) Estado: Bueno Placa anterior: 000032008 Material: ACERO INOXIDABLE Color: PLATEADO Referencia:  Observacion:     Placa padre: I0001251Tipo adquisicion: Entidad</v>
      </c>
      <c r="G5767" s="5"/>
    </row>
    <row r="5768" spans="1:7" ht="58.5" customHeight="1" x14ac:dyDescent="0.25">
      <c r="A5768" s="5" t="str">
        <f>"I0001283"</f>
        <v>I0001283</v>
      </c>
      <c r="B5768" s="5" t="str">
        <f>"PINZA DE CAMPO"</f>
        <v>PINZA DE CAMPO</v>
      </c>
      <c r="C5768" s="6">
        <v>39440</v>
      </c>
      <c r="D5768" s="5"/>
      <c r="E5768" s="5" t="str">
        <f t="shared" si="296"/>
        <v>INSTRUMENTACION-DIANA CAICEDO-DIANA DIAZ</v>
      </c>
      <c r="F5768" s="5" t="str">
        <f>"Descripcion: PINZAS DE CAMPO  Estado: Bueno Placa anterior: 000031818 Material: ACERO INOXIDABLE Color: PLATEADO Referencia:  Observacion:     Placa padre: I0001251Tipo adquisicion: Entidad"</f>
        <v>Descripcion: PINZAS DE CAMPO  Estado: Bueno Placa anterior: 000031818 Material: ACERO INOXIDABLE Color: PLATEADO Referencia:  Observacion:     Placa padre: I0001251Tipo adquisicion: Entidad</v>
      </c>
      <c r="G5768" s="5"/>
    </row>
    <row r="5769" spans="1:7" ht="58.5" customHeight="1" x14ac:dyDescent="0.25">
      <c r="A5769" s="5" t="str">
        <f>"I0001284"</f>
        <v>I0001284</v>
      </c>
      <c r="B5769" s="5" t="str">
        <f>"PINZA DE CAMPO"</f>
        <v>PINZA DE CAMPO</v>
      </c>
      <c r="C5769" s="6">
        <v>39440</v>
      </c>
      <c r="D5769" s="5"/>
      <c r="E5769" s="5" t="str">
        <f t="shared" si="296"/>
        <v>INSTRUMENTACION-DIANA CAICEDO-DIANA DIAZ</v>
      </c>
      <c r="F5769" s="5" t="str">
        <f>"Descripcion: PINZAS DE CAMPO  Estado: Bueno Placa anterior: 000031819 Material: ACERO INOXIDABLE Color: PLATEADO Referencia:  Observacion:     Placa padre: I0001251Tipo adquisicion: Entidad"</f>
        <v>Descripcion: PINZAS DE CAMPO  Estado: Bueno Placa anterior: 000031819 Material: ACERO INOXIDABLE Color: PLATEADO Referencia:  Observacion:     Placa padre: I0001251Tipo adquisicion: Entidad</v>
      </c>
      <c r="G5769" s="5"/>
    </row>
    <row r="5770" spans="1:7" ht="58.5" customHeight="1" x14ac:dyDescent="0.25">
      <c r="A5770" s="5" t="str">
        <f>"I0001285"</f>
        <v>I0001285</v>
      </c>
      <c r="B5770" s="5" t="str">
        <f>"PINZA DE CAMPO"</f>
        <v>PINZA DE CAMPO</v>
      </c>
      <c r="C5770" s="6">
        <v>39440</v>
      </c>
      <c r="D5770" s="5"/>
      <c r="E5770" s="5" t="str">
        <f t="shared" si="296"/>
        <v>INSTRUMENTACION-DIANA CAICEDO-DIANA DIAZ</v>
      </c>
      <c r="F5770" s="5" t="str">
        <f>"Descripcion: PINZAS DE CAMPO  Estado: Bueno Placa anterior: 000031820 Material: ACERO INOXIDABLE Color: PLATEADO Referencia:  Observacion:     Placa padre: I0001251Tipo adquisicion: Entidad"</f>
        <v>Descripcion: PINZAS DE CAMPO  Estado: Bueno Placa anterior: 000031820 Material: ACERO INOXIDABLE Color: PLATEADO Referencia:  Observacion:     Placa padre: I0001251Tipo adquisicion: Entidad</v>
      </c>
      <c r="G5770" s="5"/>
    </row>
    <row r="5771" spans="1:7" ht="58.5" customHeight="1" x14ac:dyDescent="0.25">
      <c r="A5771" s="5" t="str">
        <f>"I0001286"</f>
        <v>I0001286</v>
      </c>
      <c r="B5771" s="5" t="str">
        <f>"PINZA DE CAMPO"</f>
        <v>PINZA DE CAMPO</v>
      </c>
      <c r="C5771" s="6">
        <v>39440</v>
      </c>
      <c r="D5771" s="5"/>
      <c r="E5771" s="5" t="str">
        <f t="shared" si="296"/>
        <v>INSTRUMENTACION-DIANA CAICEDO-DIANA DIAZ</v>
      </c>
      <c r="F5771" s="5" t="str">
        <f>"Descripcion: PINZAS DE CAMPO  Estado: Bueno Placa anterior: 000031821 Material: ACERO INOXIDABLE Color: PLATEADO Referencia:  Observacion:     Placa padre: I0001251Tipo adquisicion: Entidad"</f>
        <v>Descripcion: PINZAS DE CAMPO  Estado: Bueno Placa anterior: 000031821 Material: ACERO INOXIDABLE Color: PLATEADO Referencia:  Observacion:     Placa padre: I0001251Tipo adquisicion: Entidad</v>
      </c>
      <c r="G5771" s="5"/>
    </row>
    <row r="5772" spans="1:7" ht="58.5" customHeight="1" x14ac:dyDescent="0.25">
      <c r="A5772" s="5" t="str">
        <f>"I0001289"</f>
        <v>I0001289</v>
      </c>
      <c r="B5772" s="5" t="str">
        <f>"CUBETA DE ACERO INOXIDABLE MEDIANA"</f>
        <v>CUBETA DE ACERO INOXIDABLE MEDIANA</v>
      </c>
      <c r="C5772" s="6">
        <v>5421.11</v>
      </c>
      <c r="D5772" s="5"/>
      <c r="E5772" s="5" t="str">
        <f t="shared" si="296"/>
        <v>INSTRUMENTACION-DIANA CAICEDO-DIANA DIAZ</v>
      </c>
      <c r="F5772" s="5" t="str">
        <f>"Descripcion: CUBETA NIQUELADA  Estado: Bueno Placa anterior: 000019530 Material: ACERO INOXIDABLE Color: PLATEADO Referencia:  Observacion:     Placa padre: I0001251Tipo adquisicion: Entidad"</f>
        <v>Descripcion: CUBETA NIQUELADA  Estado: Bueno Placa anterior: 000019530 Material: ACERO INOXIDABLE Color: PLATEADO Referencia:  Observacion:     Placa padre: I0001251Tipo adquisicion: Entidad</v>
      </c>
      <c r="G5772" s="5"/>
    </row>
    <row r="5773" spans="1:7" ht="58.5" customHeight="1" x14ac:dyDescent="0.25">
      <c r="A5773" s="5" t="str">
        <f>"I0001290"</f>
        <v>I0001290</v>
      </c>
      <c r="B5773" s="5" t="str">
        <f>"EQUIPO DE CESAREA"</f>
        <v>EQUIPO DE CESAREA</v>
      </c>
      <c r="C5773" s="6">
        <v>1296000</v>
      </c>
      <c r="D5773" s="5"/>
      <c r="E5773" s="5" t="str">
        <f t="shared" si="296"/>
        <v>INSTRUMENTACION-DIANA CAICEDO-DIANA DIAZ</v>
      </c>
      <c r="F5773" s="5" t="str">
        <f>"Descripcion: EQUIPO DE CESAREA # 8 QUE CONSTA DE:  (1) MANGO DE BISTURI # 4  (1) TIJERA DE METZEMBAUM CURVA   (2) TIJERAS DE MAYO CURVAS (DIMEDA)  (2) SEPARADORES DE FARABEUF   (1) PINZA DE DISECCION RUSA   (1) PINZA DE DISECCION CON GARRA   (1) PINZA DE "&amp; "DISECCION SIN GARRA   (1) PINZAS KELLY RECTAS   (6) PINZAS KELLY CURVAS   (2) PINZAS ROCHESTER CURVAS  (2) PINZAS BACBOCK   (6) PINZAS ALLIX (DIMEDA)  (1) PORTA AGUJAS MEDIANO DE MAYO (DIMEDA)  (1) PINZA FOSTER (DIMEDA)  (1) CANULA  DE SUCCION (DIMEDA)  ("&amp; "1) VALVA DE MAYO   (4) PINZAS DE CAMPO   (2) PLATONES   (1) CUBETA NIQUELADA Estado: Bueno Placa anterior:  Material: ACERO INOXIDABLE Color: PLATEADO Referencia:  Observacion:     Placa padre: Tipo adquisicion: Entidad"</f>
        <v>Descripcion: EQUIPO DE CESAREA # 8 QUE CONSTA DE:  (1) MANGO DE BISTURI # 4  (1) TIJERA DE METZEMBAUM CURVA   (2) TIJERAS DE MAYO CURVAS (DIMEDA)  (2) SEPARADORES DE FARABEUF   (1) PINZA DE DISECCION RUSA   (1) PINZA DE DISECCION CON GARRA   (1) PINZA DE DISECCION SIN GARRA   (1) PINZAS KELLY RECTAS   (6) PINZAS KELLY CURVAS   (2) PINZAS ROCHESTER CURVAS  (2) PINZAS BACBOCK   (6) PINZAS ALLIX (DIMEDA)  (1) PORTA AGUJAS MEDIANO DE MAYO (DIMEDA)  (1) PINZA FOSTER (DIMEDA)  (1) CANULA  DE SUCCION (DIMEDA)  (1) VALVA DE MAYO   (4) PINZAS DE CAMPO   (2) PLATONES   (1) CUBETA NIQUELADA Estado: Bueno Placa anterior:  Material: ACERO INOXIDABLE Color: PLATEADO Referencia:  Observacion:     Placa padre: Tipo adquisicion: Entidad</v>
      </c>
      <c r="G5773" s="5"/>
    </row>
    <row r="5774" spans="1:7" ht="58.5" customHeight="1" x14ac:dyDescent="0.25">
      <c r="A5774" s="5" t="str">
        <f>"I0001292"</f>
        <v>I0001292</v>
      </c>
      <c r="B5774" s="5" t="str">
        <f>"TIJERA  DE METZEMBAUM CURVA"</f>
        <v>TIJERA  DE METZEMBAUM CURVA</v>
      </c>
      <c r="C5774" s="6">
        <v>52171</v>
      </c>
      <c r="D5774" s="5"/>
      <c r="E5774" s="5" t="str">
        <f t="shared" si="296"/>
        <v>INSTRUMENTACION-DIANA CAICEDO-DIANA DIAZ</v>
      </c>
      <c r="F5774" s="5" t="str">
        <f>"Descripcion: TIJERA DE METZEMBAUM CURVA  Estado: Bueno Placa anterior: 000023908 Material: ACERO INOXIDABLE Color: PLATEADO Referencia:  Observacion:     Placa padre: I0001290Tipo adquisicion: Entidad"</f>
        <v>Descripcion: TIJERA DE METZEMBAUM CURVA  Estado: Bueno Placa anterior: 000023908 Material: ACERO INOXIDABLE Color: PLATEADO Referencia:  Observacion:     Placa padre: I0001290Tipo adquisicion: Entidad</v>
      </c>
      <c r="G5774" s="5"/>
    </row>
    <row r="5775" spans="1:7" ht="58.5" customHeight="1" x14ac:dyDescent="0.25">
      <c r="A5775" s="5" t="str">
        <f>"I0001293"</f>
        <v>I0001293</v>
      </c>
      <c r="B5775" s="5" t="str">
        <f>"TIJERA MAYO CURVA"</f>
        <v>TIJERA MAYO CURVA</v>
      </c>
      <c r="C5775" s="6">
        <v>63800</v>
      </c>
      <c r="D5775" s="5"/>
      <c r="E5775" s="5" t="str">
        <f t="shared" si="296"/>
        <v>INSTRUMENTACION-DIANA CAICEDO-DIANA DIAZ</v>
      </c>
      <c r="F5775" s="5" t="str">
        <f>"Descripcion: TIJERAS DE MAYO CURVAS (DIMEDA) Estado: Bueno Placa anterior: 000032187 Material: ACERO INOXIDABLE Color: PLATEADO Referencia:  Observacion:     Placa padre: I0001290Tipo adquisicion: Entidad"</f>
        <v>Descripcion: TIJERAS DE MAYO CURVAS (DIMEDA) Estado: Bueno Placa anterior: 000032187 Material: ACERO INOXIDABLE Color: PLATEADO Referencia:  Observacion:     Placa padre: I0001290Tipo adquisicion: Entidad</v>
      </c>
      <c r="G5775" s="5"/>
    </row>
    <row r="5776" spans="1:7" ht="58.5" customHeight="1" x14ac:dyDescent="0.25">
      <c r="A5776" s="5" t="str">
        <f>"I0001294"</f>
        <v>I0001294</v>
      </c>
      <c r="B5776" s="5" t="str">
        <f>"TIJERA MAYO CURVA"</f>
        <v>TIJERA MAYO CURVA</v>
      </c>
      <c r="C5776" s="6">
        <v>63800</v>
      </c>
      <c r="D5776" s="5"/>
      <c r="E5776" s="5" t="str">
        <f t="shared" si="296"/>
        <v>INSTRUMENTACION-DIANA CAICEDO-DIANA DIAZ</v>
      </c>
      <c r="F5776" s="5" t="str">
        <f>"Descripcion: TIJERAS DE MAYO CURVAS (DIMEDA) Estado: Bueno Placa anterior: 000032181 Material: ACERO INOXIDABLE Color: PLATEADO Referencia:  Observacion:     Placa padre: I0001290Tipo adquisicion: Entidad"</f>
        <v>Descripcion: TIJERAS DE MAYO CURVAS (DIMEDA) Estado: Bueno Placa anterior: 000032181 Material: ACERO INOXIDABLE Color: PLATEADO Referencia:  Observacion:     Placa padre: I0001290Tipo adquisicion: Entidad</v>
      </c>
      <c r="G5776" s="5"/>
    </row>
    <row r="5777" spans="1:7" ht="58.5" customHeight="1" x14ac:dyDescent="0.25">
      <c r="A5777" s="5" t="str">
        <f>"I0001297"</f>
        <v>I0001297</v>
      </c>
      <c r="B5777" s="5" t="str">
        <f>"PINZA DE DISECCION SIN GARRA CORTA 20 CM"</f>
        <v>PINZA DE DISECCION SIN GARRA CORTA 20 CM</v>
      </c>
      <c r="C5777" s="6">
        <v>67280</v>
      </c>
      <c r="D5777" s="5"/>
      <c r="E5777" s="5" t="str">
        <f t="shared" si="296"/>
        <v>INSTRUMENTACION-DIANA CAICEDO-DIANA DIAZ</v>
      </c>
      <c r="F5777" s="5" t="str">
        <f>"Descripcion: PINZA DE DISECCION RUSA  Estado: Bueno Placa anterior: 000031986 Material: ACERO INOXIDABLE Color: PLATEADO Referencia:  Observacion:     Placa padre: I0001290Tipo adquisicion: Entidad"</f>
        <v>Descripcion: PINZA DE DISECCION RUSA  Estado: Bueno Placa anterior: 000031986 Material: ACERO INOXIDABLE Color: PLATEADO Referencia:  Observacion:     Placa padre: I0001290Tipo adquisicion: Entidad</v>
      </c>
      <c r="G5777" s="5"/>
    </row>
    <row r="5778" spans="1:7" ht="58.5" customHeight="1" x14ac:dyDescent="0.25">
      <c r="A5778" s="5" t="str">
        <f>"I0001298"</f>
        <v>I0001298</v>
      </c>
      <c r="B5778" s="5" t="str">
        <f>"PINZA DE DISECCION CON GARRA MEDIANA 25 CM"</f>
        <v>PINZA DE DISECCION CON GARRA MEDIANA 25 CM</v>
      </c>
      <c r="C5778" s="6">
        <v>18560</v>
      </c>
      <c r="D5778" s="5"/>
      <c r="E5778" s="5" t="str">
        <f t="shared" si="296"/>
        <v>INSTRUMENTACION-DIANA CAICEDO-DIANA DIAZ</v>
      </c>
      <c r="F5778" s="5" t="str">
        <f>"Descripcion: PINZA DE DISECCION CON GARRA Estado: Bueno Placa anterior: 000032272 Material: ACERO INOXIDABLE Color: PLATEADO Referencia:  Observacion:     Placa padre: I0001290Tipo adquisicion: Entidad"</f>
        <v>Descripcion: PINZA DE DISECCION CON GARRA Estado: Bueno Placa anterior: 000032272 Material: ACERO INOXIDABLE Color: PLATEADO Referencia:  Observacion:     Placa padre: I0001290Tipo adquisicion: Entidad</v>
      </c>
      <c r="G5778" s="5"/>
    </row>
    <row r="5779" spans="1:7" ht="58.5" customHeight="1" x14ac:dyDescent="0.25">
      <c r="A5779" s="5" t="str">
        <f>"I0001303"</f>
        <v>I0001303</v>
      </c>
      <c r="B5779" s="5" t="str">
        <f>"PINZA KELLY CURVA 16 CM"</f>
        <v>PINZA KELLY CURVA 16 CM</v>
      </c>
      <c r="C5779" s="6">
        <v>81200</v>
      </c>
      <c r="D5779" s="5"/>
      <c r="E5779" s="5" t="str">
        <f t="shared" si="296"/>
        <v>INSTRUMENTACION-DIANA CAICEDO-DIANA DIAZ</v>
      </c>
      <c r="F5779" s="5" t="str">
        <f>"Descripcion: PINZAS KELLY CURVAS  Estado: Bueno Placa anterior: 000036197 Material: ACERO INOXIDABLE Color: PLATEADO Referencia:  Observacion: PINZA PARA LIGADURAS  Placa padre: I0001290Tipo adquisicion: Entidad"</f>
        <v>Descripcion: PINZAS KELLY CURVAS  Estado: Bueno Placa anterior: 000036197 Material: ACERO INOXIDABLE Color: PLATEADO Referencia:  Observacion: PINZA PARA LIGADURAS  Placa padre: I0001290Tipo adquisicion: Entidad</v>
      </c>
      <c r="G5779" s="5"/>
    </row>
    <row r="5780" spans="1:7" ht="58.5" customHeight="1" x14ac:dyDescent="0.25">
      <c r="A5780" s="5" t="str">
        <f>"I0001304"</f>
        <v>I0001304</v>
      </c>
      <c r="B5780" s="5" t="str">
        <f>"PINZA KELLY CURVA 16 CM"</f>
        <v>PINZA KELLY CURVA 16 CM</v>
      </c>
      <c r="C5780" s="6">
        <v>81200</v>
      </c>
      <c r="D5780" s="5"/>
      <c r="E5780" s="5" t="str">
        <f t="shared" si="296"/>
        <v>INSTRUMENTACION-DIANA CAICEDO-DIANA DIAZ</v>
      </c>
      <c r="F5780" s="5" t="str">
        <f>"Descripcion: PINZAS KELLY CURVAS  Estado: Bueno Placa anterior: 000036201 Material: ACERO INOXIDABLE Color: PLATEADO Referencia:  Observacion: PINZA PARA LIGADURAS  Placa padre: I0001290Tipo adquisicion: Entidad"</f>
        <v>Descripcion: PINZAS KELLY CURVAS  Estado: Bueno Placa anterior: 000036201 Material: ACERO INOXIDABLE Color: PLATEADO Referencia:  Observacion: PINZA PARA LIGADURAS  Placa padre: I0001290Tipo adquisicion: Entidad</v>
      </c>
      <c r="G5780" s="5"/>
    </row>
    <row r="5781" spans="1:7" ht="58.5" customHeight="1" x14ac:dyDescent="0.25">
      <c r="A5781" s="5" t="str">
        <f>"I0001305"</f>
        <v>I0001305</v>
      </c>
      <c r="B5781" s="5" t="str">
        <f>"PINZA KELLY CURVA 16 CM"</f>
        <v>PINZA KELLY CURVA 16 CM</v>
      </c>
      <c r="C5781" s="6">
        <v>81200</v>
      </c>
      <c r="D5781" s="5"/>
      <c r="E5781" s="5" t="str">
        <f t="shared" si="296"/>
        <v>INSTRUMENTACION-DIANA CAICEDO-DIANA DIAZ</v>
      </c>
      <c r="F5781" s="5" t="str">
        <f>"Descripcion: PINZAS KELLY CURVAS  Estado: Bueno Placa anterior: 000036206 Material: ACERO INOXIDABLE Color: PLATEADO Referencia:  Observacion: PINZA PARA LIGADURAS  Placa padre: I0001290Tipo adquisicion: Entidad"</f>
        <v>Descripcion: PINZAS KELLY CURVAS  Estado: Bueno Placa anterior: 000036206 Material: ACERO INOXIDABLE Color: PLATEADO Referencia:  Observacion: PINZA PARA LIGADURAS  Placa padre: I0001290Tipo adquisicion: Entidad</v>
      </c>
      <c r="G5781" s="5"/>
    </row>
    <row r="5782" spans="1:7" ht="58.5" customHeight="1" x14ac:dyDescent="0.25">
      <c r="A5782" s="5" t="str">
        <f>"I0001306"</f>
        <v>I0001306</v>
      </c>
      <c r="B5782" s="5" t="str">
        <f>"PINZA KELLY CURVA 16 CM"</f>
        <v>PINZA KELLY CURVA 16 CM</v>
      </c>
      <c r="C5782" s="6">
        <v>81200</v>
      </c>
      <c r="D5782" s="5"/>
      <c r="E5782" s="5" t="str">
        <f t="shared" si="296"/>
        <v>INSTRUMENTACION-DIANA CAICEDO-DIANA DIAZ</v>
      </c>
      <c r="F5782" s="5" t="str">
        <f>"Descripcion: PINZAS KELLY CURVAS  Estado: Bueno Placa anterior: 000036203 Material: ACERO INOXIDABLE Color: PLATEADO Referencia:  Observacion: PINZA PARA LIGADURAS  Placa padre: I0001290Tipo adquisicion: Entidad"</f>
        <v>Descripcion: PINZAS KELLY CURVAS  Estado: Bueno Placa anterior: 000036203 Material: ACERO INOXIDABLE Color: PLATEADO Referencia:  Observacion: PINZA PARA LIGADURAS  Placa padre: I0001290Tipo adquisicion: Entidad</v>
      </c>
      <c r="G5782" s="5"/>
    </row>
    <row r="5783" spans="1:7" ht="58.5" customHeight="1" x14ac:dyDescent="0.25">
      <c r="A5783" s="5" t="str">
        <f>"I0001307"</f>
        <v>I0001307</v>
      </c>
      <c r="B5783" s="5" t="str">
        <f>"PINZA KELLY CURVA 16 CM"</f>
        <v>PINZA KELLY CURVA 16 CM</v>
      </c>
      <c r="C5783" s="6">
        <v>81200</v>
      </c>
      <c r="D5783" s="5"/>
      <c r="E5783" s="5" t="str">
        <f t="shared" si="296"/>
        <v>INSTRUMENTACION-DIANA CAICEDO-DIANA DIAZ</v>
      </c>
      <c r="F5783" s="5" t="str">
        <f>"Descripcion: PINZAS KELLY CURVAS  Estado: Bueno Placa anterior: 000036195 Material: ACERO INOXIDABLE Color: PLATEADO Referencia:  Observacion: PINZA PARA LIGADURAS  Placa padre: I0001290Tipo adquisicion: Entidad"</f>
        <v>Descripcion: PINZAS KELLY CURVAS  Estado: Bueno Placa anterior: 000036195 Material: ACERO INOXIDABLE Color: PLATEADO Referencia:  Observacion: PINZA PARA LIGADURAS  Placa padre: I0001290Tipo adquisicion: Entidad</v>
      </c>
      <c r="G5783" s="5"/>
    </row>
    <row r="5784" spans="1:7" ht="58.5" customHeight="1" x14ac:dyDescent="0.25">
      <c r="A5784" s="5" t="str">
        <f>"I0001308"</f>
        <v>I0001308</v>
      </c>
      <c r="B5784" s="5" t="str">
        <f>"PINZA ROCHESTER CURVA 25 CM"</f>
        <v>PINZA ROCHESTER CURVA 25 CM</v>
      </c>
      <c r="C5784" s="6">
        <v>54500</v>
      </c>
      <c r="D5784" s="5"/>
      <c r="E5784" s="5" t="str">
        <f t="shared" si="296"/>
        <v>INSTRUMENTACION-DIANA CAICEDO-DIANA DIAZ</v>
      </c>
      <c r="F5784" s="5" t="str">
        <f>"Descripcion: PINZAS ROCHESTER CURVAS Estado: Bueno Placa anterior: 000016078 Material: ACERO INOXIDABLE Color: PLATEADO Referencia:  Observacion:     Placa padre: I0001290Tipo adquisicion: Entidad"</f>
        <v>Descripcion: PINZAS ROCHESTER CURVAS Estado: Bueno Placa anterior: 000016078 Material: ACERO INOXIDABLE Color: PLATEADO Referencia:  Observacion:     Placa padre: I0001290Tipo adquisicion: Entidad</v>
      </c>
      <c r="G5784" s="5"/>
    </row>
    <row r="5785" spans="1:7" ht="58.5" customHeight="1" x14ac:dyDescent="0.25">
      <c r="A5785" s="5" t="str">
        <f>"I0001309"</f>
        <v>I0001309</v>
      </c>
      <c r="B5785" s="5" t="str">
        <f>"PINZA ROCHESTER CURVA 25 CM"</f>
        <v>PINZA ROCHESTER CURVA 25 CM</v>
      </c>
      <c r="C5785" s="6">
        <v>54500</v>
      </c>
      <c r="D5785" s="5"/>
      <c r="E5785" s="5" t="str">
        <f t="shared" si="296"/>
        <v>INSTRUMENTACION-DIANA CAICEDO-DIANA DIAZ</v>
      </c>
      <c r="F5785" s="5" t="str">
        <f>"Descripcion: PINZAS ROCHESTER CURVAS Estado: Bueno Placa anterior: 000016079 Material: ACERO INOXIDABLE Color: PLATEADO Referencia:  Observacion:     Placa padre: I0001290Tipo adquisicion: Entidad"</f>
        <v>Descripcion: PINZAS ROCHESTER CURVAS Estado: Bueno Placa anterior: 000016079 Material: ACERO INOXIDABLE Color: PLATEADO Referencia:  Observacion:     Placa padre: I0001290Tipo adquisicion: Entidad</v>
      </c>
      <c r="G5785" s="5"/>
    </row>
    <row r="5786" spans="1:7" ht="58.5" customHeight="1" x14ac:dyDescent="0.25">
      <c r="A5786" s="5" t="str">
        <f>"I0001318"</f>
        <v>I0001318</v>
      </c>
      <c r="B5786" s="5" t="str">
        <f>"PORTAGUJAS (PINZA)"</f>
        <v>PORTAGUJAS (PINZA)</v>
      </c>
      <c r="C5786" s="6">
        <v>81200</v>
      </c>
      <c r="D5786" s="5"/>
      <c r="E5786" s="5" t="str">
        <f t="shared" si="296"/>
        <v>INSTRUMENTACION-DIANA CAICEDO-DIANA DIAZ</v>
      </c>
      <c r="F5786" s="5" t="str">
        <f>"Descripcion: PORTA AGUJAS MEDIANO DE MAYO (DIMEDA) Estado: Bueno Placa anterior: 000032433 Material: ACERO INOXIDABLE Color: PLATEADO Referencia:  Observacion:     Placa padre: I0001290Tipo adquisicion: Entidad"</f>
        <v>Descripcion: PORTA AGUJAS MEDIANO DE MAYO (DIMEDA) Estado: Bueno Placa anterior: 000032433 Material: ACERO INOXIDABLE Color: PLATEADO Referencia:  Observacion:     Placa padre: I0001290Tipo adquisicion: Entidad</v>
      </c>
      <c r="G5786" s="5"/>
    </row>
    <row r="5787" spans="1:7" ht="58.5" customHeight="1" x14ac:dyDescent="0.25">
      <c r="A5787" s="5" t="str">
        <f>"I0001322"</f>
        <v>I0001322</v>
      </c>
      <c r="B5787" s="5" t="str">
        <f>"PINZA DE CAMPO"</f>
        <v>PINZA DE CAMPO</v>
      </c>
      <c r="C5787" s="6">
        <v>39440</v>
      </c>
      <c r="D5787" s="5"/>
      <c r="E5787" s="5" t="str">
        <f t="shared" si="296"/>
        <v>INSTRUMENTACION-DIANA CAICEDO-DIANA DIAZ</v>
      </c>
      <c r="F5787" s="5" t="str">
        <f>"Descripcion: PINZAS DE CAMPO  Estado: Bueno Placa anterior: 000031822 Material: ACERO INOXIDABLE Color: PLATEADO Referencia:  Observacion:     Placa padre: I0001290Tipo adquisicion: Entidad"</f>
        <v>Descripcion: PINZAS DE CAMPO  Estado: Bueno Placa anterior: 000031822 Material: ACERO INOXIDABLE Color: PLATEADO Referencia:  Observacion:     Placa padre: I0001290Tipo adquisicion: Entidad</v>
      </c>
      <c r="G5787" s="5"/>
    </row>
    <row r="5788" spans="1:7" ht="58.5" customHeight="1" x14ac:dyDescent="0.25">
      <c r="A5788" s="5" t="str">
        <f>"I0001323"</f>
        <v>I0001323</v>
      </c>
      <c r="B5788" s="5" t="str">
        <f>"PINZA DE CAMPO"</f>
        <v>PINZA DE CAMPO</v>
      </c>
      <c r="C5788" s="6">
        <v>39440</v>
      </c>
      <c r="D5788" s="5"/>
      <c r="E5788" s="5" t="str">
        <f t="shared" si="296"/>
        <v>INSTRUMENTACION-DIANA CAICEDO-DIANA DIAZ</v>
      </c>
      <c r="F5788" s="5" t="str">
        <f>"Descripcion: PINZAS DE CAMPO  Estado: Bueno Placa anterior: 000031823 Material: ACERO INOXIDABLE Color: PLATEADO Referencia:  Observacion:     Placa padre: I0001290Tipo adquisicion: Entidad"</f>
        <v>Descripcion: PINZAS DE CAMPO  Estado: Bueno Placa anterior: 000031823 Material: ACERO INOXIDABLE Color: PLATEADO Referencia:  Observacion:     Placa padre: I0001290Tipo adquisicion: Entidad</v>
      </c>
      <c r="G5788" s="5"/>
    </row>
    <row r="5789" spans="1:7" ht="58.5" customHeight="1" x14ac:dyDescent="0.25">
      <c r="A5789" s="5" t="str">
        <f>"I0001324"</f>
        <v>I0001324</v>
      </c>
      <c r="B5789" s="5" t="str">
        <f>"PINZA DE CAMPO"</f>
        <v>PINZA DE CAMPO</v>
      </c>
      <c r="C5789" s="6">
        <v>39440</v>
      </c>
      <c r="D5789" s="5"/>
      <c r="E5789" s="5" t="str">
        <f t="shared" si="296"/>
        <v>INSTRUMENTACION-DIANA CAICEDO-DIANA DIAZ</v>
      </c>
      <c r="F5789" s="5" t="str">
        <f>"Descripcion: PINZAS DE CAMPO  Estado: Bueno Placa anterior: 000031824 Material: ACERO INOXIDABLE Color: PLATEADO Referencia:  Observacion:     Placa padre: I0001290Tipo adquisicion: Entidad"</f>
        <v>Descripcion: PINZAS DE CAMPO  Estado: Bueno Placa anterior: 000031824 Material: ACERO INOXIDABLE Color: PLATEADO Referencia:  Observacion:     Placa padre: I0001290Tipo adquisicion: Entidad</v>
      </c>
      <c r="G5789" s="5"/>
    </row>
    <row r="5790" spans="1:7" ht="58.5" customHeight="1" x14ac:dyDescent="0.25">
      <c r="A5790" s="5" t="str">
        <f>"I0001329"</f>
        <v>I0001329</v>
      </c>
      <c r="B5790" s="5" t="str">
        <f>"EQUIPO DE LEGRADO"</f>
        <v>EQUIPO DE LEGRADO</v>
      </c>
      <c r="C5790" s="6">
        <v>156013.75</v>
      </c>
      <c r="D5790" s="5"/>
      <c r="E5790" s="5" t="str">
        <f t="shared" si="296"/>
        <v>INSTRUMENTACION-DIANA CAICEDO-DIANA DIAZ</v>
      </c>
      <c r="F5790" s="5" t="str">
        <f>"Descripcion: LEGRADO  QUIROFANOS # 1 QUE CONSTA DE:  (1) PINZA ALLIX  (0) PINZA DE BOZEMAN O CURACIÓN   (1) SONDA METALICA  (1) ESPECULO MEDIANO   (1) VALVA DE SIMS   (1) PINZA DE JACOBS  PARA CUELLO  (1) TENACULO PARA CUELLO  (0) HISTEROMETRO  (4) CURETA"&amp; "S SURTIDAS Estado: Bueno Placa anterior: 000012809 Material: ACERO INOXIDABLE Color: PLATEADO Referencia:  Observacion:     Placa padre: Tipo adquisicion: Entidad"</f>
        <v>Descripcion: LEGRADO  QUIROFANOS # 1 QUE CONSTA DE:  (1) PINZA ALLIX  (0) PINZA DE BOZEMAN O CURACIÓN   (1) SONDA METALICA  (1) ESPECULO MEDIANO   (1) VALVA DE SIMS   (1) PINZA DE JACOBS  PARA CUELLO  (1) TENACULO PARA CUELLO  (0) HISTEROMETRO  (4) CURETAS SURTIDAS Estado: Bueno Placa anterior: 000012809 Material: ACERO INOXIDABLE Color: PLATEADO Referencia:  Observacion:     Placa padre: Tipo adquisicion: Entidad</v>
      </c>
      <c r="G5790" s="5"/>
    </row>
    <row r="5791" spans="1:7" ht="58.5" customHeight="1" x14ac:dyDescent="0.25">
      <c r="A5791" s="5" t="str">
        <f>"I0001333"</f>
        <v>I0001333</v>
      </c>
      <c r="B5791" s="5" t="str">
        <f>"ESPECULO VAGINAL"</f>
        <v>ESPECULO VAGINAL</v>
      </c>
      <c r="C5791" s="6">
        <v>2798.68</v>
      </c>
      <c r="D5791" s="5"/>
      <c r="E5791" s="5" t="str">
        <f t="shared" ref="E5791:E5854" si="297">"INSTRUMENTACION-DIANA CAICEDO-DIANA DIAZ"</f>
        <v>INSTRUMENTACION-DIANA CAICEDO-DIANA DIAZ</v>
      </c>
      <c r="F5791" s="5" t="str">
        <f>"Descripcion: ESPECULO MEDIANO  Estado: Bueno Placa anterior: 000006766 Material: ACERO INOXIDABLE Color: PLATEADO Referencia:  Observacion:     Placa padre: I0001329Tipo adquisicion: Entidad"</f>
        <v>Descripcion: ESPECULO MEDIANO  Estado: Bueno Placa anterior: 000006766 Material: ACERO INOXIDABLE Color: PLATEADO Referencia:  Observacion:     Placa padre: I0001329Tipo adquisicion: Entidad</v>
      </c>
      <c r="G5791" s="5"/>
    </row>
    <row r="5792" spans="1:7" ht="58.5" customHeight="1" x14ac:dyDescent="0.25">
      <c r="A5792" s="5" t="str">
        <f>"I0001341"</f>
        <v>I0001341</v>
      </c>
      <c r="B5792" s="5" t="str">
        <f>"CURETA"</f>
        <v>CURETA</v>
      </c>
      <c r="C5792" s="6">
        <v>102080</v>
      </c>
      <c r="D5792" s="5"/>
      <c r="E5792" s="5" t="str">
        <f t="shared" si="297"/>
        <v>INSTRUMENTACION-DIANA CAICEDO-DIANA DIAZ</v>
      </c>
      <c r="F5792" s="5" t="str">
        <f>"Descripcion: CURETAS SURTIDAS  Estado: Bueno Placa anterior: 000032216 Material: ACERO INOXIDABLE Color: PLATEADO Referencia:  Observacion:     Placa padre: I0001329Tipo adquisicion: Entidad"</f>
        <v>Descripcion: CURETAS SURTIDAS  Estado: Bueno Placa anterior: 000032216 Material: ACERO INOXIDABLE Color: PLATEADO Referencia:  Observacion:     Placa padre: I0001329Tipo adquisicion: Entidad</v>
      </c>
      <c r="G5792" s="5"/>
    </row>
    <row r="5793" spans="1:7" ht="58.5" customHeight="1" x14ac:dyDescent="0.25">
      <c r="A5793" s="5" t="str">
        <f>"I0001342"</f>
        <v>I0001342</v>
      </c>
      <c r="B5793" s="5" t="str">
        <f>"CURETA"</f>
        <v>CURETA</v>
      </c>
      <c r="C5793" s="6">
        <v>102080</v>
      </c>
      <c r="D5793" s="5"/>
      <c r="E5793" s="5" t="str">
        <f t="shared" si="297"/>
        <v>INSTRUMENTACION-DIANA CAICEDO-DIANA DIAZ</v>
      </c>
      <c r="F5793" s="5" t="str">
        <f>"Descripcion: CURETAS SURTIDAS  Estado: Bueno Placa anterior: 000032217 Material: ACERO INOXIDABLE Color: PLATEADO Referencia:  Observacion:     Placa padre: I0001329Tipo adquisicion: Entidad"</f>
        <v>Descripcion: CURETAS SURTIDAS  Estado: Bueno Placa anterior: 000032217 Material: ACERO INOXIDABLE Color: PLATEADO Referencia:  Observacion:     Placa padre: I0001329Tipo adquisicion: Entidad</v>
      </c>
      <c r="G5793" s="5"/>
    </row>
    <row r="5794" spans="1:7" ht="58.5" customHeight="1" x14ac:dyDescent="0.25">
      <c r="A5794" s="5" t="str">
        <f>"I0001347"</f>
        <v>I0001347</v>
      </c>
      <c r="B5794" s="5" t="str">
        <f>"ESPECULO VAGINAL"</f>
        <v>ESPECULO VAGINAL</v>
      </c>
      <c r="C5794" s="6">
        <v>3222.26</v>
      </c>
      <c r="D5794" s="5"/>
      <c r="E5794" s="5" t="str">
        <f t="shared" si="297"/>
        <v>INSTRUMENTACION-DIANA CAICEDO-DIANA DIAZ</v>
      </c>
      <c r="F5794" s="5" t="str">
        <f>"Descripcion: ESPECULO MEDIANO  Estado: Bueno Placa anterior: 000006435 Material: ACERO INOXIDABLE Color: PLATEADO Referencia:  Observacion:     Placa padre: I0001343Tipo adquisicion: Entidad"</f>
        <v>Descripcion: ESPECULO MEDIANO  Estado: Bueno Placa anterior: 000006435 Material: ACERO INOXIDABLE Color: PLATEADO Referencia:  Observacion:     Placa padre: I0001343Tipo adquisicion: Entidad</v>
      </c>
      <c r="G5794" s="5"/>
    </row>
    <row r="5795" spans="1:7" ht="58.5" customHeight="1" x14ac:dyDescent="0.25">
      <c r="A5795" s="5" t="str">
        <f>"I0001358"</f>
        <v>I0001358</v>
      </c>
      <c r="B5795" s="5" t="str">
        <f>"ESPECULO VAGINAL"</f>
        <v>ESPECULO VAGINAL</v>
      </c>
      <c r="C5795" s="6">
        <v>2798.68</v>
      </c>
      <c r="D5795" s="5"/>
      <c r="E5795" s="5" t="str">
        <f t="shared" si="297"/>
        <v>INSTRUMENTACION-DIANA CAICEDO-DIANA DIAZ</v>
      </c>
      <c r="F5795" s="5" t="str">
        <f>"Descripcion: ESPÉCULO  VAGINAL   Estado: Bueno Placa anterior: 000006767 Material: ACERO INOXIDABLE Color: PLATEADO Referencia:  Observacion:     Placa padre: I0001357Tipo adquisicion: Entidad"</f>
        <v>Descripcion: ESPÉCULO  VAGINAL   Estado: Bueno Placa anterior: 000006767 Material: ACERO INOXIDABLE Color: PLATEADO Referencia:  Observacion:     Placa padre: I0001357Tipo adquisicion: Entidad</v>
      </c>
      <c r="G5795" s="5"/>
    </row>
    <row r="5796" spans="1:7" ht="58.5" customHeight="1" x14ac:dyDescent="0.25">
      <c r="A5796" s="5" t="str">
        <f>"I0001360"</f>
        <v>I0001360</v>
      </c>
      <c r="B5796" s="5" t="str">
        <f>"ESPECULO VAGINAL"</f>
        <v>ESPECULO VAGINAL</v>
      </c>
      <c r="C5796" s="6">
        <v>3222.26</v>
      </c>
      <c r="D5796" s="5"/>
      <c r="E5796" s="5" t="str">
        <f t="shared" si="297"/>
        <v>INSTRUMENTACION-DIANA CAICEDO-DIANA DIAZ</v>
      </c>
      <c r="F5796" s="5" t="str">
        <f>"Descripcion: ESPÉCULO  VAGINAL   Estado: Bueno Placa anterior: 000006443 Material: ACERO INOXIDABLE Color: PLATEADO Referencia:  Observacion:     Placa padre: I0001357Tipo adquisicion: Entidad"</f>
        <v>Descripcion: ESPÉCULO  VAGINAL   Estado: Bueno Placa anterior: 000006443 Material: ACERO INOXIDABLE Color: PLATEADO Referencia:  Observacion:     Placa padre: I0001357Tipo adquisicion: Entidad</v>
      </c>
      <c r="G5796" s="5"/>
    </row>
    <row r="5797" spans="1:7" ht="58.5" customHeight="1" x14ac:dyDescent="0.25">
      <c r="A5797" s="5" t="str">
        <f>"I0001361"</f>
        <v>I0001361</v>
      </c>
      <c r="B5797" s="5" t="str">
        <f>"PINZA"</f>
        <v>PINZA</v>
      </c>
      <c r="C5797" s="6">
        <v>152758</v>
      </c>
      <c r="D5797" s="5"/>
      <c r="E5797" s="5" t="str">
        <f t="shared" si="297"/>
        <v>INSTRUMENTACION-DIANA CAICEDO-DIANA DIAZ</v>
      </c>
      <c r="F5797" s="5" t="str">
        <f>"Descripcion: PINZAS DE HEANY  Estado: Bueno Placa anterior: 000023763 Material: ACERO INOXIDABLE Color: PLATEADO Referencia:  Observacion:     Placa padre: I0001357Tipo adquisicion: Entidad"</f>
        <v>Descripcion: PINZAS DE HEANY  Estado: Bueno Placa anterior: 000023763 Material: ACERO INOXIDABLE Color: PLATEADO Referencia:  Observacion:     Placa padre: I0001357Tipo adquisicion: Entidad</v>
      </c>
      <c r="G5797" s="5"/>
    </row>
    <row r="5798" spans="1:7" ht="58.5" customHeight="1" x14ac:dyDescent="0.25">
      <c r="A5798" s="5" t="str">
        <f>"I0001362"</f>
        <v>I0001362</v>
      </c>
      <c r="B5798" s="5" t="str">
        <f>"PINZA"</f>
        <v>PINZA</v>
      </c>
      <c r="C5798" s="6">
        <v>152758</v>
      </c>
      <c r="D5798" s="5"/>
      <c r="E5798" s="5" t="str">
        <f t="shared" si="297"/>
        <v>INSTRUMENTACION-DIANA CAICEDO-DIANA DIAZ</v>
      </c>
      <c r="F5798" s="5" t="str">
        <f>"Descripcion: PINZAS DE HEANY  Estado: Bueno Placa anterior: 000023764 Material: ACERO INOXIDABLE Color: PLATEADO Referencia:  Observacion:     Placa padre: I0001357Tipo adquisicion: Entidad"</f>
        <v>Descripcion: PINZAS DE HEANY  Estado: Bueno Placa anterior: 000023764 Material: ACERO INOXIDABLE Color: PLATEADO Referencia:  Observacion:     Placa padre: I0001357Tipo adquisicion: Entidad</v>
      </c>
      <c r="G5798" s="5"/>
    </row>
    <row r="5799" spans="1:7" ht="58.5" customHeight="1" x14ac:dyDescent="0.25">
      <c r="A5799" s="5" t="str">
        <f>"I0001363"</f>
        <v>I0001363</v>
      </c>
      <c r="B5799" s="5" t="str">
        <f>"PINZA"</f>
        <v>PINZA</v>
      </c>
      <c r="C5799" s="6">
        <v>152758</v>
      </c>
      <c r="D5799" s="5"/>
      <c r="E5799" s="5" t="str">
        <f t="shared" si="297"/>
        <v>INSTRUMENTACION-DIANA CAICEDO-DIANA DIAZ</v>
      </c>
      <c r="F5799" s="5" t="str">
        <f>"Descripcion: PINZAS DE HEANY  Estado: Bueno Placa anterior: 000023942 Material: ACERO INOXIDABLE Color: PLATEADO Referencia:  Observacion:     Placa padre: I0001357Tipo adquisicion: Entidad"</f>
        <v>Descripcion: PINZAS DE HEANY  Estado: Bueno Placa anterior: 000023942 Material: ACERO INOXIDABLE Color: PLATEADO Referencia:  Observacion:     Placa padre: I0001357Tipo adquisicion: Entidad</v>
      </c>
      <c r="G5799" s="5"/>
    </row>
    <row r="5800" spans="1:7" ht="58.5" customHeight="1" x14ac:dyDescent="0.25">
      <c r="A5800" s="5" t="str">
        <f>"I0001364"</f>
        <v>I0001364</v>
      </c>
      <c r="B5800" s="5" t="str">
        <f>"TIJERA (INSTRUMENTAL)"</f>
        <v>TIJERA (INSTRUMENTAL)</v>
      </c>
      <c r="C5800" s="6">
        <v>545200</v>
      </c>
      <c r="D5800" s="5"/>
      <c r="E5800" s="5" t="str">
        <f t="shared" si="297"/>
        <v>INSTRUMENTACION-DIANA CAICEDO-DIANA DIAZ</v>
      </c>
      <c r="F5800" s="5" t="str">
        <f>"Descripcion: TIJERA Estado: Bueno Placa anterior: 000032173 Material: ACERO INOXIDABLE Color: PLATEADO Referencia:  Observacion:     Placa padre: I0001357Tipo adquisicion: Entidad"</f>
        <v>Descripcion: TIJERA Estado: Bueno Placa anterior: 000032173 Material: ACERO INOXIDABLE Color: PLATEADO Referencia:  Observacion:     Placa padre: I0001357Tipo adquisicion: Entidad</v>
      </c>
      <c r="G5800" s="5"/>
    </row>
    <row r="5801" spans="1:7" ht="58.5" customHeight="1" x14ac:dyDescent="0.25">
      <c r="A5801" s="5" t="str">
        <f>"I0001365"</f>
        <v>I0001365</v>
      </c>
      <c r="B5801" s="5" t="str">
        <f>"PINZA"</f>
        <v>PINZA</v>
      </c>
      <c r="C5801" s="6">
        <v>152758</v>
      </c>
      <c r="D5801" s="5"/>
      <c r="E5801" s="5" t="str">
        <f t="shared" si="297"/>
        <v>INSTRUMENTACION-DIANA CAICEDO-DIANA DIAZ</v>
      </c>
      <c r="F5801" s="5" t="str">
        <f>"Descripcion: PINZAS DE HEANY  Estado: Bueno Placa anterior: 000023943 Material: ACERO INOXIDABLE Color: PLATEADO Referencia:  Observacion:     Placa padre: I0001357Tipo adquisicion: Entidad"</f>
        <v>Descripcion: PINZAS DE HEANY  Estado: Bueno Placa anterior: 000023943 Material: ACERO INOXIDABLE Color: PLATEADO Referencia:  Observacion:     Placa padre: I0001357Tipo adquisicion: Entidad</v>
      </c>
      <c r="G5801" s="5"/>
    </row>
    <row r="5802" spans="1:7" ht="58.5" customHeight="1" x14ac:dyDescent="0.25">
      <c r="A5802" s="5" t="str">
        <f>"I0001366"</f>
        <v>I0001366</v>
      </c>
      <c r="B5802" s="5" t="str">
        <f>"PINZA"</f>
        <v>PINZA</v>
      </c>
      <c r="C5802" s="6">
        <v>152758</v>
      </c>
      <c r="D5802" s="5"/>
      <c r="E5802" s="5" t="str">
        <f t="shared" si="297"/>
        <v>INSTRUMENTACION-DIANA CAICEDO-DIANA DIAZ</v>
      </c>
      <c r="F5802" s="5" t="str">
        <f>"Descripcion: PINZAS DE HEANY  Estado: Bueno Placa anterior: 000024451 Material: ACERO INOXIDABLE Color: PLATEADO Referencia:  Observacion:     Placa padre: I0001357Tipo adquisicion: Entidad"</f>
        <v>Descripcion: PINZAS DE HEANY  Estado: Bueno Placa anterior: 000024451 Material: ACERO INOXIDABLE Color: PLATEADO Referencia:  Observacion:     Placa padre: I0001357Tipo adquisicion: Entidad</v>
      </c>
      <c r="G5802" s="5"/>
    </row>
    <row r="5803" spans="1:7" ht="58.5" customHeight="1" x14ac:dyDescent="0.25">
      <c r="A5803" s="5" t="str">
        <f>"I0001367"</f>
        <v>I0001367</v>
      </c>
      <c r="B5803" s="5" t="str">
        <f>"PINZA"</f>
        <v>PINZA</v>
      </c>
      <c r="C5803" s="6">
        <v>152758</v>
      </c>
      <c r="D5803" s="5"/>
      <c r="E5803" s="5" t="str">
        <f t="shared" si="297"/>
        <v>INSTRUMENTACION-DIANA CAICEDO-DIANA DIAZ</v>
      </c>
      <c r="F5803" s="5" t="str">
        <f>"Descripcion: PINZAS DE HEANY  Estado: Bueno Placa anterior: 000024452 Material: ACERO INOXIDABLE Color: PLATEADO Referencia:  Observacion:     Placa padre: I0001357Tipo adquisicion: Entidad"</f>
        <v>Descripcion: PINZAS DE HEANY  Estado: Bueno Placa anterior: 000024452 Material: ACERO INOXIDABLE Color: PLATEADO Referencia:  Observacion:     Placa padre: I0001357Tipo adquisicion: Entidad</v>
      </c>
      <c r="G5803" s="5"/>
    </row>
    <row r="5804" spans="1:7" ht="58.5" customHeight="1" x14ac:dyDescent="0.25">
      <c r="A5804" s="5" t="str">
        <f>"I0001368"</f>
        <v>I0001368</v>
      </c>
      <c r="B5804" s="5" t="str">
        <f>"TIJERA (INSTRUMENTAL)"</f>
        <v>TIJERA (INSTRUMENTAL)</v>
      </c>
      <c r="C5804" s="6">
        <v>545200</v>
      </c>
      <c r="D5804" s="5"/>
      <c r="E5804" s="5" t="str">
        <f t="shared" si="297"/>
        <v>INSTRUMENTACION-DIANA CAICEDO-DIANA DIAZ</v>
      </c>
      <c r="F5804" s="5" t="str">
        <f>"Descripcion: TIJERA Estado: Bueno Placa anterior: 000032174 Material: ACERO INOXIDABLE Color: PLATEADO Referencia:  Observacion:     Placa padre: I0001357Tipo adquisicion: Entidad"</f>
        <v>Descripcion: TIJERA Estado: Bueno Placa anterior: 000032174 Material: ACERO INOXIDABLE Color: PLATEADO Referencia:  Observacion:     Placa padre: I0001357Tipo adquisicion: Entidad</v>
      </c>
      <c r="G5804" s="5"/>
    </row>
    <row r="5805" spans="1:7" ht="58.5" customHeight="1" x14ac:dyDescent="0.25">
      <c r="A5805" s="5" t="str">
        <f>"I0001374"</f>
        <v>I0001374</v>
      </c>
      <c r="B5805" s="5" t="str">
        <f>"ESPECULO VAGINAL"</f>
        <v>ESPECULO VAGINAL</v>
      </c>
      <c r="C5805" s="6">
        <v>3222.26</v>
      </c>
      <c r="D5805" s="5"/>
      <c r="E5805" s="5" t="str">
        <f t="shared" si="297"/>
        <v>INSTRUMENTACION-DIANA CAICEDO-DIANA DIAZ</v>
      </c>
      <c r="F5805" s="5" t="str">
        <f>"Descripcion: ESPECULO VIRGINAL  Estado: Bueno Placa anterior: 000006441 Material: ACERO INOXIDABLE Color: PLATEADO Referencia:  Observacion:     Placa padre: I0001357Tipo adquisicion: Entidad"</f>
        <v>Descripcion: ESPECULO VIRGINAL  Estado: Bueno Placa anterior: 000006441 Material: ACERO INOXIDABLE Color: PLATEADO Referencia:  Observacion:     Placa padre: I0001357Tipo adquisicion: Entidad</v>
      </c>
      <c r="G5805" s="5"/>
    </row>
    <row r="5806" spans="1:7" ht="58.5" customHeight="1" x14ac:dyDescent="0.25">
      <c r="A5806" s="5" t="str">
        <f>"I0001377"</f>
        <v>I0001377</v>
      </c>
      <c r="B5806" s="5" t="str">
        <f>"EQUIPO DE CIRUGÍA PLÁSTICA"</f>
        <v>EQUIPO DE CIRUGÍA PLÁSTICA</v>
      </c>
      <c r="C5806" s="6">
        <v>400000</v>
      </c>
      <c r="D5806" s="5"/>
      <c r="E5806" s="5" t="str">
        <f t="shared" si="297"/>
        <v>INSTRUMENTACION-DIANA CAICEDO-DIANA DIAZ</v>
      </c>
      <c r="F5806" s="5" t="str">
        <f>"Descripcion: EQUIPO DE CIRUGÍA PLÁSTICA # 1 QUE CONSTA DE:  (1) MANGO DE BISTURÍ # 3  (1) MANGO DE BISTURÍ # 4  (1) TIJERA DE STEVEN (DIMEDA)  (1) TIJERA DE METZENBAUM CURVA PLÁSTICA (DIMEDA)  (1) TIJERA DE MAYO RECTA (DIMEDA)  (2) SEPARADORES DE SENN MIL"&amp; "LER  (2) SEPARADORES DE BABY FARABEUF  (1) PINZA DE DISECCION ADSON CON GARRA (DIMEDA)  (1) PINZA DE DISECCION ADSON SIN GARRA  (1) PINZA DE DISECCION CORTA CON GARRA  (1) PINZA DE DISECCION CORTA SIN GARRA  (2) GANCHOS DE PIEL  (1) SONDA ACANALADA  (2) P"&amp; "INZA BABY MOSQUITO  (6) PINZAS MOSQUITOS CURVA(DIMEDA)  (3) PINZAS KELLY CURVAS  (2) PINZA ROCHESTER CURVAS (DIMEDA)  (2) PINZAS ALLIX  (3) PINZAS DE CAMPO (DIMEDA)  (0) PORTA AGUJAS PEQUEÑO  (1) PORTA AGUJAS FINO  (1) COCA PEQUEÑA  (1) CANULA DE SUCCIÓN "&amp; " (1) PLATON  NIQUELADO  (1) CUBETA DE INSTRUMENTAL NIQUELADA Estado: Bueno Placa anterior: 000012670 Material: ACERO INOXIDABLE Color: PLATEADO Referencia:  Observacion:     Placa padre: Tipo adquisicion: Entidad"</f>
        <v>Descripcion: EQUIPO DE CIRUGÍA PLÁSTICA # 1 QUE CONSTA DE:  (1) MANGO DE BISTURÍ # 3  (1) MANGO DE BISTURÍ # 4  (1) TIJERA DE STEVEN (DIMEDA)  (1) TIJERA DE METZENBAUM CURVA PLÁSTICA (DIMEDA)  (1) TIJERA DE MAYO RECTA (DIMEDA)  (2) SEPARADORES DE SENN MILLER  (2) SEPARADORES DE BABY FARABEUF  (1) PINZA DE DISECCION ADSON CON GARRA (DIMEDA)  (1) PINZA DE DISECCION ADSON SIN GARRA  (1) PINZA DE DISECCION CORTA CON GARRA  (1) PINZA DE DISECCION CORTA SIN GARRA  (2) GANCHOS DE PIEL  (1) SONDA ACANALADA  (2) PINZA BABY MOSQUITO  (6) PINZAS MOSQUITOS CURVA(DIMEDA)  (3) PINZAS KELLY CURVAS  (2) PINZA ROCHESTER CURVAS (DIMEDA)  (2) PINZAS ALLIX  (3) PINZAS DE CAMPO (DIMEDA)  (0) PORTA AGUJAS PEQUEÑO  (1) PORTA AGUJAS FINO  (1) COCA PEQUEÑA  (1) CANULA DE SUCCIÓN  (1) PLATON  NIQUELADO  (1) CUBETA DE INSTRUMENTAL NIQUELADA Estado: Bueno Placa anterior: 000012670 Material: ACERO INOXIDABLE Color: PLATEADO Referencia:  Observacion:     Placa padre: Tipo adquisicion: Entidad</v>
      </c>
      <c r="G5806" s="5"/>
    </row>
    <row r="5807" spans="1:7" ht="58.5" customHeight="1" x14ac:dyDescent="0.25">
      <c r="A5807" s="5" t="str">
        <f>"I0001378"</f>
        <v>I0001378</v>
      </c>
      <c r="B5807" s="5" t="str">
        <f>"MANGO PARA BISTURI #4"</f>
        <v>MANGO PARA BISTURI #4</v>
      </c>
      <c r="C5807" s="6">
        <v>15080</v>
      </c>
      <c r="D5807" s="5"/>
      <c r="E5807" s="5" t="str">
        <f t="shared" si="297"/>
        <v>INSTRUMENTACION-DIANA CAICEDO-DIANA DIAZ</v>
      </c>
      <c r="F5807" s="5" t="str">
        <f>"Descripcion: MANGO DE BISTURÍ # 3 Estado: Bueno Placa anterior: 000031853 Material: ACERO INOXIDABLE Color: PLATEADO Referencia:  Observacion:     Placa padre: I0001377Tipo adquisicion: Entidad"</f>
        <v>Descripcion: MANGO DE BISTURÍ # 3 Estado: Bueno Placa anterior: 000031853 Material: ACERO INOXIDABLE Color: PLATEADO Referencia:  Observacion:     Placa padre: I0001377Tipo adquisicion: Entidad</v>
      </c>
      <c r="G5807" s="5"/>
    </row>
    <row r="5808" spans="1:7" ht="58.5" customHeight="1" x14ac:dyDescent="0.25">
      <c r="A5808" s="5" t="str">
        <f>"I0001380"</f>
        <v>I0001380</v>
      </c>
      <c r="B5808" s="5" t="str">
        <f>"TIJERA (PINZA) DE STEVEN"</f>
        <v>TIJERA (PINZA) DE STEVEN</v>
      </c>
      <c r="C5808" s="6">
        <v>158920</v>
      </c>
      <c r="D5808" s="5"/>
      <c r="E5808" s="5" t="str">
        <f t="shared" si="297"/>
        <v>INSTRUMENTACION-DIANA CAICEDO-DIANA DIAZ</v>
      </c>
      <c r="F5808" s="5" t="str">
        <f>"Descripcion: TIJERA DE STEVEN (DIMEDA) Estado: Bueno Placa anterior: 000022331 Material: ACERO INOXIDABLE Color: PLATEADO Referencia:  Observacion:     Placa padre: I0001377Tipo adquisicion: Entidad"</f>
        <v>Descripcion: TIJERA DE STEVEN (DIMEDA) Estado: Bueno Placa anterior: 000022331 Material: ACERO INOXIDABLE Color: PLATEADO Referencia:  Observacion:     Placa padre: I0001377Tipo adquisicion: Entidad</v>
      </c>
      <c r="G5808" s="5"/>
    </row>
    <row r="5809" spans="1:7" ht="58.5" customHeight="1" x14ac:dyDescent="0.25">
      <c r="A5809" s="5" t="str">
        <f>"I0001382"</f>
        <v>I0001382</v>
      </c>
      <c r="B5809" s="5" t="str">
        <f>"TIJERA MAYO RECTA"</f>
        <v>TIJERA MAYO RECTA</v>
      </c>
      <c r="C5809" s="6">
        <v>52200</v>
      </c>
      <c r="D5809" s="5"/>
      <c r="E5809" s="5" t="str">
        <f t="shared" si="297"/>
        <v>INSTRUMENTACION-DIANA CAICEDO-DIANA DIAZ</v>
      </c>
      <c r="F5809" s="5" t="str">
        <f>"Descripcion: TIJERA DE MAYO RECTA (DIMEDA) Estado: Bueno Placa anterior: 000032194 Material: ACERO INOXIDABLE Color: PLATEADO Referencia:  Observacion:     Placa padre: I0001377Tipo adquisicion: Entidad"</f>
        <v>Descripcion: TIJERA DE MAYO RECTA (DIMEDA) Estado: Bueno Placa anterior: 000032194 Material: ACERO INOXIDABLE Color: PLATEADO Referencia:  Observacion:     Placa padre: I0001377Tipo adquisicion: Entidad</v>
      </c>
      <c r="G5809" s="5"/>
    </row>
    <row r="5810" spans="1:7" ht="58.5" customHeight="1" x14ac:dyDescent="0.25">
      <c r="A5810" s="5" t="str">
        <f>"I0001383"</f>
        <v>I0001383</v>
      </c>
      <c r="B5810" s="5" t="str">
        <f>"SEPARADOR DE SENN MILLER"</f>
        <v>SEPARADOR DE SENN MILLER</v>
      </c>
      <c r="C5810" s="6">
        <v>88160</v>
      </c>
      <c r="D5810" s="5"/>
      <c r="E5810" s="5" t="str">
        <f t="shared" si="297"/>
        <v>INSTRUMENTACION-DIANA CAICEDO-DIANA DIAZ</v>
      </c>
      <c r="F5810" s="5" t="str">
        <f>"Descripcion: SEPARADORES DE SENN MILLER Estado: Bueno Placa anterior: 000032036 Material: ACERO INOXIDABLE Color: PLATEADO Referencia:  Observacion:     Placa padre: I0001377Tipo adquisicion: Entidad"</f>
        <v>Descripcion: SEPARADORES DE SENN MILLER Estado: Bueno Placa anterior: 000032036 Material: ACERO INOXIDABLE Color: PLATEADO Referencia:  Observacion:     Placa padre: I0001377Tipo adquisicion: Entidad</v>
      </c>
      <c r="G5810" s="5"/>
    </row>
    <row r="5811" spans="1:7" ht="58.5" customHeight="1" x14ac:dyDescent="0.25">
      <c r="A5811" s="5" t="str">
        <f>"I0001384"</f>
        <v>I0001384</v>
      </c>
      <c r="B5811" s="5" t="str">
        <f>"SEPARADOR DE SENN MILLER"</f>
        <v>SEPARADOR DE SENN MILLER</v>
      </c>
      <c r="C5811" s="6">
        <v>88160</v>
      </c>
      <c r="D5811" s="5"/>
      <c r="E5811" s="5" t="str">
        <f t="shared" si="297"/>
        <v>INSTRUMENTACION-DIANA CAICEDO-DIANA DIAZ</v>
      </c>
      <c r="F5811" s="5" t="str">
        <f>"Descripcion: SEPARADORES DE SENN MILLER Estado: Bueno Placa anterior: 000032037 Material: ACERO INOXIDABLE Color: PLATEADO Referencia:  Observacion:     Placa padre: I0001377Tipo adquisicion: Entidad"</f>
        <v>Descripcion: SEPARADORES DE SENN MILLER Estado: Bueno Placa anterior: 000032037 Material: ACERO INOXIDABLE Color: PLATEADO Referencia:  Observacion:     Placa padre: I0001377Tipo adquisicion: Entidad</v>
      </c>
      <c r="G5811" s="5"/>
    </row>
    <row r="5812" spans="1:7" ht="58.5" customHeight="1" x14ac:dyDescent="0.25">
      <c r="A5812" s="5" t="str">
        <f>"I0001385"</f>
        <v>I0001385</v>
      </c>
      <c r="B5812" s="5" t="str">
        <f>"SEPARADOR DE FARABEUF PEDIATRICO"</f>
        <v>SEPARADOR DE FARABEUF PEDIATRICO</v>
      </c>
      <c r="C5812" s="6">
        <v>46400</v>
      </c>
      <c r="D5812" s="5"/>
      <c r="E5812" s="5" t="str">
        <f t="shared" si="297"/>
        <v>INSTRUMENTACION-DIANA CAICEDO-DIANA DIAZ</v>
      </c>
      <c r="F5812" s="5" t="str">
        <f>"Descripcion: SEPARADORES DE BABY FARABEUF Estado: Bueno Placa anterior: 000032026 Material: ACERO INOXIDABLE Color: PLATEADO Referencia:  Observacion:     Placa padre: I0001377Tipo adquisicion: Entidad"</f>
        <v>Descripcion: SEPARADORES DE BABY FARABEUF Estado: Bueno Placa anterior: 000032026 Material: ACERO INOXIDABLE Color: PLATEADO Referencia:  Observacion:     Placa padre: I0001377Tipo adquisicion: Entidad</v>
      </c>
      <c r="G5812" s="5"/>
    </row>
    <row r="5813" spans="1:7" ht="58.5" customHeight="1" x14ac:dyDescent="0.25">
      <c r="A5813" s="5" t="str">
        <f>"I0001386"</f>
        <v>I0001386</v>
      </c>
      <c r="B5813" s="5" t="str">
        <f>"SEPARADOR DE FARABEUF PEDIATRICO"</f>
        <v>SEPARADOR DE FARABEUF PEDIATRICO</v>
      </c>
      <c r="C5813" s="6">
        <v>46400</v>
      </c>
      <c r="D5813" s="5"/>
      <c r="E5813" s="5" t="str">
        <f t="shared" si="297"/>
        <v>INSTRUMENTACION-DIANA CAICEDO-DIANA DIAZ</v>
      </c>
      <c r="F5813" s="5" t="str">
        <f>"Descripcion: SEPARADORES DE BABY FARABEUF Estado: Bueno Placa anterior: 000032027 Material: ACERO INOXIDABLE Color: PLATEADO Referencia:  Observacion:     Placa padre: I0001377Tipo adquisicion: Entidad"</f>
        <v>Descripcion: SEPARADORES DE BABY FARABEUF Estado: Bueno Placa anterior: 000032027 Material: ACERO INOXIDABLE Color: PLATEADO Referencia:  Observacion:     Placa padre: I0001377Tipo adquisicion: Entidad</v>
      </c>
      <c r="G5813" s="5"/>
    </row>
    <row r="5814" spans="1:7" ht="58.5" customHeight="1" x14ac:dyDescent="0.25">
      <c r="A5814" s="5" t="str">
        <f>"I0001387"</f>
        <v>I0001387</v>
      </c>
      <c r="B5814" s="5" t="str">
        <f>"PINZA DE DISECCION SIN GARRA CORTA 20 CM"</f>
        <v>PINZA DE DISECCION SIN GARRA CORTA 20 CM</v>
      </c>
      <c r="C5814" s="6">
        <v>31320</v>
      </c>
      <c r="D5814" s="5"/>
      <c r="E5814" s="5" t="str">
        <f t="shared" si="297"/>
        <v>INSTRUMENTACION-DIANA CAICEDO-DIANA DIAZ</v>
      </c>
      <c r="F5814" s="5" t="str">
        <f>"Descripcion: PINZA DE DISECCION ADSON CON GARRA (DIMEDA) Estado: Bueno Placa anterior: 000032259 Material: ACERO INOXIDABLE Color: PLATEADO Referencia:  Observacion:     Placa padre: I0001377Tipo adquisicion: Entidad"</f>
        <v>Descripcion: PINZA DE DISECCION ADSON CON GARRA (DIMEDA) Estado: Bueno Placa anterior: 000032259 Material: ACERO INOXIDABLE Color: PLATEADO Referencia:  Observacion:     Placa padre: I0001377Tipo adquisicion: Entidad</v>
      </c>
      <c r="G5814" s="5"/>
    </row>
    <row r="5815" spans="1:7" ht="58.5" customHeight="1" x14ac:dyDescent="0.25">
      <c r="A5815" s="5" t="str">
        <f>"I0001388"</f>
        <v>I0001388</v>
      </c>
      <c r="B5815" s="5" t="str">
        <f>"PINZA DE DISECCION SIN GARRA CORTA 20 CM"</f>
        <v>PINZA DE DISECCION SIN GARRA CORTA 20 CM</v>
      </c>
      <c r="C5815" s="6">
        <v>38280</v>
      </c>
      <c r="D5815" s="5"/>
      <c r="E5815" s="5" t="str">
        <f t="shared" si="297"/>
        <v>INSTRUMENTACION-DIANA CAICEDO-DIANA DIAZ</v>
      </c>
      <c r="F5815" s="5" t="str">
        <f>"Descripcion: PINZA DE DISECCION ADSON SIN GARRA Estado: Bueno Placa anterior: 000031977 Material: ACERO INOXIDABLE Color: PLATEADO Referencia:  Observacion: PINZA DISECCION STANDARD Placa padre: I0001377Tipo adquisicion: Entidad"</f>
        <v>Descripcion: PINZA DE DISECCION ADSON SIN GARRA Estado: Bueno Placa anterior: 000031977 Material: ACERO INOXIDABLE Color: PLATEADO Referencia:  Observacion: PINZA DISECCION STANDARD Placa padre: I0001377Tipo adquisicion: Entidad</v>
      </c>
      <c r="G5815" s="5"/>
    </row>
    <row r="5816" spans="1:7" ht="58.5" customHeight="1" x14ac:dyDescent="0.25">
      <c r="A5816" s="5" t="str">
        <f>"I0001389"</f>
        <v>I0001389</v>
      </c>
      <c r="B5816" s="5" t="str">
        <f>"PINZA DE DISECCION CON GARRA MEDIANA 25 CM"</f>
        <v>PINZA DE DISECCION CON GARRA MEDIANA 25 CM</v>
      </c>
      <c r="C5816" s="6">
        <v>18560</v>
      </c>
      <c r="D5816" s="5"/>
      <c r="E5816" s="5" t="str">
        <f t="shared" si="297"/>
        <v>INSTRUMENTACION-DIANA CAICEDO-DIANA DIAZ</v>
      </c>
      <c r="F5816" s="5" t="str">
        <f>"Descripcion: PINZA DE DISECCION CORTA CON GARRA Estado: Bueno Placa anterior: 000032273 Material: ACERO INOXIDABLE Color: PLATEADO Referencia:  Observacion:     Placa padre: I0001377Tipo adquisicion: Entidad"</f>
        <v>Descripcion: PINZA DE DISECCION CORTA CON GARRA Estado: Bueno Placa anterior: 000032273 Material: ACERO INOXIDABLE Color: PLATEADO Referencia:  Observacion:     Placa padre: I0001377Tipo adquisicion: Entidad</v>
      </c>
      <c r="G5816" s="5"/>
    </row>
    <row r="5817" spans="1:7" ht="58.5" customHeight="1" x14ac:dyDescent="0.25">
      <c r="A5817" s="5" t="str">
        <f>"I0001390"</f>
        <v>I0001390</v>
      </c>
      <c r="B5817" s="5" t="str">
        <f>"PINZA DE DISECCION SIN GARRA LARGA 25 CM"</f>
        <v>PINZA DE DISECCION SIN GARRA LARGA 25 CM</v>
      </c>
      <c r="C5817" s="6">
        <v>17400</v>
      </c>
      <c r="D5817" s="5"/>
      <c r="E5817" s="5" t="str">
        <f t="shared" si="297"/>
        <v>INSTRUMENTACION-DIANA CAICEDO-DIANA DIAZ</v>
      </c>
      <c r="F5817" s="5" t="str">
        <f>"Descripcion: PINZA DE DISECCION CORTA SIN GARRA Estado: Bueno Placa anterior: 000032285 Material: ACERO INOXIDABLE Color: PLATEADO Referencia:  Observacion:     Placa padre: I0001377Tipo adquisicion: Entidad"</f>
        <v>Descripcion: PINZA DE DISECCION CORTA SIN GARRA Estado: Bueno Placa anterior: 000032285 Material: ACERO INOXIDABLE Color: PLATEADO Referencia:  Observacion:     Placa padre: I0001377Tipo adquisicion: Entidad</v>
      </c>
      <c r="G5817" s="5"/>
    </row>
    <row r="5818" spans="1:7" ht="58.5" customHeight="1" x14ac:dyDescent="0.25">
      <c r="A5818" s="5" t="str">
        <f>"I0001391"</f>
        <v>I0001391</v>
      </c>
      <c r="B5818" s="5" t="str">
        <f>"GANCHO (INSTRUMENTAL)"</f>
        <v>GANCHO (INSTRUMENTAL)</v>
      </c>
      <c r="C5818" s="6">
        <v>97739</v>
      </c>
      <c r="D5818" s="5"/>
      <c r="E5818" s="5" t="str">
        <f t="shared" si="297"/>
        <v>INSTRUMENTACION-DIANA CAICEDO-DIANA DIAZ</v>
      </c>
      <c r="F5818" s="5" t="str">
        <f>"Descripcion: GANCHOS DE PIEL Estado: Bueno Placa anterior: 000023792 Material: ACERO INOXIDABLE Color: PLATEADO Referencia:  Observacion:     Placa padre: I0001377Tipo adquisicion: Entidad"</f>
        <v>Descripcion: GANCHOS DE PIEL Estado: Bueno Placa anterior: 000023792 Material: ACERO INOXIDABLE Color: PLATEADO Referencia:  Observacion:     Placa padre: I0001377Tipo adquisicion: Entidad</v>
      </c>
      <c r="G5818" s="5"/>
    </row>
    <row r="5819" spans="1:7" ht="58.5" customHeight="1" x14ac:dyDescent="0.25">
      <c r="A5819" s="5" t="str">
        <f>"I0001392"</f>
        <v>I0001392</v>
      </c>
      <c r="B5819" s="5" t="str">
        <f>"GANCHO (INSTRUMENTAL)"</f>
        <v>GANCHO (INSTRUMENTAL)</v>
      </c>
      <c r="C5819" s="6">
        <v>97739</v>
      </c>
      <c r="D5819" s="5"/>
      <c r="E5819" s="5" t="str">
        <f t="shared" si="297"/>
        <v>INSTRUMENTACION-DIANA CAICEDO-DIANA DIAZ</v>
      </c>
      <c r="F5819" s="5" t="str">
        <f>"Descripcion: GANCHOS DE PIEL Estado: Bueno Placa anterior: 000023793 Material: ACERO INOXIDABLE Color: PLATEADO Referencia:  Observacion:     Placa padre: I0001377Tipo adquisicion: Entidad"</f>
        <v>Descripcion: GANCHOS DE PIEL Estado: Bueno Placa anterior: 000023793 Material: ACERO INOXIDABLE Color: PLATEADO Referencia:  Observacion:     Placa padre: I0001377Tipo adquisicion: Entidad</v>
      </c>
      <c r="G5819" s="5"/>
    </row>
    <row r="5820" spans="1:7" ht="58.5" customHeight="1" x14ac:dyDescent="0.25">
      <c r="A5820" s="5" t="str">
        <f>"I0001394"</f>
        <v>I0001394</v>
      </c>
      <c r="B5820" s="5" t="str">
        <f>"PINZA BABY MOSQUITOS CURVA 10 CM"</f>
        <v>PINZA BABY MOSQUITOS CURVA 10 CM</v>
      </c>
      <c r="C5820" s="6">
        <v>41943</v>
      </c>
      <c r="D5820" s="5"/>
      <c r="E5820" s="5" t="str">
        <f t="shared" si="297"/>
        <v>INSTRUMENTACION-DIANA CAICEDO-DIANA DIAZ</v>
      </c>
      <c r="F5820" s="5" t="str">
        <f>"Descripcion: PINZA BABY MOSQUITO Estado: Bueno Placa anterior: 000024013 Material: ACERO INOXIDABLE Color: PLATEADO Referencia:  Observacion:     Placa padre: I0001377Tipo adquisicion: Entidad"</f>
        <v>Descripcion: PINZA BABY MOSQUITO Estado: Bueno Placa anterior: 000024013 Material: ACERO INOXIDABLE Color: PLATEADO Referencia:  Observacion:     Placa padre: I0001377Tipo adquisicion: Entidad</v>
      </c>
      <c r="G5820" s="5"/>
    </row>
    <row r="5821" spans="1:7" ht="58.5" customHeight="1" x14ac:dyDescent="0.25">
      <c r="A5821" s="5" t="str">
        <f>"I0001396"</f>
        <v>I0001396</v>
      </c>
      <c r="B5821" s="5" t="str">
        <f>"PINZA MOSQUITO CURVA 12 CM"</f>
        <v>PINZA MOSQUITO CURVA 12 CM</v>
      </c>
      <c r="C5821" s="6">
        <v>39440</v>
      </c>
      <c r="D5821" s="5"/>
      <c r="E5821" s="5" t="str">
        <f t="shared" si="297"/>
        <v>INSTRUMENTACION-DIANA CAICEDO-DIANA DIAZ</v>
      </c>
      <c r="F5821" s="5" t="str">
        <f>"Descripcion: PINZAS MOSQUITOS CURVA(DIMEDA) Estado: Bueno Placa anterior: 000036238 Material: ACERO INOXIDABLE Color: PLATEADO Referencia:  Observacion:     Placa padre: I0001377Tipo adquisicion: Entidad"</f>
        <v>Descripcion: PINZAS MOSQUITOS CURVA(DIMEDA) Estado: Bueno Placa anterior: 000036238 Material: ACERO INOXIDABLE Color: PLATEADO Referencia:  Observacion:     Placa padre: I0001377Tipo adquisicion: Entidad</v>
      </c>
      <c r="G5821" s="5"/>
    </row>
    <row r="5822" spans="1:7" ht="58.5" customHeight="1" x14ac:dyDescent="0.25">
      <c r="A5822" s="5" t="str">
        <f>"I0001397"</f>
        <v>I0001397</v>
      </c>
      <c r="B5822" s="5" t="str">
        <f>"PINZA MOSQUITO CURVA 12 CM"</f>
        <v>PINZA MOSQUITO CURVA 12 CM</v>
      </c>
      <c r="C5822" s="6">
        <v>39440</v>
      </c>
      <c r="D5822" s="5"/>
      <c r="E5822" s="5" t="str">
        <f t="shared" si="297"/>
        <v>INSTRUMENTACION-DIANA CAICEDO-DIANA DIAZ</v>
      </c>
      <c r="F5822" s="5" t="str">
        <f>"Descripcion: PINZAS MOSQUITOS CURVA(DIMEDA) Estado: Bueno Placa anterior: 000036239 Material: ACERO INOXIDABLE Color: PLATEADO Referencia:  Observacion:     Placa padre: I0001377Tipo adquisicion: Entidad"</f>
        <v>Descripcion: PINZAS MOSQUITOS CURVA(DIMEDA) Estado: Bueno Placa anterior: 000036239 Material: ACERO INOXIDABLE Color: PLATEADO Referencia:  Observacion:     Placa padre: I0001377Tipo adquisicion: Entidad</v>
      </c>
      <c r="G5822" s="5"/>
    </row>
    <row r="5823" spans="1:7" ht="58.5" customHeight="1" x14ac:dyDescent="0.25">
      <c r="A5823" s="5" t="str">
        <f>"I0001398"</f>
        <v>I0001398</v>
      </c>
      <c r="B5823" s="5" t="str">
        <f>"PINZA MOSQUITO CURVA 12 CM"</f>
        <v>PINZA MOSQUITO CURVA 12 CM</v>
      </c>
      <c r="C5823" s="6">
        <v>39440</v>
      </c>
      <c r="D5823" s="5"/>
      <c r="E5823" s="5" t="str">
        <f t="shared" si="297"/>
        <v>INSTRUMENTACION-DIANA CAICEDO-DIANA DIAZ</v>
      </c>
      <c r="F5823" s="5" t="str">
        <f>"Descripcion: PINZAS MOSQUITOS CURVA(DIMEDA) Estado: Bueno Placa anterior: 000036240 Material: ACERO INOXIDABLE Color: PLATEADO Referencia:  Observacion:     Placa padre: I0001377Tipo adquisicion: Entidad"</f>
        <v>Descripcion: PINZAS MOSQUITOS CURVA(DIMEDA) Estado: Bueno Placa anterior: 000036240 Material: ACERO INOXIDABLE Color: PLATEADO Referencia:  Observacion:     Placa padre: I0001377Tipo adquisicion: Entidad</v>
      </c>
      <c r="G5823" s="5"/>
    </row>
    <row r="5824" spans="1:7" ht="58.5" customHeight="1" x14ac:dyDescent="0.25">
      <c r="A5824" s="5" t="str">
        <f>"I0001399"</f>
        <v>I0001399</v>
      </c>
      <c r="B5824" s="5" t="str">
        <f>"PINZA MOSQUITO CURVA 12 CM"</f>
        <v>PINZA MOSQUITO CURVA 12 CM</v>
      </c>
      <c r="C5824" s="6">
        <v>39440</v>
      </c>
      <c r="D5824" s="5"/>
      <c r="E5824" s="5" t="str">
        <f t="shared" si="297"/>
        <v>INSTRUMENTACION-DIANA CAICEDO-DIANA DIAZ</v>
      </c>
      <c r="F5824" s="5" t="str">
        <f>"Descripcion: PINZAS MOSQUITOS CURVA(DIMEDA) Estado: Bueno Placa anterior: 000036241 Material: ACERO INOXIDABLE Color: PLATEADO Referencia:  Observacion:     Placa padre: I0001377Tipo adquisicion: Entidad"</f>
        <v>Descripcion: PINZAS MOSQUITOS CURVA(DIMEDA) Estado: Bueno Placa anterior: 000036241 Material: ACERO INOXIDABLE Color: PLATEADO Referencia:  Observacion:     Placa padre: I0001377Tipo adquisicion: Entidad</v>
      </c>
      <c r="G5824" s="5"/>
    </row>
    <row r="5825" spans="1:7" ht="58.5" customHeight="1" x14ac:dyDescent="0.25">
      <c r="A5825" s="5" t="str">
        <f>"I0001408"</f>
        <v>I0001408</v>
      </c>
      <c r="B5825" s="5" t="str">
        <f>"PINZA ROCHESTER CURVA 25 CM"</f>
        <v>PINZA ROCHESTER CURVA 25 CM</v>
      </c>
      <c r="C5825" s="6">
        <v>98948</v>
      </c>
      <c r="D5825" s="5"/>
      <c r="E5825" s="5" t="str">
        <f t="shared" si="297"/>
        <v>INSTRUMENTACION-DIANA CAICEDO-DIANA DIAZ</v>
      </c>
      <c r="F5825" s="5" t="str">
        <f>"Descripcion: PINZA ROCHESTER CURVAS (DIMEDA) Estado: Bueno Placa anterior: 000023167 Material: ACERO INOXIDABLE Color: PLATEADO Referencia:  Observacion: PINZA ROCHER-OCHSNER 6 1/4 PEQUEÑA 6 1/4 CURVA 7-160 (INSTRUMENTAL PARA ORTOPEDIA)  Placa padre: I000"&amp; "1377Tipo adquisicion: Entidad"</f>
        <v>Descripcion: PINZA ROCHESTER CURVAS (DIMEDA) Estado: Bueno Placa anterior: 000023167 Material: ACERO INOXIDABLE Color: PLATEADO Referencia:  Observacion: PINZA ROCHER-OCHSNER 6 1/4 PEQUEÑA 6 1/4 CURVA 7-160 (INSTRUMENTAL PARA ORTOPEDIA)  Placa padre: I0001377Tipo adquisicion: Entidad</v>
      </c>
      <c r="G5825" s="5"/>
    </row>
    <row r="5826" spans="1:7" ht="58.5" customHeight="1" x14ac:dyDescent="0.25">
      <c r="A5826" s="5" t="str">
        <f>"I0001409"</f>
        <v>I0001409</v>
      </c>
      <c r="B5826" s="5" t="str">
        <f>"PINZA ROCHESTER CURVA 25 CM"</f>
        <v>PINZA ROCHESTER CURVA 25 CM</v>
      </c>
      <c r="C5826" s="6">
        <v>98948</v>
      </c>
      <c r="D5826" s="5"/>
      <c r="E5826" s="5" t="str">
        <f t="shared" si="297"/>
        <v>INSTRUMENTACION-DIANA CAICEDO-DIANA DIAZ</v>
      </c>
      <c r="F5826" s="5" t="str">
        <f>"Descripcion: PINZA ROCHESTER CURVAS (DIMEDA) Estado: Bueno Placa anterior: 000023166 Material: ACERO INOXIDABLE Color: PLATEADO Referencia:  Observacion: PINZA ROCHER-OCHSNER 6 1/4 PEQUEÑA 6 1/4 CURVA 7-160 (INSTRUMENTAL PARA ORTOPEDIA)  Placa padre: I000"&amp; "1377Tipo adquisicion: Entidad"</f>
        <v>Descripcion: PINZA ROCHESTER CURVAS (DIMEDA) Estado: Bueno Placa anterior: 000023166 Material: ACERO INOXIDABLE Color: PLATEADO Referencia:  Observacion: PINZA ROCHER-OCHSNER 6 1/4 PEQUEÑA 6 1/4 CURVA 7-160 (INSTRUMENTAL PARA ORTOPEDIA)  Placa padre: I0001377Tipo adquisicion: Entidad</v>
      </c>
      <c r="G5826" s="5"/>
    </row>
    <row r="5827" spans="1:7" ht="58.5" customHeight="1" x14ac:dyDescent="0.25">
      <c r="A5827" s="5" t="str">
        <f>"I0001416"</f>
        <v>I0001416</v>
      </c>
      <c r="B5827" s="5" t="str">
        <f>"PORTAGUJAS (PINZA)"</f>
        <v>PORTAGUJAS (PINZA)</v>
      </c>
      <c r="C5827" s="6">
        <v>63800</v>
      </c>
      <c r="D5827" s="5"/>
      <c r="E5827" s="5" t="str">
        <f t="shared" si="297"/>
        <v>INSTRUMENTACION-DIANA CAICEDO-DIANA DIAZ</v>
      </c>
      <c r="F5827" s="5" t="str">
        <f>"Descripcion: PORTA AGUJAS PEQUEÑO Estado: Bueno Placa anterior: 000032452 Material: ACERO INOXIDABLE Color: PLATEADO Referencia:  Observacion:     Placa padre: I0001377Tipo adquisicion: Entidad"</f>
        <v>Descripcion: PORTA AGUJAS PEQUEÑO Estado: Bueno Placa anterior: 000032452 Material: ACERO INOXIDABLE Color: PLATEADO Referencia:  Observacion:     Placa padre: I0001377Tipo adquisicion: Entidad</v>
      </c>
      <c r="G5827" s="5"/>
    </row>
    <row r="5828" spans="1:7" ht="58.5" customHeight="1" x14ac:dyDescent="0.25">
      <c r="A5828" s="5" t="str">
        <f>"I0001418"</f>
        <v>I0001418</v>
      </c>
      <c r="B5828" s="5" t="str">
        <f>"COCAS EN ACERO INOXIDABLE (ENTREGAR DOSIS DE MEDICINA)"</f>
        <v>COCAS EN ACERO INOXIDABLE (ENTREGAR DOSIS DE MEDICINA)</v>
      </c>
      <c r="C5828" s="6">
        <v>6000</v>
      </c>
      <c r="D5828" s="5"/>
      <c r="E5828" s="5" t="str">
        <f t="shared" si="297"/>
        <v>INSTRUMENTACION-DIANA CAICEDO-DIANA DIAZ</v>
      </c>
      <c r="F5828" s="5" t="str">
        <f>"Descripcion: COCA PEQUEÑA Estado: Bueno Placa anterior: 000016197 Material: ACERO INOXIDABLE Color: PLATEADO Referencia:  Observacion:     Placa padre: I0001377Tipo adquisicion: Entidad"</f>
        <v>Descripcion: COCA PEQUEÑA Estado: Bueno Placa anterior: 000016197 Material: ACERO INOXIDABLE Color: PLATEADO Referencia:  Observacion:     Placa padre: I0001377Tipo adquisicion: Entidad</v>
      </c>
      <c r="G5828" s="5"/>
    </row>
    <row r="5829" spans="1:7" ht="58.5" customHeight="1" x14ac:dyDescent="0.25">
      <c r="A5829" s="5" t="str">
        <f>"I0001422"</f>
        <v>I0001422</v>
      </c>
      <c r="B5829" s="5" t="str">
        <f>"EQUIPO DE CIRUGÍA PLÁSTICA"</f>
        <v>EQUIPO DE CIRUGÍA PLÁSTICA</v>
      </c>
      <c r="C5829" s="6">
        <v>400000</v>
      </c>
      <c r="D5829" s="5"/>
      <c r="E5829" s="5" t="str">
        <f t="shared" si="297"/>
        <v>INSTRUMENTACION-DIANA CAICEDO-DIANA DIAZ</v>
      </c>
      <c r="F5829" s="5" t="str">
        <f>"Descripcion: EQUIPO DE CIRUGÍA PLÁSTICA # 2 QUE CONSTA DE:  (1) MANGO DE BISTURÍ # 3  (1) MANGO DE BISTURÍ # 4  (1) TIJERA DE STEVEN (DIMEDA)  (1) TIJERA DE METZENBAUM CURVA PLÁSTICA (DIMEDA)  (1) TIJERA DE MAYO RECTA (DIMEDA)  (2) SEPARADORES DE SENN MIL"&amp; "LER  (2) SEPARADORES DE BABY FARABEUF  (1) PINZA DE DISECCION ADSON CON GARRA (DIMEDA)  (1) PINZA DE DISECCION ADSON SIN GARRA  (1) PINZA DE DISECCION CORTA CON GARRA  (1) PINZA DE DISECCION CORTA SIN GARRA  (2) GANCHOS DE PIEL  (1) SONDA ACANALADA  (1) P"&amp; "INZA BABY MOSQUITO  (6) PINZAS MOSQUITOS CURVA(DIMEDA)  (3) PINZAS KELLY CURVAS  (2) PINZA ROCHESTER CURVAS (DIMEDA)  (2) PINZAS ALLIX  (3) PINZAS DE CAMPO (DIMEDA)  (0) PORTA AGUJAS PEQUEÑO  (1) PORTA AGUJAS FINO  (1) COCA PEQUEÑA  (1) CANULA DE SUCCIÓN "&amp; " (1) PLATON  NIQUELADO  (1) CUBETA DE INSTRUMENTAL NIQUELADA Estado: Bueno Placa anterior: 000012671 Material: ACERO INOXIDABLE Color: PLATEADO Referencia:  Observacion:     Placa padre: Tipo adquisicion: Entidad"</f>
        <v>Descripcion: EQUIPO DE CIRUGÍA PLÁSTICA # 2 QUE CONSTA DE:  (1) MANGO DE BISTURÍ # 3  (1) MANGO DE BISTURÍ # 4  (1) TIJERA DE STEVEN (DIMEDA)  (1) TIJERA DE METZENBAUM CURVA PLÁSTICA (DIMEDA)  (1) TIJERA DE MAYO RECTA (DIMEDA)  (2) SEPARADORES DE SENN MILLER  (2) SEPARADORES DE BABY FARABEUF  (1) PINZA DE DISECCION ADSON CON GARRA (DIMEDA)  (1) PINZA DE DISECCION ADSON SIN GARRA  (1) PINZA DE DISECCION CORTA CON GARRA  (1) PINZA DE DISECCION CORTA SIN GARRA  (2) GANCHOS DE PIEL  (1) SONDA ACANALADA  (1) PINZA BABY MOSQUITO  (6) PINZAS MOSQUITOS CURVA(DIMEDA)  (3) PINZAS KELLY CURVAS  (2) PINZA ROCHESTER CURVAS (DIMEDA)  (2) PINZAS ALLIX  (3) PINZAS DE CAMPO (DIMEDA)  (0) PORTA AGUJAS PEQUEÑO  (1) PORTA AGUJAS FINO  (1) COCA PEQUEÑA  (1) CANULA DE SUCCIÓN  (1) PLATON  NIQUELADO  (1) CUBETA DE INSTRUMENTAL NIQUELADA Estado: Bueno Placa anterior: 000012671 Material: ACERO INOXIDABLE Color: PLATEADO Referencia:  Observacion:     Placa padre: Tipo adquisicion: Entidad</v>
      </c>
      <c r="G5829" s="5"/>
    </row>
    <row r="5830" spans="1:7" ht="58.5" customHeight="1" x14ac:dyDescent="0.25">
      <c r="A5830" s="5" t="str">
        <f>"I0001423"</f>
        <v>I0001423</v>
      </c>
      <c r="B5830" s="5" t="str">
        <f>"MANGO PARA BISTURI #4"</f>
        <v>MANGO PARA BISTURI #4</v>
      </c>
      <c r="C5830" s="6">
        <v>15080</v>
      </c>
      <c r="D5830" s="5"/>
      <c r="E5830" s="5" t="str">
        <f t="shared" si="297"/>
        <v>INSTRUMENTACION-DIANA CAICEDO-DIANA DIAZ</v>
      </c>
      <c r="F5830" s="5" t="str">
        <f>"Descripcion: MANGO DE BISTURÍ # 3 Estado: Bueno Placa anterior: 000031854 Material: ACERO INOXIDABLE Color: PLATEADO Referencia:  Observacion:     Placa padre: I0001422Tipo adquisicion: Entidad"</f>
        <v>Descripcion: MANGO DE BISTURÍ # 3 Estado: Bueno Placa anterior: 000031854 Material: ACERO INOXIDABLE Color: PLATEADO Referencia:  Observacion:     Placa padre: I0001422Tipo adquisicion: Entidad</v>
      </c>
      <c r="G5830" s="5"/>
    </row>
    <row r="5831" spans="1:7" ht="58.5" customHeight="1" x14ac:dyDescent="0.25">
      <c r="A5831" s="5" t="str">
        <f>"I0001426"</f>
        <v>I0001426</v>
      </c>
      <c r="B5831" s="5" t="str">
        <f>"TIJERA  DE METZEMBAUM CURVA"</f>
        <v>TIJERA  DE METZEMBAUM CURVA</v>
      </c>
      <c r="C5831" s="6">
        <v>40649</v>
      </c>
      <c r="D5831" s="5"/>
      <c r="E5831" s="5" t="str">
        <f t="shared" si="297"/>
        <v>INSTRUMENTACION-DIANA CAICEDO-DIANA DIAZ</v>
      </c>
      <c r="F5831" s="5" t="str">
        <f>"Descripcion: TIJERA DE METZENBAUM CURVA PLÁSTICA (DIMEDA) Estado: Bueno Placa anterior: 000023909 Material: ACERO INOXIDABLE Color: PLATEADO Referencia:  Observacion:     Placa padre: I0001422Tipo adquisicion: Entidad"</f>
        <v>Descripcion: TIJERA DE METZENBAUM CURVA PLÁSTICA (DIMEDA) Estado: Bueno Placa anterior: 000023909 Material: ACERO INOXIDABLE Color: PLATEADO Referencia:  Observacion:     Placa padre: I0001422Tipo adquisicion: Entidad</v>
      </c>
      <c r="G5831" s="5"/>
    </row>
    <row r="5832" spans="1:7" ht="58.5" customHeight="1" x14ac:dyDescent="0.25">
      <c r="A5832" s="5" t="str">
        <f>"I0001427"</f>
        <v>I0001427</v>
      </c>
      <c r="B5832" s="5" t="str">
        <f>"TIJERA MAYO RECTA"</f>
        <v>TIJERA MAYO RECTA</v>
      </c>
      <c r="C5832" s="6">
        <v>52200</v>
      </c>
      <c r="D5832" s="5"/>
      <c r="E5832" s="5" t="str">
        <f t="shared" si="297"/>
        <v>INSTRUMENTACION-DIANA CAICEDO-DIANA DIAZ</v>
      </c>
      <c r="F5832" s="5" t="str">
        <f>"Descripcion: TIJERA DE MAYO RECTA (DIMEDA) Estado: Bueno Placa anterior: 000032195 Material: ACERO INOXIDABLE Color: PLATEADO Referencia:  Observacion:     Placa padre: I0001422Tipo adquisicion: Entidad"</f>
        <v>Descripcion: TIJERA DE MAYO RECTA (DIMEDA) Estado: Bueno Placa anterior: 000032195 Material: ACERO INOXIDABLE Color: PLATEADO Referencia:  Observacion:     Placa padre: I0001422Tipo adquisicion: Entidad</v>
      </c>
      <c r="G5832" s="5"/>
    </row>
    <row r="5833" spans="1:7" ht="58.5" customHeight="1" x14ac:dyDescent="0.25">
      <c r="A5833" s="5" t="str">
        <f>"I0001428"</f>
        <v>I0001428</v>
      </c>
      <c r="B5833" s="5" t="str">
        <f>"SEPARADOR DE SENN MILLER"</f>
        <v>SEPARADOR DE SENN MILLER</v>
      </c>
      <c r="C5833" s="6">
        <v>88160</v>
      </c>
      <c r="D5833" s="5"/>
      <c r="E5833" s="5" t="str">
        <f t="shared" si="297"/>
        <v>INSTRUMENTACION-DIANA CAICEDO-DIANA DIAZ</v>
      </c>
      <c r="F5833" s="5" t="str">
        <f>"Descripcion: SEPARADORES DE SENN MILLER Estado: Bueno Placa anterior: 000032038 Material: ACERO INOXIDABLE Color: PLATEADO Referencia:  Observacion:     Placa padre: I0001422Tipo adquisicion: Entidad"</f>
        <v>Descripcion: SEPARADORES DE SENN MILLER Estado: Bueno Placa anterior: 000032038 Material: ACERO INOXIDABLE Color: PLATEADO Referencia:  Observacion:     Placa padre: I0001422Tipo adquisicion: Entidad</v>
      </c>
      <c r="G5833" s="5"/>
    </row>
    <row r="5834" spans="1:7" ht="58.5" customHeight="1" x14ac:dyDescent="0.25">
      <c r="A5834" s="5" t="str">
        <f>"I0001429"</f>
        <v>I0001429</v>
      </c>
      <c r="B5834" s="5" t="str">
        <f>"SEPARADOR DE SENN MILLER"</f>
        <v>SEPARADOR DE SENN MILLER</v>
      </c>
      <c r="C5834" s="6">
        <v>88160</v>
      </c>
      <c r="D5834" s="5"/>
      <c r="E5834" s="5" t="str">
        <f t="shared" si="297"/>
        <v>INSTRUMENTACION-DIANA CAICEDO-DIANA DIAZ</v>
      </c>
      <c r="F5834" s="5" t="str">
        <f>"Descripcion: SEPARADORES DE SENN MILLER Estado: Bueno Placa anterior: 000032039 Material: ACERO INOXIDABLE Color: PLATEADO Referencia:  Observacion:     Placa padre: I0001422Tipo adquisicion: Entidad"</f>
        <v>Descripcion: SEPARADORES DE SENN MILLER Estado: Bueno Placa anterior: 000032039 Material: ACERO INOXIDABLE Color: PLATEADO Referencia:  Observacion:     Placa padre: I0001422Tipo adquisicion: Entidad</v>
      </c>
      <c r="G5834" s="5"/>
    </row>
    <row r="5835" spans="1:7" ht="58.5" customHeight="1" x14ac:dyDescent="0.25">
      <c r="A5835" s="5" t="str">
        <f>"I0001432"</f>
        <v>I0001432</v>
      </c>
      <c r="B5835" s="5" t="str">
        <f>"PINZA DE DISECCION SIN GARRA CORTA 20 CM"</f>
        <v>PINZA DE DISECCION SIN GARRA CORTA 20 CM</v>
      </c>
      <c r="C5835" s="6">
        <v>31320</v>
      </c>
      <c r="D5835" s="5"/>
      <c r="E5835" s="5" t="str">
        <f t="shared" si="297"/>
        <v>INSTRUMENTACION-DIANA CAICEDO-DIANA DIAZ</v>
      </c>
      <c r="F5835" s="5" t="str">
        <f>"Descripcion: PINZA DE DISECCION ADSON CON GARRA (DIMEDA) Estado: Bueno Placa anterior: 000032260 Material: ACERO INOXIDABLE Color: PLATEADO Referencia:  Observacion:     Placa padre: I0001422Tipo adquisicion: Entidad"</f>
        <v>Descripcion: PINZA DE DISECCION ADSON CON GARRA (DIMEDA) Estado: Bueno Placa anterior: 000032260 Material: ACERO INOXIDABLE Color: PLATEADO Referencia:  Observacion:     Placa padre: I0001422Tipo adquisicion: Entidad</v>
      </c>
      <c r="G5835" s="5"/>
    </row>
    <row r="5836" spans="1:7" ht="58.5" customHeight="1" x14ac:dyDescent="0.25">
      <c r="A5836" s="5" t="str">
        <f>"I0001433"</f>
        <v>I0001433</v>
      </c>
      <c r="B5836" s="5" t="str">
        <f>"PINZA DE DISECCION SIN GARRA CORTA 20 CM"</f>
        <v>PINZA DE DISECCION SIN GARRA CORTA 20 CM</v>
      </c>
      <c r="C5836" s="6">
        <v>38280</v>
      </c>
      <c r="D5836" s="5"/>
      <c r="E5836" s="5" t="str">
        <f t="shared" si="297"/>
        <v>INSTRUMENTACION-DIANA CAICEDO-DIANA DIAZ</v>
      </c>
      <c r="F5836" s="5" t="str">
        <f>"Descripcion: PINZA DE DISECCION ADSON SIN GARRA Estado: Bueno Placa anterior: 000031970 Material: ACERO INOXIDABLE Color: PLATEADO Referencia:  Observacion: PINZA DISECCION STANDARD Placa padre: I0001422Tipo adquisicion: Entidad"</f>
        <v>Descripcion: PINZA DE DISECCION ADSON SIN GARRA Estado: Bueno Placa anterior: 000031970 Material: ACERO INOXIDABLE Color: PLATEADO Referencia:  Observacion: PINZA DISECCION STANDARD Placa padre: I0001422Tipo adquisicion: Entidad</v>
      </c>
      <c r="G5836" s="5"/>
    </row>
    <row r="5837" spans="1:7" ht="58.5" customHeight="1" x14ac:dyDescent="0.25">
      <c r="A5837" s="5" t="str">
        <f>"I0001434"</f>
        <v>I0001434</v>
      </c>
      <c r="B5837" s="5" t="str">
        <f>"PINZA DE DISECCION CON GARRA MEDIANA 25 CM"</f>
        <v>PINZA DE DISECCION CON GARRA MEDIANA 25 CM</v>
      </c>
      <c r="C5837" s="6">
        <v>18560</v>
      </c>
      <c r="D5837" s="5"/>
      <c r="E5837" s="5" t="str">
        <f t="shared" si="297"/>
        <v>INSTRUMENTACION-DIANA CAICEDO-DIANA DIAZ</v>
      </c>
      <c r="F5837" s="5" t="str">
        <f>"Descripcion: PINZA DE DISECCION CORTA CON GARRA Estado: Bueno Placa anterior: 000032274 Material: ACERO INOXIDABLE Color: PLATEADO Referencia:  Observacion:     Placa padre: I0001422Tipo adquisicion: Entidad"</f>
        <v>Descripcion: PINZA DE DISECCION CORTA CON GARRA Estado: Bueno Placa anterior: 000032274 Material: ACERO INOXIDABLE Color: PLATEADO Referencia:  Observacion:     Placa padre: I0001422Tipo adquisicion: Entidad</v>
      </c>
      <c r="G5837" s="5"/>
    </row>
    <row r="5838" spans="1:7" ht="58.5" customHeight="1" x14ac:dyDescent="0.25">
      <c r="A5838" s="5" t="str">
        <f>"I0001435"</f>
        <v>I0001435</v>
      </c>
      <c r="B5838" s="5" t="str">
        <f>"PINZA DE DISECCION SIN GARRA LARGA 25 CM"</f>
        <v>PINZA DE DISECCION SIN GARRA LARGA 25 CM</v>
      </c>
      <c r="C5838" s="6">
        <v>17400</v>
      </c>
      <c r="D5838" s="5"/>
      <c r="E5838" s="5" t="str">
        <f t="shared" si="297"/>
        <v>INSTRUMENTACION-DIANA CAICEDO-DIANA DIAZ</v>
      </c>
      <c r="F5838" s="5" t="str">
        <f>"Descripcion: PINZA DE DISECCION CORTA SIN GARRA Estado: Bueno Placa anterior: 000032286 Material: ACERO INOXIDABLE Color: PLATEADO Referencia:  Observacion:     Placa padre: I0001422Tipo adquisicion: Entidad"</f>
        <v>Descripcion: PINZA DE DISECCION CORTA SIN GARRA Estado: Bueno Placa anterior: 000032286 Material: ACERO INOXIDABLE Color: PLATEADO Referencia:  Observacion:     Placa padre: I0001422Tipo adquisicion: Entidad</v>
      </c>
      <c r="G5838" s="5"/>
    </row>
    <row r="5839" spans="1:7" ht="58.5" customHeight="1" x14ac:dyDescent="0.25">
      <c r="A5839" s="5" t="str">
        <f>"I0001436"</f>
        <v>I0001436</v>
      </c>
      <c r="B5839" s="5" t="str">
        <f>"GANCHO (INSTRUMENTAL)"</f>
        <v>GANCHO (INSTRUMENTAL)</v>
      </c>
      <c r="C5839" s="6">
        <v>97739</v>
      </c>
      <c r="D5839" s="5"/>
      <c r="E5839" s="5" t="str">
        <f t="shared" si="297"/>
        <v>INSTRUMENTACION-DIANA CAICEDO-DIANA DIAZ</v>
      </c>
      <c r="F5839" s="5" t="str">
        <f>"Descripcion: GANCHOS DE PIEL Estado: Bueno Placa anterior: 000024018 Material: ACERO INOXIDABLE Color: PLATEADO Referencia:  Observacion:     Placa padre: I0001422Tipo adquisicion: Entidad"</f>
        <v>Descripcion: GANCHOS DE PIEL Estado: Bueno Placa anterior: 000024018 Material: ACERO INOXIDABLE Color: PLATEADO Referencia:  Observacion:     Placa padre: I0001422Tipo adquisicion: Entidad</v>
      </c>
      <c r="G5839" s="5"/>
    </row>
    <row r="5840" spans="1:7" ht="58.5" customHeight="1" x14ac:dyDescent="0.25">
      <c r="A5840" s="5" t="str">
        <f>"I0001437"</f>
        <v>I0001437</v>
      </c>
      <c r="B5840" s="5" t="str">
        <f>"GANCHO (INSTRUMENTAL)"</f>
        <v>GANCHO (INSTRUMENTAL)</v>
      </c>
      <c r="C5840" s="6">
        <v>97739</v>
      </c>
      <c r="D5840" s="5"/>
      <c r="E5840" s="5" t="str">
        <f t="shared" si="297"/>
        <v>INSTRUMENTACION-DIANA CAICEDO-DIANA DIAZ</v>
      </c>
      <c r="F5840" s="5" t="str">
        <f>"Descripcion: GANCHOS DE PIEL Estado: Bueno Placa anterior: 000024019 Material: ACERO INOXIDABLE Color: PLATEADO Referencia:  Observacion:     Placa padre: I0001422Tipo adquisicion: Entidad"</f>
        <v>Descripcion: GANCHOS DE PIEL Estado: Bueno Placa anterior: 000024019 Material: ACERO INOXIDABLE Color: PLATEADO Referencia:  Observacion:     Placa padre: I0001422Tipo adquisicion: Entidad</v>
      </c>
      <c r="G5840" s="5"/>
    </row>
    <row r="5841" spans="1:7" ht="58.5" customHeight="1" x14ac:dyDescent="0.25">
      <c r="A5841" s="5" t="str">
        <f>"I0001461"</f>
        <v>I0001461</v>
      </c>
      <c r="B5841" s="5" t="str">
        <f>"PORTAGUJAS (PINZA)"</f>
        <v>PORTAGUJAS (PINZA)</v>
      </c>
      <c r="C5841" s="6">
        <v>63800</v>
      </c>
      <c r="D5841" s="5"/>
      <c r="E5841" s="5" t="str">
        <f t="shared" si="297"/>
        <v>INSTRUMENTACION-DIANA CAICEDO-DIANA DIAZ</v>
      </c>
      <c r="F5841" s="5" t="str">
        <f>"Descripcion: PORTA AGUJAS PEQUEÑO Estado: Bueno Placa anterior: 000032409 Material: ACERO INOXIDABLE Color: PLATEADO Referencia:  Observacion:     Placa padre: I0001422Tipo adquisicion: Entidad"</f>
        <v>Descripcion: PORTA AGUJAS PEQUEÑO Estado: Bueno Placa anterior: 000032409 Material: ACERO INOXIDABLE Color: PLATEADO Referencia:  Observacion:     Placa padre: I0001422Tipo adquisicion: Entidad</v>
      </c>
      <c r="G5841" s="5"/>
    </row>
    <row r="5842" spans="1:7" ht="58.5" customHeight="1" x14ac:dyDescent="0.25">
      <c r="A5842" s="5" t="str">
        <f>"I0001463"</f>
        <v>I0001463</v>
      </c>
      <c r="B5842" s="5" t="str">
        <f>"COCAS EN ACERO INOXIDABLE (ENTREGAR DOSIS DE MEDICINA)"</f>
        <v>COCAS EN ACERO INOXIDABLE (ENTREGAR DOSIS DE MEDICINA)</v>
      </c>
      <c r="C5842" s="6">
        <v>6000</v>
      </c>
      <c r="D5842" s="5"/>
      <c r="E5842" s="5" t="str">
        <f t="shared" si="297"/>
        <v>INSTRUMENTACION-DIANA CAICEDO-DIANA DIAZ</v>
      </c>
      <c r="F5842" s="5" t="str">
        <f>"Descripcion: COCA PEQUEÑA Estado: Bueno Placa anterior: 000016198 Material: ACERO INOXIDABLE Color: PLATEADO Referencia:  Observacion:     Placa padre: I0001422Tipo adquisicion: Entidad"</f>
        <v>Descripcion: COCA PEQUEÑA Estado: Bueno Placa anterior: 000016198 Material: ACERO INOXIDABLE Color: PLATEADO Referencia:  Observacion:     Placa padre: I0001422Tipo adquisicion: Entidad</v>
      </c>
      <c r="G5842" s="5"/>
    </row>
    <row r="5843" spans="1:7" ht="58.5" customHeight="1" x14ac:dyDescent="0.25">
      <c r="A5843" s="5" t="str">
        <f>"I0001467"</f>
        <v>I0001467</v>
      </c>
      <c r="B5843" s="5" t="str">
        <f>"EQUIPO DE CIRUGÍA PLÁSTICA"</f>
        <v>EQUIPO DE CIRUGÍA PLÁSTICA</v>
      </c>
      <c r="C5843" s="6">
        <v>400000</v>
      </c>
      <c r="D5843" s="5"/>
      <c r="E5843" s="5" t="str">
        <f t="shared" si="297"/>
        <v>INSTRUMENTACION-DIANA CAICEDO-DIANA DIAZ</v>
      </c>
      <c r="F5843" s="5" t="str">
        <f>"Descripcion: EQUIPO DE CIRUGÍA PLÁSTICA # 3 QUE CONSTA DE:  (1) MANGO DE BISTURÍ # 3  (1) MANGO DE BISTURÍ # 4  (1) TIJERA DE STEVEN (DIMEDA)  (0) TIJERA DE METZENBAUM CURVA PLÁSTICA (DIMEDA)  (1) TIJERA DE MAYO RECTA (DIMEDA)  (2) SEPARADORES DE SENN MIL"&amp; "LER  (2) SEPARADORES DE BABY FARABEUF  (1) PINZA DE DISECCION ADSON CON GARRA (DIMEDA)  (1) PINZA DE DISECCION ADSON SIN GARRA  (1) PINZA DE DISECCION CORTA CON GARRA  (1) PINZA DE DISECCION CORTA SIN GARRA  (2) GANCHOS DE PIEL  (1) SONDA ACANALADA  (2) P"&amp; "INZA BABY MOSQUITO  (7) PINZAS MOSQUITOS CURVA(DIMEDA)  (1) PINZAS KELLY CURVAS  (2) PINZA ROCHESTER CURVAS (DIMEDA)  (2) PINZAS ALLIX  (3) PINZAS DE CAMPO (DIMEDA)  (1) PORTA AGUJAS PEQUEÑO  (1) PORTA AGUJAS FINO  (1) COCA PEQUEÑA  (0) CANULA DE SUCCIÓN "&amp; " (1) PLATON  NIQUELADO  (1) CUBETA DE INSTRUMENTAL NIQUELADA Estado: Bueno Placa anterior: 000012672 Material: ACERO INOXIDABLE Color: PLATEADO Referencia:  Observacion:     Placa padre: Tipo adquisicion: Entidad"</f>
        <v>Descripcion: EQUIPO DE CIRUGÍA PLÁSTICA # 3 QUE CONSTA DE:  (1) MANGO DE BISTURÍ # 3  (1) MANGO DE BISTURÍ # 4  (1) TIJERA DE STEVEN (DIMEDA)  (0) TIJERA DE METZENBAUM CURVA PLÁSTICA (DIMEDA)  (1) TIJERA DE MAYO RECTA (DIMEDA)  (2) SEPARADORES DE SENN MILLER  (2) SEPARADORES DE BABY FARABEUF  (1) PINZA DE DISECCION ADSON CON GARRA (DIMEDA)  (1) PINZA DE DISECCION ADSON SIN GARRA  (1) PINZA DE DISECCION CORTA CON GARRA  (1) PINZA DE DISECCION CORTA SIN GARRA  (2) GANCHOS DE PIEL  (1) SONDA ACANALADA  (2) PINZA BABY MOSQUITO  (7) PINZAS MOSQUITOS CURVA(DIMEDA)  (1) PINZAS KELLY CURVAS  (2) PINZA ROCHESTER CURVAS (DIMEDA)  (2) PINZAS ALLIX  (3) PINZAS DE CAMPO (DIMEDA)  (1) PORTA AGUJAS PEQUEÑO  (1) PORTA AGUJAS FINO  (1) COCA PEQUEÑA  (0) CANULA DE SUCCIÓN  (1) PLATON  NIQUELADO  (1) CUBETA DE INSTRUMENTAL NIQUELADA Estado: Bueno Placa anterior: 000012672 Material: ACERO INOXIDABLE Color: PLATEADO Referencia:  Observacion:     Placa padre: Tipo adquisicion: Entidad</v>
      </c>
      <c r="G5843" s="5"/>
    </row>
    <row r="5844" spans="1:7" ht="58.5" customHeight="1" x14ac:dyDescent="0.25">
      <c r="A5844" s="5" t="str">
        <f>"I0001468"</f>
        <v>I0001468</v>
      </c>
      <c r="B5844" s="5" t="str">
        <f>"MANGO PARA BISTURI #4"</f>
        <v>MANGO PARA BISTURI #4</v>
      </c>
      <c r="C5844" s="6">
        <v>15080</v>
      </c>
      <c r="D5844" s="5"/>
      <c r="E5844" s="5" t="str">
        <f t="shared" si="297"/>
        <v>INSTRUMENTACION-DIANA CAICEDO-DIANA DIAZ</v>
      </c>
      <c r="F5844" s="5" t="str">
        <f>"Descripcion: MANGO DE BISTURÍ # 3 Estado: Bueno Placa anterior: 000031855 Material: ACERO INOXIDABLE Color: PLATEADO Referencia:  Observacion:     Placa padre: I0001467Tipo adquisicion: Entidad"</f>
        <v>Descripcion: MANGO DE BISTURÍ # 3 Estado: Bueno Placa anterior: 000031855 Material: ACERO INOXIDABLE Color: PLATEADO Referencia:  Observacion:     Placa padre: I0001467Tipo adquisicion: Entidad</v>
      </c>
      <c r="G5844" s="5"/>
    </row>
    <row r="5845" spans="1:7" ht="58.5" customHeight="1" x14ac:dyDescent="0.25">
      <c r="A5845" s="5" t="str">
        <f>"I0001471"</f>
        <v>I0001471</v>
      </c>
      <c r="B5845" s="5" t="str">
        <f>"TIJERA  DE METZEMBAUM CURVA"</f>
        <v>TIJERA  DE METZEMBAUM CURVA</v>
      </c>
      <c r="C5845" s="6">
        <v>40649</v>
      </c>
      <c r="D5845" s="5"/>
      <c r="E5845" s="5" t="str">
        <f t="shared" si="297"/>
        <v>INSTRUMENTACION-DIANA CAICEDO-DIANA DIAZ</v>
      </c>
      <c r="F5845" s="5" t="str">
        <f>"Descripcion: TIJERA DE METZENBAUM CURVA PLÁSTICA (DIMEDA) Estado: Bueno Placa anterior: 000023910 Material: ACERO INOXIDABLE Color: PLATEADO Referencia:  Observacion:     Placa padre: I0001467Tipo adquisicion: Entidad"</f>
        <v>Descripcion: TIJERA DE METZENBAUM CURVA PLÁSTICA (DIMEDA) Estado: Bueno Placa anterior: 000023910 Material: ACERO INOXIDABLE Color: PLATEADO Referencia:  Observacion:     Placa padre: I0001467Tipo adquisicion: Entidad</v>
      </c>
      <c r="G5845" s="5"/>
    </row>
    <row r="5846" spans="1:7" ht="58.5" customHeight="1" x14ac:dyDescent="0.25">
      <c r="A5846" s="5" t="str">
        <f>"I0001472"</f>
        <v>I0001472</v>
      </c>
      <c r="B5846" s="5" t="str">
        <f>"TIJERA MAYO RECTA"</f>
        <v>TIJERA MAYO RECTA</v>
      </c>
      <c r="C5846" s="6">
        <v>52200</v>
      </c>
      <c r="D5846" s="5"/>
      <c r="E5846" s="5" t="str">
        <f t="shared" si="297"/>
        <v>INSTRUMENTACION-DIANA CAICEDO-DIANA DIAZ</v>
      </c>
      <c r="F5846" s="5" t="str">
        <f>"Descripcion: TIJERA DE MAYO RECTA (DIMEDA) Estado: Bueno Placa anterior: 000032196 Material: ACERO INOXIDABLE Color: PLATEADO Referencia:  Observacion:     Placa padre: I0001467Tipo adquisicion: Entidad"</f>
        <v>Descripcion: TIJERA DE MAYO RECTA (DIMEDA) Estado: Bueno Placa anterior: 000032196 Material: ACERO INOXIDABLE Color: PLATEADO Referencia:  Observacion:     Placa padre: I0001467Tipo adquisicion: Entidad</v>
      </c>
      <c r="G5846" s="5"/>
    </row>
    <row r="5847" spans="1:7" ht="58.5" customHeight="1" x14ac:dyDescent="0.25">
      <c r="A5847" s="5" t="str">
        <f>"I0001473"</f>
        <v>I0001473</v>
      </c>
      <c r="B5847" s="5" t="str">
        <f>"SEPARADOR DE SENN MILLER"</f>
        <v>SEPARADOR DE SENN MILLER</v>
      </c>
      <c r="C5847" s="6">
        <v>35730</v>
      </c>
      <c r="D5847" s="5"/>
      <c r="E5847" s="5" t="str">
        <f t="shared" si="297"/>
        <v>INSTRUMENTACION-DIANA CAICEDO-DIANA DIAZ</v>
      </c>
      <c r="F5847" s="5" t="str">
        <f>"Descripcion: SEPARADORES DE SENN MILLER Estado: Bueno Placa anterior: 000023816 Material: ACERO INOXIDABLE Color: PLATEADO Referencia:  Observacion:     Placa padre: I0001467Tipo adquisicion: Entidad"</f>
        <v>Descripcion: SEPARADORES DE SENN MILLER Estado: Bueno Placa anterior: 000023816 Material: ACERO INOXIDABLE Color: PLATEADO Referencia:  Observacion:     Placa padre: I0001467Tipo adquisicion: Entidad</v>
      </c>
      <c r="G5847" s="5"/>
    </row>
    <row r="5848" spans="1:7" ht="58.5" customHeight="1" x14ac:dyDescent="0.25">
      <c r="A5848" s="5" t="str">
        <f>"I0001474"</f>
        <v>I0001474</v>
      </c>
      <c r="B5848" s="5" t="str">
        <f>"SEPARADOR DE SENN MILLER"</f>
        <v>SEPARADOR DE SENN MILLER</v>
      </c>
      <c r="C5848" s="6">
        <v>35730</v>
      </c>
      <c r="D5848" s="5"/>
      <c r="E5848" s="5" t="str">
        <f t="shared" si="297"/>
        <v>INSTRUMENTACION-DIANA CAICEDO-DIANA DIAZ</v>
      </c>
      <c r="F5848" s="5" t="str">
        <f>"Descripcion: SEPARADORES DE SENN MILLER Estado: Bueno Placa anterior: 000023817 Material: ACERO INOXIDABLE Color: PLATEADO Referencia:  Observacion:     Placa padre: I0001467Tipo adquisicion: Entidad"</f>
        <v>Descripcion: SEPARADORES DE SENN MILLER Estado: Bueno Placa anterior: 000023817 Material: ACERO INOXIDABLE Color: PLATEADO Referencia:  Observacion:     Placa padre: I0001467Tipo adquisicion: Entidad</v>
      </c>
      <c r="G5848" s="5"/>
    </row>
    <row r="5849" spans="1:7" ht="58.5" customHeight="1" x14ac:dyDescent="0.25">
      <c r="A5849" s="5" t="str">
        <f>"I0001477"</f>
        <v>I0001477</v>
      </c>
      <c r="B5849" s="5" t="str">
        <f>"PINZA DE DISECCION SIN GARRA CORTA 20 CM"</f>
        <v>PINZA DE DISECCION SIN GARRA CORTA 20 CM</v>
      </c>
      <c r="C5849" s="6">
        <v>31320</v>
      </c>
      <c r="D5849" s="5"/>
      <c r="E5849" s="5" t="str">
        <f t="shared" si="297"/>
        <v>INSTRUMENTACION-DIANA CAICEDO-DIANA DIAZ</v>
      </c>
      <c r="F5849" s="5" t="str">
        <f>"Descripcion: PINZA DE DISECCION ADSON CON GARRA (DIMEDA) Estado: Bueno Placa anterior: 000032261 Material: ACERO INOXIDABLE Color: PLATEADO Referencia:  Observacion:     Placa padre: I0001467Tipo adquisicion: Entidad"</f>
        <v>Descripcion: PINZA DE DISECCION ADSON CON GARRA (DIMEDA) Estado: Bueno Placa anterior: 000032261 Material: ACERO INOXIDABLE Color: PLATEADO Referencia:  Observacion:     Placa padre: I0001467Tipo adquisicion: Entidad</v>
      </c>
      <c r="G5849" s="5"/>
    </row>
    <row r="5850" spans="1:7" ht="58.5" customHeight="1" x14ac:dyDescent="0.25">
      <c r="A5850" s="5" t="str">
        <f>"I0001478"</f>
        <v>I0001478</v>
      </c>
      <c r="B5850" s="5" t="str">
        <f>"PINZA DE DISECCION SIN GARRA CORTA 20 CM"</f>
        <v>PINZA DE DISECCION SIN GARRA CORTA 20 CM</v>
      </c>
      <c r="C5850" s="6">
        <v>49880</v>
      </c>
      <c r="D5850" s="5"/>
      <c r="E5850" s="5" t="str">
        <f t="shared" si="297"/>
        <v>INSTRUMENTACION-DIANA CAICEDO-DIANA DIAZ</v>
      </c>
      <c r="F5850" s="5" t="str">
        <f>"Descripcion: PINZA DE DISECCION ADSON SIN GARRA Estado: Bueno Placa anterior: 000032000 Material: ACERO INOXIDABLE Color: PLATEADO Referencia:  Observacion: PINZA DE DISECCION ADSON SIN GARRA  Placa padre: I0001467Tipo adquisicion: Entidad"</f>
        <v>Descripcion: PINZA DE DISECCION ADSON SIN GARRA Estado: Bueno Placa anterior: 000032000 Material: ACERO INOXIDABLE Color: PLATEADO Referencia:  Observacion: PINZA DE DISECCION ADSON SIN GARRA  Placa padre: I0001467Tipo adquisicion: Entidad</v>
      </c>
      <c r="G5850" s="5"/>
    </row>
    <row r="5851" spans="1:7" ht="58.5" customHeight="1" x14ac:dyDescent="0.25">
      <c r="A5851" s="5" t="str">
        <f>"I0001479"</f>
        <v>I0001479</v>
      </c>
      <c r="B5851" s="5" t="str">
        <f>"PINZA DE DISECCION CON GARRA MEDIANA 25 CM"</f>
        <v>PINZA DE DISECCION CON GARRA MEDIANA 25 CM</v>
      </c>
      <c r="C5851" s="6">
        <v>18560</v>
      </c>
      <c r="D5851" s="5"/>
      <c r="E5851" s="5" t="str">
        <f t="shared" si="297"/>
        <v>INSTRUMENTACION-DIANA CAICEDO-DIANA DIAZ</v>
      </c>
      <c r="F5851" s="5" t="str">
        <f>"Descripcion: PINZA DE DISECCION CORTA CON GARRA Estado: Bueno Placa anterior: 000032275 Material: ACERO INOXIDABLE Color: PLATEADO Referencia:  Observacion:     Placa padre: I0001467Tipo adquisicion: Entidad"</f>
        <v>Descripcion: PINZA DE DISECCION CORTA CON GARRA Estado: Bueno Placa anterior: 000032275 Material: ACERO INOXIDABLE Color: PLATEADO Referencia:  Observacion:     Placa padre: I0001467Tipo adquisicion: Entidad</v>
      </c>
      <c r="G5851" s="5"/>
    </row>
    <row r="5852" spans="1:7" ht="58.5" customHeight="1" x14ac:dyDescent="0.25">
      <c r="A5852" s="5" t="str">
        <f>"I0001480"</f>
        <v>I0001480</v>
      </c>
      <c r="B5852" s="5" t="str">
        <f>"PINZA DE DISECCION SIN GARRA LARGA 25 CM"</f>
        <v>PINZA DE DISECCION SIN GARRA LARGA 25 CM</v>
      </c>
      <c r="C5852" s="6">
        <v>17400</v>
      </c>
      <c r="D5852" s="5"/>
      <c r="E5852" s="5" t="str">
        <f t="shared" si="297"/>
        <v>INSTRUMENTACION-DIANA CAICEDO-DIANA DIAZ</v>
      </c>
      <c r="F5852" s="5" t="str">
        <f>"Descripcion: PINZA DE DISECCION CORTA SIN GARRA Estado: Bueno Placa anterior: 000032287 Material: ACERO INOXIDABLE Color: PLATEADO Referencia:  Observacion:     Placa padre: I0001467Tipo adquisicion: Entidad"</f>
        <v>Descripcion: PINZA DE DISECCION CORTA SIN GARRA Estado: Bueno Placa anterior: 000032287 Material: ACERO INOXIDABLE Color: PLATEADO Referencia:  Observacion:     Placa padre: I0001467Tipo adquisicion: Entidad</v>
      </c>
      <c r="G5852" s="5"/>
    </row>
    <row r="5853" spans="1:7" ht="58.5" customHeight="1" x14ac:dyDescent="0.25">
      <c r="A5853" s="5" t="str">
        <f>"I0001481"</f>
        <v>I0001481</v>
      </c>
      <c r="B5853" s="5" t="str">
        <f>"GANCHO (INSTRUMENTAL)"</f>
        <v>GANCHO (INSTRUMENTAL)</v>
      </c>
      <c r="C5853" s="6">
        <v>97739</v>
      </c>
      <c r="D5853" s="5"/>
      <c r="E5853" s="5" t="str">
        <f t="shared" si="297"/>
        <v>INSTRUMENTACION-DIANA CAICEDO-DIANA DIAZ</v>
      </c>
      <c r="F5853" s="5" t="str">
        <f>"Descripcion: GANCHOS DE PIEL Estado: Bueno Placa anterior: 000024020 Material: ACERO INOXIDABLE Color: PLATEADO Referencia:  Observacion:     Placa padre: I0001467Tipo adquisicion: Entidad"</f>
        <v>Descripcion: GANCHOS DE PIEL Estado: Bueno Placa anterior: 000024020 Material: ACERO INOXIDABLE Color: PLATEADO Referencia:  Observacion:     Placa padre: I0001467Tipo adquisicion: Entidad</v>
      </c>
      <c r="G5853" s="5"/>
    </row>
    <row r="5854" spans="1:7" ht="58.5" customHeight="1" x14ac:dyDescent="0.25">
      <c r="A5854" s="5" t="str">
        <f>"I0001482"</f>
        <v>I0001482</v>
      </c>
      <c r="B5854" s="5" t="str">
        <f>"GANCHO (INSTRUMENTAL)"</f>
        <v>GANCHO (INSTRUMENTAL)</v>
      </c>
      <c r="C5854" s="6">
        <v>97739</v>
      </c>
      <c r="D5854" s="5"/>
      <c r="E5854" s="5" t="str">
        <f t="shared" si="297"/>
        <v>INSTRUMENTACION-DIANA CAICEDO-DIANA DIAZ</v>
      </c>
      <c r="F5854" s="5" t="str">
        <f>"Descripcion: GANCHOS DE PIEL Estado: Bueno Placa anterior: 000024021 Material: ACERO INOXIDABLE Color: PLATEADO Referencia:  Observacion:     Placa padre: I0001467Tipo adquisicion: Entidad"</f>
        <v>Descripcion: GANCHOS DE PIEL Estado: Bueno Placa anterior: 000024021 Material: ACERO INOXIDABLE Color: PLATEADO Referencia:  Observacion:     Placa padre: I0001467Tipo adquisicion: Entidad</v>
      </c>
      <c r="G5854" s="5"/>
    </row>
    <row r="5855" spans="1:7" ht="58.5" customHeight="1" x14ac:dyDescent="0.25">
      <c r="A5855" s="5" t="str">
        <f>"I0001506"</f>
        <v>I0001506</v>
      </c>
      <c r="B5855" s="5" t="str">
        <f>"PORTAGUJAS (PINZA)"</f>
        <v>PORTAGUJAS (PINZA)</v>
      </c>
      <c r="C5855" s="6">
        <v>63800</v>
      </c>
      <c r="D5855" s="5"/>
      <c r="E5855" s="5" t="str">
        <f t="shared" ref="E5855:E5918" si="298">"INSTRUMENTACION-DIANA CAICEDO-DIANA DIAZ"</f>
        <v>INSTRUMENTACION-DIANA CAICEDO-DIANA DIAZ</v>
      </c>
      <c r="F5855" s="5" t="str">
        <f>"Descripcion: PORTA AGUJAS PEQUEÑO Estado: Bueno Placa anterior: 000032414 Material: ACERO INOXIDABLE Color: PLATEADO Referencia:  Observacion:     Placa padre: I0001467Tipo adquisicion: Entidad"</f>
        <v>Descripcion: PORTA AGUJAS PEQUEÑO Estado: Bueno Placa anterior: 000032414 Material: ACERO INOXIDABLE Color: PLATEADO Referencia:  Observacion:     Placa padre: I0001467Tipo adquisicion: Entidad</v>
      </c>
      <c r="G5855" s="5"/>
    </row>
    <row r="5856" spans="1:7" ht="58.5" customHeight="1" x14ac:dyDescent="0.25">
      <c r="A5856" s="5" t="str">
        <f>"I0001508"</f>
        <v>I0001508</v>
      </c>
      <c r="B5856" s="5" t="str">
        <f>"COCAS EN ACERO INOXIDABLE (ENTREGAR DOSIS DE MEDICINA)"</f>
        <v>COCAS EN ACERO INOXIDABLE (ENTREGAR DOSIS DE MEDICINA)</v>
      </c>
      <c r="C5856" s="6">
        <v>6000</v>
      </c>
      <c r="D5856" s="5"/>
      <c r="E5856" s="5" t="str">
        <f t="shared" si="298"/>
        <v>INSTRUMENTACION-DIANA CAICEDO-DIANA DIAZ</v>
      </c>
      <c r="F5856" s="5" t="str">
        <f>"Descripcion: COCA PEQUEÑA Estado: Bueno Placa anterior: 000016199 Material: ACERO INOXIDABLE Color: PLATEADO Referencia:  Observacion:     Placa padre: I0001467Tipo adquisicion: Entidad"</f>
        <v>Descripcion: COCA PEQUEÑA Estado: Bueno Placa anterior: 000016199 Material: ACERO INOXIDABLE Color: PLATEADO Referencia:  Observacion:     Placa padre: I0001467Tipo adquisicion: Entidad</v>
      </c>
      <c r="G5856" s="5"/>
    </row>
    <row r="5857" spans="1:7" ht="58.5" customHeight="1" x14ac:dyDescent="0.25">
      <c r="A5857" s="5" t="str">
        <f>"I0001512"</f>
        <v>I0001512</v>
      </c>
      <c r="B5857" s="5" t="str">
        <f>"EQUIPO DE CIRUGÍA PLÁSTICA"</f>
        <v>EQUIPO DE CIRUGÍA PLÁSTICA</v>
      </c>
      <c r="C5857" s="6">
        <v>400000</v>
      </c>
      <c r="D5857" s="5"/>
      <c r="E5857" s="5" t="str">
        <f t="shared" si="298"/>
        <v>INSTRUMENTACION-DIANA CAICEDO-DIANA DIAZ</v>
      </c>
      <c r="F5857" s="5" t="str">
        <f>"Descripcion: EQUIPO DE CIRUGÍA PLÁSTICA # 4 QUE CONSTA DE:  (1) MANGO DE BISTURÍ # 3  (1) MANGO DE BISTURÍ # 4  (0) TIJERA DE STEVEN (DIMEDA)  (0) TIJERA DE METZENBAUM CURVA PLÁSTICA (DIMEDA)  (0) TIJERA DE MAYO RECTA (DIMEDA)  (2) SEPARADORES DE SENN MIL"&amp; "LER  (2) SEPARADORES DE BABY FARABEUF  (0) PINZA DE DISECCION ADSON CON GARRA (DIMEDA)  (1) PINZA DE DISECCION ADSON SIN GARRA  (1) PINZA DE DISECCION CORTA CON GARRA  (1) PINZA DE DISECCION CORTA SIN GARRA  (2) GANCHOS DE PIEL  (1) SONDA ACANALADA  (2) P"&amp; "INZA BABY MOSQUITO  (6) PINZAS MOSQUITOS CURVA(DIMEDA)  (3) PINZAS KELLY CURVAS  (2) PINZA ROCHESTER CURVAS (DIMEDA)  (2) PINZAS ALLIX  (4) PINZAS DE CAMPO (DIMEDA)  (1) PORTA AGUJAS PEQUEÑO  (1) PORTA AGUJAS FINO  (1) COCA PEQUEÑA  (1) CANULA DE SUCCIÓN "&amp; " (1) PLATON  NIQUELADO  (1) CUBETA DE INSTRUMENTAL NIQUELADA Estado: Bueno Placa anterior: 000012673 Material: ACERO INOXIDABLE Color: PLATEADO Referencia:  Observacion:     Placa padre: Tipo adquisicion: Entidad"</f>
        <v>Descripcion: EQUIPO DE CIRUGÍA PLÁSTICA # 4 QUE CONSTA DE:  (1) MANGO DE BISTURÍ # 3  (1) MANGO DE BISTURÍ # 4  (0) TIJERA DE STEVEN (DIMEDA)  (0) TIJERA DE METZENBAUM CURVA PLÁSTICA (DIMEDA)  (0) TIJERA DE MAYO RECTA (DIMEDA)  (2) SEPARADORES DE SENN MILLER  (2) SEPARADORES DE BABY FARABEUF  (0) PINZA DE DISECCION ADSON CON GARRA (DIMEDA)  (1) PINZA DE DISECCION ADSON SIN GARRA  (1) PINZA DE DISECCION CORTA CON GARRA  (1) PINZA DE DISECCION CORTA SIN GARRA  (2) GANCHOS DE PIEL  (1) SONDA ACANALADA  (2) PINZA BABY MOSQUITO  (6) PINZAS MOSQUITOS CURVA(DIMEDA)  (3) PINZAS KELLY CURVAS  (2) PINZA ROCHESTER CURVAS (DIMEDA)  (2) PINZAS ALLIX  (4) PINZAS DE CAMPO (DIMEDA)  (1) PORTA AGUJAS PEQUEÑO  (1) PORTA AGUJAS FINO  (1) COCA PEQUEÑA  (1) CANULA DE SUCCIÓN  (1) PLATON  NIQUELADO  (1) CUBETA DE INSTRUMENTAL NIQUELADA Estado: Bueno Placa anterior: 000012673 Material: ACERO INOXIDABLE Color: PLATEADO Referencia:  Observacion:     Placa padre: Tipo adquisicion: Entidad</v>
      </c>
      <c r="G5857" s="5"/>
    </row>
    <row r="5858" spans="1:7" ht="58.5" customHeight="1" x14ac:dyDescent="0.25">
      <c r="A5858" s="5" t="str">
        <f>"I0001513"</f>
        <v>I0001513</v>
      </c>
      <c r="B5858" s="5" t="str">
        <f>"MANGO PARA BISTURI #4"</f>
        <v>MANGO PARA BISTURI #4</v>
      </c>
      <c r="C5858" s="6">
        <v>15080</v>
      </c>
      <c r="D5858" s="5"/>
      <c r="E5858" s="5" t="str">
        <f t="shared" si="298"/>
        <v>INSTRUMENTACION-DIANA CAICEDO-DIANA DIAZ</v>
      </c>
      <c r="F5858" s="5" t="str">
        <f>"Descripcion: MANGO DE BISTURÍ # 3 Estado: Bueno Placa anterior: 000031856 Material: ACERO INOXIDABLE Color: PLATEADO Referencia:  Observacion:     Placa padre: I0001512Tipo adquisicion: Entidad"</f>
        <v>Descripcion: MANGO DE BISTURÍ # 3 Estado: Bueno Placa anterior: 000031856 Material: ACERO INOXIDABLE Color: PLATEADO Referencia:  Observacion:     Placa padre: I0001512Tipo adquisicion: Entidad</v>
      </c>
      <c r="G5858" s="5"/>
    </row>
    <row r="5859" spans="1:7" ht="58.5" customHeight="1" x14ac:dyDescent="0.25">
      <c r="A5859" s="5" t="str">
        <f>"I0001516"</f>
        <v>I0001516</v>
      </c>
      <c r="B5859" s="5" t="str">
        <f>"TIJERA  DE METZEMBAUM CURVA"</f>
        <v>TIJERA  DE METZEMBAUM CURVA</v>
      </c>
      <c r="C5859" s="6">
        <v>40649</v>
      </c>
      <c r="D5859" s="5"/>
      <c r="E5859" s="5" t="str">
        <f t="shared" si="298"/>
        <v>INSTRUMENTACION-DIANA CAICEDO-DIANA DIAZ</v>
      </c>
      <c r="F5859" s="5" t="str">
        <f>"Descripcion: TIJERA DE METZENBAUM CURVA PLÁSTICA (DIMEDA) Estado: Bueno Placa anterior: 000023911 Material: ACERO INOXIDABLE Color: PLATEADO Referencia:  Observacion:     Placa padre: I0001512Tipo adquisicion: Entidad"</f>
        <v>Descripcion: TIJERA DE METZENBAUM CURVA PLÁSTICA (DIMEDA) Estado: Bueno Placa anterior: 000023911 Material: ACERO INOXIDABLE Color: PLATEADO Referencia:  Observacion:     Placa padre: I0001512Tipo adquisicion: Entidad</v>
      </c>
      <c r="G5859" s="5"/>
    </row>
    <row r="5860" spans="1:7" ht="58.5" customHeight="1" x14ac:dyDescent="0.25">
      <c r="A5860" s="5" t="str">
        <f>"I0001522"</f>
        <v>I0001522</v>
      </c>
      <c r="B5860" s="5" t="str">
        <f>"PINZA DE DISECCION SIN GARRA CORTA 20 CM"</f>
        <v>PINZA DE DISECCION SIN GARRA CORTA 20 CM</v>
      </c>
      <c r="C5860" s="6">
        <v>31320</v>
      </c>
      <c r="D5860" s="5"/>
      <c r="E5860" s="5" t="str">
        <f t="shared" si="298"/>
        <v>INSTRUMENTACION-DIANA CAICEDO-DIANA DIAZ</v>
      </c>
      <c r="F5860" s="5" t="str">
        <f>"Descripcion: PINZA DE DISECCION ADSON CON GARRA (DIMEDA) Estado: Bueno Placa anterior: 000032262 Material: ACERO INOXIDABLE Color: PLATEADO Referencia:  Observacion:     Placa padre: I0001512Tipo adquisicion: Entidad"</f>
        <v>Descripcion: PINZA DE DISECCION ADSON CON GARRA (DIMEDA) Estado: Bueno Placa anterior: 000032262 Material: ACERO INOXIDABLE Color: PLATEADO Referencia:  Observacion:     Placa padre: I0001512Tipo adquisicion: Entidad</v>
      </c>
      <c r="G5860" s="5"/>
    </row>
    <row r="5861" spans="1:7" ht="58.5" customHeight="1" x14ac:dyDescent="0.25">
      <c r="A5861" s="5" t="str">
        <f>"I0001523"</f>
        <v>I0001523</v>
      </c>
      <c r="B5861" s="5" t="str">
        <f>"PINZA DE DISECCION SIN GARRA CORTA 20 CM"</f>
        <v>PINZA DE DISECCION SIN GARRA CORTA 20 CM</v>
      </c>
      <c r="C5861" s="6">
        <v>49880</v>
      </c>
      <c r="D5861" s="5"/>
      <c r="E5861" s="5" t="str">
        <f t="shared" si="298"/>
        <v>INSTRUMENTACION-DIANA CAICEDO-DIANA DIAZ</v>
      </c>
      <c r="F5861" s="5" t="str">
        <f>"Descripcion: PINZA DE DISECCION ADSON SIN GARRA Estado: Bueno Placa anterior: 000032001 Material: ACERO INOXIDABLE Color: PLATEADO Referencia:  Observacion: PINZA DE DISECCION STANDARD  Placa padre: I0001512Tipo adquisicion: Entidad"</f>
        <v>Descripcion: PINZA DE DISECCION ADSON SIN GARRA Estado: Bueno Placa anterior: 000032001 Material: ACERO INOXIDABLE Color: PLATEADO Referencia:  Observacion: PINZA DE DISECCION STANDARD  Placa padre: I0001512Tipo adquisicion: Entidad</v>
      </c>
      <c r="G5861" s="5"/>
    </row>
    <row r="5862" spans="1:7" ht="58.5" customHeight="1" x14ac:dyDescent="0.25">
      <c r="A5862" s="5" t="str">
        <f>"I0001524"</f>
        <v>I0001524</v>
      </c>
      <c r="B5862" s="5" t="str">
        <f>"PINZA DE DISECCION CON GARRA MEDIANA 25 CM"</f>
        <v>PINZA DE DISECCION CON GARRA MEDIANA 25 CM</v>
      </c>
      <c r="C5862" s="6">
        <v>18560</v>
      </c>
      <c r="D5862" s="5"/>
      <c r="E5862" s="5" t="str">
        <f t="shared" si="298"/>
        <v>INSTRUMENTACION-DIANA CAICEDO-DIANA DIAZ</v>
      </c>
      <c r="F5862" s="5" t="str">
        <f>"Descripcion: PINZA DE DISECCION CORTA CON GARRA Estado: Bueno Placa anterior: 000032276 Material: ACERO INOXIDABLE Color: PLATEADO Referencia:  Observacion:     Placa padre: I0001512Tipo adquisicion: Entidad"</f>
        <v>Descripcion: PINZA DE DISECCION CORTA CON GARRA Estado: Bueno Placa anterior: 000032276 Material: ACERO INOXIDABLE Color: PLATEADO Referencia:  Observacion:     Placa padre: I0001512Tipo adquisicion: Entidad</v>
      </c>
      <c r="G5862" s="5"/>
    </row>
    <row r="5863" spans="1:7" ht="58.5" customHeight="1" x14ac:dyDescent="0.25">
      <c r="A5863" s="5" t="str">
        <f>"I0001525"</f>
        <v>I0001525</v>
      </c>
      <c r="B5863" s="5" t="str">
        <f>"PINZA DE DISECCION SIN GARRA LARGA 25 CM"</f>
        <v>PINZA DE DISECCION SIN GARRA LARGA 25 CM</v>
      </c>
      <c r="C5863" s="6">
        <v>17400</v>
      </c>
      <c r="D5863" s="5"/>
      <c r="E5863" s="5" t="str">
        <f t="shared" si="298"/>
        <v>INSTRUMENTACION-DIANA CAICEDO-DIANA DIAZ</v>
      </c>
      <c r="F5863" s="5" t="str">
        <f>"Descripcion: PINZA DE DISECCION CORTA SIN GARRA Estado: Bueno Placa anterior: 000032288 Material: ACERO INOXIDABLE Color: PLATEADO Referencia:  Observacion:     Placa padre: I0001512Tipo adquisicion: Entidad"</f>
        <v>Descripcion: PINZA DE DISECCION CORTA SIN GARRA Estado: Bueno Placa anterior: 000032288 Material: ACERO INOXIDABLE Color: PLATEADO Referencia:  Observacion:     Placa padre: I0001512Tipo adquisicion: Entidad</v>
      </c>
      <c r="G5863" s="5"/>
    </row>
    <row r="5864" spans="1:7" ht="58.5" customHeight="1" x14ac:dyDescent="0.25">
      <c r="A5864" s="5" t="str">
        <f>"I0001526"</f>
        <v>I0001526</v>
      </c>
      <c r="B5864" s="5" t="str">
        <f>"GANCHO (INSTRUMENTAL)"</f>
        <v>GANCHO (INSTRUMENTAL)</v>
      </c>
      <c r="C5864" s="6">
        <v>97739</v>
      </c>
      <c r="D5864" s="5"/>
      <c r="E5864" s="5" t="str">
        <f t="shared" si="298"/>
        <v>INSTRUMENTACION-DIANA CAICEDO-DIANA DIAZ</v>
      </c>
      <c r="F5864" s="5" t="str">
        <f>"Descripcion: GANCHOS DE PIEL Estado: Bueno Placa anterior: 000024022 Material: ACERO INOXIDABLE Color: PLATEADO Referencia:  Observacion:     Placa padre: I0001512Tipo adquisicion: Entidad"</f>
        <v>Descripcion: GANCHOS DE PIEL Estado: Bueno Placa anterior: 000024022 Material: ACERO INOXIDABLE Color: PLATEADO Referencia:  Observacion:     Placa padre: I0001512Tipo adquisicion: Entidad</v>
      </c>
      <c r="G5864" s="5"/>
    </row>
    <row r="5865" spans="1:7" ht="58.5" customHeight="1" x14ac:dyDescent="0.25">
      <c r="A5865" s="5" t="str">
        <f>"I0001527"</f>
        <v>I0001527</v>
      </c>
      <c r="B5865" s="5" t="str">
        <f>"GANCHO (INSTRUMENTAL)"</f>
        <v>GANCHO (INSTRUMENTAL)</v>
      </c>
      <c r="C5865" s="6">
        <v>97739</v>
      </c>
      <c r="D5865" s="5"/>
      <c r="E5865" s="5" t="str">
        <f t="shared" si="298"/>
        <v>INSTRUMENTACION-DIANA CAICEDO-DIANA DIAZ</v>
      </c>
      <c r="F5865" s="5" t="str">
        <f>"Descripcion: GANCHOS DE PIEL Estado: Bueno Placa anterior: 000024537 Material: ACERO INOXIDABLE Color: PLATEADO Referencia:  Observacion:     Placa padre: I0001512Tipo adquisicion: Entidad"</f>
        <v>Descripcion: GANCHOS DE PIEL Estado: Bueno Placa anterior: 000024537 Material: ACERO INOXIDABLE Color: PLATEADO Referencia:  Observacion:     Placa padre: I0001512Tipo adquisicion: Entidad</v>
      </c>
      <c r="G5865" s="5"/>
    </row>
    <row r="5866" spans="1:7" ht="58.5" customHeight="1" x14ac:dyDescent="0.25">
      <c r="A5866" s="5" t="str">
        <f>"I0001550"</f>
        <v>I0001550</v>
      </c>
      <c r="B5866" s="5" t="str">
        <f>"PORTAGUJAS (PINZA)"</f>
        <v>PORTAGUJAS (PINZA)</v>
      </c>
      <c r="C5866" s="6">
        <v>63800</v>
      </c>
      <c r="D5866" s="5"/>
      <c r="E5866" s="5" t="str">
        <f t="shared" si="298"/>
        <v>INSTRUMENTACION-DIANA CAICEDO-DIANA DIAZ</v>
      </c>
      <c r="F5866" s="5" t="str">
        <f>"Descripcion: PORTA AGUJAS PEQUEÑO Estado: Bueno Placa anterior: 000032410 Material: ACERO INOXIDABLE Color: PLATEADO Referencia:  Observacion:     Placa padre: I0001512Tipo adquisicion: Entidad"</f>
        <v>Descripcion: PORTA AGUJAS PEQUEÑO Estado: Bueno Placa anterior: 000032410 Material: ACERO INOXIDABLE Color: PLATEADO Referencia:  Observacion:     Placa padre: I0001512Tipo adquisicion: Entidad</v>
      </c>
      <c r="G5866" s="5"/>
    </row>
    <row r="5867" spans="1:7" ht="58.5" customHeight="1" x14ac:dyDescent="0.25">
      <c r="A5867" s="5" t="str">
        <f>"I0001557"</f>
        <v>I0001557</v>
      </c>
      <c r="B5867" s="5" t="str">
        <f>"MANGO PARA BISTURI #4"</f>
        <v>MANGO PARA BISTURI #4</v>
      </c>
      <c r="C5867" s="6">
        <v>15080</v>
      </c>
      <c r="D5867" s="5"/>
      <c r="E5867" s="5" t="str">
        <f t="shared" si="298"/>
        <v>INSTRUMENTACION-DIANA CAICEDO-DIANA DIAZ</v>
      </c>
      <c r="F5867" s="5" t="str">
        <f>"Descripcion: MANGO DE BISTURÍ # 3 Estado: Bueno Placa anterior: 000031857 Material: ACERO INOXIDABLE Color: PLATEADO Referencia:  Observacion:     Placa padre: I0001556Tipo adquisicion: Entidad"</f>
        <v>Descripcion: MANGO DE BISTURÍ # 3 Estado: Bueno Placa anterior: 000031857 Material: ACERO INOXIDABLE Color: PLATEADO Referencia:  Observacion:     Placa padre: I0001556Tipo adquisicion: Entidad</v>
      </c>
      <c r="G5867" s="5"/>
    </row>
    <row r="5868" spans="1:7" ht="58.5" customHeight="1" x14ac:dyDescent="0.25">
      <c r="A5868" s="5" t="str">
        <f>"I0001560"</f>
        <v>I0001560</v>
      </c>
      <c r="B5868" s="5" t="str">
        <f>"TIJERA  DE METZEMBAUM CURVA"</f>
        <v>TIJERA  DE METZEMBAUM CURVA</v>
      </c>
      <c r="C5868" s="6">
        <v>40649</v>
      </c>
      <c r="D5868" s="5"/>
      <c r="E5868" s="5" t="str">
        <f t="shared" si="298"/>
        <v>INSTRUMENTACION-DIANA CAICEDO-DIANA DIAZ</v>
      </c>
      <c r="F5868" s="5" t="str">
        <f>"Descripcion: TIJERA DE METZENBAUM CURVA PLÁSTICA (DIMEDA) Estado: Bueno Placa anterior: 000023912 Material: ACERO INOXIDABLE Color: PLATEADO Referencia:  Observacion:     Placa padre: I0001556Tipo adquisicion: Entidad"</f>
        <v>Descripcion: TIJERA DE METZENBAUM CURVA PLÁSTICA (DIMEDA) Estado: Bueno Placa anterior: 000023912 Material: ACERO INOXIDABLE Color: PLATEADO Referencia:  Observacion:     Placa padre: I0001556Tipo adquisicion: Entidad</v>
      </c>
      <c r="G5868" s="5"/>
    </row>
    <row r="5869" spans="1:7" ht="58.5" customHeight="1" x14ac:dyDescent="0.25">
      <c r="A5869" s="5" t="str">
        <f>"I0001561"</f>
        <v>I0001561</v>
      </c>
      <c r="B5869" s="5" t="str">
        <f>"TIJERA MAYO RECTA"</f>
        <v>TIJERA MAYO RECTA</v>
      </c>
      <c r="C5869" s="6">
        <v>52200</v>
      </c>
      <c r="D5869" s="5"/>
      <c r="E5869" s="5" t="str">
        <f t="shared" si="298"/>
        <v>INSTRUMENTACION-DIANA CAICEDO-DIANA DIAZ</v>
      </c>
      <c r="F5869" s="5" t="str">
        <f>"Descripcion: TIJERA DE MAYO RECTA (DIMEDA) Estado: Bueno Placa anterior: 000032197 Material: ACERO INOXIDABLE Color: PLATEADO Referencia:  Observacion:     Placa padre: I0001556Tipo adquisicion: Entidad"</f>
        <v>Descripcion: TIJERA DE MAYO RECTA (DIMEDA) Estado: Bueno Placa anterior: 000032197 Material: ACERO INOXIDABLE Color: PLATEADO Referencia:  Observacion:     Placa padre: I0001556Tipo adquisicion: Entidad</v>
      </c>
      <c r="G5869" s="5"/>
    </row>
    <row r="5870" spans="1:7" ht="58.5" customHeight="1" x14ac:dyDescent="0.25">
      <c r="A5870" s="5" t="str">
        <f>"I0001566"</f>
        <v>I0001566</v>
      </c>
      <c r="B5870" s="5" t="str">
        <f>"PINZA DE DISECCION SIN GARRA CORTA 20 CM"</f>
        <v>PINZA DE DISECCION SIN GARRA CORTA 20 CM</v>
      </c>
      <c r="C5870" s="6">
        <v>31320</v>
      </c>
      <c r="D5870" s="5"/>
      <c r="E5870" s="5" t="str">
        <f t="shared" si="298"/>
        <v>INSTRUMENTACION-DIANA CAICEDO-DIANA DIAZ</v>
      </c>
      <c r="F5870" s="5" t="str">
        <f>"Descripcion: PINZA DE DISECCION ADSON CON GARRA (DIMEDA) Estado: Bueno Placa anterior: 000032263 Material: ACERO INOXIDABLE Color: PLATEADO Referencia:  Observacion:     Placa padre: I0001556Tipo adquisicion: Entidad"</f>
        <v>Descripcion: PINZA DE DISECCION ADSON CON GARRA (DIMEDA) Estado: Bueno Placa anterior: 000032263 Material: ACERO INOXIDABLE Color: PLATEADO Referencia:  Observacion:     Placa padre: I0001556Tipo adquisicion: Entidad</v>
      </c>
      <c r="G5870" s="5"/>
    </row>
    <row r="5871" spans="1:7" ht="58.5" customHeight="1" x14ac:dyDescent="0.25">
      <c r="A5871" s="5" t="str">
        <f>"I0001567"</f>
        <v>I0001567</v>
      </c>
      <c r="B5871" s="5" t="str">
        <f>"PINZA DE DISECCION SIN GARRA CORTA 20 CM"</f>
        <v>PINZA DE DISECCION SIN GARRA CORTA 20 CM</v>
      </c>
      <c r="C5871" s="6">
        <v>38280</v>
      </c>
      <c r="D5871" s="5"/>
      <c r="E5871" s="5" t="str">
        <f t="shared" si="298"/>
        <v>INSTRUMENTACION-DIANA CAICEDO-DIANA DIAZ</v>
      </c>
      <c r="F5871" s="5" t="str">
        <f>"Descripcion: PINZA DE DISECCION ADSON SIN GARRA Estado: Bueno Placa anterior: 000031974 Material: ACERO INOXIDABLE Color: PLATEADO Referencia:  Observacion: PINZA DISECCION STANDARD Placa padre: I0001556Tipo adquisicion: Entidad"</f>
        <v>Descripcion: PINZA DE DISECCION ADSON SIN GARRA Estado: Bueno Placa anterior: 000031974 Material: ACERO INOXIDABLE Color: PLATEADO Referencia:  Observacion: PINZA DISECCION STANDARD Placa padre: I0001556Tipo adquisicion: Entidad</v>
      </c>
      <c r="G5871" s="5"/>
    </row>
    <row r="5872" spans="1:7" ht="58.5" customHeight="1" x14ac:dyDescent="0.25">
      <c r="A5872" s="5" t="str">
        <f>"I0001568"</f>
        <v>I0001568</v>
      </c>
      <c r="B5872" s="5" t="str">
        <f>"PINZA DE DISECCION CON GARRA MEDIANA 25 CM"</f>
        <v>PINZA DE DISECCION CON GARRA MEDIANA 25 CM</v>
      </c>
      <c r="C5872" s="6">
        <v>18560</v>
      </c>
      <c r="D5872" s="5"/>
      <c r="E5872" s="5" t="str">
        <f t="shared" si="298"/>
        <v>INSTRUMENTACION-DIANA CAICEDO-DIANA DIAZ</v>
      </c>
      <c r="F5872" s="5" t="str">
        <f>"Descripcion: PINZA DE DISECCION CORTA CON GARRA Estado: Bueno Placa anterior: 000032277 Material: ACERO INOXIDABLE Color: PLATEADO Referencia:  Observacion:     Placa padre: I0001556Tipo adquisicion: Entidad"</f>
        <v>Descripcion: PINZA DE DISECCION CORTA CON GARRA Estado: Bueno Placa anterior: 000032277 Material: ACERO INOXIDABLE Color: PLATEADO Referencia:  Observacion:     Placa padre: I0001556Tipo adquisicion: Entidad</v>
      </c>
      <c r="G5872" s="5"/>
    </row>
    <row r="5873" spans="1:7" ht="58.5" customHeight="1" x14ac:dyDescent="0.25">
      <c r="A5873" s="5" t="str">
        <f>"I0001569"</f>
        <v>I0001569</v>
      </c>
      <c r="B5873" s="5" t="str">
        <f>"PINZA DE DISECCION SIN GARRA LARGA 25 CM"</f>
        <v>PINZA DE DISECCION SIN GARRA LARGA 25 CM</v>
      </c>
      <c r="C5873" s="6">
        <v>17400</v>
      </c>
      <c r="D5873" s="5"/>
      <c r="E5873" s="5" t="str">
        <f t="shared" si="298"/>
        <v>INSTRUMENTACION-DIANA CAICEDO-DIANA DIAZ</v>
      </c>
      <c r="F5873" s="5" t="str">
        <f>"Descripcion: PINZA DE DISECCION CORTA SIN GARRA Estado: Bueno Placa anterior: 000032289 Material: ACERO INOXIDABLE Color: PLATEADO Referencia:  Observacion:     Placa padre: I0001556Tipo adquisicion: Entidad"</f>
        <v>Descripcion: PINZA DE DISECCION CORTA SIN GARRA Estado: Bueno Placa anterior: 000032289 Material: ACERO INOXIDABLE Color: PLATEADO Referencia:  Observacion:     Placa padre: I0001556Tipo adquisicion: Entidad</v>
      </c>
      <c r="G5873" s="5"/>
    </row>
    <row r="5874" spans="1:7" ht="58.5" customHeight="1" x14ac:dyDescent="0.25">
      <c r="A5874" s="5" t="str">
        <f>"I0001575"</f>
        <v>I0001575</v>
      </c>
      <c r="B5874" s="5" t="str">
        <f t="shared" ref="B5874:B5879" si="299">"PINZA MOSQUITO CURVA 12 CM"</f>
        <v>PINZA MOSQUITO CURVA 12 CM</v>
      </c>
      <c r="C5874" s="6">
        <v>19066.169999999998</v>
      </c>
      <c r="D5874" s="5"/>
      <c r="E5874" s="5" t="str">
        <f t="shared" si="298"/>
        <v>INSTRUMENTACION-DIANA CAICEDO-DIANA DIAZ</v>
      </c>
      <c r="F5874" s="5" t="str">
        <f>"Descripcion: PINZAS MOSQUITOS CURVA(DIMEDA) Estado: Bueno Placa anterior: 000006809 Material: ACERO INOXIDABLE Color: PLATEADO Referencia:  Observacion: PINZA MOSQUITO CURVA   Placa padre: I0001556Tipo adquisicion: Entidad"</f>
        <v>Descripcion: PINZAS MOSQUITOS CURVA(DIMEDA) Estado: Bueno Placa anterior: 000006809 Material: ACERO INOXIDABLE Color: PLATEADO Referencia:  Observacion: PINZA MOSQUITO CURVA   Placa padre: I0001556Tipo adquisicion: Entidad</v>
      </c>
      <c r="G5874" s="5"/>
    </row>
    <row r="5875" spans="1:7" ht="58.5" customHeight="1" x14ac:dyDescent="0.25">
      <c r="A5875" s="5" t="str">
        <f>"I0001576"</f>
        <v>I0001576</v>
      </c>
      <c r="B5875" s="5" t="str">
        <f t="shared" si="299"/>
        <v>PINZA MOSQUITO CURVA 12 CM</v>
      </c>
      <c r="C5875" s="6">
        <v>19066.169999999998</v>
      </c>
      <c r="D5875" s="5"/>
      <c r="E5875" s="5" t="str">
        <f t="shared" si="298"/>
        <v>INSTRUMENTACION-DIANA CAICEDO-DIANA DIAZ</v>
      </c>
      <c r="F5875" s="5" t="str">
        <f>"Descripcion: PINZAS MOSQUITOS CURVA(DIMEDA) Estado: Bueno Placa anterior: 000006811 Material: ACERO INOXIDABLE Color: PLATEADO Referencia:  Observacion: PINZA MOSQUITO CURVA   Placa padre: I0001556Tipo adquisicion: Entidad"</f>
        <v>Descripcion: PINZAS MOSQUITOS CURVA(DIMEDA) Estado: Bueno Placa anterior: 000006811 Material: ACERO INOXIDABLE Color: PLATEADO Referencia:  Observacion: PINZA MOSQUITO CURVA   Placa padre: I0001556Tipo adquisicion: Entidad</v>
      </c>
      <c r="G5875" s="5"/>
    </row>
    <row r="5876" spans="1:7" ht="58.5" customHeight="1" x14ac:dyDescent="0.25">
      <c r="A5876" s="5" t="str">
        <f>"I0001577"</f>
        <v>I0001577</v>
      </c>
      <c r="B5876" s="5" t="str">
        <f t="shared" si="299"/>
        <v>PINZA MOSQUITO CURVA 12 CM</v>
      </c>
      <c r="C5876" s="6">
        <v>19066.169999999998</v>
      </c>
      <c r="D5876" s="5"/>
      <c r="E5876" s="5" t="str">
        <f t="shared" si="298"/>
        <v>INSTRUMENTACION-DIANA CAICEDO-DIANA DIAZ</v>
      </c>
      <c r="F5876" s="5" t="str">
        <f>"Descripcion: PINZAS MOSQUITOS CURVA(DIMEDA) Estado: Bueno Placa anterior: 000006803 Material: ACERO INOXIDABLE Color: PLATEADO Referencia:  Observacion: PINZA MOSQUITO CURVA   Placa padre: I0001556Tipo adquisicion: Entidad"</f>
        <v>Descripcion: PINZAS MOSQUITOS CURVA(DIMEDA) Estado: Bueno Placa anterior: 000006803 Material: ACERO INOXIDABLE Color: PLATEADO Referencia:  Observacion: PINZA MOSQUITO CURVA   Placa padre: I0001556Tipo adquisicion: Entidad</v>
      </c>
      <c r="G5876" s="5"/>
    </row>
    <row r="5877" spans="1:7" ht="58.5" customHeight="1" x14ac:dyDescent="0.25">
      <c r="A5877" s="5" t="str">
        <f>"I0001580"</f>
        <v>I0001580</v>
      </c>
      <c r="B5877" s="5" t="str">
        <f t="shared" si="299"/>
        <v>PINZA MOSQUITO CURVA 12 CM</v>
      </c>
      <c r="C5877" s="6">
        <v>19066.169999999998</v>
      </c>
      <c r="D5877" s="5"/>
      <c r="E5877" s="5" t="str">
        <f t="shared" si="298"/>
        <v>INSTRUMENTACION-DIANA CAICEDO-DIANA DIAZ</v>
      </c>
      <c r="F5877" s="5" t="str">
        <f>"Descripcion: PINZAS MOSQUITOS CURVA(DIMEDA) Estado: Bueno Placa anterior: 000006805 Material: ACERO INOXIDABLE Color: PLATEADO Referencia:  Observacion: PINZA MOSQUITO CURVA   Placa padre: I0001556Tipo adquisicion: Entidad"</f>
        <v>Descripcion: PINZAS MOSQUITOS CURVA(DIMEDA) Estado: Bueno Placa anterior: 000006805 Material: ACERO INOXIDABLE Color: PLATEADO Referencia:  Observacion: PINZA MOSQUITO CURVA   Placa padre: I0001556Tipo adquisicion: Entidad</v>
      </c>
      <c r="G5877" s="5"/>
    </row>
    <row r="5878" spans="1:7" ht="58.5" customHeight="1" x14ac:dyDescent="0.25">
      <c r="A5878" s="5" t="str">
        <f>"I0001581"</f>
        <v>I0001581</v>
      </c>
      <c r="B5878" s="5" t="str">
        <f t="shared" si="299"/>
        <v>PINZA MOSQUITO CURVA 12 CM</v>
      </c>
      <c r="C5878" s="6">
        <v>19066.169999999998</v>
      </c>
      <c r="D5878" s="5"/>
      <c r="E5878" s="5" t="str">
        <f t="shared" si="298"/>
        <v>INSTRUMENTACION-DIANA CAICEDO-DIANA DIAZ</v>
      </c>
      <c r="F5878" s="5" t="str">
        <f>"Descripcion: PINZAS MOSQUITOS CURVA(DIMEDA) Estado: Bueno Placa anterior: 000006807 Material: ACERO INOXIDABLE Color: PLATEADO Referencia:  Observacion: PINZA MOSQUITO CURVA   Placa padre: I0001556Tipo adquisicion: Entidad"</f>
        <v>Descripcion: PINZAS MOSQUITOS CURVA(DIMEDA) Estado: Bueno Placa anterior: 000006807 Material: ACERO INOXIDABLE Color: PLATEADO Referencia:  Observacion: PINZA MOSQUITO CURVA   Placa padre: I0001556Tipo adquisicion: Entidad</v>
      </c>
      <c r="G5878" s="5"/>
    </row>
    <row r="5879" spans="1:7" ht="58.5" customHeight="1" x14ac:dyDescent="0.25">
      <c r="A5879" s="5" t="str">
        <f>"I0001582"</f>
        <v>I0001582</v>
      </c>
      <c r="B5879" s="5" t="str">
        <f t="shared" si="299"/>
        <v>PINZA MOSQUITO CURVA 12 CM</v>
      </c>
      <c r="C5879" s="6">
        <v>19066.169999999998</v>
      </c>
      <c r="D5879" s="5"/>
      <c r="E5879" s="5" t="str">
        <f t="shared" si="298"/>
        <v>INSTRUMENTACION-DIANA CAICEDO-DIANA DIAZ</v>
      </c>
      <c r="F5879" s="5" t="str">
        <f>"Descripcion: PINZAS MOSQUITOS CURVA(DIMEDA) Estado: Bueno Placa anterior: 000006813 Material: ACERO INOXIDABLE Color: PLATEADO Referencia:  Observacion: PINZA MOSQUITO CURVA   Placa padre: I0001556Tipo adquisicion: Entidad"</f>
        <v>Descripcion: PINZAS MOSQUITOS CURVA(DIMEDA) Estado: Bueno Placa anterior: 000006813 Material: ACERO INOXIDABLE Color: PLATEADO Referencia:  Observacion: PINZA MOSQUITO CURVA   Placa padre: I0001556Tipo adquisicion: Entidad</v>
      </c>
      <c r="G5879" s="5"/>
    </row>
    <row r="5880" spans="1:7" ht="58.5" customHeight="1" x14ac:dyDescent="0.25">
      <c r="A5880" s="5" t="str">
        <f>"I0001595"</f>
        <v>I0001595</v>
      </c>
      <c r="B5880" s="5" t="str">
        <f>"PORTAGUJAS (PINZA)"</f>
        <v>PORTAGUJAS (PINZA)</v>
      </c>
      <c r="C5880" s="6">
        <v>63800</v>
      </c>
      <c r="D5880" s="5"/>
      <c r="E5880" s="5" t="str">
        <f t="shared" si="298"/>
        <v>INSTRUMENTACION-DIANA CAICEDO-DIANA DIAZ</v>
      </c>
      <c r="F5880" s="5" t="str">
        <f>"Descripcion: PORTA AGUJAS PEQUEÑO Estado: Bueno Placa anterior: 000032411 Material: ACERO INOXIDABLE Color: PLATEADO Referencia:  Observacion:     Placa padre: I0001556Tipo adquisicion: Entidad"</f>
        <v>Descripcion: PORTA AGUJAS PEQUEÑO Estado: Bueno Placa anterior: 000032411 Material: ACERO INOXIDABLE Color: PLATEADO Referencia:  Observacion:     Placa padre: I0001556Tipo adquisicion: Entidad</v>
      </c>
      <c r="G5880" s="5"/>
    </row>
    <row r="5881" spans="1:7" ht="58.5" customHeight="1" x14ac:dyDescent="0.25">
      <c r="A5881" s="5" t="str">
        <f>"I0001602"</f>
        <v>I0001602</v>
      </c>
      <c r="B5881" s="5" t="str">
        <f>"MANGO PARA BISTURI #4"</f>
        <v>MANGO PARA BISTURI #4</v>
      </c>
      <c r="C5881" s="6">
        <v>15080</v>
      </c>
      <c r="D5881" s="5"/>
      <c r="E5881" s="5" t="str">
        <f t="shared" si="298"/>
        <v>INSTRUMENTACION-DIANA CAICEDO-DIANA DIAZ</v>
      </c>
      <c r="F5881" s="5" t="str">
        <f>"Descripcion: MANGO DE BISTURÍ # 3 Estado: Bueno Placa anterior: 000031858 Material: ACERO INOXIDABLE Color: PLATEADO Referencia:  Observacion:     Placa padre: I0001601Tipo adquisicion: Entidad"</f>
        <v>Descripcion: MANGO DE BISTURÍ # 3 Estado: Bueno Placa anterior: 000031858 Material: ACERO INOXIDABLE Color: PLATEADO Referencia:  Observacion:     Placa padre: I0001601Tipo adquisicion: Entidad</v>
      </c>
      <c r="G5881" s="5"/>
    </row>
    <row r="5882" spans="1:7" ht="58.5" customHeight="1" x14ac:dyDescent="0.25">
      <c r="A5882" s="5" t="str">
        <f>"I0001605"</f>
        <v>I0001605</v>
      </c>
      <c r="B5882" s="5" t="str">
        <f>"TIJERA  DE METZEMBAUM CURVA"</f>
        <v>TIJERA  DE METZEMBAUM CURVA</v>
      </c>
      <c r="C5882" s="6">
        <v>40649</v>
      </c>
      <c r="D5882" s="5"/>
      <c r="E5882" s="5" t="str">
        <f t="shared" si="298"/>
        <v>INSTRUMENTACION-DIANA CAICEDO-DIANA DIAZ</v>
      </c>
      <c r="F5882" s="5" t="str">
        <f>"Descripcion: TIJERA DE METZENBAUM CURVA PLÁSTICA (DIMEDA) Estado: Bueno Placa anterior: 000023913 Material: ACERO INOXIDABLE Color: PLATEADO Referencia:  Observacion:     Placa padre: I0001601Tipo adquisicion: Entidad"</f>
        <v>Descripcion: TIJERA DE METZENBAUM CURVA PLÁSTICA (DIMEDA) Estado: Bueno Placa anterior: 000023913 Material: ACERO INOXIDABLE Color: PLATEADO Referencia:  Observacion:     Placa padre: I0001601Tipo adquisicion: Entidad</v>
      </c>
      <c r="G5882" s="5"/>
    </row>
    <row r="5883" spans="1:7" ht="58.5" customHeight="1" x14ac:dyDescent="0.25">
      <c r="A5883" s="5" t="str">
        <f>"I0001606"</f>
        <v>I0001606</v>
      </c>
      <c r="B5883" s="5" t="str">
        <f>"TIJERA MAYO RECTA"</f>
        <v>TIJERA MAYO RECTA</v>
      </c>
      <c r="C5883" s="6">
        <v>52200</v>
      </c>
      <c r="D5883" s="5"/>
      <c r="E5883" s="5" t="str">
        <f t="shared" si="298"/>
        <v>INSTRUMENTACION-DIANA CAICEDO-DIANA DIAZ</v>
      </c>
      <c r="F5883" s="5" t="str">
        <f>"Descripcion: TIJERA DE MAYO RECTA (DIMEDA) Estado: Bueno Placa anterior: 000032198 Material: ACERO INOXIDABLE Color: PLATEADO Referencia:  Observacion:     Placa padre: I0001601Tipo adquisicion: Entidad"</f>
        <v>Descripcion: TIJERA DE MAYO RECTA (DIMEDA) Estado: Bueno Placa anterior: 000032198 Material: ACERO INOXIDABLE Color: PLATEADO Referencia:  Observacion:     Placa padre: I0001601Tipo adquisicion: Entidad</v>
      </c>
      <c r="G5883" s="5"/>
    </row>
    <row r="5884" spans="1:7" ht="58.5" customHeight="1" x14ac:dyDescent="0.25">
      <c r="A5884" s="5" t="str">
        <f>"I0001611"</f>
        <v>I0001611</v>
      </c>
      <c r="B5884" s="5" t="str">
        <f>"PINZA DE DISECCION SIN GARRA CORTA 20 CM"</f>
        <v>PINZA DE DISECCION SIN GARRA CORTA 20 CM</v>
      </c>
      <c r="C5884" s="6">
        <v>31320</v>
      </c>
      <c r="D5884" s="5"/>
      <c r="E5884" s="5" t="str">
        <f t="shared" si="298"/>
        <v>INSTRUMENTACION-DIANA CAICEDO-DIANA DIAZ</v>
      </c>
      <c r="F5884" s="5" t="str">
        <f>"Descripcion: PINZA DE DISECCION ADSON CON GARRA (DIMEDA) Estado: Bueno Placa anterior: 000032264 Material: ACERO INOXIDABLE Color: PLATEADO Referencia:  Observacion:     Placa padre: I0001601Tipo adquisicion: Entidad"</f>
        <v>Descripcion: PINZA DE DISECCION ADSON CON GARRA (DIMEDA) Estado: Bueno Placa anterior: 000032264 Material: ACERO INOXIDABLE Color: PLATEADO Referencia:  Observacion:     Placa padre: I0001601Tipo adquisicion: Entidad</v>
      </c>
      <c r="G5884" s="5"/>
    </row>
    <row r="5885" spans="1:7" ht="58.5" customHeight="1" x14ac:dyDescent="0.25">
      <c r="A5885" s="5" t="str">
        <f>"I0001612"</f>
        <v>I0001612</v>
      </c>
      <c r="B5885" s="5" t="str">
        <f>"PINZA DE DISECCION SIN GARRA CORTA 20 CM"</f>
        <v>PINZA DE DISECCION SIN GARRA CORTA 20 CM</v>
      </c>
      <c r="C5885" s="6">
        <v>38280</v>
      </c>
      <c r="D5885" s="5"/>
      <c r="E5885" s="5" t="str">
        <f t="shared" si="298"/>
        <v>INSTRUMENTACION-DIANA CAICEDO-DIANA DIAZ</v>
      </c>
      <c r="F5885" s="5" t="str">
        <f>"Descripcion: PINZA DE DISECCION ADSON SIN GARRA Estado: Bueno Placa anterior: 000031976 Material: ACERO INOXIDABLE Color: PLATEADO Referencia:  Observacion: PINZA DISECCION STANDARD Placa padre: I0001601Tipo adquisicion: Entidad"</f>
        <v>Descripcion: PINZA DE DISECCION ADSON SIN GARRA Estado: Bueno Placa anterior: 000031976 Material: ACERO INOXIDABLE Color: PLATEADO Referencia:  Observacion: PINZA DISECCION STANDARD Placa padre: I0001601Tipo adquisicion: Entidad</v>
      </c>
      <c r="G5885" s="5"/>
    </row>
    <row r="5886" spans="1:7" ht="58.5" customHeight="1" x14ac:dyDescent="0.25">
      <c r="A5886" s="5" t="str">
        <f>"I0001613"</f>
        <v>I0001613</v>
      </c>
      <c r="B5886" s="5" t="str">
        <f>"PINZA DE DISECCION CON GARRA MEDIANA 25 CM"</f>
        <v>PINZA DE DISECCION CON GARRA MEDIANA 25 CM</v>
      </c>
      <c r="C5886" s="6">
        <v>18560</v>
      </c>
      <c r="D5886" s="5"/>
      <c r="E5886" s="5" t="str">
        <f t="shared" si="298"/>
        <v>INSTRUMENTACION-DIANA CAICEDO-DIANA DIAZ</v>
      </c>
      <c r="F5886" s="5" t="str">
        <f>"Descripcion: PINZA DE DISECCION CORTA CON GARRA Estado: Bueno Placa anterior: 000032278 Material: ACERO INOXIDABLE Color: PLATEADO Referencia:  Observacion:     Placa padre: I0001601Tipo adquisicion: Entidad"</f>
        <v>Descripcion: PINZA DE DISECCION CORTA CON GARRA Estado: Bueno Placa anterior: 000032278 Material: ACERO INOXIDABLE Color: PLATEADO Referencia:  Observacion:     Placa padre: I0001601Tipo adquisicion: Entidad</v>
      </c>
      <c r="G5886" s="5"/>
    </row>
    <row r="5887" spans="1:7" ht="58.5" customHeight="1" x14ac:dyDescent="0.25">
      <c r="A5887" s="5" t="str">
        <f>"I0001614"</f>
        <v>I0001614</v>
      </c>
      <c r="B5887" s="5" t="str">
        <f>"PINZA DE DISECCION SIN GARRA LARGA 25 CM"</f>
        <v>PINZA DE DISECCION SIN GARRA LARGA 25 CM</v>
      </c>
      <c r="C5887" s="6">
        <v>17400</v>
      </c>
      <c r="D5887" s="5"/>
      <c r="E5887" s="5" t="str">
        <f t="shared" si="298"/>
        <v>INSTRUMENTACION-DIANA CAICEDO-DIANA DIAZ</v>
      </c>
      <c r="F5887" s="5" t="str">
        <f>"Descripcion: PINZA DE DISECCION CORTA SIN GARRA Estado: Bueno Placa anterior: 000032290 Material: ACERO INOXIDABLE Color: PLATEADO Referencia:  Observacion:     Placa padre: I0001601Tipo adquisicion: Entidad"</f>
        <v>Descripcion: PINZA DE DISECCION CORTA SIN GARRA Estado: Bueno Placa anterior: 000032290 Material: ACERO INOXIDABLE Color: PLATEADO Referencia:  Observacion:     Placa padre: I0001601Tipo adquisicion: Entidad</v>
      </c>
      <c r="G5887" s="5"/>
    </row>
    <row r="5888" spans="1:7" ht="58.5" customHeight="1" x14ac:dyDescent="0.25">
      <c r="A5888" s="5" t="str">
        <f>"I0001640"</f>
        <v>I0001640</v>
      </c>
      <c r="B5888" s="5" t="str">
        <f>"PORTAGUJAS (PINZA)"</f>
        <v>PORTAGUJAS (PINZA)</v>
      </c>
      <c r="C5888" s="6">
        <v>63800</v>
      </c>
      <c r="D5888" s="5"/>
      <c r="E5888" s="5" t="str">
        <f t="shared" si="298"/>
        <v>INSTRUMENTACION-DIANA CAICEDO-DIANA DIAZ</v>
      </c>
      <c r="F5888" s="5" t="str">
        <f>"Descripcion: PORTA AGUJAS PEQUEÑO Estado: Bueno Placa anterior: 000032412 Material: ACERO INOXIDABLE Color: PLATEADO Referencia:  Observacion:     Placa padre: I0001601Tipo adquisicion: Entidad"</f>
        <v>Descripcion: PORTA AGUJAS PEQUEÑO Estado: Bueno Placa anterior: 000032412 Material: ACERO INOXIDABLE Color: PLATEADO Referencia:  Observacion:     Placa padre: I0001601Tipo adquisicion: Entidad</v>
      </c>
      <c r="G5888" s="5"/>
    </row>
    <row r="5889" spans="1:7" ht="58.5" customHeight="1" x14ac:dyDescent="0.25">
      <c r="A5889" s="5" t="str">
        <f>"I0001645"</f>
        <v>I0001645</v>
      </c>
      <c r="B5889" s="5" t="str">
        <f>"CUBETA DE ACERO INOXIDABLE MEDIANA"</f>
        <v>CUBETA DE ACERO INOXIDABLE MEDIANA</v>
      </c>
      <c r="C5889" s="6">
        <v>1110000</v>
      </c>
      <c r="D5889" s="5"/>
      <c r="E5889" s="5" t="str">
        <f t="shared" si="298"/>
        <v>INSTRUMENTACION-DIANA CAICEDO-DIANA DIAZ</v>
      </c>
      <c r="F5889" s="5" t="str">
        <f>"Descripcion: CANASTA DE INSTRUMENTAL Estado: Bueno Placa anterior: 000026880 Material: ACERO INOXIDABLE Color: PLATEADO Referencia:  Observacion: CANASTA PARAENDOSCOPIOS CON PROTECTOR EN SILICONA 460X80X52 Placa padre: I0001601Tipo adquisicion: Entidad"</f>
        <v>Descripcion: CANASTA DE INSTRUMENTAL Estado: Bueno Placa anterior: 000026880 Material: ACERO INOXIDABLE Color: PLATEADO Referencia:  Observacion: CANASTA PARAENDOSCOPIOS CON PROTECTOR EN SILICONA 460X80X52 Placa padre: I0001601Tipo adquisicion: Entidad</v>
      </c>
      <c r="G5889" s="5"/>
    </row>
    <row r="5890" spans="1:7" ht="58.5" customHeight="1" x14ac:dyDescent="0.25">
      <c r="A5890" s="5" t="str">
        <f>"I0001646"</f>
        <v>I0001646</v>
      </c>
      <c r="B5890" s="5" t="str">
        <f>"EQUIPO DE SUTURA"</f>
        <v>EQUIPO DE SUTURA</v>
      </c>
      <c r="C5890" s="6">
        <v>200000</v>
      </c>
      <c r="D5890" s="5"/>
      <c r="E5890" s="5" t="str">
        <f t="shared" si="298"/>
        <v>INSTRUMENTACION-DIANA CAICEDO-DIANA DIAZ</v>
      </c>
      <c r="F5890" s="5" t="str">
        <f>"Descripcion: EQUIPO DE SUTURA QUE CONSTA DE:  (1) MANGO DE BISTURÍ # 4  (1) MANGO DE BISTURÍ # 3  (1) TIJERA DE METZENBAUM PEQUEÑA  (1) TIJERA RECTA  (2) SEPARADORES DE FARABEUF  BABY   (1) PINZA DISECCIÓN  CON GARRA CORTA PEQUEÑA  (1) PINZA DE DISECCION "&amp; "ADSON CON GARRA  (0) PINZAS KELLY CURVAS  (2) PINZAS MOSQUITOS CURVAS  (4) PINZAS ALLIX PEQUEÑAS  (4) PINZAS DE CAMPO  (1) CANULA DE SUCCIÓN  (1) PORTA AGUJAS PEQUEÑO (DIMEDA)  (1) PLATON DE ALUMINIO Estado: Bueno Placa anterior: 000012676 Material: ACERO"&amp; " INOXIDABLE Color: PLATEADO Referencia:  Observacion:     Placa padre: Tipo adquisicion: Entidad"</f>
        <v>Descripcion: EQUIPO DE SUTURA QUE CONSTA DE:  (1) MANGO DE BISTURÍ # 4  (1) MANGO DE BISTURÍ # 3  (1) TIJERA DE METZENBAUM PEQUEÑA  (1) TIJERA RECTA  (2) SEPARADORES DE FARABEUF  BABY   (1) PINZA DISECCIÓN  CON GARRA CORTA PEQUEÑA  (1) PINZA DE DISECCION ADSON CON GARRA  (0) PINZAS KELLY CURVAS  (2) PINZAS MOSQUITOS CURVAS  (4) PINZAS ALLIX PEQUEÑAS  (4) PINZAS DE CAMPO  (1) CANULA DE SUCCIÓN  (1) PORTA AGUJAS PEQUEÑO (DIMEDA)  (1) PLATON DE ALUMINIO Estado: Bueno Placa anterior: 000012676 Material: ACERO INOXIDABLE Color: PLATEADO Referencia:  Observacion:     Placa padre: Tipo adquisicion: Entidad</v>
      </c>
      <c r="G5890" s="5"/>
    </row>
    <row r="5891" spans="1:7" ht="58.5" customHeight="1" x14ac:dyDescent="0.25">
      <c r="A5891" s="5" t="str">
        <f>"I0001648"</f>
        <v>I0001648</v>
      </c>
      <c r="B5891" s="5" t="str">
        <f>"MANGO PARA BISTURI #4"</f>
        <v>MANGO PARA BISTURI #4</v>
      </c>
      <c r="C5891" s="6">
        <v>15080</v>
      </c>
      <c r="D5891" s="5"/>
      <c r="E5891" s="5" t="str">
        <f t="shared" si="298"/>
        <v>INSTRUMENTACION-DIANA CAICEDO-DIANA DIAZ</v>
      </c>
      <c r="F5891" s="5" t="str">
        <f>"Descripcion: MANGO DE BISTURÍ # 3 Estado: Bueno Placa anterior: 000031859 Material: ACERO INOXIDABLE Color: PLATEADO Referencia:  Observacion:     Placa padre: I0001646Tipo adquisicion: Entidad"</f>
        <v>Descripcion: MANGO DE BISTURÍ # 3 Estado: Bueno Placa anterior: 000031859 Material: ACERO INOXIDABLE Color: PLATEADO Referencia:  Observacion:     Placa padre: I0001646Tipo adquisicion: Entidad</v>
      </c>
      <c r="G5891" s="5"/>
    </row>
    <row r="5892" spans="1:7" ht="58.5" customHeight="1" x14ac:dyDescent="0.25">
      <c r="A5892" s="5" t="str">
        <f>"I0001649"</f>
        <v>I0001649</v>
      </c>
      <c r="B5892" s="5" t="str">
        <f>"TIJERA  DE METZEMBAUM CURVA"</f>
        <v>TIJERA  DE METZEMBAUM CURVA</v>
      </c>
      <c r="C5892" s="6">
        <v>40649</v>
      </c>
      <c r="D5892" s="5"/>
      <c r="E5892" s="5" t="str">
        <f t="shared" si="298"/>
        <v>INSTRUMENTACION-DIANA CAICEDO-DIANA DIAZ</v>
      </c>
      <c r="F5892" s="5" t="str">
        <f>"Descripcion: TIJERA DE METZENBAUM PEQUEÑA Estado: Bueno Placa anterior: 000023914 Material: ACERO INOXIDABLE Color: PLATEADO Referencia:  Observacion:     Placa padre: I0001646Tipo adquisicion: Entidad"</f>
        <v>Descripcion: TIJERA DE METZENBAUM PEQUEÑA Estado: Bueno Placa anterior: 000023914 Material: ACERO INOXIDABLE Color: PLATEADO Referencia:  Observacion:     Placa padre: I0001646Tipo adquisicion: Entidad</v>
      </c>
      <c r="G5892" s="5"/>
    </row>
    <row r="5893" spans="1:7" ht="58.5" customHeight="1" x14ac:dyDescent="0.25">
      <c r="A5893" s="5" t="str">
        <f>"I0001653"</f>
        <v>I0001653</v>
      </c>
      <c r="B5893" s="5" t="str">
        <f>"PINZA DE DISECCION CON GARRA MEDIANA 25 CM"</f>
        <v>PINZA DE DISECCION CON GARRA MEDIANA 25 CM</v>
      </c>
      <c r="C5893" s="6">
        <v>18560</v>
      </c>
      <c r="D5893" s="5"/>
      <c r="E5893" s="5" t="str">
        <f t="shared" si="298"/>
        <v>INSTRUMENTACION-DIANA CAICEDO-DIANA DIAZ</v>
      </c>
      <c r="F5893" s="5" t="str">
        <f>"Descripcion: PINZA DISECCIÓN  CON GARRA CORTA PEQUEÑA Estado: Bueno Placa anterior: 000032279 Material: ACERO INOXIDABLE Color: PLATEADO Referencia:  Observacion:     Placa padre: I0001646Tipo adquisicion: Entidad"</f>
        <v>Descripcion: PINZA DISECCIÓN  CON GARRA CORTA PEQUEÑA Estado: Bueno Placa anterior: 000032279 Material: ACERO INOXIDABLE Color: PLATEADO Referencia:  Observacion:     Placa padre: I0001646Tipo adquisicion: Entidad</v>
      </c>
      <c r="G5893" s="5"/>
    </row>
    <row r="5894" spans="1:7" ht="58.5" customHeight="1" x14ac:dyDescent="0.25">
      <c r="A5894" s="5" t="str">
        <f>"I0001654"</f>
        <v>I0001654</v>
      </c>
      <c r="B5894" s="5" t="str">
        <f>"PINZA DE DISECCION SIN GARRA CORTA 20 CM"</f>
        <v>PINZA DE DISECCION SIN GARRA CORTA 20 CM</v>
      </c>
      <c r="C5894" s="6">
        <v>31320</v>
      </c>
      <c r="D5894" s="5"/>
      <c r="E5894" s="5" t="str">
        <f t="shared" si="298"/>
        <v>INSTRUMENTACION-DIANA CAICEDO-DIANA DIAZ</v>
      </c>
      <c r="F5894" s="5" t="str">
        <f>"Descripcion: PINZA DE DISECCION ADSON CON GARRA Estado: Bueno Placa anterior: 000032265 Material: ACERO INOXIDABLE Color: PLATEADO Referencia:  Observacion:     Placa padre: I0001646Tipo adquisicion: Entidad"</f>
        <v>Descripcion: PINZA DE DISECCION ADSON CON GARRA Estado: Bueno Placa anterior: 000032265 Material: ACERO INOXIDABLE Color: PLATEADO Referencia:  Observacion:     Placa padre: I0001646Tipo adquisicion: Entidad</v>
      </c>
      <c r="G5894" s="5"/>
    </row>
    <row r="5895" spans="1:7" ht="58.5" customHeight="1" x14ac:dyDescent="0.25">
      <c r="A5895" s="5" t="str">
        <f>"I0001668"</f>
        <v>I0001668</v>
      </c>
      <c r="B5895" s="5" t="str">
        <f>"PORTAGUJAS (PINZA)"</f>
        <v>PORTAGUJAS (PINZA)</v>
      </c>
      <c r="C5895" s="6">
        <v>63800</v>
      </c>
      <c r="D5895" s="5"/>
      <c r="E5895" s="5" t="str">
        <f t="shared" si="298"/>
        <v>INSTRUMENTACION-DIANA CAICEDO-DIANA DIAZ</v>
      </c>
      <c r="F5895" s="5" t="str">
        <f>"Descripcion: PORTA AGUJAS PEQUEÑO (DIMEDA) Estado: Bueno Placa anterior: 000032413 Material: ACERO INOXIDABLE Color: PLATEADO Referencia:  Observacion:     Placa padre: I0001646Tipo adquisicion: Entidad"</f>
        <v>Descripcion: PORTA AGUJAS PEQUEÑO (DIMEDA) Estado: Bueno Placa anterior: 000032413 Material: ACERO INOXIDABLE Color: PLATEADO Referencia:  Observacion:     Placa padre: I0001646Tipo adquisicion: Entidad</v>
      </c>
      <c r="G5895" s="5"/>
    </row>
    <row r="5896" spans="1:7" ht="58.5" customHeight="1" x14ac:dyDescent="0.25">
      <c r="A5896" s="5" t="str">
        <f>"I0001670"</f>
        <v>I0001670</v>
      </c>
      <c r="B5896" s="5" t="str">
        <f>"EQUIPO DE NARIZ"</f>
        <v>EQUIPO DE NARIZ</v>
      </c>
      <c r="C5896" s="6">
        <v>869724</v>
      </c>
      <c r="D5896" s="5"/>
      <c r="E5896" s="5" t="str">
        <f t="shared" si="298"/>
        <v>INSTRUMENTACION-DIANA CAICEDO-DIANA DIAZ</v>
      </c>
      <c r="F5896" s="5" t="str">
        <f>"Descripcion: EQUIPO CUERPO EXTRAÑO NARIZ CONSTA DE:QUIPO CUERPO EXTRAÑO NARIZ CONSTA DE: Estado: Bueno Placa anterior: 000012877 Material: ACERO INOXIDABLE Color: PLATEADO Referencia:  Observacion:  Placa padre: Tipo adquisicion: Entidad"</f>
        <v>Descripcion: EQUIPO CUERPO EXTRAÑO NARIZ CONSTA DE:QUIPO CUERPO EXTRAÑO NARIZ CONSTA DE: Estado: Bueno Placa anterior: 000012877 Material: ACERO INOXIDABLE Color: PLATEADO Referencia:  Observacion:  Placa padre: Tipo adquisicion: Entidad</v>
      </c>
      <c r="G5896" s="5"/>
    </row>
    <row r="5897" spans="1:7" ht="58.5" customHeight="1" x14ac:dyDescent="0.25">
      <c r="A5897" s="5" t="str">
        <f>"I0001671"</f>
        <v>I0001671</v>
      </c>
      <c r="B5897" s="5" t="str">
        <f>"PINZA HARTMAN"</f>
        <v>PINZA HARTMAN</v>
      </c>
      <c r="C5897" s="6">
        <v>14850</v>
      </c>
      <c r="D5897" s="5"/>
      <c r="E5897" s="5" t="str">
        <f t="shared" si="298"/>
        <v>INSTRUMENTACION-DIANA CAICEDO-DIANA DIAZ</v>
      </c>
      <c r="F5897" s="5" t="str">
        <f>"Descripcion: PINZA DE HARTMAN PEQUEÑA Estado: Bueno Placa anterior: 000016170 Material: ACERO INOXIDABLE Color: PLATEADO Referencia:  Observacion:  Placa padre: I0001670Tipo adquisicion: Entidad"</f>
        <v>Descripcion: PINZA DE HARTMAN PEQUEÑA Estado: Bueno Placa anterior: 000016170 Material: ACERO INOXIDABLE Color: PLATEADO Referencia:  Observacion:  Placa padre: I0001670Tipo adquisicion: Entidad</v>
      </c>
      <c r="G5897" s="5"/>
    </row>
    <row r="5898" spans="1:7" ht="58.5" customHeight="1" x14ac:dyDescent="0.25">
      <c r="A5898" s="5" t="str">
        <f>"I0001672"</f>
        <v>I0001672</v>
      </c>
      <c r="B5898" s="5" t="str">
        <f>"PINZA DE DISECCION SIN GARRA CORTA 20 CM"</f>
        <v>PINZA DE DISECCION SIN GARRA CORTA 20 CM</v>
      </c>
      <c r="C5898" s="6">
        <v>38280</v>
      </c>
      <c r="D5898" s="5"/>
      <c r="E5898" s="5" t="str">
        <f t="shared" si="298"/>
        <v>INSTRUMENTACION-DIANA CAICEDO-DIANA DIAZ</v>
      </c>
      <c r="F5898" s="5" t="str">
        <f>"Descripcion: PINZA DISECCION STANDARD Estado: Bueno Placa anterior: 000031971 Material: ACERO INOXIDABLE Color: PLATEADO Referencia:  Observacion:  Placa padre: I0001670Tipo adquisicion: Entidad"</f>
        <v>Descripcion: PINZA DISECCION STANDARD Estado: Bueno Placa anterior: 000031971 Material: ACERO INOXIDABLE Color: PLATEADO Referencia:  Observacion:  Placa padre: I0001670Tipo adquisicion: Entidad</v>
      </c>
      <c r="G5898" s="5"/>
    </row>
    <row r="5899" spans="1:7" ht="58.5" customHeight="1" x14ac:dyDescent="0.25">
      <c r="A5899" s="5" t="str">
        <f>"I0001673"</f>
        <v>I0001673</v>
      </c>
      <c r="B5899" s="5" t="str">
        <f>"ESPECULO NASAL"</f>
        <v>ESPECULO NASAL</v>
      </c>
      <c r="C5899" s="6">
        <v>17786.169999999998</v>
      </c>
      <c r="D5899" s="5"/>
      <c r="E5899" s="5" t="str">
        <f t="shared" si="298"/>
        <v>INSTRUMENTACION-DIANA CAICEDO-DIANA DIAZ</v>
      </c>
      <c r="F5899" s="5" t="str">
        <f>"Descripcion: ESPECULO NASAL Estado: Bueno Placa anterior: 000020178 Material: ACERO INOXIDABLE Color: PLATEADO Referencia:  Observacion:  Placa padre: I0001670Tipo adquisicion: Entidad"</f>
        <v>Descripcion: ESPECULO NASAL Estado: Bueno Placa anterior: 000020178 Material: ACERO INOXIDABLE Color: PLATEADO Referencia:  Observacion:  Placa padre: I0001670Tipo adquisicion: Entidad</v>
      </c>
      <c r="G5899" s="5"/>
    </row>
    <row r="5900" spans="1:7" ht="58.5" customHeight="1" x14ac:dyDescent="0.25">
      <c r="A5900" s="5" t="str">
        <f>"I0001677"</f>
        <v>I0001677</v>
      </c>
      <c r="B5900" s="5" t="str">
        <f>"EQUIPO DE CIRUGIA"</f>
        <v>EQUIPO DE CIRUGIA</v>
      </c>
      <c r="C5900" s="6">
        <v>1442335.3</v>
      </c>
      <c r="D5900" s="5"/>
      <c r="E5900" s="5" t="str">
        <f t="shared" si="298"/>
        <v>INSTRUMENTACION-DIANA CAICEDO-DIANA DIAZ</v>
      </c>
      <c r="F5900" s="5" t="str">
        <f>"Descripcion: EQUIPO MEDIANO DE CIRUGIA  # 4  (1)MANGO DE BISTURI  #4  (1) MANGO DE BISTURI  #7  (2) SEPARADORES DE FARA BEUF  (1) SEPARADOR DE DEAVERS ANGOSTO  (1) TIJERA DE MAYO RECTA (DIMEDA)  (1) TIJERA DE METZEMBAUM CURVA   (1) PINZA DE DISECCION SIN "&amp; "GARRA PEQUEÑA (DIMEDA)  (1) PINZA DE DISECCION SIN GARRA MEDIANA  (1) PINZA DE DISECCION ADSON CON GARRA  (1) PINZA DE DISECCION CON GARRA (DIMEDA)  (1) PINZA DE DISECCION RUSA (DIMEDA)  (7) PINZAS KELLY CURVAS  (2) PINZAS KELLY RECTAS   (4) PINZAS ALLIX "&amp; " (6) PINZAS ROCHESTER CURVAS   (2)  PINZAS KELLY ADSON (DIMEDA)  (2)  PINZAS DE CISTICO  (2)  PINZAS BABCOCK  (1) PORTA AGUJAS MEDIANO (DIMEDA)  (6) PINZAS DE CAMPO  (1) CANULA DE YANKAWER (DIMEDA)  (1) PLATON NIQUELADO  (1) CUBETA DE INSTRUMENTAL NIQUELA"&amp; "DA Estado: Bueno Placa anterior: 000016740 Material: ACERO INOXIDABLE Color: PLATEADO Referencia:  Observacion:  Placa padre: Tipo adquisicion: Entidad"</f>
        <v>Descripcion: EQUIPO MEDIANO DE CIRUGIA  # 4  (1)MANGO DE BISTURI  #4  (1) MANGO DE BISTURI  #7  (2) SEPARADORES DE FARA BEUF  (1) SEPARADOR DE DEAVERS ANGOSTO  (1) TIJERA DE MAYO RECTA (DIMEDA)  (1) TIJERA DE METZEMBAUM CURVA   (1) PINZA DE DISECCION SIN GARRA PEQUEÑA (DIMEDA)  (1) PINZA DE DISECCION SIN GARRA MEDIANA  (1) PINZA DE DISECCION ADSON CON GARRA  (1) PINZA DE DISECCION CON GARRA (DIMEDA)  (1) PINZA DE DISECCION RUSA (DIMEDA)  (7) PINZAS KELLY CURVAS  (2) PINZAS KELLY RECTAS   (4) PINZAS ALLIX  (6) PINZAS ROCHESTER CURVAS   (2)  PINZAS KELLY ADSON (DIMEDA)  (2)  PINZAS DE CISTICO  (2)  PINZAS BABCOCK  (1) PORTA AGUJAS MEDIANO (DIMEDA)  (6) PINZAS DE CAMPO  (1) CANULA DE YANKAWER (DIMEDA)  (1) PLATON NIQUELADO  (1) CUBETA DE INSTRUMENTAL NIQUELADA Estado: Bueno Placa anterior: 000016740 Material: ACERO INOXIDABLE Color: PLATEADO Referencia:  Observacion:  Placa padre: Tipo adquisicion: Entidad</v>
      </c>
      <c r="G5900" s="5"/>
    </row>
    <row r="5901" spans="1:7" ht="58.5" customHeight="1" x14ac:dyDescent="0.25">
      <c r="A5901" s="5" t="str">
        <f>"I0001680"</f>
        <v>I0001680</v>
      </c>
      <c r="B5901" s="5" t="str">
        <f>"SEPARADOR DE ABDOMEN (FARABEUF)"</f>
        <v>SEPARADOR DE ABDOMEN (FARABEUF)</v>
      </c>
      <c r="C5901" s="6">
        <v>750</v>
      </c>
      <c r="D5901" s="5"/>
      <c r="E5901" s="5" t="str">
        <f t="shared" si="298"/>
        <v>INSTRUMENTACION-DIANA CAICEDO-DIANA DIAZ</v>
      </c>
      <c r="F5901" s="5" t="str">
        <f>"Descripcion: SEPARADOR DE FARABEUM Estado: Bueno Placa anterior: 000020110 Material: ACERO INOXIDABLE Color: PLATEADO Referencia:  Observacion:  Placa padre: I0001677Tipo adquisicion: Entidad"</f>
        <v>Descripcion: SEPARADOR DE FARABEUM Estado: Bueno Placa anterior: 000020110 Material: ACERO INOXIDABLE Color: PLATEADO Referencia:  Observacion:  Placa padre: I0001677Tipo adquisicion: Entidad</v>
      </c>
      <c r="G5901" s="5"/>
    </row>
    <row r="5902" spans="1:7" ht="58.5" customHeight="1" x14ac:dyDescent="0.25">
      <c r="A5902" s="5" t="str">
        <f>"I0001681"</f>
        <v>I0001681</v>
      </c>
      <c r="B5902" s="5" t="str">
        <f>"SEPARADOR DE ABDOMEN (FARABEUF)"</f>
        <v>SEPARADOR DE ABDOMEN (FARABEUF)</v>
      </c>
      <c r="C5902" s="6">
        <v>750</v>
      </c>
      <c r="D5902" s="5"/>
      <c r="E5902" s="5" t="str">
        <f t="shared" si="298"/>
        <v>INSTRUMENTACION-DIANA CAICEDO-DIANA DIAZ</v>
      </c>
      <c r="F5902" s="5" t="str">
        <f>"Descripcion: SEPARADOR DE FARABEUM Estado: Bueno Placa anterior: 000020107 Material: ACERO INOXIDABLE Color: PLATEADO Referencia:  Observacion:  Placa padre: I0001677Tipo adquisicion: Entidad"</f>
        <v>Descripcion: SEPARADOR DE FARABEUM Estado: Bueno Placa anterior: 000020107 Material: ACERO INOXIDABLE Color: PLATEADO Referencia:  Observacion:  Placa padre: I0001677Tipo adquisicion: Entidad</v>
      </c>
      <c r="G5902" s="5"/>
    </row>
    <row r="5903" spans="1:7" ht="58.5" customHeight="1" x14ac:dyDescent="0.25">
      <c r="A5903" s="5" t="str">
        <f>"I0001682"</f>
        <v>I0001682</v>
      </c>
      <c r="B5903" s="5" t="str">
        <f>"SEPARADOR DE PAREDES (DEAVER)"</f>
        <v>SEPARADOR DE PAREDES (DEAVER)</v>
      </c>
      <c r="C5903" s="6">
        <v>184759</v>
      </c>
      <c r="D5903" s="5"/>
      <c r="E5903" s="5" t="str">
        <f t="shared" si="298"/>
        <v>INSTRUMENTACION-DIANA CAICEDO-DIANA DIAZ</v>
      </c>
      <c r="F5903" s="5" t="str">
        <f>"Descripcion: SEPARADOR DEAVER 25 X 330 GAT Estado: Bueno Placa anterior: 000022818 Material: ACERO INOXIDABLE Color: PLATEADO Referencia:  Observacion:  Placa padre: I0001677Tipo adquisicion: Donacion"</f>
        <v>Descripcion: SEPARADOR DEAVER 25 X 330 GAT Estado: Bueno Placa anterior: 000022818 Material: ACERO INOXIDABLE Color: PLATEADO Referencia:  Observacion:  Placa padre: I0001677Tipo adquisicion: Donacion</v>
      </c>
      <c r="G5903" s="5"/>
    </row>
    <row r="5904" spans="1:7" ht="58.5" customHeight="1" x14ac:dyDescent="0.25">
      <c r="A5904" s="5" t="str">
        <f>"I0001683"</f>
        <v>I0001683</v>
      </c>
      <c r="B5904" s="5" t="str">
        <f>"TIJERA MAYO RECTA"</f>
        <v>TIJERA MAYO RECTA</v>
      </c>
      <c r="C5904" s="6">
        <v>16155.34</v>
      </c>
      <c r="D5904" s="5"/>
      <c r="E5904" s="5" t="str">
        <f t="shared" si="298"/>
        <v>INSTRUMENTACION-DIANA CAICEDO-DIANA DIAZ</v>
      </c>
      <c r="F5904" s="5" t="str">
        <f>"Descripcion: TIJERA DE MAYO RECTA Estado: Bueno Placa anterior: 000014049 Material: ACERO INOXIDABLE Color: PLATEADO Referencia:  Observacion:  Placa padre: I0001677Tipo adquisicion: Entidad"</f>
        <v>Descripcion: TIJERA DE MAYO RECTA Estado: Bueno Placa anterior: 000014049 Material: ACERO INOXIDABLE Color: PLATEADO Referencia:  Observacion:  Placa padre: I0001677Tipo adquisicion: Entidad</v>
      </c>
      <c r="G5904" s="5"/>
    </row>
    <row r="5905" spans="1:7" ht="58.5" customHeight="1" x14ac:dyDescent="0.25">
      <c r="A5905" s="5" t="str">
        <f>"I0001684"</f>
        <v>I0001684</v>
      </c>
      <c r="B5905" s="5" t="str">
        <f>"TIJERA  DE METZEMBAUM CURVA"</f>
        <v>TIJERA  DE METZEMBAUM CURVA</v>
      </c>
      <c r="C5905" s="6">
        <v>1550068</v>
      </c>
      <c r="D5905" s="5"/>
      <c r="E5905" s="5" t="str">
        <f t="shared" si="298"/>
        <v>INSTRUMENTACION-DIANA CAICEDO-DIANA DIAZ</v>
      </c>
      <c r="F5905" s="5" t="str">
        <f>"Descripcion: TIJERA DE METZEMBAUT REF. 775-4022C  TIJERA DE METZEMBAUM CURVA  Estado: Bueno Placa anterior: 000033404 Material: ACERO INOXIDABLE Color: PLATEADO Referencia:  Observacion:  Placa padre: I0001677Tipo adquisicion: Entidad"</f>
        <v>Descripcion: TIJERA DE METZEMBAUT REF. 775-4022C  TIJERA DE METZEMBAUM CURVA  Estado: Bueno Placa anterior: 000033404 Material: ACERO INOXIDABLE Color: PLATEADO Referencia:  Observacion:  Placa padre: I0001677Tipo adquisicion: Entidad</v>
      </c>
      <c r="G5905" s="5"/>
    </row>
    <row r="5906" spans="1:7" ht="58.5" customHeight="1" x14ac:dyDescent="0.25">
      <c r="A5906" s="5" t="str">
        <f>"I0001685"</f>
        <v>I0001685</v>
      </c>
      <c r="B5906" s="5" t="str">
        <f>"PINZA DE DISECCION SIN GARRA LARGA 25 CM"</f>
        <v>PINZA DE DISECCION SIN GARRA LARGA 25 CM</v>
      </c>
      <c r="C5906" s="6">
        <v>9858.73</v>
      </c>
      <c r="D5906" s="5"/>
      <c r="E5906" s="5" t="str">
        <f t="shared" si="298"/>
        <v>INSTRUMENTACION-DIANA CAICEDO-DIANA DIAZ</v>
      </c>
      <c r="F5906" s="5" t="str">
        <f>"Descripcion: PINZA DISECCION SIN GARRA  PINZA DE DISECCION SIN GARRA PEQUEÑA Estado: Bueno Placa anterior: 000020018 Material: ACERO INOXIDABLE Color: PLATEADO Referencia:  Observacion:  Placa padre: I0001677Tipo adquisicion: Entidad"</f>
        <v>Descripcion: PINZA DISECCION SIN GARRA  PINZA DE DISECCION SIN GARRA PEQUEÑA Estado: Bueno Placa anterior: 000020018 Material: ACERO INOXIDABLE Color: PLATEADO Referencia:  Observacion:  Placa padre: I0001677Tipo adquisicion: Entidad</v>
      </c>
      <c r="G5906" s="5"/>
    </row>
    <row r="5907" spans="1:7" ht="58.5" customHeight="1" x14ac:dyDescent="0.25">
      <c r="A5907" s="5" t="str">
        <f>"I0001686"</f>
        <v>I0001686</v>
      </c>
      <c r="B5907" s="5" t="str">
        <f>"PINZA DE DISECCION SIN GARRA LARGA 25 CM"</f>
        <v>PINZA DE DISECCION SIN GARRA LARGA 25 CM</v>
      </c>
      <c r="C5907" s="6">
        <v>13359.33</v>
      </c>
      <c r="D5907" s="5"/>
      <c r="E5907" s="5" t="str">
        <f t="shared" si="298"/>
        <v>INSTRUMENTACION-DIANA CAICEDO-DIANA DIAZ</v>
      </c>
      <c r="F5907" s="5" t="str">
        <f>"Descripcion: PINZA DISECCION SIN GARRA  PINZA DE DISECCION SIN GARRA MEDIANA Estado: Bueno Placa anterior: 000006448 Material: ACERO INOXIDABLE Color: PLATEADO Referencia:  Observacion:  Placa padre: I0001677Tipo adquisicion: Entidad"</f>
        <v>Descripcion: PINZA DISECCION SIN GARRA  PINZA DE DISECCION SIN GARRA MEDIANA Estado: Bueno Placa anterior: 000006448 Material: ACERO INOXIDABLE Color: PLATEADO Referencia:  Observacion:  Placa padre: I0001677Tipo adquisicion: Entidad</v>
      </c>
      <c r="G5907" s="5"/>
    </row>
    <row r="5908" spans="1:7" ht="58.5" customHeight="1" x14ac:dyDescent="0.25">
      <c r="A5908" s="5" t="str">
        <f>"I0001688"</f>
        <v>I0001688</v>
      </c>
      <c r="B5908" s="5" t="str">
        <f>"PINZA DE DISECCION CON GARRA MEDIANA 25 CM"</f>
        <v>PINZA DE DISECCION CON GARRA MEDIANA 25 CM</v>
      </c>
      <c r="C5908" s="6">
        <v>3879.55</v>
      </c>
      <c r="D5908" s="5"/>
      <c r="E5908" s="5" t="str">
        <f t="shared" si="298"/>
        <v>INSTRUMENTACION-DIANA CAICEDO-DIANA DIAZ</v>
      </c>
      <c r="F5908" s="5" t="str">
        <f>"Descripcion: PINZA DISECCION CON GARRA  PINZA DE DISECCION CON GARRA PEQUEÑA Estado: Bueno Placa anterior: 000014070 Material: ACERO INOXIDABLE Color: PLATEADO Referencia:  Observacion:  Placa padre: I0001677Tipo adquisicion: Entidad"</f>
        <v>Descripcion: PINZA DISECCION CON GARRA  PINZA DE DISECCION CON GARRA PEQUEÑA Estado: Bueno Placa anterior: 000014070 Material: ACERO INOXIDABLE Color: PLATEADO Referencia:  Observacion:  Placa padre: I0001677Tipo adquisicion: Entidad</v>
      </c>
      <c r="G5908" s="5"/>
    </row>
    <row r="5909" spans="1:7" ht="58.5" customHeight="1" x14ac:dyDescent="0.25">
      <c r="A5909" s="5" t="str">
        <f>"I0001689"</f>
        <v>I0001689</v>
      </c>
      <c r="B5909" s="5" t="str">
        <f>"PINZA DISECCION RUSA"</f>
        <v>PINZA DISECCION RUSA</v>
      </c>
      <c r="C5909" s="6">
        <v>38280</v>
      </c>
      <c r="D5909" s="5"/>
      <c r="E5909" s="5" t="str">
        <f t="shared" si="298"/>
        <v>INSTRUMENTACION-DIANA CAICEDO-DIANA DIAZ</v>
      </c>
      <c r="F5909" s="5" t="str">
        <f>"Descripcion: PINZA DISECCION STANDARD  PINZA DE DISECCION RUSA Estado: Bueno Placa anterior: 000031972 Material: ACERO INOXIDABLE Color: PLATEADO Referencia:  Observacion:  Placa padre: I0001677Tipo adquisicion: Entidad"</f>
        <v>Descripcion: PINZA DISECCION STANDARD  PINZA DE DISECCION RUSA Estado: Bueno Placa anterior: 000031972 Material: ACERO INOXIDABLE Color: PLATEADO Referencia:  Observacion:  Placa padre: I0001677Tipo adquisicion: Entidad</v>
      </c>
      <c r="G5909" s="5"/>
    </row>
    <row r="5910" spans="1:7" ht="58.5" customHeight="1" x14ac:dyDescent="0.25">
      <c r="A5910" s="5" t="str">
        <f>"I0001690"</f>
        <v>I0001690</v>
      </c>
      <c r="B5910" s="5" t="str">
        <f>"PINZA KELLY ADSON 25 CM"</f>
        <v>PINZA KELLY ADSON 25 CM</v>
      </c>
      <c r="C5910" s="6">
        <v>480.92</v>
      </c>
      <c r="D5910" s="5"/>
      <c r="E5910" s="5" t="str">
        <f t="shared" si="298"/>
        <v>INSTRUMENTACION-DIANA CAICEDO-DIANA DIAZ</v>
      </c>
      <c r="F5910" s="5" t="str">
        <f>"Descripcion: PINZA KELLY ADSON  PINZAS KELLY ADSON (DIMEDA) Estado: Bueno Placa anterior: 000020121 Material: ACERO INOXIDABLE Color: PLATEADO Referencia:  Observacion:  Placa padre: I0001677Tipo adquisicion: Entidad"</f>
        <v>Descripcion: PINZA KELLY ADSON  PINZAS KELLY ADSON (DIMEDA) Estado: Bueno Placa anterior: 000020121 Material: ACERO INOXIDABLE Color: PLATEADO Referencia:  Observacion:  Placa padre: I0001677Tipo adquisicion: Entidad</v>
      </c>
      <c r="G5910" s="5"/>
    </row>
    <row r="5911" spans="1:7" ht="58.5" customHeight="1" x14ac:dyDescent="0.25">
      <c r="A5911" s="5" t="str">
        <f>"I0001691"</f>
        <v>I0001691</v>
      </c>
      <c r="B5911" s="5" t="str">
        <f>"PINZA KELLY ADSON 25 CM"</f>
        <v>PINZA KELLY ADSON 25 CM</v>
      </c>
      <c r="C5911" s="6">
        <v>480.92</v>
      </c>
      <c r="D5911" s="5"/>
      <c r="E5911" s="5" t="str">
        <f t="shared" si="298"/>
        <v>INSTRUMENTACION-DIANA CAICEDO-DIANA DIAZ</v>
      </c>
      <c r="F5911" s="5" t="str">
        <f>"Descripcion: PINZA KELLY ADSON  PINZAS KELLY ADSON (DIMEDA) Estado: Bueno Placa anterior: 000020122 Material: ACERO INOXIDABLE Color: PLATEADO Referencia:  Observacion:  Placa padre: I0001677Tipo adquisicion: Entidad"</f>
        <v>Descripcion: PINZA KELLY ADSON  PINZAS KELLY ADSON (DIMEDA) Estado: Bueno Placa anterior: 000020122 Material: ACERO INOXIDABLE Color: PLATEADO Referencia:  Observacion:  Placa padre: I0001677Tipo adquisicion: Entidad</v>
      </c>
      <c r="G5911" s="5"/>
    </row>
    <row r="5912" spans="1:7" ht="58.5" customHeight="1" x14ac:dyDescent="0.25">
      <c r="A5912" s="5" t="str">
        <f>"I0001692"</f>
        <v>I0001692</v>
      </c>
      <c r="B5912" s="5" t="str">
        <f t="shared" ref="B5912:B5918" si="300">"PINZA KELLY CURVA 16 CM"</f>
        <v>PINZA KELLY CURVA 16 CM</v>
      </c>
      <c r="C5912" s="6">
        <v>349.42</v>
      </c>
      <c r="D5912" s="5"/>
      <c r="E5912" s="5" t="str">
        <f t="shared" si="298"/>
        <v>INSTRUMENTACION-DIANA CAICEDO-DIANA DIAZ</v>
      </c>
      <c r="F5912" s="5" t="str">
        <f>"Descripcion: PINZA KELLY CURVA Estado: Bueno Placa anterior: 000020029 Material: ACERO INOXIDABLE Color: PLATEADO Referencia:  Observacion:  Placa padre: I0001677Tipo adquisicion: Entidad"</f>
        <v>Descripcion: PINZA KELLY CURVA Estado: Bueno Placa anterior: 000020029 Material: ACERO INOXIDABLE Color: PLATEADO Referencia:  Observacion:  Placa padre: I0001677Tipo adquisicion: Entidad</v>
      </c>
      <c r="G5912" s="5"/>
    </row>
    <row r="5913" spans="1:7" ht="58.5" customHeight="1" x14ac:dyDescent="0.25">
      <c r="A5913" s="5" t="str">
        <f>"I0001693"</f>
        <v>I0001693</v>
      </c>
      <c r="B5913" s="5" t="str">
        <f t="shared" si="300"/>
        <v>PINZA KELLY CURVA 16 CM</v>
      </c>
      <c r="C5913" s="6">
        <v>13932.46</v>
      </c>
      <c r="D5913" s="5"/>
      <c r="E5913" s="5" t="str">
        <f t="shared" si="298"/>
        <v>INSTRUMENTACION-DIANA CAICEDO-DIANA DIAZ</v>
      </c>
      <c r="F5913" s="5" t="str">
        <f>"Descripcion: PINZA KELLY CURVA Estado: Bueno Placa anterior: 000013938 Material: ACERO INOXIDABLE Color: PLATEADO Referencia:  Observacion:  Placa padre: I0001677Tipo adquisicion: Entidad"</f>
        <v>Descripcion: PINZA KELLY CURVA Estado: Bueno Placa anterior: 000013938 Material: ACERO INOXIDABLE Color: PLATEADO Referencia:  Observacion:  Placa padre: I0001677Tipo adquisicion: Entidad</v>
      </c>
      <c r="G5913" s="5"/>
    </row>
    <row r="5914" spans="1:7" ht="58.5" customHeight="1" x14ac:dyDescent="0.25">
      <c r="A5914" s="5" t="str">
        <f>"I0001694"</f>
        <v>I0001694</v>
      </c>
      <c r="B5914" s="5" t="str">
        <f t="shared" si="300"/>
        <v>PINZA KELLY CURVA 16 CM</v>
      </c>
      <c r="C5914" s="6">
        <v>32062.13</v>
      </c>
      <c r="D5914" s="5"/>
      <c r="E5914" s="5" t="str">
        <f t="shared" si="298"/>
        <v>INSTRUMENTACION-DIANA CAICEDO-DIANA DIAZ</v>
      </c>
      <c r="F5914" s="5" t="str">
        <f>"Descripcion: PINZA KELLY CURVA Estado: Bueno Placa anterior: 000018767 Material: ACERO INOXIDABLE Color: PLATEADO Referencia:  Observacion:  Placa padre: I0001677Tipo adquisicion: Entidad"</f>
        <v>Descripcion: PINZA KELLY CURVA Estado: Bueno Placa anterior: 000018767 Material: ACERO INOXIDABLE Color: PLATEADO Referencia:  Observacion:  Placa padre: I0001677Tipo adquisicion: Entidad</v>
      </c>
      <c r="G5914" s="5"/>
    </row>
    <row r="5915" spans="1:7" ht="58.5" customHeight="1" x14ac:dyDescent="0.25">
      <c r="A5915" s="5" t="str">
        <f>"I0001695"</f>
        <v>I0001695</v>
      </c>
      <c r="B5915" s="5" t="str">
        <f t="shared" si="300"/>
        <v>PINZA KELLY CURVA 16 CM</v>
      </c>
      <c r="C5915" s="6">
        <v>40562.800000000003</v>
      </c>
      <c r="D5915" s="5"/>
      <c r="E5915" s="5" t="str">
        <f t="shared" si="298"/>
        <v>INSTRUMENTACION-DIANA CAICEDO-DIANA DIAZ</v>
      </c>
      <c r="F5915" s="5" t="str">
        <f>"Descripcion: PINZA KELLY CURVA Estado: Bueno Placa anterior: 000006458 Material: ACERO INOXIDABLE Color: PLATEADO Referencia:  Observacion:  Placa padre: I0001677Tipo adquisicion: Entidad"</f>
        <v>Descripcion: PINZA KELLY CURVA Estado: Bueno Placa anterior: 000006458 Material: ACERO INOXIDABLE Color: PLATEADO Referencia:  Observacion:  Placa padre: I0001677Tipo adquisicion: Entidad</v>
      </c>
      <c r="G5915" s="5"/>
    </row>
    <row r="5916" spans="1:7" ht="58.5" customHeight="1" x14ac:dyDescent="0.25">
      <c r="A5916" s="5" t="str">
        <f>"I0001697"</f>
        <v>I0001697</v>
      </c>
      <c r="B5916" s="5" t="str">
        <f t="shared" si="300"/>
        <v>PINZA KELLY CURVA 16 CM</v>
      </c>
      <c r="C5916" s="6">
        <v>13932.46</v>
      </c>
      <c r="D5916" s="5"/>
      <c r="E5916" s="5" t="str">
        <f t="shared" si="298"/>
        <v>INSTRUMENTACION-DIANA CAICEDO-DIANA DIAZ</v>
      </c>
      <c r="F5916" s="5" t="str">
        <f>"Descripcion: PINZA KELLY CURVA Estado: Bueno Placa anterior: 000013939 Material: ACERO INOXIDABLE Color: PLATEADO Referencia:  Observacion:  Placa padre: I0001677Tipo adquisicion: Entidad"</f>
        <v>Descripcion: PINZA KELLY CURVA Estado: Bueno Placa anterior: 000013939 Material: ACERO INOXIDABLE Color: PLATEADO Referencia:  Observacion:  Placa padre: I0001677Tipo adquisicion: Entidad</v>
      </c>
      <c r="G5916" s="5"/>
    </row>
    <row r="5917" spans="1:7" ht="58.5" customHeight="1" x14ac:dyDescent="0.25">
      <c r="A5917" s="5" t="str">
        <f>"I0001698"</f>
        <v>I0001698</v>
      </c>
      <c r="B5917" s="5" t="str">
        <f t="shared" si="300"/>
        <v>PINZA KELLY CURVA 16 CM</v>
      </c>
      <c r="C5917" s="6">
        <v>23535.75</v>
      </c>
      <c r="D5917" s="5"/>
      <c r="E5917" s="5" t="str">
        <f t="shared" si="298"/>
        <v>INSTRUMENTACION-DIANA CAICEDO-DIANA DIAZ</v>
      </c>
      <c r="F5917" s="5" t="str">
        <f>"Descripcion: PINZA KELLY CURVA Estado: Bueno Placa anterior: 000014551 Material: ACERO INOXIDABLE Color: PLATEADO Referencia:  Observacion:  Placa padre: I0001677Tipo adquisicion: Entidad"</f>
        <v>Descripcion: PINZA KELLY CURVA Estado: Bueno Placa anterior: 000014551 Material: ACERO INOXIDABLE Color: PLATEADO Referencia:  Observacion:  Placa padre: I0001677Tipo adquisicion: Entidad</v>
      </c>
      <c r="G5917" s="5"/>
    </row>
    <row r="5918" spans="1:7" ht="58.5" customHeight="1" x14ac:dyDescent="0.25">
      <c r="A5918" s="5" t="str">
        <f>"I0001699"</f>
        <v>I0001699</v>
      </c>
      <c r="B5918" s="5" t="str">
        <f t="shared" si="300"/>
        <v>PINZA KELLY CURVA 16 CM</v>
      </c>
      <c r="C5918" s="6">
        <v>349.42</v>
      </c>
      <c r="D5918" s="5"/>
      <c r="E5918" s="5" t="str">
        <f t="shared" si="298"/>
        <v>INSTRUMENTACION-DIANA CAICEDO-DIANA DIAZ</v>
      </c>
      <c r="F5918" s="5" t="str">
        <f>"Descripcion: PINZA KELLY CURVA Estado: Bueno Placa anterior: 000020028 Material: ACERO INOXIDABLE Color: PLATEADO Referencia:  Observacion:  Placa padre: I0001677Tipo adquisicion: Entidad"</f>
        <v>Descripcion: PINZA KELLY CURVA Estado: Bueno Placa anterior: 000020028 Material: ACERO INOXIDABLE Color: PLATEADO Referencia:  Observacion:  Placa padre: I0001677Tipo adquisicion: Entidad</v>
      </c>
      <c r="G5918" s="5"/>
    </row>
    <row r="5919" spans="1:7" ht="58.5" customHeight="1" x14ac:dyDescent="0.25">
      <c r="A5919" s="5" t="str">
        <f>"I0001700"</f>
        <v>I0001700</v>
      </c>
      <c r="B5919" s="5" t="str">
        <f>"EQUIPO DE DRENAJE"</f>
        <v>EQUIPO DE DRENAJE</v>
      </c>
      <c r="C5919" s="6">
        <v>200000</v>
      </c>
      <c r="D5919" s="5"/>
      <c r="E5919" s="5" t="str">
        <f t="shared" ref="E5919:E5982" si="301">"INSTRUMENTACION-DIANA CAICEDO-DIANA DIAZ"</f>
        <v>INSTRUMENTACION-DIANA CAICEDO-DIANA DIAZ</v>
      </c>
      <c r="F5919" s="5" t="str">
        <f>"Descripcion: EQUIPO  DE DRENAJE QUE CONSTA DE:  (1) MANGO DE  BISTURÍ# 7  (1) TIJERA DE  MAYO RECTA PEQUEÑA  (1) TIJERA METZEMBAUM CURVA  (2) SEPARADORES BABY DE FARABEUF  (1) PINZA DE DISECCION  CON GARRA  (0) PINZA MOSQUITO  (1) KELLYCURVA  (1) PINZA DE"&amp; " ALLIX  (1) PORTA AGUJAS  (1) CANULA DE FRAZIER Estado: Bueno Placa anterior: 000012675 Material: ACERO INOXIDABLE Color: PLATEADO Referencia:  Observacion:     Placa padre: Tipo adquisicion: Entidad"</f>
        <v>Descripcion: EQUIPO  DE DRENAJE QUE CONSTA DE:  (1) MANGO DE  BISTURÍ# 7  (1) TIJERA DE  MAYO RECTA PEQUEÑA  (1) TIJERA METZEMBAUM CURVA  (2) SEPARADORES BABY DE FARABEUF  (1) PINZA DE DISECCION  CON GARRA  (0) PINZA MOSQUITO  (1) KELLYCURVA  (1) PINZA DE ALLIX  (1) PORTA AGUJAS  (1) CANULA DE FRAZIER Estado: Bueno Placa anterior: 000012675 Material: ACERO INOXIDABLE Color: PLATEADO Referencia:  Observacion:     Placa padre: Tipo adquisicion: Entidad</v>
      </c>
      <c r="G5919" s="5"/>
    </row>
    <row r="5920" spans="1:7" ht="58.5" customHeight="1" x14ac:dyDescent="0.25">
      <c r="A5920" s="5" t="str">
        <f>"I0001702"</f>
        <v>I0001702</v>
      </c>
      <c r="B5920" s="5" t="str">
        <f>"TIJERA MAYO RECTA"</f>
        <v>TIJERA MAYO RECTA</v>
      </c>
      <c r="C5920" s="6">
        <v>52200</v>
      </c>
      <c r="D5920" s="5"/>
      <c r="E5920" s="5" t="str">
        <f t="shared" si="301"/>
        <v>INSTRUMENTACION-DIANA CAICEDO-DIANA DIAZ</v>
      </c>
      <c r="F5920" s="5" t="str">
        <f>"Descripcion: TIJERA DE  MAYO RECTA PEQUEÑA Estado: Bueno Placa anterior: 000032199 Material: ACERO INOXIDABLE Color: PLATEADO Referencia:  Observacion:     Placa padre: I0001700Tipo adquisicion: Entidad"</f>
        <v>Descripcion: TIJERA DE  MAYO RECTA PEQUEÑA Estado: Bueno Placa anterior: 000032199 Material: ACERO INOXIDABLE Color: PLATEADO Referencia:  Observacion:     Placa padre: I0001700Tipo adquisicion: Entidad</v>
      </c>
      <c r="G5920" s="5"/>
    </row>
    <row r="5921" spans="1:7" ht="58.5" customHeight="1" x14ac:dyDescent="0.25">
      <c r="A5921" s="5" t="str">
        <f>"I0001703"</f>
        <v>I0001703</v>
      </c>
      <c r="B5921" s="5" t="str">
        <f>"TIJERA  DE METZEMBAUM CURVA"</f>
        <v>TIJERA  DE METZEMBAUM CURVA</v>
      </c>
      <c r="C5921" s="6">
        <v>40649</v>
      </c>
      <c r="D5921" s="5"/>
      <c r="E5921" s="5" t="str">
        <f t="shared" si="301"/>
        <v>INSTRUMENTACION-DIANA CAICEDO-DIANA DIAZ</v>
      </c>
      <c r="F5921" s="5" t="str">
        <f>"Descripcion: TIJERA METZEMBAUM CURVA Estado: Bueno Placa anterior: 000023915 Material: ACERO INOXIDABLE Color: PLATEADO Referencia:  Observacion:     Placa padre: I0001700Tipo adquisicion: Entidad"</f>
        <v>Descripcion: TIJERA METZEMBAUM CURVA Estado: Bueno Placa anterior: 000023915 Material: ACERO INOXIDABLE Color: PLATEADO Referencia:  Observacion:     Placa padre: I0001700Tipo adquisicion: Entidad</v>
      </c>
      <c r="G5921" s="5"/>
    </row>
    <row r="5922" spans="1:7" ht="58.5" customHeight="1" x14ac:dyDescent="0.25">
      <c r="A5922" s="5" t="str">
        <f>"I0001706"</f>
        <v>I0001706</v>
      </c>
      <c r="B5922" s="5" t="str">
        <f>"PINZA DE DISECCION CON GARRA MEDIANA 25 CM"</f>
        <v>PINZA DE DISECCION CON GARRA MEDIANA 25 CM</v>
      </c>
      <c r="C5922" s="6">
        <v>18560</v>
      </c>
      <c r="D5922" s="5"/>
      <c r="E5922" s="5" t="str">
        <f t="shared" si="301"/>
        <v>INSTRUMENTACION-DIANA CAICEDO-DIANA DIAZ</v>
      </c>
      <c r="F5922" s="5" t="str">
        <f>"Descripcion: PINZA DE DISECCION  CON GARRA Estado: Bueno Placa anterior: 000032280 Material: ACERO INOXIDABLE Color: PLATEADO Referencia:  Observacion:     Placa padre: I0001700Tipo adquisicion: Entidad"</f>
        <v>Descripcion: PINZA DE DISECCION  CON GARRA Estado: Bueno Placa anterior: 000032280 Material: ACERO INOXIDABLE Color: PLATEADO Referencia:  Observacion:     Placa padre: I0001700Tipo adquisicion: Entidad</v>
      </c>
      <c r="G5922" s="5"/>
    </row>
    <row r="5923" spans="1:7" ht="58.5" customHeight="1" x14ac:dyDescent="0.25">
      <c r="A5923" s="5" t="str">
        <f>"I0001710"</f>
        <v>I0001710</v>
      </c>
      <c r="B5923" s="5" t="str">
        <f>"PORTAGUJAS (PINZA)"</f>
        <v>PORTAGUJAS (PINZA)</v>
      </c>
      <c r="C5923" s="6">
        <v>81200</v>
      </c>
      <c r="D5923" s="5"/>
      <c r="E5923" s="5" t="str">
        <f t="shared" si="301"/>
        <v>INSTRUMENTACION-DIANA CAICEDO-DIANA DIAZ</v>
      </c>
      <c r="F5923" s="5" t="str">
        <f>"Descripcion: PORTA AGUJAS Estado: Bueno Placa anterior: 000032434 Material: ACERO INOXIDABLE Color: PLATEADO Referencia:  Observacion:     Placa padre: I0001700Tipo adquisicion: Entidad"</f>
        <v>Descripcion: PORTA AGUJAS Estado: Bueno Placa anterior: 000032434 Material: ACERO INOXIDABLE Color: PLATEADO Referencia:  Observacion:     Placa padre: I0001700Tipo adquisicion: Entidad</v>
      </c>
      <c r="G5923" s="5"/>
    </row>
    <row r="5924" spans="1:7" ht="58.5" customHeight="1" x14ac:dyDescent="0.25">
      <c r="A5924" s="5" t="str">
        <f>"I0001712"</f>
        <v>I0001712</v>
      </c>
      <c r="B5924" s="5" t="str">
        <f>"EQUIPO EXCLUSIVO DE PLASTICA"</f>
        <v>EQUIPO EXCLUSIVO DE PLASTICA</v>
      </c>
      <c r="C5924" s="6">
        <v>200000</v>
      </c>
      <c r="D5924" s="5"/>
      <c r="E5924" s="5" t="str">
        <f t="shared" si="301"/>
        <v>INSTRUMENTACION-DIANA CAICEDO-DIANA DIAZ</v>
      </c>
      <c r="F5924" s="5" t="str">
        <f>"Descripcion: EQUIPO EXCLUSIVO DE PLASTICA QUE CONTIENE:  (1) PORTA AGUJAS DORADO GRANDE  (1) PORTA AGUJAS DORADO MEDIANO  (1) PORTA AGUJAS PEQUEÑO  (1 TIJERA METZEMBAUM  FINA  (1) TIJERA DE METZEMBAUM PEQUEÑA FINA  (1) TIJERA DE MAYO  (1) PINZA DE DISECCI"&amp; "ON ADSON BRAUM  (1) DISECTOR DE FREE  (1) CINCEL RECTO   Estado: Bueno Placa anterior: 000012674 Material: ACERO INOXIDABLE Color: PLATEADO Referencia:  Observacion:     Placa padre: Tipo adquisicion: Entidad"</f>
        <v>Descripcion: EQUIPO EXCLUSIVO DE PLASTICA QUE CONTIENE:  (1) PORTA AGUJAS DORADO GRANDE  (1) PORTA AGUJAS DORADO MEDIANO  (1) PORTA AGUJAS PEQUEÑO  (1 TIJERA METZEMBAUM  FINA  (1) TIJERA DE METZEMBAUM PEQUEÑA FINA  (1) TIJERA DE MAYO  (1) PINZA DE DISECCION ADSON BRAUM  (1) DISECTOR DE FREE  (1) CINCEL RECTO   Estado: Bueno Placa anterior: 000012674 Material: ACERO INOXIDABLE Color: PLATEADO Referencia:  Observacion:     Placa padre: Tipo adquisicion: Entidad</v>
      </c>
      <c r="G5924" s="5"/>
    </row>
    <row r="5925" spans="1:7" ht="58.5" customHeight="1" x14ac:dyDescent="0.25">
      <c r="A5925" s="5" t="str">
        <f>"I0001716"</f>
        <v>I0001716</v>
      </c>
      <c r="B5925" s="5" t="str">
        <f>"TIJERA DE METZEMBAUM"</f>
        <v>TIJERA DE METZEMBAUM</v>
      </c>
      <c r="C5925" s="6">
        <v>52171</v>
      </c>
      <c r="D5925" s="5"/>
      <c r="E5925" s="5" t="str">
        <f t="shared" si="301"/>
        <v>INSTRUMENTACION-DIANA CAICEDO-DIANA DIAZ</v>
      </c>
      <c r="F5925" s="5" t="str">
        <f>"Descripcion: TIJERA METZEMBAUM  FINA Estado: Bueno Placa anterior: 000024427 Material: ACERO INOXIDABLE Color: PLATEADO Referencia:  Observacion:     Placa padre: I0001712Tipo adquisicion: Entidad"</f>
        <v>Descripcion: TIJERA METZEMBAUM  FINA Estado: Bueno Placa anterior: 000024427 Material: ACERO INOXIDABLE Color: PLATEADO Referencia:  Observacion:     Placa padre: I0001712Tipo adquisicion: Entidad</v>
      </c>
      <c r="G5925" s="5"/>
    </row>
    <row r="5926" spans="1:7" ht="58.5" customHeight="1" x14ac:dyDescent="0.25">
      <c r="A5926" s="5" t="str">
        <f>"I0001717"</f>
        <v>I0001717</v>
      </c>
      <c r="B5926" s="5" t="str">
        <f>"TIJERA DE METZEMBAUM"</f>
        <v>TIJERA DE METZEMBAUM</v>
      </c>
      <c r="C5926" s="6">
        <v>40649</v>
      </c>
      <c r="D5926" s="5"/>
      <c r="E5926" s="5" t="str">
        <f t="shared" si="301"/>
        <v>INSTRUMENTACION-DIANA CAICEDO-DIANA DIAZ</v>
      </c>
      <c r="F5926" s="5" t="str">
        <f>"Descripcion: TIJERA DE METZEMBAUM PEQUEÑA FINA Estado: Bueno Placa anterior: 000024428 Material: ACERO INOXIDABLE Color: PLATEADO Referencia:  Observacion:     Placa padre: I0001712Tipo adquisicion: Entidad"</f>
        <v>Descripcion: TIJERA DE METZEMBAUM PEQUEÑA FINA Estado: Bueno Placa anterior: 000024428 Material: ACERO INOXIDABLE Color: PLATEADO Referencia:  Observacion:     Placa padre: I0001712Tipo adquisicion: Entidad</v>
      </c>
      <c r="G5926" s="5"/>
    </row>
    <row r="5927" spans="1:7" ht="58.5" customHeight="1" x14ac:dyDescent="0.25">
      <c r="A5927" s="5" t="str">
        <f>"I0001718"</f>
        <v>I0001718</v>
      </c>
      <c r="B5927" s="5" t="str">
        <f>"TIJERA DE MAYO LARGA 25 CM"</f>
        <v>TIJERA DE MAYO LARGA 25 CM</v>
      </c>
      <c r="C5927" s="6">
        <v>52200</v>
      </c>
      <c r="D5927" s="5"/>
      <c r="E5927" s="5" t="str">
        <f t="shared" si="301"/>
        <v>INSTRUMENTACION-DIANA CAICEDO-DIANA DIAZ</v>
      </c>
      <c r="F5927" s="5" t="str">
        <f>"Descripcion: TIJERA DE MAYO Estado: Bueno Placa anterior: 000032200 Material: ACERO INOXIDABLE Color: PLATEADO Referencia:  Observacion:     Placa padre: I0001712Tipo adquisicion: Entidad"</f>
        <v>Descripcion: TIJERA DE MAYO Estado: Bueno Placa anterior: 000032200 Material: ACERO INOXIDABLE Color: PLATEADO Referencia:  Observacion:     Placa padre: I0001712Tipo adquisicion: Entidad</v>
      </c>
      <c r="G5927" s="5"/>
    </row>
    <row r="5928" spans="1:7" ht="58.5" customHeight="1" x14ac:dyDescent="0.25">
      <c r="A5928" s="5" t="str">
        <f>"I0001719"</f>
        <v>I0001719</v>
      </c>
      <c r="B5928" s="5" t="str">
        <f>"PINZA DE DISECCION SIN GARRA CORTA 20 CM"</f>
        <v>PINZA DE DISECCION SIN GARRA CORTA 20 CM</v>
      </c>
      <c r="C5928" s="6">
        <v>81200</v>
      </c>
      <c r="D5928" s="5"/>
      <c r="E5928" s="5" t="str">
        <f t="shared" si="301"/>
        <v>INSTRUMENTACION-DIANA CAICEDO-DIANA DIAZ</v>
      </c>
      <c r="F5928" s="5" t="str">
        <f>"Descripcion: PINZA DE DISECCION ADSON BRAUM Estado: Bueno Placa anterior: 000031657 Material: ACERO INOXIDABLE Color: PLATEADO Referencia:  Observacion:     Placa padre: I0001712Tipo adquisicion: Entidad"</f>
        <v>Descripcion: PINZA DE DISECCION ADSON BRAUM Estado: Bueno Placa anterior: 000031657 Material: ACERO INOXIDABLE Color: PLATEADO Referencia:  Observacion:     Placa padre: I0001712Tipo adquisicion: Entidad</v>
      </c>
      <c r="G5928" s="5"/>
    </row>
    <row r="5929" spans="1:7" ht="58.5" customHeight="1" x14ac:dyDescent="0.25">
      <c r="A5929" s="5" t="str">
        <f>"I0001720"</f>
        <v>I0001720</v>
      </c>
      <c r="B5929" s="5" t="str">
        <f>"DISECTOR PASA HILOS"</f>
        <v>DISECTOR PASA HILOS</v>
      </c>
      <c r="C5929" s="6">
        <v>81200</v>
      </c>
      <c r="D5929" s="5"/>
      <c r="E5929" s="5" t="str">
        <f t="shared" si="301"/>
        <v>INSTRUMENTACION-DIANA CAICEDO-DIANA DIAZ</v>
      </c>
      <c r="F5929" s="5" t="str">
        <f>"Descripcion: DISECTOR DE FREE Estado: Bueno Placa anterior: 000032294 Material: ACERO INOXIDABLE Color: PLATEADO Referencia:  Observacion:     Placa padre: I0001712Tipo adquisicion: Entidad"</f>
        <v>Descripcion: DISECTOR DE FREE Estado: Bueno Placa anterior: 000032294 Material: ACERO INOXIDABLE Color: PLATEADO Referencia:  Observacion:     Placa padre: I0001712Tipo adquisicion: Entidad</v>
      </c>
      <c r="G5929" s="5"/>
    </row>
    <row r="5930" spans="1:7" ht="58.5" customHeight="1" x14ac:dyDescent="0.25">
      <c r="A5930" s="5" t="str">
        <f>"I0001721"</f>
        <v>I0001721</v>
      </c>
      <c r="B5930" s="5" t="str">
        <f>"CINCEL (INSTRUMENTAL)"</f>
        <v>CINCEL (INSTRUMENTAL)</v>
      </c>
      <c r="C5930" s="6">
        <v>300</v>
      </c>
      <c r="D5930" s="5"/>
      <c r="E5930" s="5" t="str">
        <f t="shared" si="301"/>
        <v>INSTRUMENTACION-DIANA CAICEDO-DIANA DIAZ</v>
      </c>
      <c r="F5930" s="5" t="str">
        <f>"Descripcion: CINCEL RECTO Estado: Bueno Placa anterior: 000016492 Material: ACERO INOXIDABLE Color: PLATEADO Referencia:  Observacion:     Placa padre: I0001712Tipo adquisicion: Entidad"</f>
        <v>Descripcion: CINCEL RECTO Estado: Bueno Placa anterior: 000016492 Material: ACERO INOXIDABLE Color: PLATEADO Referencia:  Observacion:     Placa padre: I0001712Tipo adquisicion: Entidad</v>
      </c>
      <c r="G5930" s="5"/>
    </row>
    <row r="5931" spans="1:7" ht="58.5" customHeight="1" x14ac:dyDescent="0.25">
      <c r="A5931" s="5" t="str">
        <f>"I0001729"</f>
        <v>I0001729</v>
      </c>
      <c r="B5931" s="5" t="str">
        <f>"EQUIPO DE CRANEO"</f>
        <v>EQUIPO DE CRANEO</v>
      </c>
      <c r="C5931" s="6">
        <v>1255087</v>
      </c>
      <c r="D5931" s="5"/>
      <c r="E5931" s="5" t="str">
        <f t="shared" si="301"/>
        <v>INSTRUMENTACION-DIANA CAICEDO-DIANA DIAZ</v>
      </c>
      <c r="F5931" s="5" t="str">
        <f>"Descripcion: EQUIPO DE  CRANEO  QUE CONSTA DE:  (1) MANGO DE BISTURI #4 (DIMEDA)  (1) MANGO DE BISTURI # 3 (DIMEDA)  (1) TIJERA DE METZEMBAUM CURVA  (1) TIJERA DE METZEMBAUM PEQUEÑA (DIMEDA)  (1) TIJERA DE TAYLOR  (1) TIJERA DE MAYO RECTA (DIMEDA)  (2) SE"&amp; "PARADORES DE FARABEUF  (2) SEPARADORES GELPY  (1) PINZA DE DISECCION ADSON CON GARRA  (1) PINZA DE DISECCION ADSON SIN GARRA  (1) PINZA DE DISECCION PEQUEÑA CON GARRA  (1) PINZA DE DISECCION PEQUEÑA SIN GARRA  (1) PINZA DE DISECCION MEDIANA SIN GARRA  (2)"&amp; " PINZAS DE DISECCION EN BAYONETA  (1) PINZA DE DERRICO PARA HIPOFISIS  (7) PINZAS DE MOSQUITO CURVAS (DIMEDA)  (14) PINZAS DE MOSQUITO RECTAS  (4) PINZAS KELLY CURVAS  (3) PINZAS DE ALLIX  (6) PINZAS DE CAMPO  (1) PORTA AGUJAS  PEQUEÑO PARA  DURAMADRE (DI"&amp; "MEDA)  (1) PORTA AGUJAS MEDIANO DE MAYO (DIMEDA)  (1) SONDA ACANALADA  (1) CANULA VENTRICULAR  (1) RUGINA CURVA  (1) RUGINA RECTA  (1) DISECTOR DE FREE (DIMEDA)  (1) DISECTOR DOBLE  (1) GANCHO DE NERVIO,  (6) CURETAS (DIMEDA)  (1) ELEVADOR DE ADSON  (1) G"&amp; "UBIA PICO DE PATO  (1) GUBIA (MARTIN)  (1) PINZA OLLIGATORE  (14) ESPÁTULAS CEREBRALES  (1) PLATON  (1) CUBETA  (2) CANULAS DE SUCCION DE FRAZIER (DIMEDA)  (1) CONDUCTOR DE LA SIERRA DE GIGLY  (2) MANILARTES PARA LA SIERRA DE GIGLY Estado: Bueno Placa ant"&amp; "erior: 000012843 Material: ACERO INOXIDABLE Color: PLATEADO Referencia:  Observacion:     Placa padre: Tipo adquisicion: Entidad"</f>
        <v>Descripcion: EQUIPO DE  CRANEO  QUE CONSTA DE:  (1) MANGO DE BISTURI #4 (DIMEDA)  (1) MANGO DE BISTURI # 3 (DIMEDA)  (1) TIJERA DE METZEMBAUM CURVA  (1) TIJERA DE METZEMBAUM PEQUEÑA (DIMEDA)  (1) TIJERA DE TAYLOR  (1) TIJERA DE MAYO RECTA (DIMEDA)  (2) SEPARADORES DE FARABEUF  (2) SEPARADORES GELPY  (1) PINZA DE DISECCION ADSON CON GARRA  (1) PINZA DE DISECCION ADSON SIN GARRA  (1) PINZA DE DISECCION PEQUEÑA CON GARRA  (1) PINZA DE DISECCION PEQUEÑA SIN GARRA  (1) PINZA DE DISECCION MEDIANA SIN GARRA  (2) PINZAS DE DISECCION EN BAYONETA  (1) PINZA DE DERRICO PARA HIPOFISIS  (7) PINZAS DE MOSQUITO CURVAS (DIMEDA)  (14) PINZAS DE MOSQUITO RECTAS  (4) PINZAS KELLY CURVAS  (3) PINZAS DE ALLIX  (6) PINZAS DE CAMPO  (1) PORTA AGUJAS  PEQUEÑO PARA  DURAMADRE (DIMEDA)  (1) PORTA AGUJAS MEDIANO DE MAYO (DIMEDA)  (1) SONDA ACANALADA  (1) CANULA VENTRICULAR  (1) RUGINA CURVA  (1) RUGINA RECTA  (1) DISECTOR DE FREE (DIMEDA)  (1) DISECTOR DOBLE  (1) GANCHO DE NERVIO,  (6) CURETAS (DIMEDA)  (1) ELEVADOR DE ADSON  (1) GUBIA PICO DE PATO  (1) GUBIA (MARTIN)  (1) PINZA OLLIGATORE  (14) ESPÁTULAS CEREBRALES  (1) PLATON  (1) CUBETA  (2) CANULAS DE SUCCION DE FRAZIER (DIMEDA)  (1) CONDUCTOR DE LA SIERRA DE GIGLY  (2) MANILARTES PARA LA SIERRA DE GIGLY Estado: Bueno Placa anterior: 000012843 Material: ACERO INOXIDABLE Color: PLATEADO Referencia:  Observacion:     Placa padre: Tipo adquisicion: Entidad</v>
      </c>
      <c r="G5931" s="5"/>
    </row>
    <row r="5932" spans="1:7" ht="58.5" customHeight="1" x14ac:dyDescent="0.25">
      <c r="A5932" s="5" t="str">
        <f>"I0001730"</f>
        <v>I0001730</v>
      </c>
      <c r="B5932" s="5" t="str">
        <f>"MANGO PARA BISTURI #4"</f>
        <v>MANGO PARA BISTURI #4</v>
      </c>
      <c r="C5932" s="6">
        <v>15080</v>
      </c>
      <c r="D5932" s="5"/>
      <c r="E5932" s="5" t="str">
        <f t="shared" si="301"/>
        <v>INSTRUMENTACION-DIANA CAICEDO-DIANA DIAZ</v>
      </c>
      <c r="F5932" s="5" t="str">
        <f>"Descripcion: MANGO DE BISTURI # 3 (DIMEDA) Estado: Bueno Placa anterior: 000031860 Material: ACERO INOXIDABLE Color: PLATEADO Referencia:  Observacion:     Placa padre: I0001729Tipo adquisicion: Entidad"</f>
        <v>Descripcion: MANGO DE BISTURI # 3 (DIMEDA) Estado: Bueno Placa anterior: 000031860 Material: ACERO INOXIDABLE Color: PLATEADO Referencia:  Observacion:     Placa padre: I0001729Tipo adquisicion: Entidad</v>
      </c>
      <c r="G5932" s="5"/>
    </row>
    <row r="5933" spans="1:7" ht="58.5" customHeight="1" x14ac:dyDescent="0.25">
      <c r="A5933" s="5" t="str">
        <f>"I0001731"</f>
        <v>I0001731</v>
      </c>
      <c r="B5933" s="5" t="str">
        <f>"TIJERA  DE METZEMBAUM CURVA"</f>
        <v>TIJERA  DE METZEMBAUM CURVA</v>
      </c>
      <c r="C5933" s="6">
        <v>57091</v>
      </c>
      <c r="D5933" s="5"/>
      <c r="E5933" s="5" t="str">
        <f t="shared" si="301"/>
        <v>INSTRUMENTACION-DIANA CAICEDO-DIANA DIAZ</v>
      </c>
      <c r="F5933" s="5" t="str">
        <f>"Descripcion: TIJERA DE METZEMBAUM CURVA Estado: Bueno Placa anterior: 000024426 Material: ACERO INOXIDABLE Color: PLATEADO Referencia:  Observacion:     Placa padre: I0001729Tipo adquisicion: Entidad"</f>
        <v>Descripcion: TIJERA DE METZEMBAUM CURVA Estado: Bueno Placa anterior: 000024426 Material: ACERO INOXIDABLE Color: PLATEADO Referencia:  Observacion:     Placa padre: I0001729Tipo adquisicion: Entidad</v>
      </c>
      <c r="G5933" s="5"/>
    </row>
    <row r="5934" spans="1:7" ht="58.5" customHeight="1" x14ac:dyDescent="0.25">
      <c r="A5934" s="5" t="str">
        <f>"I0001732"</f>
        <v>I0001732</v>
      </c>
      <c r="B5934" s="5" t="str">
        <f>"TIJERA DE METZEMBAUM"</f>
        <v>TIJERA DE METZEMBAUM</v>
      </c>
      <c r="C5934" s="6">
        <v>63800</v>
      </c>
      <c r="D5934" s="5"/>
      <c r="E5934" s="5" t="str">
        <f t="shared" si="301"/>
        <v>INSTRUMENTACION-DIANA CAICEDO-DIANA DIAZ</v>
      </c>
      <c r="F5934" s="5" t="str">
        <f>"Descripcion: TIJERA DE METZEMBAUM PEQUEÑA (DIMEDA) Estado: Bueno Placa anterior: 000032090 Material: ACERO INOXIDABLE Color: PLATEADO Referencia:  Observacion:     Placa padre: I0001729Tipo adquisicion: Entidad"</f>
        <v>Descripcion: TIJERA DE METZEMBAUM PEQUEÑA (DIMEDA) Estado: Bueno Placa anterior: 000032090 Material: ACERO INOXIDABLE Color: PLATEADO Referencia:  Observacion:     Placa padre: I0001729Tipo adquisicion: Entidad</v>
      </c>
      <c r="G5934" s="5"/>
    </row>
    <row r="5935" spans="1:7" ht="58.5" customHeight="1" x14ac:dyDescent="0.25">
      <c r="A5935" s="5" t="str">
        <f>"I0001737"</f>
        <v>I0001737</v>
      </c>
      <c r="B5935" s="5" t="str">
        <f>"SEPARADOR DE GELPY"</f>
        <v>SEPARADOR DE GELPY</v>
      </c>
      <c r="C5935" s="6">
        <v>62700</v>
      </c>
      <c r="D5935" s="5"/>
      <c r="E5935" s="5" t="str">
        <f t="shared" si="301"/>
        <v>INSTRUMENTACION-DIANA CAICEDO-DIANA DIAZ</v>
      </c>
      <c r="F5935" s="5" t="str">
        <f>"Descripcion: SEPARADORES GELPY Estado: Bueno Placa anterior: 000016345 Material: ACERO INOXIDABLE Color: PLATEADO Referencia:  Observacion:     Placa padre: I0001729Tipo adquisicion: Entidad"</f>
        <v>Descripcion: SEPARADORES GELPY Estado: Bueno Placa anterior: 000016345 Material: ACERO INOXIDABLE Color: PLATEADO Referencia:  Observacion:     Placa padre: I0001729Tipo adquisicion: Entidad</v>
      </c>
      <c r="G5935" s="5"/>
    </row>
    <row r="5936" spans="1:7" ht="58.5" customHeight="1" x14ac:dyDescent="0.25">
      <c r="A5936" s="5" t="str">
        <f>"I0001739"</f>
        <v>I0001739</v>
      </c>
      <c r="B5936" s="5" t="str">
        <f>"PINZA DE DISECCION SIN GARRA CORTA 20 CM"</f>
        <v>PINZA DE DISECCION SIN GARRA CORTA 20 CM</v>
      </c>
      <c r="C5936" s="6">
        <v>31320</v>
      </c>
      <c r="D5936" s="5"/>
      <c r="E5936" s="5" t="str">
        <f t="shared" si="301"/>
        <v>INSTRUMENTACION-DIANA CAICEDO-DIANA DIAZ</v>
      </c>
      <c r="F5936" s="5" t="str">
        <f>"Descripcion: PINZA DE DISECCION ADSON CON GARRA Estado: Bueno Placa anterior: 000032266 Material: ACERO INOXIDABLE Color: PLATEADO Referencia:  Observacion:     Placa padre: I0001729Tipo adquisicion: Entidad"</f>
        <v>Descripcion: PINZA DE DISECCION ADSON CON GARRA Estado: Bueno Placa anterior: 000032266 Material: ACERO INOXIDABLE Color: PLATEADO Referencia:  Observacion:     Placa padre: I0001729Tipo adquisicion: Entidad</v>
      </c>
      <c r="G5936" s="5"/>
    </row>
    <row r="5937" spans="1:7" ht="58.5" customHeight="1" x14ac:dyDescent="0.25">
      <c r="A5937" s="5" t="str">
        <f>"I0001743"</f>
        <v>I0001743</v>
      </c>
      <c r="B5937" s="5" t="str">
        <f>"PINZA DE DISECCION SIN GARRA LARGA 25 CM"</f>
        <v>PINZA DE DISECCION SIN GARRA LARGA 25 CM</v>
      </c>
      <c r="C5937" s="6">
        <v>17400</v>
      </c>
      <c r="D5937" s="5"/>
      <c r="E5937" s="5" t="str">
        <f t="shared" si="301"/>
        <v>INSTRUMENTACION-DIANA CAICEDO-DIANA DIAZ</v>
      </c>
      <c r="F5937" s="5" t="str">
        <f>"Descripcion: PINZA DE DISECCION MEDIANA SIN GARRA Estado: Bueno Placa anterior: 000032283 Material: ACERO INOXIDABLE Color: PLATEADO Referencia:  Observacion:     Placa padre: I0001729Tipo adquisicion: Entidad"</f>
        <v>Descripcion: PINZA DE DISECCION MEDIANA SIN GARRA Estado: Bueno Placa anterior: 000032283 Material: ACERO INOXIDABLE Color: PLATEADO Referencia:  Observacion:     Placa padre: I0001729Tipo adquisicion: Entidad</v>
      </c>
      <c r="G5937" s="5"/>
    </row>
    <row r="5938" spans="1:7" ht="58.5" customHeight="1" x14ac:dyDescent="0.25">
      <c r="A5938" s="5" t="str">
        <f>"I0001744"</f>
        <v>I0001744</v>
      </c>
      <c r="B5938" s="5" t="str">
        <f>"PINZA DE DISECCION SIN GARRA CORTA 20 CM"</f>
        <v>PINZA DE DISECCION SIN GARRA CORTA 20 CM</v>
      </c>
      <c r="C5938" s="6">
        <v>154396</v>
      </c>
      <c r="D5938" s="5"/>
      <c r="E5938" s="5" t="str">
        <f t="shared" si="301"/>
        <v>INSTRUMENTACION-DIANA CAICEDO-DIANA DIAZ</v>
      </c>
      <c r="F5938" s="5" t="str">
        <f>"Descripcion: PINZAS DE DISECCION EN BAYONETA Estado: Bueno Placa anterior: 000025352 Material: ACERO INOXIDABLE Color: PLATEADO Referencia:  Observacion:     Placa padre: I0001729Tipo adquisicion: Entidad"</f>
        <v>Descripcion: PINZAS DE DISECCION EN BAYONETA Estado: Bueno Placa anterior: 000025352 Material: ACERO INOXIDABLE Color: PLATEADO Referencia:  Observacion:     Placa padre: I0001729Tipo adquisicion: Entidad</v>
      </c>
      <c r="G5938" s="5"/>
    </row>
    <row r="5939" spans="1:7" ht="58.5" customHeight="1" x14ac:dyDescent="0.25">
      <c r="A5939" s="5" t="str">
        <f>"I0001745"</f>
        <v>I0001745</v>
      </c>
      <c r="B5939" s="5" t="str">
        <f>"PINZA DE DISECCION SIN GARRA CORTA 20 CM"</f>
        <v>PINZA DE DISECCION SIN GARRA CORTA 20 CM</v>
      </c>
      <c r="C5939" s="6">
        <v>154396</v>
      </c>
      <c r="D5939" s="5"/>
      <c r="E5939" s="5" t="str">
        <f t="shared" si="301"/>
        <v>INSTRUMENTACION-DIANA CAICEDO-DIANA DIAZ</v>
      </c>
      <c r="F5939" s="5" t="str">
        <f>"Descripcion: PINZAS DE DISECCION EN BAYONETA Estado: Bueno Placa anterior: 000025353 Material: ACERO INOXIDABLE Color: PLATEADO Referencia:  Observacion:     Placa padre: I0001729Tipo adquisicion: Entidad"</f>
        <v>Descripcion: PINZAS DE DISECCION EN BAYONETA Estado: Bueno Placa anterior: 000025353 Material: ACERO INOXIDABLE Color: PLATEADO Referencia:  Observacion:     Placa padre: I0001729Tipo adquisicion: Entidad</v>
      </c>
      <c r="G5939" s="5"/>
    </row>
    <row r="5940" spans="1:7" ht="58.5" customHeight="1" x14ac:dyDescent="0.25">
      <c r="A5940" s="5" t="str">
        <f>"I0001799"</f>
        <v>I0001799</v>
      </c>
      <c r="B5940" s="5" t="str">
        <f>"PORTAGUJAS (PINZA)"</f>
        <v>PORTAGUJAS (PINZA)</v>
      </c>
      <c r="C5940" s="6">
        <v>139200</v>
      </c>
      <c r="D5940" s="5"/>
      <c r="E5940" s="5" t="str">
        <f t="shared" si="301"/>
        <v>INSTRUMENTACION-DIANA CAICEDO-DIANA DIAZ</v>
      </c>
      <c r="F5940" s="5" t="str">
        <f>"Descripcion: PORTA AGUJAS MEDIANO DE MAYO (DIMEDA) Estado: Bueno Placa anterior: 000032422 Material: ACERO INOXIDABLE Color: PLATEADO Referencia:  Observacion: PORTA AGUJAS MASSON RANURADO EN LA PUNTA CIERRE DE CREMALLERA  Placa padre: I0001729Tipo adquis"&amp; "icion: Entidad"</f>
        <v>Descripcion: PORTA AGUJAS MEDIANO DE MAYO (DIMEDA) Estado: Bueno Placa anterior: 000032422 Material: ACERO INOXIDABLE Color: PLATEADO Referencia:  Observacion: PORTA AGUJAS MASSON RANURADO EN LA PUNTA CIERRE DE CREMALLERA  Placa padre: I0001729Tipo adquisicion: Entidad</v>
      </c>
      <c r="G5940" s="5"/>
    </row>
    <row r="5941" spans="1:7" ht="58.5" customHeight="1" x14ac:dyDescent="0.25">
      <c r="A5941" s="5" t="str">
        <f>"I0001805"</f>
        <v>I0001805</v>
      </c>
      <c r="B5941" s="5" t="str">
        <f>"DISECTOR PASA HILOS"</f>
        <v>DISECTOR PASA HILOS</v>
      </c>
      <c r="C5941" s="6">
        <v>81200</v>
      </c>
      <c r="D5941" s="5"/>
      <c r="E5941" s="5" t="str">
        <f t="shared" si="301"/>
        <v>INSTRUMENTACION-DIANA CAICEDO-DIANA DIAZ</v>
      </c>
      <c r="F5941" s="5" t="str">
        <f>"Descripcion: DISECTOR DE FREE (DIMEDA) Estado: Bueno Placa anterior: 000032295 Material: ACERO INOXIDABLE Color: PLATEADO Referencia:  Observacion:     Placa padre: I0001729Tipo adquisicion: Entidad"</f>
        <v>Descripcion: DISECTOR DE FREE (DIMEDA) Estado: Bueno Placa anterior: 000032295 Material: ACERO INOXIDABLE Color: PLATEADO Referencia:  Observacion:     Placa padre: I0001729Tipo adquisicion: Entidad</v>
      </c>
      <c r="G5941" s="5"/>
    </row>
    <row r="5942" spans="1:7" ht="58.5" customHeight="1" x14ac:dyDescent="0.25">
      <c r="A5942" s="5" t="str">
        <f>"I0001806"</f>
        <v>I0001806</v>
      </c>
      <c r="B5942" s="5" t="str">
        <f>"DISECTOR PASA HILOS"</f>
        <v>DISECTOR PASA HILOS</v>
      </c>
      <c r="C5942" s="6">
        <v>153120</v>
      </c>
      <c r="D5942" s="5"/>
      <c r="E5942" s="5" t="str">
        <f t="shared" si="301"/>
        <v>INSTRUMENTACION-DIANA CAICEDO-DIANA DIAZ</v>
      </c>
      <c r="F5942" s="5" t="str">
        <f>"Descripcion: DISECTOR DOBLE Estado: Bueno Placa anterior: 000021798 Material: ACERO INOXIDABLE Color: PLATEADO Referencia:  Observacion:     Placa padre: I0001729Tipo adquisicion: Entidad"</f>
        <v>Descripcion: DISECTOR DOBLE Estado: Bueno Placa anterior: 000021798 Material: ACERO INOXIDABLE Color: PLATEADO Referencia:  Observacion:     Placa padre: I0001729Tipo adquisicion: Entidad</v>
      </c>
      <c r="G5942" s="5"/>
    </row>
    <row r="5943" spans="1:7" ht="58.5" customHeight="1" x14ac:dyDescent="0.25">
      <c r="A5943" s="5" t="str">
        <f>"I0001809"</f>
        <v>I0001809</v>
      </c>
      <c r="B5943" s="5" t="str">
        <f t="shared" ref="B5943:B5948" si="302">"CURETA"</f>
        <v>CURETA</v>
      </c>
      <c r="C5943" s="6">
        <v>102080</v>
      </c>
      <c r="D5943" s="5"/>
      <c r="E5943" s="5" t="str">
        <f t="shared" si="301"/>
        <v>INSTRUMENTACION-DIANA CAICEDO-DIANA DIAZ</v>
      </c>
      <c r="F5943" s="5" t="str">
        <f>"Descripcion: CURETAS (DIMEDA) Estado: Bueno Placa anterior: 000032220 Material: ACERO INOXIDABLE Color: PLATEADO Referencia:  Observacion:     Placa padre: I0001729Tipo adquisicion: Entidad"</f>
        <v>Descripcion: CURETAS (DIMEDA) Estado: Bueno Placa anterior: 000032220 Material: ACERO INOXIDABLE Color: PLATEADO Referencia:  Observacion:     Placa padre: I0001729Tipo adquisicion: Entidad</v>
      </c>
      <c r="G5943" s="5"/>
    </row>
    <row r="5944" spans="1:7" ht="58.5" customHeight="1" x14ac:dyDescent="0.25">
      <c r="A5944" s="5" t="str">
        <f>"I0001810"</f>
        <v>I0001810</v>
      </c>
      <c r="B5944" s="5" t="str">
        <f t="shared" si="302"/>
        <v>CURETA</v>
      </c>
      <c r="C5944" s="6">
        <v>102080</v>
      </c>
      <c r="D5944" s="5"/>
      <c r="E5944" s="5" t="str">
        <f t="shared" si="301"/>
        <v>INSTRUMENTACION-DIANA CAICEDO-DIANA DIAZ</v>
      </c>
      <c r="F5944" s="5" t="str">
        <f>"Descripcion: CURETAS (DIMEDA) Estado: Bueno Placa anterior: 000032221 Material: ACERO INOXIDABLE Color: PLATEADO Referencia:  Observacion:     Placa padre: I0001729Tipo adquisicion: Entidad"</f>
        <v>Descripcion: CURETAS (DIMEDA) Estado: Bueno Placa anterior: 000032221 Material: ACERO INOXIDABLE Color: PLATEADO Referencia:  Observacion:     Placa padre: I0001729Tipo adquisicion: Entidad</v>
      </c>
      <c r="G5944" s="5"/>
    </row>
    <row r="5945" spans="1:7" ht="58.5" customHeight="1" x14ac:dyDescent="0.25">
      <c r="A5945" s="5" t="str">
        <f>"I0001811"</f>
        <v>I0001811</v>
      </c>
      <c r="B5945" s="5" t="str">
        <f t="shared" si="302"/>
        <v>CURETA</v>
      </c>
      <c r="C5945" s="6">
        <v>102080</v>
      </c>
      <c r="D5945" s="5"/>
      <c r="E5945" s="5" t="str">
        <f t="shared" si="301"/>
        <v>INSTRUMENTACION-DIANA CAICEDO-DIANA DIAZ</v>
      </c>
      <c r="F5945" s="5" t="str">
        <f>"Descripcion: CURETAS (DIMEDA) Estado: Bueno Placa anterior: 000032222 Material: ACERO INOXIDABLE Color: PLATEADO Referencia:  Observacion:     Placa padre: I0001729Tipo adquisicion: Entidad"</f>
        <v>Descripcion: CURETAS (DIMEDA) Estado: Bueno Placa anterior: 000032222 Material: ACERO INOXIDABLE Color: PLATEADO Referencia:  Observacion:     Placa padre: I0001729Tipo adquisicion: Entidad</v>
      </c>
      <c r="G5945" s="5"/>
    </row>
    <row r="5946" spans="1:7" ht="58.5" customHeight="1" x14ac:dyDescent="0.25">
      <c r="A5946" s="5" t="str">
        <f>"I0001812"</f>
        <v>I0001812</v>
      </c>
      <c r="B5946" s="5" t="str">
        <f t="shared" si="302"/>
        <v>CURETA</v>
      </c>
      <c r="C5946" s="6">
        <v>102080</v>
      </c>
      <c r="D5946" s="5"/>
      <c r="E5946" s="5" t="str">
        <f t="shared" si="301"/>
        <v>INSTRUMENTACION-DIANA CAICEDO-DIANA DIAZ</v>
      </c>
      <c r="F5946" s="5" t="str">
        <f>"Descripcion: CURETAS (DIMEDA) Estado: Bueno Placa anterior: 000032223 Material: ACERO INOXIDABLE Color: PLATEADO Referencia:  Observacion:     Placa padre: I0001729Tipo adquisicion: Entidad"</f>
        <v>Descripcion: CURETAS (DIMEDA) Estado: Bueno Placa anterior: 000032223 Material: ACERO INOXIDABLE Color: PLATEADO Referencia:  Observacion:     Placa padre: I0001729Tipo adquisicion: Entidad</v>
      </c>
      <c r="G5946" s="5"/>
    </row>
    <row r="5947" spans="1:7" ht="58.5" customHeight="1" x14ac:dyDescent="0.25">
      <c r="A5947" s="5" t="str">
        <f>"I0001813"</f>
        <v>I0001813</v>
      </c>
      <c r="B5947" s="5" t="str">
        <f t="shared" si="302"/>
        <v>CURETA</v>
      </c>
      <c r="C5947" s="6">
        <v>102080</v>
      </c>
      <c r="D5947" s="5"/>
      <c r="E5947" s="5" t="str">
        <f t="shared" si="301"/>
        <v>INSTRUMENTACION-DIANA CAICEDO-DIANA DIAZ</v>
      </c>
      <c r="F5947" s="5" t="str">
        <f>"Descripcion: CURETAS (DIMEDA) Estado: Bueno Placa anterior: 000032224 Material: ACERO INOXIDABLE Color: PLATEADO Referencia:  Observacion:     Placa padre: I0001729Tipo adquisicion: Entidad"</f>
        <v>Descripcion: CURETAS (DIMEDA) Estado: Bueno Placa anterior: 000032224 Material: ACERO INOXIDABLE Color: PLATEADO Referencia:  Observacion:     Placa padre: I0001729Tipo adquisicion: Entidad</v>
      </c>
      <c r="G5947" s="5"/>
    </row>
    <row r="5948" spans="1:7" ht="58.5" customHeight="1" x14ac:dyDescent="0.25">
      <c r="A5948" s="5" t="str">
        <f>"I0001814"</f>
        <v>I0001814</v>
      </c>
      <c r="B5948" s="5" t="str">
        <f t="shared" si="302"/>
        <v>CURETA</v>
      </c>
      <c r="C5948" s="6">
        <v>102080</v>
      </c>
      <c r="D5948" s="5"/>
      <c r="E5948" s="5" t="str">
        <f t="shared" si="301"/>
        <v>INSTRUMENTACION-DIANA CAICEDO-DIANA DIAZ</v>
      </c>
      <c r="F5948" s="5" t="str">
        <f>"Descripcion: CURETAS (DIMEDA) Estado: Bueno Placa anterior: 000032233 Material: ACERO INOXIDABLE Color: PLATEADO Referencia:  Observacion:     Placa padre: I0001729Tipo adquisicion: Entidad"</f>
        <v>Descripcion: CURETAS (DIMEDA) Estado: Bueno Placa anterior: 000032233 Material: ACERO INOXIDABLE Color: PLATEADO Referencia:  Observacion:     Placa padre: I0001729Tipo adquisicion: Entidad</v>
      </c>
      <c r="G5948" s="5"/>
    </row>
    <row r="5949" spans="1:7" ht="58.5" customHeight="1" x14ac:dyDescent="0.25">
      <c r="A5949" s="5" t="str">
        <f>"I0001817"</f>
        <v>I0001817</v>
      </c>
      <c r="B5949" s="5" t="str">
        <f>"PINZA GUBIA"</f>
        <v>PINZA GUBIA</v>
      </c>
      <c r="C5949" s="6">
        <v>554260</v>
      </c>
      <c r="D5949" s="5"/>
      <c r="E5949" s="5" t="str">
        <f t="shared" si="301"/>
        <v>INSTRUMENTACION-DIANA CAICEDO-DIANA DIAZ</v>
      </c>
      <c r="F5949" s="5" t="str">
        <f>"Descripcion: GUBIA (MARTIN) Estado: Bueno Placa anterior: 000030168 Material: ACERO INOXIDABLE Color: PLATEADO Referencia:  Observacion:     Placa padre: I0001729Tipo adquisicion: Entidad"</f>
        <v>Descripcion: GUBIA (MARTIN) Estado: Bueno Placa anterior: 000030168 Material: ACERO INOXIDABLE Color: PLATEADO Referencia:  Observacion:     Placa padre: I0001729Tipo adquisicion: Entidad</v>
      </c>
      <c r="G5949" s="5"/>
    </row>
    <row r="5950" spans="1:7" ht="58.5" customHeight="1" x14ac:dyDescent="0.25">
      <c r="A5950" s="5" t="str">
        <f>"I0001835"</f>
        <v>I0001835</v>
      </c>
      <c r="B5950" s="5" t="str">
        <f>"CUBETA DE ACERO INOXIDABLE MEDIANA"</f>
        <v>CUBETA DE ACERO INOXIDABLE MEDIANA</v>
      </c>
      <c r="C5950" s="6">
        <v>5421.11</v>
      </c>
      <c r="D5950" s="5"/>
      <c r="E5950" s="5" t="str">
        <f t="shared" si="301"/>
        <v>INSTRUMENTACION-DIANA CAICEDO-DIANA DIAZ</v>
      </c>
      <c r="F5950" s="5" t="str">
        <f>"Descripcion: CUBETA Estado: Bueno Placa anterior: 000028740 Material: ACERO INOXIDABLE Color: PLATEADO Referencia:  Observacion: CUBETA EN ACERO INOXIDABLE   Placa padre: I0001729Tipo adquisicion: Entidad"</f>
        <v>Descripcion: CUBETA Estado: Bueno Placa anterior: 000028740 Material: ACERO INOXIDABLE Color: PLATEADO Referencia:  Observacion: CUBETA EN ACERO INOXIDABLE   Placa padre: I0001729Tipo adquisicion: Entidad</v>
      </c>
      <c r="G5950" s="5"/>
    </row>
    <row r="5951" spans="1:7" ht="58.5" customHeight="1" x14ac:dyDescent="0.25">
      <c r="A5951" s="5" t="str">
        <f>"I0001836"</f>
        <v>I0001836</v>
      </c>
      <c r="B5951" s="5" t="str">
        <f>"CANULA DE FRAZIER"</f>
        <v>CANULA DE FRAZIER</v>
      </c>
      <c r="C5951" s="6">
        <v>76560</v>
      </c>
      <c r="D5951" s="5"/>
      <c r="E5951" s="5" t="str">
        <f t="shared" si="301"/>
        <v>INSTRUMENTACION-DIANA CAICEDO-DIANA DIAZ</v>
      </c>
      <c r="F5951" s="5" t="str">
        <f>"Descripcion: CANULAS DE SUCCION DE FRAZIER (DIMEDA) Estado: Bueno Placa anterior: 000031609 Material: ACERO INOXIDABLE Color: PLATEADO Referencia:  Observacion:     Placa padre: I0001729Tipo adquisicion: Entidad"</f>
        <v>Descripcion: CANULAS DE SUCCION DE FRAZIER (DIMEDA) Estado: Bueno Placa anterior: 000031609 Material: ACERO INOXIDABLE Color: PLATEADO Referencia:  Observacion:     Placa padre: I0001729Tipo adquisicion: Entidad</v>
      </c>
      <c r="G5951" s="5"/>
    </row>
    <row r="5952" spans="1:7" ht="58.5" customHeight="1" x14ac:dyDescent="0.25">
      <c r="A5952" s="5" t="str">
        <f>"I0001837"</f>
        <v>I0001837</v>
      </c>
      <c r="B5952" s="5" t="str">
        <f>"CANULA DE FRAZIER"</f>
        <v>CANULA DE FRAZIER</v>
      </c>
      <c r="C5952" s="6">
        <v>76560</v>
      </c>
      <c r="D5952" s="5"/>
      <c r="E5952" s="5" t="str">
        <f t="shared" si="301"/>
        <v>INSTRUMENTACION-DIANA CAICEDO-DIANA DIAZ</v>
      </c>
      <c r="F5952" s="5" t="str">
        <f>"Descripcion: CANULAS DE SUCCION DE FRAZIER (DIMEDA) Estado: Bueno Placa anterior: 000031610 Material: ACERO INOXIDABLE Color: PLATEADO Referencia:  Observacion:     Placa padre: I0001729Tipo adquisicion: Entidad"</f>
        <v>Descripcion: CANULAS DE SUCCION DE FRAZIER (DIMEDA) Estado: Bueno Placa anterior: 000031610 Material: ACERO INOXIDABLE Color: PLATEADO Referencia:  Observacion:     Placa padre: I0001729Tipo adquisicion: Entidad</v>
      </c>
      <c r="G5952" s="5"/>
    </row>
    <row r="5953" spans="1:7" ht="58.5" customHeight="1" x14ac:dyDescent="0.25">
      <c r="A5953" s="5" t="str">
        <f>"I0001843"</f>
        <v>I0001843</v>
      </c>
      <c r="B5953" s="5" t="str">
        <f>"MANGO PARA BISTURI #4"</f>
        <v>MANGO PARA BISTURI #4</v>
      </c>
      <c r="C5953" s="6">
        <v>15080</v>
      </c>
      <c r="D5953" s="5"/>
      <c r="E5953" s="5" t="str">
        <f t="shared" si="301"/>
        <v>INSTRUMENTACION-DIANA CAICEDO-DIANA DIAZ</v>
      </c>
      <c r="F5953" s="5" t="str">
        <f>"Descripcion: MANGO DE BISTURI # 3(DIMEDA) Estado: Bueno Placa anterior: 000031861 Material: ACERO INOXIDABLE Color: PLATEADO Referencia:  Observacion:     Placa padre: I0001841Tipo adquisicion: Entidad"</f>
        <v>Descripcion: MANGO DE BISTURI # 3(DIMEDA) Estado: Bueno Placa anterior: 000031861 Material: ACERO INOXIDABLE Color: PLATEADO Referencia:  Observacion:     Placa padre: I0001841Tipo adquisicion: Entidad</v>
      </c>
      <c r="G5953" s="5"/>
    </row>
    <row r="5954" spans="1:7" ht="58.5" customHeight="1" x14ac:dyDescent="0.25">
      <c r="A5954" s="5" t="str">
        <f>"I0001844"</f>
        <v>I0001844</v>
      </c>
      <c r="B5954" s="5" t="str">
        <f>"TIJERA  DE METZEMBAUM CURVA"</f>
        <v>TIJERA  DE METZEMBAUM CURVA</v>
      </c>
      <c r="C5954" s="6">
        <v>63800</v>
      </c>
      <c r="D5954" s="5"/>
      <c r="E5954" s="5" t="str">
        <f t="shared" si="301"/>
        <v>INSTRUMENTACION-DIANA CAICEDO-DIANA DIAZ</v>
      </c>
      <c r="F5954" s="5" t="str">
        <f>"Descripcion: TIJERA DE METZEMBAUM CURVA PEQUEÑA  Estado: Bueno Placa anterior: 000032091 Material: ACERO INOXIDABLE Color: PLATEADO Referencia:  Observacion:     Placa padre: I0001841Tipo adquisicion: Entidad"</f>
        <v>Descripcion: TIJERA DE METZEMBAUM CURVA PEQUEÑA  Estado: Bueno Placa anterior: 000032091 Material: ACERO INOXIDABLE Color: PLATEADO Referencia:  Observacion:     Placa padre: I0001841Tipo adquisicion: Entidad</v>
      </c>
      <c r="G5954" s="5"/>
    </row>
    <row r="5955" spans="1:7" ht="58.5" customHeight="1" x14ac:dyDescent="0.25">
      <c r="A5955" s="5" t="str">
        <f>"I0001845"</f>
        <v>I0001845</v>
      </c>
      <c r="B5955" s="5" t="str">
        <f>"TIJERA  DE METZEMBAUM CURVA"</f>
        <v>TIJERA  DE METZEMBAUM CURVA</v>
      </c>
      <c r="C5955" s="6">
        <v>63800</v>
      </c>
      <c r="D5955" s="5"/>
      <c r="E5955" s="5" t="str">
        <f t="shared" si="301"/>
        <v>INSTRUMENTACION-DIANA CAICEDO-DIANA DIAZ</v>
      </c>
      <c r="F5955" s="5" t="str">
        <f>"Descripcion: TIJERA DE METZEMBAUM CURVA MEDIANA Estado: Bueno Placa anterior: 000032071 Material: ACERO INOXIDABLE Color: PLATEADO Referencia:  Observacion:     Placa padre: I0001841Tipo adquisicion: Entidad"</f>
        <v>Descripcion: TIJERA DE METZEMBAUM CURVA MEDIANA Estado: Bueno Placa anterior: 000032071 Material: ACERO INOXIDABLE Color: PLATEADO Referencia:  Observacion:     Placa padre: I0001841Tipo adquisicion: Entidad</v>
      </c>
      <c r="G5955" s="5"/>
    </row>
    <row r="5956" spans="1:7" ht="58.5" customHeight="1" x14ac:dyDescent="0.25">
      <c r="A5956" s="5" t="str">
        <f>"I0001850"</f>
        <v>I0001850</v>
      </c>
      <c r="B5956" s="5" t="str">
        <f>"SEPARADOR DE GELPY"</f>
        <v>SEPARADOR DE GELPY</v>
      </c>
      <c r="C5956" s="6">
        <v>59700</v>
      </c>
      <c r="D5956" s="5"/>
      <c r="E5956" s="5" t="str">
        <f t="shared" si="301"/>
        <v>INSTRUMENTACION-DIANA CAICEDO-DIANA DIAZ</v>
      </c>
      <c r="F5956" s="5" t="str">
        <f>"Descripcion: SEPARADORESS DE GELPY Estado: Bueno Placa anterior: 000016342 Material: ACERO INOXIDABLE Color: PLATEADO Referencia:  Observacion: SEPARADORES ADSON COLUMNA FIJOS  Placa padre: I0001841Tipo adquisicion: Entidad"</f>
        <v>Descripcion: SEPARADORESS DE GELPY Estado: Bueno Placa anterior: 000016342 Material: ACERO INOXIDABLE Color: PLATEADO Referencia:  Observacion: SEPARADORES ADSON COLUMNA FIJOS  Placa padre: I0001841Tipo adquisicion: Entidad</v>
      </c>
      <c r="G5956" s="5"/>
    </row>
    <row r="5957" spans="1:7" ht="58.5" customHeight="1" x14ac:dyDescent="0.25">
      <c r="A5957" s="5" t="str">
        <f>"I0001851"</f>
        <v>I0001851</v>
      </c>
      <c r="B5957" s="5" t="str">
        <f>"SEPARADOR DE GELPY"</f>
        <v>SEPARADOR DE GELPY</v>
      </c>
      <c r="C5957" s="6">
        <v>59700</v>
      </c>
      <c r="D5957" s="5"/>
      <c r="E5957" s="5" t="str">
        <f t="shared" si="301"/>
        <v>INSTRUMENTACION-DIANA CAICEDO-DIANA DIAZ</v>
      </c>
      <c r="F5957" s="5" t="str">
        <f>"Descripcion: SEPARADORESS DE GELPY Estado: Bueno Placa anterior: 000016343 Material: ACERO INOXIDABLE Color: PLATEADO Referencia:  Observacion: SEPARADORES ADSON COLUMNA FIJOS  Placa padre: I0001841Tipo adquisicion: Entidad"</f>
        <v>Descripcion: SEPARADORESS DE GELPY Estado: Bueno Placa anterior: 000016343 Material: ACERO INOXIDABLE Color: PLATEADO Referencia:  Observacion: SEPARADORES ADSON COLUMNA FIJOS  Placa padre: I0001841Tipo adquisicion: Entidad</v>
      </c>
      <c r="G5957" s="5"/>
    </row>
    <row r="5958" spans="1:7" ht="58.5" customHeight="1" x14ac:dyDescent="0.25">
      <c r="A5958" s="5" t="str">
        <f>"I0001852"</f>
        <v>I0001852</v>
      </c>
      <c r="B5958" s="5" t="str">
        <f>"PINZA ADSON"</f>
        <v>PINZA ADSON</v>
      </c>
      <c r="C5958" s="6">
        <v>31320</v>
      </c>
      <c r="D5958" s="5"/>
      <c r="E5958" s="5" t="str">
        <f t="shared" si="301"/>
        <v>INSTRUMENTACION-DIANA CAICEDO-DIANA DIAZ</v>
      </c>
      <c r="F5958" s="5" t="str">
        <f>"Descripcion: PINZA DE DISECCION ADSON CON GARRA (DIMEDA) Estado: Bueno Placa anterior: 000032257 Material: ACERO INOXIDABLE Color: PLATEADO Referencia:  Observacion:     Placa padre: I0001841Tipo adquisicion: Entidad"</f>
        <v>Descripcion: PINZA DE DISECCION ADSON CON GARRA (DIMEDA) Estado: Bueno Placa anterior: 000032257 Material: ACERO INOXIDABLE Color: PLATEADO Referencia:  Observacion:     Placa padre: I0001841Tipo adquisicion: Entidad</v>
      </c>
      <c r="G5958" s="5"/>
    </row>
    <row r="5959" spans="1:7" ht="58.5" customHeight="1" x14ac:dyDescent="0.25">
      <c r="A5959" s="5" t="str">
        <f>"I0001856"</f>
        <v>I0001856</v>
      </c>
      <c r="B5959" s="5" t="str">
        <f>"PINZA DE DISECCION SIN GARRA CORTA 20 CM"</f>
        <v>PINZA DE DISECCION SIN GARRA CORTA 20 CM</v>
      </c>
      <c r="C5959" s="6">
        <v>38280</v>
      </c>
      <c r="D5959" s="5"/>
      <c r="E5959" s="5" t="str">
        <f t="shared" si="301"/>
        <v>INSTRUMENTACION-DIANA CAICEDO-DIANA DIAZ</v>
      </c>
      <c r="F5959" s="5" t="str">
        <f>"Descripcion: PINZAS DE DISECCION  EN BAYONETA Estado: Bueno Placa anterior: 000031978 Material: ACERO INOXIDABLE Color: PLATEADO Referencia:  Observacion: PINZA DISECCION STANDARD Placa padre: I0001841Tipo adquisicion: Entidad"</f>
        <v>Descripcion: PINZAS DE DISECCION  EN BAYONETA Estado: Bueno Placa anterior: 000031978 Material: ACERO INOXIDABLE Color: PLATEADO Referencia:  Observacion: PINZA DISECCION STANDARD Placa padre: I0001841Tipo adquisicion: Entidad</v>
      </c>
      <c r="G5959" s="5"/>
    </row>
    <row r="5960" spans="1:7" ht="58.5" customHeight="1" x14ac:dyDescent="0.25">
      <c r="A5960" s="5" t="str">
        <f>"I0001857"</f>
        <v>I0001857</v>
      </c>
      <c r="B5960" s="5" t="str">
        <f>"PINZA DE DISECCION SIN GARRA CORTA 20 CM"</f>
        <v>PINZA DE DISECCION SIN GARRA CORTA 20 CM</v>
      </c>
      <c r="C5960" s="6">
        <v>38280</v>
      </c>
      <c r="D5960" s="5"/>
      <c r="E5960" s="5" t="str">
        <f t="shared" si="301"/>
        <v>INSTRUMENTACION-DIANA CAICEDO-DIANA DIAZ</v>
      </c>
      <c r="F5960" s="5" t="str">
        <f>"Descripcion: PINZAS DE DISECCION  EN BAYONETA Estado: Bueno Placa anterior: 000031975 Material: ACERO INOXIDABLE Color: PLATEADO Referencia:  Observacion: PINZA DISECCION STANDARD Placa padre: I0001841Tipo adquisicion: Entidad"</f>
        <v>Descripcion: PINZAS DE DISECCION  EN BAYONETA Estado: Bueno Placa anterior: 000031975 Material: ACERO INOXIDABLE Color: PLATEADO Referencia:  Observacion: PINZA DISECCION STANDARD Placa padre: I0001841Tipo adquisicion: Entidad</v>
      </c>
      <c r="G5960" s="5"/>
    </row>
    <row r="5961" spans="1:7" ht="58.5" customHeight="1" x14ac:dyDescent="0.25">
      <c r="A5961" s="5" t="str">
        <f>"I0001877"</f>
        <v>I0001877</v>
      </c>
      <c r="B5961" s="5" t="str">
        <f>"PINZA MOSQUITO CURVA 12 CM"</f>
        <v>PINZA MOSQUITO CURVA 12 CM</v>
      </c>
      <c r="C5961" s="6">
        <v>15599.94</v>
      </c>
      <c r="D5961" s="5"/>
      <c r="E5961" s="5" t="str">
        <f t="shared" si="301"/>
        <v>INSTRUMENTACION-DIANA CAICEDO-DIANA DIAZ</v>
      </c>
      <c r="F5961" s="5" t="str">
        <f>"Descripcion: PINZAS MOSQUITOS RECTAS Estado: Bueno Placa anterior: 000006799 Material: ACERO INOXIDABLE Color: PLATEADO Referencia:  Observacion: PINZA MOSQUITO RECTA   Placa padre: I0001841Tipo adquisicion: Entidad"</f>
        <v>Descripcion: PINZAS MOSQUITOS RECTAS Estado: Bueno Placa anterior: 000006799 Material: ACERO INOXIDABLE Color: PLATEADO Referencia:  Observacion: PINZA MOSQUITO RECTA   Placa padre: I0001841Tipo adquisicion: Entidad</v>
      </c>
      <c r="G5961" s="5"/>
    </row>
    <row r="5962" spans="1:7" ht="58.5" customHeight="1" x14ac:dyDescent="0.25">
      <c r="A5962" s="5" t="str">
        <f>"I0001884"</f>
        <v>I0001884</v>
      </c>
      <c r="B5962" s="5" t="str">
        <f>"PINZA KELLY ADSON 25 CM"</f>
        <v>PINZA KELLY ADSON 25 CM</v>
      </c>
      <c r="C5962" s="6">
        <v>52200</v>
      </c>
      <c r="D5962" s="5"/>
      <c r="E5962" s="5" t="str">
        <f t="shared" si="301"/>
        <v>INSTRUMENTACION-DIANA CAICEDO-DIANA DIAZ</v>
      </c>
      <c r="F5962" s="5" t="str">
        <f>"Descripcion: PINZAS  KELLY  CURVAS Estado: Bueno Placa anterior: 000036051 Material: ACERO INOXIDABLE Color: PLATEADO Referencia:  Observacion:     Placa padre: I0001841Tipo adquisicion: Entidad"</f>
        <v>Descripcion: PINZAS  KELLY  CURVAS Estado: Bueno Placa anterior: 000036051 Material: ACERO INOXIDABLE Color: PLATEADO Referencia:  Observacion:     Placa padre: I0001841Tipo adquisicion: Entidad</v>
      </c>
      <c r="G5962" s="5"/>
    </row>
    <row r="5963" spans="1:7" ht="58.5" customHeight="1" x14ac:dyDescent="0.25">
      <c r="A5963" s="5" t="str">
        <f>"I0001885"</f>
        <v>I0001885</v>
      </c>
      <c r="B5963" s="5" t="str">
        <f>"PINZA KELLY ADSON 25 CM"</f>
        <v>PINZA KELLY ADSON 25 CM</v>
      </c>
      <c r="C5963" s="6">
        <v>52200</v>
      </c>
      <c r="D5963" s="5"/>
      <c r="E5963" s="5" t="str">
        <f t="shared" si="301"/>
        <v>INSTRUMENTACION-DIANA CAICEDO-DIANA DIAZ</v>
      </c>
      <c r="F5963" s="5" t="str">
        <f>"Descripcion: PINZAS  KELLY  CURVAS Estado: Bueno Placa anterior: 000036082 Material: ACERO INOXIDABLE Color: PLATEADO Referencia:  Observacion:     Placa padre: I0001841Tipo adquisicion: Entidad"</f>
        <v>Descripcion: PINZAS  KELLY  CURVAS Estado: Bueno Placa anterior: 000036082 Material: ACERO INOXIDABLE Color: PLATEADO Referencia:  Observacion:     Placa padre: I0001841Tipo adquisicion: Entidad</v>
      </c>
      <c r="G5963" s="5"/>
    </row>
    <row r="5964" spans="1:7" ht="58.5" customHeight="1" x14ac:dyDescent="0.25">
      <c r="A5964" s="5" t="str">
        <f>"I0001898"</f>
        <v>I0001898</v>
      </c>
      <c r="B5964" s="5" t="str">
        <f>"PORTAGUJAS (PINZA)"</f>
        <v>PORTAGUJAS (PINZA)</v>
      </c>
      <c r="C5964" s="6">
        <v>139200</v>
      </c>
      <c r="D5964" s="5"/>
      <c r="E5964" s="5" t="str">
        <f t="shared" si="301"/>
        <v>INSTRUMENTACION-DIANA CAICEDO-DIANA DIAZ</v>
      </c>
      <c r="F5964" s="5" t="str">
        <f>"Descripcion: PORTA AGUJAS  MEDIANO (DIMEDA) Estado: Bueno Placa anterior: 000032417 Material: ACERO INOXIDABLE Color: PLATEADO Referencia:  Observacion: PORTA AGUJAS MASSON RANURADO EN LA PUNTA CIERRE DE CREMALLERA  Placa padre: I0001841Tipo adquisicion: "&amp; "Entidad"</f>
        <v>Descripcion: PORTA AGUJAS  MEDIANO (DIMEDA) Estado: Bueno Placa anterior: 000032417 Material: ACERO INOXIDABLE Color: PLATEADO Referencia:  Observacion: PORTA AGUJAS MASSON RANURADO EN LA PUNTA CIERRE DE CREMALLERA  Placa padre: I0001841Tipo adquisicion: Entidad</v>
      </c>
      <c r="G5964" s="5"/>
    </row>
    <row r="5965" spans="1:7" ht="58.5" customHeight="1" x14ac:dyDescent="0.25">
      <c r="A5965" s="5" t="str">
        <f>"I0001901"</f>
        <v>I0001901</v>
      </c>
      <c r="B5965" s="5" t="str">
        <f>"CANULA DE FRAZIER"</f>
        <v>CANULA DE FRAZIER</v>
      </c>
      <c r="C5965" s="6">
        <v>76560</v>
      </c>
      <c r="D5965" s="5"/>
      <c r="E5965" s="5" t="str">
        <f t="shared" si="301"/>
        <v>INSTRUMENTACION-DIANA CAICEDO-DIANA DIAZ</v>
      </c>
      <c r="F5965" s="5" t="str">
        <f>"Descripcion: CANULAS  DE SUCCION DE FRAZIER (DIMEDA) Estado: Bueno Placa anterior: 000031627 Material: ACERO INOXIDABLE Color: PLATEADO Referencia:  Observacion:     Placa padre: I0001841Tipo adquisicion: Entidad"</f>
        <v>Descripcion: CANULAS  DE SUCCION DE FRAZIER (DIMEDA) Estado: Bueno Placa anterior: 000031627 Material: ACERO INOXIDABLE Color: PLATEADO Referencia:  Observacion:     Placa padre: I0001841Tipo adquisicion: Entidad</v>
      </c>
      <c r="G5965" s="5"/>
    </row>
    <row r="5966" spans="1:7" ht="58.5" customHeight="1" x14ac:dyDescent="0.25">
      <c r="A5966" s="5" t="str">
        <f>"I0001902"</f>
        <v>I0001902</v>
      </c>
      <c r="B5966" s="5" t="str">
        <f>"CANULA DE FRAZIER"</f>
        <v>CANULA DE FRAZIER</v>
      </c>
      <c r="C5966" s="6">
        <v>76560</v>
      </c>
      <c r="D5966" s="5"/>
      <c r="E5966" s="5" t="str">
        <f t="shared" si="301"/>
        <v>INSTRUMENTACION-DIANA CAICEDO-DIANA DIAZ</v>
      </c>
      <c r="F5966" s="5" t="str">
        <f>"Descripcion: CANULAS  DE SUCCION DE FRAZIER (DIMEDA) Estado: Bueno Placa anterior: 000031628 Material: ACERO INOXIDABLE Color: PLATEADO Referencia:  Observacion:     Placa padre: I0001841Tipo adquisicion: Entidad"</f>
        <v>Descripcion: CANULAS  DE SUCCION DE FRAZIER (DIMEDA) Estado: Bueno Placa anterior: 000031628 Material: ACERO INOXIDABLE Color: PLATEADO Referencia:  Observacion:     Placa padre: I0001841Tipo adquisicion: Entidad</v>
      </c>
      <c r="G5966" s="5"/>
    </row>
    <row r="5967" spans="1:7" ht="58.5" customHeight="1" x14ac:dyDescent="0.25">
      <c r="A5967" s="5" t="str">
        <f>"I0001904"</f>
        <v>I0001904</v>
      </c>
      <c r="B5967" s="5" t="str">
        <f>"RUGINA"</f>
        <v>RUGINA</v>
      </c>
      <c r="C5967" s="6">
        <v>107966</v>
      </c>
      <c r="D5967" s="5"/>
      <c r="E5967" s="5" t="str">
        <f t="shared" si="301"/>
        <v>INSTRUMENTACION-DIANA CAICEDO-DIANA DIAZ</v>
      </c>
      <c r="F5967" s="5" t="str">
        <f>"Descripcion: RUGINA CURVA Estado: Bueno Placa anterior: 000023810 Material: ACERO INOXIDABLE Color: PLATEADO Referencia:  Observacion:     Placa padre: I0001841Tipo adquisicion: Entidad"</f>
        <v>Descripcion: RUGINA CURVA Estado: Bueno Placa anterior: 000023810 Material: ACERO INOXIDABLE Color: PLATEADO Referencia:  Observacion:     Placa padre: I0001841Tipo adquisicion: Entidad</v>
      </c>
      <c r="G5967" s="5"/>
    </row>
    <row r="5968" spans="1:7" ht="58.5" customHeight="1" x14ac:dyDescent="0.25">
      <c r="A5968" s="5" t="str">
        <f>"I0001906"</f>
        <v>I0001906</v>
      </c>
      <c r="B5968" s="5" t="str">
        <f>"DISECTOR PASA HILOS"</f>
        <v>DISECTOR PASA HILOS</v>
      </c>
      <c r="C5968" s="6">
        <v>81200</v>
      </c>
      <c r="D5968" s="5"/>
      <c r="E5968" s="5" t="str">
        <f t="shared" si="301"/>
        <v>INSTRUMENTACION-DIANA CAICEDO-DIANA DIAZ</v>
      </c>
      <c r="F5968" s="5" t="str">
        <f>"Descripcion: DISECTOR DE FREE DOBLE Estado: Bueno Placa anterior: 000032296 Material: ACERO INOXIDABLE Color: PLATEADO Referencia:  Observacion:     Placa padre: I0001841Tipo adquisicion: Entidad"</f>
        <v>Descripcion: DISECTOR DE FREE DOBLE Estado: Bueno Placa anterior: 000032296 Material: ACERO INOXIDABLE Color: PLATEADO Referencia:  Observacion:     Placa padre: I0001841Tipo adquisicion: Entidad</v>
      </c>
      <c r="G5968" s="5"/>
    </row>
    <row r="5969" spans="1:7" ht="58.5" customHeight="1" x14ac:dyDescent="0.25">
      <c r="A5969" s="5" t="str">
        <f>"I0001909"</f>
        <v>I0001909</v>
      </c>
      <c r="B5969" s="5" t="str">
        <f>"GANCHO DOBLE (INSTRUMENTAL)"</f>
        <v>GANCHO DOBLE (INSTRUMENTAL)</v>
      </c>
      <c r="C5969" s="6">
        <v>184892</v>
      </c>
      <c r="D5969" s="5"/>
      <c r="E5969" s="5" t="str">
        <f t="shared" si="301"/>
        <v>INSTRUMENTACION-DIANA CAICEDO-DIANA DIAZ</v>
      </c>
      <c r="F5969" s="5" t="str">
        <f>"Descripcion: GANCHO DE NERVIO Estado: Bueno Placa anterior: 000030135 Material: ACERO INOXIDABLE Color: PLATEADO Referencia:  Observacion:     Placa padre: I0001841Tipo adquisicion: Entidad"</f>
        <v>Descripcion: GANCHO DE NERVIO Estado: Bueno Placa anterior: 000030135 Material: ACERO INOXIDABLE Color: PLATEADO Referencia:  Observacion:     Placa padre: I0001841Tipo adquisicion: Entidad</v>
      </c>
      <c r="G5969" s="5"/>
    </row>
    <row r="5970" spans="1:7" ht="58.5" customHeight="1" x14ac:dyDescent="0.25">
      <c r="A5970" s="5" t="str">
        <f>"I0001911"</f>
        <v>I0001911</v>
      </c>
      <c r="B5970" s="5" t="str">
        <f>"CURETA"</f>
        <v>CURETA</v>
      </c>
      <c r="C5970" s="6">
        <v>102080</v>
      </c>
      <c r="D5970" s="5"/>
      <c r="E5970" s="5" t="str">
        <f t="shared" si="301"/>
        <v>INSTRUMENTACION-DIANA CAICEDO-DIANA DIAZ</v>
      </c>
      <c r="F5970" s="5" t="str">
        <f>"Descripcion: CURETAS (DIMEDA) Estado: Bueno Placa anterior: 000032234 Material: ACERO INOXIDABLE Color: PLATEADO Referencia:  Observacion:     Placa padre: I0001841Tipo adquisicion: Entidad"</f>
        <v>Descripcion: CURETAS (DIMEDA) Estado: Bueno Placa anterior: 000032234 Material: ACERO INOXIDABLE Color: PLATEADO Referencia:  Observacion:     Placa padre: I0001841Tipo adquisicion: Entidad</v>
      </c>
      <c r="G5970" s="5"/>
    </row>
    <row r="5971" spans="1:7" ht="58.5" customHeight="1" x14ac:dyDescent="0.25">
      <c r="A5971" s="5" t="str">
        <f>"I0001912"</f>
        <v>I0001912</v>
      </c>
      <c r="B5971" s="5" t="str">
        <f>"CURETA"</f>
        <v>CURETA</v>
      </c>
      <c r="C5971" s="6">
        <v>102080</v>
      </c>
      <c r="D5971" s="5"/>
      <c r="E5971" s="5" t="str">
        <f t="shared" si="301"/>
        <v>INSTRUMENTACION-DIANA CAICEDO-DIANA DIAZ</v>
      </c>
      <c r="F5971" s="5" t="str">
        <f>"Descripcion: CURETAS (DIMEDA) Estado: Bueno Placa anterior: 000032235 Material: ACERO INOXIDABLE Color: PLATEADO Referencia:  Observacion:     Placa padre: I0001841Tipo adquisicion: Entidad"</f>
        <v>Descripcion: CURETAS (DIMEDA) Estado: Bueno Placa anterior: 000032235 Material: ACERO INOXIDABLE Color: PLATEADO Referencia:  Observacion:     Placa padre: I0001841Tipo adquisicion: Entidad</v>
      </c>
      <c r="G5971" s="5"/>
    </row>
    <row r="5972" spans="1:7" ht="58.5" customHeight="1" x14ac:dyDescent="0.25">
      <c r="A5972" s="5" t="str">
        <f>"I0001913"</f>
        <v>I0001913</v>
      </c>
      <c r="B5972" s="5" t="str">
        <f>"CURETA"</f>
        <v>CURETA</v>
      </c>
      <c r="C5972" s="6">
        <v>102080</v>
      </c>
      <c r="D5972" s="5"/>
      <c r="E5972" s="5" t="str">
        <f t="shared" si="301"/>
        <v>INSTRUMENTACION-DIANA CAICEDO-DIANA DIAZ</v>
      </c>
      <c r="F5972" s="5" t="str">
        <f>"Descripcion: CURETAS (DIMEDA) Estado: Bueno Placa anterior: 000032236 Material: ACERO INOXIDABLE Color: PLATEADO Referencia:  Observacion:     Placa padre: I0001841Tipo adquisicion: Entidad"</f>
        <v>Descripcion: CURETAS (DIMEDA) Estado: Bueno Placa anterior: 000032236 Material: ACERO INOXIDABLE Color: PLATEADO Referencia:  Observacion:     Placa padre: I0001841Tipo adquisicion: Entidad</v>
      </c>
      <c r="G5972" s="5"/>
    </row>
    <row r="5973" spans="1:7" ht="58.5" customHeight="1" x14ac:dyDescent="0.25">
      <c r="A5973" s="5" t="str">
        <f>"I0001914"</f>
        <v>I0001914</v>
      </c>
      <c r="B5973" s="5" t="str">
        <f>"CURETA"</f>
        <v>CURETA</v>
      </c>
      <c r="C5973" s="6">
        <v>102080</v>
      </c>
      <c r="D5973" s="5"/>
      <c r="E5973" s="5" t="str">
        <f t="shared" si="301"/>
        <v>INSTRUMENTACION-DIANA CAICEDO-DIANA DIAZ</v>
      </c>
      <c r="F5973" s="5" t="str">
        <f>"Descripcion: CURETAS (DIMEDA) Estado: Bueno Placa anterior: 000032238 Material: ACERO INOXIDABLE Color: PLATEADO Referencia:  Observacion:     Placa padre: I0001841Tipo adquisicion: Entidad"</f>
        <v>Descripcion: CURETAS (DIMEDA) Estado: Bueno Placa anterior: 000032238 Material: ACERO INOXIDABLE Color: PLATEADO Referencia:  Observacion:     Placa padre: I0001841Tipo adquisicion: Entidad</v>
      </c>
      <c r="G5973" s="5"/>
    </row>
    <row r="5974" spans="1:7" ht="58.5" customHeight="1" x14ac:dyDescent="0.25">
      <c r="A5974" s="5" t="str">
        <f>"I0001917"</f>
        <v>I0001917</v>
      </c>
      <c r="B5974" s="5" t="str">
        <f>"PINZA GUBIA"</f>
        <v>PINZA GUBIA</v>
      </c>
      <c r="C5974" s="6">
        <v>560</v>
      </c>
      <c r="D5974" s="5"/>
      <c r="E5974" s="5" t="str">
        <f t="shared" si="301"/>
        <v>INSTRUMENTACION-DIANA CAICEDO-DIANA DIAZ</v>
      </c>
      <c r="F5974" s="5" t="str">
        <f>"Descripcion: GUBIA PICO DE PATO Estado: Bueno Placa anterior: 000016471 Material: ACERO INOXIDABLE Color: PLATEADO Referencia:  Observacion:     Placa padre: I0001841Tipo adquisicion: Entidad"</f>
        <v>Descripcion: GUBIA PICO DE PATO Estado: Bueno Placa anterior: 000016471 Material: ACERO INOXIDABLE Color: PLATEADO Referencia:  Observacion:     Placa padre: I0001841Tipo adquisicion: Entidad</v>
      </c>
      <c r="G5974" s="5"/>
    </row>
    <row r="5975" spans="1:7" ht="58.5" customHeight="1" x14ac:dyDescent="0.25">
      <c r="A5975" s="5" t="str">
        <f>"I0001918"</f>
        <v>I0001918</v>
      </c>
      <c r="B5975" s="5" t="str">
        <f>"PINZA ALLIGATOR (BIOTOMOS)"</f>
        <v>PINZA ALLIGATOR (BIOTOMOS)</v>
      </c>
      <c r="C5975" s="6">
        <v>2895245</v>
      </c>
      <c r="D5975" s="5" t="s">
        <v>5</v>
      </c>
      <c r="E5975" s="5" t="str">
        <f t="shared" si="301"/>
        <v>INSTRUMENTACION-DIANA CAICEDO-DIANA DIAZ</v>
      </c>
      <c r="F5975" s="5" t="str">
        <f>"Descripcion: PINZA  DE OLLIGATORE Estado: Bueno Placa anterior: 000029467 Material: ACERO INOXIDABLE Color: PLATEADO Referencia:  Observacion: FERRIS SMTH INTERVERTEBRAL DISC RONGEURS Placa padre: I0001841Tipo adquisicion: Entidad"</f>
        <v>Descripcion: PINZA  DE OLLIGATORE Estado: Bueno Placa anterior: 000029467 Material: ACERO INOXIDABLE Color: PLATEADO Referencia:  Observacion: FERRIS SMTH INTERVERTEBRAL DISC RONGEURS Placa padre: I0001841Tipo adquisicion: Entidad</v>
      </c>
      <c r="G5975" s="5"/>
    </row>
    <row r="5976" spans="1:7" ht="58.5" customHeight="1" x14ac:dyDescent="0.25">
      <c r="A5976" s="5" t="str">
        <f>"I0001925"</f>
        <v>I0001925</v>
      </c>
      <c r="B5976" s="5" t="str">
        <f>"EQUIPO DE DERIVACION"</f>
        <v>EQUIPO DE DERIVACION</v>
      </c>
      <c r="C5976" s="6">
        <v>2044538</v>
      </c>
      <c r="D5976" s="5"/>
      <c r="E5976" s="5" t="str">
        <f t="shared" si="301"/>
        <v>INSTRUMENTACION-DIANA CAICEDO-DIANA DIAZ</v>
      </c>
      <c r="F5976" s="5" t="str">
        <f>"Descripcion: EQUIPO DE DERIVACION QUE CONSTA DE:  (1) MANGO DE BISTURI # 4  (1) MANGO DE BISTURI# 3  (1) TIJERA DE METZEMBAUM CURVA (DIMEDA)  (1) TIJERA DE METZEMBAUM PEQUEÑA (DIMEDA)  (1) TIJERA DE MAYO RECTA  (2) SEPARADORES DE FARABEUF BABY  (2) SEPARA"&amp; "DORES DE SENN MILLER (DIMEDA)  (0) PINZA DE DISECCION ADSON CON GARRA (DIMEDA)  (1) PINZA DE DISECCION ADSON SIN GARRA  (1) PINZAS DE DISECCION PEQUEÑAS CON GARRA (DIMEDA)  (1) PINZAS DE DISECCION PEQUEÑAS SIN GARRA (DIMEDA)  (1) PINZA DISECCION BAYONETA "&amp; " (5) PINZAS MOSQUITO BABY CURVAS  (8) PINZAS MOSQUITOS CURVAS  (2) PINZAS MOSQUITOS RECTAS  (2) PINZAS KELLY CURVAS  (2) PINZAS KELLY RECTAS (DIMEDA)  (1) PINZAS ROCHESTER  CURVAS  (1) PINZA CISTICO  (4) PINZAS ALLIX  (0) PORTA AGUJAS MEDIANO  (1) PORTA A"&amp; "GUJAS PEQUEÑO  (1) SONDA ACANALADA  (0) CANULA VENTRICULAR  (2) CANULAS DE  SUCCION DE FRAZIER (DIMEDA)  (1) RUGINA  CURVA (DIMEDA)  (1) DISECTOR  DE FREE(DIMEDA)  (0) HISTEROMETRO DE AESCULAP  (1) REGLA  (3) CURETAS (DIMEDA)  (2) ESPATULAS  (1) GUBIA PEQ"&amp; "UEÑA  (4) PINZAS DE CAMPO  (1) COCAS PEQUEÑAS Estado: Bueno Placa anterior: 000012836 Material: ACERO INOXIDABLE Color: PLATEADO Referencia:  Observacion:     Placa padre: Tipo adquisicion: Entidad"</f>
        <v>Descripcion: EQUIPO DE DERIVACION QUE CONSTA DE:  (1) MANGO DE BISTURI # 4  (1) MANGO DE BISTURI# 3  (1) TIJERA DE METZEMBAUM CURVA (DIMEDA)  (1) TIJERA DE METZEMBAUM PEQUEÑA (DIMEDA)  (1) TIJERA DE MAYO RECTA  (2) SEPARADORES DE FARABEUF BABY  (2) SEPARADORES DE SENN MILLER (DIMEDA)  (0) PINZA DE DISECCION ADSON CON GARRA (DIMEDA)  (1) PINZA DE DISECCION ADSON SIN GARRA  (1) PINZAS DE DISECCION PEQUEÑAS CON GARRA (DIMEDA)  (1) PINZAS DE DISECCION PEQUEÑAS SIN GARRA (DIMEDA)  (1) PINZA DISECCION BAYONETA  (5) PINZAS MOSQUITO BABY CURVAS  (8) PINZAS MOSQUITOS CURVAS  (2) PINZAS MOSQUITOS RECTAS  (2) PINZAS KELLY CURVAS  (2) PINZAS KELLY RECTAS (DIMEDA)  (1) PINZAS ROCHESTER  CURVAS  (1) PINZA CISTICO  (4) PINZAS ALLIX  (0) PORTA AGUJAS MEDIANO  (1) PORTA AGUJAS PEQUEÑO  (1) SONDA ACANALADA  (0) CANULA VENTRICULAR  (2) CANULAS DE  SUCCION DE FRAZIER (DIMEDA)  (1) RUGINA  CURVA (DIMEDA)  (1) DISECTOR  DE FREE(DIMEDA)  (0) HISTEROMETRO DE AESCULAP  (1) REGLA  (3) CURETAS (DIMEDA)  (2) ESPATULAS  (1) GUBIA PEQUEÑA  (4) PINZAS DE CAMPO  (1) COCAS PEQUEÑAS Estado: Bueno Placa anterior: 000012836 Material: ACERO INOXIDABLE Color: PLATEADO Referencia:  Observacion:     Placa padre: Tipo adquisicion: Entidad</v>
      </c>
      <c r="G5976" s="5"/>
    </row>
    <row r="5977" spans="1:7" ht="58.5" customHeight="1" x14ac:dyDescent="0.25">
      <c r="A5977" s="5" t="str">
        <f>"I0001927"</f>
        <v>I0001927</v>
      </c>
      <c r="B5977" s="5" t="str">
        <f>"MANGO PARA BISTURI #4"</f>
        <v>MANGO PARA BISTURI #4</v>
      </c>
      <c r="C5977" s="6">
        <v>15080</v>
      </c>
      <c r="D5977" s="5"/>
      <c r="E5977" s="5" t="str">
        <f t="shared" si="301"/>
        <v>INSTRUMENTACION-DIANA CAICEDO-DIANA DIAZ</v>
      </c>
      <c r="F5977" s="5" t="str">
        <f>"Descripcion: MANGO DE BISTURI# 3 Estado: Bueno Placa anterior: 000031863 Material: ACERO INOXIDABLE Color: PLATEADO Referencia:  Observacion:     Placa padre: I0001925Tipo adquisicion: Entidad"</f>
        <v>Descripcion: MANGO DE BISTURI# 3 Estado: Bueno Placa anterior: 000031863 Material: ACERO INOXIDABLE Color: PLATEADO Referencia:  Observacion:     Placa padre: I0001925Tipo adquisicion: Entidad</v>
      </c>
      <c r="G5977" s="5"/>
    </row>
    <row r="5978" spans="1:7" ht="58.5" customHeight="1" x14ac:dyDescent="0.25">
      <c r="A5978" s="5" t="str">
        <f>"I0001965"</f>
        <v>I0001965</v>
      </c>
      <c r="B5978" s="5" t="str">
        <f>"PINZA CISTICO"</f>
        <v>PINZA CISTICO</v>
      </c>
      <c r="C5978" s="6">
        <v>162400</v>
      </c>
      <c r="D5978" s="5"/>
      <c r="E5978" s="5" t="str">
        <f t="shared" si="301"/>
        <v>INSTRUMENTACION-DIANA CAICEDO-DIANA DIAZ</v>
      </c>
      <c r="F5978" s="5" t="str">
        <f>"Descripcion: PINZA CISTICO Estado: Bueno Placa anterior: 000036186 Material: ACERO INOXIDABLE Color: PLATEADO Referencia:  Observacion: PINZA LAHEY DUCTO BILIAR CURVA  Placa padre: I0001925Tipo adquisicion: Entidad"</f>
        <v>Descripcion: PINZA CISTICO Estado: Bueno Placa anterior: 000036186 Material: ACERO INOXIDABLE Color: PLATEADO Referencia:  Observacion: PINZA LAHEY DUCTO BILIAR CURVA  Placa padre: I0001925Tipo adquisicion: Entidad</v>
      </c>
      <c r="G5978" s="5"/>
    </row>
    <row r="5979" spans="1:7" ht="58.5" customHeight="1" x14ac:dyDescent="0.25">
      <c r="A5979" s="5" t="str">
        <f>"I0001970"</f>
        <v>I0001970</v>
      </c>
      <c r="B5979" s="5" t="str">
        <f>"PORTAGUJAS (PINZA)"</f>
        <v>PORTAGUJAS (PINZA)</v>
      </c>
      <c r="C5979" s="6">
        <v>139200</v>
      </c>
      <c r="D5979" s="5"/>
      <c r="E5979" s="5" t="str">
        <f t="shared" si="301"/>
        <v>INSTRUMENTACION-DIANA CAICEDO-DIANA DIAZ</v>
      </c>
      <c r="F5979" s="5" t="str">
        <f>"Descripcion: PORTA AGUJAS MEDIANO Estado: Bueno Placa anterior: 000032415 Material: ACERO INOXIDABLE Color: PLATEADO Referencia:  Observacion: PORTA AGUJAS MASSON RANURADO EN LA PUNTA CIERRE DE CREMALLERA  Placa padre: I0001925Tipo adquisicion: Entidad"</f>
        <v>Descripcion: PORTA AGUJAS MEDIANO Estado: Bueno Placa anterior: 000032415 Material: ACERO INOXIDABLE Color: PLATEADO Referencia:  Observacion: PORTA AGUJAS MASSON RANURADO EN LA PUNTA CIERRE DE CREMALLERA  Placa padre: I0001925Tipo adquisicion: Entidad</v>
      </c>
      <c r="G5979" s="5"/>
    </row>
    <row r="5980" spans="1:7" ht="58.5" customHeight="1" x14ac:dyDescent="0.25">
      <c r="A5980" s="5" t="str">
        <f>"I0001974"</f>
        <v>I0001974</v>
      </c>
      <c r="B5980" s="5" t="str">
        <f>"CANULA DE FRAZIER"</f>
        <v>CANULA DE FRAZIER</v>
      </c>
      <c r="C5980" s="6">
        <v>76560</v>
      </c>
      <c r="D5980" s="5"/>
      <c r="E5980" s="5" t="str">
        <f t="shared" si="301"/>
        <v>INSTRUMENTACION-DIANA CAICEDO-DIANA DIAZ</v>
      </c>
      <c r="F5980" s="5" t="str">
        <f>"Descripcion: CANULAS DE  SUCCION DE FRAZIER (DIMEDA) Estado: Bueno Placa anterior: 000031629 Material: ACERO INOXIDABLE Color: PLATEADO Referencia:  Observacion:     Placa padre: I0001925Tipo adquisicion: Entidad"</f>
        <v>Descripcion: CANULAS DE  SUCCION DE FRAZIER (DIMEDA) Estado: Bueno Placa anterior: 000031629 Material: ACERO INOXIDABLE Color: PLATEADO Referencia:  Observacion:     Placa padre: I0001925Tipo adquisicion: Entidad</v>
      </c>
      <c r="G5980" s="5"/>
    </row>
    <row r="5981" spans="1:7" ht="58.5" customHeight="1" x14ac:dyDescent="0.25">
      <c r="A5981" s="5" t="str">
        <f>"I0001975"</f>
        <v>I0001975</v>
      </c>
      <c r="B5981" s="5" t="str">
        <f>"CANULA DE FRAZIER"</f>
        <v>CANULA DE FRAZIER</v>
      </c>
      <c r="C5981" s="6">
        <v>76560</v>
      </c>
      <c r="D5981" s="5"/>
      <c r="E5981" s="5" t="str">
        <f t="shared" si="301"/>
        <v>INSTRUMENTACION-DIANA CAICEDO-DIANA DIAZ</v>
      </c>
      <c r="F5981" s="5" t="str">
        <f>"Descripcion: CANULAS DE  SUCCION DE FRAZIER (DIMEDA) Estado: Bueno Placa anterior: 000031630 Material: ACERO INOXIDABLE Color: PLATEADO Referencia:  Observacion:     Placa padre: I0001925Tipo adquisicion: Entidad"</f>
        <v>Descripcion: CANULAS DE  SUCCION DE FRAZIER (DIMEDA) Estado: Bueno Placa anterior: 000031630 Material: ACERO INOXIDABLE Color: PLATEADO Referencia:  Observacion:     Placa padre: I0001925Tipo adquisicion: Entidad</v>
      </c>
      <c r="G5981" s="5"/>
    </row>
    <row r="5982" spans="1:7" ht="58.5" customHeight="1" x14ac:dyDescent="0.25">
      <c r="A5982" s="5" t="str">
        <f>"I0001976"</f>
        <v>I0001976</v>
      </c>
      <c r="B5982" s="5" t="str">
        <f>"RUGINA"</f>
        <v>RUGINA</v>
      </c>
      <c r="C5982" s="6">
        <v>121800</v>
      </c>
      <c r="D5982" s="5"/>
      <c r="E5982" s="5" t="str">
        <f t="shared" si="301"/>
        <v>INSTRUMENTACION-DIANA CAICEDO-DIANA DIAZ</v>
      </c>
      <c r="F5982" s="5" t="str">
        <f>"Descripcion: RUGINA  CURVA (DIMEDA) Estado: Bueno Placa anterior: 000032487 Material: ACERO INOXIDABLE Color: PLATEADO Referencia:  Observacion:     Placa padre: I0001925Tipo adquisicion: Entidad"</f>
        <v>Descripcion: RUGINA  CURVA (DIMEDA) Estado: Bueno Placa anterior: 000032487 Material: ACERO INOXIDABLE Color: PLATEADO Referencia:  Observacion:     Placa padre: I0001925Tipo adquisicion: Entidad</v>
      </c>
      <c r="G5982" s="5"/>
    </row>
    <row r="5983" spans="1:7" ht="58.5" customHeight="1" x14ac:dyDescent="0.25">
      <c r="A5983" s="5" t="str">
        <f>"I0001979"</f>
        <v>I0001979</v>
      </c>
      <c r="B5983" s="5" t="str">
        <f>"REGLA (INSTRUMENTAL)"</f>
        <v>REGLA (INSTRUMENTAL)</v>
      </c>
      <c r="C5983" s="6">
        <v>800</v>
      </c>
      <c r="D5983" s="5"/>
      <c r="E5983" s="5" t="str">
        <f t="shared" ref="E5983:E6046" si="303">"INSTRUMENTACION-DIANA CAICEDO-DIANA DIAZ"</f>
        <v>INSTRUMENTACION-DIANA CAICEDO-DIANA DIAZ</v>
      </c>
      <c r="F5983" s="5" t="str">
        <f>"Descripcion: REGLA Estado: Bueno Placa anterior: 000012736 Material: ACERO INOXIDABLE Color: PLATEADO Referencia:  Observacion:     Placa padre: I0001925Tipo adquisicion: Entidad"</f>
        <v>Descripcion: REGLA Estado: Bueno Placa anterior: 000012736 Material: ACERO INOXIDABLE Color: PLATEADO Referencia:  Observacion:     Placa padre: I0001925Tipo adquisicion: Entidad</v>
      </c>
      <c r="G5983" s="5"/>
    </row>
    <row r="5984" spans="1:7" ht="58.5" customHeight="1" x14ac:dyDescent="0.25">
      <c r="A5984" s="5" t="str">
        <f>"I0001980"</f>
        <v>I0001980</v>
      </c>
      <c r="B5984" s="5" t="str">
        <f>"CURETA"</f>
        <v>CURETA</v>
      </c>
      <c r="C5984" s="6">
        <v>102080</v>
      </c>
      <c r="D5984" s="5"/>
      <c r="E5984" s="5" t="str">
        <f t="shared" si="303"/>
        <v>INSTRUMENTACION-DIANA CAICEDO-DIANA DIAZ</v>
      </c>
      <c r="F5984" s="5" t="str">
        <f>"Descripcion: CURETAS (DIMEDA) Estado: Bueno Placa anterior: 000032239 Material: ACERO INOXIDABLE Color: PLATEADO Referencia:  Observacion:     Placa padre: I0001925Tipo adquisicion: Entidad"</f>
        <v>Descripcion: CURETAS (DIMEDA) Estado: Bueno Placa anterior: 000032239 Material: ACERO INOXIDABLE Color: PLATEADO Referencia:  Observacion:     Placa padre: I0001925Tipo adquisicion: Entidad</v>
      </c>
      <c r="G5984" s="5"/>
    </row>
    <row r="5985" spans="1:7" ht="58.5" customHeight="1" x14ac:dyDescent="0.25">
      <c r="A5985" s="5" t="str">
        <f>"I0001981"</f>
        <v>I0001981</v>
      </c>
      <c r="B5985" s="5" t="str">
        <f>"CURETA"</f>
        <v>CURETA</v>
      </c>
      <c r="C5985" s="6">
        <v>102080</v>
      </c>
      <c r="D5985" s="5"/>
      <c r="E5985" s="5" t="str">
        <f t="shared" si="303"/>
        <v>INSTRUMENTACION-DIANA CAICEDO-DIANA DIAZ</v>
      </c>
      <c r="F5985" s="5" t="str">
        <f>"Descripcion: CURETAS (DIMEDA) Estado: Bueno Placa anterior: 000032240 Material: ACERO INOXIDABLE Color: PLATEADO Referencia:  Observacion:     Placa padre: I0001925Tipo adquisicion: Entidad"</f>
        <v>Descripcion: CURETAS (DIMEDA) Estado: Bueno Placa anterior: 000032240 Material: ACERO INOXIDABLE Color: PLATEADO Referencia:  Observacion:     Placa padre: I0001925Tipo adquisicion: Entidad</v>
      </c>
      <c r="G5985" s="5"/>
    </row>
    <row r="5986" spans="1:7" ht="58.5" customHeight="1" x14ac:dyDescent="0.25">
      <c r="A5986" s="5" t="str">
        <f>"I0001982"</f>
        <v>I0001982</v>
      </c>
      <c r="B5986" s="5" t="str">
        <f>"CURETA"</f>
        <v>CURETA</v>
      </c>
      <c r="C5986" s="6">
        <v>102080</v>
      </c>
      <c r="D5986" s="5"/>
      <c r="E5986" s="5" t="str">
        <f t="shared" si="303"/>
        <v>INSTRUMENTACION-DIANA CAICEDO-DIANA DIAZ</v>
      </c>
      <c r="F5986" s="5" t="str">
        <f>"Descripcion: CURETAS (DIMEDA) Estado: Bueno Placa anterior: 000032241 Material: ACERO INOXIDABLE Color: PLATEADO Referencia:  Observacion:     Placa padre: I0001925Tipo adquisicion: Entidad"</f>
        <v>Descripcion: CURETAS (DIMEDA) Estado: Bueno Placa anterior: 000032241 Material: ACERO INOXIDABLE Color: PLATEADO Referencia:  Observacion:     Placa padre: I0001925Tipo adquisicion: Entidad</v>
      </c>
      <c r="G5986" s="5"/>
    </row>
    <row r="5987" spans="1:7" ht="58.5" customHeight="1" x14ac:dyDescent="0.25">
      <c r="A5987" s="5" t="str">
        <f>"I0001985"</f>
        <v>I0001985</v>
      </c>
      <c r="B5987" s="5" t="str">
        <f>"PINZA GUBIA"</f>
        <v>PINZA GUBIA</v>
      </c>
      <c r="C5987" s="6">
        <v>322993</v>
      </c>
      <c r="D5987" s="5"/>
      <c r="E5987" s="5" t="str">
        <f t="shared" si="303"/>
        <v>INSTRUMENTACION-DIANA CAICEDO-DIANA DIAZ</v>
      </c>
      <c r="F5987" s="5" t="str">
        <f>"Descripcion: GUBIA PEQUEÑA Estado: Bueno Placa anterior: 000023808 Material: ACERO INOXIDABLE Color: PLATEADO Referencia:  Observacion:     Placa padre: I0001925Tipo adquisicion: Entidad"</f>
        <v>Descripcion: GUBIA PEQUEÑA Estado: Bueno Placa anterior: 000023808 Material: ACERO INOXIDABLE Color: PLATEADO Referencia:  Observacion:     Placa padre: I0001925Tipo adquisicion: Entidad</v>
      </c>
      <c r="G5987" s="5"/>
    </row>
    <row r="5988" spans="1:7" ht="58.5" customHeight="1" x14ac:dyDescent="0.25">
      <c r="A5988" s="5" t="str">
        <f>"I0001991"</f>
        <v>I0001991</v>
      </c>
      <c r="B5988" s="5" t="str">
        <f>"EQUIPO DE COLUMNA"</f>
        <v>EQUIPO DE COLUMNA</v>
      </c>
      <c r="C5988" s="6">
        <v>936195</v>
      </c>
      <c r="D5988" s="5"/>
      <c r="E5988" s="5" t="str">
        <f t="shared" si="303"/>
        <v>INSTRUMENTACION-DIANA CAICEDO-DIANA DIAZ</v>
      </c>
      <c r="F5988" s="5" t="str">
        <f>"Descripcion: EQUIPO DE COLUMNA #1 QUE CONSTA DE:  (1) MANGO DE BISTURÍ # 4  (1) MANGO DE  BISTURÍ # 7 (DIMEDA)  (1) TIJERA DE METZEMBAUM CURVA  (1) TIJERA DE METZEMBAUM PEQUEÑA (DIMEDA)  (0) TIJERA DE MAYO RECTA  (1) TIJERA DE TAYLOR  (2) SEPARADORES DE F"&amp; "ARABEUF (DIMEDA)  (0) SEPARADORES DE HOLCHER PARA RAÍZ  (0) SEPARADOR DE SHAC PARA NERVIO  (1) PINZA DE DISECCION ADSON CON GARRA  (1) PINZA DE DISECCION ADSON SIN GARRA  (1) PINZAS DE DISECCION CORTA CON GARRA  (1) PINZAS DE DISECCION CORTA SIN GARRA  (D"&amp; "IMEDA)  (1) PINZAS DE DISECCION MEDIANA CON GARRA  (1) PINZA DE DISECCION MEDIANA SIN GARRA  (1) PINZA DE BAYONETA  (0) PINZAS DE KELLY CURVAS  (2) PINZAS  MOSQUITOS CURVAS  (2) PINZAS ROCHESTER CURVAS  (2) PINZAS KOCHER  (2) PINZAS DE ALLIX  (0) PINZAS D"&amp; "E CAMPO  (0) PORTA AGUJAS MEDIANO DE MAYO (DIMEDA)  (0) PORTA AGUJAS PEQUEÑO  (1) PINZA DE OLLIGATORE ANTERIOR  (1) PINZA FOSTER  (2) CANULAS DE SUCCION DE FRAZIER(DIMEDA)  (1) RUGINA CURVA  (1) RUGINA RECTA  (1) DISECTOR DE LAGEMBER  (1) DISECTOR DE HURD"&amp; "  (1) DISECTOR DE FREE  (1) DISECTOR DE PENFIELD FINO  (1) GANCHOS DE NERVIO  (5) CURETAS  (1) PLATON  (1) CUBETA Estado: Bueno Placa anterior: 000012835 Material: ACERO INOXIDABLE Color: PLATEADO Referencia:  Observacion:     Placa padre: Tipo adquisicio"&amp; "n: Entidad"</f>
        <v>Descripcion: EQUIPO DE COLUMNA #1 QUE CONSTA DE:  (1) MANGO DE BISTURÍ # 4  (1) MANGO DE  BISTURÍ # 7 (DIMEDA)  (1) TIJERA DE METZEMBAUM CURVA  (1) TIJERA DE METZEMBAUM PEQUEÑA (DIMEDA)  (0) TIJERA DE MAYO RECTA  (1) TIJERA DE TAYLOR  (2) SEPARADORES DE FARABEUF (DIMEDA)  (0) SEPARADORES DE HOLCHER PARA RAÍZ  (0) SEPARADOR DE SHAC PARA NERVIO  (1) PINZA DE DISECCION ADSON CON GARRA  (1) PINZA DE DISECCION ADSON SIN GARRA  (1) PINZAS DE DISECCION CORTA CON GARRA  (1) PINZAS DE DISECCION CORTA SIN GARRA  (DIMEDA)  (1) PINZAS DE DISECCION MEDIANA CON GARRA  (1) PINZA DE DISECCION MEDIANA SIN GARRA  (1) PINZA DE BAYONETA  (0) PINZAS DE KELLY CURVAS  (2) PINZAS  MOSQUITOS CURVAS  (2) PINZAS ROCHESTER CURVAS  (2) PINZAS KOCHER  (2) PINZAS DE ALLIX  (0) PINZAS DE CAMPO  (0) PORTA AGUJAS MEDIANO DE MAYO (DIMEDA)  (0) PORTA AGUJAS PEQUEÑO  (1) PINZA DE OLLIGATORE ANTERIOR  (1) PINZA FOSTER  (2) CANULAS DE SUCCION DE FRAZIER(DIMEDA)  (1) RUGINA CURVA  (1) RUGINA RECTA  (1) DISECTOR DE LAGEMBER  (1) DISECTOR DE HURD  (1) DISECTOR DE FREE  (1) DISECTOR DE PENFIELD FINO  (1) GANCHOS DE NERVIO  (5) CURETAS  (1) PLATON  (1) CUBETA Estado: Bueno Placa anterior: 000012835 Material: ACERO INOXIDABLE Color: PLATEADO Referencia:  Observacion:     Placa padre: Tipo adquisicion: Entidad</v>
      </c>
      <c r="G5988" s="5"/>
    </row>
    <row r="5989" spans="1:7" ht="58.5" customHeight="1" x14ac:dyDescent="0.25">
      <c r="A5989" s="5" t="str">
        <f>"I0002009"</f>
        <v>I0002009</v>
      </c>
      <c r="B5989" s="5" t="str">
        <f>"PINZA BAYONETA"</f>
        <v>PINZA BAYONETA</v>
      </c>
      <c r="C5989" s="6">
        <v>226200</v>
      </c>
      <c r="D5989" s="5"/>
      <c r="E5989" s="5" t="str">
        <f t="shared" si="303"/>
        <v>INSTRUMENTACION-DIANA CAICEDO-DIANA DIAZ</v>
      </c>
      <c r="F5989" s="5" t="str">
        <f>"Descripcion: PINZA DE BAYONETA Estado: Bueno Placa anterior: 000036472 Material: ACERO INOXIDABLE Color: PLATEADO Referencia:  Observacion: PINZA BIPOLAR EN BOYONETA PUNTA RECTA DE 2MM X 8.5 MATERIAL ACERO INOXIDABLE Placa padre: I0001991Tipo adquisicion:"&amp; " Entidad"</f>
        <v>Descripcion: PINZA DE BAYONETA Estado: Bueno Placa anterior: 000036472 Material: ACERO INOXIDABLE Color: PLATEADO Referencia:  Observacion: PINZA BIPOLAR EN BOYONETA PUNTA RECTA DE 2MM X 8.5 MATERIAL ACERO INOXIDABLE Placa padre: I0001991Tipo adquisicion: Entidad</v>
      </c>
      <c r="G5989" s="5"/>
    </row>
    <row r="5990" spans="1:7" ht="58.5" customHeight="1" x14ac:dyDescent="0.25">
      <c r="A5990" s="5" t="str">
        <f>"I0002018"</f>
        <v>I0002018</v>
      </c>
      <c r="B5990" s="5" t="str">
        <f>"PINZA KOCHER"</f>
        <v>PINZA KOCHER</v>
      </c>
      <c r="C5990" s="6">
        <v>132240</v>
      </c>
      <c r="D5990" s="5"/>
      <c r="E5990" s="5" t="str">
        <f t="shared" si="303"/>
        <v>INSTRUMENTACION-DIANA CAICEDO-DIANA DIAZ</v>
      </c>
      <c r="F5990" s="5" t="str">
        <f>"Descripcion: PINZAS KOCHER Estado: Bueno Placa anterior: 000036207 Material: ACERO INOXIDABLE Color: PLATEADO Referencia:  Observacion:     Placa padre: I0001991Tipo adquisicion: Entidad"</f>
        <v>Descripcion: PINZAS KOCHER Estado: Bueno Placa anterior: 000036207 Material: ACERO INOXIDABLE Color: PLATEADO Referencia:  Observacion:     Placa padre: I0001991Tipo adquisicion: Entidad</v>
      </c>
      <c r="G5990" s="5"/>
    </row>
    <row r="5991" spans="1:7" ht="58.5" customHeight="1" x14ac:dyDescent="0.25">
      <c r="A5991" s="5" t="str">
        <f>"I0002019"</f>
        <v>I0002019</v>
      </c>
      <c r="B5991" s="5" t="str">
        <f>"PINZA KOCHER"</f>
        <v>PINZA KOCHER</v>
      </c>
      <c r="C5991" s="6">
        <v>132240</v>
      </c>
      <c r="D5991" s="5"/>
      <c r="E5991" s="5" t="str">
        <f t="shared" si="303"/>
        <v>INSTRUMENTACION-DIANA CAICEDO-DIANA DIAZ</v>
      </c>
      <c r="F5991" s="5" t="str">
        <f>"Descripcion: PINZAS KOCHER Estado: Bueno Placa anterior: 000036208 Material: ACERO INOXIDABLE Color: PLATEADO Referencia:  Observacion:     Placa padre: I0001991Tipo adquisicion: Entidad"</f>
        <v>Descripcion: PINZAS KOCHER Estado: Bueno Placa anterior: 000036208 Material: ACERO INOXIDABLE Color: PLATEADO Referencia:  Observacion:     Placa padre: I0001991Tipo adquisicion: Entidad</v>
      </c>
      <c r="G5991" s="5"/>
    </row>
    <row r="5992" spans="1:7" ht="58.5" customHeight="1" x14ac:dyDescent="0.25">
      <c r="A5992" s="5" t="str">
        <f>"I0002030"</f>
        <v>I0002030</v>
      </c>
      <c r="B5992" s="5" t="str">
        <f>"PORTAGUJAS (PINZA)"</f>
        <v>PORTAGUJAS (PINZA)</v>
      </c>
      <c r="C5992" s="6">
        <v>139200</v>
      </c>
      <c r="D5992" s="5"/>
      <c r="E5992" s="5" t="str">
        <f t="shared" si="303"/>
        <v>INSTRUMENTACION-DIANA CAICEDO-DIANA DIAZ</v>
      </c>
      <c r="F5992" s="5" t="str">
        <f>"Descripcion: PORTA AGUJAS MEDIANO DE MAYO (DIMEDA) Estado: Bueno Placa anterior: 000032424 Material: ACERO INOXIDABLE Color: PLATEADO Referencia:  Observacion: PORTA AGUJAS MASSON RANURADO EN LA PUNTA CIERRE DE CREMALLERA  Placa padre: I0001991Tipo adquis"&amp; "icion: Entidad"</f>
        <v>Descripcion: PORTA AGUJAS MEDIANO DE MAYO (DIMEDA) Estado: Bueno Placa anterior: 000032424 Material: ACERO INOXIDABLE Color: PLATEADO Referencia:  Observacion: PORTA AGUJAS MASSON RANURADO EN LA PUNTA CIERRE DE CREMALLERA  Placa padre: I0001991Tipo adquisicion: Entidad</v>
      </c>
      <c r="G5992" s="5"/>
    </row>
    <row r="5993" spans="1:7" ht="58.5" customHeight="1" x14ac:dyDescent="0.25">
      <c r="A5993" s="5" t="str">
        <f>"I0002032"</f>
        <v>I0002032</v>
      </c>
      <c r="B5993" s="5" t="str">
        <f>"PINZA ALLIGATOR (BIOTOMOS)"</f>
        <v>PINZA ALLIGATOR (BIOTOMOS)</v>
      </c>
      <c r="C5993" s="6">
        <v>2895245</v>
      </c>
      <c r="D5993" s="5" t="s">
        <v>5</v>
      </c>
      <c r="E5993" s="5" t="str">
        <f t="shared" si="303"/>
        <v>INSTRUMENTACION-DIANA CAICEDO-DIANA DIAZ</v>
      </c>
      <c r="F5993" s="5" t="str">
        <f>"Descripcion: PINZA DE OLLIGATORE ANTERIOR Estado: Bueno Placa anterior: 000029468 Material: ACERO INOXIDABLE Color: PLATEADO Referencia:  Observacion: FERRIS SMTH INTERVERTEBRAL DISC RONGEURS Placa padre: I0001991Tipo adquisicion: Entidad"</f>
        <v>Descripcion: PINZA DE OLLIGATORE ANTERIOR Estado: Bueno Placa anterior: 000029468 Material: ACERO INOXIDABLE Color: PLATEADO Referencia:  Observacion: FERRIS SMTH INTERVERTEBRAL DISC RONGEURS Placa padre: I0001991Tipo adquisicion: Entidad</v>
      </c>
      <c r="G5993" s="5"/>
    </row>
    <row r="5994" spans="1:7" ht="58.5" customHeight="1" x14ac:dyDescent="0.25">
      <c r="A5994" s="5" t="str">
        <f>"I0002034"</f>
        <v>I0002034</v>
      </c>
      <c r="B5994" s="5" t="str">
        <f>"CANULA DE FRAZIER"</f>
        <v>CANULA DE FRAZIER</v>
      </c>
      <c r="C5994" s="6">
        <v>76560</v>
      </c>
      <c r="D5994" s="5"/>
      <c r="E5994" s="5" t="str">
        <f t="shared" si="303"/>
        <v>INSTRUMENTACION-DIANA CAICEDO-DIANA DIAZ</v>
      </c>
      <c r="F5994" s="5" t="str">
        <f>"Descripcion: CANULAS DE SUCCION DE FRAZIER(DIMEDA) Estado: Bueno Placa anterior: 000031631 Material: ACERO INOXIDABLE Color: PLATEADO Referencia:  Observacion:     Placa padre: I0001991Tipo adquisicion: Entidad"</f>
        <v>Descripcion: CANULAS DE SUCCION DE FRAZIER(DIMEDA) Estado: Bueno Placa anterior: 000031631 Material: ACERO INOXIDABLE Color: PLATEADO Referencia:  Observacion:     Placa padre: I0001991Tipo adquisicion: Entidad</v>
      </c>
      <c r="G5994" s="5"/>
    </row>
    <row r="5995" spans="1:7" ht="58.5" customHeight="1" x14ac:dyDescent="0.25">
      <c r="A5995" s="5" t="str">
        <f>"I0002035"</f>
        <v>I0002035</v>
      </c>
      <c r="B5995" s="5" t="str">
        <f>"CANULA DE FRAZIER"</f>
        <v>CANULA DE FRAZIER</v>
      </c>
      <c r="C5995" s="6">
        <v>76560</v>
      </c>
      <c r="D5995" s="5"/>
      <c r="E5995" s="5" t="str">
        <f t="shared" si="303"/>
        <v>INSTRUMENTACION-DIANA CAICEDO-DIANA DIAZ</v>
      </c>
      <c r="F5995" s="5" t="str">
        <f>"Descripcion: CANULAS DE SUCCION DE FRAZIER(DIMEDA) Estado: Bueno Placa anterior: 000031632 Material: ACERO INOXIDABLE Color: PLATEADO Referencia:  Observacion:     Placa padre: I0001991Tipo adquisicion: Entidad"</f>
        <v>Descripcion: CANULAS DE SUCCION DE FRAZIER(DIMEDA) Estado: Bueno Placa anterior: 000031632 Material: ACERO INOXIDABLE Color: PLATEADO Referencia:  Observacion:     Placa padre: I0001991Tipo adquisicion: Entidad</v>
      </c>
      <c r="G5995" s="5"/>
    </row>
    <row r="5996" spans="1:7" ht="58.5" customHeight="1" x14ac:dyDescent="0.25">
      <c r="A5996" s="5" t="str">
        <f>"I0002036"</f>
        <v>I0002036</v>
      </c>
      <c r="B5996" s="5" t="str">
        <f>"RUGINA"</f>
        <v>RUGINA</v>
      </c>
      <c r="C5996" s="6">
        <v>121800</v>
      </c>
      <c r="D5996" s="5"/>
      <c r="E5996" s="5" t="str">
        <f t="shared" si="303"/>
        <v>INSTRUMENTACION-DIANA CAICEDO-DIANA DIAZ</v>
      </c>
      <c r="F5996" s="5" t="str">
        <f>"Descripcion: RUGINA CURVA Estado: Bueno Placa anterior: 000032488 Material: ACERO INOXIDABLE Color: PLATEADO Referencia:  Observacion:     Placa padre: I0001991Tipo adquisicion: Entidad"</f>
        <v>Descripcion: RUGINA CURVA Estado: Bueno Placa anterior: 000032488 Material: ACERO INOXIDABLE Color: PLATEADO Referencia:  Observacion:     Placa padre: I0001991Tipo adquisicion: Entidad</v>
      </c>
      <c r="G5996" s="5"/>
    </row>
    <row r="5997" spans="1:7" ht="58.5" customHeight="1" x14ac:dyDescent="0.25">
      <c r="A5997" s="5" t="str">
        <f>"I0002040"</f>
        <v>I0002040</v>
      </c>
      <c r="B5997" s="5" t="str">
        <f>"DISECTOR PASA HILOS"</f>
        <v>DISECTOR PASA HILOS</v>
      </c>
      <c r="C5997" s="6">
        <v>81200</v>
      </c>
      <c r="D5997" s="5"/>
      <c r="E5997" s="5" t="str">
        <f t="shared" si="303"/>
        <v>INSTRUMENTACION-DIANA CAICEDO-DIANA DIAZ</v>
      </c>
      <c r="F5997" s="5" t="str">
        <f>"Descripcion: DISECTOR DE FREE Estado: Bueno Placa anterior: 000032297 Material: ACERO INOXIDABLE Color: PLATEADO Referencia:  Observacion:     Placa padre: I0001991Tipo adquisicion: Entidad"</f>
        <v>Descripcion: DISECTOR DE FREE Estado: Bueno Placa anterior: 000032297 Material: ACERO INOXIDABLE Color: PLATEADO Referencia:  Observacion:     Placa padre: I0001991Tipo adquisicion: Entidad</v>
      </c>
      <c r="G5997" s="5"/>
    </row>
    <row r="5998" spans="1:7" ht="58.5" customHeight="1" x14ac:dyDescent="0.25">
      <c r="A5998" s="5" t="str">
        <f>"I0002045"</f>
        <v>I0002045</v>
      </c>
      <c r="B5998" s="5" t="str">
        <f>"CURETA"</f>
        <v>CURETA</v>
      </c>
      <c r="C5998" s="6">
        <v>102080</v>
      </c>
      <c r="D5998" s="5"/>
      <c r="E5998" s="5" t="str">
        <f t="shared" si="303"/>
        <v>INSTRUMENTACION-DIANA CAICEDO-DIANA DIAZ</v>
      </c>
      <c r="F5998" s="5" t="str">
        <f>"Descripcion: CURETAS Estado: Bueno Placa anterior: 000032242 Material: ACERO INOXIDABLE Color: PLATEADO Referencia:  Observacion:     Placa padre: I0001991Tipo adquisicion: Entidad"</f>
        <v>Descripcion: CURETAS Estado: Bueno Placa anterior: 000032242 Material: ACERO INOXIDABLE Color: PLATEADO Referencia:  Observacion:     Placa padre: I0001991Tipo adquisicion: Entidad</v>
      </c>
      <c r="G5998" s="5"/>
    </row>
    <row r="5999" spans="1:7" ht="58.5" customHeight="1" x14ac:dyDescent="0.25">
      <c r="A5999" s="5" t="str">
        <f>"I0002046"</f>
        <v>I0002046</v>
      </c>
      <c r="B5999" s="5" t="str">
        <f>"CURETA"</f>
        <v>CURETA</v>
      </c>
      <c r="C5999" s="6">
        <v>102080</v>
      </c>
      <c r="D5999" s="5"/>
      <c r="E5999" s="5" t="str">
        <f t="shared" si="303"/>
        <v>INSTRUMENTACION-DIANA CAICEDO-DIANA DIAZ</v>
      </c>
      <c r="F5999" s="5" t="str">
        <f>"Descripcion: CURETAS Estado: Bueno Placa anterior: 000032243 Material: ACERO INOXIDABLE Color: PLATEADO Referencia:  Observacion:     Placa padre: I0001991Tipo adquisicion: Entidad"</f>
        <v>Descripcion: CURETAS Estado: Bueno Placa anterior: 000032243 Material: ACERO INOXIDABLE Color: PLATEADO Referencia:  Observacion:     Placa padre: I0001991Tipo adquisicion: Entidad</v>
      </c>
      <c r="G5999" s="5"/>
    </row>
    <row r="6000" spans="1:7" ht="58.5" customHeight="1" x14ac:dyDescent="0.25">
      <c r="A6000" s="5" t="str">
        <f>"I0002047"</f>
        <v>I0002047</v>
      </c>
      <c r="B6000" s="5" t="str">
        <f>"CURETA"</f>
        <v>CURETA</v>
      </c>
      <c r="C6000" s="6">
        <v>102080</v>
      </c>
      <c r="D6000" s="5"/>
      <c r="E6000" s="5" t="str">
        <f t="shared" si="303"/>
        <v>INSTRUMENTACION-DIANA CAICEDO-DIANA DIAZ</v>
      </c>
      <c r="F6000" s="5" t="str">
        <f>"Descripcion: CURETAS Estado: Bueno Placa anterior: 000032244 Material: ACERO INOXIDABLE Color: PLATEADO Referencia:  Observacion:     Placa padre: I0001991Tipo adquisicion: Entidad"</f>
        <v>Descripcion: CURETAS Estado: Bueno Placa anterior: 000032244 Material: ACERO INOXIDABLE Color: PLATEADO Referencia:  Observacion:     Placa padre: I0001991Tipo adquisicion: Entidad</v>
      </c>
      <c r="G6000" s="5"/>
    </row>
    <row r="6001" spans="1:7" ht="58.5" customHeight="1" x14ac:dyDescent="0.25">
      <c r="A6001" s="5" t="str">
        <f>"I0002048"</f>
        <v>I0002048</v>
      </c>
      <c r="B6001" s="5" t="str">
        <f>"CURETA"</f>
        <v>CURETA</v>
      </c>
      <c r="C6001" s="6">
        <v>102080</v>
      </c>
      <c r="D6001" s="5"/>
      <c r="E6001" s="5" t="str">
        <f t="shared" si="303"/>
        <v>INSTRUMENTACION-DIANA CAICEDO-DIANA DIAZ</v>
      </c>
      <c r="F6001" s="5" t="str">
        <f>"Descripcion: CURETAS Estado: Bueno Placa anterior: 000032245 Material: ACERO INOXIDABLE Color: PLATEADO Referencia:  Observacion:     Placa padre: I0001991Tipo adquisicion: Entidad"</f>
        <v>Descripcion: CURETAS Estado: Bueno Placa anterior: 000032245 Material: ACERO INOXIDABLE Color: PLATEADO Referencia:  Observacion:     Placa padre: I0001991Tipo adquisicion: Entidad</v>
      </c>
      <c r="G6001" s="5"/>
    </row>
    <row r="6002" spans="1:7" ht="58.5" customHeight="1" x14ac:dyDescent="0.25">
      <c r="A6002" s="5" t="str">
        <f>"I0002049"</f>
        <v>I0002049</v>
      </c>
      <c r="B6002" s="5" t="str">
        <f>"CURETA"</f>
        <v>CURETA</v>
      </c>
      <c r="C6002" s="6">
        <v>102080</v>
      </c>
      <c r="D6002" s="5"/>
      <c r="E6002" s="5" t="str">
        <f t="shared" si="303"/>
        <v>INSTRUMENTACION-DIANA CAICEDO-DIANA DIAZ</v>
      </c>
      <c r="F6002" s="5" t="str">
        <f>"Descripcion: CURETAS Estado: Bueno Placa anterior: 000032246 Material: ACERO INOXIDABLE Color: PLATEADO Referencia:  Observacion:     Placa padre: I0001991Tipo adquisicion: Entidad"</f>
        <v>Descripcion: CURETAS Estado: Bueno Placa anterior: 000032246 Material: ACERO INOXIDABLE Color: PLATEADO Referencia:  Observacion:     Placa padre: I0001991Tipo adquisicion: Entidad</v>
      </c>
      <c r="G6002" s="5"/>
    </row>
    <row r="6003" spans="1:7" ht="58.5" customHeight="1" x14ac:dyDescent="0.25">
      <c r="A6003" s="5" t="str">
        <f>"I0002051"</f>
        <v>I0002051</v>
      </c>
      <c r="B6003" s="5" t="str">
        <f>"CUBETA DE ACERO INOXIDABLE MEDIANA"</f>
        <v>CUBETA DE ACERO INOXIDABLE MEDIANA</v>
      </c>
      <c r="C6003" s="6">
        <v>18602.580000000002</v>
      </c>
      <c r="D6003" s="5"/>
      <c r="E6003" s="5" t="str">
        <f t="shared" si="303"/>
        <v>INSTRUMENTACION-DIANA CAICEDO-DIANA DIAZ</v>
      </c>
      <c r="F6003" s="5" t="str">
        <f>"Descripcion: CUBETA Estado: Bueno Placa anterior: 000004279 Material: ACERO INOXIDABLE Color: PLATEADO Referencia:  Observacion: CUBETA EN ACERO INOX.PEQUEÑA C/TAPA   Placa padre: I0001991Tipo adquisicion: Entidad"</f>
        <v>Descripcion: CUBETA Estado: Bueno Placa anterior: 000004279 Material: ACERO INOXIDABLE Color: PLATEADO Referencia:  Observacion: CUBETA EN ACERO INOX.PEQUEÑA C/TAPA   Placa padre: I0001991Tipo adquisicion: Entidad</v>
      </c>
      <c r="G6003" s="5"/>
    </row>
    <row r="6004" spans="1:7" ht="58.5" customHeight="1" x14ac:dyDescent="0.25">
      <c r="A6004" s="5" t="str">
        <f>"I0002052"</f>
        <v>I0002052</v>
      </c>
      <c r="B6004" s="5" t="str">
        <f>"EQUIPO DE COLUMNA"</f>
        <v>EQUIPO DE COLUMNA</v>
      </c>
      <c r="C6004" s="6">
        <v>936195</v>
      </c>
      <c r="D6004" s="5"/>
      <c r="E6004" s="5" t="str">
        <f t="shared" si="303"/>
        <v>INSTRUMENTACION-DIANA CAICEDO-DIANA DIAZ</v>
      </c>
      <c r="F6004" s="5" t="str">
        <f>"Descripcion: EQUIPO DE COLUMNA # 2 QUE CONSTA DE:  (1) DISECTORES DE COOB (DIMEDA)  (3) SEPARADORES DE GELPY   (1) SEPARADORES DE ADSON BECKMAN   (2) SEPARADORES DE HIBBS  (2) SEPARADORES DE MATHEUS   (1) SEPARADOR  LAMINAR DE ZIMMER   (1) SEPARADOR DE LÁ"&amp; "MINA   (1) GUBIA DE PICO DE PATO (DIMEDA)  (1) GUBIA DE LEKSELL(DIMEDA)  (1) CIZALLA CURVA   (1) CIZALLA RECTA (DIMEDA)   (6) CINCELES  SURTIDOS   (2) SEPARADORES DE TAYLOR GRANDE   (1) MARTILLO Estado: Bueno Placa anterior:  Material: ACERO INOXIDABLE Co"&amp; "lor: PLATEADO Referencia:  Observacion:     Placa padre: Tipo adquisicion: Entidad"</f>
        <v>Descripcion: EQUIPO DE COLUMNA # 2 QUE CONSTA DE:  (1) DISECTORES DE COOB (DIMEDA)  (3) SEPARADORES DE GELPY   (1) SEPARADORES DE ADSON BECKMAN   (2) SEPARADORES DE HIBBS  (2) SEPARADORES DE MATHEUS   (1) SEPARADOR  LAMINAR DE ZIMMER   (1) SEPARADOR DE LÁMINA   (1) GUBIA DE PICO DE PATO (DIMEDA)  (1) GUBIA DE LEKSELL(DIMEDA)  (1) CIZALLA CURVA   (1) CIZALLA RECTA (DIMEDA)   (6) CINCELES  SURTIDOS   (2) SEPARADORES DE TAYLOR GRANDE   (1) MARTILLO Estado: Bueno Placa anterior:  Material: ACERO INOXIDABLE Color: PLATEADO Referencia:  Observacion:     Placa padre: Tipo adquisicion: Entidad</v>
      </c>
      <c r="G6004" s="5"/>
    </row>
    <row r="6005" spans="1:7" ht="58.5" customHeight="1" x14ac:dyDescent="0.25">
      <c r="A6005" s="5" t="str">
        <f>"I0002053"</f>
        <v>I0002053</v>
      </c>
      <c r="B6005" s="5" t="str">
        <f>"DISECTOR DE COBB"</f>
        <v>DISECTOR DE COBB</v>
      </c>
      <c r="C6005" s="6">
        <v>301600</v>
      </c>
      <c r="D6005" s="5"/>
      <c r="E6005" s="5" t="str">
        <f t="shared" si="303"/>
        <v>INSTRUMENTACION-DIANA CAICEDO-DIANA DIAZ</v>
      </c>
      <c r="F6005" s="5" t="str">
        <f>"Descripcion: DISECTORES DE COOB (DIMEDA) Estado: Bueno Placa anterior: 000032120 Material: ACERO INOXIDABLE Color: PLATEADO Referencia:  Observacion:     Placa padre: I0002052Tipo adquisicion: Entidad"</f>
        <v>Descripcion: DISECTORES DE COOB (DIMEDA) Estado: Bueno Placa anterior: 000032120 Material: ACERO INOXIDABLE Color: PLATEADO Referencia:  Observacion:     Placa padre: I0002052Tipo adquisicion: Entidad</v>
      </c>
      <c r="G6005" s="5"/>
    </row>
    <row r="6006" spans="1:7" ht="58.5" customHeight="1" x14ac:dyDescent="0.25">
      <c r="A6006" s="5" t="str">
        <f>"I0002054"</f>
        <v>I0002054</v>
      </c>
      <c r="B6006" s="5" t="str">
        <f>"DISECTOR DE COBB"</f>
        <v>DISECTOR DE COBB</v>
      </c>
      <c r="C6006" s="6">
        <v>301600</v>
      </c>
      <c r="D6006" s="5"/>
      <c r="E6006" s="5" t="str">
        <f t="shared" si="303"/>
        <v>INSTRUMENTACION-DIANA CAICEDO-DIANA DIAZ</v>
      </c>
      <c r="F6006" s="5" t="str">
        <f>"Descripcion: DISECTORES DE COOB (DIMEDA) Estado: Bueno Placa anterior: 000032121 Material: ACERO INOXIDABLE Color: PLATEADO Referencia:  Observacion:     Placa padre: I0002052Tipo adquisicion: Entidad"</f>
        <v>Descripcion: DISECTORES DE COOB (DIMEDA) Estado: Bueno Placa anterior: 000032121 Material: ACERO INOXIDABLE Color: PLATEADO Referencia:  Observacion:     Placa padre: I0002052Tipo adquisicion: Entidad</v>
      </c>
      <c r="G6006" s="5"/>
    </row>
    <row r="6007" spans="1:7" ht="58.5" customHeight="1" x14ac:dyDescent="0.25">
      <c r="A6007" s="5" t="str">
        <f>"I0002059"</f>
        <v>I0002059</v>
      </c>
      <c r="B6007" s="5" t="str">
        <f>"SEPARADOR ADSON BECKMAN"</f>
        <v>SEPARADOR ADSON BECKMAN</v>
      </c>
      <c r="C6007" s="6">
        <v>1846732</v>
      </c>
      <c r="D6007" s="5" t="s">
        <v>431</v>
      </c>
      <c r="E6007" s="5" t="str">
        <f t="shared" si="303"/>
        <v>INSTRUMENTACION-DIANA CAICEDO-DIANA DIAZ</v>
      </c>
      <c r="F6007" s="5" t="str">
        <f>"Descripcion: SEPARADORES DE ADSON BECKMAN  Estado: Bueno Placa anterior: 000030167 Material: ACERO INOXIDABLE Color: PLATEADO Referencia:  Observacion: PINZA SPURLING, PARA LAMINECTOMIA, PUNTA UTIL DE 4 X 10 mm, RECTA, LONGITUD DE RAMA 180 mm, EN ACERO IN"&amp; "OXIDABLE. MARCA MARTIN . ALEMAN INVIMA 2007DM-0001216 2017/12/17 REF. 24-994-09  Placa padre: I0002052Tipo adquisicion: Entidad"</f>
        <v>Descripcion: SEPARADORES DE ADSON BECKMAN  Estado: Bueno Placa anterior: 000030167 Material: ACERO INOXIDABLE Color: PLATEADO Referencia:  Observacion: PINZA SPURLING, PARA LAMINECTOMIA, PUNTA UTIL DE 4 X 10 mm, RECTA, LONGITUD DE RAMA 180 mm, EN ACERO INOXIDABLE. MARCA MARTIN . ALEMAN INVIMA 2007DM-0001216 2017/12/17 REF. 24-994-09  Placa padre: I0002052Tipo adquisicion: Entidad</v>
      </c>
      <c r="G6007" s="5"/>
    </row>
    <row r="6008" spans="1:7" ht="58.5" customHeight="1" x14ac:dyDescent="0.25">
      <c r="A6008" s="5" t="str">
        <f>"I0002060"</f>
        <v>I0002060</v>
      </c>
      <c r="B6008" s="5" t="str">
        <f>"SEPARADOR DE HIBBS"</f>
        <v>SEPARADOR DE HIBBS</v>
      </c>
      <c r="C6008" s="6">
        <v>36972</v>
      </c>
      <c r="D6008" s="5"/>
      <c r="E6008" s="5" t="str">
        <f t="shared" si="303"/>
        <v>INSTRUMENTACION-DIANA CAICEDO-DIANA DIAZ</v>
      </c>
      <c r="F6008" s="5" t="str">
        <f>"Descripcion: SEPARADORES DE HIBBS Estado: Bueno Placa anterior: 000012717 Material: ACERO INOXIDABLE Color: PLATEADO Referencia:  Observacion:     Placa padre: I0002052Tipo adquisicion: Entidad"</f>
        <v>Descripcion: SEPARADORES DE HIBBS Estado: Bueno Placa anterior: 000012717 Material: ACERO INOXIDABLE Color: PLATEADO Referencia:  Observacion:     Placa padre: I0002052Tipo adquisicion: Entidad</v>
      </c>
      <c r="G6008" s="5"/>
    </row>
    <row r="6009" spans="1:7" ht="58.5" customHeight="1" x14ac:dyDescent="0.25">
      <c r="A6009" s="5" t="str">
        <f>"I0002061"</f>
        <v>I0002061</v>
      </c>
      <c r="B6009" s="5" t="str">
        <f>"SEPARADOR DE HIBBS"</f>
        <v>SEPARADOR DE HIBBS</v>
      </c>
      <c r="C6009" s="6">
        <v>36972</v>
      </c>
      <c r="D6009" s="5"/>
      <c r="E6009" s="5" t="str">
        <f t="shared" si="303"/>
        <v>INSTRUMENTACION-DIANA CAICEDO-DIANA DIAZ</v>
      </c>
      <c r="F6009" s="5" t="str">
        <f>"Descripcion: SEPARADORES DE HIBBS Estado: Bueno Placa anterior: 000012718 Material: ACERO INOXIDABLE Color: PLATEADO Referencia:  Observacion:     Placa padre: I0002052Tipo adquisicion: Entidad"</f>
        <v>Descripcion: SEPARADORES DE HIBBS Estado: Bueno Placa anterior: 000012718 Material: ACERO INOXIDABLE Color: PLATEADO Referencia:  Observacion:     Placa padre: I0002052Tipo adquisicion: Entidad</v>
      </c>
      <c r="G6009" s="5"/>
    </row>
    <row r="6010" spans="1:7" ht="58.5" customHeight="1" x14ac:dyDescent="0.25">
      <c r="A6010" s="5" t="str">
        <f>"I0002064"</f>
        <v>I0002064</v>
      </c>
      <c r="B6010" s="5" t="str">
        <f>"SEPARADOR DE LAMINAS"</f>
        <v>SEPARADOR DE LAMINAS</v>
      </c>
      <c r="C6010" s="6">
        <v>1846732</v>
      </c>
      <c r="D6010" s="5" t="s">
        <v>432</v>
      </c>
      <c r="E6010" s="5" t="str">
        <f t="shared" si="303"/>
        <v>INSTRUMENTACION-DIANA CAICEDO-DIANA DIAZ</v>
      </c>
      <c r="F6010" s="5" t="str">
        <f>"Descripcion: SEPARADOR  LAMINAR DE ZIMMER  Estado: Bueno Placa anterior: 000030137 Material: ACERO INOXIDABLE Color: PLATEADO Referencia:  Observacion: PINZA LOVE - GRUENWALD, PARA LAMINECTOMIA, PUNTA UTIL DE 3 X 10 MM. recta, longitud de rama 180 mm, en "&amp; "Acero inoxidable, marca MARTIN ALEMAN INVIMA 2007DM-0001216 2017/12/17, REF. 24-994-06  Placa padre: I0002052Tipo adquisicion: Entidad"</f>
        <v>Descripcion: SEPARADOR  LAMINAR DE ZIMMER  Estado: Bueno Placa anterior: 000030137 Material: ACERO INOXIDABLE Color: PLATEADO Referencia:  Observacion: PINZA LOVE - GRUENWALD, PARA LAMINECTOMIA, PUNTA UTIL DE 3 X 10 MM. recta, longitud de rama 180 mm, en Acero inoxidable, marca MARTIN ALEMAN INVIMA 2007DM-0001216 2017/12/17, REF. 24-994-06  Placa padre: I0002052Tipo adquisicion: Entidad</v>
      </c>
      <c r="G6010" s="5"/>
    </row>
    <row r="6011" spans="1:7" ht="58.5" customHeight="1" x14ac:dyDescent="0.25">
      <c r="A6011" s="5" t="str">
        <f>"I0002065"</f>
        <v>I0002065</v>
      </c>
      <c r="B6011" s="5" t="str">
        <f>"SEPARADOR DE LAMINAS"</f>
        <v>SEPARADOR DE LAMINAS</v>
      </c>
      <c r="C6011" s="6">
        <v>1846732</v>
      </c>
      <c r="D6011" s="5" t="s">
        <v>432</v>
      </c>
      <c r="E6011" s="5" t="str">
        <f t="shared" si="303"/>
        <v>INSTRUMENTACION-DIANA CAICEDO-DIANA DIAZ</v>
      </c>
      <c r="F6011" s="5" t="str">
        <f>"Descripcion: SEPARADOR DE LÁMINA  Estado: Bueno Placa anterior: 000030136 Material: ACERO INOXIDABLE Color: PLATEADO Referencia:  Observacion: PINZA CUSHING, PARA LAMINECTOMIA, PUNTA UTIL 2 X 10 mm, RECTA, LONGITUD DE RAMA 180 mm; EN ACERO INOXIDABLE. MAR"&amp; "CA MARTIN ALEMAN INVIMA 2007DM-0001216 2017/12/17 REF. 24994-3 Placa padre: I0002052Tipo adquisicion: Entidad"</f>
        <v>Descripcion: SEPARADOR DE LÁMINA  Estado: Bueno Placa anterior: 000030136 Material: ACERO INOXIDABLE Color: PLATEADO Referencia:  Observacion: PINZA CUSHING, PARA LAMINECTOMIA, PUNTA UTIL 2 X 10 mm, RECTA, LONGITUD DE RAMA 180 mm; EN ACERO INOXIDABLE. MARCA MARTIN ALEMAN INVIMA 2007DM-0001216 2017/12/17 REF. 24994-3 Placa padre: I0002052Tipo adquisicion: Entidad</v>
      </c>
      <c r="G6011" s="5"/>
    </row>
    <row r="6012" spans="1:7" ht="58.5" customHeight="1" x14ac:dyDescent="0.25">
      <c r="A6012" s="5" t="str">
        <f>"I0002066"</f>
        <v>I0002066</v>
      </c>
      <c r="B6012" s="5" t="str">
        <f>"PINZA GUBIA"</f>
        <v>PINZA GUBIA</v>
      </c>
      <c r="C6012" s="6">
        <v>322993</v>
      </c>
      <c r="D6012" s="5"/>
      <c r="E6012" s="5" t="str">
        <f t="shared" si="303"/>
        <v>INSTRUMENTACION-DIANA CAICEDO-DIANA DIAZ</v>
      </c>
      <c r="F6012" s="5" t="str">
        <f>"Descripcion: GUBIA DE PICO DE PATO (DIMEDA) Estado: Bueno Placa anterior: 000024023 Material: ACERO INOXIDABLE Color: PLATEADO Referencia:  Observacion:     Placa padre: I0002052Tipo adquisicion: Entidad"</f>
        <v>Descripcion: GUBIA DE PICO DE PATO (DIMEDA) Estado: Bueno Placa anterior: 000024023 Material: ACERO INOXIDABLE Color: PLATEADO Referencia:  Observacion:     Placa padre: I0002052Tipo adquisicion: Entidad</v>
      </c>
      <c r="G6012" s="5"/>
    </row>
    <row r="6013" spans="1:7" ht="58.5" customHeight="1" x14ac:dyDescent="0.25">
      <c r="A6013" s="5" t="str">
        <f>"I0002067"</f>
        <v>I0002067</v>
      </c>
      <c r="B6013" s="5" t="str">
        <f>"PINZA GUBIA"</f>
        <v>PINZA GUBIA</v>
      </c>
      <c r="C6013" s="6">
        <v>1090400</v>
      </c>
      <c r="D6013" s="5" t="s">
        <v>433</v>
      </c>
      <c r="E6013" s="5" t="str">
        <f t="shared" si="303"/>
        <v>INSTRUMENTACION-DIANA CAICEDO-DIANA DIAZ</v>
      </c>
      <c r="F6013" s="5" t="str">
        <f>"Descripcion: GUBIA DE LEKSELL(DIMEDA) Estado: Bueno Placa anterior: 000031827 Material: ACERO INOXIDABLE Color: PLATEADO Referencia:  Observacion:     Placa padre: I0002052Tipo adquisicion: Entidad"</f>
        <v>Descripcion: GUBIA DE LEKSELL(DIMEDA) Estado: Bueno Placa anterior: 000031827 Material: ACERO INOXIDABLE Color: PLATEADO Referencia:  Observacion:     Placa padre: I0002052Tipo adquisicion: Entidad</v>
      </c>
      <c r="G6013" s="5"/>
    </row>
    <row r="6014" spans="1:7" ht="58.5" customHeight="1" x14ac:dyDescent="0.25">
      <c r="A6014" s="5" t="str">
        <f>"I0002068"</f>
        <v>I0002068</v>
      </c>
      <c r="B6014" s="5" t="str">
        <f>"CIZALLA CURVA (INSTRUMENTAL)"</f>
        <v>CIZALLA CURVA (INSTRUMENTAL)</v>
      </c>
      <c r="C6014" s="6">
        <v>429200</v>
      </c>
      <c r="D6014" s="5"/>
      <c r="E6014" s="5" t="str">
        <f t="shared" si="303"/>
        <v>INSTRUMENTACION-DIANA CAICEDO-DIANA DIAZ</v>
      </c>
      <c r="F6014" s="5" t="str">
        <f>"Descripcion: CIZALLA CURVA  Estado: Bueno Placa anterior: 000032351 Material: ACERO INOXIDABLE Color: PLATEADO Referencia:  Observacion:     Placa padre: I0002052Tipo adquisicion: Entidad"</f>
        <v>Descripcion: CIZALLA CURVA  Estado: Bueno Placa anterior: 000032351 Material: ACERO INOXIDABLE Color: PLATEADO Referencia:  Observacion:     Placa padre: I0002052Tipo adquisicion: Entidad</v>
      </c>
      <c r="G6014" s="5"/>
    </row>
    <row r="6015" spans="1:7" ht="58.5" customHeight="1" x14ac:dyDescent="0.25">
      <c r="A6015" s="5" t="str">
        <f>"I0002069"</f>
        <v>I0002069</v>
      </c>
      <c r="B6015" s="5" t="str">
        <f>"CIZALLA RECTA (INSTRUMENTAL)"</f>
        <v>CIZALLA RECTA (INSTRUMENTAL)</v>
      </c>
      <c r="C6015" s="6">
        <v>429200</v>
      </c>
      <c r="D6015" s="5"/>
      <c r="E6015" s="5" t="str">
        <f t="shared" si="303"/>
        <v>INSTRUMENTACION-DIANA CAICEDO-DIANA DIAZ</v>
      </c>
      <c r="F6015" s="5" t="str">
        <f>"Descripcion: CIZALLA RECTA (DIMEDA) Estado: Bueno Placa anterior: 000032352 Material: ACERO INOXIDABLE Color: PLATEADO Referencia:  Observacion:     Placa padre: I0002052Tipo adquisicion: Entidad"</f>
        <v>Descripcion: CIZALLA RECTA (DIMEDA) Estado: Bueno Placa anterior: 000032352 Material: ACERO INOXIDABLE Color: PLATEADO Referencia:  Observacion:     Placa padre: I0002052Tipo adquisicion: Entidad</v>
      </c>
      <c r="G6015" s="5"/>
    </row>
    <row r="6016" spans="1:7" ht="58.5" customHeight="1" x14ac:dyDescent="0.25">
      <c r="A6016" s="5" t="str">
        <f>"I0002070"</f>
        <v>I0002070</v>
      </c>
      <c r="B6016" s="5" t="str">
        <f t="shared" ref="B6016:B6021" si="304">"CINCEL (INSTRUMENTAL)"</f>
        <v>CINCEL (INSTRUMENTAL)</v>
      </c>
      <c r="C6016" s="6">
        <v>81200</v>
      </c>
      <c r="D6016" s="5"/>
      <c r="E6016" s="5" t="str">
        <f t="shared" si="303"/>
        <v>INSTRUMENTACION-DIANA CAICEDO-DIANA DIAZ</v>
      </c>
      <c r="F6016" s="5" t="str">
        <f>"Descripcion: CINCELES  SURTIDOS  Estado: Bueno Placa anterior: 000031615 Material: ACERO INOXIDABLE Color: PLATEADO Referencia:  Observacion:     Placa padre: I0002052Tipo adquisicion: Entidad"</f>
        <v>Descripcion: CINCELES  SURTIDOS  Estado: Bueno Placa anterior: 000031615 Material: ACERO INOXIDABLE Color: PLATEADO Referencia:  Observacion:     Placa padre: I0002052Tipo adquisicion: Entidad</v>
      </c>
      <c r="G6016" s="5"/>
    </row>
    <row r="6017" spans="1:7" ht="58.5" customHeight="1" x14ac:dyDescent="0.25">
      <c r="A6017" s="5" t="str">
        <f>"I0002071"</f>
        <v>I0002071</v>
      </c>
      <c r="B6017" s="5" t="str">
        <f t="shared" si="304"/>
        <v>CINCEL (INSTRUMENTAL)</v>
      </c>
      <c r="C6017" s="6">
        <v>81200</v>
      </c>
      <c r="D6017" s="5"/>
      <c r="E6017" s="5" t="str">
        <f t="shared" si="303"/>
        <v>INSTRUMENTACION-DIANA CAICEDO-DIANA DIAZ</v>
      </c>
      <c r="F6017" s="5" t="str">
        <f>"Descripcion: CINCELES  SURTIDOS  Estado: Bueno Placa anterior: 000031616 Material: ACERO INOXIDABLE Color: PLATEADO Referencia:  Observacion:     Placa padre: I0002052Tipo adquisicion: Entidad"</f>
        <v>Descripcion: CINCELES  SURTIDOS  Estado: Bueno Placa anterior: 000031616 Material: ACERO INOXIDABLE Color: PLATEADO Referencia:  Observacion:     Placa padre: I0002052Tipo adquisicion: Entidad</v>
      </c>
      <c r="G6017" s="5"/>
    </row>
    <row r="6018" spans="1:7" ht="58.5" customHeight="1" x14ac:dyDescent="0.25">
      <c r="A6018" s="5" t="str">
        <f>"I0002072"</f>
        <v>I0002072</v>
      </c>
      <c r="B6018" s="5" t="str">
        <f t="shared" si="304"/>
        <v>CINCEL (INSTRUMENTAL)</v>
      </c>
      <c r="C6018" s="6">
        <v>81200</v>
      </c>
      <c r="D6018" s="5"/>
      <c r="E6018" s="5" t="str">
        <f t="shared" si="303"/>
        <v>INSTRUMENTACION-DIANA CAICEDO-DIANA DIAZ</v>
      </c>
      <c r="F6018" s="5" t="str">
        <f>"Descripcion: CINCELES  SURTIDOS  Estado: Bueno Placa anterior: 000031617 Material: ACERO INOXIDABLE Color: PLATEADO Referencia:  Observacion:     Placa padre: I0002052Tipo adquisicion: Entidad"</f>
        <v>Descripcion: CINCELES  SURTIDOS  Estado: Bueno Placa anterior: 000031617 Material: ACERO INOXIDABLE Color: PLATEADO Referencia:  Observacion:     Placa padre: I0002052Tipo adquisicion: Entidad</v>
      </c>
      <c r="G6018" s="5"/>
    </row>
    <row r="6019" spans="1:7" ht="58.5" customHeight="1" x14ac:dyDescent="0.25">
      <c r="A6019" s="5" t="str">
        <f>"I0002073"</f>
        <v>I0002073</v>
      </c>
      <c r="B6019" s="5" t="str">
        <f t="shared" si="304"/>
        <v>CINCEL (INSTRUMENTAL)</v>
      </c>
      <c r="C6019" s="6">
        <v>81200</v>
      </c>
      <c r="D6019" s="5"/>
      <c r="E6019" s="5" t="str">
        <f t="shared" si="303"/>
        <v>INSTRUMENTACION-DIANA CAICEDO-DIANA DIAZ</v>
      </c>
      <c r="F6019" s="5" t="str">
        <f>"Descripcion: CINCELES  SURTIDOS  Estado: Bueno Placa anterior: 000031618 Material: ACERO INOXIDABLE Color: PLATEADO Referencia:  Observacion:     Placa padre: I0002052Tipo adquisicion: Entidad"</f>
        <v>Descripcion: CINCELES  SURTIDOS  Estado: Bueno Placa anterior: 000031618 Material: ACERO INOXIDABLE Color: PLATEADO Referencia:  Observacion:     Placa padre: I0002052Tipo adquisicion: Entidad</v>
      </c>
      <c r="G6019" s="5"/>
    </row>
    <row r="6020" spans="1:7" ht="58.5" customHeight="1" x14ac:dyDescent="0.25">
      <c r="A6020" s="5" t="str">
        <f>"I0002074"</f>
        <v>I0002074</v>
      </c>
      <c r="B6020" s="5" t="str">
        <f t="shared" si="304"/>
        <v>CINCEL (INSTRUMENTAL)</v>
      </c>
      <c r="C6020" s="6">
        <v>81200</v>
      </c>
      <c r="D6020" s="5"/>
      <c r="E6020" s="5" t="str">
        <f t="shared" si="303"/>
        <v>INSTRUMENTACION-DIANA CAICEDO-DIANA DIAZ</v>
      </c>
      <c r="F6020" s="5" t="str">
        <f>"Descripcion: CINCELES  SURTIDOS  Estado: Bueno Placa anterior: 000031619 Material: ACERO INOXIDABLE Color: PLATEADO Referencia:  Observacion:     Placa padre: I0002052Tipo adquisicion: Entidad"</f>
        <v>Descripcion: CINCELES  SURTIDOS  Estado: Bueno Placa anterior: 000031619 Material: ACERO INOXIDABLE Color: PLATEADO Referencia:  Observacion:     Placa padre: I0002052Tipo adquisicion: Entidad</v>
      </c>
      <c r="G6020" s="5"/>
    </row>
    <row r="6021" spans="1:7" ht="58.5" customHeight="1" x14ac:dyDescent="0.25">
      <c r="A6021" s="5" t="str">
        <f>"I0002075"</f>
        <v>I0002075</v>
      </c>
      <c r="B6021" s="5" t="str">
        <f t="shared" si="304"/>
        <v>CINCEL (INSTRUMENTAL)</v>
      </c>
      <c r="C6021" s="6">
        <v>81200</v>
      </c>
      <c r="D6021" s="5"/>
      <c r="E6021" s="5" t="str">
        <f t="shared" si="303"/>
        <v>INSTRUMENTACION-DIANA CAICEDO-DIANA DIAZ</v>
      </c>
      <c r="F6021" s="5" t="str">
        <f>"Descripcion: CINCELES  SURTIDOS  Estado: Bueno Placa anterior: 000031620 Material: ACERO INOXIDABLE Color: PLATEADO Referencia:  Observacion:     Placa padre: I0002052Tipo adquisicion: Entidad"</f>
        <v>Descripcion: CINCELES  SURTIDOS  Estado: Bueno Placa anterior: 000031620 Material: ACERO INOXIDABLE Color: PLATEADO Referencia:  Observacion:     Placa padre: I0002052Tipo adquisicion: Entidad</v>
      </c>
      <c r="G6021" s="5"/>
    </row>
    <row r="6022" spans="1:7" ht="58.5" customHeight="1" x14ac:dyDescent="0.25">
      <c r="A6022" s="5" t="str">
        <f>"I0002078"</f>
        <v>I0002078</v>
      </c>
      <c r="B6022" s="5" t="str">
        <f>"MARTILLO (INSTRUMENTAL)"</f>
        <v>MARTILLO (INSTRUMENTAL)</v>
      </c>
      <c r="C6022" s="6">
        <v>237800</v>
      </c>
      <c r="D6022" s="5"/>
      <c r="E6022" s="5" t="str">
        <f t="shared" si="303"/>
        <v>INSTRUMENTACION-DIANA CAICEDO-DIANA DIAZ</v>
      </c>
      <c r="F6022" s="5" t="str">
        <f>"Descripcion: MARTILLO Estado: Bueno Placa anterior: 000031877 Material: ACERO INOXIDABLE Color: PLATEADO Referencia:  Observacion:     Placa padre: I0002052Tipo adquisicion: Entidad"</f>
        <v>Descripcion: MARTILLO Estado: Bueno Placa anterior: 000031877 Material: ACERO INOXIDABLE Color: PLATEADO Referencia:  Observacion:     Placa padre: I0002052Tipo adquisicion: Entidad</v>
      </c>
      <c r="G6022" s="5"/>
    </row>
    <row r="6023" spans="1:7" ht="58.5" customHeight="1" x14ac:dyDescent="0.25">
      <c r="A6023" s="5" t="str">
        <f>"I0002079"</f>
        <v>I0002079</v>
      </c>
      <c r="B6023" s="5" t="str">
        <f>"EQUIPO KERRISON BANDEJA MICROCOLUMNA CERVICAL"</f>
        <v>EQUIPO KERRISON BANDEJA MICROCOLUMNA CERVICAL</v>
      </c>
      <c r="C6023" s="6">
        <v>592572</v>
      </c>
      <c r="D6023" s="5"/>
      <c r="E6023" s="5" t="str">
        <f t="shared" si="303"/>
        <v>INSTRUMENTACION-DIANA CAICEDO-DIANA DIAZ</v>
      </c>
      <c r="F6023" s="5" t="str">
        <f>"Descripcion: EQUIPO KERRINSON BANDEJA MICROCOLUMNA CERVICAL QUE CONSTA DE 6 PIEZAS:  1-KERRISON 1MM  1-KERRISON 2MM  1-KERRISON 3MM  1-KERRISON 3MM  0-KERRISON 4MM  1-KERRISON 4MM   Estado: Bueno Placa anterior: 000012863 Material: ACERO INOXIDABLE Color:"&amp; " PLATEADO Referencia:  Observacion:     Placa padre: Tipo adquisicion: Entidad"</f>
        <v>Descripcion: EQUIPO KERRINSON BANDEJA MICROCOLUMNA CERVICAL QUE CONSTA DE 6 PIEZAS:  1-KERRISON 1MM  1-KERRISON 2MM  1-KERRISON 3MM  1-KERRISON 3MM  0-KERRISON 4MM  1-KERRISON 4MM   Estado: Bueno Placa anterior: 000012863 Material: ACERO INOXIDABLE Color: PLATEADO Referencia:  Observacion:     Placa padre: Tipo adquisicion: Entidad</v>
      </c>
      <c r="G6023" s="5"/>
    </row>
    <row r="6024" spans="1:7" ht="58.5" customHeight="1" x14ac:dyDescent="0.25">
      <c r="A6024" s="5" t="str">
        <f>"I0002080"</f>
        <v>I0002080</v>
      </c>
      <c r="B6024" s="5" t="str">
        <f t="shared" ref="B6024:B6031" si="305">"PINZA DE KERRISON"</f>
        <v>PINZA DE KERRISON</v>
      </c>
      <c r="C6024" s="6">
        <v>2175905</v>
      </c>
      <c r="D6024" s="5" t="s">
        <v>434</v>
      </c>
      <c r="E6024" s="5" t="str">
        <f t="shared" si="303"/>
        <v>INSTRUMENTACION-DIANA CAICEDO-DIANA DIAZ</v>
      </c>
      <c r="F6024" s="5" t="str">
        <f>"Descripcion: KERRISON - 1 MM - 249931307 Estado: Bueno Placa anterior: 000030207 Material: ACERO INOXIDABLE Color: PLATEADO Referencia:  Observacion:     Placa padre: I0002079Tipo adquisicion: Entidad"</f>
        <v>Descripcion: KERRISON - 1 MM - 249931307 Estado: Bueno Placa anterior: 000030207 Material: ACERO INOXIDABLE Color: PLATEADO Referencia:  Observacion:     Placa padre: I0002079Tipo adquisicion: Entidad</v>
      </c>
      <c r="G6024" s="5"/>
    </row>
    <row r="6025" spans="1:7" ht="58.5" customHeight="1" x14ac:dyDescent="0.25">
      <c r="A6025" s="5" t="str">
        <f>"I0002081"</f>
        <v>I0002081</v>
      </c>
      <c r="B6025" s="5" t="str">
        <f t="shared" si="305"/>
        <v>PINZA DE KERRISON</v>
      </c>
      <c r="C6025" s="6">
        <v>1781876</v>
      </c>
      <c r="D6025" s="5"/>
      <c r="E6025" s="5" t="str">
        <f t="shared" si="303"/>
        <v>INSTRUMENTACION-DIANA CAICEDO-DIANA DIAZ</v>
      </c>
      <c r="F6025" s="5" t="str">
        <f>"Descripcion: KERRISON - 2 MM - 249931407 Estado: Bueno Placa anterior: 000023737 Material: ACERO INOXIDABLE Color: PLATEADO Referencia:  Observacion:     Placa padre: I0002079Tipo adquisicion: Entidad"</f>
        <v>Descripcion: KERRISON - 2 MM - 249931407 Estado: Bueno Placa anterior: 000023737 Material: ACERO INOXIDABLE Color: PLATEADO Referencia:  Observacion:     Placa padre: I0002079Tipo adquisicion: Entidad</v>
      </c>
      <c r="G6025" s="5"/>
    </row>
    <row r="6026" spans="1:7" ht="58.5" customHeight="1" x14ac:dyDescent="0.25">
      <c r="A6026" s="5" t="str">
        <f>"I0002082"</f>
        <v>I0002082</v>
      </c>
      <c r="B6026" s="5" t="str">
        <f t="shared" si="305"/>
        <v>PINZA DE KERRISON</v>
      </c>
      <c r="C6026" s="6">
        <v>1781876</v>
      </c>
      <c r="D6026" s="5"/>
      <c r="E6026" s="5" t="str">
        <f t="shared" si="303"/>
        <v>INSTRUMENTACION-DIANA CAICEDO-DIANA DIAZ</v>
      </c>
      <c r="F6026" s="5" t="str">
        <f>"Descripcion: KERRISON - 3 MM - ANTERIOR Estado: Bueno Placa anterior: 000023738 Material: ACERO INOXIDABLE Color: PLATEADO Referencia:  Observacion:     Placa padre: I0002079Tipo adquisicion: Entidad"</f>
        <v>Descripcion: KERRISON - 3 MM - ANTERIOR Estado: Bueno Placa anterior: 000023738 Material: ACERO INOXIDABLE Color: PLATEADO Referencia:  Observacion:     Placa padre: I0002079Tipo adquisicion: Entidad</v>
      </c>
      <c r="G6026" s="5"/>
    </row>
    <row r="6027" spans="1:7" ht="58.5" customHeight="1" x14ac:dyDescent="0.25">
      <c r="A6027" s="5" t="str">
        <f>"I0002083"</f>
        <v>I0002083</v>
      </c>
      <c r="B6027" s="5" t="str">
        <f t="shared" si="305"/>
        <v>PINZA DE KERRISON</v>
      </c>
      <c r="C6027" s="6">
        <v>1706418</v>
      </c>
      <c r="D6027" s="5" t="s">
        <v>431</v>
      </c>
      <c r="E6027" s="5" t="str">
        <f t="shared" si="303"/>
        <v>INSTRUMENTACION-DIANA CAICEDO-DIANA DIAZ</v>
      </c>
      <c r="F6027" s="5" t="str">
        <f>"Descripcion: KERRISON - 3 MM - POSTERIOR Estado: Bueno Placa anterior: 000030164 Material: ACERO INOXIDABLE Color: PLATEADO Referencia:  Observacion:     Placa padre: I0002079Tipo adquisicion: Entidad"</f>
        <v>Descripcion: KERRISON - 3 MM - POSTERIOR Estado: Bueno Placa anterior: 000030164 Material: ACERO INOXIDABLE Color: PLATEADO Referencia:  Observacion:     Placa padre: I0002079Tipo adquisicion: Entidad</v>
      </c>
      <c r="G6027" s="5"/>
    </row>
    <row r="6028" spans="1:7" ht="58.5" customHeight="1" x14ac:dyDescent="0.25">
      <c r="A6028" s="5" t="str">
        <f>"I0002084"</f>
        <v>I0002084</v>
      </c>
      <c r="B6028" s="5" t="str">
        <f t="shared" si="305"/>
        <v>PINZA DE KERRISON</v>
      </c>
      <c r="C6028" s="6">
        <v>1774174</v>
      </c>
      <c r="D6028" s="5" t="s">
        <v>431</v>
      </c>
      <c r="E6028" s="5" t="str">
        <f t="shared" si="303"/>
        <v>INSTRUMENTACION-DIANA CAICEDO-DIANA DIAZ</v>
      </c>
      <c r="F6028" s="5" t="str">
        <f>"Descripcion: KERRISON - 4 MM - ANTERIOR Estado: Bueno Placa anterior: 000030165 Material: ACERO INOXIDABLE Color: PLATEADO Referencia:  Observacion:     Placa padre: I0002079Tipo adquisicion: Entidad"</f>
        <v>Descripcion: KERRISON - 4 MM - ANTERIOR Estado: Bueno Placa anterior: 000030165 Material: ACERO INOXIDABLE Color: PLATEADO Referencia:  Observacion:     Placa padre: I0002079Tipo adquisicion: Entidad</v>
      </c>
      <c r="G6028" s="5"/>
    </row>
    <row r="6029" spans="1:7" ht="58.5" customHeight="1" x14ac:dyDescent="0.25">
      <c r="A6029" s="5" t="str">
        <f>"I0002085"</f>
        <v>I0002085</v>
      </c>
      <c r="B6029" s="5" t="str">
        <f t="shared" si="305"/>
        <v>PINZA DE KERRISON</v>
      </c>
      <c r="C6029" s="6">
        <v>1774174</v>
      </c>
      <c r="D6029" s="5" t="s">
        <v>434</v>
      </c>
      <c r="E6029" s="5" t="str">
        <f t="shared" si="303"/>
        <v>INSTRUMENTACION-DIANA CAICEDO-DIANA DIAZ</v>
      </c>
      <c r="F6029" s="5" t="str">
        <f>"Descripcion: KERRISON - 4 MM - POSTERIOR Estado: Bueno Placa anterior: 000030210 Material: ACERO INOXIDABLE Color: PLATEADO Referencia:  Observacion:     Placa padre: I0002079Tipo adquisicion: Entidad"</f>
        <v>Descripcion: KERRISON - 4 MM - POSTERIOR Estado: Bueno Placa anterior: 000030210 Material: ACERO INOXIDABLE Color: PLATEADO Referencia:  Observacion:     Placa padre: I0002079Tipo adquisicion: Entidad</v>
      </c>
      <c r="G6029" s="5"/>
    </row>
    <row r="6030" spans="1:7" ht="58.5" customHeight="1" x14ac:dyDescent="0.25">
      <c r="A6030" s="5" t="str">
        <f>"I0002090"</f>
        <v>I0002090</v>
      </c>
      <c r="B6030" s="5" t="str">
        <f t="shared" si="305"/>
        <v>PINZA DE KERRISON</v>
      </c>
      <c r="C6030" s="6">
        <v>1719000</v>
      </c>
      <c r="D6030" s="5"/>
      <c r="E6030" s="5" t="str">
        <f t="shared" si="303"/>
        <v>INSTRUMENTACION-DIANA CAICEDO-DIANA DIAZ</v>
      </c>
      <c r="F6030" s="5" t="str">
        <f>"Descripcion: PINZA DE KERRISON  3345 Estado: Bueno Placa anterior: 000033188 Material: ACERO INOXIDABLE Color: PLATEADO Referencia:  Observacion:     Placa padre: I0002086Tipo adquisicion: Entidad"</f>
        <v>Descripcion: PINZA DE KERRISON  3345 Estado: Bueno Placa anterior: 000033188 Material: ACERO INOXIDABLE Color: PLATEADO Referencia:  Observacion:     Placa padre: I0002086Tipo adquisicion: Entidad</v>
      </c>
      <c r="G6030" s="5"/>
    </row>
    <row r="6031" spans="1:7" ht="58.5" customHeight="1" x14ac:dyDescent="0.25">
      <c r="A6031" s="5" t="str">
        <f>"I0002093"</f>
        <v>I0002093</v>
      </c>
      <c r="B6031" s="5" t="str">
        <f t="shared" si="305"/>
        <v>PINZA DE KERRISON</v>
      </c>
      <c r="C6031" s="6">
        <v>1706418</v>
      </c>
      <c r="D6031" s="5" t="s">
        <v>431</v>
      </c>
      <c r="E6031" s="5" t="str">
        <f t="shared" si="303"/>
        <v>INSTRUMENTACION-DIANA CAICEDO-DIANA DIAZ</v>
      </c>
      <c r="F6031" s="5" t="str">
        <f>"Descripcion: PINZA DE KERRISON 334600 Estado: Bueno Placa anterior: 000030169 Material: ACERO INOXIDABLE Color: PLATEADO Referencia:  Observacion:     Placa padre: I0002086Tipo adquisicion: Entidad"</f>
        <v>Descripcion: PINZA DE KERRISON 334600 Estado: Bueno Placa anterior: 000030169 Material: ACERO INOXIDABLE Color: PLATEADO Referencia:  Observacion:     Placa padre: I0002086Tipo adquisicion: Entidad</v>
      </c>
      <c r="G6031" s="5"/>
    </row>
    <row r="6032" spans="1:7" ht="58.5" customHeight="1" x14ac:dyDescent="0.25">
      <c r="A6032" s="5" t="str">
        <f>"I0002099"</f>
        <v>I0002099</v>
      </c>
      <c r="B6032" s="5" t="str">
        <f>"PINZA ALLIGATOR ANGULADA (BIOTOMOS)"</f>
        <v>PINZA ALLIGATOR ANGULADA (BIOTOMOS)</v>
      </c>
      <c r="C6032" s="6">
        <v>23800</v>
      </c>
      <c r="D6032" s="5"/>
      <c r="E6032" s="5" t="str">
        <f t="shared" si="303"/>
        <v>INSTRUMENTACION-DIANA CAICEDO-DIANA DIAZ</v>
      </c>
      <c r="F6032" s="5" t="str">
        <f>"Descripcion: PINZA DE OLLIGATORE ANGULADA ANTERIOR 531160 Estado: Bueno Placa anterior: 000016328 Material: ACERO INOXIDABLE Color: PLATEADO Referencia:  Observacion: SEPARADORES DE RAICES ANGULADOS  Placa padre: I0002094Tipo adquisicion: Entidad"</f>
        <v>Descripcion: PINZA DE OLLIGATORE ANGULADA ANTERIOR 531160 Estado: Bueno Placa anterior: 000016328 Material: ACERO INOXIDABLE Color: PLATEADO Referencia:  Observacion: SEPARADORES DE RAICES ANGULADOS  Placa padre: I0002094Tipo adquisicion: Entidad</v>
      </c>
      <c r="G6032" s="5"/>
    </row>
    <row r="6033" spans="1:7" ht="58.5" customHeight="1" x14ac:dyDescent="0.25">
      <c r="A6033" s="5" t="str">
        <f>"I0002100"</f>
        <v>I0002100</v>
      </c>
      <c r="B6033" s="5" t="str">
        <f>"PINZA ALLIGATOR ANGULADA (BIOTOMOS)"</f>
        <v>PINZA ALLIGATOR ANGULADA (BIOTOMOS)</v>
      </c>
      <c r="C6033" s="6">
        <v>23800</v>
      </c>
      <c r="D6033" s="5"/>
      <c r="E6033" s="5" t="str">
        <f t="shared" si="303"/>
        <v>INSTRUMENTACION-DIANA CAICEDO-DIANA DIAZ</v>
      </c>
      <c r="F6033" s="5" t="str">
        <f>"Descripcion: PINZA DE OLLIGATORE ANGULADA ANTERIOR 4423475 Estado: Bueno Placa anterior: 000016327 Material: ACERO INOXIDABLE Color: PLATEADO Referencia:  Observacion: SEPARADORES DE RAICES ANGULADOS  Placa padre: I0002094Tipo adquisicion: Entidad"</f>
        <v>Descripcion: PINZA DE OLLIGATORE ANGULADA ANTERIOR 4423475 Estado: Bueno Placa anterior: 000016327 Material: ACERO INOXIDABLE Color: PLATEADO Referencia:  Observacion: SEPARADORES DE RAICES ANGULADOS  Placa padre: I0002094Tipo adquisicion: Entidad</v>
      </c>
      <c r="G6033" s="5"/>
    </row>
    <row r="6034" spans="1:7" ht="58.5" customHeight="1" x14ac:dyDescent="0.25">
      <c r="A6034" s="5" t="str">
        <f>"I0002102"</f>
        <v>I0002102</v>
      </c>
      <c r="B6034" s="5" t="str">
        <f>"EQUIPO DE COLUMNA CERVICAL"</f>
        <v>EQUIPO DE COLUMNA CERVICAL</v>
      </c>
      <c r="C6034" s="6">
        <v>1000000</v>
      </c>
      <c r="D6034" s="5"/>
      <c r="E6034" s="5" t="str">
        <f t="shared" si="303"/>
        <v>INSTRUMENTACION-DIANA CAICEDO-DIANA DIAZ</v>
      </c>
      <c r="F6034" s="5" t="str">
        <f>"Descripcion: EQUIPO DE COLUMNA CERVICAL  QUE CONSTA DE:  (1) GUBIA DE MICRO   (1) GUBIA LEKSELL   (1) DISECTOR CORTANTE CURVO   (1) SEPARADOR DE CLOWARD MAS 4 VALVAS   (1) APROXIMADOR COSTAL  (0) IMPACTOR DE NEURO  (1) MARTILLO PEQUEÑO   (1) CIZALLA PEQUE"&amp; "ÑA (DIMEDA) Estado: Bueno Placa anterior: 000012841 Material: ACERO INOXIDABLE Color: PLATEADO Referencia:  Observacion:     Placa padre: Tipo adquisicion: Entidad"</f>
        <v>Descripcion: EQUIPO DE COLUMNA CERVICAL  QUE CONSTA DE:  (1) GUBIA DE MICRO   (1) GUBIA LEKSELL   (1) DISECTOR CORTANTE CURVO   (1) SEPARADOR DE CLOWARD MAS 4 VALVAS   (1) APROXIMADOR COSTAL  (0) IMPACTOR DE NEURO  (1) MARTILLO PEQUEÑO   (1) CIZALLA PEQUEÑA (DIMEDA) Estado: Bueno Placa anterior: 000012841 Material: ACERO INOXIDABLE Color: PLATEADO Referencia:  Observacion:     Placa padre: Tipo adquisicion: Entidad</v>
      </c>
      <c r="G6034" s="5"/>
    </row>
    <row r="6035" spans="1:7" ht="58.5" customHeight="1" x14ac:dyDescent="0.25">
      <c r="A6035" s="5" t="str">
        <f>"I0002103"</f>
        <v>I0002103</v>
      </c>
      <c r="B6035" s="5" t="str">
        <f>"PINZA GUBIA"</f>
        <v>PINZA GUBIA</v>
      </c>
      <c r="C6035" s="6">
        <v>322993</v>
      </c>
      <c r="D6035" s="5"/>
      <c r="E6035" s="5" t="str">
        <f t="shared" si="303"/>
        <v>INSTRUMENTACION-DIANA CAICEDO-DIANA DIAZ</v>
      </c>
      <c r="F6035" s="5" t="str">
        <f>"Descripcion: GUBIA DE MICRO  Estado: Bueno Placa anterior: 000024024 Material: ACERO INOXIDABLE Color: PLATEADO Referencia:  Observacion:     Placa padre: I0002102Tipo adquisicion: Entidad"</f>
        <v>Descripcion: GUBIA DE MICRO  Estado: Bueno Placa anterior: 000024024 Material: ACERO INOXIDABLE Color: PLATEADO Referencia:  Observacion:     Placa padre: I0002102Tipo adquisicion: Entidad</v>
      </c>
      <c r="G6035" s="5"/>
    </row>
    <row r="6036" spans="1:7" ht="58.5" customHeight="1" x14ac:dyDescent="0.25">
      <c r="A6036" s="5" t="str">
        <f>"I0002104"</f>
        <v>I0002104</v>
      </c>
      <c r="B6036" s="5" t="str">
        <f>"PINZA GUBIA"</f>
        <v>PINZA GUBIA</v>
      </c>
      <c r="C6036" s="6">
        <v>322993</v>
      </c>
      <c r="D6036" s="5"/>
      <c r="E6036" s="5" t="str">
        <f t="shared" si="303"/>
        <v>INSTRUMENTACION-DIANA CAICEDO-DIANA DIAZ</v>
      </c>
      <c r="F6036" s="5" t="str">
        <f>"Descripcion: GUBIA LEKSELL  Estado: Bueno Placa anterior: 000024025 Material: ACERO INOXIDABLE Color: PLATEADO Referencia:  Observacion:     Placa padre: I0002102Tipo adquisicion: Entidad"</f>
        <v>Descripcion: GUBIA LEKSELL  Estado: Bueno Placa anterior: 000024025 Material: ACERO INOXIDABLE Color: PLATEADO Referencia:  Observacion:     Placa padre: I0002102Tipo adquisicion: Entidad</v>
      </c>
      <c r="G6036" s="5"/>
    </row>
    <row r="6037" spans="1:7" ht="58.5" customHeight="1" x14ac:dyDescent="0.25">
      <c r="A6037" s="5" t="str">
        <f>"I0002106"</f>
        <v>I0002106</v>
      </c>
      <c r="B6037" s="5" t="str">
        <f>"SEPARADOR DE CLOWARD"</f>
        <v>SEPARADOR DE CLOWARD</v>
      </c>
      <c r="C6037" s="6">
        <v>533600</v>
      </c>
      <c r="D6037" s="5"/>
      <c r="E6037" s="5" t="str">
        <f t="shared" si="303"/>
        <v>INSTRUMENTACION-DIANA CAICEDO-DIANA DIAZ</v>
      </c>
      <c r="F6037" s="5" t="str">
        <f>"Descripcion: SEPARADOR DE CLOWARD  Estado: Bueno Placa anterior: 000031901 Material: ACERO INOXIDABLE Color: PLATEADO Referencia:  Observacion:     Placa padre: I0002102Tipo adquisicion: Entidad"</f>
        <v>Descripcion: SEPARADOR DE CLOWARD  Estado: Bueno Placa anterior: 000031901 Material: ACERO INOXIDABLE Color: PLATEADO Referencia:  Observacion:     Placa padre: I0002102Tipo adquisicion: Entidad</v>
      </c>
      <c r="G6037" s="5"/>
    </row>
    <row r="6038" spans="1:7" ht="58.5" customHeight="1" x14ac:dyDescent="0.25">
      <c r="A6038" s="5" t="str">
        <f>"I0002108"</f>
        <v>I0002108</v>
      </c>
      <c r="B6038" s="5" t="str">
        <f>"VALVAS"</f>
        <v>VALVAS</v>
      </c>
      <c r="C6038" s="6">
        <v>2388.89</v>
      </c>
      <c r="D6038" s="5"/>
      <c r="E6038" s="5" t="str">
        <f t="shared" si="303"/>
        <v>INSTRUMENTACION-DIANA CAICEDO-DIANA DIAZ</v>
      </c>
      <c r="F6038" s="5" t="str">
        <f>"Descripcion: VALVAS Estado: Bueno Placa anterior: 000014603 Material: ACERO INOXIDABLE Color: PLATEADO Referencia:  Observacion:     Placa padre: I0002102Tipo adquisicion: Entidad"</f>
        <v>Descripcion: VALVAS Estado: Bueno Placa anterior: 000014603 Material: ACERO INOXIDABLE Color: PLATEADO Referencia:  Observacion:     Placa padre: I0002102Tipo adquisicion: Entidad</v>
      </c>
      <c r="G6038" s="5"/>
    </row>
    <row r="6039" spans="1:7" ht="58.5" customHeight="1" x14ac:dyDescent="0.25">
      <c r="A6039" s="5" t="str">
        <f>"I0002109"</f>
        <v>I0002109</v>
      </c>
      <c r="B6039" s="5" t="str">
        <f>"VALVAS"</f>
        <v>VALVAS</v>
      </c>
      <c r="C6039" s="6">
        <v>2388.89</v>
      </c>
      <c r="D6039" s="5"/>
      <c r="E6039" s="5" t="str">
        <f t="shared" si="303"/>
        <v>INSTRUMENTACION-DIANA CAICEDO-DIANA DIAZ</v>
      </c>
      <c r="F6039" s="5" t="str">
        <f>"Descripcion: VALVAS Estado: Bueno Placa anterior: 000014604 Material: ACERO INOXIDABLE Color: PLATEADO Referencia:  Observacion:     Placa padre: I0002102Tipo adquisicion: Entidad"</f>
        <v>Descripcion: VALVAS Estado: Bueno Placa anterior: 000014604 Material: ACERO INOXIDABLE Color: PLATEADO Referencia:  Observacion:     Placa padre: I0002102Tipo adquisicion: Entidad</v>
      </c>
      <c r="G6039" s="5"/>
    </row>
    <row r="6040" spans="1:7" ht="58.5" customHeight="1" x14ac:dyDescent="0.25">
      <c r="A6040" s="5" t="str">
        <f>"I0002111"</f>
        <v>I0002111</v>
      </c>
      <c r="B6040" s="5" t="str">
        <f>"APROXIMADOR COSTAL (TORAXICO)"</f>
        <v>APROXIMADOR COSTAL (TORAXICO)</v>
      </c>
      <c r="C6040" s="6">
        <v>16000</v>
      </c>
      <c r="D6040" s="5"/>
      <c r="E6040" s="5" t="str">
        <f t="shared" si="303"/>
        <v>INSTRUMENTACION-DIANA CAICEDO-DIANA DIAZ</v>
      </c>
      <c r="F6040" s="5" t="str">
        <f>"Descripcion: APROXIMADOR COSTAL Estado: Bueno Placa anterior: 000016262 Material: ACERO INOXIDABLE Color: PLATEADO Referencia:  Observacion:     Placa padre: I0002102Tipo adquisicion: Entidad"</f>
        <v>Descripcion: APROXIMADOR COSTAL Estado: Bueno Placa anterior: 000016262 Material: ACERO INOXIDABLE Color: PLATEADO Referencia:  Observacion:     Placa padre: I0002102Tipo adquisicion: Entidad</v>
      </c>
      <c r="G6040" s="5"/>
    </row>
    <row r="6041" spans="1:7" ht="58.5" customHeight="1" x14ac:dyDescent="0.25">
      <c r="A6041" s="5" t="str">
        <f>"I0002113"</f>
        <v>I0002113</v>
      </c>
      <c r="B6041" s="5" t="str">
        <f>"MARTILLO (INSTRUMENTAL)"</f>
        <v>MARTILLO (INSTRUMENTAL)</v>
      </c>
      <c r="C6041" s="6">
        <v>237800</v>
      </c>
      <c r="D6041" s="5"/>
      <c r="E6041" s="5" t="str">
        <f t="shared" si="303"/>
        <v>INSTRUMENTACION-DIANA CAICEDO-DIANA DIAZ</v>
      </c>
      <c r="F6041" s="5" t="str">
        <f>"Descripcion: MARTILLO PEQUEÑO  Estado: Bueno Placa anterior: 000031878 Material: ACERO INOXIDABLE Color: PLATEADO Referencia:  Observacion:     Placa padre: I0002102Tipo adquisicion: Entidad"</f>
        <v>Descripcion: MARTILLO PEQUEÑO  Estado: Bueno Placa anterior: 000031878 Material: ACERO INOXIDABLE Color: PLATEADO Referencia:  Observacion:     Placa padre: I0002102Tipo adquisicion: Entidad</v>
      </c>
      <c r="G6041" s="5"/>
    </row>
    <row r="6042" spans="1:7" ht="58.5" customHeight="1" x14ac:dyDescent="0.25">
      <c r="A6042" s="5" t="str">
        <f>"I0002114"</f>
        <v>I0002114</v>
      </c>
      <c r="B6042" s="5" t="str">
        <f>"CIZALLA (INSTRUMENTAL)"</f>
        <v>CIZALLA (INSTRUMENTAL)</v>
      </c>
      <c r="C6042" s="6">
        <v>429200</v>
      </c>
      <c r="D6042" s="5"/>
      <c r="E6042" s="5" t="str">
        <f t="shared" si="303"/>
        <v>INSTRUMENTACION-DIANA CAICEDO-DIANA DIAZ</v>
      </c>
      <c r="F6042" s="5" t="str">
        <f>"Descripcion: CIZALLA PEQUEÑA (DIMEDA) Estado: Bueno Placa anterior: 000032353 Material: ACERO INOXIDABLE Color: PLATEADO Referencia:  Observacion:     Placa padre: I0002102Tipo adquisicion: Entidad"</f>
        <v>Descripcion: CIZALLA PEQUEÑA (DIMEDA) Estado: Bueno Placa anterior: 000032353 Material: ACERO INOXIDABLE Color: PLATEADO Referencia:  Observacion:     Placa padre: I0002102Tipo adquisicion: Entidad</v>
      </c>
      <c r="G6042" s="5"/>
    </row>
    <row r="6043" spans="1:7" ht="58.5" customHeight="1" x14ac:dyDescent="0.25">
      <c r="A6043" s="5" t="str">
        <f>"I0002116"</f>
        <v>I0002116</v>
      </c>
      <c r="B6043" s="5" t="str">
        <f>"PINZA GUBIA"</f>
        <v>PINZA GUBIA</v>
      </c>
      <c r="C6043" s="6">
        <v>661200</v>
      </c>
      <c r="D6043" s="5" t="s">
        <v>433</v>
      </c>
      <c r="E6043" s="5" t="str">
        <f t="shared" si="303"/>
        <v>INSTRUMENTACION-DIANA CAICEDO-DIANA DIAZ</v>
      </c>
      <c r="F6043" s="5" t="str">
        <f>"Descripcion: GUBIA  DE LEKSELL  Estado: Bueno Placa anterior: 000031845 Material: ACERO INOXIDABLE Color: PLATEADO Referencia:  Observacion:     Placa padre: I0002115Tipo adquisicion: Entidad"</f>
        <v>Descripcion: GUBIA  DE LEKSELL  Estado: Bueno Placa anterior: 000031845 Material: ACERO INOXIDABLE Color: PLATEADO Referencia:  Observacion:     Placa padre: I0002115Tipo adquisicion: Entidad</v>
      </c>
      <c r="G6043" s="5"/>
    </row>
    <row r="6044" spans="1:7" ht="58.5" customHeight="1" x14ac:dyDescent="0.25">
      <c r="A6044" s="5" t="str">
        <f>"I0002117"</f>
        <v>I0002117</v>
      </c>
      <c r="B6044" s="5" t="str">
        <f>"PINZA GUBIA"</f>
        <v>PINZA GUBIA</v>
      </c>
      <c r="C6044" s="6">
        <v>1090400</v>
      </c>
      <c r="D6044" s="5" t="s">
        <v>433</v>
      </c>
      <c r="E6044" s="5" t="str">
        <f t="shared" si="303"/>
        <v>INSTRUMENTACION-DIANA CAICEDO-DIANA DIAZ</v>
      </c>
      <c r="F6044" s="5" t="str">
        <f>"Descripcion: GUBIA KERRINSON  Estado: Bueno Placa anterior: 000031825 Material: ACERO INOXIDABLE Color: PLATEADO Referencia:  Observacion:     Placa padre: I0002115Tipo adquisicion: Entidad"</f>
        <v>Descripcion: GUBIA KERRINSON  Estado: Bueno Placa anterior: 000031825 Material: ACERO INOXIDABLE Color: PLATEADO Referencia:  Observacion:     Placa padre: I0002115Tipo adquisicion: Entidad</v>
      </c>
      <c r="G6044" s="5"/>
    </row>
    <row r="6045" spans="1:7" ht="58.5" customHeight="1" x14ac:dyDescent="0.25">
      <c r="A6045" s="5" t="str">
        <f>"I0002132"</f>
        <v>I0002132</v>
      </c>
      <c r="B6045" s="5" t="str">
        <f>"EQUIPO INSTRUMENTAL DE HARRINGTON"</f>
        <v>EQUIPO INSTRUMENTAL DE HARRINGTON</v>
      </c>
      <c r="C6045" s="6">
        <v>1950000</v>
      </c>
      <c r="D6045" s="5"/>
      <c r="E6045" s="5" t="str">
        <f t="shared" si="303"/>
        <v>INSTRUMENTACION-DIANA CAICEDO-DIANA DIAZ</v>
      </c>
      <c r="F6045" s="5" t="str">
        <f>"Descripcion: EQUIPO INSTRUMENTAL DE HARRIGTON QUE CONSTA DE:  (2) PINZAS  PORTA BARRAS   (2) PINZAS PORTA GANCHOS   (1) PINZA PORTA GANCHOS   (2) CONDUCTORES DE GANCHOS  CURVOS   (2) CONDUCTORES DE GANCHOS RECTOS  (0) LLAVE DE BARRA   (1) LLAVE PORTA ARAN"&amp; "DELA  (1) UNIDAD DISTRACTORA  DE HARRIGNTON  CON LLAVE   (0) SEPARADOR DE HARRIGNTON O SPRAYDER   (1) GUIA DE GANCHO INFERIOR   (1) BANDEJA O TAPA ESMALTADA Estado: Bueno Placa anterior: 000012848 Material: ACERO INOXIDABLE Color: PLATEADO Referencia:  Ob"&amp; "servacion:     Placa padre: Tipo adquisicion: Entidad"</f>
        <v>Descripcion: EQUIPO INSTRUMENTAL DE HARRIGTON QUE CONSTA DE:  (2) PINZAS  PORTA BARRAS   (2) PINZAS PORTA GANCHOS   (1) PINZA PORTA GANCHOS   (2) CONDUCTORES DE GANCHOS  CURVOS   (2) CONDUCTORES DE GANCHOS RECTOS  (0) LLAVE DE BARRA   (1) LLAVE PORTA ARANDELA  (1) UNIDAD DISTRACTORA  DE HARRIGNTON  CON LLAVE   (0) SEPARADOR DE HARRIGNTON O SPRAYDER   (1) GUIA DE GANCHO INFERIOR   (1) BANDEJA O TAPA ESMALTADA Estado: Bueno Placa anterior: 000012848 Material: ACERO INOXIDABLE Color: PLATEADO Referencia:  Observacion:     Placa padre: Tipo adquisicion: Entidad</v>
      </c>
      <c r="G6045" s="5"/>
    </row>
    <row r="6046" spans="1:7" ht="58.5" customHeight="1" x14ac:dyDescent="0.25">
      <c r="A6046" s="5" t="str">
        <f>"I0002148"</f>
        <v>I0002148</v>
      </c>
      <c r="B6046" s="5" t="str">
        <f>"BANDEJA ESMALTADA MEDIANA"</f>
        <v>BANDEJA ESMALTADA MEDIANA</v>
      </c>
      <c r="C6046" s="6">
        <v>2266000</v>
      </c>
      <c r="D6046" s="5" t="s">
        <v>435</v>
      </c>
      <c r="E6046" s="5" t="str">
        <f t="shared" si="303"/>
        <v>INSTRUMENTACION-DIANA CAICEDO-DIANA DIAZ</v>
      </c>
      <c r="F6046" s="5" t="str">
        <f>"Descripcion: BANDEJA O TAPA ESMALTADA Estado: Bueno Placa anterior: 000036296 Material: ACERO INOXIDABLE Color: PLATEADO Referencia:  Observacion:     Placa padre: I0002132Tipo adquisicion: Entidad"</f>
        <v>Descripcion: BANDEJA O TAPA ESMALTADA Estado: Bueno Placa anterior: 000036296 Material: ACERO INOXIDABLE Color: PLATEADO Referencia:  Observacion:     Placa padre: I0002132Tipo adquisicion: Entidad</v>
      </c>
      <c r="G6046" s="5"/>
    </row>
    <row r="6047" spans="1:7" ht="58.5" customHeight="1" x14ac:dyDescent="0.25">
      <c r="A6047" s="5" t="str">
        <f>"I0002149"</f>
        <v>I0002149</v>
      </c>
      <c r="B6047" s="5" t="str">
        <f>"EQUIPO TRACTOR DE BARTON"</f>
        <v>EQUIPO TRACTOR DE BARTON</v>
      </c>
      <c r="C6047" s="6">
        <v>352000</v>
      </c>
      <c r="D6047" s="5"/>
      <c r="E6047" s="5" t="str">
        <f t="shared" ref="E6047:E6110" si="306">"INSTRUMENTACION-DIANA CAICEDO-DIANA DIAZ"</f>
        <v>INSTRUMENTACION-DIANA CAICEDO-DIANA DIAZ</v>
      </c>
      <c r="F6047" s="5" t="str">
        <f>"Descripcion: EQUIPO TRACTOR DE BARTON QUE CONSTA DE:  (1) LLAVE DE STANYLESS HODMAN   (1) BARTON DE CHAPED HODMAN   (2) PINES DE BARTON  (2) ARANDELAS  Estado: Bueno Placa anterior: 000012849 Material: ACERO INOXIDABLE Color: PLATEADO Referencia:  Observa"&amp; "cion:     Placa padre: Tipo adquisicion: Entidad"</f>
        <v>Descripcion: EQUIPO TRACTOR DE BARTON QUE CONSTA DE:  (1) LLAVE DE STANYLESS HODMAN   (1) BARTON DE CHAPED HODMAN   (2) PINES DE BARTON  (2) ARANDELAS  Estado: Bueno Placa anterior: 000012849 Material: ACERO INOXIDABLE Color: PLATEADO Referencia:  Observacion:     Placa padre: Tipo adquisicion: Entidad</v>
      </c>
      <c r="G6047" s="5"/>
    </row>
    <row r="6048" spans="1:7" ht="58.5" customHeight="1" x14ac:dyDescent="0.25">
      <c r="A6048" s="5" t="str">
        <f>"I0002151"</f>
        <v>I0002151</v>
      </c>
      <c r="B6048" s="5" t="str">
        <f>"UNIDAD DISTRACTORA"</f>
        <v>UNIDAD DISTRACTORA</v>
      </c>
      <c r="C6048" s="6">
        <v>7755297</v>
      </c>
      <c r="D6048" s="5"/>
      <c r="E6048" s="5" t="str">
        <f t="shared" si="306"/>
        <v>INSTRUMENTACION-DIANA CAICEDO-DIANA DIAZ</v>
      </c>
      <c r="F6048" s="5" t="str">
        <f>"Descripcion: BARTON DE CHAPED HODMAN - DISTRACTOR DE BARTON Estado: B Placa anterior: 000012837 Material: ACERO INOXIDABLE Color: PLATEADO Referencia:  Observacion: UNIDAD BASICA AJUSTABLE COD.351075 CONSTA DE:   SE ENCUENTRA EN ESTERILIZACION  SOPORTE DE"&amp; " MANO Placa padre: I0002149Tipo adquisicion: Entidad"</f>
        <v>Descripcion: BARTON DE CHAPED HODMAN - DISTRACTOR DE BARTON Estado: B Placa anterior: 000012837 Material: ACERO INOXIDABLE Color: PLATEADO Referencia:  Observacion: UNIDAD BASICA AJUSTABLE COD.351075 CONSTA DE:   SE ENCUENTRA EN ESTERILIZACION  SOPORTE DE MANO Placa padre: I0002149Tipo adquisicion: Entidad</v>
      </c>
      <c r="G6048" s="5"/>
    </row>
    <row r="6049" spans="1:7" ht="58.5" customHeight="1" x14ac:dyDescent="0.25">
      <c r="A6049" s="5" t="str">
        <f>"I0002221"</f>
        <v>I0002221</v>
      </c>
      <c r="B6049" s="5" t="str">
        <f>"CRANEOTOMO"</f>
        <v>CRANEOTOMO</v>
      </c>
      <c r="C6049" s="6">
        <v>3605000</v>
      </c>
      <c r="D6049" s="5" t="s">
        <v>435</v>
      </c>
      <c r="E6049" s="5" t="str">
        <f t="shared" si="306"/>
        <v>INSTRUMENTACION-DIANA CAICEDO-DIANA DIAZ</v>
      </c>
      <c r="F6049" s="5" t="str">
        <f>"Descripcion: EQUIPO CRANEOTOMO #1  QUE CONSTA DE:  MANGUERA CON PIEZA DE MANO -  MOTOR  PORTA CUCHILLA  ATTACHME 7, 8, 9.   LLAVE Estado: Bueno Placa anterior: 000036293 Material: ACERO INOXIDABLE Color: PLATEADO Referencia:  Observacion:     Placa padre:"&amp; " Tipo adquisicion: Entidad"</f>
        <v>Descripcion: EQUIPO CRANEOTOMO #1  QUE CONSTA DE:  MANGUERA CON PIEZA DE MANO -  MOTOR  PORTA CUCHILLA  ATTACHME 7, 8, 9.   LLAVE Estado: Bueno Placa anterior: 000036293 Material: ACERO INOXIDABLE Color: PLATEADO Referencia:  Observacion:     Placa padre: Tipo adquisicion: Entidad</v>
      </c>
      <c r="G6049" s="5"/>
    </row>
    <row r="6050" spans="1:7" ht="58.5" customHeight="1" x14ac:dyDescent="0.25">
      <c r="A6050" s="5" t="str">
        <f>"I0002236"</f>
        <v>I0002236</v>
      </c>
      <c r="B6050" s="5" t="str">
        <f>"CRANEOTOMO"</f>
        <v>CRANEOTOMO</v>
      </c>
      <c r="C6050" s="6">
        <v>78000000</v>
      </c>
      <c r="D6050" s="5" t="s">
        <v>436</v>
      </c>
      <c r="E6050" s="5" t="str">
        <f t="shared" si="306"/>
        <v>INSTRUMENTACION-DIANA CAICEDO-DIANA DIAZ</v>
      </c>
      <c r="F6050" s="5" t="str">
        <f>"Descripcion: EQUIPO CRANEOTOMO # 3  QUE CONSTA DE:MANGUERA CON PIEZA DE MANO -  MOTORPORTA CUCHILLAATTACHMELLAVE Estado: Bueno Placa anterior: 000036598 Material: ACERO INOXIDABLE Color: PLATEADO Referencia:  Observacion: AUTORIZADO CONCILIAR EN CRUCE GEN"&amp; "ERAL Placa padre: Tipo adquisicion: Entidad"</f>
        <v>Descripcion: EQUIPO CRANEOTOMO # 3  QUE CONSTA DE:MANGUERA CON PIEZA DE MANO -  MOTORPORTA CUCHILLAATTACHMELLAVE Estado: Bueno Placa anterior: 000036598 Material: ACERO INOXIDABLE Color: PLATEADO Referencia:  Observacion: AUTORIZADO CONCILIAR EN CRUCE GENERAL Placa padre: Tipo adquisicion: Entidad</v>
      </c>
      <c r="G6050" s="5"/>
    </row>
    <row r="6051" spans="1:7" ht="58.5" customHeight="1" x14ac:dyDescent="0.25">
      <c r="A6051" s="5" t="str">
        <f>"I0002253"</f>
        <v>I0002253</v>
      </c>
      <c r="B6051" s="5" t="str">
        <f>"PINZA BAYONETA"</f>
        <v>PINZA BAYONETA</v>
      </c>
      <c r="C6051" s="6">
        <v>139200</v>
      </c>
      <c r="D6051" s="5"/>
      <c r="E6051" s="5" t="str">
        <f t="shared" si="306"/>
        <v>INSTRUMENTACION-DIANA CAICEDO-DIANA DIAZ</v>
      </c>
      <c r="F6051" s="5" t="str">
        <f>"Descripcion: PINZA EN BAYONETA AZUL AESCULAP PARA YASARGIL  Estado: Bueno Placa anterior: 000032011 Material: ACERO INOXIDABLE Color: PLATEADO Referencia:  Observacion: PINZA GILL PARA IRIS Placa padre: I0002241Tipo adquisicion: Entidad"</f>
        <v>Descripcion: PINZA EN BAYONETA AZUL AESCULAP PARA YASARGIL  Estado: Bueno Placa anterior: 000032011 Material: ACERO INOXIDABLE Color: PLATEADO Referencia:  Observacion: PINZA GILL PARA IRIS Placa padre: I0002241Tipo adquisicion: Entidad</v>
      </c>
      <c r="G6051" s="5"/>
    </row>
    <row r="6052" spans="1:7" ht="58.5" customHeight="1" x14ac:dyDescent="0.25">
      <c r="A6052" s="5" t="str">
        <f>"I0002254"</f>
        <v>I0002254</v>
      </c>
      <c r="B6052" s="5" t="str">
        <f>"PINZA BAYONETA"</f>
        <v>PINZA BAYONETA</v>
      </c>
      <c r="C6052" s="6">
        <v>139200</v>
      </c>
      <c r="D6052" s="5"/>
      <c r="E6052" s="5" t="str">
        <f t="shared" si="306"/>
        <v>INSTRUMENTACION-DIANA CAICEDO-DIANA DIAZ</v>
      </c>
      <c r="F6052" s="5" t="str">
        <f>"Descripcion: PINZAS EN BAYONETA NEGRAS AESCULAP PARA YASARGIL  Estado: Bueno Placa anterior: 000032010 Material: ACERO INOXIDABLE Color: PLATEADO Referencia:  Observacion: PINZA GILL PARA IRIS Placa padre: I0002241Tipo adquisicion: Entidad"</f>
        <v>Descripcion: PINZAS EN BAYONETA NEGRAS AESCULAP PARA YASARGIL  Estado: Bueno Placa anterior: 000032010 Material: ACERO INOXIDABLE Color: PLATEADO Referencia:  Observacion: PINZA GILL PARA IRIS Placa padre: I0002241Tipo adquisicion: Entidad</v>
      </c>
      <c r="G6052" s="5"/>
    </row>
    <row r="6053" spans="1:7" ht="58.5" customHeight="1" x14ac:dyDescent="0.25">
      <c r="A6053" s="5" t="str">
        <f>"I0002255"</f>
        <v>I0002255</v>
      </c>
      <c r="B6053" s="5" t="str">
        <f>"PINZA BAYONETA"</f>
        <v>PINZA BAYONETA</v>
      </c>
      <c r="C6053" s="6">
        <v>139200</v>
      </c>
      <c r="D6053" s="5"/>
      <c r="E6053" s="5" t="str">
        <f t="shared" si="306"/>
        <v>INSTRUMENTACION-DIANA CAICEDO-DIANA DIAZ</v>
      </c>
      <c r="F6053" s="5" t="str">
        <f>"Descripcion: PINZAS EN BAYONETA NEGRAS AESCULAP PARA YASARGIL  Estado: Bueno Placa anterior: 000032012 Material: ACERO INOXIDABLE Color: PLATEADO Referencia:  Observacion: PINZA GILL PARA IRIS Placa padre: I0002241Tipo adquisicion: Entidad"</f>
        <v>Descripcion: PINZAS EN BAYONETA NEGRAS AESCULAP PARA YASARGIL  Estado: Bueno Placa anterior: 000032012 Material: ACERO INOXIDABLE Color: PLATEADO Referencia:  Observacion: PINZA GILL PARA IRIS Placa padre: I0002241Tipo adquisicion: Entidad</v>
      </c>
      <c r="G6053" s="5"/>
    </row>
    <row r="6054" spans="1:7" ht="58.5" customHeight="1" x14ac:dyDescent="0.25">
      <c r="A6054" s="5" t="str">
        <f>"I0002262"</f>
        <v>I0002262</v>
      </c>
      <c r="B6054" s="5" t="str">
        <f>"SEPARADOR DE MASTOIDES"</f>
        <v>SEPARADOR DE MASTOIDES</v>
      </c>
      <c r="C6054" s="6">
        <v>582552</v>
      </c>
      <c r="D6054" s="5"/>
      <c r="E6054" s="5" t="str">
        <f t="shared" si="306"/>
        <v>INSTRUMENTACION-DIANA CAICEDO-DIANA DIAZ</v>
      </c>
      <c r="F6054" s="5" t="str">
        <f>"Descripcion: SEPARADORES DE MASTOIDES  Estado: Bueno Placa anterior: 000023824 Material: ACERO INOXIDABLE Color: PLATEADO Referencia:  Observacion:     Placa padre: I0002260Tipo adquisicion: Entidad"</f>
        <v>Descripcion: SEPARADORES DE MASTOIDES  Estado: Bueno Placa anterior: 000023824 Material: ACERO INOXIDABLE Color: PLATEADO Referencia:  Observacion:     Placa padre: I0002260Tipo adquisicion: Entidad</v>
      </c>
      <c r="G6054" s="5"/>
    </row>
    <row r="6055" spans="1:7" ht="58.5" customHeight="1" x14ac:dyDescent="0.25">
      <c r="A6055" s="5" t="str">
        <f>"I0002269"</f>
        <v>I0002269</v>
      </c>
      <c r="B6055" s="5" t="str">
        <f>"PINZA BIPOLAR"</f>
        <v>PINZA BIPOLAR</v>
      </c>
      <c r="C6055" s="6">
        <v>1631051.5</v>
      </c>
      <c r="D6055" s="5"/>
      <c r="E6055" s="5" t="str">
        <f t="shared" si="306"/>
        <v>INSTRUMENTACION-DIANA CAICEDO-DIANA DIAZ</v>
      </c>
      <c r="F6055" s="5" t="str">
        <f>"Descripcion: PINZAS DE BIPOLAR RECTAS (1 AESCULAP EN BAYONETA) Estado: Bueno Placa anterior: 000023464 Material: ACERO INOXIDABLE Color: PLATEADO Referencia:  Observacion:     Placa padre: I0002260Tipo adquisicion: Entidad"</f>
        <v>Descripcion: PINZAS DE BIPOLAR RECTAS (1 AESCULAP EN BAYONETA) Estado: Bueno Placa anterior: 000023464 Material: ACERO INOXIDABLE Color: PLATEADO Referencia:  Observacion:     Placa padre: I0002260Tipo adquisicion: Entidad</v>
      </c>
      <c r="G6055" s="5"/>
    </row>
    <row r="6056" spans="1:7" ht="58.5" customHeight="1" x14ac:dyDescent="0.25">
      <c r="A6056" s="5" t="str">
        <f>"I0002270"</f>
        <v>I0002270</v>
      </c>
      <c r="B6056" s="5" t="str">
        <f>"ESPECULO DE CUSHING"</f>
        <v>ESPECULO DE CUSHING</v>
      </c>
      <c r="C6056" s="6">
        <v>109440</v>
      </c>
      <c r="D6056" s="5"/>
      <c r="E6056" s="5" t="str">
        <f t="shared" si="306"/>
        <v>INSTRUMENTACION-DIANA CAICEDO-DIANA DIAZ</v>
      </c>
      <c r="F6056" s="5" t="str">
        <f>"Descripcion: ESPECULO DE CUSHING  Estado: Bueno Placa anterior: 000012861 Material: ACERO INOXIDABLE Color: PLATEADO Referencia:  Observacion:     Placa padre: I0002260Tipo adquisicion: Entidad"</f>
        <v>Descripcion: ESPECULO DE CUSHING  Estado: Bueno Placa anterior: 000012861 Material: ACERO INOXIDABLE Color: PLATEADO Referencia:  Observacion:     Placa padre: I0002260Tipo adquisicion: Entidad</v>
      </c>
      <c r="G6056" s="5"/>
    </row>
    <row r="6057" spans="1:7" ht="58.5" customHeight="1" x14ac:dyDescent="0.25">
      <c r="A6057" s="5" t="str">
        <f>"I0002271"</f>
        <v>I0002271</v>
      </c>
      <c r="B6057" s="5" t="str">
        <f>"SEPARADOR DE CUSHING"</f>
        <v>SEPARADOR DE CUSHING</v>
      </c>
      <c r="C6057" s="6">
        <v>77520</v>
      </c>
      <c r="D6057" s="5"/>
      <c r="E6057" s="5" t="str">
        <f t="shared" si="306"/>
        <v>INSTRUMENTACION-DIANA CAICEDO-DIANA DIAZ</v>
      </c>
      <c r="F6057" s="5" t="str">
        <f>"Descripcion:SEPARADOR DE CUSHING Estado: Bueno Placa anterior: 000016511 Material: ACERO INOXIDABLE Color: PLATEADO Referencia:  Observacion:     Placa padre: I0002260 Tipo adquisicion : Entidad"</f>
        <v>Descripcion:SEPARADOR DE CUSHING Estado: Bueno Placa anterior: 000016511 Material: ACERO INOXIDABLE Color: PLATEADO Referencia:  Observacion:     Placa padre: I0002260 Tipo adquisicion : Entidad</v>
      </c>
      <c r="G6057" s="5"/>
    </row>
    <row r="6058" spans="1:7" ht="58.5" customHeight="1" x14ac:dyDescent="0.25">
      <c r="A6058" s="5" t="str">
        <f>"I0002272"</f>
        <v>I0002272</v>
      </c>
      <c r="B6058" s="5" t="str">
        <f>"SEPARADOR DE CEREBELO"</f>
        <v>SEPARADOR DE CEREBELO</v>
      </c>
      <c r="C6058" s="6">
        <v>67500</v>
      </c>
      <c r="D6058" s="5"/>
      <c r="E6058" s="5" t="str">
        <f t="shared" si="306"/>
        <v>INSTRUMENTACION-DIANA CAICEDO-DIANA DIAZ</v>
      </c>
      <c r="F6058" s="5" t="str">
        <f>"Descripcion: SEPARADOR DE CEREBELO  Estado: Bueno Placa anterior: 000016340 Material: ACERO INOXIDABLE Color: PLATEADO Referencia:  Observacion:     Placa padre: I0002260Tipo adquisicion: Entidad"</f>
        <v>Descripcion: SEPARADOR DE CEREBELO  Estado: Bueno Placa anterior: 000016340 Material: ACERO INOXIDABLE Color: PLATEADO Referencia:  Observacion:     Placa padre: I0002260Tipo adquisicion: Entidad</v>
      </c>
      <c r="G6058" s="5"/>
    </row>
    <row r="6059" spans="1:7" ht="58.5" customHeight="1" x14ac:dyDescent="0.25">
      <c r="A6059" s="5" t="str">
        <f>"I0002273"</f>
        <v>I0002273</v>
      </c>
      <c r="B6059" s="5" t="str">
        <f>"SEPARADOR DE CEREBELO"</f>
        <v>SEPARADOR DE CEREBELO</v>
      </c>
      <c r="C6059" s="6">
        <v>67500</v>
      </c>
      <c r="D6059" s="5"/>
      <c r="E6059" s="5" t="str">
        <f t="shared" si="306"/>
        <v>INSTRUMENTACION-DIANA CAICEDO-DIANA DIAZ</v>
      </c>
      <c r="F6059" s="5" t="str">
        <f>"Descripcion: SEPARADOR DE CEREBELO Estado: Bueno Placa anterior: 000016341 Material: ACERO INOXIDABLE Color: PLATEADO Referencia:  Observacion:     Placa padre: I0002260Tipo adquisicion: Entidad"</f>
        <v>Descripcion: SEPARADOR DE CEREBELO Estado: Bueno Placa anterior: 000016341 Material: ACERO INOXIDABLE Color: PLATEADO Referencia:  Observacion:     Placa padre: I0002260Tipo adquisicion: Entidad</v>
      </c>
      <c r="G6059" s="5"/>
    </row>
    <row r="6060" spans="1:7" ht="58.5" customHeight="1" x14ac:dyDescent="0.25">
      <c r="A6060" s="5" t="str">
        <f>"I0002279"</f>
        <v>I0002279</v>
      </c>
      <c r="B6060" s="5" t="str">
        <f>"DISECTOR PASA HILOS"</f>
        <v>DISECTOR PASA HILOS</v>
      </c>
      <c r="C6060" s="6">
        <v>294756</v>
      </c>
      <c r="D6060" s="5"/>
      <c r="E6060" s="5" t="str">
        <f t="shared" si="306"/>
        <v>INSTRUMENTACION-DIANA CAICEDO-DIANA DIAZ</v>
      </c>
      <c r="F6060" s="5" t="str">
        <f>"Descripcion: DISECTOR DE ROTHON Estado: Bueno Placa anterior: 000023170 Material: ACERO INOXIDABLE Color: PLATEADO Referencia:  Observacion: RETRACTOR- ELEVADOR ( SEPARADORES DE HOHNN PARA HUESO 10 MM. 27-215 (INSTRUMENTAL PARA ORTOPEDIA)  Placa padre: I0"&amp; "002278Tipo adquisicion: Entidad"</f>
        <v>Descripcion: DISECTOR DE ROTHON Estado: Bueno Placa anterior: 000023170 Material: ACERO INOXIDABLE Color: PLATEADO Referencia:  Observacion: RETRACTOR- ELEVADOR ( SEPARADORES DE HOHNN PARA HUESO 10 MM. 27-215 (INSTRUMENTAL PARA ORTOPEDIA)  Placa padre: I0002278Tipo adquisicion: Entidad</v>
      </c>
      <c r="G6060" s="5"/>
    </row>
    <row r="6061" spans="1:7" ht="58.5" customHeight="1" x14ac:dyDescent="0.25">
      <c r="A6061" s="5" t="str">
        <f>"I0002297"</f>
        <v>I0002297</v>
      </c>
      <c r="B6061" s="5" t="str">
        <f>"EQUIPO MICRODISECTOMIA"</f>
        <v>EQUIPO MICRODISECTOMIA</v>
      </c>
      <c r="C6061" s="6">
        <v>21980000</v>
      </c>
      <c r="D6061" s="5" t="s">
        <v>437</v>
      </c>
      <c r="E6061" s="5" t="str">
        <f t="shared" si="306"/>
        <v>INSTRUMENTACION-DIANA CAICEDO-DIANA DIAZ</v>
      </c>
      <c r="F6061" s="5" t="str">
        <f>"Descripcion: EQUIPO MICRODISECTOMIA N.1 QUE CONSTA DE:  1- CURETA N.O FA  REF 46-3124  1- CURETA N.O BD  REF 46-3136  1- CURETA N.O FS  REF 46-3121  1- CURETA N.1 BD  REF 46-3137  1- CURETA N.1 BS  REF 46-3131  1- CURETA N.1 FA  REF 46-3125  1- CURETA N.1"&amp; " FD  REF 46-3128  1- CURETA N.2 BS  REF 46-3132  1- CURETA N.2 BD  REF 46-3138  1- CURETA N.2 FA  REF 46-3126  1- CURETA N.2 FD  REF 46-3129  1- GANCHO DE NERVIO REF 46-3141  1 CONTAINER REF 46-3145 CE 0911           Estado: Bueno Placa anterior: 00002933"&amp; "6 Material: ACERO INOXIDABLE Color: PLATEADO Referencia:  Observacion:     Placa padre: Tipo adquisicion: Entidad"</f>
        <v>Descripcion: EQUIPO MICRODISECTOMIA N.1 QUE CONSTA DE:  1- CURETA N.O FA  REF 46-3124  1- CURETA N.O BD  REF 46-3136  1- CURETA N.O FS  REF 46-3121  1- CURETA N.1 BD  REF 46-3137  1- CURETA N.1 BS  REF 46-3131  1- CURETA N.1 FA  REF 46-3125  1- CURETA N.1 FD  REF 46-3128  1- CURETA N.2 BS  REF 46-3132  1- CURETA N.2 BD  REF 46-3138  1- CURETA N.2 FA  REF 46-3126  1- CURETA N.2 FD  REF 46-3129  1- GANCHO DE NERVIO REF 46-3141  1 CONTAINER REF 46-3145 CE 0911           Estado: Bueno Placa anterior: 000029336 Material: ACERO INOXIDABLE Color: PLATEADO Referencia:  Observacion:     Placa padre: Tipo adquisicion: Entidad</v>
      </c>
      <c r="G6061" s="5"/>
    </row>
    <row r="6062" spans="1:7" ht="58.5" customHeight="1" x14ac:dyDescent="0.25">
      <c r="A6062" s="5" t="str">
        <f>"I0002311"</f>
        <v>I0002311</v>
      </c>
      <c r="B6062" s="5" t="str">
        <f>"EQUIPO MICRODISECTOMIA"</f>
        <v>EQUIPO MICRODISECTOMIA</v>
      </c>
      <c r="C6062" s="6">
        <v>21980000</v>
      </c>
      <c r="D6062" s="5" t="s">
        <v>437</v>
      </c>
      <c r="E6062" s="5" t="str">
        <f t="shared" si="306"/>
        <v>INSTRUMENTACION-DIANA CAICEDO-DIANA DIAZ</v>
      </c>
      <c r="F6062" s="5" t="str">
        <f>"Descripcion: EQUIPO DE MICRODISECTOMIA # 2 QUE CONSTA DE:  1- CURETA N.O BA  REF 46-3133  1- CURETA N.O BS  REF 46-3130  1- CURETA N.O FD  REF 46-3127  1- CURETA N.1 BA  REF 46-3134  1- CURETA N.1 FS  REF 46-3122  1- DISECTOR PLANO N.1 REF 46-3139  1- CUR"&amp; "ETA N.2 BA  REF 46-3135  1- CURETA N.2 FS   REF 46-3123  1- DISECTOR PLANO N.2 REF 46-3140  1- DISECTOR PLANO N.4 REF 463142  1- DISECTOR ANGULADO ANTERIOR REF 463144  1- DISECTOR CORTANTE REF 46-3143  1 CONTAINER REF 46-3145 CE 102                       "&amp; "            Estado: Bueno Placa anterior:  Material: ACERO INOXIDABLE Color: PLATEADO Referencia:  Observacion:     Placa padre: Tipo adquisicion: Entidad"</f>
        <v>Descripcion: EQUIPO DE MICRODISECTOMIA # 2 QUE CONSTA DE:  1- CURETA N.O BA  REF 46-3133  1- CURETA N.O BS  REF 46-3130  1- CURETA N.O FD  REF 46-3127  1- CURETA N.1 BA  REF 46-3134  1- CURETA N.1 FS  REF 46-3122  1- DISECTOR PLANO N.1 REF 46-3139  1- CURETA N.2 BA  REF 46-3135  1- CURETA N.2 FS   REF 46-3123  1- DISECTOR PLANO N.2 REF 46-3140  1- DISECTOR PLANO N.4 REF 463142  1- DISECTOR ANGULADO ANTERIOR REF 463144  1- DISECTOR CORTANTE REF 46-3143  1 CONTAINER REF 46-3145 CE 102                                   Estado: Bueno Placa anterior:  Material: ACERO INOXIDABLE Color: PLATEADO Referencia:  Observacion:     Placa padre: Tipo adquisicion: Entidad</v>
      </c>
      <c r="G6062" s="5"/>
    </row>
    <row r="6063" spans="1:7" ht="58.5" customHeight="1" x14ac:dyDescent="0.25">
      <c r="A6063" s="5" t="str">
        <f>"I0002330"</f>
        <v>I0002330</v>
      </c>
      <c r="B6063" s="5" t="str">
        <f>"SEPARADOR DE GELPY"</f>
        <v>SEPARADOR DE GELPY</v>
      </c>
      <c r="C6063" s="6">
        <v>1850</v>
      </c>
      <c r="D6063" s="5"/>
      <c r="E6063" s="5" t="str">
        <f t="shared" si="306"/>
        <v>INSTRUMENTACION-DIANA CAICEDO-DIANA DIAZ</v>
      </c>
      <c r="F6063" s="5" t="str">
        <f>"Descripcion: SEPARADORES DE GELPY Estado: Bueno Placa anterior: 000016454 Material: ACERO INOXIDABLE Color: PLATEADO Referencia:  Observacion: MENISOSTOMO Placa padre: I0002325Tipo adquisicion: Entidad"</f>
        <v>Descripcion: SEPARADORES DE GELPY Estado: Bueno Placa anterior: 000016454 Material: ACERO INOXIDABLE Color: PLATEADO Referencia:  Observacion: MENISOSTOMO Placa padre: I0002325Tipo adquisicion: Entidad</v>
      </c>
      <c r="G6063" s="5"/>
    </row>
    <row r="6064" spans="1:7" ht="58.5" customHeight="1" x14ac:dyDescent="0.25">
      <c r="A6064" s="5" t="str">
        <f>"I0002331"</f>
        <v>I0002331</v>
      </c>
      <c r="B6064" s="5" t="str">
        <f>"SEPARADOR DE GELPY"</f>
        <v>SEPARADOR DE GELPY</v>
      </c>
      <c r="C6064" s="6">
        <v>1850</v>
      </c>
      <c r="D6064" s="5"/>
      <c r="E6064" s="5" t="str">
        <f t="shared" si="306"/>
        <v>INSTRUMENTACION-DIANA CAICEDO-DIANA DIAZ</v>
      </c>
      <c r="F6064" s="5" t="str">
        <f>"Descripcion: SEPARADORES DE GELPY Estado: Bueno Placa anterior: 000016451 Material: ACERO INOXIDABLE Color: PLATEADO Referencia:  Observacion: MENISOSTOMO Placa padre: I0002325Tipo adquisicion: Entidad"</f>
        <v>Descripcion: SEPARADORES DE GELPY Estado: Bueno Placa anterior: 000016451 Material: ACERO INOXIDABLE Color: PLATEADO Referencia:  Observacion: MENISOSTOMO Placa padre: I0002325Tipo adquisicion: Entidad</v>
      </c>
      <c r="G6064" s="5"/>
    </row>
    <row r="6065" spans="1:7" ht="58.5" customHeight="1" x14ac:dyDescent="0.25">
      <c r="A6065" s="5" t="str">
        <f>"I0002332"</f>
        <v>I0002332</v>
      </c>
      <c r="B6065" s="5" t="str">
        <f>"SEPARADOR DE KOCHER"</f>
        <v>SEPARADOR DE KOCHER</v>
      </c>
      <c r="C6065" s="6">
        <v>172840</v>
      </c>
      <c r="D6065" s="5"/>
      <c r="E6065" s="5" t="str">
        <f t="shared" si="306"/>
        <v>INSTRUMENTACION-DIANA CAICEDO-DIANA DIAZ</v>
      </c>
      <c r="F6065" s="5" t="str">
        <f>"Descripcion: SEPARADORES DE KOCHESTER MARTIN Estado: Bueno Placa anterior: 000023268 Material: ACERO INOXIDABLE Color: PLATEADO Referencia:  Observacion:     Placa padre: I0002325Tipo adquisicion: Entidad"</f>
        <v>Descripcion: SEPARADORES DE KOCHESTER MARTIN Estado: Bueno Placa anterior: 000023268 Material: ACERO INOXIDABLE Color: PLATEADO Referencia:  Observacion:     Placa padre: I0002325Tipo adquisicion: Entidad</v>
      </c>
      <c r="G6065" s="5"/>
    </row>
    <row r="6066" spans="1:7" ht="58.5" customHeight="1" x14ac:dyDescent="0.25">
      <c r="A6066" s="5" t="str">
        <f>"I0002343"</f>
        <v>I0002343</v>
      </c>
      <c r="B6066" s="5" t="str">
        <f>"CLAMP DEBAKEY"</f>
        <v>CLAMP DEBAKEY</v>
      </c>
      <c r="C6066" s="6">
        <v>423</v>
      </c>
      <c r="D6066" s="5"/>
      <c r="E6066" s="5" t="str">
        <f t="shared" si="306"/>
        <v>INSTRUMENTACION-DIANA CAICEDO-DIANA DIAZ</v>
      </c>
      <c r="F6066" s="5" t="str">
        <f>"Descripcion: CLAMPS DEBEKIS RECTOS LARGOS Estado: Bueno Placa anterior: 000016242 Material: ACERO INOXIDABLE Color: PLATEADO Referencia:  Observacion:     Placa padre: I0002325Tipo adquisicion: Entidad"</f>
        <v>Descripcion: CLAMPS DEBEKIS RECTOS LARGOS Estado: Bueno Placa anterior: 000016242 Material: ACERO INOXIDABLE Color: PLATEADO Referencia:  Observacion:     Placa padre: I0002325Tipo adquisicion: Entidad</v>
      </c>
      <c r="G6066" s="5"/>
    </row>
    <row r="6067" spans="1:7" ht="58.5" customHeight="1" x14ac:dyDescent="0.25">
      <c r="A6067" s="5" t="str">
        <f>"I0002344"</f>
        <v>I0002344</v>
      </c>
      <c r="B6067" s="5" t="str">
        <f>"CLAMP DEBAKEY"</f>
        <v>CLAMP DEBAKEY</v>
      </c>
      <c r="C6067" s="6">
        <v>423</v>
      </c>
      <c r="D6067" s="5"/>
      <c r="E6067" s="5" t="str">
        <f t="shared" si="306"/>
        <v>INSTRUMENTACION-DIANA CAICEDO-DIANA DIAZ</v>
      </c>
      <c r="F6067" s="5" t="str">
        <f>"Descripcion: CLAMPS DEBEKIS RECTOS LARGOS Estado: Bueno Placa anterior: 000016243 Material: ACERO INOXIDABLE Color: PLATEADO Referencia:  Observacion:     Placa padre: I0002325Tipo adquisicion: Entidad"</f>
        <v>Descripcion: CLAMPS DEBEKIS RECTOS LARGOS Estado: Bueno Placa anterior: 000016243 Material: ACERO INOXIDABLE Color: PLATEADO Referencia:  Observacion:     Placa padre: I0002325Tipo adquisicion: Entidad</v>
      </c>
      <c r="G6067" s="5"/>
    </row>
    <row r="6068" spans="1:7" ht="58.5" customHeight="1" x14ac:dyDescent="0.25">
      <c r="A6068" s="5" t="str">
        <f>"I0002345"</f>
        <v>I0002345</v>
      </c>
      <c r="B6068" s="5" t="str">
        <f>"CLAMP DEBAKEY"</f>
        <v>CLAMP DEBAKEY</v>
      </c>
      <c r="C6068" s="6">
        <v>423</v>
      </c>
      <c r="D6068" s="5"/>
      <c r="E6068" s="5" t="str">
        <f t="shared" si="306"/>
        <v>INSTRUMENTACION-DIANA CAICEDO-DIANA DIAZ</v>
      </c>
      <c r="F6068" s="5" t="str">
        <f>"Descripcion: CLAMP DEBEKIS RECTOS MEDIANOS Estado: Bueno Placa anterior: 000016246 Material: ACERO INOXIDABLE Color: PLATEADO Referencia:  Observacion:     Placa padre: I0002325Tipo adquisicion: Entidad"</f>
        <v>Descripcion: CLAMP DEBEKIS RECTOS MEDIANOS Estado: Bueno Placa anterior: 000016246 Material: ACERO INOXIDABLE Color: PLATEADO Referencia:  Observacion:     Placa padre: I0002325Tipo adquisicion: Entidad</v>
      </c>
      <c r="G6068" s="5"/>
    </row>
    <row r="6069" spans="1:7" ht="58.5" customHeight="1" x14ac:dyDescent="0.25">
      <c r="A6069" s="5" t="str">
        <f>"I0002346"</f>
        <v>I0002346</v>
      </c>
      <c r="B6069" s="5" t="str">
        <f>"CLAMP DEBAKEY"</f>
        <v>CLAMP DEBAKEY</v>
      </c>
      <c r="C6069" s="6">
        <v>300</v>
      </c>
      <c r="D6069" s="5"/>
      <c r="E6069" s="5" t="str">
        <f t="shared" si="306"/>
        <v>INSTRUMENTACION-DIANA CAICEDO-DIANA DIAZ</v>
      </c>
      <c r="F6069" s="5" t="str">
        <f>"Descripcion: CLAMP DEBEKIS RECTOS MEDIANOS Estado: Bueno Placa anterior: 000016244 Material: ACERO INOXIDABLE Color: PLATEADO Referencia:  Observacion:     Placa padre: I0002325Tipo adquisicion: Entidad"</f>
        <v>Descripcion: CLAMP DEBEKIS RECTOS MEDIANOS Estado: Bueno Placa anterior: 000016244 Material: ACERO INOXIDABLE Color: PLATEADO Referencia:  Observacion:     Placa padre: I0002325Tipo adquisicion: Entidad</v>
      </c>
      <c r="G6069" s="5"/>
    </row>
    <row r="6070" spans="1:7" ht="58.5" customHeight="1" x14ac:dyDescent="0.25">
      <c r="A6070" s="5" t="str">
        <f>"I0002361"</f>
        <v>I0002361</v>
      </c>
      <c r="B6070" s="5" t="str">
        <f>"PORTAGUJAS (PINZA)"</f>
        <v>PORTAGUJAS (PINZA)</v>
      </c>
      <c r="C6070" s="6">
        <v>1752760</v>
      </c>
      <c r="D6070" s="5" t="s">
        <v>438</v>
      </c>
      <c r="E6070" s="5" t="str">
        <f t="shared" si="306"/>
        <v>INSTRUMENTACION-DIANA CAICEDO-DIANA DIAZ</v>
      </c>
      <c r="F6070" s="5" t="str">
        <f>"Descripcion: PORTA AGUJAS DORADO CON PUNTA DE DIAMANTE8 MILTEX Estado: Bueno Placa anterior: 000029645 Material: ACERO INOXIDABLE Color: PLATEADO Referencia:  Observacion: PORTAGUJAS C/ MANGO AXIAL RECTO MANDIBULA, EN TUNGSTENO DE 3mmX32 CM REF: TK708-511"&amp; "LL  Placa padre: I0002325Tipo adquisicion: Entidad"</f>
        <v>Descripcion: PORTA AGUJAS DORADO CON PUNTA DE DIAMANTE8 MILTEX Estado: Bueno Placa anterior: 000029645 Material: ACERO INOXIDABLE Color: PLATEADO Referencia:  Observacion: PORTAGUJAS C/ MANGO AXIAL RECTO MANDIBULA, EN TUNGSTENO DE 3mmX32 CM REF: TK708-511LL  Placa padre: I0002325Tipo adquisicion: Entidad</v>
      </c>
      <c r="G6070" s="5"/>
    </row>
    <row r="6071" spans="1:7" ht="58.5" customHeight="1" x14ac:dyDescent="0.25">
      <c r="A6071" s="5" t="str">
        <f>"I0002363"</f>
        <v>I0002363</v>
      </c>
      <c r="B6071" s="5" t="str">
        <f>"EQUIPO DE VASCULAR"</f>
        <v>EQUIPO DE VASCULAR</v>
      </c>
      <c r="C6071" s="6">
        <v>3123154</v>
      </c>
      <c r="D6071" s="5"/>
      <c r="E6071" s="5" t="str">
        <f t="shared" si="306"/>
        <v>INSTRUMENTACION-DIANA CAICEDO-DIANA DIAZ</v>
      </c>
      <c r="F6071" s="5" t="str">
        <f>"Descripcion: EQUIPO DE VASCULAR PEQUEÑO QUE CONSTA DE:  (1) TIJERA VASCULAR POOTS  (1) TIJERA DE METZEMBAUN FINA PEQUENA  (1) TIJERA DE MAYO RECTA  (2) SEPARADORES DE VENA PEQUEÑOS (DIMEDA)  (2) PINZAS DE DISECCION VASCULAR  (2) PINZAS DE DISECCION VASCUL"&amp; "AR FINAS  (6) CLAMPS DE BULDOG  (2) SEPARADORES DE GELPY  (4) PINZAS MOSQUITO RECTAS  (2) CLAMPS DE SATINSKY PEQUEÑOS  (2) CLAMPS DEBAKEY ANGULADOS  (2) CLAMPS DEBAKEY RECTOS  (1) CLAMP DE DUCTUS RECTO  (1) PINZA KELLI ADSON PUNTA FINA  (1) PINZA CISTICO "&amp; "FINA  (1) PORTA AGUJAS DORADO VASCULAR  (1) PORTA AGUJAS DORADO  (0) LLAVE DE TRES VIAS  (1) CANULA DE SUCCION FRAZIER #10  (1) CANULA DE SUCCION DE FRAZIER #6 Estado: Bueno Placa anterior: 000012886 Material: ACERO INOXIDABLE Color: PLATEADO Referencia: "&amp; " Observacion:     Placa padre: Tipo adquisicion: Entidad"</f>
        <v>Descripcion: EQUIPO DE VASCULAR PEQUEÑO QUE CONSTA DE:  (1) TIJERA VASCULAR POOTS  (1) TIJERA DE METZEMBAUN FINA PEQUENA  (1) TIJERA DE MAYO RECTA  (2) SEPARADORES DE VENA PEQUEÑOS (DIMEDA)  (2) PINZAS DE DISECCION VASCULAR  (2) PINZAS DE DISECCION VASCULAR FINAS  (6) CLAMPS DE BULDOG  (2) SEPARADORES DE GELPY  (4) PINZAS MOSQUITO RECTAS  (2) CLAMPS DE SATINSKY PEQUEÑOS  (2) CLAMPS DEBAKEY ANGULADOS  (2) CLAMPS DEBAKEY RECTOS  (1) CLAMP DE DUCTUS RECTO  (1) PINZA KELLI ADSON PUNTA FINA  (1) PINZA CISTICO FINA  (1) PORTA AGUJAS DORADO VASCULAR  (1) PORTA AGUJAS DORADO  (0) LLAVE DE TRES VIAS  (1) CANULA DE SUCCION FRAZIER #10  (1) CANULA DE SUCCION DE FRAZIER #6 Estado: Bueno Placa anterior: 000012886 Material: ACERO INOXIDABLE Color: PLATEADO Referencia:  Observacion:     Placa padre: Tipo adquisicion: Entidad</v>
      </c>
      <c r="G6071" s="5"/>
    </row>
    <row r="6072" spans="1:7" ht="58.5" customHeight="1" x14ac:dyDescent="0.25">
      <c r="A6072" s="5" t="str">
        <f>"I0002372"</f>
        <v>I0002372</v>
      </c>
      <c r="B6072" s="5" t="str">
        <f>"CLAMP BULDOG"</f>
        <v>CLAMP BULDOG</v>
      </c>
      <c r="C6072" s="6">
        <v>1416</v>
      </c>
      <c r="D6072" s="5"/>
      <c r="E6072" s="5" t="str">
        <f t="shared" si="306"/>
        <v>INSTRUMENTACION-DIANA CAICEDO-DIANA DIAZ</v>
      </c>
      <c r="F6072" s="5" t="str">
        <f>"Descripcion: CLAMPS DE BULDOG Estado: Bueno Placa anterior: 000016239 Material: ACERO INOXIDABLE Color: PLATEADO Referencia:  Observacion:     Placa padre: I0002363Tipo adquisicion: Entidad"</f>
        <v>Descripcion: CLAMPS DE BULDOG Estado: Bueno Placa anterior: 000016239 Material: ACERO INOXIDABLE Color: PLATEADO Referencia:  Observacion:     Placa padre: I0002363Tipo adquisicion: Entidad</v>
      </c>
      <c r="G6072" s="5"/>
    </row>
    <row r="6073" spans="1:7" ht="58.5" customHeight="1" x14ac:dyDescent="0.25">
      <c r="A6073" s="5" t="str">
        <f>"I0002378"</f>
        <v>I0002378</v>
      </c>
      <c r="B6073" s="5" t="str">
        <f>"SEPARADOR DE GELPY"</f>
        <v>SEPARADOR DE GELPY</v>
      </c>
      <c r="C6073" s="6">
        <v>1850</v>
      </c>
      <c r="D6073" s="5"/>
      <c r="E6073" s="5" t="str">
        <f t="shared" si="306"/>
        <v>INSTRUMENTACION-DIANA CAICEDO-DIANA DIAZ</v>
      </c>
      <c r="F6073" s="5" t="str">
        <f>"Descripcion: SEPARADORES DE GELPY Estado: Bueno Placa anterior: 000016453 Material: ACERO INOXIDABLE Color: PLATEADO Referencia:  Observacion:     Placa padre: I0002363Tipo adquisicion: Entidad"</f>
        <v>Descripcion: SEPARADORES DE GELPY Estado: Bueno Placa anterior: 000016453 Material: ACERO INOXIDABLE Color: PLATEADO Referencia:  Observacion:     Placa padre: I0002363Tipo adquisicion: Entidad</v>
      </c>
      <c r="G6073" s="5"/>
    </row>
    <row r="6074" spans="1:7" ht="58.5" customHeight="1" x14ac:dyDescent="0.25">
      <c r="A6074" s="5" t="str">
        <f>"I0002389"</f>
        <v>I0002389</v>
      </c>
      <c r="B6074" s="5" t="str">
        <f>"CLAMP DEBAKEY"</f>
        <v>CLAMP DEBAKEY</v>
      </c>
      <c r="C6074" s="6">
        <v>248936</v>
      </c>
      <c r="D6074" s="5"/>
      <c r="E6074" s="5" t="str">
        <f t="shared" si="306"/>
        <v>INSTRUMENTACION-DIANA CAICEDO-DIANA DIAZ</v>
      </c>
      <c r="F6074" s="5" t="str">
        <f>"Descripcion: CLAMPS DEBAKEY RECTOS Estado: Bueno Placa anterior: 000025356 Material: ACERO INOXIDABLE Color: PLATEADO Referencia:  Observacion: PINZA DE BAKEY ATRAUMATICA VASCULAR 6 Placa padre: I0002363Tipo adquisicion: Entidad"</f>
        <v>Descripcion: CLAMPS DEBAKEY RECTOS Estado: Bueno Placa anterior: 000025356 Material: ACERO INOXIDABLE Color: PLATEADO Referencia:  Observacion: PINZA DE BAKEY ATRAUMATICA VASCULAR 6 Placa padre: I0002363Tipo adquisicion: Entidad</v>
      </c>
      <c r="G6074" s="5"/>
    </row>
    <row r="6075" spans="1:7" ht="58.5" customHeight="1" x14ac:dyDescent="0.25">
      <c r="A6075" s="5" t="str">
        <f>"I0002391"</f>
        <v>I0002391</v>
      </c>
      <c r="B6075" s="5" t="str">
        <f>"PINZA KELLY ADSON 25 CM"</f>
        <v>PINZA KELLY ADSON 25 CM</v>
      </c>
      <c r="C6075" s="6">
        <v>81200</v>
      </c>
      <c r="D6075" s="5"/>
      <c r="E6075" s="5" t="str">
        <f t="shared" si="306"/>
        <v>INSTRUMENTACION-DIANA CAICEDO-DIANA DIAZ</v>
      </c>
      <c r="F6075" s="5" t="str">
        <f>"Descripcion: PINZA KELLI ADSON PUNTA FINA Estado: Bueno Placa anterior: 000036173 Material: ACERO INOXIDABLE Color: PLATEADO Referencia:  Observacion:     Placa padre: I0002363Tipo adquisicion: Entidad"</f>
        <v>Descripcion: PINZA KELLI ADSON PUNTA FINA Estado: Bueno Placa anterior: 000036173 Material: ACERO INOXIDABLE Color: PLATEADO Referencia:  Observacion:     Placa padre: I0002363Tipo adquisicion: Entidad</v>
      </c>
      <c r="G6075" s="5"/>
    </row>
    <row r="6076" spans="1:7" ht="58.5" customHeight="1" x14ac:dyDescent="0.25">
      <c r="A6076" s="5" t="str">
        <f>"I0002396"</f>
        <v>I0002396</v>
      </c>
      <c r="B6076" s="5" t="str">
        <f>"CANULA DE FRAZIER"</f>
        <v>CANULA DE FRAZIER</v>
      </c>
      <c r="C6076" s="6">
        <v>71572</v>
      </c>
      <c r="D6076" s="5"/>
      <c r="E6076" s="5" t="str">
        <f t="shared" si="306"/>
        <v>INSTRUMENTACION-DIANA CAICEDO-DIANA DIAZ</v>
      </c>
      <c r="F6076" s="5" t="str">
        <f>"Descripcion: CANULA DE SUCCION FRAZIER #10 Estado: Bueno Placa anterior: 000025338 Material: ACERO INOXIDABLE Color: PLATEADO Referencia:  Observacion:     Placa padre: I0002363Tipo adquisicion: Entidad"</f>
        <v>Descripcion: CANULA DE SUCCION FRAZIER #10 Estado: Bueno Placa anterior: 000025338 Material: ACERO INOXIDABLE Color: PLATEADO Referencia:  Observacion:     Placa padre: I0002363Tipo adquisicion: Entidad</v>
      </c>
      <c r="G6076" s="5"/>
    </row>
    <row r="6077" spans="1:7" ht="58.5" customHeight="1" x14ac:dyDescent="0.25">
      <c r="A6077" s="5" t="str">
        <f>"I0002397"</f>
        <v>I0002397</v>
      </c>
      <c r="B6077" s="5" t="str">
        <f>"CANULA DE FRAZIER"</f>
        <v>CANULA DE FRAZIER</v>
      </c>
      <c r="C6077" s="6">
        <v>71572</v>
      </c>
      <c r="D6077" s="5"/>
      <c r="E6077" s="5" t="str">
        <f t="shared" si="306"/>
        <v>INSTRUMENTACION-DIANA CAICEDO-DIANA DIAZ</v>
      </c>
      <c r="F6077" s="5" t="str">
        <f>"Descripcion: CANULA DE SUCCION DE FRAZIER #6 Estado: Bueno Placa anterior: 000025336 Material: ACERO INOXIDABLE Color: PLATEADO Referencia:  Observacion:     Placa padre: I0002363Tipo adquisicion: Entidad"</f>
        <v>Descripcion: CANULA DE SUCCION DE FRAZIER #6 Estado: Bueno Placa anterior: 000025336 Material: ACERO INOXIDABLE Color: PLATEADO Referencia:  Observacion:     Placa padre: I0002363Tipo adquisicion: Entidad</v>
      </c>
      <c r="G6077" s="5"/>
    </row>
    <row r="6078" spans="1:7" ht="58.5" customHeight="1" x14ac:dyDescent="0.25">
      <c r="A6078" s="5" t="str">
        <f>"I0002398"</f>
        <v>I0002398</v>
      </c>
      <c r="B6078" s="5" t="str">
        <f>"EQUIPO DE VARICES"</f>
        <v>EQUIPO DE VARICES</v>
      </c>
      <c r="C6078" s="6">
        <v>3158155</v>
      </c>
      <c r="D6078" s="5"/>
      <c r="E6078" s="5" t="str">
        <f t="shared" si="306"/>
        <v>INSTRUMENTACION-DIANA CAICEDO-DIANA DIAZ</v>
      </c>
      <c r="F6078" s="5" t="str">
        <f>"Descripcion: EQUIPO DE VARICES # 1 QUE CONSTA DE:  (1) MANGO DE BISTURI #4  (1) MANGO DE BISTURI #3  (1) TIJERA METZEMBAUN CURVA  (1) TIJERA DE MAYO RECTO  (2) SEPARADORES DE FARABEUF  (2) SEPARADORES DE SENN MILLER  (2) SEPARADORES BABY FARABEUF  (1) DIS"&amp; "ECCION ADSON CON GARRA  (1) DISECCION ADSON SIN GARRA  (1) DISECCION MEDIANA SIN GARRA (DIMEDA)  (1) PINZA DE DISECCION CON GARRA PEQUEÑA  (1) PINZA DE DISECCION SIN GARRA PEQUEÑA  (4) PINZAS BABY MOSQUITO CURVAS (DIMEDA)  (8) PINZAS MOSQUITO CURVAS  (3) "&amp; "PINZAS KELLY CURVAS  (2) PINZAS KELLY ADSON (DIMEDA)  (2) PINZAS CISTICO  (2) PINZAS ROCHESTER CURVAS  (6) PINZAS DE ALLIX CORTAS  (1) PINZA FOSTER  (6) PINZAS DE CAMPO  (1) PORTA AGUJAS  (1) PORTA AGUJAS DE MAYO MEDIANO  (1) CANULAS DE SUCCION DE FRAZIER"&amp; " #8  (1) CANULA DE YANKAWER  (1) COCA NIQUELADA  (1) CUBETA DE INTRUMENTAL NIQUELADA Estado: Bueno Placa anterior: 000012887 Material: ACERO INOXIDABLE Color: PLATEADO Referencia:  Observacion:     Placa padre: Tipo adquisicion: Entidad"</f>
        <v>Descripcion: EQUIPO DE VARICES # 1 QUE CONSTA DE:  (1) MANGO DE BISTURI #4  (1) MANGO DE BISTURI #3  (1) TIJERA METZEMBAUN CURVA  (1) TIJERA DE MAYO RECTO  (2) SEPARADORES DE FARABEUF  (2) SEPARADORES DE SENN MILLER  (2) SEPARADORES BABY FARABEUF  (1) DISECCION ADSON CON GARRA  (1) DISECCION ADSON SIN GARRA  (1) DISECCION MEDIANA SIN GARRA (DIMEDA)  (1) PINZA DE DISECCION CON GARRA PEQUEÑA  (1) PINZA DE DISECCION SIN GARRA PEQUEÑA  (4) PINZAS BABY MOSQUITO CURVAS (DIMEDA)  (8) PINZAS MOSQUITO CURVAS  (3) PINZAS KELLY CURVAS  (2) PINZAS KELLY ADSON (DIMEDA)  (2) PINZAS CISTICO  (2) PINZAS ROCHESTER CURVAS  (6) PINZAS DE ALLIX CORTAS  (1) PINZA FOSTER  (6) PINZAS DE CAMPO  (1) PORTA AGUJAS  (1) PORTA AGUJAS DE MAYO MEDIANO  (1) CANULAS DE SUCCION DE FRAZIER #8  (1) CANULA DE YANKAWER  (1) COCA NIQUELADA  (1) CUBETA DE INTRUMENTAL NIQUELADA Estado: Bueno Placa anterior: 000012887 Material: ACERO INOXIDABLE Color: PLATEADO Referencia:  Observacion:     Placa padre: Tipo adquisicion: Entidad</v>
      </c>
      <c r="G6078" s="5"/>
    </row>
    <row r="6079" spans="1:7" ht="58.5" customHeight="1" x14ac:dyDescent="0.25">
      <c r="A6079" s="5" t="str">
        <f>"I0002409"</f>
        <v>I0002409</v>
      </c>
      <c r="B6079" s="5" t="str">
        <f>"PINZA DE DISECCION SIN GARRA CORTA 20 CM"</f>
        <v>PINZA DE DISECCION SIN GARRA CORTA 20 CM</v>
      </c>
      <c r="C6079" s="6">
        <v>5949.23</v>
      </c>
      <c r="D6079" s="5"/>
      <c r="E6079" s="5" t="str">
        <f t="shared" si="306"/>
        <v>INSTRUMENTACION-DIANA CAICEDO-DIANA DIAZ</v>
      </c>
      <c r="F6079" s="5" t="str">
        <f>"Descripcion: DISECCION ADSON CON GARRA Estado: Bueno Placa anterior: 000006459 Material: ACERO INOXIDABLE Color: PLATEADO Referencia:  Observacion: PINZA DISECCION CON GARRA   Placa padre: I0002398Tipo adquisicion: Entidad"</f>
        <v>Descripcion: DISECCION ADSON CON GARRA Estado: Bueno Placa anterior: 000006459 Material: ACERO INOXIDABLE Color: PLATEADO Referencia:  Observacion: PINZA DISECCION CON GARRA   Placa padre: I0002398Tipo adquisicion: Entidad</v>
      </c>
      <c r="G6079" s="5"/>
    </row>
    <row r="6080" spans="1:7" ht="58.5" customHeight="1" x14ac:dyDescent="0.25">
      <c r="A6080" s="5" t="str">
        <f>"I0002411"</f>
        <v>I0002411</v>
      </c>
      <c r="B6080" s="5" t="str">
        <f>"PINZA DE DISECCION SIN GARRA LARGA 25 CM"</f>
        <v>PINZA DE DISECCION SIN GARRA LARGA 25 CM</v>
      </c>
      <c r="C6080" s="6">
        <v>17400</v>
      </c>
      <c r="D6080" s="5"/>
      <c r="E6080" s="5" t="str">
        <f t="shared" si="306"/>
        <v>INSTRUMENTACION-DIANA CAICEDO-DIANA DIAZ</v>
      </c>
      <c r="F6080" s="5" t="str">
        <f>"Descripcion: DISECCION MEDIANA SIN GARRA (DIMEDA) Estado: Bueno Placa anterior: 000032291 Material: ACERO INOXIDABLE Color: PLATEADO Referencia:  Observacion:     Placa padre: I0002398Tipo adquisicion: Entidad"</f>
        <v>Descripcion: DISECCION MEDIANA SIN GARRA (DIMEDA) Estado: Bueno Placa anterior: 000032291 Material: ACERO INOXIDABLE Color: PLATEADO Referencia:  Observacion:     Placa padre: I0002398Tipo adquisicion: Entidad</v>
      </c>
      <c r="G6080" s="5"/>
    </row>
    <row r="6081" spans="1:7" ht="58.5" customHeight="1" x14ac:dyDescent="0.25">
      <c r="A6081" s="5" t="str">
        <f>"I0002412"</f>
        <v>I0002412</v>
      </c>
      <c r="B6081" s="5" t="str">
        <f>"PINZA DE DISECCION CON GARRA MEDIANA 25 CM"</f>
        <v>PINZA DE DISECCION CON GARRA MEDIANA 25 CM</v>
      </c>
      <c r="C6081" s="6">
        <v>18560</v>
      </c>
      <c r="D6081" s="5"/>
      <c r="E6081" s="5" t="str">
        <f t="shared" si="306"/>
        <v>INSTRUMENTACION-DIANA CAICEDO-DIANA DIAZ</v>
      </c>
      <c r="F6081" s="5" t="str">
        <f>"Descripcion: PINZA DE DISECCION CON GARRA PEQUEÑA Estado: Bueno Placa anterior: 000032281 Material: ACERO INOXIDABLE Color: PLATEADO Referencia:  Observacion:     Placa padre: I0002398Tipo adquisicion: Entidad"</f>
        <v>Descripcion: PINZA DE DISECCION CON GARRA PEQUEÑA Estado: Bueno Placa anterior: 000032281 Material: ACERO INOXIDABLE Color: PLATEADO Referencia:  Observacion:     Placa padre: I0002398Tipo adquisicion: Entidad</v>
      </c>
      <c r="G6081" s="5"/>
    </row>
    <row r="6082" spans="1:7" ht="58.5" customHeight="1" x14ac:dyDescent="0.25">
      <c r="A6082" s="5" t="str">
        <f>"I0002434"</f>
        <v>I0002434</v>
      </c>
      <c r="B6082" s="5" t="str">
        <f>"PINZA KELLY ADSON 25 CM"</f>
        <v>PINZA KELLY ADSON 25 CM</v>
      </c>
      <c r="C6082" s="6">
        <v>81200</v>
      </c>
      <c r="D6082" s="5"/>
      <c r="E6082" s="5" t="str">
        <f t="shared" si="306"/>
        <v>INSTRUMENTACION-DIANA CAICEDO-DIANA DIAZ</v>
      </c>
      <c r="F6082" s="5" t="str">
        <f>"Descripcion: PINZAS KELLY ADSON (DIMEDA) Estado: Bueno Placa anterior: 000036174 Material: ACERO INOXIDABLE Color: PLATEADO Referencia:  Observacion:     Placa padre: I0002398Tipo adquisicion: Entidad"</f>
        <v>Descripcion: PINZAS KELLY ADSON (DIMEDA) Estado: Bueno Placa anterior: 000036174 Material: ACERO INOXIDABLE Color: PLATEADO Referencia:  Observacion:     Placa padre: I0002398Tipo adquisicion: Entidad</v>
      </c>
      <c r="G6082" s="5"/>
    </row>
    <row r="6083" spans="1:7" ht="58.5" customHeight="1" x14ac:dyDescent="0.25">
      <c r="A6083" s="5" t="str">
        <f>"I0002435"</f>
        <v>I0002435</v>
      </c>
      <c r="B6083" s="5" t="str">
        <f>"PINZA KELLY ADSON 25 CM"</f>
        <v>PINZA KELLY ADSON 25 CM</v>
      </c>
      <c r="C6083" s="6">
        <v>81200</v>
      </c>
      <c r="D6083" s="5"/>
      <c r="E6083" s="5" t="str">
        <f t="shared" si="306"/>
        <v>INSTRUMENTACION-DIANA CAICEDO-DIANA DIAZ</v>
      </c>
      <c r="F6083" s="5" t="str">
        <f>"Descripcion: PINZAS KELLY ADSON (DIMEDA) Estado: Bueno Placa anterior: 000036175 Material: ACERO INOXIDABLE Color: PLATEADO Referencia:  Observacion:     Placa padre: I0002398Tipo adquisicion: Entidad"</f>
        <v>Descripcion: PINZAS KELLY ADSON (DIMEDA) Estado: Bueno Placa anterior: 000036175 Material: ACERO INOXIDABLE Color: PLATEADO Referencia:  Observacion:     Placa padre: I0002398Tipo adquisicion: Entidad</v>
      </c>
      <c r="G6083" s="5"/>
    </row>
    <row r="6084" spans="1:7" ht="58.5" customHeight="1" x14ac:dyDescent="0.25">
      <c r="A6084" s="5" t="str">
        <f>"I0002455"</f>
        <v>I0002455</v>
      </c>
      <c r="B6084" s="5" t="str">
        <f>"CANULA DE FRAZIER"</f>
        <v>CANULA DE FRAZIER</v>
      </c>
      <c r="C6084" s="6">
        <v>71572</v>
      </c>
      <c r="D6084" s="5"/>
      <c r="E6084" s="5" t="str">
        <f t="shared" si="306"/>
        <v>INSTRUMENTACION-DIANA CAICEDO-DIANA DIAZ</v>
      </c>
      <c r="F6084" s="5" t="str">
        <f>"Descripcion: CANULAS DE SUCCION DE FRAZIER #8 Estado: Bueno Placa anterior: 000025337 Material: ACERO INOXIDABLE Color: PLATEADO Referencia:  Observacion:     Placa padre: I0002398Tipo adquisicion: Entidad"</f>
        <v>Descripcion: CANULAS DE SUCCION DE FRAZIER #8 Estado: Bueno Placa anterior: 000025337 Material: ACERO INOXIDABLE Color: PLATEADO Referencia:  Observacion:     Placa padre: I0002398Tipo adquisicion: Entidad</v>
      </c>
      <c r="G6084" s="5"/>
    </row>
    <row r="6085" spans="1:7" ht="58.5" customHeight="1" x14ac:dyDescent="0.25">
      <c r="A6085" s="5" t="str">
        <f>"I0002456"</f>
        <v>I0002456</v>
      </c>
      <c r="B6085" s="5" t="str">
        <f>"CANULA DE YANKAUER"</f>
        <v>CANULA DE YANKAUER</v>
      </c>
      <c r="C6085" s="6">
        <v>92800</v>
      </c>
      <c r="D6085" s="5"/>
      <c r="E6085" s="5" t="str">
        <f t="shared" si="306"/>
        <v>INSTRUMENTACION-DIANA CAICEDO-DIANA DIAZ</v>
      </c>
      <c r="F6085" s="5" t="str">
        <f>"Descripcion: CANULA DE YANKAWER Estado: Bueno Placa anterior: 000031644 Material: ACERO INOXIDABLE Color: PLATEADO Referencia:  Observacion:     Placa padre: I0002398Tipo adquisicion: Entidad"</f>
        <v>Descripcion: CANULA DE YANKAWER Estado: Bueno Placa anterior: 000031644 Material: ACERO INOXIDABLE Color: PLATEADO Referencia:  Observacion:     Placa padre: I0002398Tipo adquisicion: Entidad</v>
      </c>
      <c r="G6085" s="5"/>
    </row>
    <row r="6086" spans="1:7" ht="58.5" customHeight="1" x14ac:dyDescent="0.25">
      <c r="A6086" s="5" t="str">
        <f>"I0002459"</f>
        <v>I0002459</v>
      </c>
      <c r="B6086" s="5" t="str">
        <f>"EQUIPO DE VARICES"</f>
        <v>EQUIPO DE VARICES</v>
      </c>
      <c r="C6086" s="6">
        <v>3158155</v>
      </c>
      <c r="D6086" s="5"/>
      <c r="E6086" s="5" t="str">
        <f t="shared" si="306"/>
        <v>INSTRUMENTACION-DIANA CAICEDO-DIANA DIAZ</v>
      </c>
      <c r="F6086" s="5" t="str">
        <f>"Descripcion: EQUIPO DE VARICES # 2 QUE CONSTA DE:  (1) MANGO DE BISTURI #4  (1) MANGO DE BISTURI #3  (0) TIJERA METZEMBAUN CURVA  (1) TIJERA DE MAYO RECTO  (2) SEPARADORES DE FARABEUF  (2) SEPARADORES DE SENN MILLER  (2) SEPARADORES BABY FARABEUF  (1) DIS"&amp; "ECCION ADSON CON GARRA  (1) DISECCION ADSON SIN GARRA  (1) DISECCION MEDIANA SIN GARRA (DIMEDA)  (1) PINZA DE DISECCION CON GARRA PEQUEÑA  (1) PINZA DE DISECCION SIN GARRA PEQUEÑA  (4) PINZAS BABY MOSQUITO CURVAS (DIMEDA)  (6) PINZAS MOSQUITO CURVAS  (2) "&amp; "PINZAS KELLY CURVAS  (2) PINZAS KELLY ADSON (DIMEDA)  (2) PINZAS CISTICO  (1) PINZAS ROCHESTER CURVAS  (5) PINZAS DE ALLIX CORTAS  (0) PINZA FOSTER  (6) PINZAS DE CAMPO  (0) PORTA AGUJAS  (1) PORTA AGUJAS DE MAYO MEDIANO  (1) CANULAS DE SUCCION DE FRAZIER"&amp; " #8  (1) CANULA DE YANKAWER  (1) COCA NIQUELADA  (1) CUBETA DE INTRUMENTAL NIQUELADA Estado: Bueno Placa anterior: 000012888 Material: ACERO INOXIDABLE Color: PLATEADO Referencia:  Observacion:     Placa padre: Tipo adquisicion: Entidad"</f>
        <v>Descripcion: EQUIPO DE VARICES # 2 QUE CONSTA DE:  (1) MANGO DE BISTURI #4  (1) MANGO DE BISTURI #3  (0) TIJERA METZEMBAUN CURVA  (1) TIJERA DE MAYO RECTO  (2) SEPARADORES DE FARABEUF  (2) SEPARADORES DE SENN MILLER  (2) SEPARADORES BABY FARABEUF  (1) DISECCION ADSON CON GARRA  (1) DISECCION ADSON SIN GARRA  (1) DISECCION MEDIANA SIN GARRA (DIMEDA)  (1) PINZA DE DISECCION CON GARRA PEQUEÑA  (1) PINZA DE DISECCION SIN GARRA PEQUEÑA  (4) PINZAS BABY MOSQUITO CURVAS (DIMEDA)  (6) PINZAS MOSQUITO CURVAS  (2) PINZAS KELLY CURVAS  (2) PINZAS KELLY ADSON (DIMEDA)  (2) PINZAS CISTICO  (1) PINZAS ROCHESTER CURVAS  (5) PINZAS DE ALLIX CORTAS  (0) PINZA FOSTER  (6) PINZAS DE CAMPO  (0) PORTA AGUJAS  (1) PORTA AGUJAS DE MAYO MEDIANO  (1) CANULAS DE SUCCION DE FRAZIER #8  (1) CANULA DE YANKAWER  (1) COCA NIQUELADA  (1) CUBETA DE INTRUMENTAL NIQUELADA Estado: Bueno Placa anterior: 000012888 Material: ACERO INOXIDABLE Color: PLATEADO Referencia:  Observacion:     Placa padre: Tipo adquisicion: Entidad</v>
      </c>
      <c r="G6086" s="5"/>
    </row>
    <row r="6087" spans="1:7" ht="58.5" customHeight="1" x14ac:dyDescent="0.25">
      <c r="A6087" s="5" t="str">
        <f>"I0002494"</f>
        <v>I0002494</v>
      </c>
      <c r="B6087" s="5" t="str">
        <f>"PINZA KELLY ADSON 25 CM"</f>
        <v>PINZA KELLY ADSON 25 CM</v>
      </c>
      <c r="C6087" s="6">
        <v>81200</v>
      </c>
      <c r="D6087" s="5"/>
      <c r="E6087" s="5" t="str">
        <f t="shared" si="306"/>
        <v>INSTRUMENTACION-DIANA CAICEDO-DIANA DIAZ</v>
      </c>
      <c r="F6087" s="5" t="str">
        <f>"Descripcion: PINZAS KELLY ADSON (DIMEDA) Estado: Bueno Placa anterior: 000036176 Material: ACERO INOXIDABLE Color: PLATEADO Referencia:  Observacion:     Placa padre: I0002459Tipo adquisicion: Entidad"</f>
        <v>Descripcion: PINZAS KELLY ADSON (DIMEDA) Estado: Bueno Placa anterior: 000036176 Material: ACERO INOXIDABLE Color: PLATEADO Referencia:  Observacion:     Placa padre: I0002459Tipo adquisicion: Entidad</v>
      </c>
      <c r="G6087" s="5"/>
    </row>
    <row r="6088" spans="1:7" ht="58.5" customHeight="1" x14ac:dyDescent="0.25">
      <c r="A6088" s="5" t="str">
        <f>"I0002495"</f>
        <v>I0002495</v>
      </c>
      <c r="B6088" s="5" t="str">
        <f>"PINZA KELLY ADSON 25 CM"</f>
        <v>PINZA KELLY ADSON 25 CM</v>
      </c>
      <c r="C6088" s="6">
        <v>81200</v>
      </c>
      <c r="D6088" s="5"/>
      <c r="E6088" s="5" t="str">
        <f t="shared" si="306"/>
        <v>INSTRUMENTACION-DIANA CAICEDO-DIANA DIAZ</v>
      </c>
      <c r="F6088" s="5" t="str">
        <f>"Descripcion: PINZAS KELLY ADSON (DIMEDA) Estado: Bueno Placa anterior: 000036180 Material: ACERO INOXIDABLE Color: PLATEADO Referencia:  Observacion:     Placa padre: I0002459Tipo adquisicion: Entidad"</f>
        <v>Descripcion: PINZAS KELLY ADSON (DIMEDA) Estado: Bueno Placa anterior: 000036180 Material: ACERO INOXIDABLE Color: PLATEADO Referencia:  Observacion:     Placa padre: I0002459Tipo adquisicion: Entidad</v>
      </c>
      <c r="G6088" s="5"/>
    </row>
    <row r="6089" spans="1:7" ht="58.5" customHeight="1" x14ac:dyDescent="0.25">
      <c r="A6089" s="5" t="str">
        <f>"I0002514"</f>
        <v>I0002514</v>
      </c>
      <c r="B6089" s="5" t="str">
        <f>"PORTAGUJAS (PINZA)"</f>
        <v>PORTAGUJAS (PINZA)</v>
      </c>
      <c r="C6089" s="6">
        <v>81200</v>
      </c>
      <c r="D6089" s="5"/>
      <c r="E6089" s="5" t="str">
        <f t="shared" si="306"/>
        <v>INSTRUMENTACION-DIANA CAICEDO-DIANA DIAZ</v>
      </c>
      <c r="F6089" s="5" t="str">
        <f>"Descripcion: PORTA AGUJAS DE MAYO MEDIANO Estado: Bueno Placa anterior: 000032438 Material: ACERO INOXIDABLE Color: PLATEADO Referencia:  Observacion:     Placa padre: I0002459Tipo adquisicion: Entidad"</f>
        <v>Descripcion: PORTA AGUJAS DE MAYO MEDIANO Estado: Bueno Placa anterior: 000032438 Material: ACERO INOXIDABLE Color: PLATEADO Referencia:  Observacion:     Placa padre: I0002459Tipo adquisicion: Entidad</v>
      </c>
      <c r="G6089" s="5"/>
    </row>
    <row r="6090" spans="1:7" ht="58.5" customHeight="1" x14ac:dyDescent="0.25">
      <c r="A6090" s="5" t="str">
        <f>"I0002515"</f>
        <v>I0002515</v>
      </c>
      <c r="B6090" s="5" t="str">
        <f>"CANULA DE FRAZIER"</f>
        <v>CANULA DE FRAZIER</v>
      </c>
      <c r="C6090" s="6">
        <v>71572</v>
      </c>
      <c r="D6090" s="5"/>
      <c r="E6090" s="5" t="str">
        <f t="shared" si="306"/>
        <v>INSTRUMENTACION-DIANA CAICEDO-DIANA DIAZ</v>
      </c>
      <c r="F6090" s="5" t="str">
        <f>"Descripcion: CANULAS DE SUCCION DE FRAZIER #8 Estado: Bueno Placa anterior: 000025339 Material: ACERO INOXIDABLE Color: PLATEADO Referencia:  Observacion:     Placa padre: I0002459Tipo adquisicion: Entidad"</f>
        <v>Descripcion: CANULAS DE SUCCION DE FRAZIER #8 Estado: Bueno Placa anterior: 000025339 Material: ACERO INOXIDABLE Color: PLATEADO Referencia:  Observacion:     Placa padre: I0002459Tipo adquisicion: Entidad</v>
      </c>
      <c r="G6090" s="5"/>
    </row>
    <row r="6091" spans="1:7" ht="58.5" customHeight="1" x14ac:dyDescent="0.25">
      <c r="A6091" s="5" t="str">
        <f>"I0002516"</f>
        <v>I0002516</v>
      </c>
      <c r="B6091" s="5" t="str">
        <f>"CANULA DE YANKAUER"</f>
        <v>CANULA DE YANKAUER</v>
      </c>
      <c r="C6091" s="6">
        <v>92800</v>
      </c>
      <c r="D6091" s="5"/>
      <c r="E6091" s="5" t="str">
        <f t="shared" si="306"/>
        <v>INSTRUMENTACION-DIANA CAICEDO-DIANA DIAZ</v>
      </c>
      <c r="F6091" s="5" t="str">
        <f>"Descripcion: CANULA DE YANKAWER Estado: Bueno Placa anterior: 000031645 Material: ACERO INOXIDABLE Color: PLATEADO Referencia:  Observacion:     Placa padre: I0002459Tipo adquisicion: Entidad"</f>
        <v>Descripcion: CANULA DE YANKAWER Estado: Bueno Placa anterior: 000031645 Material: ACERO INOXIDABLE Color: PLATEADO Referencia:  Observacion:     Placa padre: I0002459Tipo adquisicion: Entidad</v>
      </c>
      <c r="G6091" s="5"/>
    </row>
    <row r="6092" spans="1:7" ht="58.5" customHeight="1" x14ac:dyDescent="0.25">
      <c r="A6092" s="5" t="str">
        <f>"I0002531"</f>
        <v>I0002531</v>
      </c>
      <c r="B6092" s="5" t="str">
        <f>"PINZA PEDICULO RENAL"</f>
        <v>PINZA PEDICULO RENAL</v>
      </c>
      <c r="C6092" s="6">
        <v>54660</v>
      </c>
      <c r="D6092" s="5"/>
      <c r="E6092" s="5" t="str">
        <f t="shared" si="306"/>
        <v>INSTRUMENTACION-DIANA CAICEDO-DIANA DIAZ</v>
      </c>
      <c r="F6092" s="5" t="str">
        <f>"Descripcion: PEDICULO RENAL Estado: Bueno Placa anterior: 000012823 Material: ACERO INOXIDABLE Color: PLATEADO Referencia:  Observacion:     Placa padre: I0002519Tipo adquisicion: Entidad"</f>
        <v>Descripcion: PEDICULO RENAL Estado: Bueno Placa anterior: 000012823 Material: ACERO INOXIDABLE Color: PLATEADO Referencia:  Observacion:     Placa padre: I0002519Tipo adquisicion: Entidad</v>
      </c>
      <c r="G6092" s="5"/>
    </row>
    <row r="6093" spans="1:7" ht="58.5" customHeight="1" x14ac:dyDescent="0.25">
      <c r="A6093" s="5" t="str">
        <f>"I0002533"</f>
        <v>I0002533</v>
      </c>
      <c r="B6093" s="5" t="str">
        <f>"PINZA PEDICULO RENAL"</f>
        <v>PINZA PEDICULO RENAL</v>
      </c>
      <c r="C6093" s="6">
        <v>54660</v>
      </c>
      <c r="D6093" s="5"/>
      <c r="E6093" s="5" t="str">
        <f t="shared" si="306"/>
        <v>INSTRUMENTACION-DIANA CAICEDO-DIANA DIAZ</v>
      </c>
      <c r="F6093" s="5" t="str">
        <f>"Descripcion: PEDICULO RENAL Estado: Bueno Placa anterior: 000012825 Material: ACERO INOXIDABLE Color: PLATEADO Referencia:  Observacion:     Placa padre: I0002519Tipo adquisicion: Entidad"</f>
        <v>Descripcion: PEDICULO RENAL Estado: Bueno Placa anterior: 000012825 Material: ACERO INOXIDABLE Color: PLATEADO Referencia:  Observacion:     Placa padre: I0002519Tipo adquisicion: Entidad</v>
      </c>
      <c r="G6093" s="5"/>
    </row>
    <row r="6094" spans="1:7" ht="58.5" customHeight="1" x14ac:dyDescent="0.25">
      <c r="A6094" s="5" t="str">
        <f>"I0002534"</f>
        <v>I0002534</v>
      </c>
      <c r="B6094" s="5" t="str">
        <f>"PINZA PEDICULO RENAL"</f>
        <v>PINZA PEDICULO RENAL</v>
      </c>
      <c r="C6094" s="6">
        <v>54660</v>
      </c>
      <c r="D6094" s="5"/>
      <c r="E6094" s="5" t="str">
        <f t="shared" si="306"/>
        <v>INSTRUMENTACION-DIANA CAICEDO-DIANA DIAZ</v>
      </c>
      <c r="F6094" s="5" t="str">
        <f>"Descripcion: PEDICULO RENAL Estado: Bueno Placa anterior: 000012826 Material: ACERO INOXIDABLE Color: PLATEADO Referencia:  Observacion:     Placa padre: I0002519Tipo adquisicion: Entidad"</f>
        <v>Descripcion: PEDICULO RENAL Estado: Bueno Placa anterior: 000012826 Material: ACERO INOXIDABLE Color: PLATEADO Referencia:  Observacion:     Placa padre: I0002519Tipo adquisicion: Entidad</v>
      </c>
      <c r="G6094" s="5"/>
    </row>
    <row r="6095" spans="1:7" ht="58.5" customHeight="1" x14ac:dyDescent="0.25">
      <c r="A6095" s="5" t="str">
        <f>"I0002535"</f>
        <v>I0002535</v>
      </c>
      <c r="B6095" s="5" t="str">
        <f>"PINZA PEDICULO RENAL"</f>
        <v>PINZA PEDICULO RENAL</v>
      </c>
      <c r="C6095" s="6">
        <v>54660</v>
      </c>
      <c r="D6095" s="5"/>
      <c r="E6095" s="5" t="str">
        <f t="shared" si="306"/>
        <v>INSTRUMENTACION-DIANA CAICEDO-DIANA DIAZ</v>
      </c>
      <c r="F6095" s="5" t="str">
        <f>"Descripcion: PEDICULO RENAL Estado: Bueno Placa anterior: 000012827 Material: ACERO INOXIDABLE Color: PLATEADO Referencia:  Observacion:     Placa padre: I0002519Tipo adquisicion: Entidad"</f>
        <v>Descripcion: PEDICULO RENAL Estado: Bueno Placa anterior: 000012827 Material: ACERO INOXIDABLE Color: PLATEADO Referencia:  Observacion:     Placa padre: I0002519Tipo adquisicion: Entidad</v>
      </c>
      <c r="G6095" s="5"/>
    </row>
    <row r="6096" spans="1:7" ht="58.5" customHeight="1" x14ac:dyDescent="0.25">
      <c r="A6096" s="5" t="str">
        <f>"I0002536"</f>
        <v>I0002536</v>
      </c>
      <c r="B6096" s="5" t="str">
        <f>"PINZA PEDICULO RENAL"</f>
        <v>PINZA PEDICULO RENAL</v>
      </c>
      <c r="C6096" s="6">
        <v>54660</v>
      </c>
      <c r="D6096" s="5"/>
      <c r="E6096" s="5" t="str">
        <f t="shared" si="306"/>
        <v>INSTRUMENTACION-DIANA CAICEDO-DIANA DIAZ</v>
      </c>
      <c r="F6096" s="5" t="str">
        <f>"Descripcion: PEDICULO RENAL Estado: Bueno Placa anterior: 000012828 Material: ACERO INOXIDABLE Color: PLATEADO Referencia:  Observacion:     Placa padre: I0002519Tipo adquisicion: Entidad"</f>
        <v>Descripcion: PEDICULO RENAL Estado: Bueno Placa anterior: 000012828 Material: ACERO INOXIDABLE Color: PLATEADO Referencia:  Observacion:     Placa padre: I0002519Tipo adquisicion: Entidad</v>
      </c>
      <c r="G6096" s="5"/>
    </row>
    <row r="6097" spans="1:7" ht="58.5" customHeight="1" x14ac:dyDescent="0.25">
      <c r="A6097" s="5" t="str">
        <f>"I0002537"</f>
        <v>I0002537</v>
      </c>
      <c r="B6097" s="5" t="str">
        <f>"EQUIPO DE TUBO DE TORAX"</f>
        <v>EQUIPO DE TUBO DE TORAX</v>
      </c>
      <c r="C6097" s="6">
        <v>979821</v>
      </c>
      <c r="D6097" s="5"/>
      <c r="E6097" s="5" t="str">
        <f t="shared" si="306"/>
        <v>INSTRUMENTACION-DIANA CAICEDO-DIANA DIAZ</v>
      </c>
      <c r="F6097" s="5" t="str">
        <f>"Descripcion: EQUIPO DE TUBO DE TORAX# 1 QUE CONSTA DE:  (1) MANGO DE BISTURI #4  (1) TIJERA DE MAYO CURVA  (1) PINZA  KELLY CURVA  (2) PINZA ROCHESTER CURVA  (1) DISECCION MEDIANA CON GARRA  (1) PORTA AGUJAS DE MAYO  Estado: Bueno Placa anterior: 00001288"&amp; "2 Material: ACERO INOXIDABLE Color: PLATEADO Referencia:  Observacion:     Placa padre: Tipo adquisicion: Entidad"</f>
        <v>Descripcion: EQUIPO DE TUBO DE TORAX# 1 QUE CONSTA DE:  (1) MANGO DE BISTURI #4  (1) TIJERA DE MAYO CURVA  (1) PINZA  KELLY CURVA  (2) PINZA ROCHESTER CURVA  (1) DISECCION MEDIANA CON GARRA  (1) PORTA AGUJAS DE MAYO  Estado: Bueno Placa anterior: 000012882 Material: ACERO INOXIDABLE Color: PLATEADO Referencia:  Observacion:     Placa padre: Tipo adquisicion: Entidad</v>
      </c>
      <c r="G6097" s="5"/>
    </row>
    <row r="6098" spans="1:7" ht="58.5" customHeight="1" x14ac:dyDescent="0.25">
      <c r="A6098" s="5" t="str">
        <f>"I0002544"</f>
        <v>I0002544</v>
      </c>
      <c r="B6098" s="5" t="str">
        <f>"PORTAGUJAS (PINZA)"</f>
        <v>PORTAGUJAS (PINZA)</v>
      </c>
      <c r="C6098" s="6">
        <v>81200</v>
      </c>
      <c r="D6098" s="5"/>
      <c r="E6098" s="5" t="str">
        <f t="shared" si="306"/>
        <v>INSTRUMENTACION-DIANA CAICEDO-DIANA DIAZ</v>
      </c>
      <c r="F6098" s="5" t="str">
        <f>"Descripcion: PORTA AGUJAS DE MAYO  Estado: Bueno Placa anterior: 000032439 Material: ACERO INOXIDABLE Color: PLATEADO Referencia:  Observacion:     Placa padre: I0002537Tipo adquisicion: Entidad"</f>
        <v>Descripcion: PORTA AGUJAS DE MAYO  Estado: Bueno Placa anterior: 000032439 Material: ACERO INOXIDABLE Color: PLATEADO Referencia:  Observacion:     Placa padre: I0002537Tipo adquisicion: Entidad</v>
      </c>
      <c r="G6098" s="5"/>
    </row>
    <row r="6099" spans="1:7" ht="58.5" customHeight="1" x14ac:dyDescent="0.25">
      <c r="A6099" s="5" t="str">
        <f>"I0002545"</f>
        <v>I0002545</v>
      </c>
      <c r="B6099" s="5" t="str">
        <f>"EQUIPO DE TUBO DE TORAX"</f>
        <v>EQUIPO DE TUBO DE TORAX</v>
      </c>
      <c r="C6099" s="6">
        <v>979821</v>
      </c>
      <c r="D6099" s="5"/>
      <c r="E6099" s="5" t="str">
        <f t="shared" si="306"/>
        <v>INSTRUMENTACION-DIANA CAICEDO-DIANA DIAZ</v>
      </c>
      <c r="F6099" s="5" t="str">
        <f>"Descripcion: EQUIPO DE TUBO DE TORAX# 2 QUE CONSTA DE:  (1) MANGO DE BISTURI #4  (1) TIJERA DE MAYO CURVA  (1) PINZA  KELLY CURVA  (1) PINZA ROCHESTER CURVA  (1) DISECCION MEDIANA CON GARRA  (0) PORTA AGUJAS DE MAYO  Estado: Bueno Placa anterior:  Materia"&amp; "l: ACERO INOXIDABLE Color: PLATEADO Referencia:  Observacion:     Placa padre: Tipo adquisicion: Entidad"</f>
        <v>Descripcion: EQUIPO DE TUBO DE TORAX# 2 QUE CONSTA DE:  (1) MANGO DE BISTURI #4  (1) TIJERA DE MAYO CURVA  (1) PINZA  KELLY CURVA  (1) PINZA ROCHESTER CURVA  (1) DISECCION MEDIANA CON GARRA  (0) PORTA AGUJAS DE MAYO  Estado: Bueno Placa anterior:  Material: ACERO INOXIDABLE Color: PLATEADO Referencia:  Observacion:     Placa padre: Tipo adquisicion: Entidad</v>
      </c>
      <c r="G6099" s="5"/>
    </row>
    <row r="6100" spans="1:7" ht="58.5" customHeight="1" x14ac:dyDescent="0.25">
      <c r="A6100" s="5" t="str">
        <f>"I0002553"</f>
        <v>I0002553</v>
      </c>
      <c r="B6100" s="5" t="str">
        <f>"EQUIPO DE TORAX"</f>
        <v>EQUIPO DE TORAX</v>
      </c>
      <c r="C6100" s="6">
        <v>1015312</v>
      </c>
      <c r="D6100" s="5"/>
      <c r="E6100" s="5" t="str">
        <f t="shared" si="306"/>
        <v>INSTRUMENTACION-DIANA CAICEDO-DIANA DIAZ</v>
      </c>
      <c r="F6100" s="5" t="str">
        <f>"Descripcion: EQUIPO DE TORAX #1 QUE CONSTA DE:  (1) COSTOTOMO  (1) DESPERIOSTIZADOR  (1) PERIOSTOTOMO  (2) PINZAS DE DUVAL  (0) CIZALLA  (0) GUBIA V DE VILVIS  (1) APROXIMADOR COSTAL  (1) SEPARADOR DE PULMÓN  (1) SEPARADOR DE FINOCHIETO FIJO  (2) MANILARE"&amp; "S DE SIERRA Estado: Bueno Placa anterior: 000012883 Material: ACERO INOXIDABLE Color: PLATEADO Referencia:  Observacion:     Placa padre: Tipo adquisicion: Entidad"</f>
        <v>Descripcion: EQUIPO DE TORAX #1 QUE CONSTA DE:  (1) COSTOTOMO  (1) DESPERIOSTIZADOR  (1) PERIOSTOTOMO  (2) PINZAS DE DUVAL  (0) CIZALLA  (0) GUBIA V DE VILVIS  (1) APROXIMADOR COSTAL  (1) SEPARADOR DE PULMÓN  (1) SEPARADOR DE FINOCHIETO FIJO  (2) MANILARES DE SIERRA Estado: Bueno Placa anterior: 000012883 Material: ACERO INOXIDABLE Color: PLATEADO Referencia:  Observacion:     Placa padre: Tipo adquisicion: Entidad</v>
      </c>
      <c r="G6100" s="5"/>
    </row>
    <row r="6101" spans="1:7" ht="58.5" customHeight="1" x14ac:dyDescent="0.25">
      <c r="A6101" s="5" t="str">
        <f>"I0002554"</f>
        <v>I0002554</v>
      </c>
      <c r="B6101" s="5" t="str">
        <f>"COSTOTOMO"</f>
        <v>COSTOTOMO</v>
      </c>
      <c r="C6101" s="6">
        <v>31500</v>
      </c>
      <c r="D6101" s="5"/>
      <c r="E6101" s="5" t="str">
        <f t="shared" si="306"/>
        <v>INSTRUMENTACION-DIANA CAICEDO-DIANA DIAZ</v>
      </c>
      <c r="F6101" s="5" t="str">
        <f>"Descripcion: COSTOTOMO Estado: Bueno Placa anterior: 000016265 Material: ACERO INOXIDABLE Color: PLATEADO Referencia:  Observacion:     Placa padre: I0002553Tipo adquisicion: Entidad"</f>
        <v>Descripcion: COSTOTOMO Estado: Bueno Placa anterior: 000016265 Material: ACERO INOXIDABLE Color: PLATEADO Referencia:  Observacion:     Placa padre: I0002553Tipo adquisicion: Entidad</v>
      </c>
      <c r="G6101" s="5"/>
    </row>
    <row r="6102" spans="1:7" ht="58.5" customHeight="1" x14ac:dyDescent="0.25">
      <c r="A6102" s="5" t="str">
        <f>"I0002555"</f>
        <v>I0002555</v>
      </c>
      <c r="B6102" s="5" t="str">
        <f>"DESPERIOSTIZADOR"</f>
        <v>DESPERIOSTIZADOR</v>
      </c>
      <c r="C6102" s="6">
        <v>8500</v>
      </c>
      <c r="D6102" s="5"/>
      <c r="E6102" s="5" t="str">
        <f t="shared" si="306"/>
        <v>INSTRUMENTACION-DIANA CAICEDO-DIANA DIAZ</v>
      </c>
      <c r="F6102" s="5" t="str">
        <f>"Descripcion: DESPERIOSTIZADOR Estado: Bueno Placa anterior: 000016272 Material: ACERO INOXIDABLE Color: PLATEADO Referencia:  Observacion:     Placa padre: I0002553Tipo adquisicion: Entidad"</f>
        <v>Descripcion: DESPERIOSTIZADOR Estado: Bueno Placa anterior: 000016272 Material: ACERO INOXIDABLE Color: PLATEADO Referencia:  Observacion:     Placa padre: I0002553Tipo adquisicion: Entidad</v>
      </c>
      <c r="G6102" s="5"/>
    </row>
    <row r="6103" spans="1:7" ht="58.5" customHeight="1" x14ac:dyDescent="0.25">
      <c r="A6103" s="5" t="str">
        <f>"I0002556"</f>
        <v>I0002556</v>
      </c>
      <c r="B6103" s="5" t="str">
        <f>"PERIOSTOTOMO - ELEVADOR DOBLE FREER - DISECTOR"</f>
        <v>PERIOSTOTOMO - ELEVADOR DOBLE FREER - DISECTOR</v>
      </c>
      <c r="C6103" s="6">
        <v>130616</v>
      </c>
      <c r="D6103" s="5"/>
      <c r="E6103" s="5" t="str">
        <f t="shared" si="306"/>
        <v>INSTRUMENTACION-DIANA CAICEDO-DIANA DIAZ</v>
      </c>
      <c r="F6103" s="5" t="str">
        <f>"Descripcion: PERIOSTOTOMO Estado: Bueno Placa anterior: 000023168 Material: ACERO INOXIDABLE Color: PLATEADO Referencia:  Observacion:     Placa padre: I0002553Tipo adquisicion: Entidad"</f>
        <v>Descripcion: PERIOSTOTOMO Estado: Bueno Placa anterior: 000023168 Material: ACERO INOXIDABLE Color: PLATEADO Referencia:  Observacion:     Placa padre: I0002553Tipo adquisicion: Entidad</v>
      </c>
      <c r="G6103" s="5"/>
    </row>
    <row r="6104" spans="1:7" ht="58.5" customHeight="1" x14ac:dyDescent="0.25">
      <c r="A6104" s="5" t="str">
        <f>"I0002566"</f>
        <v>I0002566</v>
      </c>
      <c r="B6104" s="5" t="str">
        <f>"EQUIPO DE TORAX"</f>
        <v>EQUIPO DE TORAX</v>
      </c>
      <c r="C6104" s="6">
        <v>1015312</v>
      </c>
      <c r="D6104" s="5"/>
      <c r="E6104" s="5" t="str">
        <f t="shared" si="306"/>
        <v>INSTRUMENTACION-DIANA CAICEDO-DIANA DIAZ</v>
      </c>
      <c r="F6104" s="5" t="str">
        <f>"Descripcion: EQUIPO DE TORAX #2  QUE CONSTA DE:(1) DESPERIOSTIZADOR(2) PINZAS DE DUVAL(1) CIZALLA RECTA(1) COSTOTOMO(1) ELEVADOR IZQUIERDO(1)ELEVADOR DERECHO(1) SEPARADOR DE PULMÓN(1) SEPARADOR DE FINOCHIETO (2) MANILARES DE SIERRA(1) APROXIMADOR COSTAL(1"&amp; ") DISECCION FINA LARGA Estado: Bueno Placa anterior: 000012884 Material: ACERO INOXIDABLE Color: PLATEADO Referencia:  Observacion:     Placa padre: Tipo adquisicion: Entidad"</f>
        <v>Descripcion: EQUIPO DE TORAX #2  QUE CONSTA DE:(1) DESPERIOSTIZADOR(2) PINZAS DE DUVAL(1) CIZALLA RECTA(1) COSTOTOMO(1) ELEVADOR IZQUIERDO(1)ELEVADOR DERECHO(1) SEPARADOR DE PULMÓN(1) SEPARADOR DE FINOCHIETO (2) MANILARES DE SIERRA(1) APROXIMADOR COSTAL(1) DISECCION FINA LARGA Estado: Bueno Placa anterior: 000012884 Material: ACERO INOXIDABLE Color: PLATEADO Referencia:  Observacion:     Placa padre: Tipo adquisicion: Entidad</v>
      </c>
      <c r="G6104" s="5"/>
    </row>
    <row r="6105" spans="1:7" ht="58.5" customHeight="1" x14ac:dyDescent="0.25">
      <c r="A6105" s="5" t="str">
        <f>"I0002570"</f>
        <v>I0002570</v>
      </c>
      <c r="B6105" s="5" t="str">
        <f>"CIZALLA (INSTRUMENTAL)"</f>
        <v>CIZALLA (INSTRUMENTAL)</v>
      </c>
      <c r="C6105" s="6">
        <v>429200</v>
      </c>
      <c r="D6105" s="5"/>
      <c r="E6105" s="5" t="str">
        <f t="shared" si="306"/>
        <v>INSTRUMENTACION-DIANA CAICEDO-DIANA DIAZ</v>
      </c>
      <c r="F6105" s="5" t="str">
        <f>"Descripcion: CIZALLA RECTA Estado: Bueno Placa anterior: 000032354 Material: ACERO INOXIDABLE Color: PLATEADO Referencia:  Observacion:     Placa padre: I0002566Tipo adquisicion: Entidad"</f>
        <v>Descripcion: CIZALLA RECTA Estado: Bueno Placa anterior: 000032354 Material: ACERO INOXIDABLE Color: PLATEADO Referencia:  Observacion:     Placa padre: I0002566Tipo adquisicion: Entidad</v>
      </c>
      <c r="G6105" s="5"/>
    </row>
    <row r="6106" spans="1:7" ht="58.5" customHeight="1" x14ac:dyDescent="0.25">
      <c r="A6106" s="5" t="str">
        <f>"I0002571"</f>
        <v>I0002571</v>
      </c>
      <c r="B6106" s="5" t="str">
        <f>"COSTOTOMO"</f>
        <v>COSTOTOMO</v>
      </c>
      <c r="C6106" s="6">
        <v>31500</v>
      </c>
      <c r="D6106" s="5"/>
      <c r="E6106" s="5" t="str">
        <f t="shared" si="306"/>
        <v>INSTRUMENTACION-DIANA CAICEDO-DIANA DIAZ</v>
      </c>
      <c r="F6106" s="5" t="str">
        <f>"Descripcion: COSTOTOMO Estado: Bueno Placa anterior: 000016266 Material: ACERO INOXIDABLE Color: PLATEADO Referencia:  Observacion:     Placa padre: I0002566Tipo adquisicion: Entidad"</f>
        <v>Descripcion: COSTOTOMO Estado: Bueno Placa anterior: 000016266 Material: ACERO INOXIDABLE Color: PLATEADO Referencia:  Observacion:     Placa padre: I0002566Tipo adquisicion: Entidad</v>
      </c>
      <c r="G6106" s="5"/>
    </row>
    <row r="6107" spans="1:7" ht="58.5" customHeight="1" x14ac:dyDescent="0.25">
      <c r="A6107" s="5" t="str">
        <f>"I0002578"</f>
        <v>I0002578</v>
      </c>
      <c r="B6107" s="5" t="str">
        <f>"APROXIMADOR COSTAL (TORAXICO)"</f>
        <v>APROXIMADOR COSTAL (TORAXICO)</v>
      </c>
      <c r="C6107" s="6">
        <v>16000</v>
      </c>
      <c r="D6107" s="5"/>
      <c r="E6107" s="5" t="str">
        <f t="shared" si="306"/>
        <v>INSTRUMENTACION-DIANA CAICEDO-DIANA DIAZ</v>
      </c>
      <c r="F6107" s="5" t="str">
        <f>"Descripcion: APROXIMADOR COSTAL Estado: Bueno Placa anterior: 000016263 Material: ACERO INOXIDABLE Color: PLATEADO Referencia:  Observacion:     Placa padre: I0002566Tipo adquisicion: Entidad"</f>
        <v>Descripcion: APROXIMADOR COSTAL Estado: Bueno Placa anterior: 000016263 Material: ACERO INOXIDABLE Color: PLATEADO Referencia:  Observacion:     Placa padre: I0002566Tipo adquisicion: Entidad</v>
      </c>
      <c r="G6107" s="5"/>
    </row>
    <row r="6108" spans="1:7" ht="58.5" customHeight="1" x14ac:dyDescent="0.25">
      <c r="A6108" s="5" t="str">
        <f>"I0002579"</f>
        <v>I0002579</v>
      </c>
      <c r="B6108" s="5" t="str">
        <f>"PINZA DE DISECCION SIN GARRA CORTA 20 CM"</f>
        <v>PINZA DE DISECCION SIN GARRA CORTA 20 CM</v>
      </c>
      <c r="C6108" s="6">
        <v>38280</v>
      </c>
      <c r="D6108" s="5"/>
      <c r="E6108" s="5" t="str">
        <f t="shared" si="306"/>
        <v>INSTRUMENTACION-DIANA CAICEDO-DIANA DIAZ</v>
      </c>
      <c r="F6108" s="5" t="str">
        <f>"Descripcion: DISECCION FINA LARGA Estado: Bueno Placa anterior: 000031968 Material: ACERO INOXIDABLE Color: PLATEADO Referencia:  Observacion:     Placa padre: I0002566Tipo adquisicion: Entidad"</f>
        <v>Descripcion: DISECCION FINA LARGA Estado: Bueno Placa anterior: 000031968 Material: ACERO INOXIDABLE Color: PLATEADO Referencia:  Observacion:     Placa padre: I0002566Tipo adquisicion: Entidad</v>
      </c>
      <c r="G6108" s="5"/>
    </row>
    <row r="6109" spans="1:7" ht="58.5" customHeight="1" x14ac:dyDescent="0.25">
      <c r="A6109" s="5" t="str">
        <f>"I0002580"</f>
        <v>I0002580</v>
      </c>
      <c r="B6109" s="5" t="str">
        <f>"EQUIPO DE TORAX"</f>
        <v>EQUIPO DE TORAX</v>
      </c>
      <c r="C6109" s="6">
        <v>1015312</v>
      </c>
      <c r="D6109" s="5"/>
      <c r="E6109" s="5" t="str">
        <f t="shared" si="306"/>
        <v>INSTRUMENTACION-DIANA CAICEDO-DIANA DIAZ</v>
      </c>
      <c r="F6109" s="5" t="str">
        <f>"Descripcion: EQUIPO DE TORAX #.3 QUE CONSTA DE:(1)  SEPARADOR FINOCHIETO(2) PINZAS DUVAL(1) APROXIMADOR COSTAL(1) ELEVADOR IZQUIERDO(2) MANILARES DE LA SIERRA(1) COSTOTOMO(1) DESPERIOSTIZADOR(1) PERIOSTOTOMO Estado: Bueno Placa anterior:  Material: ACERO "&amp; "INOXIDABLE Color: PLATEADO Referencia:  Observacion:     Placa padre: Tipo adquisicion: Entidad"</f>
        <v>Descripcion: EQUIPO DE TORAX #.3 QUE CONSTA DE:(1)  SEPARADOR FINOCHIETO(2) PINZAS DUVAL(1) APROXIMADOR COSTAL(1) ELEVADOR IZQUIERDO(2) MANILARES DE LA SIERRA(1) COSTOTOMO(1) DESPERIOSTIZADOR(1) PERIOSTOTOMO Estado: Bueno Placa anterior:  Material: ACERO INOXIDABLE Color: PLATEADO Referencia:  Observacion:     Placa padre: Tipo adquisicion: Entidad</v>
      </c>
      <c r="G6109" s="5"/>
    </row>
    <row r="6110" spans="1:7" ht="58.5" customHeight="1" x14ac:dyDescent="0.25">
      <c r="A6110" s="5" t="str">
        <f>"I0002584"</f>
        <v>I0002584</v>
      </c>
      <c r="B6110" s="5" t="str">
        <f>"APROXIMADOR COSTAL (TORAXICO)"</f>
        <v>APROXIMADOR COSTAL (TORAXICO)</v>
      </c>
      <c r="C6110" s="6">
        <v>16000</v>
      </c>
      <c r="D6110" s="5"/>
      <c r="E6110" s="5" t="str">
        <f t="shared" si="306"/>
        <v>INSTRUMENTACION-DIANA CAICEDO-DIANA DIAZ</v>
      </c>
      <c r="F6110" s="5" t="str">
        <f>"Descripcion: APROXIMADOR COSTAL Estado: Bueno Placa anterior: 000016264 Material: ACERO INOXIDABLE Color: PLATEADO Referencia:  Observacion:     Placa padre: I0002580Tipo adquisicion: Entidad"</f>
        <v>Descripcion: APROXIMADOR COSTAL Estado: Bueno Placa anterior: 000016264 Material: ACERO INOXIDABLE Color: PLATEADO Referencia:  Observacion:     Placa padre: I0002580Tipo adquisicion: Entidad</v>
      </c>
      <c r="G6110" s="5"/>
    </row>
    <row r="6111" spans="1:7" ht="58.5" customHeight="1" x14ac:dyDescent="0.25">
      <c r="A6111" s="5" t="str">
        <f>"I0002588"</f>
        <v>I0002588</v>
      </c>
      <c r="B6111" s="5" t="str">
        <f>"COSTOTOMO"</f>
        <v>COSTOTOMO</v>
      </c>
      <c r="C6111" s="6">
        <v>31500</v>
      </c>
      <c r="D6111" s="5"/>
      <c r="E6111" s="5" t="str">
        <f t="shared" ref="E6111:E6174" si="307">"INSTRUMENTACION-DIANA CAICEDO-DIANA DIAZ"</f>
        <v>INSTRUMENTACION-DIANA CAICEDO-DIANA DIAZ</v>
      </c>
      <c r="F6111" s="5" t="str">
        <f>"Descripcion: COSTOTOMO Estado: Bueno Placa anterior: 000016267 Material: ACERO INOXIDABLE Color: PLATEADO Referencia:  Observacion:     Placa padre: I0002580Tipo adquisicion: Entidad"</f>
        <v>Descripcion: COSTOTOMO Estado: Bueno Placa anterior: 000016267 Material: ACERO INOXIDABLE Color: PLATEADO Referencia:  Observacion:     Placa padre: I0002580Tipo adquisicion: Entidad</v>
      </c>
      <c r="G6111" s="5"/>
    </row>
    <row r="6112" spans="1:7" ht="58.5" customHeight="1" x14ac:dyDescent="0.25">
      <c r="A6112" s="5" t="str">
        <f>"I0002591"</f>
        <v>I0002591</v>
      </c>
      <c r="B6112" s="5" t="str">
        <f>"EQUIPO AUXILIAR DE TORAX"</f>
        <v>EQUIPO AUXILIAR DE TORAX</v>
      </c>
      <c r="C6112" s="6">
        <v>979821</v>
      </c>
      <c r="D6112" s="5"/>
      <c r="E6112" s="5" t="str">
        <f t="shared" si="307"/>
        <v>INSTRUMENTACION-DIANA CAICEDO-DIANA DIAZ</v>
      </c>
      <c r="F6112" s="5" t="str">
        <f>"Descripcion: EQUIPO AUXILIAR DE TORAX QUE CONSTA DE:  (1) SEPARADOR DE FINOCHIETO  (1) DESPERIOSTIZADOR  (1) APROXIMADOR COSTAL  (2) PINZAS DUVAL Estado: Bueno Placa anterior: 000012885 Material: ACERO INOXIDABLE Color: PLATEADO Referencia:  Observacion: "&amp; "    Placa padre: Tipo adquisicion: Entidad"</f>
        <v>Descripcion: EQUIPO AUXILIAR DE TORAX QUE CONSTA DE:  (1) SEPARADOR DE FINOCHIETO  (1) DESPERIOSTIZADOR  (1) APROXIMADOR COSTAL  (2) PINZAS DUVAL Estado: Bueno Placa anterior: 000012885 Material: ACERO INOXIDABLE Color: PLATEADO Referencia:  Observacion:     Placa padre: Tipo adquisicion: Entidad</v>
      </c>
      <c r="G6112" s="5"/>
    </row>
    <row r="6113" spans="1:7" ht="58.5" customHeight="1" x14ac:dyDescent="0.25">
      <c r="A6113" s="5" t="str">
        <f>"I0002599"</f>
        <v>I0002599</v>
      </c>
      <c r="B6113" s="5" t="str">
        <f>"PINZA DE DISECCION SIN GARRA LARGA 25 CM"</f>
        <v>PINZA DE DISECCION SIN GARRA LARGA 25 CM</v>
      </c>
      <c r="C6113" s="6">
        <v>17400</v>
      </c>
      <c r="D6113" s="5"/>
      <c r="E6113" s="5" t="str">
        <f t="shared" si="307"/>
        <v>INSTRUMENTACION-DIANA CAICEDO-DIANA DIAZ</v>
      </c>
      <c r="F6113" s="5" t="str">
        <f>"Descripcion: PINZA DE DISECCION SIN GARRA LARGA FINA Estado: Bueno Placa anterior: 000032292 Material: ACERO INOXIDABLE Color: PLATEADO Referencia:  Observacion:     Placa padre: I0002597Tipo adquisicion: Entidad"</f>
        <v>Descripcion: PINZA DE DISECCION SIN GARRA LARGA FINA Estado: Bueno Placa anterior: 000032292 Material: ACERO INOXIDABLE Color: PLATEADO Referencia:  Observacion:     Placa padre: I0002597Tipo adquisicion: Entidad</v>
      </c>
      <c r="G6113" s="5"/>
    </row>
    <row r="6114" spans="1:7" ht="58.5" customHeight="1" x14ac:dyDescent="0.25">
      <c r="A6114" s="5" t="str">
        <f>"I0002601"</f>
        <v>I0002601</v>
      </c>
      <c r="B6114" s="5" t="str">
        <f>"PINZA HEMOSTATICA (PENNINGTON)"</f>
        <v>PINZA HEMOSTATICA (PENNINGTON)</v>
      </c>
      <c r="C6114" s="6">
        <v>170</v>
      </c>
      <c r="D6114" s="5"/>
      <c r="E6114" s="5" t="str">
        <f t="shared" si="307"/>
        <v>INSTRUMENTACION-DIANA CAICEDO-DIANA DIAZ</v>
      </c>
      <c r="F6114" s="5" t="str">
        <f>"Descripcion: PENINGTON Estado: Bueno Placa anterior: 000015987 Material: ACERO INOXIDABLE Color: PLATEADO Referencia:  Observacion:     Placa padre: I0002597Tipo adquisicion: Entidad"</f>
        <v>Descripcion: PENINGTON Estado: Bueno Placa anterior: 000015987 Material: ACERO INOXIDABLE Color: PLATEADO Referencia:  Observacion:     Placa padre: I0002597Tipo adquisicion: Entidad</v>
      </c>
      <c r="G6114" s="5"/>
    </row>
    <row r="6115" spans="1:7" ht="58.5" customHeight="1" x14ac:dyDescent="0.25">
      <c r="A6115" s="5" t="str">
        <f>"I0002602"</f>
        <v>I0002602</v>
      </c>
      <c r="B6115" s="5" t="str">
        <f>"PINZA HEMOSTATICA (PENNINGTON)"</f>
        <v>PINZA HEMOSTATICA (PENNINGTON)</v>
      </c>
      <c r="C6115" s="6">
        <v>170</v>
      </c>
      <c r="D6115" s="5"/>
      <c r="E6115" s="5" t="str">
        <f t="shared" si="307"/>
        <v>INSTRUMENTACION-DIANA CAICEDO-DIANA DIAZ</v>
      </c>
      <c r="F6115" s="5" t="str">
        <f>"Descripcion: PENINGTON Estado: Bueno Placa anterior: 000015994 Material: ACERO INOXIDABLE Color: PLATEADO Referencia:  Observacion:     Placa padre: I0002597Tipo adquisicion: Entidad"</f>
        <v>Descripcion: PENINGTON Estado: Bueno Placa anterior: 000015994 Material: ACERO INOXIDABLE Color: PLATEADO Referencia:  Observacion:     Placa padre: I0002597Tipo adquisicion: Entidad</v>
      </c>
      <c r="G6115" s="5"/>
    </row>
    <row r="6116" spans="1:7" ht="58.5" customHeight="1" x14ac:dyDescent="0.25">
      <c r="A6116" s="5" t="str">
        <f>"I0002608"</f>
        <v>I0002608</v>
      </c>
      <c r="B6116" s="5" t="str">
        <f>"PINZA HEMOSTATICA (PENNINGTON)"</f>
        <v>PINZA HEMOSTATICA (PENNINGTON)</v>
      </c>
      <c r="C6116" s="6">
        <v>81200</v>
      </c>
      <c r="D6116" s="5"/>
      <c r="E6116" s="5" t="str">
        <f t="shared" si="307"/>
        <v>INSTRUMENTACION-DIANA CAICEDO-DIANA DIAZ</v>
      </c>
      <c r="F6116" s="5" t="str">
        <f>"Descripcion: PENINGTON Estado: Bueno Placa anterior: 000036143 Material: ACERO INOXIDABLE Color: PLATEADO Referencia:  Observacion: PINZA HEMOSTATICA ROCHSTER PEAN Placa padre: I0002604Tipo adquisicion: Entidad"</f>
        <v>Descripcion: PENINGTON Estado: Bueno Placa anterior: 000036143 Material: ACERO INOXIDABLE Color: PLATEADO Referencia:  Observacion: PINZA HEMOSTATICA ROCHSTER PEAN Placa padre: I0002604Tipo adquisicion: Entidad</v>
      </c>
      <c r="G6116" s="5"/>
    </row>
    <row r="6117" spans="1:7" ht="58.5" customHeight="1" x14ac:dyDescent="0.25">
      <c r="A6117" s="5" t="str">
        <f>"I0002611"</f>
        <v>I0002611</v>
      </c>
      <c r="B6117" s="5" t="str">
        <f>"ESTERNOTOMO"</f>
        <v>ESTERNOTOMO</v>
      </c>
      <c r="C6117" s="6">
        <v>872533</v>
      </c>
      <c r="D6117" s="5"/>
      <c r="E6117" s="5" t="str">
        <f t="shared" si="307"/>
        <v>INSTRUMENTACION-DIANA CAICEDO-DIANA DIAZ</v>
      </c>
      <c r="F6117" s="5" t="str">
        <f>"Descripcion: ESTERNOTOMO Estado: Bueno Placa anterior: 000023821 Material: ACERO INOXIDABLE Color: PLATEADO Referencia:  Observacion:     Placa padre: I0002610Tipo adquisicion: Entidad"</f>
        <v>Descripcion: ESTERNOTOMO Estado: Bueno Placa anterior: 000023821 Material: ACERO INOXIDABLE Color: PLATEADO Referencia:  Observacion:     Placa padre: I0002610Tipo adquisicion: Entidad</v>
      </c>
      <c r="G6117" s="5"/>
    </row>
    <row r="6118" spans="1:7" ht="58.5" customHeight="1" x14ac:dyDescent="0.25">
      <c r="A6118" s="5" t="str">
        <f>"I0002612"</f>
        <v>I0002612</v>
      </c>
      <c r="B6118" s="5" t="str">
        <f>"MARTILLO (INSTRUMENTAL)"</f>
        <v>MARTILLO (INSTRUMENTAL)</v>
      </c>
      <c r="C6118" s="6">
        <v>237800</v>
      </c>
      <c r="D6118" s="5"/>
      <c r="E6118" s="5" t="str">
        <f t="shared" si="307"/>
        <v>INSTRUMENTACION-DIANA CAICEDO-DIANA DIAZ</v>
      </c>
      <c r="F6118" s="5" t="str">
        <f>"Descripcion: MARTILLO Estado: Bueno Placa anterior: 000031879 Material: ACERO INOXIDABLE Color: PLATEADO Referencia:  Observacion:     Placa padre: I0002610Tipo adquisicion: Entidad"</f>
        <v>Descripcion: MARTILLO Estado: Bueno Placa anterior: 000031879 Material: ACERO INOXIDABLE Color: PLATEADO Referencia:  Observacion:     Placa padre: I0002610Tipo adquisicion: Entidad</v>
      </c>
      <c r="G6118" s="5"/>
    </row>
    <row r="6119" spans="1:7" ht="58.5" customHeight="1" x14ac:dyDescent="0.25">
      <c r="A6119" s="5" t="str">
        <f>"I0002621"</f>
        <v>I0002621</v>
      </c>
      <c r="B6119" s="5" t="str">
        <f>"PORTAGUJAS (PINZA)"</f>
        <v>PORTAGUJAS (PINZA)</v>
      </c>
      <c r="C6119" s="6">
        <v>139200</v>
      </c>
      <c r="D6119" s="5"/>
      <c r="E6119" s="5" t="str">
        <f t="shared" si="307"/>
        <v>INSTRUMENTACION-DIANA CAICEDO-DIANA DIAZ</v>
      </c>
      <c r="F6119" s="5" t="str">
        <f>"Descripcion: PORTA AGUJAS MEDIANO Estado: Bueno Placa anterior: 000032420 Material: ACERO INOXIDABLE Color: PLATEADO Referencia:  Observacion: PORTA AGUJAS MASSON RANURADO EN LA PUNTA CIERRE DE CREMALLERA  Placa padre: I0002613Tipo adquisicion: Entidad"</f>
        <v>Descripcion: PORTA AGUJAS MEDIANO Estado: Bueno Placa anterior: 000032420 Material: ACERO INOXIDABLE Color: PLATEADO Referencia:  Observacion: PORTA AGUJAS MASSON RANURADO EN LA PUNTA CIERRE DE CREMALLERA  Placa padre: I0002613Tipo adquisicion: Entidad</v>
      </c>
      <c r="G6119" s="5"/>
    </row>
    <row r="6120" spans="1:7" ht="58.5" customHeight="1" x14ac:dyDescent="0.25">
      <c r="A6120" s="5" t="str">
        <f>"I0002622"</f>
        <v>I0002622</v>
      </c>
      <c r="B6120" s="5" t="str">
        <f>"PINZA DE DISECCION SIN GARRA LARGA 25 CM"</f>
        <v>PINZA DE DISECCION SIN GARRA LARGA 25 CM</v>
      </c>
      <c r="C6120" s="6">
        <v>17400</v>
      </c>
      <c r="D6120" s="5"/>
      <c r="E6120" s="5" t="str">
        <f t="shared" si="307"/>
        <v>INSTRUMENTACION-DIANA CAICEDO-DIANA DIAZ</v>
      </c>
      <c r="F6120" s="5" t="str">
        <f>"Descripcion: PINZA DE DISECCION MEDIANA SIN GARRA Estado: Bueno Placa anterior: 000032293 Material: ACERO INOXIDABLE Color: PLATEADO Referencia:  Observacion:     Placa padre: I0002613Tipo adquisicion: Entidad"</f>
        <v>Descripcion: PINZA DE DISECCION MEDIANA SIN GARRA Estado: Bueno Placa anterior: 000032293 Material: ACERO INOXIDABLE Color: PLATEADO Referencia:  Observacion:     Placa padre: I0002613Tipo adquisicion: Entidad</v>
      </c>
      <c r="G6120" s="5"/>
    </row>
    <row r="6121" spans="1:7" ht="58.5" customHeight="1" x14ac:dyDescent="0.25">
      <c r="A6121" s="5" t="str">
        <f>"I0002624"</f>
        <v>I0002624</v>
      </c>
      <c r="B6121" s="5" t="str">
        <f>"EQUIPO DE SEPTOPLASTIA"</f>
        <v>EQUIPO DE SEPTOPLASTIA</v>
      </c>
      <c r="C6121" s="6">
        <v>819792</v>
      </c>
      <c r="D6121" s="5"/>
      <c r="E6121" s="5" t="str">
        <f t="shared" si="307"/>
        <v>INSTRUMENTACION-DIANA CAICEDO-DIANA DIAZ</v>
      </c>
      <c r="F6121" s="5" t="str">
        <f>"Descripcion: EQUIPO DE SEPTOPLASTIA # 1 QUE CONSTA DE:  (1) MANGO DE BISTURI #7  (1) TIJERA DE METZEMBAUN CURVA FINA PEQUEÑA  (1) TIJERA DE METZEMBAUN RECTA FINA PEQUEÑA  (1) TIJERA DE MAYO RECTA   (0) TIJETA JOSEPH  (1) TIJERA DE FOMON   (1) TIJERA DE KN"&amp; "IFE  (2) SEPARADORES DE SENN MILLER  (2) SEPARADORES BABY FARABEUF  (1) GANCHO DOBLE ABOTONADO  (1) PINZA DE DISECCION ADSON CON GARRA  (1) PINZA DE DISECCION ADSON BRAUM  (1) PINZA DE DISECCION EN BAYONETA  (1) PINZA DE OGURA   (0) PINZA DE KELLY CURVA  "&amp; "(1) PINZAS DE KELLY RECTAS  (0) PINZAS DE MOSQUITO CURVAS  (1) PORTA AGUJAS MEDIANO DE MAYO  (0) PINZA DE COLUMNELA   (1) PINZA DE HARMAN   (1) PINZA DE WILL BLAKESLEY (DIMEDA)  (1) PINZA DE LUBEL   (1) CUCHILLO DE COTHLE  (1) ESCOFINA DOBLE DE COTHLE   ("&amp; "1) DISECTOR DE MACKENTY MARTIN   (1) DISECTOR DE JOSEPH MARTIN  (0) DISECTOR DE FREE  (2) CINCELES RECTOS  (1) CINCEL FINO PEQUEÑO  (1) RETRACTOR AGUDO ABOTONADO  (1) MARTILLO DE LAWTON  (0) ESPECULO DE KILLIAN  (1) ESPECULO DE COTLE  (1) ESPECULO DE VIEN"&amp; "NA  (4) PINZAS DE CAMPO   (1) CANULAS DE SUCCION #8 Y #10  (1) COCA NIQUELADA   (1) PLATON NIQUELADO Y CUBETA DE INSTRUMENTAL Estado: Bueno Placa anterior: 000012866 Material: ACERO INOXIDABLE Color: PLATEADO Referencia:  Observacion:     Placa padre: Tip"&amp; "o adquisicion: Entidad"</f>
        <v>Descripcion: EQUIPO DE SEPTOPLASTIA # 1 QUE CONSTA DE:  (1) MANGO DE BISTURI #7  (1) TIJERA DE METZEMBAUN CURVA FINA PEQUEÑA  (1) TIJERA DE METZEMBAUN RECTA FINA PEQUEÑA  (1) TIJERA DE MAYO RECTA   (0) TIJETA JOSEPH  (1) TIJERA DE FOMON   (1) TIJERA DE KNIFE  (2) SEPARADORES DE SENN MILLER  (2) SEPARADORES BABY FARABEUF  (1) GANCHO DOBLE ABOTONADO  (1) PINZA DE DISECCION ADSON CON GARRA  (1) PINZA DE DISECCION ADSON BRAUM  (1) PINZA DE DISECCION EN BAYONETA  (1) PINZA DE OGURA   (0) PINZA DE KELLY CURVA  (1) PINZAS DE KELLY RECTAS  (0) PINZAS DE MOSQUITO CURVAS  (1) PORTA AGUJAS MEDIANO DE MAYO  (0) PINZA DE COLUMNELA   (1) PINZA DE HARMAN   (1) PINZA DE WILL BLAKESLEY (DIMEDA)  (1) PINZA DE LUBEL   (1) CUCHILLO DE COTHLE  (1) ESCOFINA DOBLE DE COTHLE   (1) DISECTOR DE MACKENTY MARTIN   (1) DISECTOR DE JOSEPH MARTIN  (0) DISECTOR DE FREE  (2) CINCELES RECTOS  (1) CINCEL FINO PEQUEÑO  (1) RETRACTOR AGUDO ABOTONADO  (1) MARTILLO DE LAWTON  (0) ESPECULO DE KILLIAN  (1) ESPECULO DE COTLE  (1) ESPECULO DE VIENNA  (4) PINZAS DE CAMPO   (1) CANULAS DE SUCCION #8 Y #10  (1) COCA NIQUELADA   (1) PLATON NIQUELADO Y CUBETA DE INSTRUMENTAL Estado: Bueno Placa anterior: 000012866 Material: ACERO INOXIDABLE Color: PLATEADO Referencia:  Observacion:     Placa padre: Tipo adquisicion: Entidad</v>
      </c>
      <c r="G6121" s="5"/>
    </row>
    <row r="6122" spans="1:7" ht="58.5" customHeight="1" x14ac:dyDescent="0.25">
      <c r="A6122" s="5" t="str">
        <f>"I0002637"</f>
        <v>I0002637</v>
      </c>
      <c r="B6122" s="5" t="str">
        <f>"PINZA DE DISECCION SIN GARRA CORTA 20 CM"</f>
        <v>PINZA DE DISECCION SIN GARRA CORTA 20 CM</v>
      </c>
      <c r="C6122" s="6">
        <v>81200</v>
      </c>
      <c r="D6122" s="5"/>
      <c r="E6122" s="5" t="str">
        <f t="shared" si="307"/>
        <v>INSTRUMENTACION-DIANA CAICEDO-DIANA DIAZ</v>
      </c>
      <c r="F6122" s="5" t="str">
        <f>"Descripcion: PINZA DE DISECCION ADSON CON GARRA Estado: Bueno Placa anterior: 000031658 Material: ACERO INOXIDABLE Color: PLATEADO Referencia:  Observacion:     Placa padre: I0002624Tipo adquisicion: Entidad"</f>
        <v>Descripcion: PINZA DE DISECCION ADSON CON GARRA Estado: Bueno Placa anterior: 000031658 Material: ACERO INOXIDABLE Color: PLATEADO Referencia:  Observacion:     Placa padre: I0002624Tipo adquisicion: Entidad</v>
      </c>
      <c r="G6122" s="5"/>
    </row>
    <row r="6123" spans="1:7" ht="58.5" customHeight="1" x14ac:dyDescent="0.25">
      <c r="A6123" s="5" t="str">
        <f>"I0002638"</f>
        <v>I0002638</v>
      </c>
      <c r="B6123" s="5" t="str">
        <f>"PINZA DE DISECCION SIN GARRA CORTA 20 CM"</f>
        <v>PINZA DE DISECCION SIN GARRA CORTA 20 CM</v>
      </c>
      <c r="C6123" s="6">
        <v>81200</v>
      </c>
      <c r="D6123" s="5"/>
      <c r="E6123" s="5" t="str">
        <f t="shared" si="307"/>
        <v>INSTRUMENTACION-DIANA CAICEDO-DIANA DIAZ</v>
      </c>
      <c r="F6123" s="5" t="str">
        <f>"Descripcion: PINZA DE DISECCION ADSON BRAUM Estado: Bueno Placa anterior: 000031659 Material: ACERO INOXIDABLE Color: PLATEADO Referencia:  Observacion:     Placa padre: I0002624Tipo adquisicion: Entidad"</f>
        <v>Descripcion: PINZA DE DISECCION ADSON BRAUM Estado: Bueno Placa anterior: 000031659 Material: ACERO INOXIDABLE Color: PLATEADO Referencia:  Observacion:     Placa padre: I0002624Tipo adquisicion: Entidad</v>
      </c>
      <c r="G6123" s="5"/>
    </row>
    <row r="6124" spans="1:7" ht="58.5" customHeight="1" x14ac:dyDescent="0.25">
      <c r="A6124" s="5" t="str">
        <f>"I0002647"</f>
        <v>I0002647</v>
      </c>
      <c r="B6124" s="5" t="str">
        <f>"PORTAGUJAS (PINZA)"</f>
        <v>PORTAGUJAS (PINZA)</v>
      </c>
      <c r="C6124" s="6">
        <v>41775.279999999999</v>
      </c>
      <c r="D6124" s="5"/>
      <c r="E6124" s="5" t="str">
        <f t="shared" si="307"/>
        <v>INSTRUMENTACION-DIANA CAICEDO-DIANA DIAZ</v>
      </c>
      <c r="F6124" s="5" t="str">
        <f>"Descripcion: PORTA AGUJAS MEDIANO DE MAYO Estado: Bueno Placa anterior: 000006804 Material: ACERO INOXIDABLE Color: PLATEADO Referencia:  Observacion: PORTA AGUJA   Placa padre: I0002624Tipo adquisicion: Entidad"</f>
        <v>Descripcion: PORTA AGUJAS MEDIANO DE MAYO Estado: Bueno Placa anterior: 000006804 Material: ACERO INOXIDABLE Color: PLATEADO Referencia:  Observacion: PORTA AGUJA   Placa padre: I0002624Tipo adquisicion: Entidad</v>
      </c>
      <c r="G6124" s="5"/>
    </row>
    <row r="6125" spans="1:7" ht="58.5" customHeight="1" x14ac:dyDescent="0.25">
      <c r="A6125" s="5" t="str">
        <f>"I0002650"</f>
        <v>I0002650</v>
      </c>
      <c r="B6125" s="5" t="str">
        <f>"PINZA"</f>
        <v>PINZA</v>
      </c>
      <c r="C6125" s="6">
        <v>568400</v>
      </c>
      <c r="D6125" s="5"/>
      <c r="E6125" s="5" t="str">
        <f t="shared" si="307"/>
        <v>INSTRUMENTACION-DIANA CAICEDO-DIANA DIAZ</v>
      </c>
      <c r="F6125" s="5" t="str">
        <f>"Descripcion: PINZA DE WILL BLAKESLEY (DIMEDA) Estado: Bueno Placa anterior: 000031948 Material: ACERO INOXIDABLE Color: PLATEADO Referencia:  Observacion:     Placa padre: I0002624Tipo adquisicion: Entidad"</f>
        <v>Descripcion: PINZA DE WILL BLAKESLEY (DIMEDA) Estado: Bueno Placa anterior: 000031948 Material: ACERO INOXIDABLE Color: PLATEADO Referencia:  Observacion:     Placa padre: I0002624Tipo adquisicion: Entidad</v>
      </c>
      <c r="G6125" s="5"/>
    </row>
    <row r="6126" spans="1:7" ht="58.5" customHeight="1" x14ac:dyDescent="0.25">
      <c r="A6126" s="5" t="str">
        <f>"I0002654"</f>
        <v>I0002654</v>
      </c>
      <c r="B6126" s="5" t="str">
        <f>"DISECTOR PASA HILOS"</f>
        <v>DISECTOR PASA HILOS</v>
      </c>
      <c r="C6126" s="6">
        <v>145000</v>
      </c>
      <c r="D6126" s="5"/>
      <c r="E6126" s="5" t="str">
        <f t="shared" si="307"/>
        <v>INSTRUMENTACION-DIANA CAICEDO-DIANA DIAZ</v>
      </c>
      <c r="F6126" s="5" t="str">
        <f>"Descripcion: DISECTOR DE MACKENTY MARTIN  Estado: Bueno Placa anterior: 000032303 Material: ACERO INOXIDABLE Color: PLATEADO Referencia:  Observacion:     Placa padre: I0002624Tipo adquisicion: Entidad"</f>
        <v>Descripcion: DISECTOR DE MACKENTY MARTIN  Estado: Bueno Placa anterior: 000032303 Material: ACERO INOXIDABLE Color: PLATEADO Referencia:  Observacion:     Placa padre: I0002624Tipo adquisicion: Entidad</v>
      </c>
      <c r="G6126" s="5"/>
    </row>
    <row r="6127" spans="1:7" ht="58.5" customHeight="1" x14ac:dyDescent="0.25">
      <c r="A6127" s="5" t="str">
        <f>"I0002656"</f>
        <v>I0002656</v>
      </c>
      <c r="B6127" s="5" t="str">
        <f>"DISECTOR PASA HILOS"</f>
        <v>DISECTOR PASA HILOS</v>
      </c>
      <c r="C6127" s="6">
        <v>153120</v>
      </c>
      <c r="D6127" s="5"/>
      <c r="E6127" s="5" t="str">
        <f t="shared" si="307"/>
        <v>INSTRUMENTACION-DIANA CAICEDO-DIANA DIAZ</v>
      </c>
      <c r="F6127" s="5" t="str">
        <f>"Descripcion: DISECTOR DE FREE Estado: Bueno Placa anterior: 000021801 Material: ACERO INOXIDABLE Color: PLATEADO Referencia:  Observacion: ELEVADOR (RASPADOR) DOBLE,FREE Placa padre: I0002624Tipo adquisicion: Entidad"</f>
        <v>Descripcion: DISECTOR DE FREE Estado: Bueno Placa anterior: 000021801 Material: ACERO INOXIDABLE Color: PLATEADO Referencia:  Observacion: ELEVADOR (RASPADOR) DOBLE,FREE Placa padre: I0002624Tipo adquisicion: Entidad</v>
      </c>
      <c r="G6127" s="5"/>
    </row>
    <row r="6128" spans="1:7" ht="58.5" customHeight="1" x14ac:dyDescent="0.25">
      <c r="A6128" s="5" t="str">
        <f>"I0002657"</f>
        <v>I0002657</v>
      </c>
      <c r="B6128" s="5" t="str">
        <f>"CINCEL (INSTRUMENTAL)"</f>
        <v>CINCEL (INSTRUMENTAL)</v>
      </c>
      <c r="C6128" s="6">
        <v>300</v>
      </c>
      <c r="D6128" s="5"/>
      <c r="E6128" s="5" t="str">
        <f t="shared" si="307"/>
        <v>INSTRUMENTACION-DIANA CAICEDO-DIANA DIAZ</v>
      </c>
      <c r="F6128" s="5" t="str">
        <f>"Descripcion: CINCELES RECTOS Estado: Bueno Placa anterior: 000016493 Material: ACERO INOXIDABLE Color: PLATEADO Referencia:  Observacion:     Placa padre: I0002624Tipo adquisicion: Entidad"</f>
        <v>Descripcion: CINCELES RECTOS Estado: Bueno Placa anterior: 000016493 Material: ACERO INOXIDABLE Color: PLATEADO Referencia:  Observacion:     Placa padre: I0002624Tipo adquisicion: Entidad</v>
      </c>
      <c r="G6128" s="5"/>
    </row>
    <row r="6129" spans="1:7" ht="58.5" customHeight="1" x14ac:dyDescent="0.25">
      <c r="A6129" s="5" t="str">
        <f>"I0002658"</f>
        <v>I0002658</v>
      </c>
      <c r="B6129" s="5" t="str">
        <f>"CINCEL (INSTRUMENTAL)"</f>
        <v>CINCEL (INSTRUMENTAL)</v>
      </c>
      <c r="C6129" s="6">
        <v>300</v>
      </c>
      <c r="D6129" s="5"/>
      <c r="E6129" s="5" t="str">
        <f t="shared" si="307"/>
        <v>INSTRUMENTACION-DIANA CAICEDO-DIANA DIAZ</v>
      </c>
      <c r="F6129" s="5" t="str">
        <f>"Descripcion: CINCELES RECTOS Estado: Bueno Placa anterior: 000016494 Material: ACERO INOXIDABLE Color: PLATEADO Referencia:  Observacion:     Placa padre: I0002624Tipo adquisicion: Entidad"</f>
        <v>Descripcion: CINCELES RECTOS Estado: Bueno Placa anterior: 000016494 Material: ACERO INOXIDABLE Color: PLATEADO Referencia:  Observacion:     Placa padre: I0002624Tipo adquisicion: Entidad</v>
      </c>
      <c r="G6129" s="5"/>
    </row>
    <row r="6130" spans="1:7" ht="58.5" customHeight="1" x14ac:dyDescent="0.25">
      <c r="A6130" s="5" t="str">
        <f>"I0002659"</f>
        <v>I0002659</v>
      </c>
      <c r="B6130" s="5" t="str">
        <f>"CINCEL (INSTRUMENTAL)"</f>
        <v>CINCEL (INSTRUMENTAL)</v>
      </c>
      <c r="C6130" s="6">
        <v>81200</v>
      </c>
      <c r="D6130" s="5"/>
      <c r="E6130" s="5" t="str">
        <f t="shared" si="307"/>
        <v>INSTRUMENTACION-DIANA CAICEDO-DIANA DIAZ</v>
      </c>
      <c r="F6130" s="5" t="str">
        <f>"Descripcion: CINCEL FINO PEQUEÑO Estado: Bueno Placa anterior: 000031621 Material: ACERO INOXIDABLE Color: PLATEADO Referencia:  Observacion:     Placa padre: I0002624Tipo adquisicion: Entidad"</f>
        <v>Descripcion: CINCEL FINO PEQUEÑO Estado: Bueno Placa anterior: 000031621 Material: ACERO INOXIDABLE Color: PLATEADO Referencia:  Observacion:     Placa padre: I0002624Tipo adquisicion: Entidad</v>
      </c>
      <c r="G6130" s="5"/>
    </row>
    <row r="6131" spans="1:7" ht="58.5" customHeight="1" x14ac:dyDescent="0.25">
      <c r="A6131" s="5" t="str">
        <f>"I0002660"</f>
        <v>I0002660</v>
      </c>
      <c r="B6131" s="5" t="str">
        <f>"RETRACTOR (INSTRUMENTAL)"</f>
        <v>RETRACTOR (INSTRUMENTAL)</v>
      </c>
      <c r="C6131" s="6">
        <v>52200</v>
      </c>
      <c r="D6131" s="5"/>
      <c r="E6131" s="5" t="str">
        <f t="shared" si="307"/>
        <v>INSTRUMENTACION-DIANA CAICEDO-DIANA DIAZ</v>
      </c>
      <c r="F6131" s="5" t="str">
        <f>"Descripcion: RETRACTOR AGUDO ABOTONADO Estado: B Placa anterior: 000032456 Material: ACERO INOXIDABLE Color: PLATEADO Referencia:  Observacion:     Placa padre: I0002624Tipo adquisicion: Entidad"</f>
        <v>Descripcion: RETRACTOR AGUDO ABOTONADO Estado: B Placa anterior: 000032456 Material: ACERO INOXIDABLE Color: PLATEADO Referencia:  Observacion:     Placa padre: I0002624Tipo adquisicion: Entidad</v>
      </c>
      <c r="G6131" s="5"/>
    </row>
    <row r="6132" spans="1:7" ht="58.5" customHeight="1" x14ac:dyDescent="0.25">
      <c r="A6132" s="5" t="str">
        <f>"I0002662"</f>
        <v>I0002662</v>
      </c>
      <c r="B6132" s="5" t="str">
        <f>"ESPECULO"</f>
        <v>ESPECULO</v>
      </c>
      <c r="C6132" s="6">
        <v>183280</v>
      </c>
      <c r="D6132" s="5"/>
      <c r="E6132" s="5" t="str">
        <f t="shared" si="307"/>
        <v>INSTRUMENTACION-DIANA CAICEDO-DIANA DIAZ</v>
      </c>
      <c r="F6132" s="5" t="str">
        <f>"Descripcion: ESPECULO DE KILLIAN Estado: Bueno Placa anterior: 000032149 Material: ACERO INOXIDABLE Color: PLATEADO Referencia:  Observacion:     Placa padre: I0002624Tipo adquisicion: Entidad"</f>
        <v>Descripcion: ESPECULO DE KILLIAN Estado: Bueno Placa anterior: 000032149 Material: ACERO INOXIDABLE Color: PLATEADO Referencia:  Observacion:     Placa padre: I0002624Tipo adquisicion: Entidad</v>
      </c>
      <c r="G6132" s="5"/>
    </row>
    <row r="6133" spans="1:7" ht="58.5" customHeight="1" x14ac:dyDescent="0.25">
      <c r="A6133" s="5" t="str">
        <f>"I0002663"</f>
        <v>I0002663</v>
      </c>
      <c r="B6133" s="5" t="str">
        <f>"ESPECULO"</f>
        <v>ESPECULO</v>
      </c>
      <c r="C6133" s="6">
        <v>174000</v>
      </c>
      <c r="D6133" s="5"/>
      <c r="E6133" s="5" t="str">
        <f t="shared" si="307"/>
        <v>INSTRUMENTACION-DIANA CAICEDO-DIANA DIAZ</v>
      </c>
      <c r="F6133" s="5" t="str">
        <f>"Descripcion: ESPECULO DE COTLE Estado: Bueno Placa anterior: 000032146 Material: ACERO INOXIDABLE Color: PLATEADO Referencia:  Observacion:     Placa padre: I0002624Tipo adquisicion: Entidad"</f>
        <v>Descripcion: ESPECULO DE COTLE Estado: Bueno Placa anterior: 000032146 Material: ACERO INOXIDABLE Color: PLATEADO Referencia:  Observacion:     Placa padre: I0002624Tipo adquisicion: Entidad</v>
      </c>
      <c r="G6133" s="5"/>
    </row>
    <row r="6134" spans="1:7" ht="58.5" customHeight="1" x14ac:dyDescent="0.25">
      <c r="A6134" s="5" t="str">
        <f>"I0002664"</f>
        <v>I0002664</v>
      </c>
      <c r="B6134" s="5" t="str">
        <f>"ESPECULO"</f>
        <v>ESPECULO</v>
      </c>
      <c r="C6134" s="6">
        <v>127600</v>
      </c>
      <c r="D6134" s="5"/>
      <c r="E6134" s="5" t="str">
        <f t="shared" si="307"/>
        <v>INSTRUMENTACION-DIANA CAICEDO-DIANA DIAZ</v>
      </c>
      <c r="F6134" s="5" t="str">
        <f>"Descripcion: ESPECULO DE VIENNA Estado: Bueno Placa anterior: 000032152 Material: ACERO INOXIDABLE Color: PLATEADO Referencia:  Observacion:     Placa padre: I0002624Tipo adquisicion: Entidad"</f>
        <v>Descripcion: ESPECULO DE VIENNA Estado: Bueno Placa anterior: 000032152 Material: ACERO INOXIDABLE Color: PLATEADO Referencia:  Observacion:     Placa padre: I0002624Tipo adquisicion: Entidad</v>
      </c>
      <c r="G6134" s="5"/>
    </row>
    <row r="6135" spans="1:7" ht="58.5" customHeight="1" x14ac:dyDescent="0.25">
      <c r="A6135" s="5" t="str">
        <f>"I0002669"</f>
        <v>I0002669</v>
      </c>
      <c r="B6135" s="5" t="str">
        <f>"CANULA SUCCION/IRRIGACION"</f>
        <v>CANULA SUCCION/IRRIGACION</v>
      </c>
      <c r="C6135" s="6">
        <v>71572</v>
      </c>
      <c r="D6135" s="5"/>
      <c r="E6135" s="5" t="str">
        <f t="shared" si="307"/>
        <v>INSTRUMENTACION-DIANA CAICEDO-DIANA DIAZ</v>
      </c>
      <c r="F6135" s="5" t="str">
        <f>"Descripcion: CANULAS DE SUCCION #8 Estado: Bueno Placa anterior: 000025340 Material: ACERO INOXIDABLE Color: PLATEADO Referencia:  Observacion:     Placa padre: I0002624Tipo adquisicion: Entidad"</f>
        <v>Descripcion: CANULAS DE SUCCION #8 Estado: Bueno Placa anterior: 000025340 Material: ACERO INOXIDABLE Color: PLATEADO Referencia:  Observacion:     Placa padre: I0002624Tipo adquisicion: Entidad</v>
      </c>
      <c r="G6135" s="5"/>
    </row>
    <row r="6136" spans="1:7" ht="58.5" customHeight="1" x14ac:dyDescent="0.25">
      <c r="A6136" s="5" t="str">
        <f>"I0002670"</f>
        <v>I0002670</v>
      </c>
      <c r="B6136" s="5" t="str">
        <f>"CANULA SUCCION/IRRIGACION"</f>
        <v>CANULA SUCCION/IRRIGACION</v>
      </c>
      <c r="C6136" s="6">
        <v>71572</v>
      </c>
      <c r="D6136" s="5"/>
      <c r="E6136" s="5" t="str">
        <f t="shared" si="307"/>
        <v>INSTRUMENTACION-DIANA CAICEDO-DIANA DIAZ</v>
      </c>
      <c r="F6136" s="5" t="str">
        <f>"Descripcion: CANULAS DE SUCCION #10 Estado: Bueno Placa anterior: 000025341 Material: ACERO INOXIDABLE Color: PLATEADO Referencia:  Observacion:     Placa padre: I0002624Tipo adquisicion: Entidad"</f>
        <v>Descripcion: CANULAS DE SUCCION #10 Estado: Bueno Placa anterior: 000025341 Material: ACERO INOXIDABLE Color: PLATEADO Referencia:  Observacion:     Placa padre: I0002624Tipo adquisicion: Entidad</v>
      </c>
      <c r="G6136" s="5"/>
    </row>
    <row r="6137" spans="1:7" ht="58.5" customHeight="1" x14ac:dyDescent="0.25">
      <c r="A6137" s="5" t="str">
        <f>"I0002673"</f>
        <v>I0002673</v>
      </c>
      <c r="B6137" s="5" t="str">
        <f>"CUBETA DE ACERO INOXIDABLE MEDIANA"</f>
        <v>CUBETA DE ACERO INOXIDABLE MEDIANA</v>
      </c>
      <c r="C6137" s="6">
        <v>4400</v>
      </c>
      <c r="D6137" s="5"/>
      <c r="E6137" s="5" t="str">
        <f t="shared" si="307"/>
        <v>INSTRUMENTACION-DIANA CAICEDO-DIANA DIAZ</v>
      </c>
      <c r="F6137" s="5" t="str">
        <f>"Descripcion: CUBETA DE INSTRUMENTAL Estado: Bueno Placa anterior: 000007457 Material: ACERO INOXIDABLE Color: PLATEADO Referencia:  Observacion: CUBETA EN ACERO INOX.MEDIANA   Placa padre: I0002624Tipo adquisicion: Entidad"</f>
        <v>Descripcion: CUBETA DE INSTRUMENTAL Estado: Bueno Placa anterior: 000007457 Material: ACERO INOXIDABLE Color: PLATEADO Referencia:  Observacion: CUBETA EN ACERO INOX.MEDIANA   Placa padre: I0002624Tipo adquisicion: Entidad</v>
      </c>
      <c r="G6137" s="5"/>
    </row>
    <row r="6138" spans="1:7" ht="58.5" customHeight="1" x14ac:dyDescent="0.25">
      <c r="A6138" s="5" t="str">
        <f>"I0002674"</f>
        <v>I0002674</v>
      </c>
      <c r="B6138" s="5" t="str">
        <f>"EQUIPO DE SEPTOPLASTIA"</f>
        <v>EQUIPO DE SEPTOPLASTIA</v>
      </c>
      <c r="C6138" s="6">
        <v>819792</v>
      </c>
      <c r="D6138" s="5"/>
      <c r="E6138" s="5" t="str">
        <f t="shared" si="307"/>
        <v>INSTRUMENTACION-DIANA CAICEDO-DIANA DIAZ</v>
      </c>
      <c r="F6138" s="5" t="str">
        <f>"Descripcion: EQUIPO DE SEPTOPLASTIA # 2 QUE CONSTA DE:  (1) MANGO DE BISTURI #7  (0) TIJERA DE STIVENS  (1) TIJERA DE METZEMBAUN PEQUEÑA  (1) TIJERA DE MAYO  (2) SEPARADORES BABY FARABEUF  (2) SEPARADORES SENN MILLER  (1) PINZA DE DISECCION ADSON CON GARR"&amp; "A  (1) PINZA DE DISECCION EN BAYONETA  (2) PINZA DE KELLY CURVAS  (2) PINZAS DE KELLY RECTAS  (2) PINZAS DE MOSQUITO CURVAS  (2) PORTA AGUJAS  (3) ESPECULOS  (1)CHITELLY  (1)MACKENTY  (3) CINCELES 2 RECTOS 1 CURVO  (1) MARTILLO  (1) DISECTOR COTLE  (0) DI"&amp; "SECTOR FREE  (1) PINZA HIL BLAKESLEY  (2) PINZAS HARTMAN  (1) CANULA DE SUCCION DE FRAZIER  (4) PINZAS DE CAMPO  (1)RASPA NASAL  (1) GANCHO DOBLE AGUDO ABOTONADO  (1) GANCHO DOBLE ABOTONADO  (1) PINZA ORUGA  (1)COCA  (1) CUBETA Estado: Bueno Placa anterio"&amp; "r:  Material: ACERO INOXIDABLE Color: PLATEADO Referencia:  Observacion:     Placa padre: Tipo adquisicion: Entidad"</f>
        <v>Descripcion: EQUIPO DE SEPTOPLASTIA # 2 QUE CONSTA DE:  (1) MANGO DE BISTURI #7  (0) TIJERA DE STIVENS  (1) TIJERA DE METZEMBAUN PEQUEÑA  (1) TIJERA DE MAYO  (2) SEPARADORES BABY FARABEUF  (2) SEPARADORES SENN MILLER  (1) PINZA DE DISECCION ADSON CON GARRA  (1) PINZA DE DISECCION EN BAYONETA  (2) PINZA DE KELLY CURVAS  (2) PINZAS DE KELLY RECTAS  (2) PINZAS DE MOSQUITO CURVAS  (2) PORTA AGUJAS  (3) ESPECULOS  (1)CHITELLY  (1)MACKENTY  (3) CINCELES 2 RECTOS 1 CURVO  (1) MARTILLO  (1) DISECTOR COTLE  (0) DISECTOR FREE  (1) PINZA HIL BLAKESLEY  (2) PINZAS HARTMAN  (1) CANULA DE SUCCION DE FRAZIER  (4) PINZAS DE CAMPO  (1)RASPA NASAL  (1) GANCHO DOBLE AGUDO ABOTONADO  (1) GANCHO DOBLE ABOTONADO  (1) PINZA ORUGA  (1)COCA  (1) CUBETA Estado: Bueno Placa anterior:  Material: ACERO INOXIDABLE Color: PLATEADO Referencia:  Observacion:     Placa padre: Tipo adquisicion: Entidad</v>
      </c>
      <c r="G6138" s="5"/>
    </row>
    <row r="6139" spans="1:7" ht="58.5" customHeight="1" x14ac:dyDescent="0.25">
      <c r="A6139" s="5" t="str">
        <f>"I0002683"</f>
        <v>I0002683</v>
      </c>
      <c r="B6139" s="5" t="str">
        <f>"PINZA DE DISECCION SIN GARRA CORTA 20 CM"</f>
        <v>PINZA DE DISECCION SIN GARRA CORTA 20 CM</v>
      </c>
      <c r="C6139" s="6">
        <v>26680</v>
      </c>
      <c r="D6139" s="5"/>
      <c r="E6139" s="5" t="str">
        <f t="shared" si="307"/>
        <v>INSTRUMENTACION-DIANA CAICEDO-DIANA DIAZ</v>
      </c>
      <c r="F6139" s="5" t="str">
        <f>"Descripcion: PINZA DE DISECCION ADSON CON GARRA Estado: Bueno Placa anterior: 000031942 Material: ACERO INOXIDABLE Color: PLATEADO Referencia:  Observacion: PINZA DE DISECCION STANDARD Placa padre: I0002674Tipo adquisicion: Entidad"</f>
        <v>Descripcion: PINZA DE DISECCION ADSON CON GARRA Estado: Bueno Placa anterior: 000031942 Material: ACERO INOXIDABLE Color: PLATEADO Referencia:  Observacion: PINZA DE DISECCION STANDARD Placa padre: I0002674Tipo adquisicion: Entidad</v>
      </c>
      <c r="G6139" s="5"/>
    </row>
    <row r="6140" spans="1:7" ht="58.5" customHeight="1" x14ac:dyDescent="0.25">
      <c r="A6140" s="5" t="str">
        <f>"I0002693"</f>
        <v>I0002693</v>
      </c>
      <c r="B6140" s="5" t="str">
        <f>"ESPECULO"</f>
        <v>ESPECULO</v>
      </c>
      <c r="C6140" s="6">
        <v>183280</v>
      </c>
      <c r="D6140" s="5"/>
      <c r="E6140" s="5" t="str">
        <f t="shared" si="307"/>
        <v>INSTRUMENTACION-DIANA CAICEDO-DIANA DIAZ</v>
      </c>
      <c r="F6140" s="5" t="str">
        <f>"Descripcion: ESPECULO DE KILLIAN Estado: Bueno Placa anterior: 000032150 Material: ACERO INOXIDABLE Color: PLATEADO Referencia:  Observacion:     Placa padre: I0002674Tipo adquisicion: Entidad"</f>
        <v>Descripcion: ESPECULO DE KILLIAN Estado: Bueno Placa anterior: 000032150 Material: ACERO INOXIDABLE Color: PLATEADO Referencia:  Observacion:     Placa padre: I0002674Tipo adquisicion: Entidad</v>
      </c>
      <c r="G6140" s="5"/>
    </row>
    <row r="6141" spans="1:7" ht="58.5" customHeight="1" x14ac:dyDescent="0.25">
      <c r="A6141" s="5" t="str">
        <f>"I0002694"</f>
        <v>I0002694</v>
      </c>
      <c r="B6141" s="5" t="str">
        <f>"ESPECULO"</f>
        <v>ESPECULO</v>
      </c>
      <c r="C6141" s="6">
        <v>174000</v>
      </c>
      <c r="D6141" s="5"/>
      <c r="E6141" s="5" t="str">
        <f t="shared" si="307"/>
        <v>INSTRUMENTACION-DIANA CAICEDO-DIANA DIAZ</v>
      </c>
      <c r="F6141" s="5" t="str">
        <f>"Descripcion: ESPECULO DE COTLE Estado: Bueno Placa anterior: 000032147 Material: ACERO INOXIDABLE Color: PLATEADO Referencia:  Observacion:     Placa padre: I0002674Tipo adquisicion: Entidad"</f>
        <v>Descripcion: ESPECULO DE COTLE Estado: Bueno Placa anterior: 000032147 Material: ACERO INOXIDABLE Color: PLATEADO Referencia:  Observacion:     Placa padre: I0002674Tipo adquisicion: Entidad</v>
      </c>
      <c r="G6141" s="5"/>
    </row>
    <row r="6142" spans="1:7" ht="58.5" customHeight="1" x14ac:dyDescent="0.25">
      <c r="A6142" s="5" t="str">
        <f>"I0002695"</f>
        <v>I0002695</v>
      </c>
      <c r="B6142" s="5" t="str">
        <f>"ESPECULO"</f>
        <v>ESPECULO</v>
      </c>
      <c r="C6142" s="6">
        <v>127600</v>
      </c>
      <c r="D6142" s="5"/>
      <c r="E6142" s="5" t="str">
        <f t="shared" si="307"/>
        <v>INSTRUMENTACION-DIANA CAICEDO-DIANA DIAZ</v>
      </c>
      <c r="F6142" s="5" t="str">
        <f>"Descripcion: ESPECULO DE VIENNA Estado: Bueno Placa anterior: 000032153 Material: ACERO INOXIDABLE Color: PLATEADO Referencia:  Observacion:     Placa padre: I0002674Tipo adquisicion: Entidad"</f>
        <v>Descripcion: ESPECULO DE VIENNA Estado: Bueno Placa anterior: 000032153 Material: ACERO INOXIDABLE Color: PLATEADO Referencia:  Observacion:     Placa padre: I0002674Tipo adquisicion: Entidad</v>
      </c>
      <c r="G6142" s="5"/>
    </row>
    <row r="6143" spans="1:7" ht="58.5" customHeight="1" x14ac:dyDescent="0.25">
      <c r="A6143" s="5" t="str">
        <f>"I0002696"</f>
        <v>I0002696</v>
      </c>
      <c r="B6143" s="5" t="str">
        <f>"PINZA"</f>
        <v>PINZA</v>
      </c>
      <c r="C6143" s="6">
        <v>1392000</v>
      </c>
      <c r="D6143" s="5" t="s">
        <v>433</v>
      </c>
      <c r="E6143" s="5" t="str">
        <f t="shared" si="307"/>
        <v>INSTRUMENTACION-DIANA CAICEDO-DIANA DIAZ</v>
      </c>
      <c r="F6143" s="5" t="str">
        <f>"Descripcion: PINZA CHITELLY Estado: Bueno Placa anterior: 000031938 Material: ACERO INOXIDABLE Color: PLATEADO Referencia:  Observacion:     Placa padre: I0002674Tipo adquisicion: Entidad"</f>
        <v>Descripcion: PINZA CHITELLY Estado: Bueno Placa anterior: 000031938 Material: ACERO INOXIDABLE Color: PLATEADO Referencia:  Observacion:     Placa padre: I0002674Tipo adquisicion: Entidad</v>
      </c>
      <c r="G6143" s="5"/>
    </row>
    <row r="6144" spans="1:7" ht="58.5" customHeight="1" x14ac:dyDescent="0.25">
      <c r="A6144" s="5" t="str">
        <f>"I0002697"</f>
        <v>I0002697</v>
      </c>
      <c r="B6144" s="5" t="str">
        <f>"PINZA"</f>
        <v>PINZA</v>
      </c>
      <c r="C6144" s="6">
        <v>39700</v>
      </c>
      <c r="D6144" s="5"/>
      <c r="E6144" s="5" t="str">
        <f t="shared" si="307"/>
        <v>INSTRUMENTACION-DIANA CAICEDO-DIANA DIAZ</v>
      </c>
      <c r="F6144" s="5" t="str">
        <f>"Descripcion: PINZA MACKENTY Estado: Bueno Placa anterior: 000016325 Material: ACERO INOXIDABLE Color: PLATEADO Referencia:  Observacion:     Placa padre: I0002674Tipo adquisicion: Entidad"</f>
        <v>Descripcion: PINZA MACKENTY Estado: Bueno Placa anterior: 000016325 Material: ACERO INOXIDABLE Color: PLATEADO Referencia:  Observacion:     Placa padre: I0002674Tipo adquisicion: Entidad</v>
      </c>
      <c r="G6144" s="5"/>
    </row>
    <row r="6145" spans="1:7" ht="58.5" customHeight="1" x14ac:dyDescent="0.25">
      <c r="A6145" s="5" t="str">
        <f>"I0002698"</f>
        <v>I0002698</v>
      </c>
      <c r="B6145" s="5" t="str">
        <f>"CINCEL (INSTRUMENTAL)"</f>
        <v>CINCEL (INSTRUMENTAL)</v>
      </c>
      <c r="C6145" s="6">
        <v>300</v>
      </c>
      <c r="D6145" s="5"/>
      <c r="E6145" s="5" t="str">
        <f t="shared" si="307"/>
        <v>INSTRUMENTACION-DIANA CAICEDO-DIANA DIAZ</v>
      </c>
      <c r="F6145" s="5" t="str">
        <f>"Descripcion: CINCELES RECTOS Estado: Bueno Placa anterior: 000016495 Material: ACERO INOXIDABLE Color: PLATEADO Referencia:  Observacion:     Placa padre: I0002674Tipo adquisicion: Entidad"</f>
        <v>Descripcion: CINCELES RECTOS Estado: Bueno Placa anterior: 000016495 Material: ACERO INOXIDABLE Color: PLATEADO Referencia:  Observacion:     Placa padre: I0002674Tipo adquisicion: Entidad</v>
      </c>
      <c r="G6145" s="5"/>
    </row>
    <row r="6146" spans="1:7" ht="58.5" customHeight="1" x14ac:dyDescent="0.25">
      <c r="A6146" s="5" t="str">
        <f>"I0002699"</f>
        <v>I0002699</v>
      </c>
      <c r="B6146" s="5" t="str">
        <f>"CINCEL (INSTRUMENTAL)"</f>
        <v>CINCEL (INSTRUMENTAL)</v>
      </c>
      <c r="C6146" s="6">
        <v>300</v>
      </c>
      <c r="D6146" s="5"/>
      <c r="E6146" s="5" t="str">
        <f t="shared" si="307"/>
        <v>INSTRUMENTACION-DIANA CAICEDO-DIANA DIAZ</v>
      </c>
      <c r="F6146" s="5" t="str">
        <f>"Descripcion: CINCELES RECTOS Estado: Bueno Placa anterior: 000016496 Material: ACERO INOXIDABLE Color: PLATEADO Referencia:  Observacion:     Placa padre: I0002674Tipo adquisicion: Entidad"</f>
        <v>Descripcion: CINCELES RECTOS Estado: Bueno Placa anterior: 000016496 Material: ACERO INOXIDABLE Color: PLATEADO Referencia:  Observacion:     Placa padre: I0002674Tipo adquisicion: Entidad</v>
      </c>
      <c r="G6146" s="5"/>
    </row>
    <row r="6147" spans="1:7" ht="58.5" customHeight="1" x14ac:dyDescent="0.25">
      <c r="A6147" s="5" t="str">
        <f>"I0002700"</f>
        <v>I0002700</v>
      </c>
      <c r="B6147" s="5" t="str">
        <f>"CINCEL (INSTRUMENTAL)"</f>
        <v>CINCEL (INSTRUMENTAL)</v>
      </c>
      <c r="C6147" s="6">
        <v>300</v>
      </c>
      <c r="D6147" s="5"/>
      <c r="E6147" s="5" t="str">
        <f t="shared" si="307"/>
        <v>INSTRUMENTACION-DIANA CAICEDO-DIANA DIAZ</v>
      </c>
      <c r="F6147" s="5" t="str">
        <f>"Descripcion: CINCEL CURVO Estado: Bueno Placa anterior: 000016497 Material: ACERO INOXIDABLE Color: PLATEADO Referencia:  Observacion:     Placa padre: I0002674Tipo adquisicion: Entidad"</f>
        <v>Descripcion: CINCEL CURVO Estado: Bueno Placa anterior: 000016497 Material: ACERO INOXIDABLE Color: PLATEADO Referencia:  Observacion:     Placa padre: I0002674Tipo adquisicion: Entidad</v>
      </c>
      <c r="G6147" s="5"/>
    </row>
    <row r="6148" spans="1:7" ht="58.5" customHeight="1" x14ac:dyDescent="0.25">
      <c r="A6148" s="5" t="str">
        <f>"I0002701"</f>
        <v>I0002701</v>
      </c>
      <c r="B6148" s="5" t="str">
        <f>"MARTILLO (INSTRUMENTAL)"</f>
        <v>MARTILLO (INSTRUMENTAL)</v>
      </c>
      <c r="C6148" s="6">
        <v>237800</v>
      </c>
      <c r="D6148" s="5"/>
      <c r="E6148" s="5" t="str">
        <f t="shared" si="307"/>
        <v>INSTRUMENTACION-DIANA CAICEDO-DIANA DIAZ</v>
      </c>
      <c r="F6148" s="5" t="str">
        <f>"Descripcion: MARTILLO Estado: Bueno Placa anterior: 000031890 Material: ACERO INOXIDABLE Color: PLATEADO Referencia:  Observacion:     Placa padre: I0002674Tipo adquisicion: Entidad"</f>
        <v>Descripcion: MARTILLO Estado: Bueno Placa anterior: 000031890 Material: ACERO INOXIDABLE Color: PLATEADO Referencia:  Observacion:     Placa padre: I0002674Tipo adquisicion: Entidad</v>
      </c>
      <c r="G6148" s="5"/>
    </row>
    <row r="6149" spans="1:7" ht="58.5" customHeight="1" x14ac:dyDescent="0.25">
      <c r="A6149" s="5" t="str">
        <f>"I0002703"</f>
        <v>I0002703</v>
      </c>
      <c r="B6149" s="5" t="str">
        <f>"DISECTOR PASA HILOS"</f>
        <v>DISECTOR PASA HILOS</v>
      </c>
      <c r="C6149" s="6">
        <v>81200</v>
      </c>
      <c r="D6149" s="5"/>
      <c r="E6149" s="5" t="str">
        <f t="shared" si="307"/>
        <v>INSTRUMENTACION-DIANA CAICEDO-DIANA DIAZ</v>
      </c>
      <c r="F6149" s="5" t="str">
        <f>"Descripcion: DISECTOR DE FREE Estado: Bueno Placa anterior: 000032298 Material: ACERO INOXIDABLE Color: PLATEADO Referencia:  Observacion:     Placa padre: I0002674Tipo adquisicion: Entidad"</f>
        <v>Descripcion: DISECTOR DE FREE Estado: Bueno Placa anterior: 000032298 Material: ACERO INOXIDABLE Color: PLATEADO Referencia:  Observacion:     Placa padre: I0002674Tipo adquisicion: Entidad</v>
      </c>
      <c r="G6149" s="5"/>
    </row>
    <row r="6150" spans="1:7" ht="58.5" customHeight="1" x14ac:dyDescent="0.25">
      <c r="A6150" s="5" t="str">
        <f>"I0002704"</f>
        <v>I0002704</v>
      </c>
      <c r="B6150" s="5" t="str">
        <f>"PINZA"</f>
        <v>PINZA</v>
      </c>
      <c r="C6150" s="6">
        <v>568400</v>
      </c>
      <c r="D6150" s="5"/>
      <c r="E6150" s="5" t="str">
        <f t="shared" si="307"/>
        <v>INSTRUMENTACION-DIANA CAICEDO-DIANA DIAZ</v>
      </c>
      <c r="F6150" s="5" t="str">
        <f>"Descripcion: PINZA HIL BLAKESLEY Estado: Bueno Placa anterior: 000031949 Material: ACERO INOXIDABLE Color: PLATEADO Referencia:  Observacion:     Placa padre: I0002674Tipo adquisicion: Entidad"</f>
        <v>Descripcion: PINZA HIL BLAKESLEY Estado: Bueno Placa anterior: 000031949 Material: ACERO INOXIDABLE Color: PLATEADO Referencia:  Observacion:     Placa padre: I0002674Tipo adquisicion: Entidad</v>
      </c>
      <c r="G6150" s="5"/>
    </row>
    <row r="6151" spans="1:7" ht="58.5" customHeight="1" x14ac:dyDescent="0.25">
      <c r="A6151" s="5" t="str">
        <f>"I0002712"</f>
        <v>I0002712</v>
      </c>
      <c r="B6151" s="5" t="str">
        <f>"RASPA NASAL"</f>
        <v>RASPA NASAL</v>
      </c>
      <c r="C6151" s="6">
        <v>800</v>
      </c>
      <c r="D6151" s="5"/>
      <c r="E6151" s="5" t="str">
        <f t="shared" si="307"/>
        <v>INSTRUMENTACION-DIANA CAICEDO-DIANA DIAZ</v>
      </c>
      <c r="F6151" s="5" t="str">
        <f>"Descripcion: RASPA NASAL Estado: Bueno Placa anterior: 000012734 Material: ACERO INOXIDABLE Color: PLATEADO Referencia:  Observacion:     Placa padre: I0002674Tipo adquisicion: Entidad"</f>
        <v>Descripcion: RASPA NASAL Estado: Bueno Placa anterior: 000012734 Material: ACERO INOXIDABLE Color: PLATEADO Referencia:  Observacion:     Placa padre: I0002674Tipo adquisicion: Entidad</v>
      </c>
      <c r="G6151" s="5"/>
    </row>
    <row r="6152" spans="1:7" ht="58.5" customHeight="1" x14ac:dyDescent="0.25">
      <c r="A6152" s="5" t="str">
        <f>"I0002715"</f>
        <v>I0002715</v>
      </c>
      <c r="B6152" s="5" t="str">
        <f>"PINZA"</f>
        <v>PINZA</v>
      </c>
      <c r="C6152" s="6">
        <v>39700</v>
      </c>
      <c r="D6152" s="5"/>
      <c r="E6152" s="5" t="str">
        <f t="shared" si="307"/>
        <v>INSTRUMENTACION-DIANA CAICEDO-DIANA DIAZ</v>
      </c>
      <c r="F6152" s="5" t="str">
        <f>"Descripcion: PINZA DE ORUGA  Estado: Bueno Placa anterior: 000016326 Material: ACERO INOXIDABLE Color: PLATEADO Referencia:  Observacion: PINZA DE MACKENZY Placa padre: I0002674Tipo adquisicion: Entidad"</f>
        <v>Descripcion: PINZA DE ORUGA  Estado: Bueno Placa anterior: 000016326 Material: ACERO INOXIDABLE Color: PLATEADO Referencia:  Observacion: PINZA DE MACKENZY Placa padre: I0002674Tipo adquisicion: Entidad</v>
      </c>
      <c r="G6152" s="5"/>
    </row>
    <row r="6153" spans="1:7" ht="58.5" customHeight="1" x14ac:dyDescent="0.25">
      <c r="A6153" s="5" t="str">
        <f>"I0002718"</f>
        <v>I0002718</v>
      </c>
      <c r="B6153" s="5" t="str">
        <f>"EQUIPO DE MAXILO"</f>
        <v>EQUIPO DE MAXILO</v>
      </c>
      <c r="C6153" s="6">
        <v>920928</v>
      </c>
      <c r="D6153" s="5"/>
      <c r="E6153" s="5" t="str">
        <f t="shared" si="307"/>
        <v>INSTRUMENTACION-DIANA CAICEDO-DIANA DIAZ</v>
      </c>
      <c r="F6153" s="5" t="str">
        <f>"Descripcion: EQUIPO DE MAXILO # 1 QUE CONSTA DE:  (1) MANGO DE BISTURI #7  (1) TIJERA DE TEJIDO RECTA FINA  (1) TIJERA DE METZEMBAUN CORTA  (1) TIJERA DE METZEMBAUN PEQUEÑA  (1) TIJERA DE MAYO RECTA  (2) SEPARADORES DE FARABEUF  (2) SEPARADORES BABY FARAB"&amp; "EUF  (2) SEPARADORES DE SENN MILLER  (1) PINZA DE DISECCION CON GARRA CORTA (DIMEDA)  (1) PINZA DE DISECCION ADSON CON GARRA  (1) PINZA DE DISECCION EN BAYONETA  (1) PINZAS KELLY CURVAS (DIMEDA)  (2) PINZAS KELLY RECTAS (DIMEDA)  (4) PINZAS MOSQUITO CURVA"&amp; "S  (2) ROCHESTER CURVAS  (4) PINZAS DE CAMPO  (1) CANULA YANKAWER  (1) PORTA AGUJAS DE MAYO  (1) PORTA AGUJAS PEQUEÑO  (1) PINZA DE HARTMANT BABY  (1) PINZA DE HARTMAN  (0) PINZA DE CHITELLY (DIMEDA)  (1) GUBIA KERRISÓN (DIMEDA)  (1) DISECTOR DOBLE CORTAN"&amp; "TE  (0) DISECTOR DE FREE (DIMEDA)  (1) DISECTOR DE MACKENTY MARTIN  (1) RUGINA CURVA  (1) CINCELES CURVOS (DIMEDA)  (3) CINCELES RECTOS (DIMEDA)  (1) MARTILLO  (2) GANCHOS DE PIEL  (2) ESPECULOS NASALES KILLIAM, COTLE  (2) CANULAS DE SUCCION DE FRAZIER #1"&amp; "2 Y #10  (2) CURETAS DE TAGLIENTI  (1) COPA NIQUELADA  (1) PLATON NIQUELADO  (1) CUBETA DE INSTRUMENTAL NIQUELADO Estado: Bueno Placa anterior: 000012869 Material: ACERO INOXIDABLE Color: PLATEADO Referencia:  Observacion:     Placa padre: Tipo adquisicio"&amp; "n: Entidad"</f>
        <v>Descripcion: EQUIPO DE MAXILO # 1 QUE CONSTA DE:  (1) MANGO DE BISTURI #7  (1) TIJERA DE TEJIDO RECTA FINA  (1) TIJERA DE METZEMBAUN CORTA  (1) TIJERA DE METZEMBAUN PEQUEÑA  (1) TIJERA DE MAYO RECTA  (2) SEPARADORES DE FARABEUF  (2) SEPARADORES BABY FARABEUF  (2) SEPARADORES DE SENN MILLER  (1) PINZA DE DISECCION CON GARRA CORTA (DIMEDA)  (1) PINZA DE DISECCION ADSON CON GARRA  (1) PINZA DE DISECCION EN BAYONETA  (1) PINZAS KELLY CURVAS (DIMEDA)  (2) PINZAS KELLY RECTAS (DIMEDA)  (4) PINZAS MOSQUITO CURVAS  (2) ROCHESTER CURVAS  (4) PINZAS DE CAMPO  (1) CANULA YANKAWER  (1) PORTA AGUJAS DE MAYO  (1) PORTA AGUJAS PEQUEÑO  (1) PINZA DE HARTMANT BABY  (1) PINZA DE HARTMAN  (0) PINZA DE CHITELLY (DIMEDA)  (1) GUBIA KERRISÓN (DIMEDA)  (1) DISECTOR DOBLE CORTANTE  (0) DISECTOR DE FREE (DIMEDA)  (1) DISECTOR DE MACKENTY MARTIN  (1) RUGINA CURVA  (1) CINCELES CURVOS (DIMEDA)  (3) CINCELES RECTOS (DIMEDA)  (1) MARTILLO  (2) GANCHOS DE PIEL  (2) ESPECULOS NASALES KILLIAM, COTLE  (2) CANULAS DE SUCCION DE FRAZIER #12 Y #10  (2) CURETAS DE TAGLIENTI  (1) COPA NIQUELADA  (1) PLATON NIQUELADO  (1) CUBETA DE INSTRUMENTAL NIQUELADO Estado: Bueno Placa anterior: 000012869 Material: ACERO INOXIDABLE Color: PLATEADO Referencia:  Observacion:     Placa padre: Tipo adquisicion: Entidad</v>
      </c>
      <c r="G6153" s="5"/>
    </row>
    <row r="6154" spans="1:7" ht="58.5" customHeight="1" x14ac:dyDescent="0.25">
      <c r="A6154" s="5" t="str">
        <f>"I0002732"</f>
        <v>I0002732</v>
      </c>
      <c r="B6154" s="5" t="str">
        <f>"PINZA DE DISECCION SIN GARRA CORTA 20 CM"</f>
        <v>PINZA DE DISECCION SIN GARRA CORTA 20 CM</v>
      </c>
      <c r="C6154" s="6">
        <v>38280</v>
      </c>
      <c r="D6154" s="5"/>
      <c r="E6154" s="5" t="str">
        <f t="shared" si="307"/>
        <v>INSTRUMENTACION-DIANA CAICEDO-DIANA DIAZ</v>
      </c>
      <c r="F6154" s="5" t="str">
        <f>"Descripcion: PINZA DE DISECCION EN BAYONETA Estado: Bueno Placa anterior: 000031967 Material: ACERO INOXIDABLE Color: PLATEADO Referencia:  Observacion: PINZA DISECCION STANDARD Placa padre: I0002718Tipo adquisicion: Entidad"</f>
        <v>Descripcion: PINZA DE DISECCION EN BAYONETA Estado: Bueno Placa anterior: 000031967 Material: ACERO INOXIDABLE Color: PLATEADO Referencia:  Observacion: PINZA DISECCION STANDARD Placa padre: I0002718Tipo adquisicion: Entidad</v>
      </c>
      <c r="G6154" s="5"/>
    </row>
    <row r="6155" spans="1:7" ht="58.5" customHeight="1" x14ac:dyDescent="0.25">
      <c r="A6155" s="5" t="str">
        <f>"I0002733"</f>
        <v>I0002733</v>
      </c>
      <c r="B6155" s="5" t="str">
        <f>"PINZA KELLY CURVA 16 CM"</f>
        <v>PINZA KELLY CURVA 16 CM</v>
      </c>
      <c r="C6155" s="6">
        <v>81200</v>
      </c>
      <c r="D6155" s="5"/>
      <c r="E6155" s="5" t="str">
        <f t="shared" si="307"/>
        <v>INSTRUMENTACION-DIANA CAICEDO-DIANA DIAZ</v>
      </c>
      <c r="F6155" s="5" t="str">
        <f>"Descripcion: PINZAS KELLY CURVAS (DIMEDA) Estado: Bueno Placa anterior: 000036199 Material: ACERO INOXIDABLE Color: PLATEADO Referencia:  Observacion: PINZA PARA LIGADURAS  Placa padre: I0002718Tipo adquisicion: Entidad"</f>
        <v>Descripcion: PINZAS KELLY CURVAS (DIMEDA) Estado: Bueno Placa anterior: 000036199 Material: ACERO INOXIDABLE Color: PLATEADO Referencia:  Observacion: PINZA PARA LIGADURAS  Placa padre: I0002718Tipo adquisicion: Entidad</v>
      </c>
      <c r="G6155" s="5"/>
    </row>
    <row r="6156" spans="1:7" ht="58.5" customHeight="1" x14ac:dyDescent="0.25">
      <c r="A6156" s="5" t="str">
        <f>"I0002734"</f>
        <v>I0002734</v>
      </c>
      <c r="B6156" s="5" t="str">
        <f>"PINZA KELLY CURVA 16 CM"</f>
        <v>PINZA KELLY CURVA 16 CM</v>
      </c>
      <c r="C6156" s="6">
        <v>81200</v>
      </c>
      <c r="D6156" s="5"/>
      <c r="E6156" s="5" t="str">
        <f t="shared" si="307"/>
        <v>INSTRUMENTACION-DIANA CAICEDO-DIANA DIAZ</v>
      </c>
      <c r="F6156" s="5" t="str">
        <f>"Descripcion: PINZAS KELLY CURVAS (DIMEDA) Estado: Bueno Placa anterior: 000036196 Material: ACERO INOXIDABLE Color: PLATEADO Referencia:  Observacion: PINZA PARA LIGADURAS  Placa padre: I0002718Tipo adquisicion: Entidad"</f>
        <v>Descripcion: PINZAS KELLY CURVAS (DIMEDA) Estado: Bueno Placa anterior: 000036196 Material: ACERO INOXIDABLE Color: PLATEADO Referencia:  Observacion: PINZA PARA LIGADURAS  Placa padre: I0002718Tipo adquisicion: Entidad</v>
      </c>
      <c r="G6156" s="5"/>
    </row>
    <row r="6157" spans="1:7" ht="58.5" customHeight="1" x14ac:dyDescent="0.25">
      <c r="A6157" s="5" t="str">
        <f>"I0002748"</f>
        <v>I0002748</v>
      </c>
      <c r="B6157" s="5" t="str">
        <f>"PORTAGUJAS (PINZA)"</f>
        <v>PORTAGUJAS (PINZA)</v>
      </c>
      <c r="C6157" s="6">
        <v>81200</v>
      </c>
      <c r="D6157" s="5"/>
      <c r="E6157" s="5" t="str">
        <f t="shared" si="307"/>
        <v>INSTRUMENTACION-DIANA CAICEDO-DIANA DIAZ</v>
      </c>
      <c r="F6157" s="5" t="str">
        <f>"Descripcion: PORTA AGUJAS DE MAYO Estado: Bueno Placa anterior: 000032441 Material: ACERO INOXIDABLE Color: PLATEADO Referencia:  Observacion:     Placa padre: I0002718Tipo adquisicion: Entidad"</f>
        <v>Descripcion: PORTA AGUJAS DE MAYO Estado: Bueno Placa anterior: 000032441 Material: ACERO INOXIDABLE Color: PLATEADO Referencia:  Observacion:     Placa padre: I0002718Tipo adquisicion: Entidad</v>
      </c>
      <c r="G6157" s="5"/>
    </row>
    <row r="6158" spans="1:7" ht="58.5" customHeight="1" x14ac:dyDescent="0.25">
      <c r="A6158" s="5" t="str">
        <f>"I0002751"</f>
        <v>I0002751</v>
      </c>
      <c r="B6158" s="5" t="str">
        <f>"PINZA HARTMAN"</f>
        <v>PINZA HARTMAN</v>
      </c>
      <c r="C6158" s="6">
        <v>237800</v>
      </c>
      <c r="D6158" s="5"/>
      <c r="E6158" s="5" t="str">
        <f t="shared" si="307"/>
        <v>INSTRUMENTACION-DIANA CAICEDO-DIANA DIAZ</v>
      </c>
      <c r="F6158" s="5" t="str">
        <f>"Descripcion: PINZA DE HARTMAN Estado: Bueno Placa anterior: 000036022 Material: ACERO INOXIDABLE Color: PLATEADO Referencia:  Observacion:     Placa padre: I0002718Tipo adquisicion: Entidad"</f>
        <v>Descripcion: PINZA DE HARTMAN Estado: Bueno Placa anterior: 000036022 Material: ACERO INOXIDABLE Color: PLATEADO Referencia:  Observacion:     Placa padre: I0002718Tipo adquisicion: Entidad</v>
      </c>
      <c r="G6158" s="5"/>
    </row>
    <row r="6159" spans="1:7" ht="58.5" customHeight="1" x14ac:dyDescent="0.25">
      <c r="A6159" s="5" t="str">
        <f>"I0002752"</f>
        <v>I0002752</v>
      </c>
      <c r="B6159" s="5" t="str">
        <f>"PINZA"</f>
        <v>PINZA</v>
      </c>
      <c r="C6159" s="6">
        <v>568400</v>
      </c>
      <c r="D6159" s="5"/>
      <c r="E6159" s="5" t="str">
        <f t="shared" si="307"/>
        <v>INSTRUMENTACION-DIANA CAICEDO-DIANA DIAZ</v>
      </c>
      <c r="F6159" s="5" t="str">
        <f>"Descripcion: PINZA DE CHITELLY (DIMEDA) Estado: Bueno Placa anterior: 000031950 Material: ACERO INOXIDABLE Color: PLATEADO Referencia:  Observacion: PINZA DE HILL BLAKESLEY Placa padre: I0002718Tipo adquisicion: Entidad"</f>
        <v>Descripcion: PINZA DE CHITELLY (DIMEDA) Estado: Bueno Placa anterior: 000031950 Material: ACERO INOXIDABLE Color: PLATEADO Referencia:  Observacion: PINZA DE HILL BLAKESLEY Placa padre: I0002718Tipo adquisicion: Entidad</v>
      </c>
      <c r="G6159" s="5"/>
    </row>
    <row r="6160" spans="1:7" ht="58.5" customHeight="1" x14ac:dyDescent="0.25">
      <c r="A6160" s="5" t="str">
        <f>"I0002753"</f>
        <v>I0002753</v>
      </c>
      <c r="B6160" s="5" t="str">
        <f>"PINZA GUBIA"</f>
        <v>PINZA GUBIA</v>
      </c>
      <c r="C6160" s="6">
        <v>1090400</v>
      </c>
      <c r="D6160" s="5" t="s">
        <v>433</v>
      </c>
      <c r="E6160" s="5" t="str">
        <f t="shared" si="307"/>
        <v>INSTRUMENTACION-DIANA CAICEDO-DIANA DIAZ</v>
      </c>
      <c r="F6160" s="5" t="str">
        <f>"Descripcion: GUBIA KERRISÓN (DIMEDA) Estado: Bueno Placa anterior: 000031826 Material: ACERO INOXIDABLE Color: PLATEADO Referencia:  Observacion:     Placa padre: I0002718Tipo adquisicion: Entidad"</f>
        <v>Descripcion: GUBIA KERRISÓN (DIMEDA) Estado: Bueno Placa anterior: 000031826 Material: ACERO INOXIDABLE Color: PLATEADO Referencia:  Observacion:     Placa padre: I0002718Tipo adquisicion: Entidad</v>
      </c>
      <c r="G6160" s="5"/>
    </row>
    <row r="6161" spans="1:7" ht="58.5" customHeight="1" x14ac:dyDescent="0.25">
      <c r="A6161" s="5" t="str">
        <f>"I0002754"</f>
        <v>I0002754</v>
      </c>
      <c r="B6161" s="5" t="str">
        <f>"DISECTOR PASA HILOS"</f>
        <v>DISECTOR PASA HILOS</v>
      </c>
      <c r="C6161" s="6">
        <v>174000</v>
      </c>
      <c r="D6161" s="5"/>
      <c r="E6161" s="5" t="str">
        <f t="shared" si="307"/>
        <v>INSTRUMENTACION-DIANA CAICEDO-DIANA DIAZ</v>
      </c>
      <c r="F6161" s="5" t="str">
        <f>"Descripcion: DISECTOR DOBLE CORTANTE Estado: Bueno Placa anterior: 000032117 Material: ACERO INOXIDABLE Color: PLATEADO Referencia:  Observacion:     Placa padre: I0002718Tipo adquisicion: Entidad"</f>
        <v>Descripcion: DISECTOR DOBLE CORTANTE Estado: Bueno Placa anterior: 000032117 Material: ACERO INOXIDABLE Color: PLATEADO Referencia:  Observacion:     Placa padre: I0002718Tipo adquisicion: Entidad</v>
      </c>
      <c r="G6161" s="5"/>
    </row>
    <row r="6162" spans="1:7" ht="58.5" customHeight="1" x14ac:dyDescent="0.25">
      <c r="A6162" s="5" t="str">
        <f>"I0002755"</f>
        <v>I0002755</v>
      </c>
      <c r="B6162" s="5" t="str">
        <f>"DISECTOR PASA HILOS"</f>
        <v>DISECTOR PASA HILOS</v>
      </c>
      <c r="C6162" s="6">
        <v>81200</v>
      </c>
      <c r="D6162" s="5"/>
      <c r="E6162" s="5" t="str">
        <f t="shared" si="307"/>
        <v>INSTRUMENTACION-DIANA CAICEDO-DIANA DIAZ</v>
      </c>
      <c r="F6162" s="5" t="str">
        <f>"Descripcion: DISECTOR DE FREE (DIMEDA Estado: Bueno Placa anterior: 000032299 Material: ACERO INOXIDABLE Color: PLATEADO Referencia:  Observacion:     Placa padre: I0002718Tipo adquisicion: Entidad"</f>
        <v>Descripcion: DISECTOR DE FREE (DIMEDA Estado: Bueno Placa anterior: 000032299 Material: ACERO INOXIDABLE Color: PLATEADO Referencia:  Observacion:     Placa padre: I0002718Tipo adquisicion: Entidad</v>
      </c>
      <c r="G6162" s="5"/>
    </row>
    <row r="6163" spans="1:7" ht="58.5" customHeight="1" x14ac:dyDescent="0.25">
      <c r="A6163" s="5" t="str">
        <f>"I0002756"</f>
        <v>I0002756</v>
      </c>
      <c r="B6163" s="5" t="str">
        <f>"DISECTOR PASA HILOS"</f>
        <v>DISECTOR PASA HILOS</v>
      </c>
      <c r="C6163" s="6">
        <v>145000</v>
      </c>
      <c r="D6163" s="5"/>
      <c r="E6163" s="5" t="str">
        <f t="shared" si="307"/>
        <v>INSTRUMENTACION-DIANA CAICEDO-DIANA DIAZ</v>
      </c>
      <c r="F6163" s="5" t="str">
        <f>"Descripcion: DISECTOR DE MACKENTY MARTIN Estado: Bueno Placa anterior: 000032304 Material: ACERO INOXIDABLE Color: PLATEADO Referencia:  Observacion:     Placa padre: I0002718Tipo adquisicion: Entidad"</f>
        <v>Descripcion: DISECTOR DE MACKENTY MARTIN Estado: Bueno Placa anterior: 000032304 Material: ACERO INOXIDABLE Color: PLATEADO Referencia:  Observacion:     Placa padre: I0002718Tipo adquisicion: Entidad</v>
      </c>
      <c r="G6163" s="5"/>
    </row>
    <row r="6164" spans="1:7" ht="58.5" customHeight="1" x14ac:dyDescent="0.25">
      <c r="A6164" s="5" t="str">
        <f>"I0002757"</f>
        <v>I0002757</v>
      </c>
      <c r="B6164" s="5" t="str">
        <f>"RUGINA"</f>
        <v>RUGINA</v>
      </c>
      <c r="C6164" s="6">
        <v>121800</v>
      </c>
      <c r="D6164" s="5"/>
      <c r="E6164" s="5" t="str">
        <f t="shared" si="307"/>
        <v>INSTRUMENTACION-DIANA CAICEDO-DIANA DIAZ</v>
      </c>
      <c r="F6164" s="5" t="str">
        <f>"Descripcion: RUGINA CURVA Estado: Bueno Placa anterior: 000032498 Material: ACERO INOXIDABLE Color: PLATEADO Referencia:  Observacion:     Placa padre: I0002718Tipo adquisicion: Entidad"</f>
        <v>Descripcion: RUGINA CURVA Estado: Bueno Placa anterior: 000032498 Material: ACERO INOXIDABLE Color: PLATEADO Referencia:  Observacion:     Placa padre: I0002718Tipo adquisicion: Entidad</v>
      </c>
      <c r="G6164" s="5"/>
    </row>
    <row r="6165" spans="1:7" ht="58.5" customHeight="1" x14ac:dyDescent="0.25">
      <c r="A6165" s="5" t="str">
        <f>"I0002758"</f>
        <v>I0002758</v>
      </c>
      <c r="B6165" s="5" t="str">
        <f>"CINCEL (INSTRUMENTAL)"</f>
        <v>CINCEL (INSTRUMENTAL)</v>
      </c>
      <c r="C6165" s="6">
        <v>208800</v>
      </c>
      <c r="D6165" s="5"/>
      <c r="E6165" s="5" t="str">
        <f t="shared" si="307"/>
        <v>INSTRUMENTACION-DIANA CAICEDO-DIANA DIAZ</v>
      </c>
      <c r="F6165" s="5" t="str">
        <f>"Descripcion: CINCELES CURVOS (DIMEDA) Estado: Bueno Placa anterior: 000032306 Material: ACERO INOXIDABLE Color: PLATEADO Referencia:  Observacion:     Placa padre: I0002718Tipo adquisicion: Entidad"</f>
        <v>Descripcion: CINCELES CURVOS (DIMEDA) Estado: Bueno Placa anterior: 000032306 Material: ACERO INOXIDABLE Color: PLATEADO Referencia:  Observacion:     Placa padre: I0002718Tipo adquisicion: Entidad</v>
      </c>
      <c r="G6165" s="5"/>
    </row>
    <row r="6166" spans="1:7" ht="58.5" customHeight="1" x14ac:dyDescent="0.25">
      <c r="A6166" s="5" t="str">
        <f>"I0002759"</f>
        <v>I0002759</v>
      </c>
      <c r="B6166" s="5" t="str">
        <f>"CINCEL (INSTRUMENTAL)"</f>
        <v>CINCEL (INSTRUMENTAL)</v>
      </c>
      <c r="C6166" s="6">
        <v>208800</v>
      </c>
      <c r="D6166" s="5"/>
      <c r="E6166" s="5" t="str">
        <f t="shared" si="307"/>
        <v>INSTRUMENTACION-DIANA CAICEDO-DIANA DIAZ</v>
      </c>
      <c r="F6166" s="5" t="str">
        <f>"Descripcion: CINCELES RECTOS (DIMEDA) Estado: Bueno Placa anterior: 000032307 Material: ACERO INOXIDABLE Color: PLATEADO Referencia:  Observacion:     Placa padre: I0002718Tipo adquisicion: Entidad"</f>
        <v>Descripcion: CINCELES RECTOS (DIMEDA) Estado: Bueno Placa anterior: 000032307 Material: ACERO INOXIDABLE Color: PLATEADO Referencia:  Observacion:     Placa padre: I0002718Tipo adquisicion: Entidad</v>
      </c>
      <c r="G6166" s="5"/>
    </row>
    <row r="6167" spans="1:7" ht="58.5" customHeight="1" x14ac:dyDescent="0.25">
      <c r="A6167" s="5" t="str">
        <f>"I0002760"</f>
        <v>I0002760</v>
      </c>
      <c r="B6167" s="5" t="str">
        <f>"CINCEL (INSTRUMENTAL)"</f>
        <v>CINCEL (INSTRUMENTAL)</v>
      </c>
      <c r="C6167" s="6">
        <v>208800</v>
      </c>
      <c r="D6167" s="5"/>
      <c r="E6167" s="5" t="str">
        <f t="shared" si="307"/>
        <v>INSTRUMENTACION-DIANA CAICEDO-DIANA DIAZ</v>
      </c>
      <c r="F6167" s="5" t="str">
        <f>"Descripcion: CINCELES RECTOS (DIMEDA) Estado: Bueno Placa anterior: 000032308 Material: ACERO INOXIDABLE Color: PLATEADO Referencia:  Observacion:     Placa padre: I0002718Tipo adquisicion: Entidad"</f>
        <v>Descripcion: CINCELES RECTOS (DIMEDA) Estado: Bueno Placa anterior: 000032308 Material: ACERO INOXIDABLE Color: PLATEADO Referencia:  Observacion:     Placa padre: I0002718Tipo adquisicion: Entidad</v>
      </c>
      <c r="G6167" s="5"/>
    </row>
    <row r="6168" spans="1:7" ht="58.5" customHeight="1" x14ac:dyDescent="0.25">
      <c r="A6168" s="5" t="str">
        <f>"I0002761"</f>
        <v>I0002761</v>
      </c>
      <c r="B6168" s="5" t="str">
        <f>"CINCEL (INSTRUMENTAL)"</f>
        <v>CINCEL (INSTRUMENTAL)</v>
      </c>
      <c r="C6168" s="6">
        <v>208800</v>
      </c>
      <c r="D6168" s="5"/>
      <c r="E6168" s="5" t="str">
        <f t="shared" si="307"/>
        <v>INSTRUMENTACION-DIANA CAICEDO-DIANA DIAZ</v>
      </c>
      <c r="F6168" s="5" t="str">
        <f>"Descripcion: CINCELES RECTOS (DIMEDA) Estado: Bueno Placa anterior: 000032309 Material: ACERO INOXIDABLE Color: PLATEADO Referencia:  Observacion:     Placa padre: I0002718Tipo adquisicion: Entidad"</f>
        <v>Descripcion: CINCELES RECTOS (DIMEDA) Estado: Bueno Placa anterior: 000032309 Material: ACERO INOXIDABLE Color: PLATEADO Referencia:  Observacion:     Placa padre: I0002718Tipo adquisicion: Entidad</v>
      </c>
      <c r="G6168" s="5"/>
    </row>
    <row r="6169" spans="1:7" ht="58.5" customHeight="1" x14ac:dyDescent="0.25">
      <c r="A6169" s="5" t="str">
        <f>"I0002762"</f>
        <v>I0002762</v>
      </c>
      <c r="B6169" s="5" t="str">
        <f>"MARTILLO (INSTRUMENTAL)"</f>
        <v>MARTILLO (INSTRUMENTAL)</v>
      </c>
      <c r="C6169" s="6">
        <v>237800</v>
      </c>
      <c r="D6169" s="5"/>
      <c r="E6169" s="5" t="str">
        <f t="shared" si="307"/>
        <v>INSTRUMENTACION-DIANA CAICEDO-DIANA DIAZ</v>
      </c>
      <c r="F6169" s="5" t="str">
        <f>"Descripcion: MARTILLO Estado: Bueno Placa anterior: 000031891 Material: ACERO INOXIDABLE Color: PLATEADO Referencia:  Observacion:     Placa padre: I0002718Tipo adquisicion: Entidad"</f>
        <v>Descripcion: MARTILLO Estado: Bueno Placa anterior: 000031891 Material: ACERO INOXIDABLE Color: PLATEADO Referencia:  Observacion:     Placa padre: I0002718Tipo adquisicion: Entidad</v>
      </c>
      <c r="G6169" s="5"/>
    </row>
    <row r="6170" spans="1:7" ht="58.5" customHeight="1" x14ac:dyDescent="0.25">
      <c r="A6170" s="5" t="str">
        <f>"I0002765"</f>
        <v>I0002765</v>
      </c>
      <c r="B6170" s="5" t="str">
        <f>"ESPECULO NASAL"</f>
        <v>ESPECULO NASAL</v>
      </c>
      <c r="C6170" s="6">
        <v>183280</v>
      </c>
      <c r="D6170" s="5"/>
      <c r="E6170" s="5" t="str">
        <f t="shared" si="307"/>
        <v>INSTRUMENTACION-DIANA CAICEDO-DIANA DIAZ</v>
      </c>
      <c r="F6170" s="5" t="str">
        <f>"Descripcion: ESPECULOS NASALES KILLIAM Estado: Bueno Placa anterior: 000032151 Material: ACERO INOXIDABLE Color: PLATEADO Referencia:  Observacion:     Placa padre: I0002718Tipo adquisicion: Entidad"</f>
        <v>Descripcion: ESPECULOS NASALES KILLIAM Estado: Bueno Placa anterior: 000032151 Material: ACERO INOXIDABLE Color: PLATEADO Referencia:  Observacion:     Placa padre: I0002718Tipo adquisicion: Entidad</v>
      </c>
      <c r="G6170" s="5"/>
    </row>
    <row r="6171" spans="1:7" ht="58.5" customHeight="1" x14ac:dyDescent="0.25">
      <c r="A6171" s="5" t="str">
        <f>"I0002766"</f>
        <v>I0002766</v>
      </c>
      <c r="B6171" s="5" t="str">
        <f>"ESPECULO NASAL"</f>
        <v>ESPECULO NASAL</v>
      </c>
      <c r="C6171" s="6">
        <v>174000</v>
      </c>
      <c r="D6171" s="5"/>
      <c r="E6171" s="5" t="str">
        <f t="shared" si="307"/>
        <v>INSTRUMENTACION-DIANA CAICEDO-DIANA DIAZ</v>
      </c>
      <c r="F6171" s="5" t="str">
        <f>"Descripcion: ESPECULOS NASALES COTLE Estado: Bueno Placa anterior: 000032148 Material: ACERO INOXIDABLE Color: PLATEADO Referencia:  Observacion:     Placa padre: I0002718Tipo adquisicion: Entidad"</f>
        <v>Descripcion: ESPECULOS NASALES COTLE Estado: Bueno Placa anterior: 000032148 Material: ACERO INOXIDABLE Color: PLATEADO Referencia:  Observacion:     Placa padre: I0002718Tipo adquisicion: Entidad</v>
      </c>
      <c r="G6171" s="5"/>
    </row>
    <row r="6172" spans="1:7" ht="58.5" customHeight="1" x14ac:dyDescent="0.25">
      <c r="A6172" s="5" t="str">
        <f>"I0002767"</f>
        <v>I0002767</v>
      </c>
      <c r="B6172" s="5" t="str">
        <f>"ESPECULO NASAL"</f>
        <v>ESPECULO NASAL</v>
      </c>
      <c r="C6172" s="6">
        <v>127600</v>
      </c>
      <c r="D6172" s="5"/>
      <c r="E6172" s="5" t="str">
        <f t="shared" si="307"/>
        <v>INSTRUMENTACION-DIANA CAICEDO-DIANA DIAZ</v>
      </c>
      <c r="F6172" s="5" t="str">
        <f>"Descripcion: ESPECULOS NASALES VIENA Estado: Bueno Placa anterior: 000032154 Material: ACERO INOXIDABLE Color: PLATEADO Referencia:  Observacion:     Placa padre: I0002718Tipo adquisicion: Entidad"</f>
        <v>Descripcion: ESPECULOS NASALES VIENA Estado: Bueno Placa anterior: 000032154 Material: ACERO INOXIDABLE Color: PLATEADO Referencia:  Observacion:     Placa padre: I0002718Tipo adquisicion: Entidad</v>
      </c>
      <c r="G6172" s="5"/>
    </row>
    <row r="6173" spans="1:7" ht="58.5" customHeight="1" x14ac:dyDescent="0.25">
      <c r="A6173" s="5" t="str">
        <f>"I0002770"</f>
        <v>I0002770</v>
      </c>
      <c r="B6173" s="5" t="str">
        <f>"CURETA"</f>
        <v>CURETA</v>
      </c>
      <c r="C6173" s="6">
        <v>102080</v>
      </c>
      <c r="D6173" s="5"/>
      <c r="E6173" s="5" t="str">
        <f t="shared" si="307"/>
        <v>INSTRUMENTACION-DIANA CAICEDO-DIANA DIAZ</v>
      </c>
      <c r="F6173" s="5" t="str">
        <f>"Descripcion: CURETAS DE TAGLIENTI Estado: Bueno Placa anterior: 000032247 Material: ACERO INOXIDABLE Color: PLATEADO Referencia:  Observacion:     Placa padre: I0002718Tipo adquisicion: Entidad"</f>
        <v>Descripcion: CURETAS DE TAGLIENTI Estado: Bueno Placa anterior: 000032247 Material: ACERO INOXIDABLE Color: PLATEADO Referencia:  Observacion:     Placa padre: I0002718Tipo adquisicion: Entidad</v>
      </c>
      <c r="G6173" s="5"/>
    </row>
    <row r="6174" spans="1:7" ht="58.5" customHeight="1" x14ac:dyDescent="0.25">
      <c r="A6174" s="5" t="str">
        <f>"I0002771"</f>
        <v>I0002771</v>
      </c>
      <c r="B6174" s="5" t="str">
        <f>"CURETA"</f>
        <v>CURETA</v>
      </c>
      <c r="C6174" s="6">
        <v>102080</v>
      </c>
      <c r="D6174" s="5"/>
      <c r="E6174" s="5" t="str">
        <f t="shared" si="307"/>
        <v>INSTRUMENTACION-DIANA CAICEDO-DIANA DIAZ</v>
      </c>
      <c r="F6174" s="5" t="str">
        <f>"Descripcion: CURETAS DE TAGLIENTI Estado: Bueno Placa anterior: 000032248 Material: ACERO INOXIDABLE Color: PLATEADO Referencia:  Observacion:     Placa padre: I0002718Tipo adquisicion: Entidad"</f>
        <v>Descripcion: CURETAS DE TAGLIENTI Estado: Bueno Placa anterior: 000032248 Material: ACERO INOXIDABLE Color: PLATEADO Referencia:  Observacion:     Placa padre: I0002718Tipo adquisicion: Entidad</v>
      </c>
      <c r="G6174" s="5"/>
    </row>
    <row r="6175" spans="1:7" ht="58.5" customHeight="1" x14ac:dyDescent="0.25">
      <c r="A6175" s="5" t="str">
        <f>"I0002775"</f>
        <v>I0002775</v>
      </c>
      <c r="B6175" s="5" t="str">
        <f>"EQUIPO DE MAXILO"</f>
        <v>EQUIPO DE MAXILO</v>
      </c>
      <c r="C6175" s="6">
        <v>920928</v>
      </c>
      <c r="D6175" s="5"/>
      <c r="E6175" s="5" t="str">
        <f t="shared" ref="E6175:E6238" si="308">"INSTRUMENTACION-DIANA CAICEDO-DIANA DIAZ"</f>
        <v>INSTRUMENTACION-DIANA CAICEDO-DIANA DIAZ</v>
      </c>
      <c r="F6175" s="5" t="str">
        <f>"Descripcion: EQUIPO DE MAXILO # 2 QUE CONSTA DE:  (1) MANGO DE BISTURI #7  (1) TIJERA DE TEJIDO RECTA FINA  (1) TIJERA DE METZEMBAUN CORTA  (1) TIJERA DE METZEMBAUN PEQUEÑA  (1) TIJERA DE MAYO RECTA  (2) SEPARADORES DE FARABEUF  (2) SEPARADORES BABY FARAB"&amp; "EUF  (2) SEPARADORES DE SENN MILLER  (1) PINZA DE DISECCION CON GARRA CORTA (DIMEDA)  (1) PINZA DE DISECCION ADSON CON GARRA  (1) PINZA DE DISECCION EN BAYONETA  (2) PINZAS KELLY CURVAS (DIMEDA)  (2) PINZAS KELLY RECTAS (DIMEDA)  (2) PINZAS MOSQUITO CURVA"&amp; "S  (2) ROCHESTER CURVAS  (4) PINZAS DE CAMPO  (1) CANULA YANKAWER  (1) PORTA AGUJAS DE MAYO  (1) PORTA AGUJAS PEQUEÑO  (1) PINZA DE HARTMANT BABY  (1) PINZA DE HARTMAN  (1) PINZA DE CHITELLY (DIMEDA)  (1) GUBIA KERRISÓN (DIMEDA)  (1) DISECTOR DOBLE CORTAN"&amp; "TE  (1) DISECTOR DE FREE (DIMEDA)  (1) DISECTOR DE MACKENTY MARTIN  (1) RUGINA CURVA  (1) CINCELES CURVOS (DIMEDA)  (3) CINCELES RECTOS (DIMEDA)  (1) MARTILLO  (2) GANCHOS DE PIEL  (3) ESPECULOS NASALES KILLIAM, COTLE, VIENA  (2) CANULAS DE SUCCION DE FRA"&amp; "ZIER #12 Y #10  (2) CURETAS DE TAGLIENTI  (1) COPA NIQUELADA  (1) PLATON NIQUELADO  (1) CUBETA DE INSTRUMENTAL NIQUELADO Estado: Bueno Placa anterior:  Material: ACERO INOXIDABLE Color: PLATEADO Referencia:  Observacion:     Placa padre: Tipo adquisicion:"&amp; " Entidad"</f>
        <v>Descripcion: EQUIPO DE MAXILO # 2 QUE CONSTA DE:  (1) MANGO DE BISTURI #7  (1) TIJERA DE TEJIDO RECTA FINA  (1) TIJERA DE METZEMBAUN CORTA  (1) TIJERA DE METZEMBAUN PEQUEÑA  (1) TIJERA DE MAYO RECTA  (2) SEPARADORES DE FARABEUF  (2) SEPARADORES BABY FARABEUF  (2) SEPARADORES DE SENN MILLER  (1) PINZA DE DISECCION CON GARRA CORTA (DIMEDA)  (1) PINZA DE DISECCION ADSON CON GARRA  (1) PINZA DE DISECCION EN BAYONETA  (2) PINZAS KELLY CURVAS (DIMEDA)  (2) PINZAS KELLY RECTAS (DIMEDA)  (2) PINZAS MOSQUITO CURVAS  (2) ROCHESTER CURVAS  (4) PINZAS DE CAMPO  (1) CANULA YANKAWER  (1) PORTA AGUJAS DE MAYO  (1) PORTA AGUJAS PEQUEÑO  (1) PINZA DE HARTMANT BABY  (1) PINZA DE HARTMAN  (1) PINZA DE CHITELLY (DIMEDA)  (1) GUBIA KERRISÓN (DIMEDA)  (1) DISECTOR DOBLE CORTANTE  (1) DISECTOR DE FREE (DIMEDA)  (1) DISECTOR DE MACKENTY MARTIN  (1) RUGINA CURVA  (1) CINCELES CURVOS (DIMEDA)  (3) CINCELES RECTOS (DIMEDA)  (1) MARTILLO  (2) GANCHOS DE PIEL  (3) ESPECULOS NASALES KILLIAM, COTLE, VIENA  (2) CANULAS DE SUCCION DE FRAZIER #12 Y #10  (2) CURETAS DE TAGLIENTI  (1) COPA NIQUELADA  (1) PLATON NIQUELADO  (1) CUBETA DE INSTRUMENTAL NIQUELADO Estado: Bueno Placa anterior:  Material: ACERO INOXIDABLE Color: PLATEADO Referencia:  Observacion:     Placa padre: Tipo adquisicion: Entidad</v>
      </c>
      <c r="G6175" s="5"/>
    </row>
    <row r="6176" spans="1:7" ht="58.5" customHeight="1" x14ac:dyDescent="0.25">
      <c r="A6176" s="5" t="str">
        <f>"I0002785"</f>
        <v>I0002785</v>
      </c>
      <c r="B6176" s="5" t="str">
        <f>"PINZA DE DISECCION SIN GARRA CORTA 20 CM"</f>
        <v>PINZA DE DISECCION SIN GARRA CORTA 20 CM</v>
      </c>
      <c r="C6176" s="6">
        <v>26680</v>
      </c>
      <c r="D6176" s="5"/>
      <c r="E6176" s="5" t="str">
        <f t="shared" si="308"/>
        <v>INSTRUMENTACION-DIANA CAICEDO-DIANA DIAZ</v>
      </c>
      <c r="F6176" s="5" t="str">
        <f>"Descripcion: PINZA DE DISECCION ADSON CON GARRA Estado: Bueno Placa anterior: 000031946 Material: ACERO INOXIDABLE Color: PLATEADO Referencia:  Observacion: PINZA DE DISECCION STANDARD  Placa padre: I0002775Tipo adquisicion: Entidad"</f>
        <v>Descripcion: PINZA DE DISECCION ADSON CON GARRA Estado: Bueno Placa anterior: 000031946 Material: ACERO INOXIDABLE Color: PLATEADO Referencia:  Observacion: PINZA DE DISECCION STANDARD  Placa padre: I0002775Tipo adquisicion: Entidad</v>
      </c>
      <c r="G6176" s="5"/>
    </row>
    <row r="6177" spans="1:7" ht="58.5" customHeight="1" x14ac:dyDescent="0.25">
      <c r="A6177" s="5" t="str">
        <f>"I0002786"</f>
        <v>I0002786</v>
      </c>
      <c r="B6177" s="5" t="str">
        <f>"PINZA DE DISECCION SIN GARRA CORTA 20 CM"</f>
        <v>PINZA DE DISECCION SIN GARRA CORTA 20 CM</v>
      </c>
      <c r="C6177" s="6">
        <v>38280</v>
      </c>
      <c r="D6177" s="5"/>
      <c r="E6177" s="5" t="str">
        <f t="shared" si="308"/>
        <v>INSTRUMENTACION-DIANA CAICEDO-DIANA DIAZ</v>
      </c>
      <c r="F6177" s="5" t="str">
        <f>"Descripcion: PINZA DE DISECCION EN BAYONETA Estado: Bueno Placa anterior: 000031973 Material: ACERO INOXIDABLE Color: PLATEADO Referencia:  Observacion: PINZA DISECCION STANDARD Placa padre: I0002775Tipo adquisicion: Entidad"</f>
        <v>Descripcion: PINZA DE DISECCION EN BAYONETA Estado: Bueno Placa anterior: 000031973 Material: ACERO INOXIDABLE Color: PLATEADO Referencia:  Observacion: PINZA DISECCION STANDARD Placa padre: I0002775Tipo adquisicion: Entidad</v>
      </c>
      <c r="G6177" s="5"/>
    </row>
    <row r="6178" spans="1:7" ht="58.5" customHeight="1" x14ac:dyDescent="0.25">
      <c r="A6178" s="5" t="str">
        <f>"I0002787"</f>
        <v>I0002787</v>
      </c>
      <c r="B6178" s="5" t="str">
        <f>"PINZA KELLY CURVA 16 CM"</f>
        <v>PINZA KELLY CURVA 16 CM</v>
      </c>
      <c r="C6178" s="6">
        <v>81200</v>
      </c>
      <c r="D6178" s="5"/>
      <c r="E6178" s="5" t="str">
        <f t="shared" si="308"/>
        <v>INSTRUMENTACION-DIANA CAICEDO-DIANA DIAZ</v>
      </c>
      <c r="F6178" s="5" t="str">
        <f>"Descripcion: PINZAS KELLY CURVAS (DIMEDA) Estado: Bueno Placa anterior: 000036205 Material: ACERO INOXIDABLE Color: PLATEADO Referencia:  Observacion: PINZA PARA LIGADURAS  Placa padre: I0002775Tipo adquisicion: Entidad"</f>
        <v>Descripcion: PINZAS KELLY CURVAS (DIMEDA) Estado: Bueno Placa anterior: 000036205 Material: ACERO INOXIDABLE Color: PLATEADO Referencia:  Observacion: PINZA PARA LIGADURAS  Placa padre: I0002775Tipo adquisicion: Entidad</v>
      </c>
      <c r="G6178" s="5"/>
    </row>
    <row r="6179" spans="1:7" ht="58.5" customHeight="1" x14ac:dyDescent="0.25">
      <c r="A6179" s="5" t="str">
        <f>"I0002788"</f>
        <v>I0002788</v>
      </c>
      <c r="B6179" s="5" t="str">
        <f>"PINZA KELLY CURVA 16 CM"</f>
        <v>PINZA KELLY CURVA 16 CM</v>
      </c>
      <c r="C6179" s="6">
        <v>81200</v>
      </c>
      <c r="D6179" s="5"/>
      <c r="E6179" s="5" t="str">
        <f t="shared" si="308"/>
        <v>INSTRUMENTACION-DIANA CAICEDO-DIANA DIAZ</v>
      </c>
      <c r="F6179" s="5" t="str">
        <f>"Descripcion: PINZAS KELLY CURVAS (DIMEDA) Estado: Bueno Placa anterior: 000036202 Material: ACERO INOXIDABLE Color: PLATEADO Referencia:  Observacion: PINZA PARA LIGADURAS  Placa padre: I0002775Tipo adquisicion: Entidad"</f>
        <v>Descripcion: PINZAS KELLY CURVAS (DIMEDA) Estado: Bueno Placa anterior: 000036202 Material: ACERO INOXIDABLE Color: PLATEADO Referencia:  Observacion: PINZA PARA LIGADURAS  Placa padre: I0002775Tipo adquisicion: Entidad</v>
      </c>
      <c r="G6179" s="5"/>
    </row>
    <row r="6180" spans="1:7" ht="58.5" customHeight="1" x14ac:dyDescent="0.25">
      <c r="A6180" s="5" t="str">
        <f>"I0002801"</f>
        <v>I0002801</v>
      </c>
      <c r="B6180" s="5" t="str">
        <f>"CANULA DE YANKAUER"</f>
        <v>CANULA DE YANKAUER</v>
      </c>
      <c r="C6180" s="6">
        <v>92800</v>
      </c>
      <c r="D6180" s="5"/>
      <c r="E6180" s="5" t="str">
        <f t="shared" si="308"/>
        <v>INSTRUMENTACION-DIANA CAICEDO-DIANA DIAZ</v>
      </c>
      <c r="F6180" s="5" t="str">
        <f>"Descripcion: CANULA YANKAWER Estado: Bueno Placa anterior: 000031646 Material: ACERO INOXIDABLE Color: PLATEADO Referencia:  Observacion:     Placa padre: I0002775Tipo adquisicion: Entidad"</f>
        <v>Descripcion: CANULA YANKAWER Estado: Bueno Placa anterior: 000031646 Material: ACERO INOXIDABLE Color: PLATEADO Referencia:  Observacion:     Placa padre: I0002775Tipo adquisicion: Entidad</v>
      </c>
      <c r="G6180" s="5"/>
    </row>
    <row r="6181" spans="1:7" ht="58.5" customHeight="1" x14ac:dyDescent="0.25">
      <c r="A6181" s="5" t="str">
        <f>"I0002802"</f>
        <v>I0002802</v>
      </c>
      <c r="B6181" s="5" t="str">
        <f>"PORTAGUJAS (PINZA)"</f>
        <v>PORTAGUJAS (PINZA)</v>
      </c>
      <c r="C6181" s="6">
        <v>81200</v>
      </c>
      <c r="D6181" s="5"/>
      <c r="E6181" s="5" t="str">
        <f t="shared" si="308"/>
        <v>INSTRUMENTACION-DIANA CAICEDO-DIANA DIAZ</v>
      </c>
      <c r="F6181" s="5" t="str">
        <f>"Descripcion: PORTA AGUJAS DE MAYO Estado: Bueno Placa anterior: 000032442 Material: ACERO INOXIDABLE Color: PLATEADO Referencia:  Observacion:     Placa padre: I0002775Tipo adquisicion: Entidad"</f>
        <v>Descripcion: PORTA AGUJAS DE MAYO Estado: Bueno Placa anterior: 000032442 Material: ACERO INOXIDABLE Color: PLATEADO Referencia:  Observacion:     Placa padre: I0002775Tipo adquisicion: Entidad</v>
      </c>
      <c r="G6181" s="5"/>
    </row>
    <row r="6182" spans="1:7" ht="58.5" customHeight="1" x14ac:dyDescent="0.25">
      <c r="A6182" s="5" t="str">
        <f>"I0002805"</f>
        <v>I0002805</v>
      </c>
      <c r="B6182" s="5" t="str">
        <f>"PINZA HARTMAN"</f>
        <v>PINZA HARTMAN</v>
      </c>
      <c r="C6182" s="6">
        <v>336400</v>
      </c>
      <c r="D6182" s="5"/>
      <c r="E6182" s="5" t="str">
        <f t="shared" si="308"/>
        <v>INSTRUMENTACION-DIANA CAICEDO-DIANA DIAZ</v>
      </c>
      <c r="F6182" s="5" t="str">
        <f>"Descripcion: PINZA DE HARTMAN Estado: Bueno Placa anterior: 000036017 Material: ACERO INOXIDABLE Color: PLATEADO Referencia:  Observacion:     Placa padre: I0002775Tipo adquisicion: Entidad"</f>
        <v>Descripcion: PINZA DE HARTMAN Estado: Bueno Placa anterior: 000036017 Material: ACERO INOXIDABLE Color: PLATEADO Referencia:  Observacion:     Placa padre: I0002775Tipo adquisicion: Entidad</v>
      </c>
      <c r="G6182" s="5"/>
    </row>
    <row r="6183" spans="1:7" ht="58.5" customHeight="1" x14ac:dyDescent="0.25">
      <c r="A6183" s="5" t="str">
        <f>"I0002807"</f>
        <v>I0002807</v>
      </c>
      <c r="B6183" s="5" t="str">
        <f>"DISECTOR PASA HILOS"</f>
        <v>DISECTOR PASA HILOS</v>
      </c>
      <c r="C6183" s="6">
        <v>174000</v>
      </c>
      <c r="D6183" s="5"/>
      <c r="E6183" s="5" t="str">
        <f t="shared" si="308"/>
        <v>INSTRUMENTACION-DIANA CAICEDO-DIANA DIAZ</v>
      </c>
      <c r="F6183" s="5" t="str">
        <f>"Descripcion: DISECTOR DOBLE CORTANTE Estado: Bueno Placa anterior: 000032118 Material: ACERO INOXIDABLE Color: PLATEADO Referencia:  Observacion:     Placa padre: I0002775Tipo adquisicion: Entidad"</f>
        <v>Descripcion: DISECTOR DOBLE CORTANTE Estado: Bueno Placa anterior: 000032118 Material: ACERO INOXIDABLE Color: PLATEADO Referencia:  Observacion:     Placa padre: I0002775Tipo adquisicion: Entidad</v>
      </c>
      <c r="G6183" s="5"/>
    </row>
    <row r="6184" spans="1:7" ht="58.5" customHeight="1" x14ac:dyDescent="0.25">
      <c r="A6184" s="5" t="str">
        <f>"I0002808"</f>
        <v>I0002808</v>
      </c>
      <c r="B6184" s="5" t="str">
        <f>"DISECTOR PASA HILOS"</f>
        <v>DISECTOR PASA HILOS</v>
      </c>
      <c r="C6184" s="6">
        <v>81200</v>
      </c>
      <c r="D6184" s="5"/>
      <c r="E6184" s="5" t="str">
        <f t="shared" si="308"/>
        <v>INSTRUMENTACION-DIANA CAICEDO-DIANA DIAZ</v>
      </c>
      <c r="F6184" s="5" t="str">
        <f>"Descripcion: DISECTOR DE FREE (DIMEDA Estado: Bueno Placa anterior: 000032300 Material: ACERO INOXIDABLE Color: PLATEADO Referencia:  Observacion:     Placa padre: I0002775Tipo adquisicion: Entidad"</f>
        <v>Descripcion: DISECTOR DE FREE (DIMEDA Estado: Bueno Placa anterior: 000032300 Material: ACERO INOXIDABLE Color: PLATEADO Referencia:  Observacion:     Placa padre: I0002775Tipo adquisicion: Entidad</v>
      </c>
      <c r="G6184" s="5"/>
    </row>
    <row r="6185" spans="1:7" ht="58.5" customHeight="1" x14ac:dyDescent="0.25">
      <c r="A6185" s="5" t="str">
        <f>"I0002809"</f>
        <v>I0002809</v>
      </c>
      <c r="B6185" s="5" t="str">
        <f>"DISECTOR PASA HILOS"</f>
        <v>DISECTOR PASA HILOS</v>
      </c>
      <c r="C6185" s="6">
        <v>145000</v>
      </c>
      <c r="D6185" s="5"/>
      <c r="E6185" s="5" t="str">
        <f t="shared" si="308"/>
        <v>INSTRUMENTACION-DIANA CAICEDO-DIANA DIAZ</v>
      </c>
      <c r="F6185" s="5" t="str">
        <f>"Descripcion: DISECTOR DE MACKENTY MARTIN Estado: Bueno Placa anterior: 000032305 Material: ACERO INOXIDABLE Color: PLATEADO Referencia:  Observacion:     Placa padre: I0002775Tipo adquisicion: Entidad"</f>
        <v>Descripcion: DISECTOR DE MACKENTY MARTIN Estado: Bueno Placa anterior: 000032305 Material: ACERO INOXIDABLE Color: PLATEADO Referencia:  Observacion:     Placa padre: I0002775Tipo adquisicion: Entidad</v>
      </c>
      <c r="G6185" s="5"/>
    </row>
    <row r="6186" spans="1:7" ht="58.5" customHeight="1" x14ac:dyDescent="0.25">
      <c r="A6186" s="5" t="str">
        <f>"I0002810"</f>
        <v>I0002810</v>
      </c>
      <c r="B6186" s="5" t="str">
        <f>"RUGINA"</f>
        <v>RUGINA</v>
      </c>
      <c r="C6186" s="6">
        <v>121800</v>
      </c>
      <c r="D6186" s="5"/>
      <c r="E6186" s="5" t="str">
        <f t="shared" si="308"/>
        <v>INSTRUMENTACION-DIANA CAICEDO-DIANA DIAZ</v>
      </c>
      <c r="F6186" s="5" t="str">
        <f>"Descripcion: RUGINA CURVA Estado: Bueno Placa anterior: 000032489 Material: ACERO INOXIDABLE Color: PLATEADO Referencia:  Observacion:     Placa padre: I0002775Tipo adquisicion: Entidad"</f>
        <v>Descripcion: RUGINA CURVA Estado: Bueno Placa anterior: 000032489 Material: ACERO INOXIDABLE Color: PLATEADO Referencia:  Observacion:     Placa padre: I0002775Tipo adquisicion: Entidad</v>
      </c>
      <c r="G6186" s="5"/>
    </row>
    <row r="6187" spans="1:7" ht="58.5" customHeight="1" x14ac:dyDescent="0.25">
      <c r="A6187" s="5" t="str">
        <f>"I0002811"</f>
        <v>I0002811</v>
      </c>
      <c r="B6187" s="5" t="str">
        <f>"CINCEL (INSTRUMENTAL)"</f>
        <v>CINCEL (INSTRUMENTAL)</v>
      </c>
      <c r="C6187" s="6">
        <v>81200</v>
      </c>
      <c r="D6187" s="5"/>
      <c r="E6187" s="5" t="str">
        <f t="shared" si="308"/>
        <v>INSTRUMENTACION-DIANA CAICEDO-DIANA DIAZ</v>
      </c>
      <c r="F6187" s="5" t="str">
        <f>"Descripcion: CINCELES CURVOS (DIMEDA) Estado: Bueno Placa anterior: 000031622 Material: ACERO INOXIDABLE Color: PLATEADO Referencia:  Observacion:     Placa padre: I0002775Tipo adquisicion: Entidad"</f>
        <v>Descripcion: CINCELES CURVOS (DIMEDA) Estado: Bueno Placa anterior: 000031622 Material: ACERO INOXIDABLE Color: PLATEADO Referencia:  Observacion:     Placa padre: I0002775Tipo adquisicion: Entidad</v>
      </c>
      <c r="G6187" s="5"/>
    </row>
    <row r="6188" spans="1:7" ht="58.5" customHeight="1" x14ac:dyDescent="0.25">
      <c r="A6188" s="5" t="str">
        <f>"I0002812"</f>
        <v>I0002812</v>
      </c>
      <c r="B6188" s="5" t="str">
        <f>"CINCEL (INSTRUMENTAL)"</f>
        <v>CINCEL (INSTRUMENTAL)</v>
      </c>
      <c r="C6188" s="6">
        <v>81200</v>
      </c>
      <c r="D6188" s="5"/>
      <c r="E6188" s="5" t="str">
        <f t="shared" si="308"/>
        <v>INSTRUMENTACION-DIANA CAICEDO-DIANA DIAZ</v>
      </c>
      <c r="F6188" s="5" t="str">
        <f>"Descripcion: CINCELES RECTOS (DIMEDA) Estado: Bueno Placa anterior: 000031623 Material: ACERO INOXIDABLE Color: PLATEADO Referencia:  Observacion:     Placa padre: I0002775Tipo adquisicion: Entidad"</f>
        <v>Descripcion: CINCELES RECTOS (DIMEDA) Estado: Bueno Placa anterior: 000031623 Material: ACERO INOXIDABLE Color: PLATEADO Referencia:  Observacion:     Placa padre: I0002775Tipo adquisicion: Entidad</v>
      </c>
      <c r="G6188" s="5"/>
    </row>
    <row r="6189" spans="1:7" ht="58.5" customHeight="1" x14ac:dyDescent="0.25">
      <c r="A6189" s="5" t="str">
        <f>"I0002813"</f>
        <v>I0002813</v>
      </c>
      <c r="B6189" s="5" t="str">
        <f>"CINCEL (INSTRUMENTAL)"</f>
        <v>CINCEL (INSTRUMENTAL)</v>
      </c>
      <c r="C6189" s="6">
        <v>81200</v>
      </c>
      <c r="D6189" s="5"/>
      <c r="E6189" s="5" t="str">
        <f t="shared" si="308"/>
        <v>INSTRUMENTACION-DIANA CAICEDO-DIANA DIAZ</v>
      </c>
      <c r="F6189" s="5" t="str">
        <f>"Descripcion: CINCELES RECTOS (DIMEDA) Estado: Bueno Placa anterior: 000031624 Material: ACERO INOXIDABLE Color: PLATEADO Referencia:  Observacion:     Placa padre: I0002775Tipo adquisicion: Entidad"</f>
        <v>Descripcion: CINCELES RECTOS (DIMEDA) Estado: Bueno Placa anterior: 000031624 Material: ACERO INOXIDABLE Color: PLATEADO Referencia:  Observacion:     Placa padre: I0002775Tipo adquisicion: Entidad</v>
      </c>
      <c r="G6189" s="5"/>
    </row>
    <row r="6190" spans="1:7" ht="58.5" customHeight="1" x14ac:dyDescent="0.25">
      <c r="A6190" s="5" t="str">
        <f>"I0002814"</f>
        <v>I0002814</v>
      </c>
      <c r="B6190" s="5" t="str">
        <f>"CINCEL (INSTRUMENTAL)"</f>
        <v>CINCEL (INSTRUMENTAL)</v>
      </c>
      <c r="C6190" s="6">
        <v>81200</v>
      </c>
      <c r="D6190" s="5"/>
      <c r="E6190" s="5" t="str">
        <f t="shared" si="308"/>
        <v>INSTRUMENTACION-DIANA CAICEDO-DIANA DIAZ</v>
      </c>
      <c r="F6190" s="5" t="str">
        <f>"Descripcion: CINCELES RECTOS (DIMEDA) Estado: Bueno Placa anterior: 000031625 Material: ACERO INOXIDABLE Color: PLATEADO Referencia:  Observacion:     Placa padre: I0002775Tipo adquisicion: Entidad"</f>
        <v>Descripcion: CINCELES RECTOS (DIMEDA) Estado: Bueno Placa anterior: 000031625 Material: ACERO INOXIDABLE Color: PLATEADO Referencia:  Observacion:     Placa padre: I0002775Tipo adquisicion: Entidad</v>
      </c>
      <c r="G6190" s="5"/>
    </row>
    <row r="6191" spans="1:7" ht="58.5" customHeight="1" x14ac:dyDescent="0.25">
      <c r="A6191" s="5" t="str">
        <f>"I0002815"</f>
        <v>I0002815</v>
      </c>
      <c r="B6191" s="5" t="str">
        <f>"MARTILLO (INSTRUMENTAL)"</f>
        <v>MARTILLO (INSTRUMENTAL)</v>
      </c>
      <c r="C6191" s="6">
        <v>237800</v>
      </c>
      <c r="D6191" s="5"/>
      <c r="E6191" s="5" t="str">
        <f t="shared" si="308"/>
        <v>INSTRUMENTACION-DIANA CAICEDO-DIANA DIAZ</v>
      </c>
      <c r="F6191" s="5" t="str">
        <f>"Descripcion: MARTILLO Estado: Bueno Placa anterior: 000031892 Material: ACERO INOXIDABLE Color: PLATEADO Referencia:  Observacion:     Placa padre: I0002775Tipo adquisicion: Entidad"</f>
        <v>Descripcion: MARTILLO Estado: Bueno Placa anterior: 000031892 Material: ACERO INOXIDABLE Color: PLATEADO Referencia:  Observacion:     Placa padre: I0002775Tipo adquisicion: Entidad</v>
      </c>
      <c r="G6191" s="5"/>
    </row>
    <row r="6192" spans="1:7" ht="58.5" customHeight="1" x14ac:dyDescent="0.25">
      <c r="A6192" s="5" t="str">
        <f>"I0002825"</f>
        <v>I0002825</v>
      </c>
      <c r="B6192" s="5" t="str">
        <f>"EQUIPO DE PALADAR"</f>
        <v>EQUIPO DE PALADAR</v>
      </c>
      <c r="C6192" s="6">
        <v>1824736.96</v>
      </c>
      <c r="D6192" s="5"/>
      <c r="E6192" s="5" t="str">
        <f t="shared" si="308"/>
        <v>INSTRUMENTACION-DIANA CAICEDO-DIANA DIAZ</v>
      </c>
      <c r="F6192" s="5" t="str">
        <f>"Descripcion: EQUIPO DE PALADAR QUE CONSTA DE:  1) ABREBOCAS DE DIGMAN CON 2 VALVAS  (1) MANGO DE BISTURI #3 LARGO  (1) TIJERA DE JOSEPH  (1) TIJERA DE METZEMBAUN CURVA  (1) TIJERA DE MAYO LARGA  (2) SEPARADORES DE FARABEUF  (1) GANCHO DOBLE MARTIN  (2) PI"&amp; "NZAS MOSQUITO CURVAS  (1) PINZA DE DISECCION SIN GARRA FINA LARGA  (1) PINZA DE DISECCION CON GARRA FINA LARGA  (1) DISECTOR DE FREE  (1) DISECTOR DOBLE TARNO N# 2  (1) ELEVADOR DE HURT  (1) ELEVADOR DE PALADAR CURVO  (1) ELEVADOR DE PALADAR ANGULADO  (2)"&amp; " CINCELES  (1) MARTILLO  (1) PORTA AGUJAS MEDIANO DORADO  (4) PINZAS DE CAMPO  (0) CANULA DE FRAZIER  (1) PLATON NIQUELADO  (1) CUBETA DE INSTRUMENTAL NIQUELADA Estado: Bueno Placa anterior: 000012874 Material: ACERO INOXIDABLE Color: PLATEADO Referencia:"&amp; "  Observacion:     Placa padre: Tipo adquisicion: Entidad"</f>
        <v>Descripcion: EQUIPO DE PALADAR QUE CONSTA DE:  1) ABREBOCAS DE DIGMAN CON 2 VALVAS  (1) MANGO DE BISTURI #3 LARGO  (1) TIJERA DE JOSEPH  (1) TIJERA DE METZEMBAUN CURVA  (1) TIJERA DE MAYO LARGA  (2) SEPARADORES DE FARABEUF  (1) GANCHO DOBLE MARTIN  (2) PINZAS MOSQUITO CURVAS  (1) PINZA DE DISECCION SIN GARRA FINA LARGA  (1) PINZA DE DISECCION CON GARRA FINA LARGA  (1) DISECTOR DE FREE  (1) DISECTOR DOBLE TARNO N# 2  (1) ELEVADOR DE HURT  (1) ELEVADOR DE PALADAR CURVO  (1) ELEVADOR DE PALADAR ANGULADO  (2) CINCELES  (1) MARTILLO  (1) PORTA AGUJAS MEDIANO DORADO  (4) PINZAS DE CAMPO  (0) CANULA DE FRAZIER  (1) PLATON NIQUELADO  (1) CUBETA DE INSTRUMENTAL NIQUELADA Estado: Bueno Placa anterior: 000012874 Material: ACERO INOXIDABLE Color: PLATEADO Referencia:  Observacion:     Placa padre: Tipo adquisicion: Entidad</v>
      </c>
      <c r="G6192" s="5"/>
    </row>
    <row r="6193" spans="1:7" ht="58.5" customHeight="1" x14ac:dyDescent="0.25">
      <c r="A6193" s="5" t="str">
        <f>"I000283"</f>
        <v>I000283</v>
      </c>
      <c r="B6193" s="5" t="str">
        <f>"PINZA ALLIX"</f>
        <v>PINZA ALLIX</v>
      </c>
      <c r="C6193" s="6">
        <v>98600</v>
      </c>
      <c r="D6193" s="5"/>
      <c r="E6193" s="5" t="str">
        <f t="shared" si="308"/>
        <v>INSTRUMENTACION-DIANA CAICEDO-DIANA DIAZ</v>
      </c>
      <c r="F6193" s="5" t="str">
        <f>"Descripcion:PINZAS ALLIX LARGAS (DIMEDA) Estado: Bueno Placa anterior: 000031697 Material: ACERO INOXIDABLE Color: PLATEADO Referencia:  Observacion:     Placa padre: I0000246 Tipo adquisicion : Entidad"</f>
        <v>Descripcion:PINZAS ALLIX LARGAS (DIMEDA) Estado: Bueno Placa anterior: 000031697 Material: ACERO INOXIDABLE Color: PLATEADO Referencia:  Observacion:     Placa padre: I0000246 Tipo adquisicion : Entidad</v>
      </c>
      <c r="G6193" s="5"/>
    </row>
    <row r="6194" spans="1:7" ht="58.5" customHeight="1" x14ac:dyDescent="0.25">
      <c r="A6194" s="5" t="str">
        <f>"I0002836"</f>
        <v>I0002836</v>
      </c>
      <c r="B6194" s="5" t="str">
        <f>"PINZA DE DISECCION SIN GARRA LARGA 25 CM"</f>
        <v>PINZA DE DISECCION SIN GARRA LARGA 25 CM</v>
      </c>
      <c r="C6194" s="6">
        <v>17400</v>
      </c>
      <c r="D6194" s="5"/>
      <c r="E6194" s="5" t="str">
        <f t="shared" si="308"/>
        <v>INSTRUMENTACION-DIANA CAICEDO-DIANA DIAZ</v>
      </c>
      <c r="F6194" s="5" t="str">
        <f>"Descripcion: PINZA DE DISECCION SIN GARRA FINA LARGA Estado: Bueno Placa anterior: 000032282 Material: ACERO INOXIDABLE Color: PLATEADO Referencia:  Observacion:     Placa padre: I0002825Tipo adquisicion: Entidad"</f>
        <v>Descripcion: PINZA DE DISECCION SIN GARRA FINA LARGA Estado: Bueno Placa anterior: 000032282 Material: ACERO INOXIDABLE Color: PLATEADO Referencia:  Observacion:     Placa padre: I0002825Tipo adquisicion: Entidad</v>
      </c>
      <c r="G6194" s="5"/>
    </row>
    <row r="6195" spans="1:7" ht="58.5" customHeight="1" x14ac:dyDescent="0.25">
      <c r="A6195" s="5" t="str">
        <f>"I0002838"</f>
        <v>I0002838</v>
      </c>
      <c r="B6195" s="5" t="str">
        <f>"PERIOSTOTOMO - ELEVADOR DOBLE FREER - DISECTOR"</f>
        <v>PERIOSTOTOMO - ELEVADOR DOBLE FREER - DISECTOR</v>
      </c>
      <c r="C6195" s="6">
        <v>81200</v>
      </c>
      <c r="D6195" s="5"/>
      <c r="E6195" s="5" t="str">
        <f t="shared" si="308"/>
        <v>INSTRUMENTACION-DIANA CAICEDO-DIANA DIAZ</v>
      </c>
      <c r="F6195" s="5" t="str">
        <f>"Descripcion: DISECTOR DE FREE Estado: Bueno Placa anterior: 000032301 Material: ACERO INOXIDABLE Color: PLATEADO Referencia:  Observacion:     Placa padre: I0002825Tipo adquisicion: Entidad"</f>
        <v>Descripcion: DISECTOR DE FREE Estado: Bueno Placa anterior: 000032301 Material: ACERO INOXIDABLE Color: PLATEADO Referencia:  Observacion:     Placa padre: I0002825Tipo adquisicion: Entidad</v>
      </c>
      <c r="G6195" s="5"/>
    </row>
    <row r="6196" spans="1:7" ht="58.5" customHeight="1" x14ac:dyDescent="0.25">
      <c r="A6196" s="5" t="str">
        <f>"I0002839"</f>
        <v>I0002839</v>
      </c>
      <c r="B6196" s="5" t="str">
        <f>"DISECTOR PASA HILOS"</f>
        <v>DISECTOR PASA HILOS</v>
      </c>
      <c r="C6196" s="6">
        <v>174000</v>
      </c>
      <c r="D6196" s="5"/>
      <c r="E6196" s="5" t="str">
        <f t="shared" si="308"/>
        <v>INSTRUMENTACION-DIANA CAICEDO-DIANA DIAZ</v>
      </c>
      <c r="F6196" s="5" t="str">
        <f>"Descripcion: DISECTOR DOBLE TARNO N# 2 Estado: Bueno Placa anterior: 000032119 Material: ACERO INOXIDABLE Color: PLATEADO Referencia:  Observacion:     Placa padre: I0002825Tipo adquisicion: Entidad"</f>
        <v>Descripcion: DISECTOR DOBLE TARNO N# 2 Estado: Bueno Placa anterior: 000032119 Material: ACERO INOXIDABLE Color: PLATEADO Referencia:  Observacion:     Placa padre: I0002825Tipo adquisicion: Entidad</v>
      </c>
      <c r="G6196" s="5"/>
    </row>
    <row r="6197" spans="1:7" ht="58.5" customHeight="1" x14ac:dyDescent="0.25">
      <c r="A6197" s="5" t="str">
        <f>"I000284"</f>
        <v>I000284</v>
      </c>
      <c r="B6197" s="5" t="str">
        <f>"PINZA ALLIX"</f>
        <v>PINZA ALLIX</v>
      </c>
      <c r="C6197" s="6">
        <v>98600</v>
      </c>
      <c r="D6197" s="5"/>
      <c r="E6197" s="5" t="str">
        <f t="shared" si="308"/>
        <v>INSTRUMENTACION-DIANA CAICEDO-DIANA DIAZ</v>
      </c>
      <c r="F6197" s="5" t="str">
        <f>"Descripcion:PINZAS ALLIX LARGAS (DIMEDA) Estado: Bueno Placa anterior: 000031698 Material: ACERO INOXIDABLE Color: PLATEADO Referencia:  Observacion:     Placa padre: I0000246 Tipo adquisicion : Entidad"</f>
        <v>Descripcion:PINZAS ALLIX LARGAS (DIMEDA) Estado: Bueno Placa anterior: 000031698 Material: ACERO INOXIDABLE Color: PLATEADO Referencia:  Observacion:     Placa padre: I0000246 Tipo adquisicion : Entidad</v>
      </c>
      <c r="G6197" s="5"/>
    </row>
    <row r="6198" spans="1:7" ht="58.5" customHeight="1" x14ac:dyDescent="0.25">
      <c r="A6198" s="5" t="str">
        <f>"I0002843"</f>
        <v>I0002843</v>
      </c>
      <c r="B6198" s="5" t="str">
        <f>"CINCEL (INSTRUMENTAL)"</f>
        <v>CINCEL (INSTRUMENTAL)</v>
      </c>
      <c r="C6198" s="6">
        <v>81200</v>
      </c>
      <c r="D6198" s="5"/>
      <c r="E6198" s="5" t="str">
        <f t="shared" si="308"/>
        <v>INSTRUMENTACION-DIANA CAICEDO-DIANA DIAZ</v>
      </c>
      <c r="F6198" s="5" t="str">
        <f>"Descripcion: CINCELES Estado: Bueno Placa anterior: 000031626 Material: ACERO INOXIDABLE Color: PLATEADO Referencia:  Observacion:     Placa padre: I0002825Tipo adquisicion: Entidad"</f>
        <v>Descripcion: CINCELES Estado: Bueno Placa anterior: 000031626 Material: ACERO INOXIDABLE Color: PLATEADO Referencia:  Observacion:     Placa padre: I0002825Tipo adquisicion: Entidad</v>
      </c>
      <c r="G6198" s="5"/>
    </row>
    <row r="6199" spans="1:7" ht="58.5" customHeight="1" x14ac:dyDescent="0.25">
      <c r="A6199" s="5" t="str">
        <f>"I0002844"</f>
        <v>I0002844</v>
      </c>
      <c r="B6199" s="5" t="str">
        <f>"CINCEL (INSTRUMENTAL)"</f>
        <v>CINCEL (INSTRUMENTAL)</v>
      </c>
      <c r="C6199" s="6">
        <v>208800</v>
      </c>
      <c r="D6199" s="5"/>
      <c r="E6199" s="5" t="str">
        <f t="shared" si="308"/>
        <v>INSTRUMENTACION-DIANA CAICEDO-DIANA DIAZ</v>
      </c>
      <c r="F6199" s="5" t="str">
        <f>"Descripcion: CINCELES Estado: Bueno Placa anterior: 000032310 Material: ACERO INOXIDABLE Color: PLATEADO Referencia:  Observacion:     Placa padre: I0002825Tipo adquisicion: Entidad"</f>
        <v>Descripcion: CINCELES Estado: Bueno Placa anterior: 000032310 Material: ACERO INOXIDABLE Color: PLATEADO Referencia:  Observacion:     Placa padre: I0002825Tipo adquisicion: Entidad</v>
      </c>
      <c r="G6199" s="5"/>
    </row>
    <row r="6200" spans="1:7" ht="58.5" customHeight="1" x14ac:dyDescent="0.25">
      <c r="A6200" s="5" t="str">
        <f>"I0002854"</f>
        <v>I0002854</v>
      </c>
      <c r="B6200" s="5" t="str">
        <f>"EQUIPO TRAQUEOSTOMIA"</f>
        <v>EQUIPO TRAQUEOSTOMIA</v>
      </c>
      <c r="C6200" s="6">
        <v>236165.36</v>
      </c>
      <c r="D6200" s="5"/>
      <c r="E6200" s="5" t="str">
        <f t="shared" si="308"/>
        <v>INSTRUMENTACION-DIANA CAICEDO-DIANA DIAZ</v>
      </c>
      <c r="F6200" s="5" t="str">
        <f>"Descripcion: EQUIPO TRAQUEOSTOMIA QUE CONSTA DE:  (2) GANCHOS TRAQUEALES  (1) SEPARADOR  DE LAMBOTH Estado: Bueno Placa anterior: 000012875 Material: ACERO INOXIDABLE Color: PLATEADO Referencia:  Observacion:     Placa padre: Tipo adquisicion: Entidad"</f>
        <v>Descripcion: EQUIPO TRAQUEOSTOMIA QUE CONSTA DE:  (2) GANCHOS TRAQUEALES  (1) SEPARADOR  DE LAMBOTH Estado: Bueno Placa anterior: 000012875 Material: ACERO INOXIDABLE Color: PLATEADO Referencia:  Observacion:     Placa padre: Tipo adquisicion: Entidad</v>
      </c>
      <c r="G6200" s="5"/>
    </row>
    <row r="6201" spans="1:7" ht="58.5" customHeight="1" x14ac:dyDescent="0.25">
      <c r="A6201" s="5" t="str">
        <f>"I0002863"</f>
        <v>I0002863</v>
      </c>
      <c r="B6201" s="5" t="str">
        <f>"EQUIPO DE CUERPO EXTRAÑO DE OIDO"</f>
        <v>EQUIPO DE CUERPO EXTRAÑO DE OIDO</v>
      </c>
      <c r="C6201" s="6">
        <v>954573</v>
      </c>
      <c r="D6201" s="5"/>
      <c r="E6201" s="5" t="str">
        <f t="shared" si="308"/>
        <v>INSTRUMENTACION-DIANA CAICEDO-DIANA DIAZ</v>
      </c>
      <c r="F6201" s="5" t="str">
        <f>"Descripcion: EQUIPO DE CUERPO EXTRAÑO DE OIDO QUE CONSTA DE:  (2) OTOSCOPIOS  (1) ESPATULA DE ROSSEN  (1) CURETA DE CERUMEN  (2) GANCHOS RECTOS  (2) PINZAS HARTMAN COCODRILO PEQUEÑO  (1) CANULA DE SUCCION  (1) COCA  (1) COPA NIQUELADA  (1) CUBETA DE INSTR"&amp; "UMENTAL NIQUELADA Estado: Bueno Placa anterior: 000012878 Material: ACERO INOXIDABLE Color: PLATEADO Referencia:  Observacion:     Placa padre: Tipo adquisicion: Entidad"</f>
        <v>Descripcion: EQUIPO DE CUERPO EXTRAÑO DE OIDO QUE CONSTA DE:  (2) OTOSCOPIOS  (1) ESPATULA DE ROSSEN  (1) CURETA DE CERUMEN  (2) GANCHOS RECTOS  (2) PINZAS HARTMAN COCODRILO PEQUEÑO  (1) CANULA DE SUCCION  (1) COCA  (1) COPA NIQUELADA  (1) CUBETA DE INSTRUMENTAL NIQUELADA Estado: Bueno Placa anterior: 000012878 Material: ACERO INOXIDABLE Color: PLATEADO Referencia:  Observacion:     Placa padre: Tipo adquisicion: Entidad</v>
      </c>
      <c r="G6201" s="5"/>
    </row>
    <row r="6202" spans="1:7" ht="58.5" customHeight="1" x14ac:dyDescent="0.25">
      <c r="A6202" s="5" t="str">
        <f>"I0002868"</f>
        <v>I0002868</v>
      </c>
      <c r="B6202" s="5" t="str">
        <f>"GANCHO (INSTRUMENTAL)"</f>
        <v>GANCHO (INSTRUMENTAL)</v>
      </c>
      <c r="C6202" s="6">
        <v>75336</v>
      </c>
      <c r="D6202" s="5"/>
      <c r="E6202" s="5" t="str">
        <f t="shared" si="308"/>
        <v>INSTRUMENTACION-DIANA CAICEDO-DIANA DIAZ</v>
      </c>
      <c r="F6202" s="5" t="str">
        <f>"Descripcion: GANCHOS RECTOS Estado: Bueno Placa anterior: 000023822 Material: ACERO INOXIDABLE Color: PLATEADO Referencia:  Observacion: GANCHO DAY PARA OTOLOGIA PARA CONDUCTO EXTERNO OIDO Placa padre: I0002863Tipo adquisicion: Entidad"</f>
        <v>Descripcion: GANCHOS RECTOS Estado: Bueno Placa anterior: 000023822 Material: ACERO INOXIDABLE Color: PLATEADO Referencia:  Observacion: GANCHO DAY PARA OTOLOGIA PARA CONDUCTO EXTERNO OIDO Placa padre: I0002863Tipo adquisicion: Entidad</v>
      </c>
      <c r="G6202" s="5"/>
    </row>
    <row r="6203" spans="1:7" ht="58.5" customHeight="1" x14ac:dyDescent="0.25">
      <c r="A6203" s="5" t="str">
        <f>"I0002869"</f>
        <v>I0002869</v>
      </c>
      <c r="B6203" s="5" t="str">
        <f>"GANCHO (INSTRUMENTAL)"</f>
        <v>GANCHO (INSTRUMENTAL)</v>
      </c>
      <c r="C6203" s="6">
        <v>75336</v>
      </c>
      <c r="D6203" s="5"/>
      <c r="E6203" s="5" t="str">
        <f t="shared" si="308"/>
        <v>INSTRUMENTACION-DIANA CAICEDO-DIANA DIAZ</v>
      </c>
      <c r="F6203" s="5" t="str">
        <f>"Descripcion: GANCHOS RECTOS Estado: Bueno Placa anterior: 000023823 Material: ACERO INOXIDABLE Color: PLATEADO Referencia:  Observacion: GANCHO DAY PARA OTOLOGIA PARA CONDUCTO EXTERNO OIDO Placa padre: I0002863Tipo adquisicion: Entidad"</f>
        <v>Descripcion: GANCHOS RECTOS Estado: Bueno Placa anterior: 000023823 Material: ACERO INOXIDABLE Color: PLATEADO Referencia:  Observacion: GANCHO DAY PARA OTOLOGIA PARA CONDUCTO EXTERNO OIDO Placa padre: I0002863Tipo adquisicion: Entidad</v>
      </c>
      <c r="G6203" s="5"/>
    </row>
    <row r="6204" spans="1:7" ht="58.5" customHeight="1" x14ac:dyDescent="0.25">
      <c r="A6204" s="5" t="str">
        <f>"I0002872"</f>
        <v>I0002872</v>
      </c>
      <c r="B6204" s="5" t="str">
        <f>"CANULA SUCCION/IRRIGACION"</f>
        <v>CANULA SUCCION/IRRIGACION</v>
      </c>
      <c r="C6204" s="6">
        <v>92800</v>
      </c>
      <c r="D6204" s="5"/>
      <c r="E6204" s="5" t="str">
        <f t="shared" si="308"/>
        <v>INSTRUMENTACION-DIANA CAICEDO-DIANA DIAZ</v>
      </c>
      <c r="F6204" s="5" t="str">
        <f>"Descripcion: CANULA DE SUCCION Estado: Bueno Placa anterior: 000031647 Material: ACERO INOXIDABLE Color: PLATEADO Referencia:  Observacion:     Placa padre: I0002863Tipo adquisicion: Entidad"</f>
        <v>Descripcion: CANULA DE SUCCION Estado: Bueno Placa anterior: 000031647 Material: ACERO INOXIDABLE Color: PLATEADO Referencia:  Observacion:     Placa padre: I0002863Tipo adquisicion: Entidad</v>
      </c>
      <c r="G6204" s="5"/>
    </row>
    <row r="6205" spans="1:7" ht="58.5" customHeight="1" x14ac:dyDescent="0.25">
      <c r="A6205" s="5" t="str">
        <f>"I0002876"</f>
        <v>I0002876</v>
      </c>
      <c r="B6205" s="5" t="str">
        <f>"EQUIPO DE CUERPO EXTRAÑO DE OIDO"</f>
        <v>EQUIPO DE CUERPO EXTRAÑO DE OIDO</v>
      </c>
      <c r="C6205" s="6">
        <v>150000</v>
      </c>
      <c r="D6205" s="5"/>
      <c r="E6205" s="5" t="str">
        <f t="shared" si="308"/>
        <v>INSTRUMENTACION-DIANA CAICEDO-DIANA DIAZ</v>
      </c>
      <c r="F6205" s="5" t="str">
        <f>"Descripcion: EQUIPO DE CUERPO EXTRAÑO DE OIDO QUE CONSTA DE:  CAJA MICRO OIDO PLACA 16542  (14 PIEZAS) Estado: Bueno Placa anterior: 000016542 Material: ACERO INOXIDABLE Color: PLATEADO Referencia:  Observacion:     Placa padre: Tipo adquisicion: Entidad"</f>
        <v>Descripcion: EQUIPO DE CUERPO EXTRAÑO DE OIDO QUE CONSTA DE:  CAJA MICRO OIDO PLACA 16542  (14 PIEZAS) Estado: Bueno Placa anterior: 000016542 Material: ACERO INOXIDABLE Color: PLATEADO Referencia:  Observacion:     Placa padre: Tipo adquisicion: Entidad</v>
      </c>
      <c r="G6205" s="5"/>
    </row>
    <row r="6206" spans="1:7" ht="58.5" customHeight="1" x14ac:dyDescent="0.25">
      <c r="A6206" s="5" t="str">
        <f>"I0002877"</f>
        <v>I0002877</v>
      </c>
      <c r="B6206" s="5" t="str">
        <f>"EQUIPO DE AMIGDALA"</f>
        <v>EQUIPO DE AMIGDALA</v>
      </c>
      <c r="C6206" s="6">
        <v>819792</v>
      </c>
      <c r="D6206" s="5"/>
      <c r="E6206" s="5" t="str">
        <f t="shared" si="308"/>
        <v>INSTRUMENTACION-DIANA CAICEDO-DIANA DIAZ</v>
      </c>
      <c r="F6206" s="5" t="str">
        <f>"Descripcion: EQUIPO DE AMIGDALA #1 QUE CONSTA DE:  (1) MANGO DE BISTURI #7  (1) TIJERA DE METZEMBAUN CURVA  (1) PINZA DE ALLIS COCLEY  (1) PINZA DE ALLIS  (1) PINZA DE KELLY ADSON  (1) PINZA DE CISTICO  (1) PORTA AGUJAS DORADO  (0) ABREBOCAS MACQUEBOR CON"&amp; " TRES VALVAS  (0)  ADENOTOMO EN CURETA  (1) DISECTOR  DE FISCHER  (1) DISECTOR DE HURT  (1) DISECCION FINA LARGA  (4) PINZAS DE CAMPO  (1) CANULA DE SUCCION YANKAWER  (1) PLATON NIQUELADO  (1) CUBETA DE INSTRUMENTAL NIQUELADA  (1) COCA PEQUEÑA Estado: Bue"&amp; "no Placa anterior: 000012867 Material: ACERO INOXIDABLE Color: PLATEADO Referencia:  Observacion:     Placa padre: Tipo adquisicion: Entidad"</f>
        <v>Descripcion: EQUIPO DE AMIGDALA #1 QUE CONSTA DE:  (1) MANGO DE BISTURI #7  (1) TIJERA DE METZEMBAUN CURVA  (1) PINZA DE ALLIS COCLEY  (1) PINZA DE ALLIS  (1) PINZA DE KELLY ADSON  (1) PINZA DE CISTICO  (1) PORTA AGUJAS DORADO  (0) ABREBOCAS MACQUEBOR CON TRES VALVAS  (0)  ADENOTOMO EN CURETA  (1) DISECTOR  DE FISCHER  (1) DISECTOR DE HURT  (1) DISECCION FINA LARGA  (4) PINZAS DE CAMPO  (1) CANULA DE SUCCION YANKAWER  (1) PLATON NIQUELADO  (1) CUBETA DE INSTRUMENTAL NIQUELADA  (1) COCA PEQUEÑA Estado: Bueno Placa anterior: 000012867 Material: ACERO INOXIDABLE Color: PLATEADO Referencia:  Observacion:     Placa padre: Tipo adquisicion: Entidad</v>
      </c>
      <c r="G6206" s="5"/>
    </row>
    <row r="6207" spans="1:7" ht="58.5" customHeight="1" x14ac:dyDescent="0.25">
      <c r="A6207" s="5" t="str">
        <f>"I0002881"</f>
        <v>I0002881</v>
      </c>
      <c r="B6207" s="5" t="str">
        <f>"PINZA ALLIX"</f>
        <v>PINZA ALLIX</v>
      </c>
      <c r="C6207" s="6">
        <v>72495</v>
      </c>
      <c r="D6207" s="5"/>
      <c r="E6207" s="5" t="str">
        <f t="shared" si="308"/>
        <v>INSTRUMENTACION-DIANA CAICEDO-DIANA DIAZ</v>
      </c>
      <c r="F6207" s="5" t="str">
        <f>"Descripcion: PINZA DE ALLIS Estado: Bueno Placa anterior: 000023762 Material: ACERO INOXIDABLE Color: PLATEADO Referencia:  Observacion:     Placa padre: I0002877Tipo adquisicion: Entidad"</f>
        <v>Descripcion: PINZA DE ALLIS Estado: Bueno Placa anterior: 000023762 Material: ACERO INOXIDABLE Color: PLATEADO Referencia:  Observacion:     Placa padre: I0002877Tipo adquisicion: Entidad</v>
      </c>
      <c r="G6207" s="5"/>
    </row>
    <row r="6208" spans="1:7" ht="58.5" customHeight="1" x14ac:dyDescent="0.25">
      <c r="A6208" s="5" t="str">
        <f>"I0002882"</f>
        <v>I0002882</v>
      </c>
      <c r="B6208" s="5" t="str">
        <f>"PINZA ADSON"</f>
        <v>PINZA ADSON</v>
      </c>
      <c r="C6208" s="6">
        <v>81200</v>
      </c>
      <c r="D6208" s="5"/>
      <c r="E6208" s="5" t="str">
        <f t="shared" si="308"/>
        <v>INSTRUMENTACION-DIANA CAICEDO-DIANA DIAZ</v>
      </c>
      <c r="F6208" s="5" t="str">
        <f>"Descripcion: PINZA DE KELLY ADSON Estado: Bueno Placa anterior: 000036181 Material: ACERO INOXIDABLE Color: PLATEADO Referencia:  Observacion:     Placa padre: I0002877Tipo adquisicion: Entidad"</f>
        <v>Descripcion: PINZA DE KELLY ADSON Estado: Bueno Placa anterior: 000036181 Material: ACERO INOXIDABLE Color: PLATEADO Referencia:  Observacion:     Placa padre: I0002877Tipo adquisicion: Entidad</v>
      </c>
      <c r="G6208" s="5"/>
    </row>
    <row r="6209" spans="1:7" ht="58.5" customHeight="1" x14ac:dyDescent="0.25">
      <c r="A6209" s="5" t="str">
        <f>"I0002894"</f>
        <v>I0002894</v>
      </c>
      <c r="B6209" s="5" t="str">
        <f>"CANULA DE YANKAUER"</f>
        <v>CANULA DE YANKAUER</v>
      </c>
      <c r="C6209" s="6">
        <v>92800</v>
      </c>
      <c r="D6209" s="5"/>
      <c r="E6209" s="5" t="str">
        <f t="shared" si="308"/>
        <v>INSTRUMENTACION-DIANA CAICEDO-DIANA DIAZ</v>
      </c>
      <c r="F6209" s="5" t="str">
        <f>"Descripcion: CANULA DE SUCCION YANKAWER Estado: Bueno Placa anterior: 000031648 Material: ACERO INOXIDABLE Color: PLATEADO Referencia:  Observacion:     Placa padre: I0002877Tipo adquisicion: Entidad"</f>
        <v>Descripcion: CANULA DE SUCCION YANKAWER Estado: Bueno Placa anterior: 000031648 Material: ACERO INOXIDABLE Color: PLATEADO Referencia:  Observacion:     Placa padre: I0002877Tipo adquisicion: Entidad</v>
      </c>
      <c r="G6209" s="5"/>
    </row>
    <row r="6210" spans="1:7" ht="58.5" customHeight="1" x14ac:dyDescent="0.25">
      <c r="A6210" s="5" t="str">
        <f>"I0002898"</f>
        <v>I0002898</v>
      </c>
      <c r="B6210" s="5" t="str">
        <f>"EQUIPO DE AMIGDALA"</f>
        <v>EQUIPO DE AMIGDALA</v>
      </c>
      <c r="C6210" s="6">
        <v>687337</v>
      </c>
      <c r="D6210" s="5"/>
      <c r="E6210" s="5" t="str">
        <f t="shared" si="308"/>
        <v>INSTRUMENTACION-DIANA CAICEDO-DIANA DIAZ</v>
      </c>
      <c r="F6210" s="5" t="str">
        <f>"Descripcion: EQUIPO DE AMIGDALA #2 QUE CONSTA DE:  (1) MANGO DE BISTURI #7  (1) TIJERA DE METZEMBAUN CURVA  (2) PINZA DE ALLIS COCLEY  (1) PINZA DE ALLIS  (2) PINZA DE KELLY ADSON  (1) PINZA DE CISTICO  (1) PORTA AGUJAS DORADO  (1) ABREBOCAS MACQUERBOR CO"&amp; "N TRES VALVAS  (1) ADENOTOMO EN CURETA  (0) AMIGDALOTOMO DE EVE  (1) DISECTOR  DE FISCHER   (1) DISECTOR DE HURT  (1) DISECCION FINA LARGA  (4) PINZAS DE CAMPO   (1) CANULA DE SUCCION YANKAWER  (1) COCA PEQUEÑA  (1) PLATON NIQUELADO  (1) CUBETA DE INSTRUM"&amp; "ENTAL NIQUELADA Estado: Bueno Placa anterior: 000012868 Material: ACERO INOXIDABLE Color: PLATEADO Referencia:  Observacion:     Placa padre: Tipo adquisicion: Entidad"</f>
        <v>Descripcion: EQUIPO DE AMIGDALA #2 QUE CONSTA DE:  (1) MANGO DE BISTURI #7  (1) TIJERA DE METZEMBAUN CURVA  (2) PINZA DE ALLIS COCLEY  (1) PINZA DE ALLIS  (2) PINZA DE KELLY ADSON  (1) PINZA DE CISTICO  (1) PORTA AGUJAS DORADO  (1) ABREBOCAS MACQUERBOR CON TRES VALVAS  (1) ADENOTOMO EN CURETA  (0) AMIGDALOTOMO DE EVE  (1) DISECTOR  DE FISCHER   (1) DISECTOR DE HURT  (1) DISECCION FINA LARGA  (4) PINZAS DE CAMPO   (1) CANULA DE SUCCION YANKAWER  (1) COCA PEQUEÑA  (1) PLATON NIQUELADO  (1) CUBETA DE INSTRUMENTAL NIQUELADA Estado: Bueno Placa anterior: 000012868 Material: ACERO INOXIDABLE Color: PLATEADO Referencia:  Observacion:     Placa padre: Tipo adquisicion: Entidad</v>
      </c>
      <c r="G6210" s="5"/>
    </row>
    <row r="6211" spans="1:7" ht="58.5" customHeight="1" x14ac:dyDescent="0.25">
      <c r="A6211" s="5" t="str">
        <f>"I0002904"</f>
        <v>I0002904</v>
      </c>
      <c r="B6211" s="5" t="str">
        <f>"PINZA ADSON"</f>
        <v>PINZA ADSON</v>
      </c>
      <c r="C6211" s="6">
        <v>81200</v>
      </c>
      <c r="D6211" s="5"/>
      <c r="E6211" s="5" t="str">
        <f t="shared" si="308"/>
        <v>INSTRUMENTACION-DIANA CAICEDO-DIANA DIAZ</v>
      </c>
      <c r="F6211" s="5" t="str">
        <f>"Descripcion: PINZA DE KELLY ADSON Estado: Bueno Placa anterior: 000036177 Material: ACERO INOXIDABLE Color: PLATEADO Referencia:  Observacion:     Placa padre: I0002898Tipo adquisicion: Entidad"</f>
        <v>Descripcion: PINZA DE KELLY ADSON Estado: Bueno Placa anterior: 000036177 Material: ACERO INOXIDABLE Color: PLATEADO Referencia:  Observacion:     Placa padre: I0002898Tipo adquisicion: Entidad</v>
      </c>
      <c r="G6211" s="5"/>
    </row>
    <row r="6212" spans="1:7" ht="58.5" customHeight="1" x14ac:dyDescent="0.25">
      <c r="A6212" s="5" t="str">
        <f>"I0002905"</f>
        <v>I0002905</v>
      </c>
      <c r="B6212" s="5" t="str">
        <f>"PINZA ADSON"</f>
        <v>PINZA ADSON</v>
      </c>
      <c r="C6212" s="6">
        <v>81200</v>
      </c>
      <c r="D6212" s="5"/>
      <c r="E6212" s="5" t="str">
        <f t="shared" si="308"/>
        <v>INSTRUMENTACION-DIANA CAICEDO-DIANA DIAZ</v>
      </c>
      <c r="F6212" s="5" t="str">
        <f>"Descripcion: PINZA DE KELLY ADSON Estado: Bueno Placa anterior: 000036178 Material: ACERO INOXIDABLE Color: PLATEADO Referencia:  Observacion:     Placa padre: I0002898Tipo adquisicion: Entidad"</f>
        <v>Descripcion: PINZA DE KELLY ADSON Estado: Bueno Placa anterior: 000036178 Material: ACERO INOXIDABLE Color: PLATEADO Referencia:  Observacion:     Placa padre: I0002898Tipo adquisicion: Entidad</v>
      </c>
      <c r="G6212" s="5"/>
    </row>
    <row r="6213" spans="1:7" ht="58.5" customHeight="1" x14ac:dyDescent="0.25">
      <c r="A6213" s="5" t="str">
        <f>"I0002917"</f>
        <v>I0002917</v>
      </c>
      <c r="B6213" s="5" t="str">
        <f>"CANULA DE YANKAUER"</f>
        <v>CANULA DE YANKAUER</v>
      </c>
      <c r="C6213" s="6">
        <v>92800</v>
      </c>
      <c r="D6213" s="5"/>
      <c r="E6213" s="5" t="str">
        <f t="shared" si="308"/>
        <v>INSTRUMENTACION-DIANA CAICEDO-DIANA DIAZ</v>
      </c>
      <c r="F6213" s="5" t="str">
        <f>"Descripcion: CANULA DE SUCCION YANKAWER Estado: Bueno Placa anterior: 000031649 Material: ACERO INOXIDABLE Color: PLATEADO Referencia:  Observacion:     Placa padre: I0002898Tipo adquisicion: Entidad"</f>
        <v>Descripcion: CANULA DE SUCCION YANKAWER Estado: Bueno Placa anterior: 000031649 Material: ACERO INOXIDABLE Color: PLATEADO Referencia:  Observacion:     Placa padre: I0002898Tipo adquisicion: Entidad</v>
      </c>
      <c r="G6213" s="5"/>
    </row>
    <row r="6214" spans="1:7" ht="58.5" customHeight="1" x14ac:dyDescent="0.25">
      <c r="A6214" s="5" t="str">
        <f>"I0002921"</f>
        <v>I0002921</v>
      </c>
      <c r="B6214" s="5" t="str">
        <f>"EQUIPO DE PALADAR"</f>
        <v>EQUIPO DE PALADAR</v>
      </c>
      <c r="C6214" s="6">
        <v>1953000</v>
      </c>
      <c r="D6214" s="5"/>
      <c r="E6214" s="5" t="str">
        <f t="shared" si="308"/>
        <v>INSTRUMENTACION-DIANA CAICEDO-DIANA DIAZ</v>
      </c>
      <c r="F6214" s="5" t="str">
        <f>"Descripcion: EQUIPO DE OIDO QUE CONSTA DE:  (1) MANGO DE BISTURI #3  (1) TIJERA FINA CURVA BABY MARTIN  (1) TIJERA DE METZEMBAUN CURVA PEQUEÑA  (1) TIJERA DE MAYO RECTA FINA PEQUEÑA  (1) SEPARADOR DE MASTOIDES  (2) SEPARADORES BABY FARABEUF (DIMEDA)  (2) "&amp; "SEPARADORES SENN MILLER (DIMEDA)  (2) SEPARADORES DE VOLKMAN BABY MARTIN  (2) SEPARADORES DE MASTOIDES PEQUEÑOS  (1) PINZA DE DISECCION CON GARRA PEQUEÑA  (1) PINZA DE DISECCION SIN GARRA PEQUEÑA (DIMEDA)  (1) PINZA DE DISECCION EN BAYONETA PEQUEÑA (DIMED"&amp; "A)  (1) PINZA DE DISECCION ADSON CON GARRA  (1) PINZA DE DISECCION ADSON SIN GARRA  (1) PINZA DE HARTMAN PEQUEÑA  (DIMEDA)  (1) DISECTOR DE FREE DOBLE  (1) DISECTOR PLANO DOBLE TARNO N°23  (1) DISECTOR DOBLE TARNO N°2  (1) DISECTOR DE ADSON CURVO  (2) CIN"&amp; "CELES  (3) OTOSCOPIOS DE SHEA  (5) OTOSCOPIOS FISHEN  (2) ESPECULO DE LEMPERT DERECHO E IZQUIERDO  (4) PINZAS DE MOSQUITO CURVAS  (4) PINZAS KELLY CURVAS  (2) PORTA AGUJAS PEQUEÑO  (4) CANULA DE SOLMER  (2) CANULAS DE SUCCION DE FRAZIER #6 Y 12  (4) PINZA"&amp; "S DE CAMPO  (2) COPAS NIQUELADAS  (1) COCA NIQUELADA  (1) BANDEJA REDONDA PARA EL INJERTO  (1) BANDEJA DE INSTRUMENTAL NIQUELADA Estado: Bueno Placa anterior: 000012864 Material: ACERO INOXIDABLE Color: PLATEADO Referencia:  Observacion:     Placa padre: "&amp; "Tipo adquisicion: Entidad"</f>
        <v>Descripcion: EQUIPO DE OIDO QUE CONSTA DE:  (1) MANGO DE BISTURI #3  (1) TIJERA FINA CURVA BABY MARTIN  (1) TIJERA DE METZEMBAUN CURVA PEQUEÑA  (1) TIJERA DE MAYO RECTA FINA PEQUEÑA  (1) SEPARADOR DE MASTOIDES  (2) SEPARADORES BABY FARABEUF (DIMEDA)  (2) SEPARADORES SENN MILLER (DIMEDA)  (2) SEPARADORES DE VOLKMAN BABY MARTIN  (2) SEPARADORES DE MASTOIDES PEQUEÑOS  (1) PINZA DE DISECCION CON GARRA PEQUEÑA  (1) PINZA DE DISECCION SIN GARRA PEQUEÑA (DIMEDA)  (1) PINZA DE DISECCION EN BAYONETA PEQUEÑA (DIMEDA)  (1) PINZA DE DISECCION ADSON CON GARRA  (1) PINZA DE DISECCION ADSON SIN GARRA  (1) PINZA DE HARTMAN PEQUEÑA  (DIMEDA)  (1) DISECTOR DE FREE DOBLE  (1) DISECTOR PLANO DOBLE TARNO N°23  (1) DISECTOR DOBLE TARNO N°2  (1) DISECTOR DE ADSON CURVO  (2) CINCELES  (3) OTOSCOPIOS DE SHEA  (5) OTOSCOPIOS FISHEN  (2) ESPECULO DE LEMPERT DERECHO E IZQUIERDO  (4) PINZAS DE MOSQUITO CURVAS  (4) PINZAS KELLY CURVAS  (2) PORTA AGUJAS PEQUEÑO  (4) CANULA DE SOLMER  (2) CANULAS DE SUCCION DE FRAZIER #6 Y 12  (4) PINZAS DE CAMPO  (2) COPAS NIQUELADAS  (1) COCA NIQUELADA  (1) BANDEJA REDONDA PARA EL INJERTO  (1) BANDEJA DE INSTRUMENTAL NIQUELADA Estado: Bueno Placa anterior: 000012864 Material: ACERO INOXIDABLE Color: PLATEADO Referencia:  Observacion:     Placa padre: Tipo adquisicion: Entidad</v>
      </c>
      <c r="G6214" s="5"/>
    </row>
    <row r="6215" spans="1:7" ht="58.5" customHeight="1" x14ac:dyDescent="0.25">
      <c r="A6215" s="5" t="str">
        <f>"I0002929"</f>
        <v>I0002929</v>
      </c>
      <c r="B6215" s="5" t="str">
        <f>"SEPARADOR DE SENN MILLER"</f>
        <v>SEPARADOR DE SENN MILLER</v>
      </c>
      <c r="C6215" s="6">
        <v>85956</v>
      </c>
      <c r="D6215" s="5"/>
      <c r="E6215" s="5" t="str">
        <f t="shared" si="308"/>
        <v>INSTRUMENTACION-DIANA CAICEDO-DIANA DIAZ</v>
      </c>
      <c r="F6215" s="5" t="str">
        <f>"Descripcion: SEPARADORES SENN MILLER (DIMEDA) Estado: Bueno Placa anterior: 000023133 Material: ACERO INOXIDABLE Color: PLATEADO Referencia:  Observacion: SEPARADORES DE SENN MILLER 6 3/6 DOBLE AGUDO 11-174 (MATERIALD E OTOPEDIA  Placa padre: I0002921Tipo"&amp; " adquisicion: Entidad"</f>
        <v>Descripcion: SEPARADORES SENN MILLER (DIMEDA) Estado: Bueno Placa anterior: 000023133 Material: ACERO INOXIDABLE Color: PLATEADO Referencia:  Observacion: SEPARADORES DE SENN MILLER 6 3/6 DOBLE AGUDO 11-174 (MATERIALD E OTOPEDIA  Placa padre: I0002921Tipo adquisicion: Entidad</v>
      </c>
      <c r="G6215" s="5"/>
    </row>
    <row r="6216" spans="1:7" ht="58.5" customHeight="1" x14ac:dyDescent="0.25">
      <c r="A6216" s="5" t="str">
        <f>"I0002931"</f>
        <v>I0002931</v>
      </c>
      <c r="B6216" s="5" t="str">
        <f>"SEPARADOR DE VOLKMANN"</f>
        <v>SEPARADOR DE VOLKMANN</v>
      </c>
      <c r="C6216" s="6">
        <v>36972</v>
      </c>
      <c r="D6216" s="5"/>
      <c r="E6216" s="5" t="str">
        <f t="shared" si="308"/>
        <v>INSTRUMENTACION-DIANA CAICEDO-DIANA DIAZ</v>
      </c>
      <c r="F6216" s="5" t="str">
        <f>"Descripcion: SEPARADORES DE VOLKMAN BABY MARTIN Estado: Bueno Placa anterior: 000012728 Material: ACERO INOXIDABLE Color: PLATEADO Referencia:  Observacion:     Placa padre: I0002921Tipo adquisicion: Entidad"</f>
        <v>Descripcion: SEPARADORES DE VOLKMAN BABY MARTIN Estado: Bueno Placa anterior: 000012728 Material: ACERO INOXIDABLE Color: PLATEADO Referencia:  Observacion:     Placa padre: I0002921Tipo adquisicion: Entidad</v>
      </c>
      <c r="G6216" s="5"/>
    </row>
    <row r="6217" spans="1:7" ht="58.5" customHeight="1" x14ac:dyDescent="0.25">
      <c r="A6217" s="5" t="str">
        <f>"I0002932"</f>
        <v>I0002932</v>
      </c>
      <c r="B6217" s="5" t="str">
        <f>"SEPARADOR DE VOLKMANN"</f>
        <v>SEPARADOR DE VOLKMANN</v>
      </c>
      <c r="C6217" s="6">
        <v>36972</v>
      </c>
      <c r="D6217" s="5"/>
      <c r="E6217" s="5" t="str">
        <f t="shared" si="308"/>
        <v>INSTRUMENTACION-DIANA CAICEDO-DIANA DIAZ</v>
      </c>
      <c r="F6217" s="5" t="str">
        <f>"Descripcion: SEPARADORES DE VOLKMAN BABY MARTIN Estado: Bueno Placa anterior: 000012729 Material: ACERO INOXIDABLE Color: PLATEADO Referencia:  Observacion:     Placa padre: I0002921Tipo adquisicion: Entidad"</f>
        <v>Descripcion: SEPARADORES DE VOLKMAN BABY MARTIN Estado: Bueno Placa anterior: 000012729 Material: ACERO INOXIDABLE Color: PLATEADO Referencia:  Observacion:     Placa padre: I0002921Tipo adquisicion: Entidad</v>
      </c>
      <c r="G6217" s="5"/>
    </row>
    <row r="6218" spans="1:7" ht="58.5" customHeight="1" x14ac:dyDescent="0.25">
      <c r="A6218" s="5" t="str">
        <f>"I0002938"</f>
        <v>I0002938</v>
      </c>
      <c r="B6218" s="5" t="str">
        <f>"PINZA DE DISECCION SIN GARRA CORTA 20 CM"</f>
        <v>PINZA DE DISECCION SIN GARRA CORTA 20 CM</v>
      </c>
      <c r="C6218" s="6">
        <v>26680</v>
      </c>
      <c r="D6218" s="5"/>
      <c r="E6218" s="5" t="str">
        <f t="shared" si="308"/>
        <v>INSTRUMENTACION-DIANA CAICEDO-DIANA DIAZ</v>
      </c>
      <c r="F6218" s="5" t="str">
        <f>"Descripcion: PINZA DE DISECCION ADSON CON GARRA Estado: Bueno Placa anterior: 000031947 Material: ACERO INOXIDABLE Color: PLATEADO Referencia:  Observacion: PINZA DE DISECCION STANDARD  Placa padre: I0002921Tipo adquisicion: Entidad"</f>
        <v>Descripcion: PINZA DE DISECCION ADSON CON GARRA Estado: Bueno Placa anterior: 000031947 Material: ACERO INOXIDABLE Color: PLATEADO Referencia:  Observacion: PINZA DE DISECCION STANDARD  Placa padre: I0002921Tipo adquisicion: Entidad</v>
      </c>
      <c r="G6218" s="5"/>
    </row>
    <row r="6219" spans="1:7" ht="58.5" customHeight="1" x14ac:dyDescent="0.25">
      <c r="A6219" s="5" t="str">
        <f>"I0002941"</f>
        <v>I0002941</v>
      </c>
      <c r="B6219" s="5" t="str">
        <f>"PERIOSTOTOMO - ELEVADOR DOBLE FREER - DISECTOR"</f>
        <v>PERIOSTOTOMO - ELEVADOR DOBLE FREER - DISECTOR</v>
      </c>
      <c r="C6219" s="6">
        <v>81200</v>
      </c>
      <c r="D6219" s="5"/>
      <c r="E6219" s="5" t="str">
        <f t="shared" si="308"/>
        <v>INSTRUMENTACION-DIANA CAICEDO-DIANA DIAZ</v>
      </c>
      <c r="F6219" s="5" t="str">
        <f>"Descripcion: DISECTOR DE FREE DOBLE Estado: Bueno Placa anterior: 000032302 Material: ACERO INOXIDABLE Color: PLATEADO Referencia:  Observacion:     Placa padre: I0002921Tipo adquisicion: Entidad"</f>
        <v>Descripcion: DISECTOR DE FREE DOBLE Estado: Bueno Placa anterior: 000032302 Material: ACERO INOXIDABLE Color: PLATEADO Referencia:  Observacion:     Placa padre: I0002921Tipo adquisicion: Entidad</v>
      </c>
      <c r="G6219" s="5"/>
    </row>
    <row r="6220" spans="1:7" ht="58.5" customHeight="1" x14ac:dyDescent="0.25">
      <c r="A6220" s="5" t="str">
        <f>"I0002945"</f>
        <v>I0002945</v>
      </c>
      <c r="B6220" s="5" t="str">
        <f>"CINCEL (INSTRUMENTAL)"</f>
        <v>CINCEL (INSTRUMENTAL)</v>
      </c>
      <c r="C6220" s="6">
        <v>300</v>
      </c>
      <c r="D6220" s="5"/>
      <c r="E6220" s="5" t="str">
        <f t="shared" si="308"/>
        <v>INSTRUMENTACION-DIANA CAICEDO-DIANA DIAZ</v>
      </c>
      <c r="F6220" s="5" t="str">
        <f>"Descripcion: CINCELES Estado: Bueno Placa anterior: 000016498 Material: ACERO INOXIDABLE Color: PLATEADO Referencia:  Observacion:     Placa padre: I0002921Tipo adquisicion: Entidad"</f>
        <v>Descripcion: CINCELES Estado: Bueno Placa anterior: 000016498 Material: ACERO INOXIDABLE Color: PLATEADO Referencia:  Observacion:     Placa padre: I0002921Tipo adquisicion: Entidad</v>
      </c>
      <c r="G6220" s="5"/>
    </row>
    <row r="6221" spans="1:7" ht="58.5" customHeight="1" x14ac:dyDescent="0.25">
      <c r="A6221" s="5" t="str">
        <f>"I0002946"</f>
        <v>I0002946</v>
      </c>
      <c r="B6221" s="5" t="str">
        <f>"CINCEL (INSTRUMENTAL)"</f>
        <v>CINCEL (INSTRUMENTAL)</v>
      </c>
      <c r="C6221" s="6">
        <v>300</v>
      </c>
      <c r="D6221" s="5"/>
      <c r="E6221" s="5" t="str">
        <f t="shared" si="308"/>
        <v>INSTRUMENTACION-DIANA CAICEDO-DIANA DIAZ</v>
      </c>
      <c r="F6221" s="5" t="str">
        <f>"Descripcion: CINCELES Estado: Bueno Placa anterior: 000016500 Material: ACERO INOXIDABLE Color: PLATEADO Referencia:  Observacion:     Placa padre: I0002921Tipo adquisicion: Entidad"</f>
        <v>Descripcion: CINCELES Estado: Bueno Placa anterior: 000016500 Material: ACERO INOXIDABLE Color: PLATEADO Referencia:  Observacion:     Placa padre: I0002921Tipo adquisicion: Entidad</v>
      </c>
      <c r="G6221" s="5"/>
    </row>
    <row r="6222" spans="1:7" ht="58.5" customHeight="1" x14ac:dyDescent="0.25">
      <c r="A6222" s="5" t="str">
        <f>"I0002981"</f>
        <v>I0002981</v>
      </c>
      <c r="B6222" s="5" t="str">
        <f>"BANDEJA DE ACERO INOXIDABLE MEDIANA"</f>
        <v>BANDEJA DE ACERO INOXIDABLE MEDIANA</v>
      </c>
      <c r="C6222" s="6">
        <v>598560</v>
      </c>
      <c r="D6222" s="5"/>
      <c r="E6222" s="5" t="str">
        <f t="shared" si="308"/>
        <v>INSTRUMENTACION-DIANA CAICEDO-DIANA DIAZ</v>
      </c>
      <c r="F6222" s="5" t="str">
        <f>"Descripcion: BANDEJA DE INSTRUMENTAL NIQUELADA Estado: Bueno Placa anterior: 000029651 Material: ACERO INOXIDABLE Color: PLATEADO Referencia:  Observacion: CONTENEDOR INSTRUMENTAL REF. 87230-2F-SI Placa padre: I0002921Tipo adquisicion: Entidad"</f>
        <v>Descripcion: BANDEJA DE INSTRUMENTAL NIQUELADA Estado: Bueno Placa anterior: 000029651 Material: ACERO INOXIDABLE Color: PLATEADO Referencia:  Observacion: CONTENEDOR INSTRUMENTAL REF. 87230-2F-SI Placa padre: I0002921Tipo adquisicion: Entidad</v>
      </c>
      <c r="G6222" s="5"/>
    </row>
    <row r="6223" spans="1:7" ht="58.5" customHeight="1" x14ac:dyDescent="0.25">
      <c r="A6223" s="5" t="str">
        <f>"I0002982"</f>
        <v>I0002982</v>
      </c>
      <c r="B6223" s="5" t="str">
        <f>"EQUIPO DE MICROCIRUGIA OIDO"</f>
        <v>EQUIPO DE MICROCIRUGIA OIDO</v>
      </c>
      <c r="C6223" s="6">
        <v>979843</v>
      </c>
      <c r="D6223" s="5"/>
      <c r="E6223" s="5" t="str">
        <f t="shared" si="308"/>
        <v>INSTRUMENTACION-DIANA CAICEDO-DIANA DIAZ</v>
      </c>
      <c r="F6223" s="5" t="str">
        <f>"Descripcion: EQUIPO DE MICRO OIDO QUE CONSTA DE:  (1) BISTURI DE WULLSTEIN STORZ  (1) BISTURI DE ROSSEN STORZ  (1) CUCHILLO DE YUNQUE   (1) TIJERAS DE BELUSHI STORZ  (1) DISECTOR REDONDO STORZ  (1) DISECTOR DE DUCKBIL   (1) DISECTOR DE ROSSEN   (1) DISECT"&amp; "OR CONDUCTOR  (1) DISECTOR DE CONDUCTO   (1) CALIBRADOR DE PLATINA   (1) GANCHO DE STORZ   (1) GANCHO FINO DE ESTAPEDECTOMIA   (1) GANCHO CURVO DE ESTAPEDECTOMIA HADEO (28122005)  (1) GANCHO RECTO   (1) GANCHO CURVO NUEVO HADEO   (3) GANCHOS DE TIMPANO  ("&amp; "2) GANCHOS DE NERVIO  (3) CURETAS DE ROSSEN STORZ N° 25-1I  (1) CURETA DE CERUMEN LAUTON   (2) ESPATULAS DE ROSSEN EN BAYONETA STORZ EF  (1) PINZAS DE HARTMAN MARTIN    (0) PINZA DE CAJA DE COPA ANDIA  (1) PINZA DE CAJA DE COPA MICRO STORZ   (1) CUBETA DE"&amp; " INSTRUMENTAL NIQUELADA Estado: Bueno Placa anterior: 000012865 Material: ACERO INOXIDABLE Color: PLATEADO Referencia:  Observacion:     Placa padre: Tipo adquisicion: Entidad"</f>
        <v>Descripcion: EQUIPO DE MICRO OIDO QUE CONSTA DE:  (1) BISTURI DE WULLSTEIN STORZ  (1) BISTURI DE ROSSEN STORZ  (1) CUCHILLO DE YUNQUE   (1) TIJERAS DE BELUSHI STORZ  (1) DISECTOR REDONDO STORZ  (1) DISECTOR DE DUCKBIL   (1) DISECTOR DE ROSSEN   (1) DISECTOR CONDUCTOR  (1) DISECTOR DE CONDUCTO   (1) CALIBRADOR DE PLATINA   (1) GANCHO DE STORZ   (1) GANCHO FINO DE ESTAPEDECTOMIA   (1) GANCHO CURVO DE ESTAPEDECTOMIA HADEO (28122005)  (1) GANCHO RECTO   (1) GANCHO CURVO NUEVO HADEO   (3) GANCHOS DE TIMPANO  (2) GANCHOS DE NERVIO  (3) CURETAS DE ROSSEN STORZ N° 25-1I  (1) CURETA DE CERUMEN LAUTON   (2) ESPATULAS DE ROSSEN EN BAYONETA STORZ EF  (1) PINZAS DE HARTMAN MARTIN    (0) PINZA DE CAJA DE COPA ANDIA  (1) PINZA DE CAJA DE COPA MICRO STORZ   (1) CUBETA DE INSTRUMENTAL NIQUELADA Estado: Bueno Placa anterior: 000012865 Material: ACERO INOXIDABLE Color: PLATEADO Referencia:  Observacion:     Placa padre: Tipo adquisicion: Entidad</v>
      </c>
      <c r="G6223" s="5"/>
    </row>
    <row r="6224" spans="1:7" ht="58.5" customHeight="1" x14ac:dyDescent="0.25">
      <c r="A6224" s="5" t="str">
        <f>"I0002993"</f>
        <v>I0002993</v>
      </c>
      <c r="B6224" s="5" t="str">
        <f>"GANCHO (INSTRUMENTAL)"</f>
        <v>GANCHO (INSTRUMENTAL)</v>
      </c>
      <c r="C6224" s="6">
        <v>97739</v>
      </c>
      <c r="D6224" s="5"/>
      <c r="E6224" s="5" t="str">
        <f t="shared" si="308"/>
        <v>INSTRUMENTACION-DIANA CAICEDO-DIANA DIAZ</v>
      </c>
      <c r="F6224" s="5" t="str">
        <f>"Descripcion: GANCHO DE STORZ  Estado: Bueno Placa anterior: 000024536 Material: ACERO INOXIDABLE Color: PLATEADO Referencia:  Observacion: GANCHO DE PIEL JOSEPH DE 2 GARFIOS 16 CM Placa padre: I0002982Tipo adquisicion: Entidad"</f>
        <v>Descripcion: GANCHO DE STORZ  Estado: Bueno Placa anterior: 000024536 Material: ACERO INOXIDABLE Color: PLATEADO Referencia:  Observacion: GANCHO DE PIEL JOSEPH DE 2 GARFIOS 16 CM Placa padre: I0002982Tipo adquisicion: Entidad</v>
      </c>
      <c r="G6224" s="5"/>
    </row>
    <row r="6225" spans="1:7" ht="58.5" customHeight="1" x14ac:dyDescent="0.25">
      <c r="A6225" s="5" t="str">
        <f>"I0002995"</f>
        <v>I0002995</v>
      </c>
      <c r="B6225" s="5" t="str">
        <f>"GANCHO (INSTRUMENTAL)"</f>
        <v>GANCHO (INSTRUMENTAL)</v>
      </c>
      <c r="C6225" s="6">
        <v>450000</v>
      </c>
      <c r="D6225" s="5"/>
      <c r="E6225" s="5" t="str">
        <f t="shared" si="308"/>
        <v>INSTRUMENTACION-DIANA CAICEDO-DIANA DIAZ</v>
      </c>
      <c r="F6225" s="5" t="str">
        <f>"Descripcion: GANCHO CURVO DE ESTAPEDECTOMIA HADEO (28122005) Estado: Bueno Placa anterior: 000016380 Material: ACERO INOXIDABLE Color: PLATEADO Referencia:  Observacion: GANCHO DE ANGULO   Placa padre: I0002982Tipo adquisicion: Entidad"</f>
        <v>Descripcion: GANCHO CURVO DE ESTAPEDECTOMIA HADEO (28122005) Estado: Bueno Placa anterior: 000016380 Material: ACERO INOXIDABLE Color: PLATEADO Referencia:  Observacion: GANCHO DE ANGULO   Placa padre: I0002982Tipo adquisicion: Entidad</v>
      </c>
      <c r="G6225" s="5"/>
    </row>
    <row r="6226" spans="1:7" ht="58.5" customHeight="1" x14ac:dyDescent="0.25">
      <c r="A6226" s="5" t="str">
        <f>"I0002998"</f>
        <v>I0002998</v>
      </c>
      <c r="B6226" s="5" t="str">
        <f>"GANCHO (INSTRUMENTAL)"</f>
        <v>GANCHO (INSTRUMENTAL)</v>
      </c>
      <c r="C6226" s="6">
        <v>188790</v>
      </c>
      <c r="D6226" s="5"/>
      <c r="E6226" s="5" t="str">
        <f t="shared" si="308"/>
        <v>INSTRUMENTACION-DIANA CAICEDO-DIANA DIAZ</v>
      </c>
      <c r="F6226" s="5" t="str">
        <f>"Descripcion: GANCHOS DE TIMPANO Estado: Bueno Placa anterior: 000023825 Material: ACERO INOXIDABLE Color: PLATEADO Referencia:  Observacion:     Placa padre: I0002982Tipo adquisicion: Entidad"</f>
        <v>Descripcion: GANCHOS DE TIMPANO Estado: Bueno Placa anterior: 000023825 Material: ACERO INOXIDABLE Color: PLATEADO Referencia:  Observacion:     Placa padre: I0002982Tipo adquisicion: Entidad</v>
      </c>
      <c r="G6226" s="5"/>
    </row>
    <row r="6227" spans="1:7" ht="58.5" customHeight="1" x14ac:dyDescent="0.25">
      <c r="A6227" s="5" t="str">
        <f>"I0002999"</f>
        <v>I0002999</v>
      </c>
      <c r="B6227" s="5" t="str">
        <f>"GANCHO (INSTRUMENTAL)"</f>
        <v>GANCHO (INSTRUMENTAL)</v>
      </c>
      <c r="C6227" s="6">
        <v>392727</v>
      </c>
      <c r="D6227" s="5"/>
      <c r="E6227" s="5" t="str">
        <f t="shared" si="308"/>
        <v>INSTRUMENTACION-DIANA CAICEDO-DIANA DIAZ</v>
      </c>
      <c r="F6227" s="5" t="str">
        <f>"Descripcion: GANCHOS DE TIMPANO Estado: Bueno Placa anterior: 000023215 Material: ACERO INOXIDABLE Color: PLATEADO Referencia:  Observacion: GANCHO DE SINSKEY Placa padre: I0002982Tipo adquisicion: Entidad"</f>
        <v>Descripcion: GANCHOS DE TIMPANO Estado: Bueno Placa anterior: 000023215 Material: ACERO INOXIDABLE Color: PLATEADO Referencia:  Observacion: GANCHO DE SINSKEY Placa padre: I0002982Tipo adquisicion: Entidad</v>
      </c>
      <c r="G6227" s="5"/>
    </row>
    <row r="6228" spans="1:7" ht="58.5" customHeight="1" x14ac:dyDescent="0.25">
      <c r="A6228" s="5" t="str">
        <f>"I0003000"</f>
        <v>I0003000</v>
      </c>
      <c r="B6228" s="5" t="str">
        <f>"GANCHO (INSTRUMENTAL)"</f>
        <v>GANCHO (INSTRUMENTAL)</v>
      </c>
      <c r="C6228" s="6">
        <v>392727</v>
      </c>
      <c r="D6228" s="5"/>
      <c r="E6228" s="5" t="str">
        <f t="shared" si="308"/>
        <v>INSTRUMENTACION-DIANA CAICEDO-DIANA DIAZ</v>
      </c>
      <c r="F6228" s="5" t="str">
        <f>"Descripcion: GANCHOS DE TIMPANO Estado: Bueno Placa anterior: 000023216 Material: ACERO INOXIDABLE Color: PLATEADO Referencia:  Observacion: GANCHO DE SINSKEY Placa padre: I0002982Tipo adquisicion: Entidad"</f>
        <v>Descripcion: GANCHOS DE TIMPANO Estado: Bueno Placa anterior: 000023216 Material: ACERO INOXIDABLE Color: PLATEADO Referencia:  Observacion: GANCHO DE SINSKEY Placa padre: I0002982Tipo adquisicion: Entidad</v>
      </c>
      <c r="G6228" s="5"/>
    </row>
    <row r="6229" spans="1:7" ht="58.5" customHeight="1" x14ac:dyDescent="0.25">
      <c r="A6229" s="5" t="str">
        <f>"I0003003"</f>
        <v>I0003003</v>
      </c>
      <c r="B6229" s="5" t="str">
        <f>"CURETA"</f>
        <v>CURETA</v>
      </c>
      <c r="C6229" s="6">
        <v>69600</v>
      </c>
      <c r="D6229" s="5"/>
      <c r="E6229" s="5" t="str">
        <f t="shared" si="308"/>
        <v>INSTRUMENTACION-DIANA CAICEDO-DIANA DIAZ</v>
      </c>
      <c r="F6229" s="5" t="str">
        <f>"Descripcion: CURETAS DE ROSSEN STORZ N° 25-1I Estado: Bueno Placa anterior: 000032249 Material: ACERO INOXIDABLE Color: PLATEADO Referencia:  Observacion:     Placa padre: I0002982Tipo adquisicion: Entidad"</f>
        <v>Descripcion: CURETAS DE ROSSEN STORZ N° 25-1I Estado: Bueno Placa anterior: 000032249 Material: ACERO INOXIDABLE Color: PLATEADO Referencia:  Observacion:     Placa padre: I0002982Tipo adquisicion: Entidad</v>
      </c>
      <c r="G6229" s="5"/>
    </row>
    <row r="6230" spans="1:7" ht="58.5" customHeight="1" x14ac:dyDescent="0.25">
      <c r="A6230" s="5" t="str">
        <f>"I0003004"</f>
        <v>I0003004</v>
      </c>
      <c r="B6230" s="5" t="str">
        <f>"CURETA"</f>
        <v>CURETA</v>
      </c>
      <c r="C6230" s="6">
        <v>69600</v>
      </c>
      <c r="D6230" s="5"/>
      <c r="E6230" s="5" t="str">
        <f t="shared" si="308"/>
        <v>INSTRUMENTACION-DIANA CAICEDO-DIANA DIAZ</v>
      </c>
      <c r="F6230" s="5" t="str">
        <f>"Descripcion: CURETAS DE ROSSEN STORZ N° 25-1I Estado: Bueno Placa anterior: 000032250 Material: ACERO INOXIDABLE Color: PLATEADO Referencia:  Observacion:     Placa padre: I0002982Tipo adquisicion: Entidad"</f>
        <v>Descripcion: CURETAS DE ROSSEN STORZ N° 25-1I Estado: Bueno Placa anterior: 000032250 Material: ACERO INOXIDABLE Color: PLATEADO Referencia:  Observacion:     Placa padre: I0002982Tipo adquisicion: Entidad</v>
      </c>
      <c r="G6230" s="5"/>
    </row>
    <row r="6231" spans="1:7" ht="58.5" customHeight="1" x14ac:dyDescent="0.25">
      <c r="A6231" s="5" t="str">
        <f>"I0003005"</f>
        <v>I0003005</v>
      </c>
      <c r="B6231" s="5" t="str">
        <f>"CURETA"</f>
        <v>CURETA</v>
      </c>
      <c r="C6231" s="6">
        <v>69600</v>
      </c>
      <c r="D6231" s="5"/>
      <c r="E6231" s="5" t="str">
        <f t="shared" si="308"/>
        <v>INSTRUMENTACION-DIANA CAICEDO-DIANA DIAZ</v>
      </c>
      <c r="F6231" s="5" t="str">
        <f>"Descripcion: CURETAS DE ROSSEN STORZ N° 25-1I Estado: Bueno Placa anterior: 000032251 Material: ACERO INOXIDABLE Color: PLATEADO Referencia:  Observacion:     Placa padre: I0002982Tipo adquisicion: Entidad"</f>
        <v>Descripcion: CURETAS DE ROSSEN STORZ N° 25-1I Estado: Bueno Placa anterior: 000032251 Material: ACERO INOXIDABLE Color: PLATEADO Referencia:  Observacion:     Placa padre: I0002982Tipo adquisicion: Entidad</v>
      </c>
      <c r="G6231" s="5"/>
    </row>
    <row r="6232" spans="1:7" ht="58.5" customHeight="1" x14ac:dyDescent="0.25">
      <c r="A6232" s="5" t="str">
        <f>"I0003012"</f>
        <v>I0003012</v>
      </c>
      <c r="B6232" s="5" t="str">
        <f>"EQUIPO DE HUESOS PROPIOS"</f>
        <v>EQUIPO DE HUESOS PROPIOS</v>
      </c>
      <c r="C6232" s="6">
        <v>333454</v>
      </c>
      <c r="D6232" s="5"/>
      <c r="E6232" s="5" t="str">
        <f t="shared" si="308"/>
        <v>INSTRUMENTACION-DIANA CAICEDO-DIANA DIAZ</v>
      </c>
      <c r="F6232" s="5" t="str">
        <f>"Descripcion: EQUIPO DE HUESOS PROPIOS #1 QUE CONSTA DE:  (1) MANGO DE BISTURI #3  (1) PINZA DE ASCH MARTIN  (1) TIJERA DE MAYO  (2) ESPECULO DE KILLIAN, COTLE, VIENA  (1) DISECCION ADSON CON GARRA  (1) PINZA DE DISECCION EN BAYONETA  (1) DISECTOR DOBLE  ("&amp; "1) PINZA DE KELLY CURVA  (1) PINZA DE KELLY RECTA  (1) CANULA DE FRAZIER #6  (1) PORTA AGUJAS  (1) COCA PEQUEÑA  (1) PLATON Estado: Bueno Placa anterior: 000012872 Material: ACERO INOXIDABLE Color: PLATEADO Referencia:  Observacion:     Placa padre: Tipo "&amp; "adquisicion: Entidad"</f>
        <v>Descripcion: EQUIPO DE HUESOS PROPIOS #1 QUE CONSTA DE:  (1) MANGO DE BISTURI #3  (1) PINZA DE ASCH MARTIN  (1) TIJERA DE MAYO  (2) ESPECULO DE KILLIAN, COTLE, VIENA  (1) DISECCION ADSON CON GARRA  (1) PINZA DE DISECCION EN BAYONETA  (1) DISECTOR DOBLE  (1) PINZA DE KELLY CURVA  (1) PINZA DE KELLY RECTA  (1) CANULA DE FRAZIER #6  (1) PORTA AGUJAS  (1) COCA PEQUEÑA  (1) PLATON Estado: Bueno Placa anterior: 000012872 Material: ACERO INOXIDABLE Color: PLATEADO Referencia:  Observacion:     Placa padre: Tipo adquisicion: Entidad</v>
      </c>
      <c r="G6232" s="5"/>
    </row>
    <row r="6233" spans="1:7" ht="58.5" customHeight="1" x14ac:dyDescent="0.25">
      <c r="A6233" s="5" t="str">
        <f>"I0003020"</f>
        <v>I0003020</v>
      </c>
      <c r="B6233" s="5" t="str">
        <f>"PINZA DE DISECCION SIN GARRA CORTA 20 CM"</f>
        <v>PINZA DE DISECCION SIN GARRA CORTA 20 CM</v>
      </c>
      <c r="C6233" s="6">
        <v>38280</v>
      </c>
      <c r="D6233" s="5"/>
      <c r="E6233" s="5" t="str">
        <f t="shared" si="308"/>
        <v>INSTRUMENTACION-DIANA CAICEDO-DIANA DIAZ</v>
      </c>
      <c r="F6233" s="5" t="str">
        <f>"Descripcion: PINZA DE DISECCION EN BAYONETA Estado: Bueno Placa anterior: 000031969 Material: ACERO INOXIDABLE Color: PLATEADO Referencia:  Observacion: PINZA DISECCION STANDARD Placa padre: I0003012Tipo adquisicion: Entidad"</f>
        <v>Descripcion: PINZA DE DISECCION EN BAYONETA Estado: Bueno Placa anterior: 000031969 Material: ACERO INOXIDABLE Color: PLATEADO Referencia:  Observacion: PINZA DISECCION STANDARD Placa padre: I0003012Tipo adquisicion: Entidad</v>
      </c>
      <c r="G6233" s="5"/>
    </row>
    <row r="6234" spans="1:7" ht="58.5" customHeight="1" x14ac:dyDescent="0.25">
      <c r="A6234" s="5" t="str">
        <f>"I0003028"</f>
        <v>I0003028</v>
      </c>
      <c r="B6234" s="5" t="str">
        <f>"EQUIPO DE HUESOS PROPIOS"</f>
        <v>EQUIPO DE HUESOS PROPIOS</v>
      </c>
      <c r="C6234" s="6">
        <v>307948</v>
      </c>
      <c r="D6234" s="5"/>
      <c r="E6234" s="5" t="str">
        <f t="shared" si="308"/>
        <v>INSTRUMENTACION-DIANA CAICEDO-DIANA DIAZ</v>
      </c>
      <c r="F6234" s="5" t="str">
        <f>"Descripcion: EQUIPO DE HUESOS PROPIOS # 2 QUE CONSTA DE:  (1) MANGO DE BISTURI #3  (1) PINZA DE ASCH MARTIN  (1) TIJERA DE MAYO  (3) ESPECULO DE KILLIAN, COTLE, VIENA  (1) DISECCION ADSON CON GARRA  (1) PINZA DE DISECCION EN BAYONETA  (1) DISECTOR DOBLE  "&amp; "(1) PINZA DE KELLY CURVA  (1) PINZA DE KELLY RECTA  (1) CANULA DE FRAZIER #6  (1) PORTA AGUJAS  (1) COCA PEQUEÑA  (1) PLATON Estado: Bueno Placa anterior: 000012873 Material: ACERO INOXIDABLE Color: PLATEADO Referencia:  Observacion:     Placa padre: Tipo"&amp; " adquisicion: Entidad"</f>
        <v>Descripcion: EQUIPO DE HUESOS PROPIOS # 2 QUE CONSTA DE:  (1) MANGO DE BISTURI #3  (1) PINZA DE ASCH MARTIN  (1) TIJERA DE MAYO  (3) ESPECULO DE KILLIAN, COTLE, VIENA  (1) DISECCION ADSON CON GARRA  (1) PINZA DE DISECCION EN BAYONETA  (1) DISECTOR DOBLE  (1) PINZA DE KELLY CURVA  (1) PINZA DE KELLY RECTA  (1) CANULA DE FRAZIER #6  (1) PORTA AGUJAS  (1) COCA PEQUEÑA  (1) PLATON Estado: Bueno Placa anterior: 000012873 Material: ACERO INOXIDABLE Color: PLATEADO Referencia:  Observacion:     Placa padre: Tipo adquisicion: Entidad</v>
      </c>
      <c r="G6234" s="5"/>
    </row>
    <row r="6235" spans="1:7" ht="58.5" customHeight="1" x14ac:dyDescent="0.25">
      <c r="A6235" s="5" t="str">
        <f>"I0003044"</f>
        <v>I0003044</v>
      </c>
      <c r="B6235" s="5" t="str">
        <f>"EQUIPO DE LARINGOSCOPIA"</f>
        <v>EQUIPO DE LARINGOSCOPIA</v>
      </c>
      <c r="C6235" s="6">
        <v>1075517</v>
      </c>
      <c r="D6235" s="5"/>
      <c r="E6235" s="5" t="str">
        <f t="shared" si="308"/>
        <v>INSTRUMENTACION-DIANA CAICEDO-DIANA DIAZ</v>
      </c>
      <c r="F6235" s="5" t="str">
        <f>"Descripcion: EQUIPO DE  LARINGOSCOPIA QUE CONSTA DE:  (3) MANGOS DE LARINGOSCOPIO  (1) BASE PARA LARINGOSCOPIO Y ANCLAJE  (1) TIJERA RECTA DE CLARINSASSEN  (0) PINZA DE COPA ANTERIOR  (1PINZA DE COPA RECTA BABY ANTERIOR  (1) PINZA DE COCODRILO DE COOPER  "&amp; "(1) CANULA DE SUCCION ANGULADA  (1) CUBETA DE INSTRUMENTAL NIQUELADA Estado: Bueno Placa anterior: 000012870 Material: ACERO INOXIDABLE Color: PLATEADO Referencia:  Observacion:     Placa padre: Tipo adquisicion: Entidad"</f>
        <v>Descripcion: EQUIPO DE  LARINGOSCOPIA QUE CONSTA DE:  (3) MANGOS DE LARINGOSCOPIO  (1) BASE PARA LARINGOSCOPIO Y ANCLAJE  (1) TIJERA RECTA DE CLARINSASSEN  (0) PINZA DE COPA ANTERIOR  (1PINZA DE COPA RECTA BABY ANTERIOR  (1) PINZA DE COCODRILO DE COOPER  (1) CANULA DE SUCCION ANGULADA  (1) CUBETA DE INSTRUMENTAL NIQUELADA Estado: Bueno Placa anterior: 000012870 Material: ACERO INOXIDABLE Color: PLATEADO Referencia:  Observacion:     Placa padre: Tipo adquisicion: Entidad</v>
      </c>
      <c r="G6235" s="5"/>
    </row>
    <row r="6236" spans="1:7" ht="58.5" customHeight="1" x14ac:dyDescent="0.25">
      <c r="A6236" s="5" t="str">
        <f>"I0003049"</f>
        <v>I0003049</v>
      </c>
      <c r="B6236" s="5" t="str">
        <f>"TIJERA (INSTRUMENTAL)"</f>
        <v>TIJERA (INSTRUMENTAL)</v>
      </c>
      <c r="C6236" s="6">
        <v>545200</v>
      </c>
      <c r="D6236" s="5"/>
      <c r="E6236" s="5" t="str">
        <f t="shared" si="308"/>
        <v>INSTRUMENTACION-DIANA CAICEDO-DIANA DIAZ</v>
      </c>
      <c r="F6236" s="5" t="str">
        <f>"Descripcion: TIJERA RECTA DE CLARINSASSEN Estado: Bueno Placa anterior: 000032175 Material: ACERO INOXIDABLE Color: PLATEADO Referencia:  Observacion:     Placa padre: I0003044Tipo adquisicion: Entidad"</f>
        <v>Descripcion: TIJERA RECTA DE CLARINSASSEN Estado: Bueno Placa anterior: 000032175 Material: ACERO INOXIDABLE Color: PLATEADO Referencia:  Observacion:     Placa padre: I0003044Tipo adquisicion: Entidad</v>
      </c>
      <c r="G6236" s="5"/>
    </row>
    <row r="6237" spans="1:7" ht="58.5" customHeight="1" x14ac:dyDescent="0.25">
      <c r="A6237" s="5" t="str">
        <f>"I0003053"</f>
        <v>I0003053</v>
      </c>
      <c r="B6237" s="5" t="str">
        <f>"CANULA SUCCION/IRRIGACION"</f>
        <v>CANULA SUCCION/IRRIGACION</v>
      </c>
      <c r="C6237" s="6">
        <v>50862.239999999998</v>
      </c>
      <c r="D6237" s="5"/>
      <c r="E6237" s="5" t="str">
        <f t="shared" si="308"/>
        <v>INSTRUMENTACION-DIANA CAICEDO-DIANA DIAZ</v>
      </c>
      <c r="F6237" s="5" t="str">
        <f>"Descripcion: CANULA DE SUCCION ANGULADA Estado: Bueno Placa anterior: 000012660 Material: ACERO INOXIDABLE Color: PLATEADO Referencia:  Observacion:     Placa padre: I0003044Tipo adquisicion: Entidad"</f>
        <v>Descripcion: CANULA DE SUCCION ANGULADA Estado: Bueno Placa anterior: 000012660 Material: ACERO INOXIDABLE Color: PLATEADO Referencia:  Observacion:     Placa padre: I0003044Tipo adquisicion: Entidad</v>
      </c>
      <c r="G6237" s="5"/>
    </row>
    <row r="6238" spans="1:7" ht="58.5" customHeight="1" x14ac:dyDescent="0.25">
      <c r="A6238" s="5" t="str">
        <f>"I0003055"</f>
        <v>I0003055</v>
      </c>
      <c r="B6238" s="5" t="str">
        <f>"EQUIPO DE VARIOS OTORRINO"</f>
        <v>EQUIPO DE VARIOS OTORRINO</v>
      </c>
      <c r="C6238" s="6">
        <v>335225</v>
      </c>
      <c r="D6238" s="5"/>
      <c r="E6238" s="5" t="str">
        <f t="shared" si="308"/>
        <v>INSTRUMENTACION-DIANA CAICEDO-DIANA DIAZ</v>
      </c>
      <c r="F6238" s="5" t="str">
        <f>"Descripcion: EQUIPO DE VARIOS DE OTORRINO QUE CONSTA DE:  (1) CINCEL CURVO DE COOPER N 6  (1) CINCEL PLANO N 6 COPER  (1) CINCEL DE COTTLE PLANO N 4 COPER  (2) CINCELES DE SILVER DERECHOS COPER  (1) CINCEL DE SILVER IZQUIERDO COPER  (1) CINCEL DE COTTLE D"&amp; "OBLE COPER    (2) GANCHOS DOBLE PEQUEÑOS  (1) GANCHO DOBLE AGUDO DE COOPER  (1) DISECTOR DE FREE  (1) CUCHILLA DE JOSEPH  Estado: Bueno Placa anterior: 000012871 Material: ACERO INOXIDABLE Color: PLATEADO Referencia:  Observacion:     Placa padre: Tipo ad"&amp; "quisicion: Entidad"</f>
        <v>Descripcion: EQUIPO DE VARIOS DE OTORRINO QUE CONSTA DE:  (1) CINCEL CURVO DE COOPER N 6  (1) CINCEL PLANO N 6 COPER  (1) CINCEL DE COTTLE PLANO N 4 COPER  (2) CINCELES DE SILVER DERECHOS COPER  (1) CINCEL DE SILVER IZQUIERDO COPER  (1) CINCEL DE COTTLE DOBLE COPER    (2) GANCHOS DOBLE PEQUEÑOS  (1) GANCHO DOBLE AGUDO DE COOPER  (1) DISECTOR DE FREE  (1) CUCHILLA DE JOSEPH  Estado: Bueno Placa anterior: 000012871 Material: ACERO INOXIDABLE Color: PLATEADO Referencia:  Observacion:     Placa padre: Tipo adquisicion: Entidad</v>
      </c>
      <c r="G6238" s="5"/>
    </row>
    <row r="6239" spans="1:7" ht="58.5" customHeight="1" x14ac:dyDescent="0.25">
      <c r="A6239" s="5" t="str">
        <f>"I0003056"</f>
        <v>I0003056</v>
      </c>
      <c r="B6239" s="5" t="str">
        <f t="shared" ref="B6239:B6244" si="309">"CINCEL (INSTRUMENTAL)"</f>
        <v>CINCEL (INSTRUMENTAL)</v>
      </c>
      <c r="C6239" s="6">
        <v>39600</v>
      </c>
      <c r="D6239" s="5"/>
      <c r="E6239" s="5" t="str">
        <f t="shared" ref="E6239:E6302" si="310">"INSTRUMENTACION-DIANA CAICEDO-DIANA DIAZ"</f>
        <v>INSTRUMENTACION-DIANA CAICEDO-DIANA DIAZ</v>
      </c>
      <c r="F6239" s="5" t="str">
        <f>"Descripcion: CINCEL CURVO DE COOPER N 6 Estado: Bueno Placa anterior: 000012779 Material: ACERO INOXIDABLE Color: PLATEADO Referencia:  Observacion:     Placa padre: I0003055Tipo adquisicion: Entidad"</f>
        <v>Descripcion: CINCEL CURVO DE COOPER N 6 Estado: Bueno Placa anterior: 000012779 Material: ACERO INOXIDABLE Color: PLATEADO Referencia:  Observacion:     Placa padre: I0003055Tipo adquisicion: Entidad</v>
      </c>
      <c r="G6239" s="5"/>
    </row>
    <row r="6240" spans="1:7" ht="58.5" customHeight="1" x14ac:dyDescent="0.25">
      <c r="A6240" s="5" t="str">
        <f>"I0003057"</f>
        <v>I0003057</v>
      </c>
      <c r="B6240" s="5" t="str">
        <f t="shared" si="309"/>
        <v>CINCEL (INSTRUMENTAL)</v>
      </c>
      <c r="C6240" s="6">
        <v>208800</v>
      </c>
      <c r="D6240" s="5"/>
      <c r="E6240" s="5" t="str">
        <f t="shared" si="310"/>
        <v>INSTRUMENTACION-DIANA CAICEDO-DIANA DIAZ</v>
      </c>
      <c r="F6240" s="5" t="str">
        <f>"Descripcion: CINCEL PLANO N 6 COPER Estado: Bueno Placa anterior: 000032311 Material: ACERO INOXIDABLE Color: PLATEADO Referencia:  Observacion:     Placa padre: I0003055Tipo adquisicion: Entidad"</f>
        <v>Descripcion: CINCEL PLANO N 6 COPER Estado: Bueno Placa anterior: 000032311 Material: ACERO INOXIDABLE Color: PLATEADO Referencia:  Observacion:     Placa padre: I0003055Tipo adquisicion: Entidad</v>
      </c>
      <c r="G6240" s="5"/>
    </row>
    <row r="6241" spans="1:7" ht="58.5" customHeight="1" x14ac:dyDescent="0.25">
      <c r="A6241" s="5" t="str">
        <f>"I0003058"</f>
        <v>I0003058</v>
      </c>
      <c r="B6241" s="5" t="str">
        <f t="shared" si="309"/>
        <v>CINCEL (INSTRUMENTAL)</v>
      </c>
      <c r="C6241" s="6">
        <v>208800</v>
      </c>
      <c r="D6241" s="5"/>
      <c r="E6241" s="5" t="str">
        <f t="shared" si="310"/>
        <v>INSTRUMENTACION-DIANA CAICEDO-DIANA DIAZ</v>
      </c>
      <c r="F6241" s="5" t="str">
        <f>"Descripcion: CINCEL DE COTTLE PLANO N 4 COPER Estado: Bueno Placa anterior: 000032312 Material: ACERO INOXIDABLE Color: PLATEADO Referencia:  Observacion:     Placa padre: I0003055Tipo adquisicion: Entidad"</f>
        <v>Descripcion: CINCEL DE COTTLE PLANO N 4 COPER Estado: Bueno Placa anterior: 000032312 Material: ACERO INOXIDABLE Color: PLATEADO Referencia:  Observacion:     Placa padre: I0003055Tipo adquisicion: Entidad</v>
      </c>
      <c r="G6241" s="5"/>
    </row>
    <row r="6242" spans="1:7" ht="58.5" customHeight="1" x14ac:dyDescent="0.25">
      <c r="A6242" s="5" t="str">
        <f>"I0003059"</f>
        <v>I0003059</v>
      </c>
      <c r="B6242" s="5" t="str">
        <f t="shared" si="309"/>
        <v>CINCEL (INSTRUMENTAL)</v>
      </c>
      <c r="C6242" s="6">
        <v>208800</v>
      </c>
      <c r="D6242" s="5"/>
      <c r="E6242" s="5" t="str">
        <f t="shared" si="310"/>
        <v>INSTRUMENTACION-DIANA CAICEDO-DIANA DIAZ</v>
      </c>
      <c r="F6242" s="5" t="str">
        <f>"Descripcion: CINCELES DE SILVER DERECHOS COPER Estado: Bueno Placa anterior: 000032313 Material: ACERO INOXIDABLE Color: PLATEADO Referencia:  Observacion:     Placa padre: I0003055Tipo adquisicion: Entidad"</f>
        <v>Descripcion: CINCELES DE SILVER DERECHOS COPER Estado: Bueno Placa anterior: 000032313 Material: ACERO INOXIDABLE Color: PLATEADO Referencia:  Observacion:     Placa padre: I0003055Tipo adquisicion: Entidad</v>
      </c>
      <c r="G6242" s="5"/>
    </row>
    <row r="6243" spans="1:7" ht="58.5" customHeight="1" x14ac:dyDescent="0.25">
      <c r="A6243" s="5" t="str">
        <f>"I0003060"</f>
        <v>I0003060</v>
      </c>
      <c r="B6243" s="5" t="str">
        <f t="shared" si="309"/>
        <v>CINCEL (INSTRUMENTAL)</v>
      </c>
      <c r="C6243" s="6">
        <v>208800</v>
      </c>
      <c r="D6243" s="5"/>
      <c r="E6243" s="5" t="str">
        <f t="shared" si="310"/>
        <v>INSTRUMENTACION-DIANA CAICEDO-DIANA DIAZ</v>
      </c>
      <c r="F6243" s="5" t="str">
        <f>"Descripcion: CINCELES DE SILVER DERECHOS COPER Estado: Bueno Placa anterior: 000032314 Material: ACERO INOXIDABLE Color: PLATEADO Referencia:  Observacion:     Placa padre: I0003055Tipo adquisicion: Entidad"</f>
        <v>Descripcion: CINCELES DE SILVER DERECHOS COPER Estado: Bueno Placa anterior: 000032314 Material: ACERO INOXIDABLE Color: PLATEADO Referencia:  Observacion:     Placa padre: I0003055Tipo adquisicion: Entidad</v>
      </c>
      <c r="G6243" s="5"/>
    </row>
    <row r="6244" spans="1:7" ht="58.5" customHeight="1" x14ac:dyDescent="0.25">
      <c r="A6244" s="5" t="str">
        <f>"I0003061"</f>
        <v>I0003061</v>
      </c>
      <c r="B6244" s="5" t="str">
        <f t="shared" si="309"/>
        <v>CINCEL (INSTRUMENTAL)</v>
      </c>
      <c r="C6244" s="6">
        <v>208800</v>
      </c>
      <c r="D6244" s="5"/>
      <c r="E6244" s="5" t="str">
        <f t="shared" si="310"/>
        <v>INSTRUMENTACION-DIANA CAICEDO-DIANA DIAZ</v>
      </c>
      <c r="F6244" s="5" t="str">
        <f>"Descripcion: CINCEL DE SILVER IZQUIERDO COPER Estado: Bueno Placa anterior: 000032315 Material: ACERO INOXIDABLE Color: PLATEADO Referencia:  Observacion:     Placa padre: I0003055Tipo adquisicion: Entidad"</f>
        <v>Descripcion: CINCEL DE SILVER IZQUIERDO COPER Estado: Bueno Placa anterior: 000032315 Material: ACERO INOXIDABLE Color: PLATEADO Referencia:  Observacion:     Placa padre: I0003055Tipo adquisicion: Entidad</v>
      </c>
      <c r="G6244" s="5"/>
    </row>
    <row r="6245" spans="1:7" ht="58.5" customHeight="1" x14ac:dyDescent="0.25">
      <c r="A6245" s="5" t="str">
        <f>"I0003072"</f>
        <v>I0003072</v>
      </c>
      <c r="B6245" s="5" t="str">
        <f>"EQUIPO ACCESORIOS DE OTORRINO"</f>
        <v>EQUIPO ACCESORIOS DE OTORRINO</v>
      </c>
      <c r="C6245" s="6">
        <v>763175</v>
      </c>
      <c r="D6245" s="5"/>
      <c r="E6245" s="5" t="str">
        <f t="shared" si="310"/>
        <v>INSTRUMENTACION-DIANA CAICEDO-DIANA DIAZ</v>
      </c>
      <c r="F6245" s="5" t="str">
        <f>"Descripcion: ACCESORIOS DE OTORRINO QUE CONSTA DE:(1) ADENOTOMO(1) SEPARADOR DE DIGMAN,MAS 2 VALVAS Estado: Bueno Placa anterior: 000012879 Material: ACERO INOXIDABLE Color: PLATEADO Referencia:  Observacion:     Placa padre: Tipo adquisicion: Entidad"</f>
        <v>Descripcion: ACCESORIOS DE OTORRINO QUE CONSTA DE:(1) ADENOTOMO(1) SEPARADOR DE DIGMAN,MAS 2 VALVAS Estado: Bueno Placa anterior: 000012879 Material: ACERO INOXIDABLE Color: PLATEADO Referencia:  Observacion:     Placa padre: Tipo adquisicion: Entidad</v>
      </c>
      <c r="G6245" s="5"/>
    </row>
    <row r="6246" spans="1:7" ht="58.5" customHeight="1" x14ac:dyDescent="0.25">
      <c r="A6246" s="5" t="str">
        <f>"I0003073"</f>
        <v>I0003073</v>
      </c>
      <c r="B6246" s="5" t="str">
        <f>"ADENOTOMOS DE CANASTA"</f>
        <v>ADENOTOMOS DE CANASTA</v>
      </c>
      <c r="C6246" s="6">
        <v>86000</v>
      </c>
      <c r="D6246" s="5"/>
      <c r="E6246" s="5" t="str">
        <f t="shared" si="310"/>
        <v>INSTRUMENTACION-DIANA CAICEDO-DIANA DIAZ</v>
      </c>
      <c r="F6246" s="5" t="str">
        <f>"Descripcion: ADENOTOMO Estado: Bueno Placa anterior: 000016194 Material: ACERO INOXIDABLE Color: PLATEADO Referencia:  Observacion:     Placa padre: I0003072Tipo adquisicion: Entidad"</f>
        <v>Descripcion: ADENOTOMO Estado: Bueno Placa anterior: 000016194 Material: ACERO INOXIDABLE Color: PLATEADO Referencia:  Observacion:     Placa padre: I0003072Tipo adquisicion: Entidad</v>
      </c>
      <c r="G6246" s="5"/>
    </row>
    <row r="6247" spans="1:7" ht="58.5" customHeight="1" x14ac:dyDescent="0.25">
      <c r="A6247" s="5" t="str">
        <f>"I0003077"</f>
        <v>I0003077</v>
      </c>
      <c r="B6247" s="5" t="str">
        <f>"EQUIPO DE ORTOPEDIA"</f>
        <v>EQUIPO DE ORTOPEDIA</v>
      </c>
      <c r="C6247" s="6">
        <v>2714000</v>
      </c>
      <c r="D6247" s="5"/>
      <c r="E6247" s="5" t="str">
        <f t="shared" si="310"/>
        <v>INSTRUMENTACION-DIANA CAICEDO-DIANA DIAZ</v>
      </c>
      <c r="F6247" s="5" t="str">
        <f>"Descripcion: EQUIPO GRANDE DE ORTOPEDIA #1 QUE CONSTA DE:  (1) MANGO DE BISTURI #4  (1) MANGO DE BISTURI #3  (1) TIJERA DE METZEMBAUN CURVA LARGA  (1) TIJERA  DE MAYO RECTA GRANDE (DIMEDA)  (2) SEPARADORES DE FARABEUF  (2) SEPARADORES DE BENNET  (2) SEPAR"&amp; "ADORES DE MAYO COLLINS  (2) SEPARADORES DE WOLKMAN  (1) SEPARADORES DE HIBS  (2) SEPARADORES DE HOWMAN  (1) PINZA DE DISECCION CON GARRA MEDIANA (DIMEDA)  (1) PINZA DE DISECCION PEQUEÑA CON GARRA  (1) PINZA DE DISECCION PEQUEÑA SIN GARRA  (1) PINZA DE DIS"&amp; "ECCION RUSA (DIMEDA)  (1) PINZA DE DISECCION ADSON CON GARRA  (3) PINZAS KELLY CURVAS  (4) PINZAS DE KELLY RECTAS  (2) PINZAS DE ROCHESTER CURVAS  (1) PINZA DE CISTICO  (0) PINZAS DE KOCHER  (4) PINZAS DE ALLIX  (1) PORTA AGUJAS DE MAYO MEDIANO (DIMEDA)  "&amp; "(1) GUBIA (DIMEDA)  (1) CIZALLA RECTA (DIMEDA)  (1) GANCHO DE HUESO  (1) MARTILLO (DIMEDA)  (2) CLAMPS DE KERNS  (2) CLAMPS DE LOWMAN (DIMEDA)  (1) RUGINA CURVA   (1) RUGINA RECTA  (1) RASPA COLA DE RATON  (0) DISECTOR DE COBBS  (2) ELEVADORES DE CHANDLER"&amp; "  (6) CINCELES (2 RECTOS; 3 CURVOS; 1 ACANALADO)  (3) CURETAS (DIMEDA)  (2) MANILARES DE SIERRA DE GIGLY  (6) PINZAS DE CAMPO (DIMEDA)  (1) CANULA DE YANKAWER (DIMEDA)  (1) PLATON NIQUELADO  (1) CUBETA DE INSTRUMENTAL NIQUELADA Estado: Bueno Placa anterio"&amp; "r: 000012689 Material: ACERO INOXIDABLE Color: PLATEADO Referencia:  Observacion:     Placa padre: Tipo adquisicion: Entidad"</f>
        <v>Descripcion: EQUIPO GRANDE DE ORTOPEDIA #1 QUE CONSTA DE:  (1) MANGO DE BISTURI #4  (1) MANGO DE BISTURI #3  (1) TIJERA DE METZEMBAUN CURVA LARGA  (1) TIJERA  DE MAYO RECTA GRANDE (DIMEDA)  (2) SEPARADORES DE FARABEUF  (2) SEPARADORES DE BENNET  (2) SEPARADORES DE MAYO COLLINS  (2) SEPARADORES DE WOLKMAN  (1) SEPARADORES DE HIBS  (2) SEPARADORES DE HOWMAN  (1) PINZA DE DISECCION CON GARRA MEDIANA (DIMEDA)  (1) PINZA DE DISECCION PEQUEÑA CON GARRA  (1) PINZA DE DISECCION PEQUEÑA SIN GARRA  (1) PINZA DE DISECCION RUSA (DIMEDA)  (1) PINZA DE DISECCION ADSON CON GARRA  (3) PINZAS KELLY CURVAS  (4) PINZAS DE KELLY RECTAS  (2) PINZAS DE ROCHESTER CURVAS  (1) PINZA DE CISTICO  (0) PINZAS DE KOCHER  (4) PINZAS DE ALLIX  (1) PORTA AGUJAS DE MAYO MEDIANO (DIMEDA)  (1) GUBIA (DIMEDA)  (1) CIZALLA RECTA (DIMEDA)  (1) GANCHO DE HUESO  (1) MARTILLO (DIMEDA)  (2) CLAMPS DE KERNS  (2) CLAMPS DE LOWMAN (DIMEDA)  (1) RUGINA CURVA   (1) RUGINA RECTA  (1) RASPA COLA DE RATON  (0) DISECTOR DE COBBS  (2) ELEVADORES DE CHANDLER  (6) CINCELES (2 RECTOS; 3 CURVOS; 1 ACANALADO)  (3) CURETAS (DIMEDA)  (2) MANILARES DE SIERRA DE GIGLY  (6) PINZAS DE CAMPO (DIMEDA)  (1) CANULA DE YANKAWER (DIMEDA)  (1) PLATON NIQUELADO  (1) CUBETA DE INSTRUMENTAL NIQUELADA Estado: Bueno Placa anterior: 000012689 Material: ACERO INOXIDABLE Color: PLATEADO Referencia:  Observacion:     Placa padre: Tipo adquisicion: Entidad</v>
      </c>
      <c r="G6247" s="5"/>
    </row>
    <row r="6248" spans="1:7" ht="58.5" customHeight="1" x14ac:dyDescent="0.25">
      <c r="A6248" s="5" t="str">
        <f>"I0003084"</f>
        <v>I0003084</v>
      </c>
      <c r="B6248" s="5" t="str">
        <f>"SEPARADOR DE BENNETT"</f>
        <v>SEPARADOR DE BENNETT</v>
      </c>
      <c r="C6248" s="6">
        <v>36972</v>
      </c>
      <c r="D6248" s="5"/>
      <c r="E6248" s="5" t="str">
        <f t="shared" si="310"/>
        <v>INSTRUMENTACION-DIANA CAICEDO-DIANA DIAZ</v>
      </c>
      <c r="F6248" s="5" t="str">
        <f>"Descripcion: SEPARADORES DE BENNET Estado: Bueno Placa anterior: 000012708 Material: ACERO INOXIDABLE Color: PLATEADO Referencia:  Observacion:     Placa padre: I0003077Tipo adquisicion: Entidad"</f>
        <v>Descripcion: SEPARADORES DE BENNET Estado: Bueno Placa anterior: 000012708 Material: ACERO INOXIDABLE Color: PLATEADO Referencia:  Observacion:     Placa padre: I0003077Tipo adquisicion: Entidad</v>
      </c>
      <c r="G6248" s="5"/>
    </row>
    <row r="6249" spans="1:7" ht="58.5" customHeight="1" x14ac:dyDescent="0.25">
      <c r="A6249" s="5" t="str">
        <f>"I0003085"</f>
        <v>I0003085</v>
      </c>
      <c r="B6249" s="5" t="str">
        <f>"SEPARADOR DE BENNETT"</f>
        <v>SEPARADOR DE BENNETT</v>
      </c>
      <c r="C6249" s="6">
        <v>36972</v>
      </c>
      <c r="D6249" s="5"/>
      <c r="E6249" s="5" t="str">
        <f t="shared" si="310"/>
        <v>INSTRUMENTACION-DIANA CAICEDO-DIANA DIAZ</v>
      </c>
      <c r="F6249" s="5" t="str">
        <f>"Descripcion: SEPARADORES DE BENNET Estado: Bueno Placa anterior: 000012709 Material: ACERO INOXIDABLE Color: PLATEADO Referencia:  Observacion:     Placa padre: I0003077Tipo adquisicion: Entidad"</f>
        <v>Descripcion: SEPARADORES DE BENNET Estado: Bueno Placa anterior: 000012709 Material: ACERO INOXIDABLE Color: PLATEADO Referencia:  Observacion:     Placa padre: I0003077Tipo adquisicion: Entidad</v>
      </c>
      <c r="G6249" s="5"/>
    </row>
    <row r="6250" spans="1:7" ht="58.5" customHeight="1" x14ac:dyDescent="0.25">
      <c r="A6250" s="5" t="str">
        <f>"I0003086"</f>
        <v>I0003086</v>
      </c>
      <c r="B6250" s="5" t="str">
        <f>"SEPARADOR DE MAYO-COLLINS"</f>
        <v>SEPARADOR DE MAYO-COLLINS</v>
      </c>
      <c r="C6250" s="6">
        <v>800</v>
      </c>
      <c r="D6250" s="5"/>
      <c r="E6250" s="5" t="str">
        <f t="shared" si="310"/>
        <v>INSTRUMENTACION-DIANA CAICEDO-DIANA DIAZ</v>
      </c>
      <c r="F6250" s="5" t="str">
        <f>"Descripcion: SEPARADORES DE MAYO COLLINS Estado: Bueno Placa anterior: 000012739 Material: ACERO INOXIDABLE Color: PLATEADO Referencia:  Observacion:     Placa padre: I0003077Tipo adquisicion: Entidad"</f>
        <v>Descripcion: SEPARADORES DE MAYO COLLINS Estado: Bueno Placa anterior: 000012739 Material: ACERO INOXIDABLE Color: PLATEADO Referencia:  Observacion:     Placa padre: I0003077Tipo adquisicion: Entidad</v>
      </c>
      <c r="G6250" s="5"/>
    </row>
    <row r="6251" spans="1:7" ht="58.5" customHeight="1" x14ac:dyDescent="0.25">
      <c r="A6251" s="5" t="str">
        <f>"I0003087"</f>
        <v>I0003087</v>
      </c>
      <c r="B6251" s="5" t="str">
        <f>"SEPARADOR DE MAYO-COLLINS"</f>
        <v>SEPARADOR DE MAYO-COLLINS</v>
      </c>
      <c r="C6251" s="6">
        <v>800</v>
      </c>
      <c r="D6251" s="5"/>
      <c r="E6251" s="5" t="str">
        <f t="shared" si="310"/>
        <v>INSTRUMENTACION-DIANA CAICEDO-DIANA DIAZ</v>
      </c>
      <c r="F6251" s="5" t="str">
        <f>"Descripcion: SEPARADORES DE MAYO COLLINS Estado: Bueno Placa anterior: 000012740 Material: ACERO INOXIDABLE Color: PLATEADO Referencia:  Observacion:     Placa padre: I0003077Tipo adquisicion: Entidad"</f>
        <v>Descripcion: SEPARADORES DE MAYO COLLINS Estado: Bueno Placa anterior: 000012740 Material: ACERO INOXIDABLE Color: PLATEADO Referencia:  Observacion:     Placa padre: I0003077Tipo adquisicion: Entidad</v>
      </c>
      <c r="G6251" s="5"/>
    </row>
    <row r="6252" spans="1:7" ht="58.5" customHeight="1" x14ac:dyDescent="0.25">
      <c r="A6252" s="5" t="str">
        <f>"I0003088"</f>
        <v>I0003088</v>
      </c>
      <c r="B6252" s="5" t="str">
        <f>"SEPARADOR DE VOLKMANN"</f>
        <v>SEPARADOR DE VOLKMANN</v>
      </c>
      <c r="C6252" s="6">
        <v>36972</v>
      </c>
      <c r="D6252" s="5"/>
      <c r="E6252" s="5" t="str">
        <f t="shared" si="310"/>
        <v>INSTRUMENTACION-DIANA CAICEDO-DIANA DIAZ</v>
      </c>
      <c r="F6252" s="5" t="str">
        <f>"Descripcion: SEPARADORES DE WOLKMAN Estado: Bueno Placa anterior: 000012730 Material: ACERO INOXIDABLE Color: PLATEADO Referencia:  Observacion:     Placa padre: I0003077Tipo adquisicion: Entidad"</f>
        <v>Descripcion: SEPARADORES DE WOLKMAN Estado: Bueno Placa anterior: 000012730 Material: ACERO INOXIDABLE Color: PLATEADO Referencia:  Observacion:     Placa padre: I0003077Tipo adquisicion: Entidad</v>
      </c>
      <c r="G6252" s="5"/>
    </row>
    <row r="6253" spans="1:7" ht="58.5" customHeight="1" x14ac:dyDescent="0.25">
      <c r="A6253" s="5" t="str">
        <f>"I0003089"</f>
        <v>I0003089</v>
      </c>
      <c r="B6253" s="5" t="str">
        <f>"SEPARADOR DE VOLKMANN"</f>
        <v>SEPARADOR DE VOLKMANN</v>
      </c>
      <c r="C6253" s="6">
        <v>36972</v>
      </c>
      <c r="D6253" s="5"/>
      <c r="E6253" s="5" t="str">
        <f t="shared" si="310"/>
        <v>INSTRUMENTACION-DIANA CAICEDO-DIANA DIAZ</v>
      </c>
      <c r="F6253" s="5" t="str">
        <f>"Descripcion: SEPARADORES DE WOLKMAN Estado: Bueno Placa anterior: 000012731 Material: ACERO INOXIDABLE Color: PLATEADO Referencia:  Observacion:     Placa padre: I0003077Tipo adquisicion: Entidad"</f>
        <v>Descripcion: SEPARADORES DE WOLKMAN Estado: Bueno Placa anterior: 000012731 Material: ACERO INOXIDABLE Color: PLATEADO Referencia:  Observacion:     Placa padre: I0003077Tipo adquisicion: Entidad</v>
      </c>
      <c r="G6253" s="5"/>
    </row>
    <row r="6254" spans="1:7" ht="58.5" customHeight="1" x14ac:dyDescent="0.25">
      <c r="A6254" s="5" t="str">
        <f>"I0003090"</f>
        <v>I0003090</v>
      </c>
      <c r="B6254" s="5" t="str">
        <f>"SEPARADOR DE HIBBS"</f>
        <v>SEPARADOR DE HIBBS</v>
      </c>
      <c r="C6254" s="6">
        <v>36972</v>
      </c>
      <c r="D6254" s="5"/>
      <c r="E6254" s="5" t="str">
        <f t="shared" si="310"/>
        <v>INSTRUMENTACION-DIANA CAICEDO-DIANA DIAZ</v>
      </c>
      <c r="F6254" s="5" t="str">
        <f>"Descripcion: SEPARADORES DE HIBS Estado: Bueno Placa anterior: 000012719 Material: ACERO INOXIDABLE Color: PLATEADO Referencia:  Observacion:     Placa padre: I0003077Tipo adquisicion: Entidad"</f>
        <v>Descripcion: SEPARADORES DE HIBS Estado: Bueno Placa anterior: 000012719 Material: ACERO INOXIDABLE Color: PLATEADO Referencia:  Observacion:     Placa padre: I0003077Tipo adquisicion: Entidad</v>
      </c>
      <c r="G6254" s="5"/>
    </row>
    <row r="6255" spans="1:7" ht="58.5" customHeight="1" x14ac:dyDescent="0.25">
      <c r="A6255" s="5" t="str">
        <f>"I0003091"</f>
        <v>I0003091</v>
      </c>
      <c r="B6255" s="5" t="str">
        <f>"SEPARADOR (INSTRUMENTAL)"</f>
        <v>SEPARADOR (INSTRUMENTAL)</v>
      </c>
      <c r="C6255" s="6">
        <v>36972</v>
      </c>
      <c r="D6255" s="5"/>
      <c r="E6255" s="5" t="str">
        <f t="shared" si="310"/>
        <v>INSTRUMENTACION-DIANA CAICEDO-DIANA DIAZ</v>
      </c>
      <c r="F6255" s="5" t="str">
        <f>"Descripcion: SEPARADORES DE HOWMAN Estado: Bueno Placa anterior: 000012720 Material: ACERO INOXIDABLE Color: PLATEADO Referencia:  Observacion:     Placa padre: I0003077Tipo adquisicion: Entidad"</f>
        <v>Descripcion: SEPARADORES DE HOWMAN Estado: Bueno Placa anterior: 000012720 Material: ACERO INOXIDABLE Color: PLATEADO Referencia:  Observacion:     Placa padre: I0003077Tipo adquisicion: Entidad</v>
      </c>
      <c r="G6255" s="5"/>
    </row>
    <row r="6256" spans="1:7" ht="58.5" customHeight="1" x14ac:dyDescent="0.25">
      <c r="A6256" s="5" t="str">
        <f>"I0003092"</f>
        <v>I0003092</v>
      </c>
      <c r="B6256" s="5" t="str">
        <f>"SEPARADOR (INSTRUMENTAL)"</f>
        <v>SEPARADOR (INSTRUMENTAL)</v>
      </c>
      <c r="C6256" s="6">
        <v>36972</v>
      </c>
      <c r="D6256" s="5"/>
      <c r="E6256" s="5" t="str">
        <f t="shared" si="310"/>
        <v>INSTRUMENTACION-DIANA CAICEDO-DIANA DIAZ</v>
      </c>
      <c r="F6256" s="5" t="str">
        <f>"Descripcion: SEPARADORES DE HOWMAN Estado: Bueno Placa anterior: 000012721 Material: ACERO INOXIDABLE Color: PLATEADO Referencia:  Observacion:     Placa padre: I0003077Tipo adquisicion: Entidad"</f>
        <v>Descripcion: SEPARADORES DE HOWMAN Estado: Bueno Placa anterior: 000012721 Material: ACERO INOXIDABLE Color: PLATEADO Referencia:  Observacion:     Placa padre: I0003077Tipo adquisicion: Entidad</v>
      </c>
      <c r="G6256" s="5"/>
    </row>
    <row r="6257" spans="1:7" ht="58.5" customHeight="1" x14ac:dyDescent="0.25">
      <c r="A6257" s="5" t="str">
        <f>"I0003097"</f>
        <v>I0003097</v>
      </c>
      <c r="B6257" s="5" t="str">
        <f>"PINZA DE DISECCION SIN GARRA CORTA 20 CM"</f>
        <v>PINZA DE DISECCION SIN GARRA CORTA 20 CM</v>
      </c>
      <c r="C6257" s="6">
        <v>49880</v>
      </c>
      <c r="D6257" s="5"/>
      <c r="E6257" s="5" t="str">
        <f t="shared" si="310"/>
        <v>INSTRUMENTACION-DIANA CAICEDO-DIANA DIAZ</v>
      </c>
      <c r="F6257" s="5" t="str">
        <f>"Descripcion: PINZA DE DISECCION ADSON CON GARRA Estado: Bueno Placa anterior: 000031997 Material: ACERO INOXIDABLE Color: PLATEADO Referencia:  Observacion: PINZA DE DISECCION STANDARD  Placa padre: I0003077Tipo adquisicion: Entidad"</f>
        <v>Descripcion: PINZA DE DISECCION ADSON CON GARRA Estado: Bueno Placa anterior: 000031997 Material: ACERO INOXIDABLE Color: PLATEADO Referencia:  Observacion: PINZA DE DISECCION STANDARD  Placa padre: I0003077Tipo adquisicion: Entidad</v>
      </c>
      <c r="G6257" s="5"/>
    </row>
    <row r="6258" spans="1:7" ht="58.5" customHeight="1" x14ac:dyDescent="0.25">
      <c r="A6258" s="5" t="str">
        <f>"I0003110"</f>
        <v>I0003110</v>
      </c>
      <c r="B6258" s="5" t="str">
        <f>"PINZA CISTICO"</f>
        <v>PINZA CISTICO</v>
      </c>
      <c r="C6258" s="6">
        <v>237568</v>
      </c>
      <c r="D6258" s="5"/>
      <c r="E6258" s="5" t="str">
        <f t="shared" si="310"/>
        <v>INSTRUMENTACION-DIANA CAICEDO-DIANA DIAZ</v>
      </c>
      <c r="F6258" s="5" t="str">
        <f>"Descripcion: PINZA DE CISTICO Estado: Bueno Placa anterior: 000023161 Material: ACERO INOXIDABLE Color: PLATEADO Referencia:  Observacion: PINZA LAHEY PARA CISTICO 7 1/2 14-48 (INSTRUMENTAL PARA ORTOPEDIA)  Placa padre: I0003077Tipo adquisicion: Entidad"</f>
        <v>Descripcion: PINZA DE CISTICO Estado: Bueno Placa anterior: 000023161 Material: ACERO INOXIDABLE Color: PLATEADO Referencia:  Observacion: PINZA LAHEY PARA CISTICO 7 1/2 14-48 (INSTRUMENTAL PARA ORTOPEDIA)  Placa padre: I0003077Tipo adquisicion: Entidad</v>
      </c>
      <c r="G6258" s="5"/>
    </row>
    <row r="6259" spans="1:7" ht="58.5" customHeight="1" x14ac:dyDescent="0.25">
      <c r="A6259" s="5" t="str">
        <f>"I0003111"</f>
        <v>I0003111</v>
      </c>
      <c r="B6259" s="5" t="str">
        <f>"PINZA KOCHER"</f>
        <v>PINZA KOCHER</v>
      </c>
      <c r="C6259" s="6">
        <v>132240</v>
      </c>
      <c r="D6259" s="5"/>
      <c r="E6259" s="5" t="str">
        <f t="shared" si="310"/>
        <v>INSTRUMENTACION-DIANA CAICEDO-DIANA DIAZ</v>
      </c>
      <c r="F6259" s="5" t="str">
        <f>"Descripcion: PINZAS DE KOCHER Estado: Bueno Placa anterior: 000036209 Material: ACERO INOXIDABLE Color: PLATEADO Referencia:  Observacion:     Placa padre: I0003077Tipo adquisicion: Entidad"</f>
        <v>Descripcion: PINZAS DE KOCHER Estado: Bueno Placa anterior: 000036209 Material: ACERO INOXIDABLE Color: PLATEADO Referencia:  Observacion:     Placa padre: I0003077Tipo adquisicion: Entidad</v>
      </c>
      <c r="G6259" s="5"/>
    </row>
    <row r="6260" spans="1:7" ht="58.5" customHeight="1" x14ac:dyDescent="0.25">
      <c r="A6260" s="5" t="str">
        <f>"I0003112"</f>
        <v>I0003112</v>
      </c>
      <c r="B6260" s="5" t="str">
        <f>"PINZA KOCHER"</f>
        <v>PINZA KOCHER</v>
      </c>
      <c r="C6260" s="6">
        <v>132240</v>
      </c>
      <c r="D6260" s="5"/>
      <c r="E6260" s="5" t="str">
        <f t="shared" si="310"/>
        <v>INSTRUMENTACION-DIANA CAICEDO-DIANA DIAZ</v>
      </c>
      <c r="F6260" s="5" t="str">
        <f>"Descripcion: PINZAS DE KOCHER Estado: Bueno Placa anterior: 000036210 Material: ACERO INOXIDABLE Color: PLATEADO Referencia:  Observacion:     Placa padre: I0003077Tipo adquisicion: Entidad"</f>
        <v>Descripcion: PINZAS DE KOCHER Estado: Bueno Placa anterior: 000036210 Material: ACERO INOXIDABLE Color: PLATEADO Referencia:  Observacion:     Placa padre: I0003077Tipo adquisicion: Entidad</v>
      </c>
      <c r="G6260" s="5"/>
    </row>
    <row r="6261" spans="1:7" ht="58.5" customHeight="1" x14ac:dyDescent="0.25">
      <c r="A6261" s="5" t="str">
        <f>"I0003118"</f>
        <v>I0003118</v>
      </c>
      <c r="B6261" s="5" t="str">
        <f>"PINZA GUBIA"</f>
        <v>PINZA GUBIA</v>
      </c>
      <c r="C6261" s="6">
        <v>232000</v>
      </c>
      <c r="D6261" s="5"/>
      <c r="E6261" s="5" t="str">
        <f t="shared" si="310"/>
        <v>INSTRUMENTACION-DIANA CAICEDO-DIANA DIAZ</v>
      </c>
      <c r="F6261" s="5" t="str">
        <f>"Descripcion: GUBIA (DIMEDA) Estado: Bueno Placa anterior: 000031829 Material: ACERO INOXIDABLE Color: PLATEADO Referencia:  Observacion:     Placa padre: I0003077Tipo adquisicion: Entidad"</f>
        <v>Descripcion: GUBIA (DIMEDA) Estado: Bueno Placa anterior: 000031829 Material: ACERO INOXIDABLE Color: PLATEADO Referencia:  Observacion:     Placa padre: I0003077Tipo adquisicion: Entidad</v>
      </c>
      <c r="G6261" s="5"/>
    </row>
    <row r="6262" spans="1:7" ht="58.5" customHeight="1" x14ac:dyDescent="0.25">
      <c r="A6262" s="5" t="str">
        <f>"I0003119"</f>
        <v>I0003119</v>
      </c>
      <c r="B6262" s="5" t="str">
        <f>"CIZALLA (INSTRUMENTAL)"</f>
        <v>CIZALLA (INSTRUMENTAL)</v>
      </c>
      <c r="C6262" s="6">
        <v>429200</v>
      </c>
      <c r="D6262" s="5"/>
      <c r="E6262" s="5" t="str">
        <f t="shared" si="310"/>
        <v>INSTRUMENTACION-DIANA CAICEDO-DIANA DIAZ</v>
      </c>
      <c r="F6262" s="5" t="str">
        <f>"Descripcion: CIZALLA RECTA (DIMEDA) Estado: Bueno Placa anterior: 000032355 Material: ACERO INOXIDABLE Color: PLATEADO Referencia:  Observacion:     Placa padre: I0003077Tipo adquisicion: Entidad"</f>
        <v>Descripcion: CIZALLA RECTA (DIMEDA) Estado: Bueno Placa anterior: 000032355 Material: ACERO INOXIDABLE Color: PLATEADO Referencia:  Observacion:     Placa padre: I0003077Tipo adquisicion: Entidad</v>
      </c>
      <c r="G6262" s="5"/>
    </row>
    <row r="6263" spans="1:7" ht="58.5" customHeight="1" x14ac:dyDescent="0.25">
      <c r="A6263" s="5" t="str">
        <f>"I0003120"</f>
        <v>I0003120</v>
      </c>
      <c r="B6263" s="5" t="str">
        <f>"GANCHO (INSTRUMENTAL)"</f>
        <v>GANCHO (INSTRUMENTAL)</v>
      </c>
      <c r="C6263" s="6">
        <v>92800</v>
      </c>
      <c r="D6263" s="5"/>
      <c r="E6263" s="5" t="str">
        <f t="shared" si="310"/>
        <v>INSTRUMENTACION-DIANA CAICEDO-DIANA DIAZ</v>
      </c>
      <c r="F6263" s="5" t="str">
        <f>"Descripcion: GANCHO DE HUESO Estado: Bueno Placa anterior: 000032170 Material: ACERO INOXIDABLE Color: PLATEADO Referencia:  Observacion: GANCHOS DE HUESO GRANDES  Placa padre: I0003077Tipo adquisicion: Entidad"</f>
        <v>Descripcion: GANCHO DE HUESO Estado: Bueno Placa anterior: 000032170 Material: ACERO INOXIDABLE Color: PLATEADO Referencia:  Observacion: GANCHOS DE HUESO GRANDES  Placa padre: I0003077Tipo adquisicion: Entidad</v>
      </c>
      <c r="G6263" s="5"/>
    </row>
    <row r="6264" spans="1:7" ht="58.5" customHeight="1" x14ac:dyDescent="0.25">
      <c r="A6264" s="5" t="str">
        <f>"I0003121"</f>
        <v>I0003121</v>
      </c>
      <c r="B6264" s="5" t="str">
        <f>"MARTILLO (INSTRUMENTAL)"</f>
        <v>MARTILLO (INSTRUMENTAL)</v>
      </c>
      <c r="C6264" s="6">
        <v>237800</v>
      </c>
      <c r="D6264" s="5"/>
      <c r="E6264" s="5" t="str">
        <f t="shared" si="310"/>
        <v>INSTRUMENTACION-DIANA CAICEDO-DIANA DIAZ</v>
      </c>
      <c r="F6264" s="5" t="str">
        <f>"Descripcion: MARTILLO (DIMEDA) Estado: Bueno Placa anterior: 000031893 Material: ACERO INOXIDABLE Color: PLATEADO Referencia:  Observacion:     Placa padre: I0003077Tipo adquisicion: Entidad"</f>
        <v>Descripcion: MARTILLO (DIMEDA) Estado: Bueno Placa anterior: 000031893 Material: ACERO INOXIDABLE Color: PLATEADO Referencia:  Observacion:     Placa padre: I0003077Tipo adquisicion: Entidad</v>
      </c>
      <c r="G6264" s="5"/>
    </row>
    <row r="6265" spans="1:7" ht="58.5" customHeight="1" x14ac:dyDescent="0.25">
      <c r="A6265" s="5" t="str">
        <f>"I0003122"</f>
        <v>I0003122</v>
      </c>
      <c r="B6265" s="5" t="str">
        <f>"CLAMP DE KERNS"</f>
        <v>CLAMP DE KERNS</v>
      </c>
      <c r="C6265" s="6">
        <v>18083</v>
      </c>
      <c r="D6265" s="5"/>
      <c r="E6265" s="5" t="str">
        <f t="shared" si="310"/>
        <v>INSTRUMENTACION-DIANA CAICEDO-DIANA DIAZ</v>
      </c>
      <c r="F6265" s="5" t="str">
        <f>"Descripcion: CLAMPS DE KERNS Estado: Bueno Placa anterior: 000012754 Material: ACERO INOXIDABLE Color: PLATEADO Referencia:  Observacion:     Placa padre: I0003077Tipo adquisicion: Entidad"</f>
        <v>Descripcion: CLAMPS DE KERNS Estado: Bueno Placa anterior: 000012754 Material: ACERO INOXIDABLE Color: PLATEADO Referencia:  Observacion:     Placa padre: I0003077Tipo adquisicion: Entidad</v>
      </c>
      <c r="G6265" s="5"/>
    </row>
    <row r="6266" spans="1:7" ht="58.5" customHeight="1" x14ac:dyDescent="0.25">
      <c r="A6266" s="5" t="str">
        <f>"I0003123"</f>
        <v>I0003123</v>
      </c>
      <c r="B6266" s="5" t="str">
        <f>"CLAMP DE KERNS"</f>
        <v>CLAMP DE KERNS</v>
      </c>
      <c r="C6266" s="6">
        <v>18083</v>
      </c>
      <c r="D6266" s="5"/>
      <c r="E6266" s="5" t="str">
        <f t="shared" si="310"/>
        <v>INSTRUMENTACION-DIANA CAICEDO-DIANA DIAZ</v>
      </c>
      <c r="F6266" s="5" t="str">
        <f>"Descripcion: CLAMPS DE KERNS Estado: Bueno Placa anterior: 000012756 Material: ACERO INOXIDABLE Color: PLATEADO Referencia:  Observacion:     Placa padre: I0003077Tipo adquisicion: Entidad"</f>
        <v>Descripcion: CLAMPS DE KERNS Estado: Bueno Placa anterior: 000012756 Material: ACERO INOXIDABLE Color: PLATEADO Referencia:  Observacion:     Placa padre: I0003077Tipo adquisicion: Entidad</v>
      </c>
      <c r="G6266" s="5"/>
    </row>
    <row r="6267" spans="1:7" ht="58.5" customHeight="1" x14ac:dyDescent="0.25">
      <c r="A6267" s="5" t="str">
        <f>"I0003124"</f>
        <v>I0003124</v>
      </c>
      <c r="B6267" s="5" t="str">
        <f>"CLAMP DE LOWMANN"</f>
        <v>CLAMP DE LOWMANN</v>
      </c>
      <c r="C6267" s="6">
        <v>545200</v>
      </c>
      <c r="D6267" s="5"/>
      <c r="E6267" s="5" t="str">
        <f t="shared" si="310"/>
        <v>INSTRUMENTACION-DIANA CAICEDO-DIANA DIAZ</v>
      </c>
      <c r="F6267" s="5" t="str">
        <f>"Descripcion: CLAMPS DE LOWMAN (DIMEDA) Estado: Bueno Placa anterior: 000032201 Material: ACERO INOXIDABLE Color: PLATEADO Referencia:  Observacion:     Placa padre: I0003077Tipo adquisicion: Entidad"</f>
        <v>Descripcion: CLAMPS DE LOWMAN (DIMEDA) Estado: Bueno Placa anterior: 000032201 Material: ACERO INOXIDABLE Color: PLATEADO Referencia:  Observacion:     Placa padre: I0003077Tipo adquisicion: Entidad</v>
      </c>
      <c r="G6267" s="5"/>
    </row>
    <row r="6268" spans="1:7" ht="58.5" customHeight="1" x14ac:dyDescent="0.25">
      <c r="A6268" s="5" t="str">
        <f>"I0003128"</f>
        <v>I0003128</v>
      </c>
      <c r="B6268" s="5" t="str">
        <f>"RASPA (INSTRUMENTAL)"</f>
        <v>RASPA (INSTRUMENTAL)</v>
      </c>
      <c r="C6268" s="6">
        <v>800</v>
      </c>
      <c r="D6268" s="5"/>
      <c r="E6268" s="5" t="str">
        <f t="shared" si="310"/>
        <v>INSTRUMENTACION-DIANA CAICEDO-DIANA DIAZ</v>
      </c>
      <c r="F6268" s="5" t="str">
        <f>"Descripcion: RASPA COLA DE RATON Estado: Bueno Placa anterior: 000012735 Material: ACERO INOXIDABLE Color: PLATEADO Referencia:  Observacion:     Placa padre: I0003077Tipo adquisicion: Entidad"</f>
        <v>Descripcion: RASPA COLA DE RATON Estado: Bueno Placa anterior: 000012735 Material: ACERO INOXIDABLE Color: PLATEADO Referencia:  Observacion:     Placa padre: I0003077Tipo adquisicion: Entidad</v>
      </c>
      <c r="G6268" s="5"/>
    </row>
    <row r="6269" spans="1:7" ht="58.5" customHeight="1" x14ac:dyDescent="0.25">
      <c r="A6269" s="5" t="str">
        <f>"I0003129"</f>
        <v>I0003129</v>
      </c>
      <c r="B6269" s="5" t="str">
        <f>"DISECTOR DE COBB"</f>
        <v>DISECTOR DE COBB</v>
      </c>
      <c r="C6269" s="6">
        <v>582552</v>
      </c>
      <c r="D6269" s="5"/>
      <c r="E6269" s="5" t="str">
        <f t="shared" si="310"/>
        <v>INSTRUMENTACION-DIANA CAICEDO-DIANA DIAZ</v>
      </c>
      <c r="F6269" s="5" t="str">
        <f>"Descripcion: DISECTOR DE COBBS Estado: Bueno Placa anterior: 000023871 Material: ACERO INOXIDABLE Color: PLATEADO Referencia:  Observacion:     Placa padre: I0003077Tipo adquisicion: Entidad"</f>
        <v>Descripcion: DISECTOR DE COBBS Estado: Bueno Placa anterior: 000023871 Material: ACERO INOXIDABLE Color: PLATEADO Referencia:  Observacion:     Placa padre: I0003077Tipo adquisicion: Entidad</v>
      </c>
      <c r="G6269" s="5"/>
    </row>
    <row r="6270" spans="1:7" ht="58.5" customHeight="1" x14ac:dyDescent="0.25">
      <c r="A6270" s="5" t="str">
        <f>"I0003130"</f>
        <v>I0003130</v>
      </c>
      <c r="B6270" s="5" t="str">
        <f>"ELEVADOR"</f>
        <v>ELEVADOR</v>
      </c>
      <c r="C6270" s="6">
        <v>27250</v>
      </c>
      <c r="D6270" s="5"/>
      <c r="E6270" s="5" t="str">
        <f t="shared" si="310"/>
        <v>INSTRUMENTACION-DIANA CAICEDO-DIANA DIAZ</v>
      </c>
      <c r="F6270" s="5" t="str">
        <f>"Descripcion: ELEVADORES DE CHANDLER Estado: Bueno Placa anterior: 000016403 Material: ACERO INOXIDABLE Color: PLATEADO Referencia:  Observacion:     Placa padre: I0003077Tipo adquisicion: Entidad"</f>
        <v>Descripcion: ELEVADORES DE CHANDLER Estado: Bueno Placa anterior: 000016403 Material: ACERO INOXIDABLE Color: PLATEADO Referencia:  Observacion:     Placa padre: I0003077Tipo adquisicion: Entidad</v>
      </c>
      <c r="G6270" s="5"/>
    </row>
    <row r="6271" spans="1:7" ht="58.5" customHeight="1" x14ac:dyDescent="0.25">
      <c r="A6271" s="5" t="str">
        <f>"I0003131"</f>
        <v>I0003131</v>
      </c>
      <c r="B6271" s="5" t="str">
        <f>"ELEVADOR"</f>
        <v>ELEVADOR</v>
      </c>
      <c r="C6271" s="6">
        <v>27250</v>
      </c>
      <c r="D6271" s="5"/>
      <c r="E6271" s="5" t="str">
        <f t="shared" si="310"/>
        <v>INSTRUMENTACION-DIANA CAICEDO-DIANA DIAZ</v>
      </c>
      <c r="F6271" s="5" t="str">
        <f>"Descripcion: ELEVADORES DE CHANDLER Estado: Bueno Placa anterior: 000016404 Material: ACERO INOXIDABLE Color: PLATEADO Referencia:  Observacion:     Placa padre: I0003077Tipo adquisicion: Entidad"</f>
        <v>Descripcion: ELEVADORES DE CHANDLER Estado: Bueno Placa anterior: 000016404 Material: ACERO INOXIDABLE Color: PLATEADO Referencia:  Observacion:     Placa padre: I0003077Tipo adquisicion: Entidad</v>
      </c>
      <c r="G6271" s="5"/>
    </row>
    <row r="6272" spans="1:7" ht="58.5" customHeight="1" x14ac:dyDescent="0.25">
      <c r="A6272" s="5" t="str">
        <f>"I0003132"</f>
        <v>I0003132</v>
      </c>
      <c r="B6272" s="5" t="str">
        <f t="shared" ref="B6272:B6277" si="311">"CINCEL (INSTRUMENTAL)"</f>
        <v>CINCEL (INSTRUMENTAL)</v>
      </c>
      <c r="C6272" s="6">
        <v>208800</v>
      </c>
      <c r="D6272" s="5"/>
      <c r="E6272" s="5" t="str">
        <f t="shared" si="310"/>
        <v>INSTRUMENTACION-DIANA CAICEDO-DIANA DIAZ</v>
      </c>
      <c r="F6272" s="5" t="str">
        <f>"Descripcion: CINCELES (2 RECTOS) Estado: Bueno Placa anterior: 000032316 Material: ACERO INOXIDABLE Color: PLATEADO Referencia:  Observacion:     Placa padre: I0003077Tipo adquisicion: Entidad"</f>
        <v>Descripcion: CINCELES (2 RECTOS) Estado: Bueno Placa anterior: 000032316 Material: ACERO INOXIDABLE Color: PLATEADO Referencia:  Observacion:     Placa padre: I0003077Tipo adquisicion: Entidad</v>
      </c>
      <c r="G6272" s="5"/>
    </row>
    <row r="6273" spans="1:7" ht="58.5" customHeight="1" x14ac:dyDescent="0.25">
      <c r="A6273" s="5" t="str">
        <f>"I0003133"</f>
        <v>I0003133</v>
      </c>
      <c r="B6273" s="5" t="str">
        <f t="shared" si="311"/>
        <v>CINCEL (INSTRUMENTAL)</v>
      </c>
      <c r="C6273" s="6">
        <v>208800</v>
      </c>
      <c r="D6273" s="5"/>
      <c r="E6273" s="5" t="str">
        <f t="shared" si="310"/>
        <v>INSTRUMENTACION-DIANA CAICEDO-DIANA DIAZ</v>
      </c>
      <c r="F6273" s="5" t="str">
        <f>"Descripcion: CINCELES (2 RECTOS) Estado: Bueno Placa anterior: 000032317 Material: ACERO INOXIDABLE Color: PLATEADO Referencia:  Observacion:     Placa padre: I0003077Tipo adquisicion: Entidad"</f>
        <v>Descripcion: CINCELES (2 RECTOS) Estado: Bueno Placa anterior: 000032317 Material: ACERO INOXIDABLE Color: PLATEADO Referencia:  Observacion:     Placa padre: I0003077Tipo adquisicion: Entidad</v>
      </c>
      <c r="G6273" s="5"/>
    </row>
    <row r="6274" spans="1:7" ht="58.5" customHeight="1" x14ac:dyDescent="0.25">
      <c r="A6274" s="5" t="str">
        <f>"I0003134"</f>
        <v>I0003134</v>
      </c>
      <c r="B6274" s="5" t="str">
        <f t="shared" si="311"/>
        <v>CINCEL (INSTRUMENTAL)</v>
      </c>
      <c r="C6274" s="6">
        <v>220400</v>
      </c>
      <c r="D6274" s="5"/>
      <c r="E6274" s="5" t="str">
        <f t="shared" si="310"/>
        <v>INSTRUMENTACION-DIANA CAICEDO-DIANA DIAZ</v>
      </c>
      <c r="F6274" s="5" t="str">
        <f>"Descripcion: CINCELES (3 CURVOS) Estado: Bueno Placa anterior: 000032318 Material: ACERO INOXIDABLE Color: PLATEADO Referencia:  Observacion:     Placa padre: I0003077Tipo adquisicion: Entidad"</f>
        <v>Descripcion: CINCELES (3 CURVOS) Estado: Bueno Placa anterior: 000032318 Material: ACERO INOXIDABLE Color: PLATEADO Referencia:  Observacion:     Placa padre: I0003077Tipo adquisicion: Entidad</v>
      </c>
      <c r="G6274" s="5"/>
    </row>
    <row r="6275" spans="1:7" ht="58.5" customHeight="1" x14ac:dyDescent="0.25">
      <c r="A6275" s="5" t="str">
        <f>"I0003135"</f>
        <v>I0003135</v>
      </c>
      <c r="B6275" s="5" t="str">
        <f t="shared" si="311"/>
        <v>CINCEL (INSTRUMENTAL)</v>
      </c>
      <c r="C6275" s="6">
        <v>220400</v>
      </c>
      <c r="D6275" s="5"/>
      <c r="E6275" s="5" t="str">
        <f t="shared" si="310"/>
        <v>INSTRUMENTACION-DIANA CAICEDO-DIANA DIAZ</v>
      </c>
      <c r="F6275" s="5" t="str">
        <f>"Descripcion: CINCELES (3 CURVOS) Estado: Bueno Placa anterior: 000032319 Material: ACERO INOXIDABLE Color: PLATEADO Referencia:  Observacion:     Placa padre: I0003077Tipo adquisicion: Entidad"</f>
        <v>Descripcion: CINCELES (3 CURVOS) Estado: Bueno Placa anterior: 000032319 Material: ACERO INOXIDABLE Color: PLATEADO Referencia:  Observacion:     Placa padre: I0003077Tipo adquisicion: Entidad</v>
      </c>
      <c r="G6275" s="5"/>
    </row>
    <row r="6276" spans="1:7" ht="58.5" customHeight="1" x14ac:dyDescent="0.25">
      <c r="A6276" s="5" t="str">
        <f>"I0003136"</f>
        <v>I0003136</v>
      </c>
      <c r="B6276" s="5" t="str">
        <f t="shared" si="311"/>
        <v>CINCEL (INSTRUMENTAL)</v>
      </c>
      <c r="C6276" s="6">
        <v>220400</v>
      </c>
      <c r="D6276" s="5"/>
      <c r="E6276" s="5" t="str">
        <f t="shared" si="310"/>
        <v>INSTRUMENTACION-DIANA CAICEDO-DIANA DIAZ</v>
      </c>
      <c r="F6276" s="5" t="str">
        <f>"Descripcion: CINCELES (3 CURVOS) Estado: Bueno Placa anterior: 000032320 Material: ACERO INOXIDABLE Color: PLATEADO Referencia:  Observacion:     Placa padre: I0003077Tipo adquisicion: Entidad"</f>
        <v>Descripcion: CINCELES (3 CURVOS) Estado: Bueno Placa anterior: 000032320 Material: ACERO INOXIDABLE Color: PLATEADO Referencia:  Observacion:     Placa padre: I0003077Tipo adquisicion: Entidad</v>
      </c>
      <c r="G6276" s="5"/>
    </row>
    <row r="6277" spans="1:7" ht="58.5" customHeight="1" x14ac:dyDescent="0.25">
      <c r="A6277" s="5" t="str">
        <f>"I0003137"</f>
        <v>I0003137</v>
      </c>
      <c r="B6277" s="5" t="str">
        <f t="shared" si="311"/>
        <v>CINCEL (INSTRUMENTAL)</v>
      </c>
      <c r="C6277" s="6">
        <v>39600</v>
      </c>
      <c r="D6277" s="5"/>
      <c r="E6277" s="5" t="str">
        <f t="shared" si="310"/>
        <v>INSTRUMENTACION-DIANA CAICEDO-DIANA DIAZ</v>
      </c>
      <c r="F6277" s="5" t="str">
        <f>"Descripcion: CINCELES (1 ACANALADO) Estado: Bueno Placa anterior: 000012780 Material: ACERO INOXIDABLE Color: PLATEADO Referencia:  Observacion:     Placa padre: I0003077Tipo adquisicion: Entidad"</f>
        <v>Descripcion: CINCELES (1 ACANALADO) Estado: Bueno Placa anterior: 000012780 Material: ACERO INOXIDABLE Color: PLATEADO Referencia:  Observacion:     Placa padre: I0003077Tipo adquisicion: Entidad</v>
      </c>
      <c r="G6277" s="5"/>
    </row>
    <row r="6278" spans="1:7" ht="58.5" customHeight="1" x14ac:dyDescent="0.25">
      <c r="A6278" s="5" t="str">
        <f>"I0003149"</f>
        <v>I0003149</v>
      </c>
      <c r="B6278" s="5" t="str">
        <f>"CANULA DE YANKAUER"</f>
        <v>CANULA DE YANKAUER</v>
      </c>
      <c r="C6278" s="6">
        <v>92800</v>
      </c>
      <c r="D6278" s="5"/>
      <c r="E6278" s="5" t="str">
        <f t="shared" si="310"/>
        <v>INSTRUMENTACION-DIANA CAICEDO-DIANA DIAZ</v>
      </c>
      <c r="F6278" s="5" t="str">
        <f>"Descripcion: CANULA DE YANKAWER (DIMEDA) Estado: Bueno Placa anterior: 000031650 Material: ACERO INOXIDABLE Color: PLATEADO Referencia:  Observacion:     Placa padre: I0003077Tipo adquisicion: Entidad"</f>
        <v>Descripcion: CANULA DE YANKAWER (DIMEDA) Estado: Bueno Placa anterior: 000031650 Material: ACERO INOXIDABLE Color: PLATEADO Referencia:  Observacion:     Placa padre: I0003077Tipo adquisicion: Entidad</v>
      </c>
      <c r="G6278" s="5"/>
    </row>
    <row r="6279" spans="1:7" ht="58.5" customHeight="1" x14ac:dyDescent="0.25">
      <c r="A6279" s="5" t="str">
        <f>"I0003152"</f>
        <v>I0003152</v>
      </c>
      <c r="B6279" s="5" t="str">
        <f>"EQUIPO DE ORTOPEDIA"</f>
        <v>EQUIPO DE ORTOPEDIA</v>
      </c>
      <c r="C6279" s="6">
        <v>2739000</v>
      </c>
      <c r="D6279" s="5"/>
      <c r="E6279" s="5" t="str">
        <f t="shared" si="310"/>
        <v>INSTRUMENTACION-DIANA CAICEDO-DIANA DIAZ</v>
      </c>
      <c r="F6279" s="5" t="str">
        <f>"Descripcion: EQUIPO GRANDE DE ORTOPEDIA #2 QUE CONSTA DE:  (1) MANGO DE BISTURI #4(DIMEDA)  (1) MANGO DE BISTURI #7  (1) TIJERA DE METZEMBAUN CURVA MEDIANA  (1) TIJERA DE MAYO RECTA GRANDE (DIMEDA)  (2) SEPARADORES DE FARABEUF  (2) SEPARADORES DE BENETH  "&amp; "(2) SEPARADORES DE MAYO COLLINS  (2) SEPARADORES DE WOLKMAN  (1) SEPARADORES DE HIBS  (2) SEPARADORES DE HOWMAN  (1) PINZA DE DISECCION MEDIANA CON GARRA  (1) PINZA DE DISECCION MEDIANA SIN GARRA  (1) PINZA DE DISECCION PEQUEÑA CON GARRA  (1) PINZA DE DIS"&amp; "ECCION PEQUEÑA SIN GARRA  (1) PINZA DE DISECCION RUSA  (1) PINZA DE DISECCION ADSON CON GARRA  (3) PINZAS KELLY CURVAS  (4) PINZAS DE KELLY RECTAS  (3) PINZAS DE ROCHESTER CURVAS  (1) PINZA DE CISTICO  (2) PINZA DE KOCHER (DIMEDA)  (4) PINZA DE ALLIX  (1)"&amp; " PORTA AGUJAS DE MAYO MEDIANO (DIMEDA)  (0) GUBIA PICO DE PATO (DIMEDA)  (1) CIZALLA (DIMEDA)  (0) GANCHO DE HUESO (DIMEDA)  (0) MARTILLO (DIMEDA)  (2) CLAMPS DE HAY GROVERS  (2) CLAMPS DE LOWMAN (DIMEDA)  (1) RASPA DE PUTTY  (0) PASA HILOS  (2) ELEVADORE"&amp; "S DE CHANDLER  (6) CINCELES PLANOS SURTIDOS  (1) DISECTOR DE COBB  (3) CURETAS  (0) MANILARES DE SIERRA DE GIGLY  (5) PINZAS DE CAMPO  (0) CANULA DE YANKAWER (DIMEDA)  (1) PLATON NIQUELADO Estado: Bueno Placa anterior: 000012690 Material: ACERO INOXIDABLE"&amp; " Color: PLATEADO Referencia:  Observacion:     Placa padre: Tipo adquisicion: Entidad"</f>
        <v>Descripcion: EQUIPO GRANDE DE ORTOPEDIA #2 QUE CONSTA DE:  (1) MANGO DE BISTURI #4(DIMEDA)  (1) MANGO DE BISTURI #7  (1) TIJERA DE METZEMBAUN CURVA MEDIANA  (1) TIJERA DE MAYO RECTA GRANDE (DIMEDA)  (2) SEPARADORES DE FARABEUF  (2) SEPARADORES DE BENETH  (2) SEPARADORES DE MAYO COLLINS  (2) SEPARADORES DE WOLKMAN  (1) SEPARADORES DE HIBS  (2) SEPARADORES DE HOWMAN  (1) PINZA DE DISECCION MEDIANA CON GARRA  (1) PINZA DE DISECCION MEDIANA SIN GARRA  (1) PINZA DE DISECCION PEQUEÑA CON GARRA  (1) PINZA DE DISECCION PEQUEÑA SIN GARRA  (1) PINZA DE DISECCION RUSA  (1) PINZA DE DISECCION ADSON CON GARRA  (3) PINZAS KELLY CURVAS  (4) PINZAS DE KELLY RECTAS  (3) PINZAS DE ROCHESTER CURVAS  (1) PINZA DE CISTICO  (2) PINZA DE KOCHER (DIMEDA)  (4) PINZA DE ALLIX  (1) PORTA AGUJAS DE MAYO MEDIANO (DIMEDA)  (0) GUBIA PICO DE PATO (DIMEDA)  (1) CIZALLA (DIMEDA)  (0) GANCHO DE HUESO (DIMEDA)  (0) MARTILLO (DIMEDA)  (2) CLAMPS DE HAY GROVERS  (2) CLAMPS DE LOWMAN (DIMEDA)  (1) RASPA DE PUTTY  (0) PASA HILOS  (2) ELEVADORES DE CHANDLER  (6) CINCELES PLANOS SURTIDOS  (1) DISECTOR DE COBB  (3) CURETAS  (0) MANILARES DE SIERRA DE GIGLY  (5) PINZAS DE CAMPO  (0) CANULA DE YANKAWER (DIMEDA)  (1) PLATON NIQUELADO Estado: Bueno Placa anterior: 000012690 Material: ACERO INOXIDABLE Color: PLATEADO Referencia:  Observacion:     Placa padre: Tipo adquisicion: Entidad</v>
      </c>
      <c r="G6279" s="5"/>
    </row>
    <row r="6280" spans="1:7" ht="58.5" customHeight="1" x14ac:dyDescent="0.25">
      <c r="A6280" s="5" t="str">
        <f>"I0003159"</f>
        <v>I0003159</v>
      </c>
      <c r="B6280" s="5" t="str">
        <f>"SEPARADOR DE BENNETT"</f>
        <v>SEPARADOR DE BENNETT</v>
      </c>
      <c r="C6280" s="6">
        <v>36972</v>
      </c>
      <c r="D6280" s="5"/>
      <c r="E6280" s="5" t="str">
        <f t="shared" si="310"/>
        <v>INSTRUMENTACION-DIANA CAICEDO-DIANA DIAZ</v>
      </c>
      <c r="F6280" s="5" t="str">
        <f>"Descripcion: SEPARADORES DE BENNET Estado: Bueno Placa anterior: 000012710 Material: ACERO INOXIDABLE Color: PLATEADO Referencia:  Observacion:     Placa padre: I0003152Tipo adquisicion: Entidad"</f>
        <v>Descripcion: SEPARADORES DE BENNET Estado: Bueno Placa anterior: 000012710 Material: ACERO INOXIDABLE Color: PLATEADO Referencia:  Observacion:     Placa padre: I0003152Tipo adquisicion: Entidad</v>
      </c>
      <c r="G6280" s="5"/>
    </row>
    <row r="6281" spans="1:7" ht="58.5" customHeight="1" x14ac:dyDescent="0.25">
      <c r="A6281" s="5" t="str">
        <f>"I0003160"</f>
        <v>I0003160</v>
      </c>
      <c r="B6281" s="5" t="str">
        <f>"SEPARADOR DE BENNETT"</f>
        <v>SEPARADOR DE BENNETT</v>
      </c>
      <c r="C6281" s="6">
        <v>36972</v>
      </c>
      <c r="D6281" s="5"/>
      <c r="E6281" s="5" t="str">
        <f t="shared" si="310"/>
        <v>INSTRUMENTACION-DIANA CAICEDO-DIANA DIAZ</v>
      </c>
      <c r="F6281" s="5" t="str">
        <f>"Descripcion: SEPARADORES DE BENNET Estado: Bueno Placa anterior: 000012711 Material: ACERO INOXIDABLE Color: PLATEADO Referencia:  Observacion:     Placa padre: I0003152Tipo adquisicion: Entidad"</f>
        <v>Descripcion: SEPARADORES DE BENNET Estado: Bueno Placa anterior: 000012711 Material: ACERO INOXIDABLE Color: PLATEADO Referencia:  Observacion:     Placa padre: I0003152Tipo adquisicion: Entidad</v>
      </c>
      <c r="G6281" s="5"/>
    </row>
    <row r="6282" spans="1:7" ht="58.5" customHeight="1" x14ac:dyDescent="0.25">
      <c r="A6282" s="5" t="str">
        <f>"I0003161"</f>
        <v>I0003161</v>
      </c>
      <c r="B6282" s="5" t="str">
        <f>"SEPARADOR DE MAYO-COLLINS"</f>
        <v>SEPARADOR DE MAYO-COLLINS</v>
      </c>
      <c r="C6282" s="6">
        <v>120</v>
      </c>
      <c r="D6282" s="5"/>
      <c r="E6282" s="5" t="str">
        <f t="shared" si="310"/>
        <v>INSTRUMENTACION-DIANA CAICEDO-DIANA DIAZ</v>
      </c>
      <c r="F6282" s="5" t="str">
        <f>"Descripcion: SEPARADORES DE MAYO COLLINS Estado: Bueno Placa anterior: 000016501 Material: ACERO INOXIDABLE Color: PLATEADO Referencia:  Observacion:     Placa padre: I0003152Tipo adquisicion: Entidad"</f>
        <v>Descripcion: SEPARADORES DE MAYO COLLINS Estado: Bueno Placa anterior: 000016501 Material: ACERO INOXIDABLE Color: PLATEADO Referencia:  Observacion:     Placa padre: I0003152Tipo adquisicion: Entidad</v>
      </c>
      <c r="G6282" s="5"/>
    </row>
    <row r="6283" spans="1:7" ht="58.5" customHeight="1" x14ac:dyDescent="0.25">
      <c r="A6283" s="5" t="str">
        <f>"I0003162"</f>
        <v>I0003162</v>
      </c>
      <c r="B6283" s="5" t="str">
        <f>"SEPARADOR DE MAYO-COLLINS"</f>
        <v>SEPARADOR DE MAYO-COLLINS</v>
      </c>
      <c r="C6283" s="6">
        <v>120</v>
      </c>
      <c r="D6283" s="5"/>
      <c r="E6283" s="5" t="str">
        <f t="shared" si="310"/>
        <v>INSTRUMENTACION-DIANA CAICEDO-DIANA DIAZ</v>
      </c>
      <c r="F6283" s="5" t="str">
        <f>"Descripcion: SEPARADORES DE MAYO COLLINS Estado: Bueno Placa anterior: 000016502 Material: ACERO INOXIDABLE Color: PLATEADO Referencia:  Observacion:     Placa padre: I0003152Tipo adquisicion: Entidad"</f>
        <v>Descripcion: SEPARADORES DE MAYO COLLINS Estado: Bueno Placa anterior: 000016502 Material: ACERO INOXIDABLE Color: PLATEADO Referencia:  Observacion:     Placa padre: I0003152Tipo adquisicion: Entidad</v>
      </c>
      <c r="G6283" s="5"/>
    </row>
    <row r="6284" spans="1:7" ht="58.5" customHeight="1" x14ac:dyDescent="0.25">
      <c r="A6284" s="5" t="str">
        <f>"I0003163"</f>
        <v>I0003163</v>
      </c>
      <c r="B6284" s="5" t="str">
        <f>"SEPARADOR DE VOLKMANN"</f>
        <v>SEPARADOR DE VOLKMANN</v>
      </c>
      <c r="C6284" s="6">
        <v>36972</v>
      </c>
      <c r="D6284" s="5"/>
      <c r="E6284" s="5" t="str">
        <f t="shared" si="310"/>
        <v>INSTRUMENTACION-DIANA CAICEDO-DIANA DIAZ</v>
      </c>
      <c r="F6284" s="5" t="str">
        <f>"Descripcion: SEPARADORES DE WOLKMAN Estado: Bueno Placa anterior: 000012732 Material: ACERO INOXIDABLE Color: PLATEADO Referencia:  Observacion:     Placa padre: I0003152Tipo adquisicion: Entidad"</f>
        <v>Descripcion: SEPARADORES DE WOLKMAN Estado: Bueno Placa anterior: 000012732 Material: ACERO INOXIDABLE Color: PLATEADO Referencia:  Observacion:     Placa padre: I0003152Tipo adquisicion: Entidad</v>
      </c>
      <c r="G6284" s="5"/>
    </row>
    <row r="6285" spans="1:7" ht="58.5" customHeight="1" x14ac:dyDescent="0.25">
      <c r="A6285" s="5" t="str">
        <f>"I0003164"</f>
        <v>I0003164</v>
      </c>
      <c r="B6285" s="5" t="str">
        <f>"SEPARADOR DE VOLKMANN"</f>
        <v>SEPARADOR DE VOLKMANN</v>
      </c>
      <c r="C6285" s="6">
        <v>36972</v>
      </c>
      <c r="D6285" s="5"/>
      <c r="E6285" s="5" t="str">
        <f t="shared" si="310"/>
        <v>INSTRUMENTACION-DIANA CAICEDO-DIANA DIAZ</v>
      </c>
      <c r="F6285" s="5" t="str">
        <f>"Descripcion: SEPARADORES DE WOLKMAN Estado: Bueno Placa anterior: 000012733 Material: ACERO INOXIDABLE Color: PLATEADO Referencia:  Observacion:     Placa padre: I0003152Tipo adquisicion: Entidad"</f>
        <v>Descripcion: SEPARADORES DE WOLKMAN Estado: Bueno Placa anterior: 000012733 Material: ACERO INOXIDABLE Color: PLATEADO Referencia:  Observacion:     Placa padre: I0003152Tipo adquisicion: Entidad</v>
      </c>
      <c r="G6285" s="5"/>
    </row>
    <row r="6286" spans="1:7" ht="58.5" customHeight="1" x14ac:dyDescent="0.25">
      <c r="A6286" s="5" t="str">
        <f>"I0003165"</f>
        <v>I0003165</v>
      </c>
      <c r="B6286" s="5" t="str">
        <f>"SEPARADOR DE HIBBS"</f>
        <v>SEPARADOR DE HIBBS</v>
      </c>
      <c r="C6286" s="6">
        <v>300</v>
      </c>
      <c r="D6286" s="5"/>
      <c r="E6286" s="5" t="str">
        <f t="shared" si="310"/>
        <v>INSTRUMENTACION-DIANA CAICEDO-DIANA DIAZ</v>
      </c>
      <c r="F6286" s="5" t="str">
        <f>"Descripcion: SEPARADORES DE HIBS Estado: Bueno Placa anterior: 000016510 Material: ACERO INOXIDABLE Color: PLATEADO Referencia:  Observacion:     Placa padre: I0003152Tipo adquisicion: Entidad"</f>
        <v>Descripcion: SEPARADORES DE HIBS Estado: Bueno Placa anterior: 000016510 Material: ACERO INOXIDABLE Color: PLATEADO Referencia:  Observacion:     Placa padre: I0003152Tipo adquisicion: Entidad</v>
      </c>
      <c r="G6286" s="5"/>
    </row>
    <row r="6287" spans="1:7" ht="58.5" customHeight="1" x14ac:dyDescent="0.25">
      <c r="A6287" s="5" t="str">
        <f>"I0003166"</f>
        <v>I0003166</v>
      </c>
      <c r="B6287" s="5" t="str">
        <f>"SEPARADOR (INSTRUMENTAL)"</f>
        <v>SEPARADOR (INSTRUMENTAL)</v>
      </c>
      <c r="C6287" s="6">
        <v>36972</v>
      </c>
      <c r="D6287" s="5"/>
      <c r="E6287" s="5" t="str">
        <f t="shared" si="310"/>
        <v>INSTRUMENTACION-DIANA CAICEDO-DIANA DIAZ</v>
      </c>
      <c r="F6287" s="5" t="str">
        <f>"Descripcion: SEPARADORES DE HOWMAN Estado: Bueno Placa anterior: 000012722 Material: ACERO INOXIDABLE Color: PLATEADO Referencia:  Observacion:     Placa padre: I0003152Tipo adquisicion: Entidad"</f>
        <v>Descripcion: SEPARADORES DE HOWMAN Estado: Bueno Placa anterior: 000012722 Material: ACERO INOXIDABLE Color: PLATEADO Referencia:  Observacion:     Placa padre: I0003152Tipo adquisicion: Entidad</v>
      </c>
      <c r="G6287" s="5"/>
    </row>
    <row r="6288" spans="1:7" ht="58.5" customHeight="1" x14ac:dyDescent="0.25">
      <c r="A6288" s="5" t="str">
        <f>"I0003167"</f>
        <v>I0003167</v>
      </c>
      <c r="B6288" s="5" t="str">
        <f>"SEPARADOR (INSTRUMENTAL)"</f>
        <v>SEPARADOR (INSTRUMENTAL)</v>
      </c>
      <c r="C6288" s="6">
        <v>36972</v>
      </c>
      <c r="D6288" s="5"/>
      <c r="E6288" s="5" t="str">
        <f t="shared" si="310"/>
        <v>INSTRUMENTACION-DIANA CAICEDO-DIANA DIAZ</v>
      </c>
      <c r="F6288" s="5" t="str">
        <f>"Descripcion: SEPARADORES DE HOWMAN Estado: Bueno Placa anterior: 000012723 Material: ACERO INOXIDABLE Color: PLATEADO Referencia:  Observacion:     Placa padre: I0003152Tipo adquisicion: Entidad"</f>
        <v>Descripcion: SEPARADORES DE HOWMAN Estado: Bueno Placa anterior: 000012723 Material: ACERO INOXIDABLE Color: PLATEADO Referencia:  Observacion:     Placa padre: I0003152Tipo adquisicion: Entidad</v>
      </c>
      <c r="G6288" s="5"/>
    </row>
    <row r="6289" spans="1:7" ht="58.5" customHeight="1" x14ac:dyDescent="0.25">
      <c r="A6289" s="5" t="str">
        <f>"I0003173"</f>
        <v>I0003173</v>
      </c>
      <c r="B6289" s="5" t="str">
        <f>"PINZA DE DISECCION SIN GARRA CORTA 20 CM"</f>
        <v>PINZA DE DISECCION SIN GARRA CORTA 20 CM</v>
      </c>
      <c r="C6289" s="6">
        <v>49880</v>
      </c>
      <c r="D6289" s="5"/>
      <c r="E6289" s="5" t="str">
        <f t="shared" si="310"/>
        <v>INSTRUMENTACION-DIANA CAICEDO-DIANA DIAZ</v>
      </c>
      <c r="F6289" s="5" t="str">
        <f>"Descripcion: PINZA DE DISECCION ADSON CON GARRA Estado: Bueno Placa anterior: 000031998 Material: ACERO INOXIDABLE Color: PLATEADO Referencia:  Observacion: PINZA DE DISECCION STANDARD  Placa padre: I0003152Tipo adquisicion: Entidad"</f>
        <v>Descripcion: PINZA DE DISECCION ADSON CON GARRA Estado: Bueno Placa anterior: 000031998 Material: ACERO INOXIDABLE Color: PLATEADO Referencia:  Observacion: PINZA DE DISECCION STANDARD  Placa padre: I0003152Tipo adquisicion: Entidad</v>
      </c>
      <c r="G6289" s="5"/>
    </row>
    <row r="6290" spans="1:7" ht="58.5" customHeight="1" x14ac:dyDescent="0.25">
      <c r="A6290" s="5" t="str">
        <f>"I0003184"</f>
        <v>I0003184</v>
      </c>
      <c r="B6290" s="5" t="str">
        <f>"PINZA ROCHESTER CURVA 25 CM"</f>
        <v>PINZA ROCHESTER CURVA 25 CM</v>
      </c>
      <c r="C6290" s="6">
        <v>126440</v>
      </c>
      <c r="D6290" s="5"/>
      <c r="E6290" s="5" t="str">
        <f t="shared" si="310"/>
        <v>INSTRUMENTACION-DIANA CAICEDO-DIANA DIAZ</v>
      </c>
      <c r="F6290" s="5" t="str">
        <f>"Descripcion: PINZAS DE ROCHESTER CURVAS Estado: Bueno Placa anterior: 000023245 Material: ACERO INOXIDABLE Color: PLATEADO Referencia:  Observacion:     Placa padre: I0003152Tipo adquisicion: Entidad"</f>
        <v>Descripcion: PINZAS DE ROCHESTER CURVAS Estado: Bueno Placa anterior: 000023245 Material: ACERO INOXIDABLE Color: PLATEADO Referencia:  Observacion:     Placa padre: I0003152Tipo adquisicion: Entidad</v>
      </c>
      <c r="G6290" s="5"/>
    </row>
    <row r="6291" spans="1:7" ht="58.5" customHeight="1" x14ac:dyDescent="0.25">
      <c r="A6291" s="5" t="str">
        <f>"I0003185"</f>
        <v>I0003185</v>
      </c>
      <c r="B6291" s="5" t="str">
        <f>"PINZA ROCHESTER CURVA 25 CM"</f>
        <v>PINZA ROCHESTER CURVA 25 CM</v>
      </c>
      <c r="C6291" s="6">
        <v>126440</v>
      </c>
      <c r="D6291" s="5"/>
      <c r="E6291" s="5" t="str">
        <f t="shared" si="310"/>
        <v>INSTRUMENTACION-DIANA CAICEDO-DIANA DIAZ</v>
      </c>
      <c r="F6291" s="5" t="str">
        <f>"Descripcion: PINZAS DE ROCHESTER CURVAS Estado: Bueno Placa anterior: 000023246 Material: ACERO INOXIDABLE Color: PLATEADO Referencia:  Observacion:     Placa padre: I0003152Tipo adquisicion: Entidad"</f>
        <v>Descripcion: PINZAS DE ROCHESTER CURVAS Estado: Bueno Placa anterior: 000023246 Material: ACERO INOXIDABLE Color: PLATEADO Referencia:  Observacion:     Placa padre: I0003152Tipo adquisicion: Entidad</v>
      </c>
      <c r="G6291" s="5"/>
    </row>
    <row r="6292" spans="1:7" ht="58.5" customHeight="1" x14ac:dyDescent="0.25">
      <c r="A6292" s="5" t="str">
        <f>"I0003188"</f>
        <v>I0003188</v>
      </c>
      <c r="B6292" s="5" t="str">
        <f>"PINZA CISTICO"</f>
        <v>PINZA CISTICO</v>
      </c>
      <c r="C6292" s="6">
        <v>162400</v>
      </c>
      <c r="D6292" s="5"/>
      <c r="E6292" s="5" t="str">
        <f t="shared" si="310"/>
        <v>INSTRUMENTACION-DIANA CAICEDO-DIANA DIAZ</v>
      </c>
      <c r="F6292" s="5" t="str">
        <f>"Descripcion: PINZA DE CISTICO Estado: Bueno Placa anterior: 000036193 Material: ACERO INOXIDABLE Color: PLATEADO Referencia:  Observacion: PINZA LAHEY DUCTO BILIAR CURVA  Placa padre: I0003152Tipo adquisicion: Entidad"</f>
        <v>Descripcion: PINZA DE CISTICO Estado: Bueno Placa anterior: 000036193 Material: ACERO INOXIDABLE Color: PLATEADO Referencia:  Observacion: PINZA LAHEY DUCTO BILIAR CURVA  Placa padre: I0003152Tipo adquisicion: Entidad</v>
      </c>
      <c r="G6292" s="5"/>
    </row>
    <row r="6293" spans="1:7" ht="58.5" customHeight="1" x14ac:dyDescent="0.25">
      <c r="A6293" s="5" t="str">
        <f>"I0003189"</f>
        <v>I0003189</v>
      </c>
      <c r="B6293" s="5" t="str">
        <f>"PINZA KOCHER"</f>
        <v>PINZA KOCHER</v>
      </c>
      <c r="C6293" s="6">
        <v>132240</v>
      </c>
      <c r="D6293" s="5"/>
      <c r="E6293" s="5" t="str">
        <f t="shared" si="310"/>
        <v>INSTRUMENTACION-DIANA CAICEDO-DIANA DIAZ</v>
      </c>
      <c r="F6293" s="5" t="str">
        <f>"Descripcion: PINZAS DE KOCHER Estado: Bueno Placa anterior: 000036211 Material: ACERO INOXIDABLE Color: PLATEADO Referencia:  Observacion:     Placa padre: I0003152Tipo adquisicion: Entidad"</f>
        <v>Descripcion: PINZAS DE KOCHER Estado: Bueno Placa anterior: 000036211 Material: ACERO INOXIDABLE Color: PLATEADO Referencia:  Observacion:     Placa padre: I0003152Tipo adquisicion: Entidad</v>
      </c>
      <c r="G6293" s="5"/>
    </row>
    <row r="6294" spans="1:7" ht="58.5" customHeight="1" x14ac:dyDescent="0.25">
      <c r="A6294" s="5" t="str">
        <f>"I0003190"</f>
        <v>I0003190</v>
      </c>
      <c r="B6294" s="5" t="str">
        <f>"PINZA KOCHER"</f>
        <v>PINZA KOCHER</v>
      </c>
      <c r="C6294" s="6">
        <v>132240</v>
      </c>
      <c r="D6294" s="5"/>
      <c r="E6294" s="5" t="str">
        <f t="shared" si="310"/>
        <v>INSTRUMENTACION-DIANA CAICEDO-DIANA DIAZ</v>
      </c>
      <c r="F6294" s="5" t="str">
        <f>"Descripcion: PINZAS DE KOCHER Estado: Bueno Placa anterior: 000036212 Material: ACERO INOXIDABLE Color: PLATEADO Referencia:  Observacion:     Placa padre: I0003152Tipo adquisicion: Entidad"</f>
        <v>Descripcion: PINZAS DE KOCHER Estado: Bueno Placa anterior: 000036212 Material: ACERO INOXIDABLE Color: PLATEADO Referencia:  Observacion:     Placa padre: I0003152Tipo adquisicion: Entidad</v>
      </c>
      <c r="G6294" s="5"/>
    </row>
    <row r="6295" spans="1:7" ht="58.5" customHeight="1" x14ac:dyDescent="0.25">
      <c r="A6295" s="5" t="str">
        <f>"I0003191"</f>
        <v>I0003191</v>
      </c>
      <c r="B6295" s="5" t="str">
        <f>"PINZA ALLIX"</f>
        <v>PINZA ALLIX</v>
      </c>
      <c r="C6295" s="6">
        <v>123656</v>
      </c>
      <c r="D6295" s="5"/>
      <c r="E6295" s="5" t="str">
        <f t="shared" si="310"/>
        <v>INSTRUMENTACION-DIANA CAICEDO-DIANA DIAZ</v>
      </c>
      <c r="F6295" s="5" t="str">
        <f>"Descripcion: PINZAS DE ALLIX Estado: Bueno Placa anterior: 000023162 Material: ACERO INOXIDABLE Color: PLATEADO Referencia:  Observacion:     Placa padre: I0003152Tipo adquisicion: Entidad"</f>
        <v>Descripcion: PINZAS DE ALLIX Estado: Bueno Placa anterior: 000023162 Material: ACERO INOXIDABLE Color: PLATEADO Referencia:  Observacion:     Placa padre: I0003152Tipo adquisicion: Entidad</v>
      </c>
      <c r="G6295" s="5"/>
    </row>
    <row r="6296" spans="1:7" ht="58.5" customHeight="1" x14ac:dyDescent="0.25">
      <c r="A6296" s="5" t="str">
        <f>"I0003192"</f>
        <v>I0003192</v>
      </c>
      <c r="B6296" s="5" t="str">
        <f>"PINZA ALLIX"</f>
        <v>PINZA ALLIX</v>
      </c>
      <c r="C6296" s="6">
        <v>123656</v>
      </c>
      <c r="D6296" s="5"/>
      <c r="E6296" s="5" t="str">
        <f t="shared" si="310"/>
        <v>INSTRUMENTACION-DIANA CAICEDO-DIANA DIAZ</v>
      </c>
      <c r="F6296" s="5" t="str">
        <f>"Descripcion: PINZAS DE ALLIX Estado: Bueno Placa anterior: 000023163 Material: ACERO INOXIDABLE Color: PLATEADO Referencia:  Observacion:     Placa padre: I0003152Tipo adquisicion: Entidad"</f>
        <v>Descripcion: PINZAS DE ALLIX Estado: Bueno Placa anterior: 000023163 Material: ACERO INOXIDABLE Color: PLATEADO Referencia:  Observacion:     Placa padre: I0003152Tipo adquisicion: Entidad</v>
      </c>
      <c r="G6296" s="5"/>
    </row>
    <row r="6297" spans="1:7" ht="58.5" customHeight="1" x14ac:dyDescent="0.25">
      <c r="A6297" s="5" t="str">
        <f>"I0003193"</f>
        <v>I0003193</v>
      </c>
      <c r="B6297" s="5" t="str">
        <f>"PINZA ALLIX"</f>
        <v>PINZA ALLIX</v>
      </c>
      <c r="C6297" s="6">
        <v>123656</v>
      </c>
      <c r="D6297" s="5"/>
      <c r="E6297" s="5" t="str">
        <f t="shared" si="310"/>
        <v>INSTRUMENTACION-DIANA CAICEDO-DIANA DIAZ</v>
      </c>
      <c r="F6297" s="5" t="str">
        <f>"Descripcion: PINZAS DE ALLIX Estado: Bueno Placa anterior: 000023164 Material: ACERO INOXIDABLE Color: PLATEADO Referencia:  Observacion:     Placa padre: I0003152Tipo adquisicion: Entidad"</f>
        <v>Descripcion: PINZAS DE ALLIX Estado: Bueno Placa anterior: 000023164 Material: ACERO INOXIDABLE Color: PLATEADO Referencia:  Observacion:     Placa padre: I0003152Tipo adquisicion: Entidad</v>
      </c>
      <c r="G6297" s="5"/>
    </row>
    <row r="6298" spans="1:7" ht="58.5" customHeight="1" x14ac:dyDescent="0.25">
      <c r="A6298" s="5" t="str">
        <f>"I0003194"</f>
        <v>I0003194</v>
      </c>
      <c r="B6298" s="5" t="str">
        <f>"PINZA ALLIX"</f>
        <v>PINZA ALLIX</v>
      </c>
      <c r="C6298" s="6">
        <v>123656</v>
      </c>
      <c r="D6298" s="5"/>
      <c r="E6298" s="5" t="str">
        <f t="shared" si="310"/>
        <v>INSTRUMENTACION-DIANA CAICEDO-DIANA DIAZ</v>
      </c>
      <c r="F6298" s="5" t="str">
        <f>"Descripcion: PINZAS DE ALLIX Estado: Bueno Placa anterior: 000023165 Material: ACERO INOXIDABLE Color: PLATEADO Referencia:  Observacion:     Placa padre: I0003152Tipo adquisicion: Entidad"</f>
        <v>Descripcion: PINZAS DE ALLIX Estado: Bueno Placa anterior: 000023165 Material: ACERO INOXIDABLE Color: PLATEADO Referencia:  Observacion:     Placa padre: I0003152Tipo adquisicion: Entidad</v>
      </c>
      <c r="G6298" s="5"/>
    </row>
    <row r="6299" spans="1:7" ht="58.5" customHeight="1" x14ac:dyDescent="0.25">
      <c r="A6299" s="5" t="str">
        <f>"I0003196"</f>
        <v>I0003196</v>
      </c>
      <c r="B6299" s="5" t="str">
        <f>"PINZA GUBIA"</f>
        <v>PINZA GUBIA</v>
      </c>
      <c r="C6299" s="6">
        <v>232000</v>
      </c>
      <c r="D6299" s="5"/>
      <c r="E6299" s="5" t="str">
        <f t="shared" si="310"/>
        <v>INSTRUMENTACION-DIANA CAICEDO-DIANA DIAZ</v>
      </c>
      <c r="F6299" s="5" t="str">
        <f>"Descripcion: GUBIA PICO DE PATO (DIMEDA) Estado: Bueno Placa anterior: 000031830 Material: ACERO INOXIDABLE Color: PLATEADO Referencia:  Observacion:     Placa padre: I0003152Tipo adquisicion: Entidad"</f>
        <v>Descripcion: GUBIA PICO DE PATO (DIMEDA) Estado: Bueno Placa anterior: 000031830 Material: ACERO INOXIDABLE Color: PLATEADO Referencia:  Observacion:     Placa padre: I0003152Tipo adquisicion: Entidad</v>
      </c>
      <c r="G6299" s="5"/>
    </row>
    <row r="6300" spans="1:7" ht="58.5" customHeight="1" x14ac:dyDescent="0.25">
      <c r="A6300" s="5" t="str">
        <f>"I0003197"</f>
        <v>I0003197</v>
      </c>
      <c r="B6300" s="5" t="str">
        <f>"CIZALLA (INSTRUMENTAL)"</f>
        <v>CIZALLA (INSTRUMENTAL)</v>
      </c>
      <c r="C6300" s="6">
        <v>429200</v>
      </c>
      <c r="D6300" s="5"/>
      <c r="E6300" s="5" t="str">
        <f t="shared" si="310"/>
        <v>INSTRUMENTACION-DIANA CAICEDO-DIANA DIAZ</v>
      </c>
      <c r="F6300" s="5" t="str">
        <f>"Descripcion: CIZALLA RECTA (DIMEDA) Estado: Bueno Placa anterior: 000032356 Material: ACERO INOXIDABLE Color: PLATEADO Referencia:  Observacion:     Placa padre: I0003152Tipo adquisicion: Entidad"</f>
        <v>Descripcion: CIZALLA RECTA (DIMEDA) Estado: Bueno Placa anterior: 000032356 Material: ACERO INOXIDABLE Color: PLATEADO Referencia:  Observacion:     Placa padre: I0003152Tipo adquisicion: Entidad</v>
      </c>
      <c r="G6300" s="5"/>
    </row>
    <row r="6301" spans="1:7" ht="58.5" customHeight="1" x14ac:dyDescent="0.25">
      <c r="A6301" s="5" t="str">
        <f>"I0003198"</f>
        <v>I0003198</v>
      </c>
      <c r="B6301" s="5" t="str">
        <f>"GANCHO (INSTRUMENTAL)"</f>
        <v>GANCHO (INSTRUMENTAL)</v>
      </c>
      <c r="C6301" s="6">
        <v>92800</v>
      </c>
      <c r="D6301" s="5"/>
      <c r="E6301" s="5" t="str">
        <f t="shared" si="310"/>
        <v>INSTRUMENTACION-DIANA CAICEDO-DIANA DIAZ</v>
      </c>
      <c r="F6301" s="5" t="str">
        <f>"Descripcion: GANCHO DE HUESO Estado: Bueno Placa anterior: 000032172 Material: ACERO INOXIDABLE Color: PLATEADO Referencia:  Observacion: GANCHOS DE HUESO GRANDES  Placa padre: I0003152Tipo adquisicion: Entidad"</f>
        <v>Descripcion: GANCHO DE HUESO Estado: Bueno Placa anterior: 000032172 Material: ACERO INOXIDABLE Color: PLATEADO Referencia:  Observacion: GANCHOS DE HUESO GRANDES  Placa padre: I0003152Tipo adquisicion: Entidad</v>
      </c>
      <c r="G6301" s="5"/>
    </row>
    <row r="6302" spans="1:7" ht="58.5" customHeight="1" x14ac:dyDescent="0.25">
      <c r="A6302" s="5" t="str">
        <f>"I0003199"</f>
        <v>I0003199</v>
      </c>
      <c r="B6302" s="5" t="str">
        <f>"MARTILLO (INSTRUMENTAL)"</f>
        <v>MARTILLO (INSTRUMENTAL)</v>
      </c>
      <c r="C6302" s="6">
        <v>237800</v>
      </c>
      <c r="D6302" s="5"/>
      <c r="E6302" s="5" t="str">
        <f t="shared" si="310"/>
        <v>INSTRUMENTACION-DIANA CAICEDO-DIANA DIAZ</v>
      </c>
      <c r="F6302" s="5" t="str">
        <f>"Descripcion: MARTILLO (DIMEDA) Estado: Bueno Placa anterior: 000031894 Material: ACERO INOXIDABLE Color: PLATEADO Referencia:  Observacion:     Placa padre: I0003152Tipo adquisicion: Entidad"</f>
        <v>Descripcion: MARTILLO (DIMEDA) Estado: Bueno Placa anterior: 000031894 Material: ACERO INOXIDABLE Color: PLATEADO Referencia:  Observacion:     Placa padre: I0003152Tipo adquisicion: Entidad</v>
      </c>
      <c r="G6302" s="5"/>
    </row>
    <row r="6303" spans="1:7" ht="58.5" customHeight="1" x14ac:dyDescent="0.25">
      <c r="A6303" s="5" t="str">
        <f>"I0003200"</f>
        <v>I0003200</v>
      </c>
      <c r="B6303" s="5" t="str">
        <f>"CLAMP DE KERNS"</f>
        <v>CLAMP DE KERNS</v>
      </c>
      <c r="C6303" s="6">
        <v>437911.62</v>
      </c>
      <c r="D6303" s="5"/>
      <c r="E6303" s="5" t="str">
        <f t="shared" ref="E6303:E6366" si="312">"INSTRUMENTACION-DIANA CAICEDO-DIANA DIAZ"</f>
        <v>INSTRUMENTACION-DIANA CAICEDO-DIANA DIAZ</v>
      </c>
      <c r="F6303" s="5" t="str">
        <f>"Descripcion: CLAMPS DE HAY GROVERS Estado: Bueno Placa anterior: 000012750 Material: ACERO INOXIDABLE Color: PLATEADO Referencia:  Observacion:     Placa padre: I0003152Tipo adquisicion: Entidad"</f>
        <v>Descripcion: CLAMPS DE HAY GROVERS Estado: Bueno Placa anterior: 000012750 Material: ACERO INOXIDABLE Color: PLATEADO Referencia:  Observacion:     Placa padre: I0003152Tipo adquisicion: Entidad</v>
      </c>
      <c r="G6303" s="5"/>
    </row>
    <row r="6304" spans="1:7" ht="58.5" customHeight="1" x14ac:dyDescent="0.25">
      <c r="A6304" s="5" t="str">
        <f>"I0003201"</f>
        <v>I0003201</v>
      </c>
      <c r="B6304" s="5" t="str">
        <f>"CLAMP DE KERNS"</f>
        <v>CLAMP DE KERNS</v>
      </c>
      <c r="C6304" s="6">
        <v>437911.62</v>
      </c>
      <c r="D6304" s="5"/>
      <c r="E6304" s="5" t="str">
        <f t="shared" si="312"/>
        <v>INSTRUMENTACION-DIANA CAICEDO-DIANA DIAZ</v>
      </c>
      <c r="F6304" s="5" t="str">
        <f>"Descripcion: CLAMPS DE HAY GROVERS Estado: Bueno Placa anterior: 000012751 Material: ACERO INOXIDABLE Color: PLATEADO Referencia:  Observacion:     Placa padre: I0003152Tipo adquisicion: Entidad"</f>
        <v>Descripcion: CLAMPS DE HAY GROVERS Estado: Bueno Placa anterior: 000012751 Material: ACERO INOXIDABLE Color: PLATEADO Referencia:  Observacion:     Placa padre: I0003152Tipo adquisicion: Entidad</v>
      </c>
      <c r="G6304" s="5"/>
    </row>
    <row r="6305" spans="1:7" ht="58.5" customHeight="1" x14ac:dyDescent="0.25">
      <c r="A6305" s="5" t="str">
        <f>"I0003202"</f>
        <v>I0003202</v>
      </c>
      <c r="B6305" s="5" t="str">
        <f>"CLAMP DE LOWMANN"</f>
        <v>CLAMP DE LOWMANN</v>
      </c>
      <c r="C6305" s="6">
        <v>545200</v>
      </c>
      <c r="D6305" s="5"/>
      <c r="E6305" s="5" t="str">
        <f t="shared" si="312"/>
        <v>INSTRUMENTACION-DIANA CAICEDO-DIANA DIAZ</v>
      </c>
      <c r="F6305" s="5" t="str">
        <f>"Descripcion: CLAMPS DE LOWMAN (DIMEDA) Estado: Bueno Placa anterior: 000032203 Material: ACERO INOXIDABLE Color: PLATEADO Referencia:  Observacion:     Placa padre: I0003152Tipo adquisicion: Entidad"</f>
        <v>Descripcion: CLAMPS DE LOWMAN (DIMEDA) Estado: Bueno Placa anterior: 000032203 Material: ACERO INOXIDABLE Color: PLATEADO Referencia:  Observacion:     Placa padre: I0003152Tipo adquisicion: Entidad</v>
      </c>
      <c r="G6305" s="5"/>
    </row>
    <row r="6306" spans="1:7" ht="58.5" customHeight="1" x14ac:dyDescent="0.25">
      <c r="A6306" s="5" t="str">
        <f>"I0003203"</f>
        <v>I0003203</v>
      </c>
      <c r="B6306" s="5" t="str">
        <f>"CLAMP DE LOWMANN"</f>
        <v>CLAMP DE LOWMANN</v>
      </c>
      <c r="C6306" s="6">
        <v>545200</v>
      </c>
      <c r="D6306" s="5"/>
      <c r="E6306" s="5" t="str">
        <f t="shared" si="312"/>
        <v>INSTRUMENTACION-DIANA CAICEDO-DIANA DIAZ</v>
      </c>
      <c r="F6306" s="5" t="str">
        <f>"Descripcion: CLAMPS DE LOWMAN (DIMEDA) Estado: Bueno Placa anterior: 000032204 Material: ACERO INOXIDABLE Color: PLATEADO Referencia:  Observacion:     Placa padre: I0003152Tipo adquisicion: Entidad"</f>
        <v>Descripcion: CLAMPS DE LOWMAN (DIMEDA) Estado: Bueno Placa anterior: 000032204 Material: ACERO INOXIDABLE Color: PLATEADO Referencia:  Observacion:     Placa padre: I0003152Tipo adquisicion: Entidad</v>
      </c>
      <c r="G6306" s="5"/>
    </row>
    <row r="6307" spans="1:7" ht="58.5" customHeight="1" x14ac:dyDescent="0.25">
      <c r="A6307" s="5" t="str">
        <f>"I0003204"</f>
        <v>I0003204</v>
      </c>
      <c r="B6307" s="5" t="str">
        <f>"RASPA (INSTRUMENTAL)"</f>
        <v>RASPA (INSTRUMENTAL)</v>
      </c>
      <c r="C6307" s="6">
        <v>304036</v>
      </c>
      <c r="D6307" s="5"/>
      <c r="E6307" s="5" t="str">
        <f t="shared" si="312"/>
        <v>INSTRUMENTACION-DIANA CAICEDO-DIANA DIAZ</v>
      </c>
      <c r="F6307" s="5" t="str">
        <f>"Descripcion: RASPA DE PUTTY Estado: Bueno Placa anterior: 000023173 Material: ACERO INOXIDABLE Color: PLATEADO Referencia:  Observacion:     Placa padre: I0003152Tipo adquisicion: Entidad"</f>
        <v>Descripcion: RASPA DE PUTTY Estado: Bueno Placa anterior: 000023173 Material: ACERO INOXIDABLE Color: PLATEADO Referencia:  Observacion:     Placa padre: I0003152Tipo adquisicion: Entidad</v>
      </c>
      <c r="G6307" s="5"/>
    </row>
    <row r="6308" spans="1:7" ht="58.5" customHeight="1" x14ac:dyDescent="0.25">
      <c r="A6308" s="5" t="str">
        <f>"I0003206"</f>
        <v>I0003206</v>
      </c>
      <c r="B6308" s="5" t="str">
        <f>"DISECTOR DE COBB"</f>
        <v>DISECTOR DE COBB</v>
      </c>
      <c r="C6308" s="6">
        <v>324800</v>
      </c>
      <c r="D6308" s="5"/>
      <c r="E6308" s="5" t="str">
        <f t="shared" si="312"/>
        <v>INSTRUMENTACION-DIANA CAICEDO-DIANA DIAZ</v>
      </c>
      <c r="F6308" s="5" t="str">
        <f>"Descripcion: DISECTOR DE COBBS Estado: Bueno Placa anterior: 000032134 Material: ACERO INOXIDABLE Color: PLATEADO Referencia:  Observacion: ELEVADOR DE COOB GRANDE Placa padre: I0003152Tipo adquisicion: Entidad"</f>
        <v>Descripcion: DISECTOR DE COBBS Estado: Bueno Placa anterior: 000032134 Material: ACERO INOXIDABLE Color: PLATEADO Referencia:  Observacion: ELEVADOR DE COOB GRANDE Placa padre: I0003152Tipo adquisicion: Entidad</v>
      </c>
      <c r="G6308" s="5"/>
    </row>
    <row r="6309" spans="1:7" ht="58.5" customHeight="1" x14ac:dyDescent="0.25">
      <c r="A6309" s="5" t="str">
        <f>"I0003209"</f>
        <v>I0003209</v>
      </c>
      <c r="B6309" s="5" t="str">
        <f t="shared" ref="B6309:B6314" si="313">"CINCEL (INSTRUMENTAL)"</f>
        <v>CINCEL (INSTRUMENTAL)</v>
      </c>
      <c r="C6309" s="6">
        <v>220400</v>
      </c>
      <c r="D6309" s="5"/>
      <c r="E6309" s="5" t="str">
        <f t="shared" si="312"/>
        <v>INSTRUMENTACION-DIANA CAICEDO-DIANA DIAZ</v>
      </c>
      <c r="F6309" s="5" t="str">
        <f>"Descripcion: CINCELES (2 RECTOS) Estado: Bueno Placa anterior: 000032321 Material: ACERO INOXIDABLE Color: PLATEADO Referencia:  Observacion:     Placa padre: I0003152Tipo adquisicion: Entidad"</f>
        <v>Descripcion: CINCELES (2 RECTOS) Estado: Bueno Placa anterior: 000032321 Material: ACERO INOXIDABLE Color: PLATEADO Referencia:  Observacion:     Placa padre: I0003152Tipo adquisicion: Entidad</v>
      </c>
      <c r="G6309" s="5"/>
    </row>
    <row r="6310" spans="1:7" ht="58.5" customHeight="1" x14ac:dyDescent="0.25">
      <c r="A6310" s="5" t="str">
        <f>"I0003210"</f>
        <v>I0003210</v>
      </c>
      <c r="B6310" s="5" t="str">
        <f t="shared" si="313"/>
        <v>CINCEL (INSTRUMENTAL)</v>
      </c>
      <c r="C6310" s="6">
        <v>220400</v>
      </c>
      <c r="D6310" s="5"/>
      <c r="E6310" s="5" t="str">
        <f t="shared" si="312"/>
        <v>INSTRUMENTACION-DIANA CAICEDO-DIANA DIAZ</v>
      </c>
      <c r="F6310" s="5" t="str">
        <f>"Descripcion: CINCELES (2 RECTOS) Estado: Bueno Placa anterior: 000032322 Material: ACERO INOXIDABLE Color: PLATEADO Referencia:  Observacion:     Placa padre: I0003152Tipo adquisicion: Entidad"</f>
        <v>Descripcion: CINCELES (2 RECTOS) Estado: Bueno Placa anterior: 000032322 Material: ACERO INOXIDABLE Color: PLATEADO Referencia:  Observacion:     Placa padre: I0003152Tipo adquisicion: Entidad</v>
      </c>
      <c r="G6310" s="5"/>
    </row>
    <row r="6311" spans="1:7" ht="58.5" customHeight="1" x14ac:dyDescent="0.25">
      <c r="A6311" s="5" t="str">
        <f>"I0003211"</f>
        <v>I0003211</v>
      </c>
      <c r="B6311" s="5" t="str">
        <f t="shared" si="313"/>
        <v>CINCEL (INSTRUMENTAL)</v>
      </c>
      <c r="C6311" s="6">
        <v>220400</v>
      </c>
      <c r="D6311" s="5"/>
      <c r="E6311" s="5" t="str">
        <f t="shared" si="312"/>
        <v>INSTRUMENTACION-DIANA CAICEDO-DIANA DIAZ</v>
      </c>
      <c r="F6311" s="5" t="str">
        <f>"Descripcion: CINCELES (3 CURVOS) Estado: Bueno Placa anterior: 000032323 Material: ACERO INOXIDABLE Color: PLATEADO Referencia:  Observacion:     Placa padre: I0003152Tipo adquisicion: Entidad"</f>
        <v>Descripcion: CINCELES (3 CURVOS) Estado: Bueno Placa anterior: 000032323 Material: ACERO INOXIDABLE Color: PLATEADO Referencia:  Observacion:     Placa padre: I0003152Tipo adquisicion: Entidad</v>
      </c>
      <c r="G6311" s="5"/>
    </row>
    <row r="6312" spans="1:7" ht="58.5" customHeight="1" x14ac:dyDescent="0.25">
      <c r="A6312" s="5" t="str">
        <f>"I0003212"</f>
        <v>I0003212</v>
      </c>
      <c r="B6312" s="5" t="str">
        <f t="shared" si="313"/>
        <v>CINCEL (INSTRUMENTAL)</v>
      </c>
      <c r="C6312" s="6">
        <v>220400</v>
      </c>
      <c r="D6312" s="5"/>
      <c r="E6312" s="5" t="str">
        <f t="shared" si="312"/>
        <v>INSTRUMENTACION-DIANA CAICEDO-DIANA DIAZ</v>
      </c>
      <c r="F6312" s="5" t="str">
        <f>"Descripcion: CINCELES (3 CURVOS) Estado: Bueno Placa anterior: 000032324 Material: ACERO INOXIDABLE Color: PLATEADO Referencia:  Observacion:     Placa padre: I0003152Tipo adquisicion: Entidad"</f>
        <v>Descripcion: CINCELES (3 CURVOS) Estado: Bueno Placa anterior: 000032324 Material: ACERO INOXIDABLE Color: PLATEADO Referencia:  Observacion:     Placa padre: I0003152Tipo adquisicion: Entidad</v>
      </c>
      <c r="G6312" s="5"/>
    </row>
    <row r="6313" spans="1:7" ht="58.5" customHeight="1" x14ac:dyDescent="0.25">
      <c r="A6313" s="5" t="str">
        <f>"I0003213"</f>
        <v>I0003213</v>
      </c>
      <c r="B6313" s="5" t="str">
        <f t="shared" si="313"/>
        <v>CINCEL (INSTRUMENTAL)</v>
      </c>
      <c r="C6313" s="6">
        <v>220400</v>
      </c>
      <c r="D6313" s="5"/>
      <c r="E6313" s="5" t="str">
        <f t="shared" si="312"/>
        <v>INSTRUMENTACION-DIANA CAICEDO-DIANA DIAZ</v>
      </c>
      <c r="F6313" s="5" t="str">
        <f>"Descripcion: CINCELES (3 CURVOS) Estado: Bueno Placa anterior: 000032325 Material: ACERO INOXIDABLE Color: PLATEADO Referencia:  Observacion:     Placa padre: I0003152Tipo adquisicion: Entidad"</f>
        <v>Descripcion: CINCELES (3 CURVOS) Estado: Bueno Placa anterior: 000032325 Material: ACERO INOXIDABLE Color: PLATEADO Referencia:  Observacion:     Placa padre: I0003152Tipo adquisicion: Entidad</v>
      </c>
      <c r="G6313" s="5"/>
    </row>
    <row r="6314" spans="1:7" ht="58.5" customHeight="1" x14ac:dyDescent="0.25">
      <c r="A6314" s="5" t="str">
        <f>"I0003214"</f>
        <v>I0003214</v>
      </c>
      <c r="B6314" s="5" t="str">
        <f t="shared" si="313"/>
        <v>CINCEL (INSTRUMENTAL)</v>
      </c>
      <c r="C6314" s="6">
        <v>39600</v>
      </c>
      <c r="D6314" s="5"/>
      <c r="E6314" s="5" t="str">
        <f t="shared" si="312"/>
        <v>INSTRUMENTACION-DIANA CAICEDO-DIANA DIAZ</v>
      </c>
      <c r="F6314" s="5" t="str">
        <f>"Descripcion: CINCELES (1 ACANALADO) Estado: Bueno Placa anterior: 000012781 Material: ACERO INOXIDABLE Color: PLATEADO Referencia:  Observacion:     Placa padre: I0003152Tipo adquisicion: Entidad"</f>
        <v>Descripcion: CINCELES (1 ACANALADO) Estado: Bueno Placa anterior: 000012781 Material: ACERO INOXIDABLE Color: PLATEADO Referencia:  Observacion:     Placa padre: I0003152Tipo adquisicion: Entidad</v>
      </c>
      <c r="G6314" s="5"/>
    </row>
    <row r="6315" spans="1:7" ht="58.5" customHeight="1" x14ac:dyDescent="0.25">
      <c r="A6315" s="5" t="str">
        <f>"I0003227"</f>
        <v>I0003227</v>
      </c>
      <c r="B6315" s="5" t="str">
        <f>"CANULA DE YANKAUER"</f>
        <v>CANULA DE YANKAUER</v>
      </c>
      <c r="C6315" s="6">
        <v>92800</v>
      </c>
      <c r="D6315" s="5"/>
      <c r="E6315" s="5" t="str">
        <f t="shared" si="312"/>
        <v>INSTRUMENTACION-DIANA CAICEDO-DIANA DIAZ</v>
      </c>
      <c r="F6315" s="5" t="str">
        <f>"Descripcion: CANULA DE YANKAWER (DIMEDA) Estado: Bueno Placa anterior: 000031651 Material: ACERO INOXIDABLE Color: PLATEADO Referencia:  Observacion:     Placa padre: I0003152Tipo adquisicion: Entidad"</f>
        <v>Descripcion: CANULA DE YANKAWER (DIMEDA) Estado: Bueno Placa anterior: 000031651 Material: ACERO INOXIDABLE Color: PLATEADO Referencia:  Observacion:     Placa padre: I0003152Tipo adquisicion: Entidad</v>
      </c>
      <c r="G6315" s="5"/>
    </row>
    <row r="6316" spans="1:7" ht="58.5" customHeight="1" x14ac:dyDescent="0.25">
      <c r="A6316" s="5" t="str">
        <f>"I0003229"</f>
        <v>I0003229</v>
      </c>
      <c r="B6316" s="5" t="str">
        <f>"EQUIPO DE ORTOPEDIA"</f>
        <v>EQUIPO DE ORTOPEDIA</v>
      </c>
      <c r="C6316" s="6">
        <v>92800</v>
      </c>
      <c r="D6316" s="5"/>
      <c r="E6316" s="5" t="str">
        <f t="shared" si="312"/>
        <v>INSTRUMENTACION-DIANA CAICEDO-DIANA DIAZ</v>
      </c>
      <c r="F6316" s="5" t="str">
        <f>"Descripcion: EQUIPO GRANDE DE ORTOPEDIA #3 QUE CONSTA DE:(1) MANGO DE BISTURI #4(1) MANGO DE BISTURI #3(1) TIJERA DE METZEMBAUN CURVA LARGA(1) TIJERA DE MAYO RECTA GRANDE (DIMEDA)(2) SEPARADORES DE FARABEUF(2) SEPARADORES DE BENETH(2) SEPARADORES DE MAYO "&amp; "COLLINS(2) SEPARADORES DE WOLKMAN(1) SEPARADORES DE HIBS(2) SEPARADORES DE HOWMAN AGUDOS(1) PINZA DE DISECCION CON GARRA PEQUEÑA (DIMEDA)(1) PINZA DE DISECCION SIN GARRAPEQUEÑA(1) DISECCION MEDIANA CON GARRA(1) PINZA DE DISECCION RUSA(1) PINZA DE DISECCIO"&amp; "N ADSON CON GARRA(3) PINZAS KELLY CURVAS(4) PINZAS DE ROCHESTER CURVAS(1) PINZAS DE KOCHER(4) PINZAS DE ALLIX(1) PORTA AGUJAS DE MAYO (DIMEDA)(1) GUBIA PICO DE PATO (DIMEDA)(1) CIZALLA (DIMEDA)(1) GANCHO DE HUESO(1) MARTILLO (DIMEDA)(1) CLAMPS DE HAYGROWE"&amp; "RS(2) CLAMPS DE LOWMAN(1) RASPA DE PUTTY(1) ELEVADOR DE CHANDLER(4) CINCELES PLANOS SURTIDOS(1) DISECTOR DE COBB (DIMEDA)(3) CURETAS(6) PINZAS DE CAMPO (DIMEDA)(1) CANULA DE YANKAWER (DIMEDA)(1) PLATON NIQUELADO(1) CUBETA DE INSTRUMENTAL NIQUELADA Estado:"&amp; " Bueno Placa anterior: 000032169 Material: ACERO INOXIDABLE Color: PLATEADO Referencia:  Observacion: GANCHOS DE HUESO GRANDES Placa padre: Tipo adquisicion: Entidad"</f>
        <v>Descripcion: EQUIPO GRANDE DE ORTOPEDIA #3 QUE CONSTA DE:(1) MANGO DE BISTURI #4(1) MANGO DE BISTURI #3(1) TIJERA DE METZEMBAUN CURVA LARGA(1) TIJERA DE MAYO RECTA GRANDE (DIMEDA)(2) SEPARADORES DE FARABEUF(2) SEPARADORES DE BENETH(2) SEPARADORES DE MAYO COLLINS(2) SEPARADORES DE WOLKMAN(1) SEPARADORES DE HIBS(2) SEPARADORES DE HOWMAN AGUDOS(1) PINZA DE DISECCION CON GARRA PEQUEÑA (DIMEDA)(1) PINZA DE DISECCION SIN GARRAPEQUEÑA(1) DISECCION MEDIANA CON GARRA(1) PINZA DE DISECCION RUSA(1) PINZA DE DISECCION ADSON CON GARRA(3) PINZAS KELLY CURVAS(4) PINZAS DE ROCHESTER CURVAS(1) PINZAS DE KOCHER(4) PINZAS DE ALLIX(1) PORTA AGUJAS DE MAYO (DIMEDA)(1) GUBIA PICO DE PATO (DIMEDA)(1) CIZALLA (DIMEDA)(1) GANCHO DE HUESO(1) MARTILLO (DIMEDA)(1) CLAMPS DE HAYGROWERS(2) CLAMPS DE LOWMAN(1) RASPA DE PUTTY(1) ELEVADOR DE CHANDLER(4) CINCELES PLANOS SURTIDOS(1) DISECTOR DE COBB (DIMEDA)(3) CURETAS(6) PINZAS DE CAMPO (DIMEDA)(1) CANULA DE YANKAWER (DIMEDA)(1) PLATON NIQUELADO(1) CUBETA DE INSTRUMENTAL NIQUELADA Estado: Bueno Placa anterior: 000032169 Material: ACERO INOXIDABLE Color: PLATEADO Referencia:  Observacion: GANCHOS DE HUESO GRANDES Placa padre: Tipo adquisicion: Entidad</v>
      </c>
      <c r="G6316" s="5"/>
    </row>
    <row r="6317" spans="1:7" ht="58.5" customHeight="1" x14ac:dyDescent="0.25">
      <c r="A6317" s="5" t="str">
        <f>"I0003236"</f>
        <v>I0003236</v>
      </c>
      <c r="B6317" s="5" t="str">
        <f>"SEPARADOR DE BENNETT"</f>
        <v>SEPARADOR DE BENNETT</v>
      </c>
      <c r="C6317" s="6">
        <v>36972</v>
      </c>
      <c r="D6317" s="5"/>
      <c r="E6317" s="5" t="str">
        <f t="shared" si="312"/>
        <v>INSTRUMENTACION-DIANA CAICEDO-DIANA DIAZ</v>
      </c>
      <c r="F6317" s="5" t="str">
        <f>"Descripcion: SEPARADORES DE BENNET Estado: Bueno Placa anterior: 000012712 Material: ACERO INOXIDABLE Color: PLATEADO Referencia:  Observacion:     Placa padre: I0003229Tipo adquisicion: Entidad"</f>
        <v>Descripcion: SEPARADORES DE BENNET Estado: Bueno Placa anterior: 000012712 Material: ACERO INOXIDABLE Color: PLATEADO Referencia:  Observacion:     Placa padre: I0003229Tipo adquisicion: Entidad</v>
      </c>
      <c r="G6317" s="5"/>
    </row>
    <row r="6318" spans="1:7" ht="58.5" customHeight="1" x14ac:dyDescent="0.25">
      <c r="A6318" s="5" t="str">
        <f>"I0003237"</f>
        <v>I0003237</v>
      </c>
      <c r="B6318" s="5" t="str">
        <f>"SEPARADOR DE BENNETT"</f>
        <v>SEPARADOR DE BENNETT</v>
      </c>
      <c r="C6318" s="6">
        <v>36972</v>
      </c>
      <c r="D6318" s="5"/>
      <c r="E6318" s="5" t="str">
        <f t="shared" si="312"/>
        <v>INSTRUMENTACION-DIANA CAICEDO-DIANA DIAZ</v>
      </c>
      <c r="F6318" s="5" t="str">
        <f>"Descripcion: SEPARADORES DE BENNET Estado: Bueno Placa anterior: 000012713 Material: ACERO INOXIDABLE Color: PLATEADO Referencia:  Observacion:     Placa padre: I0003229Tipo adquisicion: Entidad"</f>
        <v>Descripcion: SEPARADORES DE BENNET Estado: Bueno Placa anterior: 000012713 Material: ACERO INOXIDABLE Color: PLATEADO Referencia:  Observacion:     Placa padre: I0003229Tipo adquisicion: Entidad</v>
      </c>
      <c r="G6318" s="5"/>
    </row>
    <row r="6319" spans="1:7" ht="58.5" customHeight="1" x14ac:dyDescent="0.25">
      <c r="A6319" s="5" t="str">
        <f>"I0003238"</f>
        <v>I0003238</v>
      </c>
      <c r="B6319" s="5" t="str">
        <f>"SEPARADOR DE MAYO-COLLINS"</f>
        <v>SEPARADOR DE MAYO-COLLINS</v>
      </c>
      <c r="C6319" s="6">
        <v>120</v>
      </c>
      <c r="D6319" s="5"/>
      <c r="E6319" s="5" t="str">
        <f t="shared" si="312"/>
        <v>INSTRUMENTACION-DIANA CAICEDO-DIANA DIAZ</v>
      </c>
      <c r="F6319" s="5" t="str">
        <f>"Descripcion: SEPARADORES DE MAYO COLLINS Estado: Bueno Placa anterior: 000016503 Material: ACERO INOXIDABLE Color: PLATEADO Referencia:  Observacion:     Placa padre: I0003229Tipo adquisicion: Entidad"</f>
        <v>Descripcion: SEPARADORES DE MAYO COLLINS Estado: Bueno Placa anterior: 000016503 Material: ACERO INOXIDABLE Color: PLATEADO Referencia:  Observacion:     Placa padre: I0003229Tipo adquisicion: Entidad</v>
      </c>
      <c r="G6319" s="5"/>
    </row>
    <row r="6320" spans="1:7" ht="58.5" customHeight="1" x14ac:dyDescent="0.25">
      <c r="A6320" s="5" t="str">
        <f>"I0003239"</f>
        <v>I0003239</v>
      </c>
      <c r="B6320" s="5" t="str">
        <f>"SEPARADOR DE MAYO-COLLINS"</f>
        <v>SEPARADOR DE MAYO-COLLINS</v>
      </c>
      <c r="C6320" s="6">
        <v>120</v>
      </c>
      <c r="D6320" s="5"/>
      <c r="E6320" s="5" t="str">
        <f t="shared" si="312"/>
        <v>INSTRUMENTACION-DIANA CAICEDO-DIANA DIAZ</v>
      </c>
      <c r="F6320" s="5" t="str">
        <f>"Descripcion: SEPARADORES DE MAYO COLLINS Estado: Bueno Placa anterior: 000016504 Material: ACERO INOXIDABLE Color: PLATEADO Referencia:  Observacion:     Placa padre: I0003229Tipo adquisicion: Entidad"</f>
        <v>Descripcion: SEPARADORES DE MAYO COLLINS Estado: Bueno Placa anterior: 000016504 Material: ACERO INOXIDABLE Color: PLATEADO Referencia:  Observacion:     Placa padre: I0003229Tipo adquisicion: Entidad</v>
      </c>
      <c r="G6320" s="5"/>
    </row>
    <row r="6321" spans="1:7" ht="58.5" customHeight="1" x14ac:dyDescent="0.25">
      <c r="A6321" s="5" t="str">
        <f>"I0003240"</f>
        <v>I0003240</v>
      </c>
      <c r="B6321" s="5" t="str">
        <f>"SEPARADOR DE VOLKMANN"</f>
        <v>SEPARADOR DE VOLKMANN</v>
      </c>
      <c r="C6321" s="6">
        <v>551</v>
      </c>
      <c r="D6321" s="5"/>
      <c r="E6321" s="5" t="str">
        <f t="shared" si="312"/>
        <v>INSTRUMENTACION-DIANA CAICEDO-DIANA DIAZ</v>
      </c>
      <c r="F6321" s="5" t="str">
        <f>"Descripcion: SEPARADORES DE WOLKMAN Estado: Bueno Placa anterior: 000016440 Material: ACERO INOXIDABLE Color: PLATEADO Referencia:  Observacion:     Placa padre: I0003229Tipo adquisicion: Entidad"</f>
        <v>Descripcion: SEPARADORES DE WOLKMAN Estado: Bueno Placa anterior: 000016440 Material: ACERO INOXIDABLE Color: PLATEADO Referencia:  Observacion:     Placa padre: I0003229Tipo adquisicion: Entidad</v>
      </c>
      <c r="G6321" s="5"/>
    </row>
    <row r="6322" spans="1:7" ht="58.5" customHeight="1" x14ac:dyDescent="0.25">
      <c r="A6322" s="5" t="str">
        <f>"I0003241"</f>
        <v>I0003241</v>
      </c>
      <c r="B6322" s="5" t="str">
        <f>"SEPARADOR DE VOLKMANN"</f>
        <v>SEPARADOR DE VOLKMANN</v>
      </c>
      <c r="C6322" s="6">
        <v>551</v>
      </c>
      <c r="D6322" s="5"/>
      <c r="E6322" s="5" t="str">
        <f t="shared" si="312"/>
        <v>INSTRUMENTACION-DIANA CAICEDO-DIANA DIAZ</v>
      </c>
      <c r="F6322" s="5" t="str">
        <f>"Descripcion: SEPARADORES DE WOLKMAN Estado: Bueno Placa anterior: 000016441 Material: ACERO INOXIDABLE Color: PLATEADO Referencia:  Observacion:     Placa padre: I0003229Tipo adquisicion: Entidad"</f>
        <v>Descripcion: SEPARADORES DE WOLKMAN Estado: Bueno Placa anterior: 000016441 Material: ACERO INOXIDABLE Color: PLATEADO Referencia:  Observacion:     Placa padre: I0003229Tipo adquisicion: Entidad</v>
      </c>
      <c r="G6322" s="5"/>
    </row>
    <row r="6323" spans="1:7" ht="58.5" customHeight="1" x14ac:dyDescent="0.25">
      <c r="A6323" s="5" t="str">
        <f>"I0003243"</f>
        <v>I0003243</v>
      </c>
      <c r="B6323" s="5" t="str">
        <f>"SEPARADOR (INSTRUMENTAL)"</f>
        <v>SEPARADOR (INSTRUMENTAL)</v>
      </c>
      <c r="C6323" s="6">
        <v>36972</v>
      </c>
      <c r="D6323" s="5"/>
      <c r="E6323" s="5" t="str">
        <f t="shared" si="312"/>
        <v>INSTRUMENTACION-DIANA CAICEDO-DIANA DIAZ</v>
      </c>
      <c r="F6323" s="5" t="str">
        <f>"Descripcion: SEPARADORES DE HOWMAN Estado: Bueno Placa anterior: 000012724 Material: ACERO INOXIDABLE Color: PLATEADO Referencia:  Observacion:     Placa padre: I0003229Tipo adquisicion: Entidad"</f>
        <v>Descripcion: SEPARADORES DE HOWMAN Estado: Bueno Placa anterior: 000012724 Material: ACERO INOXIDABLE Color: PLATEADO Referencia:  Observacion:     Placa padre: I0003229Tipo adquisicion: Entidad</v>
      </c>
      <c r="G6323" s="5"/>
    </row>
    <row r="6324" spans="1:7" ht="58.5" customHeight="1" x14ac:dyDescent="0.25">
      <c r="A6324" s="5" t="str">
        <f>"I0003244"</f>
        <v>I0003244</v>
      </c>
      <c r="B6324" s="5" t="str">
        <f>"SEPARADOR (INSTRUMENTAL)"</f>
        <v>SEPARADOR (INSTRUMENTAL)</v>
      </c>
      <c r="C6324" s="6">
        <v>36972</v>
      </c>
      <c r="D6324" s="5"/>
      <c r="E6324" s="5" t="str">
        <f t="shared" si="312"/>
        <v>INSTRUMENTACION-DIANA CAICEDO-DIANA DIAZ</v>
      </c>
      <c r="F6324" s="5" t="str">
        <f>"Descripcion: SEPARADORES DE HOWMAN Estado: Bueno Placa anterior: 000012725 Material: ACERO INOXIDABLE Color: PLATEADO Referencia:  Observacion:     Placa padre: I0003229Tipo adquisicion: Entidad"</f>
        <v>Descripcion: SEPARADORES DE HOWMAN Estado: Bueno Placa anterior: 000012725 Material: ACERO INOXIDABLE Color: PLATEADO Referencia:  Observacion:     Placa padre: I0003229Tipo adquisicion: Entidad</v>
      </c>
      <c r="G6324" s="5"/>
    </row>
    <row r="6325" spans="1:7" ht="58.5" customHeight="1" x14ac:dyDescent="0.25">
      <c r="A6325" s="5" t="str">
        <f>"I0003249"</f>
        <v>I0003249</v>
      </c>
      <c r="B6325" s="5" t="str">
        <f>"PINZA DE DISECCION SIN GARRA CORTA 20 CM"</f>
        <v>PINZA DE DISECCION SIN GARRA CORTA 20 CM</v>
      </c>
      <c r="C6325" s="6">
        <v>49880</v>
      </c>
      <c r="D6325" s="5"/>
      <c r="E6325" s="5" t="str">
        <f t="shared" si="312"/>
        <v>INSTRUMENTACION-DIANA CAICEDO-DIANA DIAZ</v>
      </c>
      <c r="F6325" s="5" t="str">
        <f>"Descripcion: PINZA DE DISECCION ADSON CON GARRA Estado: Bueno Placa anterior: 000031999 Material: ACERO INOXIDABLE Color: PLATEADO Referencia:  Observacion: PINZA DE DISECCION STANDARD  Placa padre: I0003229Tipo adquisicion: Entidad"</f>
        <v>Descripcion: PINZA DE DISECCION ADSON CON GARRA Estado: Bueno Placa anterior: 000031999 Material: ACERO INOXIDABLE Color: PLATEADO Referencia:  Observacion: PINZA DE DISECCION STANDARD  Placa padre: I0003229Tipo adquisicion: Entidad</v>
      </c>
      <c r="G6325" s="5"/>
    </row>
    <row r="6326" spans="1:7" ht="58.5" customHeight="1" x14ac:dyDescent="0.25">
      <c r="A6326" s="5" t="str">
        <f>"I0003258"</f>
        <v>I0003258</v>
      </c>
      <c r="B6326" s="5" t="str">
        <f>"PINZA KOCHER"</f>
        <v>PINZA KOCHER</v>
      </c>
      <c r="C6326" s="6">
        <v>132240</v>
      </c>
      <c r="D6326" s="5"/>
      <c r="E6326" s="5" t="str">
        <f t="shared" si="312"/>
        <v>INSTRUMENTACION-DIANA CAICEDO-DIANA DIAZ</v>
      </c>
      <c r="F6326" s="5" t="str">
        <f>"Descripcion: PINZAS DE KOCHER Estado: Bueno Placa anterior: 000036213 Material: ACERO INOXIDABLE Color: PLATEADO Referencia:  Observacion:     Placa padre: I0003229Tipo adquisicion: Entidad"</f>
        <v>Descripcion: PINZAS DE KOCHER Estado: Bueno Placa anterior: 000036213 Material: ACERO INOXIDABLE Color: PLATEADO Referencia:  Observacion:     Placa padre: I0003229Tipo adquisicion: Entidad</v>
      </c>
      <c r="G6326" s="5"/>
    </row>
    <row r="6327" spans="1:7" ht="58.5" customHeight="1" x14ac:dyDescent="0.25">
      <c r="A6327" s="5" t="str">
        <f>"I0003259"</f>
        <v>I0003259</v>
      </c>
      <c r="B6327" s="5" t="str">
        <f>"PINZA KOCHER"</f>
        <v>PINZA KOCHER</v>
      </c>
      <c r="C6327" s="6">
        <v>132240</v>
      </c>
      <c r="D6327" s="5"/>
      <c r="E6327" s="5" t="str">
        <f t="shared" si="312"/>
        <v>INSTRUMENTACION-DIANA CAICEDO-DIANA DIAZ</v>
      </c>
      <c r="F6327" s="5" t="str">
        <f>"Descripcion: PINZAS DE KOCHER Estado: Bueno Placa anterior: 000036214 Material: ACERO INOXIDABLE Color: PLATEADO Referencia:  Observacion:     Placa padre: I0003229Tipo adquisicion: Entidad"</f>
        <v>Descripcion: PINZAS DE KOCHER Estado: Bueno Placa anterior: 000036214 Material: ACERO INOXIDABLE Color: PLATEADO Referencia:  Observacion:     Placa padre: I0003229Tipo adquisicion: Entidad</v>
      </c>
      <c r="G6327" s="5"/>
    </row>
    <row r="6328" spans="1:7" ht="58.5" customHeight="1" x14ac:dyDescent="0.25">
      <c r="A6328" s="5" t="str">
        <f>"I0003265"</f>
        <v>I0003265</v>
      </c>
      <c r="B6328" s="5" t="str">
        <f>"PINZA GUBIA"</f>
        <v>PINZA GUBIA</v>
      </c>
      <c r="C6328" s="6">
        <v>232000</v>
      </c>
      <c r="D6328" s="5"/>
      <c r="E6328" s="5" t="str">
        <f t="shared" si="312"/>
        <v>INSTRUMENTACION-DIANA CAICEDO-DIANA DIAZ</v>
      </c>
      <c r="F6328" s="5" t="str">
        <f>"Descripcion: GUBIA (DIMEDA) Estado: Bueno Placa anterior: 000031831 Material: ACERO INOXIDABLE Color: PLATEADO Referencia:  Observacion:     Placa padre: I0003229Tipo adquisicion: Entidad"</f>
        <v>Descripcion: GUBIA (DIMEDA) Estado: Bueno Placa anterior: 000031831 Material: ACERO INOXIDABLE Color: PLATEADO Referencia:  Observacion:     Placa padre: I0003229Tipo adquisicion: Entidad</v>
      </c>
      <c r="G6328" s="5"/>
    </row>
    <row r="6329" spans="1:7" ht="58.5" customHeight="1" x14ac:dyDescent="0.25">
      <c r="A6329" s="5" t="str">
        <f>"I0003266"</f>
        <v>I0003266</v>
      </c>
      <c r="B6329" s="5" t="str">
        <f>"CIZALLA (INSTRUMENTAL)"</f>
        <v>CIZALLA (INSTRUMENTAL)</v>
      </c>
      <c r="C6329" s="6">
        <v>487200</v>
      </c>
      <c r="D6329" s="5"/>
      <c r="E6329" s="5" t="str">
        <f t="shared" si="312"/>
        <v>INSTRUMENTACION-DIANA CAICEDO-DIANA DIAZ</v>
      </c>
      <c r="F6329" s="5" t="str">
        <f>"Descripcion: CIZALLA RECTA (DIMEDA) Estado: Bueno Placa anterior: 000032357 Material: ACERO INOXIDABLE Color: PLATEADO Referencia:  Observacion:     Placa padre: I0003229Tipo adquisicion: Entidad"</f>
        <v>Descripcion: CIZALLA RECTA (DIMEDA) Estado: Bueno Placa anterior: 000032357 Material: ACERO INOXIDABLE Color: PLATEADO Referencia:  Observacion:     Placa padre: I0003229Tipo adquisicion: Entidad</v>
      </c>
      <c r="G6329" s="5"/>
    </row>
    <row r="6330" spans="1:7" ht="58.5" customHeight="1" x14ac:dyDescent="0.25">
      <c r="A6330" s="5" t="str">
        <f>"I0003267"</f>
        <v>I0003267</v>
      </c>
      <c r="B6330" s="5" t="str">
        <f>"GANCHO (INSTRUMENTAL)"</f>
        <v>GANCHO (INSTRUMENTAL)</v>
      </c>
      <c r="C6330" s="6">
        <v>92800</v>
      </c>
      <c r="D6330" s="5"/>
      <c r="E6330" s="5" t="str">
        <f t="shared" si="312"/>
        <v>INSTRUMENTACION-DIANA CAICEDO-DIANA DIAZ</v>
      </c>
      <c r="F6330" s="5" t="str">
        <f>"Descripcion: GANCHO DE HUESO Estado: Bueno Placa anterior: 000032155 Material: ACERO INOXIDABLE Color: PLATEADO Referencia:  Observacion:     Placa padre: I0003229Tipo adquisicion: Entidad"</f>
        <v>Descripcion: GANCHO DE HUESO Estado: Bueno Placa anterior: 000032155 Material: ACERO INOXIDABLE Color: PLATEADO Referencia:  Observacion:     Placa padre: I0003229Tipo adquisicion: Entidad</v>
      </c>
      <c r="G6330" s="5"/>
    </row>
    <row r="6331" spans="1:7" ht="58.5" customHeight="1" x14ac:dyDescent="0.25">
      <c r="A6331" s="5" t="str">
        <f>"I0003268"</f>
        <v>I0003268</v>
      </c>
      <c r="B6331" s="5" t="str">
        <f>"MARTILLO (INSTRUMENTAL)"</f>
        <v>MARTILLO (INSTRUMENTAL)</v>
      </c>
      <c r="C6331" s="6">
        <v>237800</v>
      </c>
      <c r="D6331" s="5"/>
      <c r="E6331" s="5" t="str">
        <f t="shared" si="312"/>
        <v>INSTRUMENTACION-DIANA CAICEDO-DIANA DIAZ</v>
      </c>
      <c r="F6331" s="5" t="str">
        <f>"Descripcion: MARTILLO (DIMEDA) Estado: Bueno Placa anterior: 000031895 Material: ACERO INOXIDABLE Color: PLATEADO Referencia:  Observacion:     Placa padre: I0003229Tipo adquisicion: Entidad"</f>
        <v>Descripcion: MARTILLO (DIMEDA) Estado: Bueno Placa anterior: 000031895 Material: ACERO INOXIDABLE Color: PLATEADO Referencia:  Observacion:     Placa padre: I0003229Tipo adquisicion: Entidad</v>
      </c>
      <c r="G6331" s="5"/>
    </row>
    <row r="6332" spans="1:7" ht="58.5" customHeight="1" x14ac:dyDescent="0.25">
      <c r="A6332" s="5" t="str">
        <f>"I0003269"</f>
        <v>I0003269</v>
      </c>
      <c r="B6332" s="5" t="str">
        <f>"CLAMP DE KERNS"</f>
        <v>CLAMP DE KERNS</v>
      </c>
      <c r="C6332" s="6">
        <v>18083</v>
      </c>
      <c r="D6332" s="5"/>
      <c r="E6332" s="5" t="str">
        <f t="shared" si="312"/>
        <v>INSTRUMENTACION-DIANA CAICEDO-DIANA DIAZ</v>
      </c>
      <c r="F6332" s="5" t="str">
        <f>"Descripcion: CLAMPS DE KERNS Estado: Bueno Placa anterior: 000012757 Material: ACERO INOXIDABLE Color: PLATEADO Referencia:  Observacion:     Placa padre: I0003229Tipo adquisicion: Entidad"</f>
        <v>Descripcion: CLAMPS DE KERNS Estado: Bueno Placa anterior: 000012757 Material: ACERO INOXIDABLE Color: PLATEADO Referencia:  Observacion:     Placa padre: I0003229Tipo adquisicion: Entidad</v>
      </c>
      <c r="G6332" s="5"/>
    </row>
    <row r="6333" spans="1:7" ht="58.5" customHeight="1" x14ac:dyDescent="0.25">
      <c r="A6333" s="5" t="str">
        <f>"I0003270"</f>
        <v>I0003270</v>
      </c>
      <c r="B6333" s="5" t="str">
        <f>"CLAMP DE KERNS"</f>
        <v>CLAMP DE KERNS</v>
      </c>
      <c r="C6333" s="6">
        <v>652964</v>
      </c>
      <c r="D6333" s="5"/>
      <c r="E6333" s="5" t="str">
        <f t="shared" si="312"/>
        <v>INSTRUMENTACION-DIANA CAICEDO-DIANA DIAZ</v>
      </c>
      <c r="F6333" s="5" t="str">
        <f>"Descripcion: CLAMPS DE KERNS Estado: Bueno Placa anterior: 000024363 Material: ACERO INOXIDABLE Color: PLATEADO Referencia:  Observacion:     Placa padre: I0003229Tipo adquisicion: Entidad"</f>
        <v>Descripcion: CLAMPS DE KERNS Estado: Bueno Placa anterior: 000024363 Material: ACERO INOXIDABLE Color: PLATEADO Referencia:  Observacion:     Placa padre: I0003229Tipo adquisicion: Entidad</v>
      </c>
      <c r="G6333" s="5"/>
    </row>
    <row r="6334" spans="1:7" ht="58.5" customHeight="1" x14ac:dyDescent="0.25">
      <c r="A6334" s="5" t="str">
        <f>"I0003271"</f>
        <v>I0003271</v>
      </c>
      <c r="B6334" s="5" t="str">
        <f>"CLAMPS DE HAIR GROVERS"</f>
        <v>CLAMPS DE HAIR GROVERS</v>
      </c>
      <c r="C6334" s="6">
        <v>437911.62</v>
      </c>
      <c r="D6334" s="5"/>
      <c r="E6334" s="5" t="str">
        <f t="shared" si="312"/>
        <v>INSTRUMENTACION-DIANA CAICEDO-DIANA DIAZ</v>
      </c>
      <c r="F6334" s="5" t="str">
        <f>"Descripcion: CLAMPS DE HAYGROWERS Estado: Bueno Placa anterior: 000012752 Material: ACERO INOXIDABLE Color: PLATEADO Referencia:  Observacion:     Placa padre: I0003229Tipo adquisicion: Entidad"</f>
        <v>Descripcion: CLAMPS DE HAYGROWERS Estado: Bueno Placa anterior: 000012752 Material: ACERO INOXIDABLE Color: PLATEADO Referencia:  Observacion:     Placa padre: I0003229Tipo adquisicion: Entidad</v>
      </c>
      <c r="G6334" s="5"/>
    </row>
    <row r="6335" spans="1:7" ht="58.5" customHeight="1" x14ac:dyDescent="0.25">
      <c r="A6335" s="5" t="str">
        <f>"I0003272"</f>
        <v>I0003272</v>
      </c>
      <c r="B6335" s="5" t="str">
        <f>"CLAMP DE LOWMANN"</f>
        <v>CLAMP DE LOWMANN</v>
      </c>
      <c r="C6335" s="6">
        <v>545200</v>
      </c>
      <c r="D6335" s="5"/>
      <c r="E6335" s="5" t="str">
        <f t="shared" si="312"/>
        <v>INSTRUMENTACION-DIANA CAICEDO-DIANA DIAZ</v>
      </c>
      <c r="F6335" s="5" t="str">
        <f>"Descripcion: CLAMPS DE LOWMAN (DIMEDA) Estado: Bueno Placa anterior: 000032205 Material: ACERO INOXIDABLE Color: PLATEADO Referencia:  Observacion:     Placa padre: I0003229Tipo adquisicion: Entidad"</f>
        <v>Descripcion: CLAMPS DE LOWMAN (DIMEDA) Estado: Bueno Placa anterior: 000032205 Material: ACERO INOXIDABLE Color: PLATEADO Referencia:  Observacion:     Placa padre: I0003229Tipo adquisicion: Entidad</v>
      </c>
      <c r="G6335" s="5"/>
    </row>
    <row r="6336" spans="1:7" ht="58.5" customHeight="1" x14ac:dyDescent="0.25">
      <c r="A6336" s="5" t="str">
        <f>"I0003273"</f>
        <v>I0003273</v>
      </c>
      <c r="B6336" s="5" t="str">
        <f>"CLAMP DE LOWMANN"</f>
        <v>CLAMP DE LOWMANN</v>
      </c>
      <c r="C6336" s="6">
        <v>545200</v>
      </c>
      <c r="D6336" s="5"/>
      <c r="E6336" s="5" t="str">
        <f t="shared" si="312"/>
        <v>INSTRUMENTACION-DIANA CAICEDO-DIANA DIAZ</v>
      </c>
      <c r="F6336" s="5" t="str">
        <f>"Descripcion: CLAMPS DE LOWMAN (DIMEDA) Estado: Bueno Placa anterior: 000032206 Material: ACERO INOXIDABLE Color: PLATEADO Referencia:  Observacion:     Placa padre: I0003229Tipo adquisicion: Entidad"</f>
        <v>Descripcion: CLAMPS DE LOWMAN (DIMEDA) Estado: Bueno Placa anterior: 000032206 Material: ACERO INOXIDABLE Color: PLATEADO Referencia:  Observacion:     Placa padre: I0003229Tipo adquisicion: Entidad</v>
      </c>
      <c r="G6336" s="5"/>
    </row>
    <row r="6337" spans="1:7" ht="58.5" customHeight="1" x14ac:dyDescent="0.25">
      <c r="A6337" s="5" t="str">
        <f>"I0003274"</f>
        <v>I0003274</v>
      </c>
      <c r="B6337" s="5" t="str">
        <f>"RASPA (INSTRUMENTAL)"</f>
        <v>RASPA (INSTRUMENTAL)</v>
      </c>
      <c r="C6337" s="6">
        <v>304036</v>
      </c>
      <c r="D6337" s="5"/>
      <c r="E6337" s="5" t="str">
        <f t="shared" si="312"/>
        <v>INSTRUMENTACION-DIANA CAICEDO-DIANA DIAZ</v>
      </c>
      <c r="F6337" s="5" t="str">
        <f>"Descripcion: RASPA DE PUTTY Estado: Bueno Placa anterior: 000023174 Material: ACERO INOXIDABLE Color: PLATEADO Referencia:  Observacion:     Placa padre: I0003229Tipo adquisicion: Entidad"</f>
        <v>Descripcion: RASPA DE PUTTY Estado: Bueno Placa anterior: 000023174 Material: ACERO INOXIDABLE Color: PLATEADO Referencia:  Observacion:     Placa padre: I0003229Tipo adquisicion: Entidad</v>
      </c>
      <c r="G6337" s="5"/>
    </row>
    <row r="6338" spans="1:7" ht="58.5" customHeight="1" x14ac:dyDescent="0.25">
      <c r="A6338" s="5" t="str">
        <f>"I0003275"</f>
        <v>I0003275</v>
      </c>
      <c r="B6338" s="5" t="str">
        <f>"DISECTOR DE COBB"</f>
        <v>DISECTOR DE COBB</v>
      </c>
      <c r="C6338" s="6">
        <v>324800</v>
      </c>
      <c r="D6338" s="5"/>
      <c r="E6338" s="5" t="str">
        <f t="shared" si="312"/>
        <v>INSTRUMENTACION-DIANA CAICEDO-DIANA DIAZ</v>
      </c>
      <c r="F6338" s="5" t="str">
        <f>"Descripcion: DISECTOR DE COBBS Estado: Bueno Placa anterior: 000032133 Material: ACERO INOXIDABLE Color: PLATEADO Referencia:  Observacion: ELEVADOR DE COOB GRANDE Placa padre: I0003229Tipo adquisicion: Entidad"</f>
        <v>Descripcion: DISECTOR DE COBBS Estado: Bueno Placa anterior: 000032133 Material: ACERO INOXIDABLE Color: PLATEADO Referencia:  Observacion: ELEVADOR DE COOB GRANDE Placa padre: I0003229Tipo adquisicion: Entidad</v>
      </c>
      <c r="G6338" s="5"/>
    </row>
    <row r="6339" spans="1:7" ht="58.5" customHeight="1" x14ac:dyDescent="0.25">
      <c r="A6339" s="5" t="str">
        <f>"I0003277"</f>
        <v>I0003277</v>
      </c>
      <c r="B6339" s="5" t="str">
        <f>"CINCEL (INSTRUMENTAL)"</f>
        <v>CINCEL (INSTRUMENTAL)</v>
      </c>
      <c r="C6339" s="6">
        <v>220400</v>
      </c>
      <c r="D6339" s="5"/>
      <c r="E6339" s="5" t="str">
        <f t="shared" si="312"/>
        <v>INSTRUMENTACION-DIANA CAICEDO-DIANA DIAZ</v>
      </c>
      <c r="F6339" s="5" t="str">
        <f>"Descripcion: CINCELES (2 RECTOS) Estado: Bueno Placa anterior: 000032326 Material: ACERO INOXIDABLE Color: PLATEADO Referencia:  Observacion:     Placa padre: I0003229Tipo adquisicion: Entidad"</f>
        <v>Descripcion: CINCELES (2 RECTOS) Estado: Bueno Placa anterior: 000032326 Material: ACERO INOXIDABLE Color: PLATEADO Referencia:  Observacion:     Placa padre: I0003229Tipo adquisicion: Entidad</v>
      </c>
      <c r="G6339" s="5"/>
    </row>
    <row r="6340" spans="1:7" ht="58.5" customHeight="1" x14ac:dyDescent="0.25">
      <c r="A6340" s="5" t="str">
        <f>"I0003278"</f>
        <v>I0003278</v>
      </c>
      <c r="B6340" s="5" t="str">
        <f>"CINCEL (INSTRUMENTAL)"</f>
        <v>CINCEL (INSTRUMENTAL)</v>
      </c>
      <c r="C6340" s="6">
        <v>220400</v>
      </c>
      <c r="D6340" s="5"/>
      <c r="E6340" s="5" t="str">
        <f t="shared" si="312"/>
        <v>INSTRUMENTACION-DIANA CAICEDO-DIANA DIAZ</v>
      </c>
      <c r="F6340" s="5" t="str">
        <f>"Descripcion: CINCELES (2 RECTOS) Estado: Bueno Placa anterior: 000032327 Material: ACERO INOXIDABLE Color: PLATEADO Referencia:  Observacion:     Placa padre: I0003229Tipo adquisicion: Entidad"</f>
        <v>Descripcion: CINCELES (2 RECTOS) Estado: Bueno Placa anterior: 000032327 Material: ACERO INOXIDABLE Color: PLATEADO Referencia:  Observacion:     Placa padre: I0003229Tipo adquisicion: Entidad</v>
      </c>
      <c r="G6340" s="5"/>
    </row>
    <row r="6341" spans="1:7" ht="58.5" customHeight="1" x14ac:dyDescent="0.25">
      <c r="A6341" s="5" t="str">
        <f>"I0003279"</f>
        <v>I0003279</v>
      </c>
      <c r="B6341" s="5" t="str">
        <f>"CINCEL (INSTRUMENTAL)"</f>
        <v>CINCEL (INSTRUMENTAL)</v>
      </c>
      <c r="C6341" s="6">
        <v>220400</v>
      </c>
      <c r="D6341" s="5"/>
      <c r="E6341" s="5" t="str">
        <f t="shared" si="312"/>
        <v>INSTRUMENTACION-DIANA CAICEDO-DIANA DIAZ</v>
      </c>
      <c r="F6341" s="5" t="str">
        <f>"Descripcion: CINCELES (3 CURVOS) Estado: Bueno Placa anterior: 000032328 Material: ACERO INOXIDABLE Color: PLATEADO Referencia:  Observacion:     Placa padre: I0003229Tipo adquisicion: Entidad"</f>
        <v>Descripcion: CINCELES (3 CURVOS) Estado: Bueno Placa anterior: 000032328 Material: ACERO INOXIDABLE Color: PLATEADO Referencia:  Observacion:     Placa padre: I0003229Tipo adquisicion: Entidad</v>
      </c>
      <c r="G6341" s="5"/>
    </row>
    <row r="6342" spans="1:7" ht="58.5" customHeight="1" x14ac:dyDescent="0.25">
      <c r="A6342" s="5" t="str">
        <f>"I0003280"</f>
        <v>I0003280</v>
      </c>
      <c r="B6342" s="5" t="str">
        <f>"CINCEL (INSTRUMENTAL)"</f>
        <v>CINCEL (INSTRUMENTAL)</v>
      </c>
      <c r="C6342" s="6">
        <v>220400</v>
      </c>
      <c r="D6342" s="5"/>
      <c r="E6342" s="5" t="str">
        <f t="shared" si="312"/>
        <v>INSTRUMENTACION-DIANA CAICEDO-DIANA DIAZ</v>
      </c>
      <c r="F6342" s="5" t="str">
        <f>"Descripcion: CINCELES (3 CURVOS) Estado: Bueno Placa anterior: 000032329 Material: ACERO INOXIDABLE Color: PLATEADO Referencia:  Observacion:     Placa padre: I0003229Tipo adquisicion: Entidad"</f>
        <v>Descripcion: CINCELES (3 CURVOS) Estado: Bueno Placa anterior: 000032329 Material: ACERO INOXIDABLE Color: PLATEADO Referencia:  Observacion:     Placa padre: I0003229Tipo adquisicion: Entidad</v>
      </c>
      <c r="G6342" s="5"/>
    </row>
    <row r="6343" spans="1:7" ht="58.5" customHeight="1" x14ac:dyDescent="0.25">
      <c r="A6343" s="5" t="str">
        <f>"I0003281"</f>
        <v>I0003281</v>
      </c>
      <c r="B6343" s="5" t="str">
        <f>"CURETA"</f>
        <v>CURETA</v>
      </c>
      <c r="C6343" s="6">
        <v>220400</v>
      </c>
      <c r="D6343" s="5"/>
      <c r="E6343" s="5" t="str">
        <f t="shared" si="312"/>
        <v>INSTRUMENTACION-DIANA CAICEDO-DIANA DIAZ</v>
      </c>
      <c r="F6343" s="5" t="str">
        <f>"Descripcion: CURETAS (DIMEDA) Estado: Bueno Placa anterior: 000032330 Material: ACERO INOXIDABLE Color: PLATEADO Referencia:  Observacion:     Placa padre: I0003229Tipo adquisicion: Entidad"</f>
        <v>Descripcion: CURETAS (DIMEDA) Estado: Bueno Placa anterior: 000032330 Material: ACERO INOXIDABLE Color: PLATEADO Referencia:  Observacion:     Placa padre: I0003229Tipo adquisicion: Entidad</v>
      </c>
      <c r="G6343" s="5"/>
    </row>
    <row r="6344" spans="1:7" ht="58.5" customHeight="1" x14ac:dyDescent="0.25">
      <c r="A6344" s="5" t="str">
        <f>"I0003282"</f>
        <v>I0003282</v>
      </c>
      <c r="B6344" s="5" t="str">
        <f>"CURETA"</f>
        <v>CURETA</v>
      </c>
      <c r="C6344" s="6">
        <v>220400</v>
      </c>
      <c r="D6344" s="5"/>
      <c r="E6344" s="5" t="str">
        <f t="shared" si="312"/>
        <v>INSTRUMENTACION-DIANA CAICEDO-DIANA DIAZ</v>
      </c>
      <c r="F6344" s="5" t="str">
        <f>"Descripcion: CURETAS (DIMEDA) Estado: Bueno Placa anterior: 000032331 Material: ACERO INOXIDABLE Color: PLATEADO Referencia:  Observacion:     Placa padre: I0003229Tipo adquisicion: Entidad"</f>
        <v>Descripcion: CURETAS (DIMEDA) Estado: Bueno Placa anterior: 000032331 Material: ACERO INOXIDABLE Color: PLATEADO Referencia:  Observacion:     Placa padre: I0003229Tipo adquisicion: Entidad</v>
      </c>
      <c r="G6344" s="5"/>
    </row>
    <row r="6345" spans="1:7" ht="58.5" customHeight="1" x14ac:dyDescent="0.25">
      <c r="A6345" s="5" t="str">
        <f>"I0003290"</f>
        <v>I0003290</v>
      </c>
      <c r="B6345" s="5" t="str">
        <f>"CANULA DE YANKAUER"</f>
        <v>CANULA DE YANKAUER</v>
      </c>
      <c r="C6345" s="6">
        <v>92800</v>
      </c>
      <c r="D6345" s="5"/>
      <c r="E6345" s="5" t="str">
        <f t="shared" si="312"/>
        <v>INSTRUMENTACION-DIANA CAICEDO-DIANA DIAZ</v>
      </c>
      <c r="F6345" s="5" t="str">
        <f>"Descripcion: CANULA DE YANKAWER (DIMEDA) Estado: Bueno Placa anterior: 000031652 Material: ACERO INOXIDABLE Color: PLATEADO Referencia:  Observacion:     Placa padre: I0003229Tipo adquisicion: Entidad"</f>
        <v>Descripcion: CANULA DE YANKAWER (DIMEDA) Estado: Bueno Placa anterior: 000031652 Material: ACERO INOXIDABLE Color: PLATEADO Referencia:  Observacion:     Placa padre: I0003229Tipo adquisicion: Entidad</v>
      </c>
      <c r="G6345" s="5"/>
    </row>
    <row r="6346" spans="1:7" ht="58.5" customHeight="1" x14ac:dyDescent="0.25">
      <c r="A6346" s="5" t="str">
        <f>"I0003293"</f>
        <v>I0003293</v>
      </c>
      <c r="B6346" s="5" t="str">
        <f>"EQUIPO DE ORTOPEDIA"</f>
        <v>EQUIPO DE ORTOPEDIA</v>
      </c>
      <c r="C6346" s="6">
        <v>1924000</v>
      </c>
      <c r="D6346" s="5"/>
      <c r="E6346" s="5" t="str">
        <f t="shared" si="312"/>
        <v>INSTRUMENTACION-DIANA CAICEDO-DIANA DIAZ</v>
      </c>
      <c r="F6346" s="5" t="str">
        <f>"Descripcion: EQUIPO MEDIANO DE ORTOPEDIA #1  QUE CONSTA DE:  (1) MANGO DE BISTURI #4  (1) MANGO DE BISTURI #7  (1) TIJERA DE METZEMBAUN  (1) TIJERA DE MAYO RECTA(DIMEDA)  (2) SEPARADORES DE FARABEUF  (2) SEPARADORES DE MAYO COLLINS  (1) SEPARADORES DE WOL"&amp; "KMAN  (2) SEPARADORES DE BENNETT  (2) SEPARADORES DE HOWMANN  (2) SEPARADORES DE LOWMAN  (1) PINZA DE DISECCION CON GARRA PEQUEÑA  (1) PINZA DE DISECCION CON GARRA MEDIANA  (1) PINZA DE DISECCION SIN GARRA MEDIANA  (1) DISECCION ADSON CON GARRA  (4) PINZA"&amp; "S KELLY CURVAS  (4) PINZA DE ROCHESTER CURVAS  (1) PINZAS DE KOCHER (DIMEDA)  (4) PINZAS DE ALLIX  (1) PORTA AGUJAS DE MAYO MEDIANO (DIMEDA)  (1) GANCHO DE HUESO  (0) MARTILLO  (1) GUBIA  (1) CIZALLA MEDIANA  (2) CLAMPS DE KERNS  (0) RUGINA CURVA  (2) CLA"&amp; "MPS HAIR GROWERS  (1) ELEVADOR DE CHANDLER  (0) DISECTOR DE COBBS  (4) CINCELES  (3) CURETAS  (3) PINZAS DE CAMPO (DIMEDA)  (1) CANULA DE YANKAWER (DIMEDA)  (1) CUBETA DE INSTRUMENTAL NIQUELADA Estado: Bueno Placa anterior: 000012687 Material: ACERO INOXI"&amp; "DABLE Color: PLATEADO Referencia:  Observacion:     Placa padre: Tipo adquisicion: Entidad"</f>
        <v>Descripcion: EQUIPO MEDIANO DE ORTOPEDIA #1  QUE CONSTA DE:  (1) MANGO DE BISTURI #4  (1) MANGO DE BISTURI #7  (1) TIJERA DE METZEMBAUN  (1) TIJERA DE MAYO RECTA(DIMEDA)  (2) SEPARADORES DE FARABEUF  (2) SEPARADORES DE MAYO COLLINS  (1) SEPARADORES DE WOLKMAN  (2) SEPARADORES DE BENNETT  (2) SEPARADORES DE HOWMANN  (2) SEPARADORES DE LOWMAN  (1) PINZA DE DISECCION CON GARRA PEQUEÑA  (1) PINZA DE DISECCION CON GARRA MEDIANA  (1) PINZA DE DISECCION SIN GARRA MEDIANA  (1) DISECCION ADSON CON GARRA  (4) PINZAS KELLY CURVAS  (4) PINZA DE ROCHESTER CURVAS  (1) PINZAS DE KOCHER (DIMEDA)  (4) PINZAS DE ALLIX  (1) PORTA AGUJAS DE MAYO MEDIANO (DIMEDA)  (1) GANCHO DE HUESO  (0) MARTILLO  (1) GUBIA  (1) CIZALLA MEDIANA  (2) CLAMPS DE KERNS  (0) RUGINA CURVA  (2) CLAMPS HAIR GROWERS  (1) ELEVADOR DE CHANDLER  (0) DISECTOR DE COBBS  (4) CINCELES  (3) CURETAS  (3) PINZAS DE CAMPO (DIMEDA)  (1) CANULA DE YANKAWER (DIMEDA)  (1) CUBETA DE INSTRUMENTAL NIQUELADA Estado: Bueno Placa anterior: 000012687 Material: ACERO INOXIDABLE Color: PLATEADO Referencia:  Observacion:     Placa padre: Tipo adquisicion: Entidad</v>
      </c>
      <c r="G6346" s="5"/>
    </row>
    <row r="6347" spans="1:7" ht="58.5" customHeight="1" x14ac:dyDescent="0.25">
      <c r="A6347" s="5" t="str">
        <f>"I0003300"</f>
        <v>I0003300</v>
      </c>
      <c r="B6347" s="5" t="str">
        <f>"SEPARADOR DE BENNETT"</f>
        <v>SEPARADOR DE BENNETT</v>
      </c>
      <c r="C6347" s="6">
        <v>36972</v>
      </c>
      <c r="D6347" s="5"/>
      <c r="E6347" s="5" t="str">
        <f t="shared" si="312"/>
        <v>INSTRUMENTACION-DIANA CAICEDO-DIANA DIAZ</v>
      </c>
      <c r="F6347" s="5" t="str">
        <f>"Descripcion: SEPARADORES DE BENNET Estado: Bueno Placa anterior: 000012714 Material: ACERO INOXIDABLE Color: PLATEADO Referencia:  Observacion:     Placa padre: I0003293Tipo adquisicion: Entidad"</f>
        <v>Descripcion: SEPARADORES DE BENNET Estado: Bueno Placa anterior: 000012714 Material: ACERO INOXIDABLE Color: PLATEADO Referencia:  Observacion:     Placa padre: I0003293Tipo adquisicion: Entidad</v>
      </c>
      <c r="G6347" s="5"/>
    </row>
    <row r="6348" spans="1:7" ht="58.5" customHeight="1" x14ac:dyDescent="0.25">
      <c r="A6348" s="5" t="str">
        <f>"I0003301"</f>
        <v>I0003301</v>
      </c>
      <c r="B6348" s="5" t="str">
        <f>"SEPARADOR DE BENNETT"</f>
        <v>SEPARADOR DE BENNETT</v>
      </c>
      <c r="C6348" s="6">
        <v>36972</v>
      </c>
      <c r="D6348" s="5"/>
      <c r="E6348" s="5" t="str">
        <f t="shared" si="312"/>
        <v>INSTRUMENTACION-DIANA CAICEDO-DIANA DIAZ</v>
      </c>
      <c r="F6348" s="5" t="str">
        <f>"Descripcion: SEPARADORES DE BENNET Estado: Bueno Placa anterior: 000012716 Material: ACERO INOXIDABLE Color: PLATEADO Referencia:  Observacion:     Placa padre: I0003293Tipo adquisicion: Entidad"</f>
        <v>Descripcion: SEPARADORES DE BENNET Estado: Bueno Placa anterior: 000012716 Material: ACERO INOXIDABLE Color: PLATEADO Referencia:  Observacion:     Placa padre: I0003293Tipo adquisicion: Entidad</v>
      </c>
      <c r="G6348" s="5"/>
    </row>
    <row r="6349" spans="1:7" ht="58.5" customHeight="1" x14ac:dyDescent="0.25">
      <c r="A6349" s="5" t="str">
        <f>"I0003304"</f>
        <v>I0003304</v>
      </c>
      <c r="B6349" s="5" t="str">
        <f>"SEPARADOR DE VOLKMANN"</f>
        <v>SEPARADOR DE VOLKMANN</v>
      </c>
      <c r="C6349" s="6">
        <v>227360</v>
      </c>
      <c r="D6349" s="5"/>
      <c r="E6349" s="5" t="str">
        <f t="shared" si="312"/>
        <v>INSTRUMENTACION-DIANA CAICEDO-DIANA DIAZ</v>
      </c>
      <c r="F6349" s="5" t="str">
        <f>"Descripcion: SEPARADORES DE WOLKMAN Estado: Bueno Placa anterior: 000032040 Material: ACERO INOXIDABLE Color: PLATEADO Referencia:  Observacion:     Placa padre: I0003293Tipo adquisicion: Entidad"</f>
        <v>Descripcion: SEPARADORES DE WOLKMAN Estado: Bueno Placa anterior: 000032040 Material: ACERO INOXIDABLE Color: PLATEADO Referencia:  Observacion:     Placa padre: I0003293Tipo adquisicion: Entidad</v>
      </c>
      <c r="G6349" s="5"/>
    </row>
    <row r="6350" spans="1:7" ht="58.5" customHeight="1" x14ac:dyDescent="0.25">
      <c r="A6350" s="5" t="str">
        <f>"I0003305"</f>
        <v>I0003305</v>
      </c>
      <c r="B6350" s="5" t="str">
        <f>"SEPARADOR DE VOLKMANN"</f>
        <v>SEPARADOR DE VOLKMANN</v>
      </c>
      <c r="C6350" s="6">
        <v>227360</v>
      </c>
      <c r="D6350" s="5"/>
      <c r="E6350" s="5" t="str">
        <f t="shared" si="312"/>
        <v>INSTRUMENTACION-DIANA CAICEDO-DIANA DIAZ</v>
      </c>
      <c r="F6350" s="5" t="str">
        <f>"Descripcion: SEPARADORES DE WOLKMAN Estado: Bueno Placa anterior: 000032041 Material: ACERO INOXIDABLE Color: PLATEADO Referencia:  Observacion:     Placa padre: I0003293Tipo adquisicion: Entidad"</f>
        <v>Descripcion: SEPARADORES DE WOLKMAN Estado: Bueno Placa anterior: 000032041 Material: ACERO INOXIDABLE Color: PLATEADO Referencia:  Observacion:     Placa padre: I0003293Tipo adquisicion: Entidad</v>
      </c>
      <c r="G6350" s="5"/>
    </row>
    <row r="6351" spans="1:7" ht="58.5" customHeight="1" x14ac:dyDescent="0.25">
      <c r="A6351" s="5" t="str">
        <f>"I0003306"</f>
        <v>I0003306</v>
      </c>
      <c r="B6351" s="5" t="str">
        <f>"SEPARADOR (INSTRUMENTAL)"</f>
        <v>SEPARADOR (INSTRUMENTAL)</v>
      </c>
      <c r="C6351" s="6">
        <v>36972</v>
      </c>
      <c r="D6351" s="5"/>
      <c r="E6351" s="5" t="str">
        <f t="shared" si="312"/>
        <v>INSTRUMENTACION-DIANA CAICEDO-DIANA DIAZ</v>
      </c>
      <c r="F6351" s="5" t="str">
        <f>"Descripcion: SEPARADORES DE HOWMAN Estado: Bueno Placa anterior: 000012726 Material: ACERO INOXIDABLE Color: PLATEADO Referencia:  Observacion:     Placa padre: I0003293Tipo adquisicion: Entidad"</f>
        <v>Descripcion: SEPARADORES DE HOWMAN Estado: Bueno Placa anterior: 000012726 Material: ACERO INOXIDABLE Color: PLATEADO Referencia:  Observacion:     Placa padre: I0003293Tipo adquisicion: Entidad</v>
      </c>
      <c r="G6351" s="5"/>
    </row>
    <row r="6352" spans="1:7" ht="58.5" customHeight="1" x14ac:dyDescent="0.25">
      <c r="A6352" s="5" t="str">
        <f>"I0003307"</f>
        <v>I0003307</v>
      </c>
      <c r="B6352" s="5" t="str">
        <f>"SEPARADOR (INSTRUMENTAL)"</f>
        <v>SEPARADOR (INSTRUMENTAL)</v>
      </c>
      <c r="C6352" s="6">
        <v>36972</v>
      </c>
      <c r="D6352" s="5"/>
      <c r="E6352" s="5" t="str">
        <f t="shared" si="312"/>
        <v>INSTRUMENTACION-DIANA CAICEDO-DIANA DIAZ</v>
      </c>
      <c r="F6352" s="5" t="str">
        <f>"Descripcion: SEPARADORES DE HOWMAN Estado: Bueno Placa anterior: 000012727 Material: ACERO INOXIDABLE Color: PLATEADO Referencia:  Observacion:     Placa padre: I0003293Tipo adquisicion: Entidad"</f>
        <v>Descripcion: SEPARADORES DE HOWMAN Estado: Bueno Placa anterior: 000012727 Material: ACERO INOXIDABLE Color: PLATEADO Referencia:  Observacion:     Placa padre: I0003293Tipo adquisicion: Entidad</v>
      </c>
      <c r="G6352" s="5"/>
    </row>
    <row r="6353" spans="1:7" ht="58.5" customHeight="1" x14ac:dyDescent="0.25">
      <c r="A6353" s="5" t="str">
        <f>"I0003308"</f>
        <v>I0003308</v>
      </c>
      <c r="B6353" s="5" t="str">
        <f>"SEPARADOR (INSTRUMENTAL)"</f>
        <v>SEPARADOR (INSTRUMENTAL)</v>
      </c>
      <c r="C6353" s="6">
        <v>591600</v>
      </c>
      <c r="D6353" s="5"/>
      <c r="E6353" s="5" t="str">
        <f t="shared" si="312"/>
        <v>INSTRUMENTACION-DIANA CAICEDO-DIANA DIAZ</v>
      </c>
      <c r="F6353" s="5" t="str">
        <f>"Descripcion: SEPARADORES DE LOWMAN Estado: Bueno Placa anterior: 000032207 Material: ACERO INOXIDABLE Color: PLATEADO Referencia:  Observacion:     Placa padre: I0003293Tipo adquisicion: Entidad"</f>
        <v>Descripcion: SEPARADORES DE LOWMAN Estado: Bueno Placa anterior: 000032207 Material: ACERO INOXIDABLE Color: PLATEADO Referencia:  Observacion:     Placa padre: I0003293Tipo adquisicion: Entidad</v>
      </c>
      <c r="G6353" s="5"/>
    </row>
    <row r="6354" spans="1:7" ht="58.5" customHeight="1" x14ac:dyDescent="0.25">
      <c r="A6354" s="5" t="str">
        <f>"I0003309"</f>
        <v>I0003309</v>
      </c>
      <c r="B6354" s="5" t="str">
        <f>"SEPARADOR (INSTRUMENTAL)"</f>
        <v>SEPARADOR (INSTRUMENTAL)</v>
      </c>
      <c r="C6354" s="6">
        <v>591600</v>
      </c>
      <c r="D6354" s="5"/>
      <c r="E6354" s="5" t="str">
        <f t="shared" si="312"/>
        <v>INSTRUMENTACION-DIANA CAICEDO-DIANA DIAZ</v>
      </c>
      <c r="F6354" s="5" t="str">
        <f>"Descripcion: SEPARADORES DE LOWMAN Estado: Bueno Placa anterior: 000032208 Material: ACERO INOXIDABLE Color: PLATEADO Referencia:  Observacion:     Placa padre: I0003293Tipo adquisicion: Entidad"</f>
        <v>Descripcion: SEPARADORES DE LOWMAN Estado: Bueno Placa anterior: 000032208 Material: ACERO INOXIDABLE Color: PLATEADO Referencia:  Observacion:     Placa padre: I0003293Tipo adquisicion: Entidad</v>
      </c>
      <c r="G6354" s="5"/>
    </row>
    <row r="6355" spans="1:7" ht="58.5" customHeight="1" x14ac:dyDescent="0.25">
      <c r="A6355" s="5" t="str">
        <f>"I0003322"</f>
        <v>I0003322</v>
      </c>
      <c r="B6355" s="5" t="str">
        <f>"PINZA KOCHER"</f>
        <v>PINZA KOCHER</v>
      </c>
      <c r="C6355" s="6">
        <v>132240</v>
      </c>
      <c r="D6355" s="5"/>
      <c r="E6355" s="5" t="str">
        <f t="shared" si="312"/>
        <v>INSTRUMENTACION-DIANA CAICEDO-DIANA DIAZ</v>
      </c>
      <c r="F6355" s="5" t="str">
        <f>"Descripcion: PINZAS DE KOCHER Estado: Bueno Placa anterior: 000036215 Material: ACERO INOXIDABLE Color: PLATEADO Referencia:  Observacion:     Placa padre: I0003293Tipo adquisicion: Entidad"</f>
        <v>Descripcion: PINZAS DE KOCHER Estado: Bueno Placa anterior: 000036215 Material: ACERO INOXIDABLE Color: PLATEADO Referencia:  Observacion:     Placa padre: I0003293Tipo adquisicion: Entidad</v>
      </c>
      <c r="G6355" s="5"/>
    </row>
    <row r="6356" spans="1:7" ht="58.5" customHeight="1" x14ac:dyDescent="0.25">
      <c r="A6356" s="5" t="str">
        <f>"I0003323"</f>
        <v>I0003323</v>
      </c>
      <c r="B6356" s="5" t="str">
        <f>"PINZA KOCHER"</f>
        <v>PINZA KOCHER</v>
      </c>
      <c r="C6356" s="6">
        <v>148480</v>
      </c>
      <c r="D6356" s="5"/>
      <c r="E6356" s="5" t="str">
        <f t="shared" si="312"/>
        <v>INSTRUMENTACION-DIANA CAICEDO-DIANA DIAZ</v>
      </c>
      <c r="F6356" s="5" t="str">
        <f>"Descripcion: PINZAS DE KOCHER Estado: Bueno Placa anterior: 000036216 Material: ACERO INOXIDABLE Color: PLATEADO Referencia:  Observacion:     Placa padre: I0003293Tipo adquisicion: Entidad"</f>
        <v>Descripcion: PINZAS DE KOCHER Estado: Bueno Placa anterior: 000036216 Material: ACERO INOXIDABLE Color: PLATEADO Referencia:  Observacion:     Placa padre: I0003293Tipo adquisicion: Entidad</v>
      </c>
      <c r="G6356" s="5"/>
    </row>
    <row r="6357" spans="1:7" ht="58.5" customHeight="1" x14ac:dyDescent="0.25">
      <c r="A6357" s="5" t="str">
        <f>"I0003328"</f>
        <v>I0003328</v>
      </c>
      <c r="B6357" s="5" t="str">
        <f>"PORTAGUJAS (PINZA)"</f>
        <v>PORTAGUJAS (PINZA)</v>
      </c>
      <c r="C6357" s="6">
        <v>81200</v>
      </c>
      <c r="D6357" s="5"/>
      <c r="E6357" s="5" t="str">
        <f t="shared" si="312"/>
        <v>INSTRUMENTACION-DIANA CAICEDO-DIANA DIAZ</v>
      </c>
      <c r="F6357" s="5" t="str">
        <f>"Descripcion: PORTA AGUJAS DE MAYO MEDIANO (DIMEDA) Estado: Bueno Placa anterior: 000032440 Material: ACERO INOXIDABLE Color: PLATEADO Referencia:  Observacion: PORTA AGUJAS MAYO HEGAR  Placa padre: I0003293Tipo adquisicion: Entidad"</f>
        <v>Descripcion: PORTA AGUJAS DE MAYO MEDIANO (DIMEDA) Estado: Bueno Placa anterior: 000032440 Material: ACERO INOXIDABLE Color: PLATEADO Referencia:  Observacion: PORTA AGUJAS MAYO HEGAR  Placa padre: I0003293Tipo adquisicion: Entidad</v>
      </c>
      <c r="G6357" s="5"/>
    </row>
    <row r="6358" spans="1:7" ht="58.5" customHeight="1" x14ac:dyDescent="0.25">
      <c r="A6358" s="5" t="str">
        <f>"I0003329"</f>
        <v>I0003329</v>
      </c>
      <c r="B6358" s="5" t="str">
        <f>"PINZA GUBIA"</f>
        <v>PINZA GUBIA</v>
      </c>
      <c r="C6358" s="6">
        <v>232000</v>
      </c>
      <c r="D6358" s="5"/>
      <c r="E6358" s="5" t="str">
        <f t="shared" si="312"/>
        <v>INSTRUMENTACION-DIANA CAICEDO-DIANA DIAZ</v>
      </c>
      <c r="F6358" s="5" t="str">
        <f>"Descripcion: GUBIA (DIMEDA) Estado: Bueno Placa anterior: 000031832 Material: ACERO INOXIDABLE Color: PLATEADO Referencia:  Observacion:     Placa padre: I0003293Tipo adquisicion: Entidad"</f>
        <v>Descripcion: GUBIA (DIMEDA) Estado: Bueno Placa anterior: 000031832 Material: ACERO INOXIDABLE Color: PLATEADO Referencia:  Observacion:     Placa padre: I0003293Tipo adquisicion: Entidad</v>
      </c>
      <c r="G6358" s="5"/>
    </row>
    <row r="6359" spans="1:7" ht="58.5" customHeight="1" x14ac:dyDescent="0.25">
      <c r="A6359" s="5" t="str">
        <f>"I0003330"</f>
        <v>I0003330</v>
      </c>
      <c r="B6359" s="5" t="str">
        <f>"CIZALLA (INSTRUMENTAL)"</f>
        <v>CIZALLA (INSTRUMENTAL)</v>
      </c>
      <c r="C6359" s="6">
        <v>487200</v>
      </c>
      <c r="D6359" s="5"/>
      <c r="E6359" s="5" t="str">
        <f t="shared" si="312"/>
        <v>INSTRUMENTACION-DIANA CAICEDO-DIANA DIAZ</v>
      </c>
      <c r="F6359" s="5" t="str">
        <f>"Descripcion: CIZALLA RECTA (DIMEDA) Estado: Bueno Placa anterior: 000032358 Material: ACERO INOXIDABLE Color: PLATEADO Referencia:  Observacion:     Placa padre: I0003293Tipo adquisicion: Entidad"</f>
        <v>Descripcion: CIZALLA RECTA (DIMEDA) Estado: Bueno Placa anterior: 000032358 Material: ACERO INOXIDABLE Color: PLATEADO Referencia:  Observacion:     Placa padre: I0003293Tipo adquisicion: Entidad</v>
      </c>
      <c r="G6359" s="5"/>
    </row>
    <row r="6360" spans="1:7" ht="58.5" customHeight="1" x14ac:dyDescent="0.25">
      <c r="A6360" s="5" t="str">
        <f>"I0003331"</f>
        <v>I0003331</v>
      </c>
      <c r="B6360" s="5" t="str">
        <f>"MARTILLO (INSTRUMENTAL)"</f>
        <v>MARTILLO (INSTRUMENTAL)</v>
      </c>
      <c r="C6360" s="6">
        <v>452400</v>
      </c>
      <c r="D6360" s="5"/>
      <c r="E6360" s="5" t="str">
        <f t="shared" si="312"/>
        <v>INSTRUMENTACION-DIANA CAICEDO-DIANA DIAZ</v>
      </c>
      <c r="F6360" s="5" t="str">
        <f>"Descripcion: MARTILLO (DIMEDA) Estado: Bueno Placa anterior: 000031902 Material: ACERO INOXIDABLE Color: PLATEADO Referencia:  Observacion:     Placa padre: I0003293Tipo adquisicion: Entidad"</f>
        <v>Descripcion: MARTILLO (DIMEDA) Estado: Bueno Placa anterior: 000031902 Material: ACERO INOXIDABLE Color: PLATEADO Referencia:  Observacion:     Placa padre: I0003293Tipo adquisicion: Entidad</v>
      </c>
      <c r="G6360" s="5"/>
    </row>
    <row r="6361" spans="1:7" ht="58.5" customHeight="1" x14ac:dyDescent="0.25">
      <c r="A6361" s="5" t="str">
        <f>"I0003332"</f>
        <v>I0003332</v>
      </c>
      <c r="B6361" s="5" t="str">
        <f>"CLAMP DE KERNS"</f>
        <v>CLAMP DE KERNS</v>
      </c>
      <c r="C6361" s="6">
        <v>380480</v>
      </c>
      <c r="D6361" s="5"/>
      <c r="E6361" s="5" t="str">
        <f t="shared" si="312"/>
        <v>INSTRUMENTACION-DIANA CAICEDO-DIANA DIAZ</v>
      </c>
      <c r="F6361" s="5" t="str">
        <f>"Descripcion: CLAMPS DE KERNS Estado: Bueno Placa anterior: 000032369 Material: ACERO INOXIDABLE Color: PLATEADO Referencia:  Observacion:     Placa padre: I0003293Tipo adquisicion: Entidad"</f>
        <v>Descripcion: CLAMPS DE KERNS Estado: Bueno Placa anterior: 000032369 Material: ACERO INOXIDABLE Color: PLATEADO Referencia:  Observacion:     Placa padre: I0003293Tipo adquisicion: Entidad</v>
      </c>
      <c r="G6361" s="5"/>
    </row>
    <row r="6362" spans="1:7" ht="58.5" customHeight="1" x14ac:dyDescent="0.25">
      <c r="A6362" s="5" t="str">
        <f>"I0003333"</f>
        <v>I0003333</v>
      </c>
      <c r="B6362" s="5" t="str">
        <f>"CLAMP DE KERNS"</f>
        <v>CLAMP DE KERNS</v>
      </c>
      <c r="C6362" s="6">
        <v>380480</v>
      </c>
      <c r="D6362" s="5"/>
      <c r="E6362" s="5" t="str">
        <f t="shared" si="312"/>
        <v>INSTRUMENTACION-DIANA CAICEDO-DIANA DIAZ</v>
      </c>
      <c r="F6362" s="5" t="str">
        <f>"Descripcion: CLAMPS DE KERNS Estado: Bueno Placa anterior: 000032370 Material: ACERO INOXIDABLE Color: PLATEADO Referencia:  Observacion:     Placa padre: I0003293Tipo adquisicion: Entidad"</f>
        <v>Descripcion: CLAMPS DE KERNS Estado: Bueno Placa anterior: 000032370 Material: ACERO INOXIDABLE Color: PLATEADO Referencia:  Observacion:     Placa padre: I0003293Tipo adquisicion: Entidad</v>
      </c>
      <c r="G6362" s="5"/>
    </row>
    <row r="6363" spans="1:7" ht="58.5" customHeight="1" x14ac:dyDescent="0.25">
      <c r="A6363" s="5" t="str">
        <f>"I0003334"</f>
        <v>I0003334</v>
      </c>
      <c r="B6363" s="5" t="str">
        <f>"RUGINA"</f>
        <v>RUGINA</v>
      </c>
      <c r="C6363" s="6">
        <v>121800</v>
      </c>
      <c r="D6363" s="5"/>
      <c r="E6363" s="5" t="str">
        <f t="shared" si="312"/>
        <v>INSTRUMENTACION-DIANA CAICEDO-DIANA DIAZ</v>
      </c>
      <c r="F6363" s="5" t="str">
        <f>"Descripcion: RUGINA CURVA Estado: Bueno Placa anterior: 000032491 Material: ACERO INOXIDABLE Color: PLATEADO Referencia:  Observacion:     Placa padre: I0003293Tipo adquisicion: Entidad"</f>
        <v>Descripcion: RUGINA CURVA Estado: Bueno Placa anterior: 000032491 Material: ACERO INOXIDABLE Color: PLATEADO Referencia:  Observacion:     Placa padre: I0003293Tipo adquisicion: Entidad</v>
      </c>
      <c r="G6363" s="5"/>
    </row>
    <row r="6364" spans="1:7" ht="58.5" customHeight="1" x14ac:dyDescent="0.25">
      <c r="A6364" s="5" t="str">
        <f>"I0003335"</f>
        <v>I0003335</v>
      </c>
      <c r="B6364" s="5" t="str">
        <f>"CLAMPS DE HAIR GROVERS"</f>
        <v>CLAMPS DE HAIR GROVERS</v>
      </c>
      <c r="C6364" s="6">
        <v>437911.62</v>
      </c>
      <c r="D6364" s="5"/>
      <c r="E6364" s="5" t="str">
        <f t="shared" si="312"/>
        <v>INSTRUMENTACION-DIANA CAICEDO-DIANA DIAZ</v>
      </c>
      <c r="F6364" s="5" t="str">
        <f>"Descripcion: CLAMPS DE HAYGROWERS Estado: Bueno Placa anterior: 000012753 Material: ACERO INOXIDABLE Color: PLATEADO Referencia:  Observacion:     Placa padre: I0003293Tipo adquisicion: Entidad"</f>
        <v>Descripcion: CLAMPS DE HAYGROWERS Estado: Bueno Placa anterior: 000012753 Material: ACERO INOXIDABLE Color: PLATEADO Referencia:  Observacion:     Placa padre: I0003293Tipo adquisicion: Entidad</v>
      </c>
      <c r="G6364" s="5"/>
    </row>
    <row r="6365" spans="1:7" ht="58.5" customHeight="1" x14ac:dyDescent="0.25">
      <c r="A6365" s="5" t="str">
        <f>"I0003336"</f>
        <v>I0003336</v>
      </c>
      <c r="B6365" s="5" t="str">
        <f>"DISECTOR DE COBB"</f>
        <v>DISECTOR DE COBB</v>
      </c>
      <c r="C6365" s="6">
        <v>324800</v>
      </c>
      <c r="D6365" s="5"/>
      <c r="E6365" s="5" t="str">
        <f t="shared" si="312"/>
        <v>INSTRUMENTACION-DIANA CAICEDO-DIANA DIAZ</v>
      </c>
      <c r="F6365" s="5" t="str">
        <f>"Descripcion: DISECTOR DE COBBS Estado: Bueno Placa anterior: 000032136 Material: ACERO INOXIDABLE Color: PLATEADO Referencia:  Observacion: ELEVADOR DE COOB GRANDE Placa padre: I0003293Tipo adquisicion: Entidad"</f>
        <v>Descripcion: DISECTOR DE COBBS Estado: Bueno Placa anterior: 000032136 Material: ACERO INOXIDABLE Color: PLATEADO Referencia:  Observacion: ELEVADOR DE COOB GRANDE Placa padre: I0003293Tipo adquisicion: Entidad</v>
      </c>
      <c r="G6365" s="5"/>
    </row>
    <row r="6366" spans="1:7" ht="58.5" customHeight="1" x14ac:dyDescent="0.25">
      <c r="A6366" s="5" t="str">
        <f>"I0003338"</f>
        <v>I0003338</v>
      </c>
      <c r="B6366" s="5" t="str">
        <f>"CINCEL (INSTRUMENTAL)"</f>
        <v>CINCEL (INSTRUMENTAL)</v>
      </c>
      <c r="C6366" s="6">
        <v>220400</v>
      </c>
      <c r="D6366" s="5"/>
      <c r="E6366" s="5" t="str">
        <f t="shared" si="312"/>
        <v>INSTRUMENTACION-DIANA CAICEDO-DIANA DIAZ</v>
      </c>
      <c r="F6366" s="5" t="str">
        <f>"Descripcion: CINCELES (2 RECTOS) Estado: Bueno Placa anterior: 000032332 Material: ACERO INOXIDABLE Color: PLATEADO Referencia:  Observacion:     Placa padre: I0003293Tipo adquisicion: Entidad"</f>
        <v>Descripcion: CINCELES (2 RECTOS) Estado: Bueno Placa anterior: 000032332 Material: ACERO INOXIDABLE Color: PLATEADO Referencia:  Observacion:     Placa padre: I0003293Tipo adquisicion: Entidad</v>
      </c>
      <c r="G6366" s="5"/>
    </row>
    <row r="6367" spans="1:7" ht="58.5" customHeight="1" x14ac:dyDescent="0.25">
      <c r="A6367" s="5" t="str">
        <f>"I0003339"</f>
        <v>I0003339</v>
      </c>
      <c r="B6367" s="5" t="str">
        <f>"CINCEL (INSTRUMENTAL)"</f>
        <v>CINCEL (INSTRUMENTAL)</v>
      </c>
      <c r="C6367" s="6">
        <v>220400</v>
      </c>
      <c r="D6367" s="5"/>
      <c r="E6367" s="5" t="str">
        <f t="shared" ref="E6367:E6430" si="314">"INSTRUMENTACION-DIANA CAICEDO-DIANA DIAZ"</f>
        <v>INSTRUMENTACION-DIANA CAICEDO-DIANA DIAZ</v>
      </c>
      <c r="F6367" s="5" t="str">
        <f>"Descripcion: CINCELES (2 RECTOS) Estado: Bueno Placa anterior: 000032333 Material: ACERO INOXIDABLE Color: PLATEADO Referencia:  Observacion:     Placa padre: I0003293Tipo adquisicion: Entidad"</f>
        <v>Descripcion: CINCELES (2 RECTOS) Estado: Bueno Placa anterior: 000032333 Material: ACERO INOXIDABLE Color: PLATEADO Referencia:  Observacion:     Placa padre: I0003293Tipo adquisicion: Entidad</v>
      </c>
      <c r="G6367" s="5"/>
    </row>
    <row r="6368" spans="1:7" ht="58.5" customHeight="1" x14ac:dyDescent="0.25">
      <c r="A6368" s="5" t="str">
        <f>"I0003340"</f>
        <v>I0003340</v>
      </c>
      <c r="B6368" s="5" t="str">
        <f>"CINCEL (INSTRUMENTAL)"</f>
        <v>CINCEL (INSTRUMENTAL)</v>
      </c>
      <c r="C6368" s="6">
        <v>220400</v>
      </c>
      <c r="D6368" s="5"/>
      <c r="E6368" s="5" t="str">
        <f t="shared" si="314"/>
        <v>INSTRUMENTACION-DIANA CAICEDO-DIANA DIAZ</v>
      </c>
      <c r="F6368" s="5" t="str">
        <f>"Descripcion: CINCELES (3 CURVOS) Estado: Bueno Placa anterior: 000032334 Material: ACERO INOXIDABLE Color: PLATEADO Referencia:  Observacion:     Placa padre: I0003293Tipo adquisicion: Entidad"</f>
        <v>Descripcion: CINCELES (3 CURVOS) Estado: Bueno Placa anterior: 000032334 Material: ACERO INOXIDABLE Color: PLATEADO Referencia:  Observacion:     Placa padre: I0003293Tipo adquisicion: Entidad</v>
      </c>
      <c r="G6368" s="5"/>
    </row>
    <row r="6369" spans="1:7" ht="58.5" customHeight="1" x14ac:dyDescent="0.25">
      <c r="A6369" s="5" t="str">
        <f>"I0003341"</f>
        <v>I0003341</v>
      </c>
      <c r="B6369" s="5" t="str">
        <f>"CINCEL (INSTRUMENTAL)"</f>
        <v>CINCEL (INSTRUMENTAL)</v>
      </c>
      <c r="C6369" s="6">
        <v>220400</v>
      </c>
      <c r="D6369" s="5"/>
      <c r="E6369" s="5" t="str">
        <f t="shared" si="314"/>
        <v>INSTRUMENTACION-DIANA CAICEDO-DIANA DIAZ</v>
      </c>
      <c r="F6369" s="5" t="str">
        <f>"Descripcion: CINCELES (3 CURVOS) Estado: Bueno Placa anterior: 000032335 Material: ACERO INOXIDABLE Color: PLATEADO Referencia:  Observacion:     Placa padre: I0003293Tipo adquisicion: Entidad"</f>
        <v>Descripcion: CINCELES (3 CURVOS) Estado: Bueno Placa anterior: 000032335 Material: ACERO INOXIDABLE Color: PLATEADO Referencia:  Observacion:     Placa padre: I0003293Tipo adquisicion: Entidad</v>
      </c>
      <c r="G6369" s="5"/>
    </row>
    <row r="6370" spans="1:7" ht="58.5" customHeight="1" x14ac:dyDescent="0.25">
      <c r="A6370" s="5" t="str">
        <f>"I0003352"</f>
        <v>I0003352</v>
      </c>
      <c r="B6370" s="5" t="str">
        <f>"CANULA DE YANKAUER"</f>
        <v>CANULA DE YANKAUER</v>
      </c>
      <c r="C6370" s="6">
        <v>92800</v>
      </c>
      <c r="D6370" s="5"/>
      <c r="E6370" s="5" t="str">
        <f t="shared" si="314"/>
        <v>INSTRUMENTACION-DIANA CAICEDO-DIANA DIAZ</v>
      </c>
      <c r="F6370" s="5" t="str">
        <f>"Descripcion: CANULA DE YANKAWER (DIMEDA) Estado: Bueno Placa anterior: 000031653 Material: ACERO INOXIDABLE Color: PLATEADO Referencia:  Observacion:     Placa padre: I0003293Tipo adquisicion: Entidad"</f>
        <v>Descripcion: CANULA DE YANKAWER (DIMEDA) Estado: Bueno Placa anterior: 000031653 Material: ACERO INOXIDABLE Color: PLATEADO Referencia:  Observacion:     Placa padre: I0003293Tipo adquisicion: Entidad</v>
      </c>
      <c r="G6370" s="5"/>
    </row>
    <row r="6371" spans="1:7" ht="58.5" customHeight="1" x14ac:dyDescent="0.25">
      <c r="A6371" s="5" t="str">
        <f>"I0003354"</f>
        <v>I0003354</v>
      </c>
      <c r="B6371" s="5" t="str">
        <f>"EQUIPO DE ORTOPEDIA"</f>
        <v>EQUIPO DE ORTOPEDIA</v>
      </c>
      <c r="C6371" s="6">
        <v>1950000</v>
      </c>
      <c r="D6371" s="5"/>
      <c r="E6371" s="5" t="str">
        <f t="shared" si="314"/>
        <v>INSTRUMENTACION-DIANA CAICEDO-DIANA DIAZ</v>
      </c>
      <c r="F6371" s="5" t="str">
        <f>"Descripcion: EQUIPO MEDIANO DE ORTOPEDIA #2  QUE CONSTA DE:  (1) MANGO DE BISTURI #4  (1) MANGO DE BISTURI #3  (1) TIJERA DE METZEMBAUN  (1) TIJERA DE MAYO RECTA  (2) SEPARADORES DE MAYO COLLINS  (2) SEPARADORES DE WOLKMAN  (2) SEPARADORES HAIR GROWERS  ("&amp; "2) SEPARADORES DE BENETT  (2) SEPARADORES DE FARABEUF  (1) PINZA DE DISECCION CON GARRA PEQUEÑA  (1) PINZA DE DISECCION SIN GARRA PEQUEÑA  (1) PINZA DE DISECCION CON GARRA MEDIANA  (1) DISECCION ADSON CON GARRA  (3) PINZAS KELLY CURVAS  (4) PINZAS DE ROCH"&amp; "ESTER CURVAS  (2) PINZAS DE KOCHER (DIMEDA)  (4) PINZAS DE ALLIX  (1) PORTA AGUJAS DE MAYO MEDIANO (DIMEDA)  (0) GANCHO DE HUESO  (1) MARTILLO (DIMEDA)  (2) CLAMPS DE KERNS  (1) RUGINA CURVA  (1) GUBIA DE PICO DE PATO  (1) CLAMP DE LOWMAN  (1) ELEVADOR DE"&amp; " CHANDLER  (2) SEPARADORES DE BERRUGEN  (1) DISECTOR DE COBS  (1) RASPA   (4) CINCELES  (3) CURETAS  (4) PINZAS DE CAMPO (DIMEDA)  (1) CANULA DE YANKAWER  (1) PLATON NIQUELADO  (1) CUBETA DE INSTRUMENTAL NIQUELADA  (1) COCA PEQUEÑA Estado: Bueno Placa ant"&amp; "erior: 000012688 Material: ACERO INOXIDABLE Color: PLATEADO Referencia:  Observacion:     Placa padre: Tipo adquisicion: Entidad"</f>
        <v>Descripcion: EQUIPO MEDIANO DE ORTOPEDIA #2  QUE CONSTA DE:  (1) MANGO DE BISTURI #4  (1) MANGO DE BISTURI #3  (1) TIJERA DE METZEMBAUN  (1) TIJERA DE MAYO RECTA  (2) SEPARADORES DE MAYO COLLINS  (2) SEPARADORES DE WOLKMAN  (2) SEPARADORES HAIR GROWERS  (2) SEPARADORES DE BENETT  (2) SEPARADORES DE FARABEUF  (1) PINZA DE DISECCION CON GARRA PEQUEÑA  (1) PINZA DE DISECCION SIN GARRA PEQUEÑA  (1) PINZA DE DISECCION CON GARRA MEDIANA  (1) DISECCION ADSON CON GARRA  (3) PINZAS KELLY CURVAS  (4) PINZAS DE ROCHESTER CURVAS  (2) PINZAS DE KOCHER (DIMEDA)  (4) PINZAS DE ALLIX  (1) PORTA AGUJAS DE MAYO MEDIANO (DIMEDA)  (0) GANCHO DE HUESO  (1) MARTILLO (DIMEDA)  (2) CLAMPS DE KERNS  (1) RUGINA CURVA  (1) GUBIA DE PICO DE PATO  (1) CLAMP DE LOWMAN  (1) ELEVADOR DE CHANDLER  (2) SEPARADORES DE BERRUGEN  (1) DISECTOR DE COBS  (1) RASPA   (4) CINCELES  (3) CURETAS  (4) PINZAS DE CAMPO (DIMEDA)  (1) CANULA DE YANKAWER  (1) PLATON NIQUELADO  (1) CUBETA DE INSTRUMENTAL NIQUELADA  (1) COCA PEQUEÑA Estado: Bueno Placa anterior: 000012688 Material: ACERO INOXIDABLE Color: PLATEADO Referencia:  Observacion:     Placa padre: Tipo adquisicion: Entidad</v>
      </c>
      <c r="G6371" s="5"/>
    </row>
    <row r="6372" spans="1:7" ht="58.5" customHeight="1" x14ac:dyDescent="0.25">
      <c r="A6372" s="5" t="str">
        <f>"I0003361"</f>
        <v>I0003361</v>
      </c>
      <c r="B6372" s="5" t="str">
        <f>"SEPARADOR DE BENNETT"</f>
        <v>SEPARADOR DE BENNETT</v>
      </c>
      <c r="C6372" s="6">
        <v>36972</v>
      </c>
      <c r="D6372" s="5"/>
      <c r="E6372" s="5" t="str">
        <f t="shared" si="314"/>
        <v>INSTRUMENTACION-DIANA CAICEDO-DIANA DIAZ</v>
      </c>
      <c r="F6372" s="5" t="str">
        <f>"Descripcion: SEPARADORES DE BENNET Estado: Bueno Placa anterior: 000012715 Material: ACERO INOXIDABLE Color: PLATEADO Referencia:  Observacion:     Placa padre: I0003354Tipo adquisicion: Entidad"</f>
        <v>Descripcion: SEPARADORES DE BENNET Estado: Bueno Placa anterior: 000012715 Material: ACERO INOXIDABLE Color: PLATEADO Referencia:  Observacion:     Placa padre: I0003354Tipo adquisicion: Entidad</v>
      </c>
      <c r="G6372" s="5"/>
    </row>
    <row r="6373" spans="1:7" ht="58.5" customHeight="1" x14ac:dyDescent="0.25">
      <c r="A6373" s="5" t="str">
        <f>"I0003365"</f>
        <v>I0003365</v>
      </c>
      <c r="B6373" s="5" t="str">
        <f>"SEPARADOR DE VOLKMANN"</f>
        <v>SEPARADOR DE VOLKMANN</v>
      </c>
      <c r="C6373" s="6">
        <v>227360</v>
      </c>
      <c r="D6373" s="5"/>
      <c r="E6373" s="5" t="str">
        <f t="shared" si="314"/>
        <v>INSTRUMENTACION-DIANA CAICEDO-DIANA DIAZ</v>
      </c>
      <c r="F6373" s="5" t="str">
        <f>"Descripcion: SEPARADORES DE WOLKMAN Estado: Bueno Placa anterior: 000032042 Material: ACERO INOXIDABLE Color: PLATEADO Referencia:  Observacion:     Placa padre: I0003354Tipo adquisicion: Entidad"</f>
        <v>Descripcion: SEPARADORES DE WOLKMAN Estado: Bueno Placa anterior: 000032042 Material: ACERO INOXIDABLE Color: PLATEADO Referencia:  Observacion:     Placa padre: I0003354Tipo adquisicion: Entidad</v>
      </c>
      <c r="G6373" s="5"/>
    </row>
    <row r="6374" spans="1:7" ht="58.5" customHeight="1" x14ac:dyDescent="0.25">
      <c r="A6374" s="5" t="str">
        <f>"I0003366"</f>
        <v>I0003366</v>
      </c>
      <c r="B6374" s="5" t="str">
        <f>"SEPARADOR DE VOLKMANN"</f>
        <v>SEPARADOR DE VOLKMANN</v>
      </c>
      <c r="C6374" s="6">
        <v>227360</v>
      </c>
      <c r="D6374" s="5"/>
      <c r="E6374" s="5" t="str">
        <f t="shared" si="314"/>
        <v>INSTRUMENTACION-DIANA CAICEDO-DIANA DIAZ</v>
      </c>
      <c r="F6374" s="5" t="str">
        <f>"Descripcion: SEPARADORES DE WOLKMAN Estado: Bueno Placa anterior: 000032043 Material: ACERO INOXIDABLE Color: PLATEADO Referencia:  Observacion:     Placa padre: I0003354Tipo adquisicion: Entidad"</f>
        <v>Descripcion: SEPARADORES DE WOLKMAN Estado: Bueno Placa anterior: 000032043 Material: ACERO INOXIDABLE Color: PLATEADO Referencia:  Observacion:     Placa padre: I0003354Tipo adquisicion: Entidad</v>
      </c>
      <c r="G6374" s="5"/>
    </row>
    <row r="6375" spans="1:7" ht="58.5" customHeight="1" x14ac:dyDescent="0.25">
      <c r="A6375" s="5" t="str">
        <f>"I0003372"</f>
        <v>I0003372</v>
      </c>
      <c r="B6375" s="5" t="str">
        <f>"PINZA DE DISECCION SIN GARRA CORTA 20 CM"</f>
        <v>PINZA DE DISECCION SIN GARRA CORTA 20 CM</v>
      </c>
      <c r="C6375" s="6">
        <v>33640</v>
      </c>
      <c r="D6375" s="5"/>
      <c r="E6375" s="5" t="str">
        <f t="shared" si="314"/>
        <v>INSTRUMENTACION-DIANA CAICEDO-DIANA DIAZ</v>
      </c>
      <c r="F6375" s="5" t="str">
        <f>"Descripcion: PINZA DE DISECCION ADSON CON GARRA Estado: Bueno Placa anterior: 000031939 Material: ACERO INOXIDABLE Color: PLATEADO Referencia:  Observacion: PINZA DE DISECCION  Placa padre: I0003354Tipo adquisicion: Entidad"</f>
        <v>Descripcion: PINZA DE DISECCION ADSON CON GARRA Estado: Bueno Placa anterior: 000031939 Material: ACERO INOXIDABLE Color: PLATEADO Referencia:  Observacion: PINZA DE DISECCION  Placa padre: I0003354Tipo adquisicion: Entidad</v>
      </c>
      <c r="G6375" s="5"/>
    </row>
    <row r="6376" spans="1:7" ht="58.5" customHeight="1" x14ac:dyDescent="0.25">
      <c r="A6376" s="5" t="str">
        <f>"I0003381"</f>
        <v>I0003381</v>
      </c>
      <c r="B6376" s="5" t="str">
        <f>"PINZA KOCHER"</f>
        <v>PINZA KOCHER</v>
      </c>
      <c r="C6376" s="6">
        <v>148480</v>
      </c>
      <c r="D6376" s="5"/>
      <c r="E6376" s="5" t="str">
        <f t="shared" si="314"/>
        <v>INSTRUMENTACION-DIANA CAICEDO-DIANA DIAZ</v>
      </c>
      <c r="F6376" s="5" t="str">
        <f>"Descripcion: PINZAS DE KOCHER Estado: Bueno Placa anterior: 000036217 Material: ACERO INOXIDABLE Color: PLATEADO Referencia:  Observacion:     Placa padre: I0003354Tipo adquisicion: Entidad"</f>
        <v>Descripcion: PINZAS DE KOCHER Estado: Bueno Placa anterior: 000036217 Material: ACERO INOXIDABLE Color: PLATEADO Referencia:  Observacion:     Placa padre: I0003354Tipo adquisicion: Entidad</v>
      </c>
      <c r="G6376" s="5"/>
    </row>
    <row r="6377" spans="1:7" ht="58.5" customHeight="1" x14ac:dyDescent="0.25">
      <c r="A6377" s="5" t="str">
        <f>"I0003382"</f>
        <v>I0003382</v>
      </c>
      <c r="B6377" s="5" t="str">
        <f>"PINZA KOCHER"</f>
        <v>PINZA KOCHER</v>
      </c>
      <c r="C6377" s="6">
        <v>148480</v>
      </c>
      <c r="D6377" s="5"/>
      <c r="E6377" s="5" t="str">
        <f t="shared" si="314"/>
        <v>INSTRUMENTACION-DIANA CAICEDO-DIANA DIAZ</v>
      </c>
      <c r="F6377" s="5" t="str">
        <f>"Descripcion: PINZAS DE KOCHER Estado: Bueno Placa anterior: 000036218 Material: ACERO INOXIDABLE Color: PLATEADO Referencia:  Observacion:     Placa padre: I0003354Tipo adquisicion: Entidad"</f>
        <v>Descripcion: PINZAS DE KOCHER Estado: Bueno Placa anterior: 000036218 Material: ACERO INOXIDABLE Color: PLATEADO Referencia:  Observacion:     Placa padre: I0003354Tipo adquisicion: Entidad</v>
      </c>
      <c r="G6377" s="5"/>
    </row>
    <row r="6378" spans="1:7" ht="58.5" customHeight="1" x14ac:dyDescent="0.25">
      <c r="A6378" s="5" t="str">
        <f>"I0003388"</f>
        <v>I0003388</v>
      </c>
      <c r="B6378" s="5" t="str">
        <f>"PINZA GUBIA"</f>
        <v>PINZA GUBIA</v>
      </c>
      <c r="C6378" s="6">
        <v>232000</v>
      </c>
      <c r="D6378" s="5"/>
      <c r="E6378" s="5" t="str">
        <f t="shared" si="314"/>
        <v>INSTRUMENTACION-DIANA CAICEDO-DIANA DIAZ</v>
      </c>
      <c r="F6378" s="5" t="str">
        <f>"Descripcion: GUBIA (DIMEDA) Estado: Bueno Placa anterior: 000031833 Material: ACERO INOXIDABLE Color: PLATEADO Referencia:  Observacion:     Placa padre: I0003354Tipo adquisicion: Entidad"</f>
        <v>Descripcion: GUBIA (DIMEDA) Estado: Bueno Placa anterior: 000031833 Material: ACERO INOXIDABLE Color: PLATEADO Referencia:  Observacion:     Placa padre: I0003354Tipo adquisicion: Entidad</v>
      </c>
      <c r="G6378" s="5"/>
    </row>
    <row r="6379" spans="1:7" ht="58.5" customHeight="1" x14ac:dyDescent="0.25">
      <c r="A6379" s="5" t="str">
        <f>"I0003389"</f>
        <v>I0003389</v>
      </c>
      <c r="B6379" s="5" t="str">
        <f>"CIZALLA (INSTRUMENTAL)"</f>
        <v>CIZALLA (INSTRUMENTAL)</v>
      </c>
      <c r="C6379" s="6">
        <v>487200</v>
      </c>
      <c r="D6379" s="5"/>
      <c r="E6379" s="5" t="str">
        <f t="shared" si="314"/>
        <v>INSTRUMENTACION-DIANA CAICEDO-DIANA DIAZ</v>
      </c>
      <c r="F6379" s="5" t="str">
        <f>"Descripcion: CIZALLA RECTA (DIMEDA) Estado: Bueno Placa anterior: 000032359 Material: ACERO INOXIDABLE Color: PLATEADO Referencia:  Observacion:     Placa padre: I0003354Tipo adquisicion: Entidad"</f>
        <v>Descripcion: CIZALLA RECTA (DIMEDA) Estado: Bueno Placa anterior: 000032359 Material: ACERO INOXIDABLE Color: PLATEADO Referencia:  Observacion:     Placa padre: I0003354Tipo adquisicion: Entidad</v>
      </c>
      <c r="G6379" s="5"/>
    </row>
    <row r="6380" spans="1:7" ht="58.5" customHeight="1" x14ac:dyDescent="0.25">
      <c r="A6380" s="5" t="str">
        <f>"I0003390"</f>
        <v>I0003390</v>
      </c>
      <c r="B6380" s="5" t="str">
        <f>"GANCHO (INSTRUMENTAL)"</f>
        <v>GANCHO (INSTRUMENTAL)</v>
      </c>
      <c r="C6380" s="6">
        <v>92800</v>
      </c>
      <c r="D6380" s="5"/>
      <c r="E6380" s="5" t="str">
        <f t="shared" si="314"/>
        <v>INSTRUMENTACION-DIANA CAICEDO-DIANA DIAZ</v>
      </c>
      <c r="F6380" s="5" t="str">
        <f>"Descripcion: GANCHO DE HUESO Estado: Bueno Placa anterior: 000032157 Material: ACERO INOXIDABLE Color: PLATEADO Referencia:  Observacion:     Placa padre: I0003354Tipo adquisicion: Entidad"</f>
        <v>Descripcion: GANCHO DE HUESO Estado: Bueno Placa anterior: 000032157 Material: ACERO INOXIDABLE Color: PLATEADO Referencia:  Observacion:     Placa padre: I0003354Tipo adquisicion: Entidad</v>
      </c>
      <c r="G6380" s="5"/>
    </row>
    <row r="6381" spans="1:7" ht="58.5" customHeight="1" x14ac:dyDescent="0.25">
      <c r="A6381" s="5" t="str">
        <f>"I0003391"</f>
        <v>I0003391</v>
      </c>
      <c r="B6381" s="5" t="str">
        <f>"MARTILLO (INSTRUMENTAL)"</f>
        <v>MARTILLO (INSTRUMENTAL)</v>
      </c>
      <c r="C6381" s="6">
        <v>452400</v>
      </c>
      <c r="D6381" s="5"/>
      <c r="E6381" s="5" t="str">
        <f t="shared" si="314"/>
        <v>INSTRUMENTACION-DIANA CAICEDO-DIANA DIAZ</v>
      </c>
      <c r="F6381" s="5" t="str">
        <f>"Descripcion: MARTILLO (DIMEDA) Estado: Bueno Placa anterior: 000031903 Material: ACERO INOXIDABLE Color: PLATEADO Referencia:  Observacion:     Placa padre: I0003354Tipo adquisicion: Entidad"</f>
        <v>Descripcion: MARTILLO (DIMEDA) Estado: Bueno Placa anterior: 000031903 Material: ACERO INOXIDABLE Color: PLATEADO Referencia:  Observacion:     Placa padre: I0003354Tipo adquisicion: Entidad</v>
      </c>
      <c r="G6381" s="5"/>
    </row>
    <row r="6382" spans="1:7" ht="58.5" customHeight="1" x14ac:dyDescent="0.25">
      <c r="A6382" s="5" t="str">
        <f>"I0003392"</f>
        <v>I0003392</v>
      </c>
      <c r="B6382" s="5" t="str">
        <f>"CLAMP DE KERNS"</f>
        <v>CLAMP DE KERNS</v>
      </c>
      <c r="C6382" s="6">
        <v>612248</v>
      </c>
      <c r="D6382" s="5"/>
      <c r="E6382" s="5" t="str">
        <f t="shared" si="314"/>
        <v>INSTRUMENTACION-DIANA CAICEDO-DIANA DIAZ</v>
      </c>
      <c r="F6382" s="5" t="str">
        <f>"Descripcion: CLAMPS DE KERNS Estado: Bueno Placa anterior: 000024364 Material: ACERO INOXIDABLE Color: PLATEADO Referencia:  Observacion:     Placa padre: I0003354Tipo adquisicion: Entidad"</f>
        <v>Descripcion: CLAMPS DE KERNS Estado: Bueno Placa anterior: 000024364 Material: ACERO INOXIDABLE Color: PLATEADO Referencia:  Observacion:     Placa padre: I0003354Tipo adquisicion: Entidad</v>
      </c>
      <c r="G6382" s="5"/>
    </row>
    <row r="6383" spans="1:7" ht="58.5" customHeight="1" x14ac:dyDescent="0.25">
      <c r="A6383" s="5" t="str">
        <f>"I0003393"</f>
        <v>I0003393</v>
      </c>
      <c r="B6383" s="5" t="str">
        <f>"CLAMP DE KERNS"</f>
        <v>CLAMP DE KERNS</v>
      </c>
      <c r="C6383" s="6">
        <v>612248</v>
      </c>
      <c r="D6383" s="5"/>
      <c r="E6383" s="5" t="str">
        <f t="shared" si="314"/>
        <v>INSTRUMENTACION-DIANA CAICEDO-DIANA DIAZ</v>
      </c>
      <c r="F6383" s="5" t="str">
        <f>"Descripcion: CLAMPS DE KERNS Estado: Bueno Placa anterior: 000024365 Material: ACERO INOXIDABLE Color: PLATEADO Referencia:  Observacion:     Placa padre: I0003354Tipo adquisicion: Entidad"</f>
        <v>Descripcion: CLAMPS DE KERNS Estado: Bueno Placa anterior: 000024365 Material: ACERO INOXIDABLE Color: PLATEADO Referencia:  Observacion:     Placa padre: I0003354Tipo adquisicion: Entidad</v>
      </c>
      <c r="G6383" s="5"/>
    </row>
    <row r="6384" spans="1:7" ht="58.5" customHeight="1" x14ac:dyDescent="0.25">
      <c r="A6384" s="5" t="str">
        <f>"I0003394"</f>
        <v>I0003394</v>
      </c>
      <c r="B6384" s="5" t="str">
        <f>"CLAMP DE KERNS"</f>
        <v>CLAMP DE KERNS</v>
      </c>
      <c r="C6384" s="6">
        <v>591600</v>
      </c>
      <c r="D6384" s="5"/>
      <c r="E6384" s="5" t="str">
        <f t="shared" si="314"/>
        <v>INSTRUMENTACION-DIANA CAICEDO-DIANA DIAZ</v>
      </c>
      <c r="F6384" s="5" t="str">
        <f>"Descripcion: CLAMP DE LOWMAN Estado: Bueno Placa anterior: 000032209 Material: ACERO INOXIDABLE Color: PLATEADO Referencia:  Observacion:     Placa padre: I0003354Tipo adquisicion: Entidad"</f>
        <v>Descripcion: CLAMP DE LOWMAN Estado: Bueno Placa anterior: 000032209 Material: ACERO INOXIDABLE Color: PLATEADO Referencia:  Observacion:     Placa padre: I0003354Tipo adquisicion: Entidad</v>
      </c>
      <c r="G6384" s="5"/>
    </row>
    <row r="6385" spans="1:7" ht="58.5" customHeight="1" x14ac:dyDescent="0.25">
      <c r="A6385" s="5" t="str">
        <f>"I0003395"</f>
        <v>I0003395</v>
      </c>
      <c r="B6385" s="5" t="str">
        <f>"CLAMP DE KERNS"</f>
        <v>CLAMP DE KERNS</v>
      </c>
      <c r="C6385" s="6">
        <v>591600</v>
      </c>
      <c r="D6385" s="5"/>
      <c r="E6385" s="5" t="str">
        <f t="shared" si="314"/>
        <v>INSTRUMENTACION-DIANA CAICEDO-DIANA DIAZ</v>
      </c>
      <c r="F6385" s="5" t="str">
        <f>"Descripcion: CLAMP DE LOWMAN Estado: Bueno Placa anterior: 000032210 Material: ACERO INOXIDABLE Color: PLATEADO Referencia:  Observacion:     Placa padre: I0003354Tipo adquisicion: Entidad"</f>
        <v>Descripcion: CLAMP DE LOWMAN Estado: Bueno Placa anterior: 000032210 Material: ACERO INOXIDABLE Color: PLATEADO Referencia:  Observacion:     Placa padre: I0003354Tipo adquisicion: Entidad</v>
      </c>
      <c r="G6385" s="5"/>
    </row>
    <row r="6386" spans="1:7" ht="58.5" customHeight="1" x14ac:dyDescent="0.25">
      <c r="A6386" s="5" t="str">
        <f>"I0003396"</f>
        <v>I0003396</v>
      </c>
      <c r="B6386" s="5" t="str">
        <f>"RUGINA"</f>
        <v>RUGINA</v>
      </c>
      <c r="C6386" s="6">
        <v>121800</v>
      </c>
      <c r="D6386" s="5"/>
      <c r="E6386" s="5" t="str">
        <f t="shared" si="314"/>
        <v>INSTRUMENTACION-DIANA CAICEDO-DIANA DIAZ</v>
      </c>
      <c r="F6386" s="5" t="str">
        <f>"Descripcion: RUGINA CURVA Estado: Bueno Placa anterior: 000032492 Material: ACERO INOXIDABLE Color: PLATEADO Referencia:  Observacion:     Placa padre: I0003354Tipo adquisicion: Entidad"</f>
        <v>Descripcion: RUGINA CURVA Estado: Bueno Placa anterior: 000032492 Material: ACERO INOXIDABLE Color: PLATEADO Referencia:  Observacion:     Placa padre: I0003354Tipo adquisicion: Entidad</v>
      </c>
      <c r="G6386" s="5"/>
    </row>
    <row r="6387" spans="1:7" ht="58.5" customHeight="1" x14ac:dyDescent="0.25">
      <c r="A6387" s="5" t="str">
        <f>"I0003397"</f>
        <v>I0003397</v>
      </c>
      <c r="B6387" s="5" t="str">
        <f>"DISECTOR DE COBB"</f>
        <v>DISECTOR DE COBB</v>
      </c>
      <c r="C6387" s="6">
        <v>324800</v>
      </c>
      <c r="D6387" s="5"/>
      <c r="E6387" s="5" t="str">
        <f t="shared" si="314"/>
        <v>INSTRUMENTACION-DIANA CAICEDO-DIANA DIAZ</v>
      </c>
      <c r="F6387" s="5" t="str">
        <f>"Descripcion: DISECTOR DE COBBS Estado: Bueno Placa anterior: 000032135 Material: ACERO INOXIDABLE Color: PLATEADO Referencia:  Observacion: ELEVADOR DE COOB GRANDE Placa padre: I0003354Tipo adquisicion: Entidad"</f>
        <v>Descripcion: DISECTOR DE COBBS Estado: Bueno Placa anterior: 000032135 Material: ACERO INOXIDABLE Color: PLATEADO Referencia:  Observacion: ELEVADOR DE COOB GRANDE Placa padre: I0003354Tipo adquisicion: Entidad</v>
      </c>
      <c r="G6387" s="5"/>
    </row>
    <row r="6388" spans="1:7" ht="58.5" customHeight="1" x14ac:dyDescent="0.25">
      <c r="A6388" s="5" t="str">
        <f>"I0003401"</f>
        <v>I0003401</v>
      </c>
      <c r="B6388" s="5" t="str">
        <f>"RASPA (INSTRUMENTAL)"</f>
        <v>RASPA (INSTRUMENTAL)</v>
      </c>
      <c r="C6388" s="6">
        <v>1610</v>
      </c>
      <c r="D6388" s="5"/>
      <c r="E6388" s="5" t="str">
        <f t="shared" si="314"/>
        <v>INSTRUMENTACION-DIANA CAICEDO-DIANA DIAZ</v>
      </c>
      <c r="F6388" s="5" t="str">
        <f>"Descripcion: RASPA  Estado: Bueno Placa anterior: 000016205 Material: ACERO INOXIDABLE Color: PLATEADO Referencia:  Observacion:     Placa padre: I0003354Tipo adquisicion: Entidad"</f>
        <v>Descripcion: RASPA  Estado: Bueno Placa anterior: 000016205 Material: ACERO INOXIDABLE Color: PLATEADO Referencia:  Observacion:     Placa padre: I0003354Tipo adquisicion: Entidad</v>
      </c>
      <c r="G6388" s="5"/>
    </row>
    <row r="6389" spans="1:7" ht="58.5" customHeight="1" x14ac:dyDescent="0.25">
      <c r="A6389" s="5" t="str">
        <f>"I0003402"</f>
        <v>I0003402</v>
      </c>
      <c r="B6389" s="5" t="str">
        <f>"CINCEL (INSTRUMENTAL)"</f>
        <v>CINCEL (INSTRUMENTAL)</v>
      </c>
      <c r="C6389" s="6">
        <v>232000</v>
      </c>
      <c r="D6389" s="5"/>
      <c r="E6389" s="5" t="str">
        <f t="shared" si="314"/>
        <v>INSTRUMENTACION-DIANA CAICEDO-DIANA DIAZ</v>
      </c>
      <c r="F6389" s="5" t="str">
        <f>"Descripcion: CINCELES (2 RECTOS) Estado: Bueno Placa anterior: 000032336 Material: ACERO INOXIDABLE Color: PLATEADO Referencia:  Observacion:     Placa padre: I0003354Tipo adquisicion: Entidad"</f>
        <v>Descripcion: CINCELES (2 RECTOS) Estado: Bueno Placa anterior: 000032336 Material: ACERO INOXIDABLE Color: PLATEADO Referencia:  Observacion:     Placa padre: I0003354Tipo adquisicion: Entidad</v>
      </c>
      <c r="G6389" s="5"/>
    </row>
    <row r="6390" spans="1:7" ht="58.5" customHeight="1" x14ac:dyDescent="0.25">
      <c r="A6390" s="5" t="str">
        <f>"I0003403"</f>
        <v>I0003403</v>
      </c>
      <c r="B6390" s="5" t="str">
        <f>"CINCEL (INSTRUMENTAL)"</f>
        <v>CINCEL (INSTRUMENTAL)</v>
      </c>
      <c r="C6390" s="6">
        <v>232000</v>
      </c>
      <c r="D6390" s="5"/>
      <c r="E6390" s="5" t="str">
        <f t="shared" si="314"/>
        <v>INSTRUMENTACION-DIANA CAICEDO-DIANA DIAZ</v>
      </c>
      <c r="F6390" s="5" t="str">
        <f>"Descripcion: CINCELES (2 RECTOS) Estado: Bueno Placa anterior: 000032337 Material: ACERO INOXIDABLE Color: PLATEADO Referencia:  Observacion:     Placa padre: I0003354Tipo adquisicion: Entidad"</f>
        <v>Descripcion: CINCELES (2 RECTOS) Estado: Bueno Placa anterior: 000032337 Material: ACERO INOXIDABLE Color: PLATEADO Referencia:  Observacion:     Placa padre: I0003354Tipo adquisicion: Entidad</v>
      </c>
      <c r="G6390" s="5"/>
    </row>
    <row r="6391" spans="1:7" ht="58.5" customHeight="1" x14ac:dyDescent="0.25">
      <c r="A6391" s="5" t="str">
        <f>"I0003404"</f>
        <v>I0003404</v>
      </c>
      <c r="B6391" s="5" t="str">
        <f>"CINCEL (INSTRUMENTAL)"</f>
        <v>CINCEL (INSTRUMENTAL)</v>
      </c>
      <c r="C6391" s="6">
        <v>232000</v>
      </c>
      <c r="D6391" s="5"/>
      <c r="E6391" s="5" t="str">
        <f t="shared" si="314"/>
        <v>INSTRUMENTACION-DIANA CAICEDO-DIANA DIAZ</v>
      </c>
      <c r="F6391" s="5" t="str">
        <f>"Descripcion: CINCELES (3 CURVOS) Estado: Bueno Placa anterior: 000032338 Material: ACERO INOXIDABLE Color: PLATEADO Referencia:  Observacion:     Placa padre: I0003354Tipo adquisicion: Entidad"</f>
        <v>Descripcion: CINCELES (3 CURVOS) Estado: Bueno Placa anterior: 000032338 Material: ACERO INOXIDABLE Color: PLATEADO Referencia:  Observacion:     Placa padre: I0003354Tipo adquisicion: Entidad</v>
      </c>
      <c r="G6391" s="5"/>
    </row>
    <row r="6392" spans="1:7" ht="58.5" customHeight="1" x14ac:dyDescent="0.25">
      <c r="A6392" s="5" t="str">
        <f>"I0003405"</f>
        <v>I0003405</v>
      </c>
      <c r="B6392" s="5" t="str">
        <f>"CINCEL (INSTRUMENTAL)"</f>
        <v>CINCEL (INSTRUMENTAL)</v>
      </c>
      <c r="C6392" s="6">
        <v>232000</v>
      </c>
      <c r="D6392" s="5"/>
      <c r="E6392" s="5" t="str">
        <f t="shared" si="314"/>
        <v>INSTRUMENTACION-DIANA CAICEDO-DIANA DIAZ</v>
      </c>
      <c r="F6392" s="5" t="str">
        <f>"Descripcion: CINCELES (3 CURVOS) Estado: Bueno Placa anterior: 000032339 Material: ACERO INOXIDABLE Color: PLATEADO Referencia:  Observacion:     Placa padre: I0003354Tipo adquisicion: Entidad"</f>
        <v>Descripcion: CINCELES (3 CURVOS) Estado: Bueno Placa anterior: 000032339 Material: ACERO INOXIDABLE Color: PLATEADO Referencia:  Observacion:     Placa padre: I0003354Tipo adquisicion: Entidad</v>
      </c>
      <c r="G6392" s="5"/>
    </row>
    <row r="6393" spans="1:7" ht="58.5" customHeight="1" x14ac:dyDescent="0.25">
      <c r="A6393" s="5" t="str">
        <f>"I0003415"</f>
        <v>I0003415</v>
      </c>
      <c r="B6393" s="5" t="str">
        <f>"CANULA DE YANKAUER"</f>
        <v>CANULA DE YANKAUER</v>
      </c>
      <c r="C6393" s="6">
        <v>92800</v>
      </c>
      <c r="D6393" s="5"/>
      <c r="E6393" s="5" t="str">
        <f t="shared" si="314"/>
        <v>INSTRUMENTACION-DIANA CAICEDO-DIANA DIAZ</v>
      </c>
      <c r="F6393" s="5" t="str">
        <f>"Descripcion: CANULA DE YANKAWER (DIMEDA) Estado: Bueno Placa anterior: 000031654 Material: ACERO INOXIDABLE Color: PLATEADO Referencia:  Observacion:     Placa padre: I0003354Tipo adquisicion: Entidad"</f>
        <v>Descripcion: CANULA DE YANKAWER (DIMEDA) Estado: Bueno Placa anterior: 000031654 Material: ACERO INOXIDABLE Color: PLATEADO Referencia:  Observacion:     Placa padre: I0003354Tipo adquisicion: Entidad</v>
      </c>
      <c r="G6393" s="5"/>
    </row>
    <row r="6394" spans="1:7" ht="58.5" customHeight="1" x14ac:dyDescent="0.25">
      <c r="A6394" s="5" t="str">
        <f>"I0003419"</f>
        <v>I0003419</v>
      </c>
      <c r="B6394" s="5" t="str">
        <f>"EQUIPO DE ORTOPEDIA"</f>
        <v>EQUIPO DE ORTOPEDIA</v>
      </c>
      <c r="C6394" s="6">
        <v>1924000</v>
      </c>
      <c r="D6394" s="5"/>
      <c r="E6394" s="5" t="str">
        <f t="shared" si="314"/>
        <v>INSTRUMENTACION-DIANA CAICEDO-DIANA DIAZ</v>
      </c>
      <c r="F6394" s="5" t="str">
        <f>"Descripcion: EQUIPO MEDIANO DE ORTOPEDIA #3 QUE CONSTA DE:  (1) MANGO DE BISTURI #4  (1) MANGO DE BISTURI #3  (1) TIJERA DE METZEMBAUN  (1) TIJERA DE MAYO RECTA (DIMEDA)  (2) SEPARADORES DE FARABEUF  (2) SEPARADORES DE MAYO COLLINS  (2) SEPARADORES DE BEN"&amp; "ETT  (1) PINZA DE DISECCION CON GARRA PEQUEÑA  (0) PINZA DE DISECCION SIN GARRA PEQUEÑA  (1) PINZA DE DISECCION CON GARRA MEDIANA  (1) DISECCION ADSON CON GARRA  (4) PINZAS ROCHESTER CURVAS (DIMEDA)  (2) PINZAS  KELLY CURVAS (DIMEDA)  (2) PINZAS KOCHER CU"&amp; "RVAS  (4) PINZAS ALLIX PEQUEÑAS  (1) PORTA AGUJAS DE MAYO MEDIANO (DIMEDA)  (1) GANCHO DE HUESO (DIMEDA)  (1) CLAMPS DE KERN  (2) SEPARADORES DE WOLMAN  (1) RUGINA CURVA  (1) RASPA DE PUTTY  (4) CINCELES  (3) CURETAS  (1) DISECTOR DE COOB (DIMEDA)  (1) CL"&amp; "AMPS DE HAIR GROVERS (DIMEDA)  (2) CLAMPS DE LOWMAN  (1) MARTILLO (DIMEDA)  (1) GUBIA PICO DE PATO (DIMEDA)  (6) PINZAS DE CAMPO (DIMEDA)  (1) CANULA DE YANKAWER (DIMEDA)  (1) PLATON NIQUELADO  (1) CUBETA DE INSTRUMENTAL NIQUELADA  (1) COCA PEQUEÑA Estado"&amp; ": Bueno Placa anterior:  Material: ACERO INOXIDABLE Color: PLATEADO Referencia:  Observacion:     Placa padre: Tipo adquisicion: Entidad"</f>
        <v>Descripcion: EQUIPO MEDIANO DE ORTOPEDIA #3 QUE CONSTA DE:  (1) MANGO DE BISTURI #4  (1) MANGO DE BISTURI #3  (1) TIJERA DE METZEMBAUN  (1) TIJERA DE MAYO RECTA (DIMEDA)  (2) SEPARADORES DE FARABEUF  (2) SEPARADORES DE MAYO COLLINS  (2) SEPARADORES DE BENETT  (1) PINZA DE DISECCION CON GARRA PEQUEÑA  (0) PINZA DE DISECCION SIN GARRA PEQUEÑA  (1) PINZA DE DISECCION CON GARRA MEDIANA  (1) DISECCION ADSON CON GARRA  (4) PINZAS ROCHESTER CURVAS (DIMEDA)  (2) PINZAS  KELLY CURVAS (DIMEDA)  (2) PINZAS KOCHER CURVAS  (4) PINZAS ALLIX PEQUEÑAS  (1) PORTA AGUJAS DE MAYO MEDIANO (DIMEDA)  (1) GANCHO DE HUESO (DIMEDA)  (1) CLAMPS DE KERN  (2) SEPARADORES DE WOLMAN  (1) RUGINA CURVA  (1) RASPA DE PUTTY  (4) CINCELES  (3) CURETAS  (1) DISECTOR DE COOB (DIMEDA)  (1) CLAMPS DE HAIR GROVERS (DIMEDA)  (2) CLAMPS DE LOWMAN  (1) MARTILLO (DIMEDA)  (1) GUBIA PICO DE PATO (DIMEDA)  (6) PINZAS DE CAMPO (DIMEDA)  (1) CANULA DE YANKAWER (DIMEDA)  (1) PLATON NIQUELADO  (1) CUBETA DE INSTRUMENTAL NIQUELADA  (1) COCA PEQUEÑA Estado: Bueno Placa anterior:  Material: ACERO INOXIDABLE Color: PLATEADO Referencia:  Observacion:     Placa padre: Tipo adquisicion: Entidad</v>
      </c>
      <c r="G6394" s="5"/>
    </row>
    <row r="6395" spans="1:7" ht="58.5" customHeight="1" x14ac:dyDescent="0.25">
      <c r="A6395" s="5" t="str">
        <f>"I0003433"</f>
        <v>I0003433</v>
      </c>
      <c r="B6395" s="5" t="str">
        <f>"PINZA DE DISECCION SIN GARRA CORTA 20 CM"</f>
        <v>PINZA DE DISECCION SIN GARRA CORTA 20 CM</v>
      </c>
      <c r="C6395" s="6">
        <v>33640</v>
      </c>
      <c r="D6395" s="5"/>
      <c r="E6395" s="5" t="str">
        <f t="shared" si="314"/>
        <v>INSTRUMENTACION-DIANA CAICEDO-DIANA DIAZ</v>
      </c>
      <c r="F6395" s="5" t="str">
        <f>"Descripcion: PINZA DE DISECCION ADSON CON GARRA Estado: Bueno Placa anterior: 000031941 Material: ACERO INOXIDABLE Color: PLATEADO Referencia:  Observacion: PINZA DE DISECCION Placa padre: I0003419Tipo adquisicion: Entidad"</f>
        <v>Descripcion: PINZA DE DISECCION ADSON CON GARRA Estado: Bueno Placa anterior: 000031941 Material: ACERO INOXIDABLE Color: PLATEADO Referencia:  Observacion: PINZA DE DISECCION Placa padre: I0003419Tipo adquisicion: Entidad</v>
      </c>
      <c r="G6395" s="5"/>
    </row>
    <row r="6396" spans="1:7" ht="58.5" customHeight="1" x14ac:dyDescent="0.25">
      <c r="A6396" s="5" t="str">
        <f>"I0003442"</f>
        <v>I0003442</v>
      </c>
      <c r="B6396" s="5" t="str">
        <f>"PINZA KOCHER"</f>
        <v>PINZA KOCHER</v>
      </c>
      <c r="C6396" s="6">
        <v>148480</v>
      </c>
      <c r="D6396" s="5"/>
      <c r="E6396" s="5" t="str">
        <f t="shared" si="314"/>
        <v>INSTRUMENTACION-DIANA CAICEDO-DIANA DIAZ</v>
      </c>
      <c r="F6396" s="5" t="str">
        <f>"Descripcion: PINZAS DE KOCHER Estado: Bueno Placa anterior: 000036219 Material: ACERO INOXIDABLE Color: PLATEADO Referencia:  Observacion:     Placa padre: I0003419Tipo adquisicion: Entidad"</f>
        <v>Descripcion: PINZAS DE KOCHER Estado: Bueno Placa anterior: 000036219 Material: ACERO INOXIDABLE Color: PLATEADO Referencia:  Observacion:     Placa padre: I0003419Tipo adquisicion: Entidad</v>
      </c>
      <c r="G6396" s="5"/>
    </row>
    <row r="6397" spans="1:7" ht="58.5" customHeight="1" x14ac:dyDescent="0.25">
      <c r="A6397" s="5" t="str">
        <f>"I0003443"</f>
        <v>I0003443</v>
      </c>
      <c r="B6397" s="5" t="str">
        <f>"PINZA KOCHER"</f>
        <v>PINZA KOCHER</v>
      </c>
      <c r="C6397" s="6">
        <v>148480</v>
      </c>
      <c r="D6397" s="5"/>
      <c r="E6397" s="5" t="str">
        <f t="shared" si="314"/>
        <v>INSTRUMENTACION-DIANA CAICEDO-DIANA DIAZ</v>
      </c>
      <c r="F6397" s="5" t="str">
        <f>"Descripcion: PINZAS DE KOCHER Estado: Bueno Placa anterior: 000036220 Material: ACERO INOXIDABLE Color: PLATEADO Referencia:  Observacion:     Placa padre: I0003419Tipo adquisicion: Entidad"</f>
        <v>Descripcion: PINZAS DE KOCHER Estado: Bueno Placa anterior: 000036220 Material: ACERO INOXIDABLE Color: PLATEADO Referencia:  Observacion:     Placa padre: I0003419Tipo adquisicion: Entidad</v>
      </c>
      <c r="G6397" s="5"/>
    </row>
    <row r="6398" spans="1:7" ht="58.5" customHeight="1" x14ac:dyDescent="0.25">
      <c r="A6398" s="5" t="str">
        <f>"I0003449"</f>
        <v>I0003449</v>
      </c>
      <c r="B6398" s="5" t="str">
        <f>"PINZA GUBIA"</f>
        <v>PINZA GUBIA</v>
      </c>
      <c r="C6398" s="6">
        <v>452400</v>
      </c>
      <c r="D6398" s="5"/>
      <c r="E6398" s="5" t="str">
        <f t="shared" si="314"/>
        <v>INSTRUMENTACION-DIANA CAICEDO-DIANA DIAZ</v>
      </c>
      <c r="F6398" s="5" t="str">
        <f>"Descripcion: GUBIA (DIMEDA) Estado: Bueno Placa anterior: 000031834 Material: ACERO INOXIDABLE Color: PLATEADO Referencia:  Observacion:     Placa padre: I0003419Tipo adquisicion: Entidad"</f>
        <v>Descripcion: GUBIA (DIMEDA) Estado: Bueno Placa anterior: 000031834 Material: ACERO INOXIDABLE Color: PLATEADO Referencia:  Observacion:     Placa padre: I0003419Tipo adquisicion: Entidad</v>
      </c>
      <c r="G6398" s="5"/>
    </row>
    <row r="6399" spans="1:7" ht="58.5" customHeight="1" x14ac:dyDescent="0.25">
      <c r="A6399" s="5" t="str">
        <f>"I0003450"</f>
        <v>I0003450</v>
      </c>
      <c r="B6399" s="5" t="str">
        <f>"CIZALLA (INSTRUMENTAL)"</f>
        <v>CIZALLA (INSTRUMENTAL)</v>
      </c>
      <c r="C6399" s="6">
        <v>487200</v>
      </c>
      <c r="D6399" s="5"/>
      <c r="E6399" s="5" t="str">
        <f t="shared" si="314"/>
        <v>INSTRUMENTACION-DIANA CAICEDO-DIANA DIAZ</v>
      </c>
      <c r="F6399" s="5" t="str">
        <f>"Descripcion: CIZALLA RECTA (DIMEDA) Estado: Bueno Placa anterior: 000032360 Material: ACERO INOXIDABLE Color: PLATEADO Referencia:  Observacion:     Placa padre: I0003419Tipo adquisicion: Entidad"</f>
        <v>Descripcion: CIZALLA RECTA (DIMEDA) Estado: Bueno Placa anterior: 000032360 Material: ACERO INOXIDABLE Color: PLATEADO Referencia:  Observacion:     Placa padre: I0003419Tipo adquisicion: Entidad</v>
      </c>
      <c r="G6399" s="5"/>
    </row>
    <row r="6400" spans="1:7" ht="58.5" customHeight="1" x14ac:dyDescent="0.25">
      <c r="A6400" s="5" t="str">
        <f>"I0003451"</f>
        <v>I0003451</v>
      </c>
      <c r="B6400" s="5" t="str">
        <f>"GANCHO (INSTRUMENTAL)"</f>
        <v>GANCHO (INSTRUMENTAL)</v>
      </c>
      <c r="C6400" s="6">
        <v>92800</v>
      </c>
      <c r="D6400" s="5"/>
      <c r="E6400" s="5" t="str">
        <f t="shared" si="314"/>
        <v>INSTRUMENTACION-DIANA CAICEDO-DIANA DIAZ</v>
      </c>
      <c r="F6400" s="5" t="str">
        <f>"Descripcion: GANCHO DE HUESO Estado: Bueno Placa anterior: 000032158 Material: ACERO INOXIDABLE Color: PLATEADO Referencia:  Observacion:     Placa padre: I0003419Tipo adquisicion: Entidad"</f>
        <v>Descripcion: GANCHO DE HUESO Estado: Bueno Placa anterior: 000032158 Material: ACERO INOXIDABLE Color: PLATEADO Referencia:  Observacion:     Placa padre: I0003419Tipo adquisicion: Entidad</v>
      </c>
      <c r="G6400" s="5"/>
    </row>
    <row r="6401" spans="1:7" ht="58.5" customHeight="1" x14ac:dyDescent="0.25">
      <c r="A6401" s="5" t="str">
        <f>"I0003452"</f>
        <v>I0003452</v>
      </c>
      <c r="B6401" s="5" t="str">
        <f>"MARTILLO (INSTRUMENTAL)"</f>
        <v>MARTILLO (INSTRUMENTAL)</v>
      </c>
      <c r="C6401" s="6">
        <v>452400</v>
      </c>
      <c r="D6401" s="5"/>
      <c r="E6401" s="5" t="str">
        <f t="shared" si="314"/>
        <v>INSTRUMENTACION-DIANA CAICEDO-DIANA DIAZ</v>
      </c>
      <c r="F6401" s="5" t="str">
        <f>"Descripcion: MARTILLO (DIMEDA) Estado: Bueno Placa anterior: 000031904 Material: ACERO INOXIDABLE Color: PLATEADO Referencia:  Observacion:     Placa padre: I0003419Tipo adquisicion: Entidad"</f>
        <v>Descripcion: MARTILLO (DIMEDA) Estado: Bueno Placa anterior: 000031904 Material: ACERO INOXIDABLE Color: PLATEADO Referencia:  Observacion:     Placa padre: I0003419Tipo adquisicion: Entidad</v>
      </c>
      <c r="G6401" s="5"/>
    </row>
    <row r="6402" spans="1:7" ht="58.5" customHeight="1" x14ac:dyDescent="0.25">
      <c r="A6402" s="5" t="str">
        <f>"I0003453"</f>
        <v>I0003453</v>
      </c>
      <c r="B6402" s="5" t="str">
        <f>"CLAMP DE KERNS"</f>
        <v>CLAMP DE KERNS</v>
      </c>
      <c r="C6402" s="6">
        <v>380480</v>
      </c>
      <c r="D6402" s="5"/>
      <c r="E6402" s="5" t="str">
        <f t="shared" si="314"/>
        <v>INSTRUMENTACION-DIANA CAICEDO-DIANA DIAZ</v>
      </c>
      <c r="F6402" s="5" t="str">
        <f>"Descripcion: CLAMPS DE KERNS Estado: Bueno Placa anterior: 000032371 Material: ACERO INOXIDABLE Color: PLATEADO Referencia:  Observacion:     Placa padre: I0003419Tipo adquisicion: Entidad"</f>
        <v>Descripcion: CLAMPS DE KERNS Estado: Bueno Placa anterior: 000032371 Material: ACERO INOXIDABLE Color: PLATEADO Referencia:  Observacion:     Placa padre: I0003419Tipo adquisicion: Entidad</v>
      </c>
      <c r="G6402" s="5"/>
    </row>
    <row r="6403" spans="1:7" ht="58.5" customHeight="1" x14ac:dyDescent="0.25">
      <c r="A6403" s="5" t="str">
        <f>"I0003454"</f>
        <v>I0003454</v>
      </c>
      <c r="B6403" s="5" t="str">
        <f>"CLAMP DE KERNS"</f>
        <v>CLAMP DE KERNS</v>
      </c>
      <c r="C6403" s="6">
        <v>380480</v>
      </c>
      <c r="D6403" s="5"/>
      <c r="E6403" s="5" t="str">
        <f t="shared" si="314"/>
        <v>INSTRUMENTACION-DIANA CAICEDO-DIANA DIAZ</v>
      </c>
      <c r="F6403" s="5" t="str">
        <f>"Descripcion: CLAMPS DE KERNS Estado: Bueno Placa anterior: 000032372 Material: ACERO INOXIDABLE Color: PLATEADO Referencia:  Observacion:     Placa padre: I0003419Tipo adquisicion: Entidad"</f>
        <v>Descripcion: CLAMPS DE KERNS Estado: Bueno Placa anterior: 000032372 Material: ACERO INOXIDABLE Color: PLATEADO Referencia:  Observacion:     Placa padre: I0003419Tipo adquisicion: Entidad</v>
      </c>
      <c r="G6403" s="5"/>
    </row>
    <row r="6404" spans="1:7" ht="58.5" customHeight="1" x14ac:dyDescent="0.25">
      <c r="A6404" s="5" t="str">
        <f>"I0003455"</f>
        <v>I0003455</v>
      </c>
      <c r="B6404" s="5" t="str">
        <f>"SEPARADOR DE VOLKMANN"</f>
        <v>SEPARADOR DE VOLKMANN</v>
      </c>
      <c r="C6404" s="6">
        <v>227360</v>
      </c>
      <c r="D6404" s="5"/>
      <c r="E6404" s="5" t="str">
        <f t="shared" si="314"/>
        <v>INSTRUMENTACION-DIANA CAICEDO-DIANA DIAZ</v>
      </c>
      <c r="F6404" s="5" t="str">
        <f>"Descripcion: SEPARADORES DE WOLMAN Estado: Bueno Placa anterior: 000032044 Material: ACERO INOXIDABLE Color: PLATEADO Referencia:  Observacion:     Placa padre: I0003419Tipo adquisicion: Entidad"</f>
        <v>Descripcion: SEPARADORES DE WOLMAN Estado: Bueno Placa anterior: 000032044 Material: ACERO INOXIDABLE Color: PLATEADO Referencia:  Observacion:     Placa padre: I0003419Tipo adquisicion: Entidad</v>
      </c>
      <c r="G6404" s="5"/>
    </row>
    <row r="6405" spans="1:7" ht="58.5" customHeight="1" x14ac:dyDescent="0.25">
      <c r="A6405" s="5" t="str">
        <f>"I0003456"</f>
        <v>I0003456</v>
      </c>
      <c r="B6405" s="5" t="str">
        <f>"SEPARADOR DE VOLKMANN"</f>
        <v>SEPARADOR DE VOLKMANN</v>
      </c>
      <c r="C6405" s="6">
        <v>227360</v>
      </c>
      <c r="D6405" s="5"/>
      <c r="E6405" s="5" t="str">
        <f t="shared" si="314"/>
        <v>INSTRUMENTACION-DIANA CAICEDO-DIANA DIAZ</v>
      </c>
      <c r="F6405" s="5" t="str">
        <f>"Descripcion: SEPARADORES DE WOLMAN Estado: Bueno Placa anterior: 000032045 Material: ACERO INOXIDABLE Color: PLATEADO Referencia:  Observacion:     Placa padre: I0003419Tipo adquisicion: Entidad"</f>
        <v>Descripcion: SEPARADORES DE WOLMAN Estado: Bueno Placa anterior: 000032045 Material: ACERO INOXIDABLE Color: PLATEADO Referencia:  Observacion:     Placa padre: I0003419Tipo adquisicion: Entidad</v>
      </c>
      <c r="G6405" s="5"/>
    </row>
    <row r="6406" spans="1:7" ht="58.5" customHeight="1" x14ac:dyDescent="0.25">
      <c r="A6406" s="5" t="str">
        <f>"I0003459"</f>
        <v>I0003459</v>
      </c>
      <c r="B6406" s="5" t="str">
        <f>"CLAMP DE KERNS"</f>
        <v>CLAMP DE KERNS</v>
      </c>
      <c r="C6406" s="6">
        <v>591600</v>
      </c>
      <c r="D6406" s="5"/>
      <c r="E6406" s="5" t="str">
        <f t="shared" si="314"/>
        <v>INSTRUMENTACION-DIANA CAICEDO-DIANA DIAZ</v>
      </c>
      <c r="F6406" s="5" t="str">
        <f>"Descripcion: CLAMP DE LOWMAN Estado: Bueno Placa anterior: 000032211 Material: ACERO INOXIDABLE Color: PLATEADO Referencia:  Observacion:     Placa padre: I0003419Tipo adquisicion: Entidad"</f>
        <v>Descripcion: CLAMP DE LOWMAN Estado: Bueno Placa anterior: 000032211 Material: ACERO INOXIDABLE Color: PLATEADO Referencia:  Observacion:     Placa padre: I0003419Tipo adquisicion: Entidad</v>
      </c>
      <c r="G6406" s="5"/>
    </row>
    <row r="6407" spans="1:7" ht="58.5" customHeight="1" x14ac:dyDescent="0.25">
      <c r="A6407" s="5" t="str">
        <f>"I0003460"</f>
        <v>I0003460</v>
      </c>
      <c r="B6407" s="5" t="str">
        <f>"CLAMP DE KERNS"</f>
        <v>CLAMP DE KERNS</v>
      </c>
      <c r="C6407" s="6">
        <v>591600</v>
      </c>
      <c r="D6407" s="5"/>
      <c r="E6407" s="5" t="str">
        <f t="shared" si="314"/>
        <v>INSTRUMENTACION-DIANA CAICEDO-DIANA DIAZ</v>
      </c>
      <c r="F6407" s="5" t="str">
        <f>"Descripcion: CLAMP DE LOWMAN Estado: Bueno Placa anterior: 000032212 Material: ACERO INOXIDABLE Color: PLATEADO Referencia:  Observacion:     Placa padre: I0003419Tipo adquisicion: Entidad"</f>
        <v>Descripcion: CLAMP DE LOWMAN Estado: Bueno Placa anterior: 000032212 Material: ACERO INOXIDABLE Color: PLATEADO Referencia:  Observacion:     Placa padre: I0003419Tipo adquisicion: Entidad</v>
      </c>
      <c r="G6407" s="5"/>
    </row>
    <row r="6408" spans="1:7" ht="58.5" customHeight="1" x14ac:dyDescent="0.25">
      <c r="A6408" s="5" t="str">
        <f>"I0003461"</f>
        <v>I0003461</v>
      </c>
      <c r="B6408" s="5" t="str">
        <f>"RUGINA"</f>
        <v>RUGINA</v>
      </c>
      <c r="C6408" s="6">
        <v>121800</v>
      </c>
      <c r="D6408" s="5"/>
      <c r="E6408" s="5" t="str">
        <f t="shared" si="314"/>
        <v>INSTRUMENTACION-DIANA CAICEDO-DIANA DIAZ</v>
      </c>
      <c r="F6408" s="5" t="str">
        <f>"Descripcion: RUGINA CURVA Estado: Bueno Placa anterior: 000032493 Material: ACERO INOXIDABLE Color: PLATEADO Referencia:  Observacion:     Placa padre: I0003419Tipo adquisicion: Entidad"</f>
        <v>Descripcion: RUGINA CURVA Estado: Bueno Placa anterior: 000032493 Material: ACERO INOXIDABLE Color: PLATEADO Referencia:  Observacion:     Placa padre: I0003419Tipo adquisicion: Entidad</v>
      </c>
      <c r="G6408" s="5"/>
    </row>
    <row r="6409" spans="1:7" ht="58.5" customHeight="1" x14ac:dyDescent="0.25">
      <c r="A6409" s="5" t="str">
        <f>"I0003462"</f>
        <v>I0003462</v>
      </c>
      <c r="B6409" s="5" t="str">
        <f>"DISECTOR DE COBB"</f>
        <v>DISECTOR DE COBB</v>
      </c>
      <c r="C6409" s="6">
        <v>324800</v>
      </c>
      <c r="D6409" s="5"/>
      <c r="E6409" s="5" t="str">
        <f t="shared" si="314"/>
        <v>INSTRUMENTACION-DIANA CAICEDO-DIANA DIAZ</v>
      </c>
      <c r="F6409" s="5" t="str">
        <f>"Descripcion: DISECTOR DE COBBS Estado: Bueno Placa anterior: 000032137 Material: ACERO INOXIDABLE Color: PLATEADO Referencia:  Observacion: ELEVADOR DE COOB GRANDE Placa padre: I0003419Tipo adquisicion: Entidad"</f>
        <v>Descripcion: DISECTOR DE COBBS Estado: Bueno Placa anterior: 000032137 Material: ACERO INOXIDABLE Color: PLATEADO Referencia:  Observacion: ELEVADOR DE COOB GRANDE Placa padre: I0003419Tipo adquisicion: Entidad</v>
      </c>
      <c r="G6409" s="5"/>
    </row>
    <row r="6410" spans="1:7" ht="58.5" customHeight="1" x14ac:dyDescent="0.25">
      <c r="A6410" s="5" t="str">
        <f>"I0003463"</f>
        <v>I0003463</v>
      </c>
      <c r="B6410" s="5" t="str">
        <f>"RASPA (INSTRUMENTAL)"</f>
        <v>RASPA (INSTRUMENTAL)</v>
      </c>
      <c r="C6410" s="6">
        <v>1610</v>
      </c>
      <c r="D6410" s="5"/>
      <c r="E6410" s="5" t="str">
        <f t="shared" si="314"/>
        <v>INSTRUMENTACION-DIANA CAICEDO-DIANA DIAZ</v>
      </c>
      <c r="F6410" s="5" t="str">
        <f>"Descripcion: RASPA  Estado: Bueno Placa anterior: 000016464 Material: ACERO INOXIDABLE Color: PLATEADO Referencia:  Observacion:     Placa padre: I0003419Tipo adquisicion: Entidad"</f>
        <v>Descripcion: RASPA  Estado: Bueno Placa anterior: 000016464 Material: ACERO INOXIDABLE Color: PLATEADO Referencia:  Observacion:     Placa padre: I0003419Tipo adquisicion: Entidad</v>
      </c>
      <c r="G6410" s="5"/>
    </row>
    <row r="6411" spans="1:7" ht="58.5" customHeight="1" x14ac:dyDescent="0.25">
      <c r="A6411" s="5" t="str">
        <f>"I0003465"</f>
        <v>I0003465</v>
      </c>
      <c r="B6411" s="5" t="str">
        <f>"CINCEL (INSTRUMENTAL)"</f>
        <v>CINCEL (INSTRUMENTAL)</v>
      </c>
      <c r="C6411" s="6">
        <v>232000</v>
      </c>
      <c r="D6411" s="5"/>
      <c r="E6411" s="5" t="str">
        <f t="shared" si="314"/>
        <v>INSTRUMENTACION-DIANA CAICEDO-DIANA DIAZ</v>
      </c>
      <c r="F6411" s="5" t="str">
        <f>"Descripcion: CINCELES (2 RECTOS) Estado: Bueno Placa anterior: 000032341 Material: ACERO INOXIDABLE Color: PLATEADO Referencia:  Observacion:     Placa padre: I0003419Tipo adquisicion: Entidad"</f>
        <v>Descripcion: CINCELES (2 RECTOS) Estado: Bueno Placa anterior: 000032341 Material: ACERO INOXIDABLE Color: PLATEADO Referencia:  Observacion:     Placa padre: I0003419Tipo adquisicion: Entidad</v>
      </c>
      <c r="G6411" s="5"/>
    </row>
    <row r="6412" spans="1:7" ht="58.5" customHeight="1" x14ac:dyDescent="0.25">
      <c r="A6412" s="5" t="str">
        <f>"I0003466"</f>
        <v>I0003466</v>
      </c>
      <c r="B6412" s="5" t="str">
        <f>"CINCEL (INSTRUMENTAL)"</f>
        <v>CINCEL (INSTRUMENTAL)</v>
      </c>
      <c r="C6412" s="6">
        <v>232000</v>
      </c>
      <c r="D6412" s="5"/>
      <c r="E6412" s="5" t="str">
        <f t="shared" si="314"/>
        <v>INSTRUMENTACION-DIANA CAICEDO-DIANA DIAZ</v>
      </c>
      <c r="F6412" s="5" t="str">
        <f>"Descripcion: CINCELES (3 CURVOS) Estado: Bueno Placa anterior: 000032342 Material: ACERO INOXIDABLE Color: PLATEADO Referencia:  Observacion:     Placa padre: I0003419Tipo adquisicion: Entidad"</f>
        <v>Descripcion: CINCELES (3 CURVOS) Estado: Bueno Placa anterior: 000032342 Material: ACERO INOXIDABLE Color: PLATEADO Referencia:  Observacion:     Placa padre: I0003419Tipo adquisicion: Entidad</v>
      </c>
      <c r="G6412" s="5"/>
    </row>
    <row r="6413" spans="1:7" ht="58.5" customHeight="1" x14ac:dyDescent="0.25">
      <c r="A6413" s="5" t="str">
        <f>"I0003467"</f>
        <v>I0003467</v>
      </c>
      <c r="B6413" s="5" t="str">
        <f>"CINCEL (INSTRUMENTAL)"</f>
        <v>CINCEL (INSTRUMENTAL)</v>
      </c>
      <c r="C6413" s="6">
        <v>232000</v>
      </c>
      <c r="D6413" s="5"/>
      <c r="E6413" s="5" t="str">
        <f t="shared" si="314"/>
        <v>INSTRUMENTACION-DIANA CAICEDO-DIANA DIAZ</v>
      </c>
      <c r="F6413" s="5" t="str">
        <f>"Descripcion: CINCELES (3 CURVOS) Estado: Bueno Placa anterior: 000032343 Material: ACERO INOXIDABLE Color: PLATEADO Referencia:  Observacion:     Placa padre: I0003419Tipo adquisicion: Entidad"</f>
        <v>Descripcion: CINCELES (3 CURVOS) Estado: Bueno Placa anterior: 000032343 Material: ACERO INOXIDABLE Color: PLATEADO Referencia:  Observacion:     Placa padre: I0003419Tipo adquisicion: Entidad</v>
      </c>
      <c r="G6413" s="5"/>
    </row>
    <row r="6414" spans="1:7" ht="58.5" customHeight="1" x14ac:dyDescent="0.25">
      <c r="A6414" s="5" t="str">
        <f>"I0003477"</f>
        <v>I0003477</v>
      </c>
      <c r="B6414" s="5" t="str">
        <f>"CANULA DE YANKAUER"</f>
        <v>CANULA DE YANKAUER</v>
      </c>
      <c r="C6414" s="6">
        <v>92800</v>
      </c>
      <c r="D6414" s="5"/>
      <c r="E6414" s="5" t="str">
        <f t="shared" si="314"/>
        <v>INSTRUMENTACION-DIANA CAICEDO-DIANA DIAZ</v>
      </c>
      <c r="F6414" s="5" t="str">
        <f>"Descripcion: CANULA DE YANKAWER (DIMEDA) Estado: Bueno Placa anterior: 000031655 Material: ACERO INOXIDABLE Color: PLATEADO Referencia:  Observacion:     Placa padre: I0003419Tipo adquisicion: Entidad"</f>
        <v>Descripcion: CANULA DE YANKAWER (DIMEDA) Estado: Bueno Placa anterior: 000031655 Material: ACERO INOXIDABLE Color: PLATEADO Referencia:  Observacion:     Placa padre: I0003419Tipo adquisicion: Entidad</v>
      </c>
      <c r="G6414" s="5"/>
    </row>
    <row r="6415" spans="1:7" ht="58.5" customHeight="1" x14ac:dyDescent="0.25">
      <c r="A6415" s="5" t="str">
        <f>"I0003481"</f>
        <v>I0003481</v>
      </c>
      <c r="B6415" s="5" t="str">
        <f>"EQUIPO DE ORTOPEDIA"</f>
        <v>EQUIPO DE ORTOPEDIA</v>
      </c>
      <c r="C6415" s="6">
        <v>1924000</v>
      </c>
      <c r="D6415" s="5"/>
      <c r="E6415" s="5" t="str">
        <f t="shared" si="314"/>
        <v>INSTRUMENTACION-DIANA CAICEDO-DIANA DIAZ</v>
      </c>
      <c r="F6415" s="5" t="str">
        <f>"Descripcion: EQUIPO MEDIANO DE ORTOPEDIA #4 QUE CONSTA DE:    (1) MANGO DE BISTURI N. 4 (DIMEDA)  (1) MANGO DE BISTURI N.3 (DIMEDA)  (1) TIJERA DE METZEMBAUT MEDIANA  (1) TIJERA DE MAYO RECTA (DIMEDA)  (1) DISECCION MEDIANA CON GARRA  (DIMEDA)  (0) DISECC"&amp; "ION PEQUEÑA CON GARRA (DIMEDA)  (1) DISECCION PEQUEÑA SIN GARRA (DIMEDA)  (1) DISECCION ADSON CON GARRA (DIMEDA)  (2) SEPARADORES DE FARABEUF (DIMEDA)  (4) KELLY CURVAS(DIMEDA)  (2) KELLY RECTAS (DIMEDA)  (3) ROCHESTER CURVAS   (DIMEDA)  (2) KOCHER (DIMED"&amp; "A)  (2) ALLIX (DIMEDA)  (0) PORTA AGUJAS MEDIANO  (1) GANCHO DE HUESO (DIMEDA)  (3) CURETAS (DIMEDA)  (2) CINCELES (DIMEDA)  (1) DISECTOR DE COOB (DIMEDA)  (2) CLAMP  DE KERNS MEDIANOS  (DIMEDA)  (2) VOLMANN (DIMEDA)  (1) GUBIA PICO DE PATO (DIMEDA)  (1) "&amp; "MARTILLO (DIMEDA)  (1) RUGINA CURVA (DIMEDA)  (2) CLAMP DE LOWMANN MEDIANOS (DIMEDA)  (1) RASPA (DIMEDA)  (1) CANULA YANKAWER (DIMEDA)  (1) PLATON Estado: Bueno Placa anterior:  Material: ACERO INOXIDABLE Color: PLATEADO Referencia:  Observacion:     Plac"&amp; "a padre: Tipo adquisicion: Entidad"</f>
        <v>Descripcion: EQUIPO MEDIANO DE ORTOPEDIA #4 QUE CONSTA DE:    (1) MANGO DE BISTURI N. 4 (DIMEDA)  (1) MANGO DE BISTURI N.3 (DIMEDA)  (1) TIJERA DE METZEMBAUT MEDIANA  (1) TIJERA DE MAYO RECTA (DIMEDA)  (1) DISECCION MEDIANA CON GARRA  (DIMEDA)  (0) DISECCION PEQUEÑA CON GARRA (DIMEDA)  (1) DISECCION PEQUEÑA SIN GARRA (DIMEDA)  (1) DISECCION ADSON CON GARRA (DIMEDA)  (2) SEPARADORES DE FARABEUF (DIMEDA)  (4) KELLY CURVAS(DIMEDA)  (2) KELLY RECTAS (DIMEDA)  (3) ROCHESTER CURVAS   (DIMEDA)  (2) KOCHER (DIMEDA)  (2) ALLIX (DIMEDA)  (0) PORTA AGUJAS MEDIANO  (1) GANCHO DE HUESO (DIMEDA)  (3) CURETAS (DIMEDA)  (2) CINCELES (DIMEDA)  (1) DISECTOR DE COOB (DIMEDA)  (2) CLAMP  DE KERNS MEDIANOS  (DIMEDA)  (2) VOLMANN (DIMEDA)  (1) GUBIA PICO DE PATO (DIMEDA)  (1) MARTILLO (DIMEDA)  (1) RUGINA CURVA (DIMEDA)  (2) CLAMP DE LOWMANN MEDIANOS (DIMEDA)  (1) RASPA (DIMEDA)  (1) CANULA YANKAWER (DIMEDA)  (1) PLATON Estado: Bueno Placa anterior:  Material: ACERO INOXIDABLE Color: PLATEADO Referencia:  Observacion:     Placa padre: Tipo adquisicion: Entidad</v>
      </c>
      <c r="G6415" s="5"/>
    </row>
    <row r="6416" spans="1:7" ht="58.5" customHeight="1" x14ac:dyDescent="0.25">
      <c r="A6416" s="5" t="str">
        <f>"I0003491"</f>
        <v>I0003491</v>
      </c>
      <c r="B6416" s="5" t="str">
        <f>"PINZA DE DISECCION SIN GARRA CORTA 20 CM"</f>
        <v>PINZA DE DISECCION SIN GARRA CORTA 20 CM</v>
      </c>
      <c r="C6416" s="6">
        <v>33640</v>
      </c>
      <c r="D6416" s="5"/>
      <c r="E6416" s="5" t="str">
        <f t="shared" si="314"/>
        <v>INSTRUMENTACION-DIANA CAICEDO-DIANA DIAZ</v>
      </c>
      <c r="F6416" s="5" t="str">
        <f>"Descripcion: PINZA DE DISECCION ADSON CON GARRA Estado: Bueno Placa anterior: 000031940 Material: ACERO INOXIDABLE Color: PLATEADO Referencia:  Observacion: PINZA DE DISECCION Placa padre: I0003481Tipo adquisicion: Entidad"</f>
        <v>Descripcion: PINZA DE DISECCION ADSON CON GARRA Estado: Bueno Placa anterior: 000031940 Material: ACERO INOXIDABLE Color: PLATEADO Referencia:  Observacion: PINZA DE DISECCION Placa padre: I0003481Tipo adquisicion: Entidad</v>
      </c>
      <c r="G6416" s="5"/>
    </row>
    <row r="6417" spans="1:7" ht="58.5" customHeight="1" x14ac:dyDescent="0.25">
      <c r="A6417" s="5" t="str">
        <f>"I0003504"</f>
        <v>I0003504</v>
      </c>
      <c r="B6417" s="5" t="str">
        <f>"PINZA KOCHER"</f>
        <v>PINZA KOCHER</v>
      </c>
      <c r="C6417" s="6">
        <v>148480</v>
      </c>
      <c r="D6417" s="5"/>
      <c r="E6417" s="5" t="str">
        <f t="shared" si="314"/>
        <v>INSTRUMENTACION-DIANA CAICEDO-DIANA DIAZ</v>
      </c>
      <c r="F6417" s="5" t="str">
        <f>"Descripcion: PINZAS DE KOCHER Estado: Bueno Placa anterior: 000036221 Material: ACERO INOXIDABLE Color: PLATEADO Referencia:  Observacion:     Placa padre: I0003481Tipo adquisicion: Entidad"</f>
        <v>Descripcion: PINZAS DE KOCHER Estado: Bueno Placa anterior: 000036221 Material: ACERO INOXIDABLE Color: PLATEADO Referencia:  Observacion:     Placa padre: I0003481Tipo adquisicion: Entidad</v>
      </c>
      <c r="G6417" s="5"/>
    </row>
    <row r="6418" spans="1:7" ht="58.5" customHeight="1" x14ac:dyDescent="0.25">
      <c r="A6418" s="5" t="str">
        <f>"I0003505"</f>
        <v>I0003505</v>
      </c>
      <c r="B6418" s="5" t="str">
        <f>"PINZA KOCHER"</f>
        <v>PINZA KOCHER</v>
      </c>
      <c r="C6418" s="6">
        <v>148480</v>
      </c>
      <c r="D6418" s="5"/>
      <c r="E6418" s="5" t="str">
        <f t="shared" si="314"/>
        <v>INSTRUMENTACION-DIANA CAICEDO-DIANA DIAZ</v>
      </c>
      <c r="F6418" s="5" t="str">
        <f>"Descripcion: PINZAS DE KOCHER Estado: Bueno Placa anterior: 000036223 Material: ACERO INOXIDABLE Color: PLATEADO Referencia:  Observacion:     Placa padre: I0003481Tipo adquisicion: Entidad"</f>
        <v>Descripcion: PINZAS DE KOCHER Estado: Bueno Placa anterior: 000036223 Material: ACERO INOXIDABLE Color: PLATEADO Referencia:  Observacion:     Placa padre: I0003481Tipo adquisicion: Entidad</v>
      </c>
      <c r="G6418" s="5"/>
    </row>
    <row r="6419" spans="1:7" ht="58.5" customHeight="1" x14ac:dyDescent="0.25">
      <c r="A6419" s="5" t="str">
        <f>"I0003509"</f>
        <v>I0003509</v>
      </c>
      <c r="B6419" s="5" t="str">
        <f>"PINZA GUBIA"</f>
        <v>PINZA GUBIA</v>
      </c>
      <c r="C6419" s="6">
        <v>452400</v>
      </c>
      <c r="D6419" s="5"/>
      <c r="E6419" s="5" t="str">
        <f t="shared" si="314"/>
        <v>INSTRUMENTACION-DIANA CAICEDO-DIANA DIAZ</v>
      </c>
      <c r="F6419" s="5" t="str">
        <f>"Descripcion: GUBIA (DIMEDA) Estado: B Placa anterior: 000031838 Material: ACERO INOXIDABLE Color: PLATEADO Referencia:  Observacion:     Placa padre: I0003481Tipo adquisicion: Entidad"</f>
        <v>Descripcion: GUBIA (DIMEDA) Estado: B Placa anterior: 000031838 Material: ACERO INOXIDABLE Color: PLATEADO Referencia:  Observacion:     Placa padre: I0003481Tipo adquisicion: Entidad</v>
      </c>
      <c r="G6419" s="5"/>
    </row>
    <row r="6420" spans="1:7" ht="58.5" customHeight="1" x14ac:dyDescent="0.25">
      <c r="A6420" s="5" t="str">
        <f>"I0003510"</f>
        <v>I0003510</v>
      </c>
      <c r="B6420" s="5" t="str">
        <f>"GANCHO (INSTRUMENTAL)"</f>
        <v>GANCHO (INSTRUMENTAL)</v>
      </c>
      <c r="C6420" s="6">
        <v>8732</v>
      </c>
      <c r="D6420" s="5"/>
      <c r="E6420" s="5" t="str">
        <f t="shared" si="314"/>
        <v>INSTRUMENTACION-DIANA CAICEDO-DIANA DIAZ</v>
      </c>
      <c r="F6420" s="5" t="str">
        <f>"Descripcion: GANCHO DE HUESO Estado: B Placa anterior: 000016408 Material: ACERO INOXIDABLE Color: PLATEADO Referencia:  Observacion:     Placa padre: I0003481Tipo adquisicion: Entidad"</f>
        <v>Descripcion: GANCHO DE HUESO Estado: B Placa anterior: 000016408 Material: ACERO INOXIDABLE Color: PLATEADO Referencia:  Observacion:     Placa padre: I0003481Tipo adquisicion: Entidad</v>
      </c>
      <c r="G6420" s="5"/>
    </row>
    <row r="6421" spans="1:7" ht="58.5" customHeight="1" x14ac:dyDescent="0.25">
      <c r="A6421" s="5" t="str">
        <f>"I0003512"</f>
        <v>I0003512</v>
      </c>
      <c r="B6421" s="5" t="str">
        <f>"CLAMP DE KERNS"</f>
        <v>CLAMP DE KERNS</v>
      </c>
      <c r="C6421" s="6">
        <v>380480</v>
      </c>
      <c r="D6421" s="5"/>
      <c r="E6421" s="5" t="str">
        <f t="shared" si="314"/>
        <v>INSTRUMENTACION-DIANA CAICEDO-DIANA DIAZ</v>
      </c>
      <c r="F6421" s="5" t="str">
        <f>"Descripcion: CLAMPS DE KERNS Estado: Bueno Placa anterior: 000032373 Material: ACERO INOXIDABLE Color: PLATEADO Referencia:  Observacion:     Placa padre: I0003481Tipo adquisicion: Entidad"</f>
        <v>Descripcion: CLAMPS DE KERNS Estado: Bueno Placa anterior: 000032373 Material: ACERO INOXIDABLE Color: PLATEADO Referencia:  Observacion:     Placa padre: I0003481Tipo adquisicion: Entidad</v>
      </c>
      <c r="G6421" s="5"/>
    </row>
    <row r="6422" spans="1:7" ht="58.5" customHeight="1" x14ac:dyDescent="0.25">
      <c r="A6422" s="5" t="str">
        <f>"I0003513"</f>
        <v>I0003513</v>
      </c>
      <c r="B6422" s="5" t="str">
        <f>"CLAMP DE KERNS"</f>
        <v>CLAMP DE KERNS</v>
      </c>
      <c r="C6422" s="6">
        <v>380480</v>
      </c>
      <c r="D6422" s="5"/>
      <c r="E6422" s="5" t="str">
        <f t="shared" si="314"/>
        <v>INSTRUMENTACION-DIANA CAICEDO-DIANA DIAZ</v>
      </c>
      <c r="F6422" s="5" t="str">
        <f>"Descripcion: CLAMPS DE KERNS Estado: Bueno Placa anterior: 000032374 Material: ACERO INOXIDABLE Color: PLATEADO Referencia:  Observacion:     Placa padre: I0003481Tipo adquisicion: Entidad"</f>
        <v>Descripcion: CLAMPS DE KERNS Estado: Bueno Placa anterior: 000032374 Material: ACERO INOXIDABLE Color: PLATEADO Referencia:  Observacion:     Placa padre: I0003481Tipo adquisicion: Entidad</v>
      </c>
      <c r="G6422" s="5"/>
    </row>
    <row r="6423" spans="1:7" ht="58.5" customHeight="1" x14ac:dyDescent="0.25">
      <c r="A6423" s="5" t="str">
        <f>"I0003514"</f>
        <v>I0003514</v>
      </c>
      <c r="B6423" s="5" t="str">
        <f>"SEPARADOR DE VOLKMANN"</f>
        <v>SEPARADOR DE VOLKMANN</v>
      </c>
      <c r="C6423" s="6">
        <v>208800</v>
      </c>
      <c r="D6423" s="5"/>
      <c r="E6423" s="5" t="str">
        <f t="shared" si="314"/>
        <v>INSTRUMENTACION-DIANA CAICEDO-DIANA DIAZ</v>
      </c>
      <c r="F6423" s="5" t="str">
        <f>"Descripcion: SEPARADORES DE WOLMAN Estado: Bueno Placa anterior: 000032046 Material: ACERO INOXIDABLE Color: PLATEADO Referencia:  Observacion:     Placa padre: I0003481Tipo adquisicion: Entidad"</f>
        <v>Descripcion: SEPARADORES DE WOLMAN Estado: Bueno Placa anterior: 000032046 Material: ACERO INOXIDABLE Color: PLATEADO Referencia:  Observacion:     Placa padre: I0003481Tipo adquisicion: Entidad</v>
      </c>
      <c r="G6423" s="5"/>
    </row>
    <row r="6424" spans="1:7" ht="58.5" customHeight="1" x14ac:dyDescent="0.25">
      <c r="A6424" s="5" t="str">
        <f>"I0003515"</f>
        <v>I0003515</v>
      </c>
      <c r="B6424" s="5" t="str">
        <f>"SEPARADOR DE VOLKMANN"</f>
        <v>SEPARADOR DE VOLKMANN</v>
      </c>
      <c r="C6424" s="6">
        <v>208800</v>
      </c>
      <c r="D6424" s="5"/>
      <c r="E6424" s="5" t="str">
        <f t="shared" si="314"/>
        <v>INSTRUMENTACION-DIANA CAICEDO-DIANA DIAZ</v>
      </c>
      <c r="F6424" s="5" t="str">
        <f>"Descripcion: SEPARADORES DE WOLMAN Estado: Bueno Placa anterior: 000032047 Material: ACERO INOXIDABLE Color: PLATEADO Referencia:  Observacion:     Placa padre: I0003481Tipo adquisicion: Entidad"</f>
        <v>Descripcion: SEPARADORES DE WOLMAN Estado: Bueno Placa anterior: 000032047 Material: ACERO INOXIDABLE Color: PLATEADO Referencia:  Observacion:     Placa padre: I0003481Tipo adquisicion: Entidad</v>
      </c>
      <c r="G6424" s="5"/>
    </row>
    <row r="6425" spans="1:7" ht="58.5" customHeight="1" x14ac:dyDescent="0.25">
      <c r="A6425" s="5" t="str">
        <f>"I0003516"</f>
        <v>I0003516</v>
      </c>
      <c r="B6425" s="5" t="str">
        <f>"CLAMP DE KERNS"</f>
        <v>CLAMP DE KERNS</v>
      </c>
      <c r="C6425" s="6">
        <v>533600</v>
      </c>
      <c r="D6425" s="5"/>
      <c r="E6425" s="5" t="str">
        <f t="shared" si="314"/>
        <v>INSTRUMENTACION-DIANA CAICEDO-DIANA DIAZ</v>
      </c>
      <c r="F6425" s="5" t="str">
        <f>"Descripcion: CLAMP DE LOWMAN Estado: Bueno Placa anterior: 000032388 Material: ACERO INOXIDABLE Color: PLATEADO Referencia:  Observacion:     Placa padre: I0003481Tipo adquisicion: Entidad"</f>
        <v>Descripcion: CLAMP DE LOWMAN Estado: Bueno Placa anterior: 000032388 Material: ACERO INOXIDABLE Color: PLATEADO Referencia:  Observacion:     Placa padre: I0003481Tipo adquisicion: Entidad</v>
      </c>
      <c r="G6425" s="5"/>
    </row>
    <row r="6426" spans="1:7" ht="58.5" customHeight="1" x14ac:dyDescent="0.25">
      <c r="A6426" s="5" t="str">
        <f>"I0003517"</f>
        <v>I0003517</v>
      </c>
      <c r="B6426" s="5" t="str">
        <f>"CLAMP DE KERNS"</f>
        <v>CLAMP DE KERNS</v>
      </c>
      <c r="C6426" s="6">
        <v>533600</v>
      </c>
      <c r="D6426" s="5"/>
      <c r="E6426" s="5" t="str">
        <f t="shared" si="314"/>
        <v>INSTRUMENTACION-DIANA CAICEDO-DIANA DIAZ</v>
      </c>
      <c r="F6426" s="5" t="str">
        <f>"Descripcion: CLAMP DE LOWMAN Estado: Bueno Placa anterior: 000032389 Material: ACERO INOXIDABLE Color: PLATEADO Referencia:  Observacion:     Placa padre: I0003481Tipo adquisicion: Entidad"</f>
        <v>Descripcion: CLAMP DE LOWMAN Estado: Bueno Placa anterior: 000032389 Material: ACERO INOXIDABLE Color: PLATEADO Referencia:  Observacion:     Placa padre: I0003481Tipo adquisicion: Entidad</v>
      </c>
      <c r="G6426" s="5"/>
    </row>
    <row r="6427" spans="1:7" ht="58.5" customHeight="1" x14ac:dyDescent="0.25">
      <c r="A6427" s="5" t="str">
        <f>"I0003518"</f>
        <v>I0003518</v>
      </c>
      <c r="B6427" s="5" t="str">
        <f>"RUGINA"</f>
        <v>RUGINA</v>
      </c>
      <c r="C6427" s="6">
        <v>121800</v>
      </c>
      <c r="D6427" s="5"/>
      <c r="E6427" s="5" t="str">
        <f t="shared" si="314"/>
        <v>INSTRUMENTACION-DIANA CAICEDO-DIANA DIAZ</v>
      </c>
      <c r="F6427" s="5" t="str">
        <f>"Descripcion: RUGINA CURVA Estado: Bueno Placa anterior: 000032494 Material: ACERO INOXIDABLE Color: PLATEADO Referencia:  Observacion:     Placa padre: I0003481Tipo adquisicion: Entidad"</f>
        <v>Descripcion: RUGINA CURVA Estado: Bueno Placa anterior: 000032494 Material: ACERO INOXIDABLE Color: PLATEADO Referencia:  Observacion:     Placa padre: I0003481Tipo adquisicion: Entidad</v>
      </c>
      <c r="G6427" s="5"/>
    </row>
    <row r="6428" spans="1:7" ht="58.5" customHeight="1" x14ac:dyDescent="0.25">
      <c r="A6428" s="5" t="str">
        <f>"I0003519"</f>
        <v>I0003519</v>
      </c>
      <c r="B6428" s="5" t="str">
        <f>"DISECTOR DE COBB"</f>
        <v>DISECTOR DE COBB</v>
      </c>
      <c r="C6428" s="6">
        <v>324800</v>
      </c>
      <c r="D6428" s="5"/>
      <c r="E6428" s="5" t="str">
        <f t="shared" si="314"/>
        <v>INSTRUMENTACION-DIANA CAICEDO-DIANA DIAZ</v>
      </c>
      <c r="F6428" s="5" t="str">
        <f>"Descripcion: DISECTOR DE COBBS Estado: Bueno Placa anterior: 000032132 Material: ACERO INOXIDABLE Color: PLATEADO Referencia:  Observacion: ELEVADOR DE COOB GRANDE Placa padre: I0003481Tipo adquisicion: Entidad"</f>
        <v>Descripcion: DISECTOR DE COBBS Estado: Bueno Placa anterior: 000032132 Material: ACERO INOXIDABLE Color: PLATEADO Referencia:  Observacion: ELEVADOR DE COOB GRANDE Placa padre: I0003481Tipo adquisicion: Entidad</v>
      </c>
      <c r="G6428" s="5"/>
    </row>
    <row r="6429" spans="1:7" ht="58.5" customHeight="1" x14ac:dyDescent="0.25">
      <c r="A6429" s="5" t="str">
        <f>"I0003521"</f>
        <v>I0003521</v>
      </c>
      <c r="B6429" s="5" t="str">
        <f>"CINCEL (INSTRUMENTAL)"</f>
        <v>CINCEL (INSTRUMENTAL)</v>
      </c>
      <c r="C6429" s="6">
        <v>232000</v>
      </c>
      <c r="D6429" s="5"/>
      <c r="E6429" s="5" t="str">
        <f t="shared" si="314"/>
        <v>INSTRUMENTACION-DIANA CAICEDO-DIANA DIAZ</v>
      </c>
      <c r="F6429" s="5" t="str">
        <f>"Descripcion: CINCELES (2 RECTOS) Estado: Bueno Placa anterior: 000032344 Material: ACERO INOXIDABLE Color: PLATEADO Referencia:  Observacion:     Placa padre: I0003481Tipo adquisicion: Entidad"</f>
        <v>Descripcion: CINCELES (2 RECTOS) Estado: Bueno Placa anterior: 000032344 Material: ACERO INOXIDABLE Color: PLATEADO Referencia:  Observacion:     Placa padre: I0003481Tipo adquisicion: Entidad</v>
      </c>
      <c r="G6429" s="5"/>
    </row>
    <row r="6430" spans="1:7" ht="58.5" customHeight="1" x14ac:dyDescent="0.25">
      <c r="A6430" s="5" t="str">
        <f>"I0003522"</f>
        <v>I0003522</v>
      </c>
      <c r="B6430" s="5" t="str">
        <f>"CINCEL (INSTRUMENTAL)"</f>
        <v>CINCEL (INSTRUMENTAL)</v>
      </c>
      <c r="C6430" s="6">
        <v>232000</v>
      </c>
      <c r="D6430" s="5"/>
      <c r="E6430" s="5" t="str">
        <f t="shared" si="314"/>
        <v>INSTRUMENTACION-DIANA CAICEDO-DIANA DIAZ</v>
      </c>
      <c r="F6430" s="5" t="str">
        <f>"Descripcion: CINCELES (2 RECTOS) Estado: Bueno Placa anterior: 000032345 Material: ACERO INOXIDABLE Color: PLATEADO Referencia:  Observacion:     Placa padre: I0003481Tipo adquisicion: Entidad"</f>
        <v>Descripcion: CINCELES (2 RECTOS) Estado: Bueno Placa anterior: 000032345 Material: ACERO INOXIDABLE Color: PLATEADO Referencia:  Observacion:     Placa padre: I0003481Tipo adquisicion: Entidad</v>
      </c>
      <c r="G6430" s="5"/>
    </row>
    <row r="6431" spans="1:7" ht="58.5" customHeight="1" x14ac:dyDescent="0.25">
      <c r="A6431" s="5" t="str">
        <f>"I0003526"</f>
        <v>I0003526</v>
      </c>
      <c r="B6431" s="5" t="str">
        <f>"CANULA DE YANKAUER"</f>
        <v>CANULA DE YANKAUER</v>
      </c>
      <c r="C6431" s="6">
        <v>92800</v>
      </c>
      <c r="D6431" s="5"/>
      <c r="E6431" s="5" t="str">
        <f t="shared" ref="E6431:E6494" si="315">"INSTRUMENTACION-DIANA CAICEDO-DIANA DIAZ"</f>
        <v>INSTRUMENTACION-DIANA CAICEDO-DIANA DIAZ</v>
      </c>
      <c r="F6431" s="5" t="str">
        <f>"Descripcion: CANULA DE YANKAWER (DIMEDA) Estado: Bueno Placa anterior: 000031656 Material: ACERO INOXIDABLE Color: PLATEADO Referencia:  Observacion:     Placa padre: I0003481Tipo adquisicion: Entidad"</f>
        <v>Descripcion: CANULA DE YANKAWER (DIMEDA) Estado: Bueno Placa anterior: 000031656 Material: ACERO INOXIDABLE Color: PLATEADO Referencia:  Observacion:     Placa padre: I0003481Tipo adquisicion: Entidad</v>
      </c>
      <c r="G6431" s="5"/>
    </row>
    <row r="6432" spans="1:7" ht="58.5" customHeight="1" x14ac:dyDescent="0.25">
      <c r="A6432" s="5" t="str">
        <f>"I0003528"</f>
        <v>I0003528</v>
      </c>
      <c r="B6432" s="5" t="str">
        <f>"EQUIPO DE ORTOPEDIA"</f>
        <v>EQUIPO DE ORTOPEDIA</v>
      </c>
      <c r="C6432" s="6">
        <v>1454000</v>
      </c>
      <c r="D6432" s="5"/>
      <c r="E6432" s="5" t="str">
        <f t="shared" si="315"/>
        <v>INSTRUMENTACION-DIANA CAICEDO-DIANA DIAZ</v>
      </c>
      <c r="F6432" s="5" t="str">
        <f>"Descripcion: EQUIPO PEQUEÑO DE ORTOPEDIA #1  QUE CONSTA DE:  (1) MANGO DE BISTURI #4  (1) MANGO DE BISTURI #7  (1) TIJERA DE METZEMBAUN  (1) TIJER DE MAYO RECTA(DIMEDA)  (2) SEPARADORES DE FARABEUF BABY  (2) SEPARADORES DE SENN MILLER  (1) PINZA DE DISECC"&amp; "ION CON GARRA PEQUEÑA  (1) PINZA DE DISECCION SIN GARRA PEQUEÑA  (1)PINZA DE DISECCION ADSON CON GARRA  (1) PINZAS MOSQUITO CURVAS  (2) PINZAS KELLY CURVA  (1) PINZAS KOCHER (DIMEDA)  (4) PINZAS DE ALLIX  (0) PORTA AGUJAS MEDIANO  (0) PORTAGUJAS PEQUEÑO  "&amp; " (1) GANCHO DE HUESO  (0) MARTILLO (DIMEDA)  (0) CLAMPS DE KERNS  (0) RUGINA CURVA  (0) ELEVADOR DE CHANDLER  (2) SEPARADORES DE WOLKMAN  (3) CINCELES (DIMEDA)  (3) CURETAS (DIMEDA)  (1) GUBIA PEQUEÑA (DIMEDA)  (1) CIZALLA PEQUEÑA (DIMEDA)  (1) DISECTOR D"&amp; "E FREE (DIMEDA)  (5) PINZAS DE CAMPO (DIMEDA)  (1) CANULA DE YANKAWER (DIMEDA)  (1) CANULA DE SUCCION DE FRAZIER (DIMEDA)  (1) COPA NIQUELADA  (1) PLATON NIQUELADO  (1) CUBETA DE INSTRUMENTAL NIQUELADA  (2) CLAMPS DE LOWMAN Estado: Bueno Placa anterior: 0"&amp; "00012685 Material: ACERO INOXIDABLE Color: PLATEADO Referencia:  Observacion:     Placa padre: Tipo adquisicion: Entidad"</f>
        <v>Descripcion: EQUIPO PEQUEÑO DE ORTOPEDIA #1  QUE CONSTA DE:  (1) MANGO DE BISTURI #4  (1) MANGO DE BISTURI #7  (1) TIJERA DE METZEMBAUN  (1) TIJER DE MAYO RECTA(DIMEDA)  (2) SEPARADORES DE FARABEUF BABY  (2) SEPARADORES DE SENN MILLER  (1) PINZA DE DISECCION CON GARRA PEQUEÑA  (1) PINZA DE DISECCION SIN GARRA PEQUEÑA  (1)PINZA DE DISECCION ADSON CON GARRA  (1) PINZAS MOSQUITO CURVAS  (2) PINZAS KELLY CURVA  (1) PINZAS KOCHER (DIMEDA)  (4) PINZAS DE ALLIX  (0) PORTA AGUJAS MEDIANO  (0) PORTAGUJAS PEQUEÑO   (1) GANCHO DE HUESO  (0) MARTILLO (DIMEDA)  (0) CLAMPS DE KERNS  (0) RUGINA CURVA  (0) ELEVADOR DE CHANDLER  (2) SEPARADORES DE WOLKMAN  (3) CINCELES (DIMEDA)  (3) CURETAS (DIMEDA)  (1) GUBIA PEQUEÑA (DIMEDA)  (1) CIZALLA PEQUEÑA (DIMEDA)  (1) DISECTOR DE FREE (DIMEDA)  (5) PINZAS DE CAMPO (DIMEDA)  (1) CANULA DE YANKAWER (DIMEDA)  (1) CANULA DE SUCCION DE FRAZIER (DIMEDA)  (1) COPA NIQUELADA  (1) PLATON NIQUELADO  (1) CUBETA DE INSTRUMENTAL NIQUELADA  (2) CLAMPS DE LOWMAN Estado: Bueno Placa anterior: 000012685 Material: ACERO INOXIDABLE Color: PLATEADO Referencia:  Observacion:     Placa padre: Tipo adquisicion: Entidad</v>
      </c>
      <c r="G6432" s="5"/>
    </row>
    <row r="6433" spans="1:7" ht="58.5" customHeight="1" x14ac:dyDescent="0.25">
      <c r="A6433" s="5" t="str">
        <f>"I0003535"</f>
        <v>I0003535</v>
      </c>
      <c r="B6433" s="5" t="str">
        <f>"SEPARADOR DE SENN MILLER"</f>
        <v>SEPARADOR DE SENN MILLER</v>
      </c>
      <c r="C6433" s="6">
        <v>85956</v>
      </c>
      <c r="D6433" s="5"/>
      <c r="E6433" s="5" t="str">
        <f t="shared" si="315"/>
        <v>INSTRUMENTACION-DIANA CAICEDO-DIANA DIAZ</v>
      </c>
      <c r="F6433" s="5" t="str">
        <f>"Descripcion: SEPARADORES DE SEN MILLER Estado: Bueno Placa anterior: 000023134 Material: ACERO INOXIDABLE Color: PLATEADO Referencia:  Observacion: SEPARADORES DE SENN MILLER 6 3/6 DOBLE AGUDO 11-174 (MATERIALD E OTOPEDIA  Placa padre: I0003528Tipo adquis"&amp; "icion: Entidad"</f>
        <v>Descripcion: SEPARADORES DE SEN MILLER Estado: Bueno Placa anterior: 000023134 Material: ACERO INOXIDABLE Color: PLATEADO Referencia:  Observacion: SEPARADORES DE SENN MILLER 6 3/6 DOBLE AGUDO 11-174 (MATERIALD E OTOPEDIA  Placa padre: I0003528Tipo adquisicion: Entidad</v>
      </c>
      <c r="G6433" s="5"/>
    </row>
    <row r="6434" spans="1:7" ht="58.5" customHeight="1" x14ac:dyDescent="0.25">
      <c r="A6434" s="5" t="str">
        <f>"I0003541"</f>
        <v>I0003541</v>
      </c>
      <c r="B6434" s="5" t="str">
        <f>"PINZA DE DISECCION SIN GARRA CORTA 20 CM"</f>
        <v>PINZA DE DISECCION SIN GARRA CORTA 20 CM</v>
      </c>
      <c r="C6434" s="6">
        <v>49880</v>
      </c>
      <c r="D6434" s="5"/>
      <c r="E6434" s="5" t="str">
        <f t="shared" si="315"/>
        <v>INSTRUMENTACION-DIANA CAICEDO-DIANA DIAZ</v>
      </c>
      <c r="F6434" s="5" t="str">
        <f>"Descripcion: PINZA DE DISECCION ADSON CON GARRA Estado: Bueno Placa anterior: 000032002 Material: ACERO INOXIDABLE Color: PLATEADO Referencia:  Observacion: PINZA DE DISECCION STANDARD Placa padre: I0003528Tipo adquisicion: Entidad"</f>
        <v>Descripcion: PINZA DE DISECCION ADSON CON GARRA Estado: Bueno Placa anterior: 000032002 Material: ACERO INOXIDABLE Color: PLATEADO Referencia:  Observacion: PINZA DE DISECCION STANDARD Placa padre: I0003528Tipo adquisicion: Entidad</v>
      </c>
      <c r="G6434" s="5"/>
    </row>
    <row r="6435" spans="1:7" ht="58.5" customHeight="1" x14ac:dyDescent="0.25">
      <c r="A6435" s="5" t="str">
        <f>"I0003550"</f>
        <v>I0003550</v>
      </c>
      <c r="B6435" s="5" t="str">
        <f>"PINZA KOCHER"</f>
        <v>PINZA KOCHER</v>
      </c>
      <c r="C6435" s="6">
        <v>148480</v>
      </c>
      <c r="D6435" s="5"/>
      <c r="E6435" s="5" t="str">
        <f t="shared" si="315"/>
        <v>INSTRUMENTACION-DIANA CAICEDO-DIANA DIAZ</v>
      </c>
      <c r="F6435" s="5" t="str">
        <f>"Descripcion: PINZAS DE KOCHER Estado: Bueno Placa anterior: 000036224 Material: ACERO INOXIDABLE Color: PLATEADO Referencia:  Observacion:     Placa padre: I0003528Tipo adquisicion: Entidad"</f>
        <v>Descripcion: PINZAS DE KOCHER Estado: Bueno Placa anterior: 000036224 Material: ACERO INOXIDABLE Color: PLATEADO Referencia:  Observacion:     Placa padre: I0003528Tipo adquisicion: Entidad</v>
      </c>
      <c r="G6435" s="5"/>
    </row>
    <row r="6436" spans="1:7" ht="58.5" customHeight="1" x14ac:dyDescent="0.25">
      <c r="A6436" s="5" t="str">
        <f>"I0003551"</f>
        <v>I0003551</v>
      </c>
      <c r="B6436" s="5" t="str">
        <f>"PINZA KOCHER"</f>
        <v>PINZA KOCHER</v>
      </c>
      <c r="C6436" s="6">
        <v>116000</v>
      </c>
      <c r="D6436" s="5"/>
      <c r="E6436" s="5" t="str">
        <f t="shared" si="315"/>
        <v>INSTRUMENTACION-DIANA CAICEDO-DIANA DIAZ</v>
      </c>
      <c r="F6436" s="5" t="str">
        <f>"Descripcion: PINZAS DE KOCHER Estado: Bueno Placa anterior: 000036225 Material: ACERO INOXIDABLE Color: PLATEADO Referencia:  Observacion:     Placa padre: I0003528Tipo adquisicion: Entidad"</f>
        <v>Descripcion: PINZAS DE KOCHER Estado: Bueno Placa anterior: 000036225 Material: ACERO INOXIDABLE Color: PLATEADO Referencia:  Observacion:     Placa padre: I0003528Tipo adquisicion: Entidad</v>
      </c>
      <c r="G6436" s="5"/>
    </row>
    <row r="6437" spans="1:7" ht="58.5" customHeight="1" x14ac:dyDescent="0.25">
      <c r="A6437" s="5" t="str">
        <f>"I0003556"</f>
        <v>I0003556</v>
      </c>
      <c r="B6437" s="5" t="str">
        <f>"PORTAGUJAS (PINZA)"</f>
        <v>PORTAGUJAS (PINZA)</v>
      </c>
      <c r="C6437" s="6">
        <v>68440</v>
      </c>
      <c r="D6437" s="5"/>
      <c r="E6437" s="5" t="str">
        <f t="shared" si="315"/>
        <v>INSTRUMENTACION-DIANA CAICEDO-DIANA DIAZ</v>
      </c>
      <c r="F6437" s="5" t="str">
        <f>"Descripcion: PORTA AGUJAS MEDIANO Estado: Bueno Placa anterior: 000032398 Material: ACERO INOXIDABLE Color: PLATEADO Referencia:  Observacion:     Placa padre: I0003528Tipo adquisicion: Entidad"</f>
        <v>Descripcion: PORTA AGUJAS MEDIANO Estado: Bueno Placa anterior: 000032398 Material: ACERO INOXIDABLE Color: PLATEADO Referencia:  Observacion:     Placa padre: I0003528Tipo adquisicion: Entidad</v>
      </c>
      <c r="G6437" s="5"/>
    </row>
    <row r="6438" spans="1:7" ht="58.5" customHeight="1" x14ac:dyDescent="0.25">
      <c r="A6438" s="5" t="str">
        <f>"I0003558"</f>
        <v>I0003558</v>
      </c>
      <c r="B6438" s="5" t="str">
        <f>"PINZA GUBIA"</f>
        <v>PINZA GUBIA</v>
      </c>
      <c r="C6438" s="6">
        <v>452400</v>
      </c>
      <c r="D6438" s="5"/>
      <c r="E6438" s="5" t="str">
        <f t="shared" si="315"/>
        <v>INSTRUMENTACION-DIANA CAICEDO-DIANA DIAZ</v>
      </c>
      <c r="F6438" s="5" t="str">
        <f>"Descripcion: GUBIA PEQUEÑA (DIMEDA) Estado: B Placa anterior: 000031839 Material: ACERO INOXIDABLE Color: PLATEADO Referencia:  Observacion:     Placa padre: I0003528Tipo adquisicion: Entidad"</f>
        <v>Descripcion: GUBIA PEQUEÑA (DIMEDA) Estado: B Placa anterior: 000031839 Material: ACERO INOXIDABLE Color: PLATEADO Referencia:  Observacion:     Placa padre: I0003528Tipo adquisicion: Entidad</v>
      </c>
      <c r="G6438" s="5"/>
    </row>
    <row r="6439" spans="1:7" ht="58.5" customHeight="1" x14ac:dyDescent="0.25">
      <c r="A6439" s="5" t="str">
        <f>"I0003559"</f>
        <v>I0003559</v>
      </c>
      <c r="B6439" s="5" t="str">
        <f>"CIZALLA (INSTRUMENTAL)"</f>
        <v>CIZALLA (INSTRUMENTAL)</v>
      </c>
      <c r="C6439" s="6">
        <v>487200</v>
      </c>
      <c r="D6439" s="5"/>
      <c r="E6439" s="5" t="str">
        <f t="shared" si="315"/>
        <v>INSTRUMENTACION-DIANA CAICEDO-DIANA DIAZ</v>
      </c>
      <c r="F6439" s="5" t="str">
        <f>"Descripcion: CIZALLA PEQUEÑA (DIMEDA) Estado: Bueno Placa anterior: 000032361 Material: ACERO INOXIDABLE Color: PLATEADO Referencia:  Observacion:     Placa padre: I0003528Tipo adquisicion: Entidad"</f>
        <v>Descripcion: CIZALLA PEQUEÑA (DIMEDA) Estado: Bueno Placa anterior: 000032361 Material: ACERO INOXIDABLE Color: PLATEADO Referencia:  Observacion:     Placa padre: I0003528Tipo adquisicion: Entidad</v>
      </c>
      <c r="G6439" s="5"/>
    </row>
    <row r="6440" spans="1:7" ht="58.5" customHeight="1" x14ac:dyDescent="0.25">
      <c r="A6440" s="5" t="str">
        <f>"I0003560"</f>
        <v>I0003560</v>
      </c>
      <c r="B6440" s="5" t="str">
        <f>"GANCHO (INSTRUMENTAL)"</f>
        <v>GANCHO (INSTRUMENTAL)</v>
      </c>
      <c r="C6440" s="6">
        <v>92800</v>
      </c>
      <c r="D6440" s="5"/>
      <c r="E6440" s="5" t="str">
        <f t="shared" si="315"/>
        <v>INSTRUMENTACION-DIANA CAICEDO-DIANA DIAZ</v>
      </c>
      <c r="F6440" s="5" t="str">
        <f>"Descripcion: GANCHO DE HUESO Estado: Bueno Placa anterior: 000032159 Material: ACERO INOXIDABLE Color: PLATEADO Referencia:  Observacion:     Placa padre: I0003528Tipo adquisicion: Entidad"</f>
        <v>Descripcion: GANCHO DE HUESO Estado: Bueno Placa anterior: 000032159 Material: ACERO INOXIDABLE Color: PLATEADO Referencia:  Observacion:     Placa padre: I0003528Tipo adquisicion: Entidad</v>
      </c>
      <c r="G6440" s="5"/>
    </row>
    <row r="6441" spans="1:7" ht="58.5" customHeight="1" x14ac:dyDescent="0.25">
      <c r="A6441" s="5" t="str">
        <f>"I0003561"</f>
        <v>I0003561</v>
      </c>
      <c r="B6441" s="5" t="str">
        <f>"MARTILLO (INSTRUMENTAL)"</f>
        <v>MARTILLO (INSTRUMENTAL)</v>
      </c>
      <c r="C6441" s="6">
        <v>452400</v>
      </c>
      <c r="D6441" s="5"/>
      <c r="E6441" s="5" t="str">
        <f t="shared" si="315"/>
        <v>INSTRUMENTACION-DIANA CAICEDO-DIANA DIAZ</v>
      </c>
      <c r="F6441" s="5" t="str">
        <f>"Descripcion: MARTILLO (DIMEDA) Estado: Bueno Placa anterior: 000031905 Material: ACERO INOXIDABLE Color: PLATEADO Referencia:  Observacion:     Placa padre: I0003528Tipo adquisicion: Entidad"</f>
        <v>Descripcion: MARTILLO (DIMEDA) Estado: Bueno Placa anterior: 000031905 Material: ACERO INOXIDABLE Color: PLATEADO Referencia:  Observacion:     Placa padre: I0003528Tipo adquisicion: Entidad</v>
      </c>
      <c r="G6441" s="5"/>
    </row>
    <row r="6442" spans="1:7" ht="58.5" customHeight="1" x14ac:dyDescent="0.25">
      <c r="A6442" s="5" t="str">
        <f>"I0003562"</f>
        <v>I0003562</v>
      </c>
      <c r="B6442" s="5" t="str">
        <f>"CLAMP DE KERNS"</f>
        <v>CLAMP DE KERNS</v>
      </c>
      <c r="C6442" s="6">
        <v>394400</v>
      </c>
      <c r="D6442" s="5"/>
      <c r="E6442" s="5" t="str">
        <f t="shared" si="315"/>
        <v>INSTRUMENTACION-DIANA CAICEDO-DIANA DIAZ</v>
      </c>
      <c r="F6442" s="5" t="str">
        <f>"Descripcion: CLAMPS DE KERNS Estado: Bueno Placa anterior: 000032376 Material: ACERO INOXIDABLE Color: PLATEADO Referencia:  Observacion:     Placa padre: I0003528Tipo adquisicion: Entidad"</f>
        <v>Descripcion: CLAMPS DE KERNS Estado: Bueno Placa anterior: 000032376 Material: ACERO INOXIDABLE Color: PLATEADO Referencia:  Observacion:     Placa padre: I0003528Tipo adquisicion: Entidad</v>
      </c>
      <c r="G6442" s="5"/>
    </row>
    <row r="6443" spans="1:7" ht="58.5" customHeight="1" x14ac:dyDescent="0.25">
      <c r="A6443" s="5" t="str">
        <f>"I0003563"</f>
        <v>I0003563</v>
      </c>
      <c r="B6443" s="5" t="str">
        <f>"CLAMP DE KERNS"</f>
        <v>CLAMP DE KERNS</v>
      </c>
      <c r="C6443" s="6">
        <v>394400</v>
      </c>
      <c r="D6443" s="5"/>
      <c r="E6443" s="5" t="str">
        <f t="shared" si="315"/>
        <v>INSTRUMENTACION-DIANA CAICEDO-DIANA DIAZ</v>
      </c>
      <c r="F6443" s="5" t="str">
        <f>"Descripcion: CLAMPS DE KERNS Estado: Bueno Placa anterior: 000032377 Material: ACERO INOXIDABLE Color: PLATEADO Referencia:  Observacion:     Placa padre: I0003528Tipo adquisicion: Entidad"</f>
        <v>Descripcion: CLAMPS DE KERNS Estado: Bueno Placa anterior: 000032377 Material: ACERO INOXIDABLE Color: PLATEADO Referencia:  Observacion:     Placa padre: I0003528Tipo adquisicion: Entidad</v>
      </c>
      <c r="G6443" s="5"/>
    </row>
    <row r="6444" spans="1:7" ht="58.5" customHeight="1" x14ac:dyDescent="0.25">
      <c r="A6444" s="5" t="str">
        <f>"I0003564"</f>
        <v>I0003564</v>
      </c>
      <c r="B6444" s="5" t="str">
        <f>"SEPARADOR DE VOLKMANN"</f>
        <v>SEPARADOR DE VOLKMANN</v>
      </c>
      <c r="C6444" s="6">
        <v>551</v>
      </c>
      <c r="D6444" s="5"/>
      <c r="E6444" s="5" t="str">
        <f t="shared" si="315"/>
        <v>INSTRUMENTACION-DIANA CAICEDO-DIANA DIAZ</v>
      </c>
      <c r="F6444" s="5" t="str">
        <f>"Descripcion: SEPARADORES DE WOLMAN Estado: Bueno Placa anterior: 000016442 Material: ACERO INOXIDABLE Color: PLATEADO Referencia:  Observacion:     Placa padre: I0003528Tipo adquisicion: Entidad"</f>
        <v>Descripcion: SEPARADORES DE WOLMAN Estado: Bueno Placa anterior: 000016442 Material: ACERO INOXIDABLE Color: PLATEADO Referencia:  Observacion:     Placa padre: I0003528Tipo adquisicion: Entidad</v>
      </c>
      <c r="G6444" s="5"/>
    </row>
    <row r="6445" spans="1:7" ht="58.5" customHeight="1" x14ac:dyDescent="0.25">
      <c r="A6445" s="5" t="str">
        <f>"I0003565"</f>
        <v>I0003565</v>
      </c>
      <c r="B6445" s="5" t="str">
        <f>"SEPARADOR DE VOLKMANN"</f>
        <v>SEPARADOR DE VOLKMANN</v>
      </c>
      <c r="C6445" s="6">
        <v>551</v>
      </c>
      <c r="D6445" s="5"/>
      <c r="E6445" s="5" t="str">
        <f t="shared" si="315"/>
        <v>INSTRUMENTACION-DIANA CAICEDO-DIANA DIAZ</v>
      </c>
      <c r="F6445" s="5" t="str">
        <f>"Descripcion: SEPARADORES DE WOLMAN Estado: Bueno Placa anterior: 000016443 Material: ACERO INOXIDABLE Color: PLATEADO Referencia:  Observacion:     Placa padre: I0003528Tipo adquisicion: Entidad"</f>
        <v>Descripcion: SEPARADORES DE WOLMAN Estado: Bueno Placa anterior: 000016443 Material: ACERO INOXIDABLE Color: PLATEADO Referencia:  Observacion:     Placa padre: I0003528Tipo adquisicion: Entidad</v>
      </c>
      <c r="G6445" s="5"/>
    </row>
    <row r="6446" spans="1:7" ht="58.5" customHeight="1" x14ac:dyDescent="0.25">
      <c r="A6446" s="5" t="str">
        <f>"I0003566"</f>
        <v>I0003566</v>
      </c>
      <c r="B6446" s="5" t="str">
        <f>"CLAMP DE KERNS"</f>
        <v>CLAMP DE KERNS</v>
      </c>
      <c r="C6446" s="6">
        <v>533600</v>
      </c>
      <c r="D6446" s="5"/>
      <c r="E6446" s="5" t="str">
        <f t="shared" si="315"/>
        <v>INSTRUMENTACION-DIANA CAICEDO-DIANA DIAZ</v>
      </c>
      <c r="F6446" s="5" t="str">
        <f>"Descripcion: CLAMP DE LOWMAN Estado: Bueno Placa anterior: 000032390 Material: ACERO INOXIDABLE Color: PLATEADO Referencia:  Observacion:     Placa padre: I0003528Tipo adquisicion: Entidad"</f>
        <v>Descripcion: CLAMP DE LOWMAN Estado: Bueno Placa anterior: 000032390 Material: ACERO INOXIDABLE Color: PLATEADO Referencia:  Observacion:     Placa padre: I0003528Tipo adquisicion: Entidad</v>
      </c>
      <c r="G6446" s="5"/>
    </row>
    <row r="6447" spans="1:7" ht="58.5" customHeight="1" x14ac:dyDescent="0.25">
      <c r="A6447" s="5" t="str">
        <f>"I0003567"</f>
        <v>I0003567</v>
      </c>
      <c r="B6447" s="5" t="str">
        <f>"CLAMP DE KERNS"</f>
        <v>CLAMP DE KERNS</v>
      </c>
      <c r="C6447" s="6">
        <v>533600</v>
      </c>
      <c r="D6447" s="5"/>
      <c r="E6447" s="5" t="str">
        <f t="shared" si="315"/>
        <v>INSTRUMENTACION-DIANA CAICEDO-DIANA DIAZ</v>
      </c>
      <c r="F6447" s="5" t="str">
        <f>"Descripcion: CLAMP DE LOWMAN Estado: Bueno Placa anterior: 000032391 Material: ACERO INOXIDABLE Color: PLATEADO Referencia:  Observacion:     Placa padre: I0003528Tipo adquisicion: Entidad"</f>
        <v>Descripcion: CLAMP DE LOWMAN Estado: Bueno Placa anterior: 000032391 Material: ACERO INOXIDABLE Color: PLATEADO Referencia:  Observacion:     Placa padre: I0003528Tipo adquisicion: Entidad</v>
      </c>
      <c r="G6447" s="5"/>
    </row>
    <row r="6448" spans="1:7" ht="58.5" customHeight="1" x14ac:dyDescent="0.25">
      <c r="A6448" s="5" t="str">
        <f>"I0003568"</f>
        <v>I0003568</v>
      </c>
      <c r="B6448" s="5" t="str">
        <f>"RUGINA"</f>
        <v>RUGINA</v>
      </c>
      <c r="C6448" s="6">
        <v>121800</v>
      </c>
      <c r="D6448" s="5"/>
      <c r="E6448" s="5" t="str">
        <f t="shared" si="315"/>
        <v>INSTRUMENTACION-DIANA CAICEDO-DIANA DIAZ</v>
      </c>
      <c r="F6448" s="5" t="str">
        <f>"Descripcion: RUGINA CURVA Estado: Bueno Placa anterior: 000032495 Material: ACERO INOXIDABLE Color: PLATEADO Referencia:  Observacion:     Placa padre: I0003528Tipo adquisicion: Entidad"</f>
        <v>Descripcion: RUGINA CURVA Estado: Bueno Placa anterior: 000032495 Material: ACERO INOXIDABLE Color: PLATEADO Referencia:  Observacion:     Placa padre: I0003528Tipo adquisicion: Entidad</v>
      </c>
      <c r="G6448" s="5"/>
    </row>
    <row r="6449" spans="1:7" ht="58.5" customHeight="1" x14ac:dyDescent="0.25">
      <c r="A6449" s="5" t="str">
        <f>"I0003570"</f>
        <v>I0003570</v>
      </c>
      <c r="B6449" s="5" t="str">
        <f>"CINCEL (INSTRUMENTAL)"</f>
        <v>CINCEL (INSTRUMENTAL)</v>
      </c>
      <c r="C6449" s="6">
        <v>232000</v>
      </c>
      <c r="D6449" s="5"/>
      <c r="E6449" s="5" t="str">
        <f t="shared" si="315"/>
        <v>INSTRUMENTACION-DIANA CAICEDO-DIANA DIAZ</v>
      </c>
      <c r="F6449" s="5" t="str">
        <f>"Descripcion: CINCELES (2 RECTOS) Estado: Bueno Placa anterior: 000032346 Material: ACERO INOXIDABLE Color: PLATEADO Referencia:  Observacion:     Placa padre: I0003528Tipo adquisicion: Entidad"</f>
        <v>Descripcion: CINCELES (2 RECTOS) Estado: Bueno Placa anterior: 000032346 Material: ACERO INOXIDABLE Color: PLATEADO Referencia:  Observacion:     Placa padre: I0003528Tipo adquisicion: Entidad</v>
      </c>
      <c r="G6449" s="5"/>
    </row>
    <row r="6450" spans="1:7" ht="58.5" customHeight="1" x14ac:dyDescent="0.25">
      <c r="A6450" s="5" t="str">
        <f>"I0003571"</f>
        <v>I0003571</v>
      </c>
      <c r="B6450" s="5" t="str">
        <f>"CINCEL (INSTRUMENTAL)"</f>
        <v>CINCEL (INSTRUMENTAL)</v>
      </c>
      <c r="C6450" s="6">
        <v>232000</v>
      </c>
      <c r="D6450" s="5"/>
      <c r="E6450" s="5" t="str">
        <f t="shared" si="315"/>
        <v>INSTRUMENTACION-DIANA CAICEDO-DIANA DIAZ</v>
      </c>
      <c r="F6450" s="5" t="str">
        <f>"Descripcion: CINCELES (2 RECTOS) Estado: Bueno Placa anterior: 000032347 Material: ACERO INOXIDABLE Color: PLATEADO Referencia:  Observacion:     Placa padre: I0003528Tipo adquisicion: Entidad"</f>
        <v>Descripcion: CINCELES (2 RECTOS) Estado: Bueno Placa anterior: 000032347 Material: ACERO INOXIDABLE Color: PLATEADO Referencia:  Observacion:     Placa padre: I0003528Tipo adquisicion: Entidad</v>
      </c>
      <c r="G6450" s="5"/>
    </row>
    <row r="6451" spans="1:7" ht="58.5" customHeight="1" x14ac:dyDescent="0.25">
      <c r="A6451" s="5" t="str">
        <f>"I0003572"</f>
        <v>I0003572</v>
      </c>
      <c r="B6451" s="5" t="str">
        <f>"CINCEL (INSTRUMENTAL)"</f>
        <v>CINCEL (INSTRUMENTAL)</v>
      </c>
      <c r="C6451" s="6">
        <v>232000</v>
      </c>
      <c r="D6451" s="5"/>
      <c r="E6451" s="5" t="str">
        <f t="shared" si="315"/>
        <v>INSTRUMENTACION-DIANA CAICEDO-DIANA DIAZ</v>
      </c>
      <c r="F6451" s="5" t="str">
        <f>"Descripcion: CINCELES (3 CURVOS) Estado: Bueno Placa anterior: 000032348 Material: ACERO INOXIDABLE Color: PLATEADO Referencia:  Observacion:     Placa padre: I0003528Tipo adquisicion: Entidad"</f>
        <v>Descripcion: CINCELES (3 CURVOS) Estado: Bueno Placa anterior: 000032348 Material: ACERO INOXIDABLE Color: PLATEADO Referencia:  Observacion:     Placa padre: I0003528Tipo adquisicion: Entidad</v>
      </c>
      <c r="G6451" s="5"/>
    </row>
    <row r="6452" spans="1:7" ht="58.5" customHeight="1" x14ac:dyDescent="0.25">
      <c r="A6452" s="5" t="str">
        <f>"I0003573"</f>
        <v>I0003573</v>
      </c>
      <c r="B6452" s="5" t="str">
        <f>"CANULA DE FRAZIER"</f>
        <v>CANULA DE FRAZIER</v>
      </c>
      <c r="C6452" s="6">
        <v>75632</v>
      </c>
      <c r="D6452" s="5"/>
      <c r="E6452" s="5" t="str">
        <f t="shared" si="315"/>
        <v>INSTRUMENTACION-DIANA CAICEDO-DIANA DIAZ</v>
      </c>
      <c r="F6452" s="5" t="str">
        <f>"Descripcion: CANULA DE SUCCION DE FRAZIER (DIMEDA) Estado: Bueno Placa anterior: 000023139 Material: ACERO INOXIDABLE Color: PLATEADO Referencia:  Observacion:     Placa padre: I0003528Tipo adquisicion: Entidad"</f>
        <v>Descripcion: CANULA DE SUCCION DE FRAZIER (DIMEDA) Estado: Bueno Placa anterior: 000023139 Material: ACERO INOXIDABLE Color: PLATEADO Referencia:  Observacion:     Placa padre: I0003528Tipo adquisicion: Entidad</v>
      </c>
      <c r="G6452" s="5"/>
    </row>
    <row r="6453" spans="1:7" ht="58.5" customHeight="1" x14ac:dyDescent="0.25">
      <c r="A6453" s="5" t="str">
        <f>"I0003587"</f>
        <v>I0003587</v>
      </c>
      <c r="B6453" s="5" t="str">
        <f>"EQUIPO DE ORTOPEDIA"</f>
        <v>EQUIPO DE ORTOPEDIA</v>
      </c>
      <c r="C6453" s="6">
        <v>1544568</v>
      </c>
      <c r="D6453" s="5"/>
      <c r="E6453" s="5" t="str">
        <f t="shared" si="315"/>
        <v>INSTRUMENTACION-DIANA CAICEDO-DIANA DIAZ</v>
      </c>
      <c r="F6453" s="5" t="str">
        <f>"Descripcion: EQUIPO PEQUEÑO DE ORTOPEDIA #2 QUE CONSTA DE:  (1) MANGO DE BISTURI #4  (1) MANGO DE BISTURI #3  (1) TIJERA DE METZEMBAUN  (1) TIJERA DE MAYO RECTA  (2) SEPARADORES DE FARABEUF BABY  (2) SEPARADORES DE SENN MILLER  (1) PINZA DE DISECCION CON "&amp; "GARRA PEQUEÑA  (1) PINZA DE DISECCION SIN GARRA PEQUEÑA  (1)PINZA DE DISECCION ADSON CON GARRA  (3) PINZAS MOSQUITO CURVAS  (2) PINZAS KELLY CURVA  (2) PINZAS  KOCHER PEQUEÑAS CURVA (DIMEDA)  (3) PINZAS ALLIX PEQUEÑAS  (2) PORTA AGUJAS MEDIANO Y PEQUEÑO ("&amp; "DIMEDA)  (1) GANCHO DE HUESO  (1) RUGINA CURVA  (2) ELEVADORES DE CHANDLER  (2) SEPARADORES DE WOLKMAN  (2) CINCEL (DIMEDA)  (3) CURETAS  (0) CLAMPS DE KERS (DIMEDA)  (1) MARTILLLO  (1) GUBIA PEQUEÑA  (2) CLAMPS DE LOWMAN  (1) DISECTOR DE FREE (DIMEDA)  ("&amp; "6) PINZAS DE CAMPO (DIMEDA)  (1) CANULA DE YANKAWER (DIMEDA)  (1) CANULA DE SUCCION DE FRAZIER #12  (1) COPA NIQUELADA  (1) PLATON NIQUELADO  (1) CUBETA DE INSTRUMENTAL NIQUELADA Estado: Bueno Placa anterior: 000012686 Material: ACERO INOXIDABLE Color: PL"&amp; "ATEADO Referencia:  Observacion:     Placa padre: Tipo adquisicion: Entidad"</f>
        <v>Descripcion: EQUIPO PEQUEÑO DE ORTOPEDIA #2 QUE CONSTA DE:  (1) MANGO DE BISTURI #4  (1) MANGO DE BISTURI #3  (1) TIJERA DE METZEMBAUN  (1) TIJERA DE MAYO RECTA  (2) SEPARADORES DE FARABEUF BABY  (2) SEPARADORES DE SENN MILLER  (1) PINZA DE DISECCION CON GARRA PEQUEÑA  (1) PINZA DE DISECCION SIN GARRA PEQUEÑA  (1)PINZA DE DISECCION ADSON CON GARRA  (3) PINZAS MOSQUITO CURVAS  (2) PINZAS KELLY CURVA  (2) PINZAS  KOCHER PEQUEÑAS CURVA (DIMEDA)  (3) PINZAS ALLIX PEQUEÑAS  (2) PORTA AGUJAS MEDIANO Y PEQUEÑO (DIMEDA)  (1) GANCHO DE HUESO  (1) RUGINA CURVA  (2) ELEVADORES DE CHANDLER  (2) SEPARADORES DE WOLKMAN  (2) CINCEL (DIMEDA)  (3) CURETAS  (0) CLAMPS DE KERS (DIMEDA)  (1) MARTILLLO  (1) GUBIA PEQUEÑA  (2) CLAMPS DE LOWMAN  (1) DISECTOR DE FREE (DIMEDA)  (6) PINZAS DE CAMPO (DIMEDA)  (1) CANULA DE YANKAWER (DIMEDA)  (1) CANULA DE SUCCION DE FRAZIER #12  (1) COPA NIQUELADA  (1) PLATON NIQUELADO  (1) CUBETA DE INSTRUMENTAL NIQUELADA Estado: Bueno Placa anterior: 000012686 Material: ACERO INOXIDABLE Color: PLATEADO Referencia:  Observacion:     Placa padre: Tipo adquisicion: Entidad</v>
      </c>
      <c r="G6453" s="5"/>
    </row>
    <row r="6454" spans="1:7" ht="58.5" customHeight="1" x14ac:dyDescent="0.25">
      <c r="A6454" s="5" t="str">
        <f>"I0003600"</f>
        <v>I0003600</v>
      </c>
      <c r="B6454" s="5" t="str">
        <f>"PINZA DE DISECCION SIN GARRA CORTA 20 CM"</f>
        <v>PINZA DE DISECCION SIN GARRA CORTA 20 CM</v>
      </c>
      <c r="C6454" s="6">
        <v>26680</v>
      </c>
      <c r="D6454" s="5"/>
      <c r="E6454" s="5" t="str">
        <f t="shared" si="315"/>
        <v>INSTRUMENTACION-DIANA CAICEDO-DIANA DIAZ</v>
      </c>
      <c r="F6454" s="5" t="str">
        <f>"Descripcion: PINZA DE DISECCION ADSON CON GARRA Estado: Bueno Placa anterior: 000031943 Material: ACERO INOXIDABLE Color: PLATEADO Referencia:  Observacion: PINZA DE DISECCION STANDARD Placa padre: I0003587Tipo adquisicion: Entidad"</f>
        <v>Descripcion: PINZA DE DISECCION ADSON CON GARRA Estado: Bueno Placa anterior: 000031943 Material: ACERO INOXIDABLE Color: PLATEADO Referencia:  Observacion: PINZA DE DISECCION STANDARD Placa padre: I0003587Tipo adquisicion: Entidad</v>
      </c>
      <c r="G6454" s="5"/>
    </row>
    <row r="6455" spans="1:7" ht="58.5" customHeight="1" x14ac:dyDescent="0.25">
      <c r="A6455" s="5" t="str">
        <f>"I0003609"</f>
        <v>I0003609</v>
      </c>
      <c r="B6455" s="5" t="str">
        <f>"PINZA KOCHER"</f>
        <v>PINZA KOCHER</v>
      </c>
      <c r="C6455" s="6">
        <v>116000</v>
      </c>
      <c r="D6455" s="5"/>
      <c r="E6455" s="5" t="str">
        <f t="shared" si="315"/>
        <v>INSTRUMENTACION-DIANA CAICEDO-DIANA DIAZ</v>
      </c>
      <c r="F6455" s="5" t="str">
        <f>"Descripcion: PINZAS DE KOCHER Estado: Bueno Placa anterior: 000036226 Material: ACERO INOXIDABLE Color: PLATEADO Referencia:  Observacion:     Placa padre: I0003587Tipo adquisicion: Entidad"</f>
        <v>Descripcion: PINZAS DE KOCHER Estado: Bueno Placa anterior: 000036226 Material: ACERO INOXIDABLE Color: PLATEADO Referencia:  Observacion:     Placa padre: I0003587Tipo adquisicion: Entidad</v>
      </c>
      <c r="G6455" s="5"/>
    </row>
    <row r="6456" spans="1:7" ht="58.5" customHeight="1" x14ac:dyDescent="0.25">
      <c r="A6456" s="5" t="str">
        <f>"I0003610"</f>
        <v>I0003610</v>
      </c>
      <c r="B6456" s="5" t="str">
        <f>"PINZA KOCHER"</f>
        <v>PINZA KOCHER</v>
      </c>
      <c r="C6456" s="6">
        <v>116000</v>
      </c>
      <c r="D6456" s="5"/>
      <c r="E6456" s="5" t="str">
        <f t="shared" si="315"/>
        <v>INSTRUMENTACION-DIANA CAICEDO-DIANA DIAZ</v>
      </c>
      <c r="F6456" s="5" t="str">
        <f>"Descripcion: PINZAS DE KOCHER Estado: Bueno Placa anterior: 000036227 Material: ACERO INOXIDABLE Color: PLATEADO Referencia:  Observacion:     Placa padre: I0003587Tipo adquisicion: Entidad"</f>
        <v>Descripcion: PINZAS DE KOCHER Estado: Bueno Placa anterior: 000036227 Material: ACERO INOXIDABLE Color: PLATEADO Referencia:  Observacion:     Placa padre: I0003587Tipo adquisicion: Entidad</v>
      </c>
      <c r="G6456" s="5"/>
    </row>
    <row r="6457" spans="1:7" ht="58.5" customHeight="1" x14ac:dyDescent="0.25">
      <c r="A6457" s="5" t="str">
        <f>"I0003617"</f>
        <v>I0003617</v>
      </c>
      <c r="B6457" s="5" t="str">
        <f>"PINZA GUBIA"</f>
        <v>PINZA GUBIA</v>
      </c>
      <c r="C6457" s="6">
        <v>452400</v>
      </c>
      <c r="D6457" s="5"/>
      <c r="E6457" s="5" t="str">
        <f t="shared" si="315"/>
        <v>INSTRUMENTACION-DIANA CAICEDO-DIANA DIAZ</v>
      </c>
      <c r="F6457" s="5" t="str">
        <f>"Descripcion: GUBIA PEQUEÑA (DIMEDA) Estado: Bueno Placa anterior: 000031835 Material: ACERO INOXIDABLE Color: PLATEADO Referencia:  Observacion:     Placa padre: I0003587Tipo adquisicion: Entidad"</f>
        <v>Descripcion: GUBIA PEQUEÑA (DIMEDA) Estado: Bueno Placa anterior: 000031835 Material: ACERO INOXIDABLE Color: PLATEADO Referencia:  Observacion:     Placa padre: I0003587Tipo adquisicion: Entidad</v>
      </c>
      <c r="G6457" s="5"/>
    </row>
    <row r="6458" spans="1:7" ht="58.5" customHeight="1" x14ac:dyDescent="0.25">
      <c r="A6458" s="5" t="str">
        <f>"I0003618"</f>
        <v>I0003618</v>
      </c>
      <c r="B6458" s="5" t="str">
        <f>"GANCHO (INSTRUMENTAL)"</f>
        <v>GANCHO (INSTRUMENTAL)</v>
      </c>
      <c r="C6458" s="6">
        <v>92800</v>
      </c>
      <c r="D6458" s="5"/>
      <c r="E6458" s="5" t="str">
        <f t="shared" si="315"/>
        <v>INSTRUMENTACION-DIANA CAICEDO-DIANA DIAZ</v>
      </c>
      <c r="F6458" s="5" t="str">
        <f>"Descripcion: GANCHO DE HUESO Estado: Bueno Placa anterior: 000032160 Material: ACERO INOXIDABLE Color: PLATEADO Referencia:  Observacion:     Placa padre: I0003587Tipo adquisicion: Entidad"</f>
        <v>Descripcion: GANCHO DE HUESO Estado: Bueno Placa anterior: 000032160 Material: ACERO INOXIDABLE Color: PLATEADO Referencia:  Observacion:     Placa padre: I0003587Tipo adquisicion: Entidad</v>
      </c>
      <c r="G6458" s="5"/>
    </row>
    <row r="6459" spans="1:7" ht="58.5" customHeight="1" x14ac:dyDescent="0.25">
      <c r="A6459" s="5" t="str">
        <f>"I0003619"</f>
        <v>I0003619</v>
      </c>
      <c r="B6459" s="5" t="str">
        <f>"MARTILLO (INSTRUMENTAL)"</f>
        <v>MARTILLO (INSTRUMENTAL)</v>
      </c>
      <c r="C6459" s="6">
        <v>452400</v>
      </c>
      <c r="D6459" s="5"/>
      <c r="E6459" s="5" t="str">
        <f t="shared" si="315"/>
        <v>INSTRUMENTACION-DIANA CAICEDO-DIANA DIAZ</v>
      </c>
      <c r="F6459" s="5" t="str">
        <f>"Descripcion: MARTILLO (DIMEDA) Estado: Bueno Placa anterior: 000031906 Material: ACERO INOXIDABLE Color: PLATEADO Referencia:  Observacion:     Placa padre: I0003587Tipo adquisicion: Entidad"</f>
        <v>Descripcion: MARTILLO (DIMEDA) Estado: Bueno Placa anterior: 000031906 Material: ACERO INOXIDABLE Color: PLATEADO Referencia:  Observacion:     Placa padre: I0003587Tipo adquisicion: Entidad</v>
      </c>
      <c r="G6459" s="5"/>
    </row>
    <row r="6460" spans="1:7" ht="58.5" customHeight="1" x14ac:dyDescent="0.25">
      <c r="A6460" s="5" t="str">
        <f>"I0003620"</f>
        <v>I0003620</v>
      </c>
      <c r="B6460" s="5" t="str">
        <f>"CLAMP DE KERNS"</f>
        <v>CLAMP DE KERNS</v>
      </c>
      <c r="C6460" s="6">
        <v>394400</v>
      </c>
      <c r="D6460" s="5"/>
      <c r="E6460" s="5" t="str">
        <f t="shared" si="315"/>
        <v>INSTRUMENTACION-DIANA CAICEDO-DIANA DIAZ</v>
      </c>
      <c r="F6460" s="5" t="str">
        <f>"Descripcion: CLAMPS DE KERNS Estado: Bueno Placa anterior: 000032378 Material: ACERO INOXIDABLE Color: PLATEADO Referencia:  Observacion:     Placa padre: I0003587Tipo adquisicion: Entidad"</f>
        <v>Descripcion: CLAMPS DE KERNS Estado: Bueno Placa anterior: 000032378 Material: ACERO INOXIDABLE Color: PLATEADO Referencia:  Observacion:     Placa padre: I0003587Tipo adquisicion: Entidad</v>
      </c>
      <c r="G6460" s="5"/>
    </row>
    <row r="6461" spans="1:7" ht="58.5" customHeight="1" x14ac:dyDescent="0.25">
      <c r="A6461" s="5" t="str">
        <f>"I0003621"</f>
        <v>I0003621</v>
      </c>
      <c r="B6461" s="5" t="str">
        <f>"CLAMP DE KERNS"</f>
        <v>CLAMP DE KERNS</v>
      </c>
      <c r="C6461" s="6">
        <v>394400</v>
      </c>
      <c r="D6461" s="5"/>
      <c r="E6461" s="5" t="str">
        <f t="shared" si="315"/>
        <v>INSTRUMENTACION-DIANA CAICEDO-DIANA DIAZ</v>
      </c>
      <c r="F6461" s="5" t="str">
        <f>"Descripcion: CLAMPS DE KERNS Estado: Bueno Placa anterior: 000032379 Material: ACERO INOXIDABLE Color: PLATEADO Referencia:  Observacion:     Placa padre: I0003587Tipo adquisicion: Entidad"</f>
        <v>Descripcion: CLAMPS DE KERNS Estado: Bueno Placa anterior: 000032379 Material: ACERO INOXIDABLE Color: PLATEADO Referencia:  Observacion:     Placa padre: I0003587Tipo adquisicion: Entidad</v>
      </c>
      <c r="G6461" s="5"/>
    </row>
    <row r="6462" spans="1:7" ht="58.5" customHeight="1" x14ac:dyDescent="0.25">
      <c r="A6462" s="5" t="str">
        <f>"I0003622"</f>
        <v>I0003622</v>
      </c>
      <c r="B6462" s="5" t="str">
        <f>"SEPARADOR DE VOLKMANN"</f>
        <v>SEPARADOR DE VOLKMANN</v>
      </c>
      <c r="C6462" s="6">
        <v>551</v>
      </c>
      <c r="D6462" s="5"/>
      <c r="E6462" s="5" t="str">
        <f t="shared" si="315"/>
        <v>INSTRUMENTACION-DIANA CAICEDO-DIANA DIAZ</v>
      </c>
      <c r="F6462" s="5" t="str">
        <f>"Descripcion: SEPARADORES DE WOLMAN Estado: Bueno Placa anterior: 000016444 Material: ACERO INOXIDABLE Color: PLATEADO Referencia:  Observacion:     Placa padre: I0003587Tipo adquisicion: Entidad"</f>
        <v>Descripcion: SEPARADORES DE WOLMAN Estado: Bueno Placa anterior: 000016444 Material: ACERO INOXIDABLE Color: PLATEADO Referencia:  Observacion:     Placa padre: I0003587Tipo adquisicion: Entidad</v>
      </c>
      <c r="G6462" s="5"/>
    </row>
    <row r="6463" spans="1:7" ht="58.5" customHeight="1" x14ac:dyDescent="0.25">
      <c r="A6463" s="5" t="str">
        <f>"I0003623"</f>
        <v>I0003623</v>
      </c>
      <c r="B6463" s="5" t="str">
        <f>"SEPARADOR DE VOLKMANN"</f>
        <v>SEPARADOR DE VOLKMANN</v>
      </c>
      <c r="C6463" s="6">
        <v>551</v>
      </c>
      <c r="D6463" s="5"/>
      <c r="E6463" s="5" t="str">
        <f t="shared" si="315"/>
        <v>INSTRUMENTACION-DIANA CAICEDO-DIANA DIAZ</v>
      </c>
      <c r="F6463" s="5" t="str">
        <f>"Descripcion: SEPARADORES DE WOLMAN Estado: Bueno Placa anterior: 000016445 Material: ACERO INOXIDABLE Color: PLATEADO Referencia:  Observacion:     Placa padre: I0003587Tipo adquisicion: Entidad"</f>
        <v>Descripcion: SEPARADORES DE WOLMAN Estado: Bueno Placa anterior: 000016445 Material: ACERO INOXIDABLE Color: PLATEADO Referencia:  Observacion:     Placa padre: I0003587Tipo adquisicion: Entidad</v>
      </c>
      <c r="G6463" s="5"/>
    </row>
    <row r="6464" spans="1:7" ht="58.5" customHeight="1" x14ac:dyDescent="0.25">
      <c r="A6464" s="5" t="str">
        <f>"I0003624"</f>
        <v>I0003624</v>
      </c>
      <c r="B6464" s="5" t="str">
        <f>"CLAMP DE KERNS"</f>
        <v>CLAMP DE KERNS</v>
      </c>
      <c r="C6464" s="6">
        <v>533600</v>
      </c>
      <c r="D6464" s="5"/>
      <c r="E6464" s="5" t="str">
        <f t="shared" si="315"/>
        <v>INSTRUMENTACION-DIANA CAICEDO-DIANA DIAZ</v>
      </c>
      <c r="F6464" s="5" t="str">
        <f>"Descripcion: CLAMP DE LOWMAN Estado: Bueno Placa anterior: 000032392 Material: ACERO INOXIDABLE Color: PLATEADO Referencia:  Observacion:     Placa padre: I0003587Tipo adquisicion: Entidad"</f>
        <v>Descripcion: CLAMP DE LOWMAN Estado: Bueno Placa anterior: 000032392 Material: ACERO INOXIDABLE Color: PLATEADO Referencia:  Observacion:     Placa padre: I0003587Tipo adquisicion: Entidad</v>
      </c>
      <c r="G6464" s="5"/>
    </row>
    <row r="6465" spans="1:7" ht="58.5" customHeight="1" x14ac:dyDescent="0.25">
      <c r="A6465" s="5" t="str">
        <f>"I0003626"</f>
        <v>I0003626</v>
      </c>
      <c r="B6465" s="5" t="str">
        <f>"RUGINA"</f>
        <v>RUGINA</v>
      </c>
      <c r="C6465" s="6">
        <v>121800</v>
      </c>
      <c r="D6465" s="5"/>
      <c r="E6465" s="5" t="str">
        <f t="shared" si="315"/>
        <v>INSTRUMENTACION-DIANA CAICEDO-DIANA DIAZ</v>
      </c>
      <c r="F6465" s="5" t="str">
        <f>"Descripcion: RUGINA CURVA Estado: Bueno Placa anterior: 000032496 Material: ACERO INOXIDABLE Color: PLATEADO Referencia:  Observacion:     Placa padre: I0003587Tipo adquisicion: Entidad"</f>
        <v>Descripcion: RUGINA CURVA Estado: Bueno Placa anterior: 000032496 Material: ACERO INOXIDABLE Color: PLATEADO Referencia:  Observacion:     Placa padre: I0003587Tipo adquisicion: Entidad</v>
      </c>
      <c r="G6465" s="5"/>
    </row>
    <row r="6466" spans="1:7" ht="58.5" customHeight="1" x14ac:dyDescent="0.25">
      <c r="A6466" s="5" t="str">
        <f>"I0003628"</f>
        <v>I0003628</v>
      </c>
      <c r="B6466" s="5" t="str">
        <f>"CINCEL (INSTRUMENTAL)"</f>
        <v>CINCEL (INSTRUMENTAL)</v>
      </c>
      <c r="C6466" s="6">
        <v>232000</v>
      </c>
      <c r="D6466" s="5"/>
      <c r="E6466" s="5" t="str">
        <f t="shared" si="315"/>
        <v>INSTRUMENTACION-DIANA CAICEDO-DIANA DIAZ</v>
      </c>
      <c r="F6466" s="5" t="str">
        <f>"Descripcion: CINCELES (2 RECTOS) Estado: Bueno Placa anterior: 000032350 Material: ACERO INOXIDABLE Color: PLATEADO Referencia:  Observacion:     Placa padre: I0003587Tipo adquisicion: Entidad"</f>
        <v>Descripcion: CINCELES (2 RECTOS) Estado: Bueno Placa anterior: 000032350 Material: ACERO INOXIDABLE Color: PLATEADO Referencia:  Observacion:     Placa padre: I0003587Tipo adquisicion: Entidad</v>
      </c>
      <c r="G6466" s="5"/>
    </row>
    <row r="6467" spans="1:7" ht="58.5" customHeight="1" x14ac:dyDescent="0.25">
      <c r="A6467" s="5" t="str">
        <f>"I0003629"</f>
        <v>I0003629</v>
      </c>
      <c r="B6467" s="5" t="str">
        <f>"CINCEL (INSTRUMENTAL)"</f>
        <v>CINCEL (INSTRUMENTAL)</v>
      </c>
      <c r="C6467" s="6">
        <v>14566</v>
      </c>
      <c r="D6467" s="5"/>
      <c r="E6467" s="5" t="str">
        <f t="shared" si="315"/>
        <v>INSTRUMENTACION-DIANA CAICEDO-DIANA DIAZ</v>
      </c>
      <c r="F6467" s="5" t="str">
        <f>"Descripcion: CINCELES (2 RECTOS) Estado: Bueno Placa anterior: 000016475 Material: ACERO INOXIDABLE Color: PLATEADO Referencia:  Observacion:     Placa padre: I0003587Tipo adquisicion: Entidad"</f>
        <v>Descripcion: CINCELES (2 RECTOS) Estado: Bueno Placa anterior: 000016475 Material: ACERO INOXIDABLE Color: PLATEADO Referencia:  Observacion:     Placa padre: I0003587Tipo adquisicion: Entidad</v>
      </c>
      <c r="G6467" s="5"/>
    </row>
    <row r="6468" spans="1:7" ht="58.5" customHeight="1" x14ac:dyDescent="0.25">
      <c r="A6468" s="5" t="str">
        <f>"I0003630"</f>
        <v>I0003630</v>
      </c>
      <c r="B6468" s="5" t="str">
        <f>"CINCEL (INSTRUMENTAL)"</f>
        <v>CINCEL (INSTRUMENTAL)</v>
      </c>
      <c r="C6468" s="6">
        <v>14566</v>
      </c>
      <c r="D6468" s="5"/>
      <c r="E6468" s="5" t="str">
        <f t="shared" si="315"/>
        <v>INSTRUMENTACION-DIANA CAICEDO-DIANA DIAZ</v>
      </c>
      <c r="F6468" s="5" t="str">
        <f>"Descripcion: CINCELES (3 CURVOS) Estado: Bueno Placa anterior: 000016476 Material: ACERO INOXIDABLE Color: PLATEADO Referencia:  Observacion:     Placa padre: I0003587Tipo adquisicion: Entidad"</f>
        <v>Descripcion: CINCELES (3 CURVOS) Estado: Bueno Placa anterior: 000016476 Material: ACERO INOXIDABLE Color: PLATEADO Referencia:  Observacion:     Placa padre: I0003587Tipo adquisicion: Entidad</v>
      </c>
      <c r="G6468" s="5"/>
    </row>
    <row r="6469" spans="1:7" ht="58.5" customHeight="1" x14ac:dyDescent="0.25">
      <c r="A6469" s="5" t="str">
        <f>"I0003645"</f>
        <v>I0003645</v>
      </c>
      <c r="B6469" s="5" t="str">
        <f>"EQUIPO DE ORTOPEDIA"</f>
        <v>EQUIPO DE ORTOPEDIA</v>
      </c>
      <c r="C6469" s="6">
        <v>1924000</v>
      </c>
      <c r="D6469" s="5"/>
      <c r="E6469" s="5" t="str">
        <f t="shared" si="315"/>
        <v>INSTRUMENTACION-DIANA CAICEDO-DIANA DIAZ</v>
      </c>
      <c r="F6469" s="5" t="str">
        <f>"Descripcion: EQUIPO PEQUEÑO DE ORTOPEDIA #3  QUE CONSTA DE:  (1) MANGO DE BISTURI #4  (1) MANGO DE BISTURI #3  (1) TIJERA DE METZEMBAUN   (1) TIJERA DE MAYO RECTA  (2) SEPARADORES DE FARABEUF BABY   (2) SEPARADORES DE SENN MILLER  (1) PINZA DE DISECCION C"&amp; "ORTA CON GARRA  PEQUEÑAS  (1) PINZA DE DISECCION CORTA SIN GARRA PEQUEÑAS  (1)PINZA DE DISECCION ADSON CON GARRA  (4) PINZAS MOSQUITO CURVAS  (1) PINZAS KELLY CURVA   (0) PINZA KOCHERRECTAS (DIMEDA)  (4) PINZAS  ALLIX   (0) PORTA AGUJAS MEDIANO  (1) PORTA"&amp; " AGUJAS  PEQUEÑO  (1) GANCHO DE HUESO  (1) CLAMPS DE KERNS  (1) RUGINA CURVA   (2) SEPARADORES DE WOLKMAN (DIMEDA)  (1) ELEVADOR DE CHANLEY  (4) CINCELES (DIMEDA)  (3) CURETAS (DIMEDA)  (1) RASPA  (1) CIZALLA (DIMEDA)  (1) MARTILLO (DIMEDA)  (2) CLAMPS DE"&amp; " LOWMAN (DIMEDA)  (1) DISECTOR DE FREE  (6) PINZAS DE CAMPO  (1) CANULA DE YANKAWER (DIMEDA)  (1) CANULA DE SUCCIN DE FRAZIER  (1) COPA NIQUELADA  (1) PLATON NIQUELADO  (1) CUBETA DE INSTRUMENTAL NIQUELADA Estado: Bueno Placa anterior:  Material: ACERO IN"&amp; "OXIDABLE Color: PLATEADO Referencia:  Observacion:     Placa padre: Tipo adquisicion: Entidad"</f>
        <v>Descripcion: EQUIPO PEQUEÑO DE ORTOPEDIA #3  QUE CONSTA DE:  (1) MANGO DE BISTURI #4  (1) MANGO DE BISTURI #3  (1) TIJERA DE METZEMBAUN   (1) TIJERA DE MAYO RECTA  (2) SEPARADORES DE FARABEUF BABY   (2) SEPARADORES DE SENN MILLER  (1) PINZA DE DISECCION CORTA CON GARRA  PEQUEÑAS  (1) PINZA DE DISECCION CORTA SIN GARRA PEQUEÑAS  (1)PINZA DE DISECCION ADSON CON GARRA  (4) PINZAS MOSQUITO CURVAS  (1) PINZAS KELLY CURVA   (0) PINZA KOCHERRECTAS (DIMEDA)  (4) PINZAS  ALLIX   (0) PORTA AGUJAS MEDIANO  (1) PORTA AGUJAS  PEQUEÑO  (1) GANCHO DE HUESO  (1) CLAMPS DE KERNS  (1) RUGINA CURVA   (2) SEPARADORES DE WOLKMAN (DIMEDA)  (1) ELEVADOR DE CHANLEY  (4) CINCELES (DIMEDA)  (3) CURETAS (DIMEDA)  (1) RASPA  (1) CIZALLA (DIMEDA)  (1) MARTILLO (DIMEDA)  (2) CLAMPS DE LOWMAN (DIMEDA)  (1) DISECTOR DE FREE  (6) PINZAS DE CAMPO  (1) CANULA DE YANKAWER (DIMEDA)  (1) CANULA DE SUCCIN DE FRAZIER  (1) COPA NIQUELADA  (1) PLATON NIQUELADO  (1) CUBETA DE INSTRUMENTAL NIQUELADA Estado: Bueno Placa anterior:  Material: ACERO INOXIDABLE Color: PLATEADO Referencia:  Observacion:     Placa padre: Tipo adquisicion: Entidad</v>
      </c>
      <c r="G6469" s="5"/>
    </row>
    <row r="6470" spans="1:7" ht="58.5" customHeight="1" x14ac:dyDescent="0.25">
      <c r="A6470" s="5" t="str">
        <f>"I0003657"</f>
        <v>I0003657</v>
      </c>
      <c r="B6470" s="5" t="str">
        <f>"PINZA DE DISECCION SIN GARRA CORTA 20 CM"</f>
        <v>PINZA DE DISECCION SIN GARRA CORTA 20 CM</v>
      </c>
      <c r="C6470" s="6">
        <v>26680</v>
      </c>
      <c r="D6470" s="5"/>
      <c r="E6470" s="5" t="str">
        <f t="shared" si="315"/>
        <v>INSTRUMENTACION-DIANA CAICEDO-DIANA DIAZ</v>
      </c>
      <c r="F6470" s="5" t="str">
        <f>"Descripcion: PINZA DE DISECCION ADSON CON GARRA Estado: Bueno Placa anterior: 000031944 Material: ACERO INOXIDABLE Color: PLATEADO Referencia:  Observacion: PINZA DE DISECCION STANDARD Placa padre: I0003645Tipo adquisicion: Entidad"</f>
        <v>Descripcion: PINZA DE DISECCION ADSON CON GARRA Estado: Bueno Placa anterior: 000031944 Material: ACERO INOXIDABLE Color: PLATEADO Referencia:  Observacion: PINZA DE DISECCION STANDARD Placa padre: I0003645Tipo adquisicion: Entidad</v>
      </c>
      <c r="G6470" s="5"/>
    </row>
    <row r="6471" spans="1:7" ht="58.5" customHeight="1" x14ac:dyDescent="0.25">
      <c r="A6471" s="5" t="str">
        <f>"I0003666"</f>
        <v>I0003666</v>
      </c>
      <c r="B6471" s="5" t="str">
        <f>"PINZA KOCHER"</f>
        <v>PINZA KOCHER</v>
      </c>
      <c r="C6471" s="6">
        <v>116000</v>
      </c>
      <c r="D6471" s="5"/>
      <c r="E6471" s="5" t="str">
        <f t="shared" si="315"/>
        <v>INSTRUMENTACION-DIANA CAICEDO-DIANA DIAZ</v>
      </c>
      <c r="F6471" s="5" t="str">
        <f>"Descripcion: PINZAS DE KOCHER Estado: Bueno Placa anterior: 000036228 Material: ACERO INOXIDABLE Color: PLATEADO Referencia:  Observacion:     Placa padre: I0003645Tipo adquisicion: Entidad"</f>
        <v>Descripcion: PINZAS DE KOCHER Estado: Bueno Placa anterior: 000036228 Material: ACERO INOXIDABLE Color: PLATEADO Referencia:  Observacion:     Placa padre: I0003645Tipo adquisicion: Entidad</v>
      </c>
      <c r="G6471" s="5"/>
    </row>
    <row r="6472" spans="1:7" ht="58.5" customHeight="1" x14ac:dyDescent="0.25">
      <c r="A6472" s="5" t="str">
        <f>"I0003667"</f>
        <v>I0003667</v>
      </c>
      <c r="B6472" s="5" t="str">
        <f>"PINZA KOCHER"</f>
        <v>PINZA KOCHER</v>
      </c>
      <c r="C6472" s="6">
        <v>116000</v>
      </c>
      <c r="D6472" s="5"/>
      <c r="E6472" s="5" t="str">
        <f t="shared" si="315"/>
        <v>INSTRUMENTACION-DIANA CAICEDO-DIANA DIAZ</v>
      </c>
      <c r="F6472" s="5" t="str">
        <f>"Descripcion: PINZAS DE KOCHER Estado: Bueno Placa anterior: 000036229 Material: ACERO INOXIDABLE Color: PLATEADO Referencia:  Observacion:     Placa padre: I0003645Tipo adquisicion: Entidad"</f>
        <v>Descripcion: PINZAS DE KOCHER Estado: Bueno Placa anterior: 000036229 Material: ACERO INOXIDABLE Color: PLATEADO Referencia:  Observacion:     Placa padre: I0003645Tipo adquisicion: Entidad</v>
      </c>
      <c r="G6472" s="5"/>
    </row>
    <row r="6473" spans="1:7" ht="58.5" customHeight="1" x14ac:dyDescent="0.25">
      <c r="A6473" s="5" t="str">
        <f>"I0003675"</f>
        <v>I0003675</v>
      </c>
      <c r="B6473" s="5" t="str">
        <f>"CIZALLA (INSTRUMENTAL)"</f>
        <v>CIZALLA (INSTRUMENTAL)</v>
      </c>
      <c r="C6473" s="6">
        <v>487200</v>
      </c>
      <c r="D6473" s="5"/>
      <c r="E6473" s="5" t="str">
        <f t="shared" si="315"/>
        <v>INSTRUMENTACION-DIANA CAICEDO-DIANA DIAZ</v>
      </c>
      <c r="F6473" s="5" t="str">
        <f>"Descripcion: CIZALLA (DIMEDA) Estado: Bueno Placa anterior: 000032362 Material: ACERO INOXIDABLE Color: PLATEADO Referencia:  Observacion:     Placa padre: I0003645Tipo adquisicion: Entidad"</f>
        <v>Descripcion: CIZALLA (DIMEDA) Estado: Bueno Placa anterior: 000032362 Material: ACERO INOXIDABLE Color: PLATEADO Referencia:  Observacion:     Placa padre: I0003645Tipo adquisicion: Entidad</v>
      </c>
      <c r="G6473" s="5"/>
    </row>
    <row r="6474" spans="1:7" ht="58.5" customHeight="1" x14ac:dyDescent="0.25">
      <c r="A6474" s="5" t="str">
        <f>"I0003676"</f>
        <v>I0003676</v>
      </c>
      <c r="B6474" s="5" t="str">
        <f>"GANCHO (INSTRUMENTAL)"</f>
        <v>GANCHO (INSTRUMENTAL)</v>
      </c>
      <c r="C6474" s="6">
        <v>81200</v>
      </c>
      <c r="D6474" s="5"/>
      <c r="E6474" s="5" t="str">
        <f t="shared" si="315"/>
        <v>INSTRUMENTACION-DIANA CAICEDO-DIANA DIAZ</v>
      </c>
      <c r="F6474" s="5" t="str">
        <f>"Descripcion: GANCHO DE HUESO Estado: Bueno Placa anterior: 000032161 Material: ACERO INOXIDABLE Color: PLATEADO Referencia:  Observacion:     Placa padre: I0003645Tipo adquisicion: Entidad"</f>
        <v>Descripcion: GANCHO DE HUESO Estado: Bueno Placa anterior: 000032161 Material: ACERO INOXIDABLE Color: PLATEADO Referencia:  Observacion:     Placa padre: I0003645Tipo adquisicion: Entidad</v>
      </c>
      <c r="G6474" s="5"/>
    </row>
    <row r="6475" spans="1:7" ht="58.5" customHeight="1" x14ac:dyDescent="0.25">
      <c r="A6475" s="5" t="str">
        <f>"I0003677"</f>
        <v>I0003677</v>
      </c>
      <c r="B6475" s="5" t="str">
        <f>"MARTILLO (INSTRUMENTAL)"</f>
        <v>MARTILLO (INSTRUMENTAL)</v>
      </c>
      <c r="C6475" s="6">
        <v>452400</v>
      </c>
      <c r="D6475" s="5"/>
      <c r="E6475" s="5" t="str">
        <f t="shared" si="315"/>
        <v>INSTRUMENTACION-DIANA CAICEDO-DIANA DIAZ</v>
      </c>
      <c r="F6475" s="5" t="str">
        <f>"Descripcion: MARTILLO (DIMEDA) Estado: Bueno Placa anterior: 000031907 Material: ACERO INOXIDABLE Color: PLATEADO Referencia:  Observacion:     Placa padre: I0003645Tipo adquisicion: Entidad"</f>
        <v>Descripcion: MARTILLO (DIMEDA) Estado: Bueno Placa anterior: 000031907 Material: ACERO INOXIDABLE Color: PLATEADO Referencia:  Observacion:     Placa padre: I0003645Tipo adquisicion: Entidad</v>
      </c>
      <c r="G6475" s="5"/>
    </row>
    <row r="6476" spans="1:7" ht="58.5" customHeight="1" x14ac:dyDescent="0.25">
      <c r="A6476" s="5" t="str">
        <f>"I0003678"</f>
        <v>I0003678</v>
      </c>
      <c r="B6476" s="5" t="str">
        <f>"CLAMP DE KERNS"</f>
        <v>CLAMP DE KERNS</v>
      </c>
      <c r="C6476" s="6">
        <v>394400</v>
      </c>
      <c r="D6476" s="5"/>
      <c r="E6476" s="5" t="str">
        <f t="shared" si="315"/>
        <v>INSTRUMENTACION-DIANA CAICEDO-DIANA DIAZ</v>
      </c>
      <c r="F6476" s="5" t="str">
        <f>"Descripcion: CLAMPS DE KERNS Estado: Bueno Placa anterior: 000032380 Material: ACERO INOXIDABLE Color: PLATEADO Referencia:  Observacion:     Placa padre: I0003645Tipo adquisicion: Entidad"</f>
        <v>Descripcion: CLAMPS DE KERNS Estado: Bueno Placa anterior: 000032380 Material: ACERO INOXIDABLE Color: PLATEADO Referencia:  Observacion:     Placa padre: I0003645Tipo adquisicion: Entidad</v>
      </c>
      <c r="G6476" s="5"/>
    </row>
    <row r="6477" spans="1:7" ht="58.5" customHeight="1" x14ac:dyDescent="0.25">
      <c r="A6477" s="5" t="str">
        <f>"I0003679"</f>
        <v>I0003679</v>
      </c>
      <c r="B6477" s="5" t="str">
        <f>"CLAMP DE KERNS"</f>
        <v>CLAMP DE KERNS</v>
      </c>
      <c r="C6477" s="6">
        <v>556800</v>
      </c>
      <c r="D6477" s="5"/>
      <c r="E6477" s="5" t="str">
        <f t="shared" si="315"/>
        <v>INSTRUMENTACION-DIANA CAICEDO-DIANA DIAZ</v>
      </c>
      <c r="F6477" s="5" t="str">
        <f>"Descripcion: CLAMPS DE KERNS Estado: Bueno Placa anterior: 000032381 Material: ACERO INOXIDABLE Color: PLATEADO Referencia:  Observacion:     Placa padre: I0003645Tipo adquisicion: Entidad"</f>
        <v>Descripcion: CLAMPS DE KERNS Estado: Bueno Placa anterior: 000032381 Material: ACERO INOXIDABLE Color: PLATEADO Referencia:  Observacion:     Placa padre: I0003645Tipo adquisicion: Entidad</v>
      </c>
      <c r="G6477" s="5"/>
    </row>
    <row r="6478" spans="1:7" ht="58.5" customHeight="1" x14ac:dyDescent="0.25">
      <c r="A6478" s="5" t="str">
        <f>"I0003680"</f>
        <v>I0003680</v>
      </c>
      <c r="B6478" s="5" t="str">
        <f>"SEPARADOR DE VOLKMANN"</f>
        <v>SEPARADOR DE VOLKMANN</v>
      </c>
      <c r="C6478" s="6">
        <v>197200</v>
      </c>
      <c r="D6478" s="5"/>
      <c r="E6478" s="5" t="str">
        <f t="shared" si="315"/>
        <v>INSTRUMENTACION-DIANA CAICEDO-DIANA DIAZ</v>
      </c>
      <c r="F6478" s="5" t="str">
        <f>"Descripcion: SEPARADORES DE WOLMAN Estado: Bueno Placa anterior: 000032052 Material: ACERO INOXIDABLE Color: PLATEADO Referencia:  Observacion:     Placa padre: I0003645Tipo adquisicion: Entidad"</f>
        <v>Descripcion: SEPARADORES DE WOLMAN Estado: Bueno Placa anterior: 000032052 Material: ACERO INOXIDABLE Color: PLATEADO Referencia:  Observacion:     Placa padre: I0003645Tipo adquisicion: Entidad</v>
      </c>
      <c r="G6478" s="5"/>
    </row>
    <row r="6479" spans="1:7" ht="58.5" customHeight="1" x14ac:dyDescent="0.25">
      <c r="A6479" s="5" t="str">
        <f>"I0003681"</f>
        <v>I0003681</v>
      </c>
      <c r="B6479" s="5" t="str">
        <f>"SEPARADOR DE VOLKMANN"</f>
        <v>SEPARADOR DE VOLKMANN</v>
      </c>
      <c r="C6479" s="6">
        <v>197200</v>
      </c>
      <c r="D6479" s="5"/>
      <c r="E6479" s="5" t="str">
        <f t="shared" si="315"/>
        <v>INSTRUMENTACION-DIANA CAICEDO-DIANA DIAZ</v>
      </c>
      <c r="F6479" s="5" t="str">
        <f>"Descripcion: SEPARADORES DE WOLMAN Estado: Bueno Placa anterior: 000032053 Material: ACERO INOXIDABLE Color: PLATEADO Referencia:  Observacion:     Placa padre: I0003645Tipo adquisicion: Entidad"</f>
        <v>Descripcion: SEPARADORES DE WOLMAN Estado: Bueno Placa anterior: 000032053 Material: ACERO INOXIDABLE Color: PLATEADO Referencia:  Observacion:     Placa padre: I0003645Tipo adquisicion: Entidad</v>
      </c>
      <c r="G6479" s="5"/>
    </row>
    <row r="6480" spans="1:7" ht="58.5" customHeight="1" x14ac:dyDescent="0.25">
      <c r="A6480" s="5" t="str">
        <f>"I0003684"</f>
        <v>I0003684</v>
      </c>
      <c r="B6480" s="5" t="str">
        <f>"RUGINA"</f>
        <v>RUGINA</v>
      </c>
      <c r="C6480" s="6">
        <v>121800</v>
      </c>
      <c r="D6480" s="5"/>
      <c r="E6480" s="5" t="str">
        <f t="shared" si="315"/>
        <v>INSTRUMENTACION-DIANA CAICEDO-DIANA DIAZ</v>
      </c>
      <c r="F6480" s="5" t="str">
        <f>"Descripcion: RUGINA CURVA Estado: Bueno Placa anterior: 000032497 Material: ACERO INOXIDABLE Color: PLATEADO Referencia:  Observacion:     Placa padre: I0003645Tipo adquisicion: Entidad"</f>
        <v>Descripcion: RUGINA CURVA Estado: Bueno Placa anterior: 000032497 Material: ACERO INOXIDABLE Color: PLATEADO Referencia:  Observacion:     Placa padre: I0003645Tipo adquisicion: Entidad</v>
      </c>
      <c r="G6480" s="5"/>
    </row>
    <row r="6481" spans="1:7" ht="58.5" customHeight="1" x14ac:dyDescent="0.25">
      <c r="A6481" s="5" t="str">
        <f>"I0003686"</f>
        <v>I0003686</v>
      </c>
      <c r="B6481" s="5" t="str">
        <f>"CINCEL (INSTRUMENTAL)"</f>
        <v>CINCEL (INSTRUMENTAL)</v>
      </c>
      <c r="C6481" s="6">
        <v>14566</v>
      </c>
      <c r="D6481" s="5"/>
      <c r="E6481" s="5" t="str">
        <f t="shared" si="315"/>
        <v>INSTRUMENTACION-DIANA CAICEDO-DIANA DIAZ</v>
      </c>
      <c r="F6481" s="5" t="str">
        <f>"Descripcion: CINCELES (2 RECTOS) Estado: Bueno Placa anterior: 000016477 Material: ACERO INOXIDABLE Color: PLATEADO Referencia:  Observacion:     Placa padre: I0003645Tipo adquisicion: Entidad"</f>
        <v>Descripcion: CINCELES (2 RECTOS) Estado: Bueno Placa anterior: 000016477 Material: ACERO INOXIDABLE Color: PLATEADO Referencia:  Observacion:     Placa padre: I0003645Tipo adquisicion: Entidad</v>
      </c>
      <c r="G6481" s="5"/>
    </row>
    <row r="6482" spans="1:7" ht="58.5" customHeight="1" x14ac:dyDescent="0.25">
      <c r="A6482" s="5" t="str">
        <f>"I0003687"</f>
        <v>I0003687</v>
      </c>
      <c r="B6482" s="5" t="str">
        <f>"CINCEL (INSTRUMENTAL)"</f>
        <v>CINCEL (INSTRUMENTAL)</v>
      </c>
      <c r="C6482" s="6">
        <v>14566</v>
      </c>
      <c r="D6482" s="5"/>
      <c r="E6482" s="5" t="str">
        <f t="shared" si="315"/>
        <v>INSTRUMENTACION-DIANA CAICEDO-DIANA DIAZ</v>
      </c>
      <c r="F6482" s="5" t="str">
        <f>"Descripcion: CINCELES (2 RECTOS) Estado: Bueno Placa anterior: 000016478 Material: ACERO INOXIDABLE Color: PLATEADO Referencia:  Observacion:     Placa padre: I0003645Tipo adquisicion: Entidad"</f>
        <v>Descripcion: CINCELES (2 RECTOS) Estado: Bueno Placa anterior: 000016478 Material: ACERO INOXIDABLE Color: PLATEADO Referencia:  Observacion:     Placa padre: I0003645Tipo adquisicion: Entidad</v>
      </c>
      <c r="G6482" s="5"/>
    </row>
    <row r="6483" spans="1:7" ht="58.5" customHeight="1" x14ac:dyDescent="0.25">
      <c r="A6483" s="5" t="str">
        <f>"I0003688"</f>
        <v>I0003688</v>
      </c>
      <c r="B6483" s="5" t="str">
        <f>"CINCEL (INSTRUMENTAL)"</f>
        <v>CINCEL (INSTRUMENTAL)</v>
      </c>
      <c r="C6483" s="6">
        <v>14566</v>
      </c>
      <c r="D6483" s="5"/>
      <c r="E6483" s="5" t="str">
        <f t="shared" si="315"/>
        <v>INSTRUMENTACION-DIANA CAICEDO-DIANA DIAZ</v>
      </c>
      <c r="F6483" s="5" t="str">
        <f>"Descripcion: CINCELES (3 CURVOS) Estado: Bueno Placa anterior: 000016479 Material: ACERO INOXIDABLE Color: PLATEADO Referencia:  Observacion:     Placa padre: I0003645Tipo adquisicion: Entidad"</f>
        <v>Descripcion: CINCELES (3 CURVOS) Estado: Bueno Placa anterior: 000016479 Material: ACERO INOXIDABLE Color: PLATEADO Referencia:  Observacion:     Placa padre: I0003645Tipo adquisicion: Entidad</v>
      </c>
      <c r="G6483" s="5"/>
    </row>
    <row r="6484" spans="1:7" ht="58.5" customHeight="1" x14ac:dyDescent="0.25">
      <c r="A6484" s="5" t="str">
        <f>"I0003689"</f>
        <v>I0003689</v>
      </c>
      <c r="B6484" s="5" t="str">
        <f>"CINCEL (INSTRUMENTAL)"</f>
        <v>CINCEL (INSTRUMENTAL)</v>
      </c>
      <c r="C6484" s="6">
        <v>14566</v>
      </c>
      <c r="D6484" s="5"/>
      <c r="E6484" s="5" t="str">
        <f t="shared" si="315"/>
        <v>INSTRUMENTACION-DIANA CAICEDO-DIANA DIAZ</v>
      </c>
      <c r="F6484" s="5" t="str">
        <f>"Descripcion: CINCELES (3 CURVOS) Estado: Bueno Placa anterior: 000016480 Material: ACERO INOXIDABLE Color: PLATEADO Referencia:  Observacion:     Placa padre: I0003645Tipo adquisicion: Entidad"</f>
        <v>Descripcion: CINCELES (3 CURVOS) Estado: Bueno Placa anterior: 000016480 Material: ACERO INOXIDABLE Color: PLATEADO Referencia:  Observacion:     Placa padre: I0003645Tipo adquisicion: Entidad</v>
      </c>
      <c r="G6484" s="5"/>
    </row>
    <row r="6485" spans="1:7" ht="58.5" customHeight="1" x14ac:dyDescent="0.25">
      <c r="A6485" s="5" t="str">
        <f>"I0003704"</f>
        <v>I0003704</v>
      </c>
      <c r="B6485" s="5" t="str">
        <f>"EQUIPO DE ORTOPEDIA"</f>
        <v>EQUIPO DE ORTOPEDIA</v>
      </c>
      <c r="C6485" s="6">
        <v>1924000</v>
      </c>
      <c r="D6485" s="5"/>
      <c r="E6485" s="5" t="str">
        <f t="shared" si="315"/>
        <v>INSTRUMENTACION-DIANA CAICEDO-DIANA DIAZ</v>
      </c>
      <c r="F6485" s="5" t="str">
        <f>"Descripcion: EQUIPO PEQUEÑO DE ORTOPEDIA #4 QUE CONSTA DE:  (1) MANGO DE BISTURI #4(DIMEDA)  (1) MANGO DE BISTURI #3(DIMEDA)  (1) TIJERA DE METZEMBAUN (DIMEDA)  (1) TIJERA DE MAYO (DIMEDA)  (2) SEPARADORES DE FARABEUF (DIMEDA  (2) SEPARADORES DE SEN MILLE"&amp; "R  (2) SEPARADORES DE WOLMAN  (1)PINZA DE DISECCION ADSON CON GARRA (DIMEDA)  (1) PINZA DE DISECCION CON GARRA (DIMEDA)  (1) PINZA DE DISECCION SIN GARRA (DIMEDA)  (2) PINZAS MOSQUITO CURVAS (DIMEDA)  (4) PINZAS KELLY CURVA (DIMEDA)  (2) PINZAS ROCHESTER "&amp; "CURVAS (DIMEDA)  (2) PINZA KOCHER (DIMEDA)  (2) PORTA AGUJAS (DIMEDA)  (4) PINZAS ALLIX (DIMEDA)  (4) PINZAS CAMPO (DIMEDA)  (1) CANULA DE YANKAWER (DIMEDA)  (1) CANULA DE SUCCION DE FRAZIER (VIEJA)  (1) DISECTOR DE FREE (DIMEDA)  (1) RUGINA CURVA (DIMEDA"&amp; ")  (3) CURETAS (DIMEDA)  (1) GANCHO DE HUESO (DIMEDA)  (1) CIZALLA (DIMEDA)  (1) MARTILLO (DIMEDA)  (2) CINCELES  (1) CLAPM DE LOWMANN  (2) CLAMP KERN  (1) CAUCHO  (1)  PLATON Estado: Bueno Placa anterior:  Material: ACERO INOXIDABLE Color: PLATEADO Refer"&amp; "encia:  Observacion:     Placa padre: Tipo adquisicion: Entidad"</f>
        <v>Descripcion: EQUIPO PEQUEÑO DE ORTOPEDIA #4 QUE CONSTA DE:  (1) MANGO DE BISTURI #4(DIMEDA)  (1) MANGO DE BISTURI #3(DIMEDA)  (1) TIJERA DE METZEMBAUN (DIMEDA)  (1) TIJERA DE MAYO (DIMEDA)  (2) SEPARADORES DE FARABEUF (DIMEDA  (2) SEPARADORES DE SEN MILLER  (2) SEPARADORES DE WOLMAN  (1)PINZA DE DISECCION ADSON CON GARRA (DIMEDA)  (1) PINZA DE DISECCION CON GARRA (DIMEDA)  (1) PINZA DE DISECCION SIN GARRA (DIMEDA)  (2) PINZAS MOSQUITO CURVAS (DIMEDA)  (4) PINZAS KELLY CURVA (DIMEDA)  (2) PINZAS ROCHESTER CURVAS (DIMEDA)  (2) PINZA KOCHER (DIMEDA)  (2) PORTA AGUJAS (DIMEDA)  (4) PINZAS ALLIX (DIMEDA)  (4) PINZAS CAMPO (DIMEDA)  (1) CANULA DE YANKAWER (DIMEDA)  (1) CANULA DE SUCCION DE FRAZIER (VIEJA)  (1) DISECTOR DE FREE (DIMEDA)  (1) RUGINA CURVA (DIMEDA)  (3) CURETAS (DIMEDA)  (1) GANCHO DE HUESO (DIMEDA)  (1) CIZALLA (DIMEDA)  (1) MARTILLO (DIMEDA)  (2) CINCELES  (1) CLAPM DE LOWMANN  (2) CLAMP KERN  (1) CAUCHO  (1)  PLATON Estado: Bueno Placa anterior:  Material: ACERO INOXIDABLE Color: PLATEADO Referencia:  Observacion:     Placa padre: Tipo adquisicion: Entidad</v>
      </c>
      <c r="G6485" s="5"/>
    </row>
    <row r="6486" spans="1:7" ht="58.5" customHeight="1" x14ac:dyDescent="0.25">
      <c r="A6486" s="5" t="str">
        <f>"I0003715"</f>
        <v>I0003715</v>
      </c>
      <c r="B6486" s="5" t="str">
        <f>"PINZA DE DISECCION SIN GARRA CORTA 20 CM"</f>
        <v>PINZA DE DISECCION SIN GARRA CORTA 20 CM</v>
      </c>
      <c r="C6486" s="6">
        <v>26680</v>
      </c>
      <c r="D6486" s="5"/>
      <c r="E6486" s="5" t="str">
        <f t="shared" si="315"/>
        <v>INSTRUMENTACION-DIANA CAICEDO-DIANA DIAZ</v>
      </c>
      <c r="F6486" s="5" t="str">
        <f>"Descripcion: PINZA DE DISECCION ADSON CON GARRA Estado: Bueno Placa anterior: 000031945 Material: ACERO INOXIDABLE Color: PLATEADO Referencia:  Observacion: PINZA DE DISECCION STANDARD Placa padre: I0003704Tipo adquisicion: Entidad"</f>
        <v>Descripcion: PINZA DE DISECCION ADSON CON GARRA Estado: Bueno Placa anterior: 000031945 Material: ACERO INOXIDABLE Color: PLATEADO Referencia:  Observacion: PINZA DE DISECCION STANDARD Placa padre: I0003704Tipo adquisicion: Entidad</v>
      </c>
      <c r="G6486" s="5"/>
    </row>
    <row r="6487" spans="1:7" ht="58.5" customHeight="1" x14ac:dyDescent="0.25">
      <c r="A6487" s="5" t="str">
        <f>"I0003722"</f>
        <v>I0003722</v>
      </c>
      <c r="B6487" s="5" t="str">
        <f>"PINZA KOCHER"</f>
        <v>PINZA KOCHER</v>
      </c>
      <c r="C6487" s="6">
        <v>116000</v>
      </c>
      <c r="D6487" s="5"/>
      <c r="E6487" s="5" t="str">
        <f t="shared" si="315"/>
        <v>INSTRUMENTACION-DIANA CAICEDO-DIANA DIAZ</v>
      </c>
      <c r="F6487" s="5" t="str">
        <f>"Descripcion: PINZAS DE KOCHER Estado: Bueno Placa anterior: 000036230 Material: ACERO INOXIDABLE Color: PLATEADO Referencia:  Observacion:     Placa padre: I0003704Tipo adquisicion: Entidad"</f>
        <v>Descripcion: PINZAS DE KOCHER Estado: Bueno Placa anterior: 000036230 Material: ACERO INOXIDABLE Color: PLATEADO Referencia:  Observacion:     Placa padre: I0003704Tipo adquisicion: Entidad</v>
      </c>
      <c r="G6487" s="5"/>
    </row>
    <row r="6488" spans="1:7" ht="58.5" customHeight="1" x14ac:dyDescent="0.25">
      <c r="A6488" s="5" t="str">
        <f>"I0003723"</f>
        <v>I0003723</v>
      </c>
      <c r="B6488" s="5" t="str">
        <f>"PINZA KOCHER"</f>
        <v>PINZA KOCHER</v>
      </c>
      <c r="C6488" s="6">
        <v>36972.699999999997</v>
      </c>
      <c r="D6488" s="5"/>
      <c r="E6488" s="5" t="str">
        <f t="shared" si="315"/>
        <v>INSTRUMENTACION-DIANA CAICEDO-DIANA DIAZ</v>
      </c>
      <c r="F6488" s="5" t="str">
        <f>"Descripcion: PINZAS DE KOCHER Estado: Bueno Placa anterior: 000016397 Material: ACERO INOXIDABLE Color: PLATEADO Referencia:  Observacion:     Placa padre: I0003704Tipo adquisicion: Entidad"</f>
        <v>Descripcion: PINZAS DE KOCHER Estado: Bueno Placa anterior: 000016397 Material: ACERO INOXIDABLE Color: PLATEADO Referencia:  Observacion:     Placa padre: I0003704Tipo adquisicion: Entidad</v>
      </c>
      <c r="G6488" s="5"/>
    </row>
    <row r="6489" spans="1:7" ht="58.5" customHeight="1" x14ac:dyDescent="0.25">
      <c r="A6489" s="5" t="str">
        <f>"I0003731"</f>
        <v>I0003731</v>
      </c>
      <c r="B6489" s="5" t="str">
        <f>"CIZALLA (INSTRUMENTAL)"</f>
        <v>CIZALLA (INSTRUMENTAL)</v>
      </c>
      <c r="C6489" s="6">
        <v>638000</v>
      </c>
      <c r="D6489" s="5" t="s">
        <v>284</v>
      </c>
      <c r="E6489" s="5" t="str">
        <f t="shared" si="315"/>
        <v>INSTRUMENTACION-DIANA CAICEDO-DIANA DIAZ</v>
      </c>
      <c r="F6489" s="5" t="str">
        <f>"Descripcion: CIZALLA (DIMEDA) Estado: Bueno Placa anterior: 000032523 Material: ACERO INOXIDABLE Color: PLATEADO Referencia:  Observacion:     Placa padre: I0003704Tipo adquisicion: Entidad"</f>
        <v>Descripcion: CIZALLA (DIMEDA) Estado: Bueno Placa anterior: 000032523 Material: ACERO INOXIDABLE Color: PLATEADO Referencia:  Observacion:     Placa padre: I0003704Tipo adquisicion: Entidad</v>
      </c>
      <c r="G6489" s="5"/>
    </row>
    <row r="6490" spans="1:7" ht="58.5" customHeight="1" x14ac:dyDescent="0.25">
      <c r="A6490" s="5" t="str">
        <f>"I0003732"</f>
        <v>I0003732</v>
      </c>
      <c r="B6490" s="5" t="str">
        <f>"GANCHO (INSTRUMENTAL)"</f>
        <v>GANCHO (INSTRUMENTAL)</v>
      </c>
      <c r="C6490" s="6">
        <v>81200</v>
      </c>
      <c r="D6490" s="5"/>
      <c r="E6490" s="5" t="str">
        <f t="shared" si="315"/>
        <v>INSTRUMENTACION-DIANA CAICEDO-DIANA DIAZ</v>
      </c>
      <c r="F6490" s="5" t="str">
        <f>"Descripcion: GANCHO DE HUESO Estado: Bueno Placa anterior: 000032162 Material: ACERO INOXIDABLE Color: PLATEADO Referencia:  Observacion:     Placa padre: I0003704Tipo adquisicion: Entidad"</f>
        <v>Descripcion: GANCHO DE HUESO Estado: Bueno Placa anterior: 000032162 Material: ACERO INOXIDABLE Color: PLATEADO Referencia:  Observacion:     Placa padre: I0003704Tipo adquisicion: Entidad</v>
      </c>
      <c r="G6490" s="5"/>
    </row>
    <row r="6491" spans="1:7" ht="58.5" customHeight="1" x14ac:dyDescent="0.25">
      <c r="A6491" s="5" t="str">
        <f>"I0003733"</f>
        <v>I0003733</v>
      </c>
      <c r="B6491" s="5" t="str">
        <f>"MARTILLO (INSTRUMENTAL)"</f>
        <v>MARTILLO (INSTRUMENTAL)</v>
      </c>
      <c r="C6491" s="6">
        <v>417600</v>
      </c>
      <c r="D6491" s="5"/>
      <c r="E6491" s="5" t="str">
        <f t="shared" si="315"/>
        <v>INSTRUMENTACION-DIANA CAICEDO-DIANA DIAZ</v>
      </c>
      <c r="F6491" s="5" t="str">
        <f>"Descripcion: MARTILLO (DIMEDA) Estado: Bueno Placa anterior: 000032107 Material: ACERO INOXIDABLE Color: PLATEADO Referencia:  Observacion:     Placa padre: I0003704Tipo adquisicion: Entidad"</f>
        <v>Descripcion: MARTILLO (DIMEDA) Estado: Bueno Placa anterior: 000032107 Material: ACERO INOXIDABLE Color: PLATEADO Referencia:  Observacion:     Placa padre: I0003704Tipo adquisicion: Entidad</v>
      </c>
      <c r="G6491" s="5"/>
    </row>
    <row r="6492" spans="1:7" ht="58.5" customHeight="1" x14ac:dyDescent="0.25">
      <c r="A6492" s="5" t="str">
        <f>"I0003734"</f>
        <v>I0003734</v>
      </c>
      <c r="B6492" s="5" t="str">
        <f>"CLAMP DE KERNS"</f>
        <v>CLAMP DE KERNS</v>
      </c>
      <c r="C6492" s="6">
        <v>556800</v>
      </c>
      <c r="D6492" s="5"/>
      <c r="E6492" s="5" t="str">
        <f t="shared" si="315"/>
        <v>INSTRUMENTACION-DIANA CAICEDO-DIANA DIAZ</v>
      </c>
      <c r="F6492" s="5" t="str">
        <f>"Descripcion: CLAMPS DE KERNS Estado: Bueno Placa anterior: 000032382 Material: ACERO INOXIDABLE Color: PLATEADO Referencia:  Observacion:     Placa padre: I0003704Tipo adquisicion: Entidad"</f>
        <v>Descripcion: CLAMPS DE KERNS Estado: Bueno Placa anterior: 000032382 Material: ACERO INOXIDABLE Color: PLATEADO Referencia:  Observacion:     Placa padre: I0003704Tipo adquisicion: Entidad</v>
      </c>
      <c r="G6492" s="5"/>
    </row>
    <row r="6493" spans="1:7" ht="58.5" customHeight="1" x14ac:dyDescent="0.25">
      <c r="A6493" s="5" t="str">
        <f>"I0003735"</f>
        <v>I0003735</v>
      </c>
      <c r="B6493" s="5" t="str">
        <f>"CLAMP DE KERNS"</f>
        <v>CLAMP DE KERNS</v>
      </c>
      <c r="C6493" s="6">
        <v>556800</v>
      </c>
      <c r="D6493" s="5"/>
      <c r="E6493" s="5" t="str">
        <f t="shared" si="315"/>
        <v>INSTRUMENTACION-DIANA CAICEDO-DIANA DIAZ</v>
      </c>
      <c r="F6493" s="5" t="str">
        <f>"Descripcion: CLAMPS DE KERNS Estado: Bueno Placa anterior: 000032383 Material: ACERO INOXIDABLE Color: PLATEADO Referencia:  Observacion:     Placa padre: I0003704Tipo adquisicion: Entidad"</f>
        <v>Descripcion: CLAMPS DE KERNS Estado: Bueno Placa anterior: 000032383 Material: ACERO INOXIDABLE Color: PLATEADO Referencia:  Observacion:     Placa padre: I0003704Tipo adquisicion: Entidad</v>
      </c>
      <c r="G6493" s="5"/>
    </row>
    <row r="6494" spans="1:7" ht="58.5" customHeight="1" x14ac:dyDescent="0.25">
      <c r="A6494" s="5" t="str">
        <f>"I0003736"</f>
        <v>I0003736</v>
      </c>
      <c r="B6494" s="5" t="str">
        <f>"SEPARADOR DE VOLKMANN"</f>
        <v>SEPARADOR DE VOLKMANN</v>
      </c>
      <c r="C6494" s="6">
        <v>197200</v>
      </c>
      <c r="D6494" s="5"/>
      <c r="E6494" s="5" t="str">
        <f t="shared" si="315"/>
        <v>INSTRUMENTACION-DIANA CAICEDO-DIANA DIAZ</v>
      </c>
      <c r="F6494" s="5" t="str">
        <f>"Descripcion: SEPARADORES DE WOLMAN Estado: Bueno Placa anterior: 000032054 Material: ACERO INOXIDABLE Color: PLATEADO Referencia:  Observacion:     Placa padre: I0003704Tipo adquisicion: Entidad"</f>
        <v>Descripcion: SEPARADORES DE WOLMAN Estado: Bueno Placa anterior: 000032054 Material: ACERO INOXIDABLE Color: PLATEADO Referencia:  Observacion:     Placa padre: I0003704Tipo adquisicion: Entidad</v>
      </c>
      <c r="G6494" s="5"/>
    </row>
    <row r="6495" spans="1:7" ht="58.5" customHeight="1" x14ac:dyDescent="0.25">
      <c r="A6495" s="5" t="str">
        <f>"I0003737"</f>
        <v>I0003737</v>
      </c>
      <c r="B6495" s="5" t="str">
        <f>"SEPARADOR DE VOLKMANN"</f>
        <v>SEPARADOR DE VOLKMANN</v>
      </c>
      <c r="C6495" s="6">
        <v>197200</v>
      </c>
      <c r="D6495" s="5"/>
      <c r="E6495" s="5" t="str">
        <f t="shared" ref="E6495:E6558" si="316">"INSTRUMENTACION-DIANA CAICEDO-DIANA DIAZ"</f>
        <v>INSTRUMENTACION-DIANA CAICEDO-DIANA DIAZ</v>
      </c>
      <c r="F6495" s="5" t="str">
        <f>"Descripcion: SEPARADORES DE WOLMAN Estado: Bueno Placa anterior: 000032055 Material: ACERO INOXIDABLE Color: PLATEADO Referencia:  Observacion:     Placa padre: I0003704Tipo adquisicion: Entidad"</f>
        <v>Descripcion: SEPARADORES DE WOLMAN Estado: Bueno Placa anterior: 000032055 Material: ACERO INOXIDABLE Color: PLATEADO Referencia:  Observacion:     Placa padre: I0003704Tipo adquisicion: Entidad</v>
      </c>
      <c r="G6495" s="5"/>
    </row>
    <row r="6496" spans="1:7" ht="58.5" customHeight="1" x14ac:dyDescent="0.25">
      <c r="A6496" s="5" t="str">
        <f>"I0003739"</f>
        <v>I0003739</v>
      </c>
      <c r="B6496" s="5" t="str">
        <f>"RUGINA"</f>
        <v>RUGINA</v>
      </c>
      <c r="C6496" s="6">
        <v>121800</v>
      </c>
      <c r="D6496" s="5"/>
      <c r="E6496" s="5" t="str">
        <f t="shared" si="316"/>
        <v>INSTRUMENTACION-DIANA CAICEDO-DIANA DIAZ</v>
      </c>
      <c r="F6496" s="5" t="str">
        <f>"Descripcion: RUGINA CURVA Estado: Bueno Placa anterior: 000032490 Material: ACERO INOXIDABLE Color: PLATEADO Referencia:  Observacion:     Placa padre: I0003704Tipo adquisicion: Entidad"</f>
        <v>Descripcion: RUGINA CURVA Estado: Bueno Placa anterior: 000032490 Material: ACERO INOXIDABLE Color: PLATEADO Referencia:  Observacion:     Placa padre: I0003704Tipo adquisicion: Entidad</v>
      </c>
      <c r="G6496" s="5"/>
    </row>
    <row r="6497" spans="1:7" ht="58.5" customHeight="1" x14ac:dyDescent="0.25">
      <c r="A6497" s="5" t="str">
        <f>"I0003741"</f>
        <v>I0003741</v>
      </c>
      <c r="B6497" s="5" t="str">
        <f>"CINCEL (INSTRUMENTAL)"</f>
        <v>CINCEL (INSTRUMENTAL)</v>
      </c>
      <c r="C6497" s="6">
        <v>3867</v>
      </c>
      <c r="D6497" s="5"/>
      <c r="E6497" s="5" t="str">
        <f t="shared" si="316"/>
        <v>INSTRUMENTACION-DIANA CAICEDO-DIANA DIAZ</v>
      </c>
      <c r="F6497" s="5" t="str">
        <f>"Descripcion: CINCELES (2 RECTOS) Estado: Bueno Placa anterior: 000016484 Material: ACERO INOXIDABLE Color: PLATEADO Referencia:  Observacion:     Placa padre: I0003704Tipo adquisicion: Entidad"</f>
        <v>Descripcion: CINCELES (2 RECTOS) Estado: Bueno Placa anterior: 000016484 Material: ACERO INOXIDABLE Color: PLATEADO Referencia:  Observacion:     Placa padre: I0003704Tipo adquisicion: Entidad</v>
      </c>
      <c r="G6497" s="5"/>
    </row>
    <row r="6498" spans="1:7" ht="58.5" customHeight="1" x14ac:dyDescent="0.25">
      <c r="A6498" s="5" t="str">
        <f>"I0003742"</f>
        <v>I0003742</v>
      </c>
      <c r="B6498" s="5" t="str">
        <f>"CINCEL (INSTRUMENTAL)"</f>
        <v>CINCEL (INSTRUMENTAL)</v>
      </c>
      <c r="C6498" s="6">
        <v>3867</v>
      </c>
      <c r="D6498" s="5"/>
      <c r="E6498" s="5" t="str">
        <f t="shared" si="316"/>
        <v>INSTRUMENTACION-DIANA CAICEDO-DIANA DIAZ</v>
      </c>
      <c r="F6498" s="5" t="str">
        <f>"Descripcion: CINCELES (2 RECTOS) Estado: Bueno Placa anterior: 000016485 Material: ACERO INOXIDABLE Color: PLATEADO Referencia:  Observacion:     Placa padre: I0003704Tipo adquisicion: Entidad"</f>
        <v>Descripcion: CINCELES (2 RECTOS) Estado: Bueno Placa anterior: 000016485 Material: ACERO INOXIDABLE Color: PLATEADO Referencia:  Observacion:     Placa padre: I0003704Tipo adquisicion: Entidad</v>
      </c>
      <c r="G6498" s="5"/>
    </row>
    <row r="6499" spans="1:7" ht="58.5" customHeight="1" x14ac:dyDescent="0.25">
      <c r="A6499" s="5" t="str">
        <f>"I0003753"</f>
        <v>I0003753</v>
      </c>
      <c r="B6499" s="5" t="str">
        <f>"EQUIPO DE AMPUTACION"</f>
        <v>EQUIPO DE AMPUTACION</v>
      </c>
      <c r="C6499" s="6">
        <v>3655068</v>
      </c>
      <c r="D6499" s="5"/>
      <c r="E6499" s="5" t="str">
        <f t="shared" si="316"/>
        <v>INSTRUMENTACION-DIANA CAICEDO-DIANA DIAZ</v>
      </c>
      <c r="F6499" s="5" t="str">
        <f>"Descripcion: EQUIPO DE AMPUTACION  QUE CONSTA DE:  (1) MANGO DE BISTURI #4  (1) MANGO DE BISTURI #3 (DIMEDA)  (1) TIJERA DE METZEMBAUN CURVA LARGA  (1) TIJERA DE MAYO RECTA  (2) SEPARADORES DE FARABEUF  (1)PINZAS DE DISECCION CON GARRA PEQUEÑA  (1) PINZA "&amp; "DE DISECCION SIN GARRA PEQUEÑA  (1) PINZA DE DISECCION CON GARRA MEDIANA  (4) PINZAS KELLY CURVAS  (4) PINZAS  KELLY RECTAS (DIMEDA)  (6) PINZAS  ROCHESTER CURVAS  (1) PORTA AGUJAS DE MAYO MEDIANO (DIMEDA)  (1) RUGINA CURVA    (4) CINCELES   (2) CURETAS ("&amp; "DIMEDA)  (1) GUBIA PICO DE PATO  (1) RASPA DE PUTTY  (1) DISECTOR DE COBB PEQUEÑO   (1) MARTILLO   (0) MANILARES DE SIERRA DE GIGLY  (6) PINZAS DE CAMPO (DIMEDA)  (1) CANULA DE YANKAWER  (1) PLATON NIQUELADO  (1) CUBETA DE INSTRUMENTAL NIQUELADA Estado: B"&amp; "ueno Placa anterior: 000012701 Material: ACERO INOXIDABLE Color: PLATEADO Referencia:  Observacion:     Placa padre: Tipo adquisicion: Entidad"</f>
        <v>Descripcion: EQUIPO DE AMPUTACION  QUE CONSTA DE:  (1) MANGO DE BISTURI #4  (1) MANGO DE BISTURI #3 (DIMEDA)  (1) TIJERA DE METZEMBAUN CURVA LARGA  (1) TIJERA DE MAYO RECTA  (2) SEPARADORES DE FARABEUF  (1)PINZAS DE DISECCION CON GARRA PEQUEÑA  (1) PINZA DE DISECCION SIN GARRA PEQUEÑA  (1) PINZA DE DISECCION CON GARRA MEDIANA  (4) PINZAS KELLY CURVAS  (4) PINZAS  KELLY RECTAS (DIMEDA)  (6) PINZAS  ROCHESTER CURVAS  (1) PORTA AGUJAS DE MAYO MEDIANO (DIMEDA)  (1) RUGINA CURVA    (4) CINCELES   (2) CURETAS (DIMEDA)  (1) GUBIA PICO DE PATO  (1) RASPA DE PUTTY  (1) DISECTOR DE COBB PEQUEÑO   (1) MARTILLO   (0) MANILARES DE SIERRA DE GIGLY  (6) PINZAS DE CAMPO (DIMEDA)  (1) CANULA DE YANKAWER  (1) PLATON NIQUELADO  (1) CUBETA DE INSTRUMENTAL NIQUELADA Estado: Bueno Placa anterior: 000012701 Material: ACERO INOXIDABLE Color: PLATEADO Referencia:  Observacion:     Placa padre: Tipo adquisicion: Entidad</v>
      </c>
      <c r="G6499" s="5"/>
    </row>
    <row r="6500" spans="1:7" ht="58.5" customHeight="1" x14ac:dyDescent="0.25">
      <c r="A6500" s="5" t="str">
        <f>"I0003779"</f>
        <v>I0003779</v>
      </c>
      <c r="B6500" s="5" t="str">
        <f>"CINCEL (INSTRUMENTAL)"</f>
        <v>CINCEL (INSTRUMENTAL)</v>
      </c>
      <c r="C6500" s="6">
        <v>3867</v>
      </c>
      <c r="D6500" s="5"/>
      <c r="E6500" s="5" t="str">
        <f t="shared" si="316"/>
        <v>INSTRUMENTACION-DIANA CAICEDO-DIANA DIAZ</v>
      </c>
      <c r="F6500" s="5" t="str">
        <f>"Descripcion: CINCEL Estado: Bueno Placa anterior: 000016486 Material: ACERO INOXIDABLE Color: PLATEADO Referencia:  Observacion:     Placa padre: I0003753Tipo adquisicion: Entidad"</f>
        <v>Descripcion: CINCEL Estado: Bueno Placa anterior: 000016486 Material: ACERO INOXIDABLE Color: PLATEADO Referencia:  Observacion:     Placa padre: I0003753Tipo adquisicion: Entidad</v>
      </c>
      <c r="G6500" s="5"/>
    </row>
    <row r="6501" spans="1:7" ht="58.5" customHeight="1" x14ac:dyDescent="0.25">
      <c r="A6501" s="5" t="str">
        <f>"I0003780"</f>
        <v>I0003780</v>
      </c>
      <c r="B6501" s="5" t="str">
        <f>"CINCEL (INSTRUMENTAL)"</f>
        <v>CINCEL (INSTRUMENTAL)</v>
      </c>
      <c r="C6501" s="6">
        <v>3867</v>
      </c>
      <c r="D6501" s="5"/>
      <c r="E6501" s="5" t="str">
        <f t="shared" si="316"/>
        <v>INSTRUMENTACION-DIANA CAICEDO-DIANA DIAZ</v>
      </c>
      <c r="F6501" s="5" t="str">
        <f>"Descripcion: CINCEL Estado: Bueno Placa anterior: 000016487 Material: ACERO INOXIDABLE Color: PLATEADO Referencia:  Observacion:     Placa padre: I0003753Tipo adquisicion: Entidad"</f>
        <v>Descripcion: CINCEL Estado: Bueno Placa anterior: 000016487 Material: ACERO INOXIDABLE Color: PLATEADO Referencia:  Observacion:     Placa padre: I0003753Tipo adquisicion: Entidad</v>
      </c>
      <c r="G6501" s="5"/>
    </row>
    <row r="6502" spans="1:7" ht="58.5" customHeight="1" x14ac:dyDescent="0.25">
      <c r="A6502" s="5" t="str">
        <f>"I0003781"</f>
        <v>I0003781</v>
      </c>
      <c r="B6502" s="5" t="str">
        <f>"CINCEL (INSTRUMENTAL)"</f>
        <v>CINCEL (INSTRUMENTAL)</v>
      </c>
      <c r="C6502" s="6">
        <v>3867</v>
      </c>
      <c r="D6502" s="5"/>
      <c r="E6502" s="5" t="str">
        <f t="shared" si="316"/>
        <v>INSTRUMENTACION-DIANA CAICEDO-DIANA DIAZ</v>
      </c>
      <c r="F6502" s="5" t="str">
        <f>"Descripcion: CINCEL Estado: Bueno Placa anterior: 000016488 Material: ACERO INOXIDABLE Color: PLATEADO Referencia:  Observacion:     Placa padre: I0003753Tipo adquisicion: Entidad"</f>
        <v>Descripcion: CINCEL Estado: Bueno Placa anterior: 000016488 Material: ACERO INOXIDABLE Color: PLATEADO Referencia:  Observacion:     Placa padre: I0003753Tipo adquisicion: Entidad</v>
      </c>
      <c r="G6502" s="5"/>
    </row>
    <row r="6503" spans="1:7" ht="58.5" customHeight="1" x14ac:dyDescent="0.25">
      <c r="A6503" s="5" t="str">
        <f>"I0003782"</f>
        <v>I0003782</v>
      </c>
      <c r="B6503" s="5" t="str">
        <f>"CINCEL (INSTRUMENTAL)"</f>
        <v>CINCEL (INSTRUMENTAL)</v>
      </c>
      <c r="C6503" s="6">
        <v>3867</v>
      </c>
      <c r="D6503" s="5"/>
      <c r="E6503" s="5" t="str">
        <f t="shared" si="316"/>
        <v>INSTRUMENTACION-DIANA CAICEDO-DIANA DIAZ</v>
      </c>
      <c r="F6503" s="5" t="str">
        <f>"Descripcion: CINCEL Estado: Bueno Placa anterior: 000016489 Material: ACERO INOXIDABLE Color: PLATEADO Referencia:  Observacion:     Placa padre: I0003753Tipo adquisicion: Entidad"</f>
        <v>Descripcion: CINCEL Estado: Bueno Placa anterior: 000016489 Material: ACERO INOXIDABLE Color: PLATEADO Referencia:  Observacion:     Placa padre: I0003753Tipo adquisicion: Entidad</v>
      </c>
      <c r="G6503" s="5"/>
    </row>
    <row r="6504" spans="1:7" ht="58.5" customHeight="1" x14ac:dyDescent="0.25">
      <c r="A6504" s="5" t="str">
        <f>"I0003785"</f>
        <v>I0003785</v>
      </c>
      <c r="B6504" s="5" t="str">
        <f>"PINZA GUBIA"</f>
        <v>PINZA GUBIA</v>
      </c>
      <c r="C6504" s="6">
        <v>452400</v>
      </c>
      <c r="D6504" s="5"/>
      <c r="E6504" s="5" t="str">
        <f t="shared" si="316"/>
        <v>INSTRUMENTACION-DIANA CAICEDO-DIANA DIAZ</v>
      </c>
      <c r="F6504" s="5" t="str">
        <f>"Descripcion: GUBIA PICO DE PATO Estado: Bueno Placa anterior: 000031836 Material: ACERO INOXIDABLE Color: PLATEADO Referencia:  Observacion:     Placa padre: I0003753Tipo adquisicion: Entidad"</f>
        <v>Descripcion: GUBIA PICO DE PATO Estado: Bueno Placa anterior: 000031836 Material: ACERO INOXIDABLE Color: PLATEADO Referencia:  Observacion:     Placa padre: I0003753Tipo adquisicion: Entidad</v>
      </c>
      <c r="G6504" s="5"/>
    </row>
    <row r="6505" spans="1:7" ht="58.5" customHeight="1" x14ac:dyDescent="0.25">
      <c r="A6505" s="5" t="str">
        <f>"I0003788"</f>
        <v>I0003788</v>
      </c>
      <c r="B6505" s="5" t="str">
        <f>"MARTILLO (INSTRUMENTAL)"</f>
        <v>MARTILLO (INSTRUMENTAL)</v>
      </c>
      <c r="C6505" s="6">
        <v>417600</v>
      </c>
      <c r="D6505" s="5"/>
      <c r="E6505" s="5" t="str">
        <f t="shared" si="316"/>
        <v>INSTRUMENTACION-DIANA CAICEDO-DIANA DIAZ</v>
      </c>
      <c r="F6505" s="5" t="str">
        <f>"Descripcion: MARTILLO Estado: Bueno Placa anterior: 000032108 Material: ACERO INOXIDABLE Color: PLATEADO Referencia:  Observacion:     Placa padre: I0003753Tipo adquisicion: Entidad"</f>
        <v>Descripcion: MARTILLO Estado: Bueno Placa anterior: 000032108 Material: ACERO INOXIDABLE Color: PLATEADO Referencia:  Observacion:     Placa padre: I0003753Tipo adquisicion: Entidad</v>
      </c>
      <c r="G6505" s="5"/>
    </row>
    <row r="6506" spans="1:7" ht="58.5" customHeight="1" x14ac:dyDescent="0.25">
      <c r="A6506" s="5" t="str">
        <f>"I0003800"</f>
        <v>I0003800</v>
      </c>
      <c r="B6506" s="5" t="str">
        <f>"EQUIPO DE RICHARD (LAPAROSCOPIA)"</f>
        <v>EQUIPO DE RICHARD (LAPAROSCOPIA)</v>
      </c>
      <c r="C6506" s="6">
        <v>950411</v>
      </c>
      <c r="D6506" s="5"/>
      <c r="E6506" s="5" t="str">
        <f t="shared" si="316"/>
        <v>INSTRUMENTACION-DIANA CAICEDO-DIANA DIAZ</v>
      </c>
      <c r="F6506" s="5" t="str">
        <f>"Descripcion: EQUIPO DE RICHARD NUEVO QUE CONSTA DE:  (1) GUIA VISOR  (1) MANGO EN T CON TORNILLO DE AJUSTE  (1) GUÍA DE ANGULO AJUSTABLE  (1) REAMER TRIPLE DE TRES PIEZAS  (1) TARRAJA DE 4,5  (1) TARRAJA DE 6,5  (1) TARRAJA DESLIZANTE  (2) SEPARADORES DE "&amp; "HOWMANS  (1) IMPACTOR DE RICHAD  (1) ATORNILLADOR HEXAGONAL  (1) EXTENSION DE TORNILLO DE 2 PIEZAS  (1) MEDIDOR DESLIZANTE  (1) PINZA PORTA TORNILLOS  (1) GUIA DE BROCA Estado: Bueno Placa anterior: 000012702 Material: ACERO INOXIDABLE Color: PLATEADO Ref"&amp; "erencia:  Observacion:     Placa padre: Tipo adquisicion: Entidad"</f>
        <v>Descripcion: EQUIPO DE RICHARD NUEVO QUE CONSTA DE:  (1) GUIA VISOR  (1) MANGO EN T CON TORNILLO DE AJUSTE  (1) GUÍA DE ANGULO AJUSTABLE  (1) REAMER TRIPLE DE TRES PIEZAS  (1) TARRAJA DE 4,5  (1) TARRAJA DE 6,5  (1) TARRAJA DESLIZANTE  (2) SEPARADORES DE HOWMANS  (1) IMPACTOR DE RICHAD  (1) ATORNILLADOR HEXAGONAL  (1) EXTENSION DE TORNILLO DE 2 PIEZAS  (1) MEDIDOR DESLIZANTE  (1) PINZA PORTA TORNILLOS  (1) GUIA DE BROCA Estado: Bueno Placa anterior: 000012702 Material: ACERO INOXIDABLE Color: PLATEADO Referencia:  Observacion:     Placa padre: Tipo adquisicion: Entidad</v>
      </c>
      <c r="G6506" s="5"/>
    </row>
    <row r="6507" spans="1:7" ht="58.5" customHeight="1" x14ac:dyDescent="0.25">
      <c r="A6507" s="5" t="str">
        <f>"I0003802"</f>
        <v>I0003802</v>
      </c>
      <c r="B6507" s="5" t="str">
        <f>"MANGO EN T CON TORNILLO DE AJUSTE"</f>
        <v>MANGO EN T CON TORNILLO DE AJUSTE</v>
      </c>
      <c r="C6507" s="6">
        <v>571000</v>
      </c>
      <c r="D6507" s="5"/>
      <c r="E6507" s="5" t="str">
        <f t="shared" si="316"/>
        <v>INSTRUMENTACION-DIANA CAICEDO-DIANA DIAZ</v>
      </c>
      <c r="F6507" s="5" t="str">
        <f>"Descripcion: MANGO EN T CON TORNILLO DE AJUSTE Estado: Bueno Placa anterior: 000036259 Material: ACERO INOXIDABLE Color: PLATEADO Referencia:  Observacion:     Placa padre: I0003800Tipo adquisicion: Entidad"</f>
        <v>Descripcion: MANGO EN T CON TORNILLO DE AJUSTE Estado: Bueno Placa anterior: 000036259 Material: ACERO INOXIDABLE Color: PLATEADO Referencia:  Observacion:     Placa padre: I0003800Tipo adquisicion: Entidad</v>
      </c>
      <c r="G6507" s="5"/>
    </row>
    <row r="6508" spans="1:7" ht="58.5" customHeight="1" x14ac:dyDescent="0.25">
      <c r="A6508" s="5" t="str">
        <f>"I0003816"</f>
        <v>I0003816</v>
      </c>
      <c r="B6508" s="5" t="str">
        <f>"EQUIPO DE JUANETES"</f>
        <v>EQUIPO DE JUANETES</v>
      </c>
      <c r="C6508" s="6">
        <v>370000</v>
      </c>
      <c r="D6508" s="5"/>
      <c r="E6508" s="5" t="str">
        <f t="shared" si="316"/>
        <v>INSTRUMENTACION-DIANA CAICEDO-DIANA DIAZ</v>
      </c>
      <c r="F6508" s="5" t="str">
        <f>"Descripcion: EQUIPO DE JUANETES QUE CONSTA DE:  (1) CIZALLA MEDIANA  (1) GUBIA  (2) CURETAS  (1) DISECTOR ADSON  (4) CINCELES  (1) DISECTOR FREE  (1) RASPA  (1) MARTILLO Estado: Bueno Placa anterior: 000012691 Material: ACERO INOXIDABLE Color: PLATEADO Re"&amp; "ferencia:  Observacion:     Placa padre: Tipo adquisicion: Entidad"</f>
        <v>Descripcion: EQUIPO DE JUANETES QUE CONSTA DE:  (1) CIZALLA MEDIANA  (1) GUBIA  (2) CURETAS  (1) DISECTOR ADSON  (4) CINCELES  (1) DISECTOR FREE  (1) RASPA  (1) MARTILLO Estado: Bueno Placa anterior: 000012691 Material: ACERO INOXIDABLE Color: PLATEADO Referencia:  Observacion:     Placa padre: Tipo adquisicion: Entidad</v>
      </c>
      <c r="G6508" s="5"/>
    </row>
    <row r="6509" spans="1:7" ht="58.5" customHeight="1" x14ac:dyDescent="0.25">
      <c r="A6509" s="5" t="str">
        <f>"I0003817"</f>
        <v>I0003817</v>
      </c>
      <c r="B6509" s="5" t="str">
        <f>"CIZALLA (INSTRUMENTAL)"</f>
        <v>CIZALLA (INSTRUMENTAL)</v>
      </c>
      <c r="C6509" s="6">
        <v>638000</v>
      </c>
      <c r="D6509" s="5" t="s">
        <v>284</v>
      </c>
      <c r="E6509" s="5" t="str">
        <f t="shared" si="316"/>
        <v>INSTRUMENTACION-DIANA CAICEDO-DIANA DIAZ</v>
      </c>
      <c r="F6509" s="5" t="str">
        <f>"Descripcion: CIZALLA MEDIANA Estado: Bueno Placa anterior: 000032524 Material: ACERO INOXIDABLE Color: PLATEADO Referencia:  Observacion:     Placa padre: I0003816Tipo adquisicion: Entidad"</f>
        <v>Descripcion: CIZALLA MEDIANA Estado: Bueno Placa anterior: 000032524 Material: ACERO INOXIDABLE Color: PLATEADO Referencia:  Observacion:     Placa padre: I0003816Tipo adquisicion: Entidad</v>
      </c>
      <c r="G6509" s="5"/>
    </row>
    <row r="6510" spans="1:7" ht="58.5" customHeight="1" x14ac:dyDescent="0.25">
      <c r="A6510" s="5" t="str">
        <f>"I0003819"</f>
        <v>I0003819</v>
      </c>
      <c r="B6510" s="5" t="str">
        <f>"PINZA GUBIA"</f>
        <v>PINZA GUBIA</v>
      </c>
      <c r="C6510" s="6">
        <v>452400</v>
      </c>
      <c r="D6510" s="5"/>
      <c r="E6510" s="5" t="str">
        <f t="shared" si="316"/>
        <v>INSTRUMENTACION-DIANA CAICEDO-DIANA DIAZ</v>
      </c>
      <c r="F6510" s="5" t="str">
        <f>"Descripcion: GUBIA Estado: Bueno Placa anterior: 000031837 Material: ACERO INOXIDABLE Color: PLATEADO Referencia:  Observacion:     Placa padre: I0003816Tipo adquisicion: Entidad"</f>
        <v>Descripcion: GUBIA Estado: Bueno Placa anterior: 000031837 Material: ACERO INOXIDABLE Color: PLATEADO Referencia:  Observacion:     Placa padre: I0003816Tipo adquisicion: Entidad</v>
      </c>
      <c r="G6510" s="5"/>
    </row>
    <row r="6511" spans="1:7" ht="58.5" customHeight="1" x14ac:dyDescent="0.25">
      <c r="A6511" s="5" t="str">
        <f>"I0003829"</f>
        <v>I0003829</v>
      </c>
      <c r="B6511" s="5" t="str">
        <f>"MARTILLO (INSTRUMENTAL)"</f>
        <v>MARTILLO (INSTRUMENTAL)</v>
      </c>
      <c r="C6511" s="6">
        <v>417600</v>
      </c>
      <c r="D6511" s="5"/>
      <c r="E6511" s="5" t="str">
        <f t="shared" si="316"/>
        <v>INSTRUMENTACION-DIANA CAICEDO-DIANA DIAZ</v>
      </c>
      <c r="F6511" s="5" t="str">
        <f>"Descripcion: MARTILLO Estado: Bueno Placa anterior: 000032109 Material: ACERO INOXIDABLE Color: PLATEADO Referencia:  Observacion:     Placa padre: I0003816Tipo adquisicion: Entidad"</f>
        <v>Descripcion: MARTILLO Estado: Bueno Placa anterior: 000032109 Material: ACERO INOXIDABLE Color: PLATEADO Referencia:  Observacion:     Placa padre: I0003816Tipo adquisicion: Entidad</v>
      </c>
      <c r="G6511" s="5"/>
    </row>
    <row r="6512" spans="1:7" ht="58.5" customHeight="1" x14ac:dyDescent="0.25">
      <c r="A6512" s="5" t="str">
        <f>"I0003830"</f>
        <v>I0003830</v>
      </c>
      <c r="B6512" s="5" t="str">
        <f>"EQUIPO DE MENISCO"</f>
        <v>EQUIPO DE MENISCO</v>
      </c>
      <c r="C6512" s="6">
        <v>370368</v>
      </c>
      <c r="D6512" s="5"/>
      <c r="E6512" s="5" t="str">
        <f t="shared" si="316"/>
        <v>INSTRUMENTACION-DIANA CAICEDO-DIANA DIAZ</v>
      </c>
      <c r="F6512" s="5" t="str">
        <f>"Descripcion: EQUIPO DE MENISCO QUE CONSTA DE:(1) CINCEL PARA MENISCO(1) CUCHILLETE DWING(1) CUCHILLETE PARA CARTILAGO CON CURVA A LA DERECHA(1) CUCHILLETE PARA CARTILAGO CON CURVA A LA IZQUIERDA(2) PINZAS PARA MENISCO(1) PINZA SLOCUM MENISCO(1) TORCEDOR D"&amp; "E SHIPIN(0) SEPARADOR DE BLOWT(0) SEPARADOR DE MIYERS(1) TIJERA PARA MENISCO Estado: Bueno Placa anterior: 000012692 Material: ACERO INOXIDABLE Color: PLATEADO Referencia:  Observacion:     Placa padre: Tipo adquisicion: Entidad"</f>
        <v>Descripcion: EQUIPO DE MENISCO QUE CONSTA DE:(1) CINCEL PARA MENISCO(1) CUCHILLETE DWING(1) CUCHILLETE PARA CARTILAGO CON CURVA A LA DERECHA(1) CUCHILLETE PARA CARTILAGO CON CURVA A LA IZQUIERDA(2) PINZAS PARA MENISCO(1) PINZA SLOCUM MENISCO(1) TORCEDOR DE SHIPIN(0) SEPARADOR DE BLOWT(0) SEPARADOR DE MIYERS(1) TIJERA PARA MENISCO Estado: Bueno Placa anterior: 000012692 Material: ACERO INOXIDABLE Color: PLATEADO Referencia:  Observacion:     Placa padre: Tipo adquisicion: Entidad</v>
      </c>
      <c r="G6512" s="5"/>
    </row>
    <row r="6513" spans="1:7" ht="58.5" customHeight="1" x14ac:dyDescent="0.25">
      <c r="A6513" s="5" t="str">
        <f>"I0003843"</f>
        <v>I0003843</v>
      </c>
      <c r="B6513" s="5" t="str">
        <f t="shared" ref="B6513:B6518" si="317">"SEPARADOR (INSTRUMENTAL)"</f>
        <v>SEPARADOR (INSTRUMENTAL)</v>
      </c>
      <c r="C6513" s="6">
        <v>150</v>
      </c>
      <c r="D6513" s="5"/>
      <c r="E6513" s="5" t="str">
        <f t="shared" si="316"/>
        <v>INSTRUMENTACION-DIANA CAICEDO-DIANA DIAZ</v>
      </c>
      <c r="F6513" s="5" t="str">
        <f>"Descripcion: SEPARADORES DE MENISCO Estado: Bueno Placa anterior: 000016351 Material: ACERO INOXIDABLE Color: PLATEADO Referencia:  Observacion:     Placa padre: I0003842Tipo adquisicion: Entidad"</f>
        <v>Descripcion: SEPARADORES DE MENISCO Estado: Bueno Placa anterior: 000016351 Material: ACERO INOXIDABLE Color: PLATEADO Referencia:  Observacion:     Placa padre: I0003842Tipo adquisicion: Entidad</v>
      </c>
      <c r="G6513" s="5"/>
    </row>
    <row r="6514" spans="1:7" ht="58.5" customHeight="1" x14ac:dyDescent="0.25">
      <c r="A6514" s="5" t="str">
        <f>"I0003844"</f>
        <v>I0003844</v>
      </c>
      <c r="B6514" s="5" t="str">
        <f t="shared" si="317"/>
        <v>SEPARADOR (INSTRUMENTAL)</v>
      </c>
      <c r="C6514" s="6">
        <v>150</v>
      </c>
      <c r="D6514" s="5"/>
      <c r="E6514" s="5" t="str">
        <f t="shared" si="316"/>
        <v>INSTRUMENTACION-DIANA CAICEDO-DIANA DIAZ</v>
      </c>
      <c r="F6514" s="5" t="str">
        <f>"Descripcion: SEPARADORES DE MENISCO Estado: Bueno Placa anterior: 000016352 Material: ACERO INOXIDABLE Color: PLATEADO Referencia:  Observacion:     Placa padre: I0003842Tipo adquisicion: Entidad"</f>
        <v>Descripcion: SEPARADORES DE MENISCO Estado: Bueno Placa anterior: 000016352 Material: ACERO INOXIDABLE Color: PLATEADO Referencia:  Observacion:     Placa padre: I0003842Tipo adquisicion: Entidad</v>
      </c>
      <c r="G6514" s="5"/>
    </row>
    <row r="6515" spans="1:7" ht="58.5" customHeight="1" x14ac:dyDescent="0.25">
      <c r="A6515" s="5" t="str">
        <f>"I0003845"</f>
        <v>I0003845</v>
      </c>
      <c r="B6515" s="5" t="str">
        <f t="shared" si="317"/>
        <v>SEPARADOR (INSTRUMENTAL)</v>
      </c>
      <c r="C6515" s="6">
        <v>150</v>
      </c>
      <c r="D6515" s="5"/>
      <c r="E6515" s="5" t="str">
        <f t="shared" si="316"/>
        <v>INSTRUMENTACION-DIANA CAICEDO-DIANA DIAZ</v>
      </c>
      <c r="F6515" s="5" t="str">
        <f>"Descripcion: SEPARADORES DE MENISCO Estado: Bueno Placa anterior: 000016353 Material: ACERO INOXIDABLE Color: PLATEADO Referencia:  Observacion:     Placa padre: I0003842Tipo adquisicion: Entidad"</f>
        <v>Descripcion: SEPARADORES DE MENISCO Estado: Bueno Placa anterior: 000016353 Material: ACERO INOXIDABLE Color: PLATEADO Referencia:  Observacion:     Placa padre: I0003842Tipo adquisicion: Entidad</v>
      </c>
      <c r="G6515" s="5"/>
    </row>
    <row r="6516" spans="1:7" ht="58.5" customHeight="1" x14ac:dyDescent="0.25">
      <c r="A6516" s="5" t="str">
        <f>"I0003847"</f>
        <v>I0003847</v>
      </c>
      <c r="B6516" s="5" t="str">
        <f t="shared" si="317"/>
        <v>SEPARADOR (INSTRUMENTAL)</v>
      </c>
      <c r="C6516" s="6">
        <v>150</v>
      </c>
      <c r="D6516" s="5"/>
      <c r="E6516" s="5" t="str">
        <f t="shared" si="316"/>
        <v>INSTRUMENTACION-DIANA CAICEDO-DIANA DIAZ</v>
      </c>
      <c r="F6516" s="5" t="str">
        <f>"Descripcion: SEPARADORES DE MENISCO Estado: Bueno Placa anterior: 000016355 Material: ACERO INOXIDABLE Color: PLATEADO Referencia:  Observacion:     Placa padre: I0003842Tipo adquisicion: Entidad"</f>
        <v>Descripcion: SEPARADORES DE MENISCO Estado: Bueno Placa anterior: 000016355 Material: ACERO INOXIDABLE Color: PLATEADO Referencia:  Observacion:     Placa padre: I0003842Tipo adquisicion: Entidad</v>
      </c>
      <c r="G6516" s="5"/>
    </row>
    <row r="6517" spans="1:7" ht="58.5" customHeight="1" x14ac:dyDescent="0.25">
      <c r="A6517" s="5" t="str">
        <f>"I0003848"</f>
        <v>I0003848</v>
      </c>
      <c r="B6517" s="5" t="str">
        <f t="shared" si="317"/>
        <v>SEPARADOR (INSTRUMENTAL)</v>
      </c>
      <c r="C6517" s="6">
        <v>1850</v>
      </c>
      <c r="D6517" s="5"/>
      <c r="E6517" s="5" t="str">
        <f t="shared" si="316"/>
        <v>INSTRUMENTACION-DIANA CAICEDO-DIANA DIAZ</v>
      </c>
      <c r="F6517" s="5" t="str">
        <f>"Descripcion: SEPARADORES DE MENISCO Estado: Bueno Placa anterior: 000016449 Material: ACERO INOXIDABLE Color: PLATEADO Referencia:  Observacion:  Placa padre: I0003842Tipo adquisicion: Entidad"</f>
        <v>Descripcion: SEPARADORES DE MENISCO Estado: Bueno Placa anterior: 000016449 Material: ACERO INOXIDABLE Color: PLATEADO Referencia:  Observacion:  Placa padre: I0003842Tipo adquisicion: Entidad</v>
      </c>
      <c r="G6517" s="5"/>
    </row>
    <row r="6518" spans="1:7" ht="58.5" customHeight="1" x14ac:dyDescent="0.25">
      <c r="A6518" s="5" t="str">
        <f>"I0003849"</f>
        <v>I0003849</v>
      </c>
      <c r="B6518" s="5" t="str">
        <f t="shared" si="317"/>
        <v>SEPARADOR (INSTRUMENTAL)</v>
      </c>
      <c r="C6518" s="6">
        <v>1850</v>
      </c>
      <c r="D6518" s="5"/>
      <c r="E6518" s="5" t="str">
        <f t="shared" si="316"/>
        <v>INSTRUMENTACION-DIANA CAICEDO-DIANA DIAZ</v>
      </c>
      <c r="F6518" s="5" t="str">
        <f>"Descripcion: SEPARADORES DE MENISCO Estado: Bueno Placa anterior: 000016452 Material: ACERO INOXIDABLE Color: PLATEADO Referencia:  Observacion: MENISOSTOMO Placa padre: I0003842Tipo adquisicion: Entidad"</f>
        <v>Descripcion: SEPARADORES DE MENISCO Estado: Bueno Placa anterior: 000016452 Material: ACERO INOXIDABLE Color: PLATEADO Referencia:  Observacion: MENISOSTOMO Placa padre: I0003842Tipo adquisicion: Entidad</v>
      </c>
      <c r="G6518" s="5"/>
    </row>
    <row r="6519" spans="1:7" ht="58.5" customHeight="1" x14ac:dyDescent="0.25">
      <c r="A6519" s="5" t="str">
        <f>"I0003865"</f>
        <v>I0003865</v>
      </c>
      <c r="B6519" s="5" t="str">
        <f>"EQUIPO DE ESOFAGOSCOPIA"</f>
        <v>EQUIPO DE ESOFAGOSCOPIA</v>
      </c>
      <c r="C6519" s="6">
        <v>50000</v>
      </c>
      <c r="D6519" s="5"/>
      <c r="E6519" s="5" t="str">
        <f t="shared" si="316"/>
        <v>INSTRUMENTACION-DIANA CAICEDO-DIANA DIAZ</v>
      </c>
      <c r="F6519" s="5" t="str">
        <f>"Descripcion: EQUIPO DE GRAPAS QUE CONSTA DE:  (1) EXTRACTOR DE GRAPAS  (2) PORTA GRAPAS  (1) IMPACTOR DE GRAPAS Estado: Bueno Placa anterior: 000012696 Material: ACERO INOXIDABLE Color: PLATEADO Referencia:  Observacion:     Placa padre: Tipo adquisicion:"&amp; " Entidad"</f>
        <v>Descripcion: EQUIPO DE GRAPAS QUE CONSTA DE:  (1) EXTRACTOR DE GRAPAS  (2) PORTA GRAPAS  (1) IMPACTOR DE GRAPAS Estado: Bueno Placa anterior: 000012696 Material: ACERO INOXIDABLE Color: PLATEADO Referencia:  Observacion:     Placa padre: Tipo adquisicion: Entidad</v>
      </c>
      <c r="G6519" s="5"/>
    </row>
    <row r="6520" spans="1:7" ht="58.5" customHeight="1" x14ac:dyDescent="0.25">
      <c r="A6520" s="5" t="str">
        <f>"I0003876"</f>
        <v>I0003876</v>
      </c>
      <c r="B6520" s="5" t="str">
        <f>"SEPARADOR (INSTRUMENTAL)"</f>
        <v>SEPARADOR (INSTRUMENTAL)</v>
      </c>
      <c r="C6520" s="6">
        <v>307400</v>
      </c>
      <c r="D6520" s="5"/>
      <c r="E6520" s="5" t="str">
        <f t="shared" si="316"/>
        <v>INSTRUMENTACION-DIANA CAICEDO-DIANA DIAZ</v>
      </c>
      <c r="F6520" s="5" t="str">
        <f>"Descripcion: SEPARADOR DE HOWMANN Estado: Bueno Placa anterior: 000023253 Material: ACERO INOXIDABLE Color: PLATEADO Referencia:  Observacion: PALANCA PARA HUESOS (SEPARADORES DE VERBRUGEN MILLER) PUNTA CURVA HACIA ARRIBA AGUDA, HOJA DE 65MM. DE ANCHO LON"&amp; "G. TOTAL 255MM (10) Placa padre: I0003870Tipo adquisicion: Entidad"</f>
        <v>Descripcion: SEPARADOR DE HOWMANN Estado: Bueno Placa anterior: 000023253 Material: ACERO INOXIDABLE Color: PLATEADO Referencia:  Observacion: PALANCA PARA HUESOS (SEPARADORES DE VERBRUGEN MILLER) PUNTA CURVA HACIA ARRIBA AGUDA, HOJA DE 65MM. DE ANCHO LONG. TOTAL 255MM (10) Placa padre: I0003870Tipo adquisicion: Entidad</v>
      </c>
      <c r="G6520" s="5"/>
    </row>
    <row r="6521" spans="1:7" ht="58.5" customHeight="1" x14ac:dyDescent="0.25">
      <c r="A6521" s="5" t="str">
        <f>"I0003891"</f>
        <v>I0003891</v>
      </c>
      <c r="B6521" s="5" t="str">
        <f>"EQUIPO REEMPLAZO PARCIAL DE CADERA"</f>
        <v>EQUIPO REEMPLAZO PARCIAL DE CADERA</v>
      </c>
      <c r="C6521" s="6">
        <v>1691506</v>
      </c>
      <c r="D6521" s="5"/>
      <c r="E6521" s="5" t="str">
        <f t="shared" si="316"/>
        <v>INSTRUMENTACION-DIANA CAICEDO-DIANA DIAZ</v>
      </c>
      <c r="F6521" s="5" t="str">
        <f>"Descripcion: EQUIPO REMPLAZO PARCIAL DE CADERA QUE CONSTA DE:  (1) BARRA DE TOMMY  (1) CALIBRADOR DE TOMMY  (1) CALZADOR MURPHY  (1) CINCEL MOOR  (1) CINCEL PLANO  (1) CURETA CHARNLEY  (1) INICIADOR DE TRABAJO FEMORAL   (1) IMPACTOR DE PROTESIS  (2) RASPA"&amp; "S DE MOOR  (1) SEPARADOR DE FEMUR  (1) TIRABUZON   (1) RASPA SENCILLA Estado: Bueno Placa anterior: 000012697 Material: ACERO INOXIDABLE Color: PLATEADO Referencia:  Observacion:     Placa padre: Tipo adquisicion: Entidad"</f>
        <v>Descripcion: EQUIPO REMPLAZO PARCIAL DE CADERA QUE CONSTA DE:  (1) BARRA DE TOMMY  (1) CALIBRADOR DE TOMMY  (1) CALZADOR MURPHY  (1) CINCEL MOOR  (1) CINCEL PLANO  (1) CURETA CHARNLEY  (1) INICIADOR DE TRABAJO FEMORAL   (1) IMPACTOR DE PROTESIS  (2) RASPAS DE MOOR  (1) SEPARADOR DE FEMUR  (1) TIRABUZON   (1) RASPA SENCILLA Estado: Bueno Placa anterior: 000012697 Material: ACERO INOXIDABLE Color: PLATEADO Referencia:  Observacion:     Placa padre: Tipo adquisicion: Entidad</v>
      </c>
      <c r="G6521" s="5"/>
    </row>
    <row r="6522" spans="1:7" ht="58.5" customHeight="1" x14ac:dyDescent="0.25">
      <c r="A6522" s="5" t="str">
        <f>"I0003902"</f>
        <v>I0003902</v>
      </c>
      <c r="B6522" s="5" t="str">
        <f>"SEPARADOR (INSTRUMENTAL)"</f>
        <v>SEPARADOR (INSTRUMENTAL)</v>
      </c>
      <c r="C6522" s="6">
        <v>1850</v>
      </c>
      <c r="D6522" s="5"/>
      <c r="E6522" s="5" t="str">
        <f t="shared" si="316"/>
        <v>INSTRUMENTACION-DIANA CAICEDO-DIANA DIAZ</v>
      </c>
      <c r="F6522" s="5" t="str">
        <f>"Descripcion: SEPARADOR DE FEMUR Estado: Bueno Placa anterior: 000016450 Material: ACERO INOXIDABLE Color: PLATEADO Referencia:  Observacion: MENISOSTOMO Placa padre: I0003891Tipo adquisicion: Entidad"</f>
        <v>Descripcion: SEPARADOR DE FEMUR Estado: Bueno Placa anterior: 000016450 Material: ACERO INOXIDABLE Color: PLATEADO Referencia:  Observacion: MENISOSTOMO Placa padre: I0003891Tipo adquisicion: Entidad</v>
      </c>
      <c r="G6522" s="5"/>
    </row>
    <row r="6523" spans="1:7" ht="58.5" customHeight="1" x14ac:dyDescent="0.25">
      <c r="A6523" s="5" t="str">
        <f>"I0003942"</f>
        <v>I0003942</v>
      </c>
      <c r="B6523" s="5" t="str">
        <f>"CANASTA DE INSTRUMENTAL"</f>
        <v>CANASTA DE INSTRUMENTAL</v>
      </c>
      <c r="C6523" s="6">
        <v>1211577</v>
      </c>
      <c r="D6523" s="5"/>
      <c r="E6523" s="5" t="str">
        <f t="shared" si="316"/>
        <v>INSTRUMENTACION-DIANA CAICEDO-DIANA DIAZ</v>
      </c>
      <c r="F6523" s="5" t="str">
        <f>"Descripcion: CANASTILLAS Estado: B Placa anterior: 000033427 Material: ACERO INOXIDABLE Color: PLATEADO Referencia:  Observacion:     Placa padre: I0003905Tipo adquisicion: Entidad"</f>
        <v>Descripcion: CANASTILLAS Estado: B Placa anterior: 000033427 Material: ACERO INOXIDABLE Color: PLATEADO Referencia:  Observacion:     Placa padre: I0003905Tipo adquisicion: Entidad</v>
      </c>
      <c r="G6523" s="5"/>
    </row>
    <row r="6524" spans="1:7" ht="58.5" customHeight="1" x14ac:dyDescent="0.25">
      <c r="A6524" s="5" t="str">
        <f>"I0003944"</f>
        <v>I0003944</v>
      </c>
      <c r="B6524" s="5" t="str">
        <f>"CANASTA DE INSTRUMENTAL"</f>
        <v>CANASTA DE INSTRUMENTAL</v>
      </c>
      <c r="C6524" s="6">
        <v>1102394</v>
      </c>
      <c r="D6524" s="5"/>
      <c r="E6524" s="5" t="str">
        <f t="shared" si="316"/>
        <v>INSTRUMENTACION-DIANA CAICEDO-DIANA DIAZ</v>
      </c>
      <c r="F6524" s="5" t="str">
        <f>"Descripcion: CANASTILLAS Estado: B Placa anterior: 000033426 Material: ACERO INOXIDABLE Color: PLATEADO Referencia:  Observacion:     Placa padre: I0003905Tipo adquisicion: Entidad"</f>
        <v>Descripcion: CANASTILLAS Estado: B Placa anterior: 000033426 Material: ACERO INOXIDABLE Color: PLATEADO Referencia:  Observacion:     Placa padre: I0003905Tipo adquisicion: Entidad</v>
      </c>
      <c r="G6524" s="5"/>
    </row>
    <row r="6525" spans="1:7" ht="58.5" customHeight="1" x14ac:dyDescent="0.25">
      <c r="A6525" s="5" t="str">
        <f>"I0003948"</f>
        <v>I0003948</v>
      </c>
      <c r="B6525" s="5" t="str">
        <f>"SEPARADOR (INSTRUMENTAL)"</f>
        <v>SEPARADOR (INSTRUMENTAL)</v>
      </c>
      <c r="C6525" s="6">
        <v>36972</v>
      </c>
      <c r="D6525" s="5"/>
      <c r="E6525" s="5" t="str">
        <f t="shared" si="316"/>
        <v>INSTRUMENTACION-DIANA CAICEDO-DIANA DIAZ</v>
      </c>
      <c r="F6525" s="5" t="str">
        <f>"Descripcion: SEPARADORES DE JUDETH  Estado: Bueno Placa anterior: 000012703 Material: ACERO INOXIDABLE Color: PLATEADO Referencia:  Observacion:     Placa padre: I0003945Tipo adquisicion: Entidad"</f>
        <v>Descripcion: SEPARADORES DE JUDETH  Estado: Bueno Placa anterior: 000012703 Material: ACERO INOXIDABLE Color: PLATEADO Referencia:  Observacion:     Placa padre: I0003945Tipo adquisicion: Entidad</v>
      </c>
      <c r="G6525" s="5"/>
    </row>
    <row r="6526" spans="1:7" ht="58.5" customHeight="1" x14ac:dyDescent="0.25">
      <c r="A6526" s="5" t="str">
        <f>"I0003949"</f>
        <v>I0003949</v>
      </c>
      <c r="B6526" s="5" t="str">
        <f>"SEPARADOR (INSTRUMENTAL)"</f>
        <v>SEPARADOR (INSTRUMENTAL)</v>
      </c>
      <c r="C6526" s="6">
        <v>36972</v>
      </c>
      <c r="D6526" s="5"/>
      <c r="E6526" s="5" t="str">
        <f t="shared" si="316"/>
        <v>INSTRUMENTACION-DIANA CAICEDO-DIANA DIAZ</v>
      </c>
      <c r="F6526" s="5" t="str">
        <f>"Descripcion: SEPARADORES DE JUDETH  Estado: Bueno Placa anterior: 000012704 Material: ACERO INOXIDABLE Color: PLATEADO Referencia:  Observacion:     Placa padre: I0003945Tipo adquisicion: Entidad"</f>
        <v>Descripcion: SEPARADORES DE JUDETH  Estado: Bueno Placa anterior: 000012704 Material: ACERO INOXIDABLE Color: PLATEADO Referencia:  Observacion:     Placa padre: I0003945Tipo adquisicion: Entidad</v>
      </c>
      <c r="G6526" s="5"/>
    </row>
    <row r="6527" spans="1:7" ht="58.5" customHeight="1" x14ac:dyDescent="0.25">
      <c r="A6527" s="5" t="str">
        <f>"I0003950"</f>
        <v>I0003950</v>
      </c>
      <c r="B6527" s="5" t="str">
        <f>"SEPARADOR (INSTRUMENTAL)"</f>
        <v>SEPARADOR (INSTRUMENTAL)</v>
      </c>
      <c r="C6527" s="6">
        <v>36972</v>
      </c>
      <c r="D6527" s="5"/>
      <c r="E6527" s="5" t="str">
        <f t="shared" si="316"/>
        <v>INSTRUMENTACION-DIANA CAICEDO-DIANA DIAZ</v>
      </c>
      <c r="F6527" s="5" t="str">
        <f>"Descripcion: SEPARADPRES DE OLLIER  Estado: Bueno Placa anterior: 000012705 Material: ACERO INOXIDABLE Color: PLATEADO Referencia:  Observacion:     Placa padre: I0003945Tipo adquisicion: Entidad"</f>
        <v>Descripcion: SEPARADPRES DE OLLIER  Estado: Bueno Placa anterior: 000012705 Material: ACERO INOXIDABLE Color: PLATEADO Referencia:  Observacion:     Placa padre: I0003945Tipo adquisicion: Entidad</v>
      </c>
      <c r="G6527" s="5"/>
    </row>
    <row r="6528" spans="1:7" ht="58.5" customHeight="1" x14ac:dyDescent="0.25">
      <c r="A6528" s="5" t="str">
        <f>"I0003951"</f>
        <v>I0003951</v>
      </c>
      <c r="B6528" s="5" t="str">
        <f>"SEPARADOR (INSTRUMENTAL)"</f>
        <v>SEPARADOR (INSTRUMENTAL)</v>
      </c>
      <c r="C6528" s="6">
        <v>36972</v>
      </c>
      <c r="D6528" s="5"/>
      <c r="E6528" s="5" t="str">
        <f t="shared" si="316"/>
        <v>INSTRUMENTACION-DIANA CAICEDO-DIANA DIAZ</v>
      </c>
      <c r="F6528" s="5" t="str">
        <f>"Descripcion: SEPARADPRES DE OLLIER  Estado: Bueno Placa anterior: 000012706 Material: ACERO INOXIDABLE Color: PLATEADO Referencia:  Observacion:     Placa padre: I0003945Tipo adquisicion: Entidad"</f>
        <v>Descripcion: SEPARADPRES DE OLLIER  Estado: Bueno Placa anterior: 000012706 Material: ACERO INOXIDABLE Color: PLATEADO Referencia:  Observacion:     Placa padre: I0003945Tipo adquisicion: Entidad</v>
      </c>
      <c r="G6528" s="5"/>
    </row>
    <row r="6529" spans="1:7" ht="58.5" customHeight="1" x14ac:dyDescent="0.25">
      <c r="A6529" s="5" t="str">
        <f>"I0003960"</f>
        <v>I0003960</v>
      </c>
      <c r="B6529" s="5" t="str">
        <f>"SEPARADOR (INSTRUMENTAL)"</f>
        <v>SEPARADOR (INSTRUMENTAL)</v>
      </c>
      <c r="C6529" s="6">
        <v>307400</v>
      </c>
      <c r="D6529" s="5"/>
      <c r="E6529" s="5" t="str">
        <f t="shared" si="316"/>
        <v>INSTRUMENTACION-DIANA CAICEDO-DIANA DIAZ</v>
      </c>
      <c r="F6529" s="5" t="str">
        <f>"Descripcion: SEPARADORES DE HOWMAN Estado: Bueno Placa anterior: 000023252 Material: ACERO INOXIDABLE Color: PLATEADO Referencia:  Observacion: PALANCA PARA HUESOS (SEPARADORES DE VERBRUGEN MILLER) PUNTA CURVA HACIA ARRIBA AGUDA, HOJA DE 65MM. DE ANCHO LO"&amp; "NG. TOTAL 255MM (10)  Placa padre: I0003945Tipo adquisicion: Entidad"</f>
        <v>Descripcion: SEPARADORES DE HOWMAN Estado: Bueno Placa anterior: 000023252 Material: ACERO INOXIDABLE Color: PLATEADO Referencia:  Observacion: PALANCA PARA HUESOS (SEPARADORES DE VERBRUGEN MILLER) PUNTA CURVA HACIA ARRIBA AGUDA, HOJA DE 65MM. DE ANCHO LONG. TOTAL 255MM (10)  Placa padre: I0003945Tipo adquisicion: Entidad</v>
      </c>
      <c r="G6529" s="5"/>
    </row>
    <row r="6530" spans="1:7" ht="58.5" customHeight="1" x14ac:dyDescent="0.25">
      <c r="A6530" s="5" t="str">
        <f>"I0003962"</f>
        <v>I0003962</v>
      </c>
      <c r="B6530" s="5" t="str">
        <f>"SEPARADOR DE VOLKMANN"</f>
        <v>SEPARADOR DE VOLKMANN</v>
      </c>
      <c r="C6530" s="6">
        <v>156600</v>
      </c>
      <c r="D6530" s="5"/>
      <c r="E6530" s="5" t="str">
        <f t="shared" si="316"/>
        <v>INSTRUMENTACION-DIANA CAICEDO-DIANA DIAZ</v>
      </c>
      <c r="F6530" s="5" t="str">
        <f>"Descripcion: SEPARADORES DE WOLKMAN   Estado: Bueno Placa anterior: 000023177 Material: ACERO INOXIDABLE Color: PLATEADO Referencia:  Observacion:     Placa padre: I0003945Tipo adquisicion: Entidad"</f>
        <v>Descripcion: SEPARADORES DE WOLKMAN   Estado: Bueno Placa anterior: 000023177 Material: ACERO INOXIDABLE Color: PLATEADO Referencia:  Observacion:     Placa padre: I0003945Tipo adquisicion: Entidad</v>
      </c>
      <c r="G6530" s="5"/>
    </row>
    <row r="6531" spans="1:7" ht="58.5" customHeight="1" x14ac:dyDescent="0.25">
      <c r="A6531" s="5" t="str">
        <f>"I0003963"</f>
        <v>I0003963</v>
      </c>
      <c r="B6531" s="5" t="str">
        <f>"SEPARADOR DE VOLKMANN"</f>
        <v>SEPARADOR DE VOLKMANN</v>
      </c>
      <c r="C6531" s="6">
        <v>156600</v>
      </c>
      <c r="D6531" s="5"/>
      <c r="E6531" s="5" t="str">
        <f t="shared" si="316"/>
        <v>INSTRUMENTACION-DIANA CAICEDO-DIANA DIAZ</v>
      </c>
      <c r="F6531" s="5" t="str">
        <f>"Descripcion: SEPARADORES DE WOLKMAN   Estado: Bueno Placa anterior: 000023178 Material: ACERO INOXIDABLE Color: PLATEADO Referencia:  Observacion:     Placa padre: I0003945Tipo adquisicion: Entidad"</f>
        <v>Descripcion: SEPARADORES DE WOLKMAN   Estado: Bueno Placa anterior: 000023178 Material: ACERO INOXIDABLE Color: PLATEADO Referencia:  Observacion:     Placa padre: I0003945Tipo adquisicion: Entidad</v>
      </c>
      <c r="G6531" s="5"/>
    </row>
    <row r="6532" spans="1:7" ht="58.5" customHeight="1" x14ac:dyDescent="0.25">
      <c r="A6532" s="5" t="str">
        <f>"I0003964"</f>
        <v>I0003964</v>
      </c>
      <c r="B6532" s="5" t="str">
        <f>"RASPA (INSTRUMENTAL)"</f>
        <v>RASPA (INSTRUMENTAL)</v>
      </c>
      <c r="C6532" s="6">
        <v>253344</v>
      </c>
      <c r="D6532" s="5"/>
      <c r="E6532" s="5" t="str">
        <f t="shared" si="316"/>
        <v>INSTRUMENTACION-DIANA CAICEDO-DIANA DIAZ</v>
      </c>
      <c r="F6532" s="5" t="str">
        <f>"Descripcion: PAQUETE DE RASPA Estado: Bueno Placa anterior: 000023175 Material: ACERO INOXIDABLE Color: PLATEADO Referencia:  Observacion:     Placa padre: I0003945Tipo adquisicion: Entidad"</f>
        <v>Descripcion: PAQUETE DE RASPA Estado: Bueno Placa anterior: 000023175 Material: ACERO INOXIDABLE Color: PLATEADO Referencia:  Observacion:     Placa padre: I0003945Tipo adquisicion: Entidad</v>
      </c>
      <c r="G6532" s="5"/>
    </row>
    <row r="6533" spans="1:7" ht="58.5" customHeight="1" x14ac:dyDescent="0.25">
      <c r="A6533" s="5" t="str">
        <f>"I0003965"</f>
        <v>I0003965</v>
      </c>
      <c r="B6533" s="5" t="str">
        <f>"REGLA (INSTRUMENTAL)"</f>
        <v>REGLA (INSTRUMENTAL)</v>
      </c>
      <c r="C6533" s="6">
        <v>800</v>
      </c>
      <c r="D6533" s="5"/>
      <c r="E6533" s="5" t="str">
        <f t="shared" si="316"/>
        <v>INSTRUMENTACION-DIANA CAICEDO-DIANA DIAZ</v>
      </c>
      <c r="F6533" s="5" t="str">
        <f>"Descripcion: PAQUETE POR UNA REGLA Estado: Bueno Placa anterior: 000012737 Material: ACERO INOXIDABLE Color: PLATEADO Referencia:  Observacion:     Placa padre: I0003945Tipo adquisicion: Entidad"</f>
        <v>Descripcion: PAQUETE POR UNA REGLA Estado: Bueno Placa anterior: 000012737 Material: ACERO INOXIDABLE Color: PLATEADO Referencia:  Observacion:     Placa padre: I0003945Tipo adquisicion: Entidad</v>
      </c>
      <c r="G6533" s="5"/>
    </row>
    <row r="6534" spans="1:7" ht="58.5" customHeight="1" x14ac:dyDescent="0.25">
      <c r="A6534" s="5" t="str">
        <f>"I0003979"</f>
        <v>I0003979</v>
      </c>
      <c r="B6534" s="5" t="str">
        <f>"CLAMP DE LOWMANN"</f>
        <v>CLAMP DE LOWMANN</v>
      </c>
      <c r="C6534" s="6">
        <v>181888</v>
      </c>
      <c r="D6534" s="5"/>
      <c r="E6534" s="5" t="str">
        <f t="shared" si="316"/>
        <v>INSTRUMENTACION-DIANA CAICEDO-DIANA DIAZ</v>
      </c>
      <c r="F6534" s="5" t="str">
        <f>"Descripcion: CLAMPS BABY LOWMAN Estado: Bueno Placa anterior: 000012759 Material: ACERO INOXIDABLE Color: PLATEADO Referencia:  Observacion:     Placa padre: I0003945Tipo adquisicion: Entidad"</f>
        <v>Descripcion: CLAMPS BABY LOWMAN Estado: Bueno Placa anterior: 000012759 Material: ACERO INOXIDABLE Color: PLATEADO Referencia:  Observacion:     Placa padre: I0003945Tipo adquisicion: Entidad</v>
      </c>
      <c r="G6534" s="5"/>
    </row>
    <row r="6535" spans="1:7" ht="58.5" customHeight="1" x14ac:dyDescent="0.25">
      <c r="A6535" s="5" t="str">
        <f>"I0003993"</f>
        <v>I0003993</v>
      </c>
      <c r="B6535" s="5" t="str">
        <f>"ALICATE (INSTRUMENTAL)"</f>
        <v>ALICATE (INSTRUMENTAL)</v>
      </c>
      <c r="C6535" s="6">
        <v>852000</v>
      </c>
      <c r="D6535" s="5"/>
      <c r="E6535" s="5" t="str">
        <f t="shared" si="316"/>
        <v>INSTRUMENTACION-DIANA CAICEDO-DIANA DIAZ</v>
      </c>
      <c r="F6535" s="5" t="str">
        <f>"Descripcion: ALICATES Estado: Bueno Placa anterior: 000033194 Material: ACERO INOXIDABLE Color: PLATEADO Referencia:  Observacion:     Placa padre: I0003945Tipo adquisicion: Entidad"</f>
        <v>Descripcion: ALICATES Estado: Bueno Placa anterior: 000033194 Material: ACERO INOXIDABLE Color: PLATEADO Referencia:  Observacion:     Placa padre: I0003945Tipo adquisicion: Entidad</v>
      </c>
      <c r="G6535" s="5"/>
    </row>
    <row r="6536" spans="1:7" ht="58.5" customHeight="1" x14ac:dyDescent="0.25">
      <c r="A6536" s="5" t="str">
        <f>"I0003995"</f>
        <v>I0003995</v>
      </c>
      <c r="B6536" s="5" t="str">
        <f>"CIZALLA (INSTRUMENTAL)"</f>
        <v>CIZALLA (INSTRUMENTAL)</v>
      </c>
      <c r="C6536" s="6">
        <v>638000</v>
      </c>
      <c r="D6536" s="5" t="s">
        <v>284</v>
      </c>
      <c r="E6536" s="5" t="str">
        <f t="shared" si="316"/>
        <v>INSTRUMENTACION-DIANA CAICEDO-DIANA DIAZ</v>
      </c>
      <c r="F6536" s="5" t="str">
        <f>"Descripcion: CIZALLAS GRANDE  Estado: Bueno Placa anterior: 000032526 Material: ACERO INOXIDABLE Color: PLATEADO Referencia:  Observacion:     Placa padre: I0003945Tipo adquisicion: Entidad"</f>
        <v>Descripcion: CIZALLAS GRANDE  Estado: Bueno Placa anterior: 000032526 Material: ACERO INOXIDABLE Color: PLATEADO Referencia:  Observacion:     Placa padre: I0003945Tipo adquisicion: Entidad</v>
      </c>
      <c r="G6536" s="5"/>
    </row>
    <row r="6537" spans="1:7" ht="58.5" customHeight="1" x14ac:dyDescent="0.25">
      <c r="A6537" s="5" t="str">
        <f>"I0003998"</f>
        <v>I0003998</v>
      </c>
      <c r="B6537" s="5" t="str">
        <f>"CORTAFRIO (INSTRUMENTAL)"</f>
        <v>CORTAFRIO (INSTRUMENTAL)</v>
      </c>
      <c r="C6537" s="6">
        <v>50488</v>
      </c>
      <c r="D6537" s="5"/>
      <c r="E6537" s="5" t="str">
        <f t="shared" si="316"/>
        <v>INSTRUMENTACION-DIANA CAICEDO-DIANA DIAZ</v>
      </c>
      <c r="F6537" s="5" t="str">
        <f>"Descripcion: CORTA FRIOS Estado: Bueno Placa anterior: 000023812 Material: ACERO INOXIDABLE Color: PLATEADO Referencia:  Observacion: TIJERA UNIVERSAL CORTA ALAMBRE CURVA DE 12 cm.  Placa padre: I0003945Tipo adquisicion: Entidad"</f>
        <v>Descripcion: CORTA FRIOS Estado: Bueno Placa anterior: 000023812 Material: ACERO INOXIDABLE Color: PLATEADO Referencia:  Observacion: TIJERA UNIVERSAL CORTA ALAMBRE CURVA DE 12 cm.  Placa padre: I0003945Tipo adquisicion: Entidad</v>
      </c>
      <c r="G6537" s="5"/>
    </row>
    <row r="6538" spans="1:7" ht="58.5" customHeight="1" x14ac:dyDescent="0.25">
      <c r="A6538" s="5" t="str">
        <f>"I0004004"</f>
        <v>I0004004</v>
      </c>
      <c r="B6538" s="5" t="str">
        <f>"CINCEL ACANALADO"</f>
        <v>CINCEL ACANALADO</v>
      </c>
      <c r="C6538" s="6">
        <v>146160</v>
      </c>
      <c r="D6538" s="5"/>
      <c r="E6538" s="5" t="str">
        <f t="shared" si="316"/>
        <v>INSTRUMENTACION-DIANA CAICEDO-DIANA DIAZ</v>
      </c>
      <c r="F6538" s="5" t="str">
        <f>"Descripcion: CINCELES ACANALADOS FINOS N 8-6-4 Estado: Bueno Placa anterior: 000023257 Material: ACERO INOXIDABLE Color: PLATEADO Referencia:  Observacion: OSTEOMO JANSEN (CINCELES -8) Placa padre: I0003945Tipo adquisicion: Entidad"</f>
        <v>Descripcion: CINCELES ACANALADOS FINOS N 8-6-4 Estado: Bueno Placa anterior: 000023257 Material: ACERO INOXIDABLE Color: PLATEADO Referencia:  Observacion: OSTEOMO JANSEN (CINCELES -8) Placa padre: I0003945Tipo adquisicion: Entidad</v>
      </c>
      <c r="G6538" s="5"/>
    </row>
    <row r="6539" spans="1:7" ht="58.5" customHeight="1" x14ac:dyDescent="0.25">
      <c r="A6539" s="5" t="str">
        <f>"I0004007"</f>
        <v>I0004007</v>
      </c>
      <c r="B6539" s="5" t="str">
        <f>"DOBLADOR DE PLACA INSTRUMENTAL QUIRURGICO"</f>
        <v>DOBLADOR DE PLACA INSTRUMENTAL QUIRURGICO</v>
      </c>
      <c r="C6539" s="6">
        <v>4500</v>
      </c>
      <c r="D6539" s="5"/>
      <c r="E6539" s="5" t="str">
        <f t="shared" si="316"/>
        <v>INSTRUMENTACION-DIANA CAICEDO-DIANA DIAZ</v>
      </c>
      <c r="F6539" s="5" t="str">
        <f>"Descripcion: DOBLADOR DE PLACA Estado: Bueno Placa anterior: 000012789 Material: ACERO INOXIDABLE Color: PLATEADO Referencia:  Observacion:     Placa padre: I0003945Tipo adquisicion: Entidad"</f>
        <v>Descripcion: DOBLADOR DE PLACA Estado: Bueno Placa anterior: 000012789 Material: ACERO INOXIDABLE Color: PLATEADO Referencia:  Observacion:     Placa padre: I0003945Tipo adquisicion: Entidad</v>
      </c>
      <c r="G6539" s="5"/>
    </row>
    <row r="6540" spans="1:7" ht="58.5" customHeight="1" x14ac:dyDescent="0.25">
      <c r="A6540" s="5" t="str">
        <f>"I0004008"</f>
        <v>I0004008</v>
      </c>
      <c r="B6540" s="5" t="str">
        <f>"GANCHO (INSTRUMENTAL)"</f>
        <v>GANCHO (INSTRUMENTAL)</v>
      </c>
      <c r="C6540" s="6">
        <v>81200</v>
      </c>
      <c r="D6540" s="5"/>
      <c r="E6540" s="5" t="str">
        <f t="shared" si="316"/>
        <v>INSTRUMENTACION-DIANA CAICEDO-DIANA DIAZ</v>
      </c>
      <c r="F6540" s="5" t="str">
        <f>"Descripcion: GANCHOS DE HUESO Estado: Bueno Placa anterior: 000032163 Material: ACERO INOXIDABLE Color: PLATEADO Referencia:  Observacion:     Placa padre: I0003945Tipo adquisicion: Entidad"</f>
        <v>Descripcion: GANCHOS DE HUESO Estado: Bueno Placa anterior: 000032163 Material: ACERO INOXIDABLE Color: PLATEADO Referencia:  Observacion:     Placa padre: I0003945Tipo adquisicion: Entidad</v>
      </c>
      <c r="G6540" s="5"/>
    </row>
    <row r="6541" spans="1:7" ht="58.5" customHeight="1" x14ac:dyDescent="0.25">
      <c r="A6541" s="5" t="str">
        <f>"I0004009"</f>
        <v>I0004009</v>
      </c>
      <c r="B6541" s="5" t="str">
        <f>"GANCHO (INSTRUMENTAL)"</f>
        <v>GANCHO (INSTRUMENTAL)</v>
      </c>
      <c r="C6541" s="6">
        <v>81200</v>
      </c>
      <c r="D6541" s="5"/>
      <c r="E6541" s="5" t="str">
        <f t="shared" si="316"/>
        <v>INSTRUMENTACION-DIANA CAICEDO-DIANA DIAZ</v>
      </c>
      <c r="F6541" s="5" t="str">
        <f>"Descripcion: GANCHOS DE HUESO Estado: Bueno Placa anterior: 000032164 Material: ACERO INOXIDABLE Color: PLATEADO Referencia:  Observacion:     Placa padre: I0003945Tipo adquisicion: Entidad"</f>
        <v>Descripcion: GANCHOS DE HUESO Estado: Bueno Placa anterior: 000032164 Material: ACERO INOXIDABLE Color: PLATEADO Referencia:  Observacion:     Placa padre: I0003945Tipo adquisicion: Entidad</v>
      </c>
      <c r="G6541" s="5"/>
    </row>
    <row r="6542" spans="1:7" ht="58.5" customHeight="1" x14ac:dyDescent="0.25">
      <c r="A6542" s="5" t="str">
        <f>"I0004014"</f>
        <v>I0004014</v>
      </c>
      <c r="B6542" s="5" t="str">
        <f>"EQUIPO DE PEQUEÑOS FRAGMENTOS"</f>
        <v>EQUIPO DE PEQUEÑOS FRAGMENTOS</v>
      </c>
      <c r="C6542" s="6">
        <v>10041937</v>
      </c>
      <c r="D6542" s="5"/>
      <c r="E6542" s="5" t="str">
        <f t="shared" si="316"/>
        <v>INSTRUMENTACION-DIANA CAICEDO-DIANA DIAZ</v>
      </c>
      <c r="F6542" s="5" t="str">
        <f>"Descripcion: EQUIPO DE PEQUEÑOS FRAGMENTOS  BANDEJA PEQUEÑA QUE CONSTA DE:(2) TARRAJAS EN T(1) GUIA DE TARRAJA DE 2.5 (1) DESTORNILLADOR DE MANGO AZUL(0) DESTORNILLADOR PARA ANCLAR (1) AVELLANADOR (1) GUIA DE PLACA CENTRICA Y EXENTRICA (1) GANCHO AGUDO ER"&amp; "INA (2) SEPARADORES DE MINI COBRA (2) SEPARADORES DE MINI HOWMAN (2) DOBLADORES DE PLACAS (1) PINZA PARA HUESO (1) PINZA PORTA PLACAS PEQUEÑA (1) PINZA REDUCTORA CON AGARRE (0) PINZA PARA PEQUEÑOS FRAGMENTOS (1) PINZA DOBLADORA (1) SET DE BROCAS 2.5 Y 3.5"&amp; " Estado: Bueno Placa anterior: 000022517 Material: ACERO INOXIDABLE Color: PLATEADO Referencia:  Observacion: INSTRUMENTAL PARA PEQUEÑOS FRAGMENTOS MARCA AESCULAP, ALEMAN COMPUESTO POR: BANDEJA1: GC414R 1 BROCA ESPIRAL 2.0 mm DE DIAMETRO VASTAGO CUADRADO."&amp; "GC415R BROCA ESPIRAL 2.5mm DE DIAMETRO VASTGO CUADRADO.GC416R BROCA ESPIRAL 2.7 mm VASTGO CUADRADO.GC420R 1 BROCA ESPIRAL 3.5 mm DE DIAMETRO VASTAGO CUADRADO. GC432R 1 AVELLANADOR, CON VASTAGO CUADRADO. GC439R 1 MACHO PARA ROSCADO , 2.7 mm VASTAGO CUADRAD"&amp; "O . GC441R 1 MACHO PARA ROSCADO, 3.5 MM DE DIAMETRO VASTAGO CUADRADO. GC446R 1 MACHO PARA ROSCADO, 4.0 MM DE DIAMETRO VASTAGO CUADRADO. GC404R 1 MANGO CON PORTABROCA DE CIERRE RAPIDO. LS089R 0 CASQUILLO DE TALADRO PARA BROCAS 2.0 MM DE DIAMETRO. LS091R 0 "&amp; "CASQUILLO DE TALADRO PARA BROCAS 2.5 MM DE DIAMETRO. LS0715 1 PROTECTOR DE TEJIDO PARA MACHOS Y BROCAS DE 3.5 MM. L097S 0 CASQUILLO DENTADO, PARA BROCAS DE 3.5 MM DE DIAMETRO. LS002R 1 DESTORNILLADOR EXAGONAL, PARA TORNILLO DE 2.5 MM. GC455R 1 DESTORNILLA"&amp; "DOR DE CIERER RAPIDO VASTAGO CUADRADO. LS008R 1 FIJADOR PARA TORNILLOS LONG. 6CM. LS044R 1 MEDIDOR DE PROFUNDIDAD PEQUEÑO. LS120R 1 CASQUILLO DE TALADRO PARA TENSION Y NEUTRAL. FK317R 1 PERISTOTOMO PEQUEÑO ANCHO 3MM. LPO61R 1 RACK SUPERIOR SUELTO PARA COL"&amp; "OCAR INSTRUMENTAL - BANDEJA NO.2 CONTIENE: DB402R 1 GANCHITO AFILADO (ERINA) . LS204R 1 PALANCA TRISCADORA PARA PLACAS PEQUEÑAS. LS205R 1 PINZA PARA DOBLAR PLACAS PEQUEÑAS. F0169R 1 PINZA AUTOCENTRANTE PARA SUJETA"</f>
        <v>Descripcion: EQUIPO DE PEQUEÑOS FRAGMENTOS  BANDEJA PEQUEÑA QUE CONSTA DE:(2) TARRAJAS EN T(1) GUIA DE TARRAJA DE 2.5 (1) DESTORNILLADOR DE MANGO AZUL(0) DESTORNILLADOR PARA ANCLAR (1) AVELLANADOR (1) GUIA DE PLACA CENTRICA Y EXENTRICA (1) GANCHO AGUDO ERINA (2) SEPARADORES DE MINI COBRA (2) SEPARADORES DE MINI HOWMAN (2) DOBLADORES DE PLACAS (1) PINZA PARA HUESO (1) PINZA PORTA PLACAS PEQUEÑA (1) PINZA REDUCTORA CON AGARRE (0) PINZA PARA PEQUEÑOS FRAGMENTOS (1) PINZA DOBLADORA (1) SET DE BROCAS 2.5 Y 3.5 Estado: Bueno Placa anterior: 000022517 Material: ACERO INOXIDABLE Color: PLATEADO Referencia:  Observacion: INSTRUMENTAL PARA PEQUEÑOS FRAGMENTOS MARCA AESCULAP, ALEMAN COMPUESTO POR: BANDEJA1: GC414R 1 BROCA ESPIRAL 2.0 mm DE DIAMETRO VASTAGO CUADRADO.GC415R BROCA ESPIRAL 2.5mm DE DIAMETRO VASTGO CUADRADO.GC416R BROCA ESPIRAL 2.7 mm VASTGO CUADRADO.GC420R 1 BROCA ESPIRAL 3.5 mm DE DIAMETRO VASTAGO CUADRADO. GC432R 1 AVELLANADOR, CON VASTAGO CUADRADO. GC439R 1 MACHO PARA ROSCADO , 2.7 mm VASTAGO CUADRADO . GC441R 1 MACHO PARA ROSCADO, 3.5 MM DE DIAMETRO VASTAGO CUADRADO. GC446R 1 MACHO PARA ROSCADO, 4.0 MM DE DIAMETRO VASTAGO CUADRADO. GC404R 1 MANGO CON PORTABROCA DE CIERRE RAPIDO. LS089R 0 CASQUILLO DE TALADRO PARA BROCAS 2.0 MM DE DIAMETRO. LS091R 0 CASQUILLO DE TALADRO PARA BROCAS 2.5 MM DE DIAMETRO. LS0715 1 PROTECTOR DE TEJIDO PARA MACHOS Y BROCAS DE 3.5 MM. L097S 0 CASQUILLO DENTADO, PARA BROCAS DE 3.5 MM DE DIAMETRO. LS002R 1 DESTORNILLADOR EXAGONAL, PARA TORNILLO DE 2.5 MM. GC455R 1 DESTORNILLADOR DE CIERER RAPIDO VASTAGO CUADRADO. LS008R 1 FIJADOR PARA TORNILLOS LONG. 6CM. LS044R 1 MEDIDOR DE PROFUNDIDAD PEQUEÑO. LS120R 1 CASQUILLO DE TALADRO PARA TENSION Y NEUTRAL. FK317R 1 PERISTOTOMO PEQUEÑO ANCHO 3MM. LPO61R 1 RACK SUPERIOR SUELTO PARA COLOCAR INSTRUMENTAL - BANDEJA NO.2 CONTIENE: DB402R 1 GANCHITO AFILADO (ERINA) . LS204R 1 PALANCA TRISCADORA PARA PLACAS PEQUEÑAS. LS205R 1 PINZA PARA DOBLAR PLACAS PEQUEÑAS. F0169R 1 PINZA AUTOCENTRANTE PARA SUJETA</v>
      </c>
      <c r="G6542" s="5"/>
    </row>
    <row r="6543" spans="1:7" ht="58.5" customHeight="1" x14ac:dyDescent="0.25">
      <c r="A6543" s="5" t="str">
        <f>"I0004034"</f>
        <v>I0004034</v>
      </c>
      <c r="B6543" s="5" t="str">
        <f>"EQUIPO BASICO DE ORTOPEDIA"</f>
        <v>EQUIPO BASICO DE ORTOPEDIA</v>
      </c>
      <c r="C6543" s="6">
        <v>1000006</v>
      </c>
      <c r="D6543" s="5"/>
      <c r="E6543" s="5" t="str">
        <f t="shared" si="316"/>
        <v>INSTRUMENTACION-DIANA CAICEDO-DIANA DIAZ</v>
      </c>
      <c r="F6543" s="5" t="str">
        <f>"Descripcion: EQUIPO BASICO DE ORTOPEDIA CAJA ROJA QUE CONSTA DE :  (1) AVELLANADOR  (1) AVELLANADOR EN T PARA MALEOLO   (1) AVELLANADOR PARA MALEOLO  (1) CASQUILLO DENTADO  (0) DESTORNILLADOR HEXAGONAL  (1) GUIA DE BROCA DE 3,5MM SENCILLA  (1) GUIA DE BRO"&amp; "CA  (1) GUIA PARA BROCA NEUTRA  (1) LLAVE FIJA EN T  (0) MANGO PARA TARRAJA Y BROCA (P)  (1) MEDIDOR DE PROFUNDIDAD  (1) PLANTILLA DE CUATRO ORIFICIOS MALEABLE ROJA  (1) PLANTILLA DE SEIS ORIFICIOS MALEABLE VERDE  (1) PLANTILLA AZUL  (1) SOPORTE Y DOS BAN"&amp; "DEJAS  (2) TENSORES PARA PLACA UNO ARTICULADO   (1) TARRAJA MANGO EN T DE 4,5MM (P) Estado: Bueno Placa anterior: 000012699 Material: ACERO INOXIDABLE Color: PLATEADO Referencia:  Observacion:     Placa padre: Tipo adquisicion: Entidad"</f>
        <v>Descripcion: EQUIPO BASICO DE ORTOPEDIA CAJA ROJA QUE CONSTA DE :  (1) AVELLANADOR  (1) AVELLANADOR EN T PARA MALEOLO   (1) AVELLANADOR PARA MALEOLO  (1) CASQUILLO DENTADO  (0) DESTORNILLADOR HEXAGONAL  (1) GUIA DE BROCA DE 3,5MM SENCILLA  (1) GUIA DE BROCA  (1) GUIA PARA BROCA NEUTRA  (1) LLAVE FIJA EN T  (0) MANGO PARA TARRAJA Y BROCA (P)  (1) MEDIDOR DE PROFUNDIDAD  (1) PLANTILLA DE CUATRO ORIFICIOS MALEABLE ROJA  (1) PLANTILLA DE SEIS ORIFICIOS MALEABLE VERDE  (1) PLANTILLA AZUL  (1) SOPORTE Y DOS BANDEJAS  (2) TENSORES PARA PLACA UNO ARTICULADO   (1) TARRAJA MANGO EN T DE 4,5MM (P) Estado: Bueno Placa anterior: 000012699 Material: ACERO INOXIDABLE Color: PLATEADO Referencia:  Observacion:     Placa padre: Tipo adquisicion: Entidad</v>
      </c>
      <c r="G6543" s="5"/>
    </row>
    <row r="6544" spans="1:7" ht="58.5" customHeight="1" x14ac:dyDescent="0.25">
      <c r="A6544" s="5" t="str">
        <f>"I0004035"</f>
        <v>I0004035</v>
      </c>
      <c r="B6544" s="5" t="str">
        <f>"AVELLANADOR (INSTRUMENTAL)"</f>
        <v>AVELLANADOR (INSTRUMENTAL)</v>
      </c>
      <c r="C6544" s="6">
        <v>348000</v>
      </c>
      <c r="D6544" s="5"/>
      <c r="E6544" s="5" t="str">
        <f t="shared" si="316"/>
        <v>INSTRUMENTACION-DIANA CAICEDO-DIANA DIAZ</v>
      </c>
      <c r="F6544" s="5" t="str">
        <f>"Descripcion: AVELLANADOR Estado: Bueno Placa anterior: 000036256 Material: ACERO INOXIDABLE Color: PLATEADO Referencia:  Observacion:     Placa padre: I0004034Tipo adquisicion: Entidad"</f>
        <v>Descripcion: AVELLANADOR Estado: Bueno Placa anterior: 000036256 Material: ACERO INOXIDABLE Color: PLATEADO Referencia:  Observacion:     Placa padre: I0004034Tipo adquisicion: Entidad</v>
      </c>
      <c r="G6544" s="5"/>
    </row>
    <row r="6545" spans="1:7" ht="58.5" customHeight="1" x14ac:dyDescent="0.25">
      <c r="A6545" s="5" t="str">
        <f>"I0004063"</f>
        <v>I0004063</v>
      </c>
      <c r="B6545" s="5" t="str">
        <f>"EQUIPO SET BASICO DE 4,5"</f>
        <v>EQUIPO SET BASICO DE 4,5</v>
      </c>
      <c r="C6545" s="6">
        <v>1545000</v>
      </c>
      <c r="D6545" s="5" t="s">
        <v>435</v>
      </c>
      <c r="E6545" s="5" t="str">
        <f t="shared" si="316"/>
        <v>INSTRUMENTACION-DIANA CAICEDO-DIANA DIAZ</v>
      </c>
      <c r="F6545" s="5" t="str">
        <f>"Descripcion: EUQIPO SET BASICO DE 4,5 QUE CONSTA DE:(0) ATORNILLADOR DE 4,5MM(1) ATORNILLADOR DE 3,5MM(1) AVELLANADOR EN T(1) TARRAJA DE 6,5MM(1) MEDIDOR DE PROFUNDIDAD(3) PLANTILLAS(1) TENSOR DE 4,5MM PARA PLACA (1) LLAVE DE TENSOR (1) LLAVE PARA TUERCA "&amp; "HEXAGONAL (2) CALIBRADOR DE PERFORACION (1) ERINA(1) AVELLANOR PARA ANCLAJE(1) TARRAJA MANGO EN T DE 4,5MM(1) MANGO EN T PARA ANCLAJE (0) CASQUILLO DE TALADRO PARA TENSION (1) MANGO GUIA CENTRICA(1) GUIA CENTRICA(1) GUIA EXENTRICA(2) KRAK PARA INSTRUMENTA"&amp; "L UNO INFERIOR Y OTRO SUPERIOR(1) CONTAINER Estado: Bueno Placa anterior: 000036290 Material: ACERO INOXIDABLE Color: PLATEADO Referencia:  Observacion:     Placa padre: Tipo adquisicion: Entidad"</f>
        <v>Descripcion: EUQIPO SET BASICO DE 4,5 QUE CONSTA DE:(0) ATORNILLADOR DE 4,5MM(1) ATORNILLADOR DE 3,5MM(1) AVELLANADOR EN T(1) TARRAJA DE 6,5MM(1) MEDIDOR DE PROFUNDIDAD(3) PLANTILLAS(1) TENSOR DE 4,5MM PARA PLACA (1) LLAVE DE TENSOR (1) LLAVE PARA TUERCA HEXAGONAL (2) CALIBRADOR DE PERFORACION (1) ERINA(1) AVELLANOR PARA ANCLAJE(1) TARRAJA MANGO EN T DE 4,5MM(1) MANGO EN T PARA ANCLAJE (0) CASQUILLO DE TALADRO PARA TENSION (1) MANGO GUIA CENTRICA(1) GUIA CENTRICA(1) GUIA EXENTRICA(2) KRAK PARA INSTRUMENTAL UNO INFERIOR Y OTRO SUPERIOR(1) CONTAINER Estado: Bueno Placa anterior: 000036290 Material: ACERO INOXIDABLE Color: PLATEADO Referencia:  Observacion:     Placa padre: Tipo adquisicion: Entidad</v>
      </c>
      <c r="G6545" s="5"/>
    </row>
    <row r="6546" spans="1:7" ht="58.5" customHeight="1" x14ac:dyDescent="0.25">
      <c r="A6546" s="5" t="str">
        <f>"I0004064"</f>
        <v>I0004064</v>
      </c>
      <c r="B6546" s="5" t="str">
        <f>"DESTORNILLADOR (ATORNILLADOR)"</f>
        <v>DESTORNILLADOR (ATORNILLADOR)</v>
      </c>
      <c r="C6546" s="6">
        <v>212462</v>
      </c>
      <c r="D6546" s="5"/>
      <c r="E6546" s="5" t="str">
        <f t="shared" si="316"/>
        <v>INSTRUMENTACION-DIANA CAICEDO-DIANA DIAZ</v>
      </c>
      <c r="F6546" s="5" t="str">
        <f>"Descripcion: ATORNILLADOR DE 4,5MM Estado: Bueno Placa anterior: 000021786 Material: ACERO INOXIDABLE Color: PLATEADO Referencia:  Observacion:     Placa padre: I0004063Tipo adquisicion: Entidad"</f>
        <v>Descripcion: ATORNILLADOR DE 4,5MM Estado: Bueno Placa anterior: 000021786 Material: ACERO INOXIDABLE Color: PLATEADO Referencia:  Observacion:     Placa padre: I0004063Tipo adquisicion: Entidad</v>
      </c>
      <c r="G6546" s="5"/>
    </row>
    <row r="6547" spans="1:7" ht="58.5" customHeight="1" x14ac:dyDescent="0.25">
      <c r="A6547" s="5" t="str">
        <f>"I0004065"</f>
        <v>I0004065</v>
      </c>
      <c r="B6547" s="5" t="str">
        <f>"DESTORNILLADOR (ATORNILLADOR)"</f>
        <v>DESTORNILLADOR (ATORNILLADOR)</v>
      </c>
      <c r="C6547" s="6">
        <v>222230</v>
      </c>
      <c r="D6547" s="5"/>
      <c r="E6547" s="5" t="str">
        <f t="shared" si="316"/>
        <v>INSTRUMENTACION-DIANA CAICEDO-DIANA DIAZ</v>
      </c>
      <c r="F6547" s="5" t="str">
        <f>"Descripcion: ATORNILLADOR DE 3,5MM Estado: Bueno Placa anterior: 000021787 Material: ACERO INOXIDABLE Color: PLATEADO Referencia:  Observacion:     Placa padre: I0004063Tipo adquisicion: Entidad"</f>
        <v>Descripcion: ATORNILLADOR DE 3,5MM Estado: Bueno Placa anterior: 000021787 Material: ACERO INOXIDABLE Color: PLATEADO Referencia:  Observacion:     Placa padre: I0004063Tipo adquisicion: Entidad</v>
      </c>
      <c r="G6547" s="5"/>
    </row>
    <row r="6548" spans="1:7" ht="58.5" customHeight="1" x14ac:dyDescent="0.25">
      <c r="A6548" s="5" t="str">
        <f>"I0004088"</f>
        <v>I0004088</v>
      </c>
      <c r="B6548" s="5" t="str">
        <f>"DISECTOR PASA HILOS"</f>
        <v>DISECTOR PASA HILOS</v>
      </c>
      <c r="C6548" s="6">
        <v>37771</v>
      </c>
      <c r="D6548" s="5"/>
      <c r="E6548" s="5" t="str">
        <f t="shared" si="316"/>
        <v>INSTRUMENTACION-DIANA CAICEDO-DIANA DIAZ</v>
      </c>
      <c r="F6548" s="5" t="str">
        <f>"Descripcion: DISECTORES DE KEY  Estado: Bueno Placa anterior: 000012742 Material: ACERO INOXIDABLE Color: PLATEADO Referencia:  Observacion:  Placa padre: I0003945Tipo adquisicion: Entidad"</f>
        <v>Descripcion: DISECTORES DE KEY  Estado: Bueno Placa anterior: 000012742 Material: ACERO INOXIDABLE Color: PLATEADO Referencia:  Observacion:  Placa padre: I0003945Tipo adquisicion: Entidad</v>
      </c>
      <c r="G6548" s="5"/>
    </row>
    <row r="6549" spans="1:7" ht="58.5" customHeight="1" x14ac:dyDescent="0.25">
      <c r="A6549" s="5" t="str">
        <f>"I0004089"</f>
        <v>I0004089</v>
      </c>
      <c r="B6549" s="5" t="str">
        <f>"DISECTOR PASA HILOS"</f>
        <v>DISECTOR PASA HILOS</v>
      </c>
      <c r="C6549" s="6">
        <v>37771</v>
      </c>
      <c r="D6549" s="5"/>
      <c r="E6549" s="5" t="str">
        <f t="shared" si="316"/>
        <v>INSTRUMENTACION-DIANA CAICEDO-DIANA DIAZ</v>
      </c>
      <c r="F6549" s="5" t="str">
        <f>"Descripcion: DISECTORES DE KEY  Estado: Bueno Placa anterior: 000012743 Material: ACERO INOXIDABLE Color: PLATEADO Referencia:  Observacion:  Placa padre: I0003945Tipo adquisicion: Entidad"</f>
        <v>Descripcion: DISECTORES DE KEY  Estado: Bueno Placa anterior: 000012743 Material: ACERO INOXIDABLE Color: PLATEADO Referencia:  Observacion:  Placa padre: I0003945Tipo adquisicion: Entidad</v>
      </c>
      <c r="G6549" s="5"/>
    </row>
    <row r="6550" spans="1:7" ht="58.5" customHeight="1" x14ac:dyDescent="0.25">
      <c r="A6550" s="5" t="str">
        <f>"I0004090"</f>
        <v>I0004090</v>
      </c>
      <c r="B6550" s="5" t="str">
        <f>"DISECTOR PASA HILOS"</f>
        <v>DISECTOR PASA HILOS</v>
      </c>
      <c r="C6550" s="6">
        <v>37771</v>
      </c>
      <c r="D6550" s="5"/>
      <c r="E6550" s="5" t="str">
        <f t="shared" si="316"/>
        <v>INSTRUMENTACION-DIANA CAICEDO-DIANA DIAZ</v>
      </c>
      <c r="F6550" s="5" t="str">
        <f>"Descripcion: DISECTORES DE KEY  Estado: Bueno Placa anterior: 000012744 Material: ACERO INOXIDABLE Color: PLATEADO Referencia:  Observacion:  Placa padre: I0003945Tipo adquisicion: Entidad"</f>
        <v>Descripcion: DISECTORES DE KEY  Estado: Bueno Placa anterior: 000012744 Material: ACERO INOXIDABLE Color: PLATEADO Referencia:  Observacion:  Placa padre: I0003945Tipo adquisicion: Entidad</v>
      </c>
      <c r="G6550" s="5"/>
    </row>
    <row r="6551" spans="1:7" ht="58.5" customHeight="1" x14ac:dyDescent="0.25">
      <c r="A6551" s="5" t="str">
        <f>"I0004109"</f>
        <v>I0004109</v>
      </c>
      <c r="B6551" s="5" t="str">
        <f>"PINZA ERINA"</f>
        <v>PINZA ERINA</v>
      </c>
      <c r="C6551" s="6">
        <v>127000</v>
      </c>
      <c r="D6551" s="5"/>
      <c r="E6551" s="5" t="str">
        <f t="shared" si="316"/>
        <v>INSTRUMENTACION-DIANA CAICEDO-DIANA DIAZ</v>
      </c>
      <c r="F6551" s="5" t="str">
        <f>"Descripcion: ERINA  Estado: Bueno Placa anterior: 000036270 Material: ACERO INOXIDABLE Color: PLATEADO Referencia:  Observacion:     Placa padre: I0004091Tipo adquisicion: Entidad"</f>
        <v>Descripcion: ERINA  Estado: Bueno Placa anterior: 000036270 Material: ACERO INOXIDABLE Color: PLATEADO Referencia:  Observacion:     Placa padre: I0004091Tipo adquisicion: Entidad</v>
      </c>
      <c r="G6551" s="5"/>
    </row>
    <row r="6552" spans="1:7" ht="58.5" customHeight="1" x14ac:dyDescent="0.25">
      <c r="A6552" s="5" t="str">
        <f>"I0004151"</f>
        <v>I0004151</v>
      </c>
      <c r="B6552" s="5" t="str">
        <f>"EQUIPO INSTRUMENTAL BASICO"</f>
        <v>EQUIPO INSTRUMENTAL BASICO</v>
      </c>
      <c r="C6552" s="6">
        <v>819619.9</v>
      </c>
      <c r="D6552" s="5"/>
      <c r="E6552" s="5" t="str">
        <f t="shared" si="316"/>
        <v>INSTRUMENTACION-DIANA CAICEDO-DIANA DIAZ</v>
      </c>
      <c r="F6552" s="5" t="str">
        <f>"Descripcion: EQUIPO INSTRUMENTAL BASICO PLACA ANGULADA CAJA AZUL QUE CONSTA DE:  (1) GUIA DE BROCA DCP PARA CADERA   (1) INICIADOR DE ANGULO DE 130°   (1) CONTROL DE ANGULO   (1) ESCOPLO GUIA   (1) IMPACTOR EXTRACTOR  (1) MARTILLO DIAPASON   (4) PATRONES "&amp; "PARA ANGULO   (1) PLANTILLA PARA PLACA CONDILAR   (1) TARRAJA DE 6,5MM  (1) PORTA ESCOPLOS   (2) BANDEJAS NIQUELADAS Estado: Bueno Placa anterior: 000012698 Material: ACERO INOXIDABLE Color: PLATEADO Referencia:  Observacion:     Placa padre: Tipo adquisi"&amp; "cion: Entidad"</f>
        <v>Descripcion: EQUIPO INSTRUMENTAL BASICO PLACA ANGULADA CAJA AZUL QUE CONSTA DE:  (1) GUIA DE BROCA DCP PARA CADERA   (1) INICIADOR DE ANGULO DE 130°   (1) CONTROL DE ANGULO   (1) ESCOPLO GUIA   (1) IMPACTOR EXTRACTOR  (1) MARTILLO DIAPASON   (4) PATRONES PARA ANGULO   (1) PLANTILLA PARA PLACA CONDILAR   (1) TARRAJA DE 6,5MM  (1) PORTA ESCOPLOS   (2) BANDEJAS NIQUELADAS Estado: Bueno Placa anterior: 000012698 Material: ACERO INOXIDABLE Color: PLATEADO Referencia:  Observacion:     Placa padre: Tipo adquisicion: Entidad</v>
      </c>
      <c r="G6552" s="5"/>
    </row>
    <row r="6553" spans="1:7" ht="58.5" customHeight="1" x14ac:dyDescent="0.25">
      <c r="A6553" s="5" t="str">
        <f>"I0004165"</f>
        <v>I0004165</v>
      </c>
      <c r="B6553" s="5" t="str">
        <f>"BANDEJA DE ACERO INOXIDABLE MEDIANA"</f>
        <v>BANDEJA DE ACERO INOXIDABLE MEDIANA</v>
      </c>
      <c r="C6553" s="6">
        <v>5421.11</v>
      </c>
      <c r="D6553" s="5"/>
      <c r="E6553" s="5" t="str">
        <f t="shared" si="316"/>
        <v>INSTRUMENTACION-DIANA CAICEDO-DIANA DIAZ</v>
      </c>
      <c r="F6553" s="5" t="str">
        <f>"Descripcion: BANDEJAS NIQUELADAS Estado: Bueno Placa anterior: 000019523 Material: ACERO INOXIDABLE Color: PLATEADO Referencia:  Observacion: CUBETA EN ACERO INOXIDABLE Placa padre: I0004151Tipo adquisicion: Entidad"</f>
        <v>Descripcion: BANDEJAS NIQUELADAS Estado: Bueno Placa anterior: 000019523 Material: ACERO INOXIDABLE Color: PLATEADO Referencia:  Observacion: CUBETA EN ACERO INOXIDABLE Placa padre: I0004151Tipo adquisicion: Entidad</v>
      </c>
      <c r="G6553" s="5"/>
    </row>
    <row r="6554" spans="1:7" ht="58.5" customHeight="1" x14ac:dyDescent="0.25">
      <c r="A6554" s="5" t="str">
        <f>"I0004168"</f>
        <v>I0004168</v>
      </c>
      <c r="B6554" s="5" t="str">
        <f>"PIEZA DE MANO"</f>
        <v>PIEZA DE MANO</v>
      </c>
      <c r="C6554" s="6">
        <v>10295000</v>
      </c>
      <c r="D6554" s="5" t="s">
        <v>439</v>
      </c>
      <c r="E6554" s="5" t="str">
        <f t="shared" si="316"/>
        <v>INSTRUMENTACION-DIANA CAICEDO-DIANA DIAZ</v>
      </c>
      <c r="F6554" s="5" t="str">
        <f>"Descripcion: PIEZA DE MANO Estado: Bueno Placa anterior: 000030379 Material: ACERO INOXIDABLE Color: PLATEADO Referencia:  Observacion:     Placa padre: I0004167Tipo adquisicion: Entidad"</f>
        <v>Descripcion: PIEZA DE MANO Estado: Bueno Placa anterior: 000030379 Material: ACERO INOXIDABLE Color: PLATEADO Referencia:  Observacion:     Placa padre: I0004167Tipo adquisicion: Entidad</v>
      </c>
      <c r="G6554" s="5"/>
    </row>
    <row r="6555" spans="1:7" ht="58.5" customHeight="1" x14ac:dyDescent="0.25">
      <c r="A6555" s="5" t="str">
        <f>"I0004172"</f>
        <v>I0004172</v>
      </c>
      <c r="B6555" s="5" t="str">
        <f>"CABEZA DE SIERRA"</f>
        <v>CABEZA DE SIERRA</v>
      </c>
      <c r="C6555" s="6">
        <v>40000</v>
      </c>
      <c r="D6555" s="5"/>
      <c r="E6555" s="5" t="str">
        <f t="shared" si="316"/>
        <v>INSTRUMENTACION-DIANA CAICEDO-DIANA DIAZ</v>
      </c>
      <c r="F6555" s="5" t="str">
        <f>"Descripcion: CABEZA SIERRA Estado: Bueno Placa anterior: 000020541 Material: ACERO INOXIDABLE Color: PLATEADO Referencia:  Observacion: SIERRA OSCILANTE  Placa padre: I0004167Tipo adquisicion: Entidad"</f>
        <v>Descripcion: CABEZA SIERRA Estado: Bueno Placa anterior: 000020541 Material: ACERO INOXIDABLE Color: PLATEADO Referencia:  Observacion: SIERRA OSCILANTE  Placa padre: I0004167Tipo adquisicion: Entidad</v>
      </c>
      <c r="G6555" s="5"/>
    </row>
    <row r="6556" spans="1:7" ht="58.5" customHeight="1" x14ac:dyDescent="0.25">
      <c r="A6556" s="5" t="str">
        <f>"I0004177"</f>
        <v>I0004177</v>
      </c>
      <c r="B6556" s="5" t="str">
        <f>"BANDEJA DE ACERO INOXIDABLE MEDIANA"</f>
        <v>BANDEJA DE ACERO INOXIDABLE MEDIANA</v>
      </c>
      <c r="C6556" s="6">
        <v>459360</v>
      </c>
      <c r="D6556" s="5"/>
      <c r="E6556" s="5" t="str">
        <f t="shared" si="316"/>
        <v>INSTRUMENTACION-DIANA CAICEDO-DIANA DIAZ</v>
      </c>
      <c r="F6556" s="5" t="str">
        <f>"Descripcion: BANDEJA Estado: Bueno Placa anterior: 000029652 Material: ACERO INOXIDABLE Color: PLATEADO Referencia:  Observacion: CONTENEDOR INSTRUMENTAL REF. 87240-2F-SI Placa padre: I0004167Tipo adquisicion: Entidad"</f>
        <v>Descripcion: BANDEJA Estado: Bueno Placa anterior: 000029652 Material: ACERO INOXIDABLE Color: PLATEADO Referencia:  Observacion: CONTENEDOR INSTRUMENTAL REF. 87240-2F-SI Placa padre: I0004167Tipo adquisicion: Entidad</v>
      </c>
      <c r="G6556" s="5"/>
    </row>
    <row r="6557" spans="1:7" ht="58.5" customHeight="1" x14ac:dyDescent="0.25">
      <c r="A6557" s="5" t="str">
        <f>"I0004186"</f>
        <v>I0004186</v>
      </c>
      <c r="B6557" s="5" t="str">
        <f>"EQUIPO DE ARTROSCOPIA."</f>
        <v>EQUIPO DE ARTROSCOPIA.</v>
      </c>
      <c r="C6557" s="6">
        <v>70000000</v>
      </c>
      <c r="D6557" s="5"/>
      <c r="E6557" s="5" t="str">
        <f t="shared" si="316"/>
        <v>INSTRUMENTACION-DIANA CAICEDO-DIANA DIAZ</v>
      </c>
      <c r="F6557" s="5" t="str">
        <f>"Descripcion: EQUIPO DE ARTROSCOPIA VIEJO QUE CONSTA DE:  (1) CAMISA CON SUS LLAVES   (1) TROCAR KARL STORZ  (1) PUNZON DE PUNTA  (1) PUNZON ROMOS  (2) PALPADORES  (1) OLLIGATORE SIN TORNILLO  (1) PINZA DE MENISCO DERECHA  Estado: Bueno Placa anterior: 000"&amp; "012795 Material: ACERO INOXIDABLE Color: PLATEADO Referencia:  Observacion:     Placa padre: Tipo adquisicion: Entidad"</f>
        <v>Descripcion: EQUIPO DE ARTROSCOPIA VIEJO QUE CONSTA DE:  (1) CAMISA CON SUS LLAVES   (1) TROCAR KARL STORZ  (1) PUNZON DE PUNTA  (1) PUNZON ROMOS  (2) PALPADORES  (1) OLLIGATORE SIN TORNILLO  (1) PINZA DE MENISCO DERECHA  Estado: Bueno Placa anterior: 000012795 Material: ACERO INOXIDABLE Color: PLATEADO Referencia:  Observacion:     Placa padre: Tipo adquisicion: Entidad</v>
      </c>
      <c r="G6557" s="5"/>
    </row>
    <row r="6558" spans="1:7" ht="58.5" customHeight="1" x14ac:dyDescent="0.25">
      <c r="A6558" s="5" t="str">
        <f>"I0004194"</f>
        <v>I0004194</v>
      </c>
      <c r="B6558" s="5" t="str">
        <f>"EQUIPO DE ARTROSCOPIA."</f>
        <v>EQUIPO DE ARTROSCOPIA.</v>
      </c>
      <c r="C6558" s="6">
        <v>70000000</v>
      </c>
      <c r="D6558" s="5"/>
      <c r="E6558" s="5" t="str">
        <f t="shared" si="316"/>
        <v>INSTRUMENTACION-DIANA CAICEDO-DIANA DIAZ</v>
      </c>
      <c r="F6558" s="5" t="str">
        <f>"Descripcion: EQUIPO DE ARTROSCOPIA NUEVO- TEKNO QUE CONSTA DE:(1)CAMISA CON SUS LLAVES (1) TROCAR TEKNO(1) PUNZON DE PUNTA TEKNO(2) PUNZON ROMO TEKNO(1) PALPADOR TERNO (1) CURETA FNH(1) OLLIGATORE FNH (4) PINZAS DE MENISCO TEKNO (0) CAIMAN  Estado: Bueno "&amp; "Placa anterior:  Material: ACERO INOXIDABLE Color: PLATEADO Referencia:  Observacion:     Placa padre: Tipo adquisicion: Entidad"</f>
        <v>Descripcion: EQUIPO DE ARTROSCOPIA NUEVO- TEKNO QUE CONSTA DE:(1)CAMISA CON SUS LLAVES (1) TROCAR TEKNO(1) PUNZON DE PUNTA TEKNO(2) PUNZON ROMO TEKNO(1) PALPADOR TERNO (1) CURETA FNH(1) OLLIGATORE FNH (4) PINZAS DE MENISCO TEKNO (0) CAIMAN  Estado: Bueno Placa anterior:  Material: ACERO INOXIDABLE Color: PLATEADO Referencia:  Observacion:     Placa padre: Tipo adquisicion: Entidad</v>
      </c>
      <c r="G6558" s="5"/>
    </row>
    <row r="6559" spans="1:7" ht="58.5" customHeight="1" x14ac:dyDescent="0.25">
      <c r="A6559" s="5" t="str">
        <f>"I0004202"</f>
        <v>I0004202</v>
      </c>
      <c r="B6559" s="5" t="str">
        <f>"PINZA ALLIGATOR (BIOTOMOS)"</f>
        <v>PINZA ALLIGATOR (BIOTOMOS)</v>
      </c>
      <c r="C6559" s="6">
        <v>2895245</v>
      </c>
      <c r="D6559" s="5" t="s">
        <v>5</v>
      </c>
      <c r="E6559" s="5" t="str">
        <f t="shared" ref="E6559:E6622" si="318">"INSTRUMENTACION-DIANA CAICEDO-DIANA DIAZ"</f>
        <v>INSTRUMENTACION-DIANA CAICEDO-DIANA DIAZ</v>
      </c>
      <c r="F6559" s="5" t="str">
        <f>"Descripcion: OLLIGATORE FNH  Estado: Bueno Placa anterior: 000029469 Material: ACERO INOXIDABLE Color: PLATEADO Referencia:  Observacion: FERRIS SMTH INTERVERTEBRAL DISC RONGEURS Placa padre: I0004194Tipo adquisicion: Entidad"</f>
        <v>Descripcion: OLLIGATORE FNH  Estado: Bueno Placa anterior: 000029469 Material: ACERO INOXIDABLE Color: PLATEADO Referencia:  Observacion: FERRIS SMTH INTERVERTEBRAL DISC RONGEURS Placa padre: I0004194Tipo adquisicion: Entidad</v>
      </c>
      <c r="G6559" s="5"/>
    </row>
    <row r="6560" spans="1:7" ht="58.5" customHeight="1" x14ac:dyDescent="0.25">
      <c r="A6560" s="5" t="str">
        <f>"I0004203"</f>
        <v>I0004203</v>
      </c>
      <c r="B6560" s="5" t="str">
        <f>"PINZA"</f>
        <v>PINZA</v>
      </c>
      <c r="C6560" s="6">
        <v>1464688</v>
      </c>
      <c r="D6560" s="5"/>
      <c r="E6560" s="5" t="str">
        <f t="shared" si="318"/>
        <v>INSTRUMENTACION-DIANA CAICEDO-DIANA DIAZ</v>
      </c>
      <c r="F6560" s="5" t="str">
        <f>"Descripcion: PINZAS DE MENISCO TEKNO  Estado: Bueno Placa anterior:000033429 Material: ACERO INOXIDABLE Color: PLATEADO Referencia:  Observacion: AUTORIZADO CONCILIAR EN CRUCE GENERAL Placa padre: I0004194Tipo adquisicion: Entidad"</f>
        <v>Descripcion: PINZAS DE MENISCO TEKNO  Estado: Bueno Placa anterior:000033429 Material: ACERO INOXIDABLE Color: PLATEADO Referencia:  Observacion: AUTORIZADO CONCILIAR EN CRUCE GENERAL Placa padre: I0004194Tipo adquisicion: Entidad</v>
      </c>
      <c r="G6560" s="5"/>
    </row>
    <row r="6561" spans="1:7" ht="58.5" customHeight="1" x14ac:dyDescent="0.25">
      <c r="A6561" s="5" t="str">
        <f>"I0004204"</f>
        <v>I0004204</v>
      </c>
      <c r="B6561" s="5" t="str">
        <f>"PINZA PARA CORTE"</f>
        <v>PINZA PARA CORTE</v>
      </c>
      <c r="C6561" s="6">
        <v>1729541</v>
      </c>
      <c r="D6561" s="5"/>
      <c r="E6561" s="5" t="str">
        <f t="shared" si="318"/>
        <v>INSTRUMENTACION-DIANA CAICEDO-DIANA DIAZ</v>
      </c>
      <c r="F6561" s="5" t="str">
        <f>"Descripcion: PINZAS DE MENISCO TEKNO  Estado: Bueno Placa anterior: 000033419 Material: ACERO INOXIDABLE Color: PLATEADO Referencia:  Observacion: AUTORIZADO CONCILIAR EN CRUCE GENERAL Placa padre: I0004194Tipo adquisicion: Entidad"</f>
        <v>Descripcion: PINZAS DE MENISCO TEKNO  Estado: Bueno Placa anterior: 000033419 Material: ACERO INOXIDABLE Color: PLATEADO Referencia:  Observacion: AUTORIZADO CONCILIAR EN CRUCE GENERAL Placa padre: I0004194Tipo adquisicion: Entidad</v>
      </c>
      <c r="G6561" s="5"/>
    </row>
    <row r="6562" spans="1:7" ht="58.5" customHeight="1" x14ac:dyDescent="0.25">
      <c r="A6562" s="5" t="str">
        <f>"I0004205"</f>
        <v>I0004205</v>
      </c>
      <c r="B6562" s="5" t="str">
        <f>"PINZA PARA CORTE"</f>
        <v>PINZA PARA CORTE</v>
      </c>
      <c r="C6562" s="6">
        <v>1764288</v>
      </c>
      <c r="D6562" s="5"/>
      <c r="E6562" s="5" t="str">
        <f t="shared" si="318"/>
        <v>INSTRUMENTACION-DIANA CAICEDO-DIANA DIAZ</v>
      </c>
      <c r="F6562" s="5" t="str">
        <f>"Descripcion: PINZAS DE MENISCO TEKNO  Estado: Bueno Placa anterior: 000033420 Material: ACERO INOXIDABLE Color: PLATEADO Referencia:  Observacion: AUTORIZADO CONCILIAR EN CRUCE GENERAL Placa padre: I0004194Tipo adquisicion: Entidad"</f>
        <v>Descripcion: PINZAS DE MENISCO TEKNO  Estado: Bueno Placa anterior: 000033420 Material: ACERO INOXIDABLE Color: PLATEADO Referencia:  Observacion: AUTORIZADO CONCILIAR EN CRUCE GENERAL Placa padre: I0004194Tipo adquisicion: Entidad</v>
      </c>
      <c r="G6562" s="5"/>
    </row>
    <row r="6563" spans="1:7" ht="58.5" customHeight="1" x14ac:dyDescent="0.25">
      <c r="A6563" s="5" t="str">
        <f>"I0004206"</f>
        <v>I0004206</v>
      </c>
      <c r="B6563" s="5" t="str">
        <f>"PINZA PARA CORTE"</f>
        <v>PINZA PARA CORTE</v>
      </c>
      <c r="C6563" s="6">
        <v>1764288</v>
      </c>
      <c r="D6563" s="5"/>
      <c r="E6563" s="5" t="str">
        <f t="shared" si="318"/>
        <v>INSTRUMENTACION-DIANA CAICEDO-DIANA DIAZ</v>
      </c>
      <c r="F6563" s="5" t="str">
        <f>"Descripcion: PINZAS DE MENISCO TEKNO  Estado: Bueno Placa anterior: 000033421 Material: ACERO INOXIDABLE Color: PLATEADO Referencia:  Observacion: AUTORIZADO CONCILIAR EN CRUCE GENERAL Placa padre: I0004194Tipo adquisicion: Entidad"</f>
        <v>Descripcion: PINZAS DE MENISCO TEKNO  Estado: Bueno Placa anterior: 000033421 Material: ACERO INOXIDABLE Color: PLATEADO Referencia:  Observacion: AUTORIZADO CONCILIAR EN CRUCE GENERAL Placa padre: I0004194Tipo adquisicion: Entidad</v>
      </c>
      <c r="G6563" s="5"/>
    </row>
    <row r="6564" spans="1:7" ht="58.5" customHeight="1" x14ac:dyDescent="0.25">
      <c r="A6564" s="5" t="str">
        <f>"I0004208"</f>
        <v>I0004208</v>
      </c>
      <c r="B6564" s="5" t="str">
        <f>"EQUIPO BASICO DE 4.5"</f>
        <v>EQUIPO BASICO DE 4.5</v>
      </c>
      <c r="C6564" s="6">
        <v>10814863</v>
      </c>
      <c r="D6564" s="5"/>
      <c r="E6564" s="5" t="str">
        <f t="shared" si="318"/>
        <v>INSTRUMENTACION-DIANA CAICEDO-DIANA DIAZ</v>
      </c>
      <c r="F6564" s="5" t="str">
        <f>"Descripcion: EQUIPO BASICO  NUEVO DE 4.5 QUE CONSTA DE:(2) BROCAS 3.2 ANCLAJE RAPIDO(1)  AVELLANADOR 4.5 MANGO EN T(2) BROCAS 4.5 ANCLAJE RAPIDO(1) MANGO EN T PARA ANCLAJE RAPIDO(2) MACHO O TARRAJA 4.5(1) MACHO O TARRAJA 6.5(1) GUIA DE BROCA DOBLE 4.5/3.5"&amp; "(1) CASQUILLO CENTRADOR 3.2(1) GUIA DE BROCA DOBLE 6.5/3.2(1) PIEZA PARA DESTORNILLADOR HEXAGONAL(1) DESTORNILLADOR EXAGONAL MANGO AZUL(1) VAINA DE SUJECION GRANDE(0) MEDIDOR PARA TORNILLOS DE 4.5(1) ERINA(1) TENSOR DE PLACA ARTICULADO(1) LLAVE FIJA DE 11"&amp; "MM(1) GUIA DE BROCA DCP 4.5/32  7(4) GRIFAS PARA PLACAS ESTRECHAS Y ANCHAS(1) PINZA DE SUJECION AUTOCENTRANTE 260 MM(2) PINZAS DE REDUCCION DENTADA 240MM(2) SEPARADORES DE HOHMANN 18MM PUNTA(2) PINZAS DE REDUCCION CON PUNTA 166M(2) PINZAS DE REDUCCION GRA"&amp; "NDES 200M Estado: Bueno Placa anterior: 000022794 Material: ACERO INOXIDABLE Color: PLATEADO Referencia:  Observacion: INSTRUMENTAL BASICO PARA TORNILLOS Y PLACAS DE AUTOCOMPRENSION, MARCA AESCULAP, ALEMAN.  Placa padre: Tipo adquisicion: Entidad"</f>
        <v>Descripcion: EQUIPO BASICO  NUEVO DE 4.5 QUE CONSTA DE:(2) BROCAS 3.2 ANCLAJE RAPIDO(1)  AVELLANADOR 4.5 MANGO EN T(2) BROCAS 4.5 ANCLAJE RAPIDO(1) MANGO EN T PARA ANCLAJE RAPIDO(2) MACHO O TARRAJA 4.5(1) MACHO O TARRAJA 6.5(1) GUIA DE BROCA DOBLE 4.5/3.5(1) CASQUILLO CENTRADOR 3.2(1) GUIA DE BROCA DOBLE 6.5/3.2(1) PIEZA PARA DESTORNILLADOR HEXAGONAL(1) DESTORNILLADOR EXAGONAL MANGO AZUL(1) VAINA DE SUJECION GRANDE(0) MEDIDOR PARA TORNILLOS DE 4.5(1) ERINA(1) TENSOR DE PLACA ARTICULADO(1) LLAVE FIJA DE 11MM(1) GUIA DE BROCA DCP 4.5/32  7(4) GRIFAS PARA PLACAS ESTRECHAS Y ANCHAS(1) PINZA DE SUJECION AUTOCENTRANTE 260 MM(2) PINZAS DE REDUCCION DENTADA 240MM(2) SEPARADORES DE HOHMANN 18MM PUNTA(2) PINZAS DE REDUCCION CON PUNTA 166M(2) PINZAS DE REDUCCION GRANDES 200M Estado: Bueno Placa anterior: 000022794 Material: ACERO INOXIDABLE Color: PLATEADO Referencia:  Observacion: INSTRUMENTAL BASICO PARA TORNILLOS Y PLACAS DE AUTOCOMPRENSION, MARCA AESCULAP, ALEMAN.  Placa padre: Tipo adquisicion: Entidad</v>
      </c>
      <c r="G6564" s="5"/>
    </row>
    <row r="6565" spans="1:7" ht="58.5" customHeight="1" x14ac:dyDescent="0.25">
      <c r="A6565" s="5" t="str">
        <f>"I0004211"</f>
        <v>I0004211</v>
      </c>
      <c r="B6565" s="5" t="str">
        <f>"AVELLANADOR (INSTRUMENTAL)"</f>
        <v>AVELLANADOR (INSTRUMENTAL)</v>
      </c>
      <c r="C6565" s="6">
        <v>348000</v>
      </c>
      <c r="D6565" s="5"/>
      <c r="E6565" s="5" t="str">
        <f t="shared" si="318"/>
        <v>INSTRUMENTACION-DIANA CAICEDO-DIANA DIAZ</v>
      </c>
      <c r="F6565" s="5" t="str">
        <f>"Descripcion: AVELLANADOR 4.5 MANGO EN T Estado: Bueno Placa anterior: 000036256 Material: ACERO INOXIDABLE Color: PLATEADO Referencia:  Observacion:     Placa padre: I0004208Tipo adquisicion: Entidad"</f>
        <v>Descripcion: AVELLANADOR 4.5 MANGO EN T Estado: Bueno Placa anterior: 000036256 Material: ACERO INOXIDABLE Color: PLATEADO Referencia:  Observacion:     Placa padre: I0004208Tipo adquisicion: Entidad</v>
      </c>
      <c r="G6565" s="5"/>
    </row>
    <row r="6566" spans="1:7" ht="58.5" customHeight="1" x14ac:dyDescent="0.25">
      <c r="A6566" s="5" t="str">
        <f>"I0004214"</f>
        <v>I0004214</v>
      </c>
      <c r="B6566" s="5" t="str">
        <f>"MANGO EN T CON TORNILLO DE AJUSTE"</f>
        <v>MANGO EN T CON TORNILLO DE AJUSTE</v>
      </c>
      <c r="C6566" s="6">
        <v>571000</v>
      </c>
      <c r="D6566" s="5"/>
      <c r="E6566" s="5" t="str">
        <f t="shared" si="318"/>
        <v>INSTRUMENTACION-DIANA CAICEDO-DIANA DIAZ</v>
      </c>
      <c r="F6566" s="5" t="str">
        <f>"Descripcion: MANGO EN T PARA ANCLAJE RAPIDO Estado: Bueno Placa anterior: 000036259 Material: ACERO INOXIDABLE Color: PLATEADO Referencia:  Observacion:     Placa padre: I0004208Tipo adquisicion: Entidad"</f>
        <v>Descripcion: MANGO EN T PARA ANCLAJE RAPIDO Estado: Bueno Placa anterior: 000036259 Material: ACERO INOXIDABLE Color: PLATEADO Referencia:  Observacion:     Placa padre: I0004208Tipo adquisicion: Entidad</v>
      </c>
      <c r="G6566" s="5"/>
    </row>
    <row r="6567" spans="1:7" ht="58.5" customHeight="1" x14ac:dyDescent="0.25">
      <c r="A6567" s="5" t="str">
        <f>"I0004215"</f>
        <v>I0004215</v>
      </c>
      <c r="B6567" s="5" t="str">
        <f>"TARRAJA (INSTRUMENTAL)"</f>
        <v>TARRAJA (INSTRUMENTAL)</v>
      </c>
      <c r="C6567" s="6">
        <v>512000</v>
      </c>
      <c r="D6567" s="5"/>
      <c r="E6567" s="5" t="str">
        <f t="shared" si="318"/>
        <v>INSTRUMENTACION-DIANA CAICEDO-DIANA DIAZ</v>
      </c>
      <c r="F6567" s="5" t="str">
        <f>"Descripcion: MACHO O TARRAJA 4.5 Estado: Bueno Placa anterior: 000036260 Material: ACERO INOXIDABLE Color: PLATEADO Referencia:  Observacion:     Placa padre: I0004208Tipo adquisicion: Entidad"</f>
        <v>Descripcion: MACHO O TARRAJA 4.5 Estado: Bueno Placa anterior: 000036260 Material: ACERO INOXIDABLE Color: PLATEADO Referencia:  Observacion:     Placa padre: I0004208Tipo adquisicion: Entidad</v>
      </c>
      <c r="G6567" s="5"/>
    </row>
    <row r="6568" spans="1:7" ht="58.5" customHeight="1" x14ac:dyDescent="0.25">
      <c r="A6568" s="5" t="str">
        <f>"I0004216"</f>
        <v>I0004216</v>
      </c>
      <c r="B6568" s="5" t="str">
        <f>"TARRAJA (INSTRUMENTAL)"</f>
        <v>TARRAJA (INSTRUMENTAL)</v>
      </c>
      <c r="C6568" s="6">
        <v>512000</v>
      </c>
      <c r="D6568" s="5"/>
      <c r="E6568" s="5" t="str">
        <f t="shared" si="318"/>
        <v>INSTRUMENTACION-DIANA CAICEDO-DIANA DIAZ</v>
      </c>
      <c r="F6568" s="5" t="str">
        <f>"Descripcion: MACHO O TARRAJA 4.5 Estado: Bueno Placa anterior: 000036261 Material: ACERO INOXIDABLE Color: PLATEADO Referencia:  Observacion:     Placa padre: I0004208Tipo adquisicion: Entidad"</f>
        <v>Descripcion: MACHO O TARRAJA 4.5 Estado: Bueno Placa anterior: 000036261 Material: ACERO INOXIDABLE Color: PLATEADO Referencia:  Observacion:     Placa padre: I0004208Tipo adquisicion: Entidad</v>
      </c>
      <c r="G6568" s="5"/>
    </row>
    <row r="6569" spans="1:7" ht="58.5" customHeight="1" x14ac:dyDescent="0.25">
      <c r="A6569" s="5" t="str">
        <f>"I0004217"</f>
        <v>I0004217</v>
      </c>
      <c r="B6569" s="5" t="str">
        <f>"TARRAJA (INSTRUMENTAL)"</f>
        <v>TARRAJA (INSTRUMENTAL)</v>
      </c>
      <c r="C6569" s="6">
        <v>840000</v>
      </c>
      <c r="D6569" s="5" t="s">
        <v>435</v>
      </c>
      <c r="E6569" s="5" t="str">
        <f t="shared" si="318"/>
        <v>INSTRUMENTACION-DIANA CAICEDO-DIANA DIAZ</v>
      </c>
      <c r="F6569" s="5" t="str">
        <f>"Descripcion: MACHO O TARRAJA 6.5 Estado: Bueno Placa anterior: 000036262 Material: ACERO INOXIDABLE Color: PLATEADO Referencia:  Observacion:     Placa padre: I0004208Tipo adquisicion: Entidad"</f>
        <v>Descripcion: MACHO O TARRAJA 6.5 Estado: Bueno Placa anterior: 000036262 Material: ACERO INOXIDABLE Color: PLATEADO Referencia:  Observacion:     Placa padre: I0004208Tipo adquisicion: Entidad</v>
      </c>
      <c r="G6569" s="5"/>
    </row>
    <row r="6570" spans="1:7" ht="58.5" customHeight="1" x14ac:dyDescent="0.25">
      <c r="A6570" s="5" t="str">
        <f>"I0004218"</f>
        <v>I0004218</v>
      </c>
      <c r="B6570" s="5" t="str">
        <f>"GUIA DE BROCA"</f>
        <v>GUIA DE BROCA</v>
      </c>
      <c r="C6570" s="6">
        <v>420000</v>
      </c>
      <c r="D6570" s="5"/>
      <c r="E6570" s="5" t="str">
        <f t="shared" si="318"/>
        <v>INSTRUMENTACION-DIANA CAICEDO-DIANA DIAZ</v>
      </c>
      <c r="F6570" s="5" t="str">
        <f>"Descripcion: GUIA DE BROCA DOBLE 4.5/3.5 Estado: Bueno Placa anterior: 000036263 Material: ACERO INOXIDABLE Color: PLATEADO Referencia:  Observacion:     Placa padre: I0004208Tipo adquisicion: Entidad"</f>
        <v>Descripcion: GUIA DE BROCA DOBLE 4.5/3.5 Estado: Bueno Placa anterior: 000036263 Material: ACERO INOXIDABLE Color: PLATEADO Referencia:  Observacion:     Placa padre: I0004208Tipo adquisicion: Entidad</v>
      </c>
      <c r="G6570" s="5"/>
    </row>
    <row r="6571" spans="1:7" ht="58.5" customHeight="1" x14ac:dyDescent="0.25">
      <c r="A6571" s="5" t="str">
        <f>"I0004219"</f>
        <v>I0004219</v>
      </c>
      <c r="B6571" s="5" t="str">
        <f>"CASQUILLO (INSTRUMENTAL)"</f>
        <v>CASQUILLO (INSTRUMENTAL)</v>
      </c>
      <c r="C6571" s="6">
        <v>114000</v>
      </c>
      <c r="D6571" s="5"/>
      <c r="E6571" s="5" t="str">
        <f t="shared" si="318"/>
        <v>INSTRUMENTACION-DIANA CAICEDO-DIANA DIAZ</v>
      </c>
      <c r="F6571" s="5" t="str">
        <f>"Descripcion: CASQUILLO CENTRADOR 3.2 Estado: Bueno Placa anterior: 000036264 Material: ACERO INOXIDABLE Color: PLATEADO Referencia:  Observacion:     Placa padre: I0004208Tipo adquisicion: Entidad"</f>
        <v>Descripcion: CASQUILLO CENTRADOR 3.2 Estado: Bueno Placa anterior: 000036264 Material: ACERO INOXIDABLE Color: PLATEADO Referencia:  Observacion:     Placa padre: I0004208Tipo adquisicion: Entidad</v>
      </c>
      <c r="G6571" s="5"/>
    </row>
    <row r="6572" spans="1:7" ht="58.5" customHeight="1" x14ac:dyDescent="0.25">
      <c r="A6572" s="5" t="str">
        <f>"I0004220"</f>
        <v>I0004220</v>
      </c>
      <c r="B6572" s="5" t="str">
        <f>"GUIA DE BROCA"</f>
        <v>GUIA DE BROCA</v>
      </c>
      <c r="C6572" s="6">
        <v>389000</v>
      </c>
      <c r="D6572" s="5"/>
      <c r="E6572" s="5" t="str">
        <f t="shared" si="318"/>
        <v>INSTRUMENTACION-DIANA CAICEDO-DIANA DIAZ</v>
      </c>
      <c r="F6572" s="5" t="str">
        <f>"Descripcion: GUIA DE BROCA DOBLE 6.5/3.2 Estado: Bueno Placa anterior: 000036265 Material: ACERO INOXIDABLE Color: PLATEADO Referencia:  Observacion:     Placa padre: I0004208Tipo adquisicion: Entidad"</f>
        <v>Descripcion: GUIA DE BROCA DOBLE 6.5/3.2 Estado: Bueno Placa anterior: 000036265 Material: ACERO INOXIDABLE Color: PLATEADO Referencia:  Observacion:     Placa padre: I0004208Tipo adquisicion: Entidad</v>
      </c>
      <c r="G6572" s="5"/>
    </row>
    <row r="6573" spans="1:7" ht="58.5" customHeight="1" x14ac:dyDescent="0.25">
      <c r="A6573" s="5" t="str">
        <f>"I0004224"</f>
        <v>I0004224</v>
      </c>
      <c r="B6573" s="5" t="str">
        <f>"MEDIDOR DE TORNILLO"</f>
        <v>MEDIDOR DE TORNILLO</v>
      </c>
      <c r="C6573" s="6">
        <v>780000</v>
      </c>
      <c r="D6573" s="5" t="s">
        <v>435</v>
      </c>
      <c r="E6573" s="5" t="str">
        <f t="shared" si="318"/>
        <v>INSTRUMENTACION-DIANA CAICEDO-DIANA DIAZ</v>
      </c>
      <c r="F6573" s="5" t="str">
        <f>"Descripcion: MEDIDOR PARA TORNILLOS DE 4.5 Estado: Bueno Placa anterior: 000036269 Material: ACERO INOXIDABLE Color: PLATEADO Referencia:  Observacion:     Placa padre: I0004208Tipo adquisicion: Entidad"</f>
        <v>Descripcion: MEDIDOR PARA TORNILLOS DE 4.5 Estado: Bueno Placa anterior: 000036269 Material: ACERO INOXIDABLE Color: PLATEADO Referencia:  Observacion:     Placa padre: I0004208Tipo adquisicion: Entidad</v>
      </c>
      <c r="G6573" s="5"/>
    </row>
    <row r="6574" spans="1:7" ht="58.5" customHeight="1" x14ac:dyDescent="0.25">
      <c r="A6574" s="5" t="str">
        <f>"I0004226"</f>
        <v>I0004226</v>
      </c>
      <c r="B6574" s="5" t="str">
        <f>"TENSOR PARA PLACA"</f>
        <v>TENSOR PARA PLACA</v>
      </c>
      <c r="C6574" s="6">
        <v>1432000</v>
      </c>
      <c r="D6574" s="5" t="s">
        <v>435</v>
      </c>
      <c r="E6574" s="5" t="str">
        <f t="shared" si="318"/>
        <v>INSTRUMENTACION-DIANA CAICEDO-DIANA DIAZ</v>
      </c>
      <c r="F6574" s="5" t="str">
        <f>"Descripcion: TENSOR DE PLACA ARTICULADO Estado: Bueno Placa anterior: 000036271 Material: ACERO INOXIDABLE Color: PLATEADO Referencia:  Observacion:     Placa padre: I0004208Tipo adquisicion: Entidad"</f>
        <v>Descripcion: TENSOR DE PLACA ARTICULADO Estado: Bueno Placa anterior: 000036271 Material: ACERO INOXIDABLE Color: PLATEADO Referencia:  Observacion:     Placa padre: I0004208Tipo adquisicion: Entidad</v>
      </c>
      <c r="G6574" s="5"/>
    </row>
    <row r="6575" spans="1:7" ht="58.5" customHeight="1" x14ac:dyDescent="0.25">
      <c r="A6575" s="5" t="str">
        <f>"I0004227"</f>
        <v>I0004227</v>
      </c>
      <c r="B6575" s="5" t="str">
        <f>"LLAVE FIJA (INSTRUMENTAL)"</f>
        <v>LLAVE FIJA (INSTRUMENTAL)</v>
      </c>
      <c r="C6575" s="6">
        <v>170000</v>
      </c>
      <c r="D6575" s="5"/>
      <c r="E6575" s="5" t="str">
        <f t="shared" si="318"/>
        <v>INSTRUMENTACION-DIANA CAICEDO-DIANA DIAZ</v>
      </c>
      <c r="F6575" s="5" t="str">
        <f>"Descripcion: LLAVE FIJA DE 11MM Estado: Bueno Placa anterior: 000036272 Material: ACERO INOXIDABLE Color: PLATEADO Referencia:  Observacion:     Placa padre: I0004208Tipo adquisicion: Entidad"</f>
        <v>Descripcion: LLAVE FIJA DE 11MM Estado: Bueno Placa anterior: 000036272 Material: ACERO INOXIDABLE Color: PLATEADO Referencia:  Observacion:     Placa padre: I0004208Tipo adquisicion: Entidad</v>
      </c>
      <c r="G6575" s="5"/>
    </row>
    <row r="6576" spans="1:7" ht="58.5" customHeight="1" x14ac:dyDescent="0.25">
      <c r="A6576" s="5" t="str">
        <f>"I0004228"</f>
        <v>I0004228</v>
      </c>
      <c r="B6576" s="5" t="str">
        <f>"GUIA DE BROCA"</f>
        <v>GUIA DE BROCA</v>
      </c>
      <c r="C6576" s="6">
        <v>451000</v>
      </c>
      <c r="D6576" s="5"/>
      <c r="E6576" s="5" t="str">
        <f t="shared" si="318"/>
        <v>INSTRUMENTACION-DIANA CAICEDO-DIANA DIAZ</v>
      </c>
      <c r="F6576" s="5" t="str">
        <f>"Descripcion: GUIA DE BROCA DCP 4.5/32  7 Estado: Bueno Placa anterior: 000036273 Material: ACERO INOXIDABLE Color: PLATEADO Referencia:  Observacion:     Placa padre: I0004208Tipo adquisicion: Entidad"</f>
        <v>Descripcion: GUIA DE BROCA DCP 4.5/32  7 Estado: Bueno Placa anterior: 000036273 Material: ACERO INOXIDABLE Color: PLATEADO Referencia:  Observacion:     Placa padre: I0004208Tipo adquisicion: Entidad</v>
      </c>
      <c r="G6576" s="5"/>
    </row>
    <row r="6577" spans="1:7" ht="58.5" customHeight="1" x14ac:dyDescent="0.25">
      <c r="A6577" s="5" t="str">
        <f>"I0004229"</f>
        <v>I0004229</v>
      </c>
      <c r="B6577" s="5" t="str">
        <f>"GRIFA PARA PLACA"</f>
        <v>GRIFA PARA PLACA</v>
      </c>
      <c r="C6577" s="6">
        <v>451000</v>
      </c>
      <c r="D6577" s="5"/>
      <c r="E6577" s="5" t="str">
        <f t="shared" si="318"/>
        <v>INSTRUMENTACION-DIANA CAICEDO-DIANA DIAZ</v>
      </c>
      <c r="F6577" s="5" t="str">
        <f>"Descripcion: GRIFAS PARA PLACAS ESTRECHAS Y ANCHAS Estado: Bueno Placa anterior: 000036274 Material: ACERO INOXIDABLE Color: PLATEADO Referencia:  Observacion:     Placa padre: I0004208Tipo adquisicion: Entidad"</f>
        <v>Descripcion: GRIFAS PARA PLACAS ESTRECHAS Y ANCHAS Estado: Bueno Placa anterior: 000036274 Material: ACERO INOXIDABLE Color: PLATEADO Referencia:  Observacion:     Placa padre: I0004208Tipo adquisicion: Entidad</v>
      </c>
      <c r="G6577" s="5"/>
    </row>
    <row r="6578" spans="1:7" ht="58.5" customHeight="1" x14ac:dyDescent="0.25">
      <c r="A6578" s="5" t="str">
        <f>"I0004230"</f>
        <v>I0004230</v>
      </c>
      <c r="B6578" s="5" t="str">
        <f>"GRIFA PARA PLACA"</f>
        <v>GRIFA PARA PLACA</v>
      </c>
      <c r="C6578" s="6">
        <v>451000</v>
      </c>
      <c r="D6578" s="5"/>
      <c r="E6578" s="5" t="str">
        <f t="shared" si="318"/>
        <v>INSTRUMENTACION-DIANA CAICEDO-DIANA DIAZ</v>
      </c>
      <c r="F6578" s="5" t="str">
        <f>"Descripcion: GRIFAS PARA PLACAS ESTRECHAS Y ANCHAS Estado: Bueno Placa anterior: 000036275 Material: ACERO INOXIDABLE Color: PLATEADO Referencia:  Observacion:     Placa padre: I0004208Tipo adquisicion: Entidad"</f>
        <v>Descripcion: GRIFAS PARA PLACAS ESTRECHAS Y ANCHAS Estado: Bueno Placa anterior: 000036275 Material: ACERO INOXIDABLE Color: PLATEADO Referencia:  Observacion:     Placa padre: I0004208Tipo adquisicion: Entidad</v>
      </c>
      <c r="G6578" s="5"/>
    </row>
    <row r="6579" spans="1:7" ht="58.5" customHeight="1" x14ac:dyDescent="0.25">
      <c r="A6579" s="5" t="str">
        <f>"I0004231"</f>
        <v>I0004231</v>
      </c>
      <c r="B6579" s="5" t="str">
        <f>"GRIFA PARA PLACA"</f>
        <v>GRIFA PARA PLACA</v>
      </c>
      <c r="C6579" s="6">
        <v>451000</v>
      </c>
      <c r="D6579" s="5"/>
      <c r="E6579" s="5" t="str">
        <f t="shared" si="318"/>
        <v>INSTRUMENTACION-DIANA CAICEDO-DIANA DIAZ</v>
      </c>
      <c r="F6579" s="5" t="str">
        <f>"Descripcion: GRIFAS PARA PLACAS ESTRECHAS Y ANCHAS Estado: Bueno Placa anterior: 000036276 Material: ACERO INOXIDABLE Color: PLATEADO Referencia:  Observacion:     Placa padre: I0004208Tipo adquisicion: Entidad"</f>
        <v>Descripcion: GRIFAS PARA PLACAS ESTRECHAS Y ANCHAS Estado: Bueno Placa anterior: 000036276 Material: ACERO INOXIDABLE Color: PLATEADO Referencia:  Observacion:     Placa padre: I0004208Tipo adquisicion: Entidad</v>
      </c>
      <c r="G6579" s="5"/>
    </row>
    <row r="6580" spans="1:7" ht="58.5" customHeight="1" x14ac:dyDescent="0.25">
      <c r="A6580" s="5" t="str">
        <f>"I0004232"</f>
        <v>I0004232</v>
      </c>
      <c r="B6580" s="5" t="str">
        <f>"GRIFA PARA PLACA"</f>
        <v>GRIFA PARA PLACA</v>
      </c>
      <c r="C6580" s="6">
        <v>451000</v>
      </c>
      <c r="D6580" s="5"/>
      <c r="E6580" s="5" t="str">
        <f t="shared" si="318"/>
        <v>INSTRUMENTACION-DIANA CAICEDO-DIANA DIAZ</v>
      </c>
      <c r="F6580" s="5" t="str">
        <f>"Descripcion: GRIFAS PARA PLACAS ESTRECHAS Y ANCHAS Estado: Bueno Placa anterior: 000036277 Material: ACERO INOXIDABLE Color: PLATEADO Referencia:  Observacion:     Placa padre: I0004208Tipo adquisicion: Entidad"</f>
        <v>Descripcion: GRIFAS PARA PLACAS ESTRECHAS Y ANCHAS Estado: Bueno Placa anterior: 000036277 Material: ACERO INOXIDABLE Color: PLATEADO Referencia:  Observacion:     Placa padre: I0004208Tipo adquisicion: Entidad</v>
      </c>
      <c r="G6580" s="5"/>
    </row>
    <row r="6581" spans="1:7" ht="58.5" customHeight="1" x14ac:dyDescent="0.25">
      <c r="A6581" s="5" t="str">
        <f>"I0004233"</f>
        <v>I0004233</v>
      </c>
      <c r="B6581" s="5" t="str">
        <f>"PINZA DE SUJECION"</f>
        <v>PINZA DE SUJECION</v>
      </c>
      <c r="C6581" s="6">
        <v>774000</v>
      </c>
      <c r="D6581" s="5" t="s">
        <v>435</v>
      </c>
      <c r="E6581" s="5" t="str">
        <f t="shared" si="318"/>
        <v>INSTRUMENTACION-DIANA CAICEDO-DIANA DIAZ</v>
      </c>
      <c r="F6581" s="5" t="str">
        <f>"Descripcion: PINZA DE SUJECION AUTOCENTRANTE 260 MM Estado: Bueno Placa anterior: 000036278 Material: ACERO INOXIDABLE Color: PLATEADO Referencia:  Observacion:     Placa padre: I0004208Tipo adquisicion: Entidad"</f>
        <v>Descripcion: PINZA DE SUJECION AUTOCENTRANTE 260 MM Estado: Bueno Placa anterior: 000036278 Material: ACERO INOXIDABLE Color: PLATEADO Referencia:  Observacion:     Placa padre: I0004208Tipo adquisicion: Entidad</v>
      </c>
      <c r="G6581" s="5"/>
    </row>
    <row r="6582" spans="1:7" ht="58.5" customHeight="1" x14ac:dyDescent="0.25">
      <c r="A6582" s="5" t="str">
        <f>"I0004234"</f>
        <v>I0004234</v>
      </c>
      <c r="B6582" s="5" t="str">
        <f>"PINZA DE SUJECION"</f>
        <v>PINZA DE SUJECION</v>
      </c>
      <c r="C6582" s="6">
        <v>690000</v>
      </c>
      <c r="D6582" s="5" t="s">
        <v>435</v>
      </c>
      <c r="E6582" s="5" t="str">
        <f t="shared" si="318"/>
        <v>INSTRUMENTACION-DIANA CAICEDO-DIANA DIAZ</v>
      </c>
      <c r="F6582" s="5" t="str">
        <f>"Descripcion: PINZAS DE REDUCCION DENTADA 240MM Estado: Bueno Placa anterior: 000036279 Material: ACERO INOXIDABLE Color: PLATEADO Referencia:  Observacion:     Placa padre: I0004208Tipo adquisicion: Entidad"</f>
        <v>Descripcion: PINZAS DE REDUCCION DENTADA 240MM Estado: Bueno Placa anterior: 000036279 Material: ACERO INOXIDABLE Color: PLATEADO Referencia:  Observacion:     Placa padre: I0004208Tipo adquisicion: Entidad</v>
      </c>
      <c r="G6582" s="5"/>
    </row>
    <row r="6583" spans="1:7" ht="58.5" customHeight="1" x14ac:dyDescent="0.25">
      <c r="A6583" s="5" t="str">
        <f>"I0004236"</f>
        <v>I0004236</v>
      </c>
      <c r="B6583" s="5" t="str">
        <f>"SEPARADOR DE HUESOS (HOHMANN)"</f>
        <v>SEPARADOR DE HUESOS (HOHMANN)</v>
      </c>
      <c r="C6583" s="6">
        <v>265000</v>
      </c>
      <c r="D6583" s="5"/>
      <c r="E6583" s="5" t="str">
        <f t="shared" si="318"/>
        <v>INSTRUMENTACION-DIANA CAICEDO-DIANA DIAZ</v>
      </c>
      <c r="F6583" s="5" t="str">
        <f>"Descripcion: SEPARADORES DE HOHMANN 18MM PUNTA Estado: Bueno Placa anterior: 000036281 Material: ACERO INOXIDABLE Color: PLATEADO Referencia:  Observacion:     Placa padre: I0004208Tipo adquisicion: Entidad"</f>
        <v>Descripcion: SEPARADORES DE HOHMANN 18MM PUNTA Estado: Bueno Placa anterior: 000036281 Material: ACERO INOXIDABLE Color: PLATEADO Referencia:  Observacion:     Placa padre: I0004208Tipo adquisicion: Entidad</v>
      </c>
      <c r="G6583" s="5"/>
    </row>
    <row r="6584" spans="1:7" ht="58.5" customHeight="1" x14ac:dyDescent="0.25">
      <c r="A6584" s="5" t="str">
        <f>"I0004237"</f>
        <v>I0004237</v>
      </c>
      <c r="B6584" s="5" t="str">
        <f>"SEPARADOR DE HUESOS (HOHMANN)"</f>
        <v>SEPARADOR DE HUESOS (HOHMANN)</v>
      </c>
      <c r="C6584" s="6">
        <v>265000</v>
      </c>
      <c r="D6584" s="5"/>
      <c r="E6584" s="5" t="str">
        <f t="shared" si="318"/>
        <v>INSTRUMENTACION-DIANA CAICEDO-DIANA DIAZ</v>
      </c>
      <c r="F6584" s="5" t="str">
        <f>"Descripcion: SEPARADORES DE HOHMANN 18MM PUNTA Estado: Bueno Placa anterior: 000036282 Material: ACERO INOXIDABLE Color: PLATEADO Referencia:  Observacion:     Placa padre: I0004208Tipo adquisicion: Entidad"</f>
        <v>Descripcion: SEPARADORES DE HOHMANN 18MM PUNTA Estado: Bueno Placa anterior: 000036282 Material: ACERO INOXIDABLE Color: PLATEADO Referencia:  Observacion:     Placa padre: I0004208Tipo adquisicion: Entidad</v>
      </c>
      <c r="G6584" s="5"/>
    </row>
    <row r="6585" spans="1:7" ht="58.5" customHeight="1" x14ac:dyDescent="0.25">
      <c r="A6585" s="5" t="str">
        <f>"I0004238"</f>
        <v>I0004238</v>
      </c>
      <c r="B6585" s="5" t="str">
        <f>"PINZA DE REDUCCION"</f>
        <v>PINZA DE REDUCCION</v>
      </c>
      <c r="C6585" s="6">
        <v>583000</v>
      </c>
      <c r="D6585" s="5"/>
      <c r="E6585" s="5" t="str">
        <f t="shared" si="318"/>
        <v>INSTRUMENTACION-DIANA CAICEDO-DIANA DIAZ</v>
      </c>
      <c r="F6585" s="5" t="str">
        <f>"Descripcion: PINZAS DE REDUCCION CON PUNTA 166M Estado: Bueno Placa anterior: 000036283 Material: ACERO INOXIDABLE Color: PLATEADO Referencia:  Observacion:     Placa padre: I0004208Tipo adquisicion: Entidad"</f>
        <v>Descripcion: PINZAS DE REDUCCION CON PUNTA 166M Estado: Bueno Placa anterior: 000036283 Material: ACERO INOXIDABLE Color: PLATEADO Referencia:  Observacion:     Placa padre: I0004208Tipo adquisicion: Entidad</v>
      </c>
      <c r="G6585" s="5"/>
    </row>
    <row r="6586" spans="1:7" ht="58.5" customHeight="1" x14ac:dyDescent="0.25">
      <c r="A6586" s="5" t="str">
        <f>"I0004239"</f>
        <v>I0004239</v>
      </c>
      <c r="B6586" s="5" t="str">
        <f>"PINZA DE REDUCCION"</f>
        <v>PINZA DE REDUCCION</v>
      </c>
      <c r="C6586" s="6">
        <v>583000</v>
      </c>
      <c r="D6586" s="5"/>
      <c r="E6586" s="5" t="str">
        <f t="shared" si="318"/>
        <v>INSTRUMENTACION-DIANA CAICEDO-DIANA DIAZ</v>
      </c>
      <c r="F6586" s="5" t="str">
        <f>"Descripcion: PINZAS DE REDUCCION CON PUNTA 166M Estado: Bueno Placa anterior: 000036284 Material: ACERO INOXIDABLE Color: PLATEADO Referencia:  Observacion:     Placa padre: I0004208Tipo adquisicion: Entidad"</f>
        <v>Descripcion: PINZAS DE REDUCCION CON PUNTA 166M Estado: Bueno Placa anterior: 000036284 Material: ACERO INOXIDABLE Color: PLATEADO Referencia:  Observacion:     Placa padre: I0004208Tipo adquisicion: Entidad</v>
      </c>
      <c r="G6586" s="5"/>
    </row>
    <row r="6587" spans="1:7" ht="58.5" customHeight="1" x14ac:dyDescent="0.25">
      <c r="A6587" s="5" t="str">
        <f>"I0004240"</f>
        <v>I0004240</v>
      </c>
      <c r="B6587" s="5" t="str">
        <f>"PINZA DE REDUCCION"</f>
        <v>PINZA DE REDUCCION</v>
      </c>
      <c r="C6587" s="6">
        <v>608000</v>
      </c>
      <c r="D6587" s="5" t="s">
        <v>435</v>
      </c>
      <c r="E6587" s="5" t="str">
        <f t="shared" si="318"/>
        <v>INSTRUMENTACION-DIANA CAICEDO-DIANA DIAZ</v>
      </c>
      <c r="F6587" s="5" t="str">
        <f>"Descripcion: PINZAS DE REDUCCION GRANDES 200M Estado: Bueno Placa anterior: 000036285 Material: ACERO INOXIDABLE Color: PLATEADO Referencia:  Observacion:     Placa padre: I0004208Tipo adquisicion: Entidad"</f>
        <v>Descripcion: PINZAS DE REDUCCION GRANDES 200M Estado: Bueno Placa anterior: 000036285 Material: ACERO INOXIDABLE Color: PLATEADO Referencia:  Observacion:     Placa padre: I0004208Tipo adquisicion: Entidad</v>
      </c>
      <c r="G6587" s="5"/>
    </row>
    <row r="6588" spans="1:7" ht="58.5" customHeight="1" x14ac:dyDescent="0.25">
      <c r="A6588" s="5" t="str">
        <f>"I0004241"</f>
        <v>I0004241</v>
      </c>
      <c r="B6588" s="5" t="str">
        <f>"PINZA DE REDUCCION"</f>
        <v>PINZA DE REDUCCION</v>
      </c>
      <c r="C6588" s="6">
        <v>608000</v>
      </c>
      <c r="D6588" s="5" t="s">
        <v>435</v>
      </c>
      <c r="E6588" s="5" t="str">
        <f t="shared" si="318"/>
        <v>INSTRUMENTACION-DIANA CAICEDO-DIANA DIAZ</v>
      </c>
      <c r="F6588" s="5" t="str">
        <f>"Descripcion: PINZAS DE REDUCCION GRANDES 200M Estado: Bueno Placa anterior: 000036286 Material: ACERO INOXIDABLE Color: PLATEADO Referencia:  Observacion:     Placa padre: I0004208Tipo adquisicion: Entidad"</f>
        <v>Descripcion: PINZAS DE REDUCCION GRANDES 200M Estado: Bueno Placa anterior: 000036286 Material: ACERO INOXIDABLE Color: PLATEADO Referencia:  Observacion:     Placa padre: I0004208Tipo adquisicion: Entidad</v>
      </c>
      <c r="G6588" s="5"/>
    </row>
    <row r="6589" spans="1:7" ht="58.5" customHeight="1" x14ac:dyDescent="0.25">
      <c r="A6589" s="5" t="str">
        <f>"I0004287"</f>
        <v>I0004287</v>
      </c>
      <c r="B6589" s="5" t="str">
        <f>"CUBETA DE ACERO INOXIDABLE MEDIANA"</f>
        <v>CUBETA DE ACERO INOXIDABLE MEDIANA</v>
      </c>
      <c r="C6589" s="6">
        <v>3454.98</v>
      </c>
      <c r="D6589" s="5"/>
      <c r="E6589" s="5" t="str">
        <f t="shared" si="318"/>
        <v>INSTRUMENTACION-DIANA CAICEDO-DIANA DIAZ</v>
      </c>
      <c r="F6589" s="5" t="str">
        <f>"Descripcion: CUBETA DE INSTRUMENTAL Estado: Bueno Placa anterior: 000028736 Material: ACERO INOXIDABLE Color: PLATEADO Referencia:  Observacion: CUBETA EN ACERO INOX. C/ Y S/ TAPA GRANDE,MEDIANA Y PEQUEÑA   Placa padre: I0004242Tipo adquisicion: Entidad"</f>
        <v>Descripcion: CUBETA DE INSTRUMENTAL Estado: Bueno Placa anterior: 000028736 Material: ACERO INOXIDABLE Color: PLATEADO Referencia:  Observacion: CUBETA EN ACERO INOX. C/ Y S/ TAPA GRANDE,MEDIANA Y PEQUEÑA   Placa padre: I0004242Tipo adquisicion: Entidad</v>
      </c>
      <c r="G6589" s="5"/>
    </row>
    <row r="6590" spans="1:7" ht="58.5" customHeight="1" x14ac:dyDescent="0.25">
      <c r="A6590" s="5" t="str">
        <f>"I0004288"</f>
        <v>I0004288</v>
      </c>
      <c r="B6590" s="5" t="str">
        <f>"EQUIPO DE MICROCIRUGIA MANO"</f>
        <v>EQUIPO DE MICROCIRUGIA MANO</v>
      </c>
      <c r="C6590" s="6">
        <v>1853919</v>
      </c>
      <c r="D6590" s="5"/>
      <c r="E6590" s="5" t="str">
        <f t="shared" si="318"/>
        <v>INSTRUMENTACION-DIANA CAICEDO-DIANA DIAZ</v>
      </c>
      <c r="F6590" s="5" t="str">
        <f>"Descripcion: EQUIPO DE MICRO MANO #1  QUE CONSTA DE:  (1) MANGO DE BISTURI #3  (1) TIJERA DE METZENBAUM PEQUEÑA CURVA  (1) TIJERA DE MAYO RECTA PEQUEÑA  (0) TIJERA DE STIVEN  (2) SEPARADORES DE SENN MILLER  (2) SEPARADORES DE FARABEUF  (2) PINZAS DE DISEC"&amp; "CION ADSON CON GARRA Y SIN GARRA  (1) DISECCTOR DE FREE  (1) DISECTOR PASA HILOS  (1) GANCHOS DE PIEL  (1) CANULA DE SUCCION  (1) PASA TENDON  (1) CURETA DE HIPOFISIS  (1) SONDA ACANALADA  (1) GUBIA (DIMEDA)  (1) PORTA AGUJAS PEQUEÑO  (2) PINZAS KELLY CUR"&amp; "VAS (DIMEDA)  (2) PINZAS ALLIX PEQUEÑAS  (1) PINZA ROCHESTER CURVA  (1) PINZA BABY MOSQUITO  (4) PINZAS MOSQUITO CURVAS  (4) PINZAS DE CAMPO  (1) COPA NIQUELADA  (1) CANASTA DE INSTRUMENTAL Estado: Bueno Placa anterior: 000012682 Material: ACERO INOXIDABL"&amp; "E Color: PLATEADO Referencia:  Observacion:     Placa padre: Tipo adquisicion: Entidad"</f>
        <v>Descripcion: EQUIPO DE MICRO MANO #1  QUE CONSTA DE:  (1) MANGO DE BISTURI #3  (1) TIJERA DE METZENBAUM PEQUEÑA CURVA  (1) TIJERA DE MAYO RECTA PEQUEÑA  (0) TIJERA DE STIVEN  (2) SEPARADORES DE SENN MILLER  (2) SEPARADORES DE FARABEUF  (2) PINZAS DE DISECCION ADSON CON GARRA Y SIN GARRA  (1) DISECCTOR DE FREE  (1) DISECTOR PASA HILOS  (1) GANCHOS DE PIEL  (1) CANULA DE SUCCION  (1) PASA TENDON  (1) CURETA DE HIPOFISIS  (1) SONDA ACANALADA  (1) GUBIA (DIMEDA)  (1) PORTA AGUJAS PEQUEÑO  (2) PINZAS KELLY CURVAS (DIMEDA)  (2) PINZAS ALLIX PEQUEÑAS  (1) PINZA ROCHESTER CURVA  (1) PINZA BABY MOSQUITO  (4) PINZAS MOSQUITO CURVAS  (4) PINZAS DE CAMPO  (1) COPA NIQUELADA  (1) CANASTA DE INSTRUMENTAL Estado: Bueno Placa anterior: 000012682 Material: ACERO INOXIDABLE Color: PLATEADO Referencia:  Observacion:     Placa padre: Tipo adquisicion: Entidad</v>
      </c>
      <c r="G6590" s="5"/>
    </row>
    <row r="6591" spans="1:7" ht="58.5" customHeight="1" x14ac:dyDescent="0.25">
      <c r="A6591" s="5" t="str">
        <f>"I0004325"</f>
        <v>I0004325</v>
      </c>
      <c r="B6591" s="5" t="str">
        <f>"CANASTA DE INSTRUMENTAL"</f>
        <v>CANASTA DE INSTRUMENTAL</v>
      </c>
      <c r="C6591" s="6">
        <v>1010000</v>
      </c>
      <c r="D6591" s="5"/>
      <c r="E6591" s="5" t="str">
        <f t="shared" si="318"/>
        <v>INSTRUMENTACION-DIANA CAICEDO-DIANA DIAZ</v>
      </c>
      <c r="F6591" s="5" t="str">
        <f>"Descripcion: CANASTA DE INSTRUMENTAL Estado: Bueno Placa anterior: 000025499 Material: ACERO INOXIDABLE Color: PLATEADO Referencia:  Observacion: CANASTA PARA ENDOSCOPIOS CON PROTECTOR EN SILICONA 290X80X52 Placa padre: I0004288Tipo adquisicion: Entidad"</f>
        <v>Descripcion: CANASTA DE INSTRUMENTAL Estado: Bueno Placa anterior: 000025499 Material: ACERO INOXIDABLE Color: PLATEADO Referencia:  Observacion: CANASTA PARA ENDOSCOPIOS CON PROTECTOR EN SILICONA 290X80X52 Placa padre: I0004288Tipo adquisicion: Entidad</v>
      </c>
      <c r="G6591" s="5"/>
    </row>
    <row r="6592" spans="1:7" ht="58.5" customHeight="1" x14ac:dyDescent="0.25">
      <c r="A6592" s="5" t="str">
        <f>"I0004326"</f>
        <v>I0004326</v>
      </c>
      <c r="B6592" s="5" t="str">
        <f>"EQUIPO DE MICROCIRUGIA MANO"</f>
        <v>EQUIPO DE MICROCIRUGIA MANO</v>
      </c>
      <c r="C6592" s="6">
        <v>1853919</v>
      </c>
      <c r="D6592" s="5"/>
      <c r="E6592" s="5" t="str">
        <f t="shared" si="318"/>
        <v>INSTRUMENTACION-DIANA CAICEDO-DIANA DIAZ</v>
      </c>
      <c r="F6592" s="5" t="str">
        <f>"Descripcion: EQUIPO DE MICRO MANO #2 QUE CONSTA DE:  (1) MANGO DE BISTURI #3  (1) TIJERA DE METZENBAUM PEQUEÑA CURVA  (1) TIJERA DE MAYO RECTA PEQUEÑA  (0) TIJERA DE STIVEN  (2) SEPARADORES DE SENN MILLER (DIMEDA)  (2) SEPARADORES DE BABY FARABEUF  (0) PI"&amp; "NZAS DE DISECCION ADSON CON GARRA  (0) PINZAS DE DISECCION ADSON SIN GARRA  (0) PINZAS BABY MOSQUITO  (0) PINZAS MOSQUITO CURVAS  (2) PINZAS  KELLY CURVAS  (2)ROCHESTER CURVAS  (2) PINZAS DE ALLIX  (1) DISECTOR DE FREE  (1) GANCHO DE PIEL  (1) CANULA DE S"&amp; "UCCION FRAZIER #8  (0) GUBIA (DIMEDA)  (1) CURETA  (0) PORTA AGUJAS PEQUEÑO  (1) SONDA ACANALADA  (4) PINZAS DE CAMPO  (1) COCA NIQUELADA  (1) PLATON NIQUELADO  (1) CANASTA DE INSTRUMENTAL Estado: Bueno Placa anterior: 000012683 Material: ACERO INOXIDABLE"&amp; " Color: PLATEADO Referencia:  Observacion:     Placa padre: Tipo adquisicion: Entidad"</f>
        <v>Descripcion: EQUIPO DE MICRO MANO #2 QUE CONSTA DE:  (1) MANGO DE BISTURI #3  (1) TIJERA DE METZENBAUM PEQUEÑA CURVA  (1) TIJERA DE MAYO RECTA PEQUEÑA  (0) TIJERA DE STIVEN  (2) SEPARADORES DE SENN MILLER (DIMEDA)  (2) SEPARADORES DE BABY FARABEUF  (0) PINZAS DE DISECCION ADSON CON GARRA  (0) PINZAS DE DISECCION ADSON SIN GARRA  (0) PINZAS BABY MOSQUITO  (0) PINZAS MOSQUITO CURVAS  (2) PINZAS  KELLY CURVAS  (2)ROCHESTER CURVAS  (2) PINZAS DE ALLIX  (1) DISECTOR DE FREE  (1) GANCHO DE PIEL  (1) CANULA DE SUCCION FRAZIER #8  (0) GUBIA (DIMEDA)  (1) CURETA  (0) PORTA AGUJAS PEQUEÑO  (1) SONDA ACANALADA  (4) PINZAS DE CAMPO  (1) COCA NIQUELADA  (1) PLATON NIQUELADO  (1) CANASTA DE INSTRUMENTAL Estado: Bueno Placa anterior: 000012683 Material: ACERO INOXIDABLE Color: PLATEADO Referencia:  Observacion:     Placa padre: Tipo adquisicion: Entidad</v>
      </c>
      <c r="G6592" s="5"/>
    </row>
    <row r="6593" spans="1:7" ht="58.5" customHeight="1" x14ac:dyDescent="0.25">
      <c r="A6593" s="5" t="str">
        <f>"I0004343"</f>
        <v>I0004343</v>
      </c>
      <c r="B6593" s="5" t="str">
        <f>"PORTAGUJAS (PINZA)"</f>
        <v>PORTAGUJAS (PINZA)</v>
      </c>
      <c r="C6593" s="6">
        <v>661200</v>
      </c>
      <c r="D6593" s="5" t="s">
        <v>433</v>
      </c>
      <c r="E6593" s="5" t="str">
        <f t="shared" si="318"/>
        <v>INSTRUMENTACION-DIANA CAICEDO-DIANA DIAZ</v>
      </c>
      <c r="F6593" s="5" t="str">
        <f>"Descripcion: PORTA AGUJAS PEQUEÑO Estado: Bueno Placa anterior: 000031842 Material: ACERO INOXIDABLE Color: PLATEADO Referencia:  Observacion:     Placa padre: I0004326Tipo adquisicion: Entidad"</f>
        <v>Descripcion: PORTA AGUJAS PEQUEÑO Estado: Bueno Placa anterior: 000031842 Material: ACERO INOXIDABLE Color: PLATEADO Referencia:  Observacion:     Placa padre: I0004326Tipo adquisicion: Entidad</v>
      </c>
      <c r="G6593" s="5"/>
    </row>
    <row r="6594" spans="1:7" ht="58.5" customHeight="1" x14ac:dyDescent="0.25">
      <c r="A6594" s="5" t="str">
        <f>"I0004344"</f>
        <v>I0004344</v>
      </c>
      <c r="B6594" s="5" t="str">
        <f>"PINZA KELLY CURVA 16 CM"</f>
        <v>PINZA KELLY CURVA 16 CM</v>
      </c>
      <c r="C6594" s="6">
        <v>661200</v>
      </c>
      <c r="D6594" s="5" t="s">
        <v>433</v>
      </c>
      <c r="E6594" s="5" t="str">
        <f t="shared" si="318"/>
        <v>INSTRUMENTACION-DIANA CAICEDO-DIANA DIAZ</v>
      </c>
      <c r="F6594" s="5" t="str">
        <f>"Descripcion: PINZAS KELLY CURVAS (DIMEDA) Estado: Bueno Placa anterior: 000031843 Material: ACERO INOXIDABLE Color: PLATEADO Referencia:  Observacion:     Placa padre: I0004326Tipo adquisicion: Entidad"</f>
        <v>Descripcion: PINZAS KELLY CURVAS (DIMEDA) Estado: Bueno Placa anterior: 000031843 Material: ACERO INOXIDABLE Color: PLATEADO Referencia:  Observacion:     Placa padre: I0004326Tipo adquisicion: Entidad</v>
      </c>
      <c r="G6594" s="5"/>
    </row>
    <row r="6595" spans="1:7" ht="58.5" customHeight="1" x14ac:dyDescent="0.25">
      <c r="A6595" s="5" t="str">
        <f>"I0004361"</f>
        <v>I0004361</v>
      </c>
      <c r="B6595" s="5" t="str">
        <f>"CANASTA DE INSTRUMENTAL"</f>
        <v>CANASTA DE INSTRUMENTAL</v>
      </c>
      <c r="C6595" s="6">
        <v>1010000</v>
      </c>
      <c r="D6595" s="5"/>
      <c r="E6595" s="5" t="str">
        <f t="shared" si="318"/>
        <v>INSTRUMENTACION-DIANA CAICEDO-DIANA DIAZ</v>
      </c>
      <c r="F6595" s="5" t="str">
        <f>"Descripcion: CANASTA DE INSTRUMENTAL Estado: Bueno Placa anterior: 000025501 Material: ACERO INOXIDABLE Color: PLATEADO Referencia:  Observacion: CANASTA PARA ENDOSCOPIOS CON PROTECTOR EN SILICONA 290X80X52 Placa padre: I0004326Tipo adquisicion: Entidad"</f>
        <v>Descripcion: CANASTA DE INSTRUMENTAL Estado: Bueno Placa anterior: 000025501 Material: ACERO INOXIDABLE Color: PLATEADO Referencia:  Observacion: CANASTA PARA ENDOSCOPIOS CON PROTECTOR EN SILICONA 290X80X52 Placa padre: I0004326Tipo adquisicion: Entidad</v>
      </c>
      <c r="G6595" s="5"/>
    </row>
    <row r="6596" spans="1:7" ht="58.5" customHeight="1" x14ac:dyDescent="0.25">
      <c r="A6596" s="5" t="str">
        <f>"I0004363"</f>
        <v>I0004363</v>
      </c>
      <c r="B6596" s="5" t="str">
        <f>"EQUIPO DE MICROCIRUGIA MANO"</f>
        <v>EQUIPO DE MICROCIRUGIA MANO</v>
      </c>
      <c r="C6596" s="6">
        <v>1853919</v>
      </c>
      <c r="D6596" s="5"/>
      <c r="E6596" s="5" t="str">
        <f t="shared" si="318"/>
        <v>INSTRUMENTACION-DIANA CAICEDO-DIANA DIAZ</v>
      </c>
      <c r="F6596" s="5" t="str">
        <f>"Descripcion: EQUIPO DE MICRO MANO #3 QUE CONSTA DE:(1) MANGO DE BISTURI #3(1) TIJERA DE METZENBAUM PEQUEÑA CURVA(1) TIJERA DE MAYO RECTA PEQUEÑA(0) TIJERA DE STIVEN(2) SEPARADORES DE SENN MILLER(2) SEPARADORES DE BABY FARABEUF(1) PINZAS DE DISECCION ADSON"&amp; " CON GARRA(1) PINZAS DE DISECCION ADSON SIN GARRA(1) DISECTOR DE FREE(1) GANCHO DE PIEL(0) CANULA DE SUCCION #6(0) GUBIA (DIMEDA)(1) CURETA (DIMEDA)(1) SONDA ACANALADA(1) PORTA AGUJAS PEQUEÑO(1) PINZAS ROCHESTER CURVA(2) PINZAS BABY MOSQUITO(4) PINZAS MOS"&amp; "QUITO CURVAS(2) PINZAS KELLY CURVAS(2) PINZAS ALLIX PEQUEÑAS (DIMEDA)(4) PINZAS DE CAMPO(1) RASPA DE FOMON(1) COCA NIQUELADA(1) COPA NIQUELADA(1) CANASTA DE INSTRUMENTAL Estado: Bueno Placa anterior: 000012681 Material: ACERO INOXIDABLE Color: PLATEADO Re"&amp; "ferencia:  Observacion:     Placa padre: Tipo adquisicion: Entidad"</f>
        <v>Descripcion: EQUIPO DE MICRO MANO #3 QUE CONSTA DE:(1) MANGO DE BISTURI #3(1) TIJERA DE METZENBAUM PEQUEÑA CURVA(1) TIJERA DE MAYO RECTA PEQUEÑA(0) TIJERA DE STIVEN(2) SEPARADORES DE SENN MILLER(2) SEPARADORES DE BABY FARABEUF(1) PINZAS DE DISECCION ADSON CON GARRA(1) PINZAS DE DISECCION ADSON SIN GARRA(1) DISECTOR DE FREE(1) GANCHO DE PIEL(0) CANULA DE SUCCION #6(0) GUBIA (DIMEDA)(1) CURETA (DIMEDA)(1) SONDA ACANALADA(1) PORTA AGUJAS PEQUEÑO(1) PINZAS ROCHESTER CURVA(2) PINZAS BABY MOSQUITO(4) PINZAS MOSQUITO CURVAS(2) PINZAS KELLY CURVAS(2) PINZAS ALLIX PEQUEÑAS (DIMEDA)(4) PINZAS DE CAMPO(1) RASPA DE FOMON(1) COCA NIQUELADA(1) COPA NIQUELADA(1) CANASTA DE INSTRUMENTAL Estado: Bueno Placa anterior: 000012681 Material: ACERO INOXIDABLE Color: PLATEADO Referencia:  Observacion:     Placa padre: Tipo adquisicion: Entidad</v>
      </c>
      <c r="G6596" s="5"/>
    </row>
    <row r="6597" spans="1:7" ht="58.5" customHeight="1" x14ac:dyDescent="0.25">
      <c r="A6597" s="5" t="str">
        <f>"I0004400"</f>
        <v>I0004400</v>
      </c>
      <c r="B6597" s="5" t="str">
        <f>"CANASTA DE INSTRUMENTAL"</f>
        <v>CANASTA DE INSTRUMENTAL</v>
      </c>
      <c r="C6597" s="6">
        <v>1010000</v>
      </c>
      <c r="D6597" s="5"/>
      <c r="E6597" s="5" t="str">
        <f t="shared" si="318"/>
        <v>INSTRUMENTACION-DIANA CAICEDO-DIANA DIAZ</v>
      </c>
      <c r="F6597" s="5" t="str">
        <f>"Descripcion: CANASTA DE INSTRUMENTAL Estado: Bueno Placa anterior: 000025497 Material: ACERO INOXIDABLE Color: PLATEADO Referencia:  Observacion: CANASTA PARA ENDOSCOPIOS CON PROTECTOR EN SILICONA 290X80X52 Placa padre: I0004363Tipo adquisicion: Entidad"</f>
        <v>Descripcion: CANASTA DE INSTRUMENTAL Estado: Bueno Placa anterior: 000025497 Material: ACERO INOXIDABLE Color: PLATEADO Referencia:  Observacion: CANASTA PARA ENDOSCOPIOS CON PROTECTOR EN SILICONA 290X80X52 Placa padre: I0004363Tipo adquisicion: Entidad</v>
      </c>
      <c r="G6597" s="5"/>
    </row>
    <row r="6598" spans="1:7" ht="58.5" customHeight="1" x14ac:dyDescent="0.25">
      <c r="A6598" s="5" t="str">
        <f>"I0004401"</f>
        <v>I0004401</v>
      </c>
      <c r="B6598" s="5" t="str">
        <f>"EQUIPO DE MICROCIRUGIA MANO"</f>
        <v>EQUIPO DE MICROCIRUGIA MANO</v>
      </c>
      <c r="C6598" s="6">
        <v>1853919</v>
      </c>
      <c r="D6598" s="5"/>
      <c r="E6598" s="5" t="str">
        <f t="shared" si="318"/>
        <v>INSTRUMENTACION-DIANA CAICEDO-DIANA DIAZ</v>
      </c>
      <c r="F6598" s="5" t="str">
        <f>"Descripcion: EQUIPO DE MICRO MANO #4 QUE CONSTA DE:  (1) MANGO DE BISTURI #3  (1) TIJERA DE METZENBAUM PEQUEÑA CURVA  (1) TIJERA DE MAYO RECTA PEQUEÑA  (0) TIJERA DE STIVEN  (2) SEPARADORES DE SENN MILLER  (2) SEPARADORES DE BABY FARABEUF  (1) PINZA DE DI"&amp; "SECCION ADSON CON GARRA (DIMEDA)  (1) PINZA DE DISECCION ADSON SIN GARRA (DIMEDA)  (1) DISECTOR DE FREE  (1) SONDA ACANALADA  (1) GANCHO DE PIEL  (1) CANULA DE SUCCION #6  (0) GUBIA (DIMEDA)  (1) CURETA (DIMEDA)  (1) PORTA AGUJAS PEQUEÑO  (2) PINZA ROCHES"&amp; "TER CURVA(DIMEDA)  (0) PINZAS BABY MOSQUITO (DIMEDA)  (0) PINZAS MOSQUITO CURVAS(DIMEDA)  (1) PINZAS KELLY CURVA (DIMEDA)  (1) PINZAS ALLIX PEQUEÑAS  (4) PINZAS DE CAMPO  (1) RASPA DE FOMMON  (1) COCA NIQUELADA  (1) CANASTA DE INSTRUMENTAL Estado: Bueno P"&amp; "laca anterior:  Material: ACERO INOXIDABLE Color: PLATEADO Referencia:  Observacion:     Placa padre: Tipo adquisicion: Entidad"</f>
        <v>Descripcion: EQUIPO DE MICRO MANO #4 QUE CONSTA DE:  (1) MANGO DE BISTURI #3  (1) TIJERA DE METZENBAUM PEQUEÑA CURVA  (1) TIJERA DE MAYO RECTA PEQUEÑA  (0) TIJERA DE STIVEN  (2) SEPARADORES DE SENN MILLER  (2) SEPARADORES DE BABY FARABEUF  (1) PINZA DE DISECCION ADSON CON GARRA (DIMEDA)  (1) PINZA DE DISECCION ADSON SIN GARRA (DIMEDA)  (1) DISECTOR DE FREE  (1) SONDA ACANALADA  (1) GANCHO DE PIEL  (1) CANULA DE SUCCION #6  (0) GUBIA (DIMEDA)  (1) CURETA (DIMEDA)  (1) PORTA AGUJAS PEQUEÑO  (2) PINZA ROCHESTER CURVA(DIMEDA)  (0) PINZAS BABY MOSQUITO (DIMEDA)  (0) PINZAS MOSQUITO CURVAS(DIMEDA)  (1) PINZAS KELLY CURVA (DIMEDA)  (1) PINZAS ALLIX PEQUEÑAS  (4) PINZAS DE CAMPO  (1) RASPA DE FOMMON  (1) COCA NIQUELADA  (1) CANASTA DE INSTRUMENTAL Estado: Bueno Placa anterior:  Material: ACERO INOXIDABLE Color: PLATEADO Referencia:  Observacion:     Placa padre: Tipo adquisicion: Entidad</v>
      </c>
      <c r="G6598" s="5"/>
    </row>
    <row r="6599" spans="1:7" ht="58.5" customHeight="1" x14ac:dyDescent="0.25">
      <c r="A6599" s="5" t="str">
        <f>"I0004412"</f>
        <v>I0004412</v>
      </c>
      <c r="B6599" s="5" t="str">
        <f>"DISECTOR PASA HILOS"</f>
        <v>DISECTOR PASA HILOS</v>
      </c>
      <c r="C6599" s="6">
        <v>153120</v>
      </c>
      <c r="D6599" s="5"/>
      <c r="E6599" s="5" t="str">
        <f t="shared" si="318"/>
        <v>INSTRUMENTACION-DIANA CAICEDO-DIANA DIAZ</v>
      </c>
      <c r="F6599" s="5" t="str">
        <f>"Descripcion: DISECTOR DE FREE Estado: Bueno Placa anterior: 000021800 Material: ACERO INOXIDABLE Color: PLATEADO Referencia:  Observacion: ELEVADOR (RASPADOR) DOBLE,FREE Placa padre: I0004401Tipo adquisicion: Entidad"</f>
        <v>Descripcion: DISECTOR DE FREE Estado: Bueno Placa anterior: 000021800 Material: ACERO INOXIDABLE Color: PLATEADO Referencia:  Observacion: ELEVADOR (RASPADOR) DOBLE,FREE Placa padre: I0004401Tipo adquisicion: Entidad</v>
      </c>
      <c r="G6599" s="5"/>
    </row>
    <row r="6600" spans="1:7" ht="58.5" customHeight="1" x14ac:dyDescent="0.25">
      <c r="A6600" s="5" t="str">
        <f>"I0004436"</f>
        <v>I0004436</v>
      </c>
      <c r="B6600" s="5" t="str">
        <f>"CANASTA DE INSTRUMENTAL"</f>
        <v>CANASTA DE INSTRUMENTAL</v>
      </c>
      <c r="C6600" s="6">
        <v>1110000</v>
      </c>
      <c r="D6600" s="5"/>
      <c r="E6600" s="5" t="str">
        <f t="shared" si="318"/>
        <v>INSTRUMENTACION-DIANA CAICEDO-DIANA DIAZ</v>
      </c>
      <c r="F6600" s="5" t="str">
        <f>"Descripcion: CANASTA DE INSTRUMENTAL Estado: Bueno Placa anterior: 000026879 Material: ACERO INOXIDABLE Color: PLATEADO Referencia:  Observacion: CANASTA PARAENDOSCOPIOS CON PROTECTOR EN SILICONA 460X80X52 Placa padre: I0004401Tipo adquisicion: Entidad"</f>
        <v>Descripcion: CANASTA DE INSTRUMENTAL Estado: Bueno Placa anterior: 000026879 Material: ACERO INOXIDABLE Color: PLATEADO Referencia:  Observacion: CANASTA PARAENDOSCOPIOS CON PROTECTOR EN SILICONA 460X80X52 Placa padre: I0004401Tipo adquisicion: Entidad</v>
      </c>
      <c r="G6600" s="5"/>
    </row>
    <row r="6601" spans="1:7" ht="58.5" customHeight="1" x14ac:dyDescent="0.25">
      <c r="A6601" s="5" t="str">
        <f>"I0004437"</f>
        <v>I0004437</v>
      </c>
      <c r="B6601" s="5" t="str">
        <f>"EQUIPO DE MICROCIRUGIA MANO"</f>
        <v>EQUIPO DE MICROCIRUGIA MANO</v>
      </c>
      <c r="C6601" s="6">
        <v>1853919</v>
      </c>
      <c r="D6601" s="5"/>
      <c r="E6601" s="5" t="str">
        <f t="shared" si="318"/>
        <v>INSTRUMENTACION-DIANA CAICEDO-DIANA DIAZ</v>
      </c>
      <c r="F6601" s="5" t="str">
        <f>"Descripcion: EQUIPO MICRO DE MANO  # 5 QUE CONSTA DE:  (1) MANGO DE BISTURI # 3  (1) TIJERA DE METZEMBAUM PEQUEÑA   (1) TIJERA DE MAYO   (1) TIJERA DE STIVEN  (2) DISECCIONES ADSON CON Y SIN GARRA   (2) SEPARADORES DE SEN MILLER   (2) SEPARADORES DE FARAB"&amp; "EUF  (1) DISECTOR DE FREE  (1) DISECTOR PASA TENDON   (1) CANULA DE SUCCION (DIMEDA)   (1) CURETA  (1) PORTA AGUJAS PEQUEÑO   (1) GANCHO DE PIEL  (2) PINZAS ROCHESTER CURVAS   (4) PINZAS MOSQUITOS CURVAS  (1) PINZAS BABY MOSQUITO   (4) PINZAS DE CAMPO  (2"&amp; ") PINZAS ALLIX  (2) PINZAS KELLY CURVAS    (1) CUBETA   (0) GUBIA   (1) SONDA ACANALADA   (1) COPA NIQUELADA   (1) CANASTA DE INSTRUMENTAL  Estado: Bueno Placa anterior:  Material: ACERO INOXIDABLE Color: PLATEADO Referencia:  Observacion:     Placa padre"&amp; ": Tipo adquisicion: Entidad"</f>
        <v>Descripcion: EQUIPO MICRO DE MANO  # 5 QUE CONSTA DE:  (1) MANGO DE BISTURI # 3  (1) TIJERA DE METZEMBAUM PEQUEÑA   (1) TIJERA DE MAYO   (1) TIJERA DE STIVEN  (2) DISECCIONES ADSON CON Y SIN GARRA   (2) SEPARADORES DE SEN MILLER   (2) SEPARADORES DE FARABEUF  (1) DISECTOR DE FREE  (1) DISECTOR PASA TENDON   (1) CANULA DE SUCCION (DIMEDA)   (1) CURETA  (1) PORTA AGUJAS PEQUEÑO   (1) GANCHO DE PIEL  (2) PINZAS ROCHESTER CURVAS   (4) PINZAS MOSQUITOS CURVAS  (1) PINZAS BABY MOSQUITO   (4) PINZAS DE CAMPO  (2) PINZAS ALLIX  (2) PINZAS KELLY CURVAS    (1) CUBETA   (0) GUBIA   (1) SONDA ACANALADA   (1) COPA NIQUELADA   (1) CANASTA DE INSTRUMENTAL  Estado: Bueno Placa anterior:  Material: ACERO INOXIDABLE Color: PLATEADO Referencia:  Observacion:     Placa padre: Tipo adquisicion: Entidad</v>
      </c>
      <c r="G6601" s="5"/>
    </row>
    <row r="6602" spans="1:7" ht="58.5" customHeight="1" x14ac:dyDescent="0.25">
      <c r="A6602" s="5" t="str">
        <f>"I0004452"</f>
        <v>I0004452</v>
      </c>
      <c r="B6602" s="5" t="str">
        <f>"PINZA GUBIA"</f>
        <v>PINZA GUBIA</v>
      </c>
      <c r="C6602" s="6">
        <v>661200</v>
      </c>
      <c r="D6602" s="5" t="s">
        <v>433</v>
      </c>
      <c r="E6602" s="5" t="str">
        <f t="shared" si="318"/>
        <v>INSTRUMENTACION-DIANA CAICEDO-DIANA DIAZ</v>
      </c>
      <c r="F6602" s="5" t="str">
        <f>"Descripcion: GUBIA (DIMEDA) Estado: Bueno Placa anterior: 000031844 Material: ACERO INOXIDABLE Color: PLATEADO Referencia:  Observacion:     Placa padre: I0004437Tipo adquisicion: Entidad"</f>
        <v>Descripcion: GUBIA (DIMEDA) Estado: Bueno Placa anterior: 000031844 Material: ACERO INOXIDABLE Color: PLATEADO Referencia:  Observacion:     Placa padre: I0004437Tipo adquisicion: Entidad</v>
      </c>
      <c r="G6602" s="5"/>
    </row>
    <row r="6603" spans="1:7" ht="58.5" customHeight="1" x14ac:dyDescent="0.25">
      <c r="A6603" s="5" t="str">
        <f>"I0004471"</f>
        <v>I0004471</v>
      </c>
      <c r="B6603" s="5" t="str">
        <f>"CUBETA DE ACERO INOXIDABLE MEDIANA"</f>
        <v>CUBETA DE ACERO INOXIDABLE MEDIANA</v>
      </c>
      <c r="C6603" s="6">
        <v>785.84</v>
      </c>
      <c r="D6603" s="5"/>
      <c r="E6603" s="5" t="str">
        <f t="shared" si="318"/>
        <v>INSTRUMENTACION-DIANA CAICEDO-DIANA DIAZ</v>
      </c>
      <c r="F6603" s="5" t="str">
        <f>"Descripcion: CUBETA  Estado: Bueno Placa anterior: 000007458 Material: ACERO INOXIDABLE Color: PLATEADO Referencia:  Observacion: CUBETA EN ACERO INOXIDABLE   Placa padre: I0004437Tipo adquisicion: Entidad"</f>
        <v>Descripcion: CUBETA  Estado: Bueno Placa anterior: 000007458 Material: ACERO INOXIDABLE Color: PLATEADO Referencia:  Observacion: CUBETA EN ACERO INOXIDABLE   Placa padre: I0004437Tipo adquisicion: Entidad</v>
      </c>
      <c r="G6603" s="5"/>
    </row>
    <row r="6604" spans="1:7" ht="58.5" customHeight="1" x14ac:dyDescent="0.25">
      <c r="A6604" s="5" t="str">
        <f>"I0004474"</f>
        <v>I0004474</v>
      </c>
      <c r="B6604" s="5" t="str">
        <f>"CANASTA DE INSTRUMENTAL"</f>
        <v>CANASTA DE INSTRUMENTAL</v>
      </c>
      <c r="C6604" s="6">
        <v>1110000</v>
      </c>
      <c r="D6604" s="5"/>
      <c r="E6604" s="5" t="str">
        <f t="shared" si="318"/>
        <v>INSTRUMENTACION-DIANA CAICEDO-DIANA DIAZ</v>
      </c>
      <c r="F6604" s="5" t="str">
        <f>"Descripcion: CANASTA DE INSTRUMENTAL Estado: Bueno Placa anterior: 000026881 Material: ACERO INOXIDABLE Color: PLATEADO Referencia:  Observacion: CANASTA PARAENDOSCOPIOS CON PROTECTOR EN SILICONA 460X80X52 Placa padre: I0004437Tipo adquisicion: Entidad"</f>
        <v>Descripcion: CANASTA DE INSTRUMENTAL Estado: Bueno Placa anterior: 000026881 Material: ACERO INOXIDABLE Color: PLATEADO Referencia:  Observacion: CANASTA PARAENDOSCOPIOS CON PROTECTOR EN SILICONA 460X80X52 Placa padre: I0004437Tipo adquisicion: Entidad</v>
      </c>
      <c r="G6604" s="5"/>
    </row>
    <row r="6605" spans="1:7" ht="58.5" customHeight="1" x14ac:dyDescent="0.25">
      <c r="A6605" s="5" t="str">
        <f>"I0004475"</f>
        <v>I0004475</v>
      </c>
      <c r="B6605" s="5" t="str">
        <f>"EQUIPO ACCESORIOS DE MICROCIRUGIA DE MANO"</f>
        <v>EQUIPO ACCESORIOS DE MICROCIRUGIA DE MANO</v>
      </c>
      <c r="C6605" s="6">
        <v>60000</v>
      </c>
      <c r="D6605" s="5"/>
      <c r="E6605" s="5" t="str">
        <f t="shared" si="318"/>
        <v>INSTRUMENTACION-DIANA CAICEDO-DIANA DIAZ</v>
      </c>
      <c r="F6605" s="5" t="str">
        <f>"Descripcion: EQUIPO ACCESORIOS DE MICRO MANO 1 QUE CONSTA DE:  (1) RELOJERO   (1) PORTA AGUJAS MANGO DORADO (DIMEDA)  (1) TIJERA WESTCOTT  Estado: Bueno Placa anterior: 000012684 Material: ACERO INOXIDABLE Color: PLATEADO Referencia:  Observacion:     Pla"&amp; "ca padre: Tipo adquisicion: Entidad"</f>
        <v>Descripcion: EQUIPO ACCESORIOS DE MICRO MANO 1 QUE CONSTA DE:  (1) RELOJERO   (1) PORTA AGUJAS MANGO DORADO (DIMEDA)  (1) TIJERA WESTCOTT  Estado: Bueno Placa anterior: 000012684 Material: ACERO INOXIDABLE Color: PLATEADO Referencia:  Observacion:     Placa padre: Tipo adquisicion: Entidad</v>
      </c>
      <c r="G6605" s="5"/>
    </row>
    <row r="6606" spans="1:7" ht="58.5" customHeight="1" x14ac:dyDescent="0.25">
      <c r="A6606" s="5" t="str">
        <f>"I0004476"</f>
        <v>I0004476</v>
      </c>
      <c r="B6606" s="5" t="str">
        <f>"PINZA DE RELOJERO"</f>
        <v>PINZA DE RELOJERO</v>
      </c>
      <c r="C6606" s="6">
        <v>83520</v>
      </c>
      <c r="D6606" s="5"/>
      <c r="E6606" s="5" t="str">
        <f t="shared" si="318"/>
        <v>INSTRUMENTACION-DIANA CAICEDO-DIANA DIAZ</v>
      </c>
      <c r="F6606" s="5" t="str">
        <f>"Descripcion: PINZA DE RELOJERO  Estado: Bueno Placa anterior: 000022123 Material: ACERO INOXIDABLE Color: PLATEADO Referencia:  Observacion:     Placa padre: I0004475Tipo adquisicion: Entidad"</f>
        <v>Descripcion: PINZA DE RELOJERO  Estado: Bueno Placa anterior: 000022123 Material: ACERO INOXIDABLE Color: PLATEADO Referencia:  Observacion:     Placa padre: I0004475Tipo adquisicion: Entidad</v>
      </c>
      <c r="G6606" s="5"/>
    </row>
    <row r="6607" spans="1:7" ht="58.5" customHeight="1" x14ac:dyDescent="0.25">
      <c r="A6607" s="5" t="str">
        <f>"I0004494"</f>
        <v>I0004494</v>
      </c>
      <c r="B6607" s="5" t="str">
        <f>"PINZA DE DISECCION SIN GARRA CORTA 20 CM"</f>
        <v>PINZA DE DISECCION SIN GARRA CORTA 20 CM</v>
      </c>
      <c r="C6607" s="6">
        <v>150800</v>
      </c>
      <c r="D6607" s="5"/>
      <c r="E6607" s="5" t="str">
        <f t="shared" si="318"/>
        <v>INSTRUMENTACION-DIANA CAICEDO-DIANA DIAZ</v>
      </c>
      <c r="F6607" s="5" t="str">
        <f>"Descripcion: DISECCION CASTRO VIEJO CON GARRA (DIMEDA) Estado: Bueno Placa anterior: 000031725 Material: ACERO INOXIDABLE Color: PLATEADO Referencia:  Observacion:     Placa padre: I0004484Tipo adquisicion: Entidad"</f>
        <v>Descripcion: DISECCION CASTRO VIEJO CON GARRA (DIMEDA) Estado: Bueno Placa anterior: 000031725 Material: ACERO INOXIDABLE Color: PLATEADO Referencia:  Observacion:     Placa padre: I0004484Tipo adquisicion: Entidad</v>
      </c>
      <c r="G6607" s="5"/>
    </row>
    <row r="6608" spans="1:7" ht="58.5" customHeight="1" x14ac:dyDescent="0.25">
      <c r="A6608" s="5" t="str">
        <f>"I0004506"</f>
        <v>I0004506</v>
      </c>
      <c r="B6608" s="5" t="str">
        <f>"PINZA DE CAMPO"</f>
        <v>PINZA DE CAMPO</v>
      </c>
      <c r="C6608" s="6">
        <v>40600</v>
      </c>
      <c r="D6608" s="5"/>
      <c r="E6608" s="5" t="str">
        <f t="shared" si="318"/>
        <v>INSTRUMENTACION-DIANA CAICEDO-DIANA DIAZ</v>
      </c>
      <c r="F6608" s="5" t="str">
        <f>"Descripcion: PINZAS DE CAMPO   (DIMEDA) Estado: Bueno Placa anterior: 000036015 Material: ACERO INOXIDABLE Color: PLATEADO Referencia:  Observacion: PINZA GRAEFE PARA IRIS Placa padre: I0004484Tipo adquisicion: Entidad"</f>
        <v>Descripcion: PINZAS DE CAMPO   (DIMEDA) Estado: Bueno Placa anterior: 000036015 Material: ACERO INOXIDABLE Color: PLATEADO Referencia:  Observacion: PINZA GRAEFE PARA IRIS Placa padre: I0004484Tipo adquisicion: Entidad</v>
      </c>
      <c r="G6608" s="5"/>
    </row>
    <row r="6609" spans="1:7" ht="58.5" customHeight="1" x14ac:dyDescent="0.25">
      <c r="A6609" s="5" t="str">
        <f>"I0004513"</f>
        <v>I0004513</v>
      </c>
      <c r="B6609" s="5" t="str">
        <f>"ESPATULA (INSTRUMENTAL)"</f>
        <v>ESPATULA (INSTRUMENTAL)</v>
      </c>
      <c r="C6609" s="6">
        <v>278400</v>
      </c>
      <c r="D6609" s="5"/>
      <c r="E6609" s="5" t="str">
        <f t="shared" si="318"/>
        <v>INSTRUMENTACION-DIANA CAICEDO-DIANA DIAZ</v>
      </c>
      <c r="F6609" s="5" t="str">
        <f>"Descripcion: ESPATULA (DIMEDA) Estado: Bueno Placa anterior: 000032138 Material: ACERO INOXIDABLE Color: PLATEADO Referencia:  Observacion:     Placa padre: I0004484Tipo adquisicion: Entidad"</f>
        <v>Descripcion: ESPATULA (DIMEDA) Estado: Bueno Placa anterior: 000032138 Material: ACERO INOXIDABLE Color: PLATEADO Referencia:  Observacion:     Placa padre: I0004484Tipo adquisicion: Entidad</v>
      </c>
      <c r="G6609" s="5"/>
    </row>
    <row r="6610" spans="1:7" ht="58.5" customHeight="1" x14ac:dyDescent="0.25">
      <c r="A6610" s="5" t="str">
        <f>"I0004517"</f>
        <v>I0004517</v>
      </c>
      <c r="B6610" s="5" t="str">
        <f>"BLEFAROSTATO GRANDE"</f>
        <v>BLEFAROSTATO GRANDE</v>
      </c>
      <c r="C6610" s="6">
        <v>371200</v>
      </c>
      <c r="D6610" s="5"/>
      <c r="E6610" s="5" t="str">
        <f t="shared" si="318"/>
        <v>INSTRUMENTACION-DIANA CAICEDO-DIANA DIAZ</v>
      </c>
      <c r="F6610" s="5" t="str">
        <f>"Descripcion: BLEFAROSTATO PEQUEÑO(DIMEDA) Estado: Bueno Placa anterior: 000031598 Material: ACERO INOXIDABLE Color: PLATEADO Referencia:  Observacion:     Placa padre: I0004515Tipo adquisicion: Entidad"</f>
        <v>Descripcion: BLEFAROSTATO PEQUEÑO(DIMEDA) Estado: Bueno Placa anterior: 000031598 Material: ACERO INOXIDABLE Color: PLATEADO Referencia:  Observacion:     Placa padre: I0004515Tipo adquisicion: Entidad</v>
      </c>
      <c r="G6610" s="5"/>
    </row>
    <row r="6611" spans="1:7" ht="58.5" customHeight="1" x14ac:dyDescent="0.25">
      <c r="A6611" s="5" t="str">
        <f>"I0004518"</f>
        <v>I0004518</v>
      </c>
      <c r="B6611" s="5" t="str">
        <f>"BLEFAROSTATO GRANDE"</f>
        <v>BLEFAROSTATO GRANDE</v>
      </c>
      <c r="C6611" s="6">
        <v>69600</v>
      </c>
      <c r="D6611" s="5"/>
      <c r="E6611" s="5" t="str">
        <f t="shared" si="318"/>
        <v>INSTRUMENTACION-DIANA CAICEDO-DIANA DIAZ</v>
      </c>
      <c r="F6611" s="5" t="str">
        <f>"Descripcion: BLEFAROSTATO GRANDE (DIMEDA) Estado: Bueno Placa anterior: 000031595 Material: ACERO INOXIDABLE Color: PLATEADO Referencia:  Observacion:     Placa padre: I0004515Tipo adquisicion: Entidad"</f>
        <v>Descripcion: BLEFAROSTATO GRANDE (DIMEDA) Estado: Bueno Placa anterior: 000031595 Material: ACERO INOXIDABLE Color: PLATEADO Referencia:  Observacion:     Placa padre: I0004515Tipo adquisicion: Entidad</v>
      </c>
      <c r="G6611" s="5"/>
    </row>
    <row r="6612" spans="1:7" ht="58.5" customHeight="1" x14ac:dyDescent="0.25">
      <c r="A6612" s="5" t="str">
        <f>"I0004520"</f>
        <v>I0004520</v>
      </c>
      <c r="B6612" s="5" t="str">
        <f>"TIJERA (INSTRUMENTAL)"</f>
        <v>TIJERA (INSTRUMENTAL)</v>
      </c>
      <c r="C6612" s="6">
        <v>429200</v>
      </c>
      <c r="D6612" s="5"/>
      <c r="E6612" s="5" t="str">
        <f t="shared" si="318"/>
        <v>INSTRUMENTACION-DIANA CAICEDO-DIANA DIAZ</v>
      </c>
      <c r="F6612" s="5" t="str">
        <f>"Descripcion: TIJERA WESTCOTT (DIMEDA) Estado: Bueno Placa anterior: 000032189 Material: ACERO INOXIDABLE Color: PLATEADO Referencia:  Observacion:     Placa padre: I0004515Tipo adquisicion: Entidad"</f>
        <v>Descripcion: TIJERA WESTCOTT (DIMEDA) Estado: Bueno Placa anterior: 000032189 Material: ACERO INOXIDABLE Color: PLATEADO Referencia:  Observacion:     Placa padre: I0004515Tipo adquisicion: Entidad</v>
      </c>
      <c r="G6612" s="5"/>
    </row>
    <row r="6613" spans="1:7" ht="58.5" customHeight="1" x14ac:dyDescent="0.25">
      <c r="A6613" s="5" t="str">
        <f>"I0004523"</f>
        <v>I0004523</v>
      </c>
      <c r="B6613" s="5" t="str">
        <f>"PINZA DE DISECCION SIN GARRA CORTA 20 CM"</f>
        <v>PINZA DE DISECCION SIN GARRA CORTA 20 CM</v>
      </c>
      <c r="C6613" s="6">
        <v>336400</v>
      </c>
      <c r="D6613" s="5"/>
      <c r="E6613" s="5" t="str">
        <f t="shared" si="318"/>
        <v>INSTRUMENTACION-DIANA CAICEDO-DIANA DIAZ</v>
      </c>
      <c r="F6613" s="5" t="str">
        <f>"Descripcion: DISECCION MCPHERSON CON GARRA (DIMEDA) Estado: Bueno Placa anterior: 000031909 Material: ACERO INOXIDABLE Color: PLATEADO Referencia:  Observacion:     Placa padre: I0004515Tipo adquisicion: Entidad"</f>
        <v>Descripcion: DISECCION MCPHERSON CON GARRA (DIMEDA) Estado: Bueno Placa anterior: 000031909 Material: ACERO INOXIDABLE Color: PLATEADO Referencia:  Observacion:     Placa padre: I0004515Tipo adquisicion: Entidad</v>
      </c>
      <c r="G6613" s="5"/>
    </row>
    <row r="6614" spans="1:7" ht="58.5" customHeight="1" x14ac:dyDescent="0.25">
      <c r="A6614" s="5" t="str">
        <f>"I0004525"</f>
        <v>I0004525</v>
      </c>
      <c r="B6614" s="5" t="str">
        <f>"PINZA DE DISECCION SIN GARRA CORTA 20 CM"</f>
        <v>PINZA DE DISECCION SIN GARRA CORTA 20 CM</v>
      </c>
      <c r="C6614" s="6">
        <v>150800</v>
      </c>
      <c r="D6614" s="5"/>
      <c r="E6614" s="5" t="str">
        <f t="shared" si="318"/>
        <v>INSTRUMENTACION-DIANA CAICEDO-DIANA DIAZ</v>
      </c>
      <c r="F6614" s="5" t="str">
        <f>"Descripcion: DISECCION CASTRO VIEJO CON GARRA (DIMEDA) Estado: Bueno Placa anterior: 000031726 Material: ACERO INOXIDABLE Color: PLATEADO Referencia:  Observacion:     Placa padre: I0004515Tipo adquisicion: Entidad"</f>
        <v>Descripcion: DISECCION CASTRO VIEJO CON GARRA (DIMEDA) Estado: Bueno Placa anterior: 000031726 Material: ACERO INOXIDABLE Color: PLATEADO Referencia:  Observacion:     Placa padre: I0004515Tipo adquisicion: Entidad</v>
      </c>
      <c r="G6614" s="5"/>
    </row>
    <row r="6615" spans="1:7" ht="58.5" customHeight="1" x14ac:dyDescent="0.25">
      <c r="A6615" s="5" t="str">
        <f>"I0004526"</f>
        <v>I0004526</v>
      </c>
      <c r="B6615" s="5" t="str">
        <f>"PINZA DE DISECCION SIN GARRA CORTA 20 CM"</f>
        <v>PINZA DE DISECCION SIN GARRA CORTA 20 CM</v>
      </c>
      <c r="C6615" s="6">
        <v>139200</v>
      </c>
      <c r="D6615" s="5"/>
      <c r="E6615" s="5" t="str">
        <f t="shared" si="318"/>
        <v>INSTRUMENTACION-DIANA CAICEDO-DIANA DIAZ</v>
      </c>
      <c r="F6615" s="5" t="str">
        <f>"Descripcion: DISECCION BISHOP HARMON SIN GARRA (DIMEDA) Estado: Bueno Placa anterior: 000031714 Material: ACERO INOXIDABLE Color: PLATEADO Referencia:  Observacion:     Placa padre: I0004515Tipo adquisicion: Entidad"</f>
        <v>Descripcion: DISECCION BISHOP HARMON SIN GARRA (DIMEDA) Estado: Bueno Placa anterior: 000031714 Material: ACERO INOXIDABLE Color: PLATEADO Referencia:  Observacion:     Placa padre: I0004515Tipo adquisicion: Entidad</v>
      </c>
      <c r="G6615" s="5"/>
    </row>
    <row r="6616" spans="1:7" ht="58.5" customHeight="1" x14ac:dyDescent="0.25">
      <c r="A6616" s="5" t="str">
        <f>"I0004527"</f>
        <v>I0004527</v>
      </c>
      <c r="B6616" s="5" t="str">
        <f>"PINZA DE DISECCION SIN GARRA CORTA 20 CM"</f>
        <v>PINZA DE DISECCION SIN GARRA CORTA 20 CM</v>
      </c>
      <c r="C6616" s="6">
        <v>145000</v>
      </c>
      <c r="D6616" s="5"/>
      <c r="E6616" s="5" t="str">
        <f t="shared" si="318"/>
        <v>INSTRUMENTACION-DIANA CAICEDO-DIANA DIAZ</v>
      </c>
      <c r="F6616" s="5" t="str">
        <f>"Descripcion: DISECCION BISHOP HARMON CON GARRA (DIMEDA Estado: Bueno Placa anterior: 000031718 Material: ACERO INOXIDABLE Color: PLATEADO Referencia:  Observacion:     Placa padre: I0004515Tipo adquisicion: Entidad"</f>
        <v>Descripcion: DISECCION BISHOP HARMON CON GARRA (DIMEDA Estado: Bueno Placa anterior: 000031718 Material: ACERO INOXIDABLE Color: PLATEADO Referencia:  Observacion:     Placa padre: I0004515Tipo adquisicion: Entidad</v>
      </c>
      <c r="G6616" s="5"/>
    </row>
    <row r="6617" spans="1:7" ht="58.5" customHeight="1" x14ac:dyDescent="0.25">
      <c r="A6617" s="5" t="str">
        <f>"I0004529"</f>
        <v>I0004529</v>
      </c>
      <c r="B6617" s="5" t="str">
        <f>"PINZA ARRUGA"</f>
        <v>PINZA ARRUGA</v>
      </c>
      <c r="C6617" s="6">
        <v>229680</v>
      </c>
      <c r="D6617" s="5"/>
      <c r="E6617" s="5" t="str">
        <f t="shared" si="318"/>
        <v>INSTRUMENTACION-DIANA CAICEDO-DIANA DIAZ</v>
      </c>
      <c r="F6617" s="5" t="str">
        <f>"Descripcion: PINZA ARRUGA (DIMEDA) Estado: Bueno Placa anterior: 000031706 Material: ACERO INOXIDABLE Color: PLATEADO Referencia:  Observacion:     Placa padre: I0004515Tipo adquisicion: Entidad"</f>
        <v>Descripcion: PINZA ARRUGA (DIMEDA) Estado: Bueno Placa anterior: 000031706 Material: ACERO INOXIDABLE Color: PLATEADO Referencia:  Observacion:     Placa padre: I0004515Tipo adquisicion: Entidad</v>
      </c>
      <c r="G6617" s="5"/>
    </row>
    <row r="6618" spans="1:7" ht="58.5" customHeight="1" x14ac:dyDescent="0.25">
      <c r="A6618" s="5" t="str">
        <f>"I0004530"</f>
        <v>I0004530</v>
      </c>
      <c r="B6618" s="5" t="str">
        <f>"GANCHO (INSTRUMENTAL)"</f>
        <v>GANCHO (INSTRUMENTAL)</v>
      </c>
      <c r="C6618" s="6">
        <v>52200</v>
      </c>
      <c r="D6618" s="5"/>
      <c r="E6618" s="5" t="str">
        <f t="shared" si="318"/>
        <v>INSTRUMENTACION-DIANA CAICEDO-DIANA DIAZ</v>
      </c>
      <c r="F6618" s="5" t="str">
        <f>"Descripcion: GANCHO DE JAMESON (DIMEDA) Estado: Bueno Placa anterior: 000032454 Material: ACERO INOXIDABLE Color: PLATEADO Referencia:  Observacion:     Placa padre: I0004515Tipo adquisicion: Entidad"</f>
        <v>Descripcion: GANCHO DE JAMESON (DIMEDA) Estado: Bueno Placa anterior: 000032454 Material: ACERO INOXIDABLE Color: PLATEADO Referencia:  Observacion:     Placa padre: I0004515Tipo adquisicion: Entidad</v>
      </c>
      <c r="G6618" s="5"/>
    </row>
    <row r="6619" spans="1:7" ht="58.5" customHeight="1" x14ac:dyDescent="0.25">
      <c r="A6619" s="5" t="str">
        <f>"I0004531"</f>
        <v>I0004531</v>
      </c>
      <c r="B6619" s="5" t="str">
        <f>"PINZA DE RELOJERO"</f>
        <v>PINZA DE RELOJERO</v>
      </c>
      <c r="C6619" s="6">
        <v>58000</v>
      </c>
      <c r="D6619" s="5"/>
      <c r="E6619" s="5" t="str">
        <f t="shared" si="318"/>
        <v>INSTRUMENTACION-DIANA CAICEDO-DIANA DIAZ</v>
      </c>
      <c r="F6619" s="5" t="str">
        <f>"Descripcion: PINZA DISECCION RELOJERO (DIMEDA) Estado: Bueno Placa anterior: 000031952 Material: ACERO INOXIDABLE Color: PLATEADO Referencia:  Observacion:     Placa padre: I0004515Tipo adquisicion: Entidad"</f>
        <v>Descripcion: PINZA DISECCION RELOJERO (DIMEDA) Estado: Bueno Placa anterior: 000031952 Material: ACERO INOXIDABLE Color: PLATEADO Referencia:  Observacion:     Placa padre: I0004515Tipo adquisicion: Entidad</v>
      </c>
      <c r="G6619" s="5"/>
    </row>
    <row r="6620" spans="1:7" ht="58.5" customHeight="1" x14ac:dyDescent="0.25">
      <c r="A6620" s="5" t="str">
        <f>"I0004532"</f>
        <v>I0004532</v>
      </c>
      <c r="B6620" s="5" t="str">
        <f>"PINZA BIPOLAR"</f>
        <v>PINZA BIPOLAR</v>
      </c>
      <c r="C6620" s="6">
        <v>1032400</v>
      </c>
      <c r="D6620" s="5" t="s">
        <v>440</v>
      </c>
      <c r="E6620" s="5" t="str">
        <f t="shared" si="318"/>
        <v>INSTRUMENTACION-DIANA CAICEDO-DIANA DIAZ</v>
      </c>
      <c r="F6620" s="5" t="str">
        <f>"Descripcion: PINZA BIPOLAR (DIMEDA) Estado: Bueno Placa anterior: 000031710 Material: ACERO INOXIDABLE Color: PLATEADO Referencia:  Observacion:     Placa padre: I0004515Tipo adquisicion: Entidad"</f>
        <v>Descripcion: PINZA BIPOLAR (DIMEDA) Estado: Bueno Placa anterior: 000031710 Material: ACERO INOXIDABLE Color: PLATEADO Referencia:  Observacion:     Placa padre: I0004515Tipo adquisicion: Entidad</v>
      </c>
      <c r="G6620" s="5"/>
    </row>
    <row r="6621" spans="1:7" ht="58.5" customHeight="1" x14ac:dyDescent="0.25">
      <c r="A6621" s="5" t="str">
        <f>"I0004533"</f>
        <v>I0004533</v>
      </c>
      <c r="B6621" s="5" t="str">
        <f>"CANULA SIMCOE"</f>
        <v>CANULA SIMCOE</v>
      </c>
      <c r="C6621" s="6">
        <v>493000</v>
      </c>
      <c r="D6621" s="5"/>
      <c r="E6621" s="5" t="str">
        <f t="shared" si="318"/>
        <v>INSTRUMENTACION-DIANA CAICEDO-DIANA DIAZ</v>
      </c>
      <c r="F6621" s="5" t="str">
        <f>"Descripcion: CANULA SIMCOE (DIMEDA) Estado: Bueno Placa anterior: 000031612 Material: ACERO INOXIDABLE Color: PLATEADO Referencia:  Observacion:     Placa padre: I0004515Tipo adquisicion: Entidad"</f>
        <v>Descripcion: CANULA SIMCOE (DIMEDA) Estado: Bueno Placa anterior: 000031612 Material: ACERO INOXIDABLE Color: PLATEADO Referencia:  Observacion:     Placa padre: I0004515Tipo adquisicion: Entidad</v>
      </c>
      <c r="G6621" s="5"/>
    </row>
    <row r="6622" spans="1:7" ht="58.5" customHeight="1" x14ac:dyDescent="0.25">
      <c r="A6622" s="5" t="str">
        <f>"I0004534"</f>
        <v>I0004534</v>
      </c>
      <c r="B6622" s="5" t="str">
        <f>"PORTAGUJAS (PINZA)"</f>
        <v>PORTAGUJAS (PINZA)</v>
      </c>
      <c r="C6622" s="6">
        <v>577680</v>
      </c>
      <c r="D6622" s="5"/>
      <c r="E6622" s="5" t="str">
        <f t="shared" si="318"/>
        <v>INSTRUMENTACION-DIANA CAICEDO-DIANA DIAZ</v>
      </c>
      <c r="F6622" s="5" t="str">
        <f>"Descripcion: PORTA AGUJAS CASTROVIEJO (DIMEDA) Estado: Bueno Placa anterior: 000032394 Material: ACERO INOXIDABLE Color: PLATEADO Referencia:  Observacion:     Placa padre: I0004515Tipo adquisicion: Entidad"</f>
        <v>Descripcion: PORTA AGUJAS CASTROVIEJO (DIMEDA) Estado: Bueno Placa anterior: 000032394 Material: ACERO INOXIDABLE Color: PLATEADO Referencia:  Observacion:     Placa padre: I0004515Tipo adquisicion: Entidad</v>
      </c>
      <c r="G6622" s="5"/>
    </row>
    <row r="6623" spans="1:7" ht="58.5" customHeight="1" x14ac:dyDescent="0.25">
      <c r="A6623" s="5" t="str">
        <f>"I0004535"</f>
        <v>I0004535</v>
      </c>
      <c r="B6623" s="5" t="str">
        <f>"PINZA DE AGRAFES"</f>
        <v>PINZA DE AGRAFES</v>
      </c>
      <c r="C6623" s="6">
        <v>110200</v>
      </c>
      <c r="D6623" s="5"/>
      <c r="E6623" s="5" t="str">
        <f t="shared" ref="E6623:E6686" si="319">"INSTRUMENTACION-DIANA CAICEDO-DIANA DIAZ"</f>
        <v>INSTRUMENTACION-DIANA CAICEDO-DIANA DIAZ</v>
      </c>
      <c r="F6623" s="5" t="str">
        <f>"Descripcion: PINZA AGRAFES (DIMEDA) Estado: Bueno Placa anterior: 000032115 Material: ACERO INOXIDABLE Color: PLATEADO Referencia:  Observacion: PINZA BON PARA ANUDAR DE 0.12 MM CON GARRA 1X2 DIENTES  Placa padre: I0004515Tipo adquisicion: Entidad"</f>
        <v>Descripcion: PINZA AGRAFES (DIMEDA) Estado: Bueno Placa anterior: 000032115 Material: ACERO INOXIDABLE Color: PLATEADO Referencia:  Observacion: PINZA BON PARA ANUDAR DE 0.12 MM CON GARRA 1X2 DIENTES  Placa padre: I0004515Tipo adquisicion: Entidad</v>
      </c>
      <c r="G6623" s="5"/>
    </row>
    <row r="6624" spans="1:7" ht="58.5" customHeight="1" x14ac:dyDescent="0.25">
      <c r="A6624" s="5" t="str">
        <f>"I0004536"</f>
        <v>I0004536</v>
      </c>
      <c r="B6624" s="5" t="str">
        <f>"PINZA DE CAMPO"</f>
        <v>PINZA DE CAMPO</v>
      </c>
      <c r="C6624" s="6">
        <v>40600</v>
      </c>
      <c r="D6624" s="5"/>
      <c r="E6624" s="5" t="str">
        <f t="shared" si="319"/>
        <v>INSTRUMENTACION-DIANA CAICEDO-DIANA DIAZ</v>
      </c>
      <c r="F6624" s="5" t="str">
        <f>"Descripcion: PINZAS DE CAMPO   (DIMEDA) Estado: Bueno Placa anterior: 000036013 Material: ACERO INOXIDABLE Color: PLATEADO Referencia:  Observacion: PINZA GRAEFE PARA IRIS  Placa padre: I0004515Tipo adquisicion: Entidad"</f>
        <v>Descripcion: PINZAS DE CAMPO   (DIMEDA) Estado: Bueno Placa anterior: 000036013 Material: ACERO INOXIDABLE Color: PLATEADO Referencia:  Observacion: PINZA GRAEFE PARA IRIS  Placa padre: I0004515Tipo adquisicion: Entidad</v>
      </c>
      <c r="G6624" s="5"/>
    </row>
    <row r="6625" spans="1:7" ht="58.5" customHeight="1" x14ac:dyDescent="0.25">
      <c r="A6625" s="5" t="str">
        <f>"I0004540"</f>
        <v>I0004540</v>
      </c>
      <c r="B6625" s="5" t="str">
        <f>"ASA DE SNELLEN"</f>
        <v>ASA DE SNELLEN</v>
      </c>
      <c r="C6625" s="6">
        <v>34800</v>
      </c>
      <c r="D6625" s="5"/>
      <c r="E6625" s="5" t="str">
        <f t="shared" si="319"/>
        <v>INSTRUMENTACION-DIANA CAICEDO-DIANA DIAZ</v>
      </c>
      <c r="F6625" s="5" t="str">
        <f>"Descripcion: ASA DE SNELLEN Estado: Bueno Placa anterior: 000031590 Material: ACERO INOXIDABLE Color: PLATEADO Referencia:  Observacion:     Placa padre: I0004515Tipo adquisicion: Entidad"</f>
        <v>Descripcion: ASA DE SNELLEN Estado: Bueno Placa anterior: 000031590 Material: ACERO INOXIDABLE Color: PLATEADO Referencia:  Observacion:     Placa padre: I0004515Tipo adquisicion: Entidad</v>
      </c>
      <c r="G6625" s="5"/>
    </row>
    <row r="6626" spans="1:7" ht="58.5" customHeight="1" x14ac:dyDescent="0.25">
      <c r="A6626" s="5" t="str">
        <f>"I0004542"</f>
        <v>I0004542</v>
      </c>
      <c r="B6626" s="5" t="str">
        <f>"TIJERA CASTROVIEJO PARA CORNEA"</f>
        <v>TIJERA CASTROVIEJO PARA CORNEA</v>
      </c>
      <c r="C6626" s="6">
        <v>237800</v>
      </c>
      <c r="D6626" s="5"/>
      <c r="E6626" s="5" t="str">
        <f t="shared" si="319"/>
        <v>INSTRUMENTACION-DIANA CAICEDO-DIANA DIAZ</v>
      </c>
      <c r="F6626" s="5" t="str">
        <f>"Descripcion: TIJERA CASTRO VIEJO PARA CORNEA (DIMEDA) Estado: Bueno Placa anterior: 000032059 Material: ACERO INOXIDABLE Color: PLATEADO Referencia:  Observacion:     Placa padre: I0004515Tipo adquisicion: Entidad"</f>
        <v>Descripcion: TIJERA CASTRO VIEJO PARA CORNEA (DIMEDA) Estado: Bueno Placa anterior: 000032059 Material: ACERO INOXIDABLE Color: PLATEADO Referencia:  Observacion:     Placa padre: I0004515Tipo adquisicion: Entidad</v>
      </c>
      <c r="G6626" s="5"/>
    </row>
    <row r="6627" spans="1:7" ht="58.5" customHeight="1" x14ac:dyDescent="0.25">
      <c r="A6627" s="5" t="str">
        <f>"I0004543"</f>
        <v>I0004543</v>
      </c>
      <c r="B6627" s="5" t="str">
        <f>"ESPATULA (INSTRUMENTAL)"</f>
        <v>ESPATULA (INSTRUMENTAL)</v>
      </c>
      <c r="C6627" s="6">
        <v>278400</v>
      </c>
      <c r="D6627" s="5"/>
      <c r="E6627" s="5" t="str">
        <f t="shared" si="319"/>
        <v>INSTRUMENTACION-DIANA CAICEDO-DIANA DIAZ</v>
      </c>
      <c r="F6627" s="5" t="str">
        <f>"Descripcion: ESPATULA (DIMEDA) Estado: Bueno Placa anterior: 000032139 Material: ACERO INOXIDABLE Color: PLATEADO Referencia:  Observacion:     Placa padre: I0004515Tipo adquisicion: Entidad"</f>
        <v>Descripcion: ESPATULA (DIMEDA) Estado: Bueno Placa anterior: 000032139 Material: ACERO INOXIDABLE Color: PLATEADO Referencia:  Observacion:     Placa padre: I0004515Tipo adquisicion: Entidad</v>
      </c>
      <c r="G6627" s="5"/>
    </row>
    <row r="6628" spans="1:7" ht="58.5" customHeight="1" x14ac:dyDescent="0.25">
      <c r="A6628" s="5" t="str">
        <f>"I0004547"</f>
        <v>I0004547</v>
      </c>
      <c r="B6628" s="5" t="str">
        <f>"BLEFAROSTATO GRANDE"</f>
        <v>BLEFAROSTATO GRANDE</v>
      </c>
      <c r="C6628" s="6">
        <v>69600</v>
      </c>
      <c r="D6628" s="5"/>
      <c r="E6628" s="5" t="str">
        <f t="shared" si="319"/>
        <v>INSTRUMENTACION-DIANA CAICEDO-DIANA DIAZ</v>
      </c>
      <c r="F6628" s="5" t="str">
        <f>"Descripcion: BLEFAROSTATO GRANDE (DIMEDA) Estado: Bueno Placa anterior: 000031596 Material: ACERO INOXIDABLE Color: PLATEADO Referencia:  Observacion:     Placa padre: I0004545Tipo adquisicion: Entidad"</f>
        <v>Descripcion: BLEFAROSTATO GRANDE (DIMEDA) Estado: Bueno Placa anterior: 000031596 Material: ACERO INOXIDABLE Color: PLATEADO Referencia:  Observacion:     Placa padre: I0004545Tipo adquisicion: Entidad</v>
      </c>
      <c r="G6628" s="5"/>
    </row>
    <row r="6629" spans="1:7" ht="58.5" customHeight="1" x14ac:dyDescent="0.25">
      <c r="A6629" s="5" t="str">
        <f>"I0004548"</f>
        <v>I0004548</v>
      </c>
      <c r="B6629" s="5" t="str">
        <f>"BLEFAROSTATO GRANDE"</f>
        <v>BLEFAROSTATO GRANDE</v>
      </c>
      <c r="C6629" s="6">
        <v>371200</v>
      </c>
      <c r="D6629" s="5"/>
      <c r="E6629" s="5" t="str">
        <f t="shared" si="319"/>
        <v>INSTRUMENTACION-DIANA CAICEDO-DIANA DIAZ</v>
      </c>
      <c r="F6629" s="5" t="str">
        <f>"Descripcion: BLEFAROSTATO CASTRO VIEJO(DIMEDA) Estado: Bueno Placa anterior: 000031599 Material: ACERO INOXIDABLE Color: PLATEADO Referencia:  Observacion:     Placa padre: I0004545Tipo adquisicion: Entidad"</f>
        <v>Descripcion: BLEFAROSTATO CASTRO VIEJO(DIMEDA) Estado: Bueno Placa anterior: 000031599 Material: ACERO INOXIDABLE Color: PLATEADO Referencia:  Observacion:     Placa padre: I0004545Tipo adquisicion: Entidad</v>
      </c>
      <c r="G6629" s="5"/>
    </row>
    <row r="6630" spans="1:7" ht="58.5" customHeight="1" x14ac:dyDescent="0.25">
      <c r="A6630" s="5" t="str">
        <f>"I0004549"</f>
        <v>I0004549</v>
      </c>
      <c r="B6630" s="5" t="str">
        <f>"TIJERA (INSTRUMENTAL)"</f>
        <v>TIJERA (INSTRUMENTAL)</v>
      </c>
      <c r="C6630" s="6">
        <v>429200</v>
      </c>
      <c r="D6630" s="5"/>
      <c r="E6630" s="5" t="str">
        <f t="shared" si="319"/>
        <v>INSTRUMENTACION-DIANA CAICEDO-DIANA DIAZ</v>
      </c>
      <c r="F6630" s="5" t="str">
        <f>"Descripcion: TIJERA WESTCOTT (DIMEDA) Estado: Bueno Placa anterior: 000032190 Material: ACERO INOXIDABLE Color: PLATEADO Referencia:  Observacion:     Placa padre: I0004545Tipo adquisicion: Entidad"</f>
        <v>Descripcion: TIJERA WESTCOTT (DIMEDA) Estado: Bueno Placa anterior: 000032190 Material: ACERO INOXIDABLE Color: PLATEADO Referencia:  Observacion:     Placa padre: I0004545Tipo adquisicion: Entidad</v>
      </c>
      <c r="G6630" s="5"/>
    </row>
    <row r="6631" spans="1:7" ht="58.5" customHeight="1" x14ac:dyDescent="0.25">
      <c r="A6631" s="5" t="str">
        <f>"I0004552"</f>
        <v>I0004552</v>
      </c>
      <c r="B6631" s="5" t="str">
        <f>"PINZA DE DISECCION SIN GARRA CORTA 20 CM"</f>
        <v>PINZA DE DISECCION SIN GARRA CORTA 20 CM</v>
      </c>
      <c r="C6631" s="6">
        <v>336400</v>
      </c>
      <c r="D6631" s="5"/>
      <c r="E6631" s="5" t="str">
        <f t="shared" si="319"/>
        <v>INSTRUMENTACION-DIANA CAICEDO-DIANA DIAZ</v>
      </c>
      <c r="F6631" s="5" t="str">
        <f>"Descripcion: DISECCION MCPHERSON CON GARRA (DIMEDA) Estado: Bueno Placa anterior: 000031910 Material: ACERO INOXIDABLE Color: PLATEADO Referencia:  Observacion:     Placa padre: I0004545Tipo adquisicion: Entidad"</f>
        <v>Descripcion: DISECCION MCPHERSON CON GARRA (DIMEDA) Estado: Bueno Placa anterior: 000031910 Material: ACERO INOXIDABLE Color: PLATEADO Referencia:  Observacion:     Placa padre: I0004545Tipo adquisicion: Entidad</v>
      </c>
      <c r="G6631" s="5"/>
    </row>
    <row r="6632" spans="1:7" ht="58.5" customHeight="1" x14ac:dyDescent="0.25">
      <c r="A6632" s="5" t="str">
        <f>"I0004554"</f>
        <v>I0004554</v>
      </c>
      <c r="B6632" s="5" t="str">
        <f>"PINZA DE DISECCION SIN GARRA CORTA 20 CM"</f>
        <v>PINZA DE DISECCION SIN GARRA CORTA 20 CM</v>
      </c>
      <c r="C6632" s="6">
        <v>150800</v>
      </c>
      <c r="D6632" s="5"/>
      <c r="E6632" s="5" t="str">
        <f t="shared" si="319"/>
        <v>INSTRUMENTACION-DIANA CAICEDO-DIANA DIAZ</v>
      </c>
      <c r="F6632" s="5" t="str">
        <f>"Descripcion: DISECCION CASTRO VIEJO CON GARRA (DIMEDA) Estado: Bueno Placa anterior: 000031727 Material: ACERO INOXIDABLE Color: PLATEADO Referencia:  Observacion:     Placa padre: I0004545Tipo adquisicion: Entidad"</f>
        <v>Descripcion: DISECCION CASTRO VIEJO CON GARRA (DIMEDA) Estado: Bueno Placa anterior: 000031727 Material: ACERO INOXIDABLE Color: PLATEADO Referencia:  Observacion:     Placa padre: I0004545Tipo adquisicion: Entidad</v>
      </c>
      <c r="G6632" s="5"/>
    </row>
    <row r="6633" spans="1:7" ht="58.5" customHeight="1" x14ac:dyDescent="0.25">
      <c r="A6633" s="5" t="str">
        <f>"I0004555"</f>
        <v>I0004555</v>
      </c>
      <c r="B6633" s="5" t="str">
        <f>"PINZA DE DISECCION SIN GARRA CORTA 20 CM"</f>
        <v>PINZA DE DISECCION SIN GARRA CORTA 20 CM</v>
      </c>
      <c r="C6633" s="6">
        <v>139200</v>
      </c>
      <c r="D6633" s="5"/>
      <c r="E6633" s="5" t="str">
        <f t="shared" si="319"/>
        <v>INSTRUMENTACION-DIANA CAICEDO-DIANA DIAZ</v>
      </c>
      <c r="F6633" s="5" t="str">
        <f>"Descripcion: DISECCION BISHOP HARMON SIN GARRA (DIMEDA) Estado: Bueno Placa anterior: 000031715 Material: ACERO INOXIDABLE Color: PLATEADO Referencia:  Observacion:     Placa padre: I0004545Tipo adquisicion: Entidad"</f>
        <v>Descripcion: DISECCION BISHOP HARMON SIN GARRA (DIMEDA) Estado: Bueno Placa anterior: 000031715 Material: ACERO INOXIDABLE Color: PLATEADO Referencia:  Observacion:     Placa padre: I0004545Tipo adquisicion: Entidad</v>
      </c>
      <c r="G6633" s="5"/>
    </row>
    <row r="6634" spans="1:7" ht="58.5" customHeight="1" x14ac:dyDescent="0.25">
      <c r="A6634" s="5" t="str">
        <f>"I0004556"</f>
        <v>I0004556</v>
      </c>
      <c r="B6634" s="5" t="str">
        <f>"PINZA DE DISECCION SIN GARRA CORTA 20 CM"</f>
        <v>PINZA DE DISECCION SIN GARRA CORTA 20 CM</v>
      </c>
      <c r="C6634" s="6">
        <v>145000</v>
      </c>
      <c r="D6634" s="5"/>
      <c r="E6634" s="5" t="str">
        <f t="shared" si="319"/>
        <v>INSTRUMENTACION-DIANA CAICEDO-DIANA DIAZ</v>
      </c>
      <c r="F6634" s="5" t="str">
        <f>"Descripcion: DISECCION BISHOP HARMON CON GARRA (DIMEDA Estado: Bueno Placa anterior: 000031719 Material: ACERO INOXIDABLE Color: PLATEADO Referencia:  Observacion:     Placa padre: I0004545Tipo adquisicion: Entidad"</f>
        <v>Descripcion: DISECCION BISHOP HARMON CON GARRA (DIMEDA Estado: Bueno Placa anterior: 000031719 Material: ACERO INOXIDABLE Color: PLATEADO Referencia:  Observacion:     Placa padre: I0004545Tipo adquisicion: Entidad</v>
      </c>
      <c r="G6634" s="5"/>
    </row>
    <row r="6635" spans="1:7" ht="58.5" customHeight="1" x14ac:dyDescent="0.25">
      <c r="A6635" s="5" t="str">
        <f>"I0004557"</f>
        <v>I0004557</v>
      </c>
      <c r="B6635" s="5" t="str">
        <f>"PINZA DE DISECCION SIN GARRA CORTA 20 CM"</f>
        <v>PINZA DE DISECCION SIN GARRA CORTA 20 CM</v>
      </c>
      <c r="C6635" s="6">
        <v>150800</v>
      </c>
      <c r="D6635" s="5"/>
      <c r="E6635" s="5" t="str">
        <f t="shared" si="319"/>
        <v>INSTRUMENTACION-DIANA CAICEDO-DIANA DIAZ</v>
      </c>
      <c r="F6635" s="5" t="str">
        <f>"Descripcion: DISECCION CASTRO VIEJO CON GARRA (DIMEDA) Estado: Bueno Placa anterior: 000031728 Material: ACERO INOXIDABLE Color: PLATEADO Referencia:  Observacion:     Placa padre: I0004545Tipo adquisicion: Entidad"</f>
        <v>Descripcion: DISECCION CASTRO VIEJO CON GARRA (DIMEDA) Estado: Bueno Placa anterior: 000031728 Material: ACERO INOXIDABLE Color: PLATEADO Referencia:  Observacion:     Placa padre: I0004545Tipo adquisicion: Entidad</v>
      </c>
      <c r="G6635" s="5"/>
    </row>
    <row r="6636" spans="1:7" ht="58.5" customHeight="1" x14ac:dyDescent="0.25">
      <c r="A6636" s="5" t="str">
        <f>"I0004558"</f>
        <v>I0004558</v>
      </c>
      <c r="B6636" s="5" t="str">
        <f>"PINZA ARRUGA"</f>
        <v>PINZA ARRUGA</v>
      </c>
      <c r="C6636" s="6">
        <v>229680</v>
      </c>
      <c r="D6636" s="5"/>
      <c r="E6636" s="5" t="str">
        <f t="shared" si="319"/>
        <v>INSTRUMENTACION-DIANA CAICEDO-DIANA DIAZ</v>
      </c>
      <c r="F6636" s="5" t="str">
        <f>"Descripcion: PINZA ARRUGA (DIMEDA) Estado: Bueno Placa anterior: 000031707 Material: ACERO INOXIDABLE Color: PLATEADO Referencia:  Observacion:     Placa padre: I0004545Tipo adquisicion: Entidad"</f>
        <v>Descripcion: PINZA ARRUGA (DIMEDA) Estado: Bueno Placa anterior: 000031707 Material: ACERO INOXIDABLE Color: PLATEADO Referencia:  Observacion:     Placa padre: I0004545Tipo adquisicion: Entidad</v>
      </c>
      <c r="G6636" s="5"/>
    </row>
    <row r="6637" spans="1:7" ht="58.5" customHeight="1" x14ac:dyDescent="0.25">
      <c r="A6637" s="5" t="str">
        <f>"I0004559"</f>
        <v>I0004559</v>
      </c>
      <c r="B6637" s="5" t="str">
        <f>"GANCHO (INSTRUMENTAL)"</f>
        <v>GANCHO (INSTRUMENTAL)</v>
      </c>
      <c r="C6637" s="6">
        <v>52200</v>
      </c>
      <c r="D6637" s="5"/>
      <c r="E6637" s="5" t="str">
        <f t="shared" si="319"/>
        <v>INSTRUMENTACION-DIANA CAICEDO-DIANA DIAZ</v>
      </c>
      <c r="F6637" s="5" t="str">
        <f>"Descripcion: GANCHO DE JAMESON (DIMEDA) Estado: Bueno Placa anterior: 000032455 Material: ACERO INOXIDABLE Color: PLATEADO Referencia:  Observacion:     Placa padre: I0004545Tipo adquisicion: Entidad"</f>
        <v>Descripcion: GANCHO DE JAMESON (DIMEDA) Estado: Bueno Placa anterior: 000032455 Material: ACERO INOXIDABLE Color: PLATEADO Referencia:  Observacion:     Placa padre: I0004545Tipo adquisicion: Entidad</v>
      </c>
      <c r="G6637" s="5"/>
    </row>
    <row r="6638" spans="1:7" ht="58.5" customHeight="1" x14ac:dyDescent="0.25">
      <c r="A6638" s="5" t="str">
        <f>"I0004560"</f>
        <v>I0004560</v>
      </c>
      <c r="B6638" s="5" t="str">
        <f>"PINZA DE RELOJERO"</f>
        <v>PINZA DE RELOJERO</v>
      </c>
      <c r="C6638" s="6">
        <v>58000</v>
      </c>
      <c r="D6638" s="5"/>
      <c r="E6638" s="5" t="str">
        <f t="shared" si="319"/>
        <v>INSTRUMENTACION-DIANA CAICEDO-DIANA DIAZ</v>
      </c>
      <c r="F6638" s="5" t="str">
        <f>"Descripcion: PINZA DISECCION RELOJERO (DIMEDA) Estado: Bueno Placa anterior: 000031953 Material: ACERO INOXIDABLE Color: PLATEADO Referencia:  Observacion:     Placa padre: I0004545Tipo adquisicion: Entidad"</f>
        <v>Descripcion: PINZA DISECCION RELOJERO (DIMEDA) Estado: Bueno Placa anterior: 000031953 Material: ACERO INOXIDABLE Color: PLATEADO Referencia:  Observacion:     Placa padre: I0004545Tipo adquisicion: Entidad</v>
      </c>
      <c r="G6638" s="5"/>
    </row>
    <row r="6639" spans="1:7" ht="58.5" customHeight="1" x14ac:dyDescent="0.25">
      <c r="A6639" s="5" t="str">
        <f>"I0004561"</f>
        <v>I0004561</v>
      </c>
      <c r="B6639" s="5" t="str">
        <f>"PINZA BIPOLAR"</f>
        <v>PINZA BIPOLAR</v>
      </c>
      <c r="C6639" s="6">
        <v>1032400</v>
      </c>
      <c r="D6639" s="5" t="s">
        <v>440</v>
      </c>
      <c r="E6639" s="5" t="str">
        <f t="shared" si="319"/>
        <v>INSTRUMENTACION-DIANA CAICEDO-DIANA DIAZ</v>
      </c>
      <c r="F6639" s="5" t="str">
        <f>"Descripcion: PINZA BIPOLAR (DIMEDA) Estado: Bueno Placa anterior: 000031711 Material: ACERO INOXIDABLE Color: PLATEADO Referencia:  Observacion:     Placa padre: I0004545Tipo adquisicion: Entidad"</f>
        <v>Descripcion: PINZA BIPOLAR (DIMEDA) Estado: Bueno Placa anterior: 000031711 Material: ACERO INOXIDABLE Color: PLATEADO Referencia:  Observacion:     Placa padre: I0004545Tipo adquisicion: Entidad</v>
      </c>
      <c r="G6639" s="5"/>
    </row>
    <row r="6640" spans="1:7" ht="58.5" customHeight="1" x14ac:dyDescent="0.25">
      <c r="A6640" s="5" t="str">
        <f>"I0004562"</f>
        <v>I0004562</v>
      </c>
      <c r="B6640" s="5" t="str">
        <f>"CANULA SIMCOE"</f>
        <v>CANULA SIMCOE</v>
      </c>
      <c r="C6640" s="6">
        <v>493000</v>
      </c>
      <c r="D6640" s="5"/>
      <c r="E6640" s="5" t="str">
        <f t="shared" si="319"/>
        <v>INSTRUMENTACION-DIANA CAICEDO-DIANA DIAZ</v>
      </c>
      <c r="F6640" s="5" t="str">
        <f>"Descripcion: CANULA SIMCOE (DIMEDA) Estado: Bueno Placa anterior: 000031613 Material: ACERO INOXIDABLE Color: PLATEADO Referencia:  Observacion:     Placa padre: I0004545Tipo adquisicion: Entidad"</f>
        <v>Descripcion: CANULA SIMCOE (DIMEDA) Estado: Bueno Placa anterior: 000031613 Material: ACERO INOXIDABLE Color: PLATEADO Referencia:  Observacion:     Placa padre: I0004545Tipo adquisicion: Entidad</v>
      </c>
      <c r="G6640" s="5"/>
    </row>
    <row r="6641" spans="1:7" ht="58.5" customHeight="1" x14ac:dyDescent="0.25">
      <c r="A6641" s="5" t="str">
        <f>"I0004563"</f>
        <v>I0004563</v>
      </c>
      <c r="B6641" s="5" t="str">
        <f>"PORTAGUJAS (PINZA)"</f>
        <v>PORTAGUJAS (PINZA)</v>
      </c>
      <c r="C6641" s="6">
        <v>577680</v>
      </c>
      <c r="D6641" s="5"/>
      <c r="E6641" s="5" t="str">
        <f t="shared" si="319"/>
        <v>INSTRUMENTACION-DIANA CAICEDO-DIANA DIAZ</v>
      </c>
      <c r="F6641" s="5" t="str">
        <f>"Descripcion: PORTA AGUJAS CASTROVIEJO (DIMEDA) Estado: Bueno Placa anterior: 000032395 Material: ACERO INOXIDABLE Color: PLATEADO Referencia:  Observacion:     Placa padre: I0004545Tipo adquisicion: Entidad"</f>
        <v>Descripcion: PORTA AGUJAS CASTROVIEJO (DIMEDA) Estado: Bueno Placa anterior: 000032395 Material: ACERO INOXIDABLE Color: PLATEADO Referencia:  Observacion:     Placa padre: I0004545Tipo adquisicion: Entidad</v>
      </c>
      <c r="G6641" s="5"/>
    </row>
    <row r="6642" spans="1:7" ht="58.5" customHeight="1" x14ac:dyDescent="0.25">
      <c r="A6642" s="5" t="str">
        <f>"I0004564"</f>
        <v>I0004564</v>
      </c>
      <c r="B6642" s="5" t="str">
        <f>"PINZA DE AGRAFES"</f>
        <v>PINZA DE AGRAFES</v>
      </c>
      <c r="C6642" s="6">
        <v>110200</v>
      </c>
      <c r="D6642" s="5"/>
      <c r="E6642" s="5" t="str">
        <f t="shared" si="319"/>
        <v>INSTRUMENTACION-DIANA CAICEDO-DIANA DIAZ</v>
      </c>
      <c r="F6642" s="5" t="str">
        <f>"Descripcion: PINZA AGRAFES (DIMEDA) Estado: Bueno Placa anterior: 000032113 Material: ACERO INOXIDABLE Color: PLATEADO Referencia:  Observacion: PINZA BON PARA ANUDAR DE 0.12 MM CON GARRA 1X2 DIENTES  Placa padre: I0004545Tipo adquisicion: Entidad"</f>
        <v>Descripcion: PINZA AGRAFES (DIMEDA) Estado: Bueno Placa anterior: 000032113 Material: ACERO INOXIDABLE Color: PLATEADO Referencia:  Observacion: PINZA BON PARA ANUDAR DE 0.12 MM CON GARRA 1X2 DIENTES  Placa padre: I0004545Tipo adquisicion: Entidad</v>
      </c>
      <c r="G6642" s="5"/>
    </row>
    <row r="6643" spans="1:7" ht="58.5" customHeight="1" x14ac:dyDescent="0.25">
      <c r="A6643" s="5" t="str">
        <f>"I0004565"</f>
        <v>I0004565</v>
      </c>
      <c r="B6643" s="5" t="str">
        <f>"PINZA DE CAMPO"</f>
        <v>PINZA DE CAMPO</v>
      </c>
      <c r="C6643" s="6">
        <v>40600</v>
      </c>
      <c r="D6643" s="5"/>
      <c r="E6643" s="5" t="str">
        <f t="shared" si="319"/>
        <v>INSTRUMENTACION-DIANA CAICEDO-DIANA DIAZ</v>
      </c>
      <c r="F6643" s="5" t="str">
        <f>"Descripcion: PINZAS DE CAMPO   (DIMEDA) Estado: Bueno Placa anterior: 000036016 Material: ACERO INOXIDABLE Color: PLATEADO Referencia:  Observacion: PINZA GRAEFE PARA IRIS Placa padre: I0004545Tipo adquisicion: Entidad"</f>
        <v>Descripcion: PINZAS DE CAMPO   (DIMEDA) Estado: Bueno Placa anterior: 000036016 Material: ACERO INOXIDABLE Color: PLATEADO Referencia:  Observacion: PINZA GRAEFE PARA IRIS Placa padre: I0004545Tipo adquisicion: Entidad</v>
      </c>
      <c r="G6643" s="5"/>
    </row>
    <row r="6644" spans="1:7" ht="58.5" customHeight="1" x14ac:dyDescent="0.25">
      <c r="A6644" s="5" t="str">
        <f>"I0004569"</f>
        <v>I0004569</v>
      </c>
      <c r="B6644" s="5" t="str">
        <f>"ASA DE SNELLEN"</f>
        <v>ASA DE SNELLEN</v>
      </c>
      <c r="C6644" s="6">
        <v>34800</v>
      </c>
      <c r="D6644" s="5"/>
      <c r="E6644" s="5" t="str">
        <f t="shared" si="319"/>
        <v>INSTRUMENTACION-DIANA CAICEDO-DIANA DIAZ</v>
      </c>
      <c r="F6644" s="5" t="str">
        <f>"Descripcion: ASA DE SNELLEN Estado: Bueno Placa anterior: 000031591 Material: ACERO INOXIDABLE Color: PLATEADO Referencia:  Observacion:     Placa padre: I0004545Tipo adquisicion: Entidad"</f>
        <v>Descripcion: ASA DE SNELLEN Estado: Bueno Placa anterior: 000031591 Material: ACERO INOXIDABLE Color: PLATEADO Referencia:  Observacion:     Placa padre: I0004545Tipo adquisicion: Entidad</v>
      </c>
      <c r="G6644" s="5"/>
    </row>
    <row r="6645" spans="1:7" ht="58.5" customHeight="1" x14ac:dyDescent="0.25">
      <c r="A6645" s="5" t="str">
        <f>"I0004571"</f>
        <v>I0004571</v>
      </c>
      <c r="B6645" s="5" t="str">
        <f>"TIJERA CASTROVIEJO PARA CORNEA"</f>
        <v>TIJERA CASTROVIEJO PARA CORNEA</v>
      </c>
      <c r="C6645" s="6">
        <v>237800</v>
      </c>
      <c r="D6645" s="5"/>
      <c r="E6645" s="5" t="str">
        <f t="shared" si="319"/>
        <v>INSTRUMENTACION-DIANA CAICEDO-DIANA DIAZ</v>
      </c>
      <c r="F6645" s="5" t="str">
        <f>"Descripcion: TIJERA CASTRO VIEJO PARA CORNEA (DIMEDA) Estado: Bueno Placa anterior: 000032060 Material: ACERO INOXIDABLE Color: PLATEADO Referencia:  Observacion:     Placa padre: I0004545Tipo adquisicion: Entidad"</f>
        <v>Descripcion: TIJERA CASTRO VIEJO PARA CORNEA (DIMEDA) Estado: Bueno Placa anterior: 000032060 Material: ACERO INOXIDABLE Color: PLATEADO Referencia:  Observacion:     Placa padre: I0004545Tipo adquisicion: Entidad</v>
      </c>
      <c r="G6645" s="5"/>
    </row>
    <row r="6646" spans="1:7" ht="58.5" customHeight="1" x14ac:dyDescent="0.25">
      <c r="A6646" s="5" t="str">
        <f>"I0004572"</f>
        <v>I0004572</v>
      </c>
      <c r="B6646" s="5" t="str">
        <f>"ESPATULA (INSTRUMENTAL)"</f>
        <v>ESPATULA (INSTRUMENTAL)</v>
      </c>
      <c r="C6646" s="6">
        <v>278400</v>
      </c>
      <c r="D6646" s="5"/>
      <c r="E6646" s="5" t="str">
        <f t="shared" si="319"/>
        <v>INSTRUMENTACION-DIANA CAICEDO-DIANA DIAZ</v>
      </c>
      <c r="F6646" s="5" t="str">
        <f>"Descripcion: ESPATULA (DIMEDA) Estado: Bueno Placa anterior: 000032140 Material: ACERO INOXIDABLE Color: PLATEADO Referencia:  Observacion:     Placa padre: I0004545Tipo adquisicion: Entidad"</f>
        <v>Descripcion: ESPATULA (DIMEDA) Estado: Bueno Placa anterior: 000032140 Material: ACERO INOXIDABLE Color: PLATEADO Referencia:  Observacion:     Placa padre: I0004545Tipo adquisicion: Entidad</v>
      </c>
      <c r="G6646" s="5"/>
    </row>
    <row r="6647" spans="1:7" ht="58.5" customHeight="1" x14ac:dyDescent="0.25">
      <c r="A6647" s="5" t="str">
        <f>"I0004576"</f>
        <v>I0004576</v>
      </c>
      <c r="B6647" s="5" t="str">
        <f>"BLEFAROSTATO GRANDE"</f>
        <v>BLEFAROSTATO GRANDE</v>
      </c>
      <c r="C6647" s="6">
        <v>69600</v>
      </c>
      <c r="D6647" s="5"/>
      <c r="E6647" s="5" t="str">
        <f t="shared" si="319"/>
        <v>INSTRUMENTACION-DIANA CAICEDO-DIANA DIAZ</v>
      </c>
      <c r="F6647" s="5" t="str">
        <f>"Descripcion: BLEFAROSTATO GRANDE (DIMEDA) Estado: Bueno Placa anterior: 000031594 Material: ACERO INOXIDABLE Color: PLATEADO Referencia:  Observacion:     Placa padre: I0004574Tipo adquisicion: Entidad"</f>
        <v>Descripcion: BLEFAROSTATO GRANDE (DIMEDA) Estado: Bueno Placa anterior: 000031594 Material: ACERO INOXIDABLE Color: PLATEADO Referencia:  Observacion:     Placa padre: I0004574Tipo adquisicion: Entidad</v>
      </c>
      <c r="G6647" s="5"/>
    </row>
    <row r="6648" spans="1:7" ht="58.5" customHeight="1" x14ac:dyDescent="0.25">
      <c r="A6648" s="5" t="str">
        <f>"I0004577"</f>
        <v>I0004577</v>
      </c>
      <c r="B6648" s="5" t="str">
        <f>"BLEFAROSTATO GRANDE"</f>
        <v>BLEFAROSTATO GRANDE</v>
      </c>
      <c r="C6648" s="6">
        <v>371200</v>
      </c>
      <c r="D6648" s="5"/>
      <c r="E6648" s="5" t="str">
        <f t="shared" si="319"/>
        <v>INSTRUMENTACION-DIANA CAICEDO-DIANA DIAZ</v>
      </c>
      <c r="F6648" s="5" t="str">
        <f>"Descripcion: BLEFAROSTATO CASTRO VIEJO(DIMEDA) Estado: Bueno Placa anterior: 000031600 Material: ACERO INOXIDABLE Color: PLATEADO Referencia:  Observacion:     Placa padre: I0004574Tipo adquisicion: Entidad"</f>
        <v>Descripcion: BLEFAROSTATO CASTRO VIEJO(DIMEDA) Estado: Bueno Placa anterior: 000031600 Material: ACERO INOXIDABLE Color: PLATEADO Referencia:  Observacion:     Placa padre: I0004574Tipo adquisicion: Entidad</v>
      </c>
      <c r="G6648" s="5"/>
    </row>
    <row r="6649" spans="1:7" ht="58.5" customHeight="1" x14ac:dyDescent="0.25">
      <c r="A6649" s="5" t="str">
        <f>"I0004578"</f>
        <v>I0004578</v>
      </c>
      <c r="B6649" s="5" t="str">
        <f>"TIJERA (INSTRUMENTAL)"</f>
        <v>TIJERA (INSTRUMENTAL)</v>
      </c>
      <c r="C6649" s="6">
        <v>429200</v>
      </c>
      <c r="D6649" s="5"/>
      <c r="E6649" s="5" t="str">
        <f t="shared" si="319"/>
        <v>INSTRUMENTACION-DIANA CAICEDO-DIANA DIAZ</v>
      </c>
      <c r="F6649" s="5" t="str">
        <f>"Descripcion: TIJERA WESTCOTT (DIMEDA) Estado: Bueno Placa anterior: 000032191 Material: ACERO INOXIDABLE Color: PLATEADO Referencia:  Observacion:     Placa padre: I0004574Tipo adquisicion: Entidad"</f>
        <v>Descripcion: TIJERA WESTCOTT (DIMEDA) Estado: Bueno Placa anterior: 000032191 Material: ACERO INOXIDABLE Color: PLATEADO Referencia:  Observacion:     Placa padre: I0004574Tipo adquisicion: Entidad</v>
      </c>
      <c r="G6649" s="5"/>
    </row>
    <row r="6650" spans="1:7" ht="58.5" customHeight="1" x14ac:dyDescent="0.25">
      <c r="A6650" s="5" t="str">
        <f>"I0004580"</f>
        <v>I0004580</v>
      </c>
      <c r="B6650" s="5" t="str">
        <f>"PINZA DE DISECCION SIN GARRA CORTA 20 CM"</f>
        <v>PINZA DE DISECCION SIN GARRA CORTA 20 CM</v>
      </c>
      <c r="C6650" s="6">
        <v>336400</v>
      </c>
      <c r="D6650" s="5"/>
      <c r="E6650" s="5" t="str">
        <f t="shared" si="319"/>
        <v>INSTRUMENTACION-DIANA CAICEDO-DIANA DIAZ</v>
      </c>
      <c r="F6650" s="5" t="str">
        <f>"Descripcion: DISECCION MCPHERSON CON GARRA (DIMEDA) Estado: Bueno Placa anterior: 000031911 Material: ACERO INOXIDABLE Color: PLATEADO Referencia:  Observacion:     Placa padre: I0004574Tipo adquisicion: Entidad"</f>
        <v>Descripcion: DISECCION MCPHERSON CON GARRA (DIMEDA) Estado: Bueno Placa anterior: 000031911 Material: ACERO INOXIDABLE Color: PLATEADO Referencia:  Observacion:     Placa padre: I0004574Tipo adquisicion: Entidad</v>
      </c>
      <c r="G6650" s="5"/>
    </row>
    <row r="6651" spans="1:7" ht="58.5" customHeight="1" x14ac:dyDescent="0.25">
      <c r="A6651" s="5" t="str">
        <f>"I0004582"</f>
        <v>I0004582</v>
      </c>
      <c r="B6651" s="5" t="str">
        <f>"PINZA DE DISECCION SIN GARRA CORTA 20 CM"</f>
        <v>PINZA DE DISECCION SIN GARRA CORTA 20 CM</v>
      </c>
      <c r="C6651" s="6">
        <v>656560</v>
      </c>
      <c r="D6651" s="5"/>
      <c r="E6651" s="5" t="str">
        <f t="shared" si="319"/>
        <v>INSTRUMENTACION-DIANA CAICEDO-DIANA DIAZ</v>
      </c>
      <c r="F6651" s="5" t="str">
        <f>"Descripcion: DISECCION CASTRO VIEJO CON GARRA (DIMEDA) Estado: Bueno Placa anterior: 000022117 Material: ACERO INOXIDABLE Color: PLATEADO Referencia:  Observacion:     Placa padre: I0004574Tipo adquisicion: Entidad"</f>
        <v>Descripcion: DISECCION CASTRO VIEJO CON GARRA (DIMEDA) Estado: Bueno Placa anterior: 000022117 Material: ACERO INOXIDABLE Color: PLATEADO Referencia:  Observacion:     Placa padre: I0004574Tipo adquisicion: Entidad</v>
      </c>
      <c r="G6651" s="5"/>
    </row>
    <row r="6652" spans="1:7" ht="58.5" customHeight="1" x14ac:dyDescent="0.25">
      <c r="A6652" s="5" t="str">
        <f>"I0004583"</f>
        <v>I0004583</v>
      </c>
      <c r="B6652" s="5" t="str">
        <f>"PINZA DE DISECCION SIN GARRA CORTA 20 CM"</f>
        <v>PINZA DE DISECCION SIN GARRA CORTA 20 CM</v>
      </c>
      <c r="C6652" s="6">
        <v>139200</v>
      </c>
      <c r="D6652" s="5"/>
      <c r="E6652" s="5" t="str">
        <f t="shared" si="319"/>
        <v>INSTRUMENTACION-DIANA CAICEDO-DIANA DIAZ</v>
      </c>
      <c r="F6652" s="5" t="str">
        <f>"Descripcion: DISECCION BISHOP HARMON SIN GARRA (DIMEDA) Estado: Bueno Placa anterior: 000031716 Material: ACERO INOXIDABLE Color: PLATEADO Referencia:  Observacion:     Placa padre: I0004574Tipo adquisicion: Entidad"</f>
        <v>Descripcion: DISECCION BISHOP HARMON SIN GARRA (DIMEDA) Estado: Bueno Placa anterior: 000031716 Material: ACERO INOXIDABLE Color: PLATEADO Referencia:  Observacion:     Placa padre: I0004574Tipo adquisicion: Entidad</v>
      </c>
      <c r="G6652" s="5"/>
    </row>
    <row r="6653" spans="1:7" ht="58.5" customHeight="1" x14ac:dyDescent="0.25">
      <c r="A6653" s="5" t="str">
        <f>"I0004584"</f>
        <v>I0004584</v>
      </c>
      <c r="B6653" s="5" t="str">
        <f>"PINZA DE DISECCION SIN GARRA CORTA 20 CM"</f>
        <v>PINZA DE DISECCION SIN GARRA CORTA 20 CM</v>
      </c>
      <c r="C6653" s="6">
        <v>145000</v>
      </c>
      <c r="D6653" s="5"/>
      <c r="E6653" s="5" t="str">
        <f t="shared" si="319"/>
        <v>INSTRUMENTACION-DIANA CAICEDO-DIANA DIAZ</v>
      </c>
      <c r="F6653" s="5" t="str">
        <f>"Descripcion: DISECCION BISHOP HARMON CON GARRA (DIMEDA Estado: Bueno Placa anterior: 000031720 Material: ACERO INOXIDABLE Color: PLATEADO Referencia:  Observacion:     Placa padre: I0004574Tipo adquisicion: Entidad"</f>
        <v>Descripcion: DISECCION BISHOP HARMON CON GARRA (DIMEDA Estado: Bueno Placa anterior: 000031720 Material: ACERO INOXIDABLE Color: PLATEADO Referencia:  Observacion:     Placa padre: I0004574Tipo adquisicion: Entidad</v>
      </c>
      <c r="G6653" s="5"/>
    </row>
    <row r="6654" spans="1:7" ht="58.5" customHeight="1" x14ac:dyDescent="0.25">
      <c r="A6654" s="5" t="str">
        <f>"I0004585"</f>
        <v>I0004585</v>
      </c>
      <c r="B6654" s="5" t="str">
        <f>"PINZA ARRUGA"</f>
        <v>PINZA ARRUGA</v>
      </c>
      <c r="C6654" s="6">
        <v>110200</v>
      </c>
      <c r="D6654" s="5"/>
      <c r="E6654" s="5" t="str">
        <f t="shared" si="319"/>
        <v>INSTRUMENTACION-DIANA CAICEDO-DIANA DIAZ</v>
      </c>
      <c r="F6654" s="5" t="str">
        <f>"Descripcion: PINZA ARRUGA (DIMEDA) Estado: Bueno Placa anterior: 000031723 Material: ACERO INOXIDABLE Color: PLATEADO Referencia:  Observacion: PINZA BON PARA ANUDAR DE 0.12 MM CON GARRA 1X2 DIENTES  Placa padre: I0004574Tipo adquisicion: Entidad"</f>
        <v>Descripcion: PINZA ARRUGA (DIMEDA) Estado: Bueno Placa anterior: 000031723 Material: ACERO INOXIDABLE Color: PLATEADO Referencia:  Observacion: PINZA BON PARA ANUDAR DE 0.12 MM CON GARRA 1X2 DIENTES  Placa padre: I0004574Tipo adquisicion: Entidad</v>
      </c>
      <c r="G6654" s="5"/>
    </row>
    <row r="6655" spans="1:7" ht="58.5" customHeight="1" x14ac:dyDescent="0.25">
      <c r="A6655" s="5" t="str">
        <f>"I0004587"</f>
        <v>I0004587</v>
      </c>
      <c r="B6655" s="5" t="str">
        <f>"PINZA DE RELOJERO"</f>
        <v>PINZA DE RELOJERO</v>
      </c>
      <c r="C6655" s="6">
        <v>58000</v>
      </c>
      <c r="D6655" s="5"/>
      <c r="E6655" s="5" t="str">
        <f t="shared" si="319"/>
        <v>INSTRUMENTACION-DIANA CAICEDO-DIANA DIAZ</v>
      </c>
      <c r="F6655" s="5" t="str">
        <f>"Descripcion: PINZA DISECCION RELOJERO (DIMEDA) Estado: Bueno Placa anterior: 000031954 Material: ACERO INOXIDABLE Color: PLATEADO Referencia:  Observacion:     Placa padre: I0004574Tipo adquisicion: Entidad"</f>
        <v>Descripcion: PINZA DISECCION RELOJERO (DIMEDA) Estado: Bueno Placa anterior: 000031954 Material: ACERO INOXIDABLE Color: PLATEADO Referencia:  Observacion:     Placa padre: I0004574Tipo adquisicion: Entidad</v>
      </c>
      <c r="G6655" s="5"/>
    </row>
    <row r="6656" spans="1:7" ht="58.5" customHeight="1" x14ac:dyDescent="0.25">
      <c r="A6656" s="5" t="str">
        <f>"I0004589"</f>
        <v>I0004589</v>
      </c>
      <c r="B6656" s="5" t="str">
        <f>"CANULA SIMCOE"</f>
        <v>CANULA SIMCOE</v>
      </c>
      <c r="C6656" s="6">
        <v>493000</v>
      </c>
      <c r="D6656" s="5"/>
      <c r="E6656" s="5" t="str">
        <f t="shared" si="319"/>
        <v>INSTRUMENTACION-DIANA CAICEDO-DIANA DIAZ</v>
      </c>
      <c r="F6656" s="5" t="str">
        <f>"Descripcion: CANULA SIMCOE (DIMEDA) Estado: Bueno Placa anterior: 000031614 Material: ACERO INOXIDABLE Color: PLATEADO Referencia:  Observacion:     Placa padre: I0004574Tipo adquisicion: Entidad"</f>
        <v>Descripcion: CANULA SIMCOE (DIMEDA) Estado: Bueno Placa anterior: 000031614 Material: ACERO INOXIDABLE Color: PLATEADO Referencia:  Observacion:     Placa padre: I0004574Tipo adquisicion: Entidad</v>
      </c>
      <c r="G6656" s="5"/>
    </row>
    <row r="6657" spans="1:7" ht="58.5" customHeight="1" x14ac:dyDescent="0.25">
      <c r="A6657" s="5" t="str">
        <f>"I0004591"</f>
        <v>I0004591</v>
      </c>
      <c r="B6657" s="5" t="str">
        <f>"PINZA DE AGRAFES"</f>
        <v>PINZA DE AGRAFES</v>
      </c>
      <c r="C6657" s="6">
        <v>110200</v>
      </c>
      <c r="D6657" s="5"/>
      <c r="E6657" s="5" t="str">
        <f t="shared" si="319"/>
        <v>INSTRUMENTACION-DIANA CAICEDO-DIANA DIAZ</v>
      </c>
      <c r="F6657" s="5" t="str">
        <f>"Descripcion: PINZA AGRAFES (DIMEDA) Estado: Bueno Placa anterior: 000031721 Material: ACERO INOXIDABLE Color: PLATEADO Referencia:  Observacion: PINZA BON PARA ANUDAR DE 0.12 MM CON GARRA 1X2 DIENTES  Placa padre: I0004574Tipo adquisicion: Entidad"</f>
        <v>Descripcion: PINZA AGRAFES (DIMEDA) Estado: Bueno Placa anterior: 000031721 Material: ACERO INOXIDABLE Color: PLATEADO Referencia:  Observacion: PINZA BON PARA ANUDAR DE 0.12 MM CON GARRA 1X2 DIENTES  Placa padre: I0004574Tipo adquisicion: Entidad</v>
      </c>
      <c r="G6657" s="5"/>
    </row>
    <row r="6658" spans="1:7" ht="58.5" customHeight="1" x14ac:dyDescent="0.25">
      <c r="A6658" s="5" t="str">
        <f>"I0004592"</f>
        <v>I0004592</v>
      </c>
      <c r="B6658" s="5" t="str">
        <f>"PINZA DE CAMPO"</f>
        <v>PINZA DE CAMPO</v>
      </c>
      <c r="C6658" s="6">
        <v>40600</v>
      </c>
      <c r="D6658" s="5"/>
      <c r="E6658" s="5" t="str">
        <f t="shared" si="319"/>
        <v>INSTRUMENTACION-DIANA CAICEDO-DIANA DIAZ</v>
      </c>
      <c r="F6658" s="5" t="str">
        <f>"Descripcion: PINZAS DE CAMPO   (DIMEDA) Estado: Bueno Placa anterior: 000036014 Material: ACERO INOXIDABLE Color: PLATEADO Referencia:  Observacion: PINZA GRAEFE PARA IRIS Placa padre: I0004574Tipo adquisicion: Entidad"</f>
        <v>Descripcion: PINZAS DE CAMPO   (DIMEDA) Estado: Bueno Placa anterior: 000036014 Material: ACERO INOXIDABLE Color: PLATEADO Referencia:  Observacion: PINZA GRAEFE PARA IRIS Placa padre: I0004574Tipo adquisicion: Entidad</v>
      </c>
      <c r="G6658" s="5"/>
    </row>
    <row r="6659" spans="1:7" ht="58.5" customHeight="1" x14ac:dyDescent="0.25">
      <c r="A6659" s="5" t="str">
        <f>"I0004596"</f>
        <v>I0004596</v>
      </c>
      <c r="B6659" s="5" t="str">
        <f>"ASA DE SNELLEN"</f>
        <v>ASA DE SNELLEN</v>
      </c>
      <c r="C6659" s="6">
        <v>34800</v>
      </c>
      <c r="D6659" s="5"/>
      <c r="E6659" s="5" t="str">
        <f t="shared" si="319"/>
        <v>INSTRUMENTACION-DIANA CAICEDO-DIANA DIAZ</v>
      </c>
      <c r="F6659" s="5" t="str">
        <f>"Descripcion: ASA DE SNELLEN Estado: Bueno Placa anterior: 000031592 Material: ACERO INOXIDABLE Color: PLATEADO Referencia:  Observacion:     Placa padre: I0004574Tipo adquisicion: Entidad"</f>
        <v>Descripcion: ASA DE SNELLEN Estado: Bueno Placa anterior: 000031592 Material: ACERO INOXIDABLE Color: PLATEADO Referencia:  Observacion:     Placa padre: I0004574Tipo adquisicion: Entidad</v>
      </c>
      <c r="G6659" s="5"/>
    </row>
    <row r="6660" spans="1:7" ht="58.5" customHeight="1" x14ac:dyDescent="0.25">
      <c r="A6660" s="5" t="str">
        <f>"I0004598"</f>
        <v>I0004598</v>
      </c>
      <c r="B6660" s="5" t="str">
        <f>"ESPATULA (INSTRUMENTAL)"</f>
        <v>ESPATULA (INSTRUMENTAL)</v>
      </c>
      <c r="C6660" s="6">
        <v>278400</v>
      </c>
      <c r="D6660" s="5"/>
      <c r="E6660" s="5" t="str">
        <f t="shared" si="319"/>
        <v>INSTRUMENTACION-DIANA CAICEDO-DIANA DIAZ</v>
      </c>
      <c r="F6660" s="5" t="str">
        <f>"Descripcion: ESPATULA DE BARRAQUER (DIMEDA) Estado: Bueno Placa anterior: 000032141 Material: ACERO INOXIDABLE Color: PLATEADO Referencia:  Observacion:     Placa padre: I0004574Tipo adquisicion: Entidad"</f>
        <v>Descripcion: ESPATULA DE BARRAQUER (DIMEDA) Estado: Bueno Placa anterior: 000032141 Material: ACERO INOXIDABLE Color: PLATEADO Referencia:  Observacion:     Placa padre: I0004574Tipo adquisicion: Entidad</v>
      </c>
      <c r="G6660" s="5"/>
    </row>
    <row r="6661" spans="1:7" ht="58.5" customHeight="1" x14ac:dyDescent="0.25">
      <c r="A6661" s="5" t="str">
        <f>"I0004600"</f>
        <v>I0004600</v>
      </c>
      <c r="B6661" s="5" t="str">
        <f>"EQUIPO DE ESTRABISMO"</f>
        <v>EQUIPO DE ESTRABISMO</v>
      </c>
      <c r="C6661" s="6">
        <v>1358178</v>
      </c>
      <c r="D6661" s="5"/>
      <c r="E6661" s="5" t="str">
        <f t="shared" si="319"/>
        <v>INSTRUMENTACION-DIANA CAICEDO-DIANA DIAZ</v>
      </c>
      <c r="F6661" s="5" t="str">
        <f>"Descripcion: EQUIPO DE ESTRABISMO QUE CONSTA DE:  (1) MANGO DE BISTURI #3  (1) BLEFAROSTATO DE CASTRO VIEJO  (1) PORTA AGUJAS CURVO  (1) PORTA AGUJAS DE PATTON RECTO  (1) TIJERA DE ANGULO IZQUIERDA PARA HILOS  (4) GANCHOS DE ESTRABISMO   (0) PINZA DE RELO"&amp; "JERO  (1) ESPATULA PLANA  (1) PINZA DE BISHOO HARTMON SIN GARRA  (0) DISECCION ADSON CON GARRA  (0) CERAFINES   (1) MOSQUITO RECTA  (3) PINZAS DE CAMPO   (1) COMPAS  (1) RIÑONERA Estado: Bueno Placa anterior: 000012801 Material: ACERO INOXIDABLE Color: PL"&amp; "ATEADO Referencia:  Observacion:     Placa padre: Tipo adquisicion: Entidad"</f>
        <v>Descripcion: EQUIPO DE ESTRABISMO QUE CONSTA DE:  (1) MANGO DE BISTURI #3  (1) BLEFAROSTATO DE CASTRO VIEJO  (1) PORTA AGUJAS CURVO  (1) PORTA AGUJAS DE PATTON RECTO  (1) TIJERA DE ANGULO IZQUIERDA PARA HILOS  (4) GANCHOS DE ESTRABISMO   (0) PINZA DE RELOJERO  (1) ESPATULA PLANA  (1) PINZA DE BISHOO HARTMON SIN GARRA  (0) DISECCION ADSON CON GARRA  (0) CERAFINES   (1) MOSQUITO RECTA  (3) PINZAS DE CAMPO   (1) COMPAS  (1) RIÑONERA Estado: Bueno Placa anterior: 000012801 Material: ACERO INOXIDABLE Color: PLATEADO Referencia:  Observacion:     Placa padre: Tipo adquisicion: Entidad</v>
      </c>
      <c r="G6661" s="5"/>
    </row>
    <row r="6662" spans="1:7" ht="58.5" customHeight="1" x14ac:dyDescent="0.25">
      <c r="A6662" s="5" t="str">
        <f>"I0004602"</f>
        <v>I0004602</v>
      </c>
      <c r="B6662" s="5" t="str">
        <f>"BLEFAROSTATO GRANDE"</f>
        <v>BLEFAROSTATO GRANDE</v>
      </c>
      <c r="C6662" s="6">
        <v>896081</v>
      </c>
      <c r="D6662" s="5"/>
      <c r="E6662" s="5" t="str">
        <f t="shared" si="319"/>
        <v>INSTRUMENTACION-DIANA CAICEDO-DIANA DIAZ</v>
      </c>
      <c r="F6662" s="5" t="str">
        <f>"Descripcion: BLEFAROSTATO DE CASTRO VIEJO Estado: Bueno Placa anterior: 000023217 Material: ACERO INOXIDABLE Color: PLATEADO Referencia:  Observacion:     Placa padre: I0004600Tipo adquisicion: Entidad"</f>
        <v>Descripcion: BLEFAROSTATO DE CASTRO VIEJO Estado: Bueno Placa anterior: 000023217 Material: ACERO INOXIDABLE Color: PLATEADO Referencia:  Observacion:     Placa padre: I0004600Tipo adquisicion: Entidad</v>
      </c>
      <c r="G6662" s="5"/>
    </row>
    <row r="6663" spans="1:7" ht="58.5" customHeight="1" x14ac:dyDescent="0.25">
      <c r="A6663" s="5" t="str">
        <f>"I0004604"</f>
        <v>I0004604</v>
      </c>
      <c r="B6663" s="5" t="str">
        <f>"PORTAGUJAS (PINZA)"</f>
        <v>PORTAGUJAS (PINZA)</v>
      </c>
      <c r="C6663" s="6">
        <v>1540000</v>
      </c>
      <c r="D6663" s="5"/>
      <c r="E6663" s="5" t="str">
        <f t="shared" si="319"/>
        <v>INSTRUMENTACION-DIANA CAICEDO-DIANA DIAZ</v>
      </c>
      <c r="F6663" s="5" t="str">
        <f>"Descripcion: PORTA AGUJAS DE PATTON RECTO Estado: Bueno Placa anterior: 000026996 Material: ACERO INOXIDABLE Color: PLATEADO Referencia:  Observacion: PORTA-AGUJAS CON MANGO AXIAL RECTO  Placa padre: I0004600Tipo adquisicion: Entidad"</f>
        <v>Descripcion: PORTA AGUJAS DE PATTON RECTO Estado: Bueno Placa anterior: 000026996 Material: ACERO INOXIDABLE Color: PLATEADO Referencia:  Observacion: PORTA-AGUJAS CON MANGO AXIAL RECTO  Placa padre: I0004600Tipo adquisicion: Entidad</v>
      </c>
      <c r="G6663" s="5"/>
    </row>
    <row r="6664" spans="1:7" ht="58.5" customHeight="1" x14ac:dyDescent="0.25">
      <c r="A6664" s="5" t="str">
        <f>"I0004613"</f>
        <v>I0004613</v>
      </c>
      <c r="B6664" s="5" t="str">
        <f>"PINZA ADSON"</f>
        <v>PINZA ADSON</v>
      </c>
      <c r="C6664" s="6">
        <v>81200</v>
      </c>
      <c r="D6664" s="5"/>
      <c r="E6664" s="5" t="str">
        <f t="shared" si="319"/>
        <v>INSTRUMENTACION-DIANA CAICEDO-DIANA DIAZ</v>
      </c>
      <c r="F6664" s="5" t="str">
        <f>"Descripcion: DISECCION ADSON CON GARRA Estado: Bueno Placa anterior: 000031660 Material: ACERO INOXIDABLE Color: PLATEADO Referencia:  Observacion:     Placa padre: I0004600Tipo adquisicion: Entidad"</f>
        <v>Descripcion: DISECCION ADSON CON GARRA Estado: Bueno Placa anterior: 000031660 Material: ACERO INOXIDABLE Color: PLATEADO Referencia:  Observacion:     Placa padre: I0004600Tipo adquisicion: Entidad</v>
      </c>
      <c r="G6664" s="5"/>
    </row>
    <row r="6665" spans="1:7" ht="58.5" customHeight="1" x14ac:dyDescent="0.25">
      <c r="A6665" s="5" t="str">
        <f>"I0004635"</f>
        <v>I0004635</v>
      </c>
      <c r="B6665" s="5" t="str">
        <f>"DILATADOR"</f>
        <v>DILATADOR</v>
      </c>
      <c r="C6665" s="6">
        <v>139200</v>
      </c>
      <c r="D6665" s="5"/>
      <c r="E6665" s="5" t="str">
        <f t="shared" si="319"/>
        <v>INSTRUMENTACION-DIANA CAICEDO-DIANA DIAZ</v>
      </c>
      <c r="F6665" s="5" t="str">
        <f>"Descripcion: DILATADORES Estado: Bueno Placa anterior: 000024861 Material: ACERO INOXIDABLE Color: PLATEADO Referencia:  Observacion:     Placa padre: I0004624Tipo adquisicion: Entidad"</f>
        <v>Descripcion: DILATADORES Estado: Bueno Placa anterior: 000024861 Material: ACERO INOXIDABLE Color: PLATEADO Referencia:  Observacion:     Placa padre: I0004624Tipo adquisicion: Entidad</v>
      </c>
      <c r="G6665" s="5"/>
    </row>
    <row r="6666" spans="1:7" ht="58.5" customHeight="1" x14ac:dyDescent="0.25">
      <c r="A6666" s="5" t="str">
        <f>"I0004643"</f>
        <v>I0004643</v>
      </c>
      <c r="B6666" s="5" t="str">
        <f>"EQUIPO ENUCLEACION"</f>
        <v>EQUIPO ENUCLEACION</v>
      </c>
      <c r="C6666" s="6">
        <v>1270374</v>
      </c>
      <c r="D6666" s="5"/>
      <c r="E6666" s="5" t="str">
        <f t="shared" si="319"/>
        <v>INSTRUMENTACION-DIANA CAICEDO-DIANA DIAZ</v>
      </c>
      <c r="F6666" s="5" t="str">
        <f>"Descripcion: EQUIPO DE ENUCLEACION QUE CONSTA DE:(1) MANGO DE BISTURI #3 (1) BLEFAROSTATO DE CASTRO VIEJO(1) PINZA DE DISECCION ADSON CON GARRA (1) PINZA DE DISECCION ADSON SIN GARRA (1) PINZA DE RELOJERO(1) PINZA BISHOP HARTMON CON GARRA(0) GANCHOS DE ES"&amp; "TRABISMO (2) TIJERAS PARA ENUCLEACION (1) TIJERA DE WESTCOTT(1) PORTA AGUJAS DE PATTON(3) CURETAS(1) VALVA(1) MOSQUITOS RECTAS(2) MOSQUITO CURVAS(1) PINZA PUNTO DOCE(0) CANULA DE FRAZIER (1) RIÑONERA Estado: Bueno Placa anterior: 000012802 Material: ACERO"&amp; " INOXIDABLE Color: PLATEADO Referencia:  Observacion:     Placa padre: Tipo adquisicion: Entidad"</f>
        <v>Descripcion: EQUIPO DE ENUCLEACION QUE CONSTA DE:(1) MANGO DE BISTURI #3 (1) BLEFAROSTATO DE CASTRO VIEJO(1) PINZA DE DISECCION ADSON CON GARRA (1) PINZA DE DISECCION ADSON SIN GARRA (1) PINZA DE RELOJERO(1) PINZA BISHOP HARTMON CON GARRA(0) GANCHOS DE ESTRABISMO (2) TIJERAS PARA ENUCLEACION (1) TIJERA DE WESTCOTT(1) PORTA AGUJAS DE PATTON(3) CURETAS(1) VALVA(1) MOSQUITOS RECTAS(2) MOSQUITO CURVAS(1) PINZA PUNTO DOCE(0) CANULA DE FRAZIER (1) RIÑONERA Estado: Bueno Placa anterior: 000012802 Material: ACERO INOXIDABLE Color: PLATEADO Referencia:  Observacion:     Placa padre: Tipo adquisicion: Entidad</v>
      </c>
      <c r="G6666" s="5"/>
    </row>
    <row r="6667" spans="1:7" ht="58.5" customHeight="1" x14ac:dyDescent="0.25">
      <c r="A6667" s="5" t="str">
        <f>"I0004645"</f>
        <v>I0004645</v>
      </c>
      <c r="B6667" s="5" t="str">
        <f>"BLEFAROSTATO GRANDE"</f>
        <v>BLEFAROSTATO GRANDE</v>
      </c>
      <c r="C6667" s="6">
        <v>896081</v>
      </c>
      <c r="D6667" s="5"/>
      <c r="E6667" s="5" t="str">
        <f t="shared" si="319"/>
        <v>INSTRUMENTACION-DIANA CAICEDO-DIANA DIAZ</v>
      </c>
      <c r="F6667" s="5" t="str">
        <f>"Descripcion: BLEFAROSTATO DE CASTRO VIEJO Estado: Bueno Placa anterior: 000023218 Material: ACERO INOXIDABLE Color: PLATEADO Referencia:  Observacion:     Placa padre: I0004643Tipo adquisicion: Entidad"</f>
        <v>Descripcion: BLEFAROSTATO DE CASTRO VIEJO Estado: Bueno Placa anterior: 000023218 Material: ACERO INOXIDABLE Color: PLATEADO Referencia:  Observacion:     Placa padre: I0004643Tipo adquisicion: Entidad</v>
      </c>
      <c r="G6667" s="5"/>
    </row>
    <row r="6668" spans="1:7" ht="58.5" customHeight="1" x14ac:dyDescent="0.25">
      <c r="A6668" s="5" t="str">
        <f>"I0004646"</f>
        <v>I0004646</v>
      </c>
      <c r="B6668" s="5" t="str">
        <f>"PINZA ADSON"</f>
        <v>PINZA ADSON</v>
      </c>
      <c r="C6668" s="6">
        <v>81200</v>
      </c>
      <c r="D6668" s="5"/>
      <c r="E6668" s="5" t="str">
        <f t="shared" si="319"/>
        <v>INSTRUMENTACION-DIANA CAICEDO-DIANA DIAZ</v>
      </c>
      <c r="F6668" s="5" t="str">
        <f>"Descripcion: PINZA DE DISECCION ADSON CON GARRA  Estado: Bueno Placa anterior: 000031661 Material: ACERO INOXIDABLE Color: PLATEADO Referencia:  Observacion:     Placa padre: I0004643Tipo adquisicion: Entidad"</f>
        <v>Descripcion: PINZA DE DISECCION ADSON CON GARRA  Estado: Bueno Placa anterior: 000031661 Material: ACERO INOXIDABLE Color: PLATEADO Referencia:  Observacion:     Placa padre: I0004643Tipo adquisicion: Entidad</v>
      </c>
      <c r="G6668" s="5"/>
    </row>
    <row r="6669" spans="1:7" ht="58.5" customHeight="1" x14ac:dyDescent="0.25">
      <c r="A6669" s="5" t="str">
        <f>"I0004654"</f>
        <v>I0004654</v>
      </c>
      <c r="B6669" s="5" t="str">
        <f>"TIJERA (INSTRUMENTAL)"</f>
        <v>TIJERA (INSTRUMENTAL)</v>
      </c>
      <c r="C6669" s="6">
        <v>12200</v>
      </c>
      <c r="D6669" s="5"/>
      <c r="E6669" s="5" t="str">
        <f t="shared" si="319"/>
        <v>INSTRUMENTACION-DIANA CAICEDO-DIANA DIAZ</v>
      </c>
      <c r="F6669" s="5" t="str">
        <f>"Descripcion: TIJERA DE WESTCOTT Estado: Bueno Placa anterior: 000020465 Material: ACERO INOXIDABLE Color: PLATEADO Referencia:  Observacion:     Placa padre: I0004643Tipo adquisicion: Entidad"</f>
        <v>Descripcion: TIJERA DE WESTCOTT Estado: Bueno Placa anterior: 000020465 Material: ACERO INOXIDABLE Color: PLATEADO Referencia:  Observacion:     Placa padre: I0004643Tipo adquisicion: Entidad</v>
      </c>
      <c r="G6669" s="5"/>
    </row>
    <row r="6670" spans="1:7" ht="58.5" customHeight="1" x14ac:dyDescent="0.25">
      <c r="A6670" s="5" t="str">
        <f>"I0004670"</f>
        <v>I0004670</v>
      </c>
      <c r="B6670" s="5" t="str">
        <f>"TIJERA (INSTRUMENTAL)"</f>
        <v>TIJERA (INSTRUMENTAL)</v>
      </c>
      <c r="C6670" s="6">
        <v>12200</v>
      </c>
      <c r="D6670" s="5"/>
      <c r="E6670" s="5" t="str">
        <f t="shared" si="319"/>
        <v>INSTRUMENTACION-DIANA CAICEDO-DIANA DIAZ</v>
      </c>
      <c r="F6670" s="5" t="str">
        <f>"Descripcion: TIJERA WESTCOTT Estado: Bueno Placa anterior: 000020464 Material: ACERO INOXIDABLE Color: PLATEADO Referencia:  Observacion:     Placa padre: I0004667Tipo adquisicion: Entidad"</f>
        <v>Descripcion: TIJERA WESTCOTT Estado: Bueno Placa anterior: 000020464 Material: ACERO INOXIDABLE Color: PLATEADO Referencia:  Observacion:     Placa padre: I0004667Tipo adquisicion: Entidad</v>
      </c>
      <c r="G6670" s="5"/>
    </row>
    <row r="6671" spans="1:7" ht="58.5" customHeight="1" x14ac:dyDescent="0.25">
      <c r="A6671" s="5" t="str">
        <f>"I0004683"</f>
        <v>I0004683</v>
      </c>
      <c r="B6671" s="5" t="str">
        <f>"EQUIPO DE CHALAZION"</f>
        <v>EQUIPO DE CHALAZION</v>
      </c>
      <c r="C6671" s="6">
        <v>329737</v>
      </c>
      <c r="D6671" s="5"/>
      <c r="E6671" s="5" t="str">
        <f t="shared" si="319"/>
        <v>INSTRUMENTACION-DIANA CAICEDO-DIANA DIAZ</v>
      </c>
      <c r="F6671" s="5" t="str">
        <f>"Descripcion: EQUIPO DE CHALAZION QUE CONSTA DE:  (1) MANGO DE BISTURI #3  (1) CURETAS DE 0-4  (1) PINZA RELOJERO  (2) PINZAS DE CHALAZION DESMARRES  (1) PINZA COLIBRÍ  (1) COCA MEDIANA DE ACERO INOXIDABLE  (1) TIJERA DE WESTCOTT Estado: Bueno Placa anteri"&amp; "or: 000012797 Material: ACERO INOXIDABLE Color: PLATEADO Referencia:  Observacion:     Placa padre: Tipo adquisicion: Entidad"</f>
        <v>Descripcion: EQUIPO DE CHALAZION QUE CONSTA DE:  (1) MANGO DE BISTURI #3  (1) CURETAS DE 0-4  (1) PINZA RELOJERO  (2) PINZAS DE CHALAZION DESMARRES  (1) PINZA COLIBRÍ  (1) COCA MEDIANA DE ACERO INOXIDABLE  (1) TIJERA DE WESTCOTT Estado: Bueno Placa anterior: 000012797 Material: ACERO INOXIDABLE Color: PLATEADO Referencia:  Observacion:     Placa padre: Tipo adquisicion: Entidad</v>
      </c>
      <c r="G6671" s="5"/>
    </row>
    <row r="6672" spans="1:7" ht="58.5" customHeight="1" x14ac:dyDescent="0.25">
      <c r="A6672" s="5" t="str">
        <f>"I0004711"</f>
        <v>I0004711</v>
      </c>
      <c r="B6672" s="5" t="str">
        <f>"BLEFAROSTATO GRANDE"</f>
        <v>BLEFAROSTATO GRANDE</v>
      </c>
      <c r="C6672" s="6">
        <v>34800</v>
      </c>
      <c r="D6672" s="5"/>
      <c r="E6672" s="5" t="str">
        <f t="shared" si="319"/>
        <v>INSTRUMENTACION-DIANA CAICEDO-DIANA DIAZ</v>
      </c>
      <c r="F6672" s="5" t="str">
        <f>"Descripcion: BLEFAROSTATOS DE FACO Estado: Bueno Placa anterior: 000021920 Material: ACERO INOXIDABLE Color: PLATEADO Referencia:  Observacion:     Placa padre: I0004692Tipo adquisicion: Entidad"</f>
        <v>Descripcion: BLEFAROSTATOS DE FACO Estado: Bueno Placa anterior: 000021920 Material: ACERO INOXIDABLE Color: PLATEADO Referencia:  Observacion:     Placa padre: I0004692Tipo adquisicion: Entidad</v>
      </c>
      <c r="G6672" s="5"/>
    </row>
    <row r="6673" spans="1:7" ht="58.5" customHeight="1" x14ac:dyDescent="0.25">
      <c r="A6673" s="5" t="str">
        <f>"I0004756"</f>
        <v>I0004756</v>
      </c>
      <c r="B6673" s="5" t="str">
        <f>"EQUIPO DE PARPADO"</f>
        <v>EQUIPO DE PARPADO</v>
      </c>
      <c r="C6673" s="6">
        <v>2292520</v>
      </c>
      <c r="D6673" s="5"/>
      <c r="E6673" s="5" t="str">
        <f t="shared" si="319"/>
        <v>INSTRUMENTACION-DIANA CAICEDO-DIANA DIAZ</v>
      </c>
      <c r="F6673" s="5" t="str">
        <f>"Descripcion: EQUIPO DE PARPADO QUE CONSTA DE:  (1) SEPARADOR DE STIVENSON  (1) TIJERA DE CORNEA  (1) PINZA RELOJERO   (1) PINZA DE CHALAZION  (1) PINZA PUNTO DOCE CON GARRA DIMEDA  (1) PINZA UTILITY SIN GARRA   (1) PORTA AGUJAS DE BARRAQUER AESCULAP Estad"&amp; "o: Bueno Placa anterior: 000012678 Material: ACERO INOXIDABLE Color: PLATEADO Referencia:  Observacion:     Placa padre: Tipo adquisicion: Entidad"</f>
        <v>Descripcion: EQUIPO DE PARPADO QUE CONSTA DE:  (1) SEPARADOR DE STIVENSON  (1) TIJERA DE CORNEA  (1) PINZA RELOJERO   (1) PINZA DE CHALAZION  (1) PINZA PUNTO DOCE CON GARRA DIMEDA  (1) PINZA UTILITY SIN GARRA   (1) PORTA AGUJAS DE BARRAQUER AESCULAP Estado: Bueno Placa anterior: 000012678 Material: ACERO INOXIDABLE Color: PLATEADO Referencia:  Observacion:     Placa padre: Tipo adquisicion: Entidad</v>
      </c>
      <c r="G6673" s="5"/>
    </row>
    <row r="6674" spans="1:7" ht="58.5" customHeight="1" x14ac:dyDescent="0.25">
      <c r="A6674" s="5" t="str">
        <f>"I0004758"</f>
        <v>I0004758</v>
      </c>
      <c r="B6674" s="5" t="str">
        <f>"TIJERA PARA CORNEA CONJUNTIVA"</f>
        <v>TIJERA PARA CORNEA CONJUNTIVA</v>
      </c>
      <c r="C6674" s="6">
        <v>237800</v>
      </c>
      <c r="D6674" s="5"/>
      <c r="E6674" s="5" t="str">
        <f t="shared" si="319"/>
        <v>INSTRUMENTACION-DIANA CAICEDO-DIANA DIAZ</v>
      </c>
      <c r="F6674" s="5" t="str">
        <f>"Descripcion: TIJERA DE CORNEA Estado: Bueno Placa anterior: 000032061 Material: ACERO INOXIDABLE Color: PLATEADO Referencia:  Observacion:     Placa padre: I0004756Tipo adquisicion: Entidad"</f>
        <v>Descripcion: TIJERA DE CORNEA Estado: Bueno Placa anterior: 000032061 Material: ACERO INOXIDABLE Color: PLATEADO Referencia:  Observacion:     Placa padre: I0004756Tipo adquisicion: Entidad</v>
      </c>
      <c r="G6674" s="5"/>
    </row>
    <row r="6675" spans="1:7" ht="58.5" customHeight="1" x14ac:dyDescent="0.25">
      <c r="A6675" s="5" t="str">
        <f>"I0004763"</f>
        <v>I0004763</v>
      </c>
      <c r="B6675" s="5" t="str">
        <f>"PORTAGUJAS (PINZA)"</f>
        <v>PORTAGUJAS (PINZA)</v>
      </c>
      <c r="C6675" s="6">
        <v>628800</v>
      </c>
      <c r="D6675" s="5"/>
      <c r="E6675" s="5" t="str">
        <f t="shared" si="319"/>
        <v>INSTRUMENTACION-DIANA CAICEDO-DIANA DIAZ</v>
      </c>
      <c r="F6675" s="5" t="str">
        <f>"Descripcion: PORTA AGUJAS DE BARRAQUER AESCULAP Estado: Bueno Placa anterior: 000032678 Material: ACERO INOXIDABLE Color: PLATEADO Referencia:  Observacion: PORTAGUJAS BARRQUER DE PUNTA TCX 13 CM  Placa padre: I0004756Tipo adquisicion: Entidad"</f>
        <v>Descripcion: PORTA AGUJAS DE BARRAQUER AESCULAP Estado: Bueno Placa anterior: 000032678 Material: ACERO INOXIDABLE Color: PLATEADO Referencia:  Observacion: PORTAGUJAS BARRQUER DE PUNTA TCX 13 CM  Placa padre: I0004756Tipo adquisicion: Entidad</v>
      </c>
      <c r="G6675" s="5"/>
    </row>
    <row r="6676" spans="1:7" ht="58.5" customHeight="1" x14ac:dyDescent="0.25">
      <c r="A6676" s="5" t="str">
        <f>"I0004765"</f>
        <v>I0004765</v>
      </c>
      <c r="B6676" s="5" t="str">
        <f>"EQUIPO DE BRONCOSCOPIA"</f>
        <v>EQUIPO DE BRONCOSCOPIA</v>
      </c>
      <c r="C6676" s="6">
        <v>33640000</v>
      </c>
      <c r="D6676" s="5"/>
      <c r="E6676" s="5" t="str">
        <f t="shared" si="319"/>
        <v>INSTRUMENTACION-DIANA CAICEDO-DIANA DIAZ</v>
      </c>
      <c r="F6676" s="5" t="str">
        <f>"Descripcion: EQUIPO DE BRONCOSCOPIA QUE CONSTA DE:(3) TELESCOPIOS DE HOPKINGS RECTO DE 0°(1) CABLE DE FIBRA OPTICA (9)BRONCOSCOPIOS DE DOESEL HUZLY(2) PINZAS OPTICAS (4) PINZAS OPTICAS DE OLLIGATORE (6) PINZAS OLLIGATORS GRASPING(1) PORTA ESPONJAS MANGO D"&amp; "E RESORTE (1) PINZA NUEZ VIEJA (1)PINZA COCODRILO (1) PINZA FLEXIBLE  VIEJA (1) MAGNIFICADOR AJUSTABLE  NUEVO(2) TUBOS ANTIFOG CON CIERRE (1) ADAPTADOR CORTO 0° EN ROJO(2) TUBOS DE SUCCION RECTOS (1)CATETER DESUCCION CON ADAPTADOR#6(1) REFLECTOR PRISMATIC"&amp; "O DE LUZ (1) TAPON CON VENTANA DE VIDRIO (1) ADAPTADOR PUNTA LARGA EN ROJO (1) ADAPTADOR PARA CATETER  DE SUCCION METALICO(1) ADAPTADOR METALICO STORZ(1) PINZA FLEXIBLE Estado: Bueno Placa anterior: 000033237 Material: ACERO INOXIDABLE Color: PLATEADO Ref"&amp; "erencia:  Observacion: FIBROSCOPIO GASTROINTESTINAL ESPECIAL MARCA OLIMPUS MODELO GIF-E SERIAL 2397271-2339727 TOTALMENTE SUMERGIBLE CON FUENTE DE LUZ HALOGENA ACOMPAÑADO DE 6 PINZAS CEPILLO PARA CITOLOGIA ASA DE POLIFECTOMIA SET COMPLETO INYECTOR Placa p"&amp; "adre: Tipo adquisicion: Entidad"</f>
        <v>Descripcion: EQUIPO DE BRONCOSCOPIA QUE CONSTA DE:(3) TELESCOPIOS DE HOPKINGS RECTO DE 0°(1) CABLE DE FIBRA OPTICA (9)BRONCOSCOPIOS DE DOESEL HUZLY(2) PINZAS OPTICAS (4) PINZAS OPTICAS DE OLLIGATORE (6) PINZAS OLLIGATORS GRASPING(1) PORTA ESPONJAS MANGO DE RESORTE (1) PINZA NUEZ VIEJA (1)PINZA COCODRILO (1) PINZA FLEXIBLE  VIEJA (1) MAGNIFICADOR AJUSTABLE  NUEVO(2) TUBOS ANTIFOG CON CIERRE (1) ADAPTADOR CORTO 0° EN ROJO(2) TUBOS DE SUCCION RECTOS (1)CATETER DESUCCION CON ADAPTADOR#6(1) REFLECTOR PRISMATICO DE LUZ (1) TAPON CON VENTANA DE VIDRIO (1) ADAPTADOR PUNTA LARGA EN ROJO (1) ADAPTADOR PARA CATETER  DE SUCCION METALICO(1) ADAPTADOR METALICO STORZ(1) PINZA FLEXIBLE Estado: Bueno Placa anterior: 000033237 Material: ACERO INOXIDABLE Color: PLATEADO Referencia:  Observacion: FIBROSCOPIO GASTROINTESTINAL ESPECIAL MARCA OLIMPUS MODELO GIF-E SERIAL 2397271-2339727 TOTALMENTE SUMERGIBLE CON FUENTE DE LUZ HALOGENA ACOMPAÑADO DE 6 PINZAS CEPILLO PARA CITOLOGIA ASA DE POLIFECTOMIA SET COMPLETO INYECTOR Placa padre: Tipo adquisicion: Entidad</v>
      </c>
      <c r="G6676" s="5"/>
    </row>
    <row r="6677" spans="1:7" ht="58.5" customHeight="1" x14ac:dyDescent="0.25">
      <c r="A6677" s="5" t="str">
        <f>"I0004770"</f>
        <v>I0004770</v>
      </c>
      <c r="B6677" s="5" t="str">
        <f t="shared" ref="B6677:B6683" si="320">"BRONCOSCOPIO"</f>
        <v>BRONCOSCOPIO</v>
      </c>
      <c r="C6677" s="6">
        <v>480879.35999999999</v>
      </c>
      <c r="D6677" s="5"/>
      <c r="E6677" s="5" t="str">
        <f t="shared" si="319"/>
        <v>INSTRUMENTACION-DIANA CAICEDO-DIANA DIAZ</v>
      </c>
      <c r="F6677" s="5" t="str">
        <f>"Descripcion: BRONCOSCOPIOS DE DOESEL HUZLY Estado: Bueno Placa anterior: 000012625 Material: ACERO INOXIDABLE Color: PLATEADO Referencia:  Observacion:     Placa padre: I0004765Tipo adquisicion: Entidad"</f>
        <v>Descripcion: BRONCOSCOPIOS DE DOESEL HUZLY Estado: Bueno Placa anterior: 000012625 Material: ACERO INOXIDABLE Color: PLATEADO Referencia:  Observacion:     Placa padre: I0004765Tipo adquisicion: Entidad</v>
      </c>
      <c r="G6677" s="5"/>
    </row>
    <row r="6678" spans="1:7" ht="58.5" customHeight="1" x14ac:dyDescent="0.25">
      <c r="A6678" s="5" t="str">
        <f>"I0004772"</f>
        <v>I0004772</v>
      </c>
      <c r="B6678" s="5" t="str">
        <f t="shared" si="320"/>
        <v>BRONCOSCOPIO</v>
      </c>
      <c r="C6678" s="6">
        <v>480879.35999999999</v>
      </c>
      <c r="D6678" s="5"/>
      <c r="E6678" s="5" t="str">
        <f t="shared" si="319"/>
        <v>INSTRUMENTACION-DIANA CAICEDO-DIANA DIAZ</v>
      </c>
      <c r="F6678" s="5" t="str">
        <f>"Descripcion: BRONCOSCOPIOS DE DOESEL HUZLY Estado: Bueno Placa anterior: 000012627 Material: ACERO INOXIDABLE Color: PLATEADO Referencia:  Observacion:     Placa padre: I0004765Tipo adquisicion: Entidad"</f>
        <v>Descripcion: BRONCOSCOPIOS DE DOESEL HUZLY Estado: Bueno Placa anterior: 000012627 Material: ACERO INOXIDABLE Color: PLATEADO Referencia:  Observacion:     Placa padre: I0004765Tipo adquisicion: Entidad</v>
      </c>
      <c r="G6678" s="5"/>
    </row>
    <row r="6679" spans="1:7" ht="58.5" customHeight="1" x14ac:dyDescent="0.25">
      <c r="A6679" s="5" t="str">
        <f>"I0004773"</f>
        <v>I0004773</v>
      </c>
      <c r="B6679" s="5" t="str">
        <f t="shared" si="320"/>
        <v>BRONCOSCOPIO</v>
      </c>
      <c r="C6679" s="6">
        <v>480879.35999999999</v>
      </c>
      <c r="D6679" s="5"/>
      <c r="E6679" s="5" t="str">
        <f t="shared" si="319"/>
        <v>INSTRUMENTACION-DIANA CAICEDO-DIANA DIAZ</v>
      </c>
      <c r="F6679" s="5" t="str">
        <f>"Descripcion: BRONCOSCOPIOS DE DOESEL HUZLY Estado: Bueno Placa anterior: 000012628 Material: ACERO INOXIDABLE Color: PLATEADO Referencia:  Observacion:     Placa padre: I0004765Tipo adquisicion: Entidad"</f>
        <v>Descripcion: BRONCOSCOPIOS DE DOESEL HUZLY Estado: Bueno Placa anterior: 000012628 Material: ACERO INOXIDABLE Color: PLATEADO Referencia:  Observacion:     Placa padre: I0004765Tipo adquisicion: Entidad</v>
      </c>
      <c r="G6679" s="5"/>
    </row>
    <row r="6680" spans="1:7" ht="58.5" customHeight="1" x14ac:dyDescent="0.25">
      <c r="A6680" s="5" t="str">
        <f>"I0004774"</f>
        <v>I0004774</v>
      </c>
      <c r="B6680" s="5" t="str">
        <f t="shared" si="320"/>
        <v>BRONCOSCOPIO</v>
      </c>
      <c r="C6680" s="6">
        <v>480879.35999999999</v>
      </c>
      <c r="D6680" s="5"/>
      <c r="E6680" s="5" t="str">
        <f t="shared" si="319"/>
        <v>INSTRUMENTACION-DIANA CAICEDO-DIANA DIAZ</v>
      </c>
      <c r="F6680" s="5" t="str">
        <f>"Descripcion: BRONCOSCOPIOS DE DOESEL HUZLY Estado: Bueno Placa anterior: 000012629 Material: ACERO INOXIDABLE Color: PLATEADO Referencia:  Observacion:     Placa padre: I0004765Tipo adquisicion: Entidad"</f>
        <v>Descripcion: BRONCOSCOPIOS DE DOESEL HUZLY Estado: Bueno Placa anterior: 000012629 Material: ACERO INOXIDABLE Color: PLATEADO Referencia:  Observacion:     Placa padre: I0004765Tipo adquisicion: Entidad</v>
      </c>
      <c r="G6680" s="5"/>
    </row>
    <row r="6681" spans="1:7" ht="58.5" customHeight="1" x14ac:dyDescent="0.25">
      <c r="A6681" s="5" t="str">
        <f>"I0004775"</f>
        <v>I0004775</v>
      </c>
      <c r="B6681" s="5" t="str">
        <f t="shared" si="320"/>
        <v>BRONCOSCOPIO</v>
      </c>
      <c r="C6681" s="6">
        <v>480879.35999999999</v>
      </c>
      <c r="D6681" s="5"/>
      <c r="E6681" s="5" t="str">
        <f t="shared" si="319"/>
        <v>INSTRUMENTACION-DIANA CAICEDO-DIANA DIAZ</v>
      </c>
      <c r="F6681" s="5" t="str">
        <f>"Descripcion: BRONCOSCOPIOS DE DOESEL HUZLY Estado: Bueno Placa anterior: 000012630 Material: ACERO INOXIDABLE Color: PLATEADO Referencia:  Observacion:     Placa padre: I0004765Tipo adquisicion: Entidad"</f>
        <v>Descripcion: BRONCOSCOPIOS DE DOESEL HUZLY Estado: Bueno Placa anterior: 000012630 Material: ACERO INOXIDABLE Color: PLATEADO Referencia:  Observacion:     Placa padre: I0004765Tipo adquisicion: Entidad</v>
      </c>
      <c r="G6681" s="5"/>
    </row>
    <row r="6682" spans="1:7" ht="58.5" customHeight="1" x14ac:dyDescent="0.25">
      <c r="A6682" s="5" t="str">
        <f>"I0004776"</f>
        <v>I0004776</v>
      </c>
      <c r="B6682" s="5" t="str">
        <f t="shared" si="320"/>
        <v>BRONCOSCOPIO</v>
      </c>
      <c r="C6682" s="6">
        <v>480879.35999999999</v>
      </c>
      <c r="D6682" s="5"/>
      <c r="E6682" s="5" t="str">
        <f t="shared" si="319"/>
        <v>INSTRUMENTACION-DIANA CAICEDO-DIANA DIAZ</v>
      </c>
      <c r="F6682" s="5" t="str">
        <f>"Descripcion: BRONCOSCOPIOS DE DOESEL HUZLY Estado: Bueno Placa anterior: 000012632 Material: ACERO INOXIDABLE Color: PLATEADO Referencia:  Observacion:     Placa padre: I0004765Tipo adquisicion: Entidad"</f>
        <v>Descripcion: BRONCOSCOPIOS DE DOESEL HUZLY Estado: Bueno Placa anterior: 000012632 Material: ACERO INOXIDABLE Color: PLATEADO Referencia:  Observacion:     Placa padre: I0004765Tipo adquisicion: Entidad</v>
      </c>
      <c r="G6682" s="5"/>
    </row>
    <row r="6683" spans="1:7" ht="58.5" customHeight="1" x14ac:dyDescent="0.25">
      <c r="A6683" s="5" t="str">
        <f>"I0004777"</f>
        <v>I0004777</v>
      </c>
      <c r="B6683" s="5" t="str">
        <f t="shared" si="320"/>
        <v>BRONCOSCOPIO</v>
      </c>
      <c r="C6683" s="6">
        <v>480879.35999999999</v>
      </c>
      <c r="D6683" s="5"/>
      <c r="E6683" s="5" t="str">
        <f t="shared" si="319"/>
        <v>INSTRUMENTACION-DIANA CAICEDO-DIANA DIAZ</v>
      </c>
      <c r="F6683" s="5" t="str">
        <f>"Descripcion: BRONCOSCOPIOS DE DOESEL HUZLY Estado: Bueno Placa anterior: 000012633 Material: ACERO INOXIDABLE Color: PLATEADO Referencia:  Observacion:     Placa padre: I0004765Tipo adquisicion: Entidad"</f>
        <v>Descripcion: BRONCOSCOPIOS DE DOESEL HUZLY Estado: Bueno Placa anterior: 000012633 Material: ACERO INOXIDABLE Color: PLATEADO Referencia:  Observacion:     Placa padre: I0004765Tipo adquisicion: Entidad</v>
      </c>
      <c r="G6683" s="5"/>
    </row>
    <row r="6684" spans="1:7" ht="58.5" customHeight="1" x14ac:dyDescent="0.25">
      <c r="A6684" s="5" t="str">
        <f>"I0004808"</f>
        <v>I0004808</v>
      </c>
      <c r="B6684" s="5" t="str">
        <f>"EQUIPO DE LENTES DEL BRONCOSCOPIO"</f>
        <v>EQUIPO DE LENTES DEL BRONCOSCOPIO</v>
      </c>
      <c r="C6684" s="6">
        <v>34000006</v>
      </c>
      <c r="D6684" s="5"/>
      <c r="E6684" s="5" t="str">
        <f t="shared" si="319"/>
        <v>INSTRUMENTACION-DIANA CAICEDO-DIANA DIAZ</v>
      </c>
      <c r="F6684" s="5" t="str">
        <f>"Descripcion: EQUIPO DE LENTES DEL BRONCOSCOPIO QUE CONSTA DE:(1) KARL STORZ 0°   REF: 10324- A CON ADAPTADOR (1)  KARL STORZ 0°  REF: 10020 ATA 29MM CON ADAPTADOR (0)  KARL STORZ 0°  REF: 27015 A CON ADAPTADOR (1)  KARL STORZ 0°  REF: 10018 AA CON ADAPTAD"&amp; "OR 2.7MM Estado: Bueno Placa anterior: 000025924 Material: ACERO INOXIDABLE Color: PLATEADO Referencia:  Observacion:     Placa padre: Tipo adquisicion: Entidad"</f>
        <v>Descripcion: EQUIPO DE LENTES DEL BRONCOSCOPIO QUE CONSTA DE:(1) KARL STORZ 0°   REF: 10324- A CON ADAPTADOR (1)  KARL STORZ 0°  REF: 10020 ATA 29MM CON ADAPTADOR (0)  KARL STORZ 0°  REF: 27015 A CON ADAPTADOR (1)  KARL STORZ 0°  REF: 10018 AA CON ADAPTADOR 2.7MM Estado: Bueno Placa anterior: 000025924 Material: ACERO INOXIDABLE Color: PLATEADO Referencia:  Observacion:     Placa padre: Tipo adquisicion: Entidad</v>
      </c>
      <c r="G6684" s="5"/>
    </row>
    <row r="6685" spans="1:7" ht="58.5" customHeight="1" x14ac:dyDescent="0.25">
      <c r="A6685" s="5" t="str">
        <f>"I0004820"</f>
        <v>I0004820</v>
      </c>
      <c r="B6685" s="5" t="str">
        <f>"FIBROCOLONOSCOPIO (COLONOSCOPIO)"</f>
        <v>FIBROCOLONOSCOPIO (COLONOSCOPIO)</v>
      </c>
      <c r="C6685" s="6">
        <v>3344272</v>
      </c>
      <c r="D6685" s="5"/>
      <c r="E6685" s="5" t="str">
        <f t="shared" si="319"/>
        <v>INSTRUMENTACION-DIANA CAICEDO-DIANA DIAZ</v>
      </c>
      <c r="F6685" s="5" t="str">
        <f>"Descripcion: COLONOSCOPIO  PLACA Estado: Bueno Placa anterior: 000003193 Material: ACERO INOXIDABLE Color: PLATEADO Referencia:  Observacion:     Placa padre: I0004818Tipo adquisicion: Entidad"</f>
        <v>Descripcion: COLONOSCOPIO  PLACA Estado: Bueno Placa anterior: 000003193 Material: ACERO INOXIDABLE Color: PLATEADO Referencia:  Observacion:     Placa padre: I0004818Tipo adquisicion: Entidad</v>
      </c>
      <c r="G6685" s="5"/>
    </row>
    <row r="6686" spans="1:7" ht="58.5" customHeight="1" x14ac:dyDescent="0.25">
      <c r="A6686" s="5" t="str">
        <f>"I0004829"</f>
        <v>I0004829</v>
      </c>
      <c r="B6686" s="5" t="str">
        <f>"EQUIPO DE ESOFAGOSCOPIA"</f>
        <v>EQUIPO DE ESOFAGOSCOPIA</v>
      </c>
      <c r="C6686" s="6">
        <v>2546536</v>
      </c>
      <c r="D6686" s="5"/>
      <c r="E6686" s="5" t="str">
        <f t="shared" si="319"/>
        <v>INSTRUMENTACION-DIANA CAICEDO-DIANA DIAZ</v>
      </c>
      <c r="F6686" s="5" t="str">
        <f>"Descripcion: EQUIPO DE ESOFAGOSCOPIA QUE CONSTA DE:  (1) ESOFAGOSCOPIO LENTE O TELESCOPIO HOPKINS 02.5 MARCA KAISTON   (1) TUBO DE ESOFAGOSCOPIO MEDIDA 11 CON CANAL DE   (1) TUBO CON CANAL DE INSTRUMENTOS    (1) BULBO O PERA NARANJA    (1) CABLE DE ALTA F"&amp; "RECUENCIA DE 807M (MALTRATADO CON CABLE DE CONEXIÓN)  (1) PINZA GRASPIN OLLIGATORE    (1) TUBO CON CANAL     (1) AGUJA DE PUNCION    (1) PINZA NUEZ  WOLF Estado: Bueno Placa anterior: 000012594 Material: ACERO INOXIDABLE Color: PLATEADO Referencia:  Obser"&amp; "vacion:     Placa padre: Tipo adquisicion: Entidad"</f>
        <v>Descripcion: EQUIPO DE ESOFAGOSCOPIA QUE CONSTA DE:  (1) ESOFAGOSCOPIO LENTE O TELESCOPIO HOPKINS 02.5 MARCA KAISTON   (1) TUBO DE ESOFAGOSCOPIO MEDIDA 11 CON CANAL DE   (1) TUBO CON CANAL DE INSTRUMENTOS    (1) BULBO O PERA NARANJA    (1) CABLE DE ALTA FRECUENCIA DE 807M (MALTRATADO CON CABLE DE CONEXIÓN)  (1) PINZA GRASPIN OLLIGATORE    (1) TUBO CON CANAL     (1) AGUJA DE PUNCION    (1) PINZA NUEZ  WOLF Estado: Bueno Placa anterior: 000012594 Material: ACERO INOXIDABLE Color: PLATEADO Referencia:  Observacion:     Placa padre: Tipo adquisicion: Entidad</v>
      </c>
      <c r="G6686" s="5"/>
    </row>
    <row r="6687" spans="1:7" ht="58.5" customHeight="1" x14ac:dyDescent="0.25">
      <c r="A6687" s="5" t="str">
        <f>"I0004830"</f>
        <v>I0004830</v>
      </c>
      <c r="B6687" s="5" t="str">
        <f>"ESOFAGO GASTRO DUODENO FIBROSCOPIO (DUODENOFIBROSCOPIO)"</f>
        <v>ESOFAGO GASTRO DUODENO FIBROSCOPIO (DUODENOFIBROSCOPIO)</v>
      </c>
      <c r="C6687" s="6">
        <v>8159931</v>
      </c>
      <c r="D6687" s="5"/>
      <c r="E6687" s="5" t="str">
        <f t="shared" ref="E6687:E6750" si="321">"INSTRUMENTACION-DIANA CAICEDO-DIANA DIAZ"</f>
        <v>INSTRUMENTACION-DIANA CAICEDO-DIANA DIAZ</v>
      </c>
      <c r="F6687" s="5" t="str">
        <f>"Descripcion: ESOFAGOSCOPIO LENTE O TELESCOPIO HOPKINS 02.5 MARCA KAISTON  Estado: Bueno Placa anterior: 000023458 Material: ACERO INOXIDABLE Color: PLATEADO Referencia:  Observacion:     Placa padre: I0004829Tipo adquisicion: Entidad"</f>
        <v>Descripcion: ESOFAGOSCOPIO LENTE O TELESCOPIO HOPKINS 02.5 MARCA KAISTON  Estado: Bueno Placa anterior: 000023458 Material: ACERO INOXIDABLE Color: PLATEADO Referencia:  Observacion:     Placa padre: I0004829Tipo adquisicion: Entidad</v>
      </c>
      <c r="G6687" s="5"/>
    </row>
    <row r="6688" spans="1:7" ht="58.5" customHeight="1" x14ac:dyDescent="0.25">
      <c r="A6688" s="5" t="str">
        <f>"I0004842"</f>
        <v>I0004842</v>
      </c>
      <c r="B6688" s="5" t="str">
        <f>"PORTAGUJAS (PINZA)"</f>
        <v>PORTAGUJAS (PINZA)</v>
      </c>
      <c r="C6688" s="6">
        <v>2125120</v>
      </c>
      <c r="D6688" s="5" t="s">
        <v>441</v>
      </c>
      <c r="E6688" s="5" t="str">
        <f t="shared" si="321"/>
        <v>INSTRUMENTACION-DIANA CAICEDO-DIANA DIAZ</v>
      </c>
      <c r="F6688" s="5" t="str">
        <f>"Descripcion: PORTA AGUJAS DE MANGO DORADO CON CIERRE DE AGARRE (3) PORTA AGUJAS DE MANGO DORADO  Estado: Bueno Placa anterior: 000029450 Material: ACERO INOXIDABLE Color: PLATEADO Referencia:  Observacion: PORTA AGUJAS DE LAPAROSCOPIA, BOCA ESTRIADA TRANS"&amp; "VERSAL, RECTA  Placa padre: I0004839Tipo adquisicion: Entidad"</f>
        <v>Descripcion: PORTA AGUJAS DE MANGO DORADO CON CIERRE DE AGARRE (3) PORTA AGUJAS DE MANGO DORADO  Estado: Bueno Placa anterior: 000029450 Material: ACERO INOXIDABLE Color: PLATEADO Referencia:  Observacion: PORTA AGUJAS DE LAPAROSCOPIA, BOCA ESTRIADA TRANSVERSAL, RECTA  Placa padre: I0004839Tipo adquisicion: Entidad</v>
      </c>
      <c r="G6688" s="5"/>
    </row>
    <row r="6689" spans="1:7" ht="58.5" customHeight="1" x14ac:dyDescent="0.25">
      <c r="A6689" s="5" t="str">
        <f>"I0004856"</f>
        <v>I0004856</v>
      </c>
      <c r="B6689" s="5" t="str">
        <f>"EQUIPO DE LAPAROSCOPIA"</f>
        <v>EQUIPO DE LAPAROSCOPIA</v>
      </c>
      <c r="C6689" s="6">
        <v>9853064</v>
      </c>
      <c r="D6689" s="5"/>
      <c r="E6689" s="5" t="str">
        <f t="shared" si="321"/>
        <v>INSTRUMENTACION-DIANA CAICEDO-DIANA DIAZ</v>
      </c>
      <c r="F6689" s="5" t="str">
        <f>"Descripcion: EQUIPO LAPAROSCOPIO TEKNO ADULTO #1 QUE CONSTA DE:(1) SUCCION IRRIGACION(2) PINZAS GRASPIND(1) PINZA MERYLAN (1) PINZA  EXTRACTORA DE VESICULA(0) PINZA BABCOCK  10 SIN CIERRE(1) PINZA INTESTINAL (1) TIJERA TEKNO RECTA (1) TIJERA RECTA MICRO ("&amp; "1) GANCHO  HOOK(1) ESPATULA(1) CANASTILLA (1) PINZA CISTICO ANGULO RECTO Estado: Bueno Placa anterior: 000013888 Material: ACERO INOXIDABLE Color: PLATEADO Referencia:  Observacion:     Placa padre: Tipo adquisicion: Entidad"</f>
        <v>Descripcion: EQUIPO LAPAROSCOPIO TEKNO ADULTO #1 QUE CONSTA DE:(1) SUCCION IRRIGACION(2) PINZAS GRASPIND(1) PINZA MERYLAN (1) PINZA  EXTRACTORA DE VESICULA(0) PINZA BABCOCK  10 SIN CIERRE(1) PINZA INTESTINAL (1) TIJERA TEKNO RECTA (1) TIJERA RECTA MICRO (1) GANCHO  HOOK(1) ESPATULA(1) CANASTILLA (1) PINZA CISTICO ANGULO RECTO Estado: Bueno Placa anterior: 000013888 Material: ACERO INOXIDABLE Color: PLATEADO Referencia:  Observacion:     Placa padre: Tipo adquisicion: Entidad</v>
      </c>
      <c r="G6689" s="5"/>
    </row>
    <row r="6690" spans="1:7" ht="58.5" customHeight="1" x14ac:dyDescent="0.25">
      <c r="A6690" s="5" t="str">
        <f>"I0004868"</f>
        <v>I0004868</v>
      </c>
      <c r="B6690" s="5" t="str">
        <f>"CANASTA DE INSTRUMENTAL"</f>
        <v>CANASTA DE INSTRUMENTAL</v>
      </c>
      <c r="C6690" s="6">
        <v>571880</v>
      </c>
      <c r="D6690" s="5"/>
      <c r="E6690" s="5" t="str">
        <f t="shared" si="321"/>
        <v>INSTRUMENTACION-DIANA CAICEDO-DIANA DIAZ</v>
      </c>
      <c r="F6690" s="5" t="str">
        <f>"Descripcion: CANASTILLA  Estado: Bueno Placa anterior: 000029653 Material: ACERO INOXIDABLE Color: PLATEADO Referencia:  Observacion: CESTA CON TAPA Y FONDO PERFORADO CON SILICONA PARA 2 OPTICAS 250X60X50 REF. 87280-2F-SI Placa padre: I0004856Tipo adquisi"&amp; "cion: Entidad"</f>
        <v>Descripcion: CANASTILLA  Estado: Bueno Placa anterior: 000029653 Material: ACERO INOXIDABLE Color: PLATEADO Referencia:  Observacion: CESTA CON TAPA Y FONDO PERFORADO CON SILICONA PARA 2 OPTICAS 250X60X50 REF. 87280-2F-SI Placa padre: I0004856Tipo adquisicion: Entidad</v>
      </c>
      <c r="G6690" s="5"/>
    </row>
    <row r="6691" spans="1:7" ht="58.5" customHeight="1" x14ac:dyDescent="0.25">
      <c r="A6691" s="5" t="str">
        <f>"I0004870"</f>
        <v>I0004870</v>
      </c>
      <c r="B6691" s="5" t="str">
        <f>"EQUIPO DE LAPAROSCOPIA"</f>
        <v>EQUIPO DE LAPAROSCOPIA</v>
      </c>
      <c r="C6691" s="6">
        <v>471514.59</v>
      </c>
      <c r="D6691" s="5"/>
      <c r="E6691" s="5" t="str">
        <f t="shared" si="321"/>
        <v>INSTRUMENTACION-DIANA CAICEDO-DIANA DIAZ</v>
      </c>
      <c r="F6691" s="5" t="str">
        <f>"Descripcion: EQUIPO LAPAROSCOPIO TEKNO ADULTO # 2 QUE CONSTA DE:(1) SUCCION IRRIGACION (2) PINZAS GRASPIN CON SIERRE(1) PINZA MERYLAN SIN CIERRE(1) HURTS GANCHO(1) ESPATULA(1) PINZA BURRA EXTRACTORA DE VESICULA  Estado: Bueno Placa anterior: 000018361 Mat"&amp; "erial: ACERO INOXIDABLE Color: PLATEADO Referencia:  Observacion:     Placa padre: Tipo adquisicion: Entidad"</f>
        <v>Descripcion: EQUIPO LAPAROSCOPIO TEKNO ADULTO # 2 QUE CONSTA DE:(1) SUCCION IRRIGACION (2) PINZAS GRASPIN CON SIERRE(1) PINZA MERYLAN SIN CIERRE(1) HURTS GANCHO(1) ESPATULA(1) PINZA BURRA EXTRACTORA DE VESICULA  Estado: Bueno Placa anterior: 000018361 Material: ACERO INOXIDABLE Color: PLATEADO Referencia:  Observacion:     Placa padre: Tipo adquisicion: Entidad</v>
      </c>
      <c r="G6691" s="5"/>
    </row>
    <row r="6692" spans="1:7" ht="58.5" customHeight="1" x14ac:dyDescent="0.25">
      <c r="A6692" s="5" t="str">
        <f>"I0004879"</f>
        <v>I0004879</v>
      </c>
      <c r="B6692" s="5" t="str">
        <f>"CABLE BIPOLAR"</f>
        <v>CABLE BIPOLAR</v>
      </c>
      <c r="C6692" s="6">
        <v>313200</v>
      </c>
      <c r="D6692" s="5"/>
      <c r="E6692" s="5" t="str">
        <f t="shared" si="321"/>
        <v>INSTRUMENTACION-DIANA CAICEDO-DIANA DIAZ</v>
      </c>
      <c r="F6692" s="5" t="str">
        <f>"Descripcion: CABLE BIPOLAR Estado: Bueno Placa anterior: 000031602 Material: ACERO INOXIDABLE Color: PLATEADO Referencia:  Observacion:     Placa padre: I0004878Tipo adquisicion: Entidad"</f>
        <v>Descripcion: CABLE BIPOLAR Estado: Bueno Placa anterior: 000031602 Material: ACERO INOXIDABLE Color: PLATEADO Referencia:  Observacion:     Placa padre: I0004878Tipo adquisicion: Entidad</v>
      </c>
      <c r="G6692" s="5"/>
    </row>
    <row r="6693" spans="1:7" ht="58.5" customHeight="1" x14ac:dyDescent="0.25">
      <c r="A6693" s="5" t="str">
        <f>"I0004882"</f>
        <v>I0004882</v>
      </c>
      <c r="B6693" s="5" t="str">
        <f>"PINZA GRASPY"</f>
        <v>PINZA GRASPY</v>
      </c>
      <c r="C6693" s="6">
        <v>1552246</v>
      </c>
      <c r="D6693" s="5"/>
      <c r="E6693" s="5" t="str">
        <f t="shared" si="321"/>
        <v>INSTRUMENTACION-DIANA CAICEDO-DIANA DIAZ</v>
      </c>
      <c r="F6693" s="5" t="str">
        <f>"Descripcion: PINZA GRASPIND Estado: Bueno Placa anterior: 000033408 Material: ACERO INOXIDABLE Color: PLATEADO Referencia:  Observacion:     Placa padre: I0004878Tipo adquisicion: Entidad"</f>
        <v>Descripcion: PINZA GRASPIND Estado: Bueno Placa anterior: 000033408 Material: ACERO INOXIDABLE Color: PLATEADO Referencia:  Observacion:     Placa padre: I0004878Tipo adquisicion: Entidad</v>
      </c>
      <c r="G6693" s="5"/>
    </row>
    <row r="6694" spans="1:7" ht="58.5" customHeight="1" x14ac:dyDescent="0.25">
      <c r="A6694" s="5" t="str">
        <f>"I0004883"</f>
        <v>I0004883</v>
      </c>
      <c r="B6694" s="5" t="str">
        <f>"PINZA GRASPY"</f>
        <v>PINZA GRASPY</v>
      </c>
      <c r="C6694" s="6">
        <v>1747605</v>
      </c>
      <c r="D6694" s="5"/>
      <c r="E6694" s="5" t="str">
        <f t="shared" si="321"/>
        <v>INSTRUMENTACION-DIANA CAICEDO-DIANA DIAZ</v>
      </c>
      <c r="F6694" s="5" t="str">
        <f>"Descripcion: PINZA GRASPIND BIPOLAR Estado: Bueno Placa anterior: 000033410 Material: ACERO INOXIDABLE Color: PLATEADO Referencia:  Observacion:     Placa padre: I0004878Tipo adquisicion: Entidad"</f>
        <v>Descripcion: PINZA GRASPIND BIPOLAR Estado: Bueno Placa anterior: 000033410 Material: ACERO INOXIDABLE Color: PLATEADO Referencia:  Observacion:     Placa padre: I0004878Tipo adquisicion: Entidad</v>
      </c>
      <c r="G6694" s="5"/>
    </row>
    <row r="6695" spans="1:7" ht="58.5" customHeight="1" x14ac:dyDescent="0.25">
      <c r="A6695" s="5" t="str">
        <f>"I0004885"</f>
        <v>I0004885</v>
      </c>
      <c r="B6695" s="5" t="str">
        <f>"PINZA MERYLAND"</f>
        <v>PINZA MERYLAND</v>
      </c>
      <c r="C6695" s="6">
        <v>1521224</v>
      </c>
      <c r="D6695" s="5"/>
      <c r="E6695" s="5" t="str">
        <f t="shared" si="321"/>
        <v>INSTRUMENTACION-DIANA CAICEDO-DIANA DIAZ</v>
      </c>
      <c r="F6695" s="5" t="str">
        <f>"Descripcion: PINZA MERYLAND BIPOLAR  Estado: Bueno Placa anterior: 000025482 Material: ACERO INOXIDABLE Color: PLATEADO Referencia:  Observacion: PINZA COAGULACION BIPOLAR FORMA DE BAYONETA PUNTA 0.5MM MCA. AESCULAP REF. GK-960R Placa padre: I0004878Tipo "&amp; "adquisicion: Entidad"</f>
        <v>Descripcion: PINZA MERYLAND BIPOLAR  Estado: Bueno Placa anterior: 000025482 Material: ACERO INOXIDABLE Color: PLATEADO Referencia:  Observacion: PINZA COAGULACION BIPOLAR FORMA DE BAYONETA PUNTA 0.5MM MCA. AESCULAP REF. GK-960R Placa padre: I0004878Tipo adquisicion: Entidad</v>
      </c>
      <c r="G6695" s="5"/>
    </row>
    <row r="6696" spans="1:7" ht="58.5" customHeight="1" x14ac:dyDescent="0.25">
      <c r="A6696" s="5" t="str">
        <f>"I0004904"</f>
        <v>I0004904</v>
      </c>
      <c r="B6696" s="5" t="str">
        <f>"CISTOSCOPIO PARA ADULTO"</f>
        <v>CISTOSCOPIO PARA ADULTO</v>
      </c>
      <c r="C6696" s="6">
        <v>36000000</v>
      </c>
      <c r="D6696" s="5"/>
      <c r="E6696" s="5" t="str">
        <f t="shared" si="321"/>
        <v>INSTRUMENTACION-DIANA CAICEDO-DIANA DIAZ</v>
      </c>
      <c r="F6696" s="5" t="str">
        <f>"Descripcion: EQUIPO DE CISTOSCOPIO QUE CONSTA DE:  CAMISA O TROCAR N.21  PUNZON WOLF  PUNZON WOLF  LLAVE WOLF  PINZA WOLF  PINZA  COPA WOLF  CABLE FUENTE DE  LUZ Estado: Bueno Placa anterior: 000025926 Material: ACERO INOXIDABLE Color: PLATEADO Referencia"&amp; ":  Observacion:     Placa padre: Tipo adquisicion: Entidad"</f>
        <v>Descripcion: EQUIPO DE CISTOSCOPIO QUE CONSTA DE:  CAMISA O TROCAR N.21  PUNZON WOLF  PUNZON WOLF  LLAVE WOLF  PINZA WOLF  PINZA  COPA WOLF  CABLE FUENTE DE  LUZ Estado: Bueno Placa anterior: 000025926 Material: ACERO INOXIDABLE Color: PLATEADO Referencia:  Observacion:     Placa padre: Tipo adquisicion: Entidad</v>
      </c>
      <c r="G6696" s="5"/>
    </row>
    <row r="6697" spans="1:7" ht="58.5" customHeight="1" x14ac:dyDescent="0.25">
      <c r="A6697" s="5" t="str">
        <f>"I0004920"</f>
        <v>I0004920</v>
      </c>
      <c r="B6697" s="5" t="str">
        <f>"EQUIPO DE MEDIASTINOSCOPIO"</f>
        <v>EQUIPO DE MEDIASTINOSCOPIO</v>
      </c>
      <c r="C6697" s="6">
        <v>311425.84000000003</v>
      </c>
      <c r="D6697" s="5"/>
      <c r="E6697" s="5" t="str">
        <f t="shared" si="321"/>
        <v>INSTRUMENTACION-DIANA CAICEDO-DIANA DIAZ</v>
      </c>
      <c r="F6697" s="5" t="str">
        <f>"Descripcion: EQUIPO DE MEDIASTINOSCOPIO QUE CONSTA DE:(1) MEDIASTINOSCOPIO PEQUEÑO WOLF(1)MEDIASTINOSCOPIO MEDIANo WOLF(1)MEDIASTINOSCOPIO GRANDE  WOLF(1) LENTE DE ARO DORADO SIN ADAPTADOR(1) CÁNULA DE IRRIGACIÓN SUCCIÓN ELECTROCOAGULACIÓN (1) CÁNULA DE I"&amp; "RRIGACIÓN SUCCIÓN ELECTROCOAGULACIÓN(1) TROCAR DE 5MM CON LLAVE Y CAMISA MARCA DUFNER  (1) TROCAR DE 5MM MARCA DUFNER (1) PINZA DE GRASPIND(1) PINZA DE AGARRE (1) PINZA PARA PÓLIPO Estado: Bueno Placa anterior: 000003538 Material: ACERO INOXIDABLE Color: "&amp; "PLATEADO Referencia:  Observacion: MEDIATINOSCOPIO, LONGITUD 100,140 Y 170mm, CON TUBO PUNCION, CANULA DE 0.8mm tubo coagulador de succion COTT, tubo coagulador de succion desp, cable para estos tubos, pinza biopsia,pinza universal, pinzas para tumores pa"&amp; "ra preparacion. Placa padre: Tipo adquisicion: Entidad"</f>
        <v>Descripcion: EQUIPO DE MEDIASTINOSCOPIO QUE CONSTA DE:(1) MEDIASTINOSCOPIO PEQUEÑO WOLF(1)MEDIASTINOSCOPIO MEDIANo WOLF(1)MEDIASTINOSCOPIO GRANDE  WOLF(1) LENTE DE ARO DORADO SIN ADAPTADOR(1) CÁNULA DE IRRIGACIÓN SUCCIÓN ELECTROCOAGULACIÓN (1) CÁNULA DE IRRIGACIÓN SUCCIÓN ELECTROCOAGULACIÓN(1) TROCAR DE 5MM CON LLAVE Y CAMISA MARCA DUFNER  (1) TROCAR DE 5MM MARCA DUFNER (1) PINZA DE GRASPIND(1) PINZA DE AGARRE (1) PINZA PARA PÓLIPO Estado: Bueno Placa anterior: 000003538 Material: ACERO INOXIDABLE Color: PLATEADO Referencia:  Observacion: MEDIATINOSCOPIO, LONGITUD 100,140 Y 170mm, CON TUBO PUNCION, CANULA DE 0.8mm tubo coagulador de succion COTT, tubo coagulador de succion desp, cable para estos tubos, pinza biopsia,pinza universal, pinzas para tumores para preparacion. Placa padre: Tipo adquisicion: Entidad</v>
      </c>
      <c r="G6697" s="5"/>
    </row>
    <row r="6698" spans="1:7" ht="58.5" customHeight="1" x14ac:dyDescent="0.25">
      <c r="A6698" s="5" t="str">
        <f>"I0004956"</f>
        <v>I0004956</v>
      </c>
      <c r="B6698" s="5" t="str">
        <f>"PORTAGUJAS (PINZA)"</f>
        <v>PORTAGUJAS (PINZA)</v>
      </c>
      <c r="C6698" s="6">
        <v>4060000</v>
      </c>
      <c r="D6698" s="5" t="s">
        <v>442</v>
      </c>
      <c r="E6698" s="5" t="str">
        <f t="shared" si="321"/>
        <v>INSTRUMENTACION-DIANA CAICEDO-DIANA DIAZ</v>
      </c>
      <c r="F6698" s="5" t="str">
        <f>"Descripcion: PORTA AGUJAS DE CLIPS ULTRAMICRO DE KOH Estado: Bueno Placa anterior: 000029416 Material: ACERO INOXIDABLE Color: PLATEADO Referencia:  Observacion: PORTAGUJAS DE MICRO RECTO, AISLADO, CON CIERRE 2.8MMX250MM  Placa padre: I0004955Tipo adquisi"&amp; "cion: Entidad"</f>
        <v>Descripcion: PORTA AGUJAS DE CLIPS ULTRAMICRO DE KOH Estado: Bueno Placa anterior: 000029416 Material: ACERO INOXIDABLE Color: PLATEADO Referencia:  Observacion: PORTAGUJAS DE MICRO RECTO, AISLADO, CON CIERRE 2.8MMX250MM  Placa padre: I0004955Tipo adquisicion: Entidad</v>
      </c>
      <c r="G6698" s="5" t="str">
        <f>"2616FNS"</f>
        <v>2616FNS</v>
      </c>
    </row>
    <row r="6699" spans="1:7" ht="58.5" customHeight="1" x14ac:dyDescent="0.25">
      <c r="A6699" s="5" t="str">
        <f>"I0004957"</f>
        <v>I0004957</v>
      </c>
      <c r="B6699" s="5" t="str">
        <f>"PINZA MERYLAND"</f>
        <v>PINZA MERYLAND</v>
      </c>
      <c r="C6699" s="6">
        <v>1552246</v>
      </c>
      <c r="D6699" s="5"/>
      <c r="E6699" s="5" t="str">
        <f t="shared" si="321"/>
        <v>INSTRUMENTACION-DIANA CAICEDO-DIANA DIAZ</v>
      </c>
      <c r="F6699" s="5" t="str">
        <f>"Descripcion: PINZA MARYLAND DE AGARRE GIRATORIA  Estado: Bueno Placa anterior: 000033409 Material: ACERO INOXIDABLE Color: PLATEADO Referencia:  Observacion:  Placa padre: I0004955Tipo adquisicion: Entidad"</f>
        <v>Descripcion: PINZA MARYLAND DE AGARRE GIRATORIA  Estado: Bueno Placa anterior: 000033409 Material: ACERO INOXIDABLE Color: PLATEADO Referencia:  Observacion:  Placa padre: I0004955Tipo adquisicion: Entidad</v>
      </c>
      <c r="G6699" s="5" t="str">
        <f>"30322KS"</f>
        <v>30322KS</v>
      </c>
    </row>
    <row r="6700" spans="1:7" ht="58.5" customHeight="1" x14ac:dyDescent="0.25">
      <c r="A6700" s="5" t="str">
        <f>"I0004972"</f>
        <v>I0004972</v>
      </c>
      <c r="B6700" s="5" t="str">
        <f>"EQUIPO DE CISTORESECTOSCOPIO PEDIATRICO"</f>
        <v>EQUIPO DE CISTORESECTOSCOPIO PEDIATRICO</v>
      </c>
      <c r="C6700" s="6">
        <v>591312.06999999995</v>
      </c>
      <c r="D6700" s="5"/>
      <c r="E6700" s="5" t="str">
        <f t="shared" si="321"/>
        <v>INSTRUMENTACION-DIANA CAICEDO-DIANA DIAZ</v>
      </c>
      <c r="F6700" s="5" t="str">
        <f>"Descripcion: EQUIPO CISTORESECTOSCOPIO PEDIATRICO QUE CONSTA DE:(1) ELEMENTO TRABAJO RESECTOSCOPIO  KARL STORZ 27033E(1) CAMISA RESECTOSCOPIO  27033R(1) OBTURADOR RESECTOSCOPIO   27033RO(1)  CABLE GRIS(1) LENTE 0°  DE 1.2MM 27033AA(0) PINZA BIOPCIA  27071"&amp; "2 J(1) PINZA CUERPO EXTRAÑO 2707 TJ(1) CISTOSCOPIO CON LENTE INCLUIDO 27030 KA(1) PUENTE CON TAPON NEGRO PARA CISTOSCOPIO 270016(1) PUENTE DE ALARGUE CON TAPON PARA CISTOSCOPIO 27033 F (1) RECIPIENTE CON TAPA PERFORADO PARA INSTRUMENTAL Estado: Bueno Plac"&amp; "a anterior: 000008798 Material: ACERO INOXIDABLE Color: PLATEADO Referencia:  Observacion: RESECTOSCOPIO PEDIATRICO  Placa padre: Tipo adquisicion: Entidad"</f>
        <v>Descripcion: EQUIPO CISTORESECTOSCOPIO PEDIATRICO QUE CONSTA DE:(1) ELEMENTO TRABAJO RESECTOSCOPIO  KARL STORZ 27033E(1) CAMISA RESECTOSCOPIO  27033R(1) OBTURADOR RESECTOSCOPIO   27033RO(1)  CABLE GRIS(1) LENTE 0°  DE 1.2MM 27033AA(0) PINZA BIOPCIA  270712 J(1) PINZA CUERPO EXTRAÑO 2707 TJ(1) CISTOSCOPIO CON LENTE INCLUIDO 27030 KA(1) PUENTE CON TAPON NEGRO PARA CISTOSCOPIO 270016(1) PUENTE DE ALARGUE CON TAPON PARA CISTOSCOPIO 27033 F (1) RECIPIENTE CON TAPA PERFORADO PARA INSTRUMENTAL Estado: Bueno Placa anterior: 000008798 Material: ACERO INOXIDABLE Color: PLATEADO Referencia:  Observacion: RESECTOSCOPIO PEDIATRICO  Placa padre: Tipo adquisicion: Entidad</v>
      </c>
      <c r="G6700" s="5"/>
    </row>
    <row r="6701" spans="1:7" ht="58.5" customHeight="1" x14ac:dyDescent="0.25">
      <c r="A6701" s="5" t="str">
        <f>"I0004984"</f>
        <v>I0004984</v>
      </c>
      <c r="B6701" s="5" t="str">
        <f>"CLAMP PAIR"</f>
        <v>CLAMP PAIR</v>
      </c>
      <c r="C6701" s="6">
        <v>29000</v>
      </c>
      <c r="D6701" s="5"/>
      <c r="E6701" s="5" t="str">
        <f t="shared" si="321"/>
        <v>INSTRUMENTACION-DIANA CAICEDO-DIANA DIAZ</v>
      </c>
      <c r="F6701" s="5" t="str">
        <f>"Descripcion: CLAMP PAIR Estado: Bueno Placa anterior: 000016115 Material: ACERO INOXIDABLE Color: PLATEADO Referencia:  Observacion:  Placa padre: Tipo adquisicion: Entidad"</f>
        <v>Descripcion: CLAMP PAIR Estado: Bueno Placa anterior: 000016115 Material: ACERO INOXIDABLE Color: PLATEADO Referencia:  Observacion:  Placa padre: Tipo adquisicion: Entidad</v>
      </c>
      <c r="G6701" s="5"/>
    </row>
    <row r="6702" spans="1:7" ht="58.5" customHeight="1" x14ac:dyDescent="0.25">
      <c r="A6702" s="5" t="str">
        <f>"I0004985"</f>
        <v>I0004985</v>
      </c>
      <c r="B6702" s="5" t="str">
        <f>"CLAMP PAIR"</f>
        <v>CLAMP PAIR</v>
      </c>
      <c r="C6702" s="6">
        <v>29000</v>
      </c>
      <c r="D6702" s="5"/>
      <c r="E6702" s="5" t="str">
        <f t="shared" si="321"/>
        <v>INSTRUMENTACION-DIANA CAICEDO-DIANA DIAZ</v>
      </c>
      <c r="F6702" s="5" t="str">
        <f>"Descripcion: CLAMP PAIR Estado: Bueno Placa anterior: 000016116 Material: ACERO INOXIDABLE Color: PLATEADO Referencia:  Observacion:  Placa padre: Tipo adquisicion: Entidad"</f>
        <v>Descripcion: CLAMP PAIR Estado: Bueno Placa anterior: 000016116 Material: ACERO INOXIDABLE Color: PLATEADO Referencia:  Observacion:  Placa padre: Tipo adquisicion: Entidad</v>
      </c>
      <c r="G6702" s="5"/>
    </row>
    <row r="6703" spans="1:7" ht="58.5" customHeight="1" x14ac:dyDescent="0.25">
      <c r="A6703" s="5" t="str">
        <f>"I0004988"</f>
        <v>I0004988</v>
      </c>
      <c r="B6703" s="5" t="str">
        <f>"CLAMP PAIR"</f>
        <v>CLAMP PAIR</v>
      </c>
      <c r="C6703" s="6">
        <v>29000</v>
      </c>
      <c r="D6703" s="5"/>
      <c r="E6703" s="5" t="str">
        <f t="shared" si="321"/>
        <v>INSTRUMENTACION-DIANA CAICEDO-DIANA DIAZ</v>
      </c>
      <c r="F6703" s="5" t="str">
        <f>"Descripcion: CLAMP PAIR Estado: Bueno Placa anterior: 000016119 Material: ACERO INOXIDABLE Color: PLATEADO Referencia:  Observacion:  Placa padre: Tipo adquisicion: Entidad"</f>
        <v>Descripcion: CLAMP PAIR Estado: Bueno Placa anterior: 000016119 Material: ACERO INOXIDABLE Color: PLATEADO Referencia:  Observacion:  Placa padre: Tipo adquisicion: Entidad</v>
      </c>
      <c r="G6703" s="5"/>
    </row>
    <row r="6704" spans="1:7" ht="58.5" customHeight="1" x14ac:dyDescent="0.25">
      <c r="A6704" s="5" t="str">
        <f>"I0004989"</f>
        <v>I0004989</v>
      </c>
      <c r="B6704" s="5" t="str">
        <f>"CLAMP PAIR"</f>
        <v>CLAMP PAIR</v>
      </c>
      <c r="C6704" s="6">
        <v>29000</v>
      </c>
      <c r="D6704" s="5"/>
      <c r="E6704" s="5" t="str">
        <f t="shared" si="321"/>
        <v>INSTRUMENTACION-DIANA CAICEDO-DIANA DIAZ</v>
      </c>
      <c r="F6704" s="5" t="str">
        <f>"Descripcion: CLAMP PAIR Estado: Bueno Placa anterior: 000016120 Material: ACERO INOXIDABLE Color: PLATEADO Referencia:  Observacion:  Placa padre: Tipo adquisicion: Entidad"</f>
        <v>Descripcion: CLAMP PAIR Estado: Bueno Placa anterior: 000016120 Material: ACERO INOXIDABLE Color: PLATEADO Referencia:  Observacion:  Placa padre: Tipo adquisicion: Entidad</v>
      </c>
      <c r="G6704" s="5"/>
    </row>
    <row r="6705" spans="1:7" ht="58.5" customHeight="1" x14ac:dyDescent="0.25">
      <c r="A6705" s="5" t="str">
        <f>"I0004990"</f>
        <v>I0004990</v>
      </c>
      <c r="B6705" s="5" t="str">
        <f t="shared" ref="B6705:B6713" si="322">"CLAMP INTESTINAL"</f>
        <v>CLAMP INTESTINAL</v>
      </c>
      <c r="C6705" s="6">
        <v>15000</v>
      </c>
      <c r="D6705" s="5"/>
      <c r="E6705" s="5" t="str">
        <f t="shared" si="321"/>
        <v>INSTRUMENTACION-DIANA CAICEDO-DIANA DIAZ</v>
      </c>
      <c r="F6705" s="5" t="str">
        <f>"Descripcion: CLAMP INTESTINAL RECTO Estado: Bueno Placa anterior: 000015910 Material: ACERO INOXIDABLE Color: PLATEADO Referencia:  Observacion:  Placa padre: Tipo adquisicion: Entidad"</f>
        <v>Descripcion: CLAMP INTESTINAL RECTO Estado: Bueno Placa anterior: 000015910 Material: ACERO INOXIDABLE Color: PLATEADO Referencia:  Observacion:  Placa padre: Tipo adquisicion: Entidad</v>
      </c>
      <c r="G6705" s="5"/>
    </row>
    <row r="6706" spans="1:7" ht="58.5" customHeight="1" x14ac:dyDescent="0.25">
      <c r="A6706" s="5" t="str">
        <f>"I0004991"</f>
        <v>I0004991</v>
      </c>
      <c r="B6706" s="5" t="str">
        <f t="shared" si="322"/>
        <v>CLAMP INTESTINAL</v>
      </c>
      <c r="C6706" s="6">
        <v>15000</v>
      </c>
      <c r="D6706" s="5"/>
      <c r="E6706" s="5" t="str">
        <f t="shared" si="321"/>
        <v>INSTRUMENTACION-DIANA CAICEDO-DIANA DIAZ</v>
      </c>
      <c r="F6706" s="5" t="str">
        <f>"Descripcion: CLAMP INTESTINAL RECTO Estado: Bueno Placa anterior: 000015911 Material: ACERO INOXIDABLE Color: PLATEADO Referencia:  Observacion:  Placa padre: Tipo adquisicion: Entidad"</f>
        <v>Descripcion: CLAMP INTESTINAL RECTO Estado: Bueno Placa anterior: 000015911 Material: ACERO INOXIDABLE Color: PLATEADO Referencia:  Observacion:  Placa padre: Tipo adquisicion: Entidad</v>
      </c>
      <c r="G6706" s="5"/>
    </row>
    <row r="6707" spans="1:7" ht="58.5" customHeight="1" x14ac:dyDescent="0.25">
      <c r="A6707" s="5" t="str">
        <f>"I0004992"</f>
        <v>I0004992</v>
      </c>
      <c r="B6707" s="5" t="str">
        <f t="shared" si="322"/>
        <v>CLAMP INTESTINAL</v>
      </c>
      <c r="C6707" s="6">
        <v>15000</v>
      </c>
      <c r="D6707" s="5"/>
      <c r="E6707" s="5" t="str">
        <f t="shared" si="321"/>
        <v>INSTRUMENTACION-DIANA CAICEDO-DIANA DIAZ</v>
      </c>
      <c r="F6707" s="5" t="str">
        <f>"Descripcion: CLAMP INTESTINAL RECTO Estado: Bueno Placa anterior: 000015912 Material: ACERO INOXIDABLE Color: PLATEADO Referencia:  Observacion:  Placa padre: Tipo adquisicion: Entidad"</f>
        <v>Descripcion: CLAMP INTESTINAL RECTO Estado: Bueno Placa anterior: 000015912 Material: ACERO INOXIDABLE Color: PLATEADO Referencia:  Observacion:  Placa padre: Tipo adquisicion: Entidad</v>
      </c>
      <c r="G6707" s="5"/>
    </row>
    <row r="6708" spans="1:7" ht="58.5" customHeight="1" x14ac:dyDescent="0.25">
      <c r="A6708" s="5" t="str">
        <f>"I0004993"</f>
        <v>I0004993</v>
      </c>
      <c r="B6708" s="5" t="str">
        <f t="shared" si="322"/>
        <v>CLAMP INTESTINAL</v>
      </c>
      <c r="C6708" s="6">
        <v>15000</v>
      </c>
      <c r="D6708" s="5"/>
      <c r="E6708" s="5" t="str">
        <f t="shared" si="321"/>
        <v>INSTRUMENTACION-DIANA CAICEDO-DIANA DIAZ</v>
      </c>
      <c r="F6708" s="5" t="str">
        <f>"Descripcion: CLAMP INTESTINAL RECTO Estado: Bueno Placa anterior: 000015914 Material: ACERO INOXIDABLE Color: PLATEADO Referencia:  Observacion:  Placa padre: Tipo adquisicion: Entidad"</f>
        <v>Descripcion: CLAMP INTESTINAL RECTO Estado: Bueno Placa anterior: 000015914 Material: ACERO INOXIDABLE Color: PLATEADO Referencia:  Observacion:  Placa padre: Tipo adquisicion: Entidad</v>
      </c>
      <c r="G6708" s="5"/>
    </row>
    <row r="6709" spans="1:7" ht="58.5" customHeight="1" x14ac:dyDescent="0.25">
      <c r="A6709" s="5" t="str">
        <f>"I0004994"</f>
        <v>I0004994</v>
      </c>
      <c r="B6709" s="5" t="str">
        <f t="shared" si="322"/>
        <v>CLAMP INTESTINAL</v>
      </c>
      <c r="C6709" s="6">
        <v>15000</v>
      </c>
      <c r="D6709" s="5"/>
      <c r="E6709" s="5" t="str">
        <f t="shared" si="321"/>
        <v>INSTRUMENTACION-DIANA CAICEDO-DIANA DIAZ</v>
      </c>
      <c r="F6709" s="5" t="str">
        <f>"Descripcion: CLAMP INTESTINAL RECTO Estado: Bueno Placa anterior: 000015915 Material: ACERO INOXIDABLE Color: PLATEADO Referencia:  Observacion:  Placa padre: Tipo adquisicion: Entidad"</f>
        <v>Descripcion: CLAMP INTESTINAL RECTO Estado: Bueno Placa anterior: 000015915 Material: ACERO INOXIDABLE Color: PLATEADO Referencia:  Observacion:  Placa padre: Tipo adquisicion: Entidad</v>
      </c>
      <c r="G6709" s="5"/>
    </row>
    <row r="6710" spans="1:7" ht="58.5" customHeight="1" x14ac:dyDescent="0.25">
      <c r="A6710" s="5" t="str">
        <f>"I0004995"</f>
        <v>I0004995</v>
      </c>
      <c r="B6710" s="5" t="str">
        <f t="shared" si="322"/>
        <v>CLAMP INTESTINAL</v>
      </c>
      <c r="C6710" s="6">
        <v>15000</v>
      </c>
      <c r="D6710" s="5"/>
      <c r="E6710" s="5" t="str">
        <f t="shared" si="321"/>
        <v>INSTRUMENTACION-DIANA CAICEDO-DIANA DIAZ</v>
      </c>
      <c r="F6710" s="5" t="str">
        <f>"Descripcion: CLAMP INTESTINAL RECTO Estado: Bueno Placa anterior: 000015916 Material: ACERO INOXIDABLE Color: PLATEADO Referencia:  Observacion:  Placa padre: Tipo adquisicion: Entidad"</f>
        <v>Descripcion: CLAMP INTESTINAL RECTO Estado: Bueno Placa anterior: 000015916 Material: ACERO INOXIDABLE Color: PLATEADO Referencia:  Observacion:  Placa padre: Tipo adquisicion: Entidad</v>
      </c>
      <c r="G6710" s="5"/>
    </row>
    <row r="6711" spans="1:7" ht="58.5" customHeight="1" x14ac:dyDescent="0.25">
      <c r="A6711" s="5" t="str">
        <f>"I0004996"</f>
        <v>I0004996</v>
      </c>
      <c r="B6711" s="5" t="str">
        <f t="shared" si="322"/>
        <v>CLAMP INTESTINAL</v>
      </c>
      <c r="C6711" s="6">
        <v>15000</v>
      </c>
      <c r="D6711" s="5"/>
      <c r="E6711" s="5" t="str">
        <f t="shared" si="321"/>
        <v>INSTRUMENTACION-DIANA CAICEDO-DIANA DIAZ</v>
      </c>
      <c r="F6711" s="5" t="str">
        <f>"Descripcion: CLAMP INTESTINAL BAYONETA Estado: Bueno Placa anterior: 000015918 Material: ACERO INOXIDABLE Color: PLATEADO Referencia:  Observacion:  Placa padre: Tipo adquisicion: Entidad"</f>
        <v>Descripcion: CLAMP INTESTINAL BAYONETA Estado: Bueno Placa anterior: 000015918 Material: ACERO INOXIDABLE Color: PLATEADO Referencia:  Observacion:  Placa padre: Tipo adquisicion: Entidad</v>
      </c>
      <c r="G6711" s="5"/>
    </row>
    <row r="6712" spans="1:7" ht="58.5" customHeight="1" x14ac:dyDescent="0.25">
      <c r="A6712" s="5" t="str">
        <f>"I0004997"</f>
        <v>I0004997</v>
      </c>
      <c r="B6712" s="5" t="str">
        <f t="shared" si="322"/>
        <v>CLAMP INTESTINAL</v>
      </c>
      <c r="C6712" s="6">
        <v>15000</v>
      </c>
      <c r="D6712" s="5"/>
      <c r="E6712" s="5" t="str">
        <f t="shared" si="321"/>
        <v>INSTRUMENTACION-DIANA CAICEDO-DIANA DIAZ</v>
      </c>
      <c r="F6712" s="5" t="str">
        <f>"Descripcion: CLAMP INTESTINAL BAYONETA Estado: Bueno Placa anterior: 000015919 Material: ACERO INOXIDABLE Color: PLATEADO Referencia:  Observacion:  Placa padre: Tipo adquisicion: Entidad"</f>
        <v>Descripcion: CLAMP INTESTINAL BAYONETA Estado: Bueno Placa anterior: 000015919 Material: ACERO INOXIDABLE Color: PLATEADO Referencia:  Observacion:  Placa padre: Tipo adquisicion: Entidad</v>
      </c>
      <c r="G6712" s="5"/>
    </row>
    <row r="6713" spans="1:7" ht="58.5" customHeight="1" x14ac:dyDescent="0.25">
      <c r="A6713" s="5" t="str">
        <f>"I0004998"</f>
        <v>I0004998</v>
      </c>
      <c r="B6713" s="5" t="str">
        <f t="shared" si="322"/>
        <v>CLAMP INTESTINAL</v>
      </c>
      <c r="C6713" s="6">
        <v>15000</v>
      </c>
      <c r="D6713" s="5"/>
      <c r="E6713" s="5" t="str">
        <f t="shared" si="321"/>
        <v>INSTRUMENTACION-DIANA CAICEDO-DIANA DIAZ</v>
      </c>
      <c r="F6713" s="5" t="str">
        <f>"Descripcion: CLAMP INTESTINAL BAYONETA Estado: Bueno Placa anterior: 000015920 Material: ACERO INOXIDABLE Color: PLATEADO Referencia:  Observacion:  Placa padre: Tipo adquisicion: Entidad"</f>
        <v>Descripcion: CLAMP INTESTINAL BAYONETA Estado: Bueno Placa anterior: 000015920 Material: ACERO INOXIDABLE Color: PLATEADO Referencia:  Observacion:  Placa padre: Tipo adquisicion: Entidad</v>
      </c>
      <c r="G6713" s="5"/>
    </row>
    <row r="6714" spans="1:7" ht="58.5" customHeight="1" x14ac:dyDescent="0.25">
      <c r="A6714" s="5" t="str">
        <f>"I0004999"</f>
        <v>I0004999</v>
      </c>
      <c r="B6714" s="5" t="str">
        <f>"CLAMP VASCULAR"</f>
        <v>CLAMP VASCULAR</v>
      </c>
      <c r="C6714" s="6">
        <v>8732</v>
      </c>
      <c r="D6714" s="5"/>
      <c r="E6714" s="5" t="str">
        <f t="shared" si="321"/>
        <v>INSTRUMENTACION-DIANA CAICEDO-DIANA DIAZ</v>
      </c>
      <c r="F6714" s="5" t="str">
        <f>"Descripcion: CLAMP VASCULAR DEBAKEY Estado: Bueno Placa anterior: 000016217 Material: ACERO INOXIDABLE Color: PLATEADO Referencia:  Observacion:  Placa padre: Tipo adquisicion: Entidad"</f>
        <v>Descripcion: CLAMP VASCULAR DEBAKEY Estado: Bueno Placa anterior: 000016217 Material: ACERO INOXIDABLE Color: PLATEADO Referencia:  Observacion:  Placa padre: Tipo adquisicion: Entidad</v>
      </c>
      <c r="G6714" s="5"/>
    </row>
    <row r="6715" spans="1:7" ht="58.5" customHeight="1" x14ac:dyDescent="0.25">
      <c r="A6715" s="5" t="str">
        <f>"I0005000"</f>
        <v>I0005000</v>
      </c>
      <c r="B6715" s="5" t="str">
        <f>"CLAMP VASCULAR"</f>
        <v>CLAMP VASCULAR</v>
      </c>
      <c r="C6715" s="6">
        <v>8732</v>
      </c>
      <c r="D6715" s="5"/>
      <c r="E6715" s="5" t="str">
        <f t="shared" si="321"/>
        <v>INSTRUMENTACION-DIANA CAICEDO-DIANA DIAZ</v>
      </c>
      <c r="F6715" s="5" t="str">
        <f>"Descripcion: CLAMP DEBAKEY VASCULAR Estado: Bueno Placa anterior: 000016218 Material: ACERO INOXIDABLE Color: PLATEADO Referencia:  Observacion:  Placa padre: Tipo adquisicion: Entidad"</f>
        <v>Descripcion: CLAMP DEBAKEY VASCULAR Estado: Bueno Placa anterior: 000016218 Material: ACERO INOXIDABLE Color: PLATEADO Referencia:  Observacion:  Placa padre: Tipo adquisicion: Entidad</v>
      </c>
      <c r="G6715" s="5"/>
    </row>
    <row r="6716" spans="1:7" ht="58.5" customHeight="1" x14ac:dyDescent="0.25">
      <c r="A6716" s="5" t="str">
        <f>"I0005001"</f>
        <v>I0005001</v>
      </c>
      <c r="B6716" s="5" t="str">
        <f>"CLAMP VASCULAR"</f>
        <v>CLAMP VASCULAR</v>
      </c>
      <c r="C6716" s="6">
        <v>8732</v>
      </c>
      <c r="D6716" s="5"/>
      <c r="E6716" s="5" t="str">
        <f t="shared" si="321"/>
        <v>INSTRUMENTACION-DIANA CAICEDO-DIANA DIAZ</v>
      </c>
      <c r="F6716" s="5" t="str">
        <f>"Descripcion: CLAMP DEBAKEY VASCULAR Estado: Bueno Placa anterior: 000016219 Material: ACERO INOXIDABLE Color: PLATEADO Referencia:  Observacion:  Placa padre: Tipo adquisicion: Entidad"</f>
        <v>Descripcion: CLAMP DEBAKEY VASCULAR Estado: Bueno Placa anterior: 000016219 Material: ACERO INOXIDABLE Color: PLATEADO Referencia:  Observacion:  Placa padre: Tipo adquisicion: Entidad</v>
      </c>
      <c r="G6716" s="5"/>
    </row>
    <row r="6717" spans="1:7" ht="58.5" customHeight="1" x14ac:dyDescent="0.25">
      <c r="A6717" s="5" t="str">
        <f>"I0005002"</f>
        <v>I0005002</v>
      </c>
      <c r="B6717" s="5" t="str">
        <f>"CLAMP VASCULAR SATISKY"</f>
        <v>CLAMP VASCULAR SATISKY</v>
      </c>
      <c r="C6717" s="6">
        <v>8732</v>
      </c>
      <c r="D6717" s="5"/>
      <c r="E6717" s="5" t="str">
        <f t="shared" si="321"/>
        <v>INSTRUMENTACION-DIANA CAICEDO-DIANA DIAZ</v>
      </c>
      <c r="F6717" s="5" t="str">
        <f>"Descripcion: CLAMP VASCULAR SATYSKY Estado: Bueno Placa anterior: 000016220 Material: ACERO INOXIDABLE Color: PLATEADO Referencia:  Observacion:  Placa padre: Tipo adquisicion: Entidad"</f>
        <v>Descripcion: CLAMP VASCULAR SATYSKY Estado: Bueno Placa anterior: 000016220 Material: ACERO INOXIDABLE Color: PLATEADO Referencia:  Observacion:  Placa padre: Tipo adquisicion: Entidad</v>
      </c>
      <c r="G6717" s="5"/>
    </row>
    <row r="6718" spans="1:7" ht="58.5" customHeight="1" x14ac:dyDescent="0.25">
      <c r="A6718" s="5" t="str">
        <f>"I0005003"</f>
        <v>I0005003</v>
      </c>
      <c r="B6718" s="5" t="str">
        <f t="shared" ref="B6718:B6729" si="323">"CLAMP BULDOG"</f>
        <v>CLAMP BULDOG</v>
      </c>
      <c r="C6718" s="6">
        <v>1416</v>
      </c>
      <c r="D6718" s="5"/>
      <c r="E6718" s="5" t="str">
        <f t="shared" si="321"/>
        <v>INSTRUMENTACION-DIANA CAICEDO-DIANA DIAZ</v>
      </c>
      <c r="F6718" s="5" t="str">
        <f>"Descripcion: CLAMP BULDOG Estado: Bueno Placa anterior: 000016227 Material: ACERO INOXIDABLE Color: PLATEADO Referencia:  Observacion:  Placa padre: Tipo adquisicion: Entidad"</f>
        <v>Descripcion: CLAMP BULDOG Estado: Bueno Placa anterior: 000016227 Material: ACERO INOXIDABLE Color: PLATEADO Referencia:  Observacion:  Placa padre: Tipo adquisicion: Entidad</v>
      </c>
      <c r="G6718" s="5"/>
    </row>
    <row r="6719" spans="1:7" ht="58.5" customHeight="1" x14ac:dyDescent="0.25">
      <c r="A6719" s="5" t="str">
        <f>"I0005004"</f>
        <v>I0005004</v>
      </c>
      <c r="B6719" s="5" t="str">
        <f t="shared" si="323"/>
        <v>CLAMP BULDOG</v>
      </c>
      <c r="C6719" s="6">
        <v>1416</v>
      </c>
      <c r="D6719" s="5"/>
      <c r="E6719" s="5" t="str">
        <f t="shared" si="321"/>
        <v>INSTRUMENTACION-DIANA CAICEDO-DIANA DIAZ</v>
      </c>
      <c r="F6719" s="5" t="str">
        <f>"Descripcion: CLAMP BULDOG Estado: Bueno Placa anterior: 000016228 Material: ACERO INOXIDABLE Color: PLATEADO Referencia:  Observacion:  Placa padre: Tipo adquisicion: Entidad"</f>
        <v>Descripcion: CLAMP BULDOG Estado: Bueno Placa anterior: 000016228 Material: ACERO INOXIDABLE Color: PLATEADO Referencia:  Observacion:  Placa padre: Tipo adquisicion: Entidad</v>
      </c>
      <c r="G6719" s="5"/>
    </row>
    <row r="6720" spans="1:7" ht="58.5" customHeight="1" x14ac:dyDescent="0.25">
      <c r="A6720" s="5" t="str">
        <f>"I0005005"</f>
        <v>I0005005</v>
      </c>
      <c r="B6720" s="5" t="str">
        <f t="shared" si="323"/>
        <v>CLAMP BULDOG</v>
      </c>
      <c r="C6720" s="6">
        <v>1416</v>
      </c>
      <c r="D6720" s="5"/>
      <c r="E6720" s="5" t="str">
        <f t="shared" si="321"/>
        <v>INSTRUMENTACION-DIANA CAICEDO-DIANA DIAZ</v>
      </c>
      <c r="F6720" s="5" t="str">
        <f>"Descripcion: CLAMP BULDOG Estado: Bueno Placa anterior: 000016229 Material: ACERO INOXIDABLE Color: PLATEADO Referencia:  Observacion:  Placa padre: Tipo adquisicion: Entidad"</f>
        <v>Descripcion: CLAMP BULDOG Estado: Bueno Placa anterior: 000016229 Material: ACERO INOXIDABLE Color: PLATEADO Referencia:  Observacion:  Placa padre: Tipo adquisicion: Entidad</v>
      </c>
      <c r="G6720" s="5"/>
    </row>
    <row r="6721" spans="1:7" ht="58.5" customHeight="1" x14ac:dyDescent="0.25">
      <c r="A6721" s="5" t="str">
        <f>"I0005006"</f>
        <v>I0005006</v>
      </c>
      <c r="B6721" s="5" t="str">
        <f t="shared" si="323"/>
        <v>CLAMP BULDOG</v>
      </c>
      <c r="C6721" s="6">
        <v>1416</v>
      </c>
      <c r="D6721" s="5"/>
      <c r="E6721" s="5" t="str">
        <f t="shared" si="321"/>
        <v>INSTRUMENTACION-DIANA CAICEDO-DIANA DIAZ</v>
      </c>
      <c r="F6721" s="5" t="str">
        <f>"Descripcion: CLAMP BULDOG Estado: Bueno Placa anterior: 000016230 Material: ACERO INOXIDABLE Color: PLATEADO Referencia:  Observacion:  Placa padre: Tipo adquisicion: Entidad"</f>
        <v>Descripcion: CLAMP BULDOG Estado: Bueno Placa anterior: 000016230 Material: ACERO INOXIDABLE Color: PLATEADO Referencia:  Observacion:  Placa padre: Tipo adquisicion: Entidad</v>
      </c>
      <c r="G6721" s="5"/>
    </row>
    <row r="6722" spans="1:7" ht="58.5" customHeight="1" x14ac:dyDescent="0.25">
      <c r="A6722" s="5" t="str">
        <f>"I0005007"</f>
        <v>I0005007</v>
      </c>
      <c r="B6722" s="5" t="str">
        <f t="shared" si="323"/>
        <v>CLAMP BULDOG</v>
      </c>
      <c r="C6722" s="6">
        <v>1416</v>
      </c>
      <c r="D6722" s="5"/>
      <c r="E6722" s="5" t="str">
        <f t="shared" si="321"/>
        <v>INSTRUMENTACION-DIANA CAICEDO-DIANA DIAZ</v>
      </c>
      <c r="F6722" s="5" t="str">
        <f>"Descripcion: CLAMP BULDOG Estado: Bueno Placa anterior: 000016231 Material: ACERO INOXIDABLE Color: PLATEADO Referencia:  Observacion:  Placa padre: Tipo adquisicion: Entidad"</f>
        <v>Descripcion: CLAMP BULDOG Estado: Bueno Placa anterior: 000016231 Material: ACERO INOXIDABLE Color: PLATEADO Referencia:  Observacion:  Placa padre: Tipo adquisicion: Entidad</v>
      </c>
      <c r="G6722" s="5"/>
    </row>
    <row r="6723" spans="1:7" ht="58.5" customHeight="1" x14ac:dyDescent="0.25">
      <c r="A6723" s="5" t="str">
        <f>"I0005008"</f>
        <v>I0005008</v>
      </c>
      <c r="B6723" s="5" t="str">
        <f t="shared" si="323"/>
        <v>CLAMP BULDOG</v>
      </c>
      <c r="C6723" s="6">
        <v>1416</v>
      </c>
      <c r="D6723" s="5"/>
      <c r="E6723" s="5" t="str">
        <f t="shared" si="321"/>
        <v>INSTRUMENTACION-DIANA CAICEDO-DIANA DIAZ</v>
      </c>
      <c r="F6723" s="5" t="str">
        <f>"Descripcion: CLAMP BULDOG Estado: Bueno Placa anterior: 000016232 Material: ACERO INOXIDABLE Color: PLATEADO Referencia:  Observacion:  Placa padre: Tipo adquisicion: Entidad"</f>
        <v>Descripcion: CLAMP BULDOG Estado: Bueno Placa anterior: 000016232 Material: ACERO INOXIDABLE Color: PLATEADO Referencia:  Observacion:  Placa padre: Tipo adquisicion: Entidad</v>
      </c>
      <c r="G6723" s="5"/>
    </row>
    <row r="6724" spans="1:7" ht="58.5" customHeight="1" x14ac:dyDescent="0.25">
      <c r="A6724" s="5" t="str">
        <f>"I0005009"</f>
        <v>I0005009</v>
      </c>
      <c r="B6724" s="5" t="str">
        <f t="shared" si="323"/>
        <v>CLAMP BULDOG</v>
      </c>
      <c r="C6724" s="6">
        <v>1416</v>
      </c>
      <c r="D6724" s="5"/>
      <c r="E6724" s="5" t="str">
        <f t="shared" si="321"/>
        <v>INSTRUMENTACION-DIANA CAICEDO-DIANA DIAZ</v>
      </c>
      <c r="F6724" s="5" t="str">
        <f>"Descripcion: CLAMP BULDOG Estado: Bueno Placa anterior: 000016233 Material: ACERO INOXIDABLE Color: PLATEADO Referencia:  Observacion:  Placa padre: Tipo adquisicion: Entidad"</f>
        <v>Descripcion: CLAMP BULDOG Estado: Bueno Placa anterior: 000016233 Material: ACERO INOXIDABLE Color: PLATEADO Referencia:  Observacion:  Placa padre: Tipo adquisicion: Entidad</v>
      </c>
      <c r="G6724" s="5"/>
    </row>
    <row r="6725" spans="1:7" ht="58.5" customHeight="1" x14ac:dyDescent="0.25">
      <c r="A6725" s="5" t="str">
        <f>"I0005010"</f>
        <v>I0005010</v>
      </c>
      <c r="B6725" s="5" t="str">
        <f t="shared" si="323"/>
        <v>CLAMP BULDOG</v>
      </c>
      <c r="C6725" s="6">
        <v>1416</v>
      </c>
      <c r="D6725" s="5"/>
      <c r="E6725" s="5" t="str">
        <f t="shared" si="321"/>
        <v>INSTRUMENTACION-DIANA CAICEDO-DIANA DIAZ</v>
      </c>
      <c r="F6725" s="5" t="str">
        <f>"Descripcion: CLAMP BULDOG Estado: Bueno Placa anterior: 000016234 Material: ACERO INOXIDABLE Color: PLATEADO Referencia:  Observacion:  Placa padre: Tipo adquisicion: Entidad"</f>
        <v>Descripcion: CLAMP BULDOG Estado: Bueno Placa anterior: 000016234 Material: ACERO INOXIDABLE Color: PLATEADO Referencia:  Observacion:  Placa padre: Tipo adquisicion: Entidad</v>
      </c>
      <c r="G6725" s="5"/>
    </row>
    <row r="6726" spans="1:7" ht="58.5" customHeight="1" x14ac:dyDescent="0.25">
      <c r="A6726" s="5" t="str">
        <f>"I0005011"</f>
        <v>I0005011</v>
      </c>
      <c r="B6726" s="5" t="str">
        <f t="shared" si="323"/>
        <v>CLAMP BULDOG</v>
      </c>
      <c r="C6726" s="6">
        <v>1416</v>
      </c>
      <c r="D6726" s="5"/>
      <c r="E6726" s="5" t="str">
        <f t="shared" si="321"/>
        <v>INSTRUMENTACION-DIANA CAICEDO-DIANA DIAZ</v>
      </c>
      <c r="F6726" s="5" t="str">
        <f>"Descripcion: CLAMP BULDOG Estado: Bueno Placa anterior: 000016235 Material: ACERO INOXIDABLE Color: PLATEADO Referencia:  Observacion:  Placa padre: Tipo adquisicion: Entidad"</f>
        <v>Descripcion: CLAMP BULDOG Estado: Bueno Placa anterior: 000016235 Material: ACERO INOXIDABLE Color: PLATEADO Referencia:  Observacion:  Placa padre: Tipo adquisicion: Entidad</v>
      </c>
      <c r="G6726" s="5"/>
    </row>
    <row r="6727" spans="1:7" ht="58.5" customHeight="1" x14ac:dyDescent="0.25">
      <c r="A6727" s="5" t="str">
        <f>"I0005012"</f>
        <v>I0005012</v>
      </c>
      <c r="B6727" s="5" t="str">
        <f t="shared" si="323"/>
        <v>CLAMP BULDOG</v>
      </c>
      <c r="C6727" s="6">
        <v>1416</v>
      </c>
      <c r="D6727" s="5"/>
      <c r="E6727" s="5" t="str">
        <f t="shared" si="321"/>
        <v>INSTRUMENTACION-DIANA CAICEDO-DIANA DIAZ</v>
      </c>
      <c r="F6727" s="5" t="str">
        <f>"Descripcion: CLAMP BULDOG Estado: Bueno Placa anterior: 000016236 Material: ACERO INOXIDABLE Color: PLATEADO Referencia:  Observacion:  Placa padre: Tipo adquisicion: Entidad"</f>
        <v>Descripcion: CLAMP BULDOG Estado: Bueno Placa anterior: 000016236 Material: ACERO INOXIDABLE Color: PLATEADO Referencia:  Observacion:  Placa padre: Tipo adquisicion: Entidad</v>
      </c>
      <c r="G6727" s="5"/>
    </row>
    <row r="6728" spans="1:7" ht="58.5" customHeight="1" x14ac:dyDescent="0.25">
      <c r="A6728" s="5" t="str">
        <f>"I0005013"</f>
        <v>I0005013</v>
      </c>
      <c r="B6728" s="5" t="str">
        <f t="shared" si="323"/>
        <v>CLAMP BULDOG</v>
      </c>
      <c r="C6728" s="6">
        <v>1416</v>
      </c>
      <c r="D6728" s="5"/>
      <c r="E6728" s="5" t="str">
        <f t="shared" si="321"/>
        <v>INSTRUMENTACION-DIANA CAICEDO-DIANA DIAZ</v>
      </c>
      <c r="F6728" s="5" t="str">
        <f>"Descripcion: CLAMP BULDOG Estado: Bueno Placa anterior: 000016237 Material: ACERO INOXIDABLE Color: PLATEADO Referencia:  Observacion:  Placa padre: Tipo adquisicion: Entidad"</f>
        <v>Descripcion: CLAMP BULDOG Estado: Bueno Placa anterior: 000016237 Material: ACERO INOXIDABLE Color: PLATEADO Referencia:  Observacion:  Placa padre: Tipo adquisicion: Entidad</v>
      </c>
      <c r="G6728" s="5"/>
    </row>
    <row r="6729" spans="1:7" ht="58.5" customHeight="1" x14ac:dyDescent="0.25">
      <c r="A6729" s="5" t="str">
        <f>"I0005014"</f>
        <v>I0005014</v>
      </c>
      <c r="B6729" s="5" t="str">
        <f t="shared" si="323"/>
        <v>CLAMP BULDOG</v>
      </c>
      <c r="C6729" s="6">
        <v>1416</v>
      </c>
      <c r="D6729" s="5"/>
      <c r="E6729" s="5" t="str">
        <f t="shared" si="321"/>
        <v>INSTRUMENTACION-DIANA CAICEDO-DIANA DIAZ</v>
      </c>
      <c r="F6729" s="5" t="str">
        <f>"Descripcion: CLAMP BULDOG Estado: Bueno Placa anterior: 000016238 Material: ACERO INOXIDABLE Color: PLATEADO Referencia:  Observacion:  Placa padre: Tipo adquisicion: Entidad"</f>
        <v>Descripcion: CLAMP BULDOG Estado: Bueno Placa anterior: 000016238 Material: ACERO INOXIDABLE Color: PLATEADO Referencia:  Observacion:  Placa padre: Tipo adquisicion: Entidad</v>
      </c>
      <c r="G6729" s="5"/>
    </row>
    <row r="6730" spans="1:7" ht="58.5" customHeight="1" x14ac:dyDescent="0.25">
      <c r="A6730" s="5" t="str">
        <f>"I0005015"</f>
        <v>I0005015</v>
      </c>
      <c r="B6730" s="5" t="str">
        <f t="shared" ref="B6730:B6736" si="324">"PINZA DE DUVAL"</f>
        <v>PINZA DE DUVAL</v>
      </c>
      <c r="C6730" s="6">
        <v>10153.879999999999</v>
      </c>
      <c r="D6730" s="5"/>
      <c r="E6730" s="5" t="str">
        <f t="shared" si="321"/>
        <v>INSTRUMENTACION-DIANA CAICEDO-DIANA DIAZ</v>
      </c>
      <c r="F6730" s="5" t="str">
        <f>"Descripcion: PINZAS DUVAL Estado: Bueno Placa anterior: 000016274 Material: ACERO INOXIDABLE Color: PLATEADO Referencia:  Observacion:  Placa padre: Tipo adquisicion: Entidad"</f>
        <v>Descripcion: PINZAS DUVAL Estado: Bueno Placa anterior: 000016274 Material: ACERO INOXIDABLE Color: PLATEADO Referencia:  Observacion:  Placa padre: Tipo adquisicion: Entidad</v>
      </c>
      <c r="G6730" s="5"/>
    </row>
    <row r="6731" spans="1:7" ht="58.5" customHeight="1" x14ac:dyDescent="0.25">
      <c r="A6731" s="5" t="str">
        <f>"I0005016"</f>
        <v>I0005016</v>
      </c>
      <c r="B6731" s="5" t="str">
        <f t="shared" si="324"/>
        <v>PINZA DE DUVAL</v>
      </c>
      <c r="C6731" s="6">
        <v>10153.879999999999</v>
      </c>
      <c r="D6731" s="5"/>
      <c r="E6731" s="5" t="str">
        <f t="shared" si="321"/>
        <v>INSTRUMENTACION-DIANA CAICEDO-DIANA DIAZ</v>
      </c>
      <c r="F6731" s="5" t="str">
        <f>"Descripcion: PINZAS DUVAL Estado: Bueno Placa anterior: 000016275 Material: ACERO INOXIDABLE Color: PLATEADO Referencia:  Observacion:  Placa padre: Tipo adquisicion: Entidad"</f>
        <v>Descripcion: PINZAS DUVAL Estado: Bueno Placa anterior: 000016275 Material: ACERO INOXIDABLE Color: PLATEADO Referencia:  Observacion:  Placa padre: Tipo adquisicion: Entidad</v>
      </c>
      <c r="G6731" s="5"/>
    </row>
    <row r="6732" spans="1:7" ht="58.5" customHeight="1" x14ac:dyDescent="0.25">
      <c r="A6732" s="5" t="str">
        <f>"I0005017"</f>
        <v>I0005017</v>
      </c>
      <c r="B6732" s="5" t="str">
        <f t="shared" si="324"/>
        <v>PINZA DE DUVAL</v>
      </c>
      <c r="C6732" s="6">
        <v>10153.879999999999</v>
      </c>
      <c r="D6732" s="5"/>
      <c r="E6732" s="5" t="str">
        <f t="shared" si="321"/>
        <v>INSTRUMENTACION-DIANA CAICEDO-DIANA DIAZ</v>
      </c>
      <c r="F6732" s="5" t="str">
        <f>"Descripcion: PINZAS DUVAL Estado: Bueno Placa anterior: 000016276 Material: ACERO INOXIDABLE Color: PLATEADO Referencia:  Observacion:  Placa padre: Tipo adquisicion: Entidad"</f>
        <v>Descripcion: PINZAS DUVAL Estado: Bueno Placa anterior: 000016276 Material: ACERO INOXIDABLE Color: PLATEADO Referencia:  Observacion:  Placa padre: Tipo adquisicion: Entidad</v>
      </c>
      <c r="G6732" s="5"/>
    </row>
    <row r="6733" spans="1:7" ht="58.5" customHeight="1" x14ac:dyDescent="0.25">
      <c r="A6733" s="5" t="str">
        <f>"I0005018"</f>
        <v>I0005018</v>
      </c>
      <c r="B6733" s="5" t="str">
        <f t="shared" si="324"/>
        <v>PINZA DE DUVAL</v>
      </c>
      <c r="C6733" s="6">
        <v>10153.879999999999</v>
      </c>
      <c r="D6733" s="5"/>
      <c r="E6733" s="5" t="str">
        <f t="shared" si="321"/>
        <v>INSTRUMENTACION-DIANA CAICEDO-DIANA DIAZ</v>
      </c>
      <c r="F6733" s="5" t="str">
        <f>"Descripcion: PINZAS DUVAL Estado: Bueno Placa anterior: 000016277 Material: ACERO INOXIDABLE Color: PLATEADO Referencia:  Observacion:  Placa padre: Tipo adquisicion: Entidad"</f>
        <v>Descripcion: PINZAS DUVAL Estado: Bueno Placa anterior: 000016277 Material: ACERO INOXIDABLE Color: PLATEADO Referencia:  Observacion:  Placa padre: Tipo adquisicion: Entidad</v>
      </c>
      <c r="G6733" s="5"/>
    </row>
    <row r="6734" spans="1:7" ht="58.5" customHeight="1" x14ac:dyDescent="0.25">
      <c r="A6734" s="5" t="str">
        <f>"I0005019"</f>
        <v>I0005019</v>
      </c>
      <c r="B6734" s="5" t="str">
        <f t="shared" si="324"/>
        <v>PINZA DE DUVAL</v>
      </c>
      <c r="C6734" s="6">
        <v>10153.879999999999</v>
      </c>
      <c r="D6734" s="5"/>
      <c r="E6734" s="5" t="str">
        <f t="shared" si="321"/>
        <v>INSTRUMENTACION-DIANA CAICEDO-DIANA DIAZ</v>
      </c>
      <c r="F6734" s="5" t="str">
        <f>"Descripcion: PINZAS DUVAL Estado: Bueno Placa anterior: 000016278 Material: ACERO INOXIDABLE Color: PLATEADO Referencia:  Observacion:  Placa padre: Tipo adquisicion: Entidad"</f>
        <v>Descripcion: PINZAS DUVAL Estado: Bueno Placa anterior: 000016278 Material: ACERO INOXIDABLE Color: PLATEADO Referencia:  Observacion:  Placa padre: Tipo adquisicion: Entidad</v>
      </c>
      <c r="G6734" s="5"/>
    </row>
    <row r="6735" spans="1:7" ht="58.5" customHeight="1" x14ac:dyDescent="0.25">
      <c r="A6735" s="5" t="str">
        <f>"I0005020"</f>
        <v>I0005020</v>
      </c>
      <c r="B6735" s="5" t="str">
        <f t="shared" si="324"/>
        <v>PINZA DE DUVAL</v>
      </c>
      <c r="C6735" s="6">
        <v>10153.879999999999</v>
      </c>
      <c r="D6735" s="5"/>
      <c r="E6735" s="5" t="str">
        <f t="shared" si="321"/>
        <v>INSTRUMENTACION-DIANA CAICEDO-DIANA DIAZ</v>
      </c>
      <c r="F6735" s="5" t="str">
        <f>"Descripcion: PINZAS DUVAL Estado: Bueno Placa anterior: 000016279 Material: ACERO INOXIDABLE Color: PLATEADO Referencia:  Observacion:  Placa padre: Tipo adquisicion: Entidad"</f>
        <v>Descripcion: PINZAS DUVAL Estado: Bueno Placa anterior: 000016279 Material: ACERO INOXIDABLE Color: PLATEADO Referencia:  Observacion:  Placa padre: Tipo adquisicion: Entidad</v>
      </c>
      <c r="G6735" s="5"/>
    </row>
    <row r="6736" spans="1:7" ht="58.5" customHeight="1" x14ac:dyDescent="0.25">
      <c r="A6736" s="5" t="str">
        <f>"I0005021"</f>
        <v>I0005021</v>
      </c>
      <c r="B6736" s="5" t="str">
        <f t="shared" si="324"/>
        <v>PINZA DE DUVAL</v>
      </c>
      <c r="C6736" s="6">
        <v>10153.879999999999</v>
      </c>
      <c r="D6736" s="5"/>
      <c r="E6736" s="5" t="str">
        <f t="shared" si="321"/>
        <v>INSTRUMENTACION-DIANA CAICEDO-DIANA DIAZ</v>
      </c>
      <c r="F6736" s="5" t="str">
        <f>"Descripcion: PINZAS DUVAL Estado: Bueno Placa anterior: 000016280 Material: ACERO INOXIDABLE Color: PLATEADO Referencia:  Observacion:  Placa padre: Tipo adquisicion: Entidad"</f>
        <v>Descripcion: PINZAS DUVAL Estado: Bueno Placa anterior: 000016280 Material: ACERO INOXIDABLE Color: PLATEADO Referencia:  Observacion:  Placa padre: Tipo adquisicion: Entidad</v>
      </c>
      <c r="G6736" s="5"/>
    </row>
    <row r="6737" spans="1:7" ht="58.5" customHeight="1" x14ac:dyDescent="0.25">
      <c r="A6737" s="5" t="str">
        <f>"I0005022"</f>
        <v>I0005022</v>
      </c>
      <c r="B6737" s="5" t="str">
        <f>"PINZA RANDALL"</f>
        <v>PINZA RANDALL</v>
      </c>
      <c r="C6737" s="6">
        <v>44080</v>
      </c>
      <c r="D6737" s="5"/>
      <c r="E6737" s="5" t="str">
        <f t="shared" si="321"/>
        <v>INSTRUMENTACION-DIANA CAICEDO-DIANA DIAZ</v>
      </c>
      <c r="F6737" s="5" t="str">
        <f>"Descripcion: PINZAS RANDAL  Estado: Bueno Placa anterior: 000016031 Material: ACERO INOXIDABLE Color: PLATEADO Referencia:  Observacion: PINZAS DE RANDALL  Placa padre: Tipo adquisicion: Entidad"</f>
        <v>Descripcion: PINZAS RANDAL  Estado: Bueno Placa anterior: 000016031 Material: ACERO INOXIDABLE Color: PLATEADO Referencia:  Observacion: PINZAS DE RANDALL  Placa padre: Tipo adquisicion: Entidad</v>
      </c>
      <c r="G6737" s="5"/>
    </row>
    <row r="6738" spans="1:7" ht="58.5" customHeight="1" x14ac:dyDescent="0.25">
      <c r="A6738" s="5" t="str">
        <f>"I0005023"</f>
        <v>I0005023</v>
      </c>
      <c r="B6738" s="5" t="str">
        <f>"PINZA RANDALL"</f>
        <v>PINZA RANDALL</v>
      </c>
      <c r="C6738" s="6">
        <v>44080</v>
      </c>
      <c r="D6738" s="5"/>
      <c r="E6738" s="5" t="str">
        <f t="shared" si="321"/>
        <v>INSTRUMENTACION-DIANA CAICEDO-DIANA DIAZ</v>
      </c>
      <c r="F6738" s="5" t="str">
        <f>"Descripcion: PINZAS RANDAL  Estado: Bueno Placa anterior: 000016033 Material: ACERO INOXIDABLE Color: PLATEADO Referencia:  Observacion: PINZAS DE RANDALL  Placa padre: Tipo adquisicion: Entidad"</f>
        <v>Descripcion: PINZAS RANDAL  Estado: Bueno Placa anterior: 000016033 Material: ACERO INOXIDABLE Color: PLATEADO Referencia:  Observacion: PINZAS DE RANDALL  Placa padre: Tipo adquisicion: Entidad</v>
      </c>
      <c r="G6738" s="5"/>
    </row>
    <row r="6739" spans="1:7" ht="58.5" customHeight="1" x14ac:dyDescent="0.25">
      <c r="A6739" s="5" t="str">
        <f>"I0005026"</f>
        <v>I0005026</v>
      </c>
      <c r="B6739" s="5" t="str">
        <f t="shared" ref="B6739:B6751" si="325">"DILATADOR BENIQUE"</f>
        <v>DILATADOR BENIQUE</v>
      </c>
      <c r="C6739" s="6">
        <v>120000</v>
      </c>
      <c r="D6739" s="5"/>
      <c r="E6739" s="5" t="str">
        <f t="shared" si="321"/>
        <v>INSTRUMENTACION-DIANA CAICEDO-DIANA DIAZ</v>
      </c>
      <c r="F6739" s="5" t="str">
        <f>"Descripcion: BENIQUES Estado: Bueno Placa anterior: 000016283 Material: ACERO INOXIDABLE Color: PLATEADO Referencia:  Observacion:  Placa padre: Tipo adquisicion: Entidad"</f>
        <v>Descripcion: BENIQUES Estado: Bueno Placa anterior: 000016283 Material: ACERO INOXIDABLE Color: PLATEADO Referencia:  Observacion:  Placa padre: Tipo adquisicion: Entidad</v>
      </c>
      <c r="G6739" s="5"/>
    </row>
    <row r="6740" spans="1:7" ht="58.5" customHeight="1" x14ac:dyDescent="0.25">
      <c r="A6740" s="5" t="str">
        <f>"I0005027"</f>
        <v>I0005027</v>
      </c>
      <c r="B6740" s="5" t="str">
        <f t="shared" si="325"/>
        <v>DILATADOR BENIQUE</v>
      </c>
      <c r="C6740" s="6">
        <v>120000</v>
      </c>
      <c r="D6740" s="5"/>
      <c r="E6740" s="5" t="str">
        <f t="shared" si="321"/>
        <v>INSTRUMENTACION-DIANA CAICEDO-DIANA DIAZ</v>
      </c>
      <c r="F6740" s="5" t="str">
        <f>"Descripcion: BENIQUES Estado: Bueno Placa anterior: 000016284 Material: ACERO INOXIDABLE Color: PLATEADO Referencia:  Observacion:  Placa padre: Tipo adquisicion: Entidad"</f>
        <v>Descripcion: BENIQUES Estado: Bueno Placa anterior: 000016284 Material: ACERO INOXIDABLE Color: PLATEADO Referencia:  Observacion:  Placa padre: Tipo adquisicion: Entidad</v>
      </c>
      <c r="G6740" s="5"/>
    </row>
    <row r="6741" spans="1:7" ht="58.5" customHeight="1" x14ac:dyDescent="0.25">
      <c r="A6741" s="5" t="str">
        <f>"I0005028"</f>
        <v>I0005028</v>
      </c>
      <c r="B6741" s="5" t="str">
        <f t="shared" si="325"/>
        <v>DILATADOR BENIQUE</v>
      </c>
      <c r="C6741" s="6">
        <v>120000</v>
      </c>
      <c r="D6741" s="5"/>
      <c r="E6741" s="5" t="str">
        <f t="shared" si="321"/>
        <v>INSTRUMENTACION-DIANA CAICEDO-DIANA DIAZ</v>
      </c>
      <c r="F6741" s="5" t="str">
        <f>"Descripcion: BENIQUES Estado: Bueno Placa anterior: 000016285 Material: ACERO INOXIDABLE Color: PLATEADO Referencia:  Observacion:  Placa padre: Tipo adquisicion: Entidad"</f>
        <v>Descripcion: BENIQUES Estado: Bueno Placa anterior: 000016285 Material: ACERO INOXIDABLE Color: PLATEADO Referencia:  Observacion:  Placa padre: Tipo adquisicion: Entidad</v>
      </c>
      <c r="G6741" s="5"/>
    </row>
    <row r="6742" spans="1:7" ht="58.5" customHeight="1" x14ac:dyDescent="0.25">
      <c r="A6742" s="5" t="str">
        <f>"I0005029"</f>
        <v>I0005029</v>
      </c>
      <c r="B6742" s="5" t="str">
        <f t="shared" si="325"/>
        <v>DILATADOR BENIQUE</v>
      </c>
      <c r="C6742" s="6">
        <v>120000</v>
      </c>
      <c r="D6742" s="5"/>
      <c r="E6742" s="5" t="str">
        <f t="shared" si="321"/>
        <v>INSTRUMENTACION-DIANA CAICEDO-DIANA DIAZ</v>
      </c>
      <c r="F6742" s="5" t="str">
        <f>"Descripcion: BENIQUES Estado: Bueno Placa anterior: 000016287 Material: ACERO INOXIDABLE Color: PLATEADO Referencia:  Observacion:  Placa padre: Tipo adquisicion: Entidad"</f>
        <v>Descripcion: BENIQUES Estado: Bueno Placa anterior: 000016287 Material: ACERO INOXIDABLE Color: PLATEADO Referencia:  Observacion:  Placa padre: Tipo adquisicion: Entidad</v>
      </c>
      <c r="G6742" s="5"/>
    </row>
    <row r="6743" spans="1:7" ht="58.5" customHeight="1" x14ac:dyDescent="0.25">
      <c r="A6743" s="5" t="str">
        <f>"I0005030"</f>
        <v>I0005030</v>
      </c>
      <c r="B6743" s="5" t="str">
        <f t="shared" si="325"/>
        <v>DILATADOR BENIQUE</v>
      </c>
      <c r="C6743" s="6">
        <v>120000</v>
      </c>
      <c r="D6743" s="5"/>
      <c r="E6743" s="5" t="str">
        <f t="shared" si="321"/>
        <v>INSTRUMENTACION-DIANA CAICEDO-DIANA DIAZ</v>
      </c>
      <c r="F6743" s="5" t="str">
        <f>"Descripcion: BENIQUES Estado: Bueno Placa anterior: 000016288 Material: ACERO INOXIDABLE Color: PLATEADO Referencia:  Observacion:  Placa padre: Tipo adquisicion: Entidad"</f>
        <v>Descripcion: BENIQUES Estado: Bueno Placa anterior: 000016288 Material: ACERO INOXIDABLE Color: PLATEADO Referencia:  Observacion:  Placa padre: Tipo adquisicion: Entidad</v>
      </c>
      <c r="G6743" s="5"/>
    </row>
    <row r="6744" spans="1:7" ht="58.5" customHeight="1" x14ac:dyDescent="0.25">
      <c r="A6744" s="5" t="str">
        <f>"I0005031"</f>
        <v>I0005031</v>
      </c>
      <c r="B6744" s="5" t="str">
        <f t="shared" si="325"/>
        <v>DILATADOR BENIQUE</v>
      </c>
      <c r="C6744" s="6">
        <v>120000</v>
      </c>
      <c r="D6744" s="5"/>
      <c r="E6744" s="5" t="str">
        <f t="shared" si="321"/>
        <v>INSTRUMENTACION-DIANA CAICEDO-DIANA DIAZ</v>
      </c>
      <c r="F6744" s="5" t="str">
        <f>"Descripcion: BENIQUES Estado: Bueno Placa anterior: 000016289 Material: ACERO INOXIDABLE Color: PLATEADO Referencia:  Observacion:  Placa padre: Tipo adquisicion: Entidad"</f>
        <v>Descripcion: BENIQUES Estado: Bueno Placa anterior: 000016289 Material: ACERO INOXIDABLE Color: PLATEADO Referencia:  Observacion:  Placa padre: Tipo adquisicion: Entidad</v>
      </c>
      <c r="G6744" s="5"/>
    </row>
    <row r="6745" spans="1:7" ht="58.5" customHeight="1" x14ac:dyDescent="0.25">
      <c r="A6745" s="5" t="str">
        <f>"I0005032"</f>
        <v>I0005032</v>
      </c>
      <c r="B6745" s="5" t="str">
        <f t="shared" si="325"/>
        <v>DILATADOR BENIQUE</v>
      </c>
      <c r="C6745" s="6">
        <v>120000</v>
      </c>
      <c r="D6745" s="5"/>
      <c r="E6745" s="5" t="str">
        <f t="shared" si="321"/>
        <v>INSTRUMENTACION-DIANA CAICEDO-DIANA DIAZ</v>
      </c>
      <c r="F6745" s="5" t="str">
        <f>"Descripcion: BENIQUES Estado: Bueno Placa anterior: 000016290 Material: ACERO INOXIDABLE Color: PLATEADO Referencia:  Observacion:  Placa padre: Tipo adquisicion: Entidad"</f>
        <v>Descripcion: BENIQUES Estado: Bueno Placa anterior: 000016290 Material: ACERO INOXIDABLE Color: PLATEADO Referencia:  Observacion:  Placa padre: Tipo adquisicion: Entidad</v>
      </c>
      <c r="G6745" s="5"/>
    </row>
    <row r="6746" spans="1:7" ht="58.5" customHeight="1" x14ac:dyDescent="0.25">
      <c r="A6746" s="5" t="str">
        <f>"I0005033"</f>
        <v>I0005033</v>
      </c>
      <c r="B6746" s="5" t="str">
        <f t="shared" si="325"/>
        <v>DILATADOR BENIQUE</v>
      </c>
      <c r="C6746" s="6">
        <v>120000</v>
      </c>
      <c r="D6746" s="5"/>
      <c r="E6746" s="5" t="str">
        <f t="shared" si="321"/>
        <v>INSTRUMENTACION-DIANA CAICEDO-DIANA DIAZ</v>
      </c>
      <c r="F6746" s="5" t="str">
        <f>"Descripcion: BENIQUES Estado: Bueno Placa anterior: 000016291 Material: ACERO INOXIDABLE Color: PLATEADO Referencia:  Observacion:  Placa padre: Tipo adquisicion: Entidad"</f>
        <v>Descripcion: BENIQUES Estado: Bueno Placa anterior: 000016291 Material: ACERO INOXIDABLE Color: PLATEADO Referencia:  Observacion:  Placa padre: Tipo adquisicion: Entidad</v>
      </c>
      <c r="G6746" s="5"/>
    </row>
    <row r="6747" spans="1:7" ht="58.5" customHeight="1" x14ac:dyDescent="0.25">
      <c r="A6747" s="5" t="str">
        <f>"I0005034"</f>
        <v>I0005034</v>
      </c>
      <c r="B6747" s="5" t="str">
        <f t="shared" si="325"/>
        <v>DILATADOR BENIQUE</v>
      </c>
      <c r="C6747" s="6">
        <v>120000</v>
      </c>
      <c r="D6747" s="5"/>
      <c r="E6747" s="5" t="str">
        <f t="shared" si="321"/>
        <v>INSTRUMENTACION-DIANA CAICEDO-DIANA DIAZ</v>
      </c>
      <c r="F6747" s="5" t="str">
        <f>"Descripcion: BENIQUES Estado: Bueno Placa anterior: 000016292 Material: ACERO INOXIDABLE Color: PLATEADO Referencia:  Observacion:  Placa padre: Tipo adquisicion: Entidad"</f>
        <v>Descripcion: BENIQUES Estado: Bueno Placa anterior: 000016292 Material: ACERO INOXIDABLE Color: PLATEADO Referencia:  Observacion:  Placa padre: Tipo adquisicion: Entidad</v>
      </c>
      <c r="G6747" s="5"/>
    </row>
    <row r="6748" spans="1:7" ht="58.5" customHeight="1" x14ac:dyDescent="0.25">
      <c r="A6748" s="5" t="str">
        <f>"I0005035"</f>
        <v>I0005035</v>
      </c>
      <c r="B6748" s="5" t="str">
        <f t="shared" si="325"/>
        <v>DILATADOR BENIQUE</v>
      </c>
      <c r="C6748" s="6">
        <v>120000</v>
      </c>
      <c r="D6748" s="5"/>
      <c r="E6748" s="5" t="str">
        <f t="shared" si="321"/>
        <v>INSTRUMENTACION-DIANA CAICEDO-DIANA DIAZ</v>
      </c>
      <c r="F6748" s="5" t="str">
        <f>"Descripcion: BENIQUES Estado: Bueno Placa anterior: 000016293 Material: ACERO INOXIDABLE Color: PLATEADO Referencia:  Observacion:  Placa padre: Tipo adquisicion: Entidad"</f>
        <v>Descripcion: BENIQUES Estado: Bueno Placa anterior: 000016293 Material: ACERO INOXIDABLE Color: PLATEADO Referencia:  Observacion:  Placa padre: Tipo adquisicion: Entidad</v>
      </c>
      <c r="G6748" s="5"/>
    </row>
    <row r="6749" spans="1:7" ht="58.5" customHeight="1" x14ac:dyDescent="0.25">
      <c r="A6749" s="5" t="str">
        <f>"I0005036"</f>
        <v>I0005036</v>
      </c>
      <c r="B6749" s="5" t="str">
        <f t="shared" si="325"/>
        <v>DILATADOR BENIQUE</v>
      </c>
      <c r="C6749" s="6">
        <v>120000</v>
      </c>
      <c r="D6749" s="5"/>
      <c r="E6749" s="5" t="str">
        <f t="shared" si="321"/>
        <v>INSTRUMENTACION-DIANA CAICEDO-DIANA DIAZ</v>
      </c>
      <c r="F6749" s="5" t="str">
        <f>"Descripcion: BENIQUES Estado: Bueno Placa anterior: 000016294 Material: ACERO INOXIDABLE Color: PLATEADO Referencia:  Observacion:  Placa padre: Tipo adquisicion: Entidad"</f>
        <v>Descripcion: BENIQUES Estado: Bueno Placa anterior: 000016294 Material: ACERO INOXIDABLE Color: PLATEADO Referencia:  Observacion:  Placa padre: Tipo adquisicion: Entidad</v>
      </c>
      <c r="G6749" s="5"/>
    </row>
    <row r="6750" spans="1:7" ht="58.5" customHeight="1" x14ac:dyDescent="0.25">
      <c r="A6750" s="5" t="str">
        <f>"I0005037"</f>
        <v>I0005037</v>
      </c>
      <c r="B6750" s="5" t="str">
        <f t="shared" si="325"/>
        <v>DILATADOR BENIQUE</v>
      </c>
      <c r="C6750" s="6">
        <v>120000</v>
      </c>
      <c r="D6750" s="5"/>
      <c r="E6750" s="5" t="str">
        <f t="shared" si="321"/>
        <v>INSTRUMENTACION-DIANA CAICEDO-DIANA DIAZ</v>
      </c>
      <c r="F6750" s="5" t="str">
        <f>"Descripcion: BENIQUES Estado: Bueno Placa anterior: 000016295 Material: ACERO INOXIDABLE Color: PLATEADO Referencia:  Observacion:  Placa padre: Tipo adquisicion: Entidad"</f>
        <v>Descripcion: BENIQUES Estado: Bueno Placa anterior: 000016295 Material: ACERO INOXIDABLE Color: PLATEADO Referencia:  Observacion:  Placa padre: Tipo adquisicion: Entidad</v>
      </c>
      <c r="G6750" s="5"/>
    </row>
    <row r="6751" spans="1:7" ht="58.5" customHeight="1" x14ac:dyDescent="0.25">
      <c r="A6751" s="5" t="str">
        <f>"I0005038"</f>
        <v>I0005038</v>
      </c>
      <c r="B6751" s="5" t="str">
        <f t="shared" si="325"/>
        <v>DILATADOR BENIQUE</v>
      </c>
      <c r="C6751" s="6">
        <v>120000</v>
      </c>
      <c r="D6751" s="5"/>
      <c r="E6751" s="5" t="str">
        <f t="shared" ref="E6751:E6814" si="326">"INSTRUMENTACION-DIANA CAICEDO-DIANA DIAZ"</f>
        <v>INSTRUMENTACION-DIANA CAICEDO-DIANA DIAZ</v>
      </c>
      <c r="F6751" s="5" t="str">
        <f>"Descripcion: BENIQUES Estado: Bueno Placa anterior: 000016296 Material: ACERO INOXIDABLE Color: PLATEADO Referencia:  Observacion:  Placa padre: Tipo adquisicion: Entidad"</f>
        <v>Descripcion: BENIQUES Estado: Bueno Placa anterior: 000016296 Material: ACERO INOXIDABLE Color: PLATEADO Referencia:  Observacion:  Placa padre: Tipo adquisicion: Entidad</v>
      </c>
      <c r="G6751" s="5"/>
    </row>
    <row r="6752" spans="1:7" ht="58.5" customHeight="1" x14ac:dyDescent="0.25">
      <c r="A6752" s="5" t="str">
        <f>"I0005041"</f>
        <v>I0005041</v>
      </c>
      <c r="B6752" s="5" t="str">
        <f>"PINZA ENTROPION"</f>
        <v>PINZA ENTROPION</v>
      </c>
      <c r="C6752" s="6">
        <v>36000</v>
      </c>
      <c r="D6752" s="5"/>
      <c r="E6752" s="5" t="str">
        <f t="shared" si="326"/>
        <v>INSTRUMENTACION-DIANA CAICEDO-DIANA DIAZ</v>
      </c>
      <c r="F6752" s="5" t="str">
        <f>"Descripcion: PINZAS ENTROPION Estado: Bueno Placa anterior: 000020506 Material: ACERO INOXIDABLE Color: PLATEADO Referencia:  Observacion:  Placa padre: Tipo adquisicion: Entidad"</f>
        <v>Descripcion: PINZAS ENTROPION Estado: Bueno Placa anterior: 000020506 Material: ACERO INOXIDABLE Color: PLATEADO Referencia:  Observacion:  Placa padre: Tipo adquisicion: Entidad</v>
      </c>
      <c r="G6752" s="5"/>
    </row>
    <row r="6753" spans="1:7" ht="58.5" customHeight="1" x14ac:dyDescent="0.25">
      <c r="A6753" s="5" t="str">
        <f>"I0005042"</f>
        <v>I0005042</v>
      </c>
      <c r="B6753" s="5" t="str">
        <f>"PINZA ENTROPION"</f>
        <v>PINZA ENTROPION</v>
      </c>
      <c r="C6753" s="6">
        <v>36000</v>
      </c>
      <c r="D6753" s="5"/>
      <c r="E6753" s="5" t="str">
        <f t="shared" si="326"/>
        <v>INSTRUMENTACION-DIANA CAICEDO-DIANA DIAZ</v>
      </c>
      <c r="F6753" s="5" t="str">
        <f>"Descripcion: PINZAS ENTROPION Estado: Bueno Placa anterior: 000020508 Material: ACERO INOXIDABLE Color: PLATEADO Referencia:  Observacion:  Placa padre: Tipo adquisicion: Entidad"</f>
        <v>Descripcion: PINZAS ENTROPION Estado: Bueno Placa anterior: 000020508 Material: ACERO INOXIDABLE Color: PLATEADO Referencia:  Observacion:  Placa padre: Tipo adquisicion: Entidad</v>
      </c>
      <c r="G6753" s="5"/>
    </row>
    <row r="6754" spans="1:7" ht="58.5" customHeight="1" x14ac:dyDescent="0.25">
      <c r="A6754" s="5" t="str">
        <f>"I0005043"</f>
        <v>I0005043</v>
      </c>
      <c r="B6754" s="5" t="str">
        <f>"PINZA ENTROPION"</f>
        <v>PINZA ENTROPION</v>
      </c>
      <c r="C6754" s="6">
        <v>36000</v>
      </c>
      <c r="D6754" s="5"/>
      <c r="E6754" s="5" t="str">
        <f t="shared" si="326"/>
        <v>INSTRUMENTACION-DIANA CAICEDO-DIANA DIAZ</v>
      </c>
      <c r="F6754" s="5" t="str">
        <f>"Descripcion: PINZAS ENTROPION Estado: Bueno Placa anterior: 000020509 Material: ACERO INOXIDABLE Color: PLATEADO Referencia:  Observacion:  Placa padre: Tipo adquisicion: Entidad"</f>
        <v>Descripcion: PINZAS ENTROPION Estado: Bueno Placa anterior: 000020509 Material: ACERO INOXIDABLE Color: PLATEADO Referencia:  Observacion:  Placa padre: Tipo adquisicion: Entidad</v>
      </c>
      <c r="G6754" s="5"/>
    </row>
    <row r="6755" spans="1:7" ht="58.5" customHeight="1" x14ac:dyDescent="0.25">
      <c r="A6755" s="5" t="str">
        <f>"I0005045"</f>
        <v>I0005045</v>
      </c>
      <c r="B6755" s="5" t="str">
        <f>"PINZA CASTRO VIEJO CON GARRA"</f>
        <v>PINZA CASTRO VIEJO CON GARRA</v>
      </c>
      <c r="C6755" s="6">
        <v>457040</v>
      </c>
      <c r="D6755" s="5"/>
      <c r="E6755" s="5" t="str">
        <f t="shared" si="326"/>
        <v>INSTRUMENTACION-DIANA CAICEDO-DIANA DIAZ</v>
      </c>
      <c r="F6755" s="5" t="str">
        <f>"Descripcion: PINZA CON GARRA CASTRO VIEJO Estado: Bueno Placa anterior: 000023295 Material: ACERO INOXIDABLE Color: PLATEADO Referencia:  Observacion:  Placa padre: Tipo adquisicion: Entidad"</f>
        <v>Descripcion: PINZA CON GARRA CASTRO VIEJO Estado: Bueno Placa anterior: 000023295 Material: ACERO INOXIDABLE Color: PLATEADO Referencia:  Observacion:  Placa padre: Tipo adquisicion: Entidad</v>
      </c>
      <c r="G6755" s="5"/>
    </row>
    <row r="6756" spans="1:7" ht="58.5" customHeight="1" x14ac:dyDescent="0.25">
      <c r="A6756" s="5" t="str">
        <f>"I0005046"</f>
        <v>I0005046</v>
      </c>
      <c r="B6756" s="5" t="str">
        <f>"PINZA CASTRO VIEJO CON GARRA"</f>
        <v>PINZA CASTRO VIEJO CON GARRA</v>
      </c>
      <c r="C6756" s="6">
        <v>457040</v>
      </c>
      <c r="D6756" s="5"/>
      <c r="E6756" s="5" t="str">
        <f t="shared" si="326"/>
        <v>INSTRUMENTACION-DIANA CAICEDO-DIANA DIAZ</v>
      </c>
      <c r="F6756" s="5" t="str">
        <f>"Descripcion: PINZA CON GARRA CASTRO VIEJO Estado: Bueno Placa anterior: 000023296 Material: ACERO INOXIDABLE Color: PLATEADO Referencia:  Observacion:  Placa padre: Tipo adquisicion: Entidad"</f>
        <v>Descripcion: PINZA CON GARRA CASTRO VIEJO Estado: Bueno Placa anterior: 000023296 Material: ACERO INOXIDABLE Color: PLATEADO Referencia:  Observacion:  Placa padre: Tipo adquisicion: Entidad</v>
      </c>
      <c r="G6756" s="5"/>
    </row>
    <row r="6757" spans="1:7" ht="58.5" customHeight="1" x14ac:dyDescent="0.25">
      <c r="A6757" s="5" t="str">
        <f>"I0005047"</f>
        <v>I0005047</v>
      </c>
      <c r="B6757" s="5" t="str">
        <f>"PINZA CASTRO VIEJO CON GARRA"</f>
        <v>PINZA CASTRO VIEJO CON GARRA</v>
      </c>
      <c r="C6757" s="6">
        <v>457040</v>
      </c>
      <c r="D6757" s="5"/>
      <c r="E6757" s="5" t="str">
        <f t="shared" si="326"/>
        <v>INSTRUMENTACION-DIANA CAICEDO-DIANA DIAZ</v>
      </c>
      <c r="F6757" s="5" t="str">
        <f>"Descripcion: PINZA CON GARRA CASTRO VIEJO Estado: Bueno Placa anterior: 000023297 Material: ACERO INOXIDABLE Color: PLATEADO Referencia:  Observacion:  Placa padre: Tipo adquisicion: Entidad"</f>
        <v>Descripcion: PINZA CON GARRA CASTRO VIEJO Estado: Bueno Placa anterior: 000023297 Material: ACERO INOXIDABLE Color: PLATEADO Referencia:  Observacion:  Placa padre: Tipo adquisicion: Entidad</v>
      </c>
      <c r="G6757" s="5"/>
    </row>
    <row r="6758" spans="1:7" ht="58.5" customHeight="1" x14ac:dyDescent="0.25">
      <c r="A6758" s="5" t="str">
        <f>"I0005049"</f>
        <v>I0005049</v>
      </c>
      <c r="B6758" s="5" t="str">
        <f>"PINZA DE CHALAZION"</f>
        <v>PINZA DE CHALAZION</v>
      </c>
      <c r="C6758" s="6">
        <v>36000</v>
      </c>
      <c r="D6758" s="5"/>
      <c r="E6758" s="5" t="str">
        <f t="shared" si="326"/>
        <v>INSTRUMENTACION-DIANA CAICEDO-DIANA DIAZ</v>
      </c>
      <c r="F6758" s="5" t="str">
        <f>"Descripcion: PINZA DESMARRE CHALAZIO Estado: Bueno Placa anterior: 000020502 Material: ACERO INOXIDABLE Color: PLATEADO Referencia:  Observacion:  Placa padre: Tipo adquisicion: Entidad"</f>
        <v>Descripcion: PINZA DESMARRE CHALAZIO Estado: Bueno Placa anterior: 000020502 Material: ACERO INOXIDABLE Color: PLATEADO Referencia:  Observacion:  Placa padre: Tipo adquisicion: Entidad</v>
      </c>
      <c r="G6758" s="5"/>
    </row>
    <row r="6759" spans="1:7" ht="58.5" customHeight="1" x14ac:dyDescent="0.25">
      <c r="A6759" s="5" t="str">
        <f>"I0005050"</f>
        <v>I0005050</v>
      </c>
      <c r="B6759" s="5" t="str">
        <f>"PINZA DE CHALAZION"</f>
        <v>PINZA DE CHALAZION</v>
      </c>
      <c r="C6759" s="6">
        <v>36000</v>
      </c>
      <c r="D6759" s="5"/>
      <c r="E6759" s="5" t="str">
        <f t="shared" si="326"/>
        <v>INSTRUMENTACION-DIANA CAICEDO-DIANA DIAZ</v>
      </c>
      <c r="F6759" s="5" t="str">
        <f>"Descripcion: PINZA DESMARRE CHALAZIO Estado: Bueno Placa anterior: 000020503 Material: ACERO INOXIDABLE Color: PLATEADO Referencia:  Observacion:  Placa padre: Tipo adquisicion: Entidad"</f>
        <v>Descripcion: PINZA DESMARRE CHALAZIO Estado: Bueno Placa anterior: 000020503 Material: ACERO INOXIDABLE Color: PLATEADO Referencia:  Observacion:  Placa padre: Tipo adquisicion: Entidad</v>
      </c>
      <c r="G6759" s="5"/>
    </row>
    <row r="6760" spans="1:7" ht="58.5" customHeight="1" x14ac:dyDescent="0.25">
      <c r="A6760" s="5" t="str">
        <f>"I0005051"</f>
        <v>I0005051</v>
      </c>
      <c r="B6760" s="5" t="str">
        <f>"PINZA DE CHALAZION"</f>
        <v>PINZA DE CHALAZION</v>
      </c>
      <c r="C6760" s="6">
        <v>36000</v>
      </c>
      <c r="D6760" s="5"/>
      <c r="E6760" s="5" t="str">
        <f t="shared" si="326"/>
        <v>INSTRUMENTACION-DIANA CAICEDO-DIANA DIAZ</v>
      </c>
      <c r="F6760" s="5" t="str">
        <f>"Descripcion: PINZA DESMARRE CHALAZIO Estado: Bueno Placa anterior: 000020504 Material: ACERO INOXIDABLE Color: PLATEADO Referencia:  Observacion:  Placa padre: Tipo adquisicion: Entidad"</f>
        <v>Descripcion: PINZA DESMARRE CHALAZIO Estado: Bueno Placa anterior: 000020504 Material: ACERO INOXIDABLE Color: PLATEADO Referencia:  Observacion:  Placa padre: Tipo adquisicion: Entidad</v>
      </c>
      <c r="G6760" s="5"/>
    </row>
    <row r="6761" spans="1:7" ht="58.5" customHeight="1" x14ac:dyDescent="0.25">
      <c r="A6761" s="5" t="str">
        <f>"I0005052"</f>
        <v>I0005052</v>
      </c>
      <c r="B6761" s="5" t="str">
        <f>"PINZA DE CHALAZION"</f>
        <v>PINZA DE CHALAZION</v>
      </c>
      <c r="C6761" s="6">
        <v>36000</v>
      </c>
      <c r="D6761" s="5"/>
      <c r="E6761" s="5" t="str">
        <f t="shared" si="326"/>
        <v>INSTRUMENTACION-DIANA CAICEDO-DIANA DIAZ</v>
      </c>
      <c r="F6761" s="5" t="str">
        <f>"Descripcion: PINZA DESMARRE CHALAZIO Estado: Bueno Placa anterior: 000020505 Material: ACERO INOXIDABLE Color: PLATEADO Referencia:  Observacion:  Placa padre: Tipo adquisicion: Entidad"</f>
        <v>Descripcion: PINZA DESMARRE CHALAZIO Estado: Bueno Placa anterior: 000020505 Material: ACERO INOXIDABLE Color: PLATEADO Referencia:  Observacion:  Placa padre: Tipo adquisicion: Entidad</v>
      </c>
      <c r="G6761" s="5"/>
    </row>
    <row r="6762" spans="1:7" ht="58.5" customHeight="1" x14ac:dyDescent="0.25">
      <c r="A6762" s="5" t="str">
        <f>"I0005054"</f>
        <v>I0005054</v>
      </c>
      <c r="B6762" s="5" t="str">
        <f>"CUCHILLETE OFTALMOLOGICO"</f>
        <v>CUCHILLETE OFTALMOLOGICO</v>
      </c>
      <c r="C6762" s="6">
        <v>2500</v>
      </c>
      <c r="D6762" s="5"/>
      <c r="E6762" s="5" t="str">
        <f t="shared" si="326"/>
        <v>INSTRUMENTACION-DIANA CAICEDO-DIANA DIAZ</v>
      </c>
      <c r="F6762" s="5" t="str">
        <f>"Descripcion: CUCHILLETE DE OJOS Estado: Bueno Placa anterior: 000020493 Material: ACERO INOXIDABLE Color: PLATEADO Referencia:  Observacion:  Placa padre: Tipo adquisicion: Entidad"</f>
        <v>Descripcion: CUCHILLETE DE OJOS Estado: Bueno Placa anterior: 000020493 Material: ACERO INOXIDABLE Color: PLATEADO Referencia:  Observacion:  Placa padre: Tipo adquisicion: Entidad</v>
      </c>
      <c r="G6762" s="5"/>
    </row>
    <row r="6763" spans="1:7" ht="58.5" customHeight="1" x14ac:dyDescent="0.25">
      <c r="A6763" s="5" t="str">
        <f>"I0005055"</f>
        <v>I0005055</v>
      </c>
      <c r="B6763" s="5" t="str">
        <f>"CUCHILLETE OFTALMOLOGICO"</f>
        <v>CUCHILLETE OFTALMOLOGICO</v>
      </c>
      <c r="C6763" s="6">
        <v>70000</v>
      </c>
      <c r="D6763" s="5"/>
      <c r="E6763" s="5" t="str">
        <f t="shared" si="326"/>
        <v>INSTRUMENTACION-DIANA CAICEDO-DIANA DIAZ</v>
      </c>
      <c r="F6763" s="5" t="str">
        <f>"Descripcion: CUCHILLETE DE OJOS Estado: Bueno Placa anterior: 000020494 Material: ACERO INOXIDABLE Color: PLATEADO Referencia:  Observacion:  Placa padre: Tipo adquisicion: Entidad"</f>
        <v>Descripcion: CUCHILLETE DE OJOS Estado: Bueno Placa anterior: 000020494 Material: ACERO INOXIDABLE Color: PLATEADO Referencia:  Observacion:  Placa padre: Tipo adquisicion: Entidad</v>
      </c>
      <c r="G6763" s="5"/>
    </row>
    <row r="6764" spans="1:7" ht="58.5" customHeight="1" x14ac:dyDescent="0.25">
      <c r="A6764" s="5" t="str">
        <f>"I0005056"</f>
        <v>I0005056</v>
      </c>
      <c r="B6764" s="5" t="str">
        <f>"CUCHILLETE OFTALMOLOGICO"</f>
        <v>CUCHILLETE OFTALMOLOGICO</v>
      </c>
      <c r="C6764" s="6">
        <v>70000</v>
      </c>
      <c r="D6764" s="5"/>
      <c r="E6764" s="5" t="str">
        <f t="shared" si="326"/>
        <v>INSTRUMENTACION-DIANA CAICEDO-DIANA DIAZ</v>
      </c>
      <c r="F6764" s="5" t="str">
        <f>"Descripcion: CUCHILLETE DE OJOS Estado: Bueno Placa anterior: 000020495 Material: ACERO INOXIDABLE Color: PLATEADO Referencia:  Observacion:  Placa padre: Tipo adquisicion: Entidad"</f>
        <v>Descripcion: CUCHILLETE DE OJOS Estado: Bueno Placa anterior: 000020495 Material: ACERO INOXIDABLE Color: PLATEADO Referencia:  Observacion:  Placa padre: Tipo adquisicion: Entidad</v>
      </c>
      <c r="G6764" s="5"/>
    </row>
    <row r="6765" spans="1:7" ht="58.5" customHeight="1" x14ac:dyDescent="0.25">
      <c r="A6765" s="5" t="str">
        <f>"I0005057"</f>
        <v>I0005057</v>
      </c>
      <c r="B6765" s="5" t="str">
        <f>"CUCHILLETE OFTALMOLOGICO"</f>
        <v>CUCHILLETE OFTALMOLOGICO</v>
      </c>
      <c r="C6765" s="6">
        <v>70000</v>
      </c>
      <c r="D6765" s="5"/>
      <c r="E6765" s="5" t="str">
        <f t="shared" si="326"/>
        <v>INSTRUMENTACION-DIANA CAICEDO-DIANA DIAZ</v>
      </c>
      <c r="F6765" s="5" t="str">
        <f>"Descripcion: CUCHILLETE DE OJOS Estado: Bueno Placa anterior: 000020496 Material: ACERO INOXIDABLE Color: PLATEADO Referencia:  Observacion:  Placa padre: Tipo adquisicion: Entidad"</f>
        <v>Descripcion: CUCHILLETE DE OJOS Estado: Bueno Placa anterior: 000020496 Material: ACERO INOXIDABLE Color: PLATEADO Referencia:  Observacion:  Placa padre: Tipo adquisicion: Entidad</v>
      </c>
      <c r="G6765" s="5"/>
    </row>
    <row r="6766" spans="1:7" ht="58.5" customHeight="1" x14ac:dyDescent="0.25">
      <c r="A6766" s="5" t="str">
        <f>"I0005058"</f>
        <v>I0005058</v>
      </c>
      <c r="B6766" s="5" t="str">
        <f>"CUCHILLETE"</f>
        <v>CUCHILLETE</v>
      </c>
      <c r="C6766" s="6">
        <v>70000</v>
      </c>
      <c r="D6766" s="5"/>
      <c r="E6766" s="5" t="str">
        <f t="shared" si="326"/>
        <v>INSTRUMENTACION-DIANA CAICEDO-DIANA DIAZ</v>
      </c>
      <c r="F6766" s="5" t="str">
        <f>"Descripcion: CUCHILLETE Estado: Bueno Placa anterior: 000020476 Material: ACERO INOXIDABLE Color: PLATEADO Referencia:  Observacion:  Placa padre: Tipo adquisicion: Entidad"</f>
        <v>Descripcion: CUCHILLETE Estado: Bueno Placa anterior: 000020476 Material: ACERO INOXIDABLE Color: PLATEADO Referencia:  Observacion:  Placa padre: Tipo adquisicion: Entidad</v>
      </c>
      <c r="G6766" s="5"/>
    </row>
    <row r="6767" spans="1:7" ht="58.5" customHeight="1" x14ac:dyDescent="0.25">
      <c r="A6767" s="5" t="str">
        <f>"I0005059"</f>
        <v>I0005059</v>
      </c>
      <c r="B6767" s="5" t="str">
        <f>"SEPARADOR (INSTRUMENTAL)"</f>
        <v>SEPARADOR (INSTRUMENTAL)</v>
      </c>
      <c r="C6767" s="6">
        <v>17114</v>
      </c>
      <c r="D6767" s="5"/>
      <c r="E6767" s="5" t="str">
        <f t="shared" si="326"/>
        <v>INSTRUMENTACION-DIANA CAICEDO-DIANA DIAZ</v>
      </c>
      <c r="F6767" s="5" t="str">
        <f>"Descripcion: SEPARADOR CLAMP DEMARTI Estado: Bueno Placa anterior: 000020501 Material: ACERO INOXIDABLE Color: PLATEADO Referencia:  Observacion:  Placa padre: Tipo adquisicion: Entidad"</f>
        <v>Descripcion: SEPARADOR CLAMP DEMARTI Estado: Bueno Placa anterior: 000020501 Material: ACERO INOXIDABLE Color: PLATEADO Referencia:  Observacion:  Placa padre: Tipo adquisicion: Entidad</v>
      </c>
      <c r="G6767" s="5"/>
    </row>
    <row r="6768" spans="1:7" ht="58.5" customHeight="1" x14ac:dyDescent="0.25">
      <c r="A6768" s="5" t="str">
        <f>"I0005060"</f>
        <v>I0005060</v>
      </c>
      <c r="B6768" s="5" t="str">
        <f>"SEPARADOR (INSTRUMENTAL)"</f>
        <v>SEPARADOR (INSTRUMENTAL)</v>
      </c>
      <c r="C6768" s="6">
        <v>17114</v>
      </c>
      <c r="D6768" s="5"/>
      <c r="E6768" s="5" t="str">
        <f t="shared" si="326"/>
        <v>INSTRUMENTACION-DIANA CAICEDO-DIANA DIAZ</v>
      </c>
      <c r="F6768" s="5" t="str">
        <f>"Descripcion: SEPARADOR STIVENSON Estado: Bueno Placa anterior: 000020500 Material: ACERO INOXIDABLE Color: PLATEADO Referencia:  Observacion:  Placa padre: Tipo adquisicion: Entidad"</f>
        <v>Descripcion: SEPARADOR STIVENSON Estado: Bueno Placa anterior: 000020500 Material: ACERO INOXIDABLE Color: PLATEADO Referencia:  Observacion:  Placa padre: Tipo adquisicion: Entidad</v>
      </c>
      <c r="G6768" s="5"/>
    </row>
    <row r="6769" spans="1:7" ht="58.5" customHeight="1" x14ac:dyDescent="0.25">
      <c r="A6769" s="5" t="str">
        <f>"I0005061"</f>
        <v>I0005061</v>
      </c>
      <c r="B6769" s="5" t="str">
        <f>"PINZA UTILITY"</f>
        <v>PINZA UTILITY</v>
      </c>
      <c r="C6769" s="6">
        <v>36000</v>
      </c>
      <c r="D6769" s="5"/>
      <c r="E6769" s="5" t="str">
        <f t="shared" si="326"/>
        <v>INSTRUMENTACION-DIANA CAICEDO-DIANA DIAZ</v>
      </c>
      <c r="F6769" s="5" t="str">
        <f>"Descripcion: UTILITY SIN GARRA Estado: Bueno Placa anterior: 000020462 Material: ACERO INOXIDABLE Color: PLATEADO Referencia:  Observacion:  Placa padre: Tipo adquisicion: Entidad"</f>
        <v>Descripcion: UTILITY SIN GARRA Estado: Bueno Placa anterior: 000020462 Material: ACERO INOXIDABLE Color: PLATEADO Referencia:  Observacion:  Placa padre: Tipo adquisicion: Entidad</v>
      </c>
      <c r="G6769" s="5"/>
    </row>
    <row r="6770" spans="1:7" ht="58.5" customHeight="1" x14ac:dyDescent="0.25">
      <c r="A6770" s="5" t="str">
        <f>"I0005062"</f>
        <v>I0005062</v>
      </c>
      <c r="B6770" s="5" t="str">
        <f>"ESPATULA (INSTRUMENTAL)"</f>
        <v>ESPATULA (INSTRUMENTAL)</v>
      </c>
      <c r="C6770" s="6">
        <v>473280</v>
      </c>
      <c r="D6770" s="5"/>
      <c r="E6770" s="5" t="str">
        <f t="shared" si="326"/>
        <v>INSTRUMENTACION-DIANA CAICEDO-DIANA DIAZ</v>
      </c>
      <c r="F6770" s="5" t="str">
        <f>"Descripcion: ESPATULA IRIS Estado: Bueno Placa anterior: 000023213 Material: ACERO INOXIDABLE Color: PLATEADO Referencia:  Observacion:  Placa padre: Tipo adquisicion: Entidad"</f>
        <v>Descripcion: ESPATULA IRIS Estado: Bueno Placa anterior: 000023213 Material: ACERO INOXIDABLE Color: PLATEADO Referencia:  Observacion:  Placa padre: Tipo adquisicion: Entidad</v>
      </c>
      <c r="G6770" s="5"/>
    </row>
    <row r="6771" spans="1:7" ht="58.5" customHeight="1" x14ac:dyDescent="0.25">
      <c r="A6771" s="5" t="str">
        <f>"I0005066"</f>
        <v>I0005066</v>
      </c>
      <c r="B6771" s="5" t="str">
        <f>"SEPARADOR (INSTRUMENTAL)"</f>
        <v>SEPARADOR (INSTRUMENTAL)</v>
      </c>
      <c r="C6771" s="6">
        <v>17114</v>
      </c>
      <c r="D6771" s="5"/>
      <c r="E6771" s="5" t="str">
        <f t="shared" si="326"/>
        <v>INSTRUMENTACION-DIANA CAICEDO-DIANA DIAZ</v>
      </c>
      <c r="F6771" s="5" t="str">
        <f>"Descripcion: SEPARADOR PARPADO IZQUIERDO Estado: Bueno Placa anterior: 000020499 Material: ACERO INOXIDABLE Color: PLATEADO Referencia:  Observacion:  Placa padre: Tipo adquisicion: Entidad"</f>
        <v>Descripcion: SEPARADOR PARPADO IZQUIERDO Estado: Bueno Placa anterior: 000020499 Material: ACERO INOXIDABLE Color: PLATEADO Referencia:  Observacion:  Placa padre: Tipo adquisicion: Entidad</v>
      </c>
      <c r="G6771" s="5"/>
    </row>
    <row r="6772" spans="1:7" ht="58.5" customHeight="1" x14ac:dyDescent="0.25">
      <c r="A6772" s="5" t="str">
        <f>"I0005067"</f>
        <v>I0005067</v>
      </c>
      <c r="B6772" s="5" t="str">
        <f>"SEPARADOR (INSTRUMENTAL)"</f>
        <v>SEPARADOR (INSTRUMENTAL)</v>
      </c>
      <c r="C6772" s="6">
        <v>17114</v>
      </c>
      <c r="D6772" s="5"/>
      <c r="E6772" s="5" t="str">
        <f t="shared" si="326"/>
        <v>INSTRUMENTACION-DIANA CAICEDO-DIANA DIAZ</v>
      </c>
      <c r="F6772" s="5" t="str">
        <f>"Descripcion: SEPARADOR PARPADO DERECHO Estado: Bueno Placa anterior: 000020498 Material: ACERO INOXIDABLE Color: PLATEADO Referencia:  Observacion:  Placa padre: Tipo adquisicion: Entidad"</f>
        <v>Descripcion: SEPARADOR PARPADO DERECHO Estado: Bueno Placa anterior: 000020498 Material: ACERO INOXIDABLE Color: PLATEADO Referencia:  Observacion:  Placa padre: Tipo adquisicion: Entidad</v>
      </c>
      <c r="G6772" s="5"/>
    </row>
    <row r="6773" spans="1:7" ht="58.5" customHeight="1" x14ac:dyDescent="0.25">
      <c r="A6773" s="5" t="str">
        <f>"I0005070"</f>
        <v>I0005070</v>
      </c>
      <c r="B6773" s="5" t="str">
        <f>"TUBO CON CANAL DE INSTRUMENTOS"</f>
        <v>TUBO CON CANAL DE INSTRUMENTOS</v>
      </c>
      <c r="C6773" s="6">
        <v>15000</v>
      </c>
      <c r="D6773" s="5"/>
      <c r="E6773" s="5" t="str">
        <f t="shared" si="326"/>
        <v>INSTRUMENTACION-DIANA CAICEDO-DIANA DIAZ</v>
      </c>
      <c r="F6773" s="5" t="str">
        <f>"Descripcion: MANGO DEAVER CON HOJA Estado: Bueno Placa anterior: 000020477 Material: ACERO INOXIDABLE Color: PLATEADO Referencia:  Observacion:  Placa padre: Tipo adquisicion: Entidad"</f>
        <v>Descripcion: MANGO DEAVER CON HOJA Estado: Bueno Placa anterior: 000020477 Material: ACERO INOXIDABLE Color: PLATEADO Referencia:  Observacion:  Placa padre: Tipo adquisicion: Entidad</v>
      </c>
      <c r="G6773" s="5"/>
    </row>
    <row r="6774" spans="1:7" ht="58.5" customHeight="1" x14ac:dyDescent="0.25">
      <c r="A6774" s="5" t="str">
        <f>"I0005071"</f>
        <v>I0005071</v>
      </c>
      <c r="B6774" s="5" t="str">
        <f>"TUBO CON CANAL DE INSTRUMENTOS"</f>
        <v>TUBO CON CANAL DE INSTRUMENTOS</v>
      </c>
      <c r="C6774" s="6">
        <v>15000</v>
      </c>
      <c r="D6774" s="5"/>
      <c r="E6774" s="5" t="str">
        <f t="shared" si="326"/>
        <v>INSTRUMENTACION-DIANA CAICEDO-DIANA DIAZ</v>
      </c>
      <c r="F6774" s="5" t="str">
        <f>"Descripcion: MANGO DEAVER CON HOJA Estado: Bueno Placa anterior: 000020478 Material: ACERO INOXIDABLE Color: PLATEADO Referencia:  Observacion:  Placa padre: Tipo adquisicion: Entidad"</f>
        <v>Descripcion: MANGO DEAVER CON HOJA Estado: Bueno Placa anterior: 000020478 Material: ACERO INOXIDABLE Color: PLATEADO Referencia:  Observacion:  Placa padre: Tipo adquisicion: Entidad</v>
      </c>
      <c r="G6774" s="5"/>
    </row>
    <row r="6775" spans="1:7" ht="58.5" customHeight="1" x14ac:dyDescent="0.25">
      <c r="A6775" s="5" t="str">
        <f>"I0005072"</f>
        <v>I0005072</v>
      </c>
      <c r="B6775" s="5" t="str">
        <f>"PINZA MCPHERSON"</f>
        <v>PINZA MCPHERSON</v>
      </c>
      <c r="C6775" s="6">
        <v>36000</v>
      </c>
      <c r="D6775" s="5"/>
      <c r="E6775" s="5" t="str">
        <f t="shared" si="326"/>
        <v>INSTRUMENTACION-DIANA CAICEDO-DIANA DIAZ</v>
      </c>
      <c r="F6775" s="5" t="str">
        <f>"Descripcion: PINZA MAC PHERSON Estado: Bueno Placa anterior: 000020474 Material: ACERO INOXIDABLE Color: PLATEADO Referencia:  Observacion:  Placa padre: Tipo adquisicion: Entidad"</f>
        <v>Descripcion: PINZA MAC PHERSON Estado: Bueno Placa anterior: 000020474 Material: ACERO INOXIDABLE Color: PLATEADO Referencia:  Observacion:  Placa padre: Tipo adquisicion: Entidad</v>
      </c>
      <c r="G6775" s="5"/>
    </row>
    <row r="6776" spans="1:7" ht="58.5" customHeight="1" x14ac:dyDescent="0.25">
      <c r="A6776" s="5" t="str">
        <f>"I0005073"</f>
        <v>I0005073</v>
      </c>
      <c r="B6776" s="5" t="str">
        <f>"PINZA MCPHERSON"</f>
        <v>PINZA MCPHERSON</v>
      </c>
      <c r="C6776" s="6">
        <v>12200</v>
      </c>
      <c r="D6776" s="5"/>
      <c r="E6776" s="5" t="str">
        <f t="shared" si="326"/>
        <v>INSTRUMENTACION-DIANA CAICEDO-DIANA DIAZ</v>
      </c>
      <c r="F6776" s="5" t="str">
        <f>"Descripcion: PINZA MAC PHERSON Estado: Bueno Placa anterior: 000020468 Material: ACERO INOXIDABLE Color: PLATEADO Referencia:  Observacion:  Placa padre: Tipo adquisicion: Entidad"</f>
        <v>Descripcion: PINZA MAC PHERSON Estado: Bueno Placa anterior: 000020468 Material: ACERO INOXIDABLE Color: PLATEADO Referencia:  Observacion:  Placa padre: Tipo adquisicion: Entidad</v>
      </c>
      <c r="G6776" s="5"/>
    </row>
    <row r="6777" spans="1:7" ht="58.5" customHeight="1" x14ac:dyDescent="0.25">
      <c r="A6777" s="5" t="str">
        <f>"I0005074"</f>
        <v>I0005074</v>
      </c>
      <c r="B6777" s="5" t="str">
        <f>"SEPARADOR DE ABDOMEN (FARABEUF)"</f>
        <v>SEPARADOR DE ABDOMEN (FARABEUF)</v>
      </c>
      <c r="C6777" s="6">
        <v>2800</v>
      </c>
      <c r="D6777" s="5"/>
      <c r="E6777" s="5" t="str">
        <f t="shared" si="326"/>
        <v>INSTRUMENTACION-DIANA CAICEDO-DIANA DIAZ</v>
      </c>
      <c r="F6777" s="5" t="str">
        <f>"Descripcion: SEPARADOR ABDOMINAL – VALVA Estado: Bueno Placa anterior: 000015883 Material: ACERO INOXIDABLE Color: PLATEADO Referencia:  Observacion:  Placa padre: Tipo adquisicion: Entidad"</f>
        <v>Descripcion: SEPARADOR ABDOMINAL – VALVA Estado: Bueno Placa anterior: 000015883 Material: ACERO INOXIDABLE Color: PLATEADO Referencia:  Observacion:  Placa padre: Tipo adquisicion: Entidad</v>
      </c>
      <c r="G6777" s="5"/>
    </row>
    <row r="6778" spans="1:7" ht="58.5" customHeight="1" x14ac:dyDescent="0.25">
      <c r="A6778" s="5" t="str">
        <f>"I0005075"</f>
        <v>I0005075</v>
      </c>
      <c r="B6778" s="5" t="str">
        <f>"SEPARADOR DE ABDOMEN (FARABEUF)"</f>
        <v>SEPARADOR DE ABDOMEN (FARABEUF)</v>
      </c>
      <c r="C6778" s="6">
        <v>2800</v>
      </c>
      <c r="D6778" s="5"/>
      <c r="E6778" s="5" t="str">
        <f t="shared" si="326"/>
        <v>INSTRUMENTACION-DIANA CAICEDO-DIANA DIAZ</v>
      </c>
      <c r="F6778" s="5" t="str">
        <f>"Descripcion: SEPARADOR ABDOMINAL – VALVA Estado: Bueno Placa anterior: 000015884 Material: ACERO INOXIDABLE Color: PLATEADO Referencia:  Observacion:  Placa padre: Tipo adquisicion: Entidad"</f>
        <v>Descripcion: SEPARADOR ABDOMINAL – VALVA Estado: Bueno Placa anterior: 000015884 Material: ACERO INOXIDABLE Color: PLATEADO Referencia:  Observacion:  Placa padre: Tipo adquisicion: Entidad</v>
      </c>
      <c r="G6778" s="5"/>
    </row>
    <row r="6779" spans="1:7" ht="58.5" customHeight="1" x14ac:dyDescent="0.25">
      <c r="A6779" s="5" t="str">
        <f>"I0005076"</f>
        <v>I0005076</v>
      </c>
      <c r="B6779" s="5" t="str">
        <f t="shared" ref="B6779:B6791" si="327">"VALVAS"</f>
        <v>VALVAS</v>
      </c>
      <c r="C6779" s="6">
        <v>296324</v>
      </c>
      <c r="D6779" s="5"/>
      <c r="E6779" s="5" t="str">
        <f t="shared" si="326"/>
        <v>INSTRUMENTACION-DIANA CAICEDO-DIANA DIAZ</v>
      </c>
      <c r="F6779" s="5" t="str">
        <f>"Descripcion: VALVA MAYO Estado: Bueno Placa anterior: 000023795 Material: ACERO INOXIDABLE Color: PLATEADO Referencia:  Observacion:  Placa padre: Tipo adquisicion: Entidad"</f>
        <v>Descripcion: VALVA MAYO Estado: Bueno Placa anterior: 000023795 Material: ACERO INOXIDABLE Color: PLATEADO Referencia:  Observacion:  Placa padre: Tipo adquisicion: Entidad</v>
      </c>
      <c r="G6779" s="5"/>
    </row>
    <row r="6780" spans="1:7" ht="58.5" customHeight="1" x14ac:dyDescent="0.25">
      <c r="A6780" s="5" t="str">
        <f>"I0005077"</f>
        <v>I0005077</v>
      </c>
      <c r="B6780" s="5" t="str">
        <f t="shared" si="327"/>
        <v>VALVAS</v>
      </c>
      <c r="C6780" s="6">
        <v>296324</v>
      </c>
      <c r="D6780" s="5"/>
      <c r="E6780" s="5" t="str">
        <f t="shared" si="326"/>
        <v>INSTRUMENTACION-DIANA CAICEDO-DIANA DIAZ</v>
      </c>
      <c r="F6780" s="5" t="str">
        <f>"Descripcion: VALVA MAYO Estado: Bueno Placa anterior: 000023794 Material: ACERO INOXIDABLE Color: PLATEADO Referencia:  Observacion:  Placa padre: Tipo adquisicion: Entidad"</f>
        <v>Descripcion: VALVA MAYO Estado: Bueno Placa anterior: 000023794 Material: ACERO INOXIDABLE Color: PLATEADO Referencia:  Observacion:  Placa padre: Tipo adquisicion: Entidad</v>
      </c>
      <c r="G6780" s="5"/>
    </row>
    <row r="6781" spans="1:7" ht="58.5" customHeight="1" x14ac:dyDescent="0.25">
      <c r="A6781" s="5" t="str">
        <f>"I0005078"</f>
        <v>I0005078</v>
      </c>
      <c r="B6781" s="5" t="str">
        <f t="shared" si="327"/>
        <v>VALVAS</v>
      </c>
      <c r="C6781" s="6">
        <v>2388.89</v>
      </c>
      <c r="D6781" s="5"/>
      <c r="E6781" s="5" t="str">
        <f t="shared" si="326"/>
        <v>INSTRUMENTACION-DIANA CAICEDO-DIANA DIAZ</v>
      </c>
      <c r="F6781" s="5" t="str">
        <f>"Descripcion: VALVAS DE DEAVER Estado: Bueno Placa anterior: 000016249 Material: ACERO INOXIDABLE Color: PLATEADO Referencia:  Observacion:  Placa padre: Tipo adquisicion: Entidad"</f>
        <v>Descripcion: VALVAS DE DEAVER Estado: Bueno Placa anterior: 000016249 Material: ACERO INOXIDABLE Color: PLATEADO Referencia:  Observacion:  Placa padre: Tipo adquisicion: Entidad</v>
      </c>
      <c r="G6781" s="5"/>
    </row>
    <row r="6782" spans="1:7" ht="58.5" customHeight="1" x14ac:dyDescent="0.25">
      <c r="A6782" s="5" t="str">
        <f>"I0005079"</f>
        <v>I0005079</v>
      </c>
      <c r="B6782" s="5" t="str">
        <f t="shared" si="327"/>
        <v>VALVAS</v>
      </c>
      <c r="C6782" s="6">
        <v>2388.89</v>
      </c>
      <c r="D6782" s="5"/>
      <c r="E6782" s="5" t="str">
        <f t="shared" si="326"/>
        <v>INSTRUMENTACION-DIANA CAICEDO-DIANA DIAZ</v>
      </c>
      <c r="F6782" s="5" t="str">
        <f>"Descripcion: VALVAS DE DEAVER Estado: Bueno Placa anterior: 000016250 Material: ACERO INOXIDABLE Color: PLATEADO Referencia:  Observacion:  Placa padre: Tipo adquisicion: Entidad"</f>
        <v>Descripcion: VALVAS DE DEAVER Estado: Bueno Placa anterior: 000016250 Material: ACERO INOXIDABLE Color: PLATEADO Referencia:  Observacion:  Placa padre: Tipo adquisicion: Entidad</v>
      </c>
      <c r="G6782" s="5"/>
    </row>
    <row r="6783" spans="1:7" ht="58.5" customHeight="1" x14ac:dyDescent="0.25">
      <c r="A6783" s="5" t="str">
        <f>"I0005080"</f>
        <v>I0005080</v>
      </c>
      <c r="B6783" s="5" t="str">
        <f t="shared" si="327"/>
        <v>VALVAS</v>
      </c>
      <c r="C6783" s="6">
        <v>2388.89</v>
      </c>
      <c r="D6783" s="5"/>
      <c r="E6783" s="5" t="str">
        <f t="shared" si="326"/>
        <v>INSTRUMENTACION-DIANA CAICEDO-DIANA DIAZ</v>
      </c>
      <c r="F6783" s="5" t="str">
        <f>"Descripcion: VALVAS DE DEAVER Estado: Bueno Placa anterior: 000016251 Material: ACERO INOXIDABLE Color: PLATEADO Referencia:  Observacion:  Placa padre: Tipo adquisicion: Entidad"</f>
        <v>Descripcion: VALVAS DE DEAVER Estado: Bueno Placa anterior: 000016251 Material: ACERO INOXIDABLE Color: PLATEADO Referencia:  Observacion:  Placa padre: Tipo adquisicion: Entidad</v>
      </c>
      <c r="G6783" s="5"/>
    </row>
    <row r="6784" spans="1:7" ht="58.5" customHeight="1" x14ac:dyDescent="0.25">
      <c r="A6784" s="5" t="str">
        <f>"I0005081"</f>
        <v>I0005081</v>
      </c>
      <c r="B6784" s="5" t="str">
        <f t="shared" si="327"/>
        <v>VALVAS</v>
      </c>
      <c r="C6784" s="6">
        <v>2388.89</v>
      </c>
      <c r="D6784" s="5"/>
      <c r="E6784" s="5" t="str">
        <f t="shared" si="326"/>
        <v>INSTRUMENTACION-DIANA CAICEDO-DIANA DIAZ</v>
      </c>
      <c r="F6784" s="5" t="str">
        <f>"Descripcion: VALVAS DE DEAVER Estado: Bueno Placa anterior: 000016252 Material: ACERO INOXIDABLE Color: PLATEADO Referencia:  Observacion:  Placa padre: Tipo adquisicion: Entidad"</f>
        <v>Descripcion: VALVAS DE DEAVER Estado: Bueno Placa anterior: 000016252 Material: ACERO INOXIDABLE Color: PLATEADO Referencia:  Observacion:  Placa padre: Tipo adquisicion: Entidad</v>
      </c>
      <c r="G6784" s="5"/>
    </row>
    <row r="6785" spans="1:7" ht="58.5" customHeight="1" x14ac:dyDescent="0.25">
      <c r="A6785" s="5" t="str">
        <f>"I0005082"</f>
        <v>I0005082</v>
      </c>
      <c r="B6785" s="5" t="str">
        <f t="shared" si="327"/>
        <v>VALVAS</v>
      </c>
      <c r="C6785" s="6">
        <v>2388.89</v>
      </c>
      <c r="D6785" s="5"/>
      <c r="E6785" s="5" t="str">
        <f t="shared" si="326"/>
        <v>INSTRUMENTACION-DIANA CAICEDO-DIANA DIAZ</v>
      </c>
      <c r="F6785" s="5" t="str">
        <f>"Descripcion: VALVAS DE DEAVER Estado: Bueno Placa anterior: 000016253 Material: ACERO INOXIDABLE Color: PLATEADO Referencia:  Observacion:  Placa padre: Tipo adquisicion: Entidad"</f>
        <v>Descripcion: VALVAS DE DEAVER Estado: Bueno Placa anterior: 000016253 Material: ACERO INOXIDABLE Color: PLATEADO Referencia:  Observacion:  Placa padre: Tipo adquisicion: Entidad</v>
      </c>
      <c r="G6785" s="5"/>
    </row>
    <row r="6786" spans="1:7" ht="58.5" customHeight="1" x14ac:dyDescent="0.25">
      <c r="A6786" s="5" t="str">
        <f>"I0005083"</f>
        <v>I0005083</v>
      </c>
      <c r="B6786" s="5" t="str">
        <f t="shared" si="327"/>
        <v>VALVAS</v>
      </c>
      <c r="C6786" s="6">
        <v>2388.89</v>
      </c>
      <c r="D6786" s="5"/>
      <c r="E6786" s="5" t="str">
        <f t="shared" si="326"/>
        <v>INSTRUMENTACION-DIANA CAICEDO-DIANA DIAZ</v>
      </c>
      <c r="F6786" s="5" t="str">
        <f>"Descripcion: VALVAS DE DEAVER Estado: Bueno Placa anterior: 000016254 Material: ACERO INOXIDABLE Color: PLATEADO Referencia:  Observacion:  Placa padre: Tipo adquisicion: Entidad"</f>
        <v>Descripcion: VALVAS DE DEAVER Estado: Bueno Placa anterior: 000016254 Material: ACERO INOXIDABLE Color: PLATEADO Referencia:  Observacion:  Placa padre: Tipo adquisicion: Entidad</v>
      </c>
      <c r="G6786" s="5"/>
    </row>
    <row r="6787" spans="1:7" ht="58.5" customHeight="1" x14ac:dyDescent="0.25">
      <c r="A6787" s="5" t="str">
        <f>"I0005084"</f>
        <v>I0005084</v>
      </c>
      <c r="B6787" s="5" t="str">
        <f t="shared" si="327"/>
        <v>VALVAS</v>
      </c>
      <c r="C6787" s="6">
        <v>2388.89</v>
      </c>
      <c r="D6787" s="5"/>
      <c r="E6787" s="5" t="str">
        <f t="shared" si="326"/>
        <v>INSTRUMENTACION-DIANA CAICEDO-DIANA DIAZ</v>
      </c>
      <c r="F6787" s="5" t="str">
        <f>"Descripcion: VALVAS DE DEAVER Estado: Bueno Placa anterior: 000016255 Material: ACERO INOXIDABLE Color: PLATEADO Referencia:  Observacion:  Placa padre: Tipo adquisicion: Entidad"</f>
        <v>Descripcion: VALVAS DE DEAVER Estado: Bueno Placa anterior: 000016255 Material: ACERO INOXIDABLE Color: PLATEADO Referencia:  Observacion:  Placa padre: Tipo adquisicion: Entidad</v>
      </c>
      <c r="G6787" s="5"/>
    </row>
    <row r="6788" spans="1:7" ht="58.5" customHeight="1" x14ac:dyDescent="0.25">
      <c r="A6788" s="5" t="str">
        <f>"I0005085"</f>
        <v>I0005085</v>
      </c>
      <c r="B6788" s="5" t="str">
        <f t="shared" si="327"/>
        <v>VALVAS</v>
      </c>
      <c r="C6788" s="6">
        <v>2388.89</v>
      </c>
      <c r="D6788" s="5"/>
      <c r="E6788" s="5" t="str">
        <f t="shared" si="326"/>
        <v>INSTRUMENTACION-DIANA CAICEDO-DIANA DIAZ</v>
      </c>
      <c r="F6788" s="5" t="str">
        <f>"Descripcion: VALVAS DE DEAVER Estado: Bueno Placa anterior: 000016256 Material: ACERO INOXIDABLE Color: PLATEADO Referencia:  Observacion:  Placa padre: Tipo adquisicion: Entidad"</f>
        <v>Descripcion: VALVAS DE DEAVER Estado: Bueno Placa anterior: 000016256 Material: ACERO INOXIDABLE Color: PLATEADO Referencia:  Observacion:  Placa padre: Tipo adquisicion: Entidad</v>
      </c>
      <c r="G6788" s="5"/>
    </row>
    <row r="6789" spans="1:7" ht="58.5" customHeight="1" x14ac:dyDescent="0.25">
      <c r="A6789" s="5" t="str">
        <f>"I0005086"</f>
        <v>I0005086</v>
      </c>
      <c r="B6789" s="5" t="str">
        <f t="shared" si="327"/>
        <v>VALVAS</v>
      </c>
      <c r="C6789" s="6">
        <v>2388.89</v>
      </c>
      <c r="D6789" s="5"/>
      <c r="E6789" s="5" t="str">
        <f t="shared" si="326"/>
        <v>INSTRUMENTACION-DIANA CAICEDO-DIANA DIAZ</v>
      </c>
      <c r="F6789" s="5" t="str">
        <f>"Descripcion: VALVAS DE DEAVER Estado: Bueno Placa anterior: 000016257 Material: ACERO INOXIDABLE Color: PLATEADO Referencia:  Observacion:  Placa padre: Tipo adquisicion: Entidad"</f>
        <v>Descripcion: VALVAS DE DEAVER Estado: Bueno Placa anterior: 000016257 Material: ACERO INOXIDABLE Color: PLATEADO Referencia:  Observacion:  Placa padre: Tipo adquisicion: Entidad</v>
      </c>
      <c r="G6789" s="5"/>
    </row>
    <row r="6790" spans="1:7" ht="58.5" customHeight="1" x14ac:dyDescent="0.25">
      <c r="A6790" s="5" t="str">
        <f>"I0005087"</f>
        <v>I0005087</v>
      </c>
      <c r="B6790" s="5" t="str">
        <f t="shared" si="327"/>
        <v>VALVAS</v>
      </c>
      <c r="C6790" s="6">
        <v>2388.89</v>
      </c>
      <c r="D6790" s="5"/>
      <c r="E6790" s="5" t="str">
        <f t="shared" si="326"/>
        <v>INSTRUMENTACION-DIANA CAICEDO-DIANA DIAZ</v>
      </c>
      <c r="F6790" s="5" t="str">
        <f>"Descripcion: VALVAS DE DEAVER Estado: Bueno Placa anterior: 000016258 Material: ACERO INOXIDABLE Color: PLATEADO Referencia:  Observacion:  Placa padre: Tipo adquisicion: Entidad"</f>
        <v>Descripcion: VALVAS DE DEAVER Estado: Bueno Placa anterior: 000016258 Material: ACERO INOXIDABLE Color: PLATEADO Referencia:  Observacion:  Placa padre: Tipo adquisicion: Entidad</v>
      </c>
      <c r="G6790" s="5"/>
    </row>
    <row r="6791" spans="1:7" ht="58.5" customHeight="1" x14ac:dyDescent="0.25">
      <c r="A6791" s="5" t="str">
        <f>"I0005088"</f>
        <v>I0005088</v>
      </c>
      <c r="B6791" s="5" t="str">
        <f t="shared" si="327"/>
        <v>VALVAS</v>
      </c>
      <c r="C6791" s="6">
        <v>2388.89</v>
      </c>
      <c r="D6791" s="5"/>
      <c r="E6791" s="5" t="str">
        <f t="shared" si="326"/>
        <v>INSTRUMENTACION-DIANA CAICEDO-DIANA DIAZ</v>
      </c>
      <c r="F6791" s="5" t="str">
        <f>"Descripcion: VALVAS DE DEAVER Estado: Bueno Placa anterior: 000016259 Material: ACERO INOXIDABLE Color: PLATEADO Referencia:  Observacion:  Placa padre: Tipo adquisicion: Entidad"</f>
        <v>Descripcion: VALVAS DE DEAVER Estado: Bueno Placa anterior: 000016259 Material: ACERO INOXIDABLE Color: PLATEADO Referencia:  Observacion:  Placa padre: Tipo adquisicion: Entidad</v>
      </c>
      <c r="G6791" s="5"/>
    </row>
    <row r="6792" spans="1:7" ht="58.5" customHeight="1" x14ac:dyDescent="0.25">
      <c r="A6792" s="5" t="str">
        <f>"I0005089"</f>
        <v>I0005089</v>
      </c>
      <c r="B6792" s="5" t="str">
        <f>"CLAMP INTESTINAL"</f>
        <v>CLAMP INTESTINAL</v>
      </c>
      <c r="C6792" s="6">
        <v>15000</v>
      </c>
      <c r="D6792" s="5"/>
      <c r="E6792" s="5" t="str">
        <f t="shared" si="326"/>
        <v>INSTRUMENTACION-DIANA CAICEDO-DIANA DIAZ</v>
      </c>
      <c r="F6792" s="5" t="str">
        <f>"Descripcion: CLAMPS INTESTINALES Estado: Bueno Placa anterior: 000015909 Material: ACERO INOXIDABLE Color: PLATEADO Referencia:  Observacion:  Placa padre: Tipo adquisicion: Entidad"</f>
        <v>Descripcion: CLAMPS INTESTINALES Estado: Bueno Placa anterior: 000015909 Material: ACERO INOXIDABLE Color: PLATEADO Referencia:  Observacion:  Placa padre: Tipo adquisicion: Entidad</v>
      </c>
      <c r="G6792" s="5"/>
    </row>
    <row r="6793" spans="1:7" ht="58.5" customHeight="1" x14ac:dyDescent="0.25">
      <c r="A6793" s="5" t="str">
        <f>"I0005090"</f>
        <v>I0005090</v>
      </c>
      <c r="B6793" s="5" t="str">
        <f>"CLAMP INTESTINAL"</f>
        <v>CLAMP INTESTINAL</v>
      </c>
      <c r="C6793" s="6">
        <v>15000</v>
      </c>
      <c r="D6793" s="5"/>
      <c r="E6793" s="5" t="str">
        <f t="shared" si="326"/>
        <v>INSTRUMENTACION-DIANA CAICEDO-DIANA DIAZ</v>
      </c>
      <c r="F6793" s="5" t="str">
        <f>"Descripcion: CLAMPS INTESTINALES Estado: Bueno Placa anterior: 000015913 Material: ACERO INOXIDABLE Color: PLATEADO Referencia:  Observacion:  Placa padre: Tipo adquisicion: Entidad"</f>
        <v>Descripcion: CLAMPS INTESTINALES Estado: Bueno Placa anterior: 000015913 Material: ACERO INOXIDABLE Color: PLATEADO Referencia:  Observacion:  Placa padre: Tipo adquisicion: Entidad</v>
      </c>
      <c r="G6793" s="5"/>
    </row>
    <row r="6794" spans="1:7" ht="58.5" customHeight="1" x14ac:dyDescent="0.25">
      <c r="A6794" s="5" t="str">
        <f>"I0005091"</f>
        <v>I0005091</v>
      </c>
      <c r="B6794" s="5" t="str">
        <f>"CLAMP INTESTINAL"</f>
        <v>CLAMP INTESTINAL</v>
      </c>
      <c r="C6794" s="6">
        <v>15000</v>
      </c>
      <c r="D6794" s="5"/>
      <c r="E6794" s="5" t="str">
        <f t="shared" si="326"/>
        <v>INSTRUMENTACION-DIANA CAICEDO-DIANA DIAZ</v>
      </c>
      <c r="F6794" s="5" t="str">
        <f>"Descripcion: CLAMPS INTESTINALES Estado: Bueno Placa anterior: 000015917 Material: ACERO INOXIDABLE Color: PLATEADO Referencia:  Observacion:  Placa padre: Tipo adquisicion: Entidad"</f>
        <v>Descripcion: CLAMPS INTESTINALES Estado: Bueno Placa anterior: 000015917 Material: ACERO INOXIDABLE Color: PLATEADO Referencia:  Observacion:  Placa padre: Tipo adquisicion: Entidad</v>
      </c>
      <c r="G6794" s="5"/>
    </row>
    <row r="6795" spans="1:7" ht="58.5" customHeight="1" x14ac:dyDescent="0.25">
      <c r="A6795" s="5" t="str">
        <f>"I0005092"</f>
        <v>I0005092</v>
      </c>
      <c r="B6795" s="5" t="str">
        <f>"CLAMP VASCULAR SATISKY"</f>
        <v>CLAMP VASCULAR SATISKY</v>
      </c>
      <c r="C6795" s="6">
        <v>8732</v>
      </c>
      <c r="D6795" s="5"/>
      <c r="E6795" s="5" t="str">
        <f t="shared" si="326"/>
        <v>INSTRUMENTACION-DIANA CAICEDO-DIANA DIAZ</v>
      </c>
      <c r="F6795" s="5" t="str">
        <f>"Descripcion: CLAMPS DE SATINSKY Estado: Bueno Placa anterior: 000016221 Material: ACERO INOXIDABLE Color: PLATEADO Referencia:  Observacion:  Placa padre: Tipo adquisicion: Entidad"</f>
        <v>Descripcion: CLAMPS DE SATINSKY Estado: Bueno Placa anterior: 000016221 Material: ACERO INOXIDABLE Color: PLATEADO Referencia:  Observacion:  Placa padre: Tipo adquisicion: Entidad</v>
      </c>
      <c r="G6795" s="5"/>
    </row>
    <row r="6796" spans="1:7" ht="58.5" customHeight="1" x14ac:dyDescent="0.25">
      <c r="A6796" s="5" t="str">
        <f>"I0005093"</f>
        <v>I0005093</v>
      </c>
      <c r="B6796" s="5" t="str">
        <f>"CLAMP VASCULAR SATISKY"</f>
        <v>CLAMP VASCULAR SATISKY</v>
      </c>
      <c r="C6796" s="6">
        <v>8732</v>
      </c>
      <c r="D6796" s="5"/>
      <c r="E6796" s="5" t="str">
        <f t="shared" si="326"/>
        <v>INSTRUMENTACION-DIANA CAICEDO-DIANA DIAZ</v>
      </c>
      <c r="F6796" s="5" t="str">
        <f>"Descripcion: CLAMPS DE SATINSKY Estado: Bueno Placa anterior: 000016222 Material: ACERO INOXIDABLE Color: PLATEADO Referencia:  Observacion:  Placa padre: Tipo adquisicion: Entidad"</f>
        <v>Descripcion: CLAMPS DE SATINSKY Estado: Bueno Placa anterior: 000016222 Material: ACERO INOXIDABLE Color: PLATEADO Referencia:  Observacion:  Placa padre: Tipo adquisicion: Entidad</v>
      </c>
      <c r="G6796" s="5"/>
    </row>
    <row r="6797" spans="1:7" ht="58.5" customHeight="1" x14ac:dyDescent="0.25">
      <c r="A6797" s="5" t="str">
        <f>"I0005094"</f>
        <v>I0005094</v>
      </c>
      <c r="B6797" s="5" t="str">
        <f>"CLAMP VASCULAR SATISKY"</f>
        <v>CLAMP VASCULAR SATISKY</v>
      </c>
      <c r="C6797" s="6">
        <v>8732</v>
      </c>
      <c r="D6797" s="5"/>
      <c r="E6797" s="5" t="str">
        <f t="shared" si="326"/>
        <v>INSTRUMENTACION-DIANA CAICEDO-DIANA DIAZ</v>
      </c>
      <c r="F6797" s="5" t="str">
        <f>"Descripcion: CLAMPS DE SATINSKY Estado: Bueno Placa anterior: 000016223 Material: ACERO INOXIDABLE Color: PLATEADO Referencia:  Observacion:  Placa padre: Tipo adquisicion: Entidad"</f>
        <v>Descripcion: CLAMPS DE SATINSKY Estado: Bueno Placa anterior: 000016223 Material: ACERO INOXIDABLE Color: PLATEADO Referencia:  Observacion:  Placa padre: Tipo adquisicion: Entidad</v>
      </c>
      <c r="G6797" s="5"/>
    </row>
    <row r="6798" spans="1:7" ht="58.5" customHeight="1" x14ac:dyDescent="0.25">
      <c r="A6798" s="5" t="str">
        <f>"I0005095"</f>
        <v>I0005095</v>
      </c>
      <c r="B6798" s="5" t="str">
        <f>"CLAMP VASCULAR SATISKY"</f>
        <v>CLAMP VASCULAR SATISKY</v>
      </c>
      <c r="C6798" s="6">
        <v>8732</v>
      </c>
      <c r="D6798" s="5"/>
      <c r="E6798" s="5" t="str">
        <f t="shared" si="326"/>
        <v>INSTRUMENTACION-DIANA CAICEDO-DIANA DIAZ</v>
      </c>
      <c r="F6798" s="5" t="str">
        <f>"Descripcion: CLAMPS DE SATINSKY Estado: Bueno Placa anterior: 000016224 Material: ACERO INOXIDABLE Color: PLATEADO Referencia:  Observacion:  Placa padre: Tipo adquisicion: Entidad"</f>
        <v>Descripcion: CLAMPS DE SATINSKY Estado: Bueno Placa anterior: 000016224 Material: ACERO INOXIDABLE Color: PLATEADO Referencia:  Observacion:  Placa padre: Tipo adquisicion: Entidad</v>
      </c>
      <c r="G6798" s="5"/>
    </row>
    <row r="6799" spans="1:7" ht="58.5" customHeight="1" x14ac:dyDescent="0.25">
      <c r="A6799" s="5" t="str">
        <f>"I0005097"</f>
        <v>I0005097</v>
      </c>
      <c r="B6799" s="5" t="str">
        <f>"CLAMP VASCULAR SATISKY"</f>
        <v>CLAMP VASCULAR SATISKY</v>
      </c>
      <c r="C6799" s="6">
        <v>8732</v>
      </c>
      <c r="D6799" s="5"/>
      <c r="E6799" s="5" t="str">
        <f t="shared" si="326"/>
        <v>INSTRUMENTACION-DIANA CAICEDO-DIANA DIAZ</v>
      </c>
      <c r="F6799" s="5" t="str">
        <f>"Descripcion: CLAMPS DE SATINSKY Estado: Bueno Placa anterior: 000016226 Material: ACERO INOXIDABLE Color: PLATEADO Referencia:  Observacion:  Placa padre: Tipo adquisicion: Entidad"</f>
        <v>Descripcion: CLAMPS DE SATINSKY Estado: Bueno Placa anterior: 000016226 Material: ACERO INOXIDABLE Color: PLATEADO Referencia:  Observacion:  Placa padre: Tipo adquisicion: Entidad</v>
      </c>
      <c r="G6799" s="5"/>
    </row>
    <row r="6800" spans="1:7" ht="58.5" customHeight="1" x14ac:dyDescent="0.25">
      <c r="A6800" s="5" t="str">
        <f>"I0005120"</f>
        <v>I0005120</v>
      </c>
      <c r="B6800" s="5" t="str">
        <f>"DILATADOR"</f>
        <v>DILATADOR</v>
      </c>
      <c r="C6800" s="6">
        <v>800400</v>
      </c>
      <c r="D6800" s="5" t="s">
        <v>284</v>
      </c>
      <c r="E6800" s="5" t="str">
        <f t="shared" si="326"/>
        <v>INSTRUMENTACION-DIANA CAICEDO-DIANA DIAZ</v>
      </c>
      <c r="F6800" s="5" t="str">
        <f>"Descripcion: DILATADOR DE VIA BILIAR Estado: Bueno Placa anterior: 000032448 Material: ACERO INOXIDABLE Color: PLATEADO Referencia:  Observacion: PORTA-AGUJAS PARA MICRO-CIRUGIA  Placa padre: Tipo adquisicion: Entidad"</f>
        <v>Descripcion: DILATADOR DE VIA BILIAR Estado: Bueno Placa anterior: 000032448 Material: ACERO INOXIDABLE Color: PLATEADO Referencia:  Observacion: PORTA-AGUJAS PARA MICRO-CIRUGIA  Placa padre: Tipo adquisicion: Entidad</v>
      </c>
      <c r="G6800" s="5"/>
    </row>
    <row r="6801" spans="1:7" ht="58.5" customHeight="1" x14ac:dyDescent="0.25">
      <c r="A6801" s="5" t="str">
        <f>"I0005124"</f>
        <v>I0005124</v>
      </c>
      <c r="B6801" s="5" t="str">
        <f>"PINZA"</f>
        <v>PINZA</v>
      </c>
      <c r="C6801" s="6">
        <v>188066</v>
      </c>
      <c r="D6801" s="5"/>
      <c r="E6801" s="5" t="str">
        <f t="shared" si="326"/>
        <v>INSTRUMENTACION-DIANA CAICEDO-DIANA DIAZ</v>
      </c>
      <c r="F6801" s="5" t="str">
        <f>"Descripcion: PINZA BISCHO HERMON RECTA SIN GARRA Estado: Bueno Placa anterior: 000023212 Material: ACERO INOXIDABLE Color: PLATEADO Referencia:  Observacion:  Placa padre: Tipo adquisicion: Entidad"</f>
        <v>Descripcion: PINZA BISCHO HERMON RECTA SIN GARRA Estado: Bueno Placa anterior: 000023212 Material: ACERO INOXIDABLE Color: PLATEADO Referencia:  Observacion:  Placa padre: Tipo adquisicion: Entidad</v>
      </c>
      <c r="G6801" s="5"/>
    </row>
    <row r="6802" spans="1:7" ht="58.5" customHeight="1" x14ac:dyDescent="0.25">
      <c r="A6802" s="5" t="str">
        <f>"I0005127"</f>
        <v>I0005127</v>
      </c>
      <c r="B6802" s="5" t="str">
        <f>"PORTAGUJAS (PINZA)"</f>
        <v>PORTAGUJAS (PINZA)</v>
      </c>
      <c r="C6802" s="6">
        <v>800400</v>
      </c>
      <c r="D6802" s="5" t="s">
        <v>284</v>
      </c>
      <c r="E6802" s="5" t="str">
        <f t="shared" si="326"/>
        <v>INSTRUMENTACION-DIANA CAICEDO-DIANA DIAZ</v>
      </c>
      <c r="F6802" s="5" t="str">
        <f>"Descripcion: PORTA AGUJAS MANGO DORADO MICROCIRUGIA Estado: Bueno Placa anterior: 000032449 Material: ACERO INOXIDABLE Color: PLATEADO Referencia:  Observacion: PORTA-AGUJAS PARA MICRO-CIRUGIA  Placa padre: Tipo adquisicion: Entidad"</f>
        <v>Descripcion: PORTA AGUJAS MANGO DORADO MICROCIRUGIA Estado: Bueno Placa anterior: 000032449 Material: ACERO INOXIDABLE Color: PLATEADO Referencia:  Observacion: PORTA-AGUJAS PARA MICRO-CIRUGIA  Placa padre: Tipo adquisicion: Entidad</v>
      </c>
      <c r="G6802" s="5"/>
    </row>
    <row r="6803" spans="1:7" ht="58.5" customHeight="1" x14ac:dyDescent="0.25">
      <c r="A6803" s="5" t="str">
        <f>"I0005128"</f>
        <v>I0005128</v>
      </c>
      <c r="B6803" s="5" t="str">
        <f>"PORTAGUJAS (PINZA)"</f>
        <v>PORTAGUJAS (PINZA)</v>
      </c>
      <c r="C6803" s="6">
        <v>800400</v>
      </c>
      <c r="D6803" s="5" t="s">
        <v>284</v>
      </c>
      <c r="E6803" s="5" t="str">
        <f t="shared" si="326"/>
        <v>INSTRUMENTACION-DIANA CAICEDO-DIANA DIAZ</v>
      </c>
      <c r="F6803" s="5" t="str">
        <f>"Descripcion: PORTA AGUJAS MANGO DORADO MICROCIRUGIA Estado: Bueno Placa anterior: 000032447 Material: ACERO INOXIDABLE Color: PLATEADO Referencia:  Observacion: PORTA-AGUJAS PARA MICRO-CIRUGIA  Placa padre: Tipo adquisicion: Entidad"</f>
        <v>Descripcion: PORTA AGUJAS MANGO DORADO MICROCIRUGIA Estado: Bueno Placa anterior: 000032447 Material: ACERO INOXIDABLE Color: PLATEADO Referencia:  Observacion: PORTA-AGUJAS PARA MICRO-CIRUGIA  Placa padre: Tipo adquisicion: Entidad</v>
      </c>
      <c r="G6803" s="5"/>
    </row>
    <row r="6804" spans="1:7" ht="58.5" customHeight="1" x14ac:dyDescent="0.25">
      <c r="A6804" s="5" t="str">
        <f>"I0005133"</f>
        <v>I0005133</v>
      </c>
      <c r="B6804" s="5" t="str">
        <f>"PORTAGUJAS (PINZA)"</f>
        <v>PORTAGUJAS (PINZA)</v>
      </c>
      <c r="C6804" s="6">
        <v>447064</v>
      </c>
      <c r="D6804" s="5"/>
      <c r="E6804" s="5" t="str">
        <f t="shared" si="326"/>
        <v>INSTRUMENTACION-DIANA CAICEDO-DIANA DIAZ</v>
      </c>
      <c r="F6804" s="5" t="str">
        <f>"Descripcion: PORTA AGUJAS DE GASTRO VIEJO, RECTO CON CIERRE 5 1/2 Estado: Bueno Placa anterior: 000024374 Material: ACERO INOXIDABLE Color: PLATEADO Referencia:  Observacion:  Placa padre: Tipo adquisicion: Entidad"</f>
        <v>Descripcion: PORTA AGUJAS DE GASTRO VIEJO, RECTO CON CIERRE 5 1/2 Estado: Bueno Placa anterior: 000024374 Material: ACERO INOXIDABLE Color: PLATEADO Referencia:  Observacion:  Placa padre: Tipo adquisicion: Entidad</v>
      </c>
      <c r="G6804" s="5"/>
    </row>
    <row r="6805" spans="1:7" ht="58.5" customHeight="1" x14ac:dyDescent="0.25">
      <c r="A6805" s="5" t="str">
        <f>"I0005134"</f>
        <v>I0005134</v>
      </c>
      <c r="B6805" s="5" t="str">
        <f>"PINZA DE DISECCION COLIBRI (GILL)"</f>
        <v>PINZA DE DISECCION COLIBRI (GILL)</v>
      </c>
      <c r="C6805" s="6">
        <v>15000</v>
      </c>
      <c r="D6805" s="5"/>
      <c r="E6805" s="5" t="str">
        <f t="shared" si="326"/>
        <v>INSTRUMENTACION-DIANA CAICEDO-DIANA DIAZ</v>
      </c>
      <c r="F6805" s="5" t="str">
        <f>"Descripcion: PINZA GILL HESS Estado: Bueno Placa anterior: 000020490 Material: ACERO INOXIDABLE Color: PLATEADO Referencia:  Observacion:  Placa padre: Tipo adquisicion: Entidad"</f>
        <v>Descripcion: PINZA GILL HESS Estado: Bueno Placa anterior: 000020490 Material: ACERO INOXIDABLE Color: PLATEADO Referencia:  Observacion:  Placa padre: Tipo adquisicion: Entidad</v>
      </c>
      <c r="G6805" s="5"/>
    </row>
    <row r="6806" spans="1:7" ht="58.5" customHeight="1" x14ac:dyDescent="0.25">
      <c r="A6806" s="5" t="str">
        <f>"I0005138"</f>
        <v>I0005138</v>
      </c>
      <c r="B6806" s="5" t="str">
        <f>"PINZA DE CHALAZION"</f>
        <v>PINZA DE CHALAZION</v>
      </c>
      <c r="C6806" s="6">
        <v>15000</v>
      </c>
      <c r="D6806" s="5"/>
      <c r="E6806" s="5" t="str">
        <f t="shared" si="326"/>
        <v>INSTRUMENTACION-DIANA CAICEDO-DIANA DIAZ</v>
      </c>
      <c r="F6806" s="5" t="str">
        <f>"Descripcion: PINZA CHALAZIO Estado: Bueno Placa anterior: 000020483 Material: ACERO INOXIDABLE Color: PLATEADO Referencia:  Observacion:  Placa padre: Tipo adquisicion: Entidad"</f>
        <v>Descripcion: PINZA CHALAZIO Estado: Bueno Placa anterior: 000020483 Material: ACERO INOXIDABLE Color: PLATEADO Referencia:  Observacion:  Placa padre: Tipo adquisicion: Entidad</v>
      </c>
      <c r="G6806" s="5"/>
    </row>
    <row r="6807" spans="1:7" ht="58.5" customHeight="1" x14ac:dyDescent="0.25">
      <c r="A6807" s="5" t="str">
        <f>"I0005139"</f>
        <v>I0005139</v>
      </c>
      <c r="B6807" s="5" t="str">
        <f>"PINZA DE CHALAZION"</f>
        <v>PINZA DE CHALAZION</v>
      </c>
      <c r="C6807" s="6">
        <v>15000</v>
      </c>
      <c r="D6807" s="5"/>
      <c r="E6807" s="5" t="str">
        <f t="shared" si="326"/>
        <v>INSTRUMENTACION-DIANA CAICEDO-DIANA DIAZ</v>
      </c>
      <c r="F6807" s="5" t="str">
        <f>"Descripcion: PINZA CHALAZIO Estado: Bueno Placa anterior: 000020484 Material: ACERO INOXIDABLE Color: PLATEADO Referencia:  Observacion:  Placa padre: Tipo adquisicion: Entidad"</f>
        <v>Descripcion: PINZA CHALAZIO Estado: Bueno Placa anterior: 000020484 Material: ACERO INOXIDABLE Color: PLATEADO Referencia:  Observacion:  Placa padre: Tipo adquisicion: Entidad</v>
      </c>
      <c r="G6807" s="5"/>
    </row>
    <row r="6808" spans="1:7" ht="58.5" customHeight="1" x14ac:dyDescent="0.25">
      <c r="A6808" s="5" t="str">
        <f>"I0005140"</f>
        <v>I0005140</v>
      </c>
      <c r="B6808" s="5" t="str">
        <f>"PINZA DE CHALAZION"</f>
        <v>PINZA DE CHALAZION</v>
      </c>
      <c r="C6808" s="6">
        <v>15000</v>
      </c>
      <c r="D6808" s="5"/>
      <c r="E6808" s="5" t="str">
        <f t="shared" si="326"/>
        <v>INSTRUMENTACION-DIANA CAICEDO-DIANA DIAZ</v>
      </c>
      <c r="F6808" s="5" t="str">
        <f>"Descripcion: PINZA CHALAZIO Estado: Bueno Placa anterior: 000020485 Material: ACERO INOXIDABLE Color: PLATEADO Referencia:  Observacion:  Placa padre: Tipo adquisicion: Entidad"</f>
        <v>Descripcion: PINZA CHALAZIO Estado: Bueno Placa anterior: 000020485 Material: ACERO INOXIDABLE Color: PLATEADO Referencia:  Observacion:  Placa padre: Tipo adquisicion: Entidad</v>
      </c>
      <c r="G6808" s="5"/>
    </row>
    <row r="6809" spans="1:7" ht="58.5" customHeight="1" x14ac:dyDescent="0.25">
      <c r="A6809" s="5" t="str">
        <f>"I0005141"</f>
        <v>I0005141</v>
      </c>
      <c r="B6809" s="5" t="str">
        <f>"CUCHILLETE"</f>
        <v>CUCHILLETE</v>
      </c>
      <c r="C6809" s="6">
        <v>70000</v>
      </c>
      <c r="D6809" s="5"/>
      <c r="E6809" s="5" t="str">
        <f t="shared" si="326"/>
        <v>INSTRUMENTACION-DIANA CAICEDO-DIANA DIAZ</v>
      </c>
      <c r="F6809" s="5" t="str">
        <f>"Descripcion: CUCHILLETE DE CAPSULOTOMIA Estado: Bueno Placa anterior: 000020486 Material: ACERO INOXIDABLE Color: PLATEADO Referencia:  Observacion:  Placa padre: Tipo adquisicion: Entidad"</f>
        <v>Descripcion: CUCHILLETE DE CAPSULOTOMIA Estado: Bueno Placa anterior: 000020486 Material: ACERO INOXIDABLE Color: PLATEADO Referencia:  Observacion:  Placa padre: Tipo adquisicion: Entidad</v>
      </c>
      <c r="G6809" s="5"/>
    </row>
    <row r="6810" spans="1:7" ht="58.5" customHeight="1" x14ac:dyDescent="0.25">
      <c r="A6810" s="5" t="str">
        <f>"I0005142"</f>
        <v>I0005142</v>
      </c>
      <c r="B6810" s="5" t="str">
        <f>"PINZA UTILITY"</f>
        <v>PINZA UTILITY</v>
      </c>
      <c r="C6810" s="6">
        <v>36000</v>
      </c>
      <c r="D6810" s="5"/>
      <c r="E6810" s="5" t="str">
        <f t="shared" si="326"/>
        <v>INSTRUMENTACION-DIANA CAICEDO-DIANA DIAZ</v>
      </c>
      <c r="F6810" s="5" t="str">
        <f>"Descripcion: PINZA UTILITY SIN GARRA Estado: Bueno Placa anterior: 000020463 Material: ACERO INOXIDABLE Color: PLATEADO Referencia:  Observacion:  Placa padre: Tipo adquisicion: Entidad"</f>
        <v>Descripcion: PINZA UTILITY SIN GARRA Estado: Bueno Placa anterior: 000020463 Material: ACERO INOXIDABLE Color: PLATEADO Referencia:  Observacion:  Placa padre: Tipo adquisicion: Entidad</v>
      </c>
      <c r="G6810" s="5"/>
    </row>
    <row r="6811" spans="1:7" ht="58.5" customHeight="1" x14ac:dyDescent="0.25">
      <c r="A6811" s="5" t="str">
        <f>"I0005143"</f>
        <v>I0005143</v>
      </c>
      <c r="B6811" s="5" t="str">
        <f>"BLEFAROSTATO GRANDE"</f>
        <v>BLEFAROSTATO GRANDE</v>
      </c>
      <c r="C6811" s="6">
        <v>12200</v>
      </c>
      <c r="D6811" s="5"/>
      <c r="E6811" s="5" t="str">
        <f t="shared" si="326"/>
        <v>INSTRUMENTACION-DIANA CAICEDO-DIANA DIAZ</v>
      </c>
      <c r="F6811" s="5" t="str">
        <f>"Descripcion: BLEFAROSTATO BARRAQUER Estado: Bueno Placa anterior: 000020466 Material: ACERO INOXIDABLE Color: PLATEADO Referencia:  Observacion:  Placa padre: Tipo adquisicion: Entidad"</f>
        <v>Descripcion: BLEFAROSTATO BARRAQUER Estado: Bueno Placa anterior: 000020466 Material: ACERO INOXIDABLE Color: PLATEADO Referencia:  Observacion:  Placa padre: Tipo adquisicion: Entidad</v>
      </c>
      <c r="G6811" s="5"/>
    </row>
    <row r="6812" spans="1:7" ht="58.5" customHeight="1" x14ac:dyDescent="0.25">
      <c r="A6812" s="5" t="str">
        <f>"I0005144"</f>
        <v>I0005144</v>
      </c>
      <c r="B6812" s="5" t="str">
        <f>"BLEFAROSTATO GRANDE"</f>
        <v>BLEFAROSTATO GRANDE</v>
      </c>
      <c r="C6812" s="6">
        <v>12200</v>
      </c>
      <c r="D6812" s="5"/>
      <c r="E6812" s="5" t="str">
        <f t="shared" si="326"/>
        <v>INSTRUMENTACION-DIANA CAICEDO-DIANA DIAZ</v>
      </c>
      <c r="F6812" s="5" t="str">
        <f>"Descripcion: BLEFAROSTATO BARRAQUER Estado: Bueno Placa anterior: 000020467 Material: ACERO INOXIDABLE Color: PLATEADO Referencia:  Observacion:  Placa padre: Tipo adquisicion: Entidad"</f>
        <v>Descripcion: BLEFAROSTATO BARRAQUER Estado: Bueno Placa anterior: 000020467 Material: ACERO INOXIDABLE Color: PLATEADO Referencia:  Observacion:  Placa padre: Tipo adquisicion: Entidad</v>
      </c>
      <c r="G6812" s="5"/>
    </row>
    <row r="6813" spans="1:7" ht="58.5" customHeight="1" x14ac:dyDescent="0.25">
      <c r="A6813" s="5" t="str">
        <f>"I0005145"</f>
        <v>I0005145</v>
      </c>
      <c r="B6813" s="5" t="str">
        <f t="shared" ref="B6813:B6820" si="328">"PINZA DE CAPSULA"</f>
        <v>PINZA DE CAPSULA</v>
      </c>
      <c r="C6813" s="6">
        <v>36000</v>
      </c>
      <c r="D6813" s="5"/>
      <c r="E6813" s="5" t="str">
        <f t="shared" si="326"/>
        <v>INSTRUMENTACION-DIANA CAICEDO-DIANA DIAZ</v>
      </c>
      <c r="F6813" s="5" t="str">
        <f>"Descripcion: PINZA DE CAPSULOTOMIA Estado: Bueno Placa anterior: 000020510 Material: ACERO INOXIDABLE Color: PLATEADO Referencia:  Observacion:  Placa padre: Tipo adquisicion: Entidad"</f>
        <v>Descripcion: PINZA DE CAPSULOTOMIA Estado: Bueno Placa anterior: 000020510 Material: ACERO INOXIDABLE Color: PLATEADO Referencia:  Observacion:  Placa padre: Tipo adquisicion: Entidad</v>
      </c>
      <c r="G6813" s="5"/>
    </row>
    <row r="6814" spans="1:7" ht="58.5" customHeight="1" x14ac:dyDescent="0.25">
      <c r="A6814" s="5" t="str">
        <f>"I0005146"</f>
        <v>I0005146</v>
      </c>
      <c r="B6814" s="5" t="str">
        <f t="shared" si="328"/>
        <v>PINZA DE CAPSULA</v>
      </c>
      <c r="C6814" s="6">
        <v>36000</v>
      </c>
      <c r="D6814" s="5"/>
      <c r="E6814" s="5" t="str">
        <f t="shared" si="326"/>
        <v>INSTRUMENTACION-DIANA CAICEDO-DIANA DIAZ</v>
      </c>
      <c r="F6814" s="5" t="str">
        <f>"Descripcion: PINZA DE CAPSULOTOMIA Estado: Bueno Placa anterior: 000020511 Material: ACERO INOXIDABLE Color: PLATEADO Referencia:  Observacion:  Placa padre: Tipo adquisicion: Entidad"</f>
        <v>Descripcion: PINZA DE CAPSULOTOMIA Estado: Bueno Placa anterior: 000020511 Material: ACERO INOXIDABLE Color: PLATEADO Referencia:  Observacion:  Placa padre: Tipo adquisicion: Entidad</v>
      </c>
      <c r="G6814" s="5"/>
    </row>
    <row r="6815" spans="1:7" ht="58.5" customHeight="1" x14ac:dyDescent="0.25">
      <c r="A6815" s="5" t="str">
        <f>"I0005147"</f>
        <v>I0005147</v>
      </c>
      <c r="B6815" s="5" t="str">
        <f t="shared" si="328"/>
        <v>PINZA DE CAPSULA</v>
      </c>
      <c r="C6815" s="6">
        <v>36000</v>
      </c>
      <c r="D6815" s="5"/>
      <c r="E6815" s="5" t="str">
        <f t="shared" ref="E6815:E6878" si="329">"INSTRUMENTACION-DIANA CAICEDO-DIANA DIAZ"</f>
        <v>INSTRUMENTACION-DIANA CAICEDO-DIANA DIAZ</v>
      </c>
      <c r="F6815" s="5" t="str">
        <f>"Descripcion: PINZA DE CAPSULOTOMIA Estado: Bueno Placa anterior: 000020512 Material: ACERO INOXIDABLE Color: PLATEADO Referencia:  Observacion:  Placa padre: Tipo adquisicion: Entidad"</f>
        <v>Descripcion: PINZA DE CAPSULOTOMIA Estado: Bueno Placa anterior: 000020512 Material: ACERO INOXIDABLE Color: PLATEADO Referencia:  Observacion:  Placa padre: Tipo adquisicion: Entidad</v>
      </c>
      <c r="G6815" s="5"/>
    </row>
    <row r="6816" spans="1:7" ht="58.5" customHeight="1" x14ac:dyDescent="0.25">
      <c r="A6816" s="5" t="str">
        <f>"I0005148"</f>
        <v>I0005148</v>
      </c>
      <c r="B6816" s="5" t="str">
        <f t="shared" si="328"/>
        <v>PINZA DE CAPSULA</v>
      </c>
      <c r="C6816" s="6">
        <v>36000</v>
      </c>
      <c r="D6816" s="5"/>
      <c r="E6816" s="5" t="str">
        <f t="shared" si="329"/>
        <v>INSTRUMENTACION-DIANA CAICEDO-DIANA DIAZ</v>
      </c>
      <c r="F6816" s="5" t="str">
        <f>"Descripcion: PINZA DE CAPSULOTOMIA Estado: Bueno Placa anterior: 000020513 Material: ACERO INOXIDABLE Color: PLATEADO Referencia:  Observacion:  Placa padre: Tipo adquisicion: Entidad"</f>
        <v>Descripcion: PINZA DE CAPSULOTOMIA Estado: Bueno Placa anterior: 000020513 Material: ACERO INOXIDABLE Color: PLATEADO Referencia:  Observacion:  Placa padre: Tipo adquisicion: Entidad</v>
      </c>
      <c r="G6816" s="5"/>
    </row>
    <row r="6817" spans="1:7" ht="58.5" customHeight="1" x14ac:dyDescent="0.25">
      <c r="A6817" s="5" t="str">
        <f>"I0005149"</f>
        <v>I0005149</v>
      </c>
      <c r="B6817" s="5" t="str">
        <f t="shared" si="328"/>
        <v>PINZA DE CAPSULA</v>
      </c>
      <c r="C6817" s="6">
        <v>36000</v>
      </c>
      <c r="D6817" s="5"/>
      <c r="E6817" s="5" t="str">
        <f t="shared" si="329"/>
        <v>INSTRUMENTACION-DIANA CAICEDO-DIANA DIAZ</v>
      </c>
      <c r="F6817" s="5" t="str">
        <f>"Descripcion: PINZA DE CAPSULOTOMIA Estado: Bueno Placa anterior: 000020514 Material: ACERO INOXIDABLE Color: PLATEADO Referencia:  Observacion:  Placa padre: Tipo adquisicion: Entidad"</f>
        <v>Descripcion: PINZA DE CAPSULOTOMIA Estado: Bueno Placa anterior: 000020514 Material: ACERO INOXIDABLE Color: PLATEADO Referencia:  Observacion:  Placa padre: Tipo adquisicion: Entidad</v>
      </c>
      <c r="G6817" s="5"/>
    </row>
    <row r="6818" spans="1:7" ht="58.5" customHeight="1" x14ac:dyDescent="0.25">
      <c r="A6818" s="5" t="str">
        <f>"I0005150"</f>
        <v>I0005150</v>
      </c>
      <c r="B6818" s="5" t="str">
        <f t="shared" si="328"/>
        <v>PINZA DE CAPSULA</v>
      </c>
      <c r="C6818" s="6">
        <v>36000</v>
      </c>
      <c r="D6818" s="5"/>
      <c r="E6818" s="5" t="str">
        <f t="shared" si="329"/>
        <v>INSTRUMENTACION-DIANA CAICEDO-DIANA DIAZ</v>
      </c>
      <c r="F6818" s="5" t="str">
        <f>"Descripcion: PINZA DE CAPSULOTOMIA Estado: Bueno Placa anterior: 000020515 Material: ACERO INOXIDABLE Color: PLATEADO Referencia:  Observacion:  Placa padre: Tipo adquisicion: Entidad"</f>
        <v>Descripcion: PINZA DE CAPSULOTOMIA Estado: Bueno Placa anterior: 000020515 Material: ACERO INOXIDABLE Color: PLATEADO Referencia:  Observacion:  Placa padre: Tipo adquisicion: Entidad</v>
      </c>
      <c r="G6818" s="5"/>
    </row>
    <row r="6819" spans="1:7" ht="58.5" customHeight="1" x14ac:dyDescent="0.25">
      <c r="A6819" s="5" t="str">
        <f>"I0005151"</f>
        <v>I0005151</v>
      </c>
      <c r="B6819" s="5" t="str">
        <f t="shared" si="328"/>
        <v>PINZA DE CAPSULA</v>
      </c>
      <c r="C6819" s="6">
        <v>36000</v>
      </c>
      <c r="D6819" s="5"/>
      <c r="E6819" s="5" t="str">
        <f t="shared" si="329"/>
        <v>INSTRUMENTACION-DIANA CAICEDO-DIANA DIAZ</v>
      </c>
      <c r="F6819" s="5" t="str">
        <f>"Descripcion: PINZA DE CAPSULOTOMIA Estado: Bueno Placa anterior: 000020516 Material: ACERO INOXIDABLE Color: PLATEADO Referencia:  Observacion:  Placa padre: Tipo adquisicion: Entidad"</f>
        <v>Descripcion: PINZA DE CAPSULOTOMIA Estado: Bueno Placa anterior: 000020516 Material: ACERO INOXIDABLE Color: PLATEADO Referencia:  Observacion:  Placa padre: Tipo adquisicion: Entidad</v>
      </c>
      <c r="G6819" s="5"/>
    </row>
    <row r="6820" spans="1:7" ht="58.5" customHeight="1" x14ac:dyDescent="0.25">
      <c r="A6820" s="5" t="str">
        <f>"I0005152"</f>
        <v>I0005152</v>
      </c>
      <c r="B6820" s="5" t="str">
        <f t="shared" si="328"/>
        <v>PINZA DE CAPSULA</v>
      </c>
      <c r="C6820" s="6">
        <v>36000</v>
      </c>
      <c r="D6820" s="5"/>
      <c r="E6820" s="5" t="str">
        <f t="shared" si="329"/>
        <v>INSTRUMENTACION-DIANA CAICEDO-DIANA DIAZ</v>
      </c>
      <c r="F6820" s="5" t="str">
        <f>"Descripcion: PINZA DE CAPSULOTOMIA Estado: Bueno Placa anterior: 000020517 Material: ACERO INOXIDABLE Color: PLATEADO Referencia:  Observacion:  Placa padre: Tipo adquisicion: Entidad"</f>
        <v>Descripcion: PINZA DE CAPSULOTOMIA Estado: Bueno Placa anterior: 000020517 Material: ACERO INOXIDABLE Color: PLATEADO Referencia:  Observacion:  Placa padre: Tipo adquisicion: Entidad</v>
      </c>
      <c r="G6820" s="5"/>
    </row>
    <row r="6821" spans="1:7" ht="58.5" customHeight="1" x14ac:dyDescent="0.25">
      <c r="A6821" s="5" t="str">
        <f>"I0005154"</f>
        <v>I0005154</v>
      </c>
      <c r="B6821" s="5" t="str">
        <f>"PINZA DE DISECCION COLIBRI (GILL)"</f>
        <v>PINZA DE DISECCION COLIBRI (GILL)</v>
      </c>
      <c r="C6821" s="6">
        <v>36000</v>
      </c>
      <c r="D6821" s="5"/>
      <c r="E6821" s="5" t="str">
        <f t="shared" si="329"/>
        <v>INSTRUMENTACION-DIANA CAICEDO-DIANA DIAZ</v>
      </c>
      <c r="F6821" s="5" t="str">
        <f>"Descripcion: PINZA COLIBRI CON GARRA Estado: Bueno Placa anterior: 000020518 Material: ACERO INOXIDABLE Color: PLATEADO Referencia:  Observacion:  Placa padre: Tipo adquisicion: Entidad"</f>
        <v>Descripcion: PINZA COLIBRI CON GARRA Estado: Bueno Placa anterior: 000020518 Material: ACERO INOXIDABLE Color: PLATEADO Referencia:  Observacion:  Placa padre: Tipo adquisicion: Entidad</v>
      </c>
      <c r="G6821" s="5"/>
    </row>
    <row r="6822" spans="1:7" ht="58.5" customHeight="1" x14ac:dyDescent="0.25">
      <c r="A6822" s="5" t="str">
        <f>"I0005155"</f>
        <v>I0005155</v>
      </c>
      <c r="B6822" s="5" t="str">
        <f>"PINZA DE DISECCION COLIBRI (GILL)"</f>
        <v>PINZA DE DISECCION COLIBRI (GILL)</v>
      </c>
      <c r="C6822" s="6">
        <v>36000</v>
      </c>
      <c r="D6822" s="5"/>
      <c r="E6822" s="5" t="str">
        <f t="shared" si="329"/>
        <v>INSTRUMENTACION-DIANA CAICEDO-DIANA DIAZ</v>
      </c>
      <c r="F6822" s="5" t="str">
        <f>"Descripcion: PINZA COLIBRI CON GARRA Estado: Bueno Placa anterior: 000020519 Material: ACERO INOXIDABLE Color: PLATEADO Referencia:  Observacion:  Placa padre: Tipo adquisicion: Entidad"</f>
        <v>Descripcion: PINZA COLIBRI CON GARRA Estado: Bueno Placa anterior: 000020519 Material: ACERO INOXIDABLE Color: PLATEADO Referencia:  Observacion:  Placa padre: Tipo adquisicion: Entidad</v>
      </c>
      <c r="G6822" s="5"/>
    </row>
    <row r="6823" spans="1:7" ht="58.5" customHeight="1" x14ac:dyDescent="0.25">
      <c r="A6823" s="5" t="str">
        <f>"I0005156"</f>
        <v>I0005156</v>
      </c>
      <c r="B6823" s="5" t="str">
        <f>"PINZA DE DISECCION COLIBRI (GILL)"</f>
        <v>PINZA DE DISECCION COLIBRI (GILL)</v>
      </c>
      <c r="C6823" s="6">
        <v>36000</v>
      </c>
      <c r="D6823" s="5"/>
      <c r="E6823" s="5" t="str">
        <f t="shared" si="329"/>
        <v>INSTRUMENTACION-DIANA CAICEDO-DIANA DIAZ</v>
      </c>
      <c r="F6823" s="5" t="str">
        <f>"Descripcion: PINZA COLIBRI CON GARRA Estado: Bueno Placa anterior: 000020520 Material: ACERO INOXIDABLE Color: PLATEADO Referencia:  Observacion:  Placa padre: Tipo adquisicion: Entidad"</f>
        <v>Descripcion: PINZA COLIBRI CON GARRA Estado: Bueno Placa anterior: 000020520 Material: ACERO INOXIDABLE Color: PLATEADO Referencia:  Observacion:  Placa padre: Tipo adquisicion: Entidad</v>
      </c>
      <c r="G6823" s="5"/>
    </row>
    <row r="6824" spans="1:7" ht="58.5" customHeight="1" x14ac:dyDescent="0.25">
      <c r="A6824" s="5" t="str">
        <f>"I0005157"</f>
        <v>I0005157</v>
      </c>
      <c r="B6824" s="5" t="str">
        <f>"PINZA DE DISECCION COLIBRI (GILL)"</f>
        <v>PINZA DE DISECCION COLIBRI (GILL)</v>
      </c>
      <c r="C6824" s="6">
        <v>36000</v>
      </c>
      <c r="D6824" s="5"/>
      <c r="E6824" s="5" t="str">
        <f t="shared" si="329"/>
        <v>INSTRUMENTACION-DIANA CAICEDO-DIANA DIAZ</v>
      </c>
      <c r="F6824" s="5" t="str">
        <f>"Descripcion: PINZA COLIBRI CON GARRA Estado: Bueno Placa anterior: 000020521 Material: ACERO INOXIDABLE Color: PLATEADO Referencia:  Observacion:  Placa padre: Tipo adquisicion: Entidad"</f>
        <v>Descripcion: PINZA COLIBRI CON GARRA Estado: Bueno Placa anterior: 000020521 Material: ACERO INOXIDABLE Color: PLATEADO Referencia:  Observacion:  Placa padre: Tipo adquisicion: Entidad</v>
      </c>
      <c r="G6824" s="5"/>
    </row>
    <row r="6825" spans="1:7" ht="58.5" customHeight="1" x14ac:dyDescent="0.25">
      <c r="A6825" s="5" t="str">
        <f>"I0005159"</f>
        <v>I0005159</v>
      </c>
      <c r="B6825" s="5" t="str">
        <f>"CUCHILLO (INSTRUMENTAL)"</f>
        <v>CUCHILLO (INSTRUMENTAL)</v>
      </c>
      <c r="C6825" s="6">
        <v>14288</v>
      </c>
      <c r="D6825" s="5"/>
      <c r="E6825" s="5" t="str">
        <f t="shared" si="329"/>
        <v>INSTRUMENTACION-DIANA CAICEDO-DIANA DIAZ</v>
      </c>
      <c r="F6825" s="5" t="str">
        <f>"Descripcion: CUCHILLO PARACENTESIS Estado: Bueno Placa anterior: 000016158 Material: ACERO INOXIDABLE Color: PLATEADO Referencia:  Observacion:  Placa padre: Tipo adquisicion: Entidad"</f>
        <v>Descripcion: CUCHILLO PARACENTESIS Estado: Bueno Placa anterior: 000016158 Material: ACERO INOXIDABLE Color: PLATEADO Referencia:  Observacion:  Placa padre: Tipo adquisicion: Entidad</v>
      </c>
      <c r="G6825" s="5"/>
    </row>
    <row r="6826" spans="1:7" ht="58.5" customHeight="1" x14ac:dyDescent="0.25">
      <c r="A6826" s="5" t="str">
        <f>"I0005160"</f>
        <v>I0005160</v>
      </c>
      <c r="B6826" s="5" t="str">
        <f>"CURETA"</f>
        <v>CURETA</v>
      </c>
      <c r="C6826" s="6">
        <v>34413</v>
      </c>
      <c r="D6826" s="5"/>
      <c r="E6826" s="5" t="str">
        <f t="shared" si="329"/>
        <v>INSTRUMENTACION-DIANA CAICEDO-DIANA DIAZ</v>
      </c>
      <c r="F6826" s="5" t="str">
        <f>"Descripcion: CURETA AURICULAR PARTIDA Estado: Bueno Placa anterior: 000016138 Material: ACERO INOXIDABLE Color: PLATEADO Referencia:  Observacion:  Placa padre: Tipo adquisicion: Entidad"</f>
        <v>Descripcion: CURETA AURICULAR PARTIDA Estado: Bueno Placa anterior: 000016138 Material: ACERO INOXIDABLE Color: PLATEADO Referencia:  Observacion:  Placa padre: Tipo adquisicion: Entidad</v>
      </c>
      <c r="G6826" s="5"/>
    </row>
    <row r="6827" spans="1:7" ht="58.5" customHeight="1" x14ac:dyDescent="0.25">
      <c r="A6827" s="5" t="str">
        <f>"I0005161"</f>
        <v>I0005161</v>
      </c>
      <c r="B6827" s="5" t="str">
        <f>"PINZA DE TABIQUE"</f>
        <v>PINZA DE TABIQUE</v>
      </c>
      <c r="C6827" s="6">
        <v>34413</v>
      </c>
      <c r="D6827" s="5"/>
      <c r="E6827" s="5" t="str">
        <f t="shared" si="329"/>
        <v>INSTRUMENTACION-DIANA CAICEDO-DIANA DIAZ</v>
      </c>
      <c r="F6827" s="5" t="str">
        <f>"Descripcion: PINZA DE TABIQUE NASAL Estado: Bueno Placa anterior: 000016138 Material: ACERO INOXIDABLE Color: PLATEADO Referencia:  Observacion:  Placa padre: Tipo adquisicion: Entidad"</f>
        <v>Descripcion: PINZA DE TABIQUE NASAL Estado: Bueno Placa anterior: 000016138 Material: ACERO INOXIDABLE Color: PLATEADO Referencia:  Observacion:  Placa padre: Tipo adquisicion: Entidad</v>
      </c>
      <c r="G6827" s="5"/>
    </row>
    <row r="6828" spans="1:7" ht="58.5" customHeight="1" x14ac:dyDescent="0.25">
      <c r="A6828" s="5" t="str">
        <f>"I0005162"</f>
        <v>I0005162</v>
      </c>
      <c r="B6828" s="5" t="str">
        <f>"DISECTOR PASA HILOS"</f>
        <v>DISECTOR PASA HILOS</v>
      </c>
      <c r="C6828" s="6">
        <v>600</v>
      </c>
      <c r="D6828" s="5"/>
      <c r="E6828" s="5" t="str">
        <f t="shared" si="329"/>
        <v>INSTRUMENTACION-DIANA CAICEDO-DIANA DIAZ</v>
      </c>
      <c r="F6828" s="5" t="str">
        <f>"Descripcion: DISERTOR CORTANTE SENCILLO Estado: Bueno Placa anterior: 000016187 Material: ACERO INOXIDABLE Color: PLATEADO Referencia:  Observacion:  Placa padre: Tipo adquisicion: Entidad"</f>
        <v>Descripcion: DISERTOR CORTANTE SENCILLO Estado: Bueno Placa anterior: 000016187 Material: ACERO INOXIDABLE Color: PLATEADO Referencia:  Observacion:  Placa padre: Tipo adquisicion: Entidad</v>
      </c>
      <c r="G6828" s="5"/>
    </row>
    <row r="6829" spans="1:7" ht="58.5" customHeight="1" x14ac:dyDescent="0.25">
      <c r="A6829" s="5" t="str">
        <f>"I0005163"</f>
        <v>I0005163</v>
      </c>
      <c r="B6829" s="5" t="str">
        <f>"GANCHO (INSTRUMENTAL)"</f>
        <v>GANCHO (INSTRUMENTAL)</v>
      </c>
      <c r="C6829" s="6">
        <v>22000</v>
      </c>
      <c r="D6829" s="5"/>
      <c r="E6829" s="5" t="str">
        <f t="shared" si="329"/>
        <v>INSTRUMENTACION-DIANA CAICEDO-DIANA DIAZ</v>
      </c>
      <c r="F6829" s="5" t="str">
        <f>"Descripcion: GANCHO PARA LA COANA Estado: Bueno Placa anterior: 000016146 Material: ACERO INOXIDABLE Color: PLATEADO Referencia:  Observacion:  Placa padre: Tipo adquisicion: Entidad"</f>
        <v>Descripcion: GANCHO PARA LA COANA Estado: Bueno Placa anterior: 000016146 Material: ACERO INOXIDABLE Color: PLATEADO Referencia:  Observacion:  Placa padre: Tipo adquisicion: Entidad</v>
      </c>
      <c r="G6829" s="5"/>
    </row>
    <row r="6830" spans="1:7" ht="58.5" customHeight="1" x14ac:dyDescent="0.25">
      <c r="A6830" s="5" t="str">
        <f>"I0005164"</f>
        <v>I0005164</v>
      </c>
      <c r="B6830" s="5" t="str">
        <f>"CUCHILLETE"</f>
        <v>CUCHILLETE</v>
      </c>
      <c r="C6830" s="6">
        <v>70000</v>
      </c>
      <c r="D6830" s="5"/>
      <c r="E6830" s="5" t="str">
        <f t="shared" si="329"/>
        <v>INSTRUMENTACION-DIANA CAICEDO-DIANA DIAZ</v>
      </c>
      <c r="F6830" s="5" t="str">
        <f>"Descripcion: CUCHILLETE DER LEMPERT Estado: Bueno Placa anterior: 000016147 Material: ACERO INOXIDABLE Color: PLATEADO Referencia:  Observacion:  Placa padre: Tipo adquisicion: Entidad"</f>
        <v>Descripcion: CUCHILLETE DER LEMPERT Estado: Bueno Placa anterior: 000016147 Material: ACERO INOXIDABLE Color: PLATEADO Referencia:  Observacion:  Placa padre: Tipo adquisicion: Entidad</v>
      </c>
      <c r="G6830" s="5"/>
    </row>
    <row r="6831" spans="1:7" ht="58.5" customHeight="1" x14ac:dyDescent="0.25">
      <c r="A6831" s="5" t="str">
        <f>"I0005166"</f>
        <v>I0005166</v>
      </c>
      <c r="B6831" s="5" t="str">
        <f>"CUCHILLO (INSTRUMENTAL)"</f>
        <v>CUCHILLO (INSTRUMENTAL)</v>
      </c>
      <c r="C6831" s="6">
        <v>200</v>
      </c>
      <c r="D6831" s="5"/>
      <c r="E6831" s="5" t="str">
        <f t="shared" si="329"/>
        <v>INSTRUMENTACION-DIANA CAICEDO-DIANA DIAZ</v>
      </c>
      <c r="F6831" s="5" t="str">
        <f>"Descripcion: CUCHILLO DE COTHLE Estado: Bueno Placa anterior: 000016145 Material: ACERO INOXIDABLE Color: PLATEADO Referencia:  Observacion:  Placa padre: Tipo adquisicion: Entidad"</f>
        <v>Descripcion: CUCHILLO DE COTHLE Estado: Bueno Placa anterior: 000016145 Material: ACERO INOXIDABLE Color: PLATEADO Referencia:  Observacion:  Placa padre: Tipo adquisicion: Entidad</v>
      </c>
      <c r="G6831" s="5"/>
    </row>
    <row r="6832" spans="1:7" ht="58.5" customHeight="1" x14ac:dyDescent="0.25">
      <c r="A6832" s="5" t="str">
        <f>"I0005167"</f>
        <v>I0005167</v>
      </c>
      <c r="B6832" s="5" t="str">
        <f>"DISECTOR PASA HILOS"</f>
        <v>DISECTOR PASA HILOS</v>
      </c>
      <c r="C6832" s="6">
        <v>1339</v>
      </c>
      <c r="D6832" s="5"/>
      <c r="E6832" s="5" t="str">
        <f t="shared" si="329"/>
        <v>INSTRUMENTACION-DIANA CAICEDO-DIANA DIAZ</v>
      </c>
      <c r="F6832" s="5" t="str">
        <f>"Descripcion: DISECTOR DE FISCHER Estado: Bueno Placa anterior: 000016209 Material: ACERO INOXIDABLE Color: PLATEADO Referencia:  Observacion:  Placa padre: Tipo adquisicion: Entidad"</f>
        <v>Descripcion: DISECTOR DE FISCHER Estado: Bueno Placa anterior: 000016209 Material: ACERO INOXIDABLE Color: PLATEADO Referencia:  Observacion:  Placa padre: Tipo adquisicion: Entidad</v>
      </c>
      <c r="G6832" s="5"/>
    </row>
    <row r="6833" spans="1:7" ht="58.5" customHeight="1" x14ac:dyDescent="0.25">
      <c r="A6833" s="5" t="str">
        <f>"I0005168"</f>
        <v>I0005168</v>
      </c>
      <c r="B6833" s="5" t="str">
        <f>"DISECTOR PASA HILOS"</f>
        <v>DISECTOR PASA HILOS</v>
      </c>
      <c r="C6833" s="6">
        <v>1339</v>
      </c>
      <c r="D6833" s="5"/>
      <c r="E6833" s="5" t="str">
        <f t="shared" si="329"/>
        <v>INSTRUMENTACION-DIANA CAICEDO-DIANA DIAZ</v>
      </c>
      <c r="F6833" s="5" t="str">
        <f>"Descripcion: DISECTORES DE FICHER Estado: Bueno Placa anterior: 000016210 Material: ACERO INOXIDABLE Color: PLATEADO Referencia:  Observacion:  Placa padre: Tipo adquisicion: Entidad"</f>
        <v>Descripcion: DISECTORES DE FICHER Estado: Bueno Placa anterior: 000016210 Material: ACERO INOXIDABLE Color: PLATEADO Referencia:  Observacion:  Placa padre: Tipo adquisicion: Entidad</v>
      </c>
      <c r="G6833" s="5"/>
    </row>
    <row r="6834" spans="1:7" ht="58.5" customHeight="1" x14ac:dyDescent="0.25">
      <c r="A6834" s="5" t="str">
        <f>"I0005169"</f>
        <v>I0005169</v>
      </c>
      <c r="B6834" s="5" t="str">
        <f>"DISECTOR PASA HILOS"</f>
        <v>DISECTOR PASA HILOS</v>
      </c>
      <c r="C6834" s="6">
        <v>1339</v>
      </c>
      <c r="D6834" s="5"/>
      <c r="E6834" s="5" t="str">
        <f t="shared" si="329"/>
        <v>INSTRUMENTACION-DIANA CAICEDO-DIANA DIAZ</v>
      </c>
      <c r="F6834" s="5" t="str">
        <f>"Descripcion: DISECTORES DE FICHER Estado: Bueno Placa anterior: 000016211 Material: ACERO INOXIDABLE Color: PLATEADO Referencia:  Observacion:  Placa padre: Tipo adquisicion: Entidad"</f>
        <v>Descripcion: DISECTORES DE FICHER Estado: Bueno Placa anterior: 000016211 Material: ACERO INOXIDABLE Color: PLATEADO Referencia:  Observacion:  Placa padre: Tipo adquisicion: Entidad</v>
      </c>
      <c r="G6834" s="5"/>
    </row>
    <row r="6835" spans="1:7" ht="58.5" customHeight="1" x14ac:dyDescent="0.25">
      <c r="A6835" s="5" t="str">
        <f>"I0005170"</f>
        <v>I0005170</v>
      </c>
      <c r="B6835" s="5" t="str">
        <f>"DISECTOR PASA HILOS"</f>
        <v>DISECTOR PASA HILOS</v>
      </c>
      <c r="C6835" s="6">
        <v>1339</v>
      </c>
      <c r="D6835" s="5"/>
      <c r="E6835" s="5" t="str">
        <f t="shared" si="329"/>
        <v>INSTRUMENTACION-DIANA CAICEDO-DIANA DIAZ</v>
      </c>
      <c r="F6835" s="5" t="str">
        <f>"Descripcion: DISECTORES DE FICHER Estado: Bueno Placa anterior: 000016212 Material: ACERO INOXIDABLE Color: PLATEADO Referencia:  Observacion:  Placa padre: Tipo adquisicion: Entidad"</f>
        <v>Descripcion: DISECTORES DE FICHER Estado: Bueno Placa anterior: 000016212 Material: ACERO INOXIDABLE Color: PLATEADO Referencia:  Observacion:  Placa padre: Tipo adquisicion: Entidad</v>
      </c>
      <c r="G6835" s="5"/>
    </row>
    <row r="6836" spans="1:7" ht="58.5" customHeight="1" x14ac:dyDescent="0.25">
      <c r="A6836" s="5" t="str">
        <f>"I0005171"</f>
        <v>I0005171</v>
      </c>
      <c r="B6836" s="5" t="str">
        <f>"DISECTOR PASA HILOS"</f>
        <v>DISECTOR PASA HILOS</v>
      </c>
      <c r="C6836" s="6">
        <v>1339</v>
      </c>
      <c r="D6836" s="5"/>
      <c r="E6836" s="5" t="str">
        <f t="shared" si="329"/>
        <v>INSTRUMENTACION-DIANA CAICEDO-DIANA DIAZ</v>
      </c>
      <c r="F6836" s="5" t="str">
        <f>"Descripcion: DISECTORES DE FICHER Estado: Bueno Placa anterior: 000016213 Material: ACERO INOXIDABLE Color: PLATEADO Referencia:  Observacion:  Placa padre: Tipo adquisicion: Entidad"</f>
        <v>Descripcion: DISECTORES DE FICHER Estado: Bueno Placa anterior: 000016213 Material: ACERO INOXIDABLE Color: PLATEADO Referencia:  Observacion:  Placa padre: Tipo adquisicion: Entidad</v>
      </c>
      <c r="G6836" s="5"/>
    </row>
    <row r="6837" spans="1:7" ht="58.5" customHeight="1" x14ac:dyDescent="0.25">
      <c r="A6837" s="5" t="str">
        <f>"I0005172"</f>
        <v>I0005172</v>
      </c>
      <c r="B6837" s="5" t="str">
        <f>"ADENOTOMOS EN CURETA"</f>
        <v>ADENOTOMOS EN CURETA</v>
      </c>
      <c r="C6837" s="6">
        <v>14288</v>
      </c>
      <c r="D6837" s="5"/>
      <c r="E6837" s="5" t="str">
        <f t="shared" si="329"/>
        <v>INSTRUMENTACION-DIANA CAICEDO-DIANA DIAZ</v>
      </c>
      <c r="F6837" s="5" t="str">
        <f>"Descripcion: ADENOTOMO EN CURETA Estado: Bueno Placa anterior: 000016153 Material: ACERO INOXIDABLE Color: PLATEADO Referencia:  Observacion:  Placa padre: Tipo adquisicion: Entidad"</f>
        <v>Descripcion: ADENOTOMO EN CURETA Estado: Bueno Placa anterior: 000016153 Material: ACERO INOXIDABLE Color: PLATEADO Referencia:  Observacion:  Placa padre: Tipo adquisicion: Entidad</v>
      </c>
      <c r="G6837" s="5"/>
    </row>
    <row r="6838" spans="1:7" ht="58.5" customHeight="1" x14ac:dyDescent="0.25">
      <c r="A6838" s="5" t="str">
        <f>"I0005173"</f>
        <v>I0005173</v>
      </c>
      <c r="B6838" s="5" t="str">
        <f>"ADENOTOMOS EN CURETA"</f>
        <v>ADENOTOMOS EN CURETA</v>
      </c>
      <c r="C6838" s="6">
        <v>14288</v>
      </c>
      <c r="D6838" s="5"/>
      <c r="E6838" s="5" t="str">
        <f t="shared" si="329"/>
        <v>INSTRUMENTACION-DIANA CAICEDO-DIANA DIAZ</v>
      </c>
      <c r="F6838" s="5" t="str">
        <f>"Descripcion: ADENOTOMO EN CURETA Estado: Bueno Placa anterior: 000016154 Material: ACERO INOXIDABLE Color: PLATEADO Referencia:  Observacion:  Placa padre: Tipo adquisicion: Entidad"</f>
        <v>Descripcion: ADENOTOMO EN CURETA Estado: Bueno Placa anterior: 000016154 Material: ACERO INOXIDABLE Color: PLATEADO Referencia:  Observacion:  Placa padre: Tipo adquisicion: Entidad</v>
      </c>
      <c r="G6838" s="5"/>
    </row>
    <row r="6839" spans="1:7" ht="58.5" customHeight="1" x14ac:dyDescent="0.25">
      <c r="A6839" s="5" t="str">
        <f>"I0005174"</f>
        <v>I0005174</v>
      </c>
      <c r="B6839" s="5" t="str">
        <f>"ADENOTOMOS EN CURETA"</f>
        <v>ADENOTOMOS EN CURETA</v>
      </c>
      <c r="C6839" s="6">
        <v>14288</v>
      </c>
      <c r="D6839" s="5"/>
      <c r="E6839" s="5" t="str">
        <f t="shared" si="329"/>
        <v>INSTRUMENTACION-DIANA CAICEDO-DIANA DIAZ</v>
      </c>
      <c r="F6839" s="5" t="str">
        <f>"Descripcion: ADENOTOMO EN CURETA Estado: Bueno Placa anterior: 000016155 Material: ACERO INOXIDABLE Color: PLATEADO Referencia:  Observacion:  Placa padre: Tipo adquisicion: Entidad"</f>
        <v>Descripcion: ADENOTOMO EN CURETA Estado: Bueno Placa anterior: 000016155 Material: ACERO INOXIDABLE Color: PLATEADO Referencia:  Observacion:  Placa padre: Tipo adquisicion: Entidad</v>
      </c>
      <c r="G6839" s="5"/>
    </row>
    <row r="6840" spans="1:7" ht="58.5" customHeight="1" x14ac:dyDescent="0.25">
      <c r="A6840" s="5" t="str">
        <f>"I0005175"</f>
        <v>I0005175</v>
      </c>
      <c r="B6840" s="5" t="str">
        <f>"ADENOTOMOS EN CURETA"</f>
        <v>ADENOTOMOS EN CURETA</v>
      </c>
      <c r="C6840" s="6">
        <v>14288</v>
      </c>
      <c r="D6840" s="5"/>
      <c r="E6840" s="5" t="str">
        <f t="shared" si="329"/>
        <v>INSTRUMENTACION-DIANA CAICEDO-DIANA DIAZ</v>
      </c>
      <c r="F6840" s="5" t="str">
        <f>"Descripcion: ADENOTOMO EN CURETA Estado: Bueno Placa anterior: 000016156 Material: ACERO INOXIDABLE Color: PLATEADO Referencia:  Observacion:  Placa padre: Tipo adquisicion: Entidad"</f>
        <v>Descripcion: ADENOTOMO EN CURETA Estado: Bueno Placa anterior: 000016156 Material: ACERO INOXIDABLE Color: PLATEADO Referencia:  Observacion:  Placa padre: Tipo adquisicion: Entidad</v>
      </c>
      <c r="G6840" s="5"/>
    </row>
    <row r="6841" spans="1:7" ht="58.5" customHeight="1" x14ac:dyDescent="0.25">
      <c r="A6841" s="5" t="str">
        <f>"I0005176"</f>
        <v>I0005176</v>
      </c>
      <c r="B6841" s="5" t="str">
        <f>"ADENOTOMOS EN CURETA"</f>
        <v>ADENOTOMOS EN CURETA</v>
      </c>
      <c r="C6841" s="6">
        <v>14288</v>
      </c>
      <c r="D6841" s="5"/>
      <c r="E6841" s="5" t="str">
        <f t="shared" si="329"/>
        <v>INSTRUMENTACION-DIANA CAICEDO-DIANA DIAZ</v>
      </c>
      <c r="F6841" s="5" t="str">
        <f>"Descripcion: ADENOTOMO EN CURETA Estado: Bueno Placa anterior: 000016157 Material: ACERO INOXIDABLE Color: PLATEADO Referencia:  Observacion:  Placa padre: Tipo adquisicion: Entidad"</f>
        <v>Descripcion: ADENOTOMO EN CURETA Estado: Bueno Placa anterior: 000016157 Material: ACERO INOXIDABLE Color: PLATEADO Referencia:  Observacion:  Placa padre: Tipo adquisicion: Entidad</v>
      </c>
      <c r="G6841" s="5"/>
    </row>
    <row r="6842" spans="1:7" ht="58.5" customHeight="1" x14ac:dyDescent="0.25">
      <c r="A6842" s="5" t="str">
        <f>"I0005177"</f>
        <v>I0005177</v>
      </c>
      <c r="B6842" s="5" t="str">
        <f t="shared" ref="B6842:B6849" si="330">"PINZA"</f>
        <v>PINZA</v>
      </c>
      <c r="C6842" s="6">
        <v>1900</v>
      </c>
      <c r="D6842" s="5"/>
      <c r="E6842" s="5" t="str">
        <f t="shared" si="329"/>
        <v>INSTRUMENTACION-DIANA CAICEDO-DIANA DIAZ</v>
      </c>
      <c r="F6842" s="5" t="str">
        <f>"Descripcion: PINZAS DE ASCH Estado: Bueno Placa anterior: 000016126 Material: ACERO INOXIDABLE Color: PLATEADO Referencia:  Observacion:  Placa padre: Tipo adquisicion: Entidad"</f>
        <v>Descripcion: PINZAS DE ASCH Estado: Bueno Placa anterior: 000016126 Material: ACERO INOXIDABLE Color: PLATEADO Referencia:  Observacion:  Placa padre: Tipo adquisicion: Entidad</v>
      </c>
      <c r="G6842" s="5"/>
    </row>
    <row r="6843" spans="1:7" ht="58.5" customHeight="1" x14ac:dyDescent="0.25">
      <c r="A6843" s="5" t="str">
        <f>"I0005178"</f>
        <v>I0005178</v>
      </c>
      <c r="B6843" s="5" t="str">
        <f t="shared" si="330"/>
        <v>PINZA</v>
      </c>
      <c r="C6843" s="6">
        <v>1900</v>
      </c>
      <c r="D6843" s="5"/>
      <c r="E6843" s="5" t="str">
        <f t="shared" si="329"/>
        <v>INSTRUMENTACION-DIANA CAICEDO-DIANA DIAZ</v>
      </c>
      <c r="F6843" s="5" t="str">
        <f>"Descripcion: PINZAS DE ASCH Estado: Bueno Placa anterior: 000016127 Material: ACERO INOXIDABLE Color: PLATEADO Referencia:  Observacion:  Placa padre: Tipo adquisicion: Entidad"</f>
        <v>Descripcion: PINZAS DE ASCH Estado: Bueno Placa anterior: 000016127 Material: ACERO INOXIDABLE Color: PLATEADO Referencia:  Observacion:  Placa padre: Tipo adquisicion: Entidad</v>
      </c>
      <c r="G6843" s="5"/>
    </row>
    <row r="6844" spans="1:7" ht="58.5" customHeight="1" x14ac:dyDescent="0.25">
      <c r="A6844" s="5" t="str">
        <f>"I0005179"</f>
        <v>I0005179</v>
      </c>
      <c r="B6844" s="5" t="str">
        <f t="shared" si="330"/>
        <v>PINZA</v>
      </c>
      <c r="C6844" s="6">
        <v>1900</v>
      </c>
      <c r="D6844" s="5"/>
      <c r="E6844" s="5" t="str">
        <f t="shared" si="329"/>
        <v>INSTRUMENTACION-DIANA CAICEDO-DIANA DIAZ</v>
      </c>
      <c r="F6844" s="5" t="str">
        <f>"Descripcion: PINZAS DE ASCH Estado: Bueno Placa anterior: 000016128 Material: ACERO INOXIDABLE Color: PLATEADO Referencia:  Observacion:  Placa padre: Tipo adquisicion: Entidad"</f>
        <v>Descripcion: PINZAS DE ASCH Estado: Bueno Placa anterior: 000016128 Material: ACERO INOXIDABLE Color: PLATEADO Referencia:  Observacion:  Placa padre: Tipo adquisicion: Entidad</v>
      </c>
      <c r="G6844" s="5"/>
    </row>
    <row r="6845" spans="1:7" ht="58.5" customHeight="1" x14ac:dyDescent="0.25">
      <c r="A6845" s="5" t="str">
        <f>"I0005180"</f>
        <v>I0005180</v>
      </c>
      <c r="B6845" s="5" t="str">
        <f t="shared" si="330"/>
        <v>PINZA</v>
      </c>
      <c r="C6845" s="6">
        <v>1900</v>
      </c>
      <c r="D6845" s="5"/>
      <c r="E6845" s="5" t="str">
        <f t="shared" si="329"/>
        <v>INSTRUMENTACION-DIANA CAICEDO-DIANA DIAZ</v>
      </c>
      <c r="F6845" s="5" t="str">
        <f>"Descripcion: PINZAS DE ASCH Estado: Bueno Placa anterior: 000016129 Material: ACERO INOXIDABLE Color: PLATEADO Referencia:  Observacion:  Placa padre: Tipo adquisicion: Entidad"</f>
        <v>Descripcion: PINZAS DE ASCH Estado: Bueno Placa anterior: 000016129 Material: ACERO INOXIDABLE Color: PLATEADO Referencia:  Observacion:  Placa padre: Tipo adquisicion: Entidad</v>
      </c>
      <c r="G6845" s="5"/>
    </row>
    <row r="6846" spans="1:7" ht="58.5" customHeight="1" x14ac:dyDescent="0.25">
      <c r="A6846" s="5" t="str">
        <f>"I0005181"</f>
        <v>I0005181</v>
      </c>
      <c r="B6846" s="5" t="str">
        <f t="shared" si="330"/>
        <v>PINZA</v>
      </c>
      <c r="C6846" s="6">
        <v>1900</v>
      </c>
      <c r="D6846" s="5"/>
      <c r="E6846" s="5" t="str">
        <f t="shared" si="329"/>
        <v>INSTRUMENTACION-DIANA CAICEDO-DIANA DIAZ</v>
      </c>
      <c r="F6846" s="5" t="str">
        <f>"Descripcion: PINZAS DE ASCH Estado: Bueno Placa anterior: 000016130 Material: ACERO INOXIDABLE Color: PLATEADO Referencia:  Observacion:  Placa padre: Tipo adquisicion: Entidad"</f>
        <v>Descripcion: PINZAS DE ASCH Estado: Bueno Placa anterior: 000016130 Material: ACERO INOXIDABLE Color: PLATEADO Referencia:  Observacion:  Placa padre: Tipo adquisicion: Entidad</v>
      </c>
      <c r="G6846" s="5"/>
    </row>
    <row r="6847" spans="1:7" ht="58.5" customHeight="1" x14ac:dyDescent="0.25">
      <c r="A6847" s="5" t="str">
        <f>"I0005182"</f>
        <v>I0005182</v>
      </c>
      <c r="B6847" s="5" t="str">
        <f t="shared" si="330"/>
        <v>PINZA</v>
      </c>
      <c r="C6847" s="6">
        <v>1900</v>
      </c>
      <c r="D6847" s="5"/>
      <c r="E6847" s="5" t="str">
        <f t="shared" si="329"/>
        <v>INSTRUMENTACION-DIANA CAICEDO-DIANA DIAZ</v>
      </c>
      <c r="F6847" s="5" t="str">
        <f>"Descripcion: PINZAS DE ASCH Estado: Bueno Placa anterior: 000016131 Material: ACERO INOXIDABLE Color: PLATEADO Referencia:  Observacion:  Placa padre: Tipo adquisicion: Entidad"</f>
        <v>Descripcion: PINZAS DE ASCH Estado: Bueno Placa anterior: 000016131 Material: ACERO INOXIDABLE Color: PLATEADO Referencia:  Observacion:  Placa padre: Tipo adquisicion: Entidad</v>
      </c>
      <c r="G6847" s="5"/>
    </row>
    <row r="6848" spans="1:7" ht="58.5" customHeight="1" x14ac:dyDescent="0.25">
      <c r="A6848" s="5" t="str">
        <f>"I0005183"</f>
        <v>I0005183</v>
      </c>
      <c r="B6848" s="5" t="str">
        <f t="shared" si="330"/>
        <v>PINZA</v>
      </c>
      <c r="C6848" s="6">
        <v>3404</v>
      </c>
      <c r="D6848" s="5"/>
      <c r="E6848" s="5" t="str">
        <f t="shared" si="329"/>
        <v>INSTRUMENTACION-DIANA CAICEDO-DIANA DIAZ</v>
      </c>
      <c r="F6848" s="5" t="str">
        <f>"Descripcion: PINZA DE ALLIS DE AMIGDALAS Estado: Bueno Placa anterior: 000016182 Material: ACERO INOXIDABLE Color: PLATEADO Referencia:  Observacion:  Placa padre: Tipo adquisicion: Entidad"</f>
        <v>Descripcion: PINZA DE ALLIS DE AMIGDALAS Estado: Bueno Placa anterior: 000016182 Material: ACERO INOXIDABLE Color: PLATEADO Referencia:  Observacion:  Placa padre: Tipo adquisicion: Entidad</v>
      </c>
      <c r="G6848" s="5"/>
    </row>
    <row r="6849" spans="1:7" ht="58.5" customHeight="1" x14ac:dyDescent="0.25">
      <c r="A6849" s="5" t="str">
        <f>"I0005184"</f>
        <v>I0005184</v>
      </c>
      <c r="B6849" s="5" t="str">
        <f t="shared" si="330"/>
        <v>PINZA</v>
      </c>
      <c r="C6849" s="6">
        <v>3404</v>
      </c>
      <c r="D6849" s="5"/>
      <c r="E6849" s="5" t="str">
        <f t="shared" si="329"/>
        <v>INSTRUMENTACION-DIANA CAICEDO-DIANA DIAZ</v>
      </c>
      <c r="F6849" s="5" t="str">
        <f>"Descripcion: PINZA DE ALLIS DE AMIGDALAS Estado: Bueno Placa anterior: 000016183 Material: ACERO INOXIDABLE Color: PLATEADO Referencia:  Observacion:  Placa padre: Tipo adquisicion: Entidad"</f>
        <v>Descripcion: PINZA DE ALLIS DE AMIGDALAS Estado: Bueno Placa anterior: 000016183 Material: ACERO INOXIDABLE Color: PLATEADO Referencia:  Observacion:  Placa padre: Tipo adquisicion: Entidad</v>
      </c>
      <c r="G6849" s="5"/>
    </row>
    <row r="6850" spans="1:7" ht="58.5" customHeight="1" x14ac:dyDescent="0.25">
      <c r="A6850" s="5" t="str">
        <f>"I0005185"</f>
        <v>I0005185</v>
      </c>
      <c r="B6850" s="5" t="str">
        <f>"CINCEL (INSTRUMENTAL)"</f>
        <v>CINCEL (INSTRUMENTAL)</v>
      </c>
      <c r="C6850" s="6">
        <v>9684</v>
      </c>
      <c r="D6850" s="5"/>
      <c r="E6850" s="5" t="str">
        <f t="shared" si="329"/>
        <v>INSTRUMENTACION-DIANA CAICEDO-DIANA DIAZ</v>
      </c>
      <c r="F6850" s="5" t="str">
        <f>"Descripcion: CINCEL DE COTLE Estado: Bueno Placa anterior: 000016139 Material: ACERO INOXIDABLE Color: PLATEADO Referencia:  Observacion:  Placa padre: Tipo adquisicion: Entidad"</f>
        <v>Descripcion: CINCEL DE COTLE Estado: Bueno Placa anterior: 000016139 Material: ACERO INOXIDABLE Color: PLATEADO Referencia:  Observacion:  Placa padre: Tipo adquisicion: Entidad</v>
      </c>
      <c r="G6850" s="5"/>
    </row>
    <row r="6851" spans="1:7" ht="58.5" customHeight="1" x14ac:dyDescent="0.25">
      <c r="A6851" s="5" t="str">
        <f>"I0005186"</f>
        <v>I0005186</v>
      </c>
      <c r="B6851" s="5" t="str">
        <f>"PINZA HARTMAN"</f>
        <v>PINZA HARTMAN</v>
      </c>
      <c r="C6851" s="6">
        <v>40000</v>
      </c>
      <c r="D6851" s="5"/>
      <c r="E6851" s="5" t="str">
        <f t="shared" si="329"/>
        <v>INSTRUMENTACION-DIANA CAICEDO-DIANA DIAZ</v>
      </c>
      <c r="F6851" s="5" t="str">
        <f>"Descripcion: PINZAS DE HARTMAN REF.37145-20 MARTIN Estado: Bueno Placa anterior: 000016134 Material: ACERO INOXIDABLE Color: PLATEADO Referencia:  Observacion:  Placa padre: Tipo adquisicion: Entidad"</f>
        <v>Descripcion: PINZAS DE HARTMAN REF.37145-20 MARTIN Estado: Bueno Placa anterior: 000016134 Material: ACERO INOXIDABLE Color: PLATEADO Referencia:  Observacion:  Placa padre: Tipo adquisicion: Entidad</v>
      </c>
      <c r="G6851" s="5"/>
    </row>
    <row r="6852" spans="1:7" ht="58.5" customHeight="1" x14ac:dyDescent="0.25">
      <c r="A6852" s="5" t="str">
        <f>"I0005187"</f>
        <v>I0005187</v>
      </c>
      <c r="B6852" s="5" t="str">
        <f>"PINZA HARTMAN"</f>
        <v>PINZA HARTMAN</v>
      </c>
      <c r="C6852" s="6">
        <v>40000</v>
      </c>
      <c r="D6852" s="5"/>
      <c r="E6852" s="5" t="str">
        <f t="shared" si="329"/>
        <v>INSTRUMENTACION-DIANA CAICEDO-DIANA DIAZ</v>
      </c>
      <c r="F6852" s="5" t="str">
        <f>"Descripcion: PINZAS DE HARTMAN REF.37145-20 MARTIN Estado: Bueno Placa anterior: 000016135 Material: ACERO INOXIDABLE Color: PLATEADO Referencia:  Observacion:  Placa padre: Tipo adquisicion: Entidad"</f>
        <v>Descripcion: PINZAS DE HARTMAN REF.37145-20 MARTIN Estado: Bueno Placa anterior: 000016135 Material: ACERO INOXIDABLE Color: PLATEADO Referencia:  Observacion:  Placa padre: Tipo adquisicion: Entidad</v>
      </c>
      <c r="G6852" s="5"/>
    </row>
    <row r="6853" spans="1:7" ht="58.5" customHeight="1" x14ac:dyDescent="0.25">
      <c r="A6853" s="5" t="str">
        <f>"I0005188"</f>
        <v>I0005188</v>
      </c>
      <c r="B6853" s="5" t="str">
        <f>"GANCHO (INSTRUMENTAL)"</f>
        <v>GANCHO (INSTRUMENTAL)</v>
      </c>
      <c r="C6853" s="6">
        <v>85260</v>
      </c>
      <c r="D6853" s="5"/>
      <c r="E6853" s="5" t="str">
        <f t="shared" si="329"/>
        <v>INSTRUMENTACION-DIANA CAICEDO-DIANA DIAZ</v>
      </c>
      <c r="F6853" s="5" t="str">
        <f>"Descripcion: GANCHO GRAHAM PARA NERVIO 7 MILTEX 26-1156 Estado: Bueno Placa anterior: 000025487 Material: ACERO INOXIDABLE Color: PLATEADO Referencia:  Observacion:  Placa padre: Tipo adquisicion: Entidad"</f>
        <v>Descripcion: GANCHO GRAHAM PARA NERVIO 7 MILTEX 26-1156 Estado: Bueno Placa anterior: 000025487 Material: ACERO INOXIDABLE Color: PLATEADO Referencia:  Observacion:  Placa padre: Tipo adquisicion: Entidad</v>
      </c>
      <c r="G6853" s="5"/>
    </row>
    <row r="6854" spans="1:7" ht="58.5" customHeight="1" x14ac:dyDescent="0.25">
      <c r="A6854" s="5" t="str">
        <f>"I0005189"</f>
        <v>I0005189</v>
      </c>
      <c r="B6854" s="5" t="str">
        <f>"GANCHO (INSTRUMENTAL)"</f>
        <v>GANCHO (INSTRUMENTAL)</v>
      </c>
      <c r="C6854" s="6">
        <v>43000</v>
      </c>
      <c r="D6854" s="5"/>
      <c r="E6854" s="5" t="str">
        <f t="shared" si="329"/>
        <v>INSTRUMENTACION-DIANA CAICEDO-DIANA DIAZ</v>
      </c>
      <c r="F6854" s="5" t="str">
        <f>"Descripcion: GANCHO DE DURA Estado: Bueno Placa anterior: 000016337 Material: ACERO INOXIDABLE Color: PLATEADO Referencia:  Observacion:  Placa padre: Tipo adquisicion: Entidad"</f>
        <v>Descripcion: GANCHO DE DURA Estado: Bueno Placa anterior: 000016337 Material: ACERO INOXIDABLE Color: PLATEADO Referencia:  Observacion:  Placa padre: Tipo adquisicion: Entidad</v>
      </c>
      <c r="G6854" s="5"/>
    </row>
    <row r="6855" spans="1:7" ht="58.5" customHeight="1" x14ac:dyDescent="0.25">
      <c r="A6855" s="5" t="str">
        <f>"I0005190"</f>
        <v>I0005190</v>
      </c>
      <c r="B6855" s="5" t="str">
        <f>"PINZA HARTMAN"</f>
        <v>PINZA HARTMAN</v>
      </c>
      <c r="C6855" s="6">
        <v>51183</v>
      </c>
      <c r="D6855" s="5"/>
      <c r="E6855" s="5" t="str">
        <f t="shared" si="329"/>
        <v>INSTRUMENTACION-DIANA CAICEDO-DIANA DIAZ</v>
      </c>
      <c r="F6855" s="5" t="str">
        <f>"Descripcion: PINZAS DE HARTMAN LUC MARTIN Estado: Bueno Placa anterior: 000016132 Material: ACERO INOXIDABLE Color: PLATEADO Referencia:  Observacion:  Placa padre: Tipo adquisicion: Entidad"</f>
        <v>Descripcion: PINZAS DE HARTMAN LUC MARTIN Estado: Bueno Placa anterior: 000016132 Material: ACERO INOXIDABLE Color: PLATEADO Referencia:  Observacion:  Placa padre: Tipo adquisicion: Entidad</v>
      </c>
      <c r="G6855" s="5"/>
    </row>
    <row r="6856" spans="1:7" ht="58.5" customHeight="1" x14ac:dyDescent="0.25">
      <c r="A6856" s="5" t="str">
        <f>"I0005191"</f>
        <v>I0005191</v>
      </c>
      <c r="B6856" s="5" t="str">
        <f>"PINZA HARTMAN"</f>
        <v>PINZA HARTMAN</v>
      </c>
      <c r="C6856" s="6">
        <v>51183</v>
      </c>
      <c r="D6856" s="5"/>
      <c r="E6856" s="5" t="str">
        <f t="shared" si="329"/>
        <v>INSTRUMENTACION-DIANA CAICEDO-DIANA DIAZ</v>
      </c>
      <c r="F6856" s="5" t="str">
        <f>"Descripcion: PINZAS DE HARTMAN LUC MARTIN Estado: Bueno Placa anterior: 000016133 Material: ACERO INOXIDABLE Color: PLATEADO Referencia:  Observacion:  Placa padre: Tipo adquisicion: Entidad"</f>
        <v>Descripcion: PINZAS DE HARTMAN LUC MARTIN Estado: Bueno Placa anterior: 000016133 Material: ACERO INOXIDABLE Color: PLATEADO Referencia:  Observacion:  Placa padre: Tipo adquisicion: Entidad</v>
      </c>
      <c r="G6856" s="5"/>
    </row>
    <row r="6857" spans="1:7" ht="58.5" customHeight="1" x14ac:dyDescent="0.25">
      <c r="A6857" s="5" t="str">
        <f>"I0005192"</f>
        <v>I0005192</v>
      </c>
      <c r="B6857" s="5" t="str">
        <f>"ESPECULO"</f>
        <v>ESPECULO</v>
      </c>
      <c r="C6857" s="6">
        <v>12615</v>
      </c>
      <c r="D6857" s="5"/>
      <c r="E6857" s="5" t="str">
        <f t="shared" si="329"/>
        <v>INSTRUMENTACION-DIANA CAICEDO-DIANA DIAZ</v>
      </c>
      <c r="F6857" s="5" t="str">
        <f>"Descripcion: ESPECULO DE OIDO Estado: Bueno Placa anterior: 000016174 Material: ACERO INOXIDABLE Color: PLATEADO Referencia:  Observacion:  Placa padre: Tipo adquisicion: Entidad"</f>
        <v>Descripcion: ESPECULO DE OIDO Estado: Bueno Placa anterior: 000016174 Material: ACERO INOXIDABLE Color: PLATEADO Referencia:  Observacion:  Placa padre: Tipo adquisicion: Entidad</v>
      </c>
      <c r="G6857" s="5"/>
    </row>
    <row r="6858" spans="1:7" ht="58.5" customHeight="1" x14ac:dyDescent="0.25">
      <c r="A6858" s="5" t="str">
        <f>"I0005195"</f>
        <v>I0005195</v>
      </c>
      <c r="B6858" s="5" t="str">
        <f>"ESPECULO"</f>
        <v>ESPECULO</v>
      </c>
      <c r="C6858" s="6">
        <v>7000</v>
      </c>
      <c r="D6858" s="5"/>
      <c r="E6858" s="5" t="str">
        <f t="shared" si="329"/>
        <v>INSTRUMENTACION-DIANA CAICEDO-DIANA DIAZ</v>
      </c>
      <c r="F6858" s="5" t="str">
        <f>"Descripcion: ESPECULO NASAL COTLE SMITH Estado: Bueno Placa anterior: 000016141 Material: ACERO INOXIDABLE Color: PLATEADO Referencia:  Observacion:  Placa padre: Tipo adquisicion: Entidad"</f>
        <v>Descripcion: ESPECULO NASAL COTLE SMITH Estado: Bueno Placa anterior: 000016141 Material: ACERO INOXIDABLE Color: PLATEADO Referencia:  Observacion:  Placa padre: Tipo adquisicion: Entidad</v>
      </c>
      <c r="G6858" s="5"/>
    </row>
    <row r="6859" spans="1:7" ht="58.5" customHeight="1" x14ac:dyDescent="0.25">
      <c r="A6859" s="5" t="str">
        <f>"I0005196"</f>
        <v>I0005196</v>
      </c>
      <c r="B6859" s="5" t="str">
        <f>"DISECTOR PASA HILOS"</f>
        <v>DISECTOR PASA HILOS</v>
      </c>
      <c r="C6859" s="6">
        <v>208104</v>
      </c>
      <c r="D6859" s="5"/>
      <c r="E6859" s="5" t="str">
        <f t="shared" si="329"/>
        <v>INSTRUMENTACION-DIANA CAICEDO-DIANA DIAZ</v>
      </c>
      <c r="F6859" s="5" t="str">
        <f>"Descripcion: DISECTOR DOBLE PENFIELD 7/4 MILTEX 26-1450 Estado: Bueno Placa anterior: 000025489 Material: ACERO INOXIDABLE Color: PLATEADO Referencia:  Observacion:  Placa padre: Tipo adquisicion: Entidad"</f>
        <v>Descripcion: DISECTOR DOBLE PENFIELD 7/4 MILTEX 26-1450 Estado: Bueno Placa anterior: 000025489 Material: ACERO INOXIDABLE Color: PLATEADO Referencia:  Observacion:  Placa padre: Tipo adquisicion: Entidad</v>
      </c>
      <c r="G6859" s="5"/>
    </row>
    <row r="6860" spans="1:7" ht="58.5" customHeight="1" x14ac:dyDescent="0.25">
      <c r="A6860" s="5" t="str">
        <f>"I0005197"</f>
        <v>I0005197</v>
      </c>
      <c r="B6860" s="5" t="str">
        <f>"DISECTOR PASA HILOS"</f>
        <v>DISECTOR PASA HILOS</v>
      </c>
      <c r="C6860" s="6">
        <v>208104</v>
      </c>
      <c r="D6860" s="5"/>
      <c r="E6860" s="5" t="str">
        <f t="shared" si="329"/>
        <v>INSTRUMENTACION-DIANA CAICEDO-DIANA DIAZ</v>
      </c>
      <c r="F6860" s="5" t="str">
        <f>"Descripcion: DISECTOR DOBLE PENFIELD 7/4 MILTEX 26-1450 Estado: Bueno Placa anterior: 000025490 Material: ACERO INOXIDABLE Color: PLATEADO Referencia:  Observacion:  Placa padre: Tipo adquisicion: Entidad"</f>
        <v>Descripcion: DISECTOR DOBLE PENFIELD 7/4 MILTEX 26-1450 Estado: Bueno Placa anterior: 000025490 Material: ACERO INOXIDABLE Color: PLATEADO Referencia:  Observacion:  Placa padre: Tipo adquisicion: Entidad</v>
      </c>
      <c r="G6860" s="5"/>
    </row>
    <row r="6861" spans="1:7" ht="58.5" customHeight="1" x14ac:dyDescent="0.25">
      <c r="A6861" s="5" t="str">
        <f>"I0005198"</f>
        <v>I0005198</v>
      </c>
      <c r="B6861" s="5" t="str">
        <f>"PINZA"</f>
        <v>PINZA</v>
      </c>
      <c r="C6861" s="6">
        <v>6185</v>
      </c>
      <c r="D6861" s="5"/>
      <c r="E6861" s="5" t="str">
        <f t="shared" si="329"/>
        <v>INSTRUMENTACION-DIANA CAICEDO-DIANA DIAZ</v>
      </c>
      <c r="F6861" s="5" t="str">
        <f>"Descripcion: PINZA FRANKELIN DE POLIPO LARINGEO Estado: Bueno Placa anterior: 000016185 Material: ACERO INOXIDABLE Color: PLATEADO Referencia:  Observacion:  Placa padre: Tipo adquisicion: Entidad"</f>
        <v>Descripcion: PINZA FRANKELIN DE POLIPO LARINGEO Estado: Bueno Placa anterior: 000016185 Material: ACERO INOXIDABLE Color: PLATEADO Referencia:  Observacion:  Placa padre: Tipo adquisicion: Entidad</v>
      </c>
      <c r="G6861" s="5"/>
    </row>
    <row r="6862" spans="1:7" ht="58.5" customHeight="1" x14ac:dyDescent="0.25">
      <c r="A6862" s="5" t="str">
        <f>"I0005199"</f>
        <v>I0005199</v>
      </c>
      <c r="B6862" s="5" t="str">
        <f>"ADENOTOMOS DE CANASTA"</f>
        <v>ADENOTOMOS DE CANASTA</v>
      </c>
      <c r="C6862" s="6">
        <v>86000</v>
      </c>
      <c r="D6862" s="5"/>
      <c r="E6862" s="5" t="str">
        <f t="shared" si="329"/>
        <v>INSTRUMENTACION-DIANA CAICEDO-DIANA DIAZ</v>
      </c>
      <c r="F6862" s="5" t="str">
        <f>"Descripcion: ADENOTOMOS DE CANASTA Estado: Bueno Placa anterior: 000016191 Material: ACERO INOXIDABLE Color: PLATEADO Referencia:  Observacion:  Placa padre: Tipo adquisicion: Entidad"</f>
        <v>Descripcion: ADENOTOMOS DE CANASTA Estado: Bueno Placa anterior: 000016191 Material: ACERO INOXIDABLE Color: PLATEADO Referencia:  Observacion:  Placa padre: Tipo adquisicion: Entidad</v>
      </c>
      <c r="G6862" s="5"/>
    </row>
    <row r="6863" spans="1:7" ht="58.5" customHeight="1" x14ac:dyDescent="0.25">
      <c r="A6863" s="5" t="str">
        <f>"I0005200"</f>
        <v>I0005200</v>
      </c>
      <c r="B6863" s="5" t="str">
        <f>"ADENOTOMOS DE CANASTA"</f>
        <v>ADENOTOMOS DE CANASTA</v>
      </c>
      <c r="C6863" s="6">
        <v>86000</v>
      </c>
      <c r="D6863" s="5"/>
      <c r="E6863" s="5" t="str">
        <f t="shared" si="329"/>
        <v>INSTRUMENTACION-DIANA CAICEDO-DIANA DIAZ</v>
      </c>
      <c r="F6863" s="5" t="str">
        <f>"Descripcion: ADENOTOMOS DE CANASTA Estado: Bueno Placa anterior: 000016192 Material: ACERO INOXIDABLE Color: PLATEADO Referencia:  Observacion:  Placa padre: Tipo adquisicion: Entidad"</f>
        <v>Descripcion: ADENOTOMOS DE CANASTA Estado: Bueno Placa anterior: 000016192 Material: ACERO INOXIDABLE Color: PLATEADO Referencia:  Observacion:  Placa padre: Tipo adquisicion: Entidad</v>
      </c>
      <c r="G6863" s="5"/>
    </row>
    <row r="6864" spans="1:7" ht="58.5" customHeight="1" x14ac:dyDescent="0.25">
      <c r="A6864" s="5" t="str">
        <f>"I0005201"</f>
        <v>I0005201</v>
      </c>
      <c r="B6864" s="5" t="str">
        <f>"ADENOTOMOS DE CANASTA"</f>
        <v>ADENOTOMOS DE CANASTA</v>
      </c>
      <c r="C6864" s="6">
        <v>86000</v>
      </c>
      <c r="D6864" s="5"/>
      <c r="E6864" s="5" t="str">
        <f t="shared" si="329"/>
        <v>INSTRUMENTACION-DIANA CAICEDO-DIANA DIAZ</v>
      </c>
      <c r="F6864" s="5" t="str">
        <f>"Descripcion: ADENOTOMOS DE CANASTA Estado: Bueno Placa anterior: 000016193 Material: ACERO INOXIDABLE Color: PLATEADO Referencia:  Observacion:  Placa padre: Tipo adquisicion: Entidad"</f>
        <v>Descripcion: ADENOTOMOS DE CANASTA Estado: Bueno Placa anterior: 000016193 Material: ACERO INOXIDABLE Color: PLATEADO Referencia:  Observacion:  Placa padre: Tipo adquisicion: Entidad</v>
      </c>
      <c r="G6864" s="5"/>
    </row>
    <row r="6865" spans="1:7" ht="58.5" customHeight="1" x14ac:dyDescent="0.25">
      <c r="A6865" s="5" t="str">
        <f>"I0005202"</f>
        <v>I0005202</v>
      </c>
      <c r="B6865" s="5" t="str">
        <f>"ESPECULO"</f>
        <v>ESPECULO</v>
      </c>
      <c r="C6865" s="6">
        <v>26400</v>
      </c>
      <c r="D6865" s="5"/>
      <c r="E6865" s="5" t="str">
        <f t="shared" si="329"/>
        <v>INSTRUMENTACION-DIANA CAICEDO-DIANA DIAZ</v>
      </c>
      <c r="F6865" s="5" t="str">
        <f>"Descripcion: ESPECULO DE VIENA Estado: Bueno Placa anterior: 000016177 Material: ACERO INOXIDABLE Color: PLATEADO Referencia:  Observacion:  Placa padre: Tipo adquisicion: Entidad"</f>
        <v>Descripcion: ESPECULO DE VIENA Estado: Bueno Placa anterior: 000016177 Material: ACERO INOXIDABLE Color: PLATEADO Referencia:  Observacion:  Placa padre: Tipo adquisicion: Entidad</v>
      </c>
      <c r="G6865" s="5"/>
    </row>
    <row r="6866" spans="1:7" ht="58.5" customHeight="1" x14ac:dyDescent="0.25">
      <c r="A6866" s="5" t="str">
        <f>"I0005206"</f>
        <v>I0005206</v>
      </c>
      <c r="B6866" s="5" t="str">
        <f t="shared" ref="B6866:B6874" si="331">"PINZA HARTMAN"</f>
        <v>PINZA HARTMAN</v>
      </c>
      <c r="C6866" s="6">
        <v>14850</v>
      </c>
      <c r="D6866" s="5"/>
      <c r="E6866" s="5" t="str">
        <f t="shared" si="329"/>
        <v>INSTRUMENTACION-DIANA CAICEDO-DIANA DIAZ</v>
      </c>
      <c r="F6866" s="5" t="str">
        <f>"Descripcion: PINZA DE HARTMAN PEQUEÑA Estado: Bueno Placa anterior: 000016161 Material: ACERO INOXIDABLE Color: PLATEADO Referencia:  Observacion:  Placa padre: Tipo adquisicion: Entidad"</f>
        <v>Descripcion: PINZA DE HARTMAN PEQUEÑA Estado: Bueno Placa anterior: 000016161 Material: ACERO INOXIDABLE Color: PLATEADO Referencia:  Observacion:  Placa padre: Tipo adquisicion: Entidad</v>
      </c>
      <c r="G6866" s="5"/>
    </row>
    <row r="6867" spans="1:7" ht="58.5" customHeight="1" x14ac:dyDescent="0.25">
      <c r="A6867" s="5" t="str">
        <f>"I0005207"</f>
        <v>I0005207</v>
      </c>
      <c r="B6867" s="5" t="str">
        <f t="shared" si="331"/>
        <v>PINZA HARTMAN</v>
      </c>
      <c r="C6867" s="6">
        <v>14850</v>
      </c>
      <c r="D6867" s="5"/>
      <c r="E6867" s="5" t="str">
        <f t="shared" si="329"/>
        <v>INSTRUMENTACION-DIANA CAICEDO-DIANA DIAZ</v>
      </c>
      <c r="F6867" s="5" t="str">
        <f>"Descripcion: PINZA DE HARTMAN PEQUEÑA Estado: Bueno Placa anterior: 000016162 Material: ACERO INOXIDABLE Color: PLATEADO Referencia:  Observacion:  Placa padre: Tipo adquisicion: Entidad"</f>
        <v>Descripcion: PINZA DE HARTMAN PEQUEÑA Estado: Bueno Placa anterior: 000016162 Material: ACERO INOXIDABLE Color: PLATEADO Referencia:  Observacion:  Placa padre: Tipo adquisicion: Entidad</v>
      </c>
      <c r="G6867" s="5"/>
    </row>
    <row r="6868" spans="1:7" ht="58.5" customHeight="1" x14ac:dyDescent="0.25">
      <c r="A6868" s="5" t="str">
        <f>"I0005208"</f>
        <v>I0005208</v>
      </c>
      <c r="B6868" s="5" t="str">
        <f t="shared" si="331"/>
        <v>PINZA HARTMAN</v>
      </c>
      <c r="C6868" s="6">
        <v>14850</v>
      </c>
      <c r="D6868" s="5"/>
      <c r="E6868" s="5" t="str">
        <f t="shared" si="329"/>
        <v>INSTRUMENTACION-DIANA CAICEDO-DIANA DIAZ</v>
      </c>
      <c r="F6868" s="5" t="str">
        <f>"Descripcion: PINZA DE HARTMAN PEQUEÑA Estado: Bueno Placa anterior: 000016163 Material: ACERO INOXIDABLE Color: PLATEADO Referencia:  Observacion:  Placa padre: Tipo adquisicion: Entidad"</f>
        <v>Descripcion: PINZA DE HARTMAN PEQUEÑA Estado: Bueno Placa anterior: 000016163 Material: ACERO INOXIDABLE Color: PLATEADO Referencia:  Observacion:  Placa padre: Tipo adquisicion: Entidad</v>
      </c>
      <c r="G6868" s="5"/>
    </row>
    <row r="6869" spans="1:7" ht="58.5" customHeight="1" x14ac:dyDescent="0.25">
      <c r="A6869" s="5" t="str">
        <f>"I0005209"</f>
        <v>I0005209</v>
      </c>
      <c r="B6869" s="5" t="str">
        <f t="shared" si="331"/>
        <v>PINZA HARTMAN</v>
      </c>
      <c r="C6869" s="6">
        <v>14850</v>
      </c>
      <c r="D6869" s="5"/>
      <c r="E6869" s="5" t="str">
        <f t="shared" si="329"/>
        <v>INSTRUMENTACION-DIANA CAICEDO-DIANA DIAZ</v>
      </c>
      <c r="F6869" s="5" t="str">
        <f>"Descripcion: PINZA DE HARTMAN PEQUEÑA Estado: Bueno Placa anterior: 000016164 Material: ACERO INOXIDABLE Color: PLATEADO Referencia:  Observacion:  Placa padre: Tipo adquisicion: Entidad"</f>
        <v>Descripcion: PINZA DE HARTMAN PEQUEÑA Estado: Bueno Placa anterior: 000016164 Material: ACERO INOXIDABLE Color: PLATEADO Referencia:  Observacion:  Placa padre: Tipo adquisicion: Entidad</v>
      </c>
      <c r="G6869" s="5"/>
    </row>
    <row r="6870" spans="1:7" ht="58.5" customHeight="1" x14ac:dyDescent="0.25">
      <c r="A6870" s="5" t="str">
        <f>"I0005210"</f>
        <v>I0005210</v>
      </c>
      <c r="B6870" s="5" t="str">
        <f t="shared" si="331"/>
        <v>PINZA HARTMAN</v>
      </c>
      <c r="C6870" s="6">
        <v>14850</v>
      </c>
      <c r="D6870" s="5"/>
      <c r="E6870" s="5" t="str">
        <f t="shared" si="329"/>
        <v>INSTRUMENTACION-DIANA CAICEDO-DIANA DIAZ</v>
      </c>
      <c r="F6870" s="5" t="str">
        <f>"Descripcion: PINZA DE HARTMAN PEQUEÑA Estado: Bueno Placa anterior: 000016165 Material: ACERO INOXIDABLE Color: PLATEADO Referencia:  Observacion:  Placa padre: Tipo adquisicion: Entidad"</f>
        <v>Descripcion: PINZA DE HARTMAN PEQUEÑA Estado: Bueno Placa anterior: 000016165 Material: ACERO INOXIDABLE Color: PLATEADO Referencia:  Observacion:  Placa padre: Tipo adquisicion: Entidad</v>
      </c>
      <c r="G6870" s="5"/>
    </row>
    <row r="6871" spans="1:7" ht="58.5" customHeight="1" x14ac:dyDescent="0.25">
      <c r="A6871" s="5" t="str">
        <f>"I0005211"</f>
        <v>I0005211</v>
      </c>
      <c r="B6871" s="5" t="str">
        <f t="shared" si="331"/>
        <v>PINZA HARTMAN</v>
      </c>
      <c r="C6871" s="6">
        <v>14850</v>
      </c>
      <c r="D6871" s="5"/>
      <c r="E6871" s="5" t="str">
        <f t="shared" si="329"/>
        <v>INSTRUMENTACION-DIANA CAICEDO-DIANA DIAZ</v>
      </c>
      <c r="F6871" s="5" t="str">
        <f>"Descripcion: PINZA DE HARTMAN PEQUEÑA Estado: Bueno Placa anterior: 000016166 Material: ACERO INOXIDABLE Color: PLATEADO Referencia:  Observacion:  Placa padre: Tipo adquisicion: Entidad"</f>
        <v>Descripcion: PINZA DE HARTMAN PEQUEÑA Estado: Bueno Placa anterior: 000016166 Material: ACERO INOXIDABLE Color: PLATEADO Referencia:  Observacion:  Placa padre: Tipo adquisicion: Entidad</v>
      </c>
      <c r="G6871" s="5"/>
    </row>
    <row r="6872" spans="1:7" ht="58.5" customHeight="1" x14ac:dyDescent="0.25">
      <c r="A6872" s="5" t="str">
        <f>"I0005212"</f>
        <v>I0005212</v>
      </c>
      <c r="B6872" s="5" t="str">
        <f t="shared" si="331"/>
        <v>PINZA HARTMAN</v>
      </c>
      <c r="C6872" s="6">
        <v>14850</v>
      </c>
      <c r="D6872" s="5"/>
      <c r="E6872" s="5" t="str">
        <f t="shared" si="329"/>
        <v>INSTRUMENTACION-DIANA CAICEDO-DIANA DIAZ</v>
      </c>
      <c r="F6872" s="5" t="str">
        <f>"Descripcion: PINZA DE HARTMAN PEQUEÑA Estado: Bueno Placa anterior: 000016167 Material: ACERO INOXIDABLE Color: PLATEADO Referencia:  Observacion:  Placa padre: Tipo adquisicion: Entidad"</f>
        <v>Descripcion: PINZA DE HARTMAN PEQUEÑA Estado: Bueno Placa anterior: 000016167 Material: ACERO INOXIDABLE Color: PLATEADO Referencia:  Observacion:  Placa padre: Tipo adquisicion: Entidad</v>
      </c>
      <c r="G6872" s="5"/>
    </row>
    <row r="6873" spans="1:7" ht="58.5" customHeight="1" x14ac:dyDescent="0.25">
      <c r="A6873" s="5" t="str">
        <f>"I0005213"</f>
        <v>I0005213</v>
      </c>
      <c r="B6873" s="5" t="str">
        <f t="shared" si="331"/>
        <v>PINZA HARTMAN</v>
      </c>
      <c r="C6873" s="6">
        <v>14850</v>
      </c>
      <c r="D6873" s="5"/>
      <c r="E6873" s="5" t="str">
        <f t="shared" si="329"/>
        <v>INSTRUMENTACION-DIANA CAICEDO-DIANA DIAZ</v>
      </c>
      <c r="F6873" s="5" t="str">
        <f>"Descripcion: PINZA DE HARTMAN PEQUEÑA Estado: Bueno Placa anterior: 000016168 Material: ACERO INOXIDABLE Color: PLATEADO Referencia:  Observacion:  Placa padre: Tipo adquisicion: Entidad"</f>
        <v>Descripcion: PINZA DE HARTMAN PEQUEÑA Estado: Bueno Placa anterior: 000016168 Material: ACERO INOXIDABLE Color: PLATEADO Referencia:  Observacion:  Placa padre: Tipo adquisicion: Entidad</v>
      </c>
      <c r="G6873" s="5"/>
    </row>
    <row r="6874" spans="1:7" ht="58.5" customHeight="1" x14ac:dyDescent="0.25">
      <c r="A6874" s="5" t="str">
        <f>"I0005214"</f>
        <v>I0005214</v>
      </c>
      <c r="B6874" s="5" t="str">
        <f t="shared" si="331"/>
        <v>PINZA HARTMAN</v>
      </c>
      <c r="C6874" s="6">
        <v>14850</v>
      </c>
      <c r="D6874" s="5"/>
      <c r="E6874" s="5" t="str">
        <f t="shared" si="329"/>
        <v>INSTRUMENTACION-DIANA CAICEDO-DIANA DIAZ</v>
      </c>
      <c r="F6874" s="5" t="str">
        <f>"Descripcion: PINZA DE HARTMAN PEQUEÑA Estado: Bueno Placa anterior: 000016169 Material: ACERO INOXIDABLE Color: PLATEADO Referencia:  Observacion:  Placa padre: Tipo adquisicion: Entidad"</f>
        <v>Descripcion: PINZA DE HARTMAN PEQUEÑA Estado: Bueno Placa anterior: 000016169 Material: ACERO INOXIDABLE Color: PLATEADO Referencia:  Observacion:  Placa padre: Tipo adquisicion: Entidad</v>
      </c>
      <c r="G6874" s="5"/>
    </row>
    <row r="6875" spans="1:7" ht="58.5" customHeight="1" x14ac:dyDescent="0.25">
      <c r="A6875" s="5" t="str">
        <f>"I0005215"</f>
        <v>I0005215</v>
      </c>
      <c r="B6875" s="5" t="str">
        <f>"GANCHO DOBLE (INSTRUMENTAL)"</f>
        <v>GANCHO DOBLE (INSTRUMENTAL)</v>
      </c>
      <c r="C6875" s="6">
        <v>85260</v>
      </c>
      <c r="D6875" s="5"/>
      <c r="E6875" s="5" t="str">
        <f t="shared" si="329"/>
        <v>INSTRUMENTACION-DIANA CAICEDO-DIANA DIAZ</v>
      </c>
      <c r="F6875" s="5" t="str">
        <f>"Descripcion: GANCHO GRAHAM PARA NERVIO 7 MILTEX 26-1156 Estado: Bueno Placa anterior: 000025488 Material: ACERO INOXIDABLE Color: PLATEADO Referencia:  Observacion:  Placa padre: Tipo adquisicion: Entidad"</f>
        <v>Descripcion: GANCHO GRAHAM PARA NERVIO 7 MILTEX 26-1156 Estado: Bueno Placa anterior: 000025488 Material: ACERO INOXIDABLE Color: PLATEADO Referencia:  Observacion:  Placa padre: Tipo adquisicion: Entidad</v>
      </c>
      <c r="G6875" s="5"/>
    </row>
    <row r="6876" spans="1:7" ht="58.5" customHeight="1" x14ac:dyDescent="0.25">
      <c r="A6876" s="5" t="str">
        <f>"I0005217"</f>
        <v>I0005217</v>
      </c>
      <c r="B6876" s="5" t="str">
        <f>"CURETA"</f>
        <v>CURETA</v>
      </c>
      <c r="C6876" s="6">
        <v>632700</v>
      </c>
      <c r="D6876" s="5"/>
      <c r="E6876" s="5" t="str">
        <f t="shared" si="329"/>
        <v>INSTRUMENTACION-DIANA CAICEDO-DIANA DIAZ</v>
      </c>
      <c r="F6876" s="5" t="str">
        <f>"Descripcion: CURETA DE NILES Estado: Bueno Placa anterior: 000016150 Material: ACERO INOXIDABLE Color: PLATEADO Referencia:  Observacion:  Placa padre: Tipo adquisicion: Entidad"</f>
        <v>Descripcion: CURETA DE NILES Estado: Bueno Placa anterior: 000016150 Material: ACERO INOXIDABLE Color: PLATEADO Referencia:  Observacion:  Placa padre: Tipo adquisicion: Entidad</v>
      </c>
      <c r="G6876" s="5"/>
    </row>
    <row r="6877" spans="1:7" ht="58.5" customHeight="1" x14ac:dyDescent="0.25">
      <c r="A6877" s="5" t="str">
        <f>"I0005218"</f>
        <v>I0005218</v>
      </c>
      <c r="B6877" s="5" t="str">
        <f>"CURETA"</f>
        <v>CURETA</v>
      </c>
      <c r="C6877" s="6">
        <v>632700</v>
      </c>
      <c r="D6877" s="5"/>
      <c r="E6877" s="5" t="str">
        <f t="shared" si="329"/>
        <v>INSTRUMENTACION-DIANA CAICEDO-DIANA DIAZ</v>
      </c>
      <c r="F6877" s="5" t="str">
        <f>"Descripcion: CURETA DE NILES Estado: Bueno Placa anterior: 000016151 Material: ACERO INOXIDABLE Color: PLATEADO Referencia:  Observacion:  Placa padre: Tipo adquisicion: Entidad"</f>
        <v>Descripcion: CURETA DE NILES Estado: Bueno Placa anterior: 000016151 Material: ACERO INOXIDABLE Color: PLATEADO Referencia:  Observacion:  Placa padre: Tipo adquisicion: Entidad</v>
      </c>
      <c r="G6877" s="5"/>
    </row>
    <row r="6878" spans="1:7" ht="58.5" customHeight="1" x14ac:dyDescent="0.25">
      <c r="A6878" s="5" t="str">
        <f>"I0005219"</f>
        <v>I0005219</v>
      </c>
      <c r="B6878" s="5" t="str">
        <f>"CURETA"</f>
        <v>CURETA</v>
      </c>
      <c r="C6878" s="6">
        <v>632700</v>
      </c>
      <c r="D6878" s="5"/>
      <c r="E6878" s="5" t="str">
        <f t="shared" si="329"/>
        <v>INSTRUMENTACION-DIANA CAICEDO-DIANA DIAZ</v>
      </c>
      <c r="F6878" s="5" t="str">
        <f>"Descripcion: CURETA DE NILES Estado: Bueno Placa anterior: 000016152 Material: ACERO INOXIDABLE Color: PLATEADO Referencia:  Observacion:  Placa padre: Tipo adquisicion: Entidad"</f>
        <v>Descripcion: CURETA DE NILES Estado: Bueno Placa anterior: 000016152 Material: ACERO INOXIDABLE Color: PLATEADO Referencia:  Observacion:  Placa padre: Tipo adquisicion: Entidad</v>
      </c>
      <c r="G6878" s="5"/>
    </row>
    <row r="6879" spans="1:7" ht="58.5" customHeight="1" x14ac:dyDescent="0.25">
      <c r="A6879" s="5" t="str">
        <f>"I0005232"</f>
        <v>I0005232</v>
      </c>
      <c r="B6879" s="5" t="str">
        <f>"PINZA"</f>
        <v>PINZA</v>
      </c>
      <c r="C6879" s="6">
        <v>237800</v>
      </c>
      <c r="D6879" s="5"/>
      <c r="E6879" s="5" t="str">
        <f t="shared" ref="E6879:E6942" si="332">"INSTRUMENTACION-DIANA CAICEDO-DIANA DIAZ"</f>
        <v>INSTRUMENTACION-DIANA CAICEDO-DIANA DIAZ</v>
      </c>
      <c r="F6879" s="5" t="str">
        <f>"Descripcion: PINZA BISCHOP HARTMAN CON GARRA Estado: Bueno Placa anterior: 000036020 Material: ACERO INOXIDABLE Color: PLATEADO Referencia:  Observacion: PINZA HARTMAN MEDIANA Placa padre: Tipo adquisicion: Entidad"</f>
        <v>Descripcion: PINZA BISCHOP HARTMAN CON GARRA Estado: Bueno Placa anterior: 000036020 Material: ACERO INOXIDABLE Color: PLATEADO Referencia:  Observacion: PINZA HARTMAN MEDIANA Placa padre: Tipo adquisicion: Entidad</v>
      </c>
      <c r="G6879" s="5"/>
    </row>
    <row r="6880" spans="1:7" ht="58.5" customHeight="1" x14ac:dyDescent="0.25">
      <c r="A6880" s="5" t="str">
        <f>"I0005255"</f>
        <v>I0005255</v>
      </c>
      <c r="B6880" s="5" t="str">
        <f>"CINCEL (INSTRUMENTAL)"</f>
        <v>CINCEL (INSTRUMENTAL)</v>
      </c>
      <c r="C6880" s="6">
        <v>146160</v>
      </c>
      <c r="D6880" s="5"/>
      <c r="E6880" s="5" t="str">
        <f t="shared" si="332"/>
        <v>INSTRUMENTACION-DIANA CAICEDO-DIANA DIAZ</v>
      </c>
      <c r="F6880" s="5" t="str">
        <f>"Descripcion: CINCEL RECTO 4MM Estado: Bueno Placa anterior: 000023256 Material: ACERO INOXIDABLE Color: PLATEADO Referencia:  Observacion: OSTEOMO HANSEN (CINCELES -4) RECTO 4MM. DE ANCHO, LONG. 140 MM. (5 1/2) Placa padre: Tipo adquisicion: Entidad"</f>
        <v>Descripcion: CINCEL RECTO 4MM Estado: Bueno Placa anterior: 000023256 Material: ACERO INOXIDABLE Color: PLATEADO Referencia:  Observacion: OSTEOMO HANSEN (CINCELES -4) RECTO 4MM. DE ANCHO, LONG. 140 MM. (5 1/2) Placa padre: Tipo adquisicion: Entidad</v>
      </c>
      <c r="G6880" s="5"/>
    </row>
    <row r="6881" spans="1:7" ht="58.5" customHeight="1" x14ac:dyDescent="0.25">
      <c r="A6881" s="5" t="str">
        <f>"I0005260"</f>
        <v>I0005260</v>
      </c>
      <c r="B6881" s="5" t="str">
        <f>"PINZA"</f>
        <v>PINZA</v>
      </c>
      <c r="C6881" s="6">
        <v>1392000</v>
      </c>
      <c r="D6881" s="5" t="s">
        <v>433</v>
      </c>
      <c r="E6881" s="5" t="str">
        <f t="shared" si="332"/>
        <v>INSTRUMENTACION-DIANA CAICEDO-DIANA DIAZ</v>
      </c>
      <c r="F6881" s="5" t="str">
        <f>"Descripcion: PINZA CHITELLY Estado: Bueno Placa anterior: 000031937 Material: ACERO INOXIDABLE Color: PLATEADO Referencia:  Observacion:  Placa padre: Tipo adquisicion: Entidad"</f>
        <v>Descripcion: PINZA CHITELLY Estado: Bueno Placa anterior: 000031937 Material: ACERO INOXIDABLE Color: PLATEADO Referencia:  Observacion:  Placa padre: Tipo adquisicion: Entidad</v>
      </c>
      <c r="G6881" s="5"/>
    </row>
    <row r="6882" spans="1:7" ht="58.5" customHeight="1" x14ac:dyDescent="0.25">
      <c r="A6882" s="5" t="str">
        <f>"I0005261"</f>
        <v>I0005261</v>
      </c>
      <c r="B6882" s="5" t="str">
        <f>"PINZA"</f>
        <v>PINZA</v>
      </c>
      <c r="C6882" s="6">
        <v>1392000</v>
      </c>
      <c r="D6882" s="5" t="s">
        <v>433</v>
      </c>
      <c r="E6882" s="5" t="str">
        <f t="shared" si="332"/>
        <v>INSTRUMENTACION-DIANA CAICEDO-DIANA DIAZ</v>
      </c>
      <c r="F6882" s="5" t="str">
        <f>"Descripcion: PINZA CHITELLY Estado: Bueno Placa anterior: 000031936 Material: ACERO INOXIDABLE Color: PLATEADO Referencia:  Observacion:  Placa padre: Tipo adquisicion: Entidad"</f>
        <v>Descripcion: PINZA CHITELLY Estado: Bueno Placa anterior: 000031936 Material: ACERO INOXIDABLE Color: PLATEADO Referencia:  Observacion:  Placa padre: Tipo adquisicion: Entidad</v>
      </c>
      <c r="G6882" s="5"/>
    </row>
    <row r="6883" spans="1:7" ht="58.5" customHeight="1" x14ac:dyDescent="0.25">
      <c r="A6883" s="5" t="str">
        <f>"I0005263"</f>
        <v>I0005263</v>
      </c>
      <c r="B6883" s="5" t="str">
        <f>"PINZA BAYONETA"</f>
        <v>PINZA BAYONETA</v>
      </c>
      <c r="C6883" s="6">
        <v>226200</v>
      </c>
      <c r="D6883" s="5"/>
      <c r="E6883" s="5" t="str">
        <f t="shared" si="332"/>
        <v>INSTRUMENTACION-DIANA CAICEDO-DIANA DIAZ</v>
      </c>
      <c r="F6883" s="5" t="str">
        <f>"Descripcion: PINZA BAYONETA Estado: Bueno Placa anterior: 000036470 Material: ACERO INOXIDABLE Color: PLATEADO Referencia:  Observacion: PINZA BIPOLAR EN BOYONETA PUNTA RECTA DE 2MM X 8.5 MATERIAL ACERO INOXIDABLE Placa padre: Tipo adquisicion: Entidad"</f>
        <v>Descripcion: PINZA BAYONETA Estado: Bueno Placa anterior: 000036470 Material: ACERO INOXIDABLE Color: PLATEADO Referencia:  Observacion: PINZA BIPOLAR EN BOYONETA PUNTA RECTA DE 2MM X 8.5 MATERIAL ACERO INOXIDABLE Placa padre: Tipo adquisicion: Entidad</v>
      </c>
      <c r="G6883" s="5"/>
    </row>
    <row r="6884" spans="1:7" ht="58.5" customHeight="1" x14ac:dyDescent="0.25">
      <c r="A6884" s="5" t="str">
        <f>"I0005266"</f>
        <v>I0005266</v>
      </c>
      <c r="B6884" s="5" t="str">
        <f>"PINZA HARTMAN"</f>
        <v>PINZA HARTMAN</v>
      </c>
      <c r="C6884" s="6">
        <v>336400</v>
      </c>
      <c r="D6884" s="5"/>
      <c r="E6884" s="5" t="str">
        <f t="shared" si="332"/>
        <v>INSTRUMENTACION-DIANA CAICEDO-DIANA DIAZ</v>
      </c>
      <c r="F6884" s="5" t="str">
        <f>"Descripcion: PINZAS HARTMANN FINA Estado: Bueno Placa anterior: 000036018 Material: ACERO INOXIDABLE Color: PLATEADO Referencia:  Observacion: PINZA HARTMAN Placa padre: Tipo adquisicion: Entidad"</f>
        <v>Descripcion: PINZAS HARTMANN FINA Estado: Bueno Placa anterior: 000036018 Material: ACERO INOXIDABLE Color: PLATEADO Referencia:  Observacion: PINZA HARTMAN Placa padre: Tipo adquisicion: Entidad</v>
      </c>
      <c r="G6884" s="5"/>
    </row>
    <row r="6885" spans="1:7" ht="58.5" customHeight="1" x14ac:dyDescent="0.25">
      <c r="A6885" s="5" t="str">
        <f>"I0005267"</f>
        <v>I0005267</v>
      </c>
      <c r="B6885" s="5" t="str">
        <f>"PINZA HARTMAN"</f>
        <v>PINZA HARTMAN</v>
      </c>
      <c r="C6885" s="6">
        <v>336400</v>
      </c>
      <c r="D6885" s="5"/>
      <c r="E6885" s="5" t="str">
        <f t="shared" si="332"/>
        <v>INSTRUMENTACION-DIANA CAICEDO-DIANA DIAZ</v>
      </c>
      <c r="F6885" s="5" t="str">
        <f>"Descripcion: PINZAS HARTMANN FINA Estado: Bueno Placa anterior: 000036019 Material: ACERO INOXIDABLE Color: PLATEADO Referencia:  Observacion: PINZA HARTMAN Placa padre: Tipo adquisicion: Entidad"</f>
        <v>Descripcion: PINZAS HARTMANN FINA Estado: Bueno Placa anterior: 000036019 Material: ACERO INOXIDABLE Color: PLATEADO Referencia:  Observacion: PINZA HARTMAN Placa padre: Tipo adquisicion: Entidad</v>
      </c>
      <c r="G6885" s="5"/>
    </row>
    <row r="6886" spans="1:7" ht="58.5" customHeight="1" x14ac:dyDescent="0.25">
      <c r="A6886" s="5" t="str">
        <f>"I0005268"</f>
        <v>I0005268</v>
      </c>
      <c r="B6886" s="5" t="str">
        <f>"PINZA HARTMAN"</f>
        <v>PINZA HARTMAN</v>
      </c>
      <c r="C6886" s="6">
        <v>237800</v>
      </c>
      <c r="D6886" s="5"/>
      <c r="E6886" s="5" t="str">
        <f t="shared" si="332"/>
        <v>INSTRUMENTACION-DIANA CAICEDO-DIANA DIAZ</v>
      </c>
      <c r="F6886" s="5" t="str">
        <f>"Descripcion: PINZAS HARTMANN FINA Estado: Bueno Placa anterior: 000036021 Material: ACERO INOXIDABLE Color: PLATEADO Referencia:  Observacion: PINZA HARTMAN MEDIANA  Placa padre: Tipo adquisicion: Entidad"</f>
        <v>Descripcion: PINZAS HARTMANN FINA Estado: Bueno Placa anterior: 000036021 Material: ACERO INOXIDABLE Color: PLATEADO Referencia:  Observacion: PINZA HARTMAN MEDIANA  Placa padre: Tipo adquisicion: Entidad</v>
      </c>
      <c r="G6886" s="5"/>
    </row>
    <row r="6887" spans="1:7" ht="58.5" customHeight="1" x14ac:dyDescent="0.25">
      <c r="A6887" s="5" t="str">
        <f>"I0005365"</f>
        <v>I0005365</v>
      </c>
      <c r="B6887" s="5" t="str">
        <f>"PINZA DE DISECCION SIN GARRA CORTA 20 CM"</f>
        <v>PINZA DE DISECCION SIN GARRA CORTA 20 CM</v>
      </c>
      <c r="C6887" s="6">
        <v>110200</v>
      </c>
      <c r="D6887" s="5"/>
      <c r="E6887" s="5" t="str">
        <f t="shared" si="332"/>
        <v>INSTRUMENTACION-DIANA CAICEDO-DIANA DIAZ</v>
      </c>
      <c r="F6887" s="5" t="str">
        <f>"Descripcion: PINZA DISECCION ARRUGA Estado: Bueno Placa anterior: 000032116 Material: ACERO INOXIDABLE Color: PLATEADO Referencia:  Observacion: PINZA BON PARA ANUDAR DE 0.12 MM CON GARRA 1X2 DIENTES  Placa padre: Tipo adquisicion: Entidad"</f>
        <v>Descripcion: PINZA DISECCION ARRUGA Estado: Bueno Placa anterior: 000032116 Material: ACERO INOXIDABLE Color: PLATEADO Referencia:  Observacion: PINZA BON PARA ANUDAR DE 0.12 MM CON GARRA 1X2 DIENTES  Placa padre: Tipo adquisicion: Entidad</v>
      </c>
      <c r="G6887" s="5"/>
    </row>
    <row r="6888" spans="1:7" ht="58.5" customHeight="1" x14ac:dyDescent="0.25">
      <c r="A6888" s="5" t="str">
        <f>"I0005367"</f>
        <v>I0005367</v>
      </c>
      <c r="B6888" s="5" t="str">
        <f>"PINZA DE AGRAFES"</f>
        <v>PINZA DE AGRAFES</v>
      </c>
      <c r="C6888" s="6">
        <v>110200</v>
      </c>
      <c r="D6888" s="5"/>
      <c r="E6888" s="5" t="str">
        <f t="shared" si="332"/>
        <v>INSTRUMENTACION-DIANA CAICEDO-DIANA DIAZ</v>
      </c>
      <c r="F6888" s="5" t="str">
        <f>"Descripcion: PINZA DE AGRAFE Estado: Bueno Placa anterior: 000032114 Material: ACERO INOXIDABLE Color: PLATEADO Referencia:  Observacion: PINZA BON PARA ANUDAR DE 0.12 MM CON GARRA 1X2 DIENTES  Placa padre: Tipo adquisicion: Entidad"</f>
        <v>Descripcion: PINZA DE AGRAFE Estado: Bueno Placa anterior: 000032114 Material: ACERO INOXIDABLE Color: PLATEADO Referencia:  Observacion: PINZA BON PARA ANUDAR DE 0.12 MM CON GARRA 1X2 DIENTES  Placa padre: Tipo adquisicion: Entidad</v>
      </c>
      <c r="G6888" s="5"/>
    </row>
    <row r="6889" spans="1:7" ht="58.5" customHeight="1" x14ac:dyDescent="0.25">
      <c r="A6889" s="5" t="str">
        <f>"I0005371"</f>
        <v>I0005371</v>
      </c>
      <c r="B6889" s="5" t="str">
        <f>"CLAMPS DE HAIR GROVERS"</f>
        <v>CLAMPS DE HAIR GROVERS</v>
      </c>
      <c r="C6889" s="6">
        <v>14443</v>
      </c>
      <c r="D6889" s="5"/>
      <c r="E6889" s="5" t="str">
        <f t="shared" si="332"/>
        <v>INSTRUMENTACION-DIANA CAICEDO-DIANA DIAZ</v>
      </c>
      <c r="F6889" s="5" t="str">
        <f>"Descripcion: CLAMP DE HEY GROWER Estado: Bueno Placa anterior: 000016535 Material: ACERO INOXIDABLE Color: PLATEADO Referencia:  Observacion: PINZAS DE HAY GROVER  Placa padre: Tipo adquisicion: Entidad"</f>
        <v>Descripcion: CLAMP DE HEY GROWER Estado: Bueno Placa anterior: 000016535 Material: ACERO INOXIDABLE Color: PLATEADO Referencia:  Observacion: PINZAS DE HAY GROVER  Placa padre: Tipo adquisicion: Entidad</v>
      </c>
      <c r="G6889" s="5"/>
    </row>
    <row r="6890" spans="1:7" ht="58.5" customHeight="1" x14ac:dyDescent="0.25">
      <c r="A6890" s="5" t="str">
        <f>"I0005372"</f>
        <v>I0005372</v>
      </c>
      <c r="B6890" s="5" t="str">
        <f>"CLAMPS DE HAIR GROVERS"</f>
        <v>CLAMPS DE HAIR GROVERS</v>
      </c>
      <c r="C6890" s="6">
        <v>14443</v>
      </c>
      <c r="D6890" s="5"/>
      <c r="E6890" s="5" t="str">
        <f t="shared" si="332"/>
        <v>INSTRUMENTACION-DIANA CAICEDO-DIANA DIAZ</v>
      </c>
      <c r="F6890" s="5" t="str">
        <f>"Descripcion: CLAMP DE HEY GROWER Estado: Bueno Placa anterior: 000016534 Material: ACERO INOXIDABLE Color: PLATEADO Referencia:  Observacion: PINZAS DE HAY GROVER  Placa padre: Tipo adquisicion: Entidad"</f>
        <v>Descripcion: CLAMP DE HEY GROWER Estado: Bueno Placa anterior: 000016534 Material: ACERO INOXIDABLE Color: PLATEADO Referencia:  Observacion: PINZAS DE HAY GROVER  Placa padre: Tipo adquisicion: Entidad</v>
      </c>
      <c r="G6890" s="5"/>
    </row>
    <row r="6891" spans="1:7" ht="58.5" customHeight="1" x14ac:dyDescent="0.25">
      <c r="A6891" s="5" t="str">
        <f>"I0005379"</f>
        <v>I0005379</v>
      </c>
      <c r="B6891" s="5" t="str">
        <f>"GANCHO DE HUESO"</f>
        <v>GANCHO DE HUESO</v>
      </c>
      <c r="C6891" s="6">
        <v>33125</v>
      </c>
      <c r="D6891" s="5"/>
      <c r="E6891" s="5" t="str">
        <f t="shared" si="332"/>
        <v>INSTRUMENTACION-DIANA CAICEDO-DIANA DIAZ</v>
      </c>
      <c r="F6891" s="5" t="str">
        <f>"Descripcion: GANCHOS PARA HUESO Estado: Bueno Placa anterior: 000016537 Material: ACERO INOXIDABLE Color: PLATEADO Referencia:  Observacion:  Placa padre: Tipo adquisicion: Entidad"</f>
        <v>Descripcion: GANCHOS PARA HUESO Estado: Bueno Placa anterior: 000016537 Material: ACERO INOXIDABLE Color: PLATEADO Referencia:  Observacion:  Placa padre: Tipo adquisicion: Entidad</v>
      </c>
      <c r="G6891" s="5"/>
    </row>
    <row r="6892" spans="1:7" ht="58.5" customHeight="1" x14ac:dyDescent="0.25">
      <c r="A6892" s="5" t="str">
        <f>"I0005380"</f>
        <v>I0005380</v>
      </c>
      <c r="B6892" s="5" t="str">
        <f>"GANCHO DE HUESO"</f>
        <v>GANCHO DE HUESO</v>
      </c>
      <c r="C6892" s="6">
        <v>33125</v>
      </c>
      <c r="D6892" s="5"/>
      <c r="E6892" s="5" t="str">
        <f t="shared" si="332"/>
        <v>INSTRUMENTACION-DIANA CAICEDO-DIANA DIAZ</v>
      </c>
      <c r="F6892" s="5" t="str">
        <f>"Descripcion: GANCHOS PARA HUESO Estado: Bueno Placa anterior: 000016538 Material: ACERO INOXIDABLE Color: PLATEADO Referencia:  Observacion:  Placa padre: Tipo adquisicion: Entidad"</f>
        <v>Descripcion: GANCHOS PARA HUESO Estado: Bueno Placa anterior: 000016538 Material: ACERO INOXIDABLE Color: PLATEADO Referencia:  Observacion:  Placa padre: Tipo adquisicion: Entidad</v>
      </c>
      <c r="G6892" s="5"/>
    </row>
    <row r="6893" spans="1:7" ht="58.5" customHeight="1" x14ac:dyDescent="0.25">
      <c r="A6893" s="5" t="str">
        <f>"I0005382"</f>
        <v>I0005382</v>
      </c>
      <c r="B6893" s="5" t="str">
        <f>"CINCEL (INSTRUMENTAL)"</f>
        <v>CINCEL (INSTRUMENTAL)</v>
      </c>
      <c r="C6893" s="6">
        <v>12565</v>
      </c>
      <c r="D6893" s="5"/>
      <c r="E6893" s="5" t="str">
        <f t="shared" si="332"/>
        <v>INSTRUMENTACION-DIANA CAICEDO-DIANA DIAZ</v>
      </c>
      <c r="F6893" s="5" t="str">
        <f>"Descripcion: CINCEL PARA INJERTO OSEO Estado: Bueno Placa anterior: 000016532 Material: ACERO INOXIDABLE Color: PLATEADO Referencia:  Observacion:  Placa padre: Tipo adquisicion: Entidad"</f>
        <v>Descripcion: CINCEL PARA INJERTO OSEO Estado: Bueno Placa anterior: 000016532 Material: ACERO INOXIDABLE Color: PLATEADO Referencia:  Observacion:  Placa padre: Tipo adquisicion: Entidad</v>
      </c>
      <c r="G6893" s="5"/>
    </row>
    <row r="6894" spans="1:7" ht="58.5" customHeight="1" x14ac:dyDescent="0.25">
      <c r="A6894" s="5" t="str">
        <f>"I0005383"</f>
        <v>I0005383</v>
      </c>
      <c r="B6894" s="5" t="str">
        <f>"ELEVADOR"</f>
        <v>ELEVADOR</v>
      </c>
      <c r="C6894" s="6">
        <v>40694</v>
      </c>
      <c r="D6894" s="5"/>
      <c r="E6894" s="5" t="str">
        <f t="shared" si="332"/>
        <v>INSTRUMENTACION-DIANA CAICEDO-DIANA DIAZ</v>
      </c>
      <c r="F6894" s="5" t="str">
        <f>"Descripcion: ELEVADOR DISECTOR Estado: Bueno Placa anterior: 000016466 Material: ACERO INOXIDABLE Color: PLATEADO Referencia:  Observacion:  Placa padre: Tipo adquisicion: Entidad"</f>
        <v>Descripcion: ELEVADOR DISECTOR Estado: Bueno Placa anterior: 000016466 Material: ACERO INOXIDABLE Color: PLATEADO Referencia:  Observacion:  Placa padre: Tipo adquisicion: Entidad</v>
      </c>
      <c r="G6894" s="5"/>
    </row>
    <row r="6895" spans="1:7" ht="58.5" customHeight="1" x14ac:dyDescent="0.25">
      <c r="A6895" s="5" t="str">
        <f>"I0005402"</f>
        <v>I0005402</v>
      </c>
      <c r="B6895" s="5" t="str">
        <f>"PINZA KELLY CURVA 16 CM"</f>
        <v>PINZA KELLY CURVA 16 CM</v>
      </c>
      <c r="C6895" s="6">
        <v>81200</v>
      </c>
      <c r="D6895" s="5"/>
      <c r="E6895" s="5" t="str">
        <f t="shared" si="332"/>
        <v>INSTRUMENTACION-DIANA CAICEDO-DIANA DIAZ</v>
      </c>
      <c r="F6895" s="5" t="str">
        <f>"Descripcion: KELLY CURVAS Estado: Bueno Placa anterior: 000036198 Material: ACERO INOXIDABLE Color: PLATEADO Referencia:  Observacion: PINZA PARA LIGADURAS  Placa padre: Tipo adquisicion: Entidad"</f>
        <v>Descripcion: KELLY CURVAS Estado: Bueno Placa anterior: 000036198 Material: ACERO INOXIDABLE Color: PLATEADO Referencia:  Observacion: PINZA PARA LIGADURAS  Placa padre: Tipo adquisicion: Entidad</v>
      </c>
      <c r="G6895" s="5"/>
    </row>
    <row r="6896" spans="1:7" ht="58.5" customHeight="1" x14ac:dyDescent="0.25">
      <c r="A6896" s="5" t="str">
        <f>"I0005403"</f>
        <v>I0005403</v>
      </c>
      <c r="B6896" s="5" t="str">
        <f>"PINZA KELLY CURVA 16 CM"</f>
        <v>PINZA KELLY CURVA 16 CM</v>
      </c>
      <c r="C6896" s="6">
        <v>81200</v>
      </c>
      <c r="D6896" s="5"/>
      <c r="E6896" s="5" t="str">
        <f t="shared" si="332"/>
        <v>INSTRUMENTACION-DIANA CAICEDO-DIANA DIAZ</v>
      </c>
      <c r="F6896" s="5" t="str">
        <f>"Descripcion: KELLY CURVAS Estado: Bueno Placa anterior: 000036204 Material: ACERO INOXIDABLE Color: PLATEADO Referencia:  Observacion: PINZA PARA LIGADURAS  Placa padre: Tipo adquisicion: Entidad"</f>
        <v>Descripcion: KELLY CURVAS Estado: Bueno Placa anterior: 000036204 Material: ACERO INOXIDABLE Color: PLATEADO Referencia:  Observacion: PINZA PARA LIGADURAS  Placa padre: Tipo adquisicion: Entidad</v>
      </c>
      <c r="G6896" s="5"/>
    </row>
    <row r="6897" spans="1:7" ht="58.5" customHeight="1" x14ac:dyDescent="0.25">
      <c r="A6897" s="5" t="str">
        <f>"I0005541"</f>
        <v>I0005541</v>
      </c>
      <c r="B6897" s="5" t="str">
        <f>"PINZA CISTICO"</f>
        <v>PINZA CISTICO</v>
      </c>
      <c r="C6897" s="6">
        <v>44080</v>
      </c>
      <c r="D6897" s="5"/>
      <c r="E6897" s="5" t="str">
        <f t="shared" si="332"/>
        <v>INSTRUMENTACION-DIANA CAICEDO-DIANA DIAZ</v>
      </c>
      <c r="F6897" s="5" t="str">
        <f>"Descripcion: PINZAS CISTICO Estado: Bueno Placa anterior: 000016029 Material: ACERO INOXIDABLE Color: PLATEADO Referencia:  Observacion: PINZAS DE RANDALL  Placa padre: Tipo adquisicion: Entidad"</f>
        <v>Descripcion: PINZAS CISTICO Estado: Bueno Placa anterior: 000016029 Material: ACERO INOXIDABLE Color: PLATEADO Referencia:  Observacion: PINZAS DE RANDALL  Placa padre: Tipo adquisicion: Entidad</v>
      </c>
      <c r="G6897" s="5"/>
    </row>
    <row r="6898" spans="1:7" ht="58.5" customHeight="1" x14ac:dyDescent="0.25">
      <c r="A6898" s="5" t="str">
        <f>"I0005542"</f>
        <v>I0005542</v>
      </c>
      <c r="B6898" s="5" t="str">
        <f>"PINZA CISTICO"</f>
        <v>PINZA CISTICO</v>
      </c>
      <c r="C6898" s="6">
        <v>44080</v>
      </c>
      <c r="D6898" s="5"/>
      <c r="E6898" s="5" t="str">
        <f t="shared" si="332"/>
        <v>INSTRUMENTACION-DIANA CAICEDO-DIANA DIAZ</v>
      </c>
      <c r="F6898" s="5" t="str">
        <f>"Descripcion: PINZAS CISTICO Estado: Bueno Placa anterior: 000016028 Material: ACERO INOXIDABLE Color: PLATEADO Referencia:  Observacion: PINZAS DE RANDALL  Placa padre: Tipo adquisicion: Entidad"</f>
        <v>Descripcion: PINZAS CISTICO Estado: Bueno Placa anterior: 000016028 Material: ACERO INOXIDABLE Color: PLATEADO Referencia:  Observacion: PINZAS DE RANDALL  Placa padre: Tipo adquisicion: Entidad</v>
      </c>
      <c r="G6898" s="5"/>
    </row>
    <row r="6899" spans="1:7" ht="58.5" customHeight="1" x14ac:dyDescent="0.25">
      <c r="A6899" s="5" t="str">
        <f>"I0005543"</f>
        <v>I0005543</v>
      </c>
      <c r="B6899" s="5" t="str">
        <f>"PINZA CISTICO"</f>
        <v>PINZA CISTICO</v>
      </c>
      <c r="C6899" s="6">
        <v>44080</v>
      </c>
      <c r="D6899" s="5"/>
      <c r="E6899" s="5" t="str">
        <f t="shared" si="332"/>
        <v>INSTRUMENTACION-DIANA CAICEDO-DIANA DIAZ</v>
      </c>
      <c r="F6899" s="5" t="str">
        <f>"Descripcion: PINZAS CISTICO Estado: Bueno Placa anterior: 000016016 Material: ACERO INOXIDABLE Color: PLATEADO Referencia:  Observacion: PINZAS DE RANDALL  Placa padre: Tipo adquisicion: Entidad"</f>
        <v>Descripcion: PINZAS CISTICO Estado: Bueno Placa anterior: 000016016 Material: ACERO INOXIDABLE Color: PLATEADO Referencia:  Observacion: PINZAS DE RANDALL  Placa padre: Tipo adquisicion: Entidad</v>
      </c>
      <c r="G6899" s="5"/>
    </row>
    <row r="6900" spans="1:7" ht="58.5" customHeight="1" x14ac:dyDescent="0.25">
      <c r="A6900" s="5" t="str">
        <f>"I0005552"</f>
        <v>I0005552</v>
      </c>
      <c r="B6900" s="5" t="str">
        <f>"CIZALLA (INSTRUMENTAL)"</f>
        <v>CIZALLA (INSTRUMENTAL)</v>
      </c>
      <c r="C6900" s="6">
        <v>638000</v>
      </c>
      <c r="D6900" s="5" t="s">
        <v>284</v>
      </c>
      <c r="E6900" s="5" t="str">
        <f t="shared" si="332"/>
        <v>INSTRUMENTACION-DIANA CAICEDO-DIANA DIAZ</v>
      </c>
      <c r="F6900" s="5" t="str">
        <f>"Descripcion: CIZALLA GRANDE Estado: Bueno Placa anterior: 000032528 Material: ACERO INOXIDABLE Color: PLATEADO Referencia:  Observacion: Cizalla Grande entre 200 y 280 ML Placa padre: Tipo adquisicion: Entidad"</f>
        <v>Descripcion: CIZALLA GRANDE Estado: Bueno Placa anterior: 000032528 Material: ACERO INOXIDABLE Color: PLATEADO Referencia:  Observacion: Cizalla Grande entre 200 y 280 ML Placa padre: Tipo adquisicion: Entidad</v>
      </c>
      <c r="G6900" s="5"/>
    </row>
    <row r="6901" spans="1:7" ht="58.5" customHeight="1" x14ac:dyDescent="0.25">
      <c r="A6901" s="5" t="str">
        <f>"I0005553"</f>
        <v>I0005553</v>
      </c>
      <c r="B6901" s="5" t="str">
        <f>"CIZALLA (INSTRUMENTAL)"</f>
        <v>CIZALLA (INSTRUMENTAL)</v>
      </c>
      <c r="C6901" s="6">
        <v>638000</v>
      </c>
      <c r="D6901" s="5" t="s">
        <v>284</v>
      </c>
      <c r="E6901" s="5" t="str">
        <f t="shared" si="332"/>
        <v>INSTRUMENTACION-DIANA CAICEDO-DIANA DIAZ</v>
      </c>
      <c r="F6901" s="5" t="str">
        <f>"Descripcion: CIZALLA GRANDE Estado: Bueno Placa anterior: 000032525 Material: ACERO INOXIDABLE Color: PLATEADO Referencia:  Observacion: Cizalla Grande entre 200 y 280 ML Placa padre: Tipo adquisicion: Entidad"</f>
        <v>Descripcion: CIZALLA GRANDE Estado: Bueno Placa anterior: 000032525 Material: ACERO INOXIDABLE Color: PLATEADO Referencia:  Observacion: Cizalla Grande entre 200 y 280 ML Placa padre: Tipo adquisicion: Entidad</v>
      </c>
      <c r="G6901" s="5"/>
    </row>
    <row r="6902" spans="1:7" ht="58.5" customHeight="1" x14ac:dyDescent="0.25">
      <c r="A6902" s="5" t="str">
        <f>"I0005554"</f>
        <v>I0005554</v>
      </c>
      <c r="B6902" s="5" t="str">
        <f>"PINZA GUBIA"</f>
        <v>PINZA GUBIA</v>
      </c>
      <c r="C6902" s="6">
        <v>39600</v>
      </c>
      <c r="D6902" s="5"/>
      <c r="E6902" s="5" t="str">
        <f t="shared" si="332"/>
        <v>INSTRUMENTACION-DIANA CAICEDO-DIANA DIAZ</v>
      </c>
      <c r="F6902" s="5" t="str">
        <f>"Descripcion: GUBIA LETZELL Estado: Bueno Placa anterior: 000012782 Material: ACERO INOXIDABLE Color: PLATEADO Referencia:  Observacion:  Placa padre: Tipo adquisicion: Entidad"</f>
        <v>Descripcion: GUBIA LETZELL Estado: Bueno Placa anterior: 000012782 Material: ACERO INOXIDABLE Color: PLATEADO Referencia:  Observacion:  Placa padre: Tipo adquisicion: Entidad</v>
      </c>
      <c r="G6902" s="5"/>
    </row>
    <row r="6903" spans="1:7" ht="58.5" customHeight="1" x14ac:dyDescent="0.25">
      <c r="A6903" s="5" t="str">
        <f>"I0005555"</f>
        <v>I0005555</v>
      </c>
      <c r="B6903" s="5" t="str">
        <f>"PINZA GUBIA"</f>
        <v>PINZA GUBIA</v>
      </c>
      <c r="C6903" s="6">
        <v>39600</v>
      </c>
      <c r="D6903" s="5"/>
      <c r="E6903" s="5" t="str">
        <f t="shared" si="332"/>
        <v>INSTRUMENTACION-DIANA CAICEDO-DIANA DIAZ</v>
      </c>
      <c r="F6903" s="5" t="str">
        <f>"Descripcion: GUBIA LETZELL Estado: Bueno Placa anterior: 000012783 Material: ACERO INOXIDABLE Color: PLATEADO Referencia:  Observacion:  Placa padre: Tipo adquisicion: Entidad"</f>
        <v>Descripcion: GUBIA LETZELL Estado: Bueno Placa anterior: 000012783 Material: ACERO INOXIDABLE Color: PLATEADO Referencia:  Observacion:  Placa padre: Tipo adquisicion: Entidad</v>
      </c>
      <c r="G6903" s="5"/>
    </row>
    <row r="6904" spans="1:7" ht="58.5" customHeight="1" x14ac:dyDescent="0.25">
      <c r="A6904" s="5" t="str">
        <f>"I0005560"</f>
        <v>I0005560</v>
      </c>
      <c r="B6904" s="5" t="str">
        <f>"PINZA KOCHER"</f>
        <v>PINZA KOCHER</v>
      </c>
      <c r="C6904" s="6">
        <v>36972.699999999997</v>
      </c>
      <c r="D6904" s="5"/>
      <c r="E6904" s="5" t="str">
        <f t="shared" si="332"/>
        <v>INSTRUMENTACION-DIANA CAICEDO-DIANA DIAZ</v>
      </c>
      <c r="F6904" s="5" t="str">
        <f>"Descripcion: PINZA COHER CURVA LARGA Estado: Bueno Placa anterior: 000016401 Material: ACERO INOXIDABLE Color: PLATEADO Referencia:  Observacion: PINZAS DE COHER  Placa padre: Tipo adquisicion: Entidad"</f>
        <v>Descripcion: PINZA COHER CURVA LARGA Estado: Bueno Placa anterior: 000016401 Material: ACERO INOXIDABLE Color: PLATEADO Referencia:  Observacion: PINZAS DE COHER  Placa padre: Tipo adquisicion: Entidad</v>
      </c>
      <c r="G6904" s="5"/>
    </row>
    <row r="6905" spans="1:7" ht="58.5" customHeight="1" x14ac:dyDescent="0.25">
      <c r="A6905" s="5" t="str">
        <f>"I0005561"</f>
        <v>I0005561</v>
      </c>
      <c r="B6905" s="5" t="str">
        <f>"PINZA KOCHER"</f>
        <v>PINZA KOCHER</v>
      </c>
      <c r="C6905" s="6">
        <v>36972.699999999997</v>
      </c>
      <c r="D6905" s="5"/>
      <c r="E6905" s="5" t="str">
        <f t="shared" si="332"/>
        <v>INSTRUMENTACION-DIANA CAICEDO-DIANA DIAZ</v>
      </c>
      <c r="F6905" s="5" t="str">
        <f>"Descripcion: PINZA COHER CURVA LARGA Estado: Bueno Placa anterior: 000016398 Material: ACERO INOXIDABLE Color: PLATEADO Referencia:  Observacion: PINZAS DE COHER  Placa padre: Tipo adquisicion: Entidad"</f>
        <v>Descripcion: PINZA COHER CURVA LARGA Estado: Bueno Placa anterior: 000016398 Material: ACERO INOXIDABLE Color: PLATEADO Referencia:  Observacion: PINZAS DE COHER  Placa padre: Tipo adquisicion: Entidad</v>
      </c>
      <c r="G6905" s="5"/>
    </row>
    <row r="6906" spans="1:7" ht="58.5" customHeight="1" x14ac:dyDescent="0.25">
      <c r="A6906" s="5" t="str">
        <f>"I0005562"</f>
        <v>I0005562</v>
      </c>
      <c r="B6906" s="5" t="str">
        <f>"PINZA KOCHER"</f>
        <v>PINZA KOCHER</v>
      </c>
      <c r="C6906" s="6">
        <v>36972.699999999997</v>
      </c>
      <c r="D6906" s="5"/>
      <c r="E6906" s="5" t="str">
        <f t="shared" si="332"/>
        <v>INSTRUMENTACION-DIANA CAICEDO-DIANA DIAZ</v>
      </c>
      <c r="F6906" s="5" t="str">
        <f>"Descripcion: PINZA COHER CURVA LARGA Estado: Bueno Placa anterior: 000016400 Material: ACERO INOXIDABLE Color: PLATEADO Referencia:  Observacion: PINZAS DE COHER  Placa padre: Tipo adquisicion: Entidad"</f>
        <v>Descripcion: PINZA COHER CURVA LARGA Estado: Bueno Placa anterior: 000016400 Material: ACERO INOXIDABLE Color: PLATEADO Referencia:  Observacion: PINZAS DE COHER  Placa padre: Tipo adquisicion: Entidad</v>
      </c>
      <c r="G6906" s="5"/>
    </row>
    <row r="6907" spans="1:7" ht="58.5" customHeight="1" x14ac:dyDescent="0.25">
      <c r="A6907" s="5" t="str">
        <f>"I0005563"</f>
        <v>I0005563</v>
      </c>
      <c r="B6907" s="5" t="str">
        <f>"PINZA KOCHER"</f>
        <v>PINZA KOCHER</v>
      </c>
      <c r="C6907" s="6">
        <v>36972.699999999997</v>
      </c>
      <c r="D6907" s="5"/>
      <c r="E6907" s="5" t="str">
        <f t="shared" si="332"/>
        <v>INSTRUMENTACION-DIANA CAICEDO-DIANA DIAZ</v>
      </c>
      <c r="F6907" s="5" t="str">
        <f>"Descripcion: PINZA COHER CURVA LARGA Estado: Bueno Placa anterior: 000016399 Material: ACERO INOXIDABLE Color: PLATEADO Referencia:  Observacion: PINZAS DE COHER  Placa padre: Tipo adquisicion: Entidad"</f>
        <v>Descripcion: PINZA COHER CURVA LARGA Estado: Bueno Placa anterior: 000016399 Material: ACERO INOXIDABLE Color: PLATEADO Referencia:  Observacion: PINZAS DE COHER  Placa padre: Tipo adquisicion: Entidad</v>
      </c>
      <c r="G6907" s="5"/>
    </row>
    <row r="6908" spans="1:7" ht="58.5" customHeight="1" x14ac:dyDescent="0.25">
      <c r="A6908" s="5" t="str">
        <f>"I0005568"</f>
        <v>I0005568</v>
      </c>
      <c r="B6908" s="5" t="str">
        <f>"GANCHO DE HUESO"</f>
        <v>GANCHO DE HUESO</v>
      </c>
      <c r="C6908" s="6">
        <v>81200</v>
      </c>
      <c r="D6908" s="5"/>
      <c r="E6908" s="5" t="str">
        <f t="shared" si="332"/>
        <v>INSTRUMENTACION-DIANA CAICEDO-DIANA DIAZ</v>
      </c>
      <c r="F6908" s="5" t="str">
        <f>"Descripcion: GANCHO DE HUESO PEQUEÑO Estado: Bueno Placa anterior: 000032166 Material: ACERO INOXIDABLE Color: PLATEADO Referencia:  Observacion: GANCHOS DE HUESO MEDIANOS  Placa padre: Tipo adquisicion: Entidad"</f>
        <v>Descripcion: GANCHO DE HUESO PEQUEÑO Estado: Bueno Placa anterior: 000032166 Material: ACERO INOXIDABLE Color: PLATEADO Referencia:  Observacion: GANCHOS DE HUESO MEDIANOS  Placa padre: Tipo adquisicion: Entidad</v>
      </c>
      <c r="G6908" s="5"/>
    </row>
    <row r="6909" spans="1:7" ht="58.5" customHeight="1" x14ac:dyDescent="0.25">
      <c r="A6909" s="5" t="str">
        <f>"I0005569"</f>
        <v>I0005569</v>
      </c>
      <c r="B6909" s="5" t="str">
        <f>"GANCHO DE HUESO"</f>
        <v>GANCHO DE HUESO</v>
      </c>
      <c r="C6909" s="6">
        <v>81200</v>
      </c>
      <c r="D6909" s="5"/>
      <c r="E6909" s="5" t="str">
        <f t="shared" si="332"/>
        <v>INSTRUMENTACION-DIANA CAICEDO-DIANA DIAZ</v>
      </c>
      <c r="F6909" s="5" t="str">
        <f>"Descripcion: GANCHO DE HUESO PEQUEÑO Estado: Bueno Placa anterior: 000032165 Material: ACERO INOXIDABLE Color: PLATEADO Referencia:  Observacion: GANCHOS DE HUESO MEDIANOS  Placa padre: Tipo adquisicion: Entidad"</f>
        <v>Descripcion: GANCHO DE HUESO PEQUEÑO Estado: Bueno Placa anterior: 000032165 Material: ACERO INOXIDABLE Color: PLATEADO Referencia:  Observacion: GANCHOS DE HUESO MEDIANOS  Placa padre: Tipo adquisicion: Entidad</v>
      </c>
      <c r="G6909" s="5"/>
    </row>
    <row r="6910" spans="1:7" ht="58.5" customHeight="1" x14ac:dyDescent="0.25">
      <c r="A6910" s="5" t="str">
        <f>"I0005579"</f>
        <v>I0005579</v>
      </c>
      <c r="B6910" s="5" t="str">
        <f>"GANCHO DE HUESO"</f>
        <v>GANCHO DE HUESO</v>
      </c>
      <c r="C6910" s="6">
        <v>92800</v>
      </c>
      <c r="D6910" s="5"/>
      <c r="E6910" s="5" t="str">
        <f t="shared" si="332"/>
        <v>INSTRUMENTACION-DIANA CAICEDO-DIANA DIAZ</v>
      </c>
      <c r="F6910" s="5" t="str">
        <f>"Descripcion: GANCHO DE HUESO GRANDE Estado: Bueno Placa anterior: 000032168 Material: ACERO INOXIDABLE Color: PLATEADO Referencia:  Observacion: GANCHOS DE HUESO GRANDES  Placa padre: Tipo adquisicion: Entidad"</f>
        <v>Descripcion: GANCHO DE HUESO GRANDE Estado: Bueno Placa anterior: 000032168 Material: ACERO INOXIDABLE Color: PLATEADO Referencia:  Observacion: GANCHOS DE HUESO GRANDES  Placa padre: Tipo adquisicion: Entidad</v>
      </c>
      <c r="G6910" s="5"/>
    </row>
    <row r="6911" spans="1:7" ht="58.5" customHeight="1" x14ac:dyDescent="0.25">
      <c r="A6911" s="5" t="str">
        <f>"I0005580"</f>
        <v>I0005580</v>
      </c>
      <c r="B6911" s="5" t="str">
        <f>"GANCHO DE HUESO"</f>
        <v>GANCHO DE HUESO</v>
      </c>
      <c r="C6911" s="6">
        <v>92800</v>
      </c>
      <c r="D6911" s="5"/>
      <c r="E6911" s="5" t="str">
        <f t="shared" si="332"/>
        <v>INSTRUMENTACION-DIANA CAICEDO-DIANA DIAZ</v>
      </c>
      <c r="F6911" s="5" t="str">
        <f>"Descripcion: GANCHO DE HUESO GRANDE Estado: Bueno Placa anterior: 000032171 Material: ACERO INOXIDABLE Color: PLATEADO Referencia:  Observacion: GANCHOS DE HUESO GRANDES  Placa padre: Tipo adquisicion: Entidad"</f>
        <v>Descripcion: GANCHO DE HUESO GRANDE Estado: Bueno Placa anterior: 000032171 Material: ACERO INOXIDABLE Color: PLATEADO Referencia:  Observacion: GANCHOS DE HUESO GRANDES  Placa padre: Tipo adquisicion: Entidad</v>
      </c>
      <c r="G6911" s="5"/>
    </row>
    <row r="6912" spans="1:7" ht="58.5" customHeight="1" x14ac:dyDescent="0.25">
      <c r="A6912" s="5" t="str">
        <f>"I0005581"</f>
        <v>I0005581</v>
      </c>
      <c r="B6912" s="5" t="str">
        <f>"GANCHO DE HUESO"</f>
        <v>GANCHO DE HUESO</v>
      </c>
      <c r="C6912" s="6">
        <v>92800</v>
      </c>
      <c r="D6912" s="5"/>
      <c r="E6912" s="5" t="str">
        <f t="shared" si="332"/>
        <v>INSTRUMENTACION-DIANA CAICEDO-DIANA DIAZ</v>
      </c>
      <c r="F6912" s="5" t="str">
        <f>"Descripcion: GANCHO DE HUESO GRANDE Estado: Bueno Placa anterior: 000032167 Material: ACERO INOXIDABLE Color: PLATEADO Referencia:  Observacion: GANCHOS DE HUESO GRANDES  Placa padre: Tipo adquisicion: Entidad"</f>
        <v>Descripcion: GANCHO DE HUESO GRANDE Estado: Bueno Placa anterior: 000032167 Material: ACERO INOXIDABLE Color: PLATEADO Referencia:  Observacion: GANCHOS DE HUESO GRANDES  Placa padre: Tipo adquisicion: Entidad</v>
      </c>
      <c r="G6912" s="5"/>
    </row>
    <row r="6913" spans="1:7" ht="58.5" customHeight="1" x14ac:dyDescent="0.25">
      <c r="A6913" s="5" t="str">
        <f>"I0005585"</f>
        <v>I0005585</v>
      </c>
      <c r="B6913" s="5" t="str">
        <f t="shared" ref="B6913:B6920" si="333">"SEPARADOR DE VOLKMANN"</f>
        <v>SEPARADOR DE VOLKMANN</v>
      </c>
      <c r="C6913" s="6">
        <v>551</v>
      </c>
      <c r="D6913" s="5"/>
      <c r="E6913" s="5" t="str">
        <f t="shared" si="332"/>
        <v>INSTRUMENTACION-DIANA CAICEDO-DIANA DIAZ</v>
      </c>
      <c r="F6913" s="5" t="str">
        <f>"Descripcion: SEPARADOR WOLMANN 4 RAMAS Estado: Bueno Placa anterior: 000016446 Material: ACERO INOXIDABLE Color: PLATEADO Referencia:  Observacion: SEPARADORES DE VOLKMAN  Placa padre: Tipo adquisicion: Entidad"</f>
        <v>Descripcion: SEPARADOR WOLMANN 4 RAMAS Estado: Bueno Placa anterior: 000016446 Material: ACERO INOXIDABLE Color: PLATEADO Referencia:  Observacion: SEPARADORES DE VOLKMAN  Placa padre: Tipo adquisicion: Entidad</v>
      </c>
      <c r="G6913" s="5"/>
    </row>
    <row r="6914" spans="1:7" ht="58.5" customHeight="1" x14ac:dyDescent="0.25">
      <c r="A6914" s="5" t="str">
        <f>"I0005586"</f>
        <v>I0005586</v>
      </c>
      <c r="B6914" s="5" t="str">
        <f t="shared" si="333"/>
        <v>SEPARADOR DE VOLKMANN</v>
      </c>
      <c r="C6914" s="6">
        <v>551</v>
      </c>
      <c r="D6914" s="5"/>
      <c r="E6914" s="5" t="str">
        <f t="shared" si="332"/>
        <v>INSTRUMENTACION-DIANA CAICEDO-DIANA DIAZ</v>
      </c>
      <c r="F6914" s="5" t="str">
        <f>"Descripcion: SEPARADOR WOLMANN 4 RAMAS Estado: Bueno Placa anterior: 000016447 Material: ACERO INOXIDABLE Color: PLATEADO Referencia:  Observacion: SEPARADORES DE VOLKMAN  Placa padre: Tipo adquisicion: Entidad"</f>
        <v>Descripcion: SEPARADOR WOLMANN 4 RAMAS Estado: Bueno Placa anterior: 000016447 Material: ACERO INOXIDABLE Color: PLATEADO Referencia:  Observacion: SEPARADORES DE VOLKMAN  Placa padre: Tipo adquisicion: Entidad</v>
      </c>
      <c r="G6914" s="5"/>
    </row>
    <row r="6915" spans="1:7" ht="58.5" customHeight="1" x14ac:dyDescent="0.25">
      <c r="A6915" s="5" t="str">
        <f>"I0005587"</f>
        <v>I0005587</v>
      </c>
      <c r="B6915" s="5" t="str">
        <f t="shared" si="333"/>
        <v>SEPARADOR DE VOLKMANN</v>
      </c>
      <c r="C6915" s="6">
        <v>208800</v>
      </c>
      <c r="D6915" s="5"/>
      <c r="E6915" s="5" t="str">
        <f t="shared" si="332"/>
        <v>INSTRUMENTACION-DIANA CAICEDO-DIANA DIAZ</v>
      </c>
      <c r="F6915" s="5" t="str">
        <f>"Descripcion: SEPARADOR WOLMANN 4 RAMAS Estado: Bueno Placa anterior: 000032049 Material: ACERO INOXIDABLE Color: PLATEADO Referencia:  Observacion: SEPARADORES DE WOLMAN MEDIANOS  Placa padre: Tipo adquisicion: Entidad"</f>
        <v>Descripcion: SEPARADOR WOLMANN 4 RAMAS Estado: Bueno Placa anterior: 000032049 Material: ACERO INOXIDABLE Color: PLATEADO Referencia:  Observacion: SEPARADORES DE WOLMAN MEDIANOS  Placa padre: Tipo adquisicion: Entidad</v>
      </c>
      <c r="G6915" s="5"/>
    </row>
    <row r="6916" spans="1:7" ht="58.5" customHeight="1" x14ac:dyDescent="0.25">
      <c r="A6916" s="5" t="str">
        <f>"I0005588"</f>
        <v>I0005588</v>
      </c>
      <c r="B6916" s="5" t="str">
        <f t="shared" si="333"/>
        <v>SEPARADOR DE VOLKMANN</v>
      </c>
      <c r="C6916" s="6">
        <v>208800</v>
      </c>
      <c r="D6916" s="5"/>
      <c r="E6916" s="5" t="str">
        <f t="shared" si="332"/>
        <v>INSTRUMENTACION-DIANA CAICEDO-DIANA DIAZ</v>
      </c>
      <c r="F6916" s="5" t="str">
        <f>"Descripcion: SEPARADOR WOLMANN 4 RAMAS Estado: Bueno Placa anterior: 000032048 Material: ACERO INOXIDABLE Color: PLATEADO Referencia:  Observacion: SEPARADORES DE WOLMAN MEDIANOS  Placa padre: Tipo adquisicion: Entidad"</f>
        <v>Descripcion: SEPARADOR WOLMANN 4 RAMAS Estado: Bueno Placa anterior: 000032048 Material: ACERO INOXIDABLE Color: PLATEADO Referencia:  Observacion: SEPARADORES DE WOLMAN MEDIANOS  Placa padre: Tipo adquisicion: Entidad</v>
      </c>
      <c r="G6916" s="5"/>
    </row>
    <row r="6917" spans="1:7" ht="58.5" customHeight="1" x14ac:dyDescent="0.25">
      <c r="A6917" s="5" t="str">
        <f>"I0005589"</f>
        <v>I0005589</v>
      </c>
      <c r="B6917" s="5" t="str">
        <f t="shared" si="333"/>
        <v>SEPARADOR DE VOLKMANN</v>
      </c>
      <c r="C6917" s="6">
        <v>208800</v>
      </c>
      <c r="D6917" s="5"/>
      <c r="E6917" s="5" t="str">
        <f t="shared" si="332"/>
        <v>INSTRUMENTACION-DIANA CAICEDO-DIANA DIAZ</v>
      </c>
      <c r="F6917" s="5" t="str">
        <f>"Descripcion: SEPARADOR WOLMANN 4 RAMAS Estado: Bueno Placa anterior: 000032051 Material: ACERO INOXIDABLE Color: PLATEADO Referencia:  Observacion: SEPARADORES DE WOLMAN MEDIANOS  Placa padre: Tipo adquisicion: Entidad"</f>
        <v>Descripcion: SEPARADOR WOLMANN 4 RAMAS Estado: Bueno Placa anterior: 000032051 Material: ACERO INOXIDABLE Color: PLATEADO Referencia:  Observacion: SEPARADORES DE WOLMAN MEDIANOS  Placa padre: Tipo adquisicion: Entidad</v>
      </c>
      <c r="G6917" s="5"/>
    </row>
    <row r="6918" spans="1:7" ht="58.5" customHeight="1" x14ac:dyDescent="0.25">
      <c r="A6918" s="5" t="str">
        <f>"I0005590"</f>
        <v>I0005590</v>
      </c>
      <c r="B6918" s="5" t="str">
        <f t="shared" si="333"/>
        <v>SEPARADOR DE VOLKMANN</v>
      </c>
      <c r="C6918" s="6">
        <v>208800</v>
      </c>
      <c r="D6918" s="5"/>
      <c r="E6918" s="5" t="str">
        <f t="shared" si="332"/>
        <v>INSTRUMENTACION-DIANA CAICEDO-DIANA DIAZ</v>
      </c>
      <c r="F6918" s="5" t="str">
        <f>"Descripcion: SEPARADOR WOLMANN 4 RAMAS Estado: Bueno Placa anterior: 000032050 Material: ACERO INOXIDABLE Color: PLATEADO Referencia:  Observacion: SEPARADORES DE WOLMAN MEDIANOS  Placa padre: Tipo adquisicion: Entidad"</f>
        <v>Descripcion: SEPARADOR WOLMANN 4 RAMAS Estado: Bueno Placa anterior: 000032050 Material: ACERO INOXIDABLE Color: PLATEADO Referencia:  Observacion: SEPARADORES DE WOLMAN MEDIANOS  Placa padre: Tipo adquisicion: Entidad</v>
      </c>
      <c r="G6918" s="5"/>
    </row>
    <row r="6919" spans="1:7" ht="58.5" customHeight="1" x14ac:dyDescent="0.25">
      <c r="A6919" s="5" t="str">
        <f>"I0005591"</f>
        <v>I0005591</v>
      </c>
      <c r="B6919" s="5" t="str">
        <f t="shared" si="333"/>
        <v>SEPARADOR DE VOLKMANN</v>
      </c>
      <c r="C6919" s="6">
        <v>197200</v>
      </c>
      <c r="D6919" s="5"/>
      <c r="E6919" s="5" t="str">
        <f t="shared" si="332"/>
        <v>INSTRUMENTACION-DIANA CAICEDO-DIANA DIAZ</v>
      </c>
      <c r="F6919" s="5" t="str">
        <f>"Descripcion: SEPARADOR WOLMANN 6 RAMAS Estado: Bueno Placa anterior: 000032057 Material: ACERO INOXIDABLE Color: PLATEADO Referencia:  Observacion: SEPARADORES DE WOLMAN ROMOS PEQUEÑOS  Placa padre: Tipo adquisicion: Entidad"</f>
        <v>Descripcion: SEPARADOR WOLMANN 6 RAMAS Estado: Bueno Placa anterior: 000032057 Material: ACERO INOXIDABLE Color: PLATEADO Referencia:  Observacion: SEPARADORES DE WOLMAN ROMOS PEQUEÑOS  Placa padre: Tipo adquisicion: Entidad</v>
      </c>
      <c r="G6919" s="5"/>
    </row>
    <row r="6920" spans="1:7" ht="58.5" customHeight="1" x14ac:dyDescent="0.25">
      <c r="A6920" s="5" t="str">
        <f>"I0005592"</f>
        <v>I0005592</v>
      </c>
      <c r="B6920" s="5" t="str">
        <f t="shared" si="333"/>
        <v>SEPARADOR DE VOLKMANN</v>
      </c>
      <c r="C6920" s="6">
        <v>197200</v>
      </c>
      <c r="D6920" s="5"/>
      <c r="E6920" s="5" t="str">
        <f t="shared" si="332"/>
        <v>INSTRUMENTACION-DIANA CAICEDO-DIANA DIAZ</v>
      </c>
      <c r="F6920" s="5" t="str">
        <f>"Descripcion: SEPARADOR WOLMANN 6 RAMAS Estado: Bueno Placa anterior: 000032056 Material: ACERO INOXIDABLE Color: PLATEADO Referencia:  Observacion: SEPARADORES DE WOLMAN ROMOS PEQUEÑOS  Placa padre: Tipo adquisicion: Entidad"</f>
        <v>Descripcion: SEPARADOR WOLMANN 6 RAMAS Estado: Bueno Placa anterior: 000032056 Material: ACERO INOXIDABLE Color: PLATEADO Referencia:  Observacion: SEPARADORES DE WOLMAN ROMOS PEQUEÑOS  Placa padre: Tipo adquisicion: Entidad</v>
      </c>
      <c r="G6920" s="5"/>
    </row>
    <row r="6921" spans="1:7" ht="58.5" customHeight="1" x14ac:dyDescent="0.25">
      <c r="A6921" s="5" t="str">
        <f>"I0005603"</f>
        <v>I0005603</v>
      </c>
      <c r="B6921" s="5" t="str">
        <f>"CIZALLA (INSTRUMENTAL)"</f>
        <v>CIZALLA (INSTRUMENTAL)</v>
      </c>
      <c r="C6921" s="6">
        <v>656560</v>
      </c>
      <c r="D6921" s="5"/>
      <c r="E6921" s="5" t="str">
        <f t="shared" si="332"/>
        <v>INSTRUMENTACION-DIANA CAICEDO-DIANA DIAZ</v>
      </c>
      <c r="F6921" s="5" t="str">
        <f>"Descripcion: CIZALLA PEQUEÑAS Estado: Bueno Placa anterior: 000023267 Material: ACERO INOXIDABLE Color: PLATEADO Referencia:  Observacion: PINZA CORTANTE (CIZALLAS) Liston, recta, Long. 140mm. (5 1/2)  Placa padre: Tipo adquisicion: Entidad"</f>
        <v>Descripcion: CIZALLA PEQUEÑAS Estado: Bueno Placa anterior: 000023267 Material: ACERO INOXIDABLE Color: PLATEADO Referencia:  Observacion: PINZA CORTANTE (CIZALLAS) Liston, recta, Long. 140mm. (5 1/2)  Placa padre: Tipo adquisicion: Entidad</v>
      </c>
      <c r="G6921" s="5"/>
    </row>
    <row r="6922" spans="1:7" ht="58.5" customHeight="1" x14ac:dyDescent="0.25">
      <c r="A6922" s="5" t="str">
        <f>"I0005609"</f>
        <v>I0005609</v>
      </c>
      <c r="B6922" s="5" t="str">
        <f>"CLAMP DE KERNS"</f>
        <v>CLAMP DE KERNS</v>
      </c>
      <c r="C6922" s="6">
        <v>394400</v>
      </c>
      <c r="D6922" s="5"/>
      <c r="E6922" s="5" t="str">
        <f t="shared" si="332"/>
        <v>INSTRUMENTACION-DIANA CAICEDO-DIANA DIAZ</v>
      </c>
      <c r="F6922" s="5" t="str">
        <f>"Descripcion: CLAMP KERNS MEDIANO Estado: Bueno Placa anterior: 000032385 Material: ACERO INOXIDABLE Color: PLATEADO Referencia:  Observacion: CLAM DE KERNS MEDIANO DE 240MM Placa padre: Tipo adquisicion: Entidad"</f>
        <v>Descripcion: CLAMP KERNS MEDIANO Estado: Bueno Placa anterior: 000032385 Material: ACERO INOXIDABLE Color: PLATEADO Referencia:  Observacion: CLAM DE KERNS MEDIANO DE 240MM Placa padre: Tipo adquisicion: Entidad</v>
      </c>
      <c r="G6922" s="5"/>
    </row>
    <row r="6923" spans="1:7" ht="58.5" customHeight="1" x14ac:dyDescent="0.25">
      <c r="A6923" s="5" t="str">
        <f>"I0005610"</f>
        <v>I0005610</v>
      </c>
      <c r="B6923" s="5" t="str">
        <f>"CLAMP DE KERNS"</f>
        <v>CLAMP DE KERNS</v>
      </c>
      <c r="C6923" s="6">
        <v>556800</v>
      </c>
      <c r="D6923" s="5"/>
      <c r="E6923" s="5" t="str">
        <f t="shared" si="332"/>
        <v>INSTRUMENTACION-DIANA CAICEDO-DIANA DIAZ</v>
      </c>
      <c r="F6923" s="5" t="str">
        <f>"Descripcion: CLAMP KERNS MEDIANO Estado: Bueno Placa anterior: 000032384 Material: ACERO INOXIDABLE Color: PLATEADO Referencia:  Observacion: Clamp de Kerns Grandes 320 MM Placa padre: Tipo adquisicion: Entidad"</f>
        <v>Descripcion: CLAMP KERNS MEDIANO Estado: Bueno Placa anterior: 000032384 Material: ACERO INOXIDABLE Color: PLATEADO Referencia:  Observacion: Clamp de Kerns Grandes 320 MM Placa padre: Tipo adquisicion: Entidad</v>
      </c>
      <c r="G6923" s="5"/>
    </row>
    <row r="6924" spans="1:7" ht="58.5" customHeight="1" x14ac:dyDescent="0.25">
      <c r="A6924" s="5" t="str">
        <f>"I0005611"</f>
        <v>I0005611</v>
      </c>
      <c r="B6924" s="5" t="str">
        <f>"CLAMP DE KERNS"</f>
        <v>CLAMP DE KERNS</v>
      </c>
      <c r="C6924" s="6">
        <v>556800</v>
      </c>
      <c r="D6924" s="5"/>
      <c r="E6924" s="5" t="str">
        <f t="shared" si="332"/>
        <v>INSTRUMENTACION-DIANA CAICEDO-DIANA DIAZ</v>
      </c>
      <c r="F6924" s="5" t="str">
        <f>"Descripcion: CLAMP KERNS MEDIANO Estado: Bueno Placa anterior: 000032386 Material: ACERO INOXIDABLE Color: PLATEADO Referencia:  Observacion: Clamp de Kerns Grandes 320 MM Placa padre: Tipo adquisicion: Entidad"</f>
        <v>Descripcion: CLAMP KERNS MEDIANO Estado: Bueno Placa anterior: 000032386 Material: ACERO INOXIDABLE Color: PLATEADO Referencia:  Observacion: Clamp de Kerns Grandes 320 MM Placa padre: Tipo adquisicion: Entidad</v>
      </c>
      <c r="G6924" s="5"/>
    </row>
    <row r="6925" spans="1:7" ht="58.5" customHeight="1" x14ac:dyDescent="0.25">
      <c r="A6925" s="5" t="str">
        <f>"I0005612"</f>
        <v>I0005612</v>
      </c>
      <c r="B6925" s="5" t="str">
        <f>"CLAMP DE KERNS"</f>
        <v>CLAMP DE KERNS</v>
      </c>
      <c r="C6925" s="6">
        <v>556800</v>
      </c>
      <c r="D6925" s="5"/>
      <c r="E6925" s="5" t="str">
        <f t="shared" si="332"/>
        <v>INSTRUMENTACION-DIANA CAICEDO-DIANA DIAZ</v>
      </c>
      <c r="F6925" s="5" t="str">
        <f>"Descripcion: CLAMP KERNS MEDIANO Estado: Bueno Placa anterior: 000032387 Material: ACERO INOXIDABLE Color: PLATEADO Referencia:  Observacion: Clamp de Kerns Grandes 320 MM Placa padre: Tipo adquisicion: Entidad"</f>
        <v>Descripcion: CLAMP KERNS MEDIANO Estado: Bueno Placa anterior: 000032387 Material: ACERO INOXIDABLE Color: PLATEADO Referencia:  Observacion: Clamp de Kerns Grandes 320 MM Placa padre: Tipo adquisicion: Entidad</v>
      </c>
      <c r="G6925" s="5"/>
    </row>
    <row r="6926" spans="1:7" ht="58.5" customHeight="1" x14ac:dyDescent="0.25">
      <c r="A6926" s="5" t="str">
        <f>"I0005624"</f>
        <v>I0005624</v>
      </c>
      <c r="B6926" s="5" t="str">
        <f>"MARTILLO (INSTRUMENTAL)"</f>
        <v>MARTILLO (INSTRUMENTAL)</v>
      </c>
      <c r="C6926" s="6">
        <v>417600</v>
      </c>
      <c r="D6926" s="5"/>
      <c r="E6926" s="5" t="str">
        <f t="shared" si="332"/>
        <v>INSTRUMENTACION-DIANA CAICEDO-DIANA DIAZ</v>
      </c>
      <c r="F6926" s="5" t="str">
        <f>"Descripcion: MARTILLOS MEDIANOS Estado: Bueno Placa anterior: 000032112 Material: ACERO INOXIDABLE Color: PLATEADO Referencia:  Observacion:  Placa padre: Tipo adquisicion: Entidad"</f>
        <v>Descripcion: MARTILLOS MEDIANOS Estado: Bueno Placa anterior: 000032112 Material: ACERO INOXIDABLE Color: PLATEADO Referencia:  Observacion:  Placa padre: Tipo adquisicion: Entidad</v>
      </c>
      <c r="G6926" s="5"/>
    </row>
    <row r="6927" spans="1:7" ht="58.5" customHeight="1" x14ac:dyDescent="0.25">
      <c r="A6927" s="5" t="str">
        <f>"I0005625"</f>
        <v>I0005625</v>
      </c>
      <c r="B6927" s="5" t="str">
        <f>"MARTILLO (INSTRUMENTAL)"</f>
        <v>MARTILLO (INSTRUMENTAL)</v>
      </c>
      <c r="C6927" s="6">
        <v>417600</v>
      </c>
      <c r="D6927" s="5"/>
      <c r="E6927" s="5" t="str">
        <f t="shared" si="332"/>
        <v>INSTRUMENTACION-DIANA CAICEDO-DIANA DIAZ</v>
      </c>
      <c r="F6927" s="5" t="str">
        <f>"Descripcion: MARTILLOS MEDIANOS Estado: Bueno Placa anterior: 000032110 Material: ACERO INOXIDABLE Color: PLATEADO Referencia:  Observacion:  Placa padre: Tipo adquisicion: Entidad"</f>
        <v>Descripcion: MARTILLOS MEDIANOS Estado: Bueno Placa anterior: 000032110 Material: ACERO INOXIDABLE Color: PLATEADO Referencia:  Observacion:  Placa padre: Tipo adquisicion: Entidad</v>
      </c>
      <c r="G6927" s="5"/>
    </row>
    <row r="6928" spans="1:7" ht="58.5" customHeight="1" x14ac:dyDescent="0.25">
      <c r="A6928" s="5" t="str">
        <f>"I0005626"</f>
        <v>I0005626</v>
      </c>
      <c r="B6928" s="5" t="str">
        <f>"MARTILLO (INSTRUMENTAL)"</f>
        <v>MARTILLO (INSTRUMENTAL)</v>
      </c>
      <c r="C6928" s="6">
        <v>417600</v>
      </c>
      <c r="D6928" s="5"/>
      <c r="E6928" s="5" t="str">
        <f t="shared" si="332"/>
        <v>INSTRUMENTACION-DIANA CAICEDO-DIANA DIAZ</v>
      </c>
      <c r="F6928" s="5" t="str">
        <f>"Descripcion: MARTILLOS MEDIANOS Estado: Bueno Placa anterior: 000032111 Material: ACERO INOXIDABLE Color: PLATEADO Referencia:  Observacion:  Placa padre: Tipo adquisicion: Entidad"</f>
        <v>Descripcion: MARTILLOS MEDIANOS Estado: Bueno Placa anterior: 000032111 Material: ACERO INOXIDABLE Color: PLATEADO Referencia:  Observacion:  Placa padre: Tipo adquisicion: Entidad</v>
      </c>
      <c r="G6928" s="5"/>
    </row>
    <row r="6929" spans="1:7" ht="58.5" customHeight="1" x14ac:dyDescent="0.25">
      <c r="A6929" s="5" t="str">
        <f>"I0005628"</f>
        <v>I0005628</v>
      </c>
      <c r="B6929" s="5" t="str">
        <f t="shared" ref="B6929:B6938" si="334">"DISECTOR DE COBB"</f>
        <v>DISECTOR DE COBB</v>
      </c>
      <c r="C6929" s="6">
        <v>313200</v>
      </c>
      <c r="D6929" s="5"/>
      <c r="E6929" s="5" t="str">
        <f t="shared" si="332"/>
        <v>INSTRUMENTACION-DIANA CAICEDO-DIANA DIAZ</v>
      </c>
      <c r="F6929" s="5" t="str">
        <f>"Descripcion: DISECTORES DE COOB Estado: Bueno Placa anterior: 000032130 Material: ACERO INOXIDABLE Color: PLATEADO Referencia:  Observacion: ELEVADOR DE COOB MEDIANO Placa padre: Tipo adquisicion: Entidad"</f>
        <v>Descripcion: DISECTORES DE COOB Estado: Bueno Placa anterior: 000032130 Material: ACERO INOXIDABLE Color: PLATEADO Referencia:  Observacion: ELEVADOR DE COOB MEDIANO Placa padre: Tipo adquisicion: Entidad</v>
      </c>
      <c r="G6929" s="5"/>
    </row>
    <row r="6930" spans="1:7" ht="58.5" customHeight="1" x14ac:dyDescent="0.25">
      <c r="A6930" s="5" t="str">
        <f>"I0005629"</f>
        <v>I0005629</v>
      </c>
      <c r="B6930" s="5" t="str">
        <f t="shared" si="334"/>
        <v>DISECTOR DE COBB</v>
      </c>
      <c r="C6930" s="6">
        <v>313200</v>
      </c>
      <c r="D6930" s="5"/>
      <c r="E6930" s="5" t="str">
        <f t="shared" si="332"/>
        <v>INSTRUMENTACION-DIANA CAICEDO-DIANA DIAZ</v>
      </c>
      <c r="F6930" s="5" t="str">
        <f>"Descripcion: DISECTORES DE COOB Estado: Bueno Placa anterior: 000032131 Material: ACERO INOXIDABLE Color: PLATEADO Referencia:  Observacion: ELEVADOR DE COOB MEDIANO Placa padre: Tipo adquisicion: Entidad"</f>
        <v>Descripcion: DISECTORES DE COOB Estado: Bueno Placa anterior: 000032131 Material: ACERO INOXIDABLE Color: PLATEADO Referencia:  Observacion: ELEVADOR DE COOB MEDIANO Placa padre: Tipo adquisicion: Entidad</v>
      </c>
      <c r="G6930" s="5"/>
    </row>
    <row r="6931" spans="1:7" ht="58.5" customHeight="1" x14ac:dyDescent="0.25">
      <c r="A6931" s="5" t="str">
        <f>"I0005630"</f>
        <v>I0005630</v>
      </c>
      <c r="B6931" s="5" t="str">
        <f t="shared" si="334"/>
        <v>DISECTOR DE COBB</v>
      </c>
      <c r="C6931" s="6">
        <v>313200</v>
      </c>
      <c r="D6931" s="5"/>
      <c r="E6931" s="5" t="str">
        <f t="shared" si="332"/>
        <v>INSTRUMENTACION-DIANA CAICEDO-DIANA DIAZ</v>
      </c>
      <c r="F6931" s="5" t="str">
        <f>"Descripcion: DISECTORES DE COOB Estado: Bueno Placa anterior: 000032127 Material: ACERO INOXIDABLE Color: PLATEADO Referencia:  Observacion: ELEVADOR DE COOB MEDIANO AUTORIZADO CONCILIAR EN CRUCE GENERAL Placa padre: Tipo adquisicion: Entidad"</f>
        <v>Descripcion: DISECTORES DE COOB Estado: Bueno Placa anterior: 000032127 Material: ACERO INOXIDABLE Color: PLATEADO Referencia:  Observacion: ELEVADOR DE COOB MEDIANO AUTORIZADO CONCILIAR EN CRUCE GENERAL Placa padre: Tipo adquisicion: Entidad</v>
      </c>
      <c r="G6931" s="5"/>
    </row>
    <row r="6932" spans="1:7" ht="58.5" customHeight="1" x14ac:dyDescent="0.25">
      <c r="A6932" s="5" t="str">
        <f>"I0005631"</f>
        <v>I0005631</v>
      </c>
      <c r="B6932" s="5" t="str">
        <f t="shared" si="334"/>
        <v>DISECTOR DE COBB</v>
      </c>
      <c r="C6932" s="6">
        <v>313200</v>
      </c>
      <c r="D6932" s="5"/>
      <c r="E6932" s="5" t="str">
        <f t="shared" si="332"/>
        <v>INSTRUMENTACION-DIANA CAICEDO-DIANA DIAZ</v>
      </c>
      <c r="F6932" s="5" t="str">
        <f>"Descripcion: DISECTORES DE COOB Estado: Bueno Placa anterior: 000032128 Material: ACERO INOXIDABLE Color: PLATEADO Referencia:  Observacion: ELEVADOR DE COOB MEDIANO AUTORIZADO CONCILIAR EN CRUCE GENERAL Placa padre: Tipo adquisicion: Entidad"</f>
        <v>Descripcion: DISECTORES DE COOB Estado: Bueno Placa anterior: 000032128 Material: ACERO INOXIDABLE Color: PLATEADO Referencia:  Observacion: ELEVADOR DE COOB MEDIANO AUTORIZADO CONCILIAR EN CRUCE GENERAL Placa padre: Tipo adquisicion: Entidad</v>
      </c>
      <c r="G6932" s="5"/>
    </row>
    <row r="6933" spans="1:7" ht="58.5" customHeight="1" x14ac:dyDescent="0.25">
      <c r="A6933" s="5" t="str">
        <f>"I0005632"</f>
        <v>I0005632</v>
      </c>
      <c r="B6933" s="5" t="str">
        <f t="shared" si="334"/>
        <v>DISECTOR DE COBB</v>
      </c>
      <c r="C6933" s="6">
        <v>313200</v>
      </c>
      <c r="D6933" s="5"/>
      <c r="E6933" s="5" t="str">
        <f t="shared" si="332"/>
        <v>INSTRUMENTACION-DIANA CAICEDO-DIANA DIAZ</v>
      </c>
      <c r="F6933" s="5" t="str">
        <f>"Descripcion: DISECTORES DE COOB Estado: Bueno Placa anterior: 000032126 Material: ACERO INOXIDABLE Color: PLATEADO Referencia:  Observacion: ELEVADOR DE COOB MEDIANO AUTORIZADO CONCILIAR EN CRUCE GENERAL Placa padre: Tipo adquisicion: Entidad"</f>
        <v>Descripcion: DISECTORES DE COOB Estado: Bueno Placa anterior: 000032126 Material: ACERO INOXIDABLE Color: PLATEADO Referencia:  Observacion: ELEVADOR DE COOB MEDIANO AUTORIZADO CONCILIAR EN CRUCE GENERAL Placa padre: Tipo adquisicion: Entidad</v>
      </c>
      <c r="G6933" s="5"/>
    </row>
    <row r="6934" spans="1:7" ht="58.5" customHeight="1" x14ac:dyDescent="0.25">
      <c r="A6934" s="5" t="str">
        <f>"I0005633"</f>
        <v>I0005633</v>
      </c>
      <c r="B6934" s="5" t="str">
        <f t="shared" si="334"/>
        <v>DISECTOR DE COBB</v>
      </c>
      <c r="C6934" s="6">
        <v>313200</v>
      </c>
      <c r="D6934" s="5"/>
      <c r="E6934" s="5" t="str">
        <f t="shared" si="332"/>
        <v>INSTRUMENTACION-DIANA CAICEDO-DIANA DIAZ</v>
      </c>
      <c r="F6934" s="5" t="str">
        <f>"Descripcion: DISECTORES DE COOB Estado: Bueno Placa anterior: 000032129 Material: ACERO INOXIDABLE Color: PLATEADO Referencia:  Observacion: ELEVADOR DE COOB MEDIANO AUTORIZADO CONCILIAR EN CRUCE GENERAL Placa padre: Tipo adquisicion: Entidad"</f>
        <v>Descripcion: DISECTORES DE COOB Estado: Bueno Placa anterior: 000032129 Material: ACERO INOXIDABLE Color: PLATEADO Referencia:  Observacion: ELEVADOR DE COOB MEDIANO AUTORIZADO CONCILIAR EN CRUCE GENERAL Placa padre: Tipo adquisicion: Entidad</v>
      </c>
      <c r="G6934" s="5"/>
    </row>
    <row r="6935" spans="1:7" ht="58.5" customHeight="1" x14ac:dyDescent="0.25">
      <c r="A6935" s="5" t="str">
        <f>"I0005634"</f>
        <v>I0005634</v>
      </c>
      <c r="B6935" s="5" t="str">
        <f t="shared" si="334"/>
        <v>DISECTOR DE COBB</v>
      </c>
      <c r="C6935" s="6">
        <v>301600</v>
      </c>
      <c r="D6935" s="5"/>
      <c r="E6935" s="5" t="str">
        <f t="shared" si="332"/>
        <v>INSTRUMENTACION-DIANA CAICEDO-DIANA DIAZ</v>
      </c>
      <c r="F6935" s="5" t="str">
        <f>"Descripcion: DISECTORES DE COOB Estado: Bueno Placa anterior: 000032124 Material: ACERO INOXIDABLE Color: PLATEADO Referencia:  Observacion: ELEVADOR DE COOB PEQUEÑO AUTORIZADO CONCILIAR EN CRUCE GENERAL Placa padre: Tipo adquisicion: Entidad"</f>
        <v>Descripcion: DISECTORES DE COOB Estado: Bueno Placa anterior: 000032124 Material: ACERO INOXIDABLE Color: PLATEADO Referencia:  Observacion: ELEVADOR DE COOB PEQUEÑO AUTORIZADO CONCILIAR EN CRUCE GENERAL Placa padre: Tipo adquisicion: Entidad</v>
      </c>
      <c r="G6935" s="5"/>
    </row>
    <row r="6936" spans="1:7" ht="58.5" customHeight="1" x14ac:dyDescent="0.25">
      <c r="A6936" s="5" t="str">
        <f>"I0005635"</f>
        <v>I0005635</v>
      </c>
      <c r="B6936" s="5" t="str">
        <f t="shared" si="334"/>
        <v>DISECTOR DE COBB</v>
      </c>
      <c r="C6936" s="6">
        <v>301600</v>
      </c>
      <c r="D6936" s="5"/>
      <c r="E6936" s="5" t="str">
        <f t="shared" si="332"/>
        <v>INSTRUMENTACION-DIANA CAICEDO-DIANA DIAZ</v>
      </c>
      <c r="F6936" s="5" t="str">
        <f>"Descripcion: DISECTORES DE COOB Estado: Bueno Placa anterior: 000032123 Material: ACERO INOXIDABLE Color: PLATEADO Referencia:  Observacion: ELEVADOR DE COOB PEQUEÑO AUTORIZADO CONCILIAR EN CRUCE GENERAL Placa padre: Tipo adquisicion: Entidad"</f>
        <v>Descripcion: DISECTORES DE COOB Estado: Bueno Placa anterior: 000032123 Material: ACERO INOXIDABLE Color: PLATEADO Referencia:  Observacion: ELEVADOR DE COOB PEQUEÑO AUTORIZADO CONCILIAR EN CRUCE GENERAL Placa padre: Tipo adquisicion: Entidad</v>
      </c>
      <c r="G6936" s="5"/>
    </row>
    <row r="6937" spans="1:7" ht="58.5" customHeight="1" x14ac:dyDescent="0.25">
      <c r="A6937" s="5" t="str">
        <f>"I0005636"</f>
        <v>I0005636</v>
      </c>
      <c r="B6937" s="5" t="str">
        <f t="shared" si="334"/>
        <v>DISECTOR DE COBB</v>
      </c>
      <c r="C6937" s="6">
        <v>301600</v>
      </c>
      <c r="D6937" s="5"/>
      <c r="E6937" s="5" t="str">
        <f t="shared" si="332"/>
        <v>INSTRUMENTACION-DIANA CAICEDO-DIANA DIAZ</v>
      </c>
      <c r="F6937" s="5" t="str">
        <f>"Descripcion: DISECTORES DE COOB Estado: Bueno Placa anterior: 000032122 Material: ACERO INOXIDABLE Color: PLATEADO Referencia:  Observacion: ELEVADOR DE COOB PEQUEÑO AUTORIZADO CONCILIAR EN CRUCE GENERAL Placa padre: Tipo adquisicion: Entidad"</f>
        <v>Descripcion: DISECTORES DE COOB Estado: Bueno Placa anterior: 000032122 Material: ACERO INOXIDABLE Color: PLATEADO Referencia:  Observacion: ELEVADOR DE COOB PEQUEÑO AUTORIZADO CONCILIAR EN CRUCE GENERAL Placa padre: Tipo adquisicion: Entidad</v>
      </c>
      <c r="G6937" s="5"/>
    </row>
    <row r="6938" spans="1:7" ht="58.5" customHeight="1" x14ac:dyDescent="0.25">
      <c r="A6938" s="5" t="str">
        <f>"I0005637"</f>
        <v>I0005637</v>
      </c>
      <c r="B6938" s="5" t="str">
        <f t="shared" si="334"/>
        <v>DISECTOR DE COBB</v>
      </c>
      <c r="C6938" s="6">
        <v>301600</v>
      </c>
      <c r="D6938" s="5"/>
      <c r="E6938" s="5" t="str">
        <f t="shared" si="332"/>
        <v>INSTRUMENTACION-DIANA CAICEDO-DIANA DIAZ</v>
      </c>
      <c r="F6938" s="5" t="str">
        <f>"Descripcion: DISECTORES DE COOB Estado: Bueno Placa anterior: 000032125 Material: ACERO INOXIDABLE Color: PLATEADO Referencia:  Observacion: ELEVADOR DE COOB PEQUEÑO AUTORIZADO CONCILIAR EN CRUCE GENERAL Placa padre: Tipo adquisicion: Entidad"</f>
        <v>Descripcion: DISECTORES DE COOB Estado: Bueno Placa anterior: 000032125 Material: ACERO INOXIDABLE Color: PLATEADO Referencia:  Observacion: ELEVADOR DE COOB PEQUEÑO AUTORIZADO CONCILIAR EN CRUCE GENERAL Placa padre: Tipo adquisicion: Entidad</v>
      </c>
      <c r="G6938" s="5"/>
    </row>
    <row r="6939" spans="1:7" ht="58.5" customHeight="1" x14ac:dyDescent="0.25">
      <c r="A6939" s="5" t="str">
        <f>"I0005667"</f>
        <v>I0005667</v>
      </c>
      <c r="B6939" s="5" t="str">
        <f>"CINCEL (INSTRUMENTAL)"</f>
        <v>CINCEL (INSTRUMENTAL)</v>
      </c>
      <c r="C6939" s="6">
        <v>299280</v>
      </c>
      <c r="D6939" s="5"/>
      <c r="E6939" s="5" t="str">
        <f t="shared" si="332"/>
        <v>INSTRUMENTACION-DIANA CAICEDO-DIANA DIAZ</v>
      </c>
      <c r="F6939" s="5" t="str">
        <f>"Descripcion: CINCELES RECTOS Estado: Bueno Placa anterior: 000023259 Material: ACERO INOXIDABLE Color: PLATEADO Referencia:  Observacion: CINCEL OSTEOMO STILLE RECTO, ANCHO 8MM. LONG. 205 MM Placa padre: Tipo adquisicion: Entidad"</f>
        <v>Descripcion: CINCELES RECTOS Estado: Bueno Placa anterior: 000023259 Material: ACERO INOXIDABLE Color: PLATEADO Referencia:  Observacion: CINCEL OSTEOMO STILLE RECTO, ANCHO 8MM. LONG. 205 MM Placa padre: Tipo adquisicion: Entidad</v>
      </c>
      <c r="G6939" s="5"/>
    </row>
    <row r="6940" spans="1:7" ht="58.5" customHeight="1" x14ac:dyDescent="0.25">
      <c r="A6940" s="5" t="str">
        <f>"I0005668"</f>
        <v>I0005668</v>
      </c>
      <c r="B6940" s="5" t="str">
        <f>"CINCEL (INSTRUMENTAL)"</f>
        <v>CINCEL (INSTRUMENTAL)</v>
      </c>
      <c r="C6940" s="6">
        <v>160080</v>
      </c>
      <c r="D6940" s="5"/>
      <c r="E6940" s="5" t="str">
        <f t="shared" si="332"/>
        <v>INSTRUMENTACION-DIANA CAICEDO-DIANA DIAZ</v>
      </c>
      <c r="F6940" s="5" t="str">
        <f>"Descripcion: CINCELES RECTOS Estado: Bueno Placa anterior: 000023258 Material: ACERO INOXIDABLE Color: PLATEADO Referencia:  Observacion: CINCELES DE PARTSCH -5 5MM, DE ANCHO, RECTO, LONG, 140 MM. ( 5 1/2) Placa padre: Tipo adquisicion: Entidad"</f>
        <v>Descripcion: CINCELES RECTOS Estado: Bueno Placa anterior: 000023258 Material: ACERO INOXIDABLE Color: PLATEADO Referencia:  Observacion: CINCELES DE PARTSCH -5 5MM, DE ANCHO, RECTO, LONG, 140 MM. ( 5 1/2) Placa padre: Tipo adquisicion: Entidad</v>
      </c>
      <c r="G6940" s="5"/>
    </row>
    <row r="6941" spans="1:7" ht="58.5" customHeight="1" x14ac:dyDescent="0.25">
      <c r="A6941" s="5" t="str">
        <f>"I0005669"</f>
        <v>I0005669</v>
      </c>
      <c r="B6941" s="5" t="str">
        <f>"CINCEL (INSTRUMENTAL)"</f>
        <v>CINCEL (INSTRUMENTAL)</v>
      </c>
      <c r="C6941" s="6">
        <v>299280</v>
      </c>
      <c r="D6941" s="5"/>
      <c r="E6941" s="5" t="str">
        <f t="shared" si="332"/>
        <v>INSTRUMENTACION-DIANA CAICEDO-DIANA DIAZ</v>
      </c>
      <c r="F6941" s="5" t="str">
        <f>"Descripcion: CINCELES RECTOS Estado: Bueno Placa anterior: 000023261 Material: ACERO INOXIDABLE Color: PLATEADO Referencia:  Observacion: CINCELES DE STILLE Recto, Ancho 15mm. Long. 205 mm. Placa padre: Tipo adquisicion: Entidad"</f>
        <v>Descripcion: CINCELES RECTOS Estado: Bueno Placa anterior: 000023261 Material: ACERO INOXIDABLE Color: PLATEADO Referencia:  Observacion: CINCELES DE STILLE Recto, Ancho 15mm. Long. 205 mm. Placa padre: Tipo adquisicion: Entidad</v>
      </c>
      <c r="G6941" s="5"/>
    </row>
    <row r="6942" spans="1:7" ht="58.5" customHeight="1" x14ac:dyDescent="0.25">
      <c r="A6942" s="5" t="str">
        <f>"I0005670"</f>
        <v>I0005670</v>
      </c>
      <c r="B6942" s="5" t="str">
        <f>"CINCEL (INSTRUMENTAL)"</f>
        <v>CINCEL (INSTRUMENTAL)</v>
      </c>
      <c r="C6942" s="6">
        <v>232000</v>
      </c>
      <c r="D6942" s="5"/>
      <c r="E6942" s="5" t="str">
        <f t="shared" si="332"/>
        <v>INSTRUMENTACION-DIANA CAICEDO-DIANA DIAZ</v>
      </c>
      <c r="F6942" s="5" t="str">
        <f>"Descripcion: CINCELES RECTOS Estado: Bueno Placa anterior: 000032349 Material: ACERO INOXIDABLE Color: PLATEADO Referencia:  Observacion:  Placa padre: Tipo adquisicion: Entidad"</f>
        <v>Descripcion: CINCELES RECTOS Estado: Bueno Placa anterior: 000032349 Material: ACERO INOXIDABLE Color: PLATEADO Referencia:  Observacion:  Placa padre: Tipo adquisicion: Entidad</v>
      </c>
      <c r="G6942" s="5"/>
    </row>
    <row r="6943" spans="1:7" ht="58.5" customHeight="1" x14ac:dyDescent="0.25">
      <c r="A6943" s="5" t="str">
        <f>"I0005671"</f>
        <v>I0005671</v>
      </c>
      <c r="B6943" s="5" t="str">
        <f>"CINCEL (INSTRUMENTAL)"</f>
        <v>CINCEL (INSTRUMENTAL)</v>
      </c>
      <c r="C6943" s="6">
        <v>299280</v>
      </c>
      <c r="D6943" s="5"/>
      <c r="E6943" s="5" t="str">
        <f t="shared" ref="E6943:E7002" si="335">"INSTRUMENTACION-DIANA CAICEDO-DIANA DIAZ"</f>
        <v>INSTRUMENTACION-DIANA CAICEDO-DIANA DIAZ</v>
      </c>
      <c r="F6943" s="5" t="str">
        <f>"Descripcion: CINCELES RECTOS Estado: Bueno Placa anterior: 000023260 Material: ACERO INOXIDABLE Color: PLATEADO Referencia:  Observacion: INCELES OSTEOMO STILLE Recto, ancho 10mm. long. 205mm. Placa padre: Tipo adquisicion: Entidad"</f>
        <v>Descripcion: CINCELES RECTOS Estado: Bueno Placa anterior: 000023260 Material: ACERO INOXIDABLE Color: PLATEADO Referencia:  Observacion: INCELES OSTEOMO STILLE Recto, ancho 10mm. long. 205mm. Placa padre: Tipo adquisicion: Entidad</v>
      </c>
      <c r="G6943" s="5"/>
    </row>
    <row r="6944" spans="1:7" ht="58.5" customHeight="1" x14ac:dyDescent="0.25">
      <c r="A6944" s="5" t="str">
        <f>"I0005689"</f>
        <v>I0005689</v>
      </c>
      <c r="B6944" s="5" t="str">
        <f>"PINZA CISTICO"</f>
        <v>PINZA CISTICO</v>
      </c>
      <c r="C6944" s="6">
        <v>162400</v>
      </c>
      <c r="D6944" s="5"/>
      <c r="E6944" s="5" t="str">
        <f t="shared" si="335"/>
        <v>INSTRUMENTACION-DIANA CAICEDO-DIANA DIAZ</v>
      </c>
      <c r="F6944" s="5" t="str">
        <f>"Descripcion: PINZA CISTICO Estado: Bueno Placa anterior: 000036185 Material: ACERO INOXIDABLE Color: PLATEADO Referencia:  Observacion: PINZA LAHEY DUCTO BILIAR CURVA  Placa padre: Tipo adquisicion: Entidad"</f>
        <v>Descripcion: PINZA CISTICO Estado: Bueno Placa anterior: 000036185 Material: ACERO INOXIDABLE Color: PLATEADO Referencia:  Observacion: PINZA LAHEY DUCTO BILIAR CURVA  Placa padre: Tipo adquisicion: Entidad</v>
      </c>
      <c r="G6944" s="5"/>
    </row>
    <row r="6945" spans="1:7" ht="58.5" customHeight="1" x14ac:dyDescent="0.25">
      <c r="A6945" s="5" t="str">
        <f>"I0005694"</f>
        <v>I0005694</v>
      </c>
      <c r="B6945" s="5" t="str">
        <f>"CLAMP DE POTTS"</f>
        <v>CLAMP DE POTTS</v>
      </c>
      <c r="C6945" s="6">
        <v>300</v>
      </c>
      <c r="D6945" s="5"/>
      <c r="E6945" s="5" t="str">
        <f t="shared" si="335"/>
        <v>INSTRUMENTACION-DIANA CAICEDO-DIANA DIAZ</v>
      </c>
      <c r="F6945" s="5" t="str">
        <f>"Descripcion: CLAMP DE POTTS Estado: Bueno Placa anterior: 000016240 Material: ACERO INOXIDABLE Color: PLATEADO Referencia:  Observacion:  Placa padre: Tipo adquisicion: Entidad"</f>
        <v>Descripcion: CLAMP DE POTTS Estado: Bueno Placa anterior: 000016240 Material: ACERO INOXIDABLE Color: PLATEADO Referencia:  Observacion:  Placa padre: Tipo adquisicion: Entidad</v>
      </c>
      <c r="G6945" s="5"/>
    </row>
    <row r="6946" spans="1:7" ht="58.5" customHeight="1" x14ac:dyDescent="0.25">
      <c r="A6946" s="5" t="str">
        <f>"I0005695"</f>
        <v>I0005695</v>
      </c>
      <c r="B6946" s="5" t="str">
        <f>"CLAMP DE POTTS"</f>
        <v>CLAMP DE POTTS</v>
      </c>
      <c r="C6946" s="6">
        <v>300</v>
      </c>
      <c r="D6946" s="5"/>
      <c r="E6946" s="5" t="str">
        <f t="shared" si="335"/>
        <v>INSTRUMENTACION-DIANA CAICEDO-DIANA DIAZ</v>
      </c>
      <c r="F6946" s="5" t="str">
        <f>"Descripcion: CLAMP DE POTTS Estado: Bueno Placa anterior: 000016241 Material: ACERO INOXIDABLE Color: PLATEADO Referencia:  Observacion:  Placa padre: Tipo adquisicion: Entidad"</f>
        <v>Descripcion: CLAMP DE POTTS Estado: Bueno Placa anterior: 000016241 Material: ACERO INOXIDABLE Color: PLATEADO Referencia:  Observacion:  Placa padre: Tipo adquisicion: Entidad</v>
      </c>
      <c r="G6946" s="5"/>
    </row>
    <row r="6947" spans="1:7" ht="58.5" customHeight="1" x14ac:dyDescent="0.25">
      <c r="A6947" s="5" t="str">
        <f>"I0005698"</f>
        <v>I0005698</v>
      </c>
      <c r="B6947" s="5" t="str">
        <f>"CLAMP (INSTRUMENTAL)"</f>
        <v>CLAMP (INSTRUMENTAL)</v>
      </c>
      <c r="C6947" s="6">
        <v>300</v>
      </c>
      <c r="D6947" s="5"/>
      <c r="E6947" s="5" t="str">
        <f t="shared" si="335"/>
        <v>INSTRUMENTACION-DIANA CAICEDO-DIANA DIAZ</v>
      </c>
      <c r="F6947" s="5" t="str">
        <f>"Descripcion: CLAMP RECTOS Estado: Bueno Placa anterior: 000016245 Material: ACERO INOXIDABLE Color: PLATEADO Referencia:  Observacion: CLANES RECTOS MEDIANOS Placa padre: Tipo adquisicion: Entidad"</f>
        <v>Descripcion: CLAMP RECTOS Estado: Bueno Placa anterior: 000016245 Material: ACERO INOXIDABLE Color: PLATEADO Referencia:  Observacion: CLANES RECTOS MEDIANOS Placa padre: Tipo adquisicion: Entidad</v>
      </c>
      <c r="G6947" s="5"/>
    </row>
    <row r="6948" spans="1:7" ht="58.5" customHeight="1" x14ac:dyDescent="0.25">
      <c r="A6948" s="5" t="str">
        <f>"I0005818"</f>
        <v>I0005818</v>
      </c>
      <c r="B6948" s="5" t="str">
        <f>"CORTAFRIO (INSTRUMENTAL)"</f>
        <v>CORTAFRIO (INSTRUMENTAL)</v>
      </c>
      <c r="C6948" s="6">
        <v>938556</v>
      </c>
      <c r="D6948" s="5"/>
      <c r="E6948" s="5" t="str">
        <f t="shared" si="335"/>
        <v>INSTRUMENTACION-DIANA CAICEDO-DIANA DIAZ</v>
      </c>
      <c r="F6948" s="5" t="str">
        <f>"Descripcion: CORTA FRIOS DE ALAMBRE DE 22 cm. Estado: Inservible Placa anterior: 000024028 Material: ACERO INOXIDABLE Color: PLATEADO Referencia:  Observacion:  Placa padre: Tipo adquisicion: Entidad"</f>
        <v>Descripcion: CORTA FRIOS DE ALAMBRE DE 22 cm. Estado: Inservible Placa anterior: 000024028 Material: ACERO INOXIDABLE Color: PLATEADO Referencia:  Observacion:  Placa padre: Tipo adquisicion: Entidad</v>
      </c>
      <c r="G6948" s="5"/>
    </row>
    <row r="6949" spans="1:7" ht="58.5" customHeight="1" x14ac:dyDescent="0.25">
      <c r="A6949" s="5" t="str">
        <f>"I0005871"</f>
        <v>I0005871</v>
      </c>
      <c r="B6949" s="5" t="str">
        <f>"GANCHO (INSTRUMENTAL)"</f>
        <v>GANCHO (INSTRUMENTAL)</v>
      </c>
      <c r="C6949" s="6">
        <v>92800</v>
      </c>
      <c r="D6949" s="5"/>
      <c r="E6949" s="5" t="str">
        <f t="shared" si="335"/>
        <v>INSTRUMENTACION-DIANA CAICEDO-DIANA DIAZ</v>
      </c>
      <c r="F6949" s="5" t="str">
        <f>"Descripcion: GANCHO DE HUESO Estado: B Placa anterior: 000032156 Material: ACERO INOXIDABLE Color: PLATEADO Referencia:  Observacion:     Placa padre: I0003293Tipo adquisicion: Entidad"</f>
        <v>Descripcion: GANCHO DE HUESO Estado: B Placa anterior: 000032156 Material: ACERO INOXIDABLE Color: PLATEADO Referencia:  Observacion:     Placa padre: I0003293Tipo adquisicion: Entidad</v>
      </c>
      <c r="G6949" s="5"/>
    </row>
    <row r="6950" spans="1:7" ht="58.5" customHeight="1" x14ac:dyDescent="0.25">
      <c r="A6950" s="5" t="str">
        <f>"I0005873"</f>
        <v>I0005873</v>
      </c>
      <c r="B6950" s="5" t="str">
        <f>"PINZA KELLY RECTA 16 CM"</f>
        <v>PINZA KELLY RECTA 16 CM</v>
      </c>
      <c r="C6950" s="6">
        <v>479.92</v>
      </c>
      <c r="D6950" s="5"/>
      <c r="E6950" s="5" t="str">
        <f t="shared" si="335"/>
        <v>INSTRUMENTACION-DIANA CAICEDO-DIANA DIAZ</v>
      </c>
      <c r="F6950" s="5" t="str">
        <f>"Descripcion: PINZA KELLY RECTA Estado: Bueno Placa anterior: 000020038 Material: ACERO INOXIDABLE Color: PLATEADO Referencia:  Observacion:  Placa padre: I0001677Tipo adquisicion: Entidad"</f>
        <v>Descripcion: PINZA KELLY RECTA Estado: Bueno Placa anterior: 000020038 Material: ACERO INOXIDABLE Color: PLATEADO Referencia:  Observacion:  Placa padre: I0001677Tipo adquisicion: Entidad</v>
      </c>
      <c r="G6950" s="5"/>
    </row>
    <row r="6951" spans="1:7" ht="58.5" customHeight="1" x14ac:dyDescent="0.25">
      <c r="A6951" s="5" t="str">
        <f>"I0005874"</f>
        <v>I0005874</v>
      </c>
      <c r="B6951" s="5" t="str">
        <f>"PINZA ALLIX"</f>
        <v>PINZA ALLIX</v>
      </c>
      <c r="C6951" s="6">
        <v>576.54</v>
      </c>
      <c r="D6951" s="5"/>
      <c r="E6951" s="5" t="str">
        <f t="shared" si="335"/>
        <v>INSTRUMENTACION-DIANA CAICEDO-DIANA DIAZ</v>
      </c>
      <c r="F6951" s="5" t="str">
        <f>"Descripcion: PINZA ALLIX Estado: Bueno Placa anterior: 000006449 Material: ACERO INOXIDABLE Color: PLATEADO Referencia:  Observacion:  Placa padre: I0001677Tipo adquisicion: Entidad"</f>
        <v>Descripcion: PINZA ALLIX Estado: Bueno Placa anterior: 000006449 Material: ACERO INOXIDABLE Color: PLATEADO Referencia:  Observacion:  Placa padre: I0001677Tipo adquisicion: Entidad</v>
      </c>
      <c r="G6951" s="5"/>
    </row>
    <row r="6952" spans="1:7" ht="58.5" customHeight="1" x14ac:dyDescent="0.25">
      <c r="A6952" s="5" t="str">
        <f>"I0005875"</f>
        <v>I0005875</v>
      </c>
      <c r="B6952" s="5" t="str">
        <f>"PINZA ALLIX"</f>
        <v>PINZA ALLIX</v>
      </c>
      <c r="C6952" s="6">
        <v>12995.84</v>
      </c>
      <c r="D6952" s="5"/>
      <c r="E6952" s="5" t="str">
        <f t="shared" si="335"/>
        <v>INSTRUMENTACION-DIANA CAICEDO-DIANA DIAZ</v>
      </c>
      <c r="F6952" s="5" t="str">
        <f>"Descripcion: PINZA ALLIX Estado: Bueno Placa anterior: 000015492 Material: ACERO INOXIDABLE Color: PLATEADO Referencia:  Observacion:  Placa padre: I0001677Tipo adquisicion: Entidad"</f>
        <v>Descripcion: PINZA ALLIX Estado: Bueno Placa anterior: 000015492 Material: ACERO INOXIDABLE Color: PLATEADO Referencia:  Observacion:  Placa padre: I0001677Tipo adquisicion: Entidad</v>
      </c>
      <c r="G6952" s="5"/>
    </row>
    <row r="6953" spans="1:7" ht="58.5" customHeight="1" x14ac:dyDescent="0.25">
      <c r="A6953" s="5" t="str">
        <f>"I0005876"</f>
        <v>I0005876</v>
      </c>
      <c r="B6953" s="5" t="str">
        <f>"PINZA ALLIX"</f>
        <v>PINZA ALLIX</v>
      </c>
      <c r="C6953" s="6">
        <v>576.54</v>
      </c>
      <c r="D6953" s="5"/>
      <c r="E6953" s="5" t="str">
        <f t="shared" si="335"/>
        <v>INSTRUMENTACION-DIANA CAICEDO-DIANA DIAZ</v>
      </c>
      <c r="F6953" s="5" t="str">
        <f>"Descripcion: PINZA ALLIX Estado: Bueno Placa anterior: 000006447 Material: ACERO INOXIDABLE Color: PLATEADO Referencia:  Observacion:  Placa padre: I0001677Tipo adquisicion: Entidad"</f>
        <v>Descripcion: PINZA ALLIX Estado: Bueno Placa anterior: 000006447 Material: ACERO INOXIDABLE Color: PLATEADO Referencia:  Observacion:  Placa padre: I0001677Tipo adquisicion: Entidad</v>
      </c>
      <c r="G6953" s="5"/>
    </row>
    <row r="6954" spans="1:7" ht="58.5" customHeight="1" x14ac:dyDescent="0.25">
      <c r="A6954" s="5" t="str">
        <f>"I0005877"</f>
        <v>I0005877</v>
      </c>
      <c r="B6954" s="5" t="str">
        <f>"PINZA ALLIX"</f>
        <v>PINZA ALLIX</v>
      </c>
      <c r="C6954" s="6">
        <v>47062</v>
      </c>
      <c r="D6954" s="5"/>
      <c r="E6954" s="5" t="str">
        <f t="shared" si="335"/>
        <v>INSTRUMENTACION-DIANA CAICEDO-DIANA DIAZ</v>
      </c>
      <c r="F6954" s="5" t="str">
        <f>"Descripcion: PINZA ALLIX Estado: Bueno Placa anterior: 000018697 Material: ACERO INOXIDABLE Color: PLATEADO Referencia:  Observacion:  Placa padre: I0001677Tipo adquisicion: Entidad"</f>
        <v>Descripcion: PINZA ALLIX Estado: Bueno Placa anterior: 000018697 Material: ACERO INOXIDABLE Color: PLATEADO Referencia:  Observacion:  Placa padre: I0001677Tipo adquisicion: Entidad</v>
      </c>
      <c r="G6954" s="5"/>
    </row>
    <row r="6955" spans="1:7" ht="58.5" customHeight="1" x14ac:dyDescent="0.25">
      <c r="A6955" s="5" t="str">
        <f>"I0005878"</f>
        <v>I0005878</v>
      </c>
      <c r="B6955" s="5" t="str">
        <f t="shared" ref="B6955:B6960" si="336">"PINZA ROCHESTER CURVA 25 CM"</f>
        <v>PINZA ROCHESTER CURVA 25 CM</v>
      </c>
      <c r="C6955" s="6">
        <v>113680</v>
      </c>
      <c r="D6955" s="5"/>
      <c r="E6955" s="5" t="str">
        <f t="shared" si="335"/>
        <v>INSTRUMENTACION-DIANA CAICEDO-DIANA DIAZ</v>
      </c>
      <c r="F6955" s="5" t="str">
        <f>"Descripcion: ROCHESTER CURVAS MEDIANO Estado: Bueno Placa anterior: 000032481 Material: ACERO INOXIDABLE Color: PLATEADO Referencia:  Observacion:  Placa padre: I0001677Tipo adquisicion: Entidad"</f>
        <v>Descripcion: ROCHESTER CURVAS MEDIANO Estado: Bueno Placa anterior: 000032481 Material: ACERO INOXIDABLE Color: PLATEADO Referencia:  Observacion:  Placa padre: I0001677Tipo adquisicion: Entidad</v>
      </c>
      <c r="G6955" s="5"/>
    </row>
    <row r="6956" spans="1:7" ht="58.5" customHeight="1" x14ac:dyDescent="0.25">
      <c r="A6956" s="5" t="str">
        <f>"I0005879"</f>
        <v>I0005879</v>
      </c>
      <c r="B6956" s="5" t="str">
        <f t="shared" si="336"/>
        <v>PINZA ROCHESTER CURVA 25 CM</v>
      </c>
      <c r="C6956" s="6">
        <v>61292.1</v>
      </c>
      <c r="D6956" s="5"/>
      <c r="E6956" s="5" t="str">
        <f t="shared" si="335"/>
        <v>INSTRUMENTACION-DIANA CAICEDO-DIANA DIAZ</v>
      </c>
      <c r="F6956" s="5" t="str">
        <f>"Descripcion: PINZA ROCHESTER CURVA Estado: Bueno Placa anterior: 000018798 Material: ACERO INOXIDABLE Color: PLATEADO Referencia:  Observacion:  Placa padre: I0001677Tipo adquisicion: Entidad"</f>
        <v>Descripcion: PINZA ROCHESTER CURVA Estado: Bueno Placa anterior: 000018798 Material: ACERO INOXIDABLE Color: PLATEADO Referencia:  Observacion:  Placa padre: I0001677Tipo adquisicion: Entidad</v>
      </c>
      <c r="G6956" s="5"/>
    </row>
    <row r="6957" spans="1:7" ht="58.5" customHeight="1" x14ac:dyDescent="0.25">
      <c r="A6957" s="5" t="str">
        <f>"I0005880"</f>
        <v>I0005880</v>
      </c>
      <c r="B6957" s="5" t="str">
        <f t="shared" si="336"/>
        <v>PINZA ROCHESTER CURVA 25 CM</v>
      </c>
      <c r="C6957" s="6">
        <v>17750.37</v>
      </c>
      <c r="D6957" s="5"/>
      <c r="E6957" s="5" t="str">
        <f t="shared" si="335"/>
        <v>INSTRUMENTACION-DIANA CAICEDO-DIANA DIAZ</v>
      </c>
      <c r="F6957" s="5" t="str">
        <f>"Descripcion: PINZA ROCHESTER CURVA Estado: Bueno Placa anterior: 000013988 Material: ACERO INOXIDABLE Color: PLATEADO Referencia:  Observacion:  Placa padre: I0001677Tipo adquisicion: Entidad"</f>
        <v>Descripcion: PINZA ROCHESTER CURVA Estado: Bueno Placa anterior: 000013988 Material: ACERO INOXIDABLE Color: PLATEADO Referencia:  Observacion:  Placa padre: I0001677Tipo adquisicion: Entidad</v>
      </c>
      <c r="G6957" s="5"/>
    </row>
    <row r="6958" spans="1:7" ht="58.5" customHeight="1" x14ac:dyDescent="0.25">
      <c r="A6958" s="5" t="str">
        <f>"I0005881"</f>
        <v>I0005881</v>
      </c>
      <c r="B6958" s="5" t="str">
        <f t="shared" si="336"/>
        <v>PINZA ROCHESTER CURVA 25 CM</v>
      </c>
      <c r="C6958" s="6">
        <v>17750.37</v>
      </c>
      <c r="D6958" s="5"/>
      <c r="E6958" s="5" t="str">
        <f t="shared" si="335"/>
        <v>INSTRUMENTACION-DIANA CAICEDO-DIANA DIAZ</v>
      </c>
      <c r="F6958" s="5" t="str">
        <f>"Descripcion: PINZA ROCHESTER CURVA Estado: Bueno Placa anterior: 000013986 Material: ACERO INOXIDABLE Color: PLATEADO Referencia:  Observacion:  Placa padre: I0001677Tipo adquisicion: Entidad"</f>
        <v>Descripcion: PINZA ROCHESTER CURVA Estado: Bueno Placa anterior: 000013986 Material: ACERO INOXIDABLE Color: PLATEADO Referencia:  Observacion:  Placa padre: I0001677Tipo adquisicion: Entidad</v>
      </c>
      <c r="G6958" s="5"/>
    </row>
    <row r="6959" spans="1:7" ht="58.5" customHeight="1" x14ac:dyDescent="0.25">
      <c r="A6959" s="5" t="str">
        <f>"I0005882"</f>
        <v>I0005882</v>
      </c>
      <c r="B6959" s="5" t="str">
        <f t="shared" si="336"/>
        <v>PINZA ROCHESTER CURVA 25 CM</v>
      </c>
      <c r="C6959" s="6">
        <v>17750.37</v>
      </c>
      <c r="D6959" s="5"/>
      <c r="E6959" s="5" t="str">
        <f t="shared" si="335"/>
        <v>INSTRUMENTACION-DIANA CAICEDO-DIANA DIAZ</v>
      </c>
      <c r="F6959" s="5" t="str">
        <f>"Descripcion: PINZA ROCHESTER CURVA Estado: Bueno Placa anterior: 000013975 Material: ACERO INOXIDABLE Color: PLATEADO Referencia:  Observacion:  Placa padre: I0001677Tipo adquisicion: Entidad"</f>
        <v>Descripcion: PINZA ROCHESTER CURVA Estado: Bueno Placa anterior: 000013975 Material: ACERO INOXIDABLE Color: PLATEADO Referencia:  Observacion:  Placa padre: I0001677Tipo adquisicion: Entidad</v>
      </c>
      <c r="G6959" s="5"/>
    </row>
    <row r="6960" spans="1:7" ht="58.5" customHeight="1" x14ac:dyDescent="0.25">
      <c r="A6960" s="5" t="str">
        <f>"I0005883"</f>
        <v>I0005883</v>
      </c>
      <c r="B6960" s="5" t="str">
        <f t="shared" si="336"/>
        <v>PINZA ROCHESTER CURVA 25 CM</v>
      </c>
      <c r="C6960" s="6">
        <v>61292.1</v>
      </c>
      <c r="D6960" s="5"/>
      <c r="E6960" s="5" t="str">
        <f t="shared" si="335"/>
        <v>INSTRUMENTACION-DIANA CAICEDO-DIANA DIAZ</v>
      </c>
      <c r="F6960" s="5" t="str">
        <f>"Descripcion: PINZA ROCHESTER CURVA Estado: Bueno Placa anterior: 000018797 Material: ACERO INOXIDABLE Color: PLATEADO Referencia:  Observacion:  Placa padre: I0001677Tipo adquisicion: Entidad"</f>
        <v>Descripcion: PINZA ROCHESTER CURVA Estado: Bueno Placa anterior: 000018797 Material: ACERO INOXIDABLE Color: PLATEADO Referencia:  Observacion:  Placa padre: I0001677Tipo adquisicion: Entidad</v>
      </c>
      <c r="G6960" s="5"/>
    </row>
    <row r="6961" spans="1:7" ht="58.5" customHeight="1" x14ac:dyDescent="0.25">
      <c r="A6961" s="5" t="str">
        <f>"I0005886"</f>
        <v>I0005886</v>
      </c>
      <c r="B6961" s="5" t="str">
        <f>"PINZA CISTICO"</f>
        <v>PINZA CISTICO</v>
      </c>
      <c r="C6961" s="6">
        <v>162400</v>
      </c>
      <c r="D6961" s="5"/>
      <c r="E6961" s="5" t="str">
        <f t="shared" si="335"/>
        <v>INSTRUMENTACION-DIANA CAICEDO-DIANA DIAZ</v>
      </c>
      <c r="F6961" s="5" t="str">
        <f>"Descripcion: PINZA CISTICO Estado: Bueno Placa anterior: 000036188 Material: ACERO INOXIDABLE Color: PLATEADO Referencia:  Observacion: PINZA LAHEY DUCTO BILIAR CURVA  Placa padre: I0001677Tipo adquisicion: Entidad"</f>
        <v>Descripcion: PINZA CISTICO Estado: Bueno Placa anterior: 000036188 Material: ACERO INOXIDABLE Color: PLATEADO Referencia:  Observacion: PINZA LAHEY DUCTO BILIAR CURVA  Placa padre: I0001677Tipo adquisicion: Entidad</v>
      </c>
      <c r="G6961" s="5"/>
    </row>
    <row r="6962" spans="1:7" ht="58.5" customHeight="1" x14ac:dyDescent="0.25">
      <c r="A6962" s="5" t="str">
        <f>"I0005887"</f>
        <v>I0005887</v>
      </c>
      <c r="B6962" s="5" t="str">
        <f>"PINZA CISTICO"</f>
        <v>PINZA CISTICO</v>
      </c>
      <c r="C6962" s="6">
        <v>162400</v>
      </c>
      <c r="D6962" s="5"/>
      <c r="E6962" s="5" t="str">
        <f t="shared" si="335"/>
        <v>INSTRUMENTACION-DIANA CAICEDO-DIANA DIAZ</v>
      </c>
      <c r="F6962" s="5" t="str">
        <f>"Descripcion: PINZA CISTICO Estado: Bueno Placa anterior: 000036192 Material: ACERO INOXIDABLE Color: PLATEADO Referencia:  Observacion: PINZA LAHEY DUCTO BILIAR CURVA  Placa padre: I0001677Tipo adquisicion: Entidad"</f>
        <v>Descripcion: PINZA CISTICO Estado: Bueno Placa anterior: 000036192 Material: ACERO INOXIDABLE Color: PLATEADO Referencia:  Observacion: PINZA LAHEY DUCTO BILIAR CURVA  Placa padre: I0001677Tipo adquisicion: Entidad</v>
      </c>
      <c r="G6962" s="5"/>
    </row>
    <row r="6963" spans="1:7" ht="58.5" customHeight="1" x14ac:dyDescent="0.25">
      <c r="A6963" s="5" t="str">
        <f>"I0005890"</f>
        <v>I0005890</v>
      </c>
      <c r="B6963" s="5" t="str">
        <f>"PORTAGUJAS (PINZA)"</f>
        <v>PORTAGUJAS (PINZA)</v>
      </c>
      <c r="C6963" s="6">
        <v>139200</v>
      </c>
      <c r="D6963" s="5"/>
      <c r="E6963" s="5" t="str">
        <f t="shared" si="335"/>
        <v>INSTRUMENTACION-DIANA CAICEDO-DIANA DIAZ</v>
      </c>
      <c r="F6963" s="5" t="str">
        <f>"Descripcion: PORTA AGUJAS MASSON RANURADO EN LA PUNTA CIERRE DE CREMALLERA Estado: Bueno Placa anterior: 000032423 Material: ACERO INOXIDABLE Color: PLATEADO Referencia:  Observacion:  Placa padre: I0001677Tipo adquisicion: Entidad"</f>
        <v>Descripcion: PORTA AGUJAS MASSON RANURADO EN LA PUNTA CIERRE DE CREMALLERA Estado: Bueno Placa anterior: 000032423 Material: ACERO INOXIDABLE Color: PLATEADO Referencia:  Observacion:  Placa padre: I0001677Tipo adquisicion: Entidad</v>
      </c>
      <c r="G6963" s="5"/>
    </row>
    <row r="6964" spans="1:7" ht="58.5" customHeight="1" x14ac:dyDescent="0.25">
      <c r="A6964" s="5" t="str">
        <f>"I0005897"</f>
        <v>I0005897</v>
      </c>
      <c r="B6964" s="5" t="str">
        <f>"CANULA DE YANKAUER"</f>
        <v>CANULA DE YANKAUER</v>
      </c>
      <c r="C6964" s="6">
        <v>109800</v>
      </c>
      <c r="D6964" s="5"/>
      <c r="E6964" s="5" t="str">
        <f t="shared" si="335"/>
        <v>INSTRUMENTACION-DIANA CAICEDO-DIANA DIAZ</v>
      </c>
      <c r="F6964" s="5" t="str">
        <f>"Descripcion: CANULA DE SUCCION YAKAVER DE 27 CM CANULA DE SUCCION DE YANKAWER(DIMEDA) Estado: Bueno Placa anterior: 000022795 Material: ACERO INOXIDABLE Color: PLATEADO Referencia:  Observacion:  Placa padre: I0001677Tipo adquisicion: Donacion"</f>
        <v>Descripcion: CANULA DE SUCCION YAKAVER DE 27 CM CANULA DE SUCCION DE YANKAWER(DIMEDA) Estado: Bueno Placa anterior: 000022795 Material: ACERO INOXIDABLE Color: PLATEADO Referencia:  Observacion:  Placa padre: I0001677Tipo adquisicion: Donacion</v>
      </c>
      <c r="G6964" s="5"/>
    </row>
    <row r="6965" spans="1:7" ht="58.5" customHeight="1" x14ac:dyDescent="0.25">
      <c r="A6965" s="5" t="str">
        <f>"I0005898"</f>
        <v>I0005898</v>
      </c>
      <c r="B6965" s="5" t="str">
        <f>"MESA EN ACERO INOXIDABLE"</f>
        <v>MESA EN ACERO INOXIDABLE</v>
      </c>
      <c r="C6965" s="6">
        <v>10438.4</v>
      </c>
      <c r="D6965" s="5"/>
      <c r="E6965" s="5" t="str">
        <f t="shared" si="335"/>
        <v>INSTRUMENTACION-DIANA CAICEDO-DIANA DIAZ</v>
      </c>
      <c r="F6965" s="5" t="str">
        <f>"Descripcion: PLATON EN ACERO INOX. PLATON NIQUELADO Estado: Bueno Placa anterior: 000028739 Material: ACERO INOXIDABLE Color: PLATEADO Referencia:  Observacion:  Placa padre: I0001677Tipo adquisicion: Entidad"</f>
        <v>Descripcion: PLATON EN ACERO INOX. PLATON NIQUELADO Estado: Bueno Placa anterior: 000028739 Material: ACERO INOXIDABLE Color: PLATEADO Referencia:  Observacion:  Placa padre: I0001677Tipo adquisicion: Entidad</v>
      </c>
      <c r="G6965" s="5"/>
    </row>
    <row r="6966" spans="1:7" ht="58.5" customHeight="1" x14ac:dyDescent="0.25">
      <c r="A6966" s="5" t="str">
        <f>"I0005899"</f>
        <v>I0005899</v>
      </c>
      <c r="B6966" s="5" t="str">
        <f>"CUBETA DE ACERO INOXIDABLE CON TAPA MEDIANA"</f>
        <v>CUBETA DE ACERO INOXIDABLE CON TAPA MEDIANA</v>
      </c>
      <c r="C6966" s="6">
        <v>6919.49</v>
      </c>
      <c r="D6966" s="5"/>
      <c r="E6966" s="5" t="str">
        <f t="shared" si="335"/>
        <v>INSTRUMENTACION-DIANA CAICEDO-DIANA DIAZ</v>
      </c>
      <c r="F6966" s="5" t="str">
        <f>"Descripcion: CUBETA EN ACERO INOX. CON TAPA 31X13X4 Estado: Bueno Placa anterior: 000004702 Material: ACERO INOXIDABLE Color: PLATEADO Referencia:  Observacion:  Placa padre: I0001677Tipo adquisicion: Entidad"</f>
        <v>Descripcion: CUBETA EN ACERO INOX. CON TAPA 31X13X4 Estado: Bueno Placa anterior: 000004702 Material: ACERO INOXIDABLE Color: PLATEADO Referencia:  Observacion:  Placa padre: I0001677Tipo adquisicion: Entidad</v>
      </c>
      <c r="G6966" s="5"/>
    </row>
    <row r="6967" spans="1:7" ht="58.5" customHeight="1" x14ac:dyDescent="0.25">
      <c r="A6967" s="5" t="str">
        <f>"I0005900"</f>
        <v>I0005900</v>
      </c>
      <c r="B6967" s="5" t="str">
        <f>"EQUIPO DE CIRUGIA"</f>
        <v>EQUIPO DE CIRUGIA</v>
      </c>
      <c r="C6967" s="6">
        <v>1516680.7</v>
      </c>
      <c r="D6967" s="5"/>
      <c r="E6967" s="5" t="str">
        <f t="shared" si="335"/>
        <v>INSTRUMENTACION-DIANA CAICEDO-DIANA DIAZ</v>
      </c>
      <c r="F6967" s="5" t="str">
        <f>"Descripcion: EQUIPO MEDIANO DE CIRUGIA  # 5  (1)MANGO DE BISTURI  #4  (1) MANGO DE BISTURI  #7  (2) SEPARADORES DE FARA BEUF  (1) SEPARADOR DE DEAVERS ANGOSTO  (1) TIJERA DE MAYO RECTA (DIMEDA)  (1) TIJERA DE METZEMBAUM CURVA   (1) PINZA DE DISECCION SIN "&amp; "GARRA PEQUEÑA (DIMEDA)  (1) PINZA DE DISECCION SIN GARRA MEDIANA  (1) PINZA DE DISECCION ADSON CON GARRA  (1) PINZA DE DISECCION CON GARRA (DIMEDA)  (1) PINZA DE DISECCION RUSA (DIMEDA)  (8) PINZAS KELLY CURVAS  (2) PINZAS KELLY RECTAS   (4) PINZAS ALLIX "&amp; " (6) PINZAS ROCHESTER CURVAS   (2)  PINZAS KELLY ADSON (DIMEDA)  (2)  PINZAS DE CISTICO  (2)  PINZAS BABCOCK  (1) PORTA AGUJAS MEDIANO (DIMEDA)  (6) PINZAS DE CAMPO  (1) CANULA DE YANKAWER (DIMEDA)  (1) PLATON NIQUELADO  (1) CUBETA DE INSTRUMENTAL NIQUELA"&amp; "DA Estado: Bueno Placa anterior: 000016742 Material: ACERO INOXIDABLE Color: PLATEADO Referencia:  Observacion:  Placa padre: Tipo adquisicion: Entidad"</f>
        <v>Descripcion: EQUIPO MEDIANO DE CIRUGIA  # 5  (1)MANGO DE BISTURI  #4  (1) MANGO DE BISTURI  #7  (2) SEPARADORES DE FARA BEUF  (1) SEPARADOR DE DEAVERS ANGOSTO  (1) TIJERA DE MAYO RECTA (DIMEDA)  (1) TIJERA DE METZEMBAUM CURVA   (1) PINZA DE DISECCION SIN GARRA PEQUEÑA (DIMEDA)  (1) PINZA DE DISECCION SIN GARRA MEDIANA  (1) PINZA DE DISECCION ADSON CON GARRA  (1) PINZA DE DISECCION CON GARRA (DIMEDA)  (1) PINZA DE DISECCION RUSA (DIMEDA)  (8) PINZAS KELLY CURVAS  (2) PINZAS KELLY RECTAS   (4) PINZAS ALLIX  (6) PINZAS ROCHESTER CURVAS   (2)  PINZAS KELLY ADSON (DIMEDA)  (2)  PINZAS DE CISTICO  (2)  PINZAS BABCOCK  (1) PORTA AGUJAS MEDIANO (DIMEDA)  (6) PINZAS DE CAMPO  (1) CANULA DE YANKAWER (DIMEDA)  (1) PLATON NIQUELADO  (1) CUBETA DE INSTRUMENTAL NIQUELADA Estado: Bueno Placa anterior: 000016742 Material: ACERO INOXIDABLE Color: PLATEADO Referencia:  Observacion:  Placa padre: Tipo adquisicion: Entidad</v>
      </c>
      <c r="G6967" s="5"/>
    </row>
    <row r="6968" spans="1:7" ht="58.5" customHeight="1" x14ac:dyDescent="0.25">
      <c r="A6968" s="5" t="str">
        <f>"I0005903"</f>
        <v>I0005903</v>
      </c>
      <c r="B6968" s="5" t="str">
        <f>"SEPARADOR DE ABDOMEN (FARABEUF)"</f>
        <v>SEPARADOR DE ABDOMEN (FARABEUF)</v>
      </c>
      <c r="C6968" s="6">
        <v>750</v>
      </c>
      <c r="D6968" s="5"/>
      <c r="E6968" s="5" t="str">
        <f t="shared" si="335"/>
        <v>INSTRUMENTACION-DIANA CAICEDO-DIANA DIAZ</v>
      </c>
      <c r="F6968" s="5" t="str">
        <f>"Descripcion: SEPARADOR DE FARABEUM Estado: Bueno Placa anterior: 000020109 Material: ACERO INOXIDABLE Color: PLATEADO Referencia:  Observacion:  Placa padre: I0005900Tipo adquisicion: Entidad"</f>
        <v>Descripcion: SEPARADOR DE FARABEUM Estado: Bueno Placa anterior: 000020109 Material: ACERO INOXIDABLE Color: PLATEADO Referencia:  Observacion:  Placa padre: I0005900Tipo adquisicion: Entidad</v>
      </c>
      <c r="G6968" s="5"/>
    </row>
    <row r="6969" spans="1:7" ht="58.5" customHeight="1" x14ac:dyDescent="0.25">
      <c r="A6969" s="5" t="str">
        <f>"I0005904"</f>
        <v>I0005904</v>
      </c>
      <c r="B6969" s="5" t="str">
        <f>"SEPARADOR DE ABDOMEN (FARABEUF)"</f>
        <v>SEPARADOR DE ABDOMEN (FARABEUF)</v>
      </c>
      <c r="C6969" s="6">
        <v>40185</v>
      </c>
      <c r="D6969" s="5"/>
      <c r="E6969" s="5" t="str">
        <f t="shared" si="335"/>
        <v>INSTRUMENTACION-DIANA CAICEDO-DIANA DIAZ</v>
      </c>
      <c r="F6969" s="5" t="str">
        <f>"Descripcion: SEPARADOR DE FARABEUM Estado: Bueno Placa anterior: 000018818 Material: ACERO INOXIDABLE Color: PLATEADO Referencia:  Observacion:  Placa padre: I0005900Tipo adquisicion: Entidad"</f>
        <v>Descripcion: SEPARADOR DE FARABEUM Estado: Bueno Placa anterior: 000018818 Material: ACERO INOXIDABLE Color: PLATEADO Referencia:  Observacion:  Placa padre: I0005900Tipo adquisicion: Entidad</v>
      </c>
      <c r="G6969" s="5"/>
    </row>
    <row r="6970" spans="1:7" ht="58.5" customHeight="1" x14ac:dyDescent="0.25">
      <c r="A6970" s="5" t="str">
        <f>"I0005905"</f>
        <v>I0005905</v>
      </c>
      <c r="B6970" s="5" t="str">
        <f>"SEPARADOR DE PAREDES (DEAVER)"</f>
        <v>SEPARADOR DE PAREDES (DEAVER)</v>
      </c>
      <c r="C6970" s="6">
        <v>213830</v>
      </c>
      <c r="D6970" s="5"/>
      <c r="E6970" s="5" t="str">
        <f t="shared" si="335"/>
        <v>INSTRUMENTACION-DIANA CAICEDO-DIANA DIAZ</v>
      </c>
      <c r="F6970" s="5" t="str">
        <f>"Descripcion: SEPARADORDEAVER 25 MM. ANCHO 300 MM. Estado: Bueno Placa anterior: 000022816 Material: ACERO INOXIDABLE Color: PLATEADO Referencia:  Observacion:  Placa padre: I0005900Tipo adquisicion: Donacion"</f>
        <v>Descripcion: SEPARADORDEAVER 25 MM. ANCHO 300 MM. Estado: Bueno Placa anterior: 000022816 Material: ACERO INOXIDABLE Color: PLATEADO Referencia:  Observacion:  Placa padre: I0005900Tipo adquisicion: Donacion</v>
      </c>
      <c r="G6970" s="5"/>
    </row>
    <row r="6971" spans="1:7" ht="58.5" customHeight="1" x14ac:dyDescent="0.25">
      <c r="A6971" s="5" t="str">
        <f>"I0005906"</f>
        <v>I0005906</v>
      </c>
      <c r="B6971" s="5" t="str">
        <f>"TIJERA MAYO RECTA"</f>
        <v>TIJERA MAYO RECTA</v>
      </c>
      <c r="C6971" s="6">
        <v>1333.1</v>
      </c>
      <c r="D6971" s="5"/>
      <c r="E6971" s="5" t="str">
        <f t="shared" si="335"/>
        <v>INSTRUMENTACION-DIANA CAICEDO-DIANA DIAZ</v>
      </c>
      <c r="F6971" s="5" t="str">
        <f>"Descripcion: TIJERA DE MAYO RECTA Estado: Bueno Placa anterior: 000007152 Material: ACERO INOXIDABLE Color: PLATEADO Referencia:  Observacion:  Placa padre: I0005900Tipo adquisicion: Entidad"</f>
        <v>Descripcion: TIJERA DE MAYO RECTA Estado: Bueno Placa anterior: 000007152 Material: ACERO INOXIDABLE Color: PLATEADO Referencia:  Observacion:  Placa padre: I0005900Tipo adquisicion: Entidad</v>
      </c>
      <c r="G6971" s="5"/>
    </row>
    <row r="6972" spans="1:7" ht="58.5" customHeight="1" x14ac:dyDescent="0.25">
      <c r="A6972" s="5" t="str">
        <f>"I0005907"</f>
        <v>I0005907</v>
      </c>
      <c r="B6972" s="5" t="str">
        <f>"TIJERA  DE METZEMBAUM CURVA"</f>
        <v>TIJERA  DE METZEMBAUM CURVA</v>
      </c>
      <c r="C6972" s="6">
        <v>51560.14</v>
      </c>
      <c r="D6972" s="5"/>
      <c r="E6972" s="5" t="str">
        <f t="shared" si="335"/>
        <v>INSTRUMENTACION-DIANA CAICEDO-DIANA DIAZ</v>
      </c>
      <c r="F6972" s="5" t="str">
        <f>"Descripcion: TIJERA DE METZEMBAUN CURVA Estado: Bueno Placa anterior: 000006793 Material: ACERO INOXIDABLE Color: PLATEADO Referencia:  Observacion:  Placa padre: I0005900Tipo adquisicion: Entidad"</f>
        <v>Descripcion: TIJERA DE METZEMBAUN CURVA Estado: Bueno Placa anterior: 000006793 Material: ACERO INOXIDABLE Color: PLATEADO Referencia:  Observacion:  Placa padre: I0005900Tipo adquisicion: Entidad</v>
      </c>
      <c r="G6972" s="5"/>
    </row>
    <row r="6973" spans="1:7" ht="58.5" customHeight="1" x14ac:dyDescent="0.25">
      <c r="A6973" s="5" t="str">
        <f>"I0005908"</f>
        <v>I0005908</v>
      </c>
      <c r="B6973" s="5" t="str">
        <f>"PINZA DE DISECCION SIN GARRA LARGA 25 CM"</f>
        <v>PINZA DE DISECCION SIN GARRA LARGA 25 CM</v>
      </c>
      <c r="C6973" s="6">
        <v>9858.73</v>
      </c>
      <c r="D6973" s="5"/>
      <c r="E6973" s="5" t="str">
        <f t="shared" si="335"/>
        <v>INSTRUMENTACION-DIANA CAICEDO-DIANA DIAZ</v>
      </c>
      <c r="F6973" s="5" t="str">
        <f>"Descripcion: PINZA DISECCION SIN GARRA PINZA DE DISECCION SIN GARRA PEQUEÑA Estado: Bueno Placa anterior: 000020014 Material: ACERO INOXIDABLE Color: PLATEADO Referencia:  Observacion:  Placa padre: I0005900Tipo adquisicion: Entidad"</f>
        <v>Descripcion: PINZA DISECCION SIN GARRA PINZA DE DISECCION SIN GARRA PEQUEÑA Estado: Bueno Placa anterior: 000020014 Material: ACERO INOXIDABLE Color: PLATEADO Referencia:  Observacion:  Placa padre: I0005900Tipo adquisicion: Entidad</v>
      </c>
      <c r="G6973" s="5"/>
    </row>
    <row r="6974" spans="1:7" ht="58.5" customHeight="1" x14ac:dyDescent="0.25">
      <c r="A6974" s="5" t="str">
        <f>"I0005915"</f>
        <v>I0005915</v>
      </c>
      <c r="B6974" s="5" t="str">
        <f t="shared" ref="B6974:B6981" si="337">"PINZA KELLY CURVA 16 CM"</f>
        <v>PINZA KELLY CURVA 16 CM</v>
      </c>
      <c r="C6974" s="6">
        <v>40562.800000000003</v>
      </c>
      <c r="D6974" s="5"/>
      <c r="E6974" s="5" t="str">
        <f t="shared" si="335"/>
        <v>INSTRUMENTACION-DIANA CAICEDO-DIANA DIAZ</v>
      </c>
      <c r="F6974" s="5" t="str">
        <f>"Descripcion: PINZA KELLY CURVA Estado: Bueno Placa anterior: 000006456 Material: ACERO INOXIDABLE Color: PLATEADO Referencia:  Observacion:  Placa padre: I0005900Tipo adquisicion: Entidad"</f>
        <v>Descripcion: PINZA KELLY CURVA Estado: Bueno Placa anterior: 000006456 Material: ACERO INOXIDABLE Color: PLATEADO Referencia:  Observacion:  Placa padre: I0005900Tipo adquisicion: Entidad</v>
      </c>
      <c r="G6974" s="5"/>
    </row>
    <row r="6975" spans="1:7" ht="58.5" customHeight="1" x14ac:dyDescent="0.25">
      <c r="A6975" s="5" t="str">
        <f>"I0005916"</f>
        <v>I0005916</v>
      </c>
      <c r="B6975" s="5" t="str">
        <f t="shared" si="337"/>
        <v>PINZA KELLY CURVA 16 CM</v>
      </c>
      <c r="C6975" s="6">
        <v>32062.13</v>
      </c>
      <c r="D6975" s="5"/>
      <c r="E6975" s="5" t="str">
        <f t="shared" si="335"/>
        <v>INSTRUMENTACION-DIANA CAICEDO-DIANA DIAZ</v>
      </c>
      <c r="F6975" s="5" t="str">
        <f>"Descripcion: PINZA KELLY CURVA Estado: Bueno Placa anterior: 000018758 Material: ACERO INOXIDABLE Color: PLATEADO Referencia:  Observacion:  Placa padre: I0005900Tipo adquisicion: Entidad"</f>
        <v>Descripcion: PINZA KELLY CURVA Estado: Bueno Placa anterior: 000018758 Material: ACERO INOXIDABLE Color: PLATEADO Referencia:  Observacion:  Placa padre: I0005900Tipo adquisicion: Entidad</v>
      </c>
      <c r="G6975" s="5"/>
    </row>
    <row r="6976" spans="1:7" ht="58.5" customHeight="1" x14ac:dyDescent="0.25">
      <c r="A6976" s="5" t="str">
        <f>"I0005917"</f>
        <v>I0005917</v>
      </c>
      <c r="B6976" s="5" t="str">
        <f t="shared" si="337"/>
        <v>PINZA KELLY CURVA 16 CM</v>
      </c>
      <c r="C6976" s="6">
        <v>13932.46</v>
      </c>
      <c r="D6976" s="5"/>
      <c r="E6976" s="5" t="str">
        <f t="shared" si="335"/>
        <v>INSTRUMENTACION-DIANA CAICEDO-DIANA DIAZ</v>
      </c>
      <c r="F6976" s="5" t="str">
        <f>"Descripcion: PINZA KELLY CURVA Estado: Bueno Placa anterior: 000013937 Material: ACERO INOXIDABLE Color: PLATEADO Referencia:  Observacion:  Placa padre: I0005900Tipo adquisicion: Entidad"</f>
        <v>Descripcion: PINZA KELLY CURVA Estado: Bueno Placa anterior: 000013937 Material: ACERO INOXIDABLE Color: PLATEADO Referencia:  Observacion:  Placa padre: I0005900Tipo adquisicion: Entidad</v>
      </c>
      <c r="G6976" s="5"/>
    </row>
    <row r="6977" spans="1:7" ht="58.5" customHeight="1" x14ac:dyDescent="0.25">
      <c r="A6977" s="5" t="str">
        <f>"I0005918"</f>
        <v>I0005918</v>
      </c>
      <c r="B6977" s="5" t="str">
        <f t="shared" si="337"/>
        <v>PINZA KELLY CURVA 16 CM</v>
      </c>
      <c r="C6977" s="6">
        <v>113299.5</v>
      </c>
      <c r="D6977" s="5"/>
      <c r="E6977" s="5" t="str">
        <f t="shared" si="335"/>
        <v>INSTRUMENTACION-DIANA CAICEDO-DIANA DIAZ</v>
      </c>
      <c r="F6977" s="5" t="str">
        <f>"Descripcion: PINZA KELLY CURVA Estado: Bueno Placa anterior: 000022799 Material: ACERO INOXIDABLE Color: PLATEADO Referencia:  Observacion:  Placa padre: I0005900Tipo adquisicion: Donacion"</f>
        <v>Descripcion: PINZA KELLY CURVA Estado: Bueno Placa anterior: 000022799 Material: ACERO INOXIDABLE Color: PLATEADO Referencia:  Observacion:  Placa padre: I0005900Tipo adquisicion: Donacion</v>
      </c>
      <c r="G6977" s="5"/>
    </row>
    <row r="6978" spans="1:7" ht="58.5" customHeight="1" x14ac:dyDescent="0.25">
      <c r="A6978" s="5" t="str">
        <f>"I0005919"</f>
        <v>I0005919</v>
      </c>
      <c r="B6978" s="5" t="str">
        <f t="shared" si="337"/>
        <v>PINZA KELLY CURVA 16 CM</v>
      </c>
      <c r="C6978" s="6">
        <v>113299.5</v>
      </c>
      <c r="D6978" s="5"/>
      <c r="E6978" s="5" t="str">
        <f t="shared" si="335"/>
        <v>INSTRUMENTACION-DIANA CAICEDO-DIANA DIAZ</v>
      </c>
      <c r="F6978" s="5" t="str">
        <f>"Descripcion: PINZA KELLY CURVA Estado: Bueno Placa anterior: 000022798 Material: ACERO INOXIDABLE Color: PLATEADO Referencia:  Observacion:  Placa padre: I0005900Tipo adquisicion: Donacion"</f>
        <v>Descripcion: PINZA KELLY CURVA Estado: Bueno Placa anterior: 000022798 Material: ACERO INOXIDABLE Color: PLATEADO Referencia:  Observacion:  Placa padre: I0005900Tipo adquisicion: Donacion</v>
      </c>
      <c r="G6978" s="5"/>
    </row>
    <row r="6979" spans="1:7" ht="58.5" customHeight="1" x14ac:dyDescent="0.25">
      <c r="A6979" s="5" t="str">
        <f>"I0005920"</f>
        <v>I0005920</v>
      </c>
      <c r="B6979" s="5" t="str">
        <f t="shared" si="337"/>
        <v>PINZA KELLY CURVA 16 CM</v>
      </c>
      <c r="C6979" s="6">
        <v>32062.13</v>
      </c>
      <c r="D6979" s="5"/>
      <c r="E6979" s="5" t="str">
        <f t="shared" si="335"/>
        <v>INSTRUMENTACION-DIANA CAICEDO-DIANA DIAZ</v>
      </c>
      <c r="F6979" s="5" t="str">
        <f>"Descripcion: PINZA KELLY CURVA Estado: Bueno Placa anterior: 000018766 Material: ACERO INOXIDABLE Color: PLATEADO Referencia:  Observacion:  Placa padre: I0005900Tipo adquisicion: Entidad"</f>
        <v>Descripcion: PINZA KELLY CURVA Estado: Bueno Placa anterior: 000018766 Material: ACERO INOXIDABLE Color: PLATEADO Referencia:  Observacion:  Placa padre: I0005900Tipo adquisicion: Entidad</v>
      </c>
      <c r="G6979" s="5"/>
    </row>
    <row r="6980" spans="1:7" ht="58.5" customHeight="1" x14ac:dyDescent="0.25">
      <c r="A6980" s="5" t="str">
        <f>"I0005921"</f>
        <v>I0005921</v>
      </c>
      <c r="B6980" s="5" t="str">
        <f t="shared" si="337"/>
        <v>PINZA KELLY CURVA 16 CM</v>
      </c>
      <c r="C6980" s="6">
        <v>14522</v>
      </c>
      <c r="D6980" s="5"/>
      <c r="E6980" s="5" t="str">
        <f t="shared" si="335"/>
        <v>INSTRUMENTACION-DIANA CAICEDO-DIANA DIAZ</v>
      </c>
      <c r="F6980" s="5" t="str">
        <f>"Descripcion: PINZA KELLY CURVA Estado: Bueno Placa anterior: 000007137 Material: ACERO INOXIDABLE Color: PLATEADO Referencia:  Observacion:  Placa padre: I0005900Tipo adquisicion: Entidad"</f>
        <v>Descripcion: PINZA KELLY CURVA Estado: Bueno Placa anterior: 000007137 Material: ACERO INOXIDABLE Color: PLATEADO Referencia:  Observacion:  Placa padre: I0005900Tipo adquisicion: Entidad</v>
      </c>
      <c r="G6980" s="5"/>
    </row>
    <row r="6981" spans="1:7" ht="58.5" customHeight="1" x14ac:dyDescent="0.25">
      <c r="A6981" s="5" t="str">
        <f>"I0005922"</f>
        <v>I0005922</v>
      </c>
      <c r="B6981" s="5" t="str">
        <f t="shared" si="337"/>
        <v>PINZA KELLY CURVA 16 CM</v>
      </c>
      <c r="C6981" s="6">
        <v>32062.13</v>
      </c>
      <c r="D6981" s="5"/>
      <c r="E6981" s="5" t="str">
        <f t="shared" si="335"/>
        <v>INSTRUMENTACION-DIANA CAICEDO-DIANA DIAZ</v>
      </c>
      <c r="F6981" s="5" t="str">
        <f>"Descripcion: PINZA KELLY CURVA Estado: Bueno Placa anterior: 000018759 Material: ACERO INOXIDABLE Color: PLATEADO Referencia:  Observacion:  Placa padre: I0005900Tipo adquisicion: Entidad"</f>
        <v>Descripcion: PINZA KELLY CURVA Estado: Bueno Placa anterior: 000018759 Material: ACERO INOXIDABLE Color: PLATEADO Referencia:  Observacion:  Placa padre: I0005900Tipo adquisicion: Entidad</v>
      </c>
      <c r="G6981" s="5"/>
    </row>
    <row r="6982" spans="1:7" ht="58.5" customHeight="1" x14ac:dyDescent="0.25">
      <c r="A6982" s="5" t="str">
        <f>"I0005923"</f>
        <v>I0005923</v>
      </c>
      <c r="B6982" s="5" t="str">
        <f>"PINZA KELLY RECTA 16 CM"</f>
        <v>PINZA KELLY RECTA 16 CM</v>
      </c>
      <c r="C6982" s="6">
        <v>12495.6</v>
      </c>
      <c r="D6982" s="5"/>
      <c r="E6982" s="5" t="str">
        <f t="shared" si="335"/>
        <v>INSTRUMENTACION-DIANA CAICEDO-DIANA DIAZ</v>
      </c>
      <c r="F6982" s="5" t="str">
        <f>"Descripcion: PINZA KELLY RECTA Estado: Bueno Placa anterior: 000006452 Material: ACERO INOXIDABLE Color: PLATEADO Referencia:  Observacion:  Placa padre: I0005900Tipo adquisicion: Entidad"</f>
        <v>Descripcion: PINZA KELLY RECTA Estado: Bueno Placa anterior: 000006452 Material: ACERO INOXIDABLE Color: PLATEADO Referencia:  Observacion:  Placa padre: I0005900Tipo adquisicion: Entidad</v>
      </c>
      <c r="G6982" s="5"/>
    </row>
    <row r="6983" spans="1:7" ht="58.5" customHeight="1" x14ac:dyDescent="0.25">
      <c r="A6983" s="5" t="str">
        <f>"I0005924"</f>
        <v>I0005924</v>
      </c>
      <c r="B6983" s="5" t="str">
        <f>"PINZA KELLY RECTA 16 CM"</f>
        <v>PINZA KELLY RECTA 16 CM</v>
      </c>
      <c r="C6983" s="6">
        <v>12495.6</v>
      </c>
      <c r="D6983" s="5"/>
      <c r="E6983" s="5" t="str">
        <f t="shared" si="335"/>
        <v>INSTRUMENTACION-DIANA CAICEDO-DIANA DIAZ</v>
      </c>
      <c r="F6983" s="5" t="str">
        <f>"Descripcion: PINZA KELLY RECTA Estado: Bueno Placa anterior: 000006450 Material: ACERO INOXIDABLE Color: PLATEADO Referencia:  Observacion:  Placa padre: I0005900Tipo adquisicion: Entidad"</f>
        <v>Descripcion: PINZA KELLY RECTA Estado: Bueno Placa anterior: 000006450 Material: ACERO INOXIDABLE Color: PLATEADO Referencia:  Observacion:  Placa padre: I0005900Tipo adquisicion: Entidad</v>
      </c>
      <c r="G6983" s="5"/>
    </row>
    <row r="6984" spans="1:7" ht="58.5" customHeight="1" x14ac:dyDescent="0.25">
      <c r="A6984" s="5" t="str">
        <f>"I0005925"</f>
        <v>I0005925</v>
      </c>
      <c r="B6984" s="5" t="str">
        <f>"PINZA ALLIX"</f>
        <v>PINZA ALLIX</v>
      </c>
      <c r="C6984" s="6">
        <v>47062</v>
      </c>
      <c r="D6984" s="5"/>
      <c r="E6984" s="5" t="str">
        <f t="shared" si="335"/>
        <v>INSTRUMENTACION-DIANA CAICEDO-DIANA DIAZ</v>
      </c>
      <c r="F6984" s="5" t="str">
        <f>"Descripcion: PINZA ALLIX Estado: Bueno Placa anterior: 000018700 Material: ACERO INOXIDABLE Color: PLATEADO Referencia:  Observacion:  Placa padre: I0005900Tipo adquisicion: Entidad"</f>
        <v>Descripcion: PINZA ALLIX Estado: Bueno Placa anterior: 000018700 Material: ACERO INOXIDABLE Color: PLATEADO Referencia:  Observacion:  Placa padre: I0005900Tipo adquisicion: Entidad</v>
      </c>
      <c r="G6984" s="5"/>
    </row>
    <row r="6985" spans="1:7" ht="58.5" customHeight="1" x14ac:dyDescent="0.25">
      <c r="A6985" s="5" t="str">
        <f>"I0005926"</f>
        <v>I0005926</v>
      </c>
      <c r="B6985" s="5" t="str">
        <f>"PINZA ALLIX"</f>
        <v>PINZA ALLIX</v>
      </c>
      <c r="C6985" s="6">
        <v>576.54</v>
      </c>
      <c r="D6985" s="5"/>
      <c r="E6985" s="5" t="str">
        <f t="shared" si="335"/>
        <v>INSTRUMENTACION-DIANA CAICEDO-DIANA DIAZ</v>
      </c>
      <c r="F6985" s="5" t="str">
        <f>"Descripcion: PINZA ALLIX Estado: Bueno Placa anterior: 000006451 Material: ACERO INOXIDABLE Color: PLATEADO Referencia:  Observacion:  Placa padre: I0005900Tipo adquisicion: Entidad"</f>
        <v>Descripcion: PINZA ALLIX Estado: Bueno Placa anterior: 000006451 Material: ACERO INOXIDABLE Color: PLATEADO Referencia:  Observacion:  Placa padre: I0005900Tipo adquisicion: Entidad</v>
      </c>
      <c r="G6985" s="5"/>
    </row>
    <row r="6986" spans="1:7" ht="58.5" customHeight="1" x14ac:dyDescent="0.25">
      <c r="A6986" s="5" t="str">
        <f>"I0005927"</f>
        <v>I0005927</v>
      </c>
      <c r="B6986" s="5" t="str">
        <f>"PINZA ALLIX"</f>
        <v>PINZA ALLIX</v>
      </c>
      <c r="C6986" s="6">
        <v>47062</v>
      </c>
      <c r="D6986" s="5"/>
      <c r="E6986" s="5" t="str">
        <f t="shared" si="335"/>
        <v>INSTRUMENTACION-DIANA CAICEDO-DIANA DIAZ</v>
      </c>
      <c r="F6986" s="5" t="str">
        <f>"Descripcion: PINZA ALLIX Estado: Bueno Placa anterior: 000018699 Material: ACERO INOXIDABLE Color: PLATEADO Referencia:  Observacion:  Placa padre: I0005900Tipo adquisicion: Entidad"</f>
        <v>Descripcion: PINZA ALLIX Estado: Bueno Placa anterior: 000018699 Material: ACERO INOXIDABLE Color: PLATEADO Referencia:  Observacion:  Placa padre: I0005900Tipo adquisicion: Entidad</v>
      </c>
      <c r="G6986" s="5"/>
    </row>
    <row r="6987" spans="1:7" ht="58.5" customHeight="1" x14ac:dyDescent="0.25">
      <c r="A6987" s="5" t="str">
        <f>"I0005928"</f>
        <v>I0005928</v>
      </c>
      <c r="B6987" s="5" t="str">
        <f>"PINZA ALLIX"</f>
        <v>PINZA ALLIX</v>
      </c>
      <c r="C6987" s="6">
        <v>189980.25</v>
      </c>
      <c r="D6987" s="5"/>
      <c r="E6987" s="5" t="str">
        <f t="shared" si="335"/>
        <v>INSTRUMENTACION-DIANA CAICEDO-DIANA DIAZ</v>
      </c>
      <c r="F6987" s="5" t="str">
        <f>"Descripcion: PINZA ALLIX Estado: Bueno Placa anterior: 000022810 Material: ACERO INOXIDABLE Color: PLATEADO Referencia:  Observacion:  Placa padre: I0005900Tipo adquisicion: Donacion"</f>
        <v>Descripcion: PINZA ALLIX Estado: Bueno Placa anterior: 000022810 Material: ACERO INOXIDABLE Color: PLATEADO Referencia:  Observacion:  Placa padre: I0005900Tipo adquisicion: Donacion</v>
      </c>
      <c r="G6987" s="5"/>
    </row>
    <row r="6988" spans="1:7" ht="58.5" customHeight="1" x14ac:dyDescent="0.25">
      <c r="A6988" s="5" t="str">
        <f>"I0005933"</f>
        <v>I0005933</v>
      </c>
      <c r="B6988" s="5" t="str">
        <f>"PINZA ROCHESTER CURVA 25 CM"</f>
        <v>PINZA ROCHESTER CURVA 25 CM</v>
      </c>
      <c r="C6988" s="6">
        <v>17750.37</v>
      </c>
      <c r="D6988" s="5"/>
      <c r="E6988" s="5" t="str">
        <f t="shared" si="335"/>
        <v>INSTRUMENTACION-DIANA CAICEDO-DIANA DIAZ</v>
      </c>
      <c r="F6988" s="5" t="str">
        <f>"Descripcion: PINZA ROCHESTER CURVA Estado: Bueno Placa anterior: 000013974 Material: ACERO INOXIDABLE Color: PLATEADO Referencia:  Observacion:  Placa padre: I0005900Tipo adquisicion: Entidad"</f>
        <v>Descripcion: PINZA ROCHESTER CURVA Estado: Bueno Placa anterior: 000013974 Material: ACERO INOXIDABLE Color: PLATEADO Referencia:  Observacion:  Placa padre: I0005900Tipo adquisicion: Entidad</v>
      </c>
      <c r="G6988" s="5"/>
    </row>
    <row r="6989" spans="1:7" ht="58.5" customHeight="1" x14ac:dyDescent="0.25">
      <c r="A6989" s="5" t="str">
        <f>"I0005934"</f>
        <v>I0005934</v>
      </c>
      <c r="B6989" s="5" t="str">
        <f>"PINZA ROCHESTER CURVA 25 CM"</f>
        <v>PINZA ROCHESTER CURVA 25 CM</v>
      </c>
      <c r="C6989" s="6">
        <v>17750.37</v>
      </c>
      <c r="D6989" s="5"/>
      <c r="E6989" s="5" t="str">
        <f t="shared" si="335"/>
        <v>INSTRUMENTACION-DIANA CAICEDO-DIANA DIAZ</v>
      </c>
      <c r="F6989" s="5" t="str">
        <f>"Descripcion: PINZA ROCHESTER CURVA Estado: Bueno Placa anterior: 000013990 Material: ACERO INOXIDABLE Color: PLATEADO Referencia:  Observacion:  Placa padre: I0005900Tipo adquisicion: Entidad"</f>
        <v>Descripcion: PINZA ROCHESTER CURVA Estado: Bueno Placa anterior: 000013990 Material: ACERO INOXIDABLE Color: PLATEADO Referencia:  Observacion:  Placa padre: I0005900Tipo adquisicion: Entidad</v>
      </c>
      <c r="G6989" s="5"/>
    </row>
    <row r="6990" spans="1:7" ht="58.5" customHeight="1" x14ac:dyDescent="0.25">
      <c r="A6990" s="5" t="str">
        <f>"I0005941"</f>
        <v>I0005941</v>
      </c>
      <c r="B6990" s="5" t="str">
        <f>"PORTAGUJAS (PINZA)"</f>
        <v>PORTAGUJAS (PINZA)</v>
      </c>
      <c r="C6990" s="6">
        <v>41775.279999999999</v>
      </c>
      <c r="D6990" s="5"/>
      <c r="E6990" s="5" t="str">
        <f t="shared" si="335"/>
        <v>INSTRUMENTACION-DIANA CAICEDO-DIANA DIAZ</v>
      </c>
      <c r="F6990" s="5" t="str">
        <f>"Descripcion: PORTA AGUJAPORTA AGUJAS MEDIANO(DIMEDA) Estado: Bueno Placa anterior: 000006806 Material: ACERO INOXIDABLE Color: PLATEADO Referencia:  Observacion:  Placa padre: I0005900Tipo adquisicion: Entidad"</f>
        <v>Descripcion: PORTA AGUJAPORTA AGUJAS MEDIANO(DIMEDA) Estado: Bueno Placa anterior: 000006806 Material: ACERO INOXIDABLE Color: PLATEADO Referencia:  Observacion:  Placa padre: I0005900Tipo adquisicion: Entidad</v>
      </c>
      <c r="G6990" s="5"/>
    </row>
    <row r="6991" spans="1:7" ht="58.5" customHeight="1" x14ac:dyDescent="0.25">
      <c r="A6991" s="5" t="str">
        <f>"I0005949"</f>
        <v>I0005949</v>
      </c>
      <c r="B6991" s="5" t="str">
        <f>"MESA EN ACERO INOXIDABLE"</f>
        <v>MESA EN ACERO INOXIDABLE</v>
      </c>
      <c r="C6991" s="6">
        <v>10438.4</v>
      </c>
      <c r="D6991" s="5"/>
      <c r="E6991" s="5" t="str">
        <f t="shared" si="335"/>
        <v>INSTRUMENTACION-DIANA CAICEDO-DIANA DIAZ</v>
      </c>
      <c r="F6991" s="5" t="str">
        <f>"Descripcion: PLATON EN ACERO INOX. Estado: Bueno Placa anterior: 000019493 Material: ACERO INOXIDABLE Color: PLATEADO Referencia:  Observacion:  Placa padre: I0005900Tipo adquisicion: Entidad"</f>
        <v>Descripcion: PLATON EN ACERO INOX. Estado: Bueno Placa anterior: 000019493 Material: ACERO INOXIDABLE Color: PLATEADO Referencia:  Observacion:  Placa padre: I0005900Tipo adquisicion: Entidad</v>
      </c>
      <c r="G6991" s="5"/>
    </row>
    <row r="6992" spans="1:7" ht="58.5" customHeight="1" x14ac:dyDescent="0.25">
      <c r="A6992" s="5" t="str">
        <f>"I0005950"</f>
        <v>I0005950</v>
      </c>
      <c r="B6992" s="5" t="str">
        <f>"CUBETA DE ACERO INOXIDABLE MEDIANA"</f>
        <v>CUBETA DE ACERO INOXIDABLE MEDIANA</v>
      </c>
      <c r="C6992" s="6">
        <v>22200.11</v>
      </c>
      <c r="D6992" s="5"/>
      <c r="E6992" s="5" t="str">
        <f t="shared" si="335"/>
        <v>INSTRUMENTACION-DIANA CAICEDO-DIANA DIAZ</v>
      </c>
      <c r="F6992" s="5" t="str">
        <f>"Descripcion: CUBETA GRANDE EN ACERO INOXIDABLE Estado: Bueno Placa anterior: 000007455 Material: ACERO INOXIDABLE Color: PLATEADO Referencia:  Observacion:  Placa padre: I0005900Tipo adquisicion: Entidad"</f>
        <v>Descripcion: CUBETA GRANDE EN ACERO INOXIDABLE Estado: Bueno Placa anterior: 000007455 Material: ACERO INOXIDABLE Color: PLATEADO Referencia:  Observacion:  Placa padre: I0005900Tipo adquisicion: Entidad</v>
      </c>
      <c r="G6992" s="5"/>
    </row>
    <row r="6993" spans="1:7" ht="58.5" customHeight="1" x14ac:dyDescent="0.25">
      <c r="A6993" s="5" t="str">
        <f>"I0005951"</f>
        <v>I0005951</v>
      </c>
      <c r="B6993" s="5" t="str">
        <f>"APLICADORES"</f>
        <v>APLICADORES</v>
      </c>
      <c r="C6993" s="6">
        <v>4000840</v>
      </c>
      <c r="D6993" s="5" t="s">
        <v>441</v>
      </c>
      <c r="E6993" s="5" t="str">
        <f t="shared" si="335"/>
        <v>INSTRUMENTACION-DIANA CAICEDO-DIANA DIAZ</v>
      </c>
      <c r="F6993" s="5" t="str">
        <f>"Descripcion: APLICADORA CLIPS DESM ETHIC PQ 5mmX33cm Estado: Bueno Placa anterior: 000029451 Material: DESECHABLE Color:  Referencia:  Observacion: AUTORIZADO CONCILIAR EN CRUCE GENERAL.BIEN QUE PERTENECE A LA EMPRESA HOSPICLINIC Placa padre: Tipo adquisi"&amp; "cion: Comodato"</f>
        <v>Descripcion: APLICADORA CLIPS DESM ETHIC PQ 5mmX33cm Estado: Bueno Placa anterior: 000029451 Material: DESECHABLE Color:  Referencia:  Observacion: AUTORIZADO CONCILIAR EN CRUCE GENERAL.BIEN QUE PERTENECE A LA EMPRESA HOSPICLINIC Placa padre: Tipo adquisicion: Comodato</v>
      </c>
      <c r="G6993" s="5"/>
    </row>
    <row r="6994" spans="1:7" ht="58.5" customHeight="1" x14ac:dyDescent="0.25">
      <c r="A6994" s="5" t="str">
        <f>"I0005952"</f>
        <v>I0005952</v>
      </c>
      <c r="B6994" s="5" t="str">
        <f>"EQUIPO KERRISON BANDEJA MICROCOLUMNA CERVICAL"</f>
        <v>EQUIPO KERRISON BANDEJA MICROCOLUMNA CERVICAL</v>
      </c>
      <c r="C6994" s="6">
        <v>4856633</v>
      </c>
      <c r="D6994" s="5" t="s">
        <v>5</v>
      </c>
      <c r="E6994" s="5" t="str">
        <f t="shared" si="335"/>
        <v>INSTRUMENTACION-DIANA CAICEDO-DIANA DIAZ</v>
      </c>
      <c r="F6994" s="5" t="str">
        <f>"Descripcion: CLASSIC THIN FOOTPLATE CERVICAL KERRISON Estado: Bueno Placa anterior: 000029471 Material: ACERO INOXIDABLE Color:  Referencia:  Observacion: AUTORIZADO CONCILIAR EN CRUCE GENERAL Placa padre: Tipo adquisicion: Entidad"</f>
        <v>Descripcion: CLASSIC THIN FOOTPLATE CERVICAL KERRISON Estado: Bueno Placa anterior: 000029471 Material: ACERO INOXIDABLE Color:  Referencia:  Observacion: AUTORIZADO CONCILIAR EN CRUCE GENERAL Placa padre: Tipo adquisicion: Entidad</v>
      </c>
      <c r="G6994" s="5"/>
    </row>
    <row r="6995" spans="1:7" ht="58.5" customHeight="1" x14ac:dyDescent="0.25">
      <c r="A6995" s="5" t="str">
        <f>"I0005953"</f>
        <v>I0005953</v>
      </c>
      <c r="B6995" s="5" t="str">
        <f>"EQUIPO KERRISON BANDEJA MICROCOLUMNA CERVICAL"</f>
        <v>EQUIPO KERRISON BANDEJA MICROCOLUMNA CERVICAL</v>
      </c>
      <c r="C6995" s="6">
        <v>3674901</v>
      </c>
      <c r="D6995" s="5" t="s">
        <v>5</v>
      </c>
      <c r="E6995" s="5" t="str">
        <f t="shared" si="335"/>
        <v>INSTRUMENTACION-DIANA CAICEDO-DIANA DIAZ</v>
      </c>
      <c r="F6995" s="5" t="str">
        <f>"Descripcion: CLASSIC THIN FOOTPLATE CERVICAL KERRISON Estado: Bueno Placa anterior: 000029470 Material: ACERO INOXIDABLE Color:  Referencia:  Observacion: AUTORIZADO CONCILIAR EN CRUCE GENERAL Placa padre: Tipo adquisicion: Entidad"</f>
        <v>Descripcion: CLASSIC THIN FOOTPLATE CERVICAL KERRISON Estado: Bueno Placa anterior: 000029470 Material: ACERO INOXIDABLE Color:  Referencia:  Observacion: AUTORIZADO CONCILIAR EN CRUCE GENERAL Placa padre: Tipo adquisicion: Entidad</v>
      </c>
      <c r="G6995" s="5"/>
    </row>
    <row r="6996" spans="1:7" ht="58.5" customHeight="1" x14ac:dyDescent="0.25">
      <c r="A6996" s="5" t="str">
        <f>"I0005954"</f>
        <v>I0005954</v>
      </c>
      <c r="B6996" s="5" t="str">
        <f>"EQUIPO AUXILIAR DE VIAS BILIARES"</f>
        <v>EQUIPO AUXILIAR DE VIAS BILIARES</v>
      </c>
      <c r="C6996" s="6">
        <v>200000</v>
      </c>
      <c r="D6996" s="5"/>
      <c r="E6996" s="5" t="str">
        <f t="shared" si="335"/>
        <v>INSTRUMENTACION-DIANA CAICEDO-DIANA DIAZ</v>
      </c>
      <c r="F6996" s="5" t="str">
        <f>"Descripcion: EQUIPO AUXILIAR DE VIAS BILIARES #3 COMPUESTO DE: Estado: Bueno Placa anterior: 000012669 Material: ACERO INOXIDABLE Color:  Referencia:  Observacion: AUTORIZADO CONCILIAR EN CRUCE GENERAL Placa padre: Tipo adquisicion: Entidad"</f>
        <v>Descripcion: EQUIPO AUXILIAR DE VIAS BILIARES #3 COMPUESTO DE: Estado: Bueno Placa anterior: 000012669 Material: ACERO INOXIDABLE Color:  Referencia:  Observacion: AUTORIZADO CONCILIAR EN CRUCE GENERAL Placa padre: Tipo adquisicion: Entidad</v>
      </c>
      <c r="G6996" s="5"/>
    </row>
    <row r="6997" spans="1:7" ht="58.5" customHeight="1" x14ac:dyDescent="0.25">
      <c r="A6997" s="5" t="str">
        <f>"I0005955"</f>
        <v>I0005955</v>
      </c>
      <c r="B6997" s="5" t="str">
        <f>"EQUIPO DE PEQUEÑOS FRAGMENTOS"</f>
        <v>EQUIPO DE PEQUEÑOS FRAGMENTOS</v>
      </c>
      <c r="C6997" s="6">
        <v>1000000</v>
      </c>
      <c r="D6997" s="5"/>
      <c r="E6997" s="5" t="str">
        <f t="shared" si="335"/>
        <v>INSTRUMENTACION-DIANA CAICEDO-DIANA DIAZ</v>
      </c>
      <c r="F6997" s="5" t="str">
        <f>"Descripcion: EQUIPO DE PEQUEÑOS (MINI) FRAGMENTOS CONSTA DE: Estado: Bueno Placa anterior: 000012700 Material: ACERO INOXIDABLE Color:  Referencia:  Observacion: AUTORIZADO CONCILIAR EN CRUCE GENERAL Placa padre: Tipo adquisicion: Entidad"</f>
        <v>Descripcion: EQUIPO DE PEQUEÑOS (MINI) FRAGMENTOS CONSTA DE: Estado: Bueno Placa anterior: 000012700 Material: ACERO INOXIDABLE Color:  Referencia:  Observacion: AUTORIZADO CONCILIAR EN CRUCE GENERAL Placa padre: Tipo adquisicion: Entidad</v>
      </c>
      <c r="G6997" s="5"/>
    </row>
    <row r="6998" spans="1:7" ht="58.5" customHeight="1" x14ac:dyDescent="0.25">
      <c r="A6998" s="5" t="str">
        <f>"I0005957"</f>
        <v>I0005957</v>
      </c>
      <c r="B6998" s="5" t="str">
        <f>"EQUIPO DE TRANSPLANTE DE CORNEA"</f>
        <v>EQUIPO DE TRANSPLANTE DE CORNEA</v>
      </c>
      <c r="C6998" s="6">
        <v>1392000</v>
      </c>
      <c r="D6998" s="5"/>
      <c r="E6998" s="5" t="str">
        <f t="shared" si="335"/>
        <v>INSTRUMENTACION-DIANA CAICEDO-DIANA DIAZ</v>
      </c>
      <c r="F6998" s="5" t="str">
        <f>"Descripcion:  (CONSTA DE DOS PIEZAS EN ACERO) Estado: Bueno Placa anterior: 000024127 Material: ACERO INOXIDABLE Color:  Referencia:  Observacion: AUTORIZADO CONCILIAR EN CRUCE GENERAL Placa padre: Tipo adquisicion: Entidad"</f>
        <v>Descripcion:  (CONSTA DE DOS PIEZAS EN ACERO) Estado: Bueno Placa anterior: 000024127 Material: ACERO INOXIDABLE Color:  Referencia:  Observacion: AUTORIZADO CONCILIAR EN CRUCE GENERAL Placa padre: Tipo adquisicion: Entidad</v>
      </c>
      <c r="G6998" s="5"/>
    </row>
    <row r="6999" spans="1:7" ht="58.5" customHeight="1" x14ac:dyDescent="0.25">
      <c r="A6999" s="5" t="str">
        <f>"I0005959"</f>
        <v>I0005959</v>
      </c>
      <c r="B6999" s="5" t="str">
        <f>"CORTAFRIO (INSTRUMENTAL)"</f>
        <v>CORTAFRIO (INSTRUMENTAL)</v>
      </c>
      <c r="C6999" s="6">
        <v>1341395</v>
      </c>
      <c r="D6999" s="5" t="s">
        <v>443</v>
      </c>
      <c r="E6999" s="5" t="str">
        <f t="shared" si="335"/>
        <v>INSTRUMENTACION-DIANA CAICEDO-DIANA DIAZ</v>
      </c>
      <c r="F6999" s="5" t="str">
        <f>"Descripcion: CORTAFRIO PUNTA DE TUSTEGNO *22CMS Estado: Bueno Placa anterior: 000029415 Material: ACERO INOXIDABLE Color:  Referencia:  Observacion: AUTORIZADO CONCILIAR EN CRUCE GENERAL Placa padre: Tipo adquisicion: Entidad"</f>
        <v>Descripcion: CORTAFRIO PUNTA DE TUSTEGNO *22CMS Estado: Bueno Placa anterior: 000029415 Material: ACERO INOXIDABLE Color:  Referencia:  Observacion: AUTORIZADO CONCILIAR EN CRUCE GENERAL Placa padre: Tipo adquisicion: Entidad</v>
      </c>
      <c r="G6999" s="5"/>
    </row>
    <row r="7000" spans="1:7" ht="58.5" customHeight="1" x14ac:dyDescent="0.25">
      <c r="A7000" s="5" t="str">
        <f>"I0005965"</f>
        <v>I0005965</v>
      </c>
      <c r="B7000" s="5" t="str">
        <f>"UNIDAD DISTRACTORA"</f>
        <v>UNIDAD DISTRACTORA</v>
      </c>
      <c r="C7000" s="6">
        <v>14058000</v>
      </c>
      <c r="D7000" s="5"/>
      <c r="E7000" s="5" t="str">
        <f t="shared" si="335"/>
        <v>INSTRUMENTACION-DIANA CAICEDO-DIANA DIAZ</v>
      </c>
      <c r="F7000" s="5" t="str">
        <f>"Descripcion: UNIDAD DISTRACTORA COMPRESORA PARA FEMUR Y TIBIA Estado: Bueno Placa anterior: 000033157 Material: ACERO INOXIDABLE Color:  Referencia:  Observacion: AUTORIZADO CONCILIAR EN CRUCE GENERAL Placa padre: Tipo adquisicion: Comodato"</f>
        <v>Descripcion: UNIDAD DISTRACTORA COMPRESORA PARA FEMUR Y TIBIA Estado: Bueno Placa anterior: 000033157 Material: ACERO INOXIDABLE Color:  Referencia:  Observacion: AUTORIZADO CONCILIAR EN CRUCE GENERAL Placa padre: Tipo adquisicion: Comodato</v>
      </c>
      <c r="G7000" s="5"/>
    </row>
    <row r="7001" spans="1:7" ht="58.5" customHeight="1" x14ac:dyDescent="0.25">
      <c r="A7001" s="5" t="str">
        <f>"I0005966"</f>
        <v>I0005966</v>
      </c>
      <c r="B7001" s="5" t="str">
        <f>"UNIDAD DISTRACTORA"</f>
        <v>UNIDAD DISTRACTORA</v>
      </c>
      <c r="C7001" s="6">
        <v>14058000</v>
      </c>
      <c r="D7001" s="5"/>
      <c r="E7001" s="5" t="str">
        <f t="shared" si="335"/>
        <v>INSTRUMENTACION-DIANA CAICEDO-DIANA DIAZ</v>
      </c>
      <c r="F7001" s="5" t="str">
        <f>"Descripcion: UNIDAD DISTRACTORA COMPRESORA PARA PELVIS Estado: Bueno Placa anterior: 000033160 Material: ACERO INOXIDABLE Color:  Referencia:  Observacion: AUTORIZADO CONCILIAR EN CRUCE GENERAL Placa padre: Tipo adquisicion: Comodato"</f>
        <v>Descripcion: UNIDAD DISTRACTORA COMPRESORA PARA PELVIS Estado: Bueno Placa anterior: 000033160 Material: ACERO INOXIDABLE Color:  Referencia:  Observacion: AUTORIZADO CONCILIAR EN CRUCE GENERAL Placa padre: Tipo adquisicion: Comodato</v>
      </c>
      <c r="G7001" s="5"/>
    </row>
    <row r="7002" spans="1:7" ht="58.5" customHeight="1" x14ac:dyDescent="0.25">
      <c r="A7002" s="5" t="str">
        <f>"V000065"</f>
        <v>V000065</v>
      </c>
      <c r="B7002" s="5" t="str">
        <f>"PINZA COLIBRI TTOUTMAN- BARRAQUER 0.12"</f>
        <v>PINZA COLIBRI TTOUTMAN- BARRAQUER 0.12</v>
      </c>
      <c r="C7002" s="6">
        <v>3034289.53</v>
      </c>
      <c r="D7002" s="5" t="s">
        <v>422</v>
      </c>
      <c r="E7002" s="5" t="str">
        <f t="shared" si="335"/>
        <v>INSTRUMENTACION-DIANA CAICEDO-DIANA DIAZ</v>
      </c>
      <c r="F7002" s="5"/>
      <c r="G7002" s="5"/>
    </row>
    <row r="7003" spans="1:7" ht="58.5" customHeight="1" x14ac:dyDescent="0.25">
      <c r="A7003" s="5" t="str">
        <f>"H0000314"</f>
        <v>H0000314</v>
      </c>
      <c r="B7003" s="5" t="str">
        <f>"MESA (CARRO) DE CURACIONES"</f>
        <v>MESA (CARRO) DE CURACIONES</v>
      </c>
      <c r="C7003" s="6">
        <v>6952</v>
      </c>
      <c r="D7003" s="5"/>
      <c r="E7003" s="5" t="str">
        <f t="shared" ref="E7003:E7012" si="338">"CONSULTORIO 9-CONSULTA EXTERNA"</f>
        <v>CONSULTORIO 9-CONSULTA EXTERNA</v>
      </c>
      <c r="F7003" s="5" t="str">
        <f>"Descripcion: MESA AUXILIAR TIPO CARRO C/BARANDAS Y RODACHINES Estado: Bueno Placa anterior: 000005968 Material: METAL Color: PLATEADO Referencia:  Observacion:  Placa padre: Tipo adquisicion: Entidad"</f>
        <v>Descripcion: MESA AUXILIAR TIPO CARRO C/BARANDAS Y RODACHINES Estado: Bueno Placa anterior: 000005968 Material: METAL Color: PLATEADO Referencia:  Observacion:  Placa padre: Tipo adquisicion: Entidad</v>
      </c>
      <c r="G7003" s="5"/>
    </row>
    <row r="7004" spans="1:7" ht="58.5" customHeight="1" x14ac:dyDescent="0.25">
      <c r="A7004" s="5" t="str">
        <f>"H0000315"</f>
        <v>H0000315</v>
      </c>
      <c r="B7004" s="5" t="str">
        <f>"CAMILLA FIJA (TIPO DIVAN)"</f>
        <v>CAMILLA FIJA (TIPO DIVAN)</v>
      </c>
      <c r="C7004" s="6">
        <v>2750</v>
      </c>
      <c r="D7004" s="5"/>
      <c r="E7004" s="5" t="str">
        <f t="shared" si="338"/>
        <v>CONSULTORIO 9-CONSULTA EXTERNA</v>
      </c>
      <c r="F7004" s="5" t="str">
        <f>"Descripcion: CAMILLA PARA EXAMEN Estado: Bueno Placa anterior: 000006060 Material: TUBO REDONDO Y TAPIZADO CUERINA Color: BEIGE Y MARRON Referencia:  Observacion: SE ENCUENTRA EN EL CONSULTORIO 12 Placa padre: Tipo adquisicion: Entidad"</f>
        <v>Descripcion: CAMILLA PARA EXAMEN Estado: Bueno Placa anterior: 000006060 Material: TUBO REDONDO Y TAPIZADO CUERINA Color: BEIGE Y MARRON Referencia:  Observacion: SE ENCUENTRA EN EL CONSULTORIO 12 Placa padre: Tipo adquisicion: Entidad</v>
      </c>
      <c r="G7004" s="5"/>
    </row>
    <row r="7005" spans="1:7" ht="58.5" customHeight="1" x14ac:dyDescent="0.25">
      <c r="A7005" s="5" t="str">
        <f>"H0000316"</f>
        <v>H0000316</v>
      </c>
      <c r="B7005" s="5" t="str">
        <f>"ESCALERILLA DE 2 PASOS"</f>
        <v>ESCALERILLA DE 2 PASOS</v>
      </c>
      <c r="C7005" s="6">
        <v>100000</v>
      </c>
      <c r="D7005" s="5" t="s">
        <v>49</v>
      </c>
      <c r="E7005" s="5" t="str">
        <f t="shared" si="338"/>
        <v>CONSULTORIO 9-CONSULTA EXTERNA</v>
      </c>
      <c r="F7005" s="5" t="str">
        <f>"Descripcion: ESCALERILLA DE DOS PASO EN TUBO REDONDO Estado: Bueno Placa anterior: 000029825 Material: TUBO REDONDO Y FORMICA Color: GRIS Y BLANCO Referencia:  Observacion: SE ENCUENTRA EN EL CONSULTORIO 12 Placa padre: Tipo adquisicion: Entidad"</f>
        <v>Descripcion: ESCALERILLA DE DOS PASO EN TUBO REDONDO Estado: Bueno Placa anterior: 000029825 Material: TUBO REDONDO Y FORMICA Color: GRIS Y BLANCO Referencia:  Observacion: SE ENCUENTRA EN EL CONSULTORIO 12 Placa padre: Tipo adquisicion: Entidad</v>
      </c>
      <c r="G7005" s="5"/>
    </row>
    <row r="7006" spans="1:7" ht="58.5" customHeight="1" x14ac:dyDescent="0.25">
      <c r="A7006" s="5" t="str">
        <f>"H0000317"</f>
        <v>H0000317</v>
      </c>
      <c r="B7006" s="5" t="str">
        <f>"NEGATOSCOPIO"</f>
        <v>NEGATOSCOPIO</v>
      </c>
      <c r="C7006" s="6">
        <v>15208.75</v>
      </c>
      <c r="D7006" s="5"/>
      <c r="E7006" s="5" t="str">
        <f t="shared" si="338"/>
        <v>CONSULTORIO 9-CONSULTA EXTERNA</v>
      </c>
      <c r="F7006" s="5" t="str">
        <f>"Descripcion: NEGATOSCOPIO DE 1 CUERPO Estado: Bueno Placa anterior: 000006058 Material: METAL Y ACRILICO Color: CARAMELO Referencia:  Observacion:  Placa padre: Tipo adquisicion: Entidad"</f>
        <v>Descripcion: NEGATOSCOPIO DE 1 CUERPO Estado: Bueno Placa anterior: 000006058 Material: METAL Y ACRILICO Color: CARAMELO Referencia:  Observacion:  Placa padre: Tipo adquisicion: Entidad</v>
      </c>
      <c r="G7006" s="5" t="str">
        <f>"1 CUERPO"</f>
        <v>1 CUERPO</v>
      </c>
    </row>
    <row r="7007" spans="1:7" ht="58.5" customHeight="1" x14ac:dyDescent="0.25">
      <c r="A7007" s="5" t="str">
        <f>"H0000318"</f>
        <v>H0000318</v>
      </c>
      <c r="B7007" s="5" t="str">
        <f>"MESA DE MADERA"</f>
        <v>MESA DE MADERA</v>
      </c>
      <c r="C7007" s="6">
        <v>15200</v>
      </c>
      <c r="D7007" s="5"/>
      <c r="E7007" s="5" t="str">
        <f t="shared" si="338"/>
        <v>CONSULTORIO 9-CONSULTA EXTERNA</v>
      </c>
      <c r="F7007" s="5" t="str">
        <f>"Descripcion: MESA DE MADERA ANCHO=77 X ANCHO=50 X FONDO=30 CM Estado: Bueno Placa anterior: 000005845 Material: MADERA Color: MADERA Referencia:  Observacion:  Placa padre: Tipo adquisicion: Entidad"</f>
        <v>Descripcion: MESA DE MADERA ANCHO=77 X ANCHO=50 X FONDO=30 CM Estado: Bueno Placa anterior: 000005845 Material: MADERA Color: MADERA Referencia:  Observacion:  Placa padre: Tipo adquisicion: Entidad</v>
      </c>
      <c r="G7007" s="5"/>
    </row>
    <row r="7008" spans="1:7" ht="58.5" customHeight="1" x14ac:dyDescent="0.25">
      <c r="A7008" s="5" t="str">
        <f>"H0000319"</f>
        <v>H0000319</v>
      </c>
      <c r="B7008" s="5" t="str">
        <f>"IMPRESORA LASER"</f>
        <v>IMPRESORA LASER</v>
      </c>
      <c r="C7008" s="6">
        <v>657102</v>
      </c>
      <c r="D7008" s="5" t="s">
        <v>240</v>
      </c>
      <c r="E7008" s="5" t="str">
        <f t="shared" si="338"/>
        <v>CONSULTORIO 9-CONSULTA EXTERNA</v>
      </c>
      <c r="F7008" s="5" t="str">
        <f>"Descripcion: IMPRESORA LASER Estado: Bueno Placa anterior: 000030014 Material: PASTA Color: NEGRO Referencia:  Observacion:  Placa padre: Tipo adquisicion: Entidad"</f>
        <v>Descripcion: IMPRESORA LASER Estado: Bueno Placa anterior: 000030014 Material: PASTA Color: NEGRO Referencia:  Observacion:  Placa padre: Tipo adquisicion: Entidad</v>
      </c>
      <c r="G7008" s="5" t="str">
        <f>"P1606dn"</f>
        <v>P1606dn</v>
      </c>
    </row>
    <row r="7009" spans="1:7" ht="58.5" customHeight="1" x14ac:dyDescent="0.25">
      <c r="A7009" s="5" t="str">
        <f>"H0000320"</f>
        <v>H0000320</v>
      </c>
      <c r="B7009" s="5" t="str">
        <f>"COMPUTADOR DE MESA"</f>
        <v>COMPUTADOR DE MESA</v>
      </c>
      <c r="C7009" s="6">
        <v>2250000</v>
      </c>
      <c r="D7009" s="5"/>
      <c r="E7009" s="5" t="str">
        <f t="shared" si="338"/>
        <v>CONSULTORIO 9-CONSULTA EXTERNA</v>
      </c>
      <c r="F7009" s="5" t="str">
        <f>"Descripcion: COMPTADOR CPU GENERICO, UNIDAD DE DVD Estado: Bueno Placa anterior: 000033297 Material: PASTA Color: NEGRO Y GRIS Referencia:  Observacion: AUTORIZADO CRUZAR POR SISTEMAS Placa anterior:000023307, Placa nueva=H0000321, Descripcion:MONITOR DE "&amp; "19  , Serial:T98KMSNQUWA1N1J, Marca:, Modelo:917SW, Material:PASTA, Color:NEGRO,   Referencia:, Placa anterior:, Placa nueva=H0000323, Descripcion:MOUSE MICROSFOT 3 BOTONES - OPTICO, Serial:, Marca:MICROSOFT, Modelo:, Material:PASTA, Color:NEGRO,   Refere"&amp; "ncia:, Placa anterior:, Placa nueva=H0000322, Descripcion:TECLADO PS2, Serial:7668205294129, Marca:, Modelo:, Material:PASTA, Color:NEGRO,   Referencia: Placa padre: Tipo adquisicion: Entidad"</f>
        <v>Descripcion: COMPTADOR CPU GENERICO, UNIDAD DE DVD Estado: Bueno Placa anterior: 000033297 Material: PASTA Color: NEGRO Y GRIS Referencia:  Observacion: AUTORIZADO CRUZAR POR SISTEMAS Placa anterior:000023307, Placa nueva=H0000321, Descripcion:MONITOR DE 19  , Serial:T98KMSNQUWA1N1J, Marca:, Modelo:917SW, Material:PASTA, Color:NEGRO,   Referencia:, Placa anterior:, Placa nueva=H0000323, Descripcion:MOUSE MICROSFOT 3 BOTONES - OPTICO, Serial:, Marca:MICROSOFT, Modelo:, Material:PASTA, Color:NEGRO,   Referencia:, Placa anterior:, Placa nueva=H0000322, Descripcion:TECLADO PS2, Serial:7668205294129, Marca:, Modelo:, Material:PASTA, Color:NEGRO,   Referencia: Placa padre: Tipo adquisicion: Entidad</v>
      </c>
      <c r="G7009" s="5" t="str">
        <f>"XCO69091608193"</f>
        <v>XCO69091608193</v>
      </c>
    </row>
    <row r="7010" spans="1:7" ht="58.5" customHeight="1" x14ac:dyDescent="0.25">
      <c r="A7010" s="5" t="str">
        <f>"H0002027"</f>
        <v>H0002027</v>
      </c>
      <c r="B7010" s="5" t="str">
        <f>"TENSIOMETRO ANEROIDE DE PARED ADULTO"</f>
        <v>TENSIOMETRO ANEROIDE DE PARED ADULTO</v>
      </c>
      <c r="C7010" s="6">
        <v>464000</v>
      </c>
      <c r="D7010" s="5"/>
      <c r="E7010" s="5" t="str">
        <f t="shared" si="338"/>
        <v>CONSULTORIO 9-CONSULTA EXTERNA</v>
      </c>
      <c r="F7010" s="5" t="str">
        <f>"Descripcion:TENSIOMETRO ADULTO DE PARED, CON BRAZALETE COLOR NEGRO Estado: Excelente Placa anterior: 000039083 Material: PASTA Color: AZUL Y GRIS Referencia:  Observacion:  Placa padre:  Tipo adquisicion : Entidad"</f>
        <v>Descripcion:TENSIOMETRO ADULTO DE PARED, CON BRAZALETE COLOR NEGRO Estado: Excelente Placa anterior: 000039083 Material: PASTA Color: AZUL Y GRIS Referencia:  Observacion:  Placa padre:  Tipo adquisicion : Entidad</v>
      </c>
      <c r="G7010" s="5" t="str">
        <f>"BIG BEN ROUND 1450"</f>
        <v>BIG BEN ROUND 1450</v>
      </c>
    </row>
    <row r="7011" spans="1:7" ht="58.5" customHeight="1" x14ac:dyDescent="0.25">
      <c r="A7011" s="5" t="str">
        <f>"H0037127"</f>
        <v>H0037127</v>
      </c>
      <c r="B7011" s="5" t="str">
        <f>"TALLIMETRO CAPACIDAD 20-205 CM (DONACION)"</f>
        <v>TALLIMETRO CAPACIDAD 20-205 CM (DONACION)</v>
      </c>
      <c r="C7011" s="6">
        <v>1254705.99</v>
      </c>
      <c r="D7011" s="5" t="s">
        <v>136</v>
      </c>
      <c r="E7011" s="5" t="str">
        <f t="shared" si="338"/>
        <v>CONSULTORIO 9-CONSULTA EXTERNA</v>
      </c>
      <c r="F7011" s="5"/>
      <c r="G7011" s="5"/>
    </row>
    <row r="7012" spans="1:7" ht="58.5" customHeight="1" x14ac:dyDescent="0.25">
      <c r="A7012" s="5" t="str">
        <f>"H0037194"</f>
        <v>H0037194</v>
      </c>
      <c r="B7012" s="5" t="str">
        <f>"BASCULA: Capacidad: 200 kg, División: 100 g &lt; 150 kg &gt; 200 g, Dimensiones (AxAxP):321 x 61 x 362 mm, Peso: 4,1 kg"</f>
        <v>BASCULA: Capacidad: 200 kg, División: 100 g &lt; 150 kg &gt; 200 g, Dimensiones (AxAxP):321 x 61 x 362 mm, Peso: 4,1 kg</v>
      </c>
      <c r="C7012" s="6">
        <v>3588386.01</v>
      </c>
      <c r="D7012" s="5" t="s">
        <v>160</v>
      </c>
      <c r="E7012" s="5" t="str">
        <f t="shared" si="338"/>
        <v>CONSULTORIO 9-CONSULTA EXTERNA</v>
      </c>
      <c r="F7012" s="5"/>
      <c r="G7012" s="5"/>
    </row>
    <row r="7013" spans="1:7" ht="58.5" customHeight="1" x14ac:dyDescent="0.25">
      <c r="A7013" s="5" t="str">
        <f>"B0003940"</f>
        <v>B0003940</v>
      </c>
      <c r="B7013" s="5" t="str">
        <f>"PINZA DE DISECCION CON GARRA MEDIANA 25 CM"</f>
        <v>PINZA DE DISECCION CON GARRA MEDIANA 25 CM</v>
      </c>
      <c r="C7013" s="6">
        <v>3913.26</v>
      </c>
      <c r="D7013" s="5"/>
      <c r="E7013" s="5" t="str">
        <f t="shared" ref="E7013:E7076" si="339">"URGENCIAS ADULTO-Jenny Peña"</f>
        <v>URGENCIAS ADULTO-Jenny Peña</v>
      </c>
      <c r="F7013" s="5" t="str">
        <f>"Descripcion: PINZA DE DISECCION CON GARRA Estado: Bueno Placa anterior: 000019329 Material: ACERO INOXIDABLE Color:  Referencia:  Observacion:  Placa padre: Tipo adquisicion: Entidad"</f>
        <v>Descripcion: PINZA DE DISECCION CON GARRA Estado: Bueno Placa anterior: 000019329 Material: ACERO INOXIDABLE Color:  Referencia:  Observacion:  Placa padre: Tipo adquisicion: Entidad</v>
      </c>
      <c r="G7013" s="5"/>
    </row>
    <row r="7014" spans="1:7" ht="58.5" customHeight="1" x14ac:dyDescent="0.25">
      <c r="A7014" s="5" t="str">
        <f>"B0003941"</f>
        <v>B0003941</v>
      </c>
      <c r="B7014" s="5" t="str">
        <f>"PINZA DE DISECCION CON GARRA MEDIANA 25 CM"</f>
        <v>PINZA DE DISECCION CON GARRA MEDIANA 25 CM</v>
      </c>
      <c r="C7014" s="6">
        <v>3913.26</v>
      </c>
      <c r="D7014" s="5"/>
      <c r="E7014" s="5" t="str">
        <f t="shared" si="339"/>
        <v>URGENCIAS ADULTO-Jenny Peña</v>
      </c>
      <c r="F7014" s="5" t="str">
        <f>"Descripcion: PINZA DE DISECCION CON GARRA Estado: Bueno Placa anterior: 000019330 Material: ACERO INOXIDABLE Color:  Referencia:  Observacion:  Placa padre: Tipo adquisicion: Entidad"</f>
        <v>Descripcion: PINZA DE DISECCION CON GARRA Estado: Bueno Placa anterior: 000019330 Material: ACERO INOXIDABLE Color:  Referencia:  Observacion:  Placa padre: Tipo adquisicion: Entidad</v>
      </c>
      <c r="G7014" s="5"/>
    </row>
    <row r="7015" spans="1:7" ht="58.5" customHeight="1" x14ac:dyDescent="0.25">
      <c r="A7015" s="5" t="str">
        <f>"B0003942"</f>
        <v>B0003942</v>
      </c>
      <c r="B7015" s="5" t="str">
        <f>"PINZA DE DISECCION CON GARRA MEDIANA 25 CM"</f>
        <v>PINZA DE DISECCION CON GARRA MEDIANA 25 CM</v>
      </c>
      <c r="C7015" s="6">
        <v>3913.26</v>
      </c>
      <c r="D7015" s="5"/>
      <c r="E7015" s="5" t="str">
        <f t="shared" si="339"/>
        <v>URGENCIAS ADULTO-Jenny Peña</v>
      </c>
      <c r="F7015" s="5" t="str">
        <f>"Descripcion: PINZA DE DISECCION CON GARRA Estado: Bueno Placa anterior: 000019331 Material: ACERO INOXIDABLE Color:  Referencia:  Observacion:  Placa padre: Tipo adquisicion: Entidad"</f>
        <v>Descripcion: PINZA DE DISECCION CON GARRA Estado: Bueno Placa anterior: 000019331 Material: ACERO INOXIDABLE Color:  Referencia:  Observacion:  Placa padre: Tipo adquisicion: Entidad</v>
      </c>
      <c r="G7015" s="5"/>
    </row>
    <row r="7016" spans="1:7" ht="58.5" customHeight="1" x14ac:dyDescent="0.25">
      <c r="A7016" s="5" t="str">
        <f>"B0003943"</f>
        <v>B0003943</v>
      </c>
      <c r="B7016" s="5" t="str">
        <f>"PINZA DE DISECCION CON GARRA MEDIANA 25 CM"</f>
        <v>PINZA DE DISECCION CON GARRA MEDIANA 25 CM</v>
      </c>
      <c r="C7016" s="6">
        <v>3913.26</v>
      </c>
      <c r="D7016" s="5"/>
      <c r="E7016" s="5" t="str">
        <f t="shared" si="339"/>
        <v>URGENCIAS ADULTO-Jenny Peña</v>
      </c>
      <c r="F7016" s="5" t="str">
        <f>"Descripcion: PINZA DE DISECCION CON GARRA Estado: Bueno Placa anterior: 000019332 Material: ACERO INOXIDABLE Color:  Referencia:  Observacion:  Placa padre: Tipo adquisicion: Entidad"</f>
        <v>Descripcion: PINZA DE DISECCION CON GARRA Estado: Bueno Placa anterior: 000019332 Material: ACERO INOXIDABLE Color:  Referencia:  Observacion:  Placa padre: Tipo adquisicion: Entidad</v>
      </c>
      <c r="G7016" s="5"/>
    </row>
    <row r="7017" spans="1:7" ht="58.5" customHeight="1" x14ac:dyDescent="0.25">
      <c r="A7017" s="5" t="str">
        <f>"B0003944"</f>
        <v>B0003944</v>
      </c>
      <c r="B7017" s="5" t="str">
        <f>"MANGO PARA BISTURI #4"</f>
        <v>MANGO PARA BISTURI #4</v>
      </c>
      <c r="C7017" s="6">
        <v>2628.57</v>
      </c>
      <c r="D7017" s="5"/>
      <c r="E7017" s="5" t="str">
        <f t="shared" si="339"/>
        <v>URGENCIAS ADULTO-Jenny Peña</v>
      </c>
      <c r="F7017" s="5" t="str">
        <f>"Descripcion: MANGO PARA BISTURI Estado: Bueno Placa anterior: 000019297 Material: ACERO INOXIDABLE Color:  Referencia:  Observacion:  Placa padre: Tipo adquisicion: Entidad"</f>
        <v>Descripcion: MANGO PARA BISTURI Estado: Bueno Placa anterior: 000019297 Material: ACERO INOXIDABLE Color:  Referencia:  Observacion:  Placa padre: Tipo adquisicion: Entidad</v>
      </c>
      <c r="G7017" s="5"/>
    </row>
    <row r="7018" spans="1:7" ht="58.5" customHeight="1" x14ac:dyDescent="0.25">
      <c r="A7018" s="5" t="str">
        <f>"B0003953"</f>
        <v>B0003953</v>
      </c>
      <c r="B7018" s="5" t="str">
        <f>"PINZA ALLIX"</f>
        <v>PINZA ALLIX</v>
      </c>
      <c r="C7018" s="6">
        <v>189980.25</v>
      </c>
      <c r="D7018" s="5"/>
      <c r="E7018" s="5" t="str">
        <f t="shared" si="339"/>
        <v>URGENCIAS ADULTO-Jenny Peña</v>
      </c>
      <c r="F7018" s="5" t="str">
        <f>"Descripcion: PINZA BABYALLIS 14CM Estado: Bueno Placa anterior: 000022807 Material: ACERO INOXIDABLE Color:  Referencia:  Observacion:  Placa padre: Tipo adquisicion: Entidad"</f>
        <v>Descripcion: PINZA BABYALLIS 14CM Estado: Bueno Placa anterior: 000022807 Material: ACERO INOXIDABLE Color:  Referencia:  Observacion:  Placa padre: Tipo adquisicion: Entidad</v>
      </c>
      <c r="G7018" s="5"/>
    </row>
    <row r="7019" spans="1:7" ht="58.5" customHeight="1" x14ac:dyDescent="0.25">
      <c r="A7019" s="5" t="str">
        <f>"B0003955"</f>
        <v>B0003955</v>
      </c>
      <c r="B7019" s="5" t="str">
        <f>"PINZA ALLIX"</f>
        <v>PINZA ALLIX</v>
      </c>
      <c r="C7019" s="6">
        <v>189980.25</v>
      </c>
      <c r="D7019" s="5"/>
      <c r="E7019" s="5" t="str">
        <f t="shared" si="339"/>
        <v>URGENCIAS ADULTO-Jenny Peña</v>
      </c>
      <c r="F7019" s="5" t="str">
        <f>"Descripcion: PINZA BABYALLIS 14CM Estado: Bueno Placa anterior: 000022808 Material: ACERO INOXIDABLE Color:  Referencia:  Observacion:  Placa padre: Tipo adquisicion: Entidad"</f>
        <v>Descripcion: PINZA BABYALLIS 14CM Estado: Bueno Placa anterior: 000022808 Material: ACERO INOXIDABLE Color:  Referencia:  Observacion:  Placa padre: Tipo adquisicion: Entidad</v>
      </c>
      <c r="G7019" s="5"/>
    </row>
    <row r="7020" spans="1:7" ht="58.5" customHeight="1" x14ac:dyDescent="0.25">
      <c r="A7020" s="5" t="str">
        <f>"B0003959"</f>
        <v>B0003959</v>
      </c>
      <c r="B7020" s="5" t="str">
        <f>"PINZA MOSQUITO CURVA 12 CM"</f>
        <v>PINZA MOSQUITO CURVA 12 CM</v>
      </c>
      <c r="C7020" s="6">
        <v>554.22</v>
      </c>
      <c r="D7020" s="5"/>
      <c r="E7020" s="5" t="str">
        <f t="shared" si="339"/>
        <v>URGENCIAS ADULTO-Jenny Peña</v>
      </c>
      <c r="F7020" s="5" t="str">
        <f>"Descripcion: PINZA MOSQUITO Estado: Bueno Placa anterior: 000020057 Material: ACERO INOXIDABLE Color:  Referencia:  Observacion:  Placa padre: Tipo adquisicion: Entidad"</f>
        <v>Descripcion: PINZA MOSQUITO Estado: Bueno Placa anterior: 000020057 Material: ACERO INOXIDABLE Color:  Referencia:  Observacion:  Placa padre: Tipo adquisicion: Entidad</v>
      </c>
      <c r="G7020" s="5"/>
    </row>
    <row r="7021" spans="1:7" ht="58.5" customHeight="1" x14ac:dyDescent="0.25">
      <c r="A7021" s="5" t="str">
        <f>"B0003960"</f>
        <v>B0003960</v>
      </c>
      <c r="B7021" s="5" t="str">
        <f>"PINZA MOSQUITO CURVA 12 CM"</f>
        <v>PINZA MOSQUITO CURVA 12 CM</v>
      </c>
      <c r="C7021" s="6">
        <v>554.22</v>
      </c>
      <c r="D7021" s="5"/>
      <c r="E7021" s="5" t="str">
        <f t="shared" si="339"/>
        <v>URGENCIAS ADULTO-Jenny Peña</v>
      </c>
      <c r="F7021" s="5" t="str">
        <f>"Descripcion: PINZA MOSQUITO Estado: Bueno Placa anterior: 000020058 Material: ACERO INOXIDABLE Color:  Referencia:  Observacion:  Placa padre: Tipo adquisicion: Entidad"</f>
        <v>Descripcion: PINZA MOSQUITO Estado: Bueno Placa anterior: 000020058 Material: ACERO INOXIDABLE Color:  Referencia:  Observacion:  Placa padre: Tipo adquisicion: Entidad</v>
      </c>
      <c r="G7021" s="5"/>
    </row>
    <row r="7022" spans="1:7" ht="58.5" customHeight="1" x14ac:dyDescent="0.25">
      <c r="A7022" s="5" t="str">
        <f>"B0003961"</f>
        <v>B0003961</v>
      </c>
      <c r="B7022" s="5" t="str">
        <f>"PINZA MOSQUITO CURVA 12 CM"</f>
        <v>PINZA MOSQUITO CURVA 12 CM</v>
      </c>
      <c r="C7022" s="6">
        <v>554.22</v>
      </c>
      <c r="D7022" s="5"/>
      <c r="E7022" s="5" t="str">
        <f t="shared" si="339"/>
        <v>URGENCIAS ADULTO-Jenny Peña</v>
      </c>
      <c r="F7022" s="5" t="str">
        <f>"Descripcion: PINZA MOSQUITO Estado: Bueno Placa anterior: 000020049 Material: ACERO INOXIDABLE Color:  Referencia:  Observacion:  Placa padre: Tipo adquisicion: Entidad"</f>
        <v>Descripcion: PINZA MOSQUITO Estado: Bueno Placa anterior: 000020049 Material: ACERO INOXIDABLE Color:  Referencia:  Observacion:  Placa padre: Tipo adquisicion: Entidad</v>
      </c>
      <c r="G7022" s="5"/>
    </row>
    <row r="7023" spans="1:7" ht="58.5" customHeight="1" x14ac:dyDescent="0.25">
      <c r="A7023" s="5" t="str">
        <f>"B0003962"</f>
        <v>B0003962</v>
      </c>
      <c r="B7023" s="5" t="str">
        <f>"PINZA MOSQUITO CURVA 12 CM"</f>
        <v>PINZA MOSQUITO CURVA 12 CM</v>
      </c>
      <c r="C7023" s="6">
        <v>554.22</v>
      </c>
      <c r="D7023" s="5"/>
      <c r="E7023" s="5" t="str">
        <f t="shared" si="339"/>
        <v>URGENCIAS ADULTO-Jenny Peña</v>
      </c>
      <c r="F7023" s="5" t="str">
        <f>"Descripcion: PINZA MOSQUITO Estado: Bueno Placa anterior: 000020048 Material: ACERO INOXIDABLE Color:  Referencia:  Observacion:  Placa padre: Tipo adquisicion: Entidad"</f>
        <v>Descripcion: PINZA MOSQUITO Estado: Bueno Placa anterior: 000020048 Material: ACERO INOXIDABLE Color:  Referencia:  Observacion:  Placa padre: Tipo adquisicion: Entidad</v>
      </c>
      <c r="G7023" s="5"/>
    </row>
    <row r="7024" spans="1:7" ht="58.5" customHeight="1" x14ac:dyDescent="0.25">
      <c r="A7024" s="5" t="str">
        <f>"B0003963"</f>
        <v>B0003963</v>
      </c>
      <c r="B7024" s="5" t="str">
        <f>"SEPARADOR DE ABDOMEN (FARABEUF)"</f>
        <v>SEPARADOR DE ABDOMEN (FARABEUF)</v>
      </c>
      <c r="C7024" s="6">
        <v>750</v>
      </c>
      <c r="D7024" s="5"/>
      <c r="E7024" s="5" t="str">
        <f t="shared" si="339"/>
        <v>URGENCIAS ADULTO-Jenny Peña</v>
      </c>
      <c r="F7024" s="5" t="str">
        <f>"Descripcion: SEPARADOR FARABEUF Estado: Bueno Placa anterior: 000020104 Material: ACERO INOXIDABLE Color:  Referencia:  Observacion:  Placa padre: Tipo adquisicion: Entidad"</f>
        <v>Descripcion: SEPARADOR FARABEUF Estado: Bueno Placa anterior: 000020104 Material: ACERO INOXIDABLE Color:  Referencia:  Observacion:  Placa padre: Tipo adquisicion: Entidad</v>
      </c>
      <c r="G7024" s="5"/>
    </row>
    <row r="7025" spans="1:7" ht="58.5" customHeight="1" x14ac:dyDescent="0.25">
      <c r="A7025" s="5" t="str">
        <f>"B0003965"</f>
        <v>B0003965</v>
      </c>
      <c r="B7025" s="5" t="str">
        <f>"SEPARADOR DE ABDOMEN (FARABEUF)"</f>
        <v>SEPARADOR DE ABDOMEN (FARABEUF)</v>
      </c>
      <c r="C7025" s="6">
        <v>750</v>
      </c>
      <c r="D7025" s="5"/>
      <c r="E7025" s="5" t="str">
        <f t="shared" si="339"/>
        <v>URGENCIAS ADULTO-Jenny Peña</v>
      </c>
      <c r="F7025" s="5" t="str">
        <f>"Descripcion: SEPARADOR FARABEUF Estado: Bueno Placa anterior: 000020105 Material: ACERO INOXIDABLE Color:  Referencia:  Observacion:  Placa padre: Tipo adquisicion: Entidad"</f>
        <v>Descripcion: SEPARADOR FARABEUF Estado: Bueno Placa anterior: 000020105 Material: ACERO INOXIDABLE Color:  Referencia:  Observacion:  Placa padre: Tipo adquisicion: Entidad</v>
      </c>
      <c r="G7025" s="5"/>
    </row>
    <row r="7026" spans="1:7" ht="58.5" customHeight="1" x14ac:dyDescent="0.25">
      <c r="A7026" s="5" t="str">
        <f>"B0003967"</f>
        <v>B0003967</v>
      </c>
      <c r="B7026" s="5" t="str">
        <f>"PINZA KELLY RECTA 16 CM"</f>
        <v>PINZA KELLY RECTA 16 CM</v>
      </c>
      <c r="C7026" s="6">
        <v>479.92</v>
      </c>
      <c r="D7026" s="5"/>
      <c r="E7026" s="5" t="str">
        <f t="shared" si="339"/>
        <v>URGENCIAS ADULTO-Jenny Peña</v>
      </c>
      <c r="F7026" s="5" t="str">
        <f>"Descripcion: PINZA KELLY RECTA Estado: Bueno Placa anterior: 000020036 Material: ACERO INOXIDABLE Color:  Referencia:  Observacion:  Placa padre: Tipo adquisicion: Entidad"</f>
        <v>Descripcion: PINZA KELLY RECTA Estado: Bueno Placa anterior: 000020036 Material: ACERO INOXIDABLE Color:  Referencia:  Observacion:  Placa padre: Tipo adquisicion: Entidad</v>
      </c>
      <c r="G7026" s="5"/>
    </row>
    <row r="7027" spans="1:7" ht="58.5" customHeight="1" x14ac:dyDescent="0.25">
      <c r="A7027" s="5" t="str">
        <f>"B0003968"</f>
        <v>B0003968</v>
      </c>
      <c r="B7027" s="5" t="str">
        <f>"PINZA KELLY RECTA 16 CM"</f>
        <v>PINZA KELLY RECTA 16 CM</v>
      </c>
      <c r="C7027" s="6">
        <v>479.92</v>
      </c>
      <c r="D7027" s="5"/>
      <c r="E7027" s="5" t="str">
        <f t="shared" si="339"/>
        <v>URGENCIAS ADULTO-Jenny Peña</v>
      </c>
      <c r="F7027" s="5" t="str">
        <f>"Descripcion: PINZA KELLY RECTA Estado: Bueno Placa anterior: 000020037 Material: ACERO INOXIDABLE Color:  Referencia:  Observacion:  Placa padre: Tipo adquisicion: Entidad"</f>
        <v>Descripcion: PINZA KELLY RECTA Estado: Bueno Placa anterior: 000020037 Material: ACERO INOXIDABLE Color:  Referencia:  Observacion:  Placa padre: Tipo adquisicion: Entidad</v>
      </c>
      <c r="G7027" s="5"/>
    </row>
    <row r="7028" spans="1:7" ht="58.5" customHeight="1" x14ac:dyDescent="0.25">
      <c r="A7028" s="5" t="str">
        <f>"B0003972"</f>
        <v>B0003972</v>
      </c>
      <c r="B7028" s="5" t="str">
        <f>"PINZA ADSON"</f>
        <v>PINZA ADSON</v>
      </c>
      <c r="C7028" s="6">
        <v>188709</v>
      </c>
      <c r="D7028" s="5"/>
      <c r="E7028" s="5" t="str">
        <f t="shared" si="339"/>
        <v>URGENCIAS ADULTO-Jenny Peña</v>
      </c>
      <c r="F7028" s="5" t="str">
        <f>"Descripcion: PINZA HEMOSTATICA BABY ADSON CURVA Estado: Bueno Placa anterior: 000022806 Material: ACERO INOXIDABLE Color:  Referencia:  Observacion:  Placa padre: Tipo adquisicion: Entidad"</f>
        <v>Descripcion: PINZA HEMOSTATICA BABY ADSON CURVA Estado: Bueno Placa anterior: 000022806 Material: ACERO INOXIDABLE Color:  Referencia:  Observacion:  Placa padre: Tipo adquisicion: Entidad</v>
      </c>
      <c r="G7028" s="5"/>
    </row>
    <row r="7029" spans="1:7" ht="58.5" customHeight="1" x14ac:dyDescent="0.25">
      <c r="A7029" s="5" t="str">
        <f>"B0003980"</f>
        <v>B0003980</v>
      </c>
      <c r="B7029" s="5" t="str">
        <f>"TIJERA  DE METZEMBAUM CURVA"</f>
        <v>TIJERA  DE METZEMBAUM CURVA</v>
      </c>
      <c r="C7029" s="6">
        <v>51560.61</v>
      </c>
      <c r="D7029" s="5"/>
      <c r="E7029" s="5" t="str">
        <f t="shared" si="339"/>
        <v>URGENCIAS ADULTO-Jenny Peña</v>
      </c>
      <c r="F7029" s="5" t="str">
        <f>"Descripcion: TIJERA DE METZEMBAUM CURVA Estado: Bueno Placa anterior: 000018832 Material: ACERO INOXIDABLE Color:  Referencia:  Observacion: AUTORIZADO CONCILIAR EN CRUCE GENERAL Placa padre: Tipo adquisicion: Entidad"</f>
        <v>Descripcion: TIJERA DE METZEMBAUM CURVA Estado: Bueno Placa anterior: 000018832 Material: ACERO INOXIDABLE Color:  Referencia:  Observacion: AUTORIZADO CONCILIAR EN CRUCE GENERAL Placa padre: Tipo adquisicion: Entidad</v>
      </c>
      <c r="G7029" s="5"/>
    </row>
    <row r="7030" spans="1:7" ht="58.5" customHeight="1" x14ac:dyDescent="0.25">
      <c r="A7030" s="5" t="str">
        <f>"B0004026"</f>
        <v>B0004026</v>
      </c>
      <c r="B7030" s="5" t="str">
        <f>"FONENDOSCOPIO (ESTETOSCOPIO) PARA ADULTO"</f>
        <v>FONENDOSCOPIO (ESTETOSCOPIO) PARA ADULTO</v>
      </c>
      <c r="C7030" s="6">
        <v>208452</v>
      </c>
      <c r="D7030" s="5"/>
      <c r="E7030" s="5" t="str">
        <f t="shared" si="339"/>
        <v>URGENCIAS ADULTO-Jenny Peña</v>
      </c>
      <c r="F7030" s="5" t="str">
        <f>"Descripcion: ESTETOSCOPIO PROFESIONALES DE MARA (BYD, TYCOS LITTMAN, etc) Estado: Bueno Placa anterior: 000030495 Material: METAL Color: AZUL Referencia:  Observacion:  Placa padre: Tipo adquisicion: Entidad"</f>
        <v>Descripcion: ESTETOSCOPIO PROFESIONALES DE MARA (BYD, TYCOS LITTMAN, etc) Estado: Bueno Placa anterior: 000030495 Material: METAL Color: AZUL Referencia:  Observacion:  Placa padre: Tipo adquisicion: Entidad</v>
      </c>
      <c r="G7030" s="5"/>
    </row>
    <row r="7031" spans="1:7" ht="58.5" customHeight="1" x14ac:dyDescent="0.25">
      <c r="A7031" s="5" t="str">
        <f>"B0004027"</f>
        <v>B0004027</v>
      </c>
      <c r="B7031" s="5" t="str">
        <f>"FONENDOSCOPIO (ESTETOSCOPIO) PARA ADULTO"</f>
        <v>FONENDOSCOPIO (ESTETOSCOPIO) PARA ADULTO</v>
      </c>
      <c r="C7031" s="6">
        <v>208452</v>
      </c>
      <c r="D7031" s="5"/>
      <c r="E7031" s="5" t="str">
        <f t="shared" si="339"/>
        <v>URGENCIAS ADULTO-Jenny Peña</v>
      </c>
      <c r="F7031" s="5" t="str">
        <f>"Descripcion: ESTETOSCOPIO PROFESIONALES DE MARA (BYD, TYCOS LITTMAN, etc) Estado: Bueno Placa anterior: 000030496 Material: METAL Color: NEGRO Referencia:  Observacion:  Placa padre: Tipo adquisicion: Entidad"</f>
        <v>Descripcion: ESTETOSCOPIO PROFESIONALES DE MARA (BYD, TYCOS LITTMAN, etc) Estado: Bueno Placa anterior: 000030496 Material: METAL Color: NEGRO Referencia:  Observacion:  Placa padre: Tipo adquisicion: Entidad</v>
      </c>
      <c r="G7031" s="5"/>
    </row>
    <row r="7032" spans="1:7" ht="58.5" customHeight="1" x14ac:dyDescent="0.25">
      <c r="A7032" s="5" t="str">
        <f>"B0004028"</f>
        <v>B0004028</v>
      </c>
      <c r="B7032" s="5" t="str">
        <f>"FONENDOSCOPIO (ESTETOSCOPIO) PARA ADULTO"</f>
        <v>FONENDOSCOPIO (ESTETOSCOPIO) PARA ADULTO</v>
      </c>
      <c r="C7032" s="6">
        <v>208452</v>
      </c>
      <c r="D7032" s="5"/>
      <c r="E7032" s="5" t="str">
        <f t="shared" si="339"/>
        <v>URGENCIAS ADULTO-Jenny Peña</v>
      </c>
      <c r="F7032" s="5" t="str">
        <f>"Descripcion: ESTETOSCOPIO PROFESIONALES DE MARA (BYD, TYCOS LITTMAN, etc) Estado: Malo Placa anterior: 000030497 Material: METAL Color: NEGRO Referencia:  Observacion:  Placa padre: Tipo adquisicion: Entidad"</f>
        <v>Descripcion: ESTETOSCOPIO PROFESIONALES DE MARA (BYD, TYCOS LITTMAN, etc) Estado: Malo Placa anterior: 000030497 Material: METAL Color: NEGRO Referencia:  Observacion:  Placa padre: Tipo adquisicion: Entidad</v>
      </c>
      <c r="G7032" s="5"/>
    </row>
    <row r="7033" spans="1:7" ht="58.5" customHeight="1" x14ac:dyDescent="0.25">
      <c r="A7033" s="5" t="str">
        <f>"B0004030"</f>
        <v>B0004030</v>
      </c>
      <c r="B7033" s="5" t="str">
        <f>"FONENDOSCOPIO (ESTETOSCOPIO) PARA ADULTO"</f>
        <v>FONENDOSCOPIO (ESTETOSCOPIO) PARA ADULTO</v>
      </c>
      <c r="C7033" s="6">
        <v>301600</v>
      </c>
      <c r="D7033" s="5"/>
      <c r="E7033" s="5" t="str">
        <f t="shared" si="339"/>
        <v>URGENCIAS ADULTO-Jenny Peña</v>
      </c>
      <c r="F7033" s="5" t="str">
        <f>"Descripcion: ESTETOSCOPIO PROFESIONALES DE MARA (BYD, TYCOS LITTMAN, etc) Estado: Bueno Placa anterior: 000031143 Material: METAL Color: NEGRO Referencia:  Observacion:  Placa padre: Tipo adquisicion: Entidad"</f>
        <v>Descripcion: ESTETOSCOPIO PROFESIONALES DE MARA (BYD, TYCOS LITTMAN, etc) Estado: Bueno Placa anterior: 000031143 Material: METAL Color: NEGRO Referencia:  Observacion:  Placa padre: Tipo adquisicion: Entidad</v>
      </c>
      <c r="G7033" s="5"/>
    </row>
    <row r="7034" spans="1:7" ht="58.5" customHeight="1" x14ac:dyDescent="0.25">
      <c r="A7034" s="5" t="str">
        <f>"B0004036"</f>
        <v>B0004036</v>
      </c>
      <c r="B7034" s="5" t="str">
        <f>"EQUIPO DE PEQUEÑA CIRUGIA"</f>
        <v>EQUIPO DE PEQUEÑA CIRUGIA</v>
      </c>
      <c r="C7034" s="6">
        <v>1700000</v>
      </c>
      <c r="D7034" s="5" t="s">
        <v>444</v>
      </c>
      <c r="E7034" s="5" t="str">
        <f t="shared" si="339"/>
        <v>URGENCIAS ADULTO-Jenny Peña</v>
      </c>
      <c r="F7034" s="5" t="str">
        <f>"Descripcion: EQUIPO DE PEQUEÑA CIRUGIA Estado: Bueno Placa anterior: 000028080 Material: ACERO INOXIDABLE Color: PLATEADO Referencia:  Observacion:  Placa padre: Tipo adquisicion: Entidad"</f>
        <v>Descripcion: EQUIPO DE PEQUEÑA CIRUGIA Estado: Bueno Placa anterior: 000028080 Material: ACERO INOXIDABLE Color: PLATEADO Referencia:  Observacion:  Placa padre: Tipo adquisicion: Entidad</v>
      </c>
      <c r="G7034" s="5"/>
    </row>
    <row r="7035" spans="1:7" ht="58.5" customHeight="1" x14ac:dyDescent="0.25">
      <c r="A7035" s="5" t="str">
        <f>"B0004266"</f>
        <v>B0004266</v>
      </c>
      <c r="B7035" s="5" t="str">
        <f>"MARTILLO PARA REFLEJOS"</f>
        <v>MARTILLO PARA REFLEJOS</v>
      </c>
      <c r="C7035" s="6">
        <v>6321.11</v>
      </c>
      <c r="D7035" s="5"/>
      <c r="E7035" s="5" t="str">
        <f t="shared" si="339"/>
        <v>URGENCIAS ADULTO-Jenny Peña</v>
      </c>
      <c r="F7035" s="5" t="str">
        <f>"Descripcion:MARTILLO PARA REFLEJOS Estado: Bueno Placa anterior: 000019308 Material: ACERO INOXIDABLE Color: PLATEADO Referencia:  Observacion: AUTORIZADO CONCILIAR EN CRUCE GENERAL Placa padre:  Tipo adquisicion : Entidad"</f>
        <v>Descripcion:MARTILLO PARA REFLEJOS Estado: Bueno Placa anterior: 000019308 Material: ACERO INOXIDABLE Color: PLATEADO Referencia:  Observacion: AUTORIZADO CONCILIAR EN CRUCE GENERAL Placa padre:  Tipo adquisicion : Entidad</v>
      </c>
      <c r="G7035" s="5"/>
    </row>
    <row r="7036" spans="1:7" ht="58.5" customHeight="1" x14ac:dyDescent="0.25">
      <c r="A7036" s="5" t="str">
        <f>"B0004268"</f>
        <v>B0004268</v>
      </c>
      <c r="B7036" s="5" t="str">
        <f>"MARTILLO PARA REFLEJOS"</f>
        <v>MARTILLO PARA REFLEJOS</v>
      </c>
      <c r="C7036" s="6">
        <v>6321.11</v>
      </c>
      <c r="D7036" s="5"/>
      <c r="E7036" s="5" t="str">
        <f t="shared" si="339"/>
        <v>URGENCIAS ADULTO-Jenny Peña</v>
      </c>
      <c r="F7036" s="5" t="str">
        <f>"Descripcion:MARTILLO PARA REFLEJOS Estado: Bueno Placa anterior: 000019305 Material: ACERO INOXIDABLE Color: PLATEADO Referencia:  Observacion: AUTORIZADO CONCILIAR EN CRUCE GENERAL Placa padre:  Tipo adquisicion : Entidad"</f>
        <v>Descripcion:MARTILLO PARA REFLEJOS Estado: Bueno Placa anterior: 000019305 Material: ACERO INOXIDABLE Color: PLATEADO Referencia:  Observacion: AUTORIZADO CONCILIAR EN CRUCE GENERAL Placa padre:  Tipo adquisicion : Entidad</v>
      </c>
      <c r="G7036" s="5"/>
    </row>
    <row r="7037" spans="1:7" ht="58.5" customHeight="1" x14ac:dyDescent="0.25">
      <c r="A7037" s="5" t="str">
        <f>"B0004269"</f>
        <v>B0004269</v>
      </c>
      <c r="B7037" s="5" t="str">
        <f>"MARTILLO PARA REFLEJOS"</f>
        <v>MARTILLO PARA REFLEJOS</v>
      </c>
      <c r="C7037" s="6">
        <v>6321.11</v>
      </c>
      <c r="D7037" s="5"/>
      <c r="E7037" s="5" t="str">
        <f t="shared" si="339"/>
        <v>URGENCIAS ADULTO-Jenny Peña</v>
      </c>
      <c r="F7037" s="5" t="str">
        <f>"Descripcion:MARTILLO PARA REFLEJOS Estado: Bueno Placa anterior: 000019306 Material: ACERO INOXIDABLE Color: PLATEADO Referencia:  Observacion: AUTORIZADO CONCILIAR EN CRUCE GENERAL Placa padre:  Tipo adquisicion : Entidad"</f>
        <v>Descripcion:MARTILLO PARA REFLEJOS Estado: Bueno Placa anterior: 000019306 Material: ACERO INOXIDABLE Color: PLATEADO Referencia:  Observacion: AUTORIZADO CONCILIAR EN CRUCE GENERAL Placa padre:  Tipo adquisicion : Entidad</v>
      </c>
      <c r="G7037" s="5"/>
    </row>
    <row r="7038" spans="1:7" ht="58.5" customHeight="1" x14ac:dyDescent="0.25">
      <c r="A7038" s="5" t="str">
        <f>"H0000105"</f>
        <v>H0000105</v>
      </c>
      <c r="B7038" s="5" t="str">
        <f>"SILLA INTERLOCUTORA (FIJA) SIN BRAZOS"</f>
        <v>SILLA INTERLOCUTORA (FIJA) SIN BRAZOS</v>
      </c>
      <c r="C7038" s="6">
        <v>5610</v>
      </c>
      <c r="D7038" s="5"/>
      <c r="E7038" s="5" t="str">
        <f t="shared" si="339"/>
        <v>URGENCIAS ADULTO-Jenny Peña</v>
      </c>
      <c r="F7038" s="5" t="str">
        <f>"Descripcion: SILLA FIJA COLOR MARRON (NECESITA TAPIZADO) Estado: Regular Placa anterior: 000008818 Material: METALICA CON TAPIZADO EN SEMICUERO Color: MARRON Referencia:  Observacion: AUTORIZADO CONCILIAR EN CRUCE GENERAL Placa padre: Tipo adquisicion: En"&amp; "tidad"</f>
        <v>Descripcion: SILLA FIJA COLOR MARRON (NECESITA TAPIZADO) Estado: Regular Placa anterior: 000008818 Material: METALICA CON TAPIZADO EN SEMICUERO Color: MARRON Referencia:  Observacion: AUTORIZADO CONCILIAR EN CRUCE GENERAL Placa padre: Tipo adquisicion: Entidad</v>
      </c>
      <c r="G7038" s="5"/>
    </row>
    <row r="7039" spans="1:7" ht="58.5" customHeight="1" x14ac:dyDescent="0.25">
      <c r="A7039" s="5" t="str">
        <f>"H0000264"</f>
        <v>H0000264</v>
      </c>
      <c r="B7039" s="5" t="str">
        <f>"EQUIPO DE TENSION ARTERIAL (ESFIGMOMANAMETRO)"</f>
        <v>EQUIPO DE TENSION ARTERIAL (ESFIGMOMANAMETRO)</v>
      </c>
      <c r="C7039" s="6">
        <v>13713</v>
      </c>
      <c r="D7039" s="5"/>
      <c r="E7039" s="5" t="str">
        <f t="shared" si="339"/>
        <v>URGENCIAS ADULTO-Jenny Peña</v>
      </c>
      <c r="F7039" s="5" t="str">
        <f>"Descripcion: ESFIGNOMANOMETRO CON BASE METALICA Y  RODACHINES Estado: Bueno Placa anterior: 000005980 Material: BASE METALICA Y TENSIOMETRO DE PASTA Color: GRIS Referencia:  Observacion:  Placa padre: Tipo adquisicion: Entidad"</f>
        <v>Descripcion: ESFIGNOMANOMETRO CON BASE METALICA Y  RODACHINES Estado: Bueno Placa anterior: 000005980 Material: BASE METALICA Y TENSIOMETRO DE PASTA Color: GRIS Referencia:  Observacion:  Placa padre: Tipo adquisicion: Entidad</v>
      </c>
      <c r="G7039" s="5" t="str">
        <f>"LIFETIME CERTIFIED"</f>
        <v>LIFETIME CERTIFIED</v>
      </c>
    </row>
    <row r="7040" spans="1:7" ht="58.5" customHeight="1" x14ac:dyDescent="0.25">
      <c r="A7040" s="5" t="str">
        <f>"H0000343"</f>
        <v>H0000343</v>
      </c>
      <c r="B7040" s="5" t="str">
        <f>"SILLA INTERLOCUTORA (FIJA) SIN BRAZOS"</f>
        <v>SILLA INTERLOCUTORA (FIJA) SIN BRAZOS</v>
      </c>
      <c r="C7040" s="6">
        <v>6969.84</v>
      </c>
      <c r="D7040" s="5"/>
      <c r="E7040" s="5" t="str">
        <f t="shared" si="339"/>
        <v>URGENCIAS ADULTO-Jenny Peña</v>
      </c>
      <c r="F7040" s="5" t="str">
        <f>"Descripcion: SILLA INTERLOCUTORA (FIJA) SIN BRAZOS Estado: Malo Placa anterior: 000006141 Material: TUBO REDONDO Y TAPIZADO EN CUERINA Color: MARRON Referencia:  Observacion: ASIENTO PARTIDO Placa padre: Tipo adquisicion: Entidad"</f>
        <v>Descripcion: SILLA INTERLOCUTORA (FIJA) SIN BRAZOS Estado: Malo Placa anterior: 000006141 Material: TUBO REDONDO Y TAPIZADO EN CUERINA Color: MARRON Referencia:  Observacion: ASIENTO PARTIDO Placa padre: Tipo adquisicion: Entidad</v>
      </c>
      <c r="G7040" s="5"/>
    </row>
    <row r="7041" spans="1:7" ht="58.5" customHeight="1" x14ac:dyDescent="0.25">
      <c r="A7041" s="5" t="str">
        <f>"H0000473"</f>
        <v>H0000473</v>
      </c>
      <c r="B7041" s="5" t="str">
        <f>"ATRIL PORTASUERO MOVIL"</f>
        <v>ATRIL PORTASUERO MOVIL</v>
      </c>
      <c r="C7041" s="6">
        <v>5373.19</v>
      </c>
      <c r="D7041" s="5"/>
      <c r="E7041" s="5" t="str">
        <f t="shared" si="339"/>
        <v>URGENCIAS ADULTO-Jenny Peña</v>
      </c>
      <c r="F7041" s="5" t="str">
        <f>"Descripcion: ATRIL DE 184 CM CON RODACHINES Estado: Bueno Placa anterior: 000022238 Material: ACERO Color: PLATA Referencia:  Observacion:  Placa padre: Tipo adquisicion: Entidad"</f>
        <v>Descripcion: ATRIL DE 184 CM CON RODACHINES Estado: Bueno Placa anterior: 000022238 Material: ACERO Color: PLATA Referencia:  Observacion:  Placa padre: Tipo adquisicion: Entidad</v>
      </c>
      <c r="G7041" s="5"/>
    </row>
    <row r="7042" spans="1:7" ht="58.5" customHeight="1" x14ac:dyDescent="0.25">
      <c r="A7042" s="5" t="str">
        <f>"H0000485"</f>
        <v>H0000485</v>
      </c>
      <c r="B7042" s="5" t="str">
        <f>"CAMILLA DE TRASLADO CON BARANDAS"</f>
        <v>CAMILLA DE TRASLADO CON BARANDAS</v>
      </c>
      <c r="C7042" s="6">
        <v>38995</v>
      </c>
      <c r="D7042" s="5"/>
      <c r="E7042" s="5" t="str">
        <f t="shared" si="339"/>
        <v>URGENCIAS ADULTO-Jenny Peña</v>
      </c>
      <c r="F7042" s="5" t="str">
        <f>"Descripcion: CAMILLA TRANSPORTE DE PACIENTE CON COLCHONETA 78,5X120X63 CMM Estado: Bueno Placa anterior: 000006059 Material: METAL Color: GRIS Referencia:  Observacion:  Placa padre: Tipo adquisicion: Entidad"</f>
        <v>Descripcion: CAMILLA TRANSPORTE DE PACIENTE CON COLCHONETA 78,5X120X63 CMM Estado: Bueno Placa anterior: 000006059 Material: METAL Color: GRIS Referencia:  Observacion:  Placa padre: Tipo adquisicion: Entidad</v>
      </c>
      <c r="G7042" s="5"/>
    </row>
    <row r="7043" spans="1:7" ht="58.5" customHeight="1" x14ac:dyDescent="0.25">
      <c r="A7043" s="5" t="str">
        <f>"H0000618"</f>
        <v>H0000618</v>
      </c>
      <c r="B7043" s="5" t="str">
        <f>"FONENDOSCOPIO (ESTETOSCOPIO) PEDIATRICO"</f>
        <v>FONENDOSCOPIO (ESTETOSCOPIO) PEDIATRICO</v>
      </c>
      <c r="C7043" s="6">
        <v>7275.52</v>
      </c>
      <c r="D7043" s="5"/>
      <c r="E7043" s="5" t="str">
        <f t="shared" si="339"/>
        <v>URGENCIAS ADULTO-Jenny Peña</v>
      </c>
      <c r="F7043" s="5" t="str">
        <f>"Descripcion: FONENDOSCOPIO 1 MANGUERA Estado: Regular Placa anterior: 000006609 Material: METALICO Color: NEGRO Referencia:  Observacion: AUXILIAR MANIFIESTO MEBRANA NO FUNCIONA Placa padre: Tipo adquisicion: Entidad"</f>
        <v>Descripcion: FONENDOSCOPIO 1 MANGUERA Estado: Regular Placa anterior: 000006609 Material: METALICO Color: NEGRO Referencia:  Observacion: AUXILIAR MANIFIESTO MEBRANA NO FUNCIONA Placa padre: Tipo adquisicion: Entidad</v>
      </c>
      <c r="G7043" s="5"/>
    </row>
    <row r="7044" spans="1:7" ht="58.5" customHeight="1" x14ac:dyDescent="0.25">
      <c r="A7044" s="5" t="str">
        <f>"H0000643"</f>
        <v>H0000643</v>
      </c>
      <c r="B7044" s="5" t="str">
        <f>"FONENDOSCOPIO (ESTETOSCOPIO) PARA ADULTO"</f>
        <v>FONENDOSCOPIO (ESTETOSCOPIO) PARA ADULTO</v>
      </c>
      <c r="C7044" s="6">
        <v>22407.22</v>
      </c>
      <c r="D7044" s="5"/>
      <c r="E7044" s="5" t="str">
        <f t="shared" si="339"/>
        <v>URGENCIAS ADULTO-Jenny Peña</v>
      </c>
      <c r="F7044" s="5" t="str">
        <f>"Descripcion: FONENDOSCOPIO DOBLE MANGUERA  Estado: Bueno Placa anterior: 000004770 Material: METALICO Color: NEGRO Referencia:  Observacion:  Placa padre: Tipo adquisicion: Entidad"</f>
        <v>Descripcion: FONENDOSCOPIO DOBLE MANGUERA  Estado: Bueno Placa anterior: 000004770 Material: METALICO Color: NEGRO Referencia:  Observacion:  Placa padre: Tipo adquisicion: Entidad</v>
      </c>
      <c r="G7044" s="5"/>
    </row>
    <row r="7045" spans="1:7" ht="58.5" customHeight="1" x14ac:dyDescent="0.25">
      <c r="A7045" s="5" t="str">
        <f>"H0000698"</f>
        <v>H0000698</v>
      </c>
      <c r="B7045" s="5" t="str">
        <f>"FONENDOSCOPIO (ESTETOSCOPIO) PARA ADULTO"</f>
        <v>FONENDOSCOPIO (ESTETOSCOPIO) PARA ADULTO</v>
      </c>
      <c r="C7045" s="6">
        <v>19205.150000000001</v>
      </c>
      <c r="D7045" s="5"/>
      <c r="E7045" s="5" t="str">
        <f t="shared" si="339"/>
        <v>URGENCIAS ADULTO-Jenny Peña</v>
      </c>
      <c r="F7045" s="5" t="str">
        <f>"Descripcion: 1 MANGUERA Estado: Excelente Placa anterior: 000009463 Material: METALICO Color: NEGRO Referencia:  Observacion:  Placa padre: Tipo adquisicion: Entidad"</f>
        <v>Descripcion: 1 MANGUERA Estado: Excelente Placa anterior: 000009463 Material: METALICO Color: NEGRO Referencia:  Observacion:  Placa padre: Tipo adquisicion: Entidad</v>
      </c>
      <c r="G7045" s="5"/>
    </row>
    <row r="7046" spans="1:7" ht="58.5" customHeight="1" x14ac:dyDescent="0.25">
      <c r="A7046" s="5" t="str">
        <f>"H0000979"</f>
        <v>H0000979</v>
      </c>
      <c r="B7046" s="5" t="str">
        <f>"ATRIL PORTASUERO MOVIL"</f>
        <v>ATRIL PORTASUERO MOVIL</v>
      </c>
      <c r="C7046" s="6">
        <v>80005</v>
      </c>
      <c r="D7046" s="5" t="s">
        <v>164</v>
      </c>
      <c r="E7046" s="5" t="str">
        <f t="shared" si="339"/>
        <v>URGENCIAS ADULTO-Jenny Peña</v>
      </c>
      <c r="F7046" s="5" t="str">
        <f>"Descripcion:ATRIL PORTASUERO BASE EN PINTURA ELECTROESTATICA TUBO CROMADO Estado: Bueno Placa anterior: 000030472 Material: CROMADO Color:  Referencia:  Observacion:  Placa padre:  Tipo adquisicion : Entidad"</f>
        <v>Descripcion:ATRIL PORTASUERO BASE EN PINTURA ELECTROESTATICA TUBO CROMADO Estado: Bueno Placa anterior: 000030472 Material: CROMADO Color:  Referencia:  Observacion:  Placa padre:  Tipo adquisicion : Entidad</v>
      </c>
      <c r="G7046" s="5"/>
    </row>
    <row r="7047" spans="1:7" ht="58.5" customHeight="1" x14ac:dyDescent="0.25">
      <c r="A7047" s="5" t="str">
        <f>"H0001875"</f>
        <v>H0001875</v>
      </c>
      <c r="B7047" s="5" t="str">
        <f>"CAMA HOSPITALARIA ELECTRICA"</f>
        <v>CAMA HOSPITALARIA ELECTRICA</v>
      </c>
      <c r="C7047" s="6">
        <v>7110800</v>
      </c>
      <c r="D7047" s="5" t="s">
        <v>445</v>
      </c>
      <c r="E7047" s="5" t="str">
        <f t="shared" si="339"/>
        <v>URGENCIAS ADULTO-Jenny Peña</v>
      </c>
      <c r="F7047" s="5" t="str">
        <f>"Descripcion:CAMA ELECTRICA FABRICADA EN TUBERIA DE ACERO, ESQUINAS REDONDEADAS O CON PROTECTORES PLASTICOS, SISTEMA ANTIATRAPAMIENTO, TENDIDO DE CUATRO PLANOS, ATRIL PORTASUEROS, CON RUEDAS CON SISTEMA DE FRENOS, BARANDAS DE SEGURIDAD-INCLUYE COLCHON HOSP"&amp; "ITALARIO AN Estado: Excelente Placa anterior: 000037579 Material: METALICA Color: BEIGE Referencia:  Observacion:  Placa padre:  Tipo adquisicion : Entidad"</f>
        <v>Descripcion:CAMA ELECTRICA FABRICADA EN TUBERIA DE ACERO, ESQUINAS REDONDEADAS O CON PROTECTORES PLASTICOS, SISTEMA ANTIATRAPAMIENTO, TENDIDO DE CUATRO PLANOS, ATRIL PORTASUEROS, CON RUEDAS CON SISTEMA DE FRENOS, BARANDAS DE SEGURIDAD-INCLUYE COLCHON HOSPITALARIO AN Estado: Excelente Placa anterior: 000037579 Material: METALICA Color: BEIGE Referencia:  Observacion:  Placa padre:  Tipo adquisicion : Entidad</v>
      </c>
      <c r="G7047" s="5"/>
    </row>
    <row r="7048" spans="1:7" ht="58.5" customHeight="1" x14ac:dyDescent="0.25">
      <c r="A7048" s="5" t="str">
        <f>"H0002017"</f>
        <v>H0002017</v>
      </c>
      <c r="B7048" s="5" t="str">
        <f>"CARRO DE PARO"</f>
        <v>CARRO DE PARO</v>
      </c>
      <c r="C7048" s="6">
        <v>1682000</v>
      </c>
      <c r="D7048" s="5"/>
      <c r="E7048" s="5" t="str">
        <f t="shared" si="339"/>
        <v>URGENCIAS ADULTO-Jenny Peña</v>
      </c>
      <c r="F7048" s="5" t="str">
        <f>"Descripcion:CARRO DE PARO DE 4 GAVETAS CON BASE PARA MONITOR , CON RUEDAS Estado: Excelente Placa anterior: 000039051 Material: METALICA Y ACERO INOXIDABLE Color: CREMA Referencia:  Observacion: ESTAN EN SALA DE MQUINAS Placa padre:  Tipo adquisicion : En"&amp; "tidad"</f>
        <v>Descripcion:CARRO DE PARO DE 4 GAVETAS CON BASE PARA MONITOR , CON RUEDAS Estado: Excelente Placa anterior: 000039051 Material: METALICA Y ACERO INOXIDABLE Color: CREMA Referencia:  Observacion: ESTAN EN SALA DE MQUINAS Placa padre:  Tipo adquisicion : Entidad</v>
      </c>
      <c r="G7048" s="5"/>
    </row>
    <row r="7049" spans="1:7" ht="58.5" customHeight="1" x14ac:dyDescent="0.25">
      <c r="A7049" s="5" t="str">
        <f>"H0002668"</f>
        <v>H0002668</v>
      </c>
      <c r="B7049" s="5" t="str">
        <f>"ENRUTADOR (ROUTER) INALAMBRICO (ACCES POINT)"</f>
        <v>ENRUTADOR (ROUTER) INALAMBRICO (ACCES POINT)</v>
      </c>
      <c r="C7049" s="6">
        <v>323640</v>
      </c>
      <c r="D7049" s="5"/>
      <c r="E7049" s="5" t="str">
        <f t="shared" si="339"/>
        <v>URGENCIAS ADULTO-Jenny Peña</v>
      </c>
      <c r="F7049" s="5" t="str">
        <f>"Descripcion:INDOOR ACCESS POINT, 3 ANTENAS DE COLOR GRIS, CABLE DE RED, CARGADOR Estado: Excelente Placa anterior: 000037069 Material: PASTA Color: BLANCO Y GRIS Referencia:  Observacion:  Placa padre:  Tipo adquisicion : Entidad"</f>
        <v>Descripcion:INDOOR ACCESS POINT, 3 ANTENAS DE COLOR GRIS, CABLE DE RED, CARGADOR Estado: Excelente Placa anterior: 000037069 Material: PASTA Color: BLANCO Y GRIS Referencia:  Observacion:  Placa padre:  Tipo adquisicion : Entidad</v>
      </c>
      <c r="G7049" s="5" t="str">
        <f>"TL-WA901ND"</f>
        <v>TL-WA901ND</v>
      </c>
    </row>
    <row r="7050" spans="1:7" ht="58.5" customHeight="1" x14ac:dyDescent="0.25">
      <c r="A7050" s="5" t="str">
        <f>"H0002773"</f>
        <v>H0002773</v>
      </c>
      <c r="B7050" s="5" t="str">
        <f>"MONITOR DE SIGNOS VITALES"</f>
        <v>MONITOR DE SIGNOS VITALES</v>
      </c>
      <c r="C7050" s="6">
        <v>4002000</v>
      </c>
      <c r="D7050" s="5" t="s">
        <v>51</v>
      </c>
      <c r="E7050" s="5" t="str">
        <f t="shared" si="339"/>
        <v>URGENCIAS ADULTO-Jenny Peña</v>
      </c>
      <c r="F7050" s="5" t="str">
        <f>"Descripcion: EQUIPO PARA MEDICION DE SIGNOS VITALES, PANTALLA 10  MODELO SPOT, PRESION ARTERIAL (SISTOLICA, DIASTOLICA Y MEDIA) Y PULSO , WELCH ALLYN ACCESORIO: 1 BATERIA 1 ADAPTADOR 1 MANGUERA 2 BRAZALETES 2 CONECTORES Estado: Excelente Placa anterior: 0"&amp; "00028484 Material: PASTA Y CAUHO Color: GRIS CLARO Y GRIS OSCURO Referencia:  Observacion:  Placa padre: Tipo adquisicion: Donacion"</f>
        <v>Descripcion: EQUIPO PARA MEDICION DE SIGNOS VITALES, PANTALLA 10  MODELO SPOT, PRESION ARTERIAL (SISTOLICA, DIASTOLICA Y MEDIA) Y PULSO , WELCH ALLYN ACCESORIO: 1 BATERIA 1 ADAPTADOR 1 MANGUERA 2 BRAZALETES 2 CONECTORES Estado: Excelente Placa anterior: 000028484 Material: PASTA Y CAUHO Color: GRIS CLARO Y GRIS OSCURO Referencia:  Observacion:  Placa padre: Tipo adquisicion: Donacion</v>
      </c>
      <c r="G7050" s="5" t="str">
        <f>"IMEC10"</f>
        <v>IMEC10</v>
      </c>
    </row>
    <row r="7051" spans="1:7" ht="58.5" customHeight="1" x14ac:dyDescent="0.25">
      <c r="A7051" s="5" t="str">
        <f>"H0003928"</f>
        <v>H0003928</v>
      </c>
      <c r="B7051" s="5" t="str">
        <f>"MESA METALICA PARA COMPUTADOR"</f>
        <v>MESA METALICA PARA COMPUTADOR</v>
      </c>
      <c r="C7051" s="6">
        <v>144552</v>
      </c>
      <c r="D7051" s="5"/>
      <c r="E7051" s="5" t="str">
        <f t="shared" si="339"/>
        <v>URGENCIAS ADULTO-Jenny Peña</v>
      </c>
      <c r="F7051" s="5" t="str">
        <f>"Descripcion: MESA PARA COMPUTADOR REF.P-003TV1 GAVETA Estado: Bueno Placa anterior: 000000696 Material:  Color: BEIGE Referencia:  Observacion:  Placa padre: Tipo adquisicion: Entidad"</f>
        <v>Descripcion: MESA PARA COMPUTADOR REF.P-003TV1 GAVETA Estado: Bueno Placa anterior: 000000696 Material:  Color: BEIGE Referencia:  Observacion:  Placa padre: Tipo adquisicion: Entidad</v>
      </c>
      <c r="G7051" s="5"/>
    </row>
    <row r="7052" spans="1:7" ht="58.5" customHeight="1" x14ac:dyDescent="0.25">
      <c r="A7052" s="5" t="str">
        <f>"H0003934"</f>
        <v>H0003934</v>
      </c>
      <c r="B7052" s="5" t="str">
        <f>"MUEBLE DE MADERA"</f>
        <v>MUEBLE DE MADERA</v>
      </c>
      <c r="C7052" s="6">
        <v>18563.32</v>
      </c>
      <c r="D7052" s="5"/>
      <c r="E7052" s="5" t="str">
        <f t="shared" si="339"/>
        <v>URGENCIAS ADULTO-Jenny Peña</v>
      </c>
      <c r="F7052" s="5" t="str">
        <f>"Descripcion: ARCHIVADOR 7 ENTREPAÑOS42X85X45 Estado: Bueno Placa anterior: 000000302 Material: MADERA Color: GRIS Referencia:  Observacion:  Placa padre: Tipo adquisicion: Entidad"</f>
        <v>Descripcion: ARCHIVADOR 7 ENTREPAÑOS42X85X45 Estado: Bueno Placa anterior: 000000302 Material: MADERA Color: GRIS Referencia:  Observacion:  Placa padre: Tipo adquisicion: Entidad</v>
      </c>
      <c r="G7052" s="5"/>
    </row>
    <row r="7053" spans="1:7" ht="58.5" customHeight="1" x14ac:dyDescent="0.25">
      <c r="A7053" s="5" t="str">
        <f>"H0005170"</f>
        <v>H0005170</v>
      </c>
      <c r="B7053" s="5" t="str">
        <f>"COMPUTADOR TODO EN UNO"</f>
        <v>COMPUTADOR TODO EN UNO</v>
      </c>
      <c r="C7053" s="6">
        <v>1200000</v>
      </c>
      <c r="D7053" s="5" t="s">
        <v>2</v>
      </c>
      <c r="E7053" s="5" t="str">
        <f t="shared" si="339"/>
        <v>URGENCIAS ADULTO-Jenny Peña</v>
      </c>
      <c r="F7053" s="5" t="str">
        <f>"Descripcion: 20 PULGADAS Intel pentiun G645 (2.9 Ghz/3MB/2 nucleos) memoria RAM 4GB DDR3-1600 SODIMM (1X4GB) Disco duro 500GB 7200 RPMSATA-6G Multi DVD/RM Licencia win 8 pro 64 Downgrade to Win 7 pro 64 o supervisor USB Keyboard Usbe Optical, m Estado: Ex"&amp; "celente Placa anterior: 000030794 Material: PLASTICO Color: NEGRO Referencia: C9K24LT#ABM Observacion:  Placa anterior:, Placa nueva=H0005171, Descripcion:., Serial:BCZZN0BVB4C3S1, Marca:HP, Modelo:KU-1156, Material:PLASTICO, Color:NEGRO,   Referencia:672"&amp; "647-162 LA, Placa anterior:, Placa nueva=H0005172, Descripcion:OPTICO, Serial:674316-001, Marca:HP, Modelo:APOLLO-OU, Material:PLASTICO, Color:NEGRO,   Referencia:672652-001 FCMHH0CAU4F8RM Placa padre: Tipo adquisicion: Entidad"</f>
        <v>Descripcion: 20 PULGADAS Intel pentiun G645 (2.9 Ghz/3MB/2 nucleos) memoria RAM 4GB DDR3-1600 SODIMM (1X4GB) Disco duro 500GB 7200 RPMSATA-6G Multi DVD/RM Licencia win 8 pro 64 Downgrade to Win 7 pro 64 o supervisor USB Keyboard Usbe Optical, m Estado: Excelente Placa anterior: 000030794 Material: PLASTICO Color: NEGRO Referencia: C9K24LT#ABM Observacion:  Placa anterior:, Placa nueva=H0005171, Descripcion:., Serial:BCZZN0BVB4C3S1, Marca:HP, Modelo:KU-1156, Material:PLASTICO, Color:NEGRO,   Referencia:672647-162 LA, Placa anterior:, Placa nueva=H0005172, Descripcion:OPTICO, Serial:674316-001, Marca:HP, Modelo:APOLLO-OU, Material:PLASTICO, Color:NEGRO,   Referencia:672652-001 FCMHH0CAU4F8RM Placa padre: Tipo adquisicion: Entidad</v>
      </c>
      <c r="G7053" s="5" t="str">
        <f>"HP COMPAQ 4300"</f>
        <v>HP COMPAQ 4300</v>
      </c>
    </row>
    <row r="7054" spans="1:7" ht="58.5" customHeight="1" x14ac:dyDescent="0.25">
      <c r="A7054" s="5" t="str">
        <f>"H0005541"</f>
        <v>H0005541</v>
      </c>
      <c r="B7054" s="5" t="str">
        <f>"CAMILLA FIJA (TIPO DIVAN)"</f>
        <v>CAMILLA FIJA (TIPO DIVAN)</v>
      </c>
      <c r="C7054" s="6">
        <v>23320</v>
      </c>
      <c r="D7054" s="5"/>
      <c r="E7054" s="5" t="str">
        <f t="shared" si="339"/>
        <v>URGENCIAS ADULTO-Jenny Peña</v>
      </c>
      <c r="F7054" s="5" t="str">
        <f>"Descripcion:CAMILLA FIJA  CAMILLA TUBULAR, COLCHON ADERIDO A LA PARTE METALICA DIMENSIONES: 80X180X55 CM Estado: Bueno Placa anterior: 000008356 Material: METALICA Y CUERINA Color: GRIS Y NEGRO Referencia:  Observacion:  Placa padre:  Tipo adquisicion : E"&amp; "ntidad"</f>
        <v>Descripcion:CAMILLA FIJA  CAMILLA TUBULAR, COLCHON ADERIDO A LA PARTE METALICA DIMENSIONES: 80X180X55 CM Estado: Bueno Placa anterior: 000008356 Material: METALICA Y CUERINA Color: GRIS Y NEGRO Referencia:  Observacion:  Placa padre:  Tipo adquisicion : Entidad</v>
      </c>
      <c r="G7054" s="5"/>
    </row>
    <row r="7055" spans="1:7" ht="58.5" customHeight="1" x14ac:dyDescent="0.25">
      <c r="A7055" s="5" t="str">
        <f>"H0005545"</f>
        <v>H0005545</v>
      </c>
      <c r="B7055" s="5" t="str">
        <f>"CAMILLA FIJA (TIPO DIVAN)"</f>
        <v>CAMILLA FIJA (TIPO DIVAN)</v>
      </c>
      <c r="C7055" s="6">
        <v>23320</v>
      </c>
      <c r="D7055" s="5"/>
      <c r="E7055" s="5" t="str">
        <f t="shared" si="339"/>
        <v>URGENCIAS ADULTO-Jenny Peña</v>
      </c>
      <c r="F7055" s="5" t="str">
        <f>"Descripcion:CAMILLA TUBULAR, COLCHON ADERIDO A LA PARTE METALICA, DIM: 80X180X55 CM Estado: Bueno Placa anterior: 000008425 Material: METALICAS Y CUERINA Color: GRIS Y NEGRO Referencia:  Observacion:  Placa padre:  Tipo adquisicion : Entidad"</f>
        <v>Descripcion:CAMILLA TUBULAR, COLCHON ADERIDO A LA PARTE METALICA, DIM: 80X180X55 CM Estado: Bueno Placa anterior: 000008425 Material: METALICAS Y CUERINA Color: GRIS Y NEGRO Referencia:  Observacion:  Placa padre:  Tipo adquisicion : Entidad</v>
      </c>
      <c r="G7055" s="5"/>
    </row>
    <row r="7056" spans="1:7" ht="58.5" customHeight="1" x14ac:dyDescent="0.25">
      <c r="A7056" s="5" t="str">
        <f>"H0005555"</f>
        <v>H0005555</v>
      </c>
      <c r="B7056" s="5" t="str">
        <f>"ESCALERILLA DE 2 PASOS"</f>
        <v>ESCALERILLA DE 2 PASOS</v>
      </c>
      <c r="C7056" s="6">
        <v>4455</v>
      </c>
      <c r="D7056" s="5"/>
      <c r="E7056" s="5" t="str">
        <f t="shared" si="339"/>
        <v>URGENCIAS ADULTO-Jenny Peña</v>
      </c>
      <c r="F7056" s="5" t="str">
        <f>"Descripcion:ESCALA TIPO B (2 PASOS) Estado: Bueno Placa anterior: 000008382 Material: METALICO Y FORMICA Color: GRIS Y NEGRO Referencia:  Observacion:  Placa padre:  Tipo adquisicion : Entidad"</f>
        <v>Descripcion:ESCALA TIPO B (2 PASOS) Estado: Bueno Placa anterior: 000008382 Material: METALICO Y FORMICA Color: GRIS Y NEGRO Referencia:  Observacion:  Placa padre:  Tipo adquisicion : Entidad</v>
      </c>
      <c r="G7056" s="5"/>
    </row>
    <row r="7057" spans="1:7" ht="58.5" customHeight="1" x14ac:dyDescent="0.25">
      <c r="A7057" s="5" t="str">
        <f>"H0005559"</f>
        <v>H0005559</v>
      </c>
      <c r="B7057" s="5" t="str">
        <f>"SILLA INTERLOCUTORA (FIJA) SIN BRAZOS"</f>
        <v>SILLA INTERLOCUTORA (FIJA) SIN BRAZOS</v>
      </c>
      <c r="C7057" s="6">
        <v>5610</v>
      </c>
      <c r="D7057" s="5"/>
      <c r="E7057" s="5" t="str">
        <f t="shared" si="339"/>
        <v>URGENCIAS ADULTO-Jenny Peña</v>
      </c>
      <c r="F7057" s="5" t="str">
        <f>"Descripcion:SILLA FIJA SIN BRAZOS. TAPIZADA EN CUERINA Estado: Bueno Placa anterior: 000008279 Material: METALICO Y CUERINA Color: GRIS  Referencia:  Observacion:  Placa padre:  Tipo adquisicion : Entidad"</f>
        <v>Descripcion:SILLA FIJA SIN BRAZOS. TAPIZADA EN CUERINA Estado: Bueno Placa anterior: 000008279 Material: METALICO Y CUERINA Color: GRIS  Referencia:  Observacion:  Placa padre:  Tipo adquisicion : Entidad</v>
      </c>
      <c r="G7057" s="5"/>
    </row>
    <row r="7058" spans="1:7" ht="58.5" customHeight="1" x14ac:dyDescent="0.25">
      <c r="A7058" s="5" t="str">
        <f>"H0005560"</f>
        <v>H0005560</v>
      </c>
      <c r="B7058" s="5" t="str">
        <f>"SILLA INTERLOCUTORA (FIJA) SIN BRAZOS"</f>
        <v>SILLA INTERLOCUTORA (FIJA) SIN BRAZOS</v>
      </c>
      <c r="C7058" s="6">
        <v>5610</v>
      </c>
      <c r="D7058" s="5"/>
      <c r="E7058" s="5" t="str">
        <f t="shared" si="339"/>
        <v>URGENCIAS ADULTO-Jenny Peña</v>
      </c>
      <c r="F7058" s="5" t="str">
        <f>"Descripcion:SILLA FIJA SIN BRAZOS COLOR MARRON. SILLA TAPIZADA EN CUERINA Estado: Bueno Placa anterior: 000008280 Material: METALICO Y CUERINA Color: GRIS Y MARRON Referencia:  Observacion:  Placa padre:  Tipo adquisicion : Entidad"</f>
        <v>Descripcion:SILLA FIJA SIN BRAZOS COLOR MARRON. SILLA TAPIZADA EN CUERINA Estado: Bueno Placa anterior: 000008280 Material: METALICO Y CUERINA Color: GRIS Y MARRON Referencia:  Observacion:  Placa padre:  Tipo adquisicion : Entidad</v>
      </c>
      <c r="G7058" s="5"/>
    </row>
    <row r="7059" spans="1:7" ht="58.5" customHeight="1" x14ac:dyDescent="0.25">
      <c r="A7059" s="5" t="str">
        <f>"H0005563"</f>
        <v>H0005563</v>
      </c>
      <c r="B7059" s="5" t="str">
        <f>"MESA METALICA"</f>
        <v>MESA METALICA</v>
      </c>
      <c r="C7059" s="6">
        <v>18975</v>
      </c>
      <c r="D7059" s="5"/>
      <c r="E7059" s="5" t="str">
        <f t="shared" si="339"/>
        <v>URGENCIAS ADULTO-Jenny Peña</v>
      </c>
      <c r="F7059" s="5" t="str">
        <f>"Descripcion:MESA METALICA  CUBIERTA EN FORMICA. DIMENSINES: 74X70X70 CM Estado: Bueno Placa anterior: 000008387 Material: METALICA Y FORMICA  Color: GRIS Y FORMICA Referencia:  Observacion:  Placa padre:  Tipo adquisicion : Entidad"</f>
        <v>Descripcion:MESA METALICA  CUBIERTA EN FORMICA. DIMENSINES: 74X70X70 CM Estado: Bueno Placa anterior: 000008387 Material: METALICA Y FORMICA  Color: GRIS Y FORMICA Referencia:  Observacion:  Placa padre:  Tipo adquisicion : Entidad</v>
      </c>
      <c r="G7059" s="5"/>
    </row>
    <row r="7060" spans="1:7" ht="58.5" customHeight="1" x14ac:dyDescent="0.25">
      <c r="A7060" s="5" t="str">
        <f>"H0005568"</f>
        <v>H0005568</v>
      </c>
      <c r="B7060" s="5" t="str">
        <f>"MESA METALICA"</f>
        <v>MESA METALICA</v>
      </c>
      <c r="C7060" s="6">
        <v>18975</v>
      </c>
      <c r="D7060" s="5"/>
      <c r="E7060" s="5" t="str">
        <f t="shared" si="339"/>
        <v>URGENCIAS ADULTO-Jenny Peña</v>
      </c>
      <c r="F7060" s="5" t="str">
        <f>"Descripcion:MESA METALICA  CUBIERTA EN FORMICA. DIMENSINES: 74X70X70 CM Estado: Bueno Placa anterior: 000008423 Material: METALICA Y FORMICA Color: GRIS Y FORMICA Referencia:  Observacion:  Placa padre:  Tipo adquisicion : Entidad"</f>
        <v>Descripcion:MESA METALICA  CUBIERTA EN FORMICA. DIMENSINES: 74X70X70 CM Estado: Bueno Placa anterior: 000008423 Material: METALICA Y FORMICA Color: GRIS Y FORMICA Referencia:  Observacion:  Placa padre:  Tipo adquisicion : Entidad</v>
      </c>
      <c r="G7060" s="5"/>
    </row>
    <row r="7061" spans="1:7" ht="58.5" customHeight="1" x14ac:dyDescent="0.25">
      <c r="A7061" s="5" t="str">
        <f>"H0005669"</f>
        <v>H0005669</v>
      </c>
      <c r="B7061" s="5" t="str">
        <f>"NEVERA DE 66 LTS"</f>
        <v>NEVERA DE 66 LTS</v>
      </c>
      <c r="C7061" s="6">
        <v>379599.84</v>
      </c>
      <c r="D7061" s="5"/>
      <c r="E7061" s="5" t="str">
        <f t="shared" si="339"/>
        <v>URGENCIAS ADULTO-Jenny Peña</v>
      </c>
      <c r="F7061" s="5" t="str">
        <f>"Descripcion:NEVERA MCA PHILIPS ESTANDAR. 4 PIES Estado: Bueno Placa anterior: 000008294 Material: LAMINA COLD ROLL Color: BEIS Referencia:  Observacion: NO SE LE APRECIA EL MODELO Placa padre:  Tipo adquisicion : Entidad"</f>
        <v>Descripcion:NEVERA MCA PHILIPS ESTANDAR. 4 PIES Estado: Bueno Placa anterior: 000008294 Material: LAMINA COLD ROLL Color: BEIS Referencia:  Observacion: NO SE LE APRECIA EL MODELO Placa padre:  Tipo adquisicion : Entidad</v>
      </c>
      <c r="G7061" s="5"/>
    </row>
    <row r="7062" spans="1:7" ht="58.5" customHeight="1" x14ac:dyDescent="0.25">
      <c r="A7062" s="5" t="str">
        <f>"H0005696"</f>
        <v>H0005696</v>
      </c>
      <c r="B7062" s="5" t="str">
        <f>"SILLA INTERLOCUTORA (FIJA) CON BRAZOS"</f>
        <v>SILLA INTERLOCUTORA (FIJA) CON BRAZOS</v>
      </c>
      <c r="C7062" s="6">
        <v>10120</v>
      </c>
      <c r="D7062" s="5"/>
      <c r="E7062" s="5" t="str">
        <f t="shared" si="339"/>
        <v>URGENCIAS ADULTO-Jenny Peña</v>
      </c>
      <c r="F7062" s="5" t="str">
        <f>"Descripcion:SILLA TIPO D (FIJA CON BRAZOS) TAPIZADA EN CUERINA Estado: Regular Placa anterior: 000008298 Material: METALICO Y CUERINA Color: GRIS Y MARRON Referencia:  Observacion: NO PRESENTA UN BRAZO Placa padre:  Tipo adquisicion : Entidad"</f>
        <v>Descripcion:SILLA TIPO D (FIJA CON BRAZOS) TAPIZADA EN CUERINA Estado: Regular Placa anterior: 000008298 Material: METALICO Y CUERINA Color: GRIS Y MARRON Referencia:  Observacion: NO PRESENTA UN BRAZO Placa padre:  Tipo adquisicion : Entidad</v>
      </c>
      <c r="G7062" s="5"/>
    </row>
    <row r="7063" spans="1:7" ht="58.5" customHeight="1" x14ac:dyDescent="0.25">
      <c r="A7063" s="5" t="str">
        <f>"H0005701"</f>
        <v>H0005701</v>
      </c>
      <c r="B7063" s="5" t="str">
        <f>"SILLA INTERLOCUTORA (FIJA) SIN BRAZOS"</f>
        <v>SILLA INTERLOCUTORA (FIJA) SIN BRAZOS</v>
      </c>
      <c r="C7063" s="6">
        <v>5610</v>
      </c>
      <c r="D7063" s="5"/>
      <c r="E7063" s="5" t="str">
        <f t="shared" si="339"/>
        <v>URGENCIAS ADULTO-Jenny Peña</v>
      </c>
      <c r="F7063" s="5" t="str">
        <f>"Descripcion:SILLA FIJA SIN BRAZOS COLOR MARRON. SILLA TAPIZADA EN CUERINA Estado: Bueno Placa anterior: 000008318 Material: METALICO Y CUERINA Color: GRIS Y MARRON Referencia:  Observacion:  Placa padre:  Tipo adquisicion : Entidad"</f>
        <v>Descripcion:SILLA FIJA SIN BRAZOS COLOR MARRON. SILLA TAPIZADA EN CUERINA Estado: Bueno Placa anterior: 000008318 Material: METALICO Y CUERINA Color: GRIS Y MARRON Referencia:  Observacion:  Placa padre:  Tipo adquisicion : Entidad</v>
      </c>
      <c r="G7063" s="5"/>
    </row>
    <row r="7064" spans="1:7" ht="58.5" customHeight="1" x14ac:dyDescent="0.25">
      <c r="A7064" s="5" t="str">
        <f>"H0006110"</f>
        <v>H0006110</v>
      </c>
      <c r="B7064" s="5" t="str">
        <f t="shared" ref="B7064:B7070" si="340">"SILLA DE RUEDAS"</f>
        <v>SILLA DE RUEDAS</v>
      </c>
      <c r="C7064" s="6">
        <v>175070.84</v>
      </c>
      <c r="D7064" s="5"/>
      <c r="E7064" s="5" t="str">
        <f t="shared" si="339"/>
        <v>URGENCIAS ADULTO-Jenny Peña</v>
      </c>
      <c r="F7064" s="5" t="str">
        <f>"Descripcion: SILLA DE RUEDAS  Estado: Bueno Placa anterior: 000019411 Material: MATELICA Color: NEGRO Referencia:  Observacion: FALTAN DOS POSAPIES Placa padre: Tipo adquisicion: Entidad"</f>
        <v>Descripcion: SILLA DE RUEDAS  Estado: Bueno Placa anterior: 000019411 Material: MATELICA Color: NEGRO Referencia:  Observacion: FALTAN DOS POSAPIES Placa padre: Tipo adquisicion: Entidad</v>
      </c>
      <c r="G7064" s="5"/>
    </row>
    <row r="7065" spans="1:7" ht="58.5" customHeight="1" x14ac:dyDescent="0.25">
      <c r="A7065" s="5" t="str">
        <f>"H0006111"</f>
        <v>H0006111</v>
      </c>
      <c r="B7065" s="5" t="str">
        <f t="shared" si="340"/>
        <v>SILLA DE RUEDAS</v>
      </c>
      <c r="C7065" s="6">
        <v>650000</v>
      </c>
      <c r="D7065" s="5"/>
      <c r="E7065" s="5" t="str">
        <f t="shared" si="339"/>
        <v>URGENCIAS ADULTO-Jenny Peña</v>
      </c>
      <c r="F7065" s="5" t="str">
        <f>"Descripcion: SILLA DE RUEDA ADULTO ESTANDAR CON BRAZOS Y DESCANSAPIES DESMONTABLES CON MARCO PLEGABLE CALIBRE 18 DE 7/8 Estado: Bueno Placa anterior: 000026225 Material: AZUL Color: LORD Referencia:  Observacion:  Placa padre: Tipo adquisicion: Entidad"</f>
        <v>Descripcion: SILLA DE RUEDA ADULTO ESTANDAR CON BRAZOS Y DESCANSAPIES DESMONTABLES CON MARCO PLEGABLE CALIBRE 18 DE 7/8 Estado: Bueno Placa anterior: 000026225 Material: AZUL Color: LORD Referencia:  Observacion:  Placa padre: Tipo adquisicion: Entidad</v>
      </c>
      <c r="G7065" s="5"/>
    </row>
    <row r="7066" spans="1:7" ht="58.5" customHeight="1" x14ac:dyDescent="0.25">
      <c r="A7066" s="5" t="str">
        <f>"H0006112"</f>
        <v>H0006112</v>
      </c>
      <c r="B7066" s="5" t="str">
        <f t="shared" si="340"/>
        <v>SILLA DE RUEDAS</v>
      </c>
      <c r="C7066" s="6">
        <v>650000</v>
      </c>
      <c r="D7066" s="5"/>
      <c r="E7066" s="5" t="str">
        <f t="shared" si="339"/>
        <v>URGENCIAS ADULTO-Jenny Peña</v>
      </c>
      <c r="F7066" s="5" t="str">
        <f>"Descripcion: SILLA DE RUEDA ADULTO ESTANDAR CON BRAZOS Y DESCANSAPIES DESMONTABLES CON MARCO PLEGABLE CALIBRE 18 DE 7/8 Estado: Bueno Placa anterior: 000029007 Material: AZUL Color: LORD Referencia:  Observacion:  Placa padre: Tipo adquisicion: Entidad"</f>
        <v>Descripcion: SILLA DE RUEDA ADULTO ESTANDAR CON BRAZOS Y DESCANSAPIES DESMONTABLES CON MARCO PLEGABLE CALIBRE 18 DE 7/8 Estado: Bueno Placa anterior: 000029007 Material: AZUL Color: LORD Referencia:  Observacion:  Placa padre: Tipo adquisicion: Entidad</v>
      </c>
      <c r="G7066" s="5"/>
    </row>
    <row r="7067" spans="1:7" ht="58.5" customHeight="1" x14ac:dyDescent="0.25">
      <c r="A7067" s="5" t="str">
        <f>"H0006113"</f>
        <v>H0006113</v>
      </c>
      <c r="B7067" s="5" t="str">
        <f t="shared" si="340"/>
        <v>SILLA DE RUEDAS</v>
      </c>
      <c r="C7067" s="6">
        <v>175070.84</v>
      </c>
      <c r="D7067" s="5"/>
      <c r="E7067" s="5" t="str">
        <f t="shared" si="339"/>
        <v>URGENCIAS ADULTO-Jenny Peña</v>
      </c>
      <c r="F7067" s="5" t="str">
        <f>"Descripcion: SILLA DE RUEDAS  Estado: Bueno Placa anterior: 000019412 Material: MATELICA Color: NEGRO Referencia:  Observacion: FALTAN DOS POSAPIES Placa padre: Tipo adquisicion: Entidad"</f>
        <v>Descripcion: SILLA DE RUEDAS  Estado: Bueno Placa anterior: 000019412 Material: MATELICA Color: NEGRO Referencia:  Observacion: FALTAN DOS POSAPIES Placa padre: Tipo adquisicion: Entidad</v>
      </c>
      <c r="G7067" s="5"/>
    </row>
    <row r="7068" spans="1:7" ht="58.5" customHeight="1" x14ac:dyDescent="0.25">
      <c r="A7068" s="5" t="str">
        <f>"H0006114"</f>
        <v>H0006114</v>
      </c>
      <c r="B7068" s="5" t="str">
        <f t="shared" si="340"/>
        <v>SILLA DE RUEDAS</v>
      </c>
      <c r="C7068" s="6">
        <v>175070.84</v>
      </c>
      <c r="D7068" s="5"/>
      <c r="E7068" s="5" t="str">
        <f t="shared" si="339"/>
        <v>URGENCIAS ADULTO-Jenny Peña</v>
      </c>
      <c r="F7068" s="5" t="str">
        <f>"Descripcion: SILLA DE RUEDAS  Estado: Malo Placa anterior: 000021407 Material: MATELICA Color: NEGRO Referencia:  Observacion: FALTAN DOS POSAPIES Placa padre: Tipo adquisicion: Entidad"</f>
        <v>Descripcion: SILLA DE RUEDAS  Estado: Malo Placa anterior: 000021407 Material: MATELICA Color: NEGRO Referencia:  Observacion: FALTAN DOS POSAPIES Placa padre: Tipo adquisicion: Entidad</v>
      </c>
      <c r="G7068" s="5"/>
    </row>
    <row r="7069" spans="1:7" ht="58.5" customHeight="1" x14ac:dyDescent="0.25">
      <c r="A7069" s="5" t="str">
        <f>"H0006115"</f>
        <v>H0006115</v>
      </c>
      <c r="B7069" s="5" t="str">
        <f t="shared" si="340"/>
        <v>SILLA DE RUEDAS</v>
      </c>
      <c r="C7069" s="6">
        <v>380000</v>
      </c>
      <c r="D7069" s="5" t="s">
        <v>56</v>
      </c>
      <c r="E7069" s="5" t="str">
        <f t="shared" si="339"/>
        <v>URGENCIAS ADULTO-Jenny Peña</v>
      </c>
      <c r="F7069" s="5" t="str">
        <f>"Descripcion: SILLA DE RUEDA ADULTO ESTANDAR CON BRAZOS Y DESCANSAPIES DESMONTABLES CON MARCO PLEGABLE CALIBRE 18 DE 7/8 Estado: Bueno Placa anterior: 000031169 Material: METALICA Color: NEGRO Referencia:  Observacion: FALTAN UN POSAPIES Placa padre: Tipo "&amp; "adquisicion: Entidad"</f>
        <v>Descripcion: SILLA DE RUEDA ADULTO ESTANDAR CON BRAZOS Y DESCANSAPIES DESMONTABLES CON MARCO PLEGABLE CALIBRE 18 DE 7/8 Estado: Bueno Placa anterior: 000031169 Material: METALICA Color: NEGRO Referencia:  Observacion: FALTAN UN POSAPIES Placa padre: Tipo adquisicion: Entidad</v>
      </c>
      <c r="G7069" s="5"/>
    </row>
    <row r="7070" spans="1:7" ht="58.5" customHeight="1" x14ac:dyDescent="0.25">
      <c r="A7070" s="5" t="str">
        <f>"H0006116"</f>
        <v>H0006116</v>
      </c>
      <c r="B7070" s="5" t="str">
        <f t="shared" si="340"/>
        <v>SILLA DE RUEDAS</v>
      </c>
      <c r="C7070" s="6">
        <v>60000</v>
      </c>
      <c r="D7070" s="5" t="s">
        <v>55</v>
      </c>
      <c r="E7070" s="5" t="str">
        <f t="shared" si="339"/>
        <v>URGENCIAS ADULTO-Jenny Peña</v>
      </c>
      <c r="F7070" s="5" t="str">
        <f>"Descripcion: SILLA DE RUEDAS  Estado: Bueno Placa anterior: 000030297 Material: MATELICA Color: NEGRO Referencia:  Observacion: FALTAN DOS POSAPIES Placa padre: Tipo adquisicion: Entidad"</f>
        <v>Descripcion: SILLA DE RUEDAS  Estado: Bueno Placa anterior: 000030297 Material: MATELICA Color: NEGRO Referencia:  Observacion: FALTAN DOS POSAPIES Placa padre: Tipo adquisicion: Entidad</v>
      </c>
      <c r="G7070" s="5"/>
    </row>
    <row r="7071" spans="1:7" ht="58.5" customHeight="1" x14ac:dyDescent="0.25">
      <c r="A7071" s="5" t="str">
        <f>"H0006124"</f>
        <v>H0006124</v>
      </c>
      <c r="B7071" s="5" t="str">
        <f>"PUESTO DE TRABAJO EN L CON 3 GAVETAS"</f>
        <v>PUESTO DE TRABAJO EN L CON 3 GAVETAS</v>
      </c>
      <c r="C7071" s="6">
        <v>15685.33</v>
      </c>
      <c r="D7071" s="5"/>
      <c r="E7071" s="5" t="str">
        <f t="shared" si="339"/>
        <v>URGENCIAS ADULTO-Jenny Peña</v>
      </c>
      <c r="F7071" s="5" t="str">
        <f>"Descripcion: PUESTO DE TRABAJO EN L CON 3 GAVETAS DIM: 74X150X140X60 Estado: Bueno Placa anterior: 000019677 Material: MADERA Color: MADERA CLARO Referencia:  Observacion:  Placa padre: Tipo adquisicion: Entidad"</f>
        <v>Descripcion: PUESTO DE TRABAJO EN L CON 3 GAVETAS DIM: 74X150X140X60 Estado: Bueno Placa anterior: 000019677 Material: MADERA Color: MADERA CLARO Referencia:  Observacion:  Placa padre: Tipo adquisicion: Entidad</v>
      </c>
      <c r="G7071" s="5"/>
    </row>
    <row r="7072" spans="1:7" ht="58.5" customHeight="1" x14ac:dyDescent="0.25">
      <c r="A7072" s="5" t="str">
        <f>"H0006126"</f>
        <v>H0006126</v>
      </c>
      <c r="B7072" s="5" t="str">
        <f>"MESA (CARRO) DE CURACIONES"</f>
        <v>MESA (CARRO) DE CURACIONES</v>
      </c>
      <c r="C7072" s="6">
        <v>27500</v>
      </c>
      <c r="D7072" s="5"/>
      <c r="E7072" s="5" t="str">
        <f t="shared" si="339"/>
        <v>URGENCIAS ADULTO-Jenny Peña</v>
      </c>
      <c r="F7072" s="5" t="str">
        <f>"Descripcion: MESA (CARRO) DE CURACIONES CON RODACHINAS Estado: Bueno Placa anterior: 000019714 Material: METAL Color: VERDE Referencia:  Observacion:  Placa padre: Tipo adquisicion: Entidad"</f>
        <v>Descripcion: MESA (CARRO) DE CURACIONES CON RODACHINAS Estado: Bueno Placa anterior: 000019714 Material: METAL Color: VERDE Referencia:  Observacion:  Placa padre: Tipo adquisicion: Entidad</v>
      </c>
      <c r="G7072" s="5"/>
    </row>
    <row r="7073" spans="1:7" ht="58.5" customHeight="1" x14ac:dyDescent="0.25">
      <c r="A7073" s="5" t="str">
        <f>"H0006127"</f>
        <v>H0006127</v>
      </c>
      <c r="B7073" s="5" t="str">
        <f>"MESA DE NOCHE"</f>
        <v>MESA DE NOCHE</v>
      </c>
      <c r="C7073" s="6">
        <v>327586</v>
      </c>
      <c r="D7073" s="5"/>
      <c r="E7073" s="5" t="str">
        <f t="shared" si="339"/>
        <v>URGENCIAS ADULTO-Jenny Peña</v>
      </c>
      <c r="F7073" s="5" t="str">
        <f>"Descripcion: MESA DE NOCHE EN ACERO Estado: Bueno Placa anterior: 000033039 Material: ACERO INOXIDABLE Color: PLATEADO Referencia:  Observacion:  Placa padre: Tipo adquisicion: Entidad"</f>
        <v>Descripcion: MESA DE NOCHE EN ACERO Estado: Bueno Placa anterior: 000033039 Material: ACERO INOXIDABLE Color: PLATEADO Referencia:  Observacion:  Placa padre: Tipo adquisicion: Entidad</v>
      </c>
      <c r="G7073" s="5"/>
    </row>
    <row r="7074" spans="1:7" ht="58.5" customHeight="1" x14ac:dyDescent="0.25">
      <c r="A7074" s="5" t="str">
        <f>"H0006128"</f>
        <v>H0006128</v>
      </c>
      <c r="B7074" s="5" t="str">
        <f>"ATRIL PORTASUERO MOVIL"</f>
        <v>ATRIL PORTASUERO MOVIL</v>
      </c>
      <c r="C7074" s="6">
        <v>210000</v>
      </c>
      <c r="D7074" s="5" t="s">
        <v>50</v>
      </c>
      <c r="E7074" s="5" t="str">
        <f t="shared" si="339"/>
        <v>URGENCIAS ADULTO-Jenny Peña</v>
      </c>
      <c r="F7074" s="5" t="str">
        <f>"Descripcion: ATRIL PORTASUERO CON RODACHINAS Estado: Bueno Placa anterior: 000029690 Material: CROMADO Color: PLATEADO Referencia:  Observacion:  Placa padre: Tipo adquisicion: Entidad"</f>
        <v>Descripcion: ATRIL PORTASUERO CON RODACHINAS Estado: Bueno Placa anterior: 000029690 Material: CROMADO Color: PLATEADO Referencia:  Observacion:  Placa padre: Tipo adquisicion: Entidad</v>
      </c>
      <c r="G7074" s="5"/>
    </row>
    <row r="7075" spans="1:7" ht="58.5" customHeight="1" x14ac:dyDescent="0.25">
      <c r="A7075" s="5" t="str">
        <f>"H0006129"</f>
        <v>H0006129</v>
      </c>
      <c r="B7075" s="5" t="str">
        <f>"NEGATOSCOPIO"</f>
        <v>NEGATOSCOPIO</v>
      </c>
      <c r="C7075" s="6">
        <v>700000</v>
      </c>
      <c r="D7075" s="5"/>
      <c r="E7075" s="5" t="str">
        <f t="shared" si="339"/>
        <v>URGENCIAS ADULTO-Jenny Peña</v>
      </c>
      <c r="F7075" s="5" t="str">
        <f>"Descripcion: NEGATOSCOPIO DOBLE EN LAMINA GALVANIZADA Estado: Bueno Placa anterior: 000033311 Material: PLASTICO Y GALVANIZADO Color: BLANCO Referencia:  Observacion:  Placa padre: Tipo adquisicion: Entidad"</f>
        <v>Descripcion: NEGATOSCOPIO DOBLE EN LAMINA GALVANIZADA Estado: Bueno Placa anterior: 000033311 Material: PLASTICO Y GALVANIZADO Color: BLANCO Referencia:  Observacion:  Placa padre: Tipo adquisicion: Entidad</v>
      </c>
      <c r="G7075" s="5"/>
    </row>
    <row r="7076" spans="1:7" ht="58.5" customHeight="1" x14ac:dyDescent="0.25">
      <c r="A7076" s="5" t="str">
        <f>"H0006130"</f>
        <v>H0006130</v>
      </c>
      <c r="B7076" s="5" t="str">
        <f>"POTE (TARRO) ACERO INXODABLE CON TAPA GRANDE"</f>
        <v>POTE (TARRO) ACERO INXODABLE CON TAPA GRANDE</v>
      </c>
      <c r="C7076" s="6">
        <v>19173.189999999999</v>
      </c>
      <c r="D7076" s="5"/>
      <c r="E7076" s="5" t="str">
        <f t="shared" si="339"/>
        <v>URGENCIAS ADULTO-Jenny Peña</v>
      </c>
      <c r="F7076" s="5" t="str">
        <f>"Descripcion: POTE (TARRO) ACERO INXODABLE CON TAPA GRANDE Estado: Bueno Placa anterior: 000019828 Material: ACERO INOXIDABLE Color: PLATEADO Referencia:  Observacion:  Placa padre: Tipo adquisicion: Entidad"</f>
        <v>Descripcion: POTE (TARRO) ACERO INXODABLE CON TAPA GRANDE Estado: Bueno Placa anterior: 000019828 Material: ACERO INOXIDABLE Color: PLATEADO Referencia:  Observacion:  Placa padre: Tipo adquisicion: Entidad</v>
      </c>
      <c r="G7076" s="5"/>
    </row>
    <row r="7077" spans="1:7" ht="58.5" customHeight="1" x14ac:dyDescent="0.25">
      <c r="A7077" s="5" t="str">
        <f>"H0006134"</f>
        <v>H0006134</v>
      </c>
      <c r="B7077" s="5" t="str">
        <f>"PATO (COPROLOGICO) MUJER"</f>
        <v>PATO (COPROLOGICO) MUJER</v>
      </c>
      <c r="C7077" s="6">
        <v>47823</v>
      </c>
      <c r="D7077" s="5"/>
      <c r="E7077" s="5" t="str">
        <f t="shared" ref="E7077:E7140" si="341">"URGENCIAS ADULTO-Jenny Peña"</f>
        <v>URGENCIAS ADULTO-Jenny Peña</v>
      </c>
      <c r="F7077" s="5" t="str">
        <f>"Descripcion: PATO (COPROLOGICO) EN ACERO INOXIDABLE Estado: Bueno Placa anterior: 000019413 Material: ACERO INOXIDABLE Color: PLATEADO Referencia:  Observacion:  Placa padre: Tipo adquisicion: Entidad"</f>
        <v>Descripcion: PATO (COPROLOGICO) EN ACERO INOXIDABLE Estado: Bueno Placa anterior: 000019413 Material: ACERO INOXIDABLE Color: PLATEADO Referencia:  Observacion:  Placa padre: Tipo adquisicion: Entidad</v>
      </c>
      <c r="G7077" s="5"/>
    </row>
    <row r="7078" spans="1:7" ht="58.5" customHeight="1" x14ac:dyDescent="0.25">
      <c r="A7078" s="5" t="str">
        <f>"H0006135"</f>
        <v>H0006135</v>
      </c>
      <c r="B7078" s="5" t="str">
        <f>"NEGATOSCOPIO"</f>
        <v>NEGATOSCOPIO</v>
      </c>
      <c r="C7078" s="6">
        <v>51373.33</v>
      </c>
      <c r="D7078" s="5"/>
      <c r="E7078" s="5" t="str">
        <f t="shared" si="341"/>
        <v>URGENCIAS ADULTO-Jenny Peña</v>
      </c>
      <c r="F7078" s="5" t="str">
        <f>"Descripcion: NEGATOSCOPIO DOBLE EN LAMINA GALVANIZADA Estado: Bueno Placa anterior: 000019699 Material: PASTA CON LAMINA GALVANIZADA Color: BLANCO Referencia:  Observacion:  Placa padre: Tipo adquisicion: Entidad"</f>
        <v>Descripcion: NEGATOSCOPIO DOBLE EN LAMINA GALVANIZADA Estado: Bueno Placa anterior: 000019699 Material: PASTA CON LAMINA GALVANIZADA Color: BLANCO Referencia:  Observacion:  Placa padre: Tipo adquisicion: Entidad</v>
      </c>
      <c r="G7078" s="5"/>
    </row>
    <row r="7079" spans="1:7" ht="58.5" customHeight="1" x14ac:dyDescent="0.25">
      <c r="A7079" s="5" t="str">
        <f>"H0006137"</f>
        <v>H0006137</v>
      </c>
      <c r="B7079" s="5" t="str">
        <f>"ESCALERILLA DE 2 PASOS"</f>
        <v>ESCALERILLA DE 2 PASOS</v>
      </c>
      <c r="C7079" s="6">
        <v>100000</v>
      </c>
      <c r="D7079" s="5" t="s">
        <v>49</v>
      </c>
      <c r="E7079" s="5" t="str">
        <f t="shared" si="341"/>
        <v>URGENCIAS ADULTO-Jenny Peña</v>
      </c>
      <c r="F7079" s="5" t="str">
        <f>"Descripcion: ESCALERILLA DE DOS PASO EN TUBO REDONDO Estado: Bueno Placa anterior: 000029834 Material: METAL Y MADERA Color: GRIS Referencia:  Observacion:  Placa padre: Tipo adquisicion: Entidad"</f>
        <v>Descripcion: ESCALERILLA DE DOS PASO EN TUBO REDONDO Estado: Bueno Placa anterior: 000029834 Material: METAL Y MADERA Color: GRIS Referencia:  Observacion:  Placa padre: Tipo adquisicion: Entidad</v>
      </c>
      <c r="G7079" s="5"/>
    </row>
    <row r="7080" spans="1:7" ht="58.5" customHeight="1" x14ac:dyDescent="0.25">
      <c r="A7080" s="5" t="str">
        <f>"H0006138"</f>
        <v>H0006138</v>
      </c>
      <c r="B7080" s="5" t="str">
        <f>"MESA DE NOCHE"</f>
        <v>MESA DE NOCHE</v>
      </c>
      <c r="C7080" s="6">
        <v>327586</v>
      </c>
      <c r="D7080" s="5"/>
      <c r="E7080" s="5" t="str">
        <f t="shared" si="341"/>
        <v>URGENCIAS ADULTO-Jenny Peña</v>
      </c>
      <c r="F7080" s="5" t="str">
        <f>"Descripcion: MESA DE NOCHE EN ACERO Estado: Bueno Placa anterior: 000033037 Material: ACERO INOXIDABLE Color: PLATEADA Referencia:  Observacion:  Placa padre: Tipo adquisicion: Entidad"</f>
        <v>Descripcion: MESA DE NOCHE EN ACERO Estado: Bueno Placa anterior: 000033037 Material: ACERO INOXIDABLE Color: PLATEADA Referencia:  Observacion:  Placa padre: Tipo adquisicion: Entidad</v>
      </c>
      <c r="G7080" s="5"/>
    </row>
    <row r="7081" spans="1:7" ht="58.5" customHeight="1" x14ac:dyDescent="0.25">
      <c r="A7081" s="5" t="str">
        <f>"H0006145"</f>
        <v>H0006145</v>
      </c>
      <c r="B7081" s="5" t="str">
        <f>"MUEBLE (ARCHIVADOR) AEREO (GABINETE DE PARED)"</f>
        <v>MUEBLE (ARCHIVADOR) AEREO (GABINETE DE PARED)</v>
      </c>
      <c r="C7081" s="6">
        <v>99605.92</v>
      </c>
      <c r="D7081" s="5"/>
      <c r="E7081" s="5" t="str">
        <f t="shared" si="341"/>
        <v>URGENCIAS ADULTO-Jenny Peña</v>
      </c>
      <c r="F7081" s="5" t="str">
        <f>"Descripcion: ARCHIVADOR AEREO (GABINETE DE PARED) DIM: 43X80X33 Estado: Bueno Placa anterior: 000018449 Material: MADERA Color: MADERA CLARO Referencia:  Observacion: AUTORIZADO CONCILIAR EN CRUCE GENERAL Placa padre: Tipo adquisicion: Entidad"</f>
        <v>Descripcion: ARCHIVADOR AEREO (GABINETE DE PARED) DIM: 43X80X33 Estado: Bueno Placa anterior: 000018449 Material: MADERA Color: MADERA CLARO Referencia:  Observacion: AUTORIZADO CONCILIAR EN CRUCE GENERAL Placa padre: Tipo adquisicion: Entidad</v>
      </c>
      <c r="G7081" s="5"/>
    </row>
    <row r="7082" spans="1:7" ht="58.5" customHeight="1" x14ac:dyDescent="0.25">
      <c r="A7082" s="5" t="str">
        <f>"H0006146"</f>
        <v>H0006146</v>
      </c>
      <c r="B7082" s="5" t="str">
        <f>"PUESTO DE TRABAJO EN L CON 3 GAVETAS"</f>
        <v>PUESTO DE TRABAJO EN L CON 3 GAVETAS</v>
      </c>
      <c r="C7082" s="6">
        <v>19784</v>
      </c>
      <c r="D7082" s="5"/>
      <c r="E7082" s="5" t="str">
        <f t="shared" si="341"/>
        <v>URGENCIAS ADULTO-Jenny Peña</v>
      </c>
      <c r="F7082" s="5" t="str">
        <f>"Descripcion:  PUESTO DE TRABAJO EN L CON 3 GAVETAS DIM: 74X150X140X60 Estado: Bueno Placa anterior: 000006221 Material: METAL Y MADERA Color: MADERA CLARO Referencia:  Observacion:  Placa padre: Tipo adquisicion: Entidad"</f>
        <v>Descripcion:  PUESTO DE TRABAJO EN L CON 3 GAVETAS DIM: 74X150X140X60 Estado: Bueno Placa anterior: 000006221 Material: METAL Y MADERA Color: MADERA CLARO Referencia:  Observacion:  Placa padre: Tipo adquisicion: Entidad</v>
      </c>
      <c r="G7082" s="5"/>
    </row>
    <row r="7083" spans="1:7" ht="58.5" customHeight="1" x14ac:dyDescent="0.25">
      <c r="A7083" s="5" t="str">
        <f>"H0006148"</f>
        <v>H0006148</v>
      </c>
      <c r="B7083" s="5" t="str">
        <f>"ESCALERILLA DE 2 PASOS"</f>
        <v>ESCALERILLA DE 2 PASOS</v>
      </c>
      <c r="C7083" s="6">
        <v>100000</v>
      </c>
      <c r="D7083" s="5" t="s">
        <v>49</v>
      </c>
      <c r="E7083" s="5" t="str">
        <f t="shared" si="341"/>
        <v>URGENCIAS ADULTO-Jenny Peña</v>
      </c>
      <c r="F7083" s="5" t="str">
        <f>"Descripcion:  ESCALERILLA DE 2 PASOS EN PASTA Estado: Bueno Placa anterior: 000029802 Material: METAL Y PASTA Color: BLANCO Referencia:  Observacion:  Placa padre: Tipo adquisicion: Entidad"</f>
        <v>Descripcion:  ESCALERILLA DE 2 PASOS EN PASTA Estado: Bueno Placa anterior: 000029802 Material: METAL Y PASTA Color: BLANCO Referencia:  Observacion:  Placa padre: Tipo adquisicion: Entidad</v>
      </c>
      <c r="G7083" s="5"/>
    </row>
    <row r="7084" spans="1:7" ht="58.5" customHeight="1" x14ac:dyDescent="0.25">
      <c r="A7084" s="5" t="str">
        <f>"H0006149"</f>
        <v>H0006149</v>
      </c>
      <c r="B7084" s="5" t="str">
        <f>"CAMILLA FIJA (TIPO DIVAN)"</f>
        <v>CAMILLA FIJA (TIPO DIVAN)</v>
      </c>
      <c r="C7084" s="6">
        <v>626400</v>
      </c>
      <c r="D7084" s="5" t="s">
        <v>166</v>
      </c>
      <c r="E7084" s="5" t="str">
        <f t="shared" si="341"/>
        <v>URGENCIAS ADULTO-Jenny Peña</v>
      </c>
      <c r="F7084" s="5" t="str">
        <f>"Descripcion: CAMILLAS FIJAS PARA CONSULTORIO. Estructura fabricada en tuberia cuadrada con soporte central.Batidor metalico forrado en espuma de cinco cms de espesor y tapizado en cordoban lavable, movimiento de levante espaldar accionado macanicamente po"&amp; "r medio de u Estado: Bueno Placa anterior: 000031499 Material: METAL Y CUERINA Color: NEGRO Y BEIGE Referencia:  Observacion:  Placa padre: Tipo adquisicion: Entidad"</f>
        <v>Descripcion: CAMILLAS FIJAS PARA CONSULTORIO. Estructura fabricada en tuberia cuadrada con soporte central.Batidor metalico forrado en espuma de cinco cms de espesor y tapizado en cordoban lavable, movimiento de levante espaldar accionado macanicamente por medio de u Estado: Bueno Placa anterior: 000031499 Material: METAL Y CUERINA Color: NEGRO Y BEIGE Referencia:  Observacion:  Placa padre: Tipo adquisicion: Entidad</v>
      </c>
      <c r="G7084" s="5"/>
    </row>
    <row r="7085" spans="1:7" ht="58.5" customHeight="1" x14ac:dyDescent="0.25">
      <c r="A7085" s="5" t="str">
        <f>"H0006152"</f>
        <v>H0006152</v>
      </c>
      <c r="B7085" s="5" t="str">
        <f>"NEGATOSCOPIO"</f>
        <v>NEGATOSCOPIO</v>
      </c>
      <c r="C7085" s="6">
        <v>700000</v>
      </c>
      <c r="D7085" s="5"/>
      <c r="E7085" s="5" t="str">
        <f t="shared" si="341"/>
        <v>URGENCIAS ADULTO-Jenny Peña</v>
      </c>
      <c r="F7085" s="5" t="str">
        <f>"Descripcion: NEGATOSCOPIO DOBLE EN LAMINA GALVANIZADA Estado: Bueno Placa anterior: 000033313 Material: PASTA Color: BLANCO Referencia:  Observacion:  Placa padre: Tipo adquisicion: Entidad"</f>
        <v>Descripcion: NEGATOSCOPIO DOBLE EN LAMINA GALVANIZADA Estado: Bueno Placa anterior: 000033313 Material: PASTA Color: BLANCO Referencia:  Observacion:  Placa padre: Tipo adquisicion: Entidad</v>
      </c>
      <c r="G7085" s="5" t="str">
        <f>"2 CUERPOS"</f>
        <v>2 CUERPOS</v>
      </c>
    </row>
    <row r="7086" spans="1:7" ht="58.5" customHeight="1" x14ac:dyDescent="0.25">
      <c r="A7086" s="5" t="str">
        <f>"H0006153"</f>
        <v>H0006153</v>
      </c>
      <c r="B7086" s="5" t="str">
        <f>"ATRIL PORTASUERO MOVIL"</f>
        <v>ATRIL PORTASUERO MOVIL</v>
      </c>
      <c r="C7086" s="6">
        <v>210000</v>
      </c>
      <c r="D7086" s="5" t="s">
        <v>50</v>
      </c>
      <c r="E7086" s="5" t="str">
        <f t="shared" si="341"/>
        <v>URGENCIAS ADULTO-Jenny Peña</v>
      </c>
      <c r="F7086" s="5" t="str">
        <f>"Descripcion: ATRIL PORTA SUERO MOVIL Estado: Bueno Placa anterior: 000029691 Material: ACERO Color: PLATEADO Referencia:  Observacion:  Placa padre: Tipo adquisicion: Entidad"</f>
        <v>Descripcion: ATRIL PORTA SUERO MOVIL Estado: Bueno Placa anterior: 000029691 Material: ACERO Color: PLATEADO Referencia:  Observacion:  Placa padre: Tipo adquisicion: Entidad</v>
      </c>
      <c r="G7086" s="5"/>
    </row>
    <row r="7087" spans="1:7" ht="58.5" customHeight="1" x14ac:dyDescent="0.25">
      <c r="A7087" s="5" t="str">
        <f>"H0006159"</f>
        <v>H0006159</v>
      </c>
      <c r="B7087" s="5" t="str">
        <f>"ESCRITORIO METALICO 3 GAVETAS"</f>
        <v>ESCRITORIO METALICO 3 GAVETAS</v>
      </c>
      <c r="C7087" s="6">
        <v>19784</v>
      </c>
      <c r="D7087" s="5"/>
      <c r="E7087" s="5" t="str">
        <f t="shared" si="341"/>
        <v>URGENCIAS ADULTO-Jenny Peña</v>
      </c>
      <c r="F7087" s="5" t="str">
        <f>"Descripcion: ESCRITORIO EN L 3 GAVETAS 150*1140*60 Estado: Bueno Placa anterior: 000006222 Material: MADERA Color: NEGRO Y MADERA Referencia:  Observacion:  Placa padre: Tipo adquisicion: Entidad"</f>
        <v>Descripcion: ESCRITORIO EN L 3 GAVETAS 150*1140*60 Estado: Bueno Placa anterior: 000006222 Material: MADERA Color: NEGRO Y MADERA Referencia:  Observacion:  Placa padre: Tipo adquisicion: Entidad</v>
      </c>
      <c r="G7087" s="5"/>
    </row>
    <row r="7088" spans="1:7" ht="58.5" customHeight="1" x14ac:dyDescent="0.25">
      <c r="A7088" s="5" t="str">
        <f>"H0006161"</f>
        <v>H0006161</v>
      </c>
      <c r="B7088" s="5" t="str">
        <f>"SILLA ERGONOMICA TIPO SECRETARIA CON BRAZOS"</f>
        <v>SILLA ERGONOMICA TIPO SECRETARIA CON BRAZOS</v>
      </c>
      <c r="C7088" s="6">
        <v>318777.06</v>
      </c>
      <c r="D7088" s="5"/>
      <c r="E7088" s="5" t="str">
        <f t="shared" si="341"/>
        <v>URGENCIAS ADULTO-Jenny Peña</v>
      </c>
      <c r="F7088" s="5" t="str">
        <f>"Descripcion: SILLA SECRETARIA NEGRA, CON RODACHINES TAPIZADA Estado: Bueno Placa anterior: 000000136 Material: METAL Color: NEGRO Referencia:  Observacion:  Placa padre: Tipo adquisicion: Entidad"</f>
        <v>Descripcion: SILLA SECRETARIA NEGRA, CON RODACHINES TAPIZADA Estado: Bueno Placa anterior: 000000136 Material: METAL Color: NEGRO Referencia:  Observacion:  Placa padre: Tipo adquisicion: Entidad</v>
      </c>
      <c r="G7088" s="5"/>
    </row>
    <row r="7089" spans="1:7" ht="58.5" customHeight="1" x14ac:dyDescent="0.25">
      <c r="A7089" s="5" t="str">
        <f>"H0006163"</f>
        <v>H0006163</v>
      </c>
      <c r="B7089" s="5" t="str">
        <f>"ESCALERILLA DE 2 PASOS"</f>
        <v>ESCALERILLA DE 2 PASOS</v>
      </c>
      <c r="C7089" s="6">
        <v>100000</v>
      </c>
      <c r="D7089" s="5" t="s">
        <v>49</v>
      </c>
      <c r="E7089" s="5" t="str">
        <f t="shared" si="341"/>
        <v>URGENCIAS ADULTO-Jenny Peña</v>
      </c>
      <c r="F7089" s="5" t="str">
        <f>"Descripcion: ESCALERILLA DE DOS PASOS EN PASTA Y CON METAL Estado: Bueno Placa anterior: 000029806 Material: METAL Y PASTA Color: BLANCO Y GRIS Referencia:  Observacion:  Placa padre: Tipo adquisicion: Entidad"</f>
        <v>Descripcion: ESCALERILLA DE DOS PASOS EN PASTA Y CON METAL Estado: Bueno Placa anterior: 000029806 Material: METAL Y PASTA Color: BLANCO Y GRIS Referencia:  Observacion:  Placa padre: Tipo adquisicion: Entidad</v>
      </c>
      <c r="G7089" s="5"/>
    </row>
    <row r="7090" spans="1:7" ht="58.5" customHeight="1" x14ac:dyDescent="0.25">
      <c r="A7090" s="5" t="str">
        <f>"H0006164"</f>
        <v>H0006164</v>
      </c>
      <c r="B7090" s="5" t="str">
        <f>"CAMILLA FIJA (TIPO DIVAN)"</f>
        <v>CAMILLA FIJA (TIPO DIVAN)</v>
      </c>
      <c r="C7090" s="6">
        <v>626400</v>
      </c>
      <c r="D7090" s="5" t="s">
        <v>166</v>
      </c>
      <c r="E7090" s="5" t="str">
        <f t="shared" si="341"/>
        <v>URGENCIAS ADULTO-Jenny Peña</v>
      </c>
      <c r="F7090" s="5" t="str">
        <f>"Descripcion: CAMILLAS FIJAS PARA CONSULTORIO. Estructura fabricada en tuberia cuadrada con soporte central.Batidor metalico forrado en espuma de cinco cms de espesor y tapizado en cordoban lavable, movimiento de levante espaldar accionado macanicamente po"&amp; "r medio de u Estado: Bueno Placa anterior: 000031500 Material: METAL Color: BEIGE Y MARRON Referencia:  Observacion:  Placa padre: Tipo adquisicion: Entidad"</f>
        <v>Descripcion: CAMILLAS FIJAS PARA CONSULTORIO. Estructura fabricada en tuberia cuadrada con soporte central.Batidor metalico forrado en espuma de cinco cms de espesor y tapizado en cordoban lavable, movimiento de levante espaldar accionado macanicamente por medio de u Estado: Bueno Placa anterior: 000031500 Material: METAL Color: BEIGE Y MARRON Referencia:  Observacion:  Placa padre: Tipo adquisicion: Entidad</v>
      </c>
      <c r="G7090" s="5" t="str">
        <f>"141-02"</f>
        <v>141-02</v>
      </c>
    </row>
    <row r="7091" spans="1:7" ht="58.5" customHeight="1" x14ac:dyDescent="0.25">
      <c r="A7091" s="5" t="str">
        <f>"H0006165"</f>
        <v>H0006165</v>
      </c>
      <c r="B7091" s="5" t="str">
        <f>"TENSIOMETRO ANEROIDE DE PARED ADULTO"</f>
        <v>TENSIOMETRO ANEROIDE DE PARED ADULTO</v>
      </c>
      <c r="C7091" s="6">
        <v>400000</v>
      </c>
      <c r="D7091" s="5"/>
      <c r="E7091" s="5" t="str">
        <f t="shared" si="341"/>
        <v>URGENCIAS ADULTO-Jenny Peña</v>
      </c>
      <c r="F7091" s="5" t="str">
        <f>"Descripcion: TENSIOMETRO PARED Estado: Bueno Placa anterior: 000033318 Material: PASTA Color: AZUL Referencia:  Observacion: AUTORIZADO CONCILIAR EN CRUCE GENERAL Placa padre: Tipo adquisicion: Entidad"</f>
        <v>Descripcion: TENSIOMETRO PARED Estado: Bueno Placa anterior: 000033318 Material: PASTA Color: AZUL Referencia:  Observacion: AUTORIZADO CONCILIAR EN CRUCE GENERAL Placa padre: Tipo adquisicion: Entidad</v>
      </c>
      <c r="G7091" s="5"/>
    </row>
    <row r="7092" spans="1:7" ht="58.5" customHeight="1" x14ac:dyDescent="0.25">
      <c r="A7092" s="5" t="str">
        <f>"H0006167"</f>
        <v>H0006167</v>
      </c>
      <c r="B7092" s="5" t="str">
        <f>"MUEBLE (ARCHIVADOR) AEREO (GABINETE DE PARED)"</f>
        <v>MUEBLE (ARCHIVADOR) AEREO (GABINETE DE PARED)</v>
      </c>
      <c r="C7092" s="6">
        <v>99605.92</v>
      </c>
      <c r="D7092" s="5"/>
      <c r="E7092" s="5" t="str">
        <f t="shared" si="341"/>
        <v>URGENCIAS ADULTO-Jenny Peña</v>
      </c>
      <c r="F7092" s="5" t="str">
        <f>"Descripcion: ARCHIVO AEREO 42*80*33 Estado: Bueno Placa anterior: 000018441 Material: MADERA Color: MARRON GRIS Referencia:  Observacion: AUTORIZADO CONCILIAR EN CRUCE GENERAL Placa padre: Tipo adquisicion: Entidad"</f>
        <v>Descripcion: ARCHIVO AEREO 42*80*33 Estado: Bueno Placa anterior: 000018441 Material: MADERA Color: MARRON GRIS Referencia:  Observacion: AUTORIZADO CONCILIAR EN CRUCE GENERAL Placa padre: Tipo adquisicion: Entidad</v>
      </c>
      <c r="G7092" s="5"/>
    </row>
    <row r="7093" spans="1:7" ht="58.5" customHeight="1" x14ac:dyDescent="0.25">
      <c r="A7093" s="5" t="str">
        <f>"H0006172"</f>
        <v>H0006172</v>
      </c>
      <c r="B7093" s="5" t="str">
        <f>"CAMILLA FIJA (TIPO DIVAN)"</f>
        <v>CAMILLA FIJA (TIPO DIVAN)</v>
      </c>
      <c r="C7093" s="6">
        <v>626400</v>
      </c>
      <c r="D7093" s="5" t="s">
        <v>166</v>
      </c>
      <c r="E7093" s="5" t="str">
        <f t="shared" si="341"/>
        <v>URGENCIAS ADULTO-Jenny Peña</v>
      </c>
      <c r="F7093" s="5" t="str">
        <f>"Descripcion: CAMILLAS FIJAS PARA CONSULTORIO. Estructura fabricada en tuberia cuadrada con soporte central.Batidor metalico forrado en espuma de cinco cms de espesor y tapizado en cordoban lavable, movimiento de levante espaldar accionado macanicamente po"&amp; "r medio de u Estado: Bueno Placa anterior: 000031503 Material: METAL Color: GRIS Referencia:  Observacion:  Placa padre: Tipo adquisicion: Entidad"</f>
        <v>Descripcion: CAMILLAS FIJAS PARA CONSULTORIO. Estructura fabricada en tuberia cuadrada con soporte central.Batidor metalico forrado en espuma de cinco cms de espesor y tapizado en cordoban lavable, movimiento de levante espaldar accionado macanicamente por medio de u Estado: Bueno Placa anterior: 000031503 Material: METAL Color: GRIS Referencia:  Observacion:  Placa padre: Tipo adquisicion: Entidad</v>
      </c>
      <c r="G7093" s="5" t="str">
        <f>"141-03"</f>
        <v>141-03</v>
      </c>
    </row>
    <row r="7094" spans="1:7" ht="58.5" customHeight="1" x14ac:dyDescent="0.25">
      <c r="A7094" s="5" t="str">
        <f>"H0006173"</f>
        <v>H0006173</v>
      </c>
      <c r="B7094" s="5" t="str">
        <f>"TENSIOMETRO ANEROIDE DE PARED ADULTO"</f>
        <v>TENSIOMETRO ANEROIDE DE PARED ADULTO</v>
      </c>
      <c r="C7094" s="6">
        <v>400000</v>
      </c>
      <c r="D7094" s="5"/>
      <c r="E7094" s="5" t="str">
        <f t="shared" si="341"/>
        <v>URGENCIAS ADULTO-Jenny Peña</v>
      </c>
      <c r="F7094" s="5" t="str">
        <f>"Descripcion: TENSIOMETRO DE PARED Estado: Bueno Placa anterior: 000033317 Material: PASTA Color: NEGRO Referencia:  Observacion: AUTORIZADO CONCILIAR EN CRUCE GENERAL Placa padre: Tipo adquisicion: Entidad"</f>
        <v>Descripcion: TENSIOMETRO DE PARED Estado: Bueno Placa anterior: 000033317 Material: PASTA Color: NEGRO Referencia:  Observacion: AUTORIZADO CONCILIAR EN CRUCE GENERAL Placa padre: Tipo adquisicion: Entidad</v>
      </c>
      <c r="G7094" s="5"/>
    </row>
    <row r="7095" spans="1:7" ht="58.5" customHeight="1" x14ac:dyDescent="0.25">
      <c r="A7095" s="5" t="str">
        <f>"H0006174"</f>
        <v>H0006174</v>
      </c>
      <c r="B7095" s="5" t="str">
        <f>"ESCALERILLA DE 2 PASOS"</f>
        <v>ESCALERILLA DE 2 PASOS</v>
      </c>
      <c r="C7095" s="6">
        <v>100000</v>
      </c>
      <c r="D7095" s="5" t="s">
        <v>49</v>
      </c>
      <c r="E7095" s="5" t="str">
        <f t="shared" si="341"/>
        <v>URGENCIAS ADULTO-Jenny Peña</v>
      </c>
      <c r="F7095" s="5" t="str">
        <f>"Descripcion: ESCALERILLA DE DOS PASO EN TUBO REDONDO Estado: Bueno Placa anterior: 000029827 Material: METAL CON MADERA Color: GRIS Y BLANCO Referencia:  Observacion:  Placa padre: Tipo adquisicion: Entidad"</f>
        <v>Descripcion: ESCALERILLA DE DOS PASO EN TUBO REDONDO Estado: Bueno Placa anterior: 000029827 Material: METAL CON MADERA Color: GRIS Y BLANCO Referencia:  Observacion:  Placa padre: Tipo adquisicion: Entidad</v>
      </c>
      <c r="G7095" s="5"/>
    </row>
    <row r="7096" spans="1:7" ht="58.5" customHeight="1" x14ac:dyDescent="0.25">
      <c r="A7096" s="5" t="str">
        <f>"H0006181"</f>
        <v>H0006181</v>
      </c>
      <c r="B7096" s="5" t="str">
        <f>"POTE (TARRO) ACERO INXODABLE CON TAPA MEDIANO"</f>
        <v>POTE (TARRO) ACERO INXODABLE CON TAPA MEDIANO</v>
      </c>
      <c r="C7096" s="6">
        <v>19173.189999999999</v>
      </c>
      <c r="D7096" s="5"/>
      <c r="E7096" s="5" t="str">
        <f t="shared" si="341"/>
        <v>URGENCIAS ADULTO-Jenny Peña</v>
      </c>
      <c r="F7096" s="5" t="str">
        <f>"Descripcion: TARRO EN ACERO INOXIDABLE Estado: Bueno Placa anterior: 000019834 Material: ACERO Color: PLATEADO Referencia:  Observacion:  Placa padre: Tipo adquisicion: Entidad"</f>
        <v>Descripcion: TARRO EN ACERO INOXIDABLE Estado: Bueno Placa anterior: 000019834 Material: ACERO Color: PLATEADO Referencia:  Observacion:  Placa padre: Tipo adquisicion: Entidad</v>
      </c>
      <c r="G7096" s="5"/>
    </row>
    <row r="7097" spans="1:7" ht="58.5" customHeight="1" x14ac:dyDescent="0.25">
      <c r="A7097" s="5" t="str">
        <f>"H0006182"</f>
        <v>H0006182</v>
      </c>
      <c r="B7097" s="5" t="str">
        <f>"POTE (TARRO) ACERO INXODABLE CON TAPA MEDIANO"</f>
        <v>POTE (TARRO) ACERO INXODABLE CON TAPA MEDIANO</v>
      </c>
      <c r="C7097" s="6">
        <v>21799.02</v>
      </c>
      <c r="D7097" s="5"/>
      <c r="E7097" s="5" t="str">
        <f t="shared" si="341"/>
        <v>URGENCIAS ADULTO-Jenny Peña</v>
      </c>
      <c r="F7097" s="5" t="str">
        <f>"Descripcion: TARRO EN ACERO INOXIDABLE Estado: Bueno Placa anterior: 000018639 Material: ACERO Color: PLATEADO Referencia:  Observacion:  Placa padre: Tipo adquisicion: Entidad"</f>
        <v>Descripcion: TARRO EN ACERO INOXIDABLE Estado: Bueno Placa anterior: 000018639 Material: ACERO Color: PLATEADO Referencia:  Observacion:  Placa padre: Tipo adquisicion: Entidad</v>
      </c>
      <c r="G7097" s="5"/>
    </row>
    <row r="7098" spans="1:7" ht="58.5" customHeight="1" x14ac:dyDescent="0.25">
      <c r="A7098" s="5" t="str">
        <f>"H0006183"</f>
        <v>H0006183</v>
      </c>
      <c r="B7098" s="5" t="str">
        <f>"ESCRITORIO DE MADERA 3 GAVETAS"</f>
        <v>ESCRITORIO DE MADERA 3 GAVETAS</v>
      </c>
      <c r="C7098" s="6">
        <v>15685.33</v>
      </c>
      <c r="D7098" s="5"/>
      <c r="E7098" s="5" t="str">
        <f t="shared" si="341"/>
        <v>URGENCIAS ADULTO-Jenny Peña</v>
      </c>
      <c r="F7098" s="5" t="str">
        <f>"Descripcion: ESCRITORIO EN L CON 3 GAVETAS EN MADERA Estado: Bueno Placa anterior: 000027323 Material: MADERA Y FORMICA Color: NEGRO Y FORMICA Referencia:  Observacion:  Placa padre: Tipo adquisicion: Entidad"</f>
        <v>Descripcion: ESCRITORIO EN L CON 3 GAVETAS EN MADERA Estado: Bueno Placa anterior: 000027323 Material: MADERA Y FORMICA Color: NEGRO Y FORMICA Referencia:  Observacion:  Placa padre: Tipo adquisicion: Entidad</v>
      </c>
      <c r="G7098" s="5"/>
    </row>
    <row r="7099" spans="1:7" ht="58.5" customHeight="1" x14ac:dyDescent="0.25">
      <c r="A7099" s="5" t="str">
        <f>"H0006185"</f>
        <v>H0006185</v>
      </c>
      <c r="B7099" s="5" t="str">
        <f>"TELEFONO DE SOBREMESA"</f>
        <v>TELEFONO DE SOBREMESA</v>
      </c>
      <c r="C7099" s="6">
        <v>9149.33</v>
      </c>
      <c r="D7099" s="5"/>
      <c r="E7099" s="5" t="str">
        <f t="shared" si="341"/>
        <v>URGENCIAS ADULTO-Jenny Peña</v>
      </c>
      <c r="F7099" s="5" t="str">
        <f>"Descripcion: TELEFONO FIJO  Estado: Bueno Placa anterior: 000019379 Material: PASTA  Color: NEGRO Referencia: 0LBLD082055 Observacion:  Placa padre: Tipo adquisicion: Entidad"</f>
        <v>Descripcion: TELEFONO FIJO  Estado: Bueno Placa anterior: 000019379 Material: PASTA  Color: NEGRO Referencia: 0LBLD082055 Observacion:  Placa padre: Tipo adquisicion: Entidad</v>
      </c>
      <c r="G7099" s="5" t="str">
        <f>"KKX-TS500 LXB"</f>
        <v>KKX-TS500 LXB</v>
      </c>
    </row>
    <row r="7100" spans="1:7" ht="58.5" customHeight="1" x14ac:dyDescent="0.25">
      <c r="A7100" s="5" t="str">
        <f>"H0006188"</f>
        <v>H0006188</v>
      </c>
      <c r="B7100" s="5" t="str">
        <f>"MUEBLE (ARCHIVADOR) AEREO (GABINETE DE PARED)"</f>
        <v>MUEBLE (ARCHIVADOR) AEREO (GABINETE DE PARED)</v>
      </c>
      <c r="C7100" s="6">
        <v>99605.92</v>
      </c>
      <c r="D7100" s="5"/>
      <c r="E7100" s="5" t="str">
        <f t="shared" si="341"/>
        <v>URGENCIAS ADULTO-Jenny Peña</v>
      </c>
      <c r="F7100" s="5" t="str">
        <f>"Descripcion: ARCHIVADOR AEREO 44*80*34 Estado: Excelente Placa anterior: 000018576 Material: MADERA Color: MARRON CLARO Referencia:  Observacion: AUTORIZADO CONCILIAR EN CRUCE GENERAL Placa padre: Tipo adquisicion: Entidad"</f>
        <v>Descripcion: ARCHIVADOR AEREO 44*80*34 Estado: Excelente Placa anterior: 000018576 Material: MADERA Color: MARRON CLARO Referencia:  Observacion: AUTORIZADO CONCILIAR EN CRUCE GENERAL Placa padre: Tipo adquisicion: Entidad</v>
      </c>
      <c r="G7100" s="5"/>
    </row>
    <row r="7101" spans="1:7" ht="58.5" customHeight="1" x14ac:dyDescent="0.25">
      <c r="A7101" s="5" t="str">
        <f>"H0006189"</f>
        <v>H0006189</v>
      </c>
      <c r="B7101" s="5" t="str">
        <f>"PATO (COPROLOGICO) MUJER"</f>
        <v>PATO (COPROLOGICO) MUJER</v>
      </c>
      <c r="C7101" s="6">
        <v>114260</v>
      </c>
      <c r="D7101" s="5"/>
      <c r="E7101" s="5" t="str">
        <f t="shared" si="341"/>
        <v>URGENCIAS ADULTO-Jenny Peña</v>
      </c>
      <c r="F7101" s="5" t="str">
        <f>"Descripcion: PATO CROPOLOGICO MUJER EN ACERO INOXIDABLE Estado: Bueno Placa anterior: 000024397 Material: ACERO Color: PLATEADO Referencia:  Observacion:  Placa padre: Tipo adquisicion: Entidad"</f>
        <v>Descripcion: PATO CROPOLOGICO MUJER EN ACERO INOXIDABLE Estado: Bueno Placa anterior: 000024397 Material: ACERO Color: PLATEADO Referencia:  Observacion:  Placa padre: Tipo adquisicion: Entidad</v>
      </c>
      <c r="G7101" s="5"/>
    </row>
    <row r="7102" spans="1:7" ht="58.5" customHeight="1" x14ac:dyDescent="0.25">
      <c r="A7102" s="5" t="str">
        <f>"H0006190"</f>
        <v>H0006190</v>
      </c>
      <c r="B7102" s="5" t="str">
        <f>"PATO (COPROLOGICO) MUJER"</f>
        <v>PATO (COPROLOGICO) MUJER</v>
      </c>
      <c r="C7102" s="6">
        <v>114260</v>
      </c>
      <c r="D7102" s="5"/>
      <c r="E7102" s="5" t="str">
        <f t="shared" si="341"/>
        <v>URGENCIAS ADULTO-Jenny Peña</v>
      </c>
      <c r="F7102" s="5" t="str">
        <f>"Descripcion: PATO CROPOLOGICO MUJER EN ACERO INOXIDABLE Estado: Bueno Placa anterior: 000024390 Material: ACERO Color: PLATEADO Referencia:  Observacion:  Placa padre: Tipo adquisicion: Entidad"</f>
        <v>Descripcion: PATO CROPOLOGICO MUJER EN ACERO INOXIDABLE Estado: Bueno Placa anterior: 000024390 Material: ACERO Color: PLATEADO Referencia:  Observacion:  Placa padre: Tipo adquisicion: Entidad</v>
      </c>
      <c r="G7102" s="5"/>
    </row>
    <row r="7103" spans="1:7" ht="58.5" customHeight="1" x14ac:dyDescent="0.25">
      <c r="A7103" s="5" t="str">
        <f>"H0006192"</f>
        <v>H0006192</v>
      </c>
      <c r="B7103" s="5" t="str">
        <f>"ATRIL PORTASUERO MOVIL"</f>
        <v>ATRIL PORTASUERO MOVIL</v>
      </c>
      <c r="C7103" s="6">
        <v>145000</v>
      </c>
      <c r="D7103" s="5" t="s">
        <v>166</v>
      </c>
      <c r="E7103" s="5" t="str">
        <f t="shared" si="341"/>
        <v>URGENCIAS ADULTO-Jenny Peña</v>
      </c>
      <c r="F7103" s="5" t="str">
        <f>"Descripcion: ATRIL. Aatril portasuero en pintura electrostatica, debe contar con sistema portasuero minimo para dos bolsas de 50ml con varilla graduable,con rodachines Estado: Bueno Placa anterior: 000031439 Material: ACERO Color: PLATEADO Referencia:  Ob"&amp; "servacion:  Placa padre: Tipo adquisicion: Entidad"</f>
        <v>Descripcion: ATRIL. Aatril portasuero en pintura electrostatica, debe contar con sistema portasuero minimo para dos bolsas de 50ml con varilla graduable,con rodachines Estado: Bueno Placa anterior: 000031439 Material: ACERO Color: PLATEADO Referencia:  Observacion:  Placa padre: Tipo adquisicion: Entidad</v>
      </c>
      <c r="G7103" s="5" t="str">
        <f>"121-01"</f>
        <v>121-01</v>
      </c>
    </row>
    <row r="7104" spans="1:7" ht="58.5" customHeight="1" x14ac:dyDescent="0.25">
      <c r="A7104" s="5" t="str">
        <f>"H0006194"</f>
        <v>H0006194</v>
      </c>
      <c r="B7104" s="5" t="str">
        <f>"NEGATOSCOPIO"</f>
        <v>NEGATOSCOPIO</v>
      </c>
      <c r="C7104" s="6">
        <v>700000</v>
      </c>
      <c r="D7104" s="5"/>
      <c r="E7104" s="5" t="str">
        <f t="shared" si="341"/>
        <v>URGENCIAS ADULTO-Jenny Peña</v>
      </c>
      <c r="F7104" s="5" t="str">
        <f>"Descripcion: NEGATOSCOPIO DOBLE EN LAMINA GALVANIZADA Estado: Bueno Placa anterior: 000033310 Material: PASTA Color: BLANCO Referencia:  Observacion:  Placa padre: Tipo adquisicion: Entidad"</f>
        <v>Descripcion: NEGATOSCOPIO DOBLE EN LAMINA GALVANIZADA Estado: Bueno Placa anterior: 000033310 Material: PASTA Color: BLANCO Referencia:  Observacion:  Placa padre: Tipo adquisicion: Entidad</v>
      </c>
      <c r="G7104" s="5" t="str">
        <f>"2 CUERPOS"</f>
        <v>2 CUERPOS</v>
      </c>
    </row>
    <row r="7105" spans="1:7" ht="58.5" customHeight="1" x14ac:dyDescent="0.25">
      <c r="A7105" s="5" t="str">
        <f>"H0006199"</f>
        <v>H0006199</v>
      </c>
      <c r="B7105" s="5" t="str">
        <f>"ESCRITORIO DE MADERA TIPO SECRETARIA 3 GAVETAS"</f>
        <v>ESCRITORIO DE MADERA TIPO SECRETARIA 3 GAVETAS</v>
      </c>
      <c r="C7105" s="6">
        <v>15685.33</v>
      </c>
      <c r="D7105" s="5"/>
      <c r="E7105" s="5" t="str">
        <f t="shared" si="341"/>
        <v>URGENCIAS ADULTO-Jenny Peña</v>
      </c>
      <c r="F7105" s="5" t="str">
        <f>"Descripcion: ESCRITORIO DE MADERA 3 GAVETAS EN L 150*140*60 Estado: Bueno Placa anterior: 000027308 Material: MEDERA Color: NEGRO Referencia:  Observacion:  Placa padre: Tipo adquisicion: Entidad"</f>
        <v>Descripcion: ESCRITORIO DE MADERA 3 GAVETAS EN L 150*140*60 Estado: Bueno Placa anterior: 000027308 Material: MEDERA Color: NEGRO Referencia:  Observacion:  Placa padre: Tipo adquisicion: Entidad</v>
      </c>
      <c r="G7105" s="5"/>
    </row>
    <row r="7106" spans="1:7" ht="58.5" customHeight="1" x14ac:dyDescent="0.25">
      <c r="A7106" s="5" t="str">
        <f>"H0006201"</f>
        <v>H0006201</v>
      </c>
      <c r="B7106" s="5" t="str">
        <f>"MUEBLE (ARCHIVADOR) AEREO (GABINETE DE PARED)"</f>
        <v>MUEBLE (ARCHIVADOR) AEREO (GABINETE DE PARED)</v>
      </c>
      <c r="C7106" s="6">
        <v>99605.92</v>
      </c>
      <c r="D7106" s="5"/>
      <c r="E7106" s="5" t="str">
        <f t="shared" si="341"/>
        <v>URGENCIAS ADULTO-Jenny Peña</v>
      </c>
      <c r="F7106" s="5" t="str">
        <f>"Descripcion: ARCHIVO AEREO Estado: Bueno Placa anterior: 000018483 Material: MADERA Color: MARRON CLARO Referencia:  Observacion: AUTORIZADO CONCILIAR EN CRUCE GENERAL Placa padre: Tipo adquisicion: Entidad"</f>
        <v>Descripcion: ARCHIVO AEREO Estado: Bueno Placa anterior: 000018483 Material: MADERA Color: MARRON CLARO Referencia:  Observacion: AUTORIZADO CONCILIAR EN CRUCE GENERAL Placa padre: Tipo adquisicion: Entidad</v>
      </c>
      <c r="G7106" s="5"/>
    </row>
    <row r="7107" spans="1:7" ht="58.5" customHeight="1" x14ac:dyDescent="0.25">
      <c r="A7107" s="5" t="str">
        <f>"H0006203"</f>
        <v>H0006203</v>
      </c>
      <c r="B7107" s="5" t="str">
        <f>"ESCALERILLA DE 2 PASOS"</f>
        <v>ESCALERILLA DE 2 PASOS</v>
      </c>
      <c r="C7107" s="6">
        <v>100000</v>
      </c>
      <c r="D7107" s="5" t="s">
        <v>49</v>
      </c>
      <c r="E7107" s="5" t="str">
        <f t="shared" si="341"/>
        <v>URGENCIAS ADULTO-Jenny Peña</v>
      </c>
      <c r="F7107" s="5" t="str">
        <f>"Descripcion: ESCALERILLA DE DOS PASOS  Estado: Bueno Placa anterior: 000029807 Material: METAL Y PASTA Color: BLANCO Referencia:  Observacion:  Placa padre: Tipo adquisicion: Entidad"</f>
        <v>Descripcion: ESCALERILLA DE DOS PASOS  Estado: Bueno Placa anterior: 000029807 Material: METAL Y PASTA Color: BLANCO Referencia:  Observacion:  Placa padre: Tipo adquisicion: Entidad</v>
      </c>
      <c r="G7107" s="5"/>
    </row>
    <row r="7108" spans="1:7" ht="58.5" customHeight="1" x14ac:dyDescent="0.25">
      <c r="A7108" s="5" t="str">
        <f>"H0006204"</f>
        <v>H0006204</v>
      </c>
      <c r="B7108" s="5" t="str">
        <f>"CAMILLA FIJA (TIPO DIVAN)"</f>
        <v>CAMILLA FIJA (TIPO DIVAN)</v>
      </c>
      <c r="C7108" s="6">
        <v>626400</v>
      </c>
      <c r="D7108" s="5" t="s">
        <v>166</v>
      </c>
      <c r="E7108" s="5" t="str">
        <f t="shared" si="341"/>
        <v>URGENCIAS ADULTO-Jenny Peña</v>
      </c>
      <c r="F7108" s="5" t="str">
        <f>"Descripcion: CAMILLAS FIJAS PARA CONSULTORIO. Estructura fabricada en tuberia cuadrada con soporte central.Batidor metalico forrado en espuma de cinco cms de espesor y tapizado en cordoban lavable, movimiento de levante espaldar accionado macanicamente po"&amp; "r medio de u Estado: Bueno Placa anterior: 000031502 Material: METAL Color: GRIS CON NEGRO Referencia:  Observacion:  Placa padre: Tipo adquisicion: Entidad"</f>
        <v>Descripcion: CAMILLAS FIJAS PARA CONSULTORIO. Estructura fabricada en tuberia cuadrada con soporte central.Batidor metalico forrado en espuma de cinco cms de espesor y tapizado en cordoban lavable, movimiento de levante espaldar accionado macanicamente por medio de u Estado: Bueno Placa anterior: 000031502 Material: METAL Color: GRIS CON NEGRO Referencia:  Observacion:  Placa padre: Tipo adquisicion: Entidad</v>
      </c>
      <c r="G7108" s="5" t="str">
        <f>"141-03"</f>
        <v>141-03</v>
      </c>
    </row>
    <row r="7109" spans="1:7" ht="58.5" customHeight="1" x14ac:dyDescent="0.25">
      <c r="A7109" s="5" t="str">
        <f>"H0006208"</f>
        <v>H0006208</v>
      </c>
      <c r="B7109" s="5" t="str">
        <f>"CAMILLA DE TRASLADO CON BARANDAS"</f>
        <v>CAMILLA DE TRASLADO CON BARANDAS</v>
      </c>
      <c r="C7109" s="6">
        <v>11872786</v>
      </c>
      <c r="D7109" s="5" t="s">
        <v>446</v>
      </c>
      <c r="E7109" s="5" t="str">
        <f t="shared" si="341"/>
        <v>URGENCIAS ADULTO-Jenny Peña</v>
      </c>
      <c r="F7109" s="5" t="str">
        <f>"Descripcion:  CAMILLA DE TRASLADO CON BARANDAS Estado: Bueno Placa anterior: 000030278 Material: METALICO Color: BEIGE Referencia:  Observacion: SE ENCUENTRA PLACA ANTERIOR No. 000037383, CORRESPONDE A UNA,LICENCIA DE WINDOWS Placa padre: Tipo adquisicion"&amp; ": Entidad"</f>
        <v>Descripcion:  CAMILLA DE TRASLADO CON BARANDAS Estado: Bueno Placa anterior: 000030278 Material: METALICO Color: BEIGE Referencia:  Observacion: SE ENCUENTRA PLACA ANTERIOR No. 000037383, CORRESPONDE A UNA,LICENCIA DE WINDOWS Placa padre: Tipo adquisicion: Entidad</v>
      </c>
      <c r="G7109" s="5"/>
    </row>
    <row r="7110" spans="1:7" ht="58.5" customHeight="1" x14ac:dyDescent="0.25">
      <c r="A7110" s="5" t="str">
        <f>"H0006209"</f>
        <v>H0006209</v>
      </c>
      <c r="B7110" s="5" t="str">
        <f>"ATRIL PORTASUERO MOVIL"</f>
        <v>ATRIL PORTASUERO MOVIL</v>
      </c>
      <c r="C7110" s="6">
        <v>210000</v>
      </c>
      <c r="D7110" s="5" t="s">
        <v>50</v>
      </c>
      <c r="E7110" s="5" t="str">
        <f t="shared" si="341"/>
        <v>URGENCIAS ADULTO-Jenny Peña</v>
      </c>
      <c r="F7110" s="5" t="str">
        <f>"Descripcion: ATRIL PORTASUERO CON RODACHINAS Estado: Bueno Placa anterior: 000029694 Material: ACERO INOXIDABLE Color: PLATEADO Referencia:  Observacion:  Placa padre: Tipo adquisicion: Entidad"</f>
        <v>Descripcion: ATRIL PORTASUERO CON RODACHINAS Estado: Bueno Placa anterior: 000029694 Material: ACERO INOXIDABLE Color: PLATEADO Referencia:  Observacion:  Placa padre: Tipo adquisicion: Entidad</v>
      </c>
      <c r="G7110" s="5"/>
    </row>
    <row r="7111" spans="1:7" ht="58.5" customHeight="1" x14ac:dyDescent="0.25">
      <c r="A7111" s="5" t="str">
        <f>"H0006212"</f>
        <v>H0006212</v>
      </c>
      <c r="B7111" s="5" t="str">
        <f>"ESCALERILLA DE 2 PASOS"</f>
        <v>ESCALERILLA DE 2 PASOS</v>
      </c>
      <c r="C7111" s="6">
        <v>100000</v>
      </c>
      <c r="D7111" s="5" t="s">
        <v>49</v>
      </c>
      <c r="E7111" s="5" t="str">
        <f t="shared" si="341"/>
        <v>URGENCIAS ADULTO-Jenny Peña</v>
      </c>
      <c r="F7111" s="5" t="str">
        <f>"Descripcion: ESCALERILLA DE DOS PASO EN TUBO REDONDO Estado: Bueno Placa anterior: 000029795 Material: METAL Color: BLANCO Referencia:  Observacion:  Placa padre: Tipo adquisicion: Entidad"</f>
        <v>Descripcion: ESCALERILLA DE DOS PASO EN TUBO REDONDO Estado: Bueno Placa anterior: 000029795 Material: METAL Color: BLANCO Referencia:  Observacion:  Placa padre: Tipo adquisicion: Entidad</v>
      </c>
      <c r="G7111" s="5"/>
    </row>
    <row r="7112" spans="1:7" ht="58.5" customHeight="1" x14ac:dyDescent="0.25">
      <c r="A7112" s="5" t="str">
        <f>"H0006213"</f>
        <v>H0006213</v>
      </c>
      <c r="B7112" s="5" t="str">
        <f>"ATRIL PORTASUERO MOVIL"</f>
        <v>ATRIL PORTASUERO MOVIL</v>
      </c>
      <c r="C7112" s="6">
        <v>210000</v>
      </c>
      <c r="D7112" s="5" t="s">
        <v>50</v>
      </c>
      <c r="E7112" s="5" t="str">
        <f t="shared" si="341"/>
        <v>URGENCIAS ADULTO-Jenny Peña</v>
      </c>
      <c r="F7112" s="5" t="str">
        <f>"Descripcion: ATRIL PORTASUERO CON RODACHINAS Estado: Bueno Placa anterior: 000029697 Material: METAL Color: BEIGE Referencia:  Observacion:  Placa padre: Tipo adquisicion: Entidad"</f>
        <v>Descripcion: ATRIL PORTASUERO CON RODACHINAS Estado: Bueno Placa anterior: 000029697 Material: METAL Color: BEIGE Referencia:  Observacion:  Placa padre: Tipo adquisicion: Entidad</v>
      </c>
      <c r="G7112" s="5"/>
    </row>
    <row r="7113" spans="1:7" ht="58.5" customHeight="1" x14ac:dyDescent="0.25">
      <c r="A7113" s="5" t="str">
        <f>"H0006214"</f>
        <v>H0006214</v>
      </c>
      <c r="B7113" s="5" t="str">
        <f>"CAMILLA DE TRASLADO DE 2 PLANOS"</f>
        <v>CAMILLA DE TRASLADO DE 2 PLANOS</v>
      </c>
      <c r="C7113" s="6">
        <v>1780000</v>
      </c>
      <c r="D7113" s="5" t="s">
        <v>63</v>
      </c>
      <c r="E7113" s="5" t="str">
        <f t="shared" si="341"/>
        <v>URGENCIAS ADULTO-Jenny Peña</v>
      </c>
      <c r="F7113" s="5" t="str">
        <f>"Descripcion: CAMILLA MECANICA DOS PLANOS Estado: Bueno Placa anterior: 000037760 Material: METAL Color: BEIGE Referencia:  Observacion:  Placa padre: Tipo adquisicion: Entidad"</f>
        <v>Descripcion: CAMILLA MECANICA DOS PLANOS Estado: Bueno Placa anterior: 000037760 Material: METAL Color: BEIGE Referencia:  Observacion:  Placa padre: Tipo adquisicion: Entidad</v>
      </c>
      <c r="G7113" s="5"/>
    </row>
    <row r="7114" spans="1:7" ht="58.5" customHeight="1" x14ac:dyDescent="0.25">
      <c r="A7114" s="5" t="str">
        <f>"H0006215"</f>
        <v>H0006215</v>
      </c>
      <c r="B7114" s="5" t="str">
        <f>"MESON EN ACERO INOXIDABLE"</f>
        <v>MESON EN ACERO INOXIDABLE</v>
      </c>
      <c r="C7114" s="6">
        <v>81414.84</v>
      </c>
      <c r="D7114" s="5"/>
      <c r="E7114" s="5" t="str">
        <f t="shared" si="341"/>
        <v>URGENCIAS ADULTO-Jenny Peña</v>
      </c>
      <c r="F7114" s="5" t="str">
        <f>"Descripcion: MESON EN ACERO INOXIDABLE DIM: 86X290X60 CMS. Estado: Bueno Placa anterior: 000019718 Material: ACERO INOXIDABLE Color: PLATEADO Referencia:  Observacion:  Placa padre: Tipo adquisicion: Entidad"</f>
        <v>Descripcion: MESON EN ACERO INOXIDABLE DIM: 86X290X60 CMS. Estado: Bueno Placa anterior: 000019718 Material: ACERO INOXIDABLE Color: PLATEADO Referencia:  Observacion:  Placa padre: Tipo adquisicion: Entidad</v>
      </c>
      <c r="G7114" s="5"/>
    </row>
    <row r="7115" spans="1:7" ht="58.5" customHeight="1" x14ac:dyDescent="0.25">
      <c r="A7115" s="5" t="str">
        <f>"H0006216"</f>
        <v>H0006216</v>
      </c>
      <c r="B7115" s="5" t="str">
        <f>"ESCALERILLA DE 2 PASOS"</f>
        <v>ESCALERILLA DE 2 PASOS</v>
      </c>
      <c r="C7115" s="6">
        <v>100000</v>
      </c>
      <c r="D7115" s="5" t="s">
        <v>49</v>
      </c>
      <c r="E7115" s="5" t="str">
        <f t="shared" si="341"/>
        <v>URGENCIAS ADULTO-Jenny Peña</v>
      </c>
      <c r="F7115" s="5" t="str">
        <f>"Descripcion: ESCALERILLA DE 2 PASOS EN PASTA Estado: Bueno Placa anterior: 000029811 Material: METAL Y PASTA Color: BLANCO Referencia:  Observacion:  Placa padre: Tipo adquisicion: Entidad"</f>
        <v>Descripcion: ESCALERILLA DE 2 PASOS EN PASTA Estado: Bueno Placa anterior: 000029811 Material: METAL Y PASTA Color: BLANCO Referencia:  Observacion:  Placa padre: Tipo adquisicion: Entidad</v>
      </c>
      <c r="G7115" s="5"/>
    </row>
    <row r="7116" spans="1:7" ht="58.5" customHeight="1" x14ac:dyDescent="0.25">
      <c r="A7116" s="5" t="str">
        <f>"H0006217"</f>
        <v>H0006217</v>
      </c>
      <c r="B7116" s="5" t="str">
        <f>"CARRO PORTA HISTORIAS CLINICAS"</f>
        <v>CARRO PORTA HISTORIAS CLINICAS</v>
      </c>
      <c r="C7116" s="6">
        <v>2876800</v>
      </c>
      <c r="D7116" s="5" t="s">
        <v>161</v>
      </c>
      <c r="E7116" s="5" t="str">
        <f t="shared" si="341"/>
        <v>URGENCIAS ADULTO-Jenny Peña</v>
      </c>
      <c r="F7116" s="5" t="str">
        <f>"Descripcion: CARRO PORTAHISTORIAS Estructura fabricada en tuberia cuadrada.Tapa superior plegable metalica, con espacio interior para guardar placas de rayosx.Soportes horizontales en lamina para guasrdar las portahistorias de 32 cm.Manilar metalico para "&amp; "ser conducid Estado: Bueno Placa anterior: 000031545 Material: METAL Color: GRIS Referencia:  Observacion:  Placa padre: Tipo adquisicion: Entidad"</f>
        <v>Descripcion: CARRO PORTAHISTORIAS Estructura fabricada en tuberia cuadrada.Tapa superior plegable metalica, con espacio interior para guardar placas de rayosx.Soportes horizontales en lamina para guasrdar las portahistorias de 32 cm.Manilar metalico para ser conducid Estado: Bueno Placa anterior: 000031545 Material: METAL Color: GRIS Referencia:  Observacion:  Placa padre: Tipo adquisicion: Entidad</v>
      </c>
      <c r="G7116" s="5" t="str">
        <f>"101-08"</f>
        <v>101-08</v>
      </c>
    </row>
    <row r="7117" spans="1:7" ht="58.5" customHeight="1" x14ac:dyDescent="0.25">
      <c r="A7117" s="5" t="str">
        <f>"H0006218"</f>
        <v>H0006218</v>
      </c>
      <c r="B7117" s="5" t="str">
        <f t="shared" ref="B7117:B7134" si="342">"TABLA DE ALUMINIO HISTORIAS CLINICAS (PORTAHISTORIAS)"</f>
        <v>TABLA DE ALUMINIO HISTORIAS CLINICAS (PORTAHISTORIAS)</v>
      </c>
      <c r="C7117" s="6">
        <v>24746.639999999999</v>
      </c>
      <c r="D7117" s="5"/>
      <c r="E7117" s="5" t="str">
        <f t="shared" si="341"/>
        <v>URGENCIAS ADULTO-Jenny Peña</v>
      </c>
      <c r="F7117" s="5" t="str">
        <f>"Descripcion: TABLA DE ALUMINIO HISTORIAS CLINICAS (PORTAHISTORIAS) Estado: Bueno Placa anterior: 000019361 Material: AUMINIO Color: GRIS Referencia:  Observacion:  Placa padre: Tipo adquisicion: Entidad"</f>
        <v>Descripcion: TABLA DE ALUMINIO HISTORIAS CLINICAS (PORTAHISTORIAS) Estado: Bueno Placa anterior: 000019361 Material: AUMINIO Color: GRIS Referencia:  Observacion:  Placa padre: Tipo adquisicion: Entidad</v>
      </c>
      <c r="G7117" s="5"/>
    </row>
    <row r="7118" spans="1:7" ht="58.5" customHeight="1" x14ac:dyDescent="0.25">
      <c r="A7118" s="5" t="str">
        <f>"H0006219"</f>
        <v>H0006219</v>
      </c>
      <c r="B7118" s="5" t="str">
        <f t="shared" si="342"/>
        <v>TABLA DE ALUMINIO HISTORIAS CLINICAS (PORTAHISTORIAS)</v>
      </c>
      <c r="C7118" s="6">
        <v>24746.639999999999</v>
      </c>
      <c r="D7118" s="5"/>
      <c r="E7118" s="5" t="str">
        <f t="shared" si="341"/>
        <v>URGENCIAS ADULTO-Jenny Peña</v>
      </c>
      <c r="F7118" s="5" t="str">
        <f>"Descripcion: TABLA DE ALUMINIO HISTORIAS CLINICAS (PORTAHISTORIAS) Estado: Bueno Placa anterior: 000019432 Material: AUMINIO Color: GRIS Referencia:  Observacion:  Placa padre: Tipo adquisicion: Entidad"</f>
        <v>Descripcion: TABLA DE ALUMINIO HISTORIAS CLINICAS (PORTAHISTORIAS) Estado: Bueno Placa anterior: 000019432 Material: AUMINIO Color: GRIS Referencia:  Observacion:  Placa padre: Tipo adquisicion: Entidad</v>
      </c>
      <c r="G7118" s="5"/>
    </row>
    <row r="7119" spans="1:7" ht="58.5" customHeight="1" x14ac:dyDescent="0.25">
      <c r="A7119" s="5" t="str">
        <f>"H0006220"</f>
        <v>H0006220</v>
      </c>
      <c r="B7119" s="5" t="str">
        <f t="shared" si="342"/>
        <v>TABLA DE ALUMINIO HISTORIAS CLINICAS (PORTAHISTORIAS)</v>
      </c>
      <c r="C7119" s="6">
        <v>15850.27</v>
      </c>
      <c r="D7119" s="5"/>
      <c r="E7119" s="5" t="str">
        <f t="shared" si="341"/>
        <v>URGENCIAS ADULTO-Jenny Peña</v>
      </c>
      <c r="F7119" s="5" t="str">
        <f>"Descripcion: TABLA DE ALUMINIO HISTORIAS CLINICAS (PORTAHISTORIAS) Estado: Bueno Placa anterior: 000019772 Material: AUMINIO Color: GRIS Referencia:  Observacion:  Placa padre: Tipo adquisicion: Entidad"</f>
        <v>Descripcion: TABLA DE ALUMINIO HISTORIAS CLINICAS (PORTAHISTORIAS) Estado: Bueno Placa anterior: 000019772 Material: AUMINIO Color: GRIS Referencia:  Observacion:  Placa padre: Tipo adquisicion: Entidad</v>
      </c>
      <c r="G7119" s="5"/>
    </row>
    <row r="7120" spans="1:7" ht="58.5" customHeight="1" x14ac:dyDescent="0.25">
      <c r="A7120" s="5" t="str">
        <f>"H0006221"</f>
        <v>H0006221</v>
      </c>
      <c r="B7120" s="5" t="str">
        <f t="shared" si="342"/>
        <v>TABLA DE ALUMINIO HISTORIAS CLINICAS (PORTAHISTORIAS)</v>
      </c>
      <c r="C7120" s="6">
        <v>24746.639999999999</v>
      </c>
      <c r="D7120" s="5"/>
      <c r="E7120" s="5" t="str">
        <f t="shared" si="341"/>
        <v>URGENCIAS ADULTO-Jenny Peña</v>
      </c>
      <c r="F7120" s="5" t="str">
        <f>"Descripcion: TABLA DE ALUMINIO HISTORIAS CLINICAS (PORTAHISTORIAS) Estado: Bueno Placa anterior: 000019774 Material: AUMINIO Color: GRIS Referencia:  Observacion:  Placa padre: Tipo adquisicion: Entidad"</f>
        <v>Descripcion: TABLA DE ALUMINIO HISTORIAS CLINICAS (PORTAHISTORIAS) Estado: Bueno Placa anterior: 000019774 Material: AUMINIO Color: GRIS Referencia:  Observacion:  Placa padre: Tipo adquisicion: Entidad</v>
      </c>
      <c r="G7120" s="5"/>
    </row>
    <row r="7121" spans="1:7" ht="58.5" customHeight="1" x14ac:dyDescent="0.25">
      <c r="A7121" s="5" t="str">
        <f>"H0006222"</f>
        <v>H0006222</v>
      </c>
      <c r="B7121" s="5" t="str">
        <f t="shared" si="342"/>
        <v>TABLA DE ALUMINIO HISTORIAS CLINICAS (PORTAHISTORIAS)</v>
      </c>
      <c r="C7121" s="6">
        <v>24746.639999999999</v>
      </c>
      <c r="D7121" s="5"/>
      <c r="E7121" s="5" t="str">
        <f t="shared" si="341"/>
        <v>URGENCIAS ADULTO-Jenny Peña</v>
      </c>
      <c r="F7121" s="5" t="str">
        <f>"Descripcion: TABLA DE ALUMINIO HISTORIAS CLINICAS (PORTAHISTORIAS) Estado: Bueno Placa anterior: 000019776 Material: AUMINIO Color: GRIS Referencia:  Observacion:  Placa padre: Tipo adquisicion: Entidad"</f>
        <v>Descripcion: TABLA DE ALUMINIO HISTORIAS CLINICAS (PORTAHISTORIAS) Estado: Bueno Placa anterior: 000019776 Material: AUMINIO Color: GRIS Referencia:  Observacion:  Placa padre: Tipo adquisicion: Entidad</v>
      </c>
      <c r="G7121" s="5"/>
    </row>
    <row r="7122" spans="1:7" ht="58.5" customHeight="1" x14ac:dyDescent="0.25">
      <c r="A7122" s="5" t="str">
        <f>"H0006223"</f>
        <v>H0006223</v>
      </c>
      <c r="B7122" s="5" t="str">
        <f t="shared" si="342"/>
        <v>TABLA DE ALUMINIO HISTORIAS CLINICAS (PORTAHISTORIAS)</v>
      </c>
      <c r="C7122" s="6">
        <v>24746.639999999999</v>
      </c>
      <c r="D7122" s="5"/>
      <c r="E7122" s="5" t="str">
        <f t="shared" si="341"/>
        <v>URGENCIAS ADULTO-Jenny Peña</v>
      </c>
      <c r="F7122" s="5" t="str">
        <f>"Descripcion: TABLA DE ALUMINIO HISTORIAS CLINICAS (PORTAHISTORIAS) Estado: Bueno Placa anterior: 000019808 Material: AUMINIO Color: GRIS Referencia:  Observacion:  Placa padre: Tipo adquisicion: Entidad"</f>
        <v>Descripcion: TABLA DE ALUMINIO HISTORIAS CLINICAS (PORTAHISTORIAS) Estado: Bueno Placa anterior: 000019808 Material: AUMINIO Color: GRIS Referencia:  Observacion:  Placa padre: Tipo adquisicion: Entidad</v>
      </c>
      <c r="G7122" s="5"/>
    </row>
    <row r="7123" spans="1:7" ht="58.5" customHeight="1" x14ac:dyDescent="0.25">
      <c r="A7123" s="5" t="str">
        <f>"H0006224"</f>
        <v>H0006224</v>
      </c>
      <c r="B7123" s="5" t="str">
        <f t="shared" si="342"/>
        <v>TABLA DE ALUMINIO HISTORIAS CLINICAS (PORTAHISTORIAS)</v>
      </c>
      <c r="C7123" s="6">
        <v>24746.639999999999</v>
      </c>
      <c r="D7123" s="5"/>
      <c r="E7123" s="5" t="str">
        <f t="shared" si="341"/>
        <v>URGENCIAS ADULTO-Jenny Peña</v>
      </c>
      <c r="F7123" s="5" t="str">
        <f>"Descripcion: TABLA DE ALUMINIO HISTORIAS CLINICAS (PORTAHISTORIAS) Estado: Bueno Placa anterior: 000019838 Material: AUMINIO Color: GRIS Referencia:  Observacion:  Placa padre: Tipo adquisicion: Entidad"</f>
        <v>Descripcion: TABLA DE ALUMINIO HISTORIAS CLINICAS (PORTAHISTORIAS) Estado: Bueno Placa anterior: 000019838 Material: AUMINIO Color: GRIS Referencia:  Observacion:  Placa padre: Tipo adquisicion: Entidad</v>
      </c>
      <c r="G7123" s="5"/>
    </row>
    <row r="7124" spans="1:7" ht="58.5" customHeight="1" x14ac:dyDescent="0.25">
      <c r="A7124" s="5" t="str">
        <f>"H0006225"</f>
        <v>H0006225</v>
      </c>
      <c r="B7124" s="5" t="str">
        <f t="shared" si="342"/>
        <v>TABLA DE ALUMINIO HISTORIAS CLINICAS (PORTAHISTORIAS)</v>
      </c>
      <c r="C7124" s="6">
        <v>24746.639999999999</v>
      </c>
      <c r="D7124" s="5"/>
      <c r="E7124" s="5" t="str">
        <f t="shared" si="341"/>
        <v>URGENCIAS ADULTO-Jenny Peña</v>
      </c>
      <c r="F7124" s="5" t="str">
        <f>"Descripcion: TABLA DE ALUMINIO HISTORIAS CLINICAS (PORTAHISTORIAS) Estado: Bueno Placa anterior: 000019839 Material: AUMINIO Color: GRIS Referencia:  Observacion:  Placa padre: Tipo adquisicion: Entidad"</f>
        <v>Descripcion: TABLA DE ALUMINIO HISTORIAS CLINICAS (PORTAHISTORIAS) Estado: Bueno Placa anterior: 000019839 Material: AUMINIO Color: GRIS Referencia:  Observacion:  Placa padre: Tipo adquisicion: Entidad</v>
      </c>
      <c r="G7124" s="5"/>
    </row>
    <row r="7125" spans="1:7" ht="58.5" customHeight="1" x14ac:dyDescent="0.25">
      <c r="A7125" s="5" t="str">
        <f>"H0006226"</f>
        <v>H0006226</v>
      </c>
      <c r="B7125" s="5" t="str">
        <f t="shared" si="342"/>
        <v>TABLA DE ALUMINIO HISTORIAS CLINICAS (PORTAHISTORIAS)</v>
      </c>
      <c r="C7125" s="6">
        <v>24746.639999999999</v>
      </c>
      <c r="D7125" s="5"/>
      <c r="E7125" s="5" t="str">
        <f t="shared" si="341"/>
        <v>URGENCIAS ADULTO-Jenny Peña</v>
      </c>
      <c r="F7125" s="5" t="str">
        <f>"Descripcion: TABLA DE ALUMINIO HISTORIAS CLINICAS (PORTAHISTORIAS) Estado: Bueno Placa anterior: 000021459 Material: AUMINIO Color: GRIS Referencia:  Observacion:  Placa padre: Tipo adquisicion: Entidad"</f>
        <v>Descripcion: TABLA DE ALUMINIO HISTORIAS CLINICAS (PORTAHISTORIAS) Estado: Bueno Placa anterior: 000021459 Material: AUMINIO Color: GRIS Referencia:  Observacion:  Placa padre: Tipo adquisicion: Entidad</v>
      </c>
      <c r="G7125" s="5"/>
    </row>
    <row r="7126" spans="1:7" ht="58.5" customHeight="1" x14ac:dyDescent="0.25">
      <c r="A7126" s="5" t="str">
        <f>"H0006227"</f>
        <v>H0006227</v>
      </c>
      <c r="B7126" s="5" t="str">
        <f t="shared" si="342"/>
        <v>TABLA DE ALUMINIO HISTORIAS CLINICAS (PORTAHISTORIAS)</v>
      </c>
      <c r="C7126" s="6">
        <v>24746.639999999999</v>
      </c>
      <c r="D7126" s="5"/>
      <c r="E7126" s="5" t="str">
        <f t="shared" si="341"/>
        <v>URGENCIAS ADULTO-Jenny Peña</v>
      </c>
      <c r="F7126" s="5" t="str">
        <f>"Descripcion: TABLA DE ALUMINIO HISTORIAS CLINICAS (PORTAHISTORIAS) Estado: Bueno Placa anterior: 000019788 Material: AUMINIO Color: GRIS Referencia:  Observacion:  Placa padre: Tipo adquisicion: Entidad"</f>
        <v>Descripcion: TABLA DE ALUMINIO HISTORIAS CLINICAS (PORTAHISTORIAS) Estado: Bueno Placa anterior: 000019788 Material: AUMINIO Color: GRIS Referencia:  Observacion:  Placa padre: Tipo adquisicion: Entidad</v>
      </c>
      <c r="G7126" s="5"/>
    </row>
    <row r="7127" spans="1:7" ht="58.5" customHeight="1" x14ac:dyDescent="0.25">
      <c r="A7127" s="5" t="str">
        <f>"H0006228"</f>
        <v>H0006228</v>
      </c>
      <c r="B7127" s="5" t="str">
        <f t="shared" si="342"/>
        <v>TABLA DE ALUMINIO HISTORIAS CLINICAS (PORTAHISTORIAS)</v>
      </c>
      <c r="C7127" s="6">
        <v>24746.639999999999</v>
      </c>
      <c r="D7127" s="5"/>
      <c r="E7127" s="5" t="str">
        <f t="shared" si="341"/>
        <v>URGENCIAS ADULTO-Jenny Peña</v>
      </c>
      <c r="F7127" s="5" t="str">
        <f>"Descripcion: TABLA DE ALUMINIO HISTORIAS CLINICAS (PORTAHISTORIAS) Estado: Bueno Placa anterior: 000019789 Material: AUMINIO Color: GRIS Referencia:  Observacion:  Placa padre: Tipo adquisicion: Entidad"</f>
        <v>Descripcion: TABLA DE ALUMINIO HISTORIAS CLINICAS (PORTAHISTORIAS) Estado: Bueno Placa anterior: 000019789 Material: AUMINIO Color: GRIS Referencia:  Observacion:  Placa padre: Tipo adquisicion: Entidad</v>
      </c>
      <c r="G7127" s="5"/>
    </row>
    <row r="7128" spans="1:7" ht="58.5" customHeight="1" x14ac:dyDescent="0.25">
      <c r="A7128" s="5" t="str">
        <f>"H0006229"</f>
        <v>H0006229</v>
      </c>
      <c r="B7128" s="5" t="str">
        <f t="shared" si="342"/>
        <v>TABLA DE ALUMINIO HISTORIAS CLINICAS (PORTAHISTORIAS)</v>
      </c>
      <c r="C7128" s="6">
        <v>24746.639999999999</v>
      </c>
      <c r="D7128" s="5"/>
      <c r="E7128" s="5" t="str">
        <f t="shared" si="341"/>
        <v>URGENCIAS ADULTO-Jenny Peña</v>
      </c>
      <c r="F7128" s="5" t="str">
        <f>"Descripcion: TABLA DE ALUMINIO HISTORIAS CLINICAS (PORTAHISTORIAS) Estado: Bueno Placa anterior: 000019790 Material: AUMINIO Color: GRIS Referencia:  Observacion:  Placa padre: Tipo adquisicion: Entidad"</f>
        <v>Descripcion: TABLA DE ALUMINIO HISTORIAS CLINICAS (PORTAHISTORIAS) Estado: Bueno Placa anterior: 000019790 Material: AUMINIO Color: GRIS Referencia:  Observacion:  Placa padre: Tipo adquisicion: Entidad</v>
      </c>
      <c r="G7128" s="5"/>
    </row>
    <row r="7129" spans="1:7" ht="58.5" customHeight="1" x14ac:dyDescent="0.25">
      <c r="A7129" s="5" t="str">
        <f>"H0006230"</f>
        <v>H0006230</v>
      </c>
      <c r="B7129" s="5" t="str">
        <f t="shared" si="342"/>
        <v>TABLA DE ALUMINIO HISTORIAS CLINICAS (PORTAHISTORIAS)</v>
      </c>
      <c r="C7129" s="6">
        <v>24746.639999999999</v>
      </c>
      <c r="D7129" s="5"/>
      <c r="E7129" s="5" t="str">
        <f t="shared" si="341"/>
        <v>URGENCIAS ADULTO-Jenny Peña</v>
      </c>
      <c r="F7129" s="5" t="str">
        <f>"Descripcion: TABLA DE ALUMINIO HISTORIAS CLINICAS (PORTAHISTORIAS) Estado: Bueno Placa anterior: 000019815 Material: AUMINIO Color: GRIS Referencia:  Observacion:  Placa padre: Tipo adquisicion: Entidad"</f>
        <v>Descripcion: TABLA DE ALUMINIO HISTORIAS CLINICAS (PORTAHISTORIAS) Estado: Bueno Placa anterior: 000019815 Material: AUMINIO Color: GRIS Referencia:  Observacion:  Placa padre: Tipo adquisicion: Entidad</v>
      </c>
      <c r="G7129" s="5"/>
    </row>
    <row r="7130" spans="1:7" ht="58.5" customHeight="1" x14ac:dyDescent="0.25">
      <c r="A7130" s="5" t="str">
        <f>"H0006231"</f>
        <v>H0006231</v>
      </c>
      <c r="B7130" s="5" t="str">
        <f t="shared" si="342"/>
        <v>TABLA DE ALUMINIO HISTORIAS CLINICAS (PORTAHISTORIAS)</v>
      </c>
      <c r="C7130" s="6">
        <v>24746.639999999999</v>
      </c>
      <c r="D7130" s="5"/>
      <c r="E7130" s="5" t="str">
        <f t="shared" si="341"/>
        <v>URGENCIAS ADULTO-Jenny Peña</v>
      </c>
      <c r="F7130" s="5" t="str">
        <f>"Descripcion: TABLA DE ALUMINIO HISTORIAS CLINICAS (PORTAHISTORIAS) Estado: Bueno Placa anterior: 000019816 Material: AUMINIO Color: GRIS Referencia:  Observacion:  Placa padre: Tipo adquisicion: Entidad"</f>
        <v>Descripcion: TABLA DE ALUMINIO HISTORIAS CLINICAS (PORTAHISTORIAS) Estado: Bueno Placa anterior: 000019816 Material: AUMINIO Color: GRIS Referencia:  Observacion:  Placa padre: Tipo adquisicion: Entidad</v>
      </c>
      <c r="G7130" s="5"/>
    </row>
    <row r="7131" spans="1:7" ht="58.5" customHeight="1" x14ac:dyDescent="0.25">
      <c r="A7131" s="5" t="str">
        <f>"H0006232"</f>
        <v>H0006232</v>
      </c>
      <c r="B7131" s="5" t="str">
        <f t="shared" si="342"/>
        <v>TABLA DE ALUMINIO HISTORIAS CLINICAS (PORTAHISTORIAS)</v>
      </c>
      <c r="C7131" s="6">
        <v>24746.639999999999</v>
      </c>
      <c r="D7131" s="5"/>
      <c r="E7131" s="5" t="str">
        <f t="shared" si="341"/>
        <v>URGENCIAS ADULTO-Jenny Peña</v>
      </c>
      <c r="F7131" s="5" t="str">
        <f>"Descripcion: TABLA DE ALUMINIO HISTORIAS CLINICAS (PORTAHISTORIAS) Estado: Bueno Placa anterior: 000019819 Material: AUMINIO Color: GRIS Referencia:  Observacion:  Placa padre: Tipo adquisicion: Entidad"</f>
        <v>Descripcion: TABLA DE ALUMINIO HISTORIAS CLINICAS (PORTAHISTORIAS) Estado: Bueno Placa anterior: 000019819 Material: AUMINIO Color: GRIS Referencia:  Observacion:  Placa padre: Tipo adquisicion: Entidad</v>
      </c>
      <c r="G7131" s="5"/>
    </row>
    <row r="7132" spans="1:7" ht="58.5" customHeight="1" x14ac:dyDescent="0.25">
      <c r="A7132" s="5" t="str">
        <f>"H0006233"</f>
        <v>H0006233</v>
      </c>
      <c r="B7132" s="5" t="str">
        <f t="shared" si="342"/>
        <v>TABLA DE ALUMINIO HISTORIAS CLINICAS (PORTAHISTORIAS)</v>
      </c>
      <c r="C7132" s="6">
        <v>24746.639999999999</v>
      </c>
      <c r="D7132" s="5"/>
      <c r="E7132" s="5" t="str">
        <f t="shared" si="341"/>
        <v>URGENCIAS ADULTO-Jenny Peña</v>
      </c>
      <c r="F7132" s="5" t="str">
        <f>"Descripcion: TABLA DE ALUMINIO HISTORIAS CLINICAS (PORTAHISTORIAS) Estado: Bueno Placa anterior: 000019822 Material: AUMINIO Color: GRIS Referencia:  Observacion:  Placa padre: Tipo adquisicion: Entidad"</f>
        <v>Descripcion: TABLA DE ALUMINIO HISTORIAS CLINICAS (PORTAHISTORIAS) Estado: Bueno Placa anterior: 000019822 Material: AUMINIO Color: GRIS Referencia:  Observacion:  Placa padre: Tipo adquisicion: Entidad</v>
      </c>
      <c r="G7132" s="5"/>
    </row>
    <row r="7133" spans="1:7" ht="58.5" customHeight="1" x14ac:dyDescent="0.25">
      <c r="A7133" s="5" t="str">
        <f>"H0006234"</f>
        <v>H0006234</v>
      </c>
      <c r="B7133" s="5" t="str">
        <f t="shared" si="342"/>
        <v>TABLA DE ALUMINIO HISTORIAS CLINICAS (PORTAHISTORIAS)</v>
      </c>
      <c r="C7133" s="6">
        <v>24746.639999999999</v>
      </c>
      <c r="D7133" s="5"/>
      <c r="E7133" s="5" t="str">
        <f t="shared" si="341"/>
        <v>URGENCIAS ADULTO-Jenny Peña</v>
      </c>
      <c r="F7133" s="5" t="str">
        <f>"Descripcion: TABLA DE ALUMINIO HISTORIAS CLINICAS (PORTAHISTORIAS) Estado: Bueno Placa anterior: 000019823 Material: AUMINIO Color: GRIS Referencia:  Observacion:  Placa padre: Tipo adquisicion: Entidad"</f>
        <v>Descripcion: TABLA DE ALUMINIO HISTORIAS CLINICAS (PORTAHISTORIAS) Estado: Bueno Placa anterior: 000019823 Material: AUMINIO Color: GRIS Referencia:  Observacion:  Placa padre: Tipo adquisicion: Entidad</v>
      </c>
      <c r="G7133" s="5"/>
    </row>
    <row r="7134" spans="1:7" ht="58.5" customHeight="1" x14ac:dyDescent="0.25">
      <c r="A7134" s="5" t="str">
        <f>"H0006235"</f>
        <v>H0006235</v>
      </c>
      <c r="B7134" s="5" t="str">
        <f t="shared" si="342"/>
        <v>TABLA DE ALUMINIO HISTORIAS CLINICAS (PORTAHISTORIAS)</v>
      </c>
      <c r="C7134" s="6">
        <v>24746.639999999999</v>
      </c>
      <c r="D7134" s="5"/>
      <c r="E7134" s="5" t="str">
        <f t="shared" si="341"/>
        <v>URGENCIAS ADULTO-Jenny Peña</v>
      </c>
      <c r="F7134" s="5" t="str">
        <f>"Descripcion: TABLA DE ALUMINIO HISTORIAS CLINICAS (PORTAHISTORIAS) Estado: Bueno Placa anterior: 000019824 Material: AUMINIO Color: GRIS Referencia:  Observacion:  Placa padre: Tipo adquisicion: Entidad"</f>
        <v>Descripcion: TABLA DE ALUMINIO HISTORIAS CLINICAS (PORTAHISTORIAS) Estado: Bueno Placa anterior: 000019824 Material: AUMINIO Color: GRIS Referencia:  Observacion:  Placa padre: Tipo adquisicion: Entidad</v>
      </c>
      <c r="G7134" s="5"/>
    </row>
    <row r="7135" spans="1:7" ht="58.5" customHeight="1" x14ac:dyDescent="0.25">
      <c r="A7135" s="5" t="str">
        <f>"H0006237"</f>
        <v>H0006237</v>
      </c>
      <c r="B7135" s="5" t="str">
        <f>"MESA METALICA AUXILIAR"</f>
        <v>MESA METALICA AUXILIAR</v>
      </c>
      <c r="C7135" s="6">
        <v>7800</v>
      </c>
      <c r="D7135" s="5"/>
      <c r="E7135" s="5" t="str">
        <f t="shared" si="341"/>
        <v>URGENCIAS ADULTO-Jenny Peña</v>
      </c>
      <c r="F7135" s="5" t="str">
        <f>"Descripcion: MESA TIPO H (MECANOGRAFA CON ALA) Estado: Bueno Placa anterior: 000001446 Material: METALICO Color: GRIS Y MADERA CLARO Referencia:  Observacion:  Placa padre: Tipo adquisicion: Entidad"</f>
        <v>Descripcion: MESA TIPO H (MECANOGRAFA CON ALA) Estado: Bueno Placa anterior: 000001446 Material: METALICO Color: GRIS Y MADERA CLARO Referencia:  Observacion:  Placa padre: Tipo adquisicion: Entidad</v>
      </c>
      <c r="G7135" s="5"/>
    </row>
    <row r="7136" spans="1:7" ht="58.5" customHeight="1" x14ac:dyDescent="0.25">
      <c r="A7136" s="5" t="str">
        <f>"H0006243"</f>
        <v>H0006243</v>
      </c>
      <c r="B7136" s="5" t="str">
        <f>"CAMILLA DE TRASLADO DE 2 PLANOS"</f>
        <v>CAMILLA DE TRASLADO DE 2 PLANOS</v>
      </c>
      <c r="C7136" s="6">
        <v>1500000</v>
      </c>
      <c r="D7136" s="5"/>
      <c r="E7136" s="5" t="str">
        <f t="shared" si="341"/>
        <v>URGENCIAS ADULTO-Jenny Peña</v>
      </c>
      <c r="F7136"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000032905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000032905 Material: METAL Color: BEIGE Referencia:  Observacion:  Placa padre: Tipo adquisicion: Entidad</v>
      </c>
      <c r="G7136" s="5"/>
    </row>
    <row r="7137" spans="1:7" ht="58.5" customHeight="1" x14ac:dyDescent="0.25">
      <c r="A7137" s="5" t="str">
        <f>"H0006248"</f>
        <v>H0006248</v>
      </c>
      <c r="B7137" s="5" t="str">
        <f>"CAMILLA DE TRASLADO DE 2 PLANOS"</f>
        <v>CAMILLA DE TRASLADO DE 2 PLANOS</v>
      </c>
      <c r="C7137" s="6">
        <v>1500000</v>
      </c>
      <c r="D7137" s="5"/>
      <c r="E7137" s="5" t="str">
        <f t="shared" si="341"/>
        <v>URGENCIAS ADULTO-Jenny Peña</v>
      </c>
      <c r="F7137"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000032907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000032907 Material: METAL Color: BEIGE Referencia:  Observacion:  Placa padre: Tipo adquisicion: Entidad</v>
      </c>
      <c r="G7137" s="5"/>
    </row>
    <row r="7138" spans="1:7" ht="58.5" customHeight="1" x14ac:dyDescent="0.25">
      <c r="A7138" s="5" t="str">
        <f>"H0006251"</f>
        <v>H0006251</v>
      </c>
      <c r="B7138" s="5" t="str">
        <f>"PATO (COPROLOGICO) MUJER"</f>
        <v>PATO (COPROLOGICO) MUJER</v>
      </c>
      <c r="C7138" s="6">
        <v>114260</v>
      </c>
      <c r="D7138" s="5"/>
      <c r="E7138" s="5" t="str">
        <f t="shared" si="341"/>
        <v>URGENCIAS ADULTO-Jenny Peña</v>
      </c>
      <c r="F7138" s="5" t="str">
        <f>"Descripcion: PATO DE MUJER CROPOLOGICO Estado: Bueno Placa anterior: 000024389 Material: ACERO Color: PLATEADO Referencia:  Observacion:  Placa padre: Tipo adquisicion: Entidad"</f>
        <v>Descripcion: PATO DE MUJER CROPOLOGICO Estado: Bueno Placa anterior: 000024389 Material: ACERO Color: PLATEADO Referencia:  Observacion:  Placa padre: Tipo adquisicion: Entidad</v>
      </c>
      <c r="G7138" s="5"/>
    </row>
    <row r="7139" spans="1:7" ht="58.5" customHeight="1" x14ac:dyDescent="0.25">
      <c r="A7139" s="5" t="str">
        <f>"H0006252"</f>
        <v>H0006252</v>
      </c>
      <c r="B7139" s="5" t="str">
        <f>"MESON EN ACERO INOXIDABLE"</f>
        <v>MESON EN ACERO INOXIDABLE</v>
      </c>
      <c r="C7139" s="6">
        <v>81414.84</v>
      </c>
      <c r="D7139" s="5"/>
      <c r="E7139" s="5" t="str">
        <f t="shared" si="341"/>
        <v>URGENCIAS ADULTO-Jenny Peña</v>
      </c>
      <c r="F7139" s="5" t="str">
        <f>"Descripcion: MESON DE ACERO INOXIDABLE 86*290*60 Estado: Bueno Placa anterior: 000019702 Material: ACERO Color: PLATEADO Referencia:  Observacion:  Placa padre: Tipo adquisicion: Entidad"</f>
        <v>Descripcion: MESON DE ACERO INOXIDABLE 86*290*60 Estado: Bueno Placa anterior: 000019702 Material: ACERO Color: PLATEADO Referencia:  Observacion:  Placa padre: Tipo adquisicion: Entidad</v>
      </c>
      <c r="G7139" s="5"/>
    </row>
    <row r="7140" spans="1:7" ht="58.5" customHeight="1" x14ac:dyDescent="0.25">
      <c r="A7140" s="5" t="str">
        <f>"H0006253"</f>
        <v>H0006253</v>
      </c>
      <c r="B7140" s="5" t="str">
        <f>"CAMILLA DE TRASLADO CON BARANDAS"</f>
        <v>CAMILLA DE TRASLADO CON BARANDAS</v>
      </c>
      <c r="C7140" s="6">
        <v>1845000</v>
      </c>
      <c r="D7140" s="5" t="s">
        <v>447</v>
      </c>
      <c r="E7140" s="5" t="str">
        <f t="shared" si="341"/>
        <v>URGENCIAS ADULTO-Jenny Peña</v>
      </c>
      <c r="F7140" s="5" t="str">
        <f>"Descripcion: CAMILLA CON RODACHINES DE TRANSPORTE  Estado: Bueno Placa anterior: 000029041 Material: METAL Color: BEIGE Referencia:  Observacion:  Placa padre: Tipo adquisicion: Entidad"</f>
        <v>Descripcion: CAMILLA CON RODACHINES DE TRANSPORTE  Estado: Bueno Placa anterior: 000029041 Material: METAL Color: BEIGE Referencia:  Observacion:  Placa padre: Tipo adquisicion: Entidad</v>
      </c>
      <c r="G7140" s="5" t="str">
        <f>"DOMETAL"</f>
        <v>DOMETAL</v>
      </c>
    </row>
    <row r="7141" spans="1:7" ht="58.5" customHeight="1" x14ac:dyDescent="0.25">
      <c r="A7141" s="5" t="str">
        <f>"H0006255"</f>
        <v>H0006255</v>
      </c>
      <c r="B7141" s="5" t="str">
        <f>"ATRIL PORTASUERO MOVIL"</f>
        <v>ATRIL PORTASUERO MOVIL</v>
      </c>
      <c r="C7141" s="6">
        <v>210000</v>
      </c>
      <c r="D7141" s="5" t="s">
        <v>50</v>
      </c>
      <c r="E7141" s="5" t="str">
        <f t="shared" ref="E7141:E7204" si="343">"URGENCIAS ADULTO-Jenny Peña"</f>
        <v>URGENCIAS ADULTO-Jenny Peña</v>
      </c>
      <c r="F7141" s="5" t="str">
        <f>"Descripcion: ATRIL CON RODACHINES  Estado: Bueno Placa anterior: 000029698 Material: ACERO Color: PLATEADO Referencia:  Observacion:  Placa padre: Tipo adquisicion: Entidad"</f>
        <v>Descripcion: ATRIL CON RODACHINES  Estado: Bueno Placa anterior: 000029698 Material: ACERO Color: PLATEADO Referencia:  Observacion:  Placa padre: Tipo adquisicion: Entidad</v>
      </c>
      <c r="G7141" s="5"/>
    </row>
    <row r="7142" spans="1:7" ht="58.5" customHeight="1" x14ac:dyDescent="0.25">
      <c r="A7142" s="5" t="str">
        <f>"H0006256"</f>
        <v>H0006256</v>
      </c>
      <c r="B7142" s="5" t="str">
        <f>"CAMILLA DE TRASLADO DE 2 PLANOS"</f>
        <v>CAMILLA DE TRASLADO DE 2 PLANOS</v>
      </c>
      <c r="C7142" s="6">
        <v>1693600</v>
      </c>
      <c r="D7142" s="5" t="s">
        <v>166</v>
      </c>
      <c r="E7142" s="5" t="str">
        <f t="shared" si="343"/>
        <v>URGENCIAS ADULTO-Jenny Peña</v>
      </c>
      <c r="F7142"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000031358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000031358 Material: METAL Color: BEIGE Referencia:  Observacion:  Placa padre: Tipo adquisicion: Entidad</v>
      </c>
      <c r="G7142" s="5" t="str">
        <f>"141-70"</f>
        <v>141-70</v>
      </c>
    </row>
    <row r="7143" spans="1:7" ht="58.5" customHeight="1" x14ac:dyDescent="0.25">
      <c r="A7143" s="5" t="str">
        <f>"H0006257"</f>
        <v>H0006257</v>
      </c>
      <c r="B7143" s="5" t="str">
        <f>"ATRIL PORTASUERO FIJO"</f>
        <v>ATRIL PORTASUERO FIJO</v>
      </c>
      <c r="C7143" s="6">
        <v>145000</v>
      </c>
      <c r="D7143" s="5" t="s">
        <v>166</v>
      </c>
      <c r="E7143" s="5" t="str">
        <f t="shared" si="343"/>
        <v>URGENCIAS ADULTO-Jenny Peña</v>
      </c>
      <c r="F7143" s="5" t="str">
        <f>"Descripcion: ATRIL PARA CAMILLA, PORTA SUERO FIJO Estado: Bueno Placa anterior: 000031437 Material: ACERO Color: PLATEADO Referencia:  Observacion:  Placa padre: Tipo adquisicion: Entidad"</f>
        <v>Descripcion: ATRIL PARA CAMILLA, PORTA SUERO FIJO Estado: Bueno Placa anterior: 000031437 Material: ACERO Color: PLATEADO Referencia:  Observacion:  Placa padre: Tipo adquisicion: Entidad</v>
      </c>
      <c r="G7143" s="5"/>
    </row>
    <row r="7144" spans="1:7" ht="58.5" customHeight="1" x14ac:dyDescent="0.25">
      <c r="A7144" s="5" t="str">
        <f>"H0006260"</f>
        <v>H0006260</v>
      </c>
      <c r="B7144" s="5" t="str">
        <f>"ESCALERILLA DE 2 PASOS"</f>
        <v>ESCALERILLA DE 2 PASOS</v>
      </c>
      <c r="C7144" s="6">
        <v>100000</v>
      </c>
      <c r="D7144" s="5" t="s">
        <v>49</v>
      </c>
      <c r="E7144" s="5" t="str">
        <f t="shared" si="343"/>
        <v>URGENCIAS ADULTO-Jenny Peña</v>
      </c>
      <c r="F7144" s="5" t="str">
        <f>"Descripcion: ESCALERILLA DE DOS PASOS Estado: Bueno Placa anterior: 000029812 Material: METAL CON FORMICA Color: GRIS CON BLANCO Referencia:  Observacion:  Placa padre: Tipo adquisicion: Entidad"</f>
        <v>Descripcion: ESCALERILLA DE DOS PASOS Estado: Bueno Placa anterior: 000029812 Material: METAL CON FORMICA Color: GRIS CON BLANCO Referencia:  Observacion:  Placa padre: Tipo adquisicion: Entidad</v>
      </c>
      <c r="G7144" s="5"/>
    </row>
    <row r="7145" spans="1:7" ht="58.5" customHeight="1" x14ac:dyDescent="0.25">
      <c r="A7145" s="5" t="str">
        <f>"H0006262"</f>
        <v>H0006262</v>
      </c>
      <c r="B7145" s="5" t="str">
        <f>"LAVAPLATOS EN ACERO INOXIDABLE 1 PUESTO"</f>
        <v>LAVAPLATOS EN ACERO INOXIDABLE 1 PUESTO</v>
      </c>
      <c r="C7145" s="6">
        <v>81414.84</v>
      </c>
      <c r="D7145" s="5"/>
      <c r="E7145" s="5" t="str">
        <f t="shared" si="343"/>
        <v>URGENCIAS ADULTO-Jenny Peña</v>
      </c>
      <c r="F7145" s="5" t="str">
        <f>"Descripcion: MESON CON TOPE EN U CON VERTEDERO 2.53*57 Estado: Bueno Placa anterior: 000019685 Material: ACERO Color: PLATEADO Referencia:  Observacion:  Placa padre: Tipo adquisicion: Entidad"</f>
        <v>Descripcion: MESON CON TOPE EN U CON VERTEDERO 2.53*57 Estado: Bueno Placa anterior: 000019685 Material: ACERO Color: PLATEADO Referencia:  Observacion:  Placa padre: Tipo adquisicion: Entidad</v>
      </c>
      <c r="G7145" s="5"/>
    </row>
    <row r="7146" spans="1:7" ht="58.5" customHeight="1" x14ac:dyDescent="0.25">
      <c r="A7146" s="5" t="str">
        <f>"H0006263"</f>
        <v>H0006263</v>
      </c>
      <c r="B7146" s="5" t="str">
        <f>"CAMILLA DE TRASLADO DE 2 PLANOS"</f>
        <v>CAMILLA DE TRASLADO DE 2 PLANOS</v>
      </c>
      <c r="C7146" s="6">
        <v>1693600</v>
      </c>
      <c r="D7146" s="5" t="s">
        <v>166</v>
      </c>
      <c r="E7146" s="5" t="str">
        <f t="shared" si="343"/>
        <v>URGENCIAS ADULTO-Jenny Peña</v>
      </c>
      <c r="F7146"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000031350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000031350 Material: METAL Color: BEIGE Referencia:  Observacion:  Placa padre: Tipo adquisicion: Entidad</v>
      </c>
      <c r="G7146" s="5" t="str">
        <f>"141-70"</f>
        <v>141-70</v>
      </c>
    </row>
    <row r="7147" spans="1:7" ht="58.5" customHeight="1" x14ac:dyDescent="0.25">
      <c r="A7147" s="5" t="str">
        <f>"H0006266"</f>
        <v>H0006266</v>
      </c>
      <c r="B7147" s="5" t="str">
        <f>"CAMILLA DE TRASLADO DE 2 PLANOS"</f>
        <v>CAMILLA DE TRASLADO DE 2 PLANOS</v>
      </c>
      <c r="C7147" s="6">
        <v>1693600</v>
      </c>
      <c r="D7147" s="5" t="s">
        <v>166</v>
      </c>
      <c r="E7147" s="5" t="str">
        <f t="shared" si="343"/>
        <v>URGENCIAS ADULTO-Jenny Peña</v>
      </c>
      <c r="F7147"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000031351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000031351 Material: METAL Color: BEIGE Referencia:  Observacion:  Placa padre: Tipo adquisicion: Entidad</v>
      </c>
      <c r="G7147" s="5" t="str">
        <f>"141-70"</f>
        <v>141-70</v>
      </c>
    </row>
    <row r="7148" spans="1:7" ht="58.5" customHeight="1" x14ac:dyDescent="0.25">
      <c r="A7148" s="5" t="str">
        <f>"H0006267"</f>
        <v>H0006267</v>
      </c>
      <c r="B7148" s="5" t="str">
        <f>"ATRIL PORTASUERO FIJO"</f>
        <v>ATRIL PORTASUERO FIJO</v>
      </c>
      <c r="C7148" s="6">
        <v>210000</v>
      </c>
      <c r="D7148" s="5" t="s">
        <v>50</v>
      </c>
      <c r="E7148" s="5" t="str">
        <f t="shared" si="343"/>
        <v>URGENCIAS ADULTO-Jenny Peña</v>
      </c>
      <c r="F7148" s="5" t="str">
        <f>"Descripcion: ATRIL PORTA SUERO FIJO Estado: Bueno Placa anterior: 000029687 Material: ACERO Color: PLATEADO Referencia:  Observacion:  Placa padre: Tipo adquisicion: Entidad"</f>
        <v>Descripcion: ATRIL PORTA SUERO FIJO Estado: Bueno Placa anterior: 000029687 Material: ACERO Color: PLATEADO Referencia:  Observacion:  Placa padre: Tipo adquisicion: Entidad</v>
      </c>
      <c r="G7148" s="5"/>
    </row>
    <row r="7149" spans="1:7" ht="58.5" customHeight="1" x14ac:dyDescent="0.25">
      <c r="A7149" s="5" t="str">
        <f>"H0006268"</f>
        <v>H0006268</v>
      </c>
      <c r="B7149" s="5" t="str">
        <f>"ESCALERILLA DE 2 PASOS"</f>
        <v>ESCALERILLA DE 2 PASOS</v>
      </c>
      <c r="C7149" s="6">
        <v>100000</v>
      </c>
      <c r="D7149" s="5" t="s">
        <v>49</v>
      </c>
      <c r="E7149" s="5" t="str">
        <f t="shared" si="343"/>
        <v>URGENCIAS ADULTO-Jenny Peña</v>
      </c>
      <c r="F7149" s="5" t="str">
        <f>"Descripcion: ESCALERILLA DE DOS PASO EN TUBO REDONDO Estado: Bueno Placa anterior: 000029803 Material: METAL CON PASTA Color: GRIS CON BLANCO Referencia:  Observacion:  Placa padre: Tipo adquisicion: Entidad"</f>
        <v>Descripcion: ESCALERILLA DE DOS PASO EN TUBO REDONDO Estado: Bueno Placa anterior: 000029803 Material: METAL CON PASTA Color: GRIS CON BLANCO Referencia:  Observacion:  Placa padre: Tipo adquisicion: Entidad</v>
      </c>
      <c r="G7149" s="5"/>
    </row>
    <row r="7150" spans="1:7" ht="58.5" customHeight="1" x14ac:dyDescent="0.25">
      <c r="A7150" s="5" t="str">
        <f>"H0006269"</f>
        <v>H0006269</v>
      </c>
      <c r="B7150" s="5" t="str">
        <f>"CAMILLA DE TRASLADO DE 2 PLANOS"</f>
        <v>CAMILLA DE TRASLADO DE 2 PLANOS</v>
      </c>
      <c r="C7150" s="6">
        <v>1693600</v>
      </c>
      <c r="D7150" s="5" t="s">
        <v>166</v>
      </c>
      <c r="E7150" s="5" t="str">
        <f t="shared" si="343"/>
        <v>URGENCIAS ADULTO-Jenny Peña</v>
      </c>
      <c r="F7150"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000031342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000031342 Material: METAL Color: BEIGE Referencia:  Observacion:  Placa padre: Tipo adquisicion: Entidad</v>
      </c>
      <c r="G7150" s="5" t="str">
        <f>"141-70"</f>
        <v>141-70</v>
      </c>
    </row>
    <row r="7151" spans="1:7" ht="58.5" customHeight="1" x14ac:dyDescent="0.25">
      <c r="A7151" s="5" t="str">
        <f>"H0006271"</f>
        <v>H0006271</v>
      </c>
      <c r="B7151" s="5" t="str">
        <f>"MESON EN ACERO INOXIDABLE"</f>
        <v>MESON EN ACERO INOXIDABLE</v>
      </c>
      <c r="C7151" s="6">
        <v>35240.589999999997</v>
      </c>
      <c r="D7151" s="5"/>
      <c r="E7151" s="5" t="str">
        <f t="shared" si="343"/>
        <v>URGENCIAS ADULTO-Jenny Peña</v>
      </c>
      <c r="F7151" s="5" t="str">
        <f>"Descripcion: MESON CON TOPE EN U 70*53 Estado: Bueno Placa anterior: 000019674 Material: ACERO Color: PLATEADO Referencia:  Observacion:  Placa padre: Tipo adquisicion: Entidad"</f>
        <v>Descripcion: MESON CON TOPE EN U 70*53 Estado: Bueno Placa anterior: 000019674 Material: ACERO Color: PLATEADO Referencia:  Observacion:  Placa padre: Tipo adquisicion: Entidad</v>
      </c>
      <c r="G7151" s="5"/>
    </row>
    <row r="7152" spans="1:7" ht="58.5" customHeight="1" x14ac:dyDescent="0.25">
      <c r="A7152" s="5" t="str">
        <f>"H0006272"</f>
        <v>H0006272</v>
      </c>
      <c r="B7152" s="5" t="str">
        <f>"LAVAPLATOS EN ACERO INOXIDABLE 1 PUESTO"</f>
        <v>LAVAPLATOS EN ACERO INOXIDABLE 1 PUESTO</v>
      </c>
      <c r="C7152" s="6">
        <v>81414.84</v>
      </c>
      <c r="D7152" s="5"/>
      <c r="E7152" s="5" t="str">
        <f t="shared" si="343"/>
        <v>URGENCIAS ADULTO-Jenny Peña</v>
      </c>
      <c r="F7152" s="5" t="str">
        <f>"Descripcion: MESON CON TOPE Y VERTEDERO 1.37*53 Estado: Bueno Placa anterior: 000019675 Material: ACERO Color: PLATEADO Referencia:  Observacion:  Placa padre: Tipo adquisicion: Entidad"</f>
        <v>Descripcion: MESON CON TOPE Y VERTEDERO 1.37*53 Estado: Bueno Placa anterior: 000019675 Material: ACERO Color: PLATEADO Referencia:  Observacion:  Placa padre: Tipo adquisicion: Entidad</v>
      </c>
      <c r="G7152" s="5"/>
    </row>
    <row r="7153" spans="1:7" ht="58.5" customHeight="1" x14ac:dyDescent="0.25">
      <c r="A7153" s="5" t="str">
        <f>"H0006273"</f>
        <v>H0006273</v>
      </c>
      <c r="B7153" s="5" t="str">
        <f>"CAMILLA DE TRASLADO DE 2 PLANOS"</f>
        <v>CAMILLA DE TRASLADO DE 2 PLANOS</v>
      </c>
      <c r="C7153" s="6">
        <v>1693600</v>
      </c>
      <c r="D7153" s="5" t="s">
        <v>166</v>
      </c>
      <c r="E7153" s="5" t="str">
        <f t="shared" si="343"/>
        <v>URGENCIAS ADULTO-Jenny Peña</v>
      </c>
      <c r="F7153"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000031347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000031347 Material: METAL Color: BEIGE Referencia:  Observacion:  Placa padre: Tipo adquisicion: Entidad</v>
      </c>
      <c r="G7153" s="5" t="str">
        <f>"141-70"</f>
        <v>141-70</v>
      </c>
    </row>
    <row r="7154" spans="1:7" ht="58.5" customHeight="1" x14ac:dyDescent="0.25">
      <c r="A7154" s="5" t="str">
        <f>"H0006275"</f>
        <v>H0006275</v>
      </c>
      <c r="B7154" s="5" t="str">
        <f>"ESCALERILLA DE 2 PASOS"</f>
        <v>ESCALERILLA DE 2 PASOS</v>
      </c>
      <c r="C7154" s="6">
        <v>100000</v>
      </c>
      <c r="D7154" s="5" t="s">
        <v>49</v>
      </c>
      <c r="E7154" s="5" t="str">
        <f t="shared" si="343"/>
        <v>URGENCIAS ADULTO-Jenny Peña</v>
      </c>
      <c r="F7154" s="5" t="str">
        <f>"Descripcion: ESCALERILLA DE DOS PASO EN TUBO REDONDO Estado: Bueno Placa anterior: 000029801 Material: METAL Color: BLANCO CON GRIS Referencia:  Observacion:  Placa padre: Tipo adquisicion: Entidad"</f>
        <v>Descripcion: ESCALERILLA DE DOS PASO EN TUBO REDONDO Estado: Bueno Placa anterior: 000029801 Material: METAL Color: BLANCO CON GRIS Referencia:  Observacion:  Placa padre: Tipo adquisicion: Entidad</v>
      </c>
      <c r="G7154" s="5"/>
    </row>
    <row r="7155" spans="1:7" ht="58.5" customHeight="1" x14ac:dyDescent="0.25">
      <c r="A7155" s="5" t="str">
        <f>"H0006276"</f>
        <v>H0006276</v>
      </c>
      <c r="B7155" s="5" t="str">
        <f>"CAMILLA DE TRASLADO DE 2 PLANOS"</f>
        <v>CAMILLA DE TRASLADO DE 2 PLANOS</v>
      </c>
      <c r="C7155" s="6">
        <v>1693600</v>
      </c>
      <c r="D7155" s="5" t="s">
        <v>166</v>
      </c>
      <c r="E7155" s="5" t="str">
        <f t="shared" si="343"/>
        <v>URGENCIAS ADULTO-Jenny Peña</v>
      </c>
      <c r="F7155"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000031359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000031359 Material: METAL Color: BEIGE Referencia:  Observacion:  Placa padre: Tipo adquisicion: Entidad</v>
      </c>
      <c r="G7155" s="5" t="str">
        <f>"141-70"</f>
        <v>141-70</v>
      </c>
    </row>
    <row r="7156" spans="1:7" ht="58.5" customHeight="1" x14ac:dyDescent="0.25">
      <c r="A7156" s="5" t="str">
        <f>"H0006280"</f>
        <v>H0006280</v>
      </c>
      <c r="B7156" s="5" t="str">
        <f>"CAMILLA DE TRASLADO DE 2 PLANOS"</f>
        <v>CAMILLA DE TRASLADO DE 2 PLANOS</v>
      </c>
      <c r="C7156" s="6">
        <v>1500000</v>
      </c>
      <c r="D7156" s="5"/>
      <c r="E7156" s="5" t="str">
        <f t="shared" si="343"/>
        <v>URGENCIAS ADULTO-Jenny Peña</v>
      </c>
      <c r="F7156" s="5" t="str">
        <f>"Descripcion: CAMILLA Estructura fabricada en tuberia redonda tendido de dos planos en lamina de acero y marco de tuberia redonda.Espaldar graduable protector plastico en el contorno del plecero y el cabecero Barandas de seguridad tubulares. Estado: Bueno "&amp; "Placa anterior: 000032898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Estado: Bueno Placa anterior: 000032898 Material: METAL  Color: BEIGE  Referencia:  Observacion:  Placa padre: Tipo adquisicion: Entidad</v>
      </c>
      <c r="G7156" s="5"/>
    </row>
    <row r="7157" spans="1:7" ht="58.5" customHeight="1" x14ac:dyDescent="0.25">
      <c r="A7157" s="5" t="str">
        <f>"H0006282"</f>
        <v>H0006282</v>
      </c>
      <c r="B7157" s="5" t="str">
        <f>"ESCALERILLA DE 2 PASOS"</f>
        <v>ESCALERILLA DE 2 PASOS</v>
      </c>
      <c r="C7157" s="6">
        <v>100000</v>
      </c>
      <c r="D7157" s="5" t="s">
        <v>49</v>
      </c>
      <c r="E7157" s="5" t="str">
        <f t="shared" si="343"/>
        <v>URGENCIAS ADULTO-Jenny Peña</v>
      </c>
      <c r="F7157" s="5" t="str">
        <f>"Descripcion:  ESCALERILLA DE 2 PASOS Estado: Bueno Placa anterior: 000029815 Material: PASTA Y METAL  Color: GRIS Y BLANCO  Referencia:  Observacion:  Placa padre: Tipo adquisicion: Entidad"</f>
        <v>Descripcion:  ESCALERILLA DE 2 PASOS Estado: Bueno Placa anterior: 000029815 Material: PASTA Y METAL  Color: GRIS Y BLANCO  Referencia:  Observacion:  Placa padre: Tipo adquisicion: Entidad</v>
      </c>
      <c r="G7157" s="5"/>
    </row>
    <row r="7158" spans="1:7" ht="58.5" customHeight="1" x14ac:dyDescent="0.25">
      <c r="A7158" s="5" t="str">
        <f>"H0006283"</f>
        <v>H0006283</v>
      </c>
      <c r="B7158" s="5" t="str">
        <f>"LAVAPLATOS EN ACERO INOXIDABLE 1 PUESTO"</f>
        <v>LAVAPLATOS EN ACERO INOXIDABLE 1 PUESTO</v>
      </c>
      <c r="C7158" s="6">
        <v>35240.589999999997</v>
      </c>
      <c r="D7158" s="5"/>
      <c r="E7158" s="5" t="str">
        <f t="shared" si="343"/>
        <v>URGENCIAS ADULTO-Jenny Peña</v>
      </c>
      <c r="F7158" s="5" t="str">
        <f>"Descripcion: MESON CON TOPE EN FORMA DE UN VERTEDERO 56*2.76 Estado: Bueno Placa anterior: 000019653 Material: ACERO  Color: PLATEADO  Referencia:  Observacion:  Placa padre: Tipo adquisicion: Entidad"</f>
        <v>Descripcion: MESON CON TOPE EN FORMA DE UN VERTEDERO 56*2.76 Estado: Bueno Placa anterior: 000019653 Material: ACERO  Color: PLATEADO  Referencia:  Observacion:  Placa padre: Tipo adquisicion: Entidad</v>
      </c>
      <c r="G7158" s="5"/>
    </row>
    <row r="7159" spans="1:7" ht="58.5" customHeight="1" x14ac:dyDescent="0.25">
      <c r="A7159" s="5" t="str">
        <f>"H0006294"</f>
        <v>H0006294</v>
      </c>
      <c r="B7159" s="5" t="str">
        <f>"CAMILLA DE TRASLADO DE 2 PLANOS"</f>
        <v>CAMILLA DE TRASLADO DE 2 PLANOS</v>
      </c>
      <c r="C7159" s="6">
        <v>1780000</v>
      </c>
      <c r="D7159" s="5" t="s">
        <v>63</v>
      </c>
      <c r="E7159" s="5" t="str">
        <f t="shared" si="343"/>
        <v>URGENCIAS ADULTO-Jenny Peña</v>
      </c>
      <c r="F7159" s="5" t="str">
        <f>"Descripcion: CAMILLA MECANICA DOS PLANOS Estado: Bueno Placa anterior: 000037779 Material: METALICA Color: BEIGE Referencia:  Observacion:  Placa padre: Tipo adquisicion: Entidad"</f>
        <v>Descripcion: CAMILLA MECANICA DOS PLANOS Estado: Bueno Placa anterior: 000037779 Material: METALICA Color: BEIGE Referencia:  Observacion:  Placa padre: Tipo adquisicion: Entidad</v>
      </c>
      <c r="G7159" s="5"/>
    </row>
    <row r="7160" spans="1:7" ht="58.5" customHeight="1" x14ac:dyDescent="0.25">
      <c r="A7160" s="5" t="str">
        <f>"H0006295"</f>
        <v>H0006295</v>
      </c>
      <c r="B7160" s="5" t="str">
        <f>"ATRIL PORTASUERO MOVIL"</f>
        <v>ATRIL PORTASUERO MOVIL</v>
      </c>
      <c r="C7160" s="6">
        <v>210000</v>
      </c>
      <c r="D7160" s="5" t="s">
        <v>50</v>
      </c>
      <c r="E7160" s="5" t="str">
        <f t="shared" si="343"/>
        <v>URGENCIAS ADULTO-Jenny Peña</v>
      </c>
      <c r="F7160" s="5" t="str">
        <f>"Descripcion: ATRIL PORTASUERO CON RODACHINAS Estado: Bueno Placa anterior: 000029699 Material: METALICA Color: PLATEADO Referencia:  Observacion:  Placa padre: Tipo adquisicion: Entidad"</f>
        <v>Descripcion: ATRIL PORTASUERO CON RODACHINAS Estado: Bueno Placa anterior: 000029699 Material: METALICA Color: PLATEADO Referencia:  Observacion:  Placa padre: Tipo adquisicion: Entidad</v>
      </c>
      <c r="G7160" s="5"/>
    </row>
    <row r="7161" spans="1:7" ht="58.5" customHeight="1" x14ac:dyDescent="0.25">
      <c r="A7161" s="5" t="str">
        <f>"H0006297"</f>
        <v>H0006297</v>
      </c>
      <c r="B7161" s="5" t="str">
        <f>"CAMILLA DE TRASLADO DE 2 PLANOS"</f>
        <v>CAMILLA DE TRASLADO DE 2 PLANOS</v>
      </c>
      <c r="C7161" s="6">
        <v>1500000</v>
      </c>
      <c r="D7161" s="5"/>
      <c r="E7161" s="5" t="str">
        <f t="shared" si="343"/>
        <v>URGENCIAS ADULTO-Jenny Peña</v>
      </c>
      <c r="F7161" s="5" t="str">
        <f>"Descripcion: CAMILLA MECANICA DOS PLANOS Estado: Bueno Placa anterior: 000032900 Material: METALICA Color: BEIGE Referencia:  Observacion:  Placa padre: Tipo adquisicion: Entidad"</f>
        <v>Descripcion: CAMILLA MECANICA DOS PLANOS Estado: Bueno Placa anterior: 000032900 Material: METALICA Color: BEIGE Referencia:  Observacion:  Placa padre: Tipo adquisicion: Entidad</v>
      </c>
      <c r="G7161" s="5"/>
    </row>
    <row r="7162" spans="1:7" ht="58.5" customHeight="1" x14ac:dyDescent="0.25">
      <c r="A7162" s="5" t="str">
        <f>"H0006298"</f>
        <v>H0006298</v>
      </c>
      <c r="B7162" s="5" t="str">
        <f>"ESCALERILLA DE 2 PASOS"</f>
        <v>ESCALERILLA DE 2 PASOS</v>
      </c>
      <c r="C7162" s="6">
        <v>100000</v>
      </c>
      <c r="D7162" s="5" t="s">
        <v>49</v>
      </c>
      <c r="E7162" s="5" t="str">
        <f t="shared" si="343"/>
        <v>URGENCIAS ADULTO-Jenny Peña</v>
      </c>
      <c r="F7162" s="5" t="str">
        <f>"Descripcion: ESCALERILLA DE 2 PASOS  Estado: Bueno Placa anterior: 000029817 Material: METALICA MADERA Color: BLANCO Referencia:  Observacion:  Placa padre: Tipo adquisicion: Entidad"</f>
        <v>Descripcion: ESCALERILLA DE 2 PASOS  Estado: Bueno Placa anterior: 000029817 Material: METALICA MADERA Color: BLANCO Referencia:  Observacion:  Placa padre: Tipo adquisicion: Entidad</v>
      </c>
      <c r="G7162" s="5"/>
    </row>
    <row r="7163" spans="1:7" ht="58.5" customHeight="1" x14ac:dyDescent="0.25">
      <c r="A7163" s="5" t="str">
        <f>"H0006299"</f>
        <v>H0006299</v>
      </c>
      <c r="B7163" s="5" t="str">
        <f>"ATRIL PORTASUERO MOVIL"</f>
        <v>ATRIL PORTASUERO MOVIL</v>
      </c>
      <c r="C7163" s="6">
        <v>145000</v>
      </c>
      <c r="D7163" s="5" t="s">
        <v>166</v>
      </c>
      <c r="E7163" s="5" t="str">
        <f t="shared" si="343"/>
        <v>URGENCIAS ADULTO-Jenny Peña</v>
      </c>
      <c r="F7163" s="5" t="str">
        <f>"Descripcion: ATRIL. Aatril portasuero en pintura electrostatica, debe contar con sistema portasuero minimo para dos bolsas de 50ml con varilla graduable,con rodachines Estado: Bueno Placa anterior: 000031448 Material: METALICA Color: BEIGE Referencia:  Ob"&amp; "servacion: FALTA PARTE SUPERIOR DEL ATRIL Placa padre: Tipo adquisicion: Entidad"</f>
        <v>Descripcion: ATRIL. Aatril portasuero en pintura electrostatica, debe contar con sistema portasuero minimo para dos bolsas de 50ml con varilla graduable,con rodachines Estado: Bueno Placa anterior: 000031448 Material: METALICA Color: BEIGE Referencia:  Observacion: FALTA PARTE SUPERIOR DEL ATRIL Placa padre: Tipo adquisicion: Entidad</v>
      </c>
      <c r="G7163" s="5" t="str">
        <f>"121-01"</f>
        <v>121-01</v>
      </c>
    </row>
    <row r="7164" spans="1:7" ht="58.5" customHeight="1" x14ac:dyDescent="0.25">
      <c r="A7164" s="5" t="str">
        <f>"H0006300"</f>
        <v>H0006300</v>
      </c>
      <c r="B7164" s="5" t="str">
        <f>"POTE (TARRO) ACERO INXODABLE CON TAPA PEQUEÑO"</f>
        <v>POTE (TARRO) ACERO INXODABLE CON TAPA PEQUEÑO</v>
      </c>
      <c r="C7164" s="6">
        <v>19173.189999999999</v>
      </c>
      <c r="D7164" s="5"/>
      <c r="E7164" s="5" t="str">
        <f t="shared" si="343"/>
        <v>URGENCIAS ADULTO-Jenny Peña</v>
      </c>
      <c r="F7164" s="5" t="str">
        <f>"Descripcion: TARRO REDONDO PEQUEÑO Estado: Bueno Placa anterior: 000019793 Material: ACERO Color: PLATEADO Referencia:  Observacion:  Placa padre: Tipo adquisicion: Entidad"</f>
        <v>Descripcion: TARRO REDONDO PEQUEÑO Estado: Bueno Placa anterior: 000019793 Material: ACERO Color: PLATEADO Referencia:  Observacion:  Placa padre: Tipo adquisicion: Entidad</v>
      </c>
      <c r="G7164" s="5"/>
    </row>
    <row r="7165" spans="1:7" ht="58.5" customHeight="1" x14ac:dyDescent="0.25">
      <c r="A7165" s="5" t="str">
        <f>"H0006301"</f>
        <v>H0006301</v>
      </c>
      <c r="B7165" s="5" t="str">
        <f>"POTE (TARRO) ACERO INXODABLE CON TAPA MEDIANO"</f>
        <v>POTE (TARRO) ACERO INXODABLE CON TAPA MEDIANO</v>
      </c>
      <c r="C7165" s="6">
        <v>19173.189999999999</v>
      </c>
      <c r="D7165" s="5"/>
      <c r="E7165" s="5" t="str">
        <f t="shared" si="343"/>
        <v>URGENCIAS ADULTO-Jenny Peña</v>
      </c>
      <c r="F7165" s="5" t="str">
        <f>"Descripcion: TARRO EN ACERO INOXIDABLE Estado: Bueno Placa anterior: 000019801 Material: ACERO Color: PLATEADO Referencia:  Observacion:  Placa padre: Tipo adquisicion: Entidad"</f>
        <v>Descripcion: TARRO EN ACERO INOXIDABLE Estado: Bueno Placa anterior: 000019801 Material: ACERO Color: PLATEADO Referencia:  Observacion:  Placa padre: Tipo adquisicion: Entidad</v>
      </c>
      <c r="G7165" s="5"/>
    </row>
    <row r="7166" spans="1:7" ht="58.5" customHeight="1" x14ac:dyDescent="0.25">
      <c r="A7166" s="5" t="str">
        <f>"H0006302"</f>
        <v>H0006302</v>
      </c>
      <c r="B7166" s="5" t="str">
        <f>"CUBETA DE ACERO INOXIDABLE CON TAPA GRANDE"</f>
        <v>CUBETA DE ACERO INOXIDABLE CON TAPA GRANDE</v>
      </c>
      <c r="C7166" s="6">
        <v>22335</v>
      </c>
      <c r="D7166" s="5"/>
      <c r="E7166" s="5" t="str">
        <f t="shared" si="343"/>
        <v>URGENCIAS ADULTO-Jenny Peña</v>
      </c>
      <c r="F7166" s="5" t="str">
        <f>"Descripcion: CUBETA EN ACERO INOXIDABLE Estado: Bueno Placa anterior: 000019947 Material: ACERO Color: PLATEADO Referencia:  Observacion:  Placa padre: Tipo adquisicion: Entidad"</f>
        <v>Descripcion: CUBETA EN ACERO INOXIDABLE Estado: Bueno Placa anterior: 000019947 Material: ACERO Color: PLATEADO Referencia:  Observacion:  Placa padre: Tipo adquisicion: Entidad</v>
      </c>
      <c r="G7166" s="5"/>
    </row>
    <row r="7167" spans="1:7" ht="58.5" customHeight="1" x14ac:dyDescent="0.25">
      <c r="A7167" s="5" t="str">
        <f>"H0006304"</f>
        <v>H0006304</v>
      </c>
      <c r="B7167" s="5" t="str">
        <f>"CUBETA DE ACERO INOXIDABLE CON TAPA GRANDE"</f>
        <v>CUBETA DE ACERO INOXIDABLE CON TAPA GRANDE</v>
      </c>
      <c r="C7167" s="6">
        <v>22335</v>
      </c>
      <c r="D7167" s="5"/>
      <c r="E7167" s="5" t="str">
        <f t="shared" si="343"/>
        <v>URGENCIAS ADULTO-Jenny Peña</v>
      </c>
      <c r="F7167" s="5" t="str">
        <f>"Descripcion: CUBETA EN ACERO INOXIDABLE Estado: Bueno Placa anterior: 000019950 Material: ACERO  Color: PLATEADO Referencia:  Observacion:  Placa padre: Tipo adquisicion: Entidad"</f>
        <v>Descripcion: CUBETA EN ACERO INOXIDABLE Estado: Bueno Placa anterior: 000019950 Material: ACERO  Color: PLATEADO Referencia:  Observacion:  Placa padre: Tipo adquisicion: Entidad</v>
      </c>
      <c r="G7167" s="5"/>
    </row>
    <row r="7168" spans="1:7" ht="58.5" customHeight="1" x14ac:dyDescent="0.25">
      <c r="A7168" s="5" t="str">
        <f>"H0006305"</f>
        <v>H0006305</v>
      </c>
      <c r="B7168" s="5" t="str">
        <f>"CUBETA DE ACERO INOXIDABLE CON TAPA GRANDE"</f>
        <v>CUBETA DE ACERO INOXIDABLE CON TAPA GRANDE</v>
      </c>
      <c r="C7168" s="6">
        <v>22335</v>
      </c>
      <c r="D7168" s="5"/>
      <c r="E7168" s="5" t="str">
        <f t="shared" si="343"/>
        <v>URGENCIAS ADULTO-Jenny Peña</v>
      </c>
      <c r="F7168" s="5" t="str">
        <f>"Descripcion: CUBETA EN ACERO INOXIDABLE Estado: Bueno Placa anterior: 000019974 Material: ACERO Color: PLATEADO Referencia:  Observacion:  Placa padre: Tipo adquisicion: Entidad"</f>
        <v>Descripcion: CUBETA EN ACERO INOXIDABLE Estado: Bueno Placa anterior: 000019974 Material: ACERO Color: PLATEADO Referencia:  Observacion:  Placa padre: Tipo adquisicion: Entidad</v>
      </c>
      <c r="G7168" s="5"/>
    </row>
    <row r="7169" spans="1:7" ht="58.5" customHeight="1" x14ac:dyDescent="0.25">
      <c r="A7169" s="5" t="str">
        <f>"H0006309"</f>
        <v>H0006309</v>
      </c>
      <c r="B7169" s="5" t="str">
        <f>"CARRO TRANSPORTE DE MEDICAMENTOS"</f>
        <v>CARRO TRANSPORTE DE MEDICAMENTOS</v>
      </c>
      <c r="C7169" s="6">
        <v>870000</v>
      </c>
      <c r="D7169" s="5" t="s">
        <v>161</v>
      </c>
      <c r="E7169" s="5" t="str">
        <f t="shared" si="343"/>
        <v>URGENCIAS ADULTO-Jenny Peña</v>
      </c>
      <c r="F7169"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000031562 Material: METAL Color: GRIS Referencia:  Observacion: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000031562 Material: METAL Color: GRIS Referencia:  Observacion:  Placa padre: Tipo adquisicion: Entidad</v>
      </c>
      <c r="G7169" s="5" t="str">
        <f>"182-30"</f>
        <v>182-30</v>
      </c>
    </row>
    <row r="7170" spans="1:7" ht="58.5" customHeight="1" x14ac:dyDescent="0.25">
      <c r="A7170" s="5" t="str">
        <f>"H0006310"</f>
        <v>H0006310</v>
      </c>
      <c r="B7170" s="5" t="str">
        <f>"CARRO TRANSPORTE DE MEDICAMENTOS"</f>
        <v>CARRO TRANSPORTE DE MEDICAMENTOS</v>
      </c>
      <c r="C7170" s="6">
        <v>870000</v>
      </c>
      <c r="D7170" s="5" t="s">
        <v>161</v>
      </c>
      <c r="E7170" s="5" t="str">
        <f t="shared" si="343"/>
        <v>URGENCIAS ADULTO-Jenny Peña</v>
      </c>
      <c r="F7170"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000031563 Material: METAL Color: BEIGE Referencia:  Observacion: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000031563 Material: METAL Color: BEIGE Referencia:  Observacion:  Placa padre: Tipo adquisicion: Entidad</v>
      </c>
      <c r="G7170" s="5" t="str">
        <f>"182-30"</f>
        <v>182-30</v>
      </c>
    </row>
    <row r="7171" spans="1:7" ht="58.5" customHeight="1" x14ac:dyDescent="0.25">
      <c r="A7171" s="5" t="str">
        <f>"H0006311"</f>
        <v>H0006311</v>
      </c>
      <c r="B7171" s="5" t="str">
        <f>"MESA (CARRO) DE CURACIONES"</f>
        <v>MESA (CARRO) DE CURACIONES</v>
      </c>
      <c r="C7171" s="6">
        <v>336400</v>
      </c>
      <c r="D7171" s="5" t="s">
        <v>161</v>
      </c>
      <c r="E7171" s="5" t="str">
        <f t="shared" si="343"/>
        <v>URGENCIAS ADULTO-Jenny Peña</v>
      </c>
      <c r="F7171" s="5" t="str">
        <f>"Descripcion: CARROS AUXILIARES(MESA AUXILIAR RODANTE)CON RODACHINES. Estructura fabricada en tuberia de acero, plato superior e inferior para transporte de materiales e implementos, plato superior en acero inoxidable, barandillas de seguridad en acero ino"&amp; "xidable.Dime Estado: Bueno Placa anterior: 000031549 Material: METAL Color: BEIGE Referencia:  Observacion:  Placa padre: Tipo adquisicion: Entidad"</f>
        <v>Descripcion: CARROS AUXILIARES(MESA AUXILIAR RODANTE)CON RODACHINES. Estructura fabricada en tuberia de acero, plato superior e inferior para transporte de materiales e implementos, plato superior en acero inoxidable, barandillas de seguridad en acero inoxidable.Dime Estado: Bueno Placa anterior: 000031549 Material: METAL Color: BEIGE Referencia:  Observacion:  Placa padre: Tipo adquisicion: Entidad</v>
      </c>
      <c r="G7171" s="5" t="str">
        <f>"181-22"</f>
        <v>181-22</v>
      </c>
    </row>
    <row r="7172" spans="1:7" ht="58.5" customHeight="1" x14ac:dyDescent="0.25">
      <c r="A7172" s="5" t="str">
        <f>"H0006313"</f>
        <v>H0006313</v>
      </c>
      <c r="B7172" s="5" t="str">
        <f>"CARRO TRANSPORTE DE MEDICAMENTOS"</f>
        <v>CARRO TRANSPORTE DE MEDICAMENTOS</v>
      </c>
      <c r="C7172" s="6">
        <v>870000</v>
      </c>
      <c r="D7172" s="5" t="s">
        <v>161</v>
      </c>
      <c r="E7172" s="5" t="str">
        <f t="shared" si="343"/>
        <v>URGENCIAS ADULTO-Jenny Peña</v>
      </c>
      <c r="F7172" s="5" t="str">
        <f>"Descripcion: CARRO DE MEDICAMENTOS Estructura fabricada en tubería redonda con dos gavetas en la parte superior con haladeras de acero inoxidable, superficie con plato en acero inoxidable, entrepaño inferior en lamina de acero con canastilla cromada. Esta"&amp; "do: Bueno Placa anterior: 000031564 Material: METAL Color: BEIGE Referencia:  Observacion:  Placa padre: Tipo adquisicion: Entidad"</f>
        <v>Descripcion: CARRO DE MEDICAMENTOS Estructura fabricada en tubería redonda con dos gavetas en la parte superior con haladeras de acero inoxidable, superficie con plato en acero inoxidable, entrepaño inferior en lamina de acero con canastilla cromada. Estado: Bueno Placa anterior: 000031564 Material: METAL Color: BEIGE Referencia:  Observacion:  Placa padre: Tipo adquisicion: Entidad</v>
      </c>
      <c r="G7172" s="5" t="str">
        <f>"182-30"</f>
        <v>182-30</v>
      </c>
    </row>
    <row r="7173" spans="1:7" ht="58.5" customHeight="1" x14ac:dyDescent="0.25">
      <c r="A7173" s="5" t="str">
        <f>"H0006316"</f>
        <v>H0006316</v>
      </c>
      <c r="B7173" s="5" t="str">
        <f>"ESCALERILLA DE 2 PASOS"</f>
        <v>ESCALERILLA DE 2 PASOS</v>
      </c>
      <c r="C7173" s="6">
        <v>100000</v>
      </c>
      <c r="D7173" s="5" t="s">
        <v>49</v>
      </c>
      <c r="E7173" s="5" t="str">
        <f t="shared" si="343"/>
        <v>URGENCIAS ADULTO-Jenny Peña</v>
      </c>
      <c r="F7173" s="5" t="str">
        <f>"Descripcion: ESCALERILLA DE DOS PASO EN TUBO REDONDO Estado: Bueno Placa anterior: 000029823 Material: METAL Y MADERA Color: BEIGE Referencia:  Observacion:  Placa padre: Tipo adquisicion: Entidad"</f>
        <v>Descripcion: ESCALERILLA DE DOS PASO EN TUBO REDONDO Estado: Bueno Placa anterior: 000029823 Material: METAL Y MADERA Color: BEIGE Referencia:  Observacion:  Placa padre: Tipo adquisicion: Entidad</v>
      </c>
      <c r="G7173" s="5"/>
    </row>
    <row r="7174" spans="1:7" ht="58.5" customHeight="1" x14ac:dyDescent="0.25">
      <c r="A7174" s="5" t="str">
        <f>"H0006318"</f>
        <v>H0006318</v>
      </c>
      <c r="B7174" s="5" t="str">
        <f>"CAMILLA DE TRASLADO DE 2 PLANOS"</f>
        <v>CAMILLA DE TRASLADO DE 2 PLANOS</v>
      </c>
      <c r="C7174" s="6">
        <v>1780000</v>
      </c>
      <c r="D7174" s="5" t="s">
        <v>63</v>
      </c>
      <c r="E7174" s="5" t="str">
        <f t="shared" si="343"/>
        <v>URGENCIAS ADULTO-Jenny Peña</v>
      </c>
      <c r="F7174" s="5" t="str">
        <f>"Descripcion: CAMILLA DE TRASLADO DE 2 PLANOS, RODACHINAS Y VARANDAS Estado: Bueno Placa anterior: 000037752 Material: METAL Color: BEIGE Referencia:  Observacion:  Placa padre: Tipo adquisicion: Entidad"</f>
        <v>Descripcion: CAMILLA DE TRASLADO DE 2 PLANOS, RODACHINAS Y VARANDAS Estado: Bueno Placa anterior: 000037752 Material: METAL Color: BEIGE Referencia:  Observacion:  Placa padre: Tipo adquisicion: Entidad</v>
      </c>
      <c r="G7174" s="5"/>
    </row>
    <row r="7175" spans="1:7" ht="58.5" customHeight="1" x14ac:dyDescent="0.25">
      <c r="A7175" s="5" t="str">
        <f>"H0006319"</f>
        <v>H0006319</v>
      </c>
      <c r="B7175" s="5" t="str">
        <f>"ATRIL PORTASUERO MOVIL"</f>
        <v>ATRIL PORTASUERO MOVIL</v>
      </c>
      <c r="C7175" s="6">
        <v>210000</v>
      </c>
      <c r="D7175" s="5" t="s">
        <v>50</v>
      </c>
      <c r="E7175" s="5" t="str">
        <f t="shared" si="343"/>
        <v>URGENCIAS ADULTO-Jenny Peña</v>
      </c>
      <c r="F7175" s="5" t="str">
        <f>"Descripcion: ATRIL PORTASUERO MOVIL GRADUABLE Estado: Bueno Placa anterior: 000029702 Material: METAL Color: GRIS Referencia:  Observacion:  Placa padre: Tipo adquisicion: Entidad"</f>
        <v>Descripcion: ATRIL PORTASUERO MOVIL GRADUABLE Estado: Bueno Placa anterior: 000029702 Material: METAL Color: GRIS Referencia:  Observacion:  Placa padre: Tipo adquisicion: Entidad</v>
      </c>
      <c r="G7175" s="5"/>
    </row>
    <row r="7176" spans="1:7" ht="58.5" customHeight="1" x14ac:dyDescent="0.25">
      <c r="A7176" s="5" t="str">
        <f>"H0006320"</f>
        <v>H0006320</v>
      </c>
      <c r="B7176" s="5" t="str">
        <f>"BIOMBO METALICO DE 3 CUERPOS"</f>
        <v>BIOMBO METALICO DE 3 CUERPOS</v>
      </c>
      <c r="C7176" s="6">
        <v>307400</v>
      </c>
      <c r="D7176" s="5" t="s">
        <v>166</v>
      </c>
      <c r="E7176" s="5" t="str">
        <f t="shared" si="343"/>
        <v>URGENCIAS ADULTO-Jenny Peña</v>
      </c>
      <c r="F7176" s="5" t="str">
        <f>"Descripcion: BIOMBO. Debe contener como minimo 3 cuerpos en material lavable-antifluido, fabricado en tubo redondo de 1.25x1.80 de altura con 5 patas y tapones de caucho Estado: Bueno Placa anterior: 000031480 Material: METAL Color: BEIGE Referencia:  Obs"&amp; "ervacion:  Placa padre: Tipo adquisicion: Entidad"</f>
        <v>Descripcion: BIOMBO. Debe contener como minimo 3 cuerpos en material lavable-antifluido, fabricado en tubo redondo de 1.25x1.80 de altura con 5 patas y tapones de caucho Estado: Bueno Placa anterior: 000031480 Material: METAL Color: BEIGE Referencia:  Observacion:  Placa padre: Tipo adquisicion: Entidad</v>
      </c>
      <c r="G7176" s="5" t="str">
        <f>"101-13"</f>
        <v>101-13</v>
      </c>
    </row>
    <row r="7177" spans="1:7" ht="58.5" customHeight="1" x14ac:dyDescent="0.25">
      <c r="A7177" s="5" t="str">
        <f>"H0006323"</f>
        <v>H0006323</v>
      </c>
      <c r="B7177" s="5" t="str">
        <f>"ATRIL PORTASUERO MOVIL"</f>
        <v>ATRIL PORTASUERO MOVIL</v>
      </c>
      <c r="C7177" s="6">
        <v>210000</v>
      </c>
      <c r="D7177" s="5" t="s">
        <v>50</v>
      </c>
      <c r="E7177" s="5" t="str">
        <f t="shared" si="343"/>
        <v>URGENCIAS ADULTO-Jenny Peña</v>
      </c>
      <c r="F7177" s="5" t="str">
        <f>"Descripcion: ATRIL PORTASUERO MOVIL GRADUABLE Estado: Bueno Placa anterior: 000029703 Material: METAL Color: GRIS Referencia:  Observacion:  Placa padre: Tipo adquisicion: Entidad"</f>
        <v>Descripcion: ATRIL PORTASUERO MOVIL GRADUABLE Estado: Bueno Placa anterior: 000029703 Material: METAL Color: GRIS Referencia:  Observacion:  Placa padre: Tipo adquisicion: Entidad</v>
      </c>
      <c r="G7177" s="5"/>
    </row>
    <row r="7178" spans="1:7" ht="58.5" customHeight="1" x14ac:dyDescent="0.25">
      <c r="A7178" s="5" t="str">
        <f>"H0006325"</f>
        <v>H0006325</v>
      </c>
      <c r="B7178" s="5" t="str">
        <f>"SILLA TANDEM DE 3 PUESTOS"</f>
        <v>SILLA TANDEM DE 3 PUESTOS</v>
      </c>
      <c r="C7178" s="6">
        <v>388600</v>
      </c>
      <c r="D7178" s="5"/>
      <c r="E7178" s="5" t="str">
        <f t="shared" si="343"/>
        <v>URGENCIAS ADULTO-Jenny Peña</v>
      </c>
      <c r="F7178" s="5" t="str">
        <f>"Descripcion: SILLA TANDEM DE 3 PUESTOS CON ESTRUCTURA METALICA Estado: Regular Placa anterior: 000024844 Material: METAL Y PASTA Color: VERDE Referencia:  Observacion: FALTA UN ESPALDAR Placa padre: Tipo adquisicion: Entidad"</f>
        <v>Descripcion: SILLA TANDEM DE 3 PUESTOS CON ESTRUCTURA METALICA Estado: Regular Placa anterior: 000024844 Material: METAL Y PASTA Color: VERDE Referencia:  Observacion: FALTA UN ESPALDAR Placa padre: Tipo adquisicion: Entidad</v>
      </c>
      <c r="G7178" s="5"/>
    </row>
    <row r="7179" spans="1:7" ht="58.5" customHeight="1" x14ac:dyDescent="0.25">
      <c r="A7179" s="5" t="str">
        <f>"H0006332"</f>
        <v>H0006332</v>
      </c>
      <c r="B7179" s="5" t="str">
        <f>"NEVERA 10 PIES (280LT)"</f>
        <v>NEVERA 10 PIES (280LT)</v>
      </c>
      <c r="C7179" s="6">
        <v>1032400</v>
      </c>
      <c r="D7179" s="5"/>
      <c r="E7179" s="5" t="str">
        <f t="shared" si="343"/>
        <v>URGENCIAS ADULTO-Jenny Peña</v>
      </c>
      <c r="F7179" s="5" t="str">
        <f>"Descripcion: NEVERA  Estado: Bueno Placa anterior:  Material: METAL Color: BEIGE Referencia:  Observacion: 000019383 Placa padre: Tipo adquisicion: Entidad"</f>
        <v>Descripcion: NEVERA  Estado: Bueno Placa anterior:  Material: METAL Color: BEIGE Referencia:  Observacion: 000019383 Placa padre: Tipo adquisicion: Entidad</v>
      </c>
      <c r="G7179" s="5"/>
    </row>
    <row r="7180" spans="1:7" ht="58.5" customHeight="1" x14ac:dyDescent="0.25">
      <c r="A7180" s="5" t="str">
        <f>"H0006333"</f>
        <v>H0006333</v>
      </c>
      <c r="B7180" s="5" t="str">
        <f>"NEVERA 10 PIES (280LT)"</f>
        <v>NEVERA 10 PIES (280LT)</v>
      </c>
      <c r="C7180" s="6">
        <v>305222.46000000002</v>
      </c>
      <c r="D7180" s="5"/>
      <c r="E7180" s="5" t="str">
        <f t="shared" si="343"/>
        <v>URGENCIAS ADULTO-Jenny Peña</v>
      </c>
      <c r="F7180" s="5" t="str">
        <f>"Descripcion: NEVERA MCA. ICASA Estado: Bueno Placa anterior: 000019383 Material: METALICO Color: BEIGE Referencia:  Observacion:  Placa padre: Tipo adquisicion: Entidad"</f>
        <v>Descripcion: NEVERA MCA. ICASA Estado: Bueno Placa anterior: 000019383 Material: METALICO Color: BEIGE Referencia:  Observacion:  Placa padre: Tipo adquisicion: Entidad</v>
      </c>
      <c r="G7180" s="5"/>
    </row>
    <row r="7181" spans="1:7" ht="58.5" customHeight="1" x14ac:dyDescent="0.25">
      <c r="A7181" s="5" t="str">
        <f>"H0006336"</f>
        <v>H0006336</v>
      </c>
      <c r="B7181" s="5" t="str">
        <f>"LOCKER DE 12 COMPARTIMIENTOS"</f>
        <v>LOCKER DE 12 COMPARTIMIENTOS</v>
      </c>
      <c r="C7181" s="6">
        <v>770000</v>
      </c>
      <c r="D7181" s="5" t="s">
        <v>383</v>
      </c>
      <c r="E7181" s="5" t="str">
        <f t="shared" si="343"/>
        <v>URGENCIAS ADULTO-Jenny Peña</v>
      </c>
      <c r="F7181" s="5" t="str">
        <f>"Descripcion: LOCKER DE 3 CUERPOS 12 COMPARTIMIENTOS Estado: Bueno Placa anterior:  Material: METALICO Color: GRIS Referencia:  Observacion: EL BIEN TIENE PLACA ANTERIOR  000026132 Placa padre: Tipo adquisicion: Entidad"</f>
        <v>Descripcion: LOCKER DE 3 CUERPOS 12 COMPARTIMIENTOS Estado: Bueno Placa anterior:  Material: METALICO Color: GRIS Referencia:  Observacion: EL BIEN TIENE PLACA ANTERIOR  000026132 Placa padre: Tipo adquisicion: Entidad</v>
      </c>
      <c r="G7181" s="5"/>
    </row>
    <row r="7182" spans="1:7" ht="58.5" customHeight="1" x14ac:dyDescent="0.25">
      <c r="A7182" s="5" t="str">
        <f>"H0006337"</f>
        <v>H0006337</v>
      </c>
      <c r="B7182" s="5" t="str">
        <f>"LOCKER DE 6 COMPARTIMIENTOS"</f>
        <v>LOCKER DE 6 COMPARTIMIENTOS</v>
      </c>
      <c r="C7182" s="6">
        <v>585988</v>
      </c>
      <c r="D7182" s="5" t="s">
        <v>60</v>
      </c>
      <c r="E7182" s="5" t="str">
        <f t="shared" si="343"/>
        <v>URGENCIAS ADULTO-Jenny Peña</v>
      </c>
      <c r="F7182" s="5" t="str">
        <f>"Descripcion: LOCKER DE LAMINA CALIBRE 22 C/6 CASILLEROS, PORTACANDADO, MANIJA PROFUNDIZADA MEDIDAS 1.80X1.90 DE ANCHO X 35 DE FONDO DE PINTURA Estado: Bueno Placa anterior: 000029178 Material: METALICO Color: GRIS Referencia:  Observacion:  Placa padre: T"&amp; "ipo adquisicion: Entidad"</f>
        <v>Descripcion: LOCKER DE LAMINA CALIBRE 22 C/6 CASILLEROS, PORTACANDADO, MANIJA PROFUNDIZADA MEDIDAS 1.80X1.90 DE ANCHO X 35 DE FONDO DE PINTURA Estado: Bueno Placa anterior: 000029178 Material: METALICO Color: GRIS Referencia:  Observacion:  Placa padre: Tipo adquisicion: Entidad</v>
      </c>
      <c r="G7182" s="5"/>
    </row>
    <row r="7183" spans="1:7" ht="58.5" customHeight="1" x14ac:dyDescent="0.25">
      <c r="A7183" s="5" t="str">
        <f>"H0006339"</f>
        <v>H0006339</v>
      </c>
      <c r="B7183" s="5" t="str">
        <f>"TABLERO ACRILICO"</f>
        <v>TABLERO ACRILICO</v>
      </c>
      <c r="C7183" s="6">
        <v>125000</v>
      </c>
      <c r="D7183" s="5"/>
      <c r="E7183" s="5" t="str">
        <f t="shared" si="343"/>
        <v>URGENCIAS ADULTO-Jenny Peña</v>
      </c>
      <c r="F7183" s="5" t="str">
        <f>"Descripcion: TABLERO ACRILICO DE 123X149 CMS. Estado: Bueno Placa anterior: 000033283 Material: MADERA Y FORMICA Color: BLANCO Referencia:  Observacion:  Placa padre: Tipo adquisicion: Entidad"</f>
        <v>Descripcion: TABLERO ACRILICO DE 123X149 CMS. Estado: Bueno Placa anterior: 000033283 Material: MADERA Y FORMICA Color: BLANCO Referencia:  Observacion:  Placa padre: Tipo adquisicion: Entidad</v>
      </c>
      <c r="G7183" s="5"/>
    </row>
    <row r="7184" spans="1:7" ht="58.5" customHeight="1" x14ac:dyDescent="0.25">
      <c r="A7184" s="5" t="str">
        <f>"H0006342"</f>
        <v>H0006342</v>
      </c>
      <c r="B7184" s="5" t="str">
        <f>"CAMA DESCANSO (SOFACAMA)"</f>
        <v>CAMA DESCANSO (SOFACAMA)</v>
      </c>
      <c r="C7184" s="6">
        <v>73150</v>
      </c>
      <c r="D7184" s="5"/>
      <c r="E7184" s="5" t="str">
        <f t="shared" si="343"/>
        <v>URGENCIAS ADULTO-Jenny Peña</v>
      </c>
      <c r="F7184" s="5" t="str">
        <f>"Descripcion: CAMA DESCANSO (SOFACAMA) EN SEMICUERO Y MADERA Estado: Bueno Placa anterior: 000027329 Material: MADERA Y SEMICUERO Color: MARRON Referencia:  Observacion:  Placa padre: Tipo adquisicion: Entidad"</f>
        <v>Descripcion: CAMA DESCANSO (SOFACAMA) EN SEMICUERO Y MADERA Estado: Bueno Placa anterior: 000027329 Material: MADERA Y SEMICUERO Color: MARRON Referencia:  Observacion:  Placa padre: Tipo adquisicion: Entidad</v>
      </c>
      <c r="G7184" s="5"/>
    </row>
    <row r="7185" spans="1:7" ht="58.5" customHeight="1" x14ac:dyDescent="0.25">
      <c r="A7185" s="5" t="str">
        <f>"H0006343"</f>
        <v>H0006343</v>
      </c>
      <c r="B7185" s="5" t="str">
        <f>"VENTILADOR DE PARED"</f>
        <v>VENTILADOR DE PARED</v>
      </c>
      <c r="C7185" s="6">
        <v>31106.54</v>
      </c>
      <c r="D7185" s="5"/>
      <c r="E7185" s="5" t="str">
        <f t="shared" si="343"/>
        <v>URGENCIAS ADULTO-Jenny Peña</v>
      </c>
      <c r="F7185" s="5" t="str">
        <f>"Descripcion: VENTILADOR DE PARED  Estado: Bueno Placa anterior: 000000761 Material: PASTA Color: BLANCO Referencia:  Observacion: AUTORIZADO CONCILIAR EN CRUCE GENERAL Placa padre: Tipo adquisicion: Entidad"</f>
        <v>Descripcion: VENTILADOR DE PARED  Estado: Bueno Placa anterior: 000000761 Material: PASTA Color: BLANCO Referencia:  Observacion: AUTORIZADO CONCILIAR EN CRUCE GENERAL Placa padre: Tipo adquisicion: Entidad</v>
      </c>
      <c r="G7185" s="5" t="str">
        <f>"TURBO SILENCE"</f>
        <v>TURBO SILENCE</v>
      </c>
    </row>
    <row r="7186" spans="1:7" ht="58.5" customHeight="1" x14ac:dyDescent="0.25">
      <c r="A7186" s="5" t="str">
        <f>"H0006344"</f>
        <v>H0006344</v>
      </c>
      <c r="B7186" s="5" t="str">
        <f>"LOCKER DE 12 COMPARTIMIENTOS"</f>
        <v>LOCKER DE 12 COMPARTIMIENTOS</v>
      </c>
      <c r="C7186" s="6">
        <v>770000</v>
      </c>
      <c r="D7186" s="5" t="s">
        <v>383</v>
      </c>
      <c r="E7186" s="5" t="str">
        <f t="shared" si="343"/>
        <v>URGENCIAS ADULTO-Jenny Peña</v>
      </c>
      <c r="F7186" s="5" t="str">
        <f>"Descripcion: LOCKER DE TRES CUERPOS Y 12 COMPARTIMIENTOS COLOR ALENDRA CON LOGO SIMBOLO UNIVERSIDAD DE BOYACA Estado: Bueno Placa anterior: 000036479 Material: METALICO Color: BEIGE Referencia:  Observacion:  Placa padre: Tipo adquisicion: Entidad"</f>
        <v>Descripcion: LOCKER DE TRES CUERPOS Y 12 COMPARTIMIENTOS COLOR ALENDRA CON LOGO SIMBOLO UNIVERSIDAD DE BOYACA Estado: Bueno Placa anterior: 000036479 Material: METALICO Color: BEIGE Referencia:  Observacion:  Placa padre: Tipo adquisicion: Entidad</v>
      </c>
      <c r="G7186" s="5"/>
    </row>
    <row r="7187" spans="1:7" ht="58.5" customHeight="1" x14ac:dyDescent="0.25">
      <c r="A7187" s="5" t="str">
        <f>"H0006354"</f>
        <v>H0006354</v>
      </c>
      <c r="B7187" s="5" t="str">
        <f>"TELEVISOR LCD 40''"</f>
        <v>TELEVISOR LCD 40''</v>
      </c>
      <c r="C7187" s="6">
        <v>4780000</v>
      </c>
      <c r="D7187" s="5"/>
      <c r="E7187" s="5" t="str">
        <f t="shared" si="343"/>
        <v>URGENCIAS ADULTO-Jenny Peña</v>
      </c>
      <c r="F7187" s="5" t="str">
        <f>"Descripcion: TELEVISOR LCD DE 40' Estado: Bueno Placa anterior: 000033398 Material: PASTA Color: NEGRO Referencia:  Observacion:  Placa padre: Tipo adquisicion: Entidad"</f>
        <v>Descripcion: TELEVISOR LCD DE 40' Estado: Bueno Placa anterior: 000033398 Material: PASTA Color: NEGRO Referencia:  Observacion:  Placa padre: Tipo adquisicion: Entidad</v>
      </c>
      <c r="G7187" s="5" t="str">
        <f>"LN40B530P7R"</f>
        <v>LN40B530P7R</v>
      </c>
    </row>
    <row r="7188" spans="1:7" ht="58.5" customHeight="1" x14ac:dyDescent="0.25">
      <c r="A7188" s="5" t="str">
        <f>"H0006356"</f>
        <v>H0006356</v>
      </c>
      <c r="B7188" s="5" t="str">
        <f>"CARTELERA"</f>
        <v>CARTELERA</v>
      </c>
      <c r="C7188" s="6">
        <v>84000</v>
      </c>
      <c r="D7188" s="5"/>
      <c r="E7188" s="5" t="str">
        <f t="shared" si="343"/>
        <v>URGENCIAS ADULTO-Jenny Peña</v>
      </c>
      <c r="F7188" s="5" t="str">
        <f>"Descripcion: CARTELERA INFORMATIVA CON PUERTAS EN VIDRIO DIM: 72X120 CMS. Estado: Bueno Placa anterior: 000019655 Material: METALICO Color: MARRON Referencia:  Observacion:  Placa padre: Tipo adquisicion: Entidad"</f>
        <v>Descripcion: CARTELERA INFORMATIVA CON PUERTAS EN VIDRIO DIM: 72X120 CMS. Estado: Bueno Placa anterior: 000019655 Material: METALICO Color: MARRON Referencia:  Observacion:  Placa padre: Tipo adquisicion: Entidad</v>
      </c>
      <c r="G7188" s="5"/>
    </row>
    <row r="7189" spans="1:7" ht="58.5" customHeight="1" x14ac:dyDescent="0.25">
      <c r="A7189" s="5" t="str">
        <f>"H0006357"</f>
        <v>H0006357</v>
      </c>
      <c r="B7189" s="5" t="str">
        <f>"ATRIL PORTASUERO MOVIL"</f>
        <v>ATRIL PORTASUERO MOVIL</v>
      </c>
      <c r="C7189" s="6">
        <v>145000</v>
      </c>
      <c r="D7189" s="5" t="s">
        <v>166</v>
      </c>
      <c r="E7189" s="5" t="str">
        <f t="shared" si="343"/>
        <v>URGENCIAS ADULTO-Jenny Peña</v>
      </c>
      <c r="F7189" s="5" t="str">
        <f>"Descripcion: ATRIL. CON VARILLA GRADUABLE Y RODACHINAS Estado: Bueno Placa anterior: 000031436 Material: METAL Color: BEIGE Referencia:  Observacion:  Placa padre: Tipo adquisicion: Entidad"</f>
        <v>Descripcion: ATRIL. CON VARILLA GRADUABLE Y RODACHINAS Estado: Bueno Placa anterior: 000031436 Material: METAL Color: BEIGE Referencia:  Observacion:  Placa padre: Tipo adquisicion: Entidad</v>
      </c>
      <c r="G7189" s="5" t="str">
        <f>"121-01"</f>
        <v>121-01</v>
      </c>
    </row>
    <row r="7190" spans="1:7" ht="58.5" customHeight="1" x14ac:dyDescent="0.25">
      <c r="A7190" s="5" t="str">
        <f>"H0006360"</f>
        <v>H0006360</v>
      </c>
      <c r="B7190" s="5" t="str">
        <f>"NEVERA 8 PIES (226LT)"</f>
        <v>NEVERA 8 PIES (226LT)</v>
      </c>
      <c r="C7190" s="6">
        <v>143872.5</v>
      </c>
      <c r="D7190" s="5"/>
      <c r="E7190" s="5" t="str">
        <f t="shared" si="343"/>
        <v>URGENCIAS ADULTO-Jenny Peña</v>
      </c>
      <c r="F7190" s="5" t="str">
        <f>"Descripcion: NEVERA PHILIPS DE 8 PIES Estado: Malo Placa anterior: 000002792 Material: METAL Color: BEIGE Referencia:  Observacion:  Placa padre: Tipo adquisicion: Entidad"</f>
        <v>Descripcion: NEVERA PHILIPS DE 8 PIES Estado: Malo Placa anterior: 000002792 Material: METAL Color: BEIGE Referencia:  Observacion:  Placa padre: Tipo adquisicion: Entidad</v>
      </c>
      <c r="G7190" s="5"/>
    </row>
    <row r="7191" spans="1:7" ht="58.5" customHeight="1" x14ac:dyDescent="0.25">
      <c r="A7191" s="5" t="str">
        <f>"H0006364"</f>
        <v>H0006364</v>
      </c>
      <c r="B7191" s="5" t="str">
        <f>"SILLA INTERLOCUTORA (FIJA) SIN BRAZOS"</f>
        <v>SILLA INTERLOCUTORA (FIJA) SIN BRAZOS</v>
      </c>
      <c r="C7191" s="6">
        <v>5610</v>
      </c>
      <c r="D7191" s="5"/>
      <c r="E7191" s="5" t="str">
        <f t="shared" si="343"/>
        <v>URGENCIAS ADULTO-Jenny Peña</v>
      </c>
      <c r="F7191" s="5" t="str">
        <f>"Descripcion: SILLA INTERLOCUTORA (FIJA) SIN BRAZOS CON TAPIZADO MARRON Estado: Bueno Placa anterior: 000002059 Material: METAL Y CUERINA Color: MARRON Referencia:  Observacion:  Placa padre: Tipo adquisicion: Entidad"</f>
        <v>Descripcion: SILLA INTERLOCUTORA (FIJA) SIN BRAZOS CON TAPIZADO MARRON Estado: Bueno Placa anterior: 000002059 Material: METAL Y CUERINA Color: MARRON Referencia:  Observacion:  Placa padre: Tipo adquisicion: Entidad</v>
      </c>
      <c r="G7191" s="5"/>
    </row>
    <row r="7192" spans="1:7" ht="58.5" customHeight="1" x14ac:dyDescent="0.25">
      <c r="A7192" s="5" t="str">
        <f>"H0006368"</f>
        <v>H0006368</v>
      </c>
      <c r="B7192" s="5" t="str">
        <f>"LAMPARA PARA EMERGENCIA**"</f>
        <v>LAMPARA PARA EMERGENCIA**</v>
      </c>
      <c r="C7192" s="6">
        <v>162400</v>
      </c>
      <c r="D7192" s="5" t="s">
        <v>56</v>
      </c>
      <c r="E7192" s="5" t="str">
        <f t="shared" si="343"/>
        <v>URGENCIAS ADULTO-Jenny Peña</v>
      </c>
      <c r="F7192" s="5" t="str">
        <f>"Descripcion: LINTERNAS GRANDES CON BATERIA Estado: Bueno Placa anterior: 000031160 Material: PASTA Color: BLANCA Referencia:  Observacion:  Placa padre: Tipo adquisicion: Entidad"</f>
        <v>Descripcion: LINTERNAS GRANDES CON BATERIA Estado: Bueno Placa anterior: 000031160 Material: PASTA Color: BLANCA Referencia:  Observacion:  Placa padre: Tipo adquisicion: Entidad</v>
      </c>
      <c r="G7192" s="5"/>
    </row>
    <row r="7193" spans="1:7" ht="58.5" customHeight="1" x14ac:dyDescent="0.25">
      <c r="A7193" s="5" t="str">
        <f>"H0006369"</f>
        <v>H0006369</v>
      </c>
      <c r="B7193" s="5" t="str">
        <f>"LAMPARA PARA EMERGENCIA**"</f>
        <v>LAMPARA PARA EMERGENCIA**</v>
      </c>
      <c r="C7193" s="6">
        <v>162400</v>
      </c>
      <c r="D7193" s="5" t="s">
        <v>56</v>
      </c>
      <c r="E7193" s="5" t="str">
        <f t="shared" si="343"/>
        <v>URGENCIAS ADULTO-Jenny Peña</v>
      </c>
      <c r="F7193" s="5" t="str">
        <f>"Descripcion: LINTERNAS GRANDES CON BATERIA Estado: Bueno Placa anterior: 000031162 Material: PASTA  Color: BLANCA Referencia: KN-320A Observacion:  Placa padre: Tipo adquisicion: Entidad"</f>
        <v>Descripcion: LINTERNAS GRANDES CON BATERIA Estado: Bueno Placa anterior: 000031162 Material: PASTA  Color: BLANCA Referencia: KN-320A Observacion:  Placa padre: Tipo adquisicion: Entidad</v>
      </c>
      <c r="G7193" s="5"/>
    </row>
    <row r="7194" spans="1:7" ht="58.5" customHeight="1" x14ac:dyDescent="0.25">
      <c r="A7194" s="5" t="str">
        <f>"H0006370"</f>
        <v>H0006370</v>
      </c>
      <c r="B7194" s="5" t="str">
        <f>"LAMPARA PARA EMERGENCIA**"</f>
        <v>LAMPARA PARA EMERGENCIA**</v>
      </c>
      <c r="C7194" s="6">
        <v>162400</v>
      </c>
      <c r="D7194" s="5" t="s">
        <v>56</v>
      </c>
      <c r="E7194" s="5" t="str">
        <f t="shared" si="343"/>
        <v>URGENCIAS ADULTO-Jenny Peña</v>
      </c>
      <c r="F7194" s="5" t="str">
        <f>"Descripcion: LINTERNAS GRANDES CON BATERIA Estado: Bueno Placa anterior: 000031161 Material: PASTA Color: BLANCA Referencia: KN-320A Observacion:  Placa padre: Tipo adquisicion: Entidad"</f>
        <v>Descripcion: LINTERNAS GRANDES CON BATERIA Estado: Bueno Placa anterior: 000031161 Material: PASTA Color: BLANCA Referencia: KN-320A Observacion:  Placa padre: Tipo adquisicion: Entidad</v>
      </c>
      <c r="G7194" s="5"/>
    </row>
    <row r="7195" spans="1:7" ht="58.5" customHeight="1" x14ac:dyDescent="0.25">
      <c r="A7195" s="5" t="str">
        <f>"H0006375"</f>
        <v>H0006375</v>
      </c>
      <c r="B7195" s="5" t="str">
        <f>"FLUJOMETRO DOBLE"</f>
        <v>FLUJOMETRO DOBLE</v>
      </c>
      <c r="C7195" s="6">
        <v>365400</v>
      </c>
      <c r="D7195" s="5" t="s">
        <v>56</v>
      </c>
      <c r="E7195" s="5" t="str">
        <f t="shared" si="343"/>
        <v>URGENCIAS ADULTO-Jenny Peña</v>
      </c>
      <c r="F7195" s="5" t="str">
        <f>"Descripcion: FLUJOMETRO Estado: Bueno Placa anterior: 000031124 Material: METAL Color: PLATEADO Referencia:  Observacion:  Placa padre: Tipo adquisicion: Entidad"</f>
        <v>Descripcion: FLUJOMETRO Estado: Bueno Placa anterior: 000031124 Material: METAL Color: PLATEADO Referencia:  Observacion:  Placa padre: Tipo adquisicion: Entidad</v>
      </c>
      <c r="G7195" s="5"/>
    </row>
    <row r="7196" spans="1:7" ht="58.5" customHeight="1" x14ac:dyDescent="0.25">
      <c r="A7196" s="5" t="str">
        <f>"H0006376"</f>
        <v>H0006376</v>
      </c>
      <c r="B7196" s="5" t="str">
        <f>"VITRINA DE 2 CUERPOS"</f>
        <v>VITRINA DE 2 CUERPOS</v>
      </c>
      <c r="C7196" s="6">
        <v>350000</v>
      </c>
      <c r="D7196" s="5"/>
      <c r="E7196" s="5" t="str">
        <f t="shared" si="343"/>
        <v>URGENCIAS ADULTO-Jenny Peña</v>
      </c>
      <c r="F7196" s="5" t="str">
        <f>"Descripcion: VITRINA METALICA DE DOS CUERPOS  Y CON CORREDERA EN VIDRIO Estado: Bueno Placa anterior: 000033291 Material: METAL Color: BEIGE Referencia:  Observacion:  Placa padre: Tipo adquisicion: Entidad"</f>
        <v>Descripcion: VITRINA METALICA DE DOS CUERPOS  Y CON CORREDERA EN VIDRIO Estado: Bueno Placa anterior: 000033291 Material: METAL Color: BEIGE Referencia:  Observacion:  Placa padre: Tipo adquisicion: Entidad</v>
      </c>
      <c r="G7196" s="5"/>
    </row>
    <row r="7197" spans="1:7" ht="58.5" customHeight="1" x14ac:dyDescent="0.25">
      <c r="A7197" s="5" t="str">
        <f>"H0006377"</f>
        <v>H0006377</v>
      </c>
      <c r="B7197" s="5" t="str">
        <f>"NEVERA 8 PIES (226LT)"</f>
        <v>NEVERA 8 PIES (226LT)</v>
      </c>
      <c r="C7197" s="6">
        <v>294999.84000000003</v>
      </c>
      <c r="D7197" s="5"/>
      <c r="E7197" s="5" t="str">
        <f t="shared" si="343"/>
        <v>URGENCIAS ADULTO-Jenny Peña</v>
      </c>
      <c r="F7197" s="5" t="str">
        <f>"Descripcion: NEVERA PHILIPS DE 8 PIES Estado: Bueno Placa anterior: 000001322 Material: METAL Color: BEIGE Referencia:  Observacion:  Placa padre: Tipo adquisicion: Entidad"</f>
        <v>Descripcion: NEVERA PHILIPS DE 8 PIES Estado: Bueno Placa anterior: 000001322 Material: METAL Color: BEIGE Referencia:  Observacion:  Placa padre: Tipo adquisicion: Entidad</v>
      </c>
      <c r="G7197" s="5" t="str">
        <f>"ST908"</f>
        <v>ST908</v>
      </c>
    </row>
    <row r="7198" spans="1:7" ht="58.5" customHeight="1" x14ac:dyDescent="0.25">
      <c r="A7198" s="5" t="str">
        <f>"H0006382"</f>
        <v>H0006382</v>
      </c>
      <c r="B7198" s="5" t="str">
        <f>"MESA (CARRO) DE CURACIONES"</f>
        <v>MESA (CARRO) DE CURACIONES</v>
      </c>
      <c r="C7198" s="6">
        <v>253225</v>
      </c>
      <c r="D7198" s="5" t="s">
        <v>448</v>
      </c>
      <c r="E7198" s="5" t="str">
        <f t="shared" si="343"/>
        <v>URGENCIAS ADULTO-Jenny Peña</v>
      </c>
      <c r="F7198" s="5" t="str">
        <f>"Descripcion: CARRO DE CURACIONES EN ACERO INOXIDABLE Estado: Bueno Placa anterior: 000030500 Material: METAL Color: BEIGE Referencia:  Observacion:  Placa padre: Tipo adquisicion: Entidad"</f>
        <v>Descripcion: CARRO DE CURACIONES EN ACERO INOXIDABLE Estado: Bueno Placa anterior: 000030500 Material: METAL Color: BEIGE Referencia:  Observacion:  Placa padre: Tipo adquisicion: Entidad</v>
      </c>
      <c r="G7198" s="5"/>
    </row>
    <row r="7199" spans="1:7" ht="58.5" customHeight="1" x14ac:dyDescent="0.25">
      <c r="A7199" s="5" t="str">
        <f>"H0006383"</f>
        <v>H0006383</v>
      </c>
      <c r="B7199" s="5" t="str">
        <f>"EQUIPO ORGANOS DE LOS SENTIDOS PORTATIL"</f>
        <v>EQUIPO ORGANOS DE LOS SENTIDOS PORTATIL</v>
      </c>
      <c r="C7199" s="6">
        <v>1113600</v>
      </c>
      <c r="D7199" s="5" t="s">
        <v>56</v>
      </c>
      <c r="E7199" s="5" t="str">
        <f t="shared" si="343"/>
        <v>URGENCIAS ADULTO-Jenny Peña</v>
      </c>
      <c r="F7199" s="5" t="str">
        <f>"Descripcion: EQUIPO DE ORGANOS DE LOS SENTIDOS WELCH ALLYN Estado: Bueno Placa anterior: 000031178 Material: METAL Color: BLANCO CON NEGRO Referencia:  Observacion:  Placa padre: Tipo adquisicion: Entidad"</f>
        <v>Descripcion: EQUIPO DE ORGANOS DE LOS SENTIDOS WELCH ALLYN Estado: Bueno Placa anterior: 000031178 Material: METAL Color: BLANCO CON NEGRO Referencia:  Observacion:  Placa padre: Tipo adquisicion: Entidad</v>
      </c>
      <c r="G7199" s="5" t="str">
        <f>"WELCH ALLYN"</f>
        <v>WELCH ALLYN</v>
      </c>
    </row>
    <row r="7200" spans="1:7" ht="58.5" customHeight="1" x14ac:dyDescent="0.25">
      <c r="A7200" s="5" t="str">
        <f>"H0006384"</f>
        <v>H0006384</v>
      </c>
      <c r="B7200" s="5" t="str">
        <f>"DISPENSADOR DE LIQUIDOS"</f>
        <v>DISPENSADOR DE LIQUIDOS</v>
      </c>
      <c r="C7200" s="6">
        <v>249400</v>
      </c>
      <c r="D7200" s="5"/>
      <c r="E7200" s="5" t="str">
        <f t="shared" si="343"/>
        <v>URGENCIAS ADULTO-Jenny Peña</v>
      </c>
      <c r="F7200" s="5" t="str">
        <f>"Descripcion: INFUSOR DE LIQUIDOS Estado: Bueno Placa anterior: 000031144 Material: PASTA Color: AZUL Referencia:  Observacion:  Placa padre: Tipo adquisicion: Entidad"</f>
        <v>Descripcion: INFUSOR DE LIQUIDOS Estado: Bueno Placa anterior: 000031144 Material: PASTA Color: AZUL Referencia:  Observacion:  Placa padre: Tipo adquisicion: Entidad</v>
      </c>
      <c r="G7200" s="5"/>
    </row>
    <row r="7201" spans="1:7" ht="58.5" customHeight="1" x14ac:dyDescent="0.25">
      <c r="A7201" s="5" t="str">
        <f>"H0006385"</f>
        <v>H0006385</v>
      </c>
      <c r="B7201" s="5" t="str">
        <f>"EQUIPO ORGANOS DE LOS SENTIDOS PORTATIL"</f>
        <v>EQUIPO ORGANOS DE LOS SENTIDOS PORTATIL</v>
      </c>
      <c r="C7201" s="6">
        <v>1113600</v>
      </c>
      <c r="D7201" s="5" t="s">
        <v>56</v>
      </c>
      <c r="E7201" s="5" t="str">
        <f t="shared" si="343"/>
        <v>URGENCIAS ADULTO-Jenny Peña</v>
      </c>
      <c r="F7201" s="5" t="str">
        <f>"Descripcion: EQUIPO DE ORGANOS DE LOS SENTIDOS WELCH ALLYN Estado: Bueno Placa anterior: 000031179 Material: METAL Color: BEIGE Referencia:  Observacion:  Placa padre: Tipo adquisicion: Entidad"</f>
        <v>Descripcion: EQUIPO DE ORGANOS DE LOS SENTIDOS WELCH ALLYN Estado: Bueno Placa anterior: 000031179 Material: METAL Color: BEIGE Referencia:  Observacion:  Placa padre: Tipo adquisicion: Entidad</v>
      </c>
      <c r="G7201" s="5"/>
    </row>
    <row r="7202" spans="1:7" ht="58.5" customHeight="1" x14ac:dyDescent="0.25">
      <c r="A7202" s="5" t="str">
        <f>"H0006386"</f>
        <v>H0006386</v>
      </c>
      <c r="B7202" s="5" t="str">
        <f>"OXIMETRO PORTATIL (SATURADOR PORTATIL)"</f>
        <v>OXIMETRO PORTATIL (SATURADOR PORTATIL)</v>
      </c>
      <c r="C7202" s="6">
        <v>208800</v>
      </c>
      <c r="D7202" s="5" t="s">
        <v>449</v>
      </c>
      <c r="E7202" s="5" t="str">
        <f t="shared" si="343"/>
        <v>URGENCIAS ADULTO-Jenny Peña</v>
      </c>
      <c r="F7202" s="5" t="str">
        <f>"Descripcion: PULSO DE OXIMETRO PORTATILES Estado: Bueno Placa anterior: 000030543 Material: PASTA Color: NARANJA Referencia:  Observacion:  Placa padre: Tipo adquisicion: Entidad"</f>
        <v>Descripcion: PULSO DE OXIMETRO PORTATILES Estado: Bueno Placa anterior: 000030543 Material: PASTA Color: NARANJA Referencia:  Observacion:  Placa padre: Tipo adquisicion: Entidad</v>
      </c>
      <c r="G7202" s="5"/>
    </row>
    <row r="7203" spans="1:7" ht="58.5" customHeight="1" x14ac:dyDescent="0.25">
      <c r="A7203" s="5" t="str">
        <f>"H0006387"</f>
        <v>H0006387</v>
      </c>
      <c r="B7203" s="5" t="str">
        <f>"RODILLO PARA MOVILIZAR PACIENTES"</f>
        <v>RODILLO PARA MOVILIZAR PACIENTES</v>
      </c>
      <c r="C7203" s="6">
        <v>352640</v>
      </c>
      <c r="D7203" s="5" t="s">
        <v>449</v>
      </c>
      <c r="E7203" s="5" t="str">
        <f t="shared" si="343"/>
        <v>URGENCIAS ADULTO-Jenny Peña</v>
      </c>
      <c r="F7203" s="5" t="str">
        <f>"Descripcion: RODILLO PARA TRASLADAR PACIENTES Estado: Bueno Placa anterior: 000030541 Material: METAL Color: AZUL Referencia:  Observacion:  Placa padre: Tipo adquisicion: Entidad"</f>
        <v>Descripcion: RODILLO PARA TRASLADAR PACIENTES Estado: Bueno Placa anterior: 000030541 Material: METAL Color: AZUL Referencia:  Observacion:  Placa padre: Tipo adquisicion: Entidad</v>
      </c>
      <c r="G7203" s="5"/>
    </row>
    <row r="7204" spans="1:7" ht="58.5" customHeight="1" x14ac:dyDescent="0.25">
      <c r="A7204" s="5" t="str">
        <f>"H0006388"</f>
        <v>H0006388</v>
      </c>
      <c r="B7204" s="5" t="str">
        <f>"RODILLO PARA MOVILIZAR PACIENTES"</f>
        <v>RODILLO PARA MOVILIZAR PACIENTES</v>
      </c>
      <c r="C7204" s="6">
        <v>538240</v>
      </c>
      <c r="D7204" s="5" t="s">
        <v>161</v>
      </c>
      <c r="E7204" s="5" t="str">
        <f t="shared" si="343"/>
        <v>URGENCIAS ADULTO-Jenny Peña</v>
      </c>
      <c r="F7204" s="5" t="str">
        <f>"Descripcion: RODILLO PARA TRASLADAR PACIENTES Estado: Bueno Placa anterior: 000031512 Material: METAL Color: AZUL Referencia:  Observacion:  Placa padre: Tipo adquisicion: Entidad"</f>
        <v>Descripcion: RODILLO PARA TRASLADAR PACIENTES Estado: Bueno Placa anterior: 000031512 Material: METAL Color: AZUL Referencia:  Observacion:  Placa padre: Tipo adquisicion: Entidad</v>
      </c>
      <c r="G7204" s="5"/>
    </row>
    <row r="7205" spans="1:7" ht="58.5" customHeight="1" x14ac:dyDescent="0.25">
      <c r="A7205" s="5" t="str">
        <f>"H0006389"</f>
        <v>H0006389</v>
      </c>
      <c r="B7205" s="5" t="str">
        <f>"POTE (TARRO) ACERO INXODABLE CON TAPA MEDIANO"</f>
        <v>POTE (TARRO) ACERO INXODABLE CON TAPA MEDIANO</v>
      </c>
      <c r="C7205" s="6">
        <v>21799.02</v>
      </c>
      <c r="D7205" s="5"/>
      <c r="E7205" s="5" t="str">
        <f t="shared" ref="E7205:E7268" si="344">"URGENCIAS ADULTO-Jenny Peña"</f>
        <v>URGENCIAS ADULTO-Jenny Peña</v>
      </c>
      <c r="F7205" s="5" t="str">
        <f>"Descripcion: TARRO EN ACERO INOXIDABLE Estado: Bueno Placa anterior: 000018580 Material: METAL Color: NIKELADO Referencia:  Observacion:  Placa padre: Tipo adquisicion: Entidad"</f>
        <v>Descripcion: TARRO EN ACERO INOXIDABLE Estado: Bueno Placa anterior: 000018580 Material: METAL Color: NIKELADO Referencia:  Observacion:  Placa padre: Tipo adquisicion: Entidad</v>
      </c>
      <c r="G7205" s="5"/>
    </row>
    <row r="7206" spans="1:7" ht="58.5" customHeight="1" x14ac:dyDescent="0.25">
      <c r="A7206" s="5" t="str">
        <f>"H0006390"</f>
        <v>H0006390</v>
      </c>
      <c r="B7206" s="5" t="str">
        <f>"MESA (SUPERFICIE) MODULAR"</f>
        <v>MESA (SUPERFICIE) MODULAR</v>
      </c>
      <c r="C7206" s="6">
        <v>77520</v>
      </c>
      <c r="D7206" s="5"/>
      <c r="E7206" s="5" t="str">
        <f t="shared" si="344"/>
        <v>URGENCIAS ADULTO-Jenny Peña</v>
      </c>
      <c r="F7206" s="5" t="str">
        <f>"Descripcion: MESA PARA IMPRESORA Estado: Bueno Placa anterior: 000000699 Material: MADERA Color: NEGRO CON BEIGE Referencia:  Observacion:  Placa padre: Tipo adquisicion: Entidad"</f>
        <v>Descripcion: MESA PARA IMPRESORA Estado: Bueno Placa anterior: 000000699 Material: MADERA Color: NEGRO CON BEIGE Referencia:  Observacion:  Placa padre: Tipo adquisicion: Entidad</v>
      </c>
      <c r="G7206" s="5"/>
    </row>
    <row r="7207" spans="1:7" ht="58.5" customHeight="1" x14ac:dyDescent="0.25">
      <c r="A7207" s="5" t="str">
        <f>"H0006394"</f>
        <v>H0006394</v>
      </c>
      <c r="B7207" s="5" t="str">
        <f>"LOCKER DE 6 COMPARTIMIENTOS"</f>
        <v>LOCKER DE 6 COMPARTIMIENTOS</v>
      </c>
      <c r="C7207" s="6">
        <v>585988</v>
      </c>
      <c r="D7207" s="5" t="s">
        <v>60</v>
      </c>
      <c r="E7207" s="5" t="str">
        <f t="shared" si="344"/>
        <v>URGENCIAS ADULTO-Jenny Peña</v>
      </c>
      <c r="F7207" s="5" t="str">
        <f>"Descripcion: LOCKER DE LAMINA CALIBRE 22 C/6 CASILLEROS, PORTACANDADO, MANIJA PROFUNDIZADA MEDIDAS 1.80X1.90 DE ANCHO X 35 DE FONDO DE PINTURA Estado: Bueno Placa anterior: 000029177 Material: METAL Color: GRIS Referencia:  Observacion:  Placa padre: Tipo"&amp; " adquisicion: Entidad"</f>
        <v>Descripcion: LOCKER DE LAMINA CALIBRE 22 C/6 CASILLEROS, PORTACANDADO, MANIJA PROFUNDIZADA MEDIDAS 1.80X1.90 DE ANCHO X 35 DE FONDO DE PINTURA Estado: Bueno Placa anterior: 000029177 Material: METAL Color: GRIS Referencia:  Observacion:  Placa padre: Tipo adquisicion: Entidad</v>
      </c>
      <c r="G7207" s="5"/>
    </row>
    <row r="7208" spans="1:7" ht="58.5" customHeight="1" x14ac:dyDescent="0.25">
      <c r="A7208" s="5" t="str">
        <f>"H0006395"</f>
        <v>H0006395</v>
      </c>
      <c r="B7208" s="5" t="str">
        <f>"BUTACO GIRATORIO CON RUEDAS"</f>
        <v>BUTACO GIRATORIO CON RUEDAS</v>
      </c>
      <c r="C7208" s="6">
        <v>172840</v>
      </c>
      <c r="D7208" s="5" t="s">
        <v>166</v>
      </c>
      <c r="E7208" s="5" t="str">
        <f t="shared" si="344"/>
        <v>URGENCIAS ADULTO-Jenny Peña</v>
      </c>
      <c r="F7208" s="5" t="str">
        <f>"Descripcion: BUTACO GIRATORIO Estado: Bueno Placa anterior: 000031475 Material: METAL Color: GRIS Referencia:  Observacion: EL BIEN TIENE PLACA ANTERIOR  000019161 Placa padre: Tipo adquisicion: Entidad"</f>
        <v>Descripcion: BUTACO GIRATORIO Estado: Bueno Placa anterior: 000031475 Material: METAL Color: GRIS Referencia:  Observacion: EL BIEN TIENE PLACA ANTERIOR  000019161 Placa padre: Tipo adquisicion: Entidad</v>
      </c>
      <c r="G7208" s="5"/>
    </row>
    <row r="7209" spans="1:7" ht="58.5" customHeight="1" x14ac:dyDescent="0.25">
      <c r="A7209" s="5" t="str">
        <f>"H0006397"</f>
        <v>H0006397</v>
      </c>
      <c r="B7209" s="5" t="str">
        <f>"SILLA ERGONOMICA TIPO SECRETARIA SIN BRAZOS"</f>
        <v>SILLA ERGONOMICA TIPO SECRETARIA SIN BRAZOS</v>
      </c>
      <c r="C7209" s="6">
        <v>130000</v>
      </c>
      <c r="D7209" s="5" t="s">
        <v>169</v>
      </c>
      <c r="E7209" s="5" t="str">
        <f t="shared" si="344"/>
        <v>URGENCIAS ADULTO-Jenny Peña</v>
      </c>
      <c r="F7209" s="5" t="str">
        <f>"Descripcion: SILLA SECRETARIA SIN BRAZOS GIRATORIA Estado: Bueno Placa anterior: 000036684 Material: TAPIZADO Color: NEGRO Referencia:  Observacion:  Placa padre: Tipo adquisicion: Entidad"</f>
        <v>Descripcion: SILLA SECRETARIA SIN BRAZOS GIRATORIA Estado: Bueno Placa anterior: 000036684 Material: TAPIZADO Color: NEGRO Referencia:  Observacion:  Placa padre: Tipo adquisicion: Entidad</v>
      </c>
      <c r="G7209" s="5"/>
    </row>
    <row r="7210" spans="1:7" ht="58.5" customHeight="1" x14ac:dyDescent="0.25">
      <c r="A7210" s="5" t="str">
        <f>"H0006399"</f>
        <v>H0006399</v>
      </c>
      <c r="B7210" s="5" t="str">
        <f>"LOCKER DE 2 COMPARTIMIENTOS"</f>
        <v>LOCKER DE 2 COMPARTIMIENTOS</v>
      </c>
      <c r="C7210" s="6">
        <v>48720</v>
      </c>
      <c r="D7210" s="5"/>
      <c r="E7210" s="5" t="str">
        <f t="shared" si="344"/>
        <v>URGENCIAS ADULTO-Jenny Peña</v>
      </c>
      <c r="F7210" s="5" t="str">
        <f>"Descripcion: LOCKER CON 2 PUERTAS 181*90*40 Estado: Bueno Placa anterior: 000019397 Material: METAL Color: GRIS Referencia:  Observacion:  Placa padre: Tipo adquisicion: Entidad"</f>
        <v>Descripcion: LOCKER CON 2 PUERTAS 181*90*40 Estado: Bueno Placa anterior: 000019397 Material: METAL Color: GRIS Referencia:  Observacion:  Placa padre: Tipo adquisicion: Entidad</v>
      </c>
      <c r="G7210" s="5"/>
    </row>
    <row r="7211" spans="1:7" ht="58.5" customHeight="1" x14ac:dyDescent="0.25">
      <c r="A7211" s="5" t="str">
        <f>"H0006401"</f>
        <v>H0006401</v>
      </c>
      <c r="B7211" s="5" t="str">
        <f>"LARINGOSCOPIO ADULTO"</f>
        <v>LARINGOSCOPIO ADULTO</v>
      </c>
      <c r="C7211" s="6">
        <v>469510</v>
      </c>
      <c r="D7211" s="5" t="s">
        <v>348</v>
      </c>
      <c r="E7211" s="5" t="str">
        <f t="shared" si="344"/>
        <v>URGENCIAS ADULTO-Jenny Peña</v>
      </c>
      <c r="F7211" s="5" t="str">
        <f>"Descripcion: LARINGOSCOPIO CON FIBRA OPTICA CON 2 HOJAS CURVAS. No. 3 Y No. 4    Estado: Bueno Placa anterior: 000030509 Material: ACERO Color: PLATEADO Referencia:  Observacion:  Placa padre: Tipo adquisicion: Entidad"</f>
        <v>Descripcion: LARINGOSCOPIO CON FIBRA OPTICA CON 2 HOJAS CURVAS. No. 3 Y No. 4    Estado: Bueno Placa anterior: 000030509 Material: ACERO Color: PLATEADO Referencia:  Observacion:  Placa padre: Tipo adquisicion: Entidad</v>
      </c>
      <c r="G7211" s="5"/>
    </row>
    <row r="7212" spans="1:7" ht="58.5" customHeight="1" x14ac:dyDescent="0.25">
      <c r="A7212" s="5" t="str">
        <f>"H0006403"</f>
        <v>H0006403</v>
      </c>
      <c r="B7212" s="5" t="str">
        <f>"LARINGOSCOPIO ADULTO"</f>
        <v>LARINGOSCOPIO ADULTO</v>
      </c>
      <c r="C7212" s="6">
        <v>1305000</v>
      </c>
      <c r="D7212" s="5" t="s">
        <v>444</v>
      </c>
      <c r="E7212" s="5" t="str">
        <f t="shared" si="344"/>
        <v>URGENCIAS ADULTO-Jenny Peña</v>
      </c>
      <c r="F7212" s="5" t="str">
        <f>"Descripcion: MANGO DE LARINGOSCOPIO FIBRA OPTICA DE 2 PILAS TIPO C MINI. Estado: Bueno Placa anterior: 000028075 Material: METAL Color: WELCHALLYN Referencia:  Observacion: FALTA MODULO PORTA BOMBILLO Placa padre: Tipo adquisicion: Donacion"</f>
        <v>Descripcion: MANGO DE LARINGOSCOPIO FIBRA OPTICA DE 2 PILAS TIPO C MINI. Estado: Bueno Placa anterior: 000028075 Material: METAL Color: WELCHALLYN Referencia:  Observacion: FALTA MODULO PORTA BOMBILLO Placa padre: Tipo adquisicion: Donacion</v>
      </c>
      <c r="G7212" s="5" t="str">
        <f>"R-02X3"</f>
        <v>R-02X3</v>
      </c>
    </row>
    <row r="7213" spans="1:7" ht="58.5" customHeight="1" x14ac:dyDescent="0.25">
      <c r="A7213" s="5" t="str">
        <f>"H0006415"</f>
        <v>H0006415</v>
      </c>
      <c r="B7213" s="5" t="str">
        <f>"VENTILADOR DE PEDESTAL"</f>
        <v>VENTILADOR DE PEDESTAL</v>
      </c>
      <c r="C7213" s="6">
        <v>185000</v>
      </c>
      <c r="D7213" s="5" t="s">
        <v>258</v>
      </c>
      <c r="E7213" s="5" t="str">
        <f t="shared" si="344"/>
        <v>URGENCIAS ADULTO-Jenny Peña</v>
      </c>
      <c r="F7213" s="5" t="str">
        <f>"Descripcion: VENTILADOR DE PIE Estado: Bueno Placa anterior: 000030045 Material: PASTA Color: BLANCO CON NEGRO Referencia:  Observacion:  Placa padre: Tipo adquisicion: Entidad"</f>
        <v>Descripcion: VENTILADOR DE PIE Estado: Bueno Placa anterior: 000030045 Material: PASTA Color: BLANCO CON NEGRO Referencia:  Observacion:  Placa padre: Tipo adquisicion: Entidad</v>
      </c>
      <c r="G7213" s="5" t="str">
        <f>"MAX AIR"</f>
        <v>MAX AIR</v>
      </c>
    </row>
    <row r="7214" spans="1:7" ht="58.5" customHeight="1" x14ac:dyDescent="0.25">
      <c r="A7214" s="5" t="str">
        <f>"H0006417"</f>
        <v>H0006417</v>
      </c>
      <c r="B7214" s="5" t="str">
        <f>"ESCRITORIO METALICO 3 GAVETAS"</f>
        <v>ESCRITORIO METALICO 3 GAVETAS</v>
      </c>
      <c r="C7214" s="6">
        <v>15685.33</v>
      </c>
      <c r="D7214" s="5"/>
      <c r="E7214" s="5" t="str">
        <f t="shared" si="344"/>
        <v>URGENCIAS ADULTO-Jenny Peña</v>
      </c>
      <c r="F7214" s="5" t="str">
        <f>"Descripcion: ESCRITORIO METALICO 3 GAVETAS Estado: Bueno Placa anterior: 000027307 Material: METAL Color: GRIS Referencia:  Observacion:  Placa padre: Tipo adquisicion: Entidad"</f>
        <v>Descripcion: ESCRITORIO METALICO 3 GAVETAS Estado: Bueno Placa anterior: 000027307 Material: METAL Color: GRIS Referencia:  Observacion:  Placa padre: Tipo adquisicion: Entidad</v>
      </c>
      <c r="G7214" s="5"/>
    </row>
    <row r="7215" spans="1:7" ht="58.5" customHeight="1" x14ac:dyDescent="0.25">
      <c r="A7215" s="5" t="str">
        <f>"H0006418"</f>
        <v>H0006418</v>
      </c>
      <c r="B7215" s="5" t="str">
        <f>"CAMILLA DE TRASLADO DE 2 PLANOS"</f>
        <v>CAMILLA DE TRASLADO DE 2 PLANOS</v>
      </c>
      <c r="C7215" s="6">
        <v>1780000</v>
      </c>
      <c r="D7215" s="5" t="s">
        <v>63</v>
      </c>
      <c r="E7215" s="5" t="str">
        <f t="shared" si="344"/>
        <v>URGENCIAS ADULTO-Jenny Peña</v>
      </c>
      <c r="F7215" s="5" t="str">
        <f>"Descripcion: CAMILLA MECANICA DOS PLANOS Estado: Bueno Placa anterior: 000037775 Material: METAL Color: BEIGE Referencia:  Observacion:  Placa padre: Tipo adquisicion: Entidad"</f>
        <v>Descripcion: CAMILLA MECANICA DOS PLANOS Estado: Bueno Placa anterior: 000037775 Material: METAL Color: BEIGE Referencia:  Observacion:  Placa padre: Tipo adquisicion: Entidad</v>
      </c>
      <c r="G7215" s="5"/>
    </row>
    <row r="7216" spans="1:7" ht="58.5" customHeight="1" x14ac:dyDescent="0.25">
      <c r="A7216" s="5" t="str">
        <f>"H0006420"</f>
        <v>H0006420</v>
      </c>
      <c r="B7216" s="5" t="str">
        <f>"ESCALERILLA DE 2 PASOS"</f>
        <v>ESCALERILLA DE 2 PASOS</v>
      </c>
      <c r="C7216" s="6">
        <v>100000</v>
      </c>
      <c r="D7216" s="5" t="s">
        <v>49</v>
      </c>
      <c r="E7216" s="5" t="str">
        <f t="shared" si="344"/>
        <v>URGENCIAS ADULTO-Jenny Peña</v>
      </c>
      <c r="F7216" s="5" t="str">
        <f>"Descripcion: ESCALERILLA DE 2 PASOS EN PASTA Estado: Bueno Placa anterior: 000029818 Material: METAL Y PASTA Color: BLANCO Referencia:  Observacion:  Placa padre: Tipo adquisicion: Entidad"</f>
        <v>Descripcion: ESCALERILLA DE 2 PASOS EN PASTA Estado: Bueno Placa anterior: 000029818 Material: METAL Y PASTA Color: BLANCO Referencia:  Observacion:  Placa padre: Tipo adquisicion: Entidad</v>
      </c>
      <c r="G7216" s="5"/>
    </row>
    <row r="7217" spans="1:7" ht="58.5" customHeight="1" x14ac:dyDescent="0.25">
      <c r="A7217" s="5" t="str">
        <f>"H0006425"</f>
        <v>H0006425</v>
      </c>
      <c r="B7217" s="5" t="str">
        <f>"SILLA GIRATORIA SIN BRAZOS FIJA (NO ERGONOMICA)"</f>
        <v>SILLA GIRATORIA SIN BRAZOS FIJA (NO ERGONOMICA)</v>
      </c>
      <c r="C7217" s="6">
        <v>160000</v>
      </c>
      <c r="D7217" s="5"/>
      <c r="E7217" s="5" t="str">
        <f t="shared" si="344"/>
        <v>URGENCIAS ADULTO-Jenny Peña</v>
      </c>
      <c r="F7217" s="5" t="str">
        <f>"Descripcion: SILLA GIRATORIA TIPO SECRETARIA SIN BRAZOS Estado: Bueno Placa anterior: 000027847 Material: METAL Color: MARRON Referencia:  Observacion:  Placa padre: Tipo adquisicion: Entidad"</f>
        <v>Descripcion: SILLA GIRATORIA TIPO SECRETARIA SIN BRAZOS Estado: Bueno Placa anterior: 000027847 Material: METAL Color: MARRON Referencia:  Observacion:  Placa padre: Tipo adquisicion: Entidad</v>
      </c>
      <c r="G7217" s="5"/>
    </row>
    <row r="7218" spans="1:7" ht="58.5" customHeight="1" x14ac:dyDescent="0.25">
      <c r="A7218" s="5" t="str">
        <f>"H0006426"</f>
        <v>H0006426</v>
      </c>
      <c r="B7218" s="5" t="str">
        <f>"ESCALERILLA DE 2 PASOS"</f>
        <v>ESCALERILLA DE 2 PASOS</v>
      </c>
      <c r="C7218" s="6">
        <v>100000</v>
      </c>
      <c r="D7218" s="5" t="s">
        <v>49</v>
      </c>
      <c r="E7218" s="5" t="str">
        <f t="shared" si="344"/>
        <v>URGENCIAS ADULTO-Jenny Peña</v>
      </c>
      <c r="F7218" s="5" t="str">
        <f>"Descripcion: ESCALERILLA DE DOS PASO EN TUBO REDONDO Estado: Bueno Placa anterior: 000029797 Material: METAL Color: GRIS Y BLANCO Referencia:  Observacion:  Placa padre: Tipo adquisicion: Entidad"</f>
        <v>Descripcion: ESCALERILLA DE DOS PASO EN TUBO REDONDO Estado: Bueno Placa anterior: 000029797 Material: METAL Color: GRIS Y BLANCO Referencia:  Observacion:  Placa padre: Tipo adquisicion: Entidad</v>
      </c>
      <c r="G7218" s="5"/>
    </row>
    <row r="7219" spans="1:7" ht="58.5" customHeight="1" x14ac:dyDescent="0.25">
      <c r="A7219" s="5" t="str">
        <f>"H0006427"</f>
        <v>H0006427</v>
      </c>
      <c r="B7219" s="5" t="str">
        <f>"TABLA DE ALUMINIO HISTORIAS CLINICAS (PORTAHISTORIAS)"</f>
        <v>TABLA DE ALUMINIO HISTORIAS CLINICAS (PORTAHISTORIAS)</v>
      </c>
      <c r="C7219" s="6">
        <v>24746.639999999999</v>
      </c>
      <c r="D7219" s="5"/>
      <c r="E7219" s="5" t="str">
        <f t="shared" si="344"/>
        <v>URGENCIAS ADULTO-Jenny Peña</v>
      </c>
      <c r="F7219" s="5" t="str">
        <f>"Descripcion: TABLA DE ALUMINIO HISTORIAS CLINICAS (PORTAHISTORIAS)  Estado: Bueno Placa anterior: 000019825 Material: ALUMINIO Color: GRIS Referencia:  Observacion:  Placa padre: Tipo adquisicion: Entidad"</f>
        <v>Descripcion: TABLA DE ALUMINIO HISTORIAS CLINICAS (PORTAHISTORIAS)  Estado: Bueno Placa anterior: 000019825 Material: ALUMINIO Color: GRIS Referencia:  Observacion:  Placa padre: Tipo adquisicion: Entidad</v>
      </c>
      <c r="G7219" s="5"/>
    </row>
    <row r="7220" spans="1:7" ht="58.5" customHeight="1" x14ac:dyDescent="0.25">
      <c r="A7220" s="5" t="str">
        <f>"H0006428"</f>
        <v>H0006428</v>
      </c>
      <c r="B7220" s="5" t="str">
        <f>"RODILLO PARA MOVILIZAR PACIENTES"</f>
        <v>RODILLO PARA MOVILIZAR PACIENTES</v>
      </c>
      <c r="C7220" s="6">
        <v>538240</v>
      </c>
      <c r="D7220" s="5" t="s">
        <v>161</v>
      </c>
      <c r="E7220" s="5" t="str">
        <f t="shared" si="344"/>
        <v>URGENCIAS ADULTO-Jenny Peña</v>
      </c>
      <c r="F7220" s="5" t="str">
        <f>"Descripcion:  RODILLO PARA MOVILIZAR PACIENTES Estado: Bueno Placa anterior: 000031511 Material: METAL Color: MARRON Referencia:  Observacion:  Placa padre: Tipo adquisicion: Entidad"</f>
        <v>Descripcion:  RODILLO PARA MOVILIZAR PACIENTES Estado: Bueno Placa anterior: 000031511 Material: METAL Color: MARRON Referencia:  Observacion:  Placa padre: Tipo adquisicion: Entidad</v>
      </c>
      <c r="G7220" s="5"/>
    </row>
    <row r="7221" spans="1:7" ht="58.5" customHeight="1" x14ac:dyDescent="0.25">
      <c r="A7221" s="5" t="str">
        <f>"H0006430"</f>
        <v>H0006430</v>
      </c>
      <c r="B7221" s="5" t="str">
        <f>"RIÑONERA HOSPITALARIA EN ACERO INOXIDABLE"</f>
        <v>RIÑONERA HOSPITALARIA EN ACERO INOXIDABLE</v>
      </c>
      <c r="C7221" s="6">
        <v>3783.04</v>
      </c>
      <c r="D7221" s="5"/>
      <c r="E7221" s="5" t="str">
        <f t="shared" si="344"/>
        <v>URGENCIAS ADULTO-Jenny Peña</v>
      </c>
      <c r="F7221" s="5" t="str">
        <f>"Descripcion: RIÑONERA HOSPITALARIA EN ACERO INOXIDABLE Estado: Bueno Placa anterior: 000019848 Material: ACERO Color: PLATEADO Referencia:  Observacion:  Placa padre: Tipo adquisicion: Entidad"</f>
        <v>Descripcion: RIÑONERA HOSPITALARIA EN ACERO INOXIDABLE Estado: Bueno Placa anterior: 000019848 Material: ACERO Color: PLATEADO Referencia:  Observacion:  Placa padre: Tipo adquisicion: Entidad</v>
      </c>
      <c r="G7221" s="5"/>
    </row>
    <row r="7222" spans="1:7" ht="58.5" customHeight="1" x14ac:dyDescent="0.25">
      <c r="A7222" s="5" t="str">
        <f>"H0006432"</f>
        <v>H0006432</v>
      </c>
      <c r="B7222" s="5" t="str">
        <f>"CAMILLA DE TRASLADO DE 2 PLANOS"</f>
        <v>CAMILLA DE TRASLADO DE 2 PLANOS</v>
      </c>
      <c r="C7222" s="6">
        <v>1500000</v>
      </c>
      <c r="D7222" s="5"/>
      <c r="E7222" s="5" t="str">
        <f t="shared" si="344"/>
        <v>URGENCIAS ADULTO-Jenny Peña</v>
      </c>
      <c r="F7222" s="5" t="str">
        <f>"Descripcion: CAMILLA MECANICA DOS PLANOS Estado: Bueno Placa anterior: 000032901 Material: METAL Color: BEIGE Referencia:  Observacion:  Placa padre: Tipo adquisicion: Entidad"</f>
        <v>Descripcion: CAMILLA MECANICA DOS PLANOS Estado: Bueno Placa anterior: 000032901 Material: METAL Color: BEIGE Referencia:  Observacion:  Placa padre: Tipo adquisicion: Entidad</v>
      </c>
      <c r="G7222" s="5"/>
    </row>
    <row r="7223" spans="1:7" ht="58.5" customHeight="1" x14ac:dyDescent="0.25">
      <c r="A7223" s="5" t="str">
        <f>"H0006434"</f>
        <v>H0006434</v>
      </c>
      <c r="B7223" s="5" t="str">
        <f>"CAMILLA DE TRASLADO DE 2 PLANOS"</f>
        <v>CAMILLA DE TRASLADO DE 2 PLANOS</v>
      </c>
      <c r="C7223" s="6">
        <v>1500000</v>
      </c>
      <c r="D7223" s="5"/>
      <c r="E7223" s="5" t="str">
        <f t="shared" si="344"/>
        <v>URGENCIAS ADULTO-Jenny Peña</v>
      </c>
      <c r="F7223" s="5" t="str">
        <f>"Descripcion: CAMILLA MECANICA DOS PLANOS Estado: Bueno Placa anterior: 000032897 Material: METAL Color: BEIGE Referencia:  Observacion:  Placa padre: Tipo adquisicion: Entidad"</f>
        <v>Descripcion: CAMILLA MECANICA DOS PLANOS Estado: Bueno Placa anterior: 000032897 Material: METAL Color: BEIGE Referencia:  Observacion:  Placa padre: Tipo adquisicion: Entidad</v>
      </c>
      <c r="G7223" s="5"/>
    </row>
    <row r="7224" spans="1:7" ht="58.5" customHeight="1" x14ac:dyDescent="0.25">
      <c r="A7224" s="5" t="str">
        <f>"H0006438"</f>
        <v>H0006438</v>
      </c>
      <c r="B7224" s="5" t="str">
        <f>"CAMILLA DE TRASLADO DE 2 PLANOS"</f>
        <v>CAMILLA DE TRASLADO DE 2 PLANOS</v>
      </c>
      <c r="C7224" s="6">
        <v>1780000</v>
      </c>
      <c r="D7224" s="5" t="s">
        <v>63</v>
      </c>
      <c r="E7224" s="5" t="str">
        <f t="shared" si="344"/>
        <v>URGENCIAS ADULTO-Jenny Peña</v>
      </c>
      <c r="F7224" s="5" t="str">
        <f>"Descripcion: CAMILLA MECANICA DOS PLANOS Estado: Bueno Placa anterior: 000037762 Material: METAL Color: GRIS Referencia:  Observacion:  Placa padre: Tipo adquisicion: Entidad"</f>
        <v>Descripcion: CAMILLA MECANICA DOS PLANOS Estado: Bueno Placa anterior: 000037762 Material: METAL Color: GRIS Referencia:  Observacion:  Placa padre: Tipo adquisicion: Entidad</v>
      </c>
      <c r="G7224" s="5"/>
    </row>
    <row r="7225" spans="1:7" ht="58.5" customHeight="1" x14ac:dyDescent="0.25">
      <c r="A7225" s="5" t="str">
        <f>"H0006999"</f>
        <v>H0006999</v>
      </c>
      <c r="B7225" s="5" t="str">
        <f>"LAMPARA CUELLO CISNE"</f>
        <v>LAMPARA CUELLO CISNE</v>
      </c>
      <c r="C7225" s="6">
        <v>1582982</v>
      </c>
      <c r="D7225" s="5" t="s">
        <v>55</v>
      </c>
      <c r="E7225" s="5" t="str">
        <f t="shared" si="344"/>
        <v>URGENCIAS ADULTO-Jenny Peña</v>
      </c>
      <c r="F7225" s="5" t="str">
        <f>"Descripcion: LAMPARA CUELLO DE CISNE REF. 65-300 Estado: Bueno Placa anterior: 000030323 Material: PASTA Color: BLANCO Referencia: 6S-300 Observacion:  Placa padre: Tipo adquisicion: Donacion"</f>
        <v>Descripcion: LAMPARA CUELLO DE CISNE REF. 65-300 Estado: Bueno Placa anterior: 000030323 Material: PASTA Color: BLANCO Referencia: 6S-300 Observacion:  Placa padre: Tipo adquisicion: Donacion</v>
      </c>
      <c r="G7225" s="5"/>
    </row>
    <row r="7226" spans="1:7" ht="58.5" customHeight="1" x14ac:dyDescent="0.25">
      <c r="A7226" s="5" t="str">
        <f>"H0007076"</f>
        <v>H0007076</v>
      </c>
      <c r="B7226" s="5" t="str">
        <f>"MUEBLE (ARCHIVADOR) AEREO (GABINETE DE PARED)"</f>
        <v>MUEBLE (ARCHIVADOR) AEREO (GABINETE DE PARED)</v>
      </c>
      <c r="C7226" s="6">
        <v>736271.28</v>
      </c>
      <c r="D7226" s="5"/>
      <c r="E7226" s="5" t="str">
        <f t="shared" si="344"/>
        <v>URGENCIAS ADULTO-Jenny Peña</v>
      </c>
      <c r="F7226" s="5" t="str">
        <f>"Descripcion: BIBLIOTECA INFERIOR 2 MODULOS CON PUERTAS73X59X96 Estado: Excelente Placa anterior: 000001348 Material: MADERA Color:  Referencia:  Observacion:  Placa padre: Tipo adquisicion: Entidad"</f>
        <v>Descripcion: BIBLIOTECA INFERIOR 2 MODULOS CON PUERTAS73X59X96 Estado: Excelente Placa anterior: 000001348 Material: MADERA Color:  Referencia:  Observacion:  Placa padre: Tipo adquisicion: Entidad</v>
      </c>
      <c r="G7226" s="5"/>
    </row>
    <row r="7227" spans="1:7" ht="58.5" customHeight="1" x14ac:dyDescent="0.25">
      <c r="A7227" s="5" t="str">
        <f>"H0007226"</f>
        <v>H0007226</v>
      </c>
      <c r="B7227" s="5" t="str">
        <f>"CAMILLA DE TRASLADO CON BARANDAS"</f>
        <v>CAMILLA DE TRASLADO CON BARANDAS</v>
      </c>
      <c r="C7227" s="6">
        <v>11872786</v>
      </c>
      <c r="D7227" s="5" t="s">
        <v>446</v>
      </c>
      <c r="E7227" s="5" t="str">
        <f t="shared" si="344"/>
        <v>URGENCIAS ADULTO-Jenny Peña</v>
      </c>
      <c r="F7227" s="5" t="str">
        <f>"Descripcion: COLCHON GRIS Estado: Bueno Placa anterior: 000030276 Material: METALICO Color: BEIGE Referencia:  Observacion: 000031288 Placa padre: Tipo adquisicion: Entidad"</f>
        <v>Descripcion: COLCHON GRIS Estado: Bueno Placa anterior: 000030276 Material: METALICO Color: BEIGE Referencia:  Observacion: 000031288 Placa padre: Tipo adquisicion: Entidad</v>
      </c>
      <c r="G7227" s="5"/>
    </row>
    <row r="7228" spans="1:7" ht="58.5" customHeight="1" x14ac:dyDescent="0.25">
      <c r="A7228" s="5" t="str">
        <f>"H0007227"</f>
        <v>H0007227</v>
      </c>
      <c r="B7228" s="5" t="str">
        <f>"CAMILLA DE TRASLADO CON BARANDAS"</f>
        <v>CAMILLA DE TRASLADO CON BARANDAS</v>
      </c>
      <c r="C7228" s="6">
        <v>1624000</v>
      </c>
      <c r="D7228" s="5"/>
      <c r="E7228" s="5" t="str">
        <f t="shared" si="344"/>
        <v>URGENCIAS ADULTO-Jenny Peña</v>
      </c>
      <c r="F7228" s="5" t="str">
        <f>"Descripcion: COLCHON GRIS Estado: Bueno Placa anterior: 000025199 Material: METALICO Color: BEIGE Referencia:  Observacion: CAMILLA DE TRANSPORTE Y RECUPERACION DE TRES PLANOS REF. 123-01. ESPECIFICACIONES: FABRICADA EN TUBERIA REDONDA 1 Y 7/8 PLATO EN LA"&amp; "MINA COLL-ROLLED Y MARCO EN TUBERIA REDONDA DE 7/8 CON REFUERZOS ADICIONALES, ESPALDAR GRADUALBLE POR SISTEMA DE AHORCADOR CON DIVERSAS POSICIONES DE 0 A 90 GRADOS CON VARILLA PORTA SUEROS. rODOS DE 5. DE DIAMETRO (DOS CON FRENO), COLCHONETA EN ESPUMA DE "&amp; "5 CM ES PESOR Y TAPIZADO EN CORDOBAN LAVABLE, BANDEJA EN LA PARTE INFERIOR COLD ROLLER. bARANDAS DE SEGURIDAD EN TUBERIA DE 7/8 Y 5/8 CROMADAS Placa padre: Tipo adquisicion: Entidad"</f>
        <v>Descripcion: COLCHON GRIS Estado: Bueno Placa anterior: 000025199 Material: METALICO Color: BEIGE Referencia:  Observacion: CAMILLA DE TRANSPORTE Y RECUPERACION DE TRES PLANOS REF. 123-01. ESPECIFICACIONES: FABRICADA EN TUBERIA REDONDA 1 Y 7/8 PLATO EN LAMINA COLL-ROLLED Y MARCO EN TUBERIA REDONDA DE 7/8 CON REFUERZOS ADICIONALES, ESPALDAR GRADUALBLE POR SISTEMA DE AHORCADOR CON DIVERSAS POSICIONES DE 0 A 90 GRADOS CON VARILLA PORTA SUEROS. rODOS DE 5. DE DIAMETRO (DOS CON FRENO), COLCHONETA EN ESPUMA DE 5 CM ES PESOR Y TAPIZADO EN CORDOBAN LAVABLE, BANDEJA EN LA PARTE INFERIOR COLD ROLLER. bARANDAS DE SEGURIDAD EN TUBERIA DE 7/8 Y 5/8 CROMADAS Placa padre: Tipo adquisicion: Entidad</v>
      </c>
      <c r="G7228" s="5"/>
    </row>
    <row r="7229" spans="1:7" ht="58.5" customHeight="1" x14ac:dyDescent="0.25">
      <c r="A7229" s="5" t="str">
        <f>"H0007228"</f>
        <v>H0007228</v>
      </c>
      <c r="B7229" s="5" t="str">
        <f>"CAMILLA DE TRASLADO CON BARANDAS"</f>
        <v>CAMILLA DE TRASLADO CON BARANDAS</v>
      </c>
      <c r="C7229" s="6">
        <v>52800</v>
      </c>
      <c r="D7229" s="5"/>
      <c r="E7229" s="5" t="str">
        <f t="shared" si="344"/>
        <v>URGENCIAS ADULTO-Jenny Peña</v>
      </c>
      <c r="F7229" s="5" t="str">
        <f>"Descripcion: 1 BARANDA DAÑADACOLCHON GRIS Estado: Regular Placa anterior: 000027313 Material: METALICO Color: BEIGE Referencia:  Observacion:  Placa padre: Tipo adquisicion: Entidad"</f>
        <v>Descripcion: 1 BARANDA DAÑADACOLCHON GRIS Estado: Regular Placa anterior: 000027313 Material: METALICO Color: BEIGE Referencia:  Observacion:  Placa padre: Tipo adquisicion: Entidad</v>
      </c>
      <c r="G7229" s="5"/>
    </row>
    <row r="7230" spans="1:7" ht="58.5" customHeight="1" x14ac:dyDescent="0.25">
      <c r="A7230" s="5" t="str">
        <f>"H0007229"</f>
        <v>H0007229</v>
      </c>
      <c r="B7230" s="5" t="str">
        <f>"CAMILLA DE TRASLADO CON BARANDAS"</f>
        <v>CAMILLA DE TRASLADO CON BARANDAS</v>
      </c>
      <c r="C7230" s="6">
        <v>52800</v>
      </c>
      <c r="D7230" s="5"/>
      <c r="E7230" s="5" t="str">
        <f t="shared" si="344"/>
        <v>URGENCIAS ADULTO-Jenny Peña</v>
      </c>
      <c r="F7230" s="5" t="str">
        <f>"Descripcion: COLCHON GRIS Estado: Bueno Placa anterior: 000027314 Material: METALICO Color: BEIGE Referencia:  Observacion:  Placa padre: Tipo adquisicion: Entidad"</f>
        <v>Descripcion: COLCHON GRIS Estado: Bueno Placa anterior: 000027314 Material: METALICO Color: BEIGE Referencia:  Observacion:  Placa padre: Tipo adquisicion: Entidad</v>
      </c>
      <c r="G7230" s="5"/>
    </row>
    <row r="7231" spans="1:7" ht="58.5" customHeight="1" x14ac:dyDescent="0.25">
      <c r="A7231" s="5" t="str">
        <f>"H0007230"</f>
        <v>H0007230</v>
      </c>
      <c r="B7231" s="5" t="str">
        <f>"CAMILLA DE TRASLADO CON BARANDAS"</f>
        <v>CAMILLA DE TRASLADO CON BARANDAS</v>
      </c>
      <c r="C7231" s="6">
        <v>52800</v>
      </c>
      <c r="D7231" s="5"/>
      <c r="E7231" s="5" t="str">
        <f t="shared" si="344"/>
        <v>URGENCIAS ADULTO-Jenny Peña</v>
      </c>
      <c r="F7231" s="5" t="str">
        <f>"Descripcion: COLCHON NEGRO Estado: Bueno Placa anterior: 000027315 Material: METALICO Color: BEIGE Referencia:  Observacion:  Placa padre: Tipo adquisicion: Entidad"</f>
        <v>Descripcion: COLCHON NEGRO Estado: Bueno Placa anterior: 000027315 Material: METALICO Color: BEIGE Referencia:  Observacion:  Placa padre: Tipo adquisicion: Entidad</v>
      </c>
      <c r="G7231" s="5"/>
    </row>
    <row r="7232" spans="1:7" ht="58.5" customHeight="1" x14ac:dyDescent="0.25">
      <c r="A7232" s="5" t="str">
        <f>"H0007231"</f>
        <v>H0007231</v>
      </c>
      <c r="B7232" s="5" t="str">
        <f>"CAMILLA DE TRASLADO DE 2 PLANOS"</f>
        <v>CAMILLA DE TRASLADO DE 2 PLANOS</v>
      </c>
      <c r="C7232" s="6">
        <v>1780000</v>
      </c>
      <c r="D7232" s="5" t="s">
        <v>63</v>
      </c>
      <c r="E7232" s="5" t="str">
        <f t="shared" si="344"/>
        <v>URGENCIAS ADULTO-Jenny Peña</v>
      </c>
      <c r="F7232" s="5" t="str">
        <f>"Descripcion: CAMILLA MECANICA DOS PLANOSCOLCHON NEGRO Estado: Bueno Placa anterior: 000037761 Material: METALICO Color: BEIGE Referencia:  Observacion:  Placa padre: Tipo adquisicion: Entidad"</f>
        <v>Descripcion: CAMILLA MECANICA DOS PLANOSCOLCHON NEGRO Estado: Bueno Placa anterior: 000037761 Material: METALICO Color: BEIGE Referencia:  Observacion:  Placa padre: Tipo adquisicion: Entidad</v>
      </c>
      <c r="G7232" s="5"/>
    </row>
    <row r="7233" spans="1:7" ht="58.5" customHeight="1" x14ac:dyDescent="0.25">
      <c r="A7233" s="5" t="str">
        <f>"H0007232"</f>
        <v>H0007232</v>
      </c>
      <c r="B7233" s="5" t="str">
        <f>"CAMILLA DE TRASLADO DE 2 PLANOS"</f>
        <v>CAMILLA DE TRASLADO DE 2 PLANOS</v>
      </c>
      <c r="C7233" s="6">
        <v>1845000</v>
      </c>
      <c r="D7233" s="5" t="s">
        <v>239</v>
      </c>
      <c r="E7233" s="5" t="str">
        <f t="shared" si="344"/>
        <v>URGENCIAS ADULTO-Jenny Peña</v>
      </c>
      <c r="F7233" s="5" t="str">
        <f>"Descripcion: CAMILLA MECANICA DOS PLANOSCOLCHON GRISATRIL INCORPORADO Estado: Bueno Placa anterior: 000029064 Material: METALICO Color: BEIGE Referencia:  Observacion: EL BIEN TIENE PLACA ANTERIOR  000037771, LA QUE YA ESTA ASIGNADA A OTRA CAMILLA Placa p"&amp; "adre: Tipo adquisicion: Entidad"</f>
        <v>Descripcion: CAMILLA MECANICA DOS PLANOSCOLCHON GRISATRIL INCORPORADO Estado: Bueno Placa anterior: 000029064 Material: METALICO Color: BEIGE Referencia:  Observacion: EL BIEN TIENE PLACA ANTERIOR  000037771, LA QUE YA ESTA ASIGNADA A OTRA CAMILLA Placa padre: Tipo adquisicion: Entidad</v>
      </c>
      <c r="G7233" s="5"/>
    </row>
    <row r="7234" spans="1:7" ht="58.5" customHeight="1" x14ac:dyDescent="0.25">
      <c r="A7234" s="5" t="str">
        <f>"H0007233"</f>
        <v>H0007233</v>
      </c>
      <c r="B7234" s="5" t="str">
        <f>"CAMILLA DE TRASLADO DE 2 PLANOS"</f>
        <v>CAMILLA DE TRASLADO DE 2 PLANOS</v>
      </c>
      <c r="C7234" s="6">
        <v>1500000</v>
      </c>
      <c r="D7234" s="5"/>
      <c r="E7234" s="5" t="str">
        <f t="shared" si="344"/>
        <v>URGENCIAS ADULTO-Jenny Peña</v>
      </c>
      <c r="F7234" s="5" t="str">
        <f>"Descripcion: CAMILLA MECANICA DOS PLANOSCOLCHON GRISATRIL INCORPORADO Estado: Bueno Placa anterior: 000032903 Material: METALICO Color: BEIGE Referencia:  Observacion:  Placa padre: Tipo adquisicion: Entidad"</f>
        <v>Descripcion: CAMILLA MECANICA DOS PLANOSCOLCHON GRISATRIL INCORPORADO Estado: Bueno Placa anterior: 000032903 Material: METALICO Color: BEIGE Referencia:  Observacion:  Placa padre: Tipo adquisicion: Entidad</v>
      </c>
      <c r="G7234" s="5"/>
    </row>
    <row r="7235" spans="1:7" ht="58.5" customHeight="1" x14ac:dyDescent="0.25">
      <c r="A7235" s="5" t="str">
        <f>"H0007234"</f>
        <v>H0007234</v>
      </c>
      <c r="B7235" s="5" t="str">
        <f>"CAMILLA DE TRASLADO DE 2 PLANOS"</f>
        <v>CAMILLA DE TRASLADO DE 2 PLANOS</v>
      </c>
      <c r="C7235" s="6">
        <v>1780000</v>
      </c>
      <c r="D7235" s="5" t="s">
        <v>63</v>
      </c>
      <c r="E7235" s="5" t="str">
        <f t="shared" si="344"/>
        <v>URGENCIAS ADULTO-Jenny Peña</v>
      </c>
      <c r="F7235" s="5" t="str">
        <f>"Descripcion: CAMILLA MECANICA DOS PLANOSATRIL INCORPORADOCOLCHON NEGRO Estado: Bueno Placa anterior: 000037773 Material: METALICO Color: BEIGE Referencia:  Observacion:  Placa padre: Tipo adquisicion: Entidad"</f>
        <v>Descripcion: CAMILLA MECANICA DOS PLANOSATRIL INCORPORADOCOLCHON NEGRO Estado: Bueno Placa anterior: 000037773 Material: METALICO Color: BEIGE Referencia:  Observacion:  Placa padre: Tipo adquisicion: Entidad</v>
      </c>
      <c r="G7235" s="5"/>
    </row>
    <row r="7236" spans="1:7" ht="58.5" customHeight="1" x14ac:dyDescent="0.25">
      <c r="A7236" s="5" t="str">
        <f>"H0007235"</f>
        <v>H0007235</v>
      </c>
      <c r="B7236" s="5" t="str">
        <f>"CAMILLA DE TRASLADO DE 2 PLANOS"</f>
        <v>CAMILLA DE TRASLADO DE 2 PLANOS</v>
      </c>
      <c r="C7236" s="6">
        <v>1780000</v>
      </c>
      <c r="D7236" s="5" t="s">
        <v>63</v>
      </c>
      <c r="E7236" s="5" t="str">
        <f t="shared" si="344"/>
        <v>URGENCIAS ADULTO-Jenny Peña</v>
      </c>
      <c r="F7236" s="5" t="str">
        <f>"Descripcion: CAMILLA MECANICA DOS PLANOS Estado: Malo Placa anterior: 000037754 Material: METALICO Color: BEIGE Referencia:  Observacion:  Placa padre: Tipo adquisicion: Entidad"</f>
        <v>Descripcion: CAMILLA MECANICA DOS PLANOS Estado: Malo Placa anterior: 000037754 Material: METALICO Color: BEIGE Referencia:  Observacion:  Placa padre: Tipo adquisicion: Entidad</v>
      </c>
      <c r="G7236" s="5"/>
    </row>
    <row r="7237" spans="1:7" ht="58.5" customHeight="1" x14ac:dyDescent="0.25">
      <c r="A7237" s="5" t="str">
        <f>"H0007236"</f>
        <v>H0007236</v>
      </c>
      <c r="B7237" s="5" t="str">
        <f>"CAMILLA DE TRASLADO CON BARANDAS"</f>
        <v>CAMILLA DE TRASLADO CON BARANDAS</v>
      </c>
      <c r="C7237" s="6">
        <v>52800</v>
      </c>
      <c r="D7237" s="5"/>
      <c r="E7237" s="5" t="str">
        <f t="shared" si="344"/>
        <v>URGENCIAS ADULTO-Jenny Peña</v>
      </c>
      <c r="F7237" s="5" t="str">
        <f>"Descripcion: CAMILLA DE TRASLADO CON BARANDAS Estado: Bueno Placa anterior: 000027320 Material: METALICO Color: BEIGE Referencia:  Observacion:  Placa padre: Tipo adquisicion: Entidad"</f>
        <v>Descripcion: CAMILLA DE TRASLADO CON BARANDAS Estado: Bueno Placa anterior: 000027320 Material: METALICO Color: BEIGE Referencia:  Observacion:  Placa padre: Tipo adquisicion: Entidad</v>
      </c>
      <c r="G7237" s="5"/>
    </row>
    <row r="7238" spans="1:7" ht="58.5" customHeight="1" x14ac:dyDescent="0.25">
      <c r="A7238" s="5" t="str">
        <f>"H0007237"</f>
        <v>H0007237</v>
      </c>
      <c r="B7238" s="5" t="str">
        <f>"BANDEJA DE ACERO INOXIDABLE GRANDE"</f>
        <v>BANDEJA DE ACERO INOXIDABLE GRANDE</v>
      </c>
      <c r="C7238" s="6">
        <v>20226.259999999998</v>
      </c>
      <c r="D7238" s="5"/>
      <c r="E7238" s="5" t="str">
        <f t="shared" si="344"/>
        <v>URGENCIAS ADULTO-Jenny Peña</v>
      </c>
      <c r="F7238" s="5" t="str">
        <f>"Descripcion: BANDEJA GRANDE Estado: Bueno Placa anterior: 000019938 Material: ACERO INOXIDABLE Color:  Referencia:  Observacion:  Placa padre: Tipo adquisicion: Entidad"</f>
        <v>Descripcion: BANDEJA GRANDE Estado: Bueno Placa anterior: 000019938 Material: ACERO INOXIDABLE Color:  Referencia:  Observacion:  Placa padre: Tipo adquisicion: Entidad</v>
      </c>
      <c r="G7238" s="5"/>
    </row>
    <row r="7239" spans="1:7" ht="58.5" customHeight="1" x14ac:dyDescent="0.25">
      <c r="A7239" s="5" t="str">
        <f>"H0007239"</f>
        <v>H0007239</v>
      </c>
      <c r="B7239" s="5" t="str">
        <f>"CAMILLA DE TRASLADO CON BARANDAS"</f>
        <v>CAMILLA DE TRASLADO CON BARANDAS</v>
      </c>
      <c r="C7239" s="6">
        <v>52800</v>
      </c>
      <c r="D7239" s="5"/>
      <c r="E7239" s="5" t="str">
        <f t="shared" si="344"/>
        <v>URGENCIAS ADULTO-Jenny Peña</v>
      </c>
      <c r="F7239" s="5" t="str">
        <f>"Descripcion: CAMILLA DE TRASLADO CON BARANDAS Estado: Bueno Placa anterior: 000027321 Material: METALICO Color: BEIGE Referencia:  Observacion:  Placa padre: Tipo adquisicion: Entidad"</f>
        <v>Descripcion: CAMILLA DE TRASLADO CON BARANDAS Estado: Bueno Placa anterior: 000027321 Material: METALICO Color: BEIGE Referencia:  Observacion:  Placa padre: Tipo adquisicion: Entidad</v>
      </c>
      <c r="G7239" s="5"/>
    </row>
    <row r="7240" spans="1:7" ht="58.5" customHeight="1" x14ac:dyDescent="0.25">
      <c r="A7240" s="5" t="str">
        <f>"H0007240"</f>
        <v>H0007240</v>
      </c>
      <c r="B7240" s="5" t="str">
        <f>"CAMILLA DE TRASLADO CON BARANDAS"</f>
        <v>CAMILLA DE TRASLADO CON BARANDAS</v>
      </c>
      <c r="C7240" s="6">
        <v>52800</v>
      </c>
      <c r="D7240" s="5"/>
      <c r="E7240" s="5" t="str">
        <f t="shared" si="344"/>
        <v>URGENCIAS ADULTO-Jenny Peña</v>
      </c>
      <c r="F7240" s="5" t="str">
        <f>"Descripcion: CAMILLA DE TRASLADO CON BARANDAS Estado: Bueno Placa anterior: 000027322 Material: METALICO Color: BEIGE Referencia:  Observacion:  Placa padre: Tipo adquisicion: Entidad"</f>
        <v>Descripcion: CAMILLA DE TRASLADO CON BARANDAS Estado: Bueno Placa anterior: 000027322 Material: METALICO Color: BEIGE Referencia:  Observacion:  Placa padre: Tipo adquisicion: Entidad</v>
      </c>
      <c r="G7240" s="5"/>
    </row>
    <row r="7241" spans="1:7" ht="58.5" customHeight="1" x14ac:dyDescent="0.25">
      <c r="A7241" s="5" t="str">
        <f>"H0007242"</f>
        <v>H0007242</v>
      </c>
      <c r="B7241" s="5" t="str">
        <f>"CAMILLA DE TRASLADO DE 2 PLANOS"</f>
        <v>CAMILLA DE TRASLADO DE 2 PLANOS</v>
      </c>
      <c r="C7241" s="6">
        <v>1500000</v>
      </c>
      <c r="D7241" s="5"/>
      <c r="E7241" s="5" t="str">
        <f t="shared" si="344"/>
        <v>URGENCIAS ADULTO-Jenny Peña</v>
      </c>
      <c r="F7241" s="5" t="str">
        <f>"Descripcion: CAMILLA MECANICA DOS PLANOS Estado: Bueno Placa anterior: 000032908 Material: METALICO Color: BEIGE Referencia:  Observacion:  Placa padre: Tipo adquisicion: Entidad"</f>
        <v>Descripcion: CAMILLA MECANICA DOS PLANOS Estado: Bueno Placa anterior: 000032908 Material: METALICO Color: BEIGE Referencia:  Observacion:  Placa padre: Tipo adquisicion: Entidad</v>
      </c>
      <c r="G7241" s="5"/>
    </row>
    <row r="7242" spans="1:7" ht="58.5" customHeight="1" x14ac:dyDescent="0.25">
      <c r="A7242" s="5" t="str">
        <f>"H0007243"</f>
        <v>H0007243</v>
      </c>
      <c r="B7242" s="5" t="str">
        <f>"ATRIL PORTASUERO MOVIL"</f>
        <v>ATRIL PORTASUERO MOVIL</v>
      </c>
      <c r="C7242" s="6">
        <v>210000</v>
      </c>
      <c r="D7242" s="5" t="s">
        <v>50</v>
      </c>
      <c r="E7242" s="5" t="str">
        <f t="shared" si="344"/>
        <v>URGENCIAS ADULTO-Jenny Peña</v>
      </c>
      <c r="F7242" s="5" t="str">
        <f>"Descripcion: ATRIL MOVIL Estado: Bueno Placa anterior: 000029720 Material: METALICO Color: BEIGE Referencia:  Observacion:  Placa padre: Tipo adquisicion: Entidad"</f>
        <v>Descripcion: ATRIL MOVIL Estado: Bueno Placa anterior: 000029720 Material: METALICO Color: BEIGE Referencia:  Observacion:  Placa padre: Tipo adquisicion: Entidad</v>
      </c>
      <c r="G7242" s="5"/>
    </row>
    <row r="7243" spans="1:7" ht="58.5" customHeight="1" x14ac:dyDescent="0.25">
      <c r="A7243" s="5" t="str">
        <f>"H0007246"</f>
        <v>H0007246</v>
      </c>
      <c r="B7243" s="5" t="str">
        <f>"ATRIL PORTASUERO MOVIL"</f>
        <v>ATRIL PORTASUERO MOVIL</v>
      </c>
      <c r="C7243" s="6">
        <v>5489</v>
      </c>
      <c r="D7243" s="5"/>
      <c r="E7243" s="5" t="str">
        <f t="shared" si="344"/>
        <v>URGENCIAS ADULTO-Jenny Peña</v>
      </c>
      <c r="F7243" s="5" t="str">
        <f>"Descripcion: ATRIL MOVIL Estado: Bueno Placa anterior: 000019602 Material: ACERO INOXIDABLE Color:  Referencia:  Observacion:  Placa padre: Tipo adquisicion: Entidad"</f>
        <v>Descripcion: ATRIL MOVIL Estado: Bueno Placa anterior: 000019602 Material: ACERO INOXIDABLE Color:  Referencia:  Observacion:  Placa padre: Tipo adquisicion: Entidad</v>
      </c>
      <c r="G7243" s="5"/>
    </row>
    <row r="7244" spans="1:7" ht="58.5" customHeight="1" x14ac:dyDescent="0.25">
      <c r="A7244" s="5" t="str">
        <f>"H0007247"</f>
        <v>H0007247</v>
      </c>
      <c r="B7244" s="5" t="str">
        <f>"ATRIL PORTASUERO MOVIL"</f>
        <v>ATRIL PORTASUERO MOVIL</v>
      </c>
      <c r="C7244" s="6">
        <v>5489</v>
      </c>
      <c r="D7244" s="5"/>
      <c r="E7244" s="5" t="str">
        <f t="shared" si="344"/>
        <v>URGENCIAS ADULTO-Jenny Peña</v>
      </c>
      <c r="F7244" s="5" t="str">
        <f>"Descripcion: ATRIL MOVIL Estado: Bueno Placa anterior: 000022046 Material: ACERO INOXIDABLE Color:  Referencia:  Observacion:  Placa padre: Tipo adquisicion: Entidad"</f>
        <v>Descripcion: ATRIL MOVIL Estado: Bueno Placa anterior: 000022046 Material: ACERO INOXIDABLE Color:  Referencia:  Observacion:  Placa padre: Tipo adquisicion: Entidad</v>
      </c>
      <c r="G7244" s="5"/>
    </row>
    <row r="7245" spans="1:7" ht="58.5" customHeight="1" x14ac:dyDescent="0.25">
      <c r="A7245" s="5" t="str">
        <f>"H0007248"</f>
        <v>H0007248</v>
      </c>
      <c r="B7245" s="5" t="str">
        <f>"ESCALERILLA DE 2 PASOS"</f>
        <v>ESCALERILLA DE 2 PASOS</v>
      </c>
      <c r="C7245" s="6">
        <v>100000</v>
      </c>
      <c r="D7245" s="5" t="s">
        <v>49</v>
      </c>
      <c r="E7245" s="5" t="str">
        <f t="shared" si="344"/>
        <v>URGENCIAS ADULTO-Jenny Peña</v>
      </c>
      <c r="F7245" s="5" t="str">
        <f>"Descripcion: ESCALERILLA DE DOS PASO EN TUBO REDONDO Estado: Bueno Placa anterior: 000029966 Material: METALICO Color: BLANCO GRIS Referencia:  Observacion: 000029280 ASIGNADA A UN MONITOR LCD Placa padre: Tipo adquisicion: Entidad"</f>
        <v>Descripcion: ESCALERILLA DE DOS PASO EN TUBO REDONDO Estado: Bueno Placa anterior: 000029966 Material: METALICO Color: BLANCO GRIS Referencia:  Observacion: 000029280 ASIGNADA A UN MONITOR LCD Placa padre: Tipo adquisicion: Entidad</v>
      </c>
      <c r="G7245" s="5"/>
    </row>
    <row r="7246" spans="1:7" ht="58.5" customHeight="1" x14ac:dyDescent="0.25">
      <c r="A7246" s="5" t="str">
        <f>"H0007250"</f>
        <v>H0007250</v>
      </c>
      <c r="B7246" s="5" t="str">
        <f>"ATRIL PORTASUERO MOVIL"</f>
        <v>ATRIL PORTASUERO MOVIL</v>
      </c>
      <c r="C7246" s="6">
        <v>5489</v>
      </c>
      <c r="D7246" s="5"/>
      <c r="E7246" s="5" t="str">
        <f t="shared" si="344"/>
        <v>URGENCIAS ADULTO-Jenny Peña</v>
      </c>
      <c r="F7246" s="5" t="str">
        <f>"Descripcion: ATRIL MOVIL. TIENE OXIDO EN LA BASE Estado: Bueno Placa anterior: 000022048 Material: ACERO INOXIDABLE Color: GRIS Referencia:  Observacion:  Placa padre: Tipo adquisicion: Entidad"</f>
        <v>Descripcion: ATRIL MOVIL. TIENE OXIDO EN LA BASE Estado: Bueno Placa anterior: 000022048 Material: ACERO INOXIDABLE Color: GRIS Referencia:  Observacion:  Placa padre: Tipo adquisicion: Entidad</v>
      </c>
      <c r="G7246" s="5"/>
    </row>
    <row r="7247" spans="1:7" ht="58.5" customHeight="1" x14ac:dyDescent="0.25">
      <c r="A7247" s="5" t="str">
        <f>"H0007251"</f>
        <v>H0007251</v>
      </c>
      <c r="B7247" s="5" t="str">
        <f>"ATRIL PORTASUERO MOVIL"</f>
        <v>ATRIL PORTASUERO MOVIL</v>
      </c>
      <c r="C7247" s="6">
        <v>210000</v>
      </c>
      <c r="D7247" s="5" t="s">
        <v>50</v>
      </c>
      <c r="E7247" s="5" t="str">
        <f t="shared" si="344"/>
        <v>URGENCIAS ADULTO-Jenny Peña</v>
      </c>
      <c r="F7247" s="5" t="str">
        <f>"Descripcion: ATRIL MOVIL. Estado: Bueno Placa anterior: 000029685 Material: ACERO INOXIDABLE Color: BEIGE Referencia:  Observacion:  Placa padre: Tipo adquisicion: Entidad"</f>
        <v>Descripcion: ATRIL MOVIL. Estado: Bueno Placa anterior: 000029685 Material: ACERO INOXIDABLE Color: BEIGE Referencia:  Observacion:  Placa padre: Tipo adquisicion: Entidad</v>
      </c>
      <c r="G7247" s="5"/>
    </row>
    <row r="7248" spans="1:7" ht="58.5" customHeight="1" x14ac:dyDescent="0.25">
      <c r="A7248" s="5" t="str">
        <f>"H0007252"</f>
        <v>H0007252</v>
      </c>
      <c r="B7248" s="5" t="str">
        <f>"ATRIL PORTASUERO MOVIL"</f>
        <v>ATRIL PORTASUERO MOVIL</v>
      </c>
      <c r="C7248" s="6">
        <v>210000</v>
      </c>
      <c r="D7248" s="5" t="s">
        <v>50</v>
      </c>
      <c r="E7248" s="5" t="str">
        <f t="shared" si="344"/>
        <v>URGENCIAS ADULTO-Jenny Peña</v>
      </c>
      <c r="F7248" s="5" t="str">
        <f>"Descripcion: ATRIL MOVIL. Estado: Bueno Placa anterior: 000029686 Material: ACERO INOXIDABLE Color:  Referencia:  Observacion:  Placa padre: Tipo adquisicion: Entidad"</f>
        <v>Descripcion: ATRIL MOVIL. Estado: Bueno Placa anterior: 000029686 Material: ACERO INOXIDABLE Color:  Referencia:  Observacion:  Placa padre: Tipo adquisicion: Entidad</v>
      </c>
      <c r="G7248" s="5"/>
    </row>
    <row r="7249" spans="1:7" ht="58.5" customHeight="1" x14ac:dyDescent="0.25">
      <c r="A7249" s="5" t="str">
        <f>"H0007253"</f>
        <v>H0007253</v>
      </c>
      <c r="B7249" s="5" t="str">
        <f>"ATRIL PORTASUERO MOVIL"</f>
        <v>ATRIL PORTASUERO MOVIL</v>
      </c>
      <c r="C7249" s="6">
        <v>145000</v>
      </c>
      <c r="D7249" s="5" t="s">
        <v>166</v>
      </c>
      <c r="E7249" s="5" t="str">
        <f t="shared" si="344"/>
        <v>URGENCIAS ADULTO-Jenny Peña</v>
      </c>
      <c r="F7249" s="5" t="str">
        <f>"Descripcion: ATRIL MOVIL. Estado: Bueno Placa anterior: 000031425 Material: ACERO INOXIDABLE Color: BEIGE Referencia:  Observacion:  Placa padre: Tipo adquisicion: Entidad"</f>
        <v>Descripcion: ATRIL MOVIL. Estado: Bueno Placa anterior: 000031425 Material: ACERO INOXIDABLE Color: BEIGE Referencia:  Observacion:  Placa padre: Tipo adquisicion: Entidad</v>
      </c>
      <c r="G7249" s="5"/>
    </row>
    <row r="7250" spans="1:7" ht="58.5" customHeight="1" x14ac:dyDescent="0.25">
      <c r="A7250" s="5" t="str">
        <f>"H0007254"</f>
        <v>H0007254</v>
      </c>
      <c r="B7250" s="5" t="str">
        <f>"BIOMBO METALICO DE 3 CUERPOS"</f>
        <v>BIOMBO METALICO DE 3 CUERPOS</v>
      </c>
      <c r="C7250" s="6">
        <v>9000</v>
      </c>
      <c r="D7250" s="5"/>
      <c r="E7250" s="5" t="str">
        <f t="shared" si="344"/>
        <v>URGENCIAS ADULTO-Jenny Peña</v>
      </c>
      <c r="F7250" s="5" t="str">
        <f>"Descripcion: BIOMBOS. Debe contenero como minimo 3 cuerpos en material lavable -antifluido, fabricado en tubo redondo de 1.25x1.80 de altura con 5 patas y tapones de caucho Estado: Bueno Placa anterior: 000019895 Material: METALICO Color: BEIGE Referencia"&amp; ":  Observacion:  Placa padre: Tipo adquisicion: Entidad"</f>
        <v>Descripcion: BIOMBOS. Debe contenero como minimo 3 cuerpos en material lavable -antifluido, fabricado en tubo redondo de 1.25x1.80 de altura con 5 patas y tapones de caucho Estado: Bueno Placa anterior: 000019895 Material: METALICO Color: BEIGE Referencia:  Observacion:  Placa padre: Tipo adquisicion: Entidad</v>
      </c>
      <c r="G7250" s="5"/>
    </row>
    <row r="7251" spans="1:7" ht="58.5" customHeight="1" x14ac:dyDescent="0.25">
      <c r="A7251" s="5" t="str">
        <f>"H0007255"</f>
        <v>H0007255</v>
      </c>
      <c r="B7251" s="5" t="str">
        <f>"ATRIL PORTASUERO MOVIL"</f>
        <v>ATRIL PORTASUERO MOVIL</v>
      </c>
      <c r="C7251" s="6">
        <v>210000</v>
      </c>
      <c r="D7251" s="5" t="s">
        <v>50</v>
      </c>
      <c r="E7251" s="5" t="str">
        <f t="shared" si="344"/>
        <v>URGENCIAS ADULTO-Jenny Peña</v>
      </c>
      <c r="F7251" s="5" t="str">
        <f>"Descripcion: ATRIL EN ACERO INOXIDABLE QUIRURGICO ANTIMAGNETICO Estado: Bueno Placa anterior: 000029689 Material: ACERO INOXIDABLE Color:  Referencia:  Observacion:  Placa padre: Tipo adquisicion: Entidad"</f>
        <v>Descripcion: ATRIL EN ACERO INOXIDABLE QUIRURGICO ANTIMAGNETICO Estado: Bueno Placa anterior: 000029689 Material: ACERO INOXIDABLE Color:  Referencia:  Observacion:  Placa padre: Tipo adquisicion: Entidad</v>
      </c>
      <c r="G7251" s="5"/>
    </row>
    <row r="7252" spans="1:7" ht="58.5" customHeight="1" x14ac:dyDescent="0.25">
      <c r="A7252" s="5" t="str">
        <f>"H0007256"</f>
        <v>H0007256</v>
      </c>
      <c r="B7252" s="5" t="str">
        <f>"ESCALERILLA DE 2 PASOS"</f>
        <v>ESCALERILLA DE 2 PASOS</v>
      </c>
      <c r="C7252" s="6">
        <v>100000</v>
      </c>
      <c r="D7252" s="5" t="s">
        <v>49</v>
      </c>
      <c r="E7252" s="5" t="str">
        <f t="shared" si="344"/>
        <v>URGENCIAS ADULTO-Jenny Peña</v>
      </c>
      <c r="F7252" s="5" t="str">
        <f>"Descripcion: ESCALERILLA DE DOS PASO EN TUBO REDONDO Estado: Bueno Placa anterior: 000029800 Material: METALICO Color: GRIS CON BLANCO Referencia:  Observacion:  Placa padre: Tipo adquisicion: Entidad"</f>
        <v>Descripcion: ESCALERILLA DE DOS PASO EN TUBO REDONDO Estado: Bueno Placa anterior: 000029800 Material: METALICO Color: GRIS CON BLANCO Referencia:  Observacion:  Placa padre: Tipo adquisicion: Entidad</v>
      </c>
      <c r="G7252" s="5"/>
    </row>
    <row r="7253" spans="1:7" ht="58.5" customHeight="1" x14ac:dyDescent="0.25">
      <c r="A7253" s="5" t="str">
        <f>"H0007258"</f>
        <v>H0007258</v>
      </c>
      <c r="B7253" s="5" t="str">
        <f>"MANOMETRO PARA OXIGENO"</f>
        <v>MANOMETRO PARA OXIGENO</v>
      </c>
      <c r="C7253" s="6">
        <v>301600</v>
      </c>
      <c r="D7253" s="5" t="s">
        <v>56</v>
      </c>
      <c r="E7253" s="5" t="str">
        <f t="shared" si="344"/>
        <v>URGENCIAS ADULTO-Jenny Peña</v>
      </c>
      <c r="F7253" s="5" t="str">
        <f>"Descripcion: REGULADOR CON MANOMETRO Estado: Bueno Placa anterior: 000031156 Material: METALICO Color:  Referencia:  Observacion:  Placa padre: Tipo adquisicion: Entidad"</f>
        <v>Descripcion: REGULADOR CON MANOMETRO Estado: Bueno Placa anterior: 000031156 Material: METALICO Color:  Referencia:  Observacion:  Placa padre: Tipo adquisicion: Entidad</v>
      </c>
      <c r="G7253" s="5"/>
    </row>
    <row r="7254" spans="1:7" ht="58.5" customHeight="1" x14ac:dyDescent="0.25">
      <c r="A7254" s="5" t="str">
        <f>"H0007259"</f>
        <v>H0007259</v>
      </c>
      <c r="B7254" s="5" t="str">
        <f>"MANOMETRO PARA OXIGENO"</f>
        <v>MANOMETRO PARA OXIGENO</v>
      </c>
      <c r="C7254" s="6">
        <v>27680.18</v>
      </c>
      <c r="D7254" s="5"/>
      <c r="E7254" s="5" t="str">
        <f t="shared" si="344"/>
        <v>URGENCIAS ADULTO-Jenny Peña</v>
      </c>
      <c r="F7254" s="5" t="str">
        <f>"Descripcion: REGULADOR CON MANOMETRO Estado: Bueno Placa anterior: 000019303 Material: METALICO Color:  Referencia:  Observacion:  Placa padre: Tipo adquisicion: Entidad"</f>
        <v>Descripcion: REGULADOR CON MANOMETRO Estado: Bueno Placa anterior: 000019303 Material: METALICO Color:  Referencia:  Observacion:  Placa padre: Tipo adquisicion: Entidad</v>
      </c>
      <c r="G7254" s="5"/>
    </row>
    <row r="7255" spans="1:7" ht="58.5" customHeight="1" x14ac:dyDescent="0.25">
      <c r="A7255" s="5" t="str">
        <f>"H0007260"</f>
        <v>H0007260</v>
      </c>
      <c r="B7255" s="5" t="str">
        <f>"MANOMETRO PARA OXIGENO"</f>
        <v>MANOMETRO PARA OXIGENO</v>
      </c>
      <c r="C7255" s="6">
        <v>301600</v>
      </c>
      <c r="D7255" s="5" t="s">
        <v>56</v>
      </c>
      <c r="E7255" s="5" t="str">
        <f t="shared" si="344"/>
        <v>URGENCIAS ADULTO-Jenny Peña</v>
      </c>
      <c r="F7255" s="5" t="str">
        <f>"Descripcion: REGULADOR CON MANOMETRO Estado: Bueno Placa anterior: 000031155 Material: METALICO Color:  Referencia:  Observacion:  Placa padre: Tipo adquisicion: Entidad"</f>
        <v>Descripcion: REGULADOR CON MANOMETRO Estado: Bueno Placa anterior: 000031155 Material: METALICO Color:  Referencia:  Observacion:  Placa padre: Tipo adquisicion: Entidad</v>
      </c>
      <c r="G7255" s="5"/>
    </row>
    <row r="7256" spans="1:7" ht="58.5" customHeight="1" x14ac:dyDescent="0.25">
      <c r="A7256" s="5" t="str">
        <f>"H0007262"</f>
        <v>H0007262</v>
      </c>
      <c r="B7256" s="5" t="str">
        <f>"MESA METALICA AUXILIAR"</f>
        <v>MESA METALICA AUXILIAR</v>
      </c>
      <c r="C7256" s="6">
        <v>42000</v>
      </c>
      <c r="D7256" s="5"/>
      <c r="E7256" s="5" t="str">
        <f t="shared" si="344"/>
        <v>URGENCIAS ADULTO-Jenny Peña</v>
      </c>
      <c r="F7256" s="5" t="str">
        <f>"Descripcion: MESA METALICA AUXILIAR Estado: Bueno Placa anterior: 000019426 Material: ACERO INOXIDABLE Color:  Referencia:  Observacion:  Placa padre: Tipo adquisicion: Entidad"</f>
        <v>Descripcion: MESA METALICA AUXILIAR Estado: Bueno Placa anterior: 000019426 Material: ACERO INOXIDABLE Color:  Referencia:  Observacion:  Placa padre: Tipo adquisicion: Entidad</v>
      </c>
      <c r="G7256" s="5"/>
    </row>
    <row r="7257" spans="1:7" ht="58.5" customHeight="1" x14ac:dyDescent="0.25">
      <c r="A7257" s="5" t="str">
        <f>"H0007264"</f>
        <v>H0007264</v>
      </c>
      <c r="B7257" s="5" t="str">
        <f>"ATRIL PORTASUERO MOVIL"</f>
        <v>ATRIL PORTASUERO MOVIL</v>
      </c>
      <c r="C7257" s="6">
        <v>145000</v>
      </c>
      <c r="D7257" s="5" t="s">
        <v>166</v>
      </c>
      <c r="E7257" s="5" t="str">
        <f t="shared" si="344"/>
        <v>URGENCIAS ADULTO-Jenny Peña</v>
      </c>
      <c r="F7257" s="5" t="str">
        <f>"Descripcion: ATRIL. Aatril portasuero en pintura electrostatica, debe contar con sistema portasuero minimo para dos bolsas de 50ml con varilla graduable,con rodachines Estado: Bueno Placa anterior: 000031431 Material: PASTA Color: BLANCO Referencia:  Obse"&amp; "rvacion:  Placa padre: Tipo adquisicion: Entidad"</f>
        <v>Descripcion: ATRIL. Aatril portasuero en pintura electrostatica, debe contar con sistema portasuero minimo para dos bolsas de 50ml con varilla graduable,con rodachines Estado: Bueno Placa anterior: 000031431 Material: PASTA Color: BLANCO Referencia:  Observacion:  Placa padre: Tipo adquisicion: Entidad</v>
      </c>
      <c r="G7257" s="5" t="str">
        <f>"121-01"</f>
        <v>121-01</v>
      </c>
    </row>
    <row r="7258" spans="1:7" ht="58.5" customHeight="1" x14ac:dyDescent="0.25">
      <c r="A7258" s="5" t="str">
        <f>"H0007266"</f>
        <v>H0007266</v>
      </c>
      <c r="B7258" s="5" t="str">
        <f>"SILLA TANDEM DE 3 PUESTOS"</f>
        <v>SILLA TANDEM DE 3 PUESTOS</v>
      </c>
      <c r="C7258" s="6">
        <v>388600</v>
      </c>
      <c r="D7258" s="5"/>
      <c r="E7258" s="5" t="str">
        <f t="shared" si="344"/>
        <v>URGENCIAS ADULTO-Jenny Peña</v>
      </c>
      <c r="F7258" s="5" t="str">
        <f>"Descripcion: TANDEM 3 PUESTOS Estado: Bueno Placa anterior: 000024847 Material: PASTA Color: NEGRO Referencia:  Observacion:  Placa padre: Tipo adquisicion: Entidad"</f>
        <v>Descripcion: TANDEM 3 PUESTOS Estado: Bueno Placa anterior: 000024847 Material: PASTA Color: NEGRO Referencia:  Observacion:  Placa padre: Tipo adquisicion: Entidad</v>
      </c>
      <c r="G7258" s="5"/>
    </row>
    <row r="7259" spans="1:7" ht="58.5" customHeight="1" x14ac:dyDescent="0.25">
      <c r="A7259" s="5" t="str">
        <f>"H0007267"</f>
        <v>H0007267</v>
      </c>
      <c r="B7259" s="5" t="str">
        <f>"SILLA TANDEM DE 3 PUESTOS"</f>
        <v>SILLA TANDEM DE 3 PUESTOS</v>
      </c>
      <c r="C7259" s="6">
        <v>388600</v>
      </c>
      <c r="D7259" s="5"/>
      <c r="E7259" s="5" t="str">
        <f t="shared" si="344"/>
        <v>URGENCIAS ADULTO-Jenny Peña</v>
      </c>
      <c r="F7259" s="5" t="str">
        <f>"Descripcion: TANDEM 3 PUESTOS Estado: Bueno Placa anterior: 000024854 Material: PASTA Color: VERDE Referencia:  Observacion:  Placa padre: Tipo adquisicion: Entidad"</f>
        <v>Descripcion: TANDEM 3 PUESTOS Estado: Bueno Placa anterior: 000024854 Material: PASTA Color: VERDE Referencia:  Observacion:  Placa padre: Tipo adquisicion: Entidad</v>
      </c>
      <c r="G7259" s="5"/>
    </row>
    <row r="7260" spans="1:7" ht="58.5" customHeight="1" x14ac:dyDescent="0.25">
      <c r="A7260" s="5" t="str">
        <f>"H0007268"</f>
        <v>H0007268</v>
      </c>
      <c r="B7260" s="5" t="str">
        <f>"SILLA TANDEM DE 3 PUESTOS"</f>
        <v>SILLA TANDEM DE 3 PUESTOS</v>
      </c>
      <c r="C7260" s="6">
        <v>388600</v>
      </c>
      <c r="D7260" s="5"/>
      <c r="E7260" s="5" t="str">
        <f t="shared" si="344"/>
        <v>URGENCIAS ADULTO-Jenny Peña</v>
      </c>
      <c r="F7260" s="5" t="str">
        <f>"Descripcion: TANDEM 3 PUESTOS Estado: Bueno Placa anterior: 000024849 Material: PASTA Color: NEGRO Referencia:  Observacion:  Placa padre: Tipo adquisicion: Entidad"</f>
        <v>Descripcion: TANDEM 3 PUESTOS Estado: Bueno Placa anterior: 000024849 Material: PASTA Color: NEGRO Referencia:  Observacion:  Placa padre: Tipo adquisicion: Entidad</v>
      </c>
      <c r="G7260" s="5"/>
    </row>
    <row r="7261" spans="1:7" ht="58.5" customHeight="1" x14ac:dyDescent="0.25">
      <c r="A7261" s="5" t="str">
        <f>"H0007270"</f>
        <v>H0007270</v>
      </c>
      <c r="B7261" s="5" t="str">
        <f>"SILLA TANDEM DE 4 PUESTOS"</f>
        <v>SILLA TANDEM DE 4 PUESTOS</v>
      </c>
      <c r="C7261" s="6">
        <v>974400</v>
      </c>
      <c r="D7261" s="5" t="s">
        <v>450</v>
      </c>
      <c r="E7261" s="5" t="str">
        <f t="shared" si="344"/>
        <v>URGENCIAS ADULTO-Jenny Peña</v>
      </c>
      <c r="F7261" s="5" t="str">
        <f>"Descripcion: TANDEM 4 PUESTOS Estado: Bueno Placa anterior: 000031518 Material: METALICO Color:  Referencia:  Observacion:  Placa padre: Tipo adquisicion: Entidad"</f>
        <v>Descripcion: TANDEM 4 PUESTOS Estado: Bueno Placa anterior: 000031518 Material: METALICO Color:  Referencia:  Observacion:  Placa padre: Tipo adquisicion: Entidad</v>
      </c>
      <c r="G7261" s="5"/>
    </row>
    <row r="7262" spans="1:7" ht="58.5" customHeight="1" x14ac:dyDescent="0.25">
      <c r="A7262" s="5" t="str">
        <f>"H0007271"</f>
        <v>H0007271</v>
      </c>
      <c r="B7262" s="5" t="str">
        <f>"MESA METALICA AUXILIAR"</f>
        <v>MESA METALICA AUXILIAR</v>
      </c>
      <c r="C7262" s="6">
        <v>5000</v>
      </c>
      <c r="D7262" s="5"/>
      <c r="E7262" s="5" t="str">
        <f t="shared" si="344"/>
        <v>URGENCIAS ADULTO-Jenny Peña</v>
      </c>
      <c r="F7262" s="5" t="str">
        <f>"Descripcion: MESA METALICA AUXILIAR Estado: Bueno Placa anterior: 000000639 Material: METALICO Color:  Referencia:  Observacion:  Placa padre: Tipo adquisicion: Entidad"</f>
        <v>Descripcion: MESA METALICA AUXILIAR Estado: Bueno Placa anterior: 000000639 Material: METALICO Color:  Referencia:  Observacion:  Placa padre: Tipo adquisicion: Entidad</v>
      </c>
      <c r="G7262" s="5"/>
    </row>
    <row r="7263" spans="1:7" ht="58.5" customHeight="1" x14ac:dyDescent="0.25">
      <c r="A7263" s="5" t="str">
        <f>"H0007277"</f>
        <v>H0007277</v>
      </c>
      <c r="B7263" s="5" t="str">
        <f t="shared" ref="B7263:B7271" si="345">"SILLA TANDEM DE 3 PUESTOS"</f>
        <v>SILLA TANDEM DE 3 PUESTOS</v>
      </c>
      <c r="C7263" s="6">
        <v>388600</v>
      </c>
      <c r="D7263" s="5"/>
      <c r="E7263" s="5" t="str">
        <f t="shared" si="344"/>
        <v>URGENCIAS ADULTO-Jenny Peña</v>
      </c>
      <c r="F7263" s="5" t="str">
        <f>"Descripcion: TANDEM 3 PUESTOS Estado: Bueno Placa anterior: 000024852 Material: PASTA Color: VERDE Referencia:  Observacion:  Placa padre: Tipo adquisicion: Entidad"</f>
        <v>Descripcion: TANDEM 3 PUESTOS Estado: Bueno Placa anterior: 000024852 Material: PASTA Color: VERDE Referencia:  Observacion:  Placa padre: Tipo adquisicion: Entidad</v>
      </c>
      <c r="G7263" s="5"/>
    </row>
    <row r="7264" spans="1:7" ht="58.5" customHeight="1" x14ac:dyDescent="0.25">
      <c r="A7264" s="5" t="str">
        <f>"H0007278"</f>
        <v>H0007278</v>
      </c>
      <c r="B7264" s="5" t="str">
        <f t="shared" si="345"/>
        <v>SILLA TANDEM DE 3 PUESTOS</v>
      </c>
      <c r="C7264" s="6">
        <v>388600</v>
      </c>
      <c r="D7264" s="5"/>
      <c r="E7264" s="5" t="str">
        <f t="shared" si="344"/>
        <v>URGENCIAS ADULTO-Jenny Peña</v>
      </c>
      <c r="F7264" s="5" t="str">
        <f>"Descripcion: TANDEM 3 PUESTOS. ASIENTOS EN CUERO Estado: Bueno Placa anterior: 000024853 Material: PASTA Color: NEGRO Referencia:  Observacion:  Placa padre: Tipo adquisicion: Entidad"</f>
        <v>Descripcion: TANDEM 3 PUESTOS. ASIENTOS EN CUERO Estado: Bueno Placa anterior: 000024853 Material: PASTA Color: NEGRO Referencia:  Observacion:  Placa padre: Tipo adquisicion: Entidad</v>
      </c>
      <c r="G7264" s="5"/>
    </row>
    <row r="7265" spans="1:7" ht="58.5" customHeight="1" x14ac:dyDescent="0.25">
      <c r="A7265" s="5" t="str">
        <f>"H0007279"</f>
        <v>H0007279</v>
      </c>
      <c r="B7265" s="5" t="str">
        <f t="shared" si="345"/>
        <v>SILLA TANDEM DE 3 PUESTOS</v>
      </c>
      <c r="C7265" s="6">
        <v>388600</v>
      </c>
      <c r="D7265" s="5"/>
      <c r="E7265" s="5" t="str">
        <f t="shared" si="344"/>
        <v>URGENCIAS ADULTO-Jenny Peña</v>
      </c>
      <c r="F7265" s="5" t="str">
        <f>"Descripcion: TANDEM 3 PUESTOS Estado: Bueno Placa anterior: 000024848 Material: PASTA Color: NEGRO Referencia:  Observacion:  Placa padre: Tipo adquisicion: Entidad"</f>
        <v>Descripcion: TANDEM 3 PUESTOS Estado: Bueno Placa anterior: 000024848 Material: PASTA Color: NEGRO Referencia:  Observacion:  Placa padre: Tipo adquisicion: Entidad</v>
      </c>
      <c r="G7265" s="5"/>
    </row>
    <row r="7266" spans="1:7" ht="58.5" customHeight="1" x14ac:dyDescent="0.25">
      <c r="A7266" s="5" t="str">
        <f>"H0007280"</f>
        <v>H0007280</v>
      </c>
      <c r="B7266" s="5" t="str">
        <f t="shared" si="345"/>
        <v>SILLA TANDEM DE 3 PUESTOS</v>
      </c>
      <c r="C7266" s="6">
        <v>15345</v>
      </c>
      <c r="D7266" s="5"/>
      <c r="E7266" s="5" t="str">
        <f t="shared" si="344"/>
        <v>URGENCIAS ADULTO-Jenny Peña</v>
      </c>
      <c r="F7266" s="5" t="str">
        <f>"Descripcion: TANDEM 3 PUESTOS Estado: Bueno Placa anterior: 000021471 Material: PASTA Color: NEGRO Referencia:  Observacion:  Placa padre: Tipo adquisicion: Entidad"</f>
        <v>Descripcion: TANDEM 3 PUESTOS Estado: Bueno Placa anterior: 000021471 Material: PASTA Color: NEGRO Referencia:  Observacion:  Placa padre: Tipo adquisicion: Entidad</v>
      </c>
      <c r="G7266" s="5"/>
    </row>
    <row r="7267" spans="1:7" ht="58.5" customHeight="1" x14ac:dyDescent="0.25">
      <c r="A7267" s="5" t="str">
        <f>"H0007281"</f>
        <v>H0007281</v>
      </c>
      <c r="B7267" s="5" t="str">
        <f t="shared" si="345"/>
        <v>SILLA TANDEM DE 3 PUESTOS</v>
      </c>
      <c r="C7267" s="6">
        <v>15345</v>
      </c>
      <c r="D7267" s="5"/>
      <c r="E7267" s="5" t="str">
        <f t="shared" si="344"/>
        <v>URGENCIAS ADULTO-Jenny Peña</v>
      </c>
      <c r="F7267" s="5" t="str">
        <f>"Descripcion: TANDEM 3 PUESTOS Estado: Bueno Placa anterior: 000019392 Material: PASTA Color: VERDE Referencia:  Observacion:  Placa padre: Tipo adquisicion: Entidad"</f>
        <v>Descripcion: TANDEM 3 PUESTOS Estado: Bueno Placa anterior: 000019392 Material: PASTA Color: VERDE Referencia:  Observacion:  Placa padre: Tipo adquisicion: Entidad</v>
      </c>
      <c r="G7267" s="5"/>
    </row>
    <row r="7268" spans="1:7" ht="58.5" customHeight="1" x14ac:dyDescent="0.25">
      <c r="A7268" s="5" t="str">
        <f>"H0007282"</f>
        <v>H0007282</v>
      </c>
      <c r="B7268" s="5" t="str">
        <f t="shared" si="345"/>
        <v>SILLA TANDEM DE 3 PUESTOS</v>
      </c>
      <c r="C7268" s="6">
        <v>15345</v>
      </c>
      <c r="D7268" s="5"/>
      <c r="E7268" s="5" t="str">
        <f t="shared" si="344"/>
        <v>URGENCIAS ADULTO-Jenny Peña</v>
      </c>
      <c r="F7268" s="5" t="str">
        <f>"Descripcion: TANDEM 3 PUESTOS Estado: Bueno Placa anterior: 000021472 Material: PASTA Color: VERDE Referencia:  Observacion:  Placa padre: Tipo adquisicion: Entidad"</f>
        <v>Descripcion: TANDEM 3 PUESTOS Estado: Bueno Placa anterior: 000021472 Material: PASTA Color: VERDE Referencia:  Observacion:  Placa padre: Tipo adquisicion: Entidad</v>
      </c>
      <c r="G7268" s="5"/>
    </row>
    <row r="7269" spans="1:7" ht="58.5" customHeight="1" x14ac:dyDescent="0.25">
      <c r="A7269" s="5" t="str">
        <f>"H0007283"</f>
        <v>H0007283</v>
      </c>
      <c r="B7269" s="5" t="str">
        <f t="shared" si="345"/>
        <v>SILLA TANDEM DE 3 PUESTOS</v>
      </c>
      <c r="C7269" s="6">
        <v>122850</v>
      </c>
      <c r="D7269" s="5"/>
      <c r="E7269" s="5" t="str">
        <f t="shared" ref="E7269:E7332" si="346">"URGENCIAS ADULTO-Jenny Peña"</f>
        <v>URGENCIAS ADULTO-Jenny Peña</v>
      </c>
      <c r="F7269" s="5" t="str">
        <f>"Descripcion: TANDEM 3 PUESTOS Estado: Bueno Placa anterior: 000021495 Material: PASTA Color: VERDE Referencia:  Observacion: AUTORIZADO CONCILIAR EN CRUCE GENERAL Placa padre: Tipo adquisicion: Entidad"</f>
        <v>Descripcion: TANDEM 3 PUESTOS Estado: Bueno Placa anterior: 000021495 Material: PASTA Color: VERDE Referencia:  Observacion: AUTORIZADO CONCILIAR EN CRUCE GENERAL Placa padre: Tipo adquisicion: Entidad</v>
      </c>
      <c r="G7269" s="5"/>
    </row>
    <row r="7270" spans="1:7" ht="58.5" customHeight="1" x14ac:dyDescent="0.25">
      <c r="A7270" s="5" t="str">
        <f>"H0007284"</f>
        <v>H0007284</v>
      </c>
      <c r="B7270" s="5" t="str">
        <f t="shared" si="345"/>
        <v>SILLA TANDEM DE 3 PUESTOS</v>
      </c>
      <c r="C7270" s="6">
        <v>122850</v>
      </c>
      <c r="D7270" s="5"/>
      <c r="E7270" s="5" t="str">
        <f t="shared" si="346"/>
        <v>URGENCIAS ADULTO-Jenny Peña</v>
      </c>
      <c r="F7270" s="5" t="str">
        <f>"Descripcion: TANDEM 3 PUESTOS Estado: Bueno Placa anterior: 000021494 Material: PASTA Color: VERDE Referencia:  Observacion: AUTORIZADO CONCILIAR EN CRUCE GENERAL Placa padre: Tipo adquisicion: Entidad"</f>
        <v>Descripcion: TANDEM 3 PUESTOS Estado: Bueno Placa anterior: 000021494 Material: PASTA Color: VERDE Referencia:  Observacion: AUTORIZADO CONCILIAR EN CRUCE GENERAL Placa padre: Tipo adquisicion: Entidad</v>
      </c>
      <c r="G7270" s="5"/>
    </row>
    <row r="7271" spans="1:7" ht="58.5" customHeight="1" x14ac:dyDescent="0.25">
      <c r="A7271" s="5" t="str">
        <f>"H0007285"</f>
        <v>H0007285</v>
      </c>
      <c r="B7271" s="5" t="str">
        <f t="shared" si="345"/>
        <v>SILLA TANDEM DE 3 PUESTOS</v>
      </c>
      <c r="C7271" s="6">
        <v>122850</v>
      </c>
      <c r="D7271" s="5"/>
      <c r="E7271" s="5" t="str">
        <f t="shared" si="346"/>
        <v>URGENCIAS ADULTO-Jenny Peña</v>
      </c>
      <c r="F7271" s="5" t="str">
        <f>"Descripcion: TANDEM 3 PUESTOS Estado: Bueno Placa anterior: 000016763 Material: PASTA Color: VERDE Referencia:  Observacion: AUTORIZADO CONCILIAR EN CRUCE GENERAL Placa padre: Tipo adquisicion: Entidad"</f>
        <v>Descripcion: TANDEM 3 PUESTOS Estado: Bueno Placa anterior: 000016763 Material: PASTA Color: VERDE Referencia:  Observacion: AUTORIZADO CONCILIAR EN CRUCE GENERAL Placa padre: Tipo adquisicion: Entidad</v>
      </c>
      <c r="G7271" s="5"/>
    </row>
    <row r="7272" spans="1:7" ht="58.5" customHeight="1" x14ac:dyDescent="0.25">
      <c r="A7272" s="5" t="str">
        <f>"H0007290"</f>
        <v>H0007290</v>
      </c>
      <c r="B7272" s="5" t="str">
        <f>"MESA (CARRO) DE CURACIONES"</f>
        <v>MESA (CARRO) DE CURACIONES</v>
      </c>
      <c r="C7272" s="6">
        <v>336400</v>
      </c>
      <c r="D7272" s="5" t="s">
        <v>161</v>
      </c>
      <c r="E7272" s="5" t="str">
        <f t="shared" si="346"/>
        <v>URGENCIAS ADULTO-Jenny Peña</v>
      </c>
      <c r="F7272" s="5" t="str">
        <f>"Descripcion: CARRO DE CURACION Estado: Bueno Placa anterior: 000031554 Material: ACERO INOXIDABLE Color:  Referencia:  Observacion:  Placa padre: Tipo adquisicion: Entidad"</f>
        <v>Descripcion: CARRO DE CURACION Estado: Bueno Placa anterior: 000031554 Material: ACERO INOXIDABLE Color:  Referencia:  Observacion:  Placa padre: Tipo adquisicion: Entidad</v>
      </c>
      <c r="G7272" s="5"/>
    </row>
    <row r="7273" spans="1:7" ht="58.5" customHeight="1" x14ac:dyDescent="0.25">
      <c r="A7273" s="5" t="str">
        <f>"H0007291"</f>
        <v>H0007291</v>
      </c>
      <c r="B7273" s="5" t="str">
        <f>"POTE (TARRO) ACERO INXODABLE CON TAPA MEDIANO"</f>
        <v>POTE (TARRO) ACERO INXODABLE CON TAPA MEDIANO</v>
      </c>
      <c r="C7273" s="6">
        <v>5498.01</v>
      </c>
      <c r="D7273" s="5"/>
      <c r="E7273" s="5" t="str">
        <f t="shared" si="346"/>
        <v>URGENCIAS ADULTO-Jenny Peña</v>
      </c>
      <c r="F7273" s="5" t="str">
        <f>"Descripcion: TARRO NIQUELADO Estado: Bueno Placa anterior: 000019959 Material: ACERO INOXIDABLE Color:  Referencia:  Observacion:  Placa padre: Tipo adquisicion: Entidad"</f>
        <v>Descripcion: TARRO NIQUELADO Estado: Bueno Placa anterior: 000019959 Material: ACERO INOXIDABLE Color:  Referencia:  Observacion:  Placa padre: Tipo adquisicion: Entidad</v>
      </c>
      <c r="G7273" s="5"/>
    </row>
    <row r="7274" spans="1:7" ht="58.5" customHeight="1" x14ac:dyDescent="0.25">
      <c r="A7274" s="5" t="str">
        <f>"H0007293"</f>
        <v>H0007293</v>
      </c>
      <c r="B7274" s="5" t="str">
        <f>"BANDEJA DE ACERO INOXIDABLE MEDIANA"</f>
        <v>BANDEJA DE ACERO INOXIDABLE MEDIANA</v>
      </c>
      <c r="C7274" s="6">
        <v>8178.33</v>
      </c>
      <c r="D7274" s="5"/>
      <c r="E7274" s="5" t="str">
        <f t="shared" si="346"/>
        <v>URGENCIAS ADULTO-Jenny Peña</v>
      </c>
      <c r="F7274" s="5" t="str">
        <f>"Descripcion: BANDEJA MEDIANA SIN TAPA Estado: Bueno Placa anterior: 000019956 Material: ACERO INOXIDABLE Color:  Referencia:  Observacion:  Placa padre: Tipo adquisicion: Entidad"</f>
        <v>Descripcion: BANDEJA MEDIANA SIN TAPA Estado: Bueno Placa anterior: 000019956 Material: ACERO INOXIDABLE Color:  Referencia:  Observacion:  Placa padre: Tipo adquisicion: Entidad</v>
      </c>
      <c r="G7274" s="5"/>
    </row>
    <row r="7275" spans="1:7" ht="58.5" customHeight="1" x14ac:dyDescent="0.25">
      <c r="A7275" s="5" t="str">
        <f>"H0007294"</f>
        <v>H0007294</v>
      </c>
      <c r="B7275" s="5" t="str">
        <f>"POTE (TARRO) ACERO INXODABLE CON TAPA MEDIANO"</f>
        <v>POTE (TARRO) ACERO INXODABLE CON TAPA MEDIANO</v>
      </c>
      <c r="C7275" s="6">
        <v>21799.02</v>
      </c>
      <c r="D7275" s="5"/>
      <c r="E7275" s="5" t="str">
        <f t="shared" si="346"/>
        <v>URGENCIAS ADULTO-Jenny Peña</v>
      </c>
      <c r="F7275" s="5" t="str">
        <f>"Descripcion: TARRO EN ACERO INOXIDABLE SIN TAPA Estado: Bueno Placa anterior: 000018585 Material: ACERO INOXIDABLE Color:  Referencia:  Observacion:  Placa padre: Tipo adquisicion: Entidad"</f>
        <v>Descripcion: TARRO EN ACERO INOXIDABLE SIN TAPA Estado: Bueno Placa anterior: 000018585 Material: ACERO INOXIDABLE Color:  Referencia:  Observacion:  Placa padre: Tipo adquisicion: Entidad</v>
      </c>
      <c r="G7275" s="5"/>
    </row>
    <row r="7276" spans="1:7" ht="58.5" customHeight="1" x14ac:dyDescent="0.25">
      <c r="A7276" s="5" t="str">
        <f>"H0007296"</f>
        <v>H0007296</v>
      </c>
      <c r="B7276" s="5" t="str">
        <f>"MESA (CARRO) DE CURACIONES"</f>
        <v>MESA (CARRO) DE CURACIONES</v>
      </c>
      <c r="C7276" s="6">
        <v>336400</v>
      </c>
      <c r="D7276" s="5" t="s">
        <v>161</v>
      </c>
      <c r="E7276" s="5" t="str">
        <f t="shared" si="346"/>
        <v>URGENCIAS ADULTO-Jenny Peña</v>
      </c>
      <c r="F7276" s="5" t="str">
        <f>"Descripcion: CARRO DE CURACION Estado: Bueno Placa anterior: 000031555 Material: ACERO INOXIDABLE Color:  Referencia:  Observacion:  Placa padre: Tipo adquisicion: Entidad"</f>
        <v>Descripcion: CARRO DE CURACION Estado: Bueno Placa anterior: 000031555 Material: ACERO INOXIDABLE Color:  Referencia:  Observacion:  Placa padre: Tipo adquisicion: Entidad</v>
      </c>
      <c r="G7276" s="5"/>
    </row>
    <row r="7277" spans="1:7" ht="58.5" customHeight="1" x14ac:dyDescent="0.25">
      <c r="A7277" s="5" t="str">
        <f>"H0007299"</f>
        <v>H0007299</v>
      </c>
      <c r="B7277" s="5" t="str">
        <f>"POTE (TARRO) ACERO INXODABLE CON TAPA MEDIANO"</f>
        <v>POTE (TARRO) ACERO INXODABLE CON TAPA MEDIANO</v>
      </c>
      <c r="C7277" s="6">
        <v>21799.02</v>
      </c>
      <c r="D7277" s="5"/>
      <c r="E7277" s="5" t="str">
        <f t="shared" si="346"/>
        <v>URGENCIAS ADULTO-Jenny Peña</v>
      </c>
      <c r="F7277" s="5" t="str">
        <f>"Descripcion: TARRO EN ACERO INOXIDABLE Estado: Bueno Placa anterior: 000018635 Material: ACERO INOXIDABLE Color:  Referencia:  Observacion:  Placa padre: Tipo adquisicion: Entidad"</f>
        <v>Descripcion: TARRO EN ACERO INOXIDABLE Estado: Bueno Placa anterior: 000018635 Material: ACERO INOXIDABLE Color:  Referencia:  Observacion:  Placa padre: Tipo adquisicion: Entidad</v>
      </c>
      <c r="G7277" s="5"/>
    </row>
    <row r="7278" spans="1:7" ht="58.5" customHeight="1" x14ac:dyDescent="0.25">
      <c r="A7278" s="5" t="str">
        <f>"H0007300"</f>
        <v>H0007300</v>
      </c>
      <c r="B7278" s="5" t="str">
        <f>"POTE (TARRO) ACERO INXODABLE CON TAPA MEDIANO"</f>
        <v>POTE (TARRO) ACERO INXODABLE CON TAPA MEDIANO</v>
      </c>
      <c r="C7278" s="6">
        <v>19173.189999999999</v>
      </c>
      <c r="D7278" s="5"/>
      <c r="E7278" s="5" t="str">
        <f t="shared" si="346"/>
        <v>URGENCIAS ADULTO-Jenny Peña</v>
      </c>
      <c r="F7278" s="5" t="str">
        <f>"Descripcion: TARRO EN ACERO INOXIDABLE Estado: Bueno Placa anterior: 000019761 Material: ACERO INOXIDABLE Color:  Referencia:  Observacion:  Placa padre: Tipo adquisicion: Entidad"</f>
        <v>Descripcion: TARRO EN ACERO INOXIDABLE Estado: Bueno Placa anterior: 000019761 Material: ACERO INOXIDABLE Color:  Referencia:  Observacion:  Placa padre: Tipo adquisicion: Entidad</v>
      </c>
      <c r="G7278" s="5"/>
    </row>
    <row r="7279" spans="1:7" ht="58.5" customHeight="1" x14ac:dyDescent="0.25">
      <c r="A7279" s="5" t="str">
        <f>"H0007301"</f>
        <v>H0007301</v>
      </c>
      <c r="B7279" s="5" t="str">
        <f>"POTE (TARRO) ACERO INXODABLE CON TAPA MEDIANO"</f>
        <v>POTE (TARRO) ACERO INXODABLE CON TAPA MEDIANO</v>
      </c>
      <c r="C7279" s="6">
        <v>19173.189999999999</v>
      </c>
      <c r="D7279" s="5"/>
      <c r="E7279" s="5" t="str">
        <f t="shared" si="346"/>
        <v>URGENCIAS ADULTO-Jenny Peña</v>
      </c>
      <c r="F7279" s="5" t="str">
        <f>"Descripcion: TARRO EN ACERO INOXIDABLE SIN TAPA Estado: Bueno Placa anterior: 000019791 Material: ACERO INOXIDABLE Color:  Referencia:  Observacion:  Placa padre: Tipo adquisicion: Entidad"</f>
        <v>Descripcion: TARRO EN ACERO INOXIDABLE SIN TAPA Estado: Bueno Placa anterior: 000019791 Material: ACERO INOXIDABLE Color:  Referencia:  Observacion:  Placa padre: Tipo adquisicion: Entidad</v>
      </c>
      <c r="G7279" s="5"/>
    </row>
    <row r="7280" spans="1:7" ht="58.5" customHeight="1" x14ac:dyDescent="0.25">
      <c r="A7280" s="5" t="str">
        <f>"H0007302"</f>
        <v>H0007302</v>
      </c>
      <c r="B7280" s="5" t="str">
        <f>"POTE (TARRO) ACERO INXODABLE CON TAPA MEDIANO"</f>
        <v>POTE (TARRO) ACERO INXODABLE CON TAPA MEDIANO</v>
      </c>
      <c r="C7280" s="6">
        <v>21799.02</v>
      </c>
      <c r="D7280" s="5"/>
      <c r="E7280" s="5" t="str">
        <f t="shared" si="346"/>
        <v>URGENCIAS ADULTO-Jenny Peña</v>
      </c>
      <c r="F7280" s="5" t="str">
        <f>"Descripcion: TARRO EN ACERO INOXIDABLE SIN TAPA Estado: Bueno Placa anterior: 000018451 Material: ACERO INOXIDABLE Color:  Referencia:  Observacion:  Placa padre: Tipo adquisicion: Entidad"</f>
        <v>Descripcion: TARRO EN ACERO INOXIDABLE SIN TAPA Estado: Bueno Placa anterior: 000018451 Material: ACERO INOXIDABLE Color:  Referencia:  Observacion:  Placa padre: Tipo adquisicion: Entidad</v>
      </c>
      <c r="G7280" s="5"/>
    </row>
    <row r="7281" spans="1:7" ht="58.5" customHeight="1" x14ac:dyDescent="0.25">
      <c r="A7281" s="5" t="str">
        <f>"H0007349"</f>
        <v>H0007349</v>
      </c>
      <c r="B7281" s="5" t="str">
        <f>"CARRO DE PARO"</f>
        <v>CARRO DE PARO</v>
      </c>
      <c r="C7281" s="6">
        <v>1566000</v>
      </c>
      <c r="D7281" s="5" t="s">
        <v>451</v>
      </c>
      <c r="E7281" s="5" t="str">
        <f t="shared" si="346"/>
        <v>URGENCIAS ADULTO-Jenny Peña</v>
      </c>
      <c r="F7281" s="5" t="str">
        <f>"Descripcion: CARRO DE PARO. BANDEJA EN ACERO INOXIDABLE. 4 GAVETAS Estado: Bueno Placa anterior: 000030528 Material:  Color:  Referencia:  Observacion:  Placa padre: Tipo adquisicion: Entidad"</f>
        <v>Descripcion: CARRO DE PARO. BANDEJA EN ACERO INOXIDABLE. 4 GAVETAS Estado: Bueno Placa anterior: 000030528 Material:  Color:  Referencia:  Observacion:  Placa padre: Tipo adquisicion: Entidad</v>
      </c>
      <c r="G7281" s="5"/>
    </row>
    <row r="7282" spans="1:7" ht="58.5" customHeight="1" x14ac:dyDescent="0.25">
      <c r="A7282" s="5" t="str">
        <f>"H0007350"</f>
        <v>H0007350</v>
      </c>
      <c r="B7282" s="5" t="str">
        <f>"CARRO PORTA HISTORIAS CLINICAS"</f>
        <v>CARRO PORTA HISTORIAS CLINICAS</v>
      </c>
      <c r="C7282" s="6">
        <v>2876800</v>
      </c>
      <c r="D7282" s="5" t="s">
        <v>161</v>
      </c>
      <c r="E7282" s="5" t="str">
        <f t="shared" si="346"/>
        <v>URGENCIAS ADULTO-Jenny Peña</v>
      </c>
      <c r="F7282" s="5" t="str">
        <f>"Descripcion: CARRO PORTA HISTORIAS CLINICAS 10 ENTREPAÑOS Estado: Bueno Placa anterior: 000031546 Material: MADERA Color:  Referencia:  Observacion:  Placa padre: Tipo adquisicion: Entidad"</f>
        <v>Descripcion: CARRO PORTA HISTORIAS CLINICAS 10 ENTREPAÑOS Estado: Bueno Placa anterior: 000031546 Material: MADERA Color:  Referencia:  Observacion:  Placa padre: Tipo adquisicion: Entidad</v>
      </c>
      <c r="G7282" s="5"/>
    </row>
    <row r="7283" spans="1:7" ht="58.5" customHeight="1" x14ac:dyDescent="0.25">
      <c r="A7283" s="5" t="str">
        <f>"H0007352"</f>
        <v>H0007352</v>
      </c>
      <c r="B7283" s="5" t="str">
        <f>"TABLA DE ALUMINIO HISTORIAS CLINICAS (PORTAHISTORIAS)"</f>
        <v>TABLA DE ALUMINIO HISTORIAS CLINICAS (PORTAHISTORIAS)</v>
      </c>
      <c r="C7283" s="6">
        <v>24746.639999999999</v>
      </c>
      <c r="D7283" s="5"/>
      <c r="E7283" s="5" t="str">
        <f t="shared" si="346"/>
        <v>URGENCIAS ADULTO-Jenny Peña</v>
      </c>
      <c r="F7283" s="5" t="str">
        <f>"Descripcion: PORTAHISTORIAS CLINICAS Estado: Bueno Placa anterior: 000019832 Material: ACER INOXIDABLE Color:  Referencia:  Observacion:  Placa padre: Tipo adquisicion: Entidad"</f>
        <v>Descripcion: PORTAHISTORIAS CLINICAS Estado: Bueno Placa anterior: 000019832 Material: ACER INOXIDABLE Color:  Referencia:  Observacion:  Placa padre: Tipo adquisicion: Entidad</v>
      </c>
      <c r="G7283" s="5"/>
    </row>
    <row r="7284" spans="1:7" ht="58.5" customHeight="1" x14ac:dyDescent="0.25">
      <c r="A7284" s="5" t="str">
        <f>"H0007353"</f>
        <v>H0007353</v>
      </c>
      <c r="B7284" s="5" t="str">
        <f>"TABLA DE ALUMINIO HISTORIAS CLINICAS (PORTAHISTORIAS)"</f>
        <v>TABLA DE ALUMINIO HISTORIAS CLINICAS (PORTAHISTORIAS)</v>
      </c>
      <c r="C7284" s="6">
        <v>24746.639999999999</v>
      </c>
      <c r="D7284" s="5"/>
      <c r="E7284" s="5" t="str">
        <f t="shared" si="346"/>
        <v>URGENCIAS ADULTO-Jenny Peña</v>
      </c>
      <c r="F7284" s="5" t="str">
        <f>"Descripcion: PORTAHISTORIAS CLINICAS Estado: Bueno Placa anterior: 000019833 Material: ACER INOXIDABLE Color:  Referencia:  Observacion:  Placa padre: Tipo adquisicion: Entidad"</f>
        <v>Descripcion: PORTAHISTORIAS CLINICAS Estado: Bueno Placa anterior: 000019833 Material: ACER INOXIDABLE Color:  Referencia:  Observacion:  Placa padre: Tipo adquisicion: Entidad</v>
      </c>
      <c r="G7284" s="5"/>
    </row>
    <row r="7285" spans="1:7" ht="58.5" customHeight="1" x14ac:dyDescent="0.25">
      <c r="A7285" s="5" t="str">
        <f>"H0007354"</f>
        <v>H0007354</v>
      </c>
      <c r="B7285" s="5" t="str">
        <f>"TABLA DE ALUMINIO HISTORIAS CLINICAS (PORTAHISTORIAS)"</f>
        <v>TABLA DE ALUMINIO HISTORIAS CLINICAS (PORTAHISTORIAS)</v>
      </c>
      <c r="C7285" s="6">
        <v>24746.639999999999</v>
      </c>
      <c r="D7285" s="5"/>
      <c r="E7285" s="5" t="str">
        <f t="shared" si="346"/>
        <v>URGENCIAS ADULTO-Jenny Peña</v>
      </c>
      <c r="F7285" s="5" t="str">
        <f>"Descripcion: PORTAHISTORIAS CLINICAS Estado: Bueno Placa anterior: 000019837 Material: ACER INOXIDABLE Color:  Referencia:  Observacion:  Placa padre: Tipo adquisicion: Entidad"</f>
        <v>Descripcion: PORTAHISTORIAS CLINICAS Estado: Bueno Placa anterior: 000019837 Material: ACER INOXIDABLE Color:  Referencia:  Observacion:  Placa padre: Tipo adquisicion: Entidad</v>
      </c>
      <c r="G7285" s="5"/>
    </row>
    <row r="7286" spans="1:7" ht="58.5" customHeight="1" x14ac:dyDescent="0.25">
      <c r="A7286" s="5" t="str">
        <f>"H0007355"</f>
        <v>H0007355</v>
      </c>
      <c r="B7286" s="5" t="str">
        <f>"TABLA DE ALUMINIO HISTORIAS CLINICAS (PORTAHISTORIAS)"</f>
        <v>TABLA DE ALUMINIO HISTORIAS CLINICAS (PORTAHISTORIAS)</v>
      </c>
      <c r="C7286" s="6">
        <v>24746.639999999999</v>
      </c>
      <c r="D7286" s="5"/>
      <c r="E7286" s="5" t="str">
        <f t="shared" si="346"/>
        <v>URGENCIAS ADULTO-Jenny Peña</v>
      </c>
      <c r="F7286" s="5" t="str">
        <f>"Descripcion: PORTAHISTORIAS CLINICAS Estado: Bueno Placa anterior: 000019850 Material: ACER INOXIDABLE Color:  Referencia:  Observacion:  Placa padre: Tipo adquisicion: Entidad"</f>
        <v>Descripcion: PORTAHISTORIAS CLINICAS Estado: Bueno Placa anterior: 000019850 Material: ACER INOXIDABLE Color:  Referencia:  Observacion:  Placa padre: Tipo adquisicion: Entidad</v>
      </c>
      <c r="G7286" s="5"/>
    </row>
    <row r="7287" spans="1:7" ht="58.5" customHeight="1" x14ac:dyDescent="0.25">
      <c r="A7287" s="5" t="str">
        <f>"H0007356"</f>
        <v>H0007356</v>
      </c>
      <c r="B7287" s="5" t="str">
        <f>"TABLA DE ALUMINIO HISTORIAS CLINICAS (PORTAHISTORIAS)"</f>
        <v>TABLA DE ALUMINIO HISTORIAS CLINICAS (PORTAHISTORIAS)</v>
      </c>
      <c r="C7287" s="6">
        <v>24746.639999999999</v>
      </c>
      <c r="D7287" s="5"/>
      <c r="E7287" s="5" t="str">
        <f t="shared" si="346"/>
        <v>URGENCIAS ADULTO-Jenny Peña</v>
      </c>
      <c r="F7287" s="5" t="str">
        <f>"Descripcion: PORTAHISTORIAS CLINICAS Estado: Bueno Placa anterior: 000019851 Material: ACER INOXIDABLE Color:  Referencia:  Observacion:  Placa padre: Tipo adquisicion: Entidad"</f>
        <v>Descripcion: PORTAHISTORIAS CLINICAS Estado: Bueno Placa anterior: 000019851 Material: ACER INOXIDABLE Color:  Referencia:  Observacion:  Placa padre: Tipo adquisicion: Entidad</v>
      </c>
      <c r="G7287" s="5"/>
    </row>
    <row r="7288" spans="1:7" ht="58.5" customHeight="1" x14ac:dyDescent="0.25">
      <c r="A7288" s="5" t="str">
        <f>"H0007363"</f>
        <v>H0007363</v>
      </c>
      <c r="B7288" s="5" t="str">
        <f>"MUEBLE (ARCHIVADOR) AEREO (GABINETE DE PARED)"</f>
        <v>MUEBLE (ARCHIVADOR) AEREO (GABINETE DE PARED)</v>
      </c>
      <c r="C7288" s="6">
        <v>480000</v>
      </c>
      <c r="D7288" s="5"/>
      <c r="E7288" s="5" t="str">
        <f t="shared" si="346"/>
        <v>URGENCIAS ADULTO-Jenny Peña</v>
      </c>
      <c r="F7288" s="5" t="str">
        <f>"Descripcion: ARCHIVADOR ELEVADO Estado: Bueno Placa anterior: 000019907 Material: FORMICA Color: MARRON Referencia:  Observacion:  Placa padre: Tipo adquisicion: Entidad"</f>
        <v>Descripcion: ARCHIVADOR ELEVADO Estado: Bueno Placa anterior: 000019907 Material: FORMICA Color: MARRON Referencia:  Observacion:  Placa padre: Tipo adquisicion: Entidad</v>
      </c>
      <c r="G7288" s="5"/>
    </row>
    <row r="7289" spans="1:7" ht="58.5" customHeight="1" x14ac:dyDescent="0.25">
      <c r="A7289" s="5" t="str">
        <f>"H0007373"</f>
        <v>H0007373</v>
      </c>
      <c r="B7289" s="5" t="str">
        <f>"POTE (TARRO) ACERO INXODABLE CON TAPA MEDIANO"</f>
        <v>POTE (TARRO) ACERO INXODABLE CON TAPA MEDIANO</v>
      </c>
      <c r="C7289" s="6">
        <v>19173.189999999999</v>
      </c>
      <c r="D7289" s="5"/>
      <c r="E7289" s="5" t="str">
        <f t="shared" si="346"/>
        <v>URGENCIAS ADULTO-Jenny Peña</v>
      </c>
      <c r="F7289" s="5" t="str">
        <f>"Descripcion: TARRO EN ACERO INOXIDABLE Estado: Bueno Placa anterior: 000019639 Material: ACERO INOXIDABLE Color:  Referencia:  Observacion:  Placa padre: Tipo adquisicion: Entidad"</f>
        <v>Descripcion: TARRO EN ACERO INOXIDABLE Estado: Bueno Placa anterior: 000019639 Material: ACERO INOXIDABLE Color:  Referencia:  Observacion:  Placa padre: Tipo adquisicion: Entidad</v>
      </c>
      <c r="G7289" s="5"/>
    </row>
    <row r="7290" spans="1:7" ht="58.5" customHeight="1" x14ac:dyDescent="0.25">
      <c r="A7290" s="5" t="str">
        <f>"H0007374"</f>
        <v>H0007374</v>
      </c>
      <c r="B7290" s="5" t="str">
        <f>"TABLA DE ALUMINIO HISTORIAS CLINICAS (PORTAHISTORIAS)"</f>
        <v>TABLA DE ALUMINIO HISTORIAS CLINICAS (PORTAHISTORIAS)</v>
      </c>
      <c r="C7290" s="6">
        <v>24746.639999999999</v>
      </c>
      <c r="D7290" s="5"/>
      <c r="E7290" s="5" t="str">
        <f t="shared" si="346"/>
        <v>URGENCIAS ADULTO-Jenny Peña</v>
      </c>
      <c r="F7290" s="5" t="str">
        <f>"Descripcion: PORTAHISTORIAS CLINICAS Estado: Bueno Placa anterior: 000019852 Material: ACER INOXIDABLE Color:  Referencia:  Observacion:  Placa padre: Tipo adquisicion: Entidad"</f>
        <v>Descripcion: PORTAHISTORIAS CLINICAS Estado: Bueno Placa anterior: 000019852 Material: ACER INOXIDABLE Color:  Referencia:  Observacion:  Placa padre: Tipo adquisicion: Entidad</v>
      </c>
      <c r="G7290" s="5"/>
    </row>
    <row r="7291" spans="1:7" ht="58.5" customHeight="1" x14ac:dyDescent="0.25">
      <c r="A7291" s="5" t="str">
        <f>"H0007378"</f>
        <v>H0007378</v>
      </c>
      <c r="B7291" s="5" t="str">
        <f>"MESA METALICA AUXILIAR"</f>
        <v>MESA METALICA AUXILIAR</v>
      </c>
      <c r="C7291" s="6">
        <v>21466.67</v>
      </c>
      <c r="D7291" s="5"/>
      <c r="E7291" s="5" t="str">
        <f t="shared" si="346"/>
        <v>URGENCIAS ADULTO-Jenny Peña</v>
      </c>
      <c r="F7291" s="5" t="str">
        <f>"Descripcion: MESA AUXILIAR METALICA Estado: Bueno Placa anterior: 000022469 Material: METALICO Color: GRIS Referencia:  Observacion: TIENEN OXIDO EN LOS RODACHINES Placa padre: Tipo adquisicion: Entidad"</f>
        <v>Descripcion: MESA AUXILIAR METALICA Estado: Bueno Placa anterior: 000022469 Material: METALICO Color: GRIS Referencia:  Observacion: TIENEN OXIDO EN LOS RODACHINES Placa padre: Tipo adquisicion: Entidad</v>
      </c>
      <c r="G7291" s="5"/>
    </row>
    <row r="7292" spans="1:7" ht="58.5" customHeight="1" x14ac:dyDescent="0.25">
      <c r="A7292" s="5" t="str">
        <f>"H0007379"</f>
        <v>H0007379</v>
      </c>
      <c r="B7292" s="5" t="str">
        <f>"CAMILLA DE TRASLADO DE 2 PLANOS"</f>
        <v>CAMILLA DE TRASLADO DE 2 PLANOS</v>
      </c>
      <c r="C7292" s="6">
        <v>1780000</v>
      </c>
      <c r="D7292" s="5" t="s">
        <v>63</v>
      </c>
      <c r="E7292" s="5" t="str">
        <f t="shared" si="346"/>
        <v>URGENCIAS ADULTO-Jenny Peña</v>
      </c>
      <c r="F7292" s="5" t="str">
        <f>"Descripcion: CAMILLA MECANICA DOS PLANOS Estado: Bueno Placa anterior: 000037765 Material: METALICO Color: BEIGE Referencia:  Observacion:  Placa padre: Tipo adquisicion: Entidad"</f>
        <v>Descripcion: CAMILLA MECANICA DOS PLANOS Estado: Bueno Placa anterior: 000037765 Material: METALICO Color: BEIGE Referencia:  Observacion:  Placa padre: Tipo adquisicion: Entidad</v>
      </c>
      <c r="G7292" s="5"/>
    </row>
    <row r="7293" spans="1:7" ht="58.5" customHeight="1" x14ac:dyDescent="0.25">
      <c r="A7293" s="5" t="str">
        <f>"H0007380"</f>
        <v>H0007380</v>
      </c>
      <c r="B7293" s="5" t="str">
        <f>"RELOJ DE PARED"</f>
        <v>RELOJ DE PARED</v>
      </c>
      <c r="C7293" s="6">
        <v>8190</v>
      </c>
      <c r="D7293" s="5"/>
      <c r="E7293" s="5" t="str">
        <f t="shared" si="346"/>
        <v>URGENCIAS ADULTO-Jenny Peña</v>
      </c>
      <c r="F7293" s="5" t="str">
        <f>"Descripcion: RELOJ DE PARED Estado: Bueno Placa anterior: 000019618 Material: PLASTICO Color: GRIS Referencia:  Observacion:  Placa padre: Tipo adquisicion: Donacion"</f>
        <v>Descripcion: RELOJ DE PARED Estado: Bueno Placa anterior: 000019618 Material: PLASTICO Color: GRIS Referencia:  Observacion:  Placa padre: Tipo adquisicion: Donacion</v>
      </c>
      <c r="G7293" s="5"/>
    </row>
    <row r="7294" spans="1:7" ht="58.5" customHeight="1" x14ac:dyDescent="0.25">
      <c r="A7294" s="5" t="str">
        <f>"H0007381"</f>
        <v>H0007381</v>
      </c>
      <c r="B7294" s="5" t="str">
        <f>"CAMILLA DE TRASLADO DE 2 PLANOS"</f>
        <v>CAMILLA DE TRASLADO DE 2 PLANOS</v>
      </c>
      <c r="C7294" s="6">
        <v>1780000</v>
      </c>
      <c r="D7294" s="5" t="s">
        <v>63</v>
      </c>
      <c r="E7294" s="5" t="str">
        <f t="shared" si="346"/>
        <v>URGENCIAS ADULTO-Jenny Peña</v>
      </c>
      <c r="F7294" s="5" t="str">
        <f>"Descripcion: CAMILLA MECANICA DOS PLANOS Estado: Bueno Placa anterior: 000037772 Material: METALICO Color: BEIGE Referencia:  Observacion:  Placa padre: Tipo adquisicion: Entidad"</f>
        <v>Descripcion: CAMILLA MECANICA DOS PLANOS Estado: Bueno Placa anterior: 000037772 Material: METALICO Color: BEIGE Referencia:  Observacion:  Placa padre: Tipo adquisicion: Entidad</v>
      </c>
      <c r="G7294" s="5"/>
    </row>
    <row r="7295" spans="1:7" ht="58.5" customHeight="1" x14ac:dyDescent="0.25">
      <c r="A7295" s="5" t="str">
        <f>"H0007465"</f>
        <v>H0007465</v>
      </c>
      <c r="B7295" s="5" t="str">
        <f>"ATRIL PORTASUERO MOVIL"</f>
        <v>ATRIL PORTASUERO MOVIL</v>
      </c>
      <c r="C7295" s="6">
        <v>145000</v>
      </c>
      <c r="D7295" s="5" t="s">
        <v>166</v>
      </c>
      <c r="E7295" s="5" t="str">
        <f t="shared" si="346"/>
        <v>URGENCIAS ADULTO-Jenny Peña</v>
      </c>
      <c r="F7295" s="5" t="str">
        <f>"Descripcion: ATRIL. Aatril portasuero en pintura electrostatica, debe contar con sistema portasuero minimo para dos bolsas de 50ml con varilla graduable,con rodachines Estado: Bueno Placa anterior: 000031428 Material: METAL Color: BEIGE Referencia:  Obser"&amp; "vacion: BUEN ESTADO Placa padre: Tipo adquisicion: Entidad"</f>
        <v>Descripcion: ATRIL. Aatril portasuero en pintura electrostatica, debe contar con sistema portasuero minimo para dos bolsas de 50ml con varilla graduable,con rodachines Estado: Bueno Placa anterior: 000031428 Material: METAL Color: BEIGE Referencia:  Observacion: BUEN ESTADO Placa padre: Tipo adquisicion: Entidad</v>
      </c>
      <c r="G7295" s="5" t="str">
        <f>"121-01"</f>
        <v>121-01</v>
      </c>
    </row>
    <row r="7296" spans="1:7" ht="58.5" customHeight="1" x14ac:dyDescent="0.25">
      <c r="A7296" s="5" t="str">
        <f>"H0007466"</f>
        <v>H0007466</v>
      </c>
      <c r="B7296" s="5" t="str">
        <f>"PARLANTE (BAFLE)"</f>
        <v>PARLANTE (BAFLE)</v>
      </c>
      <c r="C7296" s="6">
        <v>7000</v>
      </c>
      <c r="D7296" s="5"/>
      <c r="E7296" s="5" t="str">
        <f t="shared" si="346"/>
        <v>URGENCIAS ADULTO-Jenny Peña</v>
      </c>
      <c r="F7296" s="5" t="str">
        <f>"Descripcion: BAFLE DE MADERA Estado: Regular Placa anterior: 000019912 Material: MADERA Color: MARRON Referencia:  Observacion: REGULAR ESTADO SE ENCUENTRA Placa padre: Tipo adquisicion: Entidad"</f>
        <v>Descripcion: BAFLE DE MADERA Estado: Regular Placa anterior: 000019912 Material: MADERA Color: MARRON Referencia:  Observacion: REGULAR ESTADO SE ENCUENTRA Placa padre: Tipo adquisicion: Entidad</v>
      </c>
      <c r="G7296" s="5"/>
    </row>
    <row r="7297" spans="1:7" ht="58.5" customHeight="1" x14ac:dyDescent="0.25">
      <c r="A7297" s="5" t="str">
        <f>"H0007467"</f>
        <v>H0007467</v>
      </c>
      <c r="B7297" s="5" t="str">
        <f>"CAMILLA DE TRASLADO CON BARANDAS"</f>
        <v>CAMILLA DE TRASLADO CON BARANDAS</v>
      </c>
      <c r="C7297" s="6">
        <v>52800</v>
      </c>
      <c r="D7297" s="5"/>
      <c r="E7297" s="5" t="str">
        <f t="shared" si="346"/>
        <v>URGENCIAS ADULTO-Jenny Peña</v>
      </c>
      <c r="F7297" s="5" t="str">
        <f>"Descripcion: CAMILLA DE TRASLADO CON BARANDAS  Estado: Bueno Placa anterior: 000027325 Material: METALICA Color: BEIGE Referencia:  Observacion: BUEN ESTADO Placa padre: Tipo adquisicion: Entidad"</f>
        <v>Descripcion: CAMILLA DE TRASLADO CON BARANDAS  Estado: Bueno Placa anterior: 000027325 Material: METALICA Color: BEIGE Referencia:  Observacion: BUEN ESTADO Placa padre: Tipo adquisicion: Entidad</v>
      </c>
      <c r="G7297" s="5"/>
    </row>
    <row r="7298" spans="1:7" ht="58.5" customHeight="1" x14ac:dyDescent="0.25">
      <c r="A7298" s="5" t="str">
        <f>"H0007468"</f>
        <v>H0007468</v>
      </c>
      <c r="B7298" s="5" t="str">
        <f>"CAMILLA DE TRASLADO CON BARANDAS"</f>
        <v>CAMILLA DE TRASLADO CON BARANDAS</v>
      </c>
      <c r="C7298" s="6">
        <v>1780000</v>
      </c>
      <c r="D7298" s="5" t="s">
        <v>63</v>
      </c>
      <c r="E7298" s="5" t="str">
        <f t="shared" si="346"/>
        <v>URGENCIAS ADULTO-Jenny Peña</v>
      </c>
      <c r="F7298" s="5" t="str">
        <f>"Descripcion: CAMILLA DE TRASLADO CON BARANDAS Estado: Bueno Placa anterior: 000037778 Material: METALICA Color: BEIGE Referencia:  Observacion: BUEN ESTADO Placa padre: Tipo adquisicion: Entidad"</f>
        <v>Descripcion: CAMILLA DE TRASLADO CON BARANDAS Estado: Bueno Placa anterior: 000037778 Material: METALICA Color: BEIGE Referencia:  Observacion: BUEN ESTADO Placa padre: Tipo adquisicion: Entidad</v>
      </c>
      <c r="G7298" s="5"/>
    </row>
    <row r="7299" spans="1:7" ht="58.5" customHeight="1" x14ac:dyDescent="0.25">
      <c r="A7299" s="5" t="str">
        <f>"H0007469"</f>
        <v>H0007469</v>
      </c>
      <c r="B7299" s="5" t="str">
        <f>"CAMILLA DE TRASLADO DE 2 PLANOS"</f>
        <v>CAMILLA DE TRASLADO DE 2 PLANOS</v>
      </c>
      <c r="C7299" s="6">
        <v>1780000</v>
      </c>
      <c r="D7299" s="5" t="s">
        <v>63</v>
      </c>
      <c r="E7299" s="5" t="str">
        <f t="shared" si="346"/>
        <v>URGENCIAS ADULTO-Jenny Peña</v>
      </c>
      <c r="F7299" s="5" t="str">
        <f>"Descripcion: CAMILLA MECANICA DOS PLANOS Estado: Bueno Placa anterior: 000037759 Material: METALICA Color: BEIGE Referencia:  Observacion: BUEN ESTADO Placa padre: Tipo adquisicion: Entidad"</f>
        <v>Descripcion: CAMILLA MECANICA DOS PLANOS Estado: Bueno Placa anterior: 000037759 Material: METALICA Color: BEIGE Referencia:  Observacion: BUEN ESTADO Placa padre: Tipo adquisicion: Entidad</v>
      </c>
      <c r="G7299" s="5"/>
    </row>
    <row r="7300" spans="1:7" ht="58.5" customHeight="1" x14ac:dyDescent="0.25">
      <c r="A7300" s="5" t="str">
        <f>"H0007470"</f>
        <v>H0007470</v>
      </c>
      <c r="B7300" s="5" t="str">
        <f>"CAMILLA DE TRASLADO CON BARANDAS"</f>
        <v>CAMILLA DE TRASLADO CON BARANDAS</v>
      </c>
      <c r="C7300" s="6">
        <v>1845000</v>
      </c>
      <c r="D7300" s="5" t="s">
        <v>447</v>
      </c>
      <c r="E7300" s="5" t="str">
        <f t="shared" si="346"/>
        <v>URGENCIAS ADULTO-Jenny Peña</v>
      </c>
      <c r="F7300" s="5" t="str">
        <f>"Descripcion: CAMILLA DE TRASLADO CON BARANDAS  Estado: Bueno Placa anterior: 000029037 Material: METALICA  Color: BEIGE Referencia:  Observacion: BUEN ESTADO Placa padre: Tipo adquisicion: Entidad"</f>
        <v>Descripcion: CAMILLA DE TRASLADO CON BARANDAS  Estado: Bueno Placa anterior: 000029037 Material: METALICA  Color: BEIGE Referencia:  Observacion: BUEN ESTADO Placa padre: Tipo adquisicion: Entidad</v>
      </c>
      <c r="G7300" s="5"/>
    </row>
    <row r="7301" spans="1:7" ht="58.5" customHeight="1" x14ac:dyDescent="0.25">
      <c r="A7301" s="5" t="str">
        <f>"H0007474"</f>
        <v>H0007474</v>
      </c>
      <c r="B7301" s="5" t="str">
        <f>"CARRO PARA TRANSPORTE BALA DE OXIGENO"</f>
        <v>CARRO PARA TRANSPORTE BALA DE OXIGENO</v>
      </c>
      <c r="C7301" s="6">
        <v>266800</v>
      </c>
      <c r="D7301" s="5" t="s">
        <v>166</v>
      </c>
      <c r="E7301" s="5" t="str">
        <f t="shared" si="346"/>
        <v>URGENCIAS ADULTO-Jenny Peña</v>
      </c>
      <c r="F7301" s="5" t="str">
        <f>"Descripcion: CARRO DE TRANSPORTE GRANDE PARA BLA DE OXIGENO. Crro de transporte para bala de oxigeno de 6.5 mts.wlaborado con pintura electrostatica y que cuenta con sistema para sujetar Estado: Bueno Placa anterior: 000031507 Material: ACERO Color: PLATE"&amp; "ADO Referencia:  Observacion: BUEN ESATDO Placa padre: Tipo adquisicion: Entidad"</f>
        <v>Descripcion: CARRO DE TRANSPORTE GRANDE PARA BLA DE OXIGENO. Crro de transporte para bala de oxigeno de 6.5 mts.wlaborado con pintura electrostatica y que cuenta con sistema para sujetar Estado: Bueno Placa anterior: 000031507 Material: ACERO Color: PLATEADO Referencia:  Observacion: BUEN ESATDO Placa padre: Tipo adquisicion: Entidad</v>
      </c>
      <c r="G7301" s="5" t="str">
        <f>"121-02"</f>
        <v>121-02</v>
      </c>
    </row>
    <row r="7302" spans="1:7" ht="58.5" customHeight="1" x14ac:dyDescent="0.25">
      <c r="A7302" s="5" t="str">
        <f>"H0007476"</f>
        <v>H0007476</v>
      </c>
      <c r="B7302" s="5" t="str">
        <f t="shared" ref="B7302:B7309" si="347">"TABLA DE ALUMINIO HISTORIAS CLINICAS (PORTAHISTORIAS)"</f>
        <v>TABLA DE ALUMINIO HISTORIAS CLINICAS (PORTAHISTORIAS)</v>
      </c>
      <c r="C7302" s="6">
        <v>24746.639999999999</v>
      </c>
      <c r="D7302" s="5"/>
      <c r="E7302" s="5" t="str">
        <f t="shared" si="346"/>
        <v>URGENCIAS ADULTO-Jenny Peña</v>
      </c>
      <c r="F7302" s="5" t="str">
        <f>"Descripcion: PORTAHISTORIA CLINICA Estado: Bueno Placa anterior: 000019853 Material: ACERO Color: PLATEADO  Referencia:  Observacion: BUEN ESTADO Placa padre: Tipo adquisicion: Entidad"</f>
        <v>Descripcion: PORTAHISTORIA CLINICA Estado: Bueno Placa anterior: 000019853 Material: ACERO Color: PLATEADO  Referencia:  Observacion: BUEN ESTADO Placa padre: Tipo adquisicion: Entidad</v>
      </c>
      <c r="G7302" s="5"/>
    </row>
    <row r="7303" spans="1:7" ht="58.5" customHeight="1" x14ac:dyDescent="0.25">
      <c r="A7303" s="5" t="str">
        <f>"H0007477"</f>
        <v>H0007477</v>
      </c>
      <c r="B7303" s="5" t="str">
        <f t="shared" si="347"/>
        <v>TABLA DE ALUMINIO HISTORIAS CLINICAS (PORTAHISTORIAS)</v>
      </c>
      <c r="C7303" s="6">
        <v>24746.639999999999</v>
      </c>
      <c r="D7303" s="5"/>
      <c r="E7303" s="5" t="str">
        <f t="shared" si="346"/>
        <v>URGENCIAS ADULTO-Jenny Peña</v>
      </c>
      <c r="F7303" s="5" t="str">
        <f>"Descripcion: PORTAHISTORIA CLINICA Estado: Bueno Placa anterior: 000019854 Material: ALUMINIO  Color: PLATEADO Referencia:  Observacion: BUEN ESTADO Placa padre: Tipo adquisicion: Entidad"</f>
        <v>Descripcion: PORTAHISTORIA CLINICA Estado: Bueno Placa anterior: 000019854 Material: ALUMINIO  Color: PLATEADO Referencia:  Observacion: BUEN ESTADO Placa padre: Tipo adquisicion: Entidad</v>
      </c>
      <c r="G7303" s="5"/>
    </row>
    <row r="7304" spans="1:7" ht="58.5" customHeight="1" x14ac:dyDescent="0.25">
      <c r="A7304" s="5" t="str">
        <f>"H0007478"</f>
        <v>H0007478</v>
      </c>
      <c r="B7304" s="5" t="str">
        <f t="shared" si="347"/>
        <v>TABLA DE ALUMINIO HISTORIAS CLINICAS (PORTAHISTORIAS)</v>
      </c>
      <c r="C7304" s="6">
        <v>24746.639999999999</v>
      </c>
      <c r="D7304" s="5"/>
      <c r="E7304" s="5" t="str">
        <f t="shared" si="346"/>
        <v>URGENCIAS ADULTO-Jenny Peña</v>
      </c>
      <c r="F7304" s="5" t="str">
        <f>"Descripcion: PORTAHISTORIA CLINICA Estado: Bueno Placa anterior: 000019855 Material: ALUMINIO  Color: PLATEADO Referencia:  Observacion: BUEN ESTADO Placa padre: Tipo adquisicion: Entidad"</f>
        <v>Descripcion: PORTAHISTORIA CLINICA Estado: Bueno Placa anterior: 000019855 Material: ALUMINIO  Color: PLATEADO Referencia:  Observacion: BUEN ESTADO Placa padre: Tipo adquisicion: Entidad</v>
      </c>
      <c r="G7304" s="5"/>
    </row>
    <row r="7305" spans="1:7" ht="58.5" customHeight="1" x14ac:dyDescent="0.25">
      <c r="A7305" s="5" t="str">
        <f>"H0007479"</f>
        <v>H0007479</v>
      </c>
      <c r="B7305" s="5" t="str">
        <f t="shared" si="347"/>
        <v>TABLA DE ALUMINIO HISTORIAS CLINICAS (PORTAHISTORIAS)</v>
      </c>
      <c r="C7305" s="6">
        <v>24746.639999999999</v>
      </c>
      <c r="D7305" s="5"/>
      <c r="E7305" s="5" t="str">
        <f t="shared" si="346"/>
        <v>URGENCIAS ADULTO-Jenny Peña</v>
      </c>
      <c r="F7305" s="5" t="str">
        <f>"Descripcion: PORTAHISTORIA CLINICA Estado: Bueno Placa anterior: 000019856 Material: ALUMINIO  Color: PLATEADO Referencia:  Observacion: BUEN ESTADO Placa padre: Tipo adquisicion: Entidad"</f>
        <v>Descripcion: PORTAHISTORIA CLINICA Estado: Bueno Placa anterior: 000019856 Material: ALUMINIO  Color: PLATEADO Referencia:  Observacion: BUEN ESTADO Placa padre: Tipo adquisicion: Entidad</v>
      </c>
      <c r="G7305" s="5"/>
    </row>
    <row r="7306" spans="1:7" ht="58.5" customHeight="1" x14ac:dyDescent="0.25">
      <c r="A7306" s="5" t="str">
        <f>"H0007480"</f>
        <v>H0007480</v>
      </c>
      <c r="B7306" s="5" t="str">
        <f t="shared" si="347"/>
        <v>TABLA DE ALUMINIO HISTORIAS CLINICAS (PORTAHISTORIAS)</v>
      </c>
      <c r="C7306" s="6">
        <v>24746.639999999999</v>
      </c>
      <c r="D7306" s="5"/>
      <c r="E7306" s="5" t="str">
        <f t="shared" si="346"/>
        <v>URGENCIAS ADULTO-Jenny Peña</v>
      </c>
      <c r="F7306" s="5" t="str">
        <f>"Descripcion: PORTAHISTORIA CLINICA Estado: Bueno Placa anterior: 000019870 Material: ALUMINIO  Color: PLATEADO Referencia:  Observacion: BUEN ESTADO Placa padre: Tipo adquisicion: Entidad"</f>
        <v>Descripcion: PORTAHISTORIA CLINICA Estado: Bueno Placa anterior: 000019870 Material: ALUMINIO  Color: PLATEADO Referencia:  Observacion: BUEN ESTADO Placa padre: Tipo adquisicion: Entidad</v>
      </c>
      <c r="G7306" s="5"/>
    </row>
    <row r="7307" spans="1:7" ht="58.5" customHeight="1" x14ac:dyDescent="0.25">
      <c r="A7307" s="5" t="str">
        <f>"H0007481"</f>
        <v>H0007481</v>
      </c>
      <c r="B7307" s="5" t="str">
        <f t="shared" si="347"/>
        <v>TABLA DE ALUMINIO HISTORIAS CLINICAS (PORTAHISTORIAS)</v>
      </c>
      <c r="C7307" s="6">
        <v>24746.639999999999</v>
      </c>
      <c r="D7307" s="5"/>
      <c r="E7307" s="5" t="str">
        <f t="shared" si="346"/>
        <v>URGENCIAS ADULTO-Jenny Peña</v>
      </c>
      <c r="F7307" s="5" t="str">
        <f>"Descripcion: PORTAHISTORIA CLINICA Estado: Bueno Placa anterior: 000019871 Material: ALUMINIO  Color: PLATEADO Referencia:  Observacion: BUEN ESTADO Placa padre: Tipo adquisicion: Entidad"</f>
        <v>Descripcion: PORTAHISTORIA CLINICA Estado: Bueno Placa anterior: 000019871 Material: ALUMINIO  Color: PLATEADO Referencia:  Observacion: BUEN ESTADO Placa padre: Tipo adquisicion: Entidad</v>
      </c>
      <c r="G7307" s="5"/>
    </row>
    <row r="7308" spans="1:7" ht="58.5" customHeight="1" x14ac:dyDescent="0.25">
      <c r="A7308" s="5" t="str">
        <f>"H0007482"</f>
        <v>H0007482</v>
      </c>
      <c r="B7308" s="5" t="str">
        <f t="shared" si="347"/>
        <v>TABLA DE ALUMINIO HISTORIAS CLINICAS (PORTAHISTORIAS)</v>
      </c>
      <c r="C7308" s="6">
        <v>24746.639999999999</v>
      </c>
      <c r="D7308" s="5"/>
      <c r="E7308" s="5" t="str">
        <f t="shared" si="346"/>
        <v>URGENCIAS ADULTO-Jenny Peña</v>
      </c>
      <c r="F7308" s="5" t="str">
        <f>"Descripcion: PORTAHISTORIA CLINICA Estado: Bueno Placa anterior: 000021466 Material: ALUMINIO  Color: PLATEADO Referencia:  Observacion: BUEN ESTADO Placa padre: Tipo adquisicion: Entidad"</f>
        <v>Descripcion: PORTAHISTORIA CLINICA Estado: Bueno Placa anterior: 000021466 Material: ALUMINIO  Color: PLATEADO Referencia:  Observacion: BUEN ESTADO Placa padre: Tipo adquisicion: Entidad</v>
      </c>
      <c r="G7308" s="5"/>
    </row>
    <row r="7309" spans="1:7" ht="58.5" customHeight="1" x14ac:dyDescent="0.25">
      <c r="A7309" s="5" t="str">
        <f>"H0007483"</f>
        <v>H0007483</v>
      </c>
      <c r="B7309" s="5" t="str">
        <f t="shared" si="347"/>
        <v>TABLA DE ALUMINIO HISTORIAS CLINICAS (PORTAHISTORIAS)</v>
      </c>
      <c r="C7309" s="6">
        <v>24746.639999999999</v>
      </c>
      <c r="D7309" s="5"/>
      <c r="E7309" s="5" t="str">
        <f t="shared" si="346"/>
        <v>URGENCIAS ADULTO-Jenny Peña</v>
      </c>
      <c r="F7309" s="5" t="str">
        <f>"Descripcion: PORTAHISTORIA CLINICA Estado: Bueno Placa anterior: 000019821 Material: ALUMINIO  Color: PLATEADO Referencia:  Observacion: BUEN ESTADO Placa padre: Tipo adquisicion: Entidad"</f>
        <v>Descripcion: PORTAHISTORIA CLINICA Estado: Bueno Placa anterior: 000019821 Material: ALUMINIO  Color: PLATEADO Referencia:  Observacion: BUEN ESTADO Placa padre: Tipo adquisicion: Entidad</v>
      </c>
      <c r="G7309" s="5"/>
    </row>
    <row r="7310" spans="1:7" ht="58.5" customHeight="1" x14ac:dyDescent="0.25">
      <c r="A7310" s="5" t="str">
        <f>"H0007727"</f>
        <v>H0007727</v>
      </c>
      <c r="B7310" s="5" t="str">
        <f>"CAMA HOSPITALARIA 4 PLANOS CON BARANDA"</f>
        <v>CAMA HOSPITALARIA 4 PLANOS CON BARANDA</v>
      </c>
      <c r="C7310" s="6">
        <v>31017.14</v>
      </c>
      <c r="D7310" s="5"/>
      <c r="E7310" s="5" t="str">
        <f t="shared" si="346"/>
        <v>URGENCIAS ADULTO-Jenny Peña</v>
      </c>
      <c r="F7310" s="5" t="str">
        <f>"Descripcion: COLCHONPASTA Estado: Bueno Placa anterior: 000028621 Material: METALICO Color: BEIGE Referencia: 13445 Observacion:  Placa padre: Tipo adquisicion: Entidad"</f>
        <v>Descripcion: COLCHONPASTA Estado: Bueno Placa anterior: 000028621 Material: METALICO Color: BEIGE Referencia: 13445 Observacion:  Placa padre: Tipo adquisicion: Entidad</v>
      </c>
      <c r="G7310" s="5" t="str">
        <f>"968"</f>
        <v>968</v>
      </c>
    </row>
    <row r="7311" spans="1:7" ht="58.5" customHeight="1" x14ac:dyDescent="0.25">
      <c r="A7311" s="5" t="str">
        <f>"H0007875"</f>
        <v>H0007875</v>
      </c>
      <c r="B7311" s="5" t="str">
        <f>"CAMILLA DE TRASLADO DE 2 PLANOS"</f>
        <v>CAMILLA DE TRASLADO DE 2 PLANOS</v>
      </c>
      <c r="C7311" s="6">
        <v>1780000</v>
      </c>
      <c r="D7311" s="5" t="s">
        <v>63</v>
      </c>
      <c r="E7311" s="5" t="str">
        <f t="shared" si="346"/>
        <v>URGENCIAS ADULTO-Jenny Peña</v>
      </c>
      <c r="F7311" s="5" t="str">
        <f>"Descripcion: CAMILLA MECANICA DOS PLANOS Estado: Bueno Placa anterior: 000037777 Material: METAL Color: BEIGE Referencia:  Observacion:  Placa padre: Tipo adquisicion: Entidad"</f>
        <v>Descripcion: CAMILLA MECANICA DOS PLANOS Estado: Bueno Placa anterior: 000037777 Material: METAL Color: BEIGE Referencia:  Observacion:  Placa padre: Tipo adquisicion: Entidad</v>
      </c>
      <c r="G7311" s="5"/>
    </row>
    <row r="7312" spans="1:7" ht="58.5" customHeight="1" x14ac:dyDescent="0.25">
      <c r="A7312" s="5" t="str">
        <f>"H0007876"</f>
        <v>H0007876</v>
      </c>
      <c r="B7312" s="5" t="str">
        <f>"SILLA DE RUEDAS"</f>
        <v>SILLA DE RUEDAS</v>
      </c>
      <c r="C7312" s="6">
        <v>650000</v>
      </c>
      <c r="D7312" s="5"/>
      <c r="E7312" s="5" t="str">
        <f t="shared" si="346"/>
        <v>URGENCIAS ADULTO-Jenny Peña</v>
      </c>
      <c r="F7312" s="5" t="str">
        <f>"Descripcion: SILLA DE RUEDA ADULTO ESTANDAR CON BRAZOS Y DESCANSAPIES DESMONTABLES CON MARCO PLEGABLE CALIBRE 18 DE 7/8 Estado: Inservible Placa anterior: 000026218 Material: METAL Color: VERDE Referencia:  Observacion:  Placa padre: Tipo adquisicion: Ent"&amp; "idad"</f>
        <v>Descripcion: SILLA DE RUEDA ADULTO ESTANDAR CON BRAZOS Y DESCANSAPIES DESMONTABLES CON MARCO PLEGABLE CALIBRE 18 DE 7/8 Estado: Inservible Placa anterior: 000026218 Material: METAL Color: VERDE Referencia:  Observacion:  Placa padre: Tipo adquisicion: Entidad</v>
      </c>
      <c r="G7312" s="5"/>
    </row>
    <row r="7313" spans="1:7" ht="58.5" customHeight="1" x14ac:dyDescent="0.25">
      <c r="A7313" s="5" t="str">
        <f>"H0007879"</f>
        <v>H0007879</v>
      </c>
      <c r="B7313" s="5" t="str">
        <f>"CAMILLA DE TRASLADO DE 2 PLANOS"</f>
        <v>CAMILLA DE TRASLADO DE 2 PLANOS</v>
      </c>
      <c r="C7313" s="6">
        <v>1500000</v>
      </c>
      <c r="D7313" s="5"/>
      <c r="E7313" s="5" t="str">
        <f t="shared" si="346"/>
        <v>URGENCIAS ADULTO-Jenny Peña</v>
      </c>
      <c r="F7313" s="5" t="str">
        <f>"Descripcion: CAMILLA MECANICA DOS PLANOS Estado: Regular Placa anterior: 000032904 Material: METAL Color: BEIGE Referencia:  Observacion:  Placa padre: Tipo adquisicion: Entidad"</f>
        <v>Descripcion: CAMILLA MECANICA DOS PLANOS Estado: Regular Placa anterior: 000032904 Material: METAL Color: BEIGE Referencia:  Observacion:  Placa padre: Tipo adquisicion: Entidad</v>
      </c>
      <c r="G7313" s="5"/>
    </row>
    <row r="7314" spans="1:7" ht="58.5" customHeight="1" x14ac:dyDescent="0.25">
      <c r="A7314" s="5" t="str">
        <f>"H0008106"</f>
        <v>H0008106</v>
      </c>
      <c r="B7314" s="5" t="str">
        <f t="shared" ref="B7314:B7322" si="348">"ESCALERILLA DE 2 PASOS"</f>
        <v>ESCALERILLA DE 2 PASOS</v>
      </c>
      <c r="C7314" s="6">
        <v>100000</v>
      </c>
      <c r="D7314" s="5" t="s">
        <v>49</v>
      </c>
      <c r="E7314" s="5" t="str">
        <f t="shared" si="346"/>
        <v>URGENCIAS ADULTO-Jenny Peña</v>
      </c>
      <c r="F7314" s="5" t="str">
        <f>"Descripcion: ESCALERILLA DE DOS PASO EN TUBO REDONDO Estado: Bueno Placa anterior: 000029938 Material: METALICO CON PASOS EN MADERA Color: BLANCO Referencia:  Observacion:  Placa padre: Tipo adquisicion: Entidad"</f>
        <v>Descripcion: ESCALERILLA DE DOS PASO EN TUBO REDONDO Estado: Bueno Placa anterior: 000029938 Material: METALICO CON PASOS EN MADERA Color: BLANCO Referencia:  Observacion:  Placa padre: Tipo adquisicion: Entidad</v>
      </c>
      <c r="G7314" s="5"/>
    </row>
    <row r="7315" spans="1:7" ht="58.5" customHeight="1" x14ac:dyDescent="0.25">
      <c r="A7315" s="5" t="str">
        <f>"H0008114"</f>
        <v>H0008114</v>
      </c>
      <c r="B7315" s="5" t="str">
        <f t="shared" si="348"/>
        <v>ESCALERILLA DE 2 PASOS</v>
      </c>
      <c r="C7315" s="6">
        <v>100000</v>
      </c>
      <c r="D7315" s="5" t="s">
        <v>49</v>
      </c>
      <c r="E7315" s="5" t="str">
        <f t="shared" si="346"/>
        <v>URGENCIAS ADULTO-Jenny Peña</v>
      </c>
      <c r="F7315" s="5" t="str">
        <f>"Descripcion: ESCALERILLA DE DOS PASO EN TUBO REDONDO Estado: Bueno Placa anterior: 000029937 Material: METALICO CON PASOS EN MADERA Color: BLANCO Referencia:  Observacion:  Placa padre: Tipo adquisicion: Entidad"</f>
        <v>Descripcion: ESCALERILLA DE DOS PASO EN TUBO REDONDO Estado: Bueno Placa anterior: 000029937 Material: METALICO CON PASOS EN MADERA Color: BLANCO Referencia:  Observacion:  Placa padre: Tipo adquisicion: Entidad</v>
      </c>
      <c r="G7315" s="5"/>
    </row>
    <row r="7316" spans="1:7" ht="58.5" customHeight="1" x14ac:dyDescent="0.25">
      <c r="A7316" s="5" t="str">
        <f>"H0008130"</f>
        <v>H0008130</v>
      </c>
      <c r="B7316" s="5" t="str">
        <f t="shared" si="348"/>
        <v>ESCALERILLA DE 2 PASOS</v>
      </c>
      <c r="C7316" s="6">
        <v>100000</v>
      </c>
      <c r="D7316" s="5" t="s">
        <v>49</v>
      </c>
      <c r="E7316" s="5" t="str">
        <f t="shared" si="346"/>
        <v>URGENCIAS ADULTO-Jenny Peña</v>
      </c>
      <c r="F7316" s="5" t="str">
        <f>"Descripcion: ESCALERILLA DE DOS PASO EN TUBO REDONDO Estado: Bueno Placa anterior: 000029939 Material: METALICO CON PASOS EN MADERA Color: BLANCA Referencia:  Observacion:  Placa padre: Tipo adquisicion: Entidad"</f>
        <v>Descripcion: ESCALERILLA DE DOS PASO EN TUBO REDONDO Estado: Bueno Placa anterior: 000029939 Material: METALICO CON PASOS EN MADERA Color: BLANCA Referencia:  Observacion:  Placa padre: Tipo adquisicion: Entidad</v>
      </c>
      <c r="G7316" s="5"/>
    </row>
    <row r="7317" spans="1:7" ht="58.5" customHeight="1" x14ac:dyDescent="0.25">
      <c r="A7317" s="5" t="str">
        <f>"H0008144"</f>
        <v>H0008144</v>
      </c>
      <c r="B7317" s="5" t="str">
        <f t="shared" si="348"/>
        <v>ESCALERILLA DE 2 PASOS</v>
      </c>
      <c r="C7317" s="6">
        <v>100000</v>
      </c>
      <c r="D7317" s="5" t="s">
        <v>49</v>
      </c>
      <c r="E7317" s="5" t="str">
        <f t="shared" si="346"/>
        <v>URGENCIAS ADULTO-Jenny Peña</v>
      </c>
      <c r="F7317" s="5" t="str">
        <f>"Descripcion: ESCALERILLA DE DOS PASOS EN TUBO REDONDO Estado: Bueno Placa anterior: 000029936 Material: METALICO CON PASOS EN MADERA Color: BLANCO Referencia:  Observacion:  Placa padre: Tipo adquisicion: Entidad"</f>
        <v>Descripcion: ESCALERILLA DE DOS PASOS EN TUBO REDONDO Estado: Bueno Placa anterior: 000029936 Material: METALICO CON PASOS EN MADERA Color: BLANCO Referencia:  Observacion:  Placa padre: Tipo adquisicion: Entidad</v>
      </c>
      <c r="G7317" s="5"/>
    </row>
    <row r="7318" spans="1:7" ht="58.5" customHeight="1" x14ac:dyDescent="0.25">
      <c r="A7318" s="5" t="str">
        <f>"H0008164"</f>
        <v>H0008164</v>
      </c>
      <c r="B7318" s="5" t="str">
        <f t="shared" si="348"/>
        <v>ESCALERILLA DE 2 PASOS</v>
      </c>
      <c r="C7318" s="6">
        <v>100000</v>
      </c>
      <c r="D7318" s="5" t="s">
        <v>49</v>
      </c>
      <c r="E7318" s="5" t="str">
        <f t="shared" si="346"/>
        <v>URGENCIAS ADULTO-Jenny Peña</v>
      </c>
      <c r="F7318" s="5" t="str">
        <f>"Descripcion: ESCALERILLA DE DOS PASOS EN TUBO REDONDO Estado: Bueno Placa anterior: 000029941 Material: METALICO CON PASOS EN MADERA Color: BLANCO Referencia:  Observacion:  Placa padre: Tipo adquisicion: Entidad"</f>
        <v>Descripcion: ESCALERILLA DE DOS PASOS EN TUBO REDONDO Estado: Bueno Placa anterior: 000029941 Material: METALICO CON PASOS EN MADERA Color: BLANCO Referencia:  Observacion:  Placa padre: Tipo adquisicion: Entidad</v>
      </c>
      <c r="G7318" s="5"/>
    </row>
    <row r="7319" spans="1:7" ht="58.5" customHeight="1" x14ac:dyDescent="0.25">
      <c r="A7319" s="5" t="str">
        <f>"H0008202"</f>
        <v>H0008202</v>
      </c>
      <c r="B7319" s="5" t="str">
        <f t="shared" si="348"/>
        <v>ESCALERILLA DE 2 PASOS</v>
      </c>
      <c r="C7319" s="6">
        <v>100000</v>
      </c>
      <c r="D7319" s="5" t="s">
        <v>49</v>
      </c>
      <c r="E7319" s="5" t="str">
        <f t="shared" si="346"/>
        <v>URGENCIAS ADULTO-Jenny Peña</v>
      </c>
      <c r="F7319" s="5" t="str">
        <f>"Descripcion: ESCALERILLA DE DOS PASOS EN TUBO REDONDO Estado: Bueno Placa anterior: 000029942 Material: METALICO CON PASOS EN MADERA Color: BLANCO Referencia:  Observacion:  Placa padre: Tipo adquisicion: Entidad"</f>
        <v>Descripcion: ESCALERILLA DE DOS PASOS EN TUBO REDONDO Estado: Bueno Placa anterior: 000029942 Material: METALICO CON PASOS EN MADERA Color: BLANCO Referencia:  Observacion:  Placa padre: Tipo adquisicion: Entidad</v>
      </c>
      <c r="G7319" s="5"/>
    </row>
    <row r="7320" spans="1:7" ht="58.5" customHeight="1" x14ac:dyDescent="0.25">
      <c r="A7320" s="5" t="str">
        <f>"H0008207"</f>
        <v>H0008207</v>
      </c>
      <c r="B7320" s="5" t="str">
        <f t="shared" si="348"/>
        <v>ESCALERILLA DE 2 PASOS</v>
      </c>
      <c r="C7320" s="6">
        <v>100000</v>
      </c>
      <c r="D7320" s="5" t="s">
        <v>49</v>
      </c>
      <c r="E7320" s="5" t="str">
        <f t="shared" si="346"/>
        <v>URGENCIAS ADULTO-Jenny Peña</v>
      </c>
      <c r="F7320" s="5" t="str">
        <f>"Descripcion: ESCALERILLA DE DOS PASOS EN TUBO REDONDO Estado: Bueno Placa anterior: 000029934 Material: METALICO CON PASOS EN MADERA Color: BLANCO Referencia:  Observacion:  Placa padre: Tipo adquisicion: Entidad"</f>
        <v>Descripcion: ESCALERILLA DE DOS PASOS EN TUBO REDONDO Estado: Bueno Placa anterior: 000029934 Material: METALICO CON PASOS EN MADERA Color: BLANCO Referencia:  Observacion:  Placa padre: Tipo adquisicion: Entidad</v>
      </c>
      <c r="G7320" s="5"/>
    </row>
    <row r="7321" spans="1:7" ht="58.5" customHeight="1" x14ac:dyDescent="0.25">
      <c r="A7321" s="5" t="str">
        <f>"H0008213"</f>
        <v>H0008213</v>
      </c>
      <c r="B7321" s="5" t="str">
        <f t="shared" si="348"/>
        <v>ESCALERILLA DE 2 PASOS</v>
      </c>
      <c r="C7321" s="6">
        <v>100000</v>
      </c>
      <c r="D7321" s="5" t="s">
        <v>49</v>
      </c>
      <c r="E7321" s="5" t="str">
        <f t="shared" si="346"/>
        <v>URGENCIAS ADULTO-Jenny Peña</v>
      </c>
      <c r="F7321" s="5" t="str">
        <f>"Descripcion: ESCALERILLA DE DOS PASOS EN TUBO REDONDO Estado: Bueno Placa anterior: 000029935 Material: METALICO CON PASOS EN MADERA Color: BLANCO Referencia:  Observacion:  Placa padre: Tipo adquisicion: Entidad"</f>
        <v>Descripcion: ESCALERILLA DE DOS PASOS EN TUBO REDONDO Estado: Bueno Placa anterior: 000029935 Material: METALICO CON PASOS EN MADERA Color: BLANCO Referencia:  Observacion:  Placa padre: Tipo adquisicion: Entidad</v>
      </c>
      <c r="G7321" s="5"/>
    </row>
    <row r="7322" spans="1:7" ht="58.5" customHeight="1" x14ac:dyDescent="0.25">
      <c r="A7322" s="5" t="str">
        <f>"H0008234"</f>
        <v>H0008234</v>
      </c>
      <c r="B7322" s="5" t="str">
        <f t="shared" si="348"/>
        <v>ESCALERILLA DE 2 PASOS</v>
      </c>
      <c r="C7322" s="6">
        <v>100000</v>
      </c>
      <c r="D7322" s="5" t="s">
        <v>49</v>
      </c>
      <c r="E7322" s="5" t="str">
        <f t="shared" si="346"/>
        <v>URGENCIAS ADULTO-Jenny Peña</v>
      </c>
      <c r="F7322" s="5" t="str">
        <f>"Descripcion: ESCALERILLA DE DOS PASOS EN TUBO REDONDO Estado: Bueno Placa anterior: 000029933 Material: METALICO CON PASOS EN MADERA Color: BLANCO Referencia:  Observacion:  Placa padre: Tipo adquisicion: Entidad"</f>
        <v>Descripcion: ESCALERILLA DE DOS PASOS EN TUBO REDONDO Estado: Bueno Placa anterior: 000029933 Material: METALICO CON PASOS EN MADERA Color: BLANCO Referencia:  Observacion:  Placa padre: Tipo adquisicion: Entidad</v>
      </c>
      <c r="G7322" s="5"/>
    </row>
    <row r="7323" spans="1:7" ht="58.5" customHeight="1" x14ac:dyDescent="0.25">
      <c r="A7323" s="5" t="str">
        <f>"H0008374"</f>
        <v>H0008374</v>
      </c>
      <c r="B7323" s="5" t="str">
        <f>"TENSIOMETRO ANEROIDE DE PARED ADULTO"</f>
        <v>TENSIOMETRO ANEROIDE DE PARED ADULTO</v>
      </c>
      <c r="C7323" s="6">
        <v>650000</v>
      </c>
      <c r="D7323" s="5"/>
      <c r="E7323" s="5" t="str">
        <f t="shared" si="346"/>
        <v>URGENCIAS ADULTO-Jenny Peña</v>
      </c>
      <c r="F7323" s="5" t="str">
        <f>"Descripcion: TENSIOMETRO DE PARED Estado: Bueno Placa anterior: 000033320 Material: PLASTIO Color: AZUL Referencia:  Observacion: AUTORIZADO CONCILIAR EN CRUCE GENERAL Placa padre: Tipo adquisicion: Entidad"</f>
        <v>Descripcion: TENSIOMETRO DE PARED Estado: Bueno Placa anterior: 000033320 Material: PLASTIO Color: AZUL Referencia:  Observacion: AUTORIZADO CONCILIAR EN CRUCE GENERAL Placa padre: Tipo adquisicion: Entidad</v>
      </c>
      <c r="G7323" s="5"/>
    </row>
    <row r="7324" spans="1:7" ht="58.5" customHeight="1" x14ac:dyDescent="0.25">
      <c r="A7324" s="5" t="str">
        <f>"H0008376"</f>
        <v>H0008376</v>
      </c>
      <c r="B7324" s="5" t="str">
        <f>"NEGATOSCOPIO"</f>
        <v>NEGATOSCOPIO</v>
      </c>
      <c r="C7324" s="6">
        <v>700000</v>
      </c>
      <c r="D7324" s="5"/>
      <c r="E7324" s="5" t="str">
        <f t="shared" si="346"/>
        <v>URGENCIAS ADULTO-Jenny Peña</v>
      </c>
      <c r="F7324" s="5" t="str">
        <f>"Descripcion: NEGATOSCOPIO DOBLE EN LAMINA GALVANIZADA Estado: Bueno Placa anterior: 000033312 Material: METALICO  Color: BLANCO Referencia:  Observacion:  Placa padre: Tipo adquisicion: Entidad"</f>
        <v>Descripcion: NEGATOSCOPIO DOBLE EN LAMINA GALVANIZADA Estado: Bueno Placa anterior: 000033312 Material: METALICO  Color: BLANCO Referencia:  Observacion:  Placa padre: Tipo adquisicion: Entidad</v>
      </c>
      <c r="G7324" s="5" t="str">
        <f>"2 CUERPOS"</f>
        <v>2 CUERPOS</v>
      </c>
    </row>
    <row r="7325" spans="1:7" ht="58.5" customHeight="1" x14ac:dyDescent="0.25">
      <c r="A7325" s="5" t="str">
        <f>"H0008377"</f>
        <v>H0008377</v>
      </c>
      <c r="B7325" s="5" t="str">
        <f>"BALA OXIGENO"</f>
        <v>BALA OXIGENO</v>
      </c>
      <c r="C7325" s="6">
        <v>345680</v>
      </c>
      <c r="D7325" s="5" t="s">
        <v>56</v>
      </c>
      <c r="E7325" s="5" t="str">
        <f t="shared" si="346"/>
        <v>URGENCIAS ADULTO-Jenny Peña</v>
      </c>
      <c r="F7325" s="5" t="str">
        <f>"Descripcion: BALA DE OXIGENO PEQUEÑO Estado: Bueno Placa anterior: 000031081 Material: METL Color: GRIS Referencia:  Observacion:  Placa padre: Tipo adquisicion: Entidad"</f>
        <v>Descripcion: BALA DE OXIGENO PEQUEÑO Estado: Bueno Placa anterior: 000031081 Material: METL Color: GRIS Referencia:  Observacion:  Placa padre: Tipo adquisicion: Entidad</v>
      </c>
      <c r="G7325" s="5"/>
    </row>
    <row r="7326" spans="1:7" ht="58.5" customHeight="1" x14ac:dyDescent="0.25">
      <c r="A7326" s="5" t="str">
        <f>"H0008378"</f>
        <v>H0008378</v>
      </c>
      <c r="B7326" s="5" t="str">
        <f>"CARRO DE PARO"</f>
        <v>CARRO DE PARO</v>
      </c>
      <c r="C7326" s="6">
        <v>3364000</v>
      </c>
      <c r="D7326" s="5" t="s">
        <v>161</v>
      </c>
      <c r="E7326" s="5" t="str">
        <f t="shared" si="346"/>
        <v>URGENCIAS ADULTO-Jenny Peña</v>
      </c>
      <c r="F7326" s="5" t="str">
        <f>"Descripcion: CARRO DE PARO. debe contar como minimo con: 1 bandeja giratoria 360ª para desfribilador. 1 Atril portasuero. 1.bandeja para succionador. 1Bandeja lateral replegable 1 bandeja con divisiones con medicamentos 1 superficie en PVC abs etiquetas e"&amp; "n cajones. 1 Estado: Bueno Placa anterior: 000031510 Material: METAL Color: BEIGE Referencia:  Observacion:  Placa padre: Tipo adquisicion: Entidad"</f>
        <v>Descripcion: CARRO DE PARO. debe contar como minimo con: 1 bandeja giratoria 360ª para desfribilador. 1 Atril portasuero. 1.bandeja para succionador. 1Bandeja lateral replegable 1 bandeja con divisiones con medicamentos 1 superficie en PVC abs etiquetas en cajones. 1 Estado: Bueno Placa anterior: 000031510 Material: METAL Color: BEIGE Referencia:  Observacion:  Placa padre: Tipo adquisicion: Entidad</v>
      </c>
      <c r="G7326" s="5" t="str">
        <f>"181-34"</f>
        <v>181-34</v>
      </c>
    </row>
    <row r="7327" spans="1:7" ht="58.5" customHeight="1" x14ac:dyDescent="0.25">
      <c r="A7327" s="5" t="str">
        <f>"H0008380"</f>
        <v>H0008380</v>
      </c>
      <c r="B7327" s="5" t="str">
        <f>"DESFRIBILADOR"</f>
        <v>DESFRIBILADOR</v>
      </c>
      <c r="C7327" s="6">
        <v>11716000</v>
      </c>
      <c r="D7327" s="5" t="s">
        <v>166</v>
      </c>
      <c r="E7327" s="5" t="str">
        <f t="shared" si="346"/>
        <v>URGENCIAS ADULTO-Jenny Peña</v>
      </c>
      <c r="F7327" s="5" t="str">
        <f>"Descripcion: DESFRIBILADOR. Desfribilador cardiaco de onda bifasica, tipo de desfribilacion:manual,sincronica y AED.Entrega de enregia entre 0-270 joules, marcapaso externo, velocidad de registro 25mm bateria interna para dos horas de trabajo,monitor, con"&amp; "exion para e Estado: Bueno Placa anterior: 000031368 Material: PLASTICO Color: BLANCO Referencia: BENE HEARTH Observacion:  Placa padre: Tipo adquisicion: Entidad"</f>
        <v>Descripcion: DESFRIBILADOR. Desfribilador cardiaco de onda bifasica, tipo de desfribilacion:manual,sincronica y AED.Entrega de enregia entre 0-270 joules, marcapaso externo, velocidad de registro 25mm bateria interna para dos horas de trabajo,monitor, conexion para e Estado: Bueno Placa anterior: 000031368 Material: PLASTICO Color: BLANCO Referencia: BENE HEARTH Observacion:  Placa padre: Tipo adquisicion: Entidad</v>
      </c>
      <c r="G7327" s="5"/>
    </row>
    <row r="7328" spans="1:7" ht="58.5" customHeight="1" x14ac:dyDescent="0.25">
      <c r="A7328" s="5" t="str">
        <f>"H0008382"</f>
        <v>H0008382</v>
      </c>
      <c r="B7328" s="5" t="str">
        <f>"CAMILLA DE TRASLADO CON BARANDAS"</f>
        <v>CAMILLA DE TRASLADO CON BARANDAS</v>
      </c>
      <c r="C7328" s="6">
        <v>6774400</v>
      </c>
      <c r="D7328" s="5" t="s">
        <v>166</v>
      </c>
      <c r="E7328" s="5" t="str">
        <f t="shared" si="346"/>
        <v>URGENCIAS ADULTO-Jenny Peña</v>
      </c>
      <c r="F7328"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000031496 Material: METAL Color: BEIGE Referencia: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000031496 Material: METAL Color: BEIGE Referencia:  Observacion:  Placa padre: Tipo adquisicion: Entidad</v>
      </c>
      <c r="G7328" s="5" t="str">
        <f>"144-04/02"</f>
        <v>144-04/02</v>
      </c>
    </row>
    <row r="7329" spans="1:7" ht="58.5" customHeight="1" x14ac:dyDescent="0.25">
      <c r="A7329" s="5" t="str">
        <f>"H0008392"</f>
        <v>H0008392</v>
      </c>
      <c r="B7329" s="5" t="str">
        <f>"CAMILLA DE TRASLADO DE 2 PLANOS"</f>
        <v>CAMILLA DE TRASLADO DE 2 PLANOS</v>
      </c>
      <c r="C7329" s="6">
        <v>1500000</v>
      </c>
      <c r="D7329" s="5"/>
      <c r="E7329" s="5" t="str">
        <f t="shared" si="346"/>
        <v>URGENCIAS ADULTO-Jenny Peña</v>
      </c>
      <c r="F7329" s="5" t="str">
        <f>"Descripcion: CAMILLA MECANICA DOS PLANOS Estado: Bueno Placa anterior: 000032902 Material: METAL Color: BEIGE Referencia:  Observacion:  Placa padre: Tipo adquisicion: Entidad"</f>
        <v>Descripcion: CAMILLA MECANICA DOS PLANOS Estado: Bueno Placa anterior: 000032902 Material: METAL Color: BEIGE Referencia:  Observacion:  Placa padre: Tipo adquisicion: Entidad</v>
      </c>
      <c r="G7329" s="5"/>
    </row>
    <row r="7330" spans="1:7" ht="58.5" customHeight="1" x14ac:dyDescent="0.25">
      <c r="A7330" s="5" t="str">
        <f>"H0008393"</f>
        <v>H0008393</v>
      </c>
      <c r="B7330" s="5" t="str">
        <f>"BANDEJA DE ACERO INOXIDABLE PEQUEÑA"</f>
        <v>BANDEJA DE ACERO INOXIDABLE PEQUEÑA</v>
      </c>
      <c r="C7330" s="6">
        <v>20226.259999999998</v>
      </c>
      <c r="D7330" s="5"/>
      <c r="E7330" s="5" t="str">
        <f t="shared" si="346"/>
        <v>URGENCIAS ADULTO-Jenny Peña</v>
      </c>
      <c r="F7330" s="5" t="str">
        <f>"Descripcion: BANDEJA DE ACERO INOXIDABLE PEQUEÑA Estado: Bueno Placa anterior: 000019234 Material: ACERO Color: PLATEADA Referencia:  Observacion:  Placa padre: Tipo adquisicion: Entidad"</f>
        <v>Descripcion: BANDEJA DE ACERO INOXIDABLE PEQUEÑA Estado: Bueno Placa anterior: 000019234 Material: ACERO Color: PLATEADA Referencia:  Observacion:  Placa padre: Tipo adquisicion: Entidad</v>
      </c>
      <c r="G7330" s="5"/>
    </row>
    <row r="7331" spans="1:7" ht="58.5" customHeight="1" x14ac:dyDescent="0.25">
      <c r="A7331" s="5" t="str">
        <f>"H0008606"</f>
        <v>H0008606</v>
      </c>
      <c r="B7331" s="5" t="str">
        <f>"SILLA DE RUEDAS"</f>
        <v>SILLA DE RUEDAS</v>
      </c>
      <c r="C7331" s="6">
        <v>650000</v>
      </c>
      <c r="D7331" s="5"/>
      <c r="E7331" s="5" t="str">
        <f t="shared" si="346"/>
        <v>URGENCIAS ADULTO-Jenny Peña</v>
      </c>
      <c r="F7331" s="5" t="str">
        <f>"Descripcion:SILLA DE RUEDAS Estado: Bueno Placa anterior: 000026180 Material: METALICO Color: CROMADO Referencia:  Observacion: AUTORIZADO CONCILIAR EN CRUCE GENERAL  FUNCIONARIO MANIFIESTA QUE NO PERTENECE AL SERVICIO Placa padre:  Tipo adquisicion : Ent"&amp; "idad"</f>
        <v>Descripcion:SILLA DE RUEDAS Estado: Bueno Placa anterior: 000026180 Material: METALICO Color: CROMADO Referencia:  Observacion: AUTORIZADO CONCILIAR EN CRUCE GENERAL  FUNCIONARIO MANIFIESTA QUE NO PERTENECE AL SERVICIO Placa padre:  Tipo adquisicion : Entidad</v>
      </c>
      <c r="G7331" s="5"/>
    </row>
    <row r="7332" spans="1:7" ht="58.5" customHeight="1" x14ac:dyDescent="0.25">
      <c r="A7332" s="5" t="str">
        <f>"H0008827"</f>
        <v>H0008827</v>
      </c>
      <c r="B7332" s="5" t="str">
        <f>"MONITOR DE SIGNOS VITALES"</f>
        <v>MONITOR DE SIGNOS VITALES</v>
      </c>
      <c r="C7332" s="6">
        <v>3364000</v>
      </c>
      <c r="D7332" s="5" t="s">
        <v>289</v>
      </c>
      <c r="E7332" s="5" t="str">
        <f t="shared" si="346"/>
        <v>URGENCIAS ADULTO-Jenny Peña</v>
      </c>
      <c r="F7332" s="5" t="str">
        <f>"Descripcion: MONITOR DE SIGNOS VITALES MARCA EDAM, PANTALLA TFTA COLOR, DE 12/10 ECG, SPO2 RESP.NIBP. 2 TEMPE. PR. 2-IBP. EtCO2 TECNOLOGIA NELLCOR OXIMAX/EDAN SPO2, OXIMETRIA CON MODULACION DE TONO POR PULSO. ANALISIS ECG DE 7 SEGMENTOS Estado: Bueno Plac"&amp; "a anterior: 000030430 Material: PLASTICO Color: BEIGE Referencia:  Observacion:  Placa padre: Tipo adquisicion: Entidad"</f>
        <v>Descripcion: MONITOR DE SIGNOS VITALES MARCA EDAM, PANTALLA TFTA COLOR, DE 12/10 ECG, SPO2 RESP.NIBP. 2 TEMPE. PR. 2-IBP. EtCO2 TECNOLOGIA NELLCOR OXIMAX/EDAN SPO2, OXIMETRIA CON MODULACION DE TONO POR PULSO. ANALISIS ECG DE 7 SEGMENTOS Estado: Bueno Placa anterior: 000030430 Material: PLASTICO Color: BEIGE Referencia:  Observacion:  Placa padre: Tipo adquisicion: Entidad</v>
      </c>
      <c r="G7332" s="5" t="str">
        <f>"EDAN-M8"</f>
        <v>EDAN-M8</v>
      </c>
    </row>
    <row r="7333" spans="1:7" ht="58.5" customHeight="1" x14ac:dyDescent="0.25">
      <c r="A7333" s="5" t="str">
        <f>"H0009059"</f>
        <v>H0009059</v>
      </c>
      <c r="B7333" s="5" t="str">
        <f>"ESTANTE METALICO 9 ENTREPAÑOS"</f>
        <v>ESTANTE METALICO 9 ENTREPAÑOS</v>
      </c>
      <c r="C7333" s="6">
        <v>17671.099999999999</v>
      </c>
      <c r="D7333" s="5"/>
      <c r="E7333" s="5" t="str">
        <f t="shared" ref="E7333:E7396" si="349">"URGENCIAS ADULTO-Jenny Peña"</f>
        <v>URGENCIAS ADULTO-Jenny Peña</v>
      </c>
      <c r="F7333" s="5" t="str">
        <f>"Descripcion: ESTANTE METALICO Estado: Bueno Placa anterior: 000019627 Material: METALICO   Color: GRIS   Referencia:  Observacion: ESTANTE METALICO DE 9 ENTREPAÑOS  Placa padre: Tipo adquisicion: Entidad"</f>
        <v>Descripcion: ESTANTE METALICO Estado: Bueno Placa anterior: 000019627 Material: METALICO   Color: GRIS   Referencia:  Observacion: ESTANTE METALICO DE 9 ENTREPAÑOS  Placa padre: Tipo adquisicion: Entidad</v>
      </c>
      <c r="G7333" s="5"/>
    </row>
    <row r="7334" spans="1:7" ht="58.5" customHeight="1" x14ac:dyDescent="0.25">
      <c r="A7334" s="5" t="str">
        <f>"H0009060"</f>
        <v>H0009060</v>
      </c>
      <c r="B7334" s="5" t="str">
        <f>"ESTANTE METALICO 5 ENTREPAÑOS"</f>
        <v>ESTANTE METALICO 5 ENTREPAÑOS</v>
      </c>
      <c r="C7334" s="6">
        <v>6916.85</v>
      </c>
      <c r="D7334" s="5"/>
      <c r="E7334" s="5" t="str">
        <f t="shared" si="349"/>
        <v>URGENCIAS ADULTO-Jenny Peña</v>
      </c>
      <c r="F7334" s="5" t="str">
        <f>"Descripcion: ARCHIVADOR METALICO DE 5 ENTREPAÑOS.MEDIDAS  180 X 90 X 40 CM Estado: Bueno Placa anterior: 000019905 Material: METALICO   Color: GRIS   Referencia:  Observacion: ARCHIVADOR METALICO DE 5 ENTREPAÑOS. MEDIDAS  180 X 90 X 40 CM Placa padre: Tip"&amp; "o adquisicion: Entidad"</f>
        <v>Descripcion: ARCHIVADOR METALICO DE 5 ENTREPAÑOS.MEDIDAS  180 X 90 X 40 CM Estado: Bueno Placa anterior: 000019905 Material: METALICO   Color: GRIS   Referencia:  Observacion: ARCHIVADOR METALICO DE 5 ENTREPAÑOS. MEDIDAS  180 X 90 X 40 CM Placa padre: Tipo adquisicion: Entidad</v>
      </c>
      <c r="G7334" s="5"/>
    </row>
    <row r="7335" spans="1:7" ht="58.5" customHeight="1" x14ac:dyDescent="0.25">
      <c r="A7335" s="5" t="str">
        <f>"H0009061"</f>
        <v>H0009061</v>
      </c>
      <c r="B7335" s="5" t="str">
        <f>"POTE (TARRO) ACERO INXODABLE CON TAPA MEDIANO"</f>
        <v>POTE (TARRO) ACERO INXODABLE CON TAPA MEDIANO</v>
      </c>
      <c r="C7335" s="6">
        <v>19173.189999999999</v>
      </c>
      <c r="D7335" s="5"/>
      <c r="E7335" s="5" t="str">
        <f t="shared" si="349"/>
        <v>URGENCIAS ADULTO-Jenny Peña</v>
      </c>
      <c r="F7335" s="5" t="str">
        <f>"Descripcion: POTE EN ACERO MEDIANO Estado: Bueno Placa anterior: 000019792 Material: ACERO INOXIDABLE Color: PLATEADO Referencia:  Observacion:  Placa padre: Tipo adquisicion: Entidad"</f>
        <v>Descripcion: POTE EN ACERO MEDIANO Estado: Bueno Placa anterior: 000019792 Material: ACERO INOXIDABLE Color: PLATEADO Referencia:  Observacion:  Placa padre: Tipo adquisicion: Entidad</v>
      </c>
      <c r="G7335" s="5"/>
    </row>
    <row r="7336" spans="1:7" ht="58.5" customHeight="1" x14ac:dyDescent="0.25">
      <c r="A7336" s="5" t="str">
        <f>"H0009062"</f>
        <v>H0009062</v>
      </c>
      <c r="B7336" s="5" t="str">
        <f>"POTE (TARRO) ACERO INXODABLE CON TAPA MEDIANO"</f>
        <v>POTE (TARRO) ACERO INXODABLE CON TAPA MEDIANO</v>
      </c>
      <c r="C7336" s="6">
        <v>21799.02</v>
      </c>
      <c r="D7336" s="5"/>
      <c r="E7336" s="5" t="str">
        <f t="shared" si="349"/>
        <v>URGENCIAS ADULTO-Jenny Peña</v>
      </c>
      <c r="F7336" s="5" t="str">
        <f>"Descripcion: TARRO EN ACERO INOXIDABLE Estado: Bueno Placa anterior: 000018584 Material: ACERO INOXIDABLE Color: PLATEADO Referencia:  Observacion:  Placa padre: Tipo adquisicion: Entidad"</f>
        <v>Descripcion: TARRO EN ACERO INOXIDABLE Estado: Bueno Placa anterior: 000018584 Material: ACERO INOXIDABLE Color: PLATEADO Referencia:  Observacion:  Placa padre: Tipo adquisicion: Entidad</v>
      </c>
      <c r="G7336" s="5"/>
    </row>
    <row r="7337" spans="1:7" ht="58.5" customHeight="1" x14ac:dyDescent="0.25">
      <c r="A7337" s="5" t="str">
        <f>"H0009064"</f>
        <v>H0009064</v>
      </c>
      <c r="B7337" s="5" t="str">
        <f>"POTE (TARRO) ACERO INXODABLE CON TAPA MEDIANO"</f>
        <v>POTE (TARRO) ACERO INXODABLE CON TAPA MEDIANO</v>
      </c>
      <c r="C7337" s="6">
        <v>21799.02</v>
      </c>
      <c r="D7337" s="5"/>
      <c r="E7337" s="5" t="str">
        <f t="shared" si="349"/>
        <v>URGENCIAS ADULTO-Jenny Peña</v>
      </c>
      <c r="F7337" s="5" t="str">
        <f>"Descripcion: TARRO EN ACERO INOXIDABLE Estado: Bueno Placa anterior: 000018579 Material: ACERO INOXIDABLE Color: PLATEADO Referencia:  Observacion:  Placa padre: Tipo adquisicion: Entidad"</f>
        <v>Descripcion: TARRO EN ACERO INOXIDABLE Estado: Bueno Placa anterior: 000018579 Material: ACERO INOXIDABLE Color: PLATEADO Referencia:  Observacion:  Placa padre: Tipo adquisicion: Entidad</v>
      </c>
      <c r="G7337" s="5"/>
    </row>
    <row r="7338" spans="1:7" ht="58.5" customHeight="1" x14ac:dyDescent="0.25">
      <c r="A7338" s="5" t="str">
        <f>"H0009069"</f>
        <v>H0009069</v>
      </c>
      <c r="B7338" s="5" t="str">
        <f>"MESA METALICA AUXILIAR"</f>
        <v>MESA METALICA AUXILIAR</v>
      </c>
      <c r="C7338" s="6">
        <v>7800</v>
      </c>
      <c r="D7338" s="5"/>
      <c r="E7338" s="5" t="str">
        <f t="shared" si="349"/>
        <v>URGENCIAS ADULTO-Jenny Peña</v>
      </c>
      <c r="F7338" s="5" t="str">
        <f>"Descripcion: MESA TIPO H (MECANOGRAFA CON ALA) Estado: Bueno Placa anterior: 000001447 Material: METALICO Y FORMICA Color: GRIS Y MADERA Referencia:  Observacion:  Placa padre: Tipo adquisicion: Entidad"</f>
        <v>Descripcion: MESA TIPO H (MECANOGRAFA CON ALA) Estado: Bueno Placa anterior: 000001447 Material: METALICO Y FORMICA Color: GRIS Y MADERA Referencia:  Observacion:  Placa padre: Tipo adquisicion: Entidad</v>
      </c>
      <c r="G7338" s="5"/>
    </row>
    <row r="7339" spans="1:7" ht="58.5" customHeight="1" x14ac:dyDescent="0.25">
      <c r="A7339" s="5" t="str">
        <f>"H0009070"</f>
        <v>H0009070</v>
      </c>
      <c r="B7339" s="5" t="str">
        <f>"LAVAPLATOS EN ACERO INOXIDABLE 2 PUESTOS"</f>
        <v>LAVAPLATOS EN ACERO INOXIDABLE 2 PUESTOS</v>
      </c>
      <c r="C7339" s="6">
        <v>81414.84</v>
      </c>
      <c r="D7339" s="5"/>
      <c r="E7339" s="5" t="str">
        <f t="shared" si="349"/>
        <v>URGENCIAS ADULTO-Jenny Peña</v>
      </c>
      <c r="F7339" s="5" t="str">
        <f>"Descripcion: MESON CON TOPE EN L DOS VERTEDEROS DE 56*3.49 Estado: Bueno Placa anterior: 000019630 Material: ACERO INOXIDABLE Color: PLATEADO Referencia:  Observacion:  Placa padre: Tipo adquisicion: Entidad"</f>
        <v>Descripcion: MESON CON TOPE EN L DOS VERTEDEROS DE 56*3.49 Estado: Bueno Placa anterior: 000019630 Material: ACERO INOXIDABLE Color: PLATEADO Referencia:  Observacion:  Placa padre: Tipo adquisicion: Entidad</v>
      </c>
      <c r="G7339" s="5"/>
    </row>
    <row r="7340" spans="1:7" ht="58.5" customHeight="1" x14ac:dyDescent="0.25">
      <c r="A7340" s="5" t="str">
        <f>"H0009072"</f>
        <v>H0009072</v>
      </c>
      <c r="B7340" s="5" t="str">
        <f>"BANDEJA DE ACERO INOXIDABLE MEDIANA"</f>
        <v>BANDEJA DE ACERO INOXIDABLE MEDIANA</v>
      </c>
      <c r="C7340" s="6">
        <v>20226.259999999998</v>
      </c>
      <c r="D7340" s="5"/>
      <c r="E7340" s="5" t="str">
        <f t="shared" si="349"/>
        <v>URGENCIAS ADULTO-Jenny Peña</v>
      </c>
      <c r="F7340" s="5" t="str">
        <f>"Descripcion: BANDEJA EN ACEROMEDIDAS  31 X 15 X 5 CM Estado: Bueno Placa anterior: 000019235 Material: ACERO INOXIDABLE Color: PLATEADO Referencia:  Observacion:  Placa padre: Tipo adquisicion: Entidad"</f>
        <v>Descripcion: BANDEJA EN ACEROMEDIDAS  31 X 15 X 5 CM Estado: Bueno Placa anterior: 000019235 Material: ACERO INOXIDABLE Color: PLATEADO Referencia:  Observacion:  Placa padre: Tipo adquisicion: Entidad</v>
      </c>
      <c r="G7340" s="5"/>
    </row>
    <row r="7341" spans="1:7" ht="58.5" customHeight="1" x14ac:dyDescent="0.25">
      <c r="A7341" s="5" t="str">
        <f>"H0009073"</f>
        <v>H0009073</v>
      </c>
      <c r="B7341" s="5" t="str">
        <f>"POTE (TARRO) ACERO INXODABLE CON TAPA MEDIANO"</f>
        <v>POTE (TARRO) ACERO INXODABLE CON TAPA MEDIANO</v>
      </c>
      <c r="C7341" s="6">
        <v>21799.02</v>
      </c>
      <c r="D7341" s="5"/>
      <c r="E7341" s="5" t="str">
        <f t="shared" si="349"/>
        <v>URGENCIAS ADULTO-Jenny Peña</v>
      </c>
      <c r="F7341" s="5" t="str">
        <f>"Descripcion: TARRO EN ACERO INOXIDABLE Estado: Bueno Placa anterior: 000018642 Material: ACERO INOXIDABLE Color: PLATEADO Referencia:  Observacion: POTE EN ACERO MEDIANO Placa padre: Tipo adquisicion: Entidad"</f>
        <v>Descripcion: TARRO EN ACERO INOXIDABLE Estado: Bueno Placa anterior: 000018642 Material: ACERO INOXIDABLE Color: PLATEADO Referencia:  Observacion: POTE EN ACERO MEDIANO Placa padre: Tipo adquisicion: Entidad</v>
      </c>
      <c r="G7341" s="5"/>
    </row>
    <row r="7342" spans="1:7" ht="58.5" customHeight="1" x14ac:dyDescent="0.25">
      <c r="A7342" s="5" t="str">
        <f>"H0009074"</f>
        <v>H0009074</v>
      </c>
      <c r="B7342" s="5" t="str">
        <f>"POTE (TARRO) ACERO INXODABLE CON TAPA MEDIANO"</f>
        <v>POTE (TARRO) ACERO INXODABLE CON TAPA MEDIANO</v>
      </c>
      <c r="C7342" s="6">
        <v>5498.01</v>
      </c>
      <c r="D7342" s="5"/>
      <c r="E7342" s="5" t="str">
        <f t="shared" si="349"/>
        <v>URGENCIAS ADULTO-Jenny Peña</v>
      </c>
      <c r="F7342" s="5" t="str">
        <f>"Descripcion: TARRO NIQUELADO Estado: Bueno Placa anterior: 000019357 Material: ACERO INOXIDABLE Color: PLATEADO Referencia:  Observacion: POTE EN ACERO MEDIANO Placa padre: Tipo adquisicion: Entidad"</f>
        <v>Descripcion: TARRO NIQUELADO Estado: Bueno Placa anterior: 000019357 Material: ACERO INOXIDABLE Color: PLATEADO Referencia:  Observacion: POTE EN ACERO MEDIANO Placa padre: Tipo adquisicion: Entidad</v>
      </c>
      <c r="G7342" s="5"/>
    </row>
    <row r="7343" spans="1:7" ht="58.5" customHeight="1" x14ac:dyDescent="0.25">
      <c r="A7343" s="5" t="str">
        <f>"H0009076"</f>
        <v>H0009076</v>
      </c>
      <c r="B7343" s="5" t="str">
        <f>"REGULADOR DE VACIO VACCUM"</f>
        <v>REGULADOR DE VACIO VACCUM</v>
      </c>
      <c r="C7343" s="6">
        <v>128545.93</v>
      </c>
      <c r="D7343" s="5"/>
      <c r="E7343" s="5" t="str">
        <f t="shared" si="349"/>
        <v>URGENCIAS ADULTO-Jenny Peña</v>
      </c>
      <c r="F7343" s="5" t="str">
        <f>"Descripcion: REGULADOR Estado: Bueno Placa anterior: 000020098 Material: PASTA Y METAL Color: BEIGE Referencia:  Observacion:  Placa padre: Tipo adquisicion: Entidad"</f>
        <v>Descripcion: REGULADOR Estado: Bueno Placa anterior: 000020098 Material: PASTA Y METAL Color: BEIGE Referencia:  Observacion:  Placa padre: Tipo adquisicion: Entidad</v>
      </c>
      <c r="G7343" s="5" t="str">
        <f>"PM 3100"</f>
        <v>PM 3100</v>
      </c>
    </row>
    <row r="7344" spans="1:7" ht="58.5" customHeight="1" x14ac:dyDescent="0.25">
      <c r="A7344" s="5" t="str">
        <f>"H0009078"</f>
        <v>H0009078</v>
      </c>
      <c r="B7344" s="5" t="str">
        <f>"BANDEJA DE ACERO INOXIDABLE MEDIANA"</f>
        <v>BANDEJA DE ACERO INOXIDABLE MEDIANA</v>
      </c>
      <c r="C7344" s="6">
        <v>20226.259999999998</v>
      </c>
      <c r="D7344" s="5"/>
      <c r="E7344" s="5" t="str">
        <f t="shared" si="349"/>
        <v>URGENCIAS ADULTO-Jenny Peña</v>
      </c>
      <c r="F7344" s="5" t="str">
        <f>"Descripcion: BANDEJA EN ACERO INOXIDABLE Estado: Bueno Placa anterior: 000019939 Material: ACERO INOXIDABLE Color: PLATEADO Referencia:  Observacion:  Placa padre: Tipo adquisicion: Entidad"</f>
        <v>Descripcion: BANDEJA EN ACERO INOXIDABLE Estado: Bueno Placa anterior: 000019939 Material: ACERO INOXIDABLE Color: PLATEADO Referencia:  Observacion:  Placa padre: Tipo adquisicion: Entidad</v>
      </c>
      <c r="G7344" s="5"/>
    </row>
    <row r="7345" spans="1:7" ht="58.5" customHeight="1" x14ac:dyDescent="0.25">
      <c r="A7345" s="5" t="str">
        <f>"H0009083"</f>
        <v>H0009083</v>
      </c>
      <c r="B7345" s="5" t="str">
        <f>"ESTANTE METALICO 6 ENTREPAÑOS"</f>
        <v>ESTANTE METALICO 6 ENTREPAÑOS</v>
      </c>
      <c r="C7345" s="6">
        <v>6916.85</v>
      </c>
      <c r="D7345" s="5"/>
      <c r="E7345" s="5" t="str">
        <f t="shared" si="349"/>
        <v>URGENCIAS ADULTO-Jenny Peña</v>
      </c>
      <c r="F7345" s="5" t="str">
        <f>"Descripcion: ESTANTE METALICO DE 6 ENTREPAÑOS CON TAPAS LATERALES EN MADERA Estado: Bueno Placa anterior: 000019903 Material: METALICO Color: GRIS Referencia:  Observacion:  Placa padre: Tipo adquisicion: Entidad"</f>
        <v>Descripcion: ESTANTE METALICO DE 6 ENTREPAÑOS CON TAPAS LATERALES EN MADERA Estado: Bueno Placa anterior: 000019903 Material: METALICO Color: GRIS Referencia:  Observacion:  Placa padre: Tipo adquisicion: Entidad</v>
      </c>
      <c r="G7345" s="5"/>
    </row>
    <row r="7346" spans="1:7" ht="58.5" customHeight="1" x14ac:dyDescent="0.25">
      <c r="A7346" s="5" t="str">
        <f>"H0009090"</f>
        <v>H0009090</v>
      </c>
      <c r="B7346" s="5" t="str">
        <f>"ATRIL PORTASUERO MOVIL"</f>
        <v>ATRIL PORTASUERO MOVIL</v>
      </c>
      <c r="C7346" s="6">
        <v>145000</v>
      </c>
      <c r="D7346" s="5" t="s">
        <v>166</v>
      </c>
      <c r="E7346" s="5" t="str">
        <f t="shared" si="349"/>
        <v>URGENCIAS ADULTO-Jenny Peña</v>
      </c>
      <c r="F7346" s="5" t="str">
        <f>"Descripcion: ATRIL PORTASUERO CAPACIDAD 2 POTES Estado: Bueno Placa anterior: 000031432 Material: ACERO INOXIDABLE Color: PLATEADO Referencia:  Observacion:  Placa padre: Tipo adquisicion: Entidad"</f>
        <v>Descripcion: ATRIL PORTASUERO CAPACIDAD 2 POTES Estado: Bueno Placa anterior: 000031432 Material: ACERO INOXIDABLE Color: PLATEADO Referencia:  Observacion:  Placa padre: Tipo adquisicion: Entidad</v>
      </c>
      <c r="G7346" s="5"/>
    </row>
    <row r="7347" spans="1:7" ht="58.5" customHeight="1" x14ac:dyDescent="0.25">
      <c r="A7347" s="5" t="str">
        <f>"H0009095"</f>
        <v>H0009095</v>
      </c>
      <c r="B7347" s="5" t="str">
        <f>"CAMILLA FIJA (TIPO DIVAN)"</f>
        <v>CAMILLA FIJA (TIPO DIVAN)</v>
      </c>
      <c r="C7347" s="6">
        <v>626400</v>
      </c>
      <c r="D7347" s="5" t="s">
        <v>166</v>
      </c>
      <c r="E7347" s="5" t="str">
        <f t="shared" si="349"/>
        <v>URGENCIAS ADULTO-Jenny Peña</v>
      </c>
      <c r="F7347" s="5" t="str">
        <f>"Descripcion: CAMILLAS FIJAS PARA CONSULTORIO. Estructura fabricada en tuberia cuadrada con soporte central.Batidor metalico forrado en espuma de cinco cms de espesor y tapizado en cordoban lavable, movimiento de levante espaldar accionado macanicamente po"&amp; "r medio de u Estado: Bueno Placa anterior: 000031501 Material: METALICO Y CUERINA Color: BEIGE NEGRO Referencia:  Observacion: CAMILLA SIN BARANDAS CON COLCHONET  Placa padre: Tipo adquisicion: Entidad"</f>
        <v>Descripcion: CAMILLAS FIJAS PARA CONSULTORIO. Estructura fabricada en tuberia cuadrada con soporte central.Batidor metalico forrado en espuma de cinco cms de espesor y tapizado en cordoban lavable, movimiento de levante espaldar accionado macanicamente por medio de u Estado: Bueno Placa anterior: 000031501 Material: METALICO Y CUERINA Color: BEIGE NEGRO Referencia:  Observacion: CAMILLA SIN BARANDAS CON COLCHONET  Placa padre: Tipo adquisicion: Entidad</v>
      </c>
      <c r="G7347" s="5" t="str">
        <f>"141-03"</f>
        <v>141-03</v>
      </c>
    </row>
    <row r="7348" spans="1:7" ht="58.5" customHeight="1" x14ac:dyDescent="0.25">
      <c r="A7348" s="5" t="str">
        <f>"H0009096"</f>
        <v>H0009096</v>
      </c>
      <c r="B7348" s="5" t="str">
        <f>"ESCALERILLA DE 2 PASOS"</f>
        <v>ESCALERILLA DE 2 PASOS</v>
      </c>
      <c r="C7348" s="6">
        <v>4455</v>
      </c>
      <c r="D7348" s="5"/>
      <c r="E7348" s="5" t="str">
        <f t="shared" si="349"/>
        <v>URGENCIAS ADULTO-Jenny Peña</v>
      </c>
      <c r="F7348" s="5" t="str">
        <f>"Descripcion: ESCALERILLA 2 PASOS Estado: Bueno Placa anterior: 000019901 Material: METALICO Y FORMICA Color: GRIS Y BLANCO Referencia:  Observacion:  Placa padre: Tipo adquisicion: Entidad"</f>
        <v>Descripcion: ESCALERILLA 2 PASOS Estado: Bueno Placa anterior: 000019901 Material: METALICO Y FORMICA Color: GRIS Y BLANCO Referencia:  Observacion:  Placa padre: Tipo adquisicion: Entidad</v>
      </c>
      <c r="G7348" s="5"/>
    </row>
    <row r="7349" spans="1:7" ht="58.5" customHeight="1" x14ac:dyDescent="0.25">
      <c r="A7349" s="5" t="str">
        <f>"H0009098"</f>
        <v>H0009098</v>
      </c>
      <c r="B7349" s="5" t="str">
        <f>"MUEBLE (ARCHIVADOR) AEREO (GABINETE DE PARED)"</f>
        <v>MUEBLE (ARCHIVADOR) AEREO (GABINETE DE PARED)</v>
      </c>
      <c r="C7349" s="6">
        <v>99605.92</v>
      </c>
      <c r="D7349" s="5"/>
      <c r="E7349" s="5" t="str">
        <f t="shared" si="349"/>
        <v>URGENCIAS ADULTO-Jenny Peña</v>
      </c>
      <c r="F7349" s="5" t="str">
        <f>"Descripcion: GABINETE AEREO Estado: Bueno Placa anterior: 000019629 Material: METALICO Color: DORADO OSCURO Referencia:  Observacion: AUTORIZADO CONCILIAR EN CRUCE GENERAL Placa padre: Tipo adquisicion: Entidad"</f>
        <v>Descripcion: GABINETE AEREO Estado: Bueno Placa anterior: 000019629 Material: METALICO Color: DORADO OSCURO Referencia:  Observacion: AUTORIZADO CONCILIAR EN CRUCE GENERAL Placa padre: Tipo adquisicion: Entidad</v>
      </c>
      <c r="G7349" s="5"/>
    </row>
    <row r="7350" spans="1:7" ht="58.5" customHeight="1" x14ac:dyDescent="0.25">
      <c r="A7350" s="5" t="str">
        <f>"H0009100"</f>
        <v>H0009100</v>
      </c>
      <c r="B7350" s="5" t="str">
        <f>"CAMILLA DE TRASLADO CON BARANDAS"</f>
        <v>CAMILLA DE TRASLADO CON BARANDAS</v>
      </c>
      <c r="C7350" s="6">
        <v>1845000</v>
      </c>
      <c r="D7350" s="5" t="s">
        <v>447</v>
      </c>
      <c r="E7350" s="5" t="str">
        <f t="shared" si="349"/>
        <v>URGENCIAS ADULTO-Jenny Peña</v>
      </c>
      <c r="F7350" s="5" t="str">
        <f>"Descripcion: CAMILLA CON NIVELES, BARANDA Y COLCHONETA - ELECTRICA Estado: Bueno Placa anterior: 000029038 Material: PASTA Y METALICO Color: BEIGE Y NEGRO Referencia:  Observacion:  Placa padre: Tipo adquisicion: Entidad"</f>
        <v>Descripcion: CAMILLA CON NIVELES, BARANDA Y COLCHONETA - ELECTRICA Estado: Bueno Placa anterior: 000029038 Material: PASTA Y METALICO Color: BEIGE Y NEGRO Referencia:  Observacion:  Placa padre: Tipo adquisicion: Entidad</v>
      </c>
      <c r="G7350" s="5"/>
    </row>
    <row r="7351" spans="1:7" ht="58.5" customHeight="1" x14ac:dyDescent="0.25">
      <c r="A7351" s="5" t="str">
        <f>"H0009102"</f>
        <v>H0009102</v>
      </c>
      <c r="B7351" s="5" t="str">
        <f>"CAMILLA DE TRASLADO CON BARANDAS"</f>
        <v>CAMILLA DE TRASLADO CON BARANDAS</v>
      </c>
      <c r="C7351" s="6">
        <v>1845000</v>
      </c>
      <c r="D7351" s="5" t="s">
        <v>447</v>
      </c>
      <c r="E7351" s="5" t="str">
        <f t="shared" si="349"/>
        <v>URGENCIAS ADULTO-Jenny Peña</v>
      </c>
      <c r="F7351" s="5" t="str">
        <f>"Descripcion: CAMILLA CON NIVELES, BARANDA CON 4 ATRIL - ELECTRICA Estado: Bueno Placa anterior: 000029039 Material: PASTA Y METALICO Color: BEIGE Y GRIS  Referencia:  Observacion:  Placa padre: Tipo adquisicion: Entidad"</f>
        <v>Descripcion: CAMILLA CON NIVELES, BARANDA CON 4 ATRIL - ELECTRICA Estado: Bueno Placa anterior: 000029039 Material: PASTA Y METALICO Color: BEIGE Y GRIS  Referencia:  Observacion:  Placa padre: Tipo adquisicion: Entidad</v>
      </c>
      <c r="G7351" s="5"/>
    </row>
    <row r="7352" spans="1:7" ht="58.5" customHeight="1" x14ac:dyDescent="0.25">
      <c r="A7352" s="5" t="str">
        <f>"H0009103"</f>
        <v>H0009103</v>
      </c>
      <c r="B7352" s="5" t="str">
        <f>"CAMILLA DE TRASLADO CON BARANDAS"</f>
        <v>CAMILLA DE TRASLADO CON BARANDAS</v>
      </c>
      <c r="C7352" s="6">
        <v>6774400</v>
      </c>
      <c r="D7352" s="5" t="s">
        <v>166</v>
      </c>
      <c r="E7352" s="5" t="str">
        <f t="shared" si="349"/>
        <v>URGENCIAS ADULTO-Jenny Peña</v>
      </c>
      <c r="F7352"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000031491 Material: PASTA Y METALICO Color: BEIGE Y GRIS  Referencia:  Observacion: CAMILLA CON NIVELES, BARANDA CON 4 ATRIL - ELECTRIC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000031491 Material: PASTA Y METALICO Color: BEIGE Y GRIS  Referencia:  Observacion: CAMILLA CON NIVELES, BARANDA CON 4 ATRIL - ELECTRIC Placa padre: Tipo adquisicion: Entidad</v>
      </c>
      <c r="G7352" s="5" t="str">
        <f>"411-04/02"</f>
        <v>411-04/02</v>
      </c>
    </row>
    <row r="7353" spans="1:7" ht="58.5" customHeight="1" x14ac:dyDescent="0.25">
      <c r="A7353" s="5" t="str">
        <f>"H0009106"</f>
        <v>H0009106</v>
      </c>
      <c r="B7353" s="5" t="str">
        <f>"ATRIL PORTASUERO MOVIL"</f>
        <v>ATRIL PORTASUERO MOVIL</v>
      </c>
      <c r="C7353" s="6">
        <v>145000</v>
      </c>
      <c r="D7353" s="5" t="s">
        <v>166</v>
      </c>
      <c r="E7353" s="5" t="str">
        <f t="shared" si="349"/>
        <v>URGENCIAS ADULTO-Jenny Peña</v>
      </c>
      <c r="F7353" s="5" t="str">
        <f>"Descripcion: ATRIL PORTASUERO CAPACIDAD 2 POTES Estado: Bueno Placa anterior: 000031438 Material: ACERO INOXIDABLE Color: PLATEADO Referencia:  Observacion:  Placa padre: Tipo adquisicion: Entidad"</f>
        <v>Descripcion: ATRIL PORTASUERO CAPACIDAD 2 POTES Estado: Bueno Placa anterior: 000031438 Material: ACERO INOXIDABLE Color: PLATEADO Referencia:  Observacion:  Placa padre: Tipo adquisicion: Entidad</v>
      </c>
      <c r="G7353" s="5"/>
    </row>
    <row r="7354" spans="1:7" ht="58.5" customHeight="1" x14ac:dyDescent="0.25">
      <c r="A7354" s="5" t="str">
        <f>"H0009107"</f>
        <v>H0009107</v>
      </c>
      <c r="B7354" s="5" t="str">
        <f>"ATRIL PORTASUERO MOVIL"</f>
        <v>ATRIL PORTASUERO MOVIL</v>
      </c>
      <c r="C7354" s="6">
        <v>145000</v>
      </c>
      <c r="D7354" s="5" t="s">
        <v>166</v>
      </c>
      <c r="E7354" s="5" t="str">
        <f t="shared" si="349"/>
        <v>URGENCIAS ADULTO-Jenny Peña</v>
      </c>
      <c r="F7354" s="5" t="str">
        <f>"Descripcion: ATRIL PORTASUERO CAPACIDAD 2 POTES Estado: Bueno Placa anterior: 000031440 Material: ACERO INOXIDABLE Color: PLATEADO Referencia:  Observacion:  Placa padre: Tipo adquisicion: Entidad"</f>
        <v>Descripcion: ATRIL PORTASUERO CAPACIDAD 2 POTES Estado: Bueno Placa anterior: 000031440 Material: ACERO INOXIDABLE Color: PLATEADO Referencia:  Observacion:  Placa padre: Tipo adquisicion: Entidad</v>
      </c>
      <c r="G7354" s="5"/>
    </row>
    <row r="7355" spans="1:7" ht="58.5" customHeight="1" x14ac:dyDescent="0.25">
      <c r="A7355" s="5" t="str">
        <f>"H0009114"</f>
        <v>H0009114</v>
      </c>
      <c r="B7355" s="5" t="str">
        <f>"ATRIL PORTASUERO MOVIL"</f>
        <v>ATRIL PORTASUERO MOVIL</v>
      </c>
      <c r="C7355" s="6">
        <v>145000</v>
      </c>
      <c r="D7355" s="5" t="s">
        <v>166</v>
      </c>
      <c r="E7355" s="5" t="str">
        <f t="shared" si="349"/>
        <v>URGENCIAS ADULTO-Jenny Peña</v>
      </c>
      <c r="F7355" s="5" t="str">
        <f>"Descripcion: ATRIL PORTASUERO CAPACIDAD 2 POTES Estado: Bueno Placa anterior: 000031443 Material: ACERO INOXIDABLE Color: PLATEADO Referencia:  Observacion:  Placa padre: Tipo adquisicion: Entidad"</f>
        <v>Descripcion: ATRIL PORTASUERO CAPACIDAD 2 POTES Estado: Bueno Placa anterior: 000031443 Material: ACERO INOXIDABLE Color: PLATEADO Referencia:  Observacion:  Placa padre: Tipo adquisicion: Entidad</v>
      </c>
      <c r="G7355" s="5"/>
    </row>
    <row r="7356" spans="1:7" ht="58.5" customHeight="1" x14ac:dyDescent="0.25">
      <c r="A7356" s="5" t="str">
        <f>"H0009115"</f>
        <v>H0009115</v>
      </c>
      <c r="B7356" s="5" t="str">
        <f>"CAMILLA DE TRASLADO CON BARANDAS"</f>
        <v>CAMILLA DE TRASLADO CON BARANDAS</v>
      </c>
      <c r="C7356" s="6">
        <v>1624000</v>
      </c>
      <c r="D7356" s="5"/>
      <c r="E7356" s="5" t="str">
        <f t="shared" si="349"/>
        <v>URGENCIAS ADULTO-Jenny Peña</v>
      </c>
      <c r="F7356" s="5" t="str">
        <f>"Descripcion: CAMILLA CON BARANDAS CON COLCHONETA Estado: Bueno Placa anterior: 000025202 Material: PASTA Y METALICO Color: BEIGE Y GRIS  Referencia:  Observacion: CAMILLA DE TRANSPORTE Y RECUPERACION DE TRES PLANOS REF. 123-01. ESPECIFICACIONES: FABRICADA"&amp; " EN TUBERIA REDONDA 1 Y 7/8 PLATO EN LAMINA COLL-ROLLED Y MARCO EN TUBERIA REDONDA DE 7/8 CON REFUERZOS ADICIONALES, ESPALDAR GRADUALBLE POR SISTEMA DE AHORCADOR CON DIVERSAS POSICIONES DE 0 A 90 GRADOS CON VARILLA PORTA SUEROS. rODOS DE 5. DE DIAMETRO (D"&amp; "OS CON FRENO), COLCHONETA EN ESPUMA DE 5 CM ES PESOR Y TAPIZADO EN CORDOBAN LAVABLE, BANDEJA EN LA PARTE INFERIOR COLD ROLLER. bARANDAS DE SEGURIDAD EN TUBERIA DE 7/8 Y 5/8 CROMADAS Placa padre: Tipo adquisicion: Entidad"</f>
        <v>Descripcion: CAMILLA CON BARANDAS CON COLCHONETA Estado: Bueno Placa anterior: 000025202 Material: PASTA Y METALICO Color: BEIGE Y GRIS  Referencia:  Observacion: CAMILLA DE TRANSPORTE Y RECUPERACION DE TRES PLANOS REF. 123-01. ESPECIFICACIONES: FABRICADA EN TUBERIA REDONDA 1 Y 7/8 PLATO EN LAMINA COLL-ROLLED Y MARCO EN TUBERIA REDONDA DE 7/8 CON REFUERZOS ADICIONALES, ESPALDAR GRADUALBLE POR SISTEMA DE AHORCADOR CON DIVERSAS POSICIONES DE 0 A 90 GRADOS CON VARILLA PORTA SUEROS. rODOS DE 5. DE DIAMETRO (DOS CON FRENO), COLCHONETA EN ESPUMA DE 5 CM ES PESOR Y TAPIZADO EN CORDOBAN LAVABLE, BANDEJA EN LA PARTE INFERIOR COLD ROLLER. bARANDAS DE SEGURIDAD EN TUBERIA DE 7/8 Y 5/8 CROMADAS Placa padre: Tipo adquisicion: Entidad</v>
      </c>
      <c r="G7356" s="5"/>
    </row>
    <row r="7357" spans="1:7" ht="58.5" customHeight="1" x14ac:dyDescent="0.25">
      <c r="A7357" s="5" t="str">
        <f>"H0009119"</f>
        <v>H0009119</v>
      </c>
      <c r="B7357" s="5" t="str">
        <f>"CAMILLA DE TRASLADO DE 2 PLANOS"</f>
        <v>CAMILLA DE TRASLADO DE 2 PLANOS</v>
      </c>
      <c r="C7357" s="6">
        <v>1693600</v>
      </c>
      <c r="D7357" s="5" t="s">
        <v>166</v>
      </c>
      <c r="E7357" s="5" t="str">
        <f t="shared" si="349"/>
        <v>URGENCIAS ADULTO-Jenny Peña</v>
      </c>
      <c r="F7357"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000031360 Material: METAL Color: BEIGE Referencia: 141-70 Observacion: EN BUEN ESTADO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000031360 Material: METAL Color: BEIGE Referencia: 141-70 Observacion: EN BUEN ESTADO Placa padre: Tipo adquisicion: Entidad</v>
      </c>
      <c r="G7357" s="5" t="str">
        <f>"6552"</f>
        <v>6552</v>
      </c>
    </row>
    <row r="7358" spans="1:7" ht="58.5" customHeight="1" x14ac:dyDescent="0.25">
      <c r="A7358" s="5" t="str">
        <f>"H0009120"</f>
        <v>H0009120</v>
      </c>
      <c r="B7358" s="5" t="str">
        <f>"CAMILLA DE TRASLADO DE 2 PLANOS"</f>
        <v>CAMILLA DE TRASLADO DE 2 PLANOS</v>
      </c>
      <c r="C7358" s="6">
        <v>1500000</v>
      </c>
      <c r="D7358" s="5"/>
      <c r="E7358" s="5" t="str">
        <f t="shared" si="349"/>
        <v>URGENCIAS ADULTO-Jenny Peña</v>
      </c>
      <c r="F7358" s="5" t="str">
        <f>"Descripcion: CAMILLA CON 1 ATRIL-  Estructura fabricada en tuberia redonda tendido de dos planos en lamina de acero y marco de tuberia redonda.Espaldar graduable protector plastico en el contorno del plecero y el cabecero Barandas de seguridad. Estado: Bu"&amp; "eno Placa anterior: 000032899 Material: METAL  Color: BEIGE Referencia:  Observacion: BUEN ESTADO Placa padre: Tipo adquisicion: Entidad"</f>
        <v>Descripcion: CAMILLA CON 1 ATRIL-  Estructura fabricada en tuberia redonda tendido de dos planos en lamina de acero y marco de tuberia redonda.Espaldar graduable protector plastico en el contorno del plecero y el cabecero Barandas de seguridad. Estado: Bueno Placa anterior: 000032899 Material: METAL  Color: BEIGE Referencia:  Observacion: BUEN ESTADO Placa padre: Tipo adquisicion: Entidad</v>
      </c>
      <c r="G7358" s="5" t="str">
        <f>"6552"</f>
        <v>6552</v>
      </c>
    </row>
    <row r="7359" spans="1:7" ht="58.5" customHeight="1" x14ac:dyDescent="0.25">
      <c r="A7359" s="5" t="str">
        <f>"H0009122"</f>
        <v>H0009122</v>
      </c>
      <c r="B7359" s="5" t="str">
        <f>"CAMILLA DE TRASLADO DE 2 PLANOS"</f>
        <v>CAMILLA DE TRASLADO DE 2 PLANOS</v>
      </c>
      <c r="C7359" s="6">
        <v>1693600</v>
      </c>
      <c r="D7359" s="5" t="s">
        <v>166</v>
      </c>
      <c r="E7359" s="5" t="str">
        <f t="shared" si="349"/>
        <v>URGENCIAS ADULTO-Jenny Peña</v>
      </c>
      <c r="F7359" s="5" t="str">
        <f>"Descripcion: CAMILLA CON 1 ATRIL- Estructura fabricada en tuberia redonda tendido de dos planos en lamina de acero y marco de tuberia redonda.Espaldar graduable protector plastico en el contorno del plecero y el cabecero Barandas de seguridad. Estado: Bue"&amp; "no Placa anterior: 000031336 Material: METAL Color: BEIGE Referencia: 141-70 Observacion: BUEN ESTADO Placa padre: Tipo adquisicion: Entidad"</f>
        <v>Descripcion: CAMILLA CON 1 ATRIL- Estructura fabricada en tuberia redonda tendido de dos planos en lamina de acero y marco de tuberia redonda.Espaldar graduable protector plastico en el contorno del plecero y el cabecero Barandas de seguridad. Estado: Bueno Placa anterior: 000031336 Material: METAL Color: BEIGE Referencia: 141-70 Observacion: BUEN ESTADO Placa padre: Tipo adquisicion: Entidad</v>
      </c>
      <c r="G7359" s="5" t="str">
        <f>"6552"</f>
        <v>6552</v>
      </c>
    </row>
    <row r="7360" spans="1:7" ht="58.5" customHeight="1" x14ac:dyDescent="0.25">
      <c r="A7360" s="5" t="str">
        <f>"H0009123"</f>
        <v>H0009123</v>
      </c>
      <c r="B7360" s="5" t="str">
        <f>"CAMILLA DE TRASLADO DE 2 PLANOS"</f>
        <v>CAMILLA DE TRASLADO DE 2 PLANOS</v>
      </c>
      <c r="C7360" s="6">
        <v>1693600</v>
      </c>
      <c r="D7360" s="5" t="s">
        <v>166</v>
      </c>
      <c r="E7360" s="5" t="str">
        <f t="shared" si="349"/>
        <v>URGENCIAS ADULTO-Jenny Peña</v>
      </c>
      <c r="F7360" s="5" t="str">
        <f>"Descripcion: CAMILLA CON 1 ATRIL- Estructura fabricada en tuberia redonda tendido de dos planos en lamina de acero y marco de tuberia redonda.Espaldar graduable protector plastico en el contorno del plecero y el cabecero Barandas de seguridad. Estado: Bue"&amp; "no Placa anterior: 000031331 Material: METAL Color: BEIGE Referencia: 141-70 Observacion: BUEN ESTADO Placa padre: Tipo adquisicion: Entidad"</f>
        <v>Descripcion: CAMILLA CON 1 ATRIL- Estructura fabricada en tuberia redonda tendido de dos planos en lamina de acero y marco de tuberia redonda.Espaldar graduable protector plastico en el contorno del plecero y el cabecero Barandas de seguridad. Estado: Bueno Placa anterior: 000031331 Material: METAL Color: BEIGE Referencia: 141-70 Observacion: BUEN ESTADO Placa padre: Tipo adquisicion: Entidad</v>
      </c>
      <c r="G7360" s="5" t="str">
        <f>"6552"</f>
        <v>6552</v>
      </c>
    </row>
    <row r="7361" spans="1:7" ht="58.5" customHeight="1" x14ac:dyDescent="0.25">
      <c r="A7361" s="5" t="str">
        <f>"H0009124"</f>
        <v>H0009124</v>
      </c>
      <c r="B7361" s="5" t="str">
        <f>"ESCALERILLA DE 2 PASOS"</f>
        <v>ESCALERILLA DE 2 PASOS</v>
      </c>
      <c r="C7361" s="6">
        <v>100000</v>
      </c>
      <c r="D7361" s="5" t="s">
        <v>49</v>
      </c>
      <c r="E7361" s="5" t="str">
        <f t="shared" si="349"/>
        <v>URGENCIAS ADULTO-Jenny Peña</v>
      </c>
      <c r="F7361" s="5" t="str">
        <f>"Descripcion: ESCALERILLA DOS PASOS EN PASTA Estado: Bueno Placa anterior: 000029822 Material: METAL Y PASTA  Color: GRIS Y BLANCO Referencia:  Observacion: SE ENCUENTRAN EN MAL ESTADO, ESTAN PARTIDOS LOS PASOS Placa padre: Tipo adquisicion: Entidad"</f>
        <v>Descripcion: ESCALERILLA DOS PASOS EN PASTA Estado: Bueno Placa anterior: 000029822 Material: METAL Y PASTA  Color: GRIS Y BLANCO Referencia:  Observacion: SE ENCUENTRAN EN MAL ESTADO, ESTAN PARTIDOS LOS PASOS Placa padre: Tipo adquisicion: Entidad</v>
      </c>
      <c r="G7361" s="5"/>
    </row>
    <row r="7362" spans="1:7" ht="58.5" customHeight="1" x14ac:dyDescent="0.25">
      <c r="A7362" s="5" t="str">
        <f>"H0009125"</f>
        <v>H0009125</v>
      </c>
      <c r="B7362" s="5" t="str">
        <f>"ESCALERILLA DE 2 PASOS"</f>
        <v>ESCALERILLA DE 2 PASOS</v>
      </c>
      <c r="C7362" s="6">
        <v>100000</v>
      </c>
      <c r="D7362" s="5" t="s">
        <v>49</v>
      </c>
      <c r="E7362" s="5" t="str">
        <f t="shared" si="349"/>
        <v>URGENCIAS ADULTO-Jenny Peña</v>
      </c>
      <c r="F7362" s="5" t="str">
        <f>"Descripcion: ESCALERILLA DOS PASOS EN PASTA  Estado: Bueno Placa anterior: 000029824 Material: METAL Y ´PASTA Color: GRIS Y BLANCO Referencia:  Observacion:  Placa padre: Tipo adquisicion: Entidad"</f>
        <v>Descripcion: ESCALERILLA DOS PASOS EN PASTA  Estado: Bueno Placa anterior: 000029824 Material: METAL Y ´PASTA Color: GRIS Y BLANCO Referencia:  Observacion:  Placa padre: Tipo adquisicion: Entidad</v>
      </c>
      <c r="G7362" s="5"/>
    </row>
    <row r="7363" spans="1:7" ht="58.5" customHeight="1" x14ac:dyDescent="0.25">
      <c r="A7363" s="5" t="str">
        <f>"H0009126"</f>
        <v>H0009126</v>
      </c>
      <c r="B7363" s="5" t="str">
        <f>"ESCALERILLA DE 2 PASOS"</f>
        <v>ESCALERILLA DE 2 PASOS</v>
      </c>
      <c r="C7363" s="6">
        <v>100000</v>
      </c>
      <c r="D7363" s="5" t="s">
        <v>49</v>
      </c>
      <c r="E7363" s="5" t="str">
        <f t="shared" si="349"/>
        <v>URGENCIAS ADULTO-Jenny Peña</v>
      </c>
      <c r="F7363" s="5" t="str">
        <f>"Descripcion: ESCALERILLA DE DOS PASO EN TUBO REDONDO Y EN MADERA Estado: Regular Placa anterior: 000029810 Material: METAL Y FORMICA  Color: GRIS Y BLANCO Referencia:  Observacion: FALTAN DOS TAPONES  Placa padre: Tipo adquisicion: Entidad"</f>
        <v>Descripcion: ESCALERILLA DE DOS PASO EN TUBO REDONDO Y EN MADERA Estado: Regular Placa anterior: 000029810 Material: METAL Y FORMICA  Color: GRIS Y BLANCO Referencia:  Observacion: FALTAN DOS TAPONES  Placa padre: Tipo adquisicion: Entidad</v>
      </c>
      <c r="G7363" s="5"/>
    </row>
    <row r="7364" spans="1:7" ht="58.5" customHeight="1" x14ac:dyDescent="0.25">
      <c r="A7364" s="5" t="str">
        <f>"H0009127"</f>
        <v>H0009127</v>
      </c>
      <c r="B7364" s="5" t="str">
        <f>"ESCALERILLA DE 2 PASOS"</f>
        <v>ESCALERILLA DE 2 PASOS</v>
      </c>
      <c r="C7364" s="6">
        <v>100000</v>
      </c>
      <c r="D7364" s="5" t="s">
        <v>49</v>
      </c>
      <c r="E7364" s="5" t="str">
        <f t="shared" si="349"/>
        <v>URGENCIAS ADULTO-Jenny Peña</v>
      </c>
      <c r="F7364" s="5" t="str">
        <f>"Descripcion: ESCALERILLA DE DOS PASO EN TUBO REDONDO Estado: Regular Placa anterior: 000029835 Material: METAL Y FORMICA  Color: GRIS Y BLANCO Referencia:  Observacion: FALTA UN TAPON Placa padre: Tipo adquisicion: Entidad"</f>
        <v>Descripcion: ESCALERILLA DE DOS PASO EN TUBO REDONDO Estado: Regular Placa anterior: 000029835 Material: METAL Y FORMICA  Color: GRIS Y BLANCO Referencia:  Observacion: FALTA UN TAPON Placa padre: Tipo adquisicion: Entidad</v>
      </c>
      <c r="G7364" s="5"/>
    </row>
    <row r="7365" spans="1:7" ht="58.5" customHeight="1" x14ac:dyDescent="0.25">
      <c r="A7365" s="5" t="str">
        <f>"H0009128"</f>
        <v>H0009128</v>
      </c>
      <c r="B7365" s="5" t="str">
        <f>"ATRIL PORTASUERO MOVIL"</f>
        <v>ATRIL PORTASUERO MOVIL</v>
      </c>
      <c r="C7365" s="6">
        <v>145000</v>
      </c>
      <c r="D7365" s="5" t="s">
        <v>166</v>
      </c>
      <c r="E7365" s="5" t="str">
        <f t="shared" si="349"/>
        <v>URGENCIAS ADULTO-Jenny Peña</v>
      </c>
      <c r="F7365" s="5" t="str">
        <f>"Descripcion: ATRIL DE ACERO INOXIDABLE EN BUEN ESTADO  Estado: Bueno Placa anterior: 000031444 Material: ACERO Color: GRIS Referencia:  Observacion: BUEN ESTADO Placa padre: Tipo adquisicion: Entidad"</f>
        <v>Descripcion: ATRIL DE ACERO INOXIDABLE EN BUEN ESTADO  Estado: Bueno Placa anterior: 000031444 Material: ACERO Color: GRIS Referencia:  Observacion: BUEN ESTADO Placa padre: Tipo adquisicion: Entidad</v>
      </c>
      <c r="G7365" s="5"/>
    </row>
    <row r="7366" spans="1:7" ht="58.5" customHeight="1" x14ac:dyDescent="0.25">
      <c r="A7366" s="5" t="str">
        <f>"H0009130"</f>
        <v>H0009130</v>
      </c>
      <c r="B7366" s="5" t="str">
        <f>"VENTILADOR DE PARED"</f>
        <v>VENTILADOR DE PARED</v>
      </c>
      <c r="C7366" s="6">
        <v>38350</v>
      </c>
      <c r="D7366" s="5"/>
      <c r="E7366" s="5" t="str">
        <f t="shared" si="349"/>
        <v>URGENCIAS ADULTO-Jenny Peña</v>
      </c>
      <c r="F7366" s="5" t="str">
        <f>"Descripcion: VENTILADOR DE PARED Estado: Bueno Placa anterior: 000019241 Material: PASTA Y METAL Color: NEGRO  Referencia:  Observacion: AUTORIZADO CONCILIAR EN CRUCE GENERAL Placa padre: Tipo adquisicion: Entidad"</f>
        <v>Descripcion: VENTILADOR DE PARED Estado: Bueno Placa anterior: 000019241 Material: PASTA Y METAL Color: NEGRO  Referencia:  Observacion: AUTORIZADO CONCILIAR EN CRUCE GENERAL Placa padre: Tipo adquisicion: Entidad</v>
      </c>
      <c r="G7366" s="5"/>
    </row>
    <row r="7367" spans="1:7" ht="58.5" customHeight="1" x14ac:dyDescent="0.25">
      <c r="A7367" s="5" t="str">
        <f>"H0009131"</f>
        <v>H0009131</v>
      </c>
      <c r="B7367" s="5" t="str">
        <f>"CARRO TRANSPORTE DE MEDICAMENTOS"</f>
        <v>CARRO TRANSPORTE DE MEDICAMENTOS</v>
      </c>
      <c r="C7367" s="6">
        <v>870000</v>
      </c>
      <c r="D7367" s="5" t="s">
        <v>161</v>
      </c>
      <c r="E7367" s="5" t="str">
        <f t="shared" si="349"/>
        <v>URGENCIAS ADULTO-Jenny Peña</v>
      </c>
      <c r="F7367"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000031565 Material: METAL Color: BEIS Referencia:  Observacion: BUEN ESTADO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000031565 Material: METAL Color: BEIS Referencia:  Observacion: BUEN ESTADO Placa padre: Tipo adquisicion: Entidad</v>
      </c>
      <c r="G7367" s="5" t="str">
        <f>"182-30"</f>
        <v>182-30</v>
      </c>
    </row>
    <row r="7368" spans="1:7" ht="58.5" customHeight="1" x14ac:dyDescent="0.25">
      <c r="A7368" s="5" t="str">
        <f>"H0009132"</f>
        <v>H0009132</v>
      </c>
      <c r="B7368" s="5" t="str">
        <f>"MESA (CARRO) DE CURACIONES"</f>
        <v>MESA (CARRO) DE CURACIONES</v>
      </c>
      <c r="C7368" s="6">
        <v>336400</v>
      </c>
      <c r="D7368" s="5" t="s">
        <v>161</v>
      </c>
      <c r="E7368" s="5" t="str">
        <f t="shared" si="349"/>
        <v>URGENCIAS ADULTO-Jenny Peña</v>
      </c>
      <c r="F7368" s="5" t="str">
        <f>"Descripcion: CARROS AUXILIARES(MESA AUXILIAR RODANTE)CON RODACHINES. Estructura fabricada en tuberia de acero, plato superior e inferior para transporte de materiales e implementos, plato superior en acero inoxidable, barandillas de seguridad en acero ino"&amp; "xidable.Dime Estado: Bueno Placa anterior: 000031550 Material: METAL Y ACERO Color: PLATEADO Y BEIGE Referencia:  Observacion:  Placa padre: Tipo adquisicion: Entidad"</f>
        <v>Descripcion: CARROS AUXILIARES(MESA AUXILIAR RODANTE)CON RODACHINES. Estructura fabricada en tuberia de acero, plato superior e inferior para transporte de materiales e implementos, plato superior en acero inoxidable, barandillas de seguridad en acero inoxidable.Dime Estado: Bueno Placa anterior: 000031550 Material: METAL Y ACERO Color: PLATEADO Y BEIGE Referencia:  Observacion:  Placa padre: Tipo adquisicion: Entidad</v>
      </c>
      <c r="G7368" s="5" t="str">
        <f>"1181-22"</f>
        <v>1181-22</v>
      </c>
    </row>
    <row r="7369" spans="1:7" ht="58.5" customHeight="1" x14ac:dyDescent="0.25">
      <c r="A7369" s="5" t="str">
        <f>"H0009133"</f>
        <v>H0009133</v>
      </c>
      <c r="B7369" s="5" t="str">
        <f>"POTE (TARRO) ACERO INXODABLE CON TAPA MEDIANO"</f>
        <v>POTE (TARRO) ACERO INXODABLE CON TAPA MEDIANO</v>
      </c>
      <c r="C7369" s="6">
        <v>5498.01</v>
      </c>
      <c r="D7369" s="5"/>
      <c r="E7369" s="5" t="str">
        <f t="shared" si="349"/>
        <v>URGENCIAS ADULTO-Jenny Peña</v>
      </c>
      <c r="F7369" s="5" t="str">
        <f>"Descripcion: TARRO NIQUELADO Estado: Bueno Placa anterior: 000019740 Material: ACERO Color: PLATEADO Referencia:  Observacion: BUEN ESTADO Placa padre: Tipo adquisicion: Entidad"</f>
        <v>Descripcion: TARRO NIQUELADO Estado: Bueno Placa anterior: 000019740 Material: ACERO Color: PLATEADO Referencia:  Observacion: BUEN ESTADO Placa padre: Tipo adquisicion: Entidad</v>
      </c>
      <c r="G7369" s="5"/>
    </row>
    <row r="7370" spans="1:7" ht="58.5" customHeight="1" x14ac:dyDescent="0.25">
      <c r="A7370" s="5" t="str">
        <f>"H0009134"</f>
        <v>H0009134</v>
      </c>
      <c r="B7370" s="5" t="str">
        <f>"MONITOR DE SIGNOS VITALES"</f>
        <v>MONITOR DE SIGNOS VITALES</v>
      </c>
      <c r="C7370" s="6">
        <v>4118000</v>
      </c>
      <c r="D7370" s="5" t="s">
        <v>345</v>
      </c>
      <c r="E7370" s="5" t="str">
        <f t="shared" si="349"/>
        <v>URGENCIAS ADULTO-Jenny Peña</v>
      </c>
      <c r="F7370" s="5" t="str">
        <f>"Descripcion: EQUIPO PARA MEDICION DE SIGNOS VITALES CON PRESION ARTERIAL SISTOLICA, DIASTOLICA Y MEDIA PULSO MCA W.A. CODIGO L-2090- CON BASE METALICA CON RUEDAS Estado: Bueno Placa anterior: 000030033 Material: METAL Y PASTA Color: BLANCO Y AZUL Referenc"&amp; "ia:  Observacion:  Placa padre: Tipo adquisicion: Entidad"</f>
        <v>Descripcion: EQUIPO PARA MEDICION DE SIGNOS VITALES CON PRESION ARTERIAL SISTOLICA, DIASTOLICA Y MEDIA PULSO MCA W.A. CODIGO L-2090- CON BASE METALICA CON RUEDAS Estado: Bueno Placa anterior: 000030033 Material: METAL Y PASTA Color: BLANCO Y AZUL Referencia:  Observacion:  Placa padre: Tipo adquisicion: Entidad</v>
      </c>
      <c r="G7370" s="5" t="str">
        <f>"4200B-SPOT VITAL S."</f>
        <v>4200B-SPOT VITAL S.</v>
      </c>
    </row>
    <row r="7371" spans="1:7" ht="58.5" customHeight="1" x14ac:dyDescent="0.25">
      <c r="A7371" s="5" t="str">
        <f>"H0009135"</f>
        <v>H0009135</v>
      </c>
      <c r="B7371" s="5" t="str">
        <f t="shared" ref="B7371:B7378" si="350">"CAMILLA DE TRASLADO DE 2 PLANOS"</f>
        <v>CAMILLA DE TRASLADO DE 2 PLANOS</v>
      </c>
      <c r="C7371" s="6">
        <v>1693600</v>
      </c>
      <c r="D7371" s="5" t="s">
        <v>166</v>
      </c>
      <c r="E7371" s="5" t="str">
        <f t="shared" si="349"/>
        <v>URGENCIAS ADULTO-Jenny Peña</v>
      </c>
      <c r="F7371"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000031365 Material: METAL Color: BEIGE Referencia: 141-70 Observacion: EL SERIAL FISICO QUE TENIA ERA EL 30614 Y NO 31041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000031365 Material: METAL Color: BEIGE Referencia: 141-70 Observacion: EL SERIAL FISICO QUE TENIA ERA EL 30614 Y NO 31041 Placa padre: Tipo adquisicion: Entidad</v>
      </c>
      <c r="G7371" s="5" t="str">
        <f t="shared" ref="G7371:G7376" si="351">"6552"</f>
        <v>6552</v>
      </c>
    </row>
    <row r="7372" spans="1:7" ht="58.5" customHeight="1" x14ac:dyDescent="0.25">
      <c r="A7372" s="5" t="str">
        <f>"H0009136"</f>
        <v>H0009136</v>
      </c>
      <c r="B7372" s="5" t="str">
        <f t="shared" si="350"/>
        <v>CAMILLA DE TRASLADO DE 2 PLANOS</v>
      </c>
      <c r="C7372" s="6">
        <v>1693600</v>
      </c>
      <c r="D7372" s="5" t="s">
        <v>166</v>
      </c>
      <c r="E7372" s="5" t="str">
        <f t="shared" si="349"/>
        <v>URGENCIAS ADULTO-Jenny Peña</v>
      </c>
      <c r="F7372"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000031333 Material: METAL Color: BEIGE Referencia: 141-70 Observacion: NO TENIA SERIAL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000031333 Material: METAL Color: BEIGE Referencia: 141-70 Observacion: NO TENIA SERIAL Placa padre: Tipo adquisicion: Entidad</v>
      </c>
      <c r="G7372" s="5" t="str">
        <f t="shared" si="351"/>
        <v>6552</v>
      </c>
    </row>
    <row r="7373" spans="1:7" ht="58.5" customHeight="1" x14ac:dyDescent="0.25">
      <c r="A7373" s="5" t="str">
        <f>"H0009137"</f>
        <v>H0009137</v>
      </c>
      <c r="B7373" s="5" t="str">
        <f t="shared" si="350"/>
        <v>CAMILLA DE TRASLADO DE 2 PLANOS</v>
      </c>
      <c r="C7373" s="6">
        <v>1693600</v>
      </c>
      <c r="D7373" s="5" t="s">
        <v>166</v>
      </c>
      <c r="E7373" s="5" t="str">
        <f t="shared" si="349"/>
        <v>URGENCIAS ADULTO-Jenny Peña</v>
      </c>
      <c r="F7373"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000031334 Material: METAL Color: BEIGE Referencia: 141-70 Observacion: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000031334 Material: METAL Color: BEIGE Referencia: 141-70 Observacion:  Placa padre: Tipo adquisicion: Entidad</v>
      </c>
      <c r="G7373" s="5" t="str">
        <f t="shared" si="351"/>
        <v>6552</v>
      </c>
    </row>
    <row r="7374" spans="1:7" ht="58.5" customHeight="1" x14ac:dyDescent="0.25">
      <c r="A7374" s="5" t="str">
        <f>"H0009139"</f>
        <v>H0009139</v>
      </c>
      <c r="B7374" s="5" t="str">
        <f t="shared" si="350"/>
        <v>CAMILLA DE TRASLADO DE 2 PLANOS</v>
      </c>
      <c r="C7374" s="6">
        <v>1693600</v>
      </c>
      <c r="D7374" s="5" t="s">
        <v>166</v>
      </c>
      <c r="E7374" s="5" t="str">
        <f t="shared" si="349"/>
        <v>URGENCIAS ADULTO-Jenny Peña</v>
      </c>
      <c r="F7374"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000031340 Material: METAL Color: BEIGE Referencia: 141-70 Observacion: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000031340 Material: METAL Color: BEIGE Referencia: 141-70 Observacion:  Placa padre: Tipo adquisicion: Entidad</v>
      </c>
      <c r="G7374" s="5" t="str">
        <f t="shared" si="351"/>
        <v>6552</v>
      </c>
    </row>
    <row r="7375" spans="1:7" ht="58.5" customHeight="1" x14ac:dyDescent="0.25">
      <c r="A7375" s="5" t="str">
        <f>"H0009140"</f>
        <v>H0009140</v>
      </c>
      <c r="B7375" s="5" t="str">
        <f t="shared" si="350"/>
        <v>CAMILLA DE TRASLADO DE 2 PLANOS</v>
      </c>
      <c r="C7375" s="6">
        <v>1693600</v>
      </c>
      <c r="D7375" s="5" t="s">
        <v>166</v>
      </c>
      <c r="E7375" s="5" t="str">
        <f t="shared" si="349"/>
        <v>URGENCIAS ADULTO-Jenny Peña</v>
      </c>
      <c r="F7375"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000031337 Material: METAL Color: BEIGE Referencia: 141-70 Observacion: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000031337 Material: METAL Color: BEIGE Referencia: 141-70 Observacion:  Placa padre: Tipo adquisicion: Entidad</v>
      </c>
      <c r="G7375" s="5" t="str">
        <f t="shared" si="351"/>
        <v>6552</v>
      </c>
    </row>
    <row r="7376" spans="1:7" ht="58.5" customHeight="1" x14ac:dyDescent="0.25">
      <c r="A7376" s="5" t="str">
        <f>"H0009141"</f>
        <v>H0009141</v>
      </c>
      <c r="B7376" s="5" t="str">
        <f t="shared" si="350"/>
        <v>CAMILLA DE TRASLADO DE 2 PLANOS</v>
      </c>
      <c r="C7376" s="6">
        <v>1693600</v>
      </c>
      <c r="D7376" s="5" t="s">
        <v>166</v>
      </c>
      <c r="E7376" s="5" t="str">
        <f t="shared" si="349"/>
        <v>URGENCIAS ADULTO-Jenny Peña</v>
      </c>
      <c r="F7376" s="5" t="str">
        <f>"Descripcion: CAMILLA CON 1 ATRIL-Estructura fabricada en tuberia redonda tendido de dos planos en lamina de acero y marco de tuberia redonda.Espaldar graduable protector plastico en el contorno del plecero y el cabecero Barandas de seguridad. Estado: Buen"&amp; "o Placa anterior: 000031361 Material: METAL Color: BEIGE Referencia: 141-70 Observacion:  Placa padre: Tipo adquisicion: Entidad"</f>
        <v>Descripcion: CAMILLA CON 1 ATRIL-Estructura fabricada en tuberia redonda tendido de dos planos en lamina de acero y marco de tuberia redonda.Espaldar graduable protector plastico en el contorno del plecero y el cabecero Barandas de seguridad. Estado: Bueno Placa anterior: 000031361 Material: METAL Color: BEIGE Referencia: 141-70 Observacion:  Placa padre: Tipo adquisicion: Entidad</v>
      </c>
      <c r="G7376" s="5" t="str">
        <f t="shared" si="351"/>
        <v>6552</v>
      </c>
    </row>
    <row r="7377" spans="1:7" ht="58.5" customHeight="1" x14ac:dyDescent="0.25">
      <c r="A7377" s="5" t="str">
        <f>"H0009142"</f>
        <v>H0009142</v>
      </c>
      <c r="B7377" s="5" t="str">
        <f t="shared" si="350"/>
        <v>CAMILLA DE TRASLADO DE 2 PLANOS</v>
      </c>
      <c r="C7377" s="6">
        <v>1693600</v>
      </c>
      <c r="D7377" s="5" t="s">
        <v>166</v>
      </c>
      <c r="E7377" s="5" t="str">
        <f t="shared" si="349"/>
        <v>URGENCIAS ADULTO-Jenny Peña</v>
      </c>
      <c r="F7377"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000031339 Material: METAL Color: BEIGE Referencia:  Observacion: BUEN ESTADO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000031339 Material: METAL Color: BEIGE Referencia:  Observacion: BUEN ESTADO Placa padre: Tipo adquisicion: Entidad</v>
      </c>
      <c r="G7377" s="5" t="str">
        <f>"141-70"</f>
        <v>141-70</v>
      </c>
    </row>
    <row r="7378" spans="1:7" ht="58.5" customHeight="1" x14ac:dyDescent="0.25">
      <c r="A7378" s="5" t="str">
        <f>"H0009143"</f>
        <v>H0009143</v>
      </c>
      <c r="B7378" s="5" t="str">
        <f t="shared" si="350"/>
        <v>CAMILLA DE TRASLADO DE 2 PLANOS</v>
      </c>
      <c r="C7378" s="6">
        <v>1693600</v>
      </c>
      <c r="D7378" s="5" t="s">
        <v>166</v>
      </c>
      <c r="E7378" s="5" t="str">
        <f t="shared" si="349"/>
        <v>URGENCIAS ADULTO-Jenny Peña</v>
      </c>
      <c r="F7378"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000031352 Material: METAL Color: BEIGE Referencia:  Observacion: BUEN ESTADO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000031352 Material: METAL Color: BEIGE Referencia:  Observacion: BUEN ESTADO Placa padre: Tipo adquisicion: Entidad</v>
      </c>
      <c r="G7378" s="5" t="str">
        <f>"141-70"</f>
        <v>141-70</v>
      </c>
    </row>
    <row r="7379" spans="1:7" ht="58.5" customHeight="1" x14ac:dyDescent="0.25">
      <c r="A7379" s="5" t="str">
        <f>"H0009144"</f>
        <v>H0009144</v>
      </c>
      <c r="B7379" s="5" t="str">
        <f>"ESCALERILLA DE 2 PASOS"</f>
        <v>ESCALERILLA DE 2 PASOS</v>
      </c>
      <c r="C7379" s="6">
        <v>100000</v>
      </c>
      <c r="D7379" s="5" t="s">
        <v>49</v>
      </c>
      <c r="E7379" s="5" t="str">
        <f t="shared" si="349"/>
        <v>URGENCIAS ADULTO-Jenny Peña</v>
      </c>
      <c r="F7379" s="5" t="str">
        <f>"Descripcion: ESCALERILLA DE DOS PASO EN TUBO REDONDO Estado: Regular Placa anterior: 000029819 Material: METAL Y FORMICA Color: GRIS Y BLANCO Referencia:  Observacion: TIENEN PARTES OXIDADAS Placa padre: Tipo adquisicion: Entidad"</f>
        <v>Descripcion: ESCALERILLA DE DOS PASO EN TUBO REDONDO Estado: Regular Placa anterior: 000029819 Material: METAL Y FORMICA Color: GRIS Y BLANCO Referencia:  Observacion: TIENEN PARTES OXIDADAS Placa padre: Tipo adquisicion: Entidad</v>
      </c>
      <c r="G7379" s="5"/>
    </row>
    <row r="7380" spans="1:7" ht="58.5" customHeight="1" x14ac:dyDescent="0.25">
      <c r="A7380" s="5" t="str">
        <f>"H0009145"</f>
        <v>H0009145</v>
      </c>
      <c r="B7380" s="5" t="str">
        <f>"ESCALERILLA DE 2 PASOS"</f>
        <v>ESCALERILLA DE 2 PASOS</v>
      </c>
      <c r="C7380" s="6">
        <v>100000</v>
      </c>
      <c r="D7380" s="5" t="s">
        <v>49</v>
      </c>
      <c r="E7380" s="5" t="str">
        <f t="shared" si="349"/>
        <v>URGENCIAS ADULTO-Jenny Peña</v>
      </c>
      <c r="F7380" s="5" t="str">
        <f>"Descripcion: ESCALERILLA DE DOS PASO EN TUBO REDONDO Estado: Regular Placa anterior: 000029816 Material: METAL Y FORMICA  Color: GRIS Y BLANCO Referencia:  Observacion: TORNILLO DE UN PASO SUELTO Placa padre: Tipo adquisicion: Entidad"</f>
        <v>Descripcion: ESCALERILLA DE DOS PASO EN TUBO REDONDO Estado: Regular Placa anterior: 000029816 Material: METAL Y FORMICA  Color: GRIS Y BLANCO Referencia:  Observacion: TORNILLO DE UN PASO SUELTO Placa padre: Tipo adquisicion: Entidad</v>
      </c>
      <c r="G7380" s="5"/>
    </row>
    <row r="7381" spans="1:7" ht="58.5" customHeight="1" x14ac:dyDescent="0.25">
      <c r="A7381" s="5" t="str">
        <f>"H0009149"</f>
        <v>H0009149</v>
      </c>
      <c r="B7381" s="5" t="str">
        <f>"MESA DE NOCHE"</f>
        <v>MESA DE NOCHE</v>
      </c>
      <c r="C7381" s="6">
        <v>327586</v>
      </c>
      <c r="D7381" s="5"/>
      <c r="E7381" s="5" t="str">
        <f t="shared" si="349"/>
        <v>URGENCIAS ADULTO-Jenny Peña</v>
      </c>
      <c r="F7381" s="5" t="str">
        <f>"Descripcion: MESA DE NOCHE EN ACERO Estado: Bueno Placa anterior: 000033035 Material: ACERO INOXIDABLE Color: PLATEADO Referencia:  Observacion: BUEN ESTADO Placa padre: Tipo adquisicion: Entidad"</f>
        <v>Descripcion: MESA DE NOCHE EN ACERO Estado: Bueno Placa anterior: 000033035 Material: ACERO INOXIDABLE Color: PLATEADO Referencia:  Observacion: BUEN ESTADO Placa padre: Tipo adquisicion: Entidad</v>
      </c>
      <c r="G7381" s="5"/>
    </row>
    <row r="7382" spans="1:7" ht="58.5" customHeight="1" x14ac:dyDescent="0.25">
      <c r="A7382" s="5" t="str">
        <f>"H0009153"</f>
        <v>H0009153</v>
      </c>
      <c r="B7382" s="5" t="str">
        <f>"LAVAPLATOS EN ACERO INOXIDABLE 1 PUESTO"</f>
        <v>LAVAPLATOS EN ACERO INOXIDABLE 1 PUESTO</v>
      </c>
      <c r="C7382" s="6">
        <v>81414.84</v>
      </c>
      <c r="D7382" s="5"/>
      <c r="E7382" s="5" t="str">
        <f t="shared" si="349"/>
        <v>URGENCIAS ADULTO-Jenny Peña</v>
      </c>
      <c r="F7382" s="5" t="str">
        <f>"Descripcion: MESON CON ACERO 2 NIVELES Y LAVA MANOS TOPE EN U CON UN VERTEDERO 1.88*57 Estado: Bueno Placa anterior: 000019743 Material: ACERO Color: PLATEADO Referencia:  Observacion: BUEN ESTADO Placa padre: Tipo adquisicion: Entidad"</f>
        <v>Descripcion: MESON CON ACERO 2 NIVELES Y LAVA MANOS TOPE EN U CON UN VERTEDERO 1.88*57 Estado: Bueno Placa anterior: 000019743 Material: ACERO Color: PLATEADO Referencia:  Observacion: BUEN ESTADO Placa padre: Tipo adquisicion: Entidad</v>
      </c>
      <c r="G7382" s="5"/>
    </row>
    <row r="7383" spans="1:7" ht="58.5" customHeight="1" x14ac:dyDescent="0.25">
      <c r="A7383" s="5" t="str">
        <f>"H0009154"</f>
        <v>H0009154</v>
      </c>
      <c r="B7383" s="5" t="str">
        <f>"POTE (TARRO) ACERO INXODABLE CON TAPA MEDIANO"</f>
        <v>POTE (TARRO) ACERO INXODABLE CON TAPA MEDIANO</v>
      </c>
      <c r="C7383" s="6">
        <v>5498.01</v>
      </c>
      <c r="D7383" s="5"/>
      <c r="E7383" s="5" t="str">
        <f t="shared" si="349"/>
        <v>URGENCIAS ADULTO-Jenny Peña</v>
      </c>
      <c r="F7383" s="5" t="str">
        <f>"Descripcion: TARRO NIQUELADO Estado: Bueno Placa anterior: 000019717 Material: ACERO INOXIDABLE Color: PLATEADO Referencia:  Observacion: BUEN ESTADO Placa padre: Tipo adquisicion: Entidad"</f>
        <v>Descripcion: TARRO NIQUELADO Estado: Bueno Placa anterior: 000019717 Material: ACERO INOXIDABLE Color: PLATEADO Referencia:  Observacion: BUEN ESTADO Placa padre: Tipo adquisicion: Entidad</v>
      </c>
      <c r="G7383" s="5"/>
    </row>
    <row r="7384" spans="1:7" ht="58.5" customHeight="1" x14ac:dyDescent="0.25">
      <c r="A7384" s="5" t="str">
        <f>"H0009155"</f>
        <v>H0009155</v>
      </c>
      <c r="B7384" s="5" t="str">
        <f>"POTE (TARRO) ACERO INXODABLE CON TAPA MEDIANO"</f>
        <v>POTE (TARRO) ACERO INXODABLE CON TAPA MEDIANO</v>
      </c>
      <c r="C7384" s="6">
        <v>19173.189999999999</v>
      </c>
      <c r="D7384" s="5"/>
      <c r="E7384" s="5" t="str">
        <f t="shared" si="349"/>
        <v>URGENCIAS ADULTO-Jenny Peña</v>
      </c>
      <c r="F7384" s="5" t="str">
        <f>"Descripcion: TARRO EN ACERO INOXIDABLE Estado: Bueno Placa anterior: 000019802 Material: ACERO INOXIDABLE Color: PLATEADO Referencia:  Observacion: BUEN ESTADO Placa padre: Tipo adquisicion: Entidad"</f>
        <v>Descripcion: TARRO EN ACERO INOXIDABLE Estado: Bueno Placa anterior: 000019802 Material: ACERO INOXIDABLE Color: PLATEADO Referencia:  Observacion: BUEN ESTADO Placa padre: Tipo adquisicion: Entidad</v>
      </c>
      <c r="G7384" s="5"/>
    </row>
    <row r="7385" spans="1:7" ht="58.5" customHeight="1" x14ac:dyDescent="0.25">
      <c r="A7385" s="5" t="str">
        <f>"H0009156"</f>
        <v>H0009156</v>
      </c>
      <c r="B7385" s="5" t="str">
        <f>"CUBETA DE ACERO INOXIDABLE CON TAPA GRANDE"</f>
        <v>CUBETA DE ACERO INOXIDABLE CON TAPA GRANDE</v>
      </c>
      <c r="C7385" s="6">
        <v>22335</v>
      </c>
      <c r="D7385" s="5"/>
      <c r="E7385" s="5" t="str">
        <f t="shared" si="349"/>
        <v>URGENCIAS ADULTO-Jenny Peña</v>
      </c>
      <c r="F7385" s="5" t="str">
        <f>"Descripcion: CUBETA EN ACERO INOXIDABLE Estado: Bueno Placa anterior: 000019951 Material: ACERO INOXIDABLE Color: PLATIADO Referencia:  Observacion: BUEN ESTAADO Placa padre: Tipo adquisicion: Entidad"</f>
        <v>Descripcion: CUBETA EN ACERO INOXIDABLE Estado: Bueno Placa anterior: 000019951 Material: ACERO INOXIDABLE Color: PLATIADO Referencia:  Observacion: BUEN ESTAADO Placa padre: Tipo adquisicion: Entidad</v>
      </c>
      <c r="G7385" s="5"/>
    </row>
    <row r="7386" spans="1:7" ht="58.5" customHeight="1" x14ac:dyDescent="0.25">
      <c r="A7386" s="5" t="str">
        <f>"H0009164"</f>
        <v>H0009164</v>
      </c>
      <c r="B7386" s="5" t="str">
        <f>"CAMILLA DE TRASLADO DE 2 PLANOS"</f>
        <v>CAMILLA DE TRASLADO DE 2 PLANOS</v>
      </c>
      <c r="C7386" s="6">
        <v>1500000</v>
      </c>
      <c r="D7386" s="5"/>
      <c r="E7386" s="5" t="str">
        <f t="shared" si="349"/>
        <v>URGENCIAS ADULTO-Jenny Peña</v>
      </c>
      <c r="F7386" s="5" t="str">
        <f>"Descripcion: CAMILLA DE REPOSO CON 1 ATRIL Estado: Bueno Placa anterior: 000032895 Material: METAL Y CUERINA Color: BEIGE Y NEGRO Referencia:  Observacion:  Placa padre: Tipo adquisicion: Entidad"</f>
        <v>Descripcion: CAMILLA DE REPOSO CON 1 ATRIL Estado: Bueno Placa anterior: 000032895 Material: METAL Y CUERINA Color: BEIGE Y NEGRO Referencia:  Observacion:  Placa padre: Tipo adquisicion: Entidad</v>
      </c>
      <c r="G7386" s="5" t="str">
        <f>"6552"</f>
        <v>6552</v>
      </c>
    </row>
    <row r="7387" spans="1:7" ht="58.5" customHeight="1" x14ac:dyDescent="0.25">
      <c r="A7387" s="5" t="str">
        <f>"H0009165"</f>
        <v>H0009165</v>
      </c>
      <c r="B7387" s="5" t="str">
        <f>"CAMILLA DE TRASLADO DE 2 PLANOS"</f>
        <v>CAMILLA DE TRASLADO DE 2 PLANOS</v>
      </c>
      <c r="C7387" s="6">
        <v>1693600</v>
      </c>
      <c r="D7387" s="5" t="s">
        <v>166</v>
      </c>
      <c r="E7387" s="5" t="str">
        <f t="shared" si="349"/>
        <v>URGENCIAS ADULTO-Jenny Peña</v>
      </c>
      <c r="F7387"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000031353 Material: METAL Y CUERINA Color: BEIGE Y NEGRO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000031353 Material: METAL Y CUERINA Color: BEIGE Y NEGRO Referencia:  Observacion:  Placa padre: Tipo adquisicion: Entidad</v>
      </c>
      <c r="G7387" s="5" t="str">
        <f>"6552"</f>
        <v>6552</v>
      </c>
    </row>
    <row r="7388" spans="1:7" ht="58.5" customHeight="1" x14ac:dyDescent="0.25">
      <c r="A7388" s="5" t="str">
        <f>"H0009166"</f>
        <v>H0009166</v>
      </c>
      <c r="B7388" s="5" t="str">
        <f>"CAMILLA DE TRASLADO DE 2 PLANOS"</f>
        <v>CAMILLA DE TRASLADO DE 2 PLANOS</v>
      </c>
      <c r="C7388" s="6">
        <v>1693600</v>
      </c>
      <c r="D7388" s="5" t="s">
        <v>166</v>
      </c>
      <c r="E7388" s="5" t="str">
        <f t="shared" si="349"/>
        <v>URGENCIAS ADULTO-Jenny Peña</v>
      </c>
      <c r="F7388"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000031345 Material: METAL Y CUERINA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000031345 Material: METAL Y CUERINA Color: BEIGE Referencia:  Observacion:  Placa padre: Tipo adquisicion: Entidad</v>
      </c>
      <c r="G7388" s="5" t="str">
        <f>"6552"</f>
        <v>6552</v>
      </c>
    </row>
    <row r="7389" spans="1:7" ht="58.5" customHeight="1" x14ac:dyDescent="0.25">
      <c r="A7389" s="5" t="str">
        <f>"H0009167"</f>
        <v>H0009167</v>
      </c>
      <c r="B7389" s="5" t="str">
        <f>"CAMILLA DE TRASLADO DE 2 PLANOS"</f>
        <v>CAMILLA DE TRASLADO DE 2 PLANOS</v>
      </c>
      <c r="C7389" s="6">
        <v>1693600</v>
      </c>
      <c r="D7389" s="5" t="s">
        <v>166</v>
      </c>
      <c r="E7389" s="5" t="str">
        <f t="shared" si="349"/>
        <v>URGENCIAS ADULTO-Jenny Peña</v>
      </c>
      <c r="F7389"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000031346 Material: METAL Y CUERINA Color: BEIGE Y NEGRO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000031346 Material: METAL Y CUERINA Color: BEIGE Y NEGRO Referencia:  Observacion:  Placa padre: Tipo adquisicion: Entidad</v>
      </c>
      <c r="G7389" s="5" t="str">
        <f>"6552"</f>
        <v>6552</v>
      </c>
    </row>
    <row r="7390" spans="1:7" ht="58.5" customHeight="1" x14ac:dyDescent="0.25">
      <c r="A7390" s="5" t="str">
        <f>"H0009168"</f>
        <v>H0009168</v>
      </c>
      <c r="B7390" s="5" t="str">
        <f>"CAMILLA DE TRASLADO DE 2 PLANOS"</f>
        <v>CAMILLA DE TRASLADO DE 2 PLANOS</v>
      </c>
      <c r="C7390" s="6">
        <v>1693600</v>
      </c>
      <c r="D7390" s="5" t="s">
        <v>166</v>
      </c>
      <c r="E7390" s="5" t="str">
        <f t="shared" si="349"/>
        <v>URGENCIAS ADULTO-Jenny Peña</v>
      </c>
      <c r="F7390"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000031349 Material: METAL Y CUERINA Color: BEIGE Y NEGRO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000031349 Material: METAL Y CUERINA Color: BEIGE Y NEGRO Referencia:  Observacion:  Placa padre: Tipo adquisicion: Entidad</v>
      </c>
      <c r="G7390" s="5" t="str">
        <f>"6552"</f>
        <v>6552</v>
      </c>
    </row>
    <row r="7391" spans="1:7" ht="58.5" customHeight="1" x14ac:dyDescent="0.25">
      <c r="A7391" s="5" t="str">
        <f>"H0009169"</f>
        <v>H0009169</v>
      </c>
      <c r="B7391" s="5" t="str">
        <f>"ESCALERILLA DE 2 PASOS"</f>
        <v>ESCALERILLA DE 2 PASOS</v>
      </c>
      <c r="C7391" s="6">
        <v>100000</v>
      </c>
      <c r="D7391" s="5" t="s">
        <v>49</v>
      </c>
      <c r="E7391" s="5" t="str">
        <f t="shared" si="349"/>
        <v>URGENCIAS ADULTO-Jenny Peña</v>
      </c>
      <c r="F7391" s="5" t="str">
        <f>"Descripcion: ESCALERILLA DE DOS PASO EN TUBO REDONDO Estado: Bueno Placa anterior: 000029798 Material: METAL Y FORMICA Color: BLANCO Referencia:  Observacion:  Placa padre: Tipo adquisicion: Entidad"</f>
        <v>Descripcion: ESCALERILLA DE DOS PASO EN TUBO REDONDO Estado: Bueno Placa anterior: 000029798 Material: METAL Y FORMICA Color: BLANCO Referencia:  Observacion:  Placa padre: Tipo adquisicion: Entidad</v>
      </c>
      <c r="G7391" s="5"/>
    </row>
    <row r="7392" spans="1:7" ht="58.5" customHeight="1" x14ac:dyDescent="0.25">
      <c r="A7392" s="5" t="str">
        <f>"H0009170"</f>
        <v>H0009170</v>
      </c>
      <c r="B7392" s="5" t="str">
        <f>"ESCALERILLA DE 2 PASOS"</f>
        <v>ESCALERILLA DE 2 PASOS</v>
      </c>
      <c r="C7392" s="6">
        <v>100000</v>
      </c>
      <c r="D7392" s="5" t="s">
        <v>49</v>
      </c>
      <c r="E7392" s="5" t="str">
        <f t="shared" si="349"/>
        <v>URGENCIAS ADULTO-Jenny Peña</v>
      </c>
      <c r="F7392" s="5" t="str">
        <f>"Descripcion: ESCALERILLA DE DOS PASO EN TUBO REDONDO Estado: Bueno Placa anterior: 000029980 Material: METAL Y FORMICA Color: BLANCO Referencia:  Observacion:  Placa padre: Tipo adquisicion: Entidad"</f>
        <v>Descripcion: ESCALERILLA DE DOS PASO EN TUBO REDONDO Estado: Bueno Placa anterior: 000029980 Material: METAL Y FORMICA Color: BLANCO Referencia:  Observacion:  Placa padre: Tipo adquisicion: Entidad</v>
      </c>
      <c r="G7392" s="5"/>
    </row>
    <row r="7393" spans="1:7" ht="58.5" customHeight="1" x14ac:dyDescent="0.25">
      <c r="A7393" s="5" t="str">
        <f>"H0009171"</f>
        <v>H0009171</v>
      </c>
      <c r="B7393" s="5" t="str">
        <f>"CARRO TRANSPORTE DE MEDICAMENTOS"</f>
        <v>CARRO TRANSPORTE DE MEDICAMENTOS</v>
      </c>
      <c r="C7393" s="6">
        <v>870000</v>
      </c>
      <c r="D7393" s="5" t="s">
        <v>161</v>
      </c>
      <c r="E7393" s="5" t="str">
        <f t="shared" si="349"/>
        <v>URGENCIAS ADULTO-Jenny Peña</v>
      </c>
      <c r="F7393"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000031560 Material: ACERO Y METAL Color: BEIGE Referencia:  Observacion: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000031560 Material: ACERO Y METAL Color: BEIGE Referencia:  Observacion:  Placa padre: Tipo adquisicion: Entidad</v>
      </c>
      <c r="G7393" s="5" t="str">
        <f>"6612"</f>
        <v>6612</v>
      </c>
    </row>
    <row r="7394" spans="1:7" ht="58.5" customHeight="1" x14ac:dyDescent="0.25">
      <c r="A7394" s="5" t="str">
        <f>"H0009172"</f>
        <v>H0009172</v>
      </c>
      <c r="B7394" s="5" t="str">
        <f>"MESA (CARRO) DE CURACIONES"</f>
        <v>MESA (CARRO) DE CURACIONES</v>
      </c>
      <c r="C7394" s="6">
        <v>336400</v>
      </c>
      <c r="D7394" s="5" t="s">
        <v>161</v>
      </c>
      <c r="E7394" s="5" t="str">
        <f t="shared" si="349"/>
        <v>URGENCIAS ADULTO-Jenny Peña</v>
      </c>
      <c r="F7394" s="5" t="str">
        <f>"Descripcion: CARROS AUXILIARES(MESA AUXILIAR RODANTE)CON RODACHINES. Estructura fabricada en tuberia de acero, plato superior e inferior para transporte de materiales e implementos, plato superior en acero inoxidable, barandillas de seguridad en acero ino"&amp; "xidable.Dime Estado: Bueno Placa anterior: 000031552 Material: ACERO Y METAL Color: BEIGE Referencia:  Observacion:  Placa padre: Tipo adquisicion: Entidad"</f>
        <v>Descripcion: CARROS AUXILIARES(MESA AUXILIAR RODANTE)CON RODACHINES. Estructura fabricada en tuberia de acero, plato superior e inferior para transporte de materiales e implementos, plato superior en acero inoxidable, barandillas de seguridad en acero inoxidable.Dime Estado: Bueno Placa anterior: 000031552 Material: ACERO Y METAL Color: BEIGE Referencia:  Observacion:  Placa padre: Tipo adquisicion: Entidad</v>
      </c>
      <c r="G7394" s="5" t="str">
        <f>"6336"</f>
        <v>6336</v>
      </c>
    </row>
    <row r="7395" spans="1:7" ht="58.5" customHeight="1" x14ac:dyDescent="0.25">
      <c r="A7395" s="5" t="str">
        <f>"H0009173"</f>
        <v>H0009173</v>
      </c>
      <c r="B7395" s="5" t="str">
        <f>"POTE (TARRO) ACERO INXODABLE CON TAPA MEDIANO"</f>
        <v>POTE (TARRO) ACERO INXODABLE CON TAPA MEDIANO</v>
      </c>
      <c r="C7395" s="6">
        <v>19173.189999999999</v>
      </c>
      <c r="D7395" s="5"/>
      <c r="E7395" s="5" t="str">
        <f t="shared" si="349"/>
        <v>URGENCIAS ADULTO-Jenny Peña</v>
      </c>
      <c r="F7395" s="5" t="str">
        <f>"Descripcion: TARRO EN ACERO INOXIDABLE Estado: Bueno Placa anterior: 000019800 Material: ACERO INOXIDABLE Color: PLATEADO Referencia:  Observacion:  Placa padre: Tipo adquisicion: Entidad"</f>
        <v>Descripcion: TARRO EN ACERO INOXIDABLE Estado: Bueno Placa anterior: 000019800 Material: ACERO INOXIDABLE Color: PLATEADO Referencia:  Observacion:  Placa padre: Tipo adquisicion: Entidad</v>
      </c>
      <c r="G7395" s="5"/>
    </row>
    <row r="7396" spans="1:7" ht="58.5" customHeight="1" x14ac:dyDescent="0.25">
      <c r="A7396" s="5" t="str">
        <f>"H0009174"</f>
        <v>H0009174</v>
      </c>
      <c r="B7396" s="5" t="str">
        <f>"POTE (TARRO) ACERO INXODABLE CON TAPA MEDIANO"</f>
        <v>POTE (TARRO) ACERO INXODABLE CON TAPA MEDIANO</v>
      </c>
      <c r="C7396" s="6">
        <v>21799.02</v>
      </c>
      <c r="D7396" s="5"/>
      <c r="E7396" s="5" t="str">
        <f t="shared" si="349"/>
        <v>URGENCIAS ADULTO-Jenny Peña</v>
      </c>
      <c r="F7396" s="5" t="str">
        <f>"Descripcion: TARRO EN ACERO INOXIDABLE Estado: Bueno Placa anterior: 000018641 Material: ACERO INOX. Color: PLATEADO Referencia:  Observacion:  Placa padre: Tipo adquisicion: Entidad"</f>
        <v>Descripcion: TARRO EN ACERO INOXIDABLE Estado: Bueno Placa anterior: 000018641 Material: ACERO INOX. Color: PLATEADO Referencia:  Observacion:  Placa padre: Tipo adquisicion: Entidad</v>
      </c>
      <c r="G7396" s="5"/>
    </row>
    <row r="7397" spans="1:7" ht="58.5" customHeight="1" x14ac:dyDescent="0.25">
      <c r="A7397" s="5" t="str">
        <f>"H0009175"</f>
        <v>H0009175</v>
      </c>
      <c r="B7397" s="5" t="str">
        <f>"CUBETA DE ACERO INOXIDABLE CON TAPA GRANDE"</f>
        <v>CUBETA DE ACERO INOXIDABLE CON TAPA GRANDE</v>
      </c>
      <c r="C7397" s="6">
        <v>22335</v>
      </c>
      <c r="D7397" s="5"/>
      <c r="E7397" s="5" t="str">
        <f t="shared" ref="E7397:E7460" si="352">"URGENCIAS ADULTO-Jenny Peña"</f>
        <v>URGENCIAS ADULTO-Jenny Peña</v>
      </c>
      <c r="F7397" s="5" t="str">
        <f>"Descripcion: CUBETA EN ACERO INOXIDABLE 46.5 CM ANCHO X 23 CM FONDO X 4 CM ALTO Estado: Bueno Placa anterior: 000019977 Material: ACERO INOX. Color: PLATEADO Referencia:  Observacion:  Placa padre: Tipo adquisicion: Entidad"</f>
        <v>Descripcion: CUBETA EN ACERO INOXIDABLE 46.5 CM ANCHO X 23 CM FONDO X 4 CM ALTO Estado: Bueno Placa anterior: 000019977 Material: ACERO INOX. Color: PLATEADO Referencia:  Observacion:  Placa padre: Tipo adquisicion: Entidad</v>
      </c>
      <c r="G7397" s="5"/>
    </row>
    <row r="7398" spans="1:7" ht="58.5" customHeight="1" x14ac:dyDescent="0.25">
      <c r="A7398" s="5" t="str">
        <f>"H0009178"</f>
        <v>H0009178</v>
      </c>
      <c r="B7398" s="5" t="str">
        <f>"SILLA PLASTICA CON BRAZOS"</f>
        <v>SILLA PLASTICA CON BRAZOS</v>
      </c>
      <c r="C7398" s="6">
        <v>12240.32</v>
      </c>
      <c r="D7398" s="5"/>
      <c r="E7398" s="5" t="str">
        <f t="shared" si="352"/>
        <v>URGENCIAS ADULTO-Jenny Peña</v>
      </c>
      <c r="F7398" s="5" t="str">
        <f>"Descripcion: SILLA PLASTICA BLANCA  CON BRAZOS Estado: Bueno Placa anterior: 000026916 Material: PASTA Color: BLANCO Referencia:  Observacion:  Placa padre: Tipo adquisicion: Entidad"</f>
        <v>Descripcion: SILLA PLASTICA BLANCA  CON BRAZOS Estado: Bueno Placa anterior: 000026916 Material: PASTA Color: BLANCO Referencia:  Observacion:  Placa padre: Tipo adquisicion: Entidad</v>
      </c>
      <c r="G7398" s="5"/>
    </row>
    <row r="7399" spans="1:7" ht="58.5" customHeight="1" x14ac:dyDescent="0.25">
      <c r="A7399" s="5" t="str">
        <f>"H0009180"</f>
        <v>H0009180</v>
      </c>
      <c r="B7399" s="5" t="str">
        <f>"CAMILLA DE TRASLADO DE 2 PLANOS"</f>
        <v>CAMILLA DE TRASLADO DE 2 PLANOS</v>
      </c>
      <c r="C7399" s="6">
        <v>1693600</v>
      </c>
      <c r="D7399" s="5" t="s">
        <v>166</v>
      </c>
      <c r="E7399" s="5" t="str">
        <f t="shared" si="352"/>
        <v>URGENCIAS ADULTO-Jenny Peña</v>
      </c>
      <c r="F7399" s="5" t="str">
        <f>"Descripcion: CAMILLA CON 1 ATRIL - Estructura en tuberia redonda tendido de dos planos en lam. de acero.Espaldar graduable, Barandas de seguridad Estado: Bueno Placa anterior: 000031343 Material: METALICO Color: BEIGE Referencia:  Observacion:  Placa padr"&amp; "e: Tipo adquisicion: Entidad"</f>
        <v>Descripcion: CAMILLA CON 1 ATRIL - Estructura en tuberia redonda tendido de dos planos en lam. de acero.Espaldar graduable, Barandas de seguridad Estado: Bueno Placa anterior: 000031343 Material: METALICO Color: BEIGE Referencia:  Observacion:  Placa padre: Tipo adquisicion: Entidad</v>
      </c>
      <c r="G7399" s="5" t="str">
        <f>"141-70"</f>
        <v>141-70</v>
      </c>
    </row>
    <row r="7400" spans="1:7" ht="58.5" customHeight="1" x14ac:dyDescent="0.25">
      <c r="A7400" s="5" t="str">
        <f>"H0009181"</f>
        <v>H0009181</v>
      </c>
      <c r="B7400" s="5" t="str">
        <f>"CAMILLA DE TRASLADO DE 2 PLANOS"</f>
        <v>CAMILLA DE TRASLADO DE 2 PLANOS</v>
      </c>
      <c r="C7400" s="6">
        <v>1693600</v>
      </c>
      <c r="D7400" s="5" t="s">
        <v>166</v>
      </c>
      <c r="E7400" s="5" t="str">
        <f t="shared" si="352"/>
        <v>URGENCIAS ADULTO-Jenny Peña</v>
      </c>
      <c r="F7400" s="5" t="str">
        <f>"Descripcion: CAMILLA CON 1 ATRIL - Estructura en tuberia redonda tendido de dos planos en lam. de acero.Espaldar graduable, Barandas de seguridad Estado: Bueno Placa anterior: 000031335 Material: METALICO Color: BEIGE Referencia:  Observacion:  Placa padr"&amp; "e: Tipo adquisicion: Entidad"</f>
        <v>Descripcion: CAMILLA CON 1 ATRIL - Estructura en tuberia redonda tendido de dos planos en lam. de acero.Espaldar graduable, Barandas de seguridad Estado: Bueno Placa anterior: 000031335 Material: METALICO Color: BEIGE Referencia:  Observacion:  Placa padre: Tipo adquisicion: Entidad</v>
      </c>
      <c r="G7400" s="5" t="str">
        <f>"141-70"</f>
        <v>141-70</v>
      </c>
    </row>
    <row r="7401" spans="1:7" ht="58.5" customHeight="1" x14ac:dyDescent="0.25">
      <c r="A7401" s="5" t="str">
        <f>"H0009182"</f>
        <v>H0009182</v>
      </c>
      <c r="B7401" s="5" t="str">
        <f>"CAMILLA DE TRASLADO DE 2 PLANOS"</f>
        <v>CAMILLA DE TRASLADO DE 2 PLANOS</v>
      </c>
      <c r="C7401" s="6">
        <v>1845000</v>
      </c>
      <c r="D7401" s="5" t="s">
        <v>447</v>
      </c>
      <c r="E7401" s="5" t="str">
        <f t="shared" si="352"/>
        <v>URGENCIAS ADULTO-Jenny Peña</v>
      </c>
      <c r="F7401" s="5" t="str">
        <f>"Descripcion: CAMILLA CON 1 ATRIL - Estructura en tuberia redonda tendido de dos planos en lam. de acero.Espaldar graduable, Barandas de seguridad Estado: Bueno Placa anterior: 000029034 Material: METALICO Color: BEIGE Referencia:  Observacion:  Placa padr"&amp; "e: Tipo adquisicion: Entidad"</f>
        <v>Descripcion: CAMILLA CON 1 ATRIL - Estructura en tuberia redonda tendido de dos planos en lam. de acero.Espaldar graduable, Barandas de seguridad Estado: Bueno Placa anterior: 000029034 Material: METALICO Color: BEIGE Referencia:  Observacion:  Placa padre: Tipo adquisicion: Entidad</v>
      </c>
      <c r="G7401" s="5" t="str">
        <f>"141-70"</f>
        <v>141-70</v>
      </c>
    </row>
    <row r="7402" spans="1:7" ht="58.5" customHeight="1" x14ac:dyDescent="0.25">
      <c r="A7402" s="5" t="str">
        <f>"H0009183"</f>
        <v>H0009183</v>
      </c>
      <c r="B7402" s="5" t="str">
        <f>"CAMILLA DE TRASLADO DE 2 PLANOS"</f>
        <v>CAMILLA DE TRASLADO DE 2 PLANOS</v>
      </c>
      <c r="C7402" s="6">
        <v>1693600</v>
      </c>
      <c r="D7402" s="5" t="s">
        <v>166</v>
      </c>
      <c r="E7402" s="5" t="str">
        <f t="shared" si="352"/>
        <v>URGENCIAS ADULTO-Jenny Peña</v>
      </c>
      <c r="F7402" s="5" t="str">
        <f>"Descripcion: CAMILLA CON 1 ATRIL - Estructura en tuberia redonda tendido de dos planos en lam. de acero.Espaldar graduable, Barandas de seguridad Estado: Bueno Placa anterior: 000031344 Material: METALICO Color: BEIGE Referencia:  Observacion:  Placa padr"&amp; "e: Tipo adquisicion: Entidad"</f>
        <v>Descripcion: CAMILLA CON 1 ATRIL - Estructura en tuberia redonda tendido de dos planos en lam. de acero.Espaldar graduable, Barandas de seguridad Estado: Bueno Placa anterior: 000031344 Material: METALICO Color: BEIGE Referencia:  Observacion:  Placa padre: Tipo adquisicion: Entidad</v>
      </c>
      <c r="G7402" s="5" t="str">
        <f>"141-70"</f>
        <v>141-70</v>
      </c>
    </row>
    <row r="7403" spans="1:7" ht="58.5" customHeight="1" x14ac:dyDescent="0.25">
      <c r="A7403" s="5" t="str">
        <f>"H0009184"</f>
        <v>H0009184</v>
      </c>
      <c r="B7403" s="5" t="str">
        <f>"CAMILLA DE TRASLADO DE 2 PLANOS"</f>
        <v>CAMILLA DE TRASLADO DE 2 PLANOS</v>
      </c>
      <c r="C7403" s="6">
        <v>1693600</v>
      </c>
      <c r="D7403" s="5" t="s">
        <v>166</v>
      </c>
      <c r="E7403" s="5" t="str">
        <f t="shared" si="352"/>
        <v>URGENCIAS ADULTO-Jenny Peña</v>
      </c>
      <c r="F7403" s="5" t="str">
        <f>"Descripcion: CAMILLA CON 1 ATRIL - Estructura en tuberia redonda tendido de dos planos en lam. de acero.Espaldar graduable, Barandas de seguridad Estado: Bueno Placa anterior: 000031338 Material: METALICO Color: BEIGE Referencia:  Observacion: SISTEMA HID"&amp; "RAULICO Placa padre: Tipo adquisicion: Entidad"</f>
        <v>Descripcion: CAMILLA CON 1 ATRIL - Estructura en tuberia redonda tendido de dos planos en lam. de acero.Espaldar graduable, Barandas de seguridad Estado: Bueno Placa anterior: 000031338 Material: METALICO Color: BEIGE Referencia:  Observacion: SISTEMA HIDRAULICO Placa padre: Tipo adquisicion: Entidad</v>
      </c>
      <c r="G7403" s="5" t="str">
        <f>"141-70"</f>
        <v>141-70</v>
      </c>
    </row>
    <row r="7404" spans="1:7" ht="58.5" customHeight="1" x14ac:dyDescent="0.25">
      <c r="A7404" s="5" t="str">
        <f>"H0009185"</f>
        <v>H0009185</v>
      </c>
      <c r="B7404" s="5" t="str">
        <f>"ESCALERILLA DE 2 PASOS"</f>
        <v>ESCALERILLA DE 2 PASOS</v>
      </c>
      <c r="C7404" s="6">
        <v>100000</v>
      </c>
      <c r="D7404" s="5" t="s">
        <v>49</v>
      </c>
      <c r="E7404" s="5" t="str">
        <f t="shared" si="352"/>
        <v>URGENCIAS ADULTO-Jenny Peña</v>
      </c>
      <c r="F7404" s="5" t="str">
        <f>"Descripcion: ESCALERILLA DOS PASOS Estado: Regular Placa anterior: 000029830 Material: METAL Y PASTA Color: BLANCO Referencia:  Observacion: FALTA UN TAPON Placa padre: Tipo adquisicion: Entidad"</f>
        <v>Descripcion: ESCALERILLA DOS PASOS Estado: Regular Placa anterior: 000029830 Material: METAL Y PASTA Color: BLANCO Referencia:  Observacion: FALTA UN TAPON Placa padre: Tipo adquisicion: Entidad</v>
      </c>
      <c r="G7404" s="5"/>
    </row>
    <row r="7405" spans="1:7" ht="58.5" customHeight="1" x14ac:dyDescent="0.25">
      <c r="A7405" s="5" t="str">
        <f>"H0009191"</f>
        <v>H0009191</v>
      </c>
      <c r="B7405" s="5" t="str">
        <f>"POTE (TARRO) ACERO INXODABLE CON TAPA GRANDE"</f>
        <v>POTE (TARRO) ACERO INXODABLE CON TAPA GRANDE</v>
      </c>
      <c r="C7405" s="6">
        <v>5498.01</v>
      </c>
      <c r="D7405" s="5"/>
      <c r="E7405" s="5" t="str">
        <f t="shared" si="352"/>
        <v>URGENCIAS ADULTO-Jenny Peña</v>
      </c>
      <c r="F7405" s="5" t="str">
        <f>"Descripcion: TARRO NIQUELADO Estado: Bueno Placa anterior: 000019741 Material: ACERO INOXIDABLE Color: PLATEADO  Referencia:  Observacion: BUEN ESTADO Placa padre: Tipo adquisicion: Entidad"</f>
        <v>Descripcion: TARRO NIQUELADO Estado: Bueno Placa anterior: 000019741 Material: ACERO INOXIDABLE Color: PLATEADO  Referencia:  Observacion: BUEN ESTADO Placa padre: Tipo adquisicion: Entidad</v>
      </c>
      <c r="G7405" s="5"/>
    </row>
    <row r="7406" spans="1:7" ht="58.5" customHeight="1" x14ac:dyDescent="0.25">
      <c r="A7406" s="5" t="str">
        <f>"H0009192"</f>
        <v>H0009192</v>
      </c>
      <c r="B7406" s="5" t="str">
        <f>"POTE (TARRO) ACERO INXODABLE CON TAPA MEDIANO"</f>
        <v>POTE (TARRO) ACERO INXODABLE CON TAPA MEDIANO</v>
      </c>
      <c r="C7406" s="6">
        <v>21799.02</v>
      </c>
      <c r="D7406" s="5"/>
      <c r="E7406" s="5" t="str">
        <f t="shared" si="352"/>
        <v>URGENCIAS ADULTO-Jenny Peña</v>
      </c>
      <c r="F7406" s="5" t="str">
        <f>"Descripcion: TARRO EN ACERO INOXIDABLE Estado: Bueno Placa anterior: 000018637 Material: ACERO INOXIDABLE Color: PLATEADO Referencia:  Observacion: BUEN ESTADO Placa padre: Tipo adquisicion: Entidad"</f>
        <v>Descripcion: TARRO EN ACERO INOXIDABLE Estado: Bueno Placa anterior: 000018637 Material: ACERO INOXIDABLE Color: PLATEADO Referencia:  Observacion: BUEN ESTADO Placa padre: Tipo adquisicion: Entidad</v>
      </c>
      <c r="G7406" s="5"/>
    </row>
    <row r="7407" spans="1:7" ht="58.5" customHeight="1" x14ac:dyDescent="0.25">
      <c r="A7407" s="5" t="str">
        <f>"H0009193"</f>
        <v>H0009193</v>
      </c>
      <c r="B7407" s="5" t="str">
        <f>"POTE (TARRO) ACERO INXODABLE CON TAPA PEQUEÑO"</f>
        <v>POTE (TARRO) ACERO INXODABLE CON TAPA PEQUEÑO</v>
      </c>
      <c r="C7407" s="6">
        <v>21799.02</v>
      </c>
      <c r="D7407" s="5"/>
      <c r="E7407" s="5" t="str">
        <f t="shared" si="352"/>
        <v>URGENCIAS ADULTO-Jenny Peña</v>
      </c>
      <c r="F7407" s="5" t="str">
        <f>"Descripcion: TARRO EN ACERO INOXIDABLE Estado: Bueno Placa anterior: 000018468 Material: ACERO INOXIDABLE Color: PLATEADO Referencia:  Observacion: BUEN ESTADO Placa padre: Tipo adquisicion: Entidad"</f>
        <v>Descripcion: TARRO EN ACERO INOXIDABLE Estado: Bueno Placa anterior: 000018468 Material: ACERO INOXIDABLE Color: PLATEADO Referencia:  Observacion: BUEN ESTADO Placa padre: Tipo adquisicion: Entidad</v>
      </c>
      <c r="G7407" s="5"/>
    </row>
    <row r="7408" spans="1:7" ht="58.5" customHeight="1" x14ac:dyDescent="0.25">
      <c r="A7408" s="5" t="str">
        <f>"H0009195"</f>
        <v>H0009195</v>
      </c>
      <c r="B7408" s="5" t="str">
        <f>"CUBETA DE ACERO INOXIDABLE CON TAPA MEDIANA"</f>
        <v>CUBETA DE ACERO INOXIDABLE CON TAPA MEDIANA</v>
      </c>
      <c r="C7408" s="6">
        <v>22335</v>
      </c>
      <c r="D7408" s="5"/>
      <c r="E7408" s="5" t="str">
        <f t="shared" si="352"/>
        <v>URGENCIAS ADULTO-Jenny Peña</v>
      </c>
      <c r="F7408" s="5" t="str">
        <f>"Descripcion: BANDEJA CUBETA DE ACERO 23.5 ANCHO* 13.5 FONDO * 4 CM DE ALTO Estado: Bueno Placa anterior: 000019638 Material: ACERO INOXIDABLE Color: PLATEADO Referencia:  Observacion: BUEN ESTADO Placa padre: Tipo adquisicion: Entidad"</f>
        <v>Descripcion: BANDEJA CUBETA DE ACERO 23.5 ANCHO* 13.5 FONDO * 4 CM DE ALTO Estado: Bueno Placa anterior: 000019638 Material: ACERO INOXIDABLE Color: PLATEADO Referencia:  Observacion: BUEN ESTADO Placa padre: Tipo adquisicion: Entidad</v>
      </c>
      <c r="G7408" s="5"/>
    </row>
    <row r="7409" spans="1:7" ht="58.5" customHeight="1" x14ac:dyDescent="0.25">
      <c r="A7409" s="5" t="str">
        <f>"H0009196"</f>
        <v>H0009196</v>
      </c>
      <c r="B7409" s="5" t="str">
        <f>"CUBETA DE ACERO INOXIDABLE CON TAPA GRANDE"</f>
        <v>CUBETA DE ACERO INOXIDABLE CON TAPA GRANDE</v>
      </c>
      <c r="C7409" s="6">
        <v>22335</v>
      </c>
      <c r="D7409" s="5"/>
      <c r="E7409" s="5" t="str">
        <f t="shared" si="352"/>
        <v>URGENCIAS ADULTO-Jenny Peña</v>
      </c>
      <c r="F7409" s="5" t="str">
        <f>"Descripcion: CUBETA EN ACERO INOXIDABLE-ANCHO 36,5 CM X 4,5 CM ALTO X 17 CM FONDO Estado: Bueno Placa anterior: 000019994 Material: ACERO INOXIDABLE Color: PLATEADO Referencia:  Observacion:  Placa padre: Tipo adquisicion: Entidad"</f>
        <v>Descripcion: CUBETA EN ACERO INOXIDABLE-ANCHO 36,5 CM X 4,5 CM ALTO X 17 CM FONDO Estado: Bueno Placa anterior: 000019994 Material: ACERO INOXIDABLE Color: PLATEADO Referencia:  Observacion:  Placa padre: Tipo adquisicion: Entidad</v>
      </c>
      <c r="G7409" s="5"/>
    </row>
    <row r="7410" spans="1:7" ht="58.5" customHeight="1" x14ac:dyDescent="0.25">
      <c r="A7410" s="5" t="str">
        <f>"H0009197"</f>
        <v>H0009197</v>
      </c>
      <c r="B7410" s="5" t="str">
        <f>"BANDEJA DE ACERO INOXIDABLE GRANDE"</f>
        <v>BANDEJA DE ACERO INOXIDABLE GRANDE</v>
      </c>
      <c r="C7410" s="6">
        <v>20226.259999999998</v>
      </c>
      <c r="D7410" s="5"/>
      <c r="E7410" s="5" t="str">
        <f t="shared" si="352"/>
        <v>URGENCIAS ADULTO-Jenny Peña</v>
      </c>
      <c r="F7410" s="5" t="str">
        <f>"Descripcion: BANDEJA EN ACERO INOXIDABLE - 36 CM ANCHO X 22 FONDO X 1,5 CM ALTO Estado: Bueno Placa anterior: 000018665 Material: ACERO INOXIDABLE Color: PLATEADO Referencia:  Observacion:  Placa padre: Tipo adquisicion: Entidad"</f>
        <v>Descripcion: BANDEJA EN ACERO INOXIDABLE - 36 CM ANCHO X 22 FONDO X 1,5 CM ALTO Estado: Bueno Placa anterior: 000018665 Material: ACERO INOXIDABLE Color: PLATEADO Referencia:  Observacion:  Placa padre: Tipo adquisicion: Entidad</v>
      </c>
      <c r="G7410" s="5"/>
    </row>
    <row r="7411" spans="1:7" ht="58.5" customHeight="1" x14ac:dyDescent="0.25">
      <c r="A7411" s="5" t="str">
        <f>"H0009198"</f>
        <v>H0009198</v>
      </c>
      <c r="B7411" s="5" t="str">
        <f>"BANDEJA DE ACERO INOXIDABLE GRANDE"</f>
        <v>BANDEJA DE ACERO INOXIDABLE GRANDE</v>
      </c>
      <c r="C7411" s="6">
        <v>20226.259999999998</v>
      </c>
      <c r="D7411" s="5"/>
      <c r="E7411" s="5" t="str">
        <f t="shared" si="352"/>
        <v>URGENCIAS ADULTO-Jenny Peña</v>
      </c>
      <c r="F7411" s="5" t="str">
        <f>"Descripcion: BANDEJA EN ACERO INOXIDABLE - 36 CM ANCHO X 22 FONDO X 1,5 CM ALTO Estado: Bueno Placa anterior: 000018664 Material: ACERO INOXIDABLE Color: PLATEADO Referencia:  Observacion:  Placa padre: Tipo adquisicion: Entidad"</f>
        <v>Descripcion: BANDEJA EN ACERO INOXIDABLE - 36 CM ANCHO X 22 FONDO X 1,5 CM ALTO Estado: Bueno Placa anterior: 000018664 Material: ACERO INOXIDABLE Color: PLATEADO Referencia:  Observacion:  Placa padre: Tipo adquisicion: Entidad</v>
      </c>
      <c r="G7411" s="5"/>
    </row>
    <row r="7412" spans="1:7" ht="58.5" customHeight="1" x14ac:dyDescent="0.25">
      <c r="A7412" s="5" t="str">
        <f>"H0009200"</f>
        <v>H0009200</v>
      </c>
      <c r="B7412" s="5" t="str">
        <f>"VENTILADOR DE PARED"</f>
        <v>VENTILADOR DE PARED</v>
      </c>
      <c r="C7412" s="6">
        <v>31106.54</v>
      </c>
      <c r="D7412" s="5"/>
      <c r="E7412" s="5" t="str">
        <f t="shared" si="352"/>
        <v>URGENCIAS ADULTO-Jenny Peña</v>
      </c>
      <c r="F7412" s="5" t="str">
        <f>"Descripcion: VENTILADOR DE PARED Estado: Bueno Placa anterior: 000000762 Material: PASTA Y METAL Color: NEGRO Referencia:  Observacion: BUEN ESTADO, AUTORIZADO CONCILIAR EN CRUCE GENERAL Placa padre: Tipo adquisicion: Entidad"</f>
        <v>Descripcion: VENTILADOR DE PARED Estado: Bueno Placa anterior: 000000762 Material: PASTA Y METAL Color: NEGRO Referencia:  Observacion: BUEN ESTADO, AUTORIZADO CONCILIAR EN CRUCE GENERAL Placa padre: Tipo adquisicion: Entidad</v>
      </c>
      <c r="G7412" s="5"/>
    </row>
    <row r="7413" spans="1:7" ht="58.5" customHeight="1" x14ac:dyDescent="0.25">
      <c r="A7413" s="5" t="str">
        <f>"H0009201"</f>
        <v>H0009201</v>
      </c>
      <c r="B7413" s="5" t="str">
        <f>"NEGATOSCOPIO"</f>
        <v>NEGATOSCOPIO</v>
      </c>
      <c r="C7413" s="6">
        <v>51373.33</v>
      </c>
      <c r="D7413" s="5"/>
      <c r="E7413" s="5" t="str">
        <f t="shared" si="352"/>
        <v>URGENCIAS ADULTO-Jenny Peña</v>
      </c>
      <c r="F7413" s="5" t="str">
        <f>"Descripcion: NEGATOSCOPIO DE 1 CUERPO Estado: Bueno Placa anterior: 000019805 Material: PASTA Y ACRILICO Color: NEGRO Referencia:  Observacion: BUEN ESTADO Placa padre: Tipo adquisicion: Entidad"</f>
        <v>Descripcion: NEGATOSCOPIO DE 1 CUERPO Estado: Bueno Placa anterior: 000019805 Material: PASTA Y ACRILICO Color: NEGRO Referencia:  Observacion: BUEN ESTADO Placa padre: Tipo adquisicion: Entidad</v>
      </c>
      <c r="G7413" s="5"/>
    </row>
    <row r="7414" spans="1:7" ht="58.5" customHeight="1" x14ac:dyDescent="0.25">
      <c r="A7414" s="5" t="str">
        <f>"H0009202"</f>
        <v>H0009202</v>
      </c>
      <c r="B7414" s="5" t="str">
        <f>"TENSIOMETRO ANEROIDE DE PEDESTAL (PIE) PARA ADULTO"</f>
        <v>TENSIOMETRO ANEROIDE DE PEDESTAL (PIE) PARA ADULTO</v>
      </c>
      <c r="C7414" s="6">
        <v>31179.22</v>
      </c>
      <c r="D7414" s="5"/>
      <c r="E7414" s="5" t="str">
        <f t="shared" si="352"/>
        <v>URGENCIAS ADULTO-Jenny Peña</v>
      </c>
      <c r="F7414" s="5" t="str">
        <f>"Descripcion: TENSIOMETRO CON BASE Y CANASTILLA Estado: Malo Placa anterior: 000020118 Material: METAL,  PASTA Y CAUCHO Color:  Referencia:  Observacion:  Placa padre: Tipo adquisicion: Entidad"</f>
        <v>Descripcion: TENSIOMETRO CON BASE Y CANASTILLA Estado: Malo Placa anterior: 000020118 Material: METAL,  PASTA Y CAUCHO Color:  Referencia:  Observacion:  Placa padre: Tipo adquisicion: Entidad</v>
      </c>
      <c r="G7414" s="5" t="str">
        <f>"CE0297"</f>
        <v>CE0297</v>
      </c>
    </row>
    <row r="7415" spans="1:7" ht="58.5" customHeight="1" x14ac:dyDescent="0.25">
      <c r="A7415" s="5" t="str">
        <f>"H0009204"</f>
        <v>H0009204</v>
      </c>
      <c r="B7415" s="5" t="str">
        <f>"MONITOR DE PRESION NO INVASIVA"</f>
        <v>MONITOR DE PRESION NO INVASIVA</v>
      </c>
      <c r="C7415" s="6">
        <v>3248000</v>
      </c>
      <c r="D7415" s="5" t="s">
        <v>166</v>
      </c>
      <c r="E7415" s="5" t="str">
        <f t="shared" si="352"/>
        <v>URGENCIAS ADULTO-Jenny Peña</v>
      </c>
      <c r="F7415" s="5" t="str">
        <f>"Descripcion: MONITOR DE PRESIION NO INVASIVA CON PULSOMETRIA. Monitor de presion no invasiva que permite determinar tension arterial,sistolica,diastolica,media y frecuencia cardiaca y pulsometria. Visaulizacion numerica y curva en la pantalla.Modo de oper"&amp; "acion manual Estado: Bueno Placa anterior: 000031387 Material: ACERO Y PASTA Color: PLATEADO Y BLANCO Referencia:  Observacion:  Placa padre: Tipo adquisicion: Entidad"</f>
        <v>Descripcion: MONITOR DE PRESIION NO INVASIVA CON PULSOMETRIA. Monitor de presion no invasiva que permite determinar tension arterial,sistolica,diastolica,media y frecuencia cardiaca y pulsometria. Visaulizacion numerica y curva en la pantalla.Modo de operacion manual Estado: Bueno Placa anterior: 000031387 Material: ACERO Y PASTA Color: PLATEADO Y BLANCO Referencia:  Observacion:  Placa padre: Tipo adquisicion: Entidad</v>
      </c>
      <c r="G7415" s="5" t="str">
        <f>"VS-800"</f>
        <v>VS-800</v>
      </c>
    </row>
    <row r="7416" spans="1:7" ht="58.5" customHeight="1" x14ac:dyDescent="0.25">
      <c r="A7416" s="5" t="str">
        <f>"H0009208"</f>
        <v>H0009208</v>
      </c>
      <c r="B7416" s="5" t="str">
        <f>"CUBETA DE ACERO INOXIDABLE CON TAPA GRANDE"</f>
        <v>CUBETA DE ACERO INOXIDABLE CON TAPA GRANDE</v>
      </c>
      <c r="C7416" s="6">
        <v>29125.48</v>
      </c>
      <c r="D7416" s="5"/>
      <c r="E7416" s="5" t="str">
        <f t="shared" si="352"/>
        <v>URGENCIAS ADULTO-Jenny Peña</v>
      </c>
      <c r="F7416" s="5" t="str">
        <f>"Descripcion: CUBETA EN ACERO INOXIDABLE - 30 CM ANCHO X 19 CM FONDO X 4 CM ALTO Estado: Bueno Placa anterior: 000018656 Material: ACERO INOX. Color: PLATEADO Referencia:  Observacion:  Placa padre: Tipo adquisicion: Entidad"</f>
        <v>Descripcion: CUBETA EN ACERO INOXIDABLE - 30 CM ANCHO X 19 CM FONDO X 4 CM ALTO Estado: Bueno Placa anterior: 000018656 Material: ACERO INOX. Color: PLATEADO Referencia:  Observacion:  Placa padre: Tipo adquisicion: Entidad</v>
      </c>
      <c r="G7416" s="5"/>
    </row>
    <row r="7417" spans="1:7" ht="58.5" customHeight="1" x14ac:dyDescent="0.25">
      <c r="A7417" s="5" t="str">
        <f>"H0009213"</f>
        <v>H0009213</v>
      </c>
      <c r="B7417" s="5" t="str">
        <f>"DESFRIBILADOR"</f>
        <v>DESFRIBILADOR</v>
      </c>
      <c r="C7417" s="6">
        <v>11716000</v>
      </c>
      <c r="D7417" s="5" t="s">
        <v>166</v>
      </c>
      <c r="E7417" s="5" t="str">
        <f t="shared" si="352"/>
        <v>URGENCIAS ADULTO-Jenny Peña</v>
      </c>
      <c r="F7417" s="5" t="str">
        <f>"Descripcion: DESFRIBILADOR. Desfribilador cardiaco de onda bifasica, tipo de desfribilacion:manual,sincronica y AED.Entrega de enregia entre 0-270 joules, marcapaso externo, velocidad de registro 25mm bateria interna para dos horas de trabajo,monitor, con"&amp; "exion para e Estado: Bueno Placa anterior: 000031370 Material: PASTA  Color: GRIS Referencia:  Observacion: NO SE PUDO VERIFICAR SERIAL Placa padre: Tipo adquisicion: Entidad"</f>
        <v>Descripcion: DESFRIBILADOR. Desfribilador cardiaco de onda bifasica, tipo de desfribilacion:manual,sincronica y AED.Entrega de enregia entre 0-270 joules, marcapaso externo, velocidad de registro 25mm bateria interna para dos horas de trabajo,monitor, conexion para e Estado: Bueno Placa anterior: 000031370 Material: PASTA  Color: GRIS Referencia:  Observacion: NO SE PUDO VERIFICAR SERIAL Placa padre: Tipo adquisicion: Entidad</v>
      </c>
      <c r="G7417" s="5" t="str">
        <f>"BENEHEARTD3"</f>
        <v>BENEHEARTD3</v>
      </c>
    </row>
    <row r="7418" spans="1:7" ht="58.5" customHeight="1" x14ac:dyDescent="0.25">
      <c r="A7418" s="5" t="str">
        <f>"H0009215"</f>
        <v>H0009215</v>
      </c>
      <c r="B7418" s="5" t="str">
        <f>"CARRO DE PARO"</f>
        <v>CARRO DE PARO</v>
      </c>
      <c r="C7418" s="6">
        <v>806200</v>
      </c>
      <c r="D7418" s="5"/>
      <c r="E7418" s="5" t="str">
        <f t="shared" si="352"/>
        <v>URGENCIAS ADULTO-Jenny Peña</v>
      </c>
      <c r="F7418" s="5" t="str">
        <f>"Descripcion: CARRO DE PARO DE 5 GAVETAS Estado: Bueno Placa anterior: 000033223 Material: METAL  Color: BEIGE Referencia:  Observacion: AUTORIZADO CONCILIAR EN CRUCE GENERAL Placa padre: Tipo adquisicion: Entidad"</f>
        <v>Descripcion: CARRO DE PARO DE 5 GAVETAS Estado: Bueno Placa anterior: 000033223 Material: METAL  Color: BEIGE Referencia:  Observacion: AUTORIZADO CONCILIAR EN CRUCE GENERAL Placa padre: Tipo adquisicion: Entidad</v>
      </c>
      <c r="G7418" s="5"/>
    </row>
    <row r="7419" spans="1:7" ht="58.5" customHeight="1" x14ac:dyDescent="0.25">
      <c r="A7419" s="5" t="str">
        <f>"H0009218"</f>
        <v>H0009218</v>
      </c>
      <c r="B7419" s="5" t="str">
        <f>"NEGATOSCOPIO"</f>
        <v>NEGATOSCOPIO</v>
      </c>
      <c r="C7419" s="6">
        <v>51373.33</v>
      </c>
      <c r="D7419" s="5"/>
      <c r="E7419" s="5" t="str">
        <f t="shared" si="352"/>
        <v>URGENCIAS ADULTO-Jenny Peña</v>
      </c>
      <c r="F7419" s="5" t="str">
        <f>"Descripcion: NEGATOSCOPIO Estado: Regular Placa anterior: 000019346 Material: PASTA ACRILICO Color: NARANJA Referencia:  Observacion: LAMPARA NO SIRVE, DEMORA EN ENCENDER Placa padre: Tipo adquisicion: Entidad"</f>
        <v>Descripcion: NEGATOSCOPIO Estado: Regular Placa anterior: 000019346 Material: PASTA ACRILICO Color: NARANJA Referencia:  Observacion: LAMPARA NO SIRVE, DEMORA EN ENCENDER Placa padre: Tipo adquisicion: Entidad</v>
      </c>
      <c r="G7419" s="5"/>
    </row>
    <row r="7420" spans="1:7" ht="58.5" customHeight="1" x14ac:dyDescent="0.25">
      <c r="A7420" s="5" t="str">
        <f>"H0009297"</f>
        <v>H0009297</v>
      </c>
      <c r="B7420" s="5" t="str">
        <f>"TABLA DE ALUMINIO HISTORIAS CLINICAS (PORTAHISTORIAS)"</f>
        <v>TABLA DE ALUMINIO HISTORIAS CLINICAS (PORTAHISTORIAS)</v>
      </c>
      <c r="C7420" s="6">
        <v>24746.639999999999</v>
      </c>
      <c r="D7420" s="5"/>
      <c r="E7420" s="5" t="str">
        <f t="shared" si="352"/>
        <v>URGENCIAS ADULTO-Jenny Peña</v>
      </c>
      <c r="F7420" s="5" t="str">
        <f>"Descripcion: PORTAHISTORIAS CLINICAS  Estado: Bueno Placa anterior: 000018561 Material: ALUMINIO Color: GRIS Referencia:  Observacion: BUEN ESTADO Placa padre: Tipo adquisicion: Entidad"</f>
        <v>Descripcion: PORTAHISTORIAS CLINICAS  Estado: Bueno Placa anterior: 000018561 Material: ALUMINIO Color: GRIS Referencia:  Observacion: BUEN ESTADO Placa padre: Tipo adquisicion: Entidad</v>
      </c>
      <c r="G7420" s="5"/>
    </row>
    <row r="7421" spans="1:7" ht="58.5" customHeight="1" x14ac:dyDescent="0.25">
      <c r="A7421" s="5" t="str">
        <f>"H0009298"</f>
        <v>H0009298</v>
      </c>
      <c r="B7421" s="5" t="str">
        <f>"TABLA DE ALUMINIO HISTORIAS CLINICAS (PORTAHISTORIAS)"</f>
        <v>TABLA DE ALUMINIO HISTORIAS CLINICAS (PORTAHISTORIAS)</v>
      </c>
      <c r="C7421" s="6">
        <v>24746.639999999999</v>
      </c>
      <c r="D7421" s="5"/>
      <c r="E7421" s="5" t="str">
        <f t="shared" si="352"/>
        <v>URGENCIAS ADULTO-Jenny Peña</v>
      </c>
      <c r="F7421" s="5" t="str">
        <f>"Descripcion: PORTAHISTORIAS CLINICAS  Estado: Bueno Placa anterior: 000018562 Material: ALUMINIO Color: GRIS Referencia:  Observacion: BUEN ESTADO Placa padre: Tipo adquisicion: Entidad"</f>
        <v>Descripcion: PORTAHISTORIAS CLINICAS  Estado: Bueno Placa anterior: 000018562 Material: ALUMINIO Color: GRIS Referencia:  Observacion: BUEN ESTADO Placa padre: Tipo adquisicion: Entidad</v>
      </c>
      <c r="G7421" s="5"/>
    </row>
    <row r="7422" spans="1:7" ht="58.5" customHeight="1" x14ac:dyDescent="0.25">
      <c r="A7422" s="5" t="str">
        <f>"H0009319"</f>
        <v>H0009319</v>
      </c>
      <c r="B7422" s="5" t="str">
        <f t="shared" ref="B7422:B7439" si="353">"CAMILLA DE TRASLADO DE 2 PLANOS"</f>
        <v>CAMILLA DE TRASLADO DE 2 PLANOS</v>
      </c>
      <c r="C7422" s="6">
        <v>1780000</v>
      </c>
      <c r="D7422" s="5" t="s">
        <v>63</v>
      </c>
      <c r="E7422" s="5" t="str">
        <f t="shared" si="352"/>
        <v>URGENCIAS ADULTO-Jenny Peña</v>
      </c>
      <c r="F7422" s="5" t="str">
        <f>"Descripcion: CAMILLA MECANICA DOS PLANOS Estado: Bueno Placa anterior: 000037776 Material: METAL Color: BEIGE Referencia:  Observacion:  Placa padre: Tipo adquisicion: Entidad"</f>
        <v>Descripcion: CAMILLA MECANICA DOS PLANOS Estado: Bueno Placa anterior: 000037776 Material: METAL Color: BEIGE Referencia:  Observacion:  Placa padre: Tipo adquisicion: Entidad</v>
      </c>
      <c r="G7422" s="5" t="str">
        <f>"7725"</f>
        <v>7725</v>
      </c>
    </row>
    <row r="7423" spans="1:7" ht="58.5" customHeight="1" x14ac:dyDescent="0.25">
      <c r="A7423" s="5" t="str">
        <f>"H0009320"</f>
        <v>H0009320</v>
      </c>
      <c r="B7423" s="5" t="str">
        <f t="shared" si="353"/>
        <v>CAMILLA DE TRASLADO DE 2 PLANOS</v>
      </c>
      <c r="C7423" s="6">
        <v>52800</v>
      </c>
      <c r="D7423" s="5"/>
      <c r="E7423" s="5" t="str">
        <f t="shared" si="352"/>
        <v>URGENCIAS ADULTO-Jenny Peña</v>
      </c>
      <c r="F7423" s="5" t="str">
        <f>"Descripcion: CAMILLA MECANICA DOS PLANOS Estado: Bueno Placa anterior: 000027319 Material: METAL Color: BEIGE Referencia:  Observacion: PARTES OXIDADAS Placa padre: Tipo adquisicion: Entidad"</f>
        <v>Descripcion: CAMILLA MECANICA DOS PLANOS Estado: Bueno Placa anterior: 000027319 Material: METAL Color: BEIGE Referencia:  Observacion: PARTES OXIDADAS Placa padre: Tipo adquisicion: Entidad</v>
      </c>
      <c r="G7423" s="5"/>
    </row>
    <row r="7424" spans="1:7" ht="58.5" customHeight="1" x14ac:dyDescent="0.25">
      <c r="A7424" s="5" t="str">
        <f>"H0009321"</f>
        <v>H0009321</v>
      </c>
      <c r="B7424" s="5" t="str">
        <f t="shared" si="353"/>
        <v>CAMILLA DE TRASLADO DE 2 PLANOS</v>
      </c>
      <c r="C7424" s="6">
        <v>52800</v>
      </c>
      <c r="D7424" s="5"/>
      <c r="E7424" s="5" t="str">
        <f t="shared" si="352"/>
        <v>URGENCIAS ADULTO-Jenny Peña</v>
      </c>
      <c r="F7424" s="5" t="str">
        <f>"Descripcion: CAMILLA MECANICA DOS PLANOS Estado: Bueno Placa anterior: 000021086 Material: METAL Color: BEIGE Referencia:  Observacion:  Placa padre: Tipo adquisicion: Entidad"</f>
        <v>Descripcion: CAMILLA MECANICA DOS PLANOS Estado: Bueno Placa anterior: 000021086 Material: METAL Color: BEIGE Referencia:  Observacion:  Placa padre: Tipo adquisicion: Entidad</v>
      </c>
      <c r="G7424" s="5"/>
    </row>
    <row r="7425" spans="1:7" ht="58.5" customHeight="1" x14ac:dyDescent="0.25">
      <c r="A7425" s="5" t="str">
        <f>"H0009322"</f>
        <v>H0009322</v>
      </c>
      <c r="B7425" s="5" t="str">
        <f t="shared" si="353"/>
        <v>CAMILLA DE TRASLADO DE 2 PLANOS</v>
      </c>
      <c r="C7425" s="6">
        <v>52800</v>
      </c>
      <c r="D7425" s="5"/>
      <c r="E7425" s="5" t="str">
        <f t="shared" si="352"/>
        <v>URGENCIAS ADULTO-Jenny Peña</v>
      </c>
      <c r="F7425" s="5" t="str">
        <f>"Descripcion: CAMILLA MECANICA DOS PLANOS Estado: Bueno Placa anterior: 000021316 Material: METAL Color: BEIGE Referencia:  Observacion:  Placa padre: Tipo adquisicion: Entidad"</f>
        <v>Descripcion: CAMILLA MECANICA DOS PLANOS Estado: Bueno Placa anterior: 000021316 Material: METAL Color: BEIGE Referencia:  Observacion:  Placa padre: Tipo adquisicion: Entidad</v>
      </c>
      <c r="G7425" s="5"/>
    </row>
    <row r="7426" spans="1:7" ht="58.5" customHeight="1" x14ac:dyDescent="0.25">
      <c r="A7426" s="5" t="str">
        <f>"H0009323"</f>
        <v>H0009323</v>
      </c>
      <c r="B7426" s="5" t="str">
        <f t="shared" si="353"/>
        <v>CAMILLA DE TRASLADO DE 2 PLANOS</v>
      </c>
      <c r="C7426" s="6">
        <v>52800</v>
      </c>
      <c r="D7426" s="5"/>
      <c r="E7426" s="5" t="str">
        <f t="shared" si="352"/>
        <v>URGENCIAS ADULTO-Jenny Peña</v>
      </c>
      <c r="F7426" s="5" t="str">
        <f>"Descripcion: CAMILLA MECANICA DOS PLANOS Estado: Bueno Placa anterior: 000021321 Material: METAL Color: BEIGE Referencia:  Observacion:  Placa padre: Tipo adquisicion: Entidad"</f>
        <v>Descripcion: CAMILLA MECANICA DOS PLANOS Estado: Bueno Placa anterior: 000021321 Material: METAL Color: BEIGE Referencia:  Observacion:  Placa padre: Tipo adquisicion: Entidad</v>
      </c>
      <c r="G7426" s="5"/>
    </row>
    <row r="7427" spans="1:7" ht="58.5" customHeight="1" x14ac:dyDescent="0.25">
      <c r="A7427" s="5" t="str">
        <f>"H0009324"</f>
        <v>H0009324</v>
      </c>
      <c r="B7427" s="5" t="str">
        <f t="shared" si="353"/>
        <v>CAMILLA DE TRASLADO DE 2 PLANOS</v>
      </c>
      <c r="C7427" s="6">
        <v>1780000</v>
      </c>
      <c r="D7427" s="5" t="s">
        <v>63</v>
      </c>
      <c r="E7427" s="5" t="str">
        <f t="shared" si="352"/>
        <v>URGENCIAS ADULTO-Jenny Peña</v>
      </c>
      <c r="F7427" s="5" t="str">
        <f>"Descripcion: CAMILLA MECANICA DOS PLANOS Estado: Bueno Placa anterior: 000037753 Material: METAL Color: BEIGE Referencia:  Observacion:  Placa padre: Tipo adquisicion: Entidad"</f>
        <v>Descripcion: CAMILLA MECANICA DOS PLANOS Estado: Bueno Placa anterior: 000037753 Material: METAL Color: BEIGE Referencia:  Observacion:  Placa padre: Tipo adquisicion: Entidad</v>
      </c>
      <c r="G7427" s="5" t="str">
        <f>"7725"</f>
        <v>7725</v>
      </c>
    </row>
    <row r="7428" spans="1:7" ht="58.5" customHeight="1" x14ac:dyDescent="0.25">
      <c r="A7428" s="5" t="str">
        <f>"H0009327"</f>
        <v>H0009327</v>
      </c>
      <c r="B7428" s="5" t="str">
        <f t="shared" si="353"/>
        <v>CAMILLA DE TRASLADO DE 2 PLANOS</v>
      </c>
      <c r="C7428" s="6">
        <v>1845000</v>
      </c>
      <c r="D7428" s="5" t="s">
        <v>447</v>
      </c>
      <c r="E7428" s="5" t="str">
        <f t="shared" si="352"/>
        <v>URGENCIAS ADULTO-Jenny Peña</v>
      </c>
      <c r="F7428" s="5" t="str">
        <f>"Descripcion: CAMILLA MECANICA DOS PLANOS Estado: Malo Placa anterior: 000029044 Material: METAL Color: BEIGE Referencia:  Observacion: EL BIEN TIENE PLACA ANTERIOR   000028485 FALTA 1 RUEDA PARTES OXIDADAS Placa padre: Tipo adquisicion: Entidad"</f>
        <v>Descripcion: CAMILLA MECANICA DOS PLANOS Estado: Malo Placa anterior: 000029044 Material: METAL Color: BEIGE Referencia:  Observacion: EL BIEN TIENE PLACA ANTERIOR   000028485 FALTA 1 RUEDA PARTES OXIDADAS Placa padre: Tipo adquisicion: Entidad</v>
      </c>
      <c r="G7428" s="5"/>
    </row>
    <row r="7429" spans="1:7" ht="58.5" customHeight="1" x14ac:dyDescent="0.25">
      <c r="A7429" s="5" t="str">
        <f>"H0009328"</f>
        <v>H0009328</v>
      </c>
      <c r="B7429" s="5" t="str">
        <f t="shared" si="353"/>
        <v>CAMILLA DE TRASLADO DE 2 PLANOS</v>
      </c>
      <c r="C7429" s="6">
        <v>1845000</v>
      </c>
      <c r="D7429" s="5" t="s">
        <v>447</v>
      </c>
      <c r="E7429" s="5" t="str">
        <f t="shared" si="352"/>
        <v>URGENCIAS ADULTO-Jenny Peña</v>
      </c>
      <c r="F7429" s="5" t="str">
        <f>"Descripcion: CAMILLA MECANICA DOS PLANOS Estado: Malo Placa anterior: 000029035 Material: METAL Color: BEIGE Referencia:  Observacion: FALTA 1 RUEDA Placa padre: Tipo adquisicion: Entidad"</f>
        <v>Descripcion: CAMILLA MECANICA DOS PLANOS Estado: Malo Placa anterior: 000029035 Material: METAL Color: BEIGE Referencia:  Observacion: FALTA 1 RUEDA Placa padre: Tipo adquisicion: Entidad</v>
      </c>
      <c r="G7429" s="5"/>
    </row>
    <row r="7430" spans="1:7" ht="58.5" customHeight="1" x14ac:dyDescent="0.25">
      <c r="A7430" s="5" t="str">
        <f>"H0009329"</f>
        <v>H0009329</v>
      </c>
      <c r="B7430" s="5" t="str">
        <f t="shared" si="353"/>
        <v>CAMILLA DE TRASLADO DE 2 PLANOS</v>
      </c>
      <c r="C7430" s="6">
        <v>1845000</v>
      </c>
      <c r="D7430" s="5" t="s">
        <v>239</v>
      </c>
      <c r="E7430" s="5" t="str">
        <f t="shared" si="352"/>
        <v>URGENCIAS ADULTO-Jenny Peña</v>
      </c>
      <c r="F7430" s="5" t="str">
        <f>"Descripcion: CAMILLA DE RECUPERACION Y TRANSPORTE DE PACINETES DE DOS PLANOS MARCA DOMETAL, ESPALDAR GRADUABLE COLCHONETA ESPUMA, BARANDA DE SEGURIDAD GARANTIA 1 AÑO Estado: Bueno Placa anterior: 000029070 Material: METAL Color: BEIGE Referencia:  Observa"&amp; "cion: TIENE 2 PLACAS ANTERIORES 31279 Y 29070 Placa padre: Tipo adquisicion: Entidad"</f>
        <v>Descripcion: CAMILLA DE RECUPERACION Y TRANSPORTE DE PACINETES DE DOS PLANOS MARCA DOMETAL, ESPALDAR GRADUABLE COLCHONETA ESPUMA, BARANDA DE SEGURIDAD GARANTIA 1 AÑO Estado: Bueno Placa anterior: 000029070 Material: METAL Color: BEIGE Referencia:  Observacion: TIENE 2 PLACAS ANTERIORES 31279 Y 29070 Placa padre: Tipo adquisicion: Entidad</v>
      </c>
      <c r="G7430" s="5"/>
    </row>
    <row r="7431" spans="1:7" ht="58.5" customHeight="1" x14ac:dyDescent="0.25">
      <c r="A7431" s="5" t="str">
        <f>"H0009331"</f>
        <v>H0009331</v>
      </c>
      <c r="B7431" s="5" t="str">
        <f t="shared" si="353"/>
        <v>CAMILLA DE TRASLADO DE 2 PLANOS</v>
      </c>
      <c r="C7431" s="6">
        <v>52800</v>
      </c>
      <c r="D7431" s="5"/>
      <c r="E7431" s="5" t="str">
        <f t="shared" si="352"/>
        <v>URGENCIAS ADULTO-Jenny Peña</v>
      </c>
      <c r="F7431" s="5" t="str">
        <f>"Descripcion: CAMILLA DE RECUPERACION Y TRANSPORTE DE PACINETES DE DOS PLANOS. Estado: Bueno Placa anterior: 000027297 Material: METAL Color: BEIGE Referencia:  Observacion:  Placa padre: Tipo adquisicion: Entidad"</f>
        <v>Descripcion: CAMILLA DE RECUPERACION Y TRANSPORTE DE PACINETES DE DOS PLANOS. Estado: Bueno Placa anterior: 000027297 Material: METAL Color: BEIGE Referencia:  Observacion:  Placa padre: Tipo adquisicion: Entidad</v>
      </c>
      <c r="G7431" s="5"/>
    </row>
    <row r="7432" spans="1:7" ht="58.5" customHeight="1" x14ac:dyDescent="0.25">
      <c r="A7432" s="5" t="str">
        <f>"H0009332"</f>
        <v>H0009332</v>
      </c>
      <c r="B7432" s="5" t="str">
        <f t="shared" si="353"/>
        <v>CAMILLA DE TRASLADO DE 2 PLANOS</v>
      </c>
      <c r="C7432" s="6">
        <v>52800</v>
      </c>
      <c r="D7432" s="5"/>
      <c r="E7432" s="5" t="str">
        <f t="shared" si="352"/>
        <v>URGENCIAS ADULTO-Jenny Peña</v>
      </c>
      <c r="F7432" s="5" t="str">
        <f>"Descripcion: CAMILLA DE RECUPERACION Y TRANSPORTE DE PACINETES DE DOS PLANOS. Estado: Bueno Placa anterior: 000027299 Material: METAL Color: BEIGE Referencia:  Observacion:  Placa padre: Tipo adquisicion: Entidad"</f>
        <v>Descripcion: CAMILLA DE RECUPERACION Y TRANSPORTE DE PACINETES DE DOS PLANOS. Estado: Bueno Placa anterior: 000027299 Material: METAL Color: BEIGE Referencia:  Observacion:  Placa padre: Tipo adquisicion: Entidad</v>
      </c>
      <c r="G7432" s="5"/>
    </row>
    <row r="7433" spans="1:7" ht="58.5" customHeight="1" x14ac:dyDescent="0.25">
      <c r="A7433" s="5" t="str">
        <f>"H0009334"</f>
        <v>H0009334</v>
      </c>
      <c r="B7433" s="5" t="str">
        <f t="shared" si="353"/>
        <v>CAMILLA DE TRASLADO DE 2 PLANOS</v>
      </c>
      <c r="C7433" s="6">
        <v>52800</v>
      </c>
      <c r="D7433" s="5"/>
      <c r="E7433" s="5" t="str">
        <f t="shared" si="352"/>
        <v>URGENCIAS ADULTO-Jenny Peña</v>
      </c>
      <c r="F7433" s="5" t="str">
        <f>"Descripcion: CAMILLA DE RECUPERACION Y TRANSPORTE DE PACINETES DE DOS PLANOS. Estado: Bueno Placa anterior: 000027305 Material: METAL Color: BEIGE Referencia:  Observacion:  Placa padre: Tipo adquisicion: Entidad"</f>
        <v>Descripcion: CAMILLA DE RECUPERACION Y TRANSPORTE DE PACINETES DE DOS PLANOS. Estado: Bueno Placa anterior: 000027305 Material: METAL Color: BEIGE Referencia:  Observacion:  Placa padre: Tipo adquisicion: Entidad</v>
      </c>
      <c r="G7433" s="5"/>
    </row>
    <row r="7434" spans="1:7" ht="58.5" customHeight="1" x14ac:dyDescent="0.25">
      <c r="A7434" s="5" t="str">
        <f>"H0009335"</f>
        <v>H0009335</v>
      </c>
      <c r="B7434" s="5" t="str">
        <f t="shared" si="353"/>
        <v>CAMILLA DE TRASLADO DE 2 PLANOS</v>
      </c>
      <c r="C7434" s="6">
        <v>52800</v>
      </c>
      <c r="D7434" s="5"/>
      <c r="E7434" s="5" t="str">
        <f t="shared" si="352"/>
        <v>URGENCIAS ADULTO-Jenny Peña</v>
      </c>
      <c r="F7434" s="5" t="str">
        <f>"Descripcion: CAMILLA DE RECUPERACION Y TRANSPORTE DE PACINETES DE DOS PLANOS. Estado: Bueno Placa anterior: 000027306 Material: METAL Color: BEIGE Referencia:  Observacion:  Placa padre: Tipo adquisicion: Entidad"</f>
        <v>Descripcion: CAMILLA DE RECUPERACION Y TRANSPORTE DE PACINETES DE DOS PLANOS. Estado: Bueno Placa anterior: 000027306 Material: METAL Color: BEIGE Referencia:  Observacion:  Placa padre: Tipo adquisicion: Entidad</v>
      </c>
      <c r="G7434" s="5"/>
    </row>
    <row r="7435" spans="1:7" ht="58.5" customHeight="1" x14ac:dyDescent="0.25">
      <c r="A7435" s="5" t="str">
        <f>"H0009339"</f>
        <v>H0009339</v>
      </c>
      <c r="B7435" s="5" t="str">
        <f t="shared" si="353"/>
        <v>CAMILLA DE TRASLADO DE 2 PLANOS</v>
      </c>
      <c r="C7435" s="6">
        <v>1780000</v>
      </c>
      <c r="D7435" s="5" t="s">
        <v>63</v>
      </c>
      <c r="E7435" s="5" t="str">
        <f t="shared" si="352"/>
        <v>URGENCIAS ADULTO-Jenny Peña</v>
      </c>
      <c r="F7435" s="5" t="str">
        <f>"Descripcion: CAMILLA MECANICA DOS PLANOS Estado: Bueno Placa anterior: 000037774 Material: METAL Color: BEIGE Referencia:  Observacion:  Placa padre: Tipo adquisicion: Entidad"</f>
        <v>Descripcion: CAMILLA MECANICA DOS PLANOS Estado: Bueno Placa anterior: 000037774 Material: METAL Color: BEIGE Referencia:  Observacion:  Placa padre: Tipo adquisicion: Entidad</v>
      </c>
      <c r="G7435" s="5" t="str">
        <f>"7725"</f>
        <v>7725</v>
      </c>
    </row>
    <row r="7436" spans="1:7" ht="58.5" customHeight="1" x14ac:dyDescent="0.25">
      <c r="A7436" s="5" t="str">
        <f>"H0009340"</f>
        <v>H0009340</v>
      </c>
      <c r="B7436" s="5" t="str">
        <f t="shared" si="353"/>
        <v>CAMILLA DE TRASLADO DE 2 PLANOS</v>
      </c>
      <c r="C7436" s="6">
        <v>1780000</v>
      </c>
      <c r="D7436" s="5" t="s">
        <v>63</v>
      </c>
      <c r="E7436" s="5" t="str">
        <f t="shared" si="352"/>
        <v>URGENCIAS ADULTO-Jenny Peña</v>
      </c>
      <c r="F7436" s="5" t="str">
        <f>"Descripcion: CAMILLA MECANICA DOS PLANOS Estado: Bueno Placa anterior: 000037768 Material: METAL Color: BEIGE Referencia:  Observacion:  Placa padre: Tipo adquisicion: Entidad"</f>
        <v>Descripcion: CAMILLA MECANICA DOS PLANOS Estado: Bueno Placa anterior: 000037768 Material: METAL Color: BEIGE Referencia:  Observacion:  Placa padre: Tipo adquisicion: Entidad</v>
      </c>
      <c r="G7436" s="5" t="str">
        <f>"7725"</f>
        <v>7725</v>
      </c>
    </row>
    <row r="7437" spans="1:7" ht="58.5" customHeight="1" x14ac:dyDescent="0.25">
      <c r="A7437" s="5" t="str">
        <f>"H0009341"</f>
        <v>H0009341</v>
      </c>
      <c r="B7437" s="5" t="str">
        <f t="shared" si="353"/>
        <v>CAMILLA DE TRASLADO DE 2 PLANOS</v>
      </c>
      <c r="C7437" s="6">
        <v>1066050</v>
      </c>
      <c r="D7437" s="5"/>
      <c r="E7437" s="5" t="str">
        <f t="shared" si="352"/>
        <v>URGENCIAS ADULTO-Jenny Peña</v>
      </c>
      <c r="F7437" s="5" t="str">
        <f>"Descripcion: CAMILLA DE RECUPERACION Estado: Bueno Placa anterior: 000028505 Material: METAL Color: BEIGE Referencia:  Observacion:  Placa padre: Tipo adquisicion: Entidad"</f>
        <v>Descripcion: CAMILLA DE RECUPERACION Estado: Bueno Placa anterior: 000028505 Material: METAL Color: BEIGE Referencia:  Observacion:  Placa padre: Tipo adquisicion: Entidad</v>
      </c>
      <c r="G7437" s="5"/>
    </row>
    <row r="7438" spans="1:7" ht="58.5" customHeight="1" x14ac:dyDescent="0.25">
      <c r="A7438" s="5" t="str">
        <f>"H0009343"</f>
        <v>H0009343</v>
      </c>
      <c r="B7438" s="5" t="str">
        <f t="shared" si="353"/>
        <v>CAMILLA DE TRASLADO DE 2 PLANOS</v>
      </c>
      <c r="C7438" s="6">
        <v>1780000</v>
      </c>
      <c r="D7438" s="5" t="s">
        <v>63</v>
      </c>
      <c r="E7438" s="5" t="str">
        <f t="shared" si="352"/>
        <v>URGENCIAS ADULTO-Jenny Peña</v>
      </c>
      <c r="F7438" s="5" t="str">
        <f>"Descripcion: CAMILLA MECANICA DOS PLANOS CON 1 ATRIL Estado: Bueno Placa anterior: 000037766 Material: METAL Color: BEIGE Referencia:  Observacion:  Placa padre: Tipo adquisicion: Entidad"</f>
        <v>Descripcion: CAMILLA MECANICA DOS PLANOS CON 1 ATRIL Estado: Bueno Placa anterior: 000037766 Material: METAL Color: BEIGE Referencia:  Observacion:  Placa padre: Tipo adquisicion: Entidad</v>
      </c>
      <c r="G7438" s="5" t="str">
        <f>"7725"</f>
        <v>7725</v>
      </c>
    </row>
    <row r="7439" spans="1:7" ht="58.5" customHeight="1" x14ac:dyDescent="0.25">
      <c r="A7439" s="5" t="str">
        <f>"H0009344"</f>
        <v>H0009344</v>
      </c>
      <c r="B7439" s="5" t="str">
        <f t="shared" si="353"/>
        <v>CAMILLA DE TRASLADO DE 2 PLANOS</v>
      </c>
      <c r="C7439" s="6">
        <v>1845000</v>
      </c>
      <c r="D7439" s="5" t="s">
        <v>447</v>
      </c>
      <c r="E7439" s="5" t="str">
        <f t="shared" si="352"/>
        <v>URGENCIAS ADULTO-Jenny Peña</v>
      </c>
      <c r="F7439" s="5" t="str">
        <f>"Descripcion: CAMILLA MECANICA DOS PLANOS CON 1 ATRIL Estado: Bueno Placa anterior: 000029036 Material: METAL Color: BEIGE Referencia:  Observacion:  Placa padre: Tipo adquisicion: Entidad"</f>
        <v>Descripcion: CAMILLA MECANICA DOS PLANOS CON 1 ATRIL Estado: Bueno Placa anterior: 000029036 Material: METAL Color: BEIGE Referencia:  Observacion:  Placa padre: Tipo adquisicion: Entidad</v>
      </c>
      <c r="G7439" s="5" t="str">
        <f>"7725"</f>
        <v>7725</v>
      </c>
    </row>
    <row r="7440" spans="1:7" ht="58.5" customHeight="1" x14ac:dyDescent="0.25">
      <c r="A7440" s="5" t="str">
        <f>"H0009346"</f>
        <v>H0009346</v>
      </c>
      <c r="B7440" s="5" t="str">
        <f>"CUNA TIPO CANASTILLA"</f>
        <v>CUNA TIPO CANASTILLA</v>
      </c>
      <c r="C7440" s="6">
        <v>47300</v>
      </c>
      <c r="D7440" s="5"/>
      <c r="E7440" s="5" t="str">
        <f t="shared" si="352"/>
        <v>URGENCIAS ADULTO-Jenny Peña</v>
      </c>
      <c r="F7440" s="5" t="str">
        <f>"Descripcion: CUNA METALICA CANASTILLA Estado: Bueno Placa anterior: 000026457 Material: METAL Color: BEIGE Referencia:  Observacion:  Placa padre: Tipo adquisicion: Entidad"</f>
        <v>Descripcion: CUNA METALICA CANASTILLA Estado: Bueno Placa anterior: 000026457 Material: METAL Color: BEIGE Referencia:  Observacion:  Placa padre: Tipo adquisicion: Entidad</v>
      </c>
      <c r="G7440" s="5"/>
    </row>
    <row r="7441" spans="1:7" ht="58.5" customHeight="1" x14ac:dyDescent="0.25">
      <c r="A7441" s="5" t="str">
        <f>"H0009348"</f>
        <v>H0009348</v>
      </c>
      <c r="B7441" s="5" t="str">
        <f>"CARRO PARA TRANSPORTE DE MENAJE"</f>
        <v>CARRO PARA TRANSPORTE DE MENAJE</v>
      </c>
      <c r="C7441" s="6">
        <v>138424</v>
      </c>
      <c r="D7441" s="5"/>
      <c r="E7441" s="5" t="str">
        <f t="shared" si="352"/>
        <v>URGENCIAS ADULTO-Jenny Peña</v>
      </c>
      <c r="F7441" s="5" t="str">
        <f>"Descripcion: CARRO RECOLECTOR DE LOZA - 5 ENTREPAÑOS Estado: Bueno Placa anterior: 000015419 Material: METAL Color: PLATEADO Referencia:  Observacion: AUTORIZADO CRUCE GENERAL Placa padre: Tipo adquisicion: Entidad"</f>
        <v>Descripcion: CARRO RECOLECTOR DE LOZA - 5 ENTREPAÑOS Estado: Bueno Placa anterior: 000015419 Material: METAL Color: PLATEADO Referencia:  Observacion: AUTORIZADO CRUCE GENERAL Placa padre: Tipo adquisicion: Entidad</v>
      </c>
      <c r="G7441" s="5"/>
    </row>
    <row r="7442" spans="1:7" ht="58.5" customHeight="1" x14ac:dyDescent="0.25">
      <c r="A7442" s="5" t="str">
        <f>"H0009349"</f>
        <v>H0009349</v>
      </c>
      <c r="B7442" s="5" t="str">
        <f>"CARRO PARA TRANSPORTE DE MENAJE"</f>
        <v>CARRO PARA TRANSPORTE DE MENAJE</v>
      </c>
      <c r="C7442" s="6">
        <v>144509.41</v>
      </c>
      <c r="D7442" s="5"/>
      <c r="E7442" s="5" t="str">
        <f t="shared" si="352"/>
        <v>URGENCIAS ADULTO-Jenny Peña</v>
      </c>
      <c r="F7442" s="5" t="str">
        <f>"Descripcion: CARRO RECOLECTOR DE LOZA - 5 ENTREPAÑOS Estado: Bueno Placa anterior: 000014275 Material: METAL Color: PLATEADO Referencia:  Observacion: AUTORIZADO EN CRUCE GENERAL Placa padre: Tipo adquisicion: Entidad"</f>
        <v>Descripcion: CARRO RECOLECTOR DE LOZA - 5 ENTREPAÑOS Estado: Bueno Placa anterior: 000014275 Material: METAL Color: PLATEADO Referencia:  Observacion: AUTORIZADO EN CRUCE GENERAL Placa padre: Tipo adquisicion: Entidad</v>
      </c>
      <c r="G7442" s="5"/>
    </row>
    <row r="7443" spans="1:7" ht="58.5" customHeight="1" x14ac:dyDescent="0.25">
      <c r="A7443" s="5" t="str">
        <f>"H0009350"</f>
        <v>H0009350</v>
      </c>
      <c r="B7443" s="5" t="str">
        <f>"CAMARA DE VIDEOVIGILANCIA"</f>
        <v>CAMARA DE VIDEOVIGILANCIA</v>
      </c>
      <c r="C7443" s="6">
        <v>371000</v>
      </c>
      <c r="D7443" s="5" t="s">
        <v>213</v>
      </c>
      <c r="E7443" s="5" t="str">
        <f t="shared" si="352"/>
        <v>URGENCIAS ADULTO-Jenny Peña</v>
      </c>
      <c r="F7443" s="5" t="str">
        <f>"Descripcion: CAMARA IP TIPO DOMO 2 MPX LENTE DE 2.8 mm PoE 1/3 (WI-FI) Estado: Bueno Placa anterior: 000038214 Material: PASTA Color: BLANCO Referencia:  Observacion: NO SE PUDO VISUALIZAR SERIAL Placa padre: Tipo adquisicion: Entidad"</f>
        <v>Descripcion: CAMARA IP TIPO DOMO 2 MPX LENTE DE 2.8 mm PoE 1/3 (WI-FI) Estado: Bueno Placa anterior: 000038214 Material: PASTA Color: BLANCO Referencia:  Observacion: NO SE PUDO VISUALIZAR SERIAL Placa padre: Tipo adquisicion: Entidad</v>
      </c>
      <c r="G7443" s="5"/>
    </row>
    <row r="7444" spans="1:7" ht="58.5" customHeight="1" x14ac:dyDescent="0.25">
      <c r="A7444" s="5" t="str">
        <f>"H0009351"</f>
        <v>H0009351</v>
      </c>
      <c r="B7444" s="5" t="str">
        <f>"CAMARA DE VIDEOVIGILANCIA"</f>
        <v>CAMARA DE VIDEOVIGILANCIA</v>
      </c>
      <c r="C7444" s="6">
        <v>371000</v>
      </c>
      <c r="D7444" s="5" t="s">
        <v>213</v>
      </c>
      <c r="E7444" s="5" t="str">
        <f t="shared" si="352"/>
        <v>URGENCIAS ADULTO-Jenny Peña</v>
      </c>
      <c r="F7444" s="5" t="str">
        <f>"Descripcion: CAMARA IP TIPO DOMO 2 MPX LENTE DE 2.8 mm PoE 1/3 (WI-FI) Estado: Bueno Placa anterior: 000038215 Material: PASTA Color: BLANCO Referencia:  Observacion: NO SE PUDO VISUALIZAR SERIAL Placa padre: Tipo adquisicion: Entidad"</f>
        <v>Descripcion: CAMARA IP TIPO DOMO 2 MPX LENTE DE 2.8 mm PoE 1/3 (WI-FI) Estado: Bueno Placa anterior: 000038215 Material: PASTA Color: BLANCO Referencia:  Observacion: NO SE PUDO VISUALIZAR SERIAL Placa padre: Tipo adquisicion: Entidad</v>
      </c>
      <c r="G7444" s="5"/>
    </row>
    <row r="7445" spans="1:7" ht="58.5" customHeight="1" x14ac:dyDescent="0.25">
      <c r="A7445" s="5" t="str">
        <f>"H0009352"</f>
        <v>H0009352</v>
      </c>
      <c r="B7445" s="5" t="str">
        <f>"GABINETE CONTRA INCENDIO"</f>
        <v>GABINETE CONTRA INCENDIO</v>
      </c>
      <c r="C7445" s="6">
        <v>171000</v>
      </c>
      <c r="D7445" s="5"/>
      <c r="E7445" s="5" t="str">
        <f t="shared" si="352"/>
        <v>URGENCIAS ADULTO-Jenny Peña</v>
      </c>
      <c r="F7445" s="5" t="str">
        <f>"Descripcion: GABINETE CONTRA INCENDIO: CONTIENE 1 EXTINTOR 10 LB, HACHA Y MANGUERA Estado: Bueno Placa anterior: 000019090 Material: METAL Color: ROJO Referencia:  Observacion:  Placa padre: Tipo adquisicion: Entidad"</f>
        <v>Descripcion: GABINETE CONTRA INCENDIO: CONTIENE 1 EXTINTOR 10 LB, HACHA Y MANGUERA Estado: Bueno Placa anterior: 000019090 Material: METAL Color: ROJO Referencia:  Observacion:  Placa padre: Tipo adquisicion: Entidad</v>
      </c>
      <c r="G7445" s="5"/>
    </row>
    <row r="7446" spans="1:7" ht="58.5" customHeight="1" x14ac:dyDescent="0.25">
      <c r="A7446" s="5" t="str">
        <f>"H0009356"</f>
        <v>H0009356</v>
      </c>
      <c r="B7446" s="5" t="str">
        <f>"ATRIL PORTASUERO MOVIL"</f>
        <v>ATRIL PORTASUERO MOVIL</v>
      </c>
      <c r="C7446" s="6">
        <v>145000</v>
      </c>
      <c r="D7446" s="5" t="s">
        <v>166</v>
      </c>
      <c r="E7446" s="5" t="str">
        <f t="shared" si="352"/>
        <v>URGENCIAS ADULTO-Jenny Peña</v>
      </c>
      <c r="F7446" s="5" t="str">
        <f>"Descripcion: ATRIL PORTA SUERO CON RODACHINES Estado: Bueno Placa anterior: 000031446 Material: ACERO INOX. Color: PLATEADO Referencia:  Observacion:  Placa padre: Tipo adquisicion: Entidad"</f>
        <v>Descripcion: ATRIL PORTA SUERO CON RODACHINES Estado: Bueno Placa anterior: 000031446 Material: ACERO INOX. Color: PLATEADO Referencia:  Observacion:  Placa padre: Tipo adquisicion: Entidad</v>
      </c>
      <c r="G7446" s="5"/>
    </row>
    <row r="7447" spans="1:7" ht="58.5" customHeight="1" x14ac:dyDescent="0.25">
      <c r="A7447" s="5" t="str">
        <f>"H0009357"</f>
        <v>H0009357</v>
      </c>
      <c r="B7447" s="5" t="str">
        <f>"CARRO PARA TRANSPORTE BALA DE OXIGENO"</f>
        <v>CARRO PARA TRANSPORTE BALA DE OXIGENO</v>
      </c>
      <c r="C7447" s="6">
        <v>266800</v>
      </c>
      <c r="D7447" s="5" t="s">
        <v>166</v>
      </c>
      <c r="E7447" s="5" t="str">
        <f t="shared" si="352"/>
        <v>URGENCIAS ADULTO-Jenny Peña</v>
      </c>
      <c r="F7447" s="5" t="str">
        <f>"Descripcion: CARRO TRANSPORTADOR BALA DE OXIGENO GRANDE Estado: Bueno Placa anterior: 000031505 Material: METAL Color: BLANCO Referencia:  Observacion:  Placa padre: Tipo adquisicion: Entidad"</f>
        <v>Descripcion: CARRO TRANSPORTADOR BALA DE OXIGENO GRANDE Estado: Bueno Placa anterior: 000031505 Material: METAL Color: BLANCO Referencia:  Observacion:  Placa padre: Tipo adquisicion: Entidad</v>
      </c>
      <c r="G7447" s="5"/>
    </row>
    <row r="7448" spans="1:7" ht="58.5" customHeight="1" x14ac:dyDescent="0.25">
      <c r="A7448" s="5" t="str">
        <f>"H0009358"</f>
        <v>H0009358</v>
      </c>
      <c r="B7448" s="5" t="str">
        <f>"CARRO PARA TRANSPORTE BALA DE OXIGENO"</f>
        <v>CARRO PARA TRANSPORTE BALA DE OXIGENO</v>
      </c>
      <c r="C7448" s="6">
        <v>136800</v>
      </c>
      <c r="D7448" s="5"/>
      <c r="E7448" s="5" t="str">
        <f t="shared" si="352"/>
        <v>URGENCIAS ADULTO-Jenny Peña</v>
      </c>
      <c r="F7448" s="5" t="str">
        <f>"Descripcion: CARRO TRANSPORTADOR BALA DE OXIGENO GRANDE Estado: Bueno Placa anterior: 000019369 Material: METAL Color: BLANCO Referencia:  Observacion:  Placa padre: Tipo adquisicion: Entidad"</f>
        <v>Descripcion: CARRO TRANSPORTADOR BALA DE OXIGENO GRANDE Estado: Bueno Placa anterior: 000019369 Material: METAL Color: BLANCO Referencia:  Observacion:  Placa padre: Tipo adquisicion: Entidad</v>
      </c>
      <c r="G7448" s="5"/>
    </row>
    <row r="7449" spans="1:7" ht="58.5" customHeight="1" x14ac:dyDescent="0.25">
      <c r="A7449" s="5" t="str">
        <f>"H0009369"</f>
        <v>H0009369</v>
      </c>
      <c r="B7449" s="5" t="str">
        <f>"ESCALERILLA DE 2 PASOS"</f>
        <v>ESCALERILLA DE 2 PASOS</v>
      </c>
      <c r="C7449" s="6">
        <v>100000</v>
      </c>
      <c r="D7449" s="5" t="s">
        <v>49</v>
      </c>
      <c r="E7449" s="5" t="str">
        <f t="shared" si="352"/>
        <v>URGENCIAS ADULTO-Jenny Peña</v>
      </c>
      <c r="F7449" s="5" t="str">
        <f>"Descripcion: ESCALERILLA DE DOS PASO EN TUBO REDONDO Estado: Bueno Placa anterior: 000029866 Material: METAL Y FORMICA Color: GRIS Y BLANCO Referencia:  Observacion:  Placa padre: Tipo adquisicion: Entidad"</f>
        <v>Descripcion: ESCALERILLA DE DOS PASO EN TUBO REDONDO Estado: Bueno Placa anterior: 000029866 Material: METAL Y FORMICA Color: GRIS Y BLANCO Referencia:  Observacion:  Placa padre: Tipo adquisicion: Entidad</v>
      </c>
      <c r="G7449" s="5"/>
    </row>
    <row r="7450" spans="1:7" ht="58.5" customHeight="1" x14ac:dyDescent="0.25">
      <c r="A7450" s="5" t="str">
        <f>"H0009374"</f>
        <v>H0009374</v>
      </c>
      <c r="B7450" s="5" t="str">
        <f>"ESCALERILLA DE 2 PASOS"</f>
        <v>ESCALERILLA DE 2 PASOS</v>
      </c>
      <c r="C7450" s="6">
        <v>100000</v>
      </c>
      <c r="D7450" s="5" t="s">
        <v>49</v>
      </c>
      <c r="E7450" s="5" t="str">
        <f t="shared" si="352"/>
        <v>URGENCIAS ADULTO-Jenny Peña</v>
      </c>
      <c r="F7450" s="5" t="str">
        <f>"Descripcion: ESCALERILLA DE DOS PASO EN TUBO REDONDO Estado: Bueno Placa anterior: 000029848 Material: METAL Y FORMICA Color: GRIS Y BLANCO Referencia:  Observacion:  Placa padre: Tipo adquisicion: Entidad"</f>
        <v>Descripcion: ESCALERILLA DE DOS PASO EN TUBO REDONDO Estado: Bueno Placa anterior: 000029848 Material: METAL Y FORMICA Color: GRIS Y BLANCO Referencia:  Observacion:  Placa padre: Tipo adquisicion: Entidad</v>
      </c>
      <c r="G7450" s="5"/>
    </row>
    <row r="7451" spans="1:7" ht="58.5" customHeight="1" x14ac:dyDescent="0.25">
      <c r="A7451" s="5" t="str">
        <f>"H0009752"</f>
        <v>H0009752</v>
      </c>
      <c r="B7451" s="5" t="str">
        <f>"VITRINA DE 2 CUERPOS"</f>
        <v>VITRINA DE 2 CUERPOS</v>
      </c>
      <c r="C7451" s="6">
        <v>8305</v>
      </c>
      <c r="D7451" s="5"/>
      <c r="E7451" s="5" t="str">
        <f t="shared" si="352"/>
        <v>URGENCIAS ADULTO-Jenny Peña</v>
      </c>
      <c r="F7451" s="5" t="str">
        <f>"Descripcion: BIBLIOTECA TIPO A (PEQUEÑA PUERTA DE VIDRIO)66X93X36 Estado: Regular Placa anterior: 000004864 Material: METALICO Color: GRIS Referencia:  Observacion:  Placa padre: Tipo adquisicion: Entidad"</f>
        <v>Descripcion: BIBLIOTECA TIPO A (PEQUEÑA PUERTA DE VIDRIO)66X93X36 Estado: Regular Placa anterior: 000004864 Material: METALICO Color: GRIS Referencia:  Observacion:  Placa padre: Tipo adquisicion: Entidad</v>
      </c>
      <c r="G7451" s="5"/>
    </row>
    <row r="7452" spans="1:7" ht="58.5" customHeight="1" x14ac:dyDescent="0.25">
      <c r="A7452" s="5" t="str">
        <f>"H0009842"</f>
        <v>H0009842</v>
      </c>
      <c r="B7452" s="5" t="str">
        <f>"SILLA TANDEM DE 3 PUESTOS"</f>
        <v>SILLA TANDEM DE 3 PUESTOS</v>
      </c>
      <c r="C7452" s="6">
        <v>388600</v>
      </c>
      <c r="D7452" s="5"/>
      <c r="E7452" s="5" t="str">
        <f t="shared" si="352"/>
        <v>URGENCIAS ADULTO-Jenny Peña</v>
      </c>
      <c r="F7452" s="5" t="str">
        <f>"Descripcion: SILLA TANDEM DE 3 PUESTOS Estado: Bueno Placa anterior: 000024846 Material: PASTA Color: VERDE Referencia:  Observacion:  Placa padre: Tipo adquisicion: Entidad"</f>
        <v>Descripcion: SILLA TANDEM DE 3 PUESTOS Estado: Bueno Placa anterior: 000024846 Material: PASTA Color: VERDE Referencia:  Observacion:  Placa padre: Tipo adquisicion: Entidad</v>
      </c>
      <c r="G7452" s="5"/>
    </row>
    <row r="7453" spans="1:7" ht="58.5" customHeight="1" x14ac:dyDescent="0.25">
      <c r="A7453" s="5" t="str">
        <f>"H0010015"</f>
        <v>H0010015</v>
      </c>
      <c r="B7453" s="5" t="str">
        <f>"MONITOR DE SIGNOS VITALES"</f>
        <v>MONITOR DE SIGNOS VITALES</v>
      </c>
      <c r="C7453" s="6">
        <v>3364000</v>
      </c>
      <c r="D7453" s="5" t="s">
        <v>289</v>
      </c>
      <c r="E7453" s="5" t="str">
        <f t="shared" si="352"/>
        <v>URGENCIAS ADULTO-Jenny Peña</v>
      </c>
      <c r="F7453" s="5" t="str">
        <f>"Descripcion: MONITOR DE SIGNOS VITALES MARCA EDAM, PANTALLA TFTA COLOR, DE 12/10 ECG, SPO2 RESP.NIBP. 2 TEMPE. PR. 2-IBP. EtCO2 TECNOLOGIA NELLCOR OXIMAX/EDAN SPO2, OXIMETRIA CON MODULACION DE TONO POR PULSO. ANALISIS ECG DE 7 SEGMENTOS Estado: Bueno Plac"&amp; "a anterior: 000030436 Material: PASTA Color: BEIGE Referencia:  Observacion:  Placa padre: Tipo adquisicion: Entidad"</f>
        <v>Descripcion: MONITOR DE SIGNOS VITALES MARCA EDAM, PANTALLA TFTA COLOR, DE 12/10 ECG, SPO2 RESP.NIBP. 2 TEMPE. PR. 2-IBP. EtCO2 TECNOLOGIA NELLCOR OXIMAX/EDAN SPO2, OXIMETRIA CON MODULACION DE TONO POR PULSO. ANALISIS ECG DE 7 SEGMENTOS Estado: Bueno Placa anterior: 000030436 Material: PASTA Color: BEIGE Referencia:  Observacion:  Placa padre: Tipo adquisicion: Entidad</v>
      </c>
      <c r="G7453" s="5" t="str">
        <f>"M-8"</f>
        <v>M-8</v>
      </c>
    </row>
    <row r="7454" spans="1:7" ht="58.5" customHeight="1" x14ac:dyDescent="0.25">
      <c r="A7454" s="5" t="str">
        <f>"H0010096"</f>
        <v>H0010096</v>
      </c>
      <c r="B7454" s="5" t="str">
        <f>"MONITOR DE SIGNOS VITALES"</f>
        <v>MONITOR DE SIGNOS VITALES</v>
      </c>
      <c r="C7454" s="6">
        <v>3364000</v>
      </c>
      <c r="D7454" s="5" t="s">
        <v>57</v>
      </c>
      <c r="E7454" s="5" t="str">
        <f t="shared" si="352"/>
        <v>URGENCIAS ADULTO-Jenny Peña</v>
      </c>
      <c r="F7454" s="5" t="str">
        <f>"Descripcion: MONITOR DE SIGNOS VITALES, MARCA EDAM, PANTALLA TFTA A COLOR DE 12/10 ECG, SPO2 TECNOLOGIA NELLCOR OXIMAX/EDAM SPO2. OXIMETRIA CON MODULACION DE TONO POR PULSO. ANALISIS ECG DE 7 SEGMENTOS. Estado: Bueno Placa anterior: 000030439 Material: PA"&amp; "STA Color: BLANCO Referencia:  Observacion: ESTA EN DONACION Y HACEN PARTE DEL HOSPITAL Placa padre: Tipo adquisicion: Donacion"</f>
        <v>Descripcion: MONITOR DE SIGNOS VITALES, MARCA EDAM, PANTALLA TFTA A COLOR DE 12/10 ECG, SPO2 TECNOLOGIA NELLCOR OXIMAX/EDAM SPO2. OXIMETRIA CON MODULACION DE TONO POR PULSO. ANALISIS ECG DE 7 SEGMENTOS. Estado: Bueno Placa anterior: 000030439 Material: PASTA Color: BLANCO Referencia:  Observacion: ESTA EN DONACION Y HACEN PARTE DEL HOSPITAL Placa padre: Tipo adquisicion: Donacion</v>
      </c>
      <c r="G7454" s="5"/>
    </row>
    <row r="7455" spans="1:7" ht="58.5" customHeight="1" x14ac:dyDescent="0.25">
      <c r="A7455" s="5" t="str">
        <f>"H0010146"</f>
        <v>H0010146</v>
      </c>
      <c r="B7455" s="5" t="str">
        <f>"MONITOR DE SIGNOS VITALES"</f>
        <v>MONITOR DE SIGNOS VITALES</v>
      </c>
      <c r="C7455" s="6">
        <v>4002000</v>
      </c>
      <c r="D7455" s="5" t="s">
        <v>166</v>
      </c>
      <c r="E7455" s="5" t="str">
        <f t="shared" si="352"/>
        <v>URGENCIAS ADULTO-Jenny Peña</v>
      </c>
      <c r="F7455"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000031406 Material: PLASTICO Color: GRIS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000031406 Material: PLASTICO Color: GRIS Referencia:  Observacion:  Placa padre: Tipo adquisicion: Entidad</v>
      </c>
      <c r="G7455" s="5" t="str">
        <f>"IMEC 10"</f>
        <v>IMEC 10</v>
      </c>
    </row>
    <row r="7456" spans="1:7" ht="58.5" customHeight="1" x14ac:dyDescent="0.25">
      <c r="A7456" s="5" t="str">
        <f>"H0010147"</f>
        <v>H0010147</v>
      </c>
      <c r="B7456" s="5" t="str">
        <f>"MONITOR DE SIGNOS VITALES"</f>
        <v>MONITOR DE SIGNOS VITALES</v>
      </c>
      <c r="C7456" s="6">
        <v>4002000</v>
      </c>
      <c r="D7456" s="5" t="s">
        <v>166</v>
      </c>
      <c r="E7456" s="5" t="str">
        <f t="shared" si="352"/>
        <v>URGENCIAS ADULTO-Jenny Peña</v>
      </c>
      <c r="F7456"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000031404 Material: PLASTICO Color: GRIS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000031404 Material: PLASTICO Color: GRIS Referencia:  Observacion:  Placa padre: Tipo adquisicion: Entidad</v>
      </c>
      <c r="G7456" s="5" t="str">
        <f>"IMEC 10"</f>
        <v>IMEC 10</v>
      </c>
    </row>
    <row r="7457" spans="1:7" ht="58.5" customHeight="1" x14ac:dyDescent="0.25">
      <c r="A7457" s="5" t="str">
        <f>"H0010156"</f>
        <v>H0010156</v>
      </c>
      <c r="B7457" s="5" t="str">
        <f>"DESFRIBILADOR"</f>
        <v>DESFRIBILADOR</v>
      </c>
      <c r="C7457" s="6">
        <v>11716000</v>
      </c>
      <c r="D7457" s="5" t="s">
        <v>166</v>
      </c>
      <c r="E7457" s="5" t="str">
        <f t="shared" si="352"/>
        <v>URGENCIAS ADULTO-Jenny Peña</v>
      </c>
      <c r="F7457" s="5" t="str">
        <f>"Descripcion: DESFRIBILADOR. Desfribilador cardiaco de onda bifasica, tipo de desfribilacion:manual,sincronica y AED.Entrega de enregia entre 0-270 joules, marcapaso externo, velocidad de registro 25mm bateria interna para dos horas de trabajo,monitor, con"&amp; "exion para e Estado: Bueno Placa anterior: 000031369 Material: PASTA Color: GRIS Referencia:  Observacion:  Placa padre: Tipo adquisicion: Entidad"</f>
        <v>Descripcion: DESFRIBILADOR. Desfribilador cardiaco de onda bifasica, tipo de desfribilacion:manual,sincronica y AED.Entrega de enregia entre 0-270 joules, marcapaso externo, velocidad de registro 25mm bateria interna para dos horas de trabajo,monitor, conexion para e Estado: Bueno Placa anterior: 000031369 Material: PASTA Color: GRIS Referencia:  Observacion:  Placa padre: Tipo adquisicion: Entidad</v>
      </c>
      <c r="G7457" s="5" t="str">
        <f>"BENE HEART D3"</f>
        <v>BENE HEART D3</v>
      </c>
    </row>
    <row r="7458" spans="1:7" ht="58.5" customHeight="1" x14ac:dyDescent="0.25">
      <c r="A7458" s="5" t="str">
        <f>"H0010161"</f>
        <v>H0010161</v>
      </c>
      <c r="B7458" s="5" t="str">
        <f>"NEGATOSCOPIO"</f>
        <v>NEGATOSCOPIO</v>
      </c>
      <c r="C7458" s="6">
        <v>242440</v>
      </c>
      <c r="D7458" s="5"/>
      <c r="E7458" s="5" t="str">
        <f t="shared" si="352"/>
        <v>URGENCIAS ADULTO-Jenny Peña</v>
      </c>
      <c r="F7458" s="5" t="str">
        <f>"Descripcion: NEGATOSCOPIO DE 2 CUERPOS Estado: Bueno Placa anterior: 000030551 Material: PASTA ACRILICO Color: VERDE  Referencia:  Observacion: 000027732, AUTORIZADO CONCILIAR EN CRUCE GENERAL Placa padre: Tipo adquisicion: Entidad"</f>
        <v>Descripcion: NEGATOSCOPIO DE 2 CUERPOS Estado: Bueno Placa anterior: 000030551 Material: PASTA ACRILICO Color: VERDE  Referencia:  Observacion: 000027732, AUTORIZADO CONCILIAR EN CRUCE GENERAL Placa padre: Tipo adquisicion: Entidad</v>
      </c>
      <c r="G7458" s="5"/>
    </row>
    <row r="7459" spans="1:7" ht="58.5" customHeight="1" x14ac:dyDescent="0.25">
      <c r="A7459" s="5" t="str">
        <f>"H0011278"</f>
        <v>H0011278</v>
      </c>
      <c r="B7459" s="5" t="str">
        <f>"AIRE ACONDICIONADO TIPO SPLIT 12000 BTU"</f>
        <v>AIRE ACONDICIONADO TIPO SPLIT 12000 BTU</v>
      </c>
      <c r="C7459" s="6">
        <v>1836280</v>
      </c>
      <c r="D7459" s="5" t="s">
        <v>146</v>
      </c>
      <c r="E7459" s="5" t="str">
        <f t="shared" si="352"/>
        <v>URGENCIAS ADULTO-Jenny Peña</v>
      </c>
      <c r="F7459" s="5" t="str">
        <f>"Descripcion: AIRE ACONDICIONADO CAPACIDAD 12.000 BTU Equipo tipo mini split consola de lujo con control remoto y uso refrigerante ecologico Sistema inverter Debe incluir display para ser monitoreado por sistema central Estado: Bueno Placa anterior: 000036"&amp; "363 Material: PASTA Color: BLANCO Referencia: BSNQ122B4W3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000036363 Material: PASTA Color: BLANCO Referencia: BSNQ122B4W3 Observacion:  Placa padre: Tipo adquisicion: Entidad</v>
      </c>
      <c r="G7459" s="5" t="str">
        <f>"VM122CENB3"</f>
        <v>VM122CENB3</v>
      </c>
    </row>
    <row r="7460" spans="1:7" ht="58.5" customHeight="1" x14ac:dyDescent="0.25">
      <c r="A7460" s="5" t="str">
        <f>"H0013098"</f>
        <v>H0013098</v>
      </c>
      <c r="B7460" s="5" t="str">
        <f>"TELEVISOR LCD 40''"</f>
        <v>TELEVISOR LCD 40''</v>
      </c>
      <c r="C7460" s="6">
        <v>849900</v>
      </c>
      <c r="D7460" s="5" t="s">
        <v>58</v>
      </c>
      <c r="E7460" s="5" t="str">
        <f t="shared" si="352"/>
        <v>URGENCIAS ADULTO-Jenny Peña</v>
      </c>
      <c r="F7460" s="5" t="str">
        <f>"Descripcion: . Estado: Bueno Placa anterior:  Material: PASTA Color: NEGRO Referencia:  Observacion:  Placa padre: Tipo adquisicion: Entidad"</f>
        <v>Descripcion: . Estado: Bueno Placa anterior:  Material: PASTA Color: NEGRO Referencia:  Observacion:  Placa padre: Tipo adquisicion: Entidad</v>
      </c>
      <c r="G7460" s="5" t="str">
        <f>"SP-LED40"</f>
        <v>SP-LED40</v>
      </c>
    </row>
    <row r="7461" spans="1:7" ht="58.5" customHeight="1" x14ac:dyDescent="0.25">
      <c r="A7461" s="5" t="str">
        <f>"H0016014"</f>
        <v>H0016014</v>
      </c>
      <c r="B7461" s="5" t="str">
        <f>"MESA PARA JUNTAS"</f>
        <v>MESA PARA JUNTAS</v>
      </c>
      <c r="C7461" s="6">
        <v>2750</v>
      </c>
      <c r="D7461" s="5"/>
      <c r="E7461" s="5" t="str">
        <f t="shared" ref="E7461:E7524" si="354">"URGENCIAS ADULTO-Jenny Peña"</f>
        <v>URGENCIAS ADULTO-Jenny Peña</v>
      </c>
      <c r="F7461" s="5" t="str">
        <f>"Descripcion: MESA DE MADERA REDONDA DE 120 CM DE DIAMETRO Estado: Bueno Placa anterior: 000003618 Material: MADERA Color: MARRON CLARO Referencia:  Observacion:  Placa padre: Tipo adquisicion: Entidad"</f>
        <v>Descripcion: MESA DE MADERA REDONDA DE 120 CM DE DIAMETRO Estado: Bueno Placa anterior: 000003618 Material: MADERA Color: MARRON CLARO Referencia:  Observacion:  Placa padre: Tipo adquisicion: Entidad</v>
      </c>
      <c r="G7461" s="5"/>
    </row>
    <row r="7462" spans="1:7" ht="58.5" customHeight="1" x14ac:dyDescent="0.25">
      <c r="A7462" s="5" t="str">
        <f>"H0016346"</f>
        <v>H0016346</v>
      </c>
      <c r="B7462" s="5" t="str">
        <f>"MULTIMUEBLE DE MADERA"</f>
        <v>MULTIMUEBLE DE MADERA</v>
      </c>
      <c r="C7462" s="6">
        <v>600000</v>
      </c>
      <c r="D7462" s="5"/>
      <c r="E7462" s="5" t="str">
        <f t="shared" si="354"/>
        <v>URGENCIAS ADULTO-Jenny Peña</v>
      </c>
      <c r="F7462" s="5" t="str">
        <f>"Descripcion: MUEBLE ARCHIVO AZ VERTICALES Estado: Bueno Placa anterior: 000033458 Material: MADEFLEX Color: BEIGS Y MARCO EN NEGRO Referencia:  Observacion: MUEBLE CON CUATRO ENTREPAÑOS Y DOS COMPARTIMIENTOS  Placa padre: Tipo adquisicion: Entidad"</f>
        <v>Descripcion: MUEBLE ARCHIVO AZ VERTICALES Estado: Bueno Placa anterior: 000033458 Material: MADEFLEX Color: BEIGS Y MARCO EN NEGRO Referencia:  Observacion: MUEBLE CON CUATRO ENTREPAÑOS Y DOS COMPARTIMIENTOS  Placa padre: Tipo adquisicion: Entidad</v>
      </c>
      <c r="G7462" s="5"/>
    </row>
    <row r="7463" spans="1:7" ht="58.5" customHeight="1" x14ac:dyDescent="0.25">
      <c r="A7463" s="5" t="str">
        <f>"H0016697"</f>
        <v>H0016697</v>
      </c>
      <c r="B7463" s="5" t="str">
        <f>"MESA DE MADERA"</f>
        <v>MESA DE MADERA</v>
      </c>
      <c r="C7463" s="6">
        <v>21620</v>
      </c>
      <c r="D7463" s="5"/>
      <c r="E7463" s="5" t="str">
        <f t="shared" si="354"/>
        <v>URGENCIAS ADULTO-Jenny Peña</v>
      </c>
      <c r="F7463" s="5" t="str">
        <f>"Descripcion:MESA PARA TELEVISOR Y BETAMAXMESA METALICA DE 2 ENTREPAÑOS MESON EN FORMICA COLOR MADERA Estado: Bueno Placa anterior: 000000750 Material: METALICA Color: GRIS Referencia:  Observacion:  Placa padre:  Tipo adquisicion : Entidad"</f>
        <v>Descripcion:MESA PARA TELEVISOR Y BETAMAXMESA METALICA DE 2 ENTREPAÑOS MESON EN FORMICA COLOR MADERA Estado: Bueno Placa anterior: 000000750 Material: METALICA Color: GRIS Referencia:  Observacion:  Placa padre:  Tipo adquisicion : Entidad</v>
      </c>
      <c r="G7463" s="5"/>
    </row>
    <row r="7464" spans="1:7" ht="58.5" customHeight="1" x14ac:dyDescent="0.25">
      <c r="A7464" s="5" t="str">
        <f>"H0017097"</f>
        <v>H0017097</v>
      </c>
      <c r="B7464" s="5" t="str">
        <f>"BANDEJA DE ACERO INOXIDABLE MEDIANA"</f>
        <v>BANDEJA DE ACERO INOXIDABLE MEDIANA</v>
      </c>
      <c r="C7464" s="6">
        <v>14616</v>
      </c>
      <c r="D7464" s="5"/>
      <c r="E7464" s="5" t="str">
        <f t="shared" si="354"/>
        <v>URGENCIAS ADULTO-Jenny Peña</v>
      </c>
      <c r="F7464" s="5" t="str">
        <f>"Descripcion:BANDEJA EN ACERO INOXIDABLE 22X32 CMS Estado: Excelente Placa anterior: 000004233 Material: ACERO INOXIDABLE Color: PLATEADO     Referencia:  Observacion:  Placa padre:  Tipo adquisicion : Entidad"</f>
        <v>Descripcion:BANDEJA EN ACERO INOXIDABLE 22X32 CMS Estado: Excelente Placa anterior: 000004233 Material: ACERO INOXIDABLE Color: PLATEADO     Referencia:  Observacion:  Placa padre:  Tipo adquisicion : Entidad</v>
      </c>
      <c r="G7464" s="5"/>
    </row>
    <row r="7465" spans="1:7" ht="58.5" customHeight="1" x14ac:dyDescent="0.25">
      <c r="A7465" s="5" t="str">
        <f>"H0018172"</f>
        <v>H0018172</v>
      </c>
      <c r="B7465" s="5" t="str">
        <f>"SILLA ERGONOMICA TIPO GERENTE CON BRAZOS"</f>
        <v>SILLA ERGONOMICA TIPO GERENTE CON BRAZOS</v>
      </c>
      <c r="C7465" s="6">
        <v>580000</v>
      </c>
      <c r="D7465" s="5"/>
      <c r="E7465" s="5" t="str">
        <f t="shared" si="354"/>
        <v>URGENCIAS ADULTO-Jenny Peña</v>
      </c>
      <c r="F7465" s="5" t="str">
        <f>"Descripcion: SILLA NEUMATICA LIDER CON BRAZOS ASIENTO EN ESPUMA LAMINADA, TAPIZADO EN PAÑO ESCORIAL, ESPALDAR FORRADO EN MALLA Estado: Bueno Placa anterior: 000025717 Material: TAPIZADO EN PAÑO Color: NEGRO Referencia:  Observacion:  Placa padre: Tipo adq"&amp; "uisicion: Entidad"</f>
        <v>Descripcion: SILLA NEUMATICA LIDER CON BRAZOS ASIENTO EN ESPUMA LAMINADA, TAPIZADO EN PAÑO ESCORIAL, ESPALDAR FORRADO EN MALLA Estado: Bueno Placa anterior: 000025717 Material: TAPIZADO EN PAÑO Color: NEGRO Referencia:  Observacion:  Placa padre: Tipo adquisicion: Entidad</v>
      </c>
      <c r="G7465" s="5"/>
    </row>
    <row r="7466" spans="1:7" ht="58.5" customHeight="1" x14ac:dyDescent="0.25">
      <c r="A7466" s="5" t="str">
        <f>"H0018175"</f>
        <v>H0018175</v>
      </c>
      <c r="B7466" s="5" t="str">
        <f>"SILLA ERGONOMICA TIPO SECRETARIA SIN BRAZOS"</f>
        <v>SILLA ERGONOMICA TIPO SECRETARIA SIN BRAZOS</v>
      </c>
      <c r="C7466" s="6">
        <v>211120</v>
      </c>
      <c r="D7466" s="5"/>
      <c r="E7466" s="5" t="str">
        <f t="shared" si="354"/>
        <v>URGENCIAS ADULTO-Jenny Peña</v>
      </c>
      <c r="F7466" s="5" t="str">
        <f>"Descripcion: SILLA ERGONOMICA AT 02 (TA-SECRETARIAL) Estado: Malo Placa anterior: 000025250 Material: PLASTICO CON ASIENTO TAPIZADO Color: NEGRO Referencia:  Observacion:  Placa padre: Tipo adquisicion: Entidad"</f>
        <v>Descripcion: SILLA ERGONOMICA AT 02 (TA-SECRETARIAL) Estado: Malo Placa anterior: 000025250 Material: PLASTICO CON ASIENTO TAPIZADO Color: NEGRO Referencia:  Observacion:  Placa padre: Tipo adquisicion: Entidad</v>
      </c>
      <c r="G7466" s="5"/>
    </row>
    <row r="7467" spans="1:7" ht="58.5" customHeight="1" x14ac:dyDescent="0.25">
      <c r="A7467" s="5" t="str">
        <f>"H0018177"</f>
        <v>H0018177</v>
      </c>
      <c r="B7467" s="5" t="str">
        <f>"SILLA ERGONOMICA TIPO SECRETARIA SIN BRAZOS"</f>
        <v>SILLA ERGONOMICA TIPO SECRETARIA SIN BRAZOS</v>
      </c>
      <c r="C7467" s="6">
        <v>211120</v>
      </c>
      <c r="D7467" s="5"/>
      <c r="E7467" s="5" t="str">
        <f t="shared" si="354"/>
        <v>URGENCIAS ADULTO-Jenny Peña</v>
      </c>
      <c r="F7467" s="5" t="str">
        <f>"Descripcion: SILLA ERGONOMICA AT 02 (TA-SECRETARIAL) Estado: Regular Placa anterior: 000025249 Material: PLASTICO CON ASIENTO TAPIZADO Color: NEGRO Referencia:  Observacion:  Placa padre: Tipo adquisicion: Entidad"</f>
        <v>Descripcion: SILLA ERGONOMICA AT 02 (TA-SECRETARIAL) Estado: Regular Placa anterior: 000025249 Material: PLASTICO CON ASIENTO TAPIZADO Color: NEGRO Referencia:  Observacion:  Placa padre: Tipo adquisicion: Entidad</v>
      </c>
      <c r="G7467" s="5"/>
    </row>
    <row r="7468" spans="1:7" ht="58.5" customHeight="1" x14ac:dyDescent="0.25">
      <c r="A7468" s="5" t="str">
        <f>"H0018180"</f>
        <v>H0018180</v>
      </c>
      <c r="B7468" s="5" t="str">
        <f>"BUTACO"</f>
        <v>BUTACO</v>
      </c>
      <c r="C7468" s="6">
        <v>9350</v>
      </c>
      <c r="D7468" s="5"/>
      <c r="E7468" s="5" t="str">
        <f t="shared" si="354"/>
        <v>URGENCIAS ADULTO-Jenny Peña</v>
      </c>
      <c r="F7468" s="5" t="str">
        <f>"Descripcion: BUTACO PLASTICO Estado: Bueno Placa anterior: 000021457 Material: PLASTICO Color: VERDE Referencia:  Observacion:  Placa padre: Tipo adquisicion: Donacion"</f>
        <v>Descripcion: BUTACO PLASTICO Estado: Bueno Placa anterior: 000021457 Material: PLASTICO Color: VERDE Referencia:  Observacion:  Placa padre: Tipo adquisicion: Donacion</v>
      </c>
      <c r="G7468" s="5"/>
    </row>
    <row r="7469" spans="1:7" ht="58.5" customHeight="1" x14ac:dyDescent="0.25">
      <c r="A7469" s="5" t="str">
        <f>"H0018183"</f>
        <v>H0018183</v>
      </c>
      <c r="B7469" s="5" t="str">
        <f>"SILLA INTERLOCUTORA (FIJA) SIN BRAZOS"</f>
        <v>SILLA INTERLOCUTORA (FIJA) SIN BRAZOS</v>
      </c>
      <c r="C7469" s="6">
        <v>5986.88</v>
      </c>
      <c r="D7469" s="5"/>
      <c r="E7469" s="5" t="str">
        <f t="shared" si="354"/>
        <v>URGENCIAS ADULTO-Jenny Peña</v>
      </c>
      <c r="F7469" s="5" t="str">
        <f>"Descripcion: SILLA INTERLOCUTORA (FIJA) SIN BRAZOS TAPIZADO EN PAÑO NEGRO Estado: Regular Placa anterior: 000026655 Material: METALICO CON TAPIZADO EN PAÑO Color: NEGRO Referencia:  Observacion:  Placa padre: Tipo adquisicion: Entidad"</f>
        <v>Descripcion: SILLA INTERLOCUTORA (FIJA) SIN BRAZOS TAPIZADO EN PAÑO NEGRO Estado: Regular Placa anterior: 000026655 Material: METALICO CON TAPIZADO EN PAÑO Color: NEGRO Referencia:  Observacion:  Placa padre: Tipo adquisicion: Entidad</v>
      </c>
      <c r="G7469" s="5"/>
    </row>
    <row r="7470" spans="1:7" ht="58.5" customHeight="1" x14ac:dyDescent="0.25">
      <c r="A7470" s="5" t="str">
        <f>"H0018184"</f>
        <v>H0018184</v>
      </c>
      <c r="B7470" s="5" t="str">
        <f>"ARCHIVADOR METALICO 4 GAVETAS"</f>
        <v>ARCHIVADOR METALICO 4 GAVETAS</v>
      </c>
      <c r="C7470" s="6">
        <v>30370.82</v>
      </c>
      <c r="D7470" s="5"/>
      <c r="E7470" s="5" t="str">
        <f t="shared" si="354"/>
        <v>URGENCIAS ADULTO-Jenny Peña</v>
      </c>
      <c r="F7470" s="5" t="str">
        <f>"Descripcion: ARCHIVADOR TIPO C (4 GAVETAS) Estado: Regular Placa anterior: 000019652 Material: METALICO Color: GRIS Referencia:  Observacion:  Placa padre: Tipo adquisicion: Entidad"</f>
        <v>Descripcion: ARCHIVADOR TIPO C (4 GAVETAS) Estado: Regular Placa anterior: 000019652 Material: METALICO Color: GRIS Referencia:  Observacion:  Placa padre: Tipo adquisicion: Entidad</v>
      </c>
      <c r="G7470" s="5"/>
    </row>
    <row r="7471" spans="1:7" ht="58.5" customHeight="1" x14ac:dyDescent="0.25">
      <c r="A7471" s="5" t="str">
        <f>"H0018186"</f>
        <v>H0018186</v>
      </c>
      <c r="B7471" s="5" t="str">
        <f>"MESA DE NOCHE"</f>
        <v>MESA DE NOCHE</v>
      </c>
      <c r="C7471" s="6">
        <v>327586</v>
      </c>
      <c r="D7471" s="5"/>
      <c r="E7471" s="5" t="str">
        <f t="shared" si="354"/>
        <v>URGENCIAS ADULTO-Jenny Peña</v>
      </c>
      <c r="F7471" s="5" t="str">
        <f>"Descripcion: MESA DE NOCHE EN ACERO Estado: Regular Placa anterior: 000033026 Material: ACERO INOXIDABLE Color:  Referencia:  Observacion:  Placa padre: Tipo adquisicion: Entidad"</f>
        <v>Descripcion: MESA DE NOCHE EN ACERO Estado: Regular Placa anterior: 000033026 Material: ACERO INOXIDABLE Color:  Referencia:  Observacion:  Placa padre: Tipo adquisicion: Entidad</v>
      </c>
      <c r="G7471" s="5"/>
    </row>
    <row r="7472" spans="1:7" ht="58.5" customHeight="1" x14ac:dyDescent="0.25">
      <c r="A7472" s="5" t="str">
        <f>"H0018187"</f>
        <v>H0018187</v>
      </c>
      <c r="B7472" s="5" t="str">
        <f>"MESA METALICA AUXILIAR"</f>
        <v>MESA METALICA AUXILIAR</v>
      </c>
      <c r="C7472" s="6">
        <v>7800</v>
      </c>
      <c r="D7472" s="5"/>
      <c r="E7472" s="5" t="str">
        <f t="shared" si="354"/>
        <v>URGENCIAS ADULTO-Jenny Peña</v>
      </c>
      <c r="F7472" s="5" t="str">
        <f>"Descripcion: MESA TIPO MECANOGRAFA CON ALA METALICA CON MESON EN FORMICA Estado: Malo Placa anterior: 000004851 Material: METALICO, FORMICA Color: GRIS CON MARRON  Referencia:  Observacion:  Placa padre: Tipo adquisicion: Entidad"</f>
        <v>Descripcion: MESA TIPO MECANOGRAFA CON ALA METALICA CON MESON EN FORMICA Estado: Malo Placa anterior: 000004851 Material: METALICO, FORMICA Color: GRIS CON MARRON  Referencia:  Observacion:  Placa padre: Tipo adquisicion: Entidad</v>
      </c>
      <c r="G7472" s="5"/>
    </row>
    <row r="7473" spans="1:7" ht="58.5" customHeight="1" x14ac:dyDescent="0.25">
      <c r="A7473" s="5" t="str">
        <f>"H0018192"</f>
        <v>H0018192</v>
      </c>
      <c r="B7473" s="5" t="str">
        <f>"LOCKER DE 6 COMPARTIMIENTOS"</f>
        <v>LOCKER DE 6 COMPARTIMIENTOS</v>
      </c>
      <c r="C7473" s="6">
        <v>6864</v>
      </c>
      <c r="D7473" s="5"/>
      <c r="E7473" s="5" t="str">
        <f t="shared" si="354"/>
        <v>URGENCIAS ADULTO-Jenny Peña</v>
      </c>
      <c r="F7473" s="5" t="str">
        <f>"Descripcion: LOCKER DE 2 CUERPOS 6 COMPARTIMIENTOS Estado: Bueno Placa anterior: 000019439 Material: METALICO Color: GRIS Referencia:  Observacion:  Placa padre: Tipo adquisicion: Entidad"</f>
        <v>Descripcion: LOCKER DE 2 CUERPOS 6 COMPARTIMIENTOS Estado: Bueno Placa anterior: 000019439 Material: METALICO Color: GRIS Referencia:  Observacion:  Placa padre: Tipo adquisicion: Entidad</v>
      </c>
      <c r="G7473" s="5"/>
    </row>
    <row r="7474" spans="1:7" ht="58.5" customHeight="1" x14ac:dyDescent="0.25">
      <c r="A7474" s="5" t="str">
        <f>"H0018194"</f>
        <v>H0018194</v>
      </c>
      <c r="B7474" s="5" t="str">
        <f>"PLATON EN ACERO INOXIDABLE PEQUEÑO"</f>
        <v>PLATON EN ACERO INOXIDABLE PEQUEÑO</v>
      </c>
      <c r="C7474" s="6">
        <v>2023.22</v>
      </c>
      <c r="D7474" s="5"/>
      <c r="E7474" s="5" t="str">
        <f t="shared" si="354"/>
        <v>URGENCIAS ADULTO-Jenny Peña</v>
      </c>
      <c r="F7474" s="5" t="str">
        <f>"Descripcion: PLATON EN ACERO INOXIDABLE PEQUEÑO Estado: Bueno Placa anterior: 000008748 Material: ACERO INOXIDABLE Color:  Referencia:  Observacion: AUTORIZADO CONCILIAR EN CRUCE GENERAL Placa padre: Tipo adquisicion: Entidad"</f>
        <v>Descripcion: PLATON EN ACERO INOXIDABLE PEQUEÑO Estado: Bueno Placa anterior: 000008748 Material: ACERO INOXIDABLE Color:  Referencia:  Observacion: AUTORIZADO CONCILIAR EN CRUCE GENERAL Placa padre: Tipo adquisicion: Entidad</v>
      </c>
      <c r="G7474" s="5"/>
    </row>
    <row r="7475" spans="1:7" ht="58.5" customHeight="1" x14ac:dyDescent="0.25">
      <c r="A7475" s="5" t="str">
        <f>"H0018197"</f>
        <v>H0018197</v>
      </c>
      <c r="B7475" s="5" t="str">
        <f>"FONENDOSCOPIO (ESTETOSCOPIO) DE 2 SERVICIOS"</f>
        <v>FONENDOSCOPIO (ESTETOSCOPIO) DE 2 SERVICIOS</v>
      </c>
      <c r="C7475" s="6">
        <v>301600</v>
      </c>
      <c r="D7475" s="5"/>
      <c r="E7475" s="5" t="str">
        <f t="shared" si="354"/>
        <v>URGENCIAS ADULTO-Jenny Peña</v>
      </c>
      <c r="F7475" s="5" t="str">
        <f>"Descripcion: FONENDOSCOPIO (ESTETOSCOPIO) DE 2 SERVICIOS Estado: Bueno Placa anterior: 000031140 Material:  Color: NEGRO Referencia:  Observacion:  Placa padre: Tipo adquisicion: Entidad"</f>
        <v>Descripcion: FONENDOSCOPIO (ESTETOSCOPIO) DE 2 SERVICIOS Estado: Bueno Placa anterior: 000031140 Material:  Color: NEGRO Referencia:  Observacion:  Placa padre: Tipo adquisicion: Entidad</v>
      </c>
      <c r="G7475" s="5"/>
    </row>
    <row r="7476" spans="1:7" ht="58.5" customHeight="1" x14ac:dyDescent="0.25">
      <c r="A7476" s="5" t="str">
        <f>"H0018199"</f>
        <v>H0018199</v>
      </c>
      <c r="B7476" s="5" t="str">
        <f>"EQUIPO ORGANOS DE LOS SENTIDOS PORTATIL"</f>
        <v>EQUIPO ORGANOS DE LOS SENTIDOS PORTATIL</v>
      </c>
      <c r="C7476" s="6">
        <v>1620000</v>
      </c>
      <c r="D7476" s="5" t="s">
        <v>444</v>
      </c>
      <c r="E7476" s="5" t="str">
        <f t="shared" si="354"/>
        <v>URGENCIAS ADULTO-Jenny Peña</v>
      </c>
      <c r="F7476" s="5" t="str">
        <f>"Descripcion: EQUIPO ORGANOS DE LOS SENTIDOS PORTATIL Estado: Bueno Placa anterior: 000028076 Material:  Color: ESTUCHE NEGRO Referencia:  Observacion:  Placa padre: Tipo adquisicion: Entidad"</f>
        <v>Descripcion: EQUIPO ORGANOS DE LOS SENTIDOS PORTATIL Estado: Bueno Placa anterior: 000028076 Material:  Color: ESTUCHE NEGRO Referencia:  Observacion:  Placa padre: Tipo adquisicion: Entidad</v>
      </c>
      <c r="G7476" s="5"/>
    </row>
    <row r="7477" spans="1:7" ht="58.5" customHeight="1" x14ac:dyDescent="0.25">
      <c r="A7477" s="5" t="str">
        <f>"H0018200"</f>
        <v>H0018200</v>
      </c>
      <c r="B7477" s="5" t="str">
        <f>"EQUIPO ORGANOS DE LOS SENTIDOS PORTATIL"</f>
        <v>EQUIPO ORGANOS DE LOS SENTIDOS PORTATIL</v>
      </c>
      <c r="C7477" s="6">
        <v>151333.18</v>
      </c>
      <c r="D7477" s="5"/>
      <c r="E7477" s="5" t="str">
        <f t="shared" si="354"/>
        <v>URGENCIAS ADULTO-Jenny Peña</v>
      </c>
      <c r="F7477" s="5" t="str">
        <f>"Descripcion: EQUIPO ORGANOS DE LOS SENTIDOS PORTATIL Estado: Bueno Placa anterior: 000019271 Material:  Color: ESTUCHE NEGRO Referencia:  Observacion:  Placa padre: Tipo adquisicion: Entidad"</f>
        <v>Descripcion: EQUIPO ORGANOS DE LOS SENTIDOS PORTATIL Estado: Bueno Placa anterior: 000019271 Material:  Color: ESTUCHE NEGRO Referencia:  Observacion:  Placa padre: Tipo adquisicion: Entidad</v>
      </c>
      <c r="G7477" s="5"/>
    </row>
    <row r="7478" spans="1:7" ht="58.5" customHeight="1" x14ac:dyDescent="0.25">
      <c r="A7478" s="5" t="str">
        <f>"H0018493"</f>
        <v>H0018493</v>
      </c>
      <c r="B7478" s="5" t="str">
        <f>"ESCRITORIO DE MADERA 3 GAVETAS"</f>
        <v>ESCRITORIO DE MADERA 3 GAVETAS</v>
      </c>
      <c r="C7478" s="6">
        <v>295037</v>
      </c>
      <c r="D7478" s="5"/>
      <c r="E7478" s="5" t="str">
        <f t="shared" si="354"/>
        <v>URGENCIAS ADULTO-Jenny Peña</v>
      </c>
      <c r="F7478" s="5" t="str">
        <f>"Descripcion: ESCRITORIO 3 GAVETAS EN MADERA TIPO EJECUTIVO MEDIDAS: 74X170X75CM Estado: Bueno Placa anterior: 000000772 Material: MADERA Color: MADERA CLARO Referencia:  Observacion:  Placa padre: Tipo adquisicion: Entidad"</f>
        <v>Descripcion: ESCRITORIO 3 GAVETAS EN MADERA TIPO EJECUTIVO MEDIDAS: 74X170X75CM Estado: Bueno Placa anterior: 000000772 Material: MADERA Color: MADERA CLARO Referencia:  Observacion:  Placa padre: Tipo adquisicion: Entidad</v>
      </c>
      <c r="G7478" s="5"/>
    </row>
    <row r="7479" spans="1:7" ht="58.5" customHeight="1" x14ac:dyDescent="0.25">
      <c r="A7479" s="5" t="str">
        <f>"H0018496"</f>
        <v>H0018496</v>
      </c>
      <c r="B7479" s="5" t="str">
        <f>"COMPUTADOR TODO EN UNO"</f>
        <v>COMPUTADOR TODO EN UNO</v>
      </c>
      <c r="C7479" s="6">
        <v>1572000</v>
      </c>
      <c r="D7479" s="5" t="s">
        <v>346</v>
      </c>
      <c r="E7479" s="5" t="str">
        <f t="shared" si="354"/>
        <v>URGENCIAS ADULTO-Jenny Peña</v>
      </c>
      <c r="F7479" s="5" t="str">
        <f>"Descripcion: EQUIPOS DE COMPUTO TODO EN UNO PROCESADOR CORE 3.0 SUPERIOR CORPORATIVO WINDOWS 8 PRO- OFFICE 2013 SMALL BUSINES, TECNOLOGIA HT DE INTEL GARANTIA EXTENDIDA A 3 AÑOS PANTALLA 20  Estado: Bueno Placa anterior: 000030690 Material: PLASTICO Color"&amp; ": NEGRO Referencia:  Observacion:  Placa anterior:, Placa nueva=H0018170, Descripcion:TECLADO, Serial:BBAVL0MGA4M0B5, Marca:HP, Modelo:, Material:PLASTICO, Color:NEGRO, Referencia:, Placa anterior:, Placa nueva=H0018171, Descripcion:MOUSE OPTICO, Serial:,"&amp; " Marca:HP, Modelo:SM-2022, Material:PLASTICO, Color:NEGRO,Referencia: Placa padre: Tipo adquisicion: Entidad"</f>
        <v>Descripcion: EQUIPOS DE COMPUTO TODO EN UNO PROCESADOR CORE 3.0 SUPERIOR CORPORATIVO WINDOWS 8 PRO- OFFICE 2013 SMALL BUSINES, TECNOLOGIA HT DE INTEL GARANTIA EXTENDIDA A 3 AÑOS PANTALLA 20  Estado: Bueno Placa anterior: 000030690 Material: PLASTICO Color: NEGRO Referencia:  Observacion:  Placa anterior:, Placa nueva=H0018170, Descripcion:TECLADO, Serial:BBAVL0MGA4M0B5, Marca:HP, Modelo:, Material:PLASTICO, Color:NEGRO, Referencia:, Placa anterior:, Placa nueva=H0018171, Descripcion:MOUSE OPTICO, Serial:, Marca:HP, Modelo:SM-2022, Material:PLASTICO, Color:NEGRO,Referencia: Placa padre: Tipo adquisicion: Entidad</v>
      </c>
      <c r="G7479" s="5" t="str">
        <f>"COMPAQ PRO 4300"</f>
        <v>COMPAQ PRO 4300</v>
      </c>
    </row>
    <row r="7480" spans="1:7" ht="58.5" customHeight="1" x14ac:dyDescent="0.25">
      <c r="A7480" s="5" t="str">
        <f>"H0018497"</f>
        <v>H0018497</v>
      </c>
      <c r="B7480" s="5" t="str">
        <f>"VENTILADOR DE PEDESTAL"</f>
        <v>VENTILADOR DE PEDESTAL</v>
      </c>
      <c r="C7480" s="6">
        <v>185000</v>
      </c>
      <c r="D7480" s="5" t="s">
        <v>258</v>
      </c>
      <c r="E7480" s="5" t="str">
        <f t="shared" si="354"/>
        <v>URGENCIAS ADULTO-Jenny Peña</v>
      </c>
      <c r="F7480" s="5" t="str">
        <f>"Descripcion: VENTILADOR DE PIE MARCA SAMURAI Estado: Bueno Placa anterior: 000030046 Material: PLASTICO Color: BLANCO Referencia:  Observacion:  Placa padre: Tipo adquisicion: Entidad"</f>
        <v>Descripcion: VENTILADOR DE PIE MARCA SAMURAI Estado: Bueno Placa anterior: 000030046 Material: PLASTICO Color: BLANCO Referencia:  Observacion:  Placa padre: Tipo adquisicion: Entidad</v>
      </c>
      <c r="G7480" s="5" t="str">
        <f>"TROPICAL"</f>
        <v>TROPICAL</v>
      </c>
    </row>
    <row r="7481" spans="1:7" ht="58.5" customHeight="1" x14ac:dyDescent="0.25">
      <c r="A7481" s="5" t="str">
        <f>"H0018499"</f>
        <v>H0018499</v>
      </c>
      <c r="B7481" s="5" t="str">
        <f>"VIDEOBEAM (VIDEO PROYECTOR)"</f>
        <v>VIDEOBEAM (VIDEO PROYECTOR)</v>
      </c>
      <c r="C7481" s="6">
        <v>3450000</v>
      </c>
      <c r="D7481" s="5"/>
      <c r="E7481" s="5" t="str">
        <f t="shared" si="354"/>
        <v>URGENCIAS ADULTO-Jenny Peña</v>
      </c>
      <c r="F7481" s="5" t="str">
        <f>"Descripcion: VIDEO BEAM EPSON DE 2500 LUMINEX Estado: Bueno Placa anterior: 000029021 Material: PLASTICO Color: NEGRO Referencia:  Observacion:  Placa padre: Tipo adquisicion: Entidad"</f>
        <v>Descripcion: VIDEO BEAM EPSON DE 2500 LUMINEX Estado: Bueno Placa anterior: 000029021 Material: PLASTICO Color: NEGRO Referencia:  Observacion:  Placa padre: Tipo adquisicion: Entidad</v>
      </c>
      <c r="G7481" s="5"/>
    </row>
    <row r="7482" spans="1:7" ht="58.5" customHeight="1" x14ac:dyDescent="0.25">
      <c r="A7482" s="5" t="str">
        <f>"H0018763"</f>
        <v>H0018763</v>
      </c>
      <c r="B7482" s="5" t="str">
        <f>"IMPRESORA LASER"</f>
        <v>IMPRESORA LASER</v>
      </c>
      <c r="C7482" s="6">
        <v>720000</v>
      </c>
      <c r="D7482" s="5" t="s">
        <v>452</v>
      </c>
      <c r="E7482" s="5" t="str">
        <f t="shared" si="354"/>
        <v>URGENCIAS ADULTO-Jenny Peña</v>
      </c>
      <c r="F7482" s="5" t="str">
        <f>"Descripcion:IMPRESORA HP LASER JEP P 1 505 Estado: Bueno Placa anterior: 000029210 Material: PLASTICO Color: NEGRO Referencia:  Observacion:  Placa padre:  Tipo adquisicion : Entidad"</f>
        <v>Descripcion:IMPRESORA HP LASER JEP P 1 505 Estado: Bueno Placa anterior: 000029210 Material: PLASTICO Color: NEGRO Referencia:  Observacion:  Placa padre:  Tipo adquisicion : Entidad</v>
      </c>
      <c r="G7482" s="5" t="str">
        <f>"LASERJET P1505"</f>
        <v>LASERJET P1505</v>
      </c>
    </row>
    <row r="7483" spans="1:7" ht="58.5" customHeight="1" x14ac:dyDescent="0.25">
      <c r="A7483" s="5" t="str">
        <f>"H0018978"</f>
        <v>H0018978</v>
      </c>
      <c r="B7483" s="5" t="str">
        <f>"SILLA INTERLOCUTORA (FIJA) SIN BRAZOS"</f>
        <v>SILLA INTERLOCUTORA (FIJA) SIN BRAZOS</v>
      </c>
      <c r="C7483" s="6">
        <v>650000</v>
      </c>
      <c r="D7483" s="5"/>
      <c r="E7483" s="5" t="str">
        <f t="shared" si="354"/>
        <v>URGENCIAS ADULTO-Jenny Peña</v>
      </c>
      <c r="F7483" s="5" t="str">
        <f>"Descripcion: SILLA FIJA SIN BRAZOS Estado: Bueno Placa anterior: 000026220 Material: METALICO Y CUERO Color: GRIS Y NEGRO Referencia:  Observacion:  Placa padre: Tipo adquisicion: Entidad"</f>
        <v>Descripcion: SILLA FIJA SIN BRAZOS Estado: Bueno Placa anterior: 000026220 Material: METALICO Y CUERO Color: GRIS Y NEGRO Referencia:  Observacion:  Placa padre: Tipo adquisicion: Entidad</v>
      </c>
      <c r="G7483" s="5"/>
    </row>
    <row r="7484" spans="1:7" ht="58.5" customHeight="1" x14ac:dyDescent="0.25">
      <c r="A7484" s="5" t="str">
        <f>"H0019204"</f>
        <v>H0019204</v>
      </c>
      <c r="B7484" s="5" t="str">
        <f>"BAFLES"</f>
        <v>BAFLES</v>
      </c>
      <c r="C7484" s="6">
        <v>200000</v>
      </c>
      <c r="D7484" s="5"/>
      <c r="E7484" s="5" t="str">
        <f t="shared" si="354"/>
        <v>URGENCIAS ADULTO-Jenny Peña</v>
      </c>
      <c r="F7484" s="5" t="str">
        <f>"Descripcion: BAFLES PARA COMPUTADOR Estado: Malo Placa anterior: 000019673 Material: PLASTICO Color: GRIS CON NEGRO Referencia:  Observacion:  Placa padre: Tipo adquisicion: Entidad"</f>
        <v>Descripcion: BAFLES PARA COMPUTADOR Estado: Malo Placa anterior: 000019673 Material: PLASTICO Color: GRIS CON NEGRO Referencia:  Observacion:  Placa padre: Tipo adquisicion: Entidad</v>
      </c>
      <c r="G7484" s="5"/>
    </row>
    <row r="7485" spans="1:7" ht="58.5" customHeight="1" x14ac:dyDescent="0.25">
      <c r="A7485" s="5" t="str">
        <f>"H0020360"</f>
        <v>H0020360</v>
      </c>
      <c r="B7485" s="5" t="str">
        <f t="shared" ref="B7485:B7490" si="355">"AIRE ACONDICIONADO CENTRAL (INTEGRAL)"</f>
        <v>AIRE ACONDICIONADO CENTRAL (INTEGRAL)</v>
      </c>
      <c r="C7485" s="6">
        <v>5423000</v>
      </c>
      <c r="D7485" s="5" t="s">
        <v>453</v>
      </c>
      <c r="E7485" s="5" t="str">
        <f t="shared" si="354"/>
        <v>URGENCIAS ADULTO-Jenny Peña</v>
      </c>
      <c r="F7485" s="5" t="str">
        <f>"Descripcion: AIRE ACONDICIONADO INTEGRAL NO ESTAN EN FUNCIONAMIENTO Y SON NUEVOS. ESTAN INSTALADO PARA URGENCIA Estado: Bueno Placa anterior: 000033510 Material: METALICO Color: GRIS Referencia:  Observacion: AUTORIZADO CONCILIAR EN CRUCE GENERAL Placa pa"&amp; "dre: Tipo adquisicion: Entidad"</f>
        <v>Descripcion: AIRE ACONDICIONADO INTEGRAL NO ESTAN EN FUNCIONAMIENTO Y SON NUEVOS. ESTAN INSTALADO PARA URGENCIA Estado: Bueno Placa anterior: 000033510 Material: METALICO Color: GRIS Referencia:  Observacion: AUTORIZADO CONCILIAR EN CRUCE GENERAL Placa padre: Tipo adquisicion: Entidad</v>
      </c>
      <c r="G7485" s="5" t="str">
        <f>"TTA073D400AA"</f>
        <v>TTA073D400AA</v>
      </c>
    </row>
    <row r="7486" spans="1:7" ht="58.5" customHeight="1" x14ac:dyDescent="0.25">
      <c r="A7486" s="5" t="str">
        <f>"H0020361"</f>
        <v>H0020361</v>
      </c>
      <c r="B7486" s="5" t="str">
        <f t="shared" si="355"/>
        <v>AIRE ACONDICIONADO CENTRAL (INTEGRAL)</v>
      </c>
      <c r="C7486" s="6">
        <v>5423000</v>
      </c>
      <c r="D7486" s="5" t="s">
        <v>453</v>
      </c>
      <c r="E7486" s="5" t="str">
        <f t="shared" si="354"/>
        <v>URGENCIAS ADULTO-Jenny Peña</v>
      </c>
      <c r="F7486" s="5" t="str">
        <f>"Descripcion: AIRE ACONDICIONADO INTEGRAL NO ESTAN EN FUNCIONAMIENTO Y SON NUEVOS. ESTAN INSTALADO PARA URGENCIA  Estado: Bueno Placa anterior: 000033511 Material: METALICO Color: GRIS Referencia:  Observacion: AUTORIZADO CONCILIAR EN CRUCE GENERAL Placa p"&amp; "adre: Tipo adquisicion: Entidad"</f>
        <v>Descripcion: AIRE ACONDICIONADO INTEGRAL NO ESTAN EN FUNCIONAMIENTO Y SON NUEVOS. ESTAN INSTALADO PARA URGENCIA  Estado: Bueno Placa anterior: 000033511 Material: METALICO Color: GRIS Referencia:  Observacion: AUTORIZADO CONCILIAR EN CRUCE GENERAL Placa padre: Tipo adquisicion: Entidad</v>
      </c>
      <c r="G7486" s="5" t="str">
        <f>"TTA073D400AA"</f>
        <v>TTA073D400AA</v>
      </c>
    </row>
    <row r="7487" spans="1:7" ht="58.5" customHeight="1" x14ac:dyDescent="0.25">
      <c r="A7487" s="5" t="str">
        <f>"H0020376"</f>
        <v>H0020376</v>
      </c>
      <c r="B7487" s="5" t="str">
        <f t="shared" si="355"/>
        <v>AIRE ACONDICIONADO CENTRAL (INTEGRAL)</v>
      </c>
      <c r="C7487" s="6">
        <v>11360000</v>
      </c>
      <c r="D7487" s="5" t="s">
        <v>453</v>
      </c>
      <c r="E7487" s="5" t="str">
        <f t="shared" si="354"/>
        <v>URGENCIAS ADULTO-Jenny Peña</v>
      </c>
      <c r="F7487" s="5" t="str">
        <f>"Descripcion: AIRE ACONDICIONADO INTEGRAL VA PARA URGENCIA ADULTO Estado: Bueno Placa anterior: 000033517 Material: METALICO Color: GRIS Referencia:  Observacion: AUTORIZADO CONCILIAR EN CRUCE GENERAL Placa padre: Tipo adquisicion: Entidad"</f>
        <v>Descripcion: AIRE ACONDICIONADO INTEGRAL VA PARA URGENCIA ADULTO Estado: Bueno Placa anterior: 000033517 Material: METALICO Color: GRIS Referencia:  Observacion: AUTORIZADO CONCILIAR EN CRUCE GENERAL Placa padre: Tipo adquisicion: Entidad</v>
      </c>
      <c r="G7487" s="5" t="str">
        <f>"TTA1200D400AA"</f>
        <v>TTA1200D400AA</v>
      </c>
    </row>
    <row r="7488" spans="1:7" ht="58.5" customHeight="1" x14ac:dyDescent="0.25">
      <c r="A7488" s="5" t="str">
        <f>"H0020377"</f>
        <v>H0020377</v>
      </c>
      <c r="B7488" s="5" t="str">
        <f t="shared" si="355"/>
        <v>AIRE ACONDICIONADO CENTRAL (INTEGRAL)</v>
      </c>
      <c r="C7488" s="6">
        <v>11360000</v>
      </c>
      <c r="D7488" s="5" t="s">
        <v>453</v>
      </c>
      <c r="E7488" s="5" t="str">
        <f t="shared" si="354"/>
        <v>URGENCIAS ADULTO-Jenny Peña</v>
      </c>
      <c r="F7488" s="5" t="str">
        <f>"Descripcion: AIRE ACONDICIONADO INTEGRAL VA PARA URGENCIA ADULTO Estado: Bueno Placa anterior: 000033518 Material: METALICO Color: GRIS Referencia:  Observacion: AUTORIZADO CONCILIAR EN CRUCE GENERAL Placa padre: Tipo adquisicion: Entidad"</f>
        <v>Descripcion: AIRE ACONDICIONADO INTEGRAL VA PARA URGENCIA ADULTO Estado: Bueno Placa anterior: 000033518 Material: METALICO Color: GRIS Referencia:  Observacion: AUTORIZADO CONCILIAR EN CRUCE GENERAL Placa padre: Tipo adquisicion: Entidad</v>
      </c>
      <c r="G7488" s="5" t="str">
        <f>"TTA1200D400AA"</f>
        <v>TTA1200D400AA</v>
      </c>
    </row>
    <row r="7489" spans="1:7" ht="58.5" customHeight="1" x14ac:dyDescent="0.25">
      <c r="A7489" s="5" t="str">
        <f>"H0020378"</f>
        <v>H0020378</v>
      </c>
      <c r="B7489" s="5" t="str">
        <f t="shared" si="355"/>
        <v>AIRE ACONDICIONADO CENTRAL (INTEGRAL)</v>
      </c>
      <c r="C7489" s="6">
        <v>2030000</v>
      </c>
      <c r="D7489" s="5"/>
      <c r="E7489" s="5" t="str">
        <f t="shared" si="354"/>
        <v>URGENCIAS ADULTO-Jenny Peña</v>
      </c>
      <c r="F7489" s="5" t="str">
        <f>"Descripcion: AIRE ACONDICIONADO INTEGRAL VA PARA CONSULTORIO URGENCIA ADULTO Estado: Bueno Placa anterior:  Material: METALICO Color: GRIS Referencia:  Observacion:  Placa padre: Tipo adquisicion: Entidad"</f>
        <v>Descripcion: AIRE ACONDICIONADO INTEGRAL VA PARA CONSULTORIO URGENCIA ADULTO Estado: Bueno Placa anterior:  Material: METALICO Color: GRIS Referencia:  Observacion:  Placa padre: Tipo adquisicion: Entidad</v>
      </c>
      <c r="G7489" s="5" t="str">
        <f>"2TTA0072A4000AA"</f>
        <v>2TTA0072A4000AA</v>
      </c>
    </row>
    <row r="7490" spans="1:7" ht="58.5" customHeight="1" x14ac:dyDescent="0.25">
      <c r="A7490" s="5" t="str">
        <f>"H0020379"</f>
        <v>H0020379</v>
      </c>
      <c r="B7490" s="5" t="str">
        <f t="shared" si="355"/>
        <v>AIRE ACONDICIONADO CENTRAL (INTEGRAL)</v>
      </c>
      <c r="C7490" s="6">
        <v>2030000</v>
      </c>
      <c r="D7490" s="5"/>
      <c r="E7490" s="5" t="str">
        <f t="shared" si="354"/>
        <v>URGENCIAS ADULTO-Jenny Peña</v>
      </c>
      <c r="F7490" s="5" t="str">
        <f>"Descripcion: AIRE ACONDICIONADO INTEGRAL VA PARA CONSULTORIO URGENCIA ADULTO Estado: Bueno Placa anterior:  Material: METALICO Color: GRIS Referencia:  Observacion:  Placa padre: Tipo adquisicion: Entidad"</f>
        <v>Descripcion: AIRE ACONDICIONADO INTEGRAL VA PARA CONSULTORIO URGENCIA ADULTO Estado: Bueno Placa anterior:  Material: METALICO Color: GRIS Referencia:  Observacion:  Placa padre: Tipo adquisicion: Entidad</v>
      </c>
      <c r="G7490" s="5" t="str">
        <f>"2TTA0072A4000AA"</f>
        <v>2TTA0072A4000AA</v>
      </c>
    </row>
    <row r="7491" spans="1:7" ht="58.5" customHeight="1" x14ac:dyDescent="0.25">
      <c r="A7491" s="5" t="str">
        <f>"H0020628"</f>
        <v>H0020628</v>
      </c>
      <c r="B7491" s="5" t="str">
        <f>"AIRE ACONDICIONADO TIPO SPLIT"</f>
        <v>AIRE ACONDICIONADO TIPO SPLIT</v>
      </c>
      <c r="C7491" s="6">
        <v>3074000</v>
      </c>
      <c r="D7491" s="5"/>
      <c r="E7491" s="5" t="str">
        <f t="shared" si="354"/>
        <v>URGENCIAS ADULTO-Jenny Peña</v>
      </c>
      <c r="F7491" s="5" t="str">
        <f>"Descripcion: AIRE ACONDICIONADO MCA LGNO FUE POSIBLE VISUALIZAR REFERENCIAS DEL EQUIPO Estado: Inservible Placa anterior: 000026320 Material: PASTA Color: BLANCO Referencia:  Observacion:  Placa padre: Tipo adquisicion: Entidad"</f>
        <v>Descripcion: AIRE ACONDICIONADO MCA LGNO FUE POSIBLE VISUALIZAR REFERENCIAS DEL EQUIPO Estado: Inservible Placa anterior: 000026320 Material: PASTA Color: BLANCO Referencia:  Observacion:  Placa padre: Tipo adquisicion: Entidad</v>
      </c>
      <c r="G7491" s="5"/>
    </row>
    <row r="7492" spans="1:7" ht="58.5" customHeight="1" x14ac:dyDescent="0.25">
      <c r="A7492" s="5" t="str">
        <f>"H0020673"</f>
        <v>H0020673</v>
      </c>
      <c r="B7492" s="5" t="str">
        <f>"MANEJADORA (AIRE ACONDICIONADO)"</f>
        <v>MANEJADORA (AIRE ACONDICIONADO)</v>
      </c>
      <c r="C7492" s="6">
        <v>10286000</v>
      </c>
      <c r="D7492" s="5" t="s">
        <v>453</v>
      </c>
      <c r="E7492" s="5" t="str">
        <f t="shared" si="354"/>
        <v>URGENCIAS ADULTO-Jenny Peña</v>
      </c>
      <c r="F7492" s="5" t="str">
        <f>"Descripcion: MANEJADORA 15 TRUBICADA EN EL PISO 1 - ENTRADA URGENCIASNO SE ENCUENTRA EN FUNCIONAMIENTO Estado: Bueno Placa anterior: 000033512 Material: METALICO Color: GRIS Referencia:  Observacion:  Placa padre: Tipo adquisicion: Entidad"</f>
        <v>Descripcion: MANEJADORA 15 TRUBICADA EN EL PISO 1 - ENTRADA URGENCIASNO SE ENCUENTRA EN FUNCIONAMIENTO Estado: Bueno Placa anterior: 000033512 Material: METALICO Color: GRIS Referencia:  Observacion:  Placa padre: Tipo adquisicion: Entidad</v>
      </c>
      <c r="G7492" s="5" t="str">
        <f>"TWE180E300AA"</f>
        <v>TWE180E300AA</v>
      </c>
    </row>
    <row r="7493" spans="1:7" ht="58.5" customHeight="1" x14ac:dyDescent="0.25">
      <c r="A7493" s="5" t="str">
        <f>"H0020675"</f>
        <v>H0020675</v>
      </c>
      <c r="B7493" s="5" t="str">
        <f>"MANEJADORA (AIRE ACONDICIONADO)"</f>
        <v>MANEJADORA (AIRE ACONDICIONADO)</v>
      </c>
      <c r="C7493" s="6">
        <v>33297000</v>
      </c>
      <c r="D7493" s="5" t="s">
        <v>453</v>
      </c>
      <c r="E7493" s="5" t="str">
        <f t="shared" si="354"/>
        <v>URGENCIAS ADULTO-Jenny Peña</v>
      </c>
      <c r="F7493" s="5" t="str">
        <f>"Descripcion: MANEJADORAEQUIPO SPLIT 30 TRUBICADA EN EL PISO 1 - DETRAS DEL DEPOSITO DE CADAVERES (PATOLOGIA) Estado: Bueno Placa anterior: 000033509 Material: METALICO Color: GRIS Referencia:  Observacion:  Placa padre: Tipo adquisicion: Entidad"</f>
        <v>Descripcion: MANEJADORAEQUIPO SPLIT 30 TRUBICADA EN EL PISO 1 - DETRAS DEL DEPOSITO DE CADAVERES (PATOLOGIA) Estado: Bueno Placa anterior: 000033509 Material: METALICO Color: GRIS Referencia:  Observacion:  Placa padre: Tipo adquisicion: Entidad</v>
      </c>
      <c r="G7493" s="5" t="str">
        <f>"CXPA304AA22AA2AB-TR"</f>
        <v>CXPA304AA22AA2AB-TR</v>
      </c>
    </row>
    <row r="7494" spans="1:7" ht="58.5" customHeight="1" x14ac:dyDescent="0.25">
      <c r="A7494" s="5" t="str">
        <f>"H0020676"</f>
        <v>H0020676</v>
      </c>
      <c r="B7494" s="5" t="str">
        <f>"MANEJADORA (AIRE ACONDICIONADO)"</f>
        <v>MANEJADORA (AIRE ACONDICIONADO)</v>
      </c>
      <c r="C7494" s="6">
        <v>15347000</v>
      </c>
      <c r="D7494" s="5" t="s">
        <v>453</v>
      </c>
      <c r="E7494" s="5" t="str">
        <f t="shared" si="354"/>
        <v>URGENCIAS ADULTO-Jenny Peña</v>
      </c>
      <c r="F7494" s="5" t="str">
        <f>"Descripcion: MANEJADORA 20 TRUBICADA EN EL PISO 1 - PARQUEADERO URGENCIAS ADULTOS Estado: Bueno Placa anterior: 000033533 Material: METALICO Color: GRIS Referencia:  Observacion:  Placa padre: Tipo adquisicion: Entidad"</f>
        <v>Descripcion: MANEJADORA 20 TRUBICADA EN EL PISO 1 - PARQUEADERO URGENCIAS ADULTOS Estado: Bueno Placa anterior: 000033533 Material: METALICO Color: GRIS Referencia:  Observacion:  Placa padre: Tipo adquisicion: Entidad</v>
      </c>
      <c r="G7494" s="5" t="str">
        <f>"TWE240E400BA"</f>
        <v>TWE240E400BA</v>
      </c>
    </row>
    <row r="7495" spans="1:7" ht="58.5" customHeight="1" x14ac:dyDescent="0.25">
      <c r="A7495" s="5" t="str">
        <f>"H0020753"</f>
        <v>H0020753</v>
      </c>
      <c r="B7495" s="5" t="str">
        <f>"MESA DE NOCHE"</f>
        <v>MESA DE NOCHE</v>
      </c>
      <c r="C7495" s="6">
        <v>344520</v>
      </c>
      <c r="D7495" s="5"/>
      <c r="E7495" s="5" t="str">
        <f t="shared" si="354"/>
        <v>URGENCIAS ADULTO-Jenny Peña</v>
      </c>
      <c r="F7495" s="5" t="str">
        <f>"Descripcion:* SUPERFICIE EN FORMICA UN POCO DAÑADA Estado: Bueno Placa anterior: 000026683 Material: METALICO Color: BEIGE Referencia:  Observacion: PLACA ANTERIOR 000002562 NO TRAE INFORMACION, AUTORIZADO CONCILIAR EN CRUCE GENERAL Placa padre:  Tipo adq"&amp; "uisicion : Entidad"</f>
        <v>Descripcion:* SUPERFICIE EN FORMICA UN POCO DAÑADA Estado: Bueno Placa anterior: 000026683 Material: METALICO Color: BEIGE Referencia:  Observacion: PLACA ANTERIOR 000002562 NO TRAE INFORMACION, AUTORIZADO CONCILIAR EN CRUCE GENERAL Placa padre:  Tipo adquisicion : Entidad</v>
      </c>
      <c r="G7495" s="5"/>
    </row>
    <row r="7496" spans="1:7" ht="58.5" customHeight="1" x14ac:dyDescent="0.25">
      <c r="A7496" s="5" t="str">
        <f>"H0020857"</f>
        <v>H0020857</v>
      </c>
      <c r="B7496" s="5" t="str">
        <f>"ESCALERILLA DE 2 PASOS"</f>
        <v>ESCALERILLA DE 2 PASOS</v>
      </c>
      <c r="C7496" s="6">
        <v>100000</v>
      </c>
      <c r="D7496" s="5" t="s">
        <v>49</v>
      </c>
      <c r="E7496" s="5" t="str">
        <f t="shared" si="354"/>
        <v>URGENCIAS ADULTO-Jenny Peña</v>
      </c>
      <c r="F7496" s="5" t="str">
        <f>"Descripcion:PASOS EN MADERA* FALTAN LOS  PASOS Estado: Regular Placa anterior: 000029799 Material: METALICO Color: BEIGE Referencia:  Observacion: AUTORIZADO CONCILIAR EN CRUCE GENERAL Placa padre:  Tipo adquisicion : Entidad"</f>
        <v>Descripcion:PASOS EN MADERA* FALTAN LOS  PASOS Estado: Regular Placa anterior: 000029799 Material: METALICO Color: BEIGE Referencia:  Observacion: AUTORIZADO CONCILIAR EN CRUCE GENERAL Placa padre:  Tipo adquisicion : Entidad</v>
      </c>
      <c r="G7496" s="5"/>
    </row>
    <row r="7497" spans="1:7" ht="58.5" customHeight="1" x14ac:dyDescent="0.25">
      <c r="A7497" s="5" t="str">
        <f>"H0021009"</f>
        <v>H0021009</v>
      </c>
      <c r="B7497" s="5" t="str">
        <f>"EQUIPO ORGANOS DE LOS SENTIDOS PORTATIL"</f>
        <v>EQUIPO ORGANOS DE LOS SENTIDOS PORTATIL</v>
      </c>
      <c r="C7497" s="6">
        <v>1113600</v>
      </c>
      <c r="D7497" s="5" t="s">
        <v>56</v>
      </c>
      <c r="E7497" s="5" t="str">
        <f t="shared" si="354"/>
        <v>URGENCIAS ADULTO-Jenny Peña</v>
      </c>
      <c r="F7497" s="5" t="str">
        <f>"Descripcion:EQUIPO DE ORGANOS DE LOS SENTIDOS WELCH. ALLYN LUZ HALOGENA COMPUESTO DE: OFTALMOSCOPIO, OTOSCOPIO. ESPECULO Y MANGO DE MEDIAN DE BATERIA.NOTA: ESTUCHE VERDE INCOMPLETO  Estado: Regular Placa anterior:  Material: ACERO INOXIDABLE Y PASTA Color"&amp; ": PLATEADO Y NEGRO Referencia:  Observacion: ESTUCHE INCOMPLETO  EL BIEN TIENE PLACA ANTERIOR  000005866 Placa padre:  Tipo adquisicion : Entidad"</f>
        <v>Descripcion:EQUIPO DE ORGANOS DE LOS SENTIDOS WELCH. ALLYN LUZ HALOGENA COMPUESTO DE: OFTALMOSCOPIO, OTOSCOPIO. ESPECULO Y MANGO DE MEDIAN DE BATERIA.NOTA: ESTUCHE VERDE INCOMPLETO  Estado: Regular Placa anterior:  Material: ACERO INOXIDABLE Y PASTA Color: PLATEADO Y NEGRO Referencia:  Observacion: ESTUCHE INCOMPLETO  EL BIEN TIENE PLACA ANTERIOR  000005866 Placa padre:  Tipo adquisicion : Entidad</v>
      </c>
      <c r="G7497" s="5"/>
    </row>
    <row r="7498" spans="1:7" ht="58.5" customHeight="1" x14ac:dyDescent="0.25">
      <c r="A7498" s="5" t="str">
        <f>"H0021239"</f>
        <v>H0021239</v>
      </c>
      <c r="B7498" s="5" t="str">
        <f>"PLATON NIQUELADO – INOXIDABLE"</f>
        <v>PLATON NIQUELADO – INOXIDABLE</v>
      </c>
      <c r="C7498" s="6">
        <v>9850</v>
      </c>
      <c r="D7498" s="5"/>
      <c r="E7498" s="5" t="str">
        <f t="shared" si="354"/>
        <v>URGENCIAS ADULTO-Jenny Peña</v>
      </c>
      <c r="F7498" s="5" t="str">
        <f>"Descripcion: PLATON EN ACERO INOX.*MEDIANO Estado: Inservible Placa anterior: 000009211 Material: ACERO INOXIDABLE Color:  Referencia:  Observacion:  Placa padre: Tipo adquisicion: Entidad"</f>
        <v>Descripcion: PLATON EN ACERO INOX.*MEDIANO Estado: Inservible Placa anterior: 000009211 Material: ACERO INOXIDABLE Color:  Referencia:  Observacion:  Placa padre: Tipo adquisicion: Entidad</v>
      </c>
      <c r="G7498" s="5"/>
    </row>
    <row r="7499" spans="1:7" ht="58.5" customHeight="1" x14ac:dyDescent="0.25">
      <c r="A7499" s="5" t="str">
        <f>"H0021240"</f>
        <v>H0021240</v>
      </c>
      <c r="B7499" s="5" t="str">
        <f>"SILLA PLASTICA CON BRAZOS"</f>
        <v>SILLA PLASTICA CON BRAZOS</v>
      </c>
      <c r="C7499" s="6">
        <v>12000</v>
      </c>
      <c r="D7499" s="5"/>
      <c r="E7499" s="5" t="str">
        <f t="shared" si="354"/>
        <v>URGENCIAS ADULTO-Jenny Peña</v>
      </c>
      <c r="F7499" s="5" t="str">
        <f>"Descripcion: SILLA PLASTICA Estado: Bueno Placa anterior: 000019427 Material: PASTA Color: BLANCO Referencia:  Observacion:  Placa padre: Tipo adquisicion: Entidad"</f>
        <v>Descripcion: SILLA PLASTICA Estado: Bueno Placa anterior: 000019427 Material: PASTA Color: BLANCO Referencia:  Observacion:  Placa padre: Tipo adquisicion: Entidad</v>
      </c>
      <c r="G7499" s="5"/>
    </row>
    <row r="7500" spans="1:7" ht="58.5" customHeight="1" x14ac:dyDescent="0.25">
      <c r="A7500" s="5" t="str">
        <f>"H0021241"</f>
        <v>H0021241</v>
      </c>
      <c r="B7500" s="5" t="str">
        <f>"SILLA PLASTICA CON BRAZOS"</f>
        <v>SILLA PLASTICA CON BRAZOS</v>
      </c>
      <c r="C7500" s="6">
        <v>12500</v>
      </c>
      <c r="D7500" s="5"/>
      <c r="E7500" s="5" t="str">
        <f t="shared" si="354"/>
        <v>URGENCIAS ADULTO-Jenny Peña</v>
      </c>
      <c r="F7500" s="5" t="str">
        <f>"Descripcion: SILLA PLASTICA BLANCA Estado: Bueno Placa anterior: 000019436 Material: PASTA Color: BLANCO Referencia:  Observacion:  Placa padre: Tipo adquisicion: Entidad"</f>
        <v>Descripcion: SILLA PLASTICA BLANCA Estado: Bueno Placa anterior: 000019436 Material: PASTA Color: BLANCO Referencia:  Observacion:  Placa padre: Tipo adquisicion: Entidad</v>
      </c>
      <c r="G7500" s="5"/>
    </row>
    <row r="7501" spans="1:7" ht="58.5" customHeight="1" x14ac:dyDescent="0.25">
      <c r="A7501" s="5" t="str">
        <f>"H0021245"</f>
        <v>H0021245</v>
      </c>
      <c r="B7501" s="5" t="str">
        <f>"ESTANTE METALICO 5 ENTREPAÑOS"</f>
        <v>ESTANTE METALICO 5 ENTREPAÑOS</v>
      </c>
      <c r="C7501" s="6">
        <v>31612</v>
      </c>
      <c r="D7501" s="5"/>
      <c r="E7501" s="5" t="str">
        <f t="shared" si="354"/>
        <v>URGENCIAS ADULTO-Jenny Peña</v>
      </c>
      <c r="F7501" s="5" t="str">
        <f>"Descripcion: ESTANTE METALICO DE 6 ENTREPAÑOS* SE OBSERVAN 5 ENTREPAÑOS Estado: Malo Placa anterior: 000002153 Material: METALICO Color: GRIS Referencia:  Observacion:  Placa padre: Tipo adquisicion: Entidad"</f>
        <v>Descripcion: ESTANTE METALICO DE 6 ENTREPAÑOS* SE OBSERVAN 5 ENTREPAÑOS Estado: Malo Placa anterior: 000002153 Material: METALICO Color: GRIS Referencia:  Observacion:  Placa padre: Tipo adquisicion: Entidad</v>
      </c>
      <c r="G7501" s="5"/>
    </row>
    <row r="7502" spans="1:7" ht="58.5" customHeight="1" x14ac:dyDescent="0.25">
      <c r="A7502" s="5" t="str">
        <f>"H0021246"</f>
        <v>H0021246</v>
      </c>
      <c r="B7502" s="5" t="str">
        <f>"ESTANTE METALICO 6 ENTREPAÑOS"</f>
        <v>ESTANTE METALICO 6 ENTREPAÑOS</v>
      </c>
      <c r="C7502" s="6">
        <v>17671.099999999999</v>
      </c>
      <c r="D7502" s="5"/>
      <c r="E7502" s="5" t="str">
        <f t="shared" si="354"/>
        <v>URGENCIAS ADULTO-Jenny Peña</v>
      </c>
      <c r="F7502" s="5" t="str">
        <f>"Descripcion: ESTANTE METALICO Estado: Malo Placa anterior: 000019936 Material: METALICO Color: GRIS Referencia:  Observacion:  Placa padre: Tipo adquisicion: Entidad"</f>
        <v>Descripcion: ESTANTE METALICO Estado: Malo Placa anterior: 000019936 Material: METALICO Color: GRIS Referencia:  Observacion:  Placa padre: Tipo adquisicion: Entidad</v>
      </c>
      <c r="G7502" s="5"/>
    </row>
    <row r="7503" spans="1:7" ht="58.5" customHeight="1" x14ac:dyDescent="0.25">
      <c r="A7503" s="5" t="str">
        <f>"H0021248"</f>
        <v>H0021248</v>
      </c>
      <c r="B7503" s="5" t="str">
        <f>"ESTANTE METALICO 6 ENTREPAÑOS"</f>
        <v>ESTANTE METALICO 6 ENTREPAÑOS</v>
      </c>
      <c r="C7503" s="6">
        <v>17671.099999999999</v>
      </c>
      <c r="D7503" s="5"/>
      <c r="E7503" s="5" t="str">
        <f t="shared" si="354"/>
        <v>URGENCIAS ADULTO-Jenny Peña</v>
      </c>
      <c r="F7503" s="5" t="str">
        <f>"Descripcion: ESTANTE METALICO Estado: Malo Placa anterior: 000019349 Material: METALICO Color: GRIS Referencia:  Observacion:  Placa padre: Tipo adquisicion: Entidad"</f>
        <v>Descripcion: ESTANTE METALICO Estado: Malo Placa anterior: 000019349 Material: METALICO Color: GRIS Referencia:  Observacion:  Placa padre: Tipo adquisicion: Entidad</v>
      </c>
      <c r="G7503" s="5"/>
    </row>
    <row r="7504" spans="1:7" ht="58.5" customHeight="1" x14ac:dyDescent="0.25">
      <c r="A7504" s="5" t="str">
        <f>"H0021249"</f>
        <v>H0021249</v>
      </c>
      <c r="B7504" s="5" t="str">
        <f>"ESTANTE METALICO 6 ENTREPAÑOS"</f>
        <v>ESTANTE METALICO 6 ENTREPAÑOS</v>
      </c>
      <c r="C7504" s="6">
        <v>17671.099999999999</v>
      </c>
      <c r="D7504" s="5"/>
      <c r="E7504" s="5" t="str">
        <f t="shared" si="354"/>
        <v>URGENCIAS ADULTO-Jenny Peña</v>
      </c>
      <c r="F7504" s="5" t="str">
        <f>"Descripcion: ESTANTE METALICO Estado: Malo Placa anterior: 000019450 Material: METALICO Color: GRIS Referencia:  Observacion:  Placa padre: Tipo adquisicion: Entidad"</f>
        <v>Descripcion: ESTANTE METALICO Estado: Malo Placa anterior: 000019450 Material: METALICO Color: GRIS Referencia:  Observacion:  Placa padre: Tipo adquisicion: Entidad</v>
      </c>
      <c r="G7504" s="5"/>
    </row>
    <row r="7505" spans="1:7" ht="58.5" customHeight="1" x14ac:dyDescent="0.25">
      <c r="A7505" s="5" t="str">
        <f>"H0021250"</f>
        <v>H0021250</v>
      </c>
      <c r="B7505" s="5" t="str">
        <f>"ESTANTE METALICO 7 ENTREPAÑOS"</f>
        <v>ESTANTE METALICO 7 ENTREPAÑOS</v>
      </c>
      <c r="C7505" s="6">
        <v>22189.18</v>
      </c>
      <c r="D7505" s="5"/>
      <c r="E7505" s="5" t="str">
        <f t="shared" si="354"/>
        <v>URGENCIAS ADULTO-Jenny Peña</v>
      </c>
      <c r="F7505" s="5" t="str">
        <f>"Descripcion: ESTANTE METALICO Estado: Malo Placa anterior: 000005550 Material: METALICO Color: GRIS Referencia:  Observacion: PLACA ANTERIOR No. 000027857 NO TRAE INFORMACION AUTORIZADO CONCILIAR EN CRUCE GENERAL Placa padre: Tipo adquisicion: Entidad"</f>
        <v>Descripcion: ESTANTE METALICO Estado: Malo Placa anterior: 000005550 Material: METALICO Color: GRIS Referencia:  Observacion: PLACA ANTERIOR No. 000027857 NO TRAE INFORMACION AUTORIZADO CONCILIAR EN CRUCE GENERAL Placa padre: Tipo adquisicion: Entidad</v>
      </c>
      <c r="G7505" s="5"/>
    </row>
    <row r="7506" spans="1:7" ht="58.5" customHeight="1" x14ac:dyDescent="0.25">
      <c r="A7506" s="5" t="str">
        <f>"H0021260"</f>
        <v>H0021260</v>
      </c>
      <c r="B7506" s="5" t="str">
        <f>"CUBETA ESMALTADA MEDIANA"</f>
        <v>CUBETA ESMALTADA MEDIANA</v>
      </c>
      <c r="C7506" s="6">
        <v>22335</v>
      </c>
      <c r="D7506" s="5"/>
      <c r="E7506" s="5" t="str">
        <f t="shared" si="354"/>
        <v>URGENCIAS ADULTO-Jenny Peña</v>
      </c>
      <c r="F7506" s="5" t="str">
        <f>"Descripcion: SIN TAPA Estado: Inservible Placa anterior: 000019229 Material: METALICO Color: BLANCO Referencia:  Observacion:  Placa padre: Tipo adquisicion: Entidad"</f>
        <v>Descripcion: SIN TAPA Estado: Inservible Placa anterior: 000019229 Material: METALICO Color: BLANCO Referencia:  Observacion:  Placa padre: Tipo adquisicion: Entidad</v>
      </c>
      <c r="G7506" s="5"/>
    </row>
    <row r="7507" spans="1:7" ht="58.5" customHeight="1" x14ac:dyDescent="0.25">
      <c r="A7507" s="5" t="str">
        <f>"H0021266"</f>
        <v>H0021266</v>
      </c>
      <c r="B7507" s="5" t="str">
        <f>"CARRO MANUAL PARA TRANSPORTE OBJETOS"</f>
        <v>CARRO MANUAL PARA TRANSPORTE OBJETOS</v>
      </c>
      <c r="C7507" s="6">
        <v>41855</v>
      </c>
      <c r="D7507" s="5"/>
      <c r="E7507" s="5" t="str">
        <f t="shared" si="354"/>
        <v>URGENCIAS ADULTO-Jenny Peña</v>
      </c>
      <c r="F7507" s="5" t="str">
        <f>"Descripcion: CARRO TRANSPORTADOR CON PLATAFORMA* DEPENDENCIA FARMACIA  Estado: Regular Placa anterior: 000000293 Material: METALICO Color: VERDE Referencia:  Observacion:  Placa padre: Tipo adquisicion: Entidad"</f>
        <v>Descripcion: CARRO TRANSPORTADOR CON PLATAFORMA* DEPENDENCIA FARMACIA  Estado: Regular Placa anterior: 000000293 Material: METALICO Color: VERDE Referencia:  Observacion:  Placa padre: Tipo adquisicion: Entidad</v>
      </c>
      <c r="G7507" s="5"/>
    </row>
    <row r="7508" spans="1:7" ht="58.5" customHeight="1" x14ac:dyDescent="0.25">
      <c r="A7508" s="5" t="str">
        <f>"H0021269"</f>
        <v>H0021269</v>
      </c>
      <c r="B7508" s="5" t="str">
        <f>"VHS"</f>
        <v>VHS</v>
      </c>
      <c r="C7508" s="6">
        <v>382333.33</v>
      </c>
      <c r="D7508" s="5"/>
      <c r="E7508" s="5" t="str">
        <f t="shared" si="354"/>
        <v>URGENCIAS ADULTO-Jenny Peña</v>
      </c>
      <c r="F7508" s="5" t="str">
        <f>"Descripcion: V.H.S PANASONICCON CONTROL Estado: Obsoleto Placa anterior: 000018547 Material: PASTA Color: NEGRO Referencia:  Observacion:  Placa padre: Tipo adquisicion: Entidad"</f>
        <v>Descripcion: V.H.S PANASONICCON CONTROL Estado: Obsoleto Placa anterior: 000018547 Material: PASTA Color: NEGRO Referencia:  Observacion:  Placa padre: Tipo adquisicion: Entidad</v>
      </c>
      <c r="G7508" s="5" t="str">
        <f>"NV-SD36PN"</f>
        <v>NV-SD36PN</v>
      </c>
    </row>
    <row r="7509" spans="1:7" ht="58.5" customHeight="1" x14ac:dyDescent="0.25">
      <c r="A7509" s="5" t="str">
        <f>"H0021270"</f>
        <v>H0021270</v>
      </c>
      <c r="B7509" s="5" t="str">
        <f>"VHS"</f>
        <v>VHS</v>
      </c>
      <c r="C7509" s="6">
        <v>382333.33</v>
      </c>
      <c r="D7509" s="5"/>
      <c r="E7509" s="5" t="str">
        <f t="shared" si="354"/>
        <v>URGENCIAS ADULTO-Jenny Peña</v>
      </c>
      <c r="F7509" s="5" t="str">
        <f>"Descripcion: V.H.S PANASONIC* CON CONTROL Estado: Obsoleto Placa anterior: 000018546 Material: PASTA  Color: NEGRO Referencia:  Observacion:  Placa padre: Tipo adquisicion: Entidad"</f>
        <v>Descripcion: V.H.S PANASONIC* CON CONTROL Estado: Obsoleto Placa anterior: 000018546 Material: PASTA  Color: NEGRO Referencia:  Observacion:  Placa padre: Tipo adquisicion: Entidad</v>
      </c>
      <c r="G7509" s="5" t="str">
        <f>"NV-SD36PN"</f>
        <v>NV-SD36PN</v>
      </c>
    </row>
    <row r="7510" spans="1:7" ht="58.5" customHeight="1" x14ac:dyDescent="0.25">
      <c r="A7510" s="5" t="str">
        <f>"H0021271"</f>
        <v>H0021271</v>
      </c>
      <c r="B7510" s="5" t="str">
        <f>"VHS"</f>
        <v>VHS</v>
      </c>
      <c r="C7510" s="6">
        <v>374001</v>
      </c>
      <c r="D7510" s="5"/>
      <c r="E7510" s="5" t="str">
        <f t="shared" si="354"/>
        <v>URGENCIAS ADULTO-Jenny Peña</v>
      </c>
      <c r="F7510" s="5" t="str">
        <f>"Descripcion: VHS PANASONIC Estado: Obsoleto Placa anterior: 000019980 Material: PASTA Color: NEGRO Referencia:  Observacion:  Placa padre: Tipo adquisicion: Entidad"</f>
        <v>Descripcion: VHS PANASONIC Estado: Obsoleto Placa anterior: 000019980 Material: PASTA Color: NEGRO Referencia:  Observacion:  Placa padre: Tipo adquisicion: Entidad</v>
      </c>
      <c r="G7510" s="5" t="str">
        <f>"NV-SD36PN"</f>
        <v>NV-SD36PN</v>
      </c>
    </row>
    <row r="7511" spans="1:7" ht="58.5" customHeight="1" x14ac:dyDescent="0.25">
      <c r="A7511" s="5" t="str">
        <f>"H0021274"</f>
        <v>H0021274</v>
      </c>
      <c r="B7511" s="5" t="str">
        <f t="shared" ref="B7511:B7519" si="356">"COCAS EN ACERO INOXIDABLE (ENTREGAR DOSIS DE MEDICINA)"</f>
        <v>COCAS EN ACERO INOXIDABLE (ENTREGAR DOSIS DE MEDICINA)</v>
      </c>
      <c r="C7511" s="6">
        <v>900</v>
      </c>
      <c r="D7511" s="5"/>
      <c r="E7511" s="5" t="str">
        <f t="shared" si="354"/>
        <v>URGENCIAS ADULTO-Jenny Peña</v>
      </c>
      <c r="F7511" s="5" t="str">
        <f>"Descripcion: COCAS PARA DROGAS* PEQUEÑA Estado: Bueno Placa anterior: 000020179 Material: ACERO INOXIDABLE Color:  Referencia:  Observacion:  Placa padre: Tipo adquisicion: Entidad"</f>
        <v>Descripcion: COCAS PARA DROGAS* PEQUEÑA Estado: Bueno Placa anterior: 000020179 Material: ACERO INOXIDABLE Color:  Referencia:  Observacion:  Placa padre: Tipo adquisicion: Entidad</v>
      </c>
      <c r="G7511" s="5"/>
    </row>
    <row r="7512" spans="1:7" ht="58.5" customHeight="1" x14ac:dyDescent="0.25">
      <c r="A7512" s="5" t="str">
        <f>"H0021275"</f>
        <v>H0021275</v>
      </c>
      <c r="B7512" s="5" t="str">
        <f t="shared" si="356"/>
        <v>COCAS EN ACERO INOXIDABLE (ENTREGAR DOSIS DE MEDICINA)</v>
      </c>
      <c r="C7512" s="6">
        <v>900</v>
      </c>
      <c r="D7512" s="5"/>
      <c r="E7512" s="5" t="str">
        <f t="shared" si="354"/>
        <v>URGENCIAS ADULTO-Jenny Peña</v>
      </c>
      <c r="F7512" s="5" t="str">
        <f>"Descripcion: COCAS PARA DROGAS* PEQUEÑA Estado: Bueno Placa anterior: 000020180 Material: ACERO INOXIDABLE Color:  Referencia:  Observacion:  Placa padre: Tipo adquisicion: Entidad"</f>
        <v>Descripcion: COCAS PARA DROGAS* PEQUEÑA Estado: Bueno Placa anterior: 000020180 Material: ACERO INOXIDABLE Color:  Referencia:  Observacion:  Placa padre: Tipo adquisicion: Entidad</v>
      </c>
      <c r="G7512" s="5"/>
    </row>
    <row r="7513" spans="1:7" ht="58.5" customHeight="1" x14ac:dyDescent="0.25">
      <c r="A7513" s="5" t="str">
        <f>"H0021276"</f>
        <v>H0021276</v>
      </c>
      <c r="B7513" s="5" t="str">
        <f t="shared" si="356"/>
        <v>COCAS EN ACERO INOXIDABLE (ENTREGAR DOSIS DE MEDICINA)</v>
      </c>
      <c r="C7513" s="6">
        <v>900</v>
      </c>
      <c r="D7513" s="5"/>
      <c r="E7513" s="5" t="str">
        <f t="shared" si="354"/>
        <v>URGENCIAS ADULTO-Jenny Peña</v>
      </c>
      <c r="F7513" s="5" t="str">
        <f>"Descripcion: COCAS PARA DROGAS* PEQUEÑA Estado: Bueno Placa anterior: 000020181 Material: ACERO INOXIDABLE Color:  Referencia:  Observacion:  Placa padre: Tipo adquisicion: Entidad"</f>
        <v>Descripcion: COCAS PARA DROGAS* PEQUEÑA Estado: Bueno Placa anterior: 000020181 Material: ACERO INOXIDABLE Color:  Referencia:  Observacion:  Placa padre: Tipo adquisicion: Entidad</v>
      </c>
      <c r="G7513" s="5"/>
    </row>
    <row r="7514" spans="1:7" ht="58.5" customHeight="1" x14ac:dyDescent="0.25">
      <c r="A7514" s="5" t="str">
        <f>"H0021277"</f>
        <v>H0021277</v>
      </c>
      <c r="B7514" s="5" t="str">
        <f t="shared" si="356"/>
        <v>COCAS EN ACERO INOXIDABLE (ENTREGAR DOSIS DE MEDICINA)</v>
      </c>
      <c r="C7514" s="6">
        <v>900</v>
      </c>
      <c r="D7514" s="5"/>
      <c r="E7514" s="5" t="str">
        <f t="shared" si="354"/>
        <v>URGENCIAS ADULTO-Jenny Peña</v>
      </c>
      <c r="F7514" s="5" t="str">
        <f>"Descripcion: COCAS PARA DROGAS* PEQUEÑA Estado: Bueno Placa anterior: 000020182 Material: ACERO INOXIDABLE Color:  Referencia:  Observacion:  Placa padre: Tipo adquisicion: Entidad"</f>
        <v>Descripcion: COCAS PARA DROGAS* PEQUEÑA Estado: Bueno Placa anterior: 000020182 Material: ACERO INOXIDABLE Color:  Referencia:  Observacion:  Placa padre: Tipo adquisicion: Entidad</v>
      </c>
      <c r="G7514" s="5"/>
    </row>
    <row r="7515" spans="1:7" ht="58.5" customHeight="1" x14ac:dyDescent="0.25">
      <c r="A7515" s="5" t="str">
        <f>"H0021278"</f>
        <v>H0021278</v>
      </c>
      <c r="B7515" s="5" t="str">
        <f t="shared" si="356"/>
        <v>COCAS EN ACERO INOXIDABLE (ENTREGAR DOSIS DE MEDICINA)</v>
      </c>
      <c r="C7515" s="6">
        <v>900</v>
      </c>
      <c r="D7515" s="5"/>
      <c r="E7515" s="5" t="str">
        <f t="shared" si="354"/>
        <v>URGENCIAS ADULTO-Jenny Peña</v>
      </c>
      <c r="F7515" s="5" t="str">
        <f>"Descripcion: COCAS PARA DROGAS* PEQUEÑA Estado: Bueno Placa anterior: 000020183 Material: ACERO INOXIDABLE Color:  Referencia:  Observacion:  Placa padre: Tipo adquisicion: Entidad"</f>
        <v>Descripcion: COCAS PARA DROGAS* PEQUEÑA Estado: Bueno Placa anterior: 000020183 Material: ACERO INOXIDABLE Color:  Referencia:  Observacion:  Placa padre: Tipo adquisicion: Entidad</v>
      </c>
      <c r="G7515" s="5"/>
    </row>
    <row r="7516" spans="1:7" ht="58.5" customHeight="1" x14ac:dyDescent="0.25">
      <c r="A7516" s="5" t="str">
        <f>"H0021279"</f>
        <v>H0021279</v>
      </c>
      <c r="B7516" s="5" t="str">
        <f t="shared" si="356"/>
        <v>COCAS EN ACERO INOXIDABLE (ENTREGAR DOSIS DE MEDICINA)</v>
      </c>
      <c r="C7516" s="6">
        <v>900</v>
      </c>
      <c r="D7516" s="5"/>
      <c r="E7516" s="5" t="str">
        <f t="shared" si="354"/>
        <v>URGENCIAS ADULTO-Jenny Peña</v>
      </c>
      <c r="F7516" s="5" t="str">
        <f>"Descripcion: COCAS PARA DROGAS* PEQUEÑA Estado: Bueno Placa anterior: 000020184 Material: ACERO INOXIDABLE Color:  Referencia:  Observacion:  Placa padre: Tipo adquisicion: Entidad"</f>
        <v>Descripcion: COCAS PARA DROGAS* PEQUEÑA Estado: Bueno Placa anterior: 000020184 Material: ACERO INOXIDABLE Color:  Referencia:  Observacion:  Placa padre: Tipo adquisicion: Entidad</v>
      </c>
      <c r="G7516" s="5"/>
    </row>
    <row r="7517" spans="1:7" ht="58.5" customHeight="1" x14ac:dyDescent="0.25">
      <c r="A7517" s="5" t="str">
        <f>"H0021280"</f>
        <v>H0021280</v>
      </c>
      <c r="B7517" s="5" t="str">
        <f t="shared" si="356"/>
        <v>COCAS EN ACERO INOXIDABLE (ENTREGAR DOSIS DE MEDICINA)</v>
      </c>
      <c r="C7517" s="6">
        <v>900</v>
      </c>
      <c r="D7517" s="5"/>
      <c r="E7517" s="5" t="str">
        <f t="shared" si="354"/>
        <v>URGENCIAS ADULTO-Jenny Peña</v>
      </c>
      <c r="F7517" s="5" t="str">
        <f>"Descripcion: COCAS PARA DROGAS* PEQUEÑA Estado: Bueno Placa anterior: 000020379 Material: ACERO INOXIDABLE Color:  Referencia:  Observacion:  Placa padre: Tipo adquisicion: Entidad"</f>
        <v>Descripcion: COCAS PARA DROGAS* PEQUEÑA Estado: Bueno Placa anterior: 000020379 Material: ACERO INOXIDABLE Color:  Referencia:  Observacion:  Placa padre: Tipo adquisicion: Entidad</v>
      </c>
      <c r="G7517" s="5"/>
    </row>
    <row r="7518" spans="1:7" ht="58.5" customHeight="1" x14ac:dyDescent="0.25">
      <c r="A7518" s="5" t="str">
        <f>"H0021281"</f>
        <v>H0021281</v>
      </c>
      <c r="B7518" s="5" t="str">
        <f t="shared" si="356"/>
        <v>COCAS EN ACERO INOXIDABLE (ENTREGAR DOSIS DE MEDICINA)</v>
      </c>
      <c r="C7518" s="6">
        <v>900</v>
      </c>
      <c r="D7518" s="5"/>
      <c r="E7518" s="5" t="str">
        <f t="shared" si="354"/>
        <v>URGENCIAS ADULTO-Jenny Peña</v>
      </c>
      <c r="F7518" s="5" t="str">
        <f>"Descripcion: COCAS PARA DROGAS* PEQUEÑA Estado: Bueno Placa anterior: 000020380 Material: ACERO INOXIDABLE Color:  Referencia:  Observacion:  Placa padre: Tipo adquisicion: Entidad"</f>
        <v>Descripcion: COCAS PARA DROGAS* PEQUEÑA Estado: Bueno Placa anterior: 000020380 Material: ACERO INOXIDABLE Color:  Referencia:  Observacion:  Placa padre: Tipo adquisicion: Entidad</v>
      </c>
      <c r="G7518" s="5"/>
    </row>
    <row r="7519" spans="1:7" ht="58.5" customHeight="1" x14ac:dyDescent="0.25">
      <c r="A7519" s="5" t="str">
        <f>"H0021282"</f>
        <v>H0021282</v>
      </c>
      <c r="B7519" s="5" t="str">
        <f t="shared" si="356"/>
        <v>COCAS EN ACERO INOXIDABLE (ENTREGAR DOSIS DE MEDICINA)</v>
      </c>
      <c r="C7519" s="6">
        <v>900</v>
      </c>
      <c r="D7519" s="5"/>
      <c r="E7519" s="5" t="str">
        <f t="shared" si="354"/>
        <v>URGENCIAS ADULTO-Jenny Peña</v>
      </c>
      <c r="F7519" s="5" t="str">
        <f>"Descripcion: COCAS PARA DROGAS* PEQUEÑA Estado: Bueno Placa anterior: 000020185 Material: ACERO INOXIDABLE Color:  Referencia:  Observacion: AUTORIZADO CONCILIAR EN CRUCE GENERAL Placa padre: Tipo adquisicion: Entidad"</f>
        <v>Descripcion: COCAS PARA DROGAS* PEQUEÑA Estado: Bueno Placa anterior: 000020185 Material: ACERO INOXIDABLE Color:  Referencia:  Observacion: AUTORIZADO CONCILIAR EN CRUCE GENERAL Placa padre: Tipo adquisicion: Entidad</v>
      </c>
      <c r="G7519" s="5"/>
    </row>
    <row r="7520" spans="1:7" ht="58.5" customHeight="1" x14ac:dyDescent="0.25">
      <c r="A7520" s="5" t="str">
        <f>"H0021284"</f>
        <v>H0021284</v>
      </c>
      <c r="B7520" s="5" t="str">
        <f>"MARTILLO PARA REFLEJOS"</f>
        <v>MARTILLO PARA REFLEJOS</v>
      </c>
      <c r="C7520" s="6">
        <v>3621.11</v>
      </c>
      <c r="D7520" s="5"/>
      <c r="E7520" s="5" t="str">
        <f t="shared" si="354"/>
        <v>URGENCIAS ADULTO-Jenny Peña</v>
      </c>
      <c r="F7520" s="5" t="str">
        <f>"Descripcion: MARTILLO DE REFLEJOS* URGENCIAS PEDIATRICAS Estado: Bueno Placa anterior: 000018693 Material: ACERO INOXIDABLE Color:  Referencia:  Observacion:  Placa padre: Tipo adquisicion: Entidad"</f>
        <v>Descripcion: MARTILLO DE REFLEJOS* URGENCIAS PEDIATRICAS Estado: Bueno Placa anterior: 000018693 Material: ACERO INOXIDABLE Color:  Referencia:  Observacion:  Placa padre: Tipo adquisicion: Entidad</v>
      </c>
      <c r="G7520" s="5"/>
    </row>
    <row r="7521" spans="1:7" ht="58.5" customHeight="1" x14ac:dyDescent="0.25">
      <c r="A7521" s="5" t="str">
        <f>"H0021285"</f>
        <v>H0021285</v>
      </c>
      <c r="B7521" s="5" t="str">
        <f>"MARTILLO PARA REFLEJOS"</f>
        <v>MARTILLO PARA REFLEJOS</v>
      </c>
      <c r="C7521" s="6">
        <v>3621.11</v>
      </c>
      <c r="D7521" s="5"/>
      <c r="E7521" s="5" t="str">
        <f t="shared" si="354"/>
        <v>URGENCIAS ADULTO-Jenny Peña</v>
      </c>
      <c r="F7521" s="5" t="str">
        <f>"Descripcion: MARTILLO DE REFLEJOS* URGENCIAS PEDIATRICAS Estado: Bueno Placa anterior: 000018694 Material: ACERO INOXIDABLE Color:  Referencia:  Observacion:  Placa padre: Tipo adquisicion: Entidad"</f>
        <v>Descripcion: MARTILLO DE REFLEJOS* URGENCIAS PEDIATRICAS Estado: Bueno Placa anterior: 000018694 Material: ACERO INOXIDABLE Color:  Referencia:  Observacion:  Placa padre: Tipo adquisicion: Entidad</v>
      </c>
      <c r="G7521" s="5"/>
    </row>
    <row r="7522" spans="1:7" ht="58.5" customHeight="1" x14ac:dyDescent="0.25">
      <c r="A7522" s="5" t="str">
        <f>"H0021288"</f>
        <v>H0021288</v>
      </c>
      <c r="B7522" s="5" t="str">
        <f>"FONENDOSCOPIO (ESTETOSCOPIO) PARA ADULTO"</f>
        <v>FONENDOSCOPIO (ESTETOSCOPIO) PARA ADULTO</v>
      </c>
      <c r="C7522" s="6">
        <v>61597.18</v>
      </c>
      <c r="D7522" s="5"/>
      <c r="E7522" s="5" t="str">
        <f t="shared" si="354"/>
        <v>URGENCIAS ADULTO-Jenny Peña</v>
      </c>
      <c r="F7522" s="5" t="str">
        <f>"Descripcion: FONENDOSCOPIO* 1 SERVICIO* NO SE SABE SI FUNCIONA Estado: Regular Placa anterior: 000019273 Material: ACERO INOXIDABLE Color: NEGRO Referencia:  Observacion:  Placa padre: Tipo adquisicion: Entidad"</f>
        <v>Descripcion: FONENDOSCOPIO* 1 SERVICIO* NO SE SABE SI FUNCIONA Estado: Regular Placa anterior: 000019273 Material: ACERO INOXIDABLE Color: NEGRO Referencia:  Observacion:  Placa padre: Tipo adquisicion: Entidad</v>
      </c>
      <c r="G7522" s="5"/>
    </row>
    <row r="7523" spans="1:7" ht="58.5" customHeight="1" x14ac:dyDescent="0.25">
      <c r="A7523" s="5" t="str">
        <f>"H0021289"</f>
        <v>H0021289</v>
      </c>
      <c r="B7523" s="5" t="str">
        <f>"FONENDOSCOPIO (ESTETOSCOPIO) PEDIATRICO"</f>
        <v>FONENDOSCOPIO (ESTETOSCOPIO) PEDIATRICO</v>
      </c>
      <c r="C7523" s="6">
        <v>61597.18</v>
      </c>
      <c r="D7523" s="5"/>
      <c r="E7523" s="5" t="str">
        <f t="shared" si="354"/>
        <v>URGENCIAS ADULTO-Jenny Peña</v>
      </c>
      <c r="F7523" s="5" t="str">
        <f>"Descripcion: FONENDOSCOPIO* PEDIATRICO* NO SE SABE SI FUNCIONA Estado: Regular Placa anterior: 000019274 Material: ACERO INOXIDABLE Color: NEGRO Referencia:  Observacion:  Placa padre: Tipo adquisicion: Entidad"</f>
        <v>Descripcion: FONENDOSCOPIO* PEDIATRICO* NO SE SABE SI FUNCIONA Estado: Regular Placa anterior: 000019274 Material: ACERO INOXIDABLE Color: NEGRO Referencia:  Observacion:  Placa padre: Tipo adquisicion: Entidad</v>
      </c>
      <c r="G7523" s="5"/>
    </row>
    <row r="7524" spans="1:7" ht="58.5" customHeight="1" x14ac:dyDescent="0.25">
      <c r="A7524" s="5" t="str">
        <f>"H0021291"</f>
        <v>H0021291</v>
      </c>
      <c r="B7524" s="5" t="str">
        <f>"FONENDOSCOPIO (ESTETOSCOPIO) PARA ADULTO"</f>
        <v>FONENDOSCOPIO (ESTETOSCOPIO) PARA ADULTO</v>
      </c>
      <c r="C7524" s="6">
        <v>61597.18</v>
      </c>
      <c r="D7524" s="5"/>
      <c r="E7524" s="5" t="str">
        <f t="shared" si="354"/>
        <v>URGENCIAS ADULTO-Jenny Peña</v>
      </c>
      <c r="F7524" s="5" t="str">
        <f>"Descripcion: FONENDOSCOPIO* 1 SERVICIO* NO SE SABE SI FUNCIONA Estado: Regular Placa anterior: 000019276 Material: ACERO INOXIDABLE Color: NEGRO Referencia:  Observacion:  Placa padre: Tipo adquisicion: Entidad"</f>
        <v>Descripcion: FONENDOSCOPIO* 1 SERVICIO* NO SE SABE SI FUNCIONA Estado: Regular Placa anterior: 000019276 Material: ACERO INOXIDABLE Color: NEGRO Referencia:  Observacion:  Placa padre: Tipo adquisicion: Entidad</v>
      </c>
      <c r="G7524" s="5"/>
    </row>
    <row r="7525" spans="1:7" ht="58.5" customHeight="1" x14ac:dyDescent="0.25">
      <c r="A7525" s="5" t="str">
        <f>"H0021971"</f>
        <v>H0021971</v>
      </c>
      <c r="B7525" s="5" t="str">
        <f>"CAMILLA DE TRASLADO CON BARANDAS"</f>
        <v>CAMILLA DE TRASLADO CON BARANDAS</v>
      </c>
      <c r="C7525" s="6">
        <v>6774400</v>
      </c>
      <c r="D7525" s="5" t="s">
        <v>166</v>
      </c>
      <c r="E7525" s="5" t="str">
        <f t="shared" ref="E7525:E7588" si="357">"URGENCIAS ADULTO-Jenny Peña"</f>
        <v>URGENCIAS ADULTO-Jenny Peña</v>
      </c>
      <c r="F7525"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000031498 Material: ACERO INOXIDABLE Color: PLATEADO Referencia: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000031498 Material: ACERO INOXIDABLE Color: PLATEADO Referencia:  Observacion:  Placa padre: Tipo adquisicion: Entidad</v>
      </c>
      <c r="G7525" s="5" t="str">
        <f>"144-04/02"</f>
        <v>144-04/02</v>
      </c>
    </row>
    <row r="7526" spans="1:7" ht="58.5" customHeight="1" x14ac:dyDescent="0.25">
      <c r="A7526" s="5" t="str">
        <f>"H0021974"</f>
        <v>H0021974</v>
      </c>
      <c r="B7526" s="5" t="str">
        <f>"VIBROMARCADOR (GRABADOR ELECTRICO)"</f>
        <v>VIBROMARCADOR (GRABADOR ELECTRICO)</v>
      </c>
      <c r="C7526" s="6">
        <v>24738</v>
      </c>
      <c r="D7526" s="5"/>
      <c r="E7526" s="5" t="str">
        <f t="shared" si="357"/>
        <v>URGENCIAS ADULTO-Jenny Peña</v>
      </c>
      <c r="F7526" s="5" t="str">
        <f>"Descripcion: VIBROGRABADOR PARA MARCAR METALES Estado: Regular Placa anterior: 000015036 Material:  Color:  Referencia:  Observacion: INFORMAN QUE EL INTERRUPTOR SE ENCUENTRA DAÑADO Placa padre: Tipo adquisicion: Entidad"</f>
        <v>Descripcion: VIBROGRABADOR PARA MARCAR METALES Estado: Regular Placa anterior: 000015036 Material:  Color:  Referencia:  Observacion: INFORMAN QUE EL INTERRUPTOR SE ENCUENTRA DAÑADO Placa padre: Tipo adquisicion: Entidad</v>
      </c>
      <c r="G7526" s="5"/>
    </row>
    <row r="7527" spans="1:7" ht="58.5" customHeight="1" x14ac:dyDescent="0.25">
      <c r="A7527" s="5" t="str">
        <f>"H0022275"</f>
        <v>H0022275</v>
      </c>
      <c r="B7527" s="5" t="str">
        <f>"DESFRIBILADOR"</f>
        <v>DESFRIBILADOR</v>
      </c>
      <c r="C7527" s="6">
        <v>16657600</v>
      </c>
      <c r="D7527" s="5" t="s">
        <v>262</v>
      </c>
      <c r="E7527" s="5" t="str">
        <f t="shared" si="357"/>
        <v>URGENCIAS ADULTO-Jenny Peña</v>
      </c>
      <c r="F7527" s="5"/>
      <c r="G7527" s="5"/>
    </row>
    <row r="7528" spans="1:7" ht="58.5" customHeight="1" x14ac:dyDescent="0.25">
      <c r="A7528" s="5" t="str">
        <f>"H0022282"</f>
        <v>H0022282</v>
      </c>
      <c r="B7528" s="5" t="str">
        <f>"MONITOR DE PRESIÓN NO INVASIVA CON PULSOXIMETRIA"</f>
        <v>MONITOR DE PRESIÓN NO INVASIVA CON PULSOXIMETRIA</v>
      </c>
      <c r="C7528" s="6">
        <v>3828000</v>
      </c>
      <c r="D7528" s="5" t="s">
        <v>262</v>
      </c>
      <c r="E7528" s="5" t="str">
        <f t="shared" si="357"/>
        <v>URGENCIAS ADULTO-Jenny Peña</v>
      </c>
      <c r="F7528" s="5"/>
      <c r="G7528" s="5" t="str">
        <f>"M50"</f>
        <v>M50</v>
      </c>
    </row>
    <row r="7529" spans="1:7" ht="58.5" customHeight="1" x14ac:dyDescent="0.25">
      <c r="A7529" s="5" t="str">
        <f>"H0022295"</f>
        <v>H0022295</v>
      </c>
      <c r="B7529" s="5" t="str">
        <f>"MONITOR DE SIGNOS VITALES"</f>
        <v>MONITOR DE SIGNOS VITALES</v>
      </c>
      <c r="C7529" s="6">
        <v>4756000</v>
      </c>
      <c r="D7529" s="5" t="s">
        <v>262</v>
      </c>
      <c r="E7529" s="5" t="str">
        <f t="shared" si="357"/>
        <v>URGENCIAS ADULTO-Jenny Peña</v>
      </c>
      <c r="F7529" s="5"/>
      <c r="G7529" s="5" t="str">
        <f>"M50"</f>
        <v>M50</v>
      </c>
    </row>
    <row r="7530" spans="1:7" ht="58.5" customHeight="1" x14ac:dyDescent="0.25">
      <c r="A7530" s="5" t="str">
        <f>"H0022379"</f>
        <v>H0022379</v>
      </c>
      <c r="B7530" s="5" t="str">
        <f t="shared" ref="B7530:B7539" si="358">"PARLANTES PARA LLAMADO DE AUDIO DE PACIENTES Y SONIDO AMBIENTAL (30 MGWATTS)"</f>
        <v>PARLANTES PARA LLAMADO DE AUDIO DE PACIENTES Y SONIDO AMBIENTAL (30 MGWATTS)</v>
      </c>
      <c r="C7530" s="6">
        <v>350000</v>
      </c>
      <c r="D7530" s="5" t="s">
        <v>350</v>
      </c>
      <c r="E7530" s="5" t="str">
        <f t="shared" si="357"/>
        <v>URGENCIAS ADULTO-Jenny Peña</v>
      </c>
      <c r="F7530" s="5"/>
      <c r="G7530" s="5"/>
    </row>
    <row r="7531" spans="1:7" ht="58.5" customHeight="1" x14ac:dyDescent="0.25">
      <c r="A7531" s="5" t="str">
        <f>"H0022380"</f>
        <v>H0022380</v>
      </c>
      <c r="B7531" s="5" t="str">
        <f t="shared" si="358"/>
        <v>PARLANTES PARA LLAMADO DE AUDIO DE PACIENTES Y SONIDO AMBIENTAL (30 MGWATTS)</v>
      </c>
      <c r="C7531" s="6">
        <v>350000</v>
      </c>
      <c r="D7531" s="5" t="s">
        <v>350</v>
      </c>
      <c r="E7531" s="5" t="str">
        <f t="shared" si="357"/>
        <v>URGENCIAS ADULTO-Jenny Peña</v>
      </c>
      <c r="F7531" s="5"/>
      <c r="G7531" s="5"/>
    </row>
    <row r="7532" spans="1:7" ht="58.5" customHeight="1" x14ac:dyDescent="0.25">
      <c r="A7532" s="5" t="str">
        <f>"H0022381"</f>
        <v>H0022381</v>
      </c>
      <c r="B7532" s="5" t="str">
        <f t="shared" si="358"/>
        <v>PARLANTES PARA LLAMADO DE AUDIO DE PACIENTES Y SONIDO AMBIENTAL (30 MGWATTS)</v>
      </c>
      <c r="C7532" s="6">
        <v>350000</v>
      </c>
      <c r="D7532" s="5" t="s">
        <v>350</v>
      </c>
      <c r="E7532" s="5" t="str">
        <f t="shared" si="357"/>
        <v>URGENCIAS ADULTO-Jenny Peña</v>
      </c>
      <c r="F7532" s="5"/>
      <c r="G7532" s="5"/>
    </row>
    <row r="7533" spans="1:7" ht="58.5" customHeight="1" x14ac:dyDescent="0.25">
      <c r="A7533" s="5" t="str">
        <f>"H0022382"</f>
        <v>H0022382</v>
      </c>
      <c r="B7533" s="5" t="str">
        <f t="shared" si="358"/>
        <v>PARLANTES PARA LLAMADO DE AUDIO DE PACIENTES Y SONIDO AMBIENTAL (30 MGWATTS)</v>
      </c>
      <c r="C7533" s="6">
        <v>350000</v>
      </c>
      <c r="D7533" s="5" t="s">
        <v>350</v>
      </c>
      <c r="E7533" s="5" t="str">
        <f t="shared" si="357"/>
        <v>URGENCIAS ADULTO-Jenny Peña</v>
      </c>
      <c r="F7533" s="5"/>
      <c r="G7533" s="5"/>
    </row>
    <row r="7534" spans="1:7" ht="58.5" customHeight="1" x14ac:dyDescent="0.25">
      <c r="A7534" s="5" t="str">
        <f>"H0022383"</f>
        <v>H0022383</v>
      </c>
      <c r="B7534" s="5" t="str">
        <f t="shared" si="358"/>
        <v>PARLANTES PARA LLAMADO DE AUDIO DE PACIENTES Y SONIDO AMBIENTAL (30 MGWATTS)</v>
      </c>
      <c r="C7534" s="6">
        <v>350000</v>
      </c>
      <c r="D7534" s="5" t="s">
        <v>350</v>
      </c>
      <c r="E7534" s="5" t="str">
        <f t="shared" si="357"/>
        <v>URGENCIAS ADULTO-Jenny Peña</v>
      </c>
      <c r="F7534" s="5"/>
      <c r="G7534" s="5"/>
    </row>
    <row r="7535" spans="1:7" ht="58.5" customHeight="1" x14ac:dyDescent="0.25">
      <c r="A7535" s="5" t="str">
        <f>"H0022384"</f>
        <v>H0022384</v>
      </c>
      <c r="B7535" s="5" t="str">
        <f t="shared" si="358"/>
        <v>PARLANTES PARA LLAMADO DE AUDIO DE PACIENTES Y SONIDO AMBIENTAL (30 MGWATTS)</v>
      </c>
      <c r="C7535" s="6">
        <v>350000</v>
      </c>
      <c r="D7535" s="5" t="s">
        <v>350</v>
      </c>
      <c r="E7535" s="5" t="str">
        <f t="shared" si="357"/>
        <v>URGENCIAS ADULTO-Jenny Peña</v>
      </c>
      <c r="F7535" s="5"/>
      <c r="G7535" s="5"/>
    </row>
    <row r="7536" spans="1:7" ht="58.5" customHeight="1" x14ac:dyDescent="0.25">
      <c r="A7536" s="5" t="str">
        <f>"H0022385"</f>
        <v>H0022385</v>
      </c>
      <c r="B7536" s="5" t="str">
        <f t="shared" si="358"/>
        <v>PARLANTES PARA LLAMADO DE AUDIO DE PACIENTES Y SONIDO AMBIENTAL (30 MGWATTS)</v>
      </c>
      <c r="C7536" s="6">
        <v>350000</v>
      </c>
      <c r="D7536" s="5" t="s">
        <v>350</v>
      </c>
      <c r="E7536" s="5" t="str">
        <f t="shared" si="357"/>
        <v>URGENCIAS ADULTO-Jenny Peña</v>
      </c>
      <c r="F7536" s="5"/>
      <c r="G7536" s="5"/>
    </row>
    <row r="7537" spans="1:7" ht="58.5" customHeight="1" x14ac:dyDescent="0.25">
      <c r="A7537" s="5" t="str">
        <f>"h0022386"</f>
        <v>h0022386</v>
      </c>
      <c r="B7537" s="5" t="str">
        <f t="shared" si="358"/>
        <v>PARLANTES PARA LLAMADO DE AUDIO DE PACIENTES Y SONIDO AMBIENTAL (30 MGWATTS)</v>
      </c>
      <c r="C7537" s="6">
        <v>350000</v>
      </c>
      <c r="D7537" s="5" t="s">
        <v>350</v>
      </c>
      <c r="E7537" s="5" t="str">
        <f t="shared" si="357"/>
        <v>URGENCIAS ADULTO-Jenny Peña</v>
      </c>
      <c r="F7537" s="5"/>
      <c r="G7537" s="5"/>
    </row>
    <row r="7538" spans="1:7" ht="58.5" customHeight="1" x14ac:dyDescent="0.25">
      <c r="A7538" s="5" t="str">
        <f>"H0022387"</f>
        <v>H0022387</v>
      </c>
      <c r="B7538" s="5" t="str">
        <f t="shared" si="358"/>
        <v>PARLANTES PARA LLAMADO DE AUDIO DE PACIENTES Y SONIDO AMBIENTAL (30 MGWATTS)</v>
      </c>
      <c r="C7538" s="6">
        <v>350000</v>
      </c>
      <c r="D7538" s="5" t="s">
        <v>454</v>
      </c>
      <c r="E7538" s="5" t="str">
        <f t="shared" si="357"/>
        <v>URGENCIAS ADULTO-Jenny Peña</v>
      </c>
      <c r="F7538" s="5"/>
      <c r="G7538" s="5"/>
    </row>
    <row r="7539" spans="1:7" ht="58.5" customHeight="1" x14ac:dyDescent="0.25">
      <c r="A7539" s="5" t="str">
        <f>"H0022388"</f>
        <v>H0022388</v>
      </c>
      <c r="B7539" s="5" t="str">
        <f t="shared" si="358"/>
        <v>PARLANTES PARA LLAMADO DE AUDIO DE PACIENTES Y SONIDO AMBIENTAL (30 MGWATTS)</v>
      </c>
      <c r="C7539" s="6">
        <v>350000</v>
      </c>
      <c r="D7539" s="5" t="s">
        <v>350</v>
      </c>
      <c r="E7539" s="5" t="str">
        <f t="shared" si="357"/>
        <v>URGENCIAS ADULTO-Jenny Peña</v>
      </c>
      <c r="F7539" s="5"/>
      <c r="G7539" s="5"/>
    </row>
    <row r="7540" spans="1:7" ht="58.5" customHeight="1" x14ac:dyDescent="0.25">
      <c r="A7540" s="5" t="str">
        <f>"H0022389"</f>
        <v>H0022389</v>
      </c>
      <c r="B7540" s="5" t="str">
        <f>"PANTALLA LLAMADO DE ENFERMERAS 2 FILAS (PANTALLA LED 40X20 cm)"</f>
        <v>PANTALLA LLAMADO DE ENFERMERAS 2 FILAS (PANTALLA LED 40X20 cm)</v>
      </c>
      <c r="C7540" s="6">
        <v>4100000</v>
      </c>
      <c r="D7540" s="5" t="s">
        <v>350</v>
      </c>
      <c r="E7540" s="5" t="str">
        <f t="shared" si="357"/>
        <v>URGENCIAS ADULTO-Jenny Peña</v>
      </c>
      <c r="F7540" s="5"/>
      <c r="G7540" s="5"/>
    </row>
    <row r="7541" spans="1:7" ht="58.5" customHeight="1" x14ac:dyDescent="0.25">
      <c r="A7541" s="5" t="str">
        <f>"H0022390"</f>
        <v>H0022390</v>
      </c>
      <c r="B7541" s="5" t="str">
        <f>"UPS 300 VA"</f>
        <v>UPS 300 VA</v>
      </c>
      <c r="C7541" s="6">
        <v>350000</v>
      </c>
      <c r="D7541" s="5" t="s">
        <v>350</v>
      </c>
      <c r="E7541" s="5" t="str">
        <f t="shared" si="357"/>
        <v>URGENCIAS ADULTO-Jenny Peña</v>
      </c>
      <c r="F7541" s="5"/>
      <c r="G7541" s="5"/>
    </row>
    <row r="7542" spans="1:7" ht="58.5" customHeight="1" x14ac:dyDescent="0.25">
      <c r="A7542" s="5" t="str">
        <f>"H0022421"</f>
        <v>H0022421</v>
      </c>
      <c r="B7542" s="5" t="str">
        <f t="shared" ref="B7542:B7549" si="359">"MARTILLO DE REFLEJOS"</f>
        <v>MARTILLO DE REFLEJOS</v>
      </c>
      <c r="C7542" s="6">
        <v>18505.48</v>
      </c>
      <c r="D7542" s="5" t="s">
        <v>455</v>
      </c>
      <c r="E7542" s="5" t="str">
        <f t="shared" si="357"/>
        <v>URGENCIAS ADULTO-Jenny Peña</v>
      </c>
      <c r="F7542" s="5"/>
      <c r="G7542" s="5"/>
    </row>
    <row r="7543" spans="1:7" ht="58.5" customHeight="1" x14ac:dyDescent="0.25">
      <c r="A7543" s="5" t="str">
        <f>"H0022422"</f>
        <v>H0022422</v>
      </c>
      <c r="B7543" s="5" t="str">
        <f t="shared" si="359"/>
        <v>MARTILLO DE REFLEJOS</v>
      </c>
      <c r="C7543" s="6">
        <v>18505.48</v>
      </c>
      <c r="D7543" s="5" t="s">
        <v>455</v>
      </c>
      <c r="E7543" s="5" t="str">
        <f t="shared" si="357"/>
        <v>URGENCIAS ADULTO-Jenny Peña</v>
      </c>
      <c r="F7543" s="5"/>
      <c r="G7543" s="5"/>
    </row>
    <row r="7544" spans="1:7" ht="58.5" customHeight="1" x14ac:dyDescent="0.25">
      <c r="A7544" s="5" t="str">
        <f>"H0022423"</f>
        <v>H0022423</v>
      </c>
      <c r="B7544" s="5" t="str">
        <f t="shared" si="359"/>
        <v>MARTILLO DE REFLEJOS</v>
      </c>
      <c r="C7544" s="6">
        <v>18505.48</v>
      </c>
      <c r="D7544" s="5" t="s">
        <v>455</v>
      </c>
      <c r="E7544" s="5" t="str">
        <f t="shared" si="357"/>
        <v>URGENCIAS ADULTO-Jenny Peña</v>
      </c>
      <c r="F7544" s="5"/>
      <c r="G7544" s="5"/>
    </row>
    <row r="7545" spans="1:7" ht="58.5" customHeight="1" x14ac:dyDescent="0.25">
      <c r="A7545" s="5" t="str">
        <f>"H0022424"</f>
        <v>H0022424</v>
      </c>
      <c r="B7545" s="5" t="str">
        <f t="shared" si="359"/>
        <v>MARTILLO DE REFLEJOS</v>
      </c>
      <c r="C7545" s="6">
        <v>18505.48</v>
      </c>
      <c r="D7545" s="5" t="s">
        <v>456</v>
      </c>
      <c r="E7545" s="5" t="str">
        <f t="shared" si="357"/>
        <v>URGENCIAS ADULTO-Jenny Peña</v>
      </c>
      <c r="F7545" s="5"/>
      <c r="G7545" s="5"/>
    </row>
    <row r="7546" spans="1:7" ht="58.5" customHeight="1" x14ac:dyDescent="0.25">
      <c r="A7546" s="5" t="str">
        <f>"H0022425"</f>
        <v>H0022425</v>
      </c>
      <c r="B7546" s="5" t="str">
        <f t="shared" si="359"/>
        <v>MARTILLO DE REFLEJOS</v>
      </c>
      <c r="C7546" s="6">
        <v>18505.48</v>
      </c>
      <c r="D7546" s="5" t="s">
        <v>456</v>
      </c>
      <c r="E7546" s="5" t="str">
        <f t="shared" si="357"/>
        <v>URGENCIAS ADULTO-Jenny Peña</v>
      </c>
      <c r="F7546" s="5"/>
      <c r="G7546" s="5"/>
    </row>
    <row r="7547" spans="1:7" ht="58.5" customHeight="1" x14ac:dyDescent="0.25">
      <c r="A7547" s="5" t="str">
        <f>"H0022426"</f>
        <v>H0022426</v>
      </c>
      <c r="B7547" s="5" t="str">
        <f t="shared" si="359"/>
        <v>MARTILLO DE REFLEJOS</v>
      </c>
      <c r="C7547" s="6">
        <v>18505.48</v>
      </c>
      <c r="D7547" s="5" t="s">
        <v>455</v>
      </c>
      <c r="E7547" s="5" t="str">
        <f t="shared" si="357"/>
        <v>URGENCIAS ADULTO-Jenny Peña</v>
      </c>
      <c r="F7547" s="5"/>
      <c r="G7547" s="5"/>
    </row>
    <row r="7548" spans="1:7" ht="58.5" customHeight="1" x14ac:dyDescent="0.25">
      <c r="A7548" s="5" t="str">
        <f>"H0022427"</f>
        <v>H0022427</v>
      </c>
      <c r="B7548" s="5" t="str">
        <f t="shared" si="359"/>
        <v>MARTILLO DE REFLEJOS</v>
      </c>
      <c r="C7548" s="6">
        <v>18505.48</v>
      </c>
      <c r="D7548" s="5" t="s">
        <v>457</v>
      </c>
      <c r="E7548" s="5" t="str">
        <f t="shared" si="357"/>
        <v>URGENCIAS ADULTO-Jenny Peña</v>
      </c>
      <c r="F7548" s="5"/>
      <c r="G7548" s="5"/>
    </row>
    <row r="7549" spans="1:7" ht="58.5" customHeight="1" x14ac:dyDescent="0.25">
      <c r="A7549" s="5" t="str">
        <f>"H0022428"</f>
        <v>H0022428</v>
      </c>
      <c r="B7549" s="5" t="str">
        <f t="shared" si="359"/>
        <v>MARTILLO DE REFLEJOS</v>
      </c>
      <c r="C7549" s="6">
        <v>18505.48</v>
      </c>
      <c r="D7549" s="5" t="s">
        <v>455</v>
      </c>
      <c r="E7549" s="5" t="str">
        <f t="shared" si="357"/>
        <v>URGENCIAS ADULTO-Jenny Peña</v>
      </c>
      <c r="F7549" s="5"/>
      <c r="G7549" s="5"/>
    </row>
    <row r="7550" spans="1:7" ht="58.5" customHeight="1" x14ac:dyDescent="0.25">
      <c r="A7550" s="5" t="str">
        <f>"H0022435"</f>
        <v>H0022435</v>
      </c>
      <c r="B7550" s="5" t="str">
        <f>"TERMOMETRO + FONENDOSCOPIO ADULTO"</f>
        <v>TERMOMETRO + FONENDOSCOPIO ADULTO</v>
      </c>
      <c r="C7550" s="6">
        <v>104400</v>
      </c>
      <c r="D7550" s="5" t="s">
        <v>455</v>
      </c>
      <c r="E7550" s="5" t="str">
        <f t="shared" si="357"/>
        <v>URGENCIAS ADULTO-Jenny Peña</v>
      </c>
      <c r="F7550" s="5"/>
      <c r="G7550" s="5"/>
    </row>
    <row r="7551" spans="1:7" ht="58.5" customHeight="1" x14ac:dyDescent="0.25">
      <c r="A7551" s="5" t="str">
        <f>"H0022436"</f>
        <v>H0022436</v>
      </c>
      <c r="B7551" s="5" t="str">
        <f>"TERMOMETRO + FONENDOSCOPIO ADULTO"</f>
        <v>TERMOMETRO + FONENDOSCOPIO ADULTO</v>
      </c>
      <c r="C7551" s="6">
        <v>104400</v>
      </c>
      <c r="D7551" s="5" t="s">
        <v>455</v>
      </c>
      <c r="E7551" s="5" t="str">
        <f t="shared" si="357"/>
        <v>URGENCIAS ADULTO-Jenny Peña</v>
      </c>
      <c r="F7551" s="5"/>
      <c r="G7551" s="5"/>
    </row>
    <row r="7552" spans="1:7" ht="58.5" customHeight="1" x14ac:dyDescent="0.25">
      <c r="A7552" s="5" t="str">
        <f>"H0022443"</f>
        <v>H0022443</v>
      </c>
      <c r="B7552" s="5" t="str">
        <f t="shared" ref="B7552:B7559" si="360">"LINTERNA PARA CONSULTORIO"</f>
        <v>LINTERNA PARA CONSULTORIO</v>
      </c>
      <c r="C7552" s="6">
        <v>23200</v>
      </c>
      <c r="D7552" s="5" t="s">
        <v>455</v>
      </c>
      <c r="E7552" s="5" t="str">
        <f t="shared" si="357"/>
        <v>URGENCIAS ADULTO-Jenny Peña</v>
      </c>
      <c r="F7552" s="5"/>
      <c r="G7552" s="5"/>
    </row>
    <row r="7553" spans="1:7" ht="58.5" customHeight="1" x14ac:dyDescent="0.25">
      <c r="A7553" s="5" t="str">
        <f>"H0022444"</f>
        <v>H0022444</v>
      </c>
      <c r="B7553" s="5" t="str">
        <f t="shared" si="360"/>
        <v>LINTERNA PARA CONSULTORIO</v>
      </c>
      <c r="C7553" s="6">
        <v>23200</v>
      </c>
      <c r="D7553" s="5" t="s">
        <v>455</v>
      </c>
      <c r="E7553" s="5" t="str">
        <f t="shared" si="357"/>
        <v>URGENCIAS ADULTO-Jenny Peña</v>
      </c>
      <c r="F7553" s="5"/>
      <c r="G7553" s="5"/>
    </row>
    <row r="7554" spans="1:7" ht="58.5" customHeight="1" x14ac:dyDescent="0.25">
      <c r="A7554" s="5" t="str">
        <f>"H0022445"</f>
        <v>H0022445</v>
      </c>
      <c r="B7554" s="5" t="str">
        <f t="shared" si="360"/>
        <v>LINTERNA PARA CONSULTORIO</v>
      </c>
      <c r="C7554" s="6">
        <v>23200</v>
      </c>
      <c r="D7554" s="5" t="s">
        <v>455</v>
      </c>
      <c r="E7554" s="5" t="str">
        <f t="shared" si="357"/>
        <v>URGENCIAS ADULTO-Jenny Peña</v>
      </c>
      <c r="F7554" s="5"/>
      <c r="G7554" s="5"/>
    </row>
    <row r="7555" spans="1:7" ht="58.5" customHeight="1" x14ac:dyDescent="0.25">
      <c r="A7555" s="5" t="str">
        <f>"H0022446"</f>
        <v>H0022446</v>
      </c>
      <c r="B7555" s="5" t="str">
        <f t="shared" si="360"/>
        <v>LINTERNA PARA CONSULTORIO</v>
      </c>
      <c r="C7555" s="6">
        <v>23200</v>
      </c>
      <c r="D7555" s="5" t="s">
        <v>455</v>
      </c>
      <c r="E7555" s="5" t="str">
        <f t="shared" si="357"/>
        <v>URGENCIAS ADULTO-Jenny Peña</v>
      </c>
      <c r="F7555" s="5"/>
      <c r="G7555" s="5"/>
    </row>
    <row r="7556" spans="1:7" ht="58.5" customHeight="1" x14ac:dyDescent="0.25">
      <c r="A7556" s="5" t="str">
        <f>"H0022447"</f>
        <v>H0022447</v>
      </c>
      <c r="B7556" s="5" t="str">
        <f t="shared" si="360"/>
        <v>LINTERNA PARA CONSULTORIO</v>
      </c>
      <c r="C7556" s="6">
        <v>23200</v>
      </c>
      <c r="D7556" s="5" t="s">
        <v>455</v>
      </c>
      <c r="E7556" s="5" t="str">
        <f t="shared" si="357"/>
        <v>URGENCIAS ADULTO-Jenny Peña</v>
      </c>
      <c r="F7556" s="5"/>
      <c r="G7556" s="5"/>
    </row>
    <row r="7557" spans="1:7" ht="58.5" customHeight="1" x14ac:dyDescent="0.25">
      <c r="A7557" s="5" t="str">
        <f>"H0022448"</f>
        <v>H0022448</v>
      </c>
      <c r="B7557" s="5" t="str">
        <f t="shared" si="360"/>
        <v>LINTERNA PARA CONSULTORIO</v>
      </c>
      <c r="C7557" s="6">
        <v>23200</v>
      </c>
      <c r="D7557" s="5" t="s">
        <v>455</v>
      </c>
      <c r="E7557" s="5" t="str">
        <f t="shared" si="357"/>
        <v>URGENCIAS ADULTO-Jenny Peña</v>
      </c>
      <c r="F7557" s="5"/>
      <c r="G7557" s="5"/>
    </row>
    <row r="7558" spans="1:7" ht="58.5" customHeight="1" x14ac:dyDescent="0.25">
      <c r="A7558" s="5" t="str">
        <f>"H0022449"</f>
        <v>H0022449</v>
      </c>
      <c r="B7558" s="5" t="str">
        <f t="shared" si="360"/>
        <v>LINTERNA PARA CONSULTORIO</v>
      </c>
      <c r="C7558" s="6">
        <v>23200</v>
      </c>
      <c r="D7558" s="5" t="s">
        <v>455</v>
      </c>
      <c r="E7558" s="5" t="str">
        <f t="shared" si="357"/>
        <v>URGENCIAS ADULTO-Jenny Peña</v>
      </c>
      <c r="F7558" s="5"/>
      <c r="G7558" s="5"/>
    </row>
    <row r="7559" spans="1:7" ht="58.5" customHeight="1" x14ac:dyDescent="0.25">
      <c r="A7559" s="5" t="str">
        <f>"H0022450"</f>
        <v>H0022450</v>
      </c>
      <c r="B7559" s="5" t="str">
        <f t="shared" si="360"/>
        <v>LINTERNA PARA CONSULTORIO</v>
      </c>
      <c r="C7559" s="6">
        <v>23200</v>
      </c>
      <c r="D7559" s="5" t="s">
        <v>455</v>
      </c>
      <c r="E7559" s="5" t="str">
        <f t="shared" si="357"/>
        <v>URGENCIAS ADULTO-Jenny Peña</v>
      </c>
      <c r="F7559" s="5"/>
      <c r="G7559" s="5"/>
    </row>
    <row r="7560" spans="1:7" ht="58.5" customHeight="1" x14ac:dyDescent="0.25">
      <c r="A7560" s="5" t="str">
        <f>"H0022526"</f>
        <v>H0022526</v>
      </c>
      <c r="B7560" s="5" t="str">
        <f t="shared" ref="B7560:B7573" si="361">"SILLA PLASTICA CON BRAZOS"</f>
        <v>SILLA PLASTICA CON BRAZOS</v>
      </c>
      <c r="C7560" s="6">
        <v>17000</v>
      </c>
      <c r="D7560" s="5"/>
      <c r="E7560" s="5" t="str">
        <f t="shared" si="357"/>
        <v>URGENCIAS ADULTO-Jenny Peña</v>
      </c>
      <c r="F7560" s="5" t="str">
        <f>"Descripcion:SILLA PLASTICA Estado: Bueno Placa anterior: 000022830 Material: PLASTICA Color: BLANCA Referencia:  Observacion:  Placa padre:  Tipo adquisicion : Donacion"</f>
        <v>Descripcion:SILLA PLASTICA Estado: Bueno Placa anterior: 000022830 Material: PLASTICA Color: BLANCA Referencia:  Observacion:  Placa padre:  Tipo adquisicion : Donacion</v>
      </c>
      <c r="G7560" s="5"/>
    </row>
    <row r="7561" spans="1:7" ht="58.5" customHeight="1" x14ac:dyDescent="0.25">
      <c r="A7561" s="5" t="str">
        <f>"H0022527"</f>
        <v>H0022527</v>
      </c>
      <c r="B7561" s="5" t="str">
        <f t="shared" si="361"/>
        <v>SILLA PLASTICA CON BRAZOS</v>
      </c>
      <c r="C7561" s="6">
        <v>12198</v>
      </c>
      <c r="D7561" s="5"/>
      <c r="E7561" s="5" t="str">
        <f t="shared" si="357"/>
        <v>URGENCIAS ADULTO-Jenny Peña</v>
      </c>
      <c r="F7561" s="5" t="str">
        <f>"Descripcion:SILLA PLASTICA BLANCA Estado: Bueno Placa anterior: 000018377 Material: PLASTICO Color: BLANCA Referencia:  Observacion:  Placa padre:  Tipo adquisicion : Entidad"</f>
        <v>Descripcion:SILLA PLASTICA BLANCA Estado: Bueno Placa anterior: 000018377 Material: PLASTICO Color: BLANCA Referencia:  Observacion:  Placa padre:  Tipo adquisicion : Entidad</v>
      </c>
      <c r="G7561" s="5"/>
    </row>
    <row r="7562" spans="1:7" ht="58.5" customHeight="1" x14ac:dyDescent="0.25">
      <c r="A7562" s="5" t="str">
        <f>"H0022528"</f>
        <v>H0022528</v>
      </c>
      <c r="B7562" s="5" t="str">
        <f t="shared" si="361"/>
        <v>SILLA PLASTICA CON BRAZOS</v>
      </c>
      <c r="C7562" s="6">
        <v>12240.32</v>
      </c>
      <c r="D7562" s="5"/>
      <c r="E7562" s="5" t="str">
        <f t="shared" si="357"/>
        <v>URGENCIAS ADULTO-Jenny Peña</v>
      </c>
      <c r="F7562" s="5" t="str">
        <f>"Descripcion:SILLA PLASTICA BLANCA Estado: Bueno Placa anterior: 000023679 Material: PLASTICO Color: BLANCO Referencia:  Observacion:  Placa padre:  Tipo adquisicion : Entidad"</f>
        <v>Descripcion:SILLA PLASTICA BLANCA Estado: Bueno Placa anterior: 000023679 Material: PLASTICO Color: BLANCO Referencia:  Observacion:  Placa padre:  Tipo adquisicion : Entidad</v>
      </c>
      <c r="G7562" s="5"/>
    </row>
    <row r="7563" spans="1:7" ht="58.5" customHeight="1" x14ac:dyDescent="0.25">
      <c r="A7563" s="5" t="str">
        <f>"H0022529"</f>
        <v>H0022529</v>
      </c>
      <c r="B7563" s="5" t="str">
        <f t="shared" si="361"/>
        <v>SILLA PLASTICA CON BRAZOS</v>
      </c>
      <c r="C7563" s="6">
        <v>12198</v>
      </c>
      <c r="D7563" s="5"/>
      <c r="E7563" s="5" t="str">
        <f t="shared" si="357"/>
        <v>URGENCIAS ADULTO-Jenny Peña</v>
      </c>
      <c r="F7563" s="5" t="str">
        <f>"Descripcion:SILLA PLASTICA BLANCA Estado: Bueno Placa anterior: 000018393 Material: PLASTICO Color: BLANCO Referencia:  Observacion:  Placa padre:  Tipo adquisicion : Entidad"</f>
        <v>Descripcion:SILLA PLASTICA BLANCA Estado: Bueno Placa anterior: 000018393 Material: PLASTICO Color: BLANCO Referencia:  Observacion:  Placa padre:  Tipo adquisicion : Entidad</v>
      </c>
      <c r="G7563" s="5"/>
    </row>
    <row r="7564" spans="1:7" ht="58.5" customHeight="1" x14ac:dyDescent="0.25">
      <c r="A7564" s="5" t="str">
        <f>"H0022530"</f>
        <v>H0022530</v>
      </c>
      <c r="B7564" s="5" t="str">
        <f t="shared" si="361"/>
        <v>SILLA PLASTICA CON BRAZOS</v>
      </c>
      <c r="C7564" s="6">
        <v>12198</v>
      </c>
      <c r="D7564" s="5"/>
      <c r="E7564" s="5" t="str">
        <f t="shared" si="357"/>
        <v>URGENCIAS ADULTO-Jenny Peña</v>
      </c>
      <c r="F7564" s="5" t="str">
        <f>"Descripcion:SILLA PLASTICA BLANCA Estado: Bueno Placa anterior: 000018380 Material: PLASTICO Color: BLANCO Referencia:  Observacion:  Placa padre:  Tipo adquisicion : Entidad"</f>
        <v>Descripcion:SILLA PLASTICA BLANCA Estado: Bueno Placa anterior: 000018380 Material: PLASTICO Color: BLANCO Referencia:  Observacion:  Placa padre:  Tipo adquisicion : Entidad</v>
      </c>
      <c r="G7564" s="5"/>
    </row>
    <row r="7565" spans="1:7" ht="58.5" customHeight="1" x14ac:dyDescent="0.25">
      <c r="A7565" s="5" t="str">
        <f>"H0022531"</f>
        <v>H0022531</v>
      </c>
      <c r="B7565" s="5" t="str">
        <f t="shared" si="361"/>
        <v>SILLA PLASTICA CON BRAZOS</v>
      </c>
      <c r="C7565" s="6">
        <v>1911.36</v>
      </c>
      <c r="D7565" s="5"/>
      <c r="E7565" s="5" t="str">
        <f t="shared" si="357"/>
        <v>URGENCIAS ADULTO-Jenny Peña</v>
      </c>
      <c r="F7565" s="5" t="str">
        <f>"Descripcion:SILLA PLASTICA BLANCA Estado: Bueno Placa anterior: 000023697 Material: PLASTICO Color: BLANCO Referencia:  Observacion:  Placa padre:  Tipo adquisicion : Entidad"</f>
        <v>Descripcion:SILLA PLASTICA BLANCA Estado: Bueno Placa anterior: 000023697 Material: PLASTICO Color: BLANCO Referencia:  Observacion:  Placa padre:  Tipo adquisicion : Entidad</v>
      </c>
      <c r="G7565" s="5"/>
    </row>
    <row r="7566" spans="1:7" ht="58.5" customHeight="1" x14ac:dyDescent="0.25">
      <c r="A7566" s="5" t="str">
        <f>"H0022533"</f>
        <v>H0022533</v>
      </c>
      <c r="B7566" s="5" t="str">
        <f t="shared" si="361"/>
        <v>SILLA PLASTICA CON BRAZOS</v>
      </c>
      <c r="C7566" s="6">
        <v>12198</v>
      </c>
      <c r="D7566" s="5"/>
      <c r="E7566" s="5" t="str">
        <f t="shared" si="357"/>
        <v>URGENCIAS ADULTO-Jenny Peña</v>
      </c>
      <c r="F7566" s="5" t="str">
        <f>"Descripcion:SILLA PLASTICA BLANCA Estado: Bueno Placa anterior: 000018387 Material: PLASTICO Color: BLANCO Referencia:  Observacion:  Placa padre:  Tipo adquisicion : Entidad"</f>
        <v>Descripcion:SILLA PLASTICA BLANCA Estado: Bueno Placa anterior: 000018387 Material: PLASTICO Color: BLANCO Referencia:  Observacion:  Placa padre:  Tipo adquisicion : Entidad</v>
      </c>
      <c r="G7566" s="5"/>
    </row>
    <row r="7567" spans="1:7" ht="58.5" customHeight="1" x14ac:dyDescent="0.25">
      <c r="A7567" s="5" t="str">
        <f>"H0022535"</f>
        <v>H0022535</v>
      </c>
      <c r="B7567" s="5" t="str">
        <f t="shared" si="361"/>
        <v>SILLA PLASTICA CON BRAZOS</v>
      </c>
      <c r="C7567" s="6">
        <v>12240.32</v>
      </c>
      <c r="D7567" s="5"/>
      <c r="E7567" s="5" t="str">
        <f t="shared" si="357"/>
        <v>URGENCIAS ADULTO-Jenny Peña</v>
      </c>
      <c r="F7567" s="5" t="str">
        <f>"Descripcion:SILLA PLASTICA BLANCA Estado: Bueno Placa anterior: 000024278 Material: PLASTICO Color: BLANCO Referencia:  Observacion:  Placa padre:  Tipo adquisicion : Entidad"</f>
        <v>Descripcion:SILLA PLASTICA BLANCA Estado: Bueno Placa anterior: 000024278 Material: PLASTICO Color: BLANCO Referencia:  Observacion:  Placa padre:  Tipo adquisicion : Entidad</v>
      </c>
      <c r="G7567" s="5"/>
    </row>
    <row r="7568" spans="1:7" ht="58.5" customHeight="1" x14ac:dyDescent="0.25">
      <c r="A7568" s="5" t="str">
        <f>"H0022536"</f>
        <v>H0022536</v>
      </c>
      <c r="B7568" s="5" t="str">
        <f t="shared" si="361"/>
        <v>SILLA PLASTICA CON BRAZOS</v>
      </c>
      <c r="C7568" s="6">
        <v>12240.32</v>
      </c>
      <c r="D7568" s="5"/>
      <c r="E7568" s="5" t="str">
        <f t="shared" si="357"/>
        <v>URGENCIAS ADULTO-Jenny Peña</v>
      </c>
      <c r="F7568" s="5" t="str">
        <f>"Descripcion:SILLA PLASTICA BLANCA Estado: Bueno Placa anterior: 000023595 Material: PLASTICO Color: BLANCO Referencia:  Observacion:  Placa padre:  Tipo adquisicion : Entidad"</f>
        <v>Descripcion:SILLA PLASTICA BLANCA Estado: Bueno Placa anterior: 000023595 Material: PLASTICO Color: BLANCO Referencia:  Observacion:  Placa padre:  Tipo adquisicion : Entidad</v>
      </c>
      <c r="G7568" s="5"/>
    </row>
    <row r="7569" spans="1:7" ht="58.5" customHeight="1" x14ac:dyDescent="0.25">
      <c r="A7569" s="5" t="str">
        <f>"H0022537"</f>
        <v>H0022537</v>
      </c>
      <c r="B7569" s="5" t="str">
        <f t="shared" si="361"/>
        <v>SILLA PLASTICA CON BRAZOS</v>
      </c>
      <c r="C7569" s="6">
        <v>12240.32</v>
      </c>
      <c r="D7569" s="5"/>
      <c r="E7569" s="5" t="str">
        <f t="shared" si="357"/>
        <v>URGENCIAS ADULTO-Jenny Peña</v>
      </c>
      <c r="F7569" s="5" t="str">
        <f>"Descripcion:SILLA PLASTICA BLANCA Estado: Bueno Placa anterior: 000023611 Material: PLASTICO Color: BLANCO Referencia:  Observacion:  Placa padre:  Tipo adquisicion : Entidad"</f>
        <v>Descripcion:SILLA PLASTICA BLANCA Estado: Bueno Placa anterior: 000023611 Material: PLASTICO Color: BLANCO Referencia:  Observacion:  Placa padre:  Tipo adquisicion : Entidad</v>
      </c>
      <c r="G7569" s="5"/>
    </row>
    <row r="7570" spans="1:7" ht="58.5" customHeight="1" x14ac:dyDescent="0.25">
      <c r="A7570" s="5" t="str">
        <f>"H0022539"</f>
        <v>H0022539</v>
      </c>
      <c r="B7570" s="5" t="str">
        <f t="shared" si="361"/>
        <v>SILLA PLASTICA CON BRAZOS</v>
      </c>
      <c r="C7570" s="6">
        <v>1911.36</v>
      </c>
      <c r="D7570" s="5"/>
      <c r="E7570" s="5" t="str">
        <f t="shared" si="357"/>
        <v>URGENCIAS ADULTO-Jenny Peña</v>
      </c>
      <c r="F7570" s="5" t="str">
        <f>"Descripcion:SILLA PLASTICA BLANCA Estado: Bueno Placa anterior: 000023578 Material: PLASTICO Color: BLANCO Referencia:  Observacion:  Placa padre:  Tipo adquisicion : Entidad"</f>
        <v>Descripcion:SILLA PLASTICA BLANCA Estado: Bueno Placa anterior: 000023578 Material: PLASTICO Color: BLANCO Referencia:  Observacion:  Placa padre:  Tipo adquisicion : Entidad</v>
      </c>
      <c r="G7570" s="5"/>
    </row>
    <row r="7571" spans="1:7" ht="58.5" customHeight="1" x14ac:dyDescent="0.25">
      <c r="A7571" s="5" t="str">
        <f>"H0022541"</f>
        <v>H0022541</v>
      </c>
      <c r="B7571" s="5" t="str">
        <f t="shared" si="361"/>
        <v>SILLA PLASTICA CON BRAZOS</v>
      </c>
      <c r="C7571" s="6">
        <v>12240.32</v>
      </c>
      <c r="D7571" s="5"/>
      <c r="E7571" s="5" t="str">
        <f t="shared" si="357"/>
        <v>URGENCIAS ADULTO-Jenny Peña</v>
      </c>
      <c r="F7571" s="5" t="str">
        <f>"Descripcion:SILLA PLASTICA BLANCA Estado: Bueno Placa anterior: 000024347 Material: PLASTICO Color: BLANCO Referencia:  Observacion:  Placa padre:  Tipo adquisicion : Entidad"</f>
        <v>Descripcion:SILLA PLASTICA BLANCA Estado: Bueno Placa anterior: 000024347 Material: PLASTICO Color: BLANCO Referencia:  Observacion:  Placa padre:  Tipo adquisicion : Entidad</v>
      </c>
      <c r="G7571" s="5"/>
    </row>
    <row r="7572" spans="1:7" ht="58.5" customHeight="1" x14ac:dyDescent="0.25">
      <c r="A7572" s="5" t="str">
        <f>"H0022543"</f>
        <v>H0022543</v>
      </c>
      <c r="B7572" s="5" t="str">
        <f t="shared" si="361"/>
        <v>SILLA PLASTICA CON BRAZOS</v>
      </c>
      <c r="C7572" s="6">
        <v>1911.36</v>
      </c>
      <c r="D7572" s="5"/>
      <c r="E7572" s="5" t="str">
        <f t="shared" si="357"/>
        <v>URGENCIAS ADULTO-Jenny Peña</v>
      </c>
      <c r="F7572" s="5" t="str">
        <f>"Descripcion:SILLA PLASTICA BLANCA Estado: Bueno Placa anterior: 000023696 Material: PLASTICO Color: BLANCO Referencia:  Observacion:  Placa padre:  Tipo adquisicion : Entidad"</f>
        <v>Descripcion:SILLA PLASTICA BLANCA Estado: Bueno Placa anterior: 000023696 Material: PLASTICO Color: BLANCO Referencia:  Observacion:  Placa padre:  Tipo adquisicion : Entidad</v>
      </c>
      <c r="G7572" s="5"/>
    </row>
    <row r="7573" spans="1:7" ht="58.5" customHeight="1" x14ac:dyDescent="0.25">
      <c r="A7573" s="5" t="str">
        <f>"H0022592"</f>
        <v>H0022592</v>
      </c>
      <c r="B7573" s="5" t="str">
        <f t="shared" si="361"/>
        <v>SILLA PLASTICA CON BRAZOS</v>
      </c>
      <c r="C7573" s="6">
        <v>19900</v>
      </c>
      <c r="D7573" s="5" t="s">
        <v>165</v>
      </c>
      <c r="E7573" s="5" t="str">
        <f t="shared" si="357"/>
        <v>URGENCIAS ADULTO-Jenny Peña</v>
      </c>
      <c r="F7573" s="5" t="str">
        <f>"Descripcion:SILLAS PLASTICAS MARCA RIMAX Estado: Bueno Placa anterior: 000032535 Material: PASTA Color: BLANCA Referencia:  Observacion:  Placa padre:  Tipo adquisicion : Donacion"</f>
        <v>Descripcion:SILLAS PLASTICAS MARCA RIMAX Estado: Bueno Placa anterior: 000032535 Material: PASTA Color: BLANCA Referencia:  Observacion:  Placa padre:  Tipo adquisicion : Donacion</v>
      </c>
      <c r="G7573" s="5"/>
    </row>
    <row r="7574" spans="1:7" ht="58.5" customHeight="1" x14ac:dyDescent="0.25">
      <c r="A7574" s="5" t="str">
        <f>"H0022735"</f>
        <v>H0022735</v>
      </c>
      <c r="B7574" s="5" t="str">
        <f>"TIJERA DE 8  USO OFICINA"</f>
        <v>TIJERA DE 8  USO OFICINA</v>
      </c>
      <c r="C7574" s="6">
        <v>1400</v>
      </c>
      <c r="D7574" s="5"/>
      <c r="E7574" s="5" t="str">
        <f t="shared" si="357"/>
        <v>URGENCIAS ADULTO-Jenny Peña</v>
      </c>
      <c r="F7574" s="5" t="str">
        <f>"Descripcion: TIJERA GRANDE PARA CORTAS PAPEL Estado: Bueno Placa anterior: 000020167 Material: PASTA Y METAL Color: PLATEADO Referencia:  Observacion:  Placa padre: Tipo adquisicion: Entidad"</f>
        <v>Descripcion: TIJERA GRANDE PARA CORTAS PAPEL Estado: Bueno Placa anterior: 000020167 Material: PASTA Y METAL Color: PLATEADO Referencia:  Observacion:  Placa padre: Tipo adquisicion: Entidad</v>
      </c>
      <c r="G7574" s="5"/>
    </row>
    <row r="7575" spans="1:7" ht="58.5" customHeight="1" x14ac:dyDescent="0.25">
      <c r="A7575" s="5" t="str">
        <f>"H0024005"</f>
        <v>H0024005</v>
      </c>
      <c r="B7575" s="5" t="str">
        <f>"CAMILLA DE TRASLADO CON BARANDAS"</f>
        <v>CAMILLA DE TRASLADO CON BARANDAS</v>
      </c>
      <c r="C7575" s="6">
        <v>1066050</v>
      </c>
      <c r="D7575" s="5"/>
      <c r="E7575" s="5" t="str">
        <f t="shared" si="357"/>
        <v>URGENCIAS ADULTO-Jenny Peña</v>
      </c>
      <c r="F7575" s="5" t="str">
        <f>"Descripcion:CAMILLA DERECUPERACION Estado: Malo Placa anterior: 000028661 Material: METALICA Color:  Referencia:  Observacion: PASAR A ELEMENTOS PARA DAR DE BAJA   Placa padre:  Tipo adquisicion : Entidad"</f>
        <v>Descripcion:CAMILLA DERECUPERACION Estado: Malo Placa anterior: 000028661 Material: METALICA Color:  Referencia:  Observacion: PASAR A ELEMENTOS PARA DAR DE BAJA   Placa padre:  Tipo adquisicion : Entidad</v>
      </c>
      <c r="G7575" s="5"/>
    </row>
    <row r="7576" spans="1:7" ht="58.5" customHeight="1" x14ac:dyDescent="0.25">
      <c r="A7576" s="5" t="str">
        <f>"H0024035"</f>
        <v>H0024035</v>
      </c>
      <c r="B7576" s="5" t="str">
        <f>"CAMILLA DE TRASLADO DE 2 PLANOS"</f>
        <v>CAMILLA DE TRASLADO DE 2 PLANOS</v>
      </c>
      <c r="C7576" s="6">
        <v>1500000</v>
      </c>
      <c r="D7576" s="5"/>
      <c r="E7576" s="5" t="str">
        <f t="shared" si="357"/>
        <v>URGENCIAS ADULTO-Jenny Peña</v>
      </c>
      <c r="F7576" s="5" t="str">
        <f>"Descripcion:CAMILLA DE RECUPERACION Y TRASNPORTE DE DOS PLANOS MARCA HOSPITECH MODELO 141-04. Fabricada en tuberia redonda de 1 y 7/8 dimensiones aproximadas 183 CM de largo 63 cm de ancho 86 cm de altura dimensiones utiles 163 cm largo x57 cm de ancho. E"&amp; "stado: Malo Placa anterior: 000032789 Material: METALICA Color:  Referencia:  Observacion: PASAR A ELEMENTOS PARA DAR DE BAJA   Placa padre:  Tipo adquisicion : Entidad"</f>
        <v>Descripcion:CAMILLA DE RECUPERACION Y TRASNPORTE DE DOS PLANOS MARCA HOSPITECH MODELO 141-04. Fabricada en tuberia redonda de 1 y 7/8 dimensiones aproximadas 183 CM de largo 63 cm de ancho 86 cm de altura dimensiones utiles 163 cm largo x57 cm de ancho. Estado: Malo Placa anterior: 000032789 Material: METALICA Color:  Referencia:  Observacion: PASAR A ELEMENTOS PARA DAR DE BAJA   Placa padre:  Tipo adquisicion : Entidad</v>
      </c>
      <c r="G7576" s="5"/>
    </row>
    <row r="7577" spans="1:7" ht="58.5" customHeight="1" x14ac:dyDescent="0.25">
      <c r="A7577" s="5" t="str">
        <f>"H0024151"</f>
        <v>H0024151</v>
      </c>
      <c r="B7577" s="5" t="str">
        <f>"EXTINTORES 3700 grs DE AGENTE LIMPIO"</f>
        <v>EXTINTORES 3700 grs DE AGENTE LIMPIO</v>
      </c>
      <c r="C7577" s="6">
        <v>330000.01</v>
      </c>
      <c r="D7577" s="5" t="s">
        <v>458</v>
      </c>
      <c r="E7577" s="5" t="str">
        <f t="shared" si="357"/>
        <v>URGENCIAS ADULTO-Jenny Peña</v>
      </c>
      <c r="F7577" s="5"/>
      <c r="G7577" s="5"/>
    </row>
    <row r="7578" spans="1:7" ht="58.5" customHeight="1" x14ac:dyDescent="0.25">
      <c r="A7578" s="5" t="str">
        <f>"h0024191"</f>
        <v>h0024191</v>
      </c>
      <c r="B7578" s="5" t="str">
        <f>"CAMA ELECTRICA ADULTOS"</f>
        <v>CAMA ELECTRICA ADULTOS</v>
      </c>
      <c r="C7578" s="6">
        <v>5746930</v>
      </c>
      <c r="D7578" s="5" t="s">
        <v>36</v>
      </c>
      <c r="E7578" s="5" t="str">
        <f t="shared" si="357"/>
        <v>URGENCIAS ADULTO-Jenny Peña</v>
      </c>
      <c r="F7578" s="5"/>
      <c r="G7578" s="5"/>
    </row>
    <row r="7579" spans="1:7" ht="58.5" customHeight="1" x14ac:dyDescent="0.25">
      <c r="A7579" s="5" t="str">
        <f>"H0024494"</f>
        <v>H0024494</v>
      </c>
      <c r="B7579" s="5" t="str">
        <f>"CAMA ELECTRICA ADULTOS"</f>
        <v>CAMA ELECTRICA ADULTOS</v>
      </c>
      <c r="C7579" s="6">
        <v>5746930</v>
      </c>
      <c r="D7579" s="5" t="s">
        <v>36</v>
      </c>
      <c r="E7579" s="5" t="str">
        <f t="shared" si="357"/>
        <v>URGENCIAS ADULTO-Jenny Peña</v>
      </c>
      <c r="F7579" s="5"/>
      <c r="G7579" s="5"/>
    </row>
    <row r="7580" spans="1:7" ht="58.5" customHeight="1" x14ac:dyDescent="0.25">
      <c r="A7580" s="5" t="str">
        <f>"H0024495"</f>
        <v>H0024495</v>
      </c>
      <c r="B7580" s="5" t="str">
        <f>"CAMA ELECTRICA ADULTOS"</f>
        <v>CAMA ELECTRICA ADULTOS</v>
      </c>
      <c r="C7580" s="6">
        <v>5746930</v>
      </c>
      <c r="D7580" s="5" t="s">
        <v>36</v>
      </c>
      <c r="E7580" s="5" t="str">
        <f t="shared" si="357"/>
        <v>URGENCIAS ADULTO-Jenny Peña</v>
      </c>
      <c r="F7580" s="5"/>
      <c r="G7580" s="5"/>
    </row>
    <row r="7581" spans="1:7" ht="58.5" customHeight="1" x14ac:dyDescent="0.25">
      <c r="A7581" s="5" t="str">
        <f>"H0024551"</f>
        <v>H0024551</v>
      </c>
      <c r="B758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7581" s="6">
        <v>2600000</v>
      </c>
      <c r="D7581" s="5" t="s">
        <v>36</v>
      </c>
      <c r="E7581" s="5" t="str">
        <f t="shared" si="357"/>
        <v>URGENCIAS ADULTO-Jenny Peña</v>
      </c>
      <c r="F7581" s="5"/>
      <c r="G7581" s="5"/>
    </row>
    <row r="7582" spans="1:7" ht="58.5" customHeight="1" x14ac:dyDescent="0.25">
      <c r="A7582" s="5" t="str">
        <f>"H0024557"</f>
        <v>H0024557</v>
      </c>
      <c r="B758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7582" s="6">
        <v>2600000</v>
      </c>
      <c r="D7582" s="5" t="s">
        <v>36</v>
      </c>
      <c r="E7582" s="5" t="str">
        <f t="shared" si="357"/>
        <v>URGENCIAS ADULTO-Jenny Peña</v>
      </c>
      <c r="F7582" s="5"/>
      <c r="G7582" s="5"/>
    </row>
    <row r="7583" spans="1:7" ht="58.5" customHeight="1" x14ac:dyDescent="0.25">
      <c r="A7583" s="5" t="str">
        <f>"H0024558"</f>
        <v>H0024558</v>
      </c>
      <c r="B758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7583" s="6">
        <v>2600000</v>
      </c>
      <c r="D7583" s="5" t="s">
        <v>36</v>
      </c>
      <c r="E7583" s="5" t="str">
        <f t="shared" si="357"/>
        <v>URGENCIAS ADULTO-Jenny Peña</v>
      </c>
      <c r="F7583" s="5"/>
      <c r="G7583" s="5"/>
    </row>
    <row r="7584" spans="1:7" ht="58.5" customHeight="1" x14ac:dyDescent="0.25">
      <c r="A7584" s="5" t="str">
        <f>"H0024613"</f>
        <v>H0024613</v>
      </c>
      <c r="B7584"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7584" s="6">
        <v>2050000</v>
      </c>
      <c r="D7584" s="5" t="s">
        <v>36</v>
      </c>
      <c r="E7584" s="5" t="str">
        <f t="shared" si="357"/>
        <v>URGENCIAS ADULTO-Jenny Peña</v>
      </c>
      <c r="F7584" s="5"/>
      <c r="G7584" s="5"/>
    </row>
    <row r="7585" spans="1:7" ht="58.5" customHeight="1" x14ac:dyDescent="0.25">
      <c r="A7585" s="5" t="str">
        <f>"H0025270"</f>
        <v>H0025270</v>
      </c>
      <c r="B7585" s="5" t="s">
        <v>65</v>
      </c>
      <c r="C7585" s="6">
        <v>115394.48</v>
      </c>
      <c r="D7585" s="5" t="s">
        <v>10</v>
      </c>
      <c r="E7585" s="5" t="str">
        <f t="shared" si="357"/>
        <v>URGENCIAS ADULTO-Jenny Peña</v>
      </c>
      <c r="F7585" s="5"/>
      <c r="G7585" s="5"/>
    </row>
    <row r="7586" spans="1:7" ht="58.5" customHeight="1" x14ac:dyDescent="0.25">
      <c r="A7586" s="5" t="str">
        <f>"H0025323"</f>
        <v>H0025323</v>
      </c>
      <c r="B7586" s="5" t="str">
        <f t="shared" ref="B7586:B7594" si="362">"TELÉFONO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86" s="6">
        <v>312156</v>
      </c>
      <c r="D7586" s="5" t="s">
        <v>10</v>
      </c>
      <c r="E7586" s="5" t="str">
        <f t="shared" si="357"/>
        <v>URGENCIAS ADULTO-Jenny Peña</v>
      </c>
      <c r="F7586" s="5"/>
      <c r="G7586" s="5"/>
    </row>
    <row r="7587" spans="1:7" ht="58.5" customHeight="1" x14ac:dyDescent="0.25">
      <c r="A7587" s="5" t="str">
        <f>"H0025341"</f>
        <v>H0025341</v>
      </c>
      <c r="B7587"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87" s="6">
        <v>312156</v>
      </c>
      <c r="D7587" s="5" t="s">
        <v>10</v>
      </c>
      <c r="E7587" s="5" t="str">
        <f t="shared" si="357"/>
        <v>URGENCIAS ADULTO-Jenny Peña</v>
      </c>
      <c r="F7587" s="5"/>
      <c r="G7587" s="5"/>
    </row>
    <row r="7588" spans="1:7" ht="58.5" customHeight="1" x14ac:dyDescent="0.25">
      <c r="A7588" s="5" t="str">
        <f>"H0025349"</f>
        <v>H0025349</v>
      </c>
      <c r="B7588"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88" s="6">
        <v>312156</v>
      </c>
      <c r="D7588" s="5" t="s">
        <v>10</v>
      </c>
      <c r="E7588" s="5" t="str">
        <f t="shared" si="357"/>
        <v>URGENCIAS ADULTO-Jenny Peña</v>
      </c>
      <c r="F7588" s="5"/>
      <c r="G7588" s="5"/>
    </row>
    <row r="7589" spans="1:7" ht="58.5" customHeight="1" x14ac:dyDescent="0.25">
      <c r="A7589" s="5" t="str">
        <f>"H0025353"</f>
        <v>H0025353</v>
      </c>
      <c r="B7589"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89" s="6">
        <v>312156</v>
      </c>
      <c r="D7589" s="5" t="s">
        <v>10</v>
      </c>
      <c r="E7589" s="5" t="str">
        <f t="shared" ref="E7589:E7652" si="363">"URGENCIAS ADULTO-Jenny Peña"</f>
        <v>URGENCIAS ADULTO-Jenny Peña</v>
      </c>
      <c r="F7589" s="5"/>
      <c r="G7589" s="5"/>
    </row>
    <row r="7590" spans="1:7" ht="58.5" customHeight="1" x14ac:dyDescent="0.25">
      <c r="A7590" s="5" t="str">
        <f>"H0025364"</f>
        <v>H0025364</v>
      </c>
      <c r="B7590"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90" s="6">
        <v>312156</v>
      </c>
      <c r="D7590" s="5" t="s">
        <v>10</v>
      </c>
      <c r="E7590" s="5" t="str">
        <f t="shared" si="363"/>
        <v>URGENCIAS ADULTO-Jenny Peña</v>
      </c>
      <c r="F7590" s="5"/>
      <c r="G7590" s="5"/>
    </row>
    <row r="7591" spans="1:7" ht="58.5" customHeight="1" x14ac:dyDescent="0.25">
      <c r="A7591" s="5" t="str">
        <f>"H0025366"</f>
        <v>H0025366</v>
      </c>
      <c r="B7591"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91" s="6">
        <v>312156</v>
      </c>
      <c r="D7591" s="5" t="s">
        <v>10</v>
      </c>
      <c r="E7591" s="5" t="str">
        <f t="shared" si="363"/>
        <v>URGENCIAS ADULTO-Jenny Peña</v>
      </c>
      <c r="F7591" s="5"/>
      <c r="G7591" s="5"/>
    </row>
    <row r="7592" spans="1:7" ht="58.5" customHeight="1" x14ac:dyDescent="0.25">
      <c r="A7592" s="5" t="str">
        <f>"H0025381"</f>
        <v>H0025381</v>
      </c>
      <c r="B7592"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92" s="6">
        <v>312156</v>
      </c>
      <c r="D7592" s="5" t="s">
        <v>10</v>
      </c>
      <c r="E7592" s="5" t="str">
        <f t="shared" si="363"/>
        <v>URGENCIAS ADULTO-Jenny Peña</v>
      </c>
      <c r="F7592" s="5"/>
      <c r="G7592" s="5"/>
    </row>
    <row r="7593" spans="1:7" ht="58.5" customHeight="1" x14ac:dyDescent="0.25">
      <c r="A7593" s="5" t="str">
        <f>"H0025382"</f>
        <v>H0025382</v>
      </c>
      <c r="B7593"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93" s="6">
        <v>312156</v>
      </c>
      <c r="D7593" s="5" t="s">
        <v>10</v>
      </c>
      <c r="E7593" s="5" t="str">
        <f t="shared" si="363"/>
        <v>URGENCIAS ADULTO-Jenny Peña</v>
      </c>
      <c r="F7593" s="5"/>
      <c r="G7593" s="5"/>
    </row>
    <row r="7594" spans="1:7" ht="58.5" customHeight="1" x14ac:dyDescent="0.25">
      <c r="A7594" s="5" t="str">
        <f>"H0025393"</f>
        <v>H0025393</v>
      </c>
      <c r="B7594" s="5" t="str">
        <f t="shared" si="362"/>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594" s="6">
        <v>312156</v>
      </c>
      <c r="D7594" s="5" t="s">
        <v>10</v>
      </c>
      <c r="E7594" s="5" t="str">
        <f t="shared" si="363"/>
        <v>URGENCIAS ADULTO-Jenny Peña</v>
      </c>
      <c r="F7594" s="5"/>
      <c r="G7594" s="5"/>
    </row>
    <row r="7595" spans="1:7" ht="58.5" customHeight="1" x14ac:dyDescent="0.25">
      <c r="A7595" s="5" t="str">
        <f>"H0025554"</f>
        <v>H0025554</v>
      </c>
      <c r="B7595" s="5" t="str">
        <f>"SILLA DE RUEDAS"</f>
        <v>SILLA DE RUEDAS</v>
      </c>
      <c r="C7595" s="6">
        <v>600000</v>
      </c>
      <c r="D7595" s="5" t="s">
        <v>149</v>
      </c>
      <c r="E7595" s="5" t="str">
        <f t="shared" si="363"/>
        <v>URGENCIAS ADULTO-Jenny Peña</v>
      </c>
      <c r="F7595" s="5"/>
      <c r="G7595" s="5"/>
    </row>
    <row r="7596" spans="1:7" ht="58.5" customHeight="1" x14ac:dyDescent="0.25">
      <c r="A7596" s="5" t="str">
        <f>"H0025555"</f>
        <v>H0025555</v>
      </c>
      <c r="B7596" s="5" t="str">
        <f>"SILLA DE RUEDAS"</f>
        <v>SILLA DE RUEDAS</v>
      </c>
      <c r="C7596" s="6">
        <v>600000</v>
      </c>
      <c r="D7596" s="5" t="s">
        <v>149</v>
      </c>
      <c r="E7596" s="5" t="str">
        <f t="shared" si="363"/>
        <v>URGENCIAS ADULTO-Jenny Peña</v>
      </c>
      <c r="F7596" s="5"/>
      <c r="G7596" s="5"/>
    </row>
    <row r="7597" spans="1:7" ht="58.5" customHeight="1" x14ac:dyDescent="0.25">
      <c r="A7597" s="5" t="str">
        <f>"H0025556"</f>
        <v>H0025556</v>
      </c>
      <c r="B7597" s="5" t="str">
        <f>"SILLA DE RUEDAS"</f>
        <v>SILLA DE RUEDAS</v>
      </c>
      <c r="C7597" s="6">
        <v>600000</v>
      </c>
      <c r="D7597" s="5" t="s">
        <v>149</v>
      </c>
      <c r="E7597" s="5" t="str">
        <f t="shared" si="363"/>
        <v>URGENCIAS ADULTO-Jenny Peña</v>
      </c>
      <c r="F7597" s="5"/>
      <c r="G7597" s="5"/>
    </row>
    <row r="7598" spans="1:7" ht="58.5" customHeight="1" x14ac:dyDescent="0.25">
      <c r="A7598" s="5" t="str">
        <f>"H0025557"</f>
        <v>H0025557</v>
      </c>
      <c r="B7598" s="5" t="str">
        <f>"SILLA DE RUEDAS"</f>
        <v>SILLA DE RUEDAS</v>
      </c>
      <c r="C7598" s="6">
        <v>600000</v>
      </c>
      <c r="D7598" s="5" t="s">
        <v>149</v>
      </c>
      <c r="E7598" s="5" t="str">
        <f t="shared" si="363"/>
        <v>URGENCIAS ADULTO-Jenny Peña</v>
      </c>
      <c r="F7598" s="5"/>
      <c r="G7598" s="5"/>
    </row>
    <row r="7599" spans="1:7" ht="58.5" customHeight="1" x14ac:dyDescent="0.25">
      <c r="A7599" s="5" t="str">
        <f>"H0025724"</f>
        <v>H0025724</v>
      </c>
      <c r="B7599" s="5" t="str">
        <f>"MONITOR DE SIGNOS VITALES"</f>
        <v>MONITOR DE SIGNOS VITALES</v>
      </c>
      <c r="C7599" s="6">
        <v>3686300</v>
      </c>
      <c r="D7599" s="5" t="s">
        <v>265</v>
      </c>
      <c r="E7599" s="5" t="str">
        <f t="shared" si="363"/>
        <v>URGENCIAS ADULTO-Jenny Peña</v>
      </c>
      <c r="F7599" s="5"/>
      <c r="G7599" s="5"/>
    </row>
    <row r="7600" spans="1:7" ht="58.5" customHeight="1" x14ac:dyDescent="0.25">
      <c r="A7600" s="5" t="str">
        <f>"H0025965"</f>
        <v>H0025965</v>
      </c>
      <c r="B7600" s="5" t="str">
        <f t="shared" ref="B7600:B7626" si="364">"SILLA DE RUEDAS"</f>
        <v>SILLA DE RUEDAS</v>
      </c>
      <c r="C7600" s="6">
        <v>280000</v>
      </c>
      <c r="D7600" s="5" t="s">
        <v>77</v>
      </c>
      <c r="E7600" s="5" t="str">
        <f t="shared" si="363"/>
        <v>URGENCIAS ADULTO-Jenny Peña</v>
      </c>
      <c r="F7600" s="5"/>
      <c r="G7600" s="5"/>
    </row>
    <row r="7601" spans="1:7" ht="58.5" customHeight="1" x14ac:dyDescent="0.25">
      <c r="A7601" s="5" t="str">
        <f>"H0025966"</f>
        <v>H0025966</v>
      </c>
      <c r="B7601" s="5" t="str">
        <f t="shared" si="364"/>
        <v>SILLA DE RUEDAS</v>
      </c>
      <c r="C7601" s="6">
        <v>280000</v>
      </c>
      <c r="D7601" s="5" t="s">
        <v>77</v>
      </c>
      <c r="E7601" s="5" t="str">
        <f t="shared" si="363"/>
        <v>URGENCIAS ADULTO-Jenny Peña</v>
      </c>
      <c r="F7601" s="5"/>
      <c r="G7601" s="5"/>
    </row>
    <row r="7602" spans="1:7" ht="58.5" customHeight="1" x14ac:dyDescent="0.25">
      <c r="A7602" s="5" t="str">
        <f>"H0025967"</f>
        <v>H0025967</v>
      </c>
      <c r="B7602" s="5" t="str">
        <f t="shared" si="364"/>
        <v>SILLA DE RUEDAS</v>
      </c>
      <c r="C7602" s="6">
        <v>280000</v>
      </c>
      <c r="D7602" s="5" t="s">
        <v>77</v>
      </c>
      <c r="E7602" s="5" t="str">
        <f t="shared" si="363"/>
        <v>URGENCIAS ADULTO-Jenny Peña</v>
      </c>
      <c r="F7602" s="5"/>
      <c r="G7602" s="5"/>
    </row>
    <row r="7603" spans="1:7" ht="58.5" customHeight="1" x14ac:dyDescent="0.25">
      <c r="A7603" s="5" t="str">
        <f>"H0025968"</f>
        <v>H0025968</v>
      </c>
      <c r="B7603" s="5" t="str">
        <f t="shared" si="364"/>
        <v>SILLA DE RUEDAS</v>
      </c>
      <c r="C7603" s="6">
        <v>280000</v>
      </c>
      <c r="D7603" s="5" t="s">
        <v>77</v>
      </c>
      <c r="E7603" s="5" t="str">
        <f t="shared" si="363"/>
        <v>URGENCIAS ADULTO-Jenny Peña</v>
      </c>
      <c r="F7603" s="5"/>
      <c r="G7603" s="5"/>
    </row>
    <row r="7604" spans="1:7" ht="58.5" customHeight="1" x14ac:dyDescent="0.25">
      <c r="A7604" s="5" t="str">
        <f>"H0025969"</f>
        <v>H0025969</v>
      </c>
      <c r="B7604" s="5" t="str">
        <f t="shared" si="364"/>
        <v>SILLA DE RUEDAS</v>
      </c>
      <c r="C7604" s="6">
        <v>280000</v>
      </c>
      <c r="D7604" s="5" t="s">
        <v>77</v>
      </c>
      <c r="E7604" s="5" t="str">
        <f t="shared" si="363"/>
        <v>URGENCIAS ADULTO-Jenny Peña</v>
      </c>
      <c r="F7604" s="5"/>
      <c r="G7604" s="5"/>
    </row>
    <row r="7605" spans="1:7" ht="58.5" customHeight="1" x14ac:dyDescent="0.25">
      <c r="A7605" s="5" t="str">
        <f>"H0025970"</f>
        <v>H0025970</v>
      </c>
      <c r="B7605" s="5" t="str">
        <f t="shared" si="364"/>
        <v>SILLA DE RUEDAS</v>
      </c>
      <c r="C7605" s="6">
        <v>280000</v>
      </c>
      <c r="D7605" s="5" t="s">
        <v>77</v>
      </c>
      <c r="E7605" s="5" t="str">
        <f t="shared" si="363"/>
        <v>URGENCIAS ADULTO-Jenny Peña</v>
      </c>
      <c r="F7605" s="5"/>
      <c r="G7605" s="5"/>
    </row>
    <row r="7606" spans="1:7" ht="58.5" customHeight="1" x14ac:dyDescent="0.25">
      <c r="A7606" s="5" t="str">
        <f>"H0025971"</f>
        <v>H0025971</v>
      </c>
      <c r="B7606" s="5" t="str">
        <f t="shared" si="364"/>
        <v>SILLA DE RUEDAS</v>
      </c>
      <c r="C7606" s="6">
        <v>280000</v>
      </c>
      <c r="D7606" s="5" t="s">
        <v>77</v>
      </c>
      <c r="E7606" s="5" t="str">
        <f t="shared" si="363"/>
        <v>URGENCIAS ADULTO-Jenny Peña</v>
      </c>
      <c r="F7606" s="5"/>
      <c r="G7606" s="5"/>
    </row>
    <row r="7607" spans="1:7" ht="58.5" customHeight="1" x14ac:dyDescent="0.25">
      <c r="A7607" s="5" t="str">
        <f>"H0025972"</f>
        <v>H0025972</v>
      </c>
      <c r="B7607" s="5" t="str">
        <f t="shared" si="364"/>
        <v>SILLA DE RUEDAS</v>
      </c>
      <c r="C7607" s="6">
        <v>280000</v>
      </c>
      <c r="D7607" s="5" t="s">
        <v>77</v>
      </c>
      <c r="E7607" s="5" t="str">
        <f t="shared" si="363"/>
        <v>URGENCIAS ADULTO-Jenny Peña</v>
      </c>
      <c r="F7607" s="5"/>
      <c r="G7607" s="5"/>
    </row>
    <row r="7608" spans="1:7" ht="58.5" customHeight="1" x14ac:dyDescent="0.25">
      <c r="A7608" s="5" t="str">
        <f>"H0026007"</f>
        <v>H0026007</v>
      </c>
      <c r="B7608" s="5" t="str">
        <f t="shared" si="364"/>
        <v>SILLA DE RUEDAS</v>
      </c>
      <c r="C7608" s="6">
        <v>280000</v>
      </c>
      <c r="D7608" s="5" t="s">
        <v>77</v>
      </c>
      <c r="E7608" s="5" t="str">
        <f t="shared" si="363"/>
        <v>URGENCIAS ADULTO-Jenny Peña</v>
      </c>
      <c r="F7608" s="5"/>
      <c r="G7608" s="5"/>
    </row>
    <row r="7609" spans="1:7" ht="58.5" customHeight="1" x14ac:dyDescent="0.25">
      <c r="A7609" s="5" t="str">
        <f>"H0026008"</f>
        <v>H0026008</v>
      </c>
      <c r="B7609" s="5" t="str">
        <f t="shared" si="364"/>
        <v>SILLA DE RUEDAS</v>
      </c>
      <c r="C7609" s="6">
        <v>280000</v>
      </c>
      <c r="D7609" s="5" t="s">
        <v>77</v>
      </c>
      <c r="E7609" s="5" t="str">
        <f t="shared" si="363"/>
        <v>URGENCIAS ADULTO-Jenny Peña</v>
      </c>
      <c r="F7609" s="5"/>
      <c r="G7609" s="5"/>
    </row>
    <row r="7610" spans="1:7" ht="58.5" customHeight="1" x14ac:dyDescent="0.25">
      <c r="A7610" s="5" t="str">
        <f>"H0026009"</f>
        <v>H0026009</v>
      </c>
      <c r="B7610" s="5" t="str">
        <f t="shared" si="364"/>
        <v>SILLA DE RUEDAS</v>
      </c>
      <c r="C7610" s="6">
        <v>280000</v>
      </c>
      <c r="D7610" s="5" t="s">
        <v>77</v>
      </c>
      <c r="E7610" s="5" t="str">
        <f t="shared" si="363"/>
        <v>URGENCIAS ADULTO-Jenny Peña</v>
      </c>
      <c r="F7610" s="5"/>
      <c r="G7610" s="5"/>
    </row>
    <row r="7611" spans="1:7" ht="58.5" customHeight="1" x14ac:dyDescent="0.25">
      <c r="A7611" s="5" t="str">
        <f>"H0026010"</f>
        <v>H0026010</v>
      </c>
      <c r="B7611" s="5" t="str">
        <f t="shared" si="364"/>
        <v>SILLA DE RUEDAS</v>
      </c>
      <c r="C7611" s="6">
        <v>280000</v>
      </c>
      <c r="D7611" s="5" t="s">
        <v>77</v>
      </c>
      <c r="E7611" s="5" t="str">
        <f t="shared" si="363"/>
        <v>URGENCIAS ADULTO-Jenny Peña</v>
      </c>
      <c r="F7611" s="5"/>
      <c r="G7611" s="5"/>
    </row>
    <row r="7612" spans="1:7" ht="58.5" customHeight="1" x14ac:dyDescent="0.25">
      <c r="A7612" s="5" t="str">
        <f>"H0026011"</f>
        <v>H0026011</v>
      </c>
      <c r="B7612" s="5" t="str">
        <f t="shared" si="364"/>
        <v>SILLA DE RUEDAS</v>
      </c>
      <c r="C7612" s="6">
        <v>280000</v>
      </c>
      <c r="D7612" s="5" t="s">
        <v>77</v>
      </c>
      <c r="E7612" s="5" t="str">
        <f t="shared" si="363"/>
        <v>URGENCIAS ADULTO-Jenny Peña</v>
      </c>
      <c r="F7612" s="5"/>
      <c r="G7612" s="5"/>
    </row>
    <row r="7613" spans="1:7" ht="58.5" customHeight="1" x14ac:dyDescent="0.25">
      <c r="A7613" s="5" t="str">
        <f>"H0026012"</f>
        <v>H0026012</v>
      </c>
      <c r="B7613" s="5" t="str">
        <f t="shared" si="364"/>
        <v>SILLA DE RUEDAS</v>
      </c>
      <c r="C7613" s="6">
        <v>280000</v>
      </c>
      <c r="D7613" s="5" t="s">
        <v>77</v>
      </c>
      <c r="E7613" s="5" t="str">
        <f t="shared" si="363"/>
        <v>URGENCIAS ADULTO-Jenny Peña</v>
      </c>
      <c r="F7613" s="5"/>
      <c r="G7613" s="5"/>
    </row>
    <row r="7614" spans="1:7" ht="58.5" customHeight="1" x14ac:dyDescent="0.25">
      <c r="A7614" s="5" t="str">
        <f>"H0026013"</f>
        <v>H0026013</v>
      </c>
      <c r="B7614" s="5" t="str">
        <f t="shared" si="364"/>
        <v>SILLA DE RUEDAS</v>
      </c>
      <c r="C7614" s="6">
        <v>280000</v>
      </c>
      <c r="D7614" s="5" t="s">
        <v>77</v>
      </c>
      <c r="E7614" s="5" t="str">
        <f t="shared" si="363"/>
        <v>URGENCIAS ADULTO-Jenny Peña</v>
      </c>
      <c r="F7614" s="5"/>
      <c r="G7614" s="5"/>
    </row>
    <row r="7615" spans="1:7" ht="58.5" customHeight="1" x14ac:dyDescent="0.25">
      <c r="A7615" s="5" t="str">
        <f>"H0026015"</f>
        <v>H0026015</v>
      </c>
      <c r="B7615" s="5" t="str">
        <f t="shared" si="364"/>
        <v>SILLA DE RUEDAS</v>
      </c>
      <c r="C7615" s="6">
        <v>280000</v>
      </c>
      <c r="D7615" s="5" t="s">
        <v>77</v>
      </c>
      <c r="E7615" s="5" t="str">
        <f t="shared" si="363"/>
        <v>URGENCIAS ADULTO-Jenny Peña</v>
      </c>
      <c r="F7615" s="5"/>
      <c r="G7615" s="5"/>
    </row>
    <row r="7616" spans="1:7" ht="58.5" customHeight="1" x14ac:dyDescent="0.25">
      <c r="A7616" s="5" t="str">
        <f>"H0026016"</f>
        <v>H0026016</v>
      </c>
      <c r="B7616" s="5" t="str">
        <f t="shared" si="364"/>
        <v>SILLA DE RUEDAS</v>
      </c>
      <c r="C7616" s="6">
        <v>280000</v>
      </c>
      <c r="D7616" s="5" t="s">
        <v>77</v>
      </c>
      <c r="E7616" s="5" t="str">
        <f t="shared" si="363"/>
        <v>URGENCIAS ADULTO-Jenny Peña</v>
      </c>
      <c r="F7616" s="5"/>
      <c r="G7616" s="5"/>
    </row>
    <row r="7617" spans="1:7" ht="58.5" customHeight="1" x14ac:dyDescent="0.25">
      <c r="A7617" s="5" t="str">
        <f>"H0026017"</f>
        <v>H0026017</v>
      </c>
      <c r="B7617" s="5" t="str">
        <f t="shared" si="364"/>
        <v>SILLA DE RUEDAS</v>
      </c>
      <c r="C7617" s="6">
        <v>280000</v>
      </c>
      <c r="D7617" s="5" t="s">
        <v>77</v>
      </c>
      <c r="E7617" s="5" t="str">
        <f t="shared" si="363"/>
        <v>URGENCIAS ADULTO-Jenny Peña</v>
      </c>
      <c r="F7617" s="5"/>
      <c r="G7617" s="5"/>
    </row>
    <row r="7618" spans="1:7" ht="58.5" customHeight="1" x14ac:dyDescent="0.25">
      <c r="A7618" s="5" t="str">
        <f>"H0026018"</f>
        <v>H0026018</v>
      </c>
      <c r="B7618" s="5" t="str">
        <f t="shared" si="364"/>
        <v>SILLA DE RUEDAS</v>
      </c>
      <c r="C7618" s="6">
        <v>280000</v>
      </c>
      <c r="D7618" s="5" t="s">
        <v>77</v>
      </c>
      <c r="E7618" s="5" t="str">
        <f t="shared" si="363"/>
        <v>URGENCIAS ADULTO-Jenny Peña</v>
      </c>
      <c r="F7618" s="5"/>
      <c r="G7618" s="5"/>
    </row>
    <row r="7619" spans="1:7" ht="58.5" customHeight="1" x14ac:dyDescent="0.25">
      <c r="A7619" s="5" t="str">
        <f>"H0026019"</f>
        <v>H0026019</v>
      </c>
      <c r="B7619" s="5" t="str">
        <f t="shared" si="364"/>
        <v>SILLA DE RUEDAS</v>
      </c>
      <c r="C7619" s="6">
        <v>280000</v>
      </c>
      <c r="D7619" s="5" t="s">
        <v>77</v>
      </c>
      <c r="E7619" s="5" t="str">
        <f t="shared" si="363"/>
        <v>URGENCIAS ADULTO-Jenny Peña</v>
      </c>
      <c r="F7619" s="5"/>
      <c r="G7619" s="5"/>
    </row>
    <row r="7620" spans="1:7" ht="58.5" customHeight="1" x14ac:dyDescent="0.25">
      <c r="A7620" s="5" t="str">
        <f>"H0026020"</f>
        <v>H0026020</v>
      </c>
      <c r="B7620" s="5" t="str">
        <f t="shared" si="364"/>
        <v>SILLA DE RUEDAS</v>
      </c>
      <c r="C7620" s="6">
        <v>280000</v>
      </c>
      <c r="D7620" s="5" t="s">
        <v>77</v>
      </c>
      <c r="E7620" s="5" t="str">
        <f t="shared" si="363"/>
        <v>URGENCIAS ADULTO-Jenny Peña</v>
      </c>
      <c r="F7620" s="5"/>
      <c r="G7620" s="5"/>
    </row>
    <row r="7621" spans="1:7" ht="58.5" customHeight="1" x14ac:dyDescent="0.25">
      <c r="A7621" s="5" t="str">
        <f>"H0026021"</f>
        <v>H0026021</v>
      </c>
      <c r="B7621" s="5" t="str">
        <f t="shared" si="364"/>
        <v>SILLA DE RUEDAS</v>
      </c>
      <c r="C7621" s="6">
        <v>280000</v>
      </c>
      <c r="D7621" s="5" t="s">
        <v>77</v>
      </c>
      <c r="E7621" s="5" t="str">
        <f t="shared" si="363"/>
        <v>URGENCIAS ADULTO-Jenny Peña</v>
      </c>
      <c r="F7621" s="5"/>
      <c r="G7621" s="5"/>
    </row>
    <row r="7622" spans="1:7" ht="58.5" customHeight="1" x14ac:dyDescent="0.25">
      <c r="A7622" s="5" t="str">
        <f>"H0026022"</f>
        <v>H0026022</v>
      </c>
      <c r="B7622" s="5" t="str">
        <f t="shared" si="364"/>
        <v>SILLA DE RUEDAS</v>
      </c>
      <c r="C7622" s="6">
        <v>280000</v>
      </c>
      <c r="D7622" s="5" t="s">
        <v>77</v>
      </c>
      <c r="E7622" s="5" t="str">
        <f t="shared" si="363"/>
        <v>URGENCIAS ADULTO-Jenny Peña</v>
      </c>
      <c r="F7622" s="5"/>
      <c r="G7622" s="5"/>
    </row>
    <row r="7623" spans="1:7" ht="58.5" customHeight="1" x14ac:dyDescent="0.25">
      <c r="A7623" s="5" t="str">
        <f>"H0026023"</f>
        <v>H0026023</v>
      </c>
      <c r="B7623" s="5" t="str">
        <f t="shared" si="364"/>
        <v>SILLA DE RUEDAS</v>
      </c>
      <c r="C7623" s="6">
        <v>280000</v>
      </c>
      <c r="D7623" s="5" t="s">
        <v>77</v>
      </c>
      <c r="E7623" s="5" t="str">
        <f t="shared" si="363"/>
        <v>URGENCIAS ADULTO-Jenny Peña</v>
      </c>
      <c r="F7623" s="5"/>
      <c r="G7623" s="5"/>
    </row>
    <row r="7624" spans="1:7" ht="58.5" customHeight="1" x14ac:dyDescent="0.25">
      <c r="A7624" s="5" t="str">
        <f>"H0026024"</f>
        <v>H0026024</v>
      </c>
      <c r="B7624" s="5" t="str">
        <f t="shared" si="364"/>
        <v>SILLA DE RUEDAS</v>
      </c>
      <c r="C7624" s="6">
        <v>280000</v>
      </c>
      <c r="D7624" s="5" t="s">
        <v>77</v>
      </c>
      <c r="E7624" s="5" t="str">
        <f t="shared" si="363"/>
        <v>URGENCIAS ADULTO-Jenny Peña</v>
      </c>
      <c r="F7624" s="5"/>
      <c r="G7624" s="5"/>
    </row>
    <row r="7625" spans="1:7" ht="58.5" customHeight="1" x14ac:dyDescent="0.25">
      <c r="A7625" s="5" t="str">
        <f>"H0026025"</f>
        <v>H0026025</v>
      </c>
      <c r="B7625" s="5" t="str">
        <f t="shared" si="364"/>
        <v>SILLA DE RUEDAS</v>
      </c>
      <c r="C7625" s="6">
        <v>280000</v>
      </c>
      <c r="D7625" s="5" t="s">
        <v>77</v>
      </c>
      <c r="E7625" s="5" t="str">
        <f t="shared" si="363"/>
        <v>URGENCIAS ADULTO-Jenny Peña</v>
      </c>
      <c r="F7625" s="5"/>
      <c r="G7625" s="5"/>
    </row>
    <row r="7626" spans="1:7" ht="58.5" customHeight="1" x14ac:dyDescent="0.25">
      <c r="A7626" s="5" t="str">
        <f>"H0026037"</f>
        <v>H0026037</v>
      </c>
      <c r="B7626" s="5" t="str">
        <f t="shared" si="364"/>
        <v>SILLA DE RUEDAS</v>
      </c>
      <c r="C7626" s="6">
        <v>280000</v>
      </c>
      <c r="D7626" s="5" t="s">
        <v>77</v>
      </c>
      <c r="E7626" s="5" t="str">
        <f t="shared" si="363"/>
        <v>URGENCIAS ADULTO-Jenny Peña</v>
      </c>
      <c r="F7626" s="5"/>
      <c r="G7626" s="5"/>
    </row>
    <row r="7627" spans="1:7" ht="58.5" customHeight="1" x14ac:dyDescent="0.25">
      <c r="A7627" s="5" t="str">
        <f>"H0026830"</f>
        <v>H0026830</v>
      </c>
      <c r="B7627" s="5" t="str">
        <f>"BOMBA DE INFUSION"</f>
        <v>BOMBA DE INFUSION</v>
      </c>
      <c r="C7627" s="6">
        <v>800000</v>
      </c>
      <c r="D7627" s="5" t="s">
        <v>79</v>
      </c>
      <c r="E7627" s="5" t="str">
        <f t="shared" si="363"/>
        <v>URGENCIAS ADULTO-Jenny Peña</v>
      </c>
      <c r="F7627" s="5"/>
      <c r="G7627" s="5"/>
    </row>
    <row r="7628" spans="1:7" ht="58.5" customHeight="1" x14ac:dyDescent="0.25">
      <c r="A7628" s="5" t="str">
        <f>"H0026837"</f>
        <v>H0026837</v>
      </c>
      <c r="B7628" s="5" t="str">
        <f>"BOMBA DE INFUSION"</f>
        <v>BOMBA DE INFUSION</v>
      </c>
      <c r="C7628" s="6">
        <v>800000</v>
      </c>
      <c r="D7628" s="5" t="s">
        <v>222</v>
      </c>
      <c r="E7628" s="5" t="str">
        <f t="shared" si="363"/>
        <v>URGENCIAS ADULTO-Jenny Peña</v>
      </c>
      <c r="F7628" s="5"/>
      <c r="G7628" s="5"/>
    </row>
    <row r="7629" spans="1:7" ht="58.5" customHeight="1" x14ac:dyDescent="0.25">
      <c r="A7629" s="5" t="str">
        <f>"H0026965"</f>
        <v>H0026965</v>
      </c>
      <c r="B7629" s="5" t="str">
        <f>"BOMBA DE INFUSION"</f>
        <v>BOMBA DE INFUSION</v>
      </c>
      <c r="C7629" s="6">
        <v>800000</v>
      </c>
      <c r="D7629" s="5" t="s">
        <v>79</v>
      </c>
      <c r="E7629" s="5" t="str">
        <f t="shared" si="363"/>
        <v>URGENCIAS ADULTO-Jenny Peña</v>
      </c>
      <c r="F7629" s="5"/>
      <c r="G7629" s="5"/>
    </row>
    <row r="7630" spans="1:7" ht="58.5" customHeight="1" x14ac:dyDescent="0.25">
      <c r="A7630" s="5" t="str">
        <f>"H0026986"</f>
        <v>H0026986</v>
      </c>
      <c r="B7630" s="5" t="str">
        <f>"BOMBA DE INFUSION"</f>
        <v>BOMBA DE INFUSION</v>
      </c>
      <c r="C7630" s="6">
        <v>800000</v>
      </c>
      <c r="D7630" s="5" t="s">
        <v>79</v>
      </c>
      <c r="E7630" s="5" t="str">
        <f t="shared" si="363"/>
        <v>URGENCIAS ADULTO-Jenny Peña</v>
      </c>
      <c r="F7630" s="5"/>
      <c r="G7630" s="5"/>
    </row>
    <row r="7631" spans="1:7" ht="58.5" customHeight="1" x14ac:dyDescent="0.25">
      <c r="A7631" s="5" t="str">
        <f>"H0027002"</f>
        <v>H0027002</v>
      </c>
      <c r="B7631" s="5" t="str">
        <f>"COMPRESOR DANFOS 10TON R-410"</f>
        <v>COMPRESOR DANFOS 10TON R-410</v>
      </c>
      <c r="C7631" s="6">
        <v>6963001</v>
      </c>
      <c r="D7631" s="5" t="s">
        <v>459</v>
      </c>
      <c r="E7631" s="5" t="str">
        <f t="shared" si="363"/>
        <v>URGENCIAS ADULTO-Jenny Peña</v>
      </c>
      <c r="F7631" s="5"/>
      <c r="G7631" s="5"/>
    </row>
    <row r="7632" spans="1:7" ht="58.5" customHeight="1" x14ac:dyDescent="0.25">
      <c r="A7632" s="5" t="str">
        <f>"H0027033"</f>
        <v>H0027033</v>
      </c>
      <c r="B7632" s="5" t="str">
        <f>"MONITOR DE 5 PARAMETROS MARCA EDAN (DONACION)"</f>
        <v>MONITOR DE 5 PARAMETROS MARCA EDAN (DONACION)</v>
      </c>
      <c r="C7632" s="6">
        <v>6723500</v>
      </c>
      <c r="D7632" s="5" t="s">
        <v>460</v>
      </c>
      <c r="E7632" s="5" t="str">
        <f t="shared" si="363"/>
        <v>URGENCIAS ADULTO-Jenny Peña</v>
      </c>
      <c r="F7632" s="5"/>
      <c r="G7632" s="5"/>
    </row>
    <row r="7633" spans="1:7" ht="58.5" customHeight="1" x14ac:dyDescent="0.25">
      <c r="A7633" s="5" t="str">
        <f>"H0027059"</f>
        <v>H0027059</v>
      </c>
      <c r="B7633" s="5" t="str">
        <f t="shared" ref="B7633:B7644" si="365">"BOMBA DE INFUSION"</f>
        <v>BOMBA DE INFUSION</v>
      </c>
      <c r="C7633" s="6">
        <v>1200000</v>
      </c>
      <c r="D7633" s="5" t="s">
        <v>81</v>
      </c>
      <c r="E7633" s="5" t="str">
        <f t="shared" si="363"/>
        <v>URGENCIAS ADULTO-Jenny Peña</v>
      </c>
      <c r="F7633" s="5"/>
      <c r="G7633" s="5"/>
    </row>
    <row r="7634" spans="1:7" ht="58.5" customHeight="1" x14ac:dyDescent="0.25">
      <c r="A7634" s="5" t="str">
        <f>"H0027060"</f>
        <v>H0027060</v>
      </c>
      <c r="B7634" s="5" t="str">
        <f t="shared" si="365"/>
        <v>BOMBA DE INFUSION</v>
      </c>
      <c r="C7634" s="6">
        <v>1200000</v>
      </c>
      <c r="D7634" s="5" t="s">
        <v>81</v>
      </c>
      <c r="E7634" s="5" t="str">
        <f t="shared" si="363"/>
        <v>URGENCIAS ADULTO-Jenny Peña</v>
      </c>
      <c r="F7634" s="5"/>
      <c r="G7634" s="5"/>
    </row>
    <row r="7635" spans="1:7" ht="58.5" customHeight="1" x14ac:dyDescent="0.25">
      <c r="A7635" s="5" t="str">
        <f>"H0027061"</f>
        <v>H0027061</v>
      </c>
      <c r="B7635" s="5" t="str">
        <f t="shared" si="365"/>
        <v>BOMBA DE INFUSION</v>
      </c>
      <c r="C7635" s="6">
        <v>1200000</v>
      </c>
      <c r="D7635" s="5" t="s">
        <v>81</v>
      </c>
      <c r="E7635" s="5" t="str">
        <f t="shared" si="363"/>
        <v>URGENCIAS ADULTO-Jenny Peña</v>
      </c>
      <c r="F7635" s="5"/>
      <c r="G7635" s="5"/>
    </row>
    <row r="7636" spans="1:7" ht="58.5" customHeight="1" x14ac:dyDescent="0.25">
      <c r="A7636" s="5" t="str">
        <f>"H0027067"</f>
        <v>H0027067</v>
      </c>
      <c r="B7636" s="5" t="str">
        <f t="shared" si="365"/>
        <v>BOMBA DE INFUSION</v>
      </c>
      <c r="C7636" s="6">
        <v>1200000</v>
      </c>
      <c r="D7636" s="5" t="s">
        <v>81</v>
      </c>
      <c r="E7636" s="5" t="str">
        <f t="shared" si="363"/>
        <v>URGENCIAS ADULTO-Jenny Peña</v>
      </c>
      <c r="F7636" s="5"/>
      <c r="G7636" s="5"/>
    </row>
    <row r="7637" spans="1:7" ht="58.5" customHeight="1" x14ac:dyDescent="0.25">
      <c r="A7637" s="5" t="str">
        <f>"H0027077"</f>
        <v>H0027077</v>
      </c>
      <c r="B7637" s="5" t="str">
        <f t="shared" si="365"/>
        <v>BOMBA DE INFUSION</v>
      </c>
      <c r="C7637" s="6">
        <v>1200000</v>
      </c>
      <c r="D7637" s="5" t="s">
        <v>81</v>
      </c>
      <c r="E7637" s="5" t="str">
        <f t="shared" si="363"/>
        <v>URGENCIAS ADULTO-Jenny Peña</v>
      </c>
      <c r="F7637" s="5"/>
      <c r="G7637" s="5"/>
    </row>
    <row r="7638" spans="1:7" ht="58.5" customHeight="1" x14ac:dyDescent="0.25">
      <c r="A7638" s="5" t="str">
        <f>"H0027089"</f>
        <v>H0027089</v>
      </c>
      <c r="B7638" s="5" t="str">
        <f t="shared" si="365"/>
        <v>BOMBA DE INFUSION</v>
      </c>
      <c r="C7638" s="6">
        <v>1200000</v>
      </c>
      <c r="D7638" s="5" t="s">
        <v>81</v>
      </c>
      <c r="E7638" s="5" t="str">
        <f t="shared" si="363"/>
        <v>URGENCIAS ADULTO-Jenny Peña</v>
      </c>
      <c r="F7638" s="5"/>
      <c r="G7638" s="5"/>
    </row>
    <row r="7639" spans="1:7" ht="58.5" customHeight="1" x14ac:dyDescent="0.25">
      <c r="A7639" s="5" t="str">
        <f>"H0027091"</f>
        <v>H0027091</v>
      </c>
      <c r="B7639" s="5" t="str">
        <f t="shared" si="365"/>
        <v>BOMBA DE INFUSION</v>
      </c>
      <c r="C7639" s="6">
        <v>1200000</v>
      </c>
      <c r="D7639" s="5" t="s">
        <v>81</v>
      </c>
      <c r="E7639" s="5" t="str">
        <f t="shared" si="363"/>
        <v>URGENCIAS ADULTO-Jenny Peña</v>
      </c>
      <c r="F7639" s="5"/>
      <c r="G7639" s="5"/>
    </row>
    <row r="7640" spans="1:7" ht="58.5" customHeight="1" x14ac:dyDescent="0.25">
      <c r="A7640" s="5" t="str">
        <f>"H0027094"</f>
        <v>H0027094</v>
      </c>
      <c r="B7640" s="5" t="str">
        <f t="shared" si="365"/>
        <v>BOMBA DE INFUSION</v>
      </c>
      <c r="C7640" s="6">
        <v>1200000</v>
      </c>
      <c r="D7640" s="5" t="s">
        <v>81</v>
      </c>
      <c r="E7640" s="5" t="str">
        <f t="shared" si="363"/>
        <v>URGENCIAS ADULTO-Jenny Peña</v>
      </c>
      <c r="F7640" s="5"/>
      <c r="G7640" s="5"/>
    </row>
    <row r="7641" spans="1:7" ht="58.5" customHeight="1" x14ac:dyDescent="0.25">
      <c r="A7641" s="5" t="str">
        <f>"H0027103"</f>
        <v>H0027103</v>
      </c>
      <c r="B7641" s="5" t="str">
        <f t="shared" si="365"/>
        <v>BOMBA DE INFUSION</v>
      </c>
      <c r="C7641" s="6">
        <v>1200000</v>
      </c>
      <c r="D7641" s="5" t="s">
        <v>81</v>
      </c>
      <c r="E7641" s="5" t="str">
        <f t="shared" si="363"/>
        <v>URGENCIAS ADULTO-Jenny Peña</v>
      </c>
      <c r="F7641" s="5"/>
      <c r="G7641" s="5"/>
    </row>
    <row r="7642" spans="1:7" ht="58.5" customHeight="1" x14ac:dyDescent="0.25">
      <c r="A7642" s="5" t="str">
        <f>"H0027105"</f>
        <v>H0027105</v>
      </c>
      <c r="B7642" s="5" t="str">
        <f t="shared" si="365"/>
        <v>BOMBA DE INFUSION</v>
      </c>
      <c r="C7642" s="6">
        <v>1200000</v>
      </c>
      <c r="D7642" s="5" t="s">
        <v>81</v>
      </c>
      <c r="E7642" s="5" t="str">
        <f t="shared" si="363"/>
        <v>URGENCIAS ADULTO-Jenny Peña</v>
      </c>
      <c r="F7642" s="5"/>
      <c r="G7642" s="5"/>
    </row>
    <row r="7643" spans="1:7" ht="58.5" customHeight="1" x14ac:dyDescent="0.25">
      <c r="A7643" s="5" t="str">
        <f>"H0027108"</f>
        <v>H0027108</v>
      </c>
      <c r="B7643" s="5" t="str">
        <f t="shared" si="365"/>
        <v>BOMBA DE INFUSION</v>
      </c>
      <c r="C7643" s="6">
        <v>1200000</v>
      </c>
      <c r="D7643" s="5" t="s">
        <v>81</v>
      </c>
      <c r="E7643" s="5" t="str">
        <f t="shared" si="363"/>
        <v>URGENCIAS ADULTO-Jenny Peña</v>
      </c>
      <c r="F7643" s="5"/>
      <c r="G7643" s="5"/>
    </row>
    <row r="7644" spans="1:7" ht="58.5" customHeight="1" x14ac:dyDescent="0.25">
      <c r="A7644" s="5" t="str">
        <f>"H0027109"</f>
        <v>H0027109</v>
      </c>
      <c r="B7644" s="5" t="str">
        <f t="shared" si="365"/>
        <v>BOMBA DE INFUSION</v>
      </c>
      <c r="C7644" s="6">
        <v>1200000</v>
      </c>
      <c r="D7644" s="5" t="s">
        <v>81</v>
      </c>
      <c r="E7644" s="5" t="str">
        <f t="shared" si="363"/>
        <v>URGENCIAS ADULTO-Jenny Peña</v>
      </c>
      <c r="F7644" s="5"/>
      <c r="G7644" s="5"/>
    </row>
    <row r="7645" spans="1:7" ht="58.5" customHeight="1" x14ac:dyDescent="0.25">
      <c r="A7645" s="5" t="str">
        <f>"H0027130"</f>
        <v>H0027130</v>
      </c>
      <c r="B7645" s="5" t="str">
        <f>"BASE PARA MONITOR DE SIGNOS VITALES"</f>
        <v>BASE PARA MONITOR DE SIGNOS VITALES</v>
      </c>
      <c r="C7645" s="6">
        <v>809200</v>
      </c>
      <c r="D7645" s="5" t="s">
        <v>244</v>
      </c>
      <c r="E7645" s="5" t="str">
        <f t="shared" si="363"/>
        <v>URGENCIAS ADULTO-Jenny Peña</v>
      </c>
      <c r="F7645" s="5"/>
      <c r="G7645" s="5"/>
    </row>
    <row r="7646" spans="1:7" ht="58.5" customHeight="1" x14ac:dyDescent="0.25">
      <c r="A7646" s="5" t="str">
        <f>"H0027131"</f>
        <v>H0027131</v>
      </c>
      <c r="B7646" s="5" t="str">
        <f>"BASE PARA MONITOR DE SIGNOS VITALES"</f>
        <v>BASE PARA MONITOR DE SIGNOS VITALES</v>
      </c>
      <c r="C7646" s="6">
        <v>809200</v>
      </c>
      <c r="D7646" s="5" t="s">
        <v>244</v>
      </c>
      <c r="E7646" s="5" t="str">
        <f t="shared" si="363"/>
        <v>URGENCIAS ADULTO-Jenny Peña</v>
      </c>
      <c r="F7646" s="5"/>
      <c r="G7646" s="5"/>
    </row>
    <row r="7647" spans="1:7" ht="58.5" customHeight="1" x14ac:dyDescent="0.25">
      <c r="A7647" s="5" t="str">
        <f>"H0027132"</f>
        <v>H0027132</v>
      </c>
      <c r="B7647" s="5" t="str">
        <f>"BASE PARA MONITOR DE SIGNOS VITALES"</f>
        <v>BASE PARA MONITOR DE SIGNOS VITALES</v>
      </c>
      <c r="C7647" s="6">
        <v>809200</v>
      </c>
      <c r="D7647" s="5" t="s">
        <v>244</v>
      </c>
      <c r="E7647" s="5" t="str">
        <f t="shared" si="363"/>
        <v>URGENCIAS ADULTO-Jenny Peña</v>
      </c>
      <c r="F7647" s="5"/>
      <c r="G7647" s="5"/>
    </row>
    <row r="7648" spans="1:7" ht="58.5" customHeight="1" x14ac:dyDescent="0.25">
      <c r="A7648" s="5" t="str">
        <f>"H0027139"</f>
        <v>H0027139</v>
      </c>
      <c r="B7648" s="5" t="str">
        <f>"MONITOR DE SIGNOS VITALES"</f>
        <v>MONITOR DE SIGNOS VITALES</v>
      </c>
      <c r="C7648" s="6">
        <v>3680000.05</v>
      </c>
      <c r="D7648" s="5" t="s">
        <v>82</v>
      </c>
      <c r="E7648" s="5" t="str">
        <f t="shared" si="363"/>
        <v>URGENCIAS ADULTO-Jenny Peña</v>
      </c>
      <c r="F7648" s="5"/>
      <c r="G7648" s="5" t="str">
        <f>"IM12"</f>
        <v>IM12</v>
      </c>
    </row>
    <row r="7649" spans="1:7" ht="58.5" customHeight="1" x14ac:dyDescent="0.25">
      <c r="A7649" s="5" t="str">
        <f>"H0027140"</f>
        <v>H0027140</v>
      </c>
      <c r="B7649" s="5" t="str">
        <f>"MONITOR DE SIGNOS VITALES"</f>
        <v>MONITOR DE SIGNOS VITALES</v>
      </c>
      <c r="C7649" s="6">
        <v>3680000.05</v>
      </c>
      <c r="D7649" s="5" t="s">
        <v>82</v>
      </c>
      <c r="E7649" s="5" t="str">
        <f t="shared" si="363"/>
        <v>URGENCIAS ADULTO-Jenny Peña</v>
      </c>
      <c r="F7649" s="5"/>
      <c r="G7649" s="5" t="str">
        <f>"IM12"</f>
        <v>IM12</v>
      </c>
    </row>
    <row r="7650" spans="1:7" ht="58.5" customHeight="1" x14ac:dyDescent="0.25">
      <c r="A7650" s="5" t="str">
        <f>"H0027142"</f>
        <v>H0027142</v>
      </c>
      <c r="B7650" s="5" t="str">
        <f>"MONITOR DE SIGNOS VITALES"</f>
        <v>MONITOR DE SIGNOS VITALES</v>
      </c>
      <c r="C7650" s="6">
        <v>3680000.05</v>
      </c>
      <c r="D7650" s="5" t="s">
        <v>82</v>
      </c>
      <c r="E7650" s="5" t="str">
        <f t="shared" si="363"/>
        <v>URGENCIAS ADULTO-Jenny Peña</v>
      </c>
      <c r="F7650" s="5"/>
      <c r="G7650" s="5" t="str">
        <f>"IM12"</f>
        <v>IM12</v>
      </c>
    </row>
    <row r="7651" spans="1:7" ht="58.5" customHeight="1" x14ac:dyDescent="0.25">
      <c r="A7651" s="5" t="str">
        <f>"H0027160"</f>
        <v>H0027160</v>
      </c>
      <c r="B7651" s="5" t="str">
        <f t="shared" ref="B7651:B7657" si="366">"EQUIPO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1" s="6">
        <v>2641800</v>
      </c>
      <c r="D7651" s="5" t="s">
        <v>38</v>
      </c>
      <c r="E7651" s="5" t="str">
        <f t="shared" si="363"/>
        <v>URGENCIAS ADULTO-Jenny Peña</v>
      </c>
      <c r="F7651" s="5"/>
      <c r="G7651" s="5"/>
    </row>
    <row r="7652" spans="1:7" ht="58.5" customHeight="1" x14ac:dyDescent="0.25">
      <c r="A7652" s="5" t="str">
        <f>"H0027161"</f>
        <v>H0027161</v>
      </c>
      <c r="B7652"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2" s="6">
        <v>2641800</v>
      </c>
      <c r="D7652" s="5" t="s">
        <v>38</v>
      </c>
      <c r="E7652" s="5" t="str">
        <f t="shared" si="363"/>
        <v>URGENCIAS ADULTO-Jenny Peña</v>
      </c>
      <c r="F7652" s="5"/>
      <c r="G7652" s="5"/>
    </row>
    <row r="7653" spans="1:7" ht="58.5" customHeight="1" x14ac:dyDescent="0.25">
      <c r="A7653" s="5" t="str">
        <f>"H0027162"</f>
        <v>H0027162</v>
      </c>
      <c r="B7653"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3" s="6">
        <v>2641800</v>
      </c>
      <c r="D7653" s="5" t="s">
        <v>38</v>
      </c>
      <c r="E7653" s="5" t="str">
        <f t="shared" ref="E7653:E7716" si="367">"URGENCIAS ADULTO-Jenny Peña"</f>
        <v>URGENCIAS ADULTO-Jenny Peña</v>
      </c>
      <c r="F7653" s="5"/>
      <c r="G7653" s="5"/>
    </row>
    <row r="7654" spans="1:7" ht="58.5" customHeight="1" x14ac:dyDescent="0.25">
      <c r="A7654" s="5" t="str">
        <f>"H0027165"</f>
        <v>H0027165</v>
      </c>
      <c r="B7654"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4" s="6">
        <v>2641800</v>
      </c>
      <c r="D7654" s="5" t="s">
        <v>38</v>
      </c>
      <c r="E7654" s="5" t="str">
        <f t="shared" si="367"/>
        <v>URGENCIAS ADULTO-Jenny Peña</v>
      </c>
      <c r="F7654" s="5"/>
      <c r="G7654" s="5"/>
    </row>
    <row r="7655" spans="1:7" ht="58.5" customHeight="1" x14ac:dyDescent="0.25">
      <c r="A7655" s="5" t="str">
        <f>"H0027167"</f>
        <v>H0027167</v>
      </c>
      <c r="B7655"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5" s="6">
        <v>2641800</v>
      </c>
      <c r="D7655" s="5" t="s">
        <v>386</v>
      </c>
      <c r="E7655" s="5" t="str">
        <f t="shared" si="367"/>
        <v>URGENCIAS ADULTO-Jenny Peña</v>
      </c>
      <c r="F7655" s="5"/>
      <c r="G7655" s="5"/>
    </row>
    <row r="7656" spans="1:7" ht="58.5" customHeight="1" x14ac:dyDescent="0.25">
      <c r="A7656" s="5" t="str">
        <f>"H0027168"</f>
        <v>H0027168</v>
      </c>
      <c r="B7656"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6" s="6">
        <v>2641800</v>
      </c>
      <c r="D7656" s="5" t="s">
        <v>38</v>
      </c>
      <c r="E7656" s="5" t="str">
        <f t="shared" si="367"/>
        <v>URGENCIAS ADULTO-Jenny Peña</v>
      </c>
      <c r="F7656" s="5"/>
      <c r="G7656" s="5"/>
    </row>
    <row r="7657" spans="1:7" ht="58.5" customHeight="1" x14ac:dyDescent="0.25">
      <c r="A7657" s="5" t="str">
        <f>"H0027228"</f>
        <v>H0027228</v>
      </c>
      <c r="B7657" s="5" t="str">
        <f t="shared" si="36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57" s="6">
        <v>2641800</v>
      </c>
      <c r="D7657" s="5" t="s">
        <v>38</v>
      </c>
      <c r="E7657" s="5" t="str">
        <f t="shared" si="367"/>
        <v>URGENCIAS ADULTO-Jenny Peña</v>
      </c>
      <c r="F7657" s="5"/>
      <c r="G7657" s="5"/>
    </row>
    <row r="7658" spans="1:7" ht="58.5" customHeight="1" x14ac:dyDescent="0.25">
      <c r="A7658" s="5" t="str">
        <f>"H0027307"</f>
        <v>H0027307</v>
      </c>
      <c r="B7658" s="5" t="str">
        <f>"ALCOHOLIMETRO"</f>
        <v>ALCOHOLIMETRO</v>
      </c>
      <c r="C7658" s="6">
        <v>2049180</v>
      </c>
      <c r="D7658" s="5" t="s">
        <v>461</v>
      </c>
      <c r="E7658" s="5" t="str">
        <f t="shared" si="367"/>
        <v>URGENCIAS ADULTO-Jenny Peña</v>
      </c>
      <c r="F7658" s="5"/>
      <c r="G7658" s="5" t="str">
        <f>"CDP8800"</f>
        <v>CDP8800</v>
      </c>
    </row>
    <row r="7659" spans="1:7" ht="58.5" customHeight="1" x14ac:dyDescent="0.25">
      <c r="A7659" s="5" t="str">
        <f>"H0027327"</f>
        <v>H0027327</v>
      </c>
      <c r="B7659" s="5" t="str">
        <f>"ALCOHOLIMETRO"</f>
        <v>ALCOHOLIMETRO</v>
      </c>
      <c r="C7659" s="6">
        <v>2049180</v>
      </c>
      <c r="D7659" s="5" t="s">
        <v>461</v>
      </c>
      <c r="E7659" s="5" t="str">
        <f t="shared" si="367"/>
        <v>URGENCIAS ADULTO-Jenny Peña</v>
      </c>
      <c r="F7659" s="5"/>
      <c r="G7659" s="5" t="str">
        <f>"CDP 8800"</f>
        <v>CDP 8800</v>
      </c>
    </row>
    <row r="7660" spans="1:7" ht="58.5" customHeight="1" x14ac:dyDescent="0.25">
      <c r="A7660" s="5" t="str">
        <f>"H0027347"</f>
        <v>H0027347</v>
      </c>
      <c r="B7660" s="5" t="str">
        <f>"ELECTROCARDIOGRAFO"</f>
        <v>ELECTROCARDIOGRAFO</v>
      </c>
      <c r="C7660" s="6">
        <v>3011295</v>
      </c>
      <c r="D7660" s="5" t="s">
        <v>151</v>
      </c>
      <c r="E7660" s="5" t="str">
        <f t="shared" si="367"/>
        <v>URGENCIAS ADULTO-Jenny Peña</v>
      </c>
      <c r="F7660" s="5"/>
      <c r="G7660" s="5" t="str">
        <f>"BENEHEART D3"</f>
        <v>BENEHEART D3</v>
      </c>
    </row>
    <row r="7661" spans="1:7" ht="58.5" customHeight="1" x14ac:dyDescent="0.25">
      <c r="A7661" s="5" t="str">
        <f>"H0027348"</f>
        <v>H0027348</v>
      </c>
      <c r="B7661" s="5" t="str">
        <f>"ACCESS POINT ARUBA IAP-325 - Para Interiores - Bandas: 2.4-GHz (800 Mbps min) y 5-GHz (1.7 Gbps min) - Antenas 4x4 MIMO Omnidireccionales. - Soporte Protocolos 802.11ac - TIENE QUE INCLUIR INYECTOR PoE - Dos interfaces Ethernet RJ45 10/100/1000BASE-T - So"&amp; "porta balanceo de carga - Slot de seguridad Kensington - Botón de reseteo - Conector USB 2.0 o superior. - Certificación Wi-Fi Alliance certified 802.11a/b/g/n/ac"</f>
        <v>ACCESS POINT ARUBA IAP-325 - Para Interiores - Bandas: 2.4-GHz (800 Mbps min) y 5-GHz (1.7 Gbps min) - Antenas 4x4 MIMO Omnidireccionales. - Soporte Protocolos 802.11ac - TIENE QUE INCLUIR INYECTOR PoE - Dos interfaces Ethernet RJ45 10/100/1000BASE-T - Soporta balanceo de carga - Slot de seguridad Kensington - Botón de reseteo - Conector USB 2.0 o superior. - Certificación Wi-Fi Alliance certified 802.11a/b/g/n/ac</v>
      </c>
      <c r="C7661" s="6">
        <v>4379200</v>
      </c>
      <c r="D7661" s="5" t="s">
        <v>462</v>
      </c>
      <c r="E7661" s="5" t="str">
        <f t="shared" si="367"/>
        <v>URGENCIAS ADULTO-Jenny Peña</v>
      </c>
      <c r="F7661" s="5"/>
      <c r="G7661" s="5"/>
    </row>
    <row r="7662" spans="1:7" ht="58.5" customHeight="1" x14ac:dyDescent="0.25">
      <c r="A7662" s="5" t="str">
        <f>"H0027349"</f>
        <v>H0027349</v>
      </c>
      <c r="B7662" s="5" t="str">
        <f>"ACCESS POINT ARUBA IAP-325 - Para Interiores - Bandas: 2.4-GHz (800 Mbps min) y 5-GHz (1.7 Gbps min) - Antenas 4x4 MIMO Omnidireccionales. - Soporte Protocolos 802.11ac - TIENE QUE INCLUIR INYECTOR PoE - Dos interfaces Ethernet RJ45 10/100/1000BASE-T - So"&amp; "porta balanceo de carga - Slot de seguridad Kensington - Botón de reseteo - Conector USB 2.0 o superior. - Certificación Wi-Fi Alliance certified 802.11a/b/g/n/ac"</f>
        <v>ACCESS POINT ARUBA IAP-325 - Para Interiores - Bandas: 2.4-GHz (800 Mbps min) y 5-GHz (1.7 Gbps min) - Antenas 4x4 MIMO Omnidireccionales. - Soporte Protocolos 802.11ac - TIENE QUE INCLUIR INYECTOR PoE - Dos interfaces Ethernet RJ45 10/100/1000BASE-T - Soporta balanceo de carga - Slot de seguridad Kensington - Botón de reseteo - Conector USB 2.0 o superior. - Certificación Wi-Fi Alliance certified 802.11a/b/g/n/ac</v>
      </c>
      <c r="C7662" s="6">
        <v>4379200</v>
      </c>
      <c r="D7662" s="5" t="s">
        <v>462</v>
      </c>
      <c r="E7662" s="5" t="str">
        <f t="shared" si="367"/>
        <v>URGENCIAS ADULTO-Jenny Peña</v>
      </c>
      <c r="F7662" s="5"/>
      <c r="G7662" s="5"/>
    </row>
    <row r="7663" spans="1:7" ht="58.5" customHeight="1" x14ac:dyDescent="0.25">
      <c r="A7663" s="5" t="str">
        <f>"H0027350"</f>
        <v>H0027350</v>
      </c>
      <c r="B7663" s="5" t="str">
        <f>"ACCESS POINT ARUBA IAP-325 - Para Interiores - Bandas: 2.4-GHz (800 Mbps min) y 5-GHz (1.7 Gbps min) - Antenas 4x4 MIMO Omnidireccionales. - Soporte Protocolos 802.11ac - TIENE QUE INCLUIR INYECTOR PoE - Dos interfaces Ethernet RJ45 10/100/1000BASE-T - So"&amp; "porta balanceo de carga - Slot de seguridad Kensington - Botón de reseteo - Conector USB 2.0 o superior. - Certificación Wi-Fi Alliance certified 802.11a/b/g/n/ac"</f>
        <v>ACCESS POINT ARUBA IAP-325 - Para Interiores - Bandas: 2.4-GHz (800 Mbps min) y 5-GHz (1.7 Gbps min) - Antenas 4x4 MIMO Omnidireccionales. - Soporte Protocolos 802.11ac - TIENE QUE INCLUIR INYECTOR PoE - Dos interfaces Ethernet RJ45 10/100/1000BASE-T - Soporta balanceo de carga - Slot de seguridad Kensington - Botón de reseteo - Conector USB 2.0 o superior. - Certificación Wi-Fi Alliance certified 802.11a/b/g/n/ac</v>
      </c>
      <c r="C7663" s="6">
        <v>4379200</v>
      </c>
      <c r="D7663" s="5" t="s">
        <v>462</v>
      </c>
      <c r="E7663" s="5" t="str">
        <f t="shared" si="367"/>
        <v>URGENCIAS ADULTO-Jenny Peña</v>
      </c>
      <c r="F7663" s="5"/>
      <c r="G7663" s="5"/>
    </row>
    <row r="7664" spans="1:7" ht="58.5" customHeight="1" x14ac:dyDescent="0.25">
      <c r="A7664" s="5" t="str">
        <f>"H0027351"</f>
        <v>H0027351</v>
      </c>
      <c r="B766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664" s="6">
        <v>2641800</v>
      </c>
      <c r="D7664" s="5" t="s">
        <v>83</v>
      </c>
      <c r="E7664" s="5" t="str">
        <f t="shared" si="367"/>
        <v>URGENCIAS ADULTO-Jenny Peña</v>
      </c>
      <c r="F7664" s="5"/>
      <c r="G7664" s="5"/>
    </row>
    <row r="7665" spans="1:7" ht="58.5" customHeight="1" x14ac:dyDescent="0.25">
      <c r="A7665" s="5" t="str">
        <f>"H0027384"</f>
        <v>H0027384</v>
      </c>
      <c r="B7665"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7665" s="6">
        <v>589999.67000000004</v>
      </c>
      <c r="D7665" s="5" t="s">
        <v>83</v>
      </c>
      <c r="E7665" s="5" t="str">
        <f t="shared" si="367"/>
        <v>URGENCIAS ADULTO-Jenny Peña</v>
      </c>
      <c r="F7665" s="5"/>
      <c r="G7665" s="5"/>
    </row>
    <row r="7666" spans="1:7" ht="58.5" customHeight="1" x14ac:dyDescent="0.25">
      <c r="A7666" s="5" t="str">
        <f>"H0027397"</f>
        <v>H0027397</v>
      </c>
      <c r="B7666" s="5" t="str">
        <f>"ARCHIVADOR 8 GAVETAS VESTIER MUJERES"</f>
        <v>ARCHIVADOR 8 GAVETAS VESTIER MUJERES</v>
      </c>
      <c r="C7666" s="6">
        <v>550000</v>
      </c>
      <c r="D7666" s="5" t="s">
        <v>84</v>
      </c>
      <c r="E7666" s="5" t="str">
        <f t="shared" si="367"/>
        <v>URGENCIAS ADULTO-Jenny Peña</v>
      </c>
      <c r="F7666" s="5"/>
      <c r="G7666" s="5"/>
    </row>
    <row r="7667" spans="1:7" ht="58.5" customHeight="1" x14ac:dyDescent="0.25">
      <c r="A7667" s="5" t="str">
        <f>"H0027398"</f>
        <v>H0027398</v>
      </c>
      <c r="B7667" s="5" t="str">
        <f>"MUEBLE EN MADERA BLANCO 5 GAVETAS SALA RECUPERACION"</f>
        <v>MUEBLE EN MADERA BLANCO 5 GAVETAS SALA RECUPERACION</v>
      </c>
      <c r="C7667" s="6">
        <v>733333</v>
      </c>
      <c r="D7667" s="5" t="s">
        <v>84</v>
      </c>
      <c r="E7667" s="5" t="str">
        <f t="shared" si="367"/>
        <v>URGENCIAS ADULTO-Jenny Peña</v>
      </c>
      <c r="F7667" s="5"/>
      <c r="G7667" s="5"/>
    </row>
    <row r="7668" spans="1:7" ht="58.5" customHeight="1" x14ac:dyDescent="0.25">
      <c r="A7668" s="5" t="str">
        <f>"H0027401"</f>
        <v>H0027401</v>
      </c>
      <c r="B7668" s="5" t="str">
        <f>"BUTACO"</f>
        <v>BUTACO</v>
      </c>
      <c r="C7668" s="6">
        <v>36667</v>
      </c>
      <c r="D7668" s="5" t="s">
        <v>84</v>
      </c>
      <c r="E7668" s="5" t="str">
        <f t="shared" si="367"/>
        <v>URGENCIAS ADULTO-Jenny Peña</v>
      </c>
      <c r="F7668" s="5"/>
      <c r="G7668" s="5"/>
    </row>
    <row r="7669" spans="1:7" ht="58.5" customHeight="1" x14ac:dyDescent="0.25">
      <c r="A7669" s="5" t="str">
        <f>"H0027402"</f>
        <v>H0027402</v>
      </c>
      <c r="B7669" s="5" t="str">
        <f>"CAMILLA PARA EXAMEN"</f>
        <v>CAMILLA PARA EXAMEN</v>
      </c>
      <c r="C7669" s="6">
        <v>210833</v>
      </c>
      <c r="D7669" s="5" t="s">
        <v>84</v>
      </c>
      <c r="E7669" s="5" t="str">
        <f t="shared" si="367"/>
        <v>URGENCIAS ADULTO-Jenny Peña</v>
      </c>
      <c r="F7669" s="5"/>
      <c r="G7669" s="5"/>
    </row>
    <row r="7670" spans="1:7" ht="58.5" customHeight="1" x14ac:dyDescent="0.25">
      <c r="A7670" s="5" t="str">
        <f>"H0027470"</f>
        <v>H0027470</v>
      </c>
      <c r="B7670" s="5" t="str">
        <f t="shared" ref="B7670:B7692" si="368">"LECTOR DE HUELLAS DIGITALES"</f>
        <v>LECTOR DE HUELLAS DIGITALES</v>
      </c>
      <c r="C7670" s="6">
        <v>234000.41</v>
      </c>
      <c r="D7670" s="5" t="s">
        <v>83</v>
      </c>
      <c r="E7670" s="5" t="str">
        <f t="shared" si="367"/>
        <v>URGENCIAS ADULTO-Jenny Peña</v>
      </c>
      <c r="F7670" s="5"/>
      <c r="G7670" s="5"/>
    </row>
    <row r="7671" spans="1:7" ht="58.5" customHeight="1" x14ac:dyDescent="0.25">
      <c r="A7671" s="5" t="str">
        <f>"H0027476"</f>
        <v>H0027476</v>
      </c>
      <c r="B7671" s="5" t="str">
        <f t="shared" si="368"/>
        <v>LECTOR DE HUELLAS DIGITALES</v>
      </c>
      <c r="C7671" s="6">
        <v>234000.41</v>
      </c>
      <c r="D7671" s="5" t="s">
        <v>83</v>
      </c>
      <c r="E7671" s="5" t="str">
        <f t="shared" si="367"/>
        <v>URGENCIAS ADULTO-Jenny Peña</v>
      </c>
      <c r="F7671" s="5"/>
      <c r="G7671" s="5"/>
    </row>
    <row r="7672" spans="1:7" ht="58.5" customHeight="1" x14ac:dyDescent="0.25">
      <c r="A7672" s="5" t="str">
        <f>"H0027477"</f>
        <v>H0027477</v>
      </c>
      <c r="B7672" s="5" t="str">
        <f t="shared" si="368"/>
        <v>LECTOR DE HUELLAS DIGITALES</v>
      </c>
      <c r="C7672" s="6">
        <v>234000.41</v>
      </c>
      <c r="D7672" s="5" t="s">
        <v>83</v>
      </c>
      <c r="E7672" s="5" t="str">
        <f t="shared" si="367"/>
        <v>URGENCIAS ADULTO-Jenny Peña</v>
      </c>
      <c r="F7672" s="5"/>
      <c r="G7672" s="5"/>
    </row>
    <row r="7673" spans="1:7" ht="58.5" customHeight="1" x14ac:dyDescent="0.25">
      <c r="A7673" s="5" t="str">
        <f>"H0027479"</f>
        <v>H0027479</v>
      </c>
      <c r="B7673" s="5" t="str">
        <f t="shared" si="368"/>
        <v>LECTOR DE HUELLAS DIGITALES</v>
      </c>
      <c r="C7673" s="6">
        <v>234000.41</v>
      </c>
      <c r="D7673" s="5" t="s">
        <v>83</v>
      </c>
      <c r="E7673" s="5" t="str">
        <f t="shared" si="367"/>
        <v>URGENCIAS ADULTO-Jenny Peña</v>
      </c>
      <c r="F7673" s="5"/>
      <c r="G7673" s="5"/>
    </row>
    <row r="7674" spans="1:7" ht="58.5" customHeight="1" x14ac:dyDescent="0.25">
      <c r="A7674" s="5" t="str">
        <f>"H0027480"</f>
        <v>H0027480</v>
      </c>
      <c r="B7674" s="5" t="str">
        <f t="shared" si="368"/>
        <v>LECTOR DE HUELLAS DIGITALES</v>
      </c>
      <c r="C7674" s="6">
        <v>234000.41</v>
      </c>
      <c r="D7674" s="5" t="s">
        <v>83</v>
      </c>
      <c r="E7674" s="5" t="str">
        <f t="shared" si="367"/>
        <v>URGENCIAS ADULTO-Jenny Peña</v>
      </c>
      <c r="F7674" s="5"/>
      <c r="G7674" s="5"/>
    </row>
    <row r="7675" spans="1:7" ht="58.5" customHeight="1" x14ac:dyDescent="0.25">
      <c r="A7675" s="5" t="str">
        <f>"H0027486"</f>
        <v>H0027486</v>
      </c>
      <c r="B7675" s="5" t="str">
        <f t="shared" si="368"/>
        <v>LECTOR DE HUELLAS DIGITALES</v>
      </c>
      <c r="C7675" s="6">
        <v>234000.41</v>
      </c>
      <c r="D7675" s="5" t="s">
        <v>83</v>
      </c>
      <c r="E7675" s="5" t="str">
        <f t="shared" si="367"/>
        <v>URGENCIAS ADULTO-Jenny Peña</v>
      </c>
      <c r="F7675" s="5"/>
      <c r="G7675" s="5"/>
    </row>
    <row r="7676" spans="1:7" ht="58.5" customHeight="1" x14ac:dyDescent="0.25">
      <c r="A7676" s="5" t="str">
        <f>"H0027489"</f>
        <v>H0027489</v>
      </c>
      <c r="B7676" s="5" t="str">
        <f t="shared" si="368"/>
        <v>LECTOR DE HUELLAS DIGITALES</v>
      </c>
      <c r="C7676" s="6">
        <v>234000.41</v>
      </c>
      <c r="D7676" s="5" t="s">
        <v>83</v>
      </c>
      <c r="E7676" s="5" t="str">
        <f t="shared" si="367"/>
        <v>URGENCIAS ADULTO-Jenny Peña</v>
      </c>
      <c r="F7676" s="5"/>
      <c r="G7676" s="5"/>
    </row>
    <row r="7677" spans="1:7" ht="58.5" customHeight="1" x14ac:dyDescent="0.25">
      <c r="A7677" s="5" t="str">
        <f>"H0027491"</f>
        <v>H0027491</v>
      </c>
      <c r="B7677" s="5" t="str">
        <f t="shared" si="368"/>
        <v>LECTOR DE HUELLAS DIGITALES</v>
      </c>
      <c r="C7677" s="6">
        <v>234000.41</v>
      </c>
      <c r="D7677" s="5" t="s">
        <v>83</v>
      </c>
      <c r="E7677" s="5" t="str">
        <f t="shared" si="367"/>
        <v>URGENCIAS ADULTO-Jenny Peña</v>
      </c>
      <c r="F7677" s="5"/>
      <c r="G7677" s="5"/>
    </row>
    <row r="7678" spans="1:7" ht="58.5" customHeight="1" x14ac:dyDescent="0.25">
      <c r="A7678" s="5" t="str">
        <f>"H0027500"</f>
        <v>H0027500</v>
      </c>
      <c r="B7678" s="5" t="str">
        <f t="shared" si="368"/>
        <v>LECTOR DE HUELLAS DIGITALES</v>
      </c>
      <c r="C7678" s="6">
        <v>234000.41</v>
      </c>
      <c r="D7678" s="5" t="s">
        <v>83</v>
      </c>
      <c r="E7678" s="5" t="str">
        <f t="shared" si="367"/>
        <v>URGENCIAS ADULTO-Jenny Peña</v>
      </c>
      <c r="F7678" s="5"/>
      <c r="G7678" s="5"/>
    </row>
    <row r="7679" spans="1:7" ht="58.5" customHeight="1" x14ac:dyDescent="0.25">
      <c r="A7679" s="5" t="str">
        <f>"H0027501"</f>
        <v>H0027501</v>
      </c>
      <c r="B7679" s="5" t="str">
        <f t="shared" si="368"/>
        <v>LECTOR DE HUELLAS DIGITALES</v>
      </c>
      <c r="C7679" s="6">
        <v>234000.41</v>
      </c>
      <c r="D7679" s="5" t="s">
        <v>83</v>
      </c>
      <c r="E7679" s="5" t="str">
        <f t="shared" si="367"/>
        <v>URGENCIAS ADULTO-Jenny Peña</v>
      </c>
      <c r="F7679" s="5"/>
      <c r="G7679" s="5"/>
    </row>
    <row r="7680" spans="1:7" ht="58.5" customHeight="1" x14ac:dyDescent="0.25">
      <c r="A7680" s="5" t="str">
        <f>"H0027503"</f>
        <v>H0027503</v>
      </c>
      <c r="B7680" s="5" t="str">
        <f t="shared" si="368"/>
        <v>LECTOR DE HUELLAS DIGITALES</v>
      </c>
      <c r="C7680" s="6">
        <v>234000.41</v>
      </c>
      <c r="D7680" s="5" t="s">
        <v>83</v>
      </c>
      <c r="E7680" s="5" t="str">
        <f t="shared" si="367"/>
        <v>URGENCIAS ADULTO-Jenny Peña</v>
      </c>
      <c r="F7680" s="5"/>
      <c r="G7680" s="5"/>
    </row>
    <row r="7681" spans="1:7" ht="58.5" customHeight="1" x14ac:dyDescent="0.25">
      <c r="A7681" s="5" t="str">
        <f>"H0027504"</f>
        <v>H0027504</v>
      </c>
      <c r="B7681" s="5" t="str">
        <f t="shared" si="368"/>
        <v>LECTOR DE HUELLAS DIGITALES</v>
      </c>
      <c r="C7681" s="6">
        <v>234000.41</v>
      </c>
      <c r="D7681" s="5" t="s">
        <v>83</v>
      </c>
      <c r="E7681" s="5" t="str">
        <f t="shared" si="367"/>
        <v>URGENCIAS ADULTO-Jenny Peña</v>
      </c>
      <c r="F7681" s="5"/>
      <c r="G7681" s="5"/>
    </row>
    <row r="7682" spans="1:7" ht="58.5" customHeight="1" x14ac:dyDescent="0.25">
      <c r="A7682" s="5" t="str">
        <f>"H0027505"</f>
        <v>H0027505</v>
      </c>
      <c r="B7682" s="5" t="str">
        <f t="shared" si="368"/>
        <v>LECTOR DE HUELLAS DIGITALES</v>
      </c>
      <c r="C7682" s="6">
        <v>234000.41</v>
      </c>
      <c r="D7682" s="5" t="s">
        <v>83</v>
      </c>
      <c r="E7682" s="5" t="str">
        <f t="shared" si="367"/>
        <v>URGENCIAS ADULTO-Jenny Peña</v>
      </c>
      <c r="F7682" s="5"/>
      <c r="G7682" s="5"/>
    </row>
    <row r="7683" spans="1:7" ht="58.5" customHeight="1" x14ac:dyDescent="0.25">
      <c r="A7683" s="5" t="str">
        <f>"H0027506"</f>
        <v>H0027506</v>
      </c>
      <c r="B7683" s="5" t="str">
        <f t="shared" si="368"/>
        <v>LECTOR DE HUELLAS DIGITALES</v>
      </c>
      <c r="C7683" s="6">
        <v>234000.41</v>
      </c>
      <c r="D7683" s="5" t="s">
        <v>463</v>
      </c>
      <c r="E7683" s="5" t="str">
        <f t="shared" si="367"/>
        <v>URGENCIAS ADULTO-Jenny Peña</v>
      </c>
      <c r="F7683" s="5"/>
      <c r="G7683" s="5"/>
    </row>
    <row r="7684" spans="1:7" ht="58.5" customHeight="1" x14ac:dyDescent="0.25">
      <c r="A7684" s="5" t="str">
        <f>"H0027507"</f>
        <v>H0027507</v>
      </c>
      <c r="B7684" s="5" t="str">
        <f t="shared" si="368"/>
        <v>LECTOR DE HUELLAS DIGITALES</v>
      </c>
      <c r="C7684" s="6">
        <v>234000.41</v>
      </c>
      <c r="D7684" s="5" t="s">
        <v>83</v>
      </c>
      <c r="E7684" s="5" t="str">
        <f t="shared" si="367"/>
        <v>URGENCIAS ADULTO-Jenny Peña</v>
      </c>
      <c r="F7684" s="5"/>
      <c r="G7684" s="5"/>
    </row>
    <row r="7685" spans="1:7" ht="58.5" customHeight="1" x14ac:dyDescent="0.25">
      <c r="A7685" s="5" t="str">
        <f>"H0027508"</f>
        <v>H0027508</v>
      </c>
      <c r="B7685" s="5" t="str">
        <f t="shared" si="368"/>
        <v>LECTOR DE HUELLAS DIGITALES</v>
      </c>
      <c r="C7685" s="6">
        <v>234000.41</v>
      </c>
      <c r="D7685" s="5" t="s">
        <v>83</v>
      </c>
      <c r="E7685" s="5" t="str">
        <f t="shared" si="367"/>
        <v>URGENCIAS ADULTO-Jenny Peña</v>
      </c>
      <c r="F7685" s="5"/>
      <c r="G7685" s="5"/>
    </row>
    <row r="7686" spans="1:7" ht="58.5" customHeight="1" x14ac:dyDescent="0.25">
      <c r="A7686" s="5" t="str">
        <f>"H0027566"</f>
        <v>H0027566</v>
      </c>
      <c r="B7686" s="5" t="str">
        <f t="shared" si="368"/>
        <v>LECTOR DE HUELLAS DIGITALES</v>
      </c>
      <c r="C7686" s="6">
        <v>234000.41</v>
      </c>
      <c r="D7686" s="5" t="s">
        <v>83</v>
      </c>
      <c r="E7686" s="5" t="str">
        <f t="shared" si="367"/>
        <v>URGENCIAS ADULTO-Jenny Peña</v>
      </c>
      <c r="F7686" s="5"/>
      <c r="G7686" s="5"/>
    </row>
    <row r="7687" spans="1:7" ht="58.5" customHeight="1" x14ac:dyDescent="0.25">
      <c r="A7687" s="5" t="str">
        <f>"H0027569"</f>
        <v>H0027569</v>
      </c>
      <c r="B7687" s="5" t="str">
        <f t="shared" si="368"/>
        <v>LECTOR DE HUELLAS DIGITALES</v>
      </c>
      <c r="C7687" s="6">
        <v>234000.41</v>
      </c>
      <c r="D7687" s="5" t="s">
        <v>83</v>
      </c>
      <c r="E7687" s="5" t="str">
        <f t="shared" si="367"/>
        <v>URGENCIAS ADULTO-Jenny Peña</v>
      </c>
      <c r="F7687" s="5"/>
      <c r="G7687" s="5"/>
    </row>
    <row r="7688" spans="1:7" ht="58.5" customHeight="1" x14ac:dyDescent="0.25">
      <c r="A7688" s="5" t="str">
        <f>"H0027575"</f>
        <v>H0027575</v>
      </c>
      <c r="B7688" s="5" t="str">
        <f t="shared" si="368"/>
        <v>LECTOR DE HUELLAS DIGITALES</v>
      </c>
      <c r="C7688" s="6">
        <v>234000.41</v>
      </c>
      <c r="D7688" s="5" t="s">
        <v>354</v>
      </c>
      <c r="E7688" s="5" t="str">
        <f t="shared" si="367"/>
        <v>URGENCIAS ADULTO-Jenny Peña</v>
      </c>
      <c r="F7688" s="5"/>
      <c r="G7688" s="5"/>
    </row>
    <row r="7689" spans="1:7" ht="58.5" customHeight="1" x14ac:dyDescent="0.25">
      <c r="A7689" s="5" t="str">
        <f>"H0027576"</f>
        <v>H0027576</v>
      </c>
      <c r="B7689" s="5" t="str">
        <f t="shared" si="368"/>
        <v>LECTOR DE HUELLAS DIGITALES</v>
      </c>
      <c r="C7689" s="6">
        <v>234000.41</v>
      </c>
      <c r="D7689" s="5" t="s">
        <v>83</v>
      </c>
      <c r="E7689" s="5" t="str">
        <f t="shared" si="367"/>
        <v>URGENCIAS ADULTO-Jenny Peña</v>
      </c>
      <c r="F7689" s="5"/>
      <c r="G7689" s="5"/>
    </row>
    <row r="7690" spans="1:7" ht="58.5" customHeight="1" x14ac:dyDescent="0.25">
      <c r="A7690" s="5" t="str">
        <f>"H0027577"</f>
        <v>H0027577</v>
      </c>
      <c r="B7690" s="5" t="str">
        <f t="shared" si="368"/>
        <v>LECTOR DE HUELLAS DIGITALES</v>
      </c>
      <c r="C7690" s="6">
        <v>234000.41</v>
      </c>
      <c r="D7690" s="5" t="s">
        <v>83</v>
      </c>
      <c r="E7690" s="5" t="str">
        <f t="shared" si="367"/>
        <v>URGENCIAS ADULTO-Jenny Peña</v>
      </c>
      <c r="F7690" s="5"/>
      <c r="G7690" s="5"/>
    </row>
    <row r="7691" spans="1:7" ht="58.5" customHeight="1" x14ac:dyDescent="0.25">
      <c r="A7691" s="5" t="str">
        <f>"H0027578"</f>
        <v>H0027578</v>
      </c>
      <c r="B7691" s="5" t="str">
        <f t="shared" si="368"/>
        <v>LECTOR DE HUELLAS DIGITALES</v>
      </c>
      <c r="C7691" s="6">
        <v>234000.41</v>
      </c>
      <c r="D7691" s="5" t="s">
        <v>83</v>
      </c>
      <c r="E7691" s="5" t="str">
        <f t="shared" si="367"/>
        <v>URGENCIAS ADULTO-Jenny Peña</v>
      </c>
      <c r="F7691" s="5"/>
      <c r="G7691" s="5"/>
    </row>
    <row r="7692" spans="1:7" ht="58.5" customHeight="1" x14ac:dyDescent="0.25">
      <c r="A7692" s="5" t="str">
        <f>"H0027579"</f>
        <v>H0027579</v>
      </c>
      <c r="B7692" s="5" t="str">
        <f t="shared" si="368"/>
        <v>LECTOR DE HUELLAS DIGITALES</v>
      </c>
      <c r="C7692" s="6">
        <v>234000.41</v>
      </c>
      <c r="D7692" s="5" t="s">
        <v>83</v>
      </c>
      <c r="E7692" s="5" t="str">
        <f t="shared" si="367"/>
        <v>URGENCIAS ADULTO-Jenny Peña</v>
      </c>
      <c r="F7692" s="5"/>
      <c r="G7692" s="5"/>
    </row>
    <row r="7693" spans="1:7" ht="58.5" customHeight="1" x14ac:dyDescent="0.25">
      <c r="A7693" s="5" t="str">
        <f>"H0027592"</f>
        <v>H0027592</v>
      </c>
      <c r="B7693" s="5" t="str">
        <f>"LARINGOSCOPIO ADULTO"</f>
        <v>LARINGOSCOPIO ADULTO</v>
      </c>
      <c r="C7693" s="6">
        <v>913920</v>
      </c>
      <c r="D7693" s="5" t="s">
        <v>84</v>
      </c>
      <c r="E7693" s="5" t="str">
        <f t="shared" si="367"/>
        <v>URGENCIAS ADULTO-Jenny Peña</v>
      </c>
      <c r="F7693" s="5"/>
      <c r="G7693" s="5"/>
    </row>
    <row r="7694" spans="1:7" ht="58.5" customHeight="1" x14ac:dyDescent="0.25">
      <c r="A7694" s="5" t="str">
        <f>"H0027593"</f>
        <v>H0027593</v>
      </c>
      <c r="B7694" s="5" t="str">
        <f>"LARINGOSCOPIO ADULTO"</f>
        <v>LARINGOSCOPIO ADULTO</v>
      </c>
      <c r="C7694" s="6">
        <v>913920</v>
      </c>
      <c r="D7694" s="5" t="s">
        <v>84</v>
      </c>
      <c r="E7694" s="5" t="str">
        <f t="shared" si="367"/>
        <v>URGENCIAS ADULTO-Jenny Peña</v>
      </c>
      <c r="F7694" s="5"/>
      <c r="G7694" s="5"/>
    </row>
    <row r="7695" spans="1:7" ht="58.5" customHeight="1" x14ac:dyDescent="0.25">
      <c r="A7695" s="5" t="str">
        <f>"H0027594"</f>
        <v>H0027594</v>
      </c>
      <c r="B7695" s="5" t="str">
        <f>"LARINGOSCOPIO ADULTO"</f>
        <v>LARINGOSCOPIO ADULTO</v>
      </c>
      <c r="C7695" s="6">
        <v>913920</v>
      </c>
      <c r="D7695" s="5" t="s">
        <v>84</v>
      </c>
      <c r="E7695" s="5" t="str">
        <f t="shared" si="367"/>
        <v>URGENCIAS ADULTO-Jenny Peña</v>
      </c>
      <c r="F7695" s="5"/>
      <c r="G7695" s="5"/>
    </row>
    <row r="7696" spans="1:7" ht="58.5" customHeight="1" x14ac:dyDescent="0.25">
      <c r="A7696" s="5" t="str">
        <f>"H0027598"</f>
        <v>H0027598</v>
      </c>
      <c r="B7696" s="5" t="str">
        <f>"LARINGOSCOPIO ADULTO"</f>
        <v>LARINGOSCOPIO ADULTO</v>
      </c>
      <c r="C7696" s="6">
        <v>913920</v>
      </c>
      <c r="D7696" s="5" t="s">
        <v>84</v>
      </c>
      <c r="E7696" s="5" t="str">
        <f t="shared" si="367"/>
        <v>URGENCIAS ADULTO-Jenny Peña</v>
      </c>
      <c r="F7696" s="5"/>
      <c r="G7696" s="5"/>
    </row>
    <row r="7697" spans="1:7" ht="58.5" customHeight="1" x14ac:dyDescent="0.25">
      <c r="A7697" s="5" t="str">
        <f>"H0027614"</f>
        <v>H0027614</v>
      </c>
      <c r="B7697" s="5" t="str">
        <f>"ELECTROCARDIOGRAFO"</f>
        <v>ELECTROCARDIOGRAFO</v>
      </c>
      <c r="C7697" s="6">
        <v>3011295</v>
      </c>
      <c r="D7697" s="5" t="s">
        <v>84</v>
      </c>
      <c r="E7697" s="5" t="str">
        <f t="shared" si="367"/>
        <v>URGENCIAS ADULTO-Jenny Peña</v>
      </c>
      <c r="F7697" s="5"/>
      <c r="G7697" s="5" t="str">
        <f>"BENEHEAERT R3"</f>
        <v>BENEHEAERT R3</v>
      </c>
    </row>
    <row r="7698" spans="1:7" ht="58.5" customHeight="1" x14ac:dyDescent="0.25">
      <c r="A7698" s="5" t="str">
        <f>"H0027615"</f>
        <v>H0027615</v>
      </c>
      <c r="B7698" s="5" t="str">
        <f>"ELECTROCARDIOGRAFO"</f>
        <v>ELECTROCARDIOGRAFO</v>
      </c>
      <c r="C7698" s="6">
        <v>3011295</v>
      </c>
      <c r="D7698" s="5" t="s">
        <v>84</v>
      </c>
      <c r="E7698" s="5" t="str">
        <f t="shared" si="367"/>
        <v>URGENCIAS ADULTO-Jenny Peña</v>
      </c>
      <c r="F7698" s="5"/>
      <c r="G7698" s="5"/>
    </row>
    <row r="7699" spans="1:7" ht="58.5" customHeight="1" x14ac:dyDescent="0.25">
      <c r="A7699" s="5" t="str">
        <f>"H0027627"</f>
        <v>H0027627</v>
      </c>
      <c r="B7699" s="5" t="str">
        <f t="shared" ref="B7699:B7705" si="369">"EQUIPO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699" s="6">
        <v>2580000</v>
      </c>
      <c r="D7699" s="5" t="s">
        <v>85</v>
      </c>
      <c r="E7699" s="5" t="str">
        <f t="shared" si="367"/>
        <v>URGENCIAS ADULTO-Jenny Peña</v>
      </c>
      <c r="F7699" s="5"/>
      <c r="G7699" s="5"/>
    </row>
    <row r="7700" spans="1:7" ht="58.5" customHeight="1" x14ac:dyDescent="0.25">
      <c r="A7700" s="5" t="str">
        <f>"H0027628"</f>
        <v>H0027628</v>
      </c>
      <c r="B7700"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0" s="6">
        <v>2580000</v>
      </c>
      <c r="D7700" s="5" t="s">
        <v>85</v>
      </c>
      <c r="E7700" s="5" t="str">
        <f t="shared" si="367"/>
        <v>URGENCIAS ADULTO-Jenny Peña</v>
      </c>
      <c r="F7700" s="5"/>
      <c r="G7700" s="5"/>
    </row>
    <row r="7701" spans="1:7" ht="58.5" customHeight="1" x14ac:dyDescent="0.25">
      <c r="A7701" s="5" t="str">
        <f>"H0027629"</f>
        <v>H0027629</v>
      </c>
      <c r="B7701"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1" s="6">
        <v>2580000</v>
      </c>
      <c r="D7701" s="5" t="s">
        <v>85</v>
      </c>
      <c r="E7701" s="5" t="str">
        <f t="shared" si="367"/>
        <v>URGENCIAS ADULTO-Jenny Peña</v>
      </c>
      <c r="F7701" s="5"/>
      <c r="G7701" s="5"/>
    </row>
    <row r="7702" spans="1:7" ht="58.5" customHeight="1" x14ac:dyDescent="0.25">
      <c r="A7702" s="5" t="str">
        <f>"H0027630"</f>
        <v>H0027630</v>
      </c>
      <c r="B7702"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2" s="6">
        <v>2580000</v>
      </c>
      <c r="D7702" s="5" t="s">
        <v>85</v>
      </c>
      <c r="E7702" s="5" t="str">
        <f t="shared" si="367"/>
        <v>URGENCIAS ADULTO-Jenny Peña</v>
      </c>
      <c r="F7702" s="5"/>
      <c r="G7702" s="5"/>
    </row>
    <row r="7703" spans="1:7" ht="58.5" customHeight="1" x14ac:dyDescent="0.25">
      <c r="A7703" s="5" t="str">
        <f>"H0027631"</f>
        <v>H0027631</v>
      </c>
      <c r="B7703"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3" s="6">
        <v>2580000</v>
      </c>
      <c r="D7703" s="5" t="s">
        <v>85</v>
      </c>
      <c r="E7703" s="5" t="str">
        <f t="shared" si="367"/>
        <v>URGENCIAS ADULTO-Jenny Peña</v>
      </c>
      <c r="F7703" s="5"/>
      <c r="G7703" s="5"/>
    </row>
    <row r="7704" spans="1:7" ht="58.5" customHeight="1" x14ac:dyDescent="0.25">
      <c r="A7704" s="5" t="str">
        <f>"H0027632"</f>
        <v>H0027632</v>
      </c>
      <c r="B7704"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4" s="6">
        <v>2580000</v>
      </c>
      <c r="D7704" s="5" t="s">
        <v>85</v>
      </c>
      <c r="E7704" s="5" t="str">
        <f t="shared" si="367"/>
        <v>URGENCIAS ADULTO-Jenny Peña</v>
      </c>
      <c r="F7704" s="5"/>
      <c r="G7704" s="5"/>
    </row>
    <row r="7705" spans="1:7" ht="58.5" customHeight="1" x14ac:dyDescent="0.25">
      <c r="A7705" s="5" t="str">
        <f>"H0027640"</f>
        <v>H0027640</v>
      </c>
      <c r="B7705" s="5" t="str">
        <f t="shared" si="369"/>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05" s="6">
        <v>2580000</v>
      </c>
      <c r="D7705" s="5" t="s">
        <v>85</v>
      </c>
      <c r="E7705" s="5" t="str">
        <f t="shared" si="367"/>
        <v>URGENCIAS ADULTO-Jenny Peña</v>
      </c>
      <c r="F7705" s="5"/>
      <c r="G7705" s="5"/>
    </row>
    <row r="7706" spans="1:7" ht="58.5" customHeight="1" x14ac:dyDescent="0.25">
      <c r="A7706" s="5" t="str">
        <f>"H0028366"</f>
        <v>H0028366</v>
      </c>
      <c r="B7706" s="5" t="str">
        <f>"ELECTROCARDIOGRAFO"</f>
        <v>ELECTROCARDIOGRAFO</v>
      </c>
      <c r="C7706" s="6">
        <v>3011295000</v>
      </c>
      <c r="D7706" s="5" t="s">
        <v>464</v>
      </c>
      <c r="E7706" s="5" t="str">
        <f t="shared" si="367"/>
        <v>URGENCIAS ADULTO-Jenny Peña</v>
      </c>
      <c r="F7706" s="5"/>
      <c r="G7706" s="5" t="str">
        <f>"BENEHEART R3"</f>
        <v>BENEHEART R3</v>
      </c>
    </row>
    <row r="7707" spans="1:7" ht="58.5" customHeight="1" x14ac:dyDescent="0.25">
      <c r="A7707" s="5" t="str">
        <f>"H0028582"</f>
        <v>H0028582</v>
      </c>
      <c r="B7707" s="5" t="str">
        <f t="shared" ref="B7707:B7713" si="370">"MESA METALICA PARA COMPUTADOR"</f>
        <v>MESA METALICA PARA COMPUTADOR</v>
      </c>
      <c r="C7707" s="6">
        <v>447261.5</v>
      </c>
      <c r="D7707" s="5" t="s">
        <v>248</v>
      </c>
      <c r="E7707" s="5" t="str">
        <f t="shared" si="367"/>
        <v>URGENCIAS ADULTO-Jenny Peña</v>
      </c>
      <c r="F7707" s="5"/>
      <c r="G7707" s="5"/>
    </row>
    <row r="7708" spans="1:7" ht="58.5" customHeight="1" x14ac:dyDescent="0.25">
      <c r="A7708" s="5" t="str">
        <f>"H0028584"</f>
        <v>H0028584</v>
      </c>
      <c r="B7708" s="5" t="str">
        <f t="shared" si="370"/>
        <v>MESA METALICA PARA COMPUTADOR</v>
      </c>
      <c r="C7708" s="6">
        <v>447261.5</v>
      </c>
      <c r="D7708" s="5" t="s">
        <v>248</v>
      </c>
      <c r="E7708" s="5" t="str">
        <f t="shared" si="367"/>
        <v>URGENCIAS ADULTO-Jenny Peña</v>
      </c>
      <c r="F7708" s="5"/>
      <c r="G7708" s="5"/>
    </row>
    <row r="7709" spans="1:7" ht="58.5" customHeight="1" x14ac:dyDescent="0.25">
      <c r="A7709" s="5" t="str">
        <f>"H0028585"</f>
        <v>H0028585</v>
      </c>
      <c r="B7709" s="5" t="str">
        <f t="shared" si="370"/>
        <v>MESA METALICA PARA COMPUTADOR</v>
      </c>
      <c r="C7709" s="6">
        <v>447261.5</v>
      </c>
      <c r="D7709" s="5" t="s">
        <v>248</v>
      </c>
      <c r="E7709" s="5" t="str">
        <f t="shared" si="367"/>
        <v>URGENCIAS ADULTO-Jenny Peña</v>
      </c>
      <c r="F7709" s="5"/>
      <c r="G7709" s="5"/>
    </row>
    <row r="7710" spans="1:7" ht="58.5" customHeight="1" x14ac:dyDescent="0.25">
      <c r="A7710" s="5" t="str">
        <f>"H0028586"</f>
        <v>H0028586</v>
      </c>
      <c r="B7710" s="5" t="str">
        <f t="shared" si="370"/>
        <v>MESA METALICA PARA COMPUTADOR</v>
      </c>
      <c r="C7710" s="6">
        <v>447261.5</v>
      </c>
      <c r="D7710" s="5" t="s">
        <v>248</v>
      </c>
      <c r="E7710" s="5" t="str">
        <f t="shared" si="367"/>
        <v>URGENCIAS ADULTO-Jenny Peña</v>
      </c>
      <c r="F7710" s="5"/>
      <c r="G7710" s="5"/>
    </row>
    <row r="7711" spans="1:7" ht="58.5" customHeight="1" x14ac:dyDescent="0.25">
      <c r="A7711" s="5" t="str">
        <f>"H0028587"</f>
        <v>H0028587</v>
      </c>
      <c r="B7711" s="5" t="str">
        <f t="shared" si="370"/>
        <v>MESA METALICA PARA COMPUTADOR</v>
      </c>
      <c r="C7711" s="6">
        <v>447261.5</v>
      </c>
      <c r="D7711" s="5" t="s">
        <v>248</v>
      </c>
      <c r="E7711" s="5" t="str">
        <f t="shared" si="367"/>
        <v>URGENCIAS ADULTO-Jenny Peña</v>
      </c>
      <c r="F7711" s="5"/>
      <c r="G7711" s="5"/>
    </row>
    <row r="7712" spans="1:7" ht="58.5" customHeight="1" x14ac:dyDescent="0.25">
      <c r="A7712" s="5" t="str">
        <f>"H0028598"</f>
        <v>H0028598</v>
      </c>
      <c r="B7712" s="5" t="str">
        <f t="shared" si="370"/>
        <v>MESA METALICA PARA COMPUTADOR</v>
      </c>
      <c r="C7712" s="6">
        <v>447261.5</v>
      </c>
      <c r="D7712" s="5" t="s">
        <v>248</v>
      </c>
      <c r="E7712" s="5" t="str">
        <f t="shared" si="367"/>
        <v>URGENCIAS ADULTO-Jenny Peña</v>
      </c>
      <c r="F7712" s="5"/>
      <c r="G7712" s="5"/>
    </row>
    <row r="7713" spans="1:7" ht="58.5" customHeight="1" x14ac:dyDescent="0.25">
      <c r="A7713" s="5" t="str">
        <f>"H0028599"</f>
        <v>H0028599</v>
      </c>
      <c r="B7713" s="5" t="str">
        <f t="shared" si="370"/>
        <v>MESA METALICA PARA COMPUTADOR</v>
      </c>
      <c r="C7713" s="6">
        <v>447261.5</v>
      </c>
      <c r="D7713" s="5" t="s">
        <v>248</v>
      </c>
      <c r="E7713" s="5" t="str">
        <f t="shared" si="367"/>
        <v>URGENCIAS ADULTO-Jenny Peña</v>
      </c>
      <c r="F7713" s="5"/>
      <c r="G7713" s="5"/>
    </row>
    <row r="7714" spans="1:7" ht="58.5" customHeight="1" x14ac:dyDescent="0.25">
      <c r="A7714" s="5" t="str">
        <f>"H0028738"</f>
        <v>H0028738</v>
      </c>
      <c r="B7714" s="5" t="str">
        <f>"VENTILADOR PULMONAR PORTATIL"</f>
        <v>VENTILADOR PULMONAR PORTATIL</v>
      </c>
      <c r="C7714" s="6">
        <v>36668604</v>
      </c>
      <c r="D7714" s="5" t="s">
        <v>153</v>
      </c>
      <c r="E7714" s="5" t="str">
        <f t="shared" si="367"/>
        <v>URGENCIAS ADULTO-Jenny Peña</v>
      </c>
      <c r="F7714" s="5"/>
      <c r="G7714" s="5"/>
    </row>
    <row r="7715" spans="1:7" ht="58.5" customHeight="1" x14ac:dyDescent="0.25">
      <c r="A7715" s="5" t="str">
        <f>"H0028750"</f>
        <v>H0028750</v>
      </c>
      <c r="B7715" s="5" t="str">
        <f>"NEVERA MINI BAR DE 93 LT"</f>
        <v>NEVERA MINI BAR DE 93 LT</v>
      </c>
      <c r="C7715" s="6">
        <v>479900.02</v>
      </c>
      <c r="D7715" s="5" t="s">
        <v>39</v>
      </c>
      <c r="E7715" s="5" t="str">
        <f t="shared" si="367"/>
        <v>URGENCIAS ADULTO-Jenny Peña</v>
      </c>
      <c r="F7715" s="5"/>
      <c r="G7715" s="5" t="str">
        <f>"HYUNDAI"</f>
        <v>HYUNDAI</v>
      </c>
    </row>
    <row r="7716" spans="1:7" ht="58.5" customHeight="1" x14ac:dyDescent="0.25">
      <c r="A7716" s="5" t="str">
        <f>"H0028764"</f>
        <v>H0028764</v>
      </c>
      <c r="B7716" s="5" t="str">
        <f t="shared" ref="B7716:B7723" si="371">"SILLA HERGONOMICA CON SISTEMA HIDRAULICO"</f>
        <v>SILLA HERGONOMICA CON SISTEMA HIDRAULICO</v>
      </c>
      <c r="C7716" s="6">
        <v>174900</v>
      </c>
      <c r="D7716" s="5" t="s">
        <v>39</v>
      </c>
      <c r="E7716" s="5" t="str">
        <f t="shared" si="367"/>
        <v>URGENCIAS ADULTO-Jenny Peña</v>
      </c>
      <c r="F7716" s="5"/>
      <c r="G7716" s="5"/>
    </row>
    <row r="7717" spans="1:7" ht="58.5" customHeight="1" x14ac:dyDescent="0.25">
      <c r="A7717" s="5" t="str">
        <f>"H0028766"</f>
        <v>H0028766</v>
      </c>
      <c r="B7717" s="5" t="str">
        <f t="shared" si="371"/>
        <v>SILLA HERGONOMICA CON SISTEMA HIDRAULICO</v>
      </c>
      <c r="C7717" s="6">
        <v>174900</v>
      </c>
      <c r="D7717" s="5" t="s">
        <v>39</v>
      </c>
      <c r="E7717" s="5" t="str">
        <f t="shared" ref="E7717:E7780" si="372">"URGENCIAS ADULTO-Jenny Peña"</f>
        <v>URGENCIAS ADULTO-Jenny Peña</v>
      </c>
      <c r="F7717" s="5"/>
      <c r="G7717" s="5"/>
    </row>
    <row r="7718" spans="1:7" ht="58.5" customHeight="1" x14ac:dyDescent="0.25">
      <c r="A7718" s="5" t="str">
        <f>"H0028772"</f>
        <v>H0028772</v>
      </c>
      <c r="B7718" s="5" t="str">
        <f t="shared" si="371"/>
        <v>SILLA HERGONOMICA CON SISTEMA HIDRAULICO</v>
      </c>
      <c r="C7718" s="6">
        <v>174900</v>
      </c>
      <c r="D7718" s="5" t="s">
        <v>39</v>
      </c>
      <c r="E7718" s="5" t="str">
        <f t="shared" si="372"/>
        <v>URGENCIAS ADULTO-Jenny Peña</v>
      </c>
      <c r="F7718" s="5"/>
      <c r="G7718" s="5"/>
    </row>
    <row r="7719" spans="1:7" ht="58.5" customHeight="1" x14ac:dyDescent="0.25">
      <c r="A7719" s="5" t="str">
        <f>"H0028773"</f>
        <v>H0028773</v>
      </c>
      <c r="B7719" s="5" t="str">
        <f t="shared" si="371"/>
        <v>SILLA HERGONOMICA CON SISTEMA HIDRAULICO</v>
      </c>
      <c r="C7719" s="6">
        <v>174900</v>
      </c>
      <c r="D7719" s="5" t="s">
        <v>39</v>
      </c>
      <c r="E7719" s="5" t="str">
        <f t="shared" si="372"/>
        <v>URGENCIAS ADULTO-Jenny Peña</v>
      </c>
      <c r="F7719" s="5"/>
      <c r="G7719" s="5"/>
    </row>
    <row r="7720" spans="1:7" ht="58.5" customHeight="1" x14ac:dyDescent="0.25">
      <c r="A7720" s="5" t="str">
        <f>"H0028774"</f>
        <v>H0028774</v>
      </c>
      <c r="B7720" s="5" t="str">
        <f t="shared" si="371"/>
        <v>SILLA HERGONOMICA CON SISTEMA HIDRAULICO</v>
      </c>
      <c r="C7720" s="6">
        <v>174900</v>
      </c>
      <c r="D7720" s="5" t="s">
        <v>39</v>
      </c>
      <c r="E7720" s="5" t="str">
        <f t="shared" si="372"/>
        <v>URGENCIAS ADULTO-Jenny Peña</v>
      </c>
      <c r="F7720" s="5"/>
      <c r="G7720" s="5"/>
    </row>
    <row r="7721" spans="1:7" ht="58.5" customHeight="1" x14ac:dyDescent="0.25">
      <c r="A7721" s="5" t="str">
        <f>"H0028777"</f>
        <v>H0028777</v>
      </c>
      <c r="B7721" s="5" t="str">
        <f t="shared" si="371"/>
        <v>SILLA HERGONOMICA CON SISTEMA HIDRAULICO</v>
      </c>
      <c r="C7721" s="6">
        <v>174900</v>
      </c>
      <c r="D7721" s="5" t="s">
        <v>39</v>
      </c>
      <c r="E7721" s="5" t="str">
        <f t="shared" si="372"/>
        <v>URGENCIAS ADULTO-Jenny Peña</v>
      </c>
      <c r="F7721" s="5"/>
      <c r="G7721" s="5"/>
    </row>
    <row r="7722" spans="1:7" ht="58.5" customHeight="1" x14ac:dyDescent="0.25">
      <c r="A7722" s="5" t="str">
        <f>"H0028782"</f>
        <v>H0028782</v>
      </c>
      <c r="B7722" s="5" t="str">
        <f t="shared" si="371"/>
        <v>SILLA HERGONOMICA CON SISTEMA HIDRAULICO</v>
      </c>
      <c r="C7722" s="6">
        <v>174900</v>
      </c>
      <c r="D7722" s="5" t="s">
        <v>39</v>
      </c>
      <c r="E7722" s="5" t="str">
        <f t="shared" si="372"/>
        <v>URGENCIAS ADULTO-Jenny Peña</v>
      </c>
      <c r="F7722" s="5"/>
      <c r="G7722" s="5"/>
    </row>
    <row r="7723" spans="1:7" ht="58.5" customHeight="1" x14ac:dyDescent="0.25">
      <c r="A7723" s="5" t="str">
        <f>"H0028783"</f>
        <v>H0028783</v>
      </c>
      <c r="B7723" s="5" t="str">
        <f t="shared" si="371"/>
        <v>SILLA HERGONOMICA CON SISTEMA HIDRAULICO</v>
      </c>
      <c r="C7723" s="6">
        <v>174900</v>
      </c>
      <c r="D7723" s="5" t="s">
        <v>39</v>
      </c>
      <c r="E7723" s="5" t="str">
        <f t="shared" si="372"/>
        <v>URGENCIAS ADULTO-Jenny Peña</v>
      </c>
      <c r="F7723" s="5"/>
      <c r="G7723" s="5"/>
    </row>
    <row r="7724" spans="1:7" ht="58.5" customHeight="1" x14ac:dyDescent="0.25">
      <c r="A7724" s="5" t="str">
        <f>"H0029070"</f>
        <v>H0029070</v>
      </c>
      <c r="B7724" s="5" t="str">
        <f>"CALENTADOR CORPORAL"</f>
        <v>CALENTADOR CORPORAL</v>
      </c>
      <c r="C7724" s="6">
        <v>6889877.4299999997</v>
      </c>
      <c r="D7724" s="5" t="s">
        <v>308</v>
      </c>
      <c r="E7724" s="5" t="str">
        <f t="shared" si="372"/>
        <v>URGENCIAS ADULTO-Jenny Peña</v>
      </c>
      <c r="F7724" s="5"/>
      <c r="G7724" s="5"/>
    </row>
    <row r="7725" spans="1:7" ht="58.5" customHeight="1" x14ac:dyDescent="0.25">
      <c r="A7725" s="5" t="str">
        <f>"H0029129"</f>
        <v>H0029129</v>
      </c>
      <c r="B7725" s="5" t="str">
        <f>"ECOGRAFO PORTATIL (Proyecto Minsalud)"</f>
        <v>ECOGRAFO PORTATIL (Proyecto Minsalud)</v>
      </c>
      <c r="C7725" s="6">
        <v>129710000</v>
      </c>
      <c r="D7725" s="5" t="s">
        <v>249</v>
      </c>
      <c r="E7725" s="5" t="str">
        <f t="shared" si="372"/>
        <v>URGENCIAS ADULTO-Jenny Peña</v>
      </c>
      <c r="F7725" s="5"/>
      <c r="G7725" s="5" t="str">
        <f>"M7"</f>
        <v>M7</v>
      </c>
    </row>
    <row r="7726" spans="1:7" ht="58.5" customHeight="1" x14ac:dyDescent="0.25">
      <c r="A7726" s="5" t="str">
        <f>"H0029148"</f>
        <v>H0029148</v>
      </c>
      <c r="B772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726" s="6">
        <v>2902000</v>
      </c>
      <c r="D7726" s="5" t="s">
        <v>13</v>
      </c>
      <c r="E7726" s="5" t="str">
        <f t="shared" si="372"/>
        <v>URGENCIAS ADULTO-Jenny Peña</v>
      </c>
      <c r="F7726" s="5"/>
      <c r="G7726" s="5"/>
    </row>
    <row r="7727" spans="1:7" ht="58.5" customHeight="1" x14ac:dyDescent="0.25">
      <c r="A7727" s="5" t="str">
        <f>"H0029149"</f>
        <v>H0029149</v>
      </c>
      <c r="B772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727" s="6">
        <v>2902000</v>
      </c>
      <c r="D7727" s="5" t="s">
        <v>13</v>
      </c>
      <c r="E7727" s="5" t="str">
        <f t="shared" si="372"/>
        <v>URGENCIAS ADULTO-Jenny Peña</v>
      </c>
      <c r="F7727" s="5"/>
      <c r="G7727" s="5"/>
    </row>
    <row r="7728" spans="1:7" ht="58.5" customHeight="1" x14ac:dyDescent="0.25">
      <c r="A7728" s="5" t="str">
        <f>"H0029150"</f>
        <v>H0029150</v>
      </c>
      <c r="B7728"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7728" s="6">
        <v>2902000</v>
      </c>
      <c r="D7728" s="5" t="s">
        <v>13</v>
      </c>
      <c r="E7728" s="5" t="str">
        <f t="shared" si="372"/>
        <v>URGENCIAS ADULTO-Jenny Peña</v>
      </c>
      <c r="F7728" s="5"/>
      <c r="G7728" s="5"/>
    </row>
    <row r="7729" spans="1:7" ht="58.5" customHeight="1" x14ac:dyDescent="0.25">
      <c r="A7729" s="5" t="str">
        <f>"H0029155"</f>
        <v>H0029155</v>
      </c>
      <c r="B7729"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29" s="6">
        <v>2425000</v>
      </c>
      <c r="D7729" s="5" t="s">
        <v>13</v>
      </c>
      <c r="E7729" s="5" t="str">
        <f t="shared" si="372"/>
        <v>URGENCIAS ADULTO-Jenny Peña</v>
      </c>
      <c r="F7729" s="5"/>
      <c r="G7729" s="5"/>
    </row>
    <row r="7730" spans="1:7" ht="58.5" customHeight="1" x14ac:dyDescent="0.25">
      <c r="A7730" s="5" t="str">
        <f>"H0029156"</f>
        <v>H0029156</v>
      </c>
      <c r="B773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30" s="6">
        <v>2425000</v>
      </c>
      <c r="D7730" s="5" t="s">
        <v>13</v>
      </c>
      <c r="E7730" s="5" t="str">
        <f t="shared" si="372"/>
        <v>URGENCIAS ADULTO-Jenny Peña</v>
      </c>
      <c r="F7730" s="5"/>
      <c r="G7730" s="5"/>
    </row>
    <row r="7731" spans="1:7" ht="58.5" customHeight="1" x14ac:dyDescent="0.25">
      <c r="A7731" s="5" t="str">
        <f>"H0029157"</f>
        <v>H0029157</v>
      </c>
      <c r="B773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7731" s="6">
        <v>2425000</v>
      </c>
      <c r="D7731" s="5" t="s">
        <v>13</v>
      </c>
      <c r="E7731" s="5" t="str">
        <f t="shared" si="372"/>
        <v>URGENCIAS ADULTO-Jenny Peña</v>
      </c>
      <c r="F7731" s="5"/>
      <c r="G7731" s="5"/>
    </row>
    <row r="7732" spans="1:7" ht="58.5" customHeight="1" x14ac:dyDescent="0.25">
      <c r="A7732" s="5" t="str">
        <f>"H0029164"</f>
        <v>H0029164</v>
      </c>
      <c r="B7732" s="5" t="str">
        <f t="shared" ref="B7732:B7743" si="373">"MONITOR DE SIGNOS VITALES"</f>
        <v>MONITOR DE SIGNOS VITALES</v>
      </c>
      <c r="C7732" s="6">
        <v>5950000</v>
      </c>
      <c r="D7732" s="5" t="s">
        <v>13</v>
      </c>
      <c r="E7732" s="5" t="str">
        <f t="shared" si="372"/>
        <v>URGENCIAS ADULTO-Jenny Peña</v>
      </c>
      <c r="F7732" s="5"/>
      <c r="G7732" s="5"/>
    </row>
    <row r="7733" spans="1:7" ht="58.5" customHeight="1" x14ac:dyDescent="0.25">
      <c r="A7733" s="5" t="str">
        <f>"H0029165"</f>
        <v>H0029165</v>
      </c>
      <c r="B7733" s="5" t="str">
        <f t="shared" si="373"/>
        <v>MONITOR DE SIGNOS VITALES</v>
      </c>
      <c r="C7733" s="6">
        <v>5950000</v>
      </c>
      <c r="D7733" s="5" t="s">
        <v>13</v>
      </c>
      <c r="E7733" s="5" t="str">
        <f t="shared" si="372"/>
        <v>URGENCIAS ADULTO-Jenny Peña</v>
      </c>
      <c r="F7733" s="5"/>
      <c r="G7733" s="5"/>
    </row>
    <row r="7734" spans="1:7" ht="58.5" customHeight="1" x14ac:dyDescent="0.25">
      <c r="A7734" s="5" t="str">
        <f>"H0029169"</f>
        <v>H0029169</v>
      </c>
      <c r="B7734" s="5" t="str">
        <f t="shared" si="373"/>
        <v>MONITOR DE SIGNOS VITALES</v>
      </c>
      <c r="C7734" s="6">
        <v>5950000</v>
      </c>
      <c r="D7734" s="5" t="s">
        <v>13</v>
      </c>
      <c r="E7734" s="5" t="str">
        <f t="shared" si="372"/>
        <v>URGENCIAS ADULTO-Jenny Peña</v>
      </c>
      <c r="F7734" s="5"/>
      <c r="G7734" s="5"/>
    </row>
    <row r="7735" spans="1:7" ht="58.5" customHeight="1" x14ac:dyDescent="0.25">
      <c r="A7735" s="5" t="str">
        <f>"H0029172"</f>
        <v>H0029172</v>
      </c>
      <c r="B7735" s="5" t="str">
        <f t="shared" si="373"/>
        <v>MONITOR DE SIGNOS VITALES</v>
      </c>
      <c r="C7735" s="6">
        <v>5950000</v>
      </c>
      <c r="D7735" s="5" t="s">
        <v>13</v>
      </c>
      <c r="E7735" s="5" t="str">
        <f t="shared" si="372"/>
        <v>URGENCIAS ADULTO-Jenny Peña</v>
      </c>
      <c r="F7735" s="5"/>
      <c r="G7735" s="5"/>
    </row>
    <row r="7736" spans="1:7" ht="58.5" customHeight="1" x14ac:dyDescent="0.25">
      <c r="A7736" s="5" t="str">
        <f>"H0029173"</f>
        <v>H0029173</v>
      </c>
      <c r="B7736" s="5" t="str">
        <f t="shared" si="373"/>
        <v>MONITOR DE SIGNOS VITALES</v>
      </c>
      <c r="C7736" s="6">
        <v>5950000</v>
      </c>
      <c r="D7736" s="5" t="s">
        <v>13</v>
      </c>
      <c r="E7736" s="5" t="str">
        <f t="shared" si="372"/>
        <v>URGENCIAS ADULTO-Jenny Peña</v>
      </c>
      <c r="F7736" s="5"/>
      <c r="G7736" s="5"/>
    </row>
    <row r="7737" spans="1:7" ht="58.5" customHeight="1" x14ac:dyDescent="0.25">
      <c r="A7737" s="5" t="str">
        <f>"H0029174"</f>
        <v>H0029174</v>
      </c>
      <c r="B7737" s="5" t="str">
        <f t="shared" si="373"/>
        <v>MONITOR DE SIGNOS VITALES</v>
      </c>
      <c r="C7737" s="6">
        <v>5950000</v>
      </c>
      <c r="D7737" s="5" t="s">
        <v>13</v>
      </c>
      <c r="E7737" s="5" t="str">
        <f t="shared" si="372"/>
        <v>URGENCIAS ADULTO-Jenny Peña</v>
      </c>
      <c r="F7737" s="5"/>
      <c r="G7737" s="5"/>
    </row>
    <row r="7738" spans="1:7" ht="58.5" customHeight="1" x14ac:dyDescent="0.25">
      <c r="A7738" s="5" t="str">
        <f>"H0029175"</f>
        <v>H0029175</v>
      </c>
      <c r="B7738" s="5" t="str">
        <f t="shared" si="373"/>
        <v>MONITOR DE SIGNOS VITALES</v>
      </c>
      <c r="C7738" s="6">
        <v>5950000</v>
      </c>
      <c r="D7738" s="5" t="s">
        <v>13</v>
      </c>
      <c r="E7738" s="5" t="str">
        <f t="shared" si="372"/>
        <v>URGENCIAS ADULTO-Jenny Peña</v>
      </c>
      <c r="F7738" s="5"/>
      <c r="G7738" s="5"/>
    </row>
    <row r="7739" spans="1:7" ht="58.5" customHeight="1" x14ac:dyDescent="0.25">
      <c r="A7739" s="5" t="str">
        <f>"H0029177"</f>
        <v>H0029177</v>
      </c>
      <c r="B7739" s="5" t="str">
        <f t="shared" si="373"/>
        <v>MONITOR DE SIGNOS VITALES</v>
      </c>
      <c r="C7739" s="6">
        <v>5950000</v>
      </c>
      <c r="D7739" s="5" t="s">
        <v>13</v>
      </c>
      <c r="E7739" s="5" t="str">
        <f t="shared" si="372"/>
        <v>URGENCIAS ADULTO-Jenny Peña</v>
      </c>
      <c r="F7739" s="5"/>
      <c r="G7739" s="5"/>
    </row>
    <row r="7740" spans="1:7" ht="58.5" customHeight="1" x14ac:dyDescent="0.25">
      <c r="A7740" s="5" t="str">
        <f>"H0029180"</f>
        <v>H0029180</v>
      </c>
      <c r="B7740" s="5" t="str">
        <f t="shared" si="373"/>
        <v>MONITOR DE SIGNOS VITALES</v>
      </c>
      <c r="C7740" s="6">
        <v>5950000</v>
      </c>
      <c r="D7740" s="5" t="s">
        <v>13</v>
      </c>
      <c r="E7740" s="5" t="str">
        <f t="shared" si="372"/>
        <v>URGENCIAS ADULTO-Jenny Peña</v>
      </c>
      <c r="F7740" s="5"/>
      <c r="G7740" s="5"/>
    </row>
    <row r="7741" spans="1:7" ht="58.5" customHeight="1" x14ac:dyDescent="0.25">
      <c r="A7741" s="5" t="str">
        <f>"H0029185"</f>
        <v>H0029185</v>
      </c>
      <c r="B7741" s="5" t="str">
        <f t="shared" si="373"/>
        <v>MONITOR DE SIGNOS VITALES</v>
      </c>
      <c r="C7741" s="6">
        <v>5950000</v>
      </c>
      <c r="D7741" s="5" t="s">
        <v>308</v>
      </c>
      <c r="E7741" s="5" t="str">
        <f t="shared" si="372"/>
        <v>URGENCIAS ADULTO-Jenny Peña</v>
      </c>
      <c r="F7741" s="5"/>
      <c r="G7741" s="5"/>
    </row>
    <row r="7742" spans="1:7" ht="58.5" customHeight="1" x14ac:dyDescent="0.25">
      <c r="A7742" s="5" t="str">
        <f>"H0029190"</f>
        <v>H0029190</v>
      </c>
      <c r="B7742" s="5" t="str">
        <f t="shared" si="373"/>
        <v>MONITOR DE SIGNOS VITALES</v>
      </c>
      <c r="C7742" s="6">
        <v>5950000</v>
      </c>
      <c r="D7742" s="5" t="s">
        <v>13</v>
      </c>
      <c r="E7742" s="5" t="str">
        <f t="shared" si="372"/>
        <v>URGENCIAS ADULTO-Jenny Peña</v>
      </c>
      <c r="F7742" s="5"/>
      <c r="G7742" s="5"/>
    </row>
    <row r="7743" spans="1:7" ht="58.5" customHeight="1" x14ac:dyDescent="0.25">
      <c r="A7743" s="5" t="str">
        <f>"H0029194"</f>
        <v>H0029194</v>
      </c>
      <c r="B7743" s="5" t="str">
        <f t="shared" si="373"/>
        <v>MONITOR DE SIGNOS VITALES</v>
      </c>
      <c r="C7743" s="6">
        <v>5950000</v>
      </c>
      <c r="D7743" s="5" t="s">
        <v>13</v>
      </c>
      <c r="E7743" s="5" t="str">
        <f t="shared" si="372"/>
        <v>URGENCIAS ADULTO-Jenny Peña</v>
      </c>
      <c r="F7743" s="5"/>
      <c r="G7743" s="5"/>
    </row>
    <row r="7744" spans="1:7" ht="58.5" customHeight="1" x14ac:dyDescent="0.25">
      <c r="A7744" s="5" t="str">
        <f>"H0029367"</f>
        <v>H0029367</v>
      </c>
      <c r="B7744" s="5" t="str">
        <f>"SILLA HERGONOMICA CON SISTEMA HIDRAULICO"</f>
        <v>SILLA HERGONOMICA CON SISTEMA HIDRAULICO</v>
      </c>
      <c r="C7744" s="6">
        <v>174900</v>
      </c>
      <c r="D7744" s="5" t="s">
        <v>465</v>
      </c>
      <c r="E7744" s="5" t="str">
        <f t="shared" si="372"/>
        <v>URGENCIAS ADULTO-Jenny Peña</v>
      </c>
      <c r="F7744" s="5"/>
      <c r="G7744" s="5"/>
    </row>
    <row r="7745" spans="1:7" ht="58.5" customHeight="1" x14ac:dyDescent="0.25">
      <c r="A7745" s="5" t="str">
        <f>"H0029473"</f>
        <v>H0029473</v>
      </c>
      <c r="B7745" s="5" t="str">
        <f>"LECTOR DE HUELLAS DIGITALES"</f>
        <v>LECTOR DE HUELLAS DIGITALES</v>
      </c>
      <c r="C7745" s="6">
        <v>309400</v>
      </c>
      <c r="D7745" s="5" t="s">
        <v>14</v>
      </c>
      <c r="E7745" s="5" t="str">
        <f t="shared" si="372"/>
        <v>URGENCIAS ADULTO-Jenny Peña</v>
      </c>
      <c r="F7745" s="5"/>
      <c r="G7745" s="5"/>
    </row>
    <row r="7746" spans="1:7" ht="58.5" customHeight="1" x14ac:dyDescent="0.25">
      <c r="A7746" s="5" t="str">
        <f>"H0029474"</f>
        <v>H0029474</v>
      </c>
      <c r="B7746" s="5" t="str">
        <f>"LECTOR DE HUELLAS DIGITALES"</f>
        <v>LECTOR DE HUELLAS DIGITALES</v>
      </c>
      <c r="C7746" s="6">
        <v>309400</v>
      </c>
      <c r="D7746" s="5" t="s">
        <v>14</v>
      </c>
      <c r="E7746" s="5" t="str">
        <f t="shared" si="372"/>
        <v>URGENCIAS ADULTO-Jenny Peña</v>
      </c>
      <c r="F7746" s="5"/>
      <c r="G7746" s="5"/>
    </row>
    <row r="7747" spans="1:7" ht="58.5" customHeight="1" x14ac:dyDescent="0.25">
      <c r="A7747" s="5" t="str">
        <f>"H0029475"</f>
        <v>H0029475</v>
      </c>
      <c r="B7747" s="5" t="str">
        <f>"LECTOR DE HUELLAS DIGITALES"</f>
        <v>LECTOR DE HUELLAS DIGITALES</v>
      </c>
      <c r="C7747" s="6">
        <v>309400</v>
      </c>
      <c r="D7747" s="5" t="s">
        <v>14</v>
      </c>
      <c r="E7747" s="5" t="str">
        <f t="shared" si="372"/>
        <v>URGENCIAS ADULTO-Jenny Peña</v>
      </c>
      <c r="F7747" s="5"/>
      <c r="G7747" s="5"/>
    </row>
    <row r="7748" spans="1:7" ht="58.5" customHeight="1" x14ac:dyDescent="0.25">
      <c r="A7748" s="5" t="str">
        <f>"H0029493"</f>
        <v>H0029493</v>
      </c>
      <c r="B774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748" s="6">
        <v>257040</v>
      </c>
      <c r="D7748" s="5" t="s">
        <v>14</v>
      </c>
      <c r="E7748" s="5" t="str">
        <f t="shared" si="372"/>
        <v>URGENCIAS ADULTO-Jenny Peña</v>
      </c>
      <c r="F7748" s="5"/>
      <c r="G7748" s="5"/>
    </row>
    <row r="7749" spans="1:7" ht="58.5" customHeight="1" x14ac:dyDescent="0.25">
      <c r="A7749" s="5" t="str">
        <f>"H0029494"</f>
        <v>H0029494</v>
      </c>
      <c r="B774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749" s="6">
        <v>257040</v>
      </c>
      <c r="D7749" s="5" t="s">
        <v>14</v>
      </c>
      <c r="E7749" s="5" t="str">
        <f t="shared" si="372"/>
        <v>URGENCIAS ADULTO-Jenny Peña</v>
      </c>
      <c r="F7749" s="5"/>
      <c r="G7749" s="5"/>
    </row>
    <row r="7750" spans="1:7" ht="58.5" customHeight="1" x14ac:dyDescent="0.25">
      <c r="A7750" s="5" t="str">
        <f>"H0029502"</f>
        <v>H0029502</v>
      </c>
      <c r="B775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750" s="6">
        <v>257040</v>
      </c>
      <c r="D7750" s="5" t="s">
        <v>14</v>
      </c>
      <c r="E7750" s="5" t="str">
        <f t="shared" si="372"/>
        <v>URGENCIAS ADULTO-Jenny Peña</v>
      </c>
      <c r="F7750" s="5"/>
      <c r="G7750" s="5"/>
    </row>
    <row r="7751" spans="1:7" ht="58.5" customHeight="1" x14ac:dyDescent="0.25">
      <c r="A7751" s="5" t="str">
        <f>"H0029511"</f>
        <v>H0029511</v>
      </c>
      <c r="B775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7751" s="6">
        <v>257040</v>
      </c>
      <c r="D7751" s="5" t="s">
        <v>14</v>
      </c>
      <c r="E7751" s="5" t="str">
        <f t="shared" si="372"/>
        <v>URGENCIAS ADULTO-Jenny Peña</v>
      </c>
      <c r="F7751" s="5"/>
      <c r="G7751" s="5"/>
    </row>
    <row r="7752" spans="1:7" ht="58.5" customHeight="1" x14ac:dyDescent="0.25">
      <c r="A7752" s="5" t="str">
        <f>"H0029759"</f>
        <v>H0029759</v>
      </c>
      <c r="B7752" s="5" t="s">
        <v>94</v>
      </c>
      <c r="C7752" s="6">
        <v>148999.9</v>
      </c>
      <c r="D7752" s="5" t="s">
        <v>93</v>
      </c>
      <c r="E7752" s="5" t="str">
        <f t="shared" si="372"/>
        <v>URGENCIAS ADULTO-Jenny Peña</v>
      </c>
      <c r="F7752" s="5"/>
      <c r="G7752" s="5"/>
    </row>
    <row r="7753" spans="1:7" ht="58.5" customHeight="1" x14ac:dyDescent="0.25">
      <c r="A7753" s="5" t="str">
        <f>"H0029791"</f>
        <v>H0029791</v>
      </c>
      <c r="B7753" s="5" t="s">
        <v>96</v>
      </c>
      <c r="C7753" s="6">
        <v>169000.22</v>
      </c>
      <c r="D7753" s="5" t="s">
        <v>93</v>
      </c>
      <c r="E7753" s="5" t="str">
        <f t="shared" si="372"/>
        <v>URGENCIAS ADULTO-Jenny Peña</v>
      </c>
      <c r="F7753" s="5"/>
      <c r="G7753" s="5"/>
    </row>
    <row r="7754" spans="1:7" ht="58.5" customHeight="1" x14ac:dyDescent="0.25">
      <c r="A7754" s="5" t="str">
        <f>"H0029854"</f>
        <v>H0029854</v>
      </c>
      <c r="B7754" s="5" t="str">
        <f t="shared" ref="B7754:B7760" si="374">"CARRO MOVIL PARA COMPUTADOR PORTATIL CON CANASTA"</f>
        <v>CARRO MOVIL PARA COMPUTADOR PORTATIL CON CANASTA</v>
      </c>
      <c r="C7754" s="6">
        <v>420000</v>
      </c>
      <c r="D7754" s="5" t="s">
        <v>313</v>
      </c>
      <c r="E7754" s="5" t="str">
        <f t="shared" si="372"/>
        <v>URGENCIAS ADULTO-Jenny Peña</v>
      </c>
      <c r="F7754" s="5"/>
      <c r="G7754" s="5"/>
    </row>
    <row r="7755" spans="1:7" ht="58.5" customHeight="1" x14ac:dyDescent="0.25">
      <c r="A7755" s="5" t="str">
        <f>"H0029855"</f>
        <v>H0029855</v>
      </c>
      <c r="B7755" s="5" t="str">
        <f t="shared" si="374"/>
        <v>CARRO MOVIL PARA COMPUTADOR PORTATIL CON CANASTA</v>
      </c>
      <c r="C7755" s="6">
        <v>420000</v>
      </c>
      <c r="D7755" s="5" t="s">
        <v>313</v>
      </c>
      <c r="E7755" s="5" t="str">
        <f t="shared" si="372"/>
        <v>URGENCIAS ADULTO-Jenny Peña</v>
      </c>
      <c r="F7755" s="5"/>
      <c r="G7755" s="5"/>
    </row>
    <row r="7756" spans="1:7" ht="58.5" customHeight="1" x14ac:dyDescent="0.25">
      <c r="A7756" s="5" t="str">
        <f>"H0029856"</f>
        <v>H0029856</v>
      </c>
      <c r="B7756" s="5" t="str">
        <f t="shared" si="374"/>
        <v>CARRO MOVIL PARA COMPUTADOR PORTATIL CON CANASTA</v>
      </c>
      <c r="C7756" s="6">
        <v>420000</v>
      </c>
      <c r="D7756" s="5" t="s">
        <v>313</v>
      </c>
      <c r="E7756" s="5" t="str">
        <f t="shared" si="372"/>
        <v>URGENCIAS ADULTO-Jenny Peña</v>
      </c>
      <c r="F7756" s="5"/>
      <c r="G7756" s="5"/>
    </row>
    <row r="7757" spans="1:7" ht="58.5" customHeight="1" x14ac:dyDescent="0.25">
      <c r="A7757" s="5" t="str">
        <f>"H0029857"</f>
        <v>H0029857</v>
      </c>
      <c r="B7757" s="5" t="str">
        <f t="shared" si="374"/>
        <v>CARRO MOVIL PARA COMPUTADOR PORTATIL CON CANASTA</v>
      </c>
      <c r="C7757" s="6">
        <v>420000</v>
      </c>
      <c r="D7757" s="5" t="s">
        <v>313</v>
      </c>
      <c r="E7757" s="5" t="str">
        <f t="shared" si="372"/>
        <v>URGENCIAS ADULTO-Jenny Peña</v>
      </c>
      <c r="F7757" s="5"/>
      <c r="G7757" s="5"/>
    </row>
    <row r="7758" spans="1:7" ht="58.5" customHeight="1" x14ac:dyDescent="0.25">
      <c r="A7758" s="5" t="str">
        <f>"H0029858"</f>
        <v>H0029858</v>
      </c>
      <c r="B7758" s="5" t="str">
        <f t="shared" si="374"/>
        <v>CARRO MOVIL PARA COMPUTADOR PORTATIL CON CANASTA</v>
      </c>
      <c r="C7758" s="6">
        <v>420000</v>
      </c>
      <c r="D7758" s="5" t="s">
        <v>313</v>
      </c>
      <c r="E7758" s="5" t="str">
        <f t="shared" si="372"/>
        <v>URGENCIAS ADULTO-Jenny Peña</v>
      </c>
      <c r="F7758" s="5"/>
      <c r="G7758" s="5"/>
    </row>
    <row r="7759" spans="1:7" ht="58.5" customHeight="1" x14ac:dyDescent="0.25">
      <c r="A7759" s="5" t="str">
        <f>"H0029859"</f>
        <v>H0029859</v>
      </c>
      <c r="B7759" s="5" t="str">
        <f t="shared" si="374"/>
        <v>CARRO MOVIL PARA COMPUTADOR PORTATIL CON CANASTA</v>
      </c>
      <c r="C7759" s="6">
        <v>420000</v>
      </c>
      <c r="D7759" s="5" t="s">
        <v>313</v>
      </c>
      <c r="E7759" s="5" t="str">
        <f t="shared" si="372"/>
        <v>URGENCIAS ADULTO-Jenny Peña</v>
      </c>
      <c r="F7759" s="5"/>
      <c r="G7759" s="5"/>
    </row>
    <row r="7760" spans="1:7" ht="58.5" customHeight="1" x14ac:dyDescent="0.25">
      <c r="A7760" s="5" t="str">
        <f>"H0029860"</f>
        <v>H0029860</v>
      </c>
      <c r="B7760" s="5" t="str">
        <f t="shared" si="374"/>
        <v>CARRO MOVIL PARA COMPUTADOR PORTATIL CON CANASTA</v>
      </c>
      <c r="C7760" s="6">
        <v>420000</v>
      </c>
      <c r="D7760" s="5" t="s">
        <v>313</v>
      </c>
      <c r="E7760" s="5" t="str">
        <f t="shared" si="372"/>
        <v>URGENCIAS ADULTO-Jenny Peña</v>
      </c>
      <c r="F7760" s="5"/>
      <c r="G7760" s="5"/>
    </row>
    <row r="7761" spans="1:7" ht="58.5" customHeight="1" x14ac:dyDescent="0.25">
      <c r="A7761" s="5" t="str">
        <f>"H0029866"</f>
        <v>H0029866</v>
      </c>
      <c r="B7761" s="5" t="str">
        <f>"CARTELERA EN ACRILICO CRISTAL 4mm, CON BASE MDF DE 12mm INSTALADA CON DILATADORES EN ACERO"</f>
        <v>CARTELERA EN ACRILICO CRISTAL 4mm, CON BASE MDF DE 12mm INSTALADA CON DILATADORES EN ACERO</v>
      </c>
      <c r="C7761" s="6">
        <v>750000</v>
      </c>
      <c r="D7761" s="5" t="s">
        <v>225</v>
      </c>
      <c r="E7761" s="5" t="str">
        <f t="shared" si="372"/>
        <v>URGENCIAS ADULTO-Jenny Peña</v>
      </c>
      <c r="F7761" s="5"/>
      <c r="G7761" s="5"/>
    </row>
    <row r="7762" spans="1:7" ht="58.5" customHeight="1" x14ac:dyDescent="0.25">
      <c r="A7762" s="5" t="str">
        <f>"H0029867"</f>
        <v>H0029867</v>
      </c>
      <c r="B7762" s="5" t="str">
        <f>"CARTELERA EN ACRILICO CRISTAL 4mm, CON BASE MDF DE 12mm INSTALADA CON DILATADORES EN ACERO"</f>
        <v>CARTELERA EN ACRILICO CRISTAL 4mm, CON BASE MDF DE 12mm INSTALADA CON DILATADORES EN ACERO</v>
      </c>
      <c r="C7762" s="6">
        <v>750000</v>
      </c>
      <c r="D7762" s="5" t="s">
        <v>225</v>
      </c>
      <c r="E7762" s="5" t="str">
        <f t="shared" si="372"/>
        <v>URGENCIAS ADULTO-Jenny Peña</v>
      </c>
      <c r="F7762" s="5"/>
      <c r="G7762" s="5"/>
    </row>
    <row r="7763" spans="1:7" ht="58.5" customHeight="1" x14ac:dyDescent="0.25">
      <c r="A7763" s="5" t="str">
        <f>"H0029873"</f>
        <v>H0029873</v>
      </c>
      <c r="B7763" s="5" t="str">
        <f>"AIRE STARLIGHT PISO TECHO 5TR 60000 BTU INVERTER EQUIPO TRIFASIXO XON DESPENSADORA DE DESCARGA VERTICAL"</f>
        <v>AIRE STARLIGHT PISO TECHO 5TR 60000 BTU INVERTER EQUIPO TRIFASIXO XON DESPENSADORA DE DESCARGA VERTICAL</v>
      </c>
      <c r="C7763" s="6">
        <v>7710084</v>
      </c>
      <c r="D7763" s="5" t="s">
        <v>225</v>
      </c>
      <c r="E7763" s="5" t="str">
        <f t="shared" si="372"/>
        <v>URGENCIAS ADULTO-Jenny Peña</v>
      </c>
      <c r="F7763" s="5"/>
      <c r="G7763" s="5"/>
    </row>
    <row r="7764" spans="1:7" ht="58.5" customHeight="1" x14ac:dyDescent="0.25">
      <c r="A7764" s="5" t="str">
        <f>"H0029874"</f>
        <v>H0029874</v>
      </c>
      <c r="B7764" s="5" t="str">
        <f>"AIRE DE PAQUETE MONOFASICO DE 5TR INCLUYE DUCTERIA Y MANO DE OBRA DE INSTALACIÓN"</f>
        <v>AIRE DE PAQUETE MONOFASICO DE 5TR INCLUYE DUCTERIA Y MANO DE OBRA DE INSTALACIÓN</v>
      </c>
      <c r="C7764" s="6">
        <v>8800000</v>
      </c>
      <c r="D7764" s="5" t="s">
        <v>225</v>
      </c>
      <c r="E7764" s="5" t="str">
        <f t="shared" si="372"/>
        <v>URGENCIAS ADULTO-Jenny Peña</v>
      </c>
      <c r="F7764" s="5"/>
      <c r="G7764" s="5"/>
    </row>
    <row r="7765" spans="1:7" ht="58.5" customHeight="1" x14ac:dyDescent="0.25">
      <c r="A7765" s="5" t="str">
        <f>"H0029875"</f>
        <v>H0029875</v>
      </c>
      <c r="B7765" s="5" t="str">
        <f>"AIRE DE PAQUETE MONOFASICO DE 5TR INCLUYE DUCTERIA Y MANO DE OBRA DE INSTALACIÓN"</f>
        <v>AIRE DE PAQUETE MONOFASICO DE 5TR INCLUYE DUCTERIA Y MANO DE OBRA DE INSTALACIÓN</v>
      </c>
      <c r="C7765" s="6">
        <v>8800000</v>
      </c>
      <c r="D7765" s="5" t="s">
        <v>225</v>
      </c>
      <c r="E7765" s="5" t="str">
        <f t="shared" si="372"/>
        <v>URGENCIAS ADULTO-Jenny Peña</v>
      </c>
      <c r="F7765" s="5"/>
      <c r="G7765" s="5"/>
    </row>
    <row r="7766" spans="1:7" ht="58.5" customHeight="1" x14ac:dyDescent="0.25">
      <c r="A7766" s="5" t="str">
        <f>"H0029876"</f>
        <v>H0029876</v>
      </c>
      <c r="B7766" s="5" t="str">
        <f>"SUMINISTRO INSTALACION Y PUESTA EN FUNCIONAMIENTO A TODO COSTO DE CARPA TIPO CAMPAMENTO, TAMAÑO 6MT X 20MT TECHO A 2 AGUAS, PISO TECHO EN LONA INDUSTRIAL, IMPRESIÓN DE 2 CENEFAS LOGOS Y DOS LOGOS INSTITUCIONALES, CON DOS PUERTAS, 10 VENTANAS EN MALLA Y CO"&amp; "RTINA ENRROLLABLE, PISO INDUSTRIAL, INCLUYE SUMINISTRO, CARGUE Y DESCARGUE."</f>
        <v>SUMINISTRO INSTALACION Y PUESTA EN FUNCIONAMIENTO A TODO COSTO DE CARPA TIPO CAMPAMENTO, TAMAÑO 6MT X 20MT TECHO A 2 AGUAS, PISO TECHO EN LONA INDUSTRIAL, IMPRESIÓN DE 2 CENEFAS LOGOS Y DOS LOGOS INSTITUCIONALES, CON DOS PUERTAS, 10 VENTANAS EN MALLA Y CORTINA ENRROLLABLE, PISO INDUSTRIAL, INCLUYE SUMINISTRO, CARGUE Y DESCARGUE.</v>
      </c>
      <c r="C7766" s="6">
        <v>22790000</v>
      </c>
      <c r="D7766" s="5" t="s">
        <v>225</v>
      </c>
      <c r="E7766" s="5" t="str">
        <f t="shared" si="372"/>
        <v>URGENCIAS ADULTO-Jenny Peña</v>
      </c>
      <c r="F7766" s="5"/>
      <c r="G7766" s="5"/>
    </row>
    <row r="7767" spans="1:7" ht="58.5" customHeight="1" x14ac:dyDescent="0.25">
      <c r="A7767" s="5" t="str">
        <f>"H0029883"</f>
        <v>H0029883</v>
      </c>
      <c r="B7767" s="5" t="str">
        <f t="shared" ref="B7767:B7786" si="375">"SILLA MULTIPROPOSITO MANUAL R5 SOPORTE PIES"</f>
        <v>SILLA MULTIPROPOSITO MANUAL R5 SOPORTE PIES</v>
      </c>
      <c r="C7767" s="6">
        <v>2481121</v>
      </c>
      <c r="D7767" s="5" t="s">
        <v>225</v>
      </c>
      <c r="E7767" s="5" t="str">
        <f t="shared" si="372"/>
        <v>URGENCIAS ADULTO-Jenny Peña</v>
      </c>
      <c r="F7767" s="5"/>
      <c r="G7767" s="5"/>
    </row>
    <row r="7768" spans="1:7" ht="58.5" customHeight="1" x14ac:dyDescent="0.25">
      <c r="A7768" s="5" t="str">
        <f>"H0029884"</f>
        <v>H0029884</v>
      </c>
      <c r="B7768" s="5" t="str">
        <f t="shared" si="375"/>
        <v>SILLA MULTIPROPOSITO MANUAL R5 SOPORTE PIES</v>
      </c>
      <c r="C7768" s="6">
        <v>2481121</v>
      </c>
      <c r="D7768" s="5" t="s">
        <v>225</v>
      </c>
      <c r="E7768" s="5" t="str">
        <f t="shared" si="372"/>
        <v>URGENCIAS ADULTO-Jenny Peña</v>
      </c>
      <c r="F7768" s="5"/>
      <c r="G7768" s="5"/>
    </row>
    <row r="7769" spans="1:7" ht="58.5" customHeight="1" x14ac:dyDescent="0.25">
      <c r="A7769" s="5" t="str">
        <f>"H0029885"</f>
        <v>H0029885</v>
      </c>
      <c r="B7769" s="5" t="str">
        <f t="shared" si="375"/>
        <v>SILLA MULTIPROPOSITO MANUAL R5 SOPORTE PIES</v>
      </c>
      <c r="C7769" s="6">
        <v>2481121</v>
      </c>
      <c r="D7769" s="5" t="s">
        <v>225</v>
      </c>
      <c r="E7769" s="5" t="str">
        <f t="shared" si="372"/>
        <v>URGENCIAS ADULTO-Jenny Peña</v>
      </c>
      <c r="F7769" s="5"/>
      <c r="G7769" s="5"/>
    </row>
    <row r="7770" spans="1:7" ht="58.5" customHeight="1" x14ac:dyDescent="0.25">
      <c r="A7770" s="5" t="str">
        <f>"H0029886"</f>
        <v>H0029886</v>
      </c>
      <c r="B7770" s="5" t="str">
        <f t="shared" si="375"/>
        <v>SILLA MULTIPROPOSITO MANUAL R5 SOPORTE PIES</v>
      </c>
      <c r="C7770" s="6">
        <v>2481121</v>
      </c>
      <c r="D7770" s="5" t="s">
        <v>466</v>
      </c>
      <c r="E7770" s="5" t="str">
        <f t="shared" si="372"/>
        <v>URGENCIAS ADULTO-Jenny Peña</v>
      </c>
      <c r="F7770" s="5"/>
      <c r="G7770" s="5"/>
    </row>
    <row r="7771" spans="1:7" ht="58.5" customHeight="1" x14ac:dyDescent="0.25">
      <c r="A7771" s="5" t="str">
        <f>"H0029887"</f>
        <v>H0029887</v>
      </c>
      <c r="B7771" s="5" t="str">
        <f t="shared" si="375"/>
        <v>SILLA MULTIPROPOSITO MANUAL R5 SOPORTE PIES</v>
      </c>
      <c r="C7771" s="6">
        <v>2481121</v>
      </c>
      <c r="D7771" s="5" t="s">
        <v>225</v>
      </c>
      <c r="E7771" s="5" t="str">
        <f t="shared" si="372"/>
        <v>URGENCIAS ADULTO-Jenny Peña</v>
      </c>
      <c r="F7771" s="5"/>
      <c r="G7771" s="5"/>
    </row>
    <row r="7772" spans="1:7" ht="58.5" customHeight="1" x14ac:dyDescent="0.25">
      <c r="A7772" s="5" t="str">
        <f>"H0029888"</f>
        <v>H0029888</v>
      </c>
      <c r="B7772" s="5" t="str">
        <f t="shared" si="375"/>
        <v>SILLA MULTIPROPOSITO MANUAL R5 SOPORTE PIES</v>
      </c>
      <c r="C7772" s="6">
        <v>2481121</v>
      </c>
      <c r="D7772" s="5" t="s">
        <v>225</v>
      </c>
      <c r="E7772" s="5" t="str">
        <f t="shared" si="372"/>
        <v>URGENCIAS ADULTO-Jenny Peña</v>
      </c>
      <c r="F7772" s="5"/>
      <c r="G7772" s="5"/>
    </row>
    <row r="7773" spans="1:7" ht="58.5" customHeight="1" x14ac:dyDescent="0.25">
      <c r="A7773" s="5" t="str">
        <f>"H0029889"</f>
        <v>H0029889</v>
      </c>
      <c r="B7773" s="5" t="str">
        <f t="shared" si="375"/>
        <v>SILLA MULTIPROPOSITO MANUAL R5 SOPORTE PIES</v>
      </c>
      <c r="C7773" s="6">
        <v>2481121</v>
      </c>
      <c r="D7773" s="5" t="s">
        <v>225</v>
      </c>
      <c r="E7773" s="5" t="str">
        <f t="shared" si="372"/>
        <v>URGENCIAS ADULTO-Jenny Peña</v>
      </c>
      <c r="F7773" s="5"/>
      <c r="G7773" s="5"/>
    </row>
    <row r="7774" spans="1:7" ht="58.5" customHeight="1" x14ac:dyDescent="0.25">
      <c r="A7774" s="5" t="str">
        <f>"H0029890"</f>
        <v>H0029890</v>
      </c>
      <c r="B7774" s="5" t="str">
        <f t="shared" si="375"/>
        <v>SILLA MULTIPROPOSITO MANUAL R5 SOPORTE PIES</v>
      </c>
      <c r="C7774" s="6">
        <v>2481121</v>
      </c>
      <c r="D7774" s="5" t="s">
        <v>225</v>
      </c>
      <c r="E7774" s="5" t="str">
        <f t="shared" si="372"/>
        <v>URGENCIAS ADULTO-Jenny Peña</v>
      </c>
      <c r="F7774" s="5"/>
      <c r="G7774" s="5"/>
    </row>
    <row r="7775" spans="1:7" ht="58.5" customHeight="1" x14ac:dyDescent="0.25">
      <c r="A7775" s="5" t="str">
        <f>"H0029891"</f>
        <v>H0029891</v>
      </c>
      <c r="B7775" s="5" t="str">
        <f t="shared" si="375"/>
        <v>SILLA MULTIPROPOSITO MANUAL R5 SOPORTE PIES</v>
      </c>
      <c r="C7775" s="6">
        <v>2481121</v>
      </c>
      <c r="D7775" s="5" t="s">
        <v>225</v>
      </c>
      <c r="E7775" s="5" t="str">
        <f t="shared" si="372"/>
        <v>URGENCIAS ADULTO-Jenny Peña</v>
      </c>
      <c r="F7775" s="5"/>
      <c r="G7775" s="5"/>
    </row>
    <row r="7776" spans="1:7" ht="58.5" customHeight="1" x14ac:dyDescent="0.25">
      <c r="A7776" s="5" t="str">
        <f>"H0029892"</f>
        <v>H0029892</v>
      </c>
      <c r="B7776" s="5" t="str">
        <f t="shared" si="375"/>
        <v>SILLA MULTIPROPOSITO MANUAL R5 SOPORTE PIES</v>
      </c>
      <c r="C7776" s="6">
        <v>2481121</v>
      </c>
      <c r="D7776" s="5" t="s">
        <v>225</v>
      </c>
      <c r="E7776" s="5" t="str">
        <f t="shared" si="372"/>
        <v>URGENCIAS ADULTO-Jenny Peña</v>
      </c>
      <c r="F7776" s="5"/>
      <c r="G7776" s="5"/>
    </row>
    <row r="7777" spans="1:7" ht="58.5" customHeight="1" x14ac:dyDescent="0.25">
      <c r="A7777" s="5" t="str">
        <f>"H0029893"</f>
        <v>H0029893</v>
      </c>
      <c r="B7777" s="5" t="str">
        <f t="shared" si="375"/>
        <v>SILLA MULTIPROPOSITO MANUAL R5 SOPORTE PIES</v>
      </c>
      <c r="C7777" s="6">
        <v>2481121</v>
      </c>
      <c r="D7777" s="5" t="s">
        <v>225</v>
      </c>
      <c r="E7777" s="5" t="str">
        <f t="shared" si="372"/>
        <v>URGENCIAS ADULTO-Jenny Peña</v>
      </c>
      <c r="F7777" s="5"/>
      <c r="G7777" s="5"/>
    </row>
    <row r="7778" spans="1:7" ht="58.5" customHeight="1" x14ac:dyDescent="0.25">
      <c r="A7778" s="5" t="str">
        <f>"H0029894"</f>
        <v>H0029894</v>
      </c>
      <c r="B7778" s="5" t="str">
        <f t="shared" si="375"/>
        <v>SILLA MULTIPROPOSITO MANUAL R5 SOPORTE PIES</v>
      </c>
      <c r="C7778" s="6">
        <v>2481121</v>
      </c>
      <c r="D7778" s="5" t="s">
        <v>225</v>
      </c>
      <c r="E7778" s="5" t="str">
        <f t="shared" si="372"/>
        <v>URGENCIAS ADULTO-Jenny Peña</v>
      </c>
      <c r="F7778" s="5"/>
      <c r="G7778" s="5"/>
    </row>
    <row r="7779" spans="1:7" ht="58.5" customHeight="1" x14ac:dyDescent="0.25">
      <c r="A7779" s="5" t="str">
        <f>"H0029895"</f>
        <v>H0029895</v>
      </c>
      <c r="B7779" s="5" t="str">
        <f t="shared" si="375"/>
        <v>SILLA MULTIPROPOSITO MANUAL R5 SOPORTE PIES</v>
      </c>
      <c r="C7779" s="6">
        <v>2481121</v>
      </c>
      <c r="D7779" s="5" t="s">
        <v>225</v>
      </c>
      <c r="E7779" s="5" t="str">
        <f t="shared" si="372"/>
        <v>URGENCIAS ADULTO-Jenny Peña</v>
      </c>
      <c r="F7779" s="5"/>
      <c r="G7779" s="5"/>
    </row>
    <row r="7780" spans="1:7" ht="58.5" customHeight="1" x14ac:dyDescent="0.25">
      <c r="A7780" s="5" t="str">
        <f>"H0029896"</f>
        <v>H0029896</v>
      </c>
      <c r="B7780" s="5" t="str">
        <f t="shared" si="375"/>
        <v>SILLA MULTIPROPOSITO MANUAL R5 SOPORTE PIES</v>
      </c>
      <c r="C7780" s="6">
        <v>2481121</v>
      </c>
      <c r="D7780" s="5" t="s">
        <v>225</v>
      </c>
      <c r="E7780" s="5" t="str">
        <f t="shared" si="372"/>
        <v>URGENCIAS ADULTO-Jenny Peña</v>
      </c>
      <c r="F7780" s="5"/>
      <c r="G7780" s="5"/>
    </row>
    <row r="7781" spans="1:7" ht="58.5" customHeight="1" x14ac:dyDescent="0.25">
      <c r="A7781" s="5" t="str">
        <f>"H0029897"</f>
        <v>H0029897</v>
      </c>
      <c r="B7781" s="5" t="str">
        <f t="shared" si="375"/>
        <v>SILLA MULTIPROPOSITO MANUAL R5 SOPORTE PIES</v>
      </c>
      <c r="C7781" s="6">
        <v>2481121</v>
      </c>
      <c r="D7781" s="5" t="s">
        <v>225</v>
      </c>
      <c r="E7781" s="5" t="str">
        <f t="shared" ref="E7781:E7844" si="376">"URGENCIAS ADULTO-Jenny Peña"</f>
        <v>URGENCIAS ADULTO-Jenny Peña</v>
      </c>
      <c r="F7781" s="5"/>
      <c r="G7781" s="5"/>
    </row>
    <row r="7782" spans="1:7" ht="58.5" customHeight="1" x14ac:dyDescent="0.25">
      <c r="A7782" s="5" t="str">
        <f>"H0029898"</f>
        <v>H0029898</v>
      </c>
      <c r="B7782" s="5" t="str">
        <f t="shared" si="375"/>
        <v>SILLA MULTIPROPOSITO MANUAL R5 SOPORTE PIES</v>
      </c>
      <c r="C7782" s="6">
        <v>2481121</v>
      </c>
      <c r="D7782" s="5" t="s">
        <v>225</v>
      </c>
      <c r="E7782" s="5" t="str">
        <f t="shared" si="376"/>
        <v>URGENCIAS ADULTO-Jenny Peña</v>
      </c>
      <c r="F7782" s="5"/>
      <c r="G7782" s="5"/>
    </row>
    <row r="7783" spans="1:7" ht="58.5" customHeight="1" x14ac:dyDescent="0.25">
      <c r="A7783" s="5" t="str">
        <f>"H0029899"</f>
        <v>H0029899</v>
      </c>
      <c r="B7783" s="5" t="str">
        <f t="shared" si="375"/>
        <v>SILLA MULTIPROPOSITO MANUAL R5 SOPORTE PIES</v>
      </c>
      <c r="C7783" s="6">
        <v>2481121</v>
      </c>
      <c r="D7783" s="5" t="s">
        <v>225</v>
      </c>
      <c r="E7783" s="5" t="str">
        <f t="shared" si="376"/>
        <v>URGENCIAS ADULTO-Jenny Peña</v>
      </c>
      <c r="F7783" s="5"/>
      <c r="G7783" s="5"/>
    </row>
    <row r="7784" spans="1:7" ht="58.5" customHeight="1" x14ac:dyDescent="0.25">
      <c r="A7784" s="5" t="str">
        <f>"H0029900"</f>
        <v>H0029900</v>
      </c>
      <c r="B7784" s="5" t="str">
        <f t="shared" si="375"/>
        <v>SILLA MULTIPROPOSITO MANUAL R5 SOPORTE PIES</v>
      </c>
      <c r="C7784" s="6">
        <v>2481121</v>
      </c>
      <c r="D7784" s="5" t="s">
        <v>225</v>
      </c>
      <c r="E7784" s="5" t="str">
        <f t="shared" si="376"/>
        <v>URGENCIAS ADULTO-Jenny Peña</v>
      </c>
      <c r="F7784" s="5"/>
      <c r="G7784" s="5"/>
    </row>
    <row r="7785" spans="1:7" ht="58.5" customHeight="1" x14ac:dyDescent="0.25">
      <c r="A7785" s="5" t="str">
        <f>"H0029901"</f>
        <v>H0029901</v>
      </c>
      <c r="B7785" s="5" t="str">
        <f t="shared" si="375"/>
        <v>SILLA MULTIPROPOSITO MANUAL R5 SOPORTE PIES</v>
      </c>
      <c r="C7785" s="6">
        <v>2481121</v>
      </c>
      <c r="D7785" s="5" t="s">
        <v>225</v>
      </c>
      <c r="E7785" s="5" t="str">
        <f t="shared" si="376"/>
        <v>URGENCIAS ADULTO-Jenny Peña</v>
      </c>
      <c r="F7785" s="5"/>
      <c r="G7785" s="5"/>
    </row>
    <row r="7786" spans="1:7" ht="58.5" customHeight="1" x14ac:dyDescent="0.25">
      <c r="A7786" s="5" t="str">
        <f>"H0029902"</f>
        <v>H0029902</v>
      </c>
      <c r="B7786" s="5" t="str">
        <f t="shared" si="375"/>
        <v>SILLA MULTIPROPOSITO MANUAL R5 SOPORTE PIES</v>
      </c>
      <c r="C7786" s="6">
        <v>2481121</v>
      </c>
      <c r="D7786" s="5" t="s">
        <v>225</v>
      </c>
      <c r="E7786" s="5" t="str">
        <f t="shared" si="376"/>
        <v>URGENCIAS ADULTO-Jenny Peña</v>
      </c>
      <c r="F7786" s="5"/>
      <c r="G7786" s="5"/>
    </row>
    <row r="7787" spans="1:7" ht="58.5" customHeight="1" x14ac:dyDescent="0.25">
      <c r="A7787" s="5" t="str">
        <f>"H0029903"</f>
        <v>H0029903</v>
      </c>
      <c r="B7787" s="5" t="str">
        <f t="shared" ref="B7787:B7806" si="377">"CAMILLA CIGNUX DOS PLANOS BLOQUEO CENTRA 01"</f>
        <v>CAMILLA CIGNUX DOS PLANOS BLOQUEO CENTRA 01</v>
      </c>
      <c r="C7787" s="6">
        <v>2117000</v>
      </c>
      <c r="D7787" s="5" t="s">
        <v>225</v>
      </c>
      <c r="E7787" s="5" t="str">
        <f t="shared" si="376"/>
        <v>URGENCIAS ADULTO-Jenny Peña</v>
      </c>
      <c r="F7787" s="5"/>
      <c r="G7787" s="5"/>
    </row>
    <row r="7788" spans="1:7" ht="58.5" customHeight="1" x14ac:dyDescent="0.25">
      <c r="A7788" s="5" t="str">
        <f>"H0029904"</f>
        <v>H0029904</v>
      </c>
      <c r="B7788" s="5" t="str">
        <f t="shared" si="377"/>
        <v>CAMILLA CIGNUX DOS PLANOS BLOQUEO CENTRA 01</v>
      </c>
      <c r="C7788" s="6">
        <v>2117000</v>
      </c>
      <c r="D7788" s="5" t="s">
        <v>225</v>
      </c>
      <c r="E7788" s="5" t="str">
        <f t="shared" si="376"/>
        <v>URGENCIAS ADULTO-Jenny Peña</v>
      </c>
      <c r="F7788" s="5"/>
      <c r="G7788" s="5"/>
    </row>
    <row r="7789" spans="1:7" ht="58.5" customHeight="1" x14ac:dyDescent="0.25">
      <c r="A7789" s="5" t="str">
        <f>"H0029905"</f>
        <v>H0029905</v>
      </c>
      <c r="B7789" s="5" t="str">
        <f t="shared" si="377"/>
        <v>CAMILLA CIGNUX DOS PLANOS BLOQUEO CENTRA 01</v>
      </c>
      <c r="C7789" s="6">
        <v>2117000</v>
      </c>
      <c r="D7789" s="5" t="s">
        <v>225</v>
      </c>
      <c r="E7789" s="5" t="str">
        <f t="shared" si="376"/>
        <v>URGENCIAS ADULTO-Jenny Peña</v>
      </c>
      <c r="F7789" s="5"/>
      <c r="G7789" s="5"/>
    </row>
    <row r="7790" spans="1:7" ht="58.5" customHeight="1" x14ac:dyDescent="0.25">
      <c r="A7790" s="5" t="str">
        <f>"H0029906"</f>
        <v>H0029906</v>
      </c>
      <c r="B7790" s="5" t="str">
        <f t="shared" si="377"/>
        <v>CAMILLA CIGNUX DOS PLANOS BLOQUEO CENTRA 01</v>
      </c>
      <c r="C7790" s="6">
        <v>2117000</v>
      </c>
      <c r="D7790" s="5" t="s">
        <v>225</v>
      </c>
      <c r="E7790" s="5" t="str">
        <f t="shared" si="376"/>
        <v>URGENCIAS ADULTO-Jenny Peña</v>
      </c>
      <c r="F7790" s="5"/>
      <c r="G7790" s="5"/>
    </row>
    <row r="7791" spans="1:7" ht="58.5" customHeight="1" x14ac:dyDescent="0.25">
      <c r="A7791" s="5" t="str">
        <f>"H0029907"</f>
        <v>H0029907</v>
      </c>
      <c r="B7791" s="5" t="str">
        <f t="shared" si="377"/>
        <v>CAMILLA CIGNUX DOS PLANOS BLOQUEO CENTRA 01</v>
      </c>
      <c r="C7791" s="6">
        <v>2117000</v>
      </c>
      <c r="D7791" s="5" t="s">
        <v>225</v>
      </c>
      <c r="E7791" s="5" t="str">
        <f t="shared" si="376"/>
        <v>URGENCIAS ADULTO-Jenny Peña</v>
      </c>
      <c r="F7791" s="5"/>
      <c r="G7791" s="5"/>
    </row>
    <row r="7792" spans="1:7" ht="58.5" customHeight="1" x14ac:dyDescent="0.25">
      <c r="A7792" s="5" t="str">
        <f>"H0029908"</f>
        <v>H0029908</v>
      </c>
      <c r="B7792" s="5" t="str">
        <f t="shared" si="377"/>
        <v>CAMILLA CIGNUX DOS PLANOS BLOQUEO CENTRA 01</v>
      </c>
      <c r="C7792" s="6">
        <v>2117000</v>
      </c>
      <c r="D7792" s="5" t="s">
        <v>225</v>
      </c>
      <c r="E7792" s="5" t="str">
        <f t="shared" si="376"/>
        <v>URGENCIAS ADULTO-Jenny Peña</v>
      </c>
      <c r="F7792" s="5"/>
      <c r="G7792" s="5"/>
    </row>
    <row r="7793" spans="1:7" ht="58.5" customHeight="1" x14ac:dyDescent="0.25">
      <c r="A7793" s="5" t="str">
        <f>"H0029909"</f>
        <v>H0029909</v>
      </c>
      <c r="B7793" s="5" t="str">
        <f t="shared" si="377"/>
        <v>CAMILLA CIGNUX DOS PLANOS BLOQUEO CENTRA 01</v>
      </c>
      <c r="C7793" s="6">
        <v>2117000</v>
      </c>
      <c r="D7793" s="5" t="s">
        <v>225</v>
      </c>
      <c r="E7793" s="5" t="str">
        <f t="shared" si="376"/>
        <v>URGENCIAS ADULTO-Jenny Peña</v>
      </c>
      <c r="F7793" s="5"/>
      <c r="G7793" s="5"/>
    </row>
    <row r="7794" spans="1:7" ht="58.5" customHeight="1" x14ac:dyDescent="0.25">
      <c r="A7794" s="5" t="str">
        <f>"H0029910"</f>
        <v>H0029910</v>
      </c>
      <c r="B7794" s="5" t="str">
        <f t="shared" si="377"/>
        <v>CAMILLA CIGNUX DOS PLANOS BLOQUEO CENTRA 01</v>
      </c>
      <c r="C7794" s="6">
        <v>2117000</v>
      </c>
      <c r="D7794" s="5" t="s">
        <v>225</v>
      </c>
      <c r="E7794" s="5" t="str">
        <f t="shared" si="376"/>
        <v>URGENCIAS ADULTO-Jenny Peña</v>
      </c>
      <c r="F7794" s="5"/>
      <c r="G7794" s="5"/>
    </row>
    <row r="7795" spans="1:7" ht="58.5" customHeight="1" x14ac:dyDescent="0.25">
      <c r="A7795" s="5" t="str">
        <f>"H0029911"</f>
        <v>H0029911</v>
      </c>
      <c r="B7795" s="5" t="str">
        <f t="shared" si="377"/>
        <v>CAMILLA CIGNUX DOS PLANOS BLOQUEO CENTRA 01</v>
      </c>
      <c r="C7795" s="6">
        <v>2117000</v>
      </c>
      <c r="D7795" s="5" t="s">
        <v>225</v>
      </c>
      <c r="E7795" s="5" t="str">
        <f t="shared" si="376"/>
        <v>URGENCIAS ADULTO-Jenny Peña</v>
      </c>
      <c r="F7795" s="5"/>
      <c r="G7795" s="5"/>
    </row>
    <row r="7796" spans="1:7" ht="58.5" customHeight="1" x14ac:dyDescent="0.25">
      <c r="A7796" s="5" t="str">
        <f>"H0029912"</f>
        <v>H0029912</v>
      </c>
      <c r="B7796" s="5" t="str">
        <f t="shared" si="377"/>
        <v>CAMILLA CIGNUX DOS PLANOS BLOQUEO CENTRA 01</v>
      </c>
      <c r="C7796" s="6">
        <v>2117000</v>
      </c>
      <c r="D7796" s="5" t="s">
        <v>225</v>
      </c>
      <c r="E7796" s="5" t="str">
        <f t="shared" si="376"/>
        <v>URGENCIAS ADULTO-Jenny Peña</v>
      </c>
      <c r="F7796" s="5"/>
      <c r="G7796" s="5"/>
    </row>
    <row r="7797" spans="1:7" ht="58.5" customHeight="1" x14ac:dyDescent="0.25">
      <c r="A7797" s="5" t="str">
        <f>"H0029913"</f>
        <v>H0029913</v>
      </c>
      <c r="B7797" s="5" t="str">
        <f t="shared" si="377"/>
        <v>CAMILLA CIGNUX DOS PLANOS BLOQUEO CENTRA 01</v>
      </c>
      <c r="C7797" s="6">
        <v>2117000</v>
      </c>
      <c r="D7797" s="5" t="s">
        <v>225</v>
      </c>
      <c r="E7797" s="5" t="str">
        <f t="shared" si="376"/>
        <v>URGENCIAS ADULTO-Jenny Peña</v>
      </c>
      <c r="F7797" s="5"/>
      <c r="G7797" s="5"/>
    </row>
    <row r="7798" spans="1:7" ht="58.5" customHeight="1" x14ac:dyDescent="0.25">
      <c r="A7798" s="5" t="str">
        <f>"H0029914"</f>
        <v>H0029914</v>
      </c>
      <c r="B7798" s="5" t="str">
        <f t="shared" si="377"/>
        <v>CAMILLA CIGNUX DOS PLANOS BLOQUEO CENTRA 01</v>
      </c>
      <c r="C7798" s="6">
        <v>2117000</v>
      </c>
      <c r="D7798" s="5" t="s">
        <v>225</v>
      </c>
      <c r="E7798" s="5" t="str">
        <f t="shared" si="376"/>
        <v>URGENCIAS ADULTO-Jenny Peña</v>
      </c>
      <c r="F7798" s="5"/>
      <c r="G7798" s="5"/>
    </row>
    <row r="7799" spans="1:7" ht="58.5" customHeight="1" x14ac:dyDescent="0.25">
      <c r="A7799" s="5" t="str">
        <f>"H0029915"</f>
        <v>H0029915</v>
      </c>
      <c r="B7799" s="5" t="str">
        <f t="shared" si="377"/>
        <v>CAMILLA CIGNUX DOS PLANOS BLOQUEO CENTRA 01</v>
      </c>
      <c r="C7799" s="6">
        <v>2117000</v>
      </c>
      <c r="D7799" s="5" t="s">
        <v>225</v>
      </c>
      <c r="E7799" s="5" t="str">
        <f t="shared" si="376"/>
        <v>URGENCIAS ADULTO-Jenny Peña</v>
      </c>
      <c r="F7799" s="5"/>
      <c r="G7799" s="5"/>
    </row>
    <row r="7800" spans="1:7" ht="58.5" customHeight="1" x14ac:dyDescent="0.25">
      <c r="A7800" s="5" t="str">
        <f>"H0029916"</f>
        <v>H0029916</v>
      </c>
      <c r="B7800" s="5" t="str">
        <f t="shared" si="377"/>
        <v>CAMILLA CIGNUX DOS PLANOS BLOQUEO CENTRA 01</v>
      </c>
      <c r="C7800" s="6">
        <v>2117000</v>
      </c>
      <c r="D7800" s="5" t="s">
        <v>225</v>
      </c>
      <c r="E7800" s="5" t="str">
        <f t="shared" si="376"/>
        <v>URGENCIAS ADULTO-Jenny Peña</v>
      </c>
      <c r="F7800" s="5"/>
      <c r="G7800" s="5"/>
    </row>
    <row r="7801" spans="1:7" ht="58.5" customHeight="1" x14ac:dyDescent="0.25">
      <c r="A7801" s="5" t="str">
        <f>"H0029917"</f>
        <v>H0029917</v>
      </c>
      <c r="B7801" s="5" t="str">
        <f t="shared" si="377"/>
        <v>CAMILLA CIGNUX DOS PLANOS BLOQUEO CENTRA 01</v>
      </c>
      <c r="C7801" s="6">
        <v>2117000</v>
      </c>
      <c r="D7801" s="5" t="s">
        <v>225</v>
      </c>
      <c r="E7801" s="5" t="str">
        <f t="shared" si="376"/>
        <v>URGENCIAS ADULTO-Jenny Peña</v>
      </c>
      <c r="F7801" s="5"/>
      <c r="G7801" s="5"/>
    </row>
    <row r="7802" spans="1:7" ht="58.5" customHeight="1" x14ac:dyDescent="0.25">
      <c r="A7802" s="5" t="str">
        <f>"H0029918"</f>
        <v>H0029918</v>
      </c>
      <c r="B7802" s="5" t="str">
        <f t="shared" si="377"/>
        <v>CAMILLA CIGNUX DOS PLANOS BLOQUEO CENTRA 01</v>
      </c>
      <c r="C7802" s="6">
        <v>2117000</v>
      </c>
      <c r="D7802" s="5" t="s">
        <v>225</v>
      </c>
      <c r="E7802" s="5" t="str">
        <f t="shared" si="376"/>
        <v>URGENCIAS ADULTO-Jenny Peña</v>
      </c>
      <c r="F7802" s="5"/>
      <c r="G7802" s="5"/>
    </row>
    <row r="7803" spans="1:7" ht="58.5" customHeight="1" x14ac:dyDescent="0.25">
      <c r="A7803" s="5" t="str">
        <f>"h0029919"</f>
        <v>h0029919</v>
      </c>
      <c r="B7803" s="5" t="str">
        <f t="shared" si="377"/>
        <v>CAMILLA CIGNUX DOS PLANOS BLOQUEO CENTRA 01</v>
      </c>
      <c r="C7803" s="6">
        <v>2117000</v>
      </c>
      <c r="D7803" s="5" t="s">
        <v>225</v>
      </c>
      <c r="E7803" s="5" t="str">
        <f t="shared" si="376"/>
        <v>URGENCIAS ADULTO-Jenny Peña</v>
      </c>
      <c r="F7803" s="5"/>
      <c r="G7803" s="5"/>
    </row>
    <row r="7804" spans="1:7" ht="58.5" customHeight="1" x14ac:dyDescent="0.25">
      <c r="A7804" s="5" t="str">
        <f>"H0029920"</f>
        <v>H0029920</v>
      </c>
      <c r="B7804" s="5" t="str">
        <f t="shared" si="377"/>
        <v>CAMILLA CIGNUX DOS PLANOS BLOQUEO CENTRA 01</v>
      </c>
      <c r="C7804" s="6">
        <v>2117000</v>
      </c>
      <c r="D7804" s="5" t="s">
        <v>225</v>
      </c>
      <c r="E7804" s="5" t="str">
        <f t="shared" si="376"/>
        <v>URGENCIAS ADULTO-Jenny Peña</v>
      </c>
      <c r="F7804" s="5"/>
      <c r="G7804" s="5"/>
    </row>
    <row r="7805" spans="1:7" ht="58.5" customHeight="1" x14ac:dyDescent="0.25">
      <c r="A7805" s="5" t="str">
        <f>"H0029921"</f>
        <v>H0029921</v>
      </c>
      <c r="B7805" s="5" t="str">
        <f t="shared" si="377"/>
        <v>CAMILLA CIGNUX DOS PLANOS BLOQUEO CENTRA 01</v>
      </c>
      <c r="C7805" s="6">
        <v>2117000</v>
      </c>
      <c r="D7805" s="5" t="s">
        <v>225</v>
      </c>
      <c r="E7805" s="5" t="str">
        <f t="shared" si="376"/>
        <v>URGENCIAS ADULTO-Jenny Peña</v>
      </c>
      <c r="F7805" s="5"/>
      <c r="G7805" s="5"/>
    </row>
    <row r="7806" spans="1:7" ht="58.5" customHeight="1" x14ac:dyDescent="0.25">
      <c r="A7806" s="5" t="str">
        <f>"H0029922"</f>
        <v>H0029922</v>
      </c>
      <c r="B7806" s="5" t="str">
        <f t="shared" si="377"/>
        <v>CAMILLA CIGNUX DOS PLANOS BLOQUEO CENTRA 01</v>
      </c>
      <c r="C7806" s="6">
        <v>2117000</v>
      </c>
      <c r="D7806" s="5" t="s">
        <v>225</v>
      </c>
      <c r="E7806" s="5" t="str">
        <f t="shared" si="376"/>
        <v>URGENCIAS ADULTO-Jenny Peña</v>
      </c>
      <c r="F7806" s="5"/>
      <c r="G7806" s="5"/>
    </row>
    <row r="7807" spans="1:7" ht="58.5" customHeight="1" x14ac:dyDescent="0.25">
      <c r="A7807" s="5" t="str">
        <f>"H0029923"</f>
        <v>H0029923</v>
      </c>
      <c r="B7807" s="5" t="str">
        <f>"ESCRITORIO EN MADERA AGLOMERADA ENCHAPADO CON DOS GAVETAS AUXILIARES, 2 PEDESTALES EN H FALDON DE 1 mt, 1,20 * 0,60 * 0,73 mt"</f>
        <v>ESCRITORIO EN MADERA AGLOMERADA ENCHAPADO CON DOS GAVETAS AUXILIARES, 2 PEDESTALES EN H FALDON DE 1 mt, 1,20 * 0,60 * 0,73 mt</v>
      </c>
      <c r="C7807" s="6">
        <v>380000</v>
      </c>
      <c r="D7807" s="5" t="s">
        <v>225</v>
      </c>
      <c r="E7807" s="5" t="str">
        <f t="shared" si="376"/>
        <v>URGENCIAS ADULTO-Jenny Peña</v>
      </c>
      <c r="F7807" s="5"/>
      <c r="G7807" s="5"/>
    </row>
    <row r="7808" spans="1:7" ht="58.5" customHeight="1" x14ac:dyDescent="0.25">
      <c r="A7808" s="5" t="str">
        <f>"H0029924"</f>
        <v>H0029924</v>
      </c>
      <c r="B7808" s="5" t="str">
        <f>"ESCRITORIO EN MADERA AGLOMERADA ENCHAPADO CON DOS GAVETAS AUXILIARES, 2 PEDESTALES EN H FALDON DE 1 mt, 1,20 * 0,60 * 0,73 mt"</f>
        <v>ESCRITORIO EN MADERA AGLOMERADA ENCHAPADO CON DOS GAVETAS AUXILIARES, 2 PEDESTALES EN H FALDON DE 1 mt, 1,20 * 0,60 * 0,73 mt</v>
      </c>
      <c r="C7808" s="6">
        <v>380000</v>
      </c>
      <c r="D7808" s="5" t="s">
        <v>225</v>
      </c>
      <c r="E7808" s="5" t="str">
        <f t="shared" si="376"/>
        <v>URGENCIAS ADULTO-Jenny Peña</v>
      </c>
      <c r="F7808" s="5"/>
      <c r="G7808" s="5"/>
    </row>
    <row r="7809" spans="1:7" ht="58.5" customHeight="1" x14ac:dyDescent="0.25">
      <c r="A7809" s="5" t="str">
        <f>"H0029925"</f>
        <v>H0029925</v>
      </c>
      <c r="B7809" s="5" t="str">
        <f>"SILLA GIRATORIA CONVENCIONAL CON SISTEMA DE GRADUACIÓN DE ALTURA NEUMATICA, GRADUACION MECANICA DE ESPALDAR, CONTACTO PERMANENTE Y DESCANSA BRAZOS, ESPUMA POLIURETANO, TAPIZDO"</f>
        <v>SILLA GIRATORIA CONVENCIONAL CON SISTEMA DE GRADUACIÓN DE ALTURA NEUMATICA, GRADUACION MECANICA DE ESPALDAR, CONTACTO PERMANENTE Y DESCANSA BRAZOS, ESPUMA POLIURETANO, TAPIZDO</v>
      </c>
      <c r="C7809" s="6">
        <v>298300</v>
      </c>
      <c r="D7809" s="5" t="s">
        <v>225</v>
      </c>
      <c r="E7809" s="5" t="str">
        <f t="shared" si="376"/>
        <v>URGENCIAS ADULTO-Jenny Peña</v>
      </c>
      <c r="F7809" s="5"/>
      <c r="G7809" s="5"/>
    </row>
    <row r="7810" spans="1:7" ht="58.5" customHeight="1" x14ac:dyDescent="0.25">
      <c r="A7810" s="5" t="str">
        <f>"H0029927"</f>
        <v>H0029927</v>
      </c>
      <c r="B7810" s="5" t="str">
        <f>"BIOMBO DE 3 CUERPOS CON TELA COLOR AZUL CLARO DE 1,65 * 1,80 mtS"</f>
        <v>BIOMBO DE 3 CUERPOS CON TELA COLOR AZUL CLARO DE 1,65 * 1,80 mtS</v>
      </c>
      <c r="C7810" s="6">
        <v>190000</v>
      </c>
      <c r="D7810" s="5" t="s">
        <v>225</v>
      </c>
      <c r="E7810" s="5" t="str">
        <f t="shared" si="376"/>
        <v>URGENCIAS ADULTO-Jenny Peña</v>
      </c>
      <c r="F7810" s="5"/>
      <c r="G7810" s="5"/>
    </row>
    <row r="7811" spans="1:7" ht="58.5" customHeight="1" x14ac:dyDescent="0.25">
      <c r="A7811" s="5" t="str">
        <f>"H0029928"</f>
        <v>H0029928</v>
      </c>
      <c r="B7811" s="5" t="str">
        <f>"BIOMBO DE 3 CUERPOS CON TELA COLOR AZUL CLARO DE 1,65 * 1,80 mtS"</f>
        <v>BIOMBO DE 3 CUERPOS CON TELA COLOR AZUL CLARO DE 1,65 * 1,80 mtS</v>
      </c>
      <c r="C7811" s="6">
        <v>190000</v>
      </c>
      <c r="D7811" s="5" t="s">
        <v>225</v>
      </c>
      <c r="E7811" s="5" t="str">
        <f t="shared" si="376"/>
        <v>URGENCIAS ADULTO-Jenny Peña</v>
      </c>
      <c r="F7811" s="5"/>
      <c r="G7811" s="5"/>
    </row>
    <row r="7812" spans="1:7" ht="58.5" customHeight="1" x14ac:dyDescent="0.25">
      <c r="A7812" s="5" t="str">
        <f>"H0029929"</f>
        <v>H0029929</v>
      </c>
      <c r="B7812" s="5" t="str">
        <f>"VITRINA DE DOS CUERPOS GABINETE CONSTRUIDO EN LAMINA COLD ROLLED CON RODACHINES 0,73 * 0,35 * 1,5 mts"</f>
        <v>VITRINA DE DOS CUERPOS GABINETE CONSTRUIDO EN LAMINA COLD ROLLED CON RODACHINES 0,73 * 0,35 * 1,5 mts</v>
      </c>
      <c r="C7812" s="6">
        <v>550000</v>
      </c>
      <c r="D7812" s="5" t="s">
        <v>225</v>
      </c>
      <c r="E7812" s="5" t="str">
        <f t="shared" si="376"/>
        <v>URGENCIAS ADULTO-Jenny Peña</v>
      </c>
      <c r="F7812" s="5"/>
      <c r="G7812" s="5"/>
    </row>
    <row r="7813" spans="1:7" ht="58.5" customHeight="1" x14ac:dyDescent="0.25">
      <c r="A7813" s="5" t="str">
        <f>"H0029931"</f>
        <v>H0029931</v>
      </c>
      <c r="B7813" s="5" t="str">
        <f>"MONITOR DE SIGNOS VITALES EDAN IM50"</f>
        <v>MONITOR DE SIGNOS VITALES EDAN IM50</v>
      </c>
      <c r="C7813" s="6">
        <v>3160000</v>
      </c>
      <c r="D7813" s="5" t="s">
        <v>225</v>
      </c>
      <c r="E7813" s="5" t="str">
        <f t="shared" si="376"/>
        <v>URGENCIAS ADULTO-Jenny Peña</v>
      </c>
      <c r="F7813" s="5"/>
      <c r="G7813" s="5"/>
    </row>
    <row r="7814" spans="1:7" ht="58.5" customHeight="1" x14ac:dyDescent="0.25">
      <c r="A7814" s="5" t="str">
        <f>"H0029932"</f>
        <v>H0029932</v>
      </c>
      <c r="B7814" s="5" t="str">
        <f>"MONITOR DE SIGNOS VITALES EDAN IM50"</f>
        <v>MONITOR DE SIGNOS VITALES EDAN IM50</v>
      </c>
      <c r="C7814" s="6">
        <v>3160000</v>
      </c>
      <c r="D7814" s="5" t="s">
        <v>225</v>
      </c>
      <c r="E7814" s="5" t="str">
        <f t="shared" si="376"/>
        <v>URGENCIAS ADULTO-Jenny Peña</v>
      </c>
      <c r="F7814" s="5"/>
      <c r="G7814" s="5"/>
    </row>
    <row r="7815" spans="1:7" ht="58.5" customHeight="1" x14ac:dyDescent="0.25">
      <c r="A7815" s="5" t="str">
        <f>"H0029933"</f>
        <v>H0029933</v>
      </c>
      <c r="B7815" s="5" t="str">
        <f>"MONITOR DE SIGNOS VITALES EDAN IM50"</f>
        <v>MONITOR DE SIGNOS VITALES EDAN IM50</v>
      </c>
      <c r="C7815" s="6">
        <v>3160000</v>
      </c>
      <c r="D7815" s="5" t="s">
        <v>225</v>
      </c>
      <c r="E7815" s="5" t="str">
        <f t="shared" si="376"/>
        <v>URGENCIAS ADULTO-Jenny Peña</v>
      </c>
      <c r="F7815" s="5"/>
      <c r="G7815" s="5"/>
    </row>
    <row r="7816" spans="1:7" ht="58.5" customHeight="1" x14ac:dyDescent="0.25">
      <c r="A7816" s="5" t="str">
        <f>"H0029934"</f>
        <v>H0029934</v>
      </c>
      <c r="B7816" s="5" t="str">
        <f>"SOPORTE PEDESTAL MONITOR"</f>
        <v>SOPORTE PEDESTAL MONITOR</v>
      </c>
      <c r="C7816" s="6">
        <v>450000</v>
      </c>
      <c r="D7816" s="5" t="s">
        <v>225</v>
      </c>
      <c r="E7816" s="5" t="str">
        <f t="shared" si="376"/>
        <v>URGENCIAS ADULTO-Jenny Peña</v>
      </c>
      <c r="F7816" s="5"/>
      <c r="G7816" s="5"/>
    </row>
    <row r="7817" spans="1:7" ht="58.5" customHeight="1" x14ac:dyDescent="0.25">
      <c r="A7817" s="5" t="str">
        <f>"H0029935"</f>
        <v>H0029935</v>
      </c>
      <c r="B7817" s="5" t="str">
        <f>"SOPORTE PEDESTAL MONITOR"</f>
        <v>SOPORTE PEDESTAL MONITOR</v>
      </c>
      <c r="C7817" s="6">
        <v>450000</v>
      </c>
      <c r="D7817" s="5" t="s">
        <v>225</v>
      </c>
      <c r="E7817" s="5" t="str">
        <f t="shared" si="376"/>
        <v>URGENCIAS ADULTO-Jenny Peña</v>
      </c>
      <c r="F7817" s="5"/>
      <c r="G7817" s="5"/>
    </row>
    <row r="7818" spans="1:7" ht="58.5" customHeight="1" x14ac:dyDescent="0.25">
      <c r="A7818" s="5" t="str">
        <f>"H0029936"</f>
        <v>H0029936</v>
      </c>
      <c r="B7818" s="5" t="str">
        <f>"SOPORTE PEDESTAL MONITOR"</f>
        <v>SOPORTE PEDESTAL MONITOR</v>
      </c>
      <c r="C7818" s="6">
        <v>450000</v>
      </c>
      <c r="D7818" s="5" t="s">
        <v>466</v>
      </c>
      <c r="E7818" s="5" t="str">
        <f t="shared" si="376"/>
        <v>URGENCIAS ADULTO-Jenny Peña</v>
      </c>
      <c r="F7818" s="5"/>
      <c r="G7818" s="5"/>
    </row>
    <row r="7819" spans="1:7" ht="58.5" customHeight="1" x14ac:dyDescent="0.25">
      <c r="A7819" s="5" t="str">
        <f>"H0029943"</f>
        <v>H0029943</v>
      </c>
      <c r="B7819" s="5" t="s">
        <v>273</v>
      </c>
      <c r="C7819" s="6">
        <v>2010000</v>
      </c>
      <c r="D7819" s="5" t="s">
        <v>225</v>
      </c>
      <c r="E7819" s="5" t="str">
        <f t="shared" si="376"/>
        <v>URGENCIAS ADULTO-Jenny Peña</v>
      </c>
      <c r="F7819" s="5"/>
      <c r="G7819" s="5"/>
    </row>
    <row r="7820" spans="1:7" ht="58.5" customHeight="1" x14ac:dyDescent="0.25">
      <c r="A7820" s="5" t="str">
        <f>"H0029950"</f>
        <v>H0029950</v>
      </c>
      <c r="B7820" s="5" t="str">
        <f>"ESET SMALL OFFICE SECURITY 1 AÑO"</f>
        <v>ESET SMALL OFFICE SECURITY 1 AÑO</v>
      </c>
      <c r="C7820" s="6">
        <v>50000</v>
      </c>
      <c r="D7820" s="5" t="s">
        <v>225</v>
      </c>
      <c r="E7820" s="5" t="str">
        <f t="shared" si="376"/>
        <v>URGENCIAS ADULTO-Jenny Peña</v>
      </c>
      <c r="F7820" s="5"/>
      <c r="G7820" s="5"/>
    </row>
    <row r="7821" spans="1:7" ht="58.5" customHeight="1" x14ac:dyDescent="0.25">
      <c r="A7821" s="5" t="str">
        <f>"H0029957"</f>
        <v>H0029957</v>
      </c>
      <c r="B7821" s="5" t="str">
        <f>"MEMORIA 4GB DDR4 2400MHz SODIMM"</f>
        <v>MEMORIA 4GB DDR4 2400MHz SODIMM</v>
      </c>
      <c r="C7821" s="6">
        <v>110000</v>
      </c>
      <c r="D7821" s="5" t="s">
        <v>225</v>
      </c>
      <c r="E7821" s="5" t="str">
        <f t="shared" si="376"/>
        <v>URGENCIAS ADULTO-Jenny Peña</v>
      </c>
      <c r="F7821" s="5"/>
      <c r="G7821" s="5"/>
    </row>
    <row r="7822" spans="1:7" ht="58.5" customHeight="1" x14ac:dyDescent="0.25">
      <c r="A7822" s="5" t="str">
        <f>"H0029962"</f>
        <v>H0029962</v>
      </c>
      <c r="B7822" s="5" t="str">
        <f>"PARLANTE IP FULL DUPLEX PoE"</f>
        <v>PARLANTE IP FULL DUPLEX PoE</v>
      </c>
      <c r="C7822" s="6">
        <v>636928</v>
      </c>
      <c r="D7822" s="5" t="s">
        <v>225</v>
      </c>
      <c r="E7822" s="5" t="str">
        <f t="shared" si="376"/>
        <v>URGENCIAS ADULTO-Jenny Peña</v>
      </c>
      <c r="F7822" s="5"/>
      <c r="G7822" s="5"/>
    </row>
    <row r="7823" spans="1:7" ht="58.5" customHeight="1" x14ac:dyDescent="0.25">
      <c r="A7823" s="5" t="str">
        <f>"H0029965"</f>
        <v>H0029965</v>
      </c>
      <c r="B7823" s="5" t="str">
        <f>"ESET SMALL OFFICE SECURITY 1 AÑO"</f>
        <v>ESET SMALL OFFICE SECURITY 1 AÑO</v>
      </c>
      <c r="C7823" s="6">
        <v>810000</v>
      </c>
      <c r="D7823" s="5" t="s">
        <v>225</v>
      </c>
      <c r="E7823" s="5" t="str">
        <f t="shared" si="376"/>
        <v>URGENCIAS ADULTO-Jenny Peña</v>
      </c>
      <c r="F7823" s="5"/>
      <c r="G7823" s="5"/>
    </row>
    <row r="7824" spans="1:7" ht="58.5" customHeight="1" x14ac:dyDescent="0.25">
      <c r="A7824" s="5" t="str">
        <f>"H0029966"</f>
        <v>H0029966</v>
      </c>
      <c r="B7824" s="5" t="s">
        <v>273</v>
      </c>
      <c r="C7824" s="6">
        <v>1955894</v>
      </c>
      <c r="D7824" s="5" t="s">
        <v>225</v>
      </c>
      <c r="E7824" s="5" t="str">
        <f t="shared" si="376"/>
        <v>URGENCIAS ADULTO-Jenny Peña</v>
      </c>
      <c r="F7824" s="5"/>
      <c r="G7824" s="5"/>
    </row>
    <row r="7825" spans="1:7" ht="58.5" customHeight="1" x14ac:dyDescent="0.25">
      <c r="A7825" s="5" t="str">
        <f>"h0029968"</f>
        <v>h0029968</v>
      </c>
      <c r="B7825" s="5" t="s">
        <v>273</v>
      </c>
      <c r="C7825" s="6">
        <v>1955894</v>
      </c>
      <c r="D7825" s="5" t="s">
        <v>225</v>
      </c>
      <c r="E7825" s="5" t="str">
        <f t="shared" si="376"/>
        <v>URGENCIAS ADULTO-Jenny Peña</v>
      </c>
      <c r="F7825" s="5"/>
      <c r="G7825" s="5"/>
    </row>
    <row r="7826" spans="1:7" ht="58.5" customHeight="1" x14ac:dyDescent="0.25">
      <c r="A7826" s="5" t="str">
        <f>"H0029969"</f>
        <v>H0029969</v>
      </c>
      <c r="B7826" s="5" t="s">
        <v>273</v>
      </c>
      <c r="C7826" s="6">
        <v>1955894</v>
      </c>
      <c r="D7826" s="5" t="s">
        <v>225</v>
      </c>
      <c r="E7826" s="5" t="str">
        <f t="shared" si="376"/>
        <v>URGENCIAS ADULTO-Jenny Peña</v>
      </c>
      <c r="F7826" s="5"/>
      <c r="G7826" s="5"/>
    </row>
    <row r="7827" spans="1:7" ht="58.5" customHeight="1" x14ac:dyDescent="0.25">
      <c r="A7827" s="5" t="str">
        <f>"H0029970"</f>
        <v>H0029970</v>
      </c>
      <c r="B7827" s="5" t="s">
        <v>273</v>
      </c>
      <c r="C7827" s="6">
        <v>1955894</v>
      </c>
      <c r="D7827" s="5" t="s">
        <v>225</v>
      </c>
      <c r="E7827" s="5" t="str">
        <f t="shared" si="376"/>
        <v>URGENCIAS ADULTO-Jenny Peña</v>
      </c>
      <c r="F7827" s="5"/>
      <c r="G7827" s="5"/>
    </row>
    <row r="7828" spans="1:7" ht="58.5" customHeight="1" x14ac:dyDescent="0.25">
      <c r="A7828" s="5" t="str">
        <f>"H0029972"</f>
        <v>H0029972</v>
      </c>
      <c r="B7828" s="5" t="s">
        <v>273</v>
      </c>
      <c r="C7828" s="6">
        <v>1955894</v>
      </c>
      <c r="D7828" s="5" t="s">
        <v>225</v>
      </c>
      <c r="E7828" s="5" t="str">
        <f t="shared" si="376"/>
        <v>URGENCIAS ADULTO-Jenny Peña</v>
      </c>
      <c r="F7828" s="5"/>
      <c r="G7828" s="5"/>
    </row>
    <row r="7829" spans="1:7" ht="58.5" customHeight="1" x14ac:dyDescent="0.25">
      <c r="A7829" s="5" t="str">
        <f>"H0029976"</f>
        <v>H0029976</v>
      </c>
      <c r="B7829" s="5" t="str">
        <f t="shared" ref="B7829:B7835" si="378">"ESET SMALL OFFICE SECURITY 1 AÑO"</f>
        <v>ESET SMALL OFFICE SECURITY 1 AÑO</v>
      </c>
      <c r="C7829" s="6">
        <v>35000</v>
      </c>
      <c r="D7829" s="5" t="s">
        <v>225</v>
      </c>
      <c r="E7829" s="5" t="str">
        <f t="shared" si="376"/>
        <v>URGENCIAS ADULTO-Jenny Peña</v>
      </c>
      <c r="F7829" s="5"/>
      <c r="G7829" s="5"/>
    </row>
    <row r="7830" spans="1:7" ht="58.5" customHeight="1" x14ac:dyDescent="0.25">
      <c r="A7830" s="5" t="str">
        <f>"H0029977"</f>
        <v>H0029977</v>
      </c>
      <c r="B7830" s="5" t="str">
        <f t="shared" si="378"/>
        <v>ESET SMALL OFFICE SECURITY 1 AÑO</v>
      </c>
      <c r="C7830" s="6">
        <v>35000</v>
      </c>
      <c r="D7830" s="5" t="s">
        <v>225</v>
      </c>
      <c r="E7830" s="5" t="str">
        <f t="shared" si="376"/>
        <v>URGENCIAS ADULTO-Jenny Peña</v>
      </c>
      <c r="F7830" s="5"/>
      <c r="G7830" s="5"/>
    </row>
    <row r="7831" spans="1:7" ht="58.5" customHeight="1" x14ac:dyDescent="0.25">
      <c r="A7831" s="5" t="str">
        <f>"H0029978"</f>
        <v>H0029978</v>
      </c>
      <c r="B7831" s="5" t="str">
        <f t="shared" si="378"/>
        <v>ESET SMALL OFFICE SECURITY 1 AÑO</v>
      </c>
      <c r="C7831" s="6">
        <v>35000</v>
      </c>
      <c r="D7831" s="5" t="s">
        <v>225</v>
      </c>
      <c r="E7831" s="5" t="str">
        <f t="shared" si="376"/>
        <v>URGENCIAS ADULTO-Jenny Peña</v>
      </c>
      <c r="F7831" s="5"/>
      <c r="G7831" s="5"/>
    </row>
    <row r="7832" spans="1:7" ht="58.5" customHeight="1" x14ac:dyDescent="0.25">
      <c r="A7832" s="5" t="str">
        <f>"H0029979"</f>
        <v>H0029979</v>
      </c>
      <c r="B7832" s="5" t="str">
        <f t="shared" si="378"/>
        <v>ESET SMALL OFFICE SECURITY 1 AÑO</v>
      </c>
      <c r="C7832" s="6">
        <v>35000</v>
      </c>
      <c r="D7832" s="5" t="s">
        <v>225</v>
      </c>
      <c r="E7832" s="5" t="str">
        <f t="shared" si="376"/>
        <v>URGENCIAS ADULTO-Jenny Peña</v>
      </c>
      <c r="F7832" s="5"/>
      <c r="G7832" s="5"/>
    </row>
    <row r="7833" spans="1:7" ht="58.5" customHeight="1" x14ac:dyDescent="0.25">
      <c r="A7833" s="5" t="str">
        <f>"H0029980"</f>
        <v>H0029980</v>
      </c>
      <c r="B7833" s="5" t="str">
        <f t="shared" si="378"/>
        <v>ESET SMALL OFFICE SECURITY 1 AÑO</v>
      </c>
      <c r="C7833" s="6">
        <v>35000</v>
      </c>
      <c r="D7833" s="5" t="s">
        <v>225</v>
      </c>
      <c r="E7833" s="5" t="str">
        <f t="shared" si="376"/>
        <v>URGENCIAS ADULTO-Jenny Peña</v>
      </c>
      <c r="F7833" s="5"/>
      <c r="G7833" s="5"/>
    </row>
    <row r="7834" spans="1:7" ht="58.5" customHeight="1" x14ac:dyDescent="0.25">
      <c r="A7834" s="5" t="str">
        <f>"H0029981"</f>
        <v>H0029981</v>
      </c>
      <c r="B7834" s="5" t="str">
        <f t="shared" si="378"/>
        <v>ESET SMALL OFFICE SECURITY 1 AÑO</v>
      </c>
      <c r="C7834" s="6">
        <v>35000</v>
      </c>
      <c r="D7834" s="5" t="s">
        <v>225</v>
      </c>
      <c r="E7834" s="5" t="str">
        <f t="shared" si="376"/>
        <v>URGENCIAS ADULTO-Jenny Peña</v>
      </c>
      <c r="F7834" s="5"/>
      <c r="G7834" s="5"/>
    </row>
    <row r="7835" spans="1:7" ht="58.5" customHeight="1" x14ac:dyDescent="0.25">
      <c r="A7835" s="5" t="str">
        <f>"H0029982"</f>
        <v>H0029982</v>
      </c>
      <c r="B7835" s="5" t="str">
        <f t="shared" si="378"/>
        <v>ESET SMALL OFFICE SECURITY 1 AÑO</v>
      </c>
      <c r="C7835" s="6">
        <v>35000</v>
      </c>
      <c r="D7835" s="5" t="s">
        <v>225</v>
      </c>
      <c r="E7835" s="5" t="str">
        <f t="shared" si="376"/>
        <v>URGENCIAS ADULTO-Jenny Peña</v>
      </c>
      <c r="F7835" s="5"/>
      <c r="G7835" s="5"/>
    </row>
    <row r="7836" spans="1:7" ht="58.5" customHeight="1" x14ac:dyDescent="0.25">
      <c r="A7836" s="5" t="str">
        <f>"H0029986"</f>
        <v>H0029986</v>
      </c>
      <c r="B7836" s="5" t="str">
        <f t="shared" ref="B7836:B7842" si="379">"LICENCIA OFFICE HOME AND BUSINEES"</f>
        <v>LICENCIA OFFICE HOME AND BUSINEES</v>
      </c>
      <c r="C7836" s="6">
        <v>731150</v>
      </c>
      <c r="D7836" s="5" t="s">
        <v>225</v>
      </c>
      <c r="E7836" s="5" t="str">
        <f t="shared" si="376"/>
        <v>URGENCIAS ADULTO-Jenny Peña</v>
      </c>
      <c r="F7836" s="5"/>
      <c r="G7836" s="5"/>
    </row>
    <row r="7837" spans="1:7" ht="58.5" customHeight="1" x14ac:dyDescent="0.25">
      <c r="A7837" s="5" t="str">
        <f>"H0029987"</f>
        <v>H0029987</v>
      </c>
      <c r="B7837" s="5" t="str">
        <f t="shared" si="379"/>
        <v>LICENCIA OFFICE HOME AND BUSINEES</v>
      </c>
      <c r="C7837" s="6">
        <v>731150</v>
      </c>
      <c r="D7837" s="5" t="s">
        <v>225</v>
      </c>
      <c r="E7837" s="5" t="str">
        <f t="shared" si="376"/>
        <v>URGENCIAS ADULTO-Jenny Peña</v>
      </c>
      <c r="F7837" s="5"/>
      <c r="G7837" s="5"/>
    </row>
    <row r="7838" spans="1:7" ht="58.5" customHeight="1" x14ac:dyDescent="0.25">
      <c r="A7838" s="5" t="str">
        <f>"H0029988"</f>
        <v>H0029988</v>
      </c>
      <c r="B7838" s="5" t="str">
        <f t="shared" si="379"/>
        <v>LICENCIA OFFICE HOME AND BUSINEES</v>
      </c>
      <c r="C7838" s="6">
        <v>731150</v>
      </c>
      <c r="D7838" s="5" t="s">
        <v>225</v>
      </c>
      <c r="E7838" s="5" t="str">
        <f t="shared" si="376"/>
        <v>URGENCIAS ADULTO-Jenny Peña</v>
      </c>
      <c r="F7838" s="5"/>
      <c r="G7838" s="5"/>
    </row>
    <row r="7839" spans="1:7" ht="58.5" customHeight="1" x14ac:dyDescent="0.25">
      <c r="A7839" s="5" t="str">
        <f>"H0029989"</f>
        <v>H0029989</v>
      </c>
      <c r="B7839" s="5" t="str">
        <f t="shared" si="379"/>
        <v>LICENCIA OFFICE HOME AND BUSINEES</v>
      </c>
      <c r="C7839" s="6">
        <v>731150</v>
      </c>
      <c r="D7839" s="5" t="s">
        <v>467</v>
      </c>
      <c r="E7839" s="5" t="str">
        <f t="shared" si="376"/>
        <v>URGENCIAS ADULTO-Jenny Peña</v>
      </c>
      <c r="F7839" s="5"/>
      <c r="G7839" s="5"/>
    </row>
    <row r="7840" spans="1:7" ht="58.5" customHeight="1" x14ac:dyDescent="0.25">
      <c r="A7840" s="5" t="str">
        <f>"H0029990"</f>
        <v>H0029990</v>
      </c>
      <c r="B7840" s="5" t="str">
        <f t="shared" si="379"/>
        <v>LICENCIA OFFICE HOME AND BUSINEES</v>
      </c>
      <c r="C7840" s="6">
        <v>731150</v>
      </c>
      <c r="D7840" s="5" t="s">
        <v>225</v>
      </c>
      <c r="E7840" s="5" t="str">
        <f t="shared" si="376"/>
        <v>URGENCIAS ADULTO-Jenny Peña</v>
      </c>
      <c r="F7840" s="5"/>
      <c r="G7840" s="5"/>
    </row>
    <row r="7841" spans="1:7" ht="58.5" customHeight="1" x14ac:dyDescent="0.25">
      <c r="A7841" s="5" t="str">
        <f>"H0029991"</f>
        <v>H0029991</v>
      </c>
      <c r="B7841" s="5" t="str">
        <f t="shared" si="379"/>
        <v>LICENCIA OFFICE HOME AND BUSINEES</v>
      </c>
      <c r="C7841" s="6">
        <v>731150</v>
      </c>
      <c r="D7841" s="5" t="s">
        <v>225</v>
      </c>
      <c r="E7841" s="5" t="str">
        <f t="shared" si="376"/>
        <v>URGENCIAS ADULTO-Jenny Peña</v>
      </c>
      <c r="F7841" s="5"/>
      <c r="G7841" s="5"/>
    </row>
    <row r="7842" spans="1:7" ht="58.5" customHeight="1" x14ac:dyDescent="0.25">
      <c r="A7842" s="5" t="str">
        <f>"H0029992"</f>
        <v>H0029992</v>
      </c>
      <c r="B7842" s="5" t="str">
        <f t="shared" si="379"/>
        <v>LICENCIA OFFICE HOME AND BUSINEES</v>
      </c>
      <c r="C7842" s="6">
        <v>731150</v>
      </c>
      <c r="D7842" s="5" t="s">
        <v>225</v>
      </c>
      <c r="E7842" s="5" t="str">
        <f t="shared" si="376"/>
        <v>URGENCIAS ADULTO-Jenny Peña</v>
      </c>
      <c r="F7842" s="5"/>
      <c r="G7842" s="5"/>
    </row>
    <row r="7843" spans="1:7" ht="58.5" customHeight="1" x14ac:dyDescent="0.25">
      <c r="A7843" s="5" t="str">
        <f>"H0029996"</f>
        <v>H0029996</v>
      </c>
      <c r="B7843" s="5" t="str">
        <f>"PARLANTE IP FULL DUPLEX PoE"</f>
        <v>PARLANTE IP FULL DUPLEX PoE</v>
      </c>
      <c r="C7843" s="6">
        <v>636928</v>
      </c>
      <c r="D7843" s="5" t="s">
        <v>466</v>
      </c>
      <c r="E7843" s="5" t="str">
        <f t="shared" si="376"/>
        <v>URGENCIAS ADULTO-Jenny Peña</v>
      </c>
      <c r="F7843" s="5"/>
      <c r="G7843" s="5"/>
    </row>
    <row r="7844" spans="1:7" ht="58.5" customHeight="1" x14ac:dyDescent="0.25">
      <c r="A7844" s="5" t="str">
        <f>"H0029997"</f>
        <v>H0029997</v>
      </c>
      <c r="B7844" s="5" t="str">
        <f>"PARLANTE IP FULL DUPLEX PoE"</f>
        <v>PARLANTE IP FULL DUPLEX PoE</v>
      </c>
      <c r="C7844" s="6">
        <v>636928</v>
      </c>
      <c r="D7844" s="5" t="s">
        <v>225</v>
      </c>
      <c r="E7844" s="5" t="str">
        <f t="shared" si="376"/>
        <v>URGENCIAS ADULTO-Jenny Peña</v>
      </c>
      <c r="F7844" s="5"/>
      <c r="G7844" s="5"/>
    </row>
    <row r="7845" spans="1:7" ht="58.5" customHeight="1" x14ac:dyDescent="0.25">
      <c r="A7845" s="5" t="str">
        <f>"H0029998"</f>
        <v>H0029998</v>
      </c>
      <c r="B7845" s="5" t="str">
        <f>"PARLANTE IP FULL DUPLEX PoE"</f>
        <v>PARLANTE IP FULL DUPLEX PoE</v>
      </c>
      <c r="C7845" s="6">
        <v>636928</v>
      </c>
      <c r="D7845" s="5" t="s">
        <v>225</v>
      </c>
      <c r="E7845" s="5" t="str">
        <f t="shared" ref="E7845:E7908" si="380">"URGENCIAS ADULTO-Jenny Peña"</f>
        <v>URGENCIAS ADULTO-Jenny Peña</v>
      </c>
      <c r="F7845" s="5"/>
      <c r="G7845" s="5"/>
    </row>
    <row r="7846" spans="1:7" ht="58.5" customHeight="1" x14ac:dyDescent="0.25">
      <c r="A7846" s="5" t="str">
        <f>"H0030006"</f>
        <v>H0030006</v>
      </c>
      <c r="B7846" s="5" t="str">
        <f>"MONITOR DE SIGNOS VITALES EDAN IM50"</f>
        <v>MONITOR DE SIGNOS VITALES EDAN IM50</v>
      </c>
      <c r="C7846" s="6">
        <v>3220000</v>
      </c>
      <c r="D7846" s="5" t="s">
        <v>227</v>
      </c>
      <c r="E7846" s="5" t="str">
        <f t="shared" si="380"/>
        <v>URGENCIAS ADULTO-Jenny Peña</v>
      </c>
      <c r="F7846" s="5"/>
      <c r="G7846" s="5"/>
    </row>
    <row r="7847" spans="1:7" ht="58.5" customHeight="1" x14ac:dyDescent="0.25">
      <c r="A7847" s="5" t="str">
        <f>"H0030007"</f>
        <v>H0030007</v>
      </c>
      <c r="B7847" s="5" t="str">
        <f>"MONITOR DE SIGNOS VITALES EDAN IM50"</f>
        <v>MONITOR DE SIGNOS VITALES EDAN IM50</v>
      </c>
      <c r="C7847" s="6">
        <v>3220000</v>
      </c>
      <c r="D7847" s="5" t="s">
        <v>227</v>
      </c>
      <c r="E7847" s="5" t="str">
        <f t="shared" si="380"/>
        <v>URGENCIAS ADULTO-Jenny Peña</v>
      </c>
      <c r="F7847" s="5"/>
      <c r="G7847" s="5"/>
    </row>
    <row r="7848" spans="1:7" ht="58.5" customHeight="1" x14ac:dyDescent="0.25">
      <c r="A7848" s="5" t="str">
        <f>"H0030008"</f>
        <v>H0030008</v>
      </c>
      <c r="B7848" s="5" t="str">
        <f>"SOPORTE PEDESTAL MONITOR"</f>
        <v>SOPORTE PEDESTAL MONITOR</v>
      </c>
      <c r="C7848" s="6">
        <v>596000</v>
      </c>
      <c r="D7848" s="5" t="s">
        <v>227</v>
      </c>
      <c r="E7848" s="5" t="str">
        <f t="shared" si="380"/>
        <v>URGENCIAS ADULTO-Jenny Peña</v>
      </c>
      <c r="F7848" s="5"/>
      <c r="G7848" s="5"/>
    </row>
    <row r="7849" spans="1:7" ht="58.5" customHeight="1" x14ac:dyDescent="0.25">
      <c r="A7849" s="5" t="str">
        <f>"H0030009"</f>
        <v>H0030009</v>
      </c>
      <c r="B7849" s="5" t="str">
        <f>"SOPORTE PEDESTAL MONITOR"</f>
        <v>SOPORTE PEDESTAL MONITOR</v>
      </c>
      <c r="C7849" s="6">
        <v>596000</v>
      </c>
      <c r="D7849" s="5" t="s">
        <v>227</v>
      </c>
      <c r="E7849" s="5" t="str">
        <f t="shared" si="380"/>
        <v>URGENCIAS ADULTO-Jenny Peña</v>
      </c>
      <c r="F7849" s="5"/>
      <c r="G7849" s="5"/>
    </row>
    <row r="7850" spans="1:7" ht="58.5" customHeight="1" x14ac:dyDescent="0.25">
      <c r="A7850" s="5" t="str">
        <f>"H0030011"</f>
        <v>H0030011</v>
      </c>
      <c r="B7850" s="5" t="str">
        <f>"SILLA MULTIPROPOSITO MANUAL R5 SOPORTE PIES"</f>
        <v>SILLA MULTIPROPOSITO MANUAL R5 SOPORTE PIES</v>
      </c>
      <c r="C7850" s="6">
        <v>2481121</v>
      </c>
      <c r="D7850" s="5" t="s">
        <v>227</v>
      </c>
      <c r="E7850" s="5" t="str">
        <f t="shared" si="380"/>
        <v>URGENCIAS ADULTO-Jenny Peña</v>
      </c>
      <c r="F7850" s="5"/>
      <c r="G7850" s="5"/>
    </row>
    <row r="7851" spans="1:7" ht="58.5" customHeight="1" x14ac:dyDescent="0.25">
      <c r="A7851" s="5" t="str">
        <f>"H0030013"</f>
        <v>H0030013</v>
      </c>
      <c r="B7851" s="5" t="str">
        <f>"SILLA MULTIPROPOSITO MANUAL R5 SOPORTE PIES"</f>
        <v>SILLA MULTIPROPOSITO MANUAL R5 SOPORTE PIES</v>
      </c>
      <c r="C7851" s="6">
        <v>2481121</v>
      </c>
      <c r="D7851" s="5" t="s">
        <v>227</v>
      </c>
      <c r="E7851" s="5" t="str">
        <f t="shared" si="380"/>
        <v>URGENCIAS ADULTO-Jenny Peña</v>
      </c>
      <c r="F7851" s="5"/>
      <c r="G7851" s="5"/>
    </row>
    <row r="7852" spans="1:7" ht="58.5" customHeight="1" x14ac:dyDescent="0.25">
      <c r="A7852" s="5" t="str">
        <f>"H0030014"</f>
        <v>H0030014</v>
      </c>
      <c r="B7852" s="5" t="str">
        <f>"SILLA MULTIPROPOSITO LOS PINOS CON UPS"</f>
        <v>SILLA MULTIPROPOSITO LOS PINOS CON UPS</v>
      </c>
      <c r="C7852" s="6">
        <v>3000000</v>
      </c>
      <c r="D7852" s="5" t="s">
        <v>227</v>
      </c>
      <c r="E7852" s="5" t="str">
        <f t="shared" si="380"/>
        <v>URGENCIAS ADULTO-Jenny Peña</v>
      </c>
      <c r="F7852" s="5"/>
      <c r="G7852" s="5"/>
    </row>
    <row r="7853" spans="1:7" ht="58.5" customHeight="1" x14ac:dyDescent="0.25">
      <c r="A7853" s="5" t="str">
        <f>"H0030015"</f>
        <v>H0030015</v>
      </c>
      <c r="B7853" s="5" t="str">
        <f>"SILLA MULTIPROPOSITO LOS PINOS CON UPS"</f>
        <v>SILLA MULTIPROPOSITO LOS PINOS CON UPS</v>
      </c>
      <c r="C7853" s="6">
        <v>3000000</v>
      </c>
      <c r="D7853" s="5" t="s">
        <v>227</v>
      </c>
      <c r="E7853" s="5" t="str">
        <f t="shared" si="380"/>
        <v>URGENCIAS ADULTO-Jenny Peña</v>
      </c>
      <c r="F7853" s="5"/>
      <c r="G7853" s="5"/>
    </row>
    <row r="7854" spans="1:7" ht="58.5" customHeight="1" x14ac:dyDescent="0.25">
      <c r="A7854" s="5" t="str">
        <f>"H0030016"</f>
        <v>H0030016</v>
      </c>
      <c r="B7854" s="5" t="str">
        <f>"SILLA MULTIPROPOSITO LOS PINOS CON UPS"</f>
        <v>SILLA MULTIPROPOSITO LOS PINOS CON UPS</v>
      </c>
      <c r="C7854" s="6">
        <v>3000000</v>
      </c>
      <c r="D7854" s="5" t="s">
        <v>227</v>
      </c>
      <c r="E7854" s="5" t="str">
        <f t="shared" si="380"/>
        <v>URGENCIAS ADULTO-Jenny Peña</v>
      </c>
      <c r="F7854" s="5"/>
      <c r="G7854" s="5"/>
    </row>
    <row r="7855" spans="1:7" ht="58.5" customHeight="1" x14ac:dyDescent="0.25">
      <c r="A7855" s="5" t="str">
        <f>"H0030017"</f>
        <v>H0030017</v>
      </c>
      <c r="B7855" s="5" t="str">
        <f>"SILLA MULTIPROPOSITO LOS PINOS CON UPS"</f>
        <v>SILLA MULTIPROPOSITO LOS PINOS CON UPS</v>
      </c>
      <c r="C7855" s="6">
        <v>3000000</v>
      </c>
      <c r="D7855" s="5" t="s">
        <v>227</v>
      </c>
      <c r="E7855" s="5" t="str">
        <f t="shared" si="380"/>
        <v>URGENCIAS ADULTO-Jenny Peña</v>
      </c>
      <c r="F7855" s="5"/>
      <c r="G7855" s="5"/>
    </row>
    <row r="7856" spans="1:7" ht="58.5" customHeight="1" x14ac:dyDescent="0.25">
      <c r="A7856" s="5" t="str">
        <f>"H0030152"</f>
        <v>H0030152</v>
      </c>
      <c r="B785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7856" s="6">
        <v>252400</v>
      </c>
      <c r="D7856" s="5" t="s">
        <v>190</v>
      </c>
      <c r="E7856" s="5" t="str">
        <f t="shared" si="380"/>
        <v>URGENCIAS ADULTO-Jenny Peña</v>
      </c>
      <c r="F7856" s="5"/>
      <c r="G7856" s="5"/>
    </row>
    <row r="7857" spans="1:7" ht="58.5" customHeight="1" x14ac:dyDescent="0.25">
      <c r="A7857" s="5" t="str">
        <f>"H0030154"</f>
        <v>H0030154</v>
      </c>
      <c r="B785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7857" s="6">
        <v>252400</v>
      </c>
      <c r="D7857" s="5" t="s">
        <v>190</v>
      </c>
      <c r="E7857" s="5" t="str">
        <f t="shared" si="380"/>
        <v>URGENCIAS ADULTO-Jenny Peña</v>
      </c>
      <c r="F7857" s="5"/>
      <c r="G7857" s="5"/>
    </row>
    <row r="7858" spans="1:7" ht="58.5" customHeight="1" x14ac:dyDescent="0.25">
      <c r="A7858" s="5" t="str">
        <f>"H0030207"</f>
        <v>H0030207</v>
      </c>
      <c r="B7858" s="5" t="str">
        <f>"AIRE ACONDICIONADO DE 36.000 BTU CONVENSIONAL"</f>
        <v>AIRE ACONDICIONADO DE 36.000 BTU CONVENSIONAL</v>
      </c>
      <c r="C7858" s="6">
        <v>3900000</v>
      </c>
      <c r="D7858" s="5" t="s">
        <v>228</v>
      </c>
      <c r="E7858" s="5" t="str">
        <f t="shared" si="380"/>
        <v>URGENCIAS ADULTO-Jenny Peña</v>
      </c>
      <c r="F7858" s="5"/>
      <c r="G7858" s="5"/>
    </row>
    <row r="7859" spans="1:7" ht="58.5" customHeight="1" x14ac:dyDescent="0.25">
      <c r="A7859" s="5" t="str">
        <f>"H0030208"</f>
        <v>H0030208</v>
      </c>
      <c r="B7859" s="5" t="str">
        <f>"COMPRESOR SCROLL 10 TR"</f>
        <v>COMPRESOR SCROLL 10 TR</v>
      </c>
      <c r="C7859" s="6">
        <v>5355000</v>
      </c>
      <c r="D7859" s="5" t="s">
        <v>228</v>
      </c>
      <c r="E7859" s="5" t="str">
        <f t="shared" si="380"/>
        <v>URGENCIAS ADULTO-Jenny Peña</v>
      </c>
      <c r="F7859" s="5"/>
      <c r="G7859" s="5"/>
    </row>
    <row r="7860" spans="1:7" ht="58.5" customHeight="1" x14ac:dyDescent="0.25">
      <c r="A7860" s="5" t="str">
        <f>"H0030209"</f>
        <v>H0030209</v>
      </c>
      <c r="B7860"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7860" s="6">
        <v>2823530</v>
      </c>
      <c r="D7860" s="5" t="s">
        <v>468</v>
      </c>
      <c r="E7860" s="5" t="str">
        <f t="shared" si="380"/>
        <v>URGENCIAS ADULTO-Jenny Peña</v>
      </c>
      <c r="F7860" s="5"/>
      <c r="G7860" s="5"/>
    </row>
    <row r="7861" spans="1:7" ht="58.5" customHeight="1" x14ac:dyDescent="0.25">
      <c r="A7861" s="5" t="str">
        <f>"H0030219"</f>
        <v>H0030219</v>
      </c>
      <c r="B7861"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7861" s="6">
        <v>773500</v>
      </c>
      <c r="D7861" s="5" t="s">
        <v>154</v>
      </c>
      <c r="E7861" s="5" t="str">
        <f t="shared" si="380"/>
        <v>URGENCIAS ADULTO-Jenny Peña</v>
      </c>
      <c r="F7861" s="5"/>
      <c r="G7861" s="5"/>
    </row>
    <row r="7862" spans="1:7" ht="58.5" customHeight="1" x14ac:dyDescent="0.25">
      <c r="A7862" s="5" t="str">
        <f>"H0030220"</f>
        <v>H0030220</v>
      </c>
      <c r="B7862"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7862" s="6">
        <v>773500</v>
      </c>
      <c r="D7862" s="5" t="s">
        <v>154</v>
      </c>
      <c r="E7862" s="5" t="str">
        <f t="shared" si="380"/>
        <v>URGENCIAS ADULTO-Jenny Peña</v>
      </c>
      <c r="F7862" s="5"/>
      <c r="G7862" s="5"/>
    </row>
    <row r="7863" spans="1:7" ht="58.5" customHeight="1" x14ac:dyDescent="0.25">
      <c r="A7863" s="5" t="str">
        <f>"H0030221"</f>
        <v>H0030221</v>
      </c>
      <c r="B7863"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7863" s="6">
        <v>773500</v>
      </c>
      <c r="D7863" s="5" t="s">
        <v>154</v>
      </c>
      <c r="E7863" s="5" t="str">
        <f t="shared" si="380"/>
        <v>URGENCIAS ADULTO-Jenny Peña</v>
      </c>
      <c r="F7863" s="5"/>
      <c r="G7863" s="5"/>
    </row>
    <row r="7864" spans="1:7" ht="58.5" customHeight="1" x14ac:dyDescent="0.25">
      <c r="A7864" s="5" t="str">
        <f>"H0030222"</f>
        <v>H0030222</v>
      </c>
      <c r="B7864"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7864" s="6">
        <v>773500</v>
      </c>
      <c r="D7864" s="5" t="s">
        <v>154</v>
      </c>
      <c r="E7864" s="5" t="str">
        <f t="shared" si="380"/>
        <v>URGENCIAS ADULTO-Jenny Peña</v>
      </c>
      <c r="F7864" s="5"/>
      <c r="G7864" s="5"/>
    </row>
    <row r="7865" spans="1:7" ht="58.5" customHeight="1" x14ac:dyDescent="0.25">
      <c r="A7865" s="5" t="str">
        <f>"H0030229"</f>
        <v>H0030229</v>
      </c>
      <c r="B7865"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7865" s="6">
        <v>773500</v>
      </c>
      <c r="D7865" s="5" t="s">
        <v>154</v>
      </c>
      <c r="E7865" s="5" t="str">
        <f t="shared" si="380"/>
        <v>URGENCIAS ADULTO-Jenny Peña</v>
      </c>
      <c r="F7865" s="5"/>
      <c r="G7865" s="5"/>
    </row>
    <row r="7866" spans="1:7" ht="58.5" customHeight="1" x14ac:dyDescent="0.25">
      <c r="A7866" s="5" t="str">
        <f>"H0030284"</f>
        <v>H0030284</v>
      </c>
      <c r="B7866" s="5" t="str">
        <f t="shared" ref="B7866:B7872" si="381">"LAMPARA DE PASILLO DE LLAMADO DE ENFERMERIA"</f>
        <v>LAMPARA DE PASILLO DE LLAMADO DE ENFERMERIA</v>
      </c>
      <c r="C7866" s="6">
        <v>497740.11</v>
      </c>
      <c r="D7866" s="5" t="s">
        <v>155</v>
      </c>
      <c r="E7866" s="5" t="str">
        <f t="shared" si="380"/>
        <v>URGENCIAS ADULTO-Jenny Peña</v>
      </c>
      <c r="F7866" s="5"/>
      <c r="G7866" s="5" t="str">
        <f t="shared" ref="G7866:G7872" si="382">"MMC-N131"</f>
        <v>MMC-N131</v>
      </c>
    </row>
    <row r="7867" spans="1:7" ht="58.5" customHeight="1" x14ac:dyDescent="0.25">
      <c r="A7867" s="5" t="str">
        <f>"H0030285"</f>
        <v>H0030285</v>
      </c>
      <c r="B7867" s="5" t="str">
        <f t="shared" si="381"/>
        <v>LAMPARA DE PASILLO DE LLAMADO DE ENFERMERIA</v>
      </c>
      <c r="C7867" s="6">
        <v>497740.11</v>
      </c>
      <c r="D7867" s="5" t="s">
        <v>155</v>
      </c>
      <c r="E7867" s="5" t="str">
        <f t="shared" si="380"/>
        <v>URGENCIAS ADULTO-Jenny Peña</v>
      </c>
      <c r="F7867" s="5"/>
      <c r="G7867" s="5" t="str">
        <f t="shared" si="382"/>
        <v>MMC-N131</v>
      </c>
    </row>
    <row r="7868" spans="1:7" ht="58.5" customHeight="1" x14ac:dyDescent="0.25">
      <c r="A7868" s="5" t="str">
        <f>"H0030286"</f>
        <v>H0030286</v>
      </c>
      <c r="B7868" s="5" t="str">
        <f t="shared" si="381"/>
        <v>LAMPARA DE PASILLO DE LLAMADO DE ENFERMERIA</v>
      </c>
      <c r="C7868" s="6">
        <v>497740.11</v>
      </c>
      <c r="D7868" s="5" t="s">
        <v>155</v>
      </c>
      <c r="E7868" s="5" t="str">
        <f t="shared" si="380"/>
        <v>URGENCIAS ADULTO-Jenny Peña</v>
      </c>
      <c r="F7868" s="5"/>
      <c r="G7868" s="5" t="str">
        <f t="shared" si="382"/>
        <v>MMC-N131</v>
      </c>
    </row>
    <row r="7869" spans="1:7" ht="58.5" customHeight="1" x14ac:dyDescent="0.25">
      <c r="A7869" s="5" t="str">
        <f>"H0030287"</f>
        <v>H0030287</v>
      </c>
      <c r="B7869" s="5" t="str">
        <f t="shared" si="381"/>
        <v>LAMPARA DE PASILLO DE LLAMADO DE ENFERMERIA</v>
      </c>
      <c r="C7869" s="6">
        <v>497740.11</v>
      </c>
      <c r="D7869" s="5" t="s">
        <v>155</v>
      </c>
      <c r="E7869" s="5" t="str">
        <f t="shared" si="380"/>
        <v>URGENCIAS ADULTO-Jenny Peña</v>
      </c>
      <c r="F7869" s="5"/>
      <c r="G7869" s="5" t="str">
        <f t="shared" si="382"/>
        <v>MMC-N131</v>
      </c>
    </row>
    <row r="7870" spans="1:7" ht="58.5" customHeight="1" x14ac:dyDescent="0.25">
      <c r="A7870" s="5" t="str">
        <f>"H0030288"</f>
        <v>H0030288</v>
      </c>
      <c r="B7870" s="5" t="str">
        <f t="shared" si="381"/>
        <v>LAMPARA DE PASILLO DE LLAMADO DE ENFERMERIA</v>
      </c>
      <c r="C7870" s="6">
        <v>497740.11</v>
      </c>
      <c r="D7870" s="5" t="s">
        <v>155</v>
      </c>
      <c r="E7870" s="5" t="str">
        <f t="shared" si="380"/>
        <v>URGENCIAS ADULTO-Jenny Peña</v>
      </c>
      <c r="F7870" s="5"/>
      <c r="G7870" s="5" t="str">
        <f t="shared" si="382"/>
        <v>MMC-N131</v>
      </c>
    </row>
    <row r="7871" spans="1:7" ht="58.5" customHeight="1" x14ac:dyDescent="0.25">
      <c r="A7871" s="5" t="str">
        <f>"H0030289"</f>
        <v>H0030289</v>
      </c>
      <c r="B7871" s="5" t="str">
        <f t="shared" si="381"/>
        <v>LAMPARA DE PASILLO DE LLAMADO DE ENFERMERIA</v>
      </c>
      <c r="C7871" s="6">
        <v>497740.11</v>
      </c>
      <c r="D7871" s="5" t="s">
        <v>155</v>
      </c>
      <c r="E7871" s="5" t="str">
        <f t="shared" si="380"/>
        <v>URGENCIAS ADULTO-Jenny Peña</v>
      </c>
      <c r="F7871" s="5"/>
      <c r="G7871" s="5" t="str">
        <f t="shared" si="382"/>
        <v>MMC-N131</v>
      </c>
    </row>
    <row r="7872" spans="1:7" ht="58.5" customHeight="1" x14ac:dyDescent="0.25">
      <c r="A7872" s="5" t="str">
        <f>"H0030290"</f>
        <v>H0030290</v>
      </c>
      <c r="B7872" s="5" t="str">
        <f t="shared" si="381"/>
        <v>LAMPARA DE PASILLO DE LLAMADO DE ENFERMERIA</v>
      </c>
      <c r="C7872" s="6">
        <v>497740.11</v>
      </c>
      <c r="D7872" s="5" t="s">
        <v>155</v>
      </c>
      <c r="E7872" s="5" t="str">
        <f t="shared" si="380"/>
        <v>URGENCIAS ADULTO-Jenny Peña</v>
      </c>
      <c r="F7872" s="5"/>
      <c r="G7872" s="5" t="str">
        <f t="shared" si="382"/>
        <v>MMC-N131</v>
      </c>
    </row>
    <row r="7873" spans="1:7" ht="58.5" customHeight="1" x14ac:dyDescent="0.25">
      <c r="A7873" s="5" t="str">
        <f>"H0030316"</f>
        <v>H0030316</v>
      </c>
      <c r="B7873" s="5" t="str">
        <f>"PANTALLA RECEPTORA DE LLAMADO DE ENFERMERIA"</f>
        <v>PANTALLA RECEPTORA DE LLAMADO DE ENFERMERIA</v>
      </c>
      <c r="C7873" s="6">
        <v>1670041.22</v>
      </c>
      <c r="D7873" s="5" t="s">
        <v>155</v>
      </c>
      <c r="E7873" s="5" t="str">
        <f t="shared" si="380"/>
        <v>URGENCIAS ADULTO-Jenny Peña</v>
      </c>
      <c r="F7873" s="5"/>
      <c r="G7873" s="5" t="str">
        <f>"MMC-2611M3"</f>
        <v>MMC-2611M3</v>
      </c>
    </row>
    <row r="7874" spans="1:7" ht="58.5" customHeight="1" x14ac:dyDescent="0.25">
      <c r="A7874" s="5" t="str">
        <f>"H0030317"</f>
        <v>H0030317</v>
      </c>
      <c r="B7874" s="5" t="str">
        <f>"PANTALLA RECEPTORA DE LLAMADO DE ENFERMERIA"</f>
        <v>PANTALLA RECEPTORA DE LLAMADO DE ENFERMERIA</v>
      </c>
      <c r="C7874" s="6">
        <v>1670041.22</v>
      </c>
      <c r="D7874" s="5" t="s">
        <v>155</v>
      </c>
      <c r="E7874" s="5" t="str">
        <f t="shared" si="380"/>
        <v>URGENCIAS ADULTO-Jenny Peña</v>
      </c>
      <c r="F7874" s="5"/>
      <c r="G7874" s="5" t="str">
        <f>"MMC-2611M3"</f>
        <v>MMC-2611M3</v>
      </c>
    </row>
    <row r="7875" spans="1:7" ht="58.5" customHeight="1" x14ac:dyDescent="0.25">
      <c r="A7875" s="5" t="str">
        <f>"H0030318"</f>
        <v>H0030318</v>
      </c>
      <c r="B7875" s="5" t="str">
        <f>"PANTALLA RECEPTORA DE LLAMADO DE ENFERMERIA"</f>
        <v>PANTALLA RECEPTORA DE LLAMADO DE ENFERMERIA</v>
      </c>
      <c r="C7875" s="6">
        <v>1670041.22</v>
      </c>
      <c r="D7875" s="5" t="s">
        <v>155</v>
      </c>
      <c r="E7875" s="5" t="str">
        <f t="shared" si="380"/>
        <v>URGENCIAS ADULTO-Jenny Peña</v>
      </c>
      <c r="F7875" s="5"/>
      <c r="G7875" s="5" t="str">
        <f>"MMC-2611M3"</f>
        <v>MMC-2611M3</v>
      </c>
    </row>
    <row r="7876" spans="1:7" ht="58.5" customHeight="1" x14ac:dyDescent="0.25">
      <c r="A7876" s="5" t="str">
        <f>"H0030319"</f>
        <v>H0030319</v>
      </c>
      <c r="B7876" s="5" t="str">
        <f>"PANTALLA RECEPTORA DE LLAMADO DE ENFERMERIA"</f>
        <v>PANTALLA RECEPTORA DE LLAMADO DE ENFERMERIA</v>
      </c>
      <c r="C7876" s="6">
        <v>1670041.22</v>
      </c>
      <c r="D7876" s="5" t="s">
        <v>155</v>
      </c>
      <c r="E7876" s="5" t="str">
        <f t="shared" si="380"/>
        <v>URGENCIAS ADULTO-Jenny Peña</v>
      </c>
      <c r="F7876" s="5"/>
      <c r="G7876" s="5" t="str">
        <f>"MMC-2611M3"</f>
        <v>MMC-2611M3</v>
      </c>
    </row>
    <row r="7877" spans="1:7" ht="58.5" customHeight="1" x14ac:dyDescent="0.25">
      <c r="A7877" s="5" t="str">
        <f>"H0030339"</f>
        <v>H0030339</v>
      </c>
      <c r="B7877" s="5" t="str">
        <f t="shared" ref="B7877:B7884" si="383">"UNIDAD DE LLAMADO DE ENFERMERIA PARA BAÑO CON CORDON TIRADOR. RESISTENTE A SALPICADURAS DE AGUA Y LUZ INDICADORA DE PULSACIÓN"</f>
        <v>UNIDAD DE LLAMADO DE ENFERMERIA PARA BAÑO CON CORDON TIRADOR. RESISTENTE A SALPICADURAS DE AGUA Y LUZ INDICADORA DE PULSACIÓN</v>
      </c>
      <c r="C7877" s="6">
        <v>205537.98</v>
      </c>
      <c r="D7877" s="5" t="s">
        <v>155</v>
      </c>
      <c r="E7877" s="5" t="str">
        <f t="shared" si="380"/>
        <v>URGENCIAS ADULTO-Jenny Peña</v>
      </c>
      <c r="F7877" s="5"/>
      <c r="G7877" s="5" t="str">
        <f t="shared" ref="G7877:G7884" si="384">"MMC-2610LL"</f>
        <v>MMC-2610LL</v>
      </c>
    </row>
    <row r="7878" spans="1:7" ht="58.5" customHeight="1" x14ac:dyDescent="0.25">
      <c r="A7878" s="5" t="str">
        <f>"H0030340"</f>
        <v>H0030340</v>
      </c>
      <c r="B7878" s="5" t="str">
        <f t="shared" si="383"/>
        <v>UNIDAD DE LLAMADO DE ENFERMERIA PARA BAÑO CON CORDON TIRADOR. RESISTENTE A SALPICADURAS DE AGUA Y LUZ INDICADORA DE PULSACIÓN</v>
      </c>
      <c r="C7878" s="6">
        <v>205537.98</v>
      </c>
      <c r="D7878" s="5" t="s">
        <v>155</v>
      </c>
      <c r="E7878" s="5" t="str">
        <f t="shared" si="380"/>
        <v>URGENCIAS ADULTO-Jenny Peña</v>
      </c>
      <c r="F7878" s="5"/>
      <c r="G7878" s="5" t="str">
        <f t="shared" si="384"/>
        <v>MMC-2610LL</v>
      </c>
    </row>
    <row r="7879" spans="1:7" ht="58.5" customHeight="1" x14ac:dyDescent="0.25">
      <c r="A7879" s="5" t="str">
        <f>"H0030341"</f>
        <v>H0030341</v>
      </c>
      <c r="B7879" s="5" t="str">
        <f t="shared" si="383"/>
        <v>UNIDAD DE LLAMADO DE ENFERMERIA PARA BAÑO CON CORDON TIRADOR. RESISTENTE A SALPICADURAS DE AGUA Y LUZ INDICADORA DE PULSACIÓN</v>
      </c>
      <c r="C7879" s="6">
        <v>205537.98</v>
      </c>
      <c r="D7879" s="5" t="s">
        <v>155</v>
      </c>
      <c r="E7879" s="5" t="str">
        <f t="shared" si="380"/>
        <v>URGENCIAS ADULTO-Jenny Peña</v>
      </c>
      <c r="F7879" s="5"/>
      <c r="G7879" s="5" t="str">
        <f t="shared" si="384"/>
        <v>MMC-2610LL</v>
      </c>
    </row>
    <row r="7880" spans="1:7" ht="58.5" customHeight="1" x14ac:dyDescent="0.25">
      <c r="A7880" s="5" t="str">
        <f>"H0030342"</f>
        <v>H0030342</v>
      </c>
      <c r="B7880" s="5" t="str">
        <f t="shared" si="383"/>
        <v>UNIDAD DE LLAMADO DE ENFERMERIA PARA BAÑO CON CORDON TIRADOR. RESISTENTE A SALPICADURAS DE AGUA Y LUZ INDICADORA DE PULSACIÓN</v>
      </c>
      <c r="C7880" s="6">
        <v>205537.98</v>
      </c>
      <c r="D7880" s="5" t="s">
        <v>155</v>
      </c>
      <c r="E7880" s="5" t="str">
        <f t="shared" si="380"/>
        <v>URGENCIAS ADULTO-Jenny Peña</v>
      </c>
      <c r="F7880" s="5"/>
      <c r="G7880" s="5" t="str">
        <f t="shared" si="384"/>
        <v>MMC-2610LL</v>
      </c>
    </row>
    <row r="7881" spans="1:7" ht="58.5" customHeight="1" x14ac:dyDescent="0.25">
      <c r="A7881" s="5" t="str">
        <f>"H0030343"</f>
        <v>H0030343</v>
      </c>
      <c r="B7881" s="5" t="str">
        <f t="shared" si="383"/>
        <v>UNIDAD DE LLAMADO DE ENFERMERIA PARA BAÑO CON CORDON TIRADOR. RESISTENTE A SALPICADURAS DE AGUA Y LUZ INDICADORA DE PULSACIÓN</v>
      </c>
      <c r="C7881" s="6">
        <v>205537.98</v>
      </c>
      <c r="D7881" s="5" t="s">
        <v>155</v>
      </c>
      <c r="E7881" s="5" t="str">
        <f t="shared" si="380"/>
        <v>URGENCIAS ADULTO-Jenny Peña</v>
      </c>
      <c r="F7881" s="5"/>
      <c r="G7881" s="5" t="str">
        <f t="shared" si="384"/>
        <v>MMC-2610LL</v>
      </c>
    </row>
    <row r="7882" spans="1:7" ht="58.5" customHeight="1" x14ac:dyDescent="0.25">
      <c r="A7882" s="5" t="str">
        <f>"H0030344"</f>
        <v>H0030344</v>
      </c>
      <c r="B7882" s="5" t="str">
        <f t="shared" si="383"/>
        <v>UNIDAD DE LLAMADO DE ENFERMERIA PARA BAÑO CON CORDON TIRADOR. RESISTENTE A SALPICADURAS DE AGUA Y LUZ INDICADORA DE PULSACIÓN</v>
      </c>
      <c r="C7882" s="6">
        <v>205537.98</v>
      </c>
      <c r="D7882" s="5" t="s">
        <v>155</v>
      </c>
      <c r="E7882" s="5" t="str">
        <f t="shared" si="380"/>
        <v>URGENCIAS ADULTO-Jenny Peña</v>
      </c>
      <c r="F7882" s="5"/>
      <c r="G7882" s="5" t="str">
        <f t="shared" si="384"/>
        <v>MMC-2610LL</v>
      </c>
    </row>
    <row r="7883" spans="1:7" ht="58.5" customHeight="1" x14ac:dyDescent="0.25">
      <c r="A7883" s="5" t="str">
        <f>"H0030345"</f>
        <v>H0030345</v>
      </c>
      <c r="B7883" s="5" t="str">
        <f t="shared" si="383"/>
        <v>UNIDAD DE LLAMADO DE ENFERMERIA PARA BAÑO CON CORDON TIRADOR. RESISTENTE A SALPICADURAS DE AGUA Y LUZ INDICADORA DE PULSACIÓN</v>
      </c>
      <c r="C7883" s="6">
        <v>205537.98</v>
      </c>
      <c r="D7883" s="5" t="s">
        <v>155</v>
      </c>
      <c r="E7883" s="5" t="str">
        <f t="shared" si="380"/>
        <v>URGENCIAS ADULTO-Jenny Peña</v>
      </c>
      <c r="F7883" s="5"/>
      <c r="G7883" s="5" t="str">
        <f t="shared" si="384"/>
        <v>MMC-2610LL</v>
      </c>
    </row>
    <row r="7884" spans="1:7" ht="58.5" customHeight="1" x14ac:dyDescent="0.25">
      <c r="A7884" s="5" t="str">
        <f>"H0030346"</f>
        <v>H0030346</v>
      </c>
      <c r="B7884" s="5" t="str">
        <f t="shared" si="383"/>
        <v>UNIDAD DE LLAMADO DE ENFERMERIA PARA BAÑO CON CORDON TIRADOR. RESISTENTE A SALPICADURAS DE AGUA Y LUZ INDICADORA DE PULSACIÓN</v>
      </c>
      <c r="C7884" s="6">
        <v>205537.98</v>
      </c>
      <c r="D7884" s="5" t="s">
        <v>155</v>
      </c>
      <c r="E7884" s="5" t="str">
        <f t="shared" si="380"/>
        <v>URGENCIAS ADULTO-Jenny Peña</v>
      </c>
      <c r="F7884" s="5"/>
      <c r="G7884" s="5" t="str">
        <f t="shared" si="384"/>
        <v>MMC-2610LL</v>
      </c>
    </row>
    <row r="7885" spans="1:7" ht="58.5" customHeight="1" x14ac:dyDescent="0.25">
      <c r="A7885" s="5" t="str">
        <f>"H0030393"</f>
        <v>H0030393</v>
      </c>
      <c r="B7885" s="5" t="str">
        <f t="shared" ref="B7885:B7916" si="385">"UNIDAD DE LLAMADO DE ENFERMERIA PARA CAMA O BAÑO"</f>
        <v>UNIDAD DE LLAMADO DE ENFERMERIA PARA CAMA O BAÑO</v>
      </c>
      <c r="C7885" s="6">
        <v>207719.26</v>
      </c>
      <c r="D7885" s="5" t="s">
        <v>155</v>
      </c>
      <c r="E7885" s="5" t="str">
        <f t="shared" si="380"/>
        <v>URGENCIAS ADULTO-Jenny Peña</v>
      </c>
      <c r="F7885" s="5"/>
      <c r="G7885" s="5" t="str">
        <f t="shared" ref="G7885:G7916" si="386">"MMC-B100"</f>
        <v>MMC-B100</v>
      </c>
    </row>
    <row r="7886" spans="1:7" ht="58.5" customHeight="1" x14ac:dyDescent="0.25">
      <c r="A7886" s="5" t="str">
        <f>"H0030394"</f>
        <v>H0030394</v>
      </c>
      <c r="B7886" s="5" t="str">
        <f t="shared" si="385"/>
        <v>UNIDAD DE LLAMADO DE ENFERMERIA PARA CAMA O BAÑO</v>
      </c>
      <c r="C7886" s="6">
        <v>207719.26</v>
      </c>
      <c r="D7886" s="5" t="s">
        <v>155</v>
      </c>
      <c r="E7886" s="5" t="str">
        <f t="shared" si="380"/>
        <v>URGENCIAS ADULTO-Jenny Peña</v>
      </c>
      <c r="F7886" s="5"/>
      <c r="G7886" s="5" t="str">
        <f t="shared" si="386"/>
        <v>MMC-B100</v>
      </c>
    </row>
    <row r="7887" spans="1:7" ht="58.5" customHeight="1" x14ac:dyDescent="0.25">
      <c r="A7887" s="5" t="str">
        <f>"H0030395"</f>
        <v>H0030395</v>
      </c>
      <c r="B7887" s="5" t="str">
        <f t="shared" si="385"/>
        <v>UNIDAD DE LLAMADO DE ENFERMERIA PARA CAMA O BAÑO</v>
      </c>
      <c r="C7887" s="6">
        <v>207719.26</v>
      </c>
      <c r="D7887" s="5" t="s">
        <v>155</v>
      </c>
      <c r="E7887" s="5" t="str">
        <f t="shared" si="380"/>
        <v>URGENCIAS ADULTO-Jenny Peña</v>
      </c>
      <c r="F7887" s="5"/>
      <c r="G7887" s="5" t="str">
        <f t="shared" si="386"/>
        <v>MMC-B100</v>
      </c>
    </row>
    <row r="7888" spans="1:7" ht="58.5" customHeight="1" x14ac:dyDescent="0.25">
      <c r="A7888" s="5" t="str">
        <f>"H0030396"</f>
        <v>H0030396</v>
      </c>
      <c r="B7888" s="5" t="str">
        <f t="shared" si="385"/>
        <v>UNIDAD DE LLAMADO DE ENFERMERIA PARA CAMA O BAÑO</v>
      </c>
      <c r="C7888" s="6">
        <v>207719.26</v>
      </c>
      <c r="D7888" s="5" t="s">
        <v>155</v>
      </c>
      <c r="E7888" s="5" t="str">
        <f t="shared" si="380"/>
        <v>URGENCIAS ADULTO-Jenny Peña</v>
      </c>
      <c r="F7888" s="5"/>
      <c r="G7888" s="5" t="str">
        <f t="shared" si="386"/>
        <v>MMC-B100</v>
      </c>
    </row>
    <row r="7889" spans="1:7" ht="58.5" customHeight="1" x14ac:dyDescent="0.25">
      <c r="A7889" s="5" t="str">
        <f>"H0030397"</f>
        <v>H0030397</v>
      </c>
      <c r="B7889" s="5" t="str">
        <f t="shared" si="385"/>
        <v>UNIDAD DE LLAMADO DE ENFERMERIA PARA CAMA O BAÑO</v>
      </c>
      <c r="C7889" s="6">
        <v>207719.26</v>
      </c>
      <c r="D7889" s="5" t="s">
        <v>155</v>
      </c>
      <c r="E7889" s="5" t="str">
        <f t="shared" si="380"/>
        <v>URGENCIAS ADULTO-Jenny Peña</v>
      </c>
      <c r="F7889" s="5"/>
      <c r="G7889" s="5" t="str">
        <f t="shared" si="386"/>
        <v>MMC-B100</v>
      </c>
    </row>
    <row r="7890" spans="1:7" ht="58.5" customHeight="1" x14ac:dyDescent="0.25">
      <c r="A7890" s="5" t="str">
        <f>"H0030398"</f>
        <v>H0030398</v>
      </c>
      <c r="B7890" s="5" t="str">
        <f t="shared" si="385"/>
        <v>UNIDAD DE LLAMADO DE ENFERMERIA PARA CAMA O BAÑO</v>
      </c>
      <c r="C7890" s="6">
        <v>207719.26</v>
      </c>
      <c r="D7890" s="5" t="s">
        <v>155</v>
      </c>
      <c r="E7890" s="5" t="str">
        <f t="shared" si="380"/>
        <v>URGENCIAS ADULTO-Jenny Peña</v>
      </c>
      <c r="F7890" s="5"/>
      <c r="G7890" s="5" t="str">
        <f t="shared" si="386"/>
        <v>MMC-B100</v>
      </c>
    </row>
    <row r="7891" spans="1:7" ht="58.5" customHeight="1" x14ac:dyDescent="0.25">
      <c r="A7891" s="5" t="str">
        <f>"H0030399"</f>
        <v>H0030399</v>
      </c>
      <c r="B7891" s="5" t="str">
        <f t="shared" si="385"/>
        <v>UNIDAD DE LLAMADO DE ENFERMERIA PARA CAMA O BAÑO</v>
      </c>
      <c r="C7891" s="6">
        <v>207719.26</v>
      </c>
      <c r="D7891" s="5" t="s">
        <v>155</v>
      </c>
      <c r="E7891" s="5" t="str">
        <f t="shared" si="380"/>
        <v>URGENCIAS ADULTO-Jenny Peña</v>
      </c>
      <c r="F7891" s="5"/>
      <c r="G7891" s="5" t="str">
        <f t="shared" si="386"/>
        <v>MMC-B100</v>
      </c>
    </row>
    <row r="7892" spans="1:7" ht="58.5" customHeight="1" x14ac:dyDescent="0.25">
      <c r="A7892" s="5" t="str">
        <f>"H0030400"</f>
        <v>H0030400</v>
      </c>
      <c r="B7892" s="5" t="str">
        <f t="shared" si="385"/>
        <v>UNIDAD DE LLAMADO DE ENFERMERIA PARA CAMA O BAÑO</v>
      </c>
      <c r="C7892" s="6">
        <v>207719.26</v>
      </c>
      <c r="D7892" s="5" t="s">
        <v>155</v>
      </c>
      <c r="E7892" s="5" t="str">
        <f t="shared" si="380"/>
        <v>URGENCIAS ADULTO-Jenny Peña</v>
      </c>
      <c r="F7892" s="5"/>
      <c r="G7892" s="5" t="str">
        <f t="shared" si="386"/>
        <v>MMC-B100</v>
      </c>
    </row>
    <row r="7893" spans="1:7" ht="58.5" customHeight="1" x14ac:dyDescent="0.25">
      <c r="A7893" s="5" t="str">
        <f>"H0030401"</f>
        <v>H0030401</v>
      </c>
      <c r="B7893" s="5" t="str">
        <f t="shared" si="385"/>
        <v>UNIDAD DE LLAMADO DE ENFERMERIA PARA CAMA O BAÑO</v>
      </c>
      <c r="C7893" s="6">
        <v>207719.26</v>
      </c>
      <c r="D7893" s="5" t="s">
        <v>155</v>
      </c>
      <c r="E7893" s="5" t="str">
        <f t="shared" si="380"/>
        <v>URGENCIAS ADULTO-Jenny Peña</v>
      </c>
      <c r="F7893" s="5"/>
      <c r="G7893" s="5" t="str">
        <f t="shared" si="386"/>
        <v>MMC-B100</v>
      </c>
    </row>
    <row r="7894" spans="1:7" ht="58.5" customHeight="1" x14ac:dyDescent="0.25">
      <c r="A7894" s="5" t="str">
        <f>"H0030402"</f>
        <v>H0030402</v>
      </c>
      <c r="B7894" s="5" t="str">
        <f t="shared" si="385"/>
        <v>UNIDAD DE LLAMADO DE ENFERMERIA PARA CAMA O BAÑO</v>
      </c>
      <c r="C7894" s="6">
        <v>207719.26</v>
      </c>
      <c r="D7894" s="5" t="s">
        <v>155</v>
      </c>
      <c r="E7894" s="5" t="str">
        <f t="shared" si="380"/>
        <v>URGENCIAS ADULTO-Jenny Peña</v>
      </c>
      <c r="F7894" s="5"/>
      <c r="G7894" s="5" t="str">
        <f t="shared" si="386"/>
        <v>MMC-B100</v>
      </c>
    </row>
    <row r="7895" spans="1:7" ht="58.5" customHeight="1" x14ac:dyDescent="0.25">
      <c r="A7895" s="5" t="str">
        <f>"H0030403"</f>
        <v>H0030403</v>
      </c>
      <c r="B7895" s="5" t="str">
        <f t="shared" si="385"/>
        <v>UNIDAD DE LLAMADO DE ENFERMERIA PARA CAMA O BAÑO</v>
      </c>
      <c r="C7895" s="6">
        <v>207719.26</v>
      </c>
      <c r="D7895" s="5" t="s">
        <v>155</v>
      </c>
      <c r="E7895" s="5" t="str">
        <f t="shared" si="380"/>
        <v>URGENCIAS ADULTO-Jenny Peña</v>
      </c>
      <c r="F7895" s="5"/>
      <c r="G7895" s="5" t="str">
        <f t="shared" si="386"/>
        <v>MMC-B100</v>
      </c>
    </row>
    <row r="7896" spans="1:7" ht="58.5" customHeight="1" x14ac:dyDescent="0.25">
      <c r="A7896" s="5" t="str">
        <f>"H0030404"</f>
        <v>H0030404</v>
      </c>
      <c r="B7896" s="5" t="str">
        <f t="shared" si="385"/>
        <v>UNIDAD DE LLAMADO DE ENFERMERIA PARA CAMA O BAÑO</v>
      </c>
      <c r="C7896" s="6">
        <v>207719.26</v>
      </c>
      <c r="D7896" s="5" t="s">
        <v>155</v>
      </c>
      <c r="E7896" s="5" t="str">
        <f t="shared" si="380"/>
        <v>URGENCIAS ADULTO-Jenny Peña</v>
      </c>
      <c r="F7896" s="5"/>
      <c r="G7896" s="5" t="str">
        <f t="shared" si="386"/>
        <v>MMC-B100</v>
      </c>
    </row>
    <row r="7897" spans="1:7" ht="58.5" customHeight="1" x14ac:dyDescent="0.25">
      <c r="A7897" s="5" t="str">
        <f>"H0030405"</f>
        <v>H0030405</v>
      </c>
      <c r="B7897" s="5" t="str">
        <f t="shared" si="385"/>
        <v>UNIDAD DE LLAMADO DE ENFERMERIA PARA CAMA O BAÑO</v>
      </c>
      <c r="C7897" s="6">
        <v>207719.26</v>
      </c>
      <c r="D7897" s="5" t="s">
        <v>155</v>
      </c>
      <c r="E7897" s="5" t="str">
        <f t="shared" si="380"/>
        <v>URGENCIAS ADULTO-Jenny Peña</v>
      </c>
      <c r="F7897" s="5"/>
      <c r="G7897" s="5" t="str">
        <f t="shared" si="386"/>
        <v>MMC-B100</v>
      </c>
    </row>
    <row r="7898" spans="1:7" ht="58.5" customHeight="1" x14ac:dyDescent="0.25">
      <c r="A7898" s="5" t="str">
        <f>"H0030406"</f>
        <v>H0030406</v>
      </c>
      <c r="B7898" s="5" t="str">
        <f t="shared" si="385"/>
        <v>UNIDAD DE LLAMADO DE ENFERMERIA PARA CAMA O BAÑO</v>
      </c>
      <c r="C7898" s="6">
        <v>207719.26</v>
      </c>
      <c r="D7898" s="5" t="s">
        <v>155</v>
      </c>
      <c r="E7898" s="5" t="str">
        <f t="shared" si="380"/>
        <v>URGENCIAS ADULTO-Jenny Peña</v>
      </c>
      <c r="F7898" s="5"/>
      <c r="G7898" s="5" t="str">
        <f t="shared" si="386"/>
        <v>MMC-B100</v>
      </c>
    </row>
    <row r="7899" spans="1:7" ht="58.5" customHeight="1" x14ac:dyDescent="0.25">
      <c r="A7899" s="5" t="str">
        <f>"H0030407"</f>
        <v>H0030407</v>
      </c>
      <c r="B7899" s="5" t="str">
        <f t="shared" si="385"/>
        <v>UNIDAD DE LLAMADO DE ENFERMERIA PARA CAMA O BAÑO</v>
      </c>
      <c r="C7899" s="6">
        <v>207719.26</v>
      </c>
      <c r="D7899" s="5" t="s">
        <v>155</v>
      </c>
      <c r="E7899" s="5" t="str">
        <f t="shared" si="380"/>
        <v>URGENCIAS ADULTO-Jenny Peña</v>
      </c>
      <c r="F7899" s="5"/>
      <c r="G7899" s="5" t="str">
        <f t="shared" si="386"/>
        <v>MMC-B100</v>
      </c>
    </row>
    <row r="7900" spans="1:7" ht="58.5" customHeight="1" x14ac:dyDescent="0.25">
      <c r="A7900" s="5" t="str">
        <f>"H0030408"</f>
        <v>H0030408</v>
      </c>
      <c r="B7900" s="5" t="str">
        <f t="shared" si="385"/>
        <v>UNIDAD DE LLAMADO DE ENFERMERIA PARA CAMA O BAÑO</v>
      </c>
      <c r="C7900" s="6">
        <v>207719.26</v>
      </c>
      <c r="D7900" s="5" t="s">
        <v>155</v>
      </c>
      <c r="E7900" s="5" t="str">
        <f t="shared" si="380"/>
        <v>URGENCIAS ADULTO-Jenny Peña</v>
      </c>
      <c r="F7900" s="5"/>
      <c r="G7900" s="5" t="str">
        <f t="shared" si="386"/>
        <v>MMC-B100</v>
      </c>
    </row>
    <row r="7901" spans="1:7" ht="58.5" customHeight="1" x14ac:dyDescent="0.25">
      <c r="A7901" s="5" t="str">
        <f>"H0030409"</f>
        <v>H0030409</v>
      </c>
      <c r="B7901" s="5" t="str">
        <f t="shared" si="385"/>
        <v>UNIDAD DE LLAMADO DE ENFERMERIA PARA CAMA O BAÑO</v>
      </c>
      <c r="C7901" s="6">
        <v>207719.26</v>
      </c>
      <c r="D7901" s="5" t="s">
        <v>155</v>
      </c>
      <c r="E7901" s="5" t="str">
        <f t="shared" si="380"/>
        <v>URGENCIAS ADULTO-Jenny Peña</v>
      </c>
      <c r="F7901" s="5"/>
      <c r="G7901" s="5" t="str">
        <f t="shared" si="386"/>
        <v>MMC-B100</v>
      </c>
    </row>
    <row r="7902" spans="1:7" ht="58.5" customHeight="1" x14ac:dyDescent="0.25">
      <c r="A7902" s="5" t="str">
        <f>"H0030410"</f>
        <v>H0030410</v>
      </c>
      <c r="B7902" s="5" t="str">
        <f t="shared" si="385"/>
        <v>UNIDAD DE LLAMADO DE ENFERMERIA PARA CAMA O BAÑO</v>
      </c>
      <c r="C7902" s="6">
        <v>207719.26</v>
      </c>
      <c r="D7902" s="5" t="s">
        <v>155</v>
      </c>
      <c r="E7902" s="5" t="str">
        <f t="shared" si="380"/>
        <v>URGENCIAS ADULTO-Jenny Peña</v>
      </c>
      <c r="F7902" s="5"/>
      <c r="G7902" s="5" t="str">
        <f t="shared" si="386"/>
        <v>MMC-B100</v>
      </c>
    </row>
    <row r="7903" spans="1:7" ht="58.5" customHeight="1" x14ac:dyDescent="0.25">
      <c r="A7903" s="5" t="str">
        <f>"H0030411"</f>
        <v>H0030411</v>
      </c>
      <c r="B7903" s="5" t="str">
        <f t="shared" si="385"/>
        <v>UNIDAD DE LLAMADO DE ENFERMERIA PARA CAMA O BAÑO</v>
      </c>
      <c r="C7903" s="6">
        <v>207719.26</v>
      </c>
      <c r="D7903" s="5" t="s">
        <v>155</v>
      </c>
      <c r="E7903" s="5" t="str">
        <f t="shared" si="380"/>
        <v>URGENCIAS ADULTO-Jenny Peña</v>
      </c>
      <c r="F7903" s="5"/>
      <c r="G7903" s="5" t="str">
        <f t="shared" si="386"/>
        <v>MMC-B100</v>
      </c>
    </row>
    <row r="7904" spans="1:7" ht="58.5" customHeight="1" x14ac:dyDescent="0.25">
      <c r="A7904" s="5" t="str">
        <f>"H0030412"</f>
        <v>H0030412</v>
      </c>
      <c r="B7904" s="5" t="str">
        <f t="shared" si="385"/>
        <v>UNIDAD DE LLAMADO DE ENFERMERIA PARA CAMA O BAÑO</v>
      </c>
      <c r="C7904" s="6">
        <v>207719.26</v>
      </c>
      <c r="D7904" s="5" t="s">
        <v>155</v>
      </c>
      <c r="E7904" s="5" t="str">
        <f t="shared" si="380"/>
        <v>URGENCIAS ADULTO-Jenny Peña</v>
      </c>
      <c r="F7904" s="5"/>
      <c r="G7904" s="5" t="str">
        <f t="shared" si="386"/>
        <v>MMC-B100</v>
      </c>
    </row>
    <row r="7905" spans="1:7" ht="58.5" customHeight="1" x14ac:dyDescent="0.25">
      <c r="A7905" s="5" t="str">
        <f>"H0030413"</f>
        <v>H0030413</v>
      </c>
      <c r="B7905" s="5" t="str">
        <f t="shared" si="385"/>
        <v>UNIDAD DE LLAMADO DE ENFERMERIA PARA CAMA O BAÑO</v>
      </c>
      <c r="C7905" s="6">
        <v>207719.26</v>
      </c>
      <c r="D7905" s="5" t="s">
        <v>155</v>
      </c>
      <c r="E7905" s="5" t="str">
        <f t="shared" si="380"/>
        <v>URGENCIAS ADULTO-Jenny Peña</v>
      </c>
      <c r="F7905" s="5"/>
      <c r="G7905" s="5" t="str">
        <f t="shared" si="386"/>
        <v>MMC-B100</v>
      </c>
    </row>
    <row r="7906" spans="1:7" ht="58.5" customHeight="1" x14ac:dyDescent="0.25">
      <c r="A7906" s="5" t="str">
        <f>"H0030414"</f>
        <v>H0030414</v>
      </c>
      <c r="B7906" s="5" t="str">
        <f t="shared" si="385"/>
        <v>UNIDAD DE LLAMADO DE ENFERMERIA PARA CAMA O BAÑO</v>
      </c>
      <c r="C7906" s="6">
        <v>207719.26</v>
      </c>
      <c r="D7906" s="5" t="s">
        <v>155</v>
      </c>
      <c r="E7906" s="5" t="str">
        <f t="shared" si="380"/>
        <v>URGENCIAS ADULTO-Jenny Peña</v>
      </c>
      <c r="F7906" s="5"/>
      <c r="G7906" s="5" t="str">
        <f t="shared" si="386"/>
        <v>MMC-B100</v>
      </c>
    </row>
    <row r="7907" spans="1:7" ht="58.5" customHeight="1" x14ac:dyDescent="0.25">
      <c r="A7907" s="5" t="str">
        <f>"H0030415"</f>
        <v>H0030415</v>
      </c>
      <c r="B7907" s="5" t="str">
        <f t="shared" si="385"/>
        <v>UNIDAD DE LLAMADO DE ENFERMERIA PARA CAMA O BAÑO</v>
      </c>
      <c r="C7907" s="6">
        <v>207719.26</v>
      </c>
      <c r="D7907" s="5" t="s">
        <v>155</v>
      </c>
      <c r="E7907" s="5" t="str">
        <f t="shared" si="380"/>
        <v>URGENCIAS ADULTO-Jenny Peña</v>
      </c>
      <c r="F7907" s="5"/>
      <c r="G7907" s="5" t="str">
        <f t="shared" si="386"/>
        <v>MMC-B100</v>
      </c>
    </row>
    <row r="7908" spans="1:7" ht="58.5" customHeight="1" x14ac:dyDescent="0.25">
      <c r="A7908" s="5" t="str">
        <f>"H0030416"</f>
        <v>H0030416</v>
      </c>
      <c r="B7908" s="5" t="str">
        <f t="shared" si="385"/>
        <v>UNIDAD DE LLAMADO DE ENFERMERIA PARA CAMA O BAÑO</v>
      </c>
      <c r="C7908" s="6">
        <v>207719.26</v>
      </c>
      <c r="D7908" s="5" t="s">
        <v>155</v>
      </c>
      <c r="E7908" s="5" t="str">
        <f t="shared" si="380"/>
        <v>URGENCIAS ADULTO-Jenny Peña</v>
      </c>
      <c r="F7908" s="5"/>
      <c r="G7908" s="5" t="str">
        <f t="shared" si="386"/>
        <v>MMC-B100</v>
      </c>
    </row>
    <row r="7909" spans="1:7" ht="58.5" customHeight="1" x14ac:dyDescent="0.25">
      <c r="A7909" s="5" t="str">
        <f>"H0030417"</f>
        <v>H0030417</v>
      </c>
      <c r="B7909" s="5" t="str">
        <f t="shared" si="385"/>
        <v>UNIDAD DE LLAMADO DE ENFERMERIA PARA CAMA O BAÑO</v>
      </c>
      <c r="C7909" s="6">
        <v>207719.26</v>
      </c>
      <c r="D7909" s="5" t="s">
        <v>155</v>
      </c>
      <c r="E7909" s="5" t="str">
        <f t="shared" ref="E7909:E7972" si="387">"URGENCIAS ADULTO-Jenny Peña"</f>
        <v>URGENCIAS ADULTO-Jenny Peña</v>
      </c>
      <c r="F7909" s="5"/>
      <c r="G7909" s="5" t="str">
        <f t="shared" si="386"/>
        <v>MMC-B100</v>
      </c>
    </row>
    <row r="7910" spans="1:7" ht="58.5" customHeight="1" x14ac:dyDescent="0.25">
      <c r="A7910" s="5" t="str">
        <f>"H0030418"</f>
        <v>H0030418</v>
      </c>
      <c r="B7910" s="5" t="str">
        <f t="shared" si="385"/>
        <v>UNIDAD DE LLAMADO DE ENFERMERIA PARA CAMA O BAÑO</v>
      </c>
      <c r="C7910" s="6">
        <v>207719.26</v>
      </c>
      <c r="D7910" s="5" t="s">
        <v>155</v>
      </c>
      <c r="E7910" s="5" t="str">
        <f t="shared" si="387"/>
        <v>URGENCIAS ADULTO-Jenny Peña</v>
      </c>
      <c r="F7910" s="5"/>
      <c r="G7910" s="5" t="str">
        <f t="shared" si="386"/>
        <v>MMC-B100</v>
      </c>
    </row>
    <row r="7911" spans="1:7" ht="58.5" customHeight="1" x14ac:dyDescent="0.25">
      <c r="A7911" s="5" t="str">
        <f>"H0030419"</f>
        <v>H0030419</v>
      </c>
      <c r="B7911" s="5" t="str">
        <f t="shared" si="385"/>
        <v>UNIDAD DE LLAMADO DE ENFERMERIA PARA CAMA O BAÑO</v>
      </c>
      <c r="C7911" s="6">
        <v>207719.26</v>
      </c>
      <c r="D7911" s="5" t="s">
        <v>469</v>
      </c>
      <c r="E7911" s="5" t="str">
        <f t="shared" si="387"/>
        <v>URGENCIAS ADULTO-Jenny Peña</v>
      </c>
      <c r="F7911" s="5"/>
      <c r="G7911" s="5" t="str">
        <f t="shared" si="386"/>
        <v>MMC-B100</v>
      </c>
    </row>
    <row r="7912" spans="1:7" ht="58.5" customHeight="1" x14ac:dyDescent="0.25">
      <c r="A7912" s="5" t="str">
        <f>"H0030420"</f>
        <v>H0030420</v>
      </c>
      <c r="B7912" s="5" t="str">
        <f t="shared" si="385"/>
        <v>UNIDAD DE LLAMADO DE ENFERMERIA PARA CAMA O BAÑO</v>
      </c>
      <c r="C7912" s="6">
        <v>207719.26</v>
      </c>
      <c r="D7912" s="5" t="s">
        <v>155</v>
      </c>
      <c r="E7912" s="5" t="str">
        <f t="shared" si="387"/>
        <v>URGENCIAS ADULTO-Jenny Peña</v>
      </c>
      <c r="F7912" s="5"/>
      <c r="G7912" s="5" t="str">
        <f t="shared" si="386"/>
        <v>MMC-B100</v>
      </c>
    </row>
    <row r="7913" spans="1:7" ht="58.5" customHeight="1" x14ac:dyDescent="0.25">
      <c r="A7913" s="5" t="str">
        <f>"H0030421"</f>
        <v>H0030421</v>
      </c>
      <c r="B7913" s="5" t="str">
        <f t="shared" si="385"/>
        <v>UNIDAD DE LLAMADO DE ENFERMERIA PARA CAMA O BAÑO</v>
      </c>
      <c r="C7913" s="6">
        <v>207719.26</v>
      </c>
      <c r="D7913" s="5" t="s">
        <v>155</v>
      </c>
      <c r="E7913" s="5" t="str">
        <f t="shared" si="387"/>
        <v>URGENCIAS ADULTO-Jenny Peña</v>
      </c>
      <c r="F7913" s="5"/>
      <c r="G7913" s="5" t="str">
        <f t="shared" si="386"/>
        <v>MMC-B100</v>
      </c>
    </row>
    <row r="7914" spans="1:7" ht="58.5" customHeight="1" x14ac:dyDescent="0.25">
      <c r="A7914" s="5" t="str">
        <f>"H0030422"</f>
        <v>H0030422</v>
      </c>
      <c r="B7914" s="5" t="str">
        <f t="shared" si="385"/>
        <v>UNIDAD DE LLAMADO DE ENFERMERIA PARA CAMA O BAÑO</v>
      </c>
      <c r="C7914" s="6">
        <v>207719.26</v>
      </c>
      <c r="D7914" s="5" t="s">
        <v>155</v>
      </c>
      <c r="E7914" s="5" t="str">
        <f t="shared" si="387"/>
        <v>URGENCIAS ADULTO-Jenny Peña</v>
      </c>
      <c r="F7914" s="5"/>
      <c r="G7914" s="5" t="str">
        <f t="shared" si="386"/>
        <v>MMC-B100</v>
      </c>
    </row>
    <row r="7915" spans="1:7" ht="58.5" customHeight="1" x14ac:dyDescent="0.25">
      <c r="A7915" s="5" t="str">
        <f>"H0030423"</f>
        <v>H0030423</v>
      </c>
      <c r="B7915" s="5" t="str">
        <f t="shared" si="385"/>
        <v>UNIDAD DE LLAMADO DE ENFERMERIA PARA CAMA O BAÑO</v>
      </c>
      <c r="C7915" s="6">
        <v>207719.26</v>
      </c>
      <c r="D7915" s="5" t="s">
        <v>155</v>
      </c>
      <c r="E7915" s="5" t="str">
        <f t="shared" si="387"/>
        <v>URGENCIAS ADULTO-Jenny Peña</v>
      </c>
      <c r="F7915" s="5"/>
      <c r="G7915" s="5" t="str">
        <f t="shared" si="386"/>
        <v>MMC-B100</v>
      </c>
    </row>
    <row r="7916" spans="1:7" ht="58.5" customHeight="1" x14ac:dyDescent="0.25">
      <c r="A7916" s="5" t="str">
        <f>"H0030424"</f>
        <v>H0030424</v>
      </c>
      <c r="B7916" s="5" t="str">
        <f t="shared" si="385"/>
        <v>UNIDAD DE LLAMADO DE ENFERMERIA PARA CAMA O BAÑO</v>
      </c>
      <c r="C7916" s="6">
        <v>207719.26</v>
      </c>
      <c r="D7916" s="5" t="s">
        <v>155</v>
      </c>
      <c r="E7916" s="5" t="str">
        <f t="shared" si="387"/>
        <v>URGENCIAS ADULTO-Jenny Peña</v>
      </c>
      <c r="F7916" s="5"/>
      <c r="G7916" s="5" t="str">
        <f t="shared" si="386"/>
        <v>MMC-B100</v>
      </c>
    </row>
    <row r="7917" spans="1:7" ht="58.5" customHeight="1" x14ac:dyDescent="0.25">
      <c r="A7917" s="5" t="str">
        <f>"H0030425"</f>
        <v>H0030425</v>
      </c>
      <c r="B7917" s="5" t="str">
        <f t="shared" ref="B7917:B7945" si="388">"UNIDAD DE LLAMADO DE ENFERMERIA PARA CAMA O BAÑO"</f>
        <v>UNIDAD DE LLAMADO DE ENFERMERIA PARA CAMA O BAÑO</v>
      </c>
      <c r="C7917" s="6">
        <v>207719.26</v>
      </c>
      <c r="D7917" s="5" t="s">
        <v>155</v>
      </c>
      <c r="E7917" s="5" t="str">
        <f t="shared" si="387"/>
        <v>URGENCIAS ADULTO-Jenny Peña</v>
      </c>
      <c r="F7917" s="5"/>
      <c r="G7917" s="5" t="str">
        <f t="shared" ref="G7917:G7943" si="389">"MMC-B100"</f>
        <v>MMC-B100</v>
      </c>
    </row>
    <row r="7918" spans="1:7" ht="58.5" customHeight="1" x14ac:dyDescent="0.25">
      <c r="A7918" s="5" t="str">
        <f>"H0030426"</f>
        <v>H0030426</v>
      </c>
      <c r="B7918" s="5" t="str">
        <f t="shared" si="388"/>
        <v>UNIDAD DE LLAMADO DE ENFERMERIA PARA CAMA O BAÑO</v>
      </c>
      <c r="C7918" s="6">
        <v>207719.26</v>
      </c>
      <c r="D7918" s="5" t="s">
        <v>155</v>
      </c>
      <c r="E7918" s="5" t="str">
        <f t="shared" si="387"/>
        <v>URGENCIAS ADULTO-Jenny Peña</v>
      </c>
      <c r="F7918" s="5"/>
      <c r="G7918" s="5" t="str">
        <f t="shared" si="389"/>
        <v>MMC-B100</v>
      </c>
    </row>
    <row r="7919" spans="1:7" ht="58.5" customHeight="1" x14ac:dyDescent="0.25">
      <c r="A7919" s="5" t="str">
        <f>"H0030427"</f>
        <v>H0030427</v>
      </c>
      <c r="B7919" s="5" t="str">
        <f t="shared" si="388"/>
        <v>UNIDAD DE LLAMADO DE ENFERMERIA PARA CAMA O BAÑO</v>
      </c>
      <c r="C7919" s="6">
        <v>207719.26</v>
      </c>
      <c r="D7919" s="5" t="s">
        <v>155</v>
      </c>
      <c r="E7919" s="5" t="str">
        <f t="shared" si="387"/>
        <v>URGENCIAS ADULTO-Jenny Peña</v>
      </c>
      <c r="F7919" s="5"/>
      <c r="G7919" s="5" t="str">
        <f t="shared" si="389"/>
        <v>MMC-B100</v>
      </c>
    </row>
    <row r="7920" spans="1:7" ht="58.5" customHeight="1" x14ac:dyDescent="0.25">
      <c r="A7920" s="5" t="str">
        <f>"H0030428"</f>
        <v>H0030428</v>
      </c>
      <c r="B7920" s="5" t="str">
        <f t="shared" si="388"/>
        <v>UNIDAD DE LLAMADO DE ENFERMERIA PARA CAMA O BAÑO</v>
      </c>
      <c r="C7920" s="6">
        <v>207719.26</v>
      </c>
      <c r="D7920" s="5" t="s">
        <v>155</v>
      </c>
      <c r="E7920" s="5" t="str">
        <f t="shared" si="387"/>
        <v>URGENCIAS ADULTO-Jenny Peña</v>
      </c>
      <c r="F7920" s="5"/>
      <c r="G7920" s="5" t="str">
        <f t="shared" si="389"/>
        <v>MMC-B100</v>
      </c>
    </row>
    <row r="7921" spans="1:7" ht="58.5" customHeight="1" x14ac:dyDescent="0.25">
      <c r="A7921" s="5" t="str">
        <f>"H0030429"</f>
        <v>H0030429</v>
      </c>
      <c r="B7921" s="5" t="str">
        <f t="shared" si="388"/>
        <v>UNIDAD DE LLAMADO DE ENFERMERIA PARA CAMA O BAÑO</v>
      </c>
      <c r="C7921" s="6">
        <v>207719.26</v>
      </c>
      <c r="D7921" s="5" t="s">
        <v>155</v>
      </c>
      <c r="E7921" s="5" t="str">
        <f t="shared" si="387"/>
        <v>URGENCIAS ADULTO-Jenny Peña</v>
      </c>
      <c r="F7921" s="5"/>
      <c r="G7921" s="5" t="str">
        <f t="shared" si="389"/>
        <v>MMC-B100</v>
      </c>
    </row>
    <row r="7922" spans="1:7" ht="58.5" customHeight="1" x14ac:dyDescent="0.25">
      <c r="A7922" s="5" t="str">
        <f>"H0030430"</f>
        <v>H0030430</v>
      </c>
      <c r="B7922" s="5" t="str">
        <f t="shared" si="388"/>
        <v>UNIDAD DE LLAMADO DE ENFERMERIA PARA CAMA O BAÑO</v>
      </c>
      <c r="C7922" s="6">
        <v>207719.26</v>
      </c>
      <c r="D7922" s="5" t="s">
        <v>155</v>
      </c>
      <c r="E7922" s="5" t="str">
        <f t="shared" si="387"/>
        <v>URGENCIAS ADULTO-Jenny Peña</v>
      </c>
      <c r="F7922" s="5"/>
      <c r="G7922" s="5" t="str">
        <f t="shared" si="389"/>
        <v>MMC-B100</v>
      </c>
    </row>
    <row r="7923" spans="1:7" ht="58.5" customHeight="1" x14ac:dyDescent="0.25">
      <c r="A7923" s="5" t="str">
        <f>"H0030431"</f>
        <v>H0030431</v>
      </c>
      <c r="B7923" s="5" t="str">
        <f t="shared" si="388"/>
        <v>UNIDAD DE LLAMADO DE ENFERMERIA PARA CAMA O BAÑO</v>
      </c>
      <c r="C7923" s="6">
        <v>207719.26</v>
      </c>
      <c r="D7923" s="5" t="s">
        <v>155</v>
      </c>
      <c r="E7923" s="5" t="str">
        <f t="shared" si="387"/>
        <v>URGENCIAS ADULTO-Jenny Peña</v>
      </c>
      <c r="F7923" s="5"/>
      <c r="G7923" s="5" t="str">
        <f t="shared" si="389"/>
        <v>MMC-B100</v>
      </c>
    </row>
    <row r="7924" spans="1:7" ht="58.5" customHeight="1" x14ac:dyDescent="0.25">
      <c r="A7924" s="5" t="str">
        <f>"H0030432"</f>
        <v>H0030432</v>
      </c>
      <c r="B7924" s="5" t="str">
        <f t="shared" si="388"/>
        <v>UNIDAD DE LLAMADO DE ENFERMERIA PARA CAMA O BAÑO</v>
      </c>
      <c r="C7924" s="6">
        <v>207719.26</v>
      </c>
      <c r="D7924" s="5" t="s">
        <v>155</v>
      </c>
      <c r="E7924" s="5" t="str">
        <f t="shared" si="387"/>
        <v>URGENCIAS ADULTO-Jenny Peña</v>
      </c>
      <c r="F7924" s="5"/>
      <c r="G7924" s="5" t="str">
        <f t="shared" si="389"/>
        <v>MMC-B100</v>
      </c>
    </row>
    <row r="7925" spans="1:7" ht="58.5" customHeight="1" x14ac:dyDescent="0.25">
      <c r="A7925" s="5" t="str">
        <f>"H0030433"</f>
        <v>H0030433</v>
      </c>
      <c r="B7925" s="5" t="str">
        <f t="shared" si="388"/>
        <v>UNIDAD DE LLAMADO DE ENFERMERIA PARA CAMA O BAÑO</v>
      </c>
      <c r="C7925" s="6">
        <v>207719.26</v>
      </c>
      <c r="D7925" s="5" t="s">
        <v>155</v>
      </c>
      <c r="E7925" s="5" t="str">
        <f t="shared" si="387"/>
        <v>URGENCIAS ADULTO-Jenny Peña</v>
      </c>
      <c r="F7925" s="5"/>
      <c r="G7925" s="5" t="str">
        <f t="shared" si="389"/>
        <v>MMC-B100</v>
      </c>
    </row>
    <row r="7926" spans="1:7" ht="58.5" customHeight="1" x14ac:dyDescent="0.25">
      <c r="A7926" s="5" t="str">
        <f>"H0030434"</f>
        <v>H0030434</v>
      </c>
      <c r="B7926" s="5" t="str">
        <f t="shared" si="388"/>
        <v>UNIDAD DE LLAMADO DE ENFERMERIA PARA CAMA O BAÑO</v>
      </c>
      <c r="C7926" s="6">
        <v>207719.26</v>
      </c>
      <c r="D7926" s="5" t="s">
        <v>155</v>
      </c>
      <c r="E7926" s="5" t="str">
        <f t="shared" si="387"/>
        <v>URGENCIAS ADULTO-Jenny Peña</v>
      </c>
      <c r="F7926" s="5"/>
      <c r="G7926" s="5" t="str">
        <f t="shared" si="389"/>
        <v>MMC-B100</v>
      </c>
    </row>
    <row r="7927" spans="1:7" ht="58.5" customHeight="1" x14ac:dyDescent="0.25">
      <c r="A7927" s="5" t="str">
        <f>"H0030435"</f>
        <v>H0030435</v>
      </c>
      <c r="B7927" s="5" t="str">
        <f t="shared" si="388"/>
        <v>UNIDAD DE LLAMADO DE ENFERMERIA PARA CAMA O BAÑO</v>
      </c>
      <c r="C7927" s="6">
        <v>207719.26</v>
      </c>
      <c r="D7927" s="5" t="s">
        <v>155</v>
      </c>
      <c r="E7927" s="5" t="str">
        <f t="shared" si="387"/>
        <v>URGENCIAS ADULTO-Jenny Peña</v>
      </c>
      <c r="F7927" s="5"/>
      <c r="G7927" s="5" t="str">
        <f t="shared" si="389"/>
        <v>MMC-B100</v>
      </c>
    </row>
    <row r="7928" spans="1:7" ht="58.5" customHeight="1" x14ac:dyDescent="0.25">
      <c r="A7928" s="5" t="str">
        <f>"H0030436"</f>
        <v>H0030436</v>
      </c>
      <c r="B7928" s="5" t="str">
        <f t="shared" si="388"/>
        <v>UNIDAD DE LLAMADO DE ENFERMERIA PARA CAMA O BAÑO</v>
      </c>
      <c r="C7928" s="6">
        <v>207719.26</v>
      </c>
      <c r="D7928" s="5" t="s">
        <v>155</v>
      </c>
      <c r="E7928" s="5" t="str">
        <f t="shared" si="387"/>
        <v>URGENCIAS ADULTO-Jenny Peña</v>
      </c>
      <c r="F7928" s="5"/>
      <c r="G7928" s="5" t="str">
        <f t="shared" si="389"/>
        <v>MMC-B100</v>
      </c>
    </row>
    <row r="7929" spans="1:7" ht="58.5" customHeight="1" x14ac:dyDescent="0.25">
      <c r="A7929" s="5" t="str">
        <f>"H0030437"</f>
        <v>H0030437</v>
      </c>
      <c r="B7929" s="5" t="str">
        <f t="shared" si="388"/>
        <v>UNIDAD DE LLAMADO DE ENFERMERIA PARA CAMA O BAÑO</v>
      </c>
      <c r="C7929" s="6">
        <v>207719.26</v>
      </c>
      <c r="D7929" s="5" t="s">
        <v>155</v>
      </c>
      <c r="E7929" s="5" t="str">
        <f t="shared" si="387"/>
        <v>URGENCIAS ADULTO-Jenny Peña</v>
      </c>
      <c r="F7929" s="5"/>
      <c r="G7929" s="5" t="str">
        <f t="shared" si="389"/>
        <v>MMC-B100</v>
      </c>
    </row>
    <row r="7930" spans="1:7" ht="58.5" customHeight="1" x14ac:dyDescent="0.25">
      <c r="A7930" s="5" t="str">
        <f>"H0030438"</f>
        <v>H0030438</v>
      </c>
      <c r="B7930" s="5" t="str">
        <f t="shared" si="388"/>
        <v>UNIDAD DE LLAMADO DE ENFERMERIA PARA CAMA O BAÑO</v>
      </c>
      <c r="C7930" s="6">
        <v>207719.26</v>
      </c>
      <c r="D7930" s="5" t="s">
        <v>155</v>
      </c>
      <c r="E7930" s="5" t="str">
        <f t="shared" si="387"/>
        <v>URGENCIAS ADULTO-Jenny Peña</v>
      </c>
      <c r="F7930" s="5"/>
      <c r="G7930" s="5" t="str">
        <f t="shared" si="389"/>
        <v>MMC-B100</v>
      </c>
    </row>
    <row r="7931" spans="1:7" ht="58.5" customHeight="1" x14ac:dyDescent="0.25">
      <c r="A7931" s="5" t="str">
        <f>"H0030439"</f>
        <v>H0030439</v>
      </c>
      <c r="B7931" s="5" t="str">
        <f t="shared" si="388"/>
        <v>UNIDAD DE LLAMADO DE ENFERMERIA PARA CAMA O BAÑO</v>
      </c>
      <c r="C7931" s="6">
        <v>207719.26</v>
      </c>
      <c r="D7931" s="5" t="s">
        <v>469</v>
      </c>
      <c r="E7931" s="5" t="str">
        <f t="shared" si="387"/>
        <v>URGENCIAS ADULTO-Jenny Peña</v>
      </c>
      <c r="F7931" s="5"/>
      <c r="G7931" s="5" t="str">
        <f t="shared" si="389"/>
        <v>MMC-B100</v>
      </c>
    </row>
    <row r="7932" spans="1:7" ht="58.5" customHeight="1" x14ac:dyDescent="0.25">
      <c r="A7932" s="5" t="str">
        <f>"H0030440"</f>
        <v>H0030440</v>
      </c>
      <c r="B7932" s="5" t="str">
        <f t="shared" si="388"/>
        <v>UNIDAD DE LLAMADO DE ENFERMERIA PARA CAMA O BAÑO</v>
      </c>
      <c r="C7932" s="6">
        <v>207719.26</v>
      </c>
      <c r="D7932" s="5" t="s">
        <v>155</v>
      </c>
      <c r="E7932" s="5" t="str">
        <f t="shared" si="387"/>
        <v>URGENCIAS ADULTO-Jenny Peña</v>
      </c>
      <c r="F7932" s="5"/>
      <c r="G7932" s="5" t="str">
        <f t="shared" si="389"/>
        <v>MMC-B100</v>
      </c>
    </row>
    <row r="7933" spans="1:7" ht="58.5" customHeight="1" x14ac:dyDescent="0.25">
      <c r="A7933" s="5" t="str">
        <f>"H0030441"</f>
        <v>H0030441</v>
      </c>
      <c r="B7933" s="5" t="str">
        <f t="shared" si="388"/>
        <v>UNIDAD DE LLAMADO DE ENFERMERIA PARA CAMA O BAÑO</v>
      </c>
      <c r="C7933" s="6">
        <v>207719.26</v>
      </c>
      <c r="D7933" s="5" t="s">
        <v>155</v>
      </c>
      <c r="E7933" s="5" t="str">
        <f t="shared" si="387"/>
        <v>URGENCIAS ADULTO-Jenny Peña</v>
      </c>
      <c r="F7933" s="5"/>
      <c r="G7933" s="5" t="str">
        <f t="shared" si="389"/>
        <v>MMC-B100</v>
      </c>
    </row>
    <row r="7934" spans="1:7" ht="58.5" customHeight="1" x14ac:dyDescent="0.25">
      <c r="A7934" s="5" t="str">
        <f>"H0030442"</f>
        <v>H0030442</v>
      </c>
      <c r="B7934" s="5" t="str">
        <f t="shared" si="388"/>
        <v>UNIDAD DE LLAMADO DE ENFERMERIA PARA CAMA O BAÑO</v>
      </c>
      <c r="C7934" s="6">
        <v>207719.26</v>
      </c>
      <c r="D7934" s="5" t="s">
        <v>155</v>
      </c>
      <c r="E7934" s="5" t="str">
        <f t="shared" si="387"/>
        <v>URGENCIAS ADULTO-Jenny Peña</v>
      </c>
      <c r="F7934" s="5"/>
      <c r="G7934" s="5" t="str">
        <f t="shared" si="389"/>
        <v>MMC-B100</v>
      </c>
    </row>
    <row r="7935" spans="1:7" ht="58.5" customHeight="1" x14ac:dyDescent="0.25">
      <c r="A7935" s="5" t="str">
        <f>"H0030443"</f>
        <v>H0030443</v>
      </c>
      <c r="B7935" s="5" t="str">
        <f t="shared" si="388"/>
        <v>UNIDAD DE LLAMADO DE ENFERMERIA PARA CAMA O BAÑO</v>
      </c>
      <c r="C7935" s="6">
        <v>207719.26</v>
      </c>
      <c r="D7935" s="5" t="s">
        <v>155</v>
      </c>
      <c r="E7935" s="5" t="str">
        <f t="shared" si="387"/>
        <v>URGENCIAS ADULTO-Jenny Peña</v>
      </c>
      <c r="F7935" s="5"/>
      <c r="G7935" s="5" t="str">
        <f t="shared" si="389"/>
        <v>MMC-B100</v>
      </c>
    </row>
    <row r="7936" spans="1:7" ht="58.5" customHeight="1" x14ac:dyDescent="0.25">
      <c r="A7936" s="5" t="str">
        <f>"H0030444"</f>
        <v>H0030444</v>
      </c>
      <c r="B7936" s="5" t="str">
        <f t="shared" si="388"/>
        <v>UNIDAD DE LLAMADO DE ENFERMERIA PARA CAMA O BAÑO</v>
      </c>
      <c r="C7936" s="6">
        <v>207719.26</v>
      </c>
      <c r="D7936" s="5" t="s">
        <v>155</v>
      </c>
      <c r="E7936" s="5" t="str">
        <f t="shared" si="387"/>
        <v>URGENCIAS ADULTO-Jenny Peña</v>
      </c>
      <c r="F7936" s="5"/>
      <c r="G7936" s="5" t="str">
        <f t="shared" si="389"/>
        <v>MMC-B100</v>
      </c>
    </row>
    <row r="7937" spans="1:7" ht="58.5" customHeight="1" x14ac:dyDescent="0.25">
      <c r="A7937" s="5" t="str">
        <f>"H0030445"</f>
        <v>H0030445</v>
      </c>
      <c r="B7937" s="5" t="str">
        <f t="shared" si="388"/>
        <v>UNIDAD DE LLAMADO DE ENFERMERIA PARA CAMA O BAÑO</v>
      </c>
      <c r="C7937" s="6">
        <v>207719.26</v>
      </c>
      <c r="D7937" s="5" t="s">
        <v>155</v>
      </c>
      <c r="E7937" s="5" t="str">
        <f t="shared" si="387"/>
        <v>URGENCIAS ADULTO-Jenny Peña</v>
      </c>
      <c r="F7937" s="5"/>
      <c r="G7937" s="5" t="str">
        <f t="shared" si="389"/>
        <v>MMC-B100</v>
      </c>
    </row>
    <row r="7938" spans="1:7" ht="58.5" customHeight="1" x14ac:dyDescent="0.25">
      <c r="A7938" s="5" t="str">
        <f>"H0030446"</f>
        <v>H0030446</v>
      </c>
      <c r="B7938" s="5" t="str">
        <f t="shared" si="388"/>
        <v>UNIDAD DE LLAMADO DE ENFERMERIA PARA CAMA O BAÑO</v>
      </c>
      <c r="C7938" s="6">
        <v>207719.26</v>
      </c>
      <c r="D7938" s="5" t="s">
        <v>155</v>
      </c>
      <c r="E7938" s="5" t="str">
        <f t="shared" si="387"/>
        <v>URGENCIAS ADULTO-Jenny Peña</v>
      </c>
      <c r="F7938" s="5"/>
      <c r="G7938" s="5" t="str">
        <f t="shared" si="389"/>
        <v>MMC-B100</v>
      </c>
    </row>
    <row r="7939" spans="1:7" ht="58.5" customHeight="1" x14ac:dyDescent="0.25">
      <c r="A7939" s="5" t="str">
        <f>"H0030447"</f>
        <v>H0030447</v>
      </c>
      <c r="B7939" s="5" t="str">
        <f t="shared" si="388"/>
        <v>UNIDAD DE LLAMADO DE ENFERMERIA PARA CAMA O BAÑO</v>
      </c>
      <c r="C7939" s="6">
        <v>207719.26</v>
      </c>
      <c r="D7939" s="5" t="s">
        <v>155</v>
      </c>
      <c r="E7939" s="5" t="str">
        <f t="shared" si="387"/>
        <v>URGENCIAS ADULTO-Jenny Peña</v>
      </c>
      <c r="F7939" s="5"/>
      <c r="G7939" s="5" t="str">
        <f t="shared" si="389"/>
        <v>MMC-B100</v>
      </c>
    </row>
    <row r="7940" spans="1:7" ht="58.5" customHeight="1" x14ac:dyDescent="0.25">
      <c r="A7940" s="5" t="str">
        <f>"H0030448"</f>
        <v>H0030448</v>
      </c>
      <c r="B7940" s="5" t="str">
        <f t="shared" si="388"/>
        <v>UNIDAD DE LLAMADO DE ENFERMERIA PARA CAMA O BAÑO</v>
      </c>
      <c r="C7940" s="6">
        <v>207719.26</v>
      </c>
      <c r="D7940" s="5" t="s">
        <v>155</v>
      </c>
      <c r="E7940" s="5" t="str">
        <f t="shared" si="387"/>
        <v>URGENCIAS ADULTO-Jenny Peña</v>
      </c>
      <c r="F7940" s="5"/>
      <c r="G7940" s="5" t="str">
        <f t="shared" si="389"/>
        <v>MMC-B100</v>
      </c>
    </row>
    <row r="7941" spans="1:7" ht="58.5" customHeight="1" x14ac:dyDescent="0.25">
      <c r="A7941" s="5" t="str">
        <f>"H0030449"</f>
        <v>H0030449</v>
      </c>
      <c r="B7941" s="5" t="str">
        <f t="shared" si="388"/>
        <v>UNIDAD DE LLAMADO DE ENFERMERIA PARA CAMA O BAÑO</v>
      </c>
      <c r="C7941" s="6">
        <v>207719.26</v>
      </c>
      <c r="D7941" s="5" t="s">
        <v>155</v>
      </c>
      <c r="E7941" s="5" t="str">
        <f t="shared" si="387"/>
        <v>URGENCIAS ADULTO-Jenny Peña</v>
      </c>
      <c r="F7941" s="5"/>
      <c r="G7941" s="5" t="str">
        <f t="shared" si="389"/>
        <v>MMC-B100</v>
      </c>
    </row>
    <row r="7942" spans="1:7" ht="58.5" customHeight="1" x14ac:dyDescent="0.25">
      <c r="A7942" s="5" t="str">
        <f>"H0030450"</f>
        <v>H0030450</v>
      </c>
      <c r="B7942" s="5" t="str">
        <f t="shared" si="388"/>
        <v>UNIDAD DE LLAMADO DE ENFERMERIA PARA CAMA O BAÑO</v>
      </c>
      <c r="C7942" s="6">
        <v>207719.26</v>
      </c>
      <c r="D7942" s="5" t="s">
        <v>155</v>
      </c>
      <c r="E7942" s="5" t="str">
        <f t="shared" si="387"/>
        <v>URGENCIAS ADULTO-Jenny Peña</v>
      </c>
      <c r="F7942" s="5"/>
      <c r="G7942" s="5" t="str">
        <f t="shared" si="389"/>
        <v>MMC-B100</v>
      </c>
    </row>
    <row r="7943" spans="1:7" ht="58.5" customHeight="1" x14ac:dyDescent="0.25">
      <c r="A7943" s="5" t="str">
        <f>"H0030451"</f>
        <v>H0030451</v>
      </c>
      <c r="B7943" s="5" t="str">
        <f t="shared" si="388"/>
        <v>UNIDAD DE LLAMADO DE ENFERMERIA PARA CAMA O BAÑO</v>
      </c>
      <c r="C7943" s="6">
        <v>207719.26</v>
      </c>
      <c r="D7943" s="5" t="s">
        <v>155</v>
      </c>
      <c r="E7943" s="5" t="str">
        <f t="shared" si="387"/>
        <v>URGENCIAS ADULTO-Jenny Peña</v>
      </c>
      <c r="F7943" s="5"/>
      <c r="G7943" s="5" t="str">
        <f t="shared" si="389"/>
        <v>MMC-B100</v>
      </c>
    </row>
    <row r="7944" spans="1:7" ht="58.5" customHeight="1" x14ac:dyDescent="0.25">
      <c r="A7944" s="5" t="str">
        <f>"H0030452"</f>
        <v>H0030452</v>
      </c>
      <c r="B7944" s="5" t="str">
        <f t="shared" si="388"/>
        <v>UNIDAD DE LLAMADO DE ENFERMERIA PARA CAMA O BAÑO</v>
      </c>
      <c r="C7944" s="6">
        <v>207719.26</v>
      </c>
      <c r="D7944" s="5" t="s">
        <v>155</v>
      </c>
      <c r="E7944" s="5" t="str">
        <f t="shared" si="387"/>
        <v>URGENCIAS ADULTO-Jenny Peña</v>
      </c>
      <c r="F7944" s="5"/>
      <c r="G7944" s="5" t="str">
        <f>"MMMC-2610LL"</f>
        <v>MMMC-2610LL</v>
      </c>
    </row>
    <row r="7945" spans="1:7" ht="58.5" customHeight="1" x14ac:dyDescent="0.25">
      <c r="A7945" s="5" t="str">
        <f>"H0030453"</f>
        <v>H0030453</v>
      </c>
      <c r="B7945" s="5" t="str">
        <f t="shared" si="388"/>
        <v>UNIDAD DE LLAMADO DE ENFERMERIA PARA CAMA O BAÑO</v>
      </c>
      <c r="C7945" s="6">
        <v>207719.26</v>
      </c>
      <c r="D7945" s="5" t="s">
        <v>155</v>
      </c>
      <c r="E7945" s="5" t="str">
        <f t="shared" si="387"/>
        <v>URGENCIAS ADULTO-Jenny Peña</v>
      </c>
      <c r="F7945" s="5"/>
      <c r="G7945" s="5" t="str">
        <f>"MMC-2610LL"</f>
        <v>MMC-2610LL</v>
      </c>
    </row>
    <row r="7946" spans="1:7" ht="58.5" customHeight="1" x14ac:dyDescent="0.25">
      <c r="A7946" s="5" t="str">
        <f>"H0031169"</f>
        <v>H0031169</v>
      </c>
      <c r="B7946" s="5" t="str">
        <f>"SILLA RECLINOMATICA"</f>
        <v>SILLA RECLINOMATICA</v>
      </c>
      <c r="C7946" s="6">
        <v>1065050</v>
      </c>
      <c r="D7946" s="5" t="s">
        <v>102</v>
      </c>
      <c r="E7946" s="5" t="str">
        <f t="shared" si="387"/>
        <v>URGENCIAS ADULTO-Jenny Peña</v>
      </c>
      <c r="F7946" s="5"/>
      <c r="G7946" s="5"/>
    </row>
    <row r="7947" spans="1:7" ht="58.5" customHeight="1" x14ac:dyDescent="0.25">
      <c r="A7947" s="5" t="str">
        <f>"H0031170"</f>
        <v>H0031170</v>
      </c>
      <c r="B7947" s="5" t="str">
        <f>"SILLA RECLINOMATICA"</f>
        <v>SILLA RECLINOMATICA</v>
      </c>
      <c r="C7947" s="6">
        <v>1065050</v>
      </c>
      <c r="D7947" s="5" t="s">
        <v>102</v>
      </c>
      <c r="E7947" s="5" t="str">
        <f t="shared" si="387"/>
        <v>URGENCIAS ADULTO-Jenny Peña</v>
      </c>
      <c r="F7947" s="5"/>
      <c r="G7947" s="5"/>
    </row>
    <row r="7948" spans="1:7" ht="58.5" customHeight="1" x14ac:dyDescent="0.25">
      <c r="A7948" s="5" t="str">
        <f>"H0031171"</f>
        <v>H0031171</v>
      </c>
      <c r="B7948" s="5" t="str">
        <f>"SILLA RECLINOMATICA"</f>
        <v>SILLA RECLINOMATICA</v>
      </c>
      <c r="C7948" s="6">
        <v>1065050</v>
      </c>
      <c r="D7948" s="5" t="s">
        <v>102</v>
      </c>
      <c r="E7948" s="5" t="str">
        <f t="shared" si="387"/>
        <v>URGENCIAS ADULTO-Jenny Peña</v>
      </c>
      <c r="F7948" s="5"/>
      <c r="G7948" s="5"/>
    </row>
    <row r="7949" spans="1:7" ht="58.5" customHeight="1" x14ac:dyDescent="0.25">
      <c r="A7949" s="5" t="str">
        <f>"H0031173"</f>
        <v>H0031173</v>
      </c>
      <c r="B7949" s="5" t="str">
        <f>"SILLA RECLINOMATICA"</f>
        <v>SILLA RECLINOMATICA</v>
      </c>
      <c r="C7949" s="6">
        <v>1065050</v>
      </c>
      <c r="D7949" s="5" t="s">
        <v>102</v>
      </c>
      <c r="E7949" s="5" t="str">
        <f t="shared" si="387"/>
        <v>URGENCIAS ADULTO-Jenny Peña</v>
      </c>
      <c r="F7949" s="5"/>
      <c r="G7949" s="5"/>
    </row>
    <row r="7950" spans="1:7" ht="58.5" customHeight="1" x14ac:dyDescent="0.25">
      <c r="A7950" s="5" t="str">
        <f>"H0031174"</f>
        <v>H0031174</v>
      </c>
      <c r="B7950" s="5" t="str">
        <f>"AIRE ACONDICIONADO  12000 BTU (CODIGO DONACION)"</f>
        <v>AIRE ACONDICIONADO  12000 BTU (CODIGO DONACION)</v>
      </c>
      <c r="C7950" s="6">
        <v>1523200</v>
      </c>
      <c r="D7950" s="5" t="s">
        <v>470</v>
      </c>
      <c r="E7950" s="5" t="str">
        <f t="shared" si="387"/>
        <v>URGENCIAS ADULTO-Jenny Peña</v>
      </c>
      <c r="F7950" s="5"/>
      <c r="G7950" s="5"/>
    </row>
    <row r="7951" spans="1:7" ht="58.5" customHeight="1" x14ac:dyDescent="0.25">
      <c r="A7951" s="5" t="str">
        <f>"H0031315"</f>
        <v>H0031315</v>
      </c>
      <c r="B7951" s="5" t="str">
        <f>"CARPA DE 42 M2 CON SUS ACCESORIOS, MAS PISOS Y ESTIBAS (CODIGO DONACION)"</f>
        <v>CARPA DE 42 M2 CON SUS ACCESORIOS, MAS PISOS Y ESTIBAS (CODIGO DONACION)</v>
      </c>
      <c r="C7951" s="6">
        <v>2650000</v>
      </c>
      <c r="D7951" s="5" t="s">
        <v>471</v>
      </c>
      <c r="E7951" s="5" t="str">
        <f t="shared" si="387"/>
        <v>URGENCIAS ADULTO-Jenny Peña</v>
      </c>
      <c r="F7951" s="5"/>
      <c r="G7951" s="5"/>
    </row>
    <row r="7952" spans="1:7" ht="58.5" customHeight="1" x14ac:dyDescent="0.25">
      <c r="A7952" s="5" t="str">
        <f>"H0031318"</f>
        <v>H0031318</v>
      </c>
      <c r="B7952" s="5" t="str">
        <f>"AIRE ACONDICIONADO  12000 BTU (CODIGO DONACION)"</f>
        <v>AIRE ACONDICIONADO  12000 BTU (CODIGO DONACION)</v>
      </c>
      <c r="C7952" s="6">
        <v>1523200</v>
      </c>
      <c r="D7952" s="5" t="s">
        <v>104</v>
      </c>
      <c r="E7952" s="5" t="str">
        <f t="shared" si="387"/>
        <v>URGENCIAS ADULTO-Jenny Peña</v>
      </c>
      <c r="F7952" s="5"/>
      <c r="G7952" s="5"/>
    </row>
    <row r="7953" spans="1:7" ht="58.5" customHeight="1" x14ac:dyDescent="0.25">
      <c r="A7953" s="5" t="str">
        <f>"H0031319"</f>
        <v>H0031319</v>
      </c>
      <c r="B7953" s="5" t="str">
        <f>"AIRE ACONDICIONADO  12000 BTU (CODIGO DONACION)"</f>
        <v>AIRE ACONDICIONADO  12000 BTU (CODIGO DONACION)</v>
      </c>
      <c r="C7953" s="6">
        <v>1523200</v>
      </c>
      <c r="D7953" s="5" t="s">
        <v>104</v>
      </c>
      <c r="E7953" s="5" t="str">
        <f t="shared" si="387"/>
        <v>URGENCIAS ADULTO-Jenny Peña</v>
      </c>
      <c r="F7953" s="5"/>
      <c r="G7953" s="5"/>
    </row>
    <row r="7954" spans="1:7" ht="58.5" customHeight="1" x14ac:dyDescent="0.25">
      <c r="A7954" s="5" t="str">
        <f>"H0031323"</f>
        <v>H0031323</v>
      </c>
      <c r="B7954" s="5" t="str">
        <f t="shared" ref="B7954:B7959" si="390">"BIOMBO DE DOS CUERPOS CON TELA PLASTIFICADA  ANTIFLUIDOS REF. MB-39-2 (CODIGO DONACION)"</f>
        <v>BIOMBO DE DOS CUERPOS CON TELA PLASTIFICADA  ANTIFLUIDOS REF. MB-39-2 (CODIGO DONACION)</v>
      </c>
      <c r="C7954" s="6">
        <v>571200</v>
      </c>
      <c r="D7954" s="5" t="s">
        <v>472</v>
      </c>
      <c r="E7954" s="5" t="str">
        <f t="shared" si="387"/>
        <v>URGENCIAS ADULTO-Jenny Peña</v>
      </c>
      <c r="F7954" s="5"/>
      <c r="G7954" s="5"/>
    </row>
    <row r="7955" spans="1:7" ht="58.5" customHeight="1" x14ac:dyDescent="0.25">
      <c r="A7955" s="5" t="str">
        <f>"H0031324"</f>
        <v>H0031324</v>
      </c>
      <c r="B7955" s="5" t="str">
        <f t="shared" si="390"/>
        <v>BIOMBO DE DOS CUERPOS CON TELA PLASTIFICADA  ANTIFLUIDOS REF. MB-39-2 (CODIGO DONACION)</v>
      </c>
      <c r="C7955" s="6">
        <v>571200</v>
      </c>
      <c r="D7955" s="5" t="s">
        <v>472</v>
      </c>
      <c r="E7955" s="5" t="str">
        <f t="shared" si="387"/>
        <v>URGENCIAS ADULTO-Jenny Peña</v>
      </c>
      <c r="F7955" s="5"/>
      <c r="G7955" s="5"/>
    </row>
    <row r="7956" spans="1:7" ht="58.5" customHeight="1" x14ac:dyDescent="0.25">
      <c r="A7956" s="5" t="str">
        <f>"H0031325"</f>
        <v>H0031325</v>
      </c>
      <c r="B7956" s="5" t="str">
        <f t="shared" si="390"/>
        <v>BIOMBO DE DOS CUERPOS CON TELA PLASTIFICADA  ANTIFLUIDOS REF. MB-39-2 (CODIGO DONACION)</v>
      </c>
      <c r="C7956" s="6">
        <v>571200</v>
      </c>
      <c r="D7956" s="5" t="s">
        <v>472</v>
      </c>
      <c r="E7956" s="5" t="str">
        <f t="shared" si="387"/>
        <v>URGENCIAS ADULTO-Jenny Peña</v>
      </c>
      <c r="F7956" s="5"/>
      <c r="G7956" s="5"/>
    </row>
    <row r="7957" spans="1:7" ht="58.5" customHeight="1" x14ac:dyDescent="0.25">
      <c r="A7957" s="5" t="str">
        <f>"H0031326"</f>
        <v>H0031326</v>
      </c>
      <c r="B7957" s="5" t="str">
        <f t="shared" si="390"/>
        <v>BIOMBO DE DOS CUERPOS CON TELA PLASTIFICADA  ANTIFLUIDOS REF. MB-39-2 (CODIGO DONACION)</v>
      </c>
      <c r="C7957" s="6">
        <v>571200</v>
      </c>
      <c r="D7957" s="5" t="s">
        <v>472</v>
      </c>
      <c r="E7957" s="5" t="str">
        <f t="shared" si="387"/>
        <v>URGENCIAS ADULTO-Jenny Peña</v>
      </c>
      <c r="F7957" s="5"/>
      <c r="G7957" s="5"/>
    </row>
    <row r="7958" spans="1:7" ht="58.5" customHeight="1" x14ac:dyDescent="0.25">
      <c r="A7958" s="5" t="str">
        <f>"H0031327"</f>
        <v>H0031327</v>
      </c>
      <c r="B7958" s="5" t="str">
        <f t="shared" si="390"/>
        <v>BIOMBO DE DOS CUERPOS CON TELA PLASTIFICADA  ANTIFLUIDOS REF. MB-39-2 (CODIGO DONACION)</v>
      </c>
      <c r="C7958" s="6">
        <v>571200</v>
      </c>
      <c r="D7958" s="5" t="s">
        <v>472</v>
      </c>
      <c r="E7958" s="5" t="str">
        <f t="shared" si="387"/>
        <v>URGENCIAS ADULTO-Jenny Peña</v>
      </c>
      <c r="F7958" s="5"/>
      <c r="G7958" s="5"/>
    </row>
    <row r="7959" spans="1:7" ht="58.5" customHeight="1" x14ac:dyDescent="0.25">
      <c r="A7959" s="5" t="str">
        <f>"H0031328"</f>
        <v>H0031328</v>
      </c>
      <c r="B7959" s="5" t="str">
        <f t="shared" si="390"/>
        <v>BIOMBO DE DOS CUERPOS CON TELA PLASTIFICADA  ANTIFLUIDOS REF. MB-39-2 (CODIGO DONACION)</v>
      </c>
      <c r="C7959" s="6">
        <v>571200</v>
      </c>
      <c r="D7959" s="5" t="s">
        <v>472</v>
      </c>
      <c r="E7959" s="5" t="str">
        <f t="shared" si="387"/>
        <v>URGENCIAS ADULTO-Jenny Peña</v>
      </c>
      <c r="F7959" s="5"/>
      <c r="G7959" s="5"/>
    </row>
    <row r="7960" spans="1:7" ht="58.5" customHeight="1" x14ac:dyDescent="0.25">
      <c r="A7960" s="5" t="str">
        <f>"H0031331"</f>
        <v>H0031331</v>
      </c>
      <c r="B7960" s="5" t="str">
        <f t="shared" ref="B7960:B7967" si="391">"TANDEM METALICO DE 3 PUESTOS PARA SALA DE ESPERA TAPIZADO EN MATERIAL LAVABLE. ANCHO 183 CMM. ALTO 78 CM. (CODIGO DONACION)"</f>
        <v>TANDEM METALICO DE 3 PUESTOS PARA SALA DE ESPERA TAPIZADO EN MATERIAL LAVABLE. ANCHO 183 CMM. ALTO 78 CM. (CODIGO DONACION)</v>
      </c>
      <c r="C7960" s="6">
        <v>773500</v>
      </c>
      <c r="D7960" s="5" t="s">
        <v>105</v>
      </c>
      <c r="E7960" s="5" t="str">
        <f t="shared" si="387"/>
        <v>URGENCIAS ADULTO-Jenny Peña</v>
      </c>
      <c r="F7960" s="5"/>
      <c r="G7960" s="5"/>
    </row>
    <row r="7961" spans="1:7" ht="58.5" customHeight="1" x14ac:dyDescent="0.25">
      <c r="A7961" s="5" t="str">
        <f>"H0031332"</f>
        <v>H0031332</v>
      </c>
      <c r="B7961" s="5" t="str">
        <f t="shared" si="391"/>
        <v>TANDEM METALICO DE 3 PUESTOS PARA SALA DE ESPERA TAPIZADO EN MATERIAL LAVABLE. ANCHO 183 CMM. ALTO 78 CM. (CODIGO DONACION)</v>
      </c>
      <c r="C7961" s="6">
        <v>773500</v>
      </c>
      <c r="D7961" s="5" t="s">
        <v>105</v>
      </c>
      <c r="E7961" s="5" t="str">
        <f t="shared" si="387"/>
        <v>URGENCIAS ADULTO-Jenny Peña</v>
      </c>
      <c r="F7961" s="5"/>
      <c r="G7961" s="5"/>
    </row>
    <row r="7962" spans="1:7" ht="58.5" customHeight="1" x14ac:dyDescent="0.25">
      <c r="A7962" s="5" t="str">
        <f>"H0031333"</f>
        <v>H0031333</v>
      </c>
      <c r="B7962" s="5" t="str">
        <f t="shared" si="391"/>
        <v>TANDEM METALICO DE 3 PUESTOS PARA SALA DE ESPERA TAPIZADO EN MATERIAL LAVABLE. ANCHO 183 CMM. ALTO 78 CM. (CODIGO DONACION)</v>
      </c>
      <c r="C7962" s="6">
        <v>773500</v>
      </c>
      <c r="D7962" s="5" t="s">
        <v>105</v>
      </c>
      <c r="E7962" s="5" t="str">
        <f t="shared" si="387"/>
        <v>URGENCIAS ADULTO-Jenny Peña</v>
      </c>
      <c r="F7962" s="5"/>
      <c r="G7962" s="5"/>
    </row>
    <row r="7963" spans="1:7" ht="58.5" customHeight="1" x14ac:dyDescent="0.25">
      <c r="A7963" s="5" t="str">
        <f>"H0031334"</f>
        <v>H0031334</v>
      </c>
      <c r="B7963" s="5" t="str">
        <f t="shared" si="391"/>
        <v>TANDEM METALICO DE 3 PUESTOS PARA SALA DE ESPERA TAPIZADO EN MATERIAL LAVABLE. ANCHO 183 CMM. ALTO 78 CM. (CODIGO DONACION)</v>
      </c>
      <c r="C7963" s="6">
        <v>773500</v>
      </c>
      <c r="D7963" s="5" t="s">
        <v>105</v>
      </c>
      <c r="E7963" s="5" t="str">
        <f t="shared" si="387"/>
        <v>URGENCIAS ADULTO-Jenny Peña</v>
      </c>
      <c r="F7963" s="5"/>
      <c r="G7963" s="5"/>
    </row>
    <row r="7964" spans="1:7" ht="58.5" customHeight="1" x14ac:dyDescent="0.25">
      <c r="A7964" s="5" t="str">
        <f>"H0031335"</f>
        <v>H0031335</v>
      </c>
      <c r="B7964" s="5" t="str">
        <f t="shared" si="391"/>
        <v>TANDEM METALICO DE 3 PUESTOS PARA SALA DE ESPERA TAPIZADO EN MATERIAL LAVABLE. ANCHO 183 CMM. ALTO 78 CM. (CODIGO DONACION)</v>
      </c>
      <c r="C7964" s="6">
        <v>773500</v>
      </c>
      <c r="D7964" s="5" t="s">
        <v>105</v>
      </c>
      <c r="E7964" s="5" t="str">
        <f t="shared" si="387"/>
        <v>URGENCIAS ADULTO-Jenny Peña</v>
      </c>
      <c r="F7964" s="5"/>
      <c r="G7964" s="5"/>
    </row>
    <row r="7965" spans="1:7" ht="58.5" customHeight="1" x14ac:dyDescent="0.25">
      <c r="A7965" s="5" t="str">
        <f>"H0031336"</f>
        <v>H0031336</v>
      </c>
      <c r="B7965" s="5" t="str">
        <f t="shared" si="391"/>
        <v>TANDEM METALICO DE 3 PUESTOS PARA SALA DE ESPERA TAPIZADO EN MATERIAL LAVABLE. ANCHO 183 CMM. ALTO 78 CM. (CODIGO DONACION)</v>
      </c>
      <c r="C7965" s="6">
        <v>773500</v>
      </c>
      <c r="D7965" s="5" t="s">
        <v>105</v>
      </c>
      <c r="E7965" s="5" t="str">
        <f t="shared" si="387"/>
        <v>URGENCIAS ADULTO-Jenny Peña</v>
      </c>
      <c r="F7965" s="5"/>
      <c r="G7965" s="5"/>
    </row>
    <row r="7966" spans="1:7" ht="58.5" customHeight="1" x14ac:dyDescent="0.25">
      <c r="A7966" s="5" t="str">
        <f>"H0031337"</f>
        <v>H0031337</v>
      </c>
      <c r="B7966" s="5" t="str">
        <f t="shared" si="391"/>
        <v>TANDEM METALICO DE 3 PUESTOS PARA SALA DE ESPERA TAPIZADO EN MATERIAL LAVABLE. ANCHO 183 CMM. ALTO 78 CM. (CODIGO DONACION)</v>
      </c>
      <c r="C7966" s="6">
        <v>773500</v>
      </c>
      <c r="D7966" s="5" t="s">
        <v>105</v>
      </c>
      <c r="E7966" s="5" t="str">
        <f t="shared" si="387"/>
        <v>URGENCIAS ADULTO-Jenny Peña</v>
      </c>
      <c r="F7966" s="5"/>
      <c r="G7966" s="5"/>
    </row>
    <row r="7967" spans="1:7" ht="58.5" customHeight="1" x14ac:dyDescent="0.25">
      <c r="A7967" s="5" t="str">
        <f>"H0031338"</f>
        <v>H0031338</v>
      </c>
      <c r="B7967" s="5" t="str">
        <f t="shared" si="391"/>
        <v>TANDEM METALICO DE 3 PUESTOS PARA SALA DE ESPERA TAPIZADO EN MATERIAL LAVABLE. ANCHO 183 CMM. ALTO 78 CM. (CODIGO DONACION)</v>
      </c>
      <c r="C7967" s="6">
        <v>773500</v>
      </c>
      <c r="D7967" s="5" t="s">
        <v>105</v>
      </c>
      <c r="E7967" s="5" t="str">
        <f t="shared" si="387"/>
        <v>URGENCIAS ADULTO-Jenny Peña</v>
      </c>
      <c r="F7967" s="5"/>
      <c r="G7967" s="5"/>
    </row>
    <row r="7968" spans="1:7" ht="58.5" customHeight="1" x14ac:dyDescent="0.25">
      <c r="A7968" s="5" t="str">
        <f>"H0031341"</f>
        <v>H0031341</v>
      </c>
      <c r="B7968" s="5" t="str">
        <f>"ESCRITORIO TIPO L (CODIGO DONACION)"</f>
        <v>ESCRITORIO TIPO L (CODIGO DONACION)</v>
      </c>
      <c r="C7968" s="6">
        <v>1785000</v>
      </c>
      <c r="D7968" s="5" t="s">
        <v>105</v>
      </c>
      <c r="E7968" s="5" t="str">
        <f t="shared" si="387"/>
        <v>URGENCIAS ADULTO-Jenny Peña</v>
      </c>
      <c r="F7968" s="5"/>
      <c r="G7968" s="5"/>
    </row>
    <row r="7969" spans="1:7" ht="58.5" customHeight="1" x14ac:dyDescent="0.25">
      <c r="A7969" s="5" t="str">
        <f>"H0031342"</f>
        <v>H0031342</v>
      </c>
      <c r="B7969" s="5" t="str">
        <f>"ESCRITORIO TIPO L (CODIGO DONACION)"</f>
        <v>ESCRITORIO TIPO L (CODIGO DONACION)</v>
      </c>
      <c r="C7969" s="6">
        <v>1785000</v>
      </c>
      <c r="D7969" s="5" t="s">
        <v>105</v>
      </c>
      <c r="E7969" s="5" t="str">
        <f t="shared" si="387"/>
        <v>URGENCIAS ADULTO-Jenny Peña</v>
      </c>
      <c r="F7969" s="5"/>
      <c r="G7969" s="5"/>
    </row>
    <row r="7970" spans="1:7" ht="58.5" customHeight="1" x14ac:dyDescent="0.25">
      <c r="A7970" s="5" t="str">
        <f>"H0031384"</f>
        <v>H0031384</v>
      </c>
      <c r="B7970" s="5" t="str">
        <f>"SILLA RECLINOMATICA"</f>
        <v>SILLA RECLINOMATICA</v>
      </c>
      <c r="C7970" s="6">
        <v>1065050</v>
      </c>
      <c r="D7970" s="5" t="s">
        <v>106</v>
      </c>
      <c r="E7970" s="5" t="str">
        <f t="shared" si="387"/>
        <v>URGENCIAS ADULTO-Jenny Peña</v>
      </c>
      <c r="F7970" s="5"/>
      <c r="G7970" s="5"/>
    </row>
    <row r="7971" spans="1:7" ht="58.5" customHeight="1" x14ac:dyDescent="0.25">
      <c r="A7971" s="5" t="str">
        <f>"H0031385"</f>
        <v>H0031385</v>
      </c>
      <c r="B7971" s="5" t="str">
        <f>"SILLA RECLINOMATICA"</f>
        <v>SILLA RECLINOMATICA</v>
      </c>
      <c r="C7971" s="6">
        <v>1065050</v>
      </c>
      <c r="D7971" s="5" t="s">
        <v>106</v>
      </c>
      <c r="E7971" s="5" t="str">
        <f t="shared" si="387"/>
        <v>URGENCIAS ADULTO-Jenny Peña</v>
      </c>
      <c r="F7971" s="5"/>
      <c r="G7971" s="5"/>
    </row>
    <row r="7972" spans="1:7" ht="58.5" customHeight="1" x14ac:dyDescent="0.25">
      <c r="A7972" s="5" t="str">
        <f>"H0031403"</f>
        <v>H0031403</v>
      </c>
      <c r="B7972"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7972" s="6">
        <v>1939700</v>
      </c>
      <c r="D7972" s="5" t="s">
        <v>473</v>
      </c>
      <c r="E7972" s="5" t="str">
        <f t="shared" si="387"/>
        <v>URGENCIAS ADULTO-Jenny Peña</v>
      </c>
      <c r="F7972" s="5"/>
      <c r="G7972" s="5"/>
    </row>
    <row r="7973" spans="1:7" ht="58.5" customHeight="1" x14ac:dyDescent="0.25">
      <c r="A7973" s="5" t="str">
        <f>"H0031453"</f>
        <v>H0031453</v>
      </c>
      <c r="B7973" s="5" t="str">
        <f t="shared" ref="B7973:B7980" si="392">"EQUIPO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7973" s="6">
        <v>3209500</v>
      </c>
      <c r="D7973" s="5" t="s">
        <v>16</v>
      </c>
      <c r="E7973" s="5" t="str">
        <f t="shared" ref="E7973:E8036" si="393">"URGENCIAS ADULTO-Jenny Peña"</f>
        <v>URGENCIAS ADULTO-Jenny Peña</v>
      </c>
      <c r="F7973" s="5"/>
      <c r="G7973" s="5"/>
    </row>
    <row r="7974" spans="1:7" ht="58.5" customHeight="1" x14ac:dyDescent="0.25">
      <c r="A7974" s="5" t="str">
        <f>"H0031476"</f>
        <v>H0031476</v>
      </c>
      <c r="B7974" s="5" t="str">
        <f t="shared" si="392"/>
        <v>EQUIPO DE COMPUTO TODO EN UNO con Procesador 4 núcleos 3.2 GHz. RAM 8 GBx1 DDR4-2666. DD 256 GB SSD. RJ45 Base 1000. WLAN 802.11ac (2x2). 19”. Unidad de DVD-RW. Teclado USB. Mouse. Cámara Web</v>
      </c>
      <c r="C7974" s="6">
        <v>3209500</v>
      </c>
      <c r="D7974" s="5" t="s">
        <v>16</v>
      </c>
      <c r="E7974" s="5" t="str">
        <f t="shared" si="393"/>
        <v>URGENCIAS ADULTO-Jenny Peña</v>
      </c>
      <c r="F7974" s="5"/>
      <c r="G7974" s="5"/>
    </row>
    <row r="7975" spans="1:7" ht="58.5" customHeight="1" x14ac:dyDescent="0.25">
      <c r="A7975" s="5" t="str">
        <f>"H0031477"</f>
        <v>H0031477</v>
      </c>
      <c r="B7975" s="5" t="str">
        <f t="shared" si="392"/>
        <v>EQUIPO DE COMPUTO TODO EN UNO con Procesador 4 núcleos 3.2 GHz. RAM 8 GBx1 DDR4-2666. DD 256 GB SSD. RJ45 Base 1000. WLAN 802.11ac (2x2). 19”. Unidad de DVD-RW. Teclado USB. Mouse. Cámara Web</v>
      </c>
      <c r="C7975" s="6">
        <v>3209500</v>
      </c>
      <c r="D7975" s="5" t="s">
        <v>16</v>
      </c>
      <c r="E7975" s="5" t="str">
        <f t="shared" si="393"/>
        <v>URGENCIAS ADULTO-Jenny Peña</v>
      </c>
      <c r="F7975" s="5"/>
      <c r="G7975" s="5"/>
    </row>
    <row r="7976" spans="1:7" ht="58.5" customHeight="1" x14ac:dyDescent="0.25">
      <c r="A7976" s="5" t="str">
        <f>"H0031478"</f>
        <v>H0031478</v>
      </c>
      <c r="B7976" s="5" t="str">
        <f t="shared" si="392"/>
        <v>EQUIPO DE COMPUTO TODO EN UNO con Procesador 4 núcleos 3.2 GHz. RAM 8 GBx1 DDR4-2666. DD 256 GB SSD. RJ45 Base 1000. WLAN 802.11ac (2x2). 19”. Unidad de DVD-RW. Teclado USB. Mouse. Cámara Web</v>
      </c>
      <c r="C7976" s="6">
        <v>3209500</v>
      </c>
      <c r="D7976" s="5" t="s">
        <v>16</v>
      </c>
      <c r="E7976" s="5" t="str">
        <f t="shared" si="393"/>
        <v>URGENCIAS ADULTO-Jenny Peña</v>
      </c>
      <c r="F7976" s="5"/>
      <c r="G7976" s="5"/>
    </row>
    <row r="7977" spans="1:7" ht="58.5" customHeight="1" x14ac:dyDescent="0.25">
      <c r="A7977" s="5" t="str">
        <f>"H0031479"</f>
        <v>H0031479</v>
      </c>
      <c r="B7977" s="5" t="str">
        <f t="shared" si="392"/>
        <v>EQUIPO DE COMPUTO TODO EN UNO con Procesador 4 núcleos 3.2 GHz. RAM 8 GBx1 DDR4-2666. DD 256 GB SSD. RJ45 Base 1000. WLAN 802.11ac (2x2). 19”. Unidad de DVD-RW. Teclado USB. Mouse. Cámara Web</v>
      </c>
      <c r="C7977" s="6">
        <v>3209500</v>
      </c>
      <c r="D7977" s="5" t="s">
        <v>16</v>
      </c>
      <c r="E7977" s="5" t="str">
        <f t="shared" si="393"/>
        <v>URGENCIAS ADULTO-Jenny Peña</v>
      </c>
      <c r="F7977" s="5"/>
      <c r="G7977" s="5"/>
    </row>
    <row r="7978" spans="1:7" ht="58.5" customHeight="1" x14ac:dyDescent="0.25">
      <c r="A7978" s="5" t="str">
        <f>"H0031481"</f>
        <v>H0031481</v>
      </c>
      <c r="B7978" s="5" t="str">
        <f t="shared" si="392"/>
        <v>EQUIPO DE COMPUTO TODO EN UNO con Procesador 4 núcleos 3.2 GHz. RAM 8 GBx1 DDR4-2666. DD 256 GB SSD. RJ45 Base 1000. WLAN 802.11ac (2x2). 19”. Unidad de DVD-RW. Teclado USB. Mouse. Cámara Web</v>
      </c>
      <c r="C7978" s="6">
        <v>3209500</v>
      </c>
      <c r="D7978" s="5" t="s">
        <v>16</v>
      </c>
      <c r="E7978" s="5" t="str">
        <f t="shared" si="393"/>
        <v>URGENCIAS ADULTO-Jenny Peña</v>
      </c>
      <c r="F7978" s="5"/>
      <c r="G7978" s="5"/>
    </row>
    <row r="7979" spans="1:7" ht="58.5" customHeight="1" x14ac:dyDescent="0.25">
      <c r="A7979" s="5" t="str">
        <f>"H0031482"</f>
        <v>H0031482</v>
      </c>
      <c r="B7979" s="5" t="str">
        <f t="shared" si="392"/>
        <v>EQUIPO DE COMPUTO TODO EN UNO con Procesador 4 núcleos 3.2 GHz. RAM 8 GBx1 DDR4-2666. DD 256 GB SSD. RJ45 Base 1000. WLAN 802.11ac (2x2). 19”. Unidad de DVD-RW. Teclado USB. Mouse. Cámara Web</v>
      </c>
      <c r="C7979" s="6">
        <v>3209500</v>
      </c>
      <c r="D7979" s="5" t="s">
        <v>16</v>
      </c>
      <c r="E7979" s="5" t="str">
        <f t="shared" si="393"/>
        <v>URGENCIAS ADULTO-Jenny Peña</v>
      </c>
      <c r="F7979" s="5"/>
      <c r="G7979" s="5"/>
    </row>
    <row r="7980" spans="1:7" ht="58.5" customHeight="1" x14ac:dyDescent="0.25">
      <c r="A7980" s="5" t="str">
        <f>"H0031484"</f>
        <v>H0031484</v>
      </c>
      <c r="B7980" s="5" t="str">
        <f t="shared" si="392"/>
        <v>EQUIPO DE COMPUTO TODO EN UNO con Procesador 4 núcleos 3.2 GHz. RAM 8 GBx1 DDR4-2666. DD 256 GB SSD. RJ45 Base 1000. WLAN 802.11ac (2x2). 19”. Unidad de DVD-RW. Teclado USB. Mouse. Cámara Web</v>
      </c>
      <c r="C7980" s="6">
        <v>3209500</v>
      </c>
      <c r="D7980" s="5" t="s">
        <v>16</v>
      </c>
      <c r="E7980" s="5" t="str">
        <f t="shared" si="393"/>
        <v>URGENCIAS ADULTO-Jenny Peña</v>
      </c>
      <c r="F7980" s="5"/>
      <c r="G7980" s="5"/>
    </row>
    <row r="7981" spans="1:7" ht="58.5" customHeight="1" x14ac:dyDescent="0.25">
      <c r="A7981" s="5" t="str">
        <f>"H0031505"</f>
        <v>H0031505</v>
      </c>
      <c r="B7981" s="5" t="str">
        <f>"SILLA DE RUEDAS"</f>
        <v>SILLA DE RUEDAS</v>
      </c>
      <c r="C7981" s="6">
        <v>390000</v>
      </c>
      <c r="D7981" s="5" t="s">
        <v>474</v>
      </c>
      <c r="E7981" s="5" t="str">
        <f t="shared" si="393"/>
        <v>URGENCIAS ADULTO-Jenny Peña</v>
      </c>
      <c r="F7981" s="5"/>
      <c r="G7981" s="5"/>
    </row>
    <row r="7982" spans="1:7" ht="58.5" customHeight="1" x14ac:dyDescent="0.25">
      <c r="A7982" s="5" t="str">
        <f>"H0031623"</f>
        <v>H0031623</v>
      </c>
      <c r="B7982" s="5" t="str">
        <f t="shared" ref="B7982:B7996" si="394">"CAMILLA DE TRASLADO CON BARANDAS"</f>
        <v>CAMILLA DE TRASLADO CON BARANDAS</v>
      </c>
      <c r="C7982" s="6">
        <v>8428770</v>
      </c>
      <c r="D7982" s="5" t="s">
        <v>317</v>
      </c>
      <c r="E7982" s="5" t="str">
        <f t="shared" si="393"/>
        <v>URGENCIAS ADULTO-Jenny Peña</v>
      </c>
      <c r="F7982" s="5"/>
      <c r="G7982" s="5"/>
    </row>
    <row r="7983" spans="1:7" ht="58.5" customHeight="1" x14ac:dyDescent="0.25">
      <c r="A7983" s="5" t="str">
        <f>"H0031624"</f>
        <v>H0031624</v>
      </c>
      <c r="B7983" s="5" t="str">
        <f t="shared" si="394"/>
        <v>CAMILLA DE TRASLADO CON BARANDAS</v>
      </c>
      <c r="C7983" s="6">
        <v>8428770</v>
      </c>
      <c r="D7983" s="5" t="s">
        <v>317</v>
      </c>
      <c r="E7983" s="5" t="str">
        <f t="shared" si="393"/>
        <v>URGENCIAS ADULTO-Jenny Peña</v>
      </c>
      <c r="F7983" s="5"/>
      <c r="G7983" s="5"/>
    </row>
    <row r="7984" spans="1:7" ht="58.5" customHeight="1" x14ac:dyDescent="0.25">
      <c r="A7984" s="5" t="str">
        <f>"H0031625"</f>
        <v>H0031625</v>
      </c>
      <c r="B7984" s="5" t="str">
        <f t="shared" si="394"/>
        <v>CAMILLA DE TRASLADO CON BARANDAS</v>
      </c>
      <c r="C7984" s="6">
        <v>8428770</v>
      </c>
      <c r="D7984" s="5" t="s">
        <v>317</v>
      </c>
      <c r="E7984" s="5" t="str">
        <f t="shared" si="393"/>
        <v>URGENCIAS ADULTO-Jenny Peña</v>
      </c>
      <c r="F7984" s="5"/>
      <c r="G7984" s="5"/>
    </row>
    <row r="7985" spans="1:7" ht="58.5" customHeight="1" x14ac:dyDescent="0.25">
      <c r="A7985" s="5" t="str">
        <f>"H0031626"</f>
        <v>H0031626</v>
      </c>
      <c r="B7985" s="5" t="str">
        <f t="shared" si="394"/>
        <v>CAMILLA DE TRASLADO CON BARANDAS</v>
      </c>
      <c r="C7985" s="6">
        <v>8428770</v>
      </c>
      <c r="D7985" s="5" t="s">
        <v>317</v>
      </c>
      <c r="E7985" s="5" t="str">
        <f t="shared" si="393"/>
        <v>URGENCIAS ADULTO-Jenny Peña</v>
      </c>
      <c r="F7985" s="5"/>
      <c r="G7985" s="5"/>
    </row>
    <row r="7986" spans="1:7" ht="58.5" customHeight="1" x14ac:dyDescent="0.25">
      <c r="A7986" s="5" t="str">
        <f>"H0031627"</f>
        <v>H0031627</v>
      </c>
      <c r="B7986" s="5" t="str">
        <f t="shared" si="394"/>
        <v>CAMILLA DE TRASLADO CON BARANDAS</v>
      </c>
      <c r="C7986" s="6">
        <v>8428770</v>
      </c>
      <c r="D7986" s="5" t="s">
        <v>317</v>
      </c>
      <c r="E7986" s="5" t="str">
        <f t="shared" si="393"/>
        <v>URGENCIAS ADULTO-Jenny Peña</v>
      </c>
      <c r="F7986" s="5"/>
      <c r="G7986" s="5"/>
    </row>
    <row r="7987" spans="1:7" ht="58.5" customHeight="1" x14ac:dyDescent="0.25">
      <c r="A7987" s="5" t="str">
        <f>"H0031628"</f>
        <v>H0031628</v>
      </c>
      <c r="B7987" s="5" t="str">
        <f t="shared" si="394"/>
        <v>CAMILLA DE TRASLADO CON BARANDAS</v>
      </c>
      <c r="C7987" s="6">
        <v>8428770</v>
      </c>
      <c r="D7987" s="5" t="s">
        <v>317</v>
      </c>
      <c r="E7987" s="5" t="str">
        <f t="shared" si="393"/>
        <v>URGENCIAS ADULTO-Jenny Peña</v>
      </c>
      <c r="F7987" s="5"/>
      <c r="G7987" s="5"/>
    </row>
    <row r="7988" spans="1:7" ht="58.5" customHeight="1" x14ac:dyDescent="0.25">
      <c r="A7988" s="5" t="str">
        <f>"H0031629"</f>
        <v>H0031629</v>
      </c>
      <c r="B7988" s="5" t="str">
        <f t="shared" si="394"/>
        <v>CAMILLA DE TRASLADO CON BARANDAS</v>
      </c>
      <c r="C7988" s="6">
        <v>8428770</v>
      </c>
      <c r="D7988" s="5" t="s">
        <v>317</v>
      </c>
      <c r="E7988" s="5" t="str">
        <f t="shared" si="393"/>
        <v>URGENCIAS ADULTO-Jenny Peña</v>
      </c>
      <c r="F7988" s="5"/>
      <c r="G7988" s="5"/>
    </row>
    <row r="7989" spans="1:7" ht="58.5" customHeight="1" x14ac:dyDescent="0.25">
      <c r="A7989" s="5" t="str">
        <f>"H0031630"</f>
        <v>H0031630</v>
      </c>
      <c r="B7989" s="5" t="str">
        <f t="shared" si="394"/>
        <v>CAMILLA DE TRASLADO CON BARANDAS</v>
      </c>
      <c r="C7989" s="6">
        <v>8428770</v>
      </c>
      <c r="D7989" s="5" t="s">
        <v>317</v>
      </c>
      <c r="E7989" s="5" t="str">
        <f t="shared" si="393"/>
        <v>URGENCIAS ADULTO-Jenny Peña</v>
      </c>
      <c r="F7989" s="5"/>
      <c r="G7989" s="5"/>
    </row>
    <row r="7990" spans="1:7" ht="58.5" customHeight="1" x14ac:dyDescent="0.25">
      <c r="A7990" s="5" t="str">
        <f>"H0031631"</f>
        <v>H0031631</v>
      </c>
      <c r="B7990" s="5" t="str">
        <f t="shared" si="394"/>
        <v>CAMILLA DE TRASLADO CON BARANDAS</v>
      </c>
      <c r="C7990" s="6">
        <v>8428770</v>
      </c>
      <c r="D7990" s="5" t="s">
        <v>317</v>
      </c>
      <c r="E7990" s="5" t="str">
        <f t="shared" si="393"/>
        <v>URGENCIAS ADULTO-Jenny Peña</v>
      </c>
      <c r="F7990" s="5"/>
      <c r="G7990" s="5"/>
    </row>
    <row r="7991" spans="1:7" ht="58.5" customHeight="1" x14ac:dyDescent="0.25">
      <c r="A7991" s="5" t="str">
        <f>"H0031632"</f>
        <v>H0031632</v>
      </c>
      <c r="B7991" s="5" t="str">
        <f t="shared" si="394"/>
        <v>CAMILLA DE TRASLADO CON BARANDAS</v>
      </c>
      <c r="C7991" s="6">
        <v>8428770</v>
      </c>
      <c r="D7991" s="5" t="s">
        <v>317</v>
      </c>
      <c r="E7991" s="5" t="str">
        <f t="shared" si="393"/>
        <v>URGENCIAS ADULTO-Jenny Peña</v>
      </c>
      <c r="F7991" s="5"/>
      <c r="G7991" s="5"/>
    </row>
    <row r="7992" spans="1:7" ht="58.5" customHeight="1" x14ac:dyDescent="0.25">
      <c r="A7992" s="5" t="str">
        <f>"H0031633"</f>
        <v>H0031633</v>
      </c>
      <c r="B7992" s="5" t="str">
        <f t="shared" si="394"/>
        <v>CAMILLA DE TRASLADO CON BARANDAS</v>
      </c>
      <c r="C7992" s="6">
        <v>8428770</v>
      </c>
      <c r="D7992" s="5" t="s">
        <v>475</v>
      </c>
      <c r="E7992" s="5" t="str">
        <f t="shared" si="393"/>
        <v>URGENCIAS ADULTO-Jenny Peña</v>
      </c>
      <c r="F7992" s="5"/>
      <c r="G7992" s="5"/>
    </row>
    <row r="7993" spans="1:7" ht="58.5" customHeight="1" x14ac:dyDescent="0.25">
      <c r="A7993" s="5" t="str">
        <f>"H0031634"</f>
        <v>H0031634</v>
      </c>
      <c r="B7993" s="5" t="str">
        <f t="shared" si="394"/>
        <v>CAMILLA DE TRASLADO CON BARANDAS</v>
      </c>
      <c r="C7993" s="6">
        <v>8428770</v>
      </c>
      <c r="D7993" s="5" t="s">
        <v>317</v>
      </c>
      <c r="E7993" s="5" t="str">
        <f t="shared" si="393"/>
        <v>URGENCIAS ADULTO-Jenny Peña</v>
      </c>
      <c r="F7993" s="5"/>
      <c r="G7993" s="5"/>
    </row>
    <row r="7994" spans="1:7" ht="58.5" customHeight="1" x14ac:dyDescent="0.25">
      <c r="A7994" s="5" t="str">
        <f>"H0031635"</f>
        <v>H0031635</v>
      </c>
      <c r="B7994" s="5" t="str">
        <f t="shared" si="394"/>
        <v>CAMILLA DE TRASLADO CON BARANDAS</v>
      </c>
      <c r="C7994" s="6">
        <v>8428770</v>
      </c>
      <c r="D7994" s="5" t="s">
        <v>317</v>
      </c>
      <c r="E7994" s="5" t="str">
        <f t="shared" si="393"/>
        <v>URGENCIAS ADULTO-Jenny Peña</v>
      </c>
      <c r="F7994" s="5"/>
      <c r="G7994" s="5"/>
    </row>
    <row r="7995" spans="1:7" ht="58.5" customHeight="1" x14ac:dyDescent="0.25">
      <c r="A7995" s="5" t="str">
        <f>"H0031636"</f>
        <v>H0031636</v>
      </c>
      <c r="B7995" s="5" t="str">
        <f t="shared" si="394"/>
        <v>CAMILLA DE TRASLADO CON BARANDAS</v>
      </c>
      <c r="C7995" s="6">
        <v>8428770</v>
      </c>
      <c r="D7995" s="5" t="s">
        <v>317</v>
      </c>
      <c r="E7995" s="5" t="str">
        <f t="shared" si="393"/>
        <v>URGENCIAS ADULTO-Jenny Peña</v>
      </c>
      <c r="F7995" s="5"/>
      <c r="G7995" s="5"/>
    </row>
    <row r="7996" spans="1:7" ht="58.5" customHeight="1" x14ac:dyDescent="0.25">
      <c r="A7996" s="5" t="str">
        <f>"H0031637"</f>
        <v>H0031637</v>
      </c>
      <c r="B7996" s="5" t="str">
        <f t="shared" si="394"/>
        <v>CAMILLA DE TRASLADO CON BARANDAS</v>
      </c>
      <c r="C7996" s="6">
        <v>8428770</v>
      </c>
      <c r="D7996" s="5" t="s">
        <v>317</v>
      </c>
      <c r="E7996" s="5" t="str">
        <f t="shared" si="393"/>
        <v>URGENCIAS ADULTO-Jenny Peña</v>
      </c>
      <c r="F7996" s="5"/>
      <c r="G7996" s="5"/>
    </row>
    <row r="7997" spans="1:7" ht="58.5" customHeight="1" x14ac:dyDescent="0.25">
      <c r="A7997" s="5" t="str">
        <f>"H0031647"</f>
        <v>H0031647</v>
      </c>
      <c r="B7997" s="5" t="str">
        <f>"SUCCIONADOR (ASPIRADOR) DE FLUIDOS QUIRURGICO"</f>
        <v>SUCCIONADOR (ASPIRADOR) DE FLUIDOS QUIRURGICO</v>
      </c>
      <c r="C7997" s="6">
        <v>3841379.6</v>
      </c>
      <c r="D7997" s="5" t="s">
        <v>317</v>
      </c>
      <c r="E7997" s="5" t="str">
        <f t="shared" si="393"/>
        <v>URGENCIAS ADULTO-Jenny Peña</v>
      </c>
      <c r="F7997" s="5"/>
      <c r="G7997" s="5"/>
    </row>
    <row r="7998" spans="1:7" ht="58.5" customHeight="1" x14ac:dyDescent="0.25">
      <c r="A7998" s="5" t="str">
        <f>"H0031699"</f>
        <v>H0031699</v>
      </c>
      <c r="B7998" s="5" t="str">
        <f>"MESA DE MAYO"</f>
        <v>MESA DE MAYO</v>
      </c>
      <c r="C7998" s="6">
        <v>380800</v>
      </c>
      <c r="D7998" s="5" t="s">
        <v>156</v>
      </c>
      <c r="E7998" s="5" t="str">
        <f t="shared" si="393"/>
        <v>URGENCIAS ADULTO-Jenny Peña</v>
      </c>
      <c r="F7998" s="5"/>
      <c r="G7998" s="5"/>
    </row>
    <row r="7999" spans="1:7" ht="58.5" customHeight="1" x14ac:dyDescent="0.25">
      <c r="A7999" s="5" t="str">
        <f>"H0031732"</f>
        <v>H0031732</v>
      </c>
      <c r="B7999" s="5" t="str">
        <f>"COMPUTADOR A30 LENOVO TODO EN UNO RAM 8GB DISCO 1TB W10 PRO L OFFICE (CODIGO DONACION)"</f>
        <v>COMPUTADOR A30 LENOVO TODO EN UNO RAM 8GB DISCO 1TB W10 PRO L OFFICE (CODIGO DONACION)</v>
      </c>
      <c r="C7999" s="6">
        <v>2270000</v>
      </c>
      <c r="D7999" s="5" t="s">
        <v>476</v>
      </c>
      <c r="E7999" s="5" t="str">
        <f t="shared" si="393"/>
        <v>URGENCIAS ADULTO-Jenny Peña</v>
      </c>
      <c r="F7999" s="5"/>
      <c r="G7999" s="5"/>
    </row>
    <row r="8000" spans="1:7" ht="58.5" customHeight="1" x14ac:dyDescent="0.25">
      <c r="A8000" s="5" t="str">
        <f>"H0031733"</f>
        <v>H0031733</v>
      </c>
      <c r="B8000" s="5" t="str">
        <f>"COMPUTADOR A30 LENOVO TODO EN UNO RAM 8GB DISCO 1TB W10 PRO L OFFICE (CODIGO DONACION)"</f>
        <v>COMPUTADOR A30 LENOVO TODO EN UNO RAM 8GB DISCO 1TB W10 PRO L OFFICE (CODIGO DONACION)</v>
      </c>
      <c r="C8000" s="6">
        <v>2270000</v>
      </c>
      <c r="D8000" s="5" t="s">
        <v>476</v>
      </c>
      <c r="E8000" s="5" t="str">
        <f t="shared" si="393"/>
        <v>URGENCIAS ADULTO-Jenny Peña</v>
      </c>
      <c r="F8000" s="5"/>
      <c r="G8000" s="5"/>
    </row>
    <row r="8001" spans="1:7" ht="58.5" customHeight="1" x14ac:dyDescent="0.25">
      <c r="A8001" s="5" t="str">
        <f>"H0031734"</f>
        <v>H0031734</v>
      </c>
      <c r="B8001" s="5" t="str">
        <f>"COMPUTADOR A30 LENOVO TODO EN UNO RAM 8GB DISCO 1TB W10 PRO L OFFICE (CODIGO DONACION)"</f>
        <v>COMPUTADOR A30 LENOVO TODO EN UNO RAM 8GB DISCO 1TB W10 PRO L OFFICE (CODIGO DONACION)</v>
      </c>
      <c r="C8001" s="6">
        <v>2270000</v>
      </c>
      <c r="D8001" s="5" t="s">
        <v>476</v>
      </c>
      <c r="E8001" s="5" t="str">
        <f t="shared" si="393"/>
        <v>URGENCIAS ADULTO-Jenny Peña</v>
      </c>
      <c r="F8001" s="5"/>
      <c r="G8001" s="5"/>
    </row>
    <row r="8002" spans="1:7" ht="58.5" customHeight="1" x14ac:dyDescent="0.25">
      <c r="A8002" s="5" t="str">
        <f>"H0031736"</f>
        <v>H0031736</v>
      </c>
      <c r="B8002" s="5" t="str">
        <f>"UPS PARA PC (CODIGO DONACION)"</f>
        <v>UPS PARA PC (CODIGO DONACION)</v>
      </c>
      <c r="C8002" s="6">
        <v>180000</v>
      </c>
      <c r="D8002" s="5" t="s">
        <v>476</v>
      </c>
      <c r="E8002" s="5" t="str">
        <f t="shared" si="393"/>
        <v>URGENCIAS ADULTO-Jenny Peña</v>
      </c>
      <c r="F8002" s="5"/>
      <c r="G8002" s="5"/>
    </row>
    <row r="8003" spans="1:7" ht="58.5" customHeight="1" x14ac:dyDescent="0.25">
      <c r="A8003" s="5" t="str">
        <f>"H0031737"</f>
        <v>H0031737</v>
      </c>
      <c r="B8003" s="5" t="str">
        <f>"UPS PARA PC (CODIGO DONACION)"</f>
        <v>UPS PARA PC (CODIGO DONACION)</v>
      </c>
      <c r="C8003" s="6">
        <v>180000</v>
      </c>
      <c r="D8003" s="5" t="s">
        <v>476</v>
      </c>
      <c r="E8003" s="5" t="str">
        <f t="shared" si="393"/>
        <v>URGENCIAS ADULTO-Jenny Peña</v>
      </c>
      <c r="F8003" s="5"/>
      <c r="G8003" s="5"/>
    </row>
    <row r="8004" spans="1:7" ht="58.5" customHeight="1" x14ac:dyDescent="0.25">
      <c r="A8004" s="5" t="str">
        <f>"H0031738"</f>
        <v>H0031738</v>
      </c>
      <c r="B8004" s="5" t="str">
        <f>"UPS PARA PC (CODIGO DONACION)"</f>
        <v>UPS PARA PC (CODIGO DONACION)</v>
      </c>
      <c r="C8004" s="6">
        <v>180000</v>
      </c>
      <c r="D8004" s="5" t="s">
        <v>476</v>
      </c>
      <c r="E8004" s="5" t="str">
        <f t="shared" si="393"/>
        <v>URGENCIAS ADULTO-Jenny Peña</v>
      </c>
      <c r="F8004" s="5"/>
      <c r="G8004" s="5"/>
    </row>
    <row r="8005" spans="1:7" ht="58.5" customHeight="1" x14ac:dyDescent="0.25">
      <c r="A8005" s="5" t="str">
        <f>"H0031739"</f>
        <v>H0031739</v>
      </c>
      <c r="B8005" s="5" t="str">
        <f>"UPS PARA PC (CODIGO DONACION)"</f>
        <v>UPS PARA PC (CODIGO DONACION)</v>
      </c>
      <c r="C8005" s="6">
        <v>180000</v>
      </c>
      <c r="D8005" s="5" t="s">
        <v>476</v>
      </c>
      <c r="E8005" s="5" t="str">
        <f t="shared" si="393"/>
        <v>URGENCIAS ADULTO-Jenny Peña</v>
      </c>
      <c r="F8005" s="5"/>
      <c r="G8005" s="5"/>
    </row>
    <row r="8006" spans="1:7" ht="58.5" customHeight="1" x14ac:dyDescent="0.25">
      <c r="A8006" s="5" t="str">
        <f>"H0031740"</f>
        <v>H0031740</v>
      </c>
      <c r="B8006" s="5" t="str">
        <f>"ESCRITORIO LINEAL SUPERFICIE AGLOMERADA 2X1 METALICO 1.40X0.6X0.74 (CODIGO DONACION)"</f>
        <v>ESCRITORIO LINEAL SUPERFICIE AGLOMERADA 2X1 METALICO 1.40X0.6X0.74 (CODIGO DONACION)</v>
      </c>
      <c r="C8006" s="6">
        <v>490000</v>
      </c>
      <c r="D8006" s="5" t="s">
        <v>476</v>
      </c>
      <c r="E8006" s="5" t="str">
        <f t="shared" si="393"/>
        <v>URGENCIAS ADULTO-Jenny Peña</v>
      </c>
      <c r="F8006" s="5"/>
      <c r="G8006" s="5"/>
    </row>
    <row r="8007" spans="1:7" ht="58.5" customHeight="1" x14ac:dyDescent="0.25">
      <c r="A8007" s="5" t="str">
        <f>"H0031741"</f>
        <v>H0031741</v>
      </c>
      <c r="B8007" s="5" t="str">
        <f>"ESCRITORIO LINEAL SUPERFICIE AGLOMERADA 2X1 METALICO 1.40X0.6X0.74 (CODIGO DONACION)"</f>
        <v>ESCRITORIO LINEAL SUPERFICIE AGLOMERADA 2X1 METALICO 1.40X0.6X0.74 (CODIGO DONACION)</v>
      </c>
      <c r="C8007" s="6">
        <v>490000</v>
      </c>
      <c r="D8007" s="5" t="s">
        <v>476</v>
      </c>
      <c r="E8007" s="5" t="str">
        <f t="shared" si="393"/>
        <v>URGENCIAS ADULTO-Jenny Peña</v>
      </c>
      <c r="F8007" s="5"/>
      <c r="G8007" s="5"/>
    </row>
    <row r="8008" spans="1:7" ht="58.5" customHeight="1" x14ac:dyDescent="0.25">
      <c r="A8008" s="5" t="str">
        <f>"H0031742"</f>
        <v>H0031742</v>
      </c>
      <c r="B8008" s="5" t="str">
        <f>"ESCRITORIO LINEAL SUPERFICIE AGLOMERADA 2X1 METALICO 1.40X0.6X0.74 (CODIGO DONACION)"</f>
        <v>ESCRITORIO LINEAL SUPERFICIE AGLOMERADA 2X1 METALICO 1.40X0.6X0.74 (CODIGO DONACION)</v>
      </c>
      <c r="C8008" s="6">
        <v>490000</v>
      </c>
      <c r="D8008" s="5" t="s">
        <v>476</v>
      </c>
      <c r="E8008" s="5" t="str">
        <f t="shared" si="393"/>
        <v>URGENCIAS ADULTO-Jenny Peña</v>
      </c>
      <c r="F8008" s="5"/>
      <c r="G8008" s="5"/>
    </row>
    <row r="8009" spans="1:7" ht="58.5" customHeight="1" x14ac:dyDescent="0.25">
      <c r="A8009" s="5" t="str">
        <f>"H0031743"</f>
        <v>H0031743</v>
      </c>
      <c r="B8009" s="5" t="str">
        <f>"SILLA EJECUTIVA CON BRAZO"</f>
        <v>SILLA EJECUTIVA CON BRAZO</v>
      </c>
      <c r="C8009" s="6">
        <v>199900</v>
      </c>
      <c r="D8009" s="5" t="s">
        <v>476</v>
      </c>
      <c r="E8009" s="5" t="str">
        <f t="shared" si="393"/>
        <v>URGENCIAS ADULTO-Jenny Peña</v>
      </c>
      <c r="F8009" s="5"/>
      <c r="G8009" s="5"/>
    </row>
    <row r="8010" spans="1:7" ht="58.5" customHeight="1" x14ac:dyDescent="0.25">
      <c r="A8010" s="5" t="str">
        <f>"H0031744"</f>
        <v>H0031744</v>
      </c>
      <c r="B8010" s="5" t="str">
        <f>"SILLA EJECUTIVA CON BRAZO"</f>
        <v>SILLA EJECUTIVA CON BRAZO</v>
      </c>
      <c r="C8010" s="6">
        <v>199900</v>
      </c>
      <c r="D8010" s="5" t="s">
        <v>476</v>
      </c>
      <c r="E8010" s="5" t="str">
        <f t="shared" si="393"/>
        <v>URGENCIAS ADULTO-Jenny Peña</v>
      </c>
      <c r="F8010" s="5"/>
      <c r="G8010" s="5"/>
    </row>
    <row r="8011" spans="1:7" ht="58.5" customHeight="1" x14ac:dyDescent="0.25">
      <c r="A8011" s="5" t="str">
        <f>"H0031745"</f>
        <v>H0031745</v>
      </c>
      <c r="B8011" s="5" t="str">
        <f>"GABINETE AEREO ESTRUCTURA EN AGLOMERADO COLOR GRIS 0.9X0.4X0.42 (CODIGO DONACION)"</f>
        <v>GABINETE AEREO ESTRUCTURA EN AGLOMERADO COLOR GRIS 0.9X0.4X0.42 (CODIGO DONACION)</v>
      </c>
      <c r="C8011" s="6">
        <v>255000</v>
      </c>
      <c r="D8011" s="5" t="s">
        <v>476</v>
      </c>
      <c r="E8011" s="5" t="str">
        <f t="shared" si="393"/>
        <v>URGENCIAS ADULTO-Jenny Peña</v>
      </c>
      <c r="F8011" s="5"/>
      <c r="G8011" s="5"/>
    </row>
    <row r="8012" spans="1:7" ht="58.5" customHeight="1" x14ac:dyDescent="0.25">
      <c r="A8012" s="5" t="str">
        <f>"H0031746"</f>
        <v>H0031746</v>
      </c>
      <c r="B8012" s="5" t="str">
        <f>"DISPENSADOR DE AGUA SIST. DE FILTRADO K-WDLL15 (CODIGO DONACION)"</f>
        <v>DISPENSADOR DE AGUA SIST. DE FILTRADO K-WDLL15 (CODIGO DONACION)</v>
      </c>
      <c r="C8012" s="6">
        <v>440000</v>
      </c>
      <c r="D8012" s="5" t="s">
        <v>476</v>
      </c>
      <c r="E8012" s="5" t="str">
        <f t="shared" si="393"/>
        <v>URGENCIAS ADULTO-Jenny Peña</v>
      </c>
      <c r="F8012" s="5"/>
      <c r="G8012" s="5"/>
    </row>
    <row r="8013" spans="1:7" ht="58.5" customHeight="1" x14ac:dyDescent="0.25">
      <c r="A8013" s="5" t="str">
        <f>"H0031747"</f>
        <v>H0031747</v>
      </c>
      <c r="B8013" s="5" t="str">
        <f>"VENTILADOR ALTEZZA (CODIGO DONACION)"</f>
        <v>VENTILADOR ALTEZZA (CODIGO DONACION)</v>
      </c>
      <c r="C8013" s="6">
        <v>100000</v>
      </c>
      <c r="D8013" s="5" t="s">
        <v>476</v>
      </c>
      <c r="E8013" s="5" t="str">
        <f t="shared" si="393"/>
        <v>URGENCIAS ADULTO-Jenny Peña</v>
      </c>
      <c r="F8013" s="5"/>
      <c r="G8013" s="5"/>
    </row>
    <row r="8014" spans="1:7" ht="58.5" customHeight="1" x14ac:dyDescent="0.25">
      <c r="A8014" s="5" t="str">
        <f>"H0031748"</f>
        <v>H0031748</v>
      </c>
      <c r="B8014" s="5" t="str">
        <f>"VENTILADOR ALTEZZA (CODIGO DONACION)"</f>
        <v>VENTILADOR ALTEZZA (CODIGO DONACION)</v>
      </c>
      <c r="C8014" s="6">
        <v>100000</v>
      </c>
      <c r="D8014" s="5" t="s">
        <v>476</v>
      </c>
      <c r="E8014" s="5" t="str">
        <f t="shared" si="393"/>
        <v>URGENCIAS ADULTO-Jenny Peña</v>
      </c>
      <c r="F8014" s="5"/>
      <c r="G8014" s="5"/>
    </row>
    <row r="8015" spans="1:7" ht="58.5" customHeight="1" x14ac:dyDescent="0.25">
      <c r="A8015" s="5" t="str">
        <f>"H0031749"</f>
        <v>H0031749</v>
      </c>
      <c r="B8015" s="5" t="str">
        <f>"SOFA SENCILLO DE 2 PUESTOS EN PRANA MED 1.6X1.7 (CODIGO DONACION)"</f>
        <v>SOFA SENCILLO DE 2 PUESTOS EN PRANA MED 1.6X1.7 (CODIGO DONACION)</v>
      </c>
      <c r="C8015" s="6">
        <v>1400000</v>
      </c>
      <c r="D8015" s="5" t="s">
        <v>476</v>
      </c>
      <c r="E8015" s="5" t="str">
        <f t="shared" si="393"/>
        <v>URGENCIAS ADULTO-Jenny Peña</v>
      </c>
      <c r="F8015" s="5"/>
      <c r="G8015" s="5"/>
    </row>
    <row r="8016" spans="1:7" ht="58.5" customHeight="1" x14ac:dyDescent="0.25">
      <c r="A8016" s="5" t="str">
        <f>"H0031785"</f>
        <v>H0031785</v>
      </c>
      <c r="B8016" s="5" t="str">
        <f>"CARPA PRIMERA DONACION OPS"</f>
        <v>CARPA PRIMERA DONACION OPS</v>
      </c>
      <c r="C8016" s="6">
        <v>60000</v>
      </c>
      <c r="D8016" s="5" t="s">
        <v>477</v>
      </c>
      <c r="E8016" s="5" t="str">
        <f t="shared" si="393"/>
        <v>URGENCIAS ADULTO-Jenny Peña</v>
      </c>
      <c r="F8016" s="5"/>
      <c r="G8016" s="5"/>
    </row>
    <row r="8017" spans="1:7" ht="58.5" customHeight="1" x14ac:dyDescent="0.25">
      <c r="A8017" s="5" t="str">
        <f>"H0031823"</f>
        <v>H0031823</v>
      </c>
      <c r="B8017" s="5" t="str">
        <f>"SILLA GIRATORIA SIN BRAZOS CON RODACHINES"</f>
        <v>SILLA GIRATORIA SIN BRAZOS CON RODACHINES</v>
      </c>
      <c r="C8017" s="6">
        <v>244999.56</v>
      </c>
      <c r="D8017" s="5" t="s">
        <v>43</v>
      </c>
      <c r="E8017" s="5" t="str">
        <f t="shared" si="393"/>
        <v>URGENCIAS ADULTO-Jenny Peña</v>
      </c>
      <c r="F8017" s="5"/>
      <c r="G8017" s="5"/>
    </row>
    <row r="8018" spans="1:7" ht="58.5" customHeight="1" x14ac:dyDescent="0.25">
      <c r="A8018" s="5" t="str">
        <f>"H0031827"</f>
        <v>H0031827</v>
      </c>
      <c r="B8018" s="5" t="str">
        <f>"SILLA GIRATORIA SIN BRAZOS CON RODACHINES"</f>
        <v>SILLA GIRATORIA SIN BRAZOS CON RODACHINES</v>
      </c>
      <c r="C8018" s="6">
        <v>244999.56</v>
      </c>
      <c r="D8018" s="5" t="s">
        <v>43</v>
      </c>
      <c r="E8018" s="5" t="str">
        <f t="shared" si="393"/>
        <v>URGENCIAS ADULTO-Jenny Peña</v>
      </c>
      <c r="F8018" s="5"/>
      <c r="G8018" s="5"/>
    </row>
    <row r="8019" spans="1:7" ht="58.5" customHeight="1" x14ac:dyDescent="0.25">
      <c r="A8019" s="5" t="str">
        <f>"H0031838"</f>
        <v>H0031838</v>
      </c>
      <c r="B8019" s="5" t="str">
        <f t="shared" ref="B8019:B8024" si="395">"BOMBA DE INFUSION"</f>
        <v>BOMBA DE INFUSION</v>
      </c>
      <c r="C8019" s="6">
        <v>2714300</v>
      </c>
      <c r="D8019" s="5" t="s">
        <v>320</v>
      </c>
      <c r="E8019" s="5" t="str">
        <f t="shared" si="393"/>
        <v>URGENCIAS ADULTO-Jenny Peña</v>
      </c>
      <c r="F8019" s="5"/>
      <c r="G8019" s="5"/>
    </row>
    <row r="8020" spans="1:7" ht="58.5" customHeight="1" x14ac:dyDescent="0.25">
      <c r="A8020" s="5" t="str">
        <f>"H0031841"</f>
        <v>H0031841</v>
      </c>
      <c r="B8020" s="5" t="str">
        <f t="shared" si="395"/>
        <v>BOMBA DE INFUSION</v>
      </c>
      <c r="C8020" s="6">
        <v>2714300</v>
      </c>
      <c r="D8020" s="5" t="s">
        <v>320</v>
      </c>
      <c r="E8020" s="5" t="str">
        <f t="shared" si="393"/>
        <v>URGENCIAS ADULTO-Jenny Peña</v>
      </c>
      <c r="F8020" s="5"/>
      <c r="G8020" s="5"/>
    </row>
    <row r="8021" spans="1:7" ht="58.5" customHeight="1" x14ac:dyDescent="0.25">
      <c r="A8021" s="5" t="str">
        <f>"H0031844"</f>
        <v>H0031844</v>
      </c>
      <c r="B8021" s="5" t="str">
        <f t="shared" si="395"/>
        <v>BOMBA DE INFUSION</v>
      </c>
      <c r="C8021" s="6">
        <v>2714300</v>
      </c>
      <c r="D8021" s="5" t="s">
        <v>320</v>
      </c>
      <c r="E8021" s="5" t="str">
        <f t="shared" si="393"/>
        <v>URGENCIAS ADULTO-Jenny Peña</v>
      </c>
      <c r="F8021" s="5"/>
      <c r="G8021" s="5"/>
    </row>
    <row r="8022" spans="1:7" ht="58.5" customHeight="1" x14ac:dyDescent="0.25">
      <c r="A8022" s="5" t="str">
        <f>"H0031848"</f>
        <v>H0031848</v>
      </c>
      <c r="B8022" s="5" t="str">
        <f t="shared" si="395"/>
        <v>BOMBA DE INFUSION</v>
      </c>
      <c r="C8022" s="6">
        <v>2714300</v>
      </c>
      <c r="D8022" s="5" t="s">
        <v>320</v>
      </c>
      <c r="E8022" s="5" t="str">
        <f t="shared" si="393"/>
        <v>URGENCIAS ADULTO-Jenny Peña</v>
      </c>
      <c r="F8022" s="5"/>
      <c r="G8022" s="5"/>
    </row>
    <row r="8023" spans="1:7" ht="58.5" customHeight="1" x14ac:dyDescent="0.25">
      <c r="A8023" s="5" t="str">
        <f>"H0031850"</f>
        <v>H0031850</v>
      </c>
      <c r="B8023" s="5" t="str">
        <f t="shared" si="395"/>
        <v>BOMBA DE INFUSION</v>
      </c>
      <c r="C8023" s="6">
        <v>2714300</v>
      </c>
      <c r="D8023" s="5" t="s">
        <v>320</v>
      </c>
      <c r="E8023" s="5" t="str">
        <f t="shared" si="393"/>
        <v>URGENCIAS ADULTO-Jenny Peña</v>
      </c>
      <c r="F8023" s="5"/>
      <c r="G8023" s="5"/>
    </row>
    <row r="8024" spans="1:7" ht="58.5" customHeight="1" x14ac:dyDescent="0.25">
      <c r="A8024" s="5" t="str">
        <f>"H0031851"</f>
        <v>H0031851</v>
      </c>
      <c r="B8024" s="5" t="str">
        <f t="shared" si="395"/>
        <v>BOMBA DE INFUSION</v>
      </c>
      <c r="C8024" s="6">
        <v>2714300</v>
      </c>
      <c r="D8024" s="5" t="s">
        <v>320</v>
      </c>
      <c r="E8024" s="5" t="str">
        <f t="shared" si="393"/>
        <v>URGENCIAS ADULTO-Jenny Peña</v>
      </c>
      <c r="F8024" s="5"/>
      <c r="G8024" s="5"/>
    </row>
    <row r="8025" spans="1:7" ht="58.5" customHeight="1" x14ac:dyDescent="0.25">
      <c r="A8025" s="5" t="str">
        <f>"H0031871"</f>
        <v>H0031871</v>
      </c>
      <c r="B8025" s="5" t="str">
        <f t="shared" ref="B8025:B8033" si="396">"SOPORTE PEDESTAL MONITOR"</f>
        <v>SOPORTE PEDESTAL MONITOR</v>
      </c>
      <c r="C8025" s="6">
        <v>1140020</v>
      </c>
      <c r="D8025" s="5" t="s">
        <v>320</v>
      </c>
      <c r="E8025" s="5" t="str">
        <f t="shared" si="393"/>
        <v>URGENCIAS ADULTO-Jenny Peña</v>
      </c>
      <c r="F8025" s="5"/>
      <c r="G8025" s="5"/>
    </row>
    <row r="8026" spans="1:7" ht="58.5" customHeight="1" x14ac:dyDescent="0.25">
      <c r="A8026" s="5" t="str">
        <f>"H0031872"</f>
        <v>H0031872</v>
      </c>
      <c r="B8026" s="5" t="str">
        <f t="shared" si="396"/>
        <v>SOPORTE PEDESTAL MONITOR</v>
      </c>
      <c r="C8026" s="6">
        <v>1140020</v>
      </c>
      <c r="D8026" s="5" t="s">
        <v>320</v>
      </c>
      <c r="E8026" s="5" t="str">
        <f t="shared" si="393"/>
        <v>URGENCIAS ADULTO-Jenny Peña</v>
      </c>
      <c r="F8026" s="5"/>
      <c r="G8026" s="5"/>
    </row>
    <row r="8027" spans="1:7" ht="58.5" customHeight="1" x14ac:dyDescent="0.25">
      <c r="A8027" s="5" t="str">
        <f>"H0031873"</f>
        <v>H0031873</v>
      </c>
      <c r="B8027" s="5" t="str">
        <f t="shared" si="396"/>
        <v>SOPORTE PEDESTAL MONITOR</v>
      </c>
      <c r="C8027" s="6">
        <v>1140020</v>
      </c>
      <c r="D8027" s="5" t="s">
        <v>320</v>
      </c>
      <c r="E8027" s="5" t="str">
        <f t="shared" si="393"/>
        <v>URGENCIAS ADULTO-Jenny Peña</v>
      </c>
      <c r="F8027" s="5"/>
      <c r="G8027" s="5"/>
    </row>
    <row r="8028" spans="1:7" ht="58.5" customHeight="1" x14ac:dyDescent="0.25">
      <c r="A8028" s="5" t="str">
        <f>"H0031874"</f>
        <v>H0031874</v>
      </c>
      <c r="B8028" s="5" t="str">
        <f t="shared" si="396"/>
        <v>SOPORTE PEDESTAL MONITOR</v>
      </c>
      <c r="C8028" s="6">
        <v>1140020</v>
      </c>
      <c r="D8028" s="5" t="s">
        <v>320</v>
      </c>
      <c r="E8028" s="5" t="str">
        <f t="shared" si="393"/>
        <v>URGENCIAS ADULTO-Jenny Peña</v>
      </c>
      <c r="F8028" s="5"/>
      <c r="G8028" s="5"/>
    </row>
    <row r="8029" spans="1:7" ht="58.5" customHeight="1" x14ac:dyDescent="0.25">
      <c r="A8029" s="5" t="str">
        <f>"H0031875"</f>
        <v>H0031875</v>
      </c>
      <c r="B8029" s="5" t="str">
        <f t="shared" si="396"/>
        <v>SOPORTE PEDESTAL MONITOR</v>
      </c>
      <c r="C8029" s="6">
        <v>1140020</v>
      </c>
      <c r="D8029" s="5" t="s">
        <v>320</v>
      </c>
      <c r="E8029" s="5" t="str">
        <f t="shared" si="393"/>
        <v>URGENCIAS ADULTO-Jenny Peña</v>
      </c>
      <c r="F8029" s="5"/>
      <c r="G8029" s="5"/>
    </row>
    <row r="8030" spans="1:7" ht="58.5" customHeight="1" x14ac:dyDescent="0.25">
      <c r="A8030" s="5" t="str">
        <f>"H0031876"</f>
        <v>H0031876</v>
      </c>
      <c r="B8030" s="5" t="str">
        <f t="shared" si="396"/>
        <v>SOPORTE PEDESTAL MONITOR</v>
      </c>
      <c r="C8030" s="6">
        <v>1140020</v>
      </c>
      <c r="D8030" s="5" t="s">
        <v>320</v>
      </c>
      <c r="E8030" s="5" t="str">
        <f t="shared" si="393"/>
        <v>URGENCIAS ADULTO-Jenny Peña</v>
      </c>
      <c r="F8030" s="5"/>
      <c r="G8030" s="5"/>
    </row>
    <row r="8031" spans="1:7" ht="58.5" customHeight="1" x14ac:dyDescent="0.25">
      <c r="A8031" s="5" t="str">
        <f>"H0031877"</f>
        <v>H0031877</v>
      </c>
      <c r="B8031" s="5" t="str">
        <f t="shared" si="396"/>
        <v>SOPORTE PEDESTAL MONITOR</v>
      </c>
      <c r="C8031" s="6">
        <v>1140020</v>
      </c>
      <c r="D8031" s="5" t="s">
        <v>320</v>
      </c>
      <c r="E8031" s="5" t="str">
        <f t="shared" si="393"/>
        <v>URGENCIAS ADULTO-Jenny Peña</v>
      </c>
      <c r="F8031" s="5"/>
      <c r="G8031" s="5"/>
    </row>
    <row r="8032" spans="1:7" ht="58.5" customHeight="1" x14ac:dyDescent="0.25">
      <c r="A8032" s="5" t="str">
        <f>"H0031878"</f>
        <v>H0031878</v>
      </c>
      <c r="B8032" s="5" t="str">
        <f t="shared" si="396"/>
        <v>SOPORTE PEDESTAL MONITOR</v>
      </c>
      <c r="C8032" s="6">
        <v>1140020</v>
      </c>
      <c r="D8032" s="5" t="s">
        <v>320</v>
      </c>
      <c r="E8032" s="5" t="str">
        <f t="shared" si="393"/>
        <v>URGENCIAS ADULTO-Jenny Peña</v>
      </c>
      <c r="F8032" s="5"/>
      <c r="G8032" s="5"/>
    </row>
    <row r="8033" spans="1:7" ht="58.5" customHeight="1" x14ac:dyDescent="0.25">
      <c r="A8033" s="5" t="str">
        <f>"H0031879"</f>
        <v>H0031879</v>
      </c>
      <c r="B8033" s="5" t="str">
        <f t="shared" si="396"/>
        <v>SOPORTE PEDESTAL MONITOR</v>
      </c>
      <c r="C8033" s="6">
        <v>1140020</v>
      </c>
      <c r="D8033" s="5" t="s">
        <v>320</v>
      </c>
      <c r="E8033" s="5" t="str">
        <f t="shared" si="393"/>
        <v>URGENCIAS ADULTO-Jenny Peña</v>
      </c>
      <c r="F8033" s="5"/>
      <c r="G8033" s="5"/>
    </row>
    <row r="8034" spans="1:7" ht="58.5" customHeight="1" x14ac:dyDescent="0.25">
      <c r="A8034" s="5" t="str">
        <f>"H0031899"</f>
        <v>H0031899</v>
      </c>
      <c r="B8034" s="5" t="str">
        <f>"TERMOMETRO LASER (CODIGO DONACION"</f>
        <v>TERMOMETRO LASER (CODIGO DONACION</v>
      </c>
      <c r="C8034" s="6">
        <v>390000</v>
      </c>
      <c r="D8034" s="5" t="s">
        <v>365</v>
      </c>
      <c r="E8034" s="5" t="str">
        <f t="shared" si="393"/>
        <v>URGENCIAS ADULTO-Jenny Peña</v>
      </c>
      <c r="F8034" s="5"/>
      <c r="G8034" s="5"/>
    </row>
    <row r="8035" spans="1:7" ht="58.5" customHeight="1" x14ac:dyDescent="0.25">
      <c r="A8035" s="5" t="str">
        <f>"H0031903"</f>
        <v>H0031903</v>
      </c>
      <c r="B8035" s="5" t="str">
        <f>"CARPA CON CORTINA (CODIGO DONACION)"</f>
        <v>CARPA CON CORTINA (CODIGO DONACION)</v>
      </c>
      <c r="C8035" s="6">
        <v>5000000</v>
      </c>
      <c r="D8035" s="5" t="s">
        <v>478</v>
      </c>
      <c r="E8035" s="5" t="str">
        <f t="shared" si="393"/>
        <v>URGENCIAS ADULTO-Jenny Peña</v>
      </c>
      <c r="F8035" s="5"/>
      <c r="G8035" s="5"/>
    </row>
    <row r="8036" spans="1:7" ht="58.5" customHeight="1" x14ac:dyDescent="0.25">
      <c r="A8036" s="5" t="str">
        <f>"H0031914"</f>
        <v>H0031914</v>
      </c>
      <c r="B8036" s="5" t="str">
        <f t="shared" ref="B8036:B8044" si="397">"VENTILADOR PEDESTAL SAMURAI (CODIGO DONACION)"</f>
        <v>VENTILADOR PEDESTAL SAMURAI (CODIGO DONACION)</v>
      </c>
      <c r="C8036" s="6">
        <v>134925</v>
      </c>
      <c r="D8036" s="5" t="s">
        <v>479</v>
      </c>
      <c r="E8036" s="5" t="str">
        <f t="shared" si="393"/>
        <v>URGENCIAS ADULTO-Jenny Peña</v>
      </c>
      <c r="F8036" s="5"/>
      <c r="G8036" s="5"/>
    </row>
    <row r="8037" spans="1:7" ht="58.5" customHeight="1" x14ac:dyDescent="0.25">
      <c r="A8037" s="5" t="str">
        <f>"H0031915"</f>
        <v>H0031915</v>
      </c>
      <c r="B8037" s="5" t="str">
        <f t="shared" si="397"/>
        <v>VENTILADOR PEDESTAL SAMURAI (CODIGO DONACION)</v>
      </c>
      <c r="C8037" s="6">
        <v>134925</v>
      </c>
      <c r="D8037" s="5" t="s">
        <v>479</v>
      </c>
      <c r="E8037" s="5" t="str">
        <f t="shared" ref="E8037:E8100" si="398">"URGENCIAS ADULTO-Jenny Peña"</f>
        <v>URGENCIAS ADULTO-Jenny Peña</v>
      </c>
      <c r="F8037" s="5"/>
      <c r="G8037" s="5"/>
    </row>
    <row r="8038" spans="1:7" ht="58.5" customHeight="1" x14ac:dyDescent="0.25">
      <c r="A8038" s="5" t="str">
        <f>"H0031916"</f>
        <v>H0031916</v>
      </c>
      <c r="B8038" s="5" t="str">
        <f t="shared" si="397"/>
        <v>VENTILADOR PEDESTAL SAMURAI (CODIGO DONACION)</v>
      </c>
      <c r="C8038" s="6">
        <v>134925</v>
      </c>
      <c r="D8038" s="5" t="s">
        <v>479</v>
      </c>
      <c r="E8038" s="5" t="str">
        <f t="shared" si="398"/>
        <v>URGENCIAS ADULTO-Jenny Peña</v>
      </c>
      <c r="F8038" s="5"/>
      <c r="G8038" s="5"/>
    </row>
    <row r="8039" spans="1:7" ht="58.5" customHeight="1" x14ac:dyDescent="0.25">
      <c r="A8039" s="5" t="str">
        <f>"H0031917"</f>
        <v>H0031917</v>
      </c>
      <c r="B8039" s="5" t="str">
        <f t="shared" si="397"/>
        <v>VENTILADOR PEDESTAL SAMURAI (CODIGO DONACION)</v>
      </c>
      <c r="C8039" s="6">
        <v>134925</v>
      </c>
      <c r="D8039" s="5" t="s">
        <v>479</v>
      </c>
      <c r="E8039" s="5" t="str">
        <f t="shared" si="398"/>
        <v>URGENCIAS ADULTO-Jenny Peña</v>
      </c>
      <c r="F8039" s="5"/>
      <c r="G8039" s="5"/>
    </row>
    <row r="8040" spans="1:7" ht="58.5" customHeight="1" x14ac:dyDescent="0.25">
      <c r="A8040" s="5" t="str">
        <f>"H0031919"</f>
        <v>H0031919</v>
      </c>
      <c r="B8040" s="5" t="str">
        <f t="shared" si="397"/>
        <v>VENTILADOR PEDESTAL SAMURAI (CODIGO DONACION)</v>
      </c>
      <c r="C8040" s="6">
        <v>134925</v>
      </c>
      <c r="D8040" s="5" t="s">
        <v>479</v>
      </c>
      <c r="E8040" s="5" t="str">
        <f t="shared" si="398"/>
        <v>URGENCIAS ADULTO-Jenny Peña</v>
      </c>
      <c r="F8040" s="5"/>
      <c r="G8040" s="5"/>
    </row>
    <row r="8041" spans="1:7" ht="58.5" customHeight="1" x14ac:dyDescent="0.25">
      <c r="A8041" s="5" t="str">
        <f>"H0031920"</f>
        <v>H0031920</v>
      </c>
      <c r="B8041" s="5" t="str">
        <f t="shared" si="397"/>
        <v>VENTILADOR PEDESTAL SAMURAI (CODIGO DONACION)</v>
      </c>
      <c r="C8041" s="6">
        <v>134925</v>
      </c>
      <c r="D8041" s="5" t="s">
        <v>479</v>
      </c>
      <c r="E8041" s="5" t="str">
        <f t="shared" si="398"/>
        <v>URGENCIAS ADULTO-Jenny Peña</v>
      </c>
      <c r="F8041" s="5"/>
      <c r="G8041" s="5"/>
    </row>
    <row r="8042" spans="1:7" ht="58.5" customHeight="1" x14ac:dyDescent="0.25">
      <c r="A8042" s="5" t="str">
        <f>"H0031921"</f>
        <v>H0031921</v>
      </c>
      <c r="B8042" s="5" t="str">
        <f t="shared" si="397"/>
        <v>VENTILADOR PEDESTAL SAMURAI (CODIGO DONACION)</v>
      </c>
      <c r="C8042" s="6">
        <v>134925</v>
      </c>
      <c r="D8042" s="5" t="s">
        <v>479</v>
      </c>
      <c r="E8042" s="5" t="str">
        <f t="shared" si="398"/>
        <v>URGENCIAS ADULTO-Jenny Peña</v>
      </c>
      <c r="F8042" s="5"/>
      <c r="G8042" s="5"/>
    </row>
    <row r="8043" spans="1:7" ht="58.5" customHeight="1" x14ac:dyDescent="0.25">
      <c r="A8043" s="5" t="str">
        <f>"H0031922"</f>
        <v>H0031922</v>
      </c>
      <c r="B8043" s="5" t="str">
        <f t="shared" si="397"/>
        <v>VENTILADOR PEDESTAL SAMURAI (CODIGO DONACION)</v>
      </c>
      <c r="C8043" s="6">
        <v>134925</v>
      </c>
      <c r="D8043" s="5" t="s">
        <v>479</v>
      </c>
      <c r="E8043" s="5" t="str">
        <f t="shared" si="398"/>
        <v>URGENCIAS ADULTO-Jenny Peña</v>
      </c>
      <c r="F8043" s="5"/>
      <c r="G8043" s="5"/>
    </row>
    <row r="8044" spans="1:7" ht="58.5" customHeight="1" x14ac:dyDescent="0.25">
      <c r="A8044" s="5" t="str">
        <f>"H0031923"</f>
        <v>H0031923</v>
      </c>
      <c r="B8044" s="5" t="str">
        <f t="shared" si="397"/>
        <v>VENTILADOR PEDESTAL SAMURAI (CODIGO DONACION)</v>
      </c>
      <c r="C8044" s="6">
        <v>134925</v>
      </c>
      <c r="D8044" s="5" t="s">
        <v>479</v>
      </c>
      <c r="E8044" s="5" t="str">
        <f t="shared" si="398"/>
        <v>URGENCIAS ADULTO-Jenny Peña</v>
      </c>
      <c r="F8044" s="5"/>
      <c r="G8044" s="5"/>
    </row>
    <row r="8045" spans="1:7" ht="58.5" customHeight="1" x14ac:dyDescent="0.25">
      <c r="A8045" s="5" t="str">
        <f>"H0031924"</f>
        <v>H0031924</v>
      </c>
      <c r="B8045" s="5" t="str">
        <f>"Equipos de aire acondicionado PED de 1.600 CFM con FML del 30% presión estática 0.75"</f>
        <v>Equipos de aire acondicionado PED de 1.600 CFM con FML del 30% presión estática 0.75</v>
      </c>
      <c r="C8045" s="6">
        <v>9377200</v>
      </c>
      <c r="D8045" s="5" t="s">
        <v>479</v>
      </c>
      <c r="E8045" s="5" t="str">
        <f t="shared" si="398"/>
        <v>URGENCIAS ADULTO-Jenny Peña</v>
      </c>
      <c r="F8045" s="5"/>
      <c r="G8045" s="5" t="str">
        <f>"FCD-410-048V"</f>
        <v>FCD-410-048V</v>
      </c>
    </row>
    <row r="8046" spans="1:7" ht="58.5" customHeight="1" x14ac:dyDescent="0.25">
      <c r="A8046" s="5" t="str">
        <f>"H0031925"</f>
        <v>H0031925</v>
      </c>
      <c r="B8046" s="5" t="str">
        <f>"Equipos de aire acondicionado PED de 1.600 CFM con FML del 30% presión estática 0.75"</f>
        <v>Equipos de aire acondicionado PED de 1.600 CFM con FML del 30% presión estática 0.75</v>
      </c>
      <c r="C8046" s="6">
        <v>9377200</v>
      </c>
      <c r="D8046" s="5" t="s">
        <v>479</v>
      </c>
      <c r="E8046" s="5" t="str">
        <f t="shared" si="398"/>
        <v>URGENCIAS ADULTO-Jenny Peña</v>
      </c>
      <c r="F8046" s="5"/>
      <c r="G8046" s="5" t="str">
        <f>"FCD410-048V"</f>
        <v>FCD410-048V</v>
      </c>
    </row>
    <row r="8047" spans="1:7" ht="58.5" customHeight="1" x14ac:dyDescent="0.25">
      <c r="A8047" s="5" t="str">
        <f>"H0031926"</f>
        <v>H0031926</v>
      </c>
      <c r="B8047" s="5" t="str">
        <f>"Unidad de extracción centrífuga de alta presión 3.200 CFM TECAM  con Prefiltro del 30% presión estática 2,4"</f>
        <v>Unidad de extracción centrífuga de alta presión 3.200 CFM TECAM  con Prefiltro del 30% presión estática 2,4</v>
      </c>
      <c r="C8047" s="6">
        <v>6307000</v>
      </c>
      <c r="D8047" s="5" t="s">
        <v>479</v>
      </c>
      <c r="E8047" s="5" t="str">
        <f t="shared" si="398"/>
        <v>URGENCIAS ADULTO-Jenny Peña</v>
      </c>
      <c r="F8047" s="5"/>
      <c r="G8047" s="5" t="str">
        <f>"4FSM330036"</f>
        <v>4FSM330036</v>
      </c>
    </row>
    <row r="8048" spans="1:7" ht="58.5" customHeight="1" x14ac:dyDescent="0.25">
      <c r="A8048" s="5" t="str">
        <f>"H0031927"</f>
        <v>H0031927</v>
      </c>
      <c r="B8048" s="5" t="str">
        <f>"Unidad de extracción centrífuga de alta presión 3.200 CFM TECAM  con Prefiltro del 30% presión estática 2,4"</f>
        <v>Unidad de extracción centrífuga de alta presión 3.200 CFM TECAM  con Prefiltro del 30% presión estática 2,4</v>
      </c>
      <c r="C8048" s="6">
        <v>6307000</v>
      </c>
      <c r="D8048" s="5" t="s">
        <v>479</v>
      </c>
      <c r="E8048" s="5" t="str">
        <f t="shared" si="398"/>
        <v>URGENCIAS ADULTO-Jenny Peña</v>
      </c>
      <c r="F8048" s="5"/>
      <c r="G8048" s="5" t="str">
        <f>"4FSM330036"</f>
        <v>4FSM330036</v>
      </c>
    </row>
    <row r="8049" spans="1:7" ht="58.5" customHeight="1" x14ac:dyDescent="0.25">
      <c r="A8049" s="5" t="str">
        <f>"H0031928"</f>
        <v>H0031928</v>
      </c>
      <c r="B8049" s="5" t="str">
        <f t="shared" ref="B8049:B8059" si="399">"BOMBA DE INFUSION"</f>
        <v>BOMBA DE INFUSION</v>
      </c>
      <c r="C8049" s="6">
        <v>1900000</v>
      </c>
      <c r="D8049" s="5" t="s">
        <v>107</v>
      </c>
      <c r="E8049" s="5" t="str">
        <f t="shared" si="398"/>
        <v>URGENCIAS ADULTO-Jenny Peña</v>
      </c>
      <c r="F8049" s="5"/>
      <c r="G8049" s="5"/>
    </row>
    <row r="8050" spans="1:7" ht="58.5" customHeight="1" x14ac:dyDescent="0.25">
      <c r="A8050" s="5" t="str">
        <f>"H0031929"</f>
        <v>H0031929</v>
      </c>
      <c r="B8050" s="5" t="str">
        <f t="shared" si="399"/>
        <v>BOMBA DE INFUSION</v>
      </c>
      <c r="C8050" s="6">
        <v>1900000</v>
      </c>
      <c r="D8050" s="5" t="s">
        <v>107</v>
      </c>
      <c r="E8050" s="5" t="str">
        <f t="shared" si="398"/>
        <v>URGENCIAS ADULTO-Jenny Peña</v>
      </c>
      <c r="F8050" s="5"/>
      <c r="G8050" s="5"/>
    </row>
    <row r="8051" spans="1:7" ht="58.5" customHeight="1" x14ac:dyDescent="0.25">
      <c r="A8051" s="5" t="str">
        <f>"H0031930"</f>
        <v>H0031930</v>
      </c>
      <c r="B8051" s="5" t="str">
        <f t="shared" si="399"/>
        <v>BOMBA DE INFUSION</v>
      </c>
      <c r="C8051" s="6">
        <v>1900000</v>
      </c>
      <c r="D8051" s="5" t="s">
        <v>107</v>
      </c>
      <c r="E8051" s="5" t="str">
        <f t="shared" si="398"/>
        <v>URGENCIAS ADULTO-Jenny Peña</v>
      </c>
      <c r="F8051" s="5"/>
      <c r="G8051" s="5"/>
    </row>
    <row r="8052" spans="1:7" ht="58.5" customHeight="1" x14ac:dyDescent="0.25">
      <c r="A8052" s="5" t="str">
        <f>"H0031932"</f>
        <v>H0031932</v>
      </c>
      <c r="B8052" s="5" t="str">
        <f t="shared" si="399"/>
        <v>BOMBA DE INFUSION</v>
      </c>
      <c r="C8052" s="6">
        <v>1900000</v>
      </c>
      <c r="D8052" s="5" t="s">
        <v>107</v>
      </c>
      <c r="E8052" s="5" t="str">
        <f t="shared" si="398"/>
        <v>URGENCIAS ADULTO-Jenny Peña</v>
      </c>
      <c r="F8052" s="5"/>
      <c r="G8052" s="5"/>
    </row>
    <row r="8053" spans="1:7" ht="58.5" customHeight="1" x14ac:dyDescent="0.25">
      <c r="A8053" s="5" t="str">
        <f>"H0031937"</f>
        <v>H0031937</v>
      </c>
      <c r="B8053" s="5" t="str">
        <f t="shared" si="399"/>
        <v>BOMBA DE INFUSION</v>
      </c>
      <c r="C8053" s="6">
        <v>1900000</v>
      </c>
      <c r="D8053" s="5" t="s">
        <v>107</v>
      </c>
      <c r="E8053" s="5" t="str">
        <f t="shared" si="398"/>
        <v>URGENCIAS ADULTO-Jenny Peña</v>
      </c>
      <c r="F8053" s="5"/>
      <c r="G8053" s="5"/>
    </row>
    <row r="8054" spans="1:7" ht="58.5" customHeight="1" x14ac:dyDescent="0.25">
      <c r="A8054" s="5" t="str">
        <f>"H0031949"</f>
        <v>H0031949</v>
      </c>
      <c r="B8054" s="5" t="str">
        <f t="shared" si="399"/>
        <v>BOMBA DE INFUSION</v>
      </c>
      <c r="C8054" s="6">
        <v>1900000</v>
      </c>
      <c r="D8054" s="5" t="s">
        <v>107</v>
      </c>
      <c r="E8054" s="5" t="str">
        <f t="shared" si="398"/>
        <v>URGENCIAS ADULTO-Jenny Peña</v>
      </c>
      <c r="F8054" s="5"/>
      <c r="G8054" s="5"/>
    </row>
    <row r="8055" spans="1:7" ht="58.5" customHeight="1" x14ac:dyDescent="0.25">
      <c r="A8055" s="5" t="str">
        <f>"H0031950"</f>
        <v>H0031950</v>
      </c>
      <c r="B8055" s="5" t="str">
        <f t="shared" si="399"/>
        <v>BOMBA DE INFUSION</v>
      </c>
      <c r="C8055" s="6">
        <v>1900000</v>
      </c>
      <c r="D8055" s="5" t="s">
        <v>107</v>
      </c>
      <c r="E8055" s="5" t="str">
        <f t="shared" si="398"/>
        <v>URGENCIAS ADULTO-Jenny Peña</v>
      </c>
      <c r="F8055" s="5"/>
      <c r="G8055" s="5"/>
    </row>
    <row r="8056" spans="1:7" ht="58.5" customHeight="1" x14ac:dyDescent="0.25">
      <c r="A8056" s="5" t="str">
        <f>"H0031954"</f>
        <v>H0031954</v>
      </c>
      <c r="B8056" s="5" t="str">
        <f t="shared" si="399"/>
        <v>BOMBA DE INFUSION</v>
      </c>
      <c r="C8056" s="6">
        <v>1900000</v>
      </c>
      <c r="D8056" s="5" t="s">
        <v>107</v>
      </c>
      <c r="E8056" s="5" t="str">
        <f t="shared" si="398"/>
        <v>URGENCIAS ADULTO-Jenny Peña</v>
      </c>
      <c r="F8056" s="5"/>
      <c r="G8056" s="5"/>
    </row>
    <row r="8057" spans="1:7" ht="58.5" customHeight="1" x14ac:dyDescent="0.25">
      <c r="A8057" s="5" t="str">
        <f>"H0031956"</f>
        <v>H0031956</v>
      </c>
      <c r="B8057" s="5" t="str">
        <f t="shared" si="399"/>
        <v>BOMBA DE INFUSION</v>
      </c>
      <c r="C8057" s="6">
        <v>1900000</v>
      </c>
      <c r="D8057" s="5" t="s">
        <v>107</v>
      </c>
      <c r="E8057" s="5" t="str">
        <f t="shared" si="398"/>
        <v>URGENCIAS ADULTO-Jenny Peña</v>
      </c>
      <c r="F8057" s="5"/>
      <c r="G8057" s="5"/>
    </row>
    <row r="8058" spans="1:7" ht="58.5" customHeight="1" x14ac:dyDescent="0.25">
      <c r="A8058" s="5" t="str">
        <f>"H0031966"</f>
        <v>H0031966</v>
      </c>
      <c r="B8058" s="5" t="str">
        <f t="shared" si="399"/>
        <v>BOMBA DE INFUSION</v>
      </c>
      <c r="C8058" s="6">
        <v>1900000</v>
      </c>
      <c r="D8058" s="5" t="s">
        <v>107</v>
      </c>
      <c r="E8058" s="5" t="str">
        <f t="shared" si="398"/>
        <v>URGENCIAS ADULTO-Jenny Peña</v>
      </c>
      <c r="F8058" s="5"/>
      <c r="G8058" s="5"/>
    </row>
    <row r="8059" spans="1:7" ht="58.5" customHeight="1" x14ac:dyDescent="0.25">
      <c r="A8059" s="5" t="str">
        <f>"H0031973"</f>
        <v>H0031973</v>
      </c>
      <c r="B8059" s="5" t="str">
        <f t="shared" si="399"/>
        <v>BOMBA DE INFUSION</v>
      </c>
      <c r="C8059" s="6">
        <v>1900000</v>
      </c>
      <c r="D8059" s="5" t="s">
        <v>107</v>
      </c>
      <c r="E8059" s="5" t="str">
        <f t="shared" si="398"/>
        <v>URGENCIAS ADULTO-Jenny Peña</v>
      </c>
      <c r="F8059" s="5"/>
      <c r="G8059" s="5"/>
    </row>
    <row r="8060" spans="1:7" ht="58.5" customHeight="1" x14ac:dyDescent="0.25">
      <c r="A8060" s="5" t="str">
        <f>"H0031994"</f>
        <v>H0031994</v>
      </c>
      <c r="B8060" s="5" t="str">
        <f>"DISPENSADOR DE AGUA (Donación )"</f>
        <v>DISPENSADOR DE AGUA (Donación )</v>
      </c>
      <c r="C8060" s="6">
        <v>1150000</v>
      </c>
      <c r="D8060" s="5" t="s">
        <v>480</v>
      </c>
      <c r="E8060" s="5" t="str">
        <f t="shared" si="398"/>
        <v>URGENCIAS ADULTO-Jenny Peña</v>
      </c>
      <c r="F8060" s="5"/>
      <c r="G8060" s="5"/>
    </row>
    <row r="8061" spans="1:7" ht="58.5" customHeight="1" x14ac:dyDescent="0.25">
      <c r="A8061" s="5" t="str">
        <f>"H0032003"</f>
        <v>H0032003</v>
      </c>
      <c r="B8061" s="5" t="str">
        <f>"CARRO DE TRANSPORTE PARA INSTRUMENTAL ESTERIL RODABLE EN PLASTICO 103*50*98"</f>
        <v>CARRO DE TRANSPORTE PARA INSTRUMENTAL ESTERIL RODABLE EN PLASTICO 103*50*98</v>
      </c>
      <c r="C8061" s="6">
        <v>685797</v>
      </c>
      <c r="D8061" s="5" t="s">
        <v>109</v>
      </c>
      <c r="E8061" s="5" t="str">
        <f t="shared" si="398"/>
        <v>URGENCIAS ADULTO-Jenny Peña</v>
      </c>
      <c r="F8061" s="5"/>
      <c r="G8061" s="5"/>
    </row>
    <row r="8062" spans="1:7" ht="58.5" customHeight="1" x14ac:dyDescent="0.25">
      <c r="A8062" s="5" t="str">
        <f>"H0032004"</f>
        <v>H0032004</v>
      </c>
      <c r="B8062" s="5" t="str">
        <f>"CARRO DE TRANSPORTE PARA INSTRUMENTAL ESTERIL RODABLE EN PLASTICO 103*50*98"</f>
        <v>CARRO DE TRANSPORTE PARA INSTRUMENTAL ESTERIL RODABLE EN PLASTICO 103*50*98</v>
      </c>
      <c r="C8062" s="6">
        <v>685797</v>
      </c>
      <c r="D8062" s="5" t="s">
        <v>109</v>
      </c>
      <c r="E8062" s="5" t="str">
        <f t="shared" si="398"/>
        <v>URGENCIAS ADULTO-Jenny Peña</v>
      </c>
      <c r="F8062" s="5"/>
      <c r="G8062" s="5"/>
    </row>
    <row r="8063" spans="1:7" ht="58.5" customHeight="1" x14ac:dyDescent="0.25">
      <c r="A8063" s="5" t="str">
        <f>"H0032017"</f>
        <v>H0032017</v>
      </c>
      <c r="B8063" s="5" t="str">
        <f>"CUBETA EN ACERO INOXIDABLE SIN TAPA PARA EQUIPO DE RAQUIDEA 23*12 C20"</f>
        <v>CUBETA EN ACERO INOXIDABLE SIN TAPA PARA EQUIPO DE RAQUIDEA 23*12 C20</v>
      </c>
      <c r="C8063" s="6">
        <v>23562</v>
      </c>
      <c r="D8063" s="5" t="s">
        <v>109</v>
      </c>
      <c r="E8063" s="5" t="str">
        <f t="shared" si="398"/>
        <v>URGENCIAS ADULTO-Jenny Peña</v>
      </c>
      <c r="F8063" s="5"/>
      <c r="G8063" s="5"/>
    </row>
    <row r="8064" spans="1:7" ht="58.5" customHeight="1" x14ac:dyDescent="0.25">
      <c r="A8064" s="5" t="str">
        <f>"H0032026"</f>
        <v>H0032026</v>
      </c>
      <c r="B8064" s="5" t="str">
        <f>"CUBETA EN ACERO INOXIDABLE SIN TAPA PARA EQUIPO DE RAQUIDEA 23*12 C20"</f>
        <v>CUBETA EN ACERO INOXIDABLE SIN TAPA PARA EQUIPO DE RAQUIDEA 23*12 C20</v>
      </c>
      <c r="C8064" s="6">
        <v>23562</v>
      </c>
      <c r="D8064" s="5" t="s">
        <v>109</v>
      </c>
      <c r="E8064" s="5" t="str">
        <f t="shared" si="398"/>
        <v>URGENCIAS ADULTO-Jenny Peña</v>
      </c>
      <c r="F8064" s="5"/>
      <c r="G8064" s="5"/>
    </row>
    <row r="8065" spans="1:7" ht="58.5" customHeight="1" x14ac:dyDescent="0.25">
      <c r="A8065" s="5" t="str">
        <f>"H0032036"</f>
        <v>H0032036</v>
      </c>
      <c r="B8065" s="5" t="str">
        <f>"CUBETA EN ACERO INOXIDABLE SIN TAPA PARA EQUIPO DE RAQUIDEA 23*12 C20"</f>
        <v>CUBETA EN ACERO INOXIDABLE SIN TAPA PARA EQUIPO DE RAQUIDEA 23*12 C20</v>
      </c>
      <c r="C8065" s="6">
        <v>23562</v>
      </c>
      <c r="D8065" s="5" t="s">
        <v>109</v>
      </c>
      <c r="E8065" s="5" t="str">
        <f t="shared" si="398"/>
        <v>URGENCIAS ADULTO-Jenny Peña</v>
      </c>
      <c r="F8065" s="5"/>
      <c r="G8065" s="5"/>
    </row>
    <row r="8066" spans="1:7" ht="58.5" customHeight="1" x14ac:dyDescent="0.25">
      <c r="A8066" s="5" t="str">
        <f>"H0032040"</f>
        <v>H0032040</v>
      </c>
      <c r="B8066" s="5" t="str">
        <f>"CUBETA EN ACERO INOXIDABLE SIN TAPA PARA EQUIPO DE RAQUIDEA 23*12 C20"</f>
        <v>CUBETA EN ACERO INOXIDABLE SIN TAPA PARA EQUIPO DE RAQUIDEA 23*12 C20</v>
      </c>
      <c r="C8066" s="6">
        <v>23562</v>
      </c>
      <c r="D8066" s="5" t="s">
        <v>109</v>
      </c>
      <c r="E8066" s="5" t="str">
        <f t="shared" si="398"/>
        <v>URGENCIAS ADULTO-Jenny Peña</v>
      </c>
      <c r="F8066" s="5"/>
      <c r="G8066" s="5"/>
    </row>
    <row r="8067" spans="1:7" ht="58.5" customHeight="1" x14ac:dyDescent="0.25">
      <c r="A8067" s="5" t="str">
        <f>"H0032047"</f>
        <v>H0032047</v>
      </c>
      <c r="B8067" s="5" t="str">
        <f t="shared" ref="B8067:B8075" si="400">"SUCCIONADOR (ASPIRADOR) DE FLUIDOS QUIRURGICO"</f>
        <v>SUCCIONADOR (ASPIRADOR) DE FLUIDOS QUIRURGICO</v>
      </c>
      <c r="C8067" s="6">
        <v>1329000</v>
      </c>
      <c r="D8067" s="5" t="s">
        <v>322</v>
      </c>
      <c r="E8067" s="5" t="str">
        <f t="shared" si="398"/>
        <v>URGENCIAS ADULTO-Jenny Peña</v>
      </c>
      <c r="F8067" s="5"/>
      <c r="G8067" s="5" t="str">
        <f>"7A3B"</f>
        <v>7A3B</v>
      </c>
    </row>
    <row r="8068" spans="1:7" ht="58.5" customHeight="1" x14ac:dyDescent="0.25">
      <c r="A8068" s="5" t="str">
        <f>"H0032048"</f>
        <v>H0032048</v>
      </c>
      <c r="B8068" s="5" t="str">
        <f t="shared" si="400"/>
        <v>SUCCIONADOR (ASPIRADOR) DE FLUIDOS QUIRURGICO</v>
      </c>
      <c r="C8068" s="6">
        <v>1329000</v>
      </c>
      <c r="D8068" s="5" t="s">
        <v>322</v>
      </c>
      <c r="E8068" s="5" t="str">
        <f t="shared" si="398"/>
        <v>URGENCIAS ADULTO-Jenny Peña</v>
      </c>
      <c r="F8068" s="5"/>
      <c r="G8068" s="5" t="str">
        <f>"PULMO MED"</f>
        <v>PULMO MED</v>
      </c>
    </row>
    <row r="8069" spans="1:7" ht="58.5" customHeight="1" x14ac:dyDescent="0.25">
      <c r="A8069" s="5" t="str">
        <f>"H0032049"</f>
        <v>H0032049</v>
      </c>
      <c r="B8069" s="5" t="str">
        <f t="shared" si="400"/>
        <v>SUCCIONADOR (ASPIRADOR) DE FLUIDOS QUIRURGICO</v>
      </c>
      <c r="C8069" s="6">
        <v>1329000</v>
      </c>
      <c r="D8069" s="5" t="s">
        <v>322</v>
      </c>
      <c r="E8069" s="5" t="str">
        <f t="shared" si="398"/>
        <v>URGENCIAS ADULTO-Jenny Peña</v>
      </c>
      <c r="F8069" s="5"/>
      <c r="G8069" s="5" t="str">
        <f t="shared" ref="G8069:G8075" si="401">"7A3B"</f>
        <v>7A3B</v>
      </c>
    </row>
    <row r="8070" spans="1:7" ht="58.5" customHeight="1" x14ac:dyDescent="0.25">
      <c r="A8070" s="5" t="str">
        <f>"H0032050"</f>
        <v>H0032050</v>
      </c>
      <c r="B8070" s="5" t="str">
        <f t="shared" si="400"/>
        <v>SUCCIONADOR (ASPIRADOR) DE FLUIDOS QUIRURGICO</v>
      </c>
      <c r="C8070" s="6">
        <v>1329000</v>
      </c>
      <c r="D8070" s="5" t="s">
        <v>322</v>
      </c>
      <c r="E8070" s="5" t="str">
        <f t="shared" si="398"/>
        <v>URGENCIAS ADULTO-Jenny Peña</v>
      </c>
      <c r="F8070" s="5"/>
      <c r="G8070" s="5" t="str">
        <f t="shared" si="401"/>
        <v>7A3B</v>
      </c>
    </row>
    <row r="8071" spans="1:7" ht="58.5" customHeight="1" x14ac:dyDescent="0.25">
      <c r="A8071" s="5" t="str">
        <f>"H0032051"</f>
        <v>H0032051</v>
      </c>
      <c r="B8071" s="5" t="str">
        <f t="shared" si="400"/>
        <v>SUCCIONADOR (ASPIRADOR) DE FLUIDOS QUIRURGICO</v>
      </c>
      <c r="C8071" s="6">
        <v>1329000</v>
      </c>
      <c r="D8071" s="5" t="s">
        <v>322</v>
      </c>
      <c r="E8071" s="5" t="str">
        <f t="shared" si="398"/>
        <v>URGENCIAS ADULTO-Jenny Peña</v>
      </c>
      <c r="F8071" s="5"/>
      <c r="G8071" s="5" t="str">
        <f t="shared" si="401"/>
        <v>7A3B</v>
      </c>
    </row>
    <row r="8072" spans="1:7" ht="58.5" customHeight="1" x14ac:dyDescent="0.25">
      <c r="A8072" s="5" t="str">
        <f>"H0032052"</f>
        <v>H0032052</v>
      </c>
      <c r="B8072" s="5" t="str">
        <f t="shared" si="400"/>
        <v>SUCCIONADOR (ASPIRADOR) DE FLUIDOS QUIRURGICO</v>
      </c>
      <c r="C8072" s="6">
        <v>1329000</v>
      </c>
      <c r="D8072" s="5" t="s">
        <v>322</v>
      </c>
      <c r="E8072" s="5" t="str">
        <f t="shared" si="398"/>
        <v>URGENCIAS ADULTO-Jenny Peña</v>
      </c>
      <c r="F8072" s="5"/>
      <c r="G8072" s="5" t="str">
        <f t="shared" si="401"/>
        <v>7A3B</v>
      </c>
    </row>
    <row r="8073" spans="1:7" ht="58.5" customHeight="1" x14ac:dyDescent="0.25">
      <c r="A8073" s="5" t="str">
        <f>"H0032053"</f>
        <v>H0032053</v>
      </c>
      <c r="B8073" s="5" t="str">
        <f t="shared" si="400"/>
        <v>SUCCIONADOR (ASPIRADOR) DE FLUIDOS QUIRURGICO</v>
      </c>
      <c r="C8073" s="6">
        <v>1329000</v>
      </c>
      <c r="D8073" s="5" t="s">
        <v>322</v>
      </c>
      <c r="E8073" s="5" t="str">
        <f t="shared" si="398"/>
        <v>URGENCIAS ADULTO-Jenny Peña</v>
      </c>
      <c r="F8073" s="5"/>
      <c r="G8073" s="5" t="str">
        <f t="shared" si="401"/>
        <v>7A3B</v>
      </c>
    </row>
    <row r="8074" spans="1:7" ht="58.5" customHeight="1" x14ac:dyDescent="0.25">
      <c r="A8074" s="5" t="str">
        <f>"H0032054"</f>
        <v>H0032054</v>
      </c>
      <c r="B8074" s="5" t="str">
        <f t="shared" si="400"/>
        <v>SUCCIONADOR (ASPIRADOR) DE FLUIDOS QUIRURGICO</v>
      </c>
      <c r="C8074" s="6">
        <v>1329000</v>
      </c>
      <c r="D8074" s="5" t="s">
        <v>322</v>
      </c>
      <c r="E8074" s="5" t="str">
        <f t="shared" si="398"/>
        <v>URGENCIAS ADULTO-Jenny Peña</v>
      </c>
      <c r="F8074" s="5"/>
      <c r="G8074" s="5" t="str">
        <f t="shared" si="401"/>
        <v>7A3B</v>
      </c>
    </row>
    <row r="8075" spans="1:7" ht="58.5" customHeight="1" x14ac:dyDescent="0.25">
      <c r="A8075" s="5" t="str">
        <f>"H0032055"</f>
        <v>H0032055</v>
      </c>
      <c r="B8075" s="5" t="str">
        <f t="shared" si="400"/>
        <v>SUCCIONADOR (ASPIRADOR) DE FLUIDOS QUIRURGICO</v>
      </c>
      <c r="C8075" s="6">
        <v>1329000</v>
      </c>
      <c r="D8075" s="5" t="s">
        <v>322</v>
      </c>
      <c r="E8075" s="5" t="str">
        <f t="shared" si="398"/>
        <v>URGENCIAS ADULTO-Jenny Peña</v>
      </c>
      <c r="F8075" s="5"/>
      <c r="G8075" s="5" t="str">
        <f t="shared" si="401"/>
        <v>7A3B</v>
      </c>
    </row>
    <row r="8076" spans="1:7" ht="58.5" customHeight="1" x14ac:dyDescent="0.25">
      <c r="A8076" s="5" t="str">
        <f>"H0032162"</f>
        <v>H0032162</v>
      </c>
      <c r="B8076" s="5" t="str">
        <f>"ventilador de transporte mtv1000-mek-ics (DONACION)"</f>
        <v>ventilador de transporte mtv1000-mek-ics (DONACION)</v>
      </c>
      <c r="C8076" s="6">
        <v>32133824</v>
      </c>
      <c r="D8076" s="5" t="s">
        <v>481</v>
      </c>
      <c r="E8076" s="5" t="str">
        <f t="shared" si="398"/>
        <v>URGENCIAS ADULTO-Jenny Peña</v>
      </c>
      <c r="F8076" s="5"/>
      <c r="G8076" s="5" t="str">
        <f>"MTV1000"</f>
        <v>MTV1000</v>
      </c>
    </row>
    <row r="8077" spans="1:7" ht="58.5" customHeight="1" x14ac:dyDescent="0.25">
      <c r="A8077" s="5" t="str">
        <f>"H0032164"</f>
        <v>H0032164</v>
      </c>
      <c r="B8077" s="5" t="str">
        <f>"Planta de ozono de agua 1filtro polideth 10 x 10 micras, filtro carbon bloque 10x5 mcr, 1 llave de registro, 1 fusiblera, 1fusible  2 racores de carcasa, 1 electrovalvula"</f>
        <v>Planta de ozono de agua 1filtro polideth 10 x 10 micras, filtro carbon bloque 10x5 mcr, 1 llave de registro, 1 fusiblera, 1fusible  2 racores de carcasa, 1 electrovalvula</v>
      </c>
      <c r="C8077" s="6">
        <v>400000</v>
      </c>
      <c r="D8077" s="5" t="s">
        <v>482</v>
      </c>
      <c r="E8077" s="5" t="str">
        <f t="shared" si="398"/>
        <v>URGENCIAS ADULTO-Jenny Peña</v>
      </c>
      <c r="F8077" s="5"/>
      <c r="G8077" s="5"/>
    </row>
    <row r="8078" spans="1:7" ht="58.5" customHeight="1" x14ac:dyDescent="0.25">
      <c r="A8078" s="5" t="str">
        <f>"H0032175"</f>
        <v>H0032175</v>
      </c>
      <c r="B8078" s="5" t="str">
        <f>"CUBETA PEQUEÑA EN ACERO INOXIDABLE SIN TAPA PARA ASEPSIA REDONDA 10*5 C20"</f>
        <v>CUBETA PEQUEÑA EN ACERO INOXIDABLE SIN TAPA PARA ASEPSIA REDONDA 10*5 C20</v>
      </c>
      <c r="C8078" s="6">
        <v>30642.5</v>
      </c>
      <c r="D8078" s="5" t="s">
        <v>483</v>
      </c>
      <c r="E8078" s="5" t="str">
        <f t="shared" si="398"/>
        <v>URGENCIAS ADULTO-Jenny Peña</v>
      </c>
      <c r="F8078" s="5"/>
      <c r="G8078" s="5"/>
    </row>
    <row r="8079" spans="1:7" ht="58.5" customHeight="1" x14ac:dyDescent="0.25">
      <c r="A8079" s="5" t="str">
        <f>"H0032176"</f>
        <v>H0032176</v>
      </c>
      <c r="B8079" s="5" t="str">
        <f>"CUBETA PEQUEÑA EN ACERO INOXIDABLE SIN TAPA PARA ASEPSIA REDONDA 10*5 C20"</f>
        <v>CUBETA PEQUEÑA EN ACERO INOXIDABLE SIN TAPA PARA ASEPSIA REDONDA 10*5 C20</v>
      </c>
      <c r="C8079" s="6">
        <v>30642.5</v>
      </c>
      <c r="D8079" s="5" t="s">
        <v>483</v>
      </c>
      <c r="E8079" s="5" t="str">
        <f t="shared" si="398"/>
        <v>URGENCIAS ADULTO-Jenny Peña</v>
      </c>
      <c r="F8079" s="5"/>
      <c r="G8079" s="5"/>
    </row>
    <row r="8080" spans="1:7" ht="58.5" customHeight="1" x14ac:dyDescent="0.25">
      <c r="A8080" s="5" t="str">
        <f>"H0032177"</f>
        <v>H0032177</v>
      </c>
      <c r="B8080" s="5" t="str">
        <f>"CUBETA PEQUEÑA EN ACERO INOXIDABLE SIN TAPA PARA ASEPSIA REDONDA 10*5 C20"</f>
        <v>CUBETA PEQUEÑA EN ACERO INOXIDABLE SIN TAPA PARA ASEPSIA REDONDA 10*5 C20</v>
      </c>
      <c r="C8080" s="6">
        <v>30642.5</v>
      </c>
      <c r="D8080" s="5" t="s">
        <v>483</v>
      </c>
      <c r="E8080" s="5" t="str">
        <f t="shared" si="398"/>
        <v>URGENCIAS ADULTO-Jenny Peña</v>
      </c>
      <c r="F8080" s="5"/>
      <c r="G8080" s="5"/>
    </row>
    <row r="8081" spans="1:7" ht="58.5" customHeight="1" x14ac:dyDescent="0.25">
      <c r="A8081" s="5" t="str">
        <f>"H0032259"</f>
        <v>H0032259</v>
      </c>
      <c r="B8081" s="5" t="str">
        <f>"SUCCIONADOR (DONACION)"</f>
        <v>SUCCIONADOR (DONACION)</v>
      </c>
      <c r="C8081" s="6">
        <v>950000</v>
      </c>
      <c r="D8081" s="5" t="s">
        <v>323</v>
      </c>
      <c r="E8081" s="5" t="str">
        <f t="shared" si="398"/>
        <v>URGENCIAS ADULTO-Jenny Peña</v>
      </c>
      <c r="F8081" s="5"/>
      <c r="G8081" s="5" t="str">
        <f>"NEW HOSPIVAE"</f>
        <v>NEW HOSPIVAE</v>
      </c>
    </row>
    <row r="8082" spans="1:7" ht="58.5" customHeight="1" x14ac:dyDescent="0.25">
      <c r="A8082" s="5" t="str">
        <f>"H0032345"</f>
        <v>H0032345</v>
      </c>
      <c r="B8082" s="5" t="str">
        <f>"ventilador de transporte  (DONACION)"</f>
        <v>ventilador de transporte  (DONACION)</v>
      </c>
      <c r="C8082" s="6">
        <v>33406900</v>
      </c>
      <c r="D8082" s="5" t="s">
        <v>484</v>
      </c>
      <c r="E8082" s="5" t="str">
        <f t="shared" si="398"/>
        <v>URGENCIAS ADULTO-Jenny Peña</v>
      </c>
      <c r="F8082" s="5"/>
      <c r="G8082" s="5" t="str">
        <f>"Oxymag"</f>
        <v>Oxymag</v>
      </c>
    </row>
    <row r="8083" spans="1:7" ht="58.5" customHeight="1" x14ac:dyDescent="0.25">
      <c r="A8083" s="5" t="str">
        <f>"H0032395"</f>
        <v>H0032395</v>
      </c>
      <c r="B8083" s="5" t="str">
        <f>"bomba de infusion (DONACION)"</f>
        <v>bomba de infusion (DONACION)</v>
      </c>
      <c r="C8083" s="6">
        <v>4375000</v>
      </c>
      <c r="D8083" s="5" t="s">
        <v>110</v>
      </c>
      <c r="E8083" s="5" t="str">
        <f t="shared" si="398"/>
        <v>URGENCIAS ADULTO-Jenny Peña</v>
      </c>
      <c r="F8083" s="5"/>
      <c r="G8083" s="5"/>
    </row>
    <row r="8084" spans="1:7" ht="58.5" customHeight="1" x14ac:dyDescent="0.25">
      <c r="A8084" s="5" t="str">
        <f>"H0032398"</f>
        <v>H0032398</v>
      </c>
      <c r="B8084" s="5" t="str">
        <f>"bomba de infusion (DONACION)"</f>
        <v>bomba de infusion (DONACION)</v>
      </c>
      <c r="C8084" s="6">
        <v>4375000</v>
      </c>
      <c r="D8084" s="5" t="s">
        <v>110</v>
      </c>
      <c r="E8084" s="5" t="str">
        <f t="shared" si="398"/>
        <v>URGENCIAS ADULTO-Jenny Peña</v>
      </c>
      <c r="F8084" s="5"/>
      <c r="G8084" s="5"/>
    </row>
    <row r="8085" spans="1:7" ht="58.5" customHeight="1" x14ac:dyDescent="0.25">
      <c r="A8085" s="5" t="str">
        <f>"H0032446"</f>
        <v>H0032446</v>
      </c>
      <c r="B8085" s="5" t="str">
        <f>"AIRE ACONDICIONADO  12000 BTU (CODIGO DONACION)"</f>
        <v>AIRE ACONDICIONADO  12000 BTU (CODIGO DONACION)</v>
      </c>
      <c r="C8085" s="6">
        <v>2886554</v>
      </c>
      <c r="D8085" s="5" t="s">
        <v>485</v>
      </c>
      <c r="E8085" s="5" t="str">
        <f t="shared" si="398"/>
        <v>URGENCIAS ADULTO-Jenny Peña</v>
      </c>
      <c r="F8085" s="5"/>
      <c r="G8085" s="5" t="str">
        <f>"MMI12CDVWCCHIE8"</f>
        <v>MMI12CDVWCCHIE8</v>
      </c>
    </row>
    <row r="8086" spans="1:7" ht="58.5" customHeight="1" x14ac:dyDescent="0.25">
      <c r="A8086" s="5" t="str">
        <f>"H0032448"</f>
        <v>H0032448</v>
      </c>
      <c r="B8086" s="5" t="str">
        <f>"AIRE ACONDICIONADO  12000 BTU (CODIGO DONACION)"</f>
        <v>AIRE ACONDICIONADO  12000 BTU (CODIGO DONACION)</v>
      </c>
      <c r="C8086" s="6">
        <v>2886554</v>
      </c>
      <c r="D8086" s="5" t="s">
        <v>485</v>
      </c>
      <c r="E8086" s="5" t="str">
        <f t="shared" si="398"/>
        <v>URGENCIAS ADULTO-Jenny Peña</v>
      </c>
      <c r="F8086" s="5"/>
      <c r="G8086" s="5" t="str">
        <f>"MMI12CDVWCCHIE8"</f>
        <v>MMI12CDVWCCHIE8</v>
      </c>
    </row>
    <row r="8087" spans="1:7" ht="58.5" customHeight="1" x14ac:dyDescent="0.25">
      <c r="A8087" s="5" t="str">
        <f>"H0032478"</f>
        <v>H0032478</v>
      </c>
      <c r="B8087" s="5" t="str">
        <f>"MONITOR DE SIGNOS VITALES"</f>
        <v>MONITOR DE SIGNOS VITALES</v>
      </c>
      <c r="C8087" s="6">
        <v>7826250</v>
      </c>
      <c r="D8087" s="5" t="s">
        <v>486</v>
      </c>
      <c r="E8087" s="5" t="str">
        <f t="shared" si="398"/>
        <v>URGENCIAS ADULTO-Jenny Peña</v>
      </c>
      <c r="F8087" s="5"/>
      <c r="G8087" s="5"/>
    </row>
    <row r="8088" spans="1:7" ht="58.5" customHeight="1" x14ac:dyDescent="0.25">
      <c r="A8088" s="5" t="str">
        <f>"H0032480"</f>
        <v>H0032480</v>
      </c>
      <c r="B8088" s="5" t="str">
        <f>"MONITOR DE SIGNOS VITALES"</f>
        <v>MONITOR DE SIGNOS VITALES</v>
      </c>
      <c r="C8088" s="6">
        <v>7826250</v>
      </c>
      <c r="D8088" s="5" t="s">
        <v>486</v>
      </c>
      <c r="E8088" s="5" t="str">
        <f t="shared" si="398"/>
        <v>URGENCIAS ADULTO-Jenny Peña</v>
      </c>
      <c r="F8088" s="5"/>
      <c r="G8088" s="5"/>
    </row>
    <row r="8089" spans="1:7" ht="58.5" customHeight="1" x14ac:dyDescent="0.25">
      <c r="A8089" s="5" t="str">
        <f>"H0032543"</f>
        <v>H0032543</v>
      </c>
      <c r="B8089" s="5" t="str">
        <f t="shared" ref="B8089:B8104" si="402">"bomba de infusion (DONACION)"</f>
        <v>bomba de infusion (DONACION)</v>
      </c>
      <c r="C8089" s="6">
        <v>4860000</v>
      </c>
      <c r="D8089" s="5" t="s">
        <v>113</v>
      </c>
      <c r="E8089" s="5" t="str">
        <f t="shared" si="398"/>
        <v>URGENCIAS ADULTO-Jenny Peña</v>
      </c>
      <c r="F8089" s="5"/>
      <c r="G8089" s="5"/>
    </row>
    <row r="8090" spans="1:7" ht="58.5" customHeight="1" x14ac:dyDescent="0.25">
      <c r="A8090" s="5" t="str">
        <f>"H0032554"</f>
        <v>H0032554</v>
      </c>
      <c r="B8090" s="5" t="str">
        <f t="shared" si="402"/>
        <v>bomba de infusion (DONACION)</v>
      </c>
      <c r="C8090" s="6">
        <v>4860000</v>
      </c>
      <c r="D8090" s="5" t="s">
        <v>113</v>
      </c>
      <c r="E8090" s="5" t="str">
        <f t="shared" si="398"/>
        <v>URGENCIAS ADULTO-Jenny Peña</v>
      </c>
      <c r="F8090" s="5"/>
      <c r="G8090" s="5"/>
    </row>
    <row r="8091" spans="1:7" ht="58.5" customHeight="1" x14ac:dyDescent="0.25">
      <c r="A8091" s="5" t="str">
        <f>"H0032557"</f>
        <v>H0032557</v>
      </c>
      <c r="B8091" s="5" t="str">
        <f t="shared" si="402"/>
        <v>bomba de infusion (DONACION)</v>
      </c>
      <c r="C8091" s="6">
        <v>4860000</v>
      </c>
      <c r="D8091" s="5" t="s">
        <v>113</v>
      </c>
      <c r="E8091" s="5" t="str">
        <f t="shared" si="398"/>
        <v>URGENCIAS ADULTO-Jenny Peña</v>
      </c>
      <c r="F8091" s="5"/>
      <c r="G8091" s="5"/>
    </row>
    <row r="8092" spans="1:7" ht="58.5" customHeight="1" x14ac:dyDescent="0.25">
      <c r="A8092" s="5" t="str">
        <f>"H0032559"</f>
        <v>H0032559</v>
      </c>
      <c r="B8092" s="5" t="str">
        <f t="shared" si="402"/>
        <v>bomba de infusion (DONACION)</v>
      </c>
      <c r="C8092" s="6">
        <v>4860000</v>
      </c>
      <c r="D8092" s="5" t="s">
        <v>113</v>
      </c>
      <c r="E8092" s="5" t="str">
        <f t="shared" si="398"/>
        <v>URGENCIAS ADULTO-Jenny Peña</v>
      </c>
      <c r="F8092" s="5"/>
      <c r="G8092" s="5"/>
    </row>
    <row r="8093" spans="1:7" ht="58.5" customHeight="1" x14ac:dyDescent="0.25">
      <c r="A8093" s="5" t="str">
        <f>"H0032560"</f>
        <v>H0032560</v>
      </c>
      <c r="B8093" s="5" t="str">
        <f t="shared" si="402"/>
        <v>bomba de infusion (DONACION)</v>
      </c>
      <c r="C8093" s="6">
        <v>4860000</v>
      </c>
      <c r="D8093" s="5" t="s">
        <v>113</v>
      </c>
      <c r="E8093" s="5" t="str">
        <f t="shared" si="398"/>
        <v>URGENCIAS ADULTO-Jenny Peña</v>
      </c>
      <c r="F8093" s="5"/>
      <c r="G8093" s="5"/>
    </row>
    <row r="8094" spans="1:7" ht="58.5" customHeight="1" x14ac:dyDescent="0.25">
      <c r="A8094" s="5" t="str">
        <f>"H0032561"</f>
        <v>H0032561</v>
      </c>
      <c r="B8094" s="5" t="str">
        <f t="shared" si="402"/>
        <v>bomba de infusion (DONACION)</v>
      </c>
      <c r="C8094" s="6">
        <v>4860000</v>
      </c>
      <c r="D8094" s="5" t="s">
        <v>113</v>
      </c>
      <c r="E8094" s="5" t="str">
        <f t="shared" si="398"/>
        <v>URGENCIAS ADULTO-Jenny Peña</v>
      </c>
      <c r="F8094" s="5"/>
      <c r="G8094" s="5"/>
    </row>
    <row r="8095" spans="1:7" ht="58.5" customHeight="1" x14ac:dyDescent="0.25">
      <c r="A8095" s="5" t="str">
        <f>"H0032566"</f>
        <v>H0032566</v>
      </c>
      <c r="B8095" s="5" t="str">
        <f t="shared" si="402"/>
        <v>bomba de infusion (DONACION)</v>
      </c>
      <c r="C8095" s="6">
        <v>4860000</v>
      </c>
      <c r="D8095" s="5" t="s">
        <v>113</v>
      </c>
      <c r="E8095" s="5" t="str">
        <f t="shared" si="398"/>
        <v>URGENCIAS ADULTO-Jenny Peña</v>
      </c>
      <c r="F8095" s="5"/>
      <c r="G8095" s="5"/>
    </row>
    <row r="8096" spans="1:7" ht="58.5" customHeight="1" x14ac:dyDescent="0.25">
      <c r="A8096" s="5" t="str">
        <f>"H0032567"</f>
        <v>H0032567</v>
      </c>
      <c r="B8096" s="5" t="str">
        <f t="shared" si="402"/>
        <v>bomba de infusion (DONACION)</v>
      </c>
      <c r="C8096" s="6">
        <v>4860000</v>
      </c>
      <c r="D8096" s="5" t="s">
        <v>113</v>
      </c>
      <c r="E8096" s="5" t="str">
        <f t="shared" si="398"/>
        <v>URGENCIAS ADULTO-Jenny Peña</v>
      </c>
      <c r="F8096" s="5"/>
      <c r="G8096" s="5"/>
    </row>
    <row r="8097" spans="1:7" ht="58.5" customHeight="1" x14ac:dyDescent="0.25">
      <c r="A8097" s="5" t="str">
        <f>"h0032568"</f>
        <v>h0032568</v>
      </c>
      <c r="B8097" s="5" t="str">
        <f t="shared" si="402"/>
        <v>bomba de infusion (DONACION)</v>
      </c>
      <c r="C8097" s="6">
        <v>4860000</v>
      </c>
      <c r="D8097" s="5" t="s">
        <v>113</v>
      </c>
      <c r="E8097" s="5" t="str">
        <f t="shared" si="398"/>
        <v>URGENCIAS ADULTO-Jenny Peña</v>
      </c>
      <c r="F8097" s="5"/>
      <c r="G8097" s="5"/>
    </row>
    <row r="8098" spans="1:7" ht="58.5" customHeight="1" x14ac:dyDescent="0.25">
      <c r="A8098" s="5" t="str">
        <f>"H0032569"</f>
        <v>H0032569</v>
      </c>
      <c r="B8098" s="5" t="str">
        <f t="shared" si="402"/>
        <v>bomba de infusion (DONACION)</v>
      </c>
      <c r="C8098" s="6">
        <v>4860000</v>
      </c>
      <c r="D8098" s="5" t="s">
        <v>113</v>
      </c>
      <c r="E8098" s="5" t="str">
        <f t="shared" si="398"/>
        <v>URGENCIAS ADULTO-Jenny Peña</v>
      </c>
      <c r="F8098" s="5"/>
      <c r="G8098" s="5"/>
    </row>
    <row r="8099" spans="1:7" ht="58.5" customHeight="1" x14ac:dyDescent="0.25">
      <c r="A8099" s="5" t="str">
        <f>"H0032571"</f>
        <v>H0032571</v>
      </c>
      <c r="B8099" s="5" t="str">
        <f t="shared" si="402"/>
        <v>bomba de infusion (DONACION)</v>
      </c>
      <c r="C8099" s="6">
        <v>4860000</v>
      </c>
      <c r="D8099" s="5" t="s">
        <v>113</v>
      </c>
      <c r="E8099" s="5" t="str">
        <f t="shared" si="398"/>
        <v>URGENCIAS ADULTO-Jenny Peña</v>
      </c>
      <c r="F8099" s="5"/>
      <c r="G8099" s="5"/>
    </row>
    <row r="8100" spans="1:7" ht="58.5" customHeight="1" x14ac:dyDescent="0.25">
      <c r="A8100" s="5" t="str">
        <f>"H0032572"</f>
        <v>H0032572</v>
      </c>
      <c r="B8100" s="5" t="str">
        <f t="shared" si="402"/>
        <v>bomba de infusion (DONACION)</v>
      </c>
      <c r="C8100" s="6">
        <v>4860000</v>
      </c>
      <c r="D8100" s="5" t="s">
        <v>113</v>
      </c>
      <c r="E8100" s="5" t="str">
        <f t="shared" si="398"/>
        <v>URGENCIAS ADULTO-Jenny Peña</v>
      </c>
      <c r="F8100" s="5"/>
      <c r="G8100" s="5"/>
    </row>
    <row r="8101" spans="1:7" ht="58.5" customHeight="1" x14ac:dyDescent="0.25">
      <c r="A8101" s="5" t="str">
        <f>"H0032573"</f>
        <v>H0032573</v>
      </c>
      <c r="B8101" s="5" t="str">
        <f t="shared" si="402"/>
        <v>bomba de infusion (DONACION)</v>
      </c>
      <c r="C8101" s="6">
        <v>4860000</v>
      </c>
      <c r="D8101" s="5" t="s">
        <v>113</v>
      </c>
      <c r="E8101" s="5" t="str">
        <f t="shared" ref="E8101:E8164" si="403">"URGENCIAS ADULTO-Jenny Peña"</f>
        <v>URGENCIAS ADULTO-Jenny Peña</v>
      </c>
      <c r="F8101" s="5"/>
      <c r="G8101" s="5"/>
    </row>
    <row r="8102" spans="1:7" ht="58.5" customHeight="1" x14ac:dyDescent="0.25">
      <c r="A8102" s="5" t="str">
        <f>"H0032577"</f>
        <v>H0032577</v>
      </c>
      <c r="B8102" s="5" t="str">
        <f t="shared" si="402"/>
        <v>bomba de infusion (DONACION)</v>
      </c>
      <c r="C8102" s="6">
        <v>4860000</v>
      </c>
      <c r="D8102" s="5" t="s">
        <v>113</v>
      </c>
      <c r="E8102" s="5" t="str">
        <f t="shared" si="403"/>
        <v>URGENCIAS ADULTO-Jenny Peña</v>
      </c>
      <c r="F8102" s="5"/>
      <c r="G8102" s="5"/>
    </row>
    <row r="8103" spans="1:7" ht="58.5" customHeight="1" x14ac:dyDescent="0.25">
      <c r="A8103" s="5" t="str">
        <f>"H0032584"</f>
        <v>H0032584</v>
      </c>
      <c r="B8103" s="5" t="str">
        <f t="shared" si="402"/>
        <v>bomba de infusion (DONACION)</v>
      </c>
      <c r="C8103" s="6">
        <v>4860000</v>
      </c>
      <c r="D8103" s="5" t="s">
        <v>113</v>
      </c>
      <c r="E8103" s="5" t="str">
        <f t="shared" si="403"/>
        <v>URGENCIAS ADULTO-Jenny Peña</v>
      </c>
      <c r="F8103" s="5"/>
      <c r="G8103" s="5"/>
    </row>
    <row r="8104" spans="1:7" ht="58.5" customHeight="1" x14ac:dyDescent="0.25">
      <c r="A8104" s="5" t="str">
        <f>"H0032587"</f>
        <v>H0032587</v>
      </c>
      <c r="B8104" s="5" t="str">
        <f t="shared" si="402"/>
        <v>bomba de infusion (DONACION)</v>
      </c>
      <c r="C8104" s="6">
        <v>4860000</v>
      </c>
      <c r="D8104" s="5" t="s">
        <v>113</v>
      </c>
      <c r="E8104" s="5" t="str">
        <f t="shared" si="403"/>
        <v>URGENCIAS ADULTO-Jenny Peña</v>
      </c>
      <c r="F8104" s="5"/>
      <c r="G8104" s="5"/>
    </row>
    <row r="8105" spans="1:7" ht="58.5" customHeight="1" x14ac:dyDescent="0.25">
      <c r="A8105" s="5" t="str">
        <f>"H0032594"</f>
        <v>H0032594</v>
      </c>
      <c r="B8105" s="5" t="str">
        <f>"DESFIBRILADOR (DONACION)"</f>
        <v>DESFIBRILADOR (DONACION)</v>
      </c>
      <c r="C8105" s="6">
        <v>20000000</v>
      </c>
      <c r="D8105" s="5" t="s">
        <v>113</v>
      </c>
      <c r="E8105" s="5" t="str">
        <f t="shared" si="403"/>
        <v>URGENCIAS ADULTO-Jenny Peña</v>
      </c>
      <c r="F8105" s="5"/>
      <c r="G8105" s="5"/>
    </row>
    <row r="8106" spans="1:7" ht="58.5" customHeight="1" x14ac:dyDescent="0.25">
      <c r="A8106" s="5" t="str">
        <f>"H0032596"</f>
        <v>H0032596</v>
      </c>
      <c r="B8106" s="5" t="str">
        <f>"ELECTROCARDIOGRAFO (DONACION)"</f>
        <v>ELECTROCARDIOGRAFO (DONACION)</v>
      </c>
      <c r="C8106" s="6">
        <v>4640000</v>
      </c>
      <c r="D8106" s="5" t="s">
        <v>113</v>
      </c>
      <c r="E8106" s="5" t="str">
        <f t="shared" si="403"/>
        <v>URGENCIAS ADULTO-Jenny Peña</v>
      </c>
      <c r="F8106" s="5"/>
      <c r="G8106" s="5"/>
    </row>
    <row r="8107" spans="1:7" ht="58.5" customHeight="1" x14ac:dyDescent="0.25">
      <c r="A8107" s="5" t="str">
        <f>"H0032622"</f>
        <v>H0032622</v>
      </c>
      <c r="B8107" s="5" t="str">
        <f>"LARINGO DE FIBRA OPTICA (DONACION)"</f>
        <v>LARINGO DE FIBRA OPTICA (DONACION)</v>
      </c>
      <c r="C8107" s="6">
        <v>1437000</v>
      </c>
      <c r="D8107" s="5" t="s">
        <v>113</v>
      </c>
      <c r="E8107" s="5" t="str">
        <f t="shared" si="403"/>
        <v>URGENCIAS ADULTO-Jenny Peña</v>
      </c>
      <c r="F8107" s="5"/>
      <c r="G8107" s="5"/>
    </row>
    <row r="8108" spans="1:7" ht="58.5" customHeight="1" x14ac:dyDescent="0.25">
      <c r="A8108" s="5" t="str">
        <f>"H0032664"</f>
        <v>H0032664</v>
      </c>
      <c r="B8108" s="5" t="str">
        <f>"CAMILLA DE TRANSPORTE Y RECUPERACION (DONACION)"</f>
        <v>CAMILLA DE TRANSPORTE Y RECUPERACION (DONACION)</v>
      </c>
      <c r="C8108" s="6">
        <v>814000</v>
      </c>
      <c r="D8108" s="5" t="s">
        <v>115</v>
      </c>
      <c r="E8108" s="5" t="str">
        <f t="shared" si="403"/>
        <v>URGENCIAS ADULTO-Jenny Peña</v>
      </c>
      <c r="F8108" s="5"/>
      <c r="G8108" s="5"/>
    </row>
    <row r="8109" spans="1:7" ht="58.5" customHeight="1" x14ac:dyDescent="0.25">
      <c r="A8109" s="5" t="str">
        <f>"H0033041"</f>
        <v>H0033041</v>
      </c>
      <c r="B8109" s="5" t="str">
        <f t="shared" ref="B8109:B8115" si="404">"MONITOR DE SIGNOS VITALES"</f>
        <v>MONITOR DE SIGNOS VITALES</v>
      </c>
      <c r="C8109" s="6">
        <v>9470000</v>
      </c>
      <c r="D8109" s="5" t="s">
        <v>119</v>
      </c>
      <c r="E8109" s="5" t="str">
        <f t="shared" si="403"/>
        <v>URGENCIAS ADULTO-Jenny Peña</v>
      </c>
      <c r="F8109" s="5"/>
      <c r="G8109" s="5"/>
    </row>
    <row r="8110" spans="1:7" ht="58.5" customHeight="1" x14ac:dyDescent="0.25">
      <c r="A8110" s="5" t="str">
        <f>"H0033047"</f>
        <v>H0033047</v>
      </c>
      <c r="B8110" s="5" t="str">
        <f t="shared" si="404"/>
        <v>MONITOR DE SIGNOS VITALES</v>
      </c>
      <c r="C8110" s="6">
        <v>9470000</v>
      </c>
      <c r="D8110" s="5" t="s">
        <v>119</v>
      </c>
      <c r="E8110" s="5" t="str">
        <f t="shared" si="403"/>
        <v>URGENCIAS ADULTO-Jenny Peña</v>
      </c>
      <c r="F8110" s="5"/>
      <c r="G8110" s="5"/>
    </row>
    <row r="8111" spans="1:7" ht="58.5" customHeight="1" x14ac:dyDescent="0.25">
      <c r="A8111" s="5" t="str">
        <f>"H0033055"</f>
        <v>H0033055</v>
      </c>
      <c r="B8111" s="5" t="str">
        <f t="shared" si="404"/>
        <v>MONITOR DE SIGNOS VITALES</v>
      </c>
      <c r="C8111" s="6">
        <v>9470000</v>
      </c>
      <c r="D8111" s="5" t="s">
        <v>119</v>
      </c>
      <c r="E8111" s="5" t="str">
        <f t="shared" si="403"/>
        <v>URGENCIAS ADULTO-Jenny Peña</v>
      </c>
      <c r="F8111" s="5"/>
      <c r="G8111" s="5"/>
    </row>
    <row r="8112" spans="1:7" ht="58.5" customHeight="1" x14ac:dyDescent="0.25">
      <c r="A8112" s="5" t="str">
        <f>"H0033067"</f>
        <v>H0033067</v>
      </c>
      <c r="B8112" s="5" t="str">
        <f t="shared" si="404"/>
        <v>MONITOR DE SIGNOS VITALES</v>
      </c>
      <c r="C8112" s="6">
        <v>9470000</v>
      </c>
      <c r="D8112" s="5" t="s">
        <v>119</v>
      </c>
      <c r="E8112" s="5" t="str">
        <f t="shared" si="403"/>
        <v>URGENCIAS ADULTO-Jenny Peña</v>
      </c>
      <c r="F8112" s="5"/>
      <c r="G8112" s="5"/>
    </row>
    <row r="8113" spans="1:7" ht="58.5" customHeight="1" x14ac:dyDescent="0.25">
      <c r="A8113" s="5" t="str">
        <f>"H0033073"</f>
        <v>H0033073</v>
      </c>
      <c r="B8113" s="5" t="str">
        <f t="shared" si="404"/>
        <v>MONITOR DE SIGNOS VITALES</v>
      </c>
      <c r="C8113" s="6">
        <v>9470000</v>
      </c>
      <c r="D8113" s="5" t="s">
        <v>119</v>
      </c>
      <c r="E8113" s="5" t="str">
        <f t="shared" si="403"/>
        <v>URGENCIAS ADULTO-Jenny Peña</v>
      </c>
      <c r="F8113" s="5"/>
      <c r="G8113" s="5"/>
    </row>
    <row r="8114" spans="1:7" ht="58.5" customHeight="1" x14ac:dyDescent="0.25">
      <c r="A8114" s="5" t="str">
        <f>"H0033101"</f>
        <v>H0033101</v>
      </c>
      <c r="B8114" s="5" t="str">
        <f t="shared" si="404"/>
        <v>MONITOR DE SIGNOS VITALES</v>
      </c>
      <c r="C8114" s="6">
        <v>9470000</v>
      </c>
      <c r="D8114" s="5" t="s">
        <v>119</v>
      </c>
      <c r="E8114" s="5" t="str">
        <f t="shared" si="403"/>
        <v>URGENCIAS ADULTO-Jenny Peña</v>
      </c>
      <c r="F8114" s="5"/>
      <c r="G8114" s="5"/>
    </row>
    <row r="8115" spans="1:7" ht="58.5" customHeight="1" x14ac:dyDescent="0.25">
      <c r="A8115" s="5" t="str">
        <f>"H0033107"</f>
        <v>H0033107</v>
      </c>
      <c r="B8115" s="5" t="str">
        <f t="shared" si="404"/>
        <v>MONITOR DE SIGNOS VITALES</v>
      </c>
      <c r="C8115" s="6">
        <v>9470000</v>
      </c>
      <c r="D8115" s="5" t="s">
        <v>119</v>
      </c>
      <c r="E8115" s="5" t="str">
        <f t="shared" si="403"/>
        <v>URGENCIAS ADULTO-Jenny Peña</v>
      </c>
      <c r="F8115" s="5"/>
      <c r="G8115" s="5"/>
    </row>
    <row r="8116" spans="1:7" ht="58.5" customHeight="1" x14ac:dyDescent="0.25">
      <c r="A8116" s="5" t="str">
        <f>"H0033120"</f>
        <v>H0033120</v>
      </c>
      <c r="B8116"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116" s="6">
        <v>2533333</v>
      </c>
      <c r="D8116" s="5" t="s">
        <v>157</v>
      </c>
      <c r="E8116" s="5" t="str">
        <f t="shared" si="403"/>
        <v>URGENCIAS ADULTO-Jenny Peña</v>
      </c>
      <c r="F8116" s="5"/>
      <c r="G8116" s="5"/>
    </row>
    <row r="8117" spans="1:7" ht="58.5" customHeight="1" x14ac:dyDescent="0.25">
      <c r="A8117" s="5" t="str">
        <f>"H0033122"</f>
        <v>H0033122</v>
      </c>
      <c r="B8117"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117" s="6">
        <v>2533333</v>
      </c>
      <c r="D8117" s="5" t="s">
        <v>157</v>
      </c>
      <c r="E8117" s="5" t="str">
        <f t="shared" si="403"/>
        <v>URGENCIAS ADULTO-Jenny Peña</v>
      </c>
      <c r="F8117" s="5"/>
      <c r="G8117" s="5"/>
    </row>
    <row r="8118" spans="1:7" ht="58.5" customHeight="1" x14ac:dyDescent="0.25">
      <c r="A8118" s="5" t="str">
        <f>"H0033132"</f>
        <v>H0033132</v>
      </c>
      <c r="B8118" s="5" t="str">
        <f>"BOMBA DE NUTRICION. 1 mL/h a 600 mL/h. 1 mL/h a 5 mL/h incr. ± 7% a 125 mL/h. Cumple 60601-2-24."</f>
        <v>BOMBA DE NUTRICION. 1 mL/h a 600 mL/h. 1 mL/h a 5 mL/h incr. ± 7% a 125 mL/h. Cumple 60601-2-24.</v>
      </c>
      <c r="C8118" s="6">
        <v>3066667</v>
      </c>
      <c r="D8118" s="5" t="s">
        <v>119</v>
      </c>
      <c r="E8118" s="5" t="str">
        <f t="shared" si="403"/>
        <v>URGENCIAS ADULTO-Jenny Peña</v>
      </c>
      <c r="F8118" s="5"/>
      <c r="G8118" s="5"/>
    </row>
    <row r="8119" spans="1:7" ht="58.5" customHeight="1" x14ac:dyDescent="0.25">
      <c r="A8119" s="5" t="str">
        <f>"H0033142"</f>
        <v>H0033142</v>
      </c>
      <c r="B8119" s="5" t="str">
        <f>"BOMBA DE NUTRICION. 1 mL/h a 600 mL/h. 1 mL/h a 5 mL/h incr. ± 7% a 125 mL/h. Cumple 60601-2-24."</f>
        <v>BOMBA DE NUTRICION. 1 mL/h a 600 mL/h. 1 mL/h a 5 mL/h incr. ± 7% a 125 mL/h. Cumple 60601-2-24.</v>
      </c>
      <c r="C8119" s="6">
        <v>3066667</v>
      </c>
      <c r="D8119" s="5" t="s">
        <v>119</v>
      </c>
      <c r="E8119" s="5" t="str">
        <f t="shared" si="403"/>
        <v>URGENCIAS ADULTO-Jenny Peña</v>
      </c>
      <c r="F8119" s="5"/>
      <c r="G8119" s="5"/>
    </row>
    <row r="8120" spans="1:7" ht="58.5" customHeight="1" x14ac:dyDescent="0.25">
      <c r="A8120" s="5" t="str">
        <f>"H0033152"</f>
        <v>H0033152</v>
      </c>
      <c r="B8120" s="5" t="str">
        <f t="shared" ref="B8120:B8131" si="405">"BOMBA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120" s="6">
        <v>2533333</v>
      </c>
      <c r="D8120" s="5" t="s">
        <v>157</v>
      </c>
      <c r="E8120" s="5" t="str">
        <f t="shared" si="403"/>
        <v>URGENCIAS ADULTO-Jenny Peña</v>
      </c>
      <c r="F8120" s="5"/>
      <c r="G8120" s="5"/>
    </row>
    <row r="8121" spans="1:7" ht="58.5" customHeight="1" x14ac:dyDescent="0.25">
      <c r="A8121" s="5" t="str">
        <f>"H0033161"</f>
        <v>H0033161</v>
      </c>
      <c r="B8121" s="5" t="str">
        <f t="shared" si="405"/>
        <v>BOMBA DE INFUSION. Apilables.5 modos. 01-1200 ml/h. 0.1 ml incr. Compatible con set de infusión genérico. anti-bolo. Detección de aire. Alarmas visuales audibles. Bitacora 1.000 reg. Batería de litio</v>
      </c>
      <c r="C8121" s="6">
        <v>2533333</v>
      </c>
      <c r="D8121" s="5" t="s">
        <v>157</v>
      </c>
      <c r="E8121" s="5" t="str">
        <f t="shared" si="403"/>
        <v>URGENCIAS ADULTO-Jenny Peña</v>
      </c>
      <c r="F8121" s="5"/>
      <c r="G8121" s="5"/>
    </row>
    <row r="8122" spans="1:7" ht="58.5" customHeight="1" x14ac:dyDescent="0.25">
      <c r="A8122" s="5" t="str">
        <f>"H0033171"</f>
        <v>H0033171</v>
      </c>
      <c r="B8122" s="5" t="str">
        <f t="shared" si="405"/>
        <v>BOMBA DE INFUSION. Apilables.5 modos. 01-1200 ml/h. 0.1 ml incr. Compatible con set de infusión genérico. anti-bolo. Detección de aire. Alarmas visuales audibles. Bitacora 1.000 reg. Batería de litio</v>
      </c>
      <c r="C8122" s="6">
        <v>2533333</v>
      </c>
      <c r="D8122" s="5" t="s">
        <v>157</v>
      </c>
      <c r="E8122" s="5" t="str">
        <f t="shared" si="403"/>
        <v>URGENCIAS ADULTO-Jenny Peña</v>
      </c>
      <c r="F8122" s="5"/>
      <c r="G8122" s="5"/>
    </row>
    <row r="8123" spans="1:7" ht="58.5" customHeight="1" x14ac:dyDescent="0.25">
      <c r="A8123" s="5" t="str">
        <f>"H0033181"</f>
        <v>H0033181</v>
      </c>
      <c r="B8123" s="5" t="str">
        <f t="shared" si="405"/>
        <v>BOMBA DE INFUSION. Apilables.5 modos. 01-1200 ml/h. 0.1 ml incr. Compatible con set de infusión genérico. anti-bolo. Detección de aire. Alarmas visuales audibles. Bitacora 1.000 reg. Batería de litio</v>
      </c>
      <c r="C8123" s="6">
        <v>2533333</v>
      </c>
      <c r="D8123" s="5" t="s">
        <v>157</v>
      </c>
      <c r="E8123" s="5" t="str">
        <f t="shared" si="403"/>
        <v>URGENCIAS ADULTO-Jenny Peña</v>
      </c>
      <c r="F8123" s="5"/>
      <c r="G8123" s="5"/>
    </row>
    <row r="8124" spans="1:7" ht="58.5" customHeight="1" x14ac:dyDescent="0.25">
      <c r="A8124" s="5" t="str">
        <f>"H0033182"</f>
        <v>H0033182</v>
      </c>
      <c r="B8124" s="5" t="str">
        <f t="shared" si="405"/>
        <v>BOMBA DE INFUSION. Apilables.5 modos. 01-1200 ml/h. 0.1 ml incr. Compatible con set de infusión genérico. anti-bolo. Detección de aire. Alarmas visuales audibles. Bitacora 1.000 reg. Batería de litio</v>
      </c>
      <c r="C8124" s="6">
        <v>2533333</v>
      </c>
      <c r="D8124" s="5" t="s">
        <v>157</v>
      </c>
      <c r="E8124" s="5" t="str">
        <f t="shared" si="403"/>
        <v>URGENCIAS ADULTO-Jenny Peña</v>
      </c>
      <c r="F8124" s="5"/>
      <c r="G8124" s="5"/>
    </row>
    <row r="8125" spans="1:7" ht="58.5" customHeight="1" x14ac:dyDescent="0.25">
      <c r="A8125" s="5" t="str">
        <f>"H0033196"</f>
        <v>H0033196</v>
      </c>
      <c r="B8125" s="5" t="str">
        <f t="shared" si="405"/>
        <v>BOMBA DE INFUSION. Apilables.5 modos. 01-1200 ml/h. 0.1 ml incr. Compatible con set de infusión genérico. anti-bolo. Detección de aire. Alarmas visuales audibles. Bitacora 1.000 reg. Batería de litio</v>
      </c>
      <c r="C8125" s="6">
        <v>2533333</v>
      </c>
      <c r="D8125" s="5" t="s">
        <v>157</v>
      </c>
      <c r="E8125" s="5" t="str">
        <f t="shared" si="403"/>
        <v>URGENCIAS ADULTO-Jenny Peña</v>
      </c>
      <c r="F8125" s="5"/>
      <c r="G8125" s="5"/>
    </row>
    <row r="8126" spans="1:7" ht="58.5" customHeight="1" x14ac:dyDescent="0.25">
      <c r="A8126" s="5" t="str">
        <f>"H0033205"</f>
        <v>H0033205</v>
      </c>
      <c r="B8126" s="5" t="str">
        <f t="shared" si="405"/>
        <v>BOMBA DE INFUSION. Apilables.5 modos. 01-1200 ml/h. 0.1 ml incr. Compatible con set de infusión genérico. anti-bolo. Detección de aire. Alarmas visuales audibles. Bitacora 1.000 reg. Batería de litio</v>
      </c>
      <c r="C8126" s="6">
        <v>2533333</v>
      </c>
      <c r="D8126" s="5" t="s">
        <v>157</v>
      </c>
      <c r="E8126" s="5" t="str">
        <f t="shared" si="403"/>
        <v>URGENCIAS ADULTO-Jenny Peña</v>
      </c>
      <c r="F8126" s="5"/>
      <c r="G8126" s="5"/>
    </row>
    <row r="8127" spans="1:7" ht="58.5" customHeight="1" x14ac:dyDescent="0.25">
      <c r="A8127" s="5" t="str">
        <f>"H0033216"</f>
        <v>H0033216</v>
      </c>
      <c r="B8127" s="5" t="str">
        <f t="shared" si="405"/>
        <v>BOMBA DE INFUSION. Apilables.5 modos. 01-1200 ml/h. 0.1 ml incr. Compatible con set de infusión genérico. anti-bolo. Detección de aire. Alarmas visuales audibles. Bitacora 1.000 reg. Batería de litio</v>
      </c>
      <c r="C8127" s="6">
        <v>2533333</v>
      </c>
      <c r="D8127" s="5" t="s">
        <v>157</v>
      </c>
      <c r="E8127" s="5" t="str">
        <f t="shared" si="403"/>
        <v>URGENCIAS ADULTO-Jenny Peña</v>
      </c>
      <c r="F8127" s="5"/>
      <c r="G8127" s="5"/>
    </row>
    <row r="8128" spans="1:7" ht="58.5" customHeight="1" x14ac:dyDescent="0.25">
      <c r="A8128" s="5" t="str">
        <f>"H0033226"</f>
        <v>H0033226</v>
      </c>
      <c r="B8128" s="5" t="str">
        <f t="shared" si="405"/>
        <v>BOMBA DE INFUSION. Apilables.5 modos. 01-1200 ml/h. 0.1 ml incr. Compatible con set de infusión genérico. anti-bolo. Detección de aire. Alarmas visuales audibles. Bitacora 1.000 reg. Batería de litio</v>
      </c>
      <c r="C8128" s="6">
        <v>2533333</v>
      </c>
      <c r="D8128" s="5" t="s">
        <v>157</v>
      </c>
      <c r="E8128" s="5" t="str">
        <f t="shared" si="403"/>
        <v>URGENCIAS ADULTO-Jenny Peña</v>
      </c>
      <c r="F8128" s="5"/>
      <c r="G8128" s="5"/>
    </row>
    <row r="8129" spans="1:7" ht="58.5" customHeight="1" x14ac:dyDescent="0.25">
      <c r="A8129" s="5" t="str">
        <f>"H0033233"</f>
        <v>H0033233</v>
      </c>
      <c r="B8129" s="5" t="str">
        <f t="shared" si="405"/>
        <v>BOMBA DE INFUSION. Apilables.5 modos. 01-1200 ml/h. 0.1 ml incr. Compatible con set de infusión genérico. anti-bolo. Detección de aire. Alarmas visuales audibles. Bitacora 1.000 reg. Batería de litio</v>
      </c>
      <c r="C8129" s="6">
        <v>2533333</v>
      </c>
      <c r="D8129" s="5" t="s">
        <v>157</v>
      </c>
      <c r="E8129" s="5" t="str">
        <f t="shared" si="403"/>
        <v>URGENCIAS ADULTO-Jenny Peña</v>
      </c>
      <c r="F8129" s="5"/>
      <c r="G8129" s="5"/>
    </row>
    <row r="8130" spans="1:7" ht="58.5" customHeight="1" x14ac:dyDescent="0.25">
      <c r="A8130" s="5" t="str">
        <f>"H0033236"</f>
        <v>H0033236</v>
      </c>
      <c r="B8130" s="5" t="str">
        <f t="shared" si="405"/>
        <v>BOMBA DE INFUSION. Apilables.5 modos. 01-1200 ml/h. 0.1 ml incr. Compatible con set de infusión genérico. anti-bolo. Detección de aire. Alarmas visuales audibles. Bitacora 1.000 reg. Batería de litio</v>
      </c>
      <c r="C8130" s="6">
        <v>2533333</v>
      </c>
      <c r="D8130" s="5" t="s">
        <v>157</v>
      </c>
      <c r="E8130" s="5" t="str">
        <f t="shared" si="403"/>
        <v>URGENCIAS ADULTO-Jenny Peña</v>
      </c>
      <c r="F8130" s="5"/>
      <c r="G8130" s="5"/>
    </row>
    <row r="8131" spans="1:7" ht="58.5" customHeight="1" x14ac:dyDescent="0.25">
      <c r="A8131" s="5" t="str">
        <f>"H0033243"</f>
        <v>H0033243</v>
      </c>
      <c r="B8131" s="5" t="str">
        <f t="shared" si="405"/>
        <v>BOMBA DE INFUSION. Apilables.5 modos. 01-1200 ml/h. 0.1 ml incr. Compatible con set de infusión genérico. anti-bolo. Detección de aire. Alarmas visuales audibles. Bitacora 1.000 reg. Batería de litio</v>
      </c>
      <c r="C8131" s="6">
        <v>2533333</v>
      </c>
      <c r="D8131" s="5" t="s">
        <v>157</v>
      </c>
      <c r="E8131" s="5" t="str">
        <f t="shared" si="403"/>
        <v>URGENCIAS ADULTO-Jenny Peña</v>
      </c>
      <c r="F8131" s="5"/>
      <c r="G8131" s="5"/>
    </row>
    <row r="8132" spans="1:7" ht="58.5" customHeight="1" x14ac:dyDescent="0.25">
      <c r="A8132" s="5" t="str">
        <f>"H0033253"</f>
        <v>H0033253</v>
      </c>
      <c r="B8132" s="5" t="str">
        <f>"MONITOR DE SIGNOS VITALES"</f>
        <v>MONITOR DE SIGNOS VITALES</v>
      </c>
      <c r="C8132" s="6">
        <v>9470000</v>
      </c>
      <c r="D8132" s="5" t="s">
        <v>119</v>
      </c>
      <c r="E8132" s="5" t="str">
        <f t="shared" si="403"/>
        <v>URGENCIAS ADULTO-Jenny Peña</v>
      </c>
      <c r="F8132" s="5"/>
      <c r="G8132" s="5"/>
    </row>
    <row r="8133" spans="1:7" ht="58.5" customHeight="1" x14ac:dyDescent="0.25">
      <c r="A8133" s="5" t="str">
        <f>"H0033261"</f>
        <v>H0033261</v>
      </c>
      <c r="B8133" s="5" t="str">
        <f>"MONITOR DE SIGNOS VITALES"</f>
        <v>MONITOR DE SIGNOS VITALES</v>
      </c>
      <c r="C8133" s="6">
        <v>9470000</v>
      </c>
      <c r="D8133" s="5" t="s">
        <v>119</v>
      </c>
      <c r="E8133" s="5" t="str">
        <f t="shared" si="403"/>
        <v>URGENCIAS ADULTO-Jenny Peña</v>
      </c>
      <c r="F8133" s="5"/>
      <c r="G8133" s="5"/>
    </row>
    <row r="8134" spans="1:7" ht="58.5" customHeight="1" x14ac:dyDescent="0.25">
      <c r="A8134" s="5" t="str">
        <f>"H0033272"</f>
        <v>H0033272</v>
      </c>
      <c r="B8134" s="5" t="str">
        <f>"ELECTROCARDIOGRAFO. 110V 60Hz. Bateria 2 h. Impresora térmica. 100 ECG Record. Muestreo &gt;=1000 muestras/segundo/canal. Res. &gt;= a 1µv. Imp. &gt;50 MOhm. Rango 30 a 300lpm. Pantalla Touch. Cumple UL60601"</f>
        <v>ELECTROCARDIOGRAFO. 110V 60Hz. Bateria 2 h. Impresora térmica. 100 ECG Record. Muestreo &gt;=1000 muestras/segundo/canal. Res. &gt;= a 1µv. Imp. &gt;50 MOhm. Rango 30 a 300lpm. Pantalla Touch. Cumple UL60601</v>
      </c>
      <c r="C8134" s="6">
        <v>3460000</v>
      </c>
      <c r="D8134" s="5" t="s">
        <v>119</v>
      </c>
      <c r="E8134" s="5" t="str">
        <f t="shared" si="403"/>
        <v>URGENCIAS ADULTO-Jenny Peña</v>
      </c>
      <c r="F8134" s="5"/>
      <c r="G8134" s="5"/>
    </row>
    <row r="8135" spans="1:7" ht="58.5" customHeight="1" x14ac:dyDescent="0.25">
      <c r="A8135" s="5" t="str">
        <f>"H0033273"</f>
        <v>H0033273</v>
      </c>
      <c r="B8135" s="5" t="str">
        <f>"ELECTROCARDIOGRAFO. 110V 60Hz. Bateria 2 h. Impresora térmica. 100 ECG Record. Muestreo &gt;=1000 muestras/segundo/canal. Res. &gt;= a 1µv. Imp. &gt;50 MOhm. Rango 30 a 300lpm. Pantalla Touch. Cumple UL60601"</f>
        <v>ELECTROCARDIOGRAFO. 110V 60Hz. Bateria 2 h. Impresora térmica. 100 ECG Record. Muestreo &gt;=1000 muestras/segundo/canal. Res. &gt;= a 1µv. Imp. &gt;50 MOhm. Rango 30 a 300lpm. Pantalla Touch. Cumple UL60601</v>
      </c>
      <c r="C8135" s="6">
        <v>3460000</v>
      </c>
      <c r="D8135" s="5" t="s">
        <v>119</v>
      </c>
      <c r="E8135" s="5" t="str">
        <f t="shared" si="403"/>
        <v>URGENCIAS ADULTO-Jenny Peña</v>
      </c>
      <c r="F8135" s="5"/>
      <c r="G8135" s="5"/>
    </row>
    <row r="8136" spans="1:7" ht="58.5" customHeight="1" x14ac:dyDescent="0.25">
      <c r="A8136" s="5" t="str">
        <f>"H0033277"</f>
        <v>H0033277</v>
      </c>
      <c r="B8136" s="5" t="str">
        <f t="shared" ref="B8136:B8167" si="406">"BOMBA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136" s="6">
        <v>2533333</v>
      </c>
      <c r="D8136" s="5" t="s">
        <v>120</v>
      </c>
      <c r="E8136" s="5" t="str">
        <f t="shared" si="403"/>
        <v>URGENCIAS ADULTO-Jenny Peña</v>
      </c>
      <c r="F8136" s="5"/>
      <c r="G8136" s="5"/>
    </row>
    <row r="8137" spans="1:7" ht="58.5" customHeight="1" x14ac:dyDescent="0.25">
      <c r="A8137" s="5" t="str">
        <f>"H0033284"</f>
        <v>H0033284</v>
      </c>
      <c r="B8137" s="5" t="str">
        <f t="shared" si="406"/>
        <v>BOMBA DE INFUSION. Apilables.5 modos. 01-1200 ml/h. 0.1 ml incr. Compatible con set de infusión genérico. anti-bolo. Detección de aire. Alarmas visuales audibles. Bitacora 1.000 reg. Batería de litio</v>
      </c>
      <c r="C8137" s="6">
        <v>2533333</v>
      </c>
      <c r="D8137" s="5" t="s">
        <v>120</v>
      </c>
      <c r="E8137" s="5" t="str">
        <f t="shared" si="403"/>
        <v>URGENCIAS ADULTO-Jenny Peña</v>
      </c>
      <c r="F8137" s="5"/>
      <c r="G8137" s="5"/>
    </row>
    <row r="8138" spans="1:7" ht="58.5" customHeight="1" x14ac:dyDescent="0.25">
      <c r="A8138" s="5" t="str">
        <f>"H0033303"</f>
        <v>H0033303</v>
      </c>
      <c r="B8138" s="5" t="str">
        <f t="shared" si="406"/>
        <v>BOMBA DE INFUSION. Apilables.5 modos. 01-1200 ml/h. 0.1 ml incr. Compatible con set de infusión genérico. anti-bolo. Detección de aire. Alarmas visuales audibles. Bitacora 1.000 reg. Batería de litio</v>
      </c>
      <c r="C8138" s="6">
        <v>2533333</v>
      </c>
      <c r="D8138" s="5" t="s">
        <v>120</v>
      </c>
      <c r="E8138" s="5" t="str">
        <f t="shared" si="403"/>
        <v>URGENCIAS ADULTO-Jenny Peña</v>
      </c>
      <c r="F8138" s="5"/>
      <c r="G8138" s="5"/>
    </row>
    <row r="8139" spans="1:7" ht="58.5" customHeight="1" x14ac:dyDescent="0.25">
      <c r="A8139" s="5" t="str">
        <f>"H0033304"</f>
        <v>H0033304</v>
      </c>
      <c r="B8139" s="5" t="str">
        <f t="shared" si="406"/>
        <v>BOMBA DE INFUSION. Apilables.5 modos. 01-1200 ml/h. 0.1 ml incr. Compatible con set de infusión genérico. anti-bolo. Detección de aire. Alarmas visuales audibles. Bitacora 1.000 reg. Batería de litio</v>
      </c>
      <c r="C8139" s="6">
        <v>2533333</v>
      </c>
      <c r="D8139" s="5" t="s">
        <v>120</v>
      </c>
      <c r="E8139" s="5" t="str">
        <f t="shared" si="403"/>
        <v>URGENCIAS ADULTO-Jenny Peña</v>
      </c>
      <c r="F8139" s="5"/>
      <c r="G8139" s="5"/>
    </row>
    <row r="8140" spans="1:7" ht="58.5" customHeight="1" x14ac:dyDescent="0.25">
      <c r="A8140" s="5" t="str">
        <f>"H0033326"</f>
        <v>H0033326</v>
      </c>
      <c r="B8140" s="5" t="str">
        <f t="shared" si="406"/>
        <v>BOMBA DE INFUSION. Apilables.5 modos. 01-1200 ml/h. 0.1 ml incr. Compatible con set de infusión genérico. anti-bolo. Detección de aire. Alarmas visuales audibles. Bitacora 1.000 reg. Batería de litio</v>
      </c>
      <c r="C8140" s="6">
        <v>2533333</v>
      </c>
      <c r="D8140" s="5" t="s">
        <v>120</v>
      </c>
      <c r="E8140" s="5" t="str">
        <f t="shared" si="403"/>
        <v>URGENCIAS ADULTO-Jenny Peña</v>
      </c>
      <c r="F8140" s="5"/>
      <c r="G8140" s="5"/>
    </row>
    <row r="8141" spans="1:7" ht="58.5" customHeight="1" x14ac:dyDescent="0.25">
      <c r="A8141" s="5" t="str">
        <f>"H0033331"</f>
        <v>H0033331</v>
      </c>
      <c r="B8141" s="5" t="str">
        <f t="shared" si="406"/>
        <v>BOMBA DE INFUSION. Apilables.5 modos. 01-1200 ml/h. 0.1 ml incr. Compatible con set de infusión genérico. anti-bolo. Detección de aire. Alarmas visuales audibles. Bitacora 1.000 reg. Batería de litio</v>
      </c>
      <c r="C8141" s="6">
        <v>2533333</v>
      </c>
      <c r="D8141" s="5" t="s">
        <v>120</v>
      </c>
      <c r="E8141" s="5" t="str">
        <f t="shared" si="403"/>
        <v>URGENCIAS ADULTO-Jenny Peña</v>
      </c>
      <c r="F8141" s="5"/>
      <c r="G8141" s="5"/>
    </row>
    <row r="8142" spans="1:7" ht="58.5" customHeight="1" x14ac:dyDescent="0.25">
      <c r="A8142" s="5" t="str">
        <f>"H0033332"</f>
        <v>H0033332</v>
      </c>
      <c r="B8142" s="5" t="str">
        <f t="shared" si="406"/>
        <v>BOMBA DE INFUSION. Apilables.5 modos. 01-1200 ml/h. 0.1 ml incr. Compatible con set de infusión genérico. anti-bolo. Detección de aire. Alarmas visuales audibles. Bitacora 1.000 reg. Batería de litio</v>
      </c>
      <c r="C8142" s="6">
        <v>2533333</v>
      </c>
      <c r="D8142" s="5" t="s">
        <v>120</v>
      </c>
      <c r="E8142" s="5" t="str">
        <f t="shared" si="403"/>
        <v>URGENCIAS ADULTO-Jenny Peña</v>
      </c>
      <c r="F8142" s="5"/>
      <c r="G8142" s="5"/>
    </row>
    <row r="8143" spans="1:7" ht="58.5" customHeight="1" x14ac:dyDescent="0.25">
      <c r="A8143" s="5" t="str">
        <f>"H0033333"</f>
        <v>H0033333</v>
      </c>
      <c r="B8143" s="5" t="str">
        <f t="shared" si="406"/>
        <v>BOMBA DE INFUSION. Apilables.5 modos. 01-1200 ml/h. 0.1 ml incr. Compatible con set de infusión genérico. anti-bolo. Detección de aire. Alarmas visuales audibles. Bitacora 1.000 reg. Batería de litio</v>
      </c>
      <c r="C8143" s="6">
        <v>2533333</v>
      </c>
      <c r="D8143" s="5" t="s">
        <v>120</v>
      </c>
      <c r="E8143" s="5" t="str">
        <f t="shared" si="403"/>
        <v>URGENCIAS ADULTO-Jenny Peña</v>
      </c>
      <c r="F8143" s="5"/>
      <c r="G8143" s="5"/>
    </row>
    <row r="8144" spans="1:7" ht="58.5" customHeight="1" x14ac:dyDescent="0.25">
      <c r="A8144" s="5" t="str">
        <f>"H0033336"</f>
        <v>H0033336</v>
      </c>
      <c r="B8144" s="5" t="str">
        <f t="shared" si="406"/>
        <v>BOMBA DE INFUSION. Apilables.5 modos. 01-1200 ml/h. 0.1 ml incr. Compatible con set de infusión genérico. anti-bolo. Detección de aire. Alarmas visuales audibles. Bitacora 1.000 reg. Batería de litio</v>
      </c>
      <c r="C8144" s="6">
        <v>2533333</v>
      </c>
      <c r="D8144" s="5" t="s">
        <v>120</v>
      </c>
      <c r="E8144" s="5" t="str">
        <f t="shared" si="403"/>
        <v>URGENCIAS ADULTO-Jenny Peña</v>
      </c>
      <c r="F8144" s="5"/>
      <c r="G8144" s="5"/>
    </row>
    <row r="8145" spans="1:7" ht="58.5" customHeight="1" x14ac:dyDescent="0.25">
      <c r="A8145" s="5" t="str">
        <f>"H0033345"</f>
        <v>H0033345</v>
      </c>
      <c r="B8145" s="5" t="str">
        <f t="shared" si="406"/>
        <v>BOMBA DE INFUSION. Apilables.5 modos. 01-1200 ml/h. 0.1 ml incr. Compatible con set de infusión genérico. anti-bolo. Detección de aire. Alarmas visuales audibles. Bitacora 1.000 reg. Batería de litio</v>
      </c>
      <c r="C8145" s="6">
        <v>2533333</v>
      </c>
      <c r="D8145" s="5" t="s">
        <v>120</v>
      </c>
      <c r="E8145" s="5" t="str">
        <f t="shared" si="403"/>
        <v>URGENCIAS ADULTO-Jenny Peña</v>
      </c>
      <c r="F8145" s="5"/>
      <c r="G8145" s="5"/>
    </row>
    <row r="8146" spans="1:7" ht="58.5" customHeight="1" x14ac:dyDescent="0.25">
      <c r="A8146" s="5" t="str">
        <f>"H0033357"</f>
        <v>H0033357</v>
      </c>
      <c r="B8146" s="5" t="str">
        <f t="shared" si="406"/>
        <v>BOMBA DE INFUSION. Apilables.5 modos. 01-1200 ml/h. 0.1 ml incr. Compatible con set de infusión genérico. anti-bolo. Detección de aire. Alarmas visuales audibles. Bitacora 1.000 reg. Batería de litio</v>
      </c>
      <c r="C8146" s="6">
        <v>2533333</v>
      </c>
      <c r="D8146" s="5" t="s">
        <v>120</v>
      </c>
      <c r="E8146" s="5" t="str">
        <f t="shared" si="403"/>
        <v>URGENCIAS ADULTO-Jenny Peña</v>
      </c>
      <c r="F8146" s="5"/>
      <c r="G8146" s="5"/>
    </row>
    <row r="8147" spans="1:7" ht="58.5" customHeight="1" x14ac:dyDescent="0.25">
      <c r="A8147" s="5" t="str">
        <f>"H0033360"</f>
        <v>H0033360</v>
      </c>
      <c r="B8147" s="5" t="str">
        <f t="shared" si="406"/>
        <v>BOMBA DE INFUSION. Apilables.5 modos. 01-1200 ml/h. 0.1 ml incr. Compatible con set de infusión genérico. anti-bolo. Detección de aire. Alarmas visuales audibles. Bitacora 1.000 reg. Batería de litio</v>
      </c>
      <c r="C8147" s="6">
        <v>2533333</v>
      </c>
      <c r="D8147" s="5" t="s">
        <v>120</v>
      </c>
      <c r="E8147" s="5" t="str">
        <f t="shared" si="403"/>
        <v>URGENCIAS ADULTO-Jenny Peña</v>
      </c>
      <c r="F8147" s="5"/>
      <c r="G8147" s="5"/>
    </row>
    <row r="8148" spans="1:7" ht="58.5" customHeight="1" x14ac:dyDescent="0.25">
      <c r="A8148" s="5" t="str">
        <f>"H0033373"</f>
        <v>H0033373</v>
      </c>
      <c r="B8148" s="5" t="str">
        <f t="shared" si="406"/>
        <v>BOMBA DE INFUSION. Apilables.5 modos. 01-1200 ml/h. 0.1 ml incr. Compatible con set de infusión genérico. anti-bolo. Detección de aire. Alarmas visuales audibles. Bitacora 1.000 reg. Batería de litio</v>
      </c>
      <c r="C8148" s="6">
        <v>2533333</v>
      </c>
      <c r="D8148" s="5" t="s">
        <v>120</v>
      </c>
      <c r="E8148" s="5" t="str">
        <f t="shared" si="403"/>
        <v>URGENCIAS ADULTO-Jenny Peña</v>
      </c>
      <c r="F8148" s="5"/>
      <c r="G8148" s="5"/>
    </row>
    <row r="8149" spans="1:7" ht="58.5" customHeight="1" x14ac:dyDescent="0.25">
      <c r="A8149" s="5" t="str">
        <f>"H0033386"</f>
        <v>H0033386</v>
      </c>
      <c r="B8149" s="5" t="str">
        <f t="shared" si="406"/>
        <v>BOMBA DE INFUSION. Apilables.5 modos. 01-1200 ml/h. 0.1 ml incr. Compatible con set de infusión genérico. anti-bolo. Detección de aire. Alarmas visuales audibles. Bitacora 1.000 reg. Batería de litio</v>
      </c>
      <c r="C8149" s="6">
        <v>2533333</v>
      </c>
      <c r="D8149" s="5" t="s">
        <v>120</v>
      </c>
      <c r="E8149" s="5" t="str">
        <f t="shared" si="403"/>
        <v>URGENCIAS ADULTO-Jenny Peña</v>
      </c>
      <c r="F8149" s="5"/>
      <c r="G8149" s="5"/>
    </row>
    <row r="8150" spans="1:7" ht="58.5" customHeight="1" x14ac:dyDescent="0.25">
      <c r="A8150" s="5" t="str">
        <f>"H0033402"</f>
        <v>H0033402</v>
      </c>
      <c r="B8150" s="5" t="str">
        <f t="shared" si="406"/>
        <v>BOMBA DE INFUSION. Apilables.5 modos. 01-1200 ml/h. 0.1 ml incr. Compatible con set de infusión genérico. anti-bolo. Detección de aire. Alarmas visuales audibles. Bitacora 1.000 reg. Batería de litio</v>
      </c>
      <c r="C8150" s="6">
        <v>2533333</v>
      </c>
      <c r="D8150" s="5" t="s">
        <v>120</v>
      </c>
      <c r="E8150" s="5" t="str">
        <f t="shared" si="403"/>
        <v>URGENCIAS ADULTO-Jenny Peña</v>
      </c>
      <c r="F8150" s="5"/>
      <c r="G8150" s="5"/>
    </row>
    <row r="8151" spans="1:7" ht="58.5" customHeight="1" x14ac:dyDescent="0.25">
      <c r="A8151" s="5" t="str">
        <f>"H0033404"</f>
        <v>H0033404</v>
      </c>
      <c r="B8151" s="5" t="str">
        <f t="shared" si="406"/>
        <v>BOMBA DE INFUSION. Apilables.5 modos. 01-1200 ml/h. 0.1 ml incr. Compatible con set de infusión genérico. anti-bolo. Detección de aire. Alarmas visuales audibles. Bitacora 1.000 reg. Batería de litio</v>
      </c>
      <c r="C8151" s="6">
        <v>2533333</v>
      </c>
      <c r="D8151" s="5" t="s">
        <v>120</v>
      </c>
      <c r="E8151" s="5" t="str">
        <f t="shared" si="403"/>
        <v>URGENCIAS ADULTO-Jenny Peña</v>
      </c>
      <c r="F8151" s="5"/>
      <c r="G8151" s="5"/>
    </row>
    <row r="8152" spans="1:7" ht="58.5" customHeight="1" x14ac:dyDescent="0.25">
      <c r="A8152" s="5" t="str">
        <f>"H0033405"</f>
        <v>H0033405</v>
      </c>
      <c r="B8152" s="5" t="str">
        <f t="shared" si="406"/>
        <v>BOMBA DE INFUSION. Apilables.5 modos. 01-1200 ml/h. 0.1 ml incr. Compatible con set de infusión genérico. anti-bolo. Detección de aire. Alarmas visuales audibles. Bitacora 1.000 reg. Batería de litio</v>
      </c>
      <c r="C8152" s="6">
        <v>2533333</v>
      </c>
      <c r="D8152" s="5" t="s">
        <v>120</v>
      </c>
      <c r="E8152" s="5" t="str">
        <f t="shared" si="403"/>
        <v>URGENCIAS ADULTO-Jenny Peña</v>
      </c>
      <c r="F8152" s="5"/>
      <c r="G8152" s="5"/>
    </row>
    <row r="8153" spans="1:7" ht="58.5" customHeight="1" x14ac:dyDescent="0.25">
      <c r="A8153" s="5" t="str">
        <f>"H0033412"</f>
        <v>H0033412</v>
      </c>
      <c r="B8153" s="5" t="str">
        <f t="shared" si="406"/>
        <v>BOMBA DE INFUSION. Apilables.5 modos. 01-1200 ml/h. 0.1 ml incr. Compatible con set de infusión genérico. anti-bolo. Detección de aire. Alarmas visuales audibles. Bitacora 1.000 reg. Batería de litio</v>
      </c>
      <c r="C8153" s="6">
        <v>2533333</v>
      </c>
      <c r="D8153" s="5" t="s">
        <v>120</v>
      </c>
      <c r="E8153" s="5" t="str">
        <f t="shared" si="403"/>
        <v>URGENCIAS ADULTO-Jenny Peña</v>
      </c>
      <c r="F8153" s="5"/>
      <c r="G8153" s="5"/>
    </row>
    <row r="8154" spans="1:7" ht="58.5" customHeight="1" x14ac:dyDescent="0.25">
      <c r="A8154" s="5" t="str">
        <f>"H0033413"</f>
        <v>H0033413</v>
      </c>
      <c r="B8154" s="5" t="str">
        <f t="shared" si="406"/>
        <v>BOMBA DE INFUSION. Apilables.5 modos. 01-1200 ml/h. 0.1 ml incr. Compatible con set de infusión genérico. anti-bolo. Detección de aire. Alarmas visuales audibles. Bitacora 1.000 reg. Batería de litio</v>
      </c>
      <c r="C8154" s="6">
        <v>2533333</v>
      </c>
      <c r="D8154" s="5" t="s">
        <v>120</v>
      </c>
      <c r="E8154" s="5" t="str">
        <f t="shared" si="403"/>
        <v>URGENCIAS ADULTO-Jenny Peña</v>
      </c>
      <c r="F8154" s="5"/>
      <c r="G8154" s="5"/>
    </row>
    <row r="8155" spans="1:7" ht="58.5" customHeight="1" x14ac:dyDescent="0.25">
      <c r="A8155" s="5" t="str">
        <f>"H0033414"</f>
        <v>H0033414</v>
      </c>
      <c r="B8155" s="5" t="str">
        <f t="shared" si="406"/>
        <v>BOMBA DE INFUSION. Apilables.5 modos. 01-1200 ml/h. 0.1 ml incr. Compatible con set de infusión genérico. anti-bolo. Detección de aire. Alarmas visuales audibles. Bitacora 1.000 reg. Batería de litio</v>
      </c>
      <c r="C8155" s="6">
        <v>2533333</v>
      </c>
      <c r="D8155" s="5" t="s">
        <v>120</v>
      </c>
      <c r="E8155" s="5" t="str">
        <f t="shared" si="403"/>
        <v>URGENCIAS ADULTO-Jenny Peña</v>
      </c>
      <c r="F8155" s="5"/>
      <c r="G8155" s="5"/>
    </row>
    <row r="8156" spans="1:7" ht="58.5" customHeight="1" x14ac:dyDescent="0.25">
      <c r="A8156" s="5" t="str">
        <f>"H0033416"</f>
        <v>H0033416</v>
      </c>
      <c r="B8156" s="5" t="str">
        <f t="shared" si="406"/>
        <v>BOMBA DE INFUSION. Apilables.5 modos. 01-1200 ml/h. 0.1 ml incr. Compatible con set de infusión genérico. anti-bolo. Detección de aire. Alarmas visuales audibles. Bitacora 1.000 reg. Batería de litio</v>
      </c>
      <c r="C8156" s="6">
        <v>2533333</v>
      </c>
      <c r="D8156" s="5" t="s">
        <v>120</v>
      </c>
      <c r="E8156" s="5" t="str">
        <f t="shared" si="403"/>
        <v>URGENCIAS ADULTO-Jenny Peña</v>
      </c>
      <c r="F8156" s="5"/>
      <c r="G8156" s="5"/>
    </row>
    <row r="8157" spans="1:7" ht="58.5" customHeight="1" x14ac:dyDescent="0.25">
      <c r="A8157" s="5" t="str">
        <f>"H0033428"</f>
        <v>H0033428</v>
      </c>
      <c r="B8157" s="5" t="str">
        <f t="shared" si="406"/>
        <v>BOMBA DE INFUSION. Apilables.5 modos. 01-1200 ml/h. 0.1 ml incr. Compatible con set de infusión genérico. anti-bolo. Detección de aire. Alarmas visuales audibles. Bitacora 1.000 reg. Batería de litio</v>
      </c>
      <c r="C8157" s="6">
        <v>2533333</v>
      </c>
      <c r="D8157" s="5" t="s">
        <v>120</v>
      </c>
      <c r="E8157" s="5" t="str">
        <f t="shared" si="403"/>
        <v>URGENCIAS ADULTO-Jenny Peña</v>
      </c>
      <c r="F8157" s="5"/>
      <c r="G8157" s="5"/>
    </row>
    <row r="8158" spans="1:7" ht="58.5" customHeight="1" x14ac:dyDescent="0.25">
      <c r="A8158" s="5" t="str">
        <f>"H0033442"</f>
        <v>H0033442</v>
      </c>
      <c r="B8158" s="5" t="str">
        <f t="shared" si="406"/>
        <v>BOMBA DE INFUSION. Apilables.5 modos. 01-1200 ml/h. 0.1 ml incr. Compatible con set de infusión genérico. anti-bolo. Detección de aire. Alarmas visuales audibles. Bitacora 1.000 reg. Batería de litio</v>
      </c>
      <c r="C8158" s="6">
        <v>2225000</v>
      </c>
      <c r="D8158" s="5" t="s">
        <v>119</v>
      </c>
      <c r="E8158" s="5" t="str">
        <f t="shared" si="403"/>
        <v>URGENCIAS ADULTO-Jenny Peña</v>
      </c>
      <c r="F8158" s="5"/>
      <c r="G8158" s="5" t="str">
        <f>"SYS-6010"</f>
        <v>SYS-6010</v>
      </c>
    </row>
    <row r="8159" spans="1:7" ht="58.5" customHeight="1" x14ac:dyDescent="0.25">
      <c r="A8159" s="5" t="str">
        <f>"H0033445"</f>
        <v>H0033445</v>
      </c>
      <c r="B8159" s="5" t="str">
        <f t="shared" si="406"/>
        <v>BOMBA DE INFUSION. Apilables.5 modos. 01-1200 ml/h. 0.1 ml incr. Compatible con set de infusión genérico. anti-bolo. Detección de aire. Alarmas visuales audibles. Bitacora 1.000 reg. Batería de litio</v>
      </c>
      <c r="C8159" s="6">
        <v>2225000</v>
      </c>
      <c r="D8159" s="5" t="s">
        <v>119</v>
      </c>
      <c r="E8159" s="5" t="str">
        <f t="shared" si="403"/>
        <v>URGENCIAS ADULTO-Jenny Peña</v>
      </c>
      <c r="F8159" s="5"/>
      <c r="G8159" s="5" t="str">
        <f>"SYS-6010"</f>
        <v>SYS-6010</v>
      </c>
    </row>
    <row r="8160" spans="1:7" ht="58.5" customHeight="1" x14ac:dyDescent="0.25">
      <c r="A8160" s="5" t="str">
        <f>"H0033479"</f>
        <v>H0033479</v>
      </c>
      <c r="B8160" s="5" t="str">
        <f t="shared" si="406"/>
        <v>BOMBA DE INFUSION. Apilables.5 modos. 01-1200 ml/h. 0.1 ml incr. Compatible con set de infusión genérico. anti-bolo. Detección de aire. Alarmas visuales audibles. Bitacora 1.000 reg. Batería de litio</v>
      </c>
      <c r="C8160" s="6">
        <v>2533333</v>
      </c>
      <c r="D8160" s="5" t="s">
        <v>120</v>
      </c>
      <c r="E8160" s="5" t="str">
        <f t="shared" si="403"/>
        <v>URGENCIAS ADULTO-Jenny Peña</v>
      </c>
      <c r="F8160" s="5"/>
      <c r="G8160" s="5"/>
    </row>
    <row r="8161" spans="1:7" ht="58.5" customHeight="1" x14ac:dyDescent="0.25">
      <c r="A8161" s="5" t="str">
        <f>"H0033487"</f>
        <v>H0033487</v>
      </c>
      <c r="B8161" s="5" t="str">
        <f t="shared" si="406"/>
        <v>BOMBA DE INFUSION. Apilables.5 modos. 01-1200 ml/h. 0.1 ml incr. Compatible con set de infusión genérico. anti-bolo. Detección de aire. Alarmas visuales audibles. Bitacora 1.000 reg. Batería de litio</v>
      </c>
      <c r="C8161" s="6">
        <v>2533333</v>
      </c>
      <c r="D8161" s="5" t="s">
        <v>120</v>
      </c>
      <c r="E8161" s="5" t="str">
        <f t="shared" si="403"/>
        <v>URGENCIAS ADULTO-Jenny Peña</v>
      </c>
      <c r="F8161" s="5"/>
      <c r="G8161" s="5"/>
    </row>
    <row r="8162" spans="1:7" ht="58.5" customHeight="1" x14ac:dyDescent="0.25">
      <c r="A8162" s="5" t="str">
        <f>"H0033494"</f>
        <v>H0033494</v>
      </c>
      <c r="B8162" s="5" t="str">
        <f t="shared" si="406"/>
        <v>BOMBA DE INFUSION. Apilables.5 modos. 01-1200 ml/h. 0.1 ml incr. Compatible con set de infusión genérico. anti-bolo. Detección de aire. Alarmas visuales audibles. Bitacora 1.000 reg. Batería de litio</v>
      </c>
      <c r="C8162" s="6">
        <v>2533333</v>
      </c>
      <c r="D8162" s="5" t="s">
        <v>120</v>
      </c>
      <c r="E8162" s="5" t="str">
        <f t="shared" si="403"/>
        <v>URGENCIAS ADULTO-Jenny Peña</v>
      </c>
      <c r="F8162" s="5"/>
      <c r="G8162" s="5"/>
    </row>
    <row r="8163" spans="1:7" ht="58.5" customHeight="1" x14ac:dyDescent="0.25">
      <c r="A8163" s="5" t="str">
        <f>"H0033496"</f>
        <v>H0033496</v>
      </c>
      <c r="B8163" s="5" t="str">
        <f t="shared" si="406"/>
        <v>BOMBA DE INFUSION. Apilables.5 modos. 01-1200 ml/h. 0.1 ml incr. Compatible con set de infusión genérico. anti-bolo. Detección de aire. Alarmas visuales audibles. Bitacora 1.000 reg. Batería de litio</v>
      </c>
      <c r="C8163" s="6">
        <v>2533333</v>
      </c>
      <c r="D8163" s="5" t="s">
        <v>120</v>
      </c>
      <c r="E8163" s="5" t="str">
        <f t="shared" si="403"/>
        <v>URGENCIAS ADULTO-Jenny Peña</v>
      </c>
      <c r="F8163" s="5"/>
      <c r="G8163" s="5"/>
    </row>
    <row r="8164" spans="1:7" ht="58.5" customHeight="1" x14ac:dyDescent="0.25">
      <c r="A8164" s="5" t="str">
        <f>"H0033513"</f>
        <v>H0033513</v>
      </c>
      <c r="B8164" s="5" t="str">
        <f t="shared" si="406"/>
        <v>BOMBA DE INFUSION. Apilables.5 modos. 01-1200 ml/h. 0.1 ml incr. Compatible con set de infusión genérico. anti-bolo. Detección de aire. Alarmas visuales audibles. Bitacora 1.000 reg. Batería de litio</v>
      </c>
      <c r="C8164" s="6">
        <v>2533333</v>
      </c>
      <c r="D8164" s="5" t="s">
        <v>120</v>
      </c>
      <c r="E8164" s="5" t="str">
        <f t="shared" si="403"/>
        <v>URGENCIAS ADULTO-Jenny Peña</v>
      </c>
      <c r="F8164" s="5"/>
      <c r="G8164" s="5"/>
    </row>
    <row r="8165" spans="1:7" ht="58.5" customHeight="1" x14ac:dyDescent="0.25">
      <c r="A8165" s="5" t="str">
        <f>"H0033523"</f>
        <v>H0033523</v>
      </c>
      <c r="B8165" s="5" t="str">
        <f t="shared" si="406"/>
        <v>BOMBA DE INFUSION. Apilables.5 modos. 01-1200 ml/h. 0.1 ml incr. Compatible con set de infusión genérico. anti-bolo. Detección de aire. Alarmas visuales audibles. Bitacora 1.000 reg. Batería de litio</v>
      </c>
      <c r="C8165" s="6">
        <v>2533333</v>
      </c>
      <c r="D8165" s="5" t="s">
        <v>120</v>
      </c>
      <c r="E8165" s="5" t="str">
        <f t="shared" ref="E8165:E8228" si="407">"URGENCIAS ADULTO-Jenny Peña"</f>
        <v>URGENCIAS ADULTO-Jenny Peña</v>
      </c>
      <c r="F8165" s="5"/>
      <c r="G8165" s="5"/>
    </row>
    <row r="8166" spans="1:7" ht="58.5" customHeight="1" x14ac:dyDescent="0.25">
      <c r="A8166" s="5" t="str">
        <f>"H0033526"</f>
        <v>H0033526</v>
      </c>
      <c r="B8166" s="5" t="str">
        <f t="shared" si="406"/>
        <v>BOMBA DE INFUSION. Apilables.5 modos. 01-1200 ml/h. 0.1 ml incr. Compatible con set de infusión genérico. anti-bolo. Detección de aire. Alarmas visuales audibles. Bitacora 1.000 reg. Batería de litio</v>
      </c>
      <c r="C8166" s="6">
        <v>2533333</v>
      </c>
      <c r="D8166" s="5" t="s">
        <v>120</v>
      </c>
      <c r="E8166" s="5" t="str">
        <f t="shared" si="407"/>
        <v>URGENCIAS ADULTO-Jenny Peña</v>
      </c>
      <c r="F8166" s="5"/>
      <c r="G8166" s="5"/>
    </row>
    <row r="8167" spans="1:7" ht="58.5" customHeight="1" x14ac:dyDescent="0.25">
      <c r="A8167" s="5" t="str">
        <f>"H0033536"</f>
        <v>H0033536</v>
      </c>
      <c r="B8167" s="5" t="str">
        <f t="shared" si="406"/>
        <v>BOMBA DE INFUSION. Apilables.5 modos. 01-1200 ml/h. 0.1 ml incr. Compatible con set de infusión genérico. anti-bolo. Detección de aire. Alarmas visuales audibles. Bitacora 1.000 reg. Batería de litio</v>
      </c>
      <c r="C8167" s="6">
        <v>2533333</v>
      </c>
      <c r="D8167" s="5" t="s">
        <v>120</v>
      </c>
      <c r="E8167" s="5" t="str">
        <f t="shared" si="407"/>
        <v>URGENCIAS ADULTO-Jenny Peña</v>
      </c>
      <c r="F8167" s="5"/>
      <c r="G8167" s="5"/>
    </row>
    <row r="8168" spans="1:7" ht="58.5" customHeight="1" x14ac:dyDescent="0.25">
      <c r="A8168" s="5" t="str">
        <f>"H0033542"</f>
        <v>H0033542</v>
      </c>
      <c r="B8168" s="5" t="str">
        <f t="shared" ref="B8168:B8202" si="408">"BOMBA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168" s="6">
        <v>2533333</v>
      </c>
      <c r="D8168" s="5" t="s">
        <v>120</v>
      </c>
      <c r="E8168" s="5" t="str">
        <f t="shared" si="407"/>
        <v>URGENCIAS ADULTO-Jenny Peña</v>
      </c>
      <c r="F8168" s="5"/>
      <c r="G8168" s="5"/>
    </row>
    <row r="8169" spans="1:7" ht="58.5" customHeight="1" x14ac:dyDescent="0.25">
      <c r="A8169" s="5" t="str">
        <f>"H0033564"</f>
        <v>H0033564</v>
      </c>
      <c r="B8169" s="5" t="str">
        <f t="shared" si="408"/>
        <v>BOMBA DE INFUSION. Apilables.5 modos. 01-1200 ml/h. 0.1 ml incr. Compatible con set de infusión genérico. anti-bolo. Detección de aire. Alarmas visuales audibles. Bitacora 1.000 reg. Batería de litio</v>
      </c>
      <c r="C8169" s="6">
        <v>2533333</v>
      </c>
      <c r="D8169" s="5" t="s">
        <v>120</v>
      </c>
      <c r="E8169" s="5" t="str">
        <f t="shared" si="407"/>
        <v>URGENCIAS ADULTO-Jenny Peña</v>
      </c>
      <c r="F8169" s="5"/>
      <c r="G8169" s="5"/>
    </row>
    <row r="8170" spans="1:7" ht="58.5" customHeight="1" x14ac:dyDescent="0.25">
      <c r="A8170" s="5" t="str">
        <f>"H0033573"</f>
        <v>H0033573</v>
      </c>
      <c r="B8170" s="5" t="str">
        <f t="shared" si="408"/>
        <v>BOMBA DE INFUSION. Apilables.5 modos. 01-1200 ml/h. 0.1 ml incr. Compatible con set de infusión genérico. anti-bolo. Detección de aire. Alarmas visuales audibles. Bitacora 1.000 reg. Batería de litio</v>
      </c>
      <c r="C8170" s="6">
        <v>2533333</v>
      </c>
      <c r="D8170" s="5" t="s">
        <v>120</v>
      </c>
      <c r="E8170" s="5" t="str">
        <f t="shared" si="407"/>
        <v>URGENCIAS ADULTO-Jenny Peña</v>
      </c>
      <c r="F8170" s="5"/>
      <c r="G8170" s="5"/>
    </row>
    <row r="8171" spans="1:7" ht="58.5" customHeight="1" x14ac:dyDescent="0.25">
      <c r="A8171" s="5" t="str">
        <f>"H0033593"</f>
        <v>H0033593</v>
      </c>
      <c r="B8171" s="5" t="str">
        <f t="shared" si="408"/>
        <v>BOMBA DE INFUSION. Apilables.5 modos. 01-1200 ml/h. 0.1 ml incr. Compatible con set de infusión genérico. anti-bolo. Detección de aire. Alarmas visuales audibles. Bitacora 1.000 reg. Batería de litio</v>
      </c>
      <c r="C8171" s="6">
        <v>2533333</v>
      </c>
      <c r="D8171" s="5" t="s">
        <v>120</v>
      </c>
      <c r="E8171" s="5" t="str">
        <f t="shared" si="407"/>
        <v>URGENCIAS ADULTO-Jenny Peña</v>
      </c>
      <c r="F8171" s="5"/>
      <c r="G8171" s="5"/>
    </row>
    <row r="8172" spans="1:7" ht="58.5" customHeight="1" x14ac:dyDescent="0.25">
      <c r="A8172" s="5" t="str">
        <f>"H0033595"</f>
        <v>H0033595</v>
      </c>
      <c r="B8172" s="5" t="str">
        <f t="shared" si="408"/>
        <v>BOMBA DE INFUSION. Apilables.5 modos. 01-1200 ml/h. 0.1 ml incr. Compatible con set de infusión genérico. anti-bolo. Detección de aire. Alarmas visuales audibles. Bitacora 1.000 reg. Batería de litio</v>
      </c>
      <c r="C8172" s="6">
        <v>2533333</v>
      </c>
      <c r="D8172" s="5" t="s">
        <v>120</v>
      </c>
      <c r="E8172" s="5" t="str">
        <f t="shared" si="407"/>
        <v>URGENCIAS ADULTO-Jenny Peña</v>
      </c>
      <c r="F8172" s="5"/>
      <c r="G8172" s="5"/>
    </row>
    <row r="8173" spans="1:7" ht="58.5" customHeight="1" x14ac:dyDescent="0.25">
      <c r="A8173" s="5" t="str">
        <f>"H0033599"</f>
        <v>H0033599</v>
      </c>
      <c r="B8173" s="5" t="str">
        <f t="shared" si="408"/>
        <v>BOMBA DE INFUSION. Apilables.5 modos. 01-1200 ml/h. 0.1 ml incr. Compatible con set de infusión genérico. anti-bolo. Detección de aire. Alarmas visuales audibles. Bitacora 1.000 reg. Batería de litio</v>
      </c>
      <c r="C8173" s="6">
        <v>2533333</v>
      </c>
      <c r="D8173" s="5" t="s">
        <v>120</v>
      </c>
      <c r="E8173" s="5" t="str">
        <f t="shared" si="407"/>
        <v>URGENCIAS ADULTO-Jenny Peña</v>
      </c>
      <c r="F8173" s="5"/>
      <c r="G8173" s="5"/>
    </row>
    <row r="8174" spans="1:7" ht="58.5" customHeight="1" x14ac:dyDescent="0.25">
      <c r="A8174" s="5" t="str">
        <f>"H0033608"</f>
        <v>H0033608</v>
      </c>
      <c r="B8174" s="5" t="str">
        <f t="shared" si="408"/>
        <v>BOMBA DE INFUSION. Apilables.5 modos. 01-1200 ml/h. 0.1 ml incr. Compatible con set de infusión genérico. anti-bolo. Detección de aire. Alarmas visuales audibles. Bitacora 1.000 reg. Batería de litio</v>
      </c>
      <c r="C8174" s="6">
        <v>2533333</v>
      </c>
      <c r="D8174" s="5" t="s">
        <v>120</v>
      </c>
      <c r="E8174" s="5" t="str">
        <f t="shared" si="407"/>
        <v>URGENCIAS ADULTO-Jenny Peña</v>
      </c>
      <c r="F8174" s="5"/>
      <c r="G8174" s="5"/>
    </row>
    <row r="8175" spans="1:7" ht="58.5" customHeight="1" x14ac:dyDescent="0.25">
      <c r="A8175" s="5" t="str">
        <f>"H0033609"</f>
        <v>H0033609</v>
      </c>
      <c r="B8175" s="5" t="str">
        <f t="shared" si="408"/>
        <v>BOMBA DE INFUSION. Apilables.5 modos. 01-1200 ml/h. 0.1 ml incr. Compatible con set de infusión genérico. anti-bolo. Detección de aire. Alarmas visuales audibles. Bitacora 1.000 reg. Batería de litio</v>
      </c>
      <c r="C8175" s="6">
        <v>2533333</v>
      </c>
      <c r="D8175" s="5" t="s">
        <v>120</v>
      </c>
      <c r="E8175" s="5" t="str">
        <f t="shared" si="407"/>
        <v>URGENCIAS ADULTO-Jenny Peña</v>
      </c>
      <c r="F8175" s="5"/>
      <c r="G8175" s="5"/>
    </row>
    <row r="8176" spans="1:7" ht="58.5" customHeight="1" x14ac:dyDescent="0.25">
      <c r="A8176" s="5" t="str">
        <f>"H0033614"</f>
        <v>H0033614</v>
      </c>
      <c r="B8176" s="5" t="str">
        <f t="shared" si="408"/>
        <v>BOMBA DE INFUSION. Apilables.5 modos. 01-1200 ml/h. 0.1 ml incr. Compatible con set de infusión genérico. anti-bolo. Detección de aire. Alarmas visuales audibles. Bitacora 1.000 reg. Batería de litio</v>
      </c>
      <c r="C8176" s="6">
        <v>2533333</v>
      </c>
      <c r="D8176" s="5" t="s">
        <v>120</v>
      </c>
      <c r="E8176" s="5" t="str">
        <f t="shared" si="407"/>
        <v>URGENCIAS ADULTO-Jenny Peña</v>
      </c>
      <c r="F8176" s="5"/>
      <c r="G8176" s="5"/>
    </row>
    <row r="8177" spans="1:7" ht="58.5" customHeight="1" x14ac:dyDescent="0.25">
      <c r="A8177" s="5" t="str">
        <f>"H0033618"</f>
        <v>H0033618</v>
      </c>
      <c r="B8177" s="5" t="str">
        <f t="shared" si="408"/>
        <v>BOMBA DE INFUSION. Apilables.5 modos. 01-1200 ml/h. 0.1 ml incr. Compatible con set de infusión genérico. anti-bolo. Detección de aire. Alarmas visuales audibles. Bitacora 1.000 reg. Batería de litio</v>
      </c>
      <c r="C8177" s="6">
        <v>2533333</v>
      </c>
      <c r="D8177" s="5" t="s">
        <v>120</v>
      </c>
      <c r="E8177" s="5" t="str">
        <f t="shared" si="407"/>
        <v>URGENCIAS ADULTO-Jenny Peña</v>
      </c>
      <c r="F8177" s="5"/>
      <c r="G8177" s="5"/>
    </row>
    <row r="8178" spans="1:7" ht="58.5" customHeight="1" x14ac:dyDescent="0.25">
      <c r="A8178" s="5" t="str">
        <f>"H0033619"</f>
        <v>H0033619</v>
      </c>
      <c r="B8178" s="5" t="str">
        <f t="shared" si="408"/>
        <v>BOMBA DE INFUSION. Apilables.5 modos. 01-1200 ml/h. 0.1 ml incr. Compatible con set de infusión genérico. anti-bolo. Detección de aire. Alarmas visuales audibles. Bitacora 1.000 reg. Batería de litio</v>
      </c>
      <c r="C8178" s="6">
        <v>2533333</v>
      </c>
      <c r="D8178" s="5" t="s">
        <v>120</v>
      </c>
      <c r="E8178" s="5" t="str">
        <f t="shared" si="407"/>
        <v>URGENCIAS ADULTO-Jenny Peña</v>
      </c>
      <c r="F8178" s="5"/>
      <c r="G8178" s="5"/>
    </row>
    <row r="8179" spans="1:7" ht="58.5" customHeight="1" x14ac:dyDescent="0.25">
      <c r="A8179" s="5" t="str">
        <f>"H0033631"</f>
        <v>H0033631</v>
      </c>
      <c r="B8179" s="5" t="str">
        <f t="shared" si="408"/>
        <v>BOMBA DE INFUSION. Apilables.5 modos. 01-1200 ml/h. 0.1 ml incr. Compatible con set de infusión genérico. anti-bolo. Detección de aire. Alarmas visuales audibles. Bitacora 1.000 reg. Batería de litio</v>
      </c>
      <c r="C8179" s="6">
        <v>2533333</v>
      </c>
      <c r="D8179" s="5" t="s">
        <v>487</v>
      </c>
      <c r="E8179" s="5" t="str">
        <f t="shared" si="407"/>
        <v>URGENCIAS ADULTO-Jenny Peña</v>
      </c>
      <c r="F8179" s="5"/>
      <c r="G8179" s="5"/>
    </row>
    <row r="8180" spans="1:7" ht="58.5" customHeight="1" x14ac:dyDescent="0.25">
      <c r="A8180" s="5" t="str">
        <f>"H0033646"</f>
        <v>H0033646</v>
      </c>
      <c r="B8180" s="5" t="str">
        <f t="shared" si="408"/>
        <v>BOMBA DE INFUSION. Apilables.5 modos. 01-1200 ml/h. 0.1 ml incr. Compatible con set de infusión genérico. anti-bolo. Detección de aire. Alarmas visuales audibles. Bitacora 1.000 reg. Batería de litio</v>
      </c>
      <c r="C8180" s="6">
        <v>2533333</v>
      </c>
      <c r="D8180" s="5" t="s">
        <v>120</v>
      </c>
      <c r="E8180" s="5" t="str">
        <f t="shared" si="407"/>
        <v>URGENCIAS ADULTO-Jenny Peña</v>
      </c>
      <c r="F8180" s="5"/>
      <c r="G8180" s="5"/>
    </row>
    <row r="8181" spans="1:7" ht="58.5" customHeight="1" x14ac:dyDescent="0.25">
      <c r="A8181" s="5" t="str">
        <f>"H0033672"</f>
        <v>H0033672</v>
      </c>
      <c r="B8181" s="5" t="str">
        <f t="shared" si="408"/>
        <v>BOMBA DE INFUSION. Apilables.5 modos. 01-1200 ml/h. 0.1 ml incr. Compatible con set de infusión genérico. anti-bolo. Detección de aire. Alarmas visuales audibles. Bitacora 1.000 reg. Batería de litio</v>
      </c>
      <c r="C8181" s="6">
        <v>2533333</v>
      </c>
      <c r="D8181" s="5" t="s">
        <v>120</v>
      </c>
      <c r="E8181" s="5" t="str">
        <f t="shared" si="407"/>
        <v>URGENCIAS ADULTO-Jenny Peña</v>
      </c>
      <c r="F8181" s="5"/>
      <c r="G8181" s="5"/>
    </row>
    <row r="8182" spans="1:7" ht="58.5" customHeight="1" x14ac:dyDescent="0.25">
      <c r="A8182" s="5" t="str">
        <f>"H0033680"</f>
        <v>H0033680</v>
      </c>
      <c r="B8182" s="5" t="str">
        <f t="shared" si="408"/>
        <v>BOMBA DE INFUSION. Apilables.5 modos. 01-1200 ml/h. 0.1 ml incr. Compatible con set de infusión genérico. anti-bolo. Detección de aire. Alarmas visuales audibles. Bitacora 1.000 reg. Batería de litio</v>
      </c>
      <c r="C8182" s="6">
        <v>2533333</v>
      </c>
      <c r="D8182" s="5" t="s">
        <v>120</v>
      </c>
      <c r="E8182" s="5" t="str">
        <f t="shared" si="407"/>
        <v>URGENCIAS ADULTO-Jenny Peña</v>
      </c>
      <c r="F8182" s="5"/>
      <c r="G8182" s="5"/>
    </row>
    <row r="8183" spans="1:7" ht="58.5" customHeight="1" x14ac:dyDescent="0.25">
      <c r="A8183" s="5" t="str">
        <f>"H0033682"</f>
        <v>H0033682</v>
      </c>
      <c r="B8183" s="5" t="str">
        <f t="shared" si="408"/>
        <v>BOMBA DE INFUSION. Apilables.5 modos. 01-1200 ml/h. 0.1 ml incr. Compatible con set de infusión genérico. anti-bolo. Detección de aire. Alarmas visuales audibles. Bitacora 1.000 reg. Batería de litio</v>
      </c>
      <c r="C8183" s="6">
        <v>2533333</v>
      </c>
      <c r="D8183" s="5" t="s">
        <v>120</v>
      </c>
      <c r="E8183" s="5" t="str">
        <f t="shared" si="407"/>
        <v>URGENCIAS ADULTO-Jenny Peña</v>
      </c>
      <c r="F8183" s="5"/>
      <c r="G8183" s="5"/>
    </row>
    <row r="8184" spans="1:7" ht="58.5" customHeight="1" x14ac:dyDescent="0.25">
      <c r="A8184" s="5" t="str">
        <f>"H0033699"</f>
        <v>H0033699</v>
      </c>
      <c r="B8184" s="5" t="str">
        <f t="shared" si="408"/>
        <v>BOMBA DE INFUSION. Apilables.5 modos. 01-1200 ml/h. 0.1 ml incr. Compatible con set de infusión genérico. anti-bolo. Detección de aire. Alarmas visuales audibles. Bitacora 1.000 reg. Batería de litio</v>
      </c>
      <c r="C8184" s="6">
        <v>2533333</v>
      </c>
      <c r="D8184" s="5" t="s">
        <v>120</v>
      </c>
      <c r="E8184" s="5" t="str">
        <f t="shared" si="407"/>
        <v>URGENCIAS ADULTO-Jenny Peña</v>
      </c>
      <c r="F8184" s="5"/>
      <c r="G8184" s="5"/>
    </row>
    <row r="8185" spans="1:7" ht="58.5" customHeight="1" x14ac:dyDescent="0.25">
      <c r="A8185" s="5" t="str">
        <f>"H0033716"</f>
        <v>H0033716</v>
      </c>
      <c r="B8185" s="5" t="str">
        <f t="shared" si="408"/>
        <v>BOMBA DE INFUSION. Apilables.5 modos. 01-1200 ml/h. 0.1 ml incr. Compatible con set de infusión genérico. anti-bolo. Detección de aire. Alarmas visuales audibles. Bitacora 1.000 reg. Batería de litio</v>
      </c>
      <c r="C8185" s="6">
        <v>2533333</v>
      </c>
      <c r="D8185" s="5" t="s">
        <v>120</v>
      </c>
      <c r="E8185" s="5" t="str">
        <f t="shared" si="407"/>
        <v>URGENCIAS ADULTO-Jenny Peña</v>
      </c>
      <c r="F8185" s="5"/>
      <c r="G8185" s="5"/>
    </row>
    <row r="8186" spans="1:7" ht="58.5" customHeight="1" x14ac:dyDescent="0.25">
      <c r="A8186" s="5" t="str">
        <f>"H0033722"</f>
        <v>H0033722</v>
      </c>
      <c r="B8186" s="5" t="str">
        <f t="shared" si="408"/>
        <v>BOMBA DE INFUSION. Apilables.5 modos. 01-1200 ml/h. 0.1 ml incr. Compatible con set de infusión genérico. anti-bolo. Detección de aire. Alarmas visuales audibles. Bitacora 1.000 reg. Batería de litio</v>
      </c>
      <c r="C8186" s="6">
        <v>2533333</v>
      </c>
      <c r="D8186" s="5" t="s">
        <v>120</v>
      </c>
      <c r="E8186" s="5" t="str">
        <f t="shared" si="407"/>
        <v>URGENCIAS ADULTO-Jenny Peña</v>
      </c>
      <c r="F8186" s="5"/>
      <c r="G8186" s="5"/>
    </row>
    <row r="8187" spans="1:7" ht="58.5" customHeight="1" x14ac:dyDescent="0.25">
      <c r="A8187" s="5" t="str">
        <f>"H0033726"</f>
        <v>H0033726</v>
      </c>
      <c r="B8187" s="5" t="str">
        <f t="shared" si="408"/>
        <v>BOMBA DE INFUSION. Apilables.5 modos. 01-1200 ml/h. 0.1 ml incr. Compatible con set de infusión genérico. anti-bolo. Detección de aire. Alarmas visuales audibles. Bitacora 1.000 reg. Batería de litio</v>
      </c>
      <c r="C8187" s="6">
        <v>2533333</v>
      </c>
      <c r="D8187" s="5" t="s">
        <v>120</v>
      </c>
      <c r="E8187" s="5" t="str">
        <f t="shared" si="407"/>
        <v>URGENCIAS ADULTO-Jenny Peña</v>
      </c>
      <c r="F8187" s="5"/>
      <c r="G8187" s="5"/>
    </row>
    <row r="8188" spans="1:7" ht="58.5" customHeight="1" x14ac:dyDescent="0.25">
      <c r="A8188" s="5" t="str">
        <f>"H0033739"</f>
        <v>H0033739</v>
      </c>
      <c r="B8188" s="5" t="str">
        <f t="shared" si="408"/>
        <v>BOMBA DE INFUSION. Apilables.5 modos. 01-1200 ml/h. 0.1 ml incr. Compatible con set de infusión genérico. anti-bolo. Detección de aire. Alarmas visuales audibles. Bitacora 1.000 reg. Batería de litio</v>
      </c>
      <c r="C8188" s="6">
        <v>2533333</v>
      </c>
      <c r="D8188" s="5" t="s">
        <v>120</v>
      </c>
      <c r="E8188" s="5" t="str">
        <f t="shared" si="407"/>
        <v>URGENCIAS ADULTO-Jenny Peña</v>
      </c>
      <c r="F8188" s="5"/>
      <c r="G8188" s="5"/>
    </row>
    <row r="8189" spans="1:7" ht="58.5" customHeight="1" x14ac:dyDescent="0.25">
      <c r="A8189" s="5" t="str">
        <f>"H0033753"</f>
        <v>H0033753</v>
      </c>
      <c r="B8189" s="5" t="str">
        <f t="shared" si="408"/>
        <v>BOMBA DE INFUSION. Apilables.5 modos. 01-1200 ml/h. 0.1 ml incr. Compatible con set de infusión genérico. anti-bolo. Detección de aire. Alarmas visuales audibles. Bitacora 1.000 reg. Batería de litio</v>
      </c>
      <c r="C8189" s="6">
        <v>2533333</v>
      </c>
      <c r="D8189" s="5" t="s">
        <v>120</v>
      </c>
      <c r="E8189" s="5" t="str">
        <f t="shared" si="407"/>
        <v>URGENCIAS ADULTO-Jenny Peña</v>
      </c>
      <c r="F8189" s="5"/>
      <c r="G8189" s="5"/>
    </row>
    <row r="8190" spans="1:7" ht="58.5" customHeight="1" x14ac:dyDescent="0.25">
      <c r="A8190" s="5" t="str">
        <f>"H0033756"</f>
        <v>H0033756</v>
      </c>
      <c r="B8190" s="5" t="str">
        <f t="shared" si="408"/>
        <v>BOMBA DE INFUSION. Apilables.5 modos. 01-1200 ml/h. 0.1 ml incr. Compatible con set de infusión genérico. anti-bolo. Detección de aire. Alarmas visuales audibles. Bitacora 1.000 reg. Batería de litio</v>
      </c>
      <c r="C8190" s="6">
        <v>2533333</v>
      </c>
      <c r="D8190" s="5" t="s">
        <v>120</v>
      </c>
      <c r="E8190" s="5" t="str">
        <f t="shared" si="407"/>
        <v>URGENCIAS ADULTO-Jenny Peña</v>
      </c>
      <c r="F8190" s="5"/>
      <c r="G8190" s="5"/>
    </row>
    <row r="8191" spans="1:7" ht="58.5" customHeight="1" x14ac:dyDescent="0.25">
      <c r="A8191" s="5" t="str">
        <f>"H0033770"</f>
        <v>H0033770</v>
      </c>
      <c r="B8191" s="5" t="str">
        <f t="shared" si="408"/>
        <v>BOMBA DE INFUSION. Apilables.5 modos. 01-1200 ml/h. 0.1 ml incr. Compatible con set de infusión genérico. anti-bolo. Detección de aire. Alarmas visuales audibles. Bitacora 1.000 reg. Batería de litio</v>
      </c>
      <c r="C8191" s="6">
        <v>2533333</v>
      </c>
      <c r="D8191" s="5" t="s">
        <v>120</v>
      </c>
      <c r="E8191" s="5" t="str">
        <f t="shared" si="407"/>
        <v>URGENCIAS ADULTO-Jenny Peña</v>
      </c>
      <c r="F8191" s="5"/>
      <c r="G8191" s="5"/>
    </row>
    <row r="8192" spans="1:7" ht="58.5" customHeight="1" x14ac:dyDescent="0.25">
      <c r="A8192" s="5" t="str">
        <f>"H0033778"</f>
        <v>H0033778</v>
      </c>
      <c r="B8192" s="5" t="str">
        <f t="shared" si="408"/>
        <v>BOMBA DE INFUSION. Apilables.5 modos. 01-1200 ml/h. 0.1 ml incr. Compatible con set de infusión genérico. anti-bolo. Detección de aire. Alarmas visuales audibles. Bitacora 1.000 reg. Batería de litio</v>
      </c>
      <c r="C8192" s="6">
        <v>2533333</v>
      </c>
      <c r="D8192" s="5" t="s">
        <v>120</v>
      </c>
      <c r="E8192" s="5" t="str">
        <f t="shared" si="407"/>
        <v>URGENCIAS ADULTO-Jenny Peña</v>
      </c>
      <c r="F8192" s="5"/>
      <c r="G8192" s="5"/>
    </row>
    <row r="8193" spans="1:7" ht="58.5" customHeight="1" x14ac:dyDescent="0.25">
      <c r="A8193" s="5" t="str">
        <f>"H0033780"</f>
        <v>H0033780</v>
      </c>
      <c r="B8193" s="5" t="str">
        <f t="shared" si="408"/>
        <v>BOMBA DE INFUSION. Apilables.5 modos. 01-1200 ml/h. 0.1 ml incr. Compatible con set de infusión genérico. anti-bolo. Detección de aire. Alarmas visuales audibles. Bitacora 1.000 reg. Batería de litio</v>
      </c>
      <c r="C8193" s="6">
        <v>2533333</v>
      </c>
      <c r="D8193" s="5" t="s">
        <v>120</v>
      </c>
      <c r="E8193" s="5" t="str">
        <f t="shared" si="407"/>
        <v>URGENCIAS ADULTO-Jenny Peña</v>
      </c>
      <c r="F8193" s="5"/>
      <c r="G8193" s="5"/>
    </row>
    <row r="8194" spans="1:7" ht="58.5" customHeight="1" x14ac:dyDescent="0.25">
      <c r="A8194" s="5" t="str">
        <f>"H0033807"</f>
        <v>H0033807</v>
      </c>
      <c r="B8194" s="5" t="str">
        <f t="shared" si="408"/>
        <v>BOMBA DE INFUSION. Apilables.5 modos. 01-1200 ml/h. 0.1 ml incr. Compatible con set de infusión genérico. anti-bolo. Detección de aire. Alarmas visuales audibles. Bitacora 1.000 reg. Batería de litio</v>
      </c>
      <c r="C8194" s="6">
        <v>2533333</v>
      </c>
      <c r="D8194" s="5" t="s">
        <v>120</v>
      </c>
      <c r="E8194" s="5" t="str">
        <f t="shared" si="407"/>
        <v>URGENCIAS ADULTO-Jenny Peña</v>
      </c>
      <c r="F8194" s="5"/>
      <c r="G8194" s="5"/>
    </row>
    <row r="8195" spans="1:7" ht="58.5" customHeight="1" x14ac:dyDescent="0.25">
      <c r="A8195" s="5" t="str">
        <f>"H0033811"</f>
        <v>H0033811</v>
      </c>
      <c r="B8195" s="5" t="str">
        <f t="shared" si="408"/>
        <v>BOMBA DE INFUSION. Apilables.5 modos. 01-1200 ml/h. 0.1 ml incr. Compatible con set de infusión genérico. anti-bolo. Detección de aire. Alarmas visuales audibles. Bitacora 1.000 reg. Batería de litio</v>
      </c>
      <c r="C8195" s="6">
        <v>2533333</v>
      </c>
      <c r="D8195" s="5" t="s">
        <v>120</v>
      </c>
      <c r="E8195" s="5" t="str">
        <f t="shared" si="407"/>
        <v>URGENCIAS ADULTO-Jenny Peña</v>
      </c>
      <c r="F8195" s="5"/>
      <c r="G8195" s="5"/>
    </row>
    <row r="8196" spans="1:7" ht="58.5" customHeight="1" x14ac:dyDescent="0.25">
      <c r="A8196" s="5" t="str">
        <f>"H0033812"</f>
        <v>H0033812</v>
      </c>
      <c r="B8196" s="5" t="str">
        <f t="shared" si="408"/>
        <v>BOMBA DE INFUSION. Apilables.5 modos. 01-1200 ml/h. 0.1 ml incr. Compatible con set de infusión genérico. anti-bolo. Detección de aire. Alarmas visuales audibles. Bitacora 1.000 reg. Batería de litio</v>
      </c>
      <c r="C8196" s="6">
        <v>2533333</v>
      </c>
      <c r="D8196" s="5" t="s">
        <v>120</v>
      </c>
      <c r="E8196" s="5" t="str">
        <f t="shared" si="407"/>
        <v>URGENCIAS ADULTO-Jenny Peña</v>
      </c>
      <c r="F8196" s="5"/>
      <c r="G8196" s="5"/>
    </row>
    <row r="8197" spans="1:7" ht="58.5" customHeight="1" x14ac:dyDescent="0.25">
      <c r="A8197" s="5" t="str">
        <f>"H0033818"</f>
        <v>H0033818</v>
      </c>
      <c r="B8197" s="5" t="str">
        <f t="shared" si="408"/>
        <v>BOMBA DE INFUSION. Apilables.5 modos. 01-1200 ml/h. 0.1 ml incr. Compatible con set de infusión genérico. anti-bolo. Detección de aire. Alarmas visuales audibles. Bitacora 1.000 reg. Batería de litio</v>
      </c>
      <c r="C8197" s="6">
        <v>2533333</v>
      </c>
      <c r="D8197" s="5" t="s">
        <v>120</v>
      </c>
      <c r="E8197" s="5" t="str">
        <f t="shared" si="407"/>
        <v>URGENCIAS ADULTO-Jenny Peña</v>
      </c>
      <c r="F8197" s="5"/>
      <c r="G8197" s="5"/>
    </row>
    <row r="8198" spans="1:7" ht="58.5" customHeight="1" x14ac:dyDescent="0.25">
      <c r="A8198" s="5" t="str">
        <f>"H0033830"</f>
        <v>H0033830</v>
      </c>
      <c r="B8198" s="5" t="str">
        <f t="shared" si="408"/>
        <v>BOMBA DE INFUSION. Apilables.5 modos. 01-1200 ml/h. 0.1 ml incr. Compatible con set de infusión genérico. anti-bolo. Detección de aire. Alarmas visuales audibles. Bitacora 1.000 reg. Batería de litio</v>
      </c>
      <c r="C8198" s="6">
        <v>2533333</v>
      </c>
      <c r="D8198" s="5" t="s">
        <v>120</v>
      </c>
      <c r="E8198" s="5" t="str">
        <f t="shared" si="407"/>
        <v>URGENCIAS ADULTO-Jenny Peña</v>
      </c>
      <c r="F8198" s="5"/>
      <c r="G8198" s="5"/>
    </row>
    <row r="8199" spans="1:7" ht="58.5" customHeight="1" x14ac:dyDescent="0.25">
      <c r="A8199" s="5" t="str">
        <f>"H0033837"</f>
        <v>H0033837</v>
      </c>
      <c r="B8199" s="5" t="str">
        <f t="shared" si="408"/>
        <v>BOMBA DE INFUSION. Apilables.5 modos. 01-1200 ml/h. 0.1 ml incr. Compatible con set de infusión genérico. anti-bolo. Detección de aire. Alarmas visuales audibles. Bitacora 1.000 reg. Batería de litio</v>
      </c>
      <c r="C8199" s="6">
        <v>2533333</v>
      </c>
      <c r="D8199" s="5" t="s">
        <v>120</v>
      </c>
      <c r="E8199" s="5" t="str">
        <f t="shared" si="407"/>
        <v>URGENCIAS ADULTO-Jenny Peña</v>
      </c>
      <c r="F8199" s="5"/>
      <c r="G8199" s="5"/>
    </row>
    <row r="8200" spans="1:7" ht="58.5" customHeight="1" x14ac:dyDescent="0.25">
      <c r="A8200" s="5" t="str">
        <f>"H0033849"</f>
        <v>H0033849</v>
      </c>
      <c r="B8200" s="5" t="str">
        <f t="shared" si="408"/>
        <v>BOMBA DE INFUSION. Apilables.5 modos. 01-1200 ml/h. 0.1 ml incr. Compatible con set de infusión genérico. anti-bolo. Detección de aire. Alarmas visuales audibles. Bitacora 1.000 reg. Batería de litio</v>
      </c>
      <c r="C8200" s="6">
        <v>2533333</v>
      </c>
      <c r="D8200" s="5" t="s">
        <v>120</v>
      </c>
      <c r="E8200" s="5" t="str">
        <f t="shared" si="407"/>
        <v>URGENCIAS ADULTO-Jenny Peña</v>
      </c>
      <c r="F8200" s="5"/>
      <c r="G8200" s="5"/>
    </row>
    <row r="8201" spans="1:7" ht="58.5" customHeight="1" x14ac:dyDescent="0.25">
      <c r="A8201" s="5" t="str">
        <f>"H0033858"</f>
        <v>H0033858</v>
      </c>
      <c r="B8201" s="5" t="str">
        <f t="shared" si="408"/>
        <v>BOMBA DE INFUSION. Apilables.5 modos. 01-1200 ml/h. 0.1 ml incr. Compatible con set de infusión genérico. anti-bolo. Detección de aire. Alarmas visuales audibles. Bitacora 1.000 reg. Batería de litio</v>
      </c>
      <c r="C8201" s="6">
        <v>2533333</v>
      </c>
      <c r="D8201" s="5" t="s">
        <v>120</v>
      </c>
      <c r="E8201" s="5" t="str">
        <f t="shared" si="407"/>
        <v>URGENCIAS ADULTO-Jenny Peña</v>
      </c>
      <c r="F8201" s="5"/>
      <c r="G8201" s="5"/>
    </row>
    <row r="8202" spans="1:7" ht="58.5" customHeight="1" x14ac:dyDescent="0.25">
      <c r="A8202" s="5" t="str">
        <f>"H0033869"</f>
        <v>H0033869</v>
      </c>
      <c r="B8202" s="5" t="str">
        <f t="shared" si="408"/>
        <v>BOMBA DE INFUSION. Apilables.5 modos. 01-1200 ml/h. 0.1 ml incr. Compatible con set de infusión genérico. anti-bolo. Detección de aire. Alarmas visuales audibles. Bitacora 1.000 reg. Batería de litio</v>
      </c>
      <c r="C8202" s="6">
        <v>2533333</v>
      </c>
      <c r="D8202" s="5" t="s">
        <v>120</v>
      </c>
      <c r="E8202" s="5" t="str">
        <f t="shared" si="407"/>
        <v>URGENCIAS ADULTO-Jenny Peña</v>
      </c>
      <c r="F8202" s="5"/>
      <c r="G8202" s="5"/>
    </row>
    <row r="8203" spans="1:7" ht="58.5" customHeight="1" x14ac:dyDescent="0.25">
      <c r="A8203" s="5" t="str">
        <f>"H0033897"</f>
        <v>H0033897</v>
      </c>
      <c r="B8203" s="5" t="str">
        <f>"BOMBA DE NUTRICION. 1 mL/h a 600 mL/h. 1 mL/h a 5 mL/h incr. ± 7% a 125 mL/h. Cumple 60601-2-24."</f>
        <v>BOMBA DE NUTRICION. 1 mL/h a 600 mL/h. 1 mL/h a 5 mL/h incr. ± 7% a 125 mL/h. Cumple 60601-2-24.</v>
      </c>
      <c r="C8203" s="6">
        <v>3066667</v>
      </c>
      <c r="D8203" s="5" t="s">
        <v>120</v>
      </c>
      <c r="E8203" s="5" t="str">
        <f t="shared" si="407"/>
        <v>URGENCIAS ADULTO-Jenny Peña</v>
      </c>
      <c r="F8203" s="5"/>
      <c r="G8203" s="5"/>
    </row>
    <row r="8204" spans="1:7" ht="58.5" customHeight="1" x14ac:dyDescent="0.25">
      <c r="A8204" s="5" t="str">
        <f>"H0033899"</f>
        <v>H0033899</v>
      </c>
      <c r="B8204" s="5" t="str">
        <f>"BOMBA DE NUTRICION. 1 mL/h a 600 mL/h. 1 mL/h a 5 mL/h incr. ± 7% a 125 mL/h. Cumple 60601-2-24."</f>
        <v>BOMBA DE NUTRICION. 1 mL/h a 600 mL/h. 1 mL/h a 5 mL/h incr. ± 7% a 125 mL/h. Cumple 60601-2-24.</v>
      </c>
      <c r="C8204" s="6">
        <v>3066667</v>
      </c>
      <c r="D8204" s="5" t="s">
        <v>120</v>
      </c>
      <c r="E8204" s="5" t="str">
        <f t="shared" si="407"/>
        <v>URGENCIAS ADULTO-Jenny Peña</v>
      </c>
      <c r="F8204" s="5"/>
      <c r="G8204" s="5"/>
    </row>
    <row r="8205" spans="1:7" ht="58.5" customHeight="1" x14ac:dyDescent="0.25">
      <c r="A8205" s="5" t="str">
        <f>"H0033900"</f>
        <v>H0033900</v>
      </c>
      <c r="B8205" s="5" t="str">
        <f>"BOMBA DE NUTRICION. 1 mL/h a 600 mL/h. 1 mL/h a 5 mL/h incr. ± 7% a 125 mL/h. Cumple 60601-2-24."</f>
        <v>BOMBA DE NUTRICION. 1 mL/h a 600 mL/h. 1 mL/h a 5 mL/h incr. ± 7% a 125 mL/h. Cumple 60601-2-24.</v>
      </c>
      <c r="C8205" s="6">
        <v>3066667</v>
      </c>
      <c r="D8205" s="5" t="s">
        <v>120</v>
      </c>
      <c r="E8205" s="5" t="str">
        <f t="shared" si="407"/>
        <v>URGENCIAS ADULTO-Jenny Peña</v>
      </c>
      <c r="F8205" s="5"/>
      <c r="G8205" s="5"/>
    </row>
    <row r="8206" spans="1:7" ht="58.5" customHeight="1" x14ac:dyDescent="0.25">
      <c r="A8206" s="5" t="str">
        <f>"H0033909"</f>
        <v>H0033909</v>
      </c>
      <c r="B8206" s="5" t="str">
        <f>"LECTOR DE HUELLAS DIGITALES"</f>
        <v>LECTOR DE HUELLAS DIGITALES</v>
      </c>
      <c r="C8206" s="6">
        <v>340340</v>
      </c>
      <c r="D8206" s="5" t="s">
        <v>119</v>
      </c>
      <c r="E8206" s="5" t="str">
        <f t="shared" si="407"/>
        <v>URGENCIAS ADULTO-Jenny Peña</v>
      </c>
      <c r="F8206" s="5"/>
      <c r="G8206" s="5"/>
    </row>
    <row r="8207" spans="1:7" ht="58.5" customHeight="1" x14ac:dyDescent="0.25">
      <c r="A8207" s="5" t="str">
        <f>"H0033982"</f>
        <v>H0033982</v>
      </c>
      <c r="B8207" s="5" t="str">
        <f>"COMPRESOR COPELAND MODELO: ZP83KCE-TFD-522/3/440V)"</f>
        <v>COMPRESOR COPELAND MODELO: ZP83KCE-TFD-522/3/440V)</v>
      </c>
      <c r="C8207" s="6">
        <v>8625000.0299999993</v>
      </c>
      <c r="D8207" s="5" t="s">
        <v>488</v>
      </c>
      <c r="E8207" s="5" t="str">
        <f t="shared" si="407"/>
        <v>URGENCIAS ADULTO-Jenny Peña</v>
      </c>
      <c r="F8207" s="5"/>
      <c r="G8207" s="5"/>
    </row>
    <row r="8208" spans="1:7" ht="58.5" customHeight="1" x14ac:dyDescent="0.25">
      <c r="A8208" s="5" t="str">
        <f>"H0033986"</f>
        <v>H0033986</v>
      </c>
      <c r="B8208" s="5" t="s">
        <v>329</v>
      </c>
      <c r="C8208" s="6">
        <v>258000</v>
      </c>
      <c r="D8208" s="5" t="s">
        <v>122</v>
      </c>
      <c r="E8208" s="5" t="str">
        <f t="shared" si="407"/>
        <v>URGENCIAS ADULTO-Jenny Peña</v>
      </c>
      <c r="F8208" s="5"/>
      <c r="G8208" s="5"/>
    </row>
    <row r="8209" spans="1:7" ht="58.5" customHeight="1" x14ac:dyDescent="0.25">
      <c r="A8209" s="5" t="str">
        <f>"H0033997"</f>
        <v>H0033997</v>
      </c>
      <c r="B8209" s="5" t="s">
        <v>329</v>
      </c>
      <c r="C8209" s="6">
        <v>258000</v>
      </c>
      <c r="D8209" s="5" t="s">
        <v>122</v>
      </c>
      <c r="E8209" s="5" t="str">
        <f t="shared" si="407"/>
        <v>URGENCIAS ADULTO-Jenny Peña</v>
      </c>
      <c r="F8209" s="5"/>
      <c r="G8209" s="5"/>
    </row>
    <row r="8210" spans="1:7" ht="58.5" customHeight="1" x14ac:dyDescent="0.25">
      <c r="A8210" s="5" t="str">
        <f>"H0033998"</f>
        <v>H0033998</v>
      </c>
      <c r="B8210" s="5" t="s">
        <v>329</v>
      </c>
      <c r="C8210" s="6">
        <v>258000</v>
      </c>
      <c r="D8210" s="5" t="s">
        <v>122</v>
      </c>
      <c r="E8210" s="5" t="str">
        <f t="shared" si="407"/>
        <v>URGENCIAS ADULTO-Jenny Peña</v>
      </c>
      <c r="F8210" s="5"/>
      <c r="G8210" s="5"/>
    </row>
    <row r="8211" spans="1:7" ht="58.5" customHeight="1" x14ac:dyDescent="0.25">
      <c r="A8211" s="5" t="str">
        <f>"H0034033"</f>
        <v>H0034033</v>
      </c>
      <c r="B8211" s="5" t="s">
        <v>329</v>
      </c>
      <c r="C8211" s="6">
        <v>258000</v>
      </c>
      <c r="D8211" s="5" t="s">
        <v>122</v>
      </c>
      <c r="E8211" s="5" t="str">
        <f t="shared" si="407"/>
        <v>URGENCIAS ADULTO-Jenny Peña</v>
      </c>
      <c r="F8211" s="5"/>
      <c r="G8211" s="5"/>
    </row>
    <row r="8212" spans="1:7" ht="58.5" customHeight="1" x14ac:dyDescent="0.25">
      <c r="A8212" s="5" t="str">
        <f>"H0034038"</f>
        <v>H0034038</v>
      </c>
      <c r="B8212" s="5" t="s">
        <v>329</v>
      </c>
      <c r="C8212" s="6">
        <v>258000</v>
      </c>
      <c r="D8212" s="5" t="s">
        <v>122</v>
      </c>
      <c r="E8212" s="5" t="str">
        <f t="shared" si="407"/>
        <v>URGENCIAS ADULTO-Jenny Peña</v>
      </c>
      <c r="F8212" s="5"/>
      <c r="G8212" s="5"/>
    </row>
    <row r="8213" spans="1:7" ht="58.5" customHeight="1" x14ac:dyDescent="0.25">
      <c r="A8213" s="5" t="str">
        <f>"H0034043"</f>
        <v>H0034043</v>
      </c>
      <c r="B8213" s="5" t="s">
        <v>329</v>
      </c>
      <c r="C8213" s="6">
        <v>258000</v>
      </c>
      <c r="D8213" s="5" t="s">
        <v>122</v>
      </c>
      <c r="E8213" s="5" t="str">
        <f t="shared" si="407"/>
        <v>URGENCIAS ADULTO-Jenny Peña</v>
      </c>
      <c r="F8213" s="5"/>
      <c r="G8213" s="5"/>
    </row>
    <row r="8214" spans="1:7" ht="58.5" customHeight="1" x14ac:dyDescent="0.25">
      <c r="A8214" s="5" t="str">
        <f>"H0034046"</f>
        <v>H0034046</v>
      </c>
      <c r="B8214" s="5" t="s">
        <v>329</v>
      </c>
      <c r="C8214" s="6">
        <v>258000</v>
      </c>
      <c r="D8214" s="5" t="s">
        <v>122</v>
      </c>
      <c r="E8214" s="5" t="str">
        <f t="shared" si="407"/>
        <v>URGENCIAS ADULTO-Jenny Peña</v>
      </c>
      <c r="F8214" s="5"/>
      <c r="G8214" s="5"/>
    </row>
    <row r="8215" spans="1:7" ht="58.5" customHeight="1" x14ac:dyDescent="0.25">
      <c r="A8215" s="5" t="str">
        <f>"H0034051"</f>
        <v>H0034051</v>
      </c>
      <c r="B8215" s="5" t="s">
        <v>329</v>
      </c>
      <c r="C8215" s="6">
        <v>258000</v>
      </c>
      <c r="D8215" s="5" t="s">
        <v>122</v>
      </c>
      <c r="E8215" s="5" t="str">
        <f t="shared" si="407"/>
        <v>URGENCIAS ADULTO-Jenny Peña</v>
      </c>
      <c r="F8215" s="5"/>
      <c r="G8215" s="5"/>
    </row>
    <row r="8216" spans="1:7" ht="58.5" customHeight="1" x14ac:dyDescent="0.25">
      <c r="A8216" s="5" t="str">
        <f>"H0034053"</f>
        <v>H0034053</v>
      </c>
      <c r="B8216" s="5" t="s">
        <v>329</v>
      </c>
      <c r="C8216" s="6">
        <v>258000</v>
      </c>
      <c r="D8216" s="5" t="s">
        <v>122</v>
      </c>
      <c r="E8216" s="5" t="str">
        <f t="shared" si="407"/>
        <v>URGENCIAS ADULTO-Jenny Peña</v>
      </c>
      <c r="F8216" s="5"/>
      <c r="G8216" s="5"/>
    </row>
    <row r="8217" spans="1:7" ht="58.5" customHeight="1" x14ac:dyDescent="0.25">
      <c r="A8217" s="5" t="str">
        <f>"H0034127"</f>
        <v>H0034127</v>
      </c>
      <c r="B8217" s="5" t="str">
        <f t="shared" ref="B8217:B8234" si="409">"termometro infrarrojo (DONACION)"</f>
        <v>termometro infrarrojo (DONACION)</v>
      </c>
      <c r="C8217" s="6">
        <v>150000</v>
      </c>
      <c r="D8217" s="5" t="s">
        <v>489</v>
      </c>
      <c r="E8217" s="5" t="str">
        <f t="shared" si="407"/>
        <v>URGENCIAS ADULTO-Jenny Peña</v>
      </c>
      <c r="F8217" s="5"/>
      <c r="G8217" s="5"/>
    </row>
    <row r="8218" spans="1:7" ht="58.5" customHeight="1" x14ac:dyDescent="0.25">
      <c r="A8218" s="5" t="str">
        <f>"H0034129"</f>
        <v>H0034129</v>
      </c>
      <c r="B8218" s="5" t="str">
        <f t="shared" si="409"/>
        <v>termometro infrarrojo (DONACION)</v>
      </c>
      <c r="C8218" s="6">
        <v>150000</v>
      </c>
      <c r="D8218" s="5" t="s">
        <v>489</v>
      </c>
      <c r="E8218" s="5" t="str">
        <f t="shared" si="407"/>
        <v>URGENCIAS ADULTO-Jenny Peña</v>
      </c>
      <c r="F8218" s="5"/>
      <c r="G8218" s="5"/>
    </row>
    <row r="8219" spans="1:7" ht="58.5" customHeight="1" x14ac:dyDescent="0.25">
      <c r="A8219" s="5" t="str">
        <f>"H0034130"</f>
        <v>H0034130</v>
      </c>
      <c r="B8219" s="5" t="str">
        <f t="shared" si="409"/>
        <v>termometro infrarrojo (DONACION)</v>
      </c>
      <c r="C8219" s="6">
        <v>150000</v>
      </c>
      <c r="D8219" s="5" t="s">
        <v>489</v>
      </c>
      <c r="E8219" s="5" t="str">
        <f t="shared" si="407"/>
        <v>URGENCIAS ADULTO-Jenny Peña</v>
      </c>
      <c r="F8219" s="5"/>
      <c r="G8219" s="5"/>
    </row>
    <row r="8220" spans="1:7" ht="58.5" customHeight="1" x14ac:dyDescent="0.25">
      <c r="A8220" s="5" t="str">
        <f>"H0034132"</f>
        <v>H0034132</v>
      </c>
      <c r="B8220" s="5" t="str">
        <f t="shared" si="409"/>
        <v>termometro infrarrojo (DONACION)</v>
      </c>
      <c r="C8220" s="6">
        <v>150000</v>
      </c>
      <c r="D8220" s="5" t="s">
        <v>489</v>
      </c>
      <c r="E8220" s="5" t="str">
        <f t="shared" si="407"/>
        <v>URGENCIAS ADULTO-Jenny Peña</v>
      </c>
      <c r="F8220" s="5"/>
      <c r="G8220" s="5"/>
    </row>
    <row r="8221" spans="1:7" ht="58.5" customHeight="1" x14ac:dyDescent="0.25">
      <c r="A8221" s="5" t="str">
        <f>"H0034148"</f>
        <v>H0034148</v>
      </c>
      <c r="B8221" s="5" t="str">
        <f t="shared" si="409"/>
        <v>termometro infrarrojo (DONACION)</v>
      </c>
      <c r="C8221" s="6">
        <v>150000</v>
      </c>
      <c r="D8221" s="5" t="s">
        <v>489</v>
      </c>
      <c r="E8221" s="5" t="str">
        <f t="shared" si="407"/>
        <v>URGENCIAS ADULTO-Jenny Peña</v>
      </c>
      <c r="F8221" s="5"/>
      <c r="G8221" s="5"/>
    </row>
    <row r="8222" spans="1:7" ht="58.5" customHeight="1" x14ac:dyDescent="0.25">
      <c r="A8222" s="5" t="str">
        <f>"H0034151"</f>
        <v>H0034151</v>
      </c>
      <c r="B8222" s="5" t="str">
        <f t="shared" si="409"/>
        <v>termometro infrarrojo (DONACION)</v>
      </c>
      <c r="C8222" s="6">
        <v>150000</v>
      </c>
      <c r="D8222" s="5" t="s">
        <v>489</v>
      </c>
      <c r="E8222" s="5" t="str">
        <f t="shared" si="407"/>
        <v>URGENCIAS ADULTO-Jenny Peña</v>
      </c>
      <c r="F8222" s="5"/>
      <c r="G8222" s="5"/>
    </row>
    <row r="8223" spans="1:7" ht="58.5" customHeight="1" x14ac:dyDescent="0.25">
      <c r="A8223" s="5" t="str">
        <f>"H0034152"</f>
        <v>H0034152</v>
      </c>
      <c r="B8223" s="5" t="str">
        <f t="shared" si="409"/>
        <v>termometro infrarrojo (DONACION)</v>
      </c>
      <c r="C8223" s="6">
        <v>150000</v>
      </c>
      <c r="D8223" s="5" t="s">
        <v>489</v>
      </c>
      <c r="E8223" s="5" t="str">
        <f t="shared" si="407"/>
        <v>URGENCIAS ADULTO-Jenny Peña</v>
      </c>
      <c r="F8223" s="5"/>
      <c r="G8223" s="5"/>
    </row>
    <row r="8224" spans="1:7" ht="58.5" customHeight="1" x14ac:dyDescent="0.25">
      <c r="A8224" s="5" t="str">
        <f>"H0034161"</f>
        <v>H0034161</v>
      </c>
      <c r="B8224" s="5" t="str">
        <f t="shared" si="409"/>
        <v>termometro infrarrojo (DONACION)</v>
      </c>
      <c r="C8224" s="6">
        <v>150000</v>
      </c>
      <c r="D8224" s="5" t="s">
        <v>489</v>
      </c>
      <c r="E8224" s="5" t="str">
        <f t="shared" si="407"/>
        <v>URGENCIAS ADULTO-Jenny Peña</v>
      </c>
      <c r="F8224" s="5"/>
      <c r="G8224" s="5"/>
    </row>
    <row r="8225" spans="1:7" ht="58.5" customHeight="1" x14ac:dyDescent="0.25">
      <c r="A8225" s="5" t="str">
        <f>"H0034167"</f>
        <v>H0034167</v>
      </c>
      <c r="B8225" s="5" t="str">
        <f t="shared" si="409"/>
        <v>termometro infrarrojo (DONACION)</v>
      </c>
      <c r="C8225" s="6">
        <v>150000</v>
      </c>
      <c r="D8225" s="5" t="s">
        <v>489</v>
      </c>
      <c r="E8225" s="5" t="str">
        <f t="shared" si="407"/>
        <v>URGENCIAS ADULTO-Jenny Peña</v>
      </c>
      <c r="F8225" s="5"/>
      <c r="G8225" s="5"/>
    </row>
    <row r="8226" spans="1:7" ht="58.5" customHeight="1" x14ac:dyDescent="0.25">
      <c r="A8226" s="5" t="str">
        <f>"H0034173"</f>
        <v>H0034173</v>
      </c>
      <c r="B8226" s="5" t="str">
        <f t="shared" si="409"/>
        <v>termometro infrarrojo (DONACION)</v>
      </c>
      <c r="C8226" s="6">
        <v>150000</v>
      </c>
      <c r="D8226" s="5" t="s">
        <v>489</v>
      </c>
      <c r="E8226" s="5" t="str">
        <f t="shared" si="407"/>
        <v>URGENCIAS ADULTO-Jenny Peña</v>
      </c>
      <c r="F8226" s="5"/>
      <c r="G8226" s="5"/>
    </row>
    <row r="8227" spans="1:7" ht="58.5" customHeight="1" x14ac:dyDescent="0.25">
      <c r="A8227" s="5" t="str">
        <f>"H0034174"</f>
        <v>H0034174</v>
      </c>
      <c r="B8227" s="5" t="str">
        <f t="shared" si="409"/>
        <v>termometro infrarrojo (DONACION)</v>
      </c>
      <c r="C8227" s="6">
        <v>150000</v>
      </c>
      <c r="D8227" s="5" t="s">
        <v>489</v>
      </c>
      <c r="E8227" s="5" t="str">
        <f t="shared" si="407"/>
        <v>URGENCIAS ADULTO-Jenny Peña</v>
      </c>
      <c r="F8227" s="5"/>
      <c r="G8227" s="5"/>
    </row>
    <row r="8228" spans="1:7" ht="58.5" customHeight="1" x14ac:dyDescent="0.25">
      <c r="A8228" s="5" t="str">
        <f>"H0034190"</f>
        <v>H0034190</v>
      </c>
      <c r="B8228" s="5" t="str">
        <f t="shared" si="409"/>
        <v>termometro infrarrojo (DONACION)</v>
      </c>
      <c r="C8228" s="6">
        <v>150000</v>
      </c>
      <c r="D8228" s="5" t="s">
        <v>489</v>
      </c>
      <c r="E8228" s="5" t="str">
        <f t="shared" si="407"/>
        <v>URGENCIAS ADULTO-Jenny Peña</v>
      </c>
      <c r="F8228" s="5"/>
      <c r="G8228" s="5"/>
    </row>
    <row r="8229" spans="1:7" ht="58.5" customHeight="1" x14ac:dyDescent="0.25">
      <c r="A8229" s="5" t="str">
        <f>"H0034191"</f>
        <v>H0034191</v>
      </c>
      <c r="B8229" s="5" t="str">
        <f t="shared" si="409"/>
        <v>termometro infrarrojo (DONACION)</v>
      </c>
      <c r="C8229" s="6">
        <v>150000</v>
      </c>
      <c r="D8229" s="5" t="s">
        <v>489</v>
      </c>
      <c r="E8229" s="5" t="str">
        <f t="shared" ref="E8229:E8292" si="410">"URGENCIAS ADULTO-Jenny Peña"</f>
        <v>URGENCIAS ADULTO-Jenny Peña</v>
      </c>
      <c r="F8229" s="5"/>
      <c r="G8229" s="5"/>
    </row>
    <row r="8230" spans="1:7" ht="58.5" customHeight="1" x14ac:dyDescent="0.25">
      <c r="A8230" s="5" t="str">
        <f>"H0034203"</f>
        <v>H0034203</v>
      </c>
      <c r="B8230" s="5" t="str">
        <f t="shared" si="409"/>
        <v>termometro infrarrojo (DONACION)</v>
      </c>
      <c r="C8230" s="6">
        <v>150000</v>
      </c>
      <c r="D8230" s="5" t="s">
        <v>489</v>
      </c>
      <c r="E8230" s="5" t="str">
        <f t="shared" si="410"/>
        <v>URGENCIAS ADULTO-Jenny Peña</v>
      </c>
      <c r="F8230" s="5"/>
      <c r="G8230" s="5"/>
    </row>
    <row r="8231" spans="1:7" ht="58.5" customHeight="1" x14ac:dyDescent="0.25">
      <c r="A8231" s="5" t="str">
        <f>"H0034210"</f>
        <v>H0034210</v>
      </c>
      <c r="B8231" s="5" t="str">
        <f t="shared" si="409"/>
        <v>termometro infrarrojo (DONACION)</v>
      </c>
      <c r="C8231" s="6">
        <v>150000</v>
      </c>
      <c r="D8231" s="5" t="s">
        <v>489</v>
      </c>
      <c r="E8231" s="5" t="str">
        <f t="shared" si="410"/>
        <v>URGENCIAS ADULTO-Jenny Peña</v>
      </c>
      <c r="F8231" s="5"/>
      <c r="G8231" s="5"/>
    </row>
    <row r="8232" spans="1:7" ht="58.5" customHeight="1" x14ac:dyDescent="0.25">
      <c r="A8232" s="5" t="str">
        <f>"H0034214"</f>
        <v>H0034214</v>
      </c>
      <c r="B8232" s="5" t="str">
        <f t="shared" si="409"/>
        <v>termometro infrarrojo (DONACION)</v>
      </c>
      <c r="C8232" s="6">
        <v>150000</v>
      </c>
      <c r="D8232" s="5" t="s">
        <v>489</v>
      </c>
      <c r="E8232" s="5" t="str">
        <f t="shared" si="410"/>
        <v>URGENCIAS ADULTO-Jenny Peña</v>
      </c>
      <c r="F8232" s="5"/>
      <c r="G8232" s="5"/>
    </row>
    <row r="8233" spans="1:7" ht="58.5" customHeight="1" x14ac:dyDescent="0.25">
      <c r="A8233" s="5" t="str">
        <f>"H0034215"</f>
        <v>H0034215</v>
      </c>
      <c r="B8233" s="5" t="str">
        <f t="shared" si="409"/>
        <v>termometro infrarrojo (DONACION)</v>
      </c>
      <c r="C8233" s="6">
        <v>150000</v>
      </c>
      <c r="D8233" s="5" t="s">
        <v>489</v>
      </c>
      <c r="E8233" s="5" t="str">
        <f t="shared" si="410"/>
        <v>URGENCIAS ADULTO-Jenny Peña</v>
      </c>
      <c r="F8233" s="5"/>
      <c r="G8233" s="5"/>
    </row>
    <row r="8234" spans="1:7" ht="58.5" customHeight="1" x14ac:dyDescent="0.25">
      <c r="A8234" s="5" t="str">
        <f>"H0034226"</f>
        <v>H0034226</v>
      </c>
      <c r="B8234" s="5" t="str">
        <f t="shared" si="409"/>
        <v>termometro infrarrojo (DONACION)</v>
      </c>
      <c r="C8234" s="6">
        <v>150000</v>
      </c>
      <c r="D8234" s="5" t="s">
        <v>489</v>
      </c>
      <c r="E8234" s="5" t="str">
        <f t="shared" si="410"/>
        <v>URGENCIAS ADULTO-Jenny Peña</v>
      </c>
      <c r="F8234" s="5"/>
      <c r="G8234" s="5"/>
    </row>
    <row r="8235" spans="1:7" ht="58.5" customHeight="1" x14ac:dyDescent="0.25">
      <c r="A8235" s="5" t="str">
        <f>"H0034433"</f>
        <v>H0034433</v>
      </c>
      <c r="B8235" s="5" t="str">
        <f t="shared" ref="B8235:B8240" si="411">"VENTILADOR MECANICO (DONACION)"</f>
        <v>VENTILADOR MECANICO (DONACION)</v>
      </c>
      <c r="C8235" s="6">
        <v>59622774</v>
      </c>
      <c r="D8235" s="5" t="s">
        <v>129</v>
      </c>
      <c r="E8235" s="5" t="str">
        <f t="shared" si="410"/>
        <v>URGENCIAS ADULTO-Jenny Peña</v>
      </c>
      <c r="F8235" s="5"/>
      <c r="G8235" s="5" t="str">
        <f t="shared" ref="G8235:G8240" si="412">"VG70"</f>
        <v>VG70</v>
      </c>
    </row>
    <row r="8236" spans="1:7" ht="58.5" customHeight="1" x14ac:dyDescent="0.25">
      <c r="A8236" s="5" t="str">
        <f>"H0034437"</f>
        <v>H0034437</v>
      </c>
      <c r="B8236" s="5" t="str">
        <f t="shared" si="411"/>
        <v>VENTILADOR MECANICO (DONACION)</v>
      </c>
      <c r="C8236" s="6">
        <v>59622774</v>
      </c>
      <c r="D8236" s="5" t="s">
        <v>129</v>
      </c>
      <c r="E8236" s="5" t="str">
        <f t="shared" si="410"/>
        <v>URGENCIAS ADULTO-Jenny Peña</v>
      </c>
      <c r="F8236" s="5"/>
      <c r="G8236" s="5" t="str">
        <f t="shared" si="412"/>
        <v>VG70</v>
      </c>
    </row>
    <row r="8237" spans="1:7" ht="58.5" customHeight="1" x14ac:dyDescent="0.25">
      <c r="A8237" s="5" t="str">
        <f>"H0034443"</f>
        <v>H0034443</v>
      </c>
      <c r="B8237" s="5" t="str">
        <f t="shared" si="411"/>
        <v>VENTILADOR MECANICO (DONACION)</v>
      </c>
      <c r="C8237" s="6">
        <v>59622774</v>
      </c>
      <c r="D8237" s="5" t="s">
        <v>129</v>
      </c>
      <c r="E8237" s="5" t="str">
        <f t="shared" si="410"/>
        <v>URGENCIAS ADULTO-Jenny Peña</v>
      </c>
      <c r="F8237" s="5"/>
      <c r="G8237" s="5" t="str">
        <f t="shared" si="412"/>
        <v>VG70</v>
      </c>
    </row>
    <row r="8238" spans="1:7" ht="58.5" customHeight="1" x14ac:dyDescent="0.25">
      <c r="A8238" s="5" t="str">
        <f>"H0034446"</f>
        <v>H0034446</v>
      </c>
      <c r="B8238" s="5" t="str">
        <f t="shared" si="411"/>
        <v>VENTILADOR MECANICO (DONACION)</v>
      </c>
      <c r="C8238" s="6">
        <v>59622774</v>
      </c>
      <c r="D8238" s="5" t="s">
        <v>129</v>
      </c>
      <c r="E8238" s="5" t="str">
        <f t="shared" si="410"/>
        <v>URGENCIAS ADULTO-Jenny Peña</v>
      </c>
      <c r="F8238" s="5"/>
      <c r="G8238" s="5" t="str">
        <f t="shared" si="412"/>
        <v>VG70</v>
      </c>
    </row>
    <row r="8239" spans="1:7" ht="58.5" customHeight="1" x14ac:dyDescent="0.25">
      <c r="A8239" s="5" t="str">
        <f>"H0034447"</f>
        <v>H0034447</v>
      </c>
      <c r="B8239" s="5" t="str">
        <f t="shared" si="411"/>
        <v>VENTILADOR MECANICO (DONACION)</v>
      </c>
      <c r="C8239" s="6">
        <v>59622774</v>
      </c>
      <c r="D8239" s="5" t="s">
        <v>129</v>
      </c>
      <c r="E8239" s="5" t="str">
        <f t="shared" si="410"/>
        <v>URGENCIAS ADULTO-Jenny Peña</v>
      </c>
      <c r="F8239" s="5"/>
      <c r="G8239" s="5" t="str">
        <f t="shared" si="412"/>
        <v>VG70</v>
      </c>
    </row>
    <row r="8240" spans="1:7" ht="58.5" customHeight="1" x14ac:dyDescent="0.25">
      <c r="A8240" s="5" t="str">
        <f>"H0034450"</f>
        <v>H0034450</v>
      </c>
      <c r="B8240" s="5" t="str">
        <f t="shared" si="411"/>
        <v>VENTILADOR MECANICO (DONACION)</v>
      </c>
      <c r="C8240" s="6">
        <v>59622774</v>
      </c>
      <c r="D8240" s="5" t="s">
        <v>129</v>
      </c>
      <c r="E8240" s="5" t="str">
        <f t="shared" si="410"/>
        <v>URGENCIAS ADULTO-Jenny Peña</v>
      </c>
      <c r="F8240" s="5"/>
      <c r="G8240" s="5" t="str">
        <f t="shared" si="412"/>
        <v>VG70</v>
      </c>
    </row>
    <row r="8241" spans="1:7" ht="58.5" customHeight="1" x14ac:dyDescent="0.25">
      <c r="A8241" s="5" t="str">
        <f>"H0034457"</f>
        <v>H0034457</v>
      </c>
      <c r="B824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8241" s="6">
        <v>5604900</v>
      </c>
      <c r="D8241" s="5" t="s">
        <v>192</v>
      </c>
      <c r="E8241" s="5" t="str">
        <f t="shared" si="410"/>
        <v>URGENCIAS ADULTO-Jenny Peña</v>
      </c>
      <c r="F8241" s="5"/>
      <c r="G8241" s="5"/>
    </row>
    <row r="8242" spans="1:7" ht="58.5" customHeight="1" x14ac:dyDescent="0.25">
      <c r="A8242" s="5" t="str">
        <f>"H0034464"</f>
        <v>H0034464</v>
      </c>
      <c r="B8242" s="5" t="str">
        <f t="shared" ref="B8242:B8251" si="413">"VENTILADOR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8242" s="6">
        <v>88970000</v>
      </c>
      <c r="D8242" s="5" t="s">
        <v>332</v>
      </c>
      <c r="E8242" s="5" t="str">
        <f t="shared" si="410"/>
        <v>URGENCIAS ADULTO-Jenny Peña</v>
      </c>
      <c r="F8242" s="5"/>
      <c r="G8242" s="5" t="str">
        <f>"MV2000"</f>
        <v>MV2000</v>
      </c>
    </row>
    <row r="8243" spans="1:7" ht="58.5" customHeight="1" x14ac:dyDescent="0.25">
      <c r="A8243" s="5" t="str">
        <f>"H0034468"</f>
        <v>H0034468</v>
      </c>
      <c r="B8243" s="5" t="str">
        <f t="shared" si="413"/>
        <v>VENTILADOR MECÁNICO. Paciente &gt; 1kg. Filtro entrada aire. 35 a 65 psi. Modos A/C, PS, CPAP- PEEP, BLEVEL, APRV, PAV, VV+, VC+ / VS, VS+. Bateria 3 h, Carro.</v>
      </c>
      <c r="C8243" s="6">
        <v>88970000</v>
      </c>
      <c r="D8243" s="5" t="s">
        <v>332</v>
      </c>
      <c r="E8243" s="5" t="str">
        <f t="shared" si="410"/>
        <v>URGENCIAS ADULTO-Jenny Peña</v>
      </c>
      <c r="F8243" s="5"/>
      <c r="G8243" s="5" t="str">
        <f>"MV2000"</f>
        <v>MV2000</v>
      </c>
    </row>
    <row r="8244" spans="1:7" ht="58.5" customHeight="1" x14ac:dyDescent="0.25">
      <c r="A8244" s="5" t="str">
        <f>"H0034475"</f>
        <v>H0034475</v>
      </c>
      <c r="B8244" s="5" t="str">
        <f t="shared" si="413"/>
        <v>VENTILADOR MECÁNICO. Paciente &gt; 1kg. Filtro entrada aire. 35 a 65 psi. Modos A/C, PS, CPAP- PEEP, BLEVEL, APRV, PAV, VV+, VC+ / VS, VS+. Bateria 3 h, Carro.</v>
      </c>
      <c r="C8244" s="6">
        <v>88970000</v>
      </c>
      <c r="D8244" s="5" t="s">
        <v>332</v>
      </c>
      <c r="E8244" s="5" t="str">
        <f t="shared" si="410"/>
        <v>URGENCIAS ADULTO-Jenny Peña</v>
      </c>
      <c r="F8244" s="5"/>
      <c r="G8244" s="5"/>
    </row>
    <row r="8245" spans="1:7" ht="58.5" customHeight="1" x14ac:dyDescent="0.25">
      <c r="A8245" s="5" t="str">
        <f>"H0034487"</f>
        <v>H0034487</v>
      </c>
      <c r="B8245" s="5" t="str">
        <f t="shared" si="413"/>
        <v>VENTILADOR MECÁNICO. Paciente &gt; 1kg. Filtro entrada aire. 35 a 65 psi. Modos A/C, PS, CPAP- PEEP, BLEVEL, APRV, PAV, VV+, VC+ / VS, VS+. Bateria 3 h, Carro.</v>
      </c>
      <c r="C8245" s="6">
        <v>88970000</v>
      </c>
      <c r="D8245" s="5" t="s">
        <v>332</v>
      </c>
      <c r="E8245" s="5" t="str">
        <f t="shared" si="410"/>
        <v>URGENCIAS ADULTO-Jenny Peña</v>
      </c>
      <c r="F8245" s="5"/>
      <c r="G8245" s="5"/>
    </row>
    <row r="8246" spans="1:7" ht="58.5" customHeight="1" x14ac:dyDescent="0.25">
      <c r="A8246" s="5" t="str">
        <f>"H0034495"</f>
        <v>H0034495</v>
      </c>
      <c r="B8246" s="5" t="str">
        <f t="shared" si="413"/>
        <v>VENTILADOR MECÁNICO. Paciente &gt; 1kg. Filtro entrada aire. 35 a 65 psi. Modos A/C, PS, CPAP- PEEP, BLEVEL, APRV, PAV, VV+, VC+ / VS, VS+. Bateria 3 h, Carro.</v>
      </c>
      <c r="C8246" s="6">
        <v>88970000</v>
      </c>
      <c r="D8246" s="5" t="s">
        <v>332</v>
      </c>
      <c r="E8246" s="5" t="str">
        <f t="shared" si="410"/>
        <v>URGENCIAS ADULTO-Jenny Peña</v>
      </c>
      <c r="F8246" s="5"/>
      <c r="G8246" s="5"/>
    </row>
    <row r="8247" spans="1:7" ht="58.5" customHeight="1" x14ac:dyDescent="0.25">
      <c r="A8247" s="5" t="str">
        <f>"H0034522"</f>
        <v>H0034522</v>
      </c>
      <c r="B8247" s="5" t="str">
        <f t="shared" si="413"/>
        <v>VENTILADOR MECÁNICO. Paciente &gt; 1kg. Filtro entrada aire. 35 a 65 psi. Modos A/C, PS, CPAP- PEEP, BLEVEL, APRV, PAV, VV+, VC+ / VS, VS+. Bateria 3 h, Carro.</v>
      </c>
      <c r="C8247" s="6">
        <v>88970000</v>
      </c>
      <c r="D8247" s="5" t="s">
        <v>332</v>
      </c>
      <c r="E8247" s="5" t="str">
        <f t="shared" si="410"/>
        <v>URGENCIAS ADULTO-Jenny Peña</v>
      </c>
      <c r="F8247" s="5"/>
      <c r="G8247" s="5"/>
    </row>
    <row r="8248" spans="1:7" ht="58.5" customHeight="1" x14ac:dyDescent="0.25">
      <c r="A8248" s="5" t="str">
        <f>"H0034527"</f>
        <v>H0034527</v>
      </c>
      <c r="B8248" s="5" t="str">
        <f t="shared" si="413"/>
        <v>VENTILADOR MECÁNICO. Paciente &gt; 1kg. Filtro entrada aire. 35 a 65 psi. Modos A/C, PS, CPAP- PEEP, BLEVEL, APRV, PAV, VV+, VC+ / VS, VS+. Bateria 3 h, Carro.</v>
      </c>
      <c r="C8248" s="6">
        <v>88970000</v>
      </c>
      <c r="D8248" s="5" t="s">
        <v>332</v>
      </c>
      <c r="E8248" s="5" t="str">
        <f t="shared" si="410"/>
        <v>URGENCIAS ADULTO-Jenny Peña</v>
      </c>
      <c r="F8248" s="5"/>
      <c r="G8248" s="5"/>
    </row>
    <row r="8249" spans="1:7" ht="58.5" customHeight="1" x14ac:dyDescent="0.25">
      <c r="A8249" s="5" t="str">
        <f>"H0034529"</f>
        <v>H0034529</v>
      </c>
      <c r="B8249" s="5" t="str">
        <f t="shared" si="413"/>
        <v>VENTILADOR MECÁNICO. Paciente &gt; 1kg. Filtro entrada aire. 35 a 65 psi. Modos A/C, PS, CPAP- PEEP, BLEVEL, APRV, PAV, VV+, VC+ / VS, VS+. Bateria 3 h, Carro.</v>
      </c>
      <c r="C8249" s="6">
        <v>88970000</v>
      </c>
      <c r="D8249" s="5" t="s">
        <v>332</v>
      </c>
      <c r="E8249" s="5" t="str">
        <f t="shared" si="410"/>
        <v>URGENCIAS ADULTO-Jenny Peña</v>
      </c>
      <c r="F8249" s="5"/>
      <c r="G8249" s="5"/>
    </row>
    <row r="8250" spans="1:7" ht="58.5" customHeight="1" x14ac:dyDescent="0.25">
      <c r="A8250" s="5" t="str">
        <f>"H0034532"</f>
        <v>H0034532</v>
      </c>
      <c r="B8250" s="5" t="str">
        <f t="shared" si="413"/>
        <v>VENTILADOR MECÁNICO. Paciente &gt; 1kg. Filtro entrada aire. 35 a 65 psi. Modos A/C, PS, CPAP- PEEP, BLEVEL, APRV, PAV, VV+, VC+ / VS, VS+. Bateria 3 h, Carro.</v>
      </c>
      <c r="C8250" s="6">
        <v>88970000</v>
      </c>
      <c r="D8250" s="5" t="s">
        <v>332</v>
      </c>
      <c r="E8250" s="5" t="str">
        <f t="shared" si="410"/>
        <v>URGENCIAS ADULTO-Jenny Peña</v>
      </c>
      <c r="F8250" s="5"/>
      <c r="G8250" s="5"/>
    </row>
    <row r="8251" spans="1:7" ht="58.5" customHeight="1" x14ac:dyDescent="0.25">
      <c r="A8251" s="5" t="str">
        <f>"H0034534"</f>
        <v>H0034534</v>
      </c>
      <c r="B8251" s="5" t="str">
        <f t="shared" si="413"/>
        <v>VENTILADOR MECÁNICO. Paciente &gt; 1kg. Filtro entrada aire. 35 a 65 psi. Modos A/C, PS, CPAP- PEEP, BLEVEL, APRV, PAV, VV+, VC+ / VS, VS+. Bateria 3 h, Carro.</v>
      </c>
      <c r="C8251" s="6">
        <v>88970000</v>
      </c>
      <c r="D8251" s="5" t="s">
        <v>332</v>
      </c>
      <c r="E8251" s="5" t="str">
        <f t="shared" si="410"/>
        <v>URGENCIAS ADULTO-Jenny Peña</v>
      </c>
      <c r="F8251" s="5"/>
      <c r="G8251" s="5"/>
    </row>
    <row r="8252" spans="1:7" ht="58.5" customHeight="1" x14ac:dyDescent="0.25">
      <c r="A8252" s="5" t="str">
        <f>"H0034606"</f>
        <v>H0034606</v>
      </c>
      <c r="B8252" s="5" t="str">
        <f>"succionador (DONACION)"</f>
        <v>succionador (DONACION)</v>
      </c>
      <c r="C8252" s="6">
        <v>6216000</v>
      </c>
      <c r="D8252" s="5" t="s">
        <v>123</v>
      </c>
      <c r="E8252" s="5" t="str">
        <f t="shared" si="410"/>
        <v>URGENCIAS ADULTO-Jenny Peña</v>
      </c>
      <c r="F8252" s="5"/>
      <c r="G8252" s="5"/>
    </row>
    <row r="8253" spans="1:7" ht="58.5" customHeight="1" x14ac:dyDescent="0.25">
      <c r="A8253" s="5" t="str">
        <f>"H0034607"</f>
        <v>H0034607</v>
      </c>
      <c r="B8253" s="5" t="str">
        <f>"succionador (DONACION)"</f>
        <v>succionador (DONACION)</v>
      </c>
      <c r="C8253" s="6">
        <v>6216000</v>
      </c>
      <c r="D8253" s="5" t="s">
        <v>123</v>
      </c>
      <c r="E8253" s="5" t="str">
        <f t="shared" si="410"/>
        <v>URGENCIAS ADULTO-Jenny Peña</v>
      </c>
      <c r="F8253" s="5"/>
      <c r="G8253" s="5"/>
    </row>
    <row r="8254" spans="1:7" ht="58.5" customHeight="1" x14ac:dyDescent="0.25">
      <c r="A8254" s="5" t="str">
        <f>"H0034608"</f>
        <v>H0034608</v>
      </c>
      <c r="B8254" s="5" t="str">
        <f>"succionador (DONACION)"</f>
        <v>succionador (DONACION)</v>
      </c>
      <c r="C8254" s="6">
        <v>6216000</v>
      </c>
      <c r="D8254" s="5" t="s">
        <v>123</v>
      </c>
      <c r="E8254" s="5" t="str">
        <f t="shared" si="410"/>
        <v>URGENCIAS ADULTO-Jenny Peña</v>
      </c>
      <c r="F8254" s="5"/>
      <c r="G8254" s="5"/>
    </row>
    <row r="8255" spans="1:7" ht="58.5" customHeight="1" x14ac:dyDescent="0.25">
      <c r="A8255" s="5" t="str">
        <f>"H0034609"</f>
        <v>H0034609</v>
      </c>
      <c r="B8255" s="5" t="str">
        <f>"succionador (DONACION)"</f>
        <v>succionador (DONACION)</v>
      </c>
      <c r="C8255" s="6">
        <v>6216000</v>
      </c>
      <c r="D8255" s="5" t="s">
        <v>123</v>
      </c>
      <c r="E8255" s="5" t="str">
        <f t="shared" si="410"/>
        <v>URGENCIAS ADULTO-Jenny Peña</v>
      </c>
      <c r="F8255" s="5"/>
      <c r="G8255" s="5"/>
    </row>
    <row r="8256" spans="1:7" ht="58.5" customHeight="1" x14ac:dyDescent="0.25">
      <c r="A8256" s="5" t="str">
        <f>"H0034626"</f>
        <v>H0034626</v>
      </c>
      <c r="B8256" s="5" t="str">
        <f>"COMPRESOR COPELAND  MODELO : ZP83KCE-TFD-522 / 3/440V) USAR UNICAMENTE  R-410"</f>
        <v>COMPRESOR COPELAND  MODELO : ZP83KCE-TFD-522 / 3/440V) USAR UNICAMENTE  R-410</v>
      </c>
      <c r="C8256" s="6">
        <v>8625000.1600000001</v>
      </c>
      <c r="D8256" s="5" t="s">
        <v>367</v>
      </c>
      <c r="E8256" s="5" t="str">
        <f t="shared" si="410"/>
        <v>URGENCIAS ADULTO-Jenny Peña</v>
      </c>
      <c r="F8256" s="5"/>
      <c r="G8256" s="5"/>
    </row>
    <row r="8257" spans="1:7" ht="58.5" customHeight="1" x14ac:dyDescent="0.25">
      <c r="A8257" s="5" t="str">
        <f>"H0034671"</f>
        <v>H0034671</v>
      </c>
      <c r="B8257" s="5" t="str">
        <f>"bomba de infusion (DONACION)"</f>
        <v>bomba de infusion (DONACION)</v>
      </c>
      <c r="C8257" s="6">
        <v>7049854</v>
      </c>
      <c r="D8257" s="5" t="s">
        <v>124</v>
      </c>
      <c r="E8257" s="5" t="str">
        <f t="shared" si="410"/>
        <v>URGENCIAS ADULTO-Jenny Peña</v>
      </c>
      <c r="F8257" s="5"/>
      <c r="G8257" s="5"/>
    </row>
    <row r="8258" spans="1:7" ht="58.5" customHeight="1" x14ac:dyDescent="0.25">
      <c r="A8258" s="5" t="str">
        <f>"H0034675"</f>
        <v>H0034675</v>
      </c>
      <c r="B8258" s="5" t="str">
        <f>"bomba de infusion (DONACION)"</f>
        <v>bomba de infusion (DONACION)</v>
      </c>
      <c r="C8258" s="6">
        <v>7049854</v>
      </c>
      <c r="D8258" s="5" t="s">
        <v>124</v>
      </c>
      <c r="E8258" s="5" t="str">
        <f t="shared" si="410"/>
        <v>URGENCIAS ADULTO-Jenny Peña</v>
      </c>
      <c r="F8258" s="5"/>
      <c r="G8258" s="5"/>
    </row>
    <row r="8259" spans="1:7" ht="58.5" customHeight="1" x14ac:dyDescent="0.25">
      <c r="A8259" s="5" t="str">
        <f>"H0034714"</f>
        <v>H0034714</v>
      </c>
      <c r="B8259" s="5" t="str">
        <f>"BOMBA DE NUTRICION (DONACION)"</f>
        <v>BOMBA DE NUTRICION (DONACION)</v>
      </c>
      <c r="C8259" s="6">
        <v>5850000</v>
      </c>
      <c r="D8259" s="5" t="s">
        <v>124</v>
      </c>
      <c r="E8259" s="5" t="str">
        <f t="shared" si="410"/>
        <v>URGENCIAS ADULTO-Jenny Peña</v>
      </c>
      <c r="F8259" s="5"/>
      <c r="G8259" s="5"/>
    </row>
    <row r="8260" spans="1:7" ht="58.5" customHeight="1" x14ac:dyDescent="0.25">
      <c r="A8260" s="5" t="str">
        <f>"H0034715"</f>
        <v>H0034715</v>
      </c>
      <c r="B8260" s="5" t="str">
        <f>"BOMBA DE NUTRICION (DONACION)"</f>
        <v>BOMBA DE NUTRICION (DONACION)</v>
      </c>
      <c r="C8260" s="6">
        <v>5850000</v>
      </c>
      <c r="D8260" s="5" t="s">
        <v>124</v>
      </c>
      <c r="E8260" s="5" t="str">
        <f t="shared" si="410"/>
        <v>URGENCIAS ADULTO-Jenny Peña</v>
      </c>
      <c r="F8260" s="5"/>
      <c r="G8260" s="5"/>
    </row>
    <row r="8261" spans="1:7" ht="58.5" customHeight="1" x14ac:dyDescent="0.25">
      <c r="A8261" s="5" t="str">
        <f>"H0034718"</f>
        <v>H0034718</v>
      </c>
      <c r="B8261" s="5" t="str">
        <f>"BOMBA DE NUTRICION (DONACION)"</f>
        <v>BOMBA DE NUTRICION (DONACION)</v>
      </c>
      <c r="C8261" s="6">
        <v>5850000</v>
      </c>
      <c r="D8261" s="5" t="s">
        <v>124</v>
      </c>
      <c r="E8261" s="5" t="str">
        <f t="shared" si="410"/>
        <v>URGENCIAS ADULTO-Jenny Peña</v>
      </c>
      <c r="F8261" s="5"/>
      <c r="G8261" s="5"/>
    </row>
    <row r="8262" spans="1:7" ht="58.5" customHeight="1" x14ac:dyDescent="0.25">
      <c r="A8262" s="5" t="str">
        <f>"H0034719"</f>
        <v>H0034719</v>
      </c>
      <c r="B8262" s="5" t="str">
        <f>"BOMBA DE NUTRICION (DONACION)"</f>
        <v>BOMBA DE NUTRICION (DONACION)</v>
      </c>
      <c r="C8262" s="6">
        <v>5850000</v>
      </c>
      <c r="D8262" s="5" t="s">
        <v>124</v>
      </c>
      <c r="E8262" s="5" t="str">
        <f t="shared" si="410"/>
        <v>URGENCIAS ADULTO-Jenny Peña</v>
      </c>
      <c r="F8262" s="5"/>
      <c r="G8262" s="5"/>
    </row>
    <row r="8263" spans="1:7" ht="58.5" customHeight="1" x14ac:dyDescent="0.25">
      <c r="A8263" s="5" t="str">
        <f>"H0034753"</f>
        <v>H0034753</v>
      </c>
      <c r="B8263" s="5" t="str">
        <f t="shared" ref="B8263:B8271" si="414">"CAMA HOSPITALARIA ELECTRICA (DONACION)"</f>
        <v>CAMA HOSPITALARIA ELECTRICA (DONACION)</v>
      </c>
      <c r="C8263" s="6">
        <v>9200000</v>
      </c>
      <c r="D8263" s="5" t="s">
        <v>123</v>
      </c>
      <c r="E8263" s="5" t="str">
        <f t="shared" si="410"/>
        <v>URGENCIAS ADULTO-Jenny Peña</v>
      </c>
      <c r="F8263" s="5"/>
      <c r="G8263" s="5"/>
    </row>
    <row r="8264" spans="1:7" ht="58.5" customHeight="1" x14ac:dyDescent="0.25">
      <c r="A8264" s="5" t="str">
        <f>"H0034754"</f>
        <v>H0034754</v>
      </c>
      <c r="B8264" s="5" t="str">
        <f t="shared" si="414"/>
        <v>CAMA HOSPITALARIA ELECTRICA (DONACION)</v>
      </c>
      <c r="C8264" s="6">
        <v>9200000</v>
      </c>
      <c r="D8264" s="5" t="s">
        <v>123</v>
      </c>
      <c r="E8264" s="5" t="str">
        <f t="shared" si="410"/>
        <v>URGENCIAS ADULTO-Jenny Peña</v>
      </c>
      <c r="F8264" s="5"/>
      <c r="G8264" s="5"/>
    </row>
    <row r="8265" spans="1:7" ht="58.5" customHeight="1" x14ac:dyDescent="0.25">
      <c r="A8265" s="5" t="str">
        <f>"H0034756"</f>
        <v>H0034756</v>
      </c>
      <c r="B8265" s="5" t="str">
        <f t="shared" si="414"/>
        <v>CAMA HOSPITALARIA ELECTRICA (DONACION)</v>
      </c>
      <c r="C8265" s="6">
        <v>9200000</v>
      </c>
      <c r="D8265" s="5" t="s">
        <v>123</v>
      </c>
      <c r="E8265" s="5" t="str">
        <f t="shared" si="410"/>
        <v>URGENCIAS ADULTO-Jenny Peña</v>
      </c>
      <c r="F8265" s="5"/>
      <c r="G8265" s="5"/>
    </row>
    <row r="8266" spans="1:7" ht="58.5" customHeight="1" x14ac:dyDescent="0.25">
      <c r="A8266" s="5" t="str">
        <f>"H0034757"</f>
        <v>H0034757</v>
      </c>
      <c r="B8266" s="5" t="str">
        <f t="shared" si="414"/>
        <v>CAMA HOSPITALARIA ELECTRICA (DONACION)</v>
      </c>
      <c r="C8266" s="6">
        <v>9200000</v>
      </c>
      <c r="D8266" s="5" t="s">
        <v>123</v>
      </c>
      <c r="E8266" s="5" t="str">
        <f t="shared" si="410"/>
        <v>URGENCIAS ADULTO-Jenny Peña</v>
      </c>
      <c r="F8266" s="5"/>
      <c r="G8266" s="5"/>
    </row>
    <row r="8267" spans="1:7" ht="58.5" customHeight="1" x14ac:dyDescent="0.25">
      <c r="A8267" s="5" t="str">
        <f>"H0034758"</f>
        <v>H0034758</v>
      </c>
      <c r="B8267" s="5" t="str">
        <f t="shared" si="414"/>
        <v>CAMA HOSPITALARIA ELECTRICA (DONACION)</v>
      </c>
      <c r="C8267" s="6">
        <v>9200000</v>
      </c>
      <c r="D8267" s="5" t="s">
        <v>123</v>
      </c>
      <c r="E8267" s="5" t="str">
        <f t="shared" si="410"/>
        <v>URGENCIAS ADULTO-Jenny Peña</v>
      </c>
      <c r="F8267" s="5"/>
      <c r="G8267" s="5"/>
    </row>
    <row r="8268" spans="1:7" ht="58.5" customHeight="1" x14ac:dyDescent="0.25">
      <c r="A8268" s="5" t="str">
        <f>"H0034759"</f>
        <v>H0034759</v>
      </c>
      <c r="B8268" s="5" t="str">
        <f t="shared" si="414"/>
        <v>CAMA HOSPITALARIA ELECTRICA (DONACION)</v>
      </c>
      <c r="C8268" s="6">
        <v>9200000</v>
      </c>
      <c r="D8268" s="5" t="s">
        <v>123</v>
      </c>
      <c r="E8268" s="5" t="str">
        <f t="shared" si="410"/>
        <v>URGENCIAS ADULTO-Jenny Peña</v>
      </c>
      <c r="F8268" s="5"/>
      <c r="G8268" s="5"/>
    </row>
    <row r="8269" spans="1:7" ht="58.5" customHeight="1" x14ac:dyDescent="0.25">
      <c r="A8269" s="5" t="str">
        <f>"H0034760"</f>
        <v>H0034760</v>
      </c>
      <c r="B8269" s="5" t="str">
        <f t="shared" si="414"/>
        <v>CAMA HOSPITALARIA ELECTRICA (DONACION)</v>
      </c>
      <c r="C8269" s="6">
        <v>9200000</v>
      </c>
      <c r="D8269" s="5" t="s">
        <v>123</v>
      </c>
      <c r="E8269" s="5" t="str">
        <f t="shared" si="410"/>
        <v>URGENCIAS ADULTO-Jenny Peña</v>
      </c>
      <c r="F8269" s="5"/>
      <c r="G8269" s="5"/>
    </row>
    <row r="8270" spans="1:7" ht="58.5" customHeight="1" x14ac:dyDescent="0.25">
      <c r="A8270" s="5" t="str">
        <f>"H0034761"</f>
        <v>H0034761</v>
      </c>
      <c r="B8270" s="5" t="str">
        <f t="shared" si="414"/>
        <v>CAMA HOSPITALARIA ELECTRICA (DONACION)</v>
      </c>
      <c r="C8270" s="6">
        <v>9200000</v>
      </c>
      <c r="D8270" s="5" t="s">
        <v>123</v>
      </c>
      <c r="E8270" s="5" t="str">
        <f t="shared" si="410"/>
        <v>URGENCIAS ADULTO-Jenny Peña</v>
      </c>
      <c r="F8270" s="5"/>
      <c r="G8270" s="5"/>
    </row>
    <row r="8271" spans="1:7" ht="58.5" customHeight="1" x14ac:dyDescent="0.25">
      <c r="A8271" s="5" t="str">
        <f>"H0034762"</f>
        <v>H0034762</v>
      </c>
      <c r="B8271" s="5" t="str">
        <f t="shared" si="414"/>
        <v>CAMA HOSPITALARIA ELECTRICA (DONACION)</v>
      </c>
      <c r="C8271" s="6">
        <v>9200000</v>
      </c>
      <c r="D8271" s="5" t="s">
        <v>123</v>
      </c>
      <c r="E8271" s="5" t="str">
        <f t="shared" si="410"/>
        <v>URGENCIAS ADULTO-Jenny Peña</v>
      </c>
      <c r="F8271" s="5"/>
      <c r="G8271" s="5"/>
    </row>
    <row r="8272" spans="1:7" ht="58.5" customHeight="1" x14ac:dyDescent="0.25">
      <c r="A8272" s="5" t="str">
        <f>"H0034785"</f>
        <v>H0034785</v>
      </c>
      <c r="B8272" s="5" t="str">
        <f t="shared" ref="B8272:B8278" si="415">"CAMILLA DE TRANSPORTE Y RECUPERACION (DONACION)"</f>
        <v>CAMILLA DE TRANSPORTE Y RECUPERACION (DONACION)</v>
      </c>
      <c r="C8272" s="6">
        <v>1349600</v>
      </c>
      <c r="D8272" s="5" t="s">
        <v>123</v>
      </c>
      <c r="E8272" s="5" t="str">
        <f t="shared" si="410"/>
        <v>URGENCIAS ADULTO-Jenny Peña</v>
      </c>
      <c r="F8272" s="5"/>
      <c r="G8272" s="5"/>
    </row>
    <row r="8273" spans="1:7" ht="58.5" customHeight="1" x14ac:dyDescent="0.25">
      <c r="A8273" s="5" t="str">
        <f>"H0034786"</f>
        <v>H0034786</v>
      </c>
      <c r="B8273" s="5" t="str">
        <f t="shared" si="415"/>
        <v>CAMILLA DE TRANSPORTE Y RECUPERACION (DONACION)</v>
      </c>
      <c r="C8273" s="6">
        <v>1349600</v>
      </c>
      <c r="D8273" s="5" t="s">
        <v>123</v>
      </c>
      <c r="E8273" s="5" t="str">
        <f t="shared" si="410"/>
        <v>URGENCIAS ADULTO-Jenny Peña</v>
      </c>
      <c r="F8273" s="5"/>
      <c r="G8273" s="5"/>
    </row>
    <row r="8274" spans="1:7" ht="58.5" customHeight="1" x14ac:dyDescent="0.25">
      <c r="A8274" s="5" t="str">
        <f>"H0034787"</f>
        <v>H0034787</v>
      </c>
      <c r="B8274" s="5" t="str">
        <f t="shared" si="415"/>
        <v>CAMILLA DE TRANSPORTE Y RECUPERACION (DONACION)</v>
      </c>
      <c r="C8274" s="6">
        <v>1349600</v>
      </c>
      <c r="D8274" s="5" t="s">
        <v>123</v>
      </c>
      <c r="E8274" s="5" t="str">
        <f t="shared" si="410"/>
        <v>URGENCIAS ADULTO-Jenny Peña</v>
      </c>
      <c r="F8274" s="5"/>
      <c r="G8274" s="5"/>
    </row>
    <row r="8275" spans="1:7" ht="58.5" customHeight="1" x14ac:dyDescent="0.25">
      <c r="A8275" s="5" t="str">
        <f>"H0034789"</f>
        <v>H0034789</v>
      </c>
      <c r="B8275" s="5" t="str">
        <f t="shared" si="415"/>
        <v>CAMILLA DE TRANSPORTE Y RECUPERACION (DONACION)</v>
      </c>
      <c r="C8275" s="6">
        <v>1349600</v>
      </c>
      <c r="D8275" s="5" t="s">
        <v>123</v>
      </c>
      <c r="E8275" s="5" t="str">
        <f t="shared" si="410"/>
        <v>URGENCIAS ADULTO-Jenny Peña</v>
      </c>
      <c r="F8275" s="5"/>
      <c r="G8275" s="5"/>
    </row>
    <row r="8276" spans="1:7" ht="58.5" customHeight="1" x14ac:dyDescent="0.25">
      <c r="A8276" s="5" t="str">
        <f>"H0034790"</f>
        <v>H0034790</v>
      </c>
      <c r="B8276" s="5" t="str">
        <f t="shared" si="415"/>
        <v>CAMILLA DE TRANSPORTE Y RECUPERACION (DONACION)</v>
      </c>
      <c r="C8276" s="6">
        <v>1349600</v>
      </c>
      <c r="D8276" s="5" t="s">
        <v>123</v>
      </c>
      <c r="E8276" s="5" t="str">
        <f t="shared" si="410"/>
        <v>URGENCIAS ADULTO-Jenny Peña</v>
      </c>
      <c r="F8276" s="5"/>
      <c r="G8276" s="5"/>
    </row>
    <row r="8277" spans="1:7" ht="58.5" customHeight="1" x14ac:dyDescent="0.25">
      <c r="A8277" s="5" t="str">
        <f>"H0034791"</f>
        <v>H0034791</v>
      </c>
      <c r="B8277" s="5" t="str">
        <f t="shared" si="415"/>
        <v>CAMILLA DE TRANSPORTE Y RECUPERACION (DONACION)</v>
      </c>
      <c r="C8277" s="6">
        <v>1349600</v>
      </c>
      <c r="D8277" s="5" t="s">
        <v>123</v>
      </c>
      <c r="E8277" s="5" t="str">
        <f t="shared" si="410"/>
        <v>URGENCIAS ADULTO-Jenny Peña</v>
      </c>
      <c r="F8277" s="5"/>
      <c r="G8277" s="5"/>
    </row>
    <row r="8278" spans="1:7" ht="58.5" customHeight="1" x14ac:dyDescent="0.25">
      <c r="A8278" s="5" t="str">
        <f>"H0034792"</f>
        <v>H0034792</v>
      </c>
      <c r="B8278" s="5" t="str">
        <f t="shared" si="415"/>
        <v>CAMILLA DE TRANSPORTE Y RECUPERACION (DONACION)</v>
      </c>
      <c r="C8278" s="6">
        <v>1349600</v>
      </c>
      <c r="D8278" s="5" t="s">
        <v>123</v>
      </c>
      <c r="E8278" s="5" t="str">
        <f t="shared" si="410"/>
        <v>URGENCIAS ADULTO-Jenny Peña</v>
      </c>
      <c r="F8278" s="5"/>
      <c r="G8278" s="5"/>
    </row>
    <row r="8279" spans="1:7" ht="58.5" customHeight="1" x14ac:dyDescent="0.25">
      <c r="A8279" s="5" t="str">
        <f>"H0034850"</f>
        <v>H0034850</v>
      </c>
      <c r="B8279" s="5" t="str">
        <f>"VENTILADOR MECANICO (DONACION)"</f>
        <v>VENTILADOR MECANICO (DONACION)</v>
      </c>
      <c r="C8279" s="6">
        <v>78000000</v>
      </c>
      <c r="D8279" s="5" t="s">
        <v>490</v>
      </c>
      <c r="E8279" s="5" t="str">
        <f t="shared" si="410"/>
        <v>URGENCIAS ADULTO-Jenny Peña</v>
      </c>
      <c r="F8279" s="5"/>
      <c r="G8279" s="5"/>
    </row>
    <row r="8280" spans="1:7" ht="58.5" customHeight="1" x14ac:dyDescent="0.25">
      <c r="A8280" s="5" t="str">
        <f>"H0034868"</f>
        <v>H0034868</v>
      </c>
      <c r="B8280" s="5" t="str">
        <f>"VENTILADOR MECANICO (DONACION)"</f>
        <v>VENTILADOR MECANICO (DONACION)</v>
      </c>
      <c r="C8280" s="6">
        <v>78000000</v>
      </c>
      <c r="D8280" s="5" t="s">
        <v>490</v>
      </c>
      <c r="E8280" s="5" t="str">
        <f t="shared" si="410"/>
        <v>URGENCIAS ADULTO-Jenny Peña</v>
      </c>
      <c r="F8280" s="5"/>
      <c r="G8280" s="5"/>
    </row>
    <row r="8281" spans="1:7" ht="58.5" customHeight="1" x14ac:dyDescent="0.25">
      <c r="A8281" s="5" t="str">
        <f>"H0034941"</f>
        <v>H0034941</v>
      </c>
      <c r="B8281" s="5" t="str">
        <f>"Access Point Marca Aruba Instant On Modelo AP11 (RW) Access Point, Aruba Instant On 12V Power Adapter, PC-AC-NA (NA) AC Power Cord"</f>
        <v>Access Point Marca Aruba Instant On Modelo AP11 (RW) Access Point, Aruba Instant On 12V Power Adapter, PC-AC-NA (NA) AC Power Cord</v>
      </c>
      <c r="C8281" s="6">
        <v>495000</v>
      </c>
      <c r="D8281" s="5" t="s">
        <v>491</v>
      </c>
      <c r="E8281" s="5" t="str">
        <f t="shared" si="410"/>
        <v>URGENCIAS ADULTO-Jenny Peña</v>
      </c>
      <c r="F8281" s="5"/>
      <c r="G8281" s="5"/>
    </row>
    <row r="8282" spans="1:7" ht="58.5" customHeight="1" x14ac:dyDescent="0.25">
      <c r="A8282" s="5" t="str">
        <f>"H0035104"</f>
        <v>H0035104</v>
      </c>
      <c r="B8282" s="5" t="str">
        <f>"VENTILADOR DE PARED"</f>
        <v>VENTILADOR DE PARED</v>
      </c>
      <c r="C8282" s="6">
        <v>130000.37</v>
      </c>
      <c r="D8282" s="5" t="s">
        <v>25</v>
      </c>
      <c r="E8282" s="5" t="str">
        <f t="shared" si="410"/>
        <v>URGENCIAS ADULTO-Jenny Peña</v>
      </c>
      <c r="F8282" s="5"/>
      <c r="G8282" s="5"/>
    </row>
    <row r="8283" spans="1:7" ht="58.5" customHeight="1" x14ac:dyDescent="0.25">
      <c r="A8283" s="5" t="str">
        <f>"H0035109"</f>
        <v>H0035109</v>
      </c>
      <c r="B8283" s="5" t="str">
        <f>"VENTILADOR DE PARED"</f>
        <v>VENTILADOR DE PARED</v>
      </c>
      <c r="C8283" s="6">
        <v>130000.37</v>
      </c>
      <c r="D8283" s="5" t="s">
        <v>25</v>
      </c>
      <c r="E8283" s="5" t="str">
        <f t="shared" si="410"/>
        <v>URGENCIAS ADULTO-Jenny Peña</v>
      </c>
      <c r="F8283" s="5"/>
      <c r="G8283" s="5"/>
    </row>
    <row r="8284" spans="1:7" ht="58.5" customHeight="1" x14ac:dyDescent="0.25">
      <c r="A8284" s="5" t="str">
        <f>"H0035148"</f>
        <v>H0035148</v>
      </c>
      <c r="B8284" s="5" t="str">
        <f>"CAMA HOSPITALARIA (DONACION)"</f>
        <v>CAMA HOSPITALARIA (DONACION)</v>
      </c>
      <c r="C8284" s="6">
        <v>482786</v>
      </c>
      <c r="D8284" s="5" t="s">
        <v>125</v>
      </c>
      <c r="E8284" s="5" t="str">
        <f t="shared" si="410"/>
        <v>URGENCIAS ADULTO-Jenny Peña</v>
      </c>
      <c r="F8284" s="5"/>
      <c r="G8284" s="5"/>
    </row>
    <row r="8285" spans="1:7" ht="58.5" customHeight="1" x14ac:dyDescent="0.25">
      <c r="A8285" s="5" t="str">
        <f>"H0035149"</f>
        <v>H0035149</v>
      </c>
      <c r="B8285" s="5" t="str">
        <f>"CAMA HOSPITALARIA (DONACION)"</f>
        <v>CAMA HOSPITALARIA (DONACION)</v>
      </c>
      <c r="C8285" s="6">
        <v>482786</v>
      </c>
      <c r="D8285" s="5" t="s">
        <v>125</v>
      </c>
      <c r="E8285" s="5" t="str">
        <f t="shared" si="410"/>
        <v>URGENCIAS ADULTO-Jenny Peña</v>
      </c>
      <c r="F8285" s="5"/>
      <c r="G8285" s="5"/>
    </row>
    <row r="8286" spans="1:7" ht="58.5" customHeight="1" x14ac:dyDescent="0.25">
      <c r="A8286" s="5" t="str">
        <f>"H0035150"</f>
        <v>H0035150</v>
      </c>
      <c r="B8286" s="5" t="str">
        <f>"CAMA HOSPITALARIA (DONACION)"</f>
        <v>CAMA HOSPITALARIA (DONACION)</v>
      </c>
      <c r="C8286" s="6">
        <v>482786</v>
      </c>
      <c r="D8286" s="5" t="s">
        <v>125</v>
      </c>
      <c r="E8286" s="5" t="str">
        <f t="shared" si="410"/>
        <v>URGENCIAS ADULTO-Jenny Peña</v>
      </c>
      <c r="F8286" s="5"/>
      <c r="G8286" s="5"/>
    </row>
    <row r="8287" spans="1:7" ht="58.5" customHeight="1" x14ac:dyDescent="0.25">
      <c r="A8287" s="5" t="str">
        <f>"H0035199"</f>
        <v>H0035199</v>
      </c>
      <c r="B8287" s="5" t="str">
        <f t="shared" ref="B8287:B8292" si="416">"LECTOR DE HUELLAS DIGITALES"</f>
        <v>LECTOR DE HUELLAS DIGITALES</v>
      </c>
      <c r="C8287" s="6">
        <v>357666.4</v>
      </c>
      <c r="D8287" s="5" t="s">
        <v>126</v>
      </c>
      <c r="E8287" s="5" t="str">
        <f t="shared" si="410"/>
        <v>URGENCIAS ADULTO-Jenny Peña</v>
      </c>
      <c r="F8287" s="5"/>
      <c r="G8287" s="5"/>
    </row>
    <row r="8288" spans="1:7" ht="58.5" customHeight="1" x14ac:dyDescent="0.25">
      <c r="A8288" s="5" t="str">
        <f>"H0035200"</f>
        <v>H0035200</v>
      </c>
      <c r="B8288" s="5" t="str">
        <f t="shared" si="416"/>
        <v>LECTOR DE HUELLAS DIGITALES</v>
      </c>
      <c r="C8288" s="6">
        <v>357666.4</v>
      </c>
      <c r="D8288" s="5" t="s">
        <v>126</v>
      </c>
      <c r="E8288" s="5" t="str">
        <f t="shared" si="410"/>
        <v>URGENCIAS ADULTO-Jenny Peña</v>
      </c>
      <c r="F8288" s="5"/>
      <c r="G8288" s="5"/>
    </row>
    <row r="8289" spans="1:7" ht="58.5" customHeight="1" x14ac:dyDescent="0.25">
      <c r="A8289" s="5" t="str">
        <f>"H0035201"</f>
        <v>H0035201</v>
      </c>
      <c r="B8289" s="5" t="str">
        <f t="shared" si="416"/>
        <v>LECTOR DE HUELLAS DIGITALES</v>
      </c>
      <c r="C8289" s="6">
        <v>357666.4</v>
      </c>
      <c r="D8289" s="5" t="s">
        <v>126</v>
      </c>
      <c r="E8289" s="5" t="str">
        <f t="shared" si="410"/>
        <v>URGENCIAS ADULTO-Jenny Peña</v>
      </c>
      <c r="F8289" s="5"/>
      <c r="G8289" s="5"/>
    </row>
    <row r="8290" spans="1:7" ht="58.5" customHeight="1" x14ac:dyDescent="0.25">
      <c r="A8290" s="5" t="str">
        <f>"H0035202"</f>
        <v>H0035202</v>
      </c>
      <c r="B8290" s="5" t="str">
        <f t="shared" si="416"/>
        <v>LECTOR DE HUELLAS DIGITALES</v>
      </c>
      <c r="C8290" s="6">
        <v>357666.4</v>
      </c>
      <c r="D8290" s="5" t="s">
        <v>126</v>
      </c>
      <c r="E8290" s="5" t="str">
        <f t="shared" si="410"/>
        <v>URGENCIAS ADULTO-Jenny Peña</v>
      </c>
      <c r="F8290" s="5"/>
      <c r="G8290" s="5"/>
    </row>
    <row r="8291" spans="1:7" ht="58.5" customHeight="1" x14ac:dyDescent="0.25">
      <c r="A8291" s="5" t="str">
        <f>"H0035203"</f>
        <v>H0035203</v>
      </c>
      <c r="B8291" s="5" t="str">
        <f t="shared" si="416"/>
        <v>LECTOR DE HUELLAS DIGITALES</v>
      </c>
      <c r="C8291" s="6">
        <v>357666.4</v>
      </c>
      <c r="D8291" s="5" t="s">
        <v>126</v>
      </c>
      <c r="E8291" s="5" t="str">
        <f t="shared" si="410"/>
        <v>URGENCIAS ADULTO-Jenny Peña</v>
      </c>
      <c r="F8291" s="5"/>
      <c r="G8291" s="5"/>
    </row>
    <row r="8292" spans="1:7" ht="58.5" customHeight="1" x14ac:dyDescent="0.25">
      <c r="A8292" s="5" t="str">
        <f>"H0035228"</f>
        <v>H0035228</v>
      </c>
      <c r="B8292" s="5" t="str">
        <f t="shared" si="416"/>
        <v>LECTOR DE HUELLAS DIGITALES</v>
      </c>
      <c r="C8292" s="6">
        <v>357666.4</v>
      </c>
      <c r="D8292" s="5" t="s">
        <v>126</v>
      </c>
      <c r="E8292" s="5" t="str">
        <f t="shared" si="410"/>
        <v>URGENCIAS ADULTO-Jenny Peña</v>
      </c>
      <c r="F8292" s="5"/>
      <c r="G8292" s="5"/>
    </row>
    <row r="8293" spans="1:7" ht="58.5" customHeight="1" x14ac:dyDescent="0.25">
      <c r="A8293" s="5" t="str">
        <f>"H0035279"</f>
        <v>H0035279</v>
      </c>
      <c r="B8293" s="5" t="str">
        <f t="shared" ref="B8293:B8298" si="417">"CAMA HOSPITALARIA (DONACION)"</f>
        <v>CAMA HOSPITALARIA (DONACION)</v>
      </c>
      <c r="C8293" s="6">
        <v>40540500</v>
      </c>
      <c r="D8293" s="5" t="s">
        <v>279</v>
      </c>
      <c r="E8293" s="5" t="str">
        <f t="shared" ref="E8293:E8356" si="418">"URGENCIAS ADULTO-Jenny Peña"</f>
        <v>URGENCIAS ADULTO-Jenny Peña</v>
      </c>
      <c r="F8293" s="5"/>
      <c r="G8293" s="5"/>
    </row>
    <row r="8294" spans="1:7" ht="58.5" customHeight="1" x14ac:dyDescent="0.25">
      <c r="A8294" s="5" t="str">
        <f>"H0035281"</f>
        <v>H0035281</v>
      </c>
      <c r="B8294" s="5" t="str">
        <f t="shared" si="417"/>
        <v>CAMA HOSPITALARIA (DONACION)</v>
      </c>
      <c r="C8294" s="6">
        <v>40540500</v>
      </c>
      <c r="D8294" s="5" t="s">
        <v>279</v>
      </c>
      <c r="E8294" s="5" t="str">
        <f t="shared" si="418"/>
        <v>URGENCIAS ADULTO-Jenny Peña</v>
      </c>
      <c r="F8294" s="5"/>
      <c r="G8294" s="5"/>
    </row>
    <row r="8295" spans="1:7" ht="58.5" customHeight="1" x14ac:dyDescent="0.25">
      <c r="A8295" s="5" t="str">
        <f>"H0035453"</f>
        <v>H0035453</v>
      </c>
      <c r="B8295" s="5" t="str">
        <f t="shared" si="417"/>
        <v>CAMA HOSPITALARIA (DONACION)</v>
      </c>
      <c r="C8295" s="6">
        <v>7594755</v>
      </c>
      <c r="D8295" s="5" t="s">
        <v>130</v>
      </c>
      <c r="E8295" s="5" t="str">
        <f t="shared" si="418"/>
        <v>URGENCIAS ADULTO-Jenny Peña</v>
      </c>
      <c r="F8295" s="5"/>
      <c r="G8295" s="5"/>
    </row>
    <row r="8296" spans="1:7" ht="58.5" customHeight="1" x14ac:dyDescent="0.25">
      <c r="A8296" s="5" t="str">
        <f>"H0035454"</f>
        <v>H0035454</v>
      </c>
      <c r="B8296" s="5" t="str">
        <f t="shared" si="417"/>
        <v>CAMA HOSPITALARIA (DONACION)</v>
      </c>
      <c r="C8296" s="6">
        <v>7594755</v>
      </c>
      <c r="D8296" s="5" t="s">
        <v>130</v>
      </c>
      <c r="E8296" s="5" t="str">
        <f t="shared" si="418"/>
        <v>URGENCIAS ADULTO-Jenny Peña</v>
      </c>
      <c r="F8296" s="5"/>
      <c r="G8296" s="5"/>
    </row>
    <row r="8297" spans="1:7" ht="58.5" customHeight="1" x14ac:dyDescent="0.25">
      <c r="A8297" s="5" t="str">
        <f>"H0035456"</f>
        <v>H0035456</v>
      </c>
      <c r="B8297" s="5" t="str">
        <f t="shared" si="417"/>
        <v>CAMA HOSPITALARIA (DONACION)</v>
      </c>
      <c r="C8297" s="6">
        <v>7594755</v>
      </c>
      <c r="D8297" s="5" t="s">
        <v>130</v>
      </c>
      <c r="E8297" s="5" t="str">
        <f t="shared" si="418"/>
        <v>URGENCIAS ADULTO-Jenny Peña</v>
      </c>
      <c r="F8297" s="5"/>
      <c r="G8297" s="5"/>
    </row>
    <row r="8298" spans="1:7" ht="58.5" customHeight="1" x14ac:dyDescent="0.25">
      <c r="A8298" s="5" t="str">
        <f>"H0035457"</f>
        <v>H0035457</v>
      </c>
      <c r="B8298" s="5" t="str">
        <f t="shared" si="417"/>
        <v>CAMA HOSPITALARIA (DONACION)</v>
      </c>
      <c r="C8298" s="6">
        <v>7594755</v>
      </c>
      <c r="D8298" s="5" t="s">
        <v>130</v>
      </c>
      <c r="E8298" s="5" t="str">
        <f t="shared" si="418"/>
        <v>URGENCIAS ADULTO-Jenny Peña</v>
      </c>
      <c r="F8298" s="5"/>
      <c r="G8298" s="5"/>
    </row>
    <row r="8299" spans="1:7" ht="58.5" customHeight="1" x14ac:dyDescent="0.25">
      <c r="A8299" s="5" t="str">
        <f>"H0035471"</f>
        <v>H0035471</v>
      </c>
      <c r="B8299" s="5" t="str">
        <f>"CARRO PORTA HISTORIAS CLINICAS"</f>
        <v>CARRO PORTA HISTORIAS CLINICAS</v>
      </c>
      <c r="C8299" s="6">
        <v>758875.01</v>
      </c>
      <c r="D8299" s="5" t="s">
        <v>159</v>
      </c>
      <c r="E8299" s="5" t="str">
        <f t="shared" si="418"/>
        <v>URGENCIAS ADULTO-Jenny Peña</v>
      </c>
      <c r="F8299" s="5"/>
      <c r="G8299" s="5"/>
    </row>
    <row r="8300" spans="1:7" ht="58.5" customHeight="1" x14ac:dyDescent="0.25">
      <c r="A8300" s="5" t="str">
        <f>"H0035472"</f>
        <v>H0035472</v>
      </c>
      <c r="B8300" s="5" t="str">
        <f>"CARRO PORTA HISTORIAS CLINICAS"</f>
        <v>CARRO PORTA HISTORIAS CLINICAS</v>
      </c>
      <c r="C8300" s="6">
        <v>758875.01</v>
      </c>
      <c r="D8300" s="5" t="s">
        <v>159</v>
      </c>
      <c r="E8300" s="5" t="str">
        <f t="shared" si="418"/>
        <v>URGENCIAS ADULTO-Jenny Peña</v>
      </c>
      <c r="F8300" s="5"/>
      <c r="G8300" s="5"/>
    </row>
    <row r="8301" spans="1:7" ht="58.5" customHeight="1" x14ac:dyDescent="0.25">
      <c r="A8301" s="5" t="str">
        <f>"H0035481"</f>
        <v>H0035481</v>
      </c>
      <c r="B8301" s="5" t="str">
        <f t="shared" ref="B8301:B8319" si="419">"MESA (CARRO) DE CURACIONES"</f>
        <v>MESA (CARRO) DE CURACIONES</v>
      </c>
      <c r="C8301" s="6">
        <v>211250.01</v>
      </c>
      <c r="D8301" s="5" t="s">
        <v>159</v>
      </c>
      <c r="E8301" s="5" t="str">
        <f t="shared" si="418"/>
        <v>URGENCIAS ADULTO-Jenny Peña</v>
      </c>
      <c r="F8301" s="5"/>
      <c r="G8301" s="5"/>
    </row>
    <row r="8302" spans="1:7" ht="58.5" customHeight="1" x14ac:dyDescent="0.25">
      <c r="A8302" s="5" t="str">
        <f>"H0035482"</f>
        <v>H0035482</v>
      </c>
      <c r="B8302" s="5" t="str">
        <f t="shared" si="419"/>
        <v>MESA (CARRO) DE CURACIONES</v>
      </c>
      <c r="C8302" s="6">
        <v>211250.01</v>
      </c>
      <c r="D8302" s="5" t="s">
        <v>159</v>
      </c>
      <c r="E8302" s="5" t="str">
        <f t="shared" si="418"/>
        <v>URGENCIAS ADULTO-Jenny Peña</v>
      </c>
      <c r="F8302" s="5"/>
      <c r="G8302" s="5"/>
    </row>
    <row r="8303" spans="1:7" ht="58.5" customHeight="1" x14ac:dyDescent="0.25">
      <c r="A8303" s="5" t="str">
        <f>"H0035483"</f>
        <v>H0035483</v>
      </c>
      <c r="B8303" s="5" t="str">
        <f t="shared" si="419"/>
        <v>MESA (CARRO) DE CURACIONES</v>
      </c>
      <c r="C8303" s="6">
        <v>211250.01</v>
      </c>
      <c r="D8303" s="5" t="s">
        <v>159</v>
      </c>
      <c r="E8303" s="5" t="str">
        <f t="shared" si="418"/>
        <v>URGENCIAS ADULTO-Jenny Peña</v>
      </c>
      <c r="F8303" s="5"/>
      <c r="G8303" s="5"/>
    </row>
    <row r="8304" spans="1:7" ht="58.5" customHeight="1" x14ac:dyDescent="0.25">
      <c r="A8304" s="5" t="str">
        <f>"H0035484"</f>
        <v>H0035484</v>
      </c>
      <c r="B8304" s="5" t="str">
        <f t="shared" si="419"/>
        <v>MESA (CARRO) DE CURACIONES</v>
      </c>
      <c r="C8304" s="6">
        <v>211250.01</v>
      </c>
      <c r="D8304" s="5" t="s">
        <v>159</v>
      </c>
      <c r="E8304" s="5" t="str">
        <f t="shared" si="418"/>
        <v>URGENCIAS ADULTO-Jenny Peña</v>
      </c>
      <c r="F8304" s="5"/>
      <c r="G8304" s="5"/>
    </row>
    <row r="8305" spans="1:7" ht="58.5" customHeight="1" x14ac:dyDescent="0.25">
      <c r="A8305" s="5" t="str">
        <f>"H0035486"</f>
        <v>H0035486</v>
      </c>
      <c r="B8305" s="5" t="str">
        <f t="shared" si="419"/>
        <v>MESA (CARRO) DE CURACIONES</v>
      </c>
      <c r="C8305" s="6">
        <v>211250.01</v>
      </c>
      <c r="D8305" s="5" t="s">
        <v>159</v>
      </c>
      <c r="E8305" s="5" t="str">
        <f t="shared" si="418"/>
        <v>URGENCIAS ADULTO-Jenny Peña</v>
      </c>
      <c r="F8305" s="5"/>
      <c r="G8305" s="5"/>
    </row>
    <row r="8306" spans="1:7" ht="58.5" customHeight="1" x14ac:dyDescent="0.25">
      <c r="A8306" s="5" t="str">
        <f>"H0035487"</f>
        <v>H0035487</v>
      </c>
      <c r="B8306" s="5" t="str">
        <f t="shared" si="419"/>
        <v>MESA (CARRO) DE CURACIONES</v>
      </c>
      <c r="C8306" s="6">
        <v>211250.01</v>
      </c>
      <c r="D8306" s="5" t="s">
        <v>159</v>
      </c>
      <c r="E8306" s="5" t="str">
        <f t="shared" si="418"/>
        <v>URGENCIAS ADULTO-Jenny Peña</v>
      </c>
      <c r="F8306" s="5"/>
      <c r="G8306" s="5"/>
    </row>
    <row r="8307" spans="1:7" ht="58.5" customHeight="1" x14ac:dyDescent="0.25">
      <c r="A8307" s="5" t="str">
        <f>"H0035488"</f>
        <v>H0035488</v>
      </c>
      <c r="B8307" s="5" t="str">
        <f t="shared" si="419"/>
        <v>MESA (CARRO) DE CURACIONES</v>
      </c>
      <c r="C8307" s="6">
        <v>211250.01</v>
      </c>
      <c r="D8307" s="5" t="s">
        <v>159</v>
      </c>
      <c r="E8307" s="5" t="str">
        <f t="shared" si="418"/>
        <v>URGENCIAS ADULTO-Jenny Peña</v>
      </c>
      <c r="F8307" s="5"/>
      <c r="G8307" s="5"/>
    </row>
    <row r="8308" spans="1:7" ht="58.5" customHeight="1" x14ac:dyDescent="0.25">
      <c r="A8308" s="5" t="str">
        <f>"H0035489"</f>
        <v>H0035489</v>
      </c>
      <c r="B8308" s="5" t="str">
        <f t="shared" si="419"/>
        <v>MESA (CARRO) DE CURACIONES</v>
      </c>
      <c r="C8308" s="6">
        <v>211250.01</v>
      </c>
      <c r="D8308" s="5" t="s">
        <v>159</v>
      </c>
      <c r="E8308" s="5" t="str">
        <f t="shared" si="418"/>
        <v>URGENCIAS ADULTO-Jenny Peña</v>
      </c>
      <c r="F8308" s="5"/>
      <c r="G8308" s="5"/>
    </row>
    <row r="8309" spans="1:7" ht="58.5" customHeight="1" x14ac:dyDescent="0.25">
      <c r="A8309" s="5" t="str">
        <f>"H0035490"</f>
        <v>H0035490</v>
      </c>
      <c r="B8309" s="5" t="str">
        <f t="shared" si="419"/>
        <v>MESA (CARRO) DE CURACIONES</v>
      </c>
      <c r="C8309" s="6">
        <v>211250.01</v>
      </c>
      <c r="D8309" s="5" t="s">
        <v>159</v>
      </c>
      <c r="E8309" s="5" t="str">
        <f t="shared" si="418"/>
        <v>URGENCIAS ADULTO-Jenny Peña</v>
      </c>
      <c r="F8309" s="5"/>
      <c r="G8309" s="5"/>
    </row>
    <row r="8310" spans="1:7" ht="58.5" customHeight="1" x14ac:dyDescent="0.25">
      <c r="A8310" s="5" t="str">
        <f>"H0035491"</f>
        <v>H0035491</v>
      </c>
      <c r="B8310" s="5" t="str">
        <f t="shared" si="419"/>
        <v>MESA (CARRO) DE CURACIONES</v>
      </c>
      <c r="C8310" s="6">
        <v>211250.01</v>
      </c>
      <c r="D8310" s="5" t="s">
        <v>159</v>
      </c>
      <c r="E8310" s="5" t="str">
        <f t="shared" si="418"/>
        <v>URGENCIAS ADULTO-Jenny Peña</v>
      </c>
      <c r="F8310" s="5"/>
      <c r="G8310" s="5"/>
    </row>
    <row r="8311" spans="1:7" ht="58.5" customHeight="1" x14ac:dyDescent="0.25">
      <c r="A8311" s="5" t="str">
        <f>"H0035492"</f>
        <v>H0035492</v>
      </c>
      <c r="B8311" s="5" t="str">
        <f t="shared" si="419"/>
        <v>MESA (CARRO) DE CURACIONES</v>
      </c>
      <c r="C8311" s="6">
        <v>211250.01</v>
      </c>
      <c r="D8311" s="5" t="s">
        <v>159</v>
      </c>
      <c r="E8311" s="5" t="str">
        <f t="shared" si="418"/>
        <v>URGENCIAS ADULTO-Jenny Peña</v>
      </c>
      <c r="F8311" s="5"/>
      <c r="G8311" s="5"/>
    </row>
    <row r="8312" spans="1:7" ht="58.5" customHeight="1" x14ac:dyDescent="0.25">
      <c r="A8312" s="5" t="str">
        <f>"H0035493"</f>
        <v>H0035493</v>
      </c>
      <c r="B8312" s="5" t="str">
        <f t="shared" si="419"/>
        <v>MESA (CARRO) DE CURACIONES</v>
      </c>
      <c r="C8312" s="6">
        <v>211250.01</v>
      </c>
      <c r="D8312" s="5" t="s">
        <v>159</v>
      </c>
      <c r="E8312" s="5" t="str">
        <f t="shared" si="418"/>
        <v>URGENCIAS ADULTO-Jenny Peña</v>
      </c>
      <c r="F8312" s="5"/>
      <c r="G8312" s="5"/>
    </row>
    <row r="8313" spans="1:7" ht="58.5" customHeight="1" x14ac:dyDescent="0.25">
      <c r="A8313" s="5" t="str">
        <f>"H0035494"</f>
        <v>H0035494</v>
      </c>
      <c r="B8313" s="5" t="str">
        <f t="shared" si="419"/>
        <v>MESA (CARRO) DE CURACIONES</v>
      </c>
      <c r="C8313" s="6">
        <v>211250.01</v>
      </c>
      <c r="D8313" s="5" t="s">
        <v>159</v>
      </c>
      <c r="E8313" s="5" t="str">
        <f t="shared" si="418"/>
        <v>URGENCIAS ADULTO-Jenny Peña</v>
      </c>
      <c r="F8313" s="5"/>
      <c r="G8313" s="5"/>
    </row>
    <row r="8314" spans="1:7" ht="58.5" customHeight="1" x14ac:dyDescent="0.25">
      <c r="A8314" s="5" t="str">
        <f>"H0035495"</f>
        <v>H0035495</v>
      </c>
      <c r="B8314" s="5" t="str">
        <f t="shared" si="419"/>
        <v>MESA (CARRO) DE CURACIONES</v>
      </c>
      <c r="C8314" s="6">
        <v>211250.01</v>
      </c>
      <c r="D8314" s="5" t="s">
        <v>159</v>
      </c>
      <c r="E8314" s="5" t="str">
        <f t="shared" si="418"/>
        <v>URGENCIAS ADULTO-Jenny Peña</v>
      </c>
      <c r="F8314" s="5"/>
      <c r="G8314" s="5"/>
    </row>
    <row r="8315" spans="1:7" ht="58.5" customHeight="1" x14ac:dyDescent="0.25">
      <c r="A8315" s="5" t="str">
        <f>"H0035496"</f>
        <v>H0035496</v>
      </c>
      <c r="B8315" s="5" t="str">
        <f t="shared" si="419"/>
        <v>MESA (CARRO) DE CURACIONES</v>
      </c>
      <c r="C8315" s="6">
        <v>211250.01</v>
      </c>
      <c r="D8315" s="5" t="s">
        <v>159</v>
      </c>
      <c r="E8315" s="5" t="str">
        <f t="shared" si="418"/>
        <v>URGENCIAS ADULTO-Jenny Peña</v>
      </c>
      <c r="F8315" s="5"/>
      <c r="G8315" s="5"/>
    </row>
    <row r="8316" spans="1:7" ht="58.5" customHeight="1" x14ac:dyDescent="0.25">
      <c r="A8316" s="5" t="str">
        <f>"H0035497"</f>
        <v>H0035497</v>
      </c>
      <c r="B8316" s="5" t="str">
        <f t="shared" si="419"/>
        <v>MESA (CARRO) DE CURACIONES</v>
      </c>
      <c r="C8316" s="6">
        <v>211250.01</v>
      </c>
      <c r="D8316" s="5" t="s">
        <v>159</v>
      </c>
      <c r="E8316" s="5" t="str">
        <f t="shared" si="418"/>
        <v>URGENCIAS ADULTO-Jenny Peña</v>
      </c>
      <c r="F8316" s="5"/>
      <c r="G8316" s="5"/>
    </row>
    <row r="8317" spans="1:7" ht="58.5" customHeight="1" x14ac:dyDescent="0.25">
      <c r="A8317" s="5" t="str">
        <f>"H0035498"</f>
        <v>H0035498</v>
      </c>
      <c r="B8317" s="5" t="str">
        <f t="shared" si="419"/>
        <v>MESA (CARRO) DE CURACIONES</v>
      </c>
      <c r="C8317" s="6">
        <v>211250.01</v>
      </c>
      <c r="D8317" s="5" t="s">
        <v>159</v>
      </c>
      <c r="E8317" s="5" t="str">
        <f t="shared" si="418"/>
        <v>URGENCIAS ADULTO-Jenny Peña</v>
      </c>
      <c r="F8317" s="5"/>
      <c r="G8317" s="5"/>
    </row>
    <row r="8318" spans="1:7" ht="58.5" customHeight="1" x14ac:dyDescent="0.25">
      <c r="A8318" s="5" t="str">
        <f>"H0035499"</f>
        <v>H0035499</v>
      </c>
      <c r="B8318" s="5" t="str">
        <f t="shared" si="419"/>
        <v>MESA (CARRO) DE CURACIONES</v>
      </c>
      <c r="C8318" s="6">
        <v>211250.01</v>
      </c>
      <c r="D8318" s="5" t="s">
        <v>159</v>
      </c>
      <c r="E8318" s="5" t="str">
        <f t="shared" si="418"/>
        <v>URGENCIAS ADULTO-Jenny Peña</v>
      </c>
      <c r="F8318" s="5"/>
      <c r="G8318" s="5"/>
    </row>
    <row r="8319" spans="1:7" ht="58.5" customHeight="1" x14ac:dyDescent="0.25">
      <c r="A8319" s="5" t="str">
        <f>"H0035500"</f>
        <v>H0035500</v>
      </c>
      <c r="B8319" s="5" t="str">
        <f t="shared" si="419"/>
        <v>MESA (CARRO) DE CURACIONES</v>
      </c>
      <c r="C8319" s="6">
        <v>211250.01</v>
      </c>
      <c r="D8319" s="5" t="s">
        <v>159</v>
      </c>
      <c r="E8319" s="5" t="str">
        <f t="shared" si="418"/>
        <v>URGENCIAS ADULTO-Jenny Peña</v>
      </c>
      <c r="F8319" s="5"/>
      <c r="G8319" s="5"/>
    </row>
    <row r="8320" spans="1:7" ht="58.5" customHeight="1" x14ac:dyDescent="0.25">
      <c r="A8320" s="5" t="str">
        <f>"H0035520"</f>
        <v>H0035520</v>
      </c>
      <c r="B8320" s="5" t="str">
        <f>"MESA DE MAYO"</f>
        <v>MESA DE MAYO</v>
      </c>
      <c r="C8320" s="6">
        <v>421874.81</v>
      </c>
      <c r="D8320" s="5" t="s">
        <v>159</v>
      </c>
      <c r="E8320" s="5" t="str">
        <f t="shared" si="418"/>
        <v>URGENCIAS ADULTO-Jenny Peña</v>
      </c>
      <c r="F8320" s="5"/>
      <c r="G8320" s="5"/>
    </row>
    <row r="8321" spans="1:7" ht="58.5" customHeight="1" x14ac:dyDescent="0.25">
      <c r="A8321" s="5" t="str">
        <f>"H0035521"</f>
        <v>H0035521</v>
      </c>
      <c r="B8321" s="5" t="str">
        <f>"MESA DE MAYO"</f>
        <v>MESA DE MAYO</v>
      </c>
      <c r="C8321" s="6">
        <v>421874.81</v>
      </c>
      <c r="D8321" s="5" t="s">
        <v>159</v>
      </c>
      <c r="E8321" s="5" t="str">
        <f t="shared" si="418"/>
        <v>URGENCIAS ADULTO-Jenny Peña</v>
      </c>
      <c r="F8321" s="5"/>
      <c r="G8321" s="5"/>
    </row>
    <row r="8322" spans="1:7" ht="58.5" customHeight="1" x14ac:dyDescent="0.25">
      <c r="A8322" s="5" t="str">
        <f>"H0035539"</f>
        <v>H0035539</v>
      </c>
      <c r="B8322" s="5" t="str">
        <f>"MESA DE MAYO"</f>
        <v>MESA DE MAYO</v>
      </c>
      <c r="C8322" s="6">
        <v>421875.06</v>
      </c>
      <c r="D8322" s="5" t="s">
        <v>159</v>
      </c>
      <c r="E8322" s="5" t="str">
        <f t="shared" si="418"/>
        <v>URGENCIAS ADULTO-Jenny Peña</v>
      </c>
      <c r="F8322" s="5"/>
      <c r="G8322" s="5"/>
    </row>
    <row r="8323" spans="1:7" ht="58.5" customHeight="1" x14ac:dyDescent="0.25">
      <c r="A8323" s="5" t="str">
        <f>"H0035564"</f>
        <v>H0035564</v>
      </c>
      <c r="B8323" s="5" t="str">
        <f t="shared" ref="B8323:B8332" si="420">"CAMA HOSPITALARIA (DONACION)"</f>
        <v>CAMA HOSPITALARIA (DONACION)</v>
      </c>
      <c r="C8323" s="6">
        <v>6390000</v>
      </c>
      <c r="D8323" s="5" t="s">
        <v>492</v>
      </c>
      <c r="E8323" s="5" t="str">
        <f t="shared" si="418"/>
        <v>URGENCIAS ADULTO-Jenny Peña</v>
      </c>
      <c r="F8323" s="5"/>
      <c r="G8323" s="5"/>
    </row>
    <row r="8324" spans="1:7" ht="58.5" customHeight="1" x14ac:dyDescent="0.25">
      <c r="A8324" s="5" t="str">
        <f>"H0035569"</f>
        <v>H0035569</v>
      </c>
      <c r="B8324" s="5" t="str">
        <f t="shared" si="420"/>
        <v>CAMA HOSPITALARIA (DONACION)</v>
      </c>
      <c r="C8324" s="6">
        <v>6390000</v>
      </c>
      <c r="D8324" s="5" t="s">
        <v>492</v>
      </c>
      <c r="E8324" s="5" t="str">
        <f t="shared" si="418"/>
        <v>URGENCIAS ADULTO-Jenny Peña</v>
      </c>
      <c r="F8324" s="5"/>
      <c r="G8324" s="5"/>
    </row>
    <row r="8325" spans="1:7" ht="58.5" customHeight="1" x14ac:dyDescent="0.25">
      <c r="A8325" s="5" t="str">
        <f>"H0035570"</f>
        <v>H0035570</v>
      </c>
      <c r="B8325" s="5" t="str">
        <f t="shared" si="420"/>
        <v>CAMA HOSPITALARIA (DONACION)</v>
      </c>
      <c r="C8325" s="6">
        <v>6390000</v>
      </c>
      <c r="D8325" s="5" t="s">
        <v>492</v>
      </c>
      <c r="E8325" s="5" t="str">
        <f t="shared" si="418"/>
        <v>URGENCIAS ADULTO-Jenny Peña</v>
      </c>
      <c r="F8325" s="5"/>
      <c r="G8325" s="5"/>
    </row>
    <row r="8326" spans="1:7" ht="58.5" customHeight="1" x14ac:dyDescent="0.25">
      <c r="A8326" s="5" t="str">
        <f>"H0035572"</f>
        <v>H0035572</v>
      </c>
      <c r="B8326" s="5" t="str">
        <f t="shared" si="420"/>
        <v>CAMA HOSPITALARIA (DONACION)</v>
      </c>
      <c r="C8326" s="6">
        <v>6390000</v>
      </c>
      <c r="D8326" s="5" t="s">
        <v>492</v>
      </c>
      <c r="E8326" s="5" t="str">
        <f t="shared" si="418"/>
        <v>URGENCIAS ADULTO-Jenny Peña</v>
      </c>
      <c r="F8326" s="5"/>
      <c r="G8326" s="5"/>
    </row>
    <row r="8327" spans="1:7" ht="58.5" customHeight="1" x14ac:dyDescent="0.25">
      <c r="A8327" s="5" t="str">
        <f>"H0035576"</f>
        <v>H0035576</v>
      </c>
      <c r="B8327" s="5" t="str">
        <f t="shared" si="420"/>
        <v>CAMA HOSPITALARIA (DONACION)</v>
      </c>
      <c r="C8327" s="6">
        <v>6390000</v>
      </c>
      <c r="D8327" s="5" t="s">
        <v>492</v>
      </c>
      <c r="E8327" s="5" t="str">
        <f t="shared" si="418"/>
        <v>URGENCIAS ADULTO-Jenny Peña</v>
      </c>
      <c r="F8327" s="5"/>
      <c r="G8327" s="5"/>
    </row>
    <row r="8328" spans="1:7" ht="58.5" customHeight="1" x14ac:dyDescent="0.25">
      <c r="A8328" s="5" t="str">
        <f>"H0035582"</f>
        <v>H0035582</v>
      </c>
      <c r="B8328" s="5" t="str">
        <f t="shared" si="420"/>
        <v>CAMA HOSPITALARIA (DONACION)</v>
      </c>
      <c r="C8328" s="6">
        <v>7594755</v>
      </c>
      <c r="D8328" s="5" t="s">
        <v>493</v>
      </c>
      <c r="E8328" s="5" t="str">
        <f t="shared" si="418"/>
        <v>URGENCIAS ADULTO-Jenny Peña</v>
      </c>
      <c r="F8328" s="5"/>
      <c r="G8328" s="5" t="str">
        <f>"lynix"</f>
        <v>lynix</v>
      </c>
    </row>
    <row r="8329" spans="1:7" ht="58.5" customHeight="1" x14ac:dyDescent="0.25">
      <c r="A8329" s="5" t="str">
        <f>"H0035584"</f>
        <v>H0035584</v>
      </c>
      <c r="B8329" s="5" t="str">
        <f t="shared" si="420"/>
        <v>CAMA HOSPITALARIA (DONACION)</v>
      </c>
      <c r="C8329" s="6">
        <v>7594755</v>
      </c>
      <c r="D8329" s="5" t="s">
        <v>493</v>
      </c>
      <c r="E8329" s="5" t="str">
        <f t="shared" si="418"/>
        <v>URGENCIAS ADULTO-Jenny Peña</v>
      </c>
      <c r="F8329" s="5"/>
      <c r="G8329" s="5" t="str">
        <f>"lynix"</f>
        <v>lynix</v>
      </c>
    </row>
    <row r="8330" spans="1:7" ht="58.5" customHeight="1" x14ac:dyDescent="0.25">
      <c r="A8330" s="5" t="str">
        <f>"H0035585"</f>
        <v>H0035585</v>
      </c>
      <c r="B8330" s="5" t="str">
        <f t="shared" si="420"/>
        <v>CAMA HOSPITALARIA (DONACION)</v>
      </c>
      <c r="C8330" s="6">
        <v>7594755</v>
      </c>
      <c r="D8330" s="5" t="s">
        <v>493</v>
      </c>
      <c r="E8330" s="5" t="str">
        <f t="shared" si="418"/>
        <v>URGENCIAS ADULTO-Jenny Peña</v>
      </c>
      <c r="F8330" s="5"/>
      <c r="G8330" s="5" t="str">
        <f>"lynix"</f>
        <v>lynix</v>
      </c>
    </row>
    <row r="8331" spans="1:7" ht="58.5" customHeight="1" x14ac:dyDescent="0.25">
      <c r="A8331" s="5" t="str">
        <f>"H0035586"</f>
        <v>H0035586</v>
      </c>
      <c r="B8331" s="5" t="str">
        <f t="shared" si="420"/>
        <v>CAMA HOSPITALARIA (DONACION)</v>
      </c>
      <c r="C8331" s="6">
        <v>7594755</v>
      </c>
      <c r="D8331" s="5" t="s">
        <v>493</v>
      </c>
      <c r="E8331" s="5" t="str">
        <f t="shared" si="418"/>
        <v>URGENCIAS ADULTO-Jenny Peña</v>
      </c>
      <c r="F8331" s="5"/>
      <c r="G8331" s="5" t="str">
        <f>"lynix"</f>
        <v>lynix</v>
      </c>
    </row>
    <row r="8332" spans="1:7" ht="58.5" customHeight="1" x14ac:dyDescent="0.25">
      <c r="A8332" s="5" t="str">
        <f>"H0035589"</f>
        <v>H0035589</v>
      </c>
      <c r="B8332" s="5" t="str">
        <f t="shared" si="420"/>
        <v>CAMA HOSPITALARIA (DONACION)</v>
      </c>
      <c r="C8332" s="6">
        <v>7594755</v>
      </c>
      <c r="D8332" s="5" t="s">
        <v>493</v>
      </c>
      <c r="E8332" s="5" t="str">
        <f t="shared" si="418"/>
        <v>URGENCIAS ADULTO-Jenny Peña</v>
      </c>
      <c r="F8332" s="5"/>
      <c r="G8332" s="5" t="str">
        <f>"lynix"</f>
        <v>lynix</v>
      </c>
    </row>
    <row r="8333" spans="1:7" ht="58.5" customHeight="1" x14ac:dyDescent="0.25">
      <c r="A8333" s="5" t="str">
        <f>"H0035591"</f>
        <v>H0035591</v>
      </c>
      <c r="B8333" s="5" t="str">
        <f t="shared" ref="B8333:B8376" si="421">"SILLA GERENTE NIZA MEC. BASCULANTE CON BRAZOS."</f>
        <v>SILLA GERENTE NIZA MEC. BASCULANTE CON BRAZOS.</v>
      </c>
      <c r="C8333" s="6">
        <v>639999.86</v>
      </c>
      <c r="D8333" s="5" t="s">
        <v>235</v>
      </c>
      <c r="E8333" s="5" t="str">
        <f t="shared" si="418"/>
        <v>URGENCIAS ADULTO-Jenny Peña</v>
      </c>
      <c r="F8333" s="5"/>
      <c r="G8333" s="5"/>
    </row>
    <row r="8334" spans="1:7" ht="58.5" customHeight="1" x14ac:dyDescent="0.25">
      <c r="A8334" s="5" t="str">
        <f>"H0035592"</f>
        <v>H0035592</v>
      </c>
      <c r="B8334" s="5" t="str">
        <f t="shared" si="421"/>
        <v>SILLA GERENTE NIZA MEC. BASCULANTE CON BRAZOS.</v>
      </c>
      <c r="C8334" s="6">
        <v>639999.86</v>
      </c>
      <c r="D8334" s="5" t="s">
        <v>235</v>
      </c>
      <c r="E8334" s="5" t="str">
        <f t="shared" si="418"/>
        <v>URGENCIAS ADULTO-Jenny Peña</v>
      </c>
      <c r="F8334" s="5"/>
      <c r="G8334" s="5"/>
    </row>
    <row r="8335" spans="1:7" ht="58.5" customHeight="1" x14ac:dyDescent="0.25">
      <c r="A8335" s="5" t="str">
        <f>"H0035593"</f>
        <v>H0035593</v>
      </c>
      <c r="B8335" s="5" t="str">
        <f t="shared" si="421"/>
        <v>SILLA GERENTE NIZA MEC. BASCULANTE CON BRAZOS.</v>
      </c>
      <c r="C8335" s="6">
        <v>639999.86</v>
      </c>
      <c r="D8335" s="5" t="s">
        <v>235</v>
      </c>
      <c r="E8335" s="5" t="str">
        <f t="shared" si="418"/>
        <v>URGENCIAS ADULTO-Jenny Peña</v>
      </c>
      <c r="F8335" s="5"/>
      <c r="G8335" s="5"/>
    </row>
    <row r="8336" spans="1:7" ht="58.5" customHeight="1" x14ac:dyDescent="0.25">
      <c r="A8336" s="5" t="str">
        <f>"H0035594"</f>
        <v>H0035594</v>
      </c>
      <c r="B8336" s="5" t="str">
        <f t="shared" si="421"/>
        <v>SILLA GERENTE NIZA MEC. BASCULANTE CON BRAZOS.</v>
      </c>
      <c r="C8336" s="6">
        <v>639999.86</v>
      </c>
      <c r="D8336" s="5" t="s">
        <v>235</v>
      </c>
      <c r="E8336" s="5" t="str">
        <f t="shared" si="418"/>
        <v>URGENCIAS ADULTO-Jenny Peña</v>
      </c>
      <c r="F8336" s="5"/>
      <c r="G8336" s="5"/>
    </row>
    <row r="8337" spans="1:7" ht="58.5" customHeight="1" x14ac:dyDescent="0.25">
      <c r="A8337" s="5" t="str">
        <f>"H0035595"</f>
        <v>H0035595</v>
      </c>
      <c r="B8337" s="5" t="str">
        <f t="shared" si="421"/>
        <v>SILLA GERENTE NIZA MEC. BASCULANTE CON BRAZOS.</v>
      </c>
      <c r="C8337" s="6">
        <v>639999.86</v>
      </c>
      <c r="D8337" s="5" t="s">
        <v>235</v>
      </c>
      <c r="E8337" s="5" t="str">
        <f t="shared" si="418"/>
        <v>URGENCIAS ADULTO-Jenny Peña</v>
      </c>
      <c r="F8337" s="5"/>
      <c r="G8337" s="5"/>
    </row>
    <row r="8338" spans="1:7" ht="58.5" customHeight="1" x14ac:dyDescent="0.25">
      <c r="A8338" s="5" t="str">
        <f>"H0035596"</f>
        <v>H0035596</v>
      </c>
      <c r="B8338" s="5" t="str">
        <f t="shared" si="421"/>
        <v>SILLA GERENTE NIZA MEC. BASCULANTE CON BRAZOS.</v>
      </c>
      <c r="C8338" s="6">
        <v>639999.86</v>
      </c>
      <c r="D8338" s="5" t="s">
        <v>235</v>
      </c>
      <c r="E8338" s="5" t="str">
        <f t="shared" si="418"/>
        <v>URGENCIAS ADULTO-Jenny Peña</v>
      </c>
      <c r="F8338" s="5"/>
      <c r="G8338" s="5"/>
    </row>
    <row r="8339" spans="1:7" ht="58.5" customHeight="1" x14ac:dyDescent="0.25">
      <c r="A8339" s="5" t="str">
        <f>"H0035597"</f>
        <v>H0035597</v>
      </c>
      <c r="B8339" s="5" t="str">
        <f t="shared" si="421"/>
        <v>SILLA GERENTE NIZA MEC. BASCULANTE CON BRAZOS.</v>
      </c>
      <c r="C8339" s="6">
        <v>639999.86</v>
      </c>
      <c r="D8339" s="5" t="s">
        <v>235</v>
      </c>
      <c r="E8339" s="5" t="str">
        <f t="shared" si="418"/>
        <v>URGENCIAS ADULTO-Jenny Peña</v>
      </c>
      <c r="F8339" s="5"/>
      <c r="G8339" s="5"/>
    </row>
    <row r="8340" spans="1:7" ht="58.5" customHeight="1" x14ac:dyDescent="0.25">
      <c r="A8340" s="5" t="str">
        <f>"H0035598"</f>
        <v>H0035598</v>
      </c>
      <c r="B8340" s="5" t="str">
        <f t="shared" si="421"/>
        <v>SILLA GERENTE NIZA MEC. BASCULANTE CON BRAZOS.</v>
      </c>
      <c r="C8340" s="6">
        <v>639999.86</v>
      </c>
      <c r="D8340" s="5" t="s">
        <v>235</v>
      </c>
      <c r="E8340" s="5" t="str">
        <f t="shared" si="418"/>
        <v>URGENCIAS ADULTO-Jenny Peña</v>
      </c>
      <c r="F8340" s="5"/>
      <c r="G8340" s="5"/>
    </row>
    <row r="8341" spans="1:7" ht="58.5" customHeight="1" x14ac:dyDescent="0.25">
      <c r="A8341" s="5" t="str">
        <f>"H0035599"</f>
        <v>H0035599</v>
      </c>
      <c r="B8341" s="5" t="str">
        <f t="shared" si="421"/>
        <v>SILLA GERENTE NIZA MEC. BASCULANTE CON BRAZOS.</v>
      </c>
      <c r="C8341" s="6">
        <v>639999.86</v>
      </c>
      <c r="D8341" s="5" t="s">
        <v>235</v>
      </c>
      <c r="E8341" s="5" t="str">
        <f t="shared" si="418"/>
        <v>URGENCIAS ADULTO-Jenny Peña</v>
      </c>
      <c r="F8341" s="5"/>
      <c r="G8341" s="5"/>
    </row>
    <row r="8342" spans="1:7" ht="58.5" customHeight="1" x14ac:dyDescent="0.25">
      <c r="A8342" s="5" t="str">
        <f>"H0035600"</f>
        <v>H0035600</v>
      </c>
      <c r="B8342" s="5" t="str">
        <f t="shared" si="421"/>
        <v>SILLA GERENTE NIZA MEC. BASCULANTE CON BRAZOS.</v>
      </c>
      <c r="C8342" s="6">
        <v>639999.86</v>
      </c>
      <c r="D8342" s="5" t="s">
        <v>235</v>
      </c>
      <c r="E8342" s="5" t="str">
        <f t="shared" si="418"/>
        <v>URGENCIAS ADULTO-Jenny Peña</v>
      </c>
      <c r="F8342" s="5"/>
      <c r="G8342" s="5"/>
    </row>
    <row r="8343" spans="1:7" ht="58.5" customHeight="1" x14ac:dyDescent="0.25">
      <c r="A8343" s="5" t="str">
        <f>"H0035601"</f>
        <v>H0035601</v>
      </c>
      <c r="B8343" s="5" t="str">
        <f t="shared" si="421"/>
        <v>SILLA GERENTE NIZA MEC. BASCULANTE CON BRAZOS.</v>
      </c>
      <c r="C8343" s="6">
        <v>639999.86</v>
      </c>
      <c r="D8343" s="5" t="s">
        <v>235</v>
      </c>
      <c r="E8343" s="5" t="str">
        <f t="shared" si="418"/>
        <v>URGENCIAS ADULTO-Jenny Peña</v>
      </c>
      <c r="F8343" s="5"/>
      <c r="G8343" s="5"/>
    </row>
    <row r="8344" spans="1:7" ht="58.5" customHeight="1" x14ac:dyDescent="0.25">
      <c r="A8344" s="5" t="str">
        <f>"H0035602"</f>
        <v>H0035602</v>
      </c>
      <c r="B8344" s="5" t="str">
        <f t="shared" si="421"/>
        <v>SILLA GERENTE NIZA MEC. BASCULANTE CON BRAZOS.</v>
      </c>
      <c r="C8344" s="6">
        <v>639999.86</v>
      </c>
      <c r="D8344" s="5" t="s">
        <v>235</v>
      </c>
      <c r="E8344" s="5" t="str">
        <f t="shared" si="418"/>
        <v>URGENCIAS ADULTO-Jenny Peña</v>
      </c>
      <c r="F8344" s="5"/>
      <c r="G8344" s="5"/>
    </row>
    <row r="8345" spans="1:7" ht="58.5" customHeight="1" x14ac:dyDescent="0.25">
      <c r="A8345" s="5" t="str">
        <f>"H0035603"</f>
        <v>H0035603</v>
      </c>
      <c r="B8345" s="5" t="str">
        <f t="shared" si="421"/>
        <v>SILLA GERENTE NIZA MEC. BASCULANTE CON BRAZOS.</v>
      </c>
      <c r="C8345" s="6">
        <v>639999.86</v>
      </c>
      <c r="D8345" s="5" t="s">
        <v>235</v>
      </c>
      <c r="E8345" s="5" t="str">
        <f t="shared" si="418"/>
        <v>URGENCIAS ADULTO-Jenny Peña</v>
      </c>
      <c r="F8345" s="5"/>
      <c r="G8345" s="5"/>
    </row>
    <row r="8346" spans="1:7" ht="58.5" customHeight="1" x14ac:dyDescent="0.25">
      <c r="A8346" s="5" t="str">
        <f>"H0035604"</f>
        <v>H0035604</v>
      </c>
      <c r="B8346" s="5" t="str">
        <f t="shared" si="421"/>
        <v>SILLA GERENTE NIZA MEC. BASCULANTE CON BRAZOS.</v>
      </c>
      <c r="C8346" s="6">
        <v>639999.86</v>
      </c>
      <c r="D8346" s="5" t="s">
        <v>235</v>
      </c>
      <c r="E8346" s="5" t="str">
        <f t="shared" si="418"/>
        <v>URGENCIAS ADULTO-Jenny Peña</v>
      </c>
      <c r="F8346" s="5"/>
      <c r="G8346" s="5"/>
    </row>
    <row r="8347" spans="1:7" ht="58.5" customHeight="1" x14ac:dyDescent="0.25">
      <c r="A8347" s="5" t="str">
        <f>"H0035605"</f>
        <v>H0035605</v>
      </c>
      <c r="B8347" s="5" t="str">
        <f t="shared" si="421"/>
        <v>SILLA GERENTE NIZA MEC. BASCULANTE CON BRAZOS.</v>
      </c>
      <c r="C8347" s="6">
        <v>639999.86</v>
      </c>
      <c r="D8347" s="5" t="s">
        <v>235</v>
      </c>
      <c r="E8347" s="5" t="str">
        <f t="shared" si="418"/>
        <v>URGENCIAS ADULTO-Jenny Peña</v>
      </c>
      <c r="F8347" s="5"/>
      <c r="G8347" s="5"/>
    </row>
    <row r="8348" spans="1:7" ht="58.5" customHeight="1" x14ac:dyDescent="0.25">
      <c r="A8348" s="5" t="str">
        <f>"H0035606"</f>
        <v>H0035606</v>
      </c>
      <c r="B8348" s="5" t="str">
        <f t="shared" si="421"/>
        <v>SILLA GERENTE NIZA MEC. BASCULANTE CON BRAZOS.</v>
      </c>
      <c r="C8348" s="6">
        <v>639999.86</v>
      </c>
      <c r="D8348" s="5" t="s">
        <v>235</v>
      </c>
      <c r="E8348" s="5" t="str">
        <f t="shared" si="418"/>
        <v>URGENCIAS ADULTO-Jenny Peña</v>
      </c>
      <c r="F8348" s="5"/>
      <c r="G8348" s="5"/>
    </row>
    <row r="8349" spans="1:7" ht="58.5" customHeight="1" x14ac:dyDescent="0.25">
      <c r="A8349" s="5" t="str">
        <f>"H0035607"</f>
        <v>H0035607</v>
      </c>
      <c r="B8349" s="5" t="str">
        <f t="shared" si="421"/>
        <v>SILLA GERENTE NIZA MEC. BASCULANTE CON BRAZOS.</v>
      </c>
      <c r="C8349" s="6">
        <v>639999.86</v>
      </c>
      <c r="D8349" s="5" t="s">
        <v>235</v>
      </c>
      <c r="E8349" s="5" t="str">
        <f t="shared" si="418"/>
        <v>URGENCIAS ADULTO-Jenny Peña</v>
      </c>
      <c r="F8349" s="5"/>
      <c r="G8349" s="5"/>
    </row>
    <row r="8350" spans="1:7" ht="58.5" customHeight="1" x14ac:dyDescent="0.25">
      <c r="A8350" s="5" t="str">
        <f>"H0035608"</f>
        <v>H0035608</v>
      </c>
      <c r="B8350" s="5" t="str">
        <f t="shared" si="421"/>
        <v>SILLA GERENTE NIZA MEC. BASCULANTE CON BRAZOS.</v>
      </c>
      <c r="C8350" s="6">
        <v>639999.86</v>
      </c>
      <c r="D8350" s="5" t="s">
        <v>235</v>
      </c>
      <c r="E8350" s="5" t="str">
        <f t="shared" si="418"/>
        <v>URGENCIAS ADULTO-Jenny Peña</v>
      </c>
      <c r="F8350" s="5"/>
      <c r="G8350" s="5"/>
    </row>
    <row r="8351" spans="1:7" ht="58.5" customHeight="1" x14ac:dyDescent="0.25">
      <c r="A8351" s="5" t="str">
        <f>"H0035609"</f>
        <v>H0035609</v>
      </c>
      <c r="B8351" s="5" t="str">
        <f t="shared" si="421"/>
        <v>SILLA GERENTE NIZA MEC. BASCULANTE CON BRAZOS.</v>
      </c>
      <c r="C8351" s="6">
        <v>639999.86</v>
      </c>
      <c r="D8351" s="5" t="s">
        <v>235</v>
      </c>
      <c r="E8351" s="5" t="str">
        <f t="shared" si="418"/>
        <v>URGENCIAS ADULTO-Jenny Peña</v>
      </c>
      <c r="F8351" s="5"/>
      <c r="G8351" s="5"/>
    </row>
    <row r="8352" spans="1:7" ht="58.5" customHeight="1" x14ac:dyDescent="0.25">
      <c r="A8352" s="5" t="str">
        <f>"H0035610"</f>
        <v>H0035610</v>
      </c>
      <c r="B8352" s="5" t="str">
        <f t="shared" si="421"/>
        <v>SILLA GERENTE NIZA MEC. BASCULANTE CON BRAZOS.</v>
      </c>
      <c r="C8352" s="6">
        <v>639999.86</v>
      </c>
      <c r="D8352" s="5" t="s">
        <v>235</v>
      </c>
      <c r="E8352" s="5" t="str">
        <f t="shared" si="418"/>
        <v>URGENCIAS ADULTO-Jenny Peña</v>
      </c>
      <c r="F8352" s="5"/>
      <c r="G8352" s="5"/>
    </row>
    <row r="8353" spans="1:7" ht="58.5" customHeight="1" x14ac:dyDescent="0.25">
      <c r="A8353" s="5" t="str">
        <f>"H0035611"</f>
        <v>H0035611</v>
      </c>
      <c r="B8353" s="5" t="str">
        <f t="shared" si="421"/>
        <v>SILLA GERENTE NIZA MEC. BASCULANTE CON BRAZOS.</v>
      </c>
      <c r="C8353" s="6">
        <v>639999.86</v>
      </c>
      <c r="D8353" s="5" t="s">
        <v>235</v>
      </c>
      <c r="E8353" s="5" t="str">
        <f t="shared" si="418"/>
        <v>URGENCIAS ADULTO-Jenny Peña</v>
      </c>
      <c r="F8353" s="5"/>
      <c r="G8353" s="5"/>
    </row>
    <row r="8354" spans="1:7" ht="58.5" customHeight="1" x14ac:dyDescent="0.25">
      <c r="A8354" s="5" t="str">
        <f>"H0035612"</f>
        <v>H0035612</v>
      </c>
      <c r="B8354" s="5" t="str">
        <f t="shared" si="421"/>
        <v>SILLA GERENTE NIZA MEC. BASCULANTE CON BRAZOS.</v>
      </c>
      <c r="C8354" s="6">
        <v>639999.86</v>
      </c>
      <c r="D8354" s="5" t="s">
        <v>235</v>
      </c>
      <c r="E8354" s="5" t="str">
        <f t="shared" si="418"/>
        <v>URGENCIAS ADULTO-Jenny Peña</v>
      </c>
      <c r="F8354" s="5"/>
      <c r="G8354" s="5"/>
    </row>
    <row r="8355" spans="1:7" ht="58.5" customHeight="1" x14ac:dyDescent="0.25">
      <c r="A8355" s="5" t="str">
        <f>"H0035613"</f>
        <v>H0035613</v>
      </c>
      <c r="B8355" s="5" t="str">
        <f t="shared" si="421"/>
        <v>SILLA GERENTE NIZA MEC. BASCULANTE CON BRAZOS.</v>
      </c>
      <c r="C8355" s="6">
        <v>639999.86</v>
      </c>
      <c r="D8355" s="5" t="s">
        <v>235</v>
      </c>
      <c r="E8355" s="5" t="str">
        <f t="shared" si="418"/>
        <v>URGENCIAS ADULTO-Jenny Peña</v>
      </c>
      <c r="F8355" s="5"/>
      <c r="G8355" s="5"/>
    </row>
    <row r="8356" spans="1:7" ht="58.5" customHeight="1" x14ac:dyDescent="0.25">
      <c r="A8356" s="5" t="str">
        <f>"H0035614"</f>
        <v>H0035614</v>
      </c>
      <c r="B8356" s="5" t="str">
        <f t="shared" si="421"/>
        <v>SILLA GERENTE NIZA MEC. BASCULANTE CON BRAZOS.</v>
      </c>
      <c r="C8356" s="6">
        <v>639999.86</v>
      </c>
      <c r="D8356" s="5" t="s">
        <v>235</v>
      </c>
      <c r="E8356" s="5" t="str">
        <f t="shared" si="418"/>
        <v>URGENCIAS ADULTO-Jenny Peña</v>
      </c>
      <c r="F8356" s="5"/>
      <c r="G8356" s="5"/>
    </row>
    <row r="8357" spans="1:7" ht="58.5" customHeight="1" x14ac:dyDescent="0.25">
      <c r="A8357" s="5" t="str">
        <f>"H0035615"</f>
        <v>H0035615</v>
      </c>
      <c r="B8357" s="5" t="str">
        <f t="shared" si="421"/>
        <v>SILLA GERENTE NIZA MEC. BASCULANTE CON BRAZOS.</v>
      </c>
      <c r="C8357" s="6">
        <v>639999.86</v>
      </c>
      <c r="D8357" s="5" t="s">
        <v>235</v>
      </c>
      <c r="E8357" s="5" t="str">
        <f t="shared" ref="E8357:E8420" si="422">"URGENCIAS ADULTO-Jenny Peña"</f>
        <v>URGENCIAS ADULTO-Jenny Peña</v>
      </c>
      <c r="F8357" s="5"/>
      <c r="G8357" s="5"/>
    </row>
    <row r="8358" spans="1:7" ht="58.5" customHeight="1" x14ac:dyDescent="0.25">
      <c r="A8358" s="5" t="str">
        <f>"H0035617"</f>
        <v>H0035617</v>
      </c>
      <c r="B8358" s="5" t="str">
        <f t="shared" si="421"/>
        <v>SILLA GERENTE NIZA MEC. BASCULANTE CON BRAZOS.</v>
      </c>
      <c r="C8358" s="6">
        <v>639999.86</v>
      </c>
      <c r="D8358" s="5" t="s">
        <v>235</v>
      </c>
      <c r="E8358" s="5" t="str">
        <f t="shared" si="422"/>
        <v>URGENCIAS ADULTO-Jenny Peña</v>
      </c>
      <c r="F8358" s="5"/>
      <c r="G8358" s="5"/>
    </row>
    <row r="8359" spans="1:7" ht="58.5" customHeight="1" x14ac:dyDescent="0.25">
      <c r="A8359" s="5" t="str">
        <f>"H0035619"</f>
        <v>H0035619</v>
      </c>
      <c r="B8359" s="5" t="str">
        <f t="shared" si="421"/>
        <v>SILLA GERENTE NIZA MEC. BASCULANTE CON BRAZOS.</v>
      </c>
      <c r="C8359" s="6">
        <v>639999.86</v>
      </c>
      <c r="D8359" s="5" t="s">
        <v>235</v>
      </c>
      <c r="E8359" s="5" t="str">
        <f t="shared" si="422"/>
        <v>URGENCIAS ADULTO-Jenny Peña</v>
      </c>
      <c r="F8359" s="5"/>
      <c r="G8359" s="5"/>
    </row>
    <row r="8360" spans="1:7" ht="58.5" customHeight="1" x14ac:dyDescent="0.25">
      <c r="A8360" s="5" t="str">
        <f>"H0035620"</f>
        <v>H0035620</v>
      </c>
      <c r="B8360" s="5" t="str">
        <f t="shared" si="421"/>
        <v>SILLA GERENTE NIZA MEC. BASCULANTE CON BRAZOS.</v>
      </c>
      <c r="C8360" s="6">
        <v>639999.86</v>
      </c>
      <c r="D8360" s="5" t="s">
        <v>235</v>
      </c>
      <c r="E8360" s="5" t="str">
        <f t="shared" si="422"/>
        <v>URGENCIAS ADULTO-Jenny Peña</v>
      </c>
      <c r="F8360" s="5"/>
      <c r="G8360" s="5"/>
    </row>
    <row r="8361" spans="1:7" ht="58.5" customHeight="1" x14ac:dyDescent="0.25">
      <c r="A8361" s="5" t="str">
        <f>"H0035621"</f>
        <v>H0035621</v>
      </c>
      <c r="B8361" s="5" t="str">
        <f t="shared" si="421"/>
        <v>SILLA GERENTE NIZA MEC. BASCULANTE CON BRAZOS.</v>
      </c>
      <c r="C8361" s="6">
        <v>639999.86</v>
      </c>
      <c r="D8361" s="5" t="s">
        <v>235</v>
      </c>
      <c r="E8361" s="5" t="str">
        <f t="shared" si="422"/>
        <v>URGENCIAS ADULTO-Jenny Peña</v>
      </c>
      <c r="F8361" s="5"/>
      <c r="G8361" s="5"/>
    </row>
    <row r="8362" spans="1:7" ht="58.5" customHeight="1" x14ac:dyDescent="0.25">
      <c r="A8362" s="5" t="str">
        <f>"H0035622"</f>
        <v>H0035622</v>
      </c>
      <c r="B8362" s="5" t="str">
        <f t="shared" si="421"/>
        <v>SILLA GERENTE NIZA MEC. BASCULANTE CON BRAZOS.</v>
      </c>
      <c r="C8362" s="6">
        <v>639999.86</v>
      </c>
      <c r="D8362" s="5" t="s">
        <v>235</v>
      </c>
      <c r="E8362" s="5" t="str">
        <f t="shared" si="422"/>
        <v>URGENCIAS ADULTO-Jenny Peña</v>
      </c>
      <c r="F8362" s="5"/>
      <c r="G8362" s="5"/>
    </row>
    <row r="8363" spans="1:7" ht="58.5" customHeight="1" x14ac:dyDescent="0.25">
      <c r="A8363" s="5" t="str">
        <f>"H0035623"</f>
        <v>H0035623</v>
      </c>
      <c r="B8363" s="5" t="str">
        <f t="shared" si="421"/>
        <v>SILLA GERENTE NIZA MEC. BASCULANTE CON BRAZOS.</v>
      </c>
      <c r="C8363" s="6">
        <v>639999.86</v>
      </c>
      <c r="D8363" s="5" t="s">
        <v>494</v>
      </c>
      <c r="E8363" s="5" t="str">
        <f t="shared" si="422"/>
        <v>URGENCIAS ADULTO-Jenny Peña</v>
      </c>
      <c r="F8363" s="5"/>
      <c r="G8363" s="5"/>
    </row>
    <row r="8364" spans="1:7" ht="58.5" customHeight="1" x14ac:dyDescent="0.25">
      <c r="A8364" s="5" t="str">
        <f>"H0035624"</f>
        <v>H0035624</v>
      </c>
      <c r="B8364" s="5" t="str">
        <f t="shared" si="421"/>
        <v>SILLA GERENTE NIZA MEC. BASCULANTE CON BRAZOS.</v>
      </c>
      <c r="C8364" s="6">
        <v>639999.86</v>
      </c>
      <c r="D8364" s="5" t="s">
        <v>235</v>
      </c>
      <c r="E8364" s="5" t="str">
        <f t="shared" si="422"/>
        <v>URGENCIAS ADULTO-Jenny Peña</v>
      </c>
      <c r="F8364" s="5"/>
      <c r="G8364" s="5"/>
    </row>
    <row r="8365" spans="1:7" ht="58.5" customHeight="1" x14ac:dyDescent="0.25">
      <c r="A8365" s="5" t="str">
        <f>"H0035625"</f>
        <v>H0035625</v>
      </c>
      <c r="B8365" s="5" t="str">
        <f t="shared" si="421"/>
        <v>SILLA GERENTE NIZA MEC. BASCULANTE CON BRAZOS.</v>
      </c>
      <c r="C8365" s="6">
        <v>639999.86</v>
      </c>
      <c r="D8365" s="5" t="s">
        <v>235</v>
      </c>
      <c r="E8365" s="5" t="str">
        <f t="shared" si="422"/>
        <v>URGENCIAS ADULTO-Jenny Peña</v>
      </c>
      <c r="F8365" s="5"/>
      <c r="G8365" s="5"/>
    </row>
    <row r="8366" spans="1:7" ht="58.5" customHeight="1" x14ac:dyDescent="0.25">
      <c r="A8366" s="5" t="str">
        <f>"H0035626"</f>
        <v>H0035626</v>
      </c>
      <c r="B8366" s="5" t="str">
        <f t="shared" si="421"/>
        <v>SILLA GERENTE NIZA MEC. BASCULANTE CON BRAZOS.</v>
      </c>
      <c r="C8366" s="6">
        <v>639999.86</v>
      </c>
      <c r="D8366" s="5" t="s">
        <v>235</v>
      </c>
      <c r="E8366" s="5" t="str">
        <f t="shared" si="422"/>
        <v>URGENCIAS ADULTO-Jenny Peña</v>
      </c>
      <c r="F8366" s="5"/>
      <c r="G8366" s="5"/>
    </row>
    <row r="8367" spans="1:7" ht="58.5" customHeight="1" x14ac:dyDescent="0.25">
      <c r="A8367" s="5" t="str">
        <f>"H0035627"</f>
        <v>H0035627</v>
      </c>
      <c r="B8367" s="5" t="str">
        <f t="shared" si="421"/>
        <v>SILLA GERENTE NIZA MEC. BASCULANTE CON BRAZOS.</v>
      </c>
      <c r="C8367" s="6">
        <v>639999.86</v>
      </c>
      <c r="D8367" s="5" t="s">
        <v>235</v>
      </c>
      <c r="E8367" s="5" t="str">
        <f t="shared" si="422"/>
        <v>URGENCIAS ADULTO-Jenny Peña</v>
      </c>
      <c r="F8367" s="5"/>
      <c r="G8367" s="5"/>
    </row>
    <row r="8368" spans="1:7" ht="58.5" customHeight="1" x14ac:dyDescent="0.25">
      <c r="A8368" s="5" t="str">
        <f>"H0035628"</f>
        <v>H0035628</v>
      </c>
      <c r="B8368" s="5" t="str">
        <f t="shared" si="421"/>
        <v>SILLA GERENTE NIZA MEC. BASCULANTE CON BRAZOS.</v>
      </c>
      <c r="C8368" s="6">
        <v>639999.86</v>
      </c>
      <c r="D8368" s="5" t="s">
        <v>235</v>
      </c>
      <c r="E8368" s="5" t="str">
        <f t="shared" si="422"/>
        <v>URGENCIAS ADULTO-Jenny Peña</v>
      </c>
      <c r="F8368" s="5"/>
      <c r="G8368" s="5"/>
    </row>
    <row r="8369" spans="1:7" ht="58.5" customHeight="1" x14ac:dyDescent="0.25">
      <c r="A8369" s="5" t="str">
        <f>"H0035629"</f>
        <v>H0035629</v>
      </c>
      <c r="B8369" s="5" t="str">
        <f t="shared" si="421"/>
        <v>SILLA GERENTE NIZA MEC. BASCULANTE CON BRAZOS.</v>
      </c>
      <c r="C8369" s="6">
        <v>639999.86</v>
      </c>
      <c r="D8369" s="5" t="s">
        <v>235</v>
      </c>
      <c r="E8369" s="5" t="str">
        <f t="shared" si="422"/>
        <v>URGENCIAS ADULTO-Jenny Peña</v>
      </c>
      <c r="F8369" s="5"/>
      <c r="G8369" s="5"/>
    </row>
    <row r="8370" spans="1:7" ht="58.5" customHeight="1" x14ac:dyDescent="0.25">
      <c r="A8370" s="5" t="str">
        <f>"H0035630"</f>
        <v>H0035630</v>
      </c>
      <c r="B8370" s="5" t="str">
        <f t="shared" si="421"/>
        <v>SILLA GERENTE NIZA MEC. BASCULANTE CON BRAZOS.</v>
      </c>
      <c r="C8370" s="6">
        <v>639999.86</v>
      </c>
      <c r="D8370" s="5" t="s">
        <v>235</v>
      </c>
      <c r="E8370" s="5" t="str">
        <f t="shared" si="422"/>
        <v>URGENCIAS ADULTO-Jenny Peña</v>
      </c>
      <c r="F8370" s="5"/>
      <c r="G8370" s="5"/>
    </row>
    <row r="8371" spans="1:7" ht="58.5" customHeight="1" x14ac:dyDescent="0.25">
      <c r="A8371" s="5" t="str">
        <f>"H0035631"</f>
        <v>H0035631</v>
      </c>
      <c r="B8371" s="5" t="str">
        <f t="shared" si="421"/>
        <v>SILLA GERENTE NIZA MEC. BASCULANTE CON BRAZOS.</v>
      </c>
      <c r="C8371" s="6">
        <v>639999.86</v>
      </c>
      <c r="D8371" s="5" t="s">
        <v>235</v>
      </c>
      <c r="E8371" s="5" t="str">
        <f t="shared" si="422"/>
        <v>URGENCIAS ADULTO-Jenny Peña</v>
      </c>
      <c r="F8371" s="5"/>
      <c r="G8371" s="5"/>
    </row>
    <row r="8372" spans="1:7" ht="58.5" customHeight="1" x14ac:dyDescent="0.25">
      <c r="A8372" s="5" t="str">
        <f>"H0035632"</f>
        <v>H0035632</v>
      </c>
      <c r="B8372" s="5" t="str">
        <f t="shared" si="421"/>
        <v>SILLA GERENTE NIZA MEC. BASCULANTE CON BRAZOS.</v>
      </c>
      <c r="C8372" s="6">
        <v>639999.86</v>
      </c>
      <c r="D8372" s="5" t="s">
        <v>235</v>
      </c>
      <c r="E8372" s="5" t="str">
        <f t="shared" si="422"/>
        <v>URGENCIAS ADULTO-Jenny Peña</v>
      </c>
      <c r="F8372" s="5"/>
      <c r="G8372" s="5"/>
    </row>
    <row r="8373" spans="1:7" ht="58.5" customHeight="1" x14ac:dyDescent="0.25">
      <c r="A8373" s="5" t="str">
        <f>"H0035634"</f>
        <v>H0035634</v>
      </c>
      <c r="B8373" s="5" t="str">
        <f t="shared" si="421"/>
        <v>SILLA GERENTE NIZA MEC. BASCULANTE CON BRAZOS.</v>
      </c>
      <c r="C8373" s="6">
        <v>639999.86</v>
      </c>
      <c r="D8373" s="5" t="s">
        <v>235</v>
      </c>
      <c r="E8373" s="5" t="str">
        <f t="shared" si="422"/>
        <v>URGENCIAS ADULTO-Jenny Peña</v>
      </c>
      <c r="F8373" s="5"/>
      <c r="G8373" s="5"/>
    </row>
    <row r="8374" spans="1:7" ht="58.5" customHeight="1" x14ac:dyDescent="0.25">
      <c r="A8374" s="5" t="str">
        <f>"H0035635"</f>
        <v>H0035635</v>
      </c>
      <c r="B8374" s="5" t="str">
        <f t="shared" si="421"/>
        <v>SILLA GERENTE NIZA MEC. BASCULANTE CON BRAZOS.</v>
      </c>
      <c r="C8374" s="6">
        <v>639999.86</v>
      </c>
      <c r="D8374" s="5" t="s">
        <v>235</v>
      </c>
      <c r="E8374" s="5" t="str">
        <f t="shared" si="422"/>
        <v>URGENCIAS ADULTO-Jenny Peña</v>
      </c>
      <c r="F8374" s="5"/>
      <c r="G8374" s="5"/>
    </row>
    <row r="8375" spans="1:7" ht="58.5" customHeight="1" x14ac:dyDescent="0.25">
      <c r="A8375" s="5" t="str">
        <f>"H0035637"</f>
        <v>H0035637</v>
      </c>
      <c r="B8375" s="5" t="str">
        <f t="shared" si="421"/>
        <v>SILLA GERENTE NIZA MEC. BASCULANTE CON BRAZOS.</v>
      </c>
      <c r="C8375" s="6">
        <v>639999.86</v>
      </c>
      <c r="D8375" s="5" t="s">
        <v>235</v>
      </c>
      <c r="E8375" s="5" t="str">
        <f t="shared" si="422"/>
        <v>URGENCIAS ADULTO-Jenny Peña</v>
      </c>
      <c r="F8375" s="5"/>
      <c r="G8375" s="5"/>
    </row>
    <row r="8376" spans="1:7" ht="58.5" customHeight="1" x14ac:dyDescent="0.25">
      <c r="A8376" s="5" t="str">
        <f>"H0035639"</f>
        <v>H0035639</v>
      </c>
      <c r="B8376" s="5" t="str">
        <f t="shared" si="421"/>
        <v>SILLA GERENTE NIZA MEC. BASCULANTE CON BRAZOS.</v>
      </c>
      <c r="C8376" s="6">
        <v>639999.86</v>
      </c>
      <c r="D8376" s="5" t="s">
        <v>235</v>
      </c>
      <c r="E8376" s="5" t="str">
        <f t="shared" si="422"/>
        <v>URGENCIAS ADULTO-Jenny Peña</v>
      </c>
      <c r="F8376" s="5"/>
      <c r="G8376" s="5"/>
    </row>
    <row r="8377" spans="1:7" ht="58.5" customHeight="1" x14ac:dyDescent="0.25">
      <c r="A8377" s="5" t="str">
        <f>"H0035641"</f>
        <v>H0035641</v>
      </c>
      <c r="B8377" s="5" t="str">
        <f t="shared" ref="B8377:B8385" si="423">"bomba de infusion (DONACION)"</f>
        <v>bomba de infusion (DONACION)</v>
      </c>
      <c r="C8377" s="6">
        <v>3805677.39</v>
      </c>
      <c r="D8377" s="5" t="s">
        <v>495</v>
      </c>
      <c r="E8377" s="5" t="str">
        <f t="shared" si="422"/>
        <v>URGENCIAS ADULTO-Jenny Peña</v>
      </c>
      <c r="F8377" s="5"/>
      <c r="G8377" s="5"/>
    </row>
    <row r="8378" spans="1:7" ht="58.5" customHeight="1" x14ac:dyDescent="0.25">
      <c r="A8378" s="5" t="str">
        <f>"H0035642"</f>
        <v>H0035642</v>
      </c>
      <c r="B8378" s="5" t="str">
        <f t="shared" si="423"/>
        <v>bomba de infusion (DONACION)</v>
      </c>
      <c r="C8378" s="6">
        <v>3805677.39</v>
      </c>
      <c r="D8378" s="5" t="s">
        <v>495</v>
      </c>
      <c r="E8378" s="5" t="str">
        <f t="shared" si="422"/>
        <v>URGENCIAS ADULTO-Jenny Peña</v>
      </c>
      <c r="F8378" s="5"/>
      <c r="G8378" s="5"/>
    </row>
    <row r="8379" spans="1:7" ht="58.5" customHeight="1" x14ac:dyDescent="0.25">
      <c r="A8379" s="5" t="str">
        <f>"H0035644"</f>
        <v>H0035644</v>
      </c>
      <c r="B8379" s="5" t="str">
        <f t="shared" si="423"/>
        <v>bomba de infusion (DONACION)</v>
      </c>
      <c r="C8379" s="6">
        <v>3805677.39</v>
      </c>
      <c r="D8379" s="5" t="s">
        <v>495</v>
      </c>
      <c r="E8379" s="5" t="str">
        <f t="shared" si="422"/>
        <v>URGENCIAS ADULTO-Jenny Peña</v>
      </c>
      <c r="F8379" s="5"/>
      <c r="G8379" s="5"/>
    </row>
    <row r="8380" spans="1:7" ht="58.5" customHeight="1" x14ac:dyDescent="0.25">
      <c r="A8380" s="5" t="str">
        <f>"H0035645"</f>
        <v>H0035645</v>
      </c>
      <c r="B8380" s="5" t="str">
        <f t="shared" si="423"/>
        <v>bomba de infusion (DONACION)</v>
      </c>
      <c r="C8380" s="6">
        <v>3805677.39</v>
      </c>
      <c r="D8380" s="5" t="s">
        <v>495</v>
      </c>
      <c r="E8380" s="5" t="str">
        <f t="shared" si="422"/>
        <v>URGENCIAS ADULTO-Jenny Peña</v>
      </c>
      <c r="F8380" s="5"/>
      <c r="G8380" s="5"/>
    </row>
    <row r="8381" spans="1:7" ht="58.5" customHeight="1" x14ac:dyDescent="0.25">
      <c r="A8381" s="5" t="str">
        <f>"H0035646"</f>
        <v>H0035646</v>
      </c>
      <c r="B8381" s="5" t="str">
        <f t="shared" si="423"/>
        <v>bomba de infusion (DONACION)</v>
      </c>
      <c r="C8381" s="6">
        <v>3805677.39</v>
      </c>
      <c r="D8381" s="5" t="s">
        <v>495</v>
      </c>
      <c r="E8381" s="5" t="str">
        <f t="shared" si="422"/>
        <v>URGENCIAS ADULTO-Jenny Peña</v>
      </c>
      <c r="F8381" s="5"/>
      <c r="G8381" s="5"/>
    </row>
    <row r="8382" spans="1:7" ht="58.5" customHeight="1" x14ac:dyDescent="0.25">
      <c r="A8382" s="5" t="str">
        <f>"H0035647"</f>
        <v>H0035647</v>
      </c>
      <c r="B8382" s="5" t="str">
        <f t="shared" si="423"/>
        <v>bomba de infusion (DONACION)</v>
      </c>
      <c r="C8382" s="6">
        <v>3805677.39</v>
      </c>
      <c r="D8382" s="5" t="s">
        <v>495</v>
      </c>
      <c r="E8382" s="5" t="str">
        <f t="shared" si="422"/>
        <v>URGENCIAS ADULTO-Jenny Peña</v>
      </c>
      <c r="F8382" s="5"/>
      <c r="G8382" s="5"/>
    </row>
    <row r="8383" spans="1:7" ht="58.5" customHeight="1" x14ac:dyDescent="0.25">
      <c r="A8383" s="5" t="str">
        <f>"H0035648"</f>
        <v>H0035648</v>
      </c>
      <c r="B8383" s="5" t="str">
        <f t="shared" si="423"/>
        <v>bomba de infusion (DONACION)</v>
      </c>
      <c r="C8383" s="6">
        <v>3805677.39</v>
      </c>
      <c r="D8383" s="5" t="s">
        <v>495</v>
      </c>
      <c r="E8383" s="5" t="str">
        <f t="shared" si="422"/>
        <v>URGENCIAS ADULTO-Jenny Peña</v>
      </c>
      <c r="F8383" s="5"/>
      <c r="G8383" s="5"/>
    </row>
    <row r="8384" spans="1:7" ht="58.5" customHeight="1" x14ac:dyDescent="0.25">
      <c r="A8384" s="5" t="str">
        <f>"H0035649"</f>
        <v>H0035649</v>
      </c>
      <c r="B8384" s="5" t="str">
        <f t="shared" si="423"/>
        <v>bomba de infusion (DONACION)</v>
      </c>
      <c r="C8384" s="6">
        <v>3805677.39</v>
      </c>
      <c r="D8384" s="5" t="s">
        <v>495</v>
      </c>
      <c r="E8384" s="5" t="str">
        <f t="shared" si="422"/>
        <v>URGENCIAS ADULTO-Jenny Peña</v>
      </c>
      <c r="F8384" s="5"/>
      <c r="G8384" s="5"/>
    </row>
    <row r="8385" spans="1:7" ht="58.5" customHeight="1" x14ac:dyDescent="0.25">
      <c r="A8385" s="5" t="str">
        <f>"H0035650"</f>
        <v>H0035650</v>
      </c>
      <c r="B8385" s="5" t="str">
        <f t="shared" si="423"/>
        <v>bomba de infusion (DONACION)</v>
      </c>
      <c r="C8385" s="6">
        <v>3805677.39</v>
      </c>
      <c r="D8385" s="5" t="s">
        <v>495</v>
      </c>
      <c r="E8385" s="5" t="str">
        <f t="shared" si="422"/>
        <v>URGENCIAS ADULTO-Jenny Peña</v>
      </c>
      <c r="F8385" s="5"/>
      <c r="G8385" s="5"/>
    </row>
    <row r="8386" spans="1:7" ht="58.5" customHeight="1" x14ac:dyDescent="0.25">
      <c r="A8386" s="5" t="str">
        <f>"h0035673"</f>
        <v>h0035673</v>
      </c>
      <c r="B8386" s="5" t="str">
        <f t="shared" ref="B8386:B8393" si="424">"SILLA GERENTE NIZA MEC. BASCULANTE CON BRAZOS."</f>
        <v>SILLA GERENTE NIZA MEC. BASCULANTE CON BRAZOS.</v>
      </c>
      <c r="C8386" s="6">
        <v>639999.86</v>
      </c>
      <c r="D8386" s="5" t="s">
        <v>235</v>
      </c>
      <c r="E8386" s="5" t="str">
        <f t="shared" si="422"/>
        <v>URGENCIAS ADULTO-Jenny Peña</v>
      </c>
      <c r="F8386" s="5"/>
      <c r="G8386" s="5"/>
    </row>
    <row r="8387" spans="1:7" ht="58.5" customHeight="1" x14ac:dyDescent="0.25">
      <c r="A8387" s="5" t="str">
        <f>"h0035674"</f>
        <v>h0035674</v>
      </c>
      <c r="B8387" s="5" t="str">
        <f t="shared" si="424"/>
        <v>SILLA GERENTE NIZA MEC. BASCULANTE CON BRAZOS.</v>
      </c>
      <c r="C8387" s="6">
        <v>639999.86</v>
      </c>
      <c r="D8387" s="5" t="s">
        <v>235</v>
      </c>
      <c r="E8387" s="5" t="str">
        <f t="shared" si="422"/>
        <v>URGENCIAS ADULTO-Jenny Peña</v>
      </c>
      <c r="F8387" s="5"/>
      <c r="G8387" s="5"/>
    </row>
    <row r="8388" spans="1:7" ht="58.5" customHeight="1" x14ac:dyDescent="0.25">
      <c r="A8388" s="5" t="str">
        <f>"H0035677"</f>
        <v>H0035677</v>
      </c>
      <c r="B8388" s="5" t="str">
        <f t="shared" si="424"/>
        <v>SILLA GERENTE NIZA MEC. BASCULANTE CON BRAZOS.</v>
      </c>
      <c r="C8388" s="6">
        <v>639999.86</v>
      </c>
      <c r="D8388" s="5" t="s">
        <v>235</v>
      </c>
      <c r="E8388" s="5" t="str">
        <f t="shared" si="422"/>
        <v>URGENCIAS ADULTO-Jenny Peña</v>
      </c>
      <c r="F8388" s="5"/>
      <c r="G8388" s="5"/>
    </row>
    <row r="8389" spans="1:7" ht="58.5" customHeight="1" x14ac:dyDescent="0.25">
      <c r="A8389" s="5" t="str">
        <f>"H0035678"</f>
        <v>H0035678</v>
      </c>
      <c r="B8389" s="5" t="str">
        <f t="shared" si="424"/>
        <v>SILLA GERENTE NIZA MEC. BASCULANTE CON BRAZOS.</v>
      </c>
      <c r="C8389" s="6">
        <v>639999.86</v>
      </c>
      <c r="D8389" s="5" t="s">
        <v>235</v>
      </c>
      <c r="E8389" s="5" t="str">
        <f t="shared" si="422"/>
        <v>URGENCIAS ADULTO-Jenny Peña</v>
      </c>
      <c r="F8389" s="5"/>
      <c r="G8389" s="5"/>
    </row>
    <row r="8390" spans="1:7" ht="58.5" customHeight="1" x14ac:dyDescent="0.25">
      <c r="A8390" s="5" t="str">
        <f>"H0035679"</f>
        <v>H0035679</v>
      </c>
      <c r="B8390" s="5" t="str">
        <f t="shared" si="424"/>
        <v>SILLA GERENTE NIZA MEC. BASCULANTE CON BRAZOS.</v>
      </c>
      <c r="C8390" s="6">
        <v>639999.86</v>
      </c>
      <c r="D8390" s="5" t="s">
        <v>235</v>
      </c>
      <c r="E8390" s="5" t="str">
        <f t="shared" si="422"/>
        <v>URGENCIAS ADULTO-Jenny Peña</v>
      </c>
      <c r="F8390" s="5"/>
      <c r="G8390" s="5"/>
    </row>
    <row r="8391" spans="1:7" ht="58.5" customHeight="1" x14ac:dyDescent="0.25">
      <c r="A8391" s="5" t="str">
        <f>"H0035681"</f>
        <v>H0035681</v>
      </c>
      <c r="B8391" s="5" t="str">
        <f t="shared" si="424"/>
        <v>SILLA GERENTE NIZA MEC. BASCULANTE CON BRAZOS.</v>
      </c>
      <c r="C8391" s="6">
        <v>639999.86</v>
      </c>
      <c r="D8391" s="5" t="s">
        <v>235</v>
      </c>
      <c r="E8391" s="5" t="str">
        <f t="shared" si="422"/>
        <v>URGENCIAS ADULTO-Jenny Peña</v>
      </c>
      <c r="F8391" s="5"/>
      <c r="G8391" s="5"/>
    </row>
    <row r="8392" spans="1:7" ht="58.5" customHeight="1" x14ac:dyDescent="0.25">
      <c r="A8392" s="5" t="str">
        <f>"H0035682"</f>
        <v>H0035682</v>
      </c>
      <c r="B8392" s="5" t="str">
        <f t="shared" si="424"/>
        <v>SILLA GERENTE NIZA MEC. BASCULANTE CON BRAZOS.</v>
      </c>
      <c r="C8392" s="6">
        <v>639999.86</v>
      </c>
      <c r="D8392" s="5" t="s">
        <v>235</v>
      </c>
      <c r="E8392" s="5" t="str">
        <f t="shared" si="422"/>
        <v>URGENCIAS ADULTO-Jenny Peña</v>
      </c>
      <c r="F8392" s="5"/>
      <c r="G8392" s="5"/>
    </row>
    <row r="8393" spans="1:7" ht="58.5" customHeight="1" x14ac:dyDescent="0.25">
      <c r="A8393" s="5" t="str">
        <f>"H0035706"</f>
        <v>H0035706</v>
      </c>
      <c r="B8393" s="5" t="str">
        <f t="shared" si="424"/>
        <v>SILLA GERENTE NIZA MEC. BASCULANTE CON BRAZOS.</v>
      </c>
      <c r="C8393" s="6">
        <v>639999.86</v>
      </c>
      <c r="D8393" s="5" t="s">
        <v>235</v>
      </c>
      <c r="E8393" s="5" t="str">
        <f t="shared" si="422"/>
        <v>URGENCIAS ADULTO-Jenny Peña</v>
      </c>
      <c r="F8393" s="5"/>
      <c r="G8393" s="5"/>
    </row>
    <row r="8394" spans="1:7" ht="58.5" customHeight="1" x14ac:dyDescent="0.25">
      <c r="A8394" s="5" t="str">
        <f>"H0036405"</f>
        <v>H0036405</v>
      </c>
      <c r="B8394" s="5" t="str">
        <f>"VENTILADOR DE PARED"</f>
        <v>VENTILADOR DE PARED</v>
      </c>
      <c r="C8394" s="6">
        <v>295260</v>
      </c>
      <c r="D8394" s="5" t="s">
        <v>131</v>
      </c>
      <c r="E8394" s="5" t="str">
        <f t="shared" si="422"/>
        <v>URGENCIAS ADULTO-Jenny Peña</v>
      </c>
      <c r="F8394" s="5"/>
      <c r="G8394" s="5"/>
    </row>
    <row r="8395" spans="1:7" ht="58.5" customHeight="1" x14ac:dyDescent="0.25">
      <c r="A8395" s="5" t="str">
        <f>"H0036452"</f>
        <v>H0036452</v>
      </c>
      <c r="B8395" s="5" t="str">
        <f>"VENTILADOR DE PEDESTAL"</f>
        <v>VENTILADOR DE PEDESTAL</v>
      </c>
      <c r="C8395" s="6">
        <v>358260</v>
      </c>
      <c r="D8395" s="5" t="s">
        <v>131</v>
      </c>
      <c r="E8395" s="5" t="str">
        <f t="shared" si="422"/>
        <v>URGENCIAS ADULTO-Jenny Peña</v>
      </c>
      <c r="F8395" s="5"/>
      <c r="G8395" s="5"/>
    </row>
    <row r="8396" spans="1:7" ht="58.5" customHeight="1" x14ac:dyDescent="0.25">
      <c r="A8396" s="5" t="str">
        <f>"H0036453"</f>
        <v>H0036453</v>
      </c>
      <c r="B8396" s="5" t="str">
        <f>"VENTILADOR DE PEDESTAL"</f>
        <v>VENTILADOR DE PEDESTAL</v>
      </c>
      <c r="C8396" s="6">
        <v>358260</v>
      </c>
      <c r="D8396" s="5" t="s">
        <v>131</v>
      </c>
      <c r="E8396" s="5" t="str">
        <f t="shared" si="422"/>
        <v>URGENCIAS ADULTO-Jenny Peña</v>
      </c>
      <c r="F8396" s="5"/>
      <c r="G8396" s="5"/>
    </row>
    <row r="8397" spans="1:7" ht="58.5" customHeight="1" x14ac:dyDescent="0.25">
      <c r="A8397" s="5" t="str">
        <f>"H0036459"</f>
        <v>H0036459</v>
      </c>
      <c r="B8397" s="5" t="str">
        <f>"VENTILADOR DE PEDESTAL"</f>
        <v>VENTILADOR DE PEDESTAL</v>
      </c>
      <c r="C8397" s="6">
        <v>358260</v>
      </c>
      <c r="D8397" s="5" t="s">
        <v>131</v>
      </c>
      <c r="E8397" s="5" t="str">
        <f t="shared" si="422"/>
        <v>URGENCIAS ADULTO-Jenny Peña</v>
      </c>
      <c r="F8397" s="5"/>
      <c r="G8397" s="5"/>
    </row>
    <row r="8398" spans="1:7" ht="58.5" customHeight="1" x14ac:dyDescent="0.25">
      <c r="A8398" s="5" t="str">
        <f>"H0036463"</f>
        <v>H0036463</v>
      </c>
      <c r="B8398" s="5" t="str">
        <f>"AIRE ACONDICIONADO TIPO TECHO DE 40.000 BTU MARCA LG NO CONTIENE KIT DE TUBERIA"</f>
        <v>AIRE ACONDICIONADO TIPO TECHO DE 40.000 BTU MARCA LG NO CONTIENE KIT DE TUBERIA</v>
      </c>
      <c r="C8398" s="6">
        <v>12138000</v>
      </c>
      <c r="D8398" s="5" t="s">
        <v>335</v>
      </c>
      <c r="E8398" s="5" t="str">
        <f t="shared" si="422"/>
        <v>URGENCIAS ADULTO-Jenny Peña</v>
      </c>
      <c r="F8398" s="5"/>
      <c r="G8398" s="5"/>
    </row>
    <row r="8399" spans="1:7" ht="58.5" customHeight="1" x14ac:dyDescent="0.25">
      <c r="A8399" s="5" t="str">
        <f>"H0036465"</f>
        <v>H0036465</v>
      </c>
      <c r="B8399" s="5" t="str">
        <f>"AIRE ACONDICIONADO TIPO TECHO DE 40.000 BTU MARCA LG NO CONTIENE KIT DE TUBERIA"</f>
        <v>AIRE ACONDICIONADO TIPO TECHO DE 40.000 BTU MARCA LG NO CONTIENE KIT DE TUBERIA</v>
      </c>
      <c r="C8399" s="6">
        <v>12138000</v>
      </c>
      <c r="D8399" s="5" t="s">
        <v>336</v>
      </c>
      <c r="E8399" s="5" t="str">
        <f t="shared" si="422"/>
        <v>URGENCIAS ADULTO-Jenny Peña</v>
      </c>
      <c r="F8399" s="5"/>
      <c r="G8399" s="5"/>
    </row>
    <row r="8400" spans="1:7" ht="58.5" customHeight="1" x14ac:dyDescent="0.25">
      <c r="A8400" s="5" t="str">
        <f>"H0036499"</f>
        <v>H0036499</v>
      </c>
      <c r="B8400" s="5" t="str">
        <f>"ASPIRADOR DE SECRECIONES"</f>
        <v>ASPIRADOR DE SECRECIONES</v>
      </c>
      <c r="C8400" s="6">
        <v>645000</v>
      </c>
      <c r="D8400" s="5" t="s">
        <v>132</v>
      </c>
      <c r="E8400" s="5" t="str">
        <f t="shared" si="422"/>
        <v>URGENCIAS ADULTO-Jenny Peña</v>
      </c>
      <c r="F8400" s="5"/>
      <c r="G8400" s="5"/>
    </row>
    <row r="8401" spans="1:7" ht="58.5" customHeight="1" x14ac:dyDescent="0.25">
      <c r="A8401" s="5" t="str">
        <f>"H0036500"</f>
        <v>H0036500</v>
      </c>
      <c r="B8401" s="5" t="str">
        <f>"ASPIRADOR DE SECRECIONES"</f>
        <v>ASPIRADOR DE SECRECIONES</v>
      </c>
      <c r="C8401" s="6">
        <v>645000</v>
      </c>
      <c r="D8401" s="5" t="s">
        <v>132</v>
      </c>
      <c r="E8401" s="5" t="str">
        <f t="shared" si="422"/>
        <v>URGENCIAS ADULTO-Jenny Peña</v>
      </c>
      <c r="F8401" s="5"/>
      <c r="G8401" s="5"/>
    </row>
    <row r="8402" spans="1:7" ht="58.5" customHeight="1" x14ac:dyDescent="0.25">
      <c r="A8402" s="5" t="str">
        <f>"H0036539"</f>
        <v>H0036539</v>
      </c>
      <c r="B8402"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8402" s="6">
        <v>6307000</v>
      </c>
      <c r="D8402" s="5" t="s">
        <v>48</v>
      </c>
      <c r="E8402" s="5" t="str">
        <f t="shared" si="422"/>
        <v>URGENCIAS ADULTO-Jenny Peña</v>
      </c>
      <c r="F8402" s="5"/>
      <c r="G8402" s="5" t="str">
        <f>"VZ4680G"</f>
        <v>VZ4680G</v>
      </c>
    </row>
    <row r="8403" spans="1:7" ht="58.5" customHeight="1" x14ac:dyDescent="0.25">
      <c r="A8403" s="5" t="str">
        <f>"H0036540"</f>
        <v>H0036540</v>
      </c>
      <c r="B8403"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8403" s="6">
        <v>6307000</v>
      </c>
      <c r="D8403" s="5" t="s">
        <v>48</v>
      </c>
      <c r="E8403" s="5" t="str">
        <f t="shared" si="422"/>
        <v>URGENCIAS ADULTO-Jenny Peña</v>
      </c>
      <c r="F8403" s="5"/>
      <c r="G8403" s="5" t="str">
        <f>"VZ4680G"</f>
        <v>VZ4680G</v>
      </c>
    </row>
    <row r="8404" spans="1:7" ht="58.5" customHeight="1" x14ac:dyDescent="0.25">
      <c r="A8404" s="5" t="str">
        <f>"H0036554"</f>
        <v>H0036554</v>
      </c>
      <c r="B8404" s="5" t="str">
        <f>"DESFIBRILADOR (DONACION)"</f>
        <v>DESFIBRILADOR (DONACION)</v>
      </c>
      <c r="C8404" s="6">
        <v>19285000</v>
      </c>
      <c r="D8404" s="5" t="s">
        <v>133</v>
      </c>
      <c r="E8404" s="5" t="str">
        <f t="shared" si="422"/>
        <v>URGENCIAS ADULTO-Jenny Peña</v>
      </c>
      <c r="F8404" s="5"/>
      <c r="G8404" s="5" t="str">
        <f>"BENEHEART-D3"</f>
        <v>BENEHEART-D3</v>
      </c>
    </row>
    <row r="8405" spans="1:7" ht="58.5" customHeight="1" x14ac:dyDescent="0.25">
      <c r="A8405" s="5" t="str">
        <f>"H0036595"</f>
        <v>H0036595</v>
      </c>
      <c r="B8405" s="5" t="str">
        <f>"DESFIBRILADOR (DONACION)"</f>
        <v>DESFIBRILADOR (DONACION)</v>
      </c>
      <c r="C8405" s="6">
        <v>19285000</v>
      </c>
      <c r="D8405" s="5" t="s">
        <v>368</v>
      </c>
      <c r="E8405" s="5" t="str">
        <f t="shared" si="422"/>
        <v>URGENCIAS ADULTO-Jenny Peña</v>
      </c>
      <c r="F8405" s="5"/>
      <c r="G8405" s="5" t="str">
        <f>"BENEHEART-D3"</f>
        <v>BENEHEART-D3</v>
      </c>
    </row>
    <row r="8406" spans="1:7" ht="58.5" customHeight="1" x14ac:dyDescent="0.25">
      <c r="A8406" s="5" t="str">
        <f>"H0036605"</f>
        <v>H0036605</v>
      </c>
      <c r="B8406" s="5" t="str">
        <f>"MONITOR DE PACIENTES (DONACION)"</f>
        <v>MONITOR DE PACIENTES (DONACION)</v>
      </c>
      <c r="C8406" s="6">
        <v>4450000</v>
      </c>
      <c r="D8406" s="5" t="s">
        <v>134</v>
      </c>
      <c r="E8406" s="5" t="str">
        <f t="shared" si="422"/>
        <v>URGENCIAS ADULTO-Jenny Peña</v>
      </c>
      <c r="F8406" s="5"/>
      <c r="G8406" s="5"/>
    </row>
    <row r="8407" spans="1:7" ht="58.5" customHeight="1" x14ac:dyDescent="0.25">
      <c r="A8407" s="5" t="str">
        <f>"H0036608"</f>
        <v>H0036608</v>
      </c>
      <c r="B8407" s="5" t="str">
        <f>"MONITOR DE PACIENTES (DONACION)"</f>
        <v>MONITOR DE PACIENTES (DONACION)</v>
      </c>
      <c r="C8407" s="6">
        <v>4450000</v>
      </c>
      <c r="D8407" s="5" t="s">
        <v>134</v>
      </c>
      <c r="E8407" s="5" t="str">
        <f t="shared" si="422"/>
        <v>URGENCIAS ADULTO-Jenny Peña</v>
      </c>
      <c r="F8407" s="5"/>
      <c r="G8407" s="5"/>
    </row>
    <row r="8408" spans="1:7" ht="58.5" customHeight="1" x14ac:dyDescent="0.25">
      <c r="A8408" s="5" t="str">
        <f>"H0036609"</f>
        <v>H0036609</v>
      </c>
      <c r="B8408" s="5" t="str">
        <f>"MONITOR DE PACIENTES (DONACION)"</f>
        <v>MONITOR DE PACIENTES (DONACION)</v>
      </c>
      <c r="C8408" s="6">
        <v>4450000</v>
      </c>
      <c r="D8408" s="5" t="s">
        <v>134</v>
      </c>
      <c r="E8408" s="5" t="str">
        <f t="shared" si="422"/>
        <v>URGENCIAS ADULTO-Jenny Peña</v>
      </c>
      <c r="F8408" s="5"/>
      <c r="G8408" s="5"/>
    </row>
    <row r="8409" spans="1:7" ht="58.5" customHeight="1" x14ac:dyDescent="0.25">
      <c r="A8409" s="5" t="str">
        <f>"H0036610"</f>
        <v>H0036610</v>
      </c>
      <c r="B8409" s="5" t="str">
        <f>"MONITOR DE PACIENTES (DONACION)"</f>
        <v>MONITOR DE PACIENTES (DONACION)</v>
      </c>
      <c r="C8409" s="6">
        <v>4450000</v>
      </c>
      <c r="D8409" s="5" t="s">
        <v>134</v>
      </c>
      <c r="E8409" s="5" t="str">
        <f t="shared" si="422"/>
        <v>URGENCIAS ADULTO-Jenny Peña</v>
      </c>
      <c r="F8409" s="5"/>
      <c r="G8409" s="5"/>
    </row>
    <row r="8410" spans="1:7" ht="58.5" customHeight="1" x14ac:dyDescent="0.25">
      <c r="A8410" s="5" t="str">
        <f>"H0036855"</f>
        <v>H0036855</v>
      </c>
      <c r="B8410" s="5" t="str">
        <f>"AIRE ACONDICIONADO TIPO MINISPLIT CAPACIDAD 12.000 BTU TECNOLOGIA INVERTER DUAL"</f>
        <v>AIRE ACONDICIONADO TIPO MINISPLIT CAPACIDAD 12.000 BTU TECNOLOGIA INVERTER DUAL</v>
      </c>
      <c r="C8410" s="6">
        <v>2800000</v>
      </c>
      <c r="D8410" s="5" t="s">
        <v>496</v>
      </c>
      <c r="E8410" s="5" t="str">
        <f t="shared" si="422"/>
        <v>URGENCIAS ADULTO-Jenny Peña</v>
      </c>
      <c r="F8410" s="5"/>
      <c r="G8410" s="5"/>
    </row>
    <row r="8411" spans="1:7" ht="58.5" customHeight="1" x14ac:dyDescent="0.25">
      <c r="A8411" s="5" t="str">
        <f>"H0036871"</f>
        <v>H0036871</v>
      </c>
      <c r="B8411" s="5" t="str">
        <f>"COMPUTADOR TODO EN UNO  LENOVO CON PROCESADOR INTEL CORE I5-10400T MEMORIA RAM 8GB DDR4 CON DISCO DURO 256GB SSD M.2"</f>
        <v>COMPUTADOR TODO EN UNO  LENOVO CON PROCESADOR INTEL CORE I5-10400T MEMORIA RAM 8GB DDR4 CON DISCO DURO 256GB SSD M.2</v>
      </c>
      <c r="C8411" s="6">
        <v>6307000</v>
      </c>
      <c r="D8411" s="5" t="s">
        <v>135</v>
      </c>
      <c r="E8411" s="5" t="str">
        <f t="shared" si="422"/>
        <v>URGENCIAS ADULTO-Jenny Peña</v>
      </c>
      <c r="F8411" s="5"/>
      <c r="G8411" s="5" t="str">
        <f>"V50A"</f>
        <v>V50A</v>
      </c>
    </row>
    <row r="8412" spans="1:7" ht="58.5" customHeight="1" x14ac:dyDescent="0.25">
      <c r="A8412" s="5" t="str">
        <f>"H0036875"</f>
        <v>H0036875</v>
      </c>
      <c r="B8412" s="5" t="str">
        <f>"COMPUTADOR TODO EN UNO  LENOVO CON PROCESADOR INTEL CORE I5-10400T MEMORIA RAM 8GB DDR4 CON DISCO DURO 256GB SSD M.2"</f>
        <v>COMPUTADOR TODO EN UNO  LENOVO CON PROCESADOR INTEL CORE I5-10400T MEMORIA RAM 8GB DDR4 CON DISCO DURO 256GB SSD M.2</v>
      </c>
      <c r="C8412" s="6">
        <v>6307000</v>
      </c>
      <c r="D8412" s="5" t="s">
        <v>135</v>
      </c>
      <c r="E8412" s="5" t="str">
        <f t="shared" si="422"/>
        <v>URGENCIAS ADULTO-Jenny Peña</v>
      </c>
      <c r="F8412" s="5"/>
      <c r="G8412" s="5" t="str">
        <f>"V50A"</f>
        <v>V50A</v>
      </c>
    </row>
    <row r="8413" spans="1:7" ht="58.5" customHeight="1" x14ac:dyDescent="0.25">
      <c r="A8413" s="5" t="str">
        <f>"H0037141"</f>
        <v>H0037141</v>
      </c>
      <c r="B8413" s="5" t="str">
        <f t="shared" ref="B8413:B8418" si="425">"TALLIMETRO CAPACIDAD 20-205 CM (DONACION)"</f>
        <v>TALLIMETRO CAPACIDAD 20-205 CM (DONACION)</v>
      </c>
      <c r="C8413" s="6">
        <v>1254705.99</v>
      </c>
      <c r="D8413" s="5" t="s">
        <v>136</v>
      </c>
      <c r="E8413" s="5" t="str">
        <f t="shared" si="422"/>
        <v>URGENCIAS ADULTO-Jenny Peña</v>
      </c>
      <c r="F8413" s="5"/>
      <c r="G8413" s="5"/>
    </row>
    <row r="8414" spans="1:7" ht="58.5" customHeight="1" x14ac:dyDescent="0.25">
      <c r="A8414" s="5" t="str">
        <f>"H0037142"</f>
        <v>H0037142</v>
      </c>
      <c r="B8414" s="5" t="str">
        <f t="shared" si="425"/>
        <v>TALLIMETRO CAPACIDAD 20-205 CM (DONACION)</v>
      </c>
      <c r="C8414" s="6">
        <v>1254705.99</v>
      </c>
      <c r="D8414" s="5" t="s">
        <v>136</v>
      </c>
      <c r="E8414" s="5" t="str">
        <f t="shared" si="422"/>
        <v>URGENCIAS ADULTO-Jenny Peña</v>
      </c>
      <c r="F8414" s="5"/>
      <c r="G8414" s="5"/>
    </row>
    <row r="8415" spans="1:7" ht="58.5" customHeight="1" x14ac:dyDescent="0.25">
      <c r="A8415" s="5" t="str">
        <f>"H0037143"</f>
        <v>H0037143</v>
      </c>
      <c r="B8415" s="5" t="str">
        <f t="shared" si="425"/>
        <v>TALLIMETRO CAPACIDAD 20-205 CM (DONACION)</v>
      </c>
      <c r="C8415" s="6">
        <v>1254705.99</v>
      </c>
      <c r="D8415" s="5" t="s">
        <v>136</v>
      </c>
      <c r="E8415" s="5" t="str">
        <f t="shared" si="422"/>
        <v>URGENCIAS ADULTO-Jenny Peña</v>
      </c>
      <c r="F8415" s="5"/>
      <c r="G8415" s="5"/>
    </row>
    <row r="8416" spans="1:7" ht="58.5" customHeight="1" x14ac:dyDescent="0.25">
      <c r="A8416" s="5" t="str">
        <f>"H0037144"</f>
        <v>H0037144</v>
      </c>
      <c r="B8416" s="5" t="str">
        <f t="shared" si="425"/>
        <v>TALLIMETRO CAPACIDAD 20-205 CM (DONACION)</v>
      </c>
      <c r="C8416" s="6">
        <v>1254705.99</v>
      </c>
      <c r="D8416" s="5" t="s">
        <v>136</v>
      </c>
      <c r="E8416" s="5" t="str">
        <f t="shared" si="422"/>
        <v>URGENCIAS ADULTO-Jenny Peña</v>
      </c>
      <c r="F8416" s="5"/>
      <c r="G8416" s="5"/>
    </row>
    <row r="8417" spans="1:7" ht="58.5" customHeight="1" x14ac:dyDescent="0.25">
      <c r="A8417" s="5" t="str">
        <f>"H0037145"</f>
        <v>H0037145</v>
      </c>
      <c r="B8417" s="5" t="str">
        <f t="shared" si="425"/>
        <v>TALLIMETRO CAPACIDAD 20-205 CM (DONACION)</v>
      </c>
      <c r="C8417" s="6">
        <v>1254705.99</v>
      </c>
      <c r="D8417" s="5" t="s">
        <v>136</v>
      </c>
      <c r="E8417" s="5" t="str">
        <f t="shared" si="422"/>
        <v>URGENCIAS ADULTO-Jenny Peña</v>
      </c>
      <c r="F8417" s="5"/>
      <c r="G8417" s="5"/>
    </row>
    <row r="8418" spans="1:7" ht="58.5" customHeight="1" x14ac:dyDescent="0.25">
      <c r="A8418" s="5" t="str">
        <f>"H0037146"</f>
        <v>H0037146</v>
      </c>
      <c r="B8418" s="5" t="str">
        <f t="shared" si="425"/>
        <v>TALLIMETRO CAPACIDAD 20-205 CM (DONACION)</v>
      </c>
      <c r="C8418" s="6">
        <v>1254705.99</v>
      </c>
      <c r="D8418" s="5" t="s">
        <v>136</v>
      </c>
      <c r="E8418" s="5" t="str">
        <f t="shared" si="422"/>
        <v>URGENCIAS ADULTO-Jenny Peña</v>
      </c>
      <c r="F8418" s="5"/>
      <c r="G8418" s="5"/>
    </row>
    <row r="8419" spans="1:7" ht="58.5" customHeight="1" x14ac:dyDescent="0.25">
      <c r="A8419" s="5" t="str">
        <f>"H0037158"</f>
        <v>H0037158</v>
      </c>
      <c r="B8419" s="5" t="str">
        <f t="shared" ref="B8419:B8425" si="426">"BASCULA ADULTO"</f>
        <v>BASCULA ADULTO</v>
      </c>
      <c r="C8419" s="6">
        <v>3588385.98</v>
      </c>
      <c r="D8419" s="5" t="s">
        <v>136</v>
      </c>
      <c r="E8419" s="5" t="str">
        <f t="shared" si="422"/>
        <v>URGENCIAS ADULTO-Jenny Peña</v>
      </c>
      <c r="F8419" s="5"/>
      <c r="G8419" s="5"/>
    </row>
    <row r="8420" spans="1:7" ht="58.5" customHeight="1" x14ac:dyDescent="0.25">
      <c r="A8420" s="5" t="str">
        <f>"H0037159"</f>
        <v>H0037159</v>
      </c>
      <c r="B8420" s="5" t="str">
        <f t="shared" si="426"/>
        <v>BASCULA ADULTO</v>
      </c>
      <c r="C8420" s="6">
        <v>3588385.98</v>
      </c>
      <c r="D8420" s="5" t="s">
        <v>136</v>
      </c>
      <c r="E8420" s="5" t="str">
        <f t="shared" si="422"/>
        <v>URGENCIAS ADULTO-Jenny Peña</v>
      </c>
      <c r="F8420" s="5"/>
      <c r="G8420" s="5"/>
    </row>
    <row r="8421" spans="1:7" ht="58.5" customHeight="1" x14ac:dyDescent="0.25">
      <c r="A8421" s="5" t="str">
        <f>"H0037160"</f>
        <v>H0037160</v>
      </c>
      <c r="B8421" s="5" t="str">
        <f t="shared" si="426"/>
        <v>BASCULA ADULTO</v>
      </c>
      <c r="C8421" s="6">
        <v>3588385.98</v>
      </c>
      <c r="D8421" s="5" t="s">
        <v>136</v>
      </c>
      <c r="E8421" s="5" t="str">
        <f t="shared" ref="E8421:E8486" si="427">"URGENCIAS ADULTO-Jenny Peña"</f>
        <v>URGENCIAS ADULTO-Jenny Peña</v>
      </c>
      <c r="F8421" s="5"/>
      <c r="G8421" s="5"/>
    </row>
    <row r="8422" spans="1:7" ht="58.5" customHeight="1" x14ac:dyDescent="0.25">
      <c r="A8422" s="5" t="str">
        <f>"H0037161"</f>
        <v>H0037161</v>
      </c>
      <c r="B8422" s="5" t="str">
        <f t="shared" si="426"/>
        <v>BASCULA ADULTO</v>
      </c>
      <c r="C8422" s="6">
        <v>3588385.98</v>
      </c>
      <c r="D8422" s="5" t="s">
        <v>136</v>
      </c>
      <c r="E8422" s="5" t="str">
        <f t="shared" si="427"/>
        <v>URGENCIAS ADULTO-Jenny Peña</v>
      </c>
      <c r="F8422" s="5"/>
      <c r="G8422" s="5"/>
    </row>
    <row r="8423" spans="1:7" ht="58.5" customHeight="1" x14ac:dyDescent="0.25">
      <c r="A8423" s="5" t="str">
        <f>"H0037162"</f>
        <v>H0037162</v>
      </c>
      <c r="B8423" s="5" t="str">
        <f t="shared" si="426"/>
        <v>BASCULA ADULTO</v>
      </c>
      <c r="C8423" s="6">
        <v>3588385.98</v>
      </c>
      <c r="D8423" s="5" t="s">
        <v>136</v>
      </c>
      <c r="E8423" s="5" t="str">
        <f t="shared" si="427"/>
        <v>URGENCIAS ADULTO-Jenny Peña</v>
      </c>
      <c r="F8423" s="5"/>
      <c r="G8423" s="5"/>
    </row>
    <row r="8424" spans="1:7" ht="58.5" customHeight="1" x14ac:dyDescent="0.25">
      <c r="A8424" s="5" t="str">
        <f>"H0037163"</f>
        <v>H0037163</v>
      </c>
      <c r="B8424" s="5" t="str">
        <f t="shared" si="426"/>
        <v>BASCULA ADULTO</v>
      </c>
      <c r="C8424" s="6">
        <v>3588385.98</v>
      </c>
      <c r="D8424" s="5" t="s">
        <v>136</v>
      </c>
      <c r="E8424" s="5" t="str">
        <f t="shared" si="427"/>
        <v>URGENCIAS ADULTO-Jenny Peña</v>
      </c>
      <c r="F8424" s="5"/>
      <c r="G8424" s="5"/>
    </row>
    <row r="8425" spans="1:7" ht="58.5" customHeight="1" x14ac:dyDescent="0.25">
      <c r="A8425" s="5" t="str">
        <f>"H0037164"</f>
        <v>H0037164</v>
      </c>
      <c r="B8425" s="5" t="str">
        <f t="shared" si="426"/>
        <v>BASCULA ADULTO</v>
      </c>
      <c r="C8425" s="6">
        <v>3588385.98</v>
      </c>
      <c r="D8425" s="5" t="s">
        <v>136</v>
      </c>
      <c r="E8425" s="5" t="str">
        <f t="shared" si="427"/>
        <v>URGENCIAS ADULTO-Jenny Peña</v>
      </c>
      <c r="F8425" s="5"/>
      <c r="G8425" s="5"/>
    </row>
    <row r="8426" spans="1:7" ht="58.5" customHeight="1" x14ac:dyDescent="0.25">
      <c r="A8426" s="5" t="str">
        <f>"H0037322"</f>
        <v>H0037322</v>
      </c>
      <c r="B8426" s="5" t="str">
        <f>"VENTILADOR DE PARED"</f>
        <v>VENTILADOR DE PARED</v>
      </c>
      <c r="C8426" s="6">
        <v>286671</v>
      </c>
      <c r="D8426" s="5" t="s">
        <v>138</v>
      </c>
      <c r="E8426" s="5" t="str">
        <f t="shared" si="427"/>
        <v>URGENCIAS ADULTO-Jenny Peña</v>
      </c>
      <c r="F8426" s="5"/>
      <c r="G8426" s="5"/>
    </row>
    <row r="8427" spans="1:7" ht="58.5" customHeight="1" x14ac:dyDescent="0.25">
      <c r="A8427" s="5" t="str">
        <f>"H0037323"</f>
        <v>H0037323</v>
      </c>
      <c r="B8427" s="5" t="str">
        <f>"VENTILADOR DE PARED"</f>
        <v>VENTILADOR DE PARED</v>
      </c>
      <c r="C8427" s="6">
        <v>286671</v>
      </c>
      <c r="D8427" s="5" t="s">
        <v>138</v>
      </c>
      <c r="E8427" s="5" t="str">
        <f t="shared" si="427"/>
        <v>URGENCIAS ADULTO-Jenny Peña</v>
      </c>
      <c r="F8427" s="5"/>
      <c r="G8427" s="5"/>
    </row>
    <row r="8428" spans="1:7" ht="58.5" customHeight="1" x14ac:dyDescent="0.25">
      <c r="A8428" s="5" t="str">
        <f>"H0037324"</f>
        <v>H0037324</v>
      </c>
      <c r="B8428" s="5" t="str">
        <f>"VENTILADOR DE PARED"</f>
        <v>VENTILADOR DE PARED</v>
      </c>
      <c r="C8428" s="6">
        <v>286671</v>
      </c>
      <c r="D8428" s="5" t="s">
        <v>138</v>
      </c>
      <c r="E8428" s="5" t="str">
        <f t="shared" si="427"/>
        <v>URGENCIAS ADULTO-Jenny Peña</v>
      </c>
      <c r="F8428" s="5"/>
      <c r="G8428" s="5"/>
    </row>
    <row r="8429" spans="1:7" ht="58.5" customHeight="1" x14ac:dyDescent="0.25">
      <c r="A8429" s="5" t="str">
        <f>"H0037392"</f>
        <v>H0037392</v>
      </c>
      <c r="B8429" s="5" t="str">
        <f>"VENTILADOR DE PARED"</f>
        <v>VENTILADOR DE PARED</v>
      </c>
      <c r="C8429" s="6">
        <v>286671</v>
      </c>
      <c r="D8429" s="5" t="s">
        <v>138</v>
      </c>
      <c r="E8429" s="5" t="str">
        <f t="shared" si="427"/>
        <v>URGENCIAS ADULTO-Jenny Peña</v>
      </c>
      <c r="F8429" s="5"/>
      <c r="G8429" s="5"/>
    </row>
    <row r="8430" spans="1:7" ht="58.5" customHeight="1" x14ac:dyDescent="0.25">
      <c r="A8430" s="5" t="str">
        <f>"H0037451"</f>
        <v>H0037451</v>
      </c>
      <c r="B8430" s="5" t="str">
        <f>"AIRE ACONDICIONADO TIPO MINISPLIT CAPACIDAD 24.000 BTU TECNOLOGIA INVERTER DUAL"</f>
        <v>AIRE ACONDICIONADO TIPO MINISPLIT CAPACIDAD 24.000 BTU TECNOLOGIA INVERTER DUAL</v>
      </c>
      <c r="C8430" s="6">
        <v>5848909.5300000003</v>
      </c>
      <c r="D8430" s="5" t="s">
        <v>202</v>
      </c>
      <c r="E8430" s="5" t="str">
        <f t="shared" si="427"/>
        <v>URGENCIAS ADULTO-Jenny Peña</v>
      </c>
      <c r="F8430" s="5"/>
      <c r="G8430" s="5"/>
    </row>
    <row r="8431" spans="1:7" ht="58.5" customHeight="1" x14ac:dyDescent="0.25">
      <c r="A8431" s="5" t="str">
        <f>"H0037453"</f>
        <v>H0037453</v>
      </c>
      <c r="B8431" s="5" t="str">
        <f>"AIRE ACONDICIONADO TIPO PISO TECHO CAPACIDAD 40.000 BTUTECNOLOGIA INVERTER DUAL"</f>
        <v>AIRE ACONDICIONADO TIPO PISO TECHO CAPACIDAD 40.000 BTUTECNOLOGIA INVERTER DUAL</v>
      </c>
      <c r="C8431" s="6">
        <v>8060703</v>
      </c>
      <c r="D8431" s="5" t="s">
        <v>202</v>
      </c>
      <c r="E8431" s="5" t="str">
        <f t="shared" si="427"/>
        <v>URGENCIAS ADULTO-Jenny Peña</v>
      </c>
      <c r="F8431" s="5"/>
      <c r="G8431" s="5"/>
    </row>
    <row r="8432" spans="1:7" ht="58.5" customHeight="1" x14ac:dyDescent="0.25">
      <c r="A8432" s="5" t="str">
        <f>"H0037483"</f>
        <v>H0037483</v>
      </c>
      <c r="B8432" s="5" t="str">
        <f t="shared" ref="B8432:B8442" si="428">"VENTILADOR DE PARED"</f>
        <v>VENTILADOR DE PARED</v>
      </c>
      <c r="C8432" s="6">
        <v>286671</v>
      </c>
      <c r="D8432" s="5" t="s">
        <v>139</v>
      </c>
      <c r="E8432" s="5" t="str">
        <f t="shared" si="427"/>
        <v>URGENCIAS ADULTO-Jenny Peña</v>
      </c>
      <c r="F8432" s="5"/>
      <c r="G8432" s="5"/>
    </row>
    <row r="8433" spans="1:7" ht="58.5" customHeight="1" x14ac:dyDescent="0.25">
      <c r="A8433" s="5" t="str">
        <f>"H0037484"</f>
        <v>H0037484</v>
      </c>
      <c r="B8433" s="5" t="str">
        <f t="shared" si="428"/>
        <v>VENTILADOR DE PARED</v>
      </c>
      <c r="C8433" s="6">
        <v>286671</v>
      </c>
      <c r="D8433" s="5" t="s">
        <v>139</v>
      </c>
      <c r="E8433" s="5" t="str">
        <f t="shared" si="427"/>
        <v>URGENCIAS ADULTO-Jenny Peña</v>
      </c>
      <c r="F8433" s="5"/>
      <c r="G8433" s="5"/>
    </row>
    <row r="8434" spans="1:7" ht="58.5" customHeight="1" x14ac:dyDescent="0.25">
      <c r="A8434" s="5" t="str">
        <f>"H0037485"</f>
        <v>H0037485</v>
      </c>
      <c r="B8434" s="5" t="str">
        <f t="shared" si="428"/>
        <v>VENTILADOR DE PARED</v>
      </c>
      <c r="C8434" s="6">
        <v>286671</v>
      </c>
      <c r="D8434" s="5" t="s">
        <v>139</v>
      </c>
      <c r="E8434" s="5" t="str">
        <f t="shared" si="427"/>
        <v>URGENCIAS ADULTO-Jenny Peña</v>
      </c>
      <c r="F8434" s="5"/>
      <c r="G8434" s="5"/>
    </row>
    <row r="8435" spans="1:7" ht="58.5" customHeight="1" x14ac:dyDescent="0.25">
      <c r="A8435" s="5" t="str">
        <f>"H0037486"</f>
        <v>H0037486</v>
      </c>
      <c r="B8435" s="5" t="str">
        <f t="shared" si="428"/>
        <v>VENTILADOR DE PARED</v>
      </c>
      <c r="C8435" s="6">
        <v>286671</v>
      </c>
      <c r="D8435" s="5" t="s">
        <v>139</v>
      </c>
      <c r="E8435" s="5" t="str">
        <f t="shared" si="427"/>
        <v>URGENCIAS ADULTO-Jenny Peña</v>
      </c>
      <c r="F8435" s="5"/>
      <c r="G8435" s="5"/>
    </row>
    <row r="8436" spans="1:7" ht="58.5" customHeight="1" x14ac:dyDescent="0.25">
      <c r="A8436" s="5" t="str">
        <f>"H0037489"</f>
        <v>H0037489</v>
      </c>
      <c r="B8436" s="5" t="str">
        <f t="shared" si="428"/>
        <v>VENTILADOR DE PARED</v>
      </c>
      <c r="C8436" s="6">
        <v>286671</v>
      </c>
      <c r="D8436" s="5" t="s">
        <v>139</v>
      </c>
      <c r="E8436" s="5" t="str">
        <f t="shared" si="427"/>
        <v>URGENCIAS ADULTO-Jenny Peña</v>
      </c>
      <c r="F8436" s="5"/>
      <c r="G8436" s="5"/>
    </row>
    <row r="8437" spans="1:7" ht="58.5" customHeight="1" x14ac:dyDescent="0.25">
      <c r="A8437" s="5" t="str">
        <f>"H0037490"</f>
        <v>H0037490</v>
      </c>
      <c r="B8437" s="5" t="str">
        <f t="shared" si="428"/>
        <v>VENTILADOR DE PARED</v>
      </c>
      <c r="C8437" s="6">
        <v>286671</v>
      </c>
      <c r="D8437" s="5" t="s">
        <v>139</v>
      </c>
      <c r="E8437" s="5" t="str">
        <f t="shared" si="427"/>
        <v>URGENCIAS ADULTO-Jenny Peña</v>
      </c>
      <c r="F8437" s="5"/>
      <c r="G8437" s="5"/>
    </row>
    <row r="8438" spans="1:7" ht="58.5" customHeight="1" x14ac:dyDescent="0.25">
      <c r="A8438" s="5" t="str">
        <f>"H0037491"</f>
        <v>H0037491</v>
      </c>
      <c r="B8438" s="5" t="str">
        <f t="shared" si="428"/>
        <v>VENTILADOR DE PARED</v>
      </c>
      <c r="C8438" s="6">
        <v>286671</v>
      </c>
      <c r="D8438" s="5" t="s">
        <v>139</v>
      </c>
      <c r="E8438" s="5" t="str">
        <f t="shared" si="427"/>
        <v>URGENCIAS ADULTO-Jenny Peña</v>
      </c>
      <c r="F8438" s="5"/>
      <c r="G8438" s="5"/>
    </row>
    <row r="8439" spans="1:7" ht="58.5" customHeight="1" x14ac:dyDescent="0.25">
      <c r="A8439" s="5" t="str">
        <f>"H0037521"</f>
        <v>H0037521</v>
      </c>
      <c r="B8439" s="5" t="str">
        <f t="shared" si="428"/>
        <v>VENTILADOR DE PARED</v>
      </c>
      <c r="C8439" s="6">
        <v>286671</v>
      </c>
      <c r="D8439" s="5" t="s">
        <v>139</v>
      </c>
      <c r="E8439" s="5" t="str">
        <f t="shared" si="427"/>
        <v>URGENCIAS ADULTO-Jenny Peña</v>
      </c>
      <c r="F8439" s="5"/>
      <c r="G8439" s="5"/>
    </row>
    <row r="8440" spans="1:7" ht="58.5" customHeight="1" x14ac:dyDescent="0.25">
      <c r="A8440" s="5" t="str">
        <f>"H0037522"</f>
        <v>H0037522</v>
      </c>
      <c r="B8440" s="5" t="str">
        <f t="shared" si="428"/>
        <v>VENTILADOR DE PARED</v>
      </c>
      <c r="C8440" s="6">
        <v>286671</v>
      </c>
      <c r="D8440" s="5" t="s">
        <v>139</v>
      </c>
      <c r="E8440" s="5" t="str">
        <f t="shared" si="427"/>
        <v>URGENCIAS ADULTO-Jenny Peña</v>
      </c>
      <c r="F8440" s="5"/>
      <c r="G8440" s="5"/>
    </row>
    <row r="8441" spans="1:7" ht="58.5" customHeight="1" x14ac:dyDescent="0.25">
      <c r="A8441" s="5" t="str">
        <f>"H0037529"</f>
        <v>H0037529</v>
      </c>
      <c r="B8441" s="5" t="str">
        <f t="shared" si="428"/>
        <v>VENTILADOR DE PARED</v>
      </c>
      <c r="C8441" s="6">
        <v>286671</v>
      </c>
      <c r="D8441" s="5" t="s">
        <v>139</v>
      </c>
      <c r="E8441" s="5" t="str">
        <f t="shared" si="427"/>
        <v>URGENCIAS ADULTO-Jenny Peña</v>
      </c>
      <c r="F8441" s="5"/>
      <c r="G8441" s="5"/>
    </row>
    <row r="8442" spans="1:7" ht="58.5" customHeight="1" x14ac:dyDescent="0.25">
      <c r="A8442" s="5" t="str">
        <f>"H0037530"</f>
        <v>H0037530</v>
      </c>
      <c r="B8442" s="5" t="str">
        <f t="shared" si="428"/>
        <v>VENTILADOR DE PARED</v>
      </c>
      <c r="C8442" s="6">
        <v>286671</v>
      </c>
      <c r="D8442" s="5" t="s">
        <v>139</v>
      </c>
      <c r="E8442" s="5" t="str">
        <f t="shared" si="427"/>
        <v>URGENCIAS ADULTO-Jenny Peña</v>
      </c>
      <c r="F8442" s="5"/>
      <c r="G8442" s="5"/>
    </row>
    <row r="8443" spans="1:7" ht="58.5" customHeight="1" x14ac:dyDescent="0.25">
      <c r="A8443" s="5" t="str">
        <f>"H0037580"</f>
        <v>H0037580</v>
      </c>
      <c r="B8443"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8443" s="6">
        <v>1837598</v>
      </c>
      <c r="D8443" s="5" t="s">
        <v>29</v>
      </c>
      <c r="E8443" s="5" t="str">
        <f t="shared" si="427"/>
        <v>URGENCIAS ADULTO-Jenny Peña</v>
      </c>
      <c r="F8443" s="5"/>
      <c r="G8443" s="5"/>
    </row>
    <row r="8444" spans="1:7" ht="58.5" customHeight="1" x14ac:dyDescent="0.25">
      <c r="A8444" s="5" t="str">
        <f>"H0037602"</f>
        <v>H0037602</v>
      </c>
      <c r="B8444" s="5" t="str">
        <f t="shared" ref="B8444:B8449" si="429">"MESA (CARRO) DE CURACIONES"</f>
        <v>MESA (CARRO) DE CURACIONES</v>
      </c>
      <c r="C8444" s="6">
        <v>160000</v>
      </c>
      <c r="D8444" s="5" t="s">
        <v>141</v>
      </c>
      <c r="E8444" s="5" t="str">
        <f t="shared" si="427"/>
        <v>URGENCIAS ADULTO-Jenny Peña</v>
      </c>
      <c r="F8444" s="5"/>
      <c r="G8444" s="5"/>
    </row>
    <row r="8445" spans="1:7" ht="58.5" customHeight="1" x14ac:dyDescent="0.25">
      <c r="A8445" s="5" t="str">
        <f>"H0037603"</f>
        <v>H0037603</v>
      </c>
      <c r="B8445" s="5" t="str">
        <f t="shared" si="429"/>
        <v>MESA (CARRO) DE CURACIONES</v>
      </c>
      <c r="C8445" s="6">
        <v>160000</v>
      </c>
      <c r="D8445" s="5" t="s">
        <v>141</v>
      </c>
      <c r="E8445" s="5" t="str">
        <f t="shared" si="427"/>
        <v>URGENCIAS ADULTO-Jenny Peña</v>
      </c>
      <c r="F8445" s="5"/>
      <c r="G8445" s="5"/>
    </row>
    <row r="8446" spans="1:7" ht="58.5" customHeight="1" x14ac:dyDescent="0.25">
      <c r="A8446" s="5" t="str">
        <f>"H0037604"</f>
        <v>H0037604</v>
      </c>
      <c r="B8446" s="5" t="str">
        <f t="shared" si="429"/>
        <v>MESA (CARRO) DE CURACIONES</v>
      </c>
      <c r="C8446" s="6">
        <v>160000</v>
      </c>
      <c r="D8446" s="5" t="s">
        <v>141</v>
      </c>
      <c r="E8446" s="5" t="str">
        <f t="shared" si="427"/>
        <v>URGENCIAS ADULTO-Jenny Peña</v>
      </c>
      <c r="F8446" s="5"/>
      <c r="G8446" s="5"/>
    </row>
    <row r="8447" spans="1:7" ht="58.5" customHeight="1" x14ac:dyDescent="0.25">
      <c r="A8447" s="5" t="str">
        <f>"H0037605"</f>
        <v>H0037605</v>
      </c>
      <c r="B8447" s="5" t="str">
        <f t="shared" si="429"/>
        <v>MESA (CARRO) DE CURACIONES</v>
      </c>
      <c r="C8447" s="6">
        <v>160000</v>
      </c>
      <c r="D8447" s="5" t="s">
        <v>141</v>
      </c>
      <c r="E8447" s="5" t="str">
        <f t="shared" si="427"/>
        <v>URGENCIAS ADULTO-Jenny Peña</v>
      </c>
      <c r="F8447" s="5"/>
      <c r="G8447" s="5"/>
    </row>
    <row r="8448" spans="1:7" ht="58.5" customHeight="1" x14ac:dyDescent="0.25">
      <c r="A8448" s="5" t="str">
        <f>"H0037606"</f>
        <v>H0037606</v>
      </c>
      <c r="B8448" s="5" t="str">
        <f t="shared" si="429"/>
        <v>MESA (CARRO) DE CURACIONES</v>
      </c>
      <c r="C8448" s="6">
        <v>160000</v>
      </c>
      <c r="D8448" s="5" t="s">
        <v>141</v>
      </c>
      <c r="E8448" s="5" t="str">
        <f t="shared" si="427"/>
        <v>URGENCIAS ADULTO-Jenny Peña</v>
      </c>
      <c r="F8448" s="5"/>
      <c r="G8448" s="5"/>
    </row>
    <row r="8449" spans="1:7" ht="58.5" customHeight="1" x14ac:dyDescent="0.25">
      <c r="A8449" s="5" t="str">
        <f>"H0037607"</f>
        <v>H0037607</v>
      </c>
      <c r="B8449" s="5" t="str">
        <f t="shared" si="429"/>
        <v>MESA (CARRO) DE CURACIONES</v>
      </c>
      <c r="C8449" s="6">
        <v>160000</v>
      </c>
      <c r="D8449" s="5" t="s">
        <v>141</v>
      </c>
      <c r="E8449" s="5" t="str">
        <f t="shared" si="427"/>
        <v>URGENCIAS ADULTO-Jenny Peña</v>
      </c>
      <c r="F8449" s="5"/>
      <c r="G8449" s="5"/>
    </row>
    <row r="8450" spans="1:7" ht="58.5" customHeight="1" x14ac:dyDescent="0.25">
      <c r="A8450" s="5" t="str">
        <f>"H0037660"</f>
        <v>H0037660</v>
      </c>
      <c r="B8450" s="5" t="str">
        <f t="shared" ref="B8450:B8461" si="430">"SILLA GERENTE NIZA MEC. BASCULANTE CON BRAZOS."</f>
        <v>SILLA GERENTE NIZA MEC. BASCULANTE CON BRAZOS.</v>
      </c>
      <c r="C8450" s="6">
        <v>710000.01</v>
      </c>
      <c r="D8450" s="5" t="s">
        <v>30</v>
      </c>
      <c r="E8450" s="5" t="str">
        <f t="shared" si="427"/>
        <v>URGENCIAS ADULTO-Jenny Peña</v>
      </c>
      <c r="F8450" s="5"/>
      <c r="G8450" s="5"/>
    </row>
    <row r="8451" spans="1:7" ht="58.5" customHeight="1" x14ac:dyDescent="0.25">
      <c r="A8451" s="5" t="str">
        <f>"H0037661"</f>
        <v>H0037661</v>
      </c>
      <c r="B8451" s="5" t="str">
        <f t="shared" si="430"/>
        <v>SILLA GERENTE NIZA MEC. BASCULANTE CON BRAZOS.</v>
      </c>
      <c r="C8451" s="6">
        <v>710000.01</v>
      </c>
      <c r="D8451" s="5" t="s">
        <v>30</v>
      </c>
      <c r="E8451" s="5" t="str">
        <f t="shared" si="427"/>
        <v>URGENCIAS ADULTO-Jenny Peña</v>
      </c>
      <c r="F8451" s="5"/>
      <c r="G8451" s="5"/>
    </row>
    <row r="8452" spans="1:7" ht="58.5" customHeight="1" x14ac:dyDescent="0.25">
      <c r="A8452" s="5" t="str">
        <f>"H0037662"</f>
        <v>H0037662</v>
      </c>
      <c r="B8452" s="5" t="str">
        <f t="shared" si="430"/>
        <v>SILLA GERENTE NIZA MEC. BASCULANTE CON BRAZOS.</v>
      </c>
      <c r="C8452" s="6">
        <v>710000.01</v>
      </c>
      <c r="D8452" s="5" t="s">
        <v>30</v>
      </c>
      <c r="E8452" s="5" t="str">
        <f t="shared" si="427"/>
        <v>URGENCIAS ADULTO-Jenny Peña</v>
      </c>
      <c r="F8452" s="5"/>
      <c r="G8452" s="5"/>
    </row>
    <row r="8453" spans="1:7" ht="58.5" customHeight="1" x14ac:dyDescent="0.25">
      <c r="A8453" s="5" t="str">
        <f>"H0037663"</f>
        <v>H0037663</v>
      </c>
      <c r="B8453" s="5" t="str">
        <f t="shared" si="430"/>
        <v>SILLA GERENTE NIZA MEC. BASCULANTE CON BRAZOS.</v>
      </c>
      <c r="C8453" s="6">
        <v>710000.01</v>
      </c>
      <c r="D8453" s="5" t="s">
        <v>30</v>
      </c>
      <c r="E8453" s="5" t="str">
        <f t="shared" si="427"/>
        <v>URGENCIAS ADULTO-Jenny Peña</v>
      </c>
      <c r="F8453" s="5"/>
      <c r="G8453" s="5"/>
    </row>
    <row r="8454" spans="1:7" ht="58.5" customHeight="1" x14ac:dyDescent="0.25">
      <c r="A8454" s="5" t="str">
        <f>"H0037664"</f>
        <v>H0037664</v>
      </c>
      <c r="B8454" s="5" t="str">
        <f t="shared" si="430"/>
        <v>SILLA GERENTE NIZA MEC. BASCULANTE CON BRAZOS.</v>
      </c>
      <c r="C8454" s="6">
        <v>710000.01</v>
      </c>
      <c r="D8454" s="5" t="s">
        <v>30</v>
      </c>
      <c r="E8454" s="5" t="str">
        <f t="shared" si="427"/>
        <v>URGENCIAS ADULTO-Jenny Peña</v>
      </c>
      <c r="F8454" s="5"/>
      <c r="G8454" s="5"/>
    </row>
    <row r="8455" spans="1:7" ht="58.5" customHeight="1" x14ac:dyDescent="0.25">
      <c r="A8455" s="5" t="str">
        <f>"H0037665"</f>
        <v>H0037665</v>
      </c>
      <c r="B8455" s="5" t="str">
        <f t="shared" si="430"/>
        <v>SILLA GERENTE NIZA MEC. BASCULANTE CON BRAZOS.</v>
      </c>
      <c r="C8455" s="6">
        <v>710000.01</v>
      </c>
      <c r="D8455" s="5" t="s">
        <v>30</v>
      </c>
      <c r="E8455" s="5" t="str">
        <f t="shared" si="427"/>
        <v>URGENCIAS ADULTO-Jenny Peña</v>
      </c>
      <c r="F8455" s="5"/>
      <c r="G8455" s="5"/>
    </row>
    <row r="8456" spans="1:7" ht="58.5" customHeight="1" x14ac:dyDescent="0.25">
      <c r="A8456" s="5" t="str">
        <f>"H0037666"</f>
        <v>H0037666</v>
      </c>
      <c r="B8456" s="5" t="str">
        <f t="shared" si="430"/>
        <v>SILLA GERENTE NIZA MEC. BASCULANTE CON BRAZOS.</v>
      </c>
      <c r="C8456" s="6">
        <v>710000.01</v>
      </c>
      <c r="D8456" s="5" t="s">
        <v>30</v>
      </c>
      <c r="E8456" s="5" t="str">
        <f t="shared" si="427"/>
        <v>URGENCIAS ADULTO-Jenny Peña</v>
      </c>
      <c r="F8456" s="5"/>
      <c r="G8456" s="5"/>
    </row>
    <row r="8457" spans="1:7" ht="58.5" customHeight="1" x14ac:dyDescent="0.25">
      <c r="A8457" s="5" t="str">
        <f>"H0037667"</f>
        <v>H0037667</v>
      </c>
      <c r="B8457" s="5" t="str">
        <f t="shared" si="430"/>
        <v>SILLA GERENTE NIZA MEC. BASCULANTE CON BRAZOS.</v>
      </c>
      <c r="C8457" s="6">
        <v>710000.01</v>
      </c>
      <c r="D8457" s="5" t="s">
        <v>30</v>
      </c>
      <c r="E8457" s="5" t="str">
        <f t="shared" si="427"/>
        <v>URGENCIAS ADULTO-Jenny Peña</v>
      </c>
      <c r="F8457" s="5"/>
      <c r="G8457" s="5"/>
    </row>
    <row r="8458" spans="1:7" ht="58.5" customHeight="1" x14ac:dyDescent="0.25">
      <c r="A8458" s="5" t="str">
        <f>"H0037668"</f>
        <v>H0037668</v>
      </c>
      <c r="B8458" s="5" t="str">
        <f t="shared" si="430"/>
        <v>SILLA GERENTE NIZA MEC. BASCULANTE CON BRAZOS.</v>
      </c>
      <c r="C8458" s="6">
        <v>710000.01</v>
      </c>
      <c r="D8458" s="5" t="s">
        <v>30</v>
      </c>
      <c r="E8458" s="5" t="str">
        <f t="shared" si="427"/>
        <v>URGENCIAS ADULTO-Jenny Peña</v>
      </c>
      <c r="F8458" s="5"/>
      <c r="G8458" s="5"/>
    </row>
    <row r="8459" spans="1:7" ht="58.5" customHeight="1" x14ac:dyDescent="0.25">
      <c r="A8459" s="5" t="str">
        <f>"H0037669"</f>
        <v>H0037669</v>
      </c>
      <c r="B8459" s="5" t="str">
        <f t="shared" si="430"/>
        <v>SILLA GERENTE NIZA MEC. BASCULANTE CON BRAZOS.</v>
      </c>
      <c r="C8459" s="6">
        <v>710000.01</v>
      </c>
      <c r="D8459" s="5" t="s">
        <v>30</v>
      </c>
      <c r="E8459" s="5" t="str">
        <f t="shared" si="427"/>
        <v>URGENCIAS ADULTO-Jenny Peña</v>
      </c>
      <c r="F8459" s="5"/>
      <c r="G8459" s="5"/>
    </row>
    <row r="8460" spans="1:7" ht="58.5" customHeight="1" x14ac:dyDescent="0.25">
      <c r="A8460" s="5" t="str">
        <f>"H0037670"</f>
        <v>H0037670</v>
      </c>
      <c r="B8460" s="5" t="str">
        <f t="shared" si="430"/>
        <v>SILLA GERENTE NIZA MEC. BASCULANTE CON BRAZOS.</v>
      </c>
      <c r="C8460" s="6">
        <v>710000.01</v>
      </c>
      <c r="D8460" s="5" t="s">
        <v>30</v>
      </c>
      <c r="E8460" s="5" t="str">
        <f t="shared" si="427"/>
        <v>URGENCIAS ADULTO-Jenny Peña</v>
      </c>
      <c r="F8460" s="5"/>
      <c r="G8460" s="5"/>
    </row>
    <row r="8461" spans="1:7" ht="58.5" customHeight="1" x14ac:dyDescent="0.25">
      <c r="A8461" s="5" t="str">
        <f>"H0037725"</f>
        <v>H0037725</v>
      </c>
      <c r="B8461" s="5" t="str">
        <f t="shared" si="430"/>
        <v>SILLA GERENTE NIZA MEC. BASCULANTE CON BRAZOS.</v>
      </c>
      <c r="C8461" s="6">
        <v>710000.01</v>
      </c>
      <c r="D8461" s="5" t="s">
        <v>30</v>
      </c>
      <c r="E8461" s="5" t="str">
        <f t="shared" si="427"/>
        <v>URGENCIAS ADULTO-Jenny Peña</v>
      </c>
      <c r="F8461" s="5"/>
      <c r="G8461" s="5"/>
    </row>
    <row r="8462" spans="1:7" ht="58.5" customHeight="1" x14ac:dyDescent="0.25">
      <c r="A8462" s="5" t="str">
        <f>"H0037731"</f>
        <v>H0037731</v>
      </c>
      <c r="B8462" s="5" t="str">
        <f>"MESA (CARRO) DE CURACIONES"</f>
        <v>MESA (CARRO) DE CURACIONES</v>
      </c>
      <c r="C8462" s="6">
        <v>722000</v>
      </c>
      <c r="D8462" s="5" t="s">
        <v>141</v>
      </c>
      <c r="E8462" s="5" t="str">
        <f t="shared" si="427"/>
        <v>URGENCIAS ADULTO-Jenny Peña</v>
      </c>
      <c r="F8462" s="5"/>
      <c r="G8462" s="5"/>
    </row>
    <row r="8463" spans="1:7" ht="58.5" customHeight="1" x14ac:dyDescent="0.25">
      <c r="A8463" s="5" t="str">
        <f>"H0037732"</f>
        <v>H0037732</v>
      </c>
      <c r="B8463" s="5" t="str">
        <f>"MESA (CARRO) DE CURACIONES"</f>
        <v>MESA (CARRO) DE CURACIONES</v>
      </c>
      <c r="C8463" s="6">
        <v>722000</v>
      </c>
      <c r="D8463" s="5" t="s">
        <v>141</v>
      </c>
      <c r="E8463" s="5" t="str">
        <f t="shared" si="427"/>
        <v>URGENCIAS ADULTO-Jenny Peña</v>
      </c>
      <c r="F8463" s="5"/>
      <c r="G8463" s="5"/>
    </row>
    <row r="8464" spans="1:7" ht="58.5" customHeight="1" x14ac:dyDescent="0.25">
      <c r="A8464" s="5" t="str">
        <f>"H0037744"</f>
        <v>H0037744</v>
      </c>
      <c r="B8464" s="5" t="str">
        <f>"BUTACO GIRATORIO CON RUEDAS"</f>
        <v>BUTACO GIRATORIO CON RUEDAS</v>
      </c>
      <c r="C8464" s="6">
        <v>275000</v>
      </c>
      <c r="D8464" s="5" t="s">
        <v>141</v>
      </c>
      <c r="E8464" s="5" t="str">
        <f t="shared" si="427"/>
        <v>URGENCIAS ADULTO-Jenny Peña</v>
      </c>
      <c r="F8464" s="5"/>
      <c r="G8464" s="5"/>
    </row>
    <row r="8465" spans="1:7" ht="58.5" customHeight="1" x14ac:dyDescent="0.25">
      <c r="A8465" s="5" t="str">
        <f>"H0037860"</f>
        <v>H0037860</v>
      </c>
      <c r="B8465" s="5" t="str">
        <f>"SILLA GERENTE NIZA MEC. BASCULANTE CON BRAZOS."</f>
        <v>SILLA GERENTE NIZA MEC. BASCULANTE CON BRAZOS.</v>
      </c>
      <c r="C8465" s="6">
        <v>710000.01</v>
      </c>
      <c r="D8465" s="5" t="s">
        <v>30</v>
      </c>
      <c r="E8465" s="5" t="str">
        <f t="shared" si="427"/>
        <v>URGENCIAS ADULTO-Jenny Peña</v>
      </c>
      <c r="F8465" s="5"/>
      <c r="G8465" s="5"/>
    </row>
    <row r="8466" spans="1:7" ht="58.5" customHeight="1" x14ac:dyDescent="0.25">
      <c r="A8466" s="5" t="str">
        <f>"H0037861"</f>
        <v>H0037861</v>
      </c>
      <c r="B8466" s="5" t="str">
        <f>"SILLA GERENTE NIZA MEC. BASCULANTE CON BRAZOS."</f>
        <v>SILLA GERENTE NIZA MEC. BASCULANTE CON BRAZOS.</v>
      </c>
      <c r="C8466" s="6">
        <v>710000.01</v>
      </c>
      <c r="D8466" s="5" t="s">
        <v>30</v>
      </c>
      <c r="E8466" s="5" t="str">
        <f t="shared" si="427"/>
        <v>URGENCIAS ADULTO-Jenny Peña</v>
      </c>
      <c r="F8466" s="5"/>
      <c r="G8466" s="5"/>
    </row>
    <row r="8467" spans="1:7" ht="58.5" customHeight="1" x14ac:dyDescent="0.25">
      <c r="A8467" s="5" t="str">
        <f>"H0037862"</f>
        <v>H0037862</v>
      </c>
      <c r="B8467" s="5" t="str">
        <f>"SILLA GERENTE NIZA MEC. BASCULANTE CON BRAZOS."</f>
        <v>SILLA GERENTE NIZA MEC. BASCULANTE CON BRAZOS.</v>
      </c>
      <c r="C8467" s="6">
        <v>710000.01</v>
      </c>
      <c r="D8467" s="5" t="s">
        <v>30</v>
      </c>
      <c r="E8467" s="5" t="str">
        <f t="shared" si="427"/>
        <v>URGENCIAS ADULTO-Jenny Peña</v>
      </c>
      <c r="F8467" s="5"/>
      <c r="G8467" s="5"/>
    </row>
    <row r="8468" spans="1:7" ht="58.5" customHeight="1" x14ac:dyDescent="0.25">
      <c r="A8468" s="5" t="str">
        <f>"H0037913"</f>
        <v>H0037913</v>
      </c>
      <c r="B8468" s="5" t="str">
        <f>"SILLA GERENTE NIZA MEC. BASCULANTE CON BRAZOS."</f>
        <v>SILLA GERENTE NIZA MEC. BASCULANTE CON BRAZOS.</v>
      </c>
      <c r="C8468" s="6">
        <v>710000.01</v>
      </c>
      <c r="D8468" s="5" t="s">
        <v>30</v>
      </c>
      <c r="E8468" s="5" t="str">
        <f t="shared" si="427"/>
        <v>URGENCIAS ADULTO-Jenny Peña</v>
      </c>
      <c r="F8468" s="5"/>
      <c r="G8468" s="5"/>
    </row>
    <row r="8469" spans="1:7" ht="58.5" customHeight="1" x14ac:dyDescent="0.25">
      <c r="A8469" s="5" t="str">
        <f>"H0037914"</f>
        <v>H0037914</v>
      </c>
      <c r="B8469" s="5" t="str">
        <f>"SILLA GERENTE NIZA MEC. BASCULANTE CON BRAZOS."</f>
        <v>SILLA GERENTE NIZA MEC. BASCULANTE CON BRAZOS.</v>
      </c>
      <c r="C8469" s="6">
        <v>710000.01</v>
      </c>
      <c r="D8469" s="5" t="s">
        <v>30</v>
      </c>
      <c r="E8469" s="5" t="str">
        <f t="shared" si="427"/>
        <v>URGENCIAS ADULTO-Jenny Peña</v>
      </c>
      <c r="F8469" s="5"/>
      <c r="G8469" s="5"/>
    </row>
    <row r="8470" spans="1:7" ht="58.5" customHeight="1" x14ac:dyDescent="0.25">
      <c r="A8470" s="5" t="str">
        <f>"H0038147"</f>
        <v>H0038147</v>
      </c>
      <c r="B8470" s="5" t="str">
        <f>"ELECTROCARDIOGRAFO"</f>
        <v>ELECTROCARDIOGRAFO</v>
      </c>
      <c r="C8470" s="6">
        <v>16600500</v>
      </c>
      <c r="D8470" s="5" t="s">
        <v>142</v>
      </c>
      <c r="E8470" s="5" t="str">
        <f t="shared" si="427"/>
        <v>URGENCIAS ADULTO-Jenny Peña</v>
      </c>
      <c r="F8470" s="5"/>
      <c r="G8470" s="5"/>
    </row>
    <row r="8471" spans="1:7" ht="58.5" customHeight="1" x14ac:dyDescent="0.25">
      <c r="A8471" s="5" t="str">
        <f>"H0038148"</f>
        <v>H0038148</v>
      </c>
      <c r="B8471" s="5" t="str">
        <f>"ELECTROCARDIOGRAFO"</f>
        <v>ELECTROCARDIOGRAFO</v>
      </c>
      <c r="C8471" s="6">
        <v>16600500</v>
      </c>
      <c r="D8471" s="5" t="s">
        <v>142</v>
      </c>
      <c r="E8471" s="5" t="str">
        <f t="shared" si="427"/>
        <v>URGENCIAS ADULTO-Jenny Peña</v>
      </c>
      <c r="F8471" s="5"/>
      <c r="G8471" s="5"/>
    </row>
    <row r="8472" spans="1:7" ht="58.5" customHeight="1" x14ac:dyDescent="0.25">
      <c r="A8472" s="5" t="str">
        <f>"H0038154"</f>
        <v>H0038154</v>
      </c>
      <c r="B8472" s="5" t="str">
        <f>"VISUALIZADOR DE VENAS"</f>
        <v>VISUALIZADOR DE VENAS</v>
      </c>
      <c r="C8472" s="6">
        <v>35682150</v>
      </c>
      <c r="D8472" s="5" t="s">
        <v>142</v>
      </c>
      <c r="E8472" s="5" t="str">
        <f t="shared" si="427"/>
        <v>URGENCIAS ADULTO-Jenny Peña</v>
      </c>
      <c r="F8472" s="5"/>
      <c r="G8472" s="5"/>
    </row>
    <row r="8473" spans="1:7" ht="58.5" customHeight="1" x14ac:dyDescent="0.25">
      <c r="A8473" s="5" t="str">
        <f>"H0038234"</f>
        <v>H0038234</v>
      </c>
      <c r="B8473" s="5" t="str">
        <f>"DISCADOR AMPLIFICADOR DE SEÑAL DE 500 METROS"</f>
        <v>DISCADOR AMPLIFICADOR DE SEÑAL DE 500 METROS</v>
      </c>
      <c r="C8473" s="6">
        <v>3223995</v>
      </c>
      <c r="D8473" s="5" t="s">
        <v>143</v>
      </c>
      <c r="E8473" s="5" t="str">
        <f t="shared" si="427"/>
        <v>URGENCIAS ADULTO-Jenny Peña</v>
      </c>
      <c r="F8473" s="5"/>
      <c r="G8473" s="5"/>
    </row>
    <row r="8474" spans="1:7" ht="58.5" customHeight="1" x14ac:dyDescent="0.25">
      <c r="A8474" s="5" t="str">
        <f>"H0038275"</f>
        <v>H0038275</v>
      </c>
      <c r="B8474" s="5" t="str">
        <f t="shared" ref="B8474:B8486" si="431">"UNIDAD DE LLAMADO DE ENFERMERIA PARA BAÑO CON CORDON TIRADOR. RESISTENTE A SALPICADURAS DE AGUA Y LUZ INDICADORA DE PULSACIÓN"</f>
        <v>UNIDAD DE LLAMADO DE ENFERMERIA PARA BAÑO CON CORDON TIRADOR. RESISTENTE A SALPICADURAS DE AGUA Y LUZ INDICADORA DE PULSACIÓN</v>
      </c>
      <c r="C8474" s="6">
        <v>529400</v>
      </c>
      <c r="D8474" s="5" t="s">
        <v>143</v>
      </c>
      <c r="E8474" s="5" t="str">
        <f t="shared" si="427"/>
        <v>URGENCIAS ADULTO-Jenny Peña</v>
      </c>
      <c r="F8474" s="5"/>
      <c r="G8474" s="5"/>
    </row>
    <row r="8475" spans="1:7" ht="58.5" customHeight="1" x14ac:dyDescent="0.25">
      <c r="A8475" s="5" t="str">
        <f>"H0038276"</f>
        <v>H0038276</v>
      </c>
      <c r="B8475" s="5" t="str">
        <f t="shared" si="431"/>
        <v>UNIDAD DE LLAMADO DE ENFERMERIA PARA BAÑO CON CORDON TIRADOR. RESISTENTE A SALPICADURAS DE AGUA Y LUZ INDICADORA DE PULSACIÓN</v>
      </c>
      <c r="C8475" s="6">
        <v>529400</v>
      </c>
      <c r="D8475" s="5" t="s">
        <v>143</v>
      </c>
      <c r="E8475" s="5" t="str">
        <f t="shared" si="427"/>
        <v>URGENCIAS ADULTO-Jenny Peña</v>
      </c>
      <c r="F8475" s="5"/>
      <c r="G8475" s="5"/>
    </row>
    <row r="8476" spans="1:7" ht="58.5" customHeight="1" x14ac:dyDescent="0.25">
      <c r="A8476" s="5" t="str">
        <f>"H0038277"</f>
        <v>H0038277</v>
      </c>
      <c r="B8476" s="5" t="str">
        <f t="shared" si="431"/>
        <v>UNIDAD DE LLAMADO DE ENFERMERIA PARA BAÑO CON CORDON TIRADOR. RESISTENTE A SALPICADURAS DE AGUA Y LUZ INDICADORA DE PULSACIÓN</v>
      </c>
      <c r="C8476" s="6">
        <v>529400</v>
      </c>
      <c r="D8476" s="5" t="s">
        <v>143</v>
      </c>
      <c r="E8476" s="5" t="str">
        <f t="shared" si="427"/>
        <v>URGENCIAS ADULTO-Jenny Peña</v>
      </c>
      <c r="F8476" s="5"/>
      <c r="G8476" s="5"/>
    </row>
    <row r="8477" spans="1:7" ht="58.5" customHeight="1" x14ac:dyDescent="0.25">
      <c r="A8477" s="5" t="str">
        <f>"H0038278"</f>
        <v>H0038278</v>
      </c>
      <c r="B8477" s="5" t="str">
        <f t="shared" si="431"/>
        <v>UNIDAD DE LLAMADO DE ENFERMERIA PARA BAÑO CON CORDON TIRADOR. RESISTENTE A SALPICADURAS DE AGUA Y LUZ INDICADORA DE PULSACIÓN</v>
      </c>
      <c r="C8477" s="6">
        <v>529400</v>
      </c>
      <c r="D8477" s="5" t="s">
        <v>143</v>
      </c>
      <c r="E8477" s="5" t="str">
        <f t="shared" si="427"/>
        <v>URGENCIAS ADULTO-Jenny Peña</v>
      </c>
      <c r="F8477" s="5"/>
      <c r="G8477" s="5"/>
    </row>
    <row r="8478" spans="1:7" ht="58.5" customHeight="1" x14ac:dyDescent="0.25">
      <c r="A8478" s="5" t="str">
        <f>"H0038279"</f>
        <v>H0038279</v>
      </c>
      <c r="B8478" s="5" t="str">
        <f t="shared" si="431"/>
        <v>UNIDAD DE LLAMADO DE ENFERMERIA PARA BAÑO CON CORDON TIRADOR. RESISTENTE A SALPICADURAS DE AGUA Y LUZ INDICADORA DE PULSACIÓN</v>
      </c>
      <c r="C8478" s="6">
        <v>529400</v>
      </c>
      <c r="D8478" s="5" t="s">
        <v>143</v>
      </c>
      <c r="E8478" s="5" t="str">
        <f t="shared" si="427"/>
        <v>URGENCIAS ADULTO-Jenny Peña</v>
      </c>
      <c r="F8478" s="5"/>
      <c r="G8478" s="5"/>
    </row>
    <row r="8479" spans="1:7" ht="58.5" customHeight="1" x14ac:dyDescent="0.25">
      <c r="A8479" s="5" t="str">
        <f>"H0038280"</f>
        <v>H0038280</v>
      </c>
      <c r="B8479" s="5" t="str">
        <f t="shared" si="431"/>
        <v>UNIDAD DE LLAMADO DE ENFERMERIA PARA BAÑO CON CORDON TIRADOR. RESISTENTE A SALPICADURAS DE AGUA Y LUZ INDICADORA DE PULSACIÓN</v>
      </c>
      <c r="C8479" s="6">
        <v>529400</v>
      </c>
      <c r="D8479" s="5" t="s">
        <v>143</v>
      </c>
      <c r="E8479" s="5" t="str">
        <f t="shared" si="427"/>
        <v>URGENCIAS ADULTO-Jenny Peña</v>
      </c>
      <c r="F8479" s="5"/>
      <c r="G8479" s="5"/>
    </row>
    <row r="8480" spans="1:7" ht="58.5" customHeight="1" x14ac:dyDescent="0.25">
      <c r="A8480" s="5" t="str">
        <f>"H0038281"</f>
        <v>H0038281</v>
      </c>
      <c r="B8480" s="5" t="str">
        <f t="shared" si="431"/>
        <v>UNIDAD DE LLAMADO DE ENFERMERIA PARA BAÑO CON CORDON TIRADOR. RESISTENTE A SALPICADURAS DE AGUA Y LUZ INDICADORA DE PULSACIÓN</v>
      </c>
      <c r="C8480" s="6">
        <v>529400</v>
      </c>
      <c r="D8480" s="5" t="s">
        <v>143</v>
      </c>
      <c r="E8480" s="5" t="str">
        <f t="shared" si="427"/>
        <v>URGENCIAS ADULTO-Jenny Peña</v>
      </c>
      <c r="F8480" s="5"/>
      <c r="G8480" s="5"/>
    </row>
    <row r="8481" spans="1:7" ht="58.5" customHeight="1" x14ac:dyDescent="0.25">
      <c r="A8481" s="5" t="str">
        <f>"H0038282"</f>
        <v>H0038282</v>
      </c>
      <c r="B8481" s="5" t="str">
        <f t="shared" si="431"/>
        <v>UNIDAD DE LLAMADO DE ENFERMERIA PARA BAÑO CON CORDON TIRADOR. RESISTENTE A SALPICADURAS DE AGUA Y LUZ INDICADORA DE PULSACIÓN</v>
      </c>
      <c r="C8481" s="6">
        <v>529400</v>
      </c>
      <c r="D8481" s="5" t="s">
        <v>143</v>
      </c>
      <c r="E8481" s="5" t="str">
        <f t="shared" si="427"/>
        <v>URGENCIAS ADULTO-Jenny Peña</v>
      </c>
      <c r="F8481" s="5"/>
      <c r="G8481" s="5"/>
    </row>
    <row r="8482" spans="1:7" ht="58.5" customHeight="1" x14ac:dyDescent="0.25">
      <c r="A8482" s="5" t="str">
        <f>"H0038308"</f>
        <v>H0038308</v>
      </c>
      <c r="B8482" s="5" t="str">
        <f t="shared" si="431"/>
        <v>UNIDAD DE LLAMADO DE ENFERMERIA PARA BAÑO CON CORDON TIRADOR. RESISTENTE A SALPICADURAS DE AGUA Y LUZ INDICADORA DE PULSACIÓN</v>
      </c>
      <c r="C8482" s="6">
        <v>529400</v>
      </c>
      <c r="D8482" s="5" t="s">
        <v>143</v>
      </c>
      <c r="E8482" s="5" t="str">
        <f t="shared" si="427"/>
        <v>URGENCIAS ADULTO-Jenny Peña</v>
      </c>
      <c r="F8482" s="5"/>
      <c r="G8482" s="5"/>
    </row>
    <row r="8483" spans="1:7" ht="58.5" customHeight="1" x14ac:dyDescent="0.25">
      <c r="A8483" s="5" t="str">
        <f>"H0038309"</f>
        <v>H0038309</v>
      </c>
      <c r="B8483" s="5" t="str">
        <f t="shared" si="431"/>
        <v>UNIDAD DE LLAMADO DE ENFERMERIA PARA BAÑO CON CORDON TIRADOR. RESISTENTE A SALPICADURAS DE AGUA Y LUZ INDICADORA DE PULSACIÓN</v>
      </c>
      <c r="C8483" s="6">
        <v>529400</v>
      </c>
      <c r="D8483" s="5" t="s">
        <v>143</v>
      </c>
      <c r="E8483" s="5" t="str">
        <f t="shared" si="427"/>
        <v>URGENCIAS ADULTO-Jenny Peña</v>
      </c>
      <c r="F8483" s="5"/>
      <c r="G8483" s="5"/>
    </row>
    <row r="8484" spans="1:7" ht="58.5" customHeight="1" x14ac:dyDescent="0.25">
      <c r="A8484" s="5" t="str">
        <f>"H0038310"</f>
        <v>H0038310</v>
      </c>
      <c r="B8484" s="5" t="str">
        <f t="shared" si="431"/>
        <v>UNIDAD DE LLAMADO DE ENFERMERIA PARA BAÑO CON CORDON TIRADOR. RESISTENTE A SALPICADURAS DE AGUA Y LUZ INDICADORA DE PULSACIÓN</v>
      </c>
      <c r="C8484" s="6">
        <v>529400</v>
      </c>
      <c r="D8484" s="5" t="s">
        <v>143</v>
      </c>
      <c r="E8484" s="5" t="str">
        <f t="shared" si="427"/>
        <v>URGENCIAS ADULTO-Jenny Peña</v>
      </c>
      <c r="F8484" s="5"/>
      <c r="G8484" s="5"/>
    </row>
    <row r="8485" spans="1:7" ht="58.5" customHeight="1" x14ac:dyDescent="0.25">
      <c r="A8485" s="5" t="str">
        <f>"H0038311"</f>
        <v>H0038311</v>
      </c>
      <c r="B8485" s="5" t="str">
        <f t="shared" si="431"/>
        <v>UNIDAD DE LLAMADO DE ENFERMERIA PARA BAÑO CON CORDON TIRADOR. RESISTENTE A SALPICADURAS DE AGUA Y LUZ INDICADORA DE PULSACIÓN</v>
      </c>
      <c r="C8485" s="6">
        <v>529400</v>
      </c>
      <c r="D8485" s="5" t="s">
        <v>143</v>
      </c>
      <c r="E8485" s="5" t="str">
        <f t="shared" si="427"/>
        <v>URGENCIAS ADULTO-Jenny Peña</v>
      </c>
      <c r="F8485" s="5"/>
      <c r="G8485" s="5"/>
    </row>
    <row r="8486" spans="1:7" ht="58.5" customHeight="1" x14ac:dyDescent="0.25">
      <c r="A8486" s="5" t="str">
        <f>"H0038312"</f>
        <v>H0038312</v>
      </c>
      <c r="B8486" s="5" t="str">
        <f t="shared" si="431"/>
        <v>UNIDAD DE LLAMADO DE ENFERMERIA PARA BAÑO CON CORDON TIRADOR. RESISTENTE A SALPICADURAS DE AGUA Y LUZ INDICADORA DE PULSACIÓN</v>
      </c>
      <c r="C8486" s="6">
        <v>529400</v>
      </c>
      <c r="D8486" s="5" t="s">
        <v>143</v>
      </c>
      <c r="E8486" s="5" t="str">
        <f t="shared" si="427"/>
        <v>URGENCIAS ADULTO-Jenny Peña</v>
      </c>
      <c r="F8486" s="5"/>
      <c r="G8486" s="5"/>
    </row>
    <row r="8487" spans="1:7" ht="58.5" customHeight="1" x14ac:dyDescent="0.25">
      <c r="A8487" s="5" t="str">
        <f>"H0010416"</f>
        <v>H0010416</v>
      </c>
      <c r="B8487" s="5" t="str">
        <f>"DESFRIBILADOR"</f>
        <v>DESFRIBILADOR</v>
      </c>
      <c r="C8487" s="6">
        <v>14539017</v>
      </c>
      <c r="D8487" s="5" t="s">
        <v>497</v>
      </c>
      <c r="E8487" s="5" t="str">
        <f t="shared" ref="E8487:E8492" si="432">"URGENCIAS ADULTO-YENI ESPERANZA PENA GUERRERO"</f>
        <v>URGENCIAS ADULTO-YENI ESPERANZA PENA GUERRERO</v>
      </c>
      <c r="F8487" s="5" t="str">
        <f>"Descripcion: DESFIBRILADOR MONITOR DE ONDA BIFASICA CON MONITOREO MULTIPARAMETRICO. CON RANGO DE DESCARGA MAXIMA ENTRE 200J A 270J O SPERIOR. Para desfibrilacion manual y modo semiautomatico (modo DEA), cardioversion y monitoreo continuo integrado. Con sl"&amp; "elector de n Estado: Bueno Placa anterior: 000036493 Material: PLASTICO Color: BLANCO Y GRIS Referencia:  Observacion:  Placa padre: Tipo adquisicion: Donacion"</f>
        <v>Descripcion: DESFIBRILADOR MONITOR DE ONDA BIFASICA CON MONITOREO MULTIPARAMETRICO. CON RANGO DE DESCARGA MAXIMA ENTRE 200J A 270J O SPERIOR. Para desfibrilacion manual y modo semiautomatico (modo DEA), cardioversion y monitoreo continuo integrado. Con slelector de n Estado: Bueno Placa anterior: 000036493 Material: PLASTICO Color: BLANCO Y GRIS Referencia:  Observacion:  Placa padre: Tipo adquisicion: Donacion</v>
      </c>
      <c r="G8487" s="5" t="str">
        <f>"BENEHEART D3"</f>
        <v>BENEHEART D3</v>
      </c>
    </row>
    <row r="8488" spans="1:7" ht="58.5" customHeight="1" x14ac:dyDescent="0.25">
      <c r="A8488" s="5" t="str">
        <f>"H0020973"</f>
        <v>H0020973</v>
      </c>
      <c r="B8488" s="5"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C8488" s="6">
        <v>226200</v>
      </c>
      <c r="D8488" s="5" t="s">
        <v>498</v>
      </c>
      <c r="E8488" s="5" t="str">
        <f t="shared" si="432"/>
        <v>URGENCIAS ADULTO-YENI ESPERANZA PENA GUERRERO</v>
      </c>
      <c r="F8488" s="5"/>
      <c r="G8488" s="5"/>
    </row>
    <row r="8489" spans="1:7" ht="58.5" customHeight="1" x14ac:dyDescent="0.25">
      <c r="A8489" s="5" t="str">
        <f>"H0020975"</f>
        <v>H0020975</v>
      </c>
      <c r="B8489" s="5"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C8489" s="6">
        <v>226200</v>
      </c>
      <c r="D8489" s="5" t="s">
        <v>498</v>
      </c>
      <c r="E8489" s="5" t="str">
        <f t="shared" si="432"/>
        <v>URGENCIAS ADULTO-YENI ESPERANZA PENA GUERRERO</v>
      </c>
      <c r="F8489" s="5"/>
      <c r="G8489" s="5"/>
    </row>
    <row r="8490" spans="1:7" ht="58.5" customHeight="1" x14ac:dyDescent="0.25">
      <c r="A8490" s="5" t="str">
        <f>"H0020976"</f>
        <v>H0020976</v>
      </c>
      <c r="B8490" s="5" t="str">
        <f>"SILLAS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C8490" s="6">
        <v>226200</v>
      </c>
      <c r="D8490" s="5" t="s">
        <v>498</v>
      </c>
      <c r="E8490" s="5" t="str">
        <f t="shared" si="432"/>
        <v>URGENCIAS ADULTO-YENI ESPERANZA PENA GUERRERO</v>
      </c>
      <c r="F8490" s="5"/>
      <c r="G8490" s="5"/>
    </row>
    <row r="8491" spans="1:7" ht="58.5" customHeight="1" x14ac:dyDescent="0.25">
      <c r="A8491" s="5" t="str">
        <f>"H0028779"</f>
        <v>H0028779</v>
      </c>
      <c r="B8491" s="5" t="str">
        <f>"SILLA HERGONOMICA CON SISTEMA HIDRAULICO"</f>
        <v>SILLA HERGONOMICA CON SISTEMA HIDRAULICO</v>
      </c>
      <c r="C8491" s="6">
        <v>174900</v>
      </c>
      <c r="D8491" s="5" t="s">
        <v>39</v>
      </c>
      <c r="E8491" s="5" t="str">
        <f t="shared" si="432"/>
        <v>URGENCIAS ADULTO-YENI ESPERANZA PENA GUERRERO</v>
      </c>
      <c r="F8491" s="5"/>
      <c r="G8491" s="5"/>
    </row>
    <row r="8492" spans="1:7" ht="58.5" customHeight="1" x14ac:dyDescent="0.25">
      <c r="A8492" s="5" t="str">
        <f>"H0038040"</f>
        <v>H0038040</v>
      </c>
      <c r="B8492" s="5" t="str">
        <f>"SILLA GERENTE NIZA MEC. BASCULANTE CON BRAZOS."</f>
        <v>SILLA GERENTE NIZA MEC. BASCULANTE CON BRAZOS.</v>
      </c>
      <c r="C8492" s="6">
        <v>710000.01</v>
      </c>
      <c r="D8492" s="5" t="s">
        <v>30</v>
      </c>
      <c r="E8492" s="5" t="str">
        <f t="shared" si="432"/>
        <v>URGENCIAS ADULTO-YENI ESPERANZA PENA GUERRERO</v>
      </c>
      <c r="F8492" s="5"/>
      <c r="G8492" s="5"/>
    </row>
    <row r="8493" spans="1:7" ht="58.5" customHeight="1" x14ac:dyDescent="0.25">
      <c r="A8493" s="5" t="str">
        <f>"H0000188"</f>
        <v>H0000188</v>
      </c>
      <c r="B8493" s="5" t="str">
        <f>"ESCRITORIO METALICO 2 GAVETAS"</f>
        <v>ESCRITORIO METALICO 2 GAVETAS</v>
      </c>
      <c r="C8493" s="6">
        <v>73473</v>
      </c>
      <c r="D8493" s="5"/>
      <c r="E8493" s="5" t="str">
        <f t="shared" ref="E8493:E8556" si="433">"CARPA COVID AZUL-YENI ESPERANZA PEÑA GUERRERO(ZONA EXPANCION)"</f>
        <v>CARPA COVID AZUL-YENI ESPERANZA PEÑA GUERRERO(ZONA EXPANCION)</v>
      </c>
      <c r="F8493" s="5" t="str">
        <f>"Descripcion: ESCRITORIO METALICO DE 2 GAVETAS MEDIDAS: 74.5X112X64CM Estado: Bueno Placa anterior: 000002871 Material: METALICO CON MESON EN FORMICA Color: GRIS CON BLANCO Referencia:  Observacion:  Placa padre: Tipo adquisicion: Entidad"</f>
        <v>Descripcion: ESCRITORIO METALICO DE 2 GAVETAS MEDIDAS: 74.5X112X64CM Estado: Bueno Placa anterior: 000002871 Material: METALICO CON MESON EN FORMICA Color: GRIS CON BLANCO Referencia:  Observacion:  Placa padre: Tipo adquisicion: Entidad</v>
      </c>
      <c r="G8493" s="5"/>
    </row>
    <row r="8494" spans="1:7" ht="58.5" customHeight="1" x14ac:dyDescent="0.25">
      <c r="A8494" s="5" t="str">
        <f>"H0002689"</f>
        <v>H0002689</v>
      </c>
      <c r="B8494" s="5" t="str">
        <f>"COMPUTADOR PORTATIL"</f>
        <v>COMPUTADOR PORTATIL</v>
      </c>
      <c r="C8494" s="6">
        <v>2250000</v>
      </c>
      <c r="D8494" s="5"/>
      <c r="E8494" s="5" t="str">
        <f t="shared" si="433"/>
        <v>CARPA COVID AZUL-YENI ESPERANZA PEÑA GUERRERO(ZONA EXPANCION)</v>
      </c>
      <c r="F8494" s="5" t="str">
        <f>"Descripcion:PC PORTATIL CON PROCESADOR 15 500gb DISCO DURO 4GB EN MEMORIA RAM Estado: Excelente Placa anterior: 000037044 Material: PASTA Color: NEGRO Referencia:  Observacion: PANTALLA DE 14 , PROCESADOR INTEL CORE i5 Placa padre:  Tipo adquisicion : Ent"&amp; "idad"</f>
        <v>Descripcion:PC PORTATIL CON PROCESADOR 15 500gb DISCO DURO 4GB EN MEMORIA RAM Estado: Excelente Placa anterior: 000037044 Material: PASTA Color: NEGRO Referencia:  Observacion: PANTALLA DE 14 , PROCESADOR INTEL CORE i5 Placa padre:  Tipo adquisicion : Entidad</v>
      </c>
      <c r="G8494" s="5" t="str">
        <f>"CB0505084E"</f>
        <v>CB0505084E</v>
      </c>
    </row>
    <row r="8495" spans="1:7" ht="58.5" customHeight="1" x14ac:dyDescent="0.25">
      <c r="A8495" s="5" t="str">
        <f>"H0002910"</f>
        <v>H0002910</v>
      </c>
      <c r="B8495" s="5" t="str">
        <f>"MESA (CARRO) DE CURACIONES"</f>
        <v>MESA (CARRO) DE CURACIONES</v>
      </c>
      <c r="C8495" s="6">
        <v>7800</v>
      </c>
      <c r="D8495" s="5"/>
      <c r="E8495" s="5" t="str">
        <f t="shared" si="433"/>
        <v>CARPA COVID AZUL-YENI ESPERANZA PEÑA GUERRERO(ZONA EXPANCION)</v>
      </c>
      <c r="F8495" s="5" t="str">
        <f>"Descripcion: MESA PARA TINTO CON RODACHINES Estado: Bueno Placa anterior: 000001182 Material: BANDEJA EN ACERO Y METAL Color: GRIS Referencia:  Observacion: MESA 2 BANDEJAS, CON RUEDAS, ES UN CARRO DE CURACIONES PERO SE ESTÁ UTILIZANDO COMO MESA PARA OFIC"&amp; "INA Placa padre: Tipo adquisicion: Entidad"</f>
        <v>Descripcion: MESA PARA TINTO CON RODACHINES Estado: Bueno Placa anterior: 000001182 Material: BANDEJA EN ACERO Y METAL Color: GRIS Referencia:  Observacion: MESA 2 BANDEJAS, CON RUEDAS, ES UN CARRO DE CURACIONES PERO SE ESTÁ UTILIZANDO COMO MESA PARA OFICINA Placa padre: Tipo adquisicion: Entidad</v>
      </c>
      <c r="G8495" s="5"/>
    </row>
    <row r="8496" spans="1:7" ht="58.5" customHeight="1" x14ac:dyDescent="0.25">
      <c r="A8496" s="5" t="str">
        <f>"H0005150"</f>
        <v>H0005150</v>
      </c>
      <c r="B8496" s="5" t="str">
        <f>"MESA DE NOCHE"</f>
        <v>MESA DE NOCHE</v>
      </c>
      <c r="C8496" s="6">
        <v>8389.33</v>
      </c>
      <c r="D8496" s="5"/>
      <c r="E8496" s="5" t="str">
        <f t="shared" si="433"/>
        <v>CARPA COVID AZUL-YENI ESPERANZA PEÑA GUERRERO(ZONA EXPANCION)</v>
      </c>
      <c r="F8496" s="5" t="str">
        <f>"Descripcion: . Estado: Bueno Placa anterior: 000027318 Material: ACERO INOXIDABLE Color:  Referencia:  Observacion: EL BIEN TIENE PLACA ANTERIOR  000028883, AUTORIZADO CONCILIAR EN CRUCE GENERAL Placa padre: Tipo adquisicion: Entidad"</f>
        <v>Descripcion: . Estado: Bueno Placa anterior: 000027318 Material: ACERO INOXIDABLE Color:  Referencia:  Observacion: EL BIEN TIENE PLACA ANTERIOR  000028883, AUTORIZADO CONCILIAR EN CRUCE GENERAL Placa padre: Tipo adquisicion: Entidad</v>
      </c>
      <c r="G8496" s="5"/>
    </row>
    <row r="8497" spans="1:7" ht="58.5" customHeight="1" x14ac:dyDescent="0.25">
      <c r="A8497" s="5" t="str">
        <f>"H0006078"</f>
        <v>H0006078</v>
      </c>
      <c r="B8497" s="5" t="str">
        <f>"VITRINA DE 1 CUERPO"</f>
        <v>VITRINA DE 1 CUERPO</v>
      </c>
      <c r="C8497" s="6">
        <v>6875</v>
      </c>
      <c r="D8497" s="5"/>
      <c r="E8497" s="5" t="str">
        <f t="shared" si="433"/>
        <v>CARPA COVID AZUL-YENI ESPERANZA PEÑA GUERRERO(ZONA EXPANCION)</v>
      </c>
      <c r="F8497" s="5" t="str">
        <f>"Descripcion: VITRINA DE UN CUERPO, METALICA 2 PUERTAS 1 GAVETA Estado: Bueno Placa anterior: 000001327 Material: METALICA Color: GRIS Referencia:  Observacion:  Placa padre: Tipo adquisicion: Entidad"</f>
        <v>Descripcion: VITRINA DE UN CUERPO, METALICA 2 PUERTAS 1 GAVETA Estado: Bueno Placa anterior: 000001327 Material: METALICA Color: GRIS Referencia:  Observacion:  Placa padre: Tipo adquisicion: Entidad</v>
      </c>
      <c r="G8497" s="5"/>
    </row>
    <row r="8498" spans="1:7" ht="58.5" customHeight="1" x14ac:dyDescent="0.25">
      <c r="A8498" s="5" t="str">
        <f>"H0006717"</f>
        <v>H0006717</v>
      </c>
      <c r="B8498" s="5" t="str">
        <f>"ESCALERILLA DE 2 PASOS"</f>
        <v>ESCALERILLA DE 2 PASOS</v>
      </c>
      <c r="C8498" s="6">
        <v>120000</v>
      </c>
      <c r="D8498" s="5"/>
      <c r="E8498" s="5" t="str">
        <f t="shared" si="433"/>
        <v>CARPA COVID AZUL-YENI ESPERANZA PEÑA GUERRERO(ZONA EXPANCION)</v>
      </c>
      <c r="F8498" s="5" t="str">
        <f>"Descripcion:ESCALERILLA DE DOS PASOS Estado: Excelente Placa anterior: 000037818 Material: METAL Y PASOS EN MADERA Color: BLANCO Y NEGRO Referencia:  Observacion:  Placa padre:  Tipo adquisicion : Entidad"</f>
        <v>Descripcion:ESCALERILLA DE DOS PASOS Estado: Excelente Placa anterior: 000037818 Material: METAL Y PASOS EN MADERA Color: BLANCO Y NEGRO Referencia:  Observacion:  Placa padre:  Tipo adquisicion : Entidad</v>
      </c>
      <c r="G8498" s="5"/>
    </row>
    <row r="8499" spans="1:7" ht="58.5" customHeight="1" x14ac:dyDescent="0.25">
      <c r="A8499" s="5" t="str">
        <f>"H0006718"</f>
        <v>H0006718</v>
      </c>
      <c r="B8499" s="5" t="str">
        <f>"ESCALERILLA DE 2 PASOS"</f>
        <v>ESCALERILLA DE 2 PASOS</v>
      </c>
      <c r="C8499" s="6">
        <v>120000</v>
      </c>
      <c r="D8499" s="5"/>
      <c r="E8499" s="5" t="str">
        <f t="shared" si="433"/>
        <v>CARPA COVID AZUL-YENI ESPERANZA PEÑA GUERRERO(ZONA EXPANCION)</v>
      </c>
      <c r="F8499" s="5" t="str">
        <f>"Descripcion:ESCALERILLA DE DOS PASOS Estado: Excelente Placa anterior: 000037819 Material: METAL Y PASOS EN MADERA Color: BLANCO Y NEGRO Referencia:  Observacion:  Placa padre:  Tipo adquisicion : Entidad"</f>
        <v>Descripcion:ESCALERILLA DE DOS PASOS Estado: Excelente Placa anterior: 000037819 Material: METAL Y PASOS EN MADERA Color: BLANCO Y NEGRO Referencia:  Observacion:  Placa padre:  Tipo adquisicion : Entidad</v>
      </c>
      <c r="G8499" s="5"/>
    </row>
    <row r="8500" spans="1:7" ht="58.5" customHeight="1" x14ac:dyDescent="0.25">
      <c r="A8500" s="5" t="str">
        <f>"H0008893"</f>
        <v>H0008893</v>
      </c>
      <c r="B8500" s="5" t="str">
        <f>"VITRINA DE 2 CUERPOS"</f>
        <v>VITRINA DE 2 CUERPOS</v>
      </c>
      <c r="C8500" s="6">
        <v>42323.27</v>
      </c>
      <c r="D8500" s="5"/>
      <c r="E8500" s="5" t="str">
        <f t="shared" si="433"/>
        <v>CARPA COVID AZUL-YENI ESPERANZA PEÑA GUERRERO(ZONA EXPANCION)</v>
      </c>
      <c r="F8500" s="5" t="str">
        <f>"Descripcion: VITRINA DE 2 CUERPOS (4 PUERTAS 2 GAVETAS) MEDIDAS: 160X120X40CM Estado: Bueno Placa anterior: 000008447 Material: METALICO, VIDRIO Color: GRIS Referencia:  Observacion:  Placa padre: Tipo adquisicion: Entidad"</f>
        <v>Descripcion: VITRINA DE 2 CUERPOS (4 PUERTAS 2 GAVETAS) MEDIDAS: 160X120X40CM Estado: Bueno Placa anterior: 000008447 Material: METALICO, VIDRIO Color: GRIS Referencia:  Observacion:  Placa padre: Tipo adquisicion: Entidad</v>
      </c>
      <c r="G8500" s="5"/>
    </row>
    <row r="8501" spans="1:7" ht="58.5" customHeight="1" x14ac:dyDescent="0.25">
      <c r="A8501" s="5" t="str">
        <f>"H0011836"</f>
        <v>H0011836</v>
      </c>
      <c r="B8501" s="5" t="str">
        <f>"ESCRITORIO DE MADERA 3 GAVETAS"</f>
        <v>ESCRITORIO DE MADERA 3 GAVETAS</v>
      </c>
      <c r="C8501" s="6">
        <v>22000</v>
      </c>
      <c r="D8501" s="5"/>
      <c r="E8501" s="5" t="str">
        <f t="shared" si="433"/>
        <v>CARPA COVID AZUL-YENI ESPERANZA PEÑA GUERRERO(ZONA EXPANCION)</v>
      </c>
      <c r="F8501" s="5" t="str">
        <f>"Descripcion: MESA ESCRITORIO 3 GAVETAS Estado: Bueno Placa anterior: 000014818 Material: METAL Y MADERA Color: MARRON Y GRIS Referencia:  Observacion: BUEN ESTADO, EL BIEN TIENE PLACA 000001594 FUNCIONARIO AUTORIZA SE CONCILIE CON PLACA 000014818 Placa pa"&amp; "dre: Tipo adquisicion: Entidad"</f>
        <v>Descripcion: MESA ESCRITORIO 3 GAVETAS Estado: Bueno Placa anterior: 000014818 Material: METAL Y MADERA Color: MARRON Y GRIS Referencia:  Observacion: BUEN ESTADO, EL BIEN TIENE PLACA 000001594 FUNCIONARIO AUTORIZA SE CONCILIE CON PLACA 000014818 Placa padre: Tipo adquisicion: Entidad</v>
      </c>
      <c r="G8501" s="5"/>
    </row>
    <row r="8502" spans="1:7" ht="58.5" customHeight="1" x14ac:dyDescent="0.25">
      <c r="A8502" s="5" t="str">
        <f>"H0015886"</f>
        <v>H0015886</v>
      </c>
      <c r="B8502" s="5" t="str">
        <f>"ESCALERILLA DE 2 PASOS"</f>
        <v>ESCALERILLA DE 2 PASOS</v>
      </c>
      <c r="C8502" s="6">
        <v>120000</v>
      </c>
      <c r="D8502" s="5"/>
      <c r="E8502" s="5" t="str">
        <f t="shared" si="433"/>
        <v>CARPA COVID AZUL-YENI ESPERANZA PEÑA GUERRERO(ZONA EXPANCION)</v>
      </c>
      <c r="F8502" s="5" t="str">
        <f>"Descripcion:ESCALERILLA DE DOS PASOS Estado: Excelente Placa anterior: 000037808 Material: METAL Y MADERA Color: BLANCO Y NEGRO Referencia:  Observacion:  Placa padre:  Tipo adquisicion : Entidad"</f>
        <v>Descripcion:ESCALERILLA DE DOS PASOS Estado: Excelente Placa anterior: 000037808 Material: METAL Y MADERA Color: BLANCO Y NEGRO Referencia:  Observacion:  Placa padre:  Tipo adquisicion : Entidad</v>
      </c>
      <c r="G8502" s="5" t="str">
        <f>"7565"</f>
        <v>7565</v>
      </c>
    </row>
    <row r="8503" spans="1:7" ht="58.5" customHeight="1" x14ac:dyDescent="0.25">
      <c r="A8503" s="5" t="str">
        <f>"H0015887"</f>
        <v>H0015887</v>
      </c>
      <c r="B8503" s="5" t="str">
        <f>"ESCALERILLA DE 2 PASOS"</f>
        <v>ESCALERILLA DE 2 PASOS</v>
      </c>
      <c r="C8503" s="6">
        <v>120000</v>
      </c>
      <c r="D8503" s="5"/>
      <c r="E8503" s="5" t="str">
        <f t="shared" si="433"/>
        <v>CARPA COVID AZUL-YENI ESPERANZA PEÑA GUERRERO(ZONA EXPANCION)</v>
      </c>
      <c r="F8503" s="5" t="str">
        <f>"Descripcion:ESCALERILLA DE DOS PASOS Estado: Excelente Placa anterior: 000037807 Material: METAL Y MADERA Color: BLANCO Y NEGRO Referencia:  Observacion:  Placa padre:  Tipo adquisicion : Entidad"</f>
        <v>Descripcion:ESCALERILLA DE DOS PASOS Estado: Excelente Placa anterior: 000037807 Material: METAL Y MADERA Color: BLANCO Y NEGRO Referencia:  Observacion:  Placa padre:  Tipo adquisicion : Entidad</v>
      </c>
      <c r="G8503" s="5" t="str">
        <f>"7565"</f>
        <v>7565</v>
      </c>
    </row>
    <row r="8504" spans="1:7" ht="58.5" customHeight="1" x14ac:dyDescent="0.25">
      <c r="A8504" s="5" t="str">
        <f>"H0017982"</f>
        <v>H0017982</v>
      </c>
      <c r="B8504" s="5" t="str">
        <f>"SILLON (SOFA)"</f>
        <v>SILLON (SOFA)</v>
      </c>
      <c r="C8504" s="6">
        <v>21400</v>
      </c>
      <c r="D8504" s="5"/>
      <c r="E8504" s="5" t="str">
        <f t="shared" si="433"/>
        <v>CARPA COVID AZUL-YENI ESPERANZA PEÑA GUERRERO(ZONA EXPANCION)</v>
      </c>
      <c r="F8504" s="5" t="str">
        <f>"Descripcion: SOFA  Estado: Bueno Placa anterior: 000028134 Material: CUERO Color: NEGRO Referencia:  Observacion:  Placa padre: Tipo adquisicion: Entidad"</f>
        <v>Descripcion: SOFA  Estado: Bueno Placa anterior: 000028134 Material: CUERO Color: NEGRO Referencia:  Observacion:  Placa padre: Tipo adquisicion: Entidad</v>
      </c>
      <c r="G8504" s="5"/>
    </row>
    <row r="8505" spans="1:7" ht="58.5" customHeight="1" x14ac:dyDescent="0.25">
      <c r="A8505" s="5" t="str">
        <f>"H0018845"</f>
        <v>H0018845</v>
      </c>
      <c r="B8505" s="5" t="str">
        <f>"ESTANTE METALICO 6 ENTREPAÑOS"</f>
        <v>ESTANTE METALICO 6 ENTREPAÑOS</v>
      </c>
      <c r="C8505" s="6">
        <v>24714.18</v>
      </c>
      <c r="D8505" s="5"/>
      <c r="E8505" s="5" t="str">
        <f t="shared" si="433"/>
        <v>CARPA COVID AZUL-YENI ESPERANZA PEÑA GUERRERO(ZONA EXPANCION)</v>
      </c>
      <c r="F8505" s="5" t="str">
        <f>"Descripcion:ESTANTE METALICO DE 6 ENTREPAÑOS Estado: Bueno Placa anterior: 000021233 Material: METALICO Color: GRIS Referencia:  Observacion:  Placa padre:  Tipo adquisicion : Entidad"</f>
        <v>Descripcion:ESTANTE METALICO DE 6 ENTREPAÑOS Estado: Bueno Placa anterior: 000021233 Material: METALICO Color: GRIS Referencia:  Observacion:  Placa padre:  Tipo adquisicion : Entidad</v>
      </c>
      <c r="G8505" s="5"/>
    </row>
    <row r="8506" spans="1:7" ht="58.5" customHeight="1" x14ac:dyDescent="0.25">
      <c r="A8506" s="5" t="str">
        <f>"H0018916"</f>
        <v>H0018916</v>
      </c>
      <c r="B8506" s="5" t="str">
        <f>"NEVERA DE 66 LTS"</f>
        <v>NEVERA DE 66 LTS</v>
      </c>
      <c r="C8506" s="6">
        <v>425150</v>
      </c>
      <c r="D8506" s="5"/>
      <c r="E8506" s="5" t="str">
        <f t="shared" si="433"/>
        <v>CARPA COVID AZUL-YENI ESPERANZA PEÑA GUERRERO(ZONA EXPANCION)</v>
      </c>
      <c r="F8506" s="5" t="str">
        <f>"Descripcion: NEVERA MCA PHILIPS ESTANDAR Estado: Bueno Placa anterior: 000002198 Material: METALICO Color: CREMA Referencia:  Observacion:  Placa padre: Tipo adquisicion: Entidad"</f>
        <v>Descripcion: NEVERA MCA PHILIPS ESTANDAR Estado: Bueno Placa anterior: 000002198 Material: METALICO Color: CREMA Referencia:  Observacion:  Placa padre: Tipo adquisicion: Entidad</v>
      </c>
      <c r="G8506" s="5"/>
    </row>
    <row r="8507" spans="1:7" ht="58.5" customHeight="1" x14ac:dyDescent="0.25">
      <c r="A8507" s="5" t="str">
        <f>"H0022164"</f>
        <v>H0022164</v>
      </c>
      <c r="B850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8507" s="6">
        <v>241999.99</v>
      </c>
      <c r="D8507" s="5" t="s">
        <v>499</v>
      </c>
      <c r="E8507" s="5" t="str">
        <f t="shared" si="433"/>
        <v>CARPA COVID AZUL-YENI ESPERANZA PEÑA GUERRERO(ZONA EXPANCION)</v>
      </c>
      <c r="F8507" s="5"/>
      <c r="G8507" s="5"/>
    </row>
    <row r="8508" spans="1:7" ht="58.5" customHeight="1" x14ac:dyDescent="0.25">
      <c r="A8508" s="5" t="str">
        <f>"H0022170"</f>
        <v>H0022170</v>
      </c>
      <c r="B850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8508" s="6">
        <v>241999.99</v>
      </c>
      <c r="D8508" s="5" t="s">
        <v>499</v>
      </c>
      <c r="E8508" s="5" t="str">
        <f t="shared" si="433"/>
        <v>CARPA COVID AZUL-YENI ESPERANZA PEÑA GUERRERO(ZONA EXPANCION)</v>
      </c>
      <c r="F8508" s="5"/>
      <c r="G8508" s="5"/>
    </row>
    <row r="8509" spans="1:7" ht="58.5" customHeight="1" x14ac:dyDescent="0.25">
      <c r="A8509" s="5" t="str">
        <f>"H0024259"</f>
        <v>H0024259</v>
      </c>
      <c r="B8509" s="5" t="str">
        <f>"CAMA ELECTRICA ADULTOS"</f>
        <v>CAMA ELECTRICA ADULTOS</v>
      </c>
      <c r="C8509" s="6">
        <v>5746930</v>
      </c>
      <c r="D8509" s="5" t="s">
        <v>36</v>
      </c>
      <c r="E8509" s="5" t="str">
        <f t="shared" si="433"/>
        <v>CARPA COVID AZUL-YENI ESPERANZA PEÑA GUERRERO(ZONA EXPANCION)</v>
      </c>
      <c r="F8509" s="5"/>
      <c r="G8509" s="5"/>
    </row>
    <row r="8510" spans="1:7" ht="58.5" customHeight="1" x14ac:dyDescent="0.25">
      <c r="A8510" s="5" t="str">
        <f>"H0024620"</f>
        <v>H0024620</v>
      </c>
      <c r="B8510"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8510" s="6">
        <v>2050000</v>
      </c>
      <c r="D8510" s="5" t="s">
        <v>36</v>
      </c>
      <c r="E8510" s="5" t="str">
        <f t="shared" si="433"/>
        <v>CARPA COVID AZUL-YENI ESPERANZA PEÑA GUERRERO(ZONA EXPANCION)</v>
      </c>
      <c r="F8510" s="5"/>
      <c r="G8510" s="5"/>
    </row>
    <row r="8511" spans="1:7" ht="58.5" customHeight="1" x14ac:dyDescent="0.25">
      <c r="A8511" s="5" t="str">
        <f>"H0025548"</f>
        <v>H0025548</v>
      </c>
      <c r="B8511" s="5" t="str">
        <f>"MESA DE MAYO EN ACERO INOXIDABLE- MAFET"</f>
        <v>MESA DE MAYO EN ACERO INOXIDABLE- MAFET</v>
      </c>
      <c r="C8511" s="6">
        <v>213000.33</v>
      </c>
      <c r="D8511" s="5" t="s">
        <v>66</v>
      </c>
      <c r="E8511" s="5" t="str">
        <f t="shared" si="433"/>
        <v>CARPA COVID AZUL-YENI ESPERANZA PEÑA GUERRERO(ZONA EXPANCION)</v>
      </c>
      <c r="F8511" s="5"/>
      <c r="G8511" s="5"/>
    </row>
    <row r="8512" spans="1:7" ht="58.5" customHeight="1" x14ac:dyDescent="0.25">
      <c r="A8512" s="5" t="str">
        <f>"H0025549"</f>
        <v>H0025549</v>
      </c>
      <c r="B8512" s="5" t="str">
        <f>"MESA DE MAYO EN ACERO INOXIDABLE- MAFET"</f>
        <v>MESA DE MAYO EN ACERO INOXIDABLE- MAFET</v>
      </c>
      <c r="C8512" s="6">
        <v>213000.33</v>
      </c>
      <c r="D8512" s="5" t="s">
        <v>66</v>
      </c>
      <c r="E8512" s="5" t="str">
        <f t="shared" si="433"/>
        <v>CARPA COVID AZUL-YENI ESPERANZA PEÑA GUERRERO(ZONA EXPANCION)</v>
      </c>
      <c r="F8512" s="5"/>
      <c r="G8512" s="5"/>
    </row>
    <row r="8513" spans="1:7" ht="58.5" customHeight="1" x14ac:dyDescent="0.25">
      <c r="A8513" s="5" t="str">
        <f>"H0026050"</f>
        <v>H0026050</v>
      </c>
      <c r="B8513" s="5" t="str">
        <f>"SILLA DE RUEDAS"</f>
        <v>SILLA DE RUEDAS</v>
      </c>
      <c r="C8513" s="6">
        <v>280000</v>
      </c>
      <c r="D8513" s="5" t="s">
        <v>77</v>
      </c>
      <c r="E8513" s="5" t="str">
        <f t="shared" si="433"/>
        <v>CARPA COVID AZUL-YENI ESPERANZA PEÑA GUERRERO(ZONA EXPANCION)</v>
      </c>
      <c r="F8513" s="5"/>
      <c r="G8513" s="5"/>
    </row>
    <row r="8514" spans="1:7" ht="58.5" customHeight="1" x14ac:dyDescent="0.25">
      <c r="A8514" s="5" t="str">
        <f>"H0027015"</f>
        <v>H0027015</v>
      </c>
      <c r="B8514" s="5" t="str">
        <f>"BASE PARA MONITOR DE SIGNOS VITALES"</f>
        <v>BASE PARA MONITOR DE SIGNOS VITALES</v>
      </c>
      <c r="C8514" s="6">
        <v>809200</v>
      </c>
      <c r="D8514" s="5" t="s">
        <v>80</v>
      </c>
      <c r="E8514" s="5" t="str">
        <f t="shared" si="433"/>
        <v>CARPA COVID AZUL-YENI ESPERANZA PEÑA GUERRERO(ZONA EXPANCION)</v>
      </c>
      <c r="F8514" s="5"/>
      <c r="G8514" s="5"/>
    </row>
    <row r="8515" spans="1:7" ht="58.5" customHeight="1" x14ac:dyDescent="0.25">
      <c r="A8515" s="5" t="str">
        <f>"H0027303"</f>
        <v>H0027303</v>
      </c>
      <c r="B8515" s="5" t="str">
        <f>"BASE PARA MONITOR DE SIGNOS VITALES"</f>
        <v>BASE PARA MONITOR DE SIGNOS VITALES</v>
      </c>
      <c r="C8515" s="6">
        <v>809200</v>
      </c>
      <c r="D8515" s="5" t="s">
        <v>269</v>
      </c>
      <c r="E8515" s="5" t="str">
        <f t="shared" si="433"/>
        <v>CARPA COVID AZUL-YENI ESPERANZA PEÑA GUERRERO(ZONA EXPANCION)</v>
      </c>
      <c r="F8515" s="5"/>
      <c r="G8515" s="5"/>
    </row>
    <row r="8516" spans="1:7" ht="58.5" customHeight="1" x14ac:dyDescent="0.25">
      <c r="A8516" s="5" t="str">
        <f>"H0027393"</f>
        <v>H0027393</v>
      </c>
      <c r="B8516" s="5" t="str">
        <f>"ESCALERILLA DE 2 PASOS"</f>
        <v>ESCALERILLA DE 2 PASOS</v>
      </c>
      <c r="C8516" s="6">
        <v>55000</v>
      </c>
      <c r="D8516" s="5" t="s">
        <v>84</v>
      </c>
      <c r="E8516" s="5" t="str">
        <f t="shared" si="433"/>
        <v>CARPA COVID AZUL-YENI ESPERANZA PEÑA GUERRERO(ZONA EXPANCION)</v>
      </c>
      <c r="F8516" s="5"/>
      <c r="G8516" s="5"/>
    </row>
    <row r="8517" spans="1:7" ht="58.5" customHeight="1" x14ac:dyDescent="0.25">
      <c r="A8517" s="5" t="str">
        <f>"H0027399"</f>
        <v>H0027399</v>
      </c>
      <c r="B8517" s="5" t="str">
        <f>"ESCALERILLA DE 2 PASOS"</f>
        <v>ESCALERILLA DE 2 PASOS</v>
      </c>
      <c r="C8517" s="6">
        <v>55000</v>
      </c>
      <c r="D8517" s="5" t="s">
        <v>84</v>
      </c>
      <c r="E8517" s="5" t="str">
        <f t="shared" si="433"/>
        <v>CARPA COVID AZUL-YENI ESPERANZA PEÑA GUERRERO(ZONA EXPANCION)</v>
      </c>
      <c r="F8517" s="5"/>
      <c r="G8517" s="5"/>
    </row>
    <row r="8518" spans="1:7" ht="58.5" customHeight="1" x14ac:dyDescent="0.25">
      <c r="A8518" s="5" t="str">
        <f>"H0027400"</f>
        <v>H0027400</v>
      </c>
      <c r="B8518" s="5" t="str">
        <f>"ESCALERILLA DE 2 PASOS"</f>
        <v>ESCALERILLA DE 2 PASOS</v>
      </c>
      <c r="C8518" s="6">
        <v>55000</v>
      </c>
      <c r="D8518" s="5" t="s">
        <v>84</v>
      </c>
      <c r="E8518" s="5" t="str">
        <f t="shared" si="433"/>
        <v>CARPA COVID AZUL-YENI ESPERANZA PEÑA GUERRERO(ZONA EXPANCION)</v>
      </c>
      <c r="F8518" s="5"/>
      <c r="G8518" s="5"/>
    </row>
    <row r="8519" spans="1:7" ht="58.5" customHeight="1" x14ac:dyDescent="0.25">
      <c r="A8519" s="5" t="str">
        <f>"H0027601"</f>
        <v>H0027601</v>
      </c>
      <c r="B8519" s="5" t="str">
        <f>"LARINGOSCOPIO ADULTO"</f>
        <v>LARINGOSCOPIO ADULTO</v>
      </c>
      <c r="C8519" s="6">
        <v>913920</v>
      </c>
      <c r="D8519" s="5" t="s">
        <v>84</v>
      </c>
      <c r="E8519" s="5" t="str">
        <f t="shared" si="433"/>
        <v>CARPA COVID AZUL-YENI ESPERANZA PEÑA GUERRERO(ZONA EXPANCION)</v>
      </c>
      <c r="F8519" s="5"/>
      <c r="G8519" s="5"/>
    </row>
    <row r="8520" spans="1:7" ht="58.5" customHeight="1" x14ac:dyDescent="0.25">
      <c r="A8520" s="5" t="str">
        <f>"H0027604"</f>
        <v>H0027604</v>
      </c>
      <c r="B8520" s="5" t="str">
        <f>"LARINGOSCOPIO ADULTO"</f>
        <v>LARINGOSCOPIO ADULTO</v>
      </c>
      <c r="C8520" s="6">
        <v>913920</v>
      </c>
      <c r="D8520" s="5" t="s">
        <v>84</v>
      </c>
      <c r="E8520" s="5" t="str">
        <f t="shared" si="433"/>
        <v>CARPA COVID AZUL-YENI ESPERANZA PEÑA GUERRERO(ZONA EXPANCION)</v>
      </c>
      <c r="F8520" s="5"/>
      <c r="G8520" s="5"/>
    </row>
    <row r="8521" spans="1:7" ht="58.5" customHeight="1" x14ac:dyDescent="0.25">
      <c r="A8521" s="5" t="str">
        <f>"H0028384"</f>
        <v>H0028384</v>
      </c>
      <c r="B8521" s="5" t="str">
        <f>"SILLA RECLINOMATICA"</f>
        <v>SILLA RECLINOMATICA</v>
      </c>
      <c r="C8521" s="6">
        <v>899999.97</v>
      </c>
      <c r="D8521" s="5" t="s">
        <v>152</v>
      </c>
      <c r="E8521" s="5" t="str">
        <f t="shared" si="433"/>
        <v>CARPA COVID AZUL-YENI ESPERANZA PEÑA GUERRERO(ZONA EXPANCION)</v>
      </c>
      <c r="F8521" s="5"/>
      <c r="G8521" s="5"/>
    </row>
    <row r="8522" spans="1:7" ht="58.5" customHeight="1" x14ac:dyDescent="0.25">
      <c r="A8522" s="5" t="str">
        <f>"H0028460"</f>
        <v>H0028460</v>
      </c>
      <c r="B8522" s="5" t="str">
        <f>"SILLA RECLINOMATICA"</f>
        <v>SILLA RECLINOMATICA</v>
      </c>
      <c r="C8522" s="6">
        <v>900000</v>
      </c>
      <c r="D8522" s="5" t="s">
        <v>188</v>
      </c>
      <c r="E8522" s="5" t="str">
        <f t="shared" si="433"/>
        <v>CARPA COVID AZUL-YENI ESPERANZA PEÑA GUERRERO(ZONA EXPANCION)</v>
      </c>
      <c r="F8522" s="5"/>
      <c r="G8522" s="5"/>
    </row>
    <row r="8523" spans="1:7" ht="58.5" customHeight="1" x14ac:dyDescent="0.25">
      <c r="A8523" s="5" t="str">
        <f>"H0028465"</f>
        <v>H0028465</v>
      </c>
      <c r="B8523" s="5" t="str">
        <f>"SILLA RECLINOMATICA"</f>
        <v>SILLA RECLINOMATICA</v>
      </c>
      <c r="C8523" s="6">
        <v>900000</v>
      </c>
      <c r="D8523" s="5" t="s">
        <v>188</v>
      </c>
      <c r="E8523" s="5" t="str">
        <f t="shared" si="433"/>
        <v>CARPA COVID AZUL-YENI ESPERANZA PEÑA GUERRERO(ZONA EXPANCION)</v>
      </c>
      <c r="F8523" s="5"/>
      <c r="G8523" s="5"/>
    </row>
    <row r="8524" spans="1:7" ht="58.5" customHeight="1" x14ac:dyDescent="0.25">
      <c r="A8524" s="5" t="str">
        <f>"H0029153"</f>
        <v>H0029153</v>
      </c>
      <c r="B852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8524" s="6">
        <v>2902000</v>
      </c>
      <c r="D8524" s="5" t="s">
        <v>13</v>
      </c>
      <c r="E8524" s="5" t="str">
        <f t="shared" si="433"/>
        <v>CARPA COVID AZUL-YENI ESPERANZA PEÑA GUERRERO(ZONA EXPANCION)</v>
      </c>
      <c r="F8524" s="5"/>
      <c r="G8524" s="5"/>
    </row>
    <row r="8525" spans="1:7" ht="58.5" customHeight="1" x14ac:dyDescent="0.25">
      <c r="A8525" s="5" t="str">
        <f>"H0029166"</f>
        <v>H0029166</v>
      </c>
      <c r="B8525" s="5" t="str">
        <f>"MONITOR DE SIGNOS VITALES"</f>
        <v>MONITOR DE SIGNOS VITALES</v>
      </c>
      <c r="C8525" s="6">
        <v>5950000</v>
      </c>
      <c r="D8525" s="5" t="s">
        <v>13</v>
      </c>
      <c r="E8525" s="5" t="str">
        <f t="shared" si="433"/>
        <v>CARPA COVID AZUL-YENI ESPERANZA PEÑA GUERRERO(ZONA EXPANCION)</v>
      </c>
      <c r="F8525" s="5"/>
      <c r="G8525" s="5"/>
    </row>
    <row r="8526" spans="1:7" ht="58.5" customHeight="1" x14ac:dyDescent="0.25">
      <c r="A8526" s="5" t="str">
        <f>"H0029192"</f>
        <v>H0029192</v>
      </c>
      <c r="B8526" s="5" t="str">
        <f>"MONITOR DE SIGNOS VITALES"</f>
        <v>MONITOR DE SIGNOS VITALES</v>
      </c>
      <c r="C8526" s="6">
        <v>5950000</v>
      </c>
      <c r="D8526" s="5" t="s">
        <v>13</v>
      </c>
      <c r="E8526" s="5" t="str">
        <f t="shared" si="433"/>
        <v>CARPA COVID AZUL-YENI ESPERANZA PEÑA GUERRERO(ZONA EXPANCION)</v>
      </c>
      <c r="F8526" s="5"/>
      <c r="G8526" s="5"/>
    </row>
    <row r="8527" spans="1:7" ht="58.5" customHeight="1" x14ac:dyDescent="0.25">
      <c r="A8527" s="5" t="str">
        <f>"H0029215"</f>
        <v>H0029215</v>
      </c>
      <c r="B8527" s="5" t="str">
        <f>"CARRO DE TRANSPORTE UNIVERSAL PARA ELECTROBISTURI/ ELECTROCARDIOGRAFO"</f>
        <v>CARRO DE TRANSPORTE UNIVERSAL PARA ELECTROBISTURI/ ELECTROCARDIOGRAFO</v>
      </c>
      <c r="C8527" s="6">
        <v>902500.83</v>
      </c>
      <c r="D8527" s="5" t="s">
        <v>223</v>
      </c>
      <c r="E8527" s="5" t="str">
        <f t="shared" si="433"/>
        <v>CARPA COVID AZUL-YENI ESPERANZA PEÑA GUERRERO(ZONA EXPANCION)</v>
      </c>
      <c r="F8527" s="5"/>
      <c r="G8527" s="5"/>
    </row>
    <row r="8528" spans="1:7" ht="58.5" customHeight="1" x14ac:dyDescent="0.25">
      <c r="A8528" s="5" t="str">
        <f>"H0029218"</f>
        <v>H0029218</v>
      </c>
      <c r="B8528" s="5" t="str">
        <f>"CARRO DE TRANSPORTE UNIVERSAL PARA ELECTROBISTURI/ ELECTROCARDIOGRAFO"</f>
        <v>CARRO DE TRANSPORTE UNIVERSAL PARA ELECTROBISTURI/ ELECTROCARDIOGRAFO</v>
      </c>
      <c r="C8528" s="6">
        <v>902500.83</v>
      </c>
      <c r="D8528" s="5" t="s">
        <v>223</v>
      </c>
      <c r="E8528" s="5" t="str">
        <f t="shared" si="433"/>
        <v>CARPA COVID AZUL-YENI ESPERANZA PEÑA GUERRERO(ZONA EXPANCION)</v>
      </c>
      <c r="F8528" s="5"/>
      <c r="G8528" s="5"/>
    </row>
    <row r="8529" spans="1:7" ht="58.5" customHeight="1" x14ac:dyDescent="0.25">
      <c r="A8529" s="5" t="str">
        <f>"H0030045"</f>
        <v>H0030045</v>
      </c>
      <c r="B8529" s="5" t="str">
        <f t="shared" ref="B8529:B8536" si="434">"SILLA RECLINOMATICA"</f>
        <v>SILLA RECLINOMATICA</v>
      </c>
      <c r="C8529" s="6">
        <v>1065050</v>
      </c>
      <c r="D8529" s="5" t="s">
        <v>97</v>
      </c>
      <c r="E8529" s="5" t="str">
        <f t="shared" si="433"/>
        <v>CARPA COVID AZUL-YENI ESPERANZA PEÑA GUERRERO(ZONA EXPANCION)</v>
      </c>
      <c r="F8529" s="5"/>
      <c r="G8529" s="5"/>
    </row>
    <row r="8530" spans="1:7" ht="58.5" customHeight="1" x14ac:dyDescent="0.25">
      <c r="A8530" s="5" t="str">
        <f>"H0030055"</f>
        <v>H0030055</v>
      </c>
      <c r="B8530" s="5" t="str">
        <f t="shared" si="434"/>
        <v>SILLA RECLINOMATICA</v>
      </c>
      <c r="C8530" s="6">
        <v>1065050</v>
      </c>
      <c r="D8530" s="5" t="s">
        <v>98</v>
      </c>
      <c r="E8530" s="5" t="str">
        <f t="shared" si="433"/>
        <v>CARPA COVID AZUL-YENI ESPERANZA PEÑA GUERRERO(ZONA EXPANCION)</v>
      </c>
      <c r="F8530" s="5"/>
      <c r="G8530" s="5"/>
    </row>
    <row r="8531" spans="1:7" ht="58.5" customHeight="1" x14ac:dyDescent="0.25">
      <c r="A8531" s="5" t="str">
        <f>"H0030062"</f>
        <v>H0030062</v>
      </c>
      <c r="B8531" s="5" t="str">
        <f t="shared" si="434"/>
        <v>SILLA RECLINOMATICA</v>
      </c>
      <c r="C8531" s="6">
        <v>1065050</v>
      </c>
      <c r="D8531" s="5" t="s">
        <v>98</v>
      </c>
      <c r="E8531" s="5" t="str">
        <f t="shared" si="433"/>
        <v>CARPA COVID AZUL-YENI ESPERANZA PEÑA GUERRERO(ZONA EXPANCION)</v>
      </c>
      <c r="F8531" s="5"/>
      <c r="G8531" s="5"/>
    </row>
    <row r="8532" spans="1:7" ht="58.5" customHeight="1" x14ac:dyDescent="0.25">
      <c r="A8532" s="5" t="str">
        <f>"H0030064"</f>
        <v>H0030064</v>
      </c>
      <c r="B8532" s="5" t="str">
        <f t="shared" si="434"/>
        <v>SILLA RECLINOMATICA</v>
      </c>
      <c r="C8532" s="6">
        <v>1065050</v>
      </c>
      <c r="D8532" s="5" t="s">
        <v>98</v>
      </c>
      <c r="E8532" s="5" t="str">
        <f t="shared" si="433"/>
        <v>CARPA COVID AZUL-YENI ESPERANZA PEÑA GUERRERO(ZONA EXPANCION)</v>
      </c>
      <c r="F8532" s="5"/>
      <c r="G8532" s="5"/>
    </row>
    <row r="8533" spans="1:7" ht="58.5" customHeight="1" x14ac:dyDescent="0.25">
      <c r="A8533" s="5" t="str">
        <f>"H0030071"</f>
        <v>H0030071</v>
      </c>
      <c r="B8533" s="5" t="str">
        <f t="shared" si="434"/>
        <v>SILLA RECLINOMATICA</v>
      </c>
      <c r="C8533" s="6">
        <v>1065050</v>
      </c>
      <c r="D8533" s="5" t="s">
        <v>98</v>
      </c>
      <c r="E8533" s="5" t="str">
        <f t="shared" si="433"/>
        <v>CARPA COVID AZUL-YENI ESPERANZA PEÑA GUERRERO(ZONA EXPANCION)</v>
      </c>
      <c r="F8533" s="5"/>
      <c r="G8533" s="5"/>
    </row>
    <row r="8534" spans="1:7" ht="58.5" customHeight="1" x14ac:dyDescent="0.25">
      <c r="A8534" s="5" t="str">
        <f>"H0030081"</f>
        <v>H0030081</v>
      </c>
      <c r="B8534" s="5" t="str">
        <f t="shared" si="434"/>
        <v>SILLA RECLINOMATICA</v>
      </c>
      <c r="C8534" s="6">
        <v>1065050</v>
      </c>
      <c r="D8534" s="5" t="s">
        <v>99</v>
      </c>
      <c r="E8534" s="5" t="str">
        <f t="shared" si="433"/>
        <v>CARPA COVID AZUL-YENI ESPERANZA PEÑA GUERRERO(ZONA EXPANCION)</v>
      </c>
      <c r="F8534" s="5"/>
      <c r="G8534" s="5"/>
    </row>
    <row r="8535" spans="1:7" ht="58.5" customHeight="1" x14ac:dyDescent="0.25">
      <c r="A8535" s="5" t="str">
        <f>"H0030083"</f>
        <v>H0030083</v>
      </c>
      <c r="B8535" s="5" t="str">
        <f t="shared" si="434"/>
        <v>SILLA RECLINOMATICA</v>
      </c>
      <c r="C8535" s="6">
        <v>1065050</v>
      </c>
      <c r="D8535" s="5" t="s">
        <v>99</v>
      </c>
      <c r="E8535" s="5" t="str">
        <f t="shared" si="433"/>
        <v>CARPA COVID AZUL-YENI ESPERANZA PEÑA GUERRERO(ZONA EXPANCION)</v>
      </c>
      <c r="F8535" s="5"/>
      <c r="G8535" s="5"/>
    </row>
    <row r="8536" spans="1:7" ht="58.5" customHeight="1" x14ac:dyDescent="0.25">
      <c r="A8536" s="5" t="str">
        <f>"H0030086"</f>
        <v>H0030086</v>
      </c>
      <c r="B8536" s="5" t="str">
        <f t="shared" si="434"/>
        <v>SILLA RECLINOMATICA</v>
      </c>
      <c r="C8536" s="6">
        <v>1065050</v>
      </c>
      <c r="D8536" s="5" t="s">
        <v>99</v>
      </c>
      <c r="E8536" s="5" t="str">
        <f t="shared" si="433"/>
        <v>CARPA COVID AZUL-YENI ESPERANZA PEÑA GUERRERO(ZONA EXPANCION)</v>
      </c>
      <c r="F8536" s="5"/>
      <c r="G8536" s="5"/>
    </row>
    <row r="8537" spans="1:7" ht="58.5" customHeight="1" x14ac:dyDescent="0.25">
      <c r="A8537" s="5" t="str">
        <f>"H0031498"</f>
        <v>H0031498</v>
      </c>
      <c r="B853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8537" s="6">
        <v>3209500</v>
      </c>
      <c r="D8537" s="5" t="s">
        <v>16</v>
      </c>
      <c r="E8537" s="5" t="str">
        <f t="shared" si="433"/>
        <v>CARPA COVID AZUL-YENI ESPERANZA PEÑA GUERRERO(ZONA EXPANCION)</v>
      </c>
      <c r="F8537" s="5"/>
      <c r="G8537" s="5"/>
    </row>
    <row r="8538" spans="1:7" ht="58.5" customHeight="1" x14ac:dyDescent="0.25">
      <c r="A8538" s="5" t="str">
        <f>"H0031701"</f>
        <v>H0031701</v>
      </c>
      <c r="B8538" s="5" t="str">
        <f>"MESA RIÑONERA"</f>
        <v>MESA RIÑONERA</v>
      </c>
      <c r="C8538" s="6">
        <v>928200</v>
      </c>
      <c r="D8538" s="5" t="s">
        <v>156</v>
      </c>
      <c r="E8538" s="5" t="str">
        <f t="shared" si="433"/>
        <v>CARPA COVID AZUL-YENI ESPERANZA PEÑA GUERRERO(ZONA EXPANCION)</v>
      </c>
      <c r="F8538" s="5"/>
      <c r="G8538" s="5"/>
    </row>
    <row r="8539" spans="1:7" ht="58.5" customHeight="1" x14ac:dyDescent="0.25">
      <c r="A8539" s="5" t="str">
        <f>"H0031762"</f>
        <v>H0031762</v>
      </c>
      <c r="B8539" s="5" t="str">
        <f>"DISPENSADOR DE AGUA SIST. DE FILTRADO K-WDLL15 (CODIGO DONACION)"</f>
        <v>DISPENSADOR DE AGUA SIST. DE FILTRADO K-WDLL15 (CODIGO DONACION)</v>
      </c>
      <c r="C8539" s="6">
        <v>440000</v>
      </c>
      <c r="D8539" s="5" t="s">
        <v>500</v>
      </c>
      <c r="E8539" s="5" t="str">
        <f t="shared" si="433"/>
        <v>CARPA COVID AZUL-YENI ESPERANZA PEÑA GUERRERO(ZONA EXPANCION)</v>
      </c>
      <c r="F8539" s="5"/>
      <c r="G8539" s="5"/>
    </row>
    <row r="8540" spans="1:7" ht="58.5" customHeight="1" x14ac:dyDescent="0.25">
      <c r="A8540" s="5" t="str">
        <f>"H0031866"</f>
        <v>H0031866</v>
      </c>
      <c r="B8540" s="5" t="str">
        <f>"SOPORTE PEDESTAL MONITOR"</f>
        <v>SOPORTE PEDESTAL MONITOR</v>
      </c>
      <c r="C8540" s="6">
        <v>1140020</v>
      </c>
      <c r="D8540" s="5" t="s">
        <v>320</v>
      </c>
      <c r="E8540" s="5" t="str">
        <f t="shared" si="433"/>
        <v>CARPA COVID AZUL-YENI ESPERANZA PEÑA GUERRERO(ZONA EXPANCION)</v>
      </c>
      <c r="F8540" s="5"/>
      <c r="G8540" s="5"/>
    </row>
    <row r="8541" spans="1:7" ht="58.5" customHeight="1" x14ac:dyDescent="0.25">
      <c r="A8541" s="5" t="str">
        <f>"H0031869"</f>
        <v>H0031869</v>
      </c>
      <c r="B8541" s="5" t="str">
        <f>"SOPORTE PEDESTAL MONITOR"</f>
        <v>SOPORTE PEDESTAL MONITOR</v>
      </c>
      <c r="C8541" s="6">
        <v>1140020</v>
      </c>
      <c r="D8541" s="5" t="s">
        <v>320</v>
      </c>
      <c r="E8541" s="5" t="str">
        <f t="shared" si="433"/>
        <v>CARPA COVID AZUL-YENI ESPERANZA PEÑA GUERRERO(ZONA EXPANCION)</v>
      </c>
      <c r="F8541" s="5"/>
      <c r="G8541" s="5"/>
    </row>
    <row r="8542" spans="1:7" ht="58.5" customHeight="1" x14ac:dyDescent="0.25">
      <c r="A8542" s="5" t="str">
        <f>"h0031943"</f>
        <v>h0031943</v>
      </c>
      <c r="B8542" s="5" t="str">
        <f>"BOMBA DE INFUSION"</f>
        <v>BOMBA DE INFUSION</v>
      </c>
      <c r="C8542" s="6">
        <v>1900000</v>
      </c>
      <c r="D8542" s="5" t="s">
        <v>107</v>
      </c>
      <c r="E8542" s="5" t="str">
        <f t="shared" si="433"/>
        <v>CARPA COVID AZUL-YENI ESPERANZA PEÑA GUERRERO(ZONA EXPANCION)</v>
      </c>
      <c r="F8542" s="5"/>
      <c r="G8542" s="5"/>
    </row>
    <row r="8543" spans="1:7" ht="58.5" customHeight="1" x14ac:dyDescent="0.25">
      <c r="A8543" s="5" t="str">
        <f>"H0032007"</f>
        <v>H0032007</v>
      </c>
      <c r="B8543" s="5" t="str">
        <f>"CARRO COMPRESERO CROMADO"</f>
        <v>CARRO COMPRESERO CROMADO</v>
      </c>
      <c r="C8543" s="6">
        <v>217651</v>
      </c>
      <c r="D8543" s="5" t="s">
        <v>109</v>
      </c>
      <c r="E8543" s="5" t="str">
        <f t="shared" si="433"/>
        <v>CARPA COVID AZUL-YENI ESPERANZA PEÑA GUERRERO(ZONA EXPANCION)</v>
      </c>
      <c r="F8543" s="5"/>
      <c r="G8543" s="5"/>
    </row>
    <row r="8544" spans="1:7" ht="58.5" customHeight="1" x14ac:dyDescent="0.25">
      <c r="A8544" s="5" t="str">
        <f>"h0032008"</f>
        <v>h0032008</v>
      </c>
      <c r="B8544" s="5" t="str">
        <f>"CARRO COMPRESERO CROMADO"</f>
        <v>CARRO COMPRESERO CROMADO</v>
      </c>
      <c r="C8544" s="6">
        <v>217651</v>
      </c>
      <c r="D8544" s="5" t="s">
        <v>109</v>
      </c>
      <c r="E8544" s="5" t="str">
        <f t="shared" si="433"/>
        <v>CARPA COVID AZUL-YENI ESPERANZA PEÑA GUERRERO(ZONA EXPANCION)</v>
      </c>
      <c r="F8544" s="5"/>
      <c r="G8544" s="5"/>
    </row>
    <row r="8545" spans="1:7" ht="58.5" customHeight="1" x14ac:dyDescent="0.25">
      <c r="A8545" s="5" t="str">
        <f>"H0032009"</f>
        <v>H0032009</v>
      </c>
      <c r="B8545" s="5" t="str">
        <f>"CARRO COMPRESERO CROMADO"</f>
        <v>CARRO COMPRESERO CROMADO</v>
      </c>
      <c r="C8545" s="6">
        <v>217651</v>
      </c>
      <c r="D8545" s="5" t="s">
        <v>109</v>
      </c>
      <c r="E8545" s="5" t="str">
        <f t="shared" si="433"/>
        <v>CARPA COVID AZUL-YENI ESPERANZA PEÑA GUERRERO(ZONA EXPANCION)</v>
      </c>
      <c r="F8545" s="5"/>
      <c r="G8545" s="5"/>
    </row>
    <row r="8546" spans="1:7" ht="58.5" customHeight="1" x14ac:dyDescent="0.25">
      <c r="A8546" s="5" t="str">
        <f>"H0032010"</f>
        <v>H0032010</v>
      </c>
      <c r="B8546" s="5" t="str">
        <f>"CARRO COMPRESERO CROMADO"</f>
        <v>CARRO COMPRESERO CROMADO</v>
      </c>
      <c r="C8546" s="6">
        <v>217651</v>
      </c>
      <c r="D8546" s="5" t="s">
        <v>109</v>
      </c>
      <c r="E8546" s="5" t="str">
        <f t="shared" si="433"/>
        <v>CARPA COVID AZUL-YENI ESPERANZA PEÑA GUERRERO(ZONA EXPANCION)</v>
      </c>
      <c r="F8546" s="5"/>
      <c r="G8546" s="5"/>
    </row>
    <row r="8547" spans="1:7" ht="58.5" customHeight="1" x14ac:dyDescent="0.25">
      <c r="A8547" s="5" t="str">
        <f>"H0032018"</f>
        <v>H0032018</v>
      </c>
      <c r="B8547" s="5" t="str">
        <f t="shared" ref="B8547:B8555" si="435">"CUBETA EN ACERO INOXIDABLE SIN TAPA PARA EQUIPO DE RAQUIDEA 23*12 C20"</f>
        <v>CUBETA EN ACERO INOXIDABLE SIN TAPA PARA EQUIPO DE RAQUIDEA 23*12 C20</v>
      </c>
      <c r="C8547" s="6">
        <v>23562</v>
      </c>
      <c r="D8547" s="5" t="s">
        <v>109</v>
      </c>
      <c r="E8547" s="5" t="str">
        <f t="shared" si="433"/>
        <v>CARPA COVID AZUL-YENI ESPERANZA PEÑA GUERRERO(ZONA EXPANCION)</v>
      </c>
      <c r="F8547" s="5"/>
      <c r="G8547" s="5"/>
    </row>
    <row r="8548" spans="1:7" ht="58.5" customHeight="1" x14ac:dyDescent="0.25">
      <c r="A8548" s="5" t="str">
        <f>"H0032019"</f>
        <v>H0032019</v>
      </c>
      <c r="B8548" s="5" t="str">
        <f t="shared" si="435"/>
        <v>CUBETA EN ACERO INOXIDABLE SIN TAPA PARA EQUIPO DE RAQUIDEA 23*12 C20</v>
      </c>
      <c r="C8548" s="6">
        <v>23562</v>
      </c>
      <c r="D8548" s="5" t="s">
        <v>109</v>
      </c>
      <c r="E8548" s="5" t="str">
        <f t="shared" si="433"/>
        <v>CARPA COVID AZUL-YENI ESPERANZA PEÑA GUERRERO(ZONA EXPANCION)</v>
      </c>
      <c r="F8548" s="5"/>
      <c r="G8548" s="5"/>
    </row>
    <row r="8549" spans="1:7" ht="58.5" customHeight="1" x14ac:dyDescent="0.25">
      <c r="A8549" s="5" t="str">
        <f>"H0032020"</f>
        <v>H0032020</v>
      </c>
      <c r="B8549" s="5" t="str">
        <f t="shared" si="435"/>
        <v>CUBETA EN ACERO INOXIDABLE SIN TAPA PARA EQUIPO DE RAQUIDEA 23*12 C20</v>
      </c>
      <c r="C8549" s="6">
        <v>23562</v>
      </c>
      <c r="D8549" s="5" t="s">
        <v>109</v>
      </c>
      <c r="E8549" s="5" t="str">
        <f t="shared" si="433"/>
        <v>CARPA COVID AZUL-YENI ESPERANZA PEÑA GUERRERO(ZONA EXPANCION)</v>
      </c>
      <c r="F8549" s="5"/>
      <c r="G8549" s="5"/>
    </row>
    <row r="8550" spans="1:7" ht="58.5" customHeight="1" x14ac:dyDescent="0.25">
      <c r="A8550" s="5" t="str">
        <f>"H0032021"</f>
        <v>H0032021</v>
      </c>
      <c r="B8550" s="5" t="str">
        <f t="shared" si="435"/>
        <v>CUBETA EN ACERO INOXIDABLE SIN TAPA PARA EQUIPO DE RAQUIDEA 23*12 C20</v>
      </c>
      <c r="C8550" s="6">
        <v>23562</v>
      </c>
      <c r="D8550" s="5" t="s">
        <v>109</v>
      </c>
      <c r="E8550" s="5" t="str">
        <f t="shared" si="433"/>
        <v>CARPA COVID AZUL-YENI ESPERANZA PEÑA GUERRERO(ZONA EXPANCION)</v>
      </c>
      <c r="F8550" s="5"/>
      <c r="G8550" s="5"/>
    </row>
    <row r="8551" spans="1:7" ht="58.5" customHeight="1" x14ac:dyDescent="0.25">
      <c r="A8551" s="5" t="str">
        <f>"H0032030"</f>
        <v>H0032030</v>
      </c>
      <c r="B8551" s="5" t="str">
        <f t="shared" si="435"/>
        <v>CUBETA EN ACERO INOXIDABLE SIN TAPA PARA EQUIPO DE RAQUIDEA 23*12 C20</v>
      </c>
      <c r="C8551" s="6">
        <v>23562</v>
      </c>
      <c r="D8551" s="5" t="s">
        <v>109</v>
      </c>
      <c r="E8551" s="5" t="str">
        <f t="shared" si="433"/>
        <v>CARPA COVID AZUL-YENI ESPERANZA PEÑA GUERRERO(ZONA EXPANCION)</v>
      </c>
      <c r="F8551" s="5"/>
      <c r="G8551" s="5"/>
    </row>
    <row r="8552" spans="1:7" ht="58.5" customHeight="1" x14ac:dyDescent="0.25">
      <c r="A8552" s="5" t="str">
        <f>"h0032032"</f>
        <v>h0032032</v>
      </c>
      <c r="B8552" s="5" t="str">
        <f t="shared" si="435"/>
        <v>CUBETA EN ACERO INOXIDABLE SIN TAPA PARA EQUIPO DE RAQUIDEA 23*12 C20</v>
      </c>
      <c r="C8552" s="6">
        <v>23562</v>
      </c>
      <c r="D8552" s="5" t="s">
        <v>109</v>
      </c>
      <c r="E8552" s="5" t="str">
        <f t="shared" si="433"/>
        <v>CARPA COVID AZUL-YENI ESPERANZA PEÑA GUERRERO(ZONA EXPANCION)</v>
      </c>
      <c r="F8552" s="5"/>
      <c r="G8552" s="5"/>
    </row>
    <row r="8553" spans="1:7" ht="58.5" customHeight="1" x14ac:dyDescent="0.25">
      <c r="A8553" s="5" t="str">
        <f>"h0032033"</f>
        <v>h0032033</v>
      </c>
      <c r="B8553" s="5" t="str">
        <f t="shared" si="435"/>
        <v>CUBETA EN ACERO INOXIDABLE SIN TAPA PARA EQUIPO DE RAQUIDEA 23*12 C20</v>
      </c>
      <c r="C8553" s="6">
        <v>23562</v>
      </c>
      <c r="D8553" s="5" t="s">
        <v>109</v>
      </c>
      <c r="E8553" s="5" t="str">
        <f t="shared" si="433"/>
        <v>CARPA COVID AZUL-YENI ESPERANZA PEÑA GUERRERO(ZONA EXPANCION)</v>
      </c>
      <c r="F8553" s="5"/>
      <c r="G8553" s="5"/>
    </row>
    <row r="8554" spans="1:7" ht="58.5" customHeight="1" x14ac:dyDescent="0.25">
      <c r="A8554" s="5" t="str">
        <f>"H0032035"</f>
        <v>H0032035</v>
      </c>
      <c r="B8554" s="5" t="str">
        <f t="shared" si="435"/>
        <v>CUBETA EN ACERO INOXIDABLE SIN TAPA PARA EQUIPO DE RAQUIDEA 23*12 C20</v>
      </c>
      <c r="C8554" s="6">
        <v>23562</v>
      </c>
      <c r="D8554" s="5" t="s">
        <v>109</v>
      </c>
      <c r="E8554" s="5" t="str">
        <f t="shared" si="433"/>
        <v>CARPA COVID AZUL-YENI ESPERANZA PEÑA GUERRERO(ZONA EXPANCION)</v>
      </c>
      <c r="F8554" s="5"/>
      <c r="G8554" s="5"/>
    </row>
    <row r="8555" spans="1:7" ht="58.5" customHeight="1" x14ac:dyDescent="0.25">
      <c r="A8555" s="5" t="str">
        <f>"H0032038"</f>
        <v>H0032038</v>
      </c>
      <c r="B8555" s="5" t="str">
        <f t="shared" si="435"/>
        <v>CUBETA EN ACERO INOXIDABLE SIN TAPA PARA EQUIPO DE RAQUIDEA 23*12 C20</v>
      </c>
      <c r="C8555" s="6">
        <v>23562</v>
      </c>
      <c r="D8555" s="5" t="s">
        <v>109</v>
      </c>
      <c r="E8555" s="5" t="str">
        <f t="shared" si="433"/>
        <v>CARPA COVID AZUL-YENI ESPERANZA PEÑA GUERRERO(ZONA EXPANCION)</v>
      </c>
      <c r="F8555" s="5"/>
      <c r="G8555" s="5"/>
    </row>
    <row r="8556" spans="1:7" ht="58.5" customHeight="1" x14ac:dyDescent="0.25">
      <c r="A8556" s="5" t="str">
        <f>"H0032215"</f>
        <v>H0032215</v>
      </c>
      <c r="B8556" s="5" t="str">
        <f>"CARPA  9m*3m (DONACION)"</f>
        <v>CARPA  9m*3m (DONACION)</v>
      </c>
      <c r="C8556" s="6">
        <v>14161000</v>
      </c>
      <c r="D8556" s="5" t="s">
        <v>501</v>
      </c>
      <c r="E8556" s="5" t="str">
        <f t="shared" si="433"/>
        <v>CARPA COVID AZUL-YENI ESPERANZA PEÑA GUERRERO(ZONA EXPANCION)</v>
      </c>
      <c r="F8556" s="5"/>
      <c r="G8556" s="5"/>
    </row>
    <row r="8557" spans="1:7" ht="58.5" customHeight="1" x14ac:dyDescent="0.25">
      <c r="A8557" s="5" t="str">
        <f>"H0032263"</f>
        <v>H0032263</v>
      </c>
      <c r="B8557" s="5" t="str">
        <f>"Access Point para EXTERIORES. Montaje en Pared o Techo. 2 puertos 1 Gbps. 3x3 Antenas MIMO 8 dBi. Banda 2.4 GHz a 450 Mbps. Banda 5 GHz a 1300 Mbps. Incluye Inyector POE Original.Para Montaje en Exter"</f>
        <v>Access Point para EXTERIORES. Montaje en Pared o Techo. 2 puertos 1 Gbps. 3x3 Antenas MIMO 8 dBi. Banda 2.4 GHz a 450 Mbps. Banda 5 GHz a 1300 Mbps. Incluye Inyector POE Original.Para Montaje en Exter</v>
      </c>
      <c r="C8557" s="6">
        <v>1204577.5</v>
      </c>
      <c r="D8557" s="5" t="s">
        <v>413</v>
      </c>
      <c r="E8557" s="5" t="str">
        <f t="shared" ref="E8557:E8620" si="436">"CARPA COVID AZUL-YENI ESPERANZA PEÑA GUERRERO(ZONA EXPANCION)"</f>
        <v>CARPA COVID AZUL-YENI ESPERANZA PEÑA GUERRERO(ZONA EXPANCION)</v>
      </c>
      <c r="F8557" s="5"/>
      <c r="G8557" s="5"/>
    </row>
    <row r="8558" spans="1:7" ht="58.5" customHeight="1" x14ac:dyDescent="0.25">
      <c r="A8558" s="5" t="str">
        <f>"H0032264"</f>
        <v>H0032264</v>
      </c>
      <c r="B8558" s="5" t="str">
        <f>"Access Point para EXTERIORES. Montaje en Pared o Techo. 2 puertos 1 Gbps. 3x3 Antenas MIMO 8 dBi. Banda 2.4 GHz a 450 Mbps. Banda 5 GHz a 1300 Mbps. Incluye Inyector POE Original.Para Montaje en Exter"</f>
        <v>Access Point para EXTERIORES. Montaje en Pared o Techo. 2 puertos 1 Gbps. 3x3 Antenas MIMO 8 dBi. Banda 2.4 GHz a 450 Mbps. Banda 5 GHz a 1300 Mbps. Incluye Inyector POE Original.Para Montaje en Exter</v>
      </c>
      <c r="C8558" s="6">
        <v>1204577.5</v>
      </c>
      <c r="D8558" s="5" t="s">
        <v>413</v>
      </c>
      <c r="E8558" s="5" t="str">
        <f t="shared" si="436"/>
        <v>CARPA COVID AZUL-YENI ESPERANZA PEÑA GUERRERO(ZONA EXPANCION)</v>
      </c>
      <c r="F8558" s="5"/>
      <c r="G8558" s="5"/>
    </row>
    <row r="8559" spans="1:7" ht="58.5" customHeight="1" x14ac:dyDescent="0.25">
      <c r="A8559" s="5" t="str">
        <f>"H0032285"</f>
        <v>H0032285</v>
      </c>
      <c r="B8559" s="5" t="str">
        <f>"Escritorio lineal superficie en formica con archivador 3 gabetas (DONACION)"</f>
        <v>Escritorio lineal superficie en formica con archivador 3 gabetas (DONACION)</v>
      </c>
      <c r="C8559" s="6">
        <v>400000</v>
      </c>
      <c r="D8559" s="5" t="s">
        <v>45</v>
      </c>
      <c r="E8559" s="5" t="str">
        <f t="shared" si="436"/>
        <v>CARPA COVID AZUL-YENI ESPERANZA PEÑA GUERRERO(ZONA EXPANCION)</v>
      </c>
      <c r="F8559" s="5"/>
      <c r="G8559" s="5"/>
    </row>
    <row r="8560" spans="1:7" ht="58.5" customHeight="1" x14ac:dyDescent="0.25">
      <c r="A8560" s="5" t="str">
        <f>"H0032288"</f>
        <v>H0032288</v>
      </c>
      <c r="B8560" s="5" t="str">
        <f>"Escritorio lineal superficie en formica con archivador 3 gabetas (DONACION)"</f>
        <v>Escritorio lineal superficie en formica con archivador 3 gabetas (DONACION)</v>
      </c>
      <c r="C8560" s="6">
        <v>400000</v>
      </c>
      <c r="D8560" s="5" t="s">
        <v>45</v>
      </c>
      <c r="E8560" s="5" t="str">
        <f t="shared" si="436"/>
        <v>CARPA COVID AZUL-YENI ESPERANZA PEÑA GUERRERO(ZONA EXPANCION)</v>
      </c>
      <c r="F8560" s="5"/>
      <c r="G8560" s="5"/>
    </row>
    <row r="8561" spans="1:7" ht="58.5" customHeight="1" x14ac:dyDescent="0.25">
      <c r="A8561" s="5" t="str">
        <f>"H0032289"</f>
        <v>H0032289</v>
      </c>
      <c r="B8561" s="5" t="str">
        <f>"Escritorio lineal superficie en formica con archivador 3 gabetas (DONACION)"</f>
        <v>Escritorio lineal superficie en formica con archivador 3 gabetas (DONACION)</v>
      </c>
      <c r="C8561" s="6">
        <v>400000</v>
      </c>
      <c r="D8561" s="5" t="s">
        <v>45</v>
      </c>
      <c r="E8561" s="5" t="str">
        <f t="shared" si="436"/>
        <v>CARPA COVID AZUL-YENI ESPERANZA PEÑA GUERRERO(ZONA EXPANCION)</v>
      </c>
      <c r="F8561" s="5"/>
      <c r="G8561" s="5"/>
    </row>
    <row r="8562" spans="1:7" ht="58.5" customHeight="1" x14ac:dyDescent="0.25">
      <c r="A8562" s="5" t="str">
        <f>"H0032318"</f>
        <v>H0032318</v>
      </c>
      <c r="B8562" s="5" t="str">
        <f t="shared" ref="B8562:B8574" si="437">"SOPORTE PEDESTAL MONITOR"</f>
        <v>SOPORTE PEDESTAL MONITOR</v>
      </c>
      <c r="C8562" s="6">
        <v>1140020</v>
      </c>
      <c r="D8562" s="5" t="s">
        <v>232</v>
      </c>
      <c r="E8562" s="5" t="str">
        <f t="shared" si="436"/>
        <v>CARPA COVID AZUL-YENI ESPERANZA PEÑA GUERRERO(ZONA EXPANCION)</v>
      </c>
      <c r="F8562" s="5"/>
      <c r="G8562" s="5"/>
    </row>
    <row r="8563" spans="1:7" ht="58.5" customHeight="1" x14ac:dyDescent="0.25">
      <c r="A8563" s="5" t="str">
        <f>"H0032320"</f>
        <v>H0032320</v>
      </c>
      <c r="B8563" s="5" t="str">
        <f t="shared" si="437"/>
        <v>SOPORTE PEDESTAL MONITOR</v>
      </c>
      <c r="C8563" s="6">
        <v>1140020</v>
      </c>
      <c r="D8563" s="5" t="s">
        <v>232</v>
      </c>
      <c r="E8563" s="5" t="str">
        <f t="shared" si="436"/>
        <v>CARPA COVID AZUL-YENI ESPERANZA PEÑA GUERRERO(ZONA EXPANCION)</v>
      </c>
      <c r="F8563" s="5"/>
      <c r="G8563" s="5"/>
    </row>
    <row r="8564" spans="1:7" ht="58.5" customHeight="1" x14ac:dyDescent="0.25">
      <c r="A8564" s="5" t="str">
        <f>"H0032321"</f>
        <v>H0032321</v>
      </c>
      <c r="B8564" s="5" t="str">
        <f t="shared" si="437"/>
        <v>SOPORTE PEDESTAL MONITOR</v>
      </c>
      <c r="C8564" s="6">
        <v>1140020</v>
      </c>
      <c r="D8564" s="5" t="s">
        <v>232</v>
      </c>
      <c r="E8564" s="5" t="str">
        <f t="shared" si="436"/>
        <v>CARPA COVID AZUL-YENI ESPERANZA PEÑA GUERRERO(ZONA EXPANCION)</v>
      </c>
      <c r="F8564" s="5"/>
      <c r="G8564" s="5"/>
    </row>
    <row r="8565" spans="1:7" ht="58.5" customHeight="1" x14ac:dyDescent="0.25">
      <c r="A8565" s="5" t="str">
        <f>"H0032322"</f>
        <v>H0032322</v>
      </c>
      <c r="B8565" s="5" t="str">
        <f t="shared" si="437"/>
        <v>SOPORTE PEDESTAL MONITOR</v>
      </c>
      <c r="C8565" s="6">
        <v>1140020</v>
      </c>
      <c r="D8565" s="5" t="s">
        <v>232</v>
      </c>
      <c r="E8565" s="5" t="str">
        <f t="shared" si="436"/>
        <v>CARPA COVID AZUL-YENI ESPERANZA PEÑA GUERRERO(ZONA EXPANCION)</v>
      </c>
      <c r="F8565" s="5"/>
      <c r="G8565" s="5"/>
    </row>
    <row r="8566" spans="1:7" ht="58.5" customHeight="1" x14ac:dyDescent="0.25">
      <c r="A8566" s="5" t="str">
        <f>"H0032323"</f>
        <v>H0032323</v>
      </c>
      <c r="B8566" s="5" t="str">
        <f t="shared" si="437"/>
        <v>SOPORTE PEDESTAL MONITOR</v>
      </c>
      <c r="C8566" s="6">
        <v>1140020</v>
      </c>
      <c r="D8566" s="5" t="s">
        <v>232</v>
      </c>
      <c r="E8566" s="5" t="str">
        <f t="shared" si="436"/>
        <v>CARPA COVID AZUL-YENI ESPERANZA PEÑA GUERRERO(ZONA EXPANCION)</v>
      </c>
      <c r="F8566" s="5"/>
      <c r="G8566" s="5"/>
    </row>
    <row r="8567" spans="1:7" ht="58.5" customHeight="1" x14ac:dyDescent="0.25">
      <c r="A8567" s="5" t="str">
        <f>"H0032324"</f>
        <v>H0032324</v>
      </c>
      <c r="B8567" s="5" t="str">
        <f t="shared" si="437"/>
        <v>SOPORTE PEDESTAL MONITOR</v>
      </c>
      <c r="C8567" s="6">
        <v>1140020</v>
      </c>
      <c r="D8567" s="5" t="s">
        <v>232</v>
      </c>
      <c r="E8567" s="5" t="str">
        <f t="shared" si="436"/>
        <v>CARPA COVID AZUL-YENI ESPERANZA PEÑA GUERRERO(ZONA EXPANCION)</v>
      </c>
      <c r="F8567" s="5"/>
      <c r="G8567" s="5"/>
    </row>
    <row r="8568" spans="1:7" ht="58.5" customHeight="1" x14ac:dyDescent="0.25">
      <c r="A8568" s="5" t="str">
        <f>"H0032325"</f>
        <v>H0032325</v>
      </c>
      <c r="B8568" s="5" t="str">
        <f t="shared" si="437"/>
        <v>SOPORTE PEDESTAL MONITOR</v>
      </c>
      <c r="C8568" s="6">
        <v>1140020</v>
      </c>
      <c r="D8568" s="5" t="s">
        <v>232</v>
      </c>
      <c r="E8568" s="5" t="str">
        <f t="shared" si="436"/>
        <v>CARPA COVID AZUL-YENI ESPERANZA PEÑA GUERRERO(ZONA EXPANCION)</v>
      </c>
      <c r="F8568" s="5"/>
      <c r="G8568" s="5"/>
    </row>
    <row r="8569" spans="1:7" ht="58.5" customHeight="1" x14ac:dyDescent="0.25">
      <c r="A8569" s="5" t="str">
        <f>"H0032326"</f>
        <v>H0032326</v>
      </c>
      <c r="B8569" s="5" t="str">
        <f t="shared" si="437"/>
        <v>SOPORTE PEDESTAL MONITOR</v>
      </c>
      <c r="C8569" s="6">
        <v>1140020</v>
      </c>
      <c r="D8569" s="5" t="s">
        <v>232</v>
      </c>
      <c r="E8569" s="5" t="str">
        <f t="shared" si="436"/>
        <v>CARPA COVID AZUL-YENI ESPERANZA PEÑA GUERRERO(ZONA EXPANCION)</v>
      </c>
      <c r="F8569" s="5"/>
      <c r="G8569" s="5"/>
    </row>
    <row r="8570" spans="1:7" ht="58.5" customHeight="1" x14ac:dyDescent="0.25">
      <c r="A8570" s="5" t="str">
        <f>"H0032328"</f>
        <v>H0032328</v>
      </c>
      <c r="B8570" s="5" t="str">
        <f t="shared" si="437"/>
        <v>SOPORTE PEDESTAL MONITOR</v>
      </c>
      <c r="C8570" s="6">
        <v>1140020</v>
      </c>
      <c r="D8570" s="5" t="s">
        <v>232</v>
      </c>
      <c r="E8570" s="5" t="str">
        <f t="shared" si="436"/>
        <v>CARPA COVID AZUL-YENI ESPERANZA PEÑA GUERRERO(ZONA EXPANCION)</v>
      </c>
      <c r="F8570" s="5"/>
      <c r="G8570" s="5"/>
    </row>
    <row r="8571" spans="1:7" ht="58.5" customHeight="1" x14ac:dyDescent="0.25">
      <c r="A8571" s="5" t="str">
        <f>"H0032331"</f>
        <v>H0032331</v>
      </c>
      <c r="B8571" s="5" t="str">
        <f t="shared" si="437"/>
        <v>SOPORTE PEDESTAL MONITOR</v>
      </c>
      <c r="C8571" s="6">
        <v>1140020</v>
      </c>
      <c r="D8571" s="5" t="s">
        <v>232</v>
      </c>
      <c r="E8571" s="5" t="str">
        <f t="shared" si="436"/>
        <v>CARPA COVID AZUL-YENI ESPERANZA PEÑA GUERRERO(ZONA EXPANCION)</v>
      </c>
      <c r="F8571" s="5"/>
      <c r="G8571" s="5"/>
    </row>
    <row r="8572" spans="1:7" ht="58.5" customHeight="1" x14ac:dyDescent="0.25">
      <c r="A8572" s="5" t="str">
        <f>"H0032333"</f>
        <v>H0032333</v>
      </c>
      <c r="B8572" s="5" t="str">
        <f t="shared" si="437"/>
        <v>SOPORTE PEDESTAL MONITOR</v>
      </c>
      <c r="C8572" s="6">
        <v>1140020</v>
      </c>
      <c r="D8572" s="5" t="s">
        <v>232</v>
      </c>
      <c r="E8572" s="5" t="str">
        <f t="shared" si="436"/>
        <v>CARPA COVID AZUL-YENI ESPERANZA PEÑA GUERRERO(ZONA EXPANCION)</v>
      </c>
      <c r="F8572" s="5"/>
      <c r="G8572" s="5"/>
    </row>
    <row r="8573" spans="1:7" ht="58.5" customHeight="1" x14ac:dyDescent="0.25">
      <c r="A8573" s="5" t="str">
        <f>"H0032334"</f>
        <v>H0032334</v>
      </c>
      <c r="B8573" s="5" t="str">
        <f t="shared" si="437"/>
        <v>SOPORTE PEDESTAL MONITOR</v>
      </c>
      <c r="C8573" s="6">
        <v>1140020</v>
      </c>
      <c r="D8573" s="5" t="s">
        <v>232</v>
      </c>
      <c r="E8573" s="5" t="str">
        <f t="shared" si="436"/>
        <v>CARPA COVID AZUL-YENI ESPERANZA PEÑA GUERRERO(ZONA EXPANCION)</v>
      </c>
      <c r="F8573" s="5"/>
      <c r="G8573" s="5"/>
    </row>
    <row r="8574" spans="1:7" ht="58.5" customHeight="1" x14ac:dyDescent="0.25">
      <c r="A8574" s="5" t="str">
        <f>"H0032337"</f>
        <v>H0032337</v>
      </c>
      <c r="B8574" s="5" t="str">
        <f t="shared" si="437"/>
        <v>SOPORTE PEDESTAL MONITOR</v>
      </c>
      <c r="C8574" s="6">
        <v>1140020</v>
      </c>
      <c r="D8574" s="5" t="s">
        <v>232</v>
      </c>
      <c r="E8574" s="5" t="str">
        <f t="shared" si="436"/>
        <v>CARPA COVID AZUL-YENI ESPERANZA PEÑA GUERRERO(ZONA EXPANCION)</v>
      </c>
      <c r="F8574" s="5"/>
      <c r="G8574" s="5"/>
    </row>
    <row r="8575" spans="1:7" ht="58.5" customHeight="1" x14ac:dyDescent="0.25">
      <c r="A8575" s="5" t="str">
        <f>"H0032402"</f>
        <v>H0032402</v>
      </c>
      <c r="B8575" s="5" t="str">
        <f t="shared" ref="B8575:B8581" si="438">"silla multiproposito (DONACION)"</f>
        <v>silla multiproposito (DONACION)</v>
      </c>
      <c r="C8575" s="6">
        <v>5981376</v>
      </c>
      <c r="D8575" s="5" t="s">
        <v>110</v>
      </c>
      <c r="E8575" s="5" t="str">
        <f t="shared" si="436"/>
        <v>CARPA COVID AZUL-YENI ESPERANZA PEÑA GUERRERO(ZONA EXPANCION)</v>
      </c>
      <c r="F8575" s="5"/>
      <c r="G8575" s="5"/>
    </row>
    <row r="8576" spans="1:7" ht="58.5" customHeight="1" x14ac:dyDescent="0.25">
      <c r="A8576" s="5" t="str">
        <f>"H0032403"</f>
        <v>H0032403</v>
      </c>
      <c r="B8576" s="5" t="str">
        <f t="shared" si="438"/>
        <v>silla multiproposito (DONACION)</v>
      </c>
      <c r="C8576" s="6">
        <v>5981376</v>
      </c>
      <c r="D8576" s="5" t="s">
        <v>110</v>
      </c>
      <c r="E8576" s="5" t="str">
        <f t="shared" si="436"/>
        <v>CARPA COVID AZUL-YENI ESPERANZA PEÑA GUERRERO(ZONA EXPANCION)</v>
      </c>
      <c r="F8576" s="5"/>
      <c r="G8576" s="5"/>
    </row>
    <row r="8577" spans="1:7" ht="58.5" customHeight="1" x14ac:dyDescent="0.25">
      <c r="A8577" s="5" t="str">
        <f>"H0032404"</f>
        <v>H0032404</v>
      </c>
      <c r="B8577" s="5" t="str">
        <f t="shared" si="438"/>
        <v>silla multiproposito (DONACION)</v>
      </c>
      <c r="C8577" s="6">
        <v>5981376</v>
      </c>
      <c r="D8577" s="5" t="s">
        <v>110</v>
      </c>
      <c r="E8577" s="5" t="str">
        <f t="shared" si="436"/>
        <v>CARPA COVID AZUL-YENI ESPERANZA PEÑA GUERRERO(ZONA EXPANCION)</v>
      </c>
      <c r="F8577" s="5"/>
      <c r="G8577" s="5"/>
    </row>
    <row r="8578" spans="1:7" ht="58.5" customHeight="1" x14ac:dyDescent="0.25">
      <c r="A8578" s="5" t="str">
        <f>"H0032405"</f>
        <v>H0032405</v>
      </c>
      <c r="B8578" s="5" t="str">
        <f t="shared" si="438"/>
        <v>silla multiproposito (DONACION)</v>
      </c>
      <c r="C8578" s="6">
        <v>5981376</v>
      </c>
      <c r="D8578" s="5" t="s">
        <v>110</v>
      </c>
      <c r="E8578" s="5" t="str">
        <f t="shared" si="436"/>
        <v>CARPA COVID AZUL-YENI ESPERANZA PEÑA GUERRERO(ZONA EXPANCION)</v>
      </c>
      <c r="F8578" s="5"/>
      <c r="G8578" s="5"/>
    </row>
    <row r="8579" spans="1:7" ht="58.5" customHeight="1" x14ac:dyDescent="0.25">
      <c r="A8579" s="5" t="str">
        <f>"H0032406"</f>
        <v>H0032406</v>
      </c>
      <c r="B8579" s="5" t="str">
        <f t="shared" si="438"/>
        <v>silla multiproposito (DONACION)</v>
      </c>
      <c r="C8579" s="6">
        <v>5981376</v>
      </c>
      <c r="D8579" s="5" t="s">
        <v>110</v>
      </c>
      <c r="E8579" s="5" t="str">
        <f t="shared" si="436"/>
        <v>CARPA COVID AZUL-YENI ESPERANZA PEÑA GUERRERO(ZONA EXPANCION)</v>
      </c>
      <c r="F8579" s="5"/>
      <c r="G8579" s="5"/>
    </row>
    <row r="8580" spans="1:7" ht="58.5" customHeight="1" x14ac:dyDescent="0.25">
      <c r="A8580" s="5" t="str">
        <f>"H0032407"</f>
        <v>H0032407</v>
      </c>
      <c r="B8580" s="5" t="str">
        <f t="shared" si="438"/>
        <v>silla multiproposito (DONACION)</v>
      </c>
      <c r="C8580" s="6">
        <v>5981376</v>
      </c>
      <c r="D8580" s="5" t="s">
        <v>110</v>
      </c>
      <c r="E8580" s="5" t="str">
        <f t="shared" si="436"/>
        <v>CARPA COVID AZUL-YENI ESPERANZA PEÑA GUERRERO(ZONA EXPANCION)</v>
      </c>
      <c r="F8580" s="5"/>
      <c r="G8580" s="5"/>
    </row>
    <row r="8581" spans="1:7" ht="58.5" customHeight="1" x14ac:dyDescent="0.25">
      <c r="A8581" s="5" t="str">
        <f>"H0032409"</f>
        <v>H0032409</v>
      </c>
      <c r="B8581" s="5" t="str">
        <f t="shared" si="438"/>
        <v>silla multiproposito (DONACION)</v>
      </c>
      <c r="C8581" s="6">
        <v>5981376</v>
      </c>
      <c r="D8581" s="5" t="s">
        <v>110</v>
      </c>
      <c r="E8581" s="5" t="str">
        <f t="shared" si="436"/>
        <v>CARPA COVID AZUL-YENI ESPERANZA PEÑA GUERRERO(ZONA EXPANCION)</v>
      </c>
      <c r="F8581" s="5"/>
      <c r="G8581" s="5"/>
    </row>
    <row r="8582" spans="1:7" ht="58.5" customHeight="1" x14ac:dyDescent="0.25">
      <c r="A8582" s="5" t="str">
        <f>"H0032417"</f>
        <v>H0032417</v>
      </c>
      <c r="B8582" s="5" t="str">
        <f t="shared" ref="B8582:B8591" si="439">"biombo de dos cuerpos (DONACION)"</f>
        <v>biombo de dos cuerpos (DONACION)</v>
      </c>
      <c r="C8582" s="6">
        <v>325000</v>
      </c>
      <c r="D8582" s="5" t="s">
        <v>111</v>
      </c>
      <c r="E8582" s="5" t="str">
        <f t="shared" si="436"/>
        <v>CARPA COVID AZUL-YENI ESPERANZA PEÑA GUERRERO(ZONA EXPANCION)</v>
      </c>
      <c r="F8582" s="5"/>
      <c r="G8582" s="5"/>
    </row>
    <row r="8583" spans="1:7" ht="58.5" customHeight="1" x14ac:dyDescent="0.25">
      <c r="A8583" s="5" t="str">
        <f>"H0032418"</f>
        <v>H0032418</v>
      </c>
      <c r="B8583" s="5" t="str">
        <f t="shared" si="439"/>
        <v>biombo de dos cuerpos (DONACION)</v>
      </c>
      <c r="C8583" s="6">
        <v>325000</v>
      </c>
      <c r="D8583" s="5" t="s">
        <v>111</v>
      </c>
      <c r="E8583" s="5" t="str">
        <f t="shared" si="436"/>
        <v>CARPA COVID AZUL-YENI ESPERANZA PEÑA GUERRERO(ZONA EXPANCION)</v>
      </c>
      <c r="F8583" s="5"/>
      <c r="G8583" s="5"/>
    </row>
    <row r="8584" spans="1:7" ht="58.5" customHeight="1" x14ac:dyDescent="0.25">
      <c r="A8584" s="5" t="str">
        <f>"H0032419"</f>
        <v>H0032419</v>
      </c>
      <c r="B8584" s="5" t="str">
        <f t="shared" si="439"/>
        <v>biombo de dos cuerpos (DONACION)</v>
      </c>
      <c r="C8584" s="6">
        <v>325000</v>
      </c>
      <c r="D8584" s="5" t="s">
        <v>111</v>
      </c>
      <c r="E8584" s="5" t="str">
        <f t="shared" si="436"/>
        <v>CARPA COVID AZUL-YENI ESPERANZA PEÑA GUERRERO(ZONA EXPANCION)</v>
      </c>
      <c r="F8584" s="5"/>
      <c r="G8584" s="5"/>
    </row>
    <row r="8585" spans="1:7" ht="58.5" customHeight="1" x14ac:dyDescent="0.25">
      <c r="A8585" s="5" t="str">
        <f>"H0032420"</f>
        <v>H0032420</v>
      </c>
      <c r="B8585" s="5" t="str">
        <f t="shared" si="439"/>
        <v>biombo de dos cuerpos (DONACION)</v>
      </c>
      <c r="C8585" s="6">
        <v>325000</v>
      </c>
      <c r="D8585" s="5" t="s">
        <v>111</v>
      </c>
      <c r="E8585" s="5" t="str">
        <f t="shared" si="436"/>
        <v>CARPA COVID AZUL-YENI ESPERANZA PEÑA GUERRERO(ZONA EXPANCION)</v>
      </c>
      <c r="F8585" s="5"/>
      <c r="G8585" s="5"/>
    </row>
    <row r="8586" spans="1:7" ht="58.5" customHeight="1" x14ac:dyDescent="0.25">
      <c r="A8586" s="5" t="str">
        <f>"H0032421"</f>
        <v>H0032421</v>
      </c>
      <c r="B8586" s="5" t="str">
        <f t="shared" si="439"/>
        <v>biombo de dos cuerpos (DONACION)</v>
      </c>
      <c r="C8586" s="6">
        <v>325000</v>
      </c>
      <c r="D8586" s="5" t="s">
        <v>111</v>
      </c>
      <c r="E8586" s="5" t="str">
        <f t="shared" si="436"/>
        <v>CARPA COVID AZUL-YENI ESPERANZA PEÑA GUERRERO(ZONA EXPANCION)</v>
      </c>
      <c r="F8586" s="5"/>
      <c r="G8586" s="5"/>
    </row>
    <row r="8587" spans="1:7" ht="58.5" customHeight="1" x14ac:dyDescent="0.25">
      <c r="A8587" s="5" t="str">
        <f>"H0032422"</f>
        <v>H0032422</v>
      </c>
      <c r="B8587" s="5" t="str">
        <f t="shared" si="439"/>
        <v>biombo de dos cuerpos (DONACION)</v>
      </c>
      <c r="C8587" s="6">
        <v>325000</v>
      </c>
      <c r="D8587" s="5" t="s">
        <v>111</v>
      </c>
      <c r="E8587" s="5" t="str">
        <f t="shared" si="436"/>
        <v>CARPA COVID AZUL-YENI ESPERANZA PEÑA GUERRERO(ZONA EXPANCION)</v>
      </c>
      <c r="F8587" s="5"/>
      <c r="G8587" s="5"/>
    </row>
    <row r="8588" spans="1:7" ht="58.5" customHeight="1" x14ac:dyDescent="0.25">
      <c r="A8588" s="5" t="str">
        <f>"H0032423"</f>
        <v>H0032423</v>
      </c>
      <c r="B8588" s="5" t="str">
        <f t="shared" si="439"/>
        <v>biombo de dos cuerpos (DONACION)</v>
      </c>
      <c r="C8588" s="6">
        <v>325000</v>
      </c>
      <c r="D8588" s="5" t="s">
        <v>111</v>
      </c>
      <c r="E8588" s="5" t="str">
        <f t="shared" si="436"/>
        <v>CARPA COVID AZUL-YENI ESPERANZA PEÑA GUERRERO(ZONA EXPANCION)</v>
      </c>
      <c r="F8588" s="5"/>
      <c r="G8588" s="5"/>
    </row>
    <row r="8589" spans="1:7" ht="58.5" customHeight="1" x14ac:dyDescent="0.25">
      <c r="A8589" s="5" t="str">
        <f>"H0032424"</f>
        <v>H0032424</v>
      </c>
      <c r="B8589" s="5" t="str">
        <f t="shared" si="439"/>
        <v>biombo de dos cuerpos (DONACION)</v>
      </c>
      <c r="C8589" s="6">
        <v>325000</v>
      </c>
      <c r="D8589" s="5" t="s">
        <v>111</v>
      </c>
      <c r="E8589" s="5" t="str">
        <f t="shared" si="436"/>
        <v>CARPA COVID AZUL-YENI ESPERANZA PEÑA GUERRERO(ZONA EXPANCION)</v>
      </c>
      <c r="F8589" s="5"/>
      <c r="G8589" s="5"/>
    </row>
    <row r="8590" spans="1:7" ht="58.5" customHeight="1" x14ac:dyDescent="0.25">
      <c r="A8590" s="5" t="str">
        <f>"H0032425"</f>
        <v>H0032425</v>
      </c>
      <c r="B8590" s="5" t="str">
        <f t="shared" si="439"/>
        <v>biombo de dos cuerpos (DONACION)</v>
      </c>
      <c r="C8590" s="6">
        <v>325000</v>
      </c>
      <c r="D8590" s="5" t="s">
        <v>111</v>
      </c>
      <c r="E8590" s="5" t="str">
        <f t="shared" si="436"/>
        <v>CARPA COVID AZUL-YENI ESPERANZA PEÑA GUERRERO(ZONA EXPANCION)</v>
      </c>
      <c r="F8590" s="5"/>
      <c r="G8590" s="5"/>
    </row>
    <row r="8591" spans="1:7" ht="58.5" customHeight="1" x14ac:dyDescent="0.25">
      <c r="A8591" s="5" t="str">
        <f>"H0032426"</f>
        <v>H0032426</v>
      </c>
      <c r="B8591" s="5" t="str">
        <f t="shared" si="439"/>
        <v>biombo de dos cuerpos (DONACION)</v>
      </c>
      <c r="C8591" s="6">
        <v>325000</v>
      </c>
      <c r="D8591" s="5" t="s">
        <v>111</v>
      </c>
      <c r="E8591" s="5" t="str">
        <f t="shared" si="436"/>
        <v>CARPA COVID AZUL-YENI ESPERANZA PEÑA GUERRERO(ZONA EXPANCION)</v>
      </c>
      <c r="F8591" s="5"/>
      <c r="G8591" s="5"/>
    </row>
    <row r="8592" spans="1:7" ht="58.5" customHeight="1" x14ac:dyDescent="0.25">
      <c r="A8592" s="5" t="str">
        <f>"H0032455"</f>
        <v>H0032455</v>
      </c>
      <c r="B8592" s="5" t="str">
        <f t="shared" ref="B8592:B8598" si="440">"Escritorio lineal superficie en formica con archivador 3 gabetas (DONACION)"</f>
        <v>Escritorio lineal superficie en formica con archivador 3 gabetas (DONACION)</v>
      </c>
      <c r="C8592" s="6">
        <v>476000</v>
      </c>
      <c r="D8592" s="5" t="s">
        <v>502</v>
      </c>
      <c r="E8592" s="5" t="str">
        <f t="shared" si="436"/>
        <v>CARPA COVID AZUL-YENI ESPERANZA PEÑA GUERRERO(ZONA EXPANCION)</v>
      </c>
      <c r="F8592" s="5"/>
      <c r="G8592" s="5"/>
    </row>
    <row r="8593" spans="1:7" ht="58.5" customHeight="1" x14ac:dyDescent="0.25">
      <c r="A8593" s="5" t="str">
        <f>"H0032456"</f>
        <v>H0032456</v>
      </c>
      <c r="B8593" s="5" t="str">
        <f t="shared" si="440"/>
        <v>Escritorio lineal superficie en formica con archivador 3 gabetas (DONACION)</v>
      </c>
      <c r="C8593" s="6">
        <v>476000</v>
      </c>
      <c r="D8593" s="5" t="s">
        <v>502</v>
      </c>
      <c r="E8593" s="5" t="str">
        <f t="shared" si="436"/>
        <v>CARPA COVID AZUL-YENI ESPERANZA PEÑA GUERRERO(ZONA EXPANCION)</v>
      </c>
      <c r="F8593" s="5"/>
      <c r="G8593" s="5"/>
    </row>
    <row r="8594" spans="1:7" ht="58.5" customHeight="1" x14ac:dyDescent="0.25">
      <c r="A8594" s="5" t="str">
        <f>"H0032457"</f>
        <v>H0032457</v>
      </c>
      <c r="B8594" s="5" t="str">
        <f t="shared" si="440"/>
        <v>Escritorio lineal superficie en formica con archivador 3 gabetas (DONACION)</v>
      </c>
      <c r="C8594" s="6">
        <v>476000</v>
      </c>
      <c r="D8594" s="5" t="s">
        <v>502</v>
      </c>
      <c r="E8594" s="5" t="str">
        <f t="shared" si="436"/>
        <v>CARPA COVID AZUL-YENI ESPERANZA PEÑA GUERRERO(ZONA EXPANCION)</v>
      </c>
      <c r="F8594" s="5"/>
      <c r="G8594" s="5"/>
    </row>
    <row r="8595" spans="1:7" ht="58.5" customHeight="1" x14ac:dyDescent="0.25">
      <c r="A8595" s="5" t="str">
        <f>"H0032458"</f>
        <v>H0032458</v>
      </c>
      <c r="B8595" s="5" t="str">
        <f t="shared" si="440"/>
        <v>Escritorio lineal superficie en formica con archivador 3 gabetas (DONACION)</v>
      </c>
      <c r="C8595" s="6">
        <v>476000</v>
      </c>
      <c r="D8595" s="5" t="s">
        <v>502</v>
      </c>
      <c r="E8595" s="5" t="str">
        <f t="shared" si="436"/>
        <v>CARPA COVID AZUL-YENI ESPERANZA PEÑA GUERRERO(ZONA EXPANCION)</v>
      </c>
      <c r="F8595" s="5"/>
      <c r="G8595" s="5"/>
    </row>
    <row r="8596" spans="1:7" ht="58.5" customHeight="1" x14ac:dyDescent="0.25">
      <c r="A8596" s="5" t="str">
        <f>"H0032459"</f>
        <v>H0032459</v>
      </c>
      <c r="B8596" s="5" t="str">
        <f t="shared" si="440"/>
        <v>Escritorio lineal superficie en formica con archivador 3 gabetas (DONACION)</v>
      </c>
      <c r="C8596" s="6">
        <v>476000</v>
      </c>
      <c r="D8596" s="5" t="s">
        <v>502</v>
      </c>
      <c r="E8596" s="5" t="str">
        <f t="shared" si="436"/>
        <v>CARPA COVID AZUL-YENI ESPERANZA PEÑA GUERRERO(ZONA EXPANCION)</v>
      </c>
      <c r="F8596" s="5"/>
      <c r="G8596" s="5"/>
    </row>
    <row r="8597" spans="1:7" ht="58.5" customHeight="1" x14ac:dyDescent="0.25">
      <c r="A8597" s="5" t="str">
        <f>"H0032460"</f>
        <v>H0032460</v>
      </c>
      <c r="B8597" s="5" t="str">
        <f t="shared" si="440"/>
        <v>Escritorio lineal superficie en formica con archivador 3 gabetas (DONACION)</v>
      </c>
      <c r="C8597" s="6">
        <v>476000</v>
      </c>
      <c r="D8597" s="5" t="s">
        <v>502</v>
      </c>
      <c r="E8597" s="5" t="str">
        <f t="shared" si="436"/>
        <v>CARPA COVID AZUL-YENI ESPERANZA PEÑA GUERRERO(ZONA EXPANCION)</v>
      </c>
      <c r="F8597" s="5"/>
      <c r="G8597" s="5"/>
    </row>
    <row r="8598" spans="1:7" ht="58.5" customHeight="1" x14ac:dyDescent="0.25">
      <c r="A8598" s="5" t="str">
        <f>"H0032461"</f>
        <v>H0032461</v>
      </c>
      <c r="B8598" s="5" t="str">
        <f t="shared" si="440"/>
        <v>Escritorio lineal superficie en formica con archivador 3 gabetas (DONACION)</v>
      </c>
      <c r="C8598" s="6">
        <v>476000</v>
      </c>
      <c r="D8598" s="5" t="s">
        <v>502</v>
      </c>
      <c r="E8598" s="5" t="str">
        <f t="shared" si="436"/>
        <v>CARPA COVID AZUL-YENI ESPERANZA PEÑA GUERRERO(ZONA EXPANCION)</v>
      </c>
      <c r="F8598" s="5"/>
      <c r="G8598" s="5"/>
    </row>
    <row r="8599" spans="1:7" ht="58.5" customHeight="1" x14ac:dyDescent="0.25">
      <c r="A8599" s="5" t="str">
        <f>"H0032509"</f>
        <v>H0032509</v>
      </c>
      <c r="B8599"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8599" s="6">
        <v>420090</v>
      </c>
      <c r="D8599" s="5" t="s">
        <v>17</v>
      </c>
      <c r="E8599" s="5" t="str">
        <f t="shared" si="436"/>
        <v>CARPA COVID AZUL-YENI ESPERANZA PEÑA GUERRERO(ZONA EXPANCION)</v>
      </c>
      <c r="F8599" s="5"/>
      <c r="G8599" s="5"/>
    </row>
    <row r="8600" spans="1:7" ht="58.5" customHeight="1" x14ac:dyDescent="0.25">
      <c r="A8600" s="5" t="str">
        <f>"H0032518"</f>
        <v>H0032518</v>
      </c>
      <c r="B8600" s="5" t="str">
        <f>"CELULAR HUAWEI Y9 PRIME (DONACION)"</f>
        <v>CELULAR HUAWEI Y9 PRIME (DONACION)</v>
      </c>
      <c r="C8600" s="6">
        <v>729900</v>
      </c>
      <c r="D8600" s="5" t="s">
        <v>112</v>
      </c>
      <c r="E8600" s="5" t="str">
        <f t="shared" si="436"/>
        <v>CARPA COVID AZUL-YENI ESPERANZA PEÑA GUERRERO(ZONA EXPANCION)</v>
      </c>
      <c r="F8600" s="5"/>
      <c r="G8600" s="5"/>
    </row>
    <row r="8601" spans="1:7" ht="58.5" customHeight="1" x14ac:dyDescent="0.25">
      <c r="A8601" s="5" t="str">
        <f>"H0032526"</f>
        <v>H0032526</v>
      </c>
      <c r="B8601" s="5" t="str">
        <f>"LAVAMANOS PORTATIL EN ACERO INOXIDABLE (DONACION)"</f>
        <v>LAVAMANOS PORTATIL EN ACERO INOXIDABLE (DONACION)</v>
      </c>
      <c r="C8601" s="6">
        <v>526900</v>
      </c>
      <c r="D8601" s="5" t="s">
        <v>112</v>
      </c>
      <c r="E8601" s="5" t="str">
        <f t="shared" si="436"/>
        <v>CARPA COVID AZUL-YENI ESPERANZA PEÑA GUERRERO(ZONA EXPANCION)</v>
      </c>
      <c r="F8601" s="5"/>
      <c r="G8601" s="5"/>
    </row>
    <row r="8602" spans="1:7" ht="58.5" customHeight="1" x14ac:dyDescent="0.25">
      <c r="A8602" s="5" t="str">
        <f>"H0032598"</f>
        <v>H0032598</v>
      </c>
      <c r="B8602" s="5" t="str">
        <f t="shared" ref="B8602:B8615" si="441">"CAMILLA DE TRANSPORTE Y RECUPERACION (DONACION)"</f>
        <v>CAMILLA DE TRANSPORTE Y RECUPERACION (DONACION)</v>
      </c>
      <c r="C8602" s="6">
        <v>814000</v>
      </c>
      <c r="D8602" s="5" t="s">
        <v>113</v>
      </c>
      <c r="E8602" s="5" t="str">
        <f t="shared" si="436"/>
        <v>CARPA COVID AZUL-YENI ESPERANZA PEÑA GUERRERO(ZONA EXPANCION)</v>
      </c>
      <c r="F8602" s="5"/>
      <c r="G8602" s="5"/>
    </row>
    <row r="8603" spans="1:7" ht="58.5" customHeight="1" x14ac:dyDescent="0.25">
      <c r="A8603" s="5" t="str">
        <f>"H0032599"</f>
        <v>H0032599</v>
      </c>
      <c r="B8603" s="5" t="str">
        <f t="shared" si="441"/>
        <v>CAMILLA DE TRANSPORTE Y RECUPERACION (DONACION)</v>
      </c>
      <c r="C8603" s="6">
        <v>814000</v>
      </c>
      <c r="D8603" s="5" t="s">
        <v>113</v>
      </c>
      <c r="E8603" s="5" t="str">
        <f t="shared" si="436"/>
        <v>CARPA COVID AZUL-YENI ESPERANZA PEÑA GUERRERO(ZONA EXPANCION)</v>
      </c>
      <c r="F8603" s="5"/>
      <c r="G8603" s="5"/>
    </row>
    <row r="8604" spans="1:7" ht="58.5" customHeight="1" x14ac:dyDescent="0.25">
      <c r="A8604" s="5" t="str">
        <f>"H0032601"</f>
        <v>H0032601</v>
      </c>
      <c r="B8604" s="5" t="str">
        <f t="shared" si="441"/>
        <v>CAMILLA DE TRANSPORTE Y RECUPERACION (DONACION)</v>
      </c>
      <c r="C8604" s="6">
        <v>814000</v>
      </c>
      <c r="D8604" s="5" t="s">
        <v>113</v>
      </c>
      <c r="E8604" s="5" t="str">
        <f t="shared" si="436"/>
        <v>CARPA COVID AZUL-YENI ESPERANZA PEÑA GUERRERO(ZONA EXPANCION)</v>
      </c>
      <c r="F8604" s="5"/>
      <c r="G8604" s="5"/>
    </row>
    <row r="8605" spans="1:7" ht="58.5" customHeight="1" x14ac:dyDescent="0.25">
      <c r="A8605" s="5" t="str">
        <f>"H0032602"</f>
        <v>H0032602</v>
      </c>
      <c r="B8605" s="5" t="str">
        <f t="shared" si="441"/>
        <v>CAMILLA DE TRANSPORTE Y RECUPERACION (DONACION)</v>
      </c>
      <c r="C8605" s="6">
        <v>814000</v>
      </c>
      <c r="D8605" s="5" t="s">
        <v>113</v>
      </c>
      <c r="E8605" s="5" t="str">
        <f t="shared" si="436"/>
        <v>CARPA COVID AZUL-YENI ESPERANZA PEÑA GUERRERO(ZONA EXPANCION)</v>
      </c>
      <c r="F8605" s="5"/>
      <c r="G8605" s="5"/>
    </row>
    <row r="8606" spans="1:7" ht="58.5" customHeight="1" x14ac:dyDescent="0.25">
      <c r="A8606" s="5" t="str">
        <f>"H0032604"</f>
        <v>H0032604</v>
      </c>
      <c r="B8606" s="5" t="str">
        <f t="shared" si="441"/>
        <v>CAMILLA DE TRANSPORTE Y RECUPERACION (DONACION)</v>
      </c>
      <c r="C8606" s="6">
        <v>814000</v>
      </c>
      <c r="D8606" s="5" t="s">
        <v>113</v>
      </c>
      <c r="E8606" s="5" t="str">
        <f t="shared" si="436"/>
        <v>CARPA COVID AZUL-YENI ESPERANZA PEÑA GUERRERO(ZONA EXPANCION)</v>
      </c>
      <c r="F8606" s="5"/>
      <c r="G8606" s="5"/>
    </row>
    <row r="8607" spans="1:7" ht="58.5" customHeight="1" x14ac:dyDescent="0.25">
      <c r="A8607" s="5" t="str">
        <f>"H0032606"</f>
        <v>H0032606</v>
      </c>
      <c r="B8607" s="5" t="str">
        <f t="shared" si="441"/>
        <v>CAMILLA DE TRANSPORTE Y RECUPERACION (DONACION)</v>
      </c>
      <c r="C8607" s="6">
        <v>814000</v>
      </c>
      <c r="D8607" s="5" t="s">
        <v>113</v>
      </c>
      <c r="E8607" s="5" t="str">
        <f t="shared" si="436"/>
        <v>CARPA COVID AZUL-YENI ESPERANZA PEÑA GUERRERO(ZONA EXPANCION)</v>
      </c>
      <c r="F8607" s="5"/>
      <c r="G8607" s="5"/>
    </row>
    <row r="8608" spans="1:7" ht="58.5" customHeight="1" x14ac:dyDescent="0.25">
      <c r="A8608" s="5" t="str">
        <f>"H0032610"</f>
        <v>H0032610</v>
      </c>
      <c r="B8608" s="5" t="str">
        <f t="shared" si="441"/>
        <v>CAMILLA DE TRANSPORTE Y RECUPERACION (DONACION)</v>
      </c>
      <c r="C8608" s="6">
        <v>814000</v>
      </c>
      <c r="D8608" s="5" t="s">
        <v>113</v>
      </c>
      <c r="E8608" s="5" t="str">
        <f t="shared" si="436"/>
        <v>CARPA COVID AZUL-YENI ESPERANZA PEÑA GUERRERO(ZONA EXPANCION)</v>
      </c>
      <c r="F8608" s="5"/>
      <c r="G8608" s="5"/>
    </row>
    <row r="8609" spans="1:7" ht="58.5" customHeight="1" x14ac:dyDescent="0.25">
      <c r="A8609" s="5" t="str">
        <f>"H0032611"</f>
        <v>H0032611</v>
      </c>
      <c r="B8609" s="5" t="str">
        <f t="shared" si="441"/>
        <v>CAMILLA DE TRANSPORTE Y RECUPERACION (DONACION)</v>
      </c>
      <c r="C8609" s="6">
        <v>814000</v>
      </c>
      <c r="D8609" s="5" t="s">
        <v>113</v>
      </c>
      <c r="E8609" s="5" t="str">
        <f t="shared" si="436"/>
        <v>CARPA COVID AZUL-YENI ESPERANZA PEÑA GUERRERO(ZONA EXPANCION)</v>
      </c>
      <c r="F8609" s="5"/>
      <c r="G8609" s="5"/>
    </row>
    <row r="8610" spans="1:7" ht="58.5" customHeight="1" x14ac:dyDescent="0.25">
      <c r="A8610" s="5" t="str">
        <f>"H0032612"</f>
        <v>H0032612</v>
      </c>
      <c r="B8610" s="5" t="str">
        <f t="shared" si="441"/>
        <v>CAMILLA DE TRANSPORTE Y RECUPERACION (DONACION)</v>
      </c>
      <c r="C8610" s="6">
        <v>814000</v>
      </c>
      <c r="D8610" s="5" t="s">
        <v>113</v>
      </c>
      <c r="E8610" s="5" t="str">
        <f t="shared" si="436"/>
        <v>CARPA COVID AZUL-YENI ESPERANZA PEÑA GUERRERO(ZONA EXPANCION)</v>
      </c>
      <c r="F8610" s="5"/>
      <c r="G8610" s="5"/>
    </row>
    <row r="8611" spans="1:7" ht="58.5" customHeight="1" x14ac:dyDescent="0.25">
      <c r="A8611" s="5" t="str">
        <f>"H0032613"</f>
        <v>H0032613</v>
      </c>
      <c r="B8611" s="5" t="str">
        <f t="shared" si="441"/>
        <v>CAMILLA DE TRANSPORTE Y RECUPERACION (DONACION)</v>
      </c>
      <c r="C8611" s="6">
        <v>814000</v>
      </c>
      <c r="D8611" s="5" t="s">
        <v>113</v>
      </c>
      <c r="E8611" s="5" t="str">
        <f t="shared" si="436"/>
        <v>CARPA COVID AZUL-YENI ESPERANZA PEÑA GUERRERO(ZONA EXPANCION)</v>
      </c>
      <c r="F8611" s="5"/>
      <c r="G8611" s="5"/>
    </row>
    <row r="8612" spans="1:7" ht="58.5" customHeight="1" x14ac:dyDescent="0.25">
      <c r="A8612" s="5" t="str">
        <f>"H0032614"</f>
        <v>H0032614</v>
      </c>
      <c r="B8612" s="5" t="str">
        <f t="shared" si="441"/>
        <v>CAMILLA DE TRANSPORTE Y RECUPERACION (DONACION)</v>
      </c>
      <c r="C8612" s="6">
        <v>814000</v>
      </c>
      <c r="D8612" s="5" t="s">
        <v>113</v>
      </c>
      <c r="E8612" s="5" t="str">
        <f t="shared" si="436"/>
        <v>CARPA COVID AZUL-YENI ESPERANZA PEÑA GUERRERO(ZONA EXPANCION)</v>
      </c>
      <c r="F8612" s="5"/>
      <c r="G8612" s="5"/>
    </row>
    <row r="8613" spans="1:7" ht="58.5" customHeight="1" x14ac:dyDescent="0.25">
      <c r="A8613" s="5" t="str">
        <f>"H0032615"</f>
        <v>H0032615</v>
      </c>
      <c r="B8613" s="5" t="str">
        <f t="shared" si="441"/>
        <v>CAMILLA DE TRANSPORTE Y RECUPERACION (DONACION)</v>
      </c>
      <c r="C8613" s="6">
        <v>814000</v>
      </c>
      <c r="D8613" s="5" t="s">
        <v>113</v>
      </c>
      <c r="E8613" s="5" t="str">
        <f t="shared" si="436"/>
        <v>CARPA COVID AZUL-YENI ESPERANZA PEÑA GUERRERO(ZONA EXPANCION)</v>
      </c>
      <c r="F8613" s="5"/>
      <c r="G8613" s="5"/>
    </row>
    <row r="8614" spans="1:7" ht="58.5" customHeight="1" x14ac:dyDescent="0.25">
      <c r="A8614" s="5" t="str">
        <f>"H0032616"</f>
        <v>H0032616</v>
      </c>
      <c r="B8614" s="5" t="str">
        <f t="shared" si="441"/>
        <v>CAMILLA DE TRANSPORTE Y RECUPERACION (DONACION)</v>
      </c>
      <c r="C8614" s="6">
        <v>814000</v>
      </c>
      <c r="D8614" s="5" t="s">
        <v>113</v>
      </c>
      <c r="E8614" s="5" t="str">
        <f t="shared" si="436"/>
        <v>CARPA COVID AZUL-YENI ESPERANZA PEÑA GUERRERO(ZONA EXPANCION)</v>
      </c>
      <c r="F8614" s="5"/>
      <c r="G8614" s="5"/>
    </row>
    <row r="8615" spans="1:7" ht="58.5" customHeight="1" x14ac:dyDescent="0.25">
      <c r="A8615" s="5" t="str">
        <f>"H0032617"</f>
        <v>H0032617</v>
      </c>
      <c r="B8615" s="5" t="str">
        <f t="shared" si="441"/>
        <v>CAMILLA DE TRANSPORTE Y RECUPERACION (DONACION)</v>
      </c>
      <c r="C8615" s="6">
        <v>814000</v>
      </c>
      <c r="D8615" s="5" t="s">
        <v>113</v>
      </c>
      <c r="E8615" s="5" t="str">
        <f t="shared" si="436"/>
        <v>CARPA COVID AZUL-YENI ESPERANZA PEÑA GUERRERO(ZONA EXPANCION)</v>
      </c>
      <c r="F8615" s="5"/>
      <c r="G8615" s="5"/>
    </row>
    <row r="8616" spans="1:7" ht="58.5" customHeight="1" x14ac:dyDescent="0.25">
      <c r="A8616" s="5" t="str">
        <f>"H0032619"</f>
        <v>H0032619</v>
      </c>
      <c r="B8616" s="5" t="str">
        <f>"EQUIPO DE ORGANO (DONACION)"</f>
        <v>EQUIPO DE ORGANO (DONACION)</v>
      </c>
      <c r="C8616" s="6">
        <v>955000</v>
      </c>
      <c r="D8616" s="5" t="s">
        <v>113</v>
      </c>
      <c r="E8616" s="5" t="str">
        <f t="shared" si="436"/>
        <v>CARPA COVID AZUL-YENI ESPERANZA PEÑA GUERRERO(ZONA EXPANCION)</v>
      </c>
      <c r="F8616" s="5"/>
      <c r="G8616" s="5"/>
    </row>
    <row r="8617" spans="1:7" ht="58.5" customHeight="1" x14ac:dyDescent="0.25">
      <c r="A8617" s="5" t="str">
        <f>"H0032652"</f>
        <v>H0032652</v>
      </c>
      <c r="B8617" s="5" t="str">
        <f t="shared" ref="B8617:B8622" si="442">"CAMILLA DE TRANSPORTE Y RECUPERACION (DONACION)"</f>
        <v>CAMILLA DE TRANSPORTE Y RECUPERACION (DONACION)</v>
      </c>
      <c r="C8617" s="6">
        <v>814000</v>
      </c>
      <c r="D8617" s="5" t="s">
        <v>115</v>
      </c>
      <c r="E8617" s="5" t="str">
        <f t="shared" si="436"/>
        <v>CARPA COVID AZUL-YENI ESPERANZA PEÑA GUERRERO(ZONA EXPANCION)</v>
      </c>
      <c r="F8617" s="5"/>
      <c r="G8617" s="5"/>
    </row>
    <row r="8618" spans="1:7" ht="58.5" customHeight="1" x14ac:dyDescent="0.25">
      <c r="A8618" s="5" t="str">
        <f>"H0032657"</f>
        <v>H0032657</v>
      </c>
      <c r="B8618" s="5" t="str">
        <f t="shared" si="442"/>
        <v>CAMILLA DE TRANSPORTE Y RECUPERACION (DONACION)</v>
      </c>
      <c r="C8618" s="6">
        <v>814000</v>
      </c>
      <c r="D8618" s="5" t="s">
        <v>115</v>
      </c>
      <c r="E8618" s="5" t="str">
        <f t="shared" si="436"/>
        <v>CARPA COVID AZUL-YENI ESPERANZA PEÑA GUERRERO(ZONA EXPANCION)</v>
      </c>
      <c r="F8618" s="5"/>
      <c r="G8618" s="5"/>
    </row>
    <row r="8619" spans="1:7" ht="58.5" customHeight="1" x14ac:dyDescent="0.25">
      <c r="A8619" s="5" t="str">
        <f>"H0032658"</f>
        <v>H0032658</v>
      </c>
      <c r="B8619" s="5" t="str">
        <f t="shared" si="442"/>
        <v>CAMILLA DE TRANSPORTE Y RECUPERACION (DONACION)</v>
      </c>
      <c r="C8619" s="6">
        <v>814000</v>
      </c>
      <c r="D8619" s="5" t="s">
        <v>115</v>
      </c>
      <c r="E8619" s="5" t="str">
        <f t="shared" si="436"/>
        <v>CARPA COVID AZUL-YENI ESPERANZA PEÑA GUERRERO(ZONA EXPANCION)</v>
      </c>
      <c r="F8619" s="5"/>
      <c r="G8619" s="5"/>
    </row>
    <row r="8620" spans="1:7" ht="58.5" customHeight="1" x14ac:dyDescent="0.25">
      <c r="A8620" s="5" t="str">
        <f>"H0032659"</f>
        <v>H0032659</v>
      </c>
      <c r="B8620" s="5" t="str">
        <f t="shared" si="442"/>
        <v>CAMILLA DE TRANSPORTE Y RECUPERACION (DONACION)</v>
      </c>
      <c r="C8620" s="6">
        <v>814000</v>
      </c>
      <c r="D8620" s="5" t="s">
        <v>115</v>
      </c>
      <c r="E8620" s="5" t="str">
        <f t="shared" si="436"/>
        <v>CARPA COVID AZUL-YENI ESPERANZA PEÑA GUERRERO(ZONA EXPANCION)</v>
      </c>
      <c r="F8620" s="5"/>
      <c r="G8620" s="5"/>
    </row>
    <row r="8621" spans="1:7" ht="58.5" customHeight="1" x14ac:dyDescent="0.25">
      <c r="A8621" s="5" t="str">
        <f>"H0032660"</f>
        <v>H0032660</v>
      </c>
      <c r="B8621" s="5" t="str">
        <f t="shared" si="442"/>
        <v>CAMILLA DE TRANSPORTE Y RECUPERACION (DONACION)</v>
      </c>
      <c r="C8621" s="6">
        <v>814000</v>
      </c>
      <c r="D8621" s="5" t="s">
        <v>115</v>
      </c>
      <c r="E8621" s="5" t="str">
        <f t="shared" ref="E8621:E8684" si="443">"CARPA COVID AZUL-YENI ESPERANZA PEÑA GUERRERO(ZONA EXPANCION)"</f>
        <v>CARPA COVID AZUL-YENI ESPERANZA PEÑA GUERRERO(ZONA EXPANCION)</v>
      </c>
      <c r="F8621" s="5"/>
      <c r="G8621" s="5"/>
    </row>
    <row r="8622" spans="1:7" ht="58.5" customHeight="1" x14ac:dyDescent="0.25">
      <c r="A8622" s="5" t="str">
        <f>"H0032661"</f>
        <v>H0032661</v>
      </c>
      <c r="B8622" s="5" t="str">
        <f t="shared" si="442"/>
        <v>CAMILLA DE TRANSPORTE Y RECUPERACION (DONACION)</v>
      </c>
      <c r="C8622" s="6">
        <v>814000</v>
      </c>
      <c r="D8622" s="5" t="s">
        <v>115</v>
      </c>
      <c r="E8622" s="5" t="str">
        <f t="shared" si="443"/>
        <v>CARPA COVID AZUL-YENI ESPERANZA PEÑA GUERRERO(ZONA EXPANCION)</v>
      </c>
      <c r="F8622" s="5"/>
      <c r="G8622" s="5"/>
    </row>
    <row r="8623" spans="1:7" ht="58.5" customHeight="1" x14ac:dyDescent="0.25">
      <c r="A8623" s="5" t="str">
        <f>"H0032678"</f>
        <v>H0032678</v>
      </c>
      <c r="B8623" s="5" t="str">
        <f>"CARRO DE PARO (DONACION)"</f>
        <v>CARRO DE PARO (DONACION)</v>
      </c>
      <c r="C8623" s="6">
        <v>1480000</v>
      </c>
      <c r="D8623" s="5" t="s">
        <v>115</v>
      </c>
      <c r="E8623" s="5" t="str">
        <f t="shared" si="443"/>
        <v>CARPA COVID AZUL-YENI ESPERANZA PEÑA GUERRERO(ZONA EXPANCION)</v>
      </c>
      <c r="F8623" s="5"/>
      <c r="G8623" s="5"/>
    </row>
    <row r="8624" spans="1:7" ht="58.5" customHeight="1" x14ac:dyDescent="0.25">
      <c r="A8624" s="5" t="str">
        <f>"H0032727"</f>
        <v>H0032727</v>
      </c>
      <c r="B8624" s="5" t="str">
        <f>"biombo de dos cuerpos (DONACION)"</f>
        <v>biombo de dos cuerpos (DONACION)</v>
      </c>
      <c r="C8624" s="6">
        <v>325000</v>
      </c>
      <c r="D8624" s="5" t="s">
        <v>111</v>
      </c>
      <c r="E8624" s="5" t="str">
        <f t="shared" si="443"/>
        <v>CARPA COVID AZUL-YENI ESPERANZA PEÑA GUERRERO(ZONA EXPANCION)</v>
      </c>
      <c r="F8624" s="5"/>
      <c r="G8624" s="5"/>
    </row>
    <row r="8625" spans="1:7" ht="58.5" customHeight="1" x14ac:dyDescent="0.25">
      <c r="A8625" s="5" t="str">
        <f>"H0032885"</f>
        <v>H0032885</v>
      </c>
      <c r="B862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8625" s="6">
        <v>4289950</v>
      </c>
      <c r="D8625" s="5" t="s">
        <v>117</v>
      </c>
      <c r="E8625" s="5" t="str">
        <f t="shared" si="443"/>
        <v>CARPA COVID AZUL-YENI ESPERANZA PEÑA GUERRERO(ZONA EXPANCION)</v>
      </c>
      <c r="F8625" s="5"/>
      <c r="G8625" s="5"/>
    </row>
    <row r="8626" spans="1:7" ht="58.5" customHeight="1" x14ac:dyDescent="0.25">
      <c r="A8626" s="5" t="str">
        <f>"H0032886"</f>
        <v>H0032886</v>
      </c>
      <c r="B862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8626" s="6">
        <v>4289950</v>
      </c>
      <c r="D8626" s="5" t="s">
        <v>117</v>
      </c>
      <c r="E8626" s="5" t="str">
        <f t="shared" si="443"/>
        <v>CARPA COVID AZUL-YENI ESPERANZA PEÑA GUERRERO(ZONA EXPANCION)</v>
      </c>
      <c r="F8626" s="5"/>
      <c r="G8626" s="5"/>
    </row>
    <row r="8627" spans="1:7" ht="58.5" customHeight="1" x14ac:dyDescent="0.25">
      <c r="A8627" s="5" t="str">
        <f>"H0032891"</f>
        <v>H0032891</v>
      </c>
      <c r="B862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8627" s="6">
        <v>4289950</v>
      </c>
      <c r="D8627" s="5" t="s">
        <v>117</v>
      </c>
      <c r="E8627" s="5" t="str">
        <f t="shared" si="443"/>
        <v>CARPA COVID AZUL-YENI ESPERANZA PEÑA GUERRERO(ZONA EXPANCION)</v>
      </c>
      <c r="F8627" s="5"/>
      <c r="G8627" s="5"/>
    </row>
    <row r="8628" spans="1:7" ht="58.5" customHeight="1" x14ac:dyDescent="0.25">
      <c r="A8628" s="5" t="str">
        <f>"H0032982"</f>
        <v>H0032982</v>
      </c>
      <c r="B8628" s="5" t="str">
        <f>"SILLA DE RUEDAS (DONACION)"</f>
        <v>SILLA DE RUEDAS (DONACION)</v>
      </c>
      <c r="C8628" s="6">
        <v>500000</v>
      </c>
      <c r="D8628" s="5" t="s">
        <v>118</v>
      </c>
      <c r="E8628" s="5" t="str">
        <f t="shared" si="443"/>
        <v>CARPA COVID AZUL-YENI ESPERANZA PEÑA GUERRERO(ZONA EXPANCION)</v>
      </c>
      <c r="F8628" s="5"/>
      <c r="G8628" s="5"/>
    </row>
    <row r="8629" spans="1:7" ht="58.5" customHeight="1" x14ac:dyDescent="0.25">
      <c r="A8629" s="5" t="str">
        <f>"H0033000"</f>
        <v>H0033000</v>
      </c>
      <c r="B8629" s="5" t="str">
        <f>"termometro infrarrojo (DONACION)"</f>
        <v>termometro infrarrojo (DONACION)</v>
      </c>
      <c r="C8629" s="6">
        <v>251100</v>
      </c>
      <c r="D8629" s="5" t="s">
        <v>503</v>
      </c>
      <c r="E8629" s="5" t="str">
        <f t="shared" si="443"/>
        <v>CARPA COVID AZUL-YENI ESPERANZA PEÑA GUERRERO(ZONA EXPANCION)</v>
      </c>
      <c r="F8629" s="5"/>
      <c r="G8629" s="5"/>
    </row>
    <row r="8630" spans="1:7" ht="58.5" customHeight="1" x14ac:dyDescent="0.25">
      <c r="A8630" s="5" t="str">
        <f>"H0033006"</f>
        <v>H0033006</v>
      </c>
      <c r="B8630" s="5" t="str">
        <f>"termometro infrarrojo (DONACION)"</f>
        <v>termometro infrarrojo (DONACION)</v>
      </c>
      <c r="C8630" s="6">
        <v>251100</v>
      </c>
      <c r="D8630" s="5" t="s">
        <v>503</v>
      </c>
      <c r="E8630" s="5" t="str">
        <f t="shared" si="443"/>
        <v>CARPA COVID AZUL-YENI ESPERANZA PEÑA GUERRERO(ZONA EXPANCION)</v>
      </c>
      <c r="F8630" s="5"/>
      <c r="G8630" s="5"/>
    </row>
    <row r="8631" spans="1:7" ht="58.5" customHeight="1" x14ac:dyDescent="0.25">
      <c r="A8631" s="5" t="str">
        <f>"H0033010"</f>
        <v>H0033010</v>
      </c>
      <c r="B8631" s="5" t="str">
        <f t="shared" ref="B8631:B8636" si="444">"LARINGO DE FIBRA OPTICA (DONACION)"</f>
        <v>LARINGO DE FIBRA OPTICA (DONACION)</v>
      </c>
      <c r="C8631" s="6">
        <v>318536</v>
      </c>
      <c r="D8631" s="5" t="s">
        <v>503</v>
      </c>
      <c r="E8631" s="5" t="str">
        <f t="shared" si="443"/>
        <v>CARPA COVID AZUL-YENI ESPERANZA PEÑA GUERRERO(ZONA EXPANCION)</v>
      </c>
      <c r="F8631" s="5"/>
      <c r="G8631" s="5"/>
    </row>
    <row r="8632" spans="1:7" ht="58.5" customHeight="1" x14ac:dyDescent="0.25">
      <c r="A8632" s="5" t="str">
        <f>"H0033011"</f>
        <v>H0033011</v>
      </c>
      <c r="B8632" s="5" t="str">
        <f t="shared" si="444"/>
        <v>LARINGO DE FIBRA OPTICA (DONACION)</v>
      </c>
      <c r="C8632" s="6">
        <v>318536</v>
      </c>
      <c r="D8632" s="5" t="s">
        <v>503</v>
      </c>
      <c r="E8632" s="5" t="str">
        <f t="shared" si="443"/>
        <v>CARPA COVID AZUL-YENI ESPERANZA PEÑA GUERRERO(ZONA EXPANCION)</v>
      </c>
      <c r="F8632" s="5"/>
      <c r="G8632" s="5"/>
    </row>
    <row r="8633" spans="1:7" ht="58.5" customHeight="1" x14ac:dyDescent="0.25">
      <c r="A8633" s="5" t="str">
        <f>"H0033012"</f>
        <v>H0033012</v>
      </c>
      <c r="B8633" s="5" t="str">
        <f t="shared" si="444"/>
        <v>LARINGO DE FIBRA OPTICA (DONACION)</v>
      </c>
      <c r="C8633" s="6">
        <v>318536</v>
      </c>
      <c r="D8633" s="5" t="s">
        <v>503</v>
      </c>
      <c r="E8633" s="5" t="str">
        <f t="shared" si="443"/>
        <v>CARPA COVID AZUL-YENI ESPERANZA PEÑA GUERRERO(ZONA EXPANCION)</v>
      </c>
      <c r="F8633" s="5"/>
      <c r="G8633" s="5"/>
    </row>
    <row r="8634" spans="1:7" ht="58.5" customHeight="1" x14ac:dyDescent="0.25">
      <c r="A8634" s="5" t="str">
        <f>"H0033013"</f>
        <v>H0033013</v>
      </c>
      <c r="B8634" s="5" t="str">
        <f t="shared" si="444"/>
        <v>LARINGO DE FIBRA OPTICA (DONACION)</v>
      </c>
      <c r="C8634" s="6">
        <v>318536</v>
      </c>
      <c r="D8634" s="5" t="s">
        <v>503</v>
      </c>
      <c r="E8634" s="5" t="str">
        <f t="shared" si="443"/>
        <v>CARPA COVID AZUL-YENI ESPERANZA PEÑA GUERRERO(ZONA EXPANCION)</v>
      </c>
      <c r="F8634" s="5"/>
      <c r="G8634" s="5"/>
    </row>
    <row r="8635" spans="1:7" ht="58.5" customHeight="1" x14ac:dyDescent="0.25">
      <c r="A8635" s="5" t="str">
        <f>"H0033014"</f>
        <v>H0033014</v>
      </c>
      <c r="B8635" s="5" t="str">
        <f t="shared" si="444"/>
        <v>LARINGO DE FIBRA OPTICA (DONACION)</v>
      </c>
      <c r="C8635" s="6">
        <v>318536</v>
      </c>
      <c r="D8635" s="5" t="s">
        <v>503</v>
      </c>
      <c r="E8635" s="5" t="str">
        <f t="shared" si="443"/>
        <v>CARPA COVID AZUL-YENI ESPERANZA PEÑA GUERRERO(ZONA EXPANCION)</v>
      </c>
      <c r="F8635" s="5"/>
      <c r="G8635" s="5"/>
    </row>
    <row r="8636" spans="1:7" ht="58.5" customHeight="1" x14ac:dyDescent="0.25">
      <c r="A8636" s="5" t="str">
        <f>"H0033015"</f>
        <v>H0033015</v>
      </c>
      <c r="B8636" s="5" t="str">
        <f t="shared" si="444"/>
        <v>LARINGO DE FIBRA OPTICA (DONACION)</v>
      </c>
      <c r="C8636" s="6">
        <v>318536</v>
      </c>
      <c r="D8636" s="5" t="s">
        <v>503</v>
      </c>
      <c r="E8636" s="5" t="str">
        <f t="shared" si="443"/>
        <v>CARPA COVID AZUL-YENI ESPERANZA PEÑA GUERRERO(ZONA EXPANCION)</v>
      </c>
      <c r="F8636" s="5"/>
      <c r="G8636" s="5"/>
    </row>
    <row r="8637" spans="1:7" ht="58.5" customHeight="1" x14ac:dyDescent="0.25">
      <c r="A8637" s="5" t="str">
        <f>"H0033020"</f>
        <v>H0033020</v>
      </c>
      <c r="B8637" s="5" t="str">
        <f>"CAMA HOSPITALARIA (DONACION)"</f>
        <v>CAMA HOSPITALARIA (DONACION)</v>
      </c>
      <c r="C8637" s="6">
        <v>482786</v>
      </c>
      <c r="D8637" s="5" t="s">
        <v>503</v>
      </c>
      <c r="E8637" s="5" t="str">
        <f t="shared" si="443"/>
        <v>CARPA COVID AZUL-YENI ESPERANZA PEÑA GUERRERO(ZONA EXPANCION)</v>
      </c>
      <c r="F8637" s="5"/>
      <c r="G8637" s="5"/>
    </row>
    <row r="8638" spans="1:7" ht="58.5" customHeight="1" x14ac:dyDescent="0.25">
      <c r="A8638" s="5" t="str">
        <f>"H0033021"</f>
        <v>H0033021</v>
      </c>
      <c r="B8638" s="5" t="str">
        <f>"CAMA HOSPITALARIA (DONACION)"</f>
        <v>CAMA HOSPITALARIA (DONACION)</v>
      </c>
      <c r="C8638" s="6">
        <v>482786</v>
      </c>
      <c r="D8638" s="5" t="s">
        <v>503</v>
      </c>
      <c r="E8638" s="5" t="str">
        <f t="shared" si="443"/>
        <v>CARPA COVID AZUL-YENI ESPERANZA PEÑA GUERRERO(ZONA EXPANCION)</v>
      </c>
      <c r="F8638" s="5"/>
      <c r="G8638" s="5"/>
    </row>
    <row r="8639" spans="1:7" ht="58.5" customHeight="1" x14ac:dyDescent="0.25">
      <c r="A8639" s="5" t="str">
        <f>"H0033022"</f>
        <v>H0033022</v>
      </c>
      <c r="B8639" s="5" t="str">
        <f>"CAMA HOSPITALARIA (DONACION)"</f>
        <v>CAMA HOSPITALARIA (DONACION)</v>
      </c>
      <c r="C8639" s="6">
        <v>482786</v>
      </c>
      <c r="D8639" s="5" t="s">
        <v>503</v>
      </c>
      <c r="E8639" s="5" t="str">
        <f t="shared" si="443"/>
        <v>CARPA COVID AZUL-YENI ESPERANZA PEÑA GUERRERO(ZONA EXPANCION)</v>
      </c>
      <c r="F8639" s="5"/>
      <c r="G8639" s="5"/>
    </row>
    <row r="8640" spans="1:7" ht="58.5" customHeight="1" x14ac:dyDescent="0.25">
      <c r="A8640" s="5" t="str">
        <f>"H0033023"</f>
        <v>H0033023</v>
      </c>
      <c r="B8640" s="5" t="str">
        <f>"CAMA HOSPITALARIA (DONACION)"</f>
        <v>CAMA HOSPITALARIA (DONACION)</v>
      </c>
      <c r="C8640" s="6">
        <v>482786</v>
      </c>
      <c r="D8640" s="5" t="s">
        <v>503</v>
      </c>
      <c r="E8640" s="5" t="str">
        <f t="shared" si="443"/>
        <v>CARPA COVID AZUL-YENI ESPERANZA PEÑA GUERRERO(ZONA EXPANCION)</v>
      </c>
      <c r="F8640" s="5"/>
      <c r="G8640" s="5"/>
    </row>
    <row r="8641" spans="1:7" ht="58.5" customHeight="1" x14ac:dyDescent="0.25">
      <c r="A8641" s="5" t="str">
        <f>"H0033078"</f>
        <v>H0033078</v>
      </c>
      <c r="B8641" s="5" t="str">
        <f>"TORRES DE APILAMIENTO DE BOMBAS DE INFUSION"</f>
        <v>TORRES DE APILAMIENTO DE BOMBAS DE INFUSION</v>
      </c>
      <c r="C8641" s="6">
        <v>1404200</v>
      </c>
      <c r="D8641" s="5" t="s">
        <v>157</v>
      </c>
      <c r="E8641" s="5" t="str">
        <f t="shared" si="443"/>
        <v>CARPA COVID AZUL-YENI ESPERANZA PEÑA GUERRERO(ZONA EXPANCION)</v>
      </c>
      <c r="F8641" s="5"/>
      <c r="G8641" s="5"/>
    </row>
    <row r="8642" spans="1:7" ht="58.5" customHeight="1" x14ac:dyDescent="0.25">
      <c r="A8642" s="5" t="str">
        <f>"H0033086"</f>
        <v>H0033086</v>
      </c>
      <c r="B8642" s="5" t="str">
        <f>"TORRES DE APILAMIENTO DE BOMBAS DE INFUSION"</f>
        <v>TORRES DE APILAMIENTO DE BOMBAS DE INFUSION</v>
      </c>
      <c r="C8642" s="6">
        <v>1404200</v>
      </c>
      <c r="D8642" s="5" t="s">
        <v>157</v>
      </c>
      <c r="E8642" s="5" t="str">
        <f t="shared" si="443"/>
        <v>CARPA COVID AZUL-YENI ESPERANZA PEÑA GUERRERO(ZONA EXPANCION)</v>
      </c>
      <c r="F8642" s="5"/>
      <c r="G8642" s="5"/>
    </row>
    <row r="8643" spans="1:7" ht="58.5" customHeight="1" x14ac:dyDescent="0.25">
      <c r="A8643" s="5" t="str">
        <f>"H0033087"</f>
        <v>H0033087</v>
      </c>
      <c r="B8643" s="5" t="str">
        <f>"TORRES DE APILAMIENTO DE BOMBAS DE INFUSION"</f>
        <v>TORRES DE APILAMIENTO DE BOMBAS DE INFUSION</v>
      </c>
      <c r="C8643" s="6">
        <v>1404200</v>
      </c>
      <c r="D8643" s="5" t="s">
        <v>157</v>
      </c>
      <c r="E8643" s="5" t="str">
        <f t="shared" si="443"/>
        <v>CARPA COVID AZUL-YENI ESPERANZA PEÑA GUERRERO(ZONA EXPANCION)</v>
      </c>
      <c r="F8643" s="5"/>
      <c r="G8643" s="5"/>
    </row>
    <row r="8644" spans="1:7" ht="58.5" customHeight="1" x14ac:dyDescent="0.25">
      <c r="A8644" s="5" t="str">
        <f>"H0033109"</f>
        <v>H0033109</v>
      </c>
      <c r="B8644" s="5" t="str">
        <f>"MONITOR DE SIGNOS VITALES"</f>
        <v>MONITOR DE SIGNOS VITALES</v>
      </c>
      <c r="C8644" s="6">
        <v>9470000</v>
      </c>
      <c r="D8644" s="5" t="s">
        <v>119</v>
      </c>
      <c r="E8644" s="5" t="str">
        <f t="shared" si="443"/>
        <v>CARPA COVID AZUL-YENI ESPERANZA PEÑA GUERRERO(ZONA EXPANCION)</v>
      </c>
      <c r="F8644" s="5"/>
      <c r="G8644" s="5"/>
    </row>
    <row r="8645" spans="1:7" ht="58.5" customHeight="1" x14ac:dyDescent="0.25">
      <c r="A8645" s="5" t="str">
        <f>"H0033117"</f>
        <v>H0033117</v>
      </c>
      <c r="B8645"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645" s="6">
        <v>2533333</v>
      </c>
      <c r="D8645" s="5" t="s">
        <v>157</v>
      </c>
      <c r="E8645" s="5" t="str">
        <f t="shared" si="443"/>
        <v>CARPA COVID AZUL-YENI ESPERANZA PEÑA GUERRERO(ZONA EXPANCION)</v>
      </c>
      <c r="F8645" s="5"/>
      <c r="G8645" s="5"/>
    </row>
    <row r="8646" spans="1:7" ht="58.5" customHeight="1" x14ac:dyDescent="0.25">
      <c r="A8646" s="5" t="str">
        <f>"H0033131"</f>
        <v>H0033131</v>
      </c>
      <c r="B8646" s="5" t="str">
        <f>"BOMBA DE NUTRICION. 1 mL/h a 600 mL/h. 1 mL/h a 5 mL/h incr. ± 7% a 125 mL/h. Cumple 60601-2-24."</f>
        <v>BOMBA DE NUTRICION. 1 mL/h a 600 mL/h. 1 mL/h a 5 mL/h incr. ± 7% a 125 mL/h. Cumple 60601-2-24.</v>
      </c>
      <c r="C8646" s="6">
        <v>3066667</v>
      </c>
      <c r="D8646" s="5" t="s">
        <v>119</v>
      </c>
      <c r="E8646" s="5" t="str">
        <f t="shared" si="443"/>
        <v>CARPA COVID AZUL-YENI ESPERANZA PEÑA GUERRERO(ZONA EXPANCION)</v>
      </c>
      <c r="F8646" s="5"/>
      <c r="G8646" s="5"/>
    </row>
    <row r="8647" spans="1:7" ht="58.5" customHeight="1" x14ac:dyDescent="0.25">
      <c r="A8647" s="5" t="str">
        <f>"H0033134"</f>
        <v>H0033134</v>
      </c>
      <c r="B8647" s="5" t="str">
        <f>"BOMBA DE NUTRICION. 1 mL/h a 600 mL/h. 1 mL/h a 5 mL/h incr. ± 7% a 125 mL/h. Cumple 60601-2-24."</f>
        <v>BOMBA DE NUTRICION. 1 mL/h a 600 mL/h. 1 mL/h a 5 mL/h incr. ± 7% a 125 mL/h. Cumple 60601-2-24.</v>
      </c>
      <c r="C8647" s="6">
        <v>3066667</v>
      </c>
      <c r="D8647" s="5" t="s">
        <v>119</v>
      </c>
      <c r="E8647" s="5" t="str">
        <f t="shared" si="443"/>
        <v>CARPA COVID AZUL-YENI ESPERANZA PEÑA GUERRERO(ZONA EXPANCION)</v>
      </c>
      <c r="F8647" s="5"/>
      <c r="G8647" s="5"/>
    </row>
    <row r="8648" spans="1:7" ht="58.5" customHeight="1" x14ac:dyDescent="0.25">
      <c r="A8648" s="5" t="str">
        <f>"H0033263"</f>
        <v>H0033263</v>
      </c>
      <c r="B8648" s="5" t="str">
        <f>"EQUIPO DE ORGANOS PORTATIL. Batería Recargable. Luz LED blanca y fría. Oftalmoscopio mínimo 5 lentes de apertura. otoscopio con lente de lupa. Estuche protector"</f>
        <v>EQUIPO DE ORGANOS PORTATIL. Batería Recargable. Luz LED blanca y fría. Oftalmoscopio mínimo 5 lentes de apertura. otoscopio con lente de lupa. Estuche protector</v>
      </c>
      <c r="C8648" s="6">
        <v>1170000</v>
      </c>
      <c r="D8648" s="5" t="s">
        <v>119</v>
      </c>
      <c r="E8648" s="5" t="str">
        <f t="shared" si="443"/>
        <v>CARPA COVID AZUL-YENI ESPERANZA PEÑA GUERRERO(ZONA EXPANCION)</v>
      </c>
      <c r="F8648" s="5"/>
      <c r="G8648" s="5"/>
    </row>
    <row r="8649" spans="1:7" ht="58.5" customHeight="1" x14ac:dyDescent="0.25">
      <c r="A8649" s="5" t="str">
        <f>"H0033296"</f>
        <v>H0033296</v>
      </c>
      <c r="B8649" s="5" t="str">
        <f t="shared" ref="B8649:B8664" si="445">"BOMBA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8649" s="6">
        <v>2533333</v>
      </c>
      <c r="D8649" s="5" t="s">
        <v>120</v>
      </c>
      <c r="E8649" s="5" t="str">
        <f t="shared" si="443"/>
        <v>CARPA COVID AZUL-YENI ESPERANZA PEÑA GUERRERO(ZONA EXPANCION)</v>
      </c>
      <c r="F8649" s="5"/>
      <c r="G8649" s="5"/>
    </row>
    <row r="8650" spans="1:7" ht="58.5" customHeight="1" x14ac:dyDescent="0.25">
      <c r="A8650" s="5" t="str">
        <f>"H0033315"</f>
        <v>H0033315</v>
      </c>
      <c r="B8650" s="5" t="str">
        <f t="shared" si="445"/>
        <v>BOMBA DE INFUSION. Apilables.5 modos. 01-1200 ml/h. 0.1 ml incr. Compatible con set de infusión genérico. anti-bolo. Detección de aire. Alarmas visuales audibles. Bitacora 1.000 reg. Batería de litio</v>
      </c>
      <c r="C8650" s="6">
        <v>2533333</v>
      </c>
      <c r="D8650" s="5" t="s">
        <v>120</v>
      </c>
      <c r="E8650" s="5" t="str">
        <f t="shared" si="443"/>
        <v>CARPA COVID AZUL-YENI ESPERANZA PEÑA GUERRERO(ZONA EXPANCION)</v>
      </c>
      <c r="F8650" s="5"/>
      <c r="G8650" s="5"/>
    </row>
    <row r="8651" spans="1:7" ht="58.5" customHeight="1" x14ac:dyDescent="0.25">
      <c r="A8651" s="5" t="str">
        <f>"H0033349"</f>
        <v>H0033349</v>
      </c>
      <c r="B8651" s="5" t="str">
        <f t="shared" si="445"/>
        <v>BOMBA DE INFUSION. Apilables.5 modos. 01-1200 ml/h. 0.1 ml incr. Compatible con set de infusión genérico. anti-bolo. Detección de aire. Alarmas visuales audibles. Bitacora 1.000 reg. Batería de litio</v>
      </c>
      <c r="C8651" s="6">
        <v>2533333</v>
      </c>
      <c r="D8651" s="5" t="s">
        <v>120</v>
      </c>
      <c r="E8651" s="5" t="str">
        <f t="shared" si="443"/>
        <v>CARPA COVID AZUL-YENI ESPERANZA PEÑA GUERRERO(ZONA EXPANCION)</v>
      </c>
      <c r="F8651" s="5"/>
      <c r="G8651" s="5"/>
    </row>
    <row r="8652" spans="1:7" ht="58.5" customHeight="1" x14ac:dyDescent="0.25">
      <c r="A8652" s="5" t="str">
        <f>"H0033376"</f>
        <v>H0033376</v>
      </c>
      <c r="B8652" s="5" t="str">
        <f t="shared" si="445"/>
        <v>BOMBA DE INFUSION. Apilables.5 modos. 01-1200 ml/h. 0.1 ml incr. Compatible con set de infusión genérico. anti-bolo. Detección de aire. Alarmas visuales audibles. Bitacora 1.000 reg. Batería de litio</v>
      </c>
      <c r="C8652" s="6">
        <v>2533333</v>
      </c>
      <c r="D8652" s="5" t="s">
        <v>120</v>
      </c>
      <c r="E8652" s="5" t="str">
        <f t="shared" si="443"/>
        <v>CARPA COVID AZUL-YENI ESPERANZA PEÑA GUERRERO(ZONA EXPANCION)</v>
      </c>
      <c r="F8652" s="5"/>
      <c r="G8652" s="5"/>
    </row>
    <row r="8653" spans="1:7" ht="58.5" customHeight="1" x14ac:dyDescent="0.25">
      <c r="A8653" s="5" t="str">
        <f>"H0033380"</f>
        <v>H0033380</v>
      </c>
      <c r="B8653" s="5" t="str">
        <f t="shared" si="445"/>
        <v>BOMBA DE INFUSION. Apilables.5 modos. 01-1200 ml/h. 0.1 ml incr. Compatible con set de infusión genérico. anti-bolo. Detección de aire. Alarmas visuales audibles. Bitacora 1.000 reg. Batería de litio</v>
      </c>
      <c r="C8653" s="6">
        <v>2533333</v>
      </c>
      <c r="D8653" s="5" t="s">
        <v>120</v>
      </c>
      <c r="E8653" s="5" t="str">
        <f t="shared" si="443"/>
        <v>CARPA COVID AZUL-YENI ESPERANZA PEÑA GUERRERO(ZONA EXPANCION)</v>
      </c>
      <c r="F8653" s="5"/>
      <c r="G8653" s="5"/>
    </row>
    <row r="8654" spans="1:7" ht="58.5" customHeight="1" x14ac:dyDescent="0.25">
      <c r="A8654" s="5" t="str">
        <f>"H0033388"</f>
        <v>H0033388</v>
      </c>
      <c r="B8654" s="5" t="str">
        <f t="shared" si="445"/>
        <v>BOMBA DE INFUSION. Apilables.5 modos. 01-1200 ml/h. 0.1 ml incr. Compatible con set de infusión genérico. anti-bolo. Detección de aire. Alarmas visuales audibles. Bitacora 1.000 reg. Batería de litio</v>
      </c>
      <c r="C8654" s="6">
        <v>2533333</v>
      </c>
      <c r="D8654" s="5" t="s">
        <v>120</v>
      </c>
      <c r="E8654" s="5" t="str">
        <f t="shared" si="443"/>
        <v>CARPA COVID AZUL-YENI ESPERANZA PEÑA GUERRERO(ZONA EXPANCION)</v>
      </c>
      <c r="F8654" s="5"/>
      <c r="G8654" s="5"/>
    </row>
    <row r="8655" spans="1:7" ht="58.5" customHeight="1" x14ac:dyDescent="0.25">
      <c r="A8655" s="5" t="str">
        <f>"H0033411"</f>
        <v>H0033411</v>
      </c>
      <c r="B8655" s="5" t="str">
        <f t="shared" si="445"/>
        <v>BOMBA DE INFUSION. Apilables.5 modos. 01-1200 ml/h. 0.1 ml incr. Compatible con set de infusión genérico. anti-bolo. Detección de aire. Alarmas visuales audibles. Bitacora 1.000 reg. Batería de litio</v>
      </c>
      <c r="C8655" s="6">
        <v>2533333</v>
      </c>
      <c r="D8655" s="5" t="s">
        <v>120</v>
      </c>
      <c r="E8655" s="5" t="str">
        <f t="shared" si="443"/>
        <v>CARPA COVID AZUL-YENI ESPERANZA PEÑA GUERRERO(ZONA EXPANCION)</v>
      </c>
      <c r="F8655" s="5"/>
      <c r="G8655" s="5"/>
    </row>
    <row r="8656" spans="1:7" ht="58.5" customHeight="1" x14ac:dyDescent="0.25">
      <c r="A8656" s="5" t="str">
        <f>"H0033454"</f>
        <v>H0033454</v>
      </c>
      <c r="B8656" s="5" t="str">
        <f t="shared" si="445"/>
        <v>BOMBA DE INFUSION. Apilables.5 modos. 01-1200 ml/h. 0.1 ml incr. Compatible con set de infusión genérico. anti-bolo. Detección de aire. Alarmas visuales audibles. Bitacora 1.000 reg. Batería de litio</v>
      </c>
      <c r="C8656" s="6">
        <v>2225000</v>
      </c>
      <c r="D8656" s="5" t="s">
        <v>119</v>
      </c>
      <c r="E8656" s="5" t="str">
        <f t="shared" si="443"/>
        <v>CARPA COVID AZUL-YENI ESPERANZA PEÑA GUERRERO(ZONA EXPANCION)</v>
      </c>
      <c r="F8656" s="5"/>
      <c r="G8656" s="5" t="str">
        <f>"SYS-6010"</f>
        <v>SYS-6010</v>
      </c>
    </row>
    <row r="8657" spans="1:7" ht="58.5" customHeight="1" x14ac:dyDescent="0.25">
      <c r="A8657" s="5" t="str">
        <f>"H0033456"</f>
        <v>H0033456</v>
      </c>
      <c r="B8657" s="5" t="str">
        <f t="shared" si="445"/>
        <v>BOMBA DE INFUSION. Apilables.5 modos. 01-1200 ml/h. 0.1 ml incr. Compatible con set de infusión genérico. anti-bolo. Detección de aire. Alarmas visuales audibles. Bitacora 1.000 reg. Batería de litio</v>
      </c>
      <c r="C8657" s="6">
        <v>2225000</v>
      </c>
      <c r="D8657" s="5" t="s">
        <v>119</v>
      </c>
      <c r="E8657" s="5" t="str">
        <f t="shared" si="443"/>
        <v>CARPA COVID AZUL-YENI ESPERANZA PEÑA GUERRERO(ZONA EXPANCION)</v>
      </c>
      <c r="F8657" s="5"/>
      <c r="G8657" s="5" t="str">
        <f>"SYS-6010"</f>
        <v>SYS-6010</v>
      </c>
    </row>
    <row r="8658" spans="1:7" ht="58.5" customHeight="1" x14ac:dyDescent="0.25">
      <c r="A8658" s="5" t="str">
        <f>"H0033458"</f>
        <v>H0033458</v>
      </c>
      <c r="B8658" s="5" t="str">
        <f t="shared" si="445"/>
        <v>BOMBA DE INFUSION. Apilables.5 modos. 01-1200 ml/h. 0.1 ml incr. Compatible con set de infusión genérico. anti-bolo. Detección de aire. Alarmas visuales audibles. Bitacora 1.000 reg. Batería de litio</v>
      </c>
      <c r="C8658" s="6">
        <v>2225000</v>
      </c>
      <c r="D8658" s="5" t="s">
        <v>119</v>
      </c>
      <c r="E8658" s="5" t="str">
        <f t="shared" si="443"/>
        <v>CARPA COVID AZUL-YENI ESPERANZA PEÑA GUERRERO(ZONA EXPANCION)</v>
      </c>
      <c r="F8658" s="5"/>
      <c r="G8658" s="5" t="str">
        <f>"SYS-6010"</f>
        <v>SYS-6010</v>
      </c>
    </row>
    <row r="8659" spans="1:7" ht="58.5" customHeight="1" x14ac:dyDescent="0.25">
      <c r="A8659" s="5" t="str">
        <f>"H0033519"</f>
        <v>H0033519</v>
      </c>
      <c r="B8659" s="5" t="str">
        <f t="shared" si="445"/>
        <v>BOMBA DE INFUSION. Apilables.5 modos. 01-1200 ml/h. 0.1 ml incr. Compatible con set de infusión genérico. anti-bolo. Detección de aire. Alarmas visuales audibles. Bitacora 1.000 reg. Batería de litio</v>
      </c>
      <c r="C8659" s="6">
        <v>2533333</v>
      </c>
      <c r="D8659" s="5" t="s">
        <v>120</v>
      </c>
      <c r="E8659" s="5" t="str">
        <f t="shared" si="443"/>
        <v>CARPA COVID AZUL-YENI ESPERANZA PEÑA GUERRERO(ZONA EXPANCION)</v>
      </c>
      <c r="F8659" s="5"/>
      <c r="G8659" s="5"/>
    </row>
    <row r="8660" spans="1:7" ht="58.5" customHeight="1" x14ac:dyDescent="0.25">
      <c r="A8660" s="5" t="str">
        <f>"H0033606"</f>
        <v>H0033606</v>
      </c>
      <c r="B8660" s="5" t="str">
        <f t="shared" si="445"/>
        <v>BOMBA DE INFUSION. Apilables.5 modos. 01-1200 ml/h. 0.1 ml incr. Compatible con set de infusión genérico. anti-bolo. Detección de aire. Alarmas visuales audibles. Bitacora 1.000 reg. Batería de litio</v>
      </c>
      <c r="C8660" s="6">
        <v>2533333</v>
      </c>
      <c r="D8660" s="5" t="s">
        <v>120</v>
      </c>
      <c r="E8660" s="5" t="str">
        <f t="shared" si="443"/>
        <v>CARPA COVID AZUL-YENI ESPERANZA PEÑA GUERRERO(ZONA EXPANCION)</v>
      </c>
      <c r="F8660" s="5"/>
      <c r="G8660" s="5"/>
    </row>
    <row r="8661" spans="1:7" ht="58.5" customHeight="1" x14ac:dyDescent="0.25">
      <c r="A8661" s="5" t="str">
        <f>"H0033643"</f>
        <v>H0033643</v>
      </c>
      <c r="B8661" s="5" t="str">
        <f t="shared" si="445"/>
        <v>BOMBA DE INFUSION. Apilables.5 modos. 01-1200 ml/h. 0.1 ml incr. Compatible con set de infusión genérico. anti-bolo. Detección de aire. Alarmas visuales audibles. Bitacora 1.000 reg. Batería de litio</v>
      </c>
      <c r="C8661" s="6">
        <v>2533333</v>
      </c>
      <c r="D8661" s="5" t="s">
        <v>120</v>
      </c>
      <c r="E8661" s="5" t="str">
        <f t="shared" si="443"/>
        <v>CARPA COVID AZUL-YENI ESPERANZA PEÑA GUERRERO(ZONA EXPANCION)</v>
      </c>
      <c r="F8661" s="5"/>
      <c r="G8661" s="5"/>
    </row>
    <row r="8662" spans="1:7" ht="58.5" customHeight="1" x14ac:dyDescent="0.25">
      <c r="A8662" s="5" t="str">
        <f>"H0033674"</f>
        <v>H0033674</v>
      </c>
      <c r="B8662" s="5" t="str">
        <f t="shared" si="445"/>
        <v>BOMBA DE INFUSION. Apilables.5 modos. 01-1200 ml/h. 0.1 ml incr. Compatible con set de infusión genérico. anti-bolo. Detección de aire. Alarmas visuales audibles. Bitacora 1.000 reg. Batería de litio</v>
      </c>
      <c r="C8662" s="6">
        <v>2533333</v>
      </c>
      <c r="D8662" s="5" t="s">
        <v>120</v>
      </c>
      <c r="E8662" s="5" t="str">
        <f t="shared" si="443"/>
        <v>CARPA COVID AZUL-YENI ESPERANZA PEÑA GUERRERO(ZONA EXPANCION)</v>
      </c>
      <c r="F8662" s="5"/>
      <c r="G8662" s="5"/>
    </row>
    <row r="8663" spans="1:7" ht="58.5" customHeight="1" x14ac:dyDescent="0.25">
      <c r="A8663" s="5" t="str">
        <f>"H0033813"</f>
        <v>H0033813</v>
      </c>
      <c r="B8663" s="5" t="str">
        <f t="shared" si="445"/>
        <v>BOMBA DE INFUSION. Apilables.5 modos. 01-1200 ml/h. 0.1 ml incr. Compatible con set de infusión genérico. anti-bolo. Detección de aire. Alarmas visuales audibles. Bitacora 1.000 reg. Batería de litio</v>
      </c>
      <c r="C8663" s="6">
        <v>2533333</v>
      </c>
      <c r="D8663" s="5" t="s">
        <v>120</v>
      </c>
      <c r="E8663" s="5" t="str">
        <f t="shared" si="443"/>
        <v>CARPA COVID AZUL-YENI ESPERANZA PEÑA GUERRERO(ZONA EXPANCION)</v>
      </c>
      <c r="F8663" s="5"/>
      <c r="G8663" s="5"/>
    </row>
    <row r="8664" spans="1:7" ht="58.5" customHeight="1" x14ac:dyDescent="0.25">
      <c r="A8664" s="5" t="str">
        <f>"H0033848"</f>
        <v>H0033848</v>
      </c>
      <c r="B8664" s="5" t="str">
        <f t="shared" si="445"/>
        <v>BOMBA DE INFUSION. Apilables.5 modos. 01-1200 ml/h. 0.1 ml incr. Compatible con set de infusión genérico. anti-bolo. Detección de aire. Alarmas visuales audibles. Bitacora 1.000 reg. Batería de litio</v>
      </c>
      <c r="C8664" s="6">
        <v>2533333</v>
      </c>
      <c r="D8664" s="5" t="s">
        <v>120</v>
      </c>
      <c r="E8664" s="5" t="str">
        <f t="shared" si="443"/>
        <v>CARPA COVID AZUL-YENI ESPERANZA PEÑA GUERRERO(ZONA EXPANCION)</v>
      </c>
      <c r="F8664" s="5"/>
      <c r="G8664" s="5"/>
    </row>
    <row r="8665" spans="1:7" ht="58.5" customHeight="1" x14ac:dyDescent="0.25">
      <c r="A8665" s="5" t="str">
        <f>"H0033895"</f>
        <v>H0033895</v>
      </c>
      <c r="B8665" s="5" t="str">
        <f>"BOMBA DE NUTRICION. 1 mL/h a 600 mL/h. 1 mL/h a 5 mL/h incr. ± 7% a 125 mL/h. Cumple 60601-2-24."</f>
        <v>BOMBA DE NUTRICION. 1 mL/h a 600 mL/h. 1 mL/h a 5 mL/h incr. ± 7% a 125 mL/h. Cumple 60601-2-24.</v>
      </c>
      <c r="C8665" s="6">
        <v>3066667</v>
      </c>
      <c r="D8665" s="5" t="s">
        <v>120</v>
      </c>
      <c r="E8665" s="5" t="str">
        <f t="shared" si="443"/>
        <v>CARPA COVID AZUL-YENI ESPERANZA PEÑA GUERRERO(ZONA EXPANCION)</v>
      </c>
      <c r="F8665" s="5"/>
      <c r="G8665" s="5"/>
    </row>
    <row r="8666" spans="1:7" ht="58.5" customHeight="1" x14ac:dyDescent="0.25">
      <c r="A8666" s="5" t="str">
        <f>"H0033903"</f>
        <v>H0033903</v>
      </c>
      <c r="B8666" s="5" t="str">
        <f t="shared" ref="B8666:B8674" si="446">"LECTOR DE HUELLAS DIGITALES"</f>
        <v>LECTOR DE HUELLAS DIGITALES</v>
      </c>
      <c r="C8666" s="6">
        <v>340340</v>
      </c>
      <c r="D8666" s="5" t="s">
        <v>119</v>
      </c>
      <c r="E8666" s="5" t="str">
        <f t="shared" si="443"/>
        <v>CARPA COVID AZUL-YENI ESPERANZA PEÑA GUERRERO(ZONA EXPANCION)</v>
      </c>
      <c r="F8666" s="5"/>
      <c r="G8666" s="5"/>
    </row>
    <row r="8667" spans="1:7" ht="58.5" customHeight="1" x14ac:dyDescent="0.25">
      <c r="A8667" s="5" t="str">
        <f>"H0033904"</f>
        <v>H0033904</v>
      </c>
      <c r="B8667" s="5" t="str">
        <f t="shared" si="446"/>
        <v>LECTOR DE HUELLAS DIGITALES</v>
      </c>
      <c r="C8667" s="6">
        <v>340340</v>
      </c>
      <c r="D8667" s="5" t="s">
        <v>119</v>
      </c>
      <c r="E8667" s="5" t="str">
        <f t="shared" si="443"/>
        <v>CARPA COVID AZUL-YENI ESPERANZA PEÑA GUERRERO(ZONA EXPANCION)</v>
      </c>
      <c r="F8667" s="5"/>
      <c r="G8667" s="5"/>
    </row>
    <row r="8668" spans="1:7" ht="58.5" customHeight="1" x14ac:dyDescent="0.25">
      <c r="A8668" s="5" t="str">
        <f>"H0033905"</f>
        <v>H0033905</v>
      </c>
      <c r="B8668" s="5" t="str">
        <f t="shared" si="446"/>
        <v>LECTOR DE HUELLAS DIGITALES</v>
      </c>
      <c r="C8668" s="6">
        <v>340340</v>
      </c>
      <c r="D8668" s="5" t="s">
        <v>119</v>
      </c>
      <c r="E8668" s="5" t="str">
        <f t="shared" si="443"/>
        <v>CARPA COVID AZUL-YENI ESPERANZA PEÑA GUERRERO(ZONA EXPANCION)</v>
      </c>
      <c r="F8668" s="5"/>
      <c r="G8668" s="5"/>
    </row>
    <row r="8669" spans="1:7" ht="58.5" customHeight="1" x14ac:dyDescent="0.25">
      <c r="A8669" s="5" t="str">
        <f>"H0033906"</f>
        <v>H0033906</v>
      </c>
      <c r="B8669" s="5" t="str">
        <f t="shared" si="446"/>
        <v>LECTOR DE HUELLAS DIGITALES</v>
      </c>
      <c r="C8669" s="6">
        <v>340340</v>
      </c>
      <c r="D8669" s="5" t="s">
        <v>119</v>
      </c>
      <c r="E8669" s="5" t="str">
        <f t="shared" si="443"/>
        <v>CARPA COVID AZUL-YENI ESPERANZA PEÑA GUERRERO(ZONA EXPANCION)</v>
      </c>
      <c r="F8669" s="5"/>
      <c r="G8669" s="5"/>
    </row>
    <row r="8670" spans="1:7" ht="58.5" customHeight="1" x14ac:dyDescent="0.25">
      <c r="A8670" s="5" t="str">
        <f>"H0033907"</f>
        <v>H0033907</v>
      </c>
      <c r="B8670" s="5" t="str">
        <f t="shared" si="446"/>
        <v>LECTOR DE HUELLAS DIGITALES</v>
      </c>
      <c r="C8670" s="6">
        <v>340340</v>
      </c>
      <c r="D8670" s="5" t="s">
        <v>119</v>
      </c>
      <c r="E8670" s="5" t="str">
        <f t="shared" si="443"/>
        <v>CARPA COVID AZUL-YENI ESPERANZA PEÑA GUERRERO(ZONA EXPANCION)</v>
      </c>
      <c r="F8670" s="5"/>
      <c r="G8670" s="5"/>
    </row>
    <row r="8671" spans="1:7" ht="58.5" customHeight="1" x14ac:dyDescent="0.25">
      <c r="A8671" s="5" t="str">
        <f>"H0033908"</f>
        <v>H0033908</v>
      </c>
      <c r="B8671" s="5" t="str">
        <f t="shared" si="446"/>
        <v>LECTOR DE HUELLAS DIGITALES</v>
      </c>
      <c r="C8671" s="6">
        <v>340340</v>
      </c>
      <c r="D8671" s="5" t="s">
        <v>119</v>
      </c>
      <c r="E8671" s="5" t="str">
        <f t="shared" si="443"/>
        <v>CARPA COVID AZUL-YENI ESPERANZA PEÑA GUERRERO(ZONA EXPANCION)</v>
      </c>
      <c r="F8671" s="5"/>
      <c r="G8671" s="5"/>
    </row>
    <row r="8672" spans="1:7" ht="58.5" customHeight="1" x14ac:dyDescent="0.25">
      <c r="A8672" s="5" t="str">
        <f>"H0033940"</f>
        <v>H0033940</v>
      </c>
      <c r="B8672" s="5" t="str">
        <f t="shared" si="446"/>
        <v>LECTOR DE HUELLAS DIGITALES</v>
      </c>
      <c r="C8672" s="6">
        <v>340340</v>
      </c>
      <c r="D8672" s="5" t="s">
        <v>119</v>
      </c>
      <c r="E8672" s="5" t="str">
        <f t="shared" si="443"/>
        <v>CARPA COVID AZUL-YENI ESPERANZA PEÑA GUERRERO(ZONA EXPANCION)</v>
      </c>
      <c r="F8672" s="5"/>
      <c r="G8672" s="5"/>
    </row>
    <row r="8673" spans="1:7" ht="58.5" customHeight="1" x14ac:dyDescent="0.25">
      <c r="A8673" s="5" t="str">
        <f>"H0033941"</f>
        <v>H0033941</v>
      </c>
      <c r="B8673" s="5" t="str">
        <f t="shared" si="446"/>
        <v>LECTOR DE HUELLAS DIGITALES</v>
      </c>
      <c r="C8673" s="6">
        <v>340340</v>
      </c>
      <c r="D8673" s="5" t="s">
        <v>504</v>
      </c>
      <c r="E8673" s="5" t="str">
        <f t="shared" si="443"/>
        <v>CARPA COVID AZUL-YENI ESPERANZA PEÑA GUERRERO(ZONA EXPANCION)</v>
      </c>
      <c r="F8673" s="5"/>
      <c r="G8673" s="5"/>
    </row>
    <row r="8674" spans="1:7" ht="58.5" customHeight="1" x14ac:dyDescent="0.25">
      <c r="A8674" s="5" t="str">
        <f>"H0033942"</f>
        <v>H0033942</v>
      </c>
      <c r="B8674" s="5" t="str">
        <f t="shared" si="446"/>
        <v>LECTOR DE HUELLAS DIGITALES</v>
      </c>
      <c r="C8674" s="6">
        <v>340340</v>
      </c>
      <c r="D8674" s="5" t="s">
        <v>119</v>
      </c>
      <c r="E8674" s="5" t="str">
        <f t="shared" si="443"/>
        <v>CARPA COVID AZUL-YENI ESPERANZA PEÑA GUERRERO(ZONA EXPANCION)</v>
      </c>
      <c r="F8674" s="5"/>
      <c r="G8674" s="5"/>
    </row>
    <row r="8675" spans="1:7" ht="58.5" customHeight="1" x14ac:dyDescent="0.25">
      <c r="A8675" s="5" t="str">
        <f>"H0033987"</f>
        <v>H0033987</v>
      </c>
      <c r="B8675" s="5" t="s">
        <v>329</v>
      </c>
      <c r="C8675" s="6">
        <v>258000</v>
      </c>
      <c r="D8675" s="5" t="s">
        <v>122</v>
      </c>
      <c r="E8675" s="5" t="str">
        <f t="shared" si="443"/>
        <v>CARPA COVID AZUL-YENI ESPERANZA PEÑA GUERRERO(ZONA EXPANCION)</v>
      </c>
      <c r="F8675" s="5"/>
      <c r="G8675" s="5"/>
    </row>
    <row r="8676" spans="1:7" ht="58.5" customHeight="1" x14ac:dyDescent="0.25">
      <c r="A8676" s="5" t="str">
        <f>"H0034025"</f>
        <v>H0034025</v>
      </c>
      <c r="B8676" s="5" t="s">
        <v>329</v>
      </c>
      <c r="C8676" s="6">
        <v>258000</v>
      </c>
      <c r="D8676" s="5" t="s">
        <v>122</v>
      </c>
      <c r="E8676" s="5" t="str">
        <f t="shared" si="443"/>
        <v>CARPA COVID AZUL-YENI ESPERANZA PEÑA GUERRERO(ZONA EXPANCION)</v>
      </c>
      <c r="F8676" s="5"/>
      <c r="G8676" s="5"/>
    </row>
    <row r="8677" spans="1:7" ht="58.5" customHeight="1" x14ac:dyDescent="0.25">
      <c r="A8677" s="5" t="str">
        <f>"H0034036"</f>
        <v>H0034036</v>
      </c>
      <c r="B8677" s="5" t="s">
        <v>329</v>
      </c>
      <c r="C8677" s="6">
        <v>258000</v>
      </c>
      <c r="D8677" s="5" t="s">
        <v>122</v>
      </c>
      <c r="E8677" s="5" t="str">
        <f t="shared" si="443"/>
        <v>CARPA COVID AZUL-YENI ESPERANZA PEÑA GUERRERO(ZONA EXPANCION)</v>
      </c>
      <c r="F8677" s="5"/>
      <c r="G8677" s="5"/>
    </row>
    <row r="8678" spans="1:7" ht="58.5" customHeight="1" x14ac:dyDescent="0.25">
      <c r="A8678" s="5" t="str">
        <f>"H0034087"</f>
        <v>H0034087</v>
      </c>
      <c r="B8678" s="5" t="str">
        <f>"PLANTA ELECTRICA VOLTAJE 120 VAC 12VDC"</f>
        <v>PLANTA ELECTRICA VOLTAJE 120 VAC 12VDC</v>
      </c>
      <c r="C8678" s="6">
        <v>1200000</v>
      </c>
      <c r="D8678" s="5" t="s">
        <v>330</v>
      </c>
      <c r="E8678" s="5" t="str">
        <f t="shared" si="443"/>
        <v>CARPA COVID AZUL-YENI ESPERANZA PEÑA GUERRERO(ZONA EXPANCION)</v>
      </c>
      <c r="F8678" s="5"/>
      <c r="G8678" s="5"/>
    </row>
    <row r="8679" spans="1:7" ht="58.5" customHeight="1" x14ac:dyDescent="0.25">
      <c r="A8679" s="5" t="str">
        <f>"H0034088"</f>
        <v>H0034088</v>
      </c>
      <c r="B8679" s="5" t="str">
        <f>"PLANTA ELECTRICA VOLTAJE 120 VAC 12VDC"</f>
        <v>PLANTA ELECTRICA VOLTAJE 120 VAC 12VDC</v>
      </c>
      <c r="C8679" s="6">
        <v>1200000</v>
      </c>
      <c r="D8679" s="5" t="s">
        <v>330</v>
      </c>
      <c r="E8679" s="5" t="str">
        <f t="shared" si="443"/>
        <v>CARPA COVID AZUL-YENI ESPERANZA PEÑA GUERRERO(ZONA EXPANCION)</v>
      </c>
      <c r="F8679" s="5"/>
      <c r="G8679" s="5"/>
    </row>
    <row r="8680" spans="1:7" ht="58.5" customHeight="1" x14ac:dyDescent="0.25">
      <c r="A8680" s="5" t="str">
        <f>"H0034093"</f>
        <v>H0034093</v>
      </c>
      <c r="B868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8680" s="6">
        <v>5604900</v>
      </c>
      <c r="D8680" s="5" t="s">
        <v>192</v>
      </c>
      <c r="E8680" s="5" t="str">
        <f t="shared" si="443"/>
        <v>CARPA COVID AZUL-YENI ESPERANZA PEÑA GUERRERO(ZONA EXPANCION)</v>
      </c>
      <c r="F8680" s="5"/>
      <c r="G8680" s="5"/>
    </row>
    <row r="8681" spans="1:7" ht="58.5" customHeight="1" x14ac:dyDescent="0.25">
      <c r="A8681" s="5" t="str">
        <f>"H0034095"</f>
        <v>H0034095</v>
      </c>
      <c r="B868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8681" s="6">
        <v>5604900</v>
      </c>
      <c r="D8681" s="5" t="s">
        <v>192</v>
      </c>
      <c r="E8681" s="5" t="str">
        <f t="shared" si="443"/>
        <v>CARPA COVID AZUL-YENI ESPERANZA PEÑA GUERRERO(ZONA EXPANCION)</v>
      </c>
      <c r="F8681" s="5"/>
      <c r="G8681" s="5"/>
    </row>
    <row r="8682" spans="1:7" ht="58.5" customHeight="1" x14ac:dyDescent="0.25">
      <c r="A8682" s="5" t="str">
        <f>"H0034097"</f>
        <v>H0034097</v>
      </c>
      <c r="B868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8682" s="6">
        <v>5604900</v>
      </c>
      <c r="D8682" s="5" t="s">
        <v>192</v>
      </c>
      <c r="E8682" s="5" t="str">
        <f t="shared" si="443"/>
        <v>CARPA COVID AZUL-YENI ESPERANZA PEÑA GUERRERO(ZONA EXPANCION)</v>
      </c>
      <c r="F8682" s="5"/>
      <c r="G8682" s="5"/>
    </row>
    <row r="8683" spans="1:7" ht="58.5" customHeight="1" x14ac:dyDescent="0.25">
      <c r="A8683" s="5" t="str">
        <f>"H0034099"</f>
        <v>H0034099</v>
      </c>
      <c r="B868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8683" s="6">
        <v>5604900</v>
      </c>
      <c r="D8683" s="5" t="s">
        <v>192</v>
      </c>
      <c r="E8683" s="5" t="str">
        <f t="shared" si="443"/>
        <v>CARPA COVID AZUL-YENI ESPERANZA PEÑA GUERRERO(ZONA EXPANCION)</v>
      </c>
      <c r="F8683" s="5"/>
      <c r="G8683" s="5"/>
    </row>
    <row r="8684" spans="1:7" ht="58.5" customHeight="1" x14ac:dyDescent="0.25">
      <c r="A8684" s="5" t="str">
        <f>"H0034124"</f>
        <v>H0034124</v>
      </c>
      <c r="B8684" s="5" t="str">
        <f>"DISPENSADOR DE AGUA (Donación )"</f>
        <v>DISPENSADOR DE AGUA (Donación )</v>
      </c>
      <c r="C8684" s="6">
        <v>300000</v>
      </c>
      <c r="D8684" s="5" t="s">
        <v>505</v>
      </c>
      <c r="E8684" s="5" t="str">
        <f t="shared" si="443"/>
        <v>CARPA COVID AZUL-YENI ESPERANZA PEÑA GUERRERO(ZONA EXPANCION)</v>
      </c>
      <c r="F8684" s="5"/>
      <c r="G8684" s="5"/>
    </row>
    <row r="8685" spans="1:7" ht="58.5" customHeight="1" x14ac:dyDescent="0.25">
      <c r="A8685" s="5" t="str">
        <f>"H0034155"</f>
        <v>H0034155</v>
      </c>
      <c r="B8685" s="5" t="str">
        <f>"termometro infrarrojo (DONACION)"</f>
        <v>termometro infrarrojo (DONACION)</v>
      </c>
      <c r="C8685" s="6">
        <v>150000</v>
      </c>
      <c r="D8685" s="5" t="s">
        <v>489</v>
      </c>
      <c r="E8685" s="5" t="str">
        <f t="shared" ref="E8685:E8748" si="447">"CARPA COVID AZUL-YENI ESPERANZA PEÑA GUERRERO(ZONA EXPANCION)"</f>
        <v>CARPA COVID AZUL-YENI ESPERANZA PEÑA GUERRERO(ZONA EXPANCION)</v>
      </c>
      <c r="F8685" s="5"/>
      <c r="G8685" s="5"/>
    </row>
    <row r="8686" spans="1:7" ht="58.5" customHeight="1" x14ac:dyDescent="0.25">
      <c r="A8686" s="5" t="str">
        <f>"H0034327"</f>
        <v>H0034327</v>
      </c>
      <c r="B8686" s="5" t="str">
        <f>"CARRO DE PARO (DONACION)"</f>
        <v>CARRO DE PARO (DONACION)</v>
      </c>
      <c r="C8686" s="6">
        <v>2650000</v>
      </c>
      <c r="D8686" s="5" t="s">
        <v>193</v>
      </c>
      <c r="E8686" s="5" t="str">
        <f t="shared" si="447"/>
        <v>CARPA COVID AZUL-YENI ESPERANZA PEÑA GUERRERO(ZONA EXPANCION)</v>
      </c>
      <c r="F8686" s="5"/>
      <c r="G8686" s="5"/>
    </row>
    <row r="8687" spans="1:7" ht="58.5" customHeight="1" x14ac:dyDescent="0.25">
      <c r="A8687" s="5" t="str">
        <f>"H0034358"</f>
        <v>H0034358</v>
      </c>
      <c r="B8687" s="5" t="str">
        <f>"INFUSOR DE LIQUIDOS. Soporta soluciones o bolsas de sangre. Capacidad 1000 mL. Manómetro escala mmHg. Pera bombeo"</f>
        <v>INFUSOR DE LIQUIDOS. Soporta soluciones o bolsas de sangre. Capacidad 1000 mL. Manómetro escala mmHg. Pera bombeo</v>
      </c>
      <c r="C8687" s="6">
        <v>343367</v>
      </c>
      <c r="D8687" s="5" t="s">
        <v>193</v>
      </c>
      <c r="E8687" s="5" t="str">
        <f t="shared" si="447"/>
        <v>CARPA COVID AZUL-YENI ESPERANZA PEÑA GUERRERO(ZONA EXPANCION)</v>
      </c>
      <c r="F8687" s="5"/>
      <c r="G8687" s="5"/>
    </row>
    <row r="8688" spans="1:7" ht="58.5" customHeight="1" x14ac:dyDescent="0.25">
      <c r="A8688" s="5" t="str">
        <f>"H0034386"</f>
        <v>H0034386</v>
      </c>
      <c r="B8688" s="5" t="str">
        <f>"INFUSOR DE LIQUIDOS. Soporta soluciones o bolsas de sangre. Capacidad 1000 mL. Manómetro escala mmHg. Pera bombeo"</f>
        <v>INFUSOR DE LIQUIDOS. Soporta soluciones o bolsas de sangre. Capacidad 1000 mL. Manómetro escala mmHg. Pera bombeo</v>
      </c>
      <c r="C8688" s="6">
        <v>343367</v>
      </c>
      <c r="D8688" s="5" t="s">
        <v>193</v>
      </c>
      <c r="E8688" s="5" t="str">
        <f t="shared" si="447"/>
        <v>CARPA COVID AZUL-YENI ESPERANZA PEÑA GUERRERO(ZONA EXPANCION)</v>
      </c>
      <c r="F8688" s="5"/>
      <c r="G8688" s="5"/>
    </row>
    <row r="8689" spans="1:7" ht="58.5" customHeight="1" x14ac:dyDescent="0.25">
      <c r="A8689" s="5" t="str">
        <f>"H0034435"</f>
        <v>H0034435</v>
      </c>
      <c r="B8689" s="5" t="str">
        <f>"VENTILADOR MECANICO (DONACION)"</f>
        <v>VENTILADOR MECANICO (DONACION)</v>
      </c>
      <c r="C8689" s="6">
        <v>59622774</v>
      </c>
      <c r="D8689" s="5" t="s">
        <v>129</v>
      </c>
      <c r="E8689" s="5" t="str">
        <f t="shared" si="447"/>
        <v>CARPA COVID AZUL-YENI ESPERANZA PEÑA GUERRERO(ZONA EXPANCION)</v>
      </c>
      <c r="F8689" s="5"/>
      <c r="G8689" s="5" t="str">
        <f>"VG70"</f>
        <v>VG70</v>
      </c>
    </row>
    <row r="8690" spans="1:7" ht="58.5" customHeight="1" x14ac:dyDescent="0.25">
      <c r="A8690" s="5" t="str">
        <f>"H0034438"</f>
        <v>H0034438</v>
      </c>
      <c r="B8690" s="5" t="str">
        <f>"VENTILADOR MECANICO (DONACION)"</f>
        <v>VENTILADOR MECANICO (DONACION)</v>
      </c>
      <c r="C8690" s="6">
        <v>59622774</v>
      </c>
      <c r="D8690" s="5" t="s">
        <v>129</v>
      </c>
      <c r="E8690" s="5" t="str">
        <f t="shared" si="447"/>
        <v>CARPA COVID AZUL-YENI ESPERANZA PEÑA GUERRERO(ZONA EXPANCION)</v>
      </c>
      <c r="F8690" s="5"/>
      <c r="G8690" s="5" t="str">
        <f>"VG70"</f>
        <v>VG70</v>
      </c>
    </row>
    <row r="8691" spans="1:7" ht="58.5" customHeight="1" x14ac:dyDescent="0.25">
      <c r="A8691" s="5" t="str">
        <f>"H0034489"</f>
        <v>H0034489</v>
      </c>
      <c r="B8691" s="5" t="str">
        <f>"VENTILADOR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8691" s="6">
        <v>88970000</v>
      </c>
      <c r="D8691" s="5" t="s">
        <v>332</v>
      </c>
      <c r="E8691" s="5" t="str">
        <f t="shared" si="447"/>
        <v>CARPA COVID AZUL-YENI ESPERANZA PEÑA GUERRERO(ZONA EXPANCION)</v>
      </c>
      <c r="F8691" s="5"/>
      <c r="G8691" s="5"/>
    </row>
    <row r="8692" spans="1:7" ht="58.5" customHeight="1" x14ac:dyDescent="0.25">
      <c r="A8692" s="5" t="str">
        <f>"H0034528"</f>
        <v>H0034528</v>
      </c>
      <c r="B8692" s="5" t="str">
        <f>"VENTILADOR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8692" s="6">
        <v>88970000</v>
      </c>
      <c r="D8692" s="5" t="s">
        <v>332</v>
      </c>
      <c r="E8692" s="5" t="str">
        <f t="shared" si="447"/>
        <v>CARPA COVID AZUL-YENI ESPERANZA PEÑA GUERRERO(ZONA EXPANCION)</v>
      </c>
      <c r="F8692" s="5"/>
      <c r="G8692" s="5"/>
    </row>
    <row r="8693" spans="1:7" ht="58.5" customHeight="1" x14ac:dyDescent="0.25">
      <c r="A8693" s="5" t="str">
        <f>"H0034533"</f>
        <v>H0034533</v>
      </c>
      <c r="B8693" s="5" t="str">
        <f>"VENTILADOR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8693" s="6">
        <v>88970000</v>
      </c>
      <c r="D8693" s="5" t="s">
        <v>332</v>
      </c>
      <c r="E8693" s="5" t="str">
        <f t="shared" si="447"/>
        <v>CARPA COVID AZUL-YENI ESPERANZA PEÑA GUERRERO(ZONA EXPANCION)</v>
      </c>
      <c r="F8693" s="5"/>
      <c r="G8693" s="5"/>
    </row>
    <row r="8694" spans="1:7" ht="58.5" customHeight="1" x14ac:dyDescent="0.25">
      <c r="A8694" s="5" t="str">
        <f>"H0034573"</f>
        <v>H0034573</v>
      </c>
      <c r="B8694" s="5" t="str">
        <f t="shared" ref="B8694:B8701" si="448">"AIRE ACONDICIONADO TIPO SPLIT 60000 BTU (5 TON)"</f>
        <v>AIRE ACONDICIONADO TIPO SPLIT 60000 BTU (5 TON)</v>
      </c>
      <c r="C8694" s="6">
        <v>9960300</v>
      </c>
      <c r="D8694" s="5" t="s">
        <v>506</v>
      </c>
      <c r="E8694" s="5" t="str">
        <f t="shared" si="447"/>
        <v>CARPA COVID AZUL-YENI ESPERANZA PEÑA GUERRERO(ZONA EXPANCION)</v>
      </c>
      <c r="F8694" s="5"/>
      <c r="G8694" s="5"/>
    </row>
    <row r="8695" spans="1:7" ht="58.5" customHeight="1" x14ac:dyDescent="0.25">
      <c r="A8695" s="5" t="str">
        <f>"H0034574"</f>
        <v>H0034574</v>
      </c>
      <c r="B8695" s="5" t="str">
        <f t="shared" si="448"/>
        <v>AIRE ACONDICIONADO TIPO SPLIT 60000 BTU (5 TON)</v>
      </c>
      <c r="C8695" s="6">
        <v>9960300</v>
      </c>
      <c r="D8695" s="5" t="s">
        <v>506</v>
      </c>
      <c r="E8695" s="5" t="str">
        <f t="shared" si="447"/>
        <v>CARPA COVID AZUL-YENI ESPERANZA PEÑA GUERRERO(ZONA EXPANCION)</v>
      </c>
      <c r="F8695" s="5"/>
      <c r="G8695" s="5"/>
    </row>
    <row r="8696" spans="1:7" ht="58.5" customHeight="1" x14ac:dyDescent="0.25">
      <c r="A8696" s="5" t="str">
        <f>"H0034575"</f>
        <v>H0034575</v>
      </c>
      <c r="B8696" s="5" t="str">
        <f t="shared" si="448"/>
        <v>AIRE ACONDICIONADO TIPO SPLIT 60000 BTU (5 TON)</v>
      </c>
      <c r="C8696" s="6">
        <v>9960300</v>
      </c>
      <c r="D8696" s="5" t="s">
        <v>506</v>
      </c>
      <c r="E8696" s="5" t="str">
        <f t="shared" si="447"/>
        <v>CARPA COVID AZUL-YENI ESPERANZA PEÑA GUERRERO(ZONA EXPANCION)</v>
      </c>
      <c r="F8696" s="5"/>
      <c r="G8696" s="5"/>
    </row>
    <row r="8697" spans="1:7" ht="58.5" customHeight="1" x14ac:dyDescent="0.25">
      <c r="A8697" s="5" t="str">
        <f>"H0034576"</f>
        <v>H0034576</v>
      </c>
      <c r="B8697" s="5" t="str">
        <f t="shared" si="448"/>
        <v>AIRE ACONDICIONADO TIPO SPLIT 60000 BTU (5 TON)</v>
      </c>
      <c r="C8697" s="6">
        <v>9960300</v>
      </c>
      <c r="D8697" s="5" t="s">
        <v>506</v>
      </c>
      <c r="E8697" s="5" t="str">
        <f t="shared" si="447"/>
        <v>CARPA COVID AZUL-YENI ESPERANZA PEÑA GUERRERO(ZONA EXPANCION)</v>
      </c>
      <c r="F8697" s="5"/>
      <c r="G8697" s="5"/>
    </row>
    <row r="8698" spans="1:7" ht="58.5" customHeight="1" x14ac:dyDescent="0.25">
      <c r="A8698" s="5" t="str">
        <f>"H0034577"</f>
        <v>H0034577</v>
      </c>
      <c r="B8698" s="5" t="str">
        <f t="shared" si="448"/>
        <v>AIRE ACONDICIONADO TIPO SPLIT 60000 BTU (5 TON)</v>
      </c>
      <c r="C8698" s="6">
        <v>9960300</v>
      </c>
      <c r="D8698" s="5" t="s">
        <v>506</v>
      </c>
      <c r="E8698" s="5" t="str">
        <f t="shared" si="447"/>
        <v>CARPA COVID AZUL-YENI ESPERANZA PEÑA GUERRERO(ZONA EXPANCION)</v>
      </c>
      <c r="F8698" s="5"/>
      <c r="G8698" s="5"/>
    </row>
    <row r="8699" spans="1:7" ht="58.5" customHeight="1" x14ac:dyDescent="0.25">
      <c r="A8699" s="5" t="str">
        <f>"H0034578"</f>
        <v>H0034578</v>
      </c>
      <c r="B8699" s="5" t="str">
        <f t="shared" si="448"/>
        <v>AIRE ACONDICIONADO TIPO SPLIT 60000 BTU (5 TON)</v>
      </c>
      <c r="C8699" s="6">
        <v>9960300</v>
      </c>
      <c r="D8699" s="5" t="s">
        <v>506</v>
      </c>
      <c r="E8699" s="5" t="str">
        <f t="shared" si="447"/>
        <v>CARPA COVID AZUL-YENI ESPERANZA PEÑA GUERRERO(ZONA EXPANCION)</v>
      </c>
      <c r="F8699" s="5"/>
      <c r="G8699" s="5"/>
    </row>
    <row r="8700" spans="1:7" ht="58.5" customHeight="1" x14ac:dyDescent="0.25">
      <c r="A8700" s="5" t="str">
        <f>"H0034579"</f>
        <v>H0034579</v>
      </c>
      <c r="B8700" s="5" t="str">
        <f t="shared" si="448"/>
        <v>AIRE ACONDICIONADO TIPO SPLIT 60000 BTU (5 TON)</v>
      </c>
      <c r="C8700" s="6">
        <v>9960300</v>
      </c>
      <c r="D8700" s="5" t="s">
        <v>506</v>
      </c>
      <c r="E8700" s="5" t="str">
        <f t="shared" si="447"/>
        <v>CARPA COVID AZUL-YENI ESPERANZA PEÑA GUERRERO(ZONA EXPANCION)</v>
      </c>
      <c r="F8700" s="5"/>
      <c r="G8700" s="5"/>
    </row>
    <row r="8701" spans="1:7" ht="58.5" customHeight="1" x14ac:dyDescent="0.25">
      <c r="A8701" s="5" t="str">
        <f>"H0034580"</f>
        <v>H0034580</v>
      </c>
      <c r="B8701" s="5" t="str">
        <f t="shared" si="448"/>
        <v>AIRE ACONDICIONADO TIPO SPLIT 60000 BTU (5 TON)</v>
      </c>
      <c r="C8701" s="6">
        <v>9960300</v>
      </c>
      <c r="D8701" s="5" t="s">
        <v>506</v>
      </c>
      <c r="E8701" s="5" t="str">
        <f t="shared" si="447"/>
        <v>CARPA COVID AZUL-YENI ESPERANZA PEÑA GUERRERO(ZONA EXPANCION)</v>
      </c>
      <c r="F8701" s="5"/>
      <c r="G8701" s="5"/>
    </row>
    <row r="8702" spans="1:7" ht="58.5" customHeight="1" x14ac:dyDescent="0.25">
      <c r="A8702" s="5" t="str">
        <f>"H0034581"</f>
        <v>H0034581</v>
      </c>
      <c r="B8702" s="5" t="str">
        <f>"Equipo de aire acondicionado tipo split de 36.000 BTU refrigerante ecológico R410 220 voltios"</f>
        <v>Equipo de aire acondicionado tipo split de 36.000 BTU refrigerante ecológico R410 220 voltios</v>
      </c>
      <c r="C8702" s="6">
        <v>3772300</v>
      </c>
      <c r="D8702" s="5" t="s">
        <v>506</v>
      </c>
      <c r="E8702" s="5" t="str">
        <f t="shared" si="447"/>
        <v>CARPA COVID AZUL-YENI ESPERANZA PEÑA GUERRERO(ZONA EXPANCION)</v>
      </c>
      <c r="F8702" s="5"/>
      <c r="G8702" s="5"/>
    </row>
    <row r="8703" spans="1:7" ht="58.5" customHeight="1" x14ac:dyDescent="0.25">
      <c r="A8703" s="5" t="str">
        <f>"H0034582"</f>
        <v>H0034582</v>
      </c>
      <c r="B8703" s="5" t="str">
        <f>"Equipo de aire acondicionado tipo split de 36.000 BTU refrigerante ecológico R410 220 voltios"</f>
        <v>Equipo de aire acondicionado tipo split de 36.000 BTU refrigerante ecológico R410 220 voltios</v>
      </c>
      <c r="C8703" s="6">
        <v>3772300</v>
      </c>
      <c r="D8703" s="5" t="s">
        <v>506</v>
      </c>
      <c r="E8703" s="5" t="str">
        <f t="shared" si="447"/>
        <v>CARPA COVID AZUL-YENI ESPERANZA PEÑA GUERRERO(ZONA EXPANCION)</v>
      </c>
      <c r="F8703" s="5"/>
      <c r="G8703" s="5"/>
    </row>
    <row r="8704" spans="1:7" ht="58.5" customHeight="1" x14ac:dyDescent="0.25">
      <c r="A8704" s="5" t="str">
        <f>"H0034584"</f>
        <v>H0034584</v>
      </c>
      <c r="B8704" s="5" t="str">
        <f>"Equipo de aire acondicionado tipo split de 36.000 BTU refrigerante ecológico R410 220 voltios"</f>
        <v>Equipo de aire acondicionado tipo split de 36.000 BTU refrigerante ecológico R410 220 voltios</v>
      </c>
      <c r="C8704" s="6">
        <v>3772300</v>
      </c>
      <c r="D8704" s="5" t="s">
        <v>506</v>
      </c>
      <c r="E8704" s="5" t="str">
        <f t="shared" si="447"/>
        <v>CARPA COVID AZUL-YENI ESPERANZA PEÑA GUERRERO(ZONA EXPANCION)</v>
      </c>
      <c r="F8704" s="5"/>
      <c r="G8704" s="5"/>
    </row>
    <row r="8705" spans="1:7" ht="58.5" customHeight="1" x14ac:dyDescent="0.25">
      <c r="A8705" s="5" t="str">
        <f>"H0034585"</f>
        <v>H0034585</v>
      </c>
      <c r="B8705" s="5" t="str">
        <f>"Unidad extractora centrífuga de 5500 CFM a 800 FPM motor de acople directo 220 voltios"</f>
        <v>Unidad extractora centrífuga de 5500 CFM a 800 FPM motor de acople directo 220 voltios</v>
      </c>
      <c r="C8705" s="6">
        <v>8000000</v>
      </c>
      <c r="D8705" s="5" t="s">
        <v>506</v>
      </c>
      <c r="E8705" s="5" t="str">
        <f t="shared" si="447"/>
        <v>CARPA COVID AZUL-YENI ESPERANZA PEÑA GUERRERO(ZONA EXPANCION)</v>
      </c>
      <c r="F8705" s="5"/>
      <c r="G8705" s="5"/>
    </row>
    <row r="8706" spans="1:7" ht="58.5" customHeight="1" x14ac:dyDescent="0.25">
      <c r="A8706" s="5" t="str">
        <f>"H0034586"</f>
        <v>H0034586</v>
      </c>
      <c r="B8706" s="5" t="str">
        <f>"Unidad extractora centrífuga de 5500 CFM a 800 FPM motor de acople directo 220 voltios"</f>
        <v>Unidad extractora centrífuga de 5500 CFM a 800 FPM motor de acople directo 220 voltios</v>
      </c>
      <c r="C8706" s="6">
        <v>8000000</v>
      </c>
      <c r="D8706" s="5" t="s">
        <v>506</v>
      </c>
      <c r="E8706" s="5" t="str">
        <f t="shared" si="447"/>
        <v>CARPA COVID AZUL-YENI ESPERANZA PEÑA GUERRERO(ZONA EXPANCION)</v>
      </c>
      <c r="F8706" s="5"/>
      <c r="G8706" s="5"/>
    </row>
    <row r="8707" spans="1:7" ht="58.5" customHeight="1" x14ac:dyDescent="0.25">
      <c r="A8707" s="5" t="str">
        <f>"H0034587"</f>
        <v>H0034587</v>
      </c>
      <c r="B8707" s="5" t="str">
        <f>"Unidad extractora centrífuga de 5500 CFM a 800 FPM motor de acople directo 220 voltios"</f>
        <v>Unidad extractora centrífuga de 5500 CFM a 800 FPM motor de acople directo 220 voltios</v>
      </c>
      <c r="C8707" s="6">
        <v>8000000</v>
      </c>
      <c r="D8707" s="5" t="s">
        <v>506</v>
      </c>
      <c r="E8707" s="5" t="str">
        <f t="shared" si="447"/>
        <v>CARPA COVID AZUL-YENI ESPERANZA PEÑA GUERRERO(ZONA EXPANCION)</v>
      </c>
      <c r="F8707" s="5"/>
      <c r="G8707" s="5"/>
    </row>
    <row r="8708" spans="1:7" ht="58.5" customHeight="1" x14ac:dyDescent="0.25">
      <c r="A8708" s="5" t="str">
        <f>"H0034588"</f>
        <v>H0034588</v>
      </c>
      <c r="B8708" s="5" t="str">
        <f>"Unidad extractora centrífuga de 5500 CFM a 800 FPM motor de acople directo 220 voltios"</f>
        <v>Unidad extractora centrífuga de 5500 CFM a 800 FPM motor de acople directo 220 voltios</v>
      </c>
      <c r="C8708" s="6">
        <v>8000000</v>
      </c>
      <c r="D8708" s="5" t="s">
        <v>506</v>
      </c>
      <c r="E8708" s="5" t="str">
        <f t="shared" si="447"/>
        <v>CARPA COVID AZUL-YENI ESPERANZA PEÑA GUERRERO(ZONA EXPANCION)</v>
      </c>
      <c r="F8708" s="5"/>
      <c r="G8708" s="5"/>
    </row>
    <row r="8709" spans="1:7" ht="58.5" customHeight="1" x14ac:dyDescent="0.25">
      <c r="A8709" s="5" t="str">
        <f>"H0034601"</f>
        <v>H0034601</v>
      </c>
      <c r="B8709" s="5" t="str">
        <f>"BALANZA (PESO) DIGITAL (GRAMERA)"</f>
        <v>BALANZA (PESO) DIGITAL (GRAMERA)</v>
      </c>
      <c r="C8709" s="6">
        <v>120000.01</v>
      </c>
      <c r="D8709" s="5" t="s">
        <v>234</v>
      </c>
      <c r="E8709" s="5" t="str">
        <f t="shared" si="447"/>
        <v>CARPA COVID AZUL-YENI ESPERANZA PEÑA GUERRERO(ZONA EXPANCION)</v>
      </c>
      <c r="F8709" s="5"/>
      <c r="G8709" s="5"/>
    </row>
    <row r="8710" spans="1:7" ht="58.5" customHeight="1" x14ac:dyDescent="0.25">
      <c r="A8710" s="5" t="str">
        <f>"H0034614"</f>
        <v>H0034614</v>
      </c>
      <c r="B8710" s="5" t="str">
        <f>"succionador (DONACION)"</f>
        <v>succionador (DONACION)</v>
      </c>
      <c r="C8710" s="6">
        <v>6216000</v>
      </c>
      <c r="D8710" s="5" t="s">
        <v>123</v>
      </c>
      <c r="E8710" s="5" t="str">
        <f t="shared" si="447"/>
        <v>CARPA COVID AZUL-YENI ESPERANZA PEÑA GUERRERO(ZONA EXPANCION)</v>
      </c>
      <c r="F8710" s="5"/>
      <c r="G8710" s="5"/>
    </row>
    <row r="8711" spans="1:7" ht="58.5" customHeight="1" x14ac:dyDescent="0.25">
      <c r="A8711" s="5" t="str">
        <f>"H0034713"</f>
        <v>H0034713</v>
      </c>
      <c r="B8711" s="5" t="str">
        <f>"BOMBA DE NUTRICION (DONACION)"</f>
        <v>BOMBA DE NUTRICION (DONACION)</v>
      </c>
      <c r="C8711" s="6">
        <v>5850000</v>
      </c>
      <c r="D8711" s="5" t="s">
        <v>507</v>
      </c>
      <c r="E8711" s="5" t="str">
        <f t="shared" si="447"/>
        <v>CARPA COVID AZUL-YENI ESPERANZA PEÑA GUERRERO(ZONA EXPANCION)</v>
      </c>
      <c r="F8711" s="5"/>
      <c r="G8711" s="5"/>
    </row>
    <row r="8712" spans="1:7" ht="58.5" customHeight="1" x14ac:dyDescent="0.25">
      <c r="A8712" s="5" t="str">
        <f>"H0034724"</f>
        <v>H0034724</v>
      </c>
      <c r="B8712" s="5" t="str">
        <f>"BOMBA DE NUTRICION (DONACION)"</f>
        <v>BOMBA DE NUTRICION (DONACION)</v>
      </c>
      <c r="C8712" s="6">
        <v>5850000</v>
      </c>
      <c r="D8712" s="5" t="s">
        <v>124</v>
      </c>
      <c r="E8712" s="5" t="str">
        <f t="shared" si="447"/>
        <v>CARPA COVID AZUL-YENI ESPERANZA PEÑA GUERRERO(ZONA EXPANCION)</v>
      </c>
      <c r="F8712" s="5"/>
      <c r="G8712" s="5" t="str">
        <f>"ENTEROPORT PLUS"</f>
        <v>ENTEROPORT PLUS</v>
      </c>
    </row>
    <row r="8713" spans="1:7" ht="58.5" customHeight="1" x14ac:dyDescent="0.25">
      <c r="A8713" s="5" t="str">
        <f>"H0034725"</f>
        <v>H0034725</v>
      </c>
      <c r="B8713" s="5" t="str">
        <f>"BOMBA DE NUTRICION (DONACION)"</f>
        <v>BOMBA DE NUTRICION (DONACION)</v>
      </c>
      <c r="C8713" s="6">
        <v>5850000</v>
      </c>
      <c r="D8713" s="5" t="s">
        <v>124</v>
      </c>
      <c r="E8713" s="5" t="str">
        <f t="shared" si="447"/>
        <v>CARPA COVID AZUL-YENI ESPERANZA PEÑA GUERRERO(ZONA EXPANCION)</v>
      </c>
      <c r="F8713" s="5"/>
      <c r="G8713" s="5" t="str">
        <f>"ENTEROPORT PLUS"</f>
        <v>ENTEROPORT PLUS</v>
      </c>
    </row>
    <row r="8714" spans="1:7" ht="58.5" customHeight="1" x14ac:dyDescent="0.25">
      <c r="A8714" s="5" t="str">
        <f>"H0034747"</f>
        <v>H0034747</v>
      </c>
      <c r="B8714" s="5" t="str">
        <f t="shared" ref="B8714:B8720" si="449">"CAMA HOSPITALARIA ELECTRICA (DONACION)"</f>
        <v>CAMA HOSPITALARIA ELECTRICA (DONACION)</v>
      </c>
      <c r="C8714" s="6">
        <v>9200000</v>
      </c>
      <c r="D8714" s="5" t="s">
        <v>123</v>
      </c>
      <c r="E8714" s="5" t="str">
        <f t="shared" si="447"/>
        <v>CARPA COVID AZUL-YENI ESPERANZA PEÑA GUERRERO(ZONA EXPANCION)</v>
      </c>
      <c r="F8714" s="5"/>
      <c r="G8714" s="5"/>
    </row>
    <row r="8715" spans="1:7" ht="58.5" customHeight="1" x14ac:dyDescent="0.25">
      <c r="A8715" s="5" t="str">
        <f>"H0034748"</f>
        <v>H0034748</v>
      </c>
      <c r="B8715" s="5" t="str">
        <f t="shared" si="449"/>
        <v>CAMA HOSPITALARIA ELECTRICA (DONACION)</v>
      </c>
      <c r="C8715" s="6">
        <v>9200000</v>
      </c>
      <c r="D8715" s="5" t="s">
        <v>123</v>
      </c>
      <c r="E8715" s="5" t="str">
        <f t="shared" si="447"/>
        <v>CARPA COVID AZUL-YENI ESPERANZA PEÑA GUERRERO(ZONA EXPANCION)</v>
      </c>
      <c r="F8715" s="5"/>
      <c r="G8715" s="5"/>
    </row>
    <row r="8716" spans="1:7" ht="58.5" customHeight="1" x14ac:dyDescent="0.25">
      <c r="A8716" s="5" t="str">
        <f>"H0034749"</f>
        <v>H0034749</v>
      </c>
      <c r="B8716" s="5" t="str">
        <f t="shared" si="449"/>
        <v>CAMA HOSPITALARIA ELECTRICA (DONACION)</v>
      </c>
      <c r="C8716" s="6">
        <v>9200000</v>
      </c>
      <c r="D8716" s="5" t="s">
        <v>123</v>
      </c>
      <c r="E8716" s="5" t="str">
        <f t="shared" si="447"/>
        <v>CARPA COVID AZUL-YENI ESPERANZA PEÑA GUERRERO(ZONA EXPANCION)</v>
      </c>
      <c r="F8716" s="5"/>
      <c r="G8716" s="5"/>
    </row>
    <row r="8717" spans="1:7" ht="58.5" customHeight="1" x14ac:dyDescent="0.25">
      <c r="A8717" s="5" t="str">
        <f>"H0034750"</f>
        <v>H0034750</v>
      </c>
      <c r="B8717" s="5" t="str">
        <f t="shared" si="449"/>
        <v>CAMA HOSPITALARIA ELECTRICA (DONACION)</v>
      </c>
      <c r="C8717" s="6">
        <v>9200000</v>
      </c>
      <c r="D8717" s="5" t="s">
        <v>123</v>
      </c>
      <c r="E8717" s="5" t="str">
        <f t="shared" si="447"/>
        <v>CARPA COVID AZUL-YENI ESPERANZA PEÑA GUERRERO(ZONA EXPANCION)</v>
      </c>
      <c r="F8717" s="5"/>
      <c r="G8717" s="5"/>
    </row>
    <row r="8718" spans="1:7" ht="58.5" customHeight="1" x14ac:dyDescent="0.25">
      <c r="A8718" s="5" t="str">
        <f>"H0034751"</f>
        <v>H0034751</v>
      </c>
      <c r="B8718" s="5" t="str">
        <f t="shared" si="449"/>
        <v>CAMA HOSPITALARIA ELECTRICA (DONACION)</v>
      </c>
      <c r="C8718" s="6">
        <v>9200000</v>
      </c>
      <c r="D8718" s="5" t="s">
        <v>123</v>
      </c>
      <c r="E8718" s="5" t="str">
        <f t="shared" si="447"/>
        <v>CARPA COVID AZUL-YENI ESPERANZA PEÑA GUERRERO(ZONA EXPANCION)</v>
      </c>
      <c r="F8718" s="5"/>
      <c r="G8718" s="5"/>
    </row>
    <row r="8719" spans="1:7" ht="58.5" customHeight="1" x14ac:dyDescent="0.25">
      <c r="A8719" s="5" t="str">
        <f>"H0034752"</f>
        <v>H0034752</v>
      </c>
      <c r="B8719" s="5" t="str">
        <f t="shared" si="449"/>
        <v>CAMA HOSPITALARIA ELECTRICA (DONACION)</v>
      </c>
      <c r="C8719" s="6">
        <v>9200000</v>
      </c>
      <c r="D8719" s="5" t="s">
        <v>123</v>
      </c>
      <c r="E8719" s="5" t="str">
        <f t="shared" si="447"/>
        <v>CARPA COVID AZUL-YENI ESPERANZA PEÑA GUERRERO(ZONA EXPANCION)</v>
      </c>
      <c r="F8719" s="5"/>
      <c r="G8719" s="5"/>
    </row>
    <row r="8720" spans="1:7" ht="58.5" customHeight="1" x14ac:dyDescent="0.25">
      <c r="A8720" s="5" t="str">
        <f>"H0034755"</f>
        <v>H0034755</v>
      </c>
      <c r="B8720" s="5" t="str">
        <f t="shared" si="449"/>
        <v>CAMA HOSPITALARIA ELECTRICA (DONACION)</v>
      </c>
      <c r="C8720" s="6">
        <v>9200000</v>
      </c>
      <c r="D8720" s="5" t="s">
        <v>123</v>
      </c>
      <c r="E8720" s="5" t="str">
        <f t="shared" si="447"/>
        <v>CARPA COVID AZUL-YENI ESPERANZA PEÑA GUERRERO(ZONA EXPANCION)</v>
      </c>
      <c r="F8720" s="5"/>
      <c r="G8720" s="5"/>
    </row>
    <row r="8721" spans="1:7" ht="58.5" customHeight="1" x14ac:dyDescent="0.25">
      <c r="A8721" s="5" t="str">
        <f>"H0034784"</f>
        <v>H0034784</v>
      </c>
      <c r="B8721" s="5" t="str">
        <f>"CAMILLA DE TRANSPORTE Y RECUPERACION (DONACION)"</f>
        <v>CAMILLA DE TRANSPORTE Y RECUPERACION (DONACION)</v>
      </c>
      <c r="C8721" s="6">
        <v>1349600</v>
      </c>
      <c r="D8721" s="5" t="s">
        <v>123</v>
      </c>
      <c r="E8721" s="5" t="str">
        <f t="shared" si="447"/>
        <v>CARPA COVID AZUL-YENI ESPERANZA PEÑA GUERRERO(ZONA EXPANCION)</v>
      </c>
      <c r="F8721" s="5"/>
      <c r="G8721" s="5"/>
    </row>
    <row r="8722" spans="1:7" ht="58.5" customHeight="1" x14ac:dyDescent="0.25">
      <c r="A8722" s="5" t="str">
        <f>"H0034795"</f>
        <v>H0034795</v>
      </c>
      <c r="B8722" s="5" t="str">
        <f>"CARRO DE PARO (DONACION)"</f>
        <v>CARRO DE PARO (DONACION)</v>
      </c>
      <c r="C8722" s="6">
        <v>2164799</v>
      </c>
      <c r="D8722" s="5" t="s">
        <v>123</v>
      </c>
      <c r="E8722" s="5" t="str">
        <f t="shared" si="447"/>
        <v>CARPA COVID AZUL-YENI ESPERANZA PEÑA GUERRERO(ZONA EXPANCION)</v>
      </c>
      <c r="F8722" s="5"/>
      <c r="G8722" s="5"/>
    </row>
    <row r="8723" spans="1:7" ht="58.5" customHeight="1" x14ac:dyDescent="0.25">
      <c r="A8723" s="5" t="str">
        <f>"H0034796"</f>
        <v>H0034796</v>
      </c>
      <c r="B8723" s="5" t="str">
        <f>"CARRO DE PARO (DONACION)"</f>
        <v>CARRO DE PARO (DONACION)</v>
      </c>
      <c r="C8723" s="6">
        <v>2164799</v>
      </c>
      <c r="D8723" s="5" t="s">
        <v>123</v>
      </c>
      <c r="E8723" s="5" t="str">
        <f t="shared" si="447"/>
        <v>CARPA COVID AZUL-YENI ESPERANZA PEÑA GUERRERO(ZONA EXPANCION)</v>
      </c>
      <c r="F8723" s="5"/>
      <c r="G8723" s="5"/>
    </row>
    <row r="8724" spans="1:7" ht="58.5" customHeight="1" x14ac:dyDescent="0.25">
      <c r="A8724" s="5" t="str">
        <f>"H0034814"</f>
        <v>H0034814</v>
      </c>
      <c r="B8724" s="5" t="str">
        <f>"succionador (DONACION)"</f>
        <v>succionador (DONACION)</v>
      </c>
      <c r="C8724" s="6">
        <v>6216000</v>
      </c>
      <c r="D8724" s="5" t="s">
        <v>123</v>
      </c>
      <c r="E8724" s="5" t="str">
        <f t="shared" si="447"/>
        <v>CARPA COVID AZUL-YENI ESPERANZA PEÑA GUERRERO(ZONA EXPANCION)</v>
      </c>
      <c r="F8724" s="5"/>
      <c r="G8724" s="5"/>
    </row>
    <row r="8725" spans="1:7" ht="58.5" customHeight="1" x14ac:dyDescent="0.25">
      <c r="A8725" s="5" t="str">
        <f>"H0034817"</f>
        <v>H0034817</v>
      </c>
      <c r="B8725" s="5" t="str">
        <f>"Pistola para desinfección por niebla"</f>
        <v>Pistola para desinfección por niebla</v>
      </c>
      <c r="C8725" s="6">
        <v>425000</v>
      </c>
      <c r="D8725" s="5" t="s">
        <v>21</v>
      </c>
      <c r="E8725" s="5" t="str">
        <f t="shared" si="447"/>
        <v>CARPA COVID AZUL-YENI ESPERANZA PEÑA GUERRERO(ZONA EXPANCION)</v>
      </c>
      <c r="F8725" s="5"/>
      <c r="G8725" s="5"/>
    </row>
    <row r="8726" spans="1:7" ht="58.5" customHeight="1" x14ac:dyDescent="0.25">
      <c r="A8726" s="5" t="str">
        <f>"H0034820"</f>
        <v>H0034820</v>
      </c>
      <c r="B8726" s="5" t="str">
        <f>"Pistola para desinfección por niebla"</f>
        <v>Pistola para desinfección por niebla</v>
      </c>
      <c r="C8726" s="6">
        <v>425000</v>
      </c>
      <c r="D8726" s="5" t="s">
        <v>21</v>
      </c>
      <c r="E8726" s="5" t="str">
        <f t="shared" si="447"/>
        <v>CARPA COVID AZUL-YENI ESPERANZA PEÑA GUERRERO(ZONA EXPANCION)</v>
      </c>
      <c r="F8726" s="5"/>
      <c r="G8726" s="5"/>
    </row>
    <row r="8727" spans="1:7" ht="58.5" customHeight="1" x14ac:dyDescent="0.25">
      <c r="A8727" s="5" t="str">
        <f>"H0034828"</f>
        <v>H0034828</v>
      </c>
      <c r="B8727" s="5" t="str">
        <f t="shared" ref="B8727:B8734" si="450">"Computador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8727" s="6">
        <v>5289550</v>
      </c>
      <c r="D8727" s="5" t="s">
        <v>22</v>
      </c>
      <c r="E8727" s="5" t="str">
        <f t="shared" si="447"/>
        <v>CARPA COVID AZUL-YENI ESPERANZA PEÑA GUERRERO(ZONA EXPANCION)</v>
      </c>
      <c r="F8727" s="5"/>
      <c r="G8727" s="5"/>
    </row>
    <row r="8728" spans="1:7" ht="58.5" customHeight="1" x14ac:dyDescent="0.25">
      <c r="A8728" s="5" t="str">
        <f>"H0034830"</f>
        <v>H0034830</v>
      </c>
      <c r="B8728" s="5" t="str">
        <f t="shared" si="450"/>
        <v>Computador Corporativo AIO ACER Veriton VZ4660G-OD513; Intel Core i5 9400 (caché de 9 M, hasta 4.00 GHz) 21,5"FHD PANTALLA AJUSTABLE/Panel de bisagra inclinable de -5° a 30°, RAM 8GB (1x4GB) 2666MHz</v>
      </c>
      <c r="C8728" s="6">
        <v>5289550</v>
      </c>
      <c r="D8728" s="5" t="s">
        <v>22</v>
      </c>
      <c r="E8728" s="5" t="str">
        <f t="shared" si="447"/>
        <v>CARPA COVID AZUL-YENI ESPERANZA PEÑA GUERRERO(ZONA EXPANCION)</v>
      </c>
      <c r="F8728" s="5"/>
      <c r="G8728" s="5"/>
    </row>
    <row r="8729" spans="1:7" ht="58.5" customHeight="1" x14ac:dyDescent="0.25">
      <c r="A8729" s="5" t="str">
        <f>"H0034831"</f>
        <v>H0034831</v>
      </c>
      <c r="B8729" s="5" t="str">
        <f t="shared" si="450"/>
        <v>Computador Corporativo AIO ACER Veriton VZ4660G-OD513; Intel Core i5 9400 (caché de 9 M, hasta 4.00 GHz) 21,5"FHD PANTALLA AJUSTABLE/Panel de bisagra inclinable de -5° a 30°, RAM 8GB (1x4GB) 2666MHz</v>
      </c>
      <c r="C8729" s="6">
        <v>5289550</v>
      </c>
      <c r="D8729" s="5" t="s">
        <v>22</v>
      </c>
      <c r="E8729" s="5" t="str">
        <f t="shared" si="447"/>
        <v>CARPA COVID AZUL-YENI ESPERANZA PEÑA GUERRERO(ZONA EXPANCION)</v>
      </c>
      <c r="F8729" s="5"/>
      <c r="G8729" s="5"/>
    </row>
    <row r="8730" spans="1:7" ht="58.5" customHeight="1" x14ac:dyDescent="0.25">
      <c r="A8730" s="5" t="str">
        <f>"H0034832"</f>
        <v>H0034832</v>
      </c>
      <c r="B8730" s="5" t="str">
        <f t="shared" si="450"/>
        <v>Computador Corporativo AIO ACER Veriton VZ4660G-OD513; Intel Core i5 9400 (caché de 9 M, hasta 4.00 GHz) 21,5"FHD PANTALLA AJUSTABLE/Panel de bisagra inclinable de -5° a 30°, RAM 8GB (1x4GB) 2666MHz</v>
      </c>
      <c r="C8730" s="6">
        <v>5289550</v>
      </c>
      <c r="D8730" s="5" t="s">
        <v>22</v>
      </c>
      <c r="E8730" s="5" t="str">
        <f t="shared" si="447"/>
        <v>CARPA COVID AZUL-YENI ESPERANZA PEÑA GUERRERO(ZONA EXPANCION)</v>
      </c>
      <c r="F8730" s="5"/>
      <c r="G8730" s="5"/>
    </row>
    <row r="8731" spans="1:7" ht="58.5" customHeight="1" x14ac:dyDescent="0.25">
      <c r="A8731" s="5" t="str">
        <f>"H0034833"</f>
        <v>H0034833</v>
      </c>
      <c r="B8731" s="5" t="str">
        <f t="shared" si="450"/>
        <v>Computador Corporativo AIO ACER Veriton VZ4660G-OD513; Intel Core i5 9400 (caché de 9 M, hasta 4.00 GHz) 21,5"FHD PANTALLA AJUSTABLE/Panel de bisagra inclinable de -5° a 30°, RAM 8GB (1x4GB) 2666MHz</v>
      </c>
      <c r="C8731" s="6">
        <v>5289550</v>
      </c>
      <c r="D8731" s="5" t="s">
        <v>22</v>
      </c>
      <c r="E8731" s="5" t="str">
        <f t="shared" si="447"/>
        <v>CARPA COVID AZUL-YENI ESPERANZA PEÑA GUERRERO(ZONA EXPANCION)</v>
      </c>
      <c r="F8731" s="5"/>
      <c r="G8731" s="5"/>
    </row>
    <row r="8732" spans="1:7" ht="58.5" customHeight="1" x14ac:dyDescent="0.25">
      <c r="A8732" s="5" t="str">
        <f>"H0034835"</f>
        <v>H0034835</v>
      </c>
      <c r="B8732" s="5" t="str">
        <f t="shared" si="450"/>
        <v>Computador Corporativo AIO ACER Veriton VZ4660G-OD513; Intel Core i5 9400 (caché de 9 M, hasta 4.00 GHz) 21,5"FHD PANTALLA AJUSTABLE/Panel de bisagra inclinable de -5° a 30°, RAM 8GB (1x4GB) 2666MHz</v>
      </c>
      <c r="C8732" s="6">
        <v>5289550</v>
      </c>
      <c r="D8732" s="5" t="s">
        <v>22</v>
      </c>
      <c r="E8732" s="5" t="str">
        <f t="shared" si="447"/>
        <v>CARPA COVID AZUL-YENI ESPERANZA PEÑA GUERRERO(ZONA EXPANCION)</v>
      </c>
      <c r="F8732" s="5"/>
      <c r="G8732" s="5"/>
    </row>
    <row r="8733" spans="1:7" ht="58.5" customHeight="1" x14ac:dyDescent="0.25">
      <c r="A8733" s="5" t="str">
        <f>"H0034836"</f>
        <v>H0034836</v>
      </c>
      <c r="B8733" s="5" t="str">
        <f t="shared" si="450"/>
        <v>Computador Corporativo AIO ACER Veriton VZ4660G-OD513; Intel Core i5 9400 (caché de 9 M, hasta 4.00 GHz) 21,5"FHD PANTALLA AJUSTABLE/Panel de bisagra inclinable de -5° a 30°, RAM 8GB (1x4GB) 2666MHz</v>
      </c>
      <c r="C8733" s="6">
        <v>5289550</v>
      </c>
      <c r="D8733" s="5" t="s">
        <v>22</v>
      </c>
      <c r="E8733" s="5" t="str">
        <f t="shared" si="447"/>
        <v>CARPA COVID AZUL-YENI ESPERANZA PEÑA GUERRERO(ZONA EXPANCION)</v>
      </c>
      <c r="F8733" s="5"/>
      <c r="G8733" s="5"/>
    </row>
    <row r="8734" spans="1:7" ht="58.5" customHeight="1" x14ac:dyDescent="0.25">
      <c r="A8734" s="5" t="str">
        <f>"H0034837"</f>
        <v>H0034837</v>
      </c>
      <c r="B8734" s="5" t="str">
        <f t="shared" si="450"/>
        <v>Computador Corporativo AIO ACER Veriton VZ4660G-OD513; Intel Core i5 9400 (caché de 9 M, hasta 4.00 GHz) 21,5"FHD PANTALLA AJUSTABLE/Panel de bisagra inclinable de -5° a 30°, RAM 8GB (1x4GB) 2666MHz</v>
      </c>
      <c r="C8734" s="6">
        <v>5289550</v>
      </c>
      <c r="D8734" s="5" t="s">
        <v>22</v>
      </c>
      <c r="E8734" s="5" t="str">
        <f t="shared" si="447"/>
        <v>CARPA COVID AZUL-YENI ESPERANZA PEÑA GUERRERO(ZONA EXPANCION)</v>
      </c>
      <c r="F8734" s="5"/>
      <c r="G8734" s="5"/>
    </row>
    <row r="8735" spans="1:7" ht="58.5" customHeight="1" x14ac:dyDescent="0.25">
      <c r="A8735" s="5" t="str">
        <f>"H0034841"</f>
        <v>H0034841</v>
      </c>
      <c r="B8735" s="5" t="s">
        <v>23</v>
      </c>
      <c r="C8735" s="6">
        <v>4403000</v>
      </c>
      <c r="D8735" s="5" t="s">
        <v>22</v>
      </c>
      <c r="E8735" s="5" t="str">
        <f t="shared" si="447"/>
        <v>CARPA COVID AZUL-YENI ESPERANZA PEÑA GUERRERO(ZONA EXPANCION)</v>
      </c>
      <c r="F8735" s="5"/>
      <c r="G8735" s="5"/>
    </row>
    <row r="8736" spans="1:7" ht="58.5" customHeight="1" x14ac:dyDescent="0.25">
      <c r="A8736" s="5" t="str">
        <f>"H0034842"</f>
        <v>H0034842</v>
      </c>
      <c r="B8736" s="5" t="s">
        <v>23</v>
      </c>
      <c r="C8736" s="6">
        <v>4403000</v>
      </c>
      <c r="D8736" s="5" t="s">
        <v>22</v>
      </c>
      <c r="E8736" s="5" t="str">
        <f t="shared" si="447"/>
        <v>CARPA COVID AZUL-YENI ESPERANZA PEÑA GUERRERO(ZONA EXPANCION)</v>
      </c>
      <c r="F8736" s="5"/>
      <c r="G8736" s="5"/>
    </row>
    <row r="8737" spans="1:7" ht="58.5" customHeight="1" x14ac:dyDescent="0.25">
      <c r="A8737" s="5" t="str">
        <f>"H0034843"</f>
        <v>H0034843</v>
      </c>
      <c r="B8737" s="5" t="s">
        <v>23</v>
      </c>
      <c r="C8737" s="6">
        <v>4403000</v>
      </c>
      <c r="D8737" s="5" t="s">
        <v>22</v>
      </c>
      <c r="E8737" s="5" t="str">
        <f t="shared" si="447"/>
        <v>CARPA COVID AZUL-YENI ESPERANZA PEÑA GUERRERO(ZONA EXPANCION)</v>
      </c>
      <c r="F8737" s="5"/>
      <c r="G8737" s="5"/>
    </row>
    <row r="8738" spans="1:7" ht="58.5" customHeight="1" x14ac:dyDescent="0.25">
      <c r="A8738" s="5" t="str">
        <f>"H0034852"</f>
        <v>H0034852</v>
      </c>
      <c r="B8738" s="5" t="str">
        <f>"COMPUTADOR TODO EN UNO"</f>
        <v>COMPUTADOR TODO EN UNO</v>
      </c>
      <c r="C8738" s="6">
        <v>5291396.9000000004</v>
      </c>
      <c r="D8738" s="5" t="s">
        <v>24</v>
      </c>
      <c r="E8738" s="5" t="str">
        <f t="shared" si="447"/>
        <v>CARPA COVID AZUL-YENI ESPERANZA PEÑA GUERRERO(ZONA EXPANCION)</v>
      </c>
      <c r="F8738" s="5"/>
      <c r="G8738" s="5"/>
    </row>
    <row r="8739" spans="1:7" ht="58.5" customHeight="1" x14ac:dyDescent="0.25">
      <c r="A8739" s="5" t="str">
        <f>"H0034855"</f>
        <v>H0034855</v>
      </c>
      <c r="B8739" s="5" t="str">
        <f>"COMPUTADOR TODO EN UNO"</f>
        <v>COMPUTADOR TODO EN UNO</v>
      </c>
      <c r="C8739" s="6">
        <v>5291396.9000000004</v>
      </c>
      <c r="D8739" s="5" t="s">
        <v>24</v>
      </c>
      <c r="E8739" s="5" t="str">
        <f t="shared" si="447"/>
        <v>CARPA COVID AZUL-YENI ESPERANZA PEÑA GUERRERO(ZONA EXPANCION)</v>
      </c>
      <c r="F8739" s="5"/>
      <c r="G8739" s="5"/>
    </row>
    <row r="8740" spans="1:7" ht="58.5" customHeight="1" x14ac:dyDescent="0.25">
      <c r="A8740" s="5" t="str">
        <f>"H0034859"</f>
        <v>H0034859</v>
      </c>
      <c r="B8740" s="5" t="str">
        <f>"COMPUTADOR TODO EN UNO"</f>
        <v>COMPUTADOR TODO EN UNO</v>
      </c>
      <c r="C8740" s="6">
        <v>5291396.9000000004</v>
      </c>
      <c r="D8740" s="5" t="s">
        <v>24</v>
      </c>
      <c r="E8740" s="5" t="str">
        <f t="shared" si="447"/>
        <v>CARPA COVID AZUL-YENI ESPERANZA PEÑA GUERRERO(ZONA EXPANCION)</v>
      </c>
      <c r="F8740" s="5"/>
      <c r="G8740" s="5"/>
    </row>
    <row r="8741" spans="1:7" ht="58.5" customHeight="1" x14ac:dyDescent="0.25">
      <c r="A8741" s="5" t="str">
        <f>"H0034982"</f>
        <v>H0034982</v>
      </c>
      <c r="B8741" s="5" t="s">
        <v>277</v>
      </c>
      <c r="C8741" s="6">
        <v>1044820</v>
      </c>
      <c r="D8741" s="5" t="s">
        <v>22</v>
      </c>
      <c r="E8741" s="5" t="str">
        <f t="shared" si="447"/>
        <v>CARPA COVID AZUL-YENI ESPERANZA PEÑA GUERRERO(ZONA EXPANCION)</v>
      </c>
      <c r="F8741" s="5"/>
      <c r="G8741" s="5"/>
    </row>
    <row r="8742" spans="1:7" ht="58.5" customHeight="1" x14ac:dyDescent="0.25">
      <c r="A8742" s="5" t="str">
        <f>"H0034983"</f>
        <v>H0034983</v>
      </c>
      <c r="B8742" s="5" t="s">
        <v>277</v>
      </c>
      <c r="C8742" s="6">
        <v>1044820</v>
      </c>
      <c r="D8742" s="5" t="s">
        <v>22</v>
      </c>
      <c r="E8742" s="5" t="str">
        <f t="shared" si="447"/>
        <v>CARPA COVID AZUL-YENI ESPERANZA PEÑA GUERRERO(ZONA EXPANCION)</v>
      </c>
      <c r="F8742" s="5"/>
      <c r="G8742" s="5"/>
    </row>
    <row r="8743" spans="1:7" ht="58.5" customHeight="1" x14ac:dyDescent="0.25">
      <c r="A8743" s="5" t="str">
        <f>"H0034984"</f>
        <v>H0034984</v>
      </c>
      <c r="B8743" s="5" t="s">
        <v>277</v>
      </c>
      <c r="C8743" s="6">
        <v>1044820</v>
      </c>
      <c r="D8743" s="5" t="s">
        <v>22</v>
      </c>
      <c r="E8743" s="5" t="str">
        <f t="shared" si="447"/>
        <v>CARPA COVID AZUL-YENI ESPERANZA PEÑA GUERRERO(ZONA EXPANCION)</v>
      </c>
      <c r="F8743" s="5"/>
      <c r="G8743" s="5"/>
    </row>
    <row r="8744" spans="1:7" ht="58.5" customHeight="1" x14ac:dyDescent="0.25">
      <c r="A8744" s="5" t="str">
        <f>"H0034985"</f>
        <v>H0034985</v>
      </c>
      <c r="B8744" s="5" t="s">
        <v>277</v>
      </c>
      <c r="C8744" s="6">
        <v>1044820</v>
      </c>
      <c r="D8744" s="5" t="s">
        <v>22</v>
      </c>
      <c r="E8744" s="5" t="str">
        <f t="shared" si="447"/>
        <v>CARPA COVID AZUL-YENI ESPERANZA PEÑA GUERRERO(ZONA EXPANCION)</v>
      </c>
      <c r="F8744" s="5"/>
      <c r="G8744" s="5"/>
    </row>
    <row r="8745" spans="1:7" ht="58.5" customHeight="1" x14ac:dyDescent="0.25">
      <c r="A8745" s="5" t="str">
        <f>"H0034986"</f>
        <v>H0034986</v>
      </c>
      <c r="B8745" s="5" t="s">
        <v>277</v>
      </c>
      <c r="C8745" s="6">
        <v>1044820</v>
      </c>
      <c r="D8745" s="5" t="s">
        <v>22</v>
      </c>
      <c r="E8745" s="5" t="str">
        <f t="shared" si="447"/>
        <v>CARPA COVID AZUL-YENI ESPERANZA PEÑA GUERRERO(ZONA EXPANCION)</v>
      </c>
      <c r="F8745" s="5"/>
      <c r="G8745" s="5"/>
    </row>
    <row r="8746" spans="1:7" ht="58.5" customHeight="1" x14ac:dyDescent="0.25">
      <c r="A8746" s="5" t="str">
        <f>"H0034988"</f>
        <v>H0034988</v>
      </c>
      <c r="B8746" s="5" t="s">
        <v>277</v>
      </c>
      <c r="C8746" s="6">
        <v>1044820</v>
      </c>
      <c r="D8746" s="5" t="s">
        <v>22</v>
      </c>
      <c r="E8746" s="5" t="str">
        <f t="shared" si="447"/>
        <v>CARPA COVID AZUL-YENI ESPERANZA PEÑA GUERRERO(ZONA EXPANCION)</v>
      </c>
      <c r="F8746" s="5"/>
      <c r="G8746" s="5"/>
    </row>
    <row r="8747" spans="1:7" ht="58.5" customHeight="1" x14ac:dyDescent="0.25">
      <c r="A8747" s="5" t="str">
        <f>"H0034989"</f>
        <v>H0034989</v>
      </c>
      <c r="B8747" s="5" t="s">
        <v>277</v>
      </c>
      <c r="C8747" s="6">
        <v>1044820</v>
      </c>
      <c r="D8747" s="5" t="s">
        <v>22</v>
      </c>
      <c r="E8747" s="5" t="str">
        <f t="shared" si="447"/>
        <v>CARPA COVID AZUL-YENI ESPERANZA PEÑA GUERRERO(ZONA EXPANCION)</v>
      </c>
      <c r="F8747" s="5"/>
      <c r="G8747" s="5"/>
    </row>
    <row r="8748" spans="1:7" ht="58.5" customHeight="1" x14ac:dyDescent="0.25">
      <c r="A8748" s="5" t="str">
        <f>"H0034990"</f>
        <v>H0034990</v>
      </c>
      <c r="B8748" s="5" t="s">
        <v>277</v>
      </c>
      <c r="C8748" s="6">
        <v>1044820</v>
      </c>
      <c r="D8748" s="5" t="s">
        <v>22</v>
      </c>
      <c r="E8748" s="5" t="str">
        <f t="shared" si="447"/>
        <v>CARPA COVID AZUL-YENI ESPERANZA PEÑA GUERRERO(ZONA EXPANCION)</v>
      </c>
      <c r="F8748" s="5"/>
      <c r="G8748" s="5"/>
    </row>
    <row r="8749" spans="1:7" ht="58.5" customHeight="1" x14ac:dyDescent="0.25">
      <c r="A8749" s="5" t="str">
        <f>"H0034991"</f>
        <v>H0034991</v>
      </c>
      <c r="B8749" s="5" t="s">
        <v>277</v>
      </c>
      <c r="C8749" s="6">
        <v>1044820</v>
      </c>
      <c r="D8749" s="5" t="s">
        <v>22</v>
      </c>
      <c r="E8749" s="5" t="str">
        <f t="shared" ref="E8749:E8812" si="451">"CARPA COVID AZUL-YENI ESPERANZA PEÑA GUERRERO(ZONA EXPANCION)"</f>
        <v>CARPA COVID AZUL-YENI ESPERANZA PEÑA GUERRERO(ZONA EXPANCION)</v>
      </c>
      <c r="F8749" s="5"/>
      <c r="G8749" s="5"/>
    </row>
    <row r="8750" spans="1:7" ht="58.5" customHeight="1" x14ac:dyDescent="0.25">
      <c r="A8750" s="5" t="str">
        <f>"H0035013"</f>
        <v>H0035013</v>
      </c>
      <c r="B8750" s="5" t="str">
        <f t="shared" ref="B8750:B8765" si="452">"Computador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8750" s="6">
        <v>5289550</v>
      </c>
      <c r="D8750" s="5" t="s">
        <v>22</v>
      </c>
      <c r="E8750" s="5" t="str">
        <f t="shared" si="451"/>
        <v>CARPA COVID AZUL-YENI ESPERANZA PEÑA GUERRERO(ZONA EXPANCION)</v>
      </c>
      <c r="F8750" s="5"/>
      <c r="G8750" s="5"/>
    </row>
    <row r="8751" spans="1:7" ht="58.5" customHeight="1" x14ac:dyDescent="0.25">
      <c r="A8751" s="5" t="str">
        <f>"H0035014"</f>
        <v>H0035014</v>
      </c>
      <c r="B8751" s="5" t="str">
        <f t="shared" si="452"/>
        <v>Computador Corporativo AIO ACER Veriton VZ4660G-OD513; Intel Core i5 9400 (caché de 9 M, hasta 4.00 GHz) 21,5"FHD PANTALLA AJUSTABLE/Panel de bisagra inclinable de -5° a 30°, RAM 8GB (1x4GB) 2666MHz</v>
      </c>
      <c r="C8751" s="6">
        <v>5289550</v>
      </c>
      <c r="D8751" s="5" t="s">
        <v>22</v>
      </c>
      <c r="E8751" s="5" t="str">
        <f t="shared" si="451"/>
        <v>CARPA COVID AZUL-YENI ESPERANZA PEÑA GUERRERO(ZONA EXPANCION)</v>
      </c>
      <c r="F8751" s="5"/>
      <c r="G8751" s="5"/>
    </row>
    <row r="8752" spans="1:7" ht="58.5" customHeight="1" x14ac:dyDescent="0.25">
      <c r="A8752" s="5" t="str">
        <f>"H0035015"</f>
        <v>H0035015</v>
      </c>
      <c r="B8752" s="5" t="str">
        <f t="shared" si="452"/>
        <v>Computador Corporativo AIO ACER Veriton VZ4660G-OD513; Intel Core i5 9400 (caché de 9 M, hasta 4.00 GHz) 21,5"FHD PANTALLA AJUSTABLE/Panel de bisagra inclinable de -5° a 30°, RAM 8GB (1x4GB) 2666MHz</v>
      </c>
      <c r="C8752" s="6">
        <v>5289550</v>
      </c>
      <c r="D8752" s="5" t="s">
        <v>22</v>
      </c>
      <c r="E8752" s="5" t="str">
        <f t="shared" si="451"/>
        <v>CARPA COVID AZUL-YENI ESPERANZA PEÑA GUERRERO(ZONA EXPANCION)</v>
      </c>
      <c r="F8752" s="5"/>
      <c r="G8752" s="5"/>
    </row>
    <row r="8753" spans="1:7" ht="58.5" customHeight="1" x14ac:dyDescent="0.25">
      <c r="A8753" s="5" t="str">
        <f>"H0035016"</f>
        <v>H0035016</v>
      </c>
      <c r="B8753" s="5" t="str">
        <f t="shared" si="452"/>
        <v>Computador Corporativo AIO ACER Veriton VZ4660G-OD513; Intel Core i5 9400 (caché de 9 M, hasta 4.00 GHz) 21,5"FHD PANTALLA AJUSTABLE/Panel de bisagra inclinable de -5° a 30°, RAM 8GB (1x4GB) 2666MHz</v>
      </c>
      <c r="C8753" s="6">
        <v>5289550</v>
      </c>
      <c r="D8753" s="5" t="s">
        <v>22</v>
      </c>
      <c r="E8753" s="5" t="str">
        <f t="shared" si="451"/>
        <v>CARPA COVID AZUL-YENI ESPERANZA PEÑA GUERRERO(ZONA EXPANCION)</v>
      </c>
      <c r="F8753" s="5"/>
      <c r="G8753" s="5"/>
    </row>
    <row r="8754" spans="1:7" ht="58.5" customHeight="1" x14ac:dyDescent="0.25">
      <c r="A8754" s="5" t="str">
        <f>"H0035019"</f>
        <v>H0035019</v>
      </c>
      <c r="B8754" s="5" t="str">
        <f t="shared" si="452"/>
        <v>Computador Corporativo AIO ACER Veriton VZ4660G-OD513; Intel Core i5 9400 (caché de 9 M, hasta 4.00 GHz) 21,5"FHD PANTALLA AJUSTABLE/Panel de bisagra inclinable de -5° a 30°, RAM 8GB (1x4GB) 2666MHz</v>
      </c>
      <c r="C8754" s="6">
        <v>5289550</v>
      </c>
      <c r="D8754" s="5" t="s">
        <v>22</v>
      </c>
      <c r="E8754" s="5" t="str">
        <f t="shared" si="451"/>
        <v>CARPA COVID AZUL-YENI ESPERANZA PEÑA GUERRERO(ZONA EXPANCION)</v>
      </c>
      <c r="F8754" s="5"/>
      <c r="G8754" s="5"/>
    </row>
    <row r="8755" spans="1:7" ht="58.5" customHeight="1" x14ac:dyDescent="0.25">
      <c r="A8755" s="5" t="str">
        <f>"H0035021"</f>
        <v>H0035021</v>
      </c>
      <c r="B8755" s="5" t="str">
        <f t="shared" si="452"/>
        <v>Computador Corporativo AIO ACER Veriton VZ4660G-OD513; Intel Core i5 9400 (caché de 9 M, hasta 4.00 GHz) 21,5"FHD PANTALLA AJUSTABLE/Panel de bisagra inclinable de -5° a 30°, RAM 8GB (1x4GB) 2666MHz</v>
      </c>
      <c r="C8755" s="6">
        <v>5289550</v>
      </c>
      <c r="D8755" s="5" t="s">
        <v>22</v>
      </c>
      <c r="E8755" s="5" t="str">
        <f t="shared" si="451"/>
        <v>CARPA COVID AZUL-YENI ESPERANZA PEÑA GUERRERO(ZONA EXPANCION)</v>
      </c>
      <c r="F8755" s="5"/>
      <c r="G8755" s="5"/>
    </row>
    <row r="8756" spans="1:7" ht="58.5" customHeight="1" x14ac:dyDescent="0.25">
      <c r="A8756" s="5" t="str">
        <f>"H0035022"</f>
        <v>H0035022</v>
      </c>
      <c r="B8756" s="5" t="str">
        <f t="shared" si="452"/>
        <v>Computador Corporativo AIO ACER Veriton VZ4660G-OD513; Intel Core i5 9400 (caché de 9 M, hasta 4.00 GHz) 21,5"FHD PANTALLA AJUSTABLE/Panel de bisagra inclinable de -5° a 30°, RAM 8GB (1x4GB) 2666MHz</v>
      </c>
      <c r="C8756" s="6">
        <v>5289550</v>
      </c>
      <c r="D8756" s="5" t="s">
        <v>22</v>
      </c>
      <c r="E8756" s="5" t="str">
        <f t="shared" si="451"/>
        <v>CARPA COVID AZUL-YENI ESPERANZA PEÑA GUERRERO(ZONA EXPANCION)</v>
      </c>
      <c r="F8756" s="5"/>
      <c r="G8756" s="5"/>
    </row>
    <row r="8757" spans="1:7" ht="58.5" customHeight="1" x14ac:dyDescent="0.25">
      <c r="A8757" s="5" t="str">
        <f>"H0035025"</f>
        <v>H0035025</v>
      </c>
      <c r="B8757" s="5" t="str">
        <f t="shared" si="452"/>
        <v>Computador Corporativo AIO ACER Veriton VZ4660G-OD513; Intel Core i5 9400 (caché de 9 M, hasta 4.00 GHz) 21,5"FHD PANTALLA AJUSTABLE/Panel de bisagra inclinable de -5° a 30°, RAM 8GB (1x4GB) 2666MHz</v>
      </c>
      <c r="C8757" s="6">
        <v>5289550</v>
      </c>
      <c r="D8757" s="5" t="s">
        <v>22</v>
      </c>
      <c r="E8757" s="5" t="str">
        <f t="shared" si="451"/>
        <v>CARPA COVID AZUL-YENI ESPERANZA PEÑA GUERRERO(ZONA EXPANCION)</v>
      </c>
      <c r="F8757" s="5"/>
      <c r="G8757" s="5"/>
    </row>
    <row r="8758" spans="1:7" ht="58.5" customHeight="1" x14ac:dyDescent="0.25">
      <c r="A8758" s="5" t="str">
        <f>"H0035031"</f>
        <v>H0035031</v>
      </c>
      <c r="B8758" s="5" t="str">
        <f t="shared" si="452"/>
        <v>Computador Corporativo AIO ACER Veriton VZ4660G-OD513; Intel Core i5 9400 (caché de 9 M, hasta 4.00 GHz) 21,5"FHD PANTALLA AJUSTABLE/Panel de bisagra inclinable de -5° a 30°, RAM 8GB (1x4GB) 2666MHz</v>
      </c>
      <c r="C8758" s="6">
        <v>5289550</v>
      </c>
      <c r="D8758" s="5" t="s">
        <v>22</v>
      </c>
      <c r="E8758" s="5" t="str">
        <f t="shared" si="451"/>
        <v>CARPA COVID AZUL-YENI ESPERANZA PEÑA GUERRERO(ZONA EXPANCION)</v>
      </c>
      <c r="F8758" s="5"/>
      <c r="G8758" s="5"/>
    </row>
    <row r="8759" spans="1:7" ht="58.5" customHeight="1" x14ac:dyDescent="0.25">
      <c r="A8759" s="5" t="str">
        <f>"H0035035"</f>
        <v>H0035035</v>
      </c>
      <c r="B8759" s="5" t="str">
        <f t="shared" si="452"/>
        <v>Computador Corporativo AIO ACER Veriton VZ4660G-OD513; Intel Core i5 9400 (caché de 9 M, hasta 4.00 GHz) 21,5"FHD PANTALLA AJUSTABLE/Panel de bisagra inclinable de -5° a 30°, RAM 8GB (1x4GB) 2666MHz</v>
      </c>
      <c r="C8759" s="6">
        <v>5289550</v>
      </c>
      <c r="D8759" s="5" t="s">
        <v>22</v>
      </c>
      <c r="E8759" s="5" t="str">
        <f t="shared" si="451"/>
        <v>CARPA COVID AZUL-YENI ESPERANZA PEÑA GUERRERO(ZONA EXPANCION)</v>
      </c>
      <c r="F8759" s="5"/>
      <c r="G8759" s="5"/>
    </row>
    <row r="8760" spans="1:7" ht="58.5" customHeight="1" x14ac:dyDescent="0.25">
      <c r="A8760" s="5" t="str">
        <f>"H0035037"</f>
        <v>H0035037</v>
      </c>
      <c r="B8760" s="5" t="str">
        <f t="shared" si="452"/>
        <v>Computador Corporativo AIO ACER Veriton VZ4660G-OD513; Intel Core i5 9400 (caché de 9 M, hasta 4.00 GHz) 21,5"FHD PANTALLA AJUSTABLE/Panel de bisagra inclinable de -5° a 30°, RAM 8GB (1x4GB) 2666MHz</v>
      </c>
      <c r="C8760" s="6">
        <v>5289550</v>
      </c>
      <c r="D8760" s="5" t="s">
        <v>22</v>
      </c>
      <c r="E8760" s="5" t="str">
        <f t="shared" si="451"/>
        <v>CARPA COVID AZUL-YENI ESPERANZA PEÑA GUERRERO(ZONA EXPANCION)</v>
      </c>
      <c r="F8760" s="5"/>
      <c r="G8760" s="5"/>
    </row>
    <row r="8761" spans="1:7" ht="58.5" customHeight="1" x14ac:dyDescent="0.25">
      <c r="A8761" s="5" t="str">
        <f>"H0035040"</f>
        <v>H0035040</v>
      </c>
      <c r="B8761" s="5" t="str">
        <f t="shared" si="452"/>
        <v>Computador Corporativo AIO ACER Veriton VZ4660G-OD513; Intel Core i5 9400 (caché de 9 M, hasta 4.00 GHz) 21,5"FHD PANTALLA AJUSTABLE/Panel de bisagra inclinable de -5° a 30°, RAM 8GB (1x4GB) 2666MHz</v>
      </c>
      <c r="C8761" s="6">
        <v>5289550</v>
      </c>
      <c r="D8761" s="5" t="s">
        <v>22</v>
      </c>
      <c r="E8761" s="5" t="str">
        <f t="shared" si="451"/>
        <v>CARPA COVID AZUL-YENI ESPERANZA PEÑA GUERRERO(ZONA EXPANCION)</v>
      </c>
      <c r="F8761" s="5"/>
      <c r="G8761" s="5"/>
    </row>
    <row r="8762" spans="1:7" ht="58.5" customHeight="1" x14ac:dyDescent="0.25">
      <c r="A8762" s="5" t="str">
        <f>"H0035041"</f>
        <v>H0035041</v>
      </c>
      <c r="B8762" s="5" t="str">
        <f t="shared" si="452"/>
        <v>Computador Corporativo AIO ACER Veriton VZ4660G-OD513; Intel Core i5 9400 (caché de 9 M, hasta 4.00 GHz) 21,5"FHD PANTALLA AJUSTABLE/Panel de bisagra inclinable de -5° a 30°, RAM 8GB (1x4GB) 2666MHz</v>
      </c>
      <c r="C8762" s="6">
        <v>5289550</v>
      </c>
      <c r="D8762" s="5" t="s">
        <v>22</v>
      </c>
      <c r="E8762" s="5" t="str">
        <f t="shared" si="451"/>
        <v>CARPA COVID AZUL-YENI ESPERANZA PEÑA GUERRERO(ZONA EXPANCION)</v>
      </c>
      <c r="F8762" s="5"/>
      <c r="G8762" s="5"/>
    </row>
    <row r="8763" spans="1:7" ht="58.5" customHeight="1" x14ac:dyDescent="0.25">
      <c r="A8763" s="5" t="str">
        <f>"H0035043"</f>
        <v>H0035043</v>
      </c>
      <c r="B8763" s="5" t="str">
        <f t="shared" si="452"/>
        <v>Computador Corporativo AIO ACER Veriton VZ4660G-OD513; Intel Core i5 9400 (caché de 9 M, hasta 4.00 GHz) 21,5"FHD PANTALLA AJUSTABLE/Panel de bisagra inclinable de -5° a 30°, RAM 8GB (1x4GB) 2666MHz</v>
      </c>
      <c r="C8763" s="6">
        <v>5289550</v>
      </c>
      <c r="D8763" s="5" t="s">
        <v>22</v>
      </c>
      <c r="E8763" s="5" t="str">
        <f t="shared" si="451"/>
        <v>CARPA COVID AZUL-YENI ESPERANZA PEÑA GUERRERO(ZONA EXPANCION)</v>
      </c>
      <c r="F8763" s="5"/>
      <c r="G8763" s="5"/>
    </row>
    <row r="8764" spans="1:7" ht="58.5" customHeight="1" x14ac:dyDescent="0.25">
      <c r="A8764" s="5" t="str">
        <f>"H0035045"</f>
        <v>H0035045</v>
      </c>
      <c r="B8764" s="5" t="str">
        <f t="shared" si="452"/>
        <v>Computador Corporativo AIO ACER Veriton VZ4660G-OD513; Intel Core i5 9400 (caché de 9 M, hasta 4.00 GHz) 21,5"FHD PANTALLA AJUSTABLE/Panel de bisagra inclinable de -5° a 30°, RAM 8GB (1x4GB) 2666MHz</v>
      </c>
      <c r="C8764" s="6">
        <v>5289550</v>
      </c>
      <c r="D8764" s="5" t="s">
        <v>22</v>
      </c>
      <c r="E8764" s="5" t="str">
        <f t="shared" si="451"/>
        <v>CARPA COVID AZUL-YENI ESPERANZA PEÑA GUERRERO(ZONA EXPANCION)</v>
      </c>
      <c r="F8764" s="5"/>
      <c r="G8764" s="5"/>
    </row>
    <row r="8765" spans="1:7" ht="58.5" customHeight="1" x14ac:dyDescent="0.25">
      <c r="A8765" s="5" t="str">
        <f>"H0035049"</f>
        <v>H0035049</v>
      </c>
      <c r="B8765" s="5" t="str">
        <f t="shared" si="452"/>
        <v>Computador Corporativo AIO ACER Veriton VZ4660G-OD513; Intel Core i5 9400 (caché de 9 M, hasta 4.00 GHz) 21,5"FHD PANTALLA AJUSTABLE/Panel de bisagra inclinable de -5° a 30°, RAM 8GB (1x4GB) 2666MHz</v>
      </c>
      <c r="C8765" s="6">
        <v>5289550</v>
      </c>
      <c r="D8765" s="5" t="s">
        <v>22</v>
      </c>
      <c r="E8765" s="5" t="str">
        <f t="shared" si="451"/>
        <v>CARPA COVID AZUL-YENI ESPERANZA PEÑA GUERRERO(ZONA EXPANCION)</v>
      </c>
      <c r="F8765" s="5"/>
      <c r="G8765" s="5"/>
    </row>
    <row r="8766" spans="1:7" ht="58.5" customHeight="1" x14ac:dyDescent="0.25">
      <c r="A8766" s="5" t="str">
        <f>"H0035065"</f>
        <v>H0035065</v>
      </c>
      <c r="B8766" s="5" t="str">
        <f t="shared" ref="B8766:B8777" si="453">"AIRE ACONDICIONADO TIPO SPLIT 60000 BTU (5 TON)"</f>
        <v>AIRE ACONDICIONADO TIPO SPLIT 60000 BTU (5 TON)</v>
      </c>
      <c r="C8766" s="6">
        <v>10412874.83</v>
      </c>
      <c r="D8766" s="5" t="s">
        <v>508</v>
      </c>
      <c r="E8766" s="5" t="str">
        <f t="shared" si="451"/>
        <v>CARPA COVID AZUL-YENI ESPERANZA PEÑA GUERRERO(ZONA EXPANCION)</v>
      </c>
      <c r="F8766" s="5"/>
      <c r="G8766" s="5"/>
    </row>
    <row r="8767" spans="1:7" ht="58.5" customHeight="1" x14ac:dyDescent="0.25">
      <c r="A8767" s="5" t="str">
        <f>"H0035066"</f>
        <v>H0035066</v>
      </c>
      <c r="B8767" s="5" t="str">
        <f t="shared" si="453"/>
        <v>AIRE ACONDICIONADO TIPO SPLIT 60000 BTU (5 TON)</v>
      </c>
      <c r="C8767" s="6">
        <v>10412874.83</v>
      </c>
      <c r="D8767" s="5" t="s">
        <v>508</v>
      </c>
      <c r="E8767" s="5" t="str">
        <f t="shared" si="451"/>
        <v>CARPA COVID AZUL-YENI ESPERANZA PEÑA GUERRERO(ZONA EXPANCION)</v>
      </c>
      <c r="F8767" s="5"/>
      <c r="G8767" s="5"/>
    </row>
    <row r="8768" spans="1:7" ht="58.5" customHeight="1" x14ac:dyDescent="0.25">
      <c r="A8768" s="5" t="str">
        <f>"H0035067"</f>
        <v>H0035067</v>
      </c>
      <c r="B8768" s="5" t="str">
        <f t="shared" si="453"/>
        <v>AIRE ACONDICIONADO TIPO SPLIT 60000 BTU (5 TON)</v>
      </c>
      <c r="C8768" s="6">
        <v>10412874.83</v>
      </c>
      <c r="D8768" s="5" t="s">
        <v>508</v>
      </c>
      <c r="E8768" s="5" t="str">
        <f t="shared" si="451"/>
        <v>CARPA COVID AZUL-YENI ESPERANZA PEÑA GUERRERO(ZONA EXPANCION)</v>
      </c>
      <c r="F8768" s="5"/>
      <c r="G8768" s="5"/>
    </row>
    <row r="8769" spans="1:7" ht="58.5" customHeight="1" x14ac:dyDescent="0.25">
      <c r="A8769" s="5" t="str">
        <f>"H0035068"</f>
        <v>H0035068</v>
      </c>
      <c r="B8769" s="5" t="str">
        <f t="shared" si="453"/>
        <v>AIRE ACONDICIONADO TIPO SPLIT 60000 BTU (5 TON)</v>
      </c>
      <c r="C8769" s="6">
        <v>10412874.83</v>
      </c>
      <c r="D8769" s="5" t="s">
        <v>508</v>
      </c>
      <c r="E8769" s="5" t="str">
        <f t="shared" si="451"/>
        <v>CARPA COVID AZUL-YENI ESPERANZA PEÑA GUERRERO(ZONA EXPANCION)</v>
      </c>
      <c r="F8769" s="5"/>
      <c r="G8769" s="5"/>
    </row>
    <row r="8770" spans="1:7" ht="58.5" customHeight="1" x14ac:dyDescent="0.25">
      <c r="A8770" s="5" t="str">
        <f>"H0035069"</f>
        <v>H0035069</v>
      </c>
      <c r="B8770" s="5" t="str">
        <f t="shared" si="453"/>
        <v>AIRE ACONDICIONADO TIPO SPLIT 60000 BTU (5 TON)</v>
      </c>
      <c r="C8770" s="6">
        <v>10412874.83</v>
      </c>
      <c r="D8770" s="5" t="s">
        <v>508</v>
      </c>
      <c r="E8770" s="5" t="str">
        <f t="shared" si="451"/>
        <v>CARPA COVID AZUL-YENI ESPERANZA PEÑA GUERRERO(ZONA EXPANCION)</v>
      </c>
      <c r="F8770" s="5"/>
      <c r="G8770" s="5"/>
    </row>
    <row r="8771" spans="1:7" ht="58.5" customHeight="1" x14ac:dyDescent="0.25">
      <c r="A8771" s="5" t="str">
        <f>"H0035070"</f>
        <v>H0035070</v>
      </c>
      <c r="B8771" s="5" t="str">
        <f t="shared" si="453"/>
        <v>AIRE ACONDICIONADO TIPO SPLIT 60000 BTU (5 TON)</v>
      </c>
      <c r="C8771" s="6">
        <v>10412874.83</v>
      </c>
      <c r="D8771" s="5" t="s">
        <v>508</v>
      </c>
      <c r="E8771" s="5" t="str">
        <f t="shared" si="451"/>
        <v>CARPA COVID AZUL-YENI ESPERANZA PEÑA GUERRERO(ZONA EXPANCION)</v>
      </c>
      <c r="F8771" s="5"/>
      <c r="G8771" s="5"/>
    </row>
    <row r="8772" spans="1:7" ht="58.5" customHeight="1" x14ac:dyDescent="0.25">
      <c r="A8772" s="5" t="str">
        <f>"H0035071"</f>
        <v>H0035071</v>
      </c>
      <c r="B8772" s="5" t="str">
        <f t="shared" si="453"/>
        <v>AIRE ACONDICIONADO TIPO SPLIT 60000 BTU (5 TON)</v>
      </c>
      <c r="C8772" s="6">
        <v>10412874.83</v>
      </c>
      <c r="D8772" s="5" t="s">
        <v>508</v>
      </c>
      <c r="E8772" s="5" t="str">
        <f t="shared" si="451"/>
        <v>CARPA COVID AZUL-YENI ESPERANZA PEÑA GUERRERO(ZONA EXPANCION)</v>
      </c>
      <c r="F8772" s="5"/>
      <c r="G8772" s="5"/>
    </row>
    <row r="8773" spans="1:7" ht="58.5" customHeight="1" x14ac:dyDescent="0.25">
      <c r="A8773" s="5" t="str">
        <f>"h0035072"</f>
        <v>h0035072</v>
      </c>
      <c r="B8773" s="5" t="str">
        <f t="shared" si="453"/>
        <v>AIRE ACONDICIONADO TIPO SPLIT 60000 BTU (5 TON)</v>
      </c>
      <c r="C8773" s="6">
        <v>10412874.83</v>
      </c>
      <c r="D8773" s="5" t="s">
        <v>508</v>
      </c>
      <c r="E8773" s="5" t="str">
        <f t="shared" si="451"/>
        <v>CARPA COVID AZUL-YENI ESPERANZA PEÑA GUERRERO(ZONA EXPANCION)</v>
      </c>
      <c r="F8773" s="5"/>
      <c r="G8773" s="5"/>
    </row>
    <row r="8774" spans="1:7" ht="58.5" customHeight="1" x14ac:dyDescent="0.25">
      <c r="A8774" s="5" t="str">
        <f>"h0035073"</f>
        <v>h0035073</v>
      </c>
      <c r="B8774" s="5" t="str">
        <f t="shared" si="453"/>
        <v>AIRE ACONDICIONADO TIPO SPLIT 60000 BTU (5 TON)</v>
      </c>
      <c r="C8774" s="6">
        <v>10412874.83</v>
      </c>
      <c r="D8774" s="5" t="s">
        <v>508</v>
      </c>
      <c r="E8774" s="5" t="str">
        <f t="shared" si="451"/>
        <v>CARPA COVID AZUL-YENI ESPERANZA PEÑA GUERRERO(ZONA EXPANCION)</v>
      </c>
      <c r="F8774" s="5"/>
      <c r="G8774" s="5"/>
    </row>
    <row r="8775" spans="1:7" ht="58.5" customHeight="1" x14ac:dyDescent="0.25">
      <c r="A8775" s="5" t="str">
        <f>"h0035074"</f>
        <v>h0035074</v>
      </c>
      <c r="B8775" s="5" t="str">
        <f t="shared" si="453"/>
        <v>AIRE ACONDICIONADO TIPO SPLIT 60000 BTU (5 TON)</v>
      </c>
      <c r="C8775" s="6">
        <v>10412874.83</v>
      </c>
      <c r="D8775" s="5" t="s">
        <v>508</v>
      </c>
      <c r="E8775" s="5" t="str">
        <f t="shared" si="451"/>
        <v>CARPA COVID AZUL-YENI ESPERANZA PEÑA GUERRERO(ZONA EXPANCION)</v>
      </c>
      <c r="F8775" s="5"/>
      <c r="G8775" s="5"/>
    </row>
    <row r="8776" spans="1:7" ht="58.5" customHeight="1" x14ac:dyDescent="0.25">
      <c r="A8776" s="5" t="str">
        <f>"h0035075"</f>
        <v>h0035075</v>
      </c>
      <c r="B8776" s="5" t="str">
        <f t="shared" si="453"/>
        <v>AIRE ACONDICIONADO TIPO SPLIT 60000 BTU (5 TON)</v>
      </c>
      <c r="C8776" s="6">
        <v>10412874.83</v>
      </c>
      <c r="D8776" s="5" t="s">
        <v>508</v>
      </c>
      <c r="E8776" s="5" t="str">
        <f t="shared" si="451"/>
        <v>CARPA COVID AZUL-YENI ESPERANZA PEÑA GUERRERO(ZONA EXPANCION)</v>
      </c>
      <c r="F8776" s="5"/>
      <c r="G8776" s="5"/>
    </row>
    <row r="8777" spans="1:7" ht="58.5" customHeight="1" x14ac:dyDescent="0.25">
      <c r="A8777" s="5" t="str">
        <f>"h0035076"</f>
        <v>h0035076</v>
      </c>
      <c r="B8777" s="5" t="str">
        <f t="shared" si="453"/>
        <v>AIRE ACONDICIONADO TIPO SPLIT 60000 BTU (5 TON)</v>
      </c>
      <c r="C8777" s="6">
        <v>10412874.83</v>
      </c>
      <c r="D8777" s="5" t="s">
        <v>508</v>
      </c>
      <c r="E8777" s="5" t="str">
        <f t="shared" si="451"/>
        <v>CARPA COVID AZUL-YENI ESPERANZA PEÑA GUERRERO(ZONA EXPANCION)</v>
      </c>
      <c r="F8777" s="5"/>
      <c r="G8777" s="5"/>
    </row>
    <row r="8778" spans="1:7" ht="58.5" customHeight="1" x14ac:dyDescent="0.25">
      <c r="A8778" s="5" t="str">
        <f>"H0035077"</f>
        <v>H0035077</v>
      </c>
      <c r="B8778" s="5" t="str">
        <f>"Equipo de aire acondicionado tipo split de 36.000 BTU refrigerante ecológico R410 220 voltios"</f>
        <v>Equipo de aire acondicionado tipo split de 36.000 BTU refrigerante ecológico R410 220 voltios</v>
      </c>
      <c r="C8778" s="6">
        <v>3943752</v>
      </c>
      <c r="D8778" s="5" t="s">
        <v>508</v>
      </c>
      <c r="E8778" s="5" t="str">
        <f t="shared" si="451"/>
        <v>CARPA COVID AZUL-YENI ESPERANZA PEÑA GUERRERO(ZONA EXPANCION)</v>
      </c>
      <c r="F8778" s="5"/>
      <c r="G8778" s="5"/>
    </row>
    <row r="8779" spans="1:7" ht="58.5" customHeight="1" x14ac:dyDescent="0.25">
      <c r="A8779" s="5" t="str">
        <f>"H0035078"</f>
        <v>H0035078</v>
      </c>
      <c r="B8779" s="5" t="str">
        <f t="shared" ref="B8779:B8784" si="454">"Unidad extractora centrífuga de 5500 CFM a 800 FPM motor de acople directo 220 voltios"</f>
        <v>Unidad extractora centrífuga de 5500 CFM a 800 FPM motor de acople directo 220 voltios</v>
      </c>
      <c r="C8779" s="6">
        <v>8240000</v>
      </c>
      <c r="D8779" s="5" t="s">
        <v>508</v>
      </c>
      <c r="E8779" s="5" t="str">
        <f t="shared" si="451"/>
        <v>CARPA COVID AZUL-YENI ESPERANZA PEÑA GUERRERO(ZONA EXPANCION)</v>
      </c>
      <c r="F8779" s="5"/>
      <c r="G8779" s="5"/>
    </row>
    <row r="8780" spans="1:7" ht="58.5" customHeight="1" x14ac:dyDescent="0.25">
      <c r="A8780" s="5" t="str">
        <f>"H0035079"</f>
        <v>H0035079</v>
      </c>
      <c r="B8780" s="5" t="str">
        <f t="shared" si="454"/>
        <v>Unidad extractora centrífuga de 5500 CFM a 800 FPM motor de acople directo 220 voltios</v>
      </c>
      <c r="C8780" s="6">
        <v>8240000</v>
      </c>
      <c r="D8780" s="5" t="s">
        <v>508</v>
      </c>
      <c r="E8780" s="5" t="str">
        <f t="shared" si="451"/>
        <v>CARPA COVID AZUL-YENI ESPERANZA PEÑA GUERRERO(ZONA EXPANCION)</v>
      </c>
      <c r="F8780" s="5"/>
      <c r="G8780" s="5"/>
    </row>
    <row r="8781" spans="1:7" ht="58.5" customHeight="1" x14ac:dyDescent="0.25">
      <c r="A8781" s="5" t="str">
        <f>"H0035080"</f>
        <v>H0035080</v>
      </c>
      <c r="B8781" s="5" t="str">
        <f t="shared" si="454"/>
        <v>Unidad extractora centrífuga de 5500 CFM a 800 FPM motor de acople directo 220 voltios</v>
      </c>
      <c r="C8781" s="6">
        <v>8240000</v>
      </c>
      <c r="D8781" s="5" t="s">
        <v>508</v>
      </c>
      <c r="E8781" s="5" t="str">
        <f t="shared" si="451"/>
        <v>CARPA COVID AZUL-YENI ESPERANZA PEÑA GUERRERO(ZONA EXPANCION)</v>
      </c>
      <c r="F8781" s="5"/>
      <c r="G8781" s="5"/>
    </row>
    <row r="8782" spans="1:7" ht="58.5" customHeight="1" x14ac:dyDescent="0.25">
      <c r="A8782" s="5" t="str">
        <f>"H0035081"</f>
        <v>H0035081</v>
      </c>
      <c r="B8782" s="5" t="str">
        <f t="shared" si="454"/>
        <v>Unidad extractora centrífuga de 5500 CFM a 800 FPM motor de acople directo 220 voltios</v>
      </c>
      <c r="C8782" s="6">
        <v>8240000</v>
      </c>
      <c r="D8782" s="5" t="s">
        <v>508</v>
      </c>
      <c r="E8782" s="5" t="str">
        <f t="shared" si="451"/>
        <v>CARPA COVID AZUL-YENI ESPERANZA PEÑA GUERRERO(ZONA EXPANCION)</v>
      </c>
      <c r="F8782" s="5"/>
      <c r="G8782" s="5"/>
    </row>
    <row r="8783" spans="1:7" ht="58.5" customHeight="1" x14ac:dyDescent="0.25">
      <c r="A8783" s="5" t="str">
        <f>"H0035082"</f>
        <v>H0035082</v>
      </c>
      <c r="B8783" s="5" t="str">
        <f t="shared" si="454"/>
        <v>Unidad extractora centrífuga de 5500 CFM a 800 FPM motor de acople directo 220 voltios</v>
      </c>
      <c r="C8783" s="6">
        <v>8240000</v>
      </c>
      <c r="D8783" s="5" t="s">
        <v>508</v>
      </c>
      <c r="E8783" s="5" t="str">
        <f t="shared" si="451"/>
        <v>CARPA COVID AZUL-YENI ESPERANZA PEÑA GUERRERO(ZONA EXPANCION)</v>
      </c>
      <c r="F8783" s="5"/>
      <c r="G8783" s="5"/>
    </row>
    <row r="8784" spans="1:7" ht="58.5" customHeight="1" x14ac:dyDescent="0.25">
      <c r="A8784" s="5" t="str">
        <f>"H0035083"</f>
        <v>H0035083</v>
      </c>
      <c r="B8784" s="5" t="str">
        <f t="shared" si="454"/>
        <v>Unidad extractora centrífuga de 5500 CFM a 800 FPM motor de acople directo 220 voltios</v>
      </c>
      <c r="C8784" s="6">
        <v>8240000</v>
      </c>
      <c r="D8784" s="5" t="s">
        <v>508</v>
      </c>
      <c r="E8784" s="5" t="str">
        <f t="shared" si="451"/>
        <v>CARPA COVID AZUL-YENI ESPERANZA PEÑA GUERRERO(ZONA EXPANCION)</v>
      </c>
      <c r="F8784" s="5"/>
      <c r="G8784" s="5"/>
    </row>
    <row r="8785" spans="1:7" ht="58.5" customHeight="1" x14ac:dyDescent="0.25">
      <c r="A8785" s="5" t="str">
        <f>"H0035151"</f>
        <v>H0035151</v>
      </c>
      <c r="B8785" s="5" t="str">
        <f>"CAMA HOSPITALARIA (DONACION)"</f>
        <v>CAMA HOSPITALARIA (DONACION)</v>
      </c>
      <c r="C8785" s="6">
        <v>482786</v>
      </c>
      <c r="D8785" s="5" t="s">
        <v>125</v>
      </c>
      <c r="E8785" s="5" t="str">
        <f t="shared" si="451"/>
        <v>CARPA COVID AZUL-YENI ESPERANZA PEÑA GUERRERO(ZONA EXPANCION)</v>
      </c>
      <c r="F8785" s="5"/>
      <c r="G8785" s="5"/>
    </row>
    <row r="8786" spans="1:7" ht="58.5" customHeight="1" x14ac:dyDescent="0.25">
      <c r="A8786" s="5" t="str">
        <f>"H0035157"</f>
        <v>H0035157</v>
      </c>
      <c r="B8786" s="5" t="str">
        <f>"CARPA CON CORTINA (CODIGO DONACION)"</f>
        <v>CARPA CON CORTINA (CODIGO DONACION)</v>
      </c>
      <c r="C8786" s="6">
        <v>3200000</v>
      </c>
      <c r="D8786" s="5" t="s">
        <v>509</v>
      </c>
      <c r="E8786" s="5" t="str">
        <f t="shared" si="451"/>
        <v>CARPA COVID AZUL-YENI ESPERANZA PEÑA GUERRERO(ZONA EXPANCION)</v>
      </c>
      <c r="F8786" s="5"/>
      <c r="G8786" s="5"/>
    </row>
    <row r="8787" spans="1:7" ht="58.5" customHeight="1" x14ac:dyDescent="0.25">
      <c r="A8787" s="5" t="str">
        <f>"H0035159"</f>
        <v>H0035159</v>
      </c>
      <c r="B8787" s="5" t="str">
        <f>"aire acondicionado tipo split ductable de 60000 btu (DONACION)"</f>
        <v>aire acondicionado tipo split ductable de 60000 btu (DONACION)</v>
      </c>
      <c r="C8787" s="6">
        <v>10412874</v>
      </c>
      <c r="D8787" s="5" t="s">
        <v>510</v>
      </c>
      <c r="E8787" s="5" t="str">
        <f t="shared" si="451"/>
        <v>CARPA COVID AZUL-YENI ESPERANZA PEÑA GUERRERO(ZONA EXPANCION)</v>
      </c>
      <c r="F8787" s="5"/>
      <c r="G8787" s="5"/>
    </row>
    <row r="8788" spans="1:7" ht="58.5" customHeight="1" x14ac:dyDescent="0.25">
      <c r="A8788" s="5" t="str">
        <f>"H0035160"</f>
        <v>H0035160</v>
      </c>
      <c r="B8788" s="5" t="str">
        <f>"aire acondicionado tipo split ductable de 36000 btu (DONACION)"</f>
        <v>aire acondicionado tipo split ductable de 36000 btu (DONACION)</v>
      </c>
      <c r="C8788" s="6">
        <v>4000000</v>
      </c>
      <c r="D8788" s="5" t="s">
        <v>510</v>
      </c>
      <c r="E8788" s="5" t="str">
        <f t="shared" si="451"/>
        <v>CARPA COVID AZUL-YENI ESPERANZA PEÑA GUERRERO(ZONA EXPANCION)</v>
      </c>
      <c r="F8788" s="5"/>
      <c r="G8788" s="5"/>
    </row>
    <row r="8789" spans="1:7" ht="58.5" customHeight="1" x14ac:dyDescent="0.25">
      <c r="A8789" s="5" t="str">
        <f>"H0035181"</f>
        <v>H0035181</v>
      </c>
      <c r="B8789" s="5" t="str">
        <f>"LECTOR DE HUELLAS DIGITALES"</f>
        <v>LECTOR DE HUELLAS DIGITALES</v>
      </c>
      <c r="C8789" s="6">
        <v>357666.4</v>
      </c>
      <c r="D8789" s="5" t="s">
        <v>126</v>
      </c>
      <c r="E8789" s="5" t="str">
        <f t="shared" si="451"/>
        <v>CARPA COVID AZUL-YENI ESPERANZA PEÑA GUERRERO(ZONA EXPANCION)</v>
      </c>
      <c r="F8789" s="5"/>
      <c r="G8789" s="5"/>
    </row>
    <row r="8790" spans="1:7" ht="58.5" customHeight="1" x14ac:dyDescent="0.25">
      <c r="A8790" s="5" t="str">
        <f>"H0035182"</f>
        <v>H0035182</v>
      </c>
      <c r="B8790" s="5" t="str">
        <f>"LECTOR DE HUELLAS DIGITALES"</f>
        <v>LECTOR DE HUELLAS DIGITALES</v>
      </c>
      <c r="C8790" s="6">
        <v>357666.4</v>
      </c>
      <c r="D8790" s="5" t="s">
        <v>126</v>
      </c>
      <c r="E8790" s="5" t="str">
        <f t="shared" si="451"/>
        <v>CARPA COVID AZUL-YENI ESPERANZA PEÑA GUERRERO(ZONA EXPANCION)</v>
      </c>
      <c r="F8790" s="5"/>
      <c r="G8790" s="5"/>
    </row>
    <row r="8791" spans="1:7" ht="58.5" customHeight="1" x14ac:dyDescent="0.25">
      <c r="A8791" s="5" t="str">
        <f>"H0035185"</f>
        <v>H0035185</v>
      </c>
      <c r="B8791" s="5" t="str">
        <f>"LECTOR DE HUELLAS DIGITALES"</f>
        <v>LECTOR DE HUELLAS DIGITALES</v>
      </c>
      <c r="C8791" s="6">
        <v>357666.4</v>
      </c>
      <c r="D8791" s="5" t="s">
        <v>126</v>
      </c>
      <c r="E8791" s="5" t="str">
        <f t="shared" si="451"/>
        <v>CARPA COVID AZUL-YENI ESPERANZA PEÑA GUERRERO(ZONA EXPANCION)</v>
      </c>
      <c r="F8791" s="5"/>
      <c r="G8791" s="5"/>
    </row>
    <row r="8792" spans="1:7" ht="58.5" customHeight="1" x14ac:dyDescent="0.25">
      <c r="A8792" s="5" t="str">
        <f>"H0035186"</f>
        <v>H0035186</v>
      </c>
      <c r="B8792" s="5" t="str">
        <f>"LECTOR DE HUELLAS DIGITALES"</f>
        <v>LECTOR DE HUELLAS DIGITALES</v>
      </c>
      <c r="C8792" s="6">
        <v>357666.4</v>
      </c>
      <c r="D8792" s="5" t="s">
        <v>126</v>
      </c>
      <c r="E8792" s="5" t="str">
        <f t="shared" si="451"/>
        <v>CARPA COVID AZUL-YENI ESPERANZA PEÑA GUERRERO(ZONA EXPANCION)</v>
      </c>
      <c r="F8792" s="5"/>
      <c r="G8792" s="5"/>
    </row>
    <row r="8793" spans="1:7" ht="58.5" customHeight="1" x14ac:dyDescent="0.25">
      <c r="A8793" s="5" t="str">
        <f>"H0035187"</f>
        <v>H0035187</v>
      </c>
      <c r="B8793" s="5" t="str">
        <f>"LECTOR DE HUELLAS DIGITALES"</f>
        <v>LECTOR DE HUELLAS DIGITALES</v>
      </c>
      <c r="C8793" s="6">
        <v>357666.4</v>
      </c>
      <c r="D8793" s="5" t="s">
        <v>126</v>
      </c>
      <c r="E8793" s="5" t="str">
        <f t="shared" si="451"/>
        <v>CARPA COVID AZUL-YENI ESPERANZA PEÑA GUERRERO(ZONA EXPANCION)</v>
      </c>
      <c r="F8793" s="5"/>
      <c r="G8793" s="5"/>
    </row>
    <row r="8794" spans="1:7" ht="58.5" customHeight="1" x14ac:dyDescent="0.25">
      <c r="A8794" s="5" t="str">
        <f>"H0035280"</f>
        <v>H0035280</v>
      </c>
      <c r="B8794" s="5" t="str">
        <f>"CAMA HOSPITALARIA (DONACION)"</f>
        <v>CAMA HOSPITALARIA (DONACION)</v>
      </c>
      <c r="C8794" s="6">
        <v>40540500</v>
      </c>
      <c r="D8794" s="5" t="s">
        <v>279</v>
      </c>
      <c r="E8794" s="5" t="str">
        <f t="shared" si="451"/>
        <v>CARPA COVID AZUL-YENI ESPERANZA PEÑA GUERRERO(ZONA EXPANCION)</v>
      </c>
      <c r="F8794" s="5"/>
      <c r="G8794" s="5"/>
    </row>
    <row r="8795" spans="1:7" ht="58.5" customHeight="1" x14ac:dyDescent="0.25">
      <c r="A8795" s="5" t="str">
        <f>"H0035312"</f>
        <v>H0035312</v>
      </c>
      <c r="B8795" s="5" t="str">
        <f>"CARPA CON CORTINA (CODIGO DONACION)"</f>
        <v>CARPA CON CORTINA (CODIGO DONACION)</v>
      </c>
      <c r="C8795" s="6">
        <v>3030000</v>
      </c>
      <c r="D8795" s="5" t="s">
        <v>511</v>
      </c>
      <c r="E8795" s="5" t="str">
        <f t="shared" si="451"/>
        <v>CARPA COVID AZUL-YENI ESPERANZA PEÑA GUERRERO(ZONA EXPANCION)</v>
      </c>
      <c r="F8795" s="5"/>
      <c r="G8795" s="5"/>
    </row>
    <row r="8796" spans="1:7" ht="58.5" customHeight="1" x14ac:dyDescent="0.25">
      <c r="A8796" s="5" t="str">
        <f>"H0035313"</f>
        <v>H0035313</v>
      </c>
      <c r="B8796" s="5" t="s">
        <v>128</v>
      </c>
      <c r="C8796" s="6">
        <v>5462100</v>
      </c>
      <c r="D8796" s="5" t="s">
        <v>127</v>
      </c>
      <c r="E8796" s="5" t="str">
        <f t="shared" si="451"/>
        <v>CARPA COVID AZUL-YENI ESPERANZA PEÑA GUERRERO(ZONA EXPANCION)</v>
      </c>
      <c r="F8796" s="5"/>
      <c r="G8796" s="5" t="str">
        <f>"202G4AIO"</f>
        <v>202G4AIO</v>
      </c>
    </row>
    <row r="8797" spans="1:7" ht="58.5" customHeight="1" x14ac:dyDescent="0.25">
      <c r="A8797" s="5" t="str">
        <f>"H0035314"</f>
        <v>H0035314</v>
      </c>
      <c r="B8797" s="5" t="s">
        <v>128</v>
      </c>
      <c r="C8797" s="6">
        <v>5462100</v>
      </c>
      <c r="D8797" s="5" t="s">
        <v>127</v>
      </c>
      <c r="E8797" s="5" t="str">
        <f t="shared" si="451"/>
        <v>CARPA COVID AZUL-YENI ESPERANZA PEÑA GUERRERO(ZONA EXPANCION)</v>
      </c>
      <c r="F8797" s="5"/>
      <c r="G8797" s="5" t="str">
        <f>"202G4AIO"</f>
        <v>202G4AIO</v>
      </c>
    </row>
    <row r="8798" spans="1:7" ht="58.5" customHeight="1" x14ac:dyDescent="0.25">
      <c r="A8798" s="5" t="str">
        <f>"H0035316"</f>
        <v>H0035316</v>
      </c>
      <c r="B8798" s="5" t="s">
        <v>128</v>
      </c>
      <c r="C8798" s="6">
        <v>5462100</v>
      </c>
      <c r="D8798" s="5" t="s">
        <v>127</v>
      </c>
      <c r="E8798" s="5" t="str">
        <f t="shared" si="451"/>
        <v>CARPA COVID AZUL-YENI ESPERANZA PEÑA GUERRERO(ZONA EXPANCION)</v>
      </c>
      <c r="F8798" s="5"/>
      <c r="G8798" s="5" t="str">
        <f>"202G4AIO"</f>
        <v>202G4AIO</v>
      </c>
    </row>
    <row r="8799" spans="1:7" ht="58.5" customHeight="1" x14ac:dyDescent="0.25">
      <c r="A8799" s="5" t="str">
        <f>"H0035319"</f>
        <v>H0035319</v>
      </c>
      <c r="B8799" s="5" t="s">
        <v>128</v>
      </c>
      <c r="C8799" s="6">
        <v>5462100</v>
      </c>
      <c r="D8799" s="5" t="s">
        <v>127</v>
      </c>
      <c r="E8799" s="5" t="str">
        <f t="shared" si="451"/>
        <v>CARPA COVID AZUL-YENI ESPERANZA PEÑA GUERRERO(ZONA EXPANCION)</v>
      </c>
      <c r="F8799" s="5"/>
      <c r="G8799" s="5" t="str">
        <f>"202G4AIO"</f>
        <v>202G4AIO</v>
      </c>
    </row>
    <row r="8800" spans="1:7" ht="58.5" customHeight="1" x14ac:dyDescent="0.25">
      <c r="A8800" s="5" t="str">
        <f>"H0035320"</f>
        <v>H0035320</v>
      </c>
      <c r="B8800" s="5" t="s">
        <v>128</v>
      </c>
      <c r="C8800" s="6">
        <v>5462100</v>
      </c>
      <c r="D8800" s="5" t="s">
        <v>127</v>
      </c>
      <c r="E8800" s="5" t="str">
        <f t="shared" si="451"/>
        <v>CARPA COVID AZUL-YENI ESPERANZA PEÑA GUERRERO(ZONA EXPANCION)</v>
      </c>
      <c r="F8800" s="5"/>
      <c r="G8800" s="5" t="str">
        <f>"202G4AIO"</f>
        <v>202G4AIO</v>
      </c>
    </row>
    <row r="8801" spans="1:7" ht="58.5" customHeight="1" x14ac:dyDescent="0.25">
      <c r="A8801" s="5" t="str">
        <f>"H0035412"</f>
        <v>H0035412</v>
      </c>
      <c r="B8801" s="5" t="str">
        <f t="shared" ref="B8801:B8811" si="455">"COMPUTADOR TODO EN UNO HP  200 G4 CORPORATIVO  21.5  Intel® Core™ i5-10210U 10ma generación), Disco Duro 1TB"</f>
        <v>COMPUTADOR TODO EN UNO HP  200 G4 CORPORATIVO  21.5  Intel® Core™ i5-10210U 10ma generación), Disco Duro 1TB</v>
      </c>
      <c r="C8801" s="6">
        <v>5343100</v>
      </c>
      <c r="D8801" s="5" t="s">
        <v>197</v>
      </c>
      <c r="E8801" s="5" t="str">
        <f t="shared" si="451"/>
        <v>CARPA COVID AZUL-YENI ESPERANZA PEÑA GUERRERO(ZONA EXPANCION)</v>
      </c>
      <c r="F8801" s="5"/>
      <c r="G8801" s="5"/>
    </row>
    <row r="8802" spans="1:7" ht="58.5" customHeight="1" x14ac:dyDescent="0.25">
      <c r="A8802" s="5" t="str">
        <f>"H0035413"</f>
        <v>H0035413</v>
      </c>
      <c r="B8802" s="5" t="str">
        <f t="shared" si="455"/>
        <v>COMPUTADOR TODO EN UNO HP  200 G4 CORPORATIVO  21.5  Intel® Core™ i5-10210U 10ma generación), Disco Duro 1TB</v>
      </c>
      <c r="C8802" s="6">
        <v>5343100</v>
      </c>
      <c r="D8802" s="5" t="s">
        <v>197</v>
      </c>
      <c r="E8802" s="5" t="str">
        <f t="shared" si="451"/>
        <v>CARPA COVID AZUL-YENI ESPERANZA PEÑA GUERRERO(ZONA EXPANCION)</v>
      </c>
      <c r="F8802" s="5"/>
      <c r="G8802" s="5"/>
    </row>
    <row r="8803" spans="1:7" ht="58.5" customHeight="1" x14ac:dyDescent="0.25">
      <c r="A8803" s="5" t="str">
        <f>"H0035414"</f>
        <v>H0035414</v>
      </c>
      <c r="B8803" s="5" t="str">
        <f t="shared" si="455"/>
        <v>COMPUTADOR TODO EN UNO HP  200 G4 CORPORATIVO  21.5  Intel® Core™ i5-10210U 10ma generación), Disco Duro 1TB</v>
      </c>
      <c r="C8803" s="6">
        <v>5343100</v>
      </c>
      <c r="D8803" s="5" t="s">
        <v>197</v>
      </c>
      <c r="E8803" s="5" t="str">
        <f t="shared" si="451"/>
        <v>CARPA COVID AZUL-YENI ESPERANZA PEÑA GUERRERO(ZONA EXPANCION)</v>
      </c>
      <c r="F8803" s="5"/>
      <c r="G8803" s="5"/>
    </row>
    <row r="8804" spans="1:7" ht="58.5" customHeight="1" x14ac:dyDescent="0.25">
      <c r="A8804" s="5" t="str">
        <f>"H0035416"</f>
        <v>H0035416</v>
      </c>
      <c r="B8804" s="5" t="str">
        <f t="shared" si="455"/>
        <v>COMPUTADOR TODO EN UNO HP  200 G4 CORPORATIVO  21.5  Intel® Core™ i5-10210U 10ma generación), Disco Duro 1TB</v>
      </c>
      <c r="C8804" s="6">
        <v>5343100</v>
      </c>
      <c r="D8804" s="5" t="s">
        <v>512</v>
      </c>
      <c r="E8804" s="5" t="str">
        <f t="shared" si="451"/>
        <v>CARPA COVID AZUL-YENI ESPERANZA PEÑA GUERRERO(ZONA EXPANCION)</v>
      </c>
      <c r="F8804" s="5"/>
      <c r="G8804" s="5"/>
    </row>
    <row r="8805" spans="1:7" ht="58.5" customHeight="1" x14ac:dyDescent="0.25">
      <c r="A8805" s="5" t="str">
        <f>"H0035427"</f>
        <v>H0035427</v>
      </c>
      <c r="B8805" s="5" t="str">
        <f t="shared" si="455"/>
        <v>COMPUTADOR TODO EN UNO HP  200 G4 CORPORATIVO  21.5  Intel® Core™ i5-10210U 10ma generación), Disco Duro 1TB</v>
      </c>
      <c r="C8805" s="6">
        <v>5343100</v>
      </c>
      <c r="D8805" s="5" t="s">
        <v>197</v>
      </c>
      <c r="E8805" s="5" t="str">
        <f t="shared" si="451"/>
        <v>CARPA COVID AZUL-YENI ESPERANZA PEÑA GUERRERO(ZONA EXPANCION)</v>
      </c>
      <c r="F8805" s="5"/>
      <c r="G8805" s="5"/>
    </row>
    <row r="8806" spans="1:7" ht="58.5" customHeight="1" x14ac:dyDescent="0.25">
      <c r="A8806" s="5" t="str">
        <f>"H0035429"</f>
        <v>H0035429</v>
      </c>
      <c r="B8806" s="5" t="str">
        <f t="shared" si="455"/>
        <v>COMPUTADOR TODO EN UNO HP  200 G4 CORPORATIVO  21.5  Intel® Core™ i5-10210U 10ma generación), Disco Duro 1TB</v>
      </c>
      <c r="C8806" s="6">
        <v>5343100</v>
      </c>
      <c r="D8806" s="5" t="s">
        <v>197</v>
      </c>
      <c r="E8806" s="5" t="str">
        <f t="shared" si="451"/>
        <v>CARPA COVID AZUL-YENI ESPERANZA PEÑA GUERRERO(ZONA EXPANCION)</v>
      </c>
      <c r="F8806" s="5"/>
      <c r="G8806" s="5"/>
    </row>
    <row r="8807" spans="1:7" ht="58.5" customHeight="1" x14ac:dyDescent="0.25">
      <c r="A8807" s="5" t="str">
        <f>"H0035430"</f>
        <v>H0035430</v>
      </c>
      <c r="B8807" s="5" t="str">
        <f t="shared" si="455"/>
        <v>COMPUTADOR TODO EN UNO HP  200 G4 CORPORATIVO  21.5  Intel® Core™ i5-10210U 10ma generación), Disco Duro 1TB</v>
      </c>
      <c r="C8807" s="6">
        <v>5343100</v>
      </c>
      <c r="D8807" s="5" t="s">
        <v>197</v>
      </c>
      <c r="E8807" s="5" t="str">
        <f t="shared" si="451"/>
        <v>CARPA COVID AZUL-YENI ESPERANZA PEÑA GUERRERO(ZONA EXPANCION)</v>
      </c>
      <c r="F8807" s="5"/>
      <c r="G8807" s="5"/>
    </row>
    <row r="8808" spans="1:7" ht="58.5" customHeight="1" x14ac:dyDescent="0.25">
      <c r="A8808" s="5" t="str">
        <f>"H0035431"</f>
        <v>H0035431</v>
      </c>
      <c r="B8808" s="5" t="str">
        <f t="shared" si="455"/>
        <v>COMPUTADOR TODO EN UNO HP  200 G4 CORPORATIVO  21.5  Intel® Core™ i5-10210U 10ma generación), Disco Duro 1TB</v>
      </c>
      <c r="C8808" s="6">
        <v>5343100</v>
      </c>
      <c r="D8808" s="5" t="s">
        <v>197</v>
      </c>
      <c r="E8808" s="5" t="str">
        <f t="shared" si="451"/>
        <v>CARPA COVID AZUL-YENI ESPERANZA PEÑA GUERRERO(ZONA EXPANCION)</v>
      </c>
      <c r="F8808" s="5"/>
      <c r="G8808" s="5"/>
    </row>
    <row r="8809" spans="1:7" ht="58.5" customHeight="1" x14ac:dyDescent="0.25">
      <c r="A8809" s="5" t="str">
        <f>"H0035432"</f>
        <v>H0035432</v>
      </c>
      <c r="B8809" s="5" t="str">
        <f t="shared" si="455"/>
        <v>COMPUTADOR TODO EN UNO HP  200 G4 CORPORATIVO  21.5  Intel® Core™ i5-10210U 10ma generación), Disco Duro 1TB</v>
      </c>
      <c r="C8809" s="6">
        <v>5343100</v>
      </c>
      <c r="D8809" s="5" t="s">
        <v>197</v>
      </c>
      <c r="E8809" s="5" t="str">
        <f t="shared" si="451"/>
        <v>CARPA COVID AZUL-YENI ESPERANZA PEÑA GUERRERO(ZONA EXPANCION)</v>
      </c>
      <c r="F8809" s="5"/>
      <c r="G8809" s="5"/>
    </row>
    <row r="8810" spans="1:7" ht="58.5" customHeight="1" x14ac:dyDescent="0.25">
      <c r="A8810" s="5" t="str">
        <f>"H0035433"</f>
        <v>H0035433</v>
      </c>
      <c r="B8810" s="5" t="str">
        <f t="shared" si="455"/>
        <v>COMPUTADOR TODO EN UNO HP  200 G4 CORPORATIVO  21.5  Intel® Core™ i5-10210U 10ma generación), Disco Duro 1TB</v>
      </c>
      <c r="C8810" s="6">
        <v>5343100</v>
      </c>
      <c r="D8810" s="5" t="s">
        <v>197</v>
      </c>
      <c r="E8810" s="5" t="str">
        <f t="shared" si="451"/>
        <v>CARPA COVID AZUL-YENI ESPERANZA PEÑA GUERRERO(ZONA EXPANCION)</v>
      </c>
      <c r="F8810" s="5"/>
      <c r="G8810" s="5"/>
    </row>
    <row r="8811" spans="1:7" ht="58.5" customHeight="1" x14ac:dyDescent="0.25">
      <c r="A8811" s="5" t="str">
        <f>"H0035434"</f>
        <v>H0035434</v>
      </c>
      <c r="B8811" s="5" t="str">
        <f t="shared" si="455"/>
        <v>COMPUTADOR TODO EN UNO HP  200 G4 CORPORATIVO  21.5  Intel® Core™ i5-10210U 10ma generación), Disco Duro 1TB</v>
      </c>
      <c r="C8811" s="6">
        <v>5343100</v>
      </c>
      <c r="D8811" s="5" t="s">
        <v>197</v>
      </c>
      <c r="E8811" s="5" t="str">
        <f t="shared" si="451"/>
        <v>CARPA COVID AZUL-YENI ESPERANZA PEÑA GUERRERO(ZONA EXPANCION)</v>
      </c>
      <c r="F8811" s="5"/>
      <c r="G8811" s="5"/>
    </row>
    <row r="8812" spans="1:7" ht="58.5" customHeight="1" x14ac:dyDescent="0.25">
      <c r="A8812" s="5" t="str">
        <f>"H0035477"</f>
        <v>H0035477</v>
      </c>
      <c r="B8812" s="5" t="str">
        <f t="shared" ref="B8812:B8819" si="456">"CARRO PORTA HISTORIAS CLINICAS"</f>
        <v>CARRO PORTA HISTORIAS CLINICAS</v>
      </c>
      <c r="C8812" s="6">
        <v>758875.01</v>
      </c>
      <c r="D8812" s="5" t="s">
        <v>159</v>
      </c>
      <c r="E8812" s="5" t="str">
        <f t="shared" si="451"/>
        <v>CARPA COVID AZUL-YENI ESPERANZA PEÑA GUERRERO(ZONA EXPANCION)</v>
      </c>
      <c r="F8812" s="5"/>
      <c r="G8812" s="5"/>
    </row>
    <row r="8813" spans="1:7" ht="58.5" customHeight="1" x14ac:dyDescent="0.25">
      <c r="A8813" s="5" t="str">
        <f>"H0035478"</f>
        <v>H0035478</v>
      </c>
      <c r="B8813" s="5" t="str">
        <f t="shared" si="456"/>
        <v>CARRO PORTA HISTORIAS CLINICAS</v>
      </c>
      <c r="C8813" s="6">
        <v>758875.01</v>
      </c>
      <c r="D8813" s="5" t="s">
        <v>159</v>
      </c>
      <c r="E8813" s="5" t="str">
        <f t="shared" ref="E8813:E8834" si="457">"CARPA COVID AZUL-YENI ESPERANZA PEÑA GUERRERO(ZONA EXPANCION)"</f>
        <v>CARPA COVID AZUL-YENI ESPERANZA PEÑA GUERRERO(ZONA EXPANCION)</v>
      </c>
      <c r="F8813" s="5"/>
      <c r="G8813" s="5"/>
    </row>
    <row r="8814" spans="1:7" ht="58.5" customHeight="1" x14ac:dyDescent="0.25">
      <c r="A8814" s="5" t="str">
        <f>"H0035479"</f>
        <v>H0035479</v>
      </c>
      <c r="B8814" s="5" t="str">
        <f t="shared" si="456"/>
        <v>CARRO PORTA HISTORIAS CLINICAS</v>
      </c>
      <c r="C8814" s="6">
        <v>758875.01</v>
      </c>
      <c r="D8814" s="5" t="s">
        <v>159</v>
      </c>
      <c r="E8814" s="5" t="str">
        <f t="shared" si="457"/>
        <v>CARPA COVID AZUL-YENI ESPERANZA PEÑA GUERRERO(ZONA EXPANCION)</v>
      </c>
      <c r="F8814" s="5"/>
      <c r="G8814" s="5"/>
    </row>
    <row r="8815" spans="1:7" ht="58.5" customHeight="1" x14ac:dyDescent="0.25">
      <c r="A8815" s="5" t="str">
        <f>"H0035507"</f>
        <v>H0035507</v>
      </c>
      <c r="B8815" s="5" t="str">
        <f t="shared" si="456"/>
        <v>CARRO PORTA HISTORIAS CLINICAS</v>
      </c>
      <c r="C8815" s="6">
        <v>758875.01</v>
      </c>
      <c r="D8815" s="5" t="s">
        <v>159</v>
      </c>
      <c r="E8815" s="5" t="str">
        <f t="shared" si="457"/>
        <v>CARPA COVID AZUL-YENI ESPERANZA PEÑA GUERRERO(ZONA EXPANCION)</v>
      </c>
      <c r="F8815" s="5"/>
      <c r="G8815" s="5"/>
    </row>
    <row r="8816" spans="1:7" ht="58.5" customHeight="1" x14ac:dyDescent="0.25">
      <c r="A8816" s="5" t="str">
        <f>"H0035508"</f>
        <v>H0035508</v>
      </c>
      <c r="B8816" s="5" t="str">
        <f t="shared" si="456"/>
        <v>CARRO PORTA HISTORIAS CLINICAS</v>
      </c>
      <c r="C8816" s="6">
        <v>758875.01</v>
      </c>
      <c r="D8816" s="5" t="s">
        <v>159</v>
      </c>
      <c r="E8816" s="5" t="str">
        <f t="shared" si="457"/>
        <v>CARPA COVID AZUL-YENI ESPERANZA PEÑA GUERRERO(ZONA EXPANCION)</v>
      </c>
      <c r="F8816" s="5"/>
      <c r="G8816" s="5"/>
    </row>
    <row r="8817" spans="1:7" ht="58.5" customHeight="1" x14ac:dyDescent="0.25">
      <c r="A8817" s="5" t="str">
        <f>"H0035509"</f>
        <v>H0035509</v>
      </c>
      <c r="B8817" s="5" t="str">
        <f t="shared" si="456"/>
        <v>CARRO PORTA HISTORIAS CLINICAS</v>
      </c>
      <c r="C8817" s="6">
        <v>758875.01</v>
      </c>
      <c r="D8817" s="5" t="s">
        <v>159</v>
      </c>
      <c r="E8817" s="5" t="str">
        <f t="shared" si="457"/>
        <v>CARPA COVID AZUL-YENI ESPERANZA PEÑA GUERRERO(ZONA EXPANCION)</v>
      </c>
      <c r="F8817" s="5"/>
      <c r="G8817" s="5"/>
    </row>
    <row r="8818" spans="1:7" ht="58.5" customHeight="1" x14ac:dyDescent="0.25">
      <c r="A8818" s="5" t="str">
        <f>"H0035510"</f>
        <v>H0035510</v>
      </c>
      <c r="B8818" s="5" t="str">
        <f t="shared" si="456"/>
        <v>CARRO PORTA HISTORIAS CLINICAS</v>
      </c>
      <c r="C8818" s="6">
        <v>758875.01</v>
      </c>
      <c r="D8818" s="5" t="s">
        <v>513</v>
      </c>
      <c r="E8818" s="5" t="str">
        <f t="shared" si="457"/>
        <v>CARPA COVID AZUL-YENI ESPERANZA PEÑA GUERRERO(ZONA EXPANCION)</v>
      </c>
      <c r="F8818" s="5"/>
      <c r="G8818" s="5"/>
    </row>
    <row r="8819" spans="1:7" ht="58.5" customHeight="1" x14ac:dyDescent="0.25">
      <c r="A8819" s="5" t="str">
        <f>"H0035511"</f>
        <v>H0035511</v>
      </c>
      <c r="B8819" s="5" t="str">
        <f t="shared" si="456"/>
        <v>CARRO PORTA HISTORIAS CLINICAS</v>
      </c>
      <c r="C8819" s="6">
        <v>758875.01</v>
      </c>
      <c r="D8819" s="5" t="s">
        <v>159</v>
      </c>
      <c r="E8819" s="5" t="str">
        <f t="shared" si="457"/>
        <v>CARPA COVID AZUL-YENI ESPERANZA PEÑA GUERRERO(ZONA EXPANCION)</v>
      </c>
      <c r="F8819" s="5"/>
      <c r="G8819" s="5"/>
    </row>
    <row r="8820" spans="1:7" ht="58.5" customHeight="1" x14ac:dyDescent="0.25">
      <c r="A8820" s="5" t="str">
        <f>"H0035530"</f>
        <v>H0035530</v>
      </c>
      <c r="B8820" s="5" t="str">
        <f>"DISPENSADOR DE AGUA (Donación )"</f>
        <v>DISPENSADOR DE AGUA (Donación )</v>
      </c>
      <c r="C8820" s="6">
        <v>294000</v>
      </c>
      <c r="D8820" s="5" t="s">
        <v>514</v>
      </c>
      <c r="E8820" s="5" t="str">
        <f t="shared" si="457"/>
        <v>CARPA COVID AZUL-YENI ESPERANZA PEÑA GUERRERO(ZONA EXPANCION)</v>
      </c>
      <c r="F8820" s="5"/>
      <c r="G8820" s="5"/>
    </row>
    <row r="8821" spans="1:7" ht="58.5" customHeight="1" x14ac:dyDescent="0.25">
      <c r="A8821" s="5" t="str">
        <f>"H0035542"</f>
        <v>H0035542</v>
      </c>
      <c r="B8821" s="5" t="str">
        <f>"MESA DE MAYO"</f>
        <v>MESA DE MAYO</v>
      </c>
      <c r="C8821" s="6">
        <v>421875.06</v>
      </c>
      <c r="D8821" s="5" t="s">
        <v>159</v>
      </c>
      <c r="E8821" s="5" t="str">
        <f t="shared" si="457"/>
        <v>CARPA COVID AZUL-YENI ESPERANZA PEÑA GUERRERO(ZONA EXPANCION)</v>
      </c>
      <c r="F8821" s="5"/>
      <c r="G8821" s="5"/>
    </row>
    <row r="8822" spans="1:7" ht="58.5" customHeight="1" x14ac:dyDescent="0.25">
      <c r="A8822" s="5" t="str">
        <f>"H0035549"</f>
        <v>H0035549</v>
      </c>
      <c r="B8822" s="5" t="str">
        <f>"Access Point para EXTERIORES. Montaje en Pared o Techo. 2 puertos 1 Gbps. 3x3 Antenas MIMO 8 dBi. Banda 2.4 GHz a 450 Mbps. Banda 5 GHz a 1300 Mbps. Incluye Inyector POE Original.Para Montaje en Exter"</f>
        <v>Access Point para EXTERIORES. Montaje en Pared o Techo. 2 puertos 1 Gbps. 3x3 Antenas MIMO 8 dBi. Banda 2.4 GHz a 450 Mbps. Banda 5 GHz a 1300 Mbps. Incluye Inyector POE Original.Para Montaje en Exter</v>
      </c>
      <c r="C8822" s="6">
        <v>1773100</v>
      </c>
      <c r="D8822" s="5" t="s">
        <v>515</v>
      </c>
      <c r="E8822" s="5" t="str">
        <f t="shared" si="457"/>
        <v>CARPA COVID AZUL-YENI ESPERANZA PEÑA GUERRERO(ZONA EXPANCION)</v>
      </c>
      <c r="F8822" s="5"/>
      <c r="G8822" s="5"/>
    </row>
    <row r="8823" spans="1:7" ht="58.5" customHeight="1" x14ac:dyDescent="0.25">
      <c r="A8823" s="5" t="str">
        <f>"H0035562"</f>
        <v>H0035562</v>
      </c>
      <c r="B8823" s="5" t="str">
        <f>"CAMA HOSPITALARIA (DONACION)"</f>
        <v>CAMA HOSPITALARIA (DONACION)</v>
      </c>
      <c r="C8823" s="6">
        <v>6390000</v>
      </c>
      <c r="D8823" s="5" t="s">
        <v>492</v>
      </c>
      <c r="E8823" s="5" t="str">
        <f t="shared" si="457"/>
        <v>CARPA COVID AZUL-YENI ESPERANZA PEÑA GUERRERO(ZONA EXPANCION)</v>
      </c>
      <c r="F8823" s="5"/>
      <c r="G8823" s="5"/>
    </row>
    <row r="8824" spans="1:7" ht="58.5" customHeight="1" x14ac:dyDescent="0.25">
      <c r="A8824" s="5" t="str">
        <f>"H0035574"</f>
        <v>H0035574</v>
      </c>
      <c r="B8824" s="5" t="str">
        <f>"CAMA HOSPITALARIA (DONACION)"</f>
        <v>CAMA HOSPITALARIA (DONACION)</v>
      </c>
      <c r="C8824" s="6">
        <v>6390000</v>
      </c>
      <c r="D8824" s="5" t="s">
        <v>492</v>
      </c>
      <c r="E8824" s="5" t="str">
        <f t="shared" si="457"/>
        <v>CARPA COVID AZUL-YENI ESPERANZA PEÑA GUERRERO(ZONA EXPANCION)</v>
      </c>
      <c r="F8824" s="5"/>
      <c r="G8824" s="5"/>
    </row>
    <row r="8825" spans="1:7" ht="58.5" customHeight="1" x14ac:dyDescent="0.25">
      <c r="A8825" s="5" t="str">
        <f>"H0035578"</f>
        <v>H0035578</v>
      </c>
      <c r="B8825" s="5" t="str">
        <f>"CAMA HOSPITALARIA (DONACION)"</f>
        <v>CAMA HOSPITALARIA (DONACION)</v>
      </c>
      <c r="C8825" s="6">
        <v>6390000</v>
      </c>
      <c r="D8825" s="5" t="s">
        <v>492</v>
      </c>
      <c r="E8825" s="5" t="str">
        <f t="shared" si="457"/>
        <v>CARPA COVID AZUL-YENI ESPERANZA PEÑA GUERRERO(ZONA EXPANCION)</v>
      </c>
      <c r="F8825" s="5"/>
      <c r="G8825" s="5"/>
    </row>
    <row r="8826" spans="1:7" ht="58.5" customHeight="1" x14ac:dyDescent="0.25">
      <c r="A8826" s="5" t="str">
        <f>"H0035579"</f>
        <v>H0035579</v>
      </c>
      <c r="B8826" s="5" t="str">
        <f>"CAMA HOSPITALARIA (DONACION)"</f>
        <v>CAMA HOSPITALARIA (DONACION)</v>
      </c>
      <c r="C8826" s="6">
        <v>6390000</v>
      </c>
      <c r="D8826" s="5" t="s">
        <v>492</v>
      </c>
      <c r="E8826" s="5" t="str">
        <f t="shared" si="457"/>
        <v>CARPA COVID AZUL-YENI ESPERANZA PEÑA GUERRERO(ZONA EXPANCION)</v>
      </c>
      <c r="F8826" s="5"/>
      <c r="G8826" s="5"/>
    </row>
    <row r="8827" spans="1:7" ht="58.5" customHeight="1" x14ac:dyDescent="0.25">
      <c r="A8827" s="5" t="str">
        <f>"H0038033"</f>
        <v>H0038033</v>
      </c>
      <c r="B8827" s="5" t="str">
        <f t="shared" ref="B8827:B8833" si="458">"SILLA GERENTE NIZA MEC. BASCULANTE CON BRAZOS."</f>
        <v>SILLA GERENTE NIZA MEC. BASCULANTE CON BRAZOS.</v>
      </c>
      <c r="C8827" s="6">
        <v>710000.01</v>
      </c>
      <c r="D8827" s="5" t="s">
        <v>30</v>
      </c>
      <c r="E8827" s="5" t="str">
        <f t="shared" si="457"/>
        <v>CARPA COVID AZUL-YENI ESPERANZA PEÑA GUERRERO(ZONA EXPANCION)</v>
      </c>
      <c r="F8827" s="5"/>
      <c r="G8827" s="5"/>
    </row>
    <row r="8828" spans="1:7" ht="58.5" customHeight="1" x14ac:dyDescent="0.25">
      <c r="A8828" s="5" t="str">
        <f>"H0038034"</f>
        <v>H0038034</v>
      </c>
      <c r="B8828" s="5" t="str">
        <f t="shared" si="458"/>
        <v>SILLA GERENTE NIZA MEC. BASCULANTE CON BRAZOS.</v>
      </c>
      <c r="C8828" s="6">
        <v>710000.01</v>
      </c>
      <c r="D8828" s="5" t="s">
        <v>30</v>
      </c>
      <c r="E8828" s="5" t="str">
        <f t="shared" si="457"/>
        <v>CARPA COVID AZUL-YENI ESPERANZA PEÑA GUERRERO(ZONA EXPANCION)</v>
      </c>
      <c r="F8828" s="5"/>
      <c r="G8828" s="5"/>
    </row>
    <row r="8829" spans="1:7" ht="58.5" customHeight="1" x14ac:dyDescent="0.25">
      <c r="A8829" s="5" t="str">
        <f>"H0038035"</f>
        <v>H0038035</v>
      </c>
      <c r="B8829" s="5" t="str">
        <f t="shared" si="458"/>
        <v>SILLA GERENTE NIZA MEC. BASCULANTE CON BRAZOS.</v>
      </c>
      <c r="C8829" s="6">
        <v>710000.01</v>
      </c>
      <c r="D8829" s="5" t="s">
        <v>30</v>
      </c>
      <c r="E8829" s="5" t="str">
        <f t="shared" si="457"/>
        <v>CARPA COVID AZUL-YENI ESPERANZA PEÑA GUERRERO(ZONA EXPANCION)</v>
      </c>
      <c r="F8829" s="5"/>
      <c r="G8829" s="5"/>
    </row>
    <row r="8830" spans="1:7" ht="58.5" customHeight="1" x14ac:dyDescent="0.25">
      <c r="A8830" s="5" t="str">
        <f>"H0038036"</f>
        <v>H0038036</v>
      </c>
      <c r="B8830" s="5" t="str">
        <f t="shared" si="458"/>
        <v>SILLA GERENTE NIZA MEC. BASCULANTE CON BRAZOS.</v>
      </c>
      <c r="C8830" s="6">
        <v>710000.01</v>
      </c>
      <c r="D8830" s="5" t="s">
        <v>30</v>
      </c>
      <c r="E8830" s="5" t="str">
        <f t="shared" si="457"/>
        <v>CARPA COVID AZUL-YENI ESPERANZA PEÑA GUERRERO(ZONA EXPANCION)</v>
      </c>
      <c r="F8830" s="5"/>
      <c r="G8830" s="5"/>
    </row>
    <row r="8831" spans="1:7" ht="58.5" customHeight="1" x14ac:dyDescent="0.25">
      <c r="A8831" s="5" t="str">
        <f>"H0038037"</f>
        <v>H0038037</v>
      </c>
      <c r="B8831" s="5" t="str">
        <f t="shared" si="458"/>
        <v>SILLA GERENTE NIZA MEC. BASCULANTE CON BRAZOS.</v>
      </c>
      <c r="C8831" s="6">
        <v>710000.01</v>
      </c>
      <c r="D8831" s="5" t="s">
        <v>30</v>
      </c>
      <c r="E8831" s="5" t="str">
        <f t="shared" si="457"/>
        <v>CARPA COVID AZUL-YENI ESPERANZA PEÑA GUERRERO(ZONA EXPANCION)</v>
      </c>
      <c r="F8831" s="5"/>
      <c r="G8831" s="5"/>
    </row>
    <row r="8832" spans="1:7" ht="58.5" customHeight="1" x14ac:dyDescent="0.25">
      <c r="A8832" s="5" t="str">
        <f>"H0038038"</f>
        <v>H0038038</v>
      </c>
      <c r="B8832" s="5" t="str">
        <f t="shared" si="458"/>
        <v>SILLA GERENTE NIZA MEC. BASCULANTE CON BRAZOS.</v>
      </c>
      <c r="C8832" s="6">
        <v>710000.01</v>
      </c>
      <c r="D8832" s="5" t="s">
        <v>30</v>
      </c>
      <c r="E8832" s="5" t="str">
        <f t="shared" si="457"/>
        <v>CARPA COVID AZUL-YENI ESPERANZA PEÑA GUERRERO(ZONA EXPANCION)</v>
      </c>
      <c r="F8832" s="5"/>
      <c r="G8832" s="5"/>
    </row>
    <row r="8833" spans="1:7" ht="58.5" customHeight="1" x14ac:dyDescent="0.25">
      <c r="A8833" s="5" t="str">
        <f>"H0038039"</f>
        <v>H0038039</v>
      </c>
      <c r="B8833" s="5" t="str">
        <f t="shared" si="458"/>
        <v>SILLA GERENTE NIZA MEC. BASCULANTE CON BRAZOS.</v>
      </c>
      <c r="C8833" s="6">
        <v>710000.01</v>
      </c>
      <c r="D8833" s="5" t="s">
        <v>30</v>
      </c>
      <c r="E8833" s="5" t="str">
        <f t="shared" si="457"/>
        <v>CARPA COVID AZUL-YENI ESPERANZA PEÑA GUERRERO(ZONA EXPANCION)</v>
      </c>
      <c r="F8833" s="5"/>
      <c r="G8833" s="5"/>
    </row>
    <row r="8834" spans="1:7" ht="58.5" customHeight="1" x14ac:dyDescent="0.25">
      <c r="A8834" s="5" t="str">
        <f>"HY0034583"</f>
        <v>HY0034583</v>
      </c>
      <c r="B8834" s="5" t="str">
        <f>"Equipo de aire acondicionado tipo split de 36.000 BTU refrigerante ecológico R410 220 voltios"</f>
        <v>Equipo de aire acondicionado tipo split de 36.000 BTU refrigerante ecológico R410 220 voltios</v>
      </c>
      <c r="C8834" s="6">
        <v>3772300</v>
      </c>
      <c r="D8834" s="5" t="s">
        <v>506</v>
      </c>
      <c r="E8834" s="5" t="str">
        <f t="shared" si="457"/>
        <v>CARPA COVID AZUL-YENI ESPERANZA PEÑA GUERRERO(ZONA EXPANCION)</v>
      </c>
      <c r="F8834" s="5"/>
      <c r="G8834" s="5"/>
    </row>
    <row r="8835" spans="1:7" ht="58.5" customHeight="1" x14ac:dyDescent="0.25">
      <c r="A8835" s="5" t="str">
        <f>"B0000242"</f>
        <v>B0000242</v>
      </c>
      <c r="B8835" s="5" t="str">
        <f>"EQUIPO ORGANOS DE LOS SENTIDOS PORTATIL"</f>
        <v>EQUIPO ORGANOS DE LOS SENTIDOS PORTATIL</v>
      </c>
      <c r="C8835" s="6">
        <v>928000</v>
      </c>
      <c r="D8835" s="5"/>
      <c r="E8835" s="5" t="str">
        <f t="shared" ref="E8835:E8898" si="459">"URGENCIAS PEDIATRIA-YENI ESPERANZA PENA GUERRERO"</f>
        <v>URGENCIAS PEDIATRIA-YENI ESPERANZA PENA GUERRERO</v>
      </c>
      <c r="F8835" s="5" t="str">
        <f>"Descripcion:EQUIPO ORGANO DE LOS SENTIDOS, 2 PIEZAS OTOSCOPIO Y OFTALMOSCOPIO Estado: Excelente Placa anterior: 000039067 Material: PASTA Y CAUCHO Color: NEGRO Referencia:  Observacion:  Placa padre:  Tipo adquisicion : Entidad"</f>
        <v>Descripcion:EQUIPO ORGANO DE LOS SENTIDOS, 2 PIEZAS OTOSCOPIO Y OFTALMOSCOPIO Estado: Excelente Placa anterior: 000039067 Material: PASTA Y CAUCHO Color: NEGRO Referencia:  Observacion:  Placa padre:  Tipo adquisicion : Entidad</v>
      </c>
      <c r="G8835" s="5" t="str">
        <f>"92871-BLK"</f>
        <v>92871-BLK</v>
      </c>
    </row>
    <row r="8836" spans="1:7" ht="58.5" customHeight="1" x14ac:dyDescent="0.25">
      <c r="A8836" s="5" t="str">
        <f>"B0000248"</f>
        <v>B0000248</v>
      </c>
      <c r="B8836" s="5" t="str">
        <f>"EQUIPO ORGANOS DE LOS SENTIDOS PORTATIL"</f>
        <v>EQUIPO ORGANOS DE LOS SENTIDOS PORTATIL</v>
      </c>
      <c r="C8836" s="6">
        <v>928000</v>
      </c>
      <c r="D8836" s="5"/>
      <c r="E8836" s="5" t="str">
        <f t="shared" si="459"/>
        <v>URGENCIAS PEDIATRIA-YENI ESPERANZA PENA GUERRERO</v>
      </c>
      <c r="F8836" s="5" t="str">
        <f>"Descripcion:EQUIPO ORGANO DE LOS SENTIDOS, 2 PIEZAS OTOSCOPIO Y OFTALMOSCOPIO Estado: Excelente Placa anterior: 000039071 Material: PASTA Y CAUCHO Color: NEGRO Referencia:  Observacion:  Placa padre:  Tipo adquisicion : Entidad"</f>
        <v>Descripcion:EQUIPO ORGANO DE LOS SENTIDOS, 2 PIEZAS OTOSCOPIO Y OFTALMOSCOPIO Estado: Excelente Placa anterior: 000039071 Material: PASTA Y CAUCHO Color: NEGRO Referencia:  Observacion:  Placa padre:  Tipo adquisicion : Entidad</v>
      </c>
      <c r="G8836" s="5" t="str">
        <f>"92871-BLK"</f>
        <v>92871-BLK</v>
      </c>
    </row>
    <row r="8837" spans="1:7" ht="58.5" customHeight="1" x14ac:dyDescent="0.25">
      <c r="A8837" s="5" t="str">
        <f>"B0004085"</f>
        <v>B0004085</v>
      </c>
      <c r="B8837" s="5" t="str">
        <f>"PLATON EN ACERO INOXIDABLE PEQUEÑO"</f>
        <v>PLATON EN ACERO INOXIDABLE PEQUEÑO</v>
      </c>
      <c r="C8837" s="6">
        <v>24175.200000000001</v>
      </c>
      <c r="D8837" s="5"/>
      <c r="E8837" s="5" t="str">
        <f t="shared" si="459"/>
        <v>URGENCIAS PEDIATRIA-YENI ESPERANZA PENA GUERRERO</v>
      </c>
      <c r="F8837" s="5" t="str">
        <f>"Descripcion: PLATON EN ACERO INOX. Estado: Bueno Placa anterior: 000018800 Material: ACERO INOX. Color: PLATEADO Referencia:  Observacion: ESTERILIZADO Placa padre: Tipo adquisicion: Entidad"</f>
        <v>Descripcion: PLATON EN ACERO INOX. Estado: Bueno Placa anterior: 000018800 Material: ACERO INOX. Color: PLATEADO Referencia:  Observacion: ESTERILIZADO Placa padre: Tipo adquisicion: Entidad</v>
      </c>
      <c r="G8837" s="5"/>
    </row>
    <row r="8838" spans="1:7" ht="58.5" customHeight="1" x14ac:dyDescent="0.25">
      <c r="A8838" s="5" t="str">
        <f>"B0004086"</f>
        <v>B0004086</v>
      </c>
      <c r="B8838" s="5" t="str">
        <f>"PLATON EN ACERO INOXIDABLE PEQUEÑO"</f>
        <v>PLATON EN ACERO INOXIDABLE PEQUEÑO</v>
      </c>
      <c r="C8838" s="6">
        <v>24175.200000000001</v>
      </c>
      <c r="D8838" s="5"/>
      <c r="E8838" s="5" t="str">
        <f t="shared" si="459"/>
        <v>URGENCIAS PEDIATRIA-YENI ESPERANZA PENA GUERRERO</v>
      </c>
      <c r="F8838" s="5" t="str">
        <f>"Descripcion: PLATON EN ACERO INOX. Estado: Bueno Placa anterior: 000018801 Material: ACERO INOX. Color: PLATEADO Referencia:  Observacion: ESTERILIZADO Placa padre: Tipo adquisicion: Entidad"</f>
        <v>Descripcion: PLATON EN ACERO INOX. Estado: Bueno Placa anterior: 000018801 Material: ACERO INOX. Color: PLATEADO Referencia:  Observacion: ESTERILIZADO Placa padre: Tipo adquisicion: Entidad</v>
      </c>
      <c r="G8838" s="5"/>
    </row>
    <row r="8839" spans="1:7" ht="58.5" customHeight="1" x14ac:dyDescent="0.25">
      <c r="A8839" s="5" t="str">
        <f>"B0004087"</f>
        <v>B0004087</v>
      </c>
      <c r="B8839" s="5" t="str">
        <f>"PLATON EN ACERO INOXIDABLE PEQUEÑO"</f>
        <v>PLATON EN ACERO INOXIDABLE PEQUEÑO</v>
      </c>
      <c r="C8839" s="6">
        <v>24175.200000000001</v>
      </c>
      <c r="D8839" s="5"/>
      <c r="E8839" s="5" t="str">
        <f t="shared" si="459"/>
        <v>URGENCIAS PEDIATRIA-YENI ESPERANZA PENA GUERRERO</v>
      </c>
      <c r="F8839" s="5" t="str">
        <f>"Descripcion: PLATON EN ACERO INOX. Estado: Bueno Placa anterior: 000018802 Material: ACERO INOX. Color: PLATEADO Referencia:  Observacion: ESTERILIZADO Placa padre: Tipo adquisicion: Entidad"</f>
        <v>Descripcion: PLATON EN ACERO INOX. Estado: Bueno Placa anterior: 000018802 Material: ACERO INOX. Color: PLATEADO Referencia:  Observacion: ESTERILIZADO Placa padre: Tipo adquisicion: Entidad</v>
      </c>
      <c r="G8839" s="5"/>
    </row>
    <row r="8840" spans="1:7" ht="58.5" customHeight="1" x14ac:dyDescent="0.25">
      <c r="A8840" s="5" t="str">
        <f>"B0004093"</f>
        <v>B0004093</v>
      </c>
      <c r="B8840" s="5" t="str">
        <f>"ESPECULO NASAL"</f>
        <v>ESPECULO NASAL</v>
      </c>
      <c r="C8840" s="6">
        <v>17786.169999999998</v>
      </c>
      <c r="D8840" s="5"/>
      <c r="E8840" s="5" t="str">
        <f t="shared" si="459"/>
        <v>URGENCIAS PEDIATRIA-YENI ESPERANZA PENA GUERRERO</v>
      </c>
      <c r="F8840" s="5" t="str">
        <f>"Descripcion: ESPECULO NASAL Estado: Bueno Placa anterior: 000018681 Material: ACERO INOX. Color: PLATEADO Referencia:  Observacion: ESTERILIZADO Placa padre: Tipo adquisicion: Entidad"</f>
        <v>Descripcion: ESPECULO NASAL Estado: Bueno Placa anterior: 000018681 Material: ACERO INOX. Color: PLATEADO Referencia:  Observacion: ESTERILIZADO Placa padre: Tipo adquisicion: Entidad</v>
      </c>
      <c r="G8840" s="5"/>
    </row>
    <row r="8841" spans="1:7" ht="58.5" customHeight="1" x14ac:dyDescent="0.25">
      <c r="A8841" s="5" t="str">
        <f>"B0004094"</f>
        <v>B0004094</v>
      </c>
      <c r="B8841" s="5" t="str">
        <f>"EQUIPO DE PEQUEÑA CIRUGIA"</f>
        <v>EQUIPO DE PEQUEÑA CIRUGIA</v>
      </c>
      <c r="C8841" s="6">
        <v>1334000</v>
      </c>
      <c r="D8841" s="5"/>
      <c r="E8841" s="5" t="str">
        <f t="shared" si="459"/>
        <v>URGENCIAS PEDIATRIA-YENI ESPERANZA PENA GUERRERO</v>
      </c>
      <c r="F8841" s="5" t="str">
        <f>"Descripcion: EQUIPO DE PEQUEÑAS CIRUGIAS, CONTIENE PINZAS Estado: Bueno Placa anterior:  Material: ACERO INOX. Color: PLATEADO Referencia:  Observacion: ESTERILIZADO Placa padre: Tipo adquisicion: Entidad"</f>
        <v>Descripcion: EQUIPO DE PEQUEÑAS CIRUGIAS, CONTIENE PINZAS Estado: Bueno Placa anterior:  Material: ACERO INOX. Color: PLATEADO Referencia:  Observacion: ESTERILIZADO Placa padre: Tipo adquisicion: Entidad</v>
      </c>
      <c r="G8841" s="5"/>
    </row>
    <row r="8842" spans="1:7" ht="58.5" customHeight="1" x14ac:dyDescent="0.25">
      <c r="A8842" s="5" t="str">
        <f>"B0004095"</f>
        <v>B0004095</v>
      </c>
      <c r="B8842" s="5" t="str">
        <f>"EQUIPO DE PEQUEÑA CIRUGIA"</f>
        <v>EQUIPO DE PEQUEÑA CIRUGIA</v>
      </c>
      <c r="C8842" s="6">
        <v>1334000</v>
      </c>
      <c r="D8842" s="5"/>
      <c r="E8842" s="5" t="str">
        <f t="shared" si="459"/>
        <v>URGENCIAS PEDIATRIA-YENI ESPERANZA PENA GUERRERO</v>
      </c>
      <c r="F8842" s="5" t="str">
        <f>"Descripcion: EQUIPO DE PEQUEÑAS CIRUGIAS, CONTIENE PINZAS Estado: Bueno Placa anterior:  Material: ACERO INOX. Color: PLATEADO Referencia:  Observacion: ESTERILIZADO Placa padre: Tipo adquisicion: Entidad"</f>
        <v>Descripcion: EQUIPO DE PEQUEÑAS CIRUGIAS, CONTIENE PINZAS Estado: Bueno Placa anterior:  Material: ACERO INOX. Color: PLATEADO Referencia:  Observacion: ESTERILIZADO Placa padre: Tipo adquisicion: Entidad</v>
      </c>
      <c r="G8842" s="5"/>
    </row>
    <row r="8843" spans="1:7" ht="58.5" customHeight="1" x14ac:dyDescent="0.25">
      <c r="A8843" s="5" t="str">
        <f>"B0004097"</f>
        <v>B0004097</v>
      </c>
      <c r="B8843" s="5" t="str">
        <f>"BANDEJA DE ACERO INOXIDABLE MEDIANA"</f>
        <v>BANDEJA DE ACERO INOXIDABLE MEDIANA</v>
      </c>
      <c r="C8843" s="6">
        <v>20226.259999999998</v>
      </c>
      <c r="D8843" s="5"/>
      <c r="E8843" s="5" t="str">
        <f t="shared" si="459"/>
        <v>URGENCIAS PEDIATRIA-YENI ESPERANZA PENA GUERRERO</v>
      </c>
      <c r="F8843" s="5" t="str">
        <f>"Descripcion: BANDEJA NIQUELADA Estado: Bueno Placa anterior: 000018501 Material: NIQUEL Color: PLATEADO Referencia:  Observacion: ESTERILIZADO Placa padre: Tipo adquisicion: Entidad"</f>
        <v>Descripcion: BANDEJA NIQUELADA Estado: Bueno Placa anterior: 000018501 Material: NIQUEL Color: PLATEADO Referencia:  Observacion: ESTERILIZADO Placa padre: Tipo adquisicion: Entidad</v>
      </c>
      <c r="G8843" s="5"/>
    </row>
    <row r="8844" spans="1:7" ht="58.5" customHeight="1" x14ac:dyDescent="0.25">
      <c r="A8844" s="5" t="str">
        <f>"B0004098"</f>
        <v>B0004098</v>
      </c>
      <c r="B8844" s="5" t="str">
        <f>"CUBETA DE ACERO INOXIDABLE CON TAPA GRANDE"</f>
        <v>CUBETA DE ACERO INOXIDABLE CON TAPA GRANDE</v>
      </c>
      <c r="C8844" s="6">
        <v>29125.48</v>
      </c>
      <c r="D8844" s="5"/>
      <c r="E8844" s="5" t="str">
        <f t="shared" si="459"/>
        <v>URGENCIAS PEDIATRIA-YENI ESPERANZA PENA GUERRERO</v>
      </c>
      <c r="F8844" s="5" t="str">
        <f>"Descripcion: CUBETA CON TAPA EN ACERO INOX. Estado: Bueno Placa anterior: 000018520 Material: ACERO INOX. Color: PLATEADO Referencia:  Observacion: ESTERILIZADO Placa padre: Tipo adquisicion: Entidad"</f>
        <v>Descripcion: CUBETA CON TAPA EN ACERO INOX. Estado: Bueno Placa anterior: 000018520 Material: ACERO INOX. Color: PLATEADO Referencia:  Observacion: ESTERILIZADO Placa padre: Tipo adquisicion: Entidad</v>
      </c>
      <c r="G8844" s="5"/>
    </row>
    <row r="8845" spans="1:7" ht="58.5" customHeight="1" x14ac:dyDescent="0.25">
      <c r="A8845" s="5" t="str">
        <f>"B0005186"</f>
        <v>B0005186</v>
      </c>
      <c r="B8845" s="5" t="str">
        <f>"CUBETA DE ACERO INOXIDABLE CON TAPA MEDIANA"</f>
        <v>CUBETA DE ACERO INOXIDABLE CON TAPA MEDIANA</v>
      </c>
      <c r="C8845" s="6">
        <v>29125.48</v>
      </c>
      <c r="D8845" s="5"/>
      <c r="E8845" s="5" t="str">
        <f t="shared" si="459"/>
        <v>URGENCIAS PEDIATRIA-YENI ESPERANZA PENA GUERRERO</v>
      </c>
      <c r="F8845" s="5" t="str">
        <f>"Descripcion: CUBETA EN ACERO INOXIDABLE Estado: Bueno Placa anterior: 000018586 Material: METAL Color: ACERO Referencia:  Observacion:  Placa padre: Tipo adquisicion: Entidad"</f>
        <v>Descripcion: CUBETA EN ACERO INOXIDABLE Estado: Bueno Placa anterior: 000018586 Material: METAL Color: ACERO Referencia:  Observacion:  Placa padre: Tipo adquisicion: Entidad</v>
      </c>
      <c r="G8845" s="5"/>
    </row>
    <row r="8846" spans="1:7" ht="58.5" customHeight="1" x14ac:dyDescent="0.25">
      <c r="A8846" s="5" t="str">
        <f>"B0005187"</f>
        <v>B0005187</v>
      </c>
      <c r="B8846" s="5" t="str">
        <f>"LARINGOSCOPIO ADULTO"</f>
        <v>LARINGOSCOPIO ADULTO</v>
      </c>
      <c r="C8846" s="6">
        <v>2354800</v>
      </c>
      <c r="D8846" s="5" t="s">
        <v>161</v>
      </c>
      <c r="E8846" s="5" t="str">
        <f t="shared" si="459"/>
        <v>URGENCIAS PEDIATRIA-YENI ESPERANZA PENA GUERRERO</v>
      </c>
      <c r="F8846" s="5" t="str">
        <f>"Descripcion: LARINGOSCOPIO. Set de laringoscopio de fibra optica con estuche que incluye mangos de bateriasAA yCCon hojas macintoch Nº 3 y 4 y Miller nª0 y 2 Estado: Bueno Placa anterior: 000031541 Material:  Color:  Referencia:  Observacion:  Placa padre"&amp; ": Tipo adquisicion: Entidad"</f>
        <v>Descripcion: LARINGOSCOPIO. Set de laringoscopio de fibra optica con estuche que incluye mangos de bateriasAA yCCon hojas macintoch Nº 3 y 4 y Miller nª0 y 2 Estado: Bueno Placa anterior: 000031541 Material:  Color:  Referencia:  Observacion:  Placa padre: Tipo adquisicion: Entidad</v>
      </c>
      <c r="G8846" s="5"/>
    </row>
    <row r="8847" spans="1:7" ht="58.5" customHeight="1" x14ac:dyDescent="0.25">
      <c r="A8847" s="5" t="str">
        <f>"B0005188"</f>
        <v>B0005188</v>
      </c>
      <c r="B8847" s="5" t="str">
        <f>"PINZA DE TRASLADO (TRANSFERENCIA)"</f>
        <v>PINZA DE TRASLADO (TRANSFERENCIA)</v>
      </c>
      <c r="C8847" s="6">
        <v>3250</v>
      </c>
      <c r="D8847" s="5"/>
      <c r="E8847" s="5" t="str">
        <f t="shared" si="459"/>
        <v>URGENCIAS PEDIATRIA-YENI ESPERANZA PENA GUERRERO</v>
      </c>
      <c r="F8847" s="5" t="str">
        <f>"Descripcion: PINZA DE TRANFERENCIA Estado: Bueno Placa anterior: 000018720 Material:  Color:  Referencia:  Observacion:  Placa padre: Tipo adquisicion: Entidad"</f>
        <v>Descripcion: PINZA DE TRANFERENCIA Estado: Bueno Placa anterior: 000018720 Material:  Color:  Referencia:  Observacion:  Placa padre: Tipo adquisicion: Entidad</v>
      </c>
      <c r="G8847" s="5"/>
    </row>
    <row r="8848" spans="1:7" ht="58.5" customHeight="1" x14ac:dyDescent="0.25">
      <c r="A8848" s="5" t="str">
        <f>"B0005189"</f>
        <v>B0005189</v>
      </c>
      <c r="B8848" s="5" t="str">
        <f>"PINZA DE TRASLADO (TRANSFERENCIA)"</f>
        <v>PINZA DE TRASLADO (TRANSFERENCIA)</v>
      </c>
      <c r="C8848" s="6">
        <v>3250</v>
      </c>
      <c r="D8848" s="5"/>
      <c r="E8848" s="5" t="str">
        <f t="shared" si="459"/>
        <v>URGENCIAS PEDIATRIA-YENI ESPERANZA PENA GUERRERO</v>
      </c>
      <c r="F8848" s="5" t="str">
        <f>"Descripcion: PINZA DE TRANFERENCIA Estado: Bueno Placa anterior: 000018721 Material:  Color:  Referencia:  Observacion:  Placa padre: Tipo adquisicion: Entidad"</f>
        <v>Descripcion: PINZA DE TRANFERENCIA Estado: Bueno Placa anterior: 000018721 Material:  Color:  Referencia:  Observacion:  Placa padre: Tipo adquisicion: Entidad</v>
      </c>
      <c r="G8848" s="5"/>
    </row>
    <row r="8849" spans="1:7" ht="58.5" customHeight="1" x14ac:dyDescent="0.25">
      <c r="A8849" s="5" t="str">
        <f>"B0005190"</f>
        <v>B0005190</v>
      </c>
      <c r="B8849" s="5" t="str">
        <f>"PINZA DE TRASLADO (TRANSFERENCIA)"</f>
        <v>PINZA DE TRASLADO (TRANSFERENCIA)</v>
      </c>
      <c r="C8849" s="6">
        <v>3250</v>
      </c>
      <c r="D8849" s="5"/>
      <c r="E8849" s="5" t="str">
        <f t="shared" si="459"/>
        <v>URGENCIAS PEDIATRIA-YENI ESPERANZA PENA GUERRERO</v>
      </c>
      <c r="F8849" s="5" t="str">
        <f>"Descripcion: PINZA DE TRANFERENCIA Estado: Bueno Placa anterior: 000018723 Material:  Color:  Referencia:  Observacion:  Placa padre: Tipo adquisicion: Entidad"</f>
        <v>Descripcion: PINZA DE TRANFERENCIA Estado: Bueno Placa anterior: 000018723 Material:  Color:  Referencia:  Observacion:  Placa padre: Tipo adquisicion: Entidad</v>
      </c>
      <c r="G8849" s="5"/>
    </row>
    <row r="8850" spans="1:7" ht="58.5" customHeight="1" x14ac:dyDescent="0.25">
      <c r="A8850" s="5" t="str">
        <f>"B0005193"</f>
        <v>B0005193</v>
      </c>
      <c r="B8850" s="5" t="str">
        <f>"PINZA DE DISECCION CON GARRA MEDIANA 25 CM"</f>
        <v>PINZA DE DISECCION CON GARRA MEDIANA 25 CM</v>
      </c>
      <c r="C8850" s="6">
        <v>11788.48</v>
      </c>
      <c r="D8850" s="5"/>
      <c r="E8850" s="5" t="str">
        <f t="shared" si="459"/>
        <v>URGENCIAS PEDIATRIA-YENI ESPERANZA PENA GUERRERO</v>
      </c>
      <c r="F8850" s="5" t="str">
        <f>"Descripcion: PINZA DISECCION CON GARRA Estado: Bueno Placa anterior: 000018738 Material:  Color:  Referencia:  Observacion:  Placa padre: Tipo adquisicion: Entidad"</f>
        <v>Descripcion: PINZA DISECCION CON GARRA Estado: Bueno Placa anterior: 000018738 Material:  Color:  Referencia:  Observacion:  Placa padre: Tipo adquisicion: Entidad</v>
      </c>
      <c r="G8850" s="5"/>
    </row>
    <row r="8851" spans="1:7" ht="58.5" customHeight="1" x14ac:dyDescent="0.25">
      <c r="A8851" s="5" t="str">
        <f>"B0005194"</f>
        <v>B0005194</v>
      </c>
      <c r="B8851" s="5" t="str">
        <f>"PINZA DE DISECCION CON GARRA MEDIANA 25 CM"</f>
        <v>PINZA DE DISECCION CON GARRA MEDIANA 25 CM</v>
      </c>
      <c r="C8851" s="6">
        <v>11788.48</v>
      </c>
      <c r="D8851" s="5"/>
      <c r="E8851" s="5" t="str">
        <f t="shared" si="459"/>
        <v>URGENCIAS PEDIATRIA-YENI ESPERANZA PENA GUERRERO</v>
      </c>
      <c r="F8851" s="5" t="str">
        <f>"Descripcion: PINZA DISECCION CON GARRA Estado: Bueno Placa anterior: 000018736 Material:  Color:  Referencia:  Observacion:  Placa padre: Tipo adquisicion: Entidad"</f>
        <v>Descripcion: PINZA DISECCION CON GARRA Estado: Bueno Placa anterior: 000018736 Material:  Color:  Referencia:  Observacion:  Placa padre: Tipo adquisicion: Entidad</v>
      </c>
      <c r="G8851" s="5"/>
    </row>
    <row r="8852" spans="1:7" ht="58.5" customHeight="1" x14ac:dyDescent="0.25">
      <c r="A8852" s="5" t="str">
        <f>"B0005195"</f>
        <v>B0005195</v>
      </c>
      <c r="B8852" s="5" t="str">
        <f t="shared" ref="B8852:B8857" si="460">"PINZA KELLY CURVA 16 CM"</f>
        <v>PINZA KELLY CURVA 16 CM</v>
      </c>
      <c r="C8852" s="6">
        <v>32062.13</v>
      </c>
      <c r="D8852" s="5"/>
      <c r="E8852" s="5" t="str">
        <f t="shared" si="459"/>
        <v>URGENCIAS PEDIATRIA-YENI ESPERANZA PENA GUERRERO</v>
      </c>
      <c r="F8852" s="5" t="str">
        <f>"Descripcion: PINZA KELLY CURVA Estado: Bueno Placa anterior: 000018765 Material:  Color:  Referencia:  Observacion:  Placa padre: Tipo adquisicion: Entidad"</f>
        <v>Descripcion: PINZA KELLY CURVA Estado: Bueno Placa anterior: 000018765 Material:  Color:  Referencia:  Observacion:  Placa padre: Tipo adquisicion: Entidad</v>
      </c>
      <c r="G8852" s="5"/>
    </row>
    <row r="8853" spans="1:7" ht="58.5" customHeight="1" x14ac:dyDescent="0.25">
      <c r="A8853" s="5" t="str">
        <f>"B0005196"</f>
        <v>B0005196</v>
      </c>
      <c r="B8853" s="5" t="str">
        <f t="shared" si="460"/>
        <v>PINZA KELLY CURVA 16 CM</v>
      </c>
      <c r="C8853" s="6">
        <v>32062.13</v>
      </c>
      <c r="D8853" s="5"/>
      <c r="E8853" s="5" t="str">
        <f t="shared" si="459"/>
        <v>URGENCIAS PEDIATRIA-YENI ESPERANZA PENA GUERRERO</v>
      </c>
      <c r="F8853" s="5" t="str">
        <f>"Descripcion: PINZA KELLY CURVA Estado: Bueno Placa anterior: 000018761 Material:  Color:  Referencia:  Observacion:  Placa padre: Tipo adquisicion: Entidad"</f>
        <v>Descripcion: PINZA KELLY CURVA Estado: Bueno Placa anterior: 000018761 Material:  Color:  Referencia:  Observacion:  Placa padre: Tipo adquisicion: Entidad</v>
      </c>
      <c r="G8853" s="5"/>
    </row>
    <row r="8854" spans="1:7" ht="58.5" customHeight="1" x14ac:dyDescent="0.25">
      <c r="A8854" s="5" t="str">
        <f>"B0005197"</f>
        <v>B0005197</v>
      </c>
      <c r="B8854" s="5" t="str">
        <f t="shared" si="460"/>
        <v>PINZA KELLY CURVA 16 CM</v>
      </c>
      <c r="C8854" s="6">
        <v>32062.13</v>
      </c>
      <c r="D8854" s="5"/>
      <c r="E8854" s="5" t="str">
        <f t="shared" si="459"/>
        <v>URGENCIAS PEDIATRIA-YENI ESPERANZA PENA GUERRERO</v>
      </c>
      <c r="F8854" s="5" t="str">
        <f>"Descripcion: PINZA KELLY CURVA Estado: Bueno Placa anterior: 000018763 Material:  Color:  Referencia:  Observacion:  Placa padre: Tipo adquisicion: Entidad"</f>
        <v>Descripcion: PINZA KELLY CURVA Estado: Bueno Placa anterior: 000018763 Material:  Color:  Referencia:  Observacion:  Placa padre: Tipo adquisicion: Entidad</v>
      </c>
      <c r="G8854" s="5"/>
    </row>
    <row r="8855" spans="1:7" ht="58.5" customHeight="1" x14ac:dyDescent="0.25">
      <c r="A8855" s="5" t="str">
        <f>"B0005198"</f>
        <v>B0005198</v>
      </c>
      <c r="B8855" s="5" t="str">
        <f t="shared" si="460"/>
        <v>PINZA KELLY CURVA 16 CM</v>
      </c>
      <c r="C8855" s="6">
        <v>32062.13</v>
      </c>
      <c r="D8855" s="5"/>
      <c r="E8855" s="5" t="str">
        <f t="shared" si="459"/>
        <v>URGENCIAS PEDIATRIA-YENI ESPERANZA PENA GUERRERO</v>
      </c>
      <c r="F8855" s="5" t="str">
        <f>"Descripcion: PINZA KELLY CURVA Estado: Bueno Placa anterior: 000018760 Material:  Color:  Referencia:  Observacion:  Placa padre: Tipo adquisicion: Entidad"</f>
        <v>Descripcion: PINZA KELLY CURVA Estado: Bueno Placa anterior: 000018760 Material:  Color:  Referencia:  Observacion:  Placa padre: Tipo adquisicion: Entidad</v>
      </c>
      <c r="G8855" s="5"/>
    </row>
    <row r="8856" spans="1:7" ht="58.5" customHeight="1" x14ac:dyDescent="0.25">
      <c r="A8856" s="5" t="str">
        <f>"B0005199"</f>
        <v>B0005199</v>
      </c>
      <c r="B8856" s="5" t="str">
        <f t="shared" si="460"/>
        <v>PINZA KELLY CURVA 16 CM</v>
      </c>
      <c r="C8856" s="6">
        <v>32062.13</v>
      </c>
      <c r="D8856" s="5"/>
      <c r="E8856" s="5" t="str">
        <f t="shared" si="459"/>
        <v>URGENCIAS PEDIATRIA-YENI ESPERANZA PENA GUERRERO</v>
      </c>
      <c r="F8856" s="5" t="str">
        <f>"Descripcion: PINZA KELLY CURVA Estado: Bueno Placa anterior: 000018762 Material:  Color:  Referencia:  Observacion:  Placa padre: Tipo adquisicion: Entidad"</f>
        <v>Descripcion: PINZA KELLY CURVA Estado: Bueno Placa anterior: 000018762 Material:  Color:  Referencia:  Observacion:  Placa padre: Tipo adquisicion: Entidad</v>
      </c>
      <c r="G8856" s="5"/>
    </row>
    <row r="8857" spans="1:7" ht="58.5" customHeight="1" x14ac:dyDescent="0.25">
      <c r="A8857" s="5" t="str">
        <f>"B0005200"</f>
        <v>B0005200</v>
      </c>
      <c r="B8857" s="5" t="str">
        <f t="shared" si="460"/>
        <v>PINZA KELLY CURVA 16 CM</v>
      </c>
      <c r="C8857" s="6">
        <v>32062.13</v>
      </c>
      <c r="D8857" s="5"/>
      <c r="E8857" s="5" t="str">
        <f t="shared" si="459"/>
        <v>URGENCIAS PEDIATRIA-YENI ESPERANZA PENA GUERRERO</v>
      </c>
      <c r="F8857" s="5" t="str">
        <f>"Descripcion: PINZA KELLY CURVA Estado: Bueno Placa anterior: 000018768 Material:  Color:  Referencia:  Observacion:  Placa padre: Tipo adquisicion: Entidad"</f>
        <v>Descripcion: PINZA KELLY CURVA Estado: Bueno Placa anterior: 000018768 Material:  Color:  Referencia:  Observacion:  Placa padre: Tipo adquisicion: Entidad</v>
      </c>
      <c r="G8857" s="5"/>
    </row>
    <row r="8858" spans="1:7" ht="58.5" customHeight="1" x14ac:dyDescent="0.25">
      <c r="A8858" s="5" t="str">
        <f>"B0005201"</f>
        <v>B0005201</v>
      </c>
      <c r="B8858" s="5" t="str">
        <f>"PINZA ROCHESTER CURVA 25 CM"</f>
        <v>PINZA ROCHESTER CURVA 25 CM</v>
      </c>
      <c r="C8858" s="6">
        <v>61292.1</v>
      </c>
      <c r="D8858" s="5"/>
      <c r="E8858" s="5" t="str">
        <f t="shared" si="459"/>
        <v>URGENCIAS PEDIATRIA-YENI ESPERANZA PENA GUERRERO</v>
      </c>
      <c r="F8858" s="5" t="str">
        <f>"Descripcion: PINZA ROCHESTER CURVA Estado: Bueno Placa anterior: 000018799 Material:  Color:  Referencia:  Observacion:  Placa padre: Tipo adquisicion: Entidad"</f>
        <v>Descripcion: PINZA ROCHESTER CURVA Estado: Bueno Placa anterior: 000018799 Material:  Color:  Referencia:  Observacion:  Placa padre: Tipo adquisicion: Entidad</v>
      </c>
      <c r="G8858" s="5"/>
    </row>
    <row r="8859" spans="1:7" ht="58.5" customHeight="1" x14ac:dyDescent="0.25">
      <c r="A8859" s="5" t="str">
        <f>"B0005202"</f>
        <v>B0005202</v>
      </c>
      <c r="B8859" s="5" t="str">
        <f>"PINZA ROCHESTER CURVA 25 CM"</f>
        <v>PINZA ROCHESTER CURVA 25 CM</v>
      </c>
      <c r="C8859" s="6">
        <v>61292.1</v>
      </c>
      <c r="D8859" s="5"/>
      <c r="E8859" s="5" t="str">
        <f t="shared" si="459"/>
        <v>URGENCIAS PEDIATRIA-YENI ESPERANZA PENA GUERRERO</v>
      </c>
      <c r="F8859" s="5" t="str">
        <f>"Descripcion: PINZA ROCHESTER CURVA Estado: Bueno Placa anterior: 000018796 Material:  Color:  Referencia:  Observacion:  Placa padre: Tipo adquisicion: Entidad"</f>
        <v>Descripcion: PINZA ROCHESTER CURVA Estado: Bueno Placa anterior: 000018796 Material:  Color:  Referencia:  Observacion:  Placa padre: Tipo adquisicion: Entidad</v>
      </c>
      <c r="G8859" s="5"/>
    </row>
    <row r="8860" spans="1:7" ht="58.5" customHeight="1" x14ac:dyDescent="0.25">
      <c r="A8860" s="5" t="str">
        <f>"B0005203"</f>
        <v>B0005203</v>
      </c>
      <c r="B8860" s="5" t="str">
        <f>"PINZA ROCHESTER CURVA 25 CM"</f>
        <v>PINZA ROCHESTER CURVA 25 CM</v>
      </c>
      <c r="C8860" s="6">
        <v>61294.1</v>
      </c>
      <c r="D8860" s="5"/>
      <c r="E8860" s="5" t="str">
        <f t="shared" si="459"/>
        <v>URGENCIAS PEDIATRIA-YENI ESPERANZA PENA GUERRERO</v>
      </c>
      <c r="F8860" s="5" t="str">
        <f>"Descripcion: PINZA ROCHESTER CURVA Estado: Bueno Placa anterior: 000018435 Material:  Color:  Referencia:  Observacion:  Placa padre: Tipo adquisicion: Entidad"</f>
        <v>Descripcion: PINZA ROCHESTER CURVA Estado: Bueno Placa anterior: 000018435 Material:  Color:  Referencia:  Observacion:  Placa padre: Tipo adquisicion: Entidad</v>
      </c>
      <c r="G8860" s="5"/>
    </row>
    <row r="8861" spans="1:7" ht="58.5" customHeight="1" x14ac:dyDescent="0.25">
      <c r="A8861" s="5" t="str">
        <f>"B0005204"</f>
        <v>B0005204</v>
      </c>
      <c r="B8861" s="5" t="str">
        <f>"PINZA ROCHESTER CURVA 25 CM"</f>
        <v>PINZA ROCHESTER CURVA 25 CM</v>
      </c>
      <c r="C8861" s="6">
        <v>61294.1</v>
      </c>
      <c r="D8861" s="5"/>
      <c r="E8861" s="5" t="str">
        <f t="shared" si="459"/>
        <v>URGENCIAS PEDIATRIA-YENI ESPERANZA PENA GUERRERO</v>
      </c>
      <c r="F8861" s="5" t="str">
        <f>"Descripcion: PINZA ROCHESTER CURVA Estado: Bueno Placa anterior: 000018511 Material:  Color:  Referencia:  Observacion:  Placa padre: Tipo adquisicion: Entidad"</f>
        <v>Descripcion: PINZA ROCHESTER CURVA Estado: Bueno Placa anterior: 000018511 Material:  Color:  Referencia:  Observacion:  Placa padre: Tipo adquisicion: Entidad</v>
      </c>
      <c r="G8861" s="5"/>
    </row>
    <row r="8862" spans="1:7" ht="58.5" customHeight="1" x14ac:dyDescent="0.25">
      <c r="A8862" s="5" t="str">
        <f>"B0005205"</f>
        <v>B0005205</v>
      </c>
      <c r="B8862" s="5" t="str">
        <f>"PORTAGUJAS (PINZA)"</f>
        <v>PORTAGUJAS (PINZA)</v>
      </c>
      <c r="C8862" s="6">
        <v>25270.2</v>
      </c>
      <c r="D8862" s="5"/>
      <c r="E8862" s="5" t="str">
        <f t="shared" si="459"/>
        <v>URGENCIAS PEDIATRIA-YENI ESPERANZA PENA GUERRERO</v>
      </c>
      <c r="F8862" s="5" t="str">
        <f>"Descripcion: PORTA AGUJA Estado: Bueno Placa anterior: 000018804 Material:  Color:  Referencia:  Observacion:  Placa padre: Tipo adquisicion: Entidad"</f>
        <v>Descripcion: PORTA AGUJA Estado: Bueno Placa anterior: 000018804 Material:  Color:  Referencia:  Observacion:  Placa padre: Tipo adquisicion: Entidad</v>
      </c>
      <c r="G8862" s="5"/>
    </row>
    <row r="8863" spans="1:7" ht="58.5" customHeight="1" x14ac:dyDescent="0.25">
      <c r="A8863" s="5" t="str">
        <f>"B0005206"</f>
        <v>B0005206</v>
      </c>
      <c r="B8863" s="5" t="str">
        <f>"PORTAGUJAS (PINZA)"</f>
        <v>PORTAGUJAS (PINZA)</v>
      </c>
      <c r="C8863" s="6">
        <v>25270.68</v>
      </c>
      <c r="D8863" s="5"/>
      <c r="E8863" s="5" t="str">
        <f t="shared" si="459"/>
        <v>URGENCIAS PEDIATRIA-YENI ESPERANZA PENA GUERRERO</v>
      </c>
      <c r="F8863" s="5" t="str">
        <f>"Descripcion: PORTA AGUJA Estado: Bueno Placa anterior: 000018806 Material:  Color:  Referencia:  Observacion:  Placa padre: Tipo adquisicion: Entidad"</f>
        <v>Descripcion: PORTA AGUJA Estado: Bueno Placa anterior: 000018806 Material:  Color:  Referencia:  Observacion:  Placa padre: Tipo adquisicion: Entidad</v>
      </c>
      <c r="G8863" s="5"/>
    </row>
    <row r="8864" spans="1:7" ht="58.5" customHeight="1" x14ac:dyDescent="0.25">
      <c r="A8864" s="5" t="str">
        <f>"B0005207"</f>
        <v>B0005207</v>
      </c>
      <c r="B8864" s="5" t="str">
        <f>"PORTAGUJAS (PINZA)"</f>
        <v>PORTAGUJAS (PINZA)</v>
      </c>
      <c r="C8864" s="6">
        <v>25270.68</v>
      </c>
      <c r="D8864" s="5"/>
      <c r="E8864" s="5" t="str">
        <f t="shared" si="459"/>
        <v>URGENCIAS PEDIATRIA-YENI ESPERANZA PENA GUERRERO</v>
      </c>
      <c r="F8864" s="5" t="str">
        <f>"Descripcion: PORTA AGUJA Estado: Bueno Placa anterior: 000018805 Material:  Color:  Referencia:  Observacion:  Placa padre: Tipo adquisicion: Entidad"</f>
        <v>Descripcion: PORTA AGUJA Estado: Bueno Placa anterior: 000018805 Material:  Color:  Referencia:  Observacion:  Placa padre: Tipo adquisicion: Entidad</v>
      </c>
      <c r="G8864" s="5"/>
    </row>
    <row r="8865" spans="1:7" ht="58.5" customHeight="1" x14ac:dyDescent="0.25">
      <c r="A8865" s="5" t="str">
        <f>"B0005208"</f>
        <v>B0005208</v>
      </c>
      <c r="B8865" s="5" t="str">
        <f>"SEPARADOR DE ABDOMEN (FARABEUF)"</f>
        <v>SEPARADOR DE ABDOMEN (FARABEUF)</v>
      </c>
      <c r="C8865" s="6">
        <v>40185</v>
      </c>
      <c r="D8865" s="5"/>
      <c r="E8865" s="5" t="str">
        <f t="shared" si="459"/>
        <v>URGENCIAS PEDIATRIA-YENI ESPERANZA PENA GUERRERO</v>
      </c>
      <c r="F8865" s="5" t="str">
        <f>"Descripcion: SEPARADOR DE FARABEUM Estado: Bueno Placa anterior: 000018819 Material:  Color:  Referencia:  Observacion:  Placa padre: Tipo adquisicion: Entidad"</f>
        <v>Descripcion: SEPARADOR DE FARABEUM Estado: Bueno Placa anterior: 000018819 Material:  Color:  Referencia:  Observacion:  Placa padre: Tipo adquisicion: Entidad</v>
      </c>
      <c r="G8865" s="5"/>
    </row>
    <row r="8866" spans="1:7" ht="58.5" customHeight="1" x14ac:dyDescent="0.25">
      <c r="A8866" s="5" t="str">
        <f>"B0005209"</f>
        <v>B0005209</v>
      </c>
      <c r="B8866" s="5" t="str">
        <f>"SEPARADOR DE ABDOMEN (FARABEUF)"</f>
        <v>SEPARADOR DE ABDOMEN (FARABEUF)</v>
      </c>
      <c r="C8866" s="6">
        <v>40185</v>
      </c>
      <c r="D8866" s="5"/>
      <c r="E8866" s="5" t="str">
        <f t="shared" si="459"/>
        <v>URGENCIAS PEDIATRIA-YENI ESPERANZA PENA GUERRERO</v>
      </c>
      <c r="F8866" s="5" t="str">
        <f>"Descripcion: SEPARADOR DE FARABEUM Estado: Bueno Placa anterior: 000018815 Material:  Color:  Referencia:  Observacion:  Placa padre: Tipo adquisicion: Entidad"</f>
        <v>Descripcion: SEPARADOR DE FARABEUM Estado: Bueno Placa anterior: 000018815 Material:  Color:  Referencia:  Observacion:  Placa padre: Tipo adquisicion: Entidad</v>
      </c>
      <c r="G8866" s="5"/>
    </row>
    <row r="8867" spans="1:7" ht="58.5" customHeight="1" x14ac:dyDescent="0.25">
      <c r="A8867" s="5" t="str">
        <f>"B0005210"</f>
        <v>B0005210</v>
      </c>
      <c r="B8867" s="5" t="str">
        <f>"SEPARADOR DE ABDOMEN (FARABEUF)"</f>
        <v>SEPARADOR DE ABDOMEN (FARABEUF)</v>
      </c>
      <c r="C8867" s="6">
        <v>40185</v>
      </c>
      <c r="D8867" s="5"/>
      <c r="E8867" s="5" t="str">
        <f t="shared" si="459"/>
        <v>URGENCIAS PEDIATRIA-YENI ESPERANZA PENA GUERRERO</v>
      </c>
      <c r="F8867" s="5" t="str">
        <f>"Descripcion: SEPARADOR DE FARABEUM Estado: Bueno Placa anterior: 000018816 Material:  Color:  Referencia:  Observacion:  Placa padre: Tipo adquisicion: Entidad"</f>
        <v>Descripcion: SEPARADOR DE FARABEUM Estado: Bueno Placa anterior: 000018816 Material:  Color:  Referencia:  Observacion:  Placa padre: Tipo adquisicion: Entidad</v>
      </c>
      <c r="G8867" s="5"/>
    </row>
    <row r="8868" spans="1:7" ht="58.5" customHeight="1" x14ac:dyDescent="0.25">
      <c r="A8868" s="5" t="str">
        <f>"B0005211"</f>
        <v>B0005211</v>
      </c>
      <c r="B8868" s="5" t="str">
        <f>"SEPARADOR DE ABDOMEN (FARABEUF)"</f>
        <v>SEPARADOR DE ABDOMEN (FARABEUF)</v>
      </c>
      <c r="C8868" s="6">
        <v>40185</v>
      </c>
      <c r="D8868" s="5"/>
      <c r="E8868" s="5" t="str">
        <f t="shared" si="459"/>
        <v>URGENCIAS PEDIATRIA-YENI ESPERANZA PENA GUERRERO</v>
      </c>
      <c r="F8868" s="5" t="str">
        <f>"Descripcion: SEPARADOR DE FARABEUM Estado: Bueno Placa anterior: 000018820 Material:  Color:  Referencia:  Observacion:  Placa padre: Tipo adquisicion: Entidad"</f>
        <v>Descripcion: SEPARADOR DE FARABEUM Estado: Bueno Placa anterior: 000018820 Material:  Color:  Referencia:  Observacion:  Placa padre: Tipo adquisicion: Entidad</v>
      </c>
      <c r="G8868" s="5"/>
    </row>
    <row r="8869" spans="1:7" ht="58.5" customHeight="1" x14ac:dyDescent="0.25">
      <c r="A8869" s="5" t="str">
        <f>"B0005215"</f>
        <v>B0005215</v>
      </c>
      <c r="B8869" s="5" t="str">
        <f>"LARINGOSCOPIO ADULTO"</f>
        <v>LARINGOSCOPIO ADULTO</v>
      </c>
      <c r="C8869" s="6">
        <v>141133</v>
      </c>
      <c r="D8869" s="5"/>
      <c r="E8869" s="5" t="str">
        <f t="shared" si="459"/>
        <v>URGENCIAS PEDIATRIA-YENI ESPERANZA PENA GUERRERO</v>
      </c>
      <c r="F8869" s="5" t="str">
        <f>"Descripcion: LARINGOSCOPIO Estado: Bueno Placa anterior: 000018688 Material:  Color:  Referencia:  Observacion:  Placa padre: Tipo adquisicion: Entidad"</f>
        <v>Descripcion: LARINGOSCOPIO Estado: Bueno Placa anterior: 000018688 Material:  Color:  Referencia:  Observacion:  Placa padre: Tipo adquisicion: Entidad</v>
      </c>
      <c r="G8869" s="5"/>
    </row>
    <row r="8870" spans="1:7" ht="58.5" customHeight="1" x14ac:dyDescent="0.25">
      <c r="A8870" s="5" t="str">
        <f>"B0005216"</f>
        <v>B0005216</v>
      </c>
      <c r="B8870" s="5" t="str">
        <f>"PINZA MOSQUITO CURVA 12 CM"</f>
        <v>PINZA MOSQUITO CURVA 12 CM</v>
      </c>
      <c r="C8870" s="6">
        <v>32078.84</v>
      </c>
      <c r="D8870" s="5"/>
      <c r="E8870" s="5" t="str">
        <f t="shared" si="459"/>
        <v>URGENCIAS PEDIATRIA-YENI ESPERANZA PENA GUERRERO</v>
      </c>
      <c r="F8870" s="5" t="str">
        <f>"Descripcion: PINZA MOSQUITO CURVA Estado: Bueno Placa anterior: 000018784 Material:  Color:  Referencia:  Observacion:  Placa padre: Tipo adquisicion: Entidad"</f>
        <v>Descripcion: PINZA MOSQUITO CURVA Estado: Bueno Placa anterior: 000018784 Material:  Color:  Referencia:  Observacion:  Placa padre: Tipo adquisicion: Entidad</v>
      </c>
      <c r="G8870" s="5"/>
    </row>
    <row r="8871" spans="1:7" ht="58.5" customHeight="1" x14ac:dyDescent="0.25">
      <c r="A8871" s="5" t="str">
        <f>"B0005217"</f>
        <v>B0005217</v>
      </c>
      <c r="B8871" s="5" t="str">
        <f>"TIJERA DE MAYO LARGA 25 CM"</f>
        <v>TIJERA DE MAYO LARGA 25 CM</v>
      </c>
      <c r="C8871" s="6">
        <v>6348</v>
      </c>
      <c r="D8871" s="5"/>
      <c r="E8871" s="5" t="str">
        <f t="shared" si="459"/>
        <v>URGENCIAS PEDIATRIA-YENI ESPERANZA PENA GUERRERO</v>
      </c>
      <c r="F8871" s="5" t="str">
        <f>"Descripcion: TIJERA DE MAYO Estado: Bueno Placa anterior: 000018824 Material:  Color:  Referencia:  Observacion:  Placa padre: Tipo adquisicion: Entidad"</f>
        <v>Descripcion: TIJERA DE MAYO Estado: Bueno Placa anterior: 000018824 Material:  Color:  Referencia:  Observacion:  Placa padre: Tipo adquisicion: Entidad</v>
      </c>
      <c r="G8871" s="5"/>
    </row>
    <row r="8872" spans="1:7" ht="58.5" customHeight="1" x14ac:dyDescent="0.25">
      <c r="A8872" s="5" t="str">
        <f>"B0005218"</f>
        <v>B0005218</v>
      </c>
      <c r="B8872" s="5" t="str">
        <f>"TIJERA DE MAYO LARGA 25 CM"</f>
        <v>TIJERA DE MAYO LARGA 25 CM</v>
      </c>
      <c r="C8872" s="6">
        <v>6348</v>
      </c>
      <c r="D8872" s="5"/>
      <c r="E8872" s="5" t="str">
        <f t="shared" si="459"/>
        <v>URGENCIAS PEDIATRIA-YENI ESPERANZA PENA GUERRERO</v>
      </c>
      <c r="F8872" s="5" t="str">
        <f>"Descripcion: TIJERA DE MAYO Estado: Bueno Placa anterior: 000018825 Material:  Color:  Referencia:  Observacion:  Placa padre: Tipo adquisicion: Entidad"</f>
        <v>Descripcion: TIJERA DE MAYO Estado: Bueno Placa anterior: 000018825 Material:  Color:  Referencia:  Observacion:  Placa padre: Tipo adquisicion: Entidad</v>
      </c>
      <c r="G8872" s="5"/>
    </row>
    <row r="8873" spans="1:7" ht="58.5" customHeight="1" x14ac:dyDescent="0.25">
      <c r="A8873" s="5" t="str">
        <f>"B0005219"</f>
        <v>B0005219</v>
      </c>
      <c r="B8873" s="5" t="str">
        <f>"TIJERA DE MAYO LARGA 25 CM"</f>
        <v>TIJERA DE MAYO LARGA 25 CM</v>
      </c>
      <c r="C8873" s="6">
        <v>6348</v>
      </c>
      <c r="D8873" s="5"/>
      <c r="E8873" s="5" t="str">
        <f t="shared" si="459"/>
        <v>URGENCIAS PEDIATRIA-YENI ESPERANZA PENA GUERRERO</v>
      </c>
      <c r="F8873" s="5" t="str">
        <f>"Descripcion: TIJERA DE MAYO Estado: Bueno Placa anterior: 000018826 Material:  Color:  Referencia:  Observacion:  Placa padre: Tipo adquisicion: Entidad"</f>
        <v>Descripcion: TIJERA DE MAYO Estado: Bueno Placa anterior: 000018826 Material:  Color:  Referencia:  Observacion:  Placa padre: Tipo adquisicion: Entidad</v>
      </c>
      <c r="G8873" s="5"/>
    </row>
    <row r="8874" spans="1:7" ht="58.5" customHeight="1" x14ac:dyDescent="0.25">
      <c r="A8874" s="5" t="str">
        <f>"B0005490"</f>
        <v>B0005490</v>
      </c>
      <c r="B8874" s="5" t="str">
        <f>"INFUSOR DE LIQUIDOS"</f>
        <v>INFUSOR DE LIQUIDOS</v>
      </c>
      <c r="C8874" s="6">
        <v>249400</v>
      </c>
      <c r="D8874" s="5" t="s">
        <v>56</v>
      </c>
      <c r="E8874" s="5" t="str">
        <f t="shared" si="459"/>
        <v>URGENCIAS PEDIATRIA-YENI ESPERANZA PENA GUERRERO</v>
      </c>
      <c r="F8874" s="5" t="str">
        <f>"Descripcion: INFUSOR DE LIQUIDOS Estado: Bueno Placa anterior: 000031145 Material:  Color:  Referencia:  Observacion: SE ENCUENTRA DENTRO DEL CARRO DE PARO Placa padre: Tipo adquisicion: Entidad"</f>
        <v>Descripcion: INFUSOR DE LIQUIDOS Estado: Bueno Placa anterior: 000031145 Material:  Color:  Referencia:  Observacion: SE ENCUENTRA DENTRO DEL CARRO DE PARO Placa padre: Tipo adquisicion: Entidad</v>
      </c>
      <c r="G8874" s="5"/>
    </row>
    <row r="8875" spans="1:7" ht="58.5" customHeight="1" x14ac:dyDescent="0.25">
      <c r="A8875" s="5" t="str">
        <f>"H0000987"</f>
        <v>H0000987</v>
      </c>
      <c r="B8875" s="5" t="str">
        <f>"ATRIL PORTASUERO MOVIL"</f>
        <v>ATRIL PORTASUERO MOVIL</v>
      </c>
      <c r="C8875" s="6">
        <v>210000</v>
      </c>
      <c r="D8875" s="5" t="s">
        <v>50</v>
      </c>
      <c r="E8875" s="5" t="str">
        <f t="shared" si="459"/>
        <v>URGENCIAS PEDIATRIA-YENI ESPERANZA PENA GUERRERO</v>
      </c>
      <c r="F8875" s="5" t="str">
        <f>"Descripcion: ATRIL EN ACERO INOXIDABLE QUIRURGICO ANTIMAGNETICO Estado: Bueno Placa anterior: 000029759 Material: CROMADO Color: FALTA PINTURA EN BASE Referencia:  Observacion:  Placa padre: Tipo adquisicion: Entidad"</f>
        <v>Descripcion: ATRIL EN ACERO INOXIDABLE QUIRURGICO ANTIMAGNETICO Estado: Bueno Placa anterior: 000029759 Material: CROMADO Color: FALTA PINTURA EN BASE Referencia:  Observacion:  Placa padre: Tipo adquisicion: Entidad</v>
      </c>
      <c r="G8875" s="5"/>
    </row>
    <row r="8876" spans="1:7" ht="58.5" customHeight="1" x14ac:dyDescent="0.25">
      <c r="A8876" s="5" t="str">
        <f>"H0002400"</f>
        <v>H0002400</v>
      </c>
      <c r="B8876" s="5" t="str">
        <f t="shared" ref="B8876:B8881" si="461">"COMPUTADOR TODO EN UNO"</f>
        <v>COMPUTADOR TODO EN UNO</v>
      </c>
      <c r="C8876" s="6">
        <v>2470000</v>
      </c>
      <c r="D8876" s="5"/>
      <c r="E8876" s="5" t="str">
        <f t="shared" si="459"/>
        <v>URGENCIAS PEDIATRIA-YENI ESPERANZA PENA GUERRERO</v>
      </c>
      <c r="F8876" s="5" t="str">
        <f>"Descripcion:EQUIPO DE COMPUTO TODO EN UNO CON PROCESADOR INTEL i5 Estado: Excelente Placa anterior: 000037260 Material: PASTA Color: NEGRO Referencia: 10BDFDLS Observacion:  Placa anterior:, Placa nueva=H0002402, Descripcion:MOUSE USB  3 BOTONES, Serial:4"&amp; "4PD035, Marca:LENOVO, Modelo:45J4889, Material:PASTA, Color:NEGRO,   Referencia:, Placa anterior:, Placa nueva=H0002401, Descripcion:TECLADO USB LENOVO, Serial:8259150, Marca:LENOVO, Modelo:KU-0225, Material:PASTA, Color:NEGRO,   Referencia:54Y9424 Placa "&amp; "padre:  Tipo adquisicion : Entidad"</f>
        <v>Descripcion:EQUIPO DE COMPUTO TODO EN UNO CON PROCESADOR INTEL i5 Estado: Excelente Placa anterior: 000037260 Material: PASTA Color: NEGRO Referencia: 10BDFDLS Observacion:  Placa anterior:, Placa nueva=H0002402, Descripcion:MOUSE USB  3 BOTONES, Serial:44PD035, Marca:LENOVO, Modelo:45J4889, Material:PASTA, Color:NEGRO,   Referencia:, Placa anterior:, Placa nueva=H0002401, Descripcion:TECLADO USB LENOVO, Serial:8259150, Marca:LENOVO, Modelo:KU-0225, Material:PASTA, Color:NEGRO,   Referencia:54Y9424 Placa padre:  Tipo adquisicion : Entidad</v>
      </c>
      <c r="G8876" s="5" t="str">
        <f t="shared" ref="G8876:G8881" si="462">"00FDLS"</f>
        <v>00FDLS</v>
      </c>
    </row>
    <row r="8877" spans="1:7" ht="58.5" customHeight="1" x14ac:dyDescent="0.25">
      <c r="A8877" s="5" t="str">
        <f>"H0002412"</f>
        <v>H0002412</v>
      </c>
      <c r="B8877" s="5" t="str">
        <f t="shared" si="461"/>
        <v>COMPUTADOR TODO EN UNO</v>
      </c>
      <c r="C8877" s="6">
        <v>2470000</v>
      </c>
      <c r="D8877" s="5"/>
      <c r="E8877" s="5" t="str">
        <f t="shared" si="459"/>
        <v>URGENCIAS PEDIATRIA-YENI ESPERANZA PENA GUERRERO</v>
      </c>
      <c r="F8877" s="5" t="str">
        <f>"Descripcion:EQUIPO DE COMPUTO TODO EN UNO CON PROCESADOR INTEL i5 Estado: Excelente Placa anterior: 000037298 Material: PASTA Color: NEGRO Referencia: 10BDFDLS Observacion:  Placa anterior:, Placa nueva=H0002413, Descripcion:TECLADO USB LENOVO, Serial:825"&amp; "9898, Marca:LENOVO, Modelo:KU-0225, Material:PASTA, Color:NEGRO,   Referencia:54Y9424, Placa anterior:, Placa nueva=H0002414, Descripcion:MOUSE USB  3 BOTONES, Serial:44PE597, Marca:LENOVO, Modelo:45J4889, Material:PASTA, Color:NEGRO,   Referencia: Placa "&amp; "padre:  Tipo adquisicion : Entidad"</f>
        <v>Descripcion:EQUIPO DE COMPUTO TODO EN UNO CON PROCESADOR INTEL i5 Estado: Excelente Placa anterior: 000037298 Material: PASTA Color: NEGRO Referencia: 10BDFDLS Observacion:  Placa anterior:, Placa nueva=H0002413, Descripcion:TECLADO USB LENOVO, Serial:8259898, Marca:LENOVO, Modelo:KU-0225, Material:PASTA, Color:NEGRO,   Referencia:54Y9424, Placa anterior:, Placa nueva=H0002414, Descripcion:MOUSE USB  3 BOTONES, Serial:44PE597, Marca:LENOVO, Modelo:45J4889, Material:PASTA, Color:NEGRO,   Referencia: Placa padre:  Tipo adquisicion : Entidad</v>
      </c>
      <c r="G8877" s="5" t="str">
        <f t="shared" si="462"/>
        <v>00FDLS</v>
      </c>
    </row>
    <row r="8878" spans="1:7" ht="58.5" customHeight="1" x14ac:dyDescent="0.25">
      <c r="A8878" s="5" t="str">
        <f>"H0002464"</f>
        <v>H0002464</v>
      </c>
      <c r="B8878" s="5" t="str">
        <f t="shared" si="461"/>
        <v>COMPUTADOR TODO EN UNO</v>
      </c>
      <c r="C8878" s="6">
        <v>2470000</v>
      </c>
      <c r="D8878" s="5"/>
      <c r="E8878" s="5" t="str">
        <f t="shared" si="459"/>
        <v>URGENCIAS PEDIATRIA-YENI ESPERANZA PENA GUERRERO</v>
      </c>
      <c r="F8878" s="5" t="str">
        <f>"Descripcion:EQUIPO DE COMPUTO TODO EN UNO CON PROCESADOR INTEL i5 Estado: Excelente Placa anterior: 000037287 Material: PASTA Color: NEGRO Referencia: 10BDFDLS Observacion:  Placa anterior:, Placa nueva=H0002466, Descripcion:MOUSE USB  3 BOTONES, Serial:4"&amp; "4MF916, Marca:LENOVO, Modelo:45J4889, Material:PASTA, Color:NEGRO,   Referencia:, Placa anterior:, Placa nueva=H0002465, Descripcion:TECLADO USB LENOVO, Serial:8260029, Marca:LENOVO, Modelo:KU-0225, Material:PASTA, Color:NEGRO,   Referencia:54Y9424 Placa "&amp; "padre:  Tipo adquisicion : Entidad"</f>
        <v>Descripcion:EQUIPO DE COMPUTO TODO EN UNO CON PROCESADOR INTEL i5 Estado: Excelente Placa anterior: 000037287 Material: PASTA Color: NEGRO Referencia: 10BDFDLS Observacion:  Placa anterior:, Placa nueva=H0002466, Descripcion:MOUSE USB  3 BOTONES, Serial:44MF916, Marca:LENOVO, Modelo:45J4889, Material:PASTA, Color:NEGRO,   Referencia:, Placa anterior:, Placa nueva=H0002465, Descripcion:TECLADO USB LENOVO, Serial:8260029, Marca:LENOVO, Modelo:KU-0225, Material:PASTA, Color:NEGRO,   Referencia:54Y9424 Placa padre:  Tipo adquisicion : Entidad</v>
      </c>
      <c r="G8878" s="5" t="str">
        <f t="shared" si="462"/>
        <v>00FDLS</v>
      </c>
    </row>
    <row r="8879" spans="1:7" ht="58.5" customHeight="1" x14ac:dyDescent="0.25">
      <c r="A8879" s="5" t="str">
        <f>"H0002479"</f>
        <v>H0002479</v>
      </c>
      <c r="B8879" s="5" t="str">
        <f t="shared" si="461"/>
        <v>COMPUTADOR TODO EN UNO</v>
      </c>
      <c r="C8879" s="6">
        <v>2470000</v>
      </c>
      <c r="D8879" s="5"/>
      <c r="E8879" s="5" t="str">
        <f t="shared" si="459"/>
        <v>URGENCIAS PEDIATRIA-YENI ESPERANZA PENA GUERRERO</v>
      </c>
      <c r="F8879" s="5" t="str">
        <f>"Descripcion:EQUIPO DE COMPUTO TODO EN UNO CON PROCESADOR INTEL i5 Estado: Excelente Placa anterior: 000037269 Material: PASTA Color: NEGRO Referencia: 10BDFDLS Observacion:  Placa anterior:, Placa nueva=H0002481, Descripcion:MOUSE USB  3 BOTONES, Serial:4"&amp; "4PC976, Marca:LENOVO, Modelo:45J4889, Material:PASTA, Color:NEGRO,   Referencia:, Placa anterior:, Placa nueva=H0002480, Descripcion:TECLADO USB LENOVO, Serial:8259067, Marca:LENOVO, Modelo:KU-0225, Material:PASTA, Color:NEGRO,   Referencia:54Y9424 Placa "&amp; "padre:  Tipo adquisicion : Entidad"</f>
        <v>Descripcion:EQUIPO DE COMPUTO TODO EN UNO CON PROCESADOR INTEL i5 Estado: Excelente Placa anterior: 000037269 Material: PASTA Color: NEGRO Referencia: 10BDFDLS Observacion:  Placa anterior:, Placa nueva=H0002481, Descripcion:MOUSE USB  3 BOTONES, Serial:44PC976, Marca:LENOVO, Modelo:45J4889, Material:PASTA, Color:NEGRO,   Referencia:, Placa anterior:, Placa nueva=H0002480, Descripcion:TECLADO USB LENOVO, Serial:8259067, Marca:LENOVO, Modelo:KU-0225, Material:PASTA, Color:NEGRO,   Referencia:54Y9424 Placa padre:  Tipo adquisicion : Entidad</v>
      </c>
      <c r="G8879" s="5" t="str">
        <f t="shared" si="462"/>
        <v>00FDLS</v>
      </c>
    </row>
    <row r="8880" spans="1:7" ht="58.5" customHeight="1" x14ac:dyDescent="0.25">
      <c r="A8880" s="5" t="str">
        <f>"H0002482"</f>
        <v>H0002482</v>
      </c>
      <c r="B8880" s="5" t="str">
        <f t="shared" si="461"/>
        <v>COMPUTADOR TODO EN UNO</v>
      </c>
      <c r="C8880" s="6">
        <v>2470000</v>
      </c>
      <c r="D8880" s="5"/>
      <c r="E8880" s="5" t="str">
        <f t="shared" si="459"/>
        <v>URGENCIAS PEDIATRIA-YENI ESPERANZA PENA GUERRERO</v>
      </c>
      <c r="F8880" s="5" t="str">
        <f>"Descripcion:EQUIPO DE COMPUTO TODO EN UNO CON PROCESADOR INTEL i5 Estado: Excelente Placa anterior: 000037280 Material: PASTA Color: NEGRO Referencia: 10BDFDLS Observacion:  Placa anterior:, Placa nueva=H0002483, Descripcion:TECLADO USB LENOVO, Serial:811"&amp; "867, Marca:LENOVO, Modelo:KU-0225, Material:PASTA, Color:NEGRO,   Referencia:54Y9424, Placa anterior:, Placa nueva=H0002484, Descripcion:MOUSE USB  3 BOTONES, Serial:44PE686, Marca:LENOVO, Modelo:45J4889, Material:PASTA, Color:NEGRO,   Referencia: Placa p"&amp; "adre:  Tipo adquisicion : Entidad"</f>
        <v>Descripcion:EQUIPO DE COMPUTO TODO EN UNO CON PROCESADOR INTEL i5 Estado: Excelente Placa anterior: 000037280 Material: PASTA Color: NEGRO Referencia: 10BDFDLS Observacion:  Placa anterior:, Placa nueva=H0002483, Descripcion:TECLADO USB LENOVO, Serial:811867, Marca:LENOVO, Modelo:KU-0225, Material:PASTA, Color:NEGRO,   Referencia:54Y9424, Placa anterior:, Placa nueva=H0002484, Descripcion:MOUSE USB  3 BOTONES, Serial:44PE686, Marca:LENOVO, Modelo:45J4889, Material:PASTA, Color:NEGRO,   Referencia: Placa padre:  Tipo adquisicion : Entidad</v>
      </c>
      <c r="G8880" s="5" t="str">
        <f t="shared" si="462"/>
        <v>00FDLS</v>
      </c>
    </row>
    <row r="8881" spans="1:7" ht="58.5" customHeight="1" x14ac:dyDescent="0.25">
      <c r="A8881" s="5" t="str">
        <f>"H0002494"</f>
        <v>H0002494</v>
      </c>
      <c r="B8881" s="5" t="str">
        <f t="shared" si="461"/>
        <v>COMPUTADOR TODO EN UNO</v>
      </c>
      <c r="C8881" s="6">
        <v>2470000</v>
      </c>
      <c r="D8881" s="5"/>
      <c r="E8881" s="5" t="str">
        <f t="shared" si="459"/>
        <v>URGENCIAS PEDIATRIA-YENI ESPERANZA PENA GUERRERO</v>
      </c>
      <c r="F8881" s="5" t="str">
        <f>"Descripcion:EQUIPO DE COMPUTO TODO EN UNO CON PROCESADOR INTEL i5 Estado: Excelente Placa anterior: 000037300 Material: PASTA Color: NEGRO Referencia: 10BDFDLS Observacion:  Placa anterior:, Placa nueva=H0002496, Descripcion:MOUSE USB  3 BOTONES, Serial:4"&amp; "4MC993, Marca:LENOVO, Modelo:45J4889, Material:PASTA, Color:NEGRO,   Referencia:, Placa anterior:, Placa nueva=H0002495, Descripcion:TECLADO USB LENOVO, Serial:8259903, Marca:LENOVO, Modelo:KU-0225, Material:PASTA, Color:NEGRO,   Referencia:54Y9424 Placa "&amp; "padre:  Tipo adquisicion : Entidad"</f>
        <v>Descripcion:EQUIPO DE COMPUTO TODO EN UNO CON PROCESADOR INTEL i5 Estado: Excelente Placa anterior: 000037300 Material: PASTA Color: NEGRO Referencia: 10BDFDLS Observacion:  Placa anterior:, Placa nueva=H0002496, Descripcion:MOUSE USB  3 BOTONES, Serial:44MC993, Marca:LENOVO, Modelo:45J4889, Material:PASTA, Color:NEGRO,   Referencia:, Placa anterior:, Placa nueva=H0002495, Descripcion:TECLADO USB LENOVO, Serial:8259903, Marca:LENOVO, Modelo:KU-0225, Material:PASTA, Color:NEGRO,   Referencia:54Y9424 Placa padre:  Tipo adquisicion : Entidad</v>
      </c>
      <c r="G8881" s="5" t="str">
        <f t="shared" si="462"/>
        <v>00FDLS</v>
      </c>
    </row>
    <row r="8882" spans="1:7" ht="58.5" customHeight="1" x14ac:dyDescent="0.25">
      <c r="A8882" s="5" t="str">
        <f>"H0003922"</f>
        <v>H0003922</v>
      </c>
      <c r="B8882" s="5" t="str">
        <f>"ESTANTE METALICO 6 ENTREPAÑOS"</f>
        <v>ESTANTE METALICO 6 ENTREPAÑOS</v>
      </c>
      <c r="C8882" s="6">
        <v>5527.03</v>
      </c>
      <c r="D8882" s="5"/>
      <c r="E8882" s="5" t="str">
        <f t="shared" si="459"/>
        <v>URGENCIAS PEDIATRIA-YENI ESPERANZA PENA GUERRERO</v>
      </c>
      <c r="F8882" s="5" t="str">
        <f>"Descripcion: . Estado: Bueno Placa anterior: 000000350 Material: METALICO Color: BLANCO Referencia:  Observacion:  Placa padre: Tipo adquisicion: Entidad"</f>
        <v>Descripcion: . Estado: Bueno Placa anterior: 000000350 Material: METALICO Color: BLANCO Referencia:  Observacion:  Placa padre: Tipo adquisicion: Entidad</v>
      </c>
      <c r="G8882" s="5"/>
    </row>
    <row r="8883" spans="1:7" ht="58.5" customHeight="1" x14ac:dyDescent="0.25">
      <c r="A8883" s="5" t="str">
        <f>"H0004464"</f>
        <v>H0004464</v>
      </c>
      <c r="B8883" s="5" t="str">
        <f>"MESA METALICA AUXILIAR"</f>
        <v>MESA METALICA AUXILIAR</v>
      </c>
      <c r="C8883" s="6">
        <v>8635</v>
      </c>
      <c r="D8883" s="5"/>
      <c r="E8883" s="5" t="str">
        <f t="shared" si="459"/>
        <v>URGENCIAS PEDIATRIA-YENI ESPERANZA PENA GUERRERO</v>
      </c>
      <c r="F8883" s="5" t="str">
        <f>"Descripcion: MIDE 74X65X50 CMTIENE UN ALA Estado: Bueno Placa anterior: 000003994 Material: METAL SUPERFICIE FORMICA Color: GRIS Y MARRON Referencia:  Observacion:  Placa padre: Tipo adquisicion: Entidad"</f>
        <v>Descripcion: MIDE 74X65X50 CMTIENE UN ALA Estado: Bueno Placa anterior: 000003994 Material: METAL SUPERFICIE FORMICA Color: GRIS Y MARRON Referencia:  Observacion:  Placa padre: Tipo adquisicion: Entidad</v>
      </c>
      <c r="G8883" s="5"/>
    </row>
    <row r="8884" spans="1:7" ht="58.5" customHeight="1" x14ac:dyDescent="0.25">
      <c r="A8884" s="5" t="str">
        <f>"H0006254"</f>
        <v>H0006254</v>
      </c>
      <c r="B8884" s="5" t="str">
        <f>"ATRIL PORTASUERO FIJO"</f>
        <v>ATRIL PORTASUERO FIJO</v>
      </c>
      <c r="C8884" s="6">
        <v>145000</v>
      </c>
      <c r="D8884" s="5" t="s">
        <v>166</v>
      </c>
      <c r="E8884" s="5" t="str">
        <f t="shared" si="459"/>
        <v>URGENCIAS PEDIATRIA-YENI ESPERANZA PENA GUERRERO</v>
      </c>
      <c r="F8884" s="5" t="str">
        <f>"Descripcion: ATRIL PARA CAMILLA PORTA SUERO FIJO Estado: Bueno Placa anterior: 000031435 Material: ACERO Color: PLATEADO Referencia:  Observacion:  Placa padre: Tipo adquisicion: Entidad"</f>
        <v>Descripcion: ATRIL PARA CAMILLA PORTA SUERO FIJO Estado: Bueno Placa anterior: 000031435 Material: ACERO Color: PLATEADO Referencia:  Observacion:  Placa padre: Tipo adquisicion: Entidad</v>
      </c>
      <c r="G8884" s="5" t="str">
        <f>"DOMETAL"</f>
        <v>DOMETAL</v>
      </c>
    </row>
    <row r="8885" spans="1:7" ht="58.5" customHeight="1" x14ac:dyDescent="0.25">
      <c r="A8885" s="5" t="str">
        <f>"H0006359"</f>
        <v>H0006359</v>
      </c>
      <c r="B8885" s="5" t="str">
        <f>"LOCKER DE 6 COMPARTIMIENTOS"</f>
        <v>LOCKER DE 6 COMPARTIMIENTOS</v>
      </c>
      <c r="C8885" s="6">
        <v>7304</v>
      </c>
      <c r="D8885" s="5"/>
      <c r="E8885" s="5" t="str">
        <f t="shared" si="459"/>
        <v>URGENCIAS PEDIATRIA-YENI ESPERANZA PENA GUERRERO</v>
      </c>
      <c r="F8885" s="5" t="str">
        <f>"Descripcion: LOCKER DE 2 CUERPOS Y 6 COMPARTIMENTOS Estado: Bueno Placa anterior: 000027330 Material: METAL Color: BEIGE Referencia:  Observacion:  Placa padre: Tipo adquisicion: Entidad"</f>
        <v>Descripcion: LOCKER DE 2 CUERPOS Y 6 COMPARTIMENTOS Estado: Bueno Placa anterior: 000027330 Material: METAL Color: BEIGE Referencia:  Observacion:  Placa padre: Tipo adquisicion: Entidad</v>
      </c>
      <c r="G8885" s="5"/>
    </row>
    <row r="8886" spans="1:7" ht="58.5" customHeight="1" x14ac:dyDescent="0.25">
      <c r="A8886" s="5" t="str">
        <f>"H0007387"</f>
        <v>H0007387</v>
      </c>
      <c r="B8886" s="5" t="str">
        <f>"CAMA HOSPITALARIA 2 PLANOS"</f>
        <v>CAMA HOSPITALARIA 2 PLANOS</v>
      </c>
      <c r="C8886" s="6">
        <v>1693600</v>
      </c>
      <c r="D8886" s="5" t="s">
        <v>516</v>
      </c>
      <c r="E8886" s="5" t="str">
        <f t="shared" si="459"/>
        <v>URGENCIAS PEDIATRIA-YENI ESPERANZA PENA GUERRERO</v>
      </c>
      <c r="F8886"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000030669 Material: METALICO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000030669 Material: METALICO Color: BEIGE Referencia:  Observacion:  Placa padre: Tipo adquisicion: Entidad</v>
      </c>
      <c r="G8886" s="5" t="str">
        <f>"141-70"</f>
        <v>141-70</v>
      </c>
    </row>
    <row r="8887" spans="1:7" ht="58.5" customHeight="1" x14ac:dyDescent="0.25">
      <c r="A8887" s="5" t="str">
        <f>"H0007391"</f>
        <v>H0007391</v>
      </c>
      <c r="B8887" s="5" t="str">
        <f>"ESCALERILLA DE 2 PASOS"</f>
        <v>ESCALERILLA DE 2 PASOS</v>
      </c>
      <c r="C8887" s="6">
        <v>100000</v>
      </c>
      <c r="D8887" s="5" t="s">
        <v>49</v>
      </c>
      <c r="E8887" s="5" t="str">
        <f t="shared" si="459"/>
        <v>URGENCIAS PEDIATRIA-YENI ESPERANZA PENA GUERRERO</v>
      </c>
      <c r="F8887" s="5" t="str">
        <f>"Descripcion: ESCALERILLA DE DOS PASO EN TUBO REDONDO Estado: Bueno Placa anterior: 000029961 Material: METALICO, PASOSEN MADERA Color: BLANCO Referencia:  Observacion:  Placa padre: Tipo adquisicion: Entidad"</f>
        <v>Descripcion: ESCALERILLA DE DOS PASO EN TUBO REDONDO Estado: Bueno Placa anterior: 000029961 Material: METALICO, PASOSEN MADERA Color: BLANCO Referencia:  Observacion:  Placa padre: Tipo adquisicion: Entidad</v>
      </c>
      <c r="G8887" s="5"/>
    </row>
    <row r="8888" spans="1:7" ht="58.5" customHeight="1" x14ac:dyDescent="0.25">
      <c r="A8888" s="5" t="str">
        <f>"H0007392"</f>
        <v>H0007392</v>
      </c>
      <c r="B8888" s="5" t="str">
        <f>"ATRIL PORTASUERO MOVIL"</f>
        <v>ATRIL PORTASUERO MOVIL</v>
      </c>
      <c r="C8888" s="6">
        <v>145000</v>
      </c>
      <c r="D8888" s="5" t="s">
        <v>166</v>
      </c>
      <c r="E8888" s="5" t="str">
        <f t="shared" si="459"/>
        <v>URGENCIAS PEDIATRIA-YENI ESPERANZA PENA GUERRERO</v>
      </c>
      <c r="F8888" s="5" t="str">
        <f>"Descripcion: ATRIL PORTASUERO  CON RODACHINES Estado: Bueno Placa anterior: 000031455 Material: METALICO Color: GRIS Referencia:  Observacion:  Placa padre: Tipo adquisicion: Entidad"</f>
        <v>Descripcion: ATRIL PORTASUERO  CON RODACHINES Estado: Bueno Placa anterior: 000031455 Material: METALICO Color: GRIS Referencia:  Observacion:  Placa padre: Tipo adquisicion: Entidad</v>
      </c>
      <c r="G8888" s="5"/>
    </row>
    <row r="8889" spans="1:7" ht="58.5" customHeight="1" x14ac:dyDescent="0.25">
      <c r="A8889" s="5" t="str">
        <f>"H0007393"</f>
        <v>H0007393</v>
      </c>
      <c r="B8889" s="5" t="str">
        <f>"MESA (CARRO) DE CURACIONES"</f>
        <v>MESA (CARRO) DE CURACIONES</v>
      </c>
      <c r="C8889" s="6">
        <v>406000</v>
      </c>
      <c r="D8889" s="5" t="s">
        <v>161</v>
      </c>
      <c r="E8889" s="5" t="str">
        <f t="shared" si="459"/>
        <v>URGENCIAS PEDIATRIA-YENI ESPERANZA PENA GUERRERO</v>
      </c>
      <c r="F8889" s="5" t="str">
        <f>"Descripcion: MESA AUXILIAR RODANTE EN ACERO INOXIDABLE. ESTRUCTURA FABRICADA EN TUBERIA DE ACEROR, PALTO SUPERIOR E INFERIOR PARA TRANSPORTE DE MATERIALES E IMPLEMENTOS, PALTO SUPERIOR EN ACERO INOXIDABLE, BARANDILLAS DE SEGURIDAD EN ACERO INOXIDABLE.RODA"&amp; "CHINES  Estado: Bueno Placa anterior: 000031566 Material: METALICO, ACERO INOX, Color: BEIGE Referencia:  Observacion:  Placa padre: Tipo adquisicion: Entidad"</f>
        <v>Descripcion: MESA AUXILIAR RODANTE EN ACERO INOXIDABLE. ESTRUCTURA FABRICADA EN TUBERIA DE ACEROR, PALTO SUPERIOR E INFERIOR PARA TRANSPORTE DE MATERIALES E IMPLEMENTOS, PALTO SUPERIOR EN ACERO INOXIDABLE, BARANDILLAS DE SEGURIDAD EN ACERO INOXIDABLE.RODACHINES  Estado: Bueno Placa anterior: 000031566 Material: METALICO, ACERO INOX, Color: BEIGE Referencia:  Observacion:  Placa padre: Tipo adquisicion: Entidad</v>
      </c>
      <c r="G8889" s="5"/>
    </row>
    <row r="8890" spans="1:7" ht="58.5" customHeight="1" x14ac:dyDescent="0.25">
      <c r="A8890" s="5" t="str">
        <f>"H0007395"</f>
        <v>H0007395</v>
      </c>
      <c r="B8890" s="5" t="str">
        <f>"CARRO PORTA HISTORIAS CLINICAS"</f>
        <v>CARRO PORTA HISTORIAS CLINICAS</v>
      </c>
      <c r="C8890" s="6">
        <v>157325</v>
      </c>
      <c r="D8890" s="5"/>
      <c r="E8890" s="5" t="str">
        <f t="shared" si="459"/>
        <v>URGENCIAS PEDIATRIA-YENI ESPERANZA PENA GUERRERO</v>
      </c>
      <c r="F8890" s="5" t="str">
        <f>"Descripcion: CARRO PORTA HISTORIAS CLINICAS Estado: Bueno Placa anterior: 000028138 Material: METALICO Color: VERDE Referencia:  Observacion:  Placa padre: Tipo adquisicion: Entidad"</f>
        <v>Descripcion: CARRO PORTA HISTORIAS CLINICAS Estado: Bueno Placa anterior: 000028138 Material: METALICO Color: VERDE Referencia:  Observacion:  Placa padre: Tipo adquisicion: Entidad</v>
      </c>
      <c r="G8890" s="5"/>
    </row>
    <row r="8891" spans="1:7" ht="58.5" customHeight="1" x14ac:dyDescent="0.25">
      <c r="A8891" s="5" t="str">
        <f>"H0007396"</f>
        <v>H0007396</v>
      </c>
      <c r="B8891" s="5" t="str">
        <f>"BASCULA"</f>
        <v>BASCULA</v>
      </c>
      <c r="C8891" s="6">
        <v>800000</v>
      </c>
      <c r="D8891" s="5"/>
      <c r="E8891" s="5" t="str">
        <f t="shared" si="459"/>
        <v>URGENCIAS PEDIATRIA-YENI ESPERANZA PENA GUERRERO</v>
      </c>
      <c r="F8891" s="5" t="str">
        <f>"Descripcion: BASCULA DIGITAL 0.8ONZAS.0.02 ONZAS Estado: Bueno Placa anterior: 000031274 Material: PLASTICO Color: BEIGE Referencia:  Observacion:  Placa padre: Tipo adquisicion: Entidad"</f>
        <v>Descripcion: BASCULA DIGITAL 0.8ONZAS.0.02 ONZAS Estado: Bueno Placa anterior: 000031274 Material: PLASTICO Color: BEIGE Referencia:  Observacion:  Placa padre: Tipo adquisicion: Entidad</v>
      </c>
      <c r="G8891" s="5" t="str">
        <f>"SF-400"</f>
        <v>SF-400</v>
      </c>
    </row>
    <row r="8892" spans="1:7" ht="58.5" customHeight="1" x14ac:dyDescent="0.25">
      <c r="A8892" s="5" t="str">
        <f>"H0007397"</f>
        <v>H0007397</v>
      </c>
      <c r="B8892" s="5" t="str">
        <f>"CUNA PEDIATRICA CON BARANDA"</f>
        <v>CUNA PEDIATRICA CON BARANDA</v>
      </c>
      <c r="C8892" s="6">
        <v>2668000</v>
      </c>
      <c r="D8892" s="5" t="s">
        <v>161</v>
      </c>
      <c r="E8892" s="5" t="str">
        <f t="shared" si="459"/>
        <v>URGENCIAS PEDIATRIA-YENI ESPERANZA PENA GUERRERO</v>
      </c>
      <c r="F8892"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000031577 Material: METALICO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000031577 Material: METALICO Color: BEIGE  Referencia:  Observacion:  Placa padre: Tipo adquisicion: Entidad</v>
      </c>
      <c r="G8892" s="5"/>
    </row>
    <row r="8893" spans="1:7" ht="58.5" customHeight="1" x14ac:dyDescent="0.25">
      <c r="A8893" s="5" t="str">
        <f>"H0007399"</f>
        <v>H0007399</v>
      </c>
      <c r="B8893" s="5" t="str">
        <f>"ATRIL PORTASUERO MOVIL"</f>
        <v>ATRIL PORTASUERO MOVIL</v>
      </c>
      <c r="C8893" s="6">
        <v>145000</v>
      </c>
      <c r="D8893" s="5" t="s">
        <v>166</v>
      </c>
      <c r="E8893" s="5" t="str">
        <f t="shared" si="459"/>
        <v>URGENCIAS PEDIATRIA-YENI ESPERANZA PENA GUERRERO</v>
      </c>
      <c r="F8893" s="5" t="str">
        <f>"Descripcion: ATRIL PORTASUERO  CON RODACHINES Estado: Bueno Placa anterior: 000031456 Material: METALICO Color: CROMADO Referencia:  Observacion:  Placa padre: Tipo adquisicion: Entidad"</f>
        <v>Descripcion: ATRIL PORTASUERO  CON RODACHINES Estado: Bueno Placa anterior: 000031456 Material: METALICO Color: CROMADO Referencia:  Observacion:  Placa padre: Tipo adquisicion: Entidad</v>
      </c>
      <c r="G8893" s="5"/>
    </row>
    <row r="8894" spans="1:7" ht="58.5" customHeight="1" x14ac:dyDescent="0.25">
      <c r="A8894" s="5" t="str">
        <f>"H0007400"</f>
        <v>H0007400</v>
      </c>
      <c r="B8894" s="5" t="str">
        <f>"CUNA PEDIATRICA CON BARANDA"</f>
        <v>CUNA PEDIATRICA CON BARANDA</v>
      </c>
      <c r="C8894" s="6">
        <v>2668000</v>
      </c>
      <c r="D8894" s="5" t="s">
        <v>161</v>
      </c>
      <c r="E8894" s="5" t="str">
        <f t="shared" si="459"/>
        <v>URGENCIAS PEDIATRIA-YENI ESPERANZA PENA GUERRERO</v>
      </c>
      <c r="F8894"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000031570 Material: METALICO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000031570 Material: METALICO Color: BEIGE Referencia:  Observacion:  Placa padre: Tipo adquisicion: Entidad</v>
      </c>
      <c r="G8894" s="5" t="str">
        <f>"131-45/01"</f>
        <v>131-45/01</v>
      </c>
    </row>
    <row r="8895" spans="1:7" ht="58.5" customHeight="1" x14ac:dyDescent="0.25">
      <c r="A8895" s="5" t="str">
        <f>"H0007402"</f>
        <v>H0007402</v>
      </c>
      <c r="B8895" s="5" t="str">
        <f>"SILLA INTERLOCUTORA (FIJA) SIN BRAZOS"</f>
        <v>SILLA INTERLOCUTORA (FIJA) SIN BRAZOS</v>
      </c>
      <c r="C8895" s="6">
        <v>185600</v>
      </c>
      <c r="D8895" s="5" t="s">
        <v>450</v>
      </c>
      <c r="E8895" s="5" t="str">
        <f t="shared" si="459"/>
        <v>URGENCIAS PEDIATRIA-YENI ESPERANZA PENA GUERRERO</v>
      </c>
      <c r="F8895" s="5" t="str">
        <f>"Descripcion: SILLA INTERLOCUTORA FIJA SIN BRAZOS CON TAPIZADO EN PAÑO Estado: Regular Placa anterior: 000031523 Material: METALICO, TAPIZADO Color: NEGRO Referencia:  Observacion:  Placa padre: Tipo adquisicion: Entidad"</f>
        <v>Descripcion: SILLA INTERLOCUTORA FIJA SIN BRAZOS CON TAPIZADO EN PAÑO Estado: Regular Placa anterior: 000031523 Material: METALICO, TAPIZADO Color: NEGRO Referencia:  Observacion:  Placa padre: Tipo adquisicion: Entidad</v>
      </c>
      <c r="G8895" s="5"/>
    </row>
    <row r="8896" spans="1:7" ht="58.5" customHeight="1" x14ac:dyDescent="0.25">
      <c r="A8896" s="5" t="str">
        <f>"H0007403"</f>
        <v>H0007403</v>
      </c>
      <c r="B8896" s="5" t="str">
        <f>"ESCALERILLA DE 2 PASOS"</f>
        <v>ESCALERILLA DE 2 PASOS</v>
      </c>
      <c r="C8896" s="6">
        <v>100000</v>
      </c>
      <c r="D8896" s="5" t="s">
        <v>49</v>
      </c>
      <c r="E8896" s="5" t="str">
        <f t="shared" si="459"/>
        <v>URGENCIAS PEDIATRIA-YENI ESPERANZA PENA GUERRERO</v>
      </c>
      <c r="F8896" s="5" t="str">
        <f>"Descripcion: ESCALERILLA DE DOS PASO EN TUBO REDONDO Estado: Bueno Placa anterior: 000029957 Material: METALICO, PASOS EN MADERA Color: BLANCO Referencia:  Observacion:  Placa padre: Tipo adquisicion: Entidad"</f>
        <v>Descripcion: ESCALERILLA DE DOS PASO EN TUBO REDONDO Estado: Bueno Placa anterior: 000029957 Material: METALICO, PASOS EN MADERA Color: BLANCO Referencia:  Observacion:  Placa padre: Tipo adquisicion: Entidad</v>
      </c>
      <c r="G8896" s="5"/>
    </row>
    <row r="8897" spans="1:7" ht="58.5" customHeight="1" x14ac:dyDescent="0.25">
      <c r="A8897" s="5" t="str">
        <f>"H0007404"</f>
        <v>H0007404</v>
      </c>
      <c r="B8897" s="5" t="str">
        <f>"CUNA PEDIATRICA CON BARANDA"</f>
        <v>CUNA PEDIATRICA CON BARANDA</v>
      </c>
      <c r="C8897" s="6">
        <v>2668000</v>
      </c>
      <c r="D8897" s="5" t="s">
        <v>161</v>
      </c>
      <c r="E8897" s="5" t="str">
        <f t="shared" si="459"/>
        <v>URGENCIAS PEDIATRIA-YENI ESPERANZA PENA GUERRERO</v>
      </c>
      <c r="F8897"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000031583 Material: METALICO Color: BEIGEQ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000031583 Material: METALICO Color: BEIGEQ Referencia:  Observacion:  Placa padre: Tipo adquisicion: Entidad</v>
      </c>
      <c r="G8897" s="5" t="str">
        <f>"131-45/01"</f>
        <v>131-45/01</v>
      </c>
    </row>
    <row r="8898" spans="1:7" ht="58.5" customHeight="1" x14ac:dyDescent="0.25">
      <c r="A8898" s="5" t="str">
        <f>"H0007406"</f>
        <v>H0007406</v>
      </c>
      <c r="B8898" s="5" t="str">
        <f>"CARRO TRANSPORTE DE MEDICAMENTOS"</f>
        <v>CARRO TRANSPORTE DE MEDICAMENTOS</v>
      </c>
      <c r="C8898" s="6">
        <v>870000</v>
      </c>
      <c r="D8898" s="5" t="s">
        <v>161</v>
      </c>
      <c r="E8898" s="5" t="str">
        <f t="shared" si="459"/>
        <v>URGENCIAS PEDIATRIA-YENI ESPERANZA PENA GUERRERO</v>
      </c>
      <c r="F8898"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000031559 Material: METALICO Color: BEIGE Referencia:  Observacion: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000031559 Material: METALICO Color: BEIGE Referencia:  Observacion:  Placa padre: Tipo adquisicion: Entidad</v>
      </c>
      <c r="G8898" s="5" t="str">
        <f>"182-30"</f>
        <v>182-30</v>
      </c>
    </row>
    <row r="8899" spans="1:7" ht="58.5" customHeight="1" x14ac:dyDescent="0.25">
      <c r="A8899" s="5" t="str">
        <f>"H0007407"</f>
        <v>H0007407</v>
      </c>
      <c r="B8899" s="5" t="str">
        <f>"CARRO TRANSPORTE DE MEDICAMENTOS"</f>
        <v>CARRO TRANSPORTE DE MEDICAMENTOS</v>
      </c>
      <c r="C8899" s="6">
        <v>870000</v>
      </c>
      <c r="D8899" s="5" t="s">
        <v>161</v>
      </c>
      <c r="E8899" s="5" t="str">
        <f t="shared" ref="E8899:E8962" si="463">"URGENCIAS PEDIATRIA-YENI ESPERANZA PENA GUERRERO"</f>
        <v>URGENCIAS PEDIATRIA-YENI ESPERANZA PENA GUERRERO</v>
      </c>
      <c r="F8899" s="5" t="str">
        <f>"Descripcion: CARROS DE MEDICAMENTOS Estructura fabricada en tuberia redonda con dos gavetas en la parte superior con haladeras de acero unixodable, superficie con plato en acero inxidable, entrepaño inferior en lamina de acero con canastilla cromada. Gave"&amp; "tas con siet Estado: Bueno Placa anterior: 000031561 Material: METALICO Color: BEIGE Referencia:  Observacion:  Placa padre: Tipo adquisicion: Entidad"</f>
        <v>Descripcion: CARROS DE MEDICAMENTOS Estructura fabricada en tuberia redonda con dos gavetas en la parte superior con haladeras de acero unixodable, superficie con plato en acero inxidable, entrepaño inferior en lamina de acero con canastilla cromada. Gavetas con siet Estado: Bueno Placa anterior: 000031561 Material: METALICO Color: BEIGE Referencia:  Observacion:  Placa padre: Tipo adquisicion: Entidad</v>
      </c>
      <c r="G8899" s="5" t="str">
        <f>"182-30"</f>
        <v>182-30</v>
      </c>
    </row>
    <row r="8900" spans="1:7" ht="58.5" customHeight="1" x14ac:dyDescent="0.25">
      <c r="A8900" s="5" t="str">
        <f>"H0007408"</f>
        <v>H0007408</v>
      </c>
      <c r="B8900" s="5" t="str">
        <f>"BANDEJA DE ACERO INOXIDABLE PEQUEÑA"</f>
        <v>BANDEJA DE ACERO INOXIDABLE PEQUEÑA</v>
      </c>
      <c r="C8900" s="6">
        <v>20226.259999999998</v>
      </c>
      <c r="D8900" s="5"/>
      <c r="E8900" s="5" t="str">
        <f t="shared" si="463"/>
        <v>URGENCIAS PEDIATRIA-YENI ESPERANZA PENA GUERRERO</v>
      </c>
      <c r="F8900" s="5" t="str">
        <f>"Descripcion: BANDEJA EN ACERO INOXIDABLE Estado: Bueno Placa anterior: 000018419 Material: ACERO INOXIDABLE Color:  Referencia:  Observacion:  Placa padre: Tipo adquisicion: Entidad"</f>
        <v>Descripcion: BANDEJA EN ACERO INOXIDABLE Estado: Bueno Placa anterior: 000018419 Material: ACERO INOXIDABLE Color:  Referencia:  Observacion:  Placa padre: Tipo adquisicion: Entidad</v>
      </c>
      <c r="G8900" s="5"/>
    </row>
    <row r="8901" spans="1:7" ht="58.5" customHeight="1" x14ac:dyDescent="0.25">
      <c r="A8901" s="5" t="str">
        <f>"H0007409"</f>
        <v>H0007409</v>
      </c>
      <c r="B8901" s="5" t="str">
        <f>"CUBETA DE ACERO INOXIDABLE CON TAPA PEQUEÑA"</f>
        <v>CUBETA DE ACERO INOXIDABLE CON TAPA PEQUEÑA</v>
      </c>
      <c r="C8901" s="6">
        <v>29125.48</v>
      </c>
      <c r="D8901" s="5"/>
      <c r="E8901" s="5" t="str">
        <f t="shared" si="463"/>
        <v>URGENCIAS PEDIATRIA-YENI ESPERANZA PENA GUERRERO</v>
      </c>
      <c r="F8901" s="5" t="str">
        <f>"Descripcion: CUBETA DE ACERO INOXIDABLE CON TAPA PEQUEÑA Estado: Regular Placa anterior: 000018418 Material: ACERO INOXIDABLE Color:  Referencia:  Observacion:  Placa padre: Tipo adquisicion: Entidad"</f>
        <v>Descripcion: CUBETA DE ACERO INOXIDABLE CON TAPA PEQUEÑA Estado: Regular Placa anterior: 000018418 Material: ACERO INOXIDABLE Color:  Referencia:  Observacion:  Placa padre: Tipo adquisicion: Entidad</v>
      </c>
      <c r="G8901" s="5"/>
    </row>
    <row r="8902" spans="1:7" ht="58.5" customHeight="1" x14ac:dyDescent="0.25">
      <c r="A8902" s="5" t="str">
        <f>"H0007410"</f>
        <v>H0007410</v>
      </c>
      <c r="B8902" s="5" t="str">
        <f>"BANDEJA DE ACERO INOXIDABLE PEQUEÑA"</f>
        <v>BANDEJA DE ACERO INOXIDABLE PEQUEÑA</v>
      </c>
      <c r="C8902" s="6">
        <v>20226.259999999998</v>
      </c>
      <c r="D8902" s="5"/>
      <c r="E8902" s="5" t="str">
        <f t="shared" si="463"/>
        <v>URGENCIAS PEDIATRIA-YENI ESPERANZA PENA GUERRERO</v>
      </c>
      <c r="F8902" s="5" t="str">
        <f>"Descripcion: BANDEJA EN ACERO INOXIDABLE Estado: Bueno Placa anterior: 000018582 Material: ACERO INOXIDABLE Color:  Referencia:  Observacion:  Placa padre: Tipo adquisicion: Entidad"</f>
        <v>Descripcion: BANDEJA EN ACERO INOXIDABLE Estado: Bueno Placa anterior: 000018582 Material: ACERO INOXIDABLE Color:  Referencia:  Observacion:  Placa padre: Tipo adquisicion: Entidad</v>
      </c>
      <c r="G8902" s="5"/>
    </row>
    <row r="8903" spans="1:7" ht="58.5" customHeight="1" x14ac:dyDescent="0.25">
      <c r="A8903" s="5" t="str">
        <f>"H0007411"</f>
        <v>H0007411</v>
      </c>
      <c r="B8903" s="5" t="str">
        <f>"PATO (COPROLOGICO) MUJER"</f>
        <v>PATO (COPROLOGICO) MUJER</v>
      </c>
      <c r="C8903" s="6">
        <v>47824</v>
      </c>
      <c r="D8903" s="5"/>
      <c r="E8903" s="5" t="str">
        <f t="shared" si="463"/>
        <v>URGENCIAS PEDIATRIA-YENI ESPERANZA PENA GUERRERO</v>
      </c>
      <c r="F8903" s="5" t="str">
        <f>"Descripcion: PATO COPROLOGICO PEDIATRICO Estado: Bueno Placa anterior: 000019972 Material: ACERO INOXIDABLE Color:  Referencia:  Observacion:  Placa padre: Tipo adquisicion: Entidad"</f>
        <v>Descripcion: PATO COPROLOGICO PEDIATRICO Estado: Bueno Placa anterior: 000019972 Material: ACERO INOXIDABLE Color:  Referencia:  Observacion:  Placa padre: Tipo adquisicion: Entidad</v>
      </c>
      <c r="G8903" s="5"/>
    </row>
    <row r="8904" spans="1:7" ht="58.5" customHeight="1" x14ac:dyDescent="0.25">
      <c r="A8904" s="5" t="str">
        <f>"H0007413"</f>
        <v>H0007413</v>
      </c>
      <c r="B8904" s="5" t="str">
        <f>"CARRO PORTA HISTORIAS CLINICAS"</f>
        <v>CARRO PORTA HISTORIAS CLINICAS</v>
      </c>
      <c r="C8904" s="6">
        <v>2876800</v>
      </c>
      <c r="D8904" s="5" t="s">
        <v>161</v>
      </c>
      <c r="E8904" s="5" t="str">
        <f t="shared" si="463"/>
        <v>URGENCIAS PEDIATRIA-YENI ESPERANZA PENA GUERRERO</v>
      </c>
      <c r="F8904" s="5" t="str">
        <f>"Descripcion: CARRO PORTAHISTORIAS Estructura fabricada en tuberia cuadrada.Tapa superior plegable metalica, con espacio interior para guardar placas de rayosx.Soportes horizontales en lamina para guasrdar las portahistorias de 32 cm.Manilar metalico para "&amp; "ser conducid Estado: Bueno Placa anterior: 000031547 Material: METALICO Color: BEIGE Referencia:  Observacion:  Placa padre: Tipo adquisicion: Entidad"</f>
        <v>Descripcion: CARRO PORTAHISTORIAS Estructura fabricada en tuberia cuadrada.Tapa superior plegable metalica, con espacio interior para guardar placas de rayosx.Soportes horizontales en lamina para guasrdar las portahistorias de 32 cm.Manilar metalico para ser conducid Estado: Bueno Placa anterior: 000031547 Material: METALICO Color: BEIGE Referencia:  Observacion:  Placa padre: Tipo adquisicion: Entidad</v>
      </c>
      <c r="G8904" s="5" t="str">
        <f>"101-18"</f>
        <v>101-18</v>
      </c>
    </row>
    <row r="8905" spans="1:7" ht="58.5" customHeight="1" x14ac:dyDescent="0.25">
      <c r="A8905" s="5" t="str">
        <f>"H0007414"</f>
        <v>H0007414</v>
      </c>
      <c r="B8905" s="5" t="str">
        <f t="shared" ref="B8905:B8924" si="464">"TABLA DE ALUMINIO HISTORIAS CLINICAS (PORTAHISTORIAS)"</f>
        <v>TABLA DE ALUMINIO HISTORIAS CLINICAS (PORTAHISTORIAS)</v>
      </c>
      <c r="C8905" s="6">
        <v>24746.639999999999</v>
      </c>
      <c r="D8905" s="5"/>
      <c r="E8905" s="5" t="str">
        <f t="shared" si="463"/>
        <v>URGENCIAS PEDIATRIA-YENI ESPERANZA PENA GUERRERO</v>
      </c>
      <c r="F8905" s="5" t="str">
        <f>"Descripcion: TABLA DE ALUMINIO HISTORIAS CLINICAS (PORTAHISTORIAS) Estado: Bueno Placa anterior: 000018563 Material: METALICO Color: GRIS Referencia:  Observacion:  Placa padre: Tipo adquisicion: Entidad"</f>
        <v>Descripcion: TABLA DE ALUMINIO HISTORIAS CLINICAS (PORTAHISTORIAS) Estado: Bueno Placa anterior: 000018563 Material: METALICO Color: GRIS Referencia:  Observacion:  Placa padre: Tipo adquisicion: Entidad</v>
      </c>
      <c r="G8905" s="5"/>
    </row>
    <row r="8906" spans="1:7" ht="58.5" customHeight="1" x14ac:dyDescent="0.25">
      <c r="A8906" s="5" t="str">
        <f>"H0007415"</f>
        <v>H0007415</v>
      </c>
      <c r="B8906" s="5" t="str">
        <f t="shared" si="464"/>
        <v>TABLA DE ALUMINIO HISTORIAS CLINICAS (PORTAHISTORIAS)</v>
      </c>
      <c r="C8906" s="6">
        <v>24746.639999999999</v>
      </c>
      <c r="D8906" s="5"/>
      <c r="E8906" s="5" t="str">
        <f t="shared" si="463"/>
        <v>URGENCIAS PEDIATRIA-YENI ESPERANZA PENA GUERRERO</v>
      </c>
      <c r="F8906" s="5" t="str">
        <f>"Descripcion: TABLA DE ALUMINIO HISTORIAS CLINICAS (PORTAHISTORIAS) Estado: Bueno Placa anterior: 000018564 Material: METALICO Color: GRIS Referencia:  Observacion:  Placa padre: Tipo adquisicion: Entidad"</f>
        <v>Descripcion: TABLA DE ALUMINIO HISTORIAS CLINICAS (PORTAHISTORIAS) Estado: Bueno Placa anterior: 000018564 Material: METALICO Color: GRIS Referencia:  Observacion:  Placa padre: Tipo adquisicion: Entidad</v>
      </c>
      <c r="G8906" s="5"/>
    </row>
    <row r="8907" spans="1:7" ht="58.5" customHeight="1" x14ac:dyDescent="0.25">
      <c r="A8907" s="5" t="str">
        <f>"H0007416"</f>
        <v>H0007416</v>
      </c>
      <c r="B8907" s="5" t="str">
        <f t="shared" si="464"/>
        <v>TABLA DE ALUMINIO HISTORIAS CLINICAS (PORTAHISTORIAS)</v>
      </c>
      <c r="C8907" s="6">
        <v>24746.639999999999</v>
      </c>
      <c r="D8907" s="5"/>
      <c r="E8907" s="5" t="str">
        <f t="shared" si="463"/>
        <v>URGENCIAS PEDIATRIA-YENI ESPERANZA PENA GUERRERO</v>
      </c>
      <c r="F8907" s="5" t="str">
        <f>"Descripcion: TABLA DE ALUMINIO HISTORIAS CLINICAS (PORTAHISTORIAS) Estado: Bueno Placa anterior: 000018566 Material: METALICO Color: GRIS Referencia:  Observacion:  Placa padre: Tipo adquisicion: Entidad"</f>
        <v>Descripcion: TABLA DE ALUMINIO HISTORIAS CLINICAS (PORTAHISTORIAS) Estado: Bueno Placa anterior: 000018566 Material: METALICO Color: GRIS Referencia:  Observacion:  Placa padre: Tipo adquisicion: Entidad</v>
      </c>
      <c r="G8907" s="5"/>
    </row>
    <row r="8908" spans="1:7" ht="58.5" customHeight="1" x14ac:dyDescent="0.25">
      <c r="A8908" s="5" t="str">
        <f>"H0007417"</f>
        <v>H0007417</v>
      </c>
      <c r="B8908" s="5" t="str">
        <f t="shared" si="464"/>
        <v>TABLA DE ALUMINIO HISTORIAS CLINICAS (PORTAHISTORIAS)</v>
      </c>
      <c r="C8908" s="6">
        <v>24746.639999999999</v>
      </c>
      <c r="D8908" s="5"/>
      <c r="E8908" s="5" t="str">
        <f t="shared" si="463"/>
        <v>URGENCIAS PEDIATRIA-YENI ESPERANZA PENA GUERRERO</v>
      </c>
      <c r="F8908" s="5" t="str">
        <f>"Descripcion: TABLA DE ALUMINIO HISTORIAS CLINICAS (PORTAHISTORIAS) Estado: Bueno Placa anterior: 000018567 Material: METALICO Color: GRIS Referencia:  Observacion:  Placa padre: Tipo adquisicion: Entidad"</f>
        <v>Descripcion: TABLA DE ALUMINIO HISTORIAS CLINICAS (PORTAHISTORIAS) Estado: Bueno Placa anterior: 000018567 Material: METALICO Color: GRIS Referencia:  Observacion:  Placa padre: Tipo adquisicion: Entidad</v>
      </c>
      <c r="G8908" s="5"/>
    </row>
    <row r="8909" spans="1:7" ht="58.5" customHeight="1" x14ac:dyDescent="0.25">
      <c r="A8909" s="5" t="str">
        <f>"H0007418"</f>
        <v>H0007418</v>
      </c>
      <c r="B8909" s="5" t="str">
        <f t="shared" si="464"/>
        <v>TABLA DE ALUMINIO HISTORIAS CLINICAS (PORTAHISTORIAS)</v>
      </c>
      <c r="C8909" s="6">
        <v>24746.639999999999</v>
      </c>
      <c r="D8909" s="5"/>
      <c r="E8909" s="5" t="str">
        <f t="shared" si="463"/>
        <v>URGENCIAS PEDIATRIA-YENI ESPERANZA PENA GUERRERO</v>
      </c>
      <c r="F8909" s="5" t="str">
        <f>"Descripcion: TABLA DE ALUMINIO HISTORIAS CLINICAS (PORTAHISTORIAS) Estado: Bueno Placa anterior: 000018568 Material: METALICO Color: GRIS Referencia:  Observacion:  Placa padre: Tipo adquisicion: Entidad"</f>
        <v>Descripcion: TABLA DE ALUMINIO HISTORIAS CLINICAS (PORTAHISTORIAS) Estado: Bueno Placa anterior: 000018568 Material: METALICO Color: GRIS Referencia:  Observacion:  Placa padre: Tipo adquisicion: Entidad</v>
      </c>
      <c r="G8909" s="5"/>
    </row>
    <row r="8910" spans="1:7" ht="58.5" customHeight="1" x14ac:dyDescent="0.25">
      <c r="A8910" s="5" t="str">
        <f>"H0007419"</f>
        <v>H0007419</v>
      </c>
      <c r="B8910" s="5" t="str">
        <f t="shared" si="464"/>
        <v>TABLA DE ALUMINIO HISTORIAS CLINICAS (PORTAHISTORIAS)</v>
      </c>
      <c r="C8910" s="6">
        <v>24746.639999999999</v>
      </c>
      <c r="D8910" s="5"/>
      <c r="E8910" s="5" t="str">
        <f t="shared" si="463"/>
        <v>URGENCIAS PEDIATRIA-YENI ESPERANZA PENA GUERRERO</v>
      </c>
      <c r="F8910" s="5" t="str">
        <f>"Descripcion: TABLA DE ALUMINIO HISTORIAS CLINICAS (PORTAHISTORIAS) Estado: Bueno Placa anterior: 000018569 Material: METALICO Color: GRIS Referencia:  Observacion:  Placa padre: Tipo adquisicion: Entidad"</f>
        <v>Descripcion: TABLA DE ALUMINIO HISTORIAS CLINICAS (PORTAHISTORIAS) Estado: Bueno Placa anterior: 000018569 Material: METALICO Color: GRIS Referencia:  Observacion:  Placa padre: Tipo adquisicion: Entidad</v>
      </c>
      <c r="G8910" s="5"/>
    </row>
    <row r="8911" spans="1:7" ht="58.5" customHeight="1" x14ac:dyDescent="0.25">
      <c r="A8911" s="5" t="str">
        <f>"H0007420"</f>
        <v>H0007420</v>
      </c>
      <c r="B8911" s="5" t="str">
        <f t="shared" si="464"/>
        <v>TABLA DE ALUMINIO HISTORIAS CLINICAS (PORTAHISTORIAS)</v>
      </c>
      <c r="C8911" s="6">
        <v>24746.639999999999</v>
      </c>
      <c r="D8911" s="5"/>
      <c r="E8911" s="5" t="str">
        <f t="shared" si="463"/>
        <v>URGENCIAS PEDIATRIA-YENI ESPERANZA PENA GUERRERO</v>
      </c>
      <c r="F8911" s="5" t="str">
        <f>"Descripcion: TABLA DE ALUMINIO HISTORIAS CLINICAS (PORTAHISTORIAS) Estado: Bueno Placa anterior: 000018590 Material: METALICO Color: GRIS Referencia:  Observacion:  Placa padre: Tipo adquisicion: Entidad"</f>
        <v>Descripcion: TABLA DE ALUMINIO HISTORIAS CLINICAS (PORTAHISTORIAS) Estado: Bueno Placa anterior: 000018590 Material: METALICO Color: GRIS Referencia:  Observacion:  Placa padre: Tipo adquisicion: Entidad</v>
      </c>
      <c r="G8911" s="5"/>
    </row>
    <row r="8912" spans="1:7" ht="58.5" customHeight="1" x14ac:dyDescent="0.25">
      <c r="A8912" s="5" t="str">
        <f>"H0007421"</f>
        <v>H0007421</v>
      </c>
      <c r="B8912" s="5" t="str">
        <f t="shared" si="464"/>
        <v>TABLA DE ALUMINIO HISTORIAS CLINICAS (PORTAHISTORIAS)</v>
      </c>
      <c r="C8912" s="6">
        <v>24746.639999999999</v>
      </c>
      <c r="D8912" s="5"/>
      <c r="E8912" s="5" t="str">
        <f t="shared" si="463"/>
        <v>URGENCIAS PEDIATRIA-YENI ESPERANZA PENA GUERRERO</v>
      </c>
      <c r="F8912" s="5" t="str">
        <f>"Descripcion: TABLA DE ALUMINIO HISTORIAS CLINICAS (PORTAHISTORIAS) Estado: Bueno Placa anterior: 000018591 Material: METALICO Color: GRIS Referencia:  Observacion:  Placa padre: Tipo adquisicion: Entidad"</f>
        <v>Descripcion: TABLA DE ALUMINIO HISTORIAS CLINICAS (PORTAHISTORIAS) Estado: Bueno Placa anterior: 000018591 Material: METALICO Color: GRIS Referencia:  Observacion:  Placa padre: Tipo adquisicion: Entidad</v>
      </c>
      <c r="G8912" s="5"/>
    </row>
    <row r="8913" spans="1:7" ht="58.5" customHeight="1" x14ac:dyDescent="0.25">
      <c r="A8913" s="5" t="str">
        <f>"H0007422"</f>
        <v>H0007422</v>
      </c>
      <c r="B8913" s="5" t="str">
        <f t="shared" si="464"/>
        <v>TABLA DE ALUMINIO HISTORIAS CLINICAS (PORTAHISTORIAS)</v>
      </c>
      <c r="C8913" s="6">
        <v>24746.639999999999</v>
      </c>
      <c r="D8913" s="5"/>
      <c r="E8913" s="5" t="str">
        <f t="shared" si="463"/>
        <v>URGENCIAS PEDIATRIA-YENI ESPERANZA PENA GUERRERO</v>
      </c>
      <c r="F8913" s="5" t="str">
        <f>"Descripcion: TABLA DE ALUMINIO HISTORIAS CLINICAS (PORTAHISTORIAS) Estado: Bueno Placa anterior: 000018592 Material: METALICO Color: GRIS Referencia:  Observacion:  Placa padre: Tipo adquisicion: Entidad"</f>
        <v>Descripcion: TABLA DE ALUMINIO HISTORIAS CLINICAS (PORTAHISTORIAS) Estado: Bueno Placa anterior: 000018592 Material: METALICO Color: GRIS Referencia:  Observacion:  Placa padre: Tipo adquisicion: Entidad</v>
      </c>
      <c r="G8913" s="5"/>
    </row>
    <row r="8914" spans="1:7" ht="58.5" customHeight="1" x14ac:dyDescent="0.25">
      <c r="A8914" s="5" t="str">
        <f>"H0007423"</f>
        <v>H0007423</v>
      </c>
      <c r="B8914" s="5" t="str">
        <f t="shared" si="464"/>
        <v>TABLA DE ALUMINIO HISTORIAS CLINICAS (PORTAHISTORIAS)</v>
      </c>
      <c r="C8914" s="6">
        <v>24746.639999999999</v>
      </c>
      <c r="D8914" s="5"/>
      <c r="E8914" s="5" t="str">
        <f t="shared" si="463"/>
        <v>URGENCIAS PEDIATRIA-YENI ESPERANZA PENA GUERRERO</v>
      </c>
      <c r="F8914" s="5" t="str">
        <f>"Descripcion: TABLA DE ALUMINIO HISTORIAS CLINICAS (PORTAHISTORIAS) Estado: Bueno Placa anterior: 000018593 Material: METALICO Color: GRIS Referencia:  Observacion:  Placa padre: Tipo adquisicion: Entidad"</f>
        <v>Descripcion: TABLA DE ALUMINIO HISTORIAS CLINICAS (PORTAHISTORIAS) Estado: Bueno Placa anterior: 000018593 Material: METALICO Color: GRIS Referencia:  Observacion:  Placa padre: Tipo adquisicion: Entidad</v>
      </c>
      <c r="G8914" s="5"/>
    </row>
    <row r="8915" spans="1:7" ht="58.5" customHeight="1" x14ac:dyDescent="0.25">
      <c r="A8915" s="5" t="str">
        <f>"H0007424"</f>
        <v>H0007424</v>
      </c>
      <c r="B8915" s="5" t="str">
        <f t="shared" si="464"/>
        <v>TABLA DE ALUMINIO HISTORIAS CLINICAS (PORTAHISTORIAS)</v>
      </c>
      <c r="C8915" s="6">
        <v>24746.639999999999</v>
      </c>
      <c r="D8915" s="5"/>
      <c r="E8915" s="5" t="str">
        <f t="shared" si="463"/>
        <v>URGENCIAS PEDIATRIA-YENI ESPERANZA PENA GUERRERO</v>
      </c>
      <c r="F8915" s="5" t="str">
        <f>"Descripcion: TABLA DE ALUMINIO HISTORIAS CLINICAS (PORTAHISTORIAS) Estado: Bueno Placa anterior: 000018594 Material: METALICO Color: GRIS Referencia:  Observacion:  Placa padre: Tipo adquisicion: Entidad"</f>
        <v>Descripcion: TABLA DE ALUMINIO HISTORIAS CLINICAS (PORTAHISTORIAS) Estado: Bueno Placa anterior: 000018594 Material: METALICO Color: GRIS Referencia:  Observacion:  Placa padre: Tipo adquisicion: Entidad</v>
      </c>
      <c r="G8915" s="5"/>
    </row>
    <row r="8916" spans="1:7" ht="58.5" customHeight="1" x14ac:dyDescent="0.25">
      <c r="A8916" s="5" t="str">
        <f>"H0007425"</f>
        <v>H0007425</v>
      </c>
      <c r="B8916" s="5" t="str">
        <f t="shared" si="464"/>
        <v>TABLA DE ALUMINIO HISTORIAS CLINICAS (PORTAHISTORIAS)</v>
      </c>
      <c r="C8916" s="6">
        <v>24746.639999999999</v>
      </c>
      <c r="D8916" s="5"/>
      <c r="E8916" s="5" t="str">
        <f t="shared" si="463"/>
        <v>URGENCIAS PEDIATRIA-YENI ESPERANZA PENA GUERRERO</v>
      </c>
      <c r="F8916" s="5" t="str">
        <f>"Descripcion: TABLA DE ALUMINIO HISTORIAS CLINICAS (PORTAHISTORIAS) Estado: Bueno Placa anterior: 000018596 Material: METALICO Color: GRIS Referencia:  Observacion:  Placa padre: Tipo adquisicion: Entidad"</f>
        <v>Descripcion: TABLA DE ALUMINIO HISTORIAS CLINICAS (PORTAHISTORIAS) Estado: Bueno Placa anterior: 000018596 Material: METALICO Color: GRIS Referencia:  Observacion:  Placa padre: Tipo adquisicion: Entidad</v>
      </c>
      <c r="G8916" s="5"/>
    </row>
    <row r="8917" spans="1:7" ht="58.5" customHeight="1" x14ac:dyDescent="0.25">
      <c r="A8917" s="5" t="str">
        <f>"H0007426"</f>
        <v>H0007426</v>
      </c>
      <c r="B8917" s="5" t="str">
        <f t="shared" si="464"/>
        <v>TABLA DE ALUMINIO HISTORIAS CLINICAS (PORTAHISTORIAS)</v>
      </c>
      <c r="C8917" s="6">
        <v>24746.639999999999</v>
      </c>
      <c r="D8917" s="5"/>
      <c r="E8917" s="5" t="str">
        <f t="shared" si="463"/>
        <v>URGENCIAS PEDIATRIA-YENI ESPERANZA PENA GUERRERO</v>
      </c>
      <c r="F8917" s="5" t="str">
        <f>"Descripcion: TABLA DE ALUMINIO HISTORIAS CLINICAS (PORTAHISTORIAS) Estado: Bueno Placa anterior: 000018597 Material: METALICO Color: GRIS Referencia:  Observacion:  Placa padre: Tipo adquisicion: Entidad"</f>
        <v>Descripcion: TABLA DE ALUMINIO HISTORIAS CLINICAS (PORTAHISTORIAS) Estado: Bueno Placa anterior: 000018597 Material: METALICO Color: GRIS Referencia:  Observacion:  Placa padre: Tipo adquisicion: Entidad</v>
      </c>
      <c r="G8917" s="5"/>
    </row>
    <row r="8918" spans="1:7" ht="58.5" customHeight="1" x14ac:dyDescent="0.25">
      <c r="A8918" s="5" t="str">
        <f>"H0007427"</f>
        <v>H0007427</v>
      </c>
      <c r="B8918" s="5" t="str">
        <f t="shared" si="464"/>
        <v>TABLA DE ALUMINIO HISTORIAS CLINICAS (PORTAHISTORIAS)</v>
      </c>
      <c r="C8918" s="6">
        <v>24746.639999999999</v>
      </c>
      <c r="D8918" s="5"/>
      <c r="E8918" s="5" t="str">
        <f t="shared" si="463"/>
        <v>URGENCIAS PEDIATRIA-YENI ESPERANZA PENA GUERRERO</v>
      </c>
      <c r="F8918" s="5" t="str">
        <f>"Descripcion: TABLA DE ALUMINIO HISTORIAS CLINICAS (PORTAHISTORIAS) Estado: Bueno Placa anterior: 000018598 Material: METALICO Color: GRIS Referencia:  Observacion:  Placa padre: Tipo adquisicion: Entidad"</f>
        <v>Descripcion: TABLA DE ALUMINIO HISTORIAS CLINICAS (PORTAHISTORIAS) Estado: Bueno Placa anterior: 000018598 Material: METALICO Color: GRIS Referencia:  Observacion:  Placa padre: Tipo adquisicion: Entidad</v>
      </c>
      <c r="G8918" s="5"/>
    </row>
    <row r="8919" spans="1:7" ht="58.5" customHeight="1" x14ac:dyDescent="0.25">
      <c r="A8919" s="5" t="str">
        <f>"H0007428"</f>
        <v>H0007428</v>
      </c>
      <c r="B8919" s="5" t="str">
        <f t="shared" si="464"/>
        <v>TABLA DE ALUMINIO HISTORIAS CLINICAS (PORTAHISTORIAS)</v>
      </c>
      <c r="C8919" s="6">
        <v>24746.639999999999</v>
      </c>
      <c r="D8919" s="5"/>
      <c r="E8919" s="5" t="str">
        <f t="shared" si="463"/>
        <v>URGENCIAS PEDIATRIA-YENI ESPERANZA PENA GUERRERO</v>
      </c>
      <c r="F8919" s="5" t="str">
        <f>"Descripcion: TABLA DE ALUMINIO HISTORIAS CLINICAS (PORTAHISTORIAS) Estado: Bueno Placa anterior: 000018600 Material: METALICO Color: GRIS Referencia:  Observacion:  Placa padre: Tipo adquisicion: Entidad"</f>
        <v>Descripcion: TABLA DE ALUMINIO HISTORIAS CLINICAS (PORTAHISTORIAS) Estado: Bueno Placa anterior: 000018600 Material: METALICO Color: GRIS Referencia:  Observacion:  Placa padre: Tipo adquisicion: Entidad</v>
      </c>
      <c r="G8919" s="5"/>
    </row>
    <row r="8920" spans="1:7" ht="58.5" customHeight="1" x14ac:dyDescent="0.25">
      <c r="A8920" s="5" t="str">
        <f>"H0007429"</f>
        <v>H0007429</v>
      </c>
      <c r="B8920" s="5" t="str">
        <f t="shared" si="464"/>
        <v>TABLA DE ALUMINIO HISTORIAS CLINICAS (PORTAHISTORIAS)</v>
      </c>
      <c r="C8920" s="6">
        <v>24746.639999999999</v>
      </c>
      <c r="D8920" s="5"/>
      <c r="E8920" s="5" t="str">
        <f t="shared" si="463"/>
        <v>URGENCIAS PEDIATRIA-YENI ESPERANZA PENA GUERRERO</v>
      </c>
      <c r="F8920" s="5" t="str">
        <f>"Descripcion: TABLA DE ALUMINIO HISTORIAS CLINICAS (PORTAHISTORIAS) Estado: Bueno Placa anterior: 000021474 Material: METALICO Color: GRIS Referencia:  Observacion:  Placa padre: Tipo adquisicion: Entidad"</f>
        <v>Descripcion: TABLA DE ALUMINIO HISTORIAS CLINICAS (PORTAHISTORIAS) Estado: Bueno Placa anterior: 000021474 Material: METALICO Color: GRIS Referencia:  Observacion:  Placa padre: Tipo adquisicion: Entidad</v>
      </c>
      <c r="G8920" s="5"/>
    </row>
    <row r="8921" spans="1:7" ht="58.5" customHeight="1" x14ac:dyDescent="0.25">
      <c r="A8921" s="5" t="str">
        <f>"H0007430"</f>
        <v>H0007430</v>
      </c>
      <c r="B8921" s="5" t="str">
        <f t="shared" si="464"/>
        <v>TABLA DE ALUMINIO HISTORIAS CLINICAS (PORTAHISTORIAS)</v>
      </c>
      <c r="C8921" s="6">
        <v>24746.639999999999</v>
      </c>
      <c r="D8921" s="5"/>
      <c r="E8921" s="5" t="str">
        <f t="shared" si="463"/>
        <v>URGENCIAS PEDIATRIA-YENI ESPERANZA PENA GUERRERO</v>
      </c>
      <c r="F8921" s="5" t="str">
        <f>"Descripcion: TABLA DE ALUMINIO HISTORIAS CLINICAS (PORTAHISTORIAS) Estado: Bueno Placa anterior: 000021484 Material: METALICO Color: GRIS Referencia:  Observacion:  Placa padre: Tipo adquisicion: Entidad"</f>
        <v>Descripcion: TABLA DE ALUMINIO HISTORIAS CLINICAS (PORTAHISTORIAS) Estado: Bueno Placa anterior: 000021484 Material: METALICO Color: GRIS Referencia:  Observacion:  Placa padre: Tipo adquisicion: Entidad</v>
      </c>
      <c r="G8921" s="5"/>
    </row>
    <row r="8922" spans="1:7" ht="58.5" customHeight="1" x14ac:dyDescent="0.25">
      <c r="A8922" s="5" t="str">
        <f>"H0007431"</f>
        <v>H0007431</v>
      </c>
      <c r="B8922" s="5" t="str">
        <f t="shared" si="464"/>
        <v>TABLA DE ALUMINIO HISTORIAS CLINICAS (PORTAHISTORIAS)</v>
      </c>
      <c r="C8922" s="6">
        <v>24746.639999999999</v>
      </c>
      <c r="D8922" s="5"/>
      <c r="E8922" s="5" t="str">
        <f t="shared" si="463"/>
        <v>URGENCIAS PEDIATRIA-YENI ESPERANZA PENA GUERRERO</v>
      </c>
      <c r="F8922" s="5" t="str">
        <f>"Descripcion: TABLA DE ALUMINIO HISTORIAS CLINICAS (PORTAHISTORIAS) Estado: Bueno Placa anterior: 000018554 Material: METALICO Color: GRIS Referencia:  Observacion:  Placa padre: Tipo adquisicion: Entidad"</f>
        <v>Descripcion: TABLA DE ALUMINIO HISTORIAS CLINICAS (PORTAHISTORIAS) Estado: Bueno Placa anterior: 000018554 Material: METALICO Color: GRIS Referencia:  Observacion:  Placa padre: Tipo adquisicion: Entidad</v>
      </c>
      <c r="G8922" s="5"/>
    </row>
    <row r="8923" spans="1:7" ht="58.5" customHeight="1" x14ac:dyDescent="0.25">
      <c r="A8923" s="5" t="str">
        <f>"H0007432"</f>
        <v>H0007432</v>
      </c>
      <c r="B8923" s="5" t="str">
        <f t="shared" si="464"/>
        <v>TABLA DE ALUMINIO HISTORIAS CLINICAS (PORTAHISTORIAS)</v>
      </c>
      <c r="C8923" s="6">
        <v>24746.639999999999</v>
      </c>
      <c r="D8923" s="5"/>
      <c r="E8923" s="5" t="str">
        <f t="shared" si="463"/>
        <v>URGENCIAS PEDIATRIA-YENI ESPERANZA PENA GUERRERO</v>
      </c>
      <c r="F8923" s="5" t="str">
        <f>"Descripcion: TABLA DE ALUMINIO HISTORIAS CLINICAS (PORTAHISTORIAS) Estado: Bueno Placa anterior: 000018565 Material: METALICO Color: GRIS Referencia:  Observacion:  Placa padre: Tipo adquisicion: Entidad"</f>
        <v>Descripcion: TABLA DE ALUMINIO HISTORIAS CLINICAS (PORTAHISTORIAS) Estado: Bueno Placa anterior: 000018565 Material: METALICO Color: GRIS Referencia:  Observacion:  Placa padre: Tipo adquisicion: Entidad</v>
      </c>
      <c r="G8923" s="5"/>
    </row>
    <row r="8924" spans="1:7" ht="58.5" customHeight="1" x14ac:dyDescent="0.25">
      <c r="A8924" s="5" t="str">
        <f>"H0007433"</f>
        <v>H0007433</v>
      </c>
      <c r="B8924" s="5" t="str">
        <f t="shared" si="464"/>
        <v>TABLA DE ALUMINIO HISTORIAS CLINICAS (PORTAHISTORIAS)</v>
      </c>
      <c r="C8924" s="6">
        <v>24746.639999999999</v>
      </c>
      <c r="D8924" s="5"/>
      <c r="E8924" s="5" t="str">
        <f t="shared" si="463"/>
        <v>URGENCIAS PEDIATRIA-YENI ESPERANZA PENA GUERRERO</v>
      </c>
      <c r="F8924" s="5" t="str">
        <f>"Descripcion: TABLA DE ALUMINIO HISTORIAS CLINICAS (PORTAHISTORIAS) Estado: Bueno Placa anterior: 000018555 Material: METALICO Color: GRIS Referencia:  Observacion:  Placa padre: Tipo adquisicion: Entidad"</f>
        <v>Descripcion: TABLA DE ALUMINIO HISTORIAS CLINICAS (PORTAHISTORIAS) Estado: Bueno Placa anterior: 000018555 Material: METALICO Color: GRIS Referencia:  Observacion:  Placa padre: Tipo adquisicion: Entidad</v>
      </c>
      <c r="G8924" s="5"/>
    </row>
    <row r="8925" spans="1:7" ht="58.5" customHeight="1" x14ac:dyDescent="0.25">
      <c r="A8925" s="5" t="str">
        <f>"H0007434"</f>
        <v>H0007434</v>
      </c>
      <c r="B8925" s="5" t="str">
        <f>"SILLA INTERLOCUTORA (FIJA) SIN BRAZOS"</f>
        <v>SILLA INTERLOCUTORA (FIJA) SIN BRAZOS</v>
      </c>
      <c r="C8925" s="6">
        <v>30160</v>
      </c>
      <c r="D8925" s="5" t="s">
        <v>450</v>
      </c>
      <c r="E8925" s="5" t="str">
        <f t="shared" si="463"/>
        <v>URGENCIAS PEDIATRIA-YENI ESPERANZA PENA GUERRERO</v>
      </c>
      <c r="F8925" s="5" t="str">
        <f>"Descripcion: SILLA INTERLOCUTORA FIJA SIN BRAZOS CON TAPIZADO EN PAÑO Estado: Regular Placa anterior: 000031525 Material: METALICO, TAPIZADO Color: NEGRO Referencia:  Observacion:  Placa padre: Tipo adquisicion: Entidad"</f>
        <v>Descripcion: SILLA INTERLOCUTORA FIJA SIN BRAZOS CON TAPIZADO EN PAÑO Estado: Regular Placa anterior: 000031525 Material: METALICO, TAPIZADO Color: NEGRO Referencia:  Observacion:  Placa padre: Tipo adquisicion: Entidad</v>
      </c>
      <c r="G8925" s="5"/>
    </row>
    <row r="8926" spans="1:7" ht="58.5" customHeight="1" x14ac:dyDescent="0.25">
      <c r="A8926" s="5" t="str">
        <f>"H0007436"</f>
        <v>H0007436</v>
      </c>
      <c r="B8926" s="5" t="str">
        <f>"SILLA PLASTICA CON BRAZOS"</f>
        <v>SILLA PLASTICA CON BRAZOS</v>
      </c>
      <c r="C8926" s="6">
        <v>17000</v>
      </c>
      <c r="D8926" s="5"/>
      <c r="E8926" s="5" t="str">
        <f t="shared" si="463"/>
        <v>URGENCIAS PEDIATRIA-YENI ESPERANZA PENA GUERRERO</v>
      </c>
      <c r="F8926" s="5" t="str">
        <f>"Descripcion: SILLA PLASTICA CON BRAZOS Estado: Bueno Placa anterior: 000022841 Material: PLASTICO Color: AZUL Referencia:  Observacion:  Placa padre: Tipo adquisicion: Entidad"</f>
        <v>Descripcion: SILLA PLASTICA CON BRAZOS Estado: Bueno Placa anterior: 000022841 Material: PLASTICO Color: AZUL Referencia:  Observacion:  Placa padre: Tipo adquisicion: Entidad</v>
      </c>
      <c r="G8926" s="5"/>
    </row>
    <row r="8927" spans="1:7" ht="58.5" customHeight="1" x14ac:dyDescent="0.25">
      <c r="A8927" s="5" t="str">
        <f>"H0007437"</f>
        <v>H0007437</v>
      </c>
      <c r="B8927" s="5" t="str">
        <f>"SILLA PLASTICA CON BRAZOS"</f>
        <v>SILLA PLASTICA CON BRAZOS</v>
      </c>
      <c r="C8927" s="6">
        <v>17000</v>
      </c>
      <c r="D8927" s="5"/>
      <c r="E8927" s="5" t="str">
        <f t="shared" si="463"/>
        <v>URGENCIAS PEDIATRIA-YENI ESPERANZA PENA GUERRERO</v>
      </c>
      <c r="F8927" s="5" t="str">
        <f>"Descripcion: SILLA PLASTICA CON BRAZOS Estado: Bueno Placa anterior: 000022839 Material: PLASTICO Color: AZUL Referencia:  Observacion:  Placa padre: Tipo adquisicion: Entidad"</f>
        <v>Descripcion: SILLA PLASTICA CON BRAZOS Estado: Bueno Placa anterior: 000022839 Material: PLASTICO Color: AZUL Referencia:  Observacion:  Placa padre: Tipo adquisicion: Entidad</v>
      </c>
      <c r="G8927" s="5"/>
    </row>
    <row r="8928" spans="1:7" ht="58.5" customHeight="1" x14ac:dyDescent="0.25">
      <c r="A8928" s="5" t="str">
        <f>"H0007455"</f>
        <v>H0007455</v>
      </c>
      <c r="B8928" s="5" t="str">
        <f>"SILLA PLASTICA CON BRAZOS"</f>
        <v>SILLA PLASTICA CON BRAZOS</v>
      </c>
      <c r="C8928" s="6">
        <v>30160</v>
      </c>
      <c r="D8928" s="5" t="s">
        <v>450</v>
      </c>
      <c r="E8928" s="5" t="str">
        <f t="shared" si="463"/>
        <v>URGENCIAS PEDIATRIA-YENI ESPERANZA PENA GUERRERO</v>
      </c>
      <c r="F8928" s="5" t="str">
        <f>"Descripcion: SILLA PLASTICA CON BRAZOS Estado: Bueno Placa anterior: 000031531 Material: PLASTICO Color: BLANCO Referencia:  Observacion:  Placa padre: Tipo adquisicion: Entidad"</f>
        <v>Descripcion: SILLA PLASTICA CON BRAZOS Estado: Bueno Placa anterior: 000031531 Material: PLASTICO Color: BLANCO Referencia:  Observacion:  Placa padre: Tipo adquisicion: Entidad</v>
      </c>
      <c r="G8928" s="5"/>
    </row>
    <row r="8929" spans="1:7" ht="58.5" customHeight="1" x14ac:dyDescent="0.25">
      <c r="A8929" s="5" t="str">
        <f>"H0007456"</f>
        <v>H0007456</v>
      </c>
      <c r="B8929" s="5" t="str">
        <f>"ATRIL PORTASUERO MOVIL"</f>
        <v>ATRIL PORTASUERO MOVIL</v>
      </c>
      <c r="C8929" s="6">
        <v>145000</v>
      </c>
      <c r="D8929" s="5" t="s">
        <v>166</v>
      </c>
      <c r="E8929" s="5" t="str">
        <f t="shared" si="463"/>
        <v>URGENCIAS PEDIATRIA-YENI ESPERANZA PENA GUERRERO</v>
      </c>
      <c r="F8929" s="5" t="str">
        <f>"Descripcion: ATRIL PORTASUERO  CON RODACHINES Estado: Bueno Placa anterior: 000031457 Material: METALICO Color: CROMADO Referencia:  Observacion:  Placa padre: Tipo adquisicion: Entidad"</f>
        <v>Descripcion: ATRIL PORTASUERO  CON RODACHINES Estado: Bueno Placa anterior: 000031457 Material: METALICO Color: CROMADO Referencia:  Observacion:  Placa padre: Tipo adquisicion: Entidad</v>
      </c>
      <c r="G8929" s="5"/>
    </row>
    <row r="8930" spans="1:7" ht="58.5" customHeight="1" x14ac:dyDescent="0.25">
      <c r="A8930" s="5" t="str">
        <f>"H0007458"</f>
        <v>H0007458</v>
      </c>
      <c r="B8930" s="5" t="str">
        <f>"MONITOR DE SIGNOS VITALES"</f>
        <v>MONITOR DE SIGNOS VITALES</v>
      </c>
      <c r="C8930" s="6">
        <v>4002000</v>
      </c>
      <c r="D8930" s="5" t="s">
        <v>166</v>
      </c>
      <c r="E8930" s="5" t="str">
        <f t="shared" si="463"/>
        <v>URGENCIAS PEDIATRIA-YENI ESPERANZA PENA GUERRERO</v>
      </c>
      <c r="F8930"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000031410 Material: PLASTICO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000031410 Material: PLASTICO Color: BLANCO Referencia:  Observacion:  Placa padre: Tipo adquisicion: Entidad</v>
      </c>
      <c r="G8930" s="5" t="str">
        <f>"IMEC 10"</f>
        <v>IMEC 10</v>
      </c>
    </row>
    <row r="8931" spans="1:7" ht="58.5" customHeight="1" x14ac:dyDescent="0.25">
      <c r="A8931" s="5" t="str">
        <f>"H0007459"</f>
        <v>H0007459</v>
      </c>
      <c r="B8931" s="5" t="str">
        <f>"TABLA DE ALUMINIO HISTORIAS CLINICAS (PORTAHISTORIAS)"</f>
        <v>TABLA DE ALUMINIO HISTORIAS CLINICAS (PORTAHISTORIAS)</v>
      </c>
      <c r="C8931" s="6">
        <v>24746.639999999999</v>
      </c>
      <c r="D8931" s="5"/>
      <c r="E8931" s="5" t="str">
        <f t="shared" si="463"/>
        <v>URGENCIAS PEDIATRIA-YENI ESPERANZA PENA GUERRERO</v>
      </c>
      <c r="F8931" s="5" t="str">
        <f>"Descripcion: TABLA DE ALUMINIO HISTORIAS CLINICAS (PORTAHISTORIAS) Estado: Bueno Placa anterior: 000018556 Material: METALICO Color: GRIS Referencia:  Observacion:  Placa padre: Tipo adquisicion: Entidad"</f>
        <v>Descripcion: TABLA DE ALUMINIO HISTORIAS CLINICAS (PORTAHISTORIAS) Estado: Bueno Placa anterior: 000018556 Material: METALICO Color: GRIS Referencia:  Observacion:  Placa padre: Tipo adquisicion: Entidad</v>
      </c>
      <c r="G8931" s="5"/>
    </row>
    <row r="8932" spans="1:7" ht="58.5" customHeight="1" x14ac:dyDescent="0.25">
      <c r="A8932" s="5" t="str">
        <f>"H0007461"</f>
        <v>H0007461</v>
      </c>
      <c r="B8932" s="5" t="str">
        <f>"FLUJOMETRO DOBLE"</f>
        <v>FLUJOMETRO DOBLE</v>
      </c>
      <c r="C8932" s="6">
        <v>365400</v>
      </c>
      <c r="D8932" s="5" t="s">
        <v>56</v>
      </c>
      <c r="E8932" s="5" t="str">
        <f t="shared" si="463"/>
        <v>URGENCIAS PEDIATRIA-YENI ESPERANZA PENA GUERRERO</v>
      </c>
      <c r="F8932" s="5" t="str">
        <f>"Descripcion: FLUJOMETRO Estado: Bueno Placa anterior: 000031134 Material: METALICO Color: NEGRO CON VERDE Referencia:  Observacion:  Placa padre: Tipo adquisicion: Entidad"</f>
        <v>Descripcion: FLUJOMETRO Estado: Bueno Placa anterior: 000031134 Material: METALICO Color: NEGRO CON VERDE Referencia:  Observacion:  Placa padre: Tipo adquisicion: Entidad</v>
      </c>
      <c r="G8932" s="5"/>
    </row>
    <row r="8933" spans="1:7" ht="58.5" customHeight="1" x14ac:dyDescent="0.25">
      <c r="A8933" s="5" t="str">
        <f>"H0007462"</f>
        <v>H0007462</v>
      </c>
      <c r="B8933" s="5" t="str">
        <f>"TELEFONO DE SOBREMESA"</f>
        <v>TELEFONO DE SOBREMESA</v>
      </c>
      <c r="C8933" s="6">
        <v>9149.33</v>
      </c>
      <c r="D8933" s="5"/>
      <c r="E8933" s="5" t="str">
        <f t="shared" si="463"/>
        <v>URGENCIAS PEDIATRIA-YENI ESPERANZA PENA GUERRERO</v>
      </c>
      <c r="F8933" s="5" t="str">
        <f>"Descripcion: TELEFONO ANALOGO DE RUEDA Estado: Bueno Placa anterior: 000021491 Material: PLASTICO Color: NEGRO CON BEIGE Referencia:  Observacion:  Placa padre: Tipo adquisicion: Entidad"</f>
        <v>Descripcion: TELEFONO ANALOGO DE RUEDA Estado: Bueno Placa anterior: 000021491 Material: PLASTICO Color: NEGRO CON BEIGE Referencia:  Observacion:  Placa padre: Tipo adquisicion: Entidad</v>
      </c>
      <c r="G8933" s="5"/>
    </row>
    <row r="8934" spans="1:7" ht="58.5" customHeight="1" x14ac:dyDescent="0.25">
      <c r="A8934" s="5" t="str">
        <f>"H0007463"</f>
        <v>H0007463</v>
      </c>
      <c r="B8934" s="5" t="str">
        <f>"FLUJOMETRO DOBLE"</f>
        <v>FLUJOMETRO DOBLE</v>
      </c>
      <c r="C8934" s="6">
        <v>365400</v>
      </c>
      <c r="D8934" s="5" t="s">
        <v>56</v>
      </c>
      <c r="E8934" s="5" t="str">
        <f t="shared" si="463"/>
        <v>URGENCIAS PEDIATRIA-YENI ESPERANZA PENA GUERRERO</v>
      </c>
      <c r="F8934" s="5" t="str">
        <f>"Descripcion: FLUJOMETRO Estado: Bueno Placa anterior: 000031135 Material: METALICO Color: NEGRO CON VERDE Referencia:  Observacion:  Placa padre: Tipo adquisicion: Entidad"</f>
        <v>Descripcion: FLUJOMETRO Estado: Bueno Placa anterior: 000031135 Material: METALICO Color: NEGRO CON VERDE Referencia:  Observacion:  Placa padre: Tipo adquisicion: Entidad</v>
      </c>
      <c r="G8934" s="5"/>
    </row>
    <row r="8935" spans="1:7" ht="58.5" customHeight="1" x14ac:dyDescent="0.25">
      <c r="A8935" s="5" t="str">
        <f>"H0007464"</f>
        <v>H0007464</v>
      </c>
      <c r="B8935" s="5" t="str">
        <f>"CAMA HOSPITALARIA 2 PLANOS"</f>
        <v>CAMA HOSPITALARIA 2 PLANOS</v>
      </c>
      <c r="C8935" s="6">
        <v>1693600</v>
      </c>
      <c r="D8935" s="5" t="s">
        <v>516</v>
      </c>
      <c r="E8935" s="5" t="str">
        <f t="shared" si="463"/>
        <v>URGENCIAS PEDIATRIA-YENI ESPERANZA PENA GUERRERO</v>
      </c>
      <c r="F8935"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000030665 Material: METALICO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000030665 Material: METALICO Color: BEIGE Referencia:  Observacion:  Placa padre: Tipo adquisicion: Entidad</v>
      </c>
      <c r="G8935" s="5" t="str">
        <f>"141-70"</f>
        <v>141-70</v>
      </c>
    </row>
    <row r="8936" spans="1:7" ht="58.5" customHeight="1" x14ac:dyDescent="0.25">
      <c r="A8936" s="5" t="str">
        <f>"H0007521"</f>
        <v>H0007521</v>
      </c>
      <c r="B8936" s="5" t="str">
        <f>"TELEVISOR LCD 32"</f>
        <v>TELEVISOR LCD 32</v>
      </c>
      <c r="C8936" s="6">
        <v>664000</v>
      </c>
      <c r="D8936" s="5" t="s">
        <v>58</v>
      </c>
      <c r="E8936" s="5" t="str">
        <f t="shared" si="463"/>
        <v>URGENCIAS PEDIATRIA-YENI ESPERANZA PENA GUERRERO</v>
      </c>
      <c r="F8936" s="5" t="str">
        <f>"Descripcion: CON BASE DE BRAZO Estado: Bueno Placa anterior: 000030371 Material: PASTA Color: NEGRO Referencia:  Observacion:  Placa padre: Tipo adquisicion: Entidad"</f>
        <v>Descripcion: CON BASE DE BRAZO Estado: Bueno Placa anterior: 000030371 Material: PASTA Color: NEGRO Referencia:  Observacion:  Placa padre: Tipo adquisicion: Entidad</v>
      </c>
      <c r="G8936" s="5" t="str">
        <f>"32LS3450"</f>
        <v>32LS3450</v>
      </c>
    </row>
    <row r="8937" spans="1:7" ht="58.5" customHeight="1" x14ac:dyDescent="0.25">
      <c r="A8937" s="5" t="str">
        <f>"H0007522"</f>
        <v>H0007522</v>
      </c>
      <c r="B8937" s="5" t="str">
        <f>"ESCRITORIO METALICO 2 GAVETAS"</f>
        <v>ESCRITORIO METALICO 2 GAVETAS</v>
      </c>
      <c r="C8937" s="6">
        <v>81447</v>
      </c>
      <c r="D8937" s="5"/>
      <c r="E8937" s="5" t="str">
        <f t="shared" si="463"/>
        <v>URGENCIAS PEDIATRIA-YENI ESPERANZA PENA GUERRERO</v>
      </c>
      <c r="F8937" s="5" t="str">
        <f>"Descripcion: . Estado: Bueno Placa anterior: 000018443 Material: METALICO Color: GRIS Referencia:  Observacion:  Placa padre: Tipo adquisicion: Entidad"</f>
        <v>Descripcion: . Estado: Bueno Placa anterior: 000018443 Material: METALICO Color: GRIS Referencia:  Observacion:  Placa padre: Tipo adquisicion: Entidad</v>
      </c>
      <c r="G8937" s="5"/>
    </row>
    <row r="8938" spans="1:7" ht="58.5" customHeight="1" x14ac:dyDescent="0.25">
      <c r="A8938" s="5" t="str">
        <f>"H0007523"</f>
        <v>H0007523</v>
      </c>
      <c r="B8938" s="5" t="str">
        <f>"SILLA INTERLOCUTORA (FIJA) SIN BRAZOS"</f>
        <v>SILLA INTERLOCUTORA (FIJA) SIN BRAZOS</v>
      </c>
      <c r="C8938" s="6">
        <v>5825.94</v>
      </c>
      <c r="D8938" s="5"/>
      <c r="E8938" s="5" t="str">
        <f t="shared" si="463"/>
        <v>URGENCIAS PEDIATRIA-YENI ESPERANZA PENA GUERRERO</v>
      </c>
      <c r="F8938" s="5" t="str">
        <f>"Descripcion: ASIENTO TAPIZADO EN CUERO NEGROESPALDAR EN PASTA Estado: Bueno Placa anterior: 000018504 Material: METALICO Color: NEGRO Referencia:  Observacion:  Placa padre: Tipo adquisicion: Entidad"</f>
        <v>Descripcion: ASIENTO TAPIZADO EN CUERO NEGROESPALDAR EN PASTA Estado: Bueno Placa anterior: 000018504 Material: METALICO Color: NEGRO Referencia:  Observacion:  Placa padre: Tipo adquisicion: Entidad</v>
      </c>
      <c r="G8938" s="5"/>
    </row>
    <row r="8939" spans="1:7" ht="58.5" customHeight="1" x14ac:dyDescent="0.25">
      <c r="A8939" s="5" t="str">
        <f>"H0007527"</f>
        <v>H0007527</v>
      </c>
      <c r="B8939" s="5" t="str">
        <f>"SILLA TANDEM DE 4 PUESTOS"</f>
        <v>SILLA TANDEM DE 4 PUESTOS</v>
      </c>
      <c r="C8939" s="6">
        <v>974400</v>
      </c>
      <c r="D8939" s="5" t="s">
        <v>450</v>
      </c>
      <c r="E8939" s="5" t="str">
        <f t="shared" si="463"/>
        <v>URGENCIAS PEDIATRIA-YENI ESPERANZA PENA GUERRERO</v>
      </c>
      <c r="F8939" s="5" t="str">
        <f>"Descripcion: FALTA UN PUESTOBASE METALICA NEGRA Estado: Regular Placa anterior: 000031515 Material: METALICO Color: NEGRO BLANCO Referencia:  Observacion:  Placa padre: Tipo adquisicion: Entidad"</f>
        <v>Descripcion: FALTA UN PUESTOBASE METALICA NEGRA Estado: Regular Placa anterior: 000031515 Material: METALICO Color: NEGRO BLANCO Referencia:  Observacion:  Placa padre: Tipo adquisicion: Entidad</v>
      </c>
      <c r="G8939" s="5"/>
    </row>
    <row r="8940" spans="1:7" ht="58.5" customHeight="1" x14ac:dyDescent="0.25">
      <c r="A8940" s="5" t="str">
        <f>"H0007530"</f>
        <v>H0007530</v>
      </c>
      <c r="B8940" s="5" t="str">
        <f>"VENTILADOR DE PARED"</f>
        <v>VENTILADOR DE PARED</v>
      </c>
      <c r="C8940" s="6">
        <v>72477.5</v>
      </c>
      <c r="D8940" s="5" t="s">
        <v>54</v>
      </c>
      <c r="E8940" s="5" t="str">
        <f t="shared" si="463"/>
        <v>URGENCIAS PEDIATRIA-YENI ESPERANZA PENA GUERRERO</v>
      </c>
      <c r="F8940" s="5" t="str">
        <f>"Descripcion: 3 VELOCIDADES Estado: Bueno Placa anterior: 000037170 Material: PASTA Color: BLANCO Referencia:  Observacion:  Placa padre: Tipo adquisicion: Entidad"</f>
        <v>Descripcion: 3 VELOCIDADES Estado: Bueno Placa anterior: 000037170 Material: PASTA Color: BLANCO Referencia:  Observacion:  Placa padre: Tipo adquisicion: Entidad</v>
      </c>
      <c r="G8940" s="5" t="str">
        <f>"TURBO SILENCE MAXX"</f>
        <v>TURBO SILENCE MAXX</v>
      </c>
    </row>
    <row r="8941" spans="1:7" ht="58.5" customHeight="1" x14ac:dyDescent="0.25">
      <c r="A8941" s="5" t="str">
        <f>"H0007531"</f>
        <v>H0007531</v>
      </c>
      <c r="B8941" s="5" t="str">
        <f>"PARLANTE (BAFLE)"</f>
        <v>PARLANTE (BAFLE)</v>
      </c>
      <c r="C8941" s="6">
        <v>104400</v>
      </c>
      <c r="D8941" s="5" t="s">
        <v>382</v>
      </c>
      <c r="E8941" s="5" t="str">
        <f t="shared" si="463"/>
        <v>URGENCIAS PEDIATRIA-YENI ESPERANZA PENA GUERRERO</v>
      </c>
      <c r="F8941" s="5" t="str">
        <f>"Descripcion: Parlante sonido ambiental marca audio Estado: Bueno Placa anterior: 000039090 Material: PASTA Color: BLANCO Referencia:  Observacion:  Placa padre: Tipo adquisicion: Entidad"</f>
        <v>Descripcion: Parlante sonido ambiental marca audio Estado: Bueno Placa anterior: 000039090 Material: PASTA Color: BLANCO Referencia:  Observacion:  Placa padre: Tipo adquisicion: Entidad</v>
      </c>
      <c r="G8941" s="5"/>
    </row>
    <row r="8942" spans="1:7" ht="58.5" customHeight="1" x14ac:dyDescent="0.25">
      <c r="A8942" s="5" t="str">
        <f>"H0007534"</f>
        <v>H0007534</v>
      </c>
      <c r="B8942" s="5" t="str">
        <f>"SILLA DE RUEDAS"</f>
        <v>SILLA DE RUEDAS</v>
      </c>
      <c r="C8942" s="6">
        <v>60000</v>
      </c>
      <c r="D8942" s="5" t="s">
        <v>55</v>
      </c>
      <c r="E8942" s="5" t="str">
        <f t="shared" si="463"/>
        <v>URGENCIAS PEDIATRIA-YENI ESPERANZA PENA GUERRERO</v>
      </c>
      <c r="F8942" s="5" t="str">
        <f>"Descripcion: PEDIATRICACUERO NEGROFALTA UN REPOSAPIE Estado: Bueno Placa anterior: 000030305 Material: METALICO Color: NEGRO Referencia:  Observacion:  Placa padre: Tipo adquisicion: Entidad"</f>
        <v>Descripcion: PEDIATRICACUERO NEGROFALTA UN REPOSAPIE Estado: Bueno Placa anterior: 000030305 Material: METALICO Color: NEGRO Referencia:  Observacion:  Placa padre: Tipo adquisicion: Entidad</v>
      </c>
      <c r="G8942" s="5" t="str">
        <f>"LDS-1141"</f>
        <v>LDS-1141</v>
      </c>
    </row>
    <row r="8943" spans="1:7" ht="58.5" customHeight="1" x14ac:dyDescent="0.25">
      <c r="A8943" s="5" t="str">
        <f>"H0007535"</f>
        <v>H0007535</v>
      </c>
      <c r="B8943" s="5" t="str">
        <f>"SILLA DE RUEDAS"</f>
        <v>SILLA DE RUEDAS</v>
      </c>
      <c r="C8943" s="6">
        <v>175070.84</v>
      </c>
      <c r="D8943" s="5"/>
      <c r="E8943" s="5" t="str">
        <f t="shared" si="463"/>
        <v>URGENCIAS PEDIATRIA-YENI ESPERANZA PENA GUERRERO</v>
      </c>
      <c r="F8943" s="5" t="str">
        <f>"Descripcion: PEDIATRICACUERO NEGROTUBOS EN ROJO Estado: Bueno Placa anterior: 000018429 Material: METALICO Color: ROJO Referencia:  Observacion:  Placa padre: Tipo adquisicion: Entidad"</f>
        <v>Descripcion: PEDIATRICACUERO NEGROTUBOS EN ROJO Estado: Bueno Placa anterior: 000018429 Material: METALICO Color: ROJO Referencia:  Observacion:  Placa padre: Tipo adquisicion: Entidad</v>
      </c>
      <c r="G8943" s="5"/>
    </row>
    <row r="8944" spans="1:7" ht="58.5" customHeight="1" x14ac:dyDescent="0.25">
      <c r="A8944" s="5" t="str">
        <f>"H0007536"</f>
        <v>H0007536</v>
      </c>
      <c r="B8944" s="5" t="str">
        <f>"CAMA HOSPITALARIA 2 PLANOS"</f>
        <v>CAMA HOSPITALARIA 2 PLANOS</v>
      </c>
      <c r="C8944" s="6">
        <v>1693600</v>
      </c>
      <c r="D8944" s="5" t="s">
        <v>516</v>
      </c>
      <c r="E8944" s="5" t="str">
        <f t="shared" si="463"/>
        <v>URGENCIAS PEDIATRIA-YENI ESPERANZA PENA GUERRERO</v>
      </c>
      <c r="F8944"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000030667 Material: METALICO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000030667 Material: METALICO Color: BEIGE Referencia:  Observacion:  Placa padre: Tipo adquisicion: Entidad</v>
      </c>
      <c r="G8944" s="5" t="str">
        <f>"141-70"</f>
        <v>141-70</v>
      </c>
    </row>
    <row r="8945" spans="1:7" ht="58.5" customHeight="1" x14ac:dyDescent="0.25">
      <c r="A8945" s="5" t="str">
        <f>"H0007538"</f>
        <v>H0007538</v>
      </c>
      <c r="B8945" s="5" t="str">
        <f>"AIRE ACONDICIONADO TIPO SPLIT 24000 BTU"</f>
        <v>AIRE ACONDICIONADO TIPO SPLIT 24000 BTU</v>
      </c>
      <c r="C8945" s="6">
        <v>2426601</v>
      </c>
      <c r="D8945" s="5"/>
      <c r="E8945" s="5" t="str">
        <f t="shared" si="463"/>
        <v>URGENCIAS PEDIATRIA-YENI ESPERANZA PENA GUERRERO</v>
      </c>
      <c r="F8945" s="5" t="str">
        <f>"Descripcion: AIRE ACONDICIONADO MINI SPLIT MCA. LG DE 24000 BTU Estado: Bueno Placa anterior: 000023378 Material: PLASTICO Color: BLANCO Referencia:  Observacion:  Placa padre: Tipo adquisicion: Entidad"</f>
        <v>Descripcion: AIRE ACONDICIONADO MINI SPLIT MCA. LG DE 24000 BTU Estado: Bueno Placa anterior: 000023378 Material: PLASTICO Color: BLANCO Referencia:  Observacion:  Placa padre: Tipo adquisicion: Entidad</v>
      </c>
      <c r="G8945" s="5" t="str">
        <f>"5242CGN50"</f>
        <v>5242CGN50</v>
      </c>
    </row>
    <row r="8946" spans="1:7" ht="58.5" customHeight="1" x14ac:dyDescent="0.25">
      <c r="A8946" s="5" t="str">
        <f>"H0007539"</f>
        <v>H0007539</v>
      </c>
      <c r="B8946" s="5" t="str">
        <f>"ATRIL PORTASUERO MOVIL"</f>
        <v>ATRIL PORTASUERO MOVIL</v>
      </c>
      <c r="C8946" s="6">
        <v>145000</v>
      </c>
      <c r="D8946" s="5" t="s">
        <v>166</v>
      </c>
      <c r="E8946" s="5" t="str">
        <f t="shared" si="463"/>
        <v>URGENCIAS PEDIATRIA-YENI ESPERANZA PENA GUERRERO</v>
      </c>
      <c r="F8946" s="5" t="str">
        <f>"Descripcion: ATRIL PORTASUERO  CON RODACHINES Estado: Bueno Placa anterior: 000031454 Material: METALICO Color: BEIGE Referencia:  Observacion:  Placa padre: Tipo adquisicion: Entidad"</f>
        <v>Descripcion: ATRIL PORTASUERO  CON RODACHINES Estado: Bueno Placa anterior: 000031454 Material: METALICO Color: BEIGE Referencia:  Observacion:  Placa padre: Tipo adquisicion: Entidad</v>
      </c>
      <c r="G8946" s="5"/>
    </row>
    <row r="8947" spans="1:7" ht="58.5" customHeight="1" x14ac:dyDescent="0.25">
      <c r="A8947" s="5" t="str">
        <f>"H0007543"</f>
        <v>H0007543</v>
      </c>
      <c r="B8947" s="5" t="str">
        <f>"SILLA INTERLOCUTORA (FIJA) SIN BRAZOS"</f>
        <v>SILLA INTERLOCUTORA (FIJA) SIN BRAZOS</v>
      </c>
      <c r="C8947" s="6">
        <v>30160</v>
      </c>
      <c r="D8947" s="5" t="s">
        <v>450</v>
      </c>
      <c r="E8947" s="5" t="str">
        <f t="shared" si="463"/>
        <v>URGENCIAS PEDIATRIA-YENI ESPERANZA PENA GUERRERO</v>
      </c>
      <c r="F8947" s="5" t="str">
        <f>"Descripcion: SILLA PLASTICA SIN BRAZOS Estado: Regular Placa anterior: 000031588 Material: PASTA, METAL Y TAPIZADO EN CUERINA Color: NEGRO Referencia:  Observacion: ASIENTO DETERIORADO   Placa padre: Tipo adquisicion: Entidad"</f>
        <v>Descripcion: SILLA PLASTICA SIN BRAZOS Estado: Regular Placa anterior: 000031588 Material: PASTA, METAL Y TAPIZADO EN CUERINA Color: NEGRO Referencia:  Observacion: ASIENTO DETERIORADO   Placa padre: Tipo adquisicion: Entidad</v>
      </c>
      <c r="G8947" s="5"/>
    </row>
    <row r="8948" spans="1:7" ht="58.5" customHeight="1" x14ac:dyDescent="0.25">
      <c r="A8948" s="5" t="str">
        <f>"H0007544"</f>
        <v>H0007544</v>
      </c>
      <c r="B8948" s="5" t="str">
        <f>"SILLA INTERLOCUTORA (FIJA) SIN BRAZOS"</f>
        <v>SILLA INTERLOCUTORA (FIJA) SIN BRAZOS</v>
      </c>
      <c r="C8948" s="6">
        <v>30160</v>
      </c>
      <c r="D8948" s="5" t="s">
        <v>450</v>
      </c>
      <c r="E8948" s="5" t="str">
        <f t="shared" si="463"/>
        <v>URGENCIAS PEDIATRIA-YENI ESPERANZA PENA GUERRERO</v>
      </c>
      <c r="F8948" s="5" t="str">
        <f>"Descripcion: SILLA PLASTICA SIN BRAZOS Estado: Regular Placa anterior: 000031528 Material: PASTA, METAL Y TAPIZADO EN CUERINA Color: NEGRO Referencia:  Observacion: ASIENTO DETERIORADO   Placa padre: Tipo adquisicion: Entidad"</f>
        <v>Descripcion: SILLA PLASTICA SIN BRAZOS Estado: Regular Placa anterior: 000031528 Material: PASTA, METAL Y TAPIZADO EN CUERINA Color: NEGRO Referencia:  Observacion: ASIENTO DETERIORADO   Placa padre: Tipo adquisicion: Entidad</v>
      </c>
      <c r="G8948" s="5"/>
    </row>
    <row r="8949" spans="1:7" ht="58.5" customHeight="1" x14ac:dyDescent="0.25">
      <c r="A8949" s="5" t="str">
        <f>"H0007545"</f>
        <v>H0007545</v>
      </c>
      <c r="B8949" s="5" t="str">
        <f>"SILLA INTERLOCUTORA (FIJA) SIN BRAZOS"</f>
        <v>SILLA INTERLOCUTORA (FIJA) SIN BRAZOS</v>
      </c>
      <c r="C8949" s="6">
        <v>30160</v>
      </c>
      <c r="D8949" s="5" t="s">
        <v>450</v>
      </c>
      <c r="E8949" s="5" t="str">
        <f t="shared" si="463"/>
        <v>URGENCIAS PEDIATRIA-YENI ESPERANZA PENA GUERRERO</v>
      </c>
      <c r="F8949" s="5" t="str">
        <f>"Descripcion: SILLA PLASTICA SIN BRAZOS Estado: Regular Placa anterior: 000031526 Material: PASTA, METAL Y TAPIZADO EN CUERINA Color: NEGRO Referencia:  Observacion: ASIENTO DETERIORADO   Placa padre: Tipo adquisicion: Entidad"</f>
        <v>Descripcion: SILLA PLASTICA SIN BRAZOS Estado: Regular Placa anterior: 000031526 Material: PASTA, METAL Y TAPIZADO EN CUERINA Color: NEGRO Referencia:  Observacion: ASIENTO DETERIORADO   Placa padre: Tipo adquisicion: Entidad</v>
      </c>
      <c r="G8949" s="5"/>
    </row>
    <row r="8950" spans="1:7" ht="58.5" customHeight="1" x14ac:dyDescent="0.25">
      <c r="A8950" s="5" t="str">
        <f>"H0007548"</f>
        <v>H0007548</v>
      </c>
      <c r="B8950" s="5" t="str">
        <f>"CUNA PEDIATRICA CON BARANDA"</f>
        <v>CUNA PEDIATRICA CON BARANDA</v>
      </c>
      <c r="C8950" s="6">
        <v>47300</v>
      </c>
      <c r="D8950" s="5"/>
      <c r="E8950" s="5" t="str">
        <f t="shared" si="463"/>
        <v>URGENCIAS PEDIATRIA-YENI ESPERANZA PENA GUERRERO</v>
      </c>
      <c r="F8950" s="5" t="str">
        <f>"Descripcion: COLCHON Estado: Bueno Placa anterior: 000026392 Material:  Color:  Referencia:  Observacion: EL BIEN TIENE PLACA ANTERIOR 000031576  Placa padre: Tipo adquisicion: Entidad"</f>
        <v>Descripcion: COLCHON Estado: Bueno Placa anterior: 000026392 Material:  Color:  Referencia:  Observacion: EL BIEN TIENE PLACA ANTERIOR 000031576  Placa padre: Tipo adquisicion: Entidad</v>
      </c>
      <c r="G8950" s="5"/>
    </row>
    <row r="8951" spans="1:7" ht="58.5" customHeight="1" x14ac:dyDescent="0.25">
      <c r="A8951" s="5" t="str">
        <f>"H0007549"</f>
        <v>H0007549</v>
      </c>
      <c r="B8951" s="5" t="str">
        <f>"PATO (COPROLOGICO) MUJER"</f>
        <v>PATO (COPROLOGICO) MUJER</v>
      </c>
      <c r="C8951" s="6">
        <v>53580</v>
      </c>
      <c r="D8951" s="5"/>
      <c r="E8951" s="5" t="str">
        <f t="shared" si="463"/>
        <v>URGENCIAS PEDIATRIA-YENI ESPERANZA PENA GUERRERO</v>
      </c>
      <c r="F8951" s="5" t="str">
        <f>"Descripcion: . Estado: Bueno Placa anterior: 000018395 Material: ACERO INOXIDABLE Color:  Referencia:  Observacion:  Placa padre: Tipo adquisicion: Entidad"</f>
        <v>Descripcion: . Estado: Bueno Placa anterior: 000018395 Material: ACERO INOXIDABLE Color:  Referencia:  Observacion:  Placa padre: Tipo adquisicion: Entidad</v>
      </c>
      <c r="G8951" s="5"/>
    </row>
    <row r="8952" spans="1:7" ht="58.5" customHeight="1" x14ac:dyDescent="0.25">
      <c r="A8952" s="5" t="str">
        <f>"H0007550"</f>
        <v>H0007550</v>
      </c>
      <c r="B8952" s="5" t="str">
        <f>"TABLA DE ALUMINIO HISTORIAS CLINICAS (PORTAHISTORIAS)"</f>
        <v>TABLA DE ALUMINIO HISTORIAS CLINICAS (PORTAHISTORIAS)</v>
      </c>
      <c r="C8952" s="6">
        <v>24746.639999999999</v>
      </c>
      <c r="D8952" s="5"/>
      <c r="E8952" s="5" t="str">
        <f t="shared" si="463"/>
        <v>URGENCIAS PEDIATRIA-YENI ESPERANZA PENA GUERRERO</v>
      </c>
      <c r="F8952" s="5" t="str">
        <f>"Descripcion: . Estado: Bueno Placa anterior: 000018557 Material: ACERO INOXIDABLE Color:  Referencia:  Observacion:  Placa padre: Tipo adquisicion: Entidad"</f>
        <v>Descripcion: . Estado: Bueno Placa anterior: 000018557 Material: ACERO INOXIDABLE Color:  Referencia:  Observacion:  Placa padre: Tipo adquisicion: Entidad</v>
      </c>
      <c r="G8952" s="5"/>
    </row>
    <row r="8953" spans="1:7" ht="58.5" customHeight="1" x14ac:dyDescent="0.25">
      <c r="A8953" s="5" t="str">
        <f>"H0007551"</f>
        <v>H0007551</v>
      </c>
      <c r="B8953" s="5" t="str">
        <f>"CUBETA DE ACERO INOXIDABLE CON TAPA GRANDE"</f>
        <v>CUBETA DE ACERO INOXIDABLE CON TAPA GRANDE</v>
      </c>
      <c r="C8953" s="6">
        <v>29125.48</v>
      </c>
      <c r="D8953" s="5"/>
      <c r="E8953" s="5" t="str">
        <f t="shared" si="463"/>
        <v>URGENCIAS PEDIATRIA-YENI ESPERANZA PENA GUERRERO</v>
      </c>
      <c r="F8953" s="5" t="str">
        <f>"Descripcion: CUBETA EN ACERO INOXIDABLE Estado: Bueno Placa anterior: 000018651 Material: ACERO INOXIDABLE Color:  Referencia:  Observacion:  Placa padre: Tipo adquisicion: Entidad"</f>
        <v>Descripcion: CUBETA EN ACERO INOXIDABLE Estado: Bueno Placa anterior: 000018651 Material: ACERO INOXIDABLE Color:  Referencia:  Observacion:  Placa padre: Tipo adquisicion: Entidad</v>
      </c>
      <c r="G8953" s="5"/>
    </row>
    <row r="8954" spans="1:7" ht="58.5" customHeight="1" x14ac:dyDescent="0.25">
      <c r="A8954" s="5" t="str">
        <f>"H0007552"</f>
        <v>H0007552</v>
      </c>
      <c r="B8954" s="5" t="str">
        <f>"SILLA PLASTICA CON BRAZOS"</f>
        <v>SILLA PLASTICA CON BRAZOS</v>
      </c>
      <c r="C8954" s="6">
        <v>12198</v>
      </c>
      <c r="D8954" s="5"/>
      <c r="E8954" s="5" t="str">
        <f t="shared" si="463"/>
        <v>URGENCIAS PEDIATRIA-YENI ESPERANZA PENA GUERRERO</v>
      </c>
      <c r="F8954" s="5" t="str">
        <f>"Descripcion: . Estado: Bueno Placa anterior: 000018411 Material: PASTA Color: BLANCO Referencia:  Observacion:  Placa padre: Tipo adquisicion: Entidad"</f>
        <v>Descripcion: . Estado: Bueno Placa anterior: 000018411 Material: PASTA Color: BLANCO Referencia:  Observacion:  Placa padre: Tipo adquisicion: Entidad</v>
      </c>
      <c r="G8954" s="5"/>
    </row>
    <row r="8955" spans="1:7" ht="58.5" customHeight="1" x14ac:dyDescent="0.25">
      <c r="A8955" s="5" t="str">
        <f>"H0007553"</f>
        <v>H0007553</v>
      </c>
      <c r="B8955" s="5" t="str">
        <f>"PATO (COPROLOGICO) MUJER"</f>
        <v>PATO (COPROLOGICO) MUJER</v>
      </c>
      <c r="C8955" s="6">
        <v>53580</v>
      </c>
      <c r="D8955" s="5"/>
      <c r="E8955" s="5" t="str">
        <f t="shared" si="463"/>
        <v>URGENCIAS PEDIATRIA-YENI ESPERANZA PENA GUERRERO</v>
      </c>
      <c r="F8955" s="5" t="str">
        <f>"Descripcion: . Estado: Bueno Placa anterior: 000018414 Material: ACERO INOXIDABLE Color:  Referencia:  Observacion:  Placa padre: Tipo adquisicion: Entidad"</f>
        <v>Descripcion: . Estado: Bueno Placa anterior: 000018414 Material: ACERO INOXIDABLE Color:  Referencia:  Observacion:  Placa padre: Tipo adquisicion: Entidad</v>
      </c>
      <c r="G8955" s="5"/>
    </row>
    <row r="8956" spans="1:7" ht="58.5" customHeight="1" x14ac:dyDescent="0.25">
      <c r="A8956" s="5" t="str">
        <f>"H0007554"</f>
        <v>H0007554</v>
      </c>
      <c r="B8956" s="5" t="str">
        <f>"MANOMETRO PARA OXIGENO"</f>
        <v>MANOMETRO PARA OXIGENO</v>
      </c>
      <c r="C8956" s="6">
        <v>72326.63</v>
      </c>
      <c r="D8956" s="5"/>
      <c r="E8956" s="5" t="str">
        <f t="shared" si="463"/>
        <v>URGENCIAS PEDIATRIA-YENI ESPERANZA PENA GUERRERO</v>
      </c>
      <c r="F8956" s="5" t="str">
        <f>"Descripcion: . Estado: Bueno Placa anterior: 000020163 Material: ACERO INOXIDABLE Color:  Referencia:  Observacion:  Placa padre: Tipo adquisicion: Entidad"</f>
        <v>Descripcion: . Estado: Bueno Placa anterior: 000020163 Material: ACERO INOXIDABLE Color:  Referencia:  Observacion:  Placa padre: Tipo adquisicion: Entidad</v>
      </c>
      <c r="G8956" s="5"/>
    </row>
    <row r="8957" spans="1:7" ht="58.5" customHeight="1" x14ac:dyDescent="0.25">
      <c r="A8957" s="5" t="str">
        <f>"H0007555"</f>
        <v>H0007555</v>
      </c>
      <c r="B8957" s="5" t="str">
        <f>"CARRO PARA TRANSPORTE BALA DE OXIGENO"</f>
        <v>CARRO PARA TRANSPORTE BALA DE OXIGENO</v>
      </c>
      <c r="C8957" s="6">
        <v>630000</v>
      </c>
      <c r="D8957" s="5"/>
      <c r="E8957" s="5" t="str">
        <f t="shared" si="463"/>
        <v>URGENCIAS PEDIATRIA-YENI ESPERANZA PENA GUERRERO</v>
      </c>
      <c r="F8957" s="5" t="str">
        <f>"Descripcion: OXIDO Estado: Regular Placa anterior: 000032862 Material: METALICO Color:  Referencia:  Observacion:  Placa padre: Tipo adquisicion: Entidad"</f>
        <v>Descripcion: OXIDO Estado: Regular Placa anterior: 000032862 Material: METALICO Color:  Referencia:  Observacion:  Placa padre: Tipo adquisicion: Entidad</v>
      </c>
      <c r="G8957" s="5"/>
    </row>
    <row r="8958" spans="1:7" ht="58.5" customHeight="1" x14ac:dyDescent="0.25">
      <c r="A8958" s="5" t="str">
        <f>"H0007556"</f>
        <v>H0007556</v>
      </c>
      <c r="B8958" s="5" t="str">
        <f>"ESCALERILLA DE 2 PASOS"</f>
        <v>ESCALERILLA DE 2 PASOS</v>
      </c>
      <c r="C8958" s="6">
        <v>100000</v>
      </c>
      <c r="D8958" s="5" t="s">
        <v>49</v>
      </c>
      <c r="E8958" s="5" t="str">
        <f t="shared" si="463"/>
        <v>URGENCIAS PEDIATRIA-YENI ESPERANZA PENA GUERRERO</v>
      </c>
      <c r="F8958" s="5" t="str">
        <f>"Descripcion: ESCALERILLA DE DOS PASO EN TUBO REDONDO1 PASO SE ENCUENTRA SUELTOOXIDO Estado: Regular Placa anterior: 000029968 Material: METALICO Color:  Referencia:  Observacion:  Placa padre: Tipo adquisicion: Entidad"</f>
        <v>Descripcion: ESCALERILLA DE DOS PASO EN TUBO REDONDO1 PASO SE ENCUENTRA SUELTOOXIDO Estado: Regular Placa anterior: 000029968 Material: METALICO Color:  Referencia:  Observacion:  Placa padre: Tipo adquisicion: Entidad</v>
      </c>
      <c r="G8958" s="5"/>
    </row>
    <row r="8959" spans="1:7" ht="58.5" customHeight="1" x14ac:dyDescent="0.25">
      <c r="A8959" s="5" t="str">
        <f>"H0007563"</f>
        <v>H0007563</v>
      </c>
      <c r="B8959" s="5" t="str">
        <f>"CUNA PEDIATRICA CON BARANDA"</f>
        <v>CUNA PEDIATRICA CON BARANDA</v>
      </c>
      <c r="C8959" s="6">
        <v>47300</v>
      </c>
      <c r="D8959" s="5"/>
      <c r="E8959" s="5" t="str">
        <f t="shared" si="463"/>
        <v>URGENCIAS PEDIATRIA-YENI ESPERANZA PENA GUERRERO</v>
      </c>
      <c r="F8959" s="5" t="str">
        <f>"Descripcion: COLCHON Estado: Bueno Placa anterior: 000026458 Material: METALICO Color: BEIGE Referencia:  Observacion: EL BIEN TIENE PLACA ANTERIOR 000028486 Placa padre: Tipo adquisicion: Entidad"</f>
        <v>Descripcion: COLCHON Estado: Bueno Placa anterior: 000026458 Material: METALICO Color: BEIGE Referencia:  Observacion: EL BIEN TIENE PLACA ANTERIOR 000028486 Placa padre: Tipo adquisicion: Entidad</v>
      </c>
      <c r="G8959" s="5"/>
    </row>
    <row r="8960" spans="1:7" ht="58.5" customHeight="1" x14ac:dyDescent="0.25">
      <c r="A8960" s="5" t="str">
        <f>"H0007564"</f>
        <v>H0007564</v>
      </c>
      <c r="B8960" s="5" t="str">
        <f>"ESCALERILLA DE 2 PASOS"</f>
        <v>ESCALERILLA DE 2 PASOS</v>
      </c>
      <c r="C8960" s="6">
        <v>100000</v>
      </c>
      <c r="D8960" s="5" t="s">
        <v>49</v>
      </c>
      <c r="E8960" s="5" t="str">
        <f t="shared" si="463"/>
        <v>URGENCIAS PEDIATRIA-YENI ESPERANZA PENA GUERRERO</v>
      </c>
      <c r="F8960" s="5" t="str">
        <f>"Descripcion: ESCALERILLA DE DOS PASO EN TUBO REDONDO1 PASO SUELTO Estado: Regular Placa anterior: 000029960 Material: METALICO Color: BEIGE Referencia:  Observacion:  Placa padre: Tipo adquisicion: Entidad"</f>
        <v>Descripcion: ESCALERILLA DE DOS PASO EN TUBO REDONDO1 PASO SUELTO Estado: Regular Placa anterior: 000029960 Material: METALICO Color: BEIGE Referencia:  Observacion:  Placa padre: Tipo adquisicion: Entidad</v>
      </c>
      <c r="G8960" s="5"/>
    </row>
    <row r="8961" spans="1:7" ht="58.5" customHeight="1" x14ac:dyDescent="0.25">
      <c r="A8961" s="5" t="str">
        <f>"H0007565"</f>
        <v>H0007565</v>
      </c>
      <c r="B8961" s="5" t="str">
        <f>"ESCALERILLA DE 2 PASOS"</f>
        <v>ESCALERILLA DE 2 PASOS</v>
      </c>
      <c r="C8961" s="6">
        <v>100000</v>
      </c>
      <c r="D8961" s="5" t="s">
        <v>49</v>
      </c>
      <c r="E8961" s="5" t="str">
        <f t="shared" si="463"/>
        <v>URGENCIAS PEDIATRIA-YENI ESPERANZA PENA GUERRERO</v>
      </c>
      <c r="F8961" s="5" t="str">
        <f>"Descripcion: ESCALERILLA DE DOS PASO EN TUBO REDONDO Estado: Bueno Placa anterior: 000029976 Material: METALICO Color: BEIGE Referencia:  Observacion:  Placa padre: Tipo adquisicion: Entidad"</f>
        <v>Descripcion: ESCALERILLA DE DOS PASO EN TUBO REDONDO Estado: Bueno Placa anterior: 000029976 Material: METALICO Color: BEIGE Referencia:  Observacion:  Placa padre: Tipo adquisicion: Entidad</v>
      </c>
      <c r="G8961" s="5"/>
    </row>
    <row r="8962" spans="1:7" ht="58.5" customHeight="1" x14ac:dyDescent="0.25">
      <c r="A8962" s="5" t="str">
        <f>"H0007567"</f>
        <v>H0007567</v>
      </c>
      <c r="B8962" s="5" t="str">
        <f>"CAMILLA DE TRASLADO CON BARANDAS"</f>
        <v>CAMILLA DE TRASLADO CON BARANDAS</v>
      </c>
      <c r="C8962" s="6">
        <v>1200008</v>
      </c>
      <c r="D8962" s="5"/>
      <c r="E8962" s="5" t="str">
        <f t="shared" si="463"/>
        <v>URGENCIAS PEDIATRIA-YENI ESPERANZA PENA GUERRERO</v>
      </c>
      <c r="F8962" s="5" t="str">
        <f>"Descripcion: SIN ATRIL Estado: Bueno Placa anterior: 000031279 Material: METALICO Color: BEIGE Referencia:  Observacion:  Placa padre: Tipo adquisicion: Entidad"</f>
        <v>Descripcion: SIN ATRIL Estado: Bueno Placa anterior: 000031279 Material: METALICO Color: BEIGE Referencia:  Observacion:  Placa padre: Tipo adquisicion: Entidad</v>
      </c>
      <c r="G8962" s="5"/>
    </row>
    <row r="8963" spans="1:7" ht="58.5" customHeight="1" x14ac:dyDescent="0.25">
      <c r="A8963" s="5" t="str">
        <f>"H0007568"</f>
        <v>H0007568</v>
      </c>
      <c r="B8963" s="5" t="str">
        <f>"CAMILLA DE TRASLADO CON BARANDAS"</f>
        <v>CAMILLA DE TRASLADO CON BARANDAS</v>
      </c>
      <c r="C8963" s="6">
        <v>1693600</v>
      </c>
      <c r="D8963" s="5" t="s">
        <v>516</v>
      </c>
      <c r="E8963" s="5" t="str">
        <f t="shared" ref="E8963:E9026" si="465">"URGENCIAS PEDIATRIA-YENI ESPERANZA PENA GUERRERO"</f>
        <v>URGENCIAS PEDIATRIA-YENI ESPERANZA PENA GUERRERO</v>
      </c>
      <c r="F8963" s="5" t="str">
        <f>"Descripcion: SIN ATRIL Estado: Bueno Placa anterior: 000030671 Material: METALICO Color: BEIGE Referencia:  Observacion: FISICAMENTE TIENE ASIGNADA LA PLACA ANTERIOR No. 30671, PERO NO APARECE REGISTRADO EN EL SISTEMA Placa padre: Tipo adquisicion: Entida"&amp; "d"</f>
        <v>Descripcion: SIN ATRIL Estado: Bueno Placa anterior: 000030671 Material: METALICO Color: BEIGE Referencia:  Observacion: FISICAMENTE TIENE ASIGNADA LA PLACA ANTERIOR No. 30671, PERO NO APARECE REGISTRADO EN EL SISTEMA Placa padre: Tipo adquisicion: Entidad</v>
      </c>
      <c r="G8963" s="5"/>
    </row>
    <row r="8964" spans="1:7" ht="58.5" customHeight="1" x14ac:dyDescent="0.25">
      <c r="A8964" s="5" t="str">
        <f>"H0007571"</f>
        <v>H0007571</v>
      </c>
      <c r="B8964" s="5" t="str">
        <f>"SILLA PLASTICA CON BRAZOS"</f>
        <v>SILLA PLASTICA CON BRAZOS</v>
      </c>
      <c r="C8964" s="6">
        <v>10440</v>
      </c>
      <c r="D8964" s="5"/>
      <c r="E8964" s="5" t="str">
        <f t="shared" si="465"/>
        <v>URGENCIAS PEDIATRIA-YENI ESPERANZA PENA GUERRERO</v>
      </c>
      <c r="F8964" s="5" t="str">
        <f>"Descripcion: SILLA PLASTICA BLANCA Estado: Bueno Placa anterior: 000003524 Material: PASTA Color: BLANCO Referencia:  Observacion:  Placa padre: Tipo adquisicion: Entidad"</f>
        <v>Descripcion: SILLA PLASTICA BLANCA Estado: Bueno Placa anterior: 000003524 Material: PASTA Color: BLANCO Referencia:  Observacion:  Placa padre: Tipo adquisicion: Entidad</v>
      </c>
      <c r="G8964" s="5"/>
    </row>
    <row r="8965" spans="1:7" ht="58.5" customHeight="1" x14ac:dyDescent="0.25">
      <c r="A8965" s="5" t="str">
        <f>"H0007573"</f>
        <v>H0007573</v>
      </c>
      <c r="B8965" s="5" t="str">
        <f>"CUNA PEDIATRICA CON BARANDA"</f>
        <v>CUNA PEDIATRICA CON BARANDA</v>
      </c>
      <c r="C8965" s="6">
        <v>2668000</v>
      </c>
      <c r="D8965" s="5" t="s">
        <v>161</v>
      </c>
      <c r="E8965" s="5" t="str">
        <f t="shared" si="465"/>
        <v>URGENCIAS PEDIATRIA-YENI ESPERANZA PENA GUERRERO</v>
      </c>
      <c r="F8965" s="5" t="str">
        <f>"Descripcion: CON ATRIL Estado: Bueno Placa anterior: 000028475 Material: METALICO Color: BEIGE Referencia:  Observacion:  Placa padre: Tipo adquisicion: Entidad"</f>
        <v>Descripcion: CON ATRIL Estado: Bueno Placa anterior: 000028475 Material: METALICO Color: BEIGE Referencia:  Observacion:  Placa padre: Tipo adquisicion: Entidad</v>
      </c>
      <c r="G8965" s="5"/>
    </row>
    <row r="8966" spans="1:7" ht="58.5" customHeight="1" x14ac:dyDescent="0.25">
      <c r="A8966" s="5" t="str">
        <f>"H0007574"</f>
        <v>H0007574</v>
      </c>
      <c r="B8966" s="5" t="str">
        <f>"ATRIL PORTASUERO MOVIL"</f>
        <v>ATRIL PORTASUERO MOVIL</v>
      </c>
      <c r="C8966" s="6">
        <v>210000</v>
      </c>
      <c r="D8966" s="5" t="s">
        <v>50</v>
      </c>
      <c r="E8966" s="5" t="str">
        <f t="shared" si="465"/>
        <v>URGENCIAS PEDIATRIA-YENI ESPERANZA PENA GUERRERO</v>
      </c>
      <c r="F8966" s="5" t="str">
        <f>"Descripcion: . Estado: Bueno Placa anterior: 000029753 Material: ACERO INOXIDABLE Color:  Referencia:  Observacion:  Placa padre: Tipo adquisicion: Entidad"</f>
        <v>Descripcion: . Estado: Bueno Placa anterior: 000029753 Material: ACERO INOXIDABLE Color:  Referencia:  Observacion:  Placa padre: Tipo adquisicion: Entidad</v>
      </c>
      <c r="G8966" s="5"/>
    </row>
    <row r="8967" spans="1:7" ht="58.5" customHeight="1" x14ac:dyDescent="0.25">
      <c r="A8967" s="5" t="str">
        <f>"H0007575"</f>
        <v>H0007575</v>
      </c>
      <c r="B8967" s="5" t="str">
        <f>"ESCALERILLA DE 2 PASOS"</f>
        <v>ESCALERILLA DE 2 PASOS</v>
      </c>
      <c r="C8967" s="6">
        <v>5034.04</v>
      </c>
      <c r="D8967" s="5"/>
      <c r="E8967" s="5" t="str">
        <f t="shared" si="465"/>
        <v>URGENCIAS PEDIATRIA-YENI ESPERANZA PENA GUERRERO</v>
      </c>
      <c r="F8967" s="5" t="str">
        <f>"Descripcion: . Estado: Bueno Placa anterior: 000014489 Material: METALICO FORMICA Color: BLANCO BEIGE Referencia:  Observacion:  Placa padre: Tipo adquisicion: Entidad"</f>
        <v>Descripcion: . Estado: Bueno Placa anterior: 000014489 Material: METALICO FORMICA Color: BLANCO BEIGE Referencia:  Observacion:  Placa padre: Tipo adquisicion: Entidad</v>
      </c>
      <c r="G8967" s="5"/>
    </row>
    <row r="8968" spans="1:7" ht="58.5" customHeight="1" x14ac:dyDescent="0.25">
      <c r="A8968" s="5" t="str">
        <f>"H0007577"</f>
        <v>H0007577</v>
      </c>
      <c r="B8968" s="5" t="str">
        <f>"BIOMBO METALICO DE 3 CUERPOS"</f>
        <v>BIOMBO METALICO DE 3 CUERPOS</v>
      </c>
      <c r="C8968" s="6">
        <v>145000</v>
      </c>
      <c r="D8968" s="5" t="s">
        <v>166</v>
      </c>
      <c r="E8968" s="5" t="str">
        <f t="shared" si="465"/>
        <v>URGENCIAS PEDIATRIA-YENI ESPERANZA PENA GUERRERO</v>
      </c>
      <c r="F8968" s="5" t="str">
        <f>"Descripcion: TELA AZUL Estado: Bueno Placa anterior: 000031453 Material: METALICO Color: BEIGE Referencia:  Observacion:  Placa padre: Tipo adquisicion: Entidad"</f>
        <v>Descripcion: TELA AZUL Estado: Bueno Placa anterior: 000031453 Material: METALICO Color: BEIGE Referencia:  Observacion:  Placa padre: Tipo adquisicion: Entidad</v>
      </c>
      <c r="G8968" s="5"/>
    </row>
    <row r="8969" spans="1:7" ht="58.5" customHeight="1" x14ac:dyDescent="0.25">
      <c r="A8969" s="5" t="str">
        <f>"H0007586"</f>
        <v>H0007586</v>
      </c>
      <c r="B8969" s="5" t="str">
        <f>"VENTILADOR DE PARED"</f>
        <v>VENTILADOR DE PARED</v>
      </c>
      <c r="C8969" s="6">
        <v>72477.5</v>
      </c>
      <c r="D8969" s="5" t="s">
        <v>54</v>
      </c>
      <c r="E8969" s="5" t="str">
        <f t="shared" si="465"/>
        <v>URGENCIAS PEDIATRIA-YENI ESPERANZA PENA GUERRERO</v>
      </c>
      <c r="F8969" s="5" t="str">
        <f>"Descripcion: . Estado: Inservible Placa anterior: 000037172 Material: PASTA Color: BLANCO Referencia:  Observacion:  Placa padre: Tipo adquisicion: Entidad"</f>
        <v>Descripcion: . Estado: Inservible Placa anterior: 000037172 Material: PASTA Color: BLANCO Referencia:  Observacion:  Placa padre: Tipo adquisicion: Entidad</v>
      </c>
      <c r="G8969" s="5" t="str">
        <f>"MAX AIR"</f>
        <v>MAX AIR</v>
      </c>
    </row>
    <row r="8970" spans="1:7" ht="58.5" customHeight="1" x14ac:dyDescent="0.25">
      <c r="A8970" s="5" t="str">
        <f>"H0007588"</f>
        <v>H0007588</v>
      </c>
      <c r="B8970" s="5" t="str">
        <f>"MESA DE NOCHE"</f>
        <v>MESA DE NOCHE</v>
      </c>
      <c r="C8970" s="6">
        <v>8389.33</v>
      </c>
      <c r="D8970" s="5"/>
      <c r="E8970" s="5" t="str">
        <f t="shared" si="465"/>
        <v>URGENCIAS PEDIATRIA-YENI ESPERANZA PENA GUERRERO</v>
      </c>
      <c r="F8970" s="5" t="str">
        <f>"Descripcion: MESA DE NOCHE Estado: Bueno Placa anterior: 000019692 Material: METALICO Color: GRIS Referencia:  Observacion:  Placa padre: Tipo adquisicion: Entidad"</f>
        <v>Descripcion: MESA DE NOCHE Estado: Bueno Placa anterior: 000019692 Material: METALICO Color: GRIS Referencia:  Observacion:  Placa padre: Tipo adquisicion: Entidad</v>
      </c>
      <c r="G8970" s="5"/>
    </row>
    <row r="8971" spans="1:7" ht="58.5" customHeight="1" x14ac:dyDescent="0.25">
      <c r="A8971" s="5" t="str">
        <f>"H0007591"</f>
        <v>H0007591</v>
      </c>
      <c r="B8971" s="5" t="str">
        <f>"CAMARA DE VIDEOVIGILANCIA"</f>
        <v>CAMARA DE VIDEOVIGILANCIA</v>
      </c>
      <c r="C8971" s="6">
        <v>371000</v>
      </c>
      <c r="D8971" s="5" t="s">
        <v>213</v>
      </c>
      <c r="E8971" s="5" t="str">
        <f t="shared" si="465"/>
        <v>URGENCIAS PEDIATRIA-YENI ESPERANZA PENA GUERRERO</v>
      </c>
      <c r="F8971" s="5" t="str">
        <f>"Descripcion: CAMARA IP TIPO DOMO 2 MPX LENTE DE 2.8 mm PoE 1/3 (WI-FI) Estado: Bueno Placa anterior: 000038216 Material: PASTA Color: BLANCO Referencia:  Observacion:  Placa padre: Tipo adquisicion: Entidad"</f>
        <v>Descripcion: CAMARA IP TIPO DOMO 2 MPX LENTE DE 2.8 mm PoE 1/3 (WI-FI) Estado: Bueno Placa anterior: 000038216 Material: PASTA Color: BLANCO Referencia:  Observacion:  Placa padre: Tipo adquisicion: Entidad</v>
      </c>
      <c r="G8971" s="5"/>
    </row>
    <row r="8972" spans="1:7" ht="58.5" customHeight="1" x14ac:dyDescent="0.25">
      <c r="A8972" s="5" t="str">
        <f>"H0007637"</f>
        <v>H0007637</v>
      </c>
      <c r="B8972" s="5" t="str">
        <f>"CUNA PEDIATRICA CON BARANDA"</f>
        <v>CUNA PEDIATRICA CON BARANDA</v>
      </c>
      <c r="C8972" s="6">
        <v>33905.06</v>
      </c>
      <c r="D8972" s="5"/>
      <c r="E8972" s="5" t="str">
        <f t="shared" si="465"/>
        <v>URGENCIAS PEDIATRIA-YENI ESPERANZA PENA GUERRERO</v>
      </c>
      <c r="F8972" s="5" t="str">
        <f>"Descripcion: CAMA CUNA4 PLANOSBARANDASCOLCHONSIN ATRIL Estado: Bueno Placa anterior: 000033716 Material: METALICO Color: BLANCO Referencia:  Observacion:  Placa padre: Tipo adquisicion: Entidad"</f>
        <v>Descripcion: CAMA CUNA4 PLANOSBARANDASCOLCHONSIN ATRIL Estado: Bueno Placa anterior: 000033716 Material: METALICO Color: BLANCO Referencia:  Observacion:  Placa padre: Tipo adquisicion: Entidad</v>
      </c>
      <c r="G8972" s="5"/>
    </row>
    <row r="8973" spans="1:7" ht="58.5" customHeight="1" x14ac:dyDescent="0.25">
      <c r="A8973" s="5" t="str">
        <f>"H0007675"</f>
        <v>H0007675</v>
      </c>
      <c r="B8973" s="5" t="str">
        <f>"ATRIL PORTASUERO MOVIL"</f>
        <v>ATRIL PORTASUERO MOVIL</v>
      </c>
      <c r="C8973" s="6">
        <v>210000</v>
      </c>
      <c r="D8973" s="5" t="s">
        <v>50</v>
      </c>
      <c r="E8973" s="5" t="str">
        <f t="shared" si="465"/>
        <v>URGENCIAS PEDIATRIA-YENI ESPERANZA PENA GUERRERO</v>
      </c>
      <c r="F8973" s="5" t="str">
        <f>"Descripcion: ATRIL EN ACERO INOXIDABLE , CON OXIDO - ANTIMAGNETICO Estado: Regular Placa anterior: 000029758 Material: ACERO INOXIDABLE Color:  Referencia:  Observacion:  Placa padre: Tipo adquisicion: Entidad"</f>
        <v>Descripcion: ATRIL EN ACERO INOXIDABLE , CON OXIDO - ANTIMAGNETICO Estado: Regular Placa anterior: 000029758 Material: ACERO INOXIDABLE Color:  Referencia:  Observacion:  Placa padre: Tipo adquisicion: Entidad</v>
      </c>
      <c r="G8973" s="5"/>
    </row>
    <row r="8974" spans="1:7" ht="58.5" customHeight="1" x14ac:dyDescent="0.25">
      <c r="A8974" s="5" t="str">
        <f>"H0007745"</f>
        <v>H0007745</v>
      </c>
      <c r="B8974" s="5" t="str">
        <f>"CAMA PEDIATRICA CON BARANDA"</f>
        <v>CAMA PEDIATRICA CON BARANDA</v>
      </c>
      <c r="C8974" s="6">
        <v>52800</v>
      </c>
      <c r="D8974" s="5"/>
      <c r="E8974" s="5" t="str">
        <f t="shared" si="465"/>
        <v>URGENCIAS PEDIATRIA-YENI ESPERANZA PENA GUERRERO</v>
      </c>
      <c r="F8974" s="5" t="str">
        <f>"Descripcion: CUNA CON RUEDAS FIJAS Estado: Bueno Placa anterior: 000018390 Material: METALICO Color: AZUL CLARO Referencia:  Observacion:  Placa padre: Tipo adquisicion: Entidad"</f>
        <v>Descripcion: CUNA CON RUEDAS FIJAS Estado: Bueno Placa anterior: 000018390 Material: METALICO Color: AZUL CLARO Referencia:  Observacion:  Placa padre: Tipo adquisicion: Entidad</v>
      </c>
      <c r="G8974" s="5"/>
    </row>
    <row r="8975" spans="1:7" ht="58.5" customHeight="1" x14ac:dyDescent="0.25">
      <c r="A8975" s="5" t="str">
        <f>"H0007758"</f>
        <v>H0007758</v>
      </c>
      <c r="B8975" s="5" t="str">
        <f>"ATRIL PORTASUERO MOVIL"</f>
        <v>ATRIL PORTASUERO MOVIL</v>
      </c>
      <c r="C8975" s="6">
        <v>210000</v>
      </c>
      <c r="D8975" s="5" t="s">
        <v>50</v>
      </c>
      <c r="E8975" s="5" t="str">
        <f t="shared" si="465"/>
        <v>URGENCIAS PEDIATRIA-YENI ESPERANZA PENA GUERRERO</v>
      </c>
      <c r="F8975" s="5" t="str">
        <f>"Descripcion: ATRIL EN ACERO INOXIDABLE QUIRURGICO ANTIMAGNETICO Estado: Bueno Placa anterior: 000029736 Material: ACERO INOXIDABLE Color:  Referencia:  Observacion:  Placa padre: Tipo adquisicion: Entidad"</f>
        <v>Descripcion: ATRIL EN ACERO INOXIDABLE QUIRURGICO ANTIMAGNETICO Estado: Bueno Placa anterior: 000029736 Material: ACERO INOXIDABLE Color:  Referencia:  Observacion:  Placa padre: Tipo adquisicion: Entidad</v>
      </c>
      <c r="G8975" s="5"/>
    </row>
    <row r="8976" spans="1:7" ht="58.5" customHeight="1" x14ac:dyDescent="0.25">
      <c r="A8976" s="5" t="str">
        <f>"H0007764"</f>
        <v>H0007764</v>
      </c>
      <c r="B8976" s="5" t="str">
        <f>"ATRIL PORTASUERO MOVIL"</f>
        <v>ATRIL PORTASUERO MOVIL</v>
      </c>
      <c r="C8976" s="6">
        <v>80005</v>
      </c>
      <c r="D8976" s="5" t="s">
        <v>164</v>
      </c>
      <c r="E8976" s="5" t="str">
        <f t="shared" si="465"/>
        <v>URGENCIAS PEDIATRIA-YENI ESPERANZA PENA GUERRERO</v>
      </c>
      <c r="F8976" s="5" t="str">
        <f>"Descripcion: ATRIL CON OXIDO EN LA BASE.  PELADO Estado: Regular Placa anterior: 000030469 Material: METALICO Color: GRIS Referencia:  Observacion:  Placa padre: Tipo adquisicion: Entidad"</f>
        <v>Descripcion: ATRIL CON OXIDO EN LA BASE.  PELADO Estado: Regular Placa anterior: 000030469 Material: METALICO Color: GRIS Referencia:  Observacion:  Placa padre: Tipo adquisicion: Entidad</v>
      </c>
      <c r="G8976" s="5"/>
    </row>
    <row r="8977" spans="1:7" ht="58.5" customHeight="1" x14ac:dyDescent="0.25">
      <c r="A8977" s="5" t="str">
        <f>"H0007771"</f>
        <v>H0007771</v>
      </c>
      <c r="B8977" s="5" t="str">
        <f>"CAMA PEDIATRICA CON BARANDA"</f>
        <v>CAMA PEDIATRICA CON BARANDA</v>
      </c>
      <c r="C8977" s="6">
        <v>33905.06</v>
      </c>
      <c r="D8977" s="5"/>
      <c r="E8977" s="5" t="str">
        <f t="shared" si="465"/>
        <v>URGENCIAS PEDIATRIA-YENI ESPERANZA PENA GUERRERO</v>
      </c>
      <c r="F8977" s="5" t="str">
        <f>"Descripcion: CUNA CON RUEDAS FIJAS Estado: Bueno Placa anterior: 000033722 Material: METAL Color: BEIZ Referencia:  Observacion: BUEN ESTADO CAMA CON RUEDAS  Placa padre: Tipo adquisicion: Entidad"</f>
        <v>Descripcion: CUNA CON RUEDAS FIJAS Estado: Bueno Placa anterior: 000033722 Material: METAL Color: BEIZ Referencia:  Observacion: BUEN ESTADO CAMA CON RUEDAS  Placa padre: Tipo adquisicion: Entidad</v>
      </c>
      <c r="G8977" s="5"/>
    </row>
    <row r="8978" spans="1:7" ht="58.5" customHeight="1" x14ac:dyDescent="0.25">
      <c r="A8978" s="5" t="str">
        <f>"H0007774"</f>
        <v>H0007774</v>
      </c>
      <c r="B8978" s="5" t="str">
        <f>"CAMA HOSPITALARIA 1 PLANO"</f>
        <v>CAMA HOSPITALARIA 1 PLANO</v>
      </c>
      <c r="C8978" s="6">
        <v>43324.23</v>
      </c>
      <c r="D8978" s="5"/>
      <c r="E8978" s="5" t="str">
        <f t="shared" si="465"/>
        <v>URGENCIAS PEDIATRIA-YENI ESPERANZA PENA GUERRERO</v>
      </c>
      <c r="F8978" s="5" t="str">
        <f>"Descripcion: CUNA CON RUEDAS FIJAS Estado: Bueno Placa anterior: 000027100 Material: METAL Color: BEIZ Referencia:  Observacion: BUEN ESTADO  LA CAMA Placa padre: Tipo adquisicion: Entidad"</f>
        <v>Descripcion: CUNA CON RUEDAS FIJAS Estado: Bueno Placa anterior: 000027100 Material: METAL Color: BEIZ Referencia:  Observacion: BUEN ESTADO  LA CAMA Placa padre: Tipo adquisicion: Entidad</v>
      </c>
      <c r="G8978" s="5"/>
    </row>
    <row r="8979" spans="1:7" ht="58.5" customHeight="1" x14ac:dyDescent="0.25">
      <c r="A8979" s="5" t="str">
        <f>"H0007789"</f>
        <v>H0007789</v>
      </c>
      <c r="B8979" s="5" t="str">
        <f>"CAMA PEDIATRICA CON BARANDA"</f>
        <v>CAMA PEDIATRICA CON BARANDA</v>
      </c>
      <c r="C8979" s="6">
        <v>33905.06</v>
      </c>
      <c r="D8979" s="5"/>
      <c r="E8979" s="5" t="str">
        <f t="shared" si="465"/>
        <v>URGENCIAS PEDIATRIA-YENI ESPERANZA PENA GUERRERO</v>
      </c>
      <c r="F8979" s="5" t="str">
        <f>"Descripcion: CUNA CON RUEDAS FIJAS Estado: Bueno Placa anterior: 000033743 Material: METAL Color: BEIZ Referencia:  Observacion: BUEN ESTADO, CAMA CUNA DE DOS NIVELES CON RUEDAS  Placa padre: Tipo adquisicion: Entidad"</f>
        <v>Descripcion: CUNA CON RUEDAS FIJAS Estado: Bueno Placa anterior: 000033743 Material: METAL Color: BEIZ Referencia:  Observacion: BUEN ESTADO, CAMA CUNA DE DOS NIVELES CON RUEDAS  Placa padre: Tipo adquisicion: Entidad</v>
      </c>
      <c r="G8979" s="5"/>
    </row>
    <row r="8980" spans="1:7" ht="58.5" customHeight="1" x14ac:dyDescent="0.25">
      <c r="A8980" s="5" t="str">
        <f>"H0007795"</f>
        <v>H0007795</v>
      </c>
      <c r="B8980" s="5" t="str">
        <f>"SILLA DE RUEDAS"</f>
        <v>SILLA DE RUEDAS</v>
      </c>
      <c r="C8980" s="6">
        <v>54131.43</v>
      </c>
      <c r="D8980" s="5"/>
      <c r="E8980" s="5" t="str">
        <f t="shared" si="465"/>
        <v>URGENCIAS PEDIATRIA-YENI ESPERANZA PENA GUERRERO</v>
      </c>
      <c r="F8980" s="5" t="str">
        <f>"Descripcion: SILLA DE RUEDAS  Estado: Bueno Placa anterior: 000007838 Material:  METAL DE PASTA Color: NEGRO Referencia:  Observacion: BUEN ESTADO Y FUNCIONAMIENTO Placa padre: Tipo adquisicion: Entidad"</f>
        <v>Descripcion: SILLA DE RUEDAS  Estado: Bueno Placa anterior: 000007838 Material:  METAL DE PASTA Color: NEGRO Referencia:  Observacion: BUEN ESTADO Y FUNCIONAMIENTO Placa padre: Tipo adquisicion: Entidad</v>
      </c>
      <c r="G8980" s="5"/>
    </row>
    <row r="8981" spans="1:7" ht="58.5" customHeight="1" x14ac:dyDescent="0.25">
      <c r="A8981" s="5" t="str">
        <f>"H0007800"</f>
        <v>H0007800</v>
      </c>
      <c r="B8981" s="5" t="str">
        <f>"SILLA DE RUEDAS"</f>
        <v>SILLA DE RUEDAS</v>
      </c>
      <c r="C8981" s="6">
        <v>54131.43</v>
      </c>
      <c r="D8981" s="5"/>
      <c r="E8981" s="5" t="str">
        <f t="shared" si="465"/>
        <v>URGENCIAS PEDIATRIA-YENI ESPERANZA PENA GUERRERO</v>
      </c>
      <c r="F8981" s="5" t="str">
        <f>"Descripcion: SILLA DE RUEDAS Estado: Bueno Placa anterior: 00031897 Material: METAL DE PASTA Color: NEGRO Referencia:  Observacion: BUEN ESTADO Y FUNCIONAMIENTO Placa padre: Tipo adquisicion: Entidad"</f>
        <v>Descripcion: SILLA DE RUEDAS Estado: Bueno Placa anterior: 00031897 Material: METAL DE PASTA Color: NEGRO Referencia:  Observacion: BUEN ESTADO Y FUNCIONAMIENTO Placa padre: Tipo adquisicion: Entidad</v>
      </c>
      <c r="G8981" s="5"/>
    </row>
    <row r="8982" spans="1:7" ht="58.5" customHeight="1" x14ac:dyDescent="0.25">
      <c r="A8982" s="5" t="str">
        <f>"H0007835"</f>
        <v>H0007835</v>
      </c>
      <c r="B8982" s="5" t="str">
        <f>"PUESTO DE TRABAJO EN L CON 3 GAVETAS"</f>
        <v>PUESTO DE TRABAJO EN L CON 3 GAVETAS</v>
      </c>
      <c r="C8982" s="6">
        <v>1334000</v>
      </c>
      <c r="D8982" s="5" t="s">
        <v>517</v>
      </c>
      <c r="E8982" s="5" t="str">
        <f t="shared" si="465"/>
        <v>URGENCIAS PEDIATRIA-YENI ESPERANZA PENA GUERRERO</v>
      </c>
      <c r="F8982" s="5" t="str">
        <f>"Descripcion: SUPERFICIE EN FORMICABASE METALICA Estado: Excelente Placa anterior: 000028991 Material: METALICO Color: NEGRO Referencia:  Observacion: AUTORIZADO CONCILIAR EN CRUCE GENERAL Placa padre: Tipo adquisicion: Entidad"</f>
        <v>Descripcion: SUPERFICIE EN FORMICABASE METALICA Estado: Excelente Placa anterior: 000028991 Material: METALICO Color: NEGRO Referencia:  Observacion: AUTORIZADO CONCILIAR EN CRUCE GENERAL Placa padre: Tipo adquisicion: Entidad</v>
      </c>
      <c r="G8982" s="5"/>
    </row>
    <row r="8983" spans="1:7" ht="58.5" customHeight="1" x14ac:dyDescent="0.25">
      <c r="A8983" s="5" t="str">
        <f>"H0007842"</f>
        <v>H0007842</v>
      </c>
      <c r="B8983" s="5" t="str">
        <f>"LAVAPLATOS EN ACERO INOXIDABLE 1 PUESTO"</f>
        <v>LAVAPLATOS EN ACERO INOXIDABLE 1 PUESTO</v>
      </c>
      <c r="C8983" s="6">
        <v>81414.64</v>
      </c>
      <c r="D8983" s="5"/>
      <c r="E8983" s="5" t="str">
        <f t="shared" si="465"/>
        <v>URGENCIAS PEDIATRIA-YENI ESPERANZA PENA GUERRERO</v>
      </c>
      <c r="F8983" s="5" t="str">
        <f>"Descripcion: MESON EN ACERO INOX. CON TOPE EN U CON VERTEDERO SENCILLO 2.98X57 CMS2 PUERTAS CON VIDRIO Estado: Bueno Placa anterior: 000018432 Material: ACERO INOXIDABLE Color:  Referencia:  Observacion:  Placa padre: Tipo adquisicion: Entidad"</f>
        <v>Descripcion: MESON EN ACERO INOX. CON TOPE EN U CON VERTEDERO SENCILLO 2.98X57 CMS2 PUERTAS CON VIDRIO Estado: Bueno Placa anterior: 000018432 Material: ACERO INOXIDABLE Color:  Referencia:  Observacion:  Placa padre: Tipo adquisicion: Entidad</v>
      </c>
      <c r="G8983" s="5"/>
    </row>
    <row r="8984" spans="1:7" ht="58.5" customHeight="1" x14ac:dyDescent="0.25">
      <c r="A8984" s="5" t="str">
        <f>"H0007844"</f>
        <v>H0007844</v>
      </c>
      <c r="B8984" s="5" t="str">
        <f>"CAMILLA FIJA (TIPO DIVAN)"</f>
        <v>CAMILLA FIJA (TIPO DIVAN)</v>
      </c>
      <c r="C8984" s="6">
        <v>1645000</v>
      </c>
      <c r="D8984" s="5"/>
      <c r="E8984" s="5" t="str">
        <f t="shared" si="465"/>
        <v>URGENCIAS PEDIATRIA-YENI ESPERANZA PENA GUERRERO</v>
      </c>
      <c r="F8984" s="5" t="str">
        <f>"Descripcion: CON COLCHONETA ADHERIDA Estado: Bueno Placa anterior: 000032995 Material: METALICO Color: BEIGE Referencia:  Observacion:  Placa padre: Tipo adquisicion: Entidad"</f>
        <v>Descripcion: CON COLCHONETA ADHERIDA Estado: Bueno Placa anterior: 000032995 Material: METALICO Color: BEIGE Referencia:  Observacion:  Placa padre: Tipo adquisicion: Entidad</v>
      </c>
      <c r="G8984" s="5"/>
    </row>
    <row r="8985" spans="1:7" ht="58.5" customHeight="1" x14ac:dyDescent="0.25">
      <c r="A8985" s="5" t="str">
        <f>"H0007846"</f>
        <v>H0007846</v>
      </c>
      <c r="B8985" s="5" t="str">
        <f>"PARLANTE (BAFLE)"</f>
        <v>PARLANTE (BAFLE)</v>
      </c>
      <c r="C8985" s="6">
        <v>104400</v>
      </c>
      <c r="D8985" s="5" t="s">
        <v>382</v>
      </c>
      <c r="E8985" s="5" t="str">
        <f t="shared" si="465"/>
        <v>URGENCIAS PEDIATRIA-YENI ESPERANZA PENA GUERRERO</v>
      </c>
      <c r="F8985" s="5" t="str">
        <f>"Descripcion: Parlante sonido ambiental marca audio Estado: Bueno Placa anterior: 000039088 Material: PASTA Color: BLANCO Referencia:  Observacion:  Placa padre: Tipo adquisicion: Entidad"</f>
        <v>Descripcion: Parlante sonido ambiental marca audio Estado: Bueno Placa anterior: 000039088 Material: PASTA Color: BLANCO Referencia:  Observacion:  Placa padre: Tipo adquisicion: Entidad</v>
      </c>
      <c r="G8985" s="5"/>
    </row>
    <row r="8986" spans="1:7" ht="58.5" customHeight="1" x14ac:dyDescent="0.25">
      <c r="A8986" s="5" t="str">
        <f>"H0007847"</f>
        <v>H0007847</v>
      </c>
      <c r="B8986" s="5" t="str">
        <f>"SILLA DE RUEDAS"</f>
        <v>SILLA DE RUEDAS</v>
      </c>
      <c r="C8986" s="6">
        <v>175070.84</v>
      </c>
      <c r="D8986" s="5"/>
      <c r="E8986" s="5" t="str">
        <f t="shared" si="465"/>
        <v>URGENCIAS PEDIATRIA-YENI ESPERANZA PENA GUERRERO</v>
      </c>
      <c r="F8986" s="5" t="str">
        <f>"Descripcion: PEDIATRICACUERO NEGROSIN POSA PIES Estado: Regular Placa anterior: 000018532 Material: METALICO Color: NEGRO Referencia:  Observacion:  Placa padre: Tipo adquisicion: Entidad"</f>
        <v>Descripcion: PEDIATRICACUERO NEGROSIN POSA PIES Estado: Regular Placa anterior: 000018532 Material: METALICO Color: NEGRO Referencia:  Observacion:  Placa padre: Tipo adquisicion: Entidad</v>
      </c>
      <c r="G8986" s="5"/>
    </row>
    <row r="8987" spans="1:7" ht="58.5" customHeight="1" x14ac:dyDescent="0.25">
      <c r="A8987" s="5" t="str">
        <f>"H0007848"</f>
        <v>H0007848</v>
      </c>
      <c r="B8987" s="5" t="str">
        <f>"PATO (COPROLOGICO) MUJER"</f>
        <v>PATO (COPROLOGICO) MUJER</v>
      </c>
      <c r="C8987" s="6">
        <v>53580</v>
      </c>
      <c r="D8987" s="5"/>
      <c r="E8987" s="5" t="str">
        <f t="shared" si="465"/>
        <v>URGENCIAS PEDIATRIA-YENI ESPERANZA PENA GUERRERO</v>
      </c>
      <c r="F8987" s="5" t="str">
        <f>"Descripcion: . Estado: Bueno Placa anterior: 000018481 Material: ACERO INOXIDABLE Color:  Referencia:  Observacion:  Placa padre: Tipo adquisicion: Entidad"</f>
        <v>Descripcion: . Estado: Bueno Placa anterior: 000018481 Material: ACERO INOXIDABLE Color:  Referencia:  Observacion:  Placa padre: Tipo adquisicion: Entidad</v>
      </c>
      <c r="G8987" s="5"/>
    </row>
    <row r="8988" spans="1:7" ht="58.5" customHeight="1" x14ac:dyDescent="0.25">
      <c r="A8988" s="5" t="str">
        <f>"H0007850"</f>
        <v>H0007850</v>
      </c>
      <c r="B8988" s="5" t="str">
        <f>"ARCHIVADOR METALICO 3 GAVETAS"</f>
        <v>ARCHIVADOR METALICO 3 GAVETAS</v>
      </c>
      <c r="C8988" s="6">
        <v>97926</v>
      </c>
      <c r="D8988" s="5"/>
      <c r="E8988" s="5" t="str">
        <f t="shared" si="465"/>
        <v>URGENCIAS PEDIATRIA-YENI ESPERANZA PENA GUERRERO</v>
      </c>
      <c r="F8988" s="5" t="str">
        <f>"Descripcion: ARCHIVADOR TIPO B (3 GAVETAS) Estado: Bueno Placa anterior: 000018666 Material: METALICO Color: GRIS Referencia:  Observacion:  Placa padre: Tipo adquisicion: Entidad"</f>
        <v>Descripcion: ARCHIVADOR TIPO B (3 GAVETAS) Estado: Bueno Placa anterior: 000018666 Material: METALICO Color: GRIS Referencia:  Observacion:  Placa padre: Tipo adquisicion: Entidad</v>
      </c>
      <c r="G8988" s="5"/>
    </row>
    <row r="8989" spans="1:7" ht="58.5" customHeight="1" x14ac:dyDescent="0.25">
      <c r="A8989" s="5" t="str">
        <f>"H0007851"</f>
        <v>H0007851</v>
      </c>
      <c r="B8989" s="5" t="str">
        <f>"ESCALERILLA DE 2 PASOS"</f>
        <v>ESCALERILLA DE 2 PASOS</v>
      </c>
      <c r="C8989" s="6">
        <v>100000</v>
      </c>
      <c r="D8989" s="5" t="s">
        <v>49</v>
      </c>
      <c r="E8989" s="5" t="str">
        <f t="shared" si="465"/>
        <v>URGENCIAS PEDIATRIA-YENI ESPERANZA PENA GUERRERO</v>
      </c>
      <c r="F8989" s="5" t="str">
        <f>"Descripcion: ESCALERILLA DE DOS PASO EN TUBO REDONDOPELADA Estado: Bueno Placa anterior: 000029963 Material: METALICO Color: BLANCO Referencia:  Observacion:  Placa padre: Tipo adquisicion: Entidad"</f>
        <v>Descripcion: ESCALERILLA DE DOS PASO EN TUBO REDONDOPELADA Estado: Bueno Placa anterior: 000029963 Material: METALICO Color: BLANCO Referencia:  Observacion:  Placa padre: Tipo adquisicion: Entidad</v>
      </c>
      <c r="G8989" s="5"/>
    </row>
    <row r="8990" spans="1:7" ht="58.5" customHeight="1" x14ac:dyDescent="0.25">
      <c r="A8990" s="5" t="str">
        <f>"H0007852"</f>
        <v>H0007852</v>
      </c>
      <c r="B8990" s="5" t="str">
        <f>"POTE (TARRO) ACERO INXODABLE CON TAPA MEDIANO"</f>
        <v>POTE (TARRO) ACERO INXODABLE CON TAPA MEDIANO</v>
      </c>
      <c r="C8990" s="6">
        <v>21799.02</v>
      </c>
      <c r="D8990" s="5"/>
      <c r="E8990" s="5" t="str">
        <f t="shared" si="465"/>
        <v>URGENCIAS PEDIATRIA-YENI ESPERANZA PENA GUERRERO</v>
      </c>
      <c r="F8990" s="5" t="str">
        <f>"Descripcion: TARRO EN ACERO INOXIDABLESIN TAPA Estado: Bueno Placa anterior: 000018638 Material: ACERO INOXIDABLE Color:  Referencia:  Observacion:  Placa padre: Tipo adquisicion: Entidad"</f>
        <v>Descripcion: TARRO EN ACERO INOXIDABLESIN TAPA Estado: Bueno Placa anterior: 000018638 Material: ACERO INOXIDABLE Color:  Referencia:  Observacion:  Placa padre: Tipo adquisicion: Entidad</v>
      </c>
      <c r="G8990" s="5"/>
    </row>
    <row r="8991" spans="1:7" ht="58.5" customHeight="1" x14ac:dyDescent="0.25">
      <c r="A8991" s="5" t="str">
        <f>"H0007853"</f>
        <v>H0007853</v>
      </c>
      <c r="B8991" s="5" t="str">
        <f>"TENSIOMETRO ANEROIDE DE MANO ADULTO"</f>
        <v>TENSIOMETRO ANEROIDE DE MANO ADULTO</v>
      </c>
      <c r="C8991" s="6">
        <v>48720</v>
      </c>
      <c r="D8991" s="5"/>
      <c r="E8991" s="5" t="str">
        <f t="shared" si="465"/>
        <v>URGENCIAS PEDIATRIA-YENI ESPERANZA PENA GUERRERO</v>
      </c>
      <c r="F8991" s="5" t="str">
        <f>"Descripcion: TENSIOMETRO SE ENCUENTRA DAÑADO SIN MANOMETROCON BRAZALETE Estado: Inservible Placa anterior: 000022663 Material: ACERO INOXIDABLE Color:  Referencia:  Observacion:  Placa padre: Tipo adquisicion: Entidad"</f>
        <v>Descripcion: TENSIOMETRO SE ENCUENTRA DAÑADO SIN MANOMETROCON BRAZALETE Estado: Inservible Placa anterior: 000022663 Material: ACERO INOXIDABLE Color:  Referencia:  Observacion:  Placa padre: Tipo adquisicion: Entidad</v>
      </c>
      <c r="G8991" s="5"/>
    </row>
    <row r="8992" spans="1:7" ht="58.5" customHeight="1" x14ac:dyDescent="0.25">
      <c r="A8992" s="5" t="str">
        <f>"H0007854"</f>
        <v>H0007854</v>
      </c>
      <c r="B8992" s="5" t="str">
        <f>"MANOMETRO PARA OXIGENO"</f>
        <v>MANOMETRO PARA OXIGENO</v>
      </c>
      <c r="C8992" s="6">
        <v>301600</v>
      </c>
      <c r="D8992" s="5" t="s">
        <v>56</v>
      </c>
      <c r="E8992" s="5" t="str">
        <f t="shared" si="465"/>
        <v>URGENCIAS PEDIATRIA-YENI ESPERANZA PENA GUERRERO</v>
      </c>
      <c r="F8992" s="5" t="str">
        <f>"Descripcion: REGULADOR CON MANOMETRO Estado: Excelente Placa anterior: 000031152 Material: ACERO INOXIDABLE Color:  Referencia: M1R0501 Observacion:  Placa padre: Tipo adquisicion: Entidad"</f>
        <v>Descripcion: REGULADOR CON MANOMETRO Estado: Excelente Placa anterior: 000031152 Material: ACERO INOXIDABLE Color:  Referencia: M1R0501 Observacion:  Placa padre: Tipo adquisicion: Entidad</v>
      </c>
      <c r="G8992" s="5" t="str">
        <f>"R-501"</f>
        <v>R-501</v>
      </c>
    </row>
    <row r="8993" spans="1:7" ht="58.5" customHeight="1" x14ac:dyDescent="0.25">
      <c r="A8993" s="5" t="str">
        <f>"H0007855"</f>
        <v>H0007855</v>
      </c>
      <c r="B8993" s="5" t="str">
        <f>"MANOMETRO PARA OXIGENO"</f>
        <v>MANOMETRO PARA OXIGENO</v>
      </c>
      <c r="C8993" s="6">
        <v>301600</v>
      </c>
      <c r="D8993" s="5" t="s">
        <v>56</v>
      </c>
      <c r="E8993" s="5" t="str">
        <f t="shared" si="465"/>
        <v>URGENCIAS PEDIATRIA-YENI ESPERANZA PENA GUERRERO</v>
      </c>
      <c r="F8993" s="5" t="str">
        <f>"Descripcion: REGULADOR CON MANOMETRO Estado: Excelente Placa anterior: 000031151 Material: ACERO INOXIDABLE Color:  Referencia: M1R0501 Observacion:  Placa padre: Tipo adquisicion: Entidad"</f>
        <v>Descripcion: REGULADOR CON MANOMETRO Estado: Excelente Placa anterior: 000031151 Material: ACERO INOXIDABLE Color:  Referencia: M1R0501 Observacion:  Placa padre: Tipo adquisicion: Entidad</v>
      </c>
      <c r="G8993" s="5" t="str">
        <f>"R-501"</f>
        <v>R-501</v>
      </c>
    </row>
    <row r="8994" spans="1:7" ht="58.5" customHeight="1" x14ac:dyDescent="0.25">
      <c r="A8994" s="5" t="str">
        <f>"H0007856"</f>
        <v>H0007856</v>
      </c>
      <c r="B8994" s="5" t="str">
        <f>"MONITOR DE SIGNOS VITALES"</f>
        <v>MONITOR DE SIGNOS VITALES</v>
      </c>
      <c r="C8994" s="6">
        <v>4002000</v>
      </c>
      <c r="D8994" s="5" t="s">
        <v>166</v>
      </c>
      <c r="E8994" s="5" t="str">
        <f t="shared" si="465"/>
        <v>URGENCIAS PEDIATRIA-YENI ESPERANZA PENA GUERRERO</v>
      </c>
      <c r="F8994" s="5" t="str">
        <f>"Descripcion: MONITOR DE SIGNOS VITALES. Pantalla minima de 10 LCD a color minimo 5 parametros(ECG,RESPIRACION,SPO2,NIBP,TEMPERATURA) 5 formas de ondas,arritmias,deteccion de segmentos ST,marcapasos, medicion de tendencias las ultimas 24 horas.Bateria reca"&amp; "rgable minio Estado: Excelente Placa anterior: 000031407 Material: PASTA Color: BLANCO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minio Estado: Excelente Placa anterior: 000031407 Material: PASTA Color: BLANCO Referencia:  Observacion:  Placa padre: Tipo adquisicion: Entidad</v>
      </c>
      <c r="G8994" s="5" t="str">
        <f>"IMEC10"</f>
        <v>IMEC10</v>
      </c>
    </row>
    <row r="8995" spans="1:7" ht="58.5" customHeight="1" x14ac:dyDescent="0.25">
      <c r="A8995" s="5" t="str">
        <f>"H0007858"</f>
        <v>H0007858</v>
      </c>
      <c r="B8995" s="5" t="str">
        <f>"VENTILADOR DE PARED"</f>
        <v>VENTILADOR DE PARED</v>
      </c>
      <c r="C8995" s="6">
        <v>120603</v>
      </c>
      <c r="D8995" s="5" t="s">
        <v>54</v>
      </c>
      <c r="E8995" s="5" t="str">
        <f t="shared" si="465"/>
        <v>URGENCIAS PEDIATRIA-YENI ESPERANZA PENA GUERRERO</v>
      </c>
      <c r="F8995" s="5" t="str">
        <f>"Descripcion: . Estado: Bueno Placa anterior:  Material: PASTA Color: BLANCO Referencia:  Observacion:  Placa padre: Tipo adquisicion: Entidad"</f>
        <v>Descripcion: . Estado: Bueno Placa anterior:  Material: PASTA Color: BLANCO Referencia:  Observacion:  Placa padre: Tipo adquisicion: Entidad</v>
      </c>
      <c r="G8995" s="5" t="str">
        <f>"TURBO SILENCE MAXX"</f>
        <v>TURBO SILENCE MAXX</v>
      </c>
    </row>
    <row r="8996" spans="1:7" ht="58.5" customHeight="1" x14ac:dyDescent="0.25">
      <c r="A8996" s="5" t="str">
        <f>"H0007861"</f>
        <v>H0007861</v>
      </c>
      <c r="B8996" s="5" t="str">
        <f>"NEVERA DE 66 LTS"</f>
        <v>NEVERA DE 66 LTS</v>
      </c>
      <c r="C8996" s="6">
        <v>793155</v>
      </c>
      <c r="D8996" s="5" t="s">
        <v>518</v>
      </c>
      <c r="E8996" s="5" t="str">
        <f t="shared" si="465"/>
        <v>URGENCIAS PEDIATRIA-YENI ESPERANZA PENA GUERRERO</v>
      </c>
      <c r="F8996" s="5" t="str">
        <f>"Descripcion: NEVERA VR04 OBMAE (DONACION DE ABBOTT LABORATORIES) Estado: Bueno Placa anterior: 000030150 Material: METALICO Color: ROJO Referencia:  Observacion:  Placa padre: Tipo adquisicion: Donacion"</f>
        <v>Descripcion: NEVERA VR04 OBMAE (DONACION DE ABBOTT LABORATORIES) Estado: Bueno Placa anterior: 000030150 Material: METALICO Color: ROJO Referencia:  Observacion:  Placa padre: Tipo adquisicion: Donacion</v>
      </c>
      <c r="G8996" s="5" t="str">
        <f>"VR04"</f>
        <v>VR04</v>
      </c>
    </row>
    <row r="8997" spans="1:7" ht="58.5" customHeight="1" x14ac:dyDescent="0.25">
      <c r="A8997" s="5" t="str">
        <f>"H0007863"</f>
        <v>H0007863</v>
      </c>
      <c r="B8997" s="5" t="str">
        <f>"TENSIOMETRO ANEROIDE DE MANO ADULTO"</f>
        <v>TENSIOMETRO ANEROIDE DE MANO ADULTO</v>
      </c>
      <c r="C8997" s="6">
        <v>48720</v>
      </c>
      <c r="D8997" s="5"/>
      <c r="E8997" s="5" t="str">
        <f t="shared" si="465"/>
        <v>URGENCIAS PEDIATRIA-YENI ESPERANZA PENA GUERRERO</v>
      </c>
      <c r="F8997" s="5" t="str">
        <f>"Descripcion: BRAZALETE Estado: Excelente Placa anterior: 000022664 Material: METALICO Color: NEGRO Referencia:  Observacion:  Placa padre: Tipo adquisicion: Entidad"</f>
        <v>Descripcion: BRAZALETE Estado: Excelente Placa anterior: 000022664 Material: METALICO Color: NEGRO Referencia:  Observacion:  Placa padre: Tipo adquisicion: Entidad</v>
      </c>
      <c r="G8997" s="5" t="str">
        <f>"5270"</f>
        <v>5270</v>
      </c>
    </row>
    <row r="8998" spans="1:7" ht="58.5" customHeight="1" x14ac:dyDescent="0.25">
      <c r="A8998" s="5" t="str">
        <f>"H0007865"</f>
        <v>H0007865</v>
      </c>
      <c r="B8998" s="5" t="str">
        <f>"FONENDOSCOPIO (ESTETOSCOPIO) PARA ADULTO"</f>
        <v>FONENDOSCOPIO (ESTETOSCOPIO) PARA ADULTO</v>
      </c>
      <c r="C8998" s="6">
        <v>62321.73</v>
      </c>
      <c r="D8998" s="5"/>
      <c r="E8998" s="5" t="str">
        <f t="shared" si="465"/>
        <v>URGENCIAS PEDIATRIA-YENI ESPERANZA PENA GUERRERO</v>
      </c>
      <c r="F8998" s="5" t="str">
        <f>"Descripcion: 1 MANGUERA Estado: Bueno Placa anterior: 000018685 Material: METALICO Color: NEGRO Referencia: PEFIATRIC Observacion:  Placa padre: Tipo adquisicion: Entidad"</f>
        <v>Descripcion: 1 MANGUERA Estado: Bueno Placa anterior: 000018685 Material: METALICO Color: NEGRO Referencia: PEFIATRIC Observacion:  Placa padre: Tipo adquisicion: Entidad</v>
      </c>
      <c r="G8998" s="5" t="str">
        <f>"3M LITTMAN"</f>
        <v>3M LITTMAN</v>
      </c>
    </row>
    <row r="8999" spans="1:7" ht="58.5" customHeight="1" x14ac:dyDescent="0.25">
      <c r="A8999" s="5" t="str">
        <f>"H0007866"</f>
        <v>H0007866</v>
      </c>
      <c r="B8999" s="5" t="str">
        <f>"FONENDOSCOPIO (ESTETOSCOPIO) PARA ADULTO"</f>
        <v>FONENDOSCOPIO (ESTETOSCOPIO) PARA ADULTO</v>
      </c>
      <c r="C8999" s="6">
        <v>62321.73</v>
      </c>
      <c r="D8999" s="5"/>
      <c r="E8999" s="5" t="str">
        <f t="shared" si="465"/>
        <v>URGENCIAS PEDIATRIA-YENI ESPERANZA PENA GUERRERO</v>
      </c>
      <c r="F8999" s="5" t="str">
        <f>"Descripcion: 1 MANGUERA Estado: Bueno Placa anterior: 000018686 Material: METALICO Color: NEGRO Referencia: PEFIATRIC Observacion:  Placa padre: Tipo adquisicion: Entidad"</f>
        <v>Descripcion: 1 MANGUERA Estado: Bueno Placa anterior: 000018686 Material: METALICO Color: NEGRO Referencia: PEFIATRIC Observacion:  Placa padre: Tipo adquisicion: Entidad</v>
      </c>
      <c r="G8999" s="5" t="str">
        <f>"3M LITTMAN"</f>
        <v>3M LITTMAN</v>
      </c>
    </row>
    <row r="9000" spans="1:7" ht="58.5" customHeight="1" x14ac:dyDescent="0.25">
      <c r="A9000" s="5" t="str">
        <f>"H0007867"</f>
        <v>H0007867</v>
      </c>
      <c r="B9000" s="5" t="str">
        <f>"MULTIMUEBLE DE MADERA"</f>
        <v>MULTIMUEBLE DE MADERA</v>
      </c>
      <c r="C9000" s="6">
        <v>798000</v>
      </c>
      <c r="D9000" s="5"/>
      <c r="E9000" s="5" t="str">
        <f t="shared" si="465"/>
        <v>URGENCIAS PEDIATRIA-YENI ESPERANZA PENA GUERRERO</v>
      </c>
      <c r="F9000" s="5" t="str">
        <f>"Descripcion: 226X48X4110 COMPARTIMIENTOS Estado: Bueno Placa anterior: 000018667 Material: FORMICA Color: BLANCO Referencia:  Observacion: AUTORIZADO CONCILIAR EN CRUCE GENERAL Placa padre: Tipo adquisicion: Entidad"</f>
        <v>Descripcion: 226X48X4110 COMPARTIMIENTOS Estado: Bueno Placa anterior: 000018667 Material: FORMICA Color: BLANCO Referencia:  Observacion: AUTORIZADO CONCILIAR EN CRUCE GENERAL Placa padre: Tipo adquisicion: Entidad</v>
      </c>
      <c r="G9000" s="5"/>
    </row>
    <row r="9001" spans="1:7" ht="58.5" customHeight="1" x14ac:dyDescent="0.25">
      <c r="A9001" s="5" t="str">
        <f>"H0007868"</f>
        <v>H0007868</v>
      </c>
      <c r="B9001" s="5" t="str">
        <f>"BASE (SOPORTE) METALICA"</f>
        <v>BASE (SOPORTE) METALICA</v>
      </c>
      <c r="C9001" s="6">
        <v>90630</v>
      </c>
      <c r="D9001" s="5"/>
      <c r="E9001" s="5" t="str">
        <f t="shared" si="465"/>
        <v>URGENCIAS PEDIATRIA-YENI ESPERANZA PENA GUERRERO</v>
      </c>
      <c r="F9001" s="5" t="str">
        <f>"Descripcion: SOPORTE METALICO Estado: Bueno Placa anterior: 000018628 Material: METALICO Color: NEGRO Referencia:  Observacion:  Placa padre: Tipo adquisicion: Entidad"</f>
        <v>Descripcion: SOPORTE METALICO Estado: Bueno Placa anterior: 000018628 Material: METALICO Color: NEGRO Referencia:  Observacion:  Placa padre: Tipo adquisicion: Entidad</v>
      </c>
      <c r="G9001" s="5"/>
    </row>
    <row r="9002" spans="1:7" ht="58.5" customHeight="1" x14ac:dyDescent="0.25">
      <c r="A9002" s="5" t="str">
        <f>"H0007869"</f>
        <v>H0007869</v>
      </c>
      <c r="B9002" s="5" t="str">
        <f>"SILLA INTERLOCUTORA (FIJA) SIN BRAZOS"</f>
        <v>SILLA INTERLOCUTORA (FIJA) SIN BRAZOS</v>
      </c>
      <c r="C9002" s="6">
        <v>5825.94</v>
      </c>
      <c r="D9002" s="5"/>
      <c r="E9002" s="5" t="str">
        <f t="shared" si="465"/>
        <v>URGENCIAS PEDIATRIA-YENI ESPERANZA PENA GUERRERO</v>
      </c>
      <c r="F9002" s="5" t="str">
        <f>"Descripcion: . Estado: Bueno Placa anterior: 000018670 Material: PASTA Color: NEGRO Referencia:  Observacion:  Placa padre: Tipo adquisicion: Entidad"</f>
        <v>Descripcion: . Estado: Bueno Placa anterior: 000018670 Material: PASTA Color: NEGRO Referencia:  Observacion:  Placa padre: Tipo adquisicion: Entidad</v>
      </c>
      <c r="G9002" s="5"/>
    </row>
    <row r="9003" spans="1:7" ht="58.5" customHeight="1" x14ac:dyDescent="0.25">
      <c r="A9003" s="5" t="str">
        <f>"H0008328"</f>
        <v>H0008328</v>
      </c>
      <c r="B9003" s="5" t="str">
        <f>"MESA METALICA AUXILIAR"</f>
        <v>MESA METALICA AUXILIAR</v>
      </c>
      <c r="C9003" s="6">
        <v>15285</v>
      </c>
      <c r="D9003" s="5"/>
      <c r="E9003" s="5" t="str">
        <f t="shared" si="465"/>
        <v>URGENCIAS PEDIATRIA-YENI ESPERANZA PENA GUERRERO</v>
      </c>
      <c r="F9003" s="5" t="str">
        <f>"Descripcion: MESA TIPO H (MECANOGRAFA CON ALA) Estado: Bueno Placa anterior: 000000997 Material: METALICO CON MESON EN FORMICA Color: GRIS CON MADERA OSCURO Referencia:  Observacion:  Placa padre: Tipo adquisicion: Entidad"</f>
        <v>Descripcion: MESA TIPO H (MECANOGRAFA CON ALA) Estado: Bueno Placa anterior: 000000997 Material: METALICO CON MESON EN FORMICA Color: GRIS CON MADERA OSCURO Referencia:  Observacion:  Placa padre: Tipo adquisicion: Entidad</v>
      </c>
      <c r="G9003" s="5"/>
    </row>
    <row r="9004" spans="1:7" ht="58.5" customHeight="1" x14ac:dyDescent="0.25">
      <c r="A9004" s="5" t="str">
        <f>"H0008329"</f>
        <v>H0008329</v>
      </c>
      <c r="B9004" s="5" t="str">
        <f>"NEGATOSCOPIO"</f>
        <v>NEGATOSCOPIO</v>
      </c>
      <c r="C9004" s="6">
        <v>51373.33</v>
      </c>
      <c r="D9004" s="5"/>
      <c r="E9004" s="5" t="str">
        <f t="shared" si="465"/>
        <v>URGENCIAS PEDIATRIA-YENI ESPERANZA PENA GUERRERO</v>
      </c>
      <c r="F9004" s="5" t="str">
        <f>"Descripcion: NEGATOSCOPIO DE 1 CUERPO Estado: Bueno Placa anterior: 000018486 Material: PLASTICO Color: NEGRO Referencia:  Observacion:  Placa padre: Tipo adquisicion: Entidad"</f>
        <v>Descripcion: NEGATOSCOPIO DE 1 CUERPO Estado: Bueno Placa anterior: 000018486 Material: PLASTICO Color: NEGRO Referencia:  Observacion:  Placa padre: Tipo adquisicion: Entidad</v>
      </c>
      <c r="G9004" s="5"/>
    </row>
    <row r="9005" spans="1:7" ht="58.5" customHeight="1" x14ac:dyDescent="0.25">
      <c r="A9005" s="5" t="str">
        <f>"H0008330"</f>
        <v>H0008330</v>
      </c>
      <c r="B9005" s="5" t="str">
        <f>"CAMILLA FIJA (TIPO DIVAN)"</f>
        <v>CAMILLA FIJA (TIPO DIVAN)</v>
      </c>
      <c r="C9005" s="6">
        <v>303600</v>
      </c>
      <c r="D9005" s="5"/>
      <c r="E9005" s="5" t="str">
        <f t="shared" si="465"/>
        <v>URGENCIAS PEDIATRIA-YENI ESPERANZA PENA GUERRERO</v>
      </c>
      <c r="F9005" s="5" t="str">
        <f>"Descripcion: CAMILLA FIJA (TIPO DIVAN) Estado: Bueno Placa anterior: 000033226 Material: METALICO CON TAPIZADO  Color: BLANCO CON NEGRO Referencia:  Observacion: PLACA ANTERIOR NO ENCONTRADA 000036301  AUTORIZADO CONCILIAR EN CRUCE GENERAL Placa padre: Ti"&amp; "po adquisicion: Entidad"</f>
        <v>Descripcion: CAMILLA FIJA (TIPO DIVAN) Estado: Bueno Placa anterior: 000033226 Material: METALICO CON TAPIZADO  Color: BLANCO CON NEGRO Referencia:  Observacion: PLACA ANTERIOR NO ENCONTRADA 000036301  AUTORIZADO CONCILIAR EN CRUCE GENERAL Placa padre: Tipo adquisicion: Entidad</v>
      </c>
      <c r="G9005" s="5"/>
    </row>
    <row r="9006" spans="1:7" ht="58.5" customHeight="1" x14ac:dyDescent="0.25">
      <c r="A9006" s="5" t="str">
        <f>"H0008331"</f>
        <v>H0008331</v>
      </c>
      <c r="B9006" s="5" t="str">
        <f>"ESCALERILLA DE 2 PASOS"</f>
        <v>ESCALERILLA DE 2 PASOS</v>
      </c>
      <c r="C9006" s="6">
        <v>5034.04</v>
      </c>
      <c r="D9006" s="5"/>
      <c r="E9006" s="5" t="str">
        <f t="shared" si="465"/>
        <v>URGENCIAS PEDIATRIA-YENI ESPERANZA PENA GUERRERO</v>
      </c>
      <c r="F9006" s="5" t="str">
        <f>"Descripcion: ESCALERA DE DOS PASOS  Estado: Bueno Placa anterior: 000018382 Material: METALICO CON PASOS EN PLASTICO Color: BLANCO Referencia:  Observacion:  Placa padre: Tipo adquisicion: Entidad"</f>
        <v>Descripcion: ESCALERA DE DOS PASOS  Estado: Bueno Placa anterior: 000018382 Material: METALICO CON PASOS EN PLASTICO Color: BLANCO Referencia:  Observacion:  Placa padre: Tipo adquisicion: Entidad</v>
      </c>
      <c r="G9006" s="5"/>
    </row>
    <row r="9007" spans="1:7" ht="58.5" customHeight="1" x14ac:dyDescent="0.25">
      <c r="A9007" s="5" t="str">
        <f>"H0008333"</f>
        <v>H0008333</v>
      </c>
      <c r="B9007" s="5" t="str">
        <f>"MESA DE NOCHE"</f>
        <v>MESA DE NOCHE</v>
      </c>
      <c r="C9007" s="6">
        <v>327586</v>
      </c>
      <c r="D9007" s="5"/>
      <c r="E9007" s="5" t="str">
        <f t="shared" si="465"/>
        <v>URGENCIAS PEDIATRIA-YENI ESPERANZA PENA GUERRERO</v>
      </c>
      <c r="F9007" s="5" t="str">
        <f>"Descripcion: MESA DE NOCHE EN ACERO INOXIDABLE Estado: Bueno Placa anterior: 000032953 Material: METALICO Color: ACERO INOXIDABLE Referencia:  Observacion:  Placa padre: Tipo adquisicion: Entidad"</f>
        <v>Descripcion: MESA DE NOCHE EN ACERO INOXIDABLE Estado: Bueno Placa anterior: 000032953 Material: METALICO Color: ACERO INOXIDABLE Referencia:  Observacion:  Placa padre: Tipo adquisicion: Entidad</v>
      </c>
      <c r="G9007" s="5"/>
    </row>
    <row r="9008" spans="1:7" ht="58.5" customHeight="1" x14ac:dyDescent="0.25">
      <c r="A9008" s="5" t="str">
        <f>"H0008346"</f>
        <v>H0008346</v>
      </c>
      <c r="B9008" s="5" t="str">
        <f>"COMPUTADOR DE MESA"</f>
        <v>COMPUTADOR DE MESA</v>
      </c>
      <c r="C9008" s="6">
        <v>1949999</v>
      </c>
      <c r="D9008" s="5" t="s">
        <v>519</v>
      </c>
      <c r="E9008" s="5" t="str">
        <f t="shared" si="465"/>
        <v>URGENCIAS PEDIATRIA-YENI ESPERANZA PENA GUERRERO</v>
      </c>
      <c r="F9008" s="5" t="str">
        <f>"Descripcion: CPU CORE 3.2 GB 300 GB DISCO DURO O SUPERIOR MONITOR LCD 17 TECLADO MOUSE CON LICENCIA SISTEMA OPERATIVO Estado: Bueno Placa anterior: 000030178 Material: PLASTICO Color: NEGRO Referencia:  Observacion:  Placa anterior:, Placa nueva=H0008348,"&amp; " Descripcion:TECLADO, Serial:01210056, Marca:LENOVO, Modelo:, Material:PLASTICO, Color:NEGRO,   Referencia:, Placa anterior:, Placa nueva=H0008347, Descripcion:MONITOR LCD 19 , Serial:ZUGTHTJC301189L, Marca:SAMSUNG, Modelo:SYNC MASTER, Material:PALSTICO, "&amp; "Color:NEGRO,   Referencia:, Placa anterior:, Placa nueva=H0008349, Descripcion:MOUSE OPTICO, Serial:, Marca:COMPUMAX, Modelo:, Material:PLASTICO, Color:NEGRO,   Referencia: Placa padre: Tipo adquisicion: Entidad"</f>
        <v>Descripcion: CPU CORE 3.2 GB 300 GB DISCO DURO O SUPERIOR MONITOR LCD 17 TECLADO MOUSE CON LICENCIA SISTEMA OPERATIVO Estado: Bueno Placa anterior: 000030178 Material: PLASTICO Color: NEGRO Referencia:  Observacion:  Placa anterior:, Placa nueva=H0008348, Descripcion:TECLADO, Serial:01210056, Marca:LENOVO, Modelo:, Material:PLASTICO, Color:NEGRO,   Referencia:, Placa anterior:, Placa nueva=H0008347, Descripcion:MONITOR LCD 19 , Serial:ZUGTHTJC301189L, Marca:SAMSUNG, Modelo:SYNC MASTER, Material:PALSTICO, Color:NEGRO,   Referencia:, Placa anterior:, Placa nueva=H0008349, Descripcion:MOUSE OPTICO, Serial:, Marca:COMPUMAX, Modelo:, Material:PLASTICO, Color:NEGRO,   Referencia: Placa padre: Tipo adquisicion: Entidad</v>
      </c>
      <c r="G9008" s="5"/>
    </row>
    <row r="9009" spans="1:7" ht="58.5" customHeight="1" x14ac:dyDescent="0.25">
      <c r="A9009" s="5" t="str">
        <f>"H0008353"</f>
        <v>H0008353</v>
      </c>
      <c r="B9009" s="5" t="str">
        <f>"MESA METALICA AUXILIAR"</f>
        <v>MESA METALICA AUXILIAR</v>
      </c>
      <c r="C9009" s="6">
        <v>7666.66</v>
      </c>
      <c r="D9009" s="5"/>
      <c r="E9009" s="5" t="str">
        <f t="shared" si="465"/>
        <v>URGENCIAS PEDIATRIA-YENI ESPERANZA PENA GUERRERO</v>
      </c>
      <c r="F9009" s="5" t="str">
        <f>"Descripcion: MESA TIPO H (MECANOGRAFA CON ALA) Estado: Bueno Placa anterior: 000000437 Material: METALICO CON MESON EN FORMICA Color: GRIS CON MADERA OSCURO Referencia:  Observacion:  Placa padre: Tipo adquisicion: Entidad"</f>
        <v>Descripcion: MESA TIPO H (MECANOGRAFA CON ALA) Estado: Bueno Placa anterior: 000000437 Material: METALICO CON MESON EN FORMICA Color: GRIS CON MADERA OSCURO Referencia:  Observacion:  Placa padre: Tipo adquisicion: Entidad</v>
      </c>
      <c r="G9009" s="5"/>
    </row>
    <row r="9010" spans="1:7" ht="58.5" customHeight="1" x14ac:dyDescent="0.25">
      <c r="A9010" s="5" t="str">
        <f>"H0008355"</f>
        <v>H0008355</v>
      </c>
      <c r="B9010" s="5" t="str">
        <f>"MESA DE NOCHE"</f>
        <v>MESA DE NOCHE</v>
      </c>
      <c r="C9010" s="6">
        <v>327586</v>
      </c>
      <c r="D9010" s="5"/>
      <c r="E9010" s="5" t="str">
        <f t="shared" si="465"/>
        <v>URGENCIAS PEDIATRIA-YENI ESPERANZA PENA GUERRERO</v>
      </c>
      <c r="F9010" s="5" t="str">
        <f>"Descripcion: MESA DE NOCHE ACERO INOXIDABLE Estado: Bueno Placa anterior: 000032954 Material: ACERO INOXIDABLE Color:  Referencia:  Observacion:  Placa padre: Tipo adquisicion: Entidad"</f>
        <v>Descripcion: MESA DE NOCHE ACERO INOXIDABLE Estado: Bueno Placa anterior: 000032954 Material: ACERO INOXIDABLE Color:  Referencia:  Observacion:  Placa padre: Tipo adquisicion: Entidad</v>
      </c>
      <c r="G9010" s="5"/>
    </row>
    <row r="9011" spans="1:7" ht="58.5" customHeight="1" x14ac:dyDescent="0.25">
      <c r="A9011" s="5" t="str">
        <f>"H0008358"</f>
        <v>H0008358</v>
      </c>
      <c r="B9011" s="5" t="str">
        <f>"POTE (TARRO) ACERO INXODABLE CON TAPA MEDIANO"</f>
        <v>POTE (TARRO) ACERO INXODABLE CON TAPA MEDIANO</v>
      </c>
      <c r="C9011" s="6">
        <v>21799.02</v>
      </c>
      <c r="D9011" s="5"/>
      <c r="E9011" s="5" t="str">
        <f t="shared" si="465"/>
        <v>URGENCIAS PEDIATRIA-YENI ESPERANZA PENA GUERRERO</v>
      </c>
      <c r="F9011" s="5" t="str">
        <f>"Descripcion: TARRO EN ACERO INOXIDABLE MEDIANO Estado: Bueno Placa anterior: 000018536 Material: ACERO INOXIDABLE Color:  Referencia:  Observacion:  Placa padre: Tipo adquisicion: Entidad"</f>
        <v>Descripcion: TARRO EN ACERO INOXIDABLE MEDIANO Estado: Bueno Placa anterior: 000018536 Material: ACERO INOXIDABLE Color:  Referencia:  Observacion:  Placa padre: Tipo adquisicion: Entidad</v>
      </c>
      <c r="G9011" s="5"/>
    </row>
    <row r="9012" spans="1:7" ht="58.5" customHeight="1" x14ac:dyDescent="0.25">
      <c r="A9012" s="5" t="str">
        <f>"H0008359"</f>
        <v>H0008359</v>
      </c>
      <c r="B9012" s="5" t="str">
        <f>"CAMILLA FIJA (TIPO DIVAN)"</f>
        <v>CAMILLA FIJA (TIPO DIVAN)</v>
      </c>
      <c r="C9012" s="6">
        <v>1645000</v>
      </c>
      <c r="D9012" s="5"/>
      <c r="E9012" s="5" t="str">
        <f t="shared" si="465"/>
        <v>URGENCIAS PEDIATRIA-YENI ESPERANZA PENA GUERRERO</v>
      </c>
      <c r="F9012" s="5" t="str">
        <f>"Descripcion: CAMILLA FIJA (TIPO DIVAN) TAPIZADA  Estado: Bueno Placa anterior: 000032996 Material: METALICO CON TAPIZADO EN SEMICUERO Color: NEGRO CON BLANCO Referencia:  Observacion:  Placa padre: Tipo adquisicion: Entidad"</f>
        <v>Descripcion: CAMILLA FIJA (TIPO DIVAN) TAPIZADA  Estado: Bueno Placa anterior: 000032996 Material: METALICO CON TAPIZADO EN SEMICUERO Color: NEGRO CON BLANCO Referencia:  Observacion:  Placa padre: Tipo adquisicion: Entidad</v>
      </c>
      <c r="G9012" s="5"/>
    </row>
    <row r="9013" spans="1:7" ht="58.5" customHeight="1" x14ac:dyDescent="0.25">
      <c r="A9013" s="5" t="str">
        <f>"H0008360"</f>
        <v>H0008360</v>
      </c>
      <c r="B9013" s="5" t="str">
        <f>"ESCALERILLA DE 2 PASOS"</f>
        <v>ESCALERILLA DE 2 PASOS</v>
      </c>
      <c r="C9013" s="6">
        <v>5034.04</v>
      </c>
      <c r="D9013" s="5"/>
      <c r="E9013" s="5" t="str">
        <f t="shared" si="465"/>
        <v>URGENCIAS PEDIATRIA-YENI ESPERANZA PENA GUERRERO</v>
      </c>
      <c r="F9013" s="5" t="str">
        <f>"Descripcion: ESCALERA DE DOS PASOS Estado: Bueno Placa anterior: 000021482 Material: METALICO CON PASOS EN PLASTICO Color: BLANCO Referencia:  Observacion:  Placa padre: Tipo adquisicion: Entidad"</f>
        <v>Descripcion: ESCALERA DE DOS PASOS Estado: Bueno Placa anterior: 000021482 Material: METALICO CON PASOS EN PLASTICO Color: BLANCO Referencia:  Observacion:  Placa padre: Tipo adquisicion: Entidad</v>
      </c>
      <c r="G9013" s="5"/>
    </row>
    <row r="9014" spans="1:7" ht="58.5" customHeight="1" x14ac:dyDescent="0.25">
      <c r="A9014" s="5" t="str">
        <f>"H0008361"</f>
        <v>H0008361</v>
      </c>
      <c r="B9014" s="5" t="str">
        <f>"NEGATOSCOPIO"</f>
        <v>NEGATOSCOPIO</v>
      </c>
      <c r="C9014" s="6">
        <v>51373.33</v>
      </c>
      <c r="D9014" s="5"/>
      <c r="E9014" s="5" t="str">
        <f t="shared" si="465"/>
        <v>URGENCIAS PEDIATRIA-YENI ESPERANZA PENA GUERRERO</v>
      </c>
      <c r="F9014" s="5" t="str">
        <f>"Descripcion: NEGATOSCOPIO DE 1 CUERPO Estado: Bueno Placa anterior: 000018447 Material: PLASTICO Color: NEGRO Referencia:  Observacion:  Placa padre: Tipo adquisicion: Entidad"</f>
        <v>Descripcion: NEGATOSCOPIO DE 1 CUERPO Estado: Bueno Placa anterior: 000018447 Material: PLASTICO Color: NEGRO Referencia:  Observacion:  Placa padre: Tipo adquisicion: Entidad</v>
      </c>
      <c r="G9014" s="5"/>
    </row>
    <row r="9015" spans="1:7" ht="58.5" customHeight="1" x14ac:dyDescent="0.25">
      <c r="A9015" s="5" t="str">
        <f>"H0008367"</f>
        <v>H0008367</v>
      </c>
      <c r="B9015" s="5" t="str">
        <f>"SILLA INTERLOCUTORA (FIJA) SIN BRAZOS"</f>
        <v>SILLA INTERLOCUTORA (FIJA) SIN BRAZOS</v>
      </c>
      <c r="C9015" s="6">
        <v>185600</v>
      </c>
      <c r="D9015" s="5" t="s">
        <v>450</v>
      </c>
      <c r="E9015" s="5" t="str">
        <f t="shared" si="465"/>
        <v>URGENCIAS PEDIATRIA-YENI ESPERANZA PENA GUERRERO</v>
      </c>
      <c r="F9015" s="5" t="str">
        <f>"Descripcion: SILLAS INTERLOCUTORAS PACIENTE EN CONSULTORIO Silla de cuatro patas con espaldar, elaboradas en aluminio acerado, de espaldar plastico o acolchonado en material sintetico(lavable) y sentadera forrada en material sintetico lavable de color neg"&amp; "ro Estado: Bueno Placa anterior: 000031522 Material: METALICO CON ASIENTO EN PLASTICO Color: NEGRO Referencia:  Observacion:  Placa padre: Tipo adquisicion: Entidad"</f>
        <v>Descripcion: SILLAS INTERLOCUTORAS PACIENTE EN CONSULTORIO Silla de cuatro patas con espaldar, elaboradas en aluminio acerado, de espaldar plastico o acolchonado en material sintetico(lavable) y sentadera forrada en material sintetico lavable de color negro Estado: Bueno Placa anterior: 000031522 Material: METALICO CON ASIENTO EN PLASTICO Color: NEGRO Referencia:  Observacion:  Placa padre: Tipo adquisicion: Entidad</v>
      </c>
      <c r="G9015" s="5"/>
    </row>
    <row r="9016" spans="1:7" ht="58.5" customHeight="1" x14ac:dyDescent="0.25">
      <c r="A9016" s="5" t="str">
        <f>"H0008368"</f>
        <v>H0008368</v>
      </c>
      <c r="B9016" s="5" t="str">
        <f>"AIRE ACONDICIONADO TIPO SPLIT 24000 BTU"</f>
        <v>AIRE ACONDICIONADO TIPO SPLIT 24000 BTU</v>
      </c>
      <c r="C9016" s="6">
        <v>4512400</v>
      </c>
      <c r="D9016" s="5" t="s">
        <v>146</v>
      </c>
      <c r="E9016" s="5" t="str">
        <f t="shared" si="465"/>
        <v>URGENCIAS PEDIATRIA-YENI ESPERANZA PENA GUERRERO</v>
      </c>
      <c r="F9016" s="5" t="str">
        <f>"Descripcion: AIRE ACONDICIONADO CAPACIDAD 24000 BTU Equipo tipo mini Split, consola de lujo, con control remoto y uso refrigerante ecologico.sistema inverter.Debe incluir display para ser monitoreado por sistema central Estado: Bueno Placa anterior: 00003"&amp; "6374 Material: PLASTICO Color: BLANCO Referencia: INVERTER V Observacion:  Placa padre: Tipo adquisicion: Entidad"</f>
        <v>Descripcion: AIRE ACONDICIONADO CAPACIDAD 24000 BTU Equipo tipo mini Split, consola de lujo, con control remoto y uso refrigerante ecologico.sistema inverter.Debe incluir display para ser monitoreado por sistema central Estado: Bueno Placa anterior: 000036374 Material: PLASTICO Color: BLANCO Referencia: INVERTER V Observacion:  Placa padre: Tipo adquisicion: Entidad</v>
      </c>
      <c r="G9016" s="5" t="str">
        <f>"VM12CEN B3"</f>
        <v>VM12CEN B3</v>
      </c>
    </row>
    <row r="9017" spans="1:7" ht="58.5" customHeight="1" x14ac:dyDescent="0.25">
      <c r="A9017" s="5" t="str">
        <f>"H0008369"</f>
        <v>H0008369</v>
      </c>
      <c r="B9017" s="5" t="str">
        <f>"RACK (GABINETE) DE SOBREMURO"</f>
        <v>RACK (GABINETE) DE SOBREMURO</v>
      </c>
      <c r="C9017" s="6">
        <v>185600</v>
      </c>
      <c r="D9017" s="5" t="s">
        <v>382</v>
      </c>
      <c r="E9017" s="5" t="str">
        <f t="shared" si="465"/>
        <v>URGENCIAS PEDIATRIA-YENI ESPERANZA PENA GUERRERO</v>
      </c>
      <c r="F9017" s="5" t="str">
        <f>"Descripcion: Gabinete puerta frontal marca anlig Estado: Bueno Placa anterior: 000039087 Material: METALICO Color: NEGRO Referencia:  Observacion:  Placa padre: Tipo adquisicion: Entidad"</f>
        <v>Descripcion: Gabinete puerta frontal marca anlig Estado: Bueno Placa anterior: 000039087 Material: METALICO Color: NEGRO Referencia:  Observacion:  Placa padre: Tipo adquisicion: Entidad</v>
      </c>
      <c r="G9017" s="5"/>
    </row>
    <row r="9018" spans="1:7" ht="58.5" customHeight="1" x14ac:dyDescent="0.25">
      <c r="A9018" s="5" t="str">
        <f>"H0008370"</f>
        <v>H0008370</v>
      </c>
      <c r="B9018" s="5" t="str">
        <f>"EQUIPO DE ORGANOS PORTATIL"</f>
        <v>EQUIPO DE ORGANOS PORTATIL</v>
      </c>
      <c r="C9018" s="6">
        <v>1113600</v>
      </c>
      <c r="D9018" s="5" t="s">
        <v>56</v>
      </c>
      <c r="E9018" s="5" t="str">
        <f t="shared" si="465"/>
        <v>URGENCIAS PEDIATRIA-YENI ESPERANZA PENA GUERRERO</v>
      </c>
      <c r="F9018" s="5" t="str">
        <f>"Descripcion: EQUIPO DE ORGANOS DE LOS SENTIDOS Estado: Bueno Placa anterior: 000031181 Material: ACERO INOX Color: ESTUCHE NEGRO Referencia:  Observacion:  Placa padre: Tipo adquisicion: Entidad"</f>
        <v>Descripcion: EQUIPO DE ORGANOS DE LOS SENTIDOS Estado: Bueno Placa anterior: 000031181 Material: ACERO INOX Color: ESTUCHE NEGRO Referencia:  Observacion:  Placa padre: Tipo adquisicion: Entidad</v>
      </c>
      <c r="G9018" s="5"/>
    </row>
    <row r="9019" spans="1:7" ht="58.5" customHeight="1" x14ac:dyDescent="0.25">
      <c r="A9019" s="5" t="str">
        <f>"H0008390"</f>
        <v>H0008390</v>
      </c>
      <c r="B9019" s="5" t="str">
        <f>"FLUJOMETRO DOBLE"</f>
        <v>FLUJOMETRO DOBLE</v>
      </c>
      <c r="C9019" s="6">
        <v>365400</v>
      </c>
      <c r="D9019" s="5" t="s">
        <v>56</v>
      </c>
      <c r="E9019" s="5" t="str">
        <f t="shared" si="465"/>
        <v>URGENCIAS PEDIATRIA-YENI ESPERANZA PENA GUERRERO</v>
      </c>
      <c r="F9019" s="5" t="str">
        <f>"Descripcion: FLUJOMETRO DOBLE Estado: Bueno Placa anterior: 000031122 Material: METALICO Color:  Referencia:  Observacion:  Placa padre: Tipo adquisicion: Entidad"</f>
        <v>Descripcion: FLUJOMETRO DOBLE Estado: Bueno Placa anterior: 000031122 Material: METALICO Color:  Referencia:  Observacion:  Placa padre: Tipo adquisicion: Entidad</v>
      </c>
      <c r="G9019" s="5"/>
    </row>
    <row r="9020" spans="1:7" ht="58.5" customHeight="1" x14ac:dyDescent="0.25">
      <c r="A9020" s="5" t="str">
        <f>"H0008391"</f>
        <v>H0008391</v>
      </c>
      <c r="B9020" s="5" t="str">
        <f>"FLUJOMETRO DOBLE"</f>
        <v>FLUJOMETRO DOBLE</v>
      </c>
      <c r="C9020" s="6">
        <v>365400</v>
      </c>
      <c r="D9020" s="5" t="s">
        <v>56</v>
      </c>
      <c r="E9020" s="5" t="str">
        <f t="shared" si="465"/>
        <v>URGENCIAS PEDIATRIA-YENI ESPERANZA PENA GUERRERO</v>
      </c>
      <c r="F9020" s="5" t="str">
        <f>"Descripcion: FLUJOMETRO DOBLE Estado: Bueno Placa anterior: 000031128 Material: METALICO Color:  Referencia:  Observacion:  Placa padre: Tipo adquisicion: Entidad"</f>
        <v>Descripcion: FLUJOMETRO DOBLE Estado: Bueno Placa anterior: 000031128 Material: METALICO Color:  Referencia:  Observacion:  Placa padre: Tipo adquisicion: Entidad</v>
      </c>
      <c r="G9020" s="5"/>
    </row>
    <row r="9021" spans="1:7" ht="58.5" customHeight="1" x14ac:dyDescent="0.25">
      <c r="A9021" s="5" t="str">
        <f>"H0009293"</f>
        <v>H0009293</v>
      </c>
      <c r="B9021" s="5" t="str">
        <f>"CARRO PORTA HISTORIAS CLINICAS"</f>
        <v>CARRO PORTA HISTORIAS CLINICAS</v>
      </c>
      <c r="C9021" s="6">
        <v>157325</v>
      </c>
      <c r="D9021" s="5"/>
      <c r="E9021" s="5" t="str">
        <f t="shared" si="465"/>
        <v>URGENCIAS PEDIATRIA-YENI ESPERANZA PENA GUERRERO</v>
      </c>
      <c r="F9021" s="5" t="str">
        <f>"Descripcion: CARRO PORTAHISTORIAS 12 PUESTOS Estado: Bueno Placa anterior: 000018553 Material: MADERA Color: GRIS Referencia:  Observacion: BUEN ESTADO Placa padre: Tipo adquisicion: Entidad"</f>
        <v>Descripcion: CARRO PORTAHISTORIAS 12 PUESTOS Estado: Bueno Placa anterior: 000018553 Material: MADERA Color: GRIS Referencia:  Observacion: BUEN ESTADO Placa padre: Tipo adquisicion: Entidad</v>
      </c>
      <c r="G9021" s="5"/>
    </row>
    <row r="9022" spans="1:7" ht="58.5" customHeight="1" x14ac:dyDescent="0.25">
      <c r="A9022" s="5" t="str">
        <f>"H0009294"</f>
        <v>H0009294</v>
      </c>
      <c r="B9022" s="5" t="str">
        <f>"TABLA DE ALUMINIO HISTORIAS CLINICAS (PORTAHISTORIAS)"</f>
        <v>TABLA DE ALUMINIO HISTORIAS CLINICAS (PORTAHISTORIAS)</v>
      </c>
      <c r="C9022" s="6">
        <v>24746.639999999999</v>
      </c>
      <c r="D9022" s="5"/>
      <c r="E9022" s="5" t="str">
        <f t="shared" si="465"/>
        <v>URGENCIAS PEDIATRIA-YENI ESPERANZA PENA GUERRERO</v>
      </c>
      <c r="F9022" s="5" t="str">
        <f>"Descripcion: PORTAHISTORIAS CLINICAS  Estado: Bueno Placa anterior: 000018558 Material: ALUMINIO Color: GRIS Referencia:  Observacion: BUEN ESTADO Placa padre: Tipo adquisicion: Entidad"</f>
        <v>Descripcion: PORTAHISTORIAS CLINICAS  Estado: Bueno Placa anterior: 000018558 Material: ALUMINIO Color: GRIS Referencia:  Observacion: BUEN ESTADO Placa padre: Tipo adquisicion: Entidad</v>
      </c>
      <c r="G9022" s="5"/>
    </row>
    <row r="9023" spans="1:7" ht="58.5" customHeight="1" x14ac:dyDescent="0.25">
      <c r="A9023" s="5" t="str">
        <f>"H0009295"</f>
        <v>H0009295</v>
      </c>
      <c r="B9023" s="5" t="str">
        <f>"TABLA DE ALUMINIO HISTORIAS CLINICAS (PORTAHISTORIAS)"</f>
        <v>TABLA DE ALUMINIO HISTORIAS CLINICAS (PORTAHISTORIAS)</v>
      </c>
      <c r="C9023" s="6">
        <v>24746.639999999999</v>
      </c>
      <c r="D9023" s="5"/>
      <c r="E9023" s="5" t="str">
        <f t="shared" si="465"/>
        <v>URGENCIAS PEDIATRIA-YENI ESPERANZA PENA GUERRERO</v>
      </c>
      <c r="F9023" s="5" t="str">
        <f>"Descripcion: PORTAHISTORIAS CLINICAS  Estado: Bueno Placa anterior: 000018559 Material: ALUMINIO Color: GRIS Referencia:  Observacion: BUEN ESTADO Placa padre: Tipo adquisicion: Entidad"</f>
        <v>Descripcion: PORTAHISTORIAS CLINICAS  Estado: Bueno Placa anterior: 000018559 Material: ALUMINIO Color: GRIS Referencia:  Observacion: BUEN ESTADO Placa padre: Tipo adquisicion: Entidad</v>
      </c>
      <c r="G9023" s="5"/>
    </row>
    <row r="9024" spans="1:7" ht="58.5" customHeight="1" x14ac:dyDescent="0.25">
      <c r="A9024" s="5" t="str">
        <f>"H0009296"</f>
        <v>H0009296</v>
      </c>
      <c r="B9024" s="5" t="str">
        <f>"TABLA DE ALUMINIO HISTORIAS CLINICAS (PORTAHISTORIAS)"</f>
        <v>TABLA DE ALUMINIO HISTORIAS CLINICAS (PORTAHISTORIAS)</v>
      </c>
      <c r="C9024" s="6">
        <v>24746.639999999999</v>
      </c>
      <c r="D9024" s="5"/>
      <c r="E9024" s="5" t="str">
        <f t="shared" si="465"/>
        <v>URGENCIAS PEDIATRIA-YENI ESPERANZA PENA GUERRERO</v>
      </c>
      <c r="F9024" s="5" t="str">
        <f>"Descripcion: PORTAHISTORIAS CLINICAS  Estado: Bueno Placa anterior: 000018560 Material: ALUMINIO Color: GRIS Referencia:  Observacion: BUEN ESTADO Placa padre: Tipo adquisicion: Entidad"</f>
        <v>Descripcion: PORTAHISTORIAS CLINICAS  Estado: Bueno Placa anterior: 000018560 Material: ALUMINIO Color: GRIS Referencia:  Observacion: BUEN ESTADO Placa padre: Tipo adquisicion: Entidad</v>
      </c>
      <c r="G9024" s="5"/>
    </row>
    <row r="9025" spans="1:7" ht="58.5" customHeight="1" x14ac:dyDescent="0.25">
      <c r="A9025" s="5" t="str">
        <f>"H0009311"</f>
        <v>H0009311</v>
      </c>
      <c r="B9025" s="5" t="str">
        <f>"CARRO DE PARO"</f>
        <v>CARRO DE PARO</v>
      </c>
      <c r="C9025" s="6">
        <v>3364000</v>
      </c>
      <c r="D9025" s="5" t="s">
        <v>161</v>
      </c>
      <c r="E9025" s="5" t="str">
        <f t="shared" si="465"/>
        <v>URGENCIAS PEDIATRIA-YENI ESPERANZA PENA GUERRERO</v>
      </c>
      <c r="F9025" s="5" t="str">
        <f>"Descripcion: CARRO DE PARO. debe contar como minimo con: 1 bandeja giratoria 360ª para desfribilador. 1 Atril portasuero. 1.bandeja para succionador. 1Bandeja lateral replegable 1 bandeja con divisiones con medicamentos 1 superficie en PVC abs etiquetas e"&amp; "n cajones. 1 Estado: Bueno Placa anterior: 000031508 Material: METAL  Color: BEIGE Referencia:  Observacion: BUEN ESTADO Placa padre: Tipo adquisicion: Entidad"</f>
        <v>Descripcion: CARRO DE PARO. debe contar como minimo con: 1 bandeja giratoria 360ª para desfribilador. 1 Atril portasuero. 1.bandeja para succionador. 1Bandeja lateral replegable 1 bandeja con divisiones con medicamentos 1 superficie en PVC abs etiquetas en cajones. 1 Estado: Bueno Placa anterior: 000031508 Material: METAL  Color: BEIGE Referencia:  Observacion: BUEN ESTADO Placa padre: Tipo adquisicion: Entidad</v>
      </c>
      <c r="G9025" s="5" t="str">
        <f>"181-34"</f>
        <v>181-34</v>
      </c>
    </row>
    <row r="9026" spans="1:7" ht="58.5" customHeight="1" x14ac:dyDescent="0.25">
      <c r="A9026" s="5" t="str">
        <f>"H0009312"</f>
        <v>H0009312</v>
      </c>
      <c r="B9026" s="5" t="str">
        <f>"DESFRIBILADOR"</f>
        <v>DESFRIBILADOR</v>
      </c>
      <c r="C9026" s="6">
        <v>11716000</v>
      </c>
      <c r="D9026" s="5" t="s">
        <v>166</v>
      </c>
      <c r="E9026" s="5" t="str">
        <f t="shared" si="465"/>
        <v>URGENCIAS PEDIATRIA-YENI ESPERANZA PENA GUERRERO</v>
      </c>
      <c r="F9026" s="5" t="str">
        <f>"Descripcion: DESFRIBILADOR. Desfribilador cardiaco de onda bifasica, tipo de desfribilacion:manual,sincronica y AED.Entrega de enregia entre 0-270 joules, marcapaso externo, velocidad de registro 25mm bateria interna para dos horas de trabajo,monitor, con"&amp; "exion para e Estado: Bueno Placa anterior: 000031371 Material: PASTA Color: BLANCO CON GRIS Referencia:  Observacion: BUEN ESTADO Placa padre: Tipo adquisicion: Entidad"</f>
        <v>Descripcion: DESFRIBILADOR. Desfribilador cardiaco de onda bifasica, tipo de desfribilacion:manual,sincronica y AED.Entrega de enregia entre 0-270 joules, marcapaso externo, velocidad de registro 25mm bateria interna para dos horas de trabajo,monitor, conexion para e Estado: Bueno Placa anterior: 000031371 Material: PASTA Color: BLANCO CON GRIS Referencia:  Observacion: BUEN ESTADO Placa padre: Tipo adquisicion: Entidad</v>
      </c>
      <c r="G9026" s="5" t="str">
        <f>"BENELTEARTD3"</f>
        <v>BENELTEARTD3</v>
      </c>
    </row>
    <row r="9027" spans="1:7" ht="58.5" customHeight="1" x14ac:dyDescent="0.25">
      <c r="A9027" s="5" t="str">
        <f>"H0009317"</f>
        <v>H0009317</v>
      </c>
      <c r="B9027" s="5" t="str">
        <f>"FLUJOMETRO SENCILLO"</f>
        <v>FLUJOMETRO SENCILLO</v>
      </c>
      <c r="C9027" s="6">
        <v>365400</v>
      </c>
      <c r="D9027" s="5" t="s">
        <v>56</v>
      </c>
      <c r="E9027" s="5" t="str">
        <f t="shared" ref="E9027:E9090" si="466">"URGENCIAS PEDIATRIA-YENI ESPERANZA PENA GUERRERO"</f>
        <v>URGENCIAS PEDIATRIA-YENI ESPERANZA PENA GUERRERO</v>
      </c>
      <c r="F9027" s="5" t="str">
        <f>"Descripcion: FLUJOMETRO Estado: Bueno Placa anterior: 000031132 Material: METAL Color: PLATEADO CON VERDE Referencia:  Observacion: BUEN ESTADO Placa padre: Tipo adquisicion: Entidad"</f>
        <v>Descripcion: FLUJOMETRO Estado: Bueno Placa anterior: 000031132 Material: METAL Color: PLATEADO CON VERDE Referencia:  Observacion: BUEN ESTADO Placa padre: Tipo adquisicion: Entidad</v>
      </c>
      <c r="G9027" s="5"/>
    </row>
    <row r="9028" spans="1:7" ht="58.5" customHeight="1" x14ac:dyDescent="0.25">
      <c r="A9028" s="5" t="str">
        <f>"H0009318"</f>
        <v>H0009318</v>
      </c>
      <c r="B9028" s="5" t="str">
        <f>"ATRIL PORTASUERO MOVIL"</f>
        <v>ATRIL PORTASUERO MOVIL</v>
      </c>
      <c r="C9028" s="6">
        <v>145000</v>
      </c>
      <c r="D9028" s="5" t="s">
        <v>166</v>
      </c>
      <c r="E9028" s="5" t="str">
        <f t="shared" si="466"/>
        <v>URGENCIAS PEDIATRIA-YENI ESPERANZA PENA GUERRERO</v>
      </c>
      <c r="F9028" s="5" t="str">
        <f>"Descripcion: ATRIL. Aatril portasuero en pintura electrostatica, debe contar con sistema portasuero minimo para dos bolsas de 50ml con varilla graduable,con rodachines Estado: Bueno Placa anterior: 000031452 Material: ACERO INOXIDABLE Color: BEIGE Referen"&amp; "cia:  Observacion: BUEN ESTADO Placa padre: Tipo adquisicion: Entidad"</f>
        <v>Descripcion: ATRIL. Aatril portasuero en pintura electrostatica, debe contar con sistema portasuero minimo para dos bolsas de 50ml con varilla graduable,con rodachines Estado: Bueno Placa anterior: 000031452 Material: ACERO INOXIDABLE Color: BEIGE Referencia:  Observacion: BUEN ESTADO Placa padre: Tipo adquisicion: Entidad</v>
      </c>
      <c r="G9028" s="5" t="str">
        <f>"121-01"</f>
        <v>121-01</v>
      </c>
    </row>
    <row r="9029" spans="1:7" ht="58.5" customHeight="1" x14ac:dyDescent="0.25">
      <c r="A9029" s="5" t="str">
        <f>"H0009422"</f>
        <v>H0009422</v>
      </c>
      <c r="B9029" s="5" t="str">
        <f>"CAMA PEDIATRICA CON BARANDA"</f>
        <v>CAMA PEDIATRICA CON BARANDA</v>
      </c>
      <c r="C9029" s="6">
        <v>33905.06</v>
      </c>
      <c r="D9029" s="5"/>
      <c r="E9029" s="5" t="str">
        <f t="shared" si="466"/>
        <v>URGENCIAS PEDIATRIA-YENI ESPERANZA PENA GUERRERO</v>
      </c>
      <c r="F9029" s="5" t="str">
        <f>"Descripcion: CUNA CON RUEDAS FIJAS Estado: Regular Placa anterior: 000033744 Material: METALICO Color: BEIGE Referencia:  Observacion: BUEN ESTADO Placa padre: Tipo adquisicion: Entidad"</f>
        <v>Descripcion: CUNA CON RUEDAS FIJAS Estado: Regular Placa anterior: 000033744 Material: METALICO Color: BEIGE Referencia:  Observacion: BUEN ESTADO Placa padre: Tipo adquisicion: Entidad</v>
      </c>
      <c r="G9029" s="5"/>
    </row>
    <row r="9030" spans="1:7" ht="58.5" customHeight="1" x14ac:dyDescent="0.25">
      <c r="A9030" s="5" t="str">
        <f>"H0009455"</f>
        <v>H0009455</v>
      </c>
      <c r="B9030" s="5" t="str">
        <f>"CAMILLA DE TRASLADO CON BARANDAS"</f>
        <v>CAMILLA DE TRASLADO CON BARANDAS</v>
      </c>
      <c r="C9030" s="6">
        <v>6774400</v>
      </c>
      <c r="D9030" s="5" t="s">
        <v>166</v>
      </c>
      <c r="E9030" s="5" t="str">
        <f t="shared" si="466"/>
        <v>URGENCIAS PEDIATRIA-YENI ESPERANZA PENA GUERRERO</v>
      </c>
      <c r="F9030"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000031489 Material: METALICA Y PASTA Color: BEIGE Y GRIS Referencia: 144-04/02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000031489 Material: METALICA Y PASTA Color: BEIGE Y GRIS Referencia: 144-04/02 Observacion:  Placa padre: Tipo adquisicion: Entidad</v>
      </c>
      <c r="G9030" s="5" t="str">
        <f>"6556"</f>
        <v>6556</v>
      </c>
    </row>
    <row r="9031" spans="1:7" ht="58.5" customHeight="1" x14ac:dyDescent="0.25">
      <c r="A9031" s="5" t="str">
        <f>"H0009459"</f>
        <v>H0009459</v>
      </c>
      <c r="B9031" s="5" t="str">
        <f>"MESA (CARRO) DE CURACIONES"</f>
        <v>MESA (CARRO) DE CURACIONES</v>
      </c>
      <c r="C9031" s="6">
        <v>16300</v>
      </c>
      <c r="D9031" s="5"/>
      <c r="E9031" s="5" t="str">
        <f t="shared" si="466"/>
        <v>URGENCIAS PEDIATRIA-YENI ESPERANZA PENA GUERRERO</v>
      </c>
      <c r="F9031" s="5" t="str">
        <f>"Descripcion: MESA CARRO DE CURACIONES Estado: Bueno Placa anterior: 000018604 Material: ACERO INOXIDABLE 2 NIVELES  Color: PLATEADO Referencia:  Observacion:  Placa padre: Tipo adquisicion: Entidad"</f>
        <v>Descripcion: MESA CARRO DE CURACIONES Estado: Bueno Placa anterior: 000018604 Material: ACERO INOXIDABLE 2 NIVELES  Color: PLATEADO Referencia:  Observacion:  Placa padre: Tipo adquisicion: Entidad</v>
      </c>
      <c r="G9031" s="5"/>
    </row>
    <row r="9032" spans="1:7" ht="58.5" customHeight="1" x14ac:dyDescent="0.25">
      <c r="A9032" s="5" t="str">
        <f>"H0009460"</f>
        <v>H0009460</v>
      </c>
      <c r="B9032" s="5" t="str">
        <f>"ELECTROCARDIOGRAFO"</f>
        <v>ELECTROCARDIOGRAFO</v>
      </c>
      <c r="C9032" s="6">
        <v>3441372</v>
      </c>
      <c r="D9032" s="5"/>
      <c r="E9032" s="5" t="str">
        <f t="shared" si="466"/>
        <v>URGENCIAS PEDIATRIA-YENI ESPERANZA PENA GUERRERO</v>
      </c>
      <c r="F9032" s="5" t="str">
        <f>"Descripcion: ELECTROCARDIOGRAFO BENEHEART R3 Estado: Bueno Placa anterior: 000038890 Material: PASTA Color: BEIGE Referencia:  Observacion:  Placa padre: Tipo adquisicion: Entidad"</f>
        <v>Descripcion: ELECTROCARDIOGRAFO BENEHEART R3 Estado: Bueno Placa anterior: 000038890 Material: PASTA Color: BEIGE Referencia:  Observacion:  Placa padre: Tipo adquisicion: Entidad</v>
      </c>
      <c r="G9032" s="5" t="str">
        <f>"BENE HEART R3"</f>
        <v>BENE HEART R3</v>
      </c>
    </row>
    <row r="9033" spans="1:7" ht="58.5" customHeight="1" x14ac:dyDescent="0.25">
      <c r="A9033" s="5" t="str">
        <f>"H0009461"</f>
        <v>H0009461</v>
      </c>
      <c r="B9033" s="5" t="str">
        <f>"LAMPARA CUELLO CISNE"</f>
        <v>LAMPARA CUELLO CISNE</v>
      </c>
      <c r="C9033" s="6">
        <v>32423.87</v>
      </c>
      <c r="D9033" s="5"/>
      <c r="E9033" s="5" t="str">
        <f t="shared" si="466"/>
        <v>URGENCIAS PEDIATRIA-YENI ESPERANZA PENA GUERRERO</v>
      </c>
      <c r="F9033" s="5" t="str">
        <f>"Descripcion: LAMPARA CUELLO DE CISNE Estado: Bueno Placa anterior: 000031272 Material: METAL Color: BEIGE Y GRIS Referencia:  Observacion:  Placa padre: Tipo adquisicion: Entidad"</f>
        <v>Descripcion: LAMPARA CUELLO DE CISNE Estado: Bueno Placa anterior: 000031272 Material: METAL Color: BEIGE Y GRIS Referencia:  Observacion:  Placa padre: Tipo adquisicion: Entidad</v>
      </c>
      <c r="G9033" s="5"/>
    </row>
    <row r="9034" spans="1:7" ht="58.5" customHeight="1" x14ac:dyDescent="0.25">
      <c r="A9034" s="5" t="str">
        <f>"H0009462"</f>
        <v>H0009462</v>
      </c>
      <c r="B9034" s="5" t="str">
        <f>"REFRIGERADOR VERTICAL"</f>
        <v>REFRIGERADOR VERTICAL</v>
      </c>
      <c r="C9034" s="6">
        <v>452400</v>
      </c>
      <c r="D9034" s="5"/>
      <c r="E9034" s="5" t="str">
        <f t="shared" si="466"/>
        <v>URGENCIAS PEDIATRIA-YENI ESPERANZA PENA GUERRERO</v>
      </c>
      <c r="F9034" s="5" t="str">
        <f>"Descripcion: REFRIGERADORA SAMSUNG SG-12BCSWCN Estado: Bueno Placa anterior: 000022613 Material: METAL Y PASTA Color: BLANCO Referencia:  Observacion: ANCHO 45 CM X ALTO 84 CM X FONDO 47 CM Placa padre: Tipo adquisicion: Entidad"</f>
        <v>Descripcion: REFRIGERADORA SAMSUNG SG-12BCSWCN Estado: Bueno Placa anterior: 000022613 Material: METAL Y PASTA Color: BLANCO Referencia:  Observacion: ANCHO 45 CM X ALTO 84 CM X FONDO 47 CM Placa padre: Tipo adquisicion: Entidad</v>
      </c>
      <c r="G9034" s="5" t="str">
        <f>"SG 12BCSWCN"</f>
        <v>SG 12BCSWCN</v>
      </c>
    </row>
    <row r="9035" spans="1:7" ht="58.5" customHeight="1" x14ac:dyDescent="0.25">
      <c r="A9035" s="5" t="str">
        <f>"H0009463"</f>
        <v>H0009463</v>
      </c>
      <c r="B9035" s="5" t="str">
        <f>"LAVAMANOS QUIRURGICO 1 PUESTO"</f>
        <v>LAVAMANOS QUIRURGICO 1 PUESTO</v>
      </c>
      <c r="C9035" s="6">
        <v>81414.64</v>
      </c>
      <c r="D9035" s="5"/>
      <c r="E9035" s="5" t="str">
        <f t="shared" si="466"/>
        <v>URGENCIAS PEDIATRIA-YENI ESPERANZA PENA GUERRERO</v>
      </c>
      <c r="F9035" s="5" t="str">
        <f>"Descripcion: LAVAMANOS DE 1 PUESTO CON MESON EN ACERO INOXIDABLE,  227 CM ANCHO X 87 ALTO X 53 CM  FONDO Estado: Bueno Placa anterior: 000018482 Material: ACERO INOXIDABLE Color: PLATEADO Referencia:  Observacion: EL FUNCIONARIO AUTORIZA SE CONCILIE CON L"&amp; "A PLACA No. 18482 Placa padre: Tipo adquisicion: Entidad"</f>
        <v>Descripcion: LAVAMANOS DE 1 PUESTO CON MESON EN ACERO INOXIDABLE,  227 CM ANCHO X 87 ALTO X 53 CM  FONDO Estado: Bueno Placa anterior: 000018482 Material: ACERO INOXIDABLE Color: PLATEADO Referencia:  Observacion: EL FUNCIONARIO AUTORIZA SE CONCILIE CON LA PLACA No. 18482 Placa padre: Tipo adquisicion: Entidad</v>
      </c>
      <c r="G9035" s="5"/>
    </row>
    <row r="9036" spans="1:7" ht="58.5" customHeight="1" x14ac:dyDescent="0.25">
      <c r="A9036" s="5" t="str">
        <f>"H0009465"</f>
        <v>H0009465</v>
      </c>
      <c r="B9036" s="5" t="str">
        <f>"LAVAMANOS QUIRURGICO 2 PUESTOS"</f>
        <v>LAVAMANOS QUIRURGICO 2 PUESTOS</v>
      </c>
      <c r="C9036" s="6">
        <v>81414.64</v>
      </c>
      <c r="D9036" s="5"/>
      <c r="E9036" s="5" t="str">
        <f t="shared" si="466"/>
        <v>URGENCIAS PEDIATRIA-YENI ESPERANZA PENA GUERRERO</v>
      </c>
      <c r="F9036" s="5" t="str">
        <f>"Descripcion: LAVAMANOS 2 PUESTOS CON MESON EN ACERO INOX. - 233 CM ANCHO X 88 CM ALTO X 55 CM FONDO  Estado: Bueno Placa anterior: 000018427 Material: ACERO INOX. Color: PLATEADO Referencia:  Observacion: EL FUNCIONARIO AUTORIZA SE CONCILIE CON PLACA No. "&amp; "18427 Placa padre: Tipo adquisicion: Entidad"</f>
        <v>Descripcion: LAVAMANOS 2 PUESTOS CON MESON EN ACERO INOX. - 233 CM ANCHO X 88 CM ALTO X 55 CM FONDO  Estado: Bueno Placa anterior: 000018427 Material: ACERO INOX. Color: PLATEADO Referencia:  Observacion: EL FUNCIONARIO AUTORIZA SE CONCILIE CON PLACA No. 18427 Placa padre: Tipo adquisicion: Entidad</v>
      </c>
      <c r="G9036" s="5"/>
    </row>
    <row r="9037" spans="1:7" ht="58.5" customHeight="1" x14ac:dyDescent="0.25">
      <c r="A9037" s="5" t="str">
        <f>"H0009466"</f>
        <v>H0009466</v>
      </c>
      <c r="B9037" s="5" t="str">
        <f>"VITRINA DE 2 CUERPOS"</f>
        <v>VITRINA DE 2 CUERPOS</v>
      </c>
      <c r="C9037" s="6">
        <v>71105.39</v>
      </c>
      <c r="D9037" s="5"/>
      <c r="E9037" s="5" t="str">
        <f t="shared" si="466"/>
        <v>URGENCIAS PEDIATRIA-YENI ESPERANZA PENA GUERRERO</v>
      </c>
      <c r="F9037" s="5" t="str">
        <f>"Descripcion: VITRINA METALICA DE 2 CUERPOS, 4 GAVETAS Y PUERTAS CON VIDRIO. - 90 CM ANCHO X 150 CM ALTO X 37 CM FONDO Estado: Bueno Placa anterior: 000019614 Material: METAL Y VIDRIO Color: GRIS Referencia:  Observacion: AUTORIZADO CONCILIAR EN CRUCE GENE"&amp; "RAL Placa padre: Tipo adquisicion: Entidad"</f>
        <v>Descripcion: VITRINA METALICA DE 2 CUERPOS, 4 GAVETAS Y PUERTAS CON VIDRIO. - 90 CM ANCHO X 150 CM ALTO X 37 CM FONDO Estado: Bueno Placa anterior: 000019614 Material: METAL Y VIDRIO Color: GRIS Referencia:  Observacion: AUTORIZADO CONCILIAR EN CRUCE GENERAL Placa padre: Tipo adquisicion: Entidad</v>
      </c>
      <c r="G9037" s="5"/>
    </row>
    <row r="9038" spans="1:7" ht="58.5" customHeight="1" x14ac:dyDescent="0.25">
      <c r="A9038" s="5" t="str">
        <f>"H0009493"</f>
        <v>H0009493</v>
      </c>
      <c r="B9038" s="5" t="str">
        <f>"ASPIRADOR DE SECRECIONES"</f>
        <v>ASPIRADOR DE SECRECIONES</v>
      </c>
      <c r="C9038" s="6">
        <v>200000</v>
      </c>
      <c r="D9038" s="5"/>
      <c r="E9038" s="5" t="str">
        <f t="shared" si="466"/>
        <v>URGENCIAS PEDIATRIA-YENI ESPERANZA PENA GUERRERO</v>
      </c>
      <c r="F9038" s="5" t="str">
        <f>"Descripcion: ASPIRADOR Estado: Bueno Placa anterior: 000007157 Material: PASTA Y METAL Color: BEIGE Y NEGRO Referencia:  Observacion:  Placa padre: Tipo adquisicion: Entidad"</f>
        <v>Descripcion: ASPIRADOR Estado: Bueno Placa anterior: 000007157 Material: PASTA Y METAL Color: BEIGE Y NEGRO Referencia:  Observacion:  Placa padre: Tipo adquisicion: Entidad</v>
      </c>
      <c r="G9038" s="5" t="str">
        <f>"1630"</f>
        <v>1630</v>
      </c>
    </row>
    <row r="9039" spans="1:7" ht="58.5" customHeight="1" x14ac:dyDescent="0.25">
      <c r="A9039" s="5" t="str">
        <f>"H0009649"</f>
        <v>H0009649</v>
      </c>
      <c r="B9039" s="5" t="str">
        <f>"CAMARA DE HOOD GRANDE"</f>
        <v>CAMARA DE HOOD GRANDE</v>
      </c>
      <c r="C9039" s="6">
        <v>301600</v>
      </c>
      <c r="D9039" s="5" t="s">
        <v>520</v>
      </c>
      <c r="E9039" s="5" t="str">
        <f t="shared" si="466"/>
        <v>URGENCIAS PEDIATRIA-YENI ESPERANZA PENA GUERRERO</v>
      </c>
      <c r="F9039" s="5" t="str">
        <f>"Descripcion: CAMARA HUD GRANDE Estado: Bueno Placa anterior: 000031227 Material: ACRILICO Color: TRANSPARENTE Referencia:  Observacion:  Placa padre: Tipo adquisicion: Entidad"</f>
        <v>Descripcion: CAMARA HUD GRANDE Estado: Bueno Placa anterior: 000031227 Material: ACRILICO Color: TRANSPARENTE Referencia:  Observacion:  Placa padre: Tipo adquisicion: Entidad</v>
      </c>
      <c r="G9039" s="5"/>
    </row>
    <row r="9040" spans="1:7" ht="58.5" customHeight="1" x14ac:dyDescent="0.25">
      <c r="A9040" s="5" t="str">
        <f>"H0009650"</f>
        <v>H0009650</v>
      </c>
      <c r="B9040" s="5" t="str">
        <f>"CAMARA DE HOOD PEQUENA"</f>
        <v>CAMARA DE HOOD PEQUENA</v>
      </c>
      <c r="C9040" s="6">
        <v>274920</v>
      </c>
      <c r="D9040" s="5"/>
      <c r="E9040" s="5" t="str">
        <f t="shared" si="466"/>
        <v>URGENCIAS PEDIATRIA-YENI ESPERANZA PENA GUERRERO</v>
      </c>
      <c r="F9040" s="5" t="str">
        <f>"Descripcion: CAMARA HUD PEQ. Estado: Bueno Placa anterior: 000026852 Material: ACRILICO Color: TRANSPARENTE Referencia:  Observacion:  Placa padre: Tipo adquisicion: Entidad"</f>
        <v>Descripcion: CAMARA HUD PEQ. Estado: Bueno Placa anterior: 000026852 Material: ACRILICO Color: TRANSPARENTE Referencia:  Observacion:  Placa padre: Tipo adquisicion: Entidad</v>
      </c>
      <c r="G9040" s="5"/>
    </row>
    <row r="9041" spans="1:7" ht="58.5" customHeight="1" x14ac:dyDescent="0.25">
      <c r="A9041" s="5" t="str">
        <f>"H0009652"</f>
        <v>H0009652</v>
      </c>
      <c r="B9041" s="5" t="str">
        <f>"POTE (TARRO) ACERO INXODABLE CON TAPA MEDIANO"</f>
        <v>POTE (TARRO) ACERO INXODABLE CON TAPA MEDIANO</v>
      </c>
      <c r="C9041" s="6">
        <v>21799.02</v>
      </c>
      <c r="D9041" s="5"/>
      <c r="E9041" s="5" t="str">
        <f t="shared" si="466"/>
        <v>URGENCIAS PEDIATRIA-YENI ESPERANZA PENA GUERRERO</v>
      </c>
      <c r="F9041" s="5" t="str">
        <f>"Descripcion: TARRO EN ACERO INOXIDABLE MEDIANO 19,5 CM ALTO Estado: Bueno Placa anterior: 000018634 Material: ACERO INOX. Color: PLATEADO Referencia:  Observacion:  Placa padre: Tipo adquisicion: Entidad"</f>
        <v>Descripcion: TARRO EN ACERO INOXIDABLE MEDIANO 19,5 CM ALTO Estado: Bueno Placa anterior: 000018634 Material: ACERO INOX. Color: PLATEADO Referencia:  Observacion:  Placa padre: Tipo adquisicion: Entidad</v>
      </c>
      <c r="G9041" s="5"/>
    </row>
    <row r="9042" spans="1:7" ht="58.5" customHeight="1" x14ac:dyDescent="0.25">
      <c r="A9042" s="5" t="str">
        <f>"H0009654"</f>
        <v>H0009654</v>
      </c>
      <c r="B9042" s="5" t="str">
        <f>"POTE (TARRO) ACERO INXODABLE CON TAPA PEQUEÑO"</f>
        <v>POTE (TARRO) ACERO INXODABLE CON TAPA PEQUEÑO</v>
      </c>
      <c r="C9042" s="6">
        <v>21799.02</v>
      </c>
      <c r="D9042" s="5"/>
      <c r="E9042" s="5" t="str">
        <f t="shared" si="466"/>
        <v>URGENCIAS PEDIATRIA-YENI ESPERANZA PENA GUERRERO</v>
      </c>
      <c r="F9042" s="5" t="str">
        <f>"Descripcion: TARRO EN ACERO INOXIDABLE PEQ. 9 CM ALTO Estado: Bueno Placa anterior: 000018417 Material: ACERO INOX. Color: PLATEADO Referencia:  Observacion:  Placa padre: Tipo adquisicion: Entidad"</f>
        <v>Descripcion: TARRO EN ACERO INOXIDABLE PEQ. 9 CM ALTO Estado: Bueno Placa anterior: 000018417 Material: ACERO INOX. Color: PLATEADO Referencia:  Observacion:  Placa padre: Tipo adquisicion: Entidad</v>
      </c>
      <c r="G9042" s="5"/>
    </row>
    <row r="9043" spans="1:7" ht="58.5" customHeight="1" x14ac:dyDescent="0.25">
      <c r="A9043" s="5" t="str">
        <f>"H0009655"</f>
        <v>H0009655</v>
      </c>
      <c r="B9043" s="5" t="str">
        <f>"POTE (TARRO) ACERO INXODABLE CON TAPA PEQUEÑO"</f>
        <v>POTE (TARRO) ACERO INXODABLE CON TAPA PEQUEÑO</v>
      </c>
      <c r="C9043" s="6">
        <v>21799.02</v>
      </c>
      <c r="D9043" s="5"/>
      <c r="E9043" s="5" t="str">
        <f t="shared" si="466"/>
        <v>URGENCIAS PEDIATRIA-YENI ESPERANZA PENA GUERRERO</v>
      </c>
      <c r="F9043" s="5" t="str">
        <f>"Descripcion: TARRO EN ACERO INOXIDABLE PEQ. 9 CM ALTO Estado: Bueno Placa anterior: 000018469 Material: ACERO INOX. Color: PLATEADO Referencia:  Observacion:  Placa padre: Tipo adquisicion: Entidad"</f>
        <v>Descripcion: TARRO EN ACERO INOXIDABLE PEQ. 9 CM ALTO Estado: Bueno Placa anterior: 000018469 Material: ACERO INOX. Color: PLATEADO Referencia:  Observacion:  Placa padre: Tipo adquisicion: Entidad</v>
      </c>
      <c r="G9043" s="5"/>
    </row>
    <row r="9044" spans="1:7" ht="58.5" customHeight="1" x14ac:dyDescent="0.25">
      <c r="A9044" s="5" t="str">
        <f>"H0009657"</f>
        <v>H0009657</v>
      </c>
      <c r="B9044" s="5" t="str">
        <f>"POTE (TARRO) ACERO INXODABLE CON TAPA MEDIANO"</f>
        <v>POTE (TARRO) ACERO INXODABLE CON TAPA MEDIANO</v>
      </c>
      <c r="C9044" s="6">
        <v>21799.02</v>
      </c>
      <c r="D9044" s="5"/>
      <c r="E9044" s="5" t="str">
        <f t="shared" si="466"/>
        <v>URGENCIAS PEDIATRIA-YENI ESPERANZA PENA GUERRERO</v>
      </c>
      <c r="F9044" s="5" t="str">
        <f>"Descripcion: TARRO EN ACERO INOXIDABLE MEDIANO. 19 ,5 CM ALTO Estado: Bueno Placa anterior: 000018496 Material: ACERO INOX. Color: PLATEADO Referencia:  Observacion:  Placa padre: Tipo adquisicion: Entidad"</f>
        <v>Descripcion: TARRO EN ACERO INOXIDABLE MEDIANO. 19 ,5 CM ALTO Estado: Bueno Placa anterior: 000018496 Material: ACERO INOX. Color: PLATEADO Referencia:  Observacion:  Placa padre: Tipo adquisicion: Entidad</v>
      </c>
      <c r="G9044" s="5"/>
    </row>
    <row r="9045" spans="1:7" ht="58.5" customHeight="1" x14ac:dyDescent="0.25">
      <c r="A9045" s="5" t="str">
        <f>"H0009658"</f>
        <v>H0009658</v>
      </c>
      <c r="B9045" s="5" t="str">
        <f>"POTE (TARRO) ACERO INXODABLE CON TAPA MEDIANO"</f>
        <v>POTE (TARRO) ACERO INXODABLE CON TAPA MEDIANO</v>
      </c>
      <c r="C9045" s="6">
        <v>21799.02</v>
      </c>
      <c r="D9045" s="5"/>
      <c r="E9045" s="5" t="str">
        <f t="shared" si="466"/>
        <v>URGENCIAS PEDIATRIA-YENI ESPERANZA PENA GUERRERO</v>
      </c>
      <c r="F9045" s="5" t="str">
        <f>"Descripcion: TARRO EN ACERO INOXIDABLE MEDIANO. 19 ,5 CM ALTO Estado: Bueno Placa anterior: 000018538 Material: ACERO INOX. Color: PLATEADO Referencia:  Observacion:  Placa padre: Tipo adquisicion: Entidad"</f>
        <v>Descripcion: TARRO EN ACERO INOXIDABLE MEDIANO. 19 ,5 CM ALTO Estado: Bueno Placa anterior: 000018538 Material: ACERO INOX. Color: PLATEADO Referencia:  Observacion:  Placa padre: Tipo adquisicion: Entidad</v>
      </c>
      <c r="G9045" s="5"/>
    </row>
    <row r="9046" spans="1:7" ht="58.5" customHeight="1" x14ac:dyDescent="0.25">
      <c r="A9046" s="5" t="str">
        <f>"H0009665"</f>
        <v>H0009665</v>
      </c>
      <c r="B9046" s="5" t="str">
        <f>"SILLA INTERLOCUTORA (FIJA) SIN BRAZOS"</f>
        <v>SILLA INTERLOCUTORA (FIJA) SIN BRAZOS</v>
      </c>
      <c r="C9046" s="6">
        <v>5825.94</v>
      </c>
      <c r="D9046" s="5"/>
      <c r="E9046" s="5" t="str">
        <f t="shared" si="466"/>
        <v>URGENCIAS PEDIATRIA-YENI ESPERANZA PENA GUERRERO</v>
      </c>
      <c r="F9046" s="5" t="str">
        <f>"Descripcion: SILLA FIJA SIN BRAZOS Estado: Regular Placa anterior: 000018440 Material: PASTA Y PAÑO Color: NEGRO Referencia:  Observacion: ASIENTO EN REGULAR ESTADO Placa padre: Tipo adquisicion: Entidad"</f>
        <v>Descripcion: SILLA FIJA SIN BRAZOS Estado: Regular Placa anterior: 000018440 Material: PASTA Y PAÑO Color: NEGRO Referencia:  Observacion: ASIENTO EN REGULAR ESTADO Placa padre: Tipo adquisicion: Entidad</v>
      </c>
      <c r="G9046" s="5"/>
    </row>
    <row r="9047" spans="1:7" ht="58.5" customHeight="1" x14ac:dyDescent="0.25">
      <c r="A9047" s="5" t="str">
        <f>"H0009666"</f>
        <v>H0009666</v>
      </c>
      <c r="B9047" s="5" t="str">
        <f>"BUTACO GIRATORIO CON RUEDAS"</f>
        <v>BUTACO GIRATORIO CON RUEDAS</v>
      </c>
      <c r="C9047" s="6">
        <v>15786.95</v>
      </c>
      <c r="D9047" s="5"/>
      <c r="E9047" s="5" t="str">
        <f t="shared" si="466"/>
        <v>URGENCIAS PEDIATRIA-YENI ESPERANZA PENA GUERRERO</v>
      </c>
      <c r="F9047" s="5" t="str">
        <f>"Descripcion: BUTACO CON RODACHINES Estado: Bueno Placa anterior: 000018493 Material: METAL Y CUERINA Color: GRIS Y MARRON Referencia:  Observacion:  Placa padre: Tipo adquisicion: Entidad"</f>
        <v>Descripcion: BUTACO CON RODACHINES Estado: Bueno Placa anterior: 000018493 Material: METAL Y CUERINA Color: GRIS Y MARRON Referencia:  Observacion:  Placa padre: Tipo adquisicion: Entidad</v>
      </c>
      <c r="G9047" s="5"/>
    </row>
    <row r="9048" spans="1:7" ht="58.5" customHeight="1" x14ac:dyDescent="0.25">
      <c r="A9048" s="5" t="str">
        <f>"H0009669"</f>
        <v>H0009669</v>
      </c>
      <c r="B9048" s="5" t="str">
        <f>"FLUJOMETRO DOBLE"</f>
        <v>FLUJOMETRO DOBLE</v>
      </c>
      <c r="C9048" s="6">
        <v>365400</v>
      </c>
      <c r="D9048" s="5" t="s">
        <v>56</v>
      </c>
      <c r="E9048" s="5" t="str">
        <f t="shared" si="466"/>
        <v>URGENCIAS PEDIATRIA-YENI ESPERANZA PENA GUERRERO</v>
      </c>
      <c r="F9048" s="5" t="str">
        <f>"Descripcion: FLUJOMETRO Estado: Bueno Placa anterior: 000031131 Material: METAL Y PASTA Color: PLATEADO Y VERDE Referencia:  Observacion:  Placa padre: Tipo adquisicion: Entidad"</f>
        <v>Descripcion: FLUJOMETRO Estado: Bueno Placa anterior: 000031131 Material: METAL Y PASTA Color: PLATEADO Y VERDE Referencia:  Observacion:  Placa padre: Tipo adquisicion: Entidad</v>
      </c>
      <c r="G9048" s="5"/>
    </row>
    <row r="9049" spans="1:7" ht="58.5" customHeight="1" x14ac:dyDescent="0.25">
      <c r="A9049" s="5" t="str">
        <f>"H0009670"</f>
        <v>H0009670</v>
      </c>
      <c r="B9049" s="5" t="str">
        <f>"BANDEJA DE ACERO INOXIDABLE GRANDE"</f>
        <v>BANDEJA DE ACERO INOXIDABLE GRANDE</v>
      </c>
      <c r="C9049" s="6">
        <v>20226.259999999998</v>
      </c>
      <c r="D9049" s="5"/>
      <c r="E9049" s="5" t="str">
        <f t="shared" si="466"/>
        <v>URGENCIAS PEDIATRIA-YENI ESPERANZA PENA GUERRERO</v>
      </c>
      <c r="F9049" s="5" t="str">
        <f>"Descripcion: BANDEJA EN ACERO INOX. - 34 CM ANCHO X 24 CM FONDO X 1.5 CM ALTO Estado: Bueno Placa anterior: 000018534 Material: ACERO INOX. Color: PLATEADO Referencia:  Observacion: BANDEJA EN ACERO INOXIDABLE   Placa padre: Tipo adquisicion: Entidad"</f>
        <v>Descripcion: BANDEJA EN ACERO INOX. - 34 CM ANCHO X 24 CM FONDO X 1.5 CM ALTO Estado: Bueno Placa anterior: 000018534 Material: ACERO INOX. Color: PLATEADO Referencia:  Observacion: BANDEJA EN ACERO INOXIDABLE   Placa padre: Tipo adquisicion: Entidad</v>
      </c>
      <c r="G9049" s="5"/>
    </row>
    <row r="9050" spans="1:7" ht="58.5" customHeight="1" x14ac:dyDescent="0.25">
      <c r="A9050" s="5" t="str">
        <f>"H0009674"</f>
        <v>H0009674</v>
      </c>
      <c r="B9050" s="5" t="str">
        <f>"BANDEJA DE ACERO INOXIDABLE GRANDE"</f>
        <v>BANDEJA DE ACERO INOXIDABLE GRANDE</v>
      </c>
      <c r="C9050" s="6">
        <v>20226.259999999998</v>
      </c>
      <c r="D9050" s="5"/>
      <c r="E9050" s="5" t="str">
        <f t="shared" si="466"/>
        <v>URGENCIAS PEDIATRIA-YENI ESPERANZA PENA GUERRERO</v>
      </c>
      <c r="F9050" s="5" t="str">
        <f>"Descripcion: BANDEJA EN ACERO INOX. 36 CM ANCHO X 22 CM FONDO X 1,5 CM ALTO Estado: Bueno Placa anterior: 000018423 Material: ACERO INOX. Color: PLATEADO Referencia:  Observacion:  Placa padre: Tipo adquisicion: Entidad"</f>
        <v>Descripcion: BANDEJA EN ACERO INOX. 36 CM ANCHO X 22 CM FONDO X 1,5 CM ALTO Estado: Bueno Placa anterior: 000018423 Material: ACERO INOX. Color: PLATEADO Referencia:  Observacion:  Placa padre: Tipo adquisicion: Entidad</v>
      </c>
      <c r="G9050" s="5"/>
    </row>
    <row r="9051" spans="1:7" ht="58.5" customHeight="1" x14ac:dyDescent="0.25">
      <c r="A9051" s="5" t="str">
        <f>"H0009675"</f>
        <v>H0009675</v>
      </c>
      <c r="B9051" s="5" t="str">
        <f>"CAMILLA DE TRASLADO CON BARANDAS"</f>
        <v>CAMILLA DE TRASLADO CON BARANDAS</v>
      </c>
      <c r="C9051" s="6">
        <v>6774400</v>
      </c>
      <c r="D9051" s="5" t="s">
        <v>166</v>
      </c>
      <c r="E9051" s="5" t="str">
        <f t="shared" si="466"/>
        <v>URGENCIAS PEDIATRIA-YENI ESPERANZA PENA GUERRERO</v>
      </c>
      <c r="F9051" s="5" t="str">
        <f>"Descripcion: CAMILLAS DE RECUPERACION Y TRANSPORTE. CON 1 ATRIL -Camilla de recuperacion y transporte de altura variable por accionamiento hidraulico.Posiciones basicas:Horizontal, semisentado,tradelenburg y tradelenburg inverso de accionamiento electrico"&amp; "  Estado: Bueno Placa anterior: 000031490 Material: METAL Y PASTA Color: BEIGE Y GRIS Referencia: 144-04/02 Observacion:  Placa padre: Tipo adquisicion: Entidad"</f>
        <v>Descripcion: CAMILLAS DE RECUPERACION Y TRANSPORTE. CON 1 ATRIL -Camilla de recuperacion y transporte de altura variable por accionamiento hidraulico.Posiciones basicas:Horizontal, semisentado,tradelenburg y tradelenburg inverso de accionamiento electrico  Estado: Bueno Placa anterior: 000031490 Material: METAL Y PASTA Color: BEIGE Y GRIS Referencia: 144-04/02 Observacion:  Placa padre: Tipo adquisicion: Entidad</v>
      </c>
      <c r="G9051" s="5" t="str">
        <f>"6556"</f>
        <v>6556</v>
      </c>
    </row>
    <row r="9052" spans="1:7" ht="58.5" customHeight="1" x14ac:dyDescent="0.25">
      <c r="A9052" s="5" t="str">
        <f>"H0009685"</f>
        <v>H0009685</v>
      </c>
      <c r="B9052" s="5" t="str">
        <f>"BALANZA (PESO) ANALOGA (GRAMERA)"</f>
        <v>BALANZA (PESO) ANALOGA (GRAMERA)</v>
      </c>
      <c r="C9052" s="6">
        <v>3850001</v>
      </c>
      <c r="D9052" s="5" t="s">
        <v>63</v>
      </c>
      <c r="E9052" s="5" t="str">
        <f t="shared" si="466"/>
        <v>URGENCIAS PEDIATRIA-YENI ESPERANZA PENA GUERRERO</v>
      </c>
      <c r="F9052" s="5" t="str">
        <f>"Descripcion: BALANZA GRAMERA CON BANDEJA Estado: Bueno Placa anterior:  Material: METAL Color: BLANCO Referencia:  Observacion:  Placa padre: Tipo adquisicion: Donacion"</f>
        <v>Descripcion: BALANZA GRAMERA CON BANDEJA Estado: Bueno Placa anterior:  Material: METAL Color: BLANCO Referencia:  Observacion:  Placa padre: Tipo adquisicion: Donacion</v>
      </c>
      <c r="G9052" s="5"/>
    </row>
    <row r="9053" spans="1:7" ht="58.5" customHeight="1" x14ac:dyDescent="0.25">
      <c r="A9053" s="5" t="str">
        <f>"H0010174"</f>
        <v>H0010174</v>
      </c>
      <c r="B9053" s="5" t="str">
        <f>"CUNA PEDIATRICA CON BARANDA"</f>
        <v>CUNA PEDIATRICA CON BARANDA</v>
      </c>
      <c r="C9053" s="6">
        <v>47300</v>
      </c>
      <c r="D9053" s="5"/>
      <c r="E9053" s="5" t="str">
        <f t="shared" si="466"/>
        <v>URGENCIAS PEDIATRIA-YENI ESPERANZA PENA GUERRERO</v>
      </c>
      <c r="F9053" s="5" t="str">
        <f>"Descripcion: CUNA PEDIATRICA CON BARANDAS, 1 ATRIL Estado: Bueno Placa anterior: 000026393 Material: METAL Y VIDRIO Color: BEIGE Referencia:  Observacion: EL BIEN TIENE PLACA ANTERIOR  000031568 Placa padre: Tipo adquisicion: Entidad"</f>
        <v>Descripcion: CUNA PEDIATRICA CON BARANDAS, 1 ATRIL Estado: Bueno Placa anterior: 000026393 Material: METAL Y VIDRIO Color: BEIGE Referencia:  Observacion: EL BIEN TIENE PLACA ANTERIOR  000031568 Placa padre: Tipo adquisicion: Entidad</v>
      </c>
      <c r="G9053" s="5" t="str">
        <f>"6564"</f>
        <v>6564</v>
      </c>
    </row>
    <row r="9054" spans="1:7" ht="58.5" customHeight="1" x14ac:dyDescent="0.25">
      <c r="A9054" s="5" t="str">
        <f>"H0010177"</f>
        <v>H0010177</v>
      </c>
      <c r="B9054" s="5" t="str">
        <f>"CUNA PEDIATRICA CON BARANDA"</f>
        <v>CUNA PEDIATRICA CON BARANDA</v>
      </c>
      <c r="C9054" s="6">
        <v>2668000</v>
      </c>
      <c r="D9054" s="5" t="s">
        <v>161</v>
      </c>
      <c r="E9054" s="5" t="str">
        <f t="shared" si="466"/>
        <v>URGENCIAS PEDIATRIA-YENI ESPERANZA PENA GUERRERO</v>
      </c>
      <c r="F9054"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000031581 Material: METAL Y VIDRIO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000031581 Material: METAL Y VIDRIO Color: BEIGE Referencia:  Observacion:  Placa padre: Tipo adquisicion: Entidad</v>
      </c>
      <c r="G9054" s="5" t="str">
        <f>"131-45/01"</f>
        <v>131-45/01</v>
      </c>
    </row>
    <row r="9055" spans="1:7" ht="58.5" customHeight="1" x14ac:dyDescent="0.25">
      <c r="A9055" s="5" t="str">
        <f>"H0010178"</f>
        <v>H0010178</v>
      </c>
      <c r="B9055" s="5" t="str">
        <f>"ATRIL PORTASUERO MOVIL"</f>
        <v>ATRIL PORTASUERO MOVIL</v>
      </c>
      <c r="C9055" s="6">
        <v>145000</v>
      </c>
      <c r="D9055" s="5" t="s">
        <v>166</v>
      </c>
      <c r="E9055" s="5" t="str">
        <f t="shared" si="466"/>
        <v>URGENCIAS PEDIATRIA-YENI ESPERANZA PENA GUERRERO</v>
      </c>
      <c r="F9055" s="5" t="str">
        <f>"Descripcion: ATRIL. Aatril portasuero en pintura electrostatica, debe contar con sistema portasuero minimo para dos bolsas de 50ml con varilla graduable,con rodachines Estado: Bueno Placa anterior: 000031458 Material: ACERO INOXIDABLE Color: PLATEADO Refe"&amp; "rencia:  Observacion:  Placa padre: Tipo adquisicion: Entidad"</f>
        <v>Descripcion: ATRIL. Aatril portasuero en pintura electrostatica, debe contar con sistema portasuero minimo para dos bolsas de 50ml con varilla graduable,con rodachines Estado: Bueno Placa anterior: 000031458 Material: ACERO INOXIDABLE Color: PLATEADO Referencia:  Observacion:  Placa padre: Tipo adquisicion: Entidad</v>
      </c>
      <c r="G9055" s="5" t="str">
        <f>"121-01"</f>
        <v>121-01</v>
      </c>
    </row>
    <row r="9056" spans="1:7" ht="58.5" customHeight="1" x14ac:dyDescent="0.25">
      <c r="A9056" s="5" t="str">
        <f>"H0010179"</f>
        <v>H0010179</v>
      </c>
      <c r="B9056" s="5" t="str">
        <f>"SILLA PLASTICA CON BRAZOS"</f>
        <v>SILLA PLASTICA CON BRAZOS</v>
      </c>
      <c r="C9056" s="6">
        <v>30160</v>
      </c>
      <c r="D9056" s="5" t="s">
        <v>450</v>
      </c>
      <c r="E9056" s="5" t="str">
        <f t="shared" si="466"/>
        <v>URGENCIAS PEDIATRIA-YENI ESPERANZA PENA GUERRERO</v>
      </c>
      <c r="F9056" s="5" t="str">
        <f>"Descripcion: SILLA PLASTICA CON BRAZOS Estado: Bueno Placa anterior: 000031534 Material: PLASTICO Color: BLANCO Referencia:  Observacion:  Placa padre: Tipo adquisicion: Entidad"</f>
        <v>Descripcion: SILLA PLASTICA CON BRAZOS Estado: Bueno Placa anterior: 000031534 Material: PLASTICO Color: BLANCO Referencia:  Observacion:  Placa padre: Tipo adquisicion: Entidad</v>
      </c>
      <c r="G9056" s="5"/>
    </row>
    <row r="9057" spans="1:7" ht="58.5" customHeight="1" x14ac:dyDescent="0.25">
      <c r="A9057" s="5" t="str">
        <f>"H0010180"</f>
        <v>H0010180</v>
      </c>
      <c r="B9057" s="5" t="str">
        <f>"ATRIL PORTASUERO MOVIL"</f>
        <v>ATRIL PORTASUERO MOVIL</v>
      </c>
      <c r="C9057" s="6">
        <v>210000</v>
      </c>
      <c r="D9057" s="5" t="s">
        <v>50</v>
      </c>
      <c r="E9057" s="5" t="str">
        <f t="shared" si="466"/>
        <v>URGENCIAS PEDIATRIA-YENI ESPERANZA PENA GUERRERO</v>
      </c>
      <c r="F9057" s="5" t="str">
        <f>"Descripcion: ATRIL EN ACERO INOXIDABLE QUIRURGICO ANTIMAGNETICO Estado: Bueno Placa anterior: 000029747 Material: ACERO INOXIDABLE Color: PLATEADO Referencia:  Observacion:  Placa padre: Tipo adquisicion: Entidad"</f>
        <v>Descripcion: ATRIL EN ACERO INOXIDABLE QUIRURGICO ANTIMAGNETICO Estado: Bueno Placa anterior: 000029747 Material: ACERO INOXIDABLE Color: PLATEADO Referencia:  Observacion:  Placa padre: Tipo adquisicion: Entidad</v>
      </c>
      <c r="G9057" s="5"/>
    </row>
    <row r="9058" spans="1:7" ht="58.5" customHeight="1" x14ac:dyDescent="0.25">
      <c r="A9058" s="5" t="str">
        <f>"H0010181"</f>
        <v>H0010181</v>
      </c>
      <c r="B9058" s="5" t="str">
        <f>"CUNA PEDIATRICA CON BARANDA"</f>
        <v>CUNA PEDIATRICA CON BARANDA</v>
      </c>
      <c r="C9058" s="6">
        <v>2668000</v>
      </c>
      <c r="D9058" s="5" t="s">
        <v>161</v>
      </c>
      <c r="E9058" s="5" t="str">
        <f t="shared" si="466"/>
        <v>URGENCIAS PEDIATRIA-YENI ESPERANZA PENA GUERRERO</v>
      </c>
      <c r="F9058"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000031572 Material: METAL Y VIDRIO Color: BEIGE Referencia:  Observacion: CON BARANDAS, NO TIENE ATRIL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000031572 Material: METAL Y VIDRIO Color: BEIGE Referencia:  Observacion: CON BARANDAS, NO TIENE ATRIL   Placa padre: Tipo adquisicion: Entidad</v>
      </c>
      <c r="G9058" s="5" t="str">
        <f>"131-45/01"</f>
        <v>131-45/01</v>
      </c>
    </row>
    <row r="9059" spans="1:7" ht="58.5" customHeight="1" x14ac:dyDescent="0.25">
      <c r="A9059" s="5" t="str">
        <f>"H0010182"</f>
        <v>H0010182</v>
      </c>
      <c r="B9059" s="5" t="str">
        <f>"ATRIL PORTASUERO MOVIL"</f>
        <v>ATRIL PORTASUERO MOVIL</v>
      </c>
      <c r="C9059" s="6">
        <v>210000</v>
      </c>
      <c r="D9059" s="5" t="s">
        <v>50</v>
      </c>
      <c r="E9059" s="5" t="str">
        <f t="shared" si="466"/>
        <v>URGENCIAS PEDIATRIA-YENI ESPERANZA PENA GUERRERO</v>
      </c>
      <c r="F9059" s="5" t="str">
        <f>"Descripcion: ATRIL EN ACERO INOXIDABLE QUIRURGICO ANTIMAGNETICO Estado: Bueno Placa anterior: 000029745 Material: ACERO INOXIDABLE Color: PLATEADO Referencia:  Observacion:  Placa padre: Tipo adquisicion: Entidad"</f>
        <v>Descripcion: ATRIL EN ACERO INOXIDABLE QUIRURGICO ANTIMAGNETICO Estado: Bueno Placa anterior: 000029745 Material: ACERO INOXIDABLE Color: PLATEADO Referencia:  Observacion:  Placa padre: Tipo adquisicion: Entidad</v>
      </c>
      <c r="G9059" s="5"/>
    </row>
    <row r="9060" spans="1:7" ht="58.5" customHeight="1" x14ac:dyDescent="0.25">
      <c r="A9060" s="5" t="str">
        <f>"H0010183"</f>
        <v>H0010183</v>
      </c>
      <c r="B9060" s="5" t="str">
        <f>"SILLA PLASTICA CON BRAZOS"</f>
        <v>SILLA PLASTICA CON BRAZOS</v>
      </c>
      <c r="C9060" s="6">
        <v>30160</v>
      </c>
      <c r="D9060" s="5" t="s">
        <v>450</v>
      </c>
      <c r="E9060" s="5" t="str">
        <f t="shared" si="466"/>
        <v>URGENCIAS PEDIATRIA-YENI ESPERANZA PENA GUERRERO</v>
      </c>
      <c r="F9060" s="5" t="str">
        <f>"Descripcion: SILLA PLASTICA CON BRAZOS Estado: Bueno Placa anterior: 000031535 Material: PLASTICO Color: AZUL Referencia:  Observacion:  Placa padre: Tipo adquisicion: Entidad"</f>
        <v>Descripcion: SILLA PLASTICA CON BRAZOS Estado: Bueno Placa anterior: 000031535 Material: PLASTICO Color: AZUL Referencia:  Observacion:  Placa padre: Tipo adquisicion: Entidad</v>
      </c>
      <c r="G9060" s="5"/>
    </row>
    <row r="9061" spans="1:7" ht="58.5" customHeight="1" x14ac:dyDescent="0.25">
      <c r="A9061" s="5" t="str">
        <f>"H0010184"</f>
        <v>H0010184</v>
      </c>
      <c r="B9061" s="5" t="str">
        <f>"CUNA PEDIATRICA CON BARANDA"</f>
        <v>CUNA PEDIATRICA CON BARANDA</v>
      </c>
      <c r="C9061" s="6">
        <v>2668000</v>
      </c>
      <c r="D9061" s="5" t="s">
        <v>161</v>
      </c>
      <c r="E9061" s="5" t="str">
        <f t="shared" si="466"/>
        <v>URGENCIAS PEDIATRIA-YENI ESPERANZA PENA GUERRERO</v>
      </c>
      <c r="F9061"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000031576 Material: METAL Y VIDRIO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000031576 Material: METAL Y VIDRIO Color: BEIGE Referencia:  Observacion:  Placa padre: Tipo adquisicion: Entidad</v>
      </c>
      <c r="G9061" s="5" t="str">
        <f>"131-45/01"</f>
        <v>131-45/01</v>
      </c>
    </row>
    <row r="9062" spans="1:7" ht="58.5" customHeight="1" x14ac:dyDescent="0.25">
      <c r="A9062" s="5" t="str">
        <f>"H0010185"</f>
        <v>H0010185</v>
      </c>
      <c r="B9062" s="5" t="str">
        <f>"ATRIL PORTASUERO MOVIL"</f>
        <v>ATRIL PORTASUERO MOVIL</v>
      </c>
      <c r="C9062" s="6">
        <v>210000</v>
      </c>
      <c r="D9062" s="5" t="s">
        <v>50</v>
      </c>
      <c r="E9062" s="5" t="str">
        <f t="shared" si="466"/>
        <v>URGENCIAS PEDIATRIA-YENI ESPERANZA PENA GUERRERO</v>
      </c>
      <c r="F9062" s="5" t="str">
        <f>"Descripcion: ATRIL EN ACERO INOXIDABLE QUIRURGICO ANTIMAGNETICO Estado: Bueno Placa anterior: 000029748 Material: ACERO INOXIDABLE Color: PLATEADO Referencia:  Observacion:  Placa padre: Tipo adquisicion: Entidad"</f>
        <v>Descripcion: ATRIL EN ACERO INOXIDABLE QUIRURGICO ANTIMAGNETICO Estado: Bueno Placa anterior: 000029748 Material: ACERO INOXIDABLE Color: PLATEADO Referencia:  Observacion:  Placa padre: Tipo adquisicion: Entidad</v>
      </c>
      <c r="G9062" s="5"/>
    </row>
    <row r="9063" spans="1:7" ht="58.5" customHeight="1" x14ac:dyDescent="0.25">
      <c r="A9063" s="5" t="str">
        <f>"H0010186"</f>
        <v>H0010186</v>
      </c>
      <c r="B9063" s="5" t="str">
        <f>"SILLA PLASTICA CON BRAZOS"</f>
        <v>SILLA PLASTICA CON BRAZOS</v>
      </c>
      <c r="C9063" s="6">
        <v>30160</v>
      </c>
      <c r="D9063" s="5" t="s">
        <v>450</v>
      </c>
      <c r="E9063" s="5" t="str">
        <f t="shared" si="466"/>
        <v>URGENCIAS PEDIATRIA-YENI ESPERANZA PENA GUERRERO</v>
      </c>
      <c r="F9063" s="5" t="str">
        <f>"Descripcion: SILLA PLASTICA CON BRAZOS Estado: Bueno Placa anterior: 000031527 Material: PLASTICO Color: AZUL Referencia:  Observacion:  Placa padre: Tipo adquisicion: Entidad"</f>
        <v>Descripcion: SILLA PLASTICA CON BRAZOS Estado: Bueno Placa anterior: 000031527 Material: PLASTICO Color: AZUL Referencia:  Observacion:  Placa padre: Tipo adquisicion: Entidad</v>
      </c>
      <c r="G9063" s="5"/>
    </row>
    <row r="9064" spans="1:7" ht="58.5" customHeight="1" x14ac:dyDescent="0.25">
      <c r="A9064" s="5" t="str">
        <f>"H0010187"</f>
        <v>H0010187</v>
      </c>
      <c r="B9064" s="5" t="str">
        <f>"CAMA HOSPITALARIA 2 PLANOS"</f>
        <v>CAMA HOSPITALARIA 2 PLANOS</v>
      </c>
      <c r="C9064" s="6">
        <v>1780000</v>
      </c>
      <c r="D9064" s="5" t="s">
        <v>63</v>
      </c>
      <c r="E9064" s="5" t="str">
        <f t="shared" si="466"/>
        <v>URGENCIAS PEDIATRIA-YENI ESPERANZA PENA GUERRERO</v>
      </c>
      <c r="F9064" s="5" t="str">
        <f>"Descripcion: CAMA 2 PLANOS CON 1 ATRIL Estado: Bueno Placa anterior: 000037751 Material: METAL Color: BEIGE Referencia:  Observacion: CAMILLA MECANICA DOS PLANOS   Placa padre: Tipo adquisicion: Entidad"</f>
        <v>Descripcion: CAMA 2 PLANOS CON 1 ATRIL Estado: Bueno Placa anterior: 000037751 Material: METAL Color: BEIGE Referencia:  Observacion: CAMILLA MECANICA DOS PLANOS   Placa padre: Tipo adquisicion: Entidad</v>
      </c>
      <c r="G9064" s="5"/>
    </row>
    <row r="9065" spans="1:7" ht="58.5" customHeight="1" x14ac:dyDescent="0.25">
      <c r="A9065" s="5" t="str">
        <f>"H0010188"</f>
        <v>H0010188</v>
      </c>
      <c r="B9065" s="5" t="str">
        <f>"ESCALERILLA DE 2 PASOS"</f>
        <v>ESCALERILLA DE 2 PASOS</v>
      </c>
      <c r="C9065" s="6">
        <v>100000</v>
      </c>
      <c r="D9065" s="5" t="s">
        <v>49</v>
      </c>
      <c r="E9065" s="5" t="str">
        <f t="shared" si="466"/>
        <v>URGENCIAS PEDIATRIA-YENI ESPERANZA PENA GUERRERO</v>
      </c>
      <c r="F9065" s="5" t="str">
        <f>"Descripcion: ESCALERILLA DE DOS PASO EN TUBO REDONDO Estado: Bueno Placa anterior: 000029971 Material: METAL Y FORMICA Color: BLANCO Referencia:  Observacion:  Placa padre: Tipo adquisicion: Entidad"</f>
        <v>Descripcion: ESCALERILLA DE DOS PASO EN TUBO REDONDO Estado: Bueno Placa anterior: 000029971 Material: METAL Y FORMICA Color: BLANCO Referencia:  Observacion:  Placa padre: Tipo adquisicion: Entidad</v>
      </c>
      <c r="G9065" s="5"/>
    </row>
    <row r="9066" spans="1:7" ht="58.5" customHeight="1" x14ac:dyDescent="0.25">
      <c r="A9066" s="5" t="str">
        <f>"H0010191"</f>
        <v>H0010191</v>
      </c>
      <c r="B9066" s="5" t="str">
        <f>"CAMA HOSPITALARIA 2 PLANOS"</f>
        <v>CAMA HOSPITALARIA 2 PLANOS</v>
      </c>
      <c r="C9066" s="6">
        <v>1693600</v>
      </c>
      <c r="D9066" s="5" t="s">
        <v>516</v>
      </c>
      <c r="E9066" s="5" t="str">
        <f t="shared" si="466"/>
        <v>URGENCIAS PEDIATRIA-YENI ESPERANZA PENA GUERRERO</v>
      </c>
      <c r="F9066"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000030658 Material: METAL Color: BEIGE Referencia: 6735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000030658 Material: METAL Color: BEIGE Referencia: 6735 Observacion:  Placa padre: Tipo adquisicion: Entidad</v>
      </c>
      <c r="G9066" s="5" t="str">
        <f>"141-70"</f>
        <v>141-70</v>
      </c>
    </row>
    <row r="9067" spans="1:7" ht="58.5" customHeight="1" x14ac:dyDescent="0.25">
      <c r="A9067" s="5" t="str">
        <f>"H0010193"</f>
        <v>H0010193</v>
      </c>
      <c r="B9067" s="5" t="str">
        <f>"MESA DE NOCHE"</f>
        <v>MESA DE NOCHE</v>
      </c>
      <c r="C9067" s="6">
        <v>327586</v>
      </c>
      <c r="D9067" s="5"/>
      <c r="E9067" s="5" t="str">
        <f t="shared" si="466"/>
        <v>URGENCIAS PEDIATRIA-YENI ESPERANZA PENA GUERRERO</v>
      </c>
      <c r="F9067" s="5" t="str">
        <f>"Descripcion: MESA DE NOCHE 2 GABETAS Estado: Bueno Placa anterior: 000032955 Material: ACERO INOXIDABLE Color: PLATEADO Referencia:  Observacion:  Placa padre: Tipo adquisicion: Entidad"</f>
        <v>Descripcion: MESA DE NOCHE 2 GABETAS Estado: Bueno Placa anterior: 000032955 Material: ACERO INOXIDABLE Color: PLATEADO Referencia:  Observacion:  Placa padre: Tipo adquisicion: Entidad</v>
      </c>
      <c r="G9067" s="5"/>
    </row>
    <row r="9068" spans="1:7" ht="58.5" customHeight="1" x14ac:dyDescent="0.25">
      <c r="A9068" s="5" t="str">
        <f>"H0010197"</f>
        <v>H0010197</v>
      </c>
      <c r="B9068" s="5" t="str">
        <f>"FLUJOMETRO DOBLE"</f>
        <v>FLUJOMETRO DOBLE</v>
      </c>
      <c r="C9068" s="6">
        <v>365400</v>
      </c>
      <c r="D9068" s="5" t="s">
        <v>56</v>
      </c>
      <c r="E9068" s="5" t="str">
        <f t="shared" si="466"/>
        <v>URGENCIAS PEDIATRIA-YENI ESPERANZA PENA GUERRERO</v>
      </c>
      <c r="F9068" s="5" t="str">
        <f>"Descripcion: FLUJOMETRO Estado: Bueno Placa anterior: 000031133 Material: PASTA Y ACERO Color: VERDE Referencia:  Observacion:  Placa padre: Tipo adquisicion: Entidad"</f>
        <v>Descripcion: FLUJOMETRO Estado: Bueno Placa anterior: 000031133 Material: PASTA Y ACERO Color: VERDE Referencia:  Observacion:  Placa padre: Tipo adquisicion: Entidad</v>
      </c>
      <c r="G9068" s="5"/>
    </row>
    <row r="9069" spans="1:7" ht="58.5" customHeight="1" x14ac:dyDescent="0.25">
      <c r="A9069" s="5" t="str">
        <f>"H0010198"</f>
        <v>H0010198</v>
      </c>
      <c r="B9069" s="5" t="str">
        <f>"MESA DE NOCHE"</f>
        <v>MESA DE NOCHE</v>
      </c>
      <c r="C9069" s="6">
        <v>327586</v>
      </c>
      <c r="D9069" s="5"/>
      <c r="E9069" s="5" t="str">
        <f t="shared" si="466"/>
        <v>URGENCIAS PEDIATRIA-YENI ESPERANZA PENA GUERRERO</v>
      </c>
      <c r="F9069" s="5" t="str">
        <f>"Descripcion: MESA DE NOCHE EN ACERO CON 2 GABETAS Estado: Bueno Placa anterior: 000033015 Material: ACERO INOXIDABLE Color: PLATEADO Referencia:  Observacion:  Placa padre: Tipo adquisicion: Entidad"</f>
        <v>Descripcion: MESA DE NOCHE EN ACERO CON 2 GABETAS Estado: Bueno Placa anterior: 000033015 Material: ACERO INOXIDABLE Color: PLATEADO Referencia:  Observacion:  Placa padre: Tipo adquisicion: Entidad</v>
      </c>
      <c r="G9069" s="5"/>
    </row>
    <row r="9070" spans="1:7" ht="58.5" customHeight="1" x14ac:dyDescent="0.25">
      <c r="A9070" s="5" t="str">
        <f>"H0010199"</f>
        <v>H0010199</v>
      </c>
      <c r="B9070" s="5" t="str">
        <f>"MESA DE NOCHE"</f>
        <v>MESA DE NOCHE</v>
      </c>
      <c r="C9070" s="6">
        <v>327586</v>
      </c>
      <c r="D9070" s="5"/>
      <c r="E9070" s="5" t="str">
        <f t="shared" si="466"/>
        <v>URGENCIAS PEDIATRIA-YENI ESPERANZA PENA GUERRERO</v>
      </c>
      <c r="F9070" s="5" t="str">
        <f>"Descripcion: MESA DE NOCHE EN ACERO CON 2 GABETAS Estado: Bueno Placa anterior: 000033018 Material: ACERO INOXIDABLE Color: PLATEADO Referencia:  Observacion:  Placa padre: Tipo adquisicion: Entidad"</f>
        <v>Descripcion: MESA DE NOCHE EN ACERO CON 2 GABETAS Estado: Bueno Placa anterior: 000033018 Material: ACERO INOXIDABLE Color: PLATEADO Referencia:  Observacion:  Placa padre: Tipo adquisicion: Entidad</v>
      </c>
      <c r="G9070" s="5"/>
    </row>
    <row r="9071" spans="1:7" ht="58.5" customHeight="1" x14ac:dyDescent="0.25">
      <c r="A9071" s="5" t="str">
        <f>"H0010204"</f>
        <v>H0010204</v>
      </c>
      <c r="B9071" s="5" t="str">
        <f>"SILLA PLASTICA CON BRAZOS"</f>
        <v>SILLA PLASTICA CON BRAZOS</v>
      </c>
      <c r="C9071" s="6">
        <v>30160</v>
      </c>
      <c r="D9071" s="5" t="s">
        <v>450</v>
      </c>
      <c r="E9071" s="5" t="str">
        <f t="shared" si="466"/>
        <v>URGENCIAS PEDIATRIA-YENI ESPERANZA PENA GUERRERO</v>
      </c>
      <c r="F9071" s="5" t="str">
        <f>"Descripcion: SILLA PLASTICA CON BRAZOS Estado: Bueno Placa anterior: 000031585 Material: PLASTICO Color: AZUL Referencia:  Observacion:  Placa padre: Tipo adquisicion: Entidad"</f>
        <v>Descripcion: SILLA PLASTICA CON BRAZOS Estado: Bueno Placa anterior: 000031585 Material: PLASTICO Color: AZUL Referencia:  Observacion:  Placa padre: Tipo adquisicion: Entidad</v>
      </c>
      <c r="G9071" s="5"/>
    </row>
    <row r="9072" spans="1:7" ht="58.5" customHeight="1" x14ac:dyDescent="0.25">
      <c r="A9072" s="5" t="str">
        <f>"H0010207"</f>
        <v>H0010207</v>
      </c>
      <c r="B9072" s="5" t="str">
        <f>"CUNA PEDIATRICA CON BARANDA"</f>
        <v>CUNA PEDIATRICA CON BARANDA</v>
      </c>
      <c r="C9072" s="6">
        <v>2668000</v>
      </c>
      <c r="D9072" s="5" t="s">
        <v>161</v>
      </c>
      <c r="E9072" s="5" t="str">
        <f t="shared" si="466"/>
        <v>URGENCIAS PEDIATRIA-YENI ESPERANZA PENA GUERRERO</v>
      </c>
      <c r="F9072"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000031571 Material: METAL Y VIDRIO Color: BEIGE Referencia:  Observacion: CON BARANDAS, NO TIENE ATRIL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000031571 Material: METAL Y VIDRIO Color: BEIGE Referencia:  Observacion: CON BARANDAS, NO TIENE ATRIL   Placa padre: Tipo adquisicion: Entidad</v>
      </c>
      <c r="G9072" s="5" t="str">
        <f>"131-45/01"</f>
        <v>131-45/01</v>
      </c>
    </row>
    <row r="9073" spans="1:7" ht="58.5" customHeight="1" x14ac:dyDescent="0.25">
      <c r="A9073" s="5" t="str">
        <f>"H0010208"</f>
        <v>H0010208</v>
      </c>
      <c r="B9073" s="5" t="str">
        <f>"CUNA PEDIATRICA CON BARANDA"</f>
        <v>CUNA PEDIATRICA CON BARANDA</v>
      </c>
      <c r="C9073" s="6">
        <v>2668000</v>
      </c>
      <c r="D9073" s="5" t="s">
        <v>161</v>
      </c>
      <c r="E9073" s="5" t="str">
        <f t="shared" si="466"/>
        <v>URGENCIAS PEDIATRIA-YENI ESPERANZA PENA GUERRERO</v>
      </c>
      <c r="F9073"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000031573 Material: METAL Y VIDRIO Color: BEIGE Referencia:  Observacion: CON BARANDAS, NO TIENE ATRIL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000031573 Material: METAL Y VIDRIO Color: BEIGE Referencia:  Observacion: CON BARANDAS, NO TIENE ATRIL   Placa padre: Tipo adquisicion: Entidad</v>
      </c>
      <c r="G9073" s="5" t="str">
        <f>"131-45/01"</f>
        <v>131-45/01</v>
      </c>
    </row>
    <row r="9074" spans="1:7" ht="58.5" customHeight="1" x14ac:dyDescent="0.25">
      <c r="A9074" s="5" t="str">
        <f>"H0010211"</f>
        <v>H0010211</v>
      </c>
      <c r="B9074" s="5" t="str">
        <f>"CUNA PEDIATRICA CON BARANDA"</f>
        <v>CUNA PEDIATRICA CON BARANDA</v>
      </c>
      <c r="C9074" s="6">
        <v>2668000</v>
      </c>
      <c r="D9074" s="5" t="s">
        <v>161</v>
      </c>
      <c r="E9074" s="5" t="str">
        <f t="shared" si="466"/>
        <v>URGENCIAS PEDIATRIA-YENI ESPERANZA PENA GUERRERO</v>
      </c>
      <c r="F9074"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000031575 Material: METAL Y VIDRIO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000031575 Material: METAL Y VIDRIO Color: BEIGE Referencia:  Observacion:  Placa padre: Tipo adquisicion: Entidad</v>
      </c>
      <c r="G9074" s="5" t="str">
        <f>"131-45/01"</f>
        <v>131-45/01</v>
      </c>
    </row>
    <row r="9075" spans="1:7" ht="58.5" customHeight="1" x14ac:dyDescent="0.25">
      <c r="A9075" s="5" t="str">
        <f>"H0010212"</f>
        <v>H0010212</v>
      </c>
      <c r="B9075" s="5" t="str">
        <f>"FLUJOMETRO DOBLE"</f>
        <v>FLUJOMETRO DOBLE</v>
      </c>
      <c r="C9075" s="6">
        <v>365400</v>
      </c>
      <c r="D9075" s="5" t="s">
        <v>56</v>
      </c>
      <c r="E9075" s="5" t="str">
        <f t="shared" si="466"/>
        <v>URGENCIAS PEDIATRIA-YENI ESPERANZA PENA GUERRERO</v>
      </c>
      <c r="F9075" s="5" t="str">
        <f>"Descripcion: FLUJOMETRO Estado: Bueno Placa anterior: 000031130 Material: PASTA Y ACERO Color: VERDE Referencia:  Observacion:  Placa padre: Tipo adquisicion: Entidad"</f>
        <v>Descripcion: FLUJOMETRO Estado: Bueno Placa anterior: 000031130 Material: PASTA Y ACERO Color: VERDE Referencia:  Observacion:  Placa padre: Tipo adquisicion: Entidad</v>
      </c>
      <c r="G9075" s="5"/>
    </row>
    <row r="9076" spans="1:7" ht="58.5" customHeight="1" x14ac:dyDescent="0.25">
      <c r="A9076" s="5" t="str">
        <f>"H0010214"</f>
        <v>H0010214</v>
      </c>
      <c r="B9076" s="5" t="str">
        <f>"CUNA PEDIATRICA CON BARANDA"</f>
        <v>CUNA PEDIATRICA CON BARANDA</v>
      </c>
      <c r="C9076" s="6">
        <v>2668000</v>
      </c>
      <c r="D9076" s="5" t="s">
        <v>161</v>
      </c>
      <c r="E9076" s="5" t="str">
        <f t="shared" si="466"/>
        <v>URGENCIAS PEDIATRIA-YENI ESPERANZA PENA GUERRERO</v>
      </c>
      <c r="F9076" s="5" t="str">
        <f>"Descripcion: CUNAS DE OBSERVACION CON BARANDAS DE SEGURIDAD. EStructura fabricada en tuberia redonda, cabecera y piecero con panel central en acrilico.tendido de cuatro planos uno fijo y tres moviles en lamina pintada de accionamiento mecanico por medio d"&amp; "e maniguetas Estado: Bueno Placa anterior: 000031580 Material: METAL Y VIDRIO Color: BEIGE Referencia:  Observacion:  Placa padre: Tipo adquisicion: Entidad"</f>
        <v>Descripcion: CUNAS DE OBSERVACION CON BARANDAS DE SEGURIDAD. EStructura fabricada en tuberia redonda, cabecera y piecero con panel central en acrilico.tendido de cuatro planos uno fijo y tres moviles en lamina pintada de accionamiento mecanico por medio de maniguetas Estado: Bueno Placa anterior: 000031580 Material: METAL Y VIDRIO Color: BEIGE Referencia:  Observacion:  Placa padre: Tipo adquisicion: Entidad</v>
      </c>
      <c r="G9076" s="5" t="str">
        <f>"131-45/01"</f>
        <v>131-45/01</v>
      </c>
    </row>
    <row r="9077" spans="1:7" ht="58.5" customHeight="1" x14ac:dyDescent="0.25">
      <c r="A9077" s="5" t="str">
        <f>"H0010267"</f>
        <v>H0010267</v>
      </c>
      <c r="B9077" s="5" t="str">
        <f>"ARCHIVADOR METALICO 3 GAVETAS"</f>
        <v>ARCHIVADOR METALICO 3 GAVETAS</v>
      </c>
      <c r="C9077" s="6">
        <v>25412</v>
      </c>
      <c r="D9077" s="5"/>
      <c r="E9077" s="5" t="str">
        <f t="shared" si="466"/>
        <v>URGENCIAS PEDIATRIA-YENI ESPERANZA PENA GUERRERO</v>
      </c>
      <c r="F9077" s="5" t="str">
        <f>"Descripcion: ARCHIVADOR TIPO C (3 GAVETAS) Estado: Bueno Placa anterior: 000000235 Material: METALICO Color: GRIS Referencia:  Observacion:  Placa padre: Tipo adquisicion: Entidad"</f>
        <v>Descripcion: ARCHIVADOR TIPO C (3 GAVETAS) Estado: Bueno Placa anterior: 000000235 Material: METALICO Color: GRIS Referencia:  Observacion:  Placa padre: Tipo adquisicion: Entidad</v>
      </c>
      <c r="G9077" s="5"/>
    </row>
    <row r="9078" spans="1:7" ht="58.5" customHeight="1" x14ac:dyDescent="0.25">
      <c r="A9078" s="5" t="str">
        <f>"H0010493"</f>
        <v>H0010493</v>
      </c>
      <c r="B9078" s="5" t="str">
        <f>"CAMILLA DE TRASLADO DE 2 PLANOS"</f>
        <v>CAMILLA DE TRASLADO DE 2 PLANOS</v>
      </c>
      <c r="C9078" s="6">
        <v>1780000</v>
      </c>
      <c r="D9078" s="5" t="s">
        <v>63</v>
      </c>
      <c r="E9078" s="5" t="str">
        <f t="shared" si="466"/>
        <v>URGENCIAS PEDIATRIA-YENI ESPERANZA PENA GUERRERO</v>
      </c>
      <c r="F9078" s="5" t="str">
        <f>"Descripcion: CAMILLA MECANICA DOS PLANOS Estado: Bueno Placa anterior: 000037771 Material: METALICO Color: BEIS Referencia:  Observacion: CON ATRIL Placa padre: Tipo adquisicion: Entidad"</f>
        <v>Descripcion: CAMILLA MECANICA DOS PLANOS Estado: Bueno Placa anterior: 000037771 Material: METALICO Color: BEIS Referencia:  Observacion: CON ATRIL Placa padre: Tipo adquisicion: Entidad</v>
      </c>
      <c r="G9078" s="5"/>
    </row>
    <row r="9079" spans="1:7" ht="58.5" customHeight="1" x14ac:dyDescent="0.25">
      <c r="A9079" s="5" t="str">
        <f>"H0010497"</f>
        <v>H0010497</v>
      </c>
      <c r="B9079" s="5" t="str">
        <f>"AIRE ACONDICIONADO TIPO SPLIT 12000 BTU"</f>
        <v>AIRE ACONDICIONADO TIPO SPLIT 12000 BTU</v>
      </c>
      <c r="C9079" s="6">
        <v>1450000</v>
      </c>
      <c r="D9079" s="5" t="s">
        <v>521</v>
      </c>
      <c r="E9079" s="5" t="str">
        <f t="shared" si="466"/>
        <v>URGENCIAS PEDIATRIA-YENI ESPERANZA PENA GUERRERO</v>
      </c>
      <c r="F9079" s="5" t="str">
        <f>"Descripcion: Aire Acondicionado 12000 BTU Inverter Estado: Bueno Placa anterior: 000038142 Material: PLASTICO Color: BLANCO Referencia:  Observacion:  Placa padre: Tipo adquisicion: Entidad"</f>
        <v>Descripcion: Aire Acondicionado 12000 BTU Inverter Estado: Bueno Placa anterior: 000038142 Material: PLASTICO Color: BLANCO Referencia:  Observacion:  Placa padre: Tipo adquisicion: Entidad</v>
      </c>
      <c r="G9079" s="5" t="str">
        <f>"VM  122CE   NB3"</f>
        <v>VM  122CE   NB3</v>
      </c>
    </row>
    <row r="9080" spans="1:7" ht="58.5" customHeight="1" x14ac:dyDescent="0.25">
      <c r="A9080" s="5" t="str">
        <f>"H0010498"</f>
        <v>H0010498</v>
      </c>
      <c r="B9080" s="5" t="str">
        <f>"ESCALERILLA DE 2 PASOS"</f>
        <v>ESCALERILLA DE 2 PASOS</v>
      </c>
      <c r="C9080" s="6">
        <v>100000</v>
      </c>
      <c r="D9080" s="5" t="s">
        <v>49</v>
      </c>
      <c r="E9080" s="5" t="str">
        <f t="shared" si="466"/>
        <v>URGENCIAS PEDIATRIA-YENI ESPERANZA PENA GUERRERO</v>
      </c>
      <c r="F9080" s="5" t="str">
        <f>"Descripcion: ESCALERILLA DE DOS PASO EN TUBO REDONDO Estado: Bueno Placa anterior: 000029965 Material: METALICO Color: BLANCO Referencia:  Observacion:  Placa padre: Tipo adquisicion: Entidad"</f>
        <v>Descripcion: ESCALERILLA DE DOS PASO EN TUBO REDONDO Estado: Bueno Placa anterior: 000029965 Material: METALICO Color: BLANCO Referencia:  Observacion:  Placa padre: Tipo adquisicion: Entidad</v>
      </c>
      <c r="G9080" s="5"/>
    </row>
    <row r="9081" spans="1:7" ht="58.5" customHeight="1" x14ac:dyDescent="0.25">
      <c r="A9081" s="5" t="str">
        <f>"H0010505"</f>
        <v>H0010505</v>
      </c>
      <c r="B9081" s="5" t="str">
        <f>"LOCKER DE 6 COMPARTIMIENTOS"</f>
        <v>LOCKER DE 6 COMPARTIMIENTOS</v>
      </c>
      <c r="C9081" s="6">
        <v>585988</v>
      </c>
      <c r="D9081" s="5" t="s">
        <v>60</v>
      </c>
      <c r="E9081" s="5" t="str">
        <f t="shared" si="466"/>
        <v>URGENCIAS PEDIATRIA-YENI ESPERANZA PENA GUERRERO</v>
      </c>
      <c r="F9081" s="5" t="str">
        <f>"Descripcion: LOCKER DE LAMINA CALIBRE 22 C/6 CASILLEROS, PORTACANDADO, MANIJA PROFUNDIZADA MEDIDAS 1.80X1.90 DE ANCHO X 35 DE FONDO DE PINTURA Estado: Bueno Placa anterior: 000029175 Material: METALICO Color: GRIS Referencia:  Observacion:  Placa padre: T"&amp; "ipo adquisicion: Entidad"</f>
        <v>Descripcion: LOCKER DE LAMINA CALIBRE 22 C/6 CASILLEROS, PORTACANDADO, MANIJA PROFUNDIZADA MEDIDAS 1.80X1.90 DE ANCHO X 35 DE FONDO DE PINTURA Estado: Bueno Placa anterior: 000029175 Material: METALICO Color: GRIS Referencia:  Observacion:  Placa padre: Tipo adquisicion: Entidad</v>
      </c>
      <c r="G9081" s="5"/>
    </row>
    <row r="9082" spans="1:7" ht="58.5" customHeight="1" x14ac:dyDescent="0.25">
      <c r="A9082" s="5" t="str">
        <f>"H0010506"</f>
        <v>H0010506</v>
      </c>
      <c r="B9082" s="5" t="str">
        <f>"LOCKER DE 3 COMPARTIMIENTOS"</f>
        <v>LOCKER DE 3 COMPARTIMIENTOS</v>
      </c>
      <c r="C9082" s="6">
        <v>35025</v>
      </c>
      <c r="D9082" s="5"/>
      <c r="E9082" s="5" t="str">
        <f t="shared" si="466"/>
        <v>URGENCIAS PEDIATRIA-YENI ESPERANZA PENA GUERRERO</v>
      </c>
      <c r="F9082" s="5" t="str">
        <f>"Descripcion: LOCKER DE UN SOLO CUERPO Estado: Bueno Placa anterior: 000009331 Material: METALICO Color: GRIS Referencia:  Observacion: LA PLACA ANTERIOR NO TRAE INFORMACION, EL BIEN TIENE PLACA ANTERIOR 000019371  AUTORIZADO CONCILIAR EN CRUCE GENERAL Pla"&amp; "ca padre: Tipo adquisicion: Entidad"</f>
        <v>Descripcion: LOCKER DE UN SOLO CUERPO Estado: Bueno Placa anterior: 000009331 Material: METALICO Color: GRIS Referencia:  Observacion: LA PLACA ANTERIOR NO TRAE INFORMACION, EL BIEN TIENE PLACA ANTERIOR 000019371  AUTORIZADO CONCILIAR EN CRUCE GENERAL Placa padre: Tipo adquisicion: Entidad</v>
      </c>
      <c r="G9082" s="5"/>
    </row>
    <row r="9083" spans="1:7" ht="58.5" customHeight="1" x14ac:dyDescent="0.25">
      <c r="A9083" s="5" t="str">
        <f>"H0010508"</f>
        <v>H0010508</v>
      </c>
      <c r="B9083" s="5" t="str">
        <f>"ATRIL PORTASUERO MOVIL"</f>
        <v>ATRIL PORTASUERO MOVIL</v>
      </c>
      <c r="C9083" s="6">
        <v>145000</v>
      </c>
      <c r="D9083" s="5" t="s">
        <v>166</v>
      </c>
      <c r="E9083" s="5" t="str">
        <f t="shared" si="466"/>
        <v>URGENCIAS PEDIATRIA-YENI ESPERANZA PENA GUERRERO</v>
      </c>
      <c r="F9083" s="5" t="str">
        <f>"Descripcion: ATRIL PORTATIL CON RODACHINES Estado: Bueno Placa anterior: 000031459 Material: METALICO Color: BEIS Y GRIS Referencia:  Observacion: CON MANIJA PARA GRADUAR LA ALTURA Placa padre: Tipo adquisicion: Entidad"</f>
        <v>Descripcion: ATRIL PORTATIL CON RODACHINES Estado: Bueno Placa anterior: 000031459 Material: METALICO Color: BEIS Y GRIS Referencia:  Observacion: CON MANIJA PARA GRADUAR LA ALTURA Placa padre: Tipo adquisicion: Entidad</v>
      </c>
      <c r="G9083" s="5"/>
    </row>
    <row r="9084" spans="1:7" ht="58.5" customHeight="1" x14ac:dyDescent="0.25">
      <c r="A9084" s="5" t="str">
        <f>"H0010509"</f>
        <v>H0010509</v>
      </c>
      <c r="B9084" s="5" t="str">
        <f>"SILLON (SOFA)"</f>
        <v>SILLON (SOFA)</v>
      </c>
      <c r="C9084" s="6">
        <v>449296</v>
      </c>
      <c r="D9084" s="5"/>
      <c r="E9084" s="5" t="str">
        <f t="shared" si="466"/>
        <v>URGENCIAS PEDIATRIA-YENI ESPERANZA PENA GUERRERO</v>
      </c>
      <c r="F9084" s="5" t="str">
        <f>"Descripcion: SOFA EN REGULAR ESTADO, DE MADERA CON UNA COLCHONETA COLOR MARRON Estado: Regular Placa anterior: 000018833 Material: MADERA  Color: MARRON Referencia:  Observacion:  Placa padre: Tipo adquisicion: Entidad"</f>
        <v>Descripcion: SOFA EN REGULAR ESTADO, DE MADERA CON UNA COLCHONETA COLOR MARRON Estado: Regular Placa anterior: 000018833 Material: MADERA  Color: MARRON Referencia:  Observacion:  Placa padre: Tipo adquisicion: Entidad</v>
      </c>
      <c r="G9084" s="5"/>
    </row>
    <row r="9085" spans="1:7" ht="58.5" customHeight="1" x14ac:dyDescent="0.25">
      <c r="A9085" s="5" t="str">
        <f>"H0010510"</f>
        <v>H0010510</v>
      </c>
      <c r="B9085" s="5" t="str">
        <f>"CAMAROTE"</f>
        <v>CAMAROTE</v>
      </c>
      <c r="C9085" s="6">
        <v>21091.14</v>
      </c>
      <c r="D9085" s="5"/>
      <c r="E9085" s="5" t="str">
        <f t="shared" si="466"/>
        <v>URGENCIAS PEDIATRIA-YENI ESPERANZA PENA GUERRERO</v>
      </c>
      <c r="F9085" s="5" t="str">
        <f>"Descripcion: CAMA TIPO LITERA DE DOS PUESTO Estado: Regular Placa anterior: 000002484 Material: METALICO Color: GRIS Referencia:  Observacion:  Placa padre: Tipo adquisicion: Entidad"</f>
        <v>Descripcion: CAMA TIPO LITERA DE DOS PUESTO Estado: Regular Placa anterior: 000002484 Material: METALICO Color: GRIS Referencia:  Observacion:  Placa padre: Tipo adquisicion: Entidad</v>
      </c>
      <c r="G9085" s="5"/>
    </row>
    <row r="9086" spans="1:7" ht="58.5" customHeight="1" x14ac:dyDescent="0.25">
      <c r="A9086" s="5" t="str">
        <f>"H0010512"</f>
        <v>H0010512</v>
      </c>
      <c r="B9086" s="5" t="str">
        <f>"MESA DE MADERA"</f>
        <v>MESA DE MADERA</v>
      </c>
      <c r="C9086" s="6">
        <v>28332.3</v>
      </c>
      <c r="D9086" s="5"/>
      <c r="E9086" s="5" t="str">
        <f t="shared" si="466"/>
        <v>URGENCIAS PEDIATRIA-YENI ESPERANZA PENA GUERRERO</v>
      </c>
      <c r="F9086" s="5" t="str">
        <f>"Descripcion: MESA DE MADERA PULIDA EN LACA Estado: Bueno Placa anterior: 000002556 Material: MADERA Color: MARRON Referencia:  Observacion:  Placa padre: Tipo adquisicion: Entidad"</f>
        <v>Descripcion: MESA DE MADERA PULIDA EN LACA Estado: Bueno Placa anterior: 000002556 Material: MADERA Color: MARRON Referencia:  Observacion:  Placa padre: Tipo adquisicion: Entidad</v>
      </c>
      <c r="G9086" s="5"/>
    </row>
    <row r="9087" spans="1:7" ht="58.5" customHeight="1" x14ac:dyDescent="0.25">
      <c r="A9087" s="5" t="str">
        <f>"H0010514"</f>
        <v>H0010514</v>
      </c>
      <c r="B9087" s="5" t="str">
        <f>"LOCKER DE 4 COMPARTIMIENTOS"</f>
        <v>LOCKER DE 4 COMPARTIMIENTOS</v>
      </c>
      <c r="C9087" s="6">
        <v>94848</v>
      </c>
      <c r="D9087" s="5"/>
      <c r="E9087" s="5" t="str">
        <f t="shared" si="466"/>
        <v>URGENCIAS PEDIATRIA-YENI ESPERANZA PENA GUERRERO</v>
      </c>
      <c r="F9087" s="5" t="str">
        <f>"Descripcion: LOCKER DOS CUERPOS Estado: Bueno Placa anterior: 000018609 Material: METALICO Color: BEIS Referencia:  Observacion:  Placa padre: Tipo adquisicion: Entidad"</f>
        <v>Descripcion: LOCKER DOS CUERPOS Estado: Bueno Placa anterior: 000018609 Material: METALICO Color: BEIS Referencia:  Observacion:  Placa padre: Tipo adquisicion: Entidad</v>
      </c>
      <c r="G9087" s="5"/>
    </row>
    <row r="9088" spans="1:7" ht="58.5" customHeight="1" x14ac:dyDescent="0.25">
      <c r="A9088" s="5" t="str">
        <f>"H0010515"</f>
        <v>H0010515</v>
      </c>
      <c r="B9088" s="5" t="str">
        <f>"LOCKER DE 4 COMPARTIMIENTOS"</f>
        <v>LOCKER DE 4 COMPARTIMIENTOS</v>
      </c>
      <c r="C9088" s="6">
        <v>94848</v>
      </c>
      <c r="D9088" s="5"/>
      <c r="E9088" s="5" t="str">
        <f t="shared" si="466"/>
        <v>URGENCIAS PEDIATRIA-YENI ESPERANZA PENA GUERRERO</v>
      </c>
      <c r="F9088" s="5" t="str">
        <f>"Descripcion: LOCKER DOS CUERPOS Estado: Bueno Placa anterior: 000018610 Material: METALICO Color: BEIS Referencia:  Observacion:  Placa padre: Tipo adquisicion: Entidad"</f>
        <v>Descripcion: LOCKER DOS CUERPOS Estado: Bueno Placa anterior: 000018610 Material: METALICO Color: BEIS Referencia:  Observacion:  Placa padre: Tipo adquisicion: Entidad</v>
      </c>
      <c r="G9088" s="5"/>
    </row>
    <row r="9089" spans="1:7" ht="58.5" customHeight="1" x14ac:dyDescent="0.25">
      <c r="A9089" s="5" t="str">
        <f>"H0010516"</f>
        <v>H0010516</v>
      </c>
      <c r="B9089" s="5" t="str">
        <f>"LOCKER DE 4 COMPARTIMIENTOS"</f>
        <v>LOCKER DE 4 COMPARTIMIENTOS</v>
      </c>
      <c r="C9089" s="6">
        <v>94848</v>
      </c>
      <c r="D9089" s="5"/>
      <c r="E9089" s="5" t="str">
        <f t="shared" si="466"/>
        <v>URGENCIAS PEDIATRIA-YENI ESPERANZA PENA GUERRERO</v>
      </c>
      <c r="F9089" s="5" t="str">
        <f>"Descripcion: LOCKER DOS CUERPOS Estado: Bueno Placa anterior: 000018612 Material: METALICO Color: BEIS Referencia:  Observacion:  Placa padre: Tipo adquisicion: Entidad"</f>
        <v>Descripcion: LOCKER DOS CUERPOS Estado: Bueno Placa anterior: 000018612 Material: METALICO Color: BEIS Referencia:  Observacion:  Placa padre: Tipo adquisicion: Entidad</v>
      </c>
      <c r="G9089" s="5"/>
    </row>
    <row r="9090" spans="1:7" ht="58.5" customHeight="1" x14ac:dyDescent="0.25">
      <c r="A9090" s="5" t="str">
        <f>"H0010524"</f>
        <v>H0010524</v>
      </c>
      <c r="B9090" s="5" t="str">
        <f>"CUBETA DE ACERO INOXIDABLE CON TAPA MEDIANA"</f>
        <v>CUBETA DE ACERO INOXIDABLE CON TAPA MEDIANA</v>
      </c>
      <c r="C9090" s="6">
        <v>29125.48</v>
      </c>
      <c r="D9090" s="5"/>
      <c r="E9090" s="5" t="str">
        <f t="shared" si="466"/>
        <v>URGENCIAS PEDIATRIA-YENI ESPERANZA PENA GUERRERO</v>
      </c>
      <c r="F9090" s="5" t="str">
        <f>"Descripcion: CUBETA MEDIANA CON TAPA Estado: Bueno Placa anterior: 000018519 Material: ACERO INOXIDABLE Color: GRIS Referencia:  Observacion:  Placa padre: Tipo adquisicion: Entidad"</f>
        <v>Descripcion: CUBETA MEDIANA CON TAPA Estado: Bueno Placa anterior: 000018519 Material: ACERO INOXIDABLE Color: GRIS Referencia:  Observacion:  Placa padre: Tipo adquisicion: Entidad</v>
      </c>
      <c r="G9090" s="5"/>
    </row>
    <row r="9091" spans="1:7" ht="58.5" customHeight="1" x14ac:dyDescent="0.25">
      <c r="A9091" s="5" t="str">
        <f>"H0010670"</f>
        <v>H0010670</v>
      </c>
      <c r="B9091" s="5" t="str">
        <f>"ESCRITORIO METALICO 3 GAVETAS"</f>
        <v>ESCRITORIO METALICO 3 GAVETAS</v>
      </c>
      <c r="C9091" s="6">
        <v>16526</v>
      </c>
      <c r="D9091" s="5"/>
      <c r="E9091" s="5" t="str">
        <f t="shared" ref="E9091:E9154" si="467">"URGENCIAS PEDIATRIA-YENI ESPERANZA PENA GUERRERO"</f>
        <v>URGENCIAS PEDIATRIA-YENI ESPERANZA PENA GUERRERO</v>
      </c>
      <c r="F9091" s="5" t="str">
        <f>"Descripcion: ESCRITORIO DE 3 GAVETAS Estado: Bueno Placa anterior: 000006001 Material: METAL Color: GRIS Referencia:  Observacion:  Placa padre: Tipo adquisicion: Entidad"</f>
        <v>Descripcion: ESCRITORIO DE 3 GAVETAS Estado: Bueno Placa anterior: 000006001 Material: METAL Color: GRIS Referencia:  Observacion:  Placa padre: Tipo adquisicion: Entidad</v>
      </c>
      <c r="G9091" s="5"/>
    </row>
    <row r="9092" spans="1:7" ht="58.5" customHeight="1" x14ac:dyDescent="0.25">
      <c r="A9092" s="5" t="str">
        <f>"H0012595"</f>
        <v>H0012595</v>
      </c>
      <c r="B9092" s="5" t="str">
        <f>"AIRE ACONDICIONADO DE 36000 BTU PISO TECHO"</f>
        <v>AIRE ACONDICIONADO DE 36000 BTU PISO TECHO</v>
      </c>
      <c r="C9092" s="6">
        <v>4284160</v>
      </c>
      <c r="D9092" s="5"/>
      <c r="E9092" s="5" t="str">
        <f t="shared" si="467"/>
        <v>URGENCIAS PEDIATRIA-YENI ESPERANZA PENA GUERRERO</v>
      </c>
      <c r="F9092" s="5" t="str">
        <f>"Descripcion: AIRE ACONDICIONADO TIPO SPLIT MCA.YORK Estado: Bueno Placa anterior: 000000039 Material: PASTA Color: BLANCO Referencia:  Observacion:  Placa padre: Tipo adquisicion: Entidad"</f>
        <v>Descripcion: AIRE ACONDICIONADO TIPO SPLIT MCA.YORK Estado: Bueno Placa anterior: 000000039 Material: PASTA Color: BLANCO Referencia:  Observacion:  Placa padre: Tipo adquisicion: Entidad</v>
      </c>
      <c r="G9092" s="5" t="str">
        <f>"BRCS361BD"</f>
        <v>BRCS361BD</v>
      </c>
    </row>
    <row r="9093" spans="1:7" ht="58.5" customHeight="1" x14ac:dyDescent="0.25">
      <c r="A9093" s="5" t="str">
        <f>"H0015642"</f>
        <v>H0015642</v>
      </c>
      <c r="B9093" s="5" t="str">
        <f>"MESA (SUPERFICIE) MODULAR"</f>
        <v>MESA (SUPERFICIE) MODULAR</v>
      </c>
      <c r="C9093" s="6">
        <v>77520</v>
      </c>
      <c r="D9093" s="5"/>
      <c r="E9093" s="5" t="str">
        <f t="shared" si="467"/>
        <v>URGENCIAS PEDIATRIA-YENI ESPERANZA PENA GUERRERO</v>
      </c>
      <c r="F9093" s="5" t="str">
        <f>"Descripcion:MESA PARA IMPRESORA Estado: Bueno Placa anterior: 000002404 Material: MADERA Color: MARRON CLARO Referencia:  Observacion:  Placa padre:  Tipo adquisicion : Entidad"</f>
        <v>Descripcion:MESA PARA IMPRESORA Estado: Bueno Placa anterior: 000002404 Material: MADERA Color: MARRON CLARO Referencia:  Observacion:  Placa padre:  Tipo adquisicion : Entidad</v>
      </c>
      <c r="G9093" s="5"/>
    </row>
    <row r="9094" spans="1:7" ht="58.5" customHeight="1" x14ac:dyDescent="0.25">
      <c r="A9094" s="5" t="str">
        <f>"H0016493"</f>
        <v>H0016493</v>
      </c>
      <c r="B9094" s="5" t="str">
        <f>"CAMA DESCANSO (SOFACAMA)"</f>
        <v>CAMA DESCANSO (SOFACAMA)</v>
      </c>
      <c r="C9094" s="6">
        <v>73150</v>
      </c>
      <c r="D9094" s="5"/>
      <c r="E9094" s="5" t="str">
        <f t="shared" si="467"/>
        <v>URGENCIAS PEDIATRIA-YENI ESPERANZA PENA GUERRERO</v>
      </c>
      <c r="F9094" s="5" t="str">
        <f>"Descripcion: SOFA CAMA TAPIZAQDO EN CUERINA Estado: Bueno Placa anterior: 000015105 Material: MADERA Y CUERINA Color: MARRON Y NEGRO Referencia:  Observacion:  Placa padre: Tipo adquisicion: Entidad"</f>
        <v>Descripcion: SOFA CAMA TAPIZAQDO EN CUERINA Estado: Bueno Placa anterior: 000015105 Material: MADERA Y CUERINA Color: MARRON Y NEGRO Referencia:  Observacion:  Placa padre: Tipo adquisicion: Entidad</v>
      </c>
      <c r="G9094" s="5"/>
    </row>
    <row r="9095" spans="1:7" ht="58.5" customHeight="1" x14ac:dyDescent="0.25">
      <c r="A9095" s="5" t="str">
        <f>"H0016878"</f>
        <v>H0016878</v>
      </c>
      <c r="B9095" s="5" t="str">
        <f>"MESA METALICA AUXILIAR"</f>
        <v>MESA METALICA AUXILIAR</v>
      </c>
      <c r="C9095" s="6">
        <v>7800</v>
      </c>
      <c r="D9095" s="5"/>
      <c r="E9095" s="5" t="str">
        <f t="shared" si="467"/>
        <v>URGENCIAS PEDIATRIA-YENI ESPERANZA PENA GUERRERO</v>
      </c>
      <c r="F9095" s="5" t="str">
        <f>"Descripcion: MESA AUXILIAR METALICA Estado: Bueno Placa anterior: 000001448 Material: METALICO Color: GRIS CON SUPERFICIE EN FORMICA CAFÉ Referencia:  Observacion:  Placa padre: Tipo adquisicion: Entidad"</f>
        <v>Descripcion: MESA AUXILIAR METALICA Estado: Bueno Placa anterior: 000001448 Material: METALICO Color: GRIS CON SUPERFICIE EN FORMICA CAFÉ Referencia:  Observacion:  Placa padre: Tipo adquisicion: Entidad</v>
      </c>
      <c r="G9095" s="5"/>
    </row>
    <row r="9096" spans="1:7" ht="58.5" customHeight="1" x14ac:dyDescent="0.25">
      <c r="A9096" s="5" t="str">
        <f>"H0018494"</f>
        <v>H0018494</v>
      </c>
      <c r="B9096" s="5" t="str">
        <f>"ESCRITORIO METALICO 3 GAVETAS"</f>
        <v>ESCRITORIO METALICO 3 GAVETAS</v>
      </c>
      <c r="C9096" s="6">
        <v>15685.33</v>
      </c>
      <c r="D9096" s="5"/>
      <c r="E9096" s="5" t="str">
        <f t="shared" si="467"/>
        <v>URGENCIAS PEDIATRIA-YENI ESPERANZA PENA GUERRERO</v>
      </c>
      <c r="F9096" s="5" t="str">
        <f>"Descripcion: ESCRITORIO DE 3 GAVETAS METALICO CON MESON EN FORMICA Estado: Malo Placa anterior: 000019649 Material: METALICO, FORMICA Color: GRIS CON MARRON  Referencia:  Observacion:  Placa padre: Tipo adquisicion: Entidad"</f>
        <v>Descripcion: ESCRITORIO DE 3 GAVETAS METALICO CON MESON EN FORMICA Estado: Malo Placa anterior: 000019649 Material: METALICO, FORMICA Color: GRIS CON MARRON  Referencia:  Observacion:  Placa padre: Tipo adquisicion: Entidad</v>
      </c>
      <c r="G9096" s="5"/>
    </row>
    <row r="9097" spans="1:7" ht="58.5" customHeight="1" x14ac:dyDescent="0.25">
      <c r="A9097" s="5" t="str">
        <f>"H0018791"</f>
        <v>H0018791</v>
      </c>
      <c r="B9097" s="5" t="str">
        <f>"ESTANTE METALICO 5 ENTREPAÑOS"</f>
        <v>ESTANTE METALICO 5 ENTREPAÑOS</v>
      </c>
      <c r="C9097" s="6">
        <v>18479.71</v>
      </c>
      <c r="D9097" s="5"/>
      <c r="E9097" s="5" t="str">
        <f t="shared" si="467"/>
        <v>URGENCIAS PEDIATRIA-YENI ESPERANZA PENA GUERRERO</v>
      </c>
      <c r="F9097" s="5" t="str">
        <f>"Descripcion: ESTANTE METALICO 5 ENTREPAÑOS Estado: Bueno Placa anterior: 000008719 Material: METAL Color: GRIS Referencia:  Observacion: EL BIEN TIENE PLACA ANTERIOR 000021434 Placa padre: Tipo adquisicion: Entidad"</f>
        <v>Descripcion: ESTANTE METALICO 5 ENTREPAÑOS Estado: Bueno Placa anterior: 000008719 Material: METAL Color: GRIS Referencia:  Observacion: EL BIEN TIENE PLACA ANTERIOR 000021434 Placa padre: Tipo adquisicion: Entidad</v>
      </c>
      <c r="G9097" s="5"/>
    </row>
    <row r="9098" spans="1:7" ht="58.5" customHeight="1" x14ac:dyDescent="0.25">
      <c r="A9098" s="5" t="str">
        <f>"H0020699"</f>
        <v>H0020699</v>
      </c>
      <c r="B9098" s="5" t="str">
        <f>"CONDENSDORA (AIRE ACONDICIONADO)"</f>
        <v>CONDENSDORA (AIRE ACONDICIONADO)</v>
      </c>
      <c r="C9098" s="6">
        <v>27702712</v>
      </c>
      <c r="D9098" s="5"/>
      <c r="E9098" s="5" t="str">
        <f t="shared" si="467"/>
        <v>URGENCIAS PEDIATRIA-YENI ESPERANZA PENA GUERRERO</v>
      </c>
      <c r="F9098" s="5" t="str">
        <f>"Descripcion: UNIDAD CONDESADORA* OBSERVACION PEDIATRIA Estado: Bueno Placa anterior:  Material: METALICO Color: GRIS Referencia: E034509606 Observacion:  Placa padre: Tipo adquisicion: Donacion"</f>
        <v>Descripcion: UNIDAD CONDESADORA* OBSERVACION PEDIATRIA Estado: Bueno Placa anterior:  Material: METALICO Color: GRIS Referencia: E034509606 Observacion:  Placa padre: Tipo adquisicion: Donacion</v>
      </c>
      <c r="G9098" s="5" t="str">
        <f>"CAC060HAC"</f>
        <v>CAC060HAC</v>
      </c>
    </row>
    <row r="9099" spans="1:7" ht="58.5" customHeight="1" x14ac:dyDescent="0.25">
      <c r="A9099" s="5" t="str">
        <f>"H0020701"</f>
        <v>H0020701</v>
      </c>
      <c r="B9099" s="5" t="str">
        <f>"CONDENSDORA (AIRE ACONDICIONADO)"</f>
        <v>CONDENSDORA (AIRE ACONDICIONADO)</v>
      </c>
      <c r="C9099" s="6">
        <v>15944200</v>
      </c>
      <c r="D9099" s="5"/>
      <c r="E9099" s="5" t="str">
        <f t="shared" si="467"/>
        <v>URGENCIAS PEDIATRIA-YENI ESPERANZA PENA GUERRERO</v>
      </c>
      <c r="F9099" s="5" t="str">
        <f>"Descripcion: CONDENSADORA Estado: Bueno Placa anterior: 000026072 Material: METALICO Color: BEIGE Referencia: 4854 Observacion: AUTORIZADO CONCILIAR EN CRUCE GENERAL Placa padre: Tipo adquisicion: Donacion"</f>
        <v>Descripcion: CONDENSADORA Estado: Bueno Placa anterior: 000026072 Material: METALICO Color: BEIGE Referencia: 4854 Observacion: AUTORIZADO CONCILIAR EN CRUCE GENERAL Placa padre: Tipo adquisicion: Donacion</v>
      </c>
      <c r="G9099" s="5" t="str">
        <f>"BAR-60-3"</f>
        <v>BAR-60-3</v>
      </c>
    </row>
    <row r="9100" spans="1:7" ht="58.5" customHeight="1" x14ac:dyDescent="0.25">
      <c r="A9100" s="5" t="str">
        <f>"H0020703"</f>
        <v>H0020703</v>
      </c>
      <c r="B9100" s="5" t="str">
        <f>"AIRE ACONDICIONADO CENTRAL (INTEGRAL)"</f>
        <v>AIRE ACONDICIONADO CENTRAL (INTEGRAL)</v>
      </c>
      <c r="C9100" s="6">
        <v>1208924</v>
      </c>
      <c r="D9100" s="5"/>
      <c r="E9100" s="5" t="str">
        <f t="shared" si="467"/>
        <v>URGENCIAS PEDIATRIA-YENI ESPERANZA PENA GUERRERO</v>
      </c>
      <c r="F9100" s="5" t="str">
        <f>"Descripcion: AIRE INTEGRAL36000 BTUCOMPRESOR Estado: Inservible Placa anterior: 000026246 Material: METALICO Color: GRIS Referencia:  Observacion: AUTORIZADO CONCILIAR EN CRUCE GENERAL   Placa padre: Tipo adquisicion: Entidad"</f>
        <v>Descripcion: AIRE INTEGRAL36000 BTUCOMPRESOR Estado: Inservible Placa anterior: 000026246 Material: METALICO Color: GRIS Referencia:  Observacion: AUTORIZADO CONCILIAR EN CRUCE GENERAL   Placa padre: Tipo adquisicion: Entidad</v>
      </c>
      <c r="G9100" s="5" t="str">
        <f>"CAV360SI"</f>
        <v>CAV360SI</v>
      </c>
    </row>
    <row r="9101" spans="1:7" ht="58.5" customHeight="1" x14ac:dyDescent="0.25">
      <c r="A9101" s="5" t="str">
        <f>"H0021439"</f>
        <v>H0021439</v>
      </c>
      <c r="B9101" s="5" t="str">
        <f>"EQUIPO DE AIRE ACONDICIONADO  MINISPLIT 12000 BTU INVERTER"</f>
        <v>EQUIPO DE AIRE ACONDICIONADO  MINISPLIT 12000 BTU INVERTER</v>
      </c>
      <c r="C9101" s="6">
        <v>1856000</v>
      </c>
      <c r="D9101" s="5" t="s">
        <v>176</v>
      </c>
      <c r="E9101" s="5" t="str">
        <f t="shared" si="467"/>
        <v>URGENCIAS PEDIATRIA-YENI ESPERANZA PENA GUERRERO</v>
      </c>
      <c r="F9101" s="5" t="str">
        <f>"Descripcion: AIRE ACONDICIONADO INVERTER V LG Estado: Bueno Placa anterior: 000023732 Material: PASTA Color: BLANCO Referencia:  Observacion: CONSULTORIO 2  AUTORIZADO CONCILIAR EN CRUCE GENERAL Placa padre: Tipo adquisicion: Entidad"</f>
        <v>Descripcion: AIRE ACONDICIONADO INVERTER V LG Estado: Bueno Placa anterior: 000023732 Material: PASTA Color: BLANCO Referencia:  Observacion: CONSULTORIO 2  AUTORIZADO CONCILIAR EN CRUCE GENERAL Placa padre: Tipo adquisicion: Entidad</v>
      </c>
      <c r="G9101" s="5" t="str">
        <f>"VM122CENB3"</f>
        <v>VM122CENB3</v>
      </c>
    </row>
    <row r="9102" spans="1:7" ht="58.5" customHeight="1" x14ac:dyDescent="0.25">
      <c r="A9102" s="5" t="str">
        <f>"H0021799"</f>
        <v>H0021799</v>
      </c>
      <c r="B9102" s="5" t="str">
        <f>"MONITOR DE SIGNOS VITALES"</f>
        <v>MONITOR DE SIGNOS VITALES</v>
      </c>
      <c r="C9102" s="6">
        <v>4002000</v>
      </c>
      <c r="D9102" s="5" t="s">
        <v>166</v>
      </c>
      <c r="E9102" s="5" t="str">
        <f t="shared" si="467"/>
        <v>URGENCIAS PEDIATRIA-YENI ESPERANZA PENA GUERRERO</v>
      </c>
      <c r="F9102"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000031408 Material: PASTA Color: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000031408 Material: PASTA Color:  Referencia:  Observacion:  Placa padre: Tipo adquisicion: Entidad</v>
      </c>
      <c r="G9102" s="5"/>
    </row>
    <row r="9103" spans="1:7" ht="58.5" customHeight="1" x14ac:dyDescent="0.25">
      <c r="A9103" s="5" t="str">
        <f>"H0021800"</f>
        <v>H0021800</v>
      </c>
      <c r="B9103" s="5" t="str">
        <f>"BANDEJA DE ACERO INOXIDABLE MEDIANA"</f>
        <v>BANDEJA DE ACERO INOXIDABLE MEDIANA</v>
      </c>
      <c r="C9103" s="6">
        <v>20226.259999999998</v>
      </c>
      <c r="D9103" s="5"/>
      <c r="E9103" s="5" t="str">
        <f t="shared" si="467"/>
        <v>URGENCIAS PEDIATRIA-YENI ESPERANZA PENA GUERRERO</v>
      </c>
      <c r="F9103" s="5" t="str">
        <f>"Descripcion: BANDEJA EN ACERO INOXIDABLE Estado: Bueno Placa anterior: 000018535 Material: ACERO INOXIDABLE Color: ACERO Referencia:  Observacion:  Placa padre: Tipo adquisicion: Entidad"</f>
        <v>Descripcion: BANDEJA EN ACERO INOXIDABLE Estado: Bueno Placa anterior: 000018535 Material: ACERO INOXIDABLE Color: ACERO Referencia:  Observacion:  Placa padre: Tipo adquisicion: Entidad</v>
      </c>
      <c r="G9103" s="5"/>
    </row>
    <row r="9104" spans="1:7" ht="58.5" customHeight="1" x14ac:dyDescent="0.25">
      <c r="A9104" s="5" t="str">
        <f>"H0021801"</f>
        <v>H0021801</v>
      </c>
      <c r="B9104" s="5" t="str">
        <f>"BANDEJA DE ACERO INOXIDABLE MEDIANA"</f>
        <v>BANDEJA DE ACERO INOXIDABLE MEDIANA</v>
      </c>
      <c r="C9104" s="6">
        <v>20226.259999999998</v>
      </c>
      <c r="D9104" s="5"/>
      <c r="E9104" s="5" t="str">
        <f t="shared" si="467"/>
        <v>URGENCIAS PEDIATRIA-YENI ESPERANZA PENA GUERRERO</v>
      </c>
      <c r="F9104" s="5" t="str">
        <f>"Descripcion: BANDEJA NIQUELADA Estado: Bueno Placa anterior: 000018471 Material: NIQUEL Color: PLATEADO Referencia:  Observacion: ESTERILIZADO Placa padre: Tipo adquisicion: Entidad"</f>
        <v>Descripcion: BANDEJA NIQUELADA Estado: Bueno Placa anterior: 000018471 Material: NIQUEL Color: PLATEADO Referencia:  Observacion: ESTERILIZADO Placa padre: Tipo adquisicion: Entidad</v>
      </c>
      <c r="G9104" s="5"/>
    </row>
    <row r="9105" spans="1:7" ht="58.5" customHeight="1" x14ac:dyDescent="0.25">
      <c r="A9105" s="5" t="str">
        <f>"H0021802"</f>
        <v>H0021802</v>
      </c>
      <c r="B9105" s="5" t="str">
        <f>"CAMA HOSPITALARIA 2 PLANOS"</f>
        <v>CAMA HOSPITALARIA 2 PLANOS</v>
      </c>
      <c r="C9105" s="6">
        <v>1693600</v>
      </c>
      <c r="D9105" s="5" t="s">
        <v>516</v>
      </c>
      <c r="E9105" s="5" t="str">
        <f t="shared" si="467"/>
        <v>URGENCIAS PEDIATRIA-YENI ESPERANZA PENA GUERRERO</v>
      </c>
      <c r="F9105"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000030666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000030666 Material: METAL Color: BEIGE Referencia:  Observacion:  Placa padre: Tipo adquisicion: Entidad</v>
      </c>
      <c r="G9105" s="5" t="str">
        <f>"141-70"</f>
        <v>141-70</v>
      </c>
    </row>
    <row r="9106" spans="1:7" ht="58.5" customHeight="1" x14ac:dyDescent="0.25">
      <c r="A9106" s="5" t="str">
        <f>"H0021803"</f>
        <v>H0021803</v>
      </c>
      <c r="B9106" s="5" t="str">
        <f>"CUNA PEDIATRICA CON BARANDA"</f>
        <v>CUNA PEDIATRICA CON BARANDA</v>
      </c>
      <c r="C9106" s="6">
        <v>2668000</v>
      </c>
      <c r="D9106" s="5" t="s">
        <v>161</v>
      </c>
      <c r="E9106" s="5" t="str">
        <f t="shared" si="467"/>
        <v>URGENCIAS PEDIATRIA-YENI ESPERANZA PENA GUERRERO</v>
      </c>
      <c r="F9106" s="5" t="str">
        <f>"Descripcion: COLCHON Estado: Bueno Placa anterior: 000031582 Material: METALICO Color: BEIGE Referencia:  Observacion:  Placa padre: Tipo adquisicion: Entidad"</f>
        <v>Descripcion: COLCHON Estado: Bueno Placa anterior: 000031582 Material: METALICO Color: BEIGE Referencia:  Observacion:  Placa padre: Tipo adquisicion: Entidad</v>
      </c>
      <c r="G9106" s="5"/>
    </row>
    <row r="9107" spans="1:7" ht="58.5" customHeight="1" x14ac:dyDescent="0.25">
      <c r="A9107" s="5" t="str">
        <f>"H0021804"</f>
        <v>H0021804</v>
      </c>
      <c r="B9107" s="5" t="str">
        <f>"CAMILLA DE TRASLADO DE 2 PLANOS"</f>
        <v>CAMILLA DE TRASLADO DE 2 PLANOS</v>
      </c>
      <c r="C9107" s="6">
        <v>1693600</v>
      </c>
      <c r="D9107" s="5" t="s">
        <v>516</v>
      </c>
      <c r="E9107" s="5" t="str">
        <f t="shared" si="467"/>
        <v>URGENCIAS PEDIATRIA-YENI ESPERANZA PENA GUERRERO</v>
      </c>
      <c r="F9107" s="5" t="str">
        <f>"Descripcion: CAMILLA Estructura fabricada en tuberia redonda tendido de dos planos en lamina de acero y marco de tuberia redonda.Espaldar graduable protector plastico en el contorno del plecero y el cabecero Barandas de seguridad tubulares que al ser acci"&amp; "onadas se gu Estado: Bueno Placa anterior: 000030660 Material: METAL Color: BEIGE Referencia:  Observacion:  Placa padre: Tipo adquisicion: Entidad"</f>
        <v>Descripcion: CAMILLA Estructura fabricada en tuberia redonda tendido de dos planos en lamina de acero y marco de tuberia redonda.Espaldar graduable protector plastico en el contorno del plecero y el cabecero Barandas de seguridad tubulares que al ser accionadas se gu Estado: Bueno Placa anterior: 000030660 Material: METAL Color: BEIGE Referencia:  Observacion:  Placa padre: Tipo adquisicion: Entidad</v>
      </c>
      <c r="G9107" s="5" t="str">
        <f>"141-70"</f>
        <v>141-70</v>
      </c>
    </row>
    <row r="9108" spans="1:7" ht="58.5" customHeight="1" x14ac:dyDescent="0.25">
      <c r="A9108" s="5" t="str">
        <f>"H0021805"</f>
        <v>H0021805</v>
      </c>
      <c r="B9108" s="5" t="str">
        <f>"ESCALERILLA DE 2 PASOS"</f>
        <v>ESCALERILLA DE 2 PASOS</v>
      </c>
      <c r="C9108" s="6">
        <v>100000</v>
      </c>
      <c r="D9108" s="5" t="s">
        <v>49</v>
      </c>
      <c r="E9108" s="5" t="str">
        <f t="shared" si="467"/>
        <v>URGENCIAS PEDIATRIA-YENI ESPERANZA PENA GUERRERO</v>
      </c>
      <c r="F9108" s="5" t="str">
        <f>"Descripcion: ESCALERILLA DE DOS PASO EN TUBO REDONDO Estado: Bueno Placa anterior: 000029972 Material: METAL Y FORMICA Color: BLANCO Referencia:  Observacion:  Placa padre: Tipo adquisicion: Entidad"</f>
        <v>Descripcion: ESCALERILLA DE DOS PASO EN TUBO REDONDO Estado: Bueno Placa anterior: 000029972 Material: METAL Y FORMICA Color: BLANCO Referencia:  Observacion:  Placa padre: Tipo adquisicion: Entidad</v>
      </c>
      <c r="G9108" s="5"/>
    </row>
    <row r="9109" spans="1:7" ht="58.5" customHeight="1" x14ac:dyDescent="0.25">
      <c r="A9109" s="5" t="str">
        <f>"H0021807"</f>
        <v>H0021807</v>
      </c>
      <c r="B9109" s="5" t="str">
        <f>"EQUIPO DE ORGANOS PORTATIL"</f>
        <v>EQUIPO DE ORGANOS PORTATIL</v>
      </c>
      <c r="C9109" s="6">
        <v>458200</v>
      </c>
      <c r="D9109" s="5"/>
      <c r="E9109" s="5" t="str">
        <f t="shared" si="467"/>
        <v>URGENCIAS PEDIATRIA-YENI ESPERANZA PENA GUERRERO</v>
      </c>
      <c r="F9109" s="5" t="str">
        <f>"Descripcion: EQUIPO DE ORGANOS MCA. WELLCH ALLYN Estado: Bueno Placa anterior: 000018680 Material: METAL Color:  Referencia:  Observacion: NO TENIA PLACA ANTERIOR Placa padre: Tipo adquisicion: Entidad"</f>
        <v>Descripcion: EQUIPO DE ORGANOS MCA. WELLCH ALLYN Estado: Bueno Placa anterior: 000018680 Material: METAL Color:  Referencia:  Observacion: NO TENIA PLACA ANTERIOR Placa padre: Tipo adquisicion: Entidad</v>
      </c>
      <c r="G9109" s="5"/>
    </row>
    <row r="9110" spans="1:7" ht="58.5" customHeight="1" x14ac:dyDescent="0.25">
      <c r="A9110" s="5" t="str">
        <f>"H0021808"</f>
        <v>H0021808</v>
      </c>
      <c r="B9110" s="5" t="str">
        <f>"FONENDOSCOPIO (ESTETOSCOPIO) PEDIATRICO"</f>
        <v>FONENDOSCOPIO (ESTETOSCOPIO) PEDIATRICO</v>
      </c>
      <c r="C9110" s="6">
        <v>493000</v>
      </c>
      <c r="D9110" s="5"/>
      <c r="E9110" s="5" t="str">
        <f t="shared" si="467"/>
        <v>URGENCIAS PEDIATRIA-YENI ESPERANZA PENA GUERRERO</v>
      </c>
      <c r="F9110" s="5" t="str">
        <f>"Descripcion: FONENDOSCOPIO PEDIATRICO Estado: Bueno Placa anterior: 000031136 Material: METAL Color:  Referencia:  Observacion:  Placa padre: Tipo adquisicion: Entidad"</f>
        <v>Descripcion: FONENDOSCOPIO PEDIATRICO Estado: Bueno Placa anterior: 000031136 Material: METAL Color:  Referencia:  Observacion:  Placa padre: Tipo adquisicion: Entidad</v>
      </c>
      <c r="G9110" s="5"/>
    </row>
    <row r="9111" spans="1:7" ht="58.5" customHeight="1" x14ac:dyDescent="0.25">
      <c r="A9111" s="5" t="str">
        <f>"H0021809"</f>
        <v>H0021809</v>
      </c>
      <c r="B9111" s="5" t="str">
        <f>"FONENDOSCOPIO (ESTETOSCOPIO) PEDIATRICO"</f>
        <v>FONENDOSCOPIO (ESTETOSCOPIO) PEDIATRICO</v>
      </c>
      <c r="C9111" s="6">
        <v>493000</v>
      </c>
      <c r="D9111" s="5"/>
      <c r="E9111" s="5" t="str">
        <f t="shared" si="467"/>
        <v>URGENCIAS PEDIATRIA-YENI ESPERANZA PENA GUERRERO</v>
      </c>
      <c r="F9111" s="5" t="str">
        <f>"Descripcion: FONENDOSCOPIO PEDIATRICO Estado: Bueno Placa anterior: 000031137 Material: METAL Color: ACERO CON NEGRO Referencia:  Observacion:  Placa padre: Tipo adquisicion: Entidad"</f>
        <v>Descripcion: FONENDOSCOPIO PEDIATRICO Estado: Bueno Placa anterior: 000031137 Material: METAL Color: ACERO CON NEGRO Referencia:  Observacion:  Placa padre: Tipo adquisicion: Entidad</v>
      </c>
      <c r="G9111" s="5"/>
    </row>
    <row r="9112" spans="1:7" ht="58.5" customHeight="1" x14ac:dyDescent="0.25">
      <c r="A9112" s="5" t="str">
        <f>"H0021810"</f>
        <v>H0021810</v>
      </c>
      <c r="B9112" s="5" t="str">
        <f>"FONENDOSCOPIO (ESTETOSCOPIO) PEDIATRICO"</f>
        <v>FONENDOSCOPIO (ESTETOSCOPIO) PEDIATRICO</v>
      </c>
      <c r="C9112" s="6">
        <v>493000</v>
      </c>
      <c r="D9112" s="5"/>
      <c r="E9112" s="5" t="str">
        <f t="shared" si="467"/>
        <v>URGENCIAS PEDIATRIA-YENI ESPERANZA PENA GUERRERO</v>
      </c>
      <c r="F9112" s="5" t="str">
        <f>"Descripcion: FONENDOSCOPIO PEDIATRICO Estado: Bueno Placa anterior: 000031138 Material: METAL Color: ACERO Y NEGRO Referencia:  Observacion:  Placa padre: Tipo adquisicion: Entidad"</f>
        <v>Descripcion: FONENDOSCOPIO PEDIATRICO Estado: Bueno Placa anterior: 000031138 Material: METAL Color: ACERO Y NEGRO Referencia:  Observacion:  Placa padre: Tipo adquisicion: Entidad</v>
      </c>
      <c r="G9112" s="5"/>
    </row>
    <row r="9113" spans="1:7" ht="58.5" customHeight="1" x14ac:dyDescent="0.25">
      <c r="A9113" s="5" t="str">
        <f>"H0021965"</f>
        <v>H0021965</v>
      </c>
      <c r="B9113" s="5" t="str">
        <f>"RELOJ DE PARED"</f>
        <v>RELOJ DE PARED</v>
      </c>
      <c r="C9113" s="6">
        <v>9285.7999999999993</v>
      </c>
      <c r="D9113" s="5"/>
      <c r="E9113" s="5" t="str">
        <f t="shared" si="467"/>
        <v>URGENCIAS PEDIATRIA-YENI ESPERANZA PENA GUERRERO</v>
      </c>
      <c r="F9113" s="5" t="str">
        <f>"Descripcion: RELOJ DE PARED Estado: Bueno Placa anterior: 000018632 Material:  Color:  Referencia:  Observacion:  Placa padre: Tipo adquisicion: Entidad"</f>
        <v>Descripcion: RELOJ DE PARED Estado: Bueno Placa anterior: 000018632 Material:  Color:  Referencia:  Observacion:  Placa padre: Tipo adquisicion: Entidad</v>
      </c>
      <c r="G9113" s="5"/>
    </row>
    <row r="9114" spans="1:7" ht="58.5" customHeight="1" x14ac:dyDescent="0.25">
      <c r="A9114" s="5" t="str">
        <f>"H0021966"</f>
        <v>H0021966</v>
      </c>
      <c r="B9114" s="5" t="str">
        <f>"RELOJ DE PARED"</f>
        <v>RELOJ DE PARED</v>
      </c>
      <c r="C9114" s="6">
        <v>9285.7999999999993</v>
      </c>
      <c r="D9114" s="5"/>
      <c r="E9114" s="5" t="str">
        <f t="shared" si="467"/>
        <v>URGENCIAS PEDIATRIA-YENI ESPERANZA PENA GUERRERO</v>
      </c>
      <c r="F9114" s="5" t="str">
        <f>"Descripcion: RELOJ DE PARED Estado: Bueno Placa anterior: 000018631 Material:  Color:  Referencia:  Observacion:  Placa padre: Tipo adquisicion: Entidad"</f>
        <v>Descripcion: RELOJ DE PARED Estado: Bueno Placa anterior: 000018631 Material:  Color:  Referencia:  Observacion:  Placa padre: Tipo adquisicion: Entidad</v>
      </c>
      <c r="G9114" s="5"/>
    </row>
    <row r="9115" spans="1:7" ht="58.5" customHeight="1" x14ac:dyDescent="0.25">
      <c r="A9115" s="5" t="str">
        <f>"H0022175"</f>
        <v>H0022175</v>
      </c>
      <c r="B911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115" s="6">
        <v>241999.99</v>
      </c>
      <c r="D9115" s="5" t="s">
        <v>499</v>
      </c>
      <c r="E9115" s="5" t="str">
        <f t="shared" si="467"/>
        <v>URGENCIAS PEDIATRIA-YENI ESPERANZA PENA GUERRERO</v>
      </c>
      <c r="F9115" s="5"/>
      <c r="G9115" s="5"/>
    </row>
    <row r="9116" spans="1:7" ht="58.5" customHeight="1" x14ac:dyDescent="0.25">
      <c r="A9116" s="5" t="str">
        <f>"H0022180"</f>
        <v>H0022180</v>
      </c>
      <c r="B911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116" s="6">
        <v>241999.99</v>
      </c>
      <c r="D9116" s="5" t="s">
        <v>499</v>
      </c>
      <c r="E9116" s="5" t="str">
        <f t="shared" si="467"/>
        <v>URGENCIAS PEDIATRIA-YENI ESPERANZA PENA GUERRERO</v>
      </c>
      <c r="F9116" s="5"/>
      <c r="G9116" s="5"/>
    </row>
    <row r="9117" spans="1:7" ht="58.5" customHeight="1" x14ac:dyDescent="0.25">
      <c r="A9117" s="5" t="str">
        <f>"H0022429"</f>
        <v>H0022429</v>
      </c>
      <c r="B9117" s="5" t="str">
        <f>"MARTILLO DE REFLEJOS"</f>
        <v>MARTILLO DE REFLEJOS</v>
      </c>
      <c r="C9117" s="6">
        <v>18505.48</v>
      </c>
      <c r="D9117" s="5" t="s">
        <v>455</v>
      </c>
      <c r="E9117" s="5" t="str">
        <f t="shared" si="467"/>
        <v>URGENCIAS PEDIATRIA-YENI ESPERANZA PENA GUERRERO</v>
      </c>
      <c r="F9117" s="5"/>
      <c r="G9117" s="5"/>
    </row>
    <row r="9118" spans="1:7" ht="58.5" customHeight="1" x14ac:dyDescent="0.25">
      <c r="A9118" s="5" t="str">
        <f>"H0022430"</f>
        <v>H0022430</v>
      </c>
      <c r="B9118" s="5" t="str">
        <f>"MARTILLO DE REFLEJOS"</f>
        <v>MARTILLO DE REFLEJOS</v>
      </c>
      <c r="C9118" s="6">
        <v>18505.48</v>
      </c>
      <c r="D9118" s="5" t="s">
        <v>455</v>
      </c>
      <c r="E9118" s="5" t="str">
        <f t="shared" si="467"/>
        <v>URGENCIAS PEDIATRIA-YENI ESPERANZA PENA GUERRERO</v>
      </c>
      <c r="F9118" s="5"/>
      <c r="G9118" s="5"/>
    </row>
    <row r="9119" spans="1:7" ht="58.5" customHeight="1" x14ac:dyDescent="0.25">
      <c r="A9119" s="5" t="str">
        <f>"H0022476"</f>
        <v>H0022476</v>
      </c>
      <c r="B9119" s="5" t="str">
        <f>"AMPLIFICADOR PARA ZONA RAQUEABLE"</f>
        <v>AMPLIFICADOR PARA ZONA RAQUEABLE</v>
      </c>
      <c r="C9119" s="6">
        <v>696000</v>
      </c>
      <c r="D9119" s="5" t="s">
        <v>382</v>
      </c>
      <c r="E9119" s="5" t="str">
        <f t="shared" si="467"/>
        <v>URGENCIAS PEDIATRIA-YENI ESPERANZA PENA GUERRERO</v>
      </c>
      <c r="F9119" s="5" t="str">
        <f>"Descripcion: Amplificador por zona raquiable Estado: Bueno Placa anterior: 000038952 Material: METALICO Color: NEGRO Referencia:  Observacion: AUTORIZADO CONCILIAR EN CRUCE GENERAL Placa padre: Tipo adquisicion: Entidad"</f>
        <v>Descripcion: Amplificador por zona raquiable Estado: Bueno Placa anterior: 000038952 Material: METALICO Color: NEGRO Referencia:  Observacion: AUTORIZADO CONCILIAR EN CRUCE GENERAL Placa padre: Tipo adquisicion: Entidad</v>
      </c>
      <c r="G9119" s="5"/>
    </row>
    <row r="9120" spans="1:7" ht="58.5" customHeight="1" x14ac:dyDescent="0.25">
      <c r="A9120" s="5" t="str">
        <f>"H0024147"</f>
        <v>H0024147</v>
      </c>
      <c r="B9120" s="5" t="str">
        <f>"EXTINTORES 3700 grs DE AGENTE LIMPIO"</f>
        <v>EXTINTORES 3700 grs DE AGENTE LIMPIO</v>
      </c>
      <c r="C9120" s="6">
        <v>330000.01</v>
      </c>
      <c r="D9120" s="5" t="s">
        <v>458</v>
      </c>
      <c r="E9120" s="5" t="str">
        <f t="shared" si="467"/>
        <v>URGENCIAS PEDIATRIA-YENI ESPERANZA PENA GUERRERO</v>
      </c>
      <c r="F9120" s="5"/>
      <c r="G9120" s="5"/>
    </row>
    <row r="9121" spans="1:7" ht="58.5" customHeight="1" x14ac:dyDescent="0.25">
      <c r="A9121" s="5" t="str">
        <f>"H0024559"</f>
        <v>H0024559</v>
      </c>
      <c r="B912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21" s="6">
        <v>2600000</v>
      </c>
      <c r="D9121" s="5" t="s">
        <v>36</v>
      </c>
      <c r="E9121" s="5" t="str">
        <f t="shared" si="467"/>
        <v>URGENCIAS PEDIATRIA-YENI ESPERANZA PENA GUERRERO</v>
      </c>
      <c r="F9121" s="5"/>
      <c r="G9121" s="5"/>
    </row>
    <row r="9122" spans="1:7" ht="58.5" customHeight="1" x14ac:dyDescent="0.25">
      <c r="A9122" s="5" t="str">
        <f>"H0024560"</f>
        <v>H0024560</v>
      </c>
      <c r="B912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22" s="6">
        <v>2600000</v>
      </c>
      <c r="D9122" s="5" t="s">
        <v>36</v>
      </c>
      <c r="E9122" s="5" t="str">
        <f t="shared" si="467"/>
        <v>URGENCIAS PEDIATRIA-YENI ESPERANZA PENA GUERRERO</v>
      </c>
      <c r="F9122" s="5"/>
      <c r="G9122" s="5"/>
    </row>
    <row r="9123" spans="1:7" ht="58.5" customHeight="1" x14ac:dyDescent="0.25">
      <c r="A9123" s="5" t="str">
        <f>"H0024561"</f>
        <v>H0024561</v>
      </c>
      <c r="B912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23" s="6">
        <v>2600000</v>
      </c>
      <c r="D9123" s="5" t="s">
        <v>36</v>
      </c>
      <c r="E9123" s="5" t="str">
        <f t="shared" si="467"/>
        <v>URGENCIAS PEDIATRIA-YENI ESPERANZA PENA GUERRERO</v>
      </c>
      <c r="F9123" s="5"/>
      <c r="G9123" s="5"/>
    </row>
    <row r="9124" spans="1:7" ht="58.5" customHeight="1" x14ac:dyDescent="0.25">
      <c r="A9124" s="5" t="str">
        <f>"H0024598"</f>
        <v>H0024598</v>
      </c>
      <c r="B9124"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24" s="6">
        <v>2600000</v>
      </c>
      <c r="D9124" s="5" t="s">
        <v>36</v>
      </c>
      <c r="E9124" s="5" t="str">
        <f t="shared" si="467"/>
        <v>URGENCIAS PEDIATRIA-YENI ESPERANZA PENA GUERRERO</v>
      </c>
      <c r="F9124" s="5"/>
      <c r="G9124" s="5"/>
    </row>
    <row r="9125" spans="1:7" ht="58.5" customHeight="1" x14ac:dyDescent="0.25">
      <c r="A9125" s="5" t="str">
        <f>"H0024599"</f>
        <v>H0024599</v>
      </c>
      <c r="B912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125" s="6">
        <v>2600000</v>
      </c>
      <c r="D9125" s="5" t="s">
        <v>36</v>
      </c>
      <c r="E9125" s="5" t="str">
        <f t="shared" si="467"/>
        <v>URGENCIAS PEDIATRIA-YENI ESPERANZA PENA GUERRERO</v>
      </c>
      <c r="F9125" s="5"/>
      <c r="G9125" s="5"/>
    </row>
    <row r="9126" spans="1:7" ht="58.5" customHeight="1" x14ac:dyDescent="0.25">
      <c r="A9126" s="5" t="str">
        <f>"H0025272"</f>
        <v>H0025272</v>
      </c>
      <c r="B9126" s="5" t="s">
        <v>65</v>
      </c>
      <c r="C9126" s="6">
        <v>115394.48</v>
      </c>
      <c r="D9126" s="5" t="s">
        <v>10</v>
      </c>
      <c r="E9126" s="5" t="str">
        <f t="shared" si="467"/>
        <v>URGENCIAS PEDIATRIA-YENI ESPERANZA PENA GUERRERO</v>
      </c>
      <c r="F9126" s="5"/>
      <c r="G9126" s="5"/>
    </row>
    <row r="9127" spans="1:7" ht="58.5" customHeight="1" x14ac:dyDescent="0.25">
      <c r="A9127" s="5" t="str">
        <f>"H0025273"</f>
        <v>H0025273</v>
      </c>
      <c r="B9127" s="5" t="s">
        <v>65</v>
      </c>
      <c r="C9127" s="6">
        <v>115394.48</v>
      </c>
      <c r="D9127" s="5" t="s">
        <v>10</v>
      </c>
      <c r="E9127" s="5" t="str">
        <f t="shared" si="467"/>
        <v>URGENCIAS PEDIATRIA-YENI ESPERANZA PENA GUERRERO</v>
      </c>
      <c r="F9127" s="5"/>
      <c r="G9127" s="5"/>
    </row>
    <row r="9128" spans="1:7" ht="58.5" customHeight="1" x14ac:dyDescent="0.25">
      <c r="A9128" s="5" t="str">
        <f>"H0025274"</f>
        <v>H0025274</v>
      </c>
      <c r="B9128" s="5" t="s">
        <v>65</v>
      </c>
      <c r="C9128" s="6">
        <v>115394.48</v>
      </c>
      <c r="D9128" s="5" t="s">
        <v>10</v>
      </c>
      <c r="E9128" s="5" t="str">
        <f t="shared" si="467"/>
        <v>URGENCIAS PEDIATRIA-YENI ESPERANZA PENA GUERRERO</v>
      </c>
      <c r="F9128" s="5"/>
      <c r="G9128" s="5"/>
    </row>
    <row r="9129" spans="1:7" ht="58.5" customHeight="1" x14ac:dyDescent="0.25">
      <c r="A9129" s="5" t="str">
        <f>"H0025275"</f>
        <v>H0025275</v>
      </c>
      <c r="B9129" s="5" t="s">
        <v>65</v>
      </c>
      <c r="C9129" s="6">
        <v>115394.48</v>
      </c>
      <c r="D9129" s="5" t="s">
        <v>10</v>
      </c>
      <c r="E9129" s="5" t="str">
        <f t="shared" si="467"/>
        <v>URGENCIAS PEDIATRIA-YENI ESPERANZA PENA GUERRERO</v>
      </c>
      <c r="F9129" s="5"/>
      <c r="G9129" s="5"/>
    </row>
    <row r="9130" spans="1:7" ht="58.5" customHeight="1" x14ac:dyDescent="0.25">
      <c r="A9130" s="5" t="str">
        <f>"H0025342"</f>
        <v>H0025342</v>
      </c>
      <c r="B913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30" s="6">
        <v>312156</v>
      </c>
      <c r="D9130" s="5" t="s">
        <v>10</v>
      </c>
      <c r="E9130" s="5" t="str">
        <f t="shared" si="467"/>
        <v>URGENCIAS PEDIATRIA-YENI ESPERANZA PENA GUERRERO</v>
      </c>
      <c r="F9130" s="5"/>
      <c r="G9130" s="5"/>
    </row>
    <row r="9131" spans="1:7" ht="58.5" customHeight="1" x14ac:dyDescent="0.25">
      <c r="A9131" s="5" t="str">
        <f>"H0025343"</f>
        <v>H0025343</v>
      </c>
      <c r="B913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31" s="6">
        <v>312156</v>
      </c>
      <c r="D9131" s="5" t="s">
        <v>10</v>
      </c>
      <c r="E9131" s="5" t="str">
        <f t="shared" si="467"/>
        <v>URGENCIAS PEDIATRIA-YENI ESPERANZA PENA GUERRERO</v>
      </c>
      <c r="F9131" s="5"/>
      <c r="G9131" s="5"/>
    </row>
    <row r="9132" spans="1:7" ht="58.5" customHeight="1" x14ac:dyDescent="0.25">
      <c r="A9132" s="5" t="str">
        <f>"H0025362"</f>
        <v>H0025362</v>
      </c>
      <c r="B913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32" s="6">
        <v>312156</v>
      </c>
      <c r="D9132" s="5" t="s">
        <v>10</v>
      </c>
      <c r="E9132" s="5" t="str">
        <f t="shared" si="467"/>
        <v>URGENCIAS PEDIATRIA-YENI ESPERANZA PENA GUERRERO</v>
      </c>
      <c r="F9132" s="5"/>
      <c r="G9132" s="5" t="str">
        <f>"GXP1628"</f>
        <v>GXP1628</v>
      </c>
    </row>
    <row r="9133" spans="1:7" ht="58.5" customHeight="1" x14ac:dyDescent="0.25">
      <c r="A9133" s="5" t="str">
        <f>"H0025571"</f>
        <v>H0025571</v>
      </c>
      <c r="B9133" s="5" t="str">
        <f>"CAMARA DE HOOD PEQUENA"</f>
        <v>CAMARA DE HOOD PEQUENA</v>
      </c>
      <c r="C9133" s="6">
        <v>131699.67000000001</v>
      </c>
      <c r="D9133" s="5" t="s">
        <v>180</v>
      </c>
      <c r="E9133" s="5" t="str">
        <f t="shared" si="467"/>
        <v>URGENCIAS PEDIATRIA-YENI ESPERANZA PENA GUERRERO</v>
      </c>
      <c r="F9133" s="5"/>
      <c r="G9133" s="5"/>
    </row>
    <row r="9134" spans="1:7" ht="58.5" customHeight="1" x14ac:dyDescent="0.25">
      <c r="A9134" s="5" t="str">
        <f>"H0025572"</f>
        <v>H0025572</v>
      </c>
      <c r="B9134" s="5" t="str">
        <f>"CAMARA DE HOOD PEQUENA"</f>
        <v>CAMARA DE HOOD PEQUENA</v>
      </c>
      <c r="C9134" s="6">
        <v>131699.67000000001</v>
      </c>
      <c r="D9134" s="5" t="s">
        <v>180</v>
      </c>
      <c r="E9134" s="5" t="str">
        <f t="shared" si="467"/>
        <v>URGENCIAS PEDIATRIA-YENI ESPERANZA PENA GUERRERO</v>
      </c>
      <c r="F9134" s="5"/>
      <c r="G9134" s="5"/>
    </row>
    <row r="9135" spans="1:7" ht="58.5" customHeight="1" x14ac:dyDescent="0.25">
      <c r="A9135" s="5" t="str">
        <f>"H0025573"</f>
        <v>H0025573</v>
      </c>
      <c r="B9135" s="5" t="str">
        <f>"CAMARA DE HOOD PEQUENA"</f>
        <v>CAMARA DE HOOD PEQUENA</v>
      </c>
      <c r="C9135" s="6">
        <v>131699.67000000001</v>
      </c>
      <c r="D9135" s="5" t="s">
        <v>180</v>
      </c>
      <c r="E9135" s="5" t="str">
        <f t="shared" si="467"/>
        <v>URGENCIAS PEDIATRIA-YENI ESPERANZA PENA GUERRERO</v>
      </c>
      <c r="F9135" s="5"/>
      <c r="G9135" s="5"/>
    </row>
    <row r="9136" spans="1:7" ht="58.5" customHeight="1" x14ac:dyDescent="0.25">
      <c r="A9136" s="5" t="str">
        <f>"H0025583"</f>
        <v>H0025583</v>
      </c>
      <c r="B9136" s="5" t="str">
        <f>"CAMARA DE HOOD MEDIANA"</f>
        <v>CAMARA DE HOOD MEDIANA</v>
      </c>
      <c r="C9136" s="6">
        <v>212902.91</v>
      </c>
      <c r="D9136" s="5" t="s">
        <v>180</v>
      </c>
      <c r="E9136" s="5" t="str">
        <f t="shared" si="467"/>
        <v>URGENCIAS PEDIATRIA-YENI ESPERANZA PENA GUERRERO</v>
      </c>
      <c r="F9136" s="5"/>
      <c r="G9136" s="5"/>
    </row>
    <row r="9137" spans="1:7" ht="58.5" customHeight="1" x14ac:dyDescent="0.25">
      <c r="A9137" s="5" t="str">
        <f>"H0025584"</f>
        <v>H0025584</v>
      </c>
      <c r="B9137" s="5" t="str">
        <f>"CAMARA DE HOOD MEDIANA"</f>
        <v>CAMARA DE HOOD MEDIANA</v>
      </c>
      <c r="C9137" s="6">
        <v>212902.91</v>
      </c>
      <c r="D9137" s="5" t="s">
        <v>180</v>
      </c>
      <c r="E9137" s="5" t="str">
        <f t="shared" si="467"/>
        <v>URGENCIAS PEDIATRIA-YENI ESPERANZA PENA GUERRERO</v>
      </c>
      <c r="F9137" s="5"/>
      <c r="G9137" s="5"/>
    </row>
    <row r="9138" spans="1:7" ht="58.5" customHeight="1" x14ac:dyDescent="0.25">
      <c r="A9138" s="5" t="str">
        <f>"H0025585"</f>
        <v>H0025585</v>
      </c>
      <c r="B9138" s="5" t="str">
        <f>"CAMARA DE HOOD MEDIANA"</f>
        <v>CAMARA DE HOOD MEDIANA</v>
      </c>
      <c r="C9138" s="6">
        <v>212902.91</v>
      </c>
      <c r="D9138" s="5" t="s">
        <v>180</v>
      </c>
      <c r="E9138" s="5" t="str">
        <f t="shared" si="467"/>
        <v>URGENCIAS PEDIATRIA-YENI ESPERANZA PENA GUERRERO</v>
      </c>
      <c r="F9138" s="5"/>
      <c r="G9138" s="5"/>
    </row>
    <row r="9139" spans="1:7" ht="58.5" customHeight="1" x14ac:dyDescent="0.25">
      <c r="A9139" s="5" t="str">
        <f>"H0025595"</f>
        <v>H0025595</v>
      </c>
      <c r="B9139" s="5" t="str">
        <f>"CAMARA DE HOOD GRANDE"</f>
        <v>CAMARA DE HOOD GRANDE</v>
      </c>
      <c r="C9139" s="6">
        <v>303795</v>
      </c>
      <c r="D9139" s="5" t="s">
        <v>180</v>
      </c>
      <c r="E9139" s="5" t="str">
        <f t="shared" si="467"/>
        <v>URGENCIAS PEDIATRIA-YENI ESPERANZA PENA GUERRERO</v>
      </c>
      <c r="F9139" s="5"/>
      <c r="G9139" s="5"/>
    </row>
    <row r="9140" spans="1:7" ht="58.5" customHeight="1" x14ac:dyDescent="0.25">
      <c r="A9140" s="5" t="str">
        <f>"H0025973"</f>
        <v>H0025973</v>
      </c>
      <c r="B9140" s="5" t="str">
        <f>"SILLA DE RUEDAS"</f>
        <v>SILLA DE RUEDAS</v>
      </c>
      <c r="C9140" s="6">
        <v>280000</v>
      </c>
      <c r="D9140" s="5" t="s">
        <v>77</v>
      </c>
      <c r="E9140" s="5" t="str">
        <f t="shared" si="467"/>
        <v>URGENCIAS PEDIATRIA-YENI ESPERANZA PENA GUERRERO</v>
      </c>
      <c r="F9140" s="5"/>
      <c r="G9140" s="5"/>
    </row>
    <row r="9141" spans="1:7" ht="58.5" customHeight="1" x14ac:dyDescent="0.25">
      <c r="A9141" s="5" t="str">
        <f>"H0025974"</f>
        <v>H0025974</v>
      </c>
      <c r="B9141" s="5" t="str">
        <f>"SILLA DE RUEDAS"</f>
        <v>SILLA DE RUEDAS</v>
      </c>
      <c r="C9141" s="6">
        <v>280000</v>
      </c>
      <c r="D9141" s="5" t="s">
        <v>77</v>
      </c>
      <c r="E9141" s="5" t="str">
        <f t="shared" si="467"/>
        <v>URGENCIAS PEDIATRIA-YENI ESPERANZA PENA GUERRERO</v>
      </c>
      <c r="F9141" s="5"/>
      <c r="G9141" s="5"/>
    </row>
    <row r="9142" spans="1:7" ht="58.5" customHeight="1" x14ac:dyDescent="0.25">
      <c r="A9142" s="5" t="str">
        <f>"H0025975"</f>
        <v>H0025975</v>
      </c>
      <c r="B9142" s="5" t="str">
        <f>"SILLA DE RUEDAS"</f>
        <v>SILLA DE RUEDAS</v>
      </c>
      <c r="C9142" s="6">
        <v>280000</v>
      </c>
      <c r="D9142" s="5" t="s">
        <v>76</v>
      </c>
      <c r="E9142" s="5" t="str">
        <f t="shared" si="467"/>
        <v>URGENCIAS PEDIATRIA-YENI ESPERANZA PENA GUERRERO</v>
      </c>
      <c r="F9142" s="5"/>
      <c r="G9142" s="5"/>
    </row>
    <row r="9143" spans="1:7" ht="58.5" customHeight="1" x14ac:dyDescent="0.25">
      <c r="A9143" s="5" t="str">
        <f>"H0025976"</f>
        <v>H0025976</v>
      </c>
      <c r="B9143" s="5" t="str">
        <f>"SILLA DE RUEDAS"</f>
        <v>SILLA DE RUEDAS</v>
      </c>
      <c r="C9143" s="6">
        <v>280000</v>
      </c>
      <c r="D9143" s="5" t="s">
        <v>77</v>
      </c>
      <c r="E9143" s="5" t="str">
        <f t="shared" si="467"/>
        <v>URGENCIAS PEDIATRIA-YENI ESPERANZA PENA GUERRERO</v>
      </c>
      <c r="F9143" s="5"/>
      <c r="G9143" s="5"/>
    </row>
    <row r="9144" spans="1:7" ht="58.5" customHeight="1" x14ac:dyDescent="0.25">
      <c r="A9144" s="5" t="str">
        <f>"H0026961"</f>
        <v>H0026961</v>
      </c>
      <c r="B9144" s="5" t="str">
        <f>"BOMBA DE INFUSION"</f>
        <v>BOMBA DE INFUSION</v>
      </c>
      <c r="C9144" s="6">
        <v>800000</v>
      </c>
      <c r="D9144" s="5" t="s">
        <v>79</v>
      </c>
      <c r="E9144" s="5" t="str">
        <f t="shared" si="467"/>
        <v>URGENCIAS PEDIATRIA-YENI ESPERANZA PENA GUERRERO</v>
      </c>
      <c r="F9144" s="5"/>
      <c r="G9144" s="5"/>
    </row>
    <row r="9145" spans="1:7" ht="58.5" customHeight="1" x14ac:dyDescent="0.25">
      <c r="A9145" s="5" t="str">
        <f>"H0026963"</f>
        <v>H0026963</v>
      </c>
      <c r="B9145" s="5" t="str">
        <f>"BOMBA DE INFUSION"</f>
        <v>BOMBA DE INFUSION</v>
      </c>
      <c r="C9145" s="6">
        <v>800000</v>
      </c>
      <c r="D9145" s="5" t="s">
        <v>79</v>
      </c>
      <c r="E9145" s="5" t="str">
        <f t="shared" si="467"/>
        <v>URGENCIAS PEDIATRIA-YENI ESPERANZA PENA GUERRERO</v>
      </c>
      <c r="F9145" s="5"/>
      <c r="G9145" s="5"/>
    </row>
    <row r="9146" spans="1:7" ht="58.5" customHeight="1" x14ac:dyDescent="0.25">
      <c r="A9146" s="5" t="str">
        <f>"H0026969"</f>
        <v>H0026969</v>
      </c>
      <c r="B9146" s="5" t="str">
        <f>"BOMBA DE INFUSION"</f>
        <v>BOMBA DE INFUSION</v>
      </c>
      <c r="C9146" s="6">
        <v>800000</v>
      </c>
      <c r="D9146" s="5" t="s">
        <v>222</v>
      </c>
      <c r="E9146" s="5" t="str">
        <f t="shared" si="467"/>
        <v>URGENCIAS PEDIATRIA-YENI ESPERANZA PENA GUERRERO</v>
      </c>
      <c r="F9146" s="5"/>
      <c r="G9146" s="5"/>
    </row>
    <row r="9147" spans="1:7" ht="58.5" customHeight="1" x14ac:dyDescent="0.25">
      <c r="A9147" s="5" t="str">
        <f>"H0026975"</f>
        <v>H0026975</v>
      </c>
      <c r="B9147" s="5" t="str">
        <f>"BOMBA DE INFUSION"</f>
        <v>BOMBA DE INFUSION</v>
      </c>
      <c r="C9147" s="6">
        <v>800000</v>
      </c>
      <c r="D9147" s="5" t="s">
        <v>79</v>
      </c>
      <c r="E9147" s="5" t="str">
        <f t="shared" si="467"/>
        <v>URGENCIAS PEDIATRIA-YENI ESPERANZA PENA GUERRERO</v>
      </c>
      <c r="F9147" s="5"/>
      <c r="G9147" s="5"/>
    </row>
    <row r="9148" spans="1:7" ht="58.5" customHeight="1" x14ac:dyDescent="0.25">
      <c r="A9148" s="5" t="str">
        <f>"H0026976"</f>
        <v>H0026976</v>
      </c>
      <c r="B9148" s="5" t="str">
        <f>"BOMBA DE INFUSION"</f>
        <v>BOMBA DE INFUSION</v>
      </c>
      <c r="C9148" s="6">
        <v>800000</v>
      </c>
      <c r="D9148" s="5" t="s">
        <v>79</v>
      </c>
      <c r="E9148" s="5" t="str">
        <f t="shared" si="467"/>
        <v>URGENCIAS PEDIATRIA-YENI ESPERANZA PENA GUERRERO</v>
      </c>
      <c r="F9148" s="5"/>
      <c r="G9148" s="5"/>
    </row>
    <row r="9149" spans="1:7" ht="58.5" customHeight="1" x14ac:dyDescent="0.25">
      <c r="A9149" s="5" t="str">
        <f>"H0027018"</f>
        <v>H0027018</v>
      </c>
      <c r="B9149" s="5" t="str">
        <f>"BASE PARA MONITOR DE SIGNOS VITALES"</f>
        <v>BASE PARA MONITOR DE SIGNOS VITALES</v>
      </c>
      <c r="C9149" s="6">
        <v>809200</v>
      </c>
      <c r="D9149" s="5" t="s">
        <v>80</v>
      </c>
      <c r="E9149" s="5" t="str">
        <f t="shared" si="467"/>
        <v>URGENCIAS PEDIATRIA-YENI ESPERANZA PENA GUERRERO</v>
      </c>
      <c r="F9149" s="5"/>
      <c r="G9149" s="5"/>
    </row>
    <row r="9150" spans="1:7" ht="58.5" customHeight="1" x14ac:dyDescent="0.25">
      <c r="A9150" s="5" t="str">
        <f>"H0027019"</f>
        <v>H0027019</v>
      </c>
      <c r="B9150" s="5" t="str">
        <f>"BASE PARA MONITOR DE SIGNOS VITALES"</f>
        <v>BASE PARA MONITOR DE SIGNOS VITALES</v>
      </c>
      <c r="C9150" s="6">
        <v>809200</v>
      </c>
      <c r="D9150" s="5" t="s">
        <v>80</v>
      </c>
      <c r="E9150" s="5" t="str">
        <f t="shared" si="467"/>
        <v>URGENCIAS PEDIATRIA-YENI ESPERANZA PENA GUERRERO</v>
      </c>
      <c r="F9150" s="5"/>
      <c r="G9150" s="5"/>
    </row>
    <row r="9151" spans="1:7" ht="58.5" customHeight="1" x14ac:dyDescent="0.25">
      <c r="A9151" s="5" t="str">
        <f>"H0027024"</f>
        <v>H0027024</v>
      </c>
      <c r="B9151" s="5" t="str">
        <f>"LAMPARA DE CALOR RADIANTE SERIAL:8720800007050-4 (DONACION) ACCESORIO LAMPARA FOTOTERAPIA SERIAL 872017000156672-3 MARCA:NINGBO DAVID"</f>
        <v>LAMPARA DE CALOR RADIANTE SERIAL:8720800007050-4 (DONACION) ACCESORIO LAMPARA FOTOTERAPIA SERIAL 872017000156672-3 MARCA:NINGBO DAVID</v>
      </c>
      <c r="C9151" s="6">
        <v>20485850</v>
      </c>
      <c r="D9151" s="5" t="s">
        <v>460</v>
      </c>
      <c r="E9151" s="5" t="str">
        <f t="shared" si="467"/>
        <v>URGENCIAS PEDIATRIA-YENI ESPERANZA PENA GUERRERO</v>
      </c>
      <c r="F9151" s="5"/>
      <c r="G9151" s="5"/>
    </row>
    <row r="9152" spans="1:7" ht="58.5" customHeight="1" x14ac:dyDescent="0.25">
      <c r="A9152" s="5" t="str">
        <f>"H0027025"</f>
        <v>H0027025</v>
      </c>
      <c r="B9152" s="5" t="str">
        <f>"LAMPARA LED PIELITICA AURINIO L50 MOBIL (DONACION) IMARCA:TRILUX MEDICAL SERIAL:0314H000192418"</f>
        <v>LAMPARA LED PIELITICA AURINIO L50 MOBIL (DONACION) IMARCA:TRILUX MEDICAL SERIAL:0314H000192418</v>
      </c>
      <c r="C9152" s="6">
        <v>8984500</v>
      </c>
      <c r="D9152" s="5" t="s">
        <v>460</v>
      </c>
      <c r="E9152" s="5" t="str">
        <f t="shared" si="467"/>
        <v>URGENCIAS PEDIATRIA-YENI ESPERANZA PENA GUERRERO</v>
      </c>
      <c r="F9152" s="5"/>
      <c r="G9152" s="5"/>
    </row>
    <row r="9153" spans="1:7" ht="58.5" customHeight="1" x14ac:dyDescent="0.25">
      <c r="A9153" s="5" t="str">
        <f>"H0027026"</f>
        <v>H0027026</v>
      </c>
      <c r="B9153" s="5" t="str">
        <f>"CAMILLA DE TRANSPORTE Y RECUPERACION (DONACION)"</f>
        <v>CAMILLA DE TRANSPORTE Y RECUPERACION (DONACION)</v>
      </c>
      <c r="C9153" s="6">
        <v>9877000</v>
      </c>
      <c r="D9153" s="5" t="s">
        <v>460</v>
      </c>
      <c r="E9153" s="5" t="str">
        <f t="shared" si="467"/>
        <v>URGENCIAS PEDIATRIA-YENI ESPERANZA PENA GUERRERO</v>
      </c>
      <c r="F9153" s="5"/>
      <c r="G9153" s="5"/>
    </row>
    <row r="9154" spans="1:7" ht="58.5" customHeight="1" x14ac:dyDescent="0.25">
      <c r="A9154" s="5" t="str">
        <f>"H0027028"</f>
        <v>H0027028</v>
      </c>
      <c r="B9154" s="5" t="str">
        <f>"MONITOR DE 5 PARAMETROS MARCA EDAN (DONACION)"</f>
        <v>MONITOR DE 5 PARAMETROS MARCA EDAN (DONACION)</v>
      </c>
      <c r="C9154" s="6">
        <v>6723500</v>
      </c>
      <c r="D9154" s="5" t="s">
        <v>460</v>
      </c>
      <c r="E9154" s="5" t="str">
        <f t="shared" si="467"/>
        <v>URGENCIAS PEDIATRIA-YENI ESPERANZA PENA GUERRERO</v>
      </c>
      <c r="F9154" s="5"/>
      <c r="G9154" s="5"/>
    </row>
    <row r="9155" spans="1:7" ht="58.5" customHeight="1" x14ac:dyDescent="0.25">
      <c r="A9155" s="5" t="str">
        <f>"H0027029"</f>
        <v>H0027029</v>
      </c>
      <c r="B9155" s="5" t="str">
        <f>"MONITOR DE 5 PARAMETROS MARCA EDAN (DONACION)"</f>
        <v>MONITOR DE 5 PARAMETROS MARCA EDAN (DONACION)</v>
      </c>
      <c r="C9155" s="6">
        <v>6723500</v>
      </c>
      <c r="D9155" s="5" t="s">
        <v>460</v>
      </c>
      <c r="E9155" s="5" t="str">
        <f t="shared" ref="E9155:E9218" si="468">"URGENCIAS PEDIATRIA-YENI ESPERANZA PENA GUERRERO"</f>
        <v>URGENCIAS PEDIATRIA-YENI ESPERANZA PENA GUERRERO</v>
      </c>
      <c r="F9155" s="5"/>
      <c r="G9155" s="5"/>
    </row>
    <row r="9156" spans="1:7" ht="58.5" customHeight="1" x14ac:dyDescent="0.25">
      <c r="A9156" s="5" t="str">
        <f>"H0027030"</f>
        <v>H0027030</v>
      </c>
      <c r="B9156" s="5" t="str">
        <f>"MONITOR DE 5 PARAMETROS MARCA EDAN (DONACION)"</f>
        <v>MONITOR DE 5 PARAMETROS MARCA EDAN (DONACION)</v>
      </c>
      <c r="C9156" s="6">
        <v>6723500</v>
      </c>
      <c r="D9156" s="5" t="s">
        <v>460</v>
      </c>
      <c r="E9156" s="5" t="str">
        <f t="shared" si="468"/>
        <v>URGENCIAS PEDIATRIA-YENI ESPERANZA PENA GUERRERO</v>
      </c>
      <c r="F9156" s="5"/>
      <c r="G9156" s="5"/>
    </row>
    <row r="9157" spans="1:7" ht="58.5" customHeight="1" x14ac:dyDescent="0.25">
      <c r="A9157" s="5" t="str">
        <f>"H0027031"</f>
        <v>H0027031</v>
      </c>
      <c r="B9157" s="5" t="str">
        <f>"MONITOR DE 5 PARAMETROS MARCA EDAN (DONACION)"</f>
        <v>MONITOR DE 5 PARAMETROS MARCA EDAN (DONACION)</v>
      </c>
      <c r="C9157" s="6">
        <v>6723500</v>
      </c>
      <c r="D9157" s="5" t="s">
        <v>460</v>
      </c>
      <c r="E9157" s="5" t="str">
        <f t="shared" si="468"/>
        <v>URGENCIAS PEDIATRIA-YENI ESPERANZA PENA GUERRERO</v>
      </c>
      <c r="F9157" s="5"/>
      <c r="G9157" s="5"/>
    </row>
    <row r="9158" spans="1:7" ht="58.5" customHeight="1" x14ac:dyDescent="0.25">
      <c r="A9158" s="5" t="str">
        <f>"H0027032"</f>
        <v>H0027032</v>
      </c>
      <c r="B9158" s="5" t="str">
        <f>"MONITOR DE 5 PARAMETROS MARCA EDAN (DONACION)"</f>
        <v>MONITOR DE 5 PARAMETROS MARCA EDAN (DONACION)</v>
      </c>
      <c r="C9158" s="6">
        <v>6723500</v>
      </c>
      <c r="D9158" s="5" t="s">
        <v>460</v>
      </c>
      <c r="E9158" s="5" t="str">
        <f t="shared" si="468"/>
        <v>URGENCIAS PEDIATRIA-YENI ESPERANZA PENA GUERRERO</v>
      </c>
      <c r="F9158" s="5"/>
      <c r="G9158" s="5"/>
    </row>
    <row r="9159" spans="1:7" ht="58.5" customHeight="1" x14ac:dyDescent="0.25">
      <c r="A9159" s="5" t="str">
        <f>"H0027034"</f>
        <v>H0027034</v>
      </c>
      <c r="B9159" s="5" t="str">
        <f>"MODULO INALAMBRICO (DONACION)"</f>
        <v>MODULO INALAMBRICO (DONACION)</v>
      </c>
      <c r="C9159" s="6">
        <v>297500</v>
      </c>
      <c r="D9159" s="5" t="s">
        <v>460</v>
      </c>
      <c r="E9159" s="5" t="str">
        <f t="shared" si="468"/>
        <v>URGENCIAS PEDIATRIA-YENI ESPERANZA PENA GUERRERO</v>
      </c>
      <c r="F9159" s="5"/>
      <c r="G9159" s="5"/>
    </row>
    <row r="9160" spans="1:7" ht="58.5" customHeight="1" x14ac:dyDescent="0.25">
      <c r="A9160" s="5" t="str">
        <f>"H0027035"</f>
        <v>H0027035</v>
      </c>
      <c r="B9160" s="5" t="str">
        <f>"MODULO INALAMBRICO (DONACION)"</f>
        <v>MODULO INALAMBRICO (DONACION)</v>
      </c>
      <c r="C9160" s="6">
        <v>297500</v>
      </c>
      <c r="D9160" s="5" t="s">
        <v>460</v>
      </c>
      <c r="E9160" s="5" t="str">
        <f t="shared" si="468"/>
        <v>URGENCIAS PEDIATRIA-YENI ESPERANZA PENA GUERRERO</v>
      </c>
      <c r="F9160" s="5"/>
      <c r="G9160" s="5"/>
    </row>
    <row r="9161" spans="1:7" ht="58.5" customHeight="1" x14ac:dyDescent="0.25">
      <c r="A9161" s="5" t="str">
        <f>"H0027036"</f>
        <v>H0027036</v>
      </c>
      <c r="B9161" s="5" t="str">
        <f>"MODULO INALAMBRICO (DONACION)"</f>
        <v>MODULO INALAMBRICO (DONACION)</v>
      </c>
      <c r="C9161" s="6">
        <v>297500</v>
      </c>
      <c r="D9161" s="5" t="s">
        <v>460</v>
      </c>
      <c r="E9161" s="5" t="str">
        <f t="shared" si="468"/>
        <v>URGENCIAS PEDIATRIA-YENI ESPERANZA PENA GUERRERO</v>
      </c>
      <c r="F9161" s="5"/>
      <c r="G9161" s="5"/>
    </row>
    <row r="9162" spans="1:7" ht="58.5" customHeight="1" x14ac:dyDescent="0.25">
      <c r="A9162" s="5" t="str">
        <f>"h0027039"</f>
        <v>h0027039</v>
      </c>
      <c r="B9162" s="5" t="str">
        <f>"MODULO INALAMBRICO (DONACION)"</f>
        <v>MODULO INALAMBRICO (DONACION)</v>
      </c>
      <c r="C9162" s="6">
        <v>297500</v>
      </c>
      <c r="D9162" s="5" t="s">
        <v>460</v>
      </c>
      <c r="E9162" s="5" t="str">
        <f t="shared" si="468"/>
        <v>URGENCIAS PEDIATRIA-YENI ESPERANZA PENA GUERRERO</v>
      </c>
      <c r="F9162" s="5"/>
      <c r="G9162" s="5"/>
    </row>
    <row r="9163" spans="1:7" ht="58.5" customHeight="1" x14ac:dyDescent="0.25">
      <c r="A9163" s="5" t="str">
        <f>"H0027041"</f>
        <v>H0027041</v>
      </c>
      <c r="B9163" s="5" t="str">
        <f>"COMPUTADOR TODO EN UNO MARCA LENOVO.SERIAL:8CC7430F4H (DONACION)"</f>
        <v>COMPUTADOR TODO EN UNO MARCA LENOVO.SERIAL:8CC7430F4H (DONACION)</v>
      </c>
      <c r="C9163" s="6">
        <v>3213000</v>
      </c>
      <c r="D9163" s="5" t="s">
        <v>460</v>
      </c>
      <c r="E9163" s="5" t="str">
        <f t="shared" si="468"/>
        <v>URGENCIAS PEDIATRIA-YENI ESPERANZA PENA GUERRERO</v>
      </c>
      <c r="F9163" s="5"/>
      <c r="G9163" s="5"/>
    </row>
    <row r="9164" spans="1:7" ht="58.5" customHeight="1" x14ac:dyDescent="0.25">
      <c r="A9164" s="5" t="str">
        <f>"H0027123"</f>
        <v>H0027123</v>
      </c>
      <c r="B9164" s="5" t="str">
        <f>"SOPORTE DE PARED (BRAZO) PARA MONITOR DE SIGNOS VITALES CON ALTURA VARIABLE Y ORGANIZADOR DE CABLES"</f>
        <v>SOPORTE DE PARED (BRAZO) PARA MONITOR DE SIGNOS VITALES CON ALTURA VARIABLE Y ORGANIZADOR DE CABLES</v>
      </c>
      <c r="C9164" s="6">
        <v>702100</v>
      </c>
      <c r="D9164" s="5" t="s">
        <v>81</v>
      </c>
      <c r="E9164" s="5" t="str">
        <f t="shared" si="468"/>
        <v>URGENCIAS PEDIATRIA-YENI ESPERANZA PENA GUERRERO</v>
      </c>
      <c r="F9164" s="5"/>
      <c r="G9164" s="5"/>
    </row>
    <row r="9165" spans="1:7" ht="58.5" customHeight="1" x14ac:dyDescent="0.25">
      <c r="A9165" s="5" t="str">
        <f>"H0027124"</f>
        <v>H0027124</v>
      </c>
      <c r="B9165" s="5" t="str">
        <f>"SOPORTE DE PARED (BRAZO) PARA MONITOR DE SIGNOS VITALES CON ALTURA VARIABLE Y ORGANIZADOR DE CABLES"</f>
        <v>SOPORTE DE PARED (BRAZO) PARA MONITOR DE SIGNOS VITALES CON ALTURA VARIABLE Y ORGANIZADOR DE CABLES</v>
      </c>
      <c r="C9165" s="6">
        <v>702100</v>
      </c>
      <c r="D9165" s="5" t="s">
        <v>81</v>
      </c>
      <c r="E9165" s="5" t="str">
        <f t="shared" si="468"/>
        <v>URGENCIAS PEDIATRIA-YENI ESPERANZA PENA GUERRERO</v>
      </c>
      <c r="F9165" s="5"/>
      <c r="G9165" s="5"/>
    </row>
    <row r="9166" spans="1:7" ht="58.5" customHeight="1" x14ac:dyDescent="0.25">
      <c r="A9166" s="5" t="str">
        <f>"H0027125"</f>
        <v>H0027125</v>
      </c>
      <c r="B9166" s="5" t="str">
        <f>"SOPORTE DE PARED (BRAZO) PARA MONITOR DE SIGNOS VITALES CON ALTURA VARIABLE Y ORGANIZADOR DE CABLES"</f>
        <v>SOPORTE DE PARED (BRAZO) PARA MONITOR DE SIGNOS VITALES CON ALTURA VARIABLE Y ORGANIZADOR DE CABLES</v>
      </c>
      <c r="C9166" s="6">
        <v>702100</v>
      </c>
      <c r="D9166" s="5" t="s">
        <v>81</v>
      </c>
      <c r="E9166" s="5" t="str">
        <f t="shared" si="468"/>
        <v>URGENCIAS PEDIATRIA-YENI ESPERANZA PENA GUERRERO</v>
      </c>
      <c r="F9166" s="5"/>
      <c r="G9166" s="5"/>
    </row>
    <row r="9167" spans="1:7" ht="58.5" customHeight="1" x14ac:dyDescent="0.25">
      <c r="A9167" s="5" t="str">
        <f>"H0027126"</f>
        <v>H0027126</v>
      </c>
      <c r="B9167" s="5" t="str">
        <f>"SOPORTE DE PARED (BRAZO) PARA MONITOR DE SIGNOS VITALES CON ALTURA VARIABLE Y ORGANIZADOR DE CABLES"</f>
        <v>SOPORTE DE PARED (BRAZO) PARA MONITOR DE SIGNOS VITALES CON ALTURA VARIABLE Y ORGANIZADOR DE CABLES</v>
      </c>
      <c r="C9167" s="6">
        <v>702100</v>
      </c>
      <c r="D9167" s="5" t="s">
        <v>81</v>
      </c>
      <c r="E9167" s="5" t="str">
        <f t="shared" si="468"/>
        <v>URGENCIAS PEDIATRIA-YENI ESPERANZA PENA GUERRERO</v>
      </c>
      <c r="F9167" s="5"/>
      <c r="G9167" s="5"/>
    </row>
    <row r="9168" spans="1:7" ht="58.5" customHeight="1" x14ac:dyDescent="0.25">
      <c r="A9168" s="5" t="str">
        <f>"H0027388"</f>
        <v>H0027388</v>
      </c>
      <c r="B9168" s="5" t="str">
        <f>"TAMDEN (SILLAS) EN ACERO COLOR AZUL 4 PUESTOS"</f>
        <v>TAMDEN (SILLAS) EN ACERO COLOR AZUL 4 PUESTOS</v>
      </c>
      <c r="C9168" s="6">
        <v>825000</v>
      </c>
      <c r="D9168" s="5" t="s">
        <v>84</v>
      </c>
      <c r="E9168" s="5" t="str">
        <f t="shared" si="468"/>
        <v>URGENCIAS PEDIATRIA-YENI ESPERANZA PENA GUERRERO</v>
      </c>
      <c r="F9168" s="5"/>
      <c r="G9168" s="5"/>
    </row>
    <row r="9169" spans="1:7" ht="58.5" customHeight="1" x14ac:dyDescent="0.25">
      <c r="A9169" s="5" t="str">
        <f>"H0027389"</f>
        <v>H0027389</v>
      </c>
      <c r="B9169" s="5" t="str">
        <f>"TAMDEN (SILLAS) EN ACERO COLOR AZUL 4 PUESTOS"</f>
        <v>TAMDEN (SILLAS) EN ACERO COLOR AZUL 4 PUESTOS</v>
      </c>
      <c r="C9169" s="6">
        <v>825000</v>
      </c>
      <c r="D9169" s="5" t="s">
        <v>84</v>
      </c>
      <c r="E9169" s="5" t="str">
        <f t="shared" si="468"/>
        <v>URGENCIAS PEDIATRIA-YENI ESPERANZA PENA GUERRERO</v>
      </c>
      <c r="F9169" s="5"/>
      <c r="G9169" s="5"/>
    </row>
    <row r="9170" spans="1:7" ht="58.5" customHeight="1" x14ac:dyDescent="0.25">
      <c r="A9170" s="5" t="str">
        <f>"H0027390"</f>
        <v>H0027390</v>
      </c>
      <c r="B9170" s="5" t="str">
        <f>"TAMDEN (SILLAS) EN ACERO COLOR AZUL 4 PUESTOS"</f>
        <v>TAMDEN (SILLAS) EN ACERO COLOR AZUL 4 PUESTOS</v>
      </c>
      <c r="C9170" s="6">
        <v>825000</v>
      </c>
      <c r="D9170" s="5" t="s">
        <v>84</v>
      </c>
      <c r="E9170" s="5" t="str">
        <f t="shared" si="468"/>
        <v>URGENCIAS PEDIATRIA-YENI ESPERANZA PENA GUERRERO</v>
      </c>
      <c r="F9170" s="5"/>
      <c r="G9170" s="5"/>
    </row>
    <row r="9171" spans="1:7" ht="58.5" customHeight="1" x14ac:dyDescent="0.25">
      <c r="A9171" s="5" t="str">
        <f>"H0027391"</f>
        <v>H0027391</v>
      </c>
      <c r="B9171" s="5" t="str">
        <f>"TAMDEN (SILLAS) EN ACERO COLOR AZUL 4 PUESTOS"</f>
        <v>TAMDEN (SILLAS) EN ACERO COLOR AZUL 4 PUESTOS</v>
      </c>
      <c r="C9171" s="6">
        <v>825000</v>
      </c>
      <c r="D9171" s="5" t="s">
        <v>84</v>
      </c>
      <c r="E9171" s="5" t="str">
        <f t="shared" si="468"/>
        <v>URGENCIAS PEDIATRIA-YENI ESPERANZA PENA GUERRERO</v>
      </c>
      <c r="F9171" s="5"/>
      <c r="G9171" s="5"/>
    </row>
    <row r="9172" spans="1:7" ht="58.5" customHeight="1" x14ac:dyDescent="0.25">
      <c r="A9172" s="5" t="str">
        <f>"H0027509"</f>
        <v>H0027509</v>
      </c>
      <c r="B9172" s="5" t="str">
        <f t="shared" ref="B9172:B9179" si="469">"LECTOR DE HUELLAS DIGITALES"</f>
        <v>LECTOR DE HUELLAS DIGITALES</v>
      </c>
      <c r="C9172" s="6">
        <v>234000.41</v>
      </c>
      <c r="D9172" s="5" t="s">
        <v>83</v>
      </c>
      <c r="E9172" s="5" t="str">
        <f t="shared" si="468"/>
        <v>URGENCIAS PEDIATRIA-YENI ESPERANZA PENA GUERRERO</v>
      </c>
      <c r="F9172" s="5"/>
      <c r="G9172" s="5"/>
    </row>
    <row r="9173" spans="1:7" ht="58.5" customHeight="1" x14ac:dyDescent="0.25">
      <c r="A9173" s="5" t="str">
        <f>"H0027512"</f>
        <v>H0027512</v>
      </c>
      <c r="B9173" s="5" t="str">
        <f t="shared" si="469"/>
        <v>LECTOR DE HUELLAS DIGITALES</v>
      </c>
      <c r="C9173" s="6">
        <v>234000.41</v>
      </c>
      <c r="D9173" s="5" t="s">
        <v>83</v>
      </c>
      <c r="E9173" s="5" t="str">
        <f t="shared" si="468"/>
        <v>URGENCIAS PEDIATRIA-YENI ESPERANZA PENA GUERRERO</v>
      </c>
      <c r="F9173" s="5"/>
      <c r="G9173" s="5"/>
    </row>
    <row r="9174" spans="1:7" ht="58.5" customHeight="1" x14ac:dyDescent="0.25">
      <c r="A9174" s="5" t="str">
        <f>"H0027513"</f>
        <v>H0027513</v>
      </c>
      <c r="B9174" s="5" t="str">
        <f t="shared" si="469"/>
        <v>LECTOR DE HUELLAS DIGITALES</v>
      </c>
      <c r="C9174" s="6">
        <v>234000.41</v>
      </c>
      <c r="D9174" s="5" t="s">
        <v>83</v>
      </c>
      <c r="E9174" s="5" t="str">
        <f t="shared" si="468"/>
        <v>URGENCIAS PEDIATRIA-YENI ESPERANZA PENA GUERRERO</v>
      </c>
      <c r="F9174" s="5"/>
      <c r="G9174" s="5"/>
    </row>
    <row r="9175" spans="1:7" ht="58.5" customHeight="1" x14ac:dyDescent="0.25">
      <c r="A9175" s="5" t="str">
        <f>"H0027515"</f>
        <v>H0027515</v>
      </c>
      <c r="B9175" s="5" t="str">
        <f t="shared" si="469"/>
        <v>LECTOR DE HUELLAS DIGITALES</v>
      </c>
      <c r="C9175" s="6">
        <v>234000.41</v>
      </c>
      <c r="D9175" s="5" t="s">
        <v>83</v>
      </c>
      <c r="E9175" s="5" t="str">
        <f t="shared" si="468"/>
        <v>URGENCIAS PEDIATRIA-YENI ESPERANZA PENA GUERRERO</v>
      </c>
      <c r="F9175" s="5"/>
      <c r="G9175" s="5"/>
    </row>
    <row r="9176" spans="1:7" ht="58.5" customHeight="1" x14ac:dyDescent="0.25">
      <c r="A9176" s="5" t="str">
        <f>"H0027517"</f>
        <v>H0027517</v>
      </c>
      <c r="B9176" s="5" t="str">
        <f t="shared" si="469"/>
        <v>LECTOR DE HUELLAS DIGITALES</v>
      </c>
      <c r="C9176" s="6">
        <v>234000.41</v>
      </c>
      <c r="D9176" s="5" t="s">
        <v>83</v>
      </c>
      <c r="E9176" s="5" t="str">
        <f t="shared" si="468"/>
        <v>URGENCIAS PEDIATRIA-YENI ESPERANZA PENA GUERRERO</v>
      </c>
      <c r="F9176" s="5"/>
      <c r="G9176" s="5"/>
    </row>
    <row r="9177" spans="1:7" ht="58.5" customHeight="1" x14ac:dyDescent="0.25">
      <c r="A9177" s="5" t="str">
        <f>"H0027518"</f>
        <v>H0027518</v>
      </c>
      <c r="B9177" s="5" t="str">
        <f t="shared" si="469"/>
        <v>LECTOR DE HUELLAS DIGITALES</v>
      </c>
      <c r="C9177" s="6">
        <v>234000.41</v>
      </c>
      <c r="D9177" s="5" t="s">
        <v>83</v>
      </c>
      <c r="E9177" s="5" t="str">
        <f t="shared" si="468"/>
        <v>URGENCIAS PEDIATRIA-YENI ESPERANZA PENA GUERRERO</v>
      </c>
      <c r="F9177" s="5"/>
      <c r="G9177" s="5"/>
    </row>
    <row r="9178" spans="1:7" ht="58.5" customHeight="1" x14ac:dyDescent="0.25">
      <c r="A9178" s="5" t="str">
        <f>"H0027519"</f>
        <v>H0027519</v>
      </c>
      <c r="B9178" s="5" t="str">
        <f t="shared" si="469"/>
        <v>LECTOR DE HUELLAS DIGITALES</v>
      </c>
      <c r="C9178" s="6">
        <v>234000.41</v>
      </c>
      <c r="D9178" s="5" t="s">
        <v>83</v>
      </c>
      <c r="E9178" s="5" t="str">
        <f t="shared" si="468"/>
        <v>URGENCIAS PEDIATRIA-YENI ESPERANZA PENA GUERRERO</v>
      </c>
      <c r="F9178" s="5"/>
      <c r="G9178" s="5"/>
    </row>
    <row r="9179" spans="1:7" ht="58.5" customHeight="1" x14ac:dyDescent="0.25">
      <c r="A9179" s="5" t="str">
        <f>"H0027520"</f>
        <v>H0027520</v>
      </c>
      <c r="B9179" s="5" t="str">
        <f t="shared" si="469"/>
        <v>LECTOR DE HUELLAS DIGITALES</v>
      </c>
      <c r="C9179" s="6">
        <v>234000.41</v>
      </c>
      <c r="D9179" s="5" t="s">
        <v>83</v>
      </c>
      <c r="E9179" s="5" t="str">
        <f t="shared" si="468"/>
        <v>URGENCIAS PEDIATRIA-YENI ESPERANZA PENA GUERRERO</v>
      </c>
      <c r="F9179" s="5"/>
      <c r="G9179" s="5"/>
    </row>
    <row r="9180" spans="1:7" ht="58.5" customHeight="1" x14ac:dyDescent="0.25">
      <c r="A9180" s="5" t="str">
        <f>"H0028595"</f>
        <v>H0028595</v>
      </c>
      <c r="B9180" s="5" t="str">
        <f>"MESA METALICA PARA COMPUTADOR"</f>
        <v>MESA METALICA PARA COMPUTADOR</v>
      </c>
      <c r="C9180" s="6">
        <v>447261.5</v>
      </c>
      <c r="D9180" s="5" t="s">
        <v>248</v>
      </c>
      <c r="E9180" s="5" t="str">
        <f t="shared" si="468"/>
        <v>URGENCIAS PEDIATRIA-YENI ESPERANZA PENA GUERRERO</v>
      </c>
      <c r="F9180" s="5"/>
      <c r="G9180" s="5"/>
    </row>
    <row r="9181" spans="1:7" ht="58.5" customHeight="1" x14ac:dyDescent="0.25">
      <c r="A9181" s="5" t="str">
        <f>"H0028784"</f>
        <v>H0028784</v>
      </c>
      <c r="B9181" s="5" t="str">
        <f>"SILLA HERGONOMICA CON SISTEMA HIDRAULICO"</f>
        <v>SILLA HERGONOMICA CON SISTEMA HIDRAULICO</v>
      </c>
      <c r="C9181" s="6">
        <v>174900</v>
      </c>
      <c r="D9181" s="5" t="s">
        <v>39</v>
      </c>
      <c r="E9181" s="5" t="str">
        <f t="shared" si="468"/>
        <v>URGENCIAS PEDIATRIA-YENI ESPERANZA PENA GUERRERO</v>
      </c>
      <c r="F9181" s="5"/>
      <c r="G9181" s="5"/>
    </row>
    <row r="9182" spans="1:7" ht="58.5" customHeight="1" x14ac:dyDescent="0.25">
      <c r="A9182" s="5" t="str">
        <f>"H0028792"</f>
        <v>H0028792</v>
      </c>
      <c r="B9182" s="5" t="str">
        <f>"SILLA HERGONOMICA CON SISTEMA HIDRAULICO"</f>
        <v>SILLA HERGONOMICA CON SISTEMA HIDRAULICO</v>
      </c>
      <c r="C9182" s="6">
        <v>174900</v>
      </c>
      <c r="D9182" s="5" t="s">
        <v>39</v>
      </c>
      <c r="E9182" s="5" t="str">
        <f t="shared" si="468"/>
        <v>URGENCIAS PEDIATRIA-YENI ESPERANZA PENA GUERRERO</v>
      </c>
      <c r="F9182" s="5"/>
      <c r="G9182" s="5"/>
    </row>
    <row r="9183" spans="1:7" ht="58.5" customHeight="1" x14ac:dyDescent="0.25">
      <c r="A9183" s="5" t="str">
        <f>"H0029134"</f>
        <v>H0029134</v>
      </c>
      <c r="B918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183" s="6">
        <v>2902000</v>
      </c>
      <c r="D9183" s="5" t="s">
        <v>13</v>
      </c>
      <c r="E9183" s="5" t="str">
        <f t="shared" si="468"/>
        <v>URGENCIAS PEDIATRIA-YENI ESPERANZA PENA GUERRERO</v>
      </c>
      <c r="F9183" s="5"/>
      <c r="G9183" s="5"/>
    </row>
    <row r="9184" spans="1:7" ht="58.5" customHeight="1" x14ac:dyDescent="0.25">
      <c r="A9184" s="5" t="str">
        <f>"H0029154"</f>
        <v>H0029154</v>
      </c>
      <c r="B9184"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9184" s="6">
        <v>2425000</v>
      </c>
      <c r="D9184" s="5" t="s">
        <v>13</v>
      </c>
      <c r="E9184" s="5" t="str">
        <f t="shared" si="468"/>
        <v>URGENCIAS PEDIATRIA-YENI ESPERANZA PENA GUERRERO</v>
      </c>
      <c r="F9184" s="5"/>
      <c r="G9184" s="5"/>
    </row>
    <row r="9185" spans="1:7" ht="58.5" customHeight="1" x14ac:dyDescent="0.25">
      <c r="A9185" s="5" t="str">
        <f>"H0029457"</f>
        <v>H0029457</v>
      </c>
      <c r="B9185" s="5" t="str">
        <f>"LECTOR DE HUELLAS DIGITALES"</f>
        <v>LECTOR DE HUELLAS DIGITALES</v>
      </c>
      <c r="C9185" s="6">
        <v>309400</v>
      </c>
      <c r="D9185" s="5" t="s">
        <v>14</v>
      </c>
      <c r="E9185" s="5" t="str">
        <f t="shared" si="468"/>
        <v>URGENCIAS PEDIATRIA-YENI ESPERANZA PENA GUERRERO</v>
      </c>
      <c r="F9185" s="5"/>
      <c r="G9185" s="5"/>
    </row>
    <row r="9186" spans="1:7" ht="58.5" customHeight="1" x14ac:dyDescent="0.25">
      <c r="A9186" s="5" t="str">
        <f>"H0029465"</f>
        <v>H0029465</v>
      </c>
      <c r="B9186" s="5" t="str">
        <f>"LECTOR DE HUELLAS DIGITALES"</f>
        <v>LECTOR DE HUELLAS DIGITALES</v>
      </c>
      <c r="C9186" s="6">
        <v>309400</v>
      </c>
      <c r="D9186" s="5" t="s">
        <v>14</v>
      </c>
      <c r="E9186" s="5" t="str">
        <f t="shared" si="468"/>
        <v>URGENCIAS PEDIATRIA-YENI ESPERANZA PENA GUERRERO</v>
      </c>
      <c r="F9186" s="5"/>
      <c r="G9186" s="5"/>
    </row>
    <row r="9187" spans="1:7" ht="58.5" customHeight="1" x14ac:dyDescent="0.25">
      <c r="A9187" s="5" t="str">
        <f>"H0029503"</f>
        <v>H0029503</v>
      </c>
      <c r="B918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87" s="6">
        <v>257040</v>
      </c>
      <c r="D9187" s="5" t="s">
        <v>14</v>
      </c>
      <c r="E9187" s="5" t="str">
        <f t="shared" si="468"/>
        <v>URGENCIAS PEDIATRIA-YENI ESPERANZA PENA GUERRERO</v>
      </c>
      <c r="F9187" s="5"/>
      <c r="G9187" s="5"/>
    </row>
    <row r="9188" spans="1:7" ht="58.5" customHeight="1" x14ac:dyDescent="0.25">
      <c r="A9188" s="5" t="str">
        <f>"H0029504"</f>
        <v>H0029504</v>
      </c>
      <c r="B918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88" s="6">
        <v>257040</v>
      </c>
      <c r="D9188" s="5" t="s">
        <v>14</v>
      </c>
      <c r="E9188" s="5" t="str">
        <f t="shared" si="468"/>
        <v>URGENCIAS PEDIATRIA-YENI ESPERANZA PENA GUERRERO</v>
      </c>
      <c r="F9188" s="5"/>
      <c r="G9188" s="5"/>
    </row>
    <row r="9189" spans="1:7" ht="58.5" customHeight="1" x14ac:dyDescent="0.25">
      <c r="A9189" s="5" t="str">
        <f>"H0029505"</f>
        <v>H0029505</v>
      </c>
      <c r="B918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189" s="6">
        <v>257040</v>
      </c>
      <c r="D9189" s="5" t="s">
        <v>14</v>
      </c>
      <c r="E9189" s="5" t="str">
        <f t="shared" si="468"/>
        <v>URGENCIAS PEDIATRIA-YENI ESPERANZA PENA GUERRERO</v>
      </c>
      <c r="F9189" s="5"/>
      <c r="G9189" s="5"/>
    </row>
    <row r="9190" spans="1:7" ht="58.5" customHeight="1" x14ac:dyDescent="0.25">
      <c r="A9190" s="5" t="str">
        <f>"H0029744"</f>
        <v>H0029744</v>
      </c>
      <c r="B9190" s="5" t="s">
        <v>94</v>
      </c>
      <c r="C9190" s="6">
        <v>148999.9</v>
      </c>
      <c r="D9190" s="5" t="s">
        <v>93</v>
      </c>
      <c r="E9190" s="5" t="str">
        <f t="shared" si="468"/>
        <v>URGENCIAS PEDIATRIA-YENI ESPERANZA PENA GUERRERO</v>
      </c>
      <c r="F9190" s="5"/>
      <c r="G9190" s="5"/>
    </row>
    <row r="9191" spans="1:7" ht="58.5" customHeight="1" x14ac:dyDescent="0.25">
      <c r="A9191" s="5" t="str">
        <f>"H0029745"</f>
        <v>H0029745</v>
      </c>
      <c r="B9191" s="5" t="s">
        <v>94</v>
      </c>
      <c r="C9191" s="6">
        <v>148999.9</v>
      </c>
      <c r="D9191" s="5" t="s">
        <v>93</v>
      </c>
      <c r="E9191" s="5" t="str">
        <f t="shared" si="468"/>
        <v>URGENCIAS PEDIATRIA-YENI ESPERANZA PENA GUERRERO</v>
      </c>
      <c r="F9191" s="5"/>
      <c r="G9191" s="5"/>
    </row>
    <row r="9192" spans="1:7" ht="58.5" customHeight="1" x14ac:dyDescent="0.25">
      <c r="A9192" s="5" t="str">
        <f>"H0029746"</f>
        <v>H0029746</v>
      </c>
      <c r="B9192" s="5" t="s">
        <v>94</v>
      </c>
      <c r="C9192" s="6">
        <v>148999.9</v>
      </c>
      <c r="D9192" s="5" t="s">
        <v>93</v>
      </c>
      <c r="E9192" s="5" t="str">
        <f t="shared" si="468"/>
        <v>URGENCIAS PEDIATRIA-YENI ESPERANZA PENA GUERRERO</v>
      </c>
      <c r="F9192" s="5"/>
      <c r="G9192" s="5"/>
    </row>
    <row r="9193" spans="1:7" ht="58.5" customHeight="1" x14ac:dyDescent="0.25">
      <c r="A9193" s="5" t="str">
        <f>"H0029839"</f>
        <v>H0029839</v>
      </c>
      <c r="B9193" s="5" t="str">
        <f>"INCUBADORA DE COLOR RADIANTE (ROTACION CALENTADOR, INCLINACION 15°, SEMIAUTOMATICA  VIVOLIGHT)"</f>
        <v>INCUBADORA DE COLOR RADIANTE (ROTACION CALENTADOR, INCLINACION 15°, SEMIAUTOMATICA  VIVOLIGHT)</v>
      </c>
      <c r="C9193" s="6">
        <v>50331050</v>
      </c>
      <c r="D9193" s="5" t="s">
        <v>522</v>
      </c>
      <c r="E9193" s="5" t="str">
        <f t="shared" si="468"/>
        <v>URGENCIAS PEDIATRIA-YENI ESPERANZA PENA GUERRERO</v>
      </c>
      <c r="F9193" s="5"/>
      <c r="G9193" s="5"/>
    </row>
    <row r="9194" spans="1:7" ht="58.5" customHeight="1" x14ac:dyDescent="0.25">
      <c r="A9194" s="5" t="str">
        <f>"h0029851"</f>
        <v>h0029851</v>
      </c>
      <c r="B9194" s="5" t="str">
        <f>"CARRO MOVIL PARA COMPUTADOR PORTATIL CON CANASTA"</f>
        <v>CARRO MOVIL PARA COMPUTADOR PORTATIL CON CANASTA</v>
      </c>
      <c r="C9194" s="6">
        <v>420000</v>
      </c>
      <c r="D9194" s="5" t="s">
        <v>313</v>
      </c>
      <c r="E9194" s="5" t="str">
        <f t="shared" si="468"/>
        <v>URGENCIAS PEDIATRIA-YENI ESPERANZA PENA GUERRERO</v>
      </c>
      <c r="F9194" s="5"/>
      <c r="G9194" s="5"/>
    </row>
    <row r="9195" spans="1:7" ht="58.5" customHeight="1" x14ac:dyDescent="0.25">
      <c r="A9195" s="5" t="str">
        <f>"H0029852"</f>
        <v>H0029852</v>
      </c>
      <c r="B9195" s="5" t="str">
        <f>"CARRO MOVIL PARA COMPUTADOR PORTATIL CON CANASTA"</f>
        <v>CARRO MOVIL PARA COMPUTADOR PORTATIL CON CANASTA</v>
      </c>
      <c r="C9195" s="6">
        <v>420000</v>
      </c>
      <c r="D9195" s="5" t="s">
        <v>313</v>
      </c>
      <c r="E9195" s="5" t="str">
        <f t="shared" si="468"/>
        <v>URGENCIAS PEDIATRIA-YENI ESPERANZA PENA GUERRERO</v>
      </c>
      <c r="F9195" s="5"/>
      <c r="G9195" s="5"/>
    </row>
    <row r="9196" spans="1:7" ht="58.5" customHeight="1" x14ac:dyDescent="0.25">
      <c r="A9196" s="5" t="str">
        <f>"H0029868"</f>
        <v>H0029868</v>
      </c>
      <c r="B9196" s="5" t="str">
        <f>"CARTELERA EN ACRILICO CRISTAL 4mm, CON BASE MDF DE 12mm INSTALADA CON DILATADORES EN ACERO"</f>
        <v>CARTELERA EN ACRILICO CRISTAL 4mm, CON BASE MDF DE 12mm INSTALADA CON DILATADORES EN ACERO</v>
      </c>
      <c r="C9196" s="6">
        <v>750000</v>
      </c>
      <c r="D9196" s="5" t="s">
        <v>225</v>
      </c>
      <c r="E9196" s="5" t="str">
        <f t="shared" si="468"/>
        <v>URGENCIAS PEDIATRIA-YENI ESPERANZA PENA GUERRERO</v>
      </c>
      <c r="F9196" s="5"/>
      <c r="G9196" s="5"/>
    </row>
    <row r="9197" spans="1:7" ht="58.5" customHeight="1" x14ac:dyDescent="0.25">
      <c r="A9197" s="5" t="str">
        <f>"H0029941"</f>
        <v>H0029941</v>
      </c>
      <c r="B9197" s="5" t="s">
        <v>273</v>
      </c>
      <c r="C9197" s="6">
        <v>2010000</v>
      </c>
      <c r="D9197" s="5" t="s">
        <v>225</v>
      </c>
      <c r="E9197" s="5" t="str">
        <f t="shared" si="468"/>
        <v>URGENCIAS PEDIATRIA-YENI ESPERANZA PENA GUERRERO</v>
      </c>
      <c r="F9197" s="5"/>
      <c r="G9197" s="5"/>
    </row>
    <row r="9198" spans="1:7" ht="58.5" customHeight="1" x14ac:dyDescent="0.25">
      <c r="A9198" s="5" t="str">
        <f>"H0029942"</f>
        <v>H0029942</v>
      </c>
      <c r="B9198" s="5" t="s">
        <v>273</v>
      </c>
      <c r="C9198" s="6">
        <v>2010000</v>
      </c>
      <c r="D9198" s="5" t="s">
        <v>466</v>
      </c>
      <c r="E9198" s="5" t="str">
        <f t="shared" si="468"/>
        <v>URGENCIAS PEDIATRIA-YENI ESPERANZA PENA GUERRERO</v>
      </c>
      <c r="F9198" s="5"/>
      <c r="G9198" s="5"/>
    </row>
    <row r="9199" spans="1:7" ht="58.5" customHeight="1" x14ac:dyDescent="0.25">
      <c r="A9199" s="5" t="str">
        <f>"H0029948"</f>
        <v>H0029948</v>
      </c>
      <c r="B9199" s="5" t="str">
        <f>"ESET SMALL OFFICE SECURITY 1 AÑO"</f>
        <v>ESET SMALL OFFICE SECURITY 1 AÑO</v>
      </c>
      <c r="C9199" s="6">
        <v>50000</v>
      </c>
      <c r="D9199" s="5" t="s">
        <v>225</v>
      </c>
      <c r="E9199" s="5" t="str">
        <f t="shared" si="468"/>
        <v>URGENCIAS PEDIATRIA-YENI ESPERANZA PENA GUERRERO</v>
      </c>
      <c r="F9199" s="5"/>
      <c r="G9199" s="5"/>
    </row>
    <row r="9200" spans="1:7" ht="58.5" customHeight="1" x14ac:dyDescent="0.25">
      <c r="A9200" s="5" t="str">
        <f>"H0029949"</f>
        <v>H0029949</v>
      </c>
      <c r="B9200" s="5" t="str">
        <f>"ESET SMALL OFFICE SECURITY 1 AÑO"</f>
        <v>ESET SMALL OFFICE SECURITY 1 AÑO</v>
      </c>
      <c r="C9200" s="6">
        <v>50000</v>
      </c>
      <c r="D9200" s="5" t="s">
        <v>225</v>
      </c>
      <c r="E9200" s="5" t="str">
        <f t="shared" si="468"/>
        <v>URGENCIAS PEDIATRIA-YENI ESPERANZA PENA GUERRERO</v>
      </c>
      <c r="F9200" s="5"/>
      <c r="G9200" s="5"/>
    </row>
    <row r="9201" spans="1:7" ht="58.5" customHeight="1" x14ac:dyDescent="0.25">
      <c r="A9201" s="5" t="str">
        <f>"H0029955"</f>
        <v>H0029955</v>
      </c>
      <c r="B9201" s="5" t="str">
        <f>"MEMORIA 4GB DDR4 2400MHz SODIMM"</f>
        <v>MEMORIA 4GB DDR4 2400MHz SODIMM</v>
      </c>
      <c r="C9201" s="6">
        <v>110000</v>
      </c>
      <c r="D9201" s="5" t="s">
        <v>225</v>
      </c>
      <c r="E9201" s="5" t="str">
        <f t="shared" si="468"/>
        <v>URGENCIAS PEDIATRIA-YENI ESPERANZA PENA GUERRERO</v>
      </c>
      <c r="F9201" s="5"/>
      <c r="G9201" s="5"/>
    </row>
    <row r="9202" spans="1:7" ht="58.5" customHeight="1" x14ac:dyDescent="0.25">
      <c r="A9202" s="5" t="str">
        <f>"H0029956"</f>
        <v>H0029956</v>
      </c>
      <c r="B9202" s="5" t="str">
        <f>"MEMORIA 4GB DDR4 2400MHz SODIMM"</f>
        <v>MEMORIA 4GB DDR4 2400MHz SODIMM</v>
      </c>
      <c r="C9202" s="6">
        <v>110000</v>
      </c>
      <c r="D9202" s="5" t="s">
        <v>225</v>
      </c>
      <c r="E9202" s="5" t="str">
        <f t="shared" si="468"/>
        <v>URGENCIAS PEDIATRIA-YENI ESPERANZA PENA GUERRERO</v>
      </c>
      <c r="F9202" s="5"/>
      <c r="G9202" s="5"/>
    </row>
    <row r="9203" spans="1:7" ht="58.5" customHeight="1" x14ac:dyDescent="0.25">
      <c r="A9203" s="5" t="str">
        <f>"H0029963"</f>
        <v>H0029963</v>
      </c>
      <c r="B9203" s="5" t="str">
        <f>"ESET SMALL OFFICE SECURITY 1 AÑO"</f>
        <v>ESET SMALL OFFICE SECURITY 1 AÑO</v>
      </c>
      <c r="C9203" s="6">
        <v>810000</v>
      </c>
      <c r="D9203" s="5" t="s">
        <v>225</v>
      </c>
      <c r="E9203" s="5" t="str">
        <f t="shared" si="468"/>
        <v>URGENCIAS PEDIATRIA-YENI ESPERANZA PENA GUERRERO</v>
      </c>
      <c r="F9203" s="5"/>
      <c r="G9203" s="5"/>
    </row>
    <row r="9204" spans="1:7" ht="58.5" customHeight="1" x14ac:dyDescent="0.25">
      <c r="A9204" s="5" t="str">
        <f>"H0029964"</f>
        <v>H0029964</v>
      </c>
      <c r="B9204" s="5" t="str">
        <f>"ESET SMALL OFFICE SECURITY 1 AÑO"</f>
        <v>ESET SMALL OFFICE SECURITY 1 AÑO</v>
      </c>
      <c r="C9204" s="6">
        <v>810000</v>
      </c>
      <c r="D9204" s="5" t="s">
        <v>225</v>
      </c>
      <c r="E9204" s="5" t="str">
        <f t="shared" si="468"/>
        <v>URGENCIAS PEDIATRIA-YENI ESPERANZA PENA GUERRERO</v>
      </c>
      <c r="F9204" s="5"/>
      <c r="G9204" s="5"/>
    </row>
    <row r="9205" spans="1:7" ht="58.5" customHeight="1" x14ac:dyDescent="0.25">
      <c r="A9205" s="5" t="str">
        <f>"H0030001"</f>
        <v>H0030001</v>
      </c>
      <c r="B9205" s="5" t="str">
        <f>"PARLANTE IP FULL DUPLEX PoE"</f>
        <v>PARLANTE IP FULL DUPLEX PoE</v>
      </c>
      <c r="C9205" s="6">
        <v>636928</v>
      </c>
      <c r="D9205" s="5" t="s">
        <v>225</v>
      </c>
      <c r="E9205" s="5" t="str">
        <f t="shared" si="468"/>
        <v>URGENCIAS PEDIATRIA-YENI ESPERANZA PENA GUERRERO</v>
      </c>
      <c r="F9205" s="5"/>
      <c r="G9205" s="5"/>
    </row>
    <row r="9206" spans="1:7" ht="58.5" customHeight="1" x14ac:dyDescent="0.25">
      <c r="A9206" s="5" t="str">
        <f>"H0030002"</f>
        <v>H0030002</v>
      </c>
      <c r="B9206" s="5" t="str">
        <f>"PARLANTE IP FULL DUPLEX PoE"</f>
        <v>PARLANTE IP FULL DUPLEX PoE</v>
      </c>
      <c r="C9206" s="6">
        <v>636928</v>
      </c>
      <c r="D9206" s="5" t="s">
        <v>225</v>
      </c>
      <c r="E9206" s="5" t="str">
        <f t="shared" si="468"/>
        <v>URGENCIAS PEDIATRIA-YENI ESPERANZA PENA GUERRERO</v>
      </c>
      <c r="F9206" s="5"/>
      <c r="G9206" s="5"/>
    </row>
    <row r="9207" spans="1:7" ht="58.5" customHeight="1" x14ac:dyDescent="0.25">
      <c r="A9207" s="5" t="str">
        <f>"H0030211"</f>
        <v>H0030211</v>
      </c>
      <c r="B9207" s="5" t="str">
        <f>"SUCCIONADOR YX980D QYUIRUGICO, 80LTS/MIN.SMAF"</f>
        <v>SUCCIONADOR YX980D QYUIRUGICO, 80LTS/MIN.SMAF</v>
      </c>
      <c r="C9207" s="6">
        <v>4748100</v>
      </c>
      <c r="D9207" s="5" t="s">
        <v>315</v>
      </c>
      <c r="E9207" s="5" t="str">
        <f t="shared" si="468"/>
        <v>URGENCIAS PEDIATRIA-YENI ESPERANZA PENA GUERRERO</v>
      </c>
      <c r="F9207" s="5"/>
      <c r="G9207" s="5" t="str">
        <f>"YX980D"</f>
        <v>YX980D</v>
      </c>
    </row>
    <row r="9208" spans="1:7" ht="58.5" customHeight="1" x14ac:dyDescent="0.25">
      <c r="A9208" s="5" t="str">
        <f>"H0031199"</f>
        <v>H0031199</v>
      </c>
      <c r="B920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208" s="6">
        <v>246036.99</v>
      </c>
      <c r="D9208" s="5" t="s">
        <v>103</v>
      </c>
      <c r="E9208" s="5" t="str">
        <f t="shared" si="468"/>
        <v>URGENCIAS PEDIATRIA-YENI ESPERANZA PENA GUERRERO</v>
      </c>
      <c r="F9208" s="5"/>
      <c r="G9208" s="5"/>
    </row>
    <row r="9209" spans="1:7" ht="58.5" customHeight="1" x14ac:dyDescent="0.25">
      <c r="A9209" s="5" t="str">
        <f>"H0031201"</f>
        <v>H0031201</v>
      </c>
      <c r="B920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209" s="6">
        <v>246036.99</v>
      </c>
      <c r="D9209" s="5" t="s">
        <v>103</v>
      </c>
      <c r="E9209" s="5" t="str">
        <f t="shared" si="468"/>
        <v>URGENCIAS PEDIATRIA-YENI ESPERANZA PENA GUERRERO</v>
      </c>
      <c r="F9209" s="5"/>
      <c r="G9209" s="5"/>
    </row>
    <row r="9210" spans="1:7" ht="58.5" customHeight="1" x14ac:dyDescent="0.25">
      <c r="A9210" s="5" t="str">
        <f>"H0031404"</f>
        <v>H0031404</v>
      </c>
      <c r="B9210"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210" s="6">
        <v>1939700</v>
      </c>
      <c r="D9210" s="5" t="s">
        <v>473</v>
      </c>
      <c r="E9210" s="5" t="str">
        <f t="shared" si="468"/>
        <v>URGENCIAS PEDIATRIA-YENI ESPERANZA PENA GUERRERO</v>
      </c>
      <c r="F9210" s="5"/>
      <c r="G9210" s="5"/>
    </row>
    <row r="9211" spans="1:7" ht="58.5" customHeight="1" x14ac:dyDescent="0.25">
      <c r="A9211" s="5" t="str">
        <f>"H0031517"</f>
        <v>H0031517</v>
      </c>
      <c r="B9211" s="5" t="s">
        <v>329</v>
      </c>
      <c r="C9211" s="6">
        <v>326041.09999999998</v>
      </c>
      <c r="D9211" s="5" t="s">
        <v>16</v>
      </c>
      <c r="E9211" s="5" t="str">
        <f t="shared" si="468"/>
        <v>URGENCIAS PEDIATRIA-YENI ESPERANZA PENA GUERRERO</v>
      </c>
      <c r="F9211" s="5"/>
      <c r="G9211" s="5"/>
    </row>
    <row r="9212" spans="1:7" ht="58.5" customHeight="1" x14ac:dyDescent="0.25">
      <c r="A9212" s="5" t="str">
        <f>"H0031621"</f>
        <v>H0031621</v>
      </c>
      <c r="B9212" s="5" t="str">
        <f t="shared" ref="B9212:B9220" si="470">"CAMILLA DE TRASLADO CON BARANDAS"</f>
        <v>CAMILLA DE TRASLADO CON BARANDAS</v>
      </c>
      <c r="C9212" s="6">
        <v>8428770</v>
      </c>
      <c r="D9212" s="5" t="s">
        <v>317</v>
      </c>
      <c r="E9212" s="5" t="str">
        <f t="shared" si="468"/>
        <v>URGENCIAS PEDIATRIA-YENI ESPERANZA PENA GUERRERO</v>
      </c>
      <c r="F9212" s="5"/>
      <c r="G9212" s="5"/>
    </row>
    <row r="9213" spans="1:7" ht="58.5" customHeight="1" x14ac:dyDescent="0.25">
      <c r="A9213" s="5" t="str">
        <f>"H0031622"</f>
        <v>H0031622</v>
      </c>
      <c r="B9213" s="5" t="str">
        <f t="shared" si="470"/>
        <v>CAMILLA DE TRASLADO CON BARANDAS</v>
      </c>
      <c r="C9213" s="6">
        <v>8428770</v>
      </c>
      <c r="D9213" s="5" t="s">
        <v>317</v>
      </c>
      <c r="E9213" s="5" t="str">
        <f t="shared" si="468"/>
        <v>URGENCIAS PEDIATRIA-YENI ESPERANZA PENA GUERRERO</v>
      </c>
      <c r="F9213" s="5"/>
      <c r="G9213" s="5"/>
    </row>
    <row r="9214" spans="1:7" ht="58.5" customHeight="1" x14ac:dyDescent="0.25">
      <c r="A9214" s="5" t="str">
        <f>"H0031638"</f>
        <v>H0031638</v>
      </c>
      <c r="B9214" s="5" t="str">
        <f t="shared" si="470"/>
        <v>CAMILLA DE TRASLADO CON BARANDAS</v>
      </c>
      <c r="C9214" s="6">
        <v>8428770</v>
      </c>
      <c r="D9214" s="5" t="s">
        <v>317</v>
      </c>
      <c r="E9214" s="5" t="str">
        <f t="shared" si="468"/>
        <v>URGENCIAS PEDIATRIA-YENI ESPERANZA PENA GUERRERO</v>
      </c>
      <c r="F9214" s="5"/>
      <c r="G9214" s="5"/>
    </row>
    <row r="9215" spans="1:7" ht="58.5" customHeight="1" x14ac:dyDescent="0.25">
      <c r="A9215" s="5" t="str">
        <f>"H0031654"</f>
        <v>H0031654</v>
      </c>
      <c r="B9215" s="5" t="str">
        <f t="shared" si="470"/>
        <v>CAMILLA DE TRASLADO CON BARANDAS</v>
      </c>
      <c r="C9215" s="6">
        <v>8428770</v>
      </c>
      <c r="D9215" s="5" t="s">
        <v>252</v>
      </c>
      <c r="E9215" s="5" t="str">
        <f t="shared" si="468"/>
        <v>URGENCIAS PEDIATRIA-YENI ESPERANZA PENA GUERRERO</v>
      </c>
      <c r="F9215" s="5"/>
      <c r="G9215" s="5"/>
    </row>
    <row r="9216" spans="1:7" ht="58.5" customHeight="1" x14ac:dyDescent="0.25">
      <c r="A9216" s="5" t="str">
        <f>"H0031655"</f>
        <v>H0031655</v>
      </c>
      <c r="B9216" s="5" t="str">
        <f t="shared" si="470"/>
        <v>CAMILLA DE TRASLADO CON BARANDAS</v>
      </c>
      <c r="C9216" s="6">
        <v>8428770</v>
      </c>
      <c r="D9216" s="5" t="s">
        <v>252</v>
      </c>
      <c r="E9216" s="5" t="str">
        <f t="shared" si="468"/>
        <v>URGENCIAS PEDIATRIA-YENI ESPERANZA PENA GUERRERO</v>
      </c>
      <c r="F9216" s="5"/>
      <c r="G9216" s="5"/>
    </row>
    <row r="9217" spans="1:7" ht="58.5" customHeight="1" x14ac:dyDescent="0.25">
      <c r="A9217" s="5" t="str">
        <f>"H0031656"</f>
        <v>H0031656</v>
      </c>
      <c r="B9217" s="5" t="str">
        <f t="shared" si="470"/>
        <v>CAMILLA DE TRASLADO CON BARANDAS</v>
      </c>
      <c r="C9217" s="6">
        <v>8428770</v>
      </c>
      <c r="D9217" s="5" t="s">
        <v>252</v>
      </c>
      <c r="E9217" s="5" t="str">
        <f t="shared" si="468"/>
        <v>URGENCIAS PEDIATRIA-YENI ESPERANZA PENA GUERRERO</v>
      </c>
      <c r="F9217" s="5"/>
      <c r="G9217" s="5"/>
    </row>
    <row r="9218" spans="1:7" ht="58.5" customHeight="1" x14ac:dyDescent="0.25">
      <c r="A9218" s="5" t="str">
        <f>"H0031657"</f>
        <v>H0031657</v>
      </c>
      <c r="B9218" s="5" t="str">
        <f t="shared" si="470"/>
        <v>CAMILLA DE TRASLADO CON BARANDAS</v>
      </c>
      <c r="C9218" s="6">
        <v>8428770</v>
      </c>
      <c r="D9218" s="5" t="s">
        <v>252</v>
      </c>
      <c r="E9218" s="5" t="str">
        <f t="shared" si="468"/>
        <v>URGENCIAS PEDIATRIA-YENI ESPERANZA PENA GUERRERO</v>
      </c>
      <c r="F9218" s="5"/>
      <c r="G9218" s="5"/>
    </row>
    <row r="9219" spans="1:7" ht="58.5" customHeight="1" x14ac:dyDescent="0.25">
      <c r="A9219" s="5" t="str">
        <f>"H0031658"</f>
        <v>H0031658</v>
      </c>
      <c r="B9219" s="5" t="str">
        <f t="shared" si="470"/>
        <v>CAMILLA DE TRASLADO CON BARANDAS</v>
      </c>
      <c r="C9219" s="6">
        <v>8428770</v>
      </c>
      <c r="D9219" s="5" t="s">
        <v>252</v>
      </c>
      <c r="E9219" s="5" t="str">
        <f t="shared" ref="E9219:E9282" si="471">"URGENCIAS PEDIATRIA-YENI ESPERANZA PENA GUERRERO"</f>
        <v>URGENCIAS PEDIATRIA-YENI ESPERANZA PENA GUERRERO</v>
      </c>
      <c r="F9219" s="5"/>
      <c r="G9219" s="5"/>
    </row>
    <row r="9220" spans="1:7" ht="58.5" customHeight="1" x14ac:dyDescent="0.25">
      <c r="A9220" s="5" t="str">
        <f>"H0031659"</f>
        <v>H0031659</v>
      </c>
      <c r="B9220" s="5" t="str">
        <f t="shared" si="470"/>
        <v>CAMILLA DE TRASLADO CON BARANDAS</v>
      </c>
      <c r="C9220" s="6">
        <v>8428770</v>
      </c>
      <c r="D9220" s="5" t="s">
        <v>252</v>
      </c>
      <c r="E9220" s="5" t="str">
        <f t="shared" si="471"/>
        <v>URGENCIAS PEDIATRIA-YENI ESPERANZA PENA GUERRERO</v>
      </c>
      <c r="F9220" s="5"/>
      <c r="G9220" s="5"/>
    </row>
    <row r="9221" spans="1:7" ht="58.5" customHeight="1" x14ac:dyDescent="0.25">
      <c r="A9221" s="5" t="str">
        <f>"H0031881"</f>
        <v>H0031881</v>
      </c>
      <c r="B9221" s="5" t="str">
        <f>"TORNIQUETE PARA HOMOSTASIS (KOMPRIMETER)"</f>
        <v>TORNIQUETE PARA HOMOSTASIS (KOMPRIMETER)</v>
      </c>
      <c r="C9221" s="6">
        <v>1517251</v>
      </c>
      <c r="D9221" s="5" t="s">
        <v>320</v>
      </c>
      <c r="E9221" s="5" t="str">
        <f t="shared" si="471"/>
        <v>URGENCIAS PEDIATRIA-YENI ESPERANZA PENA GUERRERO</v>
      </c>
      <c r="F9221" s="5"/>
      <c r="G9221" s="5"/>
    </row>
    <row r="9222" spans="1:7" ht="58.5" customHeight="1" x14ac:dyDescent="0.25">
      <c r="A9222" s="5" t="str">
        <f>"H0031918"</f>
        <v>H0031918</v>
      </c>
      <c r="B9222" s="5" t="str">
        <f>"VENTILADOR PEDESTAL SAMURAI (CODIGO DONACION)"</f>
        <v>VENTILADOR PEDESTAL SAMURAI (CODIGO DONACION)</v>
      </c>
      <c r="C9222" s="6">
        <v>134925</v>
      </c>
      <c r="D9222" s="5" t="s">
        <v>479</v>
      </c>
      <c r="E9222" s="5" t="str">
        <f t="shared" si="471"/>
        <v>URGENCIAS PEDIATRIA-YENI ESPERANZA PENA GUERRERO</v>
      </c>
      <c r="F9222" s="5"/>
      <c r="G9222" s="5"/>
    </row>
    <row r="9223" spans="1:7" ht="58.5" customHeight="1" x14ac:dyDescent="0.25">
      <c r="A9223" s="5" t="str">
        <f>"H0031962"</f>
        <v>H0031962</v>
      </c>
      <c r="B9223" s="5" t="str">
        <f>"BOMBA DE INFUSION"</f>
        <v>BOMBA DE INFUSION</v>
      </c>
      <c r="C9223" s="6">
        <v>1900000</v>
      </c>
      <c r="D9223" s="5" t="s">
        <v>107</v>
      </c>
      <c r="E9223" s="5" t="str">
        <f t="shared" si="471"/>
        <v>URGENCIAS PEDIATRIA-YENI ESPERANZA PENA GUERRERO</v>
      </c>
      <c r="F9223" s="5"/>
      <c r="G9223" s="5"/>
    </row>
    <row r="9224" spans="1:7" ht="58.5" customHeight="1" x14ac:dyDescent="0.25">
      <c r="A9224" s="5" t="str">
        <f>"H0031996"</f>
        <v>H0031996</v>
      </c>
      <c r="B9224" s="5" t="str">
        <f>"DISPENSADOR DE AGUA (Donación )"</f>
        <v>DISPENSADOR DE AGUA (Donación )</v>
      </c>
      <c r="C9224" s="6">
        <v>1150000</v>
      </c>
      <c r="D9224" s="5" t="s">
        <v>480</v>
      </c>
      <c r="E9224" s="5" t="str">
        <f t="shared" si="471"/>
        <v>URGENCIAS PEDIATRIA-YENI ESPERANZA PENA GUERRERO</v>
      </c>
      <c r="F9224" s="5"/>
      <c r="G9224" s="5"/>
    </row>
    <row r="9225" spans="1:7" ht="58.5" customHeight="1" x14ac:dyDescent="0.25">
      <c r="A9225" s="5" t="str">
        <f>"H0032056"</f>
        <v>H0032056</v>
      </c>
      <c r="B9225" s="5" t="str">
        <f>"EQUIPO DE AIRE ACONDICIONADO TIPO PAQUETE 60000 BTU R410 220V"</f>
        <v>EQUIPO DE AIRE ACONDICIONADO TIPO PAQUETE 60000 BTU R410 220V</v>
      </c>
      <c r="C9225" s="6">
        <v>10472000</v>
      </c>
      <c r="D9225" s="5" t="s">
        <v>523</v>
      </c>
      <c r="E9225" s="5" t="str">
        <f t="shared" si="471"/>
        <v>URGENCIAS PEDIATRIA-YENI ESPERANZA PENA GUERRERO</v>
      </c>
      <c r="F9225" s="5"/>
      <c r="G9225" s="5"/>
    </row>
    <row r="9226" spans="1:7" ht="58.5" customHeight="1" x14ac:dyDescent="0.25">
      <c r="A9226" s="5" t="str">
        <f>"H0032057"</f>
        <v>H0032057</v>
      </c>
      <c r="B9226" s="5" t="str">
        <f>"EQUIPO DE AIRE ACONDICIONADO TIPO PAQUETE 60000 BTU R410 220V"</f>
        <v>EQUIPO DE AIRE ACONDICIONADO TIPO PAQUETE 60000 BTU R410 220V</v>
      </c>
      <c r="C9226" s="6">
        <v>10472000</v>
      </c>
      <c r="D9226" s="5" t="s">
        <v>523</v>
      </c>
      <c r="E9226" s="5" t="str">
        <f t="shared" si="471"/>
        <v>URGENCIAS PEDIATRIA-YENI ESPERANZA PENA GUERRERO</v>
      </c>
      <c r="F9226" s="5"/>
      <c r="G9226" s="5"/>
    </row>
    <row r="9227" spans="1:7" ht="58.5" customHeight="1" x14ac:dyDescent="0.25">
      <c r="A9227" s="5" t="str">
        <f>"H0032058"</f>
        <v>H0032058</v>
      </c>
      <c r="B9227" s="5" t="str">
        <f>"Equipo de aire acondicionado tipo split de 36.000 BTU refrigerante ecológico R410 220 voltios"</f>
        <v>Equipo de aire acondicionado tipo split de 36.000 BTU refrigerante ecológico R410 220 voltios</v>
      </c>
      <c r="C9227" s="6">
        <v>7199500</v>
      </c>
      <c r="D9227" s="5" t="s">
        <v>523</v>
      </c>
      <c r="E9227" s="5" t="str">
        <f t="shared" si="471"/>
        <v>URGENCIAS PEDIATRIA-YENI ESPERANZA PENA GUERRERO</v>
      </c>
      <c r="F9227" s="5"/>
      <c r="G9227" s="5"/>
    </row>
    <row r="9228" spans="1:7" ht="58.5" customHeight="1" x14ac:dyDescent="0.25">
      <c r="A9228" s="5" t="str">
        <f>"H0032059"</f>
        <v>H0032059</v>
      </c>
      <c r="B9228" s="5" t="str">
        <f>"Unidad extractora centrífuga de 5500 CFM a 800 FPM motor de acople directo 220 voltios"</f>
        <v>Unidad extractora centrífuga de 5500 CFM a 800 FPM motor de acople directo 220 voltios</v>
      </c>
      <c r="C9228" s="6">
        <v>9615200</v>
      </c>
      <c r="D9228" s="5" t="s">
        <v>523</v>
      </c>
      <c r="E9228" s="5" t="str">
        <f t="shared" si="471"/>
        <v>URGENCIAS PEDIATRIA-YENI ESPERANZA PENA GUERRERO</v>
      </c>
      <c r="F9228" s="5"/>
      <c r="G9228" s="5"/>
    </row>
    <row r="9229" spans="1:7" ht="58.5" customHeight="1" x14ac:dyDescent="0.25">
      <c r="A9229" s="5" t="str">
        <f>"H0032316"</f>
        <v>H0032316</v>
      </c>
      <c r="B9229" s="5" t="str">
        <f>"SOPORTE PEDESTAL MONITOR"</f>
        <v>SOPORTE PEDESTAL MONITOR</v>
      </c>
      <c r="C9229" s="6">
        <v>1140020</v>
      </c>
      <c r="D9229" s="5" t="s">
        <v>232</v>
      </c>
      <c r="E9229" s="5" t="str">
        <f t="shared" si="471"/>
        <v>URGENCIAS PEDIATRIA-YENI ESPERANZA PENA GUERRERO</v>
      </c>
      <c r="F9229" s="5"/>
      <c r="G9229" s="5"/>
    </row>
    <row r="9230" spans="1:7" ht="58.5" customHeight="1" x14ac:dyDescent="0.25">
      <c r="A9230" s="5" t="str">
        <f>"H0032336"</f>
        <v>H0032336</v>
      </c>
      <c r="B9230" s="5" t="str">
        <f>"SOPORTE PEDESTAL MONITOR"</f>
        <v>SOPORTE PEDESTAL MONITOR</v>
      </c>
      <c r="C9230" s="6">
        <v>1140020</v>
      </c>
      <c r="D9230" s="5" t="s">
        <v>232</v>
      </c>
      <c r="E9230" s="5" t="str">
        <f t="shared" si="471"/>
        <v>URGENCIAS PEDIATRIA-YENI ESPERANZA PENA GUERRERO</v>
      </c>
      <c r="F9230" s="5"/>
      <c r="G9230" s="5"/>
    </row>
    <row r="9231" spans="1:7" ht="58.5" customHeight="1" x14ac:dyDescent="0.25">
      <c r="A9231" s="5" t="str">
        <f>"H0032993"</f>
        <v>H0032993</v>
      </c>
      <c r="B9231" s="5" t="str">
        <f>"termometro infrarrojo (DONACION)"</f>
        <v>termometro infrarrojo (DONACION)</v>
      </c>
      <c r="C9231" s="6">
        <v>251100</v>
      </c>
      <c r="D9231" s="5" t="s">
        <v>503</v>
      </c>
      <c r="E9231" s="5" t="str">
        <f t="shared" si="471"/>
        <v>URGENCIAS PEDIATRIA-YENI ESPERANZA PENA GUERRERO</v>
      </c>
      <c r="F9231" s="5"/>
      <c r="G9231" s="5"/>
    </row>
    <row r="9232" spans="1:7" ht="58.5" customHeight="1" x14ac:dyDescent="0.25">
      <c r="A9232" s="5" t="str">
        <f>"H0033057"</f>
        <v>H0033057</v>
      </c>
      <c r="B9232" s="5" t="str">
        <f>"MONITOR DE SIGNOS VITALES"</f>
        <v>MONITOR DE SIGNOS VITALES</v>
      </c>
      <c r="C9232" s="6">
        <v>9470000</v>
      </c>
      <c r="D9232" s="5" t="s">
        <v>119</v>
      </c>
      <c r="E9232" s="5" t="str">
        <f t="shared" si="471"/>
        <v>URGENCIAS PEDIATRIA-YENI ESPERANZA PENA GUERRERO</v>
      </c>
      <c r="F9232" s="5"/>
      <c r="G9232" s="5"/>
    </row>
    <row r="9233" spans="1:7" ht="58.5" customHeight="1" x14ac:dyDescent="0.25">
      <c r="A9233" s="5" t="str">
        <f>"H0033060"</f>
        <v>H0033060</v>
      </c>
      <c r="B9233" s="5" t="str">
        <f>"MONITOR DE SIGNOS VITALES"</f>
        <v>MONITOR DE SIGNOS VITALES</v>
      </c>
      <c r="C9233" s="6">
        <v>9470000</v>
      </c>
      <c r="D9233" s="5" t="s">
        <v>119</v>
      </c>
      <c r="E9233" s="5" t="str">
        <f t="shared" si="471"/>
        <v>URGENCIAS PEDIATRIA-YENI ESPERANZA PENA GUERRERO</v>
      </c>
      <c r="F9233" s="5"/>
      <c r="G9233" s="5"/>
    </row>
    <row r="9234" spans="1:7" ht="58.5" customHeight="1" x14ac:dyDescent="0.25">
      <c r="A9234" s="5" t="str">
        <f>"H0033160"</f>
        <v>H0033160</v>
      </c>
      <c r="B9234" s="5" t="str">
        <f t="shared" ref="B9234:B9249" si="472">"BOMBA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9234" s="6">
        <v>2533333</v>
      </c>
      <c r="D9234" s="5" t="s">
        <v>157</v>
      </c>
      <c r="E9234" s="5" t="str">
        <f t="shared" si="471"/>
        <v>URGENCIAS PEDIATRIA-YENI ESPERANZA PENA GUERRERO</v>
      </c>
      <c r="F9234" s="5"/>
      <c r="G9234" s="5"/>
    </row>
    <row r="9235" spans="1:7" ht="58.5" customHeight="1" x14ac:dyDescent="0.25">
      <c r="A9235" s="5" t="str">
        <f>"H0033287"</f>
        <v>H0033287</v>
      </c>
      <c r="B9235" s="5" t="str">
        <f t="shared" si="472"/>
        <v>BOMBA DE INFUSION. Apilables.5 modos. 01-1200 ml/h. 0.1 ml incr. Compatible con set de infusión genérico. anti-bolo. Detección de aire. Alarmas visuales audibles. Bitacora 1.000 reg. Batería de litio</v>
      </c>
      <c r="C9235" s="6">
        <v>2533333</v>
      </c>
      <c r="D9235" s="5" t="s">
        <v>120</v>
      </c>
      <c r="E9235" s="5" t="str">
        <f t="shared" si="471"/>
        <v>URGENCIAS PEDIATRIA-YENI ESPERANZA PENA GUERRERO</v>
      </c>
      <c r="F9235" s="5"/>
      <c r="G9235" s="5"/>
    </row>
    <row r="9236" spans="1:7" ht="58.5" customHeight="1" x14ac:dyDescent="0.25">
      <c r="A9236" s="5" t="str">
        <f>"H0033289"</f>
        <v>H0033289</v>
      </c>
      <c r="B9236" s="5" t="str">
        <f t="shared" si="472"/>
        <v>BOMBA DE INFUSION. Apilables.5 modos. 01-1200 ml/h. 0.1 ml incr. Compatible con set de infusión genérico. anti-bolo. Detección de aire. Alarmas visuales audibles. Bitacora 1.000 reg. Batería de litio</v>
      </c>
      <c r="C9236" s="6">
        <v>2533333</v>
      </c>
      <c r="D9236" s="5" t="s">
        <v>120</v>
      </c>
      <c r="E9236" s="5" t="str">
        <f t="shared" si="471"/>
        <v>URGENCIAS PEDIATRIA-YENI ESPERANZA PENA GUERRERO</v>
      </c>
      <c r="F9236" s="5"/>
      <c r="G9236" s="5"/>
    </row>
    <row r="9237" spans="1:7" ht="58.5" customHeight="1" x14ac:dyDescent="0.25">
      <c r="A9237" s="5" t="str">
        <f>"H0033290"</f>
        <v>H0033290</v>
      </c>
      <c r="B9237" s="5" t="str">
        <f t="shared" si="472"/>
        <v>BOMBA DE INFUSION. Apilables.5 modos. 01-1200 ml/h. 0.1 ml incr. Compatible con set de infusión genérico. anti-bolo. Detección de aire. Alarmas visuales audibles. Bitacora 1.000 reg. Batería de litio</v>
      </c>
      <c r="C9237" s="6">
        <v>2533333</v>
      </c>
      <c r="D9237" s="5" t="s">
        <v>120</v>
      </c>
      <c r="E9237" s="5" t="str">
        <f t="shared" si="471"/>
        <v>URGENCIAS PEDIATRIA-YENI ESPERANZA PENA GUERRERO</v>
      </c>
      <c r="F9237" s="5"/>
      <c r="G9237" s="5"/>
    </row>
    <row r="9238" spans="1:7" ht="58.5" customHeight="1" x14ac:dyDescent="0.25">
      <c r="A9238" s="5" t="str">
        <f>"H0033300"</f>
        <v>H0033300</v>
      </c>
      <c r="B9238" s="5" t="str">
        <f t="shared" si="472"/>
        <v>BOMBA DE INFUSION. Apilables.5 modos. 01-1200 ml/h. 0.1 ml incr. Compatible con set de infusión genérico. anti-bolo. Detección de aire. Alarmas visuales audibles. Bitacora 1.000 reg. Batería de litio</v>
      </c>
      <c r="C9238" s="6">
        <v>2533333</v>
      </c>
      <c r="D9238" s="5" t="s">
        <v>524</v>
      </c>
      <c r="E9238" s="5" t="str">
        <f t="shared" si="471"/>
        <v>URGENCIAS PEDIATRIA-YENI ESPERANZA PENA GUERRERO</v>
      </c>
      <c r="F9238" s="5"/>
      <c r="G9238" s="5"/>
    </row>
    <row r="9239" spans="1:7" ht="58.5" customHeight="1" x14ac:dyDescent="0.25">
      <c r="A9239" s="5" t="str">
        <f>"H0033325"</f>
        <v>H0033325</v>
      </c>
      <c r="B9239" s="5" t="str">
        <f t="shared" si="472"/>
        <v>BOMBA DE INFUSION. Apilables.5 modos. 01-1200 ml/h. 0.1 ml incr. Compatible con set de infusión genérico. anti-bolo. Detección de aire. Alarmas visuales audibles. Bitacora 1.000 reg. Batería de litio</v>
      </c>
      <c r="C9239" s="6">
        <v>2533333</v>
      </c>
      <c r="D9239" s="5" t="s">
        <v>120</v>
      </c>
      <c r="E9239" s="5" t="str">
        <f t="shared" si="471"/>
        <v>URGENCIAS PEDIATRIA-YENI ESPERANZA PENA GUERRERO</v>
      </c>
      <c r="F9239" s="5"/>
      <c r="G9239" s="5"/>
    </row>
    <row r="9240" spans="1:7" ht="58.5" customHeight="1" x14ac:dyDescent="0.25">
      <c r="A9240" s="5" t="str">
        <f>"H0033489"</f>
        <v>H0033489</v>
      </c>
      <c r="B9240" s="5" t="str">
        <f t="shared" si="472"/>
        <v>BOMBA DE INFUSION. Apilables.5 modos. 01-1200 ml/h. 0.1 ml incr. Compatible con set de infusión genérico. anti-bolo. Detección de aire. Alarmas visuales audibles. Bitacora 1.000 reg. Batería de litio</v>
      </c>
      <c r="C9240" s="6">
        <v>2533333</v>
      </c>
      <c r="D9240" s="5" t="s">
        <v>120</v>
      </c>
      <c r="E9240" s="5" t="str">
        <f t="shared" si="471"/>
        <v>URGENCIAS PEDIATRIA-YENI ESPERANZA PENA GUERRERO</v>
      </c>
      <c r="F9240" s="5"/>
      <c r="G9240" s="5"/>
    </row>
    <row r="9241" spans="1:7" ht="58.5" customHeight="1" x14ac:dyDescent="0.25">
      <c r="A9241" s="5" t="str">
        <f>"H0033521"</f>
        <v>H0033521</v>
      </c>
      <c r="B9241" s="5" t="str">
        <f t="shared" si="472"/>
        <v>BOMBA DE INFUSION. Apilables.5 modos. 01-1200 ml/h. 0.1 ml incr. Compatible con set de infusión genérico. anti-bolo. Detección de aire. Alarmas visuales audibles. Bitacora 1.000 reg. Batería de litio</v>
      </c>
      <c r="C9241" s="6">
        <v>2533333</v>
      </c>
      <c r="D9241" s="5" t="s">
        <v>120</v>
      </c>
      <c r="E9241" s="5" t="str">
        <f t="shared" si="471"/>
        <v>URGENCIAS PEDIATRIA-YENI ESPERANZA PENA GUERRERO</v>
      </c>
      <c r="F9241" s="5"/>
      <c r="G9241" s="5"/>
    </row>
    <row r="9242" spans="1:7" ht="58.5" customHeight="1" x14ac:dyDescent="0.25">
      <c r="A9242" s="5" t="str">
        <f>"H0033633"</f>
        <v>H0033633</v>
      </c>
      <c r="B9242" s="5" t="str">
        <f t="shared" si="472"/>
        <v>BOMBA DE INFUSION. Apilables.5 modos. 01-1200 ml/h. 0.1 ml incr. Compatible con set de infusión genérico. anti-bolo. Detección de aire. Alarmas visuales audibles. Bitacora 1.000 reg. Batería de litio</v>
      </c>
      <c r="C9242" s="6">
        <v>2533333</v>
      </c>
      <c r="D9242" s="5" t="s">
        <v>120</v>
      </c>
      <c r="E9242" s="5" t="str">
        <f t="shared" si="471"/>
        <v>URGENCIAS PEDIATRIA-YENI ESPERANZA PENA GUERRERO</v>
      </c>
      <c r="F9242" s="5"/>
      <c r="G9242" s="5"/>
    </row>
    <row r="9243" spans="1:7" ht="58.5" customHeight="1" x14ac:dyDescent="0.25">
      <c r="A9243" s="5" t="str">
        <f>"H0033650"</f>
        <v>H0033650</v>
      </c>
      <c r="B9243" s="5" t="str">
        <f t="shared" si="472"/>
        <v>BOMBA DE INFUSION. Apilables.5 modos. 01-1200 ml/h. 0.1 ml incr. Compatible con set de infusión genérico. anti-bolo. Detección de aire. Alarmas visuales audibles. Bitacora 1.000 reg. Batería de litio</v>
      </c>
      <c r="C9243" s="6">
        <v>2533333</v>
      </c>
      <c r="D9243" s="5" t="s">
        <v>120</v>
      </c>
      <c r="E9243" s="5" t="str">
        <f t="shared" si="471"/>
        <v>URGENCIAS PEDIATRIA-YENI ESPERANZA PENA GUERRERO</v>
      </c>
      <c r="F9243" s="5"/>
      <c r="G9243" s="5"/>
    </row>
    <row r="9244" spans="1:7" ht="58.5" customHeight="1" x14ac:dyDescent="0.25">
      <c r="A9244" s="5" t="str">
        <f>"H0033752"</f>
        <v>H0033752</v>
      </c>
      <c r="B9244" s="5" t="str">
        <f t="shared" si="472"/>
        <v>BOMBA DE INFUSION. Apilables.5 modos. 01-1200 ml/h. 0.1 ml incr. Compatible con set de infusión genérico. anti-bolo. Detección de aire. Alarmas visuales audibles. Bitacora 1.000 reg. Batería de litio</v>
      </c>
      <c r="C9244" s="6">
        <v>2533333</v>
      </c>
      <c r="D9244" s="5" t="s">
        <v>120</v>
      </c>
      <c r="E9244" s="5" t="str">
        <f t="shared" si="471"/>
        <v>URGENCIAS PEDIATRIA-YENI ESPERANZA PENA GUERRERO</v>
      </c>
      <c r="F9244" s="5"/>
      <c r="G9244" s="5"/>
    </row>
    <row r="9245" spans="1:7" ht="58.5" customHeight="1" x14ac:dyDescent="0.25">
      <c r="A9245" s="5" t="str">
        <f>"H0033754"</f>
        <v>H0033754</v>
      </c>
      <c r="B9245" s="5" t="str">
        <f t="shared" si="472"/>
        <v>BOMBA DE INFUSION. Apilables.5 modos. 01-1200 ml/h. 0.1 ml incr. Compatible con set de infusión genérico. anti-bolo. Detección de aire. Alarmas visuales audibles. Bitacora 1.000 reg. Batería de litio</v>
      </c>
      <c r="C9245" s="6">
        <v>2533333</v>
      </c>
      <c r="D9245" s="5" t="s">
        <v>120</v>
      </c>
      <c r="E9245" s="5" t="str">
        <f t="shared" si="471"/>
        <v>URGENCIAS PEDIATRIA-YENI ESPERANZA PENA GUERRERO</v>
      </c>
      <c r="F9245" s="5"/>
      <c r="G9245" s="5"/>
    </row>
    <row r="9246" spans="1:7" ht="58.5" customHeight="1" x14ac:dyDescent="0.25">
      <c r="A9246" s="5" t="str">
        <f>"H0033755"</f>
        <v>H0033755</v>
      </c>
      <c r="B9246" s="5" t="str">
        <f t="shared" si="472"/>
        <v>BOMBA DE INFUSION. Apilables.5 modos. 01-1200 ml/h. 0.1 ml incr. Compatible con set de infusión genérico. anti-bolo. Detección de aire. Alarmas visuales audibles. Bitacora 1.000 reg. Batería de litio</v>
      </c>
      <c r="C9246" s="6">
        <v>2533333</v>
      </c>
      <c r="D9246" s="5" t="s">
        <v>120</v>
      </c>
      <c r="E9246" s="5" t="str">
        <f t="shared" si="471"/>
        <v>URGENCIAS PEDIATRIA-YENI ESPERANZA PENA GUERRERO</v>
      </c>
      <c r="F9246" s="5"/>
      <c r="G9246" s="5"/>
    </row>
    <row r="9247" spans="1:7" ht="58.5" customHeight="1" x14ac:dyDescent="0.25">
      <c r="A9247" s="5" t="str">
        <f>"H0033791"</f>
        <v>H0033791</v>
      </c>
      <c r="B9247" s="5" t="str">
        <f t="shared" si="472"/>
        <v>BOMBA DE INFUSION. Apilables.5 modos. 01-1200 ml/h. 0.1 ml incr. Compatible con set de infusión genérico. anti-bolo. Detección de aire. Alarmas visuales audibles. Bitacora 1.000 reg. Batería de litio</v>
      </c>
      <c r="C9247" s="6">
        <v>2533333</v>
      </c>
      <c r="D9247" s="5" t="s">
        <v>120</v>
      </c>
      <c r="E9247" s="5" t="str">
        <f t="shared" si="471"/>
        <v>URGENCIAS PEDIATRIA-YENI ESPERANZA PENA GUERRERO</v>
      </c>
      <c r="F9247" s="5"/>
      <c r="G9247" s="5"/>
    </row>
    <row r="9248" spans="1:7" ht="58.5" customHeight="1" x14ac:dyDescent="0.25">
      <c r="A9248" s="5" t="str">
        <f>"H0033799"</f>
        <v>H0033799</v>
      </c>
      <c r="B9248" s="5" t="str">
        <f t="shared" si="472"/>
        <v>BOMBA DE INFUSION. Apilables.5 modos. 01-1200 ml/h. 0.1 ml incr. Compatible con set de infusión genérico. anti-bolo. Detección de aire. Alarmas visuales audibles. Bitacora 1.000 reg. Batería de litio</v>
      </c>
      <c r="C9248" s="6">
        <v>2533333</v>
      </c>
      <c r="D9248" s="5" t="s">
        <v>120</v>
      </c>
      <c r="E9248" s="5" t="str">
        <f t="shared" si="471"/>
        <v>URGENCIAS PEDIATRIA-YENI ESPERANZA PENA GUERRERO</v>
      </c>
      <c r="F9248" s="5"/>
      <c r="G9248" s="5"/>
    </row>
    <row r="9249" spans="1:7" ht="58.5" customHeight="1" x14ac:dyDescent="0.25">
      <c r="A9249" s="5" t="str">
        <f>"H0033832"</f>
        <v>H0033832</v>
      </c>
      <c r="B9249" s="5" t="str">
        <f t="shared" si="472"/>
        <v>BOMBA DE INFUSION. Apilables.5 modos. 01-1200 ml/h. 0.1 ml incr. Compatible con set de infusión genérico. anti-bolo. Detección de aire. Alarmas visuales audibles. Bitacora 1.000 reg. Batería de litio</v>
      </c>
      <c r="C9249" s="6">
        <v>2533333</v>
      </c>
      <c r="D9249" s="5" t="s">
        <v>120</v>
      </c>
      <c r="E9249" s="5" t="str">
        <f t="shared" si="471"/>
        <v>URGENCIAS PEDIATRIA-YENI ESPERANZA PENA GUERRERO</v>
      </c>
      <c r="F9249" s="5"/>
      <c r="G9249" s="5"/>
    </row>
    <row r="9250" spans="1:7" ht="58.5" customHeight="1" x14ac:dyDescent="0.25">
      <c r="A9250" s="5" t="str">
        <f>"H0033887"</f>
        <v>H0033887</v>
      </c>
      <c r="B9250" s="5" t="str">
        <f>"BOMBA DE NUTRICION. 1 mL/h a 600 mL/h. 1 mL/h a 5 mL/h incr. ± 7% a 125 mL/h. Cumple 60601-2-24."</f>
        <v>BOMBA DE NUTRICION. 1 mL/h a 600 mL/h. 1 mL/h a 5 mL/h incr. ± 7% a 125 mL/h. Cumple 60601-2-24.</v>
      </c>
      <c r="C9250" s="6">
        <v>3066667</v>
      </c>
      <c r="D9250" s="5" t="s">
        <v>120</v>
      </c>
      <c r="E9250" s="5" t="str">
        <f t="shared" si="471"/>
        <v>URGENCIAS PEDIATRIA-YENI ESPERANZA PENA GUERRERO</v>
      </c>
      <c r="F9250" s="5"/>
      <c r="G9250" s="5"/>
    </row>
    <row r="9251" spans="1:7" ht="58.5" customHeight="1" x14ac:dyDescent="0.25">
      <c r="A9251" s="5" t="str">
        <f>"H0033889"</f>
        <v>H0033889</v>
      </c>
      <c r="B9251" s="5" t="str">
        <f>"BOMBA DE NUTRICION. 1 mL/h a 600 mL/h. 1 mL/h a 5 mL/h incr. ± 7% a 125 mL/h. Cumple 60601-2-24."</f>
        <v>BOMBA DE NUTRICION. 1 mL/h a 600 mL/h. 1 mL/h a 5 mL/h incr. ± 7% a 125 mL/h. Cumple 60601-2-24.</v>
      </c>
      <c r="C9251" s="6">
        <v>3066667</v>
      </c>
      <c r="D9251" s="5" t="s">
        <v>120</v>
      </c>
      <c r="E9251" s="5" t="str">
        <f t="shared" si="471"/>
        <v>URGENCIAS PEDIATRIA-YENI ESPERANZA PENA GUERRERO</v>
      </c>
      <c r="F9251" s="5"/>
      <c r="G9251" s="5"/>
    </row>
    <row r="9252" spans="1:7" ht="58.5" customHeight="1" x14ac:dyDescent="0.25">
      <c r="A9252" s="5" t="str">
        <f>"H0033902"</f>
        <v>H0033902</v>
      </c>
      <c r="B9252" s="5" t="str">
        <f>"BOMBA DE NUTRICION. 1 mL/h a 600 mL/h. 1 mL/h a 5 mL/h incr. ± 7% a 125 mL/h. Cumple 60601-2-24."</f>
        <v>BOMBA DE NUTRICION. 1 mL/h a 600 mL/h. 1 mL/h a 5 mL/h incr. ± 7% a 125 mL/h. Cumple 60601-2-24.</v>
      </c>
      <c r="C9252" s="6">
        <v>3066667</v>
      </c>
      <c r="D9252" s="5" t="s">
        <v>120</v>
      </c>
      <c r="E9252" s="5" t="str">
        <f t="shared" si="471"/>
        <v>URGENCIAS PEDIATRIA-YENI ESPERANZA PENA GUERRERO</v>
      </c>
      <c r="F9252" s="5"/>
      <c r="G9252" s="5"/>
    </row>
    <row r="9253" spans="1:7" ht="58.5" customHeight="1" x14ac:dyDescent="0.25">
      <c r="A9253" s="5" t="str">
        <f>"H0033985"</f>
        <v>H0033985</v>
      </c>
      <c r="B9253" s="5" t="s">
        <v>329</v>
      </c>
      <c r="C9253" s="6">
        <v>258000</v>
      </c>
      <c r="D9253" s="5" t="s">
        <v>122</v>
      </c>
      <c r="E9253" s="5" t="str">
        <f t="shared" si="471"/>
        <v>URGENCIAS PEDIATRIA-YENI ESPERANZA PENA GUERRERO</v>
      </c>
      <c r="F9253" s="5"/>
      <c r="G9253" s="5"/>
    </row>
    <row r="9254" spans="1:7" ht="58.5" customHeight="1" x14ac:dyDescent="0.25">
      <c r="A9254" s="5" t="str">
        <f>"H0033993"</f>
        <v>H0033993</v>
      </c>
      <c r="B9254" s="5" t="s">
        <v>329</v>
      </c>
      <c r="C9254" s="6">
        <v>258000</v>
      </c>
      <c r="D9254" s="5" t="s">
        <v>122</v>
      </c>
      <c r="E9254" s="5" t="str">
        <f t="shared" si="471"/>
        <v>URGENCIAS PEDIATRIA-YENI ESPERANZA PENA GUERRERO</v>
      </c>
      <c r="F9254" s="5"/>
      <c r="G9254" s="5"/>
    </row>
    <row r="9255" spans="1:7" ht="58.5" customHeight="1" x14ac:dyDescent="0.25">
      <c r="A9255" s="5" t="str">
        <f>"H0034082"</f>
        <v>H0034082</v>
      </c>
      <c r="B9255" s="5" t="str">
        <f>"Balanza pesa bebe digital (DONACION)"</f>
        <v>Balanza pesa bebe digital (DONACION)</v>
      </c>
      <c r="C9255" s="6">
        <v>655500</v>
      </c>
      <c r="D9255" s="5" t="s">
        <v>330</v>
      </c>
      <c r="E9255" s="5" t="str">
        <f t="shared" si="471"/>
        <v>URGENCIAS PEDIATRIA-YENI ESPERANZA PENA GUERRERO</v>
      </c>
      <c r="F9255" s="5"/>
      <c r="G9255" s="5"/>
    </row>
    <row r="9256" spans="1:7" ht="58.5" customHeight="1" x14ac:dyDescent="0.25">
      <c r="A9256" s="5" t="str">
        <f>"H0034452"</f>
        <v>H0034452</v>
      </c>
      <c r="B9256" s="5" t="str">
        <f>"VENTILADOR MECANICO (DONACION)"</f>
        <v>VENTILADOR MECANICO (DONACION)</v>
      </c>
      <c r="C9256" s="6">
        <v>59622774</v>
      </c>
      <c r="D9256" s="5" t="s">
        <v>129</v>
      </c>
      <c r="E9256" s="5" t="str">
        <f t="shared" si="471"/>
        <v>URGENCIAS PEDIATRIA-YENI ESPERANZA PENA GUERRERO</v>
      </c>
      <c r="F9256" s="5"/>
      <c r="G9256" s="5" t="str">
        <f>"VG70"</f>
        <v>VG70</v>
      </c>
    </row>
    <row r="9257" spans="1:7" ht="58.5" customHeight="1" x14ac:dyDescent="0.25">
      <c r="A9257" s="5" t="str">
        <f>"H0034596"</f>
        <v>H0034596</v>
      </c>
      <c r="B9257" s="5" t="str">
        <f>"BALANZA (PESO) DIGITAL (GRAMERA)"</f>
        <v>BALANZA (PESO) DIGITAL (GRAMERA)</v>
      </c>
      <c r="C9257" s="6">
        <v>120000.01</v>
      </c>
      <c r="D9257" s="5" t="s">
        <v>234</v>
      </c>
      <c r="E9257" s="5" t="str">
        <f t="shared" si="471"/>
        <v>URGENCIAS PEDIATRIA-YENI ESPERANZA PENA GUERRERO</v>
      </c>
      <c r="F9257" s="5"/>
      <c r="G9257" s="5"/>
    </row>
    <row r="9258" spans="1:7" ht="58.5" customHeight="1" x14ac:dyDescent="0.25">
      <c r="A9258" s="5" t="str">
        <f>"H0034670"</f>
        <v>H0034670</v>
      </c>
      <c r="B9258" s="5" t="str">
        <f>"bomba de infusion (DONACION)"</f>
        <v>bomba de infusion (DONACION)</v>
      </c>
      <c r="C9258" s="6">
        <v>7049854</v>
      </c>
      <c r="D9258" s="5" t="s">
        <v>124</v>
      </c>
      <c r="E9258" s="5" t="str">
        <f t="shared" si="471"/>
        <v>URGENCIAS PEDIATRIA-YENI ESPERANZA PENA GUERRERO</v>
      </c>
      <c r="F9258" s="5"/>
      <c r="G9258" s="5"/>
    </row>
    <row r="9259" spans="1:7" ht="58.5" customHeight="1" x14ac:dyDescent="0.25">
      <c r="A9259" s="5" t="str">
        <f>"H0034672"</f>
        <v>H0034672</v>
      </c>
      <c r="B9259" s="5" t="str">
        <f>"bomba de infusion (DONACION)"</f>
        <v>bomba de infusion (DONACION)</v>
      </c>
      <c r="C9259" s="6">
        <v>7049854</v>
      </c>
      <c r="D9259" s="5" t="s">
        <v>124</v>
      </c>
      <c r="E9259" s="5" t="str">
        <f t="shared" si="471"/>
        <v>URGENCIAS PEDIATRIA-YENI ESPERANZA PENA GUERRERO</v>
      </c>
      <c r="F9259" s="5"/>
      <c r="G9259" s="5"/>
    </row>
    <row r="9260" spans="1:7" ht="58.5" customHeight="1" x14ac:dyDescent="0.25">
      <c r="A9260" s="5" t="str">
        <f>"H0034849"</f>
        <v>H0034849</v>
      </c>
      <c r="B9260" s="5" t="str">
        <f>"VENTILADOR MECANICO (DONACION)"</f>
        <v>VENTILADOR MECANICO (DONACION)</v>
      </c>
      <c r="C9260" s="6">
        <v>78000000</v>
      </c>
      <c r="D9260" s="5" t="s">
        <v>490</v>
      </c>
      <c r="E9260" s="5" t="str">
        <f t="shared" si="471"/>
        <v>URGENCIAS PEDIATRIA-YENI ESPERANZA PENA GUERRERO</v>
      </c>
      <c r="F9260" s="5"/>
      <c r="G9260" s="5"/>
    </row>
    <row r="9261" spans="1:7" ht="58.5" customHeight="1" x14ac:dyDescent="0.25">
      <c r="A9261" s="5" t="str">
        <f>"H0035055"</f>
        <v>H0035055</v>
      </c>
      <c r="B9261" s="5" t="str">
        <f>"COMPRESOR DANFOS 10TON R-410"</f>
        <v>COMPRESOR DANFOS 10TON R-410</v>
      </c>
      <c r="C9261" s="6">
        <v>5355000</v>
      </c>
      <c r="D9261" s="5" t="s">
        <v>22</v>
      </c>
      <c r="E9261" s="5" t="str">
        <f t="shared" si="471"/>
        <v>URGENCIAS PEDIATRIA-YENI ESPERANZA PENA GUERRERO</v>
      </c>
      <c r="F9261" s="5"/>
      <c r="G9261" s="5"/>
    </row>
    <row r="9262" spans="1:7" ht="58.5" customHeight="1" x14ac:dyDescent="0.25">
      <c r="A9262" s="5" t="str">
        <f>"H0035056"</f>
        <v>H0035056</v>
      </c>
      <c r="B9262" s="5" t="str">
        <f>"SILLA DE RUEDAS (DONACION)"</f>
        <v>SILLA DE RUEDAS (DONACION)</v>
      </c>
      <c r="C9262" s="6">
        <v>400000</v>
      </c>
      <c r="D9262" s="5" t="s">
        <v>318</v>
      </c>
      <c r="E9262" s="5" t="str">
        <f t="shared" si="471"/>
        <v>URGENCIAS PEDIATRIA-YENI ESPERANZA PENA GUERRERO</v>
      </c>
      <c r="F9262" s="5"/>
      <c r="G9262" s="5"/>
    </row>
    <row r="9263" spans="1:7" ht="58.5" customHeight="1" x14ac:dyDescent="0.25">
      <c r="A9263" s="5" t="str">
        <f>"H0035184"</f>
        <v>H0035184</v>
      </c>
      <c r="B9263" s="5" t="str">
        <f>"LECTOR DE HUELLAS DIGITALES"</f>
        <v>LECTOR DE HUELLAS DIGITALES</v>
      </c>
      <c r="C9263" s="6">
        <v>357666.4</v>
      </c>
      <c r="D9263" s="5" t="s">
        <v>126</v>
      </c>
      <c r="E9263" s="5" t="str">
        <f t="shared" si="471"/>
        <v>URGENCIAS PEDIATRIA-YENI ESPERANZA PENA GUERRERO</v>
      </c>
      <c r="F9263" s="5"/>
      <c r="G9263" s="5"/>
    </row>
    <row r="9264" spans="1:7" ht="58.5" customHeight="1" x14ac:dyDescent="0.25">
      <c r="A9264" s="5" t="str">
        <f>"H0035188"</f>
        <v>H0035188</v>
      </c>
      <c r="B9264" s="5" t="str">
        <f>"LECTOR DE HUELLAS DIGITALES"</f>
        <v>LECTOR DE HUELLAS DIGITALES</v>
      </c>
      <c r="C9264" s="6">
        <v>357666.4</v>
      </c>
      <c r="D9264" s="5" t="s">
        <v>126</v>
      </c>
      <c r="E9264" s="5" t="str">
        <f t="shared" si="471"/>
        <v>URGENCIAS PEDIATRIA-YENI ESPERANZA PENA GUERRERO</v>
      </c>
      <c r="F9264" s="5"/>
      <c r="G9264" s="5"/>
    </row>
    <row r="9265" spans="1:7" ht="58.5" customHeight="1" x14ac:dyDescent="0.25">
      <c r="A9265" s="5" t="str">
        <f>"H0035259"</f>
        <v>H0035259</v>
      </c>
      <c r="B9265" s="5" t="str">
        <f>"MONITOR DE SIGNOS VITALES (DONACION)"</f>
        <v>MONITOR DE SIGNOS VITALES (DONACION)</v>
      </c>
      <c r="C9265" s="6">
        <v>11471250</v>
      </c>
      <c r="D9265" s="5" t="s">
        <v>279</v>
      </c>
      <c r="E9265" s="5" t="str">
        <f t="shared" si="471"/>
        <v>URGENCIAS PEDIATRIA-YENI ESPERANZA PENA GUERRERO</v>
      </c>
      <c r="F9265" s="5"/>
      <c r="G9265" s="5"/>
    </row>
    <row r="9266" spans="1:7" ht="58.5" customHeight="1" x14ac:dyDescent="0.25">
      <c r="A9266" s="5" t="str">
        <f>"H0035292"</f>
        <v>H0035292</v>
      </c>
      <c r="B9266" s="5" t="str">
        <f>"AIRE ACONDICIONADO DUAL INVERTER DE 12.000 BTU MARCA LG CON KIT DE TUBERIA DE 3 METROS"</f>
        <v>AIRE ACONDICIONADO DUAL INVERTER DE 12.000 BTU MARCA LG CON KIT DE TUBERIA DE 3 METROS</v>
      </c>
      <c r="C9266" s="6">
        <v>2707250</v>
      </c>
      <c r="D9266" s="5" t="s">
        <v>158</v>
      </c>
      <c r="E9266" s="5" t="str">
        <f t="shared" si="471"/>
        <v>URGENCIAS PEDIATRIA-YENI ESPERANZA PENA GUERRERO</v>
      </c>
      <c r="F9266" s="5"/>
      <c r="G9266" s="5" t="str">
        <f>"VM122C7"</f>
        <v>VM122C7</v>
      </c>
    </row>
    <row r="9267" spans="1:7" ht="58.5" customHeight="1" x14ac:dyDescent="0.25">
      <c r="A9267" s="5" t="str">
        <f>"H0035297"</f>
        <v>H0035297</v>
      </c>
      <c r="B9267" s="5" t="str">
        <f>"AIRE ACONDICIONADO DUAL INVERTER DE 18.000 BTU MARCA LG CON KIT DE TUBERIA DE 3 METROS"</f>
        <v>AIRE ACONDICIONADO DUAL INVERTER DE 18.000 BTU MARCA LG CON KIT DE TUBERIA DE 3 METROS</v>
      </c>
      <c r="C9267" s="6">
        <v>3094000</v>
      </c>
      <c r="D9267" s="5" t="s">
        <v>158</v>
      </c>
      <c r="E9267" s="5" t="str">
        <f t="shared" si="471"/>
        <v>URGENCIAS PEDIATRIA-YENI ESPERANZA PENA GUERRERO</v>
      </c>
      <c r="F9267" s="5"/>
      <c r="G9267" s="5" t="str">
        <f>"VM182C7"</f>
        <v>VM182C7</v>
      </c>
    </row>
    <row r="9268" spans="1:7" ht="58.5" customHeight="1" x14ac:dyDescent="0.25">
      <c r="A9268" s="5" t="str">
        <f>"H0035308"</f>
        <v>H0035308</v>
      </c>
      <c r="B9268" s="5" t="str">
        <f>"AIRE ACONDICIONADO TIPO DUCTERIA DE 5 TONELADAS MARCA LG NO CONTIENE KIT DE TUBERIA"</f>
        <v>AIRE ACONDICIONADO TIPO DUCTERIA DE 5 TONELADAS MARCA LG NO CONTIENE KIT DE TUBERIA</v>
      </c>
      <c r="C9268" s="6">
        <v>11412100</v>
      </c>
      <c r="D9268" s="5" t="s">
        <v>158</v>
      </c>
      <c r="E9268" s="5" t="str">
        <f t="shared" si="471"/>
        <v>URGENCIAS PEDIATRIA-YENI ESPERANZA PENA GUERRERO</v>
      </c>
      <c r="F9268" s="5"/>
      <c r="G9268" s="5" t="str">
        <f>"COV6010A1"</f>
        <v>COV6010A1</v>
      </c>
    </row>
    <row r="9269" spans="1:7" ht="58.5" customHeight="1" x14ac:dyDescent="0.25">
      <c r="A9269" s="5" t="str">
        <f>"H0035310"</f>
        <v>H0035310</v>
      </c>
      <c r="B9269" s="5" t="str">
        <f>"AIRE ACONDICIONADO TIPO DUCTERIA DE 5 TONELADAS MARCA LG NO CONTIENE KIT DE TUBERIA"</f>
        <v>AIRE ACONDICIONADO TIPO DUCTERIA DE 5 TONELADAS MARCA LG NO CONTIENE KIT DE TUBERIA</v>
      </c>
      <c r="C9269" s="6">
        <v>11412100</v>
      </c>
      <c r="D9269" s="5" t="s">
        <v>158</v>
      </c>
      <c r="E9269" s="5" t="str">
        <f t="shared" si="471"/>
        <v>URGENCIAS PEDIATRIA-YENI ESPERANZA PENA GUERRERO</v>
      </c>
      <c r="F9269" s="5"/>
      <c r="G9269" s="5" t="str">
        <f>"COV6010A2"</f>
        <v>COV6010A2</v>
      </c>
    </row>
    <row r="9270" spans="1:7" ht="58.5" customHeight="1" x14ac:dyDescent="0.25">
      <c r="A9270" s="5" t="str">
        <f>"H0035501"</f>
        <v>H0035501</v>
      </c>
      <c r="B9270" s="5" t="str">
        <f>"MESA (CARRO) DE CURACIONES"</f>
        <v>MESA (CARRO) DE CURACIONES</v>
      </c>
      <c r="C9270" s="6">
        <v>211250.01</v>
      </c>
      <c r="D9270" s="5" t="s">
        <v>159</v>
      </c>
      <c r="E9270" s="5" t="str">
        <f t="shared" si="471"/>
        <v>URGENCIAS PEDIATRIA-YENI ESPERANZA PENA GUERRERO</v>
      </c>
      <c r="F9270" s="5"/>
      <c r="G9270" s="5"/>
    </row>
    <row r="9271" spans="1:7" ht="58.5" customHeight="1" x14ac:dyDescent="0.25">
      <c r="A9271" s="5" t="str">
        <f>"H0035502"</f>
        <v>H0035502</v>
      </c>
      <c r="B9271" s="5" t="str">
        <f>"MESA (CARRO) DE CURACIONES"</f>
        <v>MESA (CARRO) DE CURACIONES</v>
      </c>
      <c r="C9271" s="6">
        <v>211250.01</v>
      </c>
      <c r="D9271" s="5" t="s">
        <v>159</v>
      </c>
      <c r="E9271" s="5" t="str">
        <f t="shared" si="471"/>
        <v>URGENCIAS PEDIATRIA-YENI ESPERANZA PENA GUERRERO</v>
      </c>
      <c r="F9271" s="5"/>
      <c r="G9271" s="5"/>
    </row>
    <row r="9272" spans="1:7" ht="58.5" customHeight="1" x14ac:dyDescent="0.25">
      <c r="A9272" s="5" t="str">
        <f>"H0035540"</f>
        <v>H0035540</v>
      </c>
      <c r="B9272" s="5" t="str">
        <f>"MESA DE MAYO"</f>
        <v>MESA DE MAYO</v>
      </c>
      <c r="C9272" s="6">
        <v>421875.06</v>
      </c>
      <c r="D9272" s="5" t="s">
        <v>159</v>
      </c>
      <c r="E9272" s="5" t="str">
        <f t="shared" si="471"/>
        <v>URGENCIAS PEDIATRIA-YENI ESPERANZA PENA GUERRERO</v>
      </c>
      <c r="F9272" s="5"/>
      <c r="G9272" s="5"/>
    </row>
    <row r="9273" spans="1:7" ht="58.5" customHeight="1" x14ac:dyDescent="0.25">
      <c r="A9273" s="5" t="str">
        <f>"H0035541"</f>
        <v>H0035541</v>
      </c>
      <c r="B9273" s="5" t="str">
        <f>"MESA DE MAYO"</f>
        <v>MESA DE MAYO</v>
      </c>
      <c r="C9273" s="6">
        <v>421875.06</v>
      </c>
      <c r="D9273" s="5" t="s">
        <v>159</v>
      </c>
      <c r="E9273" s="5" t="str">
        <f t="shared" si="471"/>
        <v>URGENCIAS PEDIATRIA-YENI ESPERANZA PENA GUERRERO</v>
      </c>
      <c r="F9273" s="5"/>
      <c r="G9273" s="5"/>
    </row>
    <row r="9274" spans="1:7" ht="58.5" customHeight="1" x14ac:dyDescent="0.25">
      <c r="A9274" s="5" t="str">
        <f>"h0035675"</f>
        <v>h0035675</v>
      </c>
      <c r="B9274" s="5" t="str">
        <f t="shared" ref="B9274:B9288" si="473">"SILLA GERENTE NIZA MEC. BASCULANTE CON BRAZOS."</f>
        <v>SILLA GERENTE NIZA MEC. BASCULANTE CON BRAZOS.</v>
      </c>
      <c r="C9274" s="6">
        <v>639999.86</v>
      </c>
      <c r="D9274" s="5" t="s">
        <v>235</v>
      </c>
      <c r="E9274" s="5" t="str">
        <f t="shared" si="471"/>
        <v>URGENCIAS PEDIATRIA-YENI ESPERANZA PENA GUERRERO</v>
      </c>
      <c r="F9274" s="5"/>
      <c r="G9274" s="5"/>
    </row>
    <row r="9275" spans="1:7" ht="58.5" customHeight="1" x14ac:dyDescent="0.25">
      <c r="A9275" s="5" t="str">
        <f>"H0035684"</f>
        <v>H0035684</v>
      </c>
      <c r="B9275" s="5" t="str">
        <f t="shared" si="473"/>
        <v>SILLA GERENTE NIZA MEC. BASCULANTE CON BRAZOS.</v>
      </c>
      <c r="C9275" s="6">
        <v>639999.86</v>
      </c>
      <c r="D9275" s="5" t="s">
        <v>235</v>
      </c>
      <c r="E9275" s="5" t="str">
        <f t="shared" si="471"/>
        <v>URGENCIAS PEDIATRIA-YENI ESPERANZA PENA GUERRERO</v>
      </c>
      <c r="F9275" s="5"/>
      <c r="G9275" s="5"/>
    </row>
    <row r="9276" spans="1:7" ht="58.5" customHeight="1" x14ac:dyDescent="0.25">
      <c r="A9276" s="5" t="str">
        <f>"H0035685"</f>
        <v>H0035685</v>
      </c>
      <c r="B9276" s="5" t="str">
        <f t="shared" si="473"/>
        <v>SILLA GERENTE NIZA MEC. BASCULANTE CON BRAZOS.</v>
      </c>
      <c r="C9276" s="6">
        <v>639999.86</v>
      </c>
      <c r="D9276" s="5" t="s">
        <v>235</v>
      </c>
      <c r="E9276" s="5" t="str">
        <f t="shared" si="471"/>
        <v>URGENCIAS PEDIATRIA-YENI ESPERANZA PENA GUERRERO</v>
      </c>
      <c r="F9276" s="5"/>
      <c r="G9276" s="5"/>
    </row>
    <row r="9277" spans="1:7" ht="58.5" customHeight="1" x14ac:dyDescent="0.25">
      <c r="A9277" s="5" t="str">
        <f>"H0035686"</f>
        <v>H0035686</v>
      </c>
      <c r="B9277" s="5" t="str">
        <f t="shared" si="473"/>
        <v>SILLA GERENTE NIZA MEC. BASCULANTE CON BRAZOS.</v>
      </c>
      <c r="C9277" s="6">
        <v>639999.86</v>
      </c>
      <c r="D9277" s="5" t="s">
        <v>235</v>
      </c>
      <c r="E9277" s="5" t="str">
        <f t="shared" si="471"/>
        <v>URGENCIAS PEDIATRIA-YENI ESPERANZA PENA GUERRERO</v>
      </c>
      <c r="F9277" s="5"/>
      <c r="G9277" s="5"/>
    </row>
    <row r="9278" spans="1:7" ht="58.5" customHeight="1" x14ac:dyDescent="0.25">
      <c r="A9278" s="5" t="str">
        <f>"H0035687"</f>
        <v>H0035687</v>
      </c>
      <c r="B9278" s="5" t="str">
        <f t="shared" si="473"/>
        <v>SILLA GERENTE NIZA MEC. BASCULANTE CON BRAZOS.</v>
      </c>
      <c r="C9278" s="6">
        <v>639999.86</v>
      </c>
      <c r="D9278" s="5" t="s">
        <v>235</v>
      </c>
      <c r="E9278" s="5" t="str">
        <f t="shared" si="471"/>
        <v>URGENCIAS PEDIATRIA-YENI ESPERANZA PENA GUERRERO</v>
      </c>
      <c r="F9278" s="5"/>
      <c r="G9278" s="5"/>
    </row>
    <row r="9279" spans="1:7" ht="58.5" customHeight="1" x14ac:dyDescent="0.25">
      <c r="A9279" s="5" t="str">
        <f>"H0035688"</f>
        <v>H0035688</v>
      </c>
      <c r="B9279" s="5" t="str">
        <f t="shared" si="473"/>
        <v>SILLA GERENTE NIZA MEC. BASCULANTE CON BRAZOS.</v>
      </c>
      <c r="C9279" s="6">
        <v>639999.86</v>
      </c>
      <c r="D9279" s="5" t="s">
        <v>235</v>
      </c>
      <c r="E9279" s="5" t="str">
        <f t="shared" si="471"/>
        <v>URGENCIAS PEDIATRIA-YENI ESPERANZA PENA GUERRERO</v>
      </c>
      <c r="F9279" s="5"/>
      <c r="G9279" s="5"/>
    </row>
    <row r="9280" spans="1:7" ht="58.5" customHeight="1" x14ac:dyDescent="0.25">
      <c r="A9280" s="5" t="str">
        <f>"H0035689"</f>
        <v>H0035689</v>
      </c>
      <c r="B9280" s="5" t="str">
        <f t="shared" si="473"/>
        <v>SILLA GERENTE NIZA MEC. BASCULANTE CON BRAZOS.</v>
      </c>
      <c r="C9280" s="6">
        <v>639999.86</v>
      </c>
      <c r="D9280" s="5" t="s">
        <v>235</v>
      </c>
      <c r="E9280" s="5" t="str">
        <f t="shared" si="471"/>
        <v>URGENCIAS PEDIATRIA-YENI ESPERANZA PENA GUERRERO</v>
      </c>
      <c r="F9280" s="5"/>
      <c r="G9280" s="5"/>
    </row>
    <row r="9281" spans="1:7" ht="58.5" customHeight="1" x14ac:dyDescent="0.25">
      <c r="A9281" s="5" t="str">
        <f>"H0035693"</f>
        <v>H0035693</v>
      </c>
      <c r="B9281" s="5" t="str">
        <f t="shared" si="473"/>
        <v>SILLA GERENTE NIZA MEC. BASCULANTE CON BRAZOS.</v>
      </c>
      <c r="C9281" s="6">
        <v>639999.86</v>
      </c>
      <c r="D9281" s="5" t="s">
        <v>235</v>
      </c>
      <c r="E9281" s="5" t="str">
        <f t="shared" si="471"/>
        <v>URGENCIAS PEDIATRIA-YENI ESPERANZA PENA GUERRERO</v>
      </c>
      <c r="F9281" s="5"/>
      <c r="G9281" s="5"/>
    </row>
    <row r="9282" spans="1:7" ht="58.5" customHeight="1" x14ac:dyDescent="0.25">
      <c r="A9282" s="5" t="str">
        <f>"H0035694"</f>
        <v>H0035694</v>
      </c>
      <c r="B9282" s="5" t="str">
        <f t="shared" si="473"/>
        <v>SILLA GERENTE NIZA MEC. BASCULANTE CON BRAZOS.</v>
      </c>
      <c r="C9282" s="6">
        <v>639999.86</v>
      </c>
      <c r="D9282" s="5" t="s">
        <v>235</v>
      </c>
      <c r="E9282" s="5" t="str">
        <f t="shared" si="471"/>
        <v>URGENCIAS PEDIATRIA-YENI ESPERANZA PENA GUERRERO</v>
      </c>
      <c r="F9282" s="5"/>
      <c r="G9282" s="5"/>
    </row>
    <row r="9283" spans="1:7" ht="58.5" customHeight="1" x14ac:dyDescent="0.25">
      <c r="A9283" s="5" t="str">
        <f>"H0035696"</f>
        <v>H0035696</v>
      </c>
      <c r="B9283" s="5" t="str">
        <f t="shared" si="473"/>
        <v>SILLA GERENTE NIZA MEC. BASCULANTE CON BRAZOS.</v>
      </c>
      <c r="C9283" s="6">
        <v>639999.86</v>
      </c>
      <c r="D9283" s="5" t="s">
        <v>235</v>
      </c>
      <c r="E9283" s="5" t="str">
        <f t="shared" ref="E9283:E9349" si="474">"URGENCIAS PEDIATRIA-YENI ESPERANZA PENA GUERRERO"</f>
        <v>URGENCIAS PEDIATRIA-YENI ESPERANZA PENA GUERRERO</v>
      </c>
      <c r="F9283" s="5"/>
      <c r="G9283" s="5"/>
    </row>
    <row r="9284" spans="1:7" ht="58.5" customHeight="1" x14ac:dyDescent="0.25">
      <c r="A9284" s="5" t="str">
        <f>"H0035697"</f>
        <v>H0035697</v>
      </c>
      <c r="B9284" s="5" t="str">
        <f t="shared" si="473"/>
        <v>SILLA GERENTE NIZA MEC. BASCULANTE CON BRAZOS.</v>
      </c>
      <c r="C9284" s="6">
        <v>639999.86</v>
      </c>
      <c r="D9284" s="5" t="s">
        <v>235</v>
      </c>
      <c r="E9284" s="5" t="str">
        <f t="shared" si="474"/>
        <v>URGENCIAS PEDIATRIA-YENI ESPERANZA PENA GUERRERO</v>
      </c>
      <c r="F9284" s="5"/>
      <c r="G9284" s="5"/>
    </row>
    <row r="9285" spans="1:7" ht="58.5" customHeight="1" x14ac:dyDescent="0.25">
      <c r="A9285" s="5" t="str">
        <f>"H0035698"</f>
        <v>H0035698</v>
      </c>
      <c r="B9285" s="5" t="str">
        <f t="shared" si="473"/>
        <v>SILLA GERENTE NIZA MEC. BASCULANTE CON BRAZOS.</v>
      </c>
      <c r="C9285" s="6">
        <v>639999.86</v>
      </c>
      <c r="D9285" s="5" t="s">
        <v>235</v>
      </c>
      <c r="E9285" s="5" t="str">
        <f t="shared" si="474"/>
        <v>URGENCIAS PEDIATRIA-YENI ESPERANZA PENA GUERRERO</v>
      </c>
      <c r="F9285" s="5"/>
      <c r="G9285" s="5"/>
    </row>
    <row r="9286" spans="1:7" ht="58.5" customHeight="1" x14ac:dyDescent="0.25">
      <c r="A9286" s="5" t="str">
        <f>"H0035699"</f>
        <v>H0035699</v>
      </c>
      <c r="B9286" s="5" t="str">
        <f t="shared" si="473"/>
        <v>SILLA GERENTE NIZA MEC. BASCULANTE CON BRAZOS.</v>
      </c>
      <c r="C9286" s="6">
        <v>639999.86</v>
      </c>
      <c r="D9286" s="5" t="s">
        <v>235</v>
      </c>
      <c r="E9286" s="5" t="str">
        <f t="shared" si="474"/>
        <v>URGENCIAS PEDIATRIA-YENI ESPERANZA PENA GUERRERO</v>
      </c>
      <c r="F9286" s="5"/>
      <c r="G9286" s="5"/>
    </row>
    <row r="9287" spans="1:7" ht="58.5" customHeight="1" x14ac:dyDescent="0.25">
      <c r="A9287" s="5" t="str">
        <f>"H0035704"</f>
        <v>H0035704</v>
      </c>
      <c r="B9287" s="5" t="str">
        <f t="shared" si="473"/>
        <v>SILLA GERENTE NIZA MEC. BASCULANTE CON BRAZOS.</v>
      </c>
      <c r="C9287" s="6">
        <v>639999.86</v>
      </c>
      <c r="D9287" s="5" t="s">
        <v>235</v>
      </c>
      <c r="E9287" s="5" t="str">
        <f t="shared" si="474"/>
        <v>URGENCIAS PEDIATRIA-YENI ESPERANZA PENA GUERRERO</v>
      </c>
      <c r="F9287" s="5"/>
      <c r="G9287" s="5"/>
    </row>
    <row r="9288" spans="1:7" ht="58.5" customHeight="1" x14ac:dyDescent="0.25">
      <c r="A9288" s="5" t="str">
        <f>"H0035705"</f>
        <v>H0035705</v>
      </c>
      <c r="B9288" s="5" t="str">
        <f t="shared" si="473"/>
        <v>SILLA GERENTE NIZA MEC. BASCULANTE CON BRAZOS.</v>
      </c>
      <c r="C9288" s="6">
        <v>639999.86</v>
      </c>
      <c r="D9288" s="5" t="s">
        <v>235</v>
      </c>
      <c r="E9288" s="5" t="str">
        <f t="shared" si="474"/>
        <v>URGENCIAS PEDIATRIA-YENI ESPERANZA PENA GUERRERO</v>
      </c>
      <c r="F9288" s="5"/>
      <c r="G9288" s="5"/>
    </row>
    <row r="9289" spans="1:7" ht="58.5" customHeight="1" x14ac:dyDescent="0.25">
      <c r="A9289" s="5" t="str">
        <f>"H0037089"</f>
        <v>H0037089</v>
      </c>
      <c r="B9289" s="5" t="str">
        <f>"INFANTOMETRO"</f>
        <v>INFANTOMETRO</v>
      </c>
      <c r="C9289" s="6">
        <v>1191337.03</v>
      </c>
      <c r="D9289" s="5" t="s">
        <v>136</v>
      </c>
      <c r="E9289" s="5" t="str">
        <f t="shared" si="474"/>
        <v>URGENCIAS PEDIATRIA-YENI ESPERANZA PENA GUERRERO</v>
      </c>
      <c r="F9289" s="5"/>
      <c r="G9289" s="5"/>
    </row>
    <row r="9290" spans="1:7" ht="58.5" customHeight="1" x14ac:dyDescent="0.25">
      <c r="A9290" s="5" t="str">
        <f>"H0037090"</f>
        <v>H0037090</v>
      </c>
      <c r="B9290" s="5" t="str">
        <f>"INFANTOMETRO"</f>
        <v>INFANTOMETRO</v>
      </c>
      <c r="C9290" s="6">
        <v>1191337.03</v>
      </c>
      <c r="D9290" s="5" t="s">
        <v>136</v>
      </c>
      <c r="E9290" s="5" t="str">
        <f t="shared" si="474"/>
        <v>URGENCIAS PEDIATRIA-YENI ESPERANZA PENA GUERRERO</v>
      </c>
      <c r="F9290" s="5"/>
      <c r="G9290" s="5"/>
    </row>
    <row r="9291" spans="1:7" ht="58.5" customHeight="1" x14ac:dyDescent="0.25">
      <c r="A9291" s="5" t="str">
        <f>"H0037091"</f>
        <v>H0037091</v>
      </c>
      <c r="B9291" s="5" t="str">
        <f>"INFANTOMETRO"</f>
        <v>INFANTOMETRO</v>
      </c>
      <c r="C9291" s="6">
        <v>1191337.03</v>
      </c>
      <c r="D9291" s="5" t="s">
        <v>136</v>
      </c>
      <c r="E9291" s="5" t="str">
        <f t="shared" si="474"/>
        <v>URGENCIAS PEDIATRIA-YENI ESPERANZA PENA GUERRERO</v>
      </c>
      <c r="F9291" s="5"/>
      <c r="G9291" s="5"/>
    </row>
    <row r="9292" spans="1:7" ht="58.5" customHeight="1" x14ac:dyDescent="0.25">
      <c r="A9292" s="5" t="str">
        <f>"H0037101"</f>
        <v>H0037101</v>
      </c>
      <c r="B9292" s="5" t="str">
        <f>"BASCULA PESA BEBE MARCA SECA MODELO 374"</f>
        <v>BASCULA PESA BEBE MARCA SECA MODELO 374</v>
      </c>
      <c r="C9292" s="6">
        <v>3971069.02</v>
      </c>
      <c r="D9292" s="5" t="s">
        <v>136</v>
      </c>
      <c r="E9292" s="5" t="str">
        <f t="shared" si="474"/>
        <v>URGENCIAS PEDIATRIA-YENI ESPERANZA PENA GUERRERO</v>
      </c>
      <c r="F9292" s="5"/>
      <c r="G9292" s="5"/>
    </row>
    <row r="9293" spans="1:7" ht="58.5" customHeight="1" x14ac:dyDescent="0.25">
      <c r="A9293" s="5" t="str">
        <f>"H0037102"</f>
        <v>H0037102</v>
      </c>
      <c r="B9293" s="5" t="str">
        <f>"BASCULA PESA BEBE MARCA SECA MODELO 374"</f>
        <v>BASCULA PESA BEBE MARCA SECA MODELO 374</v>
      </c>
      <c r="C9293" s="6">
        <v>3971069.02</v>
      </c>
      <c r="D9293" s="5" t="s">
        <v>136</v>
      </c>
      <c r="E9293" s="5" t="str">
        <f t="shared" si="474"/>
        <v>URGENCIAS PEDIATRIA-YENI ESPERANZA PENA GUERRERO</v>
      </c>
      <c r="F9293" s="5"/>
      <c r="G9293" s="5"/>
    </row>
    <row r="9294" spans="1:7" ht="58.5" customHeight="1" x14ac:dyDescent="0.25">
      <c r="A9294" s="5" t="str">
        <f>"H0037113"</f>
        <v>H0037113</v>
      </c>
      <c r="B9294" s="5" t="str">
        <f>"TALLIMETRO CAPACIDAD 20-205 CM (DONACION)"</f>
        <v>TALLIMETRO CAPACIDAD 20-205 CM (DONACION)</v>
      </c>
      <c r="C9294" s="6">
        <v>1254705.99</v>
      </c>
      <c r="D9294" s="5" t="s">
        <v>136</v>
      </c>
      <c r="E9294" s="5" t="str">
        <f t="shared" si="474"/>
        <v>URGENCIAS PEDIATRIA-YENI ESPERANZA PENA GUERRERO</v>
      </c>
      <c r="F9294" s="5"/>
      <c r="G9294" s="5"/>
    </row>
    <row r="9295" spans="1:7" ht="58.5" customHeight="1" x14ac:dyDescent="0.25">
      <c r="A9295" s="5" t="str">
        <f>"H0037114"</f>
        <v>H0037114</v>
      </c>
      <c r="B9295" s="5" t="str">
        <f>"TALLIMETRO CAPACIDAD 20-205 CM (DONACION)"</f>
        <v>TALLIMETRO CAPACIDAD 20-205 CM (DONACION)</v>
      </c>
      <c r="C9295" s="6">
        <v>1254705.99</v>
      </c>
      <c r="D9295" s="5" t="s">
        <v>136</v>
      </c>
      <c r="E9295" s="5" t="str">
        <f t="shared" si="474"/>
        <v>URGENCIAS PEDIATRIA-YENI ESPERANZA PENA GUERRERO</v>
      </c>
      <c r="F9295" s="5"/>
      <c r="G9295" s="5"/>
    </row>
    <row r="9296" spans="1:7" ht="58.5" customHeight="1" x14ac:dyDescent="0.25">
      <c r="A9296" s="5" t="str">
        <f>"H0037115"</f>
        <v>H0037115</v>
      </c>
      <c r="B9296" s="5" t="str">
        <f>"TALLIMETRO CAPACIDAD 20-205 CM (DONACION)"</f>
        <v>TALLIMETRO CAPACIDAD 20-205 CM (DONACION)</v>
      </c>
      <c r="C9296" s="6">
        <v>1254705.99</v>
      </c>
      <c r="D9296" s="5" t="s">
        <v>136</v>
      </c>
      <c r="E9296" s="5" t="str">
        <f t="shared" si="474"/>
        <v>URGENCIAS PEDIATRIA-YENI ESPERANZA PENA GUERRERO</v>
      </c>
      <c r="F9296" s="5"/>
      <c r="G9296" s="5"/>
    </row>
    <row r="9297" spans="1:7" ht="58.5" customHeight="1" x14ac:dyDescent="0.25">
      <c r="A9297" s="5" t="str">
        <f>"H0037116"</f>
        <v>H0037116</v>
      </c>
      <c r="B9297" s="5" t="str">
        <f>"TALLIMETRO CAPACIDAD 20-205 CM (DONACION)"</f>
        <v>TALLIMETRO CAPACIDAD 20-205 CM (DONACION)</v>
      </c>
      <c r="C9297" s="6">
        <v>1254705.99</v>
      </c>
      <c r="D9297" s="5" t="s">
        <v>136</v>
      </c>
      <c r="E9297" s="5" t="str">
        <f t="shared" si="474"/>
        <v>URGENCIAS PEDIATRIA-YENI ESPERANZA PENA GUERRERO</v>
      </c>
      <c r="F9297" s="5"/>
      <c r="G9297" s="5"/>
    </row>
    <row r="9298" spans="1:7" ht="58.5" customHeight="1" x14ac:dyDescent="0.25">
      <c r="A9298" s="5" t="str">
        <f>"H0037181"</f>
        <v>H0037181</v>
      </c>
      <c r="B9298" s="5" t="str">
        <f>"BASCULA: Capacidad: 200 kg, División: 100 g &lt; 150 kg &gt; 200 g, Dimensiones (AxAxP):321 x 61 x 362 mm, Peso: 4,1 kg"</f>
        <v>BASCULA: Capacidad: 200 kg, División: 100 g &lt; 150 kg &gt; 200 g, Dimensiones (AxAxP):321 x 61 x 362 mm, Peso: 4,1 kg</v>
      </c>
      <c r="C9298" s="6">
        <v>3588386.01</v>
      </c>
      <c r="D9298" s="5" t="s">
        <v>160</v>
      </c>
      <c r="E9298" s="5" t="str">
        <f t="shared" si="474"/>
        <v>URGENCIAS PEDIATRIA-YENI ESPERANZA PENA GUERRERO</v>
      </c>
      <c r="F9298" s="5"/>
      <c r="G9298" s="5"/>
    </row>
    <row r="9299" spans="1:7" ht="58.5" customHeight="1" x14ac:dyDescent="0.25">
      <c r="A9299" s="5" t="str">
        <f>"H0037182"</f>
        <v>H0037182</v>
      </c>
      <c r="B9299" s="5" t="str">
        <f>"BASCULA: Capacidad: 200 kg, División: 100 g &lt; 150 kg &gt; 200 g, Dimensiones (AxAxP):321 x 61 x 362 mm, Peso: 4,1 kg"</f>
        <v>BASCULA: Capacidad: 200 kg, División: 100 g &lt; 150 kg &gt; 200 g, Dimensiones (AxAxP):321 x 61 x 362 mm, Peso: 4,1 kg</v>
      </c>
      <c r="C9299" s="6">
        <v>3588386.01</v>
      </c>
      <c r="D9299" s="5" t="s">
        <v>160</v>
      </c>
      <c r="E9299" s="5" t="str">
        <f t="shared" si="474"/>
        <v>URGENCIAS PEDIATRIA-YENI ESPERANZA PENA GUERRERO</v>
      </c>
      <c r="F9299" s="5"/>
      <c r="G9299" s="5"/>
    </row>
    <row r="9300" spans="1:7" ht="58.5" customHeight="1" x14ac:dyDescent="0.25">
      <c r="A9300" s="5" t="str">
        <f>"H0037183"</f>
        <v>H0037183</v>
      </c>
      <c r="B9300" s="5" t="str">
        <f>"BASCULA: Capacidad: 200 kg, División: 100 g &lt; 150 kg &gt; 200 g, Dimensiones (AxAxP):321 x 61 x 362 mm, Peso: 4,1 kg"</f>
        <v>BASCULA: Capacidad: 200 kg, División: 100 g &lt; 150 kg &gt; 200 g, Dimensiones (AxAxP):321 x 61 x 362 mm, Peso: 4,1 kg</v>
      </c>
      <c r="C9300" s="6">
        <v>3588386.01</v>
      </c>
      <c r="D9300" s="5" t="s">
        <v>160</v>
      </c>
      <c r="E9300" s="5" t="str">
        <f t="shared" si="474"/>
        <v>URGENCIAS PEDIATRIA-YENI ESPERANZA PENA GUERRERO</v>
      </c>
      <c r="F9300" s="5"/>
      <c r="G9300" s="5"/>
    </row>
    <row r="9301" spans="1:7" ht="58.5" customHeight="1" x14ac:dyDescent="0.25">
      <c r="A9301" s="5" t="str">
        <f>"H0037184"</f>
        <v>H0037184</v>
      </c>
      <c r="B9301" s="5" t="str">
        <f>"BASCULA: Capacidad: 200 kg, División: 100 g &lt; 150 kg &gt; 200 g, Dimensiones (AxAxP):321 x 61 x 362 mm, Peso: 4,1 kg"</f>
        <v>BASCULA: Capacidad: 200 kg, División: 100 g &lt; 150 kg &gt; 200 g, Dimensiones (AxAxP):321 x 61 x 362 mm, Peso: 4,1 kg</v>
      </c>
      <c r="C9301" s="6">
        <v>3588386.01</v>
      </c>
      <c r="D9301" s="5" t="s">
        <v>160</v>
      </c>
      <c r="E9301" s="5" t="str">
        <f t="shared" si="474"/>
        <v>URGENCIAS PEDIATRIA-YENI ESPERANZA PENA GUERRERO</v>
      </c>
      <c r="F9301" s="5"/>
      <c r="G9301" s="5"/>
    </row>
    <row r="9302" spans="1:7" ht="58.5" customHeight="1" x14ac:dyDescent="0.25">
      <c r="A9302" s="5" t="str">
        <f>"H0037213"</f>
        <v>H0037213</v>
      </c>
      <c r="B9302" s="5" t="str">
        <f>"AIRE ACONDICIONADO TIPO MINISPLIT CAPACIDAD 18.000 BTU TECNOLOGIA INVERTER DUAL"</f>
        <v>AIRE ACONDICIONADO TIPO MINISPLIT CAPACIDAD 18.000 BTU TECNOLOGIA INVERTER DUAL</v>
      </c>
      <c r="C9302" s="6">
        <v>3899999.92</v>
      </c>
      <c r="D9302" s="5" t="s">
        <v>201</v>
      </c>
      <c r="E9302" s="5" t="str">
        <f t="shared" si="474"/>
        <v>URGENCIAS PEDIATRIA-YENI ESPERANZA PENA GUERRERO</v>
      </c>
      <c r="F9302" s="5"/>
      <c r="G9302" s="5"/>
    </row>
    <row r="9303" spans="1:7" ht="58.5" customHeight="1" x14ac:dyDescent="0.25">
      <c r="A9303" s="5" t="str">
        <f>"H0037219"</f>
        <v>H0037219</v>
      </c>
      <c r="B9303" s="5" t="str">
        <f>"AIRE ACONDICIONADO DE 36000 BTU PISO TECHO"</f>
        <v>AIRE ACONDICIONADO DE 36000 BTU PISO TECHO</v>
      </c>
      <c r="C9303" s="6">
        <v>6426000</v>
      </c>
      <c r="D9303" s="5" t="s">
        <v>201</v>
      </c>
      <c r="E9303" s="5" t="str">
        <f t="shared" si="474"/>
        <v>URGENCIAS PEDIATRIA-YENI ESPERANZA PENA GUERRERO</v>
      </c>
      <c r="F9303" s="5"/>
      <c r="G9303" s="5"/>
    </row>
    <row r="9304" spans="1:7" ht="58.5" customHeight="1" x14ac:dyDescent="0.25">
      <c r="A9304" s="5" t="str">
        <f>"H0037429"</f>
        <v>H0037429</v>
      </c>
      <c r="B9304" s="5" t="str">
        <f>"AIRE ACONDICIONADO TIPO MINISPLIT CAPACIDAD 12.000 BTU TECNOLOGIA INVERTER DUAL"</f>
        <v>AIRE ACONDICIONADO TIPO MINISPLIT CAPACIDAD 12.000 BTU TECNOLOGIA INVERTER DUAL</v>
      </c>
      <c r="C9304" s="6">
        <v>3261552</v>
      </c>
      <c r="D9304" s="5" t="s">
        <v>202</v>
      </c>
      <c r="E9304" s="5" t="str">
        <f t="shared" si="474"/>
        <v>URGENCIAS PEDIATRIA-YENI ESPERANZA PENA GUERRERO</v>
      </c>
      <c r="F9304" s="5"/>
      <c r="G9304" s="5"/>
    </row>
    <row r="9305" spans="1:7" ht="58.5" customHeight="1" x14ac:dyDescent="0.25">
      <c r="A9305" s="5" t="str">
        <f>"H0037431"</f>
        <v>H0037431</v>
      </c>
      <c r="B9305" s="5" t="str">
        <f>"AIRE ACONDICIONADO TIPO MINISPLIT CAPACIDAD 12.000 BTU TECNOLOGIA INVERTER DUAL"</f>
        <v>AIRE ACONDICIONADO TIPO MINISPLIT CAPACIDAD 12.000 BTU TECNOLOGIA INVERTER DUAL</v>
      </c>
      <c r="C9305" s="6">
        <v>3261552</v>
      </c>
      <c r="D9305" s="5" t="s">
        <v>202</v>
      </c>
      <c r="E9305" s="5" t="str">
        <f t="shared" si="474"/>
        <v>URGENCIAS PEDIATRIA-YENI ESPERANZA PENA GUERRERO</v>
      </c>
      <c r="F9305" s="5"/>
      <c r="G9305" s="5"/>
    </row>
    <row r="9306" spans="1:7" ht="58.5" customHeight="1" x14ac:dyDescent="0.25">
      <c r="A9306" s="5" t="str">
        <f>"H0037438"</f>
        <v>H0037438</v>
      </c>
      <c r="B9306" s="5" t="str">
        <f>"AIRE ACONDICIONADO TIPO MINISPLIT CAPACIDAD 24.000 BTU TECNOLOGIA INVERTER DUAL"</f>
        <v>AIRE ACONDICIONADO TIPO MINISPLIT CAPACIDAD 24.000 BTU TECNOLOGIA INVERTER DUAL</v>
      </c>
      <c r="C9306" s="6">
        <v>5848909.5300000003</v>
      </c>
      <c r="D9306" s="5" t="s">
        <v>202</v>
      </c>
      <c r="E9306" s="5" t="str">
        <f t="shared" si="474"/>
        <v>URGENCIAS PEDIATRIA-YENI ESPERANZA PENA GUERRERO</v>
      </c>
      <c r="F9306" s="5"/>
      <c r="G9306" s="5"/>
    </row>
    <row r="9307" spans="1:7" ht="58.5" customHeight="1" x14ac:dyDescent="0.25">
      <c r="A9307" s="5" t="str">
        <f>"H0037496"</f>
        <v>H0037496</v>
      </c>
      <c r="B9307" s="5" t="str">
        <f>"VENTILADOR DE PARED"</f>
        <v>VENTILADOR DE PARED</v>
      </c>
      <c r="C9307" s="6">
        <v>286671</v>
      </c>
      <c r="D9307" s="5" t="s">
        <v>139</v>
      </c>
      <c r="E9307" s="5" t="str">
        <f t="shared" si="474"/>
        <v>URGENCIAS PEDIATRIA-YENI ESPERANZA PENA GUERRERO</v>
      </c>
      <c r="F9307" s="5"/>
      <c r="G9307" s="5"/>
    </row>
    <row r="9308" spans="1:7" ht="58.5" customHeight="1" x14ac:dyDescent="0.25">
      <c r="A9308" s="5" t="str">
        <f>"H0037733"</f>
        <v>H0037733</v>
      </c>
      <c r="B9308" s="5" t="str">
        <f>"MESA (CARRO) DE CURACIONES"</f>
        <v>MESA (CARRO) DE CURACIONES</v>
      </c>
      <c r="C9308" s="6">
        <v>722000</v>
      </c>
      <c r="D9308" s="5" t="s">
        <v>141</v>
      </c>
      <c r="E9308" s="5" t="str">
        <f t="shared" si="474"/>
        <v>URGENCIAS PEDIATRIA-YENI ESPERANZA PENA GUERRERO</v>
      </c>
      <c r="F9308" s="5"/>
      <c r="G9308" s="5"/>
    </row>
    <row r="9309" spans="1:7" ht="58.5" customHeight="1" x14ac:dyDescent="0.25">
      <c r="A9309" s="5" t="str">
        <f>"H0037734"</f>
        <v>H0037734</v>
      </c>
      <c r="B9309" s="5" t="str">
        <f>"MESA (CARRO) DE CURACIONES"</f>
        <v>MESA (CARRO) DE CURACIONES</v>
      </c>
      <c r="C9309" s="6">
        <v>722000</v>
      </c>
      <c r="D9309" s="5" t="s">
        <v>141</v>
      </c>
      <c r="E9309" s="5" t="str">
        <f t="shared" si="474"/>
        <v>URGENCIAS PEDIATRIA-YENI ESPERANZA PENA GUERRERO</v>
      </c>
      <c r="F9309" s="5"/>
      <c r="G9309" s="5"/>
    </row>
    <row r="9310" spans="1:7" ht="58.5" customHeight="1" x14ac:dyDescent="0.25">
      <c r="A9310" s="5" t="str">
        <f>"H0037745"</f>
        <v>H0037745</v>
      </c>
      <c r="B9310" s="5" t="str">
        <f>"BUTACO GIRATORIO CON RUEDAS"</f>
        <v>BUTACO GIRATORIO CON RUEDAS</v>
      </c>
      <c r="C9310" s="6">
        <v>275000</v>
      </c>
      <c r="D9310" s="5" t="s">
        <v>141</v>
      </c>
      <c r="E9310" s="5" t="str">
        <f t="shared" si="474"/>
        <v>URGENCIAS PEDIATRIA-YENI ESPERANZA PENA GUERRERO</v>
      </c>
      <c r="F9310" s="5"/>
      <c r="G9310" s="5"/>
    </row>
    <row r="9311" spans="1:7" ht="58.5" customHeight="1" x14ac:dyDescent="0.25">
      <c r="A9311" s="5" t="str">
        <f>"H0037754"</f>
        <v>H0037754</v>
      </c>
      <c r="B9311" s="5" t="str">
        <f t="shared" ref="B9311:B9318" si="475">"ESCALERILLA DE 2 PASOS"</f>
        <v>ESCALERILLA DE 2 PASOS</v>
      </c>
      <c r="C9311" s="6">
        <v>210000</v>
      </c>
      <c r="D9311" s="5" t="s">
        <v>141</v>
      </c>
      <c r="E9311" s="5" t="str">
        <f t="shared" si="474"/>
        <v>URGENCIAS PEDIATRIA-YENI ESPERANZA PENA GUERRERO</v>
      </c>
      <c r="F9311" s="5"/>
      <c r="G9311" s="5"/>
    </row>
    <row r="9312" spans="1:7" ht="58.5" customHeight="1" x14ac:dyDescent="0.25">
      <c r="A9312" s="5" t="str">
        <f>"H0037755"</f>
        <v>H0037755</v>
      </c>
      <c r="B9312" s="5" t="str">
        <f t="shared" si="475"/>
        <v>ESCALERILLA DE 2 PASOS</v>
      </c>
      <c r="C9312" s="6">
        <v>210000</v>
      </c>
      <c r="D9312" s="5" t="s">
        <v>141</v>
      </c>
      <c r="E9312" s="5" t="str">
        <f t="shared" si="474"/>
        <v>URGENCIAS PEDIATRIA-YENI ESPERANZA PENA GUERRERO</v>
      </c>
      <c r="F9312" s="5"/>
      <c r="G9312" s="5"/>
    </row>
    <row r="9313" spans="1:7" ht="58.5" customHeight="1" x14ac:dyDescent="0.25">
      <c r="A9313" s="5" t="str">
        <f>"H0037756"</f>
        <v>H0037756</v>
      </c>
      <c r="B9313" s="5" t="str">
        <f t="shared" si="475"/>
        <v>ESCALERILLA DE 2 PASOS</v>
      </c>
      <c r="C9313" s="6">
        <v>210000</v>
      </c>
      <c r="D9313" s="5" t="s">
        <v>141</v>
      </c>
      <c r="E9313" s="5" t="str">
        <f t="shared" si="474"/>
        <v>URGENCIAS PEDIATRIA-YENI ESPERANZA PENA GUERRERO</v>
      </c>
      <c r="F9313" s="5"/>
      <c r="G9313" s="5"/>
    </row>
    <row r="9314" spans="1:7" ht="58.5" customHeight="1" x14ac:dyDescent="0.25">
      <c r="A9314" s="5" t="str">
        <f>"H0037757"</f>
        <v>H0037757</v>
      </c>
      <c r="B9314" s="5" t="str">
        <f t="shared" si="475"/>
        <v>ESCALERILLA DE 2 PASOS</v>
      </c>
      <c r="C9314" s="6">
        <v>210000</v>
      </c>
      <c r="D9314" s="5" t="s">
        <v>141</v>
      </c>
      <c r="E9314" s="5" t="str">
        <f t="shared" si="474"/>
        <v>URGENCIAS PEDIATRIA-YENI ESPERANZA PENA GUERRERO</v>
      </c>
      <c r="F9314" s="5"/>
      <c r="G9314" s="5"/>
    </row>
    <row r="9315" spans="1:7" ht="58.5" customHeight="1" x14ac:dyDescent="0.25">
      <c r="A9315" s="5" t="str">
        <f>"H0037761"</f>
        <v>H0037761</v>
      </c>
      <c r="B9315" s="5" t="str">
        <f t="shared" si="475"/>
        <v>ESCALERILLA DE 2 PASOS</v>
      </c>
      <c r="C9315" s="6">
        <v>60000</v>
      </c>
      <c r="D9315" s="5" t="s">
        <v>141</v>
      </c>
      <c r="E9315" s="5" t="str">
        <f t="shared" si="474"/>
        <v>URGENCIAS PEDIATRIA-YENI ESPERANZA PENA GUERRERO</v>
      </c>
      <c r="F9315" s="5"/>
      <c r="G9315" s="5"/>
    </row>
    <row r="9316" spans="1:7" ht="58.5" customHeight="1" x14ac:dyDescent="0.25">
      <c r="A9316" s="5" t="str">
        <f>"H0037762"</f>
        <v>H0037762</v>
      </c>
      <c r="B9316" s="5" t="str">
        <f t="shared" si="475"/>
        <v>ESCALERILLA DE 2 PASOS</v>
      </c>
      <c r="C9316" s="6">
        <v>60000</v>
      </c>
      <c r="D9316" s="5" t="s">
        <v>141</v>
      </c>
      <c r="E9316" s="5" t="str">
        <f t="shared" si="474"/>
        <v>URGENCIAS PEDIATRIA-YENI ESPERANZA PENA GUERRERO</v>
      </c>
      <c r="F9316" s="5"/>
      <c r="G9316" s="5"/>
    </row>
    <row r="9317" spans="1:7" ht="58.5" customHeight="1" x14ac:dyDescent="0.25">
      <c r="A9317" s="5" t="str">
        <f>"H0037763"</f>
        <v>H0037763</v>
      </c>
      <c r="B9317" s="5" t="str">
        <f t="shared" si="475"/>
        <v>ESCALERILLA DE 2 PASOS</v>
      </c>
      <c r="C9317" s="6">
        <v>60000</v>
      </c>
      <c r="D9317" s="5" t="s">
        <v>141</v>
      </c>
      <c r="E9317" s="5" t="str">
        <f t="shared" si="474"/>
        <v>URGENCIAS PEDIATRIA-YENI ESPERANZA PENA GUERRERO</v>
      </c>
      <c r="F9317" s="5"/>
      <c r="G9317" s="5"/>
    </row>
    <row r="9318" spans="1:7" ht="58.5" customHeight="1" x14ac:dyDescent="0.25">
      <c r="A9318" s="5" t="str">
        <f>"H0037764"</f>
        <v>H0037764</v>
      </c>
      <c r="B9318" s="5" t="str">
        <f t="shared" si="475"/>
        <v>ESCALERILLA DE 2 PASOS</v>
      </c>
      <c r="C9318" s="6">
        <v>60000</v>
      </c>
      <c r="D9318" s="5" t="s">
        <v>141</v>
      </c>
      <c r="E9318" s="5" t="str">
        <f t="shared" si="474"/>
        <v>URGENCIAS PEDIATRIA-YENI ESPERANZA PENA GUERRERO</v>
      </c>
      <c r="F9318" s="5"/>
      <c r="G9318" s="5"/>
    </row>
    <row r="9319" spans="1:7" ht="58.5" customHeight="1" x14ac:dyDescent="0.25">
      <c r="A9319" s="5" t="str">
        <f>"H0037915"</f>
        <v>H0037915</v>
      </c>
      <c r="B9319" s="5" t="str">
        <f>"SILLA GERENTE NIZA MEC. BASCULANTE CON BRAZOS."</f>
        <v>SILLA GERENTE NIZA MEC. BASCULANTE CON BRAZOS.</v>
      </c>
      <c r="C9319" s="6">
        <v>710000.01</v>
      </c>
      <c r="D9319" s="5" t="s">
        <v>30</v>
      </c>
      <c r="E9319" s="5" t="str">
        <f t="shared" si="474"/>
        <v>URGENCIAS PEDIATRIA-YENI ESPERANZA PENA GUERRERO</v>
      </c>
      <c r="F9319" s="5"/>
      <c r="G9319" s="5"/>
    </row>
    <row r="9320" spans="1:7" ht="58.5" customHeight="1" x14ac:dyDescent="0.25">
      <c r="A9320" s="5" t="str">
        <f>"H0037916"</f>
        <v>H0037916</v>
      </c>
      <c r="B9320" s="5" t="str">
        <f>"SILLA GERENTE NIZA MEC. BASCULANTE CON BRAZOS."</f>
        <v>SILLA GERENTE NIZA MEC. BASCULANTE CON BRAZOS.</v>
      </c>
      <c r="C9320" s="6">
        <v>710000.01</v>
      </c>
      <c r="D9320" s="5" t="s">
        <v>30</v>
      </c>
      <c r="E9320" s="5" t="str">
        <f t="shared" si="474"/>
        <v>URGENCIAS PEDIATRIA-YENI ESPERANZA PENA GUERRERO</v>
      </c>
      <c r="F9320" s="5"/>
      <c r="G9320" s="5"/>
    </row>
    <row r="9321" spans="1:7" ht="58.5" customHeight="1" x14ac:dyDescent="0.25">
      <c r="A9321" s="5" t="str">
        <f>"H0038232"</f>
        <v>H0038232</v>
      </c>
      <c r="B9321" s="5" t="str">
        <f>"PANTALLA RECEPTORA DE LLAMADO DE ENFERMERIA"</f>
        <v>PANTALLA RECEPTORA DE LLAMADO DE ENFERMERIA</v>
      </c>
      <c r="C9321" s="6">
        <v>4570038</v>
      </c>
      <c r="D9321" s="5" t="s">
        <v>143</v>
      </c>
      <c r="E9321" s="5" t="str">
        <f t="shared" si="474"/>
        <v>URGENCIAS PEDIATRIA-YENI ESPERANZA PENA GUERRERO</v>
      </c>
      <c r="F9321" s="5"/>
      <c r="G9321" s="5"/>
    </row>
    <row r="9322" spans="1:7" ht="58.5" customHeight="1" x14ac:dyDescent="0.25">
      <c r="A9322" s="5" t="str">
        <f>"H0038241"</f>
        <v>H0038241</v>
      </c>
      <c r="B9322" s="5" t="str">
        <f>"UNIDAD DE LLAMADO DE ENFERMERIA PARA BAÑO CON CORDON TIRADOR. RESISTENTE A SALPICADURAS DE AGUA Y LUZ INDICADORA DE PULSACIÓN"</f>
        <v>UNIDAD DE LLAMADO DE ENFERMERIA PARA BAÑO CON CORDON TIRADOR. RESISTENTE A SALPICADURAS DE AGUA Y LUZ INDICADORA DE PULSACIÓN</v>
      </c>
      <c r="C9322" s="6">
        <v>529400</v>
      </c>
      <c r="D9322" s="5" t="s">
        <v>143</v>
      </c>
      <c r="E9322" s="5" t="str">
        <f t="shared" si="474"/>
        <v>URGENCIAS PEDIATRIA-YENI ESPERANZA PENA GUERRERO</v>
      </c>
      <c r="F9322" s="5"/>
      <c r="G9322" s="5"/>
    </row>
    <row r="9323" spans="1:7" ht="58.5" customHeight="1" x14ac:dyDescent="0.25">
      <c r="A9323" s="5" t="str">
        <f>"H0038242"</f>
        <v>H0038242</v>
      </c>
      <c r="B9323" s="5" t="str">
        <f>"UNIDAD DE LLAMADO DE ENFERMERIA PARA BAÑO CON CORDON TIRADOR. RESISTENTE A SALPICADURAS DE AGUA Y LUZ INDICADORA DE PULSACIÓN"</f>
        <v>UNIDAD DE LLAMADO DE ENFERMERIA PARA BAÑO CON CORDON TIRADOR. RESISTENTE A SALPICADURAS DE AGUA Y LUZ INDICADORA DE PULSACIÓN</v>
      </c>
      <c r="C9323" s="6">
        <v>529400</v>
      </c>
      <c r="D9323" s="5" t="s">
        <v>143</v>
      </c>
      <c r="E9323" s="5" t="str">
        <f t="shared" si="474"/>
        <v>URGENCIAS PEDIATRIA-YENI ESPERANZA PENA GUERRERO</v>
      </c>
      <c r="F9323" s="5"/>
      <c r="G9323" s="5"/>
    </row>
    <row r="9324" spans="1:7" ht="58.5" customHeight="1" x14ac:dyDescent="0.25">
      <c r="A9324" s="5" t="str">
        <f>"H0038243"</f>
        <v>H0038243</v>
      </c>
      <c r="B9324" s="5" t="str">
        <f>"UNIDAD DE LLAMADO DE ENFERMERIA PARA BAÑO CON CORDON TIRADOR. RESISTENTE A SALPICADURAS DE AGUA Y LUZ INDICADORA DE PULSACIÓN"</f>
        <v>UNIDAD DE LLAMADO DE ENFERMERIA PARA BAÑO CON CORDON TIRADOR. RESISTENTE A SALPICADURAS DE AGUA Y LUZ INDICADORA DE PULSACIÓN</v>
      </c>
      <c r="C9324" s="6">
        <v>529400</v>
      </c>
      <c r="D9324" s="5" t="s">
        <v>143</v>
      </c>
      <c r="E9324" s="5" t="str">
        <f t="shared" si="474"/>
        <v>URGENCIAS PEDIATRIA-YENI ESPERANZA PENA GUERRERO</v>
      </c>
      <c r="F9324" s="5"/>
      <c r="G9324" s="5"/>
    </row>
    <row r="9325" spans="1:7" ht="58.5" customHeight="1" x14ac:dyDescent="0.25">
      <c r="A9325" s="5" t="str">
        <f>"H0038244"</f>
        <v>H0038244</v>
      </c>
      <c r="B9325" s="5" t="str">
        <f>"UNIDAD DE LLAMADO DE ENFERMERIA PARA BAÑO CON CORDON TIRADOR. RESISTENTE A SALPICADURAS DE AGUA Y LUZ INDICADORA DE PULSACIÓN"</f>
        <v>UNIDAD DE LLAMADO DE ENFERMERIA PARA BAÑO CON CORDON TIRADOR. RESISTENTE A SALPICADURAS DE AGUA Y LUZ INDICADORA DE PULSACIÓN</v>
      </c>
      <c r="C9325" s="6">
        <v>529400</v>
      </c>
      <c r="D9325" s="5" t="s">
        <v>143</v>
      </c>
      <c r="E9325" s="5" t="str">
        <f t="shared" si="474"/>
        <v>URGENCIAS PEDIATRIA-YENI ESPERANZA PENA GUERRERO</v>
      </c>
      <c r="F9325" s="5"/>
      <c r="G9325" s="5"/>
    </row>
    <row r="9326" spans="1:7" ht="58.5" customHeight="1" x14ac:dyDescent="0.25">
      <c r="A9326" s="5" t="str">
        <f>"H0038245"</f>
        <v>H0038245</v>
      </c>
      <c r="B9326" s="5" t="str">
        <f>"UNIDAD DE LLAMADO DE ENFERMERIA PARA BAÑO CON CORDON TIRADOR. RESISTENTE A SALPICADURAS DE AGUA Y LUZ INDICADORA DE PULSACIÓN"</f>
        <v>UNIDAD DE LLAMADO DE ENFERMERIA PARA BAÑO CON CORDON TIRADOR. RESISTENTE A SALPICADURAS DE AGUA Y LUZ INDICADORA DE PULSACIÓN</v>
      </c>
      <c r="C9326" s="6">
        <v>529400</v>
      </c>
      <c r="D9326" s="5" t="s">
        <v>143</v>
      </c>
      <c r="E9326" s="5" t="str">
        <f t="shared" si="474"/>
        <v>URGENCIAS PEDIATRIA-YENI ESPERANZA PENA GUERRERO</v>
      </c>
      <c r="F9326" s="5"/>
      <c r="G9326" s="5"/>
    </row>
    <row r="9327" spans="1:7" ht="58.5" customHeight="1" x14ac:dyDescent="0.25">
      <c r="A9327" s="5" t="str">
        <f>"H0038348"</f>
        <v>H0038348</v>
      </c>
      <c r="B9327" s="5" t="str">
        <f t="shared" ref="B9327:B9344" si="476">"UNIDAD DE LLAMADO DE ENFERMERIA PARA CAMA O BAÑO"</f>
        <v>UNIDAD DE LLAMADO DE ENFERMERIA PARA CAMA O BAÑO</v>
      </c>
      <c r="C9327" s="6">
        <v>532900</v>
      </c>
      <c r="D9327" s="5" t="s">
        <v>143</v>
      </c>
      <c r="E9327" s="5" t="str">
        <f t="shared" si="474"/>
        <v>URGENCIAS PEDIATRIA-YENI ESPERANZA PENA GUERRERO</v>
      </c>
      <c r="F9327" s="5"/>
      <c r="G9327" s="5"/>
    </row>
    <row r="9328" spans="1:7" ht="58.5" customHeight="1" x14ac:dyDescent="0.25">
      <c r="A9328" s="5" t="str">
        <f>"H0038349"</f>
        <v>H0038349</v>
      </c>
      <c r="B9328" s="5" t="str">
        <f t="shared" si="476"/>
        <v>UNIDAD DE LLAMADO DE ENFERMERIA PARA CAMA O BAÑO</v>
      </c>
      <c r="C9328" s="6">
        <v>532900</v>
      </c>
      <c r="D9328" s="5" t="s">
        <v>143</v>
      </c>
      <c r="E9328" s="5" t="str">
        <f t="shared" si="474"/>
        <v>URGENCIAS PEDIATRIA-YENI ESPERANZA PENA GUERRERO</v>
      </c>
      <c r="F9328" s="5"/>
      <c r="G9328" s="5"/>
    </row>
    <row r="9329" spans="1:7" ht="58.5" customHeight="1" x14ac:dyDescent="0.25">
      <c r="A9329" s="5" t="str">
        <f>"H0038350"</f>
        <v>H0038350</v>
      </c>
      <c r="B9329" s="5" t="str">
        <f t="shared" si="476"/>
        <v>UNIDAD DE LLAMADO DE ENFERMERIA PARA CAMA O BAÑO</v>
      </c>
      <c r="C9329" s="6">
        <v>532900</v>
      </c>
      <c r="D9329" s="5" t="s">
        <v>143</v>
      </c>
      <c r="E9329" s="5" t="str">
        <f t="shared" si="474"/>
        <v>URGENCIAS PEDIATRIA-YENI ESPERANZA PENA GUERRERO</v>
      </c>
      <c r="F9329" s="5"/>
      <c r="G9329" s="5"/>
    </row>
    <row r="9330" spans="1:7" ht="58.5" customHeight="1" x14ac:dyDescent="0.25">
      <c r="A9330" s="5" t="str">
        <f>"H0038351"</f>
        <v>H0038351</v>
      </c>
      <c r="B9330" s="5" t="str">
        <f t="shared" si="476"/>
        <v>UNIDAD DE LLAMADO DE ENFERMERIA PARA CAMA O BAÑO</v>
      </c>
      <c r="C9330" s="6">
        <v>532900</v>
      </c>
      <c r="D9330" s="5" t="s">
        <v>143</v>
      </c>
      <c r="E9330" s="5" t="str">
        <f t="shared" si="474"/>
        <v>URGENCIAS PEDIATRIA-YENI ESPERANZA PENA GUERRERO</v>
      </c>
      <c r="F9330" s="5"/>
      <c r="G9330" s="5"/>
    </row>
    <row r="9331" spans="1:7" ht="58.5" customHeight="1" x14ac:dyDescent="0.25">
      <c r="A9331" s="5" t="str">
        <f>"H0038352"</f>
        <v>H0038352</v>
      </c>
      <c r="B9331" s="5" t="str">
        <f t="shared" si="476"/>
        <v>UNIDAD DE LLAMADO DE ENFERMERIA PARA CAMA O BAÑO</v>
      </c>
      <c r="C9331" s="6">
        <v>532900</v>
      </c>
      <c r="D9331" s="5" t="s">
        <v>143</v>
      </c>
      <c r="E9331" s="5" t="str">
        <f t="shared" si="474"/>
        <v>URGENCIAS PEDIATRIA-YENI ESPERANZA PENA GUERRERO</v>
      </c>
      <c r="F9331" s="5"/>
      <c r="G9331" s="5"/>
    </row>
    <row r="9332" spans="1:7" ht="58.5" customHeight="1" x14ac:dyDescent="0.25">
      <c r="A9332" s="5" t="str">
        <f>"H0038353"</f>
        <v>H0038353</v>
      </c>
      <c r="B9332" s="5" t="str">
        <f t="shared" si="476"/>
        <v>UNIDAD DE LLAMADO DE ENFERMERIA PARA CAMA O BAÑO</v>
      </c>
      <c r="C9332" s="6">
        <v>532900</v>
      </c>
      <c r="D9332" s="5" t="s">
        <v>143</v>
      </c>
      <c r="E9332" s="5" t="str">
        <f t="shared" si="474"/>
        <v>URGENCIAS PEDIATRIA-YENI ESPERANZA PENA GUERRERO</v>
      </c>
      <c r="F9332" s="5"/>
      <c r="G9332" s="5"/>
    </row>
    <row r="9333" spans="1:7" ht="58.5" customHeight="1" x14ac:dyDescent="0.25">
      <c r="A9333" s="5" t="str">
        <f>"H0038354"</f>
        <v>H0038354</v>
      </c>
      <c r="B9333" s="5" t="str">
        <f t="shared" si="476"/>
        <v>UNIDAD DE LLAMADO DE ENFERMERIA PARA CAMA O BAÑO</v>
      </c>
      <c r="C9333" s="6">
        <v>532900</v>
      </c>
      <c r="D9333" s="5" t="s">
        <v>143</v>
      </c>
      <c r="E9333" s="5" t="str">
        <f t="shared" si="474"/>
        <v>URGENCIAS PEDIATRIA-YENI ESPERANZA PENA GUERRERO</v>
      </c>
      <c r="F9333" s="5"/>
      <c r="G9333" s="5"/>
    </row>
    <row r="9334" spans="1:7" ht="58.5" customHeight="1" x14ac:dyDescent="0.25">
      <c r="A9334" s="5" t="str">
        <f>"H0038355"</f>
        <v>H0038355</v>
      </c>
      <c r="B9334" s="5" t="str">
        <f t="shared" si="476"/>
        <v>UNIDAD DE LLAMADO DE ENFERMERIA PARA CAMA O BAÑO</v>
      </c>
      <c r="C9334" s="6">
        <v>532900</v>
      </c>
      <c r="D9334" s="5" t="s">
        <v>143</v>
      </c>
      <c r="E9334" s="5" t="str">
        <f t="shared" si="474"/>
        <v>URGENCIAS PEDIATRIA-YENI ESPERANZA PENA GUERRERO</v>
      </c>
      <c r="F9334" s="5"/>
      <c r="G9334" s="5"/>
    </row>
    <row r="9335" spans="1:7" ht="58.5" customHeight="1" x14ac:dyDescent="0.25">
      <c r="A9335" s="5" t="str">
        <f>"H0038356"</f>
        <v>H0038356</v>
      </c>
      <c r="B9335" s="5" t="str">
        <f t="shared" si="476"/>
        <v>UNIDAD DE LLAMADO DE ENFERMERIA PARA CAMA O BAÑO</v>
      </c>
      <c r="C9335" s="6">
        <v>532900</v>
      </c>
      <c r="D9335" s="5" t="s">
        <v>143</v>
      </c>
      <c r="E9335" s="5" t="str">
        <f t="shared" si="474"/>
        <v>URGENCIAS PEDIATRIA-YENI ESPERANZA PENA GUERRERO</v>
      </c>
      <c r="F9335" s="5"/>
      <c r="G9335" s="5"/>
    </row>
    <row r="9336" spans="1:7" ht="58.5" customHeight="1" x14ac:dyDescent="0.25">
      <c r="A9336" s="5" t="str">
        <f>"H0038357"</f>
        <v>H0038357</v>
      </c>
      <c r="B9336" s="5" t="str">
        <f t="shared" si="476"/>
        <v>UNIDAD DE LLAMADO DE ENFERMERIA PARA CAMA O BAÑO</v>
      </c>
      <c r="C9336" s="6">
        <v>532900</v>
      </c>
      <c r="D9336" s="5" t="s">
        <v>143</v>
      </c>
      <c r="E9336" s="5" t="str">
        <f t="shared" si="474"/>
        <v>URGENCIAS PEDIATRIA-YENI ESPERANZA PENA GUERRERO</v>
      </c>
      <c r="F9336" s="5"/>
      <c r="G9336" s="5"/>
    </row>
    <row r="9337" spans="1:7" ht="58.5" customHeight="1" x14ac:dyDescent="0.25">
      <c r="A9337" s="5" t="str">
        <f>"H0038358"</f>
        <v>H0038358</v>
      </c>
      <c r="B9337" s="5" t="str">
        <f t="shared" si="476"/>
        <v>UNIDAD DE LLAMADO DE ENFERMERIA PARA CAMA O BAÑO</v>
      </c>
      <c r="C9337" s="6">
        <v>532900</v>
      </c>
      <c r="D9337" s="5" t="s">
        <v>143</v>
      </c>
      <c r="E9337" s="5" t="str">
        <f t="shared" si="474"/>
        <v>URGENCIAS PEDIATRIA-YENI ESPERANZA PENA GUERRERO</v>
      </c>
      <c r="F9337" s="5"/>
      <c r="G9337" s="5"/>
    </row>
    <row r="9338" spans="1:7" ht="58.5" customHeight="1" x14ac:dyDescent="0.25">
      <c r="A9338" s="5" t="str">
        <f>"H0038359"</f>
        <v>H0038359</v>
      </c>
      <c r="B9338" s="5" t="str">
        <f t="shared" si="476"/>
        <v>UNIDAD DE LLAMADO DE ENFERMERIA PARA CAMA O BAÑO</v>
      </c>
      <c r="C9338" s="6">
        <v>532900</v>
      </c>
      <c r="D9338" s="5" t="s">
        <v>143</v>
      </c>
      <c r="E9338" s="5" t="str">
        <f t="shared" si="474"/>
        <v>URGENCIAS PEDIATRIA-YENI ESPERANZA PENA GUERRERO</v>
      </c>
      <c r="F9338" s="5"/>
      <c r="G9338" s="5"/>
    </row>
    <row r="9339" spans="1:7" ht="58.5" customHeight="1" x14ac:dyDescent="0.25">
      <c r="A9339" s="5" t="str">
        <f>"H0038360"</f>
        <v>H0038360</v>
      </c>
      <c r="B9339" s="5" t="str">
        <f t="shared" si="476"/>
        <v>UNIDAD DE LLAMADO DE ENFERMERIA PARA CAMA O BAÑO</v>
      </c>
      <c r="C9339" s="6">
        <v>532900</v>
      </c>
      <c r="D9339" s="5" t="s">
        <v>143</v>
      </c>
      <c r="E9339" s="5" t="str">
        <f t="shared" si="474"/>
        <v>URGENCIAS PEDIATRIA-YENI ESPERANZA PENA GUERRERO</v>
      </c>
      <c r="F9339" s="5"/>
      <c r="G9339" s="5"/>
    </row>
    <row r="9340" spans="1:7" ht="58.5" customHeight="1" x14ac:dyDescent="0.25">
      <c r="A9340" s="5" t="str">
        <f>"H0038361"</f>
        <v>H0038361</v>
      </c>
      <c r="B9340" s="5" t="str">
        <f t="shared" si="476"/>
        <v>UNIDAD DE LLAMADO DE ENFERMERIA PARA CAMA O BAÑO</v>
      </c>
      <c r="C9340" s="6">
        <v>532900</v>
      </c>
      <c r="D9340" s="5" t="s">
        <v>143</v>
      </c>
      <c r="E9340" s="5" t="str">
        <f t="shared" si="474"/>
        <v>URGENCIAS PEDIATRIA-YENI ESPERANZA PENA GUERRERO</v>
      </c>
      <c r="F9340" s="5"/>
      <c r="G9340" s="5"/>
    </row>
    <row r="9341" spans="1:7" ht="58.5" customHeight="1" x14ac:dyDescent="0.25">
      <c r="A9341" s="5" t="str">
        <f>"H0038362"</f>
        <v>H0038362</v>
      </c>
      <c r="B9341" s="5" t="str">
        <f t="shared" si="476"/>
        <v>UNIDAD DE LLAMADO DE ENFERMERIA PARA CAMA O BAÑO</v>
      </c>
      <c r="C9341" s="6">
        <v>532900</v>
      </c>
      <c r="D9341" s="5" t="s">
        <v>143</v>
      </c>
      <c r="E9341" s="5" t="str">
        <f t="shared" si="474"/>
        <v>URGENCIAS PEDIATRIA-YENI ESPERANZA PENA GUERRERO</v>
      </c>
      <c r="F9341" s="5"/>
      <c r="G9341" s="5"/>
    </row>
    <row r="9342" spans="1:7" ht="58.5" customHeight="1" x14ac:dyDescent="0.25">
      <c r="A9342" s="5" t="str">
        <f>"H0038363"</f>
        <v>H0038363</v>
      </c>
      <c r="B9342" s="5" t="str">
        <f t="shared" si="476"/>
        <v>UNIDAD DE LLAMADO DE ENFERMERIA PARA CAMA O BAÑO</v>
      </c>
      <c r="C9342" s="6">
        <v>532900</v>
      </c>
      <c r="D9342" s="5" t="s">
        <v>143</v>
      </c>
      <c r="E9342" s="5" t="str">
        <f t="shared" si="474"/>
        <v>URGENCIAS PEDIATRIA-YENI ESPERANZA PENA GUERRERO</v>
      </c>
      <c r="F9342" s="5"/>
      <c r="G9342" s="5"/>
    </row>
    <row r="9343" spans="1:7" ht="58.5" customHeight="1" x14ac:dyDescent="0.25">
      <c r="A9343" s="5" t="str">
        <f>"H0038364"</f>
        <v>H0038364</v>
      </c>
      <c r="B9343" s="5" t="str">
        <f t="shared" si="476"/>
        <v>UNIDAD DE LLAMADO DE ENFERMERIA PARA CAMA O BAÑO</v>
      </c>
      <c r="C9343" s="6">
        <v>532900</v>
      </c>
      <c r="D9343" s="5" t="s">
        <v>143</v>
      </c>
      <c r="E9343" s="5" t="str">
        <f t="shared" si="474"/>
        <v>URGENCIAS PEDIATRIA-YENI ESPERANZA PENA GUERRERO</v>
      </c>
      <c r="F9343" s="5"/>
      <c r="G9343" s="5"/>
    </row>
    <row r="9344" spans="1:7" ht="58.5" customHeight="1" x14ac:dyDescent="0.25">
      <c r="A9344" s="5" t="str">
        <f>"H0038365"</f>
        <v>H0038365</v>
      </c>
      <c r="B9344" s="5" t="str">
        <f t="shared" si="476"/>
        <v>UNIDAD DE LLAMADO DE ENFERMERIA PARA CAMA O BAÑO</v>
      </c>
      <c r="C9344" s="6">
        <v>532900</v>
      </c>
      <c r="D9344" s="5" t="s">
        <v>143</v>
      </c>
      <c r="E9344" s="5" t="str">
        <f t="shared" si="474"/>
        <v>URGENCIAS PEDIATRIA-YENI ESPERANZA PENA GUERRERO</v>
      </c>
      <c r="F9344" s="5"/>
      <c r="G9344" s="5"/>
    </row>
    <row r="9345" spans="1:7" ht="58.5" customHeight="1" x14ac:dyDescent="0.25">
      <c r="A9345" s="5" t="str">
        <f>"H0038562"</f>
        <v>H0038562</v>
      </c>
      <c r="B9345" s="5" t="str">
        <f>"LAMPARA DE PASILLO DE LLAMADO DE ENFERMERIA"</f>
        <v>LAMPARA DE PASILLO DE LLAMADO DE ENFERMERIA</v>
      </c>
      <c r="C9345" s="6">
        <v>854790</v>
      </c>
      <c r="D9345" s="5" t="s">
        <v>143</v>
      </c>
      <c r="E9345" s="5" t="str">
        <f t="shared" si="474"/>
        <v>URGENCIAS PEDIATRIA-YENI ESPERANZA PENA GUERRERO</v>
      </c>
      <c r="F9345" s="5"/>
      <c r="G9345" s="5"/>
    </row>
    <row r="9346" spans="1:7" ht="58.5" customHeight="1" x14ac:dyDescent="0.25">
      <c r="A9346" s="5" t="str">
        <f>"H0038563"</f>
        <v>H0038563</v>
      </c>
      <c r="B9346" s="5" t="str">
        <f>"LAMPARA DE PASILLO DE LLAMADO DE ENFERMERIA"</f>
        <v>LAMPARA DE PASILLO DE LLAMADO DE ENFERMERIA</v>
      </c>
      <c r="C9346" s="6">
        <v>854790</v>
      </c>
      <c r="D9346" s="5" t="s">
        <v>143</v>
      </c>
      <c r="E9346" s="5" t="str">
        <f t="shared" si="474"/>
        <v>URGENCIAS PEDIATRIA-YENI ESPERANZA PENA GUERRERO</v>
      </c>
      <c r="F9346" s="5"/>
      <c r="G9346" s="5"/>
    </row>
    <row r="9347" spans="1:7" ht="58.5" customHeight="1" x14ac:dyDescent="0.25">
      <c r="A9347" s="5" t="str">
        <f>"H0038564"</f>
        <v>H0038564</v>
      </c>
      <c r="B9347" s="5" t="str">
        <f>"LAMPARA DE PASILLO DE LLAMADO DE ENFERMERIA"</f>
        <v>LAMPARA DE PASILLO DE LLAMADO DE ENFERMERIA</v>
      </c>
      <c r="C9347" s="6">
        <v>854790</v>
      </c>
      <c r="D9347" s="5" t="s">
        <v>143</v>
      </c>
      <c r="E9347" s="5" t="str">
        <f t="shared" si="474"/>
        <v>URGENCIAS PEDIATRIA-YENI ESPERANZA PENA GUERRERO</v>
      </c>
      <c r="F9347" s="5"/>
      <c r="G9347" s="5"/>
    </row>
    <row r="9348" spans="1:7" ht="58.5" customHeight="1" x14ac:dyDescent="0.25">
      <c r="A9348" s="5" t="str">
        <f>"H0038565"</f>
        <v>H0038565</v>
      </c>
      <c r="B9348" s="5" t="str">
        <f>"LAMPARA DE PASILLO DE LLAMADO DE ENFERMERIA"</f>
        <v>LAMPARA DE PASILLO DE LLAMADO DE ENFERMERIA</v>
      </c>
      <c r="C9348" s="6">
        <v>854790</v>
      </c>
      <c r="D9348" s="5" t="s">
        <v>143</v>
      </c>
      <c r="E9348" s="5" t="str">
        <f t="shared" si="474"/>
        <v>URGENCIAS PEDIATRIA-YENI ESPERANZA PENA GUERRERO</v>
      </c>
      <c r="F9348" s="5"/>
      <c r="G9348" s="5"/>
    </row>
    <row r="9349" spans="1:7" ht="58.5" customHeight="1" x14ac:dyDescent="0.25">
      <c r="A9349" s="5" t="str">
        <f>"H0038566"</f>
        <v>H0038566</v>
      </c>
      <c r="B9349" s="5" t="str">
        <f>"LAMPARA DE PASILLO DE LLAMADO DE ENFERMERIA"</f>
        <v>LAMPARA DE PASILLO DE LLAMADO DE ENFERMERIA</v>
      </c>
      <c r="C9349" s="6">
        <v>854790</v>
      </c>
      <c r="D9349" s="5" t="s">
        <v>143</v>
      </c>
      <c r="E9349" s="5" t="str">
        <f t="shared" si="474"/>
        <v>URGENCIAS PEDIATRIA-YENI ESPERANZA PENA GUERRERO</v>
      </c>
      <c r="F9349" s="5"/>
      <c r="G9349" s="5"/>
    </row>
    <row r="9350" spans="1:7" ht="58.5" customHeight="1" x14ac:dyDescent="0.25">
      <c r="A9350" s="5" t="str">
        <f>"H0007011"</f>
        <v>H0007011</v>
      </c>
      <c r="B9350" s="5" t="str">
        <f>"MESA METALICA AUXILIAR"</f>
        <v>MESA METALICA AUXILIAR</v>
      </c>
      <c r="C9350" s="6">
        <v>320000</v>
      </c>
      <c r="D9350" s="5" t="s">
        <v>35</v>
      </c>
      <c r="E9350" s="5" t="str">
        <f t="shared" ref="E9350:E9381" si="477">"CARPA COVID VERDE-(ZONA EXPANCIÓN)-yenny peña"</f>
        <v>CARPA COVID VERDE-(ZONA EXPANCIÓN)-yenny peña</v>
      </c>
      <c r="F9350" s="5" t="str">
        <f>"Descripcion: SUPERFICIE EN MADEFLEX Estado: Bueno Placa anterior: 000028118 Material: METALICO Color: GRIS Referencia:  Observacion:  Placa padre: Tipo adquisicion: Entidad"</f>
        <v>Descripcion: SUPERFICIE EN MADEFLEX Estado: Bueno Placa anterior: 000028118 Material: METALICO Color: GRIS Referencia:  Observacion:  Placa padre: Tipo adquisicion: Entidad</v>
      </c>
      <c r="G9350" s="5"/>
    </row>
    <row r="9351" spans="1:7" ht="58.5" customHeight="1" x14ac:dyDescent="0.25">
      <c r="A9351" s="5" t="str">
        <f>"H0007450"</f>
        <v>H0007450</v>
      </c>
      <c r="B9351" s="5" t="str">
        <f>"IMPRESORA LASER"</f>
        <v>IMPRESORA LASER</v>
      </c>
      <c r="C9351" s="6">
        <v>2470000</v>
      </c>
      <c r="D9351" s="5"/>
      <c r="E9351" s="5" t="str">
        <f t="shared" si="477"/>
        <v>CARPA COVID VERDE-(ZONA EXPANCIÓN)-yenny peña</v>
      </c>
      <c r="F9351" s="5" t="str">
        <f>"Descripcion: IMPRESORA MARCA HP LASERJET 3015 DN: Monocromatica, Laser der ed, 40 PPM, PCL, Ethernet GARANTIA 1 AÑO Estado: Bueno Placa anterior: 000029212 Material: PLASTICO Color: GRIS CON NEGRO Referencia:  Observacion: EL SERIAL REAL ES VNBCB1N482 Pla"&amp; "ca padre: Tipo adquisicion: Entidad"</f>
        <v>Descripcion: IMPRESORA MARCA HP LASERJET 3015 DN: Monocromatica, Laser der ed, 40 PPM, PCL, Ethernet GARANTIA 1 AÑO Estado: Bueno Placa anterior: 000029212 Material: PLASTICO Color: GRIS CON NEGRO Referencia:  Observacion: EL SERIAL REAL ES VNBCB1N482 Placa padre: Tipo adquisicion: Entidad</v>
      </c>
      <c r="G9351" s="5" t="str">
        <f>"LASER JET P3015"</f>
        <v>LASER JET P3015</v>
      </c>
    </row>
    <row r="9352" spans="1:7" ht="58.5" customHeight="1" x14ac:dyDescent="0.25">
      <c r="A9352" s="5" t="str">
        <f>"H0008334"</f>
        <v>H0008334</v>
      </c>
      <c r="B9352" s="5" t="str">
        <f>"POTE (TARRO) ACERO INXODABLE CON TAPA MEDIANO"</f>
        <v>POTE (TARRO) ACERO INXODABLE CON TAPA MEDIANO</v>
      </c>
      <c r="C9352" s="6">
        <v>21799.02</v>
      </c>
      <c r="D9352" s="5"/>
      <c r="E9352" s="5" t="str">
        <f t="shared" si="477"/>
        <v>CARPA COVID VERDE-(ZONA EXPANCIÓN)-yenny peña</v>
      </c>
      <c r="F9352" s="5" t="str">
        <f>"Descripcion: TARRO EN ACERO INOXIDABLE MEDIANO Estado: Bueno Placa anterior: 000018643 Material: ACERO INOXIDABLE Color:  Referencia:  Observacion:  Placa padre: Tipo adquisicion: Entidad"</f>
        <v>Descripcion: TARRO EN ACERO INOXIDABLE MEDIANO Estado: Bueno Placa anterior: 000018643 Material: ACERO INOXIDABLE Color:  Referencia:  Observacion:  Placa padre: Tipo adquisicion: Entidad</v>
      </c>
      <c r="G9352" s="5"/>
    </row>
    <row r="9353" spans="1:7" ht="58.5" customHeight="1" x14ac:dyDescent="0.25">
      <c r="A9353" s="5" t="str">
        <f>"H0009376"</f>
        <v>H0009376</v>
      </c>
      <c r="B9353" s="5" t="str">
        <f>"MESA PUENTE (ALIMENTACION) (INSTRUMENTAL)"</f>
        <v>MESA PUENTE (ALIMENTACION) (INSTRUMENTAL)</v>
      </c>
      <c r="C9353" s="6">
        <v>300000</v>
      </c>
      <c r="D9353" s="5" t="s">
        <v>63</v>
      </c>
      <c r="E9353" s="5" t="str">
        <f t="shared" si="477"/>
        <v>CARPA COVID VERDE-(ZONA EXPANCIÓN)-yenny peña</v>
      </c>
      <c r="F9353" s="5" t="str">
        <f>"Descripcion: MESA PUENTES Estado: Bueno Placa anterior: 000037861 Material: METAL Y FORMICA Color: BEIGE Y MADERA Referencia: 7715 Observacion: EN FORMA DE C Placa padre: Tipo adquisicion: Entidad"</f>
        <v>Descripcion: MESA PUENTES Estado: Bueno Placa anterior: 000037861 Material: METAL Y FORMICA Color: BEIGE Y MADERA Referencia: 7715 Observacion: EN FORMA DE C Placa padre: Tipo adquisicion: Entidad</v>
      </c>
      <c r="G9353" s="5"/>
    </row>
    <row r="9354" spans="1:7" ht="58.5" customHeight="1" x14ac:dyDescent="0.25">
      <c r="A9354" s="5" t="str">
        <f>"H0009651"</f>
        <v>H0009651</v>
      </c>
      <c r="B9354" s="5" t="str">
        <f>"POTE (TARRO) ACERO INXODABLE CON TAPA MEDIANO"</f>
        <v>POTE (TARRO) ACERO INXODABLE CON TAPA MEDIANO</v>
      </c>
      <c r="C9354" s="6">
        <v>21799.02</v>
      </c>
      <c r="D9354" s="5"/>
      <c r="E9354" s="5" t="str">
        <f t="shared" si="477"/>
        <v>CARPA COVID VERDE-(ZONA EXPANCIÓN)-yenny peña</v>
      </c>
      <c r="F9354" s="5" t="str">
        <f>"Descripcion: TARRO EN ACERO INOXIDABLE MEDIANO 19,5 CM ALTO Estado: Bueno Placa anterior: 000018583 Material: ACERO INOX. Color: PLATEADO Referencia:  Observacion:  Placa padre: Tipo adquisicion: Entidad"</f>
        <v>Descripcion: TARRO EN ACERO INOXIDABLE MEDIANO 19,5 CM ALTO Estado: Bueno Placa anterior: 000018583 Material: ACERO INOX. Color: PLATEADO Referencia:  Observacion:  Placa padre: Tipo adquisicion: Entidad</v>
      </c>
      <c r="G9354" s="5"/>
    </row>
    <row r="9355" spans="1:7" ht="58.5" customHeight="1" x14ac:dyDescent="0.25">
      <c r="A9355" s="5" t="str">
        <f>"H0009653"</f>
        <v>H0009653</v>
      </c>
      <c r="B9355" s="5" t="str">
        <f>"POTE (TARRO) ACERO INXODABLE CON TAPA MEDIANO"</f>
        <v>POTE (TARRO) ACERO INXODABLE CON TAPA MEDIANO</v>
      </c>
      <c r="C9355" s="6">
        <v>21799.02</v>
      </c>
      <c r="D9355" s="5"/>
      <c r="E9355" s="5" t="str">
        <f t="shared" si="477"/>
        <v>CARPA COVID VERDE-(ZONA EXPANCIÓN)-yenny peña</v>
      </c>
      <c r="F9355" s="5" t="str">
        <f>"Descripcion: TARRO EN ACERO INOXIDABLE MEDIANO 19,5 CM ALTO Estado: Bueno Placa anterior: 000018495 Material: ACERO INOX. Color: PLATEADO Referencia:  Observacion:  Placa padre: Tipo adquisicion: Entidad"</f>
        <v>Descripcion: TARRO EN ACERO INOXIDABLE MEDIANO 19,5 CM ALTO Estado: Bueno Placa anterior: 000018495 Material: ACERO INOX. Color: PLATEADO Referencia:  Observacion:  Placa padre: Tipo adquisicion: Entidad</v>
      </c>
      <c r="G9355" s="5"/>
    </row>
    <row r="9356" spans="1:7" ht="58.5" customHeight="1" x14ac:dyDescent="0.25">
      <c r="A9356" s="5" t="str">
        <f>"H0009656"</f>
        <v>H0009656</v>
      </c>
      <c r="B9356" s="5" t="str">
        <f>"POTE (TARRO) ACERO INXODABLE CON TAPA PEQUEÑO"</f>
        <v>POTE (TARRO) ACERO INXODABLE CON TAPA PEQUEÑO</v>
      </c>
      <c r="C9356" s="6">
        <v>21799.02</v>
      </c>
      <c r="D9356" s="5"/>
      <c r="E9356" s="5" t="str">
        <f t="shared" si="477"/>
        <v>CARPA COVID VERDE-(ZONA EXPANCIÓN)-yenny peña</v>
      </c>
      <c r="F9356" s="5" t="str">
        <f>"Descripcion: TARRO EN ACERO INOXIDABLE PEQ. 9 CM ALTO Estado: Bueno Placa anterior: 000018498 Material: ACERO INOX. Color: PLATEADO Referencia:  Observacion:  Placa padre: Tipo adquisicion: Entidad"</f>
        <v>Descripcion: TARRO EN ACERO INOXIDABLE PEQ. 9 CM ALTO Estado: Bueno Placa anterior: 000018498 Material: ACERO INOX. Color: PLATEADO Referencia:  Observacion:  Placa padre: Tipo adquisicion: Entidad</v>
      </c>
      <c r="G9356" s="5"/>
    </row>
    <row r="9357" spans="1:7" ht="58.5" customHeight="1" x14ac:dyDescent="0.25">
      <c r="A9357" s="5" t="str">
        <f>"H0010430"</f>
        <v>H0010430</v>
      </c>
      <c r="B9357" s="5" t="str">
        <f>"EQUIPO DE ORGANOS PORTATIL"</f>
        <v>EQUIPO DE ORGANOS PORTATIL</v>
      </c>
      <c r="C9357" s="6">
        <v>591600</v>
      </c>
      <c r="D9357" s="5"/>
      <c r="E9357" s="5" t="str">
        <f t="shared" si="477"/>
        <v>CARPA COVID VERDE-(ZONA EXPANCIÓN)-yenny peña</v>
      </c>
      <c r="F9357" s="5" t="str">
        <f>"Descripcion: EQUIPO DE ORGANOS. KIT COMPUESTO POR 8 PIEZAS. EN USTECHE NEGRO. Estado: Bueno Placa anterior: 000026475 Material: ACERO Y PLASTICO Color: GRIS Y NEGRO Referencia:  Observacion:  Placa padre: Tipo adquisicion: Entidad"</f>
        <v>Descripcion: EQUIPO DE ORGANOS. KIT COMPUESTO POR 8 PIEZAS. EN USTECHE NEGRO. Estado: Bueno Placa anterior: 000026475 Material: ACERO Y PLASTICO Color: GRIS Y NEGRO Referencia:  Observacion:  Placa padre: Tipo adquisicion: Entidad</v>
      </c>
      <c r="G9357" s="5"/>
    </row>
    <row r="9358" spans="1:7" ht="58.5" customHeight="1" x14ac:dyDescent="0.25">
      <c r="A9358" s="5" t="str">
        <f>"H0015875"</f>
        <v>H0015875</v>
      </c>
      <c r="B9358" s="5" t="str">
        <f>"MESA DE NOCHE"</f>
        <v>MESA DE NOCHE</v>
      </c>
      <c r="C9358" s="6">
        <v>350000</v>
      </c>
      <c r="D9358" s="5"/>
      <c r="E9358" s="5" t="str">
        <f t="shared" si="477"/>
        <v>CARPA COVID VERDE-(ZONA EXPANCIÓN)-yenny peña</v>
      </c>
      <c r="F9358" s="5" t="str">
        <f>"Descripcion:MESA DE NOCHE 2 GAVETAS Estado: Excelente Placa anterior: 000037851 Material: METAL Y FORMICA Color: BEIGE Y MADERA Referencia:  Observacion:  Placa padre:  Tipo adquisicion : Entidad"</f>
        <v>Descripcion:MESA DE NOCHE 2 GAVETAS Estado: Excelente Placa anterior: 000037851 Material: METAL Y FORMICA Color: BEIGE Y MADERA Referencia:  Observacion:  Placa padre:  Tipo adquisicion : Entidad</v>
      </c>
      <c r="G9358" s="5" t="str">
        <f>"7425"</f>
        <v>7425</v>
      </c>
    </row>
    <row r="9359" spans="1:7" ht="58.5" customHeight="1" x14ac:dyDescent="0.25">
      <c r="A9359" s="5" t="str">
        <f>"H0022442"</f>
        <v>H0022442</v>
      </c>
      <c r="B9359" s="5" t="str">
        <f>"KIT TERMOMETRO + FONENDOSCOPIO PEDIATRICO"</f>
        <v>KIT TERMOMETRO + FONENDOSCOPIO PEDIATRICO</v>
      </c>
      <c r="C9359" s="6">
        <v>81200</v>
      </c>
      <c r="D9359" s="5" t="s">
        <v>455</v>
      </c>
      <c r="E9359" s="5" t="str">
        <f t="shared" si="477"/>
        <v>CARPA COVID VERDE-(ZONA EXPANCIÓN)-yenny peña</v>
      </c>
      <c r="F9359" s="5"/>
      <c r="G9359" s="5"/>
    </row>
    <row r="9360" spans="1:7" ht="58.5" customHeight="1" x14ac:dyDescent="0.25">
      <c r="A9360" s="5" t="str">
        <f>"H0024624"</f>
        <v>H0024624</v>
      </c>
      <c r="B9360"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9360" s="6">
        <v>2050000</v>
      </c>
      <c r="D9360" s="5" t="s">
        <v>36</v>
      </c>
      <c r="E9360" s="5" t="str">
        <f t="shared" si="477"/>
        <v>CARPA COVID VERDE-(ZONA EXPANCIÓN)-yenny peña</v>
      </c>
      <c r="F9360" s="5"/>
      <c r="G9360" s="5"/>
    </row>
    <row r="9361" spans="1:7" ht="58.5" customHeight="1" x14ac:dyDescent="0.25">
      <c r="A9361" s="5" t="str">
        <f>"H0025300"</f>
        <v>H0025300</v>
      </c>
      <c r="B9361" s="5" t="str">
        <f>"NEVERA DE 50 LITROS CONDENSADORA OCULTO"</f>
        <v>NEVERA DE 50 LITROS CONDENSADORA OCULTO</v>
      </c>
      <c r="C9361" s="6">
        <v>418951.4</v>
      </c>
      <c r="D9361" s="5" t="s">
        <v>10</v>
      </c>
      <c r="E9361" s="5" t="str">
        <f t="shared" si="477"/>
        <v>CARPA COVID VERDE-(ZONA EXPANCIÓN)-yenny peña</v>
      </c>
      <c r="F9361" s="5"/>
      <c r="G9361" s="5"/>
    </row>
    <row r="9362" spans="1:7" ht="58.5" customHeight="1" x14ac:dyDescent="0.25">
      <c r="A9362" s="5" t="str">
        <f>"H0025647"</f>
        <v>H0025647</v>
      </c>
      <c r="B9362" s="5" t="str">
        <f>"LARINGOSCOPIO ADULTO"</f>
        <v>LARINGOSCOPIO ADULTO</v>
      </c>
      <c r="C9362" s="6">
        <v>1016887</v>
      </c>
      <c r="D9362" s="5" t="s">
        <v>525</v>
      </c>
      <c r="E9362" s="5" t="str">
        <f t="shared" si="477"/>
        <v>CARPA COVID VERDE-(ZONA EXPANCIÓN)-yenny peña</v>
      </c>
      <c r="F9362" s="5"/>
      <c r="G9362" s="5"/>
    </row>
    <row r="9363" spans="1:7" ht="58.5" customHeight="1" x14ac:dyDescent="0.25">
      <c r="A9363" s="5" t="str">
        <f>"H0029067"</f>
        <v>H0029067</v>
      </c>
      <c r="B9363" s="5" t="str">
        <f>"CALENTADOR CORPORAL"</f>
        <v>CALENTADOR CORPORAL</v>
      </c>
      <c r="C9363" s="6">
        <v>6889877.4299999997</v>
      </c>
      <c r="D9363" s="5" t="s">
        <v>308</v>
      </c>
      <c r="E9363" s="5" t="str">
        <f t="shared" si="477"/>
        <v>CARPA COVID VERDE-(ZONA EXPANCIÓN)-yenny peña</v>
      </c>
      <c r="F9363" s="5"/>
      <c r="G9363" s="5"/>
    </row>
    <row r="9364" spans="1:7" ht="58.5" customHeight="1" x14ac:dyDescent="0.25">
      <c r="A9364" s="5" t="str">
        <f>"h0031620"</f>
        <v>h0031620</v>
      </c>
      <c r="B9364" s="5" t="str">
        <f>"CAMILLA DE TRASLADO CON BARANDAS"</f>
        <v>CAMILLA DE TRASLADO CON BARANDAS</v>
      </c>
      <c r="C9364" s="6">
        <v>8428770</v>
      </c>
      <c r="D9364" s="5" t="s">
        <v>317</v>
      </c>
      <c r="E9364" s="5" t="str">
        <f t="shared" si="477"/>
        <v>CARPA COVID VERDE-(ZONA EXPANCIÓN)-yenny peña</v>
      </c>
      <c r="F9364" s="5"/>
      <c r="G9364" s="5"/>
    </row>
    <row r="9365" spans="1:7" ht="58.5" customHeight="1" x14ac:dyDescent="0.25">
      <c r="A9365" s="5" t="str">
        <f>"H0031660"</f>
        <v>H0031660</v>
      </c>
      <c r="B9365" s="5" t="str">
        <f>"CAMILLA DE TRASLADO CON BARANDAS"</f>
        <v>CAMILLA DE TRASLADO CON BARANDAS</v>
      </c>
      <c r="C9365" s="6">
        <v>8428770</v>
      </c>
      <c r="D9365" s="5" t="s">
        <v>252</v>
      </c>
      <c r="E9365" s="5" t="str">
        <f t="shared" si="477"/>
        <v>CARPA COVID VERDE-(ZONA EXPANCIÓN)-yenny peña</v>
      </c>
      <c r="F9365" s="5"/>
      <c r="G9365" s="5"/>
    </row>
    <row r="9366" spans="1:7" ht="58.5" customHeight="1" x14ac:dyDescent="0.25">
      <c r="A9366" s="5" t="str">
        <f>"H0031661"</f>
        <v>H0031661</v>
      </c>
      <c r="B9366" s="5" t="str">
        <f>"CAMILLA DE TRASLADO CON BARANDAS"</f>
        <v>CAMILLA DE TRASLADO CON BARANDAS</v>
      </c>
      <c r="C9366" s="6">
        <v>8428770</v>
      </c>
      <c r="D9366" s="5" t="s">
        <v>252</v>
      </c>
      <c r="E9366" s="5" t="str">
        <f t="shared" si="477"/>
        <v>CARPA COVID VERDE-(ZONA EXPANCIÓN)-yenny peña</v>
      </c>
      <c r="F9366" s="5"/>
      <c r="G9366" s="5"/>
    </row>
    <row r="9367" spans="1:7" ht="58.5" customHeight="1" x14ac:dyDescent="0.25">
      <c r="A9367" s="5" t="str">
        <f>"H0031865"</f>
        <v>H0031865</v>
      </c>
      <c r="B9367" s="5" t="str">
        <f>"SOPORTE PEDESTAL MONITOR"</f>
        <v>SOPORTE PEDESTAL MONITOR</v>
      </c>
      <c r="C9367" s="6">
        <v>1140020</v>
      </c>
      <c r="D9367" s="5" t="s">
        <v>320</v>
      </c>
      <c r="E9367" s="5" t="str">
        <f t="shared" si="477"/>
        <v>CARPA COVID VERDE-(ZONA EXPANCIÓN)-yenny peña</v>
      </c>
      <c r="F9367" s="5"/>
      <c r="G9367" s="5"/>
    </row>
    <row r="9368" spans="1:7" ht="58.5" customHeight="1" x14ac:dyDescent="0.25">
      <c r="A9368" s="5" t="str">
        <f>"H0031867"</f>
        <v>H0031867</v>
      </c>
      <c r="B9368" s="5" t="str">
        <f>"SOPORTE PEDESTAL MONITOR"</f>
        <v>SOPORTE PEDESTAL MONITOR</v>
      </c>
      <c r="C9368" s="6">
        <v>1140020</v>
      </c>
      <c r="D9368" s="5" t="s">
        <v>320</v>
      </c>
      <c r="E9368" s="5" t="str">
        <f t="shared" si="477"/>
        <v>CARPA COVID VERDE-(ZONA EXPANCIÓN)-yenny peña</v>
      </c>
      <c r="F9368" s="5"/>
      <c r="G9368" s="5"/>
    </row>
    <row r="9369" spans="1:7" ht="58.5" customHeight="1" x14ac:dyDescent="0.25">
      <c r="A9369" s="5" t="str">
        <f>"H0031868"</f>
        <v>H0031868</v>
      </c>
      <c r="B9369" s="5" t="str">
        <f>"SOPORTE PEDESTAL MONITOR"</f>
        <v>SOPORTE PEDESTAL MONITOR</v>
      </c>
      <c r="C9369" s="6">
        <v>1140020</v>
      </c>
      <c r="D9369" s="5" t="s">
        <v>320</v>
      </c>
      <c r="E9369" s="5" t="str">
        <f t="shared" si="477"/>
        <v>CARPA COVID VERDE-(ZONA EXPANCIÓN)-yenny peña</v>
      </c>
      <c r="F9369" s="5"/>
      <c r="G9369" s="5"/>
    </row>
    <row r="9370" spans="1:7" ht="58.5" customHeight="1" x14ac:dyDescent="0.25">
      <c r="A9370" s="5" t="str">
        <f>"H0031870"</f>
        <v>H0031870</v>
      </c>
      <c r="B9370" s="5" t="str">
        <f>"SOPORTE PEDESTAL MONITOR"</f>
        <v>SOPORTE PEDESTAL MONITOR</v>
      </c>
      <c r="C9370" s="6">
        <v>1140020</v>
      </c>
      <c r="D9370" s="5" t="s">
        <v>320</v>
      </c>
      <c r="E9370" s="5" t="str">
        <f t="shared" si="477"/>
        <v>CARPA COVID VERDE-(ZONA EXPANCIÓN)-yenny peña</v>
      </c>
      <c r="F9370" s="5"/>
      <c r="G9370" s="5"/>
    </row>
    <row r="9371" spans="1:7" ht="58.5" customHeight="1" x14ac:dyDescent="0.25">
      <c r="A9371" s="5" t="str">
        <f>"H0031998"</f>
        <v>H0031998</v>
      </c>
      <c r="B9371" s="5" t="str">
        <f>"CARRO DE TRANSPORTE PARA ENFERMERIA RODABLE EN PLASTICO 80*42*96"</f>
        <v>CARRO DE TRANSPORTE PARA ENFERMERIA RODABLE EN PLASTICO 80*42*96</v>
      </c>
      <c r="C9371" s="6">
        <v>586551</v>
      </c>
      <c r="D9371" s="5" t="s">
        <v>109</v>
      </c>
      <c r="E9371" s="5" t="str">
        <f t="shared" si="477"/>
        <v>CARPA COVID VERDE-(ZONA EXPANCIÓN)-yenny peña</v>
      </c>
      <c r="F9371" s="5"/>
      <c r="G9371" s="5"/>
    </row>
    <row r="9372" spans="1:7" ht="58.5" customHeight="1" x14ac:dyDescent="0.25">
      <c r="A9372" s="5" t="str">
        <f>"H0032002"</f>
        <v>H0032002</v>
      </c>
      <c r="B9372" s="5" t="str">
        <f>"CARRO DE TRANSPORTE PARA ENFERMERIA RODABLE EN PLASTICO 80*42*96"</f>
        <v>CARRO DE TRANSPORTE PARA ENFERMERIA RODABLE EN PLASTICO 80*42*96</v>
      </c>
      <c r="C9372" s="6">
        <v>586551</v>
      </c>
      <c r="D9372" s="5" t="s">
        <v>109</v>
      </c>
      <c r="E9372" s="5" t="str">
        <f t="shared" si="477"/>
        <v>CARPA COVID VERDE-(ZONA EXPANCIÓN)-yenny peña</v>
      </c>
      <c r="F9372" s="5"/>
      <c r="G9372" s="5"/>
    </row>
    <row r="9373" spans="1:7" ht="58.5" customHeight="1" x14ac:dyDescent="0.25">
      <c r="A9373" s="5" t="str">
        <f>"H0032282"</f>
        <v>H0032282</v>
      </c>
      <c r="B9373" s="5" t="str">
        <f>"Escritorio lineal superficie en formica con archivador 3 gabetas (DONACION)"</f>
        <v>Escritorio lineal superficie en formica con archivador 3 gabetas (DONACION)</v>
      </c>
      <c r="C9373" s="6">
        <v>400000</v>
      </c>
      <c r="D9373" s="5" t="s">
        <v>45</v>
      </c>
      <c r="E9373" s="5" t="str">
        <f t="shared" si="477"/>
        <v>CARPA COVID VERDE-(ZONA EXPANCIÓN)-yenny peña</v>
      </c>
      <c r="F9373" s="5"/>
      <c r="G9373" s="5"/>
    </row>
    <row r="9374" spans="1:7" ht="58.5" customHeight="1" x14ac:dyDescent="0.25">
      <c r="A9374" s="5" t="str">
        <f>"H0032283"</f>
        <v>H0032283</v>
      </c>
      <c r="B9374" s="5" t="str">
        <f>"Escritorio lineal superficie en formica con archivador 3 gabetas (DONACION)"</f>
        <v>Escritorio lineal superficie en formica con archivador 3 gabetas (DONACION)</v>
      </c>
      <c r="C9374" s="6">
        <v>400000</v>
      </c>
      <c r="D9374" s="5" t="s">
        <v>45</v>
      </c>
      <c r="E9374" s="5" t="str">
        <f t="shared" si="477"/>
        <v>CARPA COVID VERDE-(ZONA EXPANCIÓN)-yenny peña</v>
      </c>
      <c r="F9374" s="5"/>
      <c r="G9374" s="5"/>
    </row>
    <row r="9375" spans="1:7" ht="58.5" customHeight="1" x14ac:dyDescent="0.25">
      <c r="A9375" s="5" t="str">
        <f>"H0032291"</f>
        <v>H0032291</v>
      </c>
      <c r="B9375" s="5" t="str">
        <f>"Escritorio lineal superficie en formica con archivador 3 gabetas (DONACION)"</f>
        <v>Escritorio lineal superficie en formica con archivador 3 gabetas (DONACION)</v>
      </c>
      <c r="C9375" s="6">
        <v>400000</v>
      </c>
      <c r="D9375" s="5" t="s">
        <v>45</v>
      </c>
      <c r="E9375" s="5" t="str">
        <f t="shared" si="477"/>
        <v>CARPA COVID VERDE-(ZONA EXPANCIÓN)-yenny peña</v>
      </c>
      <c r="F9375" s="5"/>
      <c r="G9375" s="5"/>
    </row>
    <row r="9376" spans="1:7" ht="58.5" customHeight="1" x14ac:dyDescent="0.25">
      <c r="A9376" s="5" t="str">
        <f>"H0032312"</f>
        <v>H0032312</v>
      </c>
      <c r="B9376" s="5" t="str">
        <f>"SOPORTE PEDESTAL MONITOR"</f>
        <v>SOPORTE PEDESTAL MONITOR</v>
      </c>
      <c r="C9376" s="6">
        <v>1140020</v>
      </c>
      <c r="D9376" s="5" t="s">
        <v>232</v>
      </c>
      <c r="E9376" s="5" t="str">
        <f t="shared" si="477"/>
        <v>CARPA COVID VERDE-(ZONA EXPANCIÓN)-yenny peña</v>
      </c>
      <c r="F9376" s="5"/>
      <c r="G9376" s="5"/>
    </row>
    <row r="9377" spans="1:7" ht="58.5" customHeight="1" x14ac:dyDescent="0.25">
      <c r="A9377" s="5" t="str">
        <f>"H0032315"</f>
        <v>H0032315</v>
      </c>
      <c r="B9377" s="5" t="str">
        <f>"SOPORTE PEDESTAL MONITOR"</f>
        <v>SOPORTE PEDESTAL MONITOR</v>
      </c>
      <c r="C9377" s="6">
        <v>1140020</v>
      </c>
      <c r="D9377" s="5" t="s">
        <v>232</v>
      </c>
      <c r="E9377" s="5" t="str">
        <f t="shared" si="477"/>
        <v>CARPA COVID VERDE-(ZONA EXPANCIÓN)-yenny peña</v>
      </c>
      <c r="F9377" s="5"/>
      <c r="G9377" s="5"/>
    </row>
    <row r="9378" spans="1:7" ht="58.5" customHeight="1" x14ac:dyDescent="0.25">
      <c r="A9378" s="5" t="str">
        <f>"H0032519"</f>
        <v>H0032519</v>
      </c>
      <c r="B9378" s="5" t="str">
        <f>"CELULAR HUAWEI Y9 PRIME (DONACION)"</f>
        <v>CELULAR HUAWEI Y9 PRIME (DONACION)</v>
      </c>
      <c r="C9378" s="6">
        <v>729900</v>
      </c>
      <c r="D9378" s="5" t="s">
        <v>112</v>
      </c>
      <c r="E9378" s="5" t="str">
        <f t="shared" si="477"/>
        <v>CARPA COVID VERDE-(ZONA EXPANCIÓN)-yenny peña</v>
      </c>
      <c r="F9378" s="5"/>
      <c r="G9378" s="5"/>
    </row>
    <row r="9379" spans="1:7" ht="58.5" customHeight="1" x14ac:dyDescent="0.25">
      <c r="A9379" s="5" t="str">
        <f>"H0032595"</f>
        <v>H0032595</v>
      </c>
      <c r="B9379" s="5" t="str">
        <f>"ELECTROCARDIOGRAFO (DONACION)"</f>
        <v>ELECTROCARDIOGRAFO (DONACION)</v>
      </c>
      <c r="C9379" s="6">
        <v>4640000</v>
      </c>
      <c r="D9379" s="5" t="s">
        <v>113</v>
      </c>
      <c r="E9379" s="5" t="str">
        <f t="shared" si="477"/>
        <v>CARPA COVID VERDE-(ZONA EXPANCIÓN)-yenny peña</v>
      </c>
      <c r="F9379" s="5"/>
      <c r="G9379" s="5"/>
    </row>
    <row r="9380" spans="1:7" ht="58.5" customHeight="1" x14ac:dyDescent="0.25">
      <c r="A9380" s="5" t="str">
        <f>"H0032662"</f>
        <v>H0032662</v>
      </c>
      <c r="B9380" s="5" t="str">
        <f t="shared" ref="B9380:B9390" si="478">"CAMILLA DE TRANSPORTE Y RECUPERACION (DONACION)"</f>
        <v>CAMILLA DE TRANSPORTE Y RECUPERACION (DONACION)</v>
      </c>
      <c r="C9380" s="6">
        <v>814000</v>
      </c>
      <c r="D9380" s="5" t="s">
        <v>115</v>
      </c>
      <c r="E9380" s="5" t="str">
        <f t="shared" si="477"/>
        <v>CARPA COVID VERDE-(ZONA EXPANCIÓN)-yenny peña</v>
      </c>
      <c r="F9380" s="5"/>
      <c r="G9380" s="5"/>
    </row>
    <row r="9381" spans="1:7" ht="58.5" customHeight="1" x14ac:dyDescent="0.25">
      <c r="A9381" s="5" t="str">
        <f>"H0032666"</f>
        <v>H0032666</v>
      </c>
      <c r="B9381" s="5" t="str">
        <f t="shared" si="478"/>
        <v>CAMILLA DE TRANSPORTE Y RECUPERACION (DONACION)</v>
      </c>
      <c r="C9381" s="6">
        <v>814000</v>
      </c>
      <c r="D9381" s="5" t="s">
        <v>115</v>
      </c>
      <c r="E9381" s="5" t="str">
        <f t="shared" si="477"/>
        <v>CARPA COVID VERDE-(ZONA EXPANCIÓN)-yenny peña</v>
      </c>
      <c r="F9381" s="5"/>
      <c r="G9381" s="5"/>
    </row>
    <row r="9382" spans="1:7" ht="58.5" customHeight="1" x14ac:dyDescent="0.25">
      <c r="A9382" s="5" t="str">
        <f>"H0032667"</f>
        <v>H0032667</v>
      </c>
      <c r="B9382" s="5" t="str">
        <f t="shared" si="478"/>
        <v>CAMILLA DE TRANSPORTE Y RECUPERACION (DONACION)</v>
      </c>
      <c r="C9382" s="6">
        <v>814000</v>
      </c>
      <c r="D9382" s="5" t="s">
        <v>115</v>
      </c>
      <c r="E9382" s="5" t="str">
        <f t="shared" ref="E9382:E9413" si="479">"CARPA COVID VERDE-(ZONA EXPANCIÓN)-yenny peña"</f>
        <v>CARPA COVID VERDE-(ZONA EXPANCIÓN)-yenny peña</v>
      </c>
      <c r="F9382" s="5"/>
      <c r="G9382" s="5"/>
    </row>
    <row r="9383" spans="1:7" ht="58.5" customHeight="1" x14ac:dyDescent="0.25">
      <c r="A9383" s="5" t="str">
        <f>"H0032668"</f>
        <v>H0032668</v>
      </c>
      <c r="B9383" s="5" t="str">
        <f t="shared" si="478"/>
        <v>CAMILLA DE TRANSPORTE Y RECUPERACION (DONACION)</v>
      </c>
      <c r="C9383" s="6">
        <v>814000</v>
      </c>
      <c r="D9383" s="5" t="s">
        <v>115</v>
      </c>
      <c r="E9383" s="5" t="str">
        <f t="shared" si="479"/>
        <v>CARPA COVID VERDE-(ZONA EXPANCIÓN)-yenny peña</v>
      </c>
      <c r="F9383" s="5"/>
      <c r="G9383" s="5"/>
    </row>
    <row r="9384" spans="1:7" ht="58.5" customHeight="1" x14ac:dyDescent="0.25">
      <c r="A9384" s="5" t="str">
        <f>"H0032669"</f>
        <v>H0032669</v>
      </c>
      <c r="B9384" s="5" t="str">
        <f t="shared" si="478"/>
        <v>CAMILLA DE TRANSPORTE Y RECUPERACION (DONACION)</v>
      </c>
      <c r="C9384" s="6">
        <v>814000</v>
      </c>
      <c r="D9384" s="5" t="s">
        <v>115</v>
      </c>
      <c r="E9384" s="5" t="str">
        <f t="shared" si="479"/>
        <v>CARPA COVID VERDE-(ZONA EXPANCIÓN)-yenny peña</v>
      </c>
      <c r="F9384" s="5"/>
      <c r="G9384" s="5"/>
    </row>
    <row r="9385" spans="1:7" ht="58.5" customHeight="1" x14ac:dyDescent="0.25">
      <c r="A9385" s="5" t="str">
        <f>"H0032671"</f>
        <v>H0032671</v>
      </c>
      <c r="B9385" s="5" t="str">
        <f t="shared" si="478"/>
        <v>CAMILLA DE TRANSPORTE Y RECUPERACION (DONACION)</v>
      </c>
      <c r="C9385" s="6">
        <v>814000</v>
      </c>
      <c r="D9385" s="5" t="s">
        <v>115</v>
      </c>
      <c r="E9385" s="5" t="str">
        <f t="shared" si="479"/>
        <v>CARPA COVID VERDE-(ZONA EXPANCIÓN)-yenny peña</v>
      </c>
      <c r="F9385" s="5"/>
      <c r="G9385" s="5"/>
    </row>
    <row r="9386" spans="1:7" ht="58.5" customHeight="1" x14ac:dyDescent="0.25">
      <c r="A9386" s="5" t="str">
        <f>"H0032672"</f>
        <v>H0032672</v>
      </c>
      <c r="B9386" s="5" t="str">
        <f t="shared" si="478"/>
        <v>CAMILLA DE TRANSPORTE Y RECUPERACION (DONACION)</v>
      </c>
      <c r="C9386" s="6">
        <v>814000</v>
      </c>
      <c r="D9386" s="5" t="s">
        <v>115</v>
      </c>
      <c r="E9386" s="5" t="str">
        <f t="shared" si="479"/>
        <v>CARPA COVID VERDE-(ZONA EXPANCIÓN)-yenny peña</v>
      </c>
      <c r="F9386" s="5"/>
      <c r="G9386" s="5"/>
    </row>
    <row r="9387" spans="1:7" ht="58.5" customHeight="1" x14ac:dyDescent="0.25">
      <c r="A9387" s="5" t="str">
        <f>"H0032674"</f>
        <v>H0032674</v>
      </c>
      <c r="B9387" s="5" t="str">
        <f t="shared" si="478"/>
        <v>CAMILLA DE TRANSPORTE Y RECUPERACION (DONACION)</v>
      </c>
      <c r="C9387" s="6">
        <v>814000</v>
      </c>
      <c r="D9387" s="5" t="s">
        <v>115</v>
      </c>
      <c r="E9387" s="5" t="str">
        <f t="shared" si="479"/>
        <v>CARPA COVID VERDE-(ZONA EXPANCIÓN)-yenny peña</v>
      </c>
      <c r="F9387" s="5"/>
      <c r="G9387" s="5"/>
    </row>
    <row r="9388" spans="1:7" ht="58.5" customHeight="1" x14ac:dyDescent="0.25">
      <c r="A9388" s="5" t="str">
        <f>"H0032675"</f>
        <v>H0032675</v>
      </c>
      <c r="B9388" s="5" t="str">
        <f t="shared" si="478"/>
        <v>CAMILLA DE TRANSPORTE Y RECUPERACION (DONACION)</v>
      </c>
      <c r="C9388" s="6">
        <v>814000</v>
      </c>
      <c r="D9388" s="5" t="s">
        <v>115</v>
      </c>
      <c r="E9388" s="5" t="str">
        <f t="shared" si="479"/>
        <v>CARPA COVID VERDE-(ZONA EXPANCIÓN)-yenny peña</v>
      </c>
      <c r="F9388" s="5"/>
      <c r="G9388" s="5"/>
    </row>
    <row r="9389" spans="1:7" ht="58.5" customHeight="1" x14ac:dyDescent="0.25">
      <c r="A9389" s="5" t="str">
        <f>"H0032676"</f>
        <v>H0032676</v>
      </c>
      <c r="B9389" s="5" t="str">
        <f t="shared" si="478"/>
        <v>CAMILLA DE TRANSPORTE Y RECUPERACION (DONACION)</v>
      </c>
      <c r="C9389" s="6">
        <v>814000</v>
      </c>
      <c r="D9389" s="5" t="s">
        <v>115</v>
      </c>
      <c r="E9389" s="5" t="str">
        <f t="shared" si="479"/>
        <v>CARPA COVID VERDE-(ZONA EXPANCIÓN)-yenny peña</v>
      </c>
      <c r="F9389" s="5"/>
      <c r="G9389" s="5"/>
    </row>
    <row r="9390" spans="1:7" ht="58.5" customHeight="1" x14ac:dyDescent="0.25">
      <c r="A9390" s="5" t="str">
        <f>"H0032677"</f>
        <v>H0032677</v>
      </c>
      <c r="B9390" s="5" t="str">
        <f t="shared" si="478"/>
        <v>CAMILLA DE TRANSPORTE Y RECUPERACION (DONACION)</v>
      </c>
      <c r="C9390" s="6">
        <v>814000</v>
      </c>
      <c r="D9390" s="5" t="s">
        <v>115</v>
      </c>
      <c r="E9390" s="5" t="str">
        <f t="shared" si="479"/>
        <v>CARPA COVID VERDE-(ZONA EXPANCIÓN)-yenny peña</v>
      </c>
      <c r="F9390" s="5"/>
      <c r="G9390" s="5"/>
    </row>
    <row r="9391" spans="1:7" ht="58.5" customHeight="1" x14ac:dyDescent="0.25">
      <c r="A9391" s="5" t="str">
        <f>"h0032987"</f>
        <v>h0032987</v>
      </c>
      <c r="B9391" s="5" t="str">
        <f>"DISPENSADOR DE AGUA (Donación )"</f>
        <v>DISPENSADOR DE AGUA (Donación )</v>
      </c>
      <c r="C9391" s="6">
        <v>300000</v>
      </c>
      <c r="D9391" s="5" t="s">
        <v>118</v>
      </c>
      <c r="E9391" s="5" t="str">
        <f t="shared" si="479"/>
        <v>CARPA COVID VERDE-(ZONA EXPANCIÓN)-yenny peña</v>
      </c>
      <c r="F9391" s="5"/>
      <c r="G9391" s="5"/>
    </row>
    <row r="9392" spans="1:7" ht="58.5" customHeight="1" x14ac:dyDescent="0.25">
      <c r="A9392" s="5" t="str">
        <f>"H0033016"</f>
        <v>H0033016</v>
      </c>
      <c r="B9392" s="5" t="str">
        <f>"LARINGO DE FIBRA OPTICA (DONACION)"</f>
        <v>LARINGO DE FIBRA OPTICA (DONACION)</v>
      </c>
      <c r="C9392" s="6">
        <v>318536</v>
      </c>
      <c r="D9392" s="5" t="s">
        <v>503</v>
      </c>
      <c r="E9392" s="5" t="str">
        <f t="shared" si="479"/>
        <v>CARPA COVID VERDE-(ZONA EXPANCIÓN)-yenny peña</v>
      </c>
      <c r="F9392" s="5"/>
      <c r="G9392" s="5"/>
    </row>
    <row r="9393" spans="1:7" ht="58.5" customHeight="1" x14ac:dyDescent="0.25">
      <c r="A9393" s="5" t="str">
        <f>"H0033017"</f>
        <v>H0033017</v>
      </c>
      <c r="B9393" s="5" t="str">
        <f>"LARINGO DE FIBRA OPTICA (DONACION)"</f>
        <v>LARINGO DE FIBRA OPTICA (DONACION)</v>
      </c>
      <c r="C9393" s="6">
        <v>318536</v>
      </c>
      <c r="D9393" s="5" t="s">
        <v>503</v>
      </c>
      <c r="E9393" s="5" t="str">
        <f t="shared" si="479"/>
        <v>CARPA COVID VERDE-(ZONA EXPANCIÓN)-yenny peña</v>
      </c>
      <c r="F9393" s="5"/>
      <c r="G9393" s="5"/>
    </row>
    <row r="9394" spans="1:7" ht="58.5" customHeight="1" x14ac:dyDescent="0.25">
      <c r="A9394" s="5" t="str">
        <f>"H0033079"</f>
        <v>H0033079</v>
      </c>
      <c r="B9394" s="5" t="str">
        <f>"TORRES DE APILAMIENTO DE BOMBAS DE INFUSION"</f>
        <v>TORRES DE APILAMIENTO DE BOMBAS DE INFUSION</v>
      </c>
      <c r="C9394" s="6">
        <v>1404200</v>
      </c>
      <c r="D9394" s="5" t="s">
        <v>157</v>
      </c>
      <c r="E9394" s="5" t="str">
        <f t="shared" si="479"/>
        <v>CARPA COVID VERDE-(ZONA EXPANCIÓN)-yenny peña</v>
      </c>
      <c r="F9394" s="5"/>
      <c r="G9394" s="5"/>
    </row>
    <row r="9395" spans="1:7" ht="58.5" customHeight="1" x14ac:dyDescent="0.25">
      <c r="A9395" s="5" t="str">
        <f>"H0033080"</f>
        <v>H0033080</v>
      </c>
      <c r="B9395" s="5" t="str">
        <f>"TORRES DE APILAMIENTO DE BOMBAS DE INFUSION"</f>
        <v>TORRES DE APILAMIENTO DE BOMBAS DE INFUSION</v>
      </c>
      <c r="C9395" s="6">
        <v>1404200</v>
      </c>
      <c r="D9395" s="5" t="s">
        <v>157</v>
      </c>
      <c r="E9395" s="5" t="str">
        <f t="shared" si="479"/>
        <v>CARPA COVID VERDE-(ZONA EXPANCIÓN)-yenny peña</v>
      </c>
      <c r="F9395" s="5"/>
      <c r="G9395" s="5"/>
    </row>
    <row r="9396" spans="1:7" ht="58.5" customHeight="1" x14ac:dyDescent="0.25">
      <c r="A9396" s="5" t="str">
        <f>"H0033081"</f>
        <v>H0033081</v>
      </c>
      <c r="B9396" s="5" t="str">
        <f>"TORRES DE APILAMIENTO DE BOMBAS DE INFUSION"</f>
        <v>TORRES DE APILAMIENTO DE BOMBAS DE INFUSION</v>
      </c>
      <c r="C9396" s="6">
        <v>1404200</v>
      </c>
      <c r="D9396" s="5" t="s">
        <v>503</v>
      </c>
      <c r="E9396" s="5" t="str">
        <f t="shared" si="479"/>
        <v>CARPA COVID VERDE-(ZONA EXPANCIÓN)-yenny peña</v>
      </c>
      <c r="F9396" s="5"/>
      <c r="G9396" s="5"/>
    </row>
    <row r="9397" spans="1:7" ht="58.5" customHeight="1" x14ac:dyDescent="0.25">
      <c r="A9397" s="5" t="str">
        <f>"H0033082"</f>
        <v>H0033082</v>
      </c>
      <c r="B9397" s="5" t="str">
        <f>"TORRES DE APILAMIENTO DE BOMBAS DE INFUSION"</f>
        <v>TORRES DE APILAMIENTO DE BOMBAS DE INFUSION</v>
      </c>
      <c r="C9397" s="6">
        <v>1404200</v>
      </c>
      <c r="D9397" s="5" t="s">
        <v>157</v>
      </c>
      <c r="E9397" s="5" t="str">
        <f t="shared" si="479"/>
        <v>CARPA COVID VERDE-(ZONA EXPANCIÓN)-yenny peña</v>
      </c>
      <c r="F9397" s="5"/>
      <c r="G9397" s="5"/>
    </row>
    <row r="9398" spans="1:7" ht="58.5" customHeight="1" x14ac:dyDescent="0.25">
      <c r="A9398" s="5" t="str">
        <f>"H0033237"</f>
        <v>H0033237</v>
      </c>
      <c r="B9398"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9398" s="6">
        <v>2533333</v>
      </c>
      <c r="D9398" s="5" t="s">
        <v>157</v>
      </c>
      <c r="E9398" s="5" t="str">
        <f t="shared" si="479"/>
        <v>CARPA COVID VERDE-(ZONA EXPANCIÓN)-yenny peña</v>
      </c>
      <c r="F9398" s="5"/>
      <c r="G9398" s="5"/>
    </row>
    <row r="9399" spans="1:7" ht="58.5" customHeight="1" x14ac:dyDescent="0.25">
      <c r="A9399" s="5" t="str">
        <f>"H0033265"</f>
        <v>H0033265</v>
      </c>
      <c r="B9399" s="5" t="str">
        <f>"EQUIPO DE ORGANOS PORTATIL. Batería Recargable. Luz LED blanca y fría. Oftalmoscopio mínimo 5 lentes de apertura. otoscopio con lente de lupa. Estuche protector"</f>
        <v>EQUIPO DE ORGANOS PORTATIL. Batería Recargable. Luz LED blanca y fría. Oftalmoscopio mínimo 5 lentes de apertura. otoscopio con lente de lupa. Estuche protector</v>
      </c>
      <c r="C9399" s="6">
        <v>1170000</v>
      </c>
      <c r="D9399" s="5" t="s">
        <v>119</v>
      </c>
      <c r="E9399" s="5" t="str">
        <f t="shared" si="479"/>
        <v>CARPA COVID VERDE-(ZONA EXPANCIÓN)-yenny peña</v>
      </c>
      <c r="F9399" s="5"/>
      <c r="G9399" s="5"/>
    </row>
    <row r="9400" spans="1:7" ht="58.5" customHeight="1" x14ac:dyDescent="0.25">
      <c r="A9400" s="5" t="str">
        <f>"H0033403"</f>
        <v>H0033403</v>
      </c>
      <c r="B9400"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9400" s="6">
        <v>2533333</v>
      </c>
      <c r="D9400" s="5" t="s">
        <v>120</v>
      </c>
      <c r="E9400" s="5" t="str">
        <f t="shared" si="479"/>
        <v>CARPA COVID VERDE-(ZONA EXPANCIÓN)-yenny peña</v>
      </c>
      <c r="F9400" s="5"/>
      <c r="G9400" s="5"/>
    </row>
    <row r="9401" spans="1:7" ht="58.5" customHeight="1" x14ac:dyDescent="0.25">
      <c r="A9401" s="5" t="str">
        <f>"H0034027"</f>
        <v>H0034027</v>
      </c>
      <c r="B9401" s="5" t="s">
        <v>329</v>
      </c>
      <c r="C9401" s="6">
        <v>258000</v>
      </c>
      <c r="D9401" s="5" t="s">
        <v>122</v>
      </c>
      <c r="E9401" s="5" t="str">
        <f t="shared" si="479"/>
        <v>CARPA COVID VERDE-(ZONA EXPANCIÓN)-yenny peña</v>
      </c>
      <c r="F9401" s="5"/>
      <c r="G9401" s="5"/>
    </row>
    <row r="9402" spans="1:7" ht="58.5" customHeight="1" x14ac:dyDescent="0.25">
      <c r="A9402" s="5" t="str">
        <f>"H0034357"</f>
        <v>H0034357</v>
      </c>
      <c r="B9402" s="5" t="str">
        <f>"INFUSOR DE LIQUIDOS. Soporta soluciones o bolsas de sangre. Capacidad 1000 mL. Manómetro escala mmHg. Pera bombeo"</f>
        <v>INFUSOR DE LIQUIDOS. Soporta soluciones o bolsas de sangre. Capacidad 1000 mL. Manómetro escala mmHg. Pera bombeo</v>
      </c>
      <c r="C9402" s="6">
        <v>343367</v>
      </c>
      <c r="D9402" s="5" t="s">
        <v>193</v>
      </c>
      <c r="E9402" s="5" t="str">
        <f t="shared" si="479"/>
        <v>CARPA COVID VERDE-(ZONA EXPANCIÓN)-yenny peña</v>
      </c>
      <c r="F9402" s="5"/>
      <c r="G9402" s="5"/>
    </row>
    <row r="9403" spans="1:7" ht="58.5" customHeight="1" x14ac:dyDescent="0.25">
      <c r="A9403" s="5" t="str">
        <f>"H0034763"</f>
        <v>H0034763</v>
      </c>
      <c r="B9403" s="5" t="str">
        <f t="shared" ref="B9403:B9423" si="480">"CAMILLA DE TRANSPORTE Y RECUPERACION (DONACION)"</f>
        <v>CAMILLA DE TRANSPORTE Y RECUPERACION (DONACION)</v>
      </c>
      <c r="C9403" s="6">
        <v>1349600</v>
      </c>
      <c r="D9403" s="5" t="s">
        <v>123</v>
      </c>
      <c r="E9403" s="5" t="str">
        <f t="shared" si="479"/>
        <v>CARPA COVID VERDE-(ZONA EXPANCIÓN)-yenny peña</v>
      </c>
      <c r="F9403" s="5"/>
      <c r="G9403" s="5"/>
    </row>
    <row r="9404" spans="1:7" ht="58.5" customHeight="1" x14ac:dyDescent="0.25">
      <c r="A9404" s="5" t="str">
        <f>"H0034764"</f>
        <v>H0034764</v>
      </c>
      <c r="B9404" s="5" t="str">
        <f t="shared" si="480"/>
        <v>CAMILLA DE TRANSPORTE Y RECUPERACION (DONACION)</v>
      </c>
      <c r="C9404" s="6">
        <v>1349600</v>
      </c>
      <c r="D9404" s="5" t="s">
        <v>123</v>
      </c>
      <c r="E9404" s="5" t="str">
        <f t="shared" si="479"/>
        <v>CARPA COVID VERDE-(ZONA EXPANCIÓN)-yenny peña</v>
      </c>
      <c r="F9404" s="5"/>
      <c r="G9404" s="5"/>
    </row>
    <row r="9405" spans="1:7" ht="58.5" customHeight="1" x14ac:dyDescent="0.25">
      <c r="A9405" s="5" t="str">
        <f>"H0034765"</f>
        <v>H0034765</v>
      </c>
      <c r="B9405" s="5" t="str">
        <f t="shared" si="480"/>
        <v>CAMILLA DE TRANSPORTE Y RECUPERACION (DONACION)</v>
      </c>
      <c r="C9405" s="6">
        <v>1349600</v>
      </c>
      <c r="D9405" s="5" t="s">
        <v>123</v>
      </c>
      <c r="E9405" s="5" t="str">
        <f t="shared" si="479"/>
        <v>CARPA COVID VERDE-(ZONA EXPANCIÓN)-yenny peña</v>
      </c>
      <c r="F9405" s="5"/>
      <c r="G9405" s="5"/>
    </row>
    <row r="9406" spans="1:7" ht="58.5" customHeight="1" x14ac:dyDescent="0.25">
      <c r="A9406" s="5" t="str">
        <f>"H0034766"</f>
        <v>H0034766</v>
      </c>
      <c r="B9406" s="5" t="str">
        <f t="shared" si="480"/>
        <v>CAMILLA DE TRANSPORTE Y RECUPERACION (DONACION)</v>
      </c>
      <c r="C9406" s="6">
        <v>1349600</v>
      </c>
      <c r="D9406" s="5" t="s">
        <v>123</v>
      </c>
      <c r="E9406" s="5" t="str">
        <f t="shared" si="479"/>
        <v>CARPA COVID VERDE-(ZONA EXPANCIÓN)-yenny peña</v>
      </c>
      <c r="F9406" s="5"/>
      <c r="G9406" s="5"/>
    </row>
    <row r="9407" spans="1:7" ht="58.5" customHeight="1" x14ac:dyDescent="0.25">
      <c r="A9407" s="5" t="str">
        <f>"H0034767"</f>
        <v>H0034767</v>
      </c>
      <c r="B9407" s="5" t="str">
        <f t="shared" si="480"/>
        <v>CAMILLA DE TRANSPORTE Y RECUPERACION (DONACION)</v>
      </c>
      <c r="C9407" s="6">
        <v>1349600</v>
      </c>
      <c r="D9407" s="5" t="s">
        <v>123</v>
      </c>
      <c r="E9407" s="5" t="str">
        <f t="shared" si="479"/>
        <v>CARPA COVID VERDE-(ZONA EXPANCIÓN)-yenny peña</v>
      </c>
      <c r="F9407" s="5"/>
      <c r="G9407" s="5"/>
    </row>
    <row r="9408" spans="1:7" ht="58.5" customHeight="1" x14ac:dyDescent="0.25">
      <c r="A9408" s="5" t="str">
        <f>"H0034768"</f>
        <v>H0034768</v>
      </c>
      <c r="B9408" s="5" t="str">
        <f t="shared" si="480"/>
        <v>CAMILLA DE TRANSPORTE Y RECUPERACION (DONACION)</v>
      </c>
      <c r="C9408" s="6">
        <v>1349600</v>
      </c>
      <c r="D9408" s="5" t="s">
        <v>123</v>
      </c>
      <c r="E9408" s="5" t="str">
        <f t="shared" si="479"/>
        <v>CARPA COVID VERDE-(ZONA EXPANCIÓN)-yenny peña</v>
      </c>
      <c r="F9408" s="5"/>
      <c r="G9408" s="5"/>
    </row>
    <row r="9409" spans="1:7" ht="58.5" customHeight="1" x14ac:dyDescent="0.25">
      <c r="A9409" s="5" t="str">
        <f>"H0034769"</f>
        <v>H0034769</v>
      </c>
      <c r="B9409" s="5" t="str">
        <f t="shared" si="480"/>
        <v>CAMILLA DE TRANSPORTE Y RECUPERACION (DONACION)</v>
      </c>
      <c r="C9409" s="6">
        <v>1349600</v>
      </c>
      <c r="D9409" s="5" t="s">
        <v>123</v>
      </c>
      <c r="E9409" s="5" t="str">
        <f t="shared" si="479"/>
        <v>CARPA COVID VERDE-(ZONA EXPANCIÓN)-yenny peña</v>
      </c>
      <c r="F9409" s="5"/>
      <c r="G9409" s="5"/>
    </row>
    <row r="9410" spans="1:7" ht="58.5" customHeight="1" x14ac:dyDescent="0.25">
      <c r="A9410" s="5" t="str">
        <f>"H0034770"</f>
        <v>H0034770</v>
      </c>
      <c r="B9410" s="5" t="str">
        <f t="shared" si="480"/>
        <v>CAMILLA DE TRANSPORTE Y RECUPERACION (DONACION)</v>
      </c>
      <c r="C9410" s="6">
        <v>1349600</v>
      </c>
      <c r="D9410" s="5" t="s">
        <v>123</v>
      </c>
      <c r="E9410" s="5" t="str">
        <f t="shared" si="479"/>
        <v>CARPA COVID VERDE-(ZONA EXPANCIÓN)-yenny peña</v>
      </c>
      <c r="F9410" s="5"/>
      <c r="G9410" s="5"/>
    </row>
    <row r="9411" spans="1:7" ht="58.5" customHeight="1" x14ac:dyDescent="0.25">
      <c r="A9411" s="5" t="str">
        <f>"H0034771"</f>
        <v>H0034771</v>
      </c>
      <c r="B9411" s="5" t="str">
        <f t="shared" si="480"/>
        <v>CAMILLA DE TRANSPORTE Y RECUPERACION (DONACION)</v>
      </c>
      <c r="C9411" s="6">
        <v>1349600</v>
      </c>
      <c r="D9411" s="5" t="s">
        <v>123</v>
      </c>
      <c r="E9411" s="5" t="str">
        <f t="shared" si="479"/>
        <v>CARPA COVID VERDE-(ZONA EXPANCIÓN)-yenny peña</v>
      </c>
      <c r="F9411" s="5"/>
      <c r="G9411" s="5"/>
    </row>
    <row r="9412" spans="1:7" ht="58.5" customHeight="1" x14ac:dyDescent="0.25">
      <c r="A9412" s="5" t="str">
        <f>"H0034772"</f>
        <v>H0034772</v>
      </c>
      <c r="B9412" s="5" t="str">
        <f t="shared" si="480"/>
        <v>CAMILLA DE TRANSPORTE Y RECUPERACION (DONACION)</v>
      </c>
      <c r="C9412" s="6">
        <v>1349600</v>
      </c>
      <c r="D9412" s="5" t="s">
        <v>526</v>
      </c>
      <c r="E9412" s="5" t="str">
        <f t="shared" si="479"/>
        <v>CARPA COVID VERDE-(ZONA EXPANCIÓN)-yenny peña</v>
      </c>
      <c r="F9412" s="5"/>
      <c r="G9412" s="5"/>
    </row>
    <row r="9413" spans="1:7" ht="58.5" customHeight="1" x14ac:dyDescent="0.25">
      <c r="A9413" s="5" t="str">
        <f>"H0034773"</f>
        <v>H0034773</v>
      </c>
      <c r="B9413" s="5" t="str">
        <f t="shared" si="480"/>
        <v>CAMILLA DE TRANSPORTE Y RECUPERACION (DONACION)</v>
      </c>
      <c r="C9413" s="6">
        <v>1349600</v>
      </c>
      <c r="D9413" s="5" t="s">
        <v>123</v>
      </c>
      <c r="E9413" s="5" t="str">
        <f t="shared" si="479"/>
        <v>CARPA COVID VERDE-(ZONA EXPANCIÓN)-yenny peña</v>
      </c>
      <c r="F9413" s="5"/>
      <c r="G9413" s="5"/>
    </row>
    <row r="9414" spans="1:7" ht="58.5" customHeight="1" x14ac:dyDescent="0.25">
      <c r="A9414" s="5" t="str">
        <f>"H0034774"</f>
        <v>H0034774</v>
      </c>
      <c r="B9414" s="5" t="str">
        <f t="shared" si="480"/>
        <v>CAMILLA DE TRANSPORTE Y RECUPERACION (DONACION)</v>
      </c>
      <c r="C9414" s="6">
        <v>1349600</v>
      </c>
      <c r="D9414" s="5" t="s">
        <v>123</v>
      </c>
      <c r="E9414" s="5" t="str">
        <f t="shared" ref="E9414:E9430" si="481">"CARPA COVID VERDE-(ZONA EXPANCIÓN)-yenny peña"</f>
        <v>CARPA COVID VERDE-(ZONA EXPANCIÓN)-yenny peña</v>
      </c>
      <c r="F9414" s="5"/>
      <c r="G9414" s="5"/>
    </row>
    <row r="9415" spans="1:7" ht="58.5" customHeight="1" x14ac:dyDescent="0.25">
      <c r="A9415" s="5" t="str">
        <f>"H0034775"</f>
        <v>H0034775</v>
      </c>
      <c r="B9415" s="5" t="str">
        <f t="shared" si="480"/>
        <v>CAMILLA DE TRANSPORTE Y RECUPERACION (DONACION)</v>
      </c>
      <c r="C9415" s="6">
        <v>1349600</v>
      </c>
      <c r="D9415" s="5" t="s">
        <v>123</v>
      </c>
      <c r="E9415" s="5" t="str">
        <f t="shared" si="481"/>
        <v>CARPA COVID VERDE-(ZONA EXPANCIÓN)-yenny peña</v>
      </c>
      <c r="F9415" s="5"/>
      <c r="G9415" s="5"/>
    </row>
    <row r="9416" spans="1:7" ht="58.5" customHeight="1" x14ac:dyDescent="0.25">
      <c r="A9416" s="5" t="str">
        <f>"H0034776"</f>
        <v>H0034776</v>
      </c>
      <c r="B9416" s="5" t="str">
        <f t="shared" si="480"/>
        <v>CAMILLA DE TRANSPORTE Y RECUPERACION (DONACION)</v>
      </c>
      <c r="C9416" s="6">
        <v>1349600</v>
      </c>
      <c r="D9416" s="5" t="s">
        <v>123</v>
      </c>
      <c r="E9416" s="5" t="str">
        <f t="shared" si="481"/>
        <v>CARPA COVID VERDE-(ZONA EXPANCIÓN)-yenny peña</v>
      </c>
      <c r="F9416" s="5"/>
      <c r="G9416" s="5"/>
    </row>
    <row r="9417" spans="1:7" ht="58.5" customHeight="1" x14ac:dyDescent="0.25">
      <c r="A9417" s="5" t="str">
        <f>"H0034777"</f>
        <v>H0034777</v>
      </c>
      <c r="B9417" s="5" t="str">
        <f t="shared" si="480"/>
        <v>CAMILLA DE TRANSPORTE Y RECUPERACION (DONACION)</v>
      </c>
      <c r="C9417" s="6">
        <v>1349600</v>
      </c>
      <c r="D9417" s="5" t="s">
        <v>123</v>
      </c>
      <c r="E9417" s="5" t="str">
        <f t="shared" si="481"/>
        <v>CARPA COVID VERDE-(ZONA EXPANCIÓN)-yenny peña</v>
      </c>
      <c r="F9417" s="5"/>
      <c r="G9417" s="5"/>
    </row>
    <row r="9418" spans="1:7" ht="58.5" customHeight="1" x14ac:dyDescent="0.25">
      <c r="A9418" s="5" t="str">
        <f>"H0034778"</f>
        <v>H0034778</v>
      </c>
      <c r="B9418" s="5" t="str">
        <f t="shared" si="480"/>
        <v>CAMILLA DE TRANSPORTE Y RECUPERACION (DONACION)</v>
      </c>
      <c r="C9418" s="6">
        <v>1349600</v>
      </c>
      <c r="D9418" s="5" t="s">
        <v>123</v>
      </c>
      <c r="E9418" s="5" t="str">
        <f t="shared" si="481"/>
        <v>CARPA COVID VERDE-(ZONA EXPANCIÓN)-yenny peña</v>
      </c>
      <c r="F9418" s="5"/>
      <c r="G9418" s="5"/>
    </row>
    <row r="9419" spans="1:7" ht="58.5" customHeight="1" x14ac:dyDescent="0.25">
      <c r="A9419" s="5" t="str">
        <f>"H0034779"</f>
        <v>H0034779</v>
      </c>
      <c r="B9419" s="5" t="str">
        <f t="shared" si="480"/>
        <v>CAMILLA DE TRANSPORTE Y RECUPERACION (DONACION)</v>
      </c>
      <c r="C9419" s="6">
        <v>1349600</v>
      </c>
      <c r="D9419" s="5" t="s">
        <v>123</v>
      </c>
      <c r="E9419" s="5" t="str">
        <f t="shared" si="481"/>
        <v>CARPA COVID VERDE-(ZONA EXPANCIÓN)-yenny peña</v>
      </c>
      <c r="F9419" s="5"/>
      <c r="G9419" s="5"/>
    </row>
    <row r="9420" spans="1:7" ht="58.5" customHeight="1" x14ac:dyDescent="0.25">
      <c r="A9420" s="5" t="str">
        <f>"H0034780"</f>
        <v>H0034780</v>
      </c>
      <c r="B9420" s="5" t="str">
        <f t="shared" si="480"/>
        <v>CAMILLA DE TRANSPORTE Y RECUPERACION (DONACION)</v>
      </c>
      <c r="C9420" s="6">
        <v>1349600</v>
      </c>
      <c r="D9420" s="5" t="s">
        <v>123</v>
      </c>
      <c r="E9420" s="5" t="str">
        <f t="shared" si="481"/>
        <v>CARPA COVID VERDE-(ZONA EXPANCIÓN)-yenny peña</v>
      </c>
      <c r="F9420" s="5"/>
      <c r="G9420" s="5"/>
    </row>
    <row r="9421" spans="1:7" ht="58.5" customHeight="1" x14ac:dyDescent="0.25">
      <c r="A9421" s="5" t="str">
        <f>"H0034781"</f>
        <v>H0034781</v>
      </c>
      <c r="B9421" s="5" t="str">
        <f t="shared" si="480"/>
        <v>CAMILLA DE TRANSPORTE Y RECUPERACION (DONACION)</v>
      </c>
      <c r="C9421" s="6">
        <v>1349600</v>
      </c>
      <c r="D9421" s="5" t="s">
        <v>123</v>
      </c>
      <c r="E9421" s="5" t="str">
        <f t="shared" si="481"/>
        <v>CARPA COVID VERDE-(ZONA EXPANCIÓN)-yenny peña</v>
      </c>
      <c r="F9421" s="5"/>
      <c r="G9421" s="5"/>
    </row>
    <row r="9422" spans="1:7" ht="58.5" customHeight="1" x14ac:dyDescent="0.25">
      <c r="A9422" s="5" t="str">
        <f>"H0034782"</f>
        <v>H0034782</v>
      </c>
      <c r="B9422" s="5" t="str">
        <f t="shared" si="480"/>
        <v>CAMILLA DE TRANSPORTE Y RECUPERACION (DONACION)</v>
      </c>
      <c r="C9422" s="6">
        <v>1349600</v>
      </c>
      <c r="D9422" s="5" t="s">
        <v>123</v>
      </c>
      <c r="E9422" s="5" t="str">
        <f t="shared" si="481"/>
        <v>CARPA COVID VERDE-(ZONA EXPANCIÓN)-yenny peña</v>
      </c>
      <c r="F9422" s="5"/>
      <c r="G9422" s="5"/>
    </row>
    <row r="9423" spans="1:7" ht="58.5" customHeight="1" x14ac:dyDescent="0.25">
      <c r="A9423" s="5" t="str">
        <f>"H0034783"</f>
        <v>H0034783</v>
      </c>
      <c r="B9423" s="5" t="str">
        <f t="shared" si="480"/>
        <v>CAMILLA DE TRANSPORTE Y RECUPERACION (DONACION)</v>
      </c>
      <c r="C9423" s="6">
        <v>1349600</v>
      </c>
      <c r="D9423" s="5" t="s">
        <v>123</v>
      </c>
      <c r="E9423" s="5" t="str">
        <f t="shared" si="481"/>
        <v>CARPA COVID VERDE-(ZONA EXPANCIÓN)-yenny peña</v>
      </c>
      <c r="F9423" s="5"/>
      <c r="G9423" s="5"/>
    </row>
    <row r="9424" spans="1:7" ht="58.5" customHeight="1" x14ac:dyDescent="0.25">
      <c r="A9424" s="5" t="str">
        <f>"H0034798"</f>
        <v>H0034798</v>
      </c>
      <c r="B9424" s="5" t="str">
        <f>"succionador (DONACION)"</f>
        <v>succionador (DONACION)</v>
      </c>
      <c r="C9424" s="6">
        <v>6216000</v>
      </c>
      <c r="D9424" s="5" t="s">
        <v>123</v>
      </c>
      <c r="E9424" s="5" t="str">
        <f t="shared" si="481"/>
        <v>CARPA COVID VERDE-(ZONA EXPANCIÓN)-yenny peña</v>
      </c>
      <c r="F9424" s="5"/>
      <c r="G9424" s="5"/>
    </row>
    <row r="9425" spans="1:7" ht="58.5" customHeight="1" x14ac:dyDescent="0.25">
      <c r="A9425" s="5" t="str">
        <f>"H0034799"</f>
        <v>H0034799</v>
      </c>
      <c r="B9425" s="5" t="str">
        <f>"succionador (DONACION)"</f>
        <v>succionador (DONACION)</v>
      </c>
      <c r="C9425" s="6">
        <v>6216000</v>
      </c>
      <c r="D9425" s="5" t="s">
        <v>123</v>
      </c>
      <c r="E9425" s="5" t="str">
        <f t="shared" si="481"/>
        <v>CARPA COVID VERDE-(ZONA EXPANCIÓN)-yenny peña</v>
      </c>
      <c r="F9425" s="5"/>
      <c r="G9425" s="5"/>
    </row>
    <row r="9426" spans="1:7" ht="58.5" customHeight="1" x14ac:dyDescent="0.25">
      <c r="A9426" s="5" t="str">
        <f>"H0034818"</f>
        <v>H0034818</v>
      </c>
      <c r="B9426" s="5" t="str">
        <f>"Pistola para desinfección por niebla"</f>
        <v>Pistola para desinfección por niebla</v>
      </c>
      <c r="C9426" s="6">
        <v>425000</v>
      </c>
      <c r="D9426" s="5" t="s">
        <v>21</v>
      </c>
      <c r="E9426" s="5" t="str">
        <f t="shared" si="481"/>
        <v>CARPA COVID VERDE-(ZONA EXPANCIÓN)-yenny peña</v>
      </c>
      <c r="F9426" s="5"/>
      <c r="G9426" s="5"/>
    </row>
    <row r="9427" spans="1:7" ht="58.5" customHeight="1" x14ac:dyDescent="0.25">
      <c r="A9427" s="5" t="str">
        <f>"H0034819"</f>
        <v>H0034819</v>
      </c>
      <c r="B9427" s="5" t="str">
        <f>"Pistola para desinfección por niebla"</f>
        <v>Pistola para desinfección por niebla</v>
      </c>
      <c r="C9427" s="6">
        <v>425000</v>
      </c>
      <c r="D9427" s="5" t="s">
        <v>21</v>
      </c>
      <c r="E9427" s="5" t="str">
        <f t="shared" si="481"/>
        <v>CARPA COVID VERDE-(ZONA EXPANCIÓN)-yenny peña</v>
      </c>
      <c r="F9427" s="5"/>
      <c r="G9427" s="5"/>
    </row>
    <row r="9428" spans="1:7" ht="58.5" customHeight="1" x14ac:dyDescent="0.25">
      <c r="A9428" s="5" t="str">
        <f>"H0035146"</f>
        <v>H0035146</v>
      </c>
      <c r="B9428" s="5" t="str">
        <f>"NEVERA DE 66 LTS"</f>
        <v>NEVERA DE 66 LTS</v>
      </c>
      <c r="C9428" s="6">
        <v>544999.71</v>
      </c>
      <c r="D9428" s="5" t="s">
        <v>25</v>
      </c>
      <c r="E9428" s="5" t="str">
        <f t="shared" si="481"/>
        <v>CARPA COVID VERDE-(ZONA EXPANCIÓN)-yenny peña</v>
      </c>
      <c r="F9428" s="5"/>
      <c r="G9428" s="5"/>
    </row>
    <row r="9429" spans="1:7" ht="58.5" customHeight="1" x14ac:dyDescent="0.25">
      <c r="A9429" s="5" t="str">
        <f>"H0035339"</f>
        <v>H0035339</v>
      </c>
      <c r="B9429" s="5" t="s">
        <v>128</v>
      </c>
      <c r="C9429" s="6">
        <v>5462100</v>
      </c>
      <c r="D9429" s="5" t="s">
        <v>127</v>
      </c>
      <c r="E9429" s="5" t="str">
        <f t="shared" si="481"/>
        <v>CARPA COVID VERDE-(ZONA EXPANCIÓN)-yenny peña</v>
      </c>
      <c r="F9429" s="5"/>
      <c r="G9429" s="5"/>
    </row>
    <row r="9430" spans="1:7" ht="58.5" customHeight="1" x14ac:dyDescent="0.25">
      <c r="A9430" s="5" t="str">
        <f>"H0036519"</f>
        <v>H0036519</v>
      </c>
      <c r="B9430"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9430" s="6">
        <v>6307000</v>
      </c>
      <c r="D9430" s="5" t="s">
        <v>48</v>
      </c>
      <c r="E9430" s="5" t="str">
        <f t="shared" si="481"/>
        <v>CARPA COVID VERDE-(ZONA EXPANCIÓN)-yenny peña</v>
      </c>
      <c r="F9430" s="5"/>
      <c r="G9430" s="5" t="str">
        <f>"VZ4680G"</f>
        <v>VZ4680G</v>
      </c>
    </row>
    <row r="9431" spans="1:7" ht="58.5" customHeight="1" x14ac:dyDescent="0.25">
      <c r="A9431" s="5" t="str">
        <f>"B0000210"</f>
        <v>B0000210</v>
      </c>
      <c r="B9431" s="5" t="str">
        <f>"PINZA DE CURACION"</f>
        <v>PINZA DE CURACION</v>
      </c>
      <c r="C9431" s="6">
        <v>926.66</v>
      </c>
      <c r="D9431" s="5"/>
      <c r="E9431" s="5" t="str">
        <f t="shared" ref="E9431:E9455" si="482">"CONSULTORIO 18-ANDRES ELOY GALVIS"</f>
        <v>CONSULTORIO 18-ANDRES ELOY GALVIS</v>
      </c>
      <c r="F9431" s="5" t="str">
        <f>"Descripcion: PINZA DE CURACION RECTA BOZEMAN GRANDE Estado: Bueno Placa anterior: 000006664 Material: ACERO INOXIDABLE Color: PLATEADO Referencia:  Observacion:  Placa padre: Tipo adquisicion: Entidad"</f>
        <v>Descripcion: PINZA DE CURACION RECTA BOZEMAN GRANDE Estado: Bueno Placa anterior: 000006664 Material: ACERO INOXIDABLE Color: PLATEADO Referencia:  Observacion:  Placa padre: Tipo adquisicion: Entidad</v>
      </c>
      <c r="G9431" s="5"/>
    </row>
    <row r="9432" spans="1:7" ht="58.5" customHeight="1" x14ac:dyDescent="0.25">
      <c r="A9432" s="5" t="str">
        <f>"B0000211"</f>
        <v>B0000211</v>
      </c>
      <c r="B9432" s="5" t="str">
        <f>"PINZA CORAZON (COLLIN)"</f>
        <v>PINZA CORAZON (COLLIN)</v>
      </c>
      <c r="C9432" s="6">
        <v>1588.35</v>
      </c>
      <c r="D9432" s="5"/>
      <c r="E9432" s="5" t="str">
        <f t="shared" si="482"/>
        <v>CONSULTORIO 18-ANDRES ELOY GALVIS</v>
      </c>
      <c r="F9432" s="5" t="str">
        <f>"Descripcion: PINZA CORAZON  Estado: Bueno Placa anterior: 000006658 Material: ACERO INOXIDABLE Color: PLATEADO Referencia:  Observacion:  Placa padre: Tipo adquisicion: Entidad"</f>
        <v>Descripcion: PINZA CORAZON  Estado: Bueno Placa anterior: 000006658 Material: ACERO INOXIDABLE Color: PLATEADO Referencia:  Observacion:  Placa padre: Tipo adquisicion: Entidad</v>
      </c>
      <c r="G9432" s="5"/>
    </row>
    <row r="9433" spans="1:7" ht="58.5" customHeight="1" x14ac:dyDescent="0.25">
      <c r="A9433" s="5" t="str">
        <f>"B0000212"</f>
        <v>B0000212</v>
      </c>
      <c r="B9433" s="5" t="str">
        <f>"PINZA CUELLO UTERINO"</f>
        <v>PINZA CUELLO UTERINO</v>
      </c>
      <c r="C9433" s="6">
        <v>26587</v>
      </c>
      <c r="D9433" s="5"/>
      <c r="E9433" s="5" t="str">
        <f t="shared" si="482"/>
        <v>CONSULTORIO 18-ANDRES ELOY GALVIS</v>
      </c>
      <c r="F9433" s="5" t="str">
        <f>"Descripcion: PINZA CUELLO UTERINO GRANDE Estado: Bueno Placa anterior: 000006536 Material: ACERO INOXIDABLE Color: PLATEADO Referencia:  Observacion:  Placa padre: Tipo adquisicion: Entidad"</f>
        <v>Descripcion: PINZA CUELLO UTERINO GRANDE Estado: Bueno Placa anterior: 000006536 Material: ACERO INOXIDABLE Color: PLATEADO Referencia:  Observacion:  Placa padre: Tipo adquisicion: Entidad</v>
      </c>
      <c r="G9433" s="5"/>
    </row>
    <row r="9434" spans="1:7" ht="58.5" customHeight="1" x14ac:dyDescent="0.25">
      <c r="A9434" s="5" t="str">
        <f>"B0000213"</f>
        <v>B0000213</v>
      </c>
      <c r="B9434" s="5" t="str">
        <f>"PINZA DE CURACION"</f>
        <v>PINZA DE CURACION</v>
      </c>
      <c r="C9434" s="6">
        <v>926.66</v>
      </c>
      <c r="D9434" s="5"/>
      <c r="E9434" s="5" t="str">
        <f t="shared" si="482"/>
        <v>CONSULTORIO 18-ANDRES ELOY GALVIS</v>
      </c>
      <c r="F9434" s="5" t="str">
        <f>"Descripcion: PINZA CURACION RECTA BOZEMAN Estado: Bueno Placa anterior: 000006662 Material: ACERO INOXIDABLE Color: PLATEADO Referencia:  Observacion:  Placa padre: Tipo adquisicion: Entidad"</f>
        <v>Descripcion: PINZA CURACION RECTA BOZEMAN Estado: Bueno Placa anterior: 000006662 Material: ACERO INOXIDABLE Color: PLATEADO Referencia:  Observacion:  Placa padre: Tipo adquisicion: Entidad</v>
      </c>
      <c r="G9434" s="5"/>
    </row>
    <row r="9435" spans="1:7" ht="58.5" customHeight="1" x14ac:dyDescent="0.25">
      <c r="A9435" s="5" t="str">
        <f>"B0000214"</f>
        <v>B0000214</v>
      </c>
      <c r="B9435" s="5" t="str">
        <f>"PINZA DE CURACION"</f>
        <v>PINZA DE CURACION</v>
      </c>
      <c r="C9435" s="6">
        <v>926.66</v>
      </c>
      <c r="D9435" s="5"/>
      <c r="E9435" s="5" t="str">
        <f t="shared" si="482"/>
        <v>CONSULTORIO 18-ANDRES ELOY GALVIS</v>
      </c>
      <c r="F9435" s="5" t="str">
        <f>"Descripcion: PINZA CURACION RECTA BOZEMAN Estado: Bueno Placa anterior: 000006661 Material: ACERO INOXIDABLE Color: PLATEADO Referencia:  Observacion:  Placa padre: Tipo adquisicion: Entidad"</f>
        <v>Descripcion: PINZA CURACION RECTA BOZEMAN Estado: Bueno Placa anterior: 000006661 Material: ACERO INOXIDABLE Color: PLATEADO Referencia:  Observacion:  Placa padre: Tipo adquisicion: Entidad</v>
      </c>
      <c r="G9435" s="5"/>
    </row>
    <row r="9436" spans="1:7" ht="58.5" customHeight="1" x14ac:dyDescent="0.25">
      <c r="A9436" s="5" t="str">
        <f>"B0000215"</f>
        <v>B0000215</v>
      </c>
      <c r="B9436" s="5" t="str">
        <f>"PINZA CUELLO UTERINO"</f>
        <v>PINZA CUELLO UTERINO</v>
      </c>
      <c r="C9436" s="6">
        <v>16476</v>
      </c>
      <c r="D9436" s="5"/>
      <c r="E9436" s="5" t="str">
        <f t="shared" si="482"/>
        <v>CONSULTORIO 18-ANDRES ELOY GALVIS</v>
      </c>
      <c r="F9436" s="5" t="str">
        <f>"Descripcion: PINZA CUELLO UTERINO GRANDE Estado: Bueno Placa anterior: 000009475 Material: ACERO INOXIDABLE Color: PLATEADO Referencia:  Observacion:  Placa padre: Tipo adquisicion: Entidad"</f>
        <v>Descripcion: PINZA CUELLO UTERINO GRANDE Estado: Bueno Placa anterior: 000009475 Material: ACERO INOXIDABLE Color: PLATEADO Referencia:  Observacion:  Placa padre: Tipo adquisicion: Entidad</v>
      </c>
      <c r="G9436" s="5"/>
    </row>
    <row r="9437" spans="1:7" ht="58.5" customHeight="1" x14ac:dyDescent="0.25">
      <c r="A9437" s="5" t="str">
        <f>"B0000216"</f>
        <v>B0000216</v>
      </c>
      <c r="B9437" s="5" t="str">
        <f>"PINZA CUELLO UTERINO"</f>
        <v>PINZA CUELLO UTERINO</v>
      </c>
      <c r="C9437" s="6">
        <v>16476</v>
      </c>
      <c r="D9437" s="5"/>
      <c r="E9437" s="5" t="str">
        <f t="shared" si="482"/>
        <v>CONSULTORIO 18-ANDRES ELOY GALVIS</v>
      </c>
      <c r="F9437" s="5" t="str">
        <f>"Descripcion: PINZA PARA CUELLO UTERINO MEDIANA Estado: Bueno Placa anterior: 000009476 Material: ACERO INOXIDABLE Color: PLATEADO Referencia:  Observacion:  Placa padre: Tipo adquisicion: Entidad"</f>
        <v>Descripcion: PINZA PARA CUELLO UTERINO MEDIANA Estado: Bueno Placa anterior: 000009476 Material: ACERO INOXIDABLE Color: PLATEADO Referencia:  Observacion:  Placa padre: Tipo adquisicion: Entidad</v>
      </c>
      <c r="G9437" s="5"/>
    </row>
    <row r="9438" spans="1:7" ht="58.5" customHeight="1" x14ac:dyDescent="0.25">
      <c r="A9438" s="5" t="str">
        <f>"B0000217"</f>
        <v>B0000217</v>
      </c>
      <c r="B9438" s="5" t="str">
        <f>"PINZA PARA BIOPSIA - CANULA"</f>
        <v>PINZA PARA BIOPSIA - CANULA</v>
      </c>
      <c r="C9438" s="6">
        <v>490</v>
      </c>
      <c r="D9438" s="5"/>
      <c r="E9438" s="5" t="str">
        <f t="shared" si="482"/>
        <v>CONSULTORIO 18-ANDRES ELOY GALVIS</v>
      </c>
      <c r="F9438" s="5" t="str">
        <f>"Descripcion: PINZA CURETA DE NOVA Estado: Bueno Placa anterior: 000006667 Material: ACERO INOXIDABLE Color: PLATEADO Referencia:  Observacion:  Placa padre: Tipo adquisicion: Entidad"</f>
        <v>Descripcion: PINZA CURETA DE NOVA Estado: Bueno Placa anterior: 000006667 Material: ACERO INOXIDABLE Color: PLATEADO Referencia:  Observacion:  Placa padre: Tipo adquisicion: Entidad</v>
      </c>
      <c r="G9438" s="5"/>
    </row>
    <row r="9439" spans="1:7" ht="58.5" customHeight="1" x14ac:dyDescent="0.25">
      <c r="A9439" s="5" t="str">
        <f>"B0000218"</f>
        <v>B0000218</v>
      </c>
      <c r="B9439" s="5" t="str">
        <f>"PINZA CORAZON (COLLIN)"</f>
        <v>PINZA CORAZON (COLLIN)</v>
      </c>
      <c r="C9439" s="6">
        <v>1588.35</v>
      </c>
      <c r="D9439" s="5"/>
      <c r="E9439" s="5" t="str">
        <f t="shared" si="482"/>
        <v>CONSULTORIO 18-ANDRES ELOY GALVIS</v>
      </c>
      <c r="F9439" s="5" t="str">
        <f>"Descripcion: PINZA CORAZON Estado: Bueno Placa anterior: 000006659 Material: ACERO INOXIDABLE Color: PLATEADO Referencia:  Observacion:  Placa padre: Tipo adquisicion: Entidad"</f>
        <v>Descripcion: PINZA CORAZON Estado: Bueno Placa anterior: 000006659 Material: ACERO INOXIDABLE Color: PLATEADO Referencia:  Observacion:  Placa padre: Tipo adquisicion: Entidad</v>
      </c>
      <c r="G9439" s="5"/>
    </row>
    <row r="9440" spans="1:7" ht="58.5" customHeight="1" x14ac:dyDescent="0.25">
      <c r="A9440" s="5" t="str">
        <f>"B0000219"</f>
        <v>B0000219</v>
      </c>
      <c r="B9440" s="5" t="str">
        <f>"PINZA CUELLO UTERINO"</f>
        <v>PINZA CUELLO UTERINO</v>
      </c>
      <c r="C9440" s="6">
        <v>26587</v>
      </c>
      <c r="D9440" s="5"/>
      <c r="E9440" s="5" t="str">
        <f t="shared" si="482"/>
        <v>CONSULTORIO 18-ANDRES ELOY GALVIS</v>
      </c>
      <c r="F9440" s="5" t="str">
        <f>"Descripcion: PINZA CUELLO UTERINO MEDIANA Estado: Bueno Placa anterior: 000006535 Material: ACERO INOXIDABLE Color: PLATEADO Referencia:  Observacion:  Placa padre: Tipo adquisicion: Entidad"</f>
        <v>Descripcion: PINZA CUELLO UTERINO MEDIANA Estado: Bueno Placa anterior: 000006535 Material: ACERO INOXIDABLE Color: PLATEADO Referencia:  Observacion:  Placa padre: Tipo adquisicion: Entidad</v>
      </c>
      <c r="G9440" s="5"/>
    </row>
    <row r="9441" spans="1:7" ht="58.5" customHeight="1" x14ac:dyDescent="0.25">
      <c r="A9441" s="5" t="str">
        <f>"B0000222"</f>
        <v>B0000222</v>
      </c>
      <c r="B9441" s="5" t="str">
        <f>"PINZA ROCHESTER CURVA 25 CM"</f>
        <v>PINZA ROCHESTER CURVA 25 CM</v>
      </c>
      <c r="C9441" s="6">
        <v>2781.23</v>
      </c>
      <c r="D9441" s="5"/>
      <c r="E9441" s="5" t="str">
        <f t="shared" si="482"/>
        <v>CONSULTORIO 18-ANDRES ELOY GALVIS</v>
      </c>
      <c r="F9441" s="5" t="str">
        <f>"Descripcion: PINZA ROCHESTER CURVA GRANDE Estado: Bueno Placa anterior: 000006558 Material: ACERO INOXIDABLE Color: PLATEADO Referencia:  Observacion:  Placa padre: Tipo adquisicion: Entidad"</f>
        <v>Descripcion: PINZA ROCHESTER CURVA GRANDE Estado: Bueno Placa anterior: 000006558 Material: ACERO INOXIDABLE Color: PLATEADO Referencia:  Observacion:  Placa padre: Tipo adquisicion: Entidad</v>
      </c>
      <c r="G9441" s="5"/>
    </row>
    <row r="9442" spans="1:7" ht="58.5" customHeight="1" x14ac:dyDescent="0.25">
      <c r="A9442" s="5" t="str">
        <f>"B0000228"</f>
        <v>B0000228</v>
      </c>
      <c r="B9442" s="5" t="str">
        <f>"PINZA KELLY RECTA 16 CM"</f>
        <v>PINZA KELLY RECTA 16 CM</v>
      </c>
      <c r="C9442" s="6">
        <v>5379.17</v>
      </c>
      <c r="D9442" s="5"/>
      <c r="E9442" s="5" t="str">
        <f t="shared" si="482"/>
        <v>CONSULTORIO 18-ANDRES ELOY GALVIS</v>
      </c>
      <c r="F9442" s="5" t="str">
        <f>"Descripcion: PINZA AESCULAP KELLY RECTA Estado: Bueno Placa anterior: 000006665 Material: ACERO INIXIDABLE Color: PLATEADO Referencia:  Observacion:  Placa padre: Tipo adquisicion: Entidad"</f>
        <v>Descripcion: PINZA AESCULAP KELLY RECTA Estado: Bueno Placa anterior: 000006665 Material: ACERO INIXIDABLE Color: PLATEADO Referencia:  Observacion:  Placa padre: Tipo adquisicion: Entidad</v>
      </c>
      <c r="G9442" s="5"/>
    </row>
    <row r="9443" spans="1:7" ht="58.5" customHeight="1" x14ac:dyDescent="0.25">
      <c r="A9443" s="5" t="str">
        <f>"B0000229"</f>
        <v>B0000229</v>
      </c>
      <c r="B9443" s="5" t="str">
        <f>"CURETA GINECOLOGICA"</f>
        <v>CURETA GINECOLOGICA</v>
      </c>
      <c r="C9443" s="6">
        <v>18487</v>
      </c>
      <c r="D9443" s="5"/>
      <c r="E9443" s="5" t="str">
        <f t="shared" si="482"/>
        <v>CONSULTORIO 18-ANDRES ELOY GALVIS</v>
      </c>
      <c r="F9443" s="5" t="str">
        <f>"Descripcion: PINZA CURETA DE NOVA Estado: Bueno Placa anterior: 000006421 Material: ACERO INIXIDABLE Color: PLATEADO Referencia:  Observacion:  Placa padre: Tipo adquisicion: Entidad"</f>
        <v>Descripcion: PINZA CURETA DE NOVA Estado: Bueno Placa anterior: 000006421 Material: ACERO INIXIDABLE Color: PLATEADO Referencia:  Observacion:  Placa padre: Tipo adquisicion: Entidad</v>
      </c>
      <c r="G9443" s="5"/>
    </row>
    <row r="9444" spans="1:7" ht="58.5" customHeight="1" x14ac:dyDescent="0.25">
      <c r="A9444" s="5" t="str">
        <f>"B0000230"</f>
        <v>B0000230</v>
      </c>
      <c r="B9444" s="5" t="str">
        <f>"PINZA PARA BIOPSIA - CANULA"</f>
        <v>PINZA PARA BIOPSIA - CANULA</v>
      </c>
      <c r="C9444" s="6">
        <v>18487</v>
      </c>
      <c r="D9444" s="5"/>
      <c r="E9444" s="5" t="str">
        <f t="shared" si="482"/>
        <v>CONSULTORIO 18-ANDRES ELOY GALVIS</v>
      </c>
      <c r="F9444" s="5" t="str">
        <f>"Descripcion: PINZA CURETA DE NOVA Estado: Bueno Placa anterior: 000006420 Material: ACERO INIXIDABLE Color: PLATEADO Referencia:  Observacion:  Placa padre: Tipo adquisicion: Entidad"</f>
        <v>Descripcion: PINZA CURETA DE NOVA Estado: Bueno Placa anterior: 000006420 Material: ACERO INIXIDABLE Color: PLATEADO Referencia:  Observacion:  Placa padre: Tipo adquisicion: Entidad</v>
      </c>
      <c r="G9444" s="5"/>
    </row>
    <row r="9445" spans="1:7" ht="58.5" customHeight="1" x14ac:dyDescent="0.25">
      <c r="A9445" s="5" t="str">
        <f>"B0000231"</f>
        <v>B0000231</v>
      </c>
      <c r="B9445" s="5" t="str">
        <f>"ESPECULO VAGINAL TALLA L (ENDOCERVICAL)"</f>
        <v>ESPECULO VAGINAL TALLA L (ENDOCERVICAL)</v>
      </c>
      <c r="C9445" s="6">
        <v>114240</v>
      </c>
      <c r="D9445" s="5"/>
      <c r="E9445" s="5" t="str">
        <f t="shared" si="482"/>
        <v>CONSULTORIO 18-ANDRES ELOY GALVIS</v>
      </c>
      <c r="F9445" s="5" t="str">
        <f>"Descripcion: ESPECULO VAGINAL GRANDE Estado: Bueno Placa anterior: 000006490 Material: ACERO INOXIDABLE Color: PLATEADO Referencia:  Observacion:  Placa padre: Tipo adquisicion: Entidad"</f>
        <v>Descripcion: ESPECULO VAGINAL GRANDE Estado: Bueno Placa anterior: 000006490 Material: ACERO INOXIDABLE Color: PLATEADO Referencia:  Observacion:  Placa padre: Tipo adquisicion: Entidad</v>
      </c>
      <c r="G9445" s="5"/>
    </row>
    <row r="9446" spans="1:7" ht="58.5" customHeight="1" x14ac:dyDescent="0.25">
      <c r="A9446" s="5" t="str">
        <f>"B0000232"</f>
        <v>B0000232</v>
      </c>
      <c r="B9446" s="5" t="str">
        <f>"ESPECULO VAGINAL TALLA L (ENDOCERVICAL)"</f>
        <v>ESPECULO VAGINAL TALLA L (ENDOCERVICAL)</v>
      </c>
      <c r="C9446" s="6">
        <v>114240</v>
      </c>
      <c r="D9446" s="5"/>
      <c r="E9446" s="5" t="str">
        <f t="shared" si="482"/>
        <v>CONSULTORIO 18-ANDRES ELOY GALVIS</v>
      </c>
      <c r="F9446" s="5" t="str">
        <f>"Descripcion: ESPECULO VAGINAL GRANDE Estado: Bueno Placa anterior: 000006487 Material: ACERO INOXIDABLE Color: PLATEADO Referencia:  Observacion:  Placa padre: Tipo adquisicion: Entidad"</f>
        <v>Descripcion: ESPECULO VAGINAL GRANDE Estado: Bueno Placa anterior: 000006487 Material: ACERO INOXIDABLE Color: PLATEADO Referencia:  Observacion:  Placa padre: Tipo adquisicion: Entidad</v>
      </c>
      <c r="G9446" s="5"/>
    </row>
    <row r="9447" spans="1:7" ht="58.5" customHeight="1" x14ac:dyDescent="0.25">
      <c r="A9447" s="5" t="str">
        <f>"B0000233"</f>
        <v>B0000233</v>
      </c>
      <c r="B9447" s="5" t="str">
        <f>"ESPECULO VAGINAL TALLA L (ENDOCERVICAL)"</f>
        <v>ESPECULO VAGINAL TALLA L (ENDOCERVICAL)</v>
      </c>
      <c r="C9447" s="6">
        <v>114240</v>
      </c>
      <c r="D9447" s="5"/>
      <c r="E9447" s="5" t="str">
        <f t="shared" si="482"/>
        <v>CONSULTORIO 18-ANDRES ELOY GALVIS</v>
      </c>
      <c r="F9447" s="5" t="str">
        <f>"Descripcion: ESPECULO VAGINAL GRANDE Estado: Bueno Placa anterior: 000006494 Material: ACERO INIXIDABLE Color: PLATEADO Referencia:  Observacion:  Placa padre: Tipo adquisicion: Entidad"</f>
        <v>Descripcion: ESPECULO VAGINAL GRANDE Estado: Bueno Placa anterior: 000006494 Material: ACERO INIXIDABLE Color: PLATEADO Referencia:  Observacion:  Placa padre: Tipo adquisicion: Entidad</v>
      </c>
      <c r="G9447" s="5"/>
    </row>
    <row r="9448" spans="1:7" ht="58.5" customHeight="1" x14ac:dyDescent="0.25">
      <c r="A9448" s="5" t="str">
        <f>"B0000234"</f>
        <v>B0000234</v>
      </c>
      <c r="B9448" s="5" t="str">
        <f>"ESPECULO VAGINAL TALLA L (ENDOCERVICAL)"</f>
        <v>ESPECULO VAGINAL TALLA L (ENDOCERVICAL)</v>
      </c>
      <c r="C9448" s="6">
        <v>114240</v>
      </c>
      <c r="D9448" s="5"/>
      <c r="E9448" s="5" t="str">
        <f t="shared" si="482"/>
        <v>CONSULTORIO 18-ANDRES ELOY GALVIS</v>
      </c>
      <c r="F9448" s="5" t="str">
        <f>"Descripcion: ESPECULO VAGINAL GRANDE Estado: Bueno Placa anterior: 000006491 Material: ACERO INIXIDABLE Color: PLATEADO Referencia:  Observacion:  Placa padre: Tipo adquisicion: Entidad"</f>
        <v>Descripcion: ESPECULO VAGINAL GRANDE Estado: Bueno Placa anterior: 000006491 Material: ACERO INIXIDABLE Color: PLATEADO Referencia:  Observacion:  Placa padre: Tipo adquisicion: Entidad</v>
      </c>
      <c r="G9448" s="5"/>
    </row>
    <row r="9449" spans="1:7" ht="58.5" customHeight="1" x14ac:dyDescent="0.25">
      <c r="A9449" s="5" t="str">
        <f>"B0000235"</f>
        <v>B0000235</v>
      </c>
      <c r="B9449" s="5" t="str">
        <f>"ESPECULO VAGINAL TALLA S (ENDOCERVICAL)"</f>
        <v>ESPECULO VAGINAL TALLA S (ENDOCERVICAL)</v>
      </c>
      <c r="C9449" s="6">
        <v>114240</v>
      </c>
      <c r="D9449" s="5"/>
      <c r="E9449" s="5" t="str">
        <f t="shared" si="482"/>
        <v>CONSULTORIO 18-ANDRES ELOY GALVIS</v>
      </c>
      <c r="F9449" s="5" t="str">
        <f>"Descripcion: ESPECULO VAGINAL PEQUEÑO Estado: Bueno Placa anterior: 000006493 Material: ACERO INIXIDABLE Color: PLATEADO Referencia:  Observacion:  Placa padre: Tipo adquisicion: Entidad"</f>
        <v>Descripcion: ESPECULO VAGINAL PEQUEÑO Estado: Bueno Placa anterior: 000006493 Material: ACERO INIXIDABLE Color: PLATEADO Referencia:  Observacion:  Placa padre: Tipo adquisicion: Entidad</v>
      </c>
      <c r="G9449" s="5"/>
    </row>
    <row r="9450" spans="1:7" ht="58.5" customHeight="1" x14ac:dyDescent="0.25">
      <c r="A9450" s="5" t="str">
        <f>"B0000236"</f>
        <v>B0000236</v>
      </c>
      <c r="B9450" s="5" t="str">
        <f>"ESPECULO VAGINAL TALLA S (ENDOCERVICAL)"</f>
        <v>ESPECULO VAGINAL TALLA S (ENDOCERVICAL)</v>
      </c>
      <c r="C9450" s="6">
        <v>114240</v>
      </c>
      <c r="D9450" s="5"/>
      <c r="E9450" s="5" t="str">
        <f t="shared" si="482"/>
        <v>CONSULTORIO 18-ANDRES ELOY GALVIS</v>
      </c>
      <c r="F9450" s="5" t="str">
        <f>"Descripcion: ESPECULO VAGINAL PEQUEÑO Estado: Bueno Placa anterior: 000006492 Material: ACERO INIXIDABLE Color: PLATEADO Referencia:  Observacion:  Placa padre: Tipo adquisicion: Entidad"</f>
        <v>Descripcion: ESPECULO VAGINAL PEQUEÑO Estado: Bueno Placa anterior: 000006492 Material: ACERO INIXIDABLE Color: PLATEADO Referencia:  Observacion:  Placa padre: Tipo adquisicion: Entidad</v>
      </c>
      <c r="G9450" s="5"/>
    </row>
    <row r="9451" spans="1:7" ht="58.5" customHeight="1" x14ac:dyDescent="0.25">
      <c r="A9451" s="5" t="str">
        <f>"B0000237"</f>
        <v>B0000237</v>
      </c>
      <c r="B9451" s="5" t="str">
        <f>"ESPECULO VAGINAL TALLA S (ENDOCERVICAL)"</f>
        <v>ESPECULO VAGINAL TALLA S (ENDOCERVICAL)</v>
      </c>
      <c r="C9451" s="6">
        <v>114240</v>
      </c>
      <c r="D9451" s="5"/>
      <c r="E9451" s="5" t="str">
        <f t="shared" si="482"/>
        <v>CONSULTORIO 18-ANDRES ELOY GALVIS</v>
      </c>
      <c r="F9451" s="5" t="str">
        <f>"Descripcion: ESPECULO VAGINAL PEQUEÑO Estado: Bueno Placa anterior: 000006488 Material: ACERO INOXIDABLE Color: PLATEADO Referencia:  Observacion:  Placa padre: Tipo adquisicion: Entidad"</f>
        <v>Descripcion: ESPECULO VAGINAL PEQUEÑO Estado: Bueno Placa anterior: 000006488 Material: ACERO INOXIDABLE Color: PLATEADO Referencia:  Observacion:  Placa padre: Tipo adquisicion: Entidad</v>
      </c>
      <c r="G9451" s="5"/>
    </row>
    <row r="9452" spans="1:7" ht="58.5" customHeight="1" x14ac:dyDescent="0.25">
      <c r="A9452" s="5" t="str">
        <f>"H0000355"</f>
        <v>H0000355</v>
      </c>
      <c r="B9452" s="5" t="str">
        <f>"MESA (CARRO) DE CURACIONES"</f>
        <v>MESA (CARRO) DE CURACIONES</v>
      </c>
      <c r="C9452" s="6">
        <v>11880</v>
      </c>
      <c r="D9452" s="5"/>
      <c r="E9452" s="5" t="str">
        <f t="shared" si="482"/>
        <v>CONSULTORIO 18-ANDRES ELOY GALVIS</v>
      </c>
      <c r="F9452" s="5" t="str">
        <f>"Descripcion: MESA CARRO DE CURACIONES CON RODACHINES Estado: Bueno Placa anterior: 000005156 Material: METAL  Color: PLATEADO Y BEIGE Referencia:  Observacion:  Placa padre: Tipo adquisicion: Entidad"</f>
        <v>Descripcion: MESA CARRO DE CURACIONES CON RODACHINES Estado: Bueno Placa anterior: 000005156 Material: METAL  Color: PLATEADO Y BEIGE Referencia:  Observacion:  Placa padre: Tipo adquisicion: Entidad</v>
      </c>
      <c r="G9452" s="5"/>
    </row>
    <row r="9453" spans="1:7" ht="58.5" customHeight="1" x14ac:dyDescent="0.25">
      <c r="A9453" s="5" t="str">
        <f>"H0000368"</f>
        <v>H0000368</v>
      </c>
      <c r="B9453" s="5" t="str">
        <f>"BANDEJA DE ACERO INOXIDABLE GRANDE"</f>
        <v>BANDEJA DE ACERO INOXIDABLE GRANDE</v>
      </c>
      <c r="C9453" s="6">
        <v>31320</v>
      </c>
      <c r="D9453" s="5"/>
      <c r="E9453" s="5" t="str">
        <f t="shared" si="482"/>
        <v>CONSULTORIO 18-ANDRES ELOY GALVIS</v>
      </c>
      <c r="F9453" s="5" t="str">
        <f>"Descripcion: BANDEJA DE ACERO INOXIDABLE GRANDE DE 35 DE FONDO, 27 DE ANCHO Y 15 CM DE ALTO Estado: Bueno Placa anterior: 000025664 Material: ACERO INOXIDABLE Color: PLATEADO Referencia:  Observacion:  Placa padre: Tipo adquisicion: Entidad"</f>
        <v>Descripcion: BANDEJA DE ACERO INOXIDABLE GRANDE DE 35 DE FONDO, 27 DE ANCHO Y 15 CM DE ALTO Estado: Bueno Placa anterior: 000025664 Material: ACERO INOXIDABLE Color: PLATEADO Referencia:  Observacion:  Placa padre: Tipo adquisicion: Entidad</v>
      </c>
      <c r="G9453" s="5"/>
    </row>
    <row r="9454" spans="1:7" ht="58.5" customHeight="1" x14ac:dyDescent="0.25">
      <c r="A9454" s="5" t="str">
        <f>"H0007052"</f>
        <v>H0007052</v>
      </c>
      <c r="B9454" s="5" t="str">
        <f>"VIDEOBEAM (VIDEO PROYECTOR)"</f>
        <v>VIDEOBEAM (VIDEO PROYECTOR)</v>
      </c>
      <c r="C9454" s="6">
        <v>2137600</v>
      </c>
      <c r="D9454" s="5" t="s">
        <v>6</v>
      </c>
      <c r="E9454" s="5" t="str">
        <f t="shared" si="482"/>
        <v>CONSULTORIO 18-ANDRES ELOY GALVIS</v>
      </c>
      <c r="F9454" s="5" t="str">
        <f>"Descripcion: PLACA UNAB N00008549 Estado: Excelente Placa anterior:  Material: PLASTICO Color: GRIS Referencia: PT-LB75U Observacion:  Placa padre: Tipo adquisicion: Entidad"</f>
        <v>Descripcion: PLACA UNAB N00008549 Estado: Excelente Placa anterior:  Material: PLASTICO Color: GRIS Referencia: PT-LB75U Observacion:  Placa padre: Tipo adquisicion: Entidad</v>
      </c>
      <c r="G9454" s="5" t="str">
        <f>"LB75XGA"</f>
        <v>LB75XGA</v>
      </c>
    </row>
    <row r="9455" spans="1:7" ht="58.5" customHeight="1" x14ac:dyDescent="0.25">
      <c r="A9455" s="5" t="str">
        <f>"H0025317"</f>
        <v>H0025317</v>
      </c>
      <c r="B945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455" s="6">
        <v>312156</v>
      </c>
      <c r="D9455" s="5" t="s">
        <v>10</v>
      </c>
      <c r="E9455" s="5" t="str">
        <f t="shared" si="482"/>
        <v>CONSULTORIO 18-ANDRES ELOY GALVIS</v>
      </c>
      <c r="F9455" s="5"/>
      <c r="G9455" s="5"/>
    </row>
    <row r="9456" spans="1:7" ht="58.5" customHeight="1" x14ac:dyDescent="0.25">
      <c r="A9456" s="5" t="str">
        <f>"B0000252"</f>
        <v>B0000252</v>
      </c>
      <c r="B9456" s="5" t="str">
        <f>"EQUIPO ORGANOS DE LOS SENTIDOS PORTATIL"</f>
        <v>EQUIPO ORGANOS DE LOS SENTIDOS PORTATIL</v>
      </c>
      <c r="C9456" s="6">
        <v>928000</v>
      </c>
      <c r="D9456" s="5"/>
      <c r="E9456" s="5" t="str">
        <f t="shared" ref="E9456:E9487" si="483">"EPIDEMIOLOGIA-RAFAEL OLARTE"</f>
        <v>EPIDEMIOLOGIA-RAFAEL OLARTE</v>
      </c>
      <c r="F9456" s="5" t="str">
        <f>"Descripcion:EQUIPO ORGANO DE LOS SENTIDOS, 2 PIEZAS OTOSCOPIO Y OFTALMOSCOPIO Estado: Excelente Placa anterior:  Material: PASTA Y CAUCHO Color: NEGRO Referencia:  Observacion:  Placa padre:  Tipo adquisicion : Entidad"</f>
        <v>Descripcion:EQUIPO ORGANO DE LOS SENTIDOS, 2 PIEZAS OTOSCOPIO Y OFTALMOSCOPIO Estado: Excelente Placa anterior:  Material: PASTA Y CAUCHO Color: NEGRO Referencia:  Observacion:  Placa padre:  Tipo adquisicion : Entidad</v>
      </c>
      <c r="G9456" s="5" t="str">
        <f>"92871-BLK"</f>
        <v>92871-BLK</v>
      </c>
    </row>
    <row r="9457" spans="1:7" ht="58.5" customHeight="1" x14ac:dyDescent="0.25">
      <c r="A9457" s="5" t="str">
        <f>"B0000810"</f>
        <v>B0000810</v>
      </c>
      <c r="B9457" s="5" t="str">
        <f>"CUBETA DE ACERO INOXIDABLE CON TAPA PEQUEÑA"</f>
        <v>CUBETA DE ACERO INOXIDABLE CON TAPA PEQUEÑA</v>
      </c>
      <c r="C9457" s="6">
        <v>14100.8</v>
      </c>
      <c r="D9457" s="5"/>
      <c r="E9457" s="5" t="str">
        <f t="shared" si="483"/>
        <v>EPIDEMIOLOGIA-RAFAEL OLARTE</v>
      </c>
      <c r="F9457" s="5" t="str">
        <f>"Descripcion: CUBETA MEDIANA EN ACERO INOXIDABLEPEQUEÑA Estado: Bueno Placa anterior: 000002815 Material: ACERO INOXIDABLE Color:  Referencia:  Observacion: ESTA EN ESTERILIZACION Placa padre: Tipo adquisicion: Entidad"</f>
        <v>Descripcion: CUBETA MEDIANA EN ACERO INOXIDABLEPEQUEÑA Estado: Bueno Placa anterior: 000002815 Material: ACERO INOXIDABLE Color:  Referencia:  Observacion: ESTA EN ESTERILIZACION Placa padre: Tipo adquisicion: Entidad</v>
      </c>
      <c r="G9457" s="5"/>
    </row>
    <row r="9458" spans="1:7" ht="58.5" customHeight="1" x14ac:dyDescent="0.25">
      <c r="A9458" s="5" t="str">
        <f>"B0000811"</f>
        <v>B0000811</v>
      </c>
      <c r="B9458" s="5" t="str">
        <f>"CUBETA DE ACERO INOXIDABLE CON TAPA GRANDE"</f>
        <v>CUBETA DE ACERO INOXIDABLE CON TAPA GRANDE</v>
      </c>
      <c r="C9458" s="6">
        <v>14100.8</v>
      </c>
      <c r="D9458" s="5"/>
      <c r="E9458" s="5" t="str">
        <f t="shared" si="483"/>
        <v>EPIDEMIOLOGIA-RAFAEL OLARTE</v>
      </c>
      <c r="F9458" s="5" t="str">
        <f>"Descripcion: CUBETA MEDIANA EN ACERO INOXIDABLEGRANDE Estado: Bueno Placa anterior: 000002819 Material: ACERO INOXIDABLE Color:  Referencia:  Observacion: ESTA EN ESTERILIZACION   Placa padre: Tipo adquisicion: Entidad"</f>
        <v>Descripcion: CUBETA MEDIANA EN ACERO INOXIDABLEGRANDE Estado: Bueno Placa anterior: 000002819 Material: ACERO INOXIDABLE Color:  Referencia:  Observacion: ESTA EN ESTERILIZACION   Placa padre: Tipo adquisicion: Entidad</v>
      </c>
      <c r="G9458" s="5"/>
    </row>
    <row r="9459" spans="1:7" ht="58.5" customHeight="1" x14ac:dyDescent="0.25">
      <c r="A9459" s="5" t="str">
        <f>"B0005123"</f>
        <v>B0005123</v>
      </c>
      <c r="B9459" s="5" t="str">
        <f>"LICENCIA OFFICE HOME AND BUSINEES"</f>
        <v>LICENCIA OFFICE HOME AND BUSINEES</v>
      </c>
      <c r="C9459" s="6">
        <v>440800</v>
      </c>
      <c r="D9459" s="5" t="s">
        <v>1</v>
      </c>
      <c r="E9459" s="5" t="str">
        <f t="shared" si="483"/>
        <v>EPIDEMIOLOGIA-RAFAEL OLARTE</v>
      </c>
      <c r="F9459" s="5" t="str">
        <f>"Descripcion: LICENCIA OFFICE HOME AND BUSIMESS 2013 Estado: Bueno Placa anterior: 000030592 Material:  Color:  Referencia:  Observacion:  Placa padre: Tipo adquisicion: Entidad"</f>
        <v>Descripcion: LICENCIA OFFICE HOME AND BUSIMESS 2013 Estado: Bueno Placa anterior: 000030592 Material:  Color:  Referencia:  Observacion:  Placa padre: Tipo adquisicion: Entidad</v>
      </c>
      <c r="G9459" s="5"/>
    </row>
    <row r="9460" spans="1:7" ht="58.5" customHeight="1" x14ac:dyDescent="0.25">
      <c r="A9460" s="5" t="str">
        <f>"H0000160"</f>
        <v>H0000160</v>
      </c>
      <c r="B9460" s="5" t="str">
        <f>"MESA DE NOCHE"</f>
        <v>MESA DE NOCHE</v>
      </c>
      <c r="C9460" s="6">
        <v>327586</v>
      </c>
      <c r="D9460" s="5"/>
      <c r="E9460" s="5" t="str">
        <f t="shared" si="483"/>
        <v>EPIDEMIOLOGIA-RAFAEL OLARTE</v>
      </c>
      <c r="F9460" s="5" t="str">
        <f>"Descripcion: MESA DE NOCHE EN ACERO 1 GAVETA 1 PUERTA Estado: Bueno Placa anterior: 000033021 Material: ACERO INOXIDABLE Color:  Referencia:  Observacion: AUTORIZADO CONCILIAR EN CRUCE GENERAL Placa padre: Tipo adquisicion: Entidad"</f>
        <v>Descripcion: MESA DE NOCHE EN ACERO 1 GAVETA 1 PUERTA Estado: Bueno Placa anterior: 000033021 Material: ACERO INOXIDABLE Color:  Referencia:  Observacion: AUTORIZADO CONCILIAR EN CRUCE GENERAL Placa padre: Tipo adquisicion: Entidad</v>
      </c>
      <c r="G9460" s="5"/>
    </row>
    <row r="9461" spans="1:7" ht="58.5" customHeight="1" x14ac:dyDescent="0.25">
      <c r="A9461" s="5" t="str">
        <f>"H0000183"</f>
        <v>H0000183</v>
      </c>
      <c r="B9461" s="5" t="str">
        <f>"VENTILADOR DE PARED"</f>
        <v>VENTILADOR DE PARED</v>
      </c>
      <c r="C9461" s="6">
        <v>20878.25</v>
      </c>
      <c r="D9461" s="5"/>
      <c r="E9461" s="5" t="str">
        <f t="shared" si="483"/>
        <v>EPIDEMIOLOGIA-RAFAEL OLARTE</v>
      </c>
      <c r="F9461" s="5" t="str">
        <f>"Descripcion: VENTILADOR DE PARED SAMURAI Estado: Bueno Placa anterior: 000002838 Material: PLASTICO Color: BLANCO Referencia:  Observacion: EL BIEN FUE REEMPLAZADO POR VENTILADORES MARCA SAMURAI, FUNCIONARIO AUTORIZA SE CONCILIE CON PLACA 000002838 Placa "&amp; "padre: Tipo adquisicion: Entidad"</f>
        <v>Descripcion: VENTILADOR DE PARED SAMURAI Estado: Bueno Placa anterior: 000002838 Material: PLASTICO Color: BLANCO Referencia:  Observacion: EL BIEN FUE REEMPLAZADO POR VENTILADORES MARCA SAMURAI, FUNCIONARIO AUTORIZA SE CONCILIE CON PLACA 000002838 Placa padre: Tipo adquisicion: Entidad</v>
      </c>
      <c r="G9461" s="5" t="str">
        <f>"NEW MAX AIR"</f>
        <v>NEW MAX AIR</v>
      </c>
    </row>
    <row r="9462" spans="1:7" ht="58.5" customHeight="1" x14ac:dyDescent="0.25">
      <c r="A9462" s="5" t="str">
        <f>"H0000184"</f>
        <v>H0000184</v>
      </c>
      <c r="B9462" s="5" t="str">
        <f>"ESTANTE METALICO 5 ENTREPAÑOS"</f>
        <v>ESTANTE METALICO 5 ENTREPAÑOS</v>
      </c>
      <c r="C9462" s="6">
        <v>15811.55</v>
      </c>
      <c r="D9462" s="5"/>
      <c r="E9462" s="5" t="str">
        <f t="shared" si="483"/>
        <v>EPIDEMIOLOGIA-RAFAEL OLARTE</v>
      </c>
      <c r="F9462" s="5" t="str">
        <f>"Descripcion: ESTANTE METALICO 5 ENTREPAÑOS. MEDIDAS: 200X93X30.5CM Estado: Bueno Placa anterior: 000002865 Material: METALICO Color: GRIS Referencia:  Observacion:  Placa padre: Tipo adquisicion: Entidad"</f>
        <v>Descripcion: ESTANTE METALICO 5 ENTREPAÑOS. MEDIDAS: 200X93X30.5CM Estado: Bueno Placa anterior: 000002865 Material: METALICO Color: GRIS Referencia:  Observacion:  Placa padre: Tipo adquisicion: Entidad</v>
      </c>
      <c r="G9462" s="5"/>
    </row>
    <row r="9463" spans="1:7" ht="58.5" customHeight="1" x14ac:dyDescent="0.25">
      <c r="A9463" s="5" t="str">
        <f>"H0000186"</f>
        <v>H0000186</v>
      </c>
      <c r="B9463" s="5" t="str">
        <f>"LOCKER DE 6 COMPARTIMIENTOS"</f>
        <v>LOCKER DE 6 COMPARTIMIENTOS</v>
      </c>
      <c r="C9463" s="6">
        <v>585988</v>
      </c>
      <c r="D9463" s="5" t="s">
        <v>60</v>
      </c>
      <c r="E9463" s="5" t="str">
        <f t="shared" si="483"/>
        <v>EPIDEMIOLOGIA-RAFAEL OLARTE</v>
      </c>
      <c r="F9463" s="5" t="str">
        <f>"Descripcion: LOCKER 6 CASILLEROS,  MEDIDAS 180X61X35CM Estado: Bueno Placa anterior: 000029189 Material: METALICO Color: GRIS Referencia:  Observacion:  Placa padre: Tipo adquisicion: Entidad"</f>
        <v>Descripcion: LOCKER 6 CASILLEROS,  MEDIDAS 180X61X35CM Estado: Bueno Placa anterior: 000029189 Material: METALICO Color: GRIS Referencia:  Observacion:  Placa padre: Tipo adquisicion: Entidad</v>
      </c>
      <c r="G9463" s="5"/>
    </row>
    <row r="9464" spans="1:7" ht="58.5" customHeight="1" x14ac:dyDescent="0.25">
      <c r="A9464" s="5" t="str">
        <f>"H0000187"</f>
        <v>H0000187</v>
      </c>
      <c r="B9464" s="5" t="str">
        <f>"VENTILADOR DE PARED"</f>
        <v>VENTILADOR DE PARED</v>
      </c>
      <c r="C9464" s="6">
        <v>20878.25</v>
      </c>
      <c r="D9464" s="5"/>
      <c r="E9464" s="5" t="str">
        <f t="shared" si="483"/>
        <v>EPIDEMIOLOGIA-RAFAEL OLARTE</v>
      </c>
      <c r="F9464" s="5" t="str">
        <f>"Descripcion: VENTILADOR DE PARED SAMURAI Estado: Bueno Placa anterior: 000002898 Material: PLASTICO Color: BLANCO Referencia:  Observacion: EL BIEN FUE REEMPLAZADO POR VENTILADORES MARCA SAMURAI, FUNCIONARIO AUTORIZA SE CONCILIE CON PLACA  000002898 Placa"&amp; " padre: Tipo adquisicion: Entidad"</f>
        <v>Descripcion: VENTILADOR DE PARED SAMURAI Estado: Bueno Placa anterior: 000002898 Material: PLASTICO Color: BLANCO Referencia:  Observacion: EL BIEN FUE REEMPLAZADO POR VENTILADORES MARCA SAMURAI, FUNCIONARIO AUTORIZA SE CONCILIE CON PLACA  000002898 Placa padre: Tipo adquisicion: Entidad</v>
      </c>
      <c r="G9464" s="5" t="str">
        <f>"NEW MAX AIR"</f>
        <v>NEW MAX AIR</v>
      </c>
    </row>
    <row r="9465" spans="1:7" ht="58.5" customHeight="1" x14ac:dyDescent="0.25">
      <c r="A9465" s="5" t="str">
        <f>"H0000189"</f>
        <v>H0000189</v>
      </c>
      <c r="B9465" s="5" t="str">
        <f>"AIRE ACONDICIONADO TIPO VENTANA 9000 BTU"</f>
        <v>AIRE ACONDICIONADO TIPO VENTANA 9000 BTU</v>
      </c>
      <c r="C9465" s="6">
        <v>3811996</v>
      </c>
      <c r="D9465" s="5" t="s">
        <v>260</v>
      </c>
      <c r="E9465" s="5" t="str">
        <f t="shared" si="483"/>
        <v>EPIDEMIOLOGIA-RAFAEL OLARTE</v>
      </c>
      <c r="F9465" s="5" t="str">
        <f>"Descripcion: AIRE ACONDICIONADO DE VENTANA MARCA LG  Estado: Bueno Placa anterior: 000029345 Material:  Color: BEIGE Referencia:  Observacion: SE DEJA EN CONCILIADO, POR QUE EL SERIAL COINCIDE. Placa padre: Tipo adquisicion: Entidad"</f>
        <v>Descripcion: AIRE ACONDICIONADO DE VENTANA MARCA LG  Estado: Bueno Placa anterior: 000029345 Material:  Color: BEIGE Referencia:  Observacion: SE DEJA EN CONCILIADO, POR QUE EL SERIAL COINCIDE. Placa padre: Tipo adquisicion: Entidad</v>
      </c>
      <c r="G9465" s="5" t="str">
        <f>"GOLD"</f>
        <v>GOLD</v>
      </c>
    </row>
    <row r="9466" spans="1:7" ht="58.5" customHeight="1" x14ac:dyDescent="0.25">
      <c r="A9466" s="5" t="str">
        <f>"H0000194"</f>
        <v>H0000194</v>
      </c>
      <c r="B9466" s="5" t="str">
        <f>"MESA DE MADERA"</f>
        <v>MESA DE MADERA</v>
      </c>
      <c r="C9466" s="6">
        <v>28332.3</v>
      </c>
      <c r="D9466" s="5"/>
      <c r="E9466" s="5" t="str">
        <f t="shared" si="483"/>
        <v>EPIDEMIOLOGIA-RAFAEL OLARTE</v>
      </c>
      <c r="F9466" s="5" t="str">
        <f>"Descripcion: MESA DE MADERA SENCILLA. MEDIDAS 80X90X60CM Estado: Bueno Placa anterior: 000002248 Material: MADERA Color: MIEL Referencia:  Observacion:  Placa padre: Tipo adquisicion: Entidad"</f>
        <v>Descripcion: MESA DE MADERA SENCILLA. MEDIDAS 80X90X60CM Estado: Bueno Placa anterior: 000002248 Material: MADERA Color: MIEL Referencia:  Observacion:  Placa padre: Tipo adquisicion: Entidad</v>
      </c>
      <c r="G9466" s="5"/>
    </row>
    <row r="9467" spans="1:7" ht="58.5" customHeight="1" x14ac:dyDescent="0.25">
      <c r="A9467" s="5" t="str">
        <f>"H0000374"</f>
        <v>H0000374</v>
      </c>
      <c r="B9467" s="5" t="str">
        <f>"SILLA PLASTICA CON BRAZOS"</f>
        <v>SILLA PLASTICA CON BRAZOS</v>
      </c>
      <c r="C9467" s="6">
        <v>14000</v>
      </c>
      <c r="D9467" s="5"/>
      <c r="E9467" s="5" t="str">
        <f t="shared" si="483"/>
        <v>EPIDEMIOLOGIA-RAFAEL OLARTE</v>
      </c>
      <c r="F9467" s="5" t="str">
        <f>"Descripcion: SILLA PLASTICA BLANCA CON BRAZOS Estado: Bueno Placa anterior: 000002869 Material: PLASTICO Color: BLANCO Referencia:  Observacion:  Placa padre: Tipo adquisicion: Entidad"</f>
        <v>Descripcion: SILLA PLASTICA BLANCA CON BRAZOS Estado: Bueno Placa anterior: 000002869 Material: PLASTICO Color: BLANCO Referencia:  Observacion:  Placa padre: Tipo adquisicion: Entidad</v>
      </c>
      <c r="G9467" s="5"/>
    </row>
    <row r="9468" spans="1:7" ht="58.5" customHeight="1" x14ac:dyDescent="0.25">
      <c r="A9468" s="5" t="str">
        <f>"H0000376"</f>
        <v>H0000376</v>
      </c>
      <c r="B9468" s="5" t="str">
        <f>"SILLA PLASTICA CON BRAZOS"</f>
        <v>SILLA PLASTICA CON BRAZOS</v>
      </c>
      <c r="C9468" s="6">
        <v>14000</v>
      </c>
      <c r="D9468" s="5"/>
      <c r="E9468" s="5" t="str">
        <f t="shared" si="483"/>
        <v>EPIDEMIOLOGIA-RAFAEL OLARTE</v>
      </c>
      <c r="F9468" s="5" t="str">
        <f>"Descripcion: SILLA PLASTICA BLANCA CON BRAZOS Estado: Bueno Placa anterior: 000021546 Material: PLASTICO Color: BLANCO Referencia:  Observacion:  Placa padre: Tipo adquisicion: Entidad"</f>
        <v>Descripcion: SILLA PLASTICA BLANCA CON BRAZOS Estado: Bueno Placa anterior: 000021546 Material: PLASTICO Color: BLANCO Referencia:  Observacion:  Placa padre: Tipo adquisicion: Entidad</v>
      </c>
      <c r="G9468" s="5"/>
    </row>
    <row r="9469" spans="1:7" ht="58.5" customHeight="1" x14ac:dyDescent="0.25">
      <c r="A9469" s="5" t="str">
        <f>"H0000382"</f>
        <v>H0000382</v>
      </c>
      <c r="B9469" s="5" t="str">
        <f>"SILLA PLASTICA CON BRAZOS"</f>
        <v>SILLA PLASTICA CON BRAZOS</v>
      </c>
      <c r="C9469" s="6">
        <v>12198</v>
      </c>
      <c r="D9469" s="5"/>
      <c r="E9469" s="5" t="str">
        <f t="shared" si="483"/>
        <v>EPIDEMIOLOGIA-RAFAEL OLARTE</v>
      </c>
      <c r="F9469" s="5" t="str">
        <f>"Descripcion: SILLA PLASTICA BLANCA CON BRAZOS Estado: Bueno Placa anterior: 000018391 Material: PLASTICO Color: BLANCO Referencia:  Observacion:  Placa padre: Tipo adquisicion: Entidad"</f>
        <v>Descripcion: SILLA PLASTICA BLANCA CON BRAZOS Estado: Bueno Placa anterior: 000018391 Material: PLASTICO Color: BLANCO Referencia:  Observacion:  Placa padre: Tipo adquisicion: Entidad</v>
      </c>
      <c r="G9469" s="5"/>
    </row>
    <row r="9470" spans="1:7" ht="58.5" customHeight="1" x14ac:dyDescent="0.25">
      <c r="A9470" s="5" t="str">
        <f>"H0000537"</f>
        <v>H0000537</v>
      </c>
      <c r="B9470" s="5" t="str">
        <f>"LAVAPLATOS EN ACERO INOXIDABLE 2 PUESTOS"</f>
        <v>LAVAPLATOS EN ACERO INOXIDABLE 2 PUESTOS</v>
      </c>
      <c r="C9470" s="6">
        <v>81414.64</v>
      </c>
      <c r="D9470" s="5"/>
      <c r="E9470" s="5" t="str">
        <f t="shared" si="483"/>
        <v>EPIDEMIOLOGIA-RAFAEL OLARTE</v>
      </c>
      <c r="F9470" s="5" t="str">
        <f>"Descripcion: LAVAPLATO INDUSTRIAL 2 POCETAS EN ACERO INOX. Estado: Bueno Placa anterior: 000003892 Material: ACERO INOXIDABLE Y BASE EN EL HIERRO GALVANIZADO Y LAMINA GALBANIZADA Color: PLATA Y GRIS Referencia:  Observacion:  Placa padre: Tipo adquisicion"&amp; ": Entidad"</f>
        <v>Descripcion: LAVAPLATO INDUSTRIAL 2 POCETAS EN ACERO INOX. Estado: Bueno Placa anterior: 000003892 Material: ACERO INOXIDABLE Y BASE EN EL HIERRO GALVANIZADO Y LAMINA GALBANIZADA Color: PLATA Y GRIS Referencia:  Observacion:  Placa padre: Tipo adquisicion: Entidad</v>
      </c>
      <c r="G9470" s="5"/>
    </row>
    <row r="9471" spans="1:7" ht="58.5" customHeight="1" x14ac:dyDescent="0.25">
      <c r="A9471" s="5" t="str">
        <f>"H0000538"</f>
        <v>H0000538</v>
      </c>
      <c r="B9471" s="5" t="str">
        <f>"NEVERA DE 66 LTS"</f>
        <v>NEVERA DE 66 LTS</v>
      </c>
      <c r="C9471" s="6">
        <v>85888.09</v>
      </c>
      <c r="D9471" s="5"/>
      <c r="E9471" s="5" t="str">
        <f t="shared" si="483"/>
        <v>EPIDEMIOLOGIA-RAFAEL OLARTE</v>
      </c>
      <c r="F9471" s="5" t="str">
        <f>"Descripcion: NEVERA MCA. ICASA DE VILLE II. NO FROST Estado: Bueno Placa anterior: 000026430 Material: LAMINA EN ACERO Color: BLANCO Referencia:  Observacion:  Placa padre: Tipo adquisicion: Entidad"</f>
        <v>Descripcion: NEVERA MCA. ICASA DE VILLE II. NO FROST Estado: Bueno Placa anterior: 000026430 Material: LAMINA EN ACERO Color: BLANCO Referencia:  Observacion:  Placa padre: Tipo adquisicion: Entidad</v>
      </c>
      <c r="G9471" s="5"/>
    </row>
    <row r="9472" spans="1:7" ht="58.5" customHeight="1" x14ac:dyDescent="0.25">
      <c r="A9472" s="5" t="str">
        <f>"H0000541"</f>
        <v>H0000541</v>
      </c>
      <c r="B9472" s="5" t="str">
        <f>"LAVAPLATOS EN ACERO INOXIDABLE 1 PUESTO"</f>
        <v>LAVAPLATOS EN ACERO INOXIDABLE 1 PUESTO</v>
      </c>
      <c r="C9472" s="6">
        <v>81414.84</v>
      </c>
      <c r="D9472" s="5"/>
      <c r="E9472" s="5" t="str">
        <f t="shared" si="483"/>
        <v>EPIDEMIOLOGIA-RAFAEL OLARTE</v>
      </c>
      <c r="F9472" s="5" t="str">
        <f>"Descripcion: MESA CON VERTEDERO.MESA GRANDE DE 85X202X65 CM, CON BASE Y UNA DIVISION INFERIOR EN HIERRO Y LAMINA GALVANIZADAS Estado: Bueno Placa anterior: 000003662 Material: ACERO, HIERRO Y LAMINA Color: GRIS Referencia:  Observacion:  Placa padre: Tipo"&amp; " adquisicion: Entidad"</f>
        <v>Descripcion: MESA CON VERTEDERO.MESA GRANDE DE 85X202X65 CM, CON BASE Y UNA DIVISION INFERIOR EN HIERRO Y LAMINA GALVANIZADAS Estado: Bueno Placa anterior: 000003662 Material: ACERO, HIERRO Y LAMINA Color: GRIS Referencia:  Observacion:  Placa padre: Tipo adquisicion: Entidad</v>
      </c>
      <c r="G9472" s="5"/>
    </row>
    <row r="9473" spans="1:7" ht="58.5" customHeight="1" x14ac:dyDescent="0.25">
      <c r="A9473" s="5" t="str">
        <f>"H0000542"</f>
        <v>H0000542</v>
      </c>
      <c r="B9473" s="5" t="str">
        <f>"LAVAPLATOS EN ACERO INOXIDABLE 1 PUESTO"</f>
        <v>LAVAPLATOS EN ACERO INOXIDABLE 1 PUESTO</v>
      </c>
      <c r="C9473" s="6">
        <v>81414.84</v>
      </c>
      <c r="D9473" s="5"/>
      <c r="E9473" s="5" t="str">
        <f t="shared" si="483"/>
        <v>EPIDEMIOLOGIA-RAFAEL OLARTE</v>
      </c>
      <c r="F9473" s="5" t="str">
        <f>"Descripcion: MESA CON VERTEDERO.MESA GRANDE DE 85X202X65 CM, CON BASE Y UNA DIVISION INFERIOR EN HIERRO Y LAMINA GALVANIZADAS Estado: Bueno Placa anterior: 000003661 Material: ACERO, HIERRO Y LAMINA Color: GRIS Referencia:  Observacion:  Placa padre: Tipo"&amp; " adquisicion: Entidad"</f>
        <v>Descripcion: MESA CON VERTEDERO.MESA GRANDE DE 85X202X65 CM, CON BASE Y UNA DIVISION INFERIOR EN HIERRO Y LAMINA GALVANIZADAS Estado: Bueno Placa anterior: 000003661 Material: ACERO, HIERRO Y LAMINA Color: GRIS Referencia:  Observacion:  Placa padre: Tipo adquisicion: Entidad</v>
      </c>
      <c r="G9473" s="5"/>
    </row>
    <row r="9474" spans="1:7" ht="58.5" customHeight="1" x14ac:dyDescent="0.25">
      <c r="A9474" s="5" t="str">
        <f>"H0000543"</f>
        <v>H0000543</v>
      </c>
      <c r="B9474" s="5" t="str">
        <f>"LAVAPLATOS EN ACERO INOXIDABLE 1 PUESTO"</f>
        <v>LAVAPLATOS EN ACERO INOXIDABLE 1 PUESTO</v>
      </c>
      <c r="C9474" s="6">
        <v>81414.84</v>
      </c>
      <c r="D9474" s="5"/>
      <c r="E9474" s="5" t="str">
        <f t="shared" si="483"/>
        <v>EPIDEMIOLOGIA-RAFAEL OLARTE</v>
      </c>
      <c r="F9474" s="5" t="str">
        <f>"Descripcion: MESA CON VERTEDERO.MESA GRANDE DE 85X202X65 CM, CON BASE Y UNA DIVISION INFERIOR EN HIERRO Y LAMINA GALVANIZADAS Estado: Bueno Placa anterior: 000003660 Material: ACERO, HIERRO Y LAMINA Color: GRIS Referencia:  Observacion:  Placa padre: Tipo"&amp; " adquisicion: Entidad"</f>
        <v>Descripcion: MESA CON VERTEDERO.MESA GRANDE DE 85X202X65 CM, CON BASE Y UNA DIVISION INFERIOR EN HIERRO Y LAMINA GALVANIZADAS Estado: Bueno Placa anterior: 000003660 Material: ACERO, HIERRO Y LAMINA Color: GRIS Referencia:  Observacion:  Placa padre: Tipo adquisicion: Entidad</v>
      </c>
      <c r="G9474" s="5"/>
    </row>
    <row r="9475" spans="1:7" ht="58.5" customHeight="1" x14ac:dyDescent="0.25">
      <c r="A9475" s="5" t="str">
        <f>"H0000551"</f>
        <v>H0000551</v>
      </c>
      <c r="B9475" s="5" t="str">
        <f>"SILLA INTERLOCUTORA (FIJA) CON BRAZOS"</f>
        <v>SILLA INTERLOCUTORA (FIJA) CON BRAZOS</v>
      </c>
      <c r="C9475" s="6">
        <v>96672</v>
      </c>
      <c r="D9475" s="5"/>
      <c r="E9475" s="5" t="str">
        <f t="shared" si="483"/>
        <v>EPIDEMIOLOGIA-RAFAEL OLARTE</v>
      </c>
      <c r="F9475" s="5" t="str">
        <f>"Descripcion: SILLA RECIBIDORA CORDOBAN COLOR NEGRO C/BRAZOSSILLA TAPIZADA EN CUERINA Estado: Bueno Placa anterior: 000026431 Material: MADERA Color: NEGRO Y MARRON Referencia:  Observacion: LA ENTIDAD LA DEFINE:SILLA RECIBIDORA CORDOBAN COLOR NEGRO C/BRAZ"&amp; "OS Placa padre: Tipo adquisicion: Entidad"</f>
        <v>Descripcion: SILLA RECIBIDORA CORDOBAN COLOR NEGRO C/BRAZOSSILLA TAPIZADA EN CUERINA Estado: Bueno Placa anterior: 000026431 Material: MADERA Color: NEGRO Y MARRON Referencia:  Observacion: LA ENTIDAD LA DEFINE:SILLA RECIBIDORA CORDOBAN COLOR NEGRO C/BRAZOS Placa padre: Tipo adquisicion: Entidad</v>
      </c>
      <c r="G9475" s="5"/>
    </row>
    <row r="9476" spans="1:7" ht="58.5" customHeight="1" x14ac:dyDescent="0.25">
      <c r="A9476" s="5" t="str">
        <f>"H0000553"</f>
        <v>H0000553</v>
      </c>
      <c r="B9476" s="5" t="str">
        <f>"BUTACO"</f>
        <v>BUTACO</v>
      </c>
      <c r="C9476" s="6">
        <v>8932</v>
      </c>
      <c r="D9476" s="5"/>
      <c r="E9476" s="5" t="str">
        <f t="shared" si="483"/>
        <v>EPIDEMIOLOGIA-RAFAEL OLARTE</v>
      </c>
      <c r="F9476" s="5" t="str">
        <f>"Descripcion: BUTACO SIN TAPIZAR REDONDO Estado: Bueno Placa anterior: 000002835 Material: METAL Y MADERA Color: GRIS Referencia:  Observacion: BIEN TIENE PLACA ANTERIOR 000016712  FUNCIONARIO AUTORIZA SE CONCILIE CON PLACA 000002835 Placa padre: Tipo adqu"&amp; "isicion: Entidad"</f>
        <v>Descripcion: BUTACO SIN TAPIZAR REDONDO Estado: Bueno Placa anterior: 000002835 Material: METAL Y MADERA Color: GRIS Referencia:  Observacion: BIEN TIENE PLACA ANTERIOR 000016712  FUNCIONARIO AUTORIZA SE CONCILIE CON PLACA 000002835 Placa padre: Tipo adquisicion: Entidad</v>
      </c>
      <c r="G9476" s="5"/>
    </row>
    <row r="9477" spans="1:7" ht="58.5" customHeight="1" x14ac:dyDescent="0.25">
      <c r="A9477" s="5" t="str">
        <f>"H0000554"</f>
        <v>H0000554</v>
      </c>
      <c r="B9477" s="5" t="str">
        <f>"SILLA INTERLOCUTORA (FIJA) SIN BRAZOS"</f>
        <v>SILLA INTERLOCUTORA (FIJA) SIN BRAZOS</v>
      </c>
      <c r="C9477" s="6">
        <v>8878.3799999999992</v>
      </c>
      <c r="D9477" s="5"/>
      <c r="E9477" s="5" t="str">
        <f t="shared" si="483"/>
        <v>EPIDEMIOLOGIA-RAFAEL OLARTE</v>
      </c>
      <c r="F9477" s="5" t="str">
        <f>"Descripcion: SILLA TIPO ASILLA TAPIZADA CON MATERIAL SINTETICO Estado: Bueno Placa anterior: 000002878 Material: METAL Y MADERA Color: MARRON Referencia:  Observacion:  Placa padre: Tipo adquisicion: Entidad"</f>
        <v>Descripcion: SILLA TIPO ASILLA TAPIZADA CON MATERIAL SINTETICO Estado: Bueno Placa anterior: 000002878 Material: METAL Y MADERA Color: MARRON Referencia:  Observacion:  Placa padre: Tipo adquisicion: Entidad</v>
      </c>
      <c r="G9477" s="5"/>
    </row>
    <row r="9478" spans="1:7" ht="58.5" customHeight="1" x14ac:dyDescent="0.25">
      <c r="A9478" s="5" t="str">
        <f>"H0000571"</f>
        <v>H0000571</v>
      </c>
      <c r="B9478" s="5" t="str">
        <f>"ESTANTE METALICO"</f>
        <v>ESTANTE METALICO</v>
      </c>
      <c r="C9478" s="6">
        <v>15811.55</v>
      </c>
      <c r="D9478" s="5"/>
      <c r="E9478" s="5" t="str">
        <f t="shared" si="483"/>
        <v>EPIDEMIOLOGIA-RAFAEL OLARTE</v>
      </c>
      <c r="F9478" s="5" t="str">
        <f>"Descripcion: ESTANTE METALICO DOS CUERPODIMENSIONES. 200X181X40 Estado: Bueno Placa anterior: 000002905 Material: METALICOS Color: GRIS Referencia:  Observacion:  Placa padre: Tipo adquisicion: Entidad"</f>
        <v>Descripcion: ESTANTE METALICO DOS CUERPODIMENSIONES. 200X181X40 Estado: Bueno Placa anterior: 000002905 Material: METALICOS Color: GRIS Referencia:  Observacion:  Placa padre: Tipo adquisicion: Entidad</v>
      </c>
      <c r="G9478" s="5"/>
    </row>
    <row r="9479" spans="1:7" ht="58.5" customHeight="1" x14ac:dyDescent="0.25">
      <c r="A9479" s="5" t="str">
        <f>"H0000572"</f>
        <v>H0000572</v>
      </c>
      <c r="B9479" s="5" t="str">
        <f>"ESTANTE METALICO"</f>
        <v>ESTANTE METALICO</v>
      </c>
      <c r="C9479" s="6">
        <v>22189.18</v>
      </c>
      <c r="D9479" s="5"/>
      <c r="E9479" s="5" t="str">
        <f t="shared" si="483"/>
        <v>EPIDEMIOLOGIA-RAFAEL OLARTE</v>
      </c>
      <c r="F9479" s="5" t="str">
        <f>"Descripcion: ESTANTE METALICO UN SOLO CUERPODIMENSIONES: 200X92X30 Estado: Bueno Placa anterior: 000009336 Material: METALICO Color: NARANJA Referencia:  Observacion:  Placa padre: Tipo adquisicion: Entidad"</f>
        <v>Descripcion: ESTANTE METALICO UN SOLO CUERPODIMENSIONES: 200X92X30 Estado: Bueno Placa anterior: 000009336 Material: METALICO Color: NARANJA Referencia:  Observacion:  Placa padre: Tipo adquisicion: Entidad</v>
      </c>
      <c r="G9479" s="5"/>
    </row>
    <row r="9480" spans="1:7" ht="58.5" customHeight="1" x14ac:dyDescent="0.25">
      <c r="A9480" s="5" t="str">
        <f>"H0000573"</f>
        <v>H0000573</v>
      </c>
      <c r="B9480" s="5" t="str">
        <f>"MESA (CARRO) DE CURACIONES"</f>
        <v>MESA (CARRO) DE CURACIONES</v>
      </c>
      <c r="C9480" s="6">
        <v>55000.73</v>
      </c>
      <c r="D9480" s="5"/>
      <c r="E9480" s="5" t="str">
        <f t="shared" si="483"/>
        <v>EPIDEMIOLOGIA-RAFAEL OLARTE</v>
      </c>
      <c r="F9480" s="5" t="str">
        <f>"Descripcion: CARRO DE CURACIONES CON PLATO.CON RUEDAS, DOS DIVISIONES LA SUPERIOR EN ACERO Y LA INFERIOR METALICA Estado: Bueno Placa anterior: 000002808 Material: ACERO Y METALICA Color: VERDE Referencia:  Observacion: LA ENTIDAD LO DEFINE: CARRO DE CURA"&amp; "CIONES CON PLATO. Placa padre: Tipo adquisicion: Entidad"</f>
        <v>Descripcion: CARRO DE CURACIONES CON PLATO.CON RUEDAS, DOS DIVISIONES LA SUPERIOR EN ACERO Y LA INFERIOR METALICA Estado: Bueno Placa anterior: 000002808 Material: ACERO Y METALICA Color: VERDE Referencia:  Observacion: LA ENTIDAD LO DEFINE: CARRO DE CURACIONES CON PLATO. Placa padre: Tipo adquisicion: Entidad</v>
      </c>
      <c r="G9480" s="5"/>
    </row>
    <row r="9481" spans="1:7" ht="58.5" customHeight="1" x14ac:dyDescent="0.25">
      <c r="A9481" s="5" t="str">
        <f>"H0000574"</f>
        <v>H0000574</v>
      </c>
      <c r="B9481" s="5" t="str">
        <f>"POTE (TARRO) ACERO INXODABLE CON TAPA MEDIANO"</f>
        <v>POTE (TARRO) ACERO INXODABLE CON TAPA MEDIANO</v>
      </c>
      <c r="C9481" s="6">
        <v>22503.8</v>
      </c>
      <c r="D9481" s="5"/>
      <c r="E9481" s="5" t="str">
        <f t="shared" si="483"/>
        <v>EPIDEMIOLOGIA-RAFAEL OLARTE</v>
      </c>
      <c r="F9481" s="5" t="str">
        <f>"Descripcion: TARRO EN ACERO INOXIDABLE Estado: Bueno Placa anterior: 000002842 Material: ACERO Color: PLATA Referencia:  Observacion:  Placa padre: Tipo adquisicion: Entidad"</f>
        <v>Descripcion: TARRO EN ACERO INOXIDABLE Estado: Bueno Placa anterior: 000002842 Material: ACERO Color: PLATA Referencia:  Observacion:  Placa padre: Tipo adquisicion: Entidad</v>
      </c>
      <c r="G9481" s="5"/>
    </row>
    <row r="9482" spans="1:7" ht="58.5" customHeight="1" x14ac:dyDescent="0.25">
      <c r="A9482" s="5" t="str">
        <f>"H0000575"</f>
        <v>H0000575</v>
      </c>
      <c r="B9482" s="5" t="str">
        <f>"POTE (TARRO) ACERO INXODABLE CON TAPA MEDIANO"</f>
        <v>POTE (TARRO) ACERO INXODABLE CON TAPA MEDIANO</v>
      </c>
      <c r="C9482" s="6">
        <v>22503.8</v>
      </c>
      <c r="D9482" s="5"/>
      <c r="E9482" s="5" t="str">
        <f t="shared" si="483"/>
        <v>EPIDEMIOLOGIA-RAFAEL OLARTE</v>
      </c>
      <c r="F9482" s="5" t="str">
        <f>"Descripcion: TARRO EN ACERO INOXIDABLE Estado: Bueno Placa anterior: 000002840 Material: ACERO Color: PLATA Referencia:  Observacion:  Placa padre: Tipo adquisicion: Entidad"</f>
        <v>Descripcion: TARRO EN ACERO INOXIDABLE Estado: Bueno Placa anterior: 000002840 Material: ACERO Color: PLATA Referencia:  Observacion:  Placa padre: Tipo adquisicion: Entidad</v>
      </c>
      <c r="G9482" s="5"/>
    </row>
    <row r="9483" spans="1:7" ht="58.5" customHeight="1" x14ac:dyDescent="0.25">
      <c r="A9483" s="5" t="str">
        <f>"H0000576"</f>
        <v>H0000576</v>
      </c>
      <c r="B9483" s="5" t="str">
        <f>"POTE (TARRO) ACERO INXODABLE CON TAPA MEDIANO"</f>
        <v>POTE (TARRO) ACERO INXODABLE CON TAPA MEDIANO</v>
      </c>
      <c r="C9483" s="6">
        <v>22503.8</v>
      </c>
      <c r="D9483" s="5"/>
      <c r="E9483" s="5" t="str">
        <f t="shared" si="483"/>
        <v>EPIDEMIOLOGIA-RAFAEL OLARTE</v>
      </c>
      <c r="F9483" s="5" t="str">
        <f>"Descripcion: TARRO EN ACERO INOXIDABLE Estado: Bueno Placa anterior: 000002841 Material: ACERO Color: PLATA Referencia:  Observacion:  Placa padre: Tipo adquisicion: Entidad"</f>
        <v>Descripcion: TARRO EN ACERO INOXIDABLE Estado: Bueno Placa anterior: 000002841 Material: ACERO Color: PLATA Referencia:  Observacion:  Placa padre: Tipo adquisicion: Entidad</v>
      </c>
      <c r="G9483" s="5"/>
    </row>
    <row r="9484" spans="1:7" ht="58.5" customHeight="1" x14ac:dyDescent="0.25">
      <c r="A9484" s="5" t="str">
        <f>"H0000577"</f>
        <v>H0000577</v>
      </c>
      <c r="B9484" s="5" t="str">
        <f>"MESA (SUPERFICIE) MODULAR"</f>
        <v>MESA (SUPERFICIE) MODULAR</v>
      </c>
      <c r="C9484" s="6">
        <v>89999.76</v>
      </c>
      <c r="D9484" s="5"/>
      <c r="E9484" s="5" t="str">
        <f t="shared" si="483"/>
        <v>EPIDEMIOLOGIA-RAFAEL OLARTE</v>
      </c>
      <c r="F9484" s="5" t="str">
        <f>"Descripcion: MESA MODULAR Estado: Bueno Placa anterior: 000002798 Material: METALICA Y FORMICA Color: NEGRO Y MARRON Referencia:  Observacion: MESA DE PROYECCION Placa padre: Tipo adquisicion: Entidad"</f>
        <v>Descripcion: MESA MODULAR Estado: Bueno Placa anterior: 000002798 Material: METALICA Y FORMICA Color: NEGRO Y MARRON Referencia:  Observacion: MESA DE PROYECCION Placa padre: Tipo adquisicion: Entidad</v>
      </c>
      <c r="G9484" s="5"/>
    </row>
    <row r="9485" spans="1:7" ht="58.5" customHeight="1" x14ac:dyDescent="0.25">
      <c r="A9485" s="5" t="str">
        <f>"H0000581"</f>
        <v>H0000581</v>
      </c>
      <c r="B9485" s="5" t="str">
        <f>"SILLA INTERLOCUTORA (FIJA) SIN BRAZOS"</f>
        <v>SILLA INTERLOCUTORA (FIJA) SIN BRAZOS</v>
      </c>
      <c r="C9485" s="6">
        <v>10919.84</v>
      </c>
      <c r="D9485" s="5"/>
      <c r="E9485" s="5" t="str">
        <f t="shared" si="483"/>
        <v>EPIDEMIOLOGIA-RAFAEL OLARTE</v>
      </c>
      <c r="F9485" s="5" t="str">
        <f>"Descripcion: SILLA DE MADERA EN CORDOBAN NEGRO. Estado: Bueno Placa anterior: 000026432 Material: MADERA Color: NEGRO Y GRIS Referencia:  Observacion:  Placa padre: Tipo adquisicion: Entidad"</f>
        <v>Descripcion: SILLA DE MADERA EN CORDOBAN NEGRO. Estado: Bueno Placa anterior: 000026432 Material: MADERA Color: NEGRO Y GRIS Referencia:  Observacion:  Placa padre: Tipo adquisicion: Entidad</v>
      </c>
      <c r="G9485" s="5"/>
    </row>
    <row r="9486" spans="1:7" ht="58.5" customHeight="1" x14ac:dyDescent="0.25">
      <c r="A9486" s="5" t="str">
        <f>"H0000584"</f>
        <v>H0000584</v>
      </c>
      <c r="B9486" s="5" t="str">
        <f>"NEGATOSCOPIO"</f>
        <v>NEGATOSCOPIO</v>
      </c>
      <c r="C9486" s="6">
        <v>81373.2</v>
      </c>
      <c r="D9486" s="5"/>
      <c r="E9486" s="5" t="str">
        <f t="shared" si="483"/>
        <v>EPIDEMIOLOGIA-RAFAEL OLARTE</v>
      </c>
      <c r="F9486" s="5" t="str">
        <f>"Descripcion: NEGATOSCOPIO DE 1 CUERPO Estado: Bueno Placa anterior: 000002839 Material: METALICO Color: BLANCO Referencia:  Observacion:  Placa padre: Tipo adquisicion: Entidad"</f>
        <v>Descripcion: NEGATOSCOPIO DE 1 CUERPO Estado: Bueno Placa anterior: 000002839 Material: METALICO Color: BLANCO Referencia:  Observacion:  Placa padre: Tipo adquisicion: Entidad</v>
      </c>
      <c r="G9486" s="5"/>
    </row>
    <row r="9487" spans="1:7" ht="58.5" customHeight="1" x14ac:dyDescent="0.25">
      <c r="A9487" s="5" t="str">
        <f>"H0000587"</f>
        <v>H0000587</v>
      </c>
      <c r="B9487" s="5" t="str">
        <f>"ESTABILIZADOR (REGULADOR) DE ENERGIA 1KW"</f>
        <v>ESTABILIZADOR (REGULADOR) DE ENERGIA 1KW</v>
      </c>
      <c r="C9487" s="6">
        <v>68400</v>
      </c>
      <c r="D9487" s="5"/>
      <c r="E9487" s="5" t="str">
        <f t="shared" si="483"/>
        <v>EPIDEMIOLOGIA-RAFAEL OLARTE</v>
      </c>
      <c r="F9487" s="5" t="str">
        <f>"Descripcion: ESTABILIZADOR DE 4 TOMAS Estado: Bueno Placa anterior: 000002895 Material: METALICO Color: NEGRO Referencia:  Observacion:  Placa padre: Tipo adquisicion: Entidad"</f>
        <v>Descripcion: ESTABILIZADOR DE 4 TOMAS Estado: Bueno Placa anterior: 000002895 Material: METALICO Color: NEGRO Referencia:  Observacion:  Placa padre: Tipo adquisicion: Entidad</v>
      </c>
      <c r="G9487" s="5"/>
    </row>
    <row r="9488" spans="1:7" ht="58.5" customHeight="1" x14ac:dyDescent="0.25">
      <c r="A9488" s="5" t="str">
        <f>"H0000593"</f>
        <v>H0000593</v>
      </c>
      <c r="B9488" s="5" t="str">
        <f>"CAMILLA FIJA (TIPO DIVAN)"</f>
        <v>CAMILLA FIJA (TIPO DIVAN)</v>
      </c>
      <c r="C9488" s="6">
        <v>107502</v>
      </c>
      <c r="D9488" s="5"/>
      <c r="E9488" s="5" t="str">
        <f t="shared" ref="E9488:E9519" si="484">"EPIDEMIOLOGIA-RAFAEL OLARTE"</f>
        <v>EPIDEMIOLOGIA-RAFAEL OLARTE</v>
      </c>
      <c r="F9488" s="5" t="str">
        <f>"Descripcion: MESA DE EXAMEN DIVANCAMILLA PARA PACIENTE, TAPIZADAS EN CUERO SINTETICOS Estado: Bueno Placa anterior: 000002826 Material: METALICA Color: BEIS Referencia:  Observacion: LA ENTIDAD LO DEFINE COMO MESA DE EXAMEN DIVAN Placa padre: Tipo adquisi"&amp; "cion: Entidad"</f>
        <v>Descripcion: MESA DE EXAMEN DIVANCAMILLA PARA PACIENTE, TAPIZADAS EN CUERO SINTETICOS Estado: Bueno Placa anterior: 000002826 Material: METALICA Color: BEIS Referencia:  Observacion: LA ENTIDAD LO DEFINE COMO MESA DE EXAMEN DIVAN Placa padre: Tipo adquisicion: Entidad</v>
      </c>
      <c r="G9488" s="5"/>
    </row>
    <row r="9489" spans="1:7" ht="58.5" customHeight="1" x14ac:dyDescent="0.25">
      <c r="A9489" s="5" t="str">
        <f>"H0000750"</f>
        <v>H0000750</v>
      </c>
      <c r="B9489" s="5" t="str">
        <f>"SILLA INTERLOCUTORA (FIJA) SIN BRAZOS"</f>
        <v>SILLA INTERLOCUTORA (FIJA) SIN BRAZOS</v>
      </c>
      <c r="C9489" s="6">
        <v>5810</v>
      </c>
      <c r="D9489" s="5"/>
      <c r="E9489" s="5" t="str">
        <f t="shared" si="484"/>
        <v>EPIDEMIOLOGIA-RAFAEL OLARTE</v>
      </c>
      <c r="F9489" s="5" t="str">
        <f>"Descripcion: SILLA INTERLOCUTORA SIN BRAZOS, BASE METALICA COLOR MARRON, Estado: Bueno Placa anterior: 000002876 Material: TAPIZADO EN SEMICUERO, BASE METALICA Color: MARRON Referencia:  Observacion:  Placa padre: Tipo adquisicion: Entidad"</f>
        <v>Descripcion: SILLA INTERLOCUTORA SIN BRAZOS, BASE METALICA COLOR MARRON, Estado: Bueno Placa anterior: 000002876 Material: TAPIZADO EN SEMICUERO, BASE METALICA Color: MARRON Referencia:  Observacion:  Placa padre: Tipo adquisicion: Entidad</v>
      </c>
      <c r="G9489" s="5"/>
    </row>
    <row r="9490" spans="1:7" ht="58.5" customHeight="1" x14ac:dyDescent="0.25">
      <c r="A9490" s="5" t="str">
        <f>"H0000753"</f>
        <v>H0000753</v>
      </c>
      <c r="B9490" s="5" t="str">
        <f>"ESTANTE METALICO 6 ENTREPAÑOS"</f>
        <v>ESTANTE METALICO 6 ENTREPAÑOS</v>
      </c>
      <c r="C9490" s="6">
        <v>15811.55</v>
      </c>
      <c r="D9490" s="5"/>
      <c r="E9490" s="5" t="str">
        <f t="shared" si="484"/>
        <v>EPIDEMIOLOGIA-RAFAEL OLARTE</v>
      </c>
      <c r="F9490" s="5" t="str">
        <f>"Descripcion: ESTANTE METALICO  DE 6 ENTREPAÑOS MEDIDAS 190X92X30CM Estado: Bueno Placa anterior: 000002904 Material: METALICO Color: GRIS Referencia:  Observacion:  Placa padre: Tipo adquisicion: Entidad"</f>
        <v>Descripcion: ESTANTE METALICO  DE 6 ENTREPAÑOS MEDIDAS 190X92X30CM Estado: Bueno Placa anterior: 000002904 Material: METALICO Color: GRIS Referencia:  Observacion:  Placa padre: Tipo adquisicion: Entidad</v>
      </c>
      <c r="G9490" s="5"/>
    </row>
    <row r="9491" spans="1:7" ht="58.5" customHeight="1" x14ac:dyDescent="0.25">
      <c r="A9491" s="5" t="str">
        <f>"H0000754"</f>
        <v>H0000754</v>
      </c>
      <c r="B9491" s="5" t="str">
        <f>"AIRE ACONDICIONADO 18000 BTU"</f>
        <v>AIRE ACONDICIONADO 18000 BTU</v>
      </c>
      <c r="C9491" s="6">
        <v>1487999</v>
      </c>
      <c r="D9491" s="5"/>
      <c r="E9491" s="5" t="str">
        <f t="shared" si="484"/>
        <v>EPIDEMIOLOGIA-RAFAEL OLARTE</v>
      </c>
      <c r="F9491" s="5" t="str">
        <f>"Descripcion: AIRE ACONDICIONADO TIPO SPLIT MARCA SAMSUNG DE 24000BTU Estado: Bueno Placa anterior: 000026125 Material:  Color: BEIGE Referencia:  Observacion:  Placa padre: Tipo adquisicion: Entidad"</f>
        <v>Descripcion: AIRE ACONDICIONADO TIPO SPLIT MARCA SAMSUNG DE 24000BTU Estado: Bueno Placa anterior: 000026125 Material:  Color: BEIGE Referencia:  Observacion:  Placa padre: Tipo adquisicion: Entidad</v>
      </c>
      <c r="G9491" s="5" t="str">
        <f>"AS24USBAN"</f>
        <v>AS24USBAN</v>
      </c>
    </row>
    <row r="9492" spans="1:7" ht="58.5" customHeight="1" x14ac:dyDescent="0.25">
      <c r="A9492" s="5" t="str">
        <f>"H0000760"</f>
        <v>H0000760</v>
      </c>
      <c r="B9492" s="5" t="str">
        <f>"TENSIOMETRO ANEROIDE DE MANO ADULTO"</f>
        <v>TENSIOMETRO ANEROIDE DE MANO ADULTO</v>
      </c>
      <c r="C9492" s="6">
        <v>121800</v>
      </c>
      <c r="D9492" s="5"/>
      <c r="E9492" s="5" t="str">
        <f t="shared" si="484"/>
        <v>EPIDEMIOLOGIA-RAFAEL OLARTE</v>
      </c>
      <c r="F9492" s="5" t="str">
        <f>"Descripcion: TENSIOMETRO DE MANO ADULTO CON ESTUCHE Estado: Bueno Placa anterior: 000024212 Material:  Color: NEGRO Referencia:  Observacion:  Placa padre: Tipo adquisicion: Donacion"</f>
        <v>Descripcion: TENSIOMETRO DE MANO ADULTO CON ESTUCHE Estado: Bueno Placa anterior: 000024212 Material:  Color: NEGRO Referencia:  Observacion:  Placa padre: Tipo adquisicion: Donacion</v>
      </c>
      <c r="G9492" s="5"/>
    </row>
    <row r="9493" spans="1:7" ht="58.5" customHeight="1" x14ac:dyDescent="0.25">
      <c r="A9493" s="5" t="str">
        <f>"H0000761"</f>
        <v>H0000761</v>
      </c>
      <c r="B9493" s="5" t="str">
        <f>"TENSIOMETRO ANEROIDE DE MANO ADULTO"</f>
        <v>TENSIOMETRO ANEROIDE DE MANO ADULTO</v>
      </c>
      <c r="C9493" s="6">
        <v>48720</v>
      </c>
      <c r="D9493" s="5"/>
      <c r="E9493" s="5" t="str">
        <f t="shared" si="484"/>
        <v>EPIDEMIOLOGIA-RAFAEL OLARTE</v>
      </c>
      <c r="F9493" s="5" t="str">
        <f>"Descripcion: TENSIOMETRO DE MANO ADULTO CON ESTUCHE Estado: Bueno Placa anterior: 000022666 Material:  Color: NEGRO Referencia:  Observacion: FUNCIONARIO AUTORIZA SE CONCILIE CON PLACA  000022666 Placa padre: Tipo adquisicion: Entidad"</f>
        <v>Descripcion: TENSIOMETRO DE MANO ADULTO CON ESTUCHE Estado: Bueno Placa anterior: 000022666 Material:  Color: NEGRO Referencia:  Observacion: FUNCIONARIO AUTORIZA SE CONCILIE CON PLACA  000022666 Placa padre: Tipo adquisicion: Entidad</v>
      </c>
      <c r="G9493" s="5"/>
    </row>
    <row r="9494" spans="1:7" ht="58.5" customHeight="1" x14ac:dyDescent="0.25">
      <c r="A9494" s="5" t="str">
        <f>"H0000763"</f>
        <v>H0000763</v>
      </c>
      <c r="B9494" s="5" t="str">
        <f>"ESCRITORIO METALICO 2 GAVETAS"</f>
        <v>ESCRITORIO METALICO 2 GAVETAS</v>
      </c>
      <c r="C9494" s="6">
        <v>73473</v>
      </c>
      <c r="D9494" s="5"/>
      <c r="E9494" s="5" t="str">
        <f t="shared" si="484"/>
        <v>EPIDEMIOLOGIA-RAFAEL OLARTE</v>
      </c>
      <c r="F9494" s="5" t="str">
        <f>"Descripcion: MESA PARA COMPUTADOR CONCUBRIMIENTO EN FORMICA COLOR MADERACLARO BASE METALICA CON PORTATECLADO. MEDIDAS 72.5X120X60CM Estado: Bueno Placa anterior: 000002892 Material: ESTRUCTURA METALICA CON MESA EN FORMICA Color: NEGRO CON MADERA CLARO Ref"&amp; "erencia:  Observacion:  Placa padre: Tipo adquisicion: Entidad"</f>
        <v>Descripcion: MESA PARA COMPUTADOR CONCUBRIMIENTO EN FORMICA COLOR MADERACLARO BASE METALICA CON PORTATECLADO. MEDIDAS 72.5X120X60CM Estado: Bueno Placa anterior: 000002892 Material: ESTRUCTURA METALICA CON MESA EN FORMICA Color: NEGRO CON MADERA CLARO Referencia:  Observacion:  Placa padre: Tipo adquisicion: Entidad</v>
      </c>
      <c r="G9494" s="5"/>
    </row>
    <row r="9495" spans="1:7" ht="58.5" customHeight="1" x14ac:dyDescent="0.25">
      <c r="A9495" s="5" t="str">
        <f>"H0000767"</f>
        <v>H0000767</v>
      </c>
      <c r="B9495" s="5" t="str">
        <f>"MESA METALICA AUXILIAR"</f>
        <v>MESA METALICA AUXILIAR</v>
      </c>
      <c r="C9495" s="6">
        <v>6266.67</v>
      </c>
      <c r="D9495" s="5"/>
      <c r="E9495" s="5" t="str">
        <f t="shared" si="484"/>
        <v>EPIDEMIOLOGIA-RAFAEL OLARTE</v>
      </c>
      <c r="F9495" s="5" t="str">
        <f>"Descripcion: MESA METALICA AUXILIAR CON 1 GAVETA, CON RODACHINES.  Estado: Bueno Placa anterior: 000002051 Material: METALICA CON MESON EN FORMICA Color: GRIS CON MADERA OSCURO Referencia:  Observacion:  Placa padre: Tipo adquisicion: Entidad"</f>
        <v>Descripcion: MESA METALICA AUXILIAR CON 1 GAVETA, CON RODACHINES.  Estado: Bueno Placa anterior: 000002051 Material: METALICA CON MESON EN FORMICA Color: GRIS CON MADERA OSCURO Referencia:  Observacion:  Placa padre: Tipo adquisicion: Entidad</v>
      </c>
      <c r="G9495" s="5"/>
    </row>
    <row r="9496" spans="1:7" ht="58.5" customHeight="1" x14ac:dyDescent="0.25">
      <c r="A9496" s="5" t="str">
        <f>"H0000771"</f>
        <v>H0000771</v>
      </c>
      <c r="B9496" s="5" t="str">
        <f>"MESA (CARRO) DE CURACIONES"</f>
        <v>MESA (CARRO) DE CURACIONES</v>
      </c>
      <c r="C9496" s="6">
        <v>55000.73</v>
      </c>
      <c r="D9496" s="5"/>
      <c r="E9496" s="5" t="str">
        <f t="shared" si="484"/>
        <v>EPIDEMIOLOGIA-RAFAEL OLARTE</v>
      </c>
      <c r="F9496" s="5" t="str">
        <f>"Descripcion: CARRO METALICO CON RODACHINES Estado: Bueno Placa anterior: 000002809 Material: METALICO Color: BEIGE Referencia:  Observacion:  Placa padre: Tipo adquisicion: Entidad"</f>
        <v>Descripcion: CARRO METALICO CON RODACHINES Estado: Bueno Placa anterior: 000002809 Material: METALICO Color: BEIGE Referencia:  Observacion:  Placa padre: Tipo adquisicion: Entidad</v>
      </c>
      <c r="G9496" s="5"/>
    </row>
    <row r="9497" spans="1:7" ht="58.5" customHeight="1" x14ac:dyDescent="0.25">
      <c r="A9497" s="5" t="str">
        <f>"H0000773"</f>
        <v>H0000773</v>
      </c>
      <c r="B9497" s="5" t="str">
        <f>"COMPUTADOR TODO EN UNO"</f>
        <v>COMPUTADOR TODO EN UNO</v>
      </c>
      <c r="C9497" s="6">
        <v>1572000</v>
      </c>
      <c r="D9497" s="5" t="s">
        <v>32</v>
      </c>
      <c r="E9497" s="5" t="str">
        <f t="shared" si="484"/>
        <v>EPIDEMIOLOGIA-RAFAEL OLARTE</v>
      </c>
      <c r="F9497" s="5" t="str">
        <f>"Descripcion: EQUIPO DE COMPUTO TODO EN UNO PROCESADOR CORE 3.0 SUPERIOR CORPORATIVO WINDOWS 8 PRO- OFFICE 2013 SMALL BUSINES, TECNOLOGIA HT DE INTEL GARANTIA EXTENDIDA A 3 AÑOS Estado: Bueno Placa anterior: 000030563 Material:  Color: NEGRO Referencia:  O"&amp; "bservacion:  Placa anterior:, Placa nueva=H0000774, Descripcion:TECLADO HP, Serial:672647-163, Marca:HP, Modelo:KU-1156, Material:, Color:NEGRO,   Referencia:, Placa anterior:, Placa nueva=H0000775, Descripcion:MOUSE OPTICO, Serial:, Marca:STARTEC, Modelo"&amp; ":, Material:, Color:NEGRO,   Referencia: Placa padre: Tipo adquisicion: Entidad"</f>
        <v>Descripcion: EQUIPO DE COMPUTO TODO EN UNO PROCESADOR CORE 3.0 SUPERIOR CORPORATIVO WINDOWS 8 PRO- OFFICE 2013 SMALL BUSINES, TECNOLOGIA HT DE INTEL GARANTIA EXTENDIDA A 3 AÑOS Estado: Bueno Placa anterior: 000030563 Material:  Color: NEGRO Referencia:  Observacion:  Placa anterior:, Placa nueva=H0000774, Descripcion:TECLADO HP, Serial:672647-163, Marca:HP, Modelo:KU-1156, Material:, Color:NEGRO,   Referencia:, Placa anterior:, Placa nueva=H0000775, Descripcion:MOUSE OPTICO, Serial:, Marca:STARTEC, Modelo:, Material:, Color:NEGRO,   Referencia: Placa padre: Tipo adquisicion: Entidad</v>
      </c>
      <c r="G9497" s="5" t="str">
        <f>"HP COMPAQPRO 4300"</f>
        <v>HP COMPAQPRO 4300</v>
      </c>
    </row>
    <row r="9498" spans="1:7" ht="58.5" customHeight="1" x14ac:dyDescent="0.25">
      <c r="A9498" s="5" t="str">
        <f>"H0000782"</f>
        <v>H0000782</v>
      </c>
      <c r="B9498" s="5" t="str">
        <f>"CAMA DESCANSO (SOFACAMA)"</f>
        <v>CAMA DESCANSO (SOFACAMA)</v>
      </c>
      <c r="C9498" s="6">
        <v>73150</v>
      </c>
      <c r="D9498" s="5"/>
      <c r="E9498" s="5" t="str">
        <f t="shared" si="484"/>
        <v>EPIDEMIOLOGIA-RAFAEL OLARTE</v>
      </c>
      <c r="F9498" s="5" t="str">
        <f>"Descripcion: SOFACAMA COLOR MARRON LARGO DE 220CM Estado: Bueno Placa anterior: 000015130 Material: TAPIZADO EN SEMICUERO Color: MARRON Referencia:  Observacion:  Placa padre: Tipo adquisicion: Entidad"</f>
        <v>Descripcion: SOFACAMA COLOR MARRON LARGO DE 220CM Estado: Bueno Placa anterior: 000015130 Material: TAPIZADO EN SEMICUERO Color: MARRON Referencia:  Observacion:  Placa padre: Tipo adquisicion: Entidad</v>
      </c>
      <c r="G9498" s="5"/>
    </row>
    <row r="9499" spans="1:7" ht="58.5" customHeight="1" x14ac:dyDescent="0.25">
      <c r="A9499" s="5" t="str">
        <f>"H0000787"</f>
        <v>H0000787</v>
      </c>
      <c r="B9499" s="5" t="str">
        <f>"VIDEOBEAM (VIDEO PROYECTOR)"</f>
        <v>VIDEOBEAM (VIDEO PROYECTOR)</v>
      </c>
      <c r="C9499" s="6">
        <v>2137600</v>
      </c>
      <c r="D9499" s="5" t="s">
        <v>6</v>
      </c>
      <c r="E9499" s="5" t="str">
        <f t="shared" si="484"/>
        <v>EPIDEMIOLOGIA-RAFAEL OLARTE</v>
      </c>
      <c r="F9499" s="5" t="str">
        <f>"Descripcion: Video Proyector Video Beam Resolución XGA (1024x768) Duración de Lampara 6000 H.Razón de Contraste 10000:1.Salida de Luz de calor 3500 lumniex Estado: Excelente Placa anterior: 000037052 Material: PLASTICO Color: BLANCO Referencia: POWERLITE "&amp; "X24 Observacion:  Placa padre: Tipo adquisicion: Entidad"</f>
        <v>Descripcion: Video Proyector Video Beam Resolución XGA (1024x768) Duración de Lampara 6000 H.Razón de Contraste 10000:1.Salida de Luz de calor 3500 lumniex Estado: Excelente Placa anterior: 000037052 Material: PLASTICO Color: BLANCO Referencia: POWERLITE X24 Observacion:  Placa padre: Tipo adquisicion: Entidad</v>
      </c>
      <c r="G9499" s="5" t="str">
        <f>"H553A"</f>
        <v>H553A</v>
      </c>
    </row>
    <row r="9500" spans="1:7" ht="58.5" customHeight="1" x14ac:dyDescent="0.25">
      <c r="A9500" s="5" t="str">
        <f>"H0000796"</f>
        <v>H0000796</v>
      </c>
      <c r="B9500" s="5" t="str">
        <f>"COMPUTADOR PORTATIL"</f>
        <v>COMPUTADOR PORTATIL</v>
      </c>
      <c r="C9500" s="6">
        <v>2250000</v>
      </c>
      <c r="D9500" s="5"/>
      <c r="E9500" s="5" t="str">
        <f t="shared" si="484"/>
        <v>EPIDEMIOLOGIA-RAFAEL OLARTE</v>
      </c>
      <c r="F9500" s="5" t="str">
        <f>"Descripcion: COMPUTADOR PORTATIL REF. HP. CPMPAQ. 610 Procesador Intel Core 2 Duo T. Memoria 2GB Disco Duro 250 GB Tarjeta de Video. Estado: Bueno Placa anterior: 000033207 Material:  Color: NEGRO Referencia:  Observacion:  Placa padre: Tipo adquisicion: "&amp; "Entidad"</f>
        <v>Descripcion: COMPUTADOR PORTATIL REF. HP. CPMPAQ. 610 Procesador Intel Core 2 Duo T. Memoria 2GB Disco Duro 250 GB Tarjeta de Video. Estado: Bueno Placa anterior: 000033207 Material:  Color: NEGRO Referencia:  Observacion:  Placa padre: Tipo adquisicion: Entidad</v>
      </c>
      <c r="G9500" s="5" t="str">
        <f>"COMPAQ"</f>
        <v>COMPAQ</v>
      </c>
    </row>
    <row r="9501" spans="1:7" ht="58.5" customHeight="1" x14ac:dyDescent="0.25">
      <c r="A9501" s="5" t="str">
        <f>"H0000800"</f>
        <v>H0000800</v>
      </c>
      <c r="B9501" s="5" t="str">
        <f>"AIRE ACONDICIONADO TIPO SPLIT 24000 BTU"</f>
        <v>AIRE ACONDICIONADO TIPO SPLIT 24000 BTU</v>
      </c>
      <c r="C9501" s="6">
        <v>2668000</v>
      </c>
      <c r="D9501" s="5"/>
      <c r="E9501" s="5" t="str">
        <f t="shared" si="484"/>
        <v>EPIDEMIOLOGIA-RAFAEL OLARTE</v>
      </c>
      <c r="F9501" s="5" t="str">
        <f>"Descripcion: AIRE ACONDICIONADO MINI SPLIT MCA. LG DE 24000 BTU Estado: Bueno Placa anterior: 000024104 Material:  Color: BLANCO Referencia:  Observacion:  Placa padre: Tipo adquisicion: Entidad"</f>
        <v>Descripcion: AIRE ACONDICIONADO MINI SPLIT MCA. LG DE 24000 BTU Estado: Bueno Placa anterior: 000024104 Material:  Color: BLANCO Referencia:  Observacion:  Placa padre: Tipo adquisicion: Entidad</v>
      </c>
      <c r="G9501" s="5" t="str">
        <f>"SC242CG"</f>
        <v>SC242CG</v>
      </c>
    </row>
    <row r="9502" spans="1:7" ht="58.5" customHeight="1" x14ac:dyDescent="0.25">
      <c r="A9502" s="5" t="str">
        <f>"H0000945"</f>
        <v>H0000945</v>
      </c>
      <c r="B9502" s="5" t="str">
        <f>"SILLA INTERLOCUTORA (FIJA) SIN BRAZOS"</f>
        <v>SILLA INTERLOCUTORA (FIJA) SIN BRAZOS</v>
      </c>
      <c r="C9502" s="6">
        <v>5810</v>
      </c>
      <c r="D9502" s="5"/>
      <c r="E9502" s="5" t="str">
        <f t="shared" si="484"/>
        <v>EPIDEMIOLOGIA-RAFAEL OLARTE</v>
      </c>
      <c r="F9502" s="5" t="str">
        <f>"Descripcion: SILLA FIJA TIPO A COLOR MARRON Estado: Bueno Placa anterior: 000026435 Material: TAPIZADO EN SEMICUERO, METALICAS Color: MARRON Referencia:  Observacion:  Placa padre: Tipo adquisicion: Entidad"</f>
        <v>Descripcion: SILLA FIJA TIPO A COLOR MARRON Estado: Bueno Placa anterior: 000026435 Material: TAPIZADO EN SEMICUERO, METALICAS Color: MARRON Referencia:  Observacion:  Placa padre: Tipo adquisicion: Entidad</v>
      </c>
      <c r="G9502" s="5"/>
    </row>
    <row r="9503" spans="1:7" ht="58.5" customHeight="1" x14ac:dyDescent="0.25">
      <c r="A9503" s="5" t="str">
        <f>"H0000946"</f>
        <v>H0000946</v>
      </c>
      <c r="B9503" s="5" t="str">
        <f>"SILLA INTERLOCUTORA (FIJA) SIN BRAZOS"</f>
        <v>SILLA INTERLOCUTORA (FIJA) SIN BRAZOS</v>
      </c>
      <c r="C9503" s="6">
        <v>5810</v>
      </c>
      <c r="D9503" s="5"/>
      <c r="E9503" s="5" t="str">
        <f t="shared" si="484"/>
        <v>EPIDEMIOLOGIA-RAFAEL OLARTE</v>
      </c>
      <c r="F9503" s="5" t="str">
        <f>"Descripcion: SILLA FIJA TIPO A COLOR MARRON Estado: Bueno Placa anterior: 000026436 Material: TAPIZADO EN SEMICUERO, METALICAS Color: MARRON Referencia:  Observacion:  Placa padre: Tipo adquisicion: Entidad"</f>
        <v>Descripcion: SILLA FIJA TIPO A COLOR MARRON Estado: Bueno Placa anterior: 000026436 Material: TAPIZADO EN SEMICUERO, METALICAS Color: MARRON Referencia:  Observacion:  Placa padre: Tipo adquisicion: Entidad</v>
      </c>
      <c r="G9503" s="5"/>
    </row>
    <row r="9504" spans="1:7" ht="58.5" customHeight="1" x14ac:dyDescent="0.25">
      <c r="A9504" s="5" t="str">
        <f>"H0000952"</f>
        <v>H0000952</v>
      </c>
      <c r="B9504" s="5" t="str">
        <f>"TELEVISOR LED 32"</f>
        <v>TELEVISOR LED 32</v>
      </c>
      <c r="C9504" s="6">
        <v>664000</v>
      </c>
      <c r="D9504" s="5" t="s">
        <v>58</v>
      </c>
      <c r="E9504" s="5" t="str">
        <f t="shared" si="484"/>
        <v>EPIDEMIOLOGIA-RAFAEL OLARTE</v>
      </c>
      <c r="F9504" s="5" t="str">
        <f>"Descripcion: TELEVISOR LED DE 32 Estado: Bueno Placa anterior: 000030372 Material:  Color: NEGRO Referencia:  Observacion:  Placa padre: Tipo adquisicion: Donacion"</f>
        <v>Descripcion: TELEVISOR LED DE 32 Estado: Bueno Placa anterior: 000030372 Material:  Color: NEGRO Referencia:  Observacion:  Placa padre: Tipo adquisicion: Donacion</v>
      </c>
      <c r="G9504" s="5" t="str">
        <f>"32LS3450"</f>
        <v>32LS3450</v>
      </c>
    </row>
    <row r="9505" spans="1:7" ht="58.5" customHeight="1" x14ac:dyDescent="0.25">
      <c r="A9505" s="5" t="str">
        <f>"H0000959"</f>
        <v>H0000959</v>
      </c>
      <c r="B9505" s="5" t="str">
        <f>"MESA (CARRO) DE CURACIONES"</f>
        <v>MESA (CARRO) DE CURACIONES</v>
      </c>
      <c r="C9505" s="6">
        <v>17380</v>
      </c>
      <c r="D9505" s="5"/>
      <c r="E9505" s="5" t="str">
        <f t="shared" si="484"/>
        <v>EPIDEMIOLOGIA-RAFAEL OLARTE</v>
      </c>
      <c r="F9505" s="5" t="str">
        <f>"Descripcion: MESA AUXILIAR CON RODACHINES METALICO CON 2 ENTREPAÑOS Estado: Bueno Placa anterior: 000026439 Material: METALICO Color: GRIS Referencia:  Observacion:  Placa padre: Tipo adquisicion: Entidad"</f>
        <v>Descripcion: MESA AUXILIAR CON RODACHINES METALICO CON 2 ENTREPAÑOS Estado: Bueno Placa anterior: 000026439 Material: METALICO Color: GRIS Referencia:  Observacion:  Placa padre: Tipo adquisicion: Entidad</v>
      </c>
      <c r="G9505" s="5"/>
    </row>
    <row r="9506" spans="1:7" ht="58.5" customHeight="1" x14ac:dyDescent="0.25">
      <c r="A9506" s="5" t="str">
        <f>"H0001096"</f>
        <v>H0001096</v>
      </c>
      <c r="B9506" s="5" t="str">
        <f>"REFRIGERADOR HORIZONTAL 201LT"</f>
        <v>REFRIGERADOR HORIZONTAL 201LT</v>
      </c>
      <c r="C9506" s="6">
        <v>6980000</v>
      </c>
      <c r="D9506" s="5"/>
      <c r="E9506" s="5" t="str">
        <f t="shared" si="484"/>
        <v>EPIDEMIOLOGIA-RAFAEL OLARTE</v>
      </c>
      <c r="F9506" s="5" t="str">
        <f>"Descripcion: REFRIGERADOR HORIZONTAL MARCA VESTFROST Estado: Bueno Placa anterior: 000032870 Material:  Color: BLANCO Referencia:  Observacion:  Placa padre: Tipo adquisicion: Entidad"</f>
        <v>Descripcion: REFRIGERADOR HORIZONTAL MARCA VESTFROST Estado: Bueno Placa anterior: 000032870 Material:  Color: BLANCO Referencia:  Observacion:  Placa padre: Tipo adquisicion: Entidad</v>
      </c>
      <c r="G9506" s="5" t="str">
        <f>"MK 304"</f>
        <v>MK 304</v>
      </c>
    </row>
    <row r="9507" spans="1:7" ht="58.5" customHeight="1" x14ac:dyDescent="0.25">
      <c r="A9507" s="5" t="str">
        <f>"H0001097"</f>
        <v>H0001097</v>
      </c>
      <c r="B9507" s="5" t="str">
        <f>"REFRIGERADOR HORIZONTAL 201LT"</f>
        <v>REFRIGERADOR HORIZONTAL 201LT</v>
      </c>
      <c r="C9507" s="6">
        <v>6980000</v>
      </c>
      <c r="D9507" s="5"/>
      <c r="E9507" s="5" t="str">
        <f t="shared" si="484"/>
        <v>EPIDEMIOLOGIA-RAFAEL OLARTE</v>
      </c>
      <c r="F9507" s="5" t="str">
        <f>"Descripcion: REFRIGERADOR HORIZONTAL MARCA VESTFROST Estado: Bueno Placa anterior: 000032869 Material:  Color: BLANCO Referencia:  Observacion:  Placa padre: Tipo adquisicion: Entidad"</f>
        <v>Descripcion: REFRIGERADOR HORIZONTAL MARCA VESTFROST Estado: Bueno Placa anterior: 000032869 Material:  Color: BLANCO Referencia:  Observacion:  Placa padre: Tipo adquisicion: Entidad</v>
      </c>
      <c r="G9507" s="5" t="str">
        <f>"MK 304"</f>
        <v>MK 304</v>
      </c>
    </row>
    <row r="9508" spans="1:7" ht="58.5" customHeight="1" x14ac:dyDescent="0.25">
      <c r="A9508" s="5" t="str">
        <f>"H0001102"</f>
        <v>H0001102</v>
      </c>
      <c r="B9508" s="5" t="str">
        <f>"CAMILLA DE TRASLADO CON BARANDAS"</f>
        <v>CAMILLA DE TRASLADO CON BARANDAS</v>
      </c>
      <c r="C9508" s="6">
        <v>1693600</v>
      </c>
      <c r="D9508" s="5" t="s">
        <v>166</v>
      </c>
      <c r="E9508" s="5" t="str">
        <f t="shared" si="484"/>
        <v>EPIDEMIOLOGIA-RAFAEL OLARTE</v>
      </c>
      <c r="F9508" s="5" t="str">
        <f>"Descripcion: CAMILLA DE TRASLADO CON BARANDAS  Estado: Bueno Placa anterior: 000031354 Material: METALICO Color: BEIGE Referencia:  Observacion: AUTORIZADO CONCILIAR EN CRUCE GENERAL Placa padre: Tipo adquisicion: Entidad"</f>
        <v>Descripcion: CAMILLA DE TRASLADO CON BARANDAS  Estado: Bueno Placa anterior: 000031354 Material: METALICO Color: BEIGE Referencia:  Observacion: AUTORIZADO CONCILIAR EN CRUCE GENERAL Placa padre: Tipo adquisicion: Entidad</v>
      </c>
      <c r="G9508" s="5"/>
    </row>
    <row r="9509" spans="1:7" ht="58.5" customHeight="1" x14ac:dyDescent="0.25">
      <c r="A9509" s="5" t="str">
        <f>"H0001117"</f>
        <v>H0001117</v>
      </c>
      <c r="B9509" s="5" t="str">
        <f>"PESO PARA BEBE ANALOGO"</f>
        <v>PESO PARA BEBE ANALOGO</v>
      </c>
      <c r="C9509" s="6">
        <v>36875</v>
      </c>
      <c r="D9509" s="5"/>
      <c r="E9509" s="5" t="str">
        <f t="shared" si="484"/>
        <v>EPIDEMIOLOGIA-RAFAEL OLARTE</v>
      </c>
      <c r="F9509" s="5" t="str">
        <f>"Descripcion: BALANZA PESA BEBE ANALOGO Estado: Bueno Placa anterior: 000021769 Material: METALICO Color: BEIGE Referencia:  Observacion:  Placa padre: Tipo adquisicion: Entidad"</f>
        <v>Descripcion: BALANZA PESA BEBE ANALOGO Estado: Bueno Placa anterior: 000021769 Material: METALICO Color: BEIGE Referencia:  Observacion:  Placa padre: Tipo adquisicion: Entidad</v>
      </c>
      <c r="G9509" s="5"/>
    </row>
    <row r="9510" spans="1:7" ht="58.5" customHeight="1" x14ac:dyDescent="0.25">
      <c r="A9510" s="5" t="str">
        <f>"H0001119"</f>
        <v>H0001119</v>
      </c>
      <c r="B9510" s="5" t="str">
        <f>"CAVA PLASTICA DE 5 LITROS"</f>
        <v>CAVA PLASTICA DE 5 LITROS</v>
      </c>
      <c r="C9510" s="6">
        <v>4582000</v>
      </c>
      <c r="D9510" s="5"/>
      <c r="E9510" s="5" t="str">
        <f t="shared" si="484"/>
        <v>EPIDEMIOLOGIA-RAFAEL OLARTE</v>
      </c>
      <c r="F9510" s="5" t="str">
        <f>"Descripcion: CAVA TERMICA PARA VACUNAS MODELO RCW Estado: Bueno Placa anterior: 000026280 Material: PLASTICO Color: AZUL Referencia:  Observacion:  Placa padre: Tipo adquisicion: Entidad"</f>
        <v>Descripcion: CAVA TERMICA PARA VACUNAS MODELO RCW Estado: Bueno Placa anterior: 000026280 Material: PLASTICO Color: AZUL Referencia:  Observacion:  Placa padre: Tipo adquisicion: Entidad</v>
      </c>
      <c r="G9510" s="5" t="str">
        <f>"RCW"</f>
        <v>RCW</v>
      </c>
    </row>
    <row r="9511" spans="1:7" ht="58.5" customHeight="1" x14ac:dyDescent="0.25">
      <c r="A9511" s="5" t="str">
        <f>"H0001120"</f>
        <v>H0001120</v>
      </c>
      <c r="B9511" s="5" t="str">
        <f>"CAVA PLASTICA DE 5 LITROS"</f>
        <v>CAVA PLASTICA DE 5 LITROS</v>
      </c>
      <c r="C9511" s="6">
        <v>4582000</v>
      </c>
      <c r="D9511" s="5"/>
      <c r="E9511" s="5" t="str">
        <f t="shared" si="484"/>
        <v>EPIDEMIOLOGIA-RAFAEL OLARTE</v>
      </c>
      <c r="F9511" s="5" t="str">
        <f>"Descripcion: CAVA TERMICA PARA VACUNAS MODELO RCW Estado: Bueno Placa anterior: 000026279 Material: PLASTICO Color: AZUL Referencia:  Observacion:  Placa padre: Tipo adquisicion: Entidad"</f>
        <v>Descripcion: CAVA TERMICA PARA VACUNAS MODELO RCW Estado: Bueno Placa anterior: 000026279 Material: PLASTICO Color: AZUL Referencia:  Observacion:  Placa padre: Tipo adquisicion: Entidad</v>
      </c>
      <c r="G9511" s="5" t="str">
        <f>"RCW"</f>
        <v>RCW</v>
      </c>
    </row>
    <row r="9512" spans="1:7" ht="58.5" customHeight="1" x14ac:dyDescent="0.25">
      <c r="A9512" s="5" t="str">
        <f>"H0001121"</f>
        <v>H0001121</v>
      </c>
      <c r="B9512" s="5" t="str">
        <f>"CAJA (CAVA) TERMICA 9LT"</f>
        <v>CAJA (CAVA) TERMICA 9LT</v>
      </c>
      <c r="C9512" s="6">
        <v>4582000</v>
      </c>
      <c r="D9512" s="5"/>
      <c r="E9512" s="5" t="str">
        <f t="shared" si="484"/>
        <v>EPIDEMIOLOGIA-RAFAEL OLARTE</v>
      </c>
      <c r="F9512" s="5" t="str">
        <f>"Descripcion: CAVA TERMICA PARA VACUNAS PEQUEÑA Estado: Bueno Placa anterior:  Material: PLASTICO Color: GRIS CON NEGRO Referencia:  Observacion:  Placa padre: Tipo adquisicion: Donacion"</f>
        <v>Descripcion: CAVA TERMICA PARA VACUNAS PEQUEÑA Estado: Bueno Placa anterior:  Material: PLASTICO Color: GRIS CON NEGRO Referencia:  Observacion:  Placa padre: Tipo adquisicion: Donacion</v>
      </c>
      <c r="G9512" s="5"/>
    </row>
    <row r="9513" spans="1:7" ht="58.5" customHeight="1" x14ac:dyDescent="0.25">
      <c r="A9513" s="5" t="str">
        <f>"H0001122"</f>
        <v>H0001122</v>
      </c>
      <c r="B9513" s="5" t="str">
        <f>"CAJA (CAVA) TERMICA 9LT"</f>
        <v>CAJA (CAVA) TERMICA 9LT</v>
      </c>
      <c r="C9513" s="6">
        <v>4582000</v>
      </c>
      <c r="D9513" s="5"/>
      <c r="E9513" s="5" t="str">
        <f t="shared" si="484"/>
        <v>EPIDEMIOLOGIA-RAFAEL OLARTE</v>
      </c>
      <c r="F9513" s="5" t="str">
        <f>"Descripcion: CAVA TERMICA PARA VACUNAS PEQUEÑA Estado: Bueno Placa anterior:  Material: PLASTICO Color: GRIS CON NEGRO Referencia:  Observacion:  Placa padre: Tipo adquisicion: Donacion"</f>
        <v>Descripcion: CAVA TERMICA PARA VACUNAS PEQUEÑA Estado: Bueno Placa anterior:  Material: PLASTICO Color: GRIS CON NEGRO Referencia:  Observacion:  Placa padre: Tipo adquisicion: Donacion</v>
      </c>
      <c r="G9513" s="5"/>
    </row>
    <row r="9514" spans="1:7" ht="58.5" customHeight="1" x14ac:dyDescent="0.25">
      <c r="A9514" s="5" t="str">
        <f>"H0001123"</f>
        <v>H0001123</v>
      </c>
      <c r="B9514" s="5" t="str">
        <f>"CAJA (CAVA) TERMICA 9LT"</f>
        <v>CAJA (CAVA) TERMICA 9LT</v>
      </c>
      <c r="C9514" s="6">
        <v>4582000</v>
      </c>
      <c r="D9514" s="5"/>
      <c r="E9514" s="5" t="str">
        <f t="shared" si="484"/>
        <v>EPIDEMIOLOGIA-RAFAEL OLARTE</v>
      </c>
      <c r="F9514" s="5" t="str">
        <f>"Descripcion: CAVA TERMICA PARA VACUNAS PEQUEÑA Estado: Bueno Placa anterior:  Material: PLASTICO Color: GRIS CON NEGRO Referencia:  Observacion:  Placa padre: Tipo adquisicion: Donacion"</f>
        <v>Descripcion: CAVA TERMICA PARA VACUNAS PEQUEÑA Estado: Bueno Placa anterior:  Material: PLASTICO Color: GRIS CON NEGRO Referencia:  Observacion:  Placa padre: Tipo adquisicion: Donacion</v>
      </c>
      <c r="G9514" s="5"/>
    </row>
    <row r="9515" spans="1:7" ht="58.5" customHeight="1" x14ac:dyDescent="0.25">
      <c r="A9515" s="5" t="str">
        <f>"H0001131"</f>
        <v>H0001131</v>
      </c>
      <c r="B9515" s="5" t="str">
        <f>"CUBETA DE ACERO INOXIDABLE CON TAPA MEDIANA"</f>
        <v>CUBETA DE ACERO INOXIDABLE CON TAPA MEDIANA</v>
      </c>
      <c r="C9515" s="6">
        <v>14100.8</v>
      </c>
      <c r="D9515" s="5"/>
      <c r="E9515" s="5" t="str">
        <f t="shared" si="484"/>
        <v>EPIDEMIOLOGIA-RAFAEL OLARTE</v>
      </c>
      <c r="F9515" s="5" t="str">
        <f>"Descripcion: CUBETA MEDIANA EN ACERO INOXIDABLE Estado: Bueno Placa anterior: 000002820 Material: ACERO INOXIDABLE Color:  Referencia:  Observacion:  Placa padre: Tipo adquisicion: Entidad"</f>
        <v>Descripcion: CUBETA MEDIANA EN ACERO INOXIDABLE Estado: Bueno Placa anterior: 000002820 Material: ACERO INOXIDABLE Color:  Referencia:  Observacion:  Placa padre: Tipo adquisicion: Entidad</v>
      </c>
      <c r="G9515" s="5"/>
    </row>
    <row r="9516" spans="1:7" ht="58.5" customHeight="1" x14ac:dyDescent="0.25">
      <c r="A9516" s="5" t="str">
        <f>"H0001218"</f>
        <v>H0001218</v>
      </c>
      <c r="B9516" s="5" t="str">
        <f>"SILLA ERGONOMICA TIPO GERENTE CON BRAZOS"</f>
        <v>SILLA ERGONOMICA TIPO GERENTE CON BRAZOS</v>
      </c>
      <c r="C9516" s="6">
        <v>211120</v>
      </c>
      <c r="D9516" s="5"/>
      <c r="E9516" s="5" t="str">
        <f t="shared" si="484"/>
        <v>EPIDEMIOLOGIA-RAFAEL OLARTE</v>
      </c>
      <c r="F9516" s="5" t="str">
        <f>"Descripcion: SILLA ERGONOMICA TIPO GERENTE CON BRAZOSTAPIZADA EN TELA AZUL Estado: Excelente Placa anterior: 000025317 Material: TAPIZADO EN TELA Color: AZUL Referencia:  Observacion:  Placa padre: Tipo adquisicion: Entidad"</f>
        <v>Descripcion: SILLA ERGONOMICA TIPO GERENTE CON BRAZOSTAPIZADA EN TELA AZUL Estado: Excelente Placa anterior: 000025317 Material: TAPIZADO EN TELA Color: AZUL Referencia:  Observacion:  Placa padre: Tipo adquisicion: Entidad</v>
      </c>
      <c r="G9516" s="5"/>
    </row>
    <row r="9517" spans="1:7" ht="58.5" customHeight="1" x14ac:dyDescent="0.25">
      <c r="A9517" s="5" t="str">
        <f>"H0001394"</f>
        <v>H0001394</v>
      </c>
      <c r="B9517" s="5" t="str">
        <f>"TENSIOMETRO ANEROIDE DE MANO ADULTO"</f>
        <v>TENSIOMETRO ANEROIDE DE MANO ADULTO</v>
      </c>
      <c r="C9517" s="6">
        <v>20972.720000000001</v>
      </c>
      <c r="D9517" s="5"/>
      <c r="E9517" s="5" t="str">
        <f t="shared" si="484"/>
        <v>EPIDEMIOLOGIA-RAFAEL OLARTE</v>
      </c>
      <c r="F9517" s="5" t="str">
        <f>"Descripcion: TENSIOMETRO DE MANO Estado: Bueno Placa anterior: 000002923 Material:  Color: NEGRO Referencia:  Observacion:  Placa padre: Tipo adquisicion: Entidad"</f>
        <v>Descripcion: TENSIOMETRO DE MANO Estado: Bueno Placa anterior: 000002923 Material:  Color: NEGRO Referencia:  Observacion:  Placa padre: Tipo adquisicion: Entidad</v>
      </c>
      <c r="G9517" s="5"/>
    </row>
    <row r="9518" spans="1:7" ht="58.5" customHeight="1" x14ac:dyDescent="0.25">
      <c r="A9518" s="5" t="str">
        <f>"H0001395"</f>
        <v>H0001395</v>
      </c>
      <c r="B9518" s="5" t="str">
        <f>"FONENDOSCOPIO (ESTETOSCOPIO) PARA ADULTO"</f>
        <v>FONENDOSCOPIO (ESTETOSCOPIO) PARA ADULTO</v>
      </c>
      <c r="C9518" s="6">
        <v>17487.599999999999</v>
      </c>
      <c r="D9518" s="5"/>
      <c r="E9518" s="5" t="str">
        <f t="shared" si="484"/>
        <v>EPIDEMIOLOGIA-RAFAEL OLARTE</v>
      </c>
      <c r="F9518" s="5" t="str">
        <f>"Descripcion: FONENDOSCOPIO PARA ADULTO Estado: Bueno Placa anterior: 000002922 Material:  Color: NEGRO Referencia:  Observacion:  Placa padre: Tipo adquisicion: Entidad"</f>
        <v>Descripcion: FONENDOSCOPIO PARA ADULTO Estado: Bueno Placa anterior: 000002922 Material:  Color: NEGRO Referencia:  Observacion:  Placa padre: Tipo adquisicion: Entidad</v>
      </c>
      <c r="G9518" s="5"/>
    </row>
    <row r="9519" spans="1:7" ht="58.5" customHeight="1" x14ac:dyDescent="0.25">
      <c r="A9519" s="5" t="str">
        <f>"H0001941"</f>
        <v>H0001941</v>
      </c>
      <c r="B9519" s="5" t="str">
        <f>"ESCRITORIO METALICO 3 GAVETAS"</f>
        <v>ESCRITORIO METALICO 3 GAVETAS</v>
      </c>
      <c r="C9519" s="6">
        <v>53069.55</v>
      </c>
      <c r="D9519" s="5"/>
      <c r="E9519" s="5" t="str">
        <f t="shared" si="484"/>
        <v>EPIDEMIOLOGIA-RAFAEL OLARTE</v>
      </c>
      <c r="F9519" s="5" t="str">
        <f>"Descripcion: ESCRITORIO METALICO 3 GAVETAS MEIDIDAS:91.5X122X60CM Estado: Bueno Placa anterior: 000008879 Material: METALICO CON MESON EN FORMICA Color: GRIS CON MARRON Referencia:  Observacion: PLACA ANTERIOR NO ENCONTRADA 000008169FUNCIONARIO AUTORIZA S"&amp; "E CONCILIE CON PLACA 000008879 Placa padre: Tipo adquisicion: Entidad"</f>
        <v>Descripcion: ESCRITORIO METALICO 3 GAVETAS MEIDIDAS:91.5X122X60CM Estado: Bueno Placa anterior: 000008879 Material: METALICO CON MESON EN FORMICA Color: GRIS CON MARRON Referencia:  Observacion: PLACA ANTERIOR NO ENCONTRADA 000008169FUNCIONARIO AUTORIZA SE CONCILIE CON PLACA 000008879 Placa padre: Tipo adquisicion: Entidad</v>
      </c>
      <c r="G9519" s="5"/>
    </row>
    <row r="9520" spans="1:7" ht="58.5" customHeight="1" x14ac:dyDescent="0.25">
      <c r="A9520" s="5" t="str">
        <f>"H0002002"</f>
        <v>H0002002</v>
      </c>
      <c r="B9520" s="5" t="str">
        <f>"ESTANTE METALICO"</f>
        <v>ESTANTE METALICO</v>
      </c>
      <c r="C9520" s="6">
        <v>8916.85</v>
      </c>
      <c r="D9520" s="5"/>
      <c r="E9520" s="5" t="str">
        <f t="shared" ref="E9520:E9551" si="485">"EPIDEMIOLOGIA-RAFAEL OLARTE"</f>
        <v>EPIDEMIOLOGIA-RAFAEL OLARTE</v>
      </c>
      <c r="F9520" s="5" t="str">
        <f>"Descripcion: ESTANTE METALICO DE 6 ENTREPAÑOS Estado: Regular Placa anterior: 000009522 Material: METAL Color: GRIS Referencia:  Observacion: ESTA DESAJUSTADO Placa padre: Tipo adquisicion: Entidad"</f>
        <v>Descripcion: ESTANTE METALICO DE 6 ENTREPAÑOS Estado: Regular Placa anterior: 000009522 Material: METAL Color: GRIS Referencia:  Observacion: ESTA DESAJUSTADO Placa padre: Tipo adquisicion: Entidad</v>
      </c>
      <c r="G9520" s="5"/>
    </row>
    <row r="9521" spans="1:7" ht="58.5" customHeight="1" x14ac:dyDescent="0.25">
      <c r="A9521" s="5" t="str">
        <f>"H0003362"</f>
        <v>H0003362</v>
      </c>
      <c r="B9521" s="5" t="str">
        <f>"ESTANTE METALICO 7 ENTREPAÑOS"</f>
        <v>ESTANTE METALICO 7 ENTREPAÑOS</v>
      </c>
      <c r="C9521" s="6">
        <v>281999</v>
      </c>
      <c r="D9521" s="5" t="s">
        <v>257</v>
      </c>
      <c r="E9521" s="5" t="str">
        <f t="shared" si="485"/>
        <v>EPIDEMIOLOGIA-RAFAEL OLARTE</v>
      </c>
      <c r="F9521"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000038837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000038837 Material: METALICO Color: GRIS Referencia:  Observacion:  Placa padre: Tipo adquisicion: Entidad</v>
      </c>
      <c r="G9521" s="5"/>
    </row>
    <row r="9522" spans="1:7" ht="58.5" customHeight="1" x14ac:dyDescent="0.25">
      <c r="A9522" s="5" t="str">
        <f>"H0003381"</f>
        <v>H0003381</v>
      </c>
      <c r="B9522" s="5" t="str">
        <f>"ESTANTE METALICO 7 ENTREPAÑOS"</f>
        <v>ESTANTE METALICO 7 ENTREPAÑOS</v>
      </c>
      <c r="C9522" s="6">
        <v>281999</v>
      </c>
      <c r="D9522" s="5" t="s">
        <v>257</v>
      </c>
      <c r="E9522" s="5" t="str">
        <f t="shared" si="485"/>
        <v>EPIDEMIOLOGIA-RAFAEL OLARTE</v>
      </c>
      <c r="F9522"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000038838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000038838 Material: METALICO Color: GRIS Referencia:  Observacion:  Placa padre: Tipo adquisicion: Entidad</v>
      </c>
      <c r="G9522" s="5"/>
    </row>
    <row r="9523" spans="1:7" ht="58.5" customHeight="1" x14ac:dyDescent="0.25">
      <c r="A9523" s="5" t="str">
        <f>"H0005479"</f>
        <v>H0005479</v>
      </c>
      <c r="B9523" s="5" t="str">
        <f>"SILLA INTERLOCUTORA (FIJA) SIN BRAZOS"</f>
        <v>SILLA INTERLOCUTORA (FIJA) SIN BRAZOS</v>
      </c>
      <c r="C9523" s="6">
        <v>133980</v>
      </c>
      <c r="D9523" s="5"/>
      <c r="E9523" s="5" t="str">
        <f t="shared" si="485"/>
        <v>EPIDEMIOLOGIA-RAFAEL OLARTE</v>
      </c>
      <c r="F9523" s="5" t="str">
        <f>"Descripcion: SILLA INTERLOCUTORA PAÑO  NEGRO Estado: Bueno Placa anterior: 000024647 Material: METALICO Color: NEGRO Referencia:  Observacion:  Placa padre: Tipo adquisicion: Entidad"</f>
        <v>Descripcion: SILLA INTERLOCUTORA PAÑO  NEGRO Estado: Bueno Placa anterior: 000024647 Material: METALICO Color: NEGRO Referencia:  Observacion:  Placa padre: Tipo adquisicion: Entidad</v>
      </c>
      <c r="G9523" s="5"/>
    </row>
    <row r="9524" spans="1:7" ht="58.5" customHeight="1" x14ac:dyDescent="0.25">
      <c r="A9524" s="5" t="str">
        <f>"H0005480"</f>
        <v>H0005480</v>
      </c>
      <c r="B9524" s="5" t="str">
        <f>"SILLA INTERLOCUTORA (FIJA) SIN BRAZOS"</f>
        <v>SILLA INTERLOCUTORA (FIJA) SIN BRAZOS</v>
      </c>
      <c r="C9524" s="6">
        <v>133980</v>
      </c>
      <c r="D9524" s="5"/>
      <c r="E9524" s="5" t="str">
        <f t="shared" si="485"/>
        <v>EPIDEMIOLOGIA-RAFAEL OLARTE</v>
      </c>
      <c r="F9524" s="5" t="str">
        <f>"Descripcion: SILLA INTERLOCUTORA PAÑO NEGRO Estado: Bueno Placa anterior: 000024646 Material: METALICO Color: NEGRO Referencia:  Observacion:  Placa padre: Tipo adquisicion: Entidad"</f>
        <v>Descripcion: SILLA INTERLOCUTORA PAÑO NEGRO Estado: Bueno Placa anterior: 000024646 Material: METALICO Color: NEGRO Referencia:  Observacion:  Placa padre: Tipo adquisicion: Entidad</v>
      </c>
      <c r="G9524" s="5"/>
    </row>
    <row r="9525" spans="1:7" ht="58.5" customHeight="1" x14ac:dyDescent="0.25">
      <c r="A9525" s="5" t="str">
        <f>"H0005483"</f>
        <v>H0005483</v>
      </c>
      <c r="B9525" s="5" t="str">
        <f>"SILLA INTERLOCUTORA (FIJA) SIN BRAZOS"</f>
        <v>SILLA INTERLOCUTORA (FIJA) SIN BRAZOS</v>
      </c>
      <c r="C9525" s="6">
        <v>133980</v>
      </c>
      <c r="D9525" s="5"/>
      <c r="E9525" s="5" t="str">
        <f t="shared" si="485"/>
        <v>EPIDEMIOLOGIA-RAFAEL OLARTE</v>
      </c>
      <c r="F9525" s="5" t="str">
        <f>"Descripcion: SILLA INTERLOCUTORA PAÑO NEGRO Estado: Bueno Placa anterior: 000024649 Material: METALICO Color: NEGRO Referencia:  Observacion:  Placa padre: Tipo adquisicion: Entidad"</f>
        <v>Descripcion: SILLA INTERLOCUTORA PAÑO NEGRO Estado: Bueno Placa anterior: 000024649 Material: METALICO Color: NEGRO Referencia:  Observacion:  Placa padre: Tipo adquisicion: Entidad</v>
      </c>
      <c r="G9525" s="5"/>
    </row>
    <row r="9526" spans="1:7" ht="58.5" customHeight="1" x14ac:dyDescent="0.25">
      <c r="A9526" s="5" t="str">
        <f>"H0005484"</f>
        <v>H0005484</v>
      </c>
      <c r="B9526" s="5" t="str">
        <f>"SILLA INTERLOCUTORA (FIJA) SIN BRAZOS"</f>
        <v>SILLA INTERLOCUTORA (FIJA) SIN BRAZOS</v>
      </c>
      <c r="C9526" s="6">
        <v>133980</v>
      </c>
      <c r="D9526" s="5"/>
      <c r="E9526" s="5" t="str">
        <f t="shared" si="485"/>
        <v>EPIDEMIOLOGIA-RAFAEL OLARTE</v>
      </c>
      <c r="F9526" s="5" t="str">
        <f>"Descripcion: SILLA INTERLOCUTORA PAÑO NEGRO Estado: Bueno Placa anterior: 000024651 Material: METALICO Color: NEGRO Referencia:  Observacion:  Placa padre: Tipo adquisicion: Entidad"</f>
        <v>Descripcion: SILLA INTERLOCUTORA PAÑO NEGRO Estado: Bueno Placa anterior: 000024651 Material: METALICO Color: NEGRO Referencia:  Observacion:  Placa padre: Tipo adquisicion: Entidad</v>
      </c>
      <c r="G9526" s="5"/>
    </row>
    <row r="9527" spans="1:7" ht="58.5" customHeight="1" x14ac:dyDescent="0.25">
      <c r="A9527" s="5" t="str">
        <f>"H0005674"</f>
        <v>H0005674</v>
      </c>
      <c r="B9527" s="5" t="str">
        <f>"ESCRITORIO METALICO 3 GAVETAS"</f>
        <v>ESCRITORIO METALICO 3 GAVETAS</v>
      </c>
      <c r="C9527" s="6">
        <v>22166</v>
      </c>
      <c r="D9527" s="5"/>
      <c r="E9527" s="5" t="str">
        <f t="shared" si="485"/>
        <v>EPIDEMIOLOGIA-RAFAEL OLARTE</v>
      </c>
      <c r="F9527" s="5" t="str">
        <f>"Descripcion:ESCRITORIO DE 3 GAVETAS Estado: Bueno Placa anterior: 000008361 Material: METALICO Y FORMICA Color: GRIS Y MARRON Referencia:  Observacion: ESCRITORIO TRES GAVETAS , CON SUPERFICIE EN FORMICA Placa padre:  Tipo adquisicion : Entidad"</f>
        <v>Descripcion:ESCRITORIO DE 3 GAVETAS Estado: Bueno Placa anterior: 000008361 Material: METALICO Y FORMICA Color: GRIS Y MARRON Referencia:  Observacion: ESCRITORIO TRES GAVETAS , CON SUPERFICIE EN FORMICA Placa padre:  Tipo adquisicion : Entidad</v>
      </c>
      <c r="G9527" s="5"/>
    </row>
    <row r="9528" spans="1:7" ht="58.5" customHeight="1" x14ac:dyDescent="0.25">
      <c r="A9528" s="5" t="str">
        <f>"H0010594"</f>
        <v>H0010594</v>
      </c>
      <c r="B9528" s="5" t="str">
        <f>"ESCRITORIO DE MADERA 2 GAVETAS"</f>
        <v>ESCRITORIO DE MADERA 2 GAVETAS</v>
      </c>
      <c r="C9528" s="6">
        <v>19745</v>
      </c>
      <c r="D9528" s="5"/>
      <c r="E9528" s="5" t="str">
        <f t="shared" si="485"/>
        <v>EPIDEMIOLOGIA-RAFAEL OLARTE</v>
      </c>
      <c r="F9528" s="5" t="str">
        <f>"Descripcion: ESCRITORIO DE MADERA 2 GAVETAS. CON VIDRIO EN LA CUBIERTA Estado: Bueno Placa anterior: 000002236 Material: MADERA Color: MIEL Referencia:  Observacion:  Placa padre: Tipo adquisicion: Entidad"</f>
        <v>Descripcion: ESCRITORIO DE MADERA 2 GAVETAS. CON VIDRIO EN LA CUBIERTA Estado: Bueno Placa anterior: 000002236 Material: MADERA Color: MIEL Referencia:  Observacion:  Placa padre: Tipo adquisicion: Entidad</v>
      </c>
      <c r="G9528" s="5"/>
    </row>
    <row r="9529" spans="1:7" ht="58.5" customHeight="1" x14ac:dyDescent="0.25">
      <c r="A9529" s="5" t="str">
        <f>"H0018029"</f>
        <v>H0018029</v>
      </c>
      <c r="B9529" s="5" t="str">
        <f>"MESA DE MADERA"</f>
        <v>MESA DE MADERA</v>
      </c>
      <c r="C9529" s="6">
        <v>110432</v>
      </c>
      <c r="D9529" s="5"/>
      <c r="E9529" s="5" t="str">
        <f t="shared" si="485"/>
        <v>EPIDEMIOLOGIA-RAFAEL OLARTE</v>
      </c>
      <c r="F9529" s="5" t="str">
        <f>"Descripcion: MESA AUXILIAR PARA IMPRESORA, SUPERFICIE ENCHAPADA EN FORMICA Estado: Bueno Placa anterior: 000001312 Material: MADERA Y FORMICA Color: BEIS Y CAFÉ CLARO Referencia:  Observacion: MESA DE MADERA PARA IMPRESORA Placa padre: Tipo adquisicion: E"&amp; "ntidad"</f>
        <v>Descripcion: MESA AUXILIAR PARA IMPRESORA, SUPERFICIE ENCHAPADA EN FORMICA Estado: Bueno Placa anterior: 000001312 Material: MADERA Y FORMICA Color: BEIS Y CAFÉ CLARO Referencia:  Observacion: MESA DE MADERA PARA IMPRESORA Placa padre: Tipo adquisicion: Entidad</v>
      </c>
      <c r="G9529" s="5"/>
    </row>
    <row r="9530" spans="1:7" ht="58.5" customHeight="1" x14ac:dyDescent="0.25">
      <c r="A9530" s="5" t="str">
        <f>"H0021294"</f>
        <v>H0021294</v>
      </c>
      <c r="B9530" s="5" t="str">
        <f>"MARTILLO PARA REFLEJOS"</f>
        <v>MARTILLO PARA REFLEJOS</v>
      </c>
      <c r="C9530" s="6">
        <v>2836</v>
      </c>
      <c r="D9530" s="5"/>
      <c r="E9530" s="5" t="str">
        <f t="shared" si="485"/>
        <v>EPIDEMIOLOGIA-RAFAEL OLARTE</v>
      </c>
      <c r="F9530" s="5" t="str">
        <f>"Descripcion: MARTILLO DE REFLEJOS Estado: Bueno Placa anterior: 000002824 Material: ACERO INOXIDABLE Color: PLATEADO Referencia:  Observacion:  Placa padre: Tipo adquisicion: Entidad"</f>
        <v>Descripcion: MARTILLO DE REFLEJOS Estado: Bueno Placa anterior: 000002824 Material: ACERO INOXIDABLE Color: PLATEADO Referencia:  Observacion:  Placa padre: Tipo adquisicion: Entidad</v>
      </c>
      <c r="G9530" s="5"/>
    </row>
    <row r="9531" spans="1:7" ht="58.5" customHeight="1" x14ac:dyDescent="0.25">
      <c r="A9531" s="5" t="str">
        <f>"H0021295"</f>
        <v>H0021295</v>
      </c>
      <c r="B9531" s="5" t="str">
        <f>"ESTANTE METALICO 6 ENTREPAÑOS"</f>
        <v>ESTANTE METALICO 6 ENTREPAÑOS</v>
      </c>
      <c r="C9531" s="6">
        <v>15811.55</v>
      </c>
      <c r="D9531" s="5"/>
      <c r="E9531" s="5" t="str">
        <f t="shared" si="485"/>
        <v>EPIDEMIOLOGIA-RAFAEL OLARTE</v>
      </c>
      <c r="F9531" s="5" t="str">
        <f>"Descripcion: ESTANTE METALICO Estado: Bueno Placa anterior: 000002861 Material: METALICO Color: GRIS Referencia:  Observacion:  Placa padre: Tipo adquisicion: Entidad"</f>
        <v>Descripcion: ESTANTE METALICO Estado: Bueno Placa anterior: 000002861 Material: METALICO Color: GRIS Referencia:  Observacion:  Placa padre: Tipo adquisicion: Entidad</v>
      </c>
      <c r="G9531" s="5"/>
    </row>
    <row r="9532" spans="1:7" ht="58.5" customHeight="1" x14ac:dyDescent="0.25">
      <c r="A9532" s="5" t="str">
        <f>"H0021299"</f>
        <v>H0021299</v>
      </c>
      <c r="B9532" s="5" t="str">
        <f>"ESTANTE METALICO 6 ENTREPAÑOS"</f>
        <v>ESTANTE METALICO 6 ENTREPAÑOS</v>
      </c>
      <c r="C9532" s="6">
        <v>15811.55</v>
      </c>
      <c r="D9532" s="5"/>
      <c r="E9532" s="5" t="str">
        <f t="shared" si="485"/>
        <v>EPIDEMIOLOGIA-RAFAEL OLARTE</v>
      </c>
      <c r="F9532" s="5" t="str">
        <f>"Descripcion: ESTANTE METALICO Estado: Bueno Placa anterior: 000002862 Material: METALICO Color: GRIS Referencia:  Observacion: UBICADO EN LA BODEGA PISO 11 Placa padre: Tipo adquisicion: Entidad"</f>
        <v>Descripcion: ESTANTE METALICO Estado: Bueno Placa anterior: 000002862 Material: METALICO Color: GRIS Referencia:  Observacion: UBICADO EN LA BODEGA PISO 11 Placa padre: Tipo adquisicion: Entidad</v>
      </c>
      <c r="G9532" s="5"/>
    </row>
    <row r="9533" spans="1:7" ht="58.5" customHeight="1" x14ac:dyDescent="0.25">
      <c r="A9533" s="5" t="str">
        <f>"H0021430"</f>
        <v>H0021430</v>
      </c>
      <c r="B9533" s="5" t="str">
        <f>"EQUIPO DE AIRE ACONDICIONADO  MINISPLIT 12000 BTU INVERTER"</f>
        <v>EQUIPO DE AIRE ACONDICIONADO  MINISPLIT 12000 BTU INVERTER</v>
      </c>
      <c r="C9533" s="6">
        <v>1856000</v>
      </c>
      <c r="D9533" s="5" t="s">
        <v>176</v>
      </c>
      <c r="E9533" s="5" t="str">
        <f t="shared" si="485"/>
        <v>EPIDEMIOLOGIA-RAFAEL OLARTE</v>
      </c>
      <c r="F9533" s="5" t="str">
        <f>"SERIAL DE LA CONDESADORA 602HAJTQ1676"</f>
        <v>SERIAL DE LA CONDESADORA 602HAJTQ1676</v>
      </c>
      <c r="G9533" s="5" t="str">
        <f>"VM122CE"</f>
        <v>VM122CE</v>
      </c>
    </row>
    <row r="9534" spans="1:7" ht="58.5" customHeight="1" x14ac:dyDescent="0.25">
      <c r="A9534" s="5" t="str">
        <f>"H0022532"</f>
        <v>H0022532</v>
      </c>
      <c r="B9534" s="5" t="str">
        <f>"SILLA PLASTICA CON BRAZOS"</f>
        <v>SILLA PLASTICA CON BRAZOS</v>
      </c>
      <c r="C9534" s="6">
        <v>12240.32</v>
      </c>
      <c r="D9534" s="5"/>
      <c r="E9534" s="5" t="str">
        <f t="shared" si="485"/>
        <v>EPIDEMIOLOGIA-RAFAEL OLARTE</v>
      </c>
      <c r="F9534" s="5" t="str">
        <f>"Descripcion:SILLA PLASTICA BLANCA Estado: Bueno Placa anterior: 000023588 Material: PLASTICO Color: BLANCO Referencia:  Observacion:  Placa padre:  Tipo adquisicion : Entidad"</f>
        <v>Descripcion:SILLA PLASTICA BLANCA Estado: Bueno Placa anterior: 000023588 Material: PLASTICO Color: BLANCO Referencia:  Observacion:  Placa padre:  Tipo adquisicion : Entidad</v>
      </c>
      <c r="G9534" s="5"/>
    </row>
    <row r="9535" spans="1:7" ht="58.5" customHeight="1" x14ac:dyDescent="0.25">
      <c r="A9535" s="5" t="str">
        <f>"H0024504"</f>
        <v>H0024504</v>
      </c>
      <c r="B953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535" s="6">
        <v>2600000</v>
      </c>
      <c r="D9535" s="5" t="s">
        <v>36</v>
      </c>
      <c r="E9535" s="5" t="str">
        <f t="shared" si="485"/>
        <v>EPIDEMIOLOGIA-RAFAEL OLARTE</v>
      </c>
      <c r="F9535" s="5"/>
      <c r="G9535" s="5"/>
    </row>
    <row r="9536" spans="1:7" ht="58.5" customHeight="1" x14ac:dyDescent="0.25">
      <c r="A9536" s="5" t="str">
        <f>"H0025397"</f>
        <v>H0025397</v>
      </c>
      <c r="B953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536" s="6">
        <v>312156</v>
      </c>
      <c r="D9536" s="5" t="s">
        <v>10</v>
      </c>
      <c r="E9536" s="5" t="str">
        <f t="shared" si="485"/>
        <v>EPIDEMIOLOGIA-RAFAEL OLARTE</v>
      </c>
      <c r="F9536" s="5"/>
      <c r="G9536" s="5"/>
    </row>
    <row r="9537" spans="1:7" ht="58.5" customHeight="1" x14ac:dyDescent="0.25">
      <c r="A9537" s="5" t="str">
        <f>"H0025405"</f>
        <v>H0025405</v>
      </c>
      <c r="B953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537" s="6">
        <v>312156</v>
      </c>
      <c r="D9537" s="5" t="s">
        <v>10</v>
      </c>
      <c r="E9537" s="5" t="str">
        <f t="shared" si="485"/>
        <v>EPIDEMIOLOGIA-RAFAEL OLARTE</v>
      </c>
      <c r="F9537" s="5"/>
      <c r="G9537" s="5"/>
    </row>
    <row r="9538" spans="1:7" ht="58.5" customHeight="1" x14ac:dyDescent="0.25">
      <c r="A9538" s="5" t="str">
        <f>"H0025425"</f>
        <v>H0025425</v>
      </c>
      <c r="B953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538" s="6">
        <v>312156</v>
      </c>
      <c r="D9538" s="5" t="s">
        <v>10</v>
      </c>
      <c r="E9538" s="5" t="str">
        <f t="shared" si="485"/>
        <v>EPIDEMIOLOGIA-RAFAEL OLARTE</v>
      </c>
      <c r="F9538" s="5"/>
      <c r="G9538" s="5"/>
    </row>
    <row r="9539" spans="1:7" ht="58.5" customHeight="1" x14ac:dyDescent="0.25">
      <c r="A9539" s="5" t="str">
        <f>"H0027198"</f>
        <v>H0027198</v>
      </c>
      <c r="B9539" s="5" t="str">
        <f t="shared" ref="B9539:B9546" si="486">"EQUIPO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39" s="6">
        <v>2641800</v>
      </c>
      <c r="D9539" s="5" t="s">
        <v>38</v>
      </c>
      <c r="E9539" s="5" t="str">
        <f t="shared" si="485"/>
        <v>EPIDEMIOLOGIA-RAFAEL OLARTE</v>
      </c>
      <c r="F9539" s="5"/>
      <c r="G9539" s="5"/>
    </row>
    <row r="9540" spans="1:7" ht="58.5" customHeight="1" x14ac:dyDescent="0.25">
      <c r="A9540" s="5" t="str">
        <f>"H0027236"</f>
        <v>H0027236</v>
      </c>
      <c r="B9540"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0" s="6">
        <v>2641800</v>
      </c>
      <c r="D9540" s="5" t="s">
        <v>38</v>
      </c>
      <c r="E9540" s="5" t="str">
        <f t="shared" si="485"/>
        <v>EPIDEMIOLOGIA-RAFAEL OLARTE</v>
      </c>
      <c r="F9540" s="5"/>
      <c r="G9540" s="5"/>
    </row>
    <row r="9541" spans="1:7" ht="58.5" customHeight="1" x14ac:dyDescent="0.25">
      <c r="A9541" s="5" t="str">
        <f>"H0027237"</f>
        <v>H0027237</v>
      </c>
      <c r="B9541"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1" s="6">
        <v>2641800</v>
      </c>
      <c r="D9541" s="5" t="s">
        <v>38</v>
      </c>
      <c r="E9541" s="5" t="str">
        <f t="shared" si="485"/>
        <v>EPIDEMIOLOGIA-RAFAEL OLARTE</v>
      </c>
      <c r="F9541" s="5"/>
      <c r="G9541" s="5"/>
    </row>
    <row r="9542" spans="1:7" ht="58.5" customHeight="1" x14ac:dyDescent="0.25">
      <c r="A9542" s="5" t="str">
        <f>"H0027238"</f>
        <v>H0027238</v>
      </c>
      <c r="B9542"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2" s="6">
        <v>2641800</v>
      </c>
      <c r="D9542" s="5" t="s">
        <v>386</v>
      </c>
      <c r="E9542" s="5" t="str">
        <f t="shared" si="485"/>
        <v>EPIDEMIOLOGIA-RAFAEL OLARTE</v>
      </c>
      <c r="F9542" s="5"/>
      <c r="G9542" s="5"/>
    </row>
    <row r="9543" spans="1:7" ht="58.5" customHeight="1" x14ac:dyDescent="0.25">
      <c r="A9543" s="5" t="str">
        <f>"H0027240"</f>
        <v>H0027240</v>
      </c>
      <c r="B9543"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3" s="6">
        <v>2641800</v>
      </c>
      <c r="D9543" s="5" t="s">
        <v>38</v>
      </c>
      <c r="E9543" s="5" t="str">
        <f t="shared" si="485"/>
        <v>EPIDEMIOLOGIA-RAFAEL OLARTE</v>
      </c>
      <c r="F9543" s="5"/>
      <c r="G9543" s="5"/>
    </row>
    <row r="9544" spans="1:7" ht="58.5" customHeight="1" x14ac:dyDescent="0.25">
      <c r="A9544" s="5" t="str">
        <f>"H0027241"</f>
        <v>H0027241</v>
      </c>
      <c r="B9544"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4" s="6">
        <v>2641800</v>
      </c>
      <c r="D9544" s="5" t="s">
        <v>38</v>
      </c>
      <c r="E9544" s="5" t="str">
        <f t="shared" si="485"/>
        <v>EPIDEMIOLOGIA-RAFAEL OLARTE</v>
      </c>
      <c r="F9544" s="5"/>
      <c r="G9544" s="5"/>
    </row>
    <row r="9545" spans="1:7" ht="58.5" customHeight="1" x14ac:dyDescent="0.25">
      <c r="A9545" s="5" t="str">
        <f>"H0027242"</f>
        <v>H0027242</v>
      </c>
      <c r="B9545"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5" s="6">
        <v>2641800</v>
      </c>
      <c r="D9545" s="5" t="s">
        <v>38</v>
      </c>
      <c r="E9545" s="5" t="str">
        <f t="shared" si="485"/>
        <v>EPIDEMIOLOGIA-RAFAEL OLARTE</v>
      </c>
      <c r="F9545" s="5"/>
      <c r="G9545" s="5"/>
    </row>
    <row r="9546" spans="1:7" ht="58.5" customHeight="1" x14ac:dyDescent="0.25">
      <c r="A9546" s="5" t="str">
        <f>"H0027243"</f>
        <v>H0027243</v>
      </c>
      <c r="B9546" s="5" t="str">
        <f t="shared" si="486"/>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546" s="6">
        <v>2641800</v>
      </c>
      <c r="D9546" s="5" t="s">
        <v>38</v>
      </c>
      <c r="E9546" s="5" t="str">
        <f t="shared" si="485"/>
        <v>EPIDEMIOLOGIA-RAFAEL OLARTE</v>
      </c>
      <c r="F9546" s="5"/>
      <c r="G9546" s="5"/>
    </row>
    <row r="9547" spans="1:7" ht="58.5" customHeight="1" x14ac:dyDescent="0.25">
      <c r="A9547" s="5" t="str">
        <f>"H0027364"</f>
        <v>H0027364</v>
      </c>
      <c r="B9547" s="5" t="str">
        <f>"LECTOR DE HUELLAS DIGITALES"</f>
        <v>LECTOR DE HUELLAS DIGITALES</v>
      </c>
      <c r="C9547" s="6">
        <v>234000.41</v>
      </c>
      <c r="D9547" s="5" t="s">
        <v>83</v>
      </c>
      <c r="E9547" s="5" t="str">
        <f t="shared" si="485"/>
        <v>EPIDEMIOLOGIA-RAFAEL OLARTE</v>
      </c>
      <c r="F9547" s="5"/>
      <c r="G9547" s="5"/>
    </row>
    <row r="9548" spans="1:7" ht="58.5" customHeight="1" x14ac:dyDescent="0.25">
      <c r="A9548" s="5" t="str">
        <f>"H0028751"</f>
        <v>H0028751</v>
      </c>
      <c r="B9548" s="5" t="str">
        <f>"NEVERA MINI BAR DE 93 LT"</f>
        <v>NEVERA MINI BAR DE 93 LT</v>
      </c>
      <c r="C9548" s="6">
        <v>479900.02</v>
      </c>
      <c r="D9548" s="5" t="s">
        <v>39</v>
      </c>
      <c r="E9548" s="5" t="str">
        <f t="shared" si="485"/>
        <v>EPIDEMIOLOGIA-RAFAEL OLARTE</v>
      </c>
      <c r="F9548" s="5"/>
      <c r="G9548" s="5"/>
    </row>
    <row r="9549" spans="1:7" ht="58.5" customHeight="1" x14ac:dyDescent="0.25">
      <c r="A9549" s="5" t="str">
        <f>"H0028768"</f>
        <v>H0028768</v>
      </c>
      <c r="B9549" s="5" t="str">
        <f>"SILLA HERGONOMICA CON SISTEMA HIDRAULICO"</f>
        <v>SILLA HERGONOMICA CON SISTEMA HIDRAULICO</v>
      </c>
      <c r="C9549" s="6">
        <v>174900</v>
      </c>
      <c r="D9549" s="5" t="s">
        <v>39</v>
      </c>
      <c r="E9549" s="5" t="str">
        <f t="shared" si="485"/>
        <v>EPIDEMIOLOGIA-RAFAEL OLARTE</v>
      </c>
      <c r="F9549" s="5"/>
      <c r="G9549" s="5"/>
    </row>
    <row r="9550" spans="1:7" ht="58.5" customHeight="1" x14ac:dyDescent="0.25">
      <c r="A9550" s="5" t="str">
        <f>"H0028786"</f>
        <v>H0028786</v>
      </c>
      <c r="B9550" s="5" t="str">
        <f>"SILLA HERGONOMICA CON SISTEMA HIDRAULICO"</f>
        <v>SILLA HERGONOMICA CON SISTEMA HIDRAULICO</v>
      </c>
      <c r="C9550" s="6">
        <v>174900</v>
      </c>
      <c r="D9550" s="5" t="s">
        <v>39</v>
      </c>
      <c r="E9550" s="5" t="str">
        <f t="shared" si="485"/>
        <v>EPIDEMIOLOGIA-RAFAEL OLARTE</v>
      </c>
      <c r="F9550" s="5"/>
      <c r="G9550" s="5"/>
    </row>
    <row r="9551" spans="1:7" ht="58.5" customHeight="1" x14ac:dyDescent="0.25">
      <c r="A9551" s="5" t="str">
        <f>"H0029308"</f>
        <v>H0029308</v>
      </c>
      <c r="B9551" s="5" t="str">
        <f>"SILLA HERGONOMICA CON SISTEMA HIDRAULICO"</f>
        <v>SILLA HERGONOMICA CON SISTEMA HIDRAULICO</v>
      </c>
      <c r="C9551" s="6">
        <v>174900</v>
      </c>
      <c r="D9551" s="5" t="s">
        <v>89</v>
      </c>
      <c r="E9551" s="5" t="str">
        <f t="shared" si="485"/>
        <v>EPIDEMIOLOGIA-RAFAEL OLARTE</v>
      </c>
      <c r="F9551" s="5"/>
      <c r="G9551" s="5"/>
    </row>
    <row r="9552" spans="1:7" ht="58.5" customHeight="1" x14ac:dyDescent="0.25">
      <c r="A9552" s="5" t="str">
        <f>"H0029390"</f>
        <v>H0029390</v>
      </c>
      <c r="B9552" s="5" t="str">
        <f>"SILLA HERGONOMICA CON SISTEMA HIDRAULICO"</f>
        <v>SILLA HERGONOMICA CON SISTEMA HIDRAULICO</v>
      </c>
      <c r="C9552" s="6">
        <v>174900</v>
      </c>
      <c r="D9552" s="5" t="s">
        <v>89</v>
      </c>
      <c r="E9552" s="5" t="str">
        <f t="shared" ref="E9552:E9583" si="487">"EPIDEMIOLOGIA-RAFAEL OLARTE"</f>
        <v>EPIDEMIOLOGIA-RAFAEL OLARTE</v>
      </c>
      <c r="F9552" s="5"/>
      <c r="G9552" s="5"/>
    </row>
    <row r="9553" spans="1:7" ht="58.5" customHeight="1" x14ac:dyDescent="0.25">
      <c r="A9553" s="5" t="str">
        <f>"H0029391"</f>
        <v>H0029391</v>
      </c>
      <c r="B9553" s="5" t="str">
        <f>"SILLA HERGONOMICA CON SISTEMA HIDRAULICO"</f>
        <v>SILLA HERGONOMICA CON SISTEMA HIDRAULICO</v>
      </c>
      <c r="C9553" s="6">
        <v>174900</v>
      </c>
      <c r="D9553" s="5" t="s">
        <v>89</v>
      </c>
      <c r="E9553" s="5" t="str">
        <f t="shared" si="487"/>
        <v>EPIDEMIOLOGIA-RAFAEL OLARTE</v>
      </c>
      <c r="F9553" s="5"/>
      <c r="G9553" s="5"/>
    </row>
    <row r="9554" spans="1:7" ht="58.5" customHeight="1" x14ac:dyDescent="0.25">
      <c r="A9554" s="5" t="str">
        <f>"H0029520"</f>
        <v>H0029520</v>
      </c>
      <c r="B9554" s="5" t="str">
        <f>"MONITOR LED"</f>
        <v>MONITOR LED</v>
      </c>
      <c r="C9554" s="6">
        <v>283220</v>
      </c>
      <c r="D9554" s="5" t="s">
        <v>14</v>
      </c>
      <c r="E9554" s="5" t="str">
        <f t="shared" si="487"/>
        <v>EPIDEMIOLOGIA-RAFAEL OLARTE</v>
      </c>
      <c r="F9554" s="5"/>
      <c r="G9554" s="5"/>
    </row>
    <row r="9555" spans="1:7" ht="58.5" customHeight="1" x14ac:dyDescent="0.25">
      <c r="A9555" s="5" t="str">
        <f>"H0029727"</f>
        <v>H0029727</v>
      </c>
      <c r="B9555" s="5" t="s">
        <v>94</v>
      </c>
      <c r="C9555" s="6">
        <v>148999.9</v>
      </c>
      <c r="D9555" s="5" t="s">
        <v>93</v>
      </c>
      <c r="E9555" s="5" t="str">
        <f t="shared" si="487"/>
        <v>EPIDEMIOLOGIA-RAFAEL OLARTE</v>
      </c>
      <c r="F9555" s="5"/>
      <c r="G9555" s="5"/>
    </row>
    <row r="9556" spans="1:7" ht="58.5" customHeight="1" x14ac:dyDescent="0.25">
      <c r="A9556" s="5" t="str">
        <f>"H0030162"</f>
        <v>H0030162</v>
      </c>
      <c r="B955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556" s="6">
        <v>252400</v>
      </c>
      <c r="D9556" s="5" t="s">
        <v>190</v>
      </c>
      <c r="E9556" s="5" t="str">
        <f t="shared" si="487"/>
        <v>EPIDEMIOLOGIA-RAFAEL OLARTE</v>
      </c>
      <c r="F9556" s="5"/>
      <c r="G9556" s="5"/>
    </row>
    <row r="9557" spans="1:7" ht="58.5" customHeight="1" x14ac:dyDescent="0.25">
      <c r="A9557" s="5" t="str">
        <f>"H0030163"</f>
        <v>H0030163</v>
      </c>
      <c r="B955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557" s="6">
        <v>252400</v>
      </c>
      <c r="D9557" s="5" t="s">
        <v>190</v>
      </c>
      <c r="E9557" s="5" t="str">
        <f t="shared" si="487"/>
        <v>EPIDEMIOLOGIA-RAFAEL OLARTE</v>
      </c>
      <c r="F9557" s="5"/>
      <c r="G9557" s="5"/>
    </row>
    <row r="9558" spans="1:7" ht="58.5" customHeight="1" x14ac:dyDescent="0.25">
      <c r="A9558" s="5" t="str">
        <f>"H0030164"</f>
        <v>H0030164</v>
      </c>
      <c r="B955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558" s="6">
        <v>252400</v>
      </c>
      <c r="D9558" s="5" t="s">
        <v>190</v>
      </c>
      <c r="E9558" s="5" t="str">
        <f t="shared" si="487"/>
        <v>EPIDEMIOLOGIA-RAFAEL OLARTE</v>
      </c>
      <c r="F9558" s="5"/>
      <c r="G9558" s="5"/>
    </row>
    <row r="9559" spans="1:7" ht="58.5" customHeight="1" x14ac:dyDescent="0.25">
      <c r="A9559" s="5" t="str">
        <f>"H0030166"</f>
        <v>H0030166</v>
      </c>
      <c r="B955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9559" s="6">
        <v>252400</v>
      </c>
      <c r="D9559" s="5" t="s">
        <v>190</v>
      </c>
      <c r="E9559" s="5" t="str">
        <f t="shared" si="487"/>
        <v>EPIDEMIOLOGIA-RAFAEL OLARTE</v>
      </c>
      <c r="F9559" s="5"/>
      <c r="G9559" s="5"/>
    </row>
    <row r="9560" spans="1:7" ht="58.5" customHeight="1" x14ac:dyDescent="0.25">
      <c r="A9560" s="5" t="str">
        <f>"H0031321"</f>
        <v>H0031321</v>
      </c>
      <c r="B9560" s="5" t="str">
        <f>"COMPUTADOR TODO EN UNO LENOVO V410Z Ci5 4GBW 10 PRO (CODIGO DONACION)"</f>
        <v>COMPUTADOR TODO EN UNO LENOVO V410Z Ci5 4GBW 10 PRO (CODIGO DONACION)</v>
      </c>
      <c r="C9560" s="6">
        <v>3449215</v>
      </c>
      <c r="D9560" s="5" t="s">
        <v>104</v>
      </c>
      <c r="E9560" s="5" t="str">
        <f t="shared" si="487"/>
        <v>EPIDEMIOLOGIA-RAFAEL OLARTE</v>
      </c>
      <c r="F9560" s="5"/>
      <c r="G9560" s="5" t="str">
        <f>"V410Z"</f>
        <v>V410Z</v>
      </c>
    </row>
    <row r="9561" spans="1:7" ht="58.5" customHeight="1" x14ac:dyDescent="0.25">
      <c r="A9561" s="5" t="str">
        <f>"H0031459"</f>
        <v>H0031459</v>
      </c>
      <c r="B956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9561" s="6">
        <v>3209500</v>
      </c>
      <c r="D9561" s="5" t="s">
        <v>16</v>
      </c>
      <c r="E9561" s="5" t="str">
        <f t="shared" si="487"/>
        <v>EPIDEMIOLOGIA-RAFAEL OLARTE</v>
      </c>
      <c r="F9561" s="5"/>
      <c r="G9561" s="5"/>
    </row>
    <row r="9562" spans="1:7" ht="58.5" customHeight="1" x14ac:dyDescent="0.25">
      <c r="A9562" s="5" t="str">
        <f>"H0031897"</f>
        <v>H0031897</v>
      </c>
      <c r="B9562"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9562" s="6">
        <v>2647750</v>
      </c>
      <c r="D9562" s="5" t="s">
        <v>44</v>
      </c>
      <c r="E9562" s="5" t="str">
        <f t="shared" si="487"/>
        <v>EPIDEMIOLOGIA-RAFAEL OLARTE</v>
      </c>
      <c r="F9562" s="5"/>
      <c r="G9562" s="5" t="str">
        <f>"DS-870"</f>
        <v>DS-870</v>
      </c>
    </row>
    <row r="9563" spans="1:7" ht="58.5" customHeight="1" x14ac:dyDescent="0.25">
      <c r="A9563" s="5" t="str">
        <f>"H0032413"</f>
        <v>H0032413</v>
      </c>
      <c r="B9563" s="5" t="str">
        <f>"biombo de dos cuerpos (DONACION)"</f>
        <v>biombo de dos cuerpos (DONACION)</v>
      </c>
      <c r="C9563" s="6">
        <v>325000</v>
      </c>
      <c r="D9563" s="5" t="s">
        <v>111</v>
      </c>
      <c r="E9563" s="5" t="str">
        <f t="shared" si="487"/>
        <v>EPIDEMIOLOGIA-RAFAEL OLARTE</v>
      </c>
      <c r="F9563" s="5"/>
      <c r="G9563" s="5"/>
    </row>
    <row r="9564" spans="1:7" ht="58.5" customHeight="1" x14ac:dyDescent="0.25">
      <c r="A9564" s="5" t="str">
        <f>"H0032866"</f>
        <v>H0032866</v>
      </c>
      <c r="B9564"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9564" s="6">
        <v>5604900</v>
      </c>
      <c r="D9564" s="5" t="s">
        <v>116</v>
      </c>
      <c r="E9564" s="5" t="str">
        <f t="shared" si="487"/>
        <v>EPIDEMIOLOGIA-RAFAEL OLARTE</v>
      </c>
      <c r="F9564" s="5"/>
      <c r="G9564" s="5"/>
    </row>
    <row r="9565" spans="1:7" ht="58.5" customHeight="1" x14ac:dyDescent="0.25">
      <c r="A9565" s="5" t="str">
        <f>"H0032888"</f>
        <v>H0032888</v>
      </c>
      <c r="B956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9565" s="6">
        <v>4289950</v>
      </c>
      <c r="D9565" s="5" t="s">
        <v>117</v>
      </c>
      <c r="E9565" s="5" t="str">
        <f t="shared" si="487"/>
        <v>EPIDEMIOLOGIA-RAFAEL OLARTE</v>
      </c>
      <c r="F9565" s="5"/>
      <c r="G9565" s="5"/>
    </row>
    <row r="9566" spans="1:7" ht="58.5" customHeight="1" x14ac:dyDescent="0.25">
      <c r="A9566" s="5" t="str">
        <f>"H0032994"</f>
        <v>H0032994</v>
      </c>
      <c r="B9566" s="5" t="str">
        <f>"termometro infrarrojo (DONACION)"</f>
        <v>termometro infrarrojo (DONACION)</v>
      </c>
      <c r="C9566" s="6">
        <v>251100</v>
      </c>
      <c r="D9566" s="5" t="s">
        <v>503</v>
      </c>
      <c r="E9566" s="5" t="str">
        <f t="shared" si="487"/>
        <v>EPIDEMIOLOGIA-RAFAEL OLARTE</v>
      </c>
      <c r="F9566" s="5"/>
      <c r="G9566" s="5"/>
    </row>
    <row r="9567" spans="1:7" ht="58.5" customHeight="1" x14ac:dyDescent="0.25">
      <c r="A9567" s="5" t="str">
        <f>"H0034456"</f>
        <v>H0034456</v>
      </c>
      <c r="B9567"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9567" s="6">
        <v>5604900</v>
      </c>
      <c r="D9567" s="5" t="s">
        <v>192</v>
      </c>
      <c r="E9567" s="5" t="str">
        <f t="shared" si="487"/>
        <v>EPIDEMIOLOGIA-RAFAEL OLARTE</v>
      </c>
      <c r="F9567" s="5"/>
      <c r="G9567" s="5"/>
    </row>
    <row r="9568" spans="1:7" ht="58.5" customHeight="1" x14ac:dyDescent="0.25">
      <c r="A9568" s="5" t="str">
        <f>"H0035023"</f>
        <v>H0035023</v>
      </c>
      <c r="B956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9568" s="6">
        <v>5289550</v>
      </c>
      <c r="D9568" s="5" t="s">
        <v>22</v>
      </c>
      <c r="E9568" s="5" t="str">
        <f t="shared" si="487"/>
        <v>EPIDEMIOLOGIA-RAFAEL OLARTE</v>
      </c>
      <c r="F9568" s="5"/>
      <c r="G9568" s="5"/>
    </row>
    <row r="9569" spans="1:7" ht="58.5" customHeight="1" x14ac:dyDescent="0.25">
      <c r="A9569" s="5" t="str">
        <f>"H0035034"</f>
        <v>H0035034</v>
      </c>
      <c r="B9569"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9569" s="6">
        <v>5289550</v>
      </c>
      <c r="D9569" s="5" t="s">
        <v>22</v>
      </c>
      <c r="E9569" s="5" t="str">
        <f t="shared" si="487"/>
        <v>EPIDEMIOLOGIA-RAFAEL OLARTE</v>
      </c>
      <c r="F9569" s="5"/>
      <c r="G9569" s="5"/>
    </row>
    <row r="9570" spans="1:7" ht="58.5" customHeight="1" x14ac:dyDescent="0.25">
      <c r="A9570" s="5" t="str">
        <f>"H0035042"</f>
        <v>H0035042</v>
      </c>
      <c r="B9570"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9570" s="6">
        <v>5289550</v>
      </c>
      <c r="D9570" s="5" t="s">
        <v>22</v>
      </c>
      <c r="E9570" s="5" t="str">
        <f t="shared" si="487"/>
        <v>EPIDEMIOLOGIA-RAFAEL OLARTE</v>
      </c>
      <c r="F9570" s="5"/>
      <c r="G9570" s="5"/>
    </row>
    <row r="9571" spans="1:7" ht="58.5" customHeight="1" x14ac:dyDescent="0.25">
      <c r="A9571" s="5" t="str">
        <f>"H0035046"</f>
        <v>H0035046</v>
      </c>
      <c r="B9571"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9571" s="6">
        <v>5289550</v>
      </c>
      <c r="D9571" s="5" t="s">
        <v>22</v>
      </c>
      <c r="E9571" s="5" t="str">
        <f t="shared" si="487"/>
        <v>EPIDEMIOLOGIA-RAFAEL OLARTE</v>
      </c>
      <c r="F9571" s="5"/>
      <c r="G9571" s="5"/>
    </row>
    <row r="9572" spans="1:7" ht="58.5" customHeight="1" x14ac:dyDescent="0.25">
      <c r="A9572" s="5" t="str">
        <f>"H0035096"</f>
        <v>H0035096</v>
      </c>
      <c r="B9572" s="5" t="str">
        <f>"VENTILADOR DE PARED"</f>
        <v>VENTILADOR DE PARED</v>
      </c>
      <c r="C9572" s="6">
        <v>130000.37</v>
      </c>
      <c r="D9572" s="5" t="s">
        <v>25</v>
      </c>
      <c r="E9572" s="5" t="str">
        <f t="shared" si="487"/>
        <v>EPIDEMIOLOGIA-RAFAEL OLARTE</v>
      </c>
      <c r="F9572" s="5"/>
      <c r="G9572" s="5"/>
    </row>
    <row r="9573" spans="1:7" ht="58.5" customHeight="1" x14ac:dyDescent="0.25">
      <c r="A9573" s="5" t="str">
        <f>"H0035111"</f>
        <v>H0035111</v>
      </c>
      <c r="B9573" s="5" t="str">
        <f>"VENTILADOR DE PARED"</f>
        <v>VENTILADOR DE PARED</v>
      </c>
      <c r="C9573" s="6">
        <v>130000.37</v>
      </c>
      <c r="D9573" s="5" t="s">
        <v>25</v>
      </c>
      <c r="E9573" s="5" t="str">
        <f t="shared" si="487"/>
        <v>EPIDEMIOLOGIA-RAFAEL OLARTE</v>
      </c>
      <c r="F9573" s="5"/>
      <c r="G9573" s="5"/>
    </row>
    <row r="9574" spans="1:7" ht="58.5" customHeight="1" x14ac:dyDescent="0.25">
      <c r="A9574" s="5" t="str">
        <f>"H0035169"</f>
        <v>H0035169</v>
      </c>
      <c r="B9574" s="5" t="str">
        <f>"CONGELADOR ELECTROLUX EFCC32C3HQW HORIZONTAL BLANCO 318 L"</f>
        <v>CONGELADOR ELECTROLUX EFCC32C3HQW HORIZONTAL BLANCO 318 L</v>
      </c>
      <c r="C9574" s="6">
        <v>2832200</v>
      </c>
      <c r="D9574" s="5" t="s">
        <v>527</v>
      </c>
      <c r="E9574" s="5" t="str">
        <f t="shared" si="487"/>
        <v>EPIDEMIOLOGIA-RAFAEL OLARTE</v>
      </c>
      <c r="F9574" s="5"/>
      <c r="G9574" s="5"/>
    </row>
    <row r="9575" spans="1:7" ht="58.5" customHeight="1" x14ac:dyDescent="0.25">
      <c r="A9575" s="5" t="str">
        <f>"H0035170"</f>
        <v>H0035170</v>
      </c>
      <c r="B9575" s="5" t="str">
        <f>"TERMO GIOSTYLE TRANSPORTADOR DE VACUNAS DE 2.6 LITROS"</f>
        <v>TERMO GIOSTYLE TRANSPORTADOR DE VACUNAS DE 2.6 LITROS</v>
      </c>
      <c r="C9575" s="6">
        <v>892500</v>
      </c>
      <c r="D9575" s="5" t="s">
        <v>527</v>
      </c>
      <c r="E9575" s="5" t="str">
        <f t="shared" si="487"/>
        <v>EPIDEMIOLOGIA-RAFAEL OLARTE</v>
      </c>
      <c r="F9575" s="5"/>
      <c r="G9575" s="5"/>
    </row>
    <row r="9576" spans="1:7" ht="58.5" customHeight="1" x14ac:dyDescent="0.25">
      <c r="A9576" s="5" t="str">
        <f>"H0035171"</f>
        <v>H0035171</v>
      </c>
      <c r="B9576" s="5" t="str">
        <f>"TERMO GIOSTYLE TRANSPORTADOR DE VACUNAS DE 2.6 LITROS"</f>
        <v>TERMO GIOSTYLE TRANSPORTADOR DE VACUNAS DE 2.6 LITROS</v>
      </c>
      <c r="C9576" s="6">
        <v>892500</v>
      </c>
      <c r="D9576" s="5" t="s">
        <v>527</v>
      </c>
      <c r="E9576" s="5" t="str">
        <f t="shared" si="487"/>
        <v>EPIDEMIOLOGIA-RAFAEL OLARTE</v>
      </c>
      <c r="F9576" s="5"/>
      <c r="G9576" s="5"/>
    </row>
    <row r="9577" spans="1:7" ht="58.5" customHeight="1" x14ac:dyDescent="0.25">
      <c r="A9577" s="5" t="str">
        <f>"H0035172"</f>
        <v>H0035172</v>
      </c>
      <c r="B9577" s="5" t="str">
        <f>"TERMO GIOSTYLE TRANSPORTADOR DE VACUNAS DE 2.6 LITROS"</f>
        <v>TERMO GIOSTYLE TRANSPORTADOR DE VACUNAS DE 2.6 LITROS</v>
      </c>
      <c r="C9577" s="6">
        <v>892500</v>
      </c>
      <c r="D9577" s="5" t="s">
        <v>527</v>
      </c>
      <c r="E9577" s="5" t="str">
        <f t="shared" si="487"/>
        <v>EPIDEMIOLOGIA-RAFAEL OLARTE</v>
      </c>
      <c r="F9577" s="5"/>
      <c r="G9577" s="5"/>
    </row>
    <row r="9578" spans="1:7" ht="58.5" customHeight="1" x14ac:dyDescent="0.25">
      <c r="A9578" s="5" t="str">
        <f>"H0035173"</f>
        <v>H0035173</v>
      </c>
      <c r="B9578" s="5" t="str">
        <f>"TERMO GIOSTYLE TRANSPORTADOR DE VACUNAS DE 2.6 LITROS"</f>
        <v>TERMO GIOSTYLE TRANSPORTADOR DE VACUNAS DE 2.6 LITROS</v>
      </c>
      <c r="C9578" s="6">
        <v>892500</v>
      </c>
      <c r="D9578" s="5" t="s">
        <v>527</v>
      </c>
      <c r="E9578" s="5" t="str">
        <f t="shared" si="487"/>
        <v>EPIDEMIOLOGIA-RAFAEL OLARTE</v>
      </c>
      <c r="F9578" s="5"/>
      <c r="G9578" s="5"/>
    </row>
    <row r="9579" spans="1:7" ht="58.5" customHeight="1" x14ac:dyDescent="0.25">
      <c r="A9579" s="5" t="str">
        <f>"H0035174"</f>
        <v>H0035174</v>
      </c>
      <c r="B9579" s="5" t="str">
        <f>"TERMO GIOSTYLE TRANSPORTADOR DE VACUNAS DE 2.6 LITROS"</f>
        <v>TERMO GIOSTYLE TRANSPORTADOR DE VACUNAS DE 2.6 LITROS</v>
      </c>
      <c r="C9579" s="6">
        <v>892500</v>
      </c>
      <c r="D9579" s="5" t="s">
        <v>527</v>
      </c>
      <c r="E9579" s="5" t="str">
        <f t="shared" si="487"/>
        <v>EPIDEMIOLOGIA-RAFAEL OLARTE</v>
      </c>
      <c r="F9579" s="5"/>
      <c r="G9579" s="5"/>
    </row>
    <row r="9580" spans="1:7" ht="58.5" customHeight="1" x14ac:dyDescent="0.25">
      <c r="A9580" s="5" t="str">
        <f>"H0035175"</f>
        <v>H0035175</v>
      </c>
      <c r="B9580" s="5" t="str">
        <f>"KIT DE RACKS Y CAJAS PARA ULTRACONGELADOR DE 400 CAJAS"</f>
        <v>KIT DE RACKS Y CAJAS PARA ULTRACONGELADOR DE 400 CAJAS</v>
      </c>
      <c r="C9580" s="6">
        <v>6902000</v>
      </c>
      <c r="D9580" s="5" t="s">
        <v>527</v>
      </c>
      <c r="E9580" s="5" t="str">
        <f t="shared" si="487"/>
        <v>EPIDEMIOLOGIA-RAFAEL OLARTE</v>
      </c>
      <c r="F9580" s="5"/>
      <c r="G9580" s="5"/>
    </row>
    <row r="9581" spans="1:7" ht="58.5" customHeight="1" x14ac:dyDescent="0.25">
      <c r="A9581" s="5" t="str">
        <f>"H0035176"</f>
        <v>H0035176</v>
      </c>
      <c r="B9581" s="5" t="str">
        <f>"KIT DE RACKS Y CAJAS PARA ULTRACONGELADOR DE 400 CAJAS"</f>
        <v>KIT DE RACKS Y CAJAS PARA ULTRACONGELADOR DE 400 CAJAS</v>
      </c>
      <c r="C9581" s="6">
        <v>6902000</v>
      </c>
      <c r="D9581" s="5" t="s">
        <v>527</v>
      </c>
      <c r="E9581" s="5" t="str">
        <f t="shared" si="487"/>
        <v>EPIDEMIOLOGIA-RAFAEL OLARTE</v>
      </c>
      <c r="F9581" s="5"/>
      <c r="G9581" s="5"/>
    </row>
    <row r="9582" spans="1:7" ht="58.5" customHeight="1" x14ac:dyDescent="0.25">
      <c r="A9582" s="5" t="str">
        <f>"H0035177"</f>
        <v>H0035177</v>
      </c>
      <c r="B9582" s="5" t="str">
        <f>"ULTRACONGELADOR THERMO SCIENTIFIC TDE 400 CAJAS"</f>
        <v>ULTRACONGELADOR THERMO SCIENTIFIC TDE 400 CAJAS</v>
      </c>
      <c r="C9582" s="6">
        <v>98161910</v>
      </c>
      <c r="D9582" s="5" t="s">
        <v>527</v>
      </c>
      <c r="E9582" s="5" t="str">
        <f t="shared" si="487"/>
        <v>EPIDEMIOLOGIA-RAFAEL OLARTE</v>
      </c>
      <c r="F9582" s="5"/>
      <c r="G9582" s="5" t="str">
        <f>"TDE40086LA"</f>
        <v>TDE40086LA</v>
      </c>
    </row>
    <row r="9583" spans="1:7" ht="58.5" customHeight="1" x14ac:dyDescent="0.25">
      <c r="A9583" s="5" t="str">
        <f>"H0035178"</f>
        <v>H0035178</v>
      </c>
      <c r="B9583" s="5" t="str">
        <f>"REFRIGERADOR HORIZONTAL PARA VACUNAS"</f>
        <v>REFRIGERADOR HORIZONTAL PARA VACUNAS</v>
      </c>
      <c r="C9583" s="6">
        <v>34272000</v>
      </c>
      <c r="D9583" s="5" t="s">
        <v>527</v>
      </c>
      <c r="E9583" s="5" t="str">
        <f t="shared" si="487"/>
        <v>EPIDEMIOLOGIA-RAFAEL OLARTE</v>
      </c>
      <c r="F9583" s="5"/>
      <c r="G9583" s="5" t="str">
        <f>"AAC"</f>
        <v>AAC</v>
      </c>
    </row>
    <row r="9584" spans="1:7" ht="58.5" customHeight="1" x14ac:dyDescent="0.25">
      <c r="A9584" s="5" t="str">
        <f>"H0035300"</f>
        <v>H0035300</v>
      </c>
      <c r="B9584" s="5" t="str">
        <f>"AIRE ACONDICIONADO DUAL INVERTER DE 24.000 BTU MARCA LG CON KIT DE TUBERIA DE 3 METROS"</f>
        <v>AIRE ACONDICIONADO DUAL INVERTER DE 24.000 BTU MARCA LG CON KIT DE TUBERIA DE 3 METROS</v>
      </c>
      <c r="C9584" s="6">
        <v>3554530</v>
      </c>
      <c r="D9584" s="5" t="s">
        <v>158</v>
      </c>
      <c r="E9584" s="5" t="str">
        <f t="shared" ref="E9584:E9615" si="488">"EPIDEMIOLOGIA-RAFAEL OLARTE"</f>
        <v>EPIDEMIOLOGIA-RAFAEL OLARTE</v>
      </c>
      <c r="F9584" s="5"/>
      <c r="G9584" s="5" t="str">
        <f>"VM242C7"</f>
        <v>VM242C7</v>
      </c>
    </row>
    <row r="9585" spans="1:7" ht="58.5" customHeight="1" x14ac:dyDescent="0.25">
      <c r="A9585" s="5" t="str">
        <f>"H0035773"</f>
        <v>H0035773</v>
      </c>
      <c r="B9585" s="5" t="str">
        <f t="shared" ref="B9585:B9598" si="489">"SILLA GERENTE NIZA MEC. BASCULANTE CON BRAZOS."</f>
        <v>SILLA GERENTE NIZA MEC. BASCULANTE CON BRAZOS.</v>
      </c>
      <c r="C9585" s="6">
        <v>640002.24</v>
      </c>
      <c r="D9585" s="5" t="s">
        <v>47</v>
      </c>
      <c r="E9585" s="5" t="str">
        <f t="shared" si="488"/>
        <v>EPIDEMIOLOGIA-RAFAEL OLARTE</v>
      </c>
      <c r="F9585" s="5"/>
      <c r="G9585" s="5"/>
    </row>
    <row r="9586" spans="1:7" ht="58.5" customHeight="1" x14ac:dyDescent="0.25">
      <c r="A9586" s="5" t="str">
        <f>"H0035774"</f>
        <v>H0035774</v>
      </c>
      <c r="B9586" s="5" t="str">
        <f t="shared" si="489"/>
        <v>SILLA GERENTE NIZA MEC. BASCULANTE CON BRAZOS.</v>
      </c>
      <c r="C9586" s="6">
        <v>640002.24</v>
      </c>
      <c r="D9586" s="5" t="s">
        <v>47</v>
      </c>
      <c r="E9586" s="5" t="str">
        <f t="shared" si="488"/>
        <v>EPIDEMIOLOGIA-RAFAEL OLARTE</v>
      </c>
      <c r="F9586" s="5"/>
      <c r="G9586" s="5"/>
    </row>
    <row r="9587" spans="1:7" ht="58.5" customHeight="1" x14ac:dyDescent="0.25">
      <c r="A9587" s="5" t="str">
        <f>"H0035775"</f>
        <v>H0035775</v>
      </c>
      <c r="B9587" s="5" t="str">
        <f t="shared" si="489"/>
        <v>SILLA GERENTE NIZA MEC. BASCULANTE CON BRAZOS.</v>
      </c>
      <c r="C9587" s="6">
        <v>640002.24</v>
      </c>
      <c r="D9587" s="5" t="s">
        <v>47</v>
      </c>
      <c r="E9587" s="5" t="str">
        <f t="shared" si="488"/>
        <v>EPIDEMIOLOGIA-RAFAEL OLARTE</v>
      </c>
      <c r="F9587" s="5"/>
      <c r="G9587" s="5"/>
    </row>
    <row r="9588" spans="1:7" ht="58.5" customHeight="1" x14ac:dyDescent="0.25">
      <c r="A9588" s="5" t="str">
        <f>"H0035776"</f>
        <v>H0035776</v>
      </c>
      <c r="B9588" s="5" t="str">
        <f t="shared" si="489"/>
        <v>SILLA GERENTE NIZA MEC. BASCULANTE CON BRAZOS.</v>
      </c>
      <c r="C9588" s="6">
        <v>640002.24</v>
      </c>
      <c r="D9588" s="5" t="s">
        <v>47</v>
      </c>
      <c r="E9588" s="5" t="str">
        <f t="shared" si="488"/>
        <v>EPIDEMIOLOGIA-RAFAEL OLARTE</v>
      </c>
      <c r="F9588" s="5"/>
      <c r="G9588" s="5"/>
    </row>
    <row r="9589" spans="1:7" ht="58.5" customHeight="1" x14ac:dyDescent="0.25">
      <c r="A9589" s="5" t="str">
        <f>"H0035777"</f>
        <v>H0035777</v>
      </c>
      <c r="B9589" s="5" t="str">
        <f t="shared" si="489"/>
        <v>SILLA GERENTE NIZA MEC. BASCULANTE CON BRAZOS.</v>
      </c>
      <c r="C9589" s="6">
        <v>640002.24</v>
      </c>
      <c r="D9589" s="5" t="s">
        <v>47</v>
      </c>
      <c r="E9589" s="5" t="str">
        <f t="shared" si="488"/>
        <v>EPIDEMIOLOGIA-RAFAEL OLARTE</v>
      </c>
      <c r="F9589" s="5"/>
      <c r="G9589" s="5"/>
    </row>
    <row r="9590" spans="1:7" ht="58.5" customHeight="1" x14ac:dyDescent="0.25">
      <c r="A9590" s="5" t="str">
        <f>"H0035778"</f>
        <v>H0035778</v>
      </c>
      <c r="B9590" s="5" t="str">
        <f t="shared" si="489"/>
        <v>SILLA GERENTE NIZA MEC. BASCULANTE CON BRAZOS.</v>
      </c>
      <c r="C9590" s="6">
        <v>640002.24</v>
      </c>
      <c r="D9590" s="5" t="s">
        <v>47</v>
      </c>
      <c r="E9590" s="5" t="str">
        <f t="shared" si="488"/>
        <v>EPIDEMIOLOGIA-RAFAEL OLARTE</v>
      </c>
      <c r="F9590" s="5"/>
      <c r="G9590" s="5"/>
    </row>
    <row r="9591" spans="1:7" ht="58.5" customHeight="1" x14ac:dyDescent="0.25">
      <c r="A9591" s="5" t="str">
        <f>"H0035779"</f>
        <v>H0035779</v>
      </c>
      <c r="B9591" s="5" t="str">
        <f t="shared" si="489"/>
        <v>SILLA GERENTE NIZA MEC. BASCULANTE CON BRAZOS.</v>
      </c>
      <c r="C9591" s="6">
        <v>640002.24</v>
      </c>
      <c r="D9591" s="5" t="s">
        <v>47</v>
      </c>
      <c r="E9591" s="5" t="str">
        <f t="shared" si="488"/>
        <v>EPIDEMIOLOGIA-RAFAEL OLARTE</v>
      </c>
      <c r="F9591" s="5"/>
      <c r="G9591" s="5"/>
    </row>
    <row r="9592" spans="1:7" ht="58.5" customHeight="1" x14ac:dyDescent="0.25">
      <c r="A9592" s="5" t="str">
        <f>"H0035780"</f>
        <v>H0035780</v>
      </c>
      <c r="B9592" s="5" t="str">
        <f t="shared" si="489"/>
        <v>SILLA GERENTE NIZA MEC. BASCULANTE CON BRAZOS.</v>
      </c>
      <c r="C9592" s="6">
        <v>640002.24</v>
      </c>
      <c r="D9592" s="5" t="s">
        <v>47</v>
      </c>
      <c r="E9592" s="5" t="str">
        <f t="shared" si="488"/>
        <v>EPIDEMIOLOGIA-RAFAEL OLARTE</v>
      </c>
      <c r="F9592" s="5"/>
      <c r="G9592" s="5"/>
    </row>
    <row r="9593" spans="1:7" ht="58.5" customHeight="1" x14ac:dyDescent="0.25">
      <c r="A9593" s="5" t="str">
        <f>"H0035786"</f>
        <v>H0035786</v>
      </c>
      <c r="B9593" s="5" t="str">
        <f t="shared" si="489"/>
        <v>SILLA GERENTE NIZA MEC. BASCULANTE CON BRAZOS.</v>
      </c>
      <c r="C9593" s="6">
        <v>640002.24</v>
      </c>
      <c r="D9593" s="5" t="s">
        <v>47</v>
      </c>
      <c r="E9593" s="5" t="str">
        <f t="shared" si="488"/>
        <v>EPIDEMIOLOGIA-RAFAEL OLARTE</v>
      </c>
      <c r="F9593" s="5"/>
      <c r="G9593" s="5"/>
    </row>
    <row r="9594" spans="1:7" ht="58.5" customHeight="1" x14ac:dyDescent="0.25">
      <c r="A9594" s="5" t="str">
        <f>"H0035787"</f>
        <v>H0035787</v>
      </c>
      <c r="B9594" s="5" t="str">
        <f t="shared" si="489"/>
        <v>SILLA GERENTE NIZA MEC. BASCULANTE CON BRAZOS.</v>
      </c>
      <c r="C9594" s="6">
        <v>640002.24</v>
      </c>
      <c r="D9594" s="5" t="s">
        <v>47</v>
      </c>
      <c r="E9594" s="5" t="str">
        <f t="shared" si="488"/>
        <v>EPIDEMIOLOGIA-RAFAEL OLARTE</v>
      </c>
      <c r="F9594" s="5"/>
      <c r="G9594" s="5"/>
    </row>
    <row r="9595" spans="1:7" ht="58.5" customHeight="1" x14ac:dyDescent="0.25">
      <c r="A9595" s="5" t="str">
        <f>"H0035788"</f>
        <v>H0035788</v>
      </c>
      <c r="B9595" s="5" t="str">
        <f t="shared" si="489"/>
        <v>SILLA GERENTE NIZA MEC. BASCULANTE CON BRAZOS.</v>
      </c>
      <c r="C9595" s="6">
        <v>640002.24</v>
      </c>
      <c r="D9595" s="5" t="s">
        <v>47</v>
      </c>
      <c r="E9595" s="5" t="str">
        <f t="shared" si="488"/>
        <v>EPIDEMIOLOGIA-RAFAEL OLARTE</v>
      </c>
      <c r="F9595" s="5"/>
      <c r="G9595" s="5"/>
    </row>
    <row r="9596" spans="1:7" ht="58.5" customHeight="1" x14ac:dyDescent="0.25">
      <c r="A9596" s="5" t="str">
        <f>"H0035789"</f>
        <v>H0035789</v>
      </c>
      <c r="B9596" s="5" t="str">
        <f t="shared" si="489"/>
        <v>SILLA GERENTE NIZA MEC. BASCULANTE CON BRAZOS.</v>
      </c>
      <c r="C9596" s="6">
        <v>640002.24</v>
      </c>
      <c r="D9596" s="5" t="s">
        <v>47</v>
      </c>
      <c r="E9596" s="5" t="str">
        <f t="shared" si="488"/>
        <v>EPIDEMIOLOGIA-RAFAEL OLARTE</v>
      </c>
      <c r="F9596" s="5"/>
      <c r="G9596" s="5"/>
    </row>
    <row r="9597" spans="1:7" ht="58.5" customHeight="1" x14ac:dyDescent="0.25">
      <c r="A9597" s="5" t="str">
        <f>"H0035790"</f>
        <v>H0035790</v>
      </c>
      <c r="B9597" s="5" t="str">
        <f t="shared" si="489"/>
        <v>SILLA GERENTE NIZA MEC. BASCULANTE CON BRAZOS.</v>
      </c>
      <c r="C9597" s="6">
        <v>640002.24</v>
      </c>
      <c r="D9597" s="5" t="s">
        <v>47</v>
      </c>
      <c r="E9597" s="5" t="str">
        <f t="shared" si="488"/>
        <v>EPIDEMIOLOGIA-RAFAEL OLARTE</v>
      </c>
      <c r="F9597" s="5"/>
      <c r="G9597" s="5"/>
    </row>
    <row r="9598" spans="1:7" ht="58.5" customHeight="1" x14ac:dyDescent="0.25">
      <c r="A9598" s="5" t="str">
        <f>"H0035791"</f>
        <v>H0035791</v>
      </c>
      <c r="B9598" s="5" t="str">
        <f t="shared" si="489"/>
        <v>SILLA GERENTE NIZA MEC. BASCULANTE CON BRAZOS.</v>
      </c>
      <c r="C9598" s="6">
        <v>640002.24</v>
      </c>
      <c r="D9598" s="5" t="s">
        <v>47</v>
      </c>
      <c r="E9598" s="5" t="str">
        <f t="shared" si="488"/>
        <v>EPIDEMIOLOGIA-RAFAEL OLARTE</v>
      </c>
      <c r="F9598" s="5"/>
      <c r="G9598" s="5"/>
    </row>
    <row r="9599" spans="1:7" ht="58.5" customHeight="1" x14ac:dyDescent="0.25">
      <c r="A9599" s="5" t="str">
        <f>"H0036545"</f>
        <v>H0036545</v>
      </c>
      <c r="B959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9599" s="6">
        <v>6307000</v>
      </c>
      <c r="D9599" s="5" t="s">
        <v>48</v>
      </c>
      <c r="E9599" s="5" t="str">
        <f t="shared" si="488"/>
        <v>EPIDEMIOLOGIA-RAFAEL OLARTE</v>
      </c>
      <c r="F9599" s="5"/>
      <c r="G9599" s="5" t="str">
        <f>"VZ4680G"</f>
        <v>VZ4680G</v>
      </c>
    </row>
    <row r="9600" spans="1:7" ht="58.5" customHeight="1" x14ac:dyDescent="0.25">
      <c r="A9600" s="5" t="str">
        <f>"H0036575"</f>
        <v>H0036575</v>
      </c>
      <c r="B9600" s="5" t="str">
        <f>"ESCANER DE ALTA VELOCIDAD 35 PPM"</f>
        <v>ESCANER DE ALTA VELOCIDAD 35 PPM</v>
      </c>
      <c r="C9600" s="6">
        <v>2401636.36</v>
      </c>
      <c r="D9600" s="5" t="s">
        <v>199</v>
      </c>
      <c r="E9600" s="5" t="str">
        <f t="shared" si="488"/>
        <v>EPIDEMIOLOGIA-RAFAEL OLARTE</v>
      </c>
      <c r="F9600" s="5"/>
      <c r="G9600" s="5"/>
    </row>
    <row r="9601" spans="1:7" ht="58.5" customHeight="1" x14ac:dyDescent="0.25">
      <c r="A9601" s="5" t="str">
        <f>"H0036880"</f>
        <v>H0036880</v>
      </c>
      <c r="B9601" s="5" t="str">
        <f>"COMPUTADOR TODO EN UNO  LENOVO CON PROCESADOR INTEL CORE I5-10400T MEMORIA RAM 8GB DDR4 CON DISCO DURO 256GB SSD M.2"</f>
        <v>COMPUTADOR TODO EN UNO  LENOVO CON PROCESADOR INTEL CORE I5-10400T MEMORIA RAM 8GB DDR4 CON DISCO DURO 256GB SSD M.2</v>
      </c>
      <c r="C9601" s="6">
        <v>6307000</v>
      </c>
      <c r="D9601" s="5" t="s">
        <v>135</v>
      </c>
      <c r="E9601" s="5" t="str">
        <f t="shared" si="488"/>
        <v>EPIDEMIOLOGIA-RAFAEL OLARTE</v>
      </c>
      <c r="F9601" s="5"/>
      <c r="G9601" s="5" t="str">
        <f>"V50A"</f>
        <v>V50A</v>
      </c>
    </row>
    <row r="9602" spans="1:7" ht="58.5" customHeight="1" x14ac:dyDescent="0.25">
      <c r="A9602" s="5" t="str">
        <f>"H0036918"</f>
        <v>H0036918</v>
      </c>
      <c r="B9602" s="5" t="str">
        <f>"AIRE ACONDICIONADO DE 24000 BTU CONVENCIONAL R410"</f>
        <v>AIRE ACONDICIONADO DE 24000 BTU CONVENCIONAL R410</v>
      </c>
      <c r="C9602" s="6">
        <v>4950000</v>
      </c>
      <c r="D9602" s="5" t="s">
        <v>28</v>
      </c>
      <c r="E9602" s="5" t="str">
        <f t="shared" si="488"/>
        <v>EPIDEMIOLOGIA-RAFAEL OLARTE</v>
      </c>
      <c r="F9602" s="5"/>
      <c r="G9602" s="5"/>
    </row>
    <row r="9603" spans="1:7" ht="58.5" customHeight="1" x14ac:dyDescent="0.25">
      <c r="A9603" s="5" t="str">
        <f>"H0036919"</f>
        <v>H0036919</v>
      </c>
      <c r="B9603" s="5" t="str">
        <f>"AIRE ACONDICIONADO DE 24000 BTU CONVENCIONAL R410"</f>
        <v>AIRE ACONDICIONADO DE 24000 BTU CONVENCIONAL R410</v>
      </c>
      <c r="C9603" s="6">
        <v>4950000</v>
      </c>
      <c r="D9603" s="5" t="s">
        <v>28</v>
      </c>
      <c r="E9603" s="5" t="str">
        <f t="shared" si="488"/>
        <v>EPIDEMIOLOGIA-RAFAEL OLARTE</v>
      </c>
      <c r="F9603" s="5"/>
      <c r="G9603" s="5"/>
    </row>
    <row r="9604" spans="1:7" ht="58.5" customHeight="1" x14ac:dyDescent="0.25">
      <c r="A9604" s="5" t="str">
        <f>"H0037133"</f>
        <v>H0037133</v>
      </c>
      <c r="B9604" s="5" t="str">
        <f>"TALLIMETRO CAPACIDAD 20-205 CM (DONACION)"</f>
        <v>TALLIMETRO CAPACIDAD 20-205 CM (DONACION)</v>
      </c>
      <c r="C9604" s="6">
        <v>1254705.99</v>
      </c>
      <c r="D9604" s="5" t="s">
        <v>136</v>
      </c>
      <c r="E9604" s="5" t="str">
        <f t="shared" si="488"/>
        <v>EPIDEMIOLOGIA-RAFAEL OLARTE</v>
      </c>
      <c r="F9604" s="5"/>
      <c r="G9604" s="5"/>
    </row>
    <row r="9605" spans="1:7" ht="58.5" customHeight="1" x14ac:dyDescent="0.25">
      <c r="A9605" s="5" t="str">
        <f>"H0037200"</f>
        <v>H0037200</v>
      </c>
      <c r="B9605" s="5" t="str">
        <f>"BASCULA: Capacidad: 200 kg, División: 100 g &lt; 150 kg &gt; 200 g, Dimensiones (AxAxP):321 x 61 x 362 mm, Peso: 4,1 kg"</f>
        <v>BASCULA: Capacidad: 200 kg, División: 100 g &lt; 150 kg &gt; 200 g, Dimensiones (AxAxP):321 x 61 x 362 mm, Peso: 4,1 kg</v>
      </c>
      <c r="C9605" s="6">
        <v>3588386.01</v>
      </c>
      <c r="D9605" s="5" t="s">
        <v>160</v>
      </c>
      <c r="E9605" s="5" t="str">
        <f t="shared" si="488"/>
        <v>EPIDEMIOLOGIA-RAFAEL OLARTE</v>
      </c>
      <c r="F9605" s="5"/>
      <c r="G9605" s="5"/>
    </row>
    <row r="9606" spans="1:7" ht="58.5" customHeight="1" x14ac:dyDescent="0.25">
      <c r="A9606" s="5" t="str">
        <f>"H0037447"</f>
        <v>H0037447</v>
      </c>
      <c r="B9606" s="5" t="str">
        <f>"AIRE ACONDICIONADO TIPO MINISPLIT CAPACIDAD 24.000 BTU TECNOLOGIA INVERTER DUAL"</f>
        <v>AIRE ACONDICIONADO TIPO MINISPLIT CAPACIDAD 24.000 BTU TECNOLOGIA INVERTER DUAL</v>
      </c>
      <c r="C9606" s="6">
        <v>5848909.5300000003</v>
      </c>
      <c r="D9606" s="5" t="s">
        <v>202</v>
      </c>
      <c r="E9606" s="5" t="str">
        <f t="shared" si="488"/>
        <v>EPIDEMIOLOGIA-RAFAEL OLARTE</v>
      </c>
      <c r="F9606" s="5"/>
      <c r="G9606" s="5"/>
    </row>
    <row r="9607" spans="1:7" ht="58.5" customHeight="1" x14ac:dyDescent="0.25">
      <c r="A9607" s="5" t="str">
        <f>"H0037538"</f>
        <v>H0037538</v>
      </c>
      <c r="B9607" s="5" t="str">
        <f>"VENTILADOR DE PEDESTAL"</f>
        <v>VENTILADOR DE PEDESTAL</v>
      </c>
      <c r="C9607" s="6">
        <v>305000.55</v>
      </c>
      <c r="D9607" s="5" t="s">
        <v>140</v>
      </c>
      <c r="E9607" s="5" t="str">
        <f t="shared" si="488"/>
        <v>EPIDEMIOLOGIA-RAFAEL OLARTE</v>
      </c>
      <c r="F9607" s="5"/>
      <c r="G9607" s="5"/>
    </row>
    <row r="9608" spans="1:7" ht="58.5" customHeight="1" x14ac:dyDescent="0.25">
      <c r="A9608" s="5" t="str">
        <f>"H0037694"</f>
        <v>H0037694</v>
      </c>
      <c r="B9608" s="5" t="str">
        <f t="shared" ref="B9608:B9613" si="490">"SILLA GERENTE NIZA MEC. BASCULANTE CON BRAZOS."</f>
        <v>SILLA GERENTE NIZA MEC. BASCULANTE CON BRAZOS.</v>
      </c>
      <c r="C9608" s="6">
        <v>710000.01</v>
      </c>
      <c r="D9608" s="5" t="s">
        <v>30</v>
      </c>
      <c r="E9608" s="5" t="str">
        <f t="shared" si="488"/>
        <v>EPIDEMIOLOGIA-RAFAEL OLARTE</v>
      </c>
      <c r="F9608" s="5"/>
      <c r="G9608" s="5"/>
    </row>
    <row r="9609" spans="1:7" ht="58.5" customHeight="1" x14ac:dyDescent="0.25">
      <c r="A9609" s="5" t="str">
        <f>"H0037695"</f>
        <v>H0037695</v>
      </c>
      <c r="B9609" s="5" t="str">
        <f t="shared" si="490"/>
        <v>SILLA GERENTE NIZA MEC. BASCULANTE CON BRAZOS.</v>
      </c>
      <c r="C9609" s="6">
        <v>710000.01</v>
      </c>
      <c r="D9609" s="5" t="s">
        <v>30</v>
      </c>
      <c r="E9609" s="5" t="str">
        <f t="shared" si="488"/>
        <v>EPIDEMIOLOGIA-RAFAEL OLARTE</v>
      </c>
      <c r="F9609" s="5"/>
      <c r="G9609" s="5"/>
    </row>
    <row r="9610" spans="1:7" ht="58.5" customHeight="1" x14ac:dyDescent="0.25">
      <c r="A9610" s="5" t="str">
        <f>"H0037901"</f>
        <v>H0037901</v>
      </c>
      <c r="B9610" s="5" t="str">
        <f t="shared" si="490"/>
        <v>SILLA GERENTE NIZA MEC. BASCULANTE CON BRAZOS.</v>
      </c>
      <c r="C9610" s="6">
        <v>710000.01</v>
      </c>
      <c r="D9610" s="5" t="s">
        <v>30</v>
      </c>
      <c r="E9610" s="5" t="str">
        <f t="shared" si="488"/>
        <v>EPIDEMIOLOGIA-RAFAEL OLARTE</v>
      </c>
      <c r="F9610" s="5"/>
      <c r="G9610" s="5"/>
    </row>
    <row r="9611" spans="1:7" ht="58.5" customHeight="1" x14ac:dyDescent="0.25">
      <c r="A9611" s="5" t="str">
        <f>"H0037902"</f>
        <v>H0037902</v>
      </c>
      <c r="B9611" s="5" t="str">
        <f t="shared" si="490"/>
        <v>SILLA GERENTE NIZA MEC. BASCULANTE CON BRAZOS.</v>
      </c>
      <c r="C9611" s="6">
        <v>710000.01</v>
      </c>
      <c r="D9611" s="5" t="s">
        <v>30</v>
      </c>
      <c r="E9611" s="5" t="str">
        <f t="shared" si="488"/>
        <v>EPIDEMIOLOGIA-RAFAEL OLARTE</v>
      </c>
      <c r="F9611" s="5"/>
      <c r="G9611" s="5"/>
    </row>
    <row r="9612" spans="1:7" ht="58.5" customHeight="1" x14ac:dyDescent="0.25">
      <c r="A9612" s="5" t="str">
        <f>"H0037903"</f>
        <v>H0037903</v>
      </c>
      <c r="B9612" s="5" t="str">
        <f t="shared" si="490"/>
        <v>SILLA GERENTE NIZA MEC. BASCULANTE CON BRAZOS.</v>
      </c>
      <c r="C9612" s="6">
        <v>710000.01</v>
      </c>
      <c r="D9612" s="5" t="s">
        <v>30</v>
      </c>
      <c r="E9612" s="5" t="str">
        <f t="shared" si="488"/>
        <v>EPIDEMIOLOGIA-RAFAEL OLARTE</v>
      </c>
      <c r="F9612" s="5"/>
      <c r="G9612" s="5"/>
    </row>
    <row r="9613" spans="1:7" ht="58.5" customHeight="1" x14ac:dyDescent="0.25">
      <c r="A9613" s="5" t="str">
        <f>"H0038013"</f>
        <v>H0038013</v>
      </c>
      <c r="B9613" s="5" t="str">
        <f t="shared" si="490"/>
        <v>SILLA GERENTE NIZA MEC. BASCULANTE CON BRAZOS.</v>
      </c>
      <c r="C9613" s="6">
        <v>710000.01</v>
      </c>
      <c r="D9613" s="5" t="s">
        <v>30</v>
      </c>
      <c r="E9613" s="5" t="str">
        <f t="shared" si="488"/>
        <v>EPIDEMIOLOGIA-RAFAEL OLARTE</v>
      </c>
      <c r="F9613" s="5"/>
      <c r="G9613" s="5"/>
    </row>
    <row r="9614" spans="1:7" ht="58.5" customHeight="1" x14ac:dyDescent="0.25">
      <c r="A9614" s="5" t="str">
        <f>"H0038168"</f>
        <v>H0038168</v>
      </c>
      <c r="B9614" s="5" t="str">
        <f>"CARRITO PEGABLE PORTATIL 4RUEDAS"</f>
        <v>CARRITO PEGABLE PORTATIL 4RUEDAS</v>
      </c>
      <c r="C9614" s="6">
        <v>404600</v>
      </c>
      <c r="D9614" s="5" t="s">
        <v>142</v>
      </c>
      <c r="E9614" s="5" t="str">
        <f t="shared" si="488"/>
        <v>EPIDEMIOLOGIA-RAFAEL OLARTE</v>
      </c>
      <c r="F9614" s="5"/>
      <c r="G9614" s="5"/>
    </row>
    <row r="9615" spans="1:7" ht="58.5" customHeight="1" x14ac:dyDescent="0.25">
      <c r="A9615" s="5" t="str">
        <f>"H0038169"</f>
        <v>H0038169</v>
      </c>
      <c r="B9615" s="5" t="str">
        <f>"CARRITO PEGABLE PORTATIL 4RUEDAS"</f>
        <v>CARRITO PEGABLE PORTATIL 4RUEDAS</v>
      </c>
      <c r="C9615" s="6">
        <v>404600</v>
      </c>
      <c r="D9615" s="5" t="s">
        <v>142</v>
      </c>
      <c r="E9615" s="5" t="str">
        <f t="shared" si="488"/>
        <v>EPIDEMIOLOGIA-RAFAEL OLARTE</v>
      </c>
      <c r="F9615" s="5"/>
      <c r="G9615" s="5"/>
    </row>
    <row r="9616" spans="1:7" ht="58.5" customHeight="1" x14ac:dyDescent="0.25">
      <c r="A9616" s="5" t="str">
        <f>"B0005491"</f>
        <v>B0005491</v>
      </c>
      <c r="B9616" s="5" t="str">
        <f t="shared" ref="B9616:B9621" si="491">"ABACO"</f>
        <v>ABACO</v>
      </c>
      <c r="C9616" s="6">
        <v>1065.9000000000001</v>
      </c>
      <c r="D9616" s="5"/>
      <c r="E9616" s="5" t="str">
        <f t="shared" ref="E9616:E9642" si="492">"SANDRA BENITEZ JAIMES-TERAPIA OCUPACIONAL"</f>
        <v>SANDRA BENITEZ JAIMES-TERAPIA OCUPACIONAL</v>
      </c>
      <c r="F9616" s="5" t="str">
        <f>"Descripcion:ABACO DE 2X18 CMS DE 9 BOLAS MEDIANAS Estado: Bueno Placa anterior: 000008440 Material: MADERA Color: MARRON Referencia:  Observacion:  Placa padre:  Tipo adquisicion : Entidad"</f>
        <v>Descripcion:ABACO DE 2X18 CMS DE 9 BOLAS MEDIANAS Estado: Bueno Placa anterior: 000008440 Material: MADERA Color: MARRON Referencia:  Observacion:  Placa padre:  Tipo adquisicion : Entidad</v>
      </c>
      <c r="G9616" s="5"/>
    </row>
    <row r="9617" spans="1:7" ht="58.5" customHeight="1" x14ac:dyDescent="0.25">
      <c r="A9617" s="5" t="str">
        <f>"B0005492"</f>
        <v>B0005492</v>
      </c>
      <c r="B9617" s="5" t="str">
        <f t="shared" si="491"/>
        <v>ABACO</v>
      </c>
      <c r="C9617" s="6">
        <v>1065.9000000000001</v>
      </c>
      <c r="D9617" s="5"/>
      <c r="E9617" s="5" t="str">
        <f t="shared" si="492"/>
        <v>SANDRA BENITEZ JAIMES-TERAPIA OCUPACIONAL</v>
      </c>
      <c r="F9617" s="5" t="str">
        <f>"Descripcion:ABACO DE 2X18 CMS DE 9 BOLAS MEDIANAS Estado: Bueno Placa anterior: 000008441 Material: MADERA Color: MARRON Referencia:  Observacion:  Placa padre:  Tipo adquisicion : Entidad"</f>
        <v>Descripcion:ABACO DE 2X18 CMS DE 9 BOLAS MEDIANAS Estado: Bueno Placa anterior: 000008441 Material: MADERA Color: MARRON Referencia:  Observacion:  Placa padre:  Tipo adquisicion : Entidad</v>
      </c>
      <c r="G9617" s="5"/>
    </row>
    <row r="9618" spans="1:7" ht="58.5" customHeight="1" x14ac:dyDescent="0.25">
      <c r="A9618" s="5" t="str">
        <f>"B0005493"</f>
        <v>B0005493</v>
      </c>
      <c r="B9618" s="5" t="str">
        <f t="shared" si="491"/>
        <v>ABACO</v>
      </c>
      <c r="C9618" s="6">
        <v>1546.6</v>
      </c>
      <c r="D9618" s="5"/>
      <c r="E9618" s="5" t="str">
        <f t="shared" si="492"/>
        <v>SANDRA BENITEZ JAIMES-TERAPIA OCUPACIONAL</v>
      </c>
      <c r="F9618" s="5" t="str">
        <f>"Descripcion:ABACO DE 22X26 CMS DE 100 BOLAS PEQUEÑAS Estado: Bueno Placa anterior: 000008442 Material: MADERA Color: MARRON Referencia:  Observacion:  Placa padre:  Tipo adquisicion : Entidad"</f>
        <v>Descripcion:ABACO DE 22X26 CMS DE 100 BOLAS PEQUEÑAS Estado: Bueno Placa anterior: 000008442 Material: MADERA Color: MARRON Referencia:  Observacion:  Placa padre:  Tipo adquisicion : Entidad</v>
      </c>
      <c r="G9618" s="5"/>
    </row>
    <row r="9619" spans="1:7" ht="58.5" customHeight="1" x14ac:dyDescent="0.25">
      <c r="A9619" s="5" t="str">
        <f>"B0005494"</f>
        <v>B0005494</v>
      </c>
      <c r="B9619" s="5" t="str">
        <f t="shared" si="491"/>
        <v>ABACO</v>
      </c>
      <c r="C9619" s="6">
        <v>1546.6</v>
      </c>
      <c r="D9619" s="5"/>
      <c r="E9619" s="5" t="str">
        <f t="shared" si="492"/>
        <v>SANDRA BENITEZ JAIMES-TERAPIA OCUPACIONAL</v>
      </c>
      <c r="F9619" s="5" t="str">
        <f>"Descripcion:ABACO DE 22X26 CMS DE 100 BOLAS PEQUEÑAS Estado: Bueno Placa anterior: 000008443 Material: MADERA Color: MARRON Referencia:  Observacion:  Placa padre:  Tipo adquisicion : Entidad"</f>
        <v>Descripcion:ABACO DE 22X26 CMS DE 100 BOLAS PEQUEÑAS Estado: Bueno Placa anterior: 000008443 Material: MADERA Color: MARRON Referencia:  Observacion:  Placa padre:  Tipo adquisicion : Entidad</v>
      </c>
      <c r="G9619" s="5"/>
    </row>
    <row r="9620" spans="1:7" ht="58.5" customHeight="1" x14ac:dyDescent="0.25">
      <c r="A9620" s="5" t="str">
        <f>"B0005495"</f>
        <v>B0005495</v>
      </c>
      <c r="B9620" s="5" t="str">
        <f t="shared" si="491"/>
        <v>ABACO</v>
      </c>
      <c r="C9620" s="6">
        <v>2902.9</v>
      </c>
      <c r="D9620" s="5"/>
      <c r="E9620" s="5" t="str">
        <f t="shared" si="492"/>
        <v>SANDRA BENITEZ JAIMES-TERAPIA OCUPACIONAL</v>
      </c>
      <c r="F9620" s="5" t="str">
        <f>"Descripcion:ABACO DE 34X39 CMS DE 50 BOLAS GRANDES Estado: Bueno Placa anterior: 000008444 Material: MADERA Color: MARRON Referencia:  Observacion:  Placa padre:  Tipo adquisicion : Entidad"</f>
        <v>Descripcion:ABACO DE 34X39 CMS DE 50 BOLAS GRANDES Estado: Bueno Placa anterior: 000008444 Material: MADERA Color: MARRON Referencia:  Observacion:  Placa padre:  Tipo adquisicion : Entidad</v>
      </c>
      <c r="G9620" s="5"/>
    </row>
    <row r="9621" spans="1:7" ht="58.5" customHeight="1" x14ac:dyDescent="0.25">
      <c r="A9621" s="5" t="str">
        <f>"B0005496"</f>
        <v>B0005496</v>
      </c>
      <c r="B9621" s="5" t="str">
        <f t="shared" si="491"/>
        <v>ABACO</v>
      </c>
      <c r="C9621" s="6">
        <v>2902.9</v>
      </c>
      <c r="D9621" s="5"/>
      <c r="E9621" s="5" t="str">
        <f t="shared" si="492"/>
        <v>SANDRA BENITEZ JAIMES-TERAPIA OCUPACIONAL</v>
      </c>
      <c r="F9621" s="5" t="str">
        <f>"Descripcion:ABACO DE 34X39 CMS DE 50 BOLAS GRANDES Estado: Bueno Placa anterior: 000008445 Material: MADERA Color: MARRON Referencia:  Observacion:  Placa padre:  Tipo adquisicion : Entidad"</f>
        <v>Descripcion:ABACO DE 34X39 CMS DE 50 BOLAS GRANDES Estado: Bueno Placa anterior: 000008445 Material: MADERA Color: MARRON Referencia:  Observacion:  Placa padre:  Tipo adquisicion : Entidad</v>
      </c>
      <c r="G9621" s="5"/>
    </row>
    <row r="9622" spans="1:7" ht="58.5" customHeight="1" x14ac:dyDescent="0.25">
      <c r="A9622" s="5" t="str">
        <f>"B0005505"</f>
        <v>B0005505</v>
      </c>
      <c r="B9622" s="5" t="str">
        <f>"JUEGO DE NIÑOS"</f>
        <v>JUEGO DE NIÑOS</v>
      </c>
      <c r="C9622" s="6">
        <v>510.4</v>
      </c>
      <c r="D9622" s="5"/>
      <c r="E9622" s="5" t="str">
        <f t="shared" si="492"/>
        <v>SANDRA BENITEZ JAIMES-TERAPIA OCUPACIONAL</v>
      </c>
      <c r="F9622" s="5" t="str">
        <f>"Descripcion:BALON GRANDE Estado: Bueno Placa anterior: 000012147 Material: PLASTICO Color: NARANJA Referencia:  Observacion:  Placa padre:  Tipo adquisicion : Entidad"</f>
        <v>Descripcion:BALON GRANDE Estado: Bueno Placa anterior: 000012147 Material: PLASTICO Color: NARANJA Referencia:  Observacion:  Placa padre:  Tipo adquisicion : Entidad</v>
      </c>
      <c r="G9622" s="5"/>
    </row>
    <row r="9623" spans="1:7" ht="58.5" customHeight="1" x14ac:dyDescent="0.25">
      <c r="A9623" s="5" t="str">
        <f>"B0005521"</f>
        <v>B0005521</v>
      </c>
      <c r="B9623" s="5" t="str">
        <f>"JUEGO DE NIÑOS"</f>
        <v>JUEGO DE NIÑOS</v>
      </c>
      <c r="C9623" s="6">
        <v>1100</v>
      </c>
      <c r="D9623" s="5"/>
      <c r="E9623" s="5" t="str">
        <f t="shared" si="492"/>
        <v>SANDRA BENITEZ JAIMES-TERAPIA OCUPACIONAL</v>
      </c>
      <c r="F9623" s="5" t="str">
        <f>"Descripcion:CENTRO PUNTO Estado: Malo Placa anterior: 000008576 Material: METALICO Color: PLATEADO Referencia:  Observacion:  Placa padre:  Tipo adquisicion : Entidad"</f>
        <v>Descripcion:CENTRO PUNTO Estado: Malo Placa anterior: 000008576 Material: METALICO Color: PLATEADO Referencia:  Observacion:  Placa padre:  Tipo adquisicion : Entidad</v>
      </c>
      <c r="G9623" s="5"/>
    </row>
    <row r="9624" spans="1:7" ht="58.5" customHeight="1" x14ac:dyDescent="0.25">
      <c r="A9624" s="5" t="str">
        <f>"B0005531"</f>
        <v>B0005531</v>
      </c>
      <c r="B9624" s="5" t="str">
        <f>"GONIOMETRO"</f>
        <v>GONIOMETRO</v>
      </c>
      <c r="C9624" s="6">
        <v>12827.64</v>
      </c>
      <c r="D9624" s="5"/>
      <c r="E9624" s="5" t="str">
        <f t="shared" si="492"/>
        <v>SANDRA BENITEZ JAIMES-TERAPIA OCUPACIONAL</v>
      </c>
      <c r="F9624" s="5" t="str">
        <f>"Descripcion:GONIOMETRO PARA MEDICION ARTICULACIONES METACARPO FALANGES Estado: Bueno Placa anterior: 000008574 Material: METALICO Color:  Referencia:  Observacion:  Placa padre:  Tipo adquisicion : Entidad"</f>
        <v>Descripcion:GONIOMETRO PARA MEDICION ARTICULACIONES METACARPO FALANGES Estado: Bueno Placa anterior: 000008574 Material: METALICO Color:  Referencia:  Observacion:  Placa padre:  Tipo adquisicion : Entidad</v>
      </c>
      <c r="G9624" s="5"/>
    </row>
    <row r="9625" spans="1:7" ht="58.5" customHeight="1" x14ac:dyDescent="0.25">
      <c r="A9625" s="5" t="str">
        <f>"B0005532"</f>
        <v>B0005532</v>
      </c>
      <c r="B9625" s="5" t="str">
        <f>"GONIOMETRO"</f>
        <v>GONIOMETRO</v>
      </c>
      <c r="C9625" s="6">
        <v>12827.64</v>
      </c>
      <c r="D9625" s="5"/>
      <c r="E9625" s="5" t="str">
        <f t="shared" si="492"/>
        <v>SANDRA BENITEZ JAIMES-TERAPIA OCUPACIONAL</v>
      </c>
      <c r="F9625" s="5" t="str">
        <f>"Descripcion:GONIOMETRO PARA MEDICION ARTICULACIONES METACARPO FALANGES Estado: Bueno Placa anterior: 000008572 Material: METALICO Color:  Referencia:  Observacion:  Placa padre:  Tipo adquisicion : Entidad"</f>
        <v>Descripcion:GONIOMETRO PARA MEDICION ARTICULACIONES METACARPO FALANGES Estado: Bueno Placa anterior: 000008572 Material: METALICO Color:  Referencia:  Observacion:  Placa padre:  Tipo adquisicion : Entidad</v>
      </c>
      <c r="G9625" s="5"/>
    </row>
    <row r="9626" spans="1:7" ht="58.5" customHeight="1" x14ac:dyDescent="0.25">
      <c r="A9626" s="5" t="str">
        <f>"B0005533"</f>
        <v>B0005533</v>
      </c>
      <c r="B9626" s="5" t="str">
        <f>"GONIOMETRO"</f>
        <v>GONIOMETRO</v>
      </c>
      <c r="C9626" s="6">
        <v>12827.64</v>
      </c>
      <c r="D9626" s="5"/>
      <c r="E9626" s="5" t="str">
        <f t="shared" si="492"/>
        <v>SANDRA BENITEZ JAIMES-TERAPIA OCUPACIONAL</v>
      </c>
      <c r="F9626" s="5" t="str">
        <f>"Descripcion:GONIOMETRO PARA MEDICION ARTICULACIONES METACARPO FALANGES Estado: Bueno Placa anterior: 000008570 Material: PASTA Color:  Referencia:  Observacion:  Placa padre:  Tipo adquisicion : Entidad"</f>
        <v>Descripcion:GONIOMETRO PARA MEDICION ARTICULACIONES METACARPO FALANGES Estado: Bueno Placa anterior: 000008570 Material: PASTA Color:  Referencia:  Observacion:  Placa padre:  Tipo adquisicion : Entidad</v>
      </c>
      <c r="G9626" s="5"/>
    </row>
    <row r="9627" spans="1:7" ht="58.5" customHeight="1" x14ac:dyDescent="0.25">
      <c r="A9627" s="5" t="str">
        <f>"B0005534"</f>
        <v>B0005534</v>
      </c>
      <c r="B9627" s="5" t="str">
        <f>"GONIOMETRO"</f>
        <v>GONIOMETRO</v>
      </c>
      <c r="C9627" s="6">
        <v>12827.64</v>
      </c>
      <c r="D9627" s="5"/>
      <c r="E9627" s="5" t="str">
        <f t="shared" si="492"/>
        <v>SANDRA BENITEZ JAIMES-TERAPIA OCUPACIONAL</v>
      </c>
      <c r="F9627" s="5" t="str">
        <f>"Descripcion:GONIOMETRO PARA MEDICION ARTICULACIONES METACARPO FALANGES Estado: Bueno Placa anterior: 000008571 Material: PASTA Color:  Referencia:  Observacion:  Placa padre:  Tipo adquisicion : Entidad"</f>
        <v>Descripcion:GONIOMETRO PARA MEDICION ARTICULACIONES METACARPO FALANGES Estado: Bueno Placa anterior: 000008571 Material: PASTA Color:  Referencia:  Observacion:  Placa padre:  Tipo adquisicion : Entidad</v>
      </c>
      <c r="G9627" s="5"/>
    </row>
    <row r="9628" spans="1:7" ht="58.5" customHeight="1" x14ac:dyDescent="0.25">
      <c r="A9628" s="5" t="str">
        <f>"B0005535"</f>
        <v>B0005535</v>
      </c>
      <c r="B9628" s="5" t="str">
        <f>"GONIOMETRO"</f>
        <v>GONIOMETRO</v>
      </c>
      <c r="C9628" s="6">
        <v>12827.64</v>
      </c>
      <c r="D9628" s="5"/>
      <c r="E9628" s="5" t="str">
        <f t="shared" si="492"/>
        <v>SANDRA BENITEZ JAIMES-TERAPIA OCUPACIONAL</v>
      </c>
      <c r="F9628" s="5" t="str">
        <f>"Descripcion:GONIOMETRO PARA MEDICION ARTICULACIONES METACARPO FALANGES Estado: Bueno Placa anterior: 000008573 Material: PASTA Color:  Referencia:  Observacion:  Placa padre:  Tipo adquisicion : Entidad"</f>
        <v>Descripcion:GONIOMETRO PARA MEDICION ARTICULACIONES METACARPO FALANGES Estado: Bueno Placa anterior: 000008573 Material: PASTA Color:  Referencia:  Observacion:  Placa padre:  Tipo adquisicion : Entidad</v>
      </c>
      <c r="G9628" s="5"/>
    </row>
    <row r="9629" spans="1:7" ht="58.5" customHeight="1" x14ac:dyDescent="0.25">
      <c r="A9629" s="5" t="str">
        <f>"B0005541"</f>
        <v>B0005541</v>
      </c>
      <c r="B9629" s="5" t="str">
        <f t="shared" ref="B9629:B9642" si="493">"JUEGO DE NIÑOS"</f>
        <v>JUEGO DE NIÑOS</v>
      </c>
      <c r="C9629" s="6">
        <v>120</v>
      </c>
      <c r="D9629" s="5"/>
      <c r="E9629" s="5" t="str">
        <f t="shared" si="492"/>
        <v>SANDRA BENITEZ JAIMES-TERAPIA OCUPACIONAL</v>
      </c>
      <c r="F9629" s="5" t="str">
        <f>"Descripcion:JUEGO NOCUS Estado: Bueno Placa anterior: 000008512 Material: MADERA Color: MARRON Referencia:  Observacion: JOCUS Placa padre:  Tipo adquisicion : Entidad"</f>
        <v>Descripcion:JUEGO NOCUS Estado: Bueno Placa anterior: 000008512 Material: MADERA Color: MARRON Referencia:  Observacion: JOCUS Placa padre:  Tipo adquisicion : Entidad</v>
      </c>
      <c r="G9629" s="5"/>
    </row>
    <row r="9630" spans="1:7" ht="58.5" customHeight="1" x14ac:dyDescent="0.25">
      <c r="A9630" s="5" t="str">
        <f>"B0005542"</f>
        <v>B0005542</v>
      </c>
      <c r="B9630" s="5" t="str">
        <f t="shared" si="493"/>
        <v>JUEGO DE NIÑOS</v>
      </c>
      <c r="C9630" s="6">
        <v>614.9</v>
      </c>
      <c r="D9630" s="5"/>
      <c r="E9630" s="5" t="str">
        <f t="shared" si="492"/>
        <v>SANDRA BENITEZ JAIMES-TERAPIA OCUPACIONAL</v>
      </c>
      <c r="F9630" s="5" t="str">
        <f>"Descripcion:LAZO PARA SALTAR Estado: Bueno Placa anterior: 000008520 Material: MADERA Y LAZO Color:  Referencia:  Observacion:  Placa padre:  Tipo adquisicion : Entidad"</f>
        <v>Descripcion:LAZO PARA SALTAR Estado: Bueno Placa anterior: 000008520 Material: MADERA Y LAZO Color:  Referencia:  Observacion:  Placa padre:  Tipo adquisicion : Entidad</v>
      </c>
      <c r="G9630" s="5"/>
    </row>
    <row r="9631" spans="1:7" ht="58.5" customHeight="1" x14ac:dyDescent="0.25">
      <c r="A9631" s="5" t="str">
        <f>"B0005543"</f>
        <v>B0005543</v>
      </c>
      <c r="B9631" s="5" t="str">
        <f t="shared" si="493"/>
        <v>JUEGO DE NIÑOS</v>
      </c>
      <c r="C9631" s="6">
        <v>614.9</v>
      </c>
      <c r="D9631" s="5"/>
      <c r="E9631" s="5" t="str">
        <f t="shared" si="492"/>
        <v>SANDRA BENITEZ JAIMES-TERAPIA OCUPACIONAL</v>
      </c>
      <c r="F9631" s="5" t="str">
        <f>"Descripcion:LAZO PARA SALTAR Estado: Bueno Placa anterior: 000008519 Material: MADERA Y LAZO Color:  Referencia:  Observacion:  Placa padre:  Tipo adquisicion : Entidad"</f>
        <v>Descripcion:LAZO PARA SALTAR Estado: Bueno Placa anterior: 000008519 Material: MADERA Y LAZO Color:  Referencia:  Observacion:  Placa padre:  Tipo adquisicion : Entidad</v>
      </c>
      <c r="G9631" s="5"/>
    </row>
    <row r="9632" spans="1:7" ht="58.5" customHeight="1" x14ac:dyDescent="0.25">
      <c r="A9632" s="5" t="str">
        <f>"B0005558"</f>
        <v>B0005558</v>
      </c>
      <c r="B9632" s="5" t="str">
        <f t="shared" si="493"/>
        <v>JUEGO DE NIÑOS</v>
      </c>
      <c r="C9632" s="6">
        <v>2640</v>
      </c>
      <c r="D9632" s="5"/>
      <c r="E9632" s="5" t="str">
        <f t="shared" si="492"/>
        <v>SANDRA BENITEZ JAIMES-TERAPIA OCUPACIONAL</v>
      </c>
      <c r="F9632" s="5" t="str">
        <f>"Descripcion:PARQUES Estado: Bueno Placa anterior: 000008539 Material: CARTON Color: COLORES Referencia:  Observacion:  Placa padre:  Tipo adquisicion : Entidad"</f>
        <v>Descripcion:PARQUES Estado: Bueno Placa anterior: 000008539 Material: CARTON Color: COLORES Referencia:  Observacion:  Placa padre:  Tipo adquisicion : Entidad</v>
      </c>
      <c r="G9632" s="5"/>
    </row>
    <row r="9633" spans="1:7" ht="58.5" customHeight="1" x14ac:dyDescent="0.25">
      <c r="A9633" s="5" t="str">
        <f>"B0005559"</f>
        <v>B0005559</v>
      </c>
      <c r="B9633" s="5" t="str">
        <f t="shared" si="493"/>
        <v>JUEGO DE NIÑOS</v>
      </c>
      <c r="C9633" s="6">
        <v>2640</v>
      </c>
      <c r="D9633" s="5"/>
      <c r="E9633" s="5" t="str">
        <f t="shared" si="492"/>
        <v>SANDRA BENITEZ JAIMES-TERAPIA OCUPACIONAL</v>
      </c>
      <c r="F9633" s="5" t="str">
        <f>"Descripcion:PARQUES Estado: Bueno Placa anterior: 000008540 Material: CARTON Color: COLORES Referencia:  Observacion:  Placa padre:  Tipo adquisicion : Entidad"</f>
        <v>Descripcion:PARQUES Estado: Bueno Placa anterior: 000008540 Material: CARTON Color: COLORES Referencia:  Observacion:  Placa padre:  Tipo adquisicion : Entidad</v>
      </c>
      <c r="G9633" s="5"/>
    </row>
    <row r="9634" spans="1:7" ht="58.5" customHeight="1" x14ac:dyDescent="0.25">
      <c r="A9634" s="5" t="str">
        <f>"B0005560"</f>
        <v>B0005560</v>
      </c>
      <c r="B9634" s="5" t="str">
        <f t="shared" si="493"/>
        <v>JUEGO DE NIÑOS</v>
      </c>
      <c r="C9634" s="6">
        <v>2640</v>
      </c>
      <c r="D9634" s="5"/>
      <c r="E9634" s="5" t="str">
        <f t="shared" si="492"/>
        <v>SANDRA BENITEZ JAIMES-TERAPIA OCUPACIONAL</v>
      </c>
      <c r="F9634" s="5" t="str">
        <f>"Descripcion:PARQUES Estado: Bueno Placa anterior: 000008541 Material: CARTON Color: COLORES Referencia:  Observacion:  Placa padre:  Tipo adquisicion : Entidad"</f>
        <v>Descripcion:PARQUES Estado: Bueno Placa anterior: 000008541 Material: CARTON Color: COLORES Referencia:  Observacion:  Placa padre:  Tipo adquisicion : Entidad</v>
      </c>
      <c r="G9634" s="5"/>
    </row>
    <row r="9635" spans="1:7" ht="58.5" customHeight="1" x14ac:dyDescent="0.25">
      <c r="A9635" s="5" t="str">
        <f>"B0005561"</f>
        <v>B0005561</v>
      </c>
      <c r="B9635" s="5" t="str">
        <f t="shared" si="493"/>
        <v>JUEGO DE NIÑOS</v>
      </c>
      <c r="C9635" s="6">
        <v>2640</v>
      </c>
      <c r="D9635" s="5"/>
      <c r="E9635" s="5" t="str">
        <f t="shared" si="492"/>
        <v>SANDRA BENITEZ JAIMES-TERAPIA OCUPACIONAL</v>
      </c>
      <c r="F9635" s="5" t="str">
        <f>"Descripcion:PARQUES Estado: Bueno Placa anterior: 000008542 Material: CARTON Color: COLORES Referencia:  Observacion:  Placa padre:  Tipo adquisicion : Entidad"</f>
        <v>Descripcion:PARQUES Estado: Bueno Placa anterior: 000008542 Material: CARTON Color: COLORES Referencia:  Observacion:  Placa padre:  Tipo adquisicion : Entidad</v>
      </c>
      <c r="G9635" s="5"/>
    </row>
    <row r="9636" spans="1:7" ht="58.5" customHeight="1" x14ac:dyDescent="0.25">
      <c r="A9636" s="5" t="str">
        <f>"B0005562"</f>
        <v>B0005562</v>
      </c>
      <c r="B9636" s="5" t="str">
        <f t="shared" si="493"/>
        <v>JUEGO DE NIÑOS</v>
      </c>
      <c r="C9636" s="6">
        <v>2640</v>
      </c>
      <c r="D9636" s="5"/>
      <c r="E9636" s="5" t="str">
        <f t="shared" si="492"/>
        <v>SANDRA BENITEZ JAIMES-TERAPIA OCUPACIONAL</v>
      </c>
      <c r="F9636" s="5" t="str">
        <f>"Descripcion:PARQUES Estado: Bueno Placa anterior: 000008543 Material: CARTON Color: COLORES Referencia:  Observacion:  Placa padre:  Tipo adquisicion : Entidad"</f>
        <v>Descripcion:PARQUES Estado: Bueno Placa anterior: 000008543 Material: CARTON Color: COLORES Referencia:  Observacion:  Placa padre:  Tipo adquisicion : Entidad</v>
      </c>
      <c r="G9636" s="5"/>
    </row>
    <row r="9637" spans="1:7" ht="58.5" customHeight="1" x14ac:dyDescent="0.25">
      <c r="A9637" s="5" t="str">
        <f>"B0005563"</f>
        <v>B0005563</v>
      </c>
      <c r="B9637" s="5" t="str">
        <f t="shared" si="493"/>
        <v>JUEGO DE NIÑOS</v>
      </c>
      <c r="C9637" s="6">
        <v>2640</v>
      </c>
      <c r="D9637" s="5"/>
      <c r="E9637" s="5" t="str">
        <f t="shared" si="492"/>
        <v>SANDRA BENITEZ JAIMES-TERAPIA OCUPACIONAL</v>
      </c>
      <c r="F9637" s="5" t="str">
        <f>"Descripcion:PARQUES Estado: Bueno Placa anterior: 000008544 Material: CARTON Color: COLORES Referencia:  Observacion:  Placa padre:  Tipo adquisicion : Entidad"</f>
        <v>Descripcion:PARQUES Estado: Bueno Placa anterior: 000008544 Material: CARTON Color: COLORES Referencia:  Observacion:  Placa padre:  Tipo adquisicion : Entidad</v>
      </c>
      <c r="G9637" s="5"/>
    </row>
    <row r="9638" spans="1:7" ht="58.5" customHeight="1" x14ac:dyDescent="0.25">
      <c r="A9638" s="5" t="str">
        <f>"B0005564"</f>
        <v>B0005564</v>
      </c>
      <c r="B9638" s="5" t="str">
        <f t="shared" si="493"/>
        <v>JUEGO DE NIÑOS</v>
      </c>
      <c r="C9638" s="6">
        <v>4382.3999999999996</v>
      </c>
      <c r="D9638" s="5"/>
      <c r="E9638" s="5" t="str">
        <f t="shared" si="492"/>
        <v>SANDRA BENITEZ JAIMES-TERAPIA OCUPACIONAL</v>
      </c>
      <c r="F9638" s="5" t="str">
        <f>"Descripcion:PLANTADO DE BOLICHES Estado: Bueno Placa anterior: 000008546 Material: MADERA Color: COLORES Referencia:  Observacion:  Placa padre:  Tipo adquisicion : Entidad"</f>
        <v>Descripcion:PLANTADO DE BOLICHES Estado: Bueno Placa anterior: 000008546 Material: MADERA Color: COLORES Referencia:  Observacion:  Placa padre:  Tipo adquisicion : Entidad</v>
      </c>
      <c r="G9638" s="5"/>
    </row>
    <row r="9639" spans="1:7" ht="58.5" customHeight="1" x14ac:dyDescent="0.25">
      <c r="A9639" s="5" t="str">
        <f>"B0005565"</f>
        <v>B0005565</v>
      </c>
      <c r="B9639" s="5" t="str">
        <f t="shared" si="493"/>
        <v>JUEGO DE NIÑOS</v>
      </c>
      <c r="C9639" s="6">
        <v>6382</v>
      </c>
      <c r="D9639" s="5"/>
      <c r="E9639" s="5" t="str">
        <f t="shared" si="492"/>
        <v>SANDRA BENITEZ JAIMES-TERAPIA OCUPACIONAL</v>
      </c>
      <c r="F9639" s="5" t="str">
        <f>"Descripcion:PLANTADO DE HONGOS Estado: Bueno Placa anterior: 000008547 Material: MADERA Color: COLORES Referencia:  Observacion:  Placa padre:  Tipo adquisicion : Entidad"</f>
        <v>Descripcion:PLANTADO DE HONGOS Estado: Bueno Placa anterior: 000008547 Material: MADERA Color: COLORES Referencia:  Observacion:  Placa padre:  Tipo adquisicion : Entidad</v>
      </c>
      <c r="G9639" s="5"/>
    </row>
    <row r="9640" spans="1:7" ht="58.5" customHeight="1" x14ac:dyDescent="0.25">
      <c r="A9640" s="5" t="str">
        <f>"B0005567"</f>
        <v>B0005567</v>
      </c>
      <c r="B9640" s="5" t="str">
        <f t="shared" si="493"/>
        <v>JUEGO DE NIÑOS</v>
      </c>
      <c r="C9640" s="6">
        <v>20994</v>
      </c>
      <c r="D9640" s="5"/>
      <c r="E9640" s="5" t="str">
        <f t="shared" si="492"/>
        <v>SANDRA BENITEZ JAIMES-TERAPIA OCUPACIONAL</v>
      </c>
      <c r="F9640" s="5" t="str">
        <f>"Descripcion:PLATO PARA ORDENAR Estado: Bueno Placa anterior: 000008549 Material: MADERA Color:  Referencia:  Observacion:  Placa padre:  Tipo adquisicion : Entidad"</f>
        <v>Descripcion:PLATO PARA ORDENAR Estado: Bueno Placa anterior: 000008549 Material: MADERA Color:  Referencia:  Observacion:  Placa padre:  Tipo adquisicion : Entidad</v>
      </c>
      <c r="G9640" s="5"/>
    </row>
    <row r="9641" spans="1:7" ht="58.5" customHeight="1" x14ac:dyDescent="0.25">
      <c r="A9641" s="5" t="str">
        <f>"B0005568"</f>
        <v>B0005568</v>
      </c>
      <c r="B9641" s="5" t="str">
        <f t="shared" si="493"/>
        <v>JUEGO DE NIÑOS</v>
      </c>
      <c r="C9641" s="6">
        <v>3075.85</v>
      </c>
      <c r="D9641" s="5"/>
      <c r="E9641" s="5" t="str">
        <f t="shared" si="492"/>
        <v>SANDRA BENITEZ JAIMES-TERAPIA OCUPACIONAL</v>
      </c>
      <c r="F9641" s="5" t="str">
        <f>"Descripcion:RULETA DE ANIMALES Estado: Bueno Placa anterior: 000008552 Material: MADERA Color:  Referencia:  Observacion:  Placa padre:  Tipo adquisicion : Entidad"</f>
        <v>Descripcion:RULETA DE ANIMALES Estado: Bueno Placa anterior: 000008552 Material: MADERA Color:  Referencia:  Observacion:  Placa padre:  Tipo adquisicion : Entidad</v>
      </c>
      <c r="G9641" s="5"/>
    </row>
    <row r="9642" spans="1:7" ht="58.5" customHeight="1" x14ac:dyDescent="0.25">
      <c r="A9642" s="5" t="str">
        <f>"B0005569"</f>
        <v>B0005569</v>
      </c>
      <c r="B9642" s="5" t="str">
        <f t="shared" si="493"/>
        <v>JUEGO DE NIÑOS</v>
      </c>
      <c r="C9642" s="6">
        <v>3075.85</v>
      </c>
      <c r="D9642" s="5"/>
      <c r="E9642" s="5" t="str">
        <f t="shared" si="492"/>
        <v>SANDRA BENITEZ JAIMES-TERAPIA OCUPACIONAL</v>
      </c>
      <c r="F9642" s="5" t="str">
        <f>"Descripcion:RULETA DE FORMAS Estado: Bueno Placa anterior: 000008553 Material: MADERA Color:  Referencia:  Observacion:  Placa padre:  Tipo adquisicion : Entidad"</f>
        <v>Descripcion:RULETA DE FORMAS Estado: Bueno Placa anterior: 000008553 Material: MADERA Color:  Referencia:  Observacion:  Placa padre:  Tipo adquisicion : Entidad</v>
      </c>
      <c r="G9642" s="5"/>
    </row>
    <row r="9643" spans="1:7" ht="58.5" customHeight="1" x14ac:dyDescent="0.25">
      <c r="A9643" s="5" t="str">
        <f>"B0004935"</f>
        <v>B0004935</v>
      </c>
      <c r="B9643" s="5" t="str">
        <f>"LICENCIA OFFICE HOME AND BUSINEES"</f>
        <v>LICENCIA OFFICE HOME AND BUSINEES</v>
      </c>
      <c r="C9643" s="6">
        <v>440800</v>
      </c>
      <c r="D9643" s="5" t="s">
        <v>2</v>
      </c>
      <c r="E9643" s="5" t="str">
        <f t="shared" ref="E9643:E9674" si="494">"ACTISALUD-RADIOLOGIA-ANDREA LARA"</f>
        <v>ACTISALUD-RADIOLOGIA-ANDREA LARA</v>
      </c>
      <c r="F9643" s="5" t="str">
        <f>"Descripcion: LICENCIA OFFICE HOME AND BUSIMESS 2013 Estado: Bueno Placa anterior: 000030814 Material:  Color:  Referencia:  Observacion:  Placa padre: Tipo adquisicion: Entidad"</f>
        <v>Descripcion: LICENCIA OFFICE HOME AND BUSIMESS 2013 Estado: Bueno Placa anterior: 000030814 Material:  Color:  Referencia:  Observacion:  Placa padre: Tipo adquisicion: Entidad</v>
      </c>
      <c r="G9643" s="5"/>
    </row>
    <row r="9644" spans="1:7" ht="58.5" customHeight="1" x14ac:dyDescent="0.25">
      <c r="A9644" s="5" t="str">
        <f>"B0004936"</f>
        <v>B0004936</v>
      </c>
      <c r="B9644" s="5" t="str">
        <f>"LICENCIA OFFICE HOME AND BUSINEES"</f>
        <v>LICENCIA OFFICE HOME AND BUSINEES</v>
      </c>
      <c r="C9644" s="6">
        <v>440800</v>
      </c>
      <c r="D9644" s="5" t="s">
        <v>2</v>
      </c>
      <c r="E9644" s="5" t="str">
        <f t="shared" si="494"/>
        <v>ACTISALUD-RADIOLOGIA-ANDREA LARA</v>
      </c>
      <c r="F9644" s="5" t="str">
        <f>"Descripcion: LICENCIA OFFICE HOME AND BUSIMESS 2013 Estado: Bueno Placa anterior: 000030815 Material:  Color:  Referencia:  Observacion:  Placa padre: Tipo adquisicion: Entidad"</f>
        <v>Descripcion: LICENCIA OFFICE HOME AND BUSIMESS 2013 Estado: Bueno Placa anterior: 000030815 Material:  Color:  Referencia:  Observacion:  Placa padre: Tipo adquisicion: Entidad</v>
      </c>
      <c r="G9644" s="5"/>
    </row>
    <row r="9645" spans="1:7" ht="58.5" customHeight="1" x14ac:dyDescent="0.25">
      <c r="A9645" s="5" t="str">
        <f>"H0000596"</f>
        <v>H0000596</v>
      </c>
      <c r="B9645" s="5" t="str">
        <f>"MESA METALICA AUXILIAR"</f>
        <v>MESA METALICA AUXILIAR</v>
      </c>
      <c r="C9645" s="6">
        <v>550000</v>
      </c>
      <c r="D9645" s="5" t="s">
        <v>528</v>
      </c>
      <c r="E9645" s="5" t="str">
        <f t="shared" si="494"/>
        <v>ACTISALUD-RADIOLOGIA-ANDREA LARA</v>
      </c>
      <c r="F9645" s="5" t="str">
        <f>"Descripcion: MESA PARA IMPRESORA EN TABLEZAQ DE 24 mm FORRADA EN FORMICA DE 1.26 X 0.77 Y PATAS DE 1 1/2 CON REFUERZO CENTRALMIDE 75X120X67,5 Estado: Bueno Placa anterior: 000030202 Material: MADERA METAL Color: BLANCO Referencia:  Observacion:  Placa pad"&amp; "re: Tipo adquisicion: Entidad"</f>
        <v>Descripcion: MESA PARA IMPRESORA EN TABLEZAQ DE 24 mm FORRADA EN FORMICA DE 1.26 X 0.77 Y PATAS DE 1 1/2 CON REFUERZO CENTRALMIDE 75X120X67,5 Estado: Bueno Placa anterior: 000030202 Material: MADERA METAL Color: BLANCO Referencia:  Observacion:  Placa padre: Tipo adquisicion: Entidad</v>
      </c>
      <c r="G9645" s="5"/>
    </row>
    <row r="9646" spans="1:7" ht="58.5" customHeight="1" x14ac:dyDescent="0.25">
      <c r="A9646" s="5" t="str">
        <f>"H0000597"</f>
        <v>H0000597</v>
      </c>
      <c r="B9646" s="5" t="str">
        <f>"MESA METALICA AUXILIAR"</f>
        <v>MESA METALICA AUXILIAR</v>
      </c>
      <c r="C9646" s="6">
        <v>830000</v>
      </c>
      <c r="D9646" s="5" t="s">
        <v>528</v>
      </c>
      <c r="E9646" s="5" t="str">
        <f t="shared" si="494"/>
        <v>ACTISALUD-RADIOLOGIA-ANDREA LARA</v>
      </c>
      <c r="F9646" s="5" t="str">
        <f>"Descripcion: MESA PARA IMPRESORA EN TABLEZA DE 25 mm FORRADA EN FORMICA CON FORMABORDE. CON SUPERFICIE DE 2.04X0.77 Y PATAS EN TUBO DE 1 1/2 CON REFUERZOMIDE 75X204X77 Estado: Bueno Placa anterior: 000030201 Material: MADERA Y BASE METALICA Color: BLANCO "&amp; "Referencia:  Observacion:  Placa padre: Tipo adquisicion: Entidad"</f>
        <v>Descripcion: MESA PARA IMPRESORA EN TABLEZA DE 25 mm FORRADA EN FORMICA CON FORMABORDE. CON SUPERFICIE DE 2.04X0.77 Y PATAS EN TUBO DE 1 1/2 CON REFUERZOMIDE 75X204X77 Estado: Bueno Placa anterior: 000030201 Material: MADERA Y BASE METALICA Color: BLANCO Referencia:  Observacion:  Placa padre: Tipo adquisicion: Entidad</v>
      </c>
      <c r="G9646" s="5"/>
    </row>
    <row r="9647" spans="1:7" ht="58.5" customHeight="1" x14ac:dyDescent="0.25">
      <c r="A9647" s="5" t="str">
        <f>"H0000598"</f>
        <v>H0000598</v>
      </c>
      <c r="B9647" s="5" t="str">
        <f>"MESA METALICA AUXILIAR"</f>
        <v>MESA METALICA AUXILIAR</v>
      </c>
      <c r="C9647" s="6">
        <v>550000</v>
      </c>
      <c r="D9647" s="5" t="s">
        <v>528</v>
      </c>
      <c r="E9647" s="5" t="str">
        <f t="shared" si="494"/>
        <v>ACTISALUD-RADIOLOGIA-ANDREA LARA</v>
      </c>
      <c r="F9647" s="5" t="str">
        <f>"Descripcion: MESA PARA IMPRESORA EN TABLEZAQ DE 24 mm FORRADA EN FORMICA DE 1.26 X 0.77 Y PATAS DE 1 1/2 CON REFUERZO CENTRAL MIDE 77X122X67 Estado: Bueno Placa anterior: 000030203 Material: MADERA Y METAL Color: BLANCO Referencia:  Observacion:  Placa pa"&amp; "dre: Tipo adquisicion: Entidad"</f>
        <v>Descripcion: MESA PARA IMPRESORA EN TABLEZAQ DE 24 mm FORRADA EN FORMICA DE 1.26 X 0.77 Y PATAS DE 1 1/2 CON REFUERZO CENTRAL MIDE 77X122X67 Estado: Bueno Placa anterior: 000030203 Material: MADERA Y METAL Color: BLANCO Referencia:  Observacion:  Placa padre: Tipo adquisicion: Entidad</v>
      </c>
      <c r="G9647" s="5"/>
    </row>
    <row r="9648" spans="1:7" ht="58.5" customHeight="1" x14ac:dyDescent="0.25">
      <c r="A9648" s="5" t="str">
        <f>"H0002682"</f>
        <v>H0002682</v>
      </c>
      <c r="B9648" s="5" t="str">
        <f>"ENRUTADOR (ROUTER) INALAMBRICO (ACCES POINT)"</f>
        <v>ENRUTADOR (ROUTER) INALAMBRICO (ACCES POINT)</v>
      </c>
      <c r="C9648" s="6">
        <v>323640</v>
      </c>
      <c r="D9648" s="5"/>
      <c r="E9648" s="5" t="str">
        <f t="shared" si="494"/>
        <v>ACTISALUD-RADIOLOGIA-ANDREA LARA</v>
      </c>
      <c r="F9648" s="5" t="str">
        <f>"Descripcion:INDOOR ACCESS POINT, 3 ANTENAS DE COLOR GRIS, CABLE DE RED, CARGADOR Estado: Excelente Placa anterior: 000037083 Material: PASTA Color: BLANCO Y GRIS Referencia:  Observacion:  Placa padre:  Tipo adquisicion : Entidad"</f>
        <v>Descripcion:INDOOR ACCESS POINT, 3 ANTENAS DE COLOR GRIS, CABLE DE RED, CARGADOR Estado: Excelente Placa anterior: 000037083 Material: PASTA Color: BLANCO Y GRIS Referencia:  Observacion:  Placa padre:  Tipo adquisicion : Entidad</v>
      </c>
      <c r="G9648" s="5" t="str">
        <f>"TL-WA901ND"</f>
        <v>TL-WA901ND</v>
      </c>
    </row>
    <row r="9649" spans="1:7" ht="58.5" customHeight="1" x14ac:dyDescent="0.25">
      <c r="A9649" s="5" t="str">
        <f>"H0004010"</f>
        <v>H0004010</v>
      </c>
      <c r="B9649" s="5" t="str">
        <f>"COMPUTADOR DE MESA"</f>
        <v>COMPUTADOR DE MESA</v>
      </c>
      <c r="C9649" s="6">
        <v>2840870</v>
      </c>
      <c r="D9649" s="5"/>
      <c r="E9649" s="5" t="str">
        <f t="shared" si="494"/>
        <v>ACTISALUD-RADIOLOGIA-ANDREA LARA</v>
      </c>
      <c r="F9649" s="5" t="str">
        <f>"Descripcion: CPU PROCESADOR INTEL CORE  Estado: Bueno Placa anterior: 000023013 Material: MEYTAL Color: NEGRO Referencia:  Observacion: AUTORIZADO CRUZAR POR SISTEMAS Placa padre: H0004008Tipo adquisicion: Entidad"</f>
        <v>Descripcion: CPU PROCESADOR INTEL CORE  Estado: Bueno Placa anterior: 000023013 Material: MEYTAL Color: NEGRO Referencia:  Observacion: AUTORIZADO CRUZAR POR SISTEMAS Placa padre: H0004008Tipo adquisicion: Entidad</v>
      </c>
      <c r="G9649" s="5" t="str">
        <f>"FG478EC#ABB"</f>
        <v>FG478EC#ABB</v>
      </c>
    </row>
    <row r="9650" spans="1:7" ht="58.5" customHeight="1" x14ac:dyDescent="0.25">
      <c r="A9650" s="5" t="str">
        <f>"H0004031"</f>
        <v>H0004031</v>
      </c>
      <c r="B9650" s="5" t="str">
        <f>"EQUIPO RAYOS X (RX)"</f>
        <v>EQUIPO RAYOS X (RX)</v>
      </c>
      <c r="C9650" s="6">
        <v>112000000</v>
      </c>
      <c r="D9650" s="5"/>
      <c r="E9650" s="5" t="str">
        <f t="shared" si="494"/>
        <v>ACTISALUD-RADIOLOGIA-ANDREA LARA</v>
      </c>
      <c r="F9650" s="5" t="str">
        <f>"Descripcion: GENERADOR RADIOLOGICO DE ALTA FRECUENCIA DE 500 MA. 150KV, 32 KW. Visualizacion de los parametros en forma digital. tubo de RX de anodo giratorio de doble foco 0.6 mm/ 1,2 mm, 150 kv 140 khu. Cables de Alta Tension de 15 m soporte de cables. "&amp; "Columna piso Estado: Bueno Placa anterior: 000033070 Material: HIERRO FORJADO Color: GRIS Referencia:  Observacion:  Placa anterior:, Placa nueva=H0004033, Descripcion:SOPORTE DE TUBO DE RAYOS X, Serial:W2B08Y3917, Marca:TOSHIBA, Modelo: DS-TA-5A, Materia"&amp; "l:METALICO Y LAMINA COLD ROLL, Color:BEIS,Referencia:, Placa anterior:, Placa nueva=H0004036, Descripcion:EQUIPO DE RAYOS X PARA TOMAR RADIOGRAFIA DE PIE, Serial: W1D08Y4144, Marca:TOSHIBA, Modelo:BS-02A, Material:METALICO, Color:BEIS,Referencia:, Placa a"&amp; "nterior:, Placa nueva=H0004040, Descripcion:TABLERO DE COMANDO PARA TOMAS DE RAYOS X. DIGITAL, Serial:, Marca:TOSHIBA, Modelo:, Material:METALICO, Color:AZUL,Referencia:, Placa anterior:, Placa nueva=H0004850, Descripcion:TIC DE DIAGNOSTICO DE RAYOS X DE "&amp; "ALTA TENSION, Serial:W2E08Y2398, Marca:TOSHIBA, Modelo:KXO-32S, Material:LAMINA COLD ROLL, Color:BEIS,Referencia:, Placa anterior:, Placa nueva=H0004032, Descripcion:HAZ DE RAYOS X DISPOSITIVO LIMITADOR., Serial:W1B08Y3456, Marca:TOSHIBA, Modelo:BLR-1000A"&amp; ", Material:HIERRO FORJADO, Color:GRIS,Referencia:, Placa anterior:, Placa nueva=H0004035, Descripcion:SISTEMA DE RADIOGRAFIA RADEX, Serial:W1A08Y2173, Marca:TOSHIBA, Modelo:MRAD-A32S, Material:LAMINA COLD ROLL, Color:BEIS,Referencia:, Placa anterior:00003"&amp; "2896, Placa nueva=H0004034, Descripcion:CAMILLA PARA TOMA DE RAYOS X DIMENSIONES: 69x210x82 CM, Serial:, Marca:TOSHIBA, Modelo:, Material:LAMINA COLD ROLL, Color:GRIS,Referencia: Placa padre: Tipo adquisicion: Entidad"</f>
        <v>Descripcion: GENERADOR RADIOLOGICO DE ALTA FRECUENCIA DE 500 MA. 150KV, 32 KW. Visualizacion de los parametros en forma digital. tubo de RX de anodo giratorio de doble foco 0.6 mm/ 1,2 mm, 150 kv 140 khu. Cables de Alta Tension de 15 m soporte de cables. Columna piso Estado: Bueno Placa anterior: 000033070 Material: HIERRO FORJADO Color: GRIS Referencia:  Observacion:  Placa anterior:, Placa nueva=H0004033, Descripcion:SOPORTE DE TUBO DE RAYOS X, Serial:W2B08Y3917, Marca:TOSHIBA, Modelo: DS-TA-5A, Material:METALICO Y LAMINA COLD ROLL, Color:BEIS,Referencia:, Placa anterior:, Placa nueva=H0004036, Descripcion:EQUIPO DE RAYOS X PARA TOMAR RADIOGRAFIA DE PIE, Serial: W1D08Y4144, Marca:TOSHIBA, Modelo:BS-02A, Material:METALICO, Color:BEIS,Referencia:, Placa anterior:, Placa nueva=H0004040, Descripcion:TABLERO DE COMANDO PARA TOMAS DE RAYOS X. DIGITAL, Serial:, Marca:TOSHIBA, Modelo:, Material:METALICO, Color:AZUL,Referencia:, Placa anterior:, Placa nueva=H0004850, Descripcion:TIC DE DIAGNOSTICO DE RAYOS X DE ALTA TENSION, Serial:W2E08Y2398, Marca:TOSHIBA, Modelo:KXO-32S, Material:LAMINA COLD ROLL, Color:BEIS,Referencia:, Placa anterior:, Placa nueva=H0004032, Descripcion:HAZ DE RAYOS X DISPOSITIVO LIMITADOR., Serial:W1B08Y3456, Marca:TOSHIBA, Modelo:BLR-1000A, Material:HIERRO FORJADO, Color:GRIS,Referencia:, Placa anterior:, Placa nueva=H0004035, Descripcion:SISTEMA DE RADIOGRAFIA RADEX, Serial:W1A08Y2173, Marca:TOSHIBA, Modelo:MRAD-A32S, Material:LAMINA COLD ROLL, Color:BEIS,Referencia:, Placa anterior:000032896, Placa nueva=H0004034, Descripcion:CAMILLA PARA TOMA DE RAYOS X DIMENSIONES: 69x210x82 CM, Serial:, Marca:TOSHIBA, Modelo:, Material:LAMINA COLD ROLL, Color:GRIS,Referencia: Placa padre: Tipo adquisicion: Entidad</v>
      </c>
      <c r="G9650" s="5" t="str">
        <f>"DRX-1824B"</f>
        <v>DRX-1824B</v>
      </c>
    </row>
    <row r="9651" spans="1:7" ht="58.5" customHeight="1" x14ac:dyDescent="0.25">
      <c r="A9651" s="5" t="str">
        <f>"H0004034"</f>
        <v>H0004034</v>
      </c>
      <c r="B9651" s="5" t="str">
        <f>"CAMILLA PARA RADIOLOGIA"</f>
        <v>CAMILLA PARA RADIOLOGIA</v>
      </c>
      <c r="C9651" s="6">
        <v>1500000</v>
      </c>
      <c r="D9651" s="5"/>
      <c r="E9651" s="5" t="str">
        <f t="shared" si="494"/>
        <v>ACTISALUD-RADIOLOGIA-ANDREA LARA</v>
      </c>
      <c r="F9651" s="5" t="str">
        <f>"Descripcion: CAMILLA PARA TOMA DE RAYOS X DIMENSIONES: 69x210x82 CM Estado: Bueno Placa anterior: 000032896 Material: LAMINA COLD ROLL Color: GRIS Referencia:  Observacion:  Placa padre: H0004031Tipo adquisicion: Entidad"</f>
        <v>Descripcion: CAMILLA PARA TOMA DE RAYOS X DIMENSIONES: 69x210x82 CM Estado: Bueno Placa anterior: 000032896 Material: LAMINA COLD ROLL Color: GRIS Referencia:  Observacion:  Placa padre: H0004031Tipo adquisicion: Entidad</v>
      </c>
      <c r="G9651" s="5"/>
    </row>
    <row r="9652" spans="1:7" ht="58.5" customHeight="1" x14ac:dyDescent="0.25">
      <c r="A9652" s="5" t="str">
        <f>"H0004039"</f>
        <v>H0004039</v>
      </c>
      <c r="B9652" s="5" t="str">
        <f>"AIRE ACONDICIONADO 18000 BTU"</f>
        <v>AIRE ACONDICIONADO 18000 BTU</v>
      </c>
      <c r="C9652" s="6">
        <v>3009040</v>
      </c>
      <c r="D9652" s="5" t="s">
        <v>146</v>
      </c>
      <c r="E9652" s="5" t="str">
        <f t="shared" si="494"/>
        <v>ACTISALUD-RADIOLOGIA-ANDREA LARA</v>
      </c>
      <c r="F9652" s="5" t="str">
        <f>"Descripcion: AIRE ACONDICIONADO CAPACIDAD 18000 BTU. Equipo tipo mini Split, consola de lujo, con control remoto y uso refrigerante ecologico.sistema inverter.Debe incluir display para ser monitoreado por sistema central Estado: Bueno Placa anterior: 0000"&amp; "36372 Material: PLASTICO DE POLIPROPILENO Color: BLANCO Referencia: INVERTER Observacion: CAPACIDAD DE 22.000 BTU AIRE TIPO SPLIT Placa padre: Tipo adquisicion: Entidad"</f>
        <v>Descripcion: AIRE ACONDICIONADO CAPACIDAD 18000 BTU. Equipo tipo mini Split, consola de lujo, con control remoto y uso refrigerante ecologico.sistema inverter.Debe incluir display para ser monitoreado por sistema central Estado: Bueno Placa anterior: 000036372 Material: PLASTICO DE POLIPROPILENO Color: BLANCO Referencia: INVERTER Observacion: CAPACIDAD DE 22.000 BTU AIRE TIPO SPLIT Placa padre: Tipo adquisicion: Entidad</v>
      </c>
      <c r="G9652" s="5" t="str">
        <f>"VM242CE  NC2"</f>
        <v>VM242CE  NC2</v>
      </c>
    </row>
    <row r="9653" spans="1:7" ht="58.5" customHeight="1" x14ac:dyDescent="0.25">
      <c r="A9653" s="5" t="str">
        <f>"H0004042"</f>
        <v>H0004042</v>
      </c>
      <c r="B9653" s="5" t="str">
        <f>"SILLA TANDEM DE 3 PUESTOS"</f>
        <v>SILLA TANDEM DE 3 PUESTOS</v>
      </c>
      <c r="C9653" s="6">
        <v>622630</v>
      </c>
      <c r="D9653" s="5"/>
      <c r="E9653" s="5" t="str">
        <f t="shared" si="494"/>
        <v>ACTISALUD-RADIOLOGIA-ANDREA LARA</v>
      </c>
      <c r="F9653" s="5" t="str">
        <f>"Descripcion: MODULO TIPO C (3 SILLAS) Estado: Bueno Placa anterior: 000021114 Material: METAL Y PASTA Color: NEGRO Y VERDE Referencia:  Observacion:  Placa padre: Tipo adquisicion: Entidad"</f>
        <v>Descripcion: MODULO TIPO C (3 SILLAS) Estado: Bueno Placa anterior: 000021114 Material: METAL Y PASTA Color: NEGRO Y VERDE Referencia:  Observacion:  Placa padre: Tipo adquisicion: Entidad</v>
      </c>
      <c r="G9653" s="5"/>
    </row>
    <row r="9654" spans="1:7" ht="58.5" customHeight="1" x14ac:dyDescent="0.25">
      <c r="A9654" s="5" t="str">
        <f>"H0004043"</f>
        <v>H0004043</v>
      </c>
      <c r="B9654" s="5" t="str">
        <f>"SILLA TANDEM DE 4 PUESTOS"</f>
        <v>SILLA TANDEM DE 4 PUESTOS</v>
      </c>
      <c r="C9654" s="6">
        <v>740000</v>
      </c>
      <c r="D9654" s="5" t="s">
        <v>529</v>
      </c>
      <c r="E9654" s="5" t="str">
        <f t="shared" si="494"/>
        <v>ACTISALUD-RADIOLOGIA-ANDREA LARA</v>
      </c>
      <c r="F9654" s="5" t="str">
        <f>"Descripcion: LE FALTA UN PUESTO Estado: Regular Placa anterior:  Material: METAL Y PASTA Color: NEGRO VERDE Referencia:  Observacion:  Placa padre: Tipo adquisicion: Entidad"</f>
        <v>Descripcion: LE FALTA UN PUESTO Estado: Regular Placa anterior:  Material: METAL Y PASTA Color: NEGRO VERDE Referencia:  Observacion:  Placa padre: Tipo adquisicion: Entidad</v>
      </c>
      <c r="G9654" s="5"/>
    </row>
    <row r="9655" spans="1:7" ht="58.5" customHeight="1" x14ac:dyDescent="0.25">
      <c r="A9655" s="5" t="str">
        <f>"H0004046"</f>
        <v>H0004046</v>
      </c>
      <c r="B9655" s="5" t="str">
        <f>"NEVERA DE 66 LTS"</f>
        <v>NEVERA DE 66 LTS</v>
      </c>
      <c r="C9655" s="6">
        <v>249500</v>
      </c>
      <c r="D9655" s="5"/>
      <c r="E9655" s="5" t="str">
        <f t="shared" si="494"/>
        <v>ACTISALUD-RADIOLOGIA-ANDREA LARA</v>
      </c>
      <c r="F9655" s="5" t="str">
        <f>"Descripcion: NEVERA MCA PHILIPS ESTANDAR DE 4 PIES Estado: Bueno Placa anterior: 000008669 Material: METAL Color: BEIS Referencia:  Observacion:  Placa padre: Tipo adquisicion: Entidad"</f>
        <v>Descripcion: NEVERA MCA PHILIPS ESTANDAR DE 4 PIES Estado: Bueno Placa anterior: 000008669 Material: METAL Color: BEIS Referencia:  Observacion:  Placa padre: Tipo adquisicion: Entidad</v>
      </c>
      <c r="G9655" s="5"/>
    </row>
    <row r="9656" spans="1:7" ht="58.5" customHeight="1" x14ac:dyDescent="0.25">
      <c r="A9656" s="5" t="str">
        <f>"H0004050"</f>
        <v>H0004050</v>
      </c>
      <c r="B9656" s="5" t="str">
        <f>"ESTABILIZADOR (REGULADOR) DE ENERGIA 1KW"</f>
        <v>ESTABILIZADOR (REGULADOR) DE ENERGIA 1KW</v>
      </c>
      <c r="C9656" s="6">
        <v>1589200</v>
      </c>
      <c r="D9656" s="5"/>
      <c r="E9656" s="5" t="str">
        <f t="shared" si="494"/>
        <v>ACTISALUD-RADIOLOGIA-ANDREA LARA</v>
      </c>
      <c r="F9656" s="5" t="str">
        <f>"Descripcion: . Estado: Bueno Placa anterior: 000025911 Material: METAL Color: BLANCO Referencia:  Observacion: FUNCIONARIO AUTORIZA SE CONCILIE CON PLACA 000025911 Placa padre: Tipo adquisicion: Entidad"</f>
        <v>Descripcion: . Estado: Bueno Placa anterior: 000025911 Material: METAL Color: BLANCO Referencia:  Observacion: FUNCIONARIO AUTORIZA SE CONCILIE CON PLACA 000025911 Placa padre: Tipo adquisicion: Entidad</v>
      </c>
      <c r="G9656" s="5"/>
    </row>
    <row r="9657" spans="1:7" ht="58.5" customHeight="1" x14ac:dyDescent="0.25">
      <c r="A9657" s="5" t="str">
        <f>"H0004052"</f>
        <v>H0004052</v>
      </c>
      <c r="B9657" s="5" t="str">
        <f>"SILLON (SOFA)"</f>
        <v>SILLON (SOFA)</v>
      </c>
      <c r="C9657" s="6">
        <v>21400</v>
      </c>
      <c r="D9657" s="5"/>
      <c r="E9657" s="5" t="str">
        <f t="shared" si="494"/>
        <v>ACTISALUD-RADIOLOGIA-ANDREA LARA</v>
      </c>
      <c r="F9657" s="5" t="str">
        <f>"Descripcion: TAPIZADO EN SINTETICO MIDE 36X161X67 ESPALDAR 42X161 CM Estado: Bueno Placa anterior: 000009184 Material: MADERA Y SINTETICO Color: NEGRO MARRON Referencia:  Observacion:  Placa padre: Tipo adquisicion: Entidad"</f>
        <v>Descripcion: TAPIZADO EN SINTETICO MIDE 36X161X67 ESPALDAR 42X161 CM Estado: Bueno Placa anterior: 000009184 Material: MADERA Y SINTETICO Color: NEGRO MARRON Referencia:  Observacion:  Placa padre: Tipo adquisicion: Entidad</v>
      </c>
      <c r="G9657" s="5"/>
    </row>
    <row r="9658" spans="1:7" ht="58.5" customHeight="1" x14ac:dyDescent="0.25">
      <c r="A9658" s="5" t="str">
        <f>"H0004056"</f>
        <v>H0004056</v>
      </c>
      <c r="B9658" s="5" t="str">
        <f>"FOLDERAMA METALICO"</f>
        <v>FOLDERAMA METALICO</v>
      </c>
      <c r="C9658" s="6">
        <v>716300</v>
      </c>
      <c r="D9658" s="5"/>
      <c r="E9658" s="5" t="str">
        <f t="shared" si="494"/>
        <v>ACTISALUD-RADIOLOGIA-ANDREA LARA</v>
      </c>
      <c r="F9658" s="5" t="str">
        <f>"Descripcion: 2 PUERTAS 4 ENTREPAÑOS 5 COMPARTIMIENTOS MIDE 160X105X46 CM Estado: Bueno Placa anterior: 000008654 Material: METAL Color: GRIS Referencia:  Observacion: FUNCIONARIO AUTORIZA SE CONCILIE CON PLACA  000008654 Placa padre: Tipo adquisicion: Ent"&amp; "idad"</f>
        <v>Descripcion: 2 PUERTAS 4 ENTREPAÑOS 5 COMPARTIMIENTOS MIDE 160X105X46 CM Estado: Bueno Placa anterior: 000008654 Material: METAL Color: GRIS Referencia:  Observacion: FUNCIONARIO AUTORIZA SE CONCILIE CON PLACA  000008654 Placa padre: Tipo adquisicion: Entidad</v>
      </c>
      <c r="G9658" s="5"/>
    </row>
    <row r="9659" spans="1:7" ht="58.5" customHeight="1" x14ac:dyDescent="0.25">
      <c r="A9659" s="5" t="str">
        <f>"H0004062"</f>
        <v>H0004062</v>
      </c>
      <c r="B9659" s="5" t="str">
        <f>"COMPUTADOR TODO EN UNO"</f>
        <v>COMPUTADOR TODO EN UNO</v>
      </c>
      <c r="C9659" s="6">
        <v>2470000</v>
      </c>
      <c r="D9659" s="5" t="s">
        <v>6</v>
      </c>
      <c r="E9659" s="5" t="str">
        <f t="shared" si="494"/>
        <v>ACTISALUD-RADIOLOGIA-ANDREA LARA</v>
      </c>
      <c r="F9659" s="5" t="str">
        <f>"Descripcion: EQUIPO DE COMPUTO TODO EN UNO CON PROCESADOR INTEL i5 MONITOR DE 20 PULGADAS Estado: Bueno Placa anterior: 000036982 Material: PASTA Color: NEGRO Referencia: THINKCENTRE Observacion:  Placa anterior:, Placa nueva=H0004063, Descripcion:USB, Se"&amp; "rial:1S54Y94248259070E, Marca:LENOVO, Modelo:KU-0225, Material:PASTA, Color:NEGRO,Referencia:, Placa anterior:, Placa nueva=H0004064, Descripcion:OPTICO, Serial:SN 44PC969, Marca:LENOVO, Modelo:, Material:PASTA, Color:NEGRO,Referencia: Placa padre: Tipo a"&amp; "dquisicion: Entidad"</f>
        <v>Descripcion: EQUIPO DE COMPUTO TODO EN UNO CON PROCESADOR INTEL i5 MONITOR DE 20 PULGADAS Estado: Bueno Placa anterior: 000036982 Material: PASTA Color: NEGRO Referencia: THINKCENTRE Observacion:  Placa anterior:, Placa nueva=H0004063, Descripcion:USB, Serial:1S54Y94248259070E, Marca:LENOVO, Modelo:KU-0225, Material:PASTA, Color:NEGRO,Referencia:, Placa anterior:, Placa nueva=H0004064, Descripcion:OPTICO, Serial:SN 44PC969, Marca:LENOVO, Modelo:, Material:PASTA, Color:NEGRO,Referencia: Placa padre: Tipo adquisicion: Entidad</v>
      </c>
      <c r="G9659" s="5" t="str">
        <f>"00FDLS"</f>
        <v>00FDLS</v>
      </c>
    </row>
    <row r="9660" spans="1:7" ht="58.5" customHeight="1" x14ac:dyDescent="0.25">
      <c r="A9660" s="5" t="str">
        <f>"H0004070"</f>
        <v>H0004070</v>
      </c>
      <c r="B9660" s="5" t="str">
        <f>"EQUIPO RAYOS X (RX)"</f>
        <v>EQUIPO RAYOS X (RX)</v>
      </c>
      <c r="C9660" s="6">
        <v>55390000</v>
      </c>
      <c r="D9660" s="5" t="s">
        <v>259</v>
      </c>
      <c r="E9660" s="5" t="str">
        <f t="shared" si="494"/>
        <v>ACTISALUD-RADIOLOGIA-ANDREA LARA</v>
      </c>
      <c r="F9660" s="5" t="str">
        <f>"Descripcion: EQUIPO DE ARAYOS X PORTATIL BRAZO PORTA TUBO CON CONTRAPESO, MARGEN DE KV: 40 KV HASTA 125 KV EN 24 ESCALONES,  Estado: Bueno Placa anterior: 000029355 Material: METAL Color: BEIS Referencia: 4695600900 Observacion: LA FUNCIONARIA NO TIENE CL"&amp; "ARO LA PROCEDENCIA Placa padre: Tipo adquisicion: Donacion"</f>
        <v>Descripcion: EQUIPO DE ARAYOS X PORTATIL BRAZO PORTA TUBO CON CONTRAPESO, MARGEN DE KV: 40 KV HASTA 125 KV EN 24 ESCALONES,  Estado: Bueno Placa anterior: 000029355 Material: METAL Color: BEIS Referencia: 4695600900 Observacion: LA FUNCIONARIA NO TIENE CLARO LA PROCEDENCIA Placa padre: Tipo adquisicion: Donacion</v>
      </c>
      <c r="G9660" s="5" t="str">
        <f>"VISITOR T30"</f>
        <v>VISITOR T30</v>
      </c>
    </row>
    <row r="9661" spans="1:7" ht="58.5" customHeight="1" x14ac:dyDescent="0.25">
      <c r="A9661" s="5" t="str">
        <f>"H0004071"</f>
        <v>H0004071</v>
      </c>
      <c r="B9661" s="5" t="str">
        <f>"EQUIPO R. X. PORTATIL"</f>
        <v>EQUIPO R. X. PORTATIL</v>
      </c>
      <c r="C9661" s="6">
        <v>44080000</v>
      </c>
      <c r="D9661" s="5"/>
      <c r="E9661" s="5" t="str">
        <f t="shared" si="494"/>
        <v>ACTISALUD-RADIOLOGIA-ANDREA LARA</v>
      </c>
      <c r="F9661" s="5" t="str">
        <f>"Descripcion: EQUIPO PORTATIL PARA RAYOS X UNIDAD CONVERTIDORA DE RAYOS X  Estado: Bueno Placa anterior: 000025641 Material: METAL Color: GRIS Referencia:  Observacion:  Placa padre: Tipo adquisicion: Entidad"</f>
        <v>Descripcion: EQUIPO PORTATIL PARA RAYOS X UNIDAD CONVERTIDORA DE RAYOS X  Estado: Bueno Placa anterior: 000025641 Material: METAL Color: GRIS Referencia:  Observacion:  Placa padre: Tipo adquisicion: Entidad</v>
      </c>
      <c r="G9661" s="5" t="str">
        <f>"9890010-818"</f>
        <v>9890010-818</v>
      </c>
    </row>
    <row r="9662" spans="1:7" ht="58.5" customHeight="1" x14ac:dyDescent="0.25">
      <c r="A9662" s="5" t="str">
        <f>"H0004073"</f>
        <v>H0004073</v>
      </c>
      <c r="B9662" s="5" t="str">
        <f>"ATRIL PORTASUERO MOVIL"</f>
        <v>ATRIL PORTASUERO MOVIL</v>
      </c>
      <c r="C9662" s="6">
        <v>145000</v>
      </c>
      <c r="D9662" s="5" t="s">
        <v>166</v>
      </c>
      <c r="E9662" s="5" t="str">
        <f t="shared" si="494"/>
        <v>ACTISALUD-RADIOLOGIA-ANDREA LARA</v>
      </c>
      <c r="F9662" s="5" t="str">
        <f>"Descripcion: ATRIL. Aatril portasuero en pintura electrostatica, debe contar con sistema portasuero minimo para dos bolsas de 50ml con varilla graduable,con rodachines Estado: Bueno Placa anterior: 000031429 Material: METAL Color: BLANCO Referencia:  Obse"&amp; "rvacion:  Placa padre: Tipo adquisicion: Entidad"</f>
        <v>Descripcion: ATRIL. Aatril portasuero en pintura electrostatica, debe contar con sistema portasuero minimo para dos bolsas de 50ml con varilla graduable,con rodachines Estado: Bueno Placa anterior: 000031429 Material: METAL Color: BLANCO Referencia:  Observacion:  Placa padre: Tipo adquisicion: Entidad</v>
      </c>
      <c r="G9662" s="5" t="str">
        <f>"121-01"</f>
        <v>121-01</v>
      </c>
    </row>
    <row r="9663" spans="1:7" ht="58.5" customHeight="1" x14ac:dyDescent="0.25">
      <c r="A9663" s="5" t="str">
        <f>"H0004075"</f>
        <v>H0004075</v>
      </c>
      <c r="B9663" s="5" t="str">
        <f>"AIRE ACONDICIONADO TIPO SPLIT 24000 BTU"</f>
        <v>AIRE ACONDICIONADO TIPO SPLIT 24000 BTU</v>
      </c>
      <c r="C9663" s="6">
        <v>4512400</v>
      </c>
      <c r="D9663" s="5" t="s">
        <v>146</v>
      </c>
      <c r="E9663" s="5" t="str">
        <f t="shared" si="494"/>
        <v>ACTISALUD-RADIOLOGIA-ANDREA LARA</v>
      </c>
      <c r="F9663" s="5" t="str">
        <f>"Descripcion: AIRE ACONDICIONADO CAPACIDAD 24000 BTU Equipo tipo mini Split, consola de lujo, con control remoto y uso refrigerante ecologico.sistema inverter.Debe incluir display para ser monitoreado por sistema central Estado: Bueno Placa anterior: 00003"&amp; "6373 Material: PASTA Color: BLANCO Referencia:  Observacion:  Placa padre: Tipo adquisicion: Entidad"</f>
        <v>Descripcion: AIRE ACONDICIONADO CAPACIDAD 24000 BTU Equipo tipo mini Split, consola de lujo, con control remoto y uso refrigerante ecologico.sistema inverter.Debe incluir display para ser monitoreado por sistema central Estado: Bueno Placa anterior: 000036373 Material: PASTA Color: BLANCO Referencia:  Observacion:  Placa padre: Tipo adquisicion: Entidad</v>
      </c>
      <c r="G9663" s="5" t="str">
        <f>"VM12CEN B3"</f>
        <v>VM12CEN B3</v>
      </c>
    </row>
    <row r="9664" spans="1:7" ht="58.5" customHeight="1" x14ac:dyDescent="0.25">
      <c r="A9664" s="5" t="str">
        <f>"H0004077"</f>
        <v>H0004077</v>
      </c>
      <c r="B9664" s="5" t="str">
        <f>"MESA (CARRO) DE CURACIONES"</f>
        <v>MESA (CARRO) DE CURACIONES</v>
      </c>
      <c r="C9664" s="6">
        <v>11880</v>
      </c>
      <c r="D9664" s="5"/>
      <c r="E9664" s="5" t="str">
        <f t="shared" si="494"/>
        <v>ACTISALUD-RADIOLOGIA-ANDREA LARA</v>
      </c>
      <c r="F9664" s="5" t="str">
        <f>"Descripcion: DE DOS DIVISIONES MIDE 81X78X43 CM Estado: Bueno Placa anterior: 000009173 Material: METAL Color: AZUL Referencia:  Observacion: EL COD ANTERIOR 000009142 N0 EXISTE AUTORIZADO CONCILIAR EN CRUCE GENERAL Placa padre: Tipo adquisicion: Entidad"</f>
        <v>Descripcion: DE DOS DIVISIONES MIDE 81X78X43 CM Estado: Bueno Placa anterior: 000009173 Material: METAL Color: AZUL Referencia:  Observacion: EL COD ANTERIOR 000009142 N0 EXISTE AUTORIZADO CONCILIAR EN CRUCE GENERAL Placa padre: Tipo adquisicion: Entidad</v>
      </c>
      <c r="G9664" s="5"/>
    </row>
    <row r="9665" spans="1:7" ht="58.5" customHeight="1" x14ac:dyDescent="0.25">
      <c r="A9665" s="5" t="str">
        <f>"H0004098"</f>
        <v>H0004098</v>
      </c>
      <c r="B9665" s="5" t="str">
        <f>"UNIDAD ININTERRUMPIDA DE POTENCIA (UPS) 2.2KW"</f>
        <v>UNIDAD ININTERRUMPIDA DE POTENCIA (UPS) 2.2KW</v>
      </c>
      <c r="C9665" s="6">
        <v>180000</v>
      </c>
      <c r="D9665" s="5"/>
      <c r="E9665" s="5" t="str">
        <f t="shared" si="494"/>
        <v>ACTISALUD-RADIOLOGIA-ANDREA LARA</v>
      </c>
      <c r="F9665" s="5" t="str">
        <f>"Descripcion: 4200W 34Z5VPS Estado: Bueno Placa anterior: 000023021 Material: METAL Color: NEGRO Referencia:  Observacion: AUTORIZADO CRUZAR POR SISTEMAS Placa padre: Tipo adquisicion: Entidad"</f>
        <v>Descripcion: 4200W 34Z5VPS Estado: Bueno Placa anterior: 000023021 Material: METAL Color: NEGRO Referencia:  Observacion: AUTORIZADO CRUZAR POR SISTEMAS Placa padre: Tipo adquisicion: Entidad</v>
      </c>
      <c r="G9665" s="5" t="str">
        <f>"GXT26000RT208"</f>
        <v>GXT26000RT208</v>
      </c>
    </row>
    <row r="9666" spans="1:7" ht="58.5" customHeight="1" x14ac:dyDescent="0.25">
      <c r="A9666" s="5" t="str">
        <f>"H0004099"</f>
        <v>H0004099</v>
      </c>
      <c r="B9666" s="5" t="str">
        <f>"DIVISION (PANEL) MODULAR"</f>
        <v>DIVISION (PANEL) MODULAR</v>
      </c>
      <c r="C9666" s="6">
        <v>980000</v>
      </c>
      <c r="D9666" s="5" t="s">
        <v>3</v>
      </c>
      <c r="E9666" s="5" t="str">
        <f t="shared" si="494"/>
        <v>ACTISALUD-RADIOLOGIA-ANDREA LARA</v>
      </c>
      <c r="F9666" s="5" t="str">
        <f>"Descripcion: MIDE 233X435 CM Estado: Bueno Placa anterior:  Material: METAL Y VIDRIO CORRUGADO Color: GRIS Referencia:  Observacion:  Placa padre: Tipo adquisicion: Entidad"</f>
        <v>Descripcion: MIDE 233X435 CM Estado: Bueno Placa anterior:  Material: METAL Y VIDRIO CORRUGADO Color: GRIS Referencia:  Observacion:  Placa padre: Tipo adquisicion: Entidad</v>
      </c>
      <c r="G9666" s="5"/>
    </row>
    <row r="9667" spans="1:7" ht="58.5" customHeight="1" x14ac:dyDescent="0.25">
      <c r="A9667" s="5" t="str">
        <f>"H0004100"</f>
        <v>H0004100</v>
      </c>
      <c r="B9667" s="5" t="str">
        <f>"LOCKER DE 2 COMPARTIMIENTOS"</f>
        <v>LOCKER DE 2 COMPARTIMIENTOS</v>
      </c>
      <c r="C9667" s="6">
        <v>10384</v>
      </c>
      <c r="D9667" s="5"/>
      <c r="E9667" s="5" t="str">
        <f t="shared" si="494"/>
        <v>ACTISALUD-RADIOLOGIA-ANDREA LARA</v>
      </c>
      <c r="F9667" s="5" t="str">
        <f>"Descripcion:  MIDE 171X40,5X50 CM  Estado: Bueno Placa anterior: 000008761 Material: METAL Color: GRIS Referencia:  Observacion:  Placa padre: Tipo adquisicion: Entidad"</f>
        <v>Descripcion:  MIDE 171X40,5X50 CM  Estado: Bueno Placa anterior: 000008761 Material: METAL Color: GRIS Referencia:  Observacion:  Placa padre: Tipo adquisicion: Entidad</v>
      </c>
      <c r="G9667" s="5"/>
    </row>
    <row r="9668" spans="1:7" ht="58.5" customHeight="1" x14ac:dyDescent="0.25">
      <c r="A9668" s="5" t="str">
        <f>"H0004102"</f>
        <v>H0004102</v>
      </c>
      <c r="B9668" s="5" t="str">
        <f>"LOCKER DE 4 COMPARTIMIENTOS"</f>
        <v>LOCKER DE 4 COMPARTIMIENTOS</v>
      </c>
      <c r="C9668" s="6">
        <v>94848</v>
      </c>
      <c r="D9668" s="5"/>
      <c r="E9668" s="5" t="str">
        <f t="shared" si="494"/>
        <v>ACTISALUD-RADIOLOGIA-ANDREA LARA</v>
      </c>
      <c r="F9668" s="5" t="str">
        <f>"Descripcion: MIDE 181X61X35 Estado: Bueno Placa anterior: 000018614 Material: METAL Color: GRIS Referencia:  Observacion: AUTORIZADO CONCILIAR EN CRUCE GENERAL Placa padre: Tipo adquisicion: Entidad"</f>
        <v>Descripcion: MIDE 181X61X35 Estado: Bueno Placa anterior: 000018614 Material: METAL Color: GRIS Referencia:  Observacion: AUTORIZADO CONCILIAR EN CRUCE GENERAL Placa padre: Tipo adquisicion: Entidad</v>
      </c>
      <c r="G9668" s="5"/>
    </row>
    <row r="9669" spans="1:7" ht="58.5" customHeight="1" x14ac:dyDescent="0.25">
      <c r="A9669" s="5" t="str">
        <f>"H0004103"</f>
        <v>H0004103</v>
      </c>
      <c r="B9669" s="5" t="str">
        <f>"SILLA INTERLOCUTORA (FIJA) CON BRAZOS"</f>
        <v>SILLA INTERLOCUTORA (FIJA) CON BRAZOS</v>
      </c>
      <c r="C9669" s="6">
        <v>96672</v>
      </c>
      <c r="D9669" s="5"/>
      <c r="E9669" s="5" t="str">
        <f t="shared" si="494"/>
        <v>ACTISALUD-RADIOLOGIA-ANDREA LARA</v>
      </c>
      <c r="F9669" s="5" t="str">
        <f>"Descripcion: SILLA RECIBIDORA CORDOBAN COLOR NEGRO C/BRAZOS TAPIZADO EN SISNTETICO Estado: Bueno Placa anterior: 000013288 Material: MADERA Color: MARRON Y NEGRO Referencia:  Observacion:  Placa padre: Tipo adquisicion: Entidad"</f>
        <v>Descripcion: SILLA RECIBIDORA CORDOBAN COLOR NEGRO C/BRAZOS TAPIZADO EN SISNTETICO Estado: Bueno Placa anterior: 000013288 Material: MADERA Color: MARRON Y NEGRO Referencia:  Observacion:  Placa padre: Tipo adquisicion: Entidad</v>
      </c>
      <c r="G9669" s="5"/>
    </row>
    <row r="9670" spans="1:7" ht="58.5" customHeight="1" x14ac:dyDescent="0.25">
      <c r="A9670" s="5" t="str">
        <f>"H0004107"</f>
        <v>H0004107</v>
      </c>
      <c r="B9670" s="5" t="str">
        <f>"LOCKER DE 2 COMPARTIMIENTOS"</f>
        <v>LOCKER DE 2 COMPARTIMIENTOS</v>
      </c>
      <c r="C9670" s="6">
        <v>10384</v>
      </c>
      <c r="D9670" s="5"/>
      <c r="E9670" s="5" t="str">
        <f t="shared" si="494"/>
        <v>ACTISALUD-RADIOLOGIA-ANDREA LARA</v>
      </c>
      <c r="F9670" s="5" t="str">
        <f>"Descripcion: LOCKER TIPO C (2 PUESTOS) MIDE 180X33X30 Estado: Bueno Placa anterior: 000008779 Material: METAL Color: GRIS Referencia:  Observacion:  Placa padre: Tipo adquisicion: Entidad"</f>
        <v>Descripcion: LOCKER TIPO C (2 PUESTOS) MIDE 180X33X30 Estado: Bueno Placa anterior: 000008779 Material: METAL Color: GRIS Referencia:  Observacion:  Placa padre: Tipo adquisicion: Entidad</v>
      </c>
      <c r="G9670" s="5"/>
    </row>
    <row r="9671" spans="1:7" ht="58.5" customHeight="1" x14ac:dyDescent="0.25">
      <c r="A9671" s="5" t="str">
        <f>"H0004108"</f>
        <v>H0004108</v>
      </c>
      <c r="B9671" s="5" t="str">
        <f>"MULTIMUEBLE DE MADERA"</f>
        <v>MULTIMUEBLE DE MADERA</v>
      </c>
      <c r="C9671" s="6">
        <v>27280</v>
      </c>
      <c r="D9671" s="5"/>
      <c r="E9671" s="5" t="str">
        <f t="shared" si="494"/>
        <v>ACTISALUD-RADIOLOGIA-ANDREA LARA</v>
      </c>
      <c r="F9671" s="5" t="str">
        <f>"Descripcion: 2 PUERTAS  3 ENTREPAÑOS, 4 COMPARTIMIENTOS Estado: Bueno Placa anterior: 000008766 Material: METAL Color: GRS Referencia:  Observacion:  Placa padre: Tipo adquisicion: Entidad"</f>
        <v>Descripcion: 2 PUERTAS  3 ENTREPAÑOS, 4 COMPARTIMIENTOS Estado: Bueno Placa anterior: 000008766 Material: METAL Color: GRS Referencia:  Observacion:  Placa padre: Tipo adquisicion: Entidad</v>
      </c>
      <c r="G9671" s="5"/>
    </row>
    <row r="9672" spans="1:7" ht="58.5" customHeight="1" x14ac:dyDescent="0.25">
      <c r="A9672" s="5" t="str">
        <f>"H0004109"</f>
        <v>H0004109</v>
      </c>
      <c r="B9672" s="5" t="str">
        <f>"LOCKER DE 2 COMPARTIMIENTOS"</f>
        <v>LOCKER DE 2 COMPARTIMIENTOS</v>
      </c>
      <c r="C9672" s="6">
        <v>10384</v>
      </c>
      <c r="D9672" s="5"/>
      <c r="E9672" s="5" t="str">
        <f t="shared" si="494"/>
        <v>ACTISALUD-RADIOLOGIA-ANDREA LARA</v>
      </c>
      <c r="F9672" s="5" t="str">
        <f>"Descripcion: LOCKER TIPO C (2 PUESTOS) MIDE 185,5X31X29,5 CM Estado: Bueno Placa anterior: 000008780 Material: METAL Color: GRIS Referencia:  Observacion:  Placa padre: Tipo adquisicion: Entidad"</f>
        <v>Descripcion: LOCKER TIPO C (2 PUESTOS) MIDE 185,5X31X29,5 CM Estado: Bueno Placa anterior: 000008780 Material: METAL Color: GRIS Referencia:  Observacion:  Placa padre: Tipo adquisicion: Entidad</v>
      </c>
      <c r="G9672" s="5"/>
    </row>
    <row r="9673" spans="1:7" ht="58.5" customHeight="1" x14ac:dyDescent="0.25">
      <c r="A9673" s="5" t="str">
        <f>"H0004110"</f>
        <v>H0004110</v>
      </c>
      <c r="B9673" s="5" t="str">
        <f>"LOCKER DE 2 COMPARTIMIENTOS"</f>
        <v>LOCKER DE 2 COMPARTIMIENTOS</v>
      </c>
      <c r="C9673" s="6">
        <v>10384</v>
      </c>
      <c r="D9673" s="5"/>
      <c r="E9673" s="5" t="str">
        <f t="shared" si="494"/>
        <v>ACTISALUD-RADIOLOGIA-ANDREA LARA</v>
      </c>
      <c r="F9673" s="5" t="str">
        <f>"Descripcion: LOCKER 2 PUESTOS MIDE 185,5X31X29,5 CM Estado: Bueno Placa anterior: 000008759 Material: METAL Color: GRIS Referencia:  Observacion:  Placa padre: Tipo adquisicion: Entidad"</f>
        <v>Descripcion: LOCKER 2 PUESTOS MIDE 185,5X31X29,5 CM Estado: Bueno Placa anterior: 000008759 Material: METAL Color: GRIS Referencia:  Observacion:  Placa padre: Tipo adquisicion: Entidad</v>
      </c>
      <c r="G9673" s="5"/>
    </row>
    <row r="9674" spans="1:7" ht="58.5" customHeight="1" x14ac:dyDescent="0.25">
      <c r="A9674" s="5" t="str">
        <f>"H0004112"</f>
        <v>H0004112</v>
      </c>
      <c r="B9674" s="5" t="str">
        <f>"UNIDAD ININTERRUMPIDA DE POTENCIA (UPS) 750W"</f>
        <v>UNIDAD ININTERRUMPIDA DE POTENCIA (UPS) 750W</v>
      </c>
      <c r="C9674" s="6">
        <v>1183673</v>
      </c>
      <c r="D9674" s="5" t="s">
        <v>530</v>
      </c>
      <c r="E9674" s="5" t="str">
        <f t="shared" si="494"/>
        <v>ACTISALUD-RADIOLOGIA-ANDREA LARA</v>
      </c>
      <c r="F9674" s="5" t="str">
        <f>"Descripcion: 1000 VATIOS 2 CONECTORES Estado: Bueno Placa anterior: 000029788 Material: METAL Color: NEGRO Referencia:  Observacion: FUNCIONARIO AUTORIZA SE CONCILIE CON PLACA 000029788  Placa padre: Tipo adquisicion: Entidad"</f>
        <v>Descripcion: 1000 VATIOS 2 CONECTORES Estado: Bueno Placa anterior: 000029788 Material: METAL Color: NEGRO Referencia:  Observacion: FUNCIONARIO AUTORIZA SE CONCILIE CON PLACA 000029788  Placa padre: Tipo adquisicion: Entidad</v>
      </c>
      <c r="G9674" s="5" t="str">
        <f>"TY1000"</f>
        <v>TY1000</v>
      </c>
    </row>
    <row r="9675" spans="1:7" ht="58.5" customHeight="1" x14ac:dyDescent="0.25">
      <c r="A9675" s="5" t="str">
        <f>"H0004114"</f>
        <v>H0004114</v>
      </c>
      <c r="B9675" s="5" t="str">
        <f>"NEGATOSCOPIO"</f>
        <v>NEGATOSCOPIO</v>
      </c>
      <c r="C9675" s="6">
        <v>359600</v>
      </c>
      <c r="D9675" s="5"/>
      <c r="E9675" s="5" t="str">
        <f t="shared" ref="E9675:E9706" si="495">"ACTISALUD-RADIOLOGIA-ANDREA LARA"</f>
        <v>ACTISALUD-RADIOLOGIA-ANDREA LARA</v>
      </c>
      <c r="F9675" s="5" t="str">
        <f>"Descripcion: NEGATOSCOPIO DE DOS CUERPOS MIDE 47X76X10,5 Estado: Bueno Placa anterior: 000025670 Material: METAL Color: BLANCO Referencia:  Observacion:  Placa padre: Tipo adquisicion: Entidad"</f>
        <v>Descripcion: NEGATOSCOPIO DE DOS CUERPOS MIDE 47X76X10,5 Estado: Bueno Placa anterior: 000025670 Material: METAL Color: BLANCO Referencia:  Observacion:  Placa padre: Tipo adquisicion: Entidad</v>
      </c>
      <c r="G9675" s="5"/>
    </row>
    <row r="9676" spans="1:7" ht="58.5" customHeight="1" x14ac:dyDescent="0.25">
      <c r="A9676" s="5" t="str">
        <f>"H0004116"</f>
        <v>H0004116</v>
      </c>
      <c r="B9676" s="5" t="str">
        <f>"NEGATOSCOPIO"</f>
        <v>NEGATOSCOPIO</v>
      </c>
      <c r="C9676" s="6">
        <v>83306</v>
      </c>
      <c r="D9676" s="5"/>
      <c r="E9676" s="5" t="str">
        <f t="shared" si="495"/>
        <v>ACTISALUD-RADIOLOGIA-ANDREA LARA</v>
      </c>
      <c r="F9676" s="5" t="str">
        <f>"Descripcion:  DE DOS CUERPOS MIDE 47X76X10,5 CM Estado: Bueno Placa anterior: 000008727 Material: METAL Color: BLANCO Referencia:  Observacion: FUNCIONARIO AUTORIZA SE CONCILIE CON PLACA 000008727 Placa padre: Tipo adquisicion: Entidad"</f>
        <v>Descripcion:  DE DOS CUERPOS MIDE 47X76X10,5 CM Estado: Bueno Placa anterior: 000008727 Material: METAL Color: BLANCO Referencia:  Observacion: FUNCIONARIO AUTORIZA SE CONCILIE CON PLACA 000008727 Placa padre: Tipo adquisicion: Entidad</v>
      </c>
      <c r="G9676" s="5"/>
    </row>
    <row r="9677" spans="1:7" ht="58.5" customHeight="1" x14ac:dyDescent="0.25">
      <c r="A9677" s="5" t="str">
        <f>"H0004137"</f>
        <v>H0004137</v>
      </c>
      <c r="B9677" s="5" t="str">
        <f>"MESA DE MADERA CON 3 GAVETAS"</f>
        <v>MESA DE MADERA CON 3 GAVETAS</v>
      </c>
      <c r="C9677" s="6">
        <v>61522.5</v>
      </c>
      <c r="D9677" s="5"/>
      <c r="E9677" s="5" t="str">
        <f t="shared" si="495"/>
        <v>ACTISALUD-RADIOLOGIA-ANDREA LARA</v>
      </c>
      <c r="F9677" s="5" t="str">
        <f>"Descripcion: CON BASE TAPIZADO EN SINTETICO Y LA SUPERFICIE MIDE 74X153X60,5 CM Estado: Bueno Placa anterior: 000002428 Material: MADERA Color: NEGRO Referencia:  Observacion: FUNCIONARIO AUTORIZA SE CONCILIE CON PLACA  000002428 Placa padre: Tipo adquisi"&amp; "cion: Entidad"</f>
        <v>Descripcion: CON BASE TAPIZADO EN SINTETICO Y LA SUPERFICIE MIDE 74X153X60,5 CM Estado: Bueno Placa anterior: 000002428 Material: MADERA Color: NEGRO Referencia:  Observacion: FUNCIONARIO AUTORIZA SE CONCILIE CON PLACA  000002428 Placa padre: Tipo adquisicion: Entidad</v>
      </c>
      <c r="G9677" s="5"/>
    </row>
    <row r="9678" spans="1:7" ht="58.5" customHeight="1" x14ac:dyDescent="0.25">
      <c r="A9678" s="5" t="str">
        <f>"H0004139"</f>
        <v>H0004139</v>
      </c>
      <c r="B9678" s="5" t="str">
        <f>"MESA DE MADERA CON 3 GAVETAS"</f>
        <v>MESA DE MADERA CON 3 GAVETAS</v>
      </c>
      <c r="C9678" s="6">
        <v>39672</v>
      </c>
      <c r="D9678" s="5"/>
      <c r="E9678" s="5" t="str">
        <f t="shared" si="495"/>
        <v>ACTISALUD-RADIOLOGIA-ANDREA LARA</v>
      </c>
      <c r="F9678" s="5" t="str">
        <f>"Descripcion: COSTADOS BASES TAPIZADO EN SINTETICO Y LA SUPERFICIE MIDE 74X153X60,5 CM Estado: Bueno Placa anterior: 000008791 Material: MADERA Color: NEGRO Referencia:  Observacion:  Placa padre: Tipo adquisicion: Entidad"</f>
        <v>Descripcion: COSTADOS BASES TAPIZADO EN SINTETICO Y LA SUPERFICIE MIDE 74X153X60,5 CM Estado: Bueno Placa anterior: 000008791 Material: MADERA Color: NEGRO Referencia:  Observacion:  Placa padre: Tipo adquisicion: Entidad</v>
      </c>
      <c r="G9678" s="5"/>
    </row>
    <row r="9679" spans="1:7" ht="58.5" customHeight="1" x14ac:dyDescent="0.25">
      <c r="A9679" s="5" t="str">
        <f>"H0004144"</f>
        <v>H0004144</v>
      </c>
      <c r="B9679" s="5" t="str">
        <f>"MESA METALICA AUXILIAR 2 GAVETAS"</f>
        <v>MESA METALICA AUXILIAR 2 GAVETAS</v>
      </c>
      <c r="C9679" s="6">
        <v>7800</v>
      </c>
      <c r="D9679" s="5"/>
      <c r="E9679" s="5" t="str">
        <f t="shared" si="495"/>
        <v>ACTISALUD-RADIOLOGIA-ANDREA LARA</v>
      </c>
      <c r="F9679" s="5" t="str">
        <f>"Descripcion: MESA MECANOGRAFA SIN ALA Estado: Bueno Placa anterior: 000008673 Material: METALICA Color: GRIS Y MARRON Referencia:  Observacion: MESA METALICA CON FORMICA EN LA SUPERFICIE DOS GAVETAS, DIMEN: 74X65X50 CM Placa padre: Tipo adquisicion: Entid"&amp; "ad"</f>
        <v>Descripcion: MESA MECANOGRAFA SIN ALA Estado: Bueno Placa anterior: 000008673 Material: METALICA Color: GRIS Y MARRON Referencia:  Observacion: MESA METALICA CON FORMICA EN LA SUPERFICIE DOS GAVETAS, DIMEN: 74X65X50 CM Placa padre: Tipo adquisicion: Entidad</v>
      </c>
      <c r="G9679" s="5"/>
    </row>
    <row r="9680" spans="1:7" ht="58.5" customHeight="1" x14ac:dyDescent="0.25">
      <c r="A9680" s="5" t="str">
        <f>"H0004174"</f>
        <v>H0004174</v>
      </c>
      <c r="B9680" s="5" t="str">
        <f>"VITRINA DE 2 CUERPOS"</f>
        <v>VITRINA DE 2 CUERPOS</v>
      </c>
      <c r="C9680" s="6">
        <v>75021.399999999994</v>
      </c>
      <c r="D9680" s="5"/>
      <c r="E9680" s="5" t="str">
        <f t="shared" si="495"/>
        <v>ACTISALUD-RADIOLOGIA-ANDREA LARA</v>
      </c>
      <c r="F9680" s="5" t="str">
        <f>"Descripcion: VITRINA DE 2 CUERPOS MIDE 160X80X40 CM 2 PUERTA  3 ENTRPAÑOS EN VIDRIO PARA 4 COMPARTIMIENTOS , DOS GAVETAS Y DOS CAJONES  Estado: Bueno Placa anterior: 000006052 Material: METALICO Color: GRIS Referencia:  Observacion:  Placa padre: Tipo adq"&amp; "uisicion: Entidad"</f>
        <v>Descripcion: VITRINA DE 2 CUERPOS MIDE 160X80X40 CM 2 PUERTA  3 ENTRPAÑOS EN VIDRIO PARA 4 COMPARTIMIENTOS , DOS GAVETAS Y DOS CAJONES  Estado: Bueno Placa anterior: 000006052 Material: METALICO Color: GRIS Referencia:  Observacion:  Placa padre: Tipo adquisicion: Entidad</v>
      </c>
      <c r="G9680" s="5"/>
    </row>
    <row r="9681" spans="1:7" ht="58.5" customHeight="1" x14ac:dyDescent="0.25">
      <c r="A9681" s="5" t="str">
        <f>"H0004209"</f>
        <v>H0004209</v>
      </c>
      <c r="B9681" s="5" t="str">
        <f>"AIRE ACONDICIONADO TIPO SPLIT 12000 BTU"</f>
        <v>AIRE ACONDICIONADO TIPO SPLIT 12000 BTU</v>
      </c>
      <c r="C9681" s="6">
        <v>4512400</v>
      </c>
      <c r="D9681" s="5" t="s">
        <v>146</v>
      </c>
      <c r="E9681" s="5" t="str">
        <f t="shared" si="495"/>
        <v>ACTISALUD-RADIOLOGIA-ANDREA LARA</v>
      </c>
      <c r="F9681" s="5" t="str">
        <f>"Descripcion: AIRE ACONDICIONADO CAPACIDAD 12600 BTU Equipo tipo mini Split, consola de lujo, con control remoto y uso refrigerante ecologico.sistema inverter.Debe incluir display para ser monitoreado por sistema central Estado: Bueno Placa anterior: 00003"&amp; "6377 Material: PASTA Color: BLANCO Referencia:  Observacion:  Placa padre: Tipo adquisicion: Entidad"</f>
        <v>Descripcion: AIRE ACONDICIONADO CAPACIDAD 12600 BTU Equipo tipo mini Split, consola de lujo, con control remoto y uso refrigerante ecologico.sistema inverter.Debe incluir display para ser monitoreado por sistema central Estado: Bueno Placa anterior: 000036377 Material: PASTA Color: BLANCO Referencia:  Observacion:  Placa padre: Tipo adquisicion: Entidad</v>
      </c>
      <c r="G9681" s="5" t="str">
        <f>"VM122CE NB3"</f>
        <v>VM122CE NB3</v>
      </c>
    </row>
    <row r="9682" spans="1:7" ht="58.5" customHeight="1" x14ac:dyDescent="0.25">
      <c r="A9682" s="5" t="str">
        <f>"H0004675"</f>
        <v>H0004675</v>
      </c>
      <c r="B9682" s="5" t="str">
        <f>"VITRINA DE 1 CUERPO"</f>
        <v>VITRINA DE 1 CUERPO</v>
      </c>
      <c r="C9682" s="6">
        <v>8305</v>
      </c>
      <c r="D9682" s="5"/>
      <c r="E9682" s="5" t="str">
        <f t="shared" si="495"/>
        <v>ACTISALUD-RADIOLOGIA-ANDREA LARA</v>
      </c>
      <c r="F9682" s="5" t="str">
        <f>"Descripcion:BIBLIOTECA METALICA.VITRINA DIMENSIONES: 73X93X36 Estado: Bueno Placa anterior: 000010789 Material: METALICA Y VIDRIO Color: GRIS Referencia:  Observacion:  Placa padre:  Tipo adquisicion : Entidad"</f>
        <v>Descripcion:BIBLIOTECA METALICA.VITRINA DIMENSIONES: 73X93X36 Estado: Bueno Placa anterior: 000010789 Material: METALICA Y VIDRIO Color: GRIS Referencia:  Observacion:  Placa padre:  Tipo adquisicion : Entidad</v>
      </c>
      <c r="G9682" s="5"/>
    </row>
    <row r="9683" spans="1:7" ht="58.5" customHeight="1" x14ac:dyDescent="0.25">
      <c r="A9683" s="5" t="str">
        <f>"H0007880"</f>
        <v>H0007880</v>
      </c>
      <c r="B9683" s="5" t="str">
        <f>"CAMARA DE VIDEOVIGILANCIA"</f>
        <v>CAMARA DE VIDEOVIGILANCIA</v>
      </c>
      <c r="C9683" s="6">
        <v>371000</v>
      </c>
      <c r="D9683" s="5" t="s">
        <v>213</v>
      </c>
      <c r="E9683" s="5" t="str">
        <f t="shared" si="495"/>
        <v>ACTISALUD-RADIOLOGIA-ANDREA LARA</v>
      </c>
      <c r="F9683" s="5" t="str">
        <f>"Descripcion: CAMARA IP TIPO DOMO 2 MPX LENTE DE 2.8 mm PoE 1/3 (WI-FI) Estado: Bueno Placa anterior: 000038213 Material:  Color:  Referencia:  Observacion:  Placa padre: Tipo adquisicion: Entidad"</f>
        <v>Descripcion: CAMARA IP TIPO DOMO 2 MPX LENTE DE 2.8 mm PoE 1/3 (WI-FI) Estado: Bueno Placa anterior: 000038213 Material:  Color:  Referencia:  Observacion:  Placa padre: Tipo adquisicion: Entidad</v>
      </c>
      <c r="G9683" s="5"/>
    </row>
    <row r="9684" spans="1:7" ht="58.5" customHeight="1" x14ac:dyDescent="0.25">
      <c r="A9684" s="5" t="str">
        <f>"H0008310"</f>
        <v>H0008310</v>
      </c>
      <c r="B9684" s="5" t="str">
        <f>"CARRO DE PARO"</f>
        <v>CARRO DE PARO</v>
      </c>
      <c r="C9684" s="6">
        <v>2200000</v>
      </c>
      <c r="D9684" s="5"/>
      <c r="E9684" s="5" t="str">
        <f t="shared" si="495"/>
        <v>ACTISALUD-RADIOLOGIA-ANDREA LARA</v>
      </c>
      <c r="F9684" s="5" t="str">
        <f>"Descripcion: CARRO DE PARO SENCILLO Estado: Bueno Placa anterior: 000032682 Material: METALICO Color: BEIGE Referencia:  Observacion:  Placa padre: Tipo adquisicion: Entidad"</f>
        <v>Descripcion: CARRO DE PARO SENCILLO Estado: Bueno Placa anterior: 000032682 Material: METALICO Color: BEIGE Referencia:  Observacion:  Placa padre: Tipo adquisicion: Entidad</v>
      </c>
      <c r="G9684" s="5"/>
    </row>
    <row r="9685" spans="1:7" ht="58.5" customHeight="1" x14ac:dyDescent="0.25">
      <c r="A9685" s="5" t="str">
        <f>"H0008315"</f>
        <v>H0008315</v>
      </c>
      <c r="B9685" s="5" t="str">
        <f>"LARINGOSCOPIO ADULTO"</f>
        <v>LARINGOSCOPIO ADULTO</v>
      </c>
      <c r="C9685" s="6">
        <v>1200000</v>
      </c>
      <c r="D9685" s="5"/>
      <c r="E9685" s="5" t="str">
        <f t="shared" si="495"/>
        <v>ACTISALUD-RADIOLOGIA-ANDREA LARA</v>
      </c>
      <c r="F9685" s="5" t="str">
        <f>"Descripcion: LARINGOSCOPIO ADULTO (INCLUYE HOJAS #1,2,3 Y 4) Estado: Bueno Placa anterior: 000027901 Material: ACERO INOX. Color: ESTUCHE NEGRO Referencia:  Observacion:  Placa padre: Tipo adquisicion: Entidad"</f>
        <v>Descripcion: LARINGOSCOPIO ADULTO (INCLUYE HOJAS #1,2,3 Y 4) Estado: Bueno Placa anterior: 000027901 Material: ACERO INOX. Color: ESTUCHE NEGRO Referencia:  Observacion:  Placa padre: Tipo adquisicion: Entidad</v>
      </c>
      <c r="G9685" s="5"/>
    </row>
    <row r="9686" spans="1:7" ht="58.5" customHeight="1" x14ac:dyDescent="0.25">
      <c r="A9686" s="5" t="str">
        <f>"H0009019"</f>
        <v>H0009019</v>
      </c>
      <c r="B9686" s="5" t="str">
        <f>"AIRE ACONDICIONADO 18000 BTU"</f>
        <v>AIRE ACONDICIONADO 18000 BTU</v>
      </c>
      <c r="C9686" s="6">
        <v>2436000</v>
      </c>
      <c r="D9686" s="5" t="s">
        <v>531</v>
      </c>
      <c r="E9686" s="5" t="str">
        <f t="shared" si="495"/>
        <v>ACTISALUD-RADIOLOGIA-ANDREA LARA</v>
      </c>
      <c r="F9686" s="5"/>
      <c r="G9686" s="5"/>
    </row>
    <row r="9687" spans="1:7" ht="58.5" customHeight="1" x14ac:dyDescent="0.25">
      <c r="A9687" s="5" t="str">
        <f>"H0009020"</f>
        <v>H0009020</v>
      </c>
      <c r="B9687" s="5" t="str">
        <f>"AIRE ACONDICIONADO TIPO SPLIT 24000 BTU"</f>
        <v>AIRE ACONDICIONADO TIPO SPLIT 24000 BTU</v>
      </c>
      <c r="C9687" s="6">
        <v>3248000</v>
      </c>
      <c r="D9687" s="5" t="s">
        <v>531</v>
      </c>
      <c r="E9687" s="5" t="str">
        <f t="shared" si="495"/>
        <v>ACTISALUD-RADIOLOGIA-ANDREA LARA</v>
      </c>
      <c r="F9687" s="5"/>
      <c r="G9687" s="5"/>
    </row>
    <row r="9688" spans="1:7" ht="58.5" customHeight="1" x14ac:dyDescent="0.25">
      <c r="A9688" s="5" t="str">
        <f>"H0009315"</f>
        <v>H0009315</v>
      </c>
      <c r="B9688" s="5" t="str">
        <f>"MONITOR DE SIGNOS VITALES"</f>
        <v>MONITOR DE SIGNOS VITALES</v>
      </c>
      <c r="C9688" s="6">
        <v>4002000</v>
      </c>
      <c r="D9688" s="5" t="s">
        <v>166</v>
      </c>
      <c r="E9688" s="5" t="str">
        <f t="shared" si="495"/>
        <v>ACTISALUD-RADIOLOGIA-ANDREA LARA</v>
      </c>
      <c r="F9688"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000031409 Material: PASTA Color: BLANCO CON GRIS Referencia:  Observacion: BUEN ESATDO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000031409 Material: PASTA Color: BLANCO CON GRIS Referencia:  Observacion: BUEN ESATDO Placa padre: Tipo adquisicion: Entidad</v>
      </c>
      <c r="G9688" s="5" t="str">
        <f>"IMEC10"</f>
        <v>IMEC10</v>
      </c>
    </row>
    <row r="9689" spans="1:7" ht="58.5" customHeight="1" x14ac:dyDescent="0.25">
      <c r="A9689" s="5" t="str">
        <f>"H0011718"</f>
        <v>H0011718</v>
      </c>
      <c r="B9689" s="5" t="str">
        <f>"ASPIRADOR DE SECRECIONES"</f>
        <v>ASPIRADOR DE SECRECIONES</v>
      </c>
      <c r="C9689" s="6">
        <v>950000</v>
      </c>
      <c r="D9689" s="5" t="s">
        <v>532</v>
      </c>
      <c r="E9689" s="5" t="str">
        <f t="shared" si="495"/>
        <v>ACTISALUD-RADIOLOGIA-ANDREA LARA</v>
      </c>
      <c r="F9689" s="5" t="str">
        <f>"Descripcion: ASPIRADOR DE SECRECIONES REF. 1635 MCA THOMAS USA Estado: Bueno Placa anterior: 000029256 Material: METALICO Color: GRIS Referencia:  Observacion:  Placa padre: Tipo adquisicion: Entidad"</f>
        <v>Descripcion: ASPIRADOR DE SECRECIONES REF. 1635 MCA THOMAS USA Estado: Bueno Placa anterior: 000029256 Material: METALICO Color: GRIS Referencia:  Observacion:  Placa padre: Tipo adquisicion: Entidad</v>
      </c>
      <c r="G9689" s="5" t="str">
        <f>"1635"</f>
        <v>1635</v>
      </c>
    </row>
    <row r="9690" spans="1:7" ht="58.5" customHeight="1" x14ac:dyDescent="0.25">
      <c r="A9690" s="5" t="str">
        <f>"H0012727"</f>
        <v>H0012727</v>
      </c>
      <c r="B9690" s="5" t="str">
        <f>"ATRIL PORTASUERO MOVIL"</f>
        <v>ATRIL PORTASUERO MOVIL</v>
      </c>
      <c r="C9690" s="6">
        <v>7025</v>
      </c>
      <c r="D9690" s="5"/>
      <c r="E9690" s="5" t="str">
        <f t="shared" si="495"/>
        <v>ACTISALUD-RADIOLOGIA-ANDREA LARA</v>
      </c>
      <c r="F9690" s="5" t="str">
        <f>"Descripcion: ATRIL 184 CM Estado: Bueno Placa anterior: 000027705 Material: ACERO INOXIDABLE Color: PLATEADO Referencia:  Observacion:  Placa padre: Tipo adquisicion: Entidad"</f>
        <v>Descripcion: ATRIL 184 CM Estado: Bueno Placa anterior: 000027705 Material: ACERO INOXIDABLE Color: PLATEADO Referencia:  Observacion:  Placa padre: Tipo adquisicion: Entidad</v>
      </c>
      <c r="G9690" s="5"/>
    </row>
    <row r="9691" spans="1:7" ht="58.5" customHeight="1" x14ac:dyDescent="0.25">
      <c r="A9691" s="5" t="str">
        <f>"H0017740"</f>
        <v>H0017740</v>
      </c>
      <c r="B9691" s="5" t="str">
        <f>"COMPUTADOR TODO EN UNO"</f>
        <v>COMPUTADOR TODO EN UNO</v>
      </c>
      <c r="C9691" s="6">
        <v>1572000</v>
      </c>
      <c r="D9691" s="5" t="s">
        <v>32</v>
      </c>
      <c r="E9691" s="5" t="str">
        <f t="shared" si="495"/>
        <v>ACTISALUD-RADIOLOGIA-ANDREA LARA</v>
      </c>
      <c r="F9691" s="5" t="str">
        <f>"Descripcion:EQUIPOS DE COMPUTO TODO EN UNO PROCESADOR CORE 3.0 SUPERIOR CORPORATIVO WINDOWS 8 PRO- OFFICE 2013 SMALL BUSINES, TECNOLOGIA HT DE INTEL GARANTIA EXTENDIDA A 3 AÑOS Estado: Bueno Placa anterior: 000030576 Material: PLASTICO Color: NEGRO Refere"&amp; "ncia:  Observacion:  Placa anterior:, Placa nueva=H0017741, Descripcion:TECLADO USB, Serial:XNC407055116, Marca:GENIUS, Modelo:, Material:PLASTICO, Color:NEGRO,   Referencia:, Placa anterior:, Placa nueva=H0017742, Descripcion:MOUSE USB, Serial:, Marca:ST"&amp; "ARTECK, Modelo:, Material:PLASTICO, Color:NEGRO,   Referencia: Placa padre:  Tipo adquisicion : Entidad"</f>
        <v>Descripcion:EQUIPOS DE COMPUTO TODO EN UNO PROCESADOR CORE 3.0 SUPERIOR CORPORATIVO WINDOWS 8 PRO- OFFICE 2013 SMALL BUSINES, TECNOLOGIA HT DE INTEL GARANTIA EXTENDIDA A 3 AÑOS Estado: Bueno Placa anterior: 000030576 Material: PLASTICO Color: NEGRO Referencia:  Observacion:  Placa anterior:, Placa nueva=H0017741, Descripcion:TECLADO USB, Serial:XNC407055116, Marca:GENIUS, Modelo:, Material:PLASTICO, Color:NEGRO,   Referencia:, Placa anterior:, Placa nueva=H0017742, Descripcion:MOUSE USB, Serial:, Marca:STARTECK, Modelo:, Material:PLASTICO, Color:NEGRO,   Referencia: Placa padre:  Tipo adquisicion : Entidad</v>
      </c>
      <c r="G9691" s="5" t="str">
        <f>"COMPAQ PRO 4300"</f>
        <v>COMPAQ PRO 4300</v>
      </c>
    </row>
    <row r="9692" spans="1:7" ht="58.5" customHeight="1" x14ac:dyDescent="0.25">
      <c r="A9692" s="5" t="str">
        <f>"H0017900"</f>
        <v>H0017900</v>
      </c>
      <c r="B9692" s="5" t="str">
        <f>"CARRO PARA TRANSPORTE BALA DE OXIGENO"</f>
        <v>CARRO PARA TRANSPORTE BALA DE OXIGENO</v>
      </c>
      <c r="C9692" s="6">
        <v>13256.97</v>
      </c>
      <c r="D9692" s="5"/>
      <c r="E9692" s="5" t="str">
        <f t="shared" si="495"/>
        <v>ACTISALUD-RADIOLOGIA-ANDREA LARA</v>
      </c>
      <c r="F9692" s="5" t="str">
        <f>"Descripcion:CARRO TRANSPORTAR OXIGENO Estado: Bueno Placa anterior: 000003331 Material: METAL Color: BLANCO Referencia:  Observacion:  Placa padre:  Tipo adquisicion : Entidad"</f>
        <v>Descripcion:CARRO TRANSPORTAR OXIGENO Estado: Bueno Placa anterior: 000003331 Material: METAL Color: BLANCO Referencia:  Observacion:  Placa padre:  Tipo adquisicion : Entidad</v>
      </c>
      <c r="G9692" s="5"/>
    </row>
    <row r="9693" spans="1:7" ht="58.5" customHeight="1" x14ac:dyDescent="0.25">
      <c r="A9693" s="5" t="str">
        <f>"H0021961"</f>
        <v>H0021961</v>
      </c>
      <c r="B9693" s="5" t="str">
        <f>"PROTECTORES DE GONADAS"</f>
        <v>PROTECTORES DE GONADAS</v>
      </c>
      <c r="C9693" s="6">
        <v>34200</v>
      </c>
      <c r="D9693" s="5"/>
      <c r="E9693" s="5" t="str">
        <f t="shared" si="495"/>
        <v>ACTISALUD-RADIOLOGIA-ANDREA LARA</v>
      </c>
      <c r="F9693" s="5" t="str">
        <f>"Descripcion: PROTECTORES DE GONADAS C/UNA EQUIVALENCIA MCA. PRAYOX Estado: Bueno Placa anterior: 000009655 Material:  Color: AZUL Referencia:  Observacion:  Placa padre: Tipo adquisicion: Entidad"</f>
        <v>Descripcion: PROTECTORES DE GONADAS C/UNA EQUIVALENCIA MCA. PRAYOX Estado: Bueno Placa anterior: 000009655 Material:  Color: AZUL Referencia:  Observacion:  Placa padre: Tipo adquisicion: Entidad</v>
      </c>
      <c r="G9693" s="5"/>
    </row>
    <row r="9694" spans="1:7" ht="58.5" customHeight="1" x14ac:dyDescent="0.25">
      <c r="A9694" s="5" t="str">
        <f>"H0021962"</f>
        <v>H0021962</v>
      </c>
      <c r="B9694" s="5" t="str">
        <f>"PROTECTORES DE GONADAS"</f>
        <v>PROTECTORES DE GONADAS</v>
      </c>
      <c r="C9694" s="6">
        <v>34200</v>
      </c>
      <c r="D9694" s="5"/>
      <c r="E9694" s="5" t="str">
        <f t="shared" si="495"/>
        <v>ACTISALUD-RADIOLOGIA-ANDREA LARA</v>
      </c>
      <c r="F9694" s="5" t="str">
        <f>"Descripcion: PROTECTORES DE GONADAS C/UNA EQUIVALENCIA MCA. PRAYOX Estado: Bueno Placa anterior: 000009656 Material:  Color: AZUL Referencia:  Observacion:  Placa padre: Tipo adquisicion: Entidad"</f>
        <v>Descripcion: PROTECTORES DE GONADAS C/UNA EQUIVALENCIA MCA. PRAYOX Estado: Bueno Placa anterior: 000009656 Material:  Color: AZUL Referencia:  Observacion:  Placa padre: Tipo adquisicion: Entidad</v>
      </c>
      <c r="G9694" s="5"/>
    </row>
    <row r="9695" spans="1:7" ht="58.5" customHeight="1" x14ac:dyDescent="0.25">
      <c r="A9695" s="5" t="str">
        <f>"H0024609"</f>
        <v>H0024609</v>
      </c>
      <c r="B969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9695" s="6">
        <v>2600000</v>
      </c>
      <c r="D9695" s="5" t="s">
        <v>36</v>
      </c>
      <c r="E9695" s="5" t="str">
        <f t="shared" si="495"/>
        <v>ACTISALUD-RADIOLOGIA-ANDREA LARA</v>
      </c>
      <c r="F9695" s="5"/>
      <c r="G9695" s="5"/>
    </row>
    <row r="9696" spans="1:7" ht="58.5" customHeight="1" x14ac:dyDescent="0.25">
      <c r="A9696" s="5" t="str">
        <f>"H0025454"</f>
        <v>H0025454</v>
      </c>
      <c r="B969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696" s="6">
        <v>312156</v>
      </c>
      <c r="D9696" s="5" t="s">
        <v>10</v>
      </c>
      <c r="E9696" s="5" t="str">
        <f t="shared" si="495"/>
        <v>ACTISALUD-RADIOLOGIA-ANDREA LARA</v>
      </c>
      <c r="F9696" s="5"/>
      <c r="G9696" s="5"/>
    </row>
    <row r="9697" spans="1:7" ht="58.5" customHeight="1" x14ac:dyDescent="0.25">
      <c r="A9697" s="5" t="str">
        <f>"H0025656"</f>
        <v>H0025656</v>
      </c>
      <c r="B9697" s="5" t="str">
        <f>"DESFRIBILADOR"</f>
        <v>DESFRIBILADOR</v>
      </c>
      <c r="C9697" s="6">
        <v>15345050</v>
      </c>
      <c r="D9697" s="5" t="s">
        <v>69</v>
      </c>
      <c r="E9697" s="5" t="str">
        <f t="shared" si="495"/>
        <v>ACTISALUD-RADIOLOGIA-ANDREA LARA</v>
      </c>
      <c r="F9697" s="5"/>
      <c r="G9697" s="5"/>
    </row>
    <row r="9698" spans="1:7" ht="58.5" customHeight="1" x14ac:dyDescent="0.25">
      <c r="A9698" s="5" t="str">
        <f>"h0025665"</f>
        <v>h0025665</v>
      </c>
      <c r="B9698" s="5" t="str">
        <f>"10+9999912940 CR MD 4.0 GENERAL SET HR 10X12 003030004 (CHASIS 10X12)"</f>
        <v>10+9999912940 CR MD 4.0 GENERAL SET HR 10X12 003030004 (CHASIS 10X12)</v>
      </c>
      <c r="C9698" s="6">
        <v>2938288.5</v>
      </c>
      <c r="D9698" s="5" t="s">
        <v>69</v>
      </c>
      <c r="E9698" s="5" t="str">
        <f t="shared" si="495"/>
        <v>ACTISALUD-RADIOLOGIA-ANDREA LARA</v>
      </c>
      <c r="F9698" s="5"/>
      <c r="G9698" s="5"/>
    </row>
    <row r="9699" spans="1:7" ht="58.5" customHeight="1" x14ac:dyDescent="0.25">
      <c r="A9699" s="5" t="str">
        <f>"H0025694"</f>
        <v>H0025694</v>
      </c>
      <c r="B9699" s="5" t="str">
        <f>"ECOGRAFO"</f>
        <v>ECOGRAFO</v>
      </c>
      <c r="C9699" s="6">
        <v>70100000</v>
      </c>
      <c r="D9699" s="5" t="s">
        <v>533</v>
      </c>
      <c r="E9699" s="5" t="str">
        <f t="shared" si="495"/>
        <v>ACTISALUD-RADIOLOGIA-ANDREA LARA</v>
      </c>
      <c r="F9699" s="5"/>
      <c r="G9699" s="5"/>
    </row>
    <row r="9700" spans="1:7" ht="58.5" customHeight="1" x14ac:dyDescent="0.25">
      <c r="A9700" s="5" t="str">
        <f>"H0025695"</f>
        <v>H0025695</v>
      </c>
      <c r="B9700" s="5" t="str">
        <f>"TRANSFORMADOR  ELEVADOR   TENSIONES 220/480  TRIFASICO SECO  CLASE H  DE 75 KVA"</f>
        <v>TRANSFORMADOR  ELEVADOR   TENSIONES 220/480  TRIFASICO SECO  CLASE H  DE 75 KVA</v>
      </c>
      <c r="C9700" s="6">
        <v>8200000</v>
      </c>
      <c r="D9700" s="5" t="s">
        <v>534</v>
      </c>
      <c r="E9700" s="5" t="str">
        <f t="shared" si="495"/>
        <v>ACTISALUD-RADIOLOGIA-ANDREA LARA</v>
      </c>
      <c r="F9700" s="5"/>
      <c r="G9700" s="5"/>
    </row>
    <row r="9701" spans="1:7" ht="58.5" customHeight="1" x14ac:dyDescent="0.25">
      <c r="A9701" s="5" t="str">
        <f>"H0025708"</f>
        <v>H0025708</v>
      </c>
      <c r="B9701" s="5" t="str">
        <f>"10+9999912820 CR MD 4.0 GENERAL ST HR 35X43 CM 00303001 (CHASIS 35X43)"</f>
        <v>10+9999912820 CR MD 4.0 GENERAL ST HR 35X43 CM 00303001 (CHASIS 35X43)</v>
      </c>
      <c r="C9701" s="6">
        <v>4314577</v>
      </c>
      <c r="D9701" s="5" t="s">
        <v>535</v>
      </c>
      <c r="E9701" s="5" t="str">
        <f t="shared" si="495"/>
        <v>ACTISALUD-RADIOLOGIA-ANDREA LARA</v>
      </c>
      <c r="F9701" s="5"/>
      <c r="G9701" s="5"/>
    </row>
    <row r="9702" spans="1:7" ht="58.5" customHeight="1" x14ac:dyDescent="0.25">
      <c r="A9702" s="5" t="str">
        <f>"H0025921"</f>
        <v>H0025921</v>
      </c>
      <c r="B9702" s="5" t="str">
        <f>"EQUIPO R. X. PORTATIL"</f>
        <v>EQUIPO R. X. PORTATIL</v>
      </c>
      <c r="C9702" s="6">
        <v>124810000</v>
      </c>
      <c r="D9702" s="5" t="s">
        <v>536</v>
      </c>
      <c r="E9702" s="5" t="str">
        <f t="shared" si="495"/>
        <v>ACTISALUD-RADIOLOGIA-ANDREA LARA</v>
      </c>
      <c r="F9702" s="5"/>
      <c r="G9702" s="5"/>
    </row>
    <row r="9703" spans="1:7" ht="58.5" customHeight="1" x14ac:dyDescent="0.25">
      <c r="A9703" s="5" t="str">
        <f>"H0025923"</f>
        <v>H0025923</v>
      </c>
      <c r="B9703" s="5" t="str">
        <f>"SISTEMA DE DIGITALIZACIÓN PARA RAYOS X"</f>
        <v>SISTEMA DE DIGITALIZACIÓN PARA RAYOS X</v>
      </c>
      <c r="C9703" s="6">
        <v>200900000</v>
      </c>
      <c r="D9703" s="5" t="s">
        <v>536</v>
      </c>
      <c r="E9703" s="5" t="str">
        <f t="shared" si="495"/>
        <v>ACTISALUD-RADIOLOGIA-ANDREA LARA</v>
      </c>
      <c r="F9703" s="5"/>
      <c r="G9703" s="5"/>
    </row>
    <row r="9704" spans="1:7" ht="58.5" customHeight="1" x14ac:dyDescent="0.25">
      <c r="A9704" s="5" t="str">
        <f>"H0025930"</f>
        <v>H0025930</v>
      </c>
      <c r="B9704" s="5" t="str">
        <f>"DIGITALIZADOR DE IMAGENES DE RADIOLOGIA"</f>
        <v>DIGITALIZADOR DE IMAGENES DE RADIOLOGIA</v>
      </c>
      <c r="C9704" s="6">
        <v>93359070</v>
      </c>
      <c r="D9704" s="5" t="s">
        <v>537</v>
      </c>
      <c r="E9704" s="5" t="str">
        <f t="shared" si="495"/>
        <v>ACTISALUD-RADIOLOGIA-ANDREA LARA</v>
      </c>
      <c r="F9704" s="5"/>
      <c r="G9704" s="5"/>
    </row>
    <row r="9705" spans="1:7" ht="58.5" customHeight="1" x14ac:dyDescent="0.25">
      <c r="A9705" s="5" t="str">
        <f>"H0025931"</f>
        <v>H0025931</v>
      </c>
      <c r="B9705" s="5" t="str">
        <f>"INTENSIFICADOR DE IMAGEN PARA RADIOLOGIA"</f>
        <v>INTENSIFICADOR DE IMAGEN PARA RADIOLOGIA</v>
      </c>
      <c r="C9705" s="6">
        <v>27394881</v>
      </c>
      <c r="D9705" s="5" t="s">
        <v>537</v>
      </c>
      <c r="E9705" s="5" t="str">
        <f t="shared" si="495"/>
        <v>ACTISALUD-RADIOLOGIA-ANDREA LARA</v>
      </c>
      <c r="F9705" s="5"/>
      <c r="G9705" s="5"/>
    </row>
    <row r="9706" spans="1:7" ht="58.5" customHeight="1" x14ac:dyDescent="0.25">
      <c r="A9706" s="5" t="str">
        <f>"H0025957"</f>
        <v>H0025957</v>
      </c>
      <c r="B9706" s="5" t="str">
        <f>"10+9999912820 CR MD 4.0 GENERAL ST HR 35X43 CM 00303001 (CHASIS 35X43)"</f>
        <v>10+9999912820 CR MD 4.0 GENERAL ST HR 35X43 CM 00303001 (CHASIS 35X43)</v>
      </c>
      <c r="C9706" s="6">
        <v>3548580</v>
      </c>
      <c r="D9706" s="5" t="s">
        <v>351</v>
      </c>
      <c r="E9706" s="5" t="str">
        <f t="shared" si="495"/>
        <v>ACTISALUD-RADIOLOGIA-ANDREA LARA</v>
      </c>
      <c r="F9706" s="5"/>
      <c r="G9706" s="5"/>
    </row>
    <row r="9707" spans="1:7" ht="58.5" customHeight="1" x14ac:dyDescent="0.25">
      <c r="A9707" s="5" t="str">
        <f>"H0027003"</f>
        <v>H0027003</v>
      </c>
      <c r="B9707" s="5" t="str">
        <f>"10+9999912910 CR MD 4.0 GENERAL SET HR 35X35 CM 00303005 (CHASIS 35X35)"</f>
        <v>10+9999912910 CR MD 4.0 GENERAL SET HR 35X35 CM 00303005 (CHASIS 35X35)</v>
      </c>
      <c r="C9707" s="6">
        <v>3293563</v>
      </c>
      <c r="D9707" s="5" t="s">
        <v>538</v>
      </c>
      <c r="E9707" s="5" t="str">
        <f t="shared" ref="E9707:E9738" si="496">"ACTISALUD-RADIOLOGIA-ANDREA LARA"</f>
        <v>ACTISALUD-RADIOLOGIA-ANDREA LARA</v>
      </c>
      <c r="F9707" s="5"/>
      <c r="G9707" s="5"/>
    </row>
    <row r="9708" spans="1:7" ht="58.5" customHeight="1" x14ac:dyDescent="0.25">
      <c r="A9708" s="5" t="str">
        <f>"H0027219"</f>
        <v>H0027219</v>
      </c>
      <c r="B9708"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708" s="6">
        <v>2641800</v>
      </c>
      <c r="D9708" s="5" t="s">
        <v>38</v>
      </c>
      <c r="E9708" s="5" t="str">
        <f t="shared" si="496"/>
        <v>ACTISALUD-RADIOLOGIA-ANDREA LARA</v>
      </c>
      <c r="F9708" s="5"/>
      <c r="G9708" s="5"/>
    </row>
    <row r="9709" spans="1:7" ht="58.5" customHeight="1" x14ac:dyDescent="0.25">
      <c r="A9709" s="5" t="str">
        <f>"H0027220"</f>
        <v>H0027220</v>
      </c>
      <c r="B970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709" s="6">
        <v>2641800</v>
      </c>
      <c r="D9709" s="5" t="s">
        <v>38</v>
      </c>
      <c r="E9709" s="5" t="str">
        <f t="shared" si="496"/>
        <v>ACTISALUD-RADIOLOGIA-ANDREA LARA</v>
      </c>
      <c r="F9709" s="5"/>
      <c r="G9709" s="5"/>
    </row>
    <row r="9710" spans="1:7" ht="58.5" customHeight="1" x14ac:dyDescent="0.25">
      <c r="A9710" s="5" t="str">
        <f>"H0027221"</f>
        <v>H0027221</v>
      </c>
      <c r="B971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710" s="6">
        <v>2641800</v>
      </c>
      <c r="D9710" s="5" t="s">
        <v>38</v>
      </c>
      <c r="E9710" s="5" t="str">
        <f t="shared" si="496"/>
        <v>ACTISALUD-RADIOLOGIA-ANDREA LARA</v>
      </c>
      <c r="F9710" s="5"/>
      <c r="G9710" s="5"/>
    </row>
    <row r="9711" spans="1:7" ht="58.5" customHeight="1" x14ac:dyDescent="0.25">
      <c r="A9711" s="5" t="str">
        <f>"H0027222"</f>
        <v>H0027222</v>
      </c>
      <c r="B971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711" s="6">
        <v>2641800</v>
      </c>
      <c r="D9711" s="5" t="s">
        <v>38</v>
      </c>
      <c r="E9711" s="5" t="str">
        <f t="shared" si="496"/>
        <v>ACTISALUD-RADIOLOGIA-ANDREA LARA</v>
      </c>
      <c r="F9711" s="5"/>
      <c r="G9711" s="5"/>
    </row>
    <row r="9712" spans="1:7" ht="58.5" customHeight="1" x14ac:dyDescent="0.25">
      <c r="A9712" s="5" t="str">
        <f>"H0027521"</f>
        <v>H0027521</v>
      </c>
      <c r="B9712" s="5" t="str">
        <f>"LECTOR DE HUELLAS DIGITALES"</f>
        <v>LECTOR DE HUELLAS DIGITALES</v>
      </c>
      <c r="C9712" s="6">
        <v>234000.41</v>
      </c>
      <c r="D9712" s="5" t="s">
        <v>83</v>
      </c>
      <c r="E9712" s="5" t="str">
        <f t="shared" si="496"/>
        <v>ACTISALUD-RADIOLOGIA-ANDREA LARA</v>
      </c>
      <c r="F9712" s="5"/>
      <c r="G9712" s="5"/>
    </row>
    <row r="9713" spans="1:7" ht="58.5" customHeight="1" x14ac:dyDescent="0.25">
      <c r="A9713" s="5" t="str">
        <f>"H0027522"</f>
        <v>H0027522</v>
      </c>
      <c r="B9713" s="5" t="str">
        <f>"LECTOR DE HUELLAS DIGITALES"</f>
        <v>LECTOR DE HUELLAS DIGITALES</v>
      </c>
      <c r="C9713" s="6">
        <v>234000.41</v>
      </c>
      <c r="D9713" s="5" t="s">
        <v>83</v>
      </c>
      <c r="E9713" s="5" t="str">
        <f t="shared" si="496"/>
        <v>ACTISALUD-RADIOLOGIA-ANDREA LARA</v>
      </c>
      <c r="F9713" s="5"/>
      <c r="G9713" s="5"/>
    </row>
    <row r="9714" spans="1:7" ht="58.5" customHeight="1" x14ac:dyDescent="0.25">
      <c r="A9714" s="5" t="str">
        <f>"H0029073"</f>
        <v>H0029073</v>
      </c>
      <c r="B9714" s="5" t="str">
        <f>"SILLA HERGONOMICA CON SISTEMA HIDRAULICO"</f>
        <v>SILLA HERGONOMICA CON SISTEMA HIDRAULICO</v>
      </c>
      <c r="C9714" s="6">
        <v>174900.01</v>
      </c>
      <c r="D9714" s="5" t="s">
        <v>539</v>
      </c>
      <c r="E9714" s="5" t="str">
        <f t="shared" si="496"/>
        <v>ACTISALUD-RADIOLOGIA-ANDREA LARA</v>
      </c>
      <c r="F9714" s="5"/>
      <c r="G9714" s="5"/>
    </row>
    <row r="9715" spans="1:7" ht="58.5" customHeight="1" x14ac:dyDescent="0.25">
      <c r="A9715" s="5" t="str">
        <f>"H0029122"</f>
        <v>H0029122</v>
      </c>
      <c r="B9715" s="5" t="str">
        <f>"RX/FLUOROSCOPIO MOVIL ARCO EN C"</f>
        <v>RX/FLUOROSCOPIO MOVIL ARCO EN C</v>
      </c>
      <c r="C9715" s="6">
        <v>354126150</v>
      </c>
      <c r="D9715" s="5" t="s">
        <v>540</v>
      </c>
      <c r="E9715" s="5" t="str">
        <f t="shared" si="496"/>
        <v>ACTISALUD-RADIOLOGIA-ANDREA LARA</v>
      </c>
      <c r="F9715" s="5"/>
      <c r="G9715" s="5"/>
    </row>
    <row r="9716" spans="1:7" ht="58.5" customHeight="1" x14ac:dyDescent="0.25">
      <c r="A9716" s="5" t="str">
        <f>"H0029128"</f>
        <v>H0029128</v>
      </c>
      <c r="B9716" s="5" t="str">
        <f>"ECOGRAFO PORTATIL (Proyecto Minsalud)"</f>
        <v>ECOGRAFO PORTATIL (Proyecto Minsalud)</v>
      </c>
      <c r="C9716" s="6">
        <v>129710000</v>
      </c>
      <c r="D9716" s="5" t="s">
        <v>249</v>
      </c>
      <c r="E9716" s="5" t="str">
        <f t="shared" si="496"/>
        <v>ACTISALUD-RADIOLOGIA-ANDREA LARA</v>
      </c>
      <c r="F9716" s="5"/>
      <c r="G9716" s="5" t="str">
        <f>"m7"</f>
        <v>m7</v>
      </c>
    </row>
    <row r="9717" spans="1:7" ht="58.5" customHeight="1" x14ac:dyDescent="0.25">
      <c r="A9717" s="5" t="str">
        <f>"H0029549"</f>
        <v>H0029549</v>
      </c>
      <c r="B9717" s="5" t="str">
        <f>"SISTEMA DE ENERGIA ININTERRUMPIBLE UPS CDP R-UPR1008"</f>
        <v>SISTEMA DE ENERGIA ININTERRUMPIBLE UPS CDP R-UPR1008</v>
      </c>
      <c r="C9717" s="6">
        <v>500000</v>
      </c>
      <c r="D9717" s="5" t="s">
        <v>541</v>
      </c>
      <c r="E9717" s="5" t="str">
        <f t="shared" si="496"/>
        <v>ACTISALUD-RADIOLOGIA-ANDREA LARA</v>
      </c>
      <c r="F9717" s="5"/>
      <c r="G9717" s="5"/>
    </row>
    <row r="9718" spans="1:7" ht="58.5" customHeight="1" x14ac:dyDescent="0.25">
      <c r="A9718" s="5" t="str">
        <f>"H0029781"</f>
        <v>H0029781</v>
      </c>
      <c r="B9718" s="5" t="s">
        <v>96</v>
      </c>
      <c r="C9718" s="6">
        <v>169000.22</v>
      </c>
      <c r="D9718" s="5" t="s">
        <v>93</v>
      </c>
      <c r="E9718" s="5" t="str">
        <f t="shared" si="496"/>
        <v>ACTISALUD-RADIOLOGIA-ANDREA LARA</v>
      </c>
      <c r="F9718" s="5"/>
      <c r="G9718" s="5"/>
    </row>
    <row r="9719" spans="1:7" ht="58.5" customHeight="1" x14ac:dyDescent="0.25">
      <c r="A9719" s="5" t="str">
        <f>"H0029926"</f>
        <v>H0029926</v>
      </c>
      <c r="B9719" s="5" t="str">
        <f>"SILLA GIRATORIA CONVENCIONAL CON SISTEMA DE GRADUACIÓN DE ALTURA NEUMATICA, GRADUACION MECANICA DE ESPALDAR, CONTACTO PERMANENTE Y DESCANSA BRAZOS, ESPUMA POLIURETANO, TAPIZDO"</f>
        <v>SILLA GIRATORIA CONVENCIONAL CON SISTEMA DE GRADUACIÓN DE ALTURA NEUMATICA, GRADUACION MECANICA DE ESPALDAR, CONTACTO PERMANENTE Y DESCANSA BRAZOS, ESPUMA POLIURETANO, TAPIZDO</v>
      </c>
      <c r="C9719" s="6">
        <v>298300</v>
      </c>
      <c r="D9719" s="5" t="s">
        <v>225</v>
      </c>
      <c r="E9719" s="5" t="str">
        <f t="shared" si="496"/>
        <v>ACTISALUD-RADIOLOGIA-ANDREA LARA</v>
      </c>
      <c r="F9719" s="5"/>
      <c r="G9719" s="5"/>
    </row>
    <row r="9720" spans="1:7" ht="58.5" customHeight="1" x14ac:dyDescent="0.25">
      <c r="A9720" s="5" t="str">
        <f>"H0031412"</f>
        <v>H0031412</v>
      </c>
      <c r="B9720"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720" s="6">
        <v>1939700</v>
      </c>
      <c r="D9720" s="5" t="s">
        <v>473</v>
      </c>
      <c r="E9720" s="5" t="str">
        <f t="shared" si="496"/>
        <v>ACTISALUD-RADIOLOGIA-ANDREA LARA</v>
      </c>
      <c r="F9720" s="5"/>
      <c r="G9720" s="5"/>
    </row>
    <row r="9721" spans="1:7" ht="58.5" customHeight="1" x14ac:dyDescent="0.25">
      <c r="A9721" s="5" t="str">
        <f>"H0031671"</f>
        <v>H0031671</v>
      </c>
      <c r="B9721" s="5" t="str">
        <f>"MESA QUIRURGICA"</f>
        <v>MESA QUIRURGICA</v>
      </c>
      <c r="C9721" s="6">
        <v>79333337.25</v>
      </c>
      <c r="D9721" s="5" t="s">
        <v>252</v>
      </c>
      <c r="E9721" s="5" t="str">
        <f t="shared" si="496"/>
        <v>ACTISALUD-RADIOLOGIA-ANDREA LARA</v>
      </c>
      <c r="F9721" s="5"/>
      <c r="G9721" s="5"/>
    </row>
    <row r="9722" spans="1:7" ht="58.5" customHeight="1" x14ac:dyDescent="0.25">
      <c r="A9722" s="5" t="str">
        <f>"H0031728"</f>
        <v>H0031728</v>
      </c>
      <c r="B9722" s="5" t="str">
        <f>"SISTEMA ARCO EN C PARA CIRUGIA CIOS SELECT (CODIGO PARA DONACION)"</f>
        <v>SISTEMA ARCO EN C PARA CIRUGIA CIOS SELECT (CODIGO PARA DONACION)</v>
      </c>
      <c r="C9722" s="6">
        <v>211886488</v>
      </c>
      <c r="D9722" s="5" t="s">
        <v>364</v>
      </c>
      <c r="E9722" s="5" t="str">
        <f t="shared" si="496"/>
        <v>ACTISALUD-RADIOLOGIA-ANDREA LARA</v>
      </c>
      <c r="F9722" s="5"/>
      <c r="G9722" s="5"/>
    </row>
    <row r="9723" spans="1:7" ht="58.5" customHeight="1" x14ac:dyDescent="0.25">
      <c r="A9723" s="5" t="str">
        <f>"H0031729"</f>
        <v>H0031729</v>
      </c>
      <c r="B9723" s="5" t="str">
        <f>"EQUIPO DIGITAL CR CLASSIC MARCA CARESTREAM (CODIGO PARA DONACION)"</f>
        <v>EQUIPO DIGITAL CR CLASSIC MARCA CARESTREAM (CODIGO PARA DONACION)</v>
      </c>
      <c r="C9723" s="6">
        <v>117042453</v>
      </c>
      <c r="D9723" s="5" t="s">
        <v>364</v>
      </c>
      <c r="E9723" s="5" t="str">
        <f t="shared" si="496"/>
        <v>ACTISALUD-RADIOLOGIA-ANDREA LARA</v>
      </c>
      <c r="F9723" s="5"/>
      <c r="G9723" s="5"/>
    </row>
    <row r="9724" spans="1:7" ht="58.5" customHeight="1" x14ac:dyDescent="0.25">
      <c r="A9724" s="5" t="str">
        <f>"H0031730"</f>
        <v>H0031730</v>
      </c>
      <c r="B9724" s="5" t="str">
        <f>"EQUIPO MOVIL PARA RAYOS X MOBILETT HYBRID (CODIGO PARA DONACION)"</f>
        <v>EQUIPO MOVIL PARA RAYOS X MOBILETT HYBRID (CODIGO PARA DONACION)</v>
      </c>
      <c r="C9724" s="6">
        <v>150538883</v>
      </c>
      <c r="D9724" s="5" t="s">
        <v>364</v>
      </c>
      <c r="E9724" s="5" t="str">
        <f t="shared" si="496"/>
        <v>ACTISALUD-RADIOLOGIA-ANDREA LARA</v>
      </c>
      <c r="F9724" s="5"/>
      <c r="G9724" s="5"/>
    </row>
    <row r="9725" spans="1:7" ht="58.5" customHeight="1" x14ac:dyDescent="0.25">
      <c r="A9725" s="5" t="str">
        <f>"H0032166"</f>
        <v>H0032166</v>
      </c>
      <c r="B9725" s="5" t="str">
        <f>"DELANTAL (CHALECO) DE PLOMO"</f>
        <v>DELANTAL (CHALECO) DE PLOMO</v>
      </c>
      <c r="C9725" s="6">
        <v>1411459</v>
      </c>
      <c r="D9725" s="5" t="s">
        <v>483</v>
      </c>
      <c r="E9725" s="5" t="str">
        <f t="shared" si="496"/>
        <v>ACTISALUD-RADIOLOGIA-ANDREA LARA</v>
      </c>
      <c r="F9725" s="5"/>
      <c r="G9725" s="5"/>
    </row>
    <row r="9726" spans="1:7" ht="58.5" customHeight="1" x14ac:dyDescent="0.25">
      <c r="A9726" s="5" t="str">
        <f>"H0032167"</f>
        <v>H0032167</v>
      </c>
      <c r="B9726" s="5" t="str">
        <f>"DELANTAL (CHALECO) DE PLOMO"</f>
        <v>DELANTAL (CHALECO) DE PLOMO</v>
      </c>
      <c r="C9726" s="6">
        <v>1411459</v>
      </c>
      <c r="D9726" s="5" t="s">
        <v>483</v>
      </c>
      <c r="E9726" s="5" t="str">
        <f t="shared" si="496"/>
        <v>ACTISALUD-RADIOLOGIA-ANDREA LARA</v>
      </c>
      <c r="F9726" s="5"/>
      <c r="G9726" s="5"/>
    </row>
    <row r="9727" spans="1:7" ht="58.5" customHeight="1" x14ac:dyDescent="0.25">
      <c r="A9727" s="5" t="str">
        <f>"H0032168"</f>
        <v>H0032168</v>
      </c>
      <c r="B9727" s="5" t="str">
        <f>"DELANTAL (CHALECO) DE PLOMO"</f>
        <v>DELANTAL (CHALECO) DE PLOMO</v>
      </c>
      <c r="C9727" s="6">
        <v>1411459</v>
      </c>
      <c r="D9727" s="5" t="s">
        <v>483</v>
      </c>
      <c r="E9727" s="5" t="str">
        <f t="shared" si="496"/>
        <v>ACTISALUD-RADIOLOGIA-ANDREA LARA</v>
      </c>
      <c r="F9727" s="5"/>
      <c r="G9727" s="5"/>
    </row>
    <row r="9728" spans="1:7" ht="58.5" customHeight="1" x14ac:dyDescent="0.25">
      <c r="A9728" s="5" t="str">
        <f>"H0032169"</f>
        <v>H0032169</v>
      </c>
      <c r="B9728" s="5" t="str">
        <f>"DELANTAL (CHALECO) DE PLOMO"</f>
        <v>DELANTAL (CHALECO) DE PLOMO</v>
      </c>
      <c r="C9728" s="6">
        <v>1411459</v>
      </c>
      <c r="D9728" s="5" t="s">
        <v>483</v>
      </c>
      <c r="E9728" s="5" t="str">
        <f t="shared" si="496"/>
        <v>ACTISALUD-RADIOLOGIA-ANDREA LARA</v>
      </c>
      <c r="F9728" s="5"/>
      <c r="G9728" s="5"/>
    </row>
    <row r="9729" spans="1:7" ht="58.5" customHeight="1" x14ac:dyDescent="0.25">
      <c r="A9729" s="5" t="str">
        <f>"H0032170"</f>
        <v>H0032170</v>
      </c>
      <c r="B9729" s="5" t="str">
        <f>"DELANTAL (CHALECO) DE PLOMO"</f>
        <v>DELANTAL (CHALECO) DE PLOMO</v>
      </c>
      <c r="C9729" s="6">
        <v>1411459</v>
      </c>
      <c r="D9729" s="5" t="s">
        <v>483</v>
      </c>
      <c r="E9729" s="5" t="str">
        <f t="shared" si="496"/>
        <v>ACTISALUD-RADIOLOGIA-ANDREA LARA</v>
      </c>
      <c r="F9729" s="5"/>
      <c r="G9729" s="5"/>
    </row>
    <row r="9730" spans="1:7" ht="58.5" customHeight="1" x14ac:dyDescent="0.25">
      <c r="A9730" s="5" t="str">
        <f>"H0032171"</f>
        <v>H0032171</v>
      </c>
      <c r="B9730" s="5" t="str">
        <f>"COLLAR DE TIROIDES TALLA S (#TC520, equivalencia de plomo de 0,5mm, cómodo cierre de velcro)"</f>
        <v>COLLAR DE TIROIDES TALLA S (#TC520, equivalencia de plomo de 0,5mm, cómodo cierre de velcro)</v>
      </c>
      <c r="C9730" s="6">
        <v>218067.5</v>
      </c>
      <c r="D9730" s="5" t="s">
        <v>483</v>
      </c>
      <c r="E9730" s="5" t="str">
        <f t="shared" si="496"/>
        <v>ACTISALUD-RADIOLOGIA-ANDREA LARA</v>
      </c>
      <c r="F9730" s="5"/>
      <c r="G9730" s="5"/>
    </row>
    <row r="9731" spans="1:7" ht="58.5" customHeight="1" x14ac:dyDescent="0.25">
      <c r="A9731" s="5" t="str">
        <f>"H0032172"</f>
        <v>H0032172</v>
      </c>
      <c r="B9731" s="5" t="str">
        <f>"COLLAR DE TIROIDES TALLA S (#TC520, equivalencia de plomo de 0,5mm, cómodo cierre de velcro)"</f>
        <v>COLLAR DE TIROIDES TALLA S (#TC520, equivalencia de plomo de 0,5mm, cómodo cierre de velcro)</v>
      </c>
      <c r="C9731" s="6">
        <v>218067.5</v>
      </c>
      <c r="D9731" s="5" t="s">
        <v>483</v>
      </c>
      <c r="E9731" s="5" t="str">
        <f t="shared" si="496"/>
        <v>ACTISALUD-RADIOLOGIA-ANDREA LARA</v>
      </c>
      <c r="F9731" s="5"/>
      <c r="G9731" s="5"/>
    </row>
    <row r="9732" spans="1:7" ht="58.5" customHeight="1" x14ac:dyDescent="0.25">
      <c r="A9732" s="5" t="str">
        <f>"H0032173"</f>
        <v>H0032173</v>
      </c>
      <c r="B9732" s="5" t="str">
        <f>"COLLAR DE TIROIDES TALLA S (#TC520, equivalencia de plomo de 0,5mm, cómodo cierre de velcro)"</f>
        <v>COLLAR DE TIROIDES TALLA S (#TC520, equivalencia de plomo de 0,5mm, cómodo cierre de velcro)</v>
      </c>
      <c r="C9732" s="6">
        <v>218067.5</v>
      </c>
      <c r="D9732" s="5" t="s">
        <v>483</v>
      </c>
      <c r="E9732" s="5" t="str">
        <f t="shared" si="496"/>
        <v>ACTISALUD-RADIOLOGIA-ANDREA LARA</v>
      </c>
      <c r="F9732" s="5"/>
      <c r="G9732" s="5"/>
    </row>
    <row r="9733" spans="1:7" ht="58.5" customHeight="1" x14ac:dyDescent="0.25">
      <c r="A9733" s="5" t="str">
        <f>"H0032174"</f>
        <v>H0032174</v>
      </c>
      <c r="B9733" s="5" t="str">
        <f>"COLLAR DE TIROIDES TALLA S (#TC520, equivalencia de plomo de 0,5mm, cómodo cierre de velcro)"</f>
        <v>COLLAR DE TIROIDES TALLA S (#TC520, equivalencia de plomo de 0,5mm, cómodo cierre de velcro)</v>
      </c>
      <c r="C9733" s="6">
        <v>218067.5</v>
      </c>
      <c r="D9733" s="5" t="s">
        <v>483</v>
      </c>
      <c r="E9733" s="5" t="str">
        <f t="shared" si="496"/>
        <v>ACTISALUD-RADIOLOGIA-ANDREA LARA</v>
      </c>
      <c r="F9733" s="5"/>
      <c r="G9733" s="5"/>
    </row>
    <row r="9734" spans="1:7" ht="58.5" customHeight="1" x14ac:dyDescent="0.25">
      <c r="A9734" s="5" t="str">
        <f>"H0032219"</f>
        <v>H0032219</v>
      </c>
      <c r="B9734" s="5" t="str">
        <f>"COLLAR DE TIROIDES TALLA S (#TC520, equivalencia de plomo de 0,5mm, cómodo cierre de velcro)"</f>
        <v>COLLAR DE TIROIDES TALLA S (#TC520, equivalencia de plomo de 0,5mm, cómodo cierre de velcro)</v>
      </c>
      <c r="C9734" s="6">
        <v>218068</v>
      </c>
      <c r="D9734" s="5" t="s">
        <v>542</v>
      </c>
      <c r="E9734" s="5" t="str">
        <f t="shared" si="496"/>
        <v>ACTISALUD-RADIOLOGIA-ANDREA LARA</v>
      </c>
      <c r="F9734" s="5"/>
      <c r="G9734" s="5"/>
    </row>
    <row r="9735" spans="1:7" ht="58.5" customHeight="1" x14ac:dyDescent="0.25">
      <c r="A9735" s="5" t="str">
        <f>"H0033256"</f>
        <v>H0033256</v>
      </c>
      <c r="B9735" s="5" t="str">
        <f>"MONITOR DE SIGNOS VITALES"</f>
        <v>MONITOR DE SIGNOS VITALES</v>
      </c>
      <c r="C9735" s="6">
        <v>9470000</v>
      </c>
      <c r="D9735" s="5" t="s">
        <v>119</v>
      </c>
      <c r="E9735" s="5" t="str">
        <f t="shared" si="496"/>
        <v>ACTISALUD-RADIOLOGIA-ANDREA LARA</v>
      </c>
      <c r="F9735" s="5"/>
      <c r="G9735" s="5"/>
    </row>
    <row r="9736" spans="1:7" ht="58.5" customHeight="1" x14ac:dyDescent="0.25">
      <c r="A9736" s="5" t="str">
        <f>"H0035295"</f>
        <v>H0035295</v>
      </c>
      <c r="B9736" s="5" t="str">
        <f>"AIRE ACONDICIONADO DUAL INVERTER DE 18.000 BTU MARCA LG CON KIT DE TUBERIA DE 3 METROS"</f>
        <v>AIRE ACONDICIONADO DUAL INVERTER DE 18.000 BTU MARCA LG CON KIT DE TUBERIA DE 3 METROS</v>
      </c>
      <c r="C9736" s="6">
        <v>3094000</v>
      </c>
      <c r="D9736" s="5" t="s">
        <v>158</v>
      </c>
      <c r="E9736" s="5" t="str">
        <f t="shared" si="496"/>
        <v>ACTISALUD-RADIOLOGIA-ANDREA LARA</v>
      </c>
      <c r="F9736" s="5"/>
      <c r="G9736" s="5" t="str">
        <f>"VM182C7"</f>
        <v>VM182C7</v>
      </c>
    </row>
    <row r="9737" spans="1:7" ht="58.5" customHeight="1" x14ac:dyDescent="0.25">
      <c r="A9737" s="5" t="str">
        <f>"H0035941"</f>
        <v>H0035941</v>
      </c>
      <c r="B9737" s="5" t="str">
        <f>"SILLA GERENTE NIZA MEC. BASCULANTE CON BRAZOS."</f>
        <v>SILLA GERENTE NIZA MEC. BASCULANTE CON BRAZOS.</v>
      </c>
      <c r="C9737" s="6">
        <v>639999.86</v>
      </c>
      <c r="D9737" s="5" t="s">
        <v>281</v>
      </c>
      <c r="E9737" s="5" t="str">
        <f t="shared" si="496"/>
        <v>ACTISALUD-RADIOLOGIA-ANDREA LARA</v>
      </c>
      <c r="F9737" s="5"/>
      <c r="G9737" s="5"/>
    </row>
    <row r="9738" spans="1:7" ht="58.5" customHeight="1" x14ac:dyDescent="0.25">
      <c r="A9738" s="5" t="str">
        <f>"H0035942"</f>
        <v>H0035942</v>
      </c>
      <c r="B9738" s="5" t="str">
        <f>"SILLA GERENTE NIZA MEC. BASCULANTE CON BRAZOS."</f>
        <v>SILLA GERENTE NIZA MEC. BASCULANTE CON BRAZOS.</v>
      </c>
      <c r="C9738" s="6">
        <v>639999.86</v>
      </c>
      <c r="D9738" s="5" t="s">
        <v>281</v>
      </c>
      <c r="E9738" s="5" t="str">
        <f t="shared" si="496"/>
        <v>ACTISALUD-RADIOLOGIA-ANDREA LARA</v>
      </c>
      <c r="F9738" s="5"/>
      <c r="G9738" s="5"/>
    </row>
    <row r="9739" spans="1:7" ht="58.5" customHeight="1" x14ac:dyDescent="0.25">
      <c r="A9739" s="5" t="str">
        <f>"H0035945"</f>
        <v>H0035945</v>
      </c>
      <c r="B9739" s="5" t="str">
        <f>"SILLA GERENTE NIZA MEC. BASCULANTE CON BRAZOS."</f>
        <v>SILLA GERENTE NIZA MEC. BASCULANTE CON BRAZOS.</v>
      </c>
      <c r="C9739" s="6">
        <v>639999.86</v>
      </c>
      <c r="D9739" s="5" t="s">
        <v>281</v>
      </c>
      <c r="E9739" s="5" t="str">
        <f t="shared" ref="E9739:E9771" si="497">"ACTISALUD-RADIOLOGIA-ANDREA LARA"</f>
        <v>ACTISALUD-RADIOLOGIA-ANDREA LARA</v>
      </c>
      <c r="F9739" s="5"/>
      <c r="G9739" s="5"/>
    </row>
    <row r="9740" spans="1:7" ht="58.5" customHeight="1" x14ac:dyDescent="0.25">
      <c r="A9740" s="5" t="str">
        <f>"H0035974"</f>
        <v>H0035974</v>
      </c>
      <c r="B9740" s="5" t="str">
        <f>"SILLA GERENTE NIZA MEC. BASCULANTE SIN BRAZOS"</f>
        <v>SILLA GERENTE NIZA MEC. BASCULANTE SIN BRAZOS</v>
      </c>
      <c r="C9740" s="6">
        <v>654999.78</v>
      </c>
      <c r="D9740" s="5" t="s">
        <v>27</v>
      </c>
      <c r="E9740" s="5" t="str">
        <f t="shared" si="497"/>
        <v>ACTISALUD-RADIOLOGIA-ANDREA LARA</v>
      </c>
      <c r="F9740" s="5"/>
      <c r="G9740" s="5"/>
    </row>
    <row r="9741" spans="1:7" ht="58.5" customHeight="1" x14ac:dyDescent="0.25">
      <c r="A9741" s="5" t="str">
        <f>"H0035975"</f>
        <v>H0035975</v>
      </c>
      <c r="B9741" s="5" t="str">
        <f>"SILLA GERENTE NIZA MEC. BASCULANTE SIN BRAZOS"</f>
        <v>SILLA GERENTE NIZA MEC. BASCULANTE SIN BRAZOS</v>
      </c>
      <c r="C9741" s="6">
        <v>654999.78</v>
      </c>
      <c r="D9741" s="5" t="s">
        <v>27</v>
      </c>
      <c r="E9741" s="5" t="str">
        <f t="shared" si="497"/>
        <v>ACTISALUD-RADIOLOGIA-ANDREA LARA</v>
      </c>
      <c r="F9741" s="5"/>
      <c r="G9741" s="5"/>
    </row>
    <row r="9742" spans="1:7" ht="58.5" customHeight="1" x14ac:dyDescent="0.25">
      <c r="A9742" s="5" t="str">
        <f>"H0036410"</f>
        <v>H0036410</v>
      </c>
      <c r="B9742" s="5" t="str">
        <f>"VENTILADOR DE PARED"</f>
        <v>VENTILADOR DE PARED</v>
      </c>
      <c r="C9742" s="6">
        <v>295260</v>
      </c>
      <c r="D9742" s="5" t="s">
        <v>131</v>
      </c>
      <c r="E9742" s="5" t="str">
        <f t="shared" si="497"/>
        <v>ACTISALUD-RADIOLOGIA-ANDREA LARA</v>
      </c>
      <c r="F9742" s="5"/>
      <c r="G9742" s="5"/>
    </row>
    <row r="9743" spans="1:7" ht="58.5" customHeight="1" x14ac:dyDescent="0.25">
      <c r="A9743" s="5" t="str">
        <f>"H0036419"</f>
        <v>H0036419</v>
      </c>
      <c r="B9743" s="5" t="str">
        <f>"VENTILADOR DE PARED"</f>
        <v>VENTILADOR DE PARED</v>
      </c>
      <c r="C9743" s="6">
        <v>295260</v>
      </c>
      <c r="D9743" s="5" t="s">
        <v>131</v>
      </c>
      <c r="E9743" s="5" t="str">
        <f t="shared" si="497"/>
        <v>ACTISALUD-RADIOLOGIA-ANDREA LARA</v>
      </c>
      <c r="F9743" s="5"/>
      <c r="G9743" s="5"/>
    </row>
    <row r="9744" spans="1:7" ht="58.5" customHeight="1" x14ac:dyDescent="0.25">
      <c r="A9744" s="5" t="str">
        <f>"H0036512"</f>
        <v>H0036512</v>
      </c>
      <c r="B9744" s="5" t="str">
        <f>"LAMPARA QUIRURGICA DE PIE PORTATIL"</f>
        <v>LAMPARA QUIRURGICA DE PIE PORTATIL</v>
      </c>
      <c r="C9744" s="6">
        <v>44030000</v>
      </c>
      <c r="D9744" s="5" t="s">
        <v>337</v>
      </c>
      <c r="E9744" s="5" t="str">
        <f t="shared" si="497"/>
        <v>ACTISALUD-RADIOLOGIA-ANDREA LARA</v>
      </c>
      <c r="F9744" s="5"/>
      <c r="G9744" s="5" t="str">
        <f>"VG 700M"</f>
        <v>VG 700M</v>
      </c>
    </row>
    <row r="9745" spans="1:7" ht="58.5" customHeight="1" x14ac:dyDescent="0.25">
      <c r="A9745" s="5" t="str">
        <f>"H0036846"</f>
        <v>H0036846</v>
      </c>
      <c r="B9745" s="5" t="str">
        <f>"INTEGRACION SISTEMAS HL7/WEB SERVICES"</f>
        <v>INTEGRACION SISTEMAS HL7/WEB SERVICES</v>
      </c>
      <c r="C9745" s="6">
        <v>76940000</v>
      </c>
      <c r="D9745" s="5" t="s">
        <v>543</v>
      </c>
      <c r="E9745" s="5" t="str">
        <f t="shared" si="497"/>
        <v>ACTISALUD-RADIOLOGIA-ANDREA LARA</v>
      </c>
      <c r="F9745" s="5"/>
      <c r="G9745" s="5"/>
    </row>
    <row r="9746" spans="1:7" ht="58.5" customHeight="1" x14ac:dyDescent="0.25">
      <c r="A9746" s="5" t="str">
        <f>"H0036849"</f>
        <v>H0036849</v>
      </c>
      <c r="B9746" s="5" t="str">
        <f>"IQ-VIEW (LICENCIA DIAGNOSTICA )"</f>
        <v>IQ-VIEW (LICENCIA DIAGNOSTICA )</v>
      </c>
      <c r="C9746" s="6">
        <v>36480000</v>
      </c>
      <c r="D9746" s="5" t="s">
        <v>543</v>
      </c>
      <c r="E9746" s="5" t="str">
        <f t="shared" si="497"/>
        <v>ACTISALUD-RADIOLOGIA-ANDREA LARA</v>
      </c>
      <c r="F9746" s="5"/>
      <c r="G9746" s="5"/>
    </row>
    <row r="9747" spans="1:7" ht="58.5" customHeight="1" x14ac:dyDescent="0.25">
      <c r="A9747" s="5" t="str">
        <f>"H0036850"</f>
        <v>H0036850</v>
      </c>
      <c r="B9747" s="5" t="str">
        <f>"IQ-VIEW (LICENCIA DIAGNOSTICA )"</f>
        <v>IQ-VIEW (LICENCIA DIAGNOSTICA )</v>
      </c>
      <c r="C9747" s="6">
        <v>36480000</v>
      </c>
      <c r="D9747" s="5" t="s">
        <v>543</v>
      </c>
      <c r="E9747" s="5" t="str">
        <f t="shared" si="497"/>
        <v>ACTISALUD-RADIOLOGIA-ANDREA LARA</v>
      </c>
      <c r="F9747" s="5"/>
      <c r="G9747" s="5"/>
    </row>
    <row r="9748" spans="1:7" ht="58.5" customHeight="1" x14ac:dyDescent="0.25">
      <c r="A9748" s="5" t="str">
        <f>"H0036851"</f>
        <v>H0036851</v>
      </c>
      <c r="B9748" s="5" t="str">
        <f>"PANTALLA DIAGNOSTICA LG 31.5” 8 MP"</f>
        <v>PANTALLA DIAGNOSTICA LG 31.5” 8 MP</v>
      </c>
      <c r="C9748" s="6">
        <v>48457996</v>
      </c>
      <c r="D9748" s="5" t="s">
        <v>543</v>
      </c>
      <c r="E9748" s="5" t="str">
        <f t="shared" si="497"/>
        <v>ACTISALUD-RADIOLOGIA-ANDREA LARA</v>
      </c>
      <c r="F9748" s="5"/>
      <c r="G9748" s="5"/>
    </row>
    <row r="9749" spans="1:7" ht="58.5" customHeight="1" x14ac:dyDescent="0.25">
      <c r="A9749" s="5" t="str">
        <f>"H0036852"</f>
        <v>H0036852</v>
      </c>
      <c r="B9749" s="5" t="str">
        <f>"PANTALLA DIAGNOSTICA LG 31.5” 8 MP"</f>
        <v>PANTALLA DIAGNOSTICA LG 31.5” 8 MP</v>
      </c>
      <c r="C9749" s="6">
        <v>48457996</v>
      </c>
      <c r="D9749" s="5" t="s">
        <v>543</v>
      </c>
      <c r="E9749" s="5" t="str">
        <f t="shared" si="497"/>
        <v>ACTISALUD-RADIOLOGIA-ANDREA LARA</v>
      </c>
      <c r="F9749" s="5"/>
      <c r="G9749" s="5"/>
    </row>
    <row r="9750" spans="1:7" ht="58.5" customHeight="1" x14ac:dyDescent="0.25">
      <c r="A9750" s="5" t="str">
        <f>"H0036853"</f>
        <v>H0036853</v>
      </c>
      <c r="B9750" s="5" t="str">
        <f>"Workstation P350 Procesador Intel Core i7-11700(8core 16 Hilos -2.5 GHZ Up to 4.9 GHz -16 mb cache)"</f>
        <v>Workstation P350 Procesador Intel Core i7-11700(8core 16 Hilos -2.5 GHZ Up to 4.9 GHz -16 mb cache)</v>
      </c>
      <c r="C9750" s="6">
        <v>21014999</v>
      </c>
      <c r="D9750" s="5" t="s">
        <v>543</v>
      </c>
      <c r="E9750" s="5" t="str">
        <f t="shared" si="497"/>
        <v>ACTISALUD-RADIOLOGIA-ANDREA LARA</v>
      </c>
      <c r="F9750" s="5"/>
      <c r="G9750" s="5"/>
    </row>
    <row r="9751" spans="1:7" ht="58.5" customHeight="1" x14ac:dyDescent="0.25">
      <c r="A9751" s="5" t="str">
        <f>"H0036854"</f>
        <v>H0036854</v>
      </c>
      <c r="B9751" s="5" t="str">
        <f>"Workstation P350 Procesador Intel Core i7-11700(8core 16 Hilos -2.5 GHZ Up to 4.9 GHz -16 mb cache)"</f>
        <v>Workstation P350 Procesador Intel Core i7-11700(8core 16 Hilos -2.5 GHZ Up to 4.9 GHz -16 mb cache)</v>
      </c>
      <c r="C9751" s="6">
        <v>21014999</v>
      </c>
      <c r="D9751" s="5" t="s">
        <v>543</v>
      </c>
      <c r="E9751" s="5" t="str">
        <f t="shared" si="497"/>
        <v>ACTISALUD-RADIOLOGIA-ANDREA LARA</v>
      </c>
      <c r="F9751" s="5"/>
      <c r="G9751" s="5"/>
    </row>
    <row r="9752" spans="1:7" ht="58.5" customHeight="1" x14ac:dyDescent="0.25">
      <c r="A9752" s="5" t="str">
        <f>"H0036915"</f>
        <v>H0036915</v>
      </c>
      <c r="B9752" s="5" t="str">
        <f>"AIRE ACONDICIONADO DE 24000 BTU CONVENCIONAL R410"</f>
        <v>AIRE ACONDICIONADO DE 24000 BTU CONVENCIONAL R410</v>
      </c>
      <c r="C9752" s="6">
        <v>4950000</v>
      </c>
      <c r="D9752" s="5" t="s">
        <v>28</v>
      </c>
      <c r="E9752" s="5" t="str">
        <f t="shared" si="497"/>
        <v>ACTISALUD-RADIOLOGIA-ANDREA LARA</v>
      </c>
      <c r="F9752" s="5"/>
      <c r="G9752" s="5"/>
    </row>
    <row r="9753" spans="1:7" ht="58.5" customHeight="1" x14ac:dyDescent="0.25">
      <c r="A9753" s="5" t="str">
        <f>"H0036916"</f>
        <v>H0036916</v>
      </c>
      <c r="B9753" s="5" t="str">
        <f>"AIRE ACONDICIONADO DE 24000 BTU CONVENCIONAL R410"</f>
        <v>AIRE ACONDICIONADO DE 24000 BTU CONVENCIONAL R410</v>
      </c>
      <c r="C9753" s="6">
        <v>4950000</v>
      </c>
      <c r="D9753" s="5" t="s">
        <v>28</v>
      </c>
      <c r="E9753" s="5" t="str">
        <f t="shared" si="497"/>
        <v>ACTISALUD-RADIOLOGIA-ANDREA LARA</v>
      </c>
      <c r="F9753" s="5"/>
      <c r="G9753" s="5"/>
    </row>
    <row r="9754" spans="1:7" ht="58.5" customHeight="1" x14ac:dyDescent="0.25">
      <c r="A9754" s="5" t="str">
        <f>"H0037175"</f>
        <v>H0037175</v>
      </c>
      <c r="B9754" s="5" t="str">
        <f>"BASCULA ADULTO"</f>
        <v>BASCULA ADULTO</v>
      </c>
      <c r="C9754" s="6">
        <v>3588385.98</v>
      </c>
      <c r="D9754" s="5" t="s">
        <v>136</v>
      </c>
      <c r="E9754" s="5" t="str">
        <f t="shared" si="497"/>
        <v>ACTISALUD-RADIOLOGIA-ANDREA LARA</v>
      </c>
      <c r="F9754" s="5"/>
      <c r="G9754" s="5"/>
    </row>
    <row r="9755" spans="1:7" ht="58.5" customHeight="1" x14ac:dyDescent="0.25">
      <c r="A9755" s="5" t="str">
        <f>"H0037223"</f>
        <v>H0037223</v>
      </c>
      <c r="B9755" s="5" t="str">
        <f>"SISTEMA DE DETECTOR 17*17 DR 17C PARA  SALA DE RAYOS X"</f>
        <v>SISTEMA DE DETECTOR 17*17 DR 17C PARA  SALA DE RAYOS X</v>
      </c>
      <c r="C9755" s="6">
        <v>298035500</v>
      </c>
      <c r="D9755" s="5" t="s">
        <v>544</v>
      </c>
      <c r="E9755" s="5" t="str">
        <f t="shared" si="497"/>
        <v>ACTISALUD-RADIOLOGIA-ANDREA LARA</v>
      </c>
      <c r="F9755" s="5"/>
      <c r="G9755" s="5"/>
    </row>
    <row r="9756" spans="1:7" ht="58.5" customHeight="1" x14ac:dyDescent="0.25">
      <c r="A9756" s="5" t="str">
        <f>"H0037333"</f>
        <v>H0037333</v>
      </c>
      <c r="B9756" s="5" t="str">
        <f>"VENTILADOR DE PARED"</f>
        <v>VENTILADOR DE PARED</v>
      </c>
      <c r="C9756" s="6">
        <v>286671</v>
      </c>
      <c r="D9756" s="5" t="s">
        <v>138</v>
      </c>
      <c r="E9756" s="5" t="str">
        <f t="shared" si="497"/>
        <v>ACTISALUD-RADIOLOGIA-ANDREA LARA</v>
      </c>
      <c r="F9756" s="5"/>
      <c r="G9756" s="5"/>
    </row>
    <row r="9757" spans="1:7" ht="58.5" customHeight="1" x14ac:dyDescent="0.25">
      <c r="A9757" s="5" t="str">
        <f>"H0037557"</f>
        <v>H0037557</v>
      </c>
      <c r="B9757" s="5" t="str">
        <f>"AIRE ACONDICIONADO INVERTER 220V MINI SPLIT - TENSION 220V - FUNCION ECO - CAPACIDAD REFRIGERACION 1350 - 1450 - CAPACIDAD 12.000 BTU."</f>
        <v>AIRE ACONDICIONADO INVERTER 220V MINI SPLIT - TENSION 220V - FUNCION ECO - CAPACIDAD REFRIGERACION 1350 - 1450 - CAPACIDAD 12.000 BTU.</v>
      </c>
      <c r="C9757" s="6">
        <v>3261552</v>
      </c>
      <c r="D9757" s="5" t="s">
        <v>545</v>
      </c>
      <c r="E9757" s="5" t="str">
        <f t="shared" si="497"/>
        <v>ACTISALUD-RADIOLOGIA-ANDREA LARA</v>
      </c>
      <c r="F9757" s="5"/>
      <c r="G9757" s="5"/>
    </row>
    <row r="9758" spans="1:7" ht="58.5" customHeight="1" x14ac:dyDescent="0.25">
      <c r="A9758" s="5" t="str">
        <f>"H0037560"</f>
        <v>H0037560</v>
      </c>
      <c r="B9758" s="5" t="str">
        <f>"AIRE ACONDICIONADO INVERTER 220V MINI SPLIT - TENSION 220V - FUNCION ECO - CAPACIDAD REFRIGERACION 1350 - 1450 - CAPACIDAD 12.000 BTU."</f>
        <v>AIRE ACONDICIONADO INVERTER 220V MINI SPLIT - TENSION 220V - FUNCION ECO - CAPACIDAD REFRIGERACION 1350 - 1450 - CAPACIDAD 12.000 BTU.</v>
      </c>
      <c r="C9758" s="6">
        <v>3261552</v>
      </c>
      <c r="D9758" s="5" t="s">
        <v>545</v>
      </c>
      <c r="E9758" s="5" t="str">
        <f t="shared" si="497"/>
        <v>ACTISALUD-RADIOLOGIA-ANDREA LARA</v>
      </c>
      <c r="F9758" s="5"/>
      <c r="G9758" s="5"/>
    </row>
    <row r="9759" spans="1:7" ht="58.5" customHeight="1" x14ac:dyDescent="0.25">
      <c r="A9759" s="5" t="str">
        <f>"H0037561"</f>
        <v>H0037561</v>
      </c>
      <c r="B9759" s="5" t="str">
        <f>"AIRE ACONDICIONADO TIPO MINISPLIT CAPACIDAD 12.000 BTU TECNOLOGIA INVERTER DUAL"</f>
        <v>AIRE ACONDICIONADO TIPO MINISPLIT CAPACIDAD 12.000 BTU TECNOLOGIA INVERTER DUAL</v>
      </c>
      <c r="C9759" s="6">
        <v>2500000</v>
      </c>
      <c r="D9759" s="5" t="s">
        <v>545</v>
      </c>
      <c r="E9759" s="5" t="str">
        <f t="shared" si="497"/>
        <v>ACTISALUD-RADIOLOGIA-ANDREA LARA</v>
      </c>
      <c r="F9759" s="5"/>
      <c r="G9759" s="5"/>
    </row>
    <row r="9760" spans="1:7" ht="58.5" customHeight="1" x14ac:dyDescent="0.25">
      <c r="A9760" s="5" t="str">
        <f>"H0037839"</f>
        <v>H0037839</v>
      </c>
      <c r="B9760" s="5" t="str">
        <f>"EQUIPO RAYOS X (RX)"</f>
        <v>EQUIPO RAYOS X (RX)</v>
      </c>
      <c r="C9760" s="6">
        <v>793610807</v>
      </c>
      <c r="D9760" s="5" t="s">
        <v>30</v>
      </c>
      <c r="E9760" s="5" t="str">
        <f t="shared" si="497"/>
        <v>ACTISALUD-RADIOLOGIA-ANDREA LARA</v>
      </c>
      <c r="F9760" s="5"/>
      <c r="G9760" s="5"/>
    </row>
    <row r="9761" spans="1:7" ht="58.5" customHeight="1" x14ac:dyDescent="0.25">
      <c r="A9761" s="5" t="str">
        <f>"H0037875"</f>
        <v>H0037875</v>
      </c>
      <c r="B9761" s="5" t="str">
        <f>"SILLA GERENTE NIZA MEC. BASCULANTE CON BRAZOS."</f>
        <v>SILLA GERENTE NIZA MEC. BASCULANTE CON BRAZOS.</v>
      </c>
      <c r="C9761" s="6">
        <v>710000.01</v>
      </c>
      <c r="D9761" s="5" t="s">
        <v>30</v>
      </c>
      <c r="E9761" s="5" t="str">
        <f t="shared" si="497"/>
        <v>ACTISALUD-RADIOLOGIA-ANDREA LARA</v>
      </c>
      <c r="F9761" s="5"/>
      <c r="G9761" s="5"/>
    </row>
    <row r="9762" spans="1:7" ht="58.5" customHeight="1" x14ac:dyDescent="0.25">
      <c r="A9762" s="5" t="str">
        <f>"H0037876"</f>
        <v>H0037876</v>
      </c>
      <c r="B9762" s="5" t="str">
        <f>"SILLA GERENTE NIZA MEC. BASCULANTE CON BRAZOS."</f>
        <v>SILLA GERENTE NIZA MEC. BASCULANTE CON BRAZOS.</v>
      </c>
      <c r="C9762" s="6">
        <v>710000.01</v>
      </c>
      <c r="D9762" s="5" t="s">
        <v>30</v>
      </c>
      <c r="E9762" s="5" t="str">
        <f t="shared" si="497"/>
        <v>ACTISALUD-RADIOLOGIA-ANDREA LARA</v>
      </c>
      <c r="F9762" s="5"/>
      <c r="G9762" s="5"/>
    </row>
    <row r="9763" spans="1:7" ht="58.5" customHeight="1" x14ac:dyDescent="0.25">
      <c r="A9763" s="5" t="str">
        <f>"H0037877"</f>
        <v>H0037877</v>
      </c>
      <c r="B9763" s="5" t="str">
        <f>"SILLA GERENTE NIZA MEC. BASCULANTE CON BRAZOS."</f>
        <v>SILLA GERENTE NIZA MEC. BASCULANTE CON BRAZOS.</v>
      </c>
      <c r="C9763" s="6">
        <v>710000.01</v>
      </c>
      <c r="D9763" s="5" t="s">
        <v>30</v>
      </c>
      <c r="E9763" s="5" t="str">
        <f t="shared" si="497"/>
        <v>ACTISALUD-RADIOLOGIA-ANDREA LARA</v>
      </c>
      <c r="F9763" s="5"/>
      <c r="G9763" s="5"/>
    </row>
    <row r="9764" spans="1:7" ht="58.5" customHeight="1" x14ac:dyDescent="0.25">
      <c r="A9764" s="5" t="str">
        <f>"H0037878"</f>
        <v>H0037878</v>
      </c>
      <c r="B9764" s="5" t="str">
        <f>"SILLA GERENTE NIZA MEC. BASCULANTE CON BRAZOS."</f>
        <v>SILLA GERENTE NIZA MEC. BASCULANTE CON BRAZOS.</v>
      </c>
      <c r="C9764" s="6">
        <v>710000.01</v>
      </c>
      <c r="D9764" s="5" t="s">
        <v>30</v>
      </c>
      <c r="E9764" s="5" t="str">
        <f t="shared" si="497"/>
        <v>ACTISALUD-RADIOLOGIA-ANDREA LARA</v>
      </c>
      <c r="F9764" s="5"/>
      <c r="G9764" s="5"/>
    </row>
    <row r="9765" spans="1:7" ht="58.5" customHeight="1" x14ac:dyDescent="0.25">
      <c r="A9765" s="5" t="str">
        <f>"H0037879"</f>
        <v>H0037879</v>
      </c>
      <c r="B9765" s="5" t="str">
        <f>"SILLA GERENTE NIZA MEC. BASCULANTE CON BRAZOS."</f>
        <v>SILLA GERENTE NIZA MEC. BASCULANTE CON BRAZOS.</v>
      </c>
      <c r="C9765" s="6">
        <v>710000.01</v>
      </c>
      <c r="D9765" s="5" t="s">
        <v>30</v>
      </c>
      <c r="E9765" s="5" t="str">
        <f t="shared" si="497"/>
        <v>ACTISALUD-RADIOLOGIA-ANDREA LARA</v>
      </c>
      <c r="F9765" s="5"/>
      <c r="G9765" s="5"/>
    </row>
    <row r="9766" spans="1:7" ht="58.5" customHeight="1" x14ac:dyDescent="0.25">
      <c r="A9766" s="5" t="str">
        <f>"H0038654"</f>
        <v>H0038654</v>
      </c>
      <c r="B9766" s="5" t="str">
        <f>"PERCHERO PARA CHALECO PLOMADO"</f>
        <v>PERCHERO PARA CHALECO PLOMADO</v>
      </c>
      <c r="C9766" s="6">
        <v>2939999.91</v>
      </c>
      <c r="D9766" s="5" t="s">
        <v>145</v>
      </c>
      <c r="E9766" s="5" t="str">
        <f t="shared" si="497"/>
        <v>ACTISALUD-RADIOLOGIA-ANDREA LARA</v>
      </c>
      <c r="F9766" s="5"/>
      <c r="G9766" s="5"/>
    </row>
    <row r="9767" spans="1:7" ht="58.5" customHeight="1" x14ac:dyDescent="0.25">
      <c r="A9767" s="5" t="str">
        <f>"H0038655"</f>
        <v>H0038655</v>
      </c>
      <c r="B9767" s="5" t="str">
        <f>"PERCHERO PARA CHALECO PLOMADO"</f>
        <v>PERCHERO PARA CHALECO PLOMADO</v>
      </c>
      <c r="C9767" s="6">
        <v>2939999.91</v>
      </c>
      <c r="D9767" s="5" t="s">
        <v>145</v>
      </c>
      <c r="E9767" s="5" t="str">
        <f t="shared" si="497"/>
        <v>ACTISALUD-RADIOLOGIA-ANDREA LARA</v>
      </c>
      <c r="F9767" s="5"/>
      <c r="G9767" s="5"/>
    </row>
    <row r="9768" spans="1:7" ht="58.5" customHeight="1" x14ac:dyDescent="0.25">
      <c r="A9768" s="5" t="str">
        <f>"H0038656"</f>
        <v>H0038656</v>
      </c>
      <c r="B9768" s="5" t="str">
        <f>"PERCHERO PARA CHALECO PLOMADO"</f>
        <v>PERCHERO PARA CHALECO PLOMADO</v>
      </c>
      <c r="C9768" s="6">
        <v>2939999.91</v>
      </c>
      <c r="D9768" s="5" t="s">
        <v>145</v>
      </c>
      <c r="E9768" s="5" t="str">
        <f t="shared" si="497"/>
        <v>ACTISALUD-RADIOLOGIA-ANDREA LARA</v>
      </c>
      <c r="F9768" s="5"/>
      <c r="G9768" s="5"/>
    </row>
    <row r="9769" spans="1:7" ht="58.5" customHeight="1" x14ac:dyDescent="0.25">
      <c r="A9769" s="5" t="str">
        <f>"V000067"</f>
        <v>V000067</v>
      </c>
      <c r="B9769" s="5" t="str">
        <f>"RAYOS X PORTATIL. Superficie Activa 43x35 cm. Distancia focal 220 cm min. Brazo 180°. 40-125 kV. 10-500 mA. 115 V. Bateria 7h. Pantalla táctil &gt; 19”. DICOM. LAN. Wifi. 5000 records."</f>
        <v>RAYOS X PORTATIL. Superficie Activa 43x35 cm. Distancia focal 220 cm min. Brazo 180°. 40-125 kV. 10-500 mA. 115 V. Bateria 7h. Pantalla táctil &gt; 19”. DICOM. LAN. Wifi. 5000 records.</v>
      </c>
      <c r="C9769" s="6">
        <v>947835595</v>
      </c>
      <c r="D9769" s="5" t="s">
        <v>344</v>
      </c>
      <c r="E9769" s="5" t="str">
        <f t="shared" si="497"/>
        <v>ACTISALUD-RADIOLOGIA-ANDREA LARA</v>
      </c>
      <c r="F9769" s="5"/>
      <c r="G9769" s="5" t="str">
        <f>"dr100s"</f>
        <v>dr100s</v>
      </c>
    </row>
    <row r="9770" spans="1:7" ht="58.5" customHeight="1" x14ac:dyDescent="0.25">
      <c r="A9770" s="5" t="str">
        <f>"V000068"</f>
        <v>V000068</v>
      </c>
      <c r="B9770" s="5" t="str">
        <f>"SISTEMA DE DETECTOR 17*17 DR 17C PARA  SALA DE RAYOS X"</f>
        <v>SISTEMA DE DETECTOR 17*17 DR 17C PARA  SALA DE RAYOS X</v>
      </c>
      <c r="C9770" s="6">
        <v>290005975</v>
      </c>
      <c r="D9770" s="5" t="s">
        <v>344</v>
      </c>
      <c r="E9770" s="5" t="str">
        <f t="shared" si="497"/>
        <v>ACTISALUD-RADIOLOGIA-ANDREA LARA</v>
      </c>
      <c r="F9770" s="5"/>
      <c r="G9770" s="5" t="str">
        <f>"14*17"</f>
        <v>14*17</v>
      </c>
    </row>
    <row r="9771" spans="1:7" ht="58.5" customHeight="1" x14ac:dyDescent="0.25">
      <c r="A9771" s="5" t="str">
        <f>"V000069"</f>
        <v>V000069</v>
      </c>
      <c r="B9771" s="5" t="str">
        <f>"SISTEMA DE DETECTOR 17*17 DR 17C PARA  SALA DE RAYOS X"</f>
        <v>SISTEMA DE DETECTOR 17*17 DR 17C PARA  SALA DE RAYOS X</v>
      </c>
      <c r="C9771" s="6">
        <v>291282250</v>
      </c>
      <c r="D9771" s="5" t="s">
        <v>344</v>
      </c>
      <c r="E9771" s="5" t="str">
        <f t="shared" si="497"/>
        <v>ACTISALUD-RADIOLOGIA-ANDREA LARA</v>
      </c>
      <c r="F9771" s="5"/>
      <c r="G9771" s="5" t="str">
        <f>"17*17"</f>
        <v>17*17</v>
      </c>
    </row>
    <row r="9772" spans="1:7" ht="58.5" customHeight="1" x14ac:dyDescent="0.25">
      <c r="A9772" s="5" t="str">
        <f>"B0003883"</f>
        <v>B0003883</v>
      </c>
      <c r="B9772" s="5" t="str">
        <f>"TENSIOMETRO ANEROIDE DE MANO ADULTO"</f>
        <v>TENSIOMETRO ANEROIDE DE MANO ADULTO</v>
      </c>
      <c r="C9772" s="6">
        <v>200100</v>
      </c>
      <c r="D9772" s="5"/>
      <c r="E9772" s="5" t="str">
        <f t="shared" ref="E9772:E9835" si="498">"BANCO DE SANGRE-ELSIE ENTRENA MUTIS"</f>
        <v>BANCO DE SANGRE-ELSIE ENTRENA MUTIS</v>
      </c>
      <c r="F9772" s="5" t="str">
        <f>"Descripcion: TENSIOMETRO Estado: Bueno Placa anterior: 000029075 Material: TELA, CAUCHO  Color: NEGRO Referencia:  Observacion:  Placa padre: Tipo adquisicion: Entidad"</f>
        <v>Descripcion: TENSIOMETRO Estado: Bueno Placa anterior: 000029075 Material: TELA, CAUCHO  Color: NEGRO Referencia:  Observacion:  Placa padre: Tipo adquisicion: Entidad</v>
      </c>
      <c r="G9772" s="5"/>
    </row>
    <row r="9773" spans="1:7" ht="58.5" customHeight="1" x14ac:dyDescent="0.25">
      <c r="A9773" s="5" t="str">
        <f>"B0005153"</f>
        <v>B0005153</v>
      </c>
      <c r="B9773" s="5" t="str">
        <f>"TIJERA (INSTRUMENTAL)"</f>
        <v>TIJERA (INSTRUMENTAL)</v>
      </c>
      <c r="C9773" s="6">
        <v>2685.84</v>
      </c>
      <c r="D9773" s="5"/>
      <c r="E9773" s="5" t="str">
        <f t="shared" si="498"/>
        <v>BANCO DE SANGRE-ELSIE ENTRENA MUTIS</v>
      </c>
      <c r="F9773" s="5" t="str">
        <f>"Descripcion: TIJERA QUIRURGICA Estado: Bueno Placa anterior: 000021588 Material: METAL Color: PLATEADO Referencia:  Observacion:  Placa padre: Tipo adquisicion: Entidad"</f>
        <v>Descripcion: TIJERA QUIRURGICA Estado: Bueno Placa anterior: 000021588 Material: METAL Color: PLATEADO Referencia:  Observacion:  Placa padre: Tipo adquisicion: Entidad</v>
      </c>
      <c r="G9773" s="5"/>
    </row>
    <row r="9774" spans="1:7" ht="58.5" customHeight="1" x14ac:dyDescent="0.25">
      <c r="A9774" s="5" t="str">
        <f>"B0005154"</f>
        <v>B0005154</v>
      </c>
      <c r="B9774" s="5" t="str">
        <f>"PINZA STRIPER"</f>
        <v>PINZA STRIPER</v>
      </c>
      <c r="C9774" s="6">
        <v>371200</v>
      </c>
      <c r="D9774" s="5"/>
      <c r="E9774" s="5" t="str">
        <f t="shared" si="498"/>
        <v>BANCO DE SANGRE-ELSIE ENTRENA MUTIS</v>
      </c>
      <c r="F9774" s="5" t="str">
        <f>"Descripcion: PINZA STRIPER MANUAL MARCA MEDICARE ESPECIALMENTE DISEÑADA PARA PRESTAR DOS SERVICIOS ESTRIPA SIN MAYOR PRESION SELLA CON GRAPA, ERGONOMICA LIVIANA Estado: Bueno Placa anterior: 000026239 Material: METAL Y GOMA Color:  Referencia:  Observacio"&amp; "n:  Placa padre: Tipo adquisicion: Entidad"</f>
        <v>Descripcion: PINZA STRIPER MANUAL MARCA MEDICARE ESPECIALMENTE DISEÑADA PARA PRESTAR DOS SERVICIOS ESTRIPA SIN MAYOR PRESION SELLA CON GRAPA, ERGONOMICA LIVIANA Estado: Bueno Placa anterior: 000026239 Material: METAL Y GOMA Color:  Referencia:  Observacion:  Placa padre: Tipo adquisicion: Entidad</v>
      </c>
      <c r="G9774" s="5"/>
    </row>
    <row r="9775" spans="1:7" ht="58.5" customHeight="1" x14ac:dyDescent="0.25">
      <c r="A9775" s="5" t="str">
        <f>"B0005155"</f>
        <v>B0005155</v>
      </c>
      <c r="B9775" s="5" t="str">
        <f>"PINZA STRIPER"</f>
        <v>PINZA STRIPER</v>
      </c>
      <c r="C9775" s="6">
        <v>371200</v>
      </c>
      <c r="D9775" s="5"/>
      <c r="E9775" s="5" t="str">
        <f t="shared" si="498"/>
        <v>BANCO DE SANGRE-ELSIE ENTRENA MUTIS</v>
      </c>
      <c r="F9775" s="5" t="str">
        <f>"Descripcion: PINZA STRIPER MANUAL MARCA MEDICARE ESPECIALMENTE DISEÑADA PARA PRESTAR DOS SERVICIOS ESTRIPA SIN MAYOR PRESION SELLA CON GRAPA, ERGONOMICA LIVIANA Estado: Bueno Placa anterior: 000026240 Material: METAL Y COMA Color:  Referencia:  Observacio"&amp; "n:  Placa padre: Tipo adquisicion: Entidad"</f>
        <v>Descripcion: PINZA STRIPER MANUAL MARCA MEDICARE ESPECIALMENTE DISEÑADA PARA PRESTAR DOS SERVICIOS ESTRIPA SIN MAYOR PRESION SELLA CON GRAPA, ERGONOMICA LIVIANA Estado: Bueno Placa anterior: 000026240 Material: METAL Y COMA Color:  Referencia:  Observacion:  Placa padre: Tipo adquisicion: Entidad</v>
      </c>
      <c r="G9775" s="5"/>
    </row>
    <row r="9776" spans="1:7" ht="58.5" customHeight="1" x14ac:dyDescent="0.25">
      <c r="A9776" s="5" t="str">
        <f>"B0005156"</f>
        <v>B0005156</v>
      </c>
      <c r="B9776" s="5" t="str">
        <f>"PINZA STRIPER"</f>
        <v>PINZA STRIPER</v>
      </c>
      <c r="C9776" s="6">
        <v>371200</v>
      </c>
      <c r="D9776" s="5"/>
      <c r="E9776" s="5" t="str">
        <f t="shared" si="498"/>
        <v>BANCO DE SANGRE-ELSIE ENTRENA MUTIS</v>
      </c>
      <c r="F9776" s="5" t="str">
        <f>"Descripcion: PINZA STRIPER MANUAL MARCA MEDICARE ESPECIALMENTE DISEÑADA PARA PRESTAR DOS SERVICIOS ESTRIPA SIN MAYOR PRESION SELLA CON GRAPA, ERGONOMICA LIVIANA Estado: Bueno Placa anterior: 000026241 Material: METAL Y GOMA Color:  Referencia:  Observacio"&amp; "n:  Placa padre: Tipo adquisicion: Entidad"</f>
        <v>Descripcion: PINZA STRIPER MANUAL MARCA MEDICARE ESPECIALMENTE DISEÑADA PARA PRESTAR DOS SERVICIOS ESTRIPA SIN MAYOR PRESION SELLA CON GRAPA, ERGONOMICA LIVIANA Estado: Bueno Placa anterior: 000026241 Material: METAL Y GOMA Color:  Referencia:  Observacion:  Placa padre: Tipo adquisicion: Entidad</v>
      </c>
      <c r="G9776" s="5"/>
    </row>
    <row r="9777" spans="1:7" ht="58.5" customHeight="1" x14ac:dyDescent="0.25">
      <c r="A9777" s="5" t="str">
        <f>"H0001557"</f>
        <v>H0001557</v>
      </c>
      <c r="B9777" s="5" t="str">
        <f>"MICROSCOPIO BINOCULARES"</f>
        <v>MICROSCOPIO BINOCULARES</v>
      </c>
      <c r="C9777" s="6">
        <v>6500000</v>
      </c>
      <c r="D9777" s="5"/>
      <c r="E9777" s="5" t="str">
        <f t="shared" si="498"/>
        <v>BANCO DE SANGRE-ELSIE ENTRENA MUTIS</v>
      </c>
      <c r="F9777" s="5" t="str">
        <f>"Descripcion:MICROSCOPIO TRIOCULAR MODELO CX-31  Estado: Bueno Placa anterior: 000033210 Material:  Color: GRIS Referencia:  Observacion:  Placa padre:  Tipo adquisicion : Entidad"</f>
        <v>Descripcion:MICROSCOPIO TRIOCULAR MODELO CX-31  Estado: Bueno Placa anterior: 000033210 Material:  Color: GRIS Referencia:  Observacion:  Placa padre:  Tipo adquisicion : Entidad</v>
      </c>
      <c r="G9777" s="5"/>
    </row>
    <row r="9778" spans="1:7" ht="58.5" customHeight="1" x14ac:dyDescent="0.25">
      <c r="A9778" s="5" t="str">
        <f>"H0010729"</f>
        <v>H0010729</v>
      </c>
      <c r="B9778" s="5" t="str">
        <f>"SILLA TANDEM DE 4 PUESTOS"</f>
        <v>SILLA TANDEM DE 4 PUESTOS</v>
      </c>
      <c r="C9778" s="6">
        <v>740000</v>
      </c>
      <c r="D9778" s="5" t="s">
        <v>529</v>
      </c>
      <c r="E9778" s="5" t="str">
        <f t="shared" si="498"/>
        <v>BANCO DE SANGRE-ELSIE ENTRENA MUTIS</v>
      </c>
      <c r="F9778" s="5" t="str">
        <f>"Descripcion: SILLA DE 4 PUESTO  Estado: Bueno Placa anterior:  Material: METALICO Y PASTA Color: AZUL Y NEGRO Referencia:  Observacion:  Placa padre: Tipo adquisicion: Entidad"</f>
        <v>Descripcion: SILLA DE 4 PUESTO  Estado: Bueno Placa anterior:  Material: METALICO Y PASTA Color: AZUL Y NEGRO Referencia:  Observacion:  Placa padre: Tipo adquisicion: Entidad</v>
      </c>
      <c r="G9778" s="5"/>
    </row>
    <row r="9779" spans="1:7" ht="58.5" customHeight="1" x14ac:dyDescent="0.25">
      <c r="A9779" s="5" t="str">
        <f>"H0010730"</f>
        <v>H0010730</v>
      </c>
      <c r="B9779" s="5" t="str">
        <f>"SILLA TANDEM DE 4 PUESTOS"</f>
        <v>SILLA TANDEM DE 4 PUESTOS</v>
      </c>
      <c r="C9779" s="6">
        <v>740000</v>
      </c>
      <c r="D9779" s="5" t="s">
        <v>529</v>
      </c>
      <c r="E9779" s="5" t="str">
        <f t="shared" si="498"/>
        <v>BANCO DE SANGRE-ELSIE ENTRENA MUTIS</v>
      </c>
      <c r="F9779" s="5" t="str">
        <f>"Descripcion: SILLA DE 4 PUESTO  Estado: Bueno Placa anterior:  Material: METALICO Y PASTA Color: AZUL Y NEGRO Referencia:  Observacion:  Placa padre: Tipo adquisicion: Entidad"</f>
        <v>Descripcion: SILLA DE 4 PUESTO  Estado: Bueno Placa anterior:  Material: METALICO Y PASTA Color: AZUL Y NEGRO Referencia:  Observacion:  Placa padre: Tipo adquisicion: Entidad</v>
      </c>
      <c r="G9779" s="5"/>
    </row>
    <row r="9780" spans="1:7" ht="58.5" customHeight="1" x14ac:dyDescent="0.25">
      <c r="A9780" s="5" t="str">
        <f>"H0010731"</f>
        <v>H0010731</v>
      </c>
      <c r="B9780" s="5" t="str">
        <f>"SILLA TANDEM DE 4 PUESTOS"</f>
        <v>SILLA TANDEM DE 4 PUESTOS</v>
      </c>
      <c r="C9780" s="6">
        <v>740000</v>
      </c>
      <c r="D9780" s="5" t="s">
        <v>529</v>
      </c>
      <c r="E9780" s="5" t="str">
        <f t="shared" si="498"/>
        <v>BANCO DE SANGRE-ELSIE ENTRENA MUTIS</v>
      </c>
      <c r="F9780" s="5" t="str">
        <f>"Descripcion: SILLA DE 4 PUESTO  Estado: Bueno Placa anterior:  Material: METALICO Y PASTA Color: AZUL Y NEGRO Referencia:  Observacion:  Placa padre: Tipo adquisicion: Entidad"</f>
        <v>Descripcion: SILLA DE 4 PUESTO  Estado: Bueno Placa anterior:  Material: METALICO Y PASTA Color: AZUL Y NEGRO Referencia:  Observacion:  Placa padre: Tipo adquisicion: Entidad</v>
      </c>
      <c r="G9780" s="5"/>
    </row>
    <row r="9781" spans="1:7" ht="58.5" customHeight="1" x14ac:dyDescent="0.25">
      <c r="A9781" s="5" t="str">
        <f>"H0010732"</f>
        <v>H0010732</v>
      </c>
      <c r="B9781" s="5" t="str">
        <f>"SILLA TANDEM DE 4 PUESTOS"</f>
        <v>SILLA TANDEM DE 4 PUESTOS</v>
      </c>
      <c r="C9781" s="6">
        <v>740000</v>
      </c>
      <c r="D9781" s="5" t="s">
        <v>529</v>
      </c>
      <c r="E9781" s="5" t="str">
        <f t="shared" si="498"/>
        <v>BANCO DE SANGRE-ELSIE ENTRENA MUTIS</v>
      </c>
      <c r="F9781" s="5" t="str">
        <f>"Descripcion: SILLA DE 4 PUESTO  Estado: Bueno Placa anterior:  Material: METALICO Y PASTA Color: AZUL Y NEGRO Referencia:  Observacion:  Placa padre: Tipo adquisicion: Entidad"</f>
        <v>Descripcion: SILLA DE 4 PUESTO  Estado: Bueno Placa anterior:  Material: METALICO Y PASTA Color: AZUL Y NEGRO Referencia:  Observacion:  Placa padre: Tipo adquisicion: Entidad</v>
      </c>
      <c r="G9781" s="5"/>
    </row>
    <row r="9782" spans="1:7" ht="58.5" customHeight="1" x14ac:dyDescent="0.25">
      <c r="A9782" s="5" t="str">
        <f>"H0010738"</f>
        <v>H0010738</v>
      </c>
      <c r="B9782" s="5" t="str">
        <f>"MULTIMUEBLE ENCHAPADO EN FORMICA"</f>
        <v>MULTIMUEBLE ENCHAPADO EN FORMICA</v>
      </c>
      <c r="C9782" s="6">
        <v>1044000</v>
      </c>
      <c r="D9782" s="5" t="s">
        <v>546</v>
      </c>
      <c r="E9782" s="5" t="str">
        <f t="shared" si="498"/>
        <v>BANCO DE SANGRE-ELSIE ENTRENA MUTIS</v>
      </c>
      <c r="F9782" s="5" t="str">
        <f>"Descripcion: BIBLIOTECA DE 2.00.X0.90X0.40 CON ENTREPAÑOS Y 2 PUERTAS Estado: Bueno Placa anterior: 000029574 Material: MADERA Color: GRIS Y MIEL Referencia:  Observacion: EMPOTARDO A LA PARED Placa padre: Tipo adquisicion: Entidad"</f>
        <v>Descripcion: BIBLIOTECA DE 2.00.X0.90X0.40 CON ENTREPAÑOS Y 2 PUERTAS Estado: Bueno Placa anterior: 000029574 Material: MADERA Color: GRIS Y MIEL Referencia:  Observacion: EMPOTARDO A LA PARED Placa padre: Tipo adquisicion: Entidad</v>
      </c>
      <c r="G9782" s="5"/>
    </row>
    <row r="9783" spans="1:7" ht="58.5" customHeight="1" x14ac:dyDescent="0.25">
      <c r="A9783" s="5" t="str">
        <f>"H0010970"</f>
        <v>H0010970</v>
      </c>
      <c r="B9783" s="5" t="str">
        <f>"PUESTO DE TRABAJO EN L"</f>
        <v>PUESTO DE TRABAJO EN L</v>
      </c>
      <c r="C9783" s="6">
        <v>1334000</v>
      </c>
      <c r="D9783" s="5" t="s">
        <v>546</v>
      </c>
      <c r="E9783" s="5" t="str">
        <f t="shared" si="498"/>
        <v>BANCO DE SANGRE-ELSIE ENTRENA MUTIS</v>
      </c>
      <c r="F9783" s="5" t="str">
        <f>"Descripcion: PUESTO DE TRABAJO EN L DE 1.50X1.50 CON ARCHIVO Estado: Bueno Placa anterior: 000029579 Material: METAL Y FORMICA Color: GRIS Y MADERA CLARO Referencia:  Observacion: CON 3 GAVETAS Placa padre: Tipo adquisicion: Entidad"</f>
        <v>Descripcion: PUESTO DE TRABAJO EN L DE 1.50X1.50 CON ARCHIVO Estado: Bueno Placa anterior: 000029579 Material: METAL Y FORMICA Color: GRIS Y MADERA CLARO Referencia:  Observacion: CON 3 GAVETAS Placa padre: Tipo adquisicion: Entidad</v>
      </c>
      <c r="G9783" s="5"/>
    </row>
    <row r="9784" spans="1:7" ht="58.5" customHeight="1" x14ac:dyDescent="0.25">
      <c r="A9784" s="5" t="str">
        <f>"H0010972"</f>
        <v>H0010972</v>
      </c>
      <c r="B9784" s="5" t="str">
        <f>"SILLA INTERLOCUTORA (FIJA) SIN BRAZOS"</f>
        <v>SILLA INTERLOCUTORA (FIJA) SIN BRAZOS</v>
      </c>
      <c r="C9784" s="6">
        <v>153000</v>
      </c>
      <c r="D9784" s="5"/>
      <c r="E9784" s="5" t="str">
        <f t="shared" si="498"/>
        <v>BANCO DE SANGRE-ELSIE ENTRENA MUTIS</v>
      </c>
      <c r="F9784" s="5" t="str">
        <f>"Descripcion: SILLA INTERLOCUTORA FIJA SIN BRAZOS Estado: Bueno Placa anterior: 000025423 Material: METAL, PASTA Y PAÑO Color: NEGRO Y AZUL Referencia:  Observacion: AUTORIZADO CONCILIAR EN CRUCE GENERAL Placa padre: Tipo adquisicion: Entidad"</f>
        <v>Descripcion: SILLA INTERLOCUTORA FIJA SIN BRAZOS Estado: Bueno Placa anterior: 000025423 Material: METAL, PASTA Y PAÑO Color: NEGRO Y AZUL Referencia:  Observacion: AUTORIZADO CONCILIAR EN CRUCE GENERAL Placa padre: Tipo adquisicion: Entidad</v>
      </c>
      <c r="G9784" s="5"/>
    </row>
    <row r="9785" spans="1:7" ht="58.5" customHeight="1" x14ac:dyDescent="0.25">
      <c r="A9785" s="5" t="str">
        <f>"H0010973"</f>
        <v>H0010973</v>
      </c>
      <c r="B9785" s="5" t="str">
        <f>"MUEBLE (ARCHIVADOR) AEREO (GABINETE DE PARED)"</f>
        <v>MUEBLE (ARCHIVADOR) AEREO (GABINETE DE PARED)</v>
      </c>
      <c r="C9785" s="6">
        <v>1201760</v>
      </c>
      <c r="D9785" s="5" t="s">
        <v>546</v>
      </c>
      <c r="E9785" s="5" t="str">
        <f t="shared" si="498"/>
        <v>BANCO DE SANGRE-ELSIE ENTRENA MUTIS</v>
      </c>
      <c r="F9785" s="5" t="str">
        <f>"Descripcion: MUEBLE ARCHIVADOR AEREO Estado: Bueno Placa anterior: 000029583 Material: FORMICA Color: GRIS CLARO Y MADERA CLARO Referencia:  Observacion:  Placa padre: Tipo adquisicion: Entidad"</f>
        <v>Descripcion: MUEBLE ARCHIVADOR AEREO Estado: Bueno Placa anterior: 000029583 Material: FORMICA Color: GRIS CLARO Y MADERA CLARO Referencia:  Observacion:  Placa padre: Tipo adquisicion: Entidad</v>
      </c>
      <c r="G9785" s="5"/>
    </row>
    <row r="9786" spans="1:7" ht="58.5" customHeight="1" x14ac:dyDescent="0.25">
      <c r="A9786" s="5" t="str">
        <f>"H0010978"</f>
        <v>H0010978</v>
      </c>
      <c r="B9786" s="5" t="str">
        <f>"BUTACO GIRATORIO CON RUEDAS"</f>
        <v>BUTACO GIRATORIO CON RUEDAS</v>
      </c>
      <c r="C9786" s="6">
        <v>172840</v>
      </c>
      <c r="D9786" s="5" t="s">
        <v>166</v>
      </c>
      <c r="E9786" s="5" t="str">
        <f t="shared" si="498"/>
        <v>BANCO DE SANGRE-ELSIE ENTRENA MUTIS</v>
      </c>
      <c r="F9786" s="5" t="str">
        <f>"Descripcion: BUTACO GIRATORIO CON RUEDAS Estado: Bueno Placa anterior: 000031478 Material: PASTA Color: NEGRO Referencia:  Observacion: BANCO GIRATORIO. SILLA GIRATORIA METALICA CON RUEDAS. Altura graduable que oscile entre 0.55 a 0.80 mtrs.TAPIZADO EN CO"&amp; "RDOBAN, ACABADO EN PINTURA ELECTROSTATICA Placa padre: Tipo adquisicion: Entidad"</f>
        <v>Descripcion: BUTACO GIRATORIO CON RUEDAS Estado: Bueno Placa anterior: 000031478 Material: PASTA Color: NEGRO Referencia:  Observacion: BANCO GIRATORIO. SILLA GIRATORIA METALICA CON RUEDAS. Altura graduable que oscile entre 0.55 a 0.80 mtrs.TAPIZADO EN CORDOBAN, ACABADO EN PINTURA ELECTROSTATICA Placa padre: Tipo adquisicion: Entidad</v>
      </c>
      <c r="G9786" s="5"/>
    </row>
    <row r="9787" spans="1:7" ht="58.5" customHeight="1" x14ac:dyDescent="0.25">
      <c r="A9787" s="5" t="str">
        <f>"H0010984"</f>
        <v>H0010984</v>
      </c>
      <c r="B9787" s="5" t="str">
        <f>"CAJA (CAVA) TERMICA (CONTENEDOR ISOTERMICO) PARA TRANSPÒRTE DE SANGRE"</f>
        <v>CAJA (CAVA) TERMICA (CONTENEDOR ISOTERMICO) PARA TRANSPÒRTE DE SANGRE</v>
      </c>
      <c r="C9787" s="6">
        <v>1745942</v>
      </c>
      <c r="D9787" s="5" t="s">
        <v>547</v>
      </c>
      <c r="E9787" s="5" t="str">
        <f t="shared" si="498"/>
        <v>BANCO DE SANGRE-ELSIE ENTRENA MUTIS</v>
      </c>
      <c r="F9787" s="5" t="str">
        <f>"Descripcion: CABA - COMPOCOOL. WB INSULATED - TRANSPORTA BOX + COLING ELEMENT Estado: Bueno Placa anterior: 000030853 Material: PASTA Color: AZUL Referencia:  Observacion: CON PILA  Placa padre: Tipo adquisicion: Entidad"</f>
        <v>Descripcion: CABA - COMPOCOOL. WB INSULATED - TRANSPORTA BOX + COLING ELEMENT Estado: Bueno Placa anterior: 000030853 Material: PASTA Color: AZUL Referencia:  Observacion: CON PILA  Placa padre: Tipo adquisicion: Entidad</v>
      </c>
      <c r="G9787" s="5"/>
    </row>
    <row r="9788" spans="1:7" ht="58.5" customHeight="1" x14ac:dyDescent="0.25">
      <c r="A9788" s="5" t="str">
        <f>"H0010985"</f>
        <v>H0010985</v>
      </c>
      <c r="B9788" s="5" t="str">
        <f>"CAJA (CAVA) TERMICA (CONTENEDOR ISOTERMICO) PARA TRANSPÒRTE DE SANGRE"</f>
        <v>CAJA (CAVA) TERMICA (CONTENEDOR ISOTERMICO) PARA TRANSPÒRTE DE SANGRE</v>
      </c>
      <c r="C9788" s="6">
        <v>1745942</v>
      </c>
      <c r="D9788" s="5" t="s">
        <v>547</v>
      </c>
      <c r="E9788" s="5" t="str">
        <f t="shared" si="498"/>
        <v>BANCO DE SANGRE-ELSIE ENTRENA MUTIS</v>
      </c>
      <c r="F9788" s="5" t="str">
        <f>"Descripcion: CABA - COMPOCOOL. WB INSULATED - TRANSPORTA BOX + COLING ELEMENT Estado: Bueno Placa anterior: 000030851 Material: PASTA Color: AZUL Referencia:  Observacion: CON PILA  Placa padre: Tipo adquisicion: Entidad"</f>
        <v>Descripcion: CABA - COMPOCOOL. WB INSULATED - TRANSPORTA BOX + COLING ELEMENT Estado: Bueno Placa anterior: 000030851 Material: PASTA Color: AZUL Referencia:  Observacion: CON PILA  Placa padre: Tipo adquisicion: Entidad</v>
      </c>
      <c r="G9788" s="5"/>
    </row>
    <row r="9789" spans="1:7" ht="58.5" customHeight="1" x14ac:dyDescent="0.25">
      <c r="A9789" s="5" t="str">
        <f>"H0010986"</f>
        <v>H0010986</v>
      </c>
      <c r="B9789" s="5" t="str">
        <f>"CAJA (CAVA) TERMICA (CONTENEDOR ISOTERMICO) PARA TRANSPÒRTE DE SANGRE"</f>
        <v>CAJA (CAVA) TERMICA (CONTENEDOR ISOTERMICO) PARA TRANSPÒRTE DE SANGRE</v>
      </c>
      <c r="C9789" s="6">
        <v>1745942</v>
      </c>
      <c r="D9789" s="5" t="s">
        <v>547</v>
      </c>
      <c r="E9789" s="5" t="str">
        <f t="shared" si="498"/>
        <v>BANCO DE SANGRE-ELSIE ENTRENA MUTIS</v>
      </c>
      <c r="F9789" s="5" t="str">
        <f>"Descripcion: CABA - COMPOCOOL. WB INSULATED - TRANSPORTA BOX + COLING ELEMENT Estado: Bueno Placa anterior: 000030854 Material: PASTA Color: AZUL Referencia:  Observacion: CON PILA  Placa padre: Tipo adquisicion: Entidad"</f>
        <v>Descripcion: CABA - COMPOCOOL. WB INSULATED - TRANSPORTA BOX + COLING ELEMENT Estado: Bueno Placa anterior: 000030854 Material: PASTA Color: AZUL Referencia:  Observacion: CON PILA  Placa padre: Tipo adquisicion: Entidad</v>
      </c>
      <c r="G9789" s="5"/>
    </row>
    <row r="9790" spans="1:7" ht="58.5" customHeight="1" x14ac:dyDescent="0.25">
      <c r="A9790" s="5" t="str">
        <f>"H0010987"</f>
        <v>H0010987</v>
      </c>
      <c r="B9790" s="5" t="str">
        <f>"CARRO MANUAL PARA TRANSPORTE OBJETOS"</f>
        <v>CARRO MANUAL PARA TRANSPORTE OBJETOS</v>
      </c>
      <c r="C9790" s="6">
        <v>6805000</v>
      </c>
      <c r="D9790" s="5"/>
      <c r="E9790" s="5" t="str">
        <f t="shared" si="498"/>
        <v>BANCO DE SANGRE-ELSIE ENTRENA MUTIS</v>
      </c>
      <c r="F9790" s="5" t="str">
        <f>"Descripcion: SISTEMA COMPOCOOL WB SISTEMA DE ALMACENAMIENTO Y TRANSPORTE CONFORMADO POR: PLACA DE BUTANODIOL CAJA X4 CANASTILLA CAJA X4, CARRO CAJAX1 Estado: Bueno Placa anterior: 000033620 Material:  Color:  Referencia:  Observacion: FUNCIONARIO AUTORIZA"&amp; " SE CONCILIE CON PLACA  000033620 Placa anterior:, Placa nueva=H0012855, Descripcion:CAVAS COMPOCOOL , Serial:, Marca:FRESENIUS KABI, Modelo:, Material:PLASTICO, Color:AZUL,Referencia:, Placa anterior:, Placa nueva=H0012857, Descripcion:CAVAS COMPOCOOL , "&amp; "Serial:, Marca:FRESENIUS KABI, Modelo:, Material:PLASTICO, Color:AZUL,Referencia:, Placa anterior:, Placa nueva=H0012854, Descripcion:CAVAS COMPOCOOL , Serial:, Marca:FRESENIUS KABI, Modelo:, Material:PLASTICO, Color:AZUL,Referencia:, Placa anterior:, Pla"&amp; "ca nueva=H0012856, Descripcion:CAVAS COMPOCOOL , Serial:, Marca:FRESENIUS KABI, Modelo:, Material:PLASTICO, Color:AZUL,Referencia: Placa padre: Tipo adquisicion: Entidad"</f>
        <v>Descripcion: SISTEMA COMPOCOOL WB SISTEMA DE ALMACENAMIENTO Y TRANSPORTE CONFORMADO POR: PLACA DE BUTANODIOL CAJA X4 CANASTILLA CAJA X4, CARRO CAJAX1 Estado: Bueno Placa anterior: 000033620 Material:  Color:  Referencia:  Observacion: FUNCIONARIO AUTORIZA SE CONCILIE CON PLACA  000033620 Placa anterior:, Placa nueva=H0012855, Descripcion:CAVAS COMPOCOOL , Serial:, Marca:FRESENIUS KABI, Modelo:, Material:PLASTICO, Color:AZUL,Referencia:, Placa anterior:, Placa nueva=H0012857, Descripcion:CAVAS COMPOCOOL , Serial:, Marca:FRESENIUS KABI, Modelo:, Material:PLASTICO, Color:AZUL,Referencia:, Placa anterior:, Placa nueva=H0012854, Descripcion:CAVAS COMPOCOOL , Serial:, Marca:FRESENIUS KABI, Modelo:, Material:PLASTICO, Color:AZUL,Referencia:, Placa anterior:, Placa nueva=H0012856, Descripcion:CAVAS COMPOCOOL , Serial:, Marca:FRESENIUS KABI, Modelo:, Material:PLASTICO, Color:AZUL,Referencia: Placa padre: Tipo adquisicion: Entidad</v>
      </c>
      <c r="G9790" s="5"/>
    </row>
    <row r="9791" spans="1:7" ht="58.5" customHeight="1" x14ac:dyDescent="0.25">
      <c r="A9791" s="5" t="str">
        <f>"H0011392"</f>
        <v>H0011392</v>
      </c>
      <c r="B9791" s="5" t="str">
        <f>"PUESTO DE TRABAJO EN L CON 3 GAVETAS"</f>
        <v>PUESTO DE TRABAJO EN L CON 3 GAVETAS</v>
      </c>
      <c r="C9791" s="6">
        <v>1740000</v>
      </c>
      <c r="D9791" s="5" t="s">
        <v>546</v>
      </c>
      <c r="E9791" s="5" t="str">
        <f t="shared" si="498"/>
        <v>BANCO DE SANGRE-ELSIE ENTRENA MUTIS</v>
      </c>
      <c r="F9791" s="5" t="str">
        <f>"Descripcion: PUESTO DE TRABAJO EN L DE 1.50X1.50 CON ARCHIVO MAS GAVINETES Estado: Bueno Placa anterior: 000029580 Material: FORMICA Color: MARRON Referencia:  Observacion:  Placa padre: Tipo adquisicion: Entidad"</f>
        <v>Descripcion: PUESTO DE TRABAJO EN L DE 1.50X1.50 CON ARCHIVO MAS GAVINETES Estado: Bueno Placa anterior: 000029580 Material: FORMICA Color: MARRON Referencia:  Observacion:  Placa padre: Tipo adquisicion: Entidad</v>
      </c>
      <c r="G9791" s="5"/>
    </row>
    <row r="9792" spans="1:7" ht="58.5" customHeight="1" x14ac:dyDescent="0.25">
      <c r="A9792" s="5" t="str">
        <f>"H0011393"</f>
        <v>H0011393</v>
      </c>
      <c r="B9792" s="5" t="str">
        <f>"PUESTO DE TRABAJO EN L CON 3 GAVETAS"</f>
        <v>PUESTO DE TRABAJO EN L CON 3 GAVETAS</v>
      </c>
      <c r="C9792" s="6">
        <v>1740000</v>
      </c>
      <c r="D9792" s="5" t="s">
        <v>546</v>
      </c>
      <c r="E9792" s="5" t="str">
        <f t="shared" si="498"/>
        <v>BANCO DE SANGRE-ELSIE ENTRENA MUTIS</v>
      </c>
      <c r="F9792" s="5" t="str">
        <f>"Descripcion: PUESTO DE TRABAJO EN L DE 1.50X1.50 CON ARCHIVO MAS GAVINETES Estado: Bueno Placa anterior: 000029581 Material: FORMICA Color: MARRON Referencia:  Observacion:  Placa padre: Tipo adquisicion: Entidad"</f>
        <v>Descripcion: PUESTO DE TRABAJO EN L DE 1.50X1.50 CON ARCHIVO MAS GAVINETES Estado: Bueno Placa anterior: 000029581 Material: FORMICA Color: MARRON Referencia:  Observacion:  Placa padre: Tipo adquisicion: Entidad</v>
      </c>
      <c r="G9792" s="5"/>
    </row>
    <row r="9793" spans="1:7" ht="58.5" customHeight="1" x14ac:dyDescent="0.25">
      <c r="A9793" s="5" t="str">
        <f>"H0011394"</f>
        <v>H0011394</v>
      </c>
      <c r="B9793" s="5" t="str">
        <f>"PUESTO DE TRABAJO EN L CON 3 GAVETAS"</f>
        <v>PUESTO DE TRABAJO EN L CON 3 GAVETAS</v>
      </c>
      <c r="C9793" s="6">
        <v>1334000</v>
      </c>
      <c r="D9793" s="5" t="s">
        <v>546</v>
      </c>
      <c r="E9793" s="5" t="str">
        <f t="shared" si="498"/>
        <v>BANCO DE SANGRE-ELSIE ENTRENA MUTIS</v>
      </c>
      <c r="F9793" s="5" t="str">
        <f>"Descripcion: PUESTO DE TRABAJO EN L DE 1.50X1.50 CON ARCHIVO Estado: Bueno Placa anterior: 000029578 Material: FORMICA Color: MARRON Referencia:  Observacion:  Placa padre: Tipo adquisicion: Entidad"</f>
        <v>Descripcion: PUESTO DE TRABAJO EN L DE 1.50X1.50 CON ARCHIVO Estado: Bueno Placa anterior: 000029578 Material: FORMICA Color: MARRON Referencia:  Observacion:  Placa padre: Tipo adquisicion: Entidad</v>
      </c>
      <c r="G9793" s="5"/>
    </row>
    <row r="9794" spans="1:7" ht="58.5" customHeight="1" x14ac:dyDescent="0.25">
      <c r="A9794" s="5" t="str">
        <f>"H0011395"</f>
        <v>H0011395</v>
      </c>
      <c r="B9794" s="5" t="str">
        <f>"MULTIMUEBLE ENCHAPADO EN FORMICA"</f>
        <v>MULTIMUEBLE ENCHAPADO EN FORMICA</v>
      </c>
      <c r="C9794" s="6">
        <v>1044000</v>
      </c>
      <c r="D9794" s="5" t="s">
        <v>546</v>
      </c>
      <c r="E9794" s="5" t="str">
        <f t="shared" si="498"/>
        <v>BANCO DE SANGRE-ELSIE ENTRENA MUTIS</v>
      </c>
      <c r="F9794" s="5" t="str">
        <f>"Descripcion: BIBLIOTECA DE 2.00.X0.90X0.40 CON ENTREPAÑOS Y 2 PUERTAS Estado: Bueno Placa anterior: 000029573 Material: FORMICA Color: MARRON Referencia:  Observacion:  Placa padre: Tipo adquisicion: Entidad"</f>
        <v>Descripcion: BIBLIOTECA DE 2.00.X0.90X0.40 CON ENTREPAÑOS Y 2 PUERTAS Estado: Bueno Placa anterior: 000029573 Material: FORMICA Color: MARRON Referencia:  Observacion:  Placa padre: Tipo adquisicion: Entidad</v>
      </c>
      <c r="G9794" s="5"/>
    </row>
    <row r="9795" spans="1:7" ht="58.5" customHeight="1" x14ac:dyDescent="0.25">
      <c r="A9795" s="5" t="str">
        <f>"H0011396"</f>
        <v>H0011396</v>
      </c>
      <c r="B9795" s="5" t="str">
        <f>"ARCHIVADOR RODANTE"</f>
        <v>ARCHIVADOR RODANTE</v>
      </c>
      <c r="C9795" s="6">
        <v>8599080</v>
      </c>
      <c r="D9795" s="5" t="s">
        <v>546</v>
      </c>
      <c r="E9795" s="5" t="str">
        <f t="shared" si="498"/>
        <v>BANCO DE SANGRE-ELSIE ENTRENA MUTIS</v>
      </c>
      <c r="F9795" s="5" t="str">
        <f>"Descripcion: ARCHIVO RODANTE MECANICO 2 CUERPOS Estado: Bueno Placa anterior: 000028116 Material: FORMICA Color: MARRON Referencia:  Observacion:  Placa padre: Tipo adquisicion: Entidad"</f>
        <v>Descripcion: ARCHIVO RODANTE MECANICO 2 CUERPOS Estado: Bueno Placa anterior: 000028116 Material: FORMICA Color: MARRON Referencia:  Observacion:  Placa padre: Tipo adquisicion: Entidad</v>
      </c>
      <c r="G9795" s="5"/>
    </row>
    <row r="9796" spans="1:7" ht="58.5" customHeight="1" x14ac:dyDescent="0.25">
      <c r="A9796" s="5" t="str">
        <f>"H0011399"</f>
        <v>H0011399</v>
      </c>
      <c r="B9796" s="5" t="str">
        <f>"SILLA INTERLOCUTORA (FIJA) SIN BRAZOS"</f>
        <v>SILLA INTERLOCUTORA (FIJA) SIN BRAZOS</v>
      </c>
      <c r="C9796" s="6">
        <v>153000</v>
      </c>
      <c r="D9796" s="5"/>
      <c r="E9796" s="5" t="str">
        <f t="shared" si="498"/>
        <v>BANCO DE SANGRE-ELSIE ENTRENA MUTIS</v>
      </c>
      <c r="F9796" s="5" t="str">
        <f>"Descripcion: TAPIZADA EN PAÑO AZUL Estado: Bueno Placa anterior: 000025424 Material: METAL PAÑO Color: NEGRO AZUL Referencia:  Observacion: AUTORIZADO CONCILIAR EN CRUCE GENERAL Placa padre: Tipo adquisicion: Entidad"</f>
        <v>Descripcion: TAPIZADA EN PAÑO AZUL Estado: Bueno Placa anterior: 000025424 Material: METAL PAÑO Color: NEGRO AZUL Referencia:  Observacion: AUTORIZADO CONCILIAR EN CRUCE GENERAL Placa padre: Tipo adquisicion: Entidad</v>
      </c>
      <c r="G9796" s="5"/>
    </row>
    <row r="9797" spans="1:7" ht="58.5" customHeight="1" x14ac:dyDescent="0.25">
      <c r="A9797" s="5" t="str">
        <f>"H0011400"</f>
        <v>H0011400</v>
      </c>
      <c r="B9797" s="5" t="str">
        <f>"SILLA INTERLOCUTORA (FIJA) SIN BRAZOS"</f>
        <v>SILLA INTERLOCUTORA (FIJA) SIN BRAZOS</v>
      </c>
      <c r="C9797" s="6">
        <v>153000</v>
      </c>
      <c r="D9797" s="5"/>
      <c r="E9797" s="5" t="str">
        <f t="shared" si="498"/>
        <v>BANCO DE SANGRE-ELSIE ENTRENA MUTIS</v>
      </c>
      <c r="F9797" s="5" t="str">
        <f>"Descripcion: TAPIZADA EN PAÑO AZUL Estado: Bueno Placa anterior: 000025425 Material: METAL PAÑO Color: NEGRO AZUL Referencia:  Observacion: AUTORIZADO CONCILIAR EN CRUCE GENERAL Placa padre: Tipo adquisicion: Entidad"</f>
        <v>Descripcion: TAPIZADA EN PAÑO AZUL Estado: Bueno Placa anterior: 000025425 Material: METAL PAÑO Color: NEGRO AZUL Referencia:  Observacion: AUTORIZADO CONCILIAR EN CRUCE GENERAL Placa padre: Tipo adquisicion: Entidad</v>
      </c>
      <c r="G9797" s="5"/>
    </row>
    <row r="9798" spans="1:7" ht="58.5" customHeight="1" x14ac:dyDescent="0.25">
      <c r="A9798" s="5" t="str">
        <f>"H0011404"</f>
        <v>H0011404</v>
      </c>
      <c r="B9798" s="5" t="str">
        <f>"MULTIMUEBLE ENCHAPADO EN FORMICA"</f>
        <v>MULTIMUEBLE ENCHAPADO EN FORMICA</v>
      </c>
      <c r="C9798" s="6">
        <v>1044000</v>
      </c>
      <c r="D9798" s="5" t="s">
        <v>546</v>
      </c>
      <c r="E9798" s="5" t="str">
        <f t="shared" si="498"/>
        <v>BANCO DE SANGRE-ELSIE ENTRENA MUTIS</v>
      </c>
      <c r="F9798" s="5" t="str">
        <f>"Descripcion: BIBLIOTECA DE 2.00.X0.90X0.40 CON ENTREPAÑOS Y 2 PUERTAS Estado: Bueno Placa anterior: 000029571 Material: FORMICA  Color: MARRON Referencia:  Observacion:  Placa padre: Tipo adquisicion: Entidad"</f>
        <v>Descripcion: BIBLIOTECA DE 2.00.X0.90X0.40 CON ENTREPAÑOS Y 2 PUERTAS Estado: Bueno Placa anterior: 000029571 Material: FORMICA  Color: MARRON Referencia:  Observacion:  Placa padre: Tipo adquisicion: Entidad</v>
      </c>
      <c r="G9798" s="5"/>
    </row>
    <row r="9799" spans="1:7" ht="58.5" customHeight="1" x14ac:dyDescent="0.25">
      <c r="A9799" s="5" t="str">
        <f>"H0011405"</f>
        <v>H0011405</v>
      </c>
      <c r="B9799" s="5" t="str">
        <f>"MULTIMUEBLE ENCHAPADO EN FORMICA"</f>
        <v>MULTIMUEBLE ENCHAPADO EN FORMICA</v>
      </c>
      <c r="C9799" s="6">
        <v>1044000</v>
      </c>
      <c r="D9799" s="5" t="s">
        <v>546</v>
      </c>
      <c r="E9799" s="5" t="str">
        <f t="shared" si="498"/>
        <v>BANCO DE SANGRE-ELSIE ENTRENA MUTIS</v>
      </c>
      <c r="F9799" s="5" t="str">
        <f>"Descripcion: BIBLIOTECA DE 2.00.X0.90X0.40 CON ENTREPAÑOS Y 2 PUERTAS Estado: Bueno Placa anterior: 000029572 Material: FORMICA Color: MARRON Referencia:  Observacion:  Placa padre: Tipo adquisicion: Entidad"</f>
        <v>Descripcion: BIBLIOTECA DE 2.00.X0.90X0.40 CON ENTREPAÑOS Y 2 PUERTAS Estado: Bueno Placa anterior: 000029572 Material: FORMICA Color: MARRON Referencia:  Observacion:  Placa padre: Tipo adquisicion: Entidad</v>
      </c>
      <c r="G9799" s="5"/>
    </row>
    <row r="9800" spans="1:7" ht="58.5" customHeight="1" x14ac:dyDescent="0.25">
      <c r="A9800" s="5" t="str">
        <f>"H0011406"</f>
        <v>H0011406</v>
      </c>
      <c r="B9800" s="5" t="str">
        <f>"PUESTO DE TRABAJO EN L CON 3 GAVETAS"</f>
        <v>PUESTO DE TRABAJO EN L CON 3 GAVETAS</v>
      </c>
      <c r="C9800" s="6">
        <v>1334000</v>
      </c>
      <c r="D9800" s="5" t="s">
        <v>546</v>
      </c>
      <c r="E9800" s="5" t="str">
        <f t="shared" si="498"/>
        <v>BANCO DE SANGRE-ELSIE ENTRENA MUTIS</v>
      </c>
      <c r="F9800" s="5" t="str">
        <f>"Descripcion: PUESTO DE TRABAJO EN L DE 1.50X1.50 CON ARCHIVO Estado: Bueno Placa anterior: 000029582 Material: FORMICA Color: MARRON Referencia:  Observacion: EL BIEN TIENE PLACA ANTERIOR  000029577, AUTORIZADO CONCILIAR EN CRUCE GENERAL Placa padre: Tipo"&amp; " adquisicion: Entidad"</f>
        <v>Descripcion: PUESTO DE TRABAJO EN L DE 1.50X1.50 CON ARCHIVO Estado: Bueno Placa anterior: 000029582 Material: FORMICA Color: MARRON Referencia:  Observacion: EL BIEN TIENE PLACA ANTERIOR  000029577, AUTORIZADO CONCILIAR EN CRUCE GENERAL Placa padre: Tipo adquisicion: Entidad</v>
      </c>
      <c r="G9800" s="5"/>
    </row>
    <row r="9801" spans="1:7" ht="58.5" customHeight="1" x14ac:dyDescent="0.25">
      <c r="A9801" s="5" t="str">
        <f>"H0011407"</f>
        <v>H0011407</v>
      </c>
      <c r="B9801" s="5" t="str">
        <f>"MESA (SUPERFICIE) MODULAR"</f>
        <v>MESA (SUPERFICIE) MODULAR</v>
      </c>
      <c r="C9801" s="6">
        <v>110432</v>
      </c>
      <c r="D9801" s="5"/>
      <c r="E9801" s="5" t="str">
        <f t="shared" si="498"/>
        <v>BANCO DE SANGRE-ELSIE ENTRENA MUTIS</v>
      </c>
      <c r="F9801" s="5" t="str">
        <f>"Descripcion: MESA PARA IMPRESORA Estado: Bueno Placa anterior: 000008157 Material: MADERA Color:  Referencia:  Observacion:  Placa padre: Tipo adquisicion: Entidad"</f>
        <v>Descripcion: MESA PARA IMPRESORA Estado: Bueno Placa anterior: 000008157 Material: MADERA Color:  Referencia:  Observacion:  Placa padre: Tipo adquisicion: Entidad</v>
      </c>
      <c r="G9801" s="5"/>
    </row>
    <row r="9802" spans="1:7" ht="58.5" customHeight="1" x14ac:dyDescent="0.25">
      <c r="A9802" s="5" t="str">
        <f>"H0011411"</f>
        <v>H0011411</v>
      </c>
      <c r="B9802" s="5" t="str">
        <f>"MANUALES (LIBRO GUIA)"</f>
        <v>MANUALES (LIBRO GUIA)</v>
      </c>
      <c r="C9802" s="6">
        <v>40000</v>
      </c>
      <c r="D9802" s="5" t="s">
        <v>548</v>
      </c>
      <c r="E9802" s="5" t="str">
        <f t="shared" si="498"/>
        <v>BANCO DE SANGRE-ELSIE ENTRENA MUTIS</v>
      </c>
      <c r="F9802" s="5" t="str">
        <f>"Descripcion: LIBRO PASTA DURA ASESORIA PARA LA PRUEBA VOLUNTARIA PARA HIV Estado: Bueno Placa anterior: 000031320 Material:  Color: VERDE Referencia:  Observacion:  Placa padre: Tipo adquisicion: Entidad"</f>
        <v>Descripcion: LIBRO PASTA DURA ASESORIA PARA LA PRUEBA VOLUNTARIA PARA HIV Estado: Bueno Placa anterior: 000031320 Material:  Color: VERDE Referencia:  Observacion:  Placa padre: Tipo adquisicion: Entidad</v>
      </c>
      <c r="G9802" s="5"/>
    </row>
    <row r="9803" spans="1:7" ht="58.5" customHeight="1" x14ac:dyDescent="0.25">
      <c r="A9803" s="5" t="str">
        <f>"H0011412"</f>
        <v>H0011412</v>
      </c>
      <c r="B9803" s="5" t="str">
        <f>"MANUALES (LIBRO GUIA)"</f>
        <v>MANUALES (LIBRO GUIA)</v>
      </c>
      <c r="C9803" s="6">
        <v>40000</v>
      </c>
      <c r="D9803" s="5" t="s">
        <v>548</v>
      </c>
      <c r="E9803" s="5" t="str">
        <f t="shared" si="498"/>
        <v>BANCO DE SANGRE-ELSIE ENTRENA MUTIS</v>
      </c>
      <c r="F9803" s="5" t="str">
        <f>"Descripcion: LIBRO PASTA DURA ASESORIA PARA LA PRUEBA VOLUNTARIA PARA HIV Estado: Bueno Placa anterior: 000031321 Material:  Color: VERDE Referencia:  Observacion:  Placa padre: Tipo adquisicion: Entidad"</f>
        <v>Descripcion: LIBRO PASTA DURA ASESORIA PARA LA PRUEBA VOLUNTARIA PARA HIV Estado: Bueno Placa anterior: 000031321 Material:  Color: VERDE Referencia:  Observacion:  Placa padre: Tipo adquisicion: Entidad</v>
      </c>
      <c r="G9803" s="5"/>
    </row>
    <row r="9804" spans="1:7" ht="58.5" customHeight="1" x14ac:dyDescent="0.25">
      <c r="A9804" s="5" t="str">
        <f>"H0011413"</f>
        <v>H0011413</v>
      </c>
      <c r="B9804" s="5" t="str">
        <f>"MANUALES (LIBRO GUIA)"</f>
        <v>MANUALES (LIBRO GUIA)</v>
      </c>
      <c r="C9804" s="6">
        <v>35000</v>
      </c>
      <c r="D9804" s="5" t="s">
        <v>548</v>
      </c>
      <c r="E9804" s="5" t="str">
        <f t="shared" si="498"/>
        <v>BANCO DE SANGRE-ELSIE ENTRENA MUTIS</v>
      </c>
      <c r="F9804" s="5" t="str">
        <f>"Descripcion: ASESORIA Y PRUEBA VOLUNTARIA PARA HIV (APV) Estado: Bueno Placa anterior: 000031317 Material:  Color: AZUL Referencia:  Observacion:  Placa padre: Tipo adquisicion: Entidad"</f>
        <v>Descripcion: ASESORIA Y PRUEBA VOLUNTARIA PARA HIV (APV) Estado: Bueno Placa anterior: 000031317 Material:  Color: AZUL Referencia:  Observacion:  Placa padre: Tipo adquisicion: Entidad</v>
      </c>
      <c r="G9804" s="5"/>
    </row>
    <row r="9805" spans="1:7" ht="58.5" customHeight="1" x14ac:dyDescent="0.25">
      <c r="A9805" s="5" t="str">
        <f>"H0011414"</f>
        <v>H0011414</v>
      </c>
      <c r="B9805" s="5" t="str">
        <f>"MANUALES (LIBRO GUIA)"</f>
        <v>MANUALES (LIBRO GUIA)</v>
      </c>
      <c r="C9805" s="6">
        <v>40000</v>
      </c>
      <c r="D9805" s="5" t="s">
        <v>548</v>
      </c>
      <c r="E9805" s="5" t="str">
        <f t="shared" si="498"/>
        <v>BANCO DE SANGRE-ELSIE ENTRENA MUTIS</v>
      </c>
      <c r="F9805" s="5" t="str">
        <f>"Descripcion: ASESORIA PARA LA PRUEBA VOLUNTARIA PARA HIV Estado: Bueno Placa anterior: 000031319 Material:  Color: AZUL Referencia:  Observacion:  Placa padre: Tipo adquisicion: Entidad"</f>
        <v>Descripcion: ASESORIA PARA LA PRUEBA VOLUNTARIA PARA HIV Estado: Bueno Placa anterior: 000031319 Material:  Color: AZUL Referencia:  Observacion:  Placa padre: Tipo adquisicion: Entidad</v>
      </c>
      <c r="G9805" s="5"/>
    </row>
    <row r="9806" spans="1:7" ht="58.5" customHeight="1" x14ac:dyDescent="0.25">
      <c r="A9806" s="5" t="str">
        <f>"H0011418"</f>
        <v>H0011418</v>
      </c>
      <c r="B9806" s="5" t="str">
        <f>"CAMILLA (LEVANTE) TELESCOPICA"</f>
        <v>CAMILLA (LEVANTE) TELESCOPICA</v>
      </c>
      <c r="C9806" s="6">
        <v>31017.14</v>
      </c>
      <c r="D9806" s="5"/>
      <c r="E9806" s="5" t="str">
        <f t="shared" si="498"/>
        <v>BANCO DE SANGRE-ELSIE ENTRENA MUTIS</v>
      </c>
      <c r="F9806" s="5" t="str">
        <f>"Descripcion: CAMA METALICA LEVANTEsin barandas Estado: Bueno Placa anterior: 000015102 Material: METALICO Color: BEIGE Referencia:  Observacion:  Placa padre: Tipo adquisicion: Entidad"</f>
        <v>Descripcion: CAMA METALICA LEVANTEsin barandas Estado: Bueno Placa anterior: 000015102 Material: METALICO Color: BEIGE Referencia:  Observacion:  Placa padre: Tipo adquisicion: Entidad</v>
      </c>
      <c r="G9806" s="5"/>
    </row>
    <row r="9807" spans="1:7" ht="58.5" customHeight="1" x14ac:dyDescent="0.25">
      <c r="A9807" s="5" t="str">
        <f>"H0011419"</f>
        <v>H0011419</v>
      </c>
      <c r="B9807" s="5" t="str">
        <f>"LOCKER DE 15 COMPARTIMIENTOS"</f>
        <v>LOCKER DE 15 COMPARTIMIENTOS</v>
      </c>
      <c r="C9807" s="6">
        <v>2842000</v>
      </c>
      <c r="D9807" s="5" t="s">
        <v>546</v>
      </c>
      <c r="E9807" s="5" t="str">
        <f t="shared" si="498"/>
        <v>BANCO DE SANGRE-ELSIE ENTRENA MUTIS</v>
      </c>
      <c r="F9807" s="5" t="str">
        <f>"Descripcion: LOOCKER METALICO DE 1.00X40X0.40X2.00 CON 15 COMPARTIMIENTOS Estado: Bueno Placa anterior: 000029576 Material: METALICO Color: GRIS Referencia:  Observacion:  Placa padre: Tipo adquisicion: Entidad"</f>
        <v>Descripcion: LOOCKER METALICO DE 1.00X40X0.40X2.00 CON 15 COMPARTIMIENTOS Estado: Bueno Placa anterior: 000029576 Material: METALICO Color: GRIS Referencia:  Observacion:  Placa padre: Tipo adquisicion: Entidad</v>
      </c>
      <c r="G9807" s="5"/>
    </row>
    <row r="9808" spans="1:7" ht="58.5" customHeight="1" x14ac:dyDescent="0.25">
      <c r="A9808" s="5" t="str">
        <f>"H0011421"</f>
        <v>H0011421</v>
      </c>
      <c r="B9808" s="5" t="str">
        <f>"MESA DE NOCHE"</f>
        <v>MESA DE NOCHE</v>
      </c>
      <c r="C9808" s="6">
        <v>15588.09</v>
      </c>
      <c r="D9808" s="5"/>
      <c r="E9808" s="5" t="str">
        <f t="shared" si="498"/>
        <v>BANCO DE SANGRE-ELSIE ENTRENA MUTIS</v>
      </c>
      <c r="F9808" s="5" t="str">
        <f>"Descripcion: MESA DE NOCHE OXIDO Estado: Regular Placa anterior: 000015160 Material: METALICO Color: GRIS Referencia:  Observacion:  Placa padre: Tipo adquisicion: Entidad"</f>
        <v>Descripcion: MESA DE NOCHE OXIDO Estado: Regular Placa anterior: 000015160 Material: METALICO Color: GRIS Referencia:  Observacion:  Placa padre: Tipo adquisicion: Entidad</v>
      </c>
      <c r="G9808" s="5"/>
    </row>
    <row r="9809" spans="1:7" ht="58.5" customHeight="1" x14ac:dyDescent="0.25">
      <c r="A9809" s="5" t="str">
        <f>"H0011422"</f>
        <v>H0011422</v>
      </c>
      <c r="B9809" s="5" t="str">
        <f>"VITRINA DE 1 CUERPO"</f>
        <v>VITRINA DE 1 CUERPO</v>
      </c>
      <c r="C9809" s="6">
        <v>6875</v>
      </c>
      <c r="D9809" s="5"/>
      <c r="E9809" s="5" t="str">
        <f t="shared" si="498"/>
        <v>BANCO DE SANGRE-ELSIE ENTRENA MUTIS</v>
      </c>
      <c r="F9809" s="5" t="str">
        <f>"Descripcion: VITRINA DE UN CUERPO OXIDO Estado: Regular Placa anterior: 000015009 Material: METALICO Color: GRIS Referencia:  Observacion:  Placa padre: Tipo adquisicion: Entidad"</f>
        <v>Descripcion: VITRINA DE UN CUERPO OXIDO Estado: Regular Placa anterior: 000015009 Material: METALICO Color: GRIS Referencia:  Observacion:  Placa padre: Tipo adquisicion: Entidad</v>
      </c>
      <c r="G9809" s="5"/>
    </row>
    <row r="9810" spans="1:7" ht="58.5" customHeight="1" x14ac:dyDescent="0.25">
      <c r="A9810" s="5" t="str">
        <f>"H0011425"</f>
        <v>H0011425</v>
      </c>
      <c r="B9810" s="5" t="str">
        <f>"BALANZA MEZCLADORA DE SANGRE PARA DONACION"</f>
        <v>BALANZA MEZCLADORA DE SANGRE PARA DONACION</v>
      </c>
      <c r="C9810" s="6">
        <v>4500800</v>
      </c>
      <c r="D9810" s="5" t="s">
        <v>549</v>
      </c>
      <c r="E9810" s="5" t="str">
        <f t="shared" si="498"/>
        <v>BANCO DE SANGRE-ELSIE ENTRENA MUTIS</v>
      </c>
      <c r="F9810" s="5" t="str">
        <f>"Descripcion: BALANZA PARA CALIBRACION DE BOLSAS REF. CB220 Con las siguientes caracteristicas Calibracion de bolsas previa centrifugacion escala electronica facilita el trabajo de balanceo Display digital que indica diferencias entre los vasos Para 110 vo"&amp; "ltios, 60 ci Estado: Bueno Placa anterior: 000029781 Material: METALICO Color: GRIS Referencia:  Observacion:  Placa padre: Tipo adquisicion: Entidad"</f>
        <v>Descripcion: BALANZA PARA CALIBRACION DE BOLSAS REF. CB220 Con las siguientes caracteristicas Calibracion de bolsas previa centrifugacion escala electronica facilita el trabajo de balanceo Display digital que indica diferencias entre los vasos Para 110 voltios, 60 ci Estado: Bueno Placa anterior: 000029781 Material: METALICO Color: GRIS Referencia:  Observacion:  Placa padre: Tipo adquisicion: Entidad</v>
      </c>
      <c r="G9810" s="5" t="str">
        <f>"CB220"</f>
        <v>CB220</v>
      </c>
    </row>
    <row r="9811" spans="1:7" ht="58.5" customHeight="1" x14ac:dyDescent="0.25">
      <c r="A9811" s="5" t="str">
        <f>"H0011426"</f>
        <v>H0011426</v>
      </c>
      <c r="B9811" s="5" t="str">
        <f>"BALANZA MEZCLADORA DE SANGRE PARA DONACION"</f>
        <v>BALANZA MEZCLADORA DE SANGRE PARA DONACION</v>
      </c>
      <c r="C9811" s="6">
        <v>4500800</v>
      </c>
      <c r="D9811" s="5" t="s">
        <v>549</v>
      </c>
      <c r="E9811" s="5" t="str">
        <f t="shared" si="498"/>
        <v>BANCO DE SANGRE-ELSIE ENTRENA MUTIS</v>
      </c>
      <c r="F9811" s="5" t="str">
        <f>"Descripcion: BALANZA PARA CALIBRACION DE BOLSAS REF. CB220 Con las siguientes caracteristicas Calibracion de bolsas previa centrifugacion escala electronica facilita el trabajo de balanceo Display digital que indica diferencias entre los vasos Para 110 vo"&amp; "ltios, 60 ci Estado: Bueno Placa anterior: 000029780 Material: METALICO Color: GRIS Referencia:  Observacion:  Placa padre: Tipo adquisicion: Entidad"</f>
        <v>Descripcion: BALANZA PARA CALIBRACION DE BOLSAS REF. CB220 Con las siguientes caracteristicas Calibracion de bolsas previa centrifugacion escala electronica facilita el trabajo de balanceo Display digital que indica diferencias entre los vasos Para 110 voltios, 60 ci Estado: Bueno Placa anterior: 000029780 Material: METALICO Color: GRIS Referencia:  Observacion:  Placa padre: Tipo adquisicion: Entidad</v>
      </c>
      <c r="G9811" s="5" t="str">
        <f>"CB220"</f>
        <v>CB220</v>
      </c>
    </row>
    <row r="9812" spans="1:7" ht="58.5" customHeight="1" x14ac:dyDescent="0.25">
      <c r="A9812" s="5" t="str">
        <f>"H0011427"</f>
        <v>H0011427</v>
      </c>
      <c r="B9812" s="5" t="str">
        <f>"BALANZA (PESO) DIGITAL (GRAMERA)"</f>
        <v>BALANZA (PESO) DIGITAL (GRAMERA)</v>
      </c>
      <c r="C9812" s="6">
        <v>1334000</v>
      </c>
      <c r="D9812" s="5"/>
      <c r="E9812" s="5" t="str">
        <f t="shared" si="498"/>
        <v>BANCO DE SANGRE-ELSIE ENTRENA MUTIS</v>
      </c>
      <c r="F9812" s="5" t="str">
        <f>"Descripcion: BALANZA DIGITAL MARCA GRAM PRECISION SERIE GX-1500 AUTO CALIBRACION DIGITAL CON PLATO DE PESAJE AMPLIO EN ACERO INOXIDABLE CAPACIDAD 1500 GRAMOS SESIBILIDAD 0.1 GRAMOS BASE 25.5 - 19.5 CMS Estado: Bueno Placa anterior: 000023381 Material: PAS"&amp; "TA Color: AZUL Referencia: QX PASSED Observacion:  Placa padre: Tipo adquisicion: Entidad"</f>
        <v>Descripcion: BALANZA DIGITAL MARCA GRAM PRECISION SERIE GX-1500 AUTO CALIBRACION DIGITAL CON PLATO DE PESAJE AMPLIO EN ACERO INOXIDABLE CAPACIDAD 1500 GRAMOS SESIBILIDAD 0.1 GRAMOS BASE 25.5 - 19.5 CMS Estado: Bueno Placa anterior: 000023381 Material: PASTA Color: AZUL Referencia: QX PASSED Observacion:  Placa padre: Tipo adquisicion: Entidad</v>
      </c>
      <c r="G9812" s="5" t="str">
        <f>"GX-1500"</f>
        <v>GX-1500</v>
      </c>
    </row>
    <row r="9813" spans="1:7" ht="58.5" customHeight="1" x14ac:dyDescent="0.25">
      <c r="A9813" s="5" t="str">
        <f>"H0011429"</f>
        <v>H0011429</v>
      </c>
      <c r="B9813" s="5" t="str">
        <f>"CUBETA DE ACERO INOXIDABLE GRANDE"</f>
        <v>CUBETA DE ACERO INOXIDABLE GRANDE</v>
      </c>
      <c r="C9813" s="6">
        <v>40500</v>
      </c>
      <c r="D9813" s="5"/>
      <c r="E9813" s="5" t="str">
        <f t="shared" si="498"/>
        <v>BANCO DE SANGRE-ELSIE ENTRENA MUTIS</v>
      </c>
      <c r="F9813" s="5" t="str">
        <f>"Descripcion: CUBETA GRANDE EN ACERO INOXIDABLE Estado: Bueno Placa anterior: 000008197 Material: ACERO INOXIDABLE Color:  Referencia:  Observacion:  Placa padre: Tipo adquisicion: Entidad"</f>
        <v>Descripcion: CUBETA GRANDE EN ACERO INOXIDABLE Estado: Bueno Placa anterior: 000008197 Material: ACERO INOXIDABLE Color:  Referencia:  Observacion:  Placa padre: Tipo adquisicion: Entidad</v>
      </c>
      <c r="G9813" s="5"/>
    </row>
    <row r="9814" spans="1:7" ht="58.5" customHeight="1" x14ac:dyDescent="0.25">
      <c r="A9814" s="5" t="str">
        <f>"H0011430"</f>
        <v>H0011430</v>
      </c>
      <c r="B9814" s="5" t="str">
        <f>"SEPARADOR DE PLASMA"</f>
        <v>SEPARADOR DE PLASMA</v>
      </c>
      <c r="C9814" s="6">
        <v>1800000</v>
      </c>
      <c r="D9814" s="5"/>
      <c r="E9814" s="5" t="str">
        <f t="shared" si="498"/>
        <v>BANCO DE SANGRE-ELSIE ENTRENA MUTIS</v>
      </c>
      <c r="F9814" s="5" t="str">
        <f>"Descripcion: EXTRACTOR DE PLASMA Estado: Bueno Placa anterior: 000022470 Material: METALICO Color: AZUL Referencia: 4R4414 Observacion:  Placa padre: Tipo adquisicion: Donacion"</f>
        <v>Descripcion: EXTRACTOR DE PLASMA Estado: Bueno Placa anterior: 000022470 Material: METALICO Color: AZUL Referencia: 4R4414 Observacion:  Placa padre: Tipo adquisicion: Donacion</v>
      </c>
      <c r="G9814" s="5" t="str">
        <f>"FEMWAL"</f>
        <v>FEMWAL</v>
      </c>
    </row>
    <row r="9815" spans="1:7" ht="58.5" customHeight="1" x14ac:dyDescent="0.25">
      <c r="A9815" s="5" t="str">
        <f>"H0011431"</f>
        <v>H0011431</v>
      </c>
      <c r="B9815" s="5" t="str">
        <f>"SEPARADOR DE PLASMA"</f>
        <v>SEPARADOR DE PLASMA</v>
      </c>
      <c r="C9815" s="6">
        <v>928000</v>
      </c>
      <c r="D9815" s="5" t="s">
        <v>549</v>
      </c>
      <c r="E9815" s="5" t="str">
        <f t="shared" si="498"/>
        <v>BANCO DE SANGRE-ELSIE ENTRENA MUTIS</v>
      </c>
      <c r="F9815" s="5" t="str">
        <f>"Descripcion: SEPARADOR DE PLASMA MANUAL EXTRACTOR DE PLASMA MARCA TERUMO, PRESNA SEMIAUTOMATICA PARA LA SEPARACION DE PLASTA DE LA SANGRE ENTERA CENTRIFUGADA Estado: Bueno Placa anterior: 000029768 Material: METALICO Color: BEIGE Referencia:  Observacion:"&amp; "  Placa padre: Tipo adquisicion: Entidad"</f>
        <v>Descripcion: SEPARADOR DE PLASMA MANUAL EXTRACTOR DE PLASMA MARCA TERUMO, PRESNA SEMIAUTOMATICA PARA LA SEPARACION DE PLASTA DE LA SANGRE ENTERA CENTRIFUGADA Estado: Bueno Placa anterior: 000029768 Material: METALICO Color: BEIGE Referencia:  Observacion:  Placa padre: Tipo adquisicion: Entidad</v>
      </c>
      <c r="G9815" s="5" t="str">
        <f>"ACS-201"</f>
        <v>ACS-201</v>
      </c>
    </row>
    <row r="9816" spans="1:7" ht="58.5" customHeight="1" x14ac:dyDescent="0.25">
      <c r="A9816" s="5" t="str">
        <f>"H0011432"</f>
        <v>H0011432</v>
      </c>
      <c r="B9816" s="5" t="str">
        <f>"SEPARADOR DE PLASMA"</f>
        <v>SEPARADOR DE PLASMA</v>
      </c>
      <c r="C9816" s="6">
        <v>928000</v>
      </c>
      <c r="D9816" s="5" t="s">
        <v>549</v>
      </c>
      <c r="E9816" s="5" t="str">
        <f t="shared" si="498"/>
        <v>BANCO DE SANGRE-ELSIE ENTRENA MUTIS</v>
      </c>
      <c r="F9816" s="5" t="str">
        <f>"Descripcion: SEPARADOR DE PLASMA MANUAL MARCA TERUMO Estado: Bueno Placa anterior: 000029767 Material: METALICO Color: BEIGE Referencia:  Observacion:  Placa padre: Tipo adquisicion: Entidad"</f>
        <v>Descripcion: SEPARADOR DE PLASMA MANUAL MARCA TERUMO Estado: Bueno Placa anterior: 000029767 Material: METALICO Color: BEIGE Referencia:  Observacion:  Placa padre: Tipo adquisicion: Entidad</v>
      </c>
      <c r="G9816" s="5" t="str">
        <f>"ACS-201"</f>
        <v>ACS-201</v>
      </c>
    </row>
    <row r="9817" spans="1:7" ht="58.5" customHeight="1" x14ac:dyDescent="0.25">
      <c r="A9817" s="5" t="str">
        <f>"H0011433"</f>
        <v>H0011433</v>
      </c>
      <c r="B9817" s="5" t="str">
        <f>"CAJA (CAVA) TERMICA (CONTENEDOR ISOTERMICO) PARA TRANSPÒRTE DE SANGRE"</f>
        <v>CAJA (CAVA) TERMICA (CONTENEDOR ISOTERMICO) PARA TRANSPÒRTE DE SANGRE</v>
      </c>
      <c r="C9817" s="6">
        <v>1745942</v>
      </c>
      <c r="D9817" s="5" t="s">
        <v>547</v>
      </c>
      <c r="E9817" s="5" t="str">
        <f t="shared" si="498"/>
        <v>BANCO DE SANGRE-ELSIE ENTRENA MUTIS</v>
      </c>
      <c r="F9817" s="5" t="str">
        <f>"Descripcion: CABA - COMPOCOOL. WB INSULATED - TRANSPORTA BOX + COLING ELEMENT Estado: Bueno Placa anterior: 000030852 Material: PASTA Color: AZUL Referencia: M65997-D Observacion:  Placa padre: Tipo adquisicion: Entidad"</f>
        <v>Descripcion: CABA - COMPOCOOL. WB INSULATED - TRANSPORTA BOX + COLING ELEMENT Estado: Bueno Placa anterior: 000030852 Material: PASTA Color: AZUL Referencia: M65997-D Observacion:  Placa padre: Tipo adquisicion: Entidad</v>
      </c>
      <c r="G9817" s="5" t="str">
        <f>"COMPOCOOL"</f>
        <v>COMPOCOOL</v>
      </c>
    </row>
    <row r="9818" spans="1:7" ht="58.5" customHeight="1" x14ac:dyDescent="0.25">
      <c r="A9818" s="5" t="str">
        <f>"H0012069"</f>
        <v>H0012069</v>
      </c>
      <c r="B9818" s="5" t="str">
        <f>"CUBETA DE ACERO INOXIDABLE CON TAPA GRANDE"</f>
        <v>CUBETA DE ACERO INOXIDABLE CON TAPA GRANDE</v>
      </c>
      <c r="C9818" s="6">
        <v>40500</v>
      </c>
      <c r="D9818" s="5"/>
      <c r="E9818" s="5" t="str">
        <f t="shared" si="498"/>
        <v>BANCO DE SANGRE-ELSIE ENTRENA MUTIS</v>
      </c>
      <c r="F9818" s="5" t="str">
        <f>"Descripcion: CUBETA GRANDE EN ACERO INOXIDABLE Estado: Bueno Placa anterior: 000008196 Material: ACERO INOXIDABLE Color: GRIS Referencia:  Observacion:  Placa padre: Tipo adquisicion: Entidad"</f>
        <v>Descripcion: CUBETA GRANDE EN ACERO INOXIDABLE Estado: Bueno Placa anterior: 000008196 Material: ACERO INOXIDABLE Color: GRIS Referencia:  Observacion:  Placa padre: Tipo adquisicion: Entidad</v>
      </c>
      <c r="G9818" s="5"/>
    </row>
    <row r="9819" spans="1:7" ht="58.5" customHeight="1" x14ac:dyDescent="0.25">
      <c r="A9819" s="5" t="str">
        <f>"H0012081"</f>
        <v>H0012081</v>
      </c>
      <c r="B9819" s="5" t="str">
        <f>"TERMOMETRO DIGITAL"</f>
        <v>TERMOMETRO DIGITAL</v>
      </c>
      <c r="C9819" s="6">
        <v>92800</v>
      </c>
      <c r="D9819" s="5"/>
      <c r="E9819" s="5" t="str">
        <f t="shared" si="498"/>
        <v>BANCO DE SANGRE-ELSIE ENTRENA MUTIS</v>
      </c>
      <c r="F9819" s="5" t="str">
        <f>"Descripcion: TERMOMETRO DE NEVERA CALIBRADO Estado: Bueno Placa anterior: 000036793 Material: PLASTICO Color: BLANCO Referencia:  Observacion:  Placa padre: Tipo adquisicion: Entidad"</f>
        <v>Descripcion: TERMOMETRO DE NEVERA CALIBRADO Estado: Bueno Placa anterior: 000036793 Material: PLASTICO Color: BLANCO Referencia:  Observacion:  Placa padre: Tipo adquisicion: Entidad</v>
      </c>
      <c r="G9819" s="5"/>
    </row>
    <row r="9820" spans="1:7" ht="58.5" customHeight="1" x14ac:dyDescent="0.25">
      <c r="A9820" s="5" t="str">
        <f>"H0012083"</f>
        <v>H0012083</v>
      </c>
      <c r="B9820" s="5" t="str">
        <f>"AIRE ACONDICIONADO TIPO SPLIT 12000 BTU"</f>
        <v>AIRE ACONDICIONADO TIPO SPLIT 12000 BTU</v>
      </c>
      <c r="C9820" s="6">
        <v>1836280</v>
      </c>
      <c r="D9820" s="5" t="s">
        <v>52</v>
      </c>
      <c r="E9820" s="5" t="str">
        <f t="shared" si="498"/>
        <v>BANCO DE SANGRE-ELSIE ENTRENA MUTIS</v>
      </c>
      <c r="F9820" s="5" t="str">
        <f>"Descripcion: AIRE ACODICIONADO BTU 12000 Estado: Bueno Placa anterior: 000036384 Material: PLASTICO Color: BLANCO Referencia:  Observacion:  Placa padre: Tipo adquisicion: Entidad"</f>
        <v>Descripcion: AIRE ACODICIONADO BTU 12000 Estado: Bueno Placa anterior: 000036384 Material: PLASTICO Color: BLANCO Referencia:  Observacion:  Placa padre: Tipo adquisicion: Entidad</v>
      </c>
      <c r="G9820" s="5" t="str">
        <f>"VM 122CE  NB3"</f>
        <v>VM 122CE  NB3</v>
      </c>
    </row>
    <row r="9821" spans="1:7" ht="58.5" customHeight="1" x14ac:dyDescent="0.25">
      <c r="A9821" s="5" t="str">
        <f>"H0012130"</f>
        <v>H0012130</v>
      </c>
      <c r="B9821" s="5" t="str">
        <f>"REFRIGERADOR VERTICAL"</f>
        <v>REFRIGERADOR VERTICAL</v>
      </c>
      <c r="C9821" s="6">
        <v>15288800</v>
      </c>
      <c r="D9821" s="5" t="s">
        <v>550</v>
      </c>
      <c r="E9821" s="5" t="str">
        <f t="shared" si="498"/>
        <v>BANCO DE SANGRE-ELSIE ENTRENA MUTIS</v>
      </c>
      <c r="F9821" s="5" t="str">
        <f>"Descripcion: REFRIGERADOR DE FARMACIA ALTO RENDIMIENTO MARCA HAIER Estado: Bueno Placa anterior: 000037606 Material: METAL Color: GRIS CLARO  Y AZUK Referencia:  Observacion:  Placa padre: Tipo adquisicion: Entidad"</f>
        <v>Descripcion: REFRIGERADOR DE FARMACIA ALTO RENDIMIENTO MARCA HAIER Estado: Bueno Placa anterior: 000037606 Material: METAL Color: GRIS CLARO  Y AZUK Referencia:  Observacion:  Placa padre: Tipo adquisicion: Entidad</v>
      </c>
      <c r="G9821" s="5" t="str">
        <f>"HYC - 610"</f>
        <v>HYC - 610</v>
      </c>
    </row>
    <row r="9822" spans="1:7" ht="58.5" customHeight="1" x14ac:dyDescent="0.25">
      <c r="A9822" s="5" t="str">
        <f>"H0012134"</f>
        <v>H0012134</v>
      </c>
      <c r="B9822" s="5" t="str">
        <f>"ESCALERILLA DE 2 PASOS"</f>
        <v>ESCALERILLA DE 2 PASOS</v>
      </c>
      <c r="C9822" s="6">
        <v>4455</v>
      </c>
      <c r="D9822" s="5"/>
      <c r="E9822" s="5" t="str">
        <f t="shared" si="498"/>
        <v>BANCO DE SANGRE-ELSIE ENTRENA MUTIS</v>
      </c>
      <c r="F9822" s="5" t="str">
        <f>"Descripcion: ESCALA TIPO B (2 PASOS) Estado: Bueno Placa anterior: 000008166 Material: METAL Y MADERA Color: GRIS Referencia:  Observacion:  Placa padre: Tipo adquisicion: Entidad"</f>
        <v>Descripcion: ESCALA TIPO B (2 PASOS) Estado: Bueno Placa anterior: 000008166 Material: METAL Y MADERA Color: GRIS Referencia:  Observacion:  Placa padre: Tipo adquisicion: Entidad</v>
      </c>
      <c r="G9822" s="5"/>
    </row>
    <row r="9823" spans="1:7" ht="58.5" customHeight="1" x14ac:dyDescent="0.25">
      <c r="A9823" s="5" t="str">
        <f>"H0012135"</f>
        <v>H0012135</v>
      </c>
      <c r="B9823" s="5" t="str">
        <f>"MESA (CARRO) DE CURACIONES"</f>
        <v>MESA (CARRO) DE CURACIONES</v>
      </c>
      <c r="C9823" s="6">
        <v>27500</v>
      </c>
      <c r="D9823" s="5"/>
      <c r="E9823" s="5" t="str">
        <f t="shared" si="498"/>
        <v>BANCO DE SANGRE-ELSIE ENTRENA MUTIS</v>
      </c>
      <c r="F9823" s="5" t="str">
        <f>"Descripcion: CARRO DE CURACIONES CON RODACHINES Estado: Bueno Placa anterior: 000028489 Material: METAL Color: GRIS Referencia:  Observacion: PARA TRANSPORTE DE MATERIAL Placa padre: Tipo adquisicion: Entidad"</f>
        <v>Descripcion: CARRO DE CURACIONES CON RODACHINES Estado: Bueno Placa anterior: 000028489 Material: METAL Color: GRIS Referencia:  Observacion: PARA TRANSPORTE DE MATERIAL Placa padre: Tipo adquisicion: Entidad</v>
      </c>
      <c r="G9823" s="5"/>
    </row>
    <row r="9824" spans="1:7" ht="58.5" customHeight="1" x14ac:dyDescent="0.25">
      <c r="A9824" s="5" t="str">
        <f>"H0012503"</f>
        <v>H0012503</v>
      </c>
      <c r="B9824" s="5" t="str">
        <f>"CAMARA DE VIDEOVIGILANCIA"</f>
        <v>CAMARA DE VIDEOVIGILANCIA</v>
      </c>
      <c r="C9824" s="6">
        <v>371000</v>
      </c>
      <c r="D9824" s="5" t="s">
        <v>213</v>
      </c>
      <c r="E9824" s="5" t="str">
        <f t="shared" si="498"/>
        <v>BANCO DE SANGRE-ELSIE ENTRENA MUTIS</v>
      </c>
      <c r="F9824" s="5" t="str">
        <f>"Descripcion: CAMARA IP TIPO DOMO 2 MPX LENTE DE 2.8 mm PoE 1/3 (WI-FI) Estado: Bueno Placa anterior: 000038221 Material: PLASTICO Color: BLANCO Referencia:  Observacion:  Placa padre: Tipo adquisicion: Entidad"</f>
        <v>Descripcion: CAMARA IP TIPO DOMO 2 MPX LENTE DE 2.8 mm PoE 1/3 (WI-FI) Estado: Bueno Placa anterior: 000038221 Material: PLASTICO Color: BLANCO Referencia:  Observacion:  Placa padre: Tipo adquisicion: Entidad</v>
      </c>
      <c r="G9824" s="5"/>
    </row>
    <row r="9825" spans="1:7" ht="58.5" customHeight="1" x14ac:dyDescent="0.25">
      <c r="A9825" s="5" t="str">
        <f>"H0012504"</f>
        <v>H0012504</v>
      </c>
      <c r="B9825" s="5" t="str">
        <f>"CAMARA DE VIDEOVIGILANCIA"</f>
        <v>CAMARA DE VIDEOVIGILANCIA</v>
      </c>
      <c r="C9825" s="6">
        <v>371000</v>
      </c>
      <c r="D9825" s="5" t="s">
        <v>213</v>
      </c>
      <c r="E9825" s="5" t="str">
        <f t="shared" si="498"/>
        <v>BANCO DE SANGRE-ELSIE ENTRENA MUTIS</v>
      </c>
      <c r="F9825" s="5" t="str">
        <f>"Descripcion: CAMARA IP TIPO DOMO 2 MPX LENTE DE 2.8 mm PoE 1/3 (WI-FI) Estado: Bueno Placa anterior: 000038219 Material: PLASTICO Color: BLANCO Referencia:  Observacion:  Placa padre: Tipo adquisicion: Entidad"</f>
        <v>Descripcion: CAMARA IP TIPO DOMO 2 MPX LENTE DE 2.8 mm PoE 1/3 (WI-FI) Estado: Bueno Placa anterior: 000038219 Material: PLASTICO Color: BLANCO Referencia:  Observacion:  Placa padre: Tipo adquisicion: Entidad</v>
      </c>
      <c r="G9825" s="5"/>
    </row>
    <row r="9826" spans="1:7" ht="58.5" customHeight="1" x14ac:dyDescent="0.25">
      <c r="A9826" s="5" t="str">
        <f>"H0012509"</f>
        <v>H0012509</v>
      </c>
      <c r="B9826" s="5" t="str">
        <f>"MULTIMUEBLE ENCHAPADO EN FORMICA"</f>
        <v>MULTIMUEBLE ENCHAPADO EN FORMICA</v>
      </c>
      <c r="C9826" s="6">
        <v>1044000</v>
      </c>
      <c r="D9826" s="5" t="s">
        <v>546</v>
      </c>
      <c r="E9826" s="5" t="str">
        <f t="shared" si="498"/>
        <v>BANCO DE SANGRE-ELSIE ENTRENA MUTIS</v>
      </c>
      <c r="F9826" s="5" t="str">
        <f>"Descripcion: BIBLIOTECA DE 2.00.X0.90X0.40 CON ENTREPAÑOS Y 2 PUERTAS Estado: Bueno Placa anterior: 000029575 Material: MADERA Color: GRIS Y MIEL Referencia:  Observacion:  Placa padre: Tipo adquisicion: Entidad"</f>
        <v>Descripcion: BIBLIOTECA DE 2.00.X0.90X0.40 CON ENTREPAÑOS Y 2 PUERTAS Estado: Bueno Placa anterior: 000029575 Material: MADERA Color: GRIS Y MIEL Referencia:  Observacion:  Placa padre: Tipo adquisicion: Entidad</v>
      </c>
      <c r="G9826" s="5"/>
    </row>
    <row r="9827" spans="1:7" ht="58.5" customHeight="1" x14ac:dyDescent="0.25">
      <c r="A9827" s="5" t="str">
        <f>"H0012510"</f>
        <v>H0012510</v>
      </c>
      <c r="B9827" s="5" t="str">
        <f t="shared" ref="B9827:B9832" si="499">"SILLA RECLINOMATICA"</f>
        <v>SILLA RECLINOMATICA</v>
      </c>
      <c r="C9827" s="6">
        <v>2350000</v>
      </c>
      <c r="D9827" s="5" t="s">
        <v>551</v>
      </c>
      <c r="E9827" s="5" t="str">
        <f t="shared" si="498"/>
        <v>BANCO DE SANGRE-ELSIE ENTRENA MUTIS</v>
      </c>
      <c r="F9827" s="5" t="str">
        <f>"Descripcion: SILLAS RECLINABLES REF. XN 204 TIPO CHECO COLOR NEGRO Estado: Bueno Placa anterior: 000029334 Material: CUERO Color: NEGRO Referencia:  Observacion:  Placa padre: Tipo adquisicion: Entidad"</f>
        <v>Descripcion: SILLAS RECLINABLES REF. XN 204 TIPO CHECO COLOR NEGRO Estado: Bueno Placa anterior: 000029334 Material: CUERO Color: NEGRO Referencia:  Observacion:  Placa padre: Tipo adquisicion: Entidad</v>
      </c>
      <c r="G9827" s="5"/>
    </row>
    <row r="9828" spans="1:7" ht="58.5" customHeight="1" x14ac:dyDescent="0.25">
      <c r="A9828" s="5" t="str">
        <f>"H0012511"</f>
        <v>H0012511</v>
      </c>
      <c r="B9828" s="5" t="str">
        <f t="shared" si="499"/>
        <v>SILLA RECLINOMATICA</v>
      </c>
      <c r="C9828" s="6">
        <v>2350000</v>
      </c>
      <c r="D9828" s="5" t="s">
        <v>551</v>
      </c>
      <c r="E9828" s="5" t="str">
        <f t="shared" si="498"/>
        <v>BANCO DE SANGRE-ELSIE ENTRENA MUTIS</v>
      </c>
      <c r="F9828" s="5" t="str">
        <f>"Descripcion: SILLAS RECLINABLES REF. XN 204 TIPO CHECO COLOR NEGRO Estado: Bueno Placa anterior:  Material: CUERO Color: NEGRO Referencia:  Observacion: BIEN TIENE PLACA ANTERIOR 000029320 Placa padre: Tipo adquisicion: Entidad"</f>
        <v>Descripcion: SILLAS RECLINABLES REF. XN 204 TIPO CHECO COLOR NEGRO Estado: Bueno Placa anterior:  Material: CUERO Color: NEGRO Referencia:  Observacion: BIEN TIENE PLACA ANTERIOR 000029320 Placa padre: Tipo adquisicion: Entidad</v>
      </c>
      <c r="G9828" s="5"/>
    </row>
    <row r="9829" spans="1:7" ht="58.5" customHeight="1" x14ac:dyDescent="0.25">
      <c r="A9829" s="5" t="str">
        <f>"H0012512"</f>
        <v>H0012512</v>
      </c>
      <c r="B9829" s="5" t="str">
        <f t="shared" si="499"/>
        <v>SILLA RECLINOMATICA</v>
      </c>
      <c r="C9829" s="6">
        <v>2350000</v>
      </c>
      <c r="D9829" s="5" t="s">
        <v>551</v>
      </c>
      <c r="E9829" s="5" t="str">
        <f t="shared" si="498"/>
        <v>BANCO DE SANGRE-ELSIE ENTRENA MUTIS</v>
      </c>
      <c r="F9829" s="5" t="str">
        <f>"Descripcion: SILLAS RECLINABLES REF. XN 204 TIPO CHECO COLOR NEGRO Estado: Bueno Placa anterior: 000029332 Material: CUERO Color: NEGRO Referencia:  Observacion:  Placa padre: Tipo adquisicion: Entidad"</f>
        <v>Descripcion: SILLAS RECLINABLES REF. XN 204 TIPO CHECO COLOR NEGRO Estado: Bueno Placa anterior: 000029332 Material: CUERO Color: NEGRO Referencia:  Observacion:  Placa padre: Tipo adquisicion: Entidad</v>
      </c>
      <c r="G9829" s="5"/>
    </row>
    <row r="9830" spans="1:7" ht="58.5" customHeight="1" x14ac:dyDescent="0.25">
      <c r="A9830" s="5" t="str">
        <f>"H0012513"</f>
        <v>H0012513</v>
      </c>
      <c r="B9830" s="5" t="str">
        <f t="shared" si="499"/>
        <v>SILLA RECLINOMATICA</v>
      </c>
      <c r="C9830" s="6">
        <v>2350000</v>
      </c>
      <c r="D9830" s="5" t="s">
        <v>551</v>
      </c>
      <c r="E9830" s="5" t="str">
        <f t="shared" si="498"/>
        <v>BANCO DE SANGRE-ELSIE ENTRENA MUTIS</v>
      </c>
      <c r="F9830" s="5" t="str">
        <f>"Descripcion: SILLAS RECLINABLES REF. XN 204 TIPO CHECO COLOR NEGRO Estado: Bueno Placa anterior: 000029331 Material: CUERO Color: NEGRO Referencia:  Observacion:  Placa padre: Tipo adquisicion: Entidad"</f>
        <v>Descripcion: SILLAS RECLINABLES REF. XN 204 TIPO CHECO COLOR NEGRO Estado: Bueno Placa anterior: 000029331 Material: CUERO Color: NEGRO Referencia:  Observacion:  Placa padre: Tipo adquisicion: Entidad</v>
      </c>
      <c r="G9830" s="5"/>
    </row>
    <row r="9831" spans="1:7" ht="58.5" customHeight="1" x14ac:dyDescent="0.25">
      <c r="A9831" s="5" t="str">
        <f>"H0012514"</f>
        <v>H0012514</v>
      </c>
      <c r="B9831" s="5" t="str">
        <f t="shared" si="499"/>
        <v>SILLA RECLINOMATICA</v>
      </c>
      <c r="C9831" s="6">
        <v>2350000</v>
      </c>
      <c r="D9831" s="5" t="s">
        <v>551</v>
      </c>
      <c r="E9831" s="5" t="str">
        <f t="shared" si="498"/>
        <v>BANCO DE SANGRE-ELSIE ENTRENA MUTIS</v>
      </c>
      <c r="F9831" s="5" t="str">
        <f>"Descripcion: SILLAS RECLINABLES REF. XN 204 TIPO CHECO COLOR NEGRO Estado: Bueno Placa anterior: 000029333 Material: CUERO Color: NEGRO Referencia:  Observacion:  Placa padre: Tipo adquisicion: Entidad"</f>
        <v>Descripcion: SILLAS RECLINABLES REF. XN 204 TIPO CHECO COLOR NEGRO Estado: Bueno Placa anterior: 000029333 Material: CUERO Color: NEGRO Referencia:  Observacion:  Placa padre: Tipo adquisicion: Entidad</v>
      </c>
      <c r="G9831" s="5"/>
    </row>
    <row r="9832" spans="1:7" ht="58.5" customHeight="1" x14ac:dyDescent="0.25">
      <c r="A9832" s="5" t="str">
        <f>"H0012515"</f>
        <v>H0012515</v>
      </c>
      <c r="B9832" s="5" t="str">
        <f t="shared" si="499"/>
        <v>SILLA RECLINOMATICA</v>
      </c>
      <c r="C9832" s="6">
        <v>2350000</v>
      </c>
      <c r="D9832" s="5" t="s">
        <v>551</v>
      </c>
      <c r="E9832" s="5" t="str">
        <f t="shared" si="498"/>
        <v>BANCO DE SANGRE-ELSIE ENTRENA MUTIS</v>
      </c>
      <c r="F9832" s="5" t="str">
        <f>"Descripcion: SILLAS RECLINABLES REF. XN 204 TIPO CHECO COLOR NEGRO Estado: Bueno Placa anterior:  Material: CUERO Color: NEGRO Referencia:  Observacion: BIEN TIENE PLACA ANTERIOR 000029330 Placa padre: Tipo adquisicion: Entidad"</f>
        <v>Descripcion: SILLAS RECLINABLES REF. XN 204 TIPO CHECO COLOR NEGRO Estado: Bueno Placa anterior:  Material: CUERO Color: NEGRO Referencia:  Observacion: BIEN TIENE PLACA ANTERIOR 000029330 Placa padre: Tipo adquisicion: Entidad</v>
      </c>
      <c r="G9832" s="5"/>
    </row>
    <row r="9833" spans="1:7" ht="58.5" customHeight="1" x14ac:dyDescent="0.25">
      <c r="A9833" s="5" t="str">
        <f>"H0012516"</f>
        <v>H0012516</v>
      </c>
      <c r="B9833" s="5" t="str">
        <f>"CENTRIFUGA DIGITAL 12 TUBOS CAPILARES"</f>
        <v>CENTRIFUGA DIGITAL 12 TUBOS CAPILARES</v>
      </c>
      <c r="C9833" s="6">
        <v>8198554</v>
      </c>
      <c r="D9833" s="5" t="s">
        <v>55</v>
      </c>
      <c r="E9833" s="5" t="str">
        <f t="shared" si="498"/>
        <v>BANCO DE SANGRE-ELSIE ENTRENA MUTIS</v>
      </c>
      <c r="F9833" s="5" t="str">
        <f>"Descripcion: CENTRIFUGA MARCA HERMLE MODELO Z 206A Estado: Bueno Placa anterior: 000030290 Material: metalico Color: gris Referencia:  Observacion:  Placa padre: Tipo adquisicion: Donacion"</f>
        <v>Descripcion: CENTRIFUGA MARCA HERMLE MODELO Z 206A Estado: Bueno Placa anterior: 000030290 Material: metalico Color: gris Referencia:  Observacion:  Placa padre: Tipo adquisicion: Donacion</v>
      </c>
      <c r="G9833" s="5" t="str">
        <f>"Z-206A"</f>
        <v>Z-206A</v>
      </c>
    </row>
    <row r="9834" spans="1:7" ht="58.5" customHeight="1" x14ac:dyDescent="0.25">
      <c r="A9834" s="5" t="str">
        <f>"H0012519"</f>
        <v>H0012519</v>
      </c>
      <c r="B9834" s="5" t="str">
        <f>"INCUBADOR/AGITADOR DE PLAQUETAS"</f>
        <v>INCUBADOR/AGITADOR DE PLAQUETAS</v>
      </c>
      <c r="C9834" s="6">
        <v>22620000</v>
      </c>
      <c r="D9834" s="5" t="s">
        <v>549</v>
      </c>
      <c r="E9834" s="5" t="str">
        <f t="shared" si="498"/>
        <v>BANCO DE SANGRE-ELSIE ENTRENA MUTIS</v>
      </c>
      <c r="F9834" s="5" t="str">
        <f>"Descripcion: INCUBADORA PARA AGITADOR DE PLAQUETAS: MARCA SKY LABPTOP, LPI-250 CON CAMARA DOBLE PARA 2 AGITADORES DE PLAQUET5AS DE HASTA 36 BOLSAS CADA UNO, 72 BOLAS EN TOTAL, DISPLAY DIGITAL DE TEMPERATURA, Tº. CONTROLADA A 22ºC OSCILACION DE 70 MM X MIN"&amp; "UTO. ALARMA  Estado: Bueno Placa anterior: 000029771 Material: METALICO Color: BEIS Y  AZUL Referencia:  Observacion:  Placa padre: Tipo adquisicion: Entidad"</f>
        <v>Descripcion: INCUBADORA PARA AGITADOR DE PLAQUETAS: MARCA SKY LABPTOP, LPI-250 CON CAMARA DOBLE PARA 2 AGITADORES DE PLAQUET5AS DE HASTA 36 BOLSAS CADA UNO, 72 BOLAS EN TOTAL, DISPLAY DIGITAL DE TEMPERATURA, Tº. CONTROLADA A 22ºC OSCILACION DE 70 MM X MINUTO. ALARMA  Estado: Bueno Placa anterior: 000029771 Material: METALICO Color: BEIS Y  AZUL Referencia:  Observacion:  Placa padre: Tipo adquisicion: Entidad</v>
      </c>
      <c r="G9834" s="5" t="str">
        <f>"LPI - 250"</f>
        <v>LPI - 250</v>
      </c>
    </row>
    <row r="9835" spans="1:7" ht="58.5" customHeight="1" x14ac:dyDescent="0.25">
      <c r="A9835" s="5" t="str">
        <f>"H0012521"</f>
        <v>H0012521</v>
      </c>
      <c r="B9835" s="5" t="str">
        <f>"REFRIGERADOR VERTICAL"</f>
        <v>REFRIGERADOR VERTICAL</v>
      </c>
      <c r="C9835" s="6">
        <v>29000000</v>
      </c>
      <c r="D9835" s="5" t="s">
        <v>549</v>
      </c>
      <c r="E9835" s="5" t="str">
        <f t="shared" si="498"/>
        <v>BANCO DE SANGRE-ELSIE ENTRENA MUTIS</v>
      </c>
      <c r="F9835" s="5" t="str">
        <f>"Descripcion: REFRIGERADOR PARA BANCO DE SANGRE REF. BB700 Con las siguientes caracteristicas: Refrigerador de una puerta, luz interna chapa llave de seguridad, display digital de temperatura panel de control tipo membrana, Fabricacion interna y externa en"&amp; " acero inoxi Estado: Bueno Placa anterior: 000029777 Material: METALICO Color: GRIS Referencia:  Observacion: NO SE OBSERVO SERIAL AL EQUIPO Placa padre: Tipo adquisicion: Entidad"</f>
        <v>Descripcion: REFRIGERADOR PARA BANCO DE SANGRE REF. BB700 Con las siguientes caracteristicas: Refrigerador de una puerta, luz interna chapa llave de seguridad, display digital de temperatura panel de control tipo membrana, Fabricacion interna y externa en acero inoxi Estado: Bueno Placa anterior: 000029777 Material: METALICO Color: GRIS Referencia:  Observacion: NO SE OBSERVO SERIAL AL EQUIPO Placa padre: Tipo adquisicion: Entidad</v>
      </c>
      <c r="G9835" s="5"/>
    </row>
    <row r="9836" spans="1:7" ht="58.5" customHeight="1" x14ac:dyDescent="0.25">
      <c r="A9836" s="5" t="str">
        <f>"H0012526"</f>
        <v>H0012526</v>
      </c>
      <c r="B9836" s="5" t="str">
        <f>"ESCALERILLA DE 2 PASOS"</f>
        <v>ESCALERILLA DE 2 PASOS</v>
      </c>
      <c r="C9836" s="6">
        <v>4455</v>
      </c>
      <c r="D9836" s="5"/>
      <c r="E9836" s="5" t="str">
        <f t="shared" ref="E9836:E9899" si="500">"BANCO DE SANGRE-ELSIE ENTRENA MUTIS"</f>
        <v>BANCO DE SANGRE-ELSIE ENTRENA MUTIS</v>
      </c>
      <c r="F9836" s="5" t="str">
        <f>"Descripcion: ESCALERA DE DOS PASOS Estado: Regular Placa anterior: 000005233 Material: METALICA Y MADERA Color: GRIS Y NEGRO Referencia:  Observacion: AUTORIZADO CONCILIAR EN CRUCE GENERAL Placa padre: Tipo adquisicion: Entidad"</f>
        <v>Descripcion: ESCALERA DE DOS PASOS Estado: Regular Placa anterior: 000005233 Material: METALICA Y MADERA Color: GRIS Y NEGRO Referencia:  Observacion: AUTORIZADO CONCILIAR EN CRUCE GENERAL Placa padre: Tipo adquisicion: Entidad</v>
      </c>
      <c r="G9836" s="5"/>
    </row>
    <row r="9837" spans="1:7" ht="58.5" customHeight="1" x14ac:dyDescent="0.25">
      <c r="A9837" s="5" t="str">
        <f>"H0012531"</f>
        <v>H0012531</v>
      </c>
      <c r="B9837" s="5" t="str">
        <f>"BAÑO SEROLOGICO (BAÑO MARIA)"</f>
        <v>BAÑO SEROLOGICO (BAÑO MARIA)</v>
      </c>
      <c r="C9837" s="6">
        <v>1740000</v>
      </c>
      <c r="D9837" s="5"/>
      <c r="E9837" s="5" t="str">
        <f t="shared" si="500"/>
        <v>BANCO DE SANGRE-ELSIE ENTRENA MUTIS</v>
      </c>
      <c r="F9837" s="5" t="str">
        <f>"Descripcion: BAÑO SEROLOGICO EN ACERO INOXIDABLE REF. 009 A CON TERMOMETRO MAR. INDULAS TEMPERATURA 35 C A 70C. Estado: Bueno Placa anterior: 000023380 Material: ACERO INOXIDABLE Color: GRIS Referencia: 009 A Observacion:  Placa padre: Tipo adquisicion: E"&amp; "ntidad"</f>
        <v>Descripcion: BAÑO SEROLOGICO EN ACERO INOXIDABLE REF. 009 A CON TERMOMETRO MAR. INDULAS TEMPERATURA 35 C A 70C. Estado: Bueno Placa anterior: 000023380 Material: ACERO INOXIDABLE Color: GRIS Referencia: 009 A Observacion:  Placa padre: Tipo adquisicion: Entidad</v>
      </c>
      <c r="G9837" s="5"/>
    </row>
    <row r="9838" spans="1:7" ht="58.5" customHeight="1" x14ac:dyDescent="0.25">
      <c r="A9838" s="5" t="str">
        <f>"H0012833"</f>
        <v>H0012833</v>
      </c>
      <c r="B9838" s="5" t="str">
        <f>"IMPRESORA LASER"</f>
        <v>IMPRESORA LASER</v>
      </c>
      <c r="C9838" s="6">
        <v>657102</v>
      </c>
      <c r="D9838" s="5" t="s">
        <v>240</v>
      </c>
      <c r="E9838" s="5" t="str">
        <f t="shared" si="500"/>
        <v>BANCO DE SANGRE-ELSIE ENTRENA MUTIS</v>
      </c>
      <c r="F9838" s="5" t="str">
        <f>"Descripcion: IMPRESORA LASER EN BLANCO Y NEGRO CON CAPACIDAD DE IMPRESION A DOBLE CARA AUTOMATICA, COMPATIBLE CON WINDOWS XP Y WINDOWS 7 RECOMENDADA (HP1006) Estado: Bueno Placa anterior: 000030018 Material: PLASTICO Color: NEGRO Referencia:  Observacion:"&amp; "  Placa padre: Tipo adquisicion: Entidad"</f>
        <v>Descripcion: IMPRESORA LASER EN BLANCO Y NEGRO CON CAPACIDAD DE IMPRESION A DOBLE CARA AUTOMATICA, COMPATIBLE CON WINDOWS XP Y WINDOWS 7 RECOMENDADA (HP1006) Estado: Bueno Placa anterior: 000030018 Material: PLASTICO Color: NEGRO Referencia:  Observacion:  Placa padre: Tipo adquisicion: Entidad</v>
      </c>
      <c r="G9838" s="5" t="str">
        <f>"LASERJET P1606DN"</f>
        <v>LASERJET P1606DN</v>
      </c>
    </row>
    <row r="9839" spans="1:7" ht="58.5" customHeight="1" x14ac:dyDescent="0.25">
      <c r="A9839" s="5" t="str">
        <f>"H0012839"</f>
        <v>H0012839</v>
      </c>
      <c r="B9839" s="5" t="str">
        <f>"SILLA ERGONOMICA TIPO SECRETARIA SIN BRAZOS"</f>
        <v>SILLA ERGONOMICA TIPO SECRETARIA SIN BRAZOS</v>
      </c>
      <c r="C9839" s="6">
        <v>2350000</v>
      </c>
      <c r="D9839" s="5" t="s">
        <v>551</v>
      </c>
      <c r="E9839" s="5" t="str">
        <f t="shared" si="500"/>
        <v>BANCO DE SANGRE-ELSIE ENTRENA MUTIS</v>
      </c>
      <c r="F9839" s="5" t="str">
        <f>"Descripcion: SILLA ERGONOMICA TIPO GERENTE SIN BRAZOS TAPIZADO (SIN RODACHINES) Estado: Bueno Placa anterior: 000029329 Material: TAPIZADO EN SEMICUERO Color: AZUL Referencia:  Observacion:  Placa padre: Tipo adquisicion: Entidad"</f>
        <v>Descripcion: SILLA ERGONOMICA TIPO GERENTE SIN BRAZOS TAPIZADO (SIN RODACHINES) Estado: Bueno Placa anterior: 000029329 Material: TAPIZADO EN SEMICUERO Color: AZUL Referencia:  Observacion:  Placa padre: Tipo adquisicion: Entidad</v>
      </c>
      <c r="G9839" s="5"/>
    </row>
    <row r="9840" spans="1:7" ht="58.5" customHeight="1" x14ac:dyDescent="0.25">
      <c r="A9840" s="5" t="str">
        <f>"H0012842"</f>
        <v>H0012842</v>
      </c>
      <c r="B9840" s="5" t="str">
        <f>"CENTRIFUGA SEROFUGA DE 12 TUBOS"</f>
        <v>CENTRIFUGA SEROFUGA DE 12 TUBOS</v>
      </c>
      <c r="C9840" s="6">
        <v>10153480</v>
      </c>
      <c r="D9840" s="5" t="s">
        <v>552</v>
      </c>
      <c r="E9840" s="5" t="str">
        <f t="shared" si="500"/>
        <v>BANCO DE SANGRE-ELSIE ENTRENA MUTIS</v>
      </c>
      <c r="F9840" s="5" t="str">
        <f>"Descripcion: SEROFUGA para 12 tubos clay adams Panel de Control digital. Visor que indica las RPM y el tiempo. Tacometro digital freno electronico Cabezal de plastico para 12 tubos Longitud Ancho 17X longitud 13 X Altura 12 con peso neto 12.69kg. Dos Velo"&amp; "cidades alta Estado: Bueno Placa anterior: 000036929 Material: METALICO Color: BEIGE Referencia:  Observacion:  Placa padre: Tipo adquisicion: Entidad"</f>
        <v>Descripcion: SEROFUGA para 12 tubos clay adams Panel de Control digital. Visor que indica las RPM y el tiempo. Tacometro digital freno electronico Cabezal de plastico para 12 tubos Longitud Ancho 17X longitud 13 X Altura 12 con peso neto 12.69kg. Dos Velocidades alta Estado: Bueno Placa anterior: 000036929 Material: METALICO Color: BEIGE Referencia:  Observacion:  Placa padre: Tipo adquisicion: Entidad</v>
      </c>
      <c r="G9840" s="5"/>
    </row>
    <row r="9841" spans="1:7" ht="58.5" customHeight="1" x14ac:dyDescent="0.25">
      <c r="A9841" s="5" t="str">
        <f>"H0012843"</f>
        <v>H0012843</v>
      </c>
      <c r="B9841" s="5" t="str">
        <f>"BAÑO MARIA PARA DESCONGELAR PLASMA SANGUINEO"</f>
        <v>BAÑO MARIA PARA DESCONGELAR PLASMA SANGUINEO</v>
      </c>
      <c r="C9841" s="6">
        <v>10440000</v>
      </c>
      <c r="D9841" s="5" t="s">
        <v>549</v>
      </c>
      <c r="E9841" s="5" t="str">
        <f t="shared" si="500"/>
        <v>BANCO DE SANGRE-ELSIE ENTRENA MUTIS</v>
      </c>
      <c r="F9841" s="5" t="str">
        <f>"Descripcion: ARCHIVADOR DE MADERA 3 GAVETAS Estado: Bueno Placa anterior: 000029584 Material: MADERA EN FORMICA Color: GRIS CON MADERA CLARO Referencia:  Observacion:  Placa padre: Tipo adquisicion: Entidad"</f>
        <v>Descripcion: ARCHIVADOR DE MADERA 3 GAVETAS Estado: Bueno Placa anterior: 000029584 Material: MADERA EN FORMICA Color: GRIS CON MADERA CLARO Referencia:  Observacion:  Placa padre: Tipo adquisicion: Entidad</v>
      </c>
      <c r="G9841" s="5"/>
    </row>
    <row r="9842" spans="1:7" ht="58.5" customHeight="1" x14ac:dyDescent="0.25">
      <c r="A9842" s="5" t="str">
        <f>"H0012844"</f>
        <v>H0012844</v>
      </c>
      <c r="B9842" s="5" t="str">
        <f>"ARCHIVADOR DE MADERA 3 GAVETAS"</f>
        <v>ARCHIVADOR DE MADERA 3 GAVETAS</v>
      </c>
      <c r="C9842" s="6">
        <v>1740000</v>
      </c>
      <c r="D9842" s="5" t="s">
        <v>546</v>
      </c>
      <c r="E9842" s="5" t="str">
        <f t="shared" si="500"/>
        <v>BANCO DE SANGRE-ELSIE ENTRENA MUTIS</v>
      </c>
      <c r="F9842" s="5" t="str">
        <f>"Descripcion: DESCONGELADOR DE PLASMA REF. LTB -20 Con las siguientes caracteristicas: Sistema para el descogelamiento rapido de plasma. Diseñado para la seguridad y fiabilidad de plasma congelado FFP Para la recuperacion de factores crioprecipitados anthi"&amp; "emofhilicos  Estado: Bueno Placa anterior: 000029778 Material: METALICO Color: BLANCO Referencia: PLASMA THAWING BATH Observacion:  Placa padre: Tipo adquisicion: Entidad"</f>
        <v>Descripcion: DESCONGELADOR DE PLASMA REF. LTB -20 Con las siguientes caracteristicas: Sistema para el descogelamiento rapido de plasma. Diseñado para la seguridad y fiabilidad de plasma congelado FFP Para la recuperacion de factores crioprecipitados anthiemofhilicos  Estado: Bueno Placa anterior: 000029778 Material: METALICO Color: BLANCO Referencia: PLASMA THAWING BATH Observacion:  Placa padre: Tipo adquisicion: Entidad</v>
      </c>
      <c r="G9842" s="5" t="str">
        <f>"LT - 20"</f>
        <v>LT - 20</v>
      </c>
    </row>
    <row r="9843" spans="1:7" ht="58.5" customHeight="1" x14ac:dyDescent="0.25">
      <c r="A9843" s="5" t="str">
        <f>"H0012845"</f>
        <v>H0012845</v>
      </c>
      <c r="B9843" s="5" t="str">
        <f>"REFRIGERADOR VERTICAL"</f>
        <v>REFRIGERADOR VERTICAL</v>
      </c>
      <c r="C9843" s="6">
        <v>29000000</v>
      </c>
      <c r="D9843" s="5" t="s">
        <v>549</v>
      </c>
      <c r="E9843" s="5" t="str">
        <f t="shared" si="500"/>
        <v>BANCO DE SANGRE-ELSIE ENTRENA MUTIS</v>
      </c>
      <c r="F9843" s="5" t="str">
        <f>"Descripcion: REFRIGERADOR PARA BANCO DE SANGRE REF. BB700 Con las siguientes caracteristicas: Refrigerador de una puerta, luz interna chapa llave de seguridad, display digital de temperatura panel de control tipo membrana, Fabricacion interna y externa en"&amp; " acero inoxi Estado: Bueno Placa anterior: 000029776 Material: METALICO Color: GRIS CON AZUL OSCURO Referencia:  Observacion:  Placa padre: Tipo adquisicion: Entidad"</f>
        <v>Descripcion: REFRIGERADOR PARA BANCO DE SANGRE REF. BB700 Con las siguientes caracteristicas: Refrigerador de una puerta, luz interna chapa llave de seguridad, display digital de temperatura panel de control tipo membrana, Fabricacion interna y externa en acero inoxi Estado: Bueno Placa anterior: 000029776 Material: METALICO Color: GRIS CON AZUL OSCURO Referencia:  Observacion:  Placa padre: Tipo adquisicion: Entidad</v>
      </c>
      <c r="G9843" s="5" t="str">
        <f>"BB - 700"</f>
        <v>BB - 700</v>
      </c>
    </row>
    <row r="9844" spans="1:7" ht="58.5" customHeight="1" x14ac:dyDescent="0.25">
      <c r="A9844" s="5" t="str">
        <f>"H0012849"</f>
        <v>H0012849</v>
      </c>
      <c r="B9844" s="5" t="str">
        <f>"CARRO PLEGABLE PARA TRANSPORTE DE CAJA ISOTERMICA (TRANSP. SANGRE)"</f>
        <v>CARRO PLEGABLE PARA TRANSPORTE DE CAJA ISOTERMICA (TRANSP. SANGRE)</v>
      </c>
      <c r="C9844" s="6">
        <v>1660037</v>
      </c>
      <c r="D9844" s="5" t="s">
        <v>547</v>
      </c>
      <c r="E9844" s="5" t="str">
        <f t="shared" si="500"/>
        <v>BANCO DE SANGRE-ELSIE ENTRENA MUTIS</v>
      </c>
      <c r="F9844" s="5" t="str">
        <f>"Descripcion: CARRO DE TRANSPORTE DE CAVAS-COMPOCOOL WB TROLLEY CAPACIDAD 4 CABAS Estado: Bueno Placa anterior: 000030850 Material: METALICO  Color: GRIS Referencia:  Observacion:  Placa padre: Tipo adquisicion: Entidad"</f>
        <v>Descripcion: CARRO DE TRANSPORTE DE CAVAS-COMPOCOOL WB TROLLEY CAPACIDAD 4 CABAS Estado: Bueno Placa anterior: 000030850 Material: METALICO  Color: GRIS Referencia:  Observacion:  Placa padre: Tipo adquisicion: Entidad</v>
      </c>
      <c r="G9844" s="5"/>
    </row>
    <row r="9845" spans="1:7" ht="58.5" customHeight="1" x14ac:dyDescent="0.25">
      <c r="A9845" s="5" t="str">
        <f>"H0012859"</f>
        <v>H0012859</v>
      </c>
      <c r="B9845" s="5" t="str">
        <f>"MESA PLASTICA 4 PUESTOS"</f>
        <v>MESA PLASTICA 4 PUESTOS</v>
      </c>
      <c r="C9845" s="6">
        <v>52500</v>
      </c>
      <c r="D9845" s="5" t="s">
        <v>553</v>
      </c>
      <c r="E9845" s="5" t="str">
        <f t="shared" si="500"/>
        <v>BANCO DE SANGRE-ELSIE ENTRENA MUTIS</v>
      </c>
      <c r="F9845" s="5" t="str">
        <f>"Descripcion: MESA CARIBE II BLANCA RIMAX (BANCO DE SANGRE) Estado: Bueno Placa anterior: 000036599 Material: PLASTICO Color: BLANCO Referencia:  Observacion:  Placa padre: Tipo adquisicion: Entidad"</f>
        <v>Descripcion: MESA CARIBE II BLANCA RIMAX (BANCO DE SANGRE) Estado: Bueno Placa anterior: 000036599 Material: PLASTICO Color: BLANCO Referencia:  Observacion:  Placa padre: Tipo adquisicion: Entidad</v>
      </c>
      <c r="G9845" s="5"/>
    </row>
    <row r="9846" spans="1:7" ht="58.5" customHeight="1" x14ac:dyDescent="0.25">
      <c r="A9846" s="5" t="str">
        <f>"H0012861"</f>
        <v>H0012861</v>
      </c>
      <c r="B9846" s="5" t="str">
        <f>"MESA PLASTICA 4 PUESTOS"</f>
        <v>MESA PLASTICA 4 PUESTOS</v>
      </c>
      <c r="C9846" s="6">
        <v>52500</v>
      </c>
      <c r="D9846" s="5" t="s">
        <v>553</v>
      </c>
      <c r="E9846" s="5" t="str">
        <f t="shared" si="500"/>
        <v>BANCO DE SANGRE-ELSIE ENTRENA MUTIS</v>
      </c>
      <c r="F9846" s="5" t="str">
        <f>"Descripcion: MESA CARIBE II BLANCA RIMAX (BANCO DE SANGRE) Estado: Bueno Placa anterior: 000036603 Material: PLASTICO Color: BLANCO Referencia:  Observacion:  Placa padre: Tipo adquisicion: Entidad"</f>
        <v>Descripcion: MESA CARIBE II BLANCA RIMAX (BANCO DE SANGRE) Estado: Bueno Placa anterior: 000036603 Material: PLASTICO Color: BLANCO Referencia:  Observacion:  Placa padre: Tipo adquisicion: Entidad</v>
      </c>
      <c r="G9846" s="5"/>
    </row>
    <row r="9847" spans="1:7" ht="58.5" customHeight="1" x14ac:dyDescent="0.25">
      <c r="A9847" s="5" t="str">
        <f>"H0012863"</f>
        <v>H0012863</v>
      </c>
      <c r="B9847" s="5" t="str">
        <f>"MESA PLASTICA 4 PUESTOS"</f>
        <v>MESA PLASTICA 4 PUESTOS</v>
      </c>
      <c r="C9847" s="6">
        <v>52500</v>
      </c>
      <c r="D9847" s="5" t="s">
        <v>553</v>
      </c>
      <c r="E9847" s="5" t="str">
        <f t="shared" si="500"/>
        <v>BANCO DE SANGRE-ELSIE ENTRENA MUTIS</v>
      </c>
      <c r="F9847" s="5" t="str">
        <f>"Descripcion: MESA CARIBE II BLANCA RIMAX (BANCO DE SANGRE) Estado: Bueno Placa anterior: 000036602 Material: PALSTICO Color:  BLANCO Referencia:  Observacion:  Placa padre: Tipo adquisicion: Entidad"</f>
        <v>Descripcion: MESA CARIBE II BLANCA RIMAX (BANCO DE SANGRE) Estado: Bueno Placa anterior: 000036602 Material: PALSTICO Color:  BLANCO Referencia:  Observacion:  Placa padre: Tipo adquisicion: Entidad</v>
      </c>
      <c r="G9847" s="5"/>
    </row>
    <row r="9848" spans="1:7" ht="58.5" customHeight="1" x14ac:dyDescent="0.25">
      <c r="A9848" s="5" t="str">
        <f>"H0012864"</f>
        <v>H0012864</v>
      </c>
      <c r="B9848" s="5" t="str">
        <f>"MESA PLASTICA 4 PUESTOS"</f>
        <v>MESA PLASTICA 4 PUESTOS</v>
      </c>
      <c r="C9848" s="6">
        <v>52500</v>
      </c>
      <c r="D9848" s="5" t="s">
        <v>553</v>
      </c>
      <c r="E9848" s="5" t="str">
        <f t="shared" si="500"/>
        <v>BANCO DE SANGRE-ELSIE ENTRENA MUTIS</v>
      </c>
      <c r="F9848" s="5" t="str">
        <f>"Descripcion: MESA CARIBE II BLANCA RIMAX (BANCO DE SANGRE) Estado: Bueno Placa anterior: 000036601 Material: PLASTICO Color: BLANCO Referencia:  Observacion:  Placa padre: Tipo adquisicion: Entidad"</f>
        <v>Descripcion: MESA CARIBE II BLANCA RIMAX (BANCO DE SANGRE) Estado: Bueno Placa anterior: 000036601 Material: PLASTICO Color: BLANCO Referencia:  Observacion:  Placa padre: Tipo adquisicion: Entidad</v>
      </c>
      <c r="G9848" s="5"/>
    </row>
    <row r="9849" spans="1:7" ht="58.5" customHeight="1" x14ac:dyDescent="0.25">
      <c r="A9849" s="5" t="str">
        <f>"H0012867"</f>
        <v>H0012867</v>
      </c>
      <c r="B9849" s="5" t="str">
        <f>"CARRO PLEGABLE PARA TRANSPORTE DE CAJA ISOTERMICA (TRANSP. SANGRE)"</f>
        <v>CARRO PLEGABLE PARA TRANSPORTE DE CAJA ISOTERMICA (TRANSP. SANGRE)</v>
      </c>
      <c r="C9849" s="6">
        <v>6805000</v>
      </c>
      <c r="D9849" s="5"/>
      <c r="E9849" s="5" t="str">
        <f t="shared" si="500"/>
        <v>BANCO DE SANGRE-ELSIE ENTRENA MUTIS</v>
      </c>
      <c r="F9849" s="5" t="str">
        <f>"Descripcion: CARRO DE TRANSPORTE DE CAVAS-COMPOCOOL WB TROLLEY CAPACIDAD 4 CABAS Estado: Bueno Placa anterior: 000033617 Material: METALICO  Color: GRIS Referencia:  Observacion:  Placa padre: Tipo adquisicion: Entidad"</f>
        <v>Descripcion: CARRO DE TRANSPORTE DE CAVAS-COMPOCOOL WB TROLLEY CAPACIDAD 4 CABAS Estado: Bueno Placa anterior: 000033617 Material: METALICO  Color: GRIS Referencia:  Observacion:  Placa padre: Tipo adquisicion: Entidad</v>
      </c>
      <c r="G9849" s="5"/>
    </row>
    <row r="9850" spans="1:7" ht="58.5" customHeight="1" x14ac:dyDescent="0.25">
      <c r="A9850" s="5" t="str">
        <f>"H0012872"</f>
        <v>H0012872</v>
      </c>
      <c r="B9850" s="5" t="str">
        <f>"DISFRAZ INFLABLE"</f>
        <v>DISFRAZ INFLABLE</v>
      </c>
      <c r="C9850" s="6">
        <v>1100000</v>
      </c>
      <c r="D9850" s="5" t="s">
        <v>58</v>
      </c>
      <c r="E9850" s="5" t="str">
        <f t="shared" si="500"/>
        <v>BANCO DE SANGRE-ELSIE ENTRENA MUTIS</v>
      </c>
      <c r="F9850" s="5" t="str">
        <f>"Descripcion: ERASMITO UN DISFRAZ INFLABLE PUBLICITARIO CON SU RESPECTIVO KIT Estado: Bueno Placa anterior: 000030370 Material: TELA IMPERMEABLE Color: VERDE CON NEGRO Referencia:  Observacion:  Placa padre: Tipo adquisicion: Donacion"</f>
        <v>Descripcion: ERASMITO UN DISFRAZ INFLABLE PUBLICITARIO CON SU RESPECTIVO KIT Estado: Bueno Placa anterior: 000030370 Material: TELA IMPERMEABLE Color: VERDE CON NEGRO Referencia:  Observacion:  Placa padre: Tipo adquisicion: Donacion</v>
      </c>
      <c r="G9850" s="5"/>
    </row>
    <row r="9851" spans="1:7" ht="58.5" customHeight="1" x14ac:dyDescent="0.25">
      <c r="A9851" s="5" t="str">
        <f>"H0012876"</f>
        <v>H0012876</v>
      </c>
      <c r="B9851" s="5" t="str">
        <f>"FONENDOSCOPIO (ESTETOSCOPIO) PARA ADULTO"</f>
        <v>FONENDOSCOPIO (ESTETOSCOPIO) PARA ADULTO</v>
      </c>
      <c r="C9851" s="6">
        <v>52200</v>
      </c>
      <c r="D9851" s="5"/>
      <c r="E9851" s="5" t="str">
        <f t="shared" si="500"/>
        <v>BANCO DE SANGRE-ELSIE ENTRENA MUTIS</v>
      </c>
      <c r="F9851" s="5" t="str">
        <f>"Descripcion: FONENDOSCOPIO PARA ADULTO Estado: Bueno Placa anterior: 000012016 Material:  Color: NEGRO Referencia:  Observacion:  Placa padre: Tipo adquisicion: Entidad"</f>
        <v>Descripcion: FONENDOSCOPIO PARA ADULTO Estado: Bueno Placa anterior: 000012016 Material:  Color: NEGRO Referencia:  Observacion:  Placa padre: Tipo adquisicion: Entidad</v>
      </c>
      <c r="G9851" s="5"/>
    </row>
    <row r="9852" spans="1:7" ht="58.5" customHeight="1" x14ac:dyDescent="0.25">
      <c r="A9852" s="5" t="str">
        <f>"H0012877"</f>
        <v>H0012877</v>
      </c>
      <c r="B9852" s="5" t="str">
        <f>"MONITOR ESTANDAR (BALANZA) DE RECOGIDA DE SANGRE"</f>
        <v>MONITOR ESTANDAR (BALANZA) DE RECOGIDA DE SANGRE</v>
      </c>
      <c r="C9852" s="6">
        <v>3828000</v>
      </c>
      <c r="D9852" s="5" t="s">
        <v>549</v>
      </c>
      <c r="E9852" s="5" t="str">
        <f t="shared" si="500"/>
        <v>BANCO DE SANGRE-ELSIE ENTRENA MUTIS</v>
      </c>
      <c r="F9852" s="5" t="str">
        <f>"Descripcion: BALANZA PARA RECOLECCION DE SANGRE:REF.CM350 Con las siguientes caracteristicas: Balanza monitor para la recoleccion de sangre para uso con pie universal o silla extramural SPD510 BpL Display digital con informacion como: programacion de peso"&amp; ", volumen en Estado: Bueno Placa anterior: 000029774 Material: PLASTICO Color: BEIGE Referencia:  Observacion:  Placa padre: Tipo adquisicion: Entidad"</f>
        <v>Descripcion: BALANZA PARA RECOLECCION DE SANGRE:REF.CM350 Con las siguientes caracteristicas: Balanza monitor para la recoleccion de sangre para uso con pie universal o silla extramural SPD510 BpL Display digital con informacion como: programacion de peso, volumen en Estado: Bueno Placa anterior: 000029774 Material: PLASTICO Color: BEIGE Referencia:  Observacion:  Placa padre: Tipo adquisicion: Entidad</v>
      </c>
      <c r="G9852" s="5" t="str">
        <f>"CM - 350"</f>
        <v>CM - 350</v>
      </c>
    </row>
    <row r="9853" spans="1:7" ht="58.5" customHeight="1" x14ac:dyDescent="0.25">
      <c r="A9853" s="5" t="str">
        <f>"H0012878"</f>
        <v>H0012878</v>
      </c>
      <c r="B9853" s="5" t="str">
        <f>"MONITOR ESTANDAR (BALANZA) DE RECOGIDA DE SANGRE"</f>
        <v>MONITOR ESTANDAR (BALANZA) DE RECOGIDA DE SANGRE</v>
      </c>
      <c r="C9853" s="6">
        <v>3828000</v>
      </c>
      <c r="D9853" s="5" t="s">
        <v>549</v>
      </c>
      <c r="E9853" s="5" t="str">
        <f t="shared" si="500"/>
        <v>BANCO DE SANGRE-ELSIE ENTRENA MUTIS</v>
      </c>
      <c r="F9853" s="5" t="str">
        <f>"Descripcion: BALANZA PARA RECOLECCION DE SANGRE:REF.CM350 Con las siguientes caracteristicas: Balanza monitor para la recoleccion de sangre para uso con pie universal o silla extramural SPD510 BpL Display digital con informacion como: programacion de peso"&amp; ", volumen en Estado: Bueno Placa anterior: 000029773 Material: PLASTICO Color: BEIGE Referencia:  Observacion:  Placa padre: Tipo adquisicion: Entidad"</f>
        <v>Descripcion: BALANZA PARA RECOLECCION DE SANGRE:REF.CM350 Con las siguientes caracteristicas: Balanza monitor para la recoleccion de sangre para uso con pie universal o silla extramural SPD510 BpL Display digital con informacion como: programacion de peso, volumen en Estado: Bueno Placa anterior: 000029773 Material: PLASTICO Color: BEIGE Referencia:  Observacion:  Placa padre: Tipo adquisicion: Entidad</v>
      </c>
      <c r="G9853" s="5" t="str">
        <f>"CM - 350"</f>
        <v>CM - 350</v>
      </c>
    </row>
    <row r="9854" spans="1:7" ht="58.5" customHeight="1" x14ac:dyDescent="0.25">
      <c r="A9854" s="5" t="str">
        <f>"H0012879"</f>
        <v>H0012879</v>
      </c>
      <c r="B9854" s="5" t="str">
        <f>"MONITOR ESTANDAR (BALANZA) DE RECOGIDA DE SANGRE"</f>
        <v>MONITOR ESTANDAR (BALANZA) DE RECOGIDA DE SANGRE</v>
      </c>
      <c r="C9854" s="6">
        <v>3828000</v>
      </c>
      <c r="D9854" s="5" t="s">
        <v>549</v>
      </c>
      <c r="E9854" s="5" t="str">
        <f t="shared" si="500"/>
        <v>BANCO DE SANGRE-ELSIE ENTRENA MUTIS</v>
      </c>
      <c r="F9854" s="5" t="str">
        <f>"Descripcion: BALANZA PARA RECOLECCION DE SANGRE:REF.CM350 Con las siguientes caracteristicas: Balanza monitor para la recoleccion de sangre para uso con pie universal o silla extramural SPD510 BpL Display digital con informacion como: programacion de peso"&amp; ", volumen en Estado: Bueno Placa anterior: 000029775 Material: PLASTICO Color: BEIGE Referencia:  Observacion:  Placa padre: Tipo adquisicion: Entidad"</f>
        <v>Descripcion: BALANZA PARA RECOLECCION DE SANGRE:REF.CM350 Con las siguientes caracteristicas: Balanza monitor para la recoleccion de sangre para uso con pie universal o silla extramural SPD510 BpL Display digital con informacion como: programacion de peso, volumen en Estado: Bueno Placa anterior: 000029775 Material: PLASTICO Color: BEIGE Referencia:  Observacion:  Placa padre: Tipo adquisicion: Entidad</v>
      </c>
      <c r="G9854" s="5" t="str">
        <f>"CM -350"</f>
        <v>CM -350</v>
      </c>
    </row>
    <row r="9855" spans="1:7" ht="58.5" customHeight="1" x14ac:dyDescent="0.25">
      <c r="A9855" s="5" t="str">
        <f>"H0012880"</f>
        <v>H0012880</v>
      </c>
      <c r="B9855" s="5" t="str">
        <f>"MONITOR ESTANDAR (BALANZA) DE RECOGIDA DE SANGRE"</f>
        <v>MONITOR ESTANDAR (BALANZA) DE RECOGIDA DE SANGRE</v>
      </c>
      <c r="C9855" s="6">
        <v>2262000</v>
      </c>
      <c r="D9855" s="5"/>
      <c r="E9855" s="5" t="str">
        <f t="shared" si="500"/>
        <v>BANCO DE SANGRE-ELSIE ENTRENA MUTIS</v>
      </c>
      <c r="F9855" s="5" t="str">
        <f>"Descripcion: BALANZA PARA RECOLECCION DE SANGRE CARACTERISTICAS: MARCA CENTRON MODELO CM 350 DIMENSIONES cm 16 largo x12 alto x 6 ancho PESO 1 kg PIE UNIVERSAL INCLUIDO INCLUYE BATERIA PARA USO EN DONACIONES EXTRAMURALES VALTAJE 110 VOLTIOS 80hz BATERIA N"&amp; "imh Estado: Bueno Placa anterior: 000026137 Material: PLASTICO Color: BEIGE Referencia:  Observacion:  Placa padre: Tipo adquisicion: Entidad"</f>
        <v>Descripcion: BALANZA PARA RECOLECCION DE SANGRE CARACTERISTICAS: MARCA CENTRON MODELO CM 350 DIMENSIONES cm 16 largo x12 alto x 6 ancho PESO 1 kg PIE UNIVERSAL INCLUIDO INCLUYE BATERIA PARA USO EN DONACIONES EXTRAMURALES VALTAJE 110 VOLTIOS 80hz BATERIA Nimh Estado: Bueno Placa anterior: 000026137 Material: PLASTICO Color: BEIGE Referencia:  Observacion:  Placa padre: Tipo adquisicion: Entidad</v>
      </c>
      <c r="G9855" s="5" t="str">
        <f>"CM-350"</f>
        <v>CM-350</v>
      </c>
    </row>
    <row r="9856" spans="1:7" ht="58.5" customHeight="1" x14ac:dyDescent="0.25">
      <c r="A9856" s="5" t="str">
        <f>"H0012882"</f>
        <v>H0012882</v>
      </c>
      <c r="B9856" s="5" t="str">
        <f t="shared" ref="B9856:B9875" si="501">"SILLA PLASTICA SIN BRAZOS"</f>
        <v>SILLA PLASTICA SIN BRAZOS</v>
      </c>
      <c r="C9856" s="6">
        <v>17450</v>
      </c>
      <c r="D9856" s="5" t="s">
        <v>553</v>
      </c>
      <c r="E9856" s="5" t="str">
        <f t="shared" si="500"/>
        <v>BANCO DE SANGRE-ELSIE ENTRENA MUTIS</v>
      </c>
      <c r="F9856" s="5" t="str">
        <f>"Descripcion: SILLA CONFORT BLANCA S/B -RIMO (BANCOD E SANGRE) Estado: Bueno Placa anterior: 000036615 Material: PLASTICO Color: BLANCO Referencia:  Observacion:  Placa padre: Tipo adquisicion: Entidad"</f>
        <v>Descripcion: SILLA CONFORT BLANCA S/B -RIMO (BANCOD E SANGRE) Estado: Bueno Placa anterior: 000036615 Material: PLASTICO Color: BLANCO Referencia:  Observacion:  Placa padre: Tipo adquisicion: Entidad</v>
      </c>
      <c r="G9856" s="5"/>
    </row>
    <row r="9857" spans="1:7" ht="58.5" customHeight="1" x14ac:dyDescent="0.25">
      <c r="A9857" s="5" t="str">
        <f>"H0012883"</f>
        <v>H0012883</v>
      </c>
      <c r="B9857" s="5" t="str">
        <f t="shared" si="501"/>
        <v>SILLA PLASTICA SIN BRAZOS</v>
      </c>
      <c r="C9857" s="6">
        <v>17450</v>
      </c>
      <c r="D9857" s="5" t="s">
        <v>553</v>
      </c>
      <c r="E9857" s="5" t="str">
        <f t="shared" si="500"/>
        <v>BANCO DE SANGRE-ELSIE ENTRENA MUTIS</v>
      </c>
      <c r="F9857" s="5" t="str">
        <f>"Descripcion: SILLA CONFORT BLANCA S/B -RIMO (BANCOD E SANGRE) Estado: Bueno Placa anterior: 000036622 Material: PLASTICO Color: BLANCO Referencia:  Observacion:  Placa padre: Tipo adquisicion: Entidad"</f>
        <v>Descripcion: SILLA CONFORT BLANCA S/B -RIMO (BANCOD E SANGRE) Estado: Bueno Placa anterior: 000036622 Material: PLASTICO Color: BLANCO Referencia:  Observacion:  Placa padre: Tipo adquisicion: Entidad</v>
      </c>
      <c r="G9857" s="5"/>
    </row>
    <row r="9858" spans="1:7" ht="58.5" customHeight="1" x14ac:dyDescent="0.25">
      <c r="A9858" s="5" t="str">
        <f>"H0012884"</f>
        <v>H0012884</v>
      </c>
      <c r="B9858" s="5" t="str">
        <f t="shared" si="501"/>
        <v>SILLA PLASTICA SIN BRAZOS</v>
      </c>
      <c r="C9858" s="6">
        <v>17450</v>
      </c>
      <c r="D9858" s="5" t="s">
        <v>553</v>
      </c>
      <c r="E9858" s="5" t="str">
        <f t="shared" si="500"/>
        <v>BANCO DE SANGRE-ELSIE ENTRENA MUTIS</v>
      </c>
      <c r="F9858" s="5" t="str">
        <f>"Descripcion: SILLA CONFORT BLANCA S/B -RIMO (BANCOD E SANGRE) Estado: Bueno Placa anterior: 000036607 Material: PLASTICO Color: BLANCO Referencia:  Observacion:  Placa padre: Tipo adquisicion: Entidad"</f>
        <v>Descripcion: SILLA CONFORT BLANCA S/B -RIMO (BANCOD E SANGRE) Estado: Bueno Placa anterior: 000036607 Material: PLASTICO Color: BLANCO Referencia:  Observacion:  Placa padre: Tipo adquisicion: Entidad</v>
      </c>
      <c r="G9858" s="5"/>
    </row>
    <row r="9859" spans="1:7" ht="58.5" customHeight="1" x14ac:dyDescent="0.25">
      <c r="A9859" s="5" t="str">
        <f>"H0012885"</f>
        <v>H0012885</v>
      </c>
      <c r="B9859" s="5" t="str">
        <f t="shared" si="501"/>
        <v>SILLA PLASTICA SIN BRAZOS</v>
      </c>
      <c r="C9859" s="6">
        <v>17450</v>
      </c>
      <c r="D9859" s="5" t="s">
        <v>553</v>
      </c>
      <c r="E9859" s="5" t="str">
        <f t="shared" si="500"/>
        <v>BANCO DE SANGRE-ELSIE ENTRENA MUTIS</v>
      </c>
      <c r="F9859" s="5" t="str">
        <f>"Descripcion: SILLA CONFORT BLANCA S/B -RIMO (BANCOD E SANGRE) Estado: Bueno Placa anterior: 000036605 Material: PLASTICO Color: BLANCO Referencia:  Observacion:  Placa padre: Tipo adquisicion: Entidad"</f>
        <v>Descripcion: SILLA CONFORT BLANCA S/B -RIMO (BANCOD E SANGRE) Estado: Bueno Placa anterior: 000036605 Material: PLASTICO Color: BLANCO Referencia:  Observacion:  Placa padre: Tipo adquisicion: Entidad</v>
      </c>
      <c r="G9859" s="5"/>
    </row>
    <row r="9860" spans="1:7" ht="58.5" customHeight="1" x14ac:dyDescent="0.25">
      <c r="A9860" s="5" t="str">
        <f>"H0012886"</f>
        <v>H0012886</v>
      </c>
      <c r="B9860" s="5" t="str">
        <f t="shared" si="501"/>
        <v>SILLA PLASTICA SIN BRAZOS</v>
      </c>
      <c r="C9860" s="6">
        <v>17450</v>
      </c>
      <c r="D9860" s="5" t="s">
        <v>553</v>
      </c>
      <c r="E9860" s="5" t="str">
        <f t="shared" si="500"/>
        <v>BANCO DE SANGRE-ELSIE ENTRENA MUTIS</v>
      </c>
      <c r="F9860" s="5" t="str">
        <f>"Descripcion: SILLA CONFORT BLANCA S/B -RIMO (BANCOD E SANGRE) Estado: Bueno Placa anterior: 000036613 Material: PLASTICO Color: BLANCO Referencia:  Observacion:  Placa padre: Tipo adquisicion: Entidad"</f>
        <v>Descripcion: SILLA CONFORT BLANCA S/B -RIMO (BANCOD E SANGRE) Estado: Bueno Placa anterior: 000036613 Material: PLASTICO Color: BLANCO Referencia:  Observacion:  Placa padre: Tipo adquisicion: Entidad</v>
      </c>
      <c r="G9860" s="5"/>
    </row>
    <row r="9861" spans="1:7" ht="58.5" customHeight="1" x14ac:dyDescent="0.25">
      <c r="A9861" s="5" t="str">
        <f>"H0012887"</f>
        <v>H0012887</v>
      </c>
      <c r="B9861" s="5" t="str">
        <f t="shared" si="501"/>
        <v>SILLA PLASTICA SIN BRAZOS</v>
      </c>
      <c r="C9861" s="6">
        <v>17450</v>
      </c>
      <c r="D9861" s="5" t="s">
        <v>553</v>
      </c>
      <c r="E9861" s="5" t="str">
        <f t="shared" si="500"/>
        <v>BANCO DE SANGRE-ELSIE ENTRENA MUTIS</v>
      </c>
      <c r="F9861" s="5" t="str">
        <f>"Descripcion: SILLA CONFORT BLANCA S/B -RIMO (BANCOD E SANGRE) Estado: Bueno Placa anterior: 000036624 Material: PLASTICO Color: BLANCO Referencia:  Observacion:  Placa padre: Tipo adquisicion: Entidad"</f>
        <v>Descripcion: SILLA CONFORT BLANCA S/B -RIMO (BANCOD E SANGRE) Estado: Bueno Placa anterior: 000036624 Material: PLASTICO Color: BLANCO Referencia:  Observacion:  Placa padre: Tipo adquisicion: Entidad</v>
      </c>
      <c r="G9861" s="5"/>
    </row>
    <row r="9862" spans="1:7" ht="58.5" customHeight="1" x14ac:dyDescent="0.25">
      <c r="A9862" s="5" t="str">
        <f>"H0012888"</f>
        <v>H0012888</v>
      </c>
      <c r="B9862" s="5" t="str">
        <f t="shared" si="501"/>
        <v>SILLA PLASTICA SIN BRAZOS</v>
      </c>
      <c r="C9862" s="6">
        <v>17450</v>
      </c>
      <c r="D9862" s="5" t="s">
        <v>553</v>
      </c>
      <c r="E9862" s="5" t="str">
        <f t="shared" si="500"/>
        <v>BANCO DE SANGRE-ELSIE ENTRENA MUTIS</v>
      </c>
      <c r="F9862" s="5" t="str">
        <f>"Descripcion: SILLA CONFORT BLANCA S/B -RIMO (BANCOD E SANGRE) Estado: Bueno Placa anterior: 000036606 Material: PLASTICO Color: BLANCO Referencia:  Observacion:  Placa padre: Tipo adquisicion: Entidad"</f>
        <v>Descripcion: SILLA CONFORT BLANCA S/B -RIMO (BANCOD E SANGRE) Estado: Bueno Placa anterior: 000036606 Material: PLASTICO Color: BLANCO Referencia:  Observacion:  Placa padre: Tipo adquisicion: Entidad</v>
      </c>
      <c r="G9862" s="5"/>
    </row>
    <row r="9863" spans="1:7" ht="58.5" customHeight="1" x14ac:dyDescent="0.25">
      <c r="A9863" s="5" t="str">
        <f>"H0012889"</f>
        <v>H0012889</v>
      </c>
      <c r="B9863" s="5" t="str">
        <f t="shared" si="501"/>
        <v>SILLA PLASTICA SIN BRAZOS</v>
      </c>
      <c r="C9863" s="6">
        <v>17450</v>
      </c>
      <c r="D9863" s="5" t="s">
        <v>553</v>
      </c>
      <c r="E9863" s="5" t="str">
        <f t="shared" si="500"/>
        <v>BANCO DE SANGRE-ELSIE ENTRENA MUTIS</v>
      </c>
      <c r="F9863" s="5" t="str">
        <f>"Descripcion: SILLA CONFORT BLANCA S/B -RIMO (BANCOD E SANGRE) Estado: Bueno Placa anterior: 000036616 Material: PLASTICO Color: BLANCO Referencia:  Observacion:  Placa padre: Tipo adquisicion: Entidad"</f>
        <v>Descripcion: SILLA CONFORT BLANCA S/B -RIMO (BANCOD E SANGRE) Estado: Bueno Placa anterior: 000036616 Material: PLASTICO Color: BLANCO Referencia:  Observacion:  Placa padre: Tipo adquisicion: Entidad</v>
      </c>
      <c r="G9863" s="5"/>
    </row>
    <row r="9864" spans="1:7" ht="58.5" customHeight="1" x14ac:dyDescent="0.25">
      <c r="A9864" s="5" t="str">
        <f>"H0012890"</f>
        <v>H0012890</v>
      </c>
      <c r="B9864" s="5" t="str">
        <f t="shared" si="501"/>
        <v>SILLA PLASTICA SIN BRAZOS</v>
      </c>
      <c r="C9864" s="6">
        <v>17450</v>
      </c>
      <c r="D9864" s="5" t="s">
        <v>553</v>
      </c>
      <c r="E9864" s="5" t="str">
        <f t="shared" si="500"/>
        <v>BANCO DE SANGRE-ELSIE ENTRENA MUTIS</v>
      </c>
      <c r="F9864" s="5" t="str">
        <f>"Descripcion: SILLA CONFORT BLANCA S/B -RIMO (BANCOD E SANGRE) Estado: Bueno Placa anterior: 000036620 Material: PLASTICO Color: BLANCO Referencia:  Observacion:  Placa padre: Tipo adquisicion: Entidad"</f>
        <v>Descripcion: SILLA CONFORT BLANCA S/B -RIMO (BANCOD E SANGRE) Estado: Bueno Placa anterior: 000036620 Material: PLASTICO Color: BLANCO Referencia:  Observacion:  Placa padre: Tipo adquisicion: Entidad</v>
      </c>
      <c r="G9864" s="5"/>
    </row>
    <row r="9865" spans="1:7" ht="58.5" customHeight="1" x14ac:dyDescent="0.25">
      <c r="A9865" s="5" t="str">
        <f>"H0012891"</f>
        <v>H0012891</v>
      </c>
      <c r="B9865" s="5" t="str">
        <f t="shared" si="501"/>
        <v>SILLA PLASTICA SIN BRAZOS</v>
      </c>
      <c r="C9865" s="6">
        <v>17450</v>
      </c>
      <c r="D9865" s="5" t="s">
        <v>553</v>
      </c>
      <c r="E9865" s="5" t="str">
        <f t="shared" si="500"/>
        <v>BANCO DE SANGRE-ELSIE ENTRENA MUTIS</v>
      </c>
      <c r="F9865" s="5" t="str">
        <f>"Descripcion: SILLA CONFORT BLANCA S/B -RIMO (BANCOD E SANGRE) Estado: Bueno Placa anterior: 000036612 Material: PLASTICO Color: BLANCO Referencia:  Observacion:  Placa padre: Tipo adquisicion: Entidad"</f>
        <v>Descripcion: SILLA CONFORT BLANCA S/B -RIMO (BANCOD E SANGRE) Estado: Bueno Placa anterior: 000036612 Material: PLASTICO Color: BLANCO Referencia:  Observacion:  Placa padre: Tipo adquisicion: Entidad</v>
      </c>
      <c r="G9865" s="5"/>
    </row>
    <row r="9866" spans="1:7" ht="58.5" customHeight="1" x14ac:dyDescent="0.25">
      <c r="A9866" s="5" t="str">
        <f>"H0012892"</f>
        <v>H0012892</v>
      </c>
      <c r="B9866" s="5" t="str">
        <f t="shared" si="501"/>
        <v>SILLA PLASTICA SIN BRAZOS</v>
      </c>
      <c r="C9866" s="6">
        <v>17450</v>
      </c>
      <c r="D9866" s="5" t="s">
        <v>553</v>
      </c>
      <c r="E9866" s="5" t="str">
        <f t="shared" si="500"/>
        <v>BANCO DE SANGRE-ELSIE ENTRENA MUTIS</v>
      </c>
      <c r="F9866" s="5" t="str">
        <f>"Descripcion: SILLA CONFORT BLANCA S/B -RIMO (BANCOD E SANGRE) Estado: Bueno Placa anterior: 000036609 Material: PLASTICO Color: BLANCO Referencia:  Observacion:  Placa padre: Tipo adquisicion: Entidad"</f>
        <v>Descripcion: SILLA CONFORT BLANCA S/B -RIMO (BANCOD E SANGRE) Estado: Bueno Placa anterior: 000036609 Material: PLASTICO Color: BLANCO Referencia:  Observacion:  Placa padre: Tipo adquisicion: Entidad</v>
      </c>
      <c r="G9866" s="5"/>
    </row>
    <row r="9867" spans="1:7" ht="58.5" customHeight="1" x14ac:dyDescent="0.25">
      <c r="A9867" s="5" t="str">
        <f>"H0012893"</f>
        <v>H0012893</v>
      </c>
      <c r="B9867" s="5" t="str">
        <f t="shared" si="501"/>
        <v>SILLA PLASTICA SIN BRAZOS</v>
      </c>
      <c r="C9867" s="6">
        <v>17450</v>
      </c>
      <c r="D9867" s="5" t="s">
        <v>553</v>
      </c>
      <c r="E9867" s="5" t="str">
        <f t="shared" si="500"/>
        <v>BANCO DE SANGRE-ELSIE ENTRENA MUTIS</v>
      </c>
      <c r="F9867" s="5" t="str">
        <f>"Descripcion: SILLA CONFORT BLANCA S/B -RIMO (BANCOD E SANGRE) Estado: Bueno Placa anterior: 000036611 Material: PLASTICO Color: BLANCO Referencia:  Observacion:  Placa padre: Tipo adquisicion: Entidad"</f>
        <v>Descripcion: SILLA CONFORT BLANCA S/B -RIMO (BANCOD E SANGRE) Estado: Bueno Placa anterior: 000036611 Material: PLASTICO Color: BLANCO Referencia:  Observacion:  Placa padre: Tipo adquisicion: Entidad</v>
      </c>
      <c r="G9867" s="5"/>
    </row>
    <row r="9868" spans="1:7" ht="58.5" customHeight="1" x14ac:dyDescent="0.25">
      <c r="A9868" s="5" t="str">
        <f>"H0012894"</f>
        <v>H0012894</v>
      </c>
      <c r="B9868" s="5" t="str">
        <f t="shared" si="501"/>
        <v>SILLA PLASTICA SIN BRAZOS</v>
      </c>
      <c r="C9868" s="6">
        <v>17450</v>
      </c>
      <c r="D9868" s="5" t="s">
        <v>553</v>
      </c>
      <c r="E9868" s="5" t="str">
        <f t="shared" si="500"/>
        <v>BANCO DE SANGRE-ELSIE ENTRENA MUTIS</v>
      </c>
      <c r="F9868" s="5" t="str">
        <f>"Descripcion: SILLA CONFORT BLANCA S/B -RIMO (BANCOD E SANGRE) Estado: Bueno Placa anterior: 000036608 Material: PLASTICO Color: BLANCO Referencia:  Observacion:  Placa padre: Tipo adquisicion: Entidad"</f>
        <v>Descripcion: SILLA CONFORT BLANCA S/B -RIMO (BANCOD E SANGRE) Estado: Bueno Placa anterior: 000036608 Material: PLASTICO Color: BLANCO Referencia:  Observacion:  Placa padre: Tipo adquisicion: Entidad</v>
      </c>
      <c r="G9868" s="5"/>
    </row>
    <row r="9869" spans="1:7" ht="58.5" customHeight="1" x14ac:dyDescent="0.25">
      <c r="A9869" s="5" t="str">
        <f>"H0012895"</f>
        <v>H0012895</v>
      </c>
      <c r="B9869" s="5" t="str">
        <f t="shared" si="501"/>
        <v>SILLA PLASTICA SIN BRAZOS</v>
      </c>
      <c r="C9869" s="6">
        <v>17450</v>
      </c>
      <c r="D9869" s="5" t="s">
        <v>553</v>
      </c>
      <c r="E9869" s="5" t="str">
        <f t="shared" si="500"/>
        <v>BANCO DE SANGRE-ELSIE ENTRENA MUTIS</v>
      </c>
      <c r="F9869" s="5" t="str">
        <f>"Descripcion: SILLA CONFORT BLANCA S/B -RIMO (BANCOD E SANGRE) Estado: Bueno Placa anterior: 000036623 Material: PLASTICO Color: BLANCO Referencia:  Observacion:  Placa padre: Tipo adquisicion: Entidad"</f>
        <v>Descripcion: SILLA CONFORT BLANCA S/B -RIMO (BANCOD E SANGRE) Estado: Bueno Placa anterior: 000036623 Material: PLASTICO Color: BLANCO Referencia:  Observacion:  Placa padre: Tipo adquisicion: Entidad</v>
      </c>
      <c r="G9869" s="5"/>
    </row>
    <row r="9870" spans="1:7" ht="58.5" customHeight="1" x14ac:dyDescent="0.25">
      <c r="A9870" s="5" t="str">
        <f>"H0012896"</f>
        <v>H0012896</v>
      </c>
      <c r="B9870" s="5" t="str">
        <f t="shared" si="501"/>
        <v>SILLA PLASTICA SIN BRAZOS</v>
      </c>
      <c r="C9870" s="6">
        <v>17450</v>
      </c>
      <c r="D9870" s="5" t="s">
        <v>553</v>
      </c>
      <c r="E9870" s="5" t="str">
        <f t="shared" si="500"/>
        <v>BANCO DE SANGRE-ELSIE ENTRENA MUTIS</v>
      </c>
      <c r="F9870" s="5" t="str">
        <f>"Descripcion: SILLA CONFORT BLANCA S/B -RIMO (BANCOD E SANGRE) Estado: Bueno Placa anterior: 000036619 Material: PLASTICO Color: BLANCO Referencia:  Observacion:  Placa padre: Tipo adquisicion: Entidad"</f>
        <v>Descripcion: SILLA CONFORT BLANCA S/B -RIMO (BANCOD E SANGRE) Estado: Bueno Placa anterior: 000036619 Material: PLASTICO Color: BLANCO Referencia:  Observacion:  Placa padre: Tipo adquisicion: Entidad</v>
      </c>
      <c r="G9870" s="5"/>
    </row>
    <row r="9871" spans="1:7" ht="58.5" customHeight="1" x14ac:dyDescent="0.25">
      <c r="A9871" s="5" t="str">
        <f>"H0012897"</f>
        <v>H0012897</v>
      </c>
      <c r="B9871" s="5" t="str">
        <f t="shared" si="501"/>
        <v>SILLA PLASTICA SIN BRAZOS</v>
      </c>
      <c r="C9871" s="6">
        <v>17450</v>
      </c>
      <c r="D9871" s="5" t="s">
        <v>553</v>
      </c>
      <c r="E9871" s="5" t="str">
        <f t="shared" si="500"/>
        <v>BANCO DE SANGRE-ELSIE ENTRENA MUTIS</v>
      </c>
      <c r="F9871" s="5" t="str">
        <f>"Descripcion: SILLA CONFORT BLANCA S/B -RIMO (BANCOD E SANGRE) Estado: Bueno Placa anterior: 000036610 Material: PLASTICO Color: BLANCO Referencia:  Observacion:  Placa padre: Tipo adquisicion: Entidad"</f>
        <v>Descripcion: SILLA CONFORT BLANCA S/B -RIMO (BANCOD E SANGRE) Estado: Bueno Placa anterior: 000036610 Material: PLASTICO Color: BLANCO Referencia:  Observacion:  Placa padre: Tipo adquisicion: Entidad</v>
      </c>
      <c r="G9871" s="5"/>
    </row>
    <row r="9872" spans="1:7" ht="58.5" customHeight="1" x14ac:dyDescent="0.25">
      <c r="A9872" s="5" t="str">
        <f>"H0012898"</f>
        <v>H0012898</v>
      </c>
      <c r="B9872" s="5" t="str">
        <f t="shared" si="501"/>
        <v>SILLA PLASTICA SIN BRAZOS</v>
      </c>
      <c r="C9872" s="6">
        <v>17450</v>
      </c>
      <c r="D9872" s="5" t="s">
        <v>553</v>
      </c>
      <c r="E9872" s="5" t="str">
        <f t="shared" si="500"/>
        <v>BANCO DE SANGRE-ELSIE ENTRENA MUTIS</v>
      </c>
      <c r="F9872" s="5" t="str">
        <f>"Descripcion: SILLA CONFORT BLANCA S/B -RIMO (BANCOD E SANGRE) Estado: Bueno Placa anterior: 000036621 Material: PLASTICO Color: BLANCO Referencia:  Observacion:  Placa padre: Tipo adquisicion: Entidad"</f>
        <v>Descripcion: SILLA CONFORT BLANCA S/B -RIMO (BANCOD E SANGRE) Estado: Bueno Placa anterior: 000036621 Material: PLASTICO Color: BLANCO Referencia:  Observacion:  Placa padre: Tipo adquisicion: Entidad</v>
      </c>
      <c r="G9872" s="5"/>
    </row>
    <row r="9873" spans="1:7" ht="58.5" customHeight="1" x14ac:dyDescent="0.25">
      <c r="A9873" s="5" t="str">
        <f>"H0012899"</f>
        <v>H0012899</v>
      </c>
      <c r="B9873" s="5" t="str">
        <f t="shared" si="501"/>
        <v>SILLA PLASTICA SIN BRAZOS</v>
      </c>
      <c r="C9873" s="6">
        <v>17450</v>
      </c>
      <c r="D9873" s="5" t="s">
        <v>553</v>
      </c>
      <c r="E9873" s="5" t="str">
        <f t="shared" si="500"/>
        <v>BANCO DE SANGRE-ELSIE ENTRENA MUTIS</v>
      </c>
      <c r="F9873" s="5" t="str">
        <f>"Descripcion: SILLA CONFORT BLANCA S/B -RIMO (BANCOD E SANGRE) Estado: Bueno Placa anterior: 000036614 Material: PLASTICO Color: BLANCO Referencia:  Observacion:  Placa padre: Tipo adquisicion: Entidad"</f>
        <v>Descripcion: SILLA CONFORT BLANCA S/B -RIMO (BANCOD E SANGRE) Estado: Bueno Placa anterior: 000036614 Material: PLASTICO Color: BLANCO Referencia:  Observacion:  Placa padre: Tipo adquisicion: Entidad</v>
      </c>
      <c r="G9873" s="5"/>
    </row>
    <row r="9874" spans="1:7" ht="58.5" customHeight="1" x14ac:dyDescent="0.25">
      <c r="A9874" s="5" t="str">
        <f>"H0012900"</f>
        <v>H0012900</v>
      </c>
      <c r="B9874" s="5" t="str">
        <f t="shared" si="501"/>
        <v>SILLA PLASTICA SIN BRAZOS</v>
      </c>
      <c r="C9874" s="6">
        <v>17450</v>
      </c>
      <c r="D9874" s="5" t="s">
        <v>553</v>
      </c>
      <c r="E9874" s="5" t="str">
        <f t="shared" si="500"/>
        <v>BANCO DE SANGRE-ELSIE ENTRENA MUTIS</v>
      </c>
      <c r="F9874" s="5" t="str">
        <f>"Descripcion: SILLA CONFORT BLANCA S/B -RIMO (BANCOD E SANGRE) Estado: Bueno Placa anterior: 000036617 Material: PLASTICO Color: BLANCO Referencia:  Observacion:  Placa padre: Tipo adquisicion: Entidad"</f>
        <v>Descripcion: SILLA CONFORT BLANCA S/B -RIMO (BANCOD E SANGRE) Estado: Bueno Placa anterior: 000036617 Material: PLASTICO Color: BLANCO Referencia:  Observacion:  Placa padre: Tipo adquisicion: Entidad</v>
      </c>
      <c r="G9874" s="5"/>
    </row>
    <row r="9875" spans="1:7" ht="58.5" customHeight="1" x14ac:dyDescent="0.25">
      <c r="A9875" s="5" t="str">
        <f>"H0012901"</f>
        <v>H0012901</v>
      </c>
      <c r="B9875" s="5" t="str">
        <f t="shared" si="501"/>
        <v>SILLA PLASTICA SIN BRAZOS</v>
      </c>
      <c r="C9875" s="6">
        <v>17450</v>
      </c>
      <c r="D9875" s="5" t="s">
        <v>553</v>
      </c>
      <c r="E9875" s="5" t="str">
        <f t="shared" si="500"/>
        <v>BANCO DE SANGRE-ELSIE ENTRENA MUTIS</v>
      </c>
      <c r="F9875" s="5" t="str">
        <f>"Descripcion: SILLA CONFORT BLANCA S/B -RIMO (BANCOD E SANGRE) Estado: Bueno Placa anterior: 000036618 Material: PLASTICO Color: BLANCO Referencia:  Observacion:  Placa padre: Tipo adquisicion: Entidad"</f>
        <v>Descripcion: SILLA CONFORT BLANCA S/B -RIMO (BANCOD E SANGRE) Estado: Bueno Placa anterior: 000036618 Material: PLASTICO Color: BLANCO Referencia:  Observacion:  Placa padre: Tipo adquisicion: Entidad</v>
      </c>
      <c r="G9875" s="5"/>
    </row>
    <row r="9876" spans="1:7" ht="58.5" customHeight="1" x14ac:dyDescent="0.25">
      <c r="A9876" s="5" t="str">
        <f>"H0012902"</f>
        <v>H0012902</v>
      </c>
      <c r="B9876" s="5" t="str">
        <f>"KIT PARA DONACIÒN EXTRAMURAL DE SANGRE"</f>
        <v>KIT PARA DONACIÒN EXTRAMURAL DE SANGRE</v>
      </c>
      <c r="C9876" s="6">
        <v>5684000</v>
      </c>
      <c r="D9876" s="5" t="s">
        <v>549</v>
      </c>
      <c r="E9876" s="5" t="str">
        <f t="shared" si="500"/>
        <v>BANCO DE SANGRE-ELSIE ENTRENA MUTIS</v>
      </c>
      <c r="F9876" s="5" t="str">
        <f>"Descripcion: CARRETILLA DE KIT P/ DONACION EXTRAMURAL STD-1555. EL KIT ESTA COMPUESTO DE: 3 SILLAS (SPD) 510 PARA DONACION EXTRANURAL,  3 BANDEJA DE BRAZO METALICAS Y 1 CARRETILLA (CKDE530) EXTRUCTURA EN TUBO Estado: Bueno Placa anterior: 000029772 Materi"&amp; "al: METALICO Color: NEGRO Referencia:  Observacion:  Placa anterior:, Placa nueva=H0012904, Descripcion:SILLA PLEGABLE SPD 510 PARA  DONACION EXTRAMURAL , Serial:, Marca:, Modelo:, Material:METALICO Y TELA PLASTICA, Color:NEGRO CON AZUL,Referencia:, Placa"&amp; " anterior:, Placa nueva=H0012905, Descripcion:SILLA PLEGABLE SPD 510 PARA  DONACION EXTRAMURAL , Serial:, Marca:, Modelo:, Material:METALICO Y TELA PLASTICA, Color:NEGRO CON AZUL,Referencia:, Placa anterior:, Placa nueva=H0012907, Descripcion:SOPORTE PARA"&amp; " BRAZO (DONACION DE SANGRE EXTRAMURAL), Serial:, Marca:, Modelo:, Material:METALICO, Color:NEGRO,Referencia:, Placa anterior:, Placa nueva=H0012908, Descripcion:SOPORTE PARA BRAZO (DONACION DE SANGRE EXTRAMURAL), Serial:, Marca:, Modelo:, Material:METALIC"&amp; "O, Color:NEGRO,Referencia:, Placa anterior:, Placa nueva=H0012903, Descripcion:SILLA PLEGABLE SPD 510 PARA  DONACION EXTRAMURAL , Serial:, Marca:, Modelo:, Material:METALICO Y TELA PLASTICA, Color:NEGRO CON AZUL,Referencia:, Placa anterior:, Placa nueva=H"&amp; "0012909, Descripcion:SOPORTE PARA BRAZO (DONACION DE SANGRE EXTRAMURAL), Serial:, Marca:, Modelo:, Material:METALICO, Color:NEGRO,Referencia: Placa padre: Tipo adquisicion: Entidad"</f>
        <v>Descripcion: CARRETILLA DE KIT P/ DONACION EXTRAMURAL STD-1555. EL KIT ESTA COMPUESTO DE: 3 SILLAS (SPD) 510 PARA DONACION EXTRANURAL,  3 BANDEJA DE BRAZO METALICAS Y 1 CARRETILLA (CKDE530) EXTRUCTURA EN TUBO Estado: Bueno Placa anterior: 000029772 Material: METALICO Color: NEGRO Referencia:  Observacion:  Placa anterior:, Placa nueva=H0012904, Descripcion:SILLA PLEGABLE SPD 510 PARA  DONACION EXTRAMURAL , Serial:, Marca:, Modelo:, Material:METALICO Y TELA PLASTICA, Color:NEGRO CON AZUL,Referencia:, Placa anterior:, Placa nueva=H0012905, Descripcion:SILLA PLEGABLE SPD 510 PARA  DONACION EXTRAMURAL , Serial:, Marca:, Modelo:, Material:METALICO Y TELA PLASTICA, Color:NEGRO CON AZUL,Referencia:, Placa anterior:, Placa nueva=H0012907, Descripcion:SOPORTE PARA BRAZO (DONACION DE SANGRE EXTRAMURAL), Serial:, Marca:, Modelo:, Material:METALICO, Color:NEGRO,Referencia:, Placa anterior:, Placa nueva=H0012908, Descripcion:SOPORTE PARA BRAZO (DONACION DE SANGRE EXTRAMURAL), Serial:, Marca:, Modelo:, Material:METALICO, Color:NEGRO,Referencia:, Placa anterior:, Placa nueva=H0012903, Descripcion:SILLA PLEGABLE SPD 510 PARA  DONACION EXTRAMURAL , Serial:, Marca:, Modelo:, Material:METALICO Y TELA PLASTICA, Color:NEGRO CON AZUL,Referencia:, Placa anterior:, Placa nueva=H0012909, Descripcion:SOPORTE PARA BRAZO (DONACION DE SANGRE EXTRAMURAL), Serial:, Marca:, Modelo:, Material:METALICO, Color:NEGRO,Referencia: Placa padre: Tipo adquisicion: Entidad</v>
      </c>
      <c r="G9876" s="5"/>
    </row>
    <row r="9877" spans="1:7" ht="58.5" customHeight="1" x14ac:dyDescent="0.25">
      <c r="A9877" s="5" t="str">
        <f>"H0012912"</f>
        <v>H0012912</v>
      </c>
      <c r="B9877" s="5" t="str">
        <f t="shared" ref="B9877:B9884" si="502">"ESTANTE EN ACERO INOXIDABLE CON GAVETAS"</f>
        <v>ESTANTE EN ACERO INOXIDABLE CON GAVETAS</v>
      </c>
      <c r="C9877" s="6">
        <v>11099138</v>
      </c>
      <c r="D9877" s="5" t="s">
        <v>554</v>
      </c>
      <c r="E9877" s="5" t="str">
        <f t="shared" si="500"/>
        <v>BANCO DE SANGRE-ELSIE ENTRENA MUTIS</v>
      </c>
      <c r="F9877" s="5" t="str">
        <f>"Descripcion: STANDER EN ACERO INOXIDABLE DE ALTO 2 MTS. ANCHO 0.45 MTS. FONDO 0.40 MTS CON PARALES EN ACERO INOX. CALIBRE 16 C/U. LAS GAVETAS CALIBRE 20 EN ACERO INOX. CADA GAVETA CON PERFORACIONES Estado: Bueno Placa anterior: 000029326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000029326 Material: ACERO INOXIDABLE Color:  Referencia:  Observacion:  Placa padre: Tipo adquisicion: Entidad</v>
      </c>
      <c r="G9877" s="5"/>
    </row>
    <row r="9878" spans="1:7" ht="58.5" customHeight="1" x14ac:dyDescent="0.25">
      <c r="A9878" s="5" t="str">
        <f>"H0012913"</f>
        <v>H0012913</v>
      </c>
      <c r="B9878" s="5" t="str">
        <f t="shared" si="502"/>
        <v>ESTANTE EN ACERO INOXIDABLE CON GAVETAS</v>
      </c>
      <c r="C9878" s="6">
        <v>12875000</v>
      </c>
      <c r="D9878" s="5" t="s">
        <v>167</v>
      </c>
      <c r="E9878" s="5" t="str">
        <f t="shared" si="500"/>
        <v>BANCO DE SANGRE-ELSIE ENTRENA MUTIS</v>
      </c>
      <c r="F9878" s="5" t="str">
        <f>"Descripcion: STANDER EN ACERO INOXIDABLE DE ALTO 2 MTS. ANCHO 0.45 MTS. FONDO 0.40 MTS CON PARALES EN ACERO INOX. CALIBRE 16 C/U. LAS GAVETAS CALIBRE 20 EN ACERO INOX. CADA GAVETA CON PERFORACIONES Estado: Bueno Placa anterior: 000029455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000029455 Material: ACERO INOXIDABLE Color:  Referencia:  Observacion:  Placa padre: Tipo adquisicion: Entidad</v>
      </c>
      <c r="G9878" s="5"/>
    </row>
    <row r="9879" spans="1:7" ht="58.5" customHeight="1" x14ac:dyDescent="0.25">
      <c r="A9879" s="5" t="str">
        <f>"H0012914"</f>
        <v>H0012914</v>
      </c>
      <c r="B9879" s="5" t="str">
        <f t="shared" si="502"/>
        <v>ESTANTE EN ACERO INOXIDABLE CON GAVETAS</v>
      </c>
      <c r="C9879" s="6">
        <v>12875000</v>
      </c>
      <c r="D9879" s="5" t="s">
        <v>167</v>
      </c>
      <c r="E9879" s="5" t="str">
        <f t="shared" si="500"/>
        <v>BANCO DE SANGRE-ELSIE ENTRENA MUTIS</v>
      </c>
      <c r="F9879" s="5" t="str">
        <f>"Descripcion: STANDER EN ACERO INOXIDABLE DE ALTO 2 MTS. ANCHO 0.45 MTS. FONDO 0.40 MTS CON PARALES EN ACERO INOX. CALIBRE 16 C/U. LAS GAVETAS CALIBRE 20 EN ACERO INOX. CADA GAVETA CON PERFORACIONES Estado: Bueno Placa anterior: 000029456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000029456 Material: ACERO INOXIDABLE Color:  Referencia:  Observacion:  Placa padre: Tipo adquisicion: Entidad</v>
      </c>
      <c r="G9879" s="5"/>
    </row>
    <row r="9880" spans="1:7" ht="58.5" customHeight="1" x14ac:dyDescent="0.25">
      <c r="A9880" s="5" t="str">
        <f>"H0012915"</f>
        <v>H0012915</v>
      </c>
      <c r="B9880" s="5" t="str">
        <f t="shared" si="502"/>
        <v>ESTANTE EN ACERO INOXIDABLE CON GAVETAS</v>
      </c>
      <c r="C9880" s="6">
        <v>11099138</v>
      </c>
      <c r="D9880" s="5" t="s">
        <v>555</v>
      </c>
      <c r="E9880" s="5" t="str">
        <f t="shared" si="500"/>
        <v>BANCO DE SANGRE-ELSIE ENTRENA MUTIS</v>
      </c>
      <c r="F9880" s="5" t="str">
        <f>"Descripcion: STANDER EN ACERO INBOXIDABLE DE ALTO 2 MTS, ANCHO 0.45 MTS FONDO 0.40 MTS CON PARALES EN ACERO INOXIDABLE 16 C/U LAS GAVETAS CALIBRE 20 EN ACERO INOXIDABLE CADA GAVETA CON PERFORACIONES Estado: Bueno Placa anterior: 000029342 Material: ACERO "&amp; "INOXIDABLE Color:  Referencia:  Observacion:  Placa padre: Tipo adquisicion: Entidad"</f>
        <v>Descripcion: STANDER EN ACERO INBOXIDABLE DE ALTO 2 MTS, ANCHO 0.45 MTS FONDO 0.40 MTS CON PARALES EN ACERO INOXIDABLE 16 C/U LAS GAVETAS CALIBRE 20 EN ACERO INOXIDABLE CADA GAVETA CON PERFORACIONES Estado: Bueno Placa anterior: 000029342 Material: ACERO INOXIDABLE Color:  Referencia:  Observacion:  Placa padre: Tipo adquisicion: Entidad</v>
      </c>
      <c r="G9880" s="5"/>
    </row>
    <row r="9881" spans="1:7" ht="58.5" customHeight="1" x14ac:dyDescent="0.25">
      <c r="A9881" s="5" t="str">
        <f>"H0012918"</f>
        <v>H0012918</v>
      </c>
      <c r="B9881" s="5" t="str">
        <f t="shared" si="502"/>
        <v>ESTANTE EN ACERO INOXIDABLE CON GAVETAS</v>
      </c>
      <c r="C9881" s="6">
        <v>11099138</v>
      </c>
      <c r="D9881" s="5" t="s">
        <v>554</v>
      </c>
      <c r="E9881" s="5" t="str">
        <f t="shared" si="500"/>
        <v>BANCO DE SANGRE-ELSIE ENTRENA MUTIS</v>
      </c>
      <c r="F9881" s="5" t="str">
        <f>"Descripcion: STANDER EN ACERO INOXIDABLE DE ALTO 2 MTS. ANCHO 0.45 MTS. FONDO 0.40 MTS CON PARALES EN ACERO INOX. CALIBRE 16 C/U. LAS GAVETAS CALIBRE 20 EN ACERO INOX. CADA GAVETA CON PERFORACIONES Estado: Bueno Placa anterior: 000029325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000029325 Material: ACERO INOXIDABLE Color:  Referencia:  Observacion:  Placa padre: Tipo adquisicion: Entidad</v>
      </c>
      <c r="G9881" s="5"/>
    </row>
    <row r="9882" spans="1:7" ht="58.5" customHeight="1" x14ac:dyDescent="0.25">
      <c r="A9882" s="5" t="str">
        <f>"H0012919"</f>
        <v>H0012919</v>
      </c>
      <c r="B9882" s="5" t="str">
        <f t="shared" si="502"/>
        <v>ESTANTE EN ACERO INOXIDABLE CON GAVETAS</v>
      </c>
      <c r="C9882" s="6">
        <v>11099138</v>
      </c>
      <c r="D9882" s="5" t="s">
        <v>555</v>
      </c>
      <c r="E9882" s="5" t="str">
        <f t="shared" si="500"/>
        <v>BANCO DE SANGRE-ELSIE ENTRENA MUTIS</v>
      </c>
      <c r="F9882" s="5" t="str">
        <f>"Descripcion: STANDER EN ACERO INBOXIDABLE DE ALTO 2 MTS, ANCHO 0.45 MTS FONDO 0.40 MTS CON PARALES EN ACERO INOXIDABLE 16 C/U LAS GAVETAS CALIBRE 20 EN ACERO INOXIDABLE CADA GAVETA CON PERFORACIONES Estado: Bueno Placa anterior: 000029341 Material: ACERO "&amp; "INOXIDABLE Color:  Referencia:  Observacion:  Placa padre: Tipo adquisicion: Entidad"</f>
        <v>Descripcion: STANDER EN ACERO INBOXIDABLE DE ALTO 2 MTS, ANCHO 0.45 MTS FONDO 0.40 MTS CON PARALES EN ACERO INOXIDABLE 16 C/U LAS GAVETAS CALIBRE 20 EN ACERO INOXIDABLE CADA GAVETA CON PERFORACIONES Estado: Bueno Placa anterior: 000029341 Material: ACERO INOXIDABLE Color:  Referencia:  Observacion:  Placa padre: Tipo adquisicion: Entidad</v>
      </c>
      <c r="G9882" s="5"/>
    </row>
    <row r="9883" spans="1:7" ht="58.5" customHeight="1" x14ac:dyDescent="0.25">
      <c r="A9883" s="5" t="str">
        <f>"H0012920"</f>
        <v>H0012920</v>
      </c>
      <c r="B9883" s="5" t="str">
        <f t="shared" si="502"/>
        <v>ESTANTE EN ACERO INOXIDABLE CON GAVETAS</v>
      </c>
      <c r="C9883" s="6">
        <v>12875000</v>
      </c>
      <c r="D9883" s="5" t="s">
        <v>556</v>
      </c>
      <c r="E9883" s="5" t="str">
        <f t="shared" si="500"/>
        <v>BANCO DE SANGRE-ELSIE ENTRENA MUTIS</v>
      </c>
      <c r="F9883" s="5" t="str">
        <f>"Descripcion: STANDER EN ACERO INOXIDABLE DE ALTO 2 MTS. ANCHO 0.45 MTS. FONDO 0.40 MTS CON PARALES EN ACERO INOX. CALIBRE 16 C/U. LAS GAVETAS CALIBRE 20 EN ACERO INOX. CADA GAVETA CON PERFORACIONES Estado: Bueno Placa anterior: 000029383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000029383 Material: ACERO INOXIDABLE Color:  Referencia:  Observacion:  Placa padre: Tipo adquisicion: Entidad</v>
      </c>
      <c r="G9883" s="5"/>
    </row>
    <row r="9884" spans="1:7" ht="58.5" customHeight="1" x14ac:dyDescent="0.25">
      <c r="A9884" s="5" t="str">
        <f>"H0012921"</f>
        <v>H0012921</v>
      </c>
      <c r="B9884" s="5" t="str">
        <f t="shared" si="502"/>
        <v>ESTANTE EN ACERO INOXIDABLE CON GAVETAS</v>
      </c>
      <c r="C9884" s="6">
        <v>12875000</v>
      </c>
      <c r="D9884" s="5" t="s">
        <v>556</v>
      </c>
      <c r="E9884" s="5" t="str">
        <f t="shared" si="500"/>
        <v>BANCO DE SANGRE-ELSIE ENTRENA MUTIS</v>
      </c>
      <c r="F9884" s="5" t="str">
        <f>"Descripcion: STANDER EN ACERO INOXIDABLE DE ALTO 2 MTS. ANCHO 0.45 MTS. FONDO 0.40 MTS CON PARALES EN ACERO INOX. CALIBRE 16 C/U. LAS GAVETAS CALIBRE 20 EN ACERO INOX. CADA GAVETA CON PERFORACIONES Estado: Bueno Placa anterior: 000029384 Material: ACERO I"&amp; "NOXIDABLE Color:  Referencia:  Observacion:  Placa padre: Tipo adquisicion: Entidad"</f>
        <v>Descripcion: STANDER EN ACERO INOXIDABLE DE ALTO 2 MTS. ANCHO 0.45 MTS. FONDO 0.40 MTS CON PARALES EN ACERO INOX. CALIBRE 16 C/U. LAS GAVETAS CALIBRE 20 EN ACERO INOX. CADA GAVETA CON PERFORACIONES Estado: Bueno Placa anterior: 000029384 Material: ACERO INOXIDABLE Color:  Referencia:  Observacion:  Placa padre: Tipo adquisicion: Entidad</v>
      </c>
      <c r="G9884" s="5"/>
    </row>
    <row r="9885" spans="1:7" ht="58.5" customHeight="1" x14ac:dyDescent="0.25">
      <c r="A9885" s="5" t="str">
        <f>"H0018359"</f>
        <v>H0018359</v>
      </c>
      <c r="B9885" s="5" t="str">
        <f>"MONITOR LCD"</f>
        <v>MONITOR LCD</v>
      </c>
      <c r="C9885" s="6">
        <v>695000</v>
      </c>
      <c r="D9885" s="5"/>
      <c r="E9885" s="5" t="str">
        <f t="shared" si="500"/>
        <v>BANCO DE SANGRE-ELSIE ENTRENA MUTIS</v>
      </c>
      <c r="F9885" s="5" t="str">
        <f>"Descripcion:MONITOR SAMSUNG DE 19 PULGADAS Estado: Bueno Placa anterior:  Material: PLASTICO Color: NEGRO Referencia:  Observacion:  Placa padre:  Tipo adquisicion : Entidad"</f>
        <v>Descripcion:MONITOR SAMSUNG DE 19 PULGADAS Estado: Bueno Placa anterior:  Material: PLASTICO Color: NEGRO Referencia:  Observacion:  Placa padre:  Tipo adquisicion : Entidad</v>
      </c>
      <c r="G9885" s="5"/>
    </row>
    <row r="9886" spans="1:7" ht="58.5" customHeight="1" x14ac:dyDescent="0.25">
      <c r="A9886" s="5" t="str">
        <f>"H0020261"</f>
        <v>H0020261</v>
      </c>
      <c r="B9886" s="5" t="str">
        <f>"BUTACO GIRATORIO SIN RUEDAS"</f>
        <v>BUTACO GIRATORIO SIN RUEDAS</v>
      </c>
      <c r="C9886" s="6">
        <v>71340</v>
      </c>
      <c r="D9886" s="5" t="s">
        <v>449</v>
      </c>
      <c r="E9886" s="5" t="str">
        <f t="shared" si="500"/>
        <v>BANCO DE SANGRE-ELSIE ENTRENA MUTIS</v>
      </c>
      <c r="F9886" s="5" t="str">
        <f>"Descripcion: BUTACO METALICO Estado: Malo Placa anterior: 000030537 Material: METALICO Color: OXIDADO Referencia:  Observacion: EN MAL ESTADO, NO TIENE SENTADERO BUTACO GIRATORIO METALICOS Placa padre: Tipo adquisicion: Entidad"</f>
        <v>Descripcion: BUTACO METALICO Estado: Malo Placa anterior: 000030537 Material: METALICO Color: OXIDADO Referencia:  Observacion: EN MAL ESTADO, NO TIENE SENTADERO BUTACO GIRATORIO METALICOS Placa padre: Tipo adquisicion: Entidad</v>
      </c>
      <c r="G9886" s="5"/>
    </row>
    <row r="9887" spans="1:7" ht="58.5" customHeight="1" x14ac:dyDescent="0.25">
      <c r="A9887" s="5" t="str">
        <f>"H0020263"</f>
        <v>H0020263</v>
      </c>
      <c r="B9887" s="5" t="str">
        <f>"DISPENSADOR DE AGUA"</f>
        <v>DISPENSADOR DE AGUA</v>
      </c>
      <c r="C9887" s="6">
        <v>415000</v>
      </c>
      <c r="D9887" s="5" t="s">
        <v>557</v>
      </c>
      <c r="E9887" s="5" t="str">
        <f t="shared" si="500"/>
        <v>BANCO DE SANGRE-ELSIE ENTRENA MUTIS</v>
      </c>
      <c r="F9887" s="5" t="str">
        <f>"Descripcion: . Estado: Bueno Placa anterior: 000036489 Material: PASTA Color: BLANCO Referencia:  Observacion:  Placa padre: Tipo adquisicion: Donacion"</f>
        <v>Descripcion: . Estado: Bueno Placa anterior: 000036489 Material: PASTA Color: BLANCO Referencia:  Observacion:  Placa padre: Tipo adquisicion: Donacion</v>
      </c>
      <c r="G9887" s="5"/>
    </row>
    <row r="9888" spans="1:7" ht="58.5" customHeight="1" x14ac:dyDescent="0.25">
      <c r="A9888" s="5" t="str">
        <f>"H0020265"</f>
        <v>H0020265</v>
      </c>
      <c r="B9888" s="5" t="str">
        <f>"LIBROS DE MEDICINA"</f>
        <v>LIBROS DE MEDICINA</v>
      </c>
      <c r="C9888" s="6">
        <v>162500</v>
      </c>
      <c r="D9888" s="5" t="s">
        <v>558</v>
      </c>
      <c r="E9888" s="5" t="str">
        <f t="shared" si="500"/>
        <v>BANCO DE SANGRE-ELSIE ENTRENA MUTIS</v>
      </c>
      <c r="F9888" s="5" t="str">
        <f>"Descripcion: LIBRO APLICACION Y PRACTICA DE LA MEDICINA TRANSFUSIONAL - TOMO 1 Estado: Bueno Placa anterior: 000030283 Material: PASTA DURA Color: NEGRO Y ROJO Referencia:  Observacion:  Placa padre: Tipo adquisicion: Entidad"</f>
        <v>Descripcion: LIBRO APLICACION Y PRACTICA DE LA MEDICINA TRANSFUSIONAL - TOMO 1 Estado: Bueno Placa anterior: 000030283 Material: PASTA DURA Color: NEGRO Y ROJO Referencia:  Observacion:  Placa padre: Tipo adquisicion: Entidad</v>
      </c>
      <c r="G9888" s="5"/>
    </row>
    <row r="9889" spans="1:7" ht="58.5" customHeight="1" x14ac:dyDescent="0.25">
      <c r="A9889" s="5" t="str">
        <f>"H0020266"</f>
        <v>H0020266</v>
      </c>
      <c r="B9889" s="5" t="str">
        <f>"LIBROS DE MEDICINA"</f>
        <v>LIBROS DE MEDICINA</v>
      </c>
      <c r="C9889" s="6">
        <v>162500</v>
      </c>
      <c r="D9889" s="5" t="s">
        <v>558</v>
      </c>
      <c r="E9889" s="5" t="str">
        <f t="shared" si="500"/>
        <v>BANCO DE SANGRE-ELSIE ENTRENA MUTIS</v>
      </c>
      <c r="F9889" s="5" t="str">
        <f>"Descripcion: LIBROAPLICACION Y PRACTICA DE LA MEDICINA TRANSFUSIONAL - TOMO 2 Estado: Bueno Placa anterior: 000030284 Material: PASTA DURA Color: NEGRO Y ROJO Referencia:  Observacion:  Placa padre: Tipo adquisicion: Entidad"</f>
        <v>Descripcion: LIBROAPLICACION Y PRACTICA DE LA MEDICINA TRANSFUSIONAL - TOMO 2 Estado: Bueno Placa anterior: 000030284 Material: PASTA DURA Color: NEGRO Y ROJO Referencia:  Observacion:  Placa padre: Tipo adquisicion: Entidad</v>
      </c>
      <c r="G9889" s="5"/>
    </row>
    <row r="9890" spans="1:7" ht="58.5" customHeight="1" x14ac:dyDescent="0.25">
      <c r="A9890" s="5" t="str">
        <f>"H0020267"</f>
        <v>H0020267</v>
      </c>
      <c r="B9890" s="5" t="str">
        <f>"AGITADOR DE PLAQUETAS"</f>
        <v>AGITADOR DE PLAQUETAS</v>
      </c>
      <c r="C9890" s="6">
        <v>5966460</v>
      </c>
      <c r="D9890" s="5"/>
      <c r="E9890" s="5" t="str">
        <f t="shared" si="500"/>
        <v>BANCO DE SANGRE-ELSIE ENTRENA MUTIS</v>
      </c>
      <c r="F9890" s="5" t="str">
        <f>"Descripcion: AGITADOR DE PLAQUETAS PARA 48 BOLSAS MARCA SKY LABTOP, CAPACIDAD MAXIMA DE 24 BOLSAS DE PAQUETAS, SWITCH DE ENCENDIDO Y APAGADO, CONEXION A 110 VOLTIOS, 60 hz Estado: Bueno Placa anterior: 000026152 Material: METALICO Y  PASTA Color: BLANCO R"&amp; "eferencia:  Observacion:  Placa padre: Tipo adquisicion: Entidad"</f>
        <v>Descripcion: AGITADOR DE PLAQUETAS PARA 48 BOLSAS MARCA SKY LABTOP, CAPACIDAD MAXIMA DE 24 BOLSAS DE PAQUETAS, SWITCH DE ENCENDIDO Y APAGADO, CONEXION A 110 VOLTIOS, 60 hz Estado: Bueno Placa anterior: 000026152 Material: METALICO Y  PASTA Color: BLANCO Referencia:  Observacion:  Placa padre: Tipo adquisicion: Entidad</v>
      </c>
      <c r="G9890" s="5" t="str">
        <f>"LPA - 24/230V  INPU"</f>
        <v>LPA - 24/230V  INPU</v>
      </c>
    </row>
    <row r="9891" spans="1:7" ht="58.5" customHeight="1" x14ac:dyDescent="0.25">
      <c r="A9891" s="5" t="str">
        <f>"H0020268"</f>
        <v>H0020268</v>
      </c>
      <c r="B9891" s="5" t="str">
        <f>"AGITADOR DE PLAQUETAS"</f>
        <v>AGITADOR DE PLAQUETAS</v>
      </c>
      <c r="C9891" s="6">
        <v>6658400</v>
      </c>
      <c r="D9891" s="5" t="s">
        <v>549</v>
      </c>
      <c r="E9891" s="5" t="str">
        <f t="shared" si="500"/>
        <v>BANCO DE SANGRE-ELSIE ENTRENA MUTIS</v>
      </c>
      <c r="F9891" s="5" t="str">
        <f>"Descripcion: AGITADOR DE PLAQUETAS CON INCUBADOR PARA 96 UNIDADESW AGITADOR DE PLAQUETAS DE 48 BOLSAS MARCA LABTOP, REF. LPA-48 MODELO LPA, CAPACIDAD 48 BOLSAS CONVENCIONALES, 5 ESTANTES CORREDIZOS, 1 FIJO, MOTOR DE INDUCION SIN ESCOBILLA, 70 OSCILACIONES"&amp; " POR MINUTO, Estado: Bueno Placa anterior: 000029770 Material: METALICO Y PASTA Color: GRIS Referencia:  Observacion:  Placa padre: Tipo adquisicion: Entidad"</f>
        <v>Descripcion: AGITADOR DE PLAQUETAS CON INCUBADOR PARA 96 UNIDADESW AGITADOR DE PLAQUETAS DE 48 BOLSAS MARCA LABTOP, REF. LPA-48 MODELO LPA, CAPACIDAD 48 BOLSAS CONVENCIONALES, 5 ESTANTES CORREDIZOS, 1 FIJO, MOTOR DE INDUCION SIN ESCOBILLA, 70 OSCILACIONES POR MINUTO, Estado: Bueno Placa anterior: 000029770 Material: METALICO Y PASTA Color: GRIS Referencia:  Observacion:  Placa padre: Tipo adquisicion: Entidad</v>
      </c>
      <c r="G9891" s="5" t="str">
        <f>"LPA - 48"</f>
        <v>LPA - 48</v>
      </c>
    </row>
    <row r="9892" spans="1:7" ht="58.5" customHeight="1" x14ac:dyDescent="0.25">
      <c r="A9892" s="5" t="str">
        <f>"H0020578"</f>
        <v>H0020578</v>
      </c>
      <c r="B9892" s="5" t="str">
        <f>"TENSIOMETRO ANEROIDE DE MANO ADULTO"</f>
        <v>TENSIOMETRO ANEROIDE DE MANO ADULTO</v>
      </c>
      <c r="C9892" s="6">
        <v>40000</v>
      </c>
      <c r="D9892" s="5"/>
      <c r="E9892" s="5" t="str">
        <f t="shared" si="500"/>
        <v>BANCO DE SANGRE-ELSIE ENTRENA MUTIS</v>
      </c>
      <c r="F9892" s="5" t="str">
        <f>"Descripcion: TENSIOMETRO ANEROYDE STARMED - ADULTO - CON ESTUCHE NEGRO Estado: Malo Placa anterior: 000030456 Material: METAL Color: PLATEADO Referencia:  Observacion:  Placa anterior:, Placa nueva=H0020579, Descripcion:FONENDOSCOPIO DE 2 SERVICIOS CON AC"&amp; "CESORIOS, Serial:, Marca:, Modelo:, Material:METAL, Color:PLATEADO,   Referencia: Placa padre: Tipo adquisicion: Donacion"</f>
        <v>Descripcion: TENSIOMETRO ANEROYDE STARMED - ADULTO - CON ESTUCHE NEGRO Estado: Malo Placa anterior: 000030456 Material: METAL Color: PLATEADO Referencia:  Observacion:  Placa anterior:, Placa nueva=H0020579, Descripcion:FONENDOSCOPIO DE 2 SERVICIOS CON ACCESORIOS, Serial:, Marca:, Modelo:, Material:METAL, Color:PLATEADO,   Referencia: Placa padre: Tipo adquisicion: Donacion</v>
      </c>
      <c r="G9892" s="5"/>
    </row>
    <row r="9893" spans="1:7" ht="58.5" customHeight="1" x14ac:dyDescent="0.25">
      <c r="A9893" s="5" t="str">
        <f>"H0020677"</f>
        <v>H0020677</v>
      </c>
      <c r="B9893" s="5" t="str">
        <f>"MANEJADORA (AIRE ACONDICIONADO)"</f>
        <v>MANEJADORA (AIRE ACONDICIONADO)</v>
      </c>
      <c r="C9893" s="6">
        <v>6569000</v>
      </c>
      <c r="D9893" s="5" t="s">
        <v>453</v>
      </c>
      <c r="E9893" s="5" t="str">
        <f t="shared" si="500"/>
        <v>BANCO DE SANGRE-ELSIE ENTRENA MUTIS</v>
      </c>
      <c r="F9893" s="5" t="str">
        <f>"Descripcion: MANEJADORA 10 TR TRANEUBICADA EN EL PISO 1 - BANCO DE SANGRE Estado: Bueno Placa anterior: 000033515 Material: METALICO Color: GRIS Referencia:  Observacion:  Placa anterior:000033514, Placa nueva=H0020714, Descripcion:CONDESADORA 5 TR TRANE,"&amp; " Serial:9481YH25F, Marca:TRANE, Modelo:4TTA3060A4000BA, Material:METALICO, Color:GRIS,Referencia: Placa padre: Tipo adquisicion: Entidad"</f>
        <v>Descripcion: MANEJADORA 10 TR TRANEUBICADA EN EL PISO 1 - BANCO DE SANGRE Estado: Bueno Placa anterior: 000033515 Material: METALICO Color: GRIS Referencia:  Observacion:  Placa anterior:000033514, Placa nueva=H0020714, Descripcion:CONDESADORA 5 TR TRANE, Serial:9481YH25F, Marca:TRANE, Modelo:4TTA3060A4000BA, Material:METALICO, Color:GRIS,Referencia: Placa padre: Tipo adquisicion: Entidad</v>
      </c>
      <c r="G9893" s="5" t="str">
        <f>"TWE120E300AA"</f>
        <v>TWE120E300AA</v>
      </c>
    </row>
    <row r="9894" spans="1:7" ht="58.5" customHeight="1" x14ac:dyDescent="0.25">
      <c r="A9894" s="5" t="str">
        <f>"H0020714"</f>
        <v>H0020714</v>
      </c>
      <c r="B9894" s="5" t="str">
        <f>"CONDENSDORA (AIRE ACONDICIONADO)"</f>
        <v>CONDENSDORA (AIRE ACONDICIONADO)</v>
      </c>
      <c r="C9894" s="6">
        <v>3670000</v>
      </c>
      <c r="D9894" s="5" t="s">
        <v>453</v>
      </c>
      <c r="E9894" s="5" t="str">
        <f t="shared" si="500"/>
        <v>BANCO DE SANGRE-ELSIE ENTRENA MUTIS</v>
      </c>
      <c r="F9894" s="5" t="str">
        <f>"Descripcion: CONDESADORA 5 TR TRANE Estado: Bueno Placa anterior: 000033514 Material: METALICO Color: GRIS Referencia:  Observacion:  Placa padre: H0020677Tipo adquisicion: Entidad"</f>
        <v>Descripcion: CONDESADORA 5 TR TRANE Estado: Bueno Placa anterior: 000033514 Material: METALICO Color: GRIS Referencia:  Observacion:  Placa padre: H0020677Tipo adquisicion: Entidad</v>
      </c>
      <c r="G9894" s="5" t="str">
        <f>"4TTA3060A4000BA"</f>
        <v>4TTA3060A4000BA</v>
      </c>
    </row>
    <row r="9895" spans="1:7" ht="58.5" customHeight="1" x14ac:dyDescent="0.25">
      <c r="A9895" s="5" t="str">
        <f>"H0020715"</f>
        <v>H0020715</v>
      </c>
      <c r="B9895" s="5" t="str">
        <f>"CONDENSDORA (AIRE ACONDICIONADO)"</f>
        <v>CONDENSDORA (AIRE ACONDICIONADO)</v>
      </c>
      <c r="C9895" s="6">
        <v>3670000</v>
      </c>
      <c r="D9895" s="5" t="s">
        <v>453</v>
      </c>
      <c r="E9895" s="5" t="str">
        <f t="shared" si="500"/>
        <v>BANCO DE SANGRE-ELSIE ENTRENA MUTIS</v>
      </c>
      <c r="F9895" s="5" t="str">
        <f>"Descripcion: CONDESADORA 5 TR TRANE Estado: Bueno Placa anterior: 000033513 Material: METALICO Color: GRIS Referencia:  Observacion:  Placa padre: Tipo adquisicion: Entidad"</f>
        <v>Descripcion: CONDESADORA 5 TR TRANE Estado: Bueno Placa anterior: 000033513 Material: METALICO Color: GRIS Referencia:  Observacion:  Placa padre: Tipo adquisicion: Entidad</v>
      </c>
      <c r="G9895" s="5" t="str">
        <f>"4TTA3060A4000BA"</f>
        <v>4TTA3060A4000BA</v>
      </c>
    </row>
    <row r="9896" spans="1:7" ht="58.5" customHeight="1" x14ac:dyDescent="0.25">
      <c r="A9896" s="5" t="str">
        <f>"H0021456"</f>
        <v>H0021456</v>
      </c>
      <c r="B9896" s="5" t="str">
        <f>"AIRE ACONDICIONADO DE 36000 BTU PISO TECHO"</f>
        <v>AIRE ACONDICIONADO DE 36000 BTU PISO TECHO</v>
      </c>
      <c r="C9896" s="6">
        <v>3480000</v>
      </c>
      <c r="D9896" s="5" t="s">
        <v>61</v>
      </c>
      <c r="E9896" s="5" t="str">
        <f t="shared" si="500"/>
        <v>BANCO DE SANGRE-ELSIE ENTRENA MUTIS</v>
      </c>
      <c r="F9896" s="5"/>
      <c r="G9896" s="5"/>
    </row>
    <row r="9897" spans="1:7" ht="58.5" customHeight="1" x14ac:dyDescent="0.25">
      <c r="A9897" s="5" t="str">
        <f>"H0021872"</f>
        <v>H0021872</v>
      </c>
      <c r="B9897" s="5" t="str">
        <f>"TERMOMETRO DIGITAL"</f>
        <v>TERMOMETRO DIGITAL</v>
      </c>
      <c r="C9897" s="6">
        <v>290000</v>
      </c>
      <c r="D9897" s="5"/>
      <c r="E9897" s="5" t="str">
        <f t="shared" si="500"/>
        <v>BANCO DE SANGRE-ELSIE ENTRENA MUTIS</v>
      </c>
      <c r="F9897" s="5" t="str">
        <f>"Descripcion: TERMOMETRO DIGITAL INFRARROJO HALTHEN Estado: Bueno Placa anterior: 000036796 Material:  Color:  Referencia:  Observacion:  Placa padre: Tipo adquisicion: Entidad"</f>
        <v>Descripcion: TERMOMETRO DIGITAL INFRARROJO HALTHEN Estado: Bueno Placa anterior: 000036796 Material:  Color:  Referencia:  Observacion:  Placa padre: Tipo adquisicion: Entidad</v>
      </c>
      <c r="G9897" s="5"/>
    </row>
    <row r="9898" spans="1:7" ht="58.5" customHeight="1" x14ac:dyDescent="0.25">
      <c r="A9898" s="5" t="str">
        <f>"H0021938"</f>
        <v>H0021938</v>
      </c>
      <c r="B9898" s="5" t="str">
        <f t="shared" ref="B9898:B9908" si="503">"MANUALES (LIBRO GUIA)"</f>
        <v>MANUALES (LIBRO GUIA)</v>
      </c>
      <c r="C9898" s="6">
        <v>30714</v>
      </c>
      <c r="D9898" s="5" t="s">
        <v>548</v>
      </c>
      <c r="E9898" s="5" t="str">
        <f t="shared" si="500"/>
        <v>BANCO DE SANGRE-ELSIE ENTRENA MUTIS</v>
      </c>
      <c r="F9898" s="5" t="str">
        <f>"Descripcion: KIT DE GUIA DE PREVENCION VIG/Sida Estado: Bueno Placa anterior: 000031311 Material:  Color:  Referencia:  Observacion:  Placa padre: Tipo adquisicion: Entidad"</f>
        <v>Descripcion: KIT DE GUIA DE PREVENCION VIG/Sida Estado: Bueno Placa anterior: 000031311 Material:  Color:  Referencia:  Observacion:  Placa padre: Tipo adquisicion: Entidad</v>
      </c>
      <c r="G9898" s="5"/>
    </row>
    <row r="9899" spans="1:7" ht="58.5" customHeight="1" x14ac:dyDescent="0.25">
      <c r="A9899" s="5" t="str">
        <f>"H0021939"</f>
        <v>H0021939</v>
      </c>
      <c r="B9899" s="5" t="str">
        <f t="shared" si="503"/>
        <v>MANUALES (LIBRO GUIA)</v>
      </c>
      <c r="C9899" s="6">
        <v>30714</v>
      </c>
      <c r="D9899" s="5" t="s">
        <v>548</v>
      </c>
      <c r="E9899" s="5" t="str">
        <f t="shared" si="500"/>
        <v>BANCO DE SANGRE-ELSIE ENTRENA MUTIS</v>
      </c>
      <c r="F9899" s="5" t="str">
        <f>"Descripcion: KIT DE GUIA DE PREVENCION VIG/Sida Estado: Bueno Placa anterior: 000031312 Material:  Color:  Referencia:  Observacion:  Placa padre: Tipo adquisicion: Entidad"</f>
        <v>Descripcion: KIT DE GUIA DE PREVENCION VIG/Sida Estado: Bueno Placa anterior: 000031312 Material:  Color:  Referencia:  Observacion:  Placa padre: Tipo adquisicion: Entidad</v>
      </c>
      <c r="G9899" s="5"/>
    </row>
    <row r="9900" spans="1:7" ht="58.5" customHeight="1" x14ac:dyDescent="0.25">
      <c r="A9900" s="5" t="str">
        <f>"H0021940"</f>
        <v>H0021940</v>
      </c>
      <c r="B9900" s="5" t="str">
        <f t="shared" si="503"/>
        <v>MANUALES (LIBRO GUIA)</v>
      </c>
      <c r="C9900" s="6">
        <v>30714</v>
      </c>
      <c r="D9900" s="5" t="s">
        <v>548</v>
      </c>
      <c r="E9900" s="5" t="str">
        <f t="shared" ref="E9900:E9963" si="504">"BANCO DE SANGRE-ELSIE ENTRENA MUTIS"</f>
        <v>BANCO DE SANGRE-ELSIE ENTRENA MUTIS</v>
      </c>
      <c r="F9900" s="5" t="str">
        <f>"Descripcion: KIT DE GUIA DE PREVENCION VIG/Sida Estado: Bueno Placa anterior: 000031313 Material:  Color:  Referencia:  Observacion:  Placa padre: Tipo adquisicion: Entidad"</f>
        <v>Descripcion: KIT DE GUIA DE PREVENCION VIG/Sida Estado: Bueno Placa anterior: 000031313 Material:  Color:  Referencia:  Observacion:  Placa padre: Tipo adquisicion: Entidad</v>
      </c>
      <c r="G9900" s="5"/>
    </row>
    <row r="9901" spans="1:7" ht="58.5" customHeight="1" x14ac:dyDescent="0.25">
      <c r="A9901" s="5" t="str">
        <f>"H0021941"</f>
        <v>H0021941</v>
      </c>
      <c r="B9901" s="5" t="str">
        <f t="shared" si="503"/>
        <v>MANUALES (LIBRO GUIA)</v>
      </c>
      <c r="C9901" s="6">
        <v>30714</v>
      </c>
      <c r="D9901" s="5" t="s">
        <v>548</v>
      </c>
      <c r="E9901" s="5" t="str">
        <f t="shared" si="504"/>
        <v>BANCO DE SANGRE-ELSIE ENTRENA MUTIS</v>
      </c>
      <c r="F9901" s="5" t="str">
        <f>"Descripcion: KIT DE GUIA DE PREVENCION VIG/Sida Estado: Bueno Placa anterior: 000031314 Material:  Color:  Referencia:  Observacion:  Placa padre: Tipo adquisicion: Entidad"</f>
        <v>Descripcion: KIT DE GUIA DE PREVENCION VIG/Sida Estado: Bueno Placa anterior: 000031314 Material:  Color:  Referencia:  Observacion:  Placa padre: Tipo adquisicion: Entidad</v>
      </c>
      <c r="G9901" s="5"/>
    </row>
    <row r="9902" spans="1:7" ht="58.5" customHeight="1" x14ac:dyDescent="0.25">
      <c r="A9902" s="5" t="str">
        <f>"H0021942"</f>
        <v>H0021942</v>
      </c>
      <c r="B9902" s="5" t="str">
        <f t="shared" si="503"/>
        <v>MANUALES (LIBRO GUIA)</v>
      </c>
      <c r="C9902" s="6">
        <v>30714</v>
      </c>
      <c r="D9902" s="5" t="s">
        <v>548</v>
      </c>
      <c r="E9902" s="5" t="str">
        <f t="shared" si="504"/>
        <v>BANCO DE SANGRE-ELSIE ENTRENA MUTIS</v>
      </c>
      <c r="F9902" s="5" t="str">
        <f>"Descripcion: KIT DE GUIA DE PREVENCION VIG/Sida Estado: Bueno Placa anterior: 000031315 Material:  Color:  Referencia:  Observacion:  Placa padre: Tipo adquisicion: Entidad"</f>
        <v>Descripcion: KIT DE GUIA DE PREVENCION VIG/Sida Estado: Bueno Placa anterior: 000031315 Material:  Color:  Referencia:  Observacion:  Placa padre: Tipo adquisicion: Entidad</v>
      </c>
      <c r="G9902" s="5"/>
    </row>
    <row r="9903" spans="1:7" ht="58.5" customHeight="1" x14ac:dyDescent="0.25">
      <c r="A9903" s="5" t="str">
        <f>"H0021943"</f>
        <v>H0021943</v>
      </c>
      <c r="B9903" s="5" t="str">
        <f t="shared" si="503"/>
        <v>MANUALES (LIBRO GUIA)</v>
      </c>
      <c r="C9903" s="6">
        <v>30714</v>
      </c>
      <c r="D9903" s="5" t="s">
        <v>548</v>
      </c>
      <c r="E9903" s="5" t="str">
        <f t="shared" si="504"/>
        <v>BANCO DE SANGRE-ELSIE ENTRENA MUTIS</v>
      </c>
      <c r="F9903" s="5" t="str">
        <f>"Descripcion: KIT DE GUIA DE PREVENCION VIG/Sida Estado: Bueno Placa anterior: 000031316 Material:  Color:  Referencia:  Observacion:  Placa padre: Tipo adquisicion: Entidad"</f>
        <v>Descripcion: KIT DE GUIA DE PREVENCION VIG/Sida Estado: Bueno Placa anterior: 000031316 Material:  Color:  Referencia:  Observacion:  Placa padre: Tipo adquisicion: Entidad</v>
      </c>
      <c r="G9903" s="5"/>
    </row>
    <row r="9904" spans="1:7" ht="58.5" customHeight="1" x14ac:dyDescent="0.25">
      <c r="A9904" s="5" t="str">
        <f>"H0021944"</f>
        <v>H0021944</v>
      </c>
      <c r="B9904" s="5" t="str">
        <f t="shared" si="503"/>
        <v>MANUALES (LIBRO GUIA)</v>
      </c>
      <c r="C9904" s="6">
        <v>30000</v>
      </c>
      <c r="D9904" s="5" t="s">
        <v>548</v>
      </c>
      <c r="E9904" s="5" t="str">
        <f t="shared" si="504"/>
        <v>BANCO DE SANGRE-ELSIE ENTRENA MUTIS</v>
      </c>
      <c r="F9904" s="5" t="str">
        <f>"Descripcion: GUIA DE PREVENCION SECUNDARIA PARA PERSONAS QUE VIVEN CON VIH-SIDA (CUIDAR DE MI, ES CUIDAR DE TI) Estado: Bueno Placa anterior: 000031322 Material:  Color:  Referencia:  Observacion:  Placa padre: Tipo adquisicion: Entidad"</f>
        <v>Descripcion: GUIA DE PREVENCION SECUNDARIA PARA PERSONAS QUE VIVEN CON VIH-SIDA (CUIDAR DE MI, ES CUIDAR DE TI) Estado: Bueno Placa anterior: 000031322 Material:  Color:  Referencia:  Observacion:  Placa padre: Tipo adquisicion: Entidad</v>
      </c>
      <c r="G9904" s="5"/>
    </row>
    <row r="9905" spans="1:7" ht="58.5" customHeight="1" x14ac:dyDescent="0.25">
      <c r="A9905" s="5" t="str">
        <f>"H0021946"</f>
        <v>H0021946</v>
      </c>
      <c r="B9905" s="5" t="str">
        <f t="shared" si="503"/>
        <v>MANUALES (LIBRO GUIA)</v>
      </c>
      <c r="C9905" s="6">
        <v>30714</v>
      </c>
      <c r="D9905" s="5" t="s">
        <v>548</v>
      </c>
      <c r="E9905" s="5" t="str">
        <f t="shared" si="504"/>
        <v>BANCO DE SANGRE-ELSIE ENTRENA MUTIS</v>
      </c>
      <c r="F9905" s="5" t="str">
        <f>"Descripcion: KIT DE GUIA DE PREVENCION VIG/Sida Estado: Bueno Placa anterior: 000031310 Material:  Color:  Referencia:  Observacion:  Placa padre: Tipo adquisicion: Entidad"</f>
        <v>Descripcion: KIT DE GUIA DE PREVENCION VIG/Sida Estado: Bueno Placa anterior: 000031310 Material:  Color:  Referencia:  Observacion:  Placa padre: Tipo adquisicion: Entidad</v>
      </c>
      <c r="G9905" s="5"/>
    </row>
    <row r="9906" spans="1:7" ht="58.5" customHeight="1" x14ac:dyDescent="0.25">
      <c r="A9906" s="5" t="str">
        <f>"H0021951"</f>
        <v>H0021951</v>
      </c>
      <c r="B9906" s="5" t="str">
        <f t="shared" si="503"/>
        <v>MANUALES (LIBRO GUIA)</v>
      </c>
      <c r="C9906" s="6">
        <v>30000</v>
      </c>
      <c r="D9906" s="5" t="s">
        <v>548</v>
      </c>
      <c r="E9906" s="5" t="str">
        <f t="shared" si="504"/>
        <v>BANCO DE SANGRE-ELSIE ENTRENA MUTIS</v>
      </c>
      <c r="F9906" s="5" t="str">
        <f>"Descripcion: GUIA DE PREVENCION SECUNDARIA PARA PERSONAS QUE VIVEN CON VIH-SIDA (CUIDAR DE MI, ES CUIDAR DE TI) Estado: Bueno Placa anterior: 000031324 Material:  Color:  Referencia:  Observacion:  Placa padre: Tipo adquisicion: Entidad"</f>
        <v>Descripcion: GUIA DE PREVENCION SECUNDARIA PARA PERSONAS QUE VIVEN CON VIH-SIDA (CUIDAR DE MI, ES CUIDAR DE TI) Estado: Bueno Placa anterior: 000031324 Material:  Color:  Referencia:  Observacion:  Placa padre: Tipo adquisicion: Entidad</v>
      </c>
      <c r="G9906" s="5"/>
    </row>
    <row r="9907" spans="1:7" ht="58.5" customHeight="1" x14ac:dyDescent="0.25">
      <c r="A9907" s="5" t="str">
        <f>"H0021952"</f>
        <v>H0021952</v>
      </c>
      <c r="B9907" s="5" t="str">
        <f t="shared" si="503"/>
        <v>MANUALES (LIBRO GUIA)</v>
      </c>
      <c r="C9907" s="6">
        <v>15000</v>
      </c>
      <c r="D9907" s="5" t="s">
        <v>548</v>
      </c>
      <c r="E9907" s="5" t="str">
        <f t="shared" si="504"/>
        <v>BANCO DE SANGRE-ELSIE ENTRENA MUTIS</v>
      </c>
      <c r="F9907" s="5" t="str">
        <f>"Descripcion: SUMA TU VOZ: HISTORIAS ORALES DE PERSONAS QUE VIVEN CON VIH Estado: Bueno Placa anterior: 000031328 Material:  Color:  Referencia:  Observacion:  Placa padre: Tipo adquisicion: Entidad"</f>
        <v>Descripcion: SUMA TU VOZ: HISTORIAS ORALES DE PERSONAS QUE VIVEN CON VIH Estado: Bueno Placa anterior: 000031328 Material:  Color:  Referencia:  Observacion:  Placa padre: Tipo adquisicion: Entidad</v>
      </c>
      <c r="G9907" s="5"/>
    </row>
    <row r="9908" spans="1:7" ht="58.5" customHeight="1" x14ac:dyDescent="0.25">
      <c r="A9908" s="5" t="str">
        <f>"H0021953"</f>
        <v>H0021953</v>
      </c>
      <c r="B9908" s="5" t="str">
        <f t="shared" si="503"/>
        <v>MANUALES (LIBRO GUIA)</v>
      </c>
      <c r="C9908" s="6">
        <v>15000</v>
      </c>
      <c r="D9908" s="5" t="s">
        <v>548</v>
      </c>
      <c r="E9908" s="5" t="str">
        <f t="shared" si="504"/>
        <v>BANCO DE SANGRE-ELSIE ENTRENA MUTIS</v>
      </c>
      <c r="F9908" s="5" t="str">
        <f>"Descripcion: SUMA TU VOZ: HISTORIAS ORALES DE PERSONAS QUE VIVEN CON VIH Estado: Bueno Placa anterior: 000031330 Material:  Color:  Referencia:  Observacion:  Placa padre: Tipo adquisicion: Entidad"</f>
        <v>Descripcion: SUMA TU VOZ: HISTORIAS ORALES DE PERSONAS QUE VIVEN CON VIH Estado: Bueno Placa anterior: 000031330 Material:  Color:  Referencia:  Observacion:  Placa padre: Tipo adquisicion: Entidad</v>
      </c>
      <c r="G9908" s="5"/>
    </row>
    <row r="9909" spans="1:7" ht="58.5" customHeight="1" x14ac:dyDescent="0.25">
      <c r="A9909" s="5" t="str">
        <f>"H0021954"</f>
        <v>H0021954</v>
      </c>
      <c r="B9909" s="5" t="str">
        <f>"LAMPARA DE HEMOCLASIFICACION"</f>
        <v>LAMPARA DE HEMOCLASIFICACION</v>
      </c>
      <c r="C9909" s="6">
        <v>41040</v>
      </c>
      <c r="D9909" s="5"/>
      <c r="E9909" s="5" t="str">
        <f t="shared" si="504"/>
        <v>BANCO DE SANGRE-ELSIE ENTRENA MUTIS</v>
      </c>
      <c r="F9909" s="5" t="str">
        <f>"Descripcion: LAMPARA PARA HEMOCLASIFICACION Estado: Bueno Placa anterior: 000022229 Material: PASTA Color:  Referencia:  Observacion:  Placa padre: Tipo adquisicion: Entidad"</f>
        <v>Descripcion: LAMPARA PARA HEMOCLASIFICACION Estado: Bueno Placa anterior: 000022229 Material: PASTA Color:  Referencia:  Observacion:  Placa padre: Tipo adquisicion: Entidad</v>
      </c>
      <c r="G9909" s="5"/>
    </row>
    <row r="9910" spans="1:7" ht="58.5" customHeight="1" x14ac:dyDescent="0.25">
      <c r="A9910" s="5" t="str">
        <f>"H0022261"</f>
        <v>H0022261</v>
      </c>
      <c r="B9910" s="5" t="str">
        <f>"CENTRIFUGA DE 28 TUBOS"</f>
        <v>CENTRIFUGA DE 28 TUBOS</v>
      </c>
      <c r="C9910" s="6">
        <v>16472000</v>
      </c>
      <c r="D9910" s="5" t="s">
        <v>559</v>
      </c>
      <c r="E9910" s="5" t="str">
        <f t="shared" si="504"/>
        <v>BANCO DE SANGRE-ELSIE ENTRENA MUTIS</v>
      </c>
      <c r="F9910" s="5"/>
      <c r="G9910" s="5"/>
    </row>
    <row r="9911" spans="1:7" ht="58.5" customHeight="1" x14ac:dyDescent="0.25">
      <c r="A9911" s="5" t="str">
        <f>"H0022267"</f>
        <v>H0022267</v>
      </c>
      <c r="B9911" s="5" t="str">
        <f>"SEROFUGA DE 12 TUBOS"</f>
        <v>SEROFUGA DE 12 TUBOS</v>
      </c>
      <c r="C9911" s="6">
        <v>17632000</v>
      </c>
      <c r="D9911" s="5" t="s">
        <v>61</v>
      </c>
      <c r="E9911" s="5" t="str">
        <f t="shared" si="504"/>
        <v>BANCO DE SANGRE-ELSIE ENTRENA MUTIS</v>
      </c>
      <c r="F9911" s="5"/>
      <c r="G9911" s="5"/>
    </row>
    <row r="9912" spans="1:7" ht="58.5" customHeight="1" x14ac:dyDescent="0.25">
      <c r="A9912" s="5" t="str">
        <f>"H0024158"</f>
        <v>H0024158</v>
      </c>
      <c r="B9912" s="5" t="s">
        <v>560</v>
      </c>
      <c r="C9912" s="6">
        <v>999900</v>
      </c>
      <c r="D9912" s="5" t="s">
        <v>219</v>
      </c>
      <c r="E9912" s="5" t="str">
        <f t="shared" si="504"/>
        <v>BANCO DE SANGRE-ELSIE ENTRENA MUTIS</v>
      </c>
      <c r="F9912" s="5"/>
      <c r="G9912" s="5" t="str">
        <f>"UN40J45200AKXZL"</f>
        <v>UN40J45200AKXZL</v>
      </c>
    </row>
    <row r="9913" spans="1:7" ht="58.5" customHeight="1" x14ac:dyDescent="0.25">
      <c r="A9913" s="5" t="str">
        <f>"H0024159"</f>
        <v>H0024159</v>
      </c>
      <c r="B9913" s="5" t="s">
        <v>560</v>
      </c>
      <c r="C9913" s="6">
        <v>999900</v>
      </c>
      <c r="D9913" s="5" t="s">
        <v>219</v>
      </c>
      <c r="E9913" s="5" t="str">
        <f t="shared" si="504"/>
        <v>BANCO DE SANGRE-ELSIE ENTRENA MUTIS</v>
      </c>
      <c r="F9913" s="5"/>
      <c r="G9913" s="5" t="str">
        <f>"UN40J5200AKXZL"</f>
        <v>UN40J5200AKXZL</v>
      </c>
    </row>
    <row r="9914" spans="1:7" ht="58.5" customHeight="1" x14ac:dyDescent="0.25">
      <c r="A9914" s="5" t="str">
        <f>"H0025306"</f>
        <v>H0025306</v>
      </c>
      <c r="B991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9914" s="6">
        <v>312156</v>
      </c>
      <c r="D9914" s="5" t="s">
        <v>10</v>
      </c>
      <c r="E9914" s="5" t="str">
        <f t="shared" si="504"/>
        <v>BANCO DE SANGRE-ELSIE ENTRENA MUTIS</v>
      </c>
      <c r="F9914" s="5"/>
      <c r="G9914" s="5"/>
    </row>
    <row r="9915" spans="1:7" ht="58.5" customHeight="1" x14ac:dyDescent="0.25">
      <c r="A9915" s="5" t="str">
        <f>"H0025508"</f>
        <v>H0025508</v>
      </c>
      <c r="B9915" s="5" t="str">
        <f t="shared" ref="B9915:B9922" si="505">"CAJA (CAVA) TERMICA (CONTENEDOR ISOTERMICO) PARA TRANSPÒRTE DE SANGRE"</f>
        <v>CAJA (CAVA) TERMICA (CONTENEDOR ISOTERMICO) PARA TRANSPÒRTE DE SANGRE</v>
      </c>
      <c r="C9915" s="6">
        <v>2142000</v>
      </c>
      <c r="D9915" s="5" t="s">
        <v>298</v>
      </c>
      <c r="E9915" s="5" t="str">
        <f t="shared" si="504"/>
        <v>BANCO DE SANGRE-ELSIE ENTRENA MUTIS</v>
      </c>
      <c r="F9915" s="5"/>
      <c r="G9915" s="5"/>
    </row>
    <row r="9916" spans="1:7" ht="58.5" customHeight="1" x14ac:dyDescent="0.25">
      <c r="A9916" s="5" t="str">
        <f>"H0025509"</f>
        <v>H0025509</v>
      </c>
      <c r="B9916" s="5" t="str">
        <f t="shared" si="505"/>
        <v>CAJA (CAVA) TERMICA (CONTENEDOR ISOTERMICO) PARA TRANSPÒRTE DE SANGRE</v>
      </c>
      <c r="C9916" s="6">
        <v>2142000</v>
      </c>
      <c r="D9916" s="5" t="s">
        <v>298</v>
      </c>
      <c r="E9916" s="5" t="str">
        <f t="shared" si="504"/>
        <v>BANCO DE SANGRE-ELSIE ENTRENA MUTIS</v>
      </c>
      <c r="F9916" s="5"/>
      <c r="G9916" s="5"/>
    </row>
    <row r="9917" spans="1:7" ht="58.5" customHeight="1" x14ac:dyDescent="0.25">
      <c r="A9917" s="5" t="str">
        <f>"H0025510"</f>
        <v>H0025510</v>
      </c>
      <c r="B9917" s="5" t="str">
        <f t="shared" si="505"/>
        <v>CAJA (CAVA) TERMICA (CONTENEDOR ISOTERMICO) PARA TRANSPÒRTE DE SANGRE</v>
      </c>
      <c r="C9917" s="6">
        <v>2142000</v>
      </c>
      <c r="D9917" s="5" t="s">
        <v>298</v>
      </c>
      <c r="E9917" s="5" t="str">
        <f t="shared" si="504"/>
        <v>BANCO DE SANGRE-ELSIE ENTRENA MUTIS</v>
      </c>
      <c r="F9917" s="5"/>
      <c r="G9917" s="5"/>
    </row>
    <row r="9918" spans="1:7" ht="58.5" customHeight="1" x14ac:dyDescent="0.25">
      <c r="A9918" s="5" t="str">
        <f>"H0025511"</f>
        <v>H0025511</v>
      </c>
      <c r="B9918" s="5" t="str">
        <f t="shared" si="505"/>
        <v>CAJA (CAVA) TERMICA (CONTENEDOR ISOTERMICO) PARA TRANSPÒRTE DE SANGRE</v>
      </c>
      <c r="C9918" s="6">
        <v>2142000</v>
      </c>
      <c r="D9918" s="5" t="s">
        <v>298</v>
      </c>
      <c r="E9918" s="5" t="str">
        <f t="shared" si="504"/>
        <v>BANCO DE SANGRE-ELSIE ENTRENA MUTIS</v>
      </c>
      <c r="F9918" s="5"/>
      <c r="G9918" s="5"/>
    </row>
    <row r="9919" spans="1:7" ht="58.5" customHeight="1" x14ac:dyDescent="0.25">
      <c r="A9919" s="5" t="str">
        <f>"H0025512"</f>
        <v>H0025512</v>
      </c>
      <c r="B9919" s="5" t="str">
        <f t="shared" si="505"/>
        <v>CAJA (CAVA) TERMICA (CONTENEDOR ISOTERMICO) PARA TRANSPÒRTE DE SANGRE</v>
      </c>
      <c r="C9919" s="6">
        <v>2142000</v>
      </c>
      <c r="D9919" s="5" t="s">
        <v>298</v>
      </c>
      <c r="E9919" s="5" t="str">
        <f t="shared" si="504"/>
        <v>BANCO DE SANGRE-ELSIE ENTRENA MUTIS</v>
      </c>
      <c r="F9919" s="5"/>
      <c r="G9919" s="5"/>
    </row>
    <row r="9920" spans="1:7" ht="58.5" customHeight="1" x14ac:dyDescent="0.25">
      <c r="A9920" s="5" t="str">
        <f>"H0025513"</f>
        <v>H0025513</v>
      </c>
      <c r="B9920" s="5" t="str">
        <f t="shared" si="505"/>
        <v>CAJA (CAVA) TERMICA (CONTENEDOR ISOTERMICO) PARA TRANSPÒRTE DE SANGRE</v>
      </c>
      <c r="C9920" s="6">
        <v>2142000</v>
      </c>
      <c r="D9920" s="5" t="s">
        <v>298</v>
      </c>
      <c r="E9920" s="5" t="str">
        <f t="shared" si="504"/>
        <v>BANCO DE SANGRE-ELSIE ENTRENA MUTIS</v>
      </c>
      <c r="F9920" s="5"/>
      <c r="G9920" s="5"/>
    </row>
    <row r="9921" spans="1:7" ht="58.5" customHeight="1" x14ac:dyDescent="0.25">
      <c r="A9921" s="5" t="str">
        <f>"H0025514"</f>
        <v>H0025514</v>
      </c>
      <c r="B9921" s="5" t="str">
        <f t="shared" si="505"/>
        <v>CAJA (CAVA) TERMICA (CONTENEDOR ISOTERMICO) PARA TRANSPÒRTE DE SANGRE</v>
      </c>
      <c r="C9921" s="6">
        <v>2142000</v>
      </c>
      <c r="D9921" s="5" t="s">
        <v>561</v>
      </c>
      <c r="E9921" s="5" t="str">
        <f t="shared" si="504"/>
        <v>BANCO DE SANGRE-ELSIE ENTRENA MUTIS</v>
      </c>
      <c r="F9921" s="5"/>
      <c r="G9921" s="5"/>
    </row>
    <row r="9922" spans="1:7" ht="58.5" customHeight="1" x14ac:dyDescent="0.25">
      <c r="A9922" s="5" t="str">
        <f>"H0025515"</f>
        <v>H0025515</v>
      </c>
      <c r="B9922" s="5" t="str">
        <f t="shared" si="505"/>
        <v>CAJA (CAVA) TERMICA (CONTENEDOR ISOTERMICO) PARA TRANSPÒRTE DE SANGRE</v>
      </c>
      <c r="C9922" s="6">
        <v>2142000</v>
      </c>
      <c r="D9922" s="5" t="s">
        <v>298</v>
      </c>
      <c r="E9922" s="5" t="str">
        <f t="shared" si="504"/>
        <v>BANCO DE SANGRE-ELSIE ENTRENA MUTIS</v>
      </c>
      <c r="F9922" s="5"/>
      <c r="G9922" s="5"/>
    </row>
    <row r="9923" spans="1:7" ht="58.5" customHeight="1" x14ac:dyDescent="0.25">
      <c r="A9923" s="5" t="str">
        <f>"H0025516"</f>
        <v>H0025516</v>
      </c>
      <c r="B9923" s="5" t="str">
        <f>"CARRO PLEGABLE PARA TRANSPORTE DE CAJA ISOTERMICA (TRANSP. SANGRE)"</f>
        <v>CARRO PLEGABLE PARA TRANSPORTE DE CAJA ISOTERMICA (TRANSP. SANGRE)</v>
      </c>
      <c r="C9923" s="6">
        <v>2499000</v>
      </c>
      <c r="D9923" s="5" t="s">
        <v>298</v>
      </c>
      <c r="E9923" s="5" t="str">
        <f t="shared" si="504"/>
        <v>BANCO DE SANGRE-ELSIE ENTRENA MUTIS</v>
      </c>
      <c r="F9923" s="5"/>
      <c r="G9923" s="5"/>
    </row>
    <row r="9924" spans="1:7" ht="58.5" customHeight="1" x14ac:dyDescent="0.25">
      <c r="A9924" s="5" t="str">
        <f>"H0025517"</f>
        <v>H0025517</v>
      </c>
      <c r="B9924" s="5" t="str">
        <f>"CARRO PLEGABLE PARA TRANSPORTE DE CAJA ISOTERMICA (TRANSP. SANGRE)"</f>
        <v>CARRO PLEGABLE PARA TRANSPORTE DE CAJA ISOTERMICA (TRANSP. SANGRE)</v>
      </c>
      <c r="C9924" s="6">
        <v>2499000</v>
      </c>
      <c r="D9924" s="5" t="s">
        <v>298</v>
      </c>
      <c r="E9924" s="5" t="str">
        <f t="shared" si="504"/>
        <v>BANCO DE SANGRE-ELSIE ENTRENA MUTIS</v>
      </c>
      <c r="F9924" s="5"/>
      <c r="G9924" s="5"/>
    </row>
    <row r="9925" spans="1:7" ht="58.5" customHeight="1" x14ac:dyDescent="0.25">
      <c r="A9925" s="5" t="str">
        <f>"H0025911"</f>
        <v>H0025911</v>
      </c>
      <c r="B9925" s="5" t="str">
        <f>"VIDEO PROYECTOR EPSON POERLITE W04B517301 (DONACIÓN)"</f>
        <v>VIDEO PROYECTOR EPSON POERLITE W04B517301 (DONACIÓN)</v>
      </c>
      <c r="C9925" s="6">
        <v>2199000</v>
      </c>
      <c r="D9925" s="5" t="s">
        <v>242</v>
      </c>
      <c r="E9925" s="5" t="str">
        <f t="shared" si="504"/>
        <v>BANCO DE SANGRE-ELSIE ENTRENA MUTIS</v>
      </c>
      <c r="F9925" s="5"/>
      <c r="G9925" s="5"/>
    </row>
    <row r="9926" spans="1:7" ht="58.5" customHeight="1" x14ac:dyDescent="0.25">
      <c r="A9926" s="5" t="str">
        <f>"H0025949"</f>
        <v>H0025949</v>
      </c>
      <c r="B9926" s="5" t="str">
        <f>"CONGELADOR DE PLASMA"</f>
        <v>CONGELADOR DE PLASMA</v>
      </c>
      <c r="C9926" s="6">
        <v>30998726.5</v>
      </c>
      <c r="D9926" s="5" t="s">
        <v>562</v>
      </c>
      <c r="E9926" s="5" t="str">
        <f t="shared" si="504"/>
        <v>BANCO DE SANGRE-ELSIE ENTRENA MUTIS</v>
      </c>
      <c r="F9926" s="5"/>
      <c r="G9926" s="5" t="str">
        <f>"JEWETT JPL1230A"</f>
        <v>JEWETT JPL1230A</v>
      </c>
    </row>
    <row r="9927" spans="1:7" ht="58.5" customHeight="1" x14ac:dyDescent="0.25">
      <c r="A9927" s="5" t="str">
        <f>"H0025950"</f>
        <v>H0025950</v>
      </c>
      <c r="B9927" s="5" t="str">
        <f>"TERMOMETRO DIGITAL"</f>
        <v>TERMOMETRO DIGITAL</v>
      </c>
      <c r="C9927" s="6">
        <v>289498.5</v>
      </c>
      <c r="D9927" s="5" t="s">
        <v>562</v>
      </c>
      <c r="E9927" s="5" t="str">
        <f t="shared" si="504"/>
        <v>BANCO DE SANGRE-ELSIE ENTRENA MUTIS</v>
      </c>
      <c r="F9927" s="5"/>
      <c r="G9927" s="5"/>
    </row>
    <row r="9928" spans="1:7" ht="58.5" customHeight="1" x14ac:dyDescent="0.25">
      <c r="A9928" s="5" t="str">
        <f>"H0025951"</f>
        <v>H0025951</v>
      </c>
      <c r="B9928" s="5" t="str">
        <f>"TERMOMETRO DIGITAL"</f>
        <v>TERMOMETRO DIGITAL</v>
      </c>
      <c r="C9928" s="6">
        <v>289498.5</v>
      </c>
      <c r="D9928" s="5" t="s">
        <v>562</v>
      </c>
      <c r="E9928" s="5" t="str">
        <f t="shared" si="504"/>
        <v>BANCO DE SANGRE-ELSIE ENTRENA MUTIS</v>
      </c>
      <c r="F9928" s="5"/>
      <c r="G9928" s="5"/>
    </row>
    <row r="9929" spans="1:7" ht="58.5" customHeight="1" x14ac:dyDescent="0.25">
      <c r="A9929" s="5" t="str">
        <f>"H0027171"</f>
        <v>H0027171</v>
      </c>
      <c r="B992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9929" s="6">
        <v>2641800</v>
      </c>
      <c r="D9929" s="5" t="s">
        <v>38</v>
      </c>
      <c r="E9929" s="5" t="str">
        <f t="shared" si="504"/>
        <v>BANCO DE SANGRE-ELSIE ENTRENA MUTIS</v>
      </c>
      <c r="F9929" s="5"/>
      <c r="G9929" s="5"/>
    </row>
    <row r="9930" spans="1:7" ht="58.5" customHeight="1" x14ac:dyDescent="0.25">
      <c r="A9930" s="5" t="str">
        <f>"H0028444"</f>
        <v>H0028444</v>
      </c>
      <c r="B9930" s="5" t="str">
        <f>"AIRE ACONDICIONADO DE 12000 BTU, INVERTER"</f>
        <v>AIRE ACONDICIONADO DE 12000 BTU, INVERTER</v>
      </c>
      <c r="C9930" s="6">
        <v>1707650</v>
      </c>
      <c r="D9930" s="5" t="s">
        <v>563</v>
      </c>
      <c r="E9930" s="5" t="str">
        <f t="shared" si="504"/>
        <v>BANCO DE SANGRE-ELSIE ENTRENA MUTIS</v>
      </c>
      <c r="F9930" s="5"/>
      <c r="G9930" s="5"/>
    </row>
    <row r="9931" spans="1:7" ht="58.5" customHeight="1" x14ac:dyDescent="0.25">
      <c r="A9931" s="5" t="str">
        <f>"H0028795"</f>
        <v>H0028795</v>
      </c>
      <c r="B9931" s="5" t="str">
        <f>"SILLA HERGONOMICA CON SISTEMA HIDRAULICO"</f>
        <v>SILLA HERGONOMICA CON SISTEMA HIDRAULICO</v>
      </c>
      <c r="C9931" s="6">
        <v>174900</v>
      </c>
      <c r="D9931" s="5" t="s">
        <v>39</v>
      </c>
      <c r="E9931" s="5" t="str">
        <f t="shared" si="504"/>
        <v>BANCO DE SANGRE-ELSIE ENTRENA MUTIS</v>
      </c>
      <c r="F9931" s="5"/>
      <c r="G9931" s="5"/>
    </row>
    <row r="9932" spans="1:7" ht="58.5" customHeight="1" x14ac:dyDescent="0.25">
      <c r="A9932" s="5" t="str">
        <f>"H0029163"</f>
        <v>H0029163</v>
      </c>
      <c r="B993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9932" s="6">
        <v>2425000</v>
      </c>
      <c r="D9932" s="5" t="s">
        <v>13</v>
      </c>
      <c r="E9932" s="5" t="str">
        <f t="shared" si="504"/>
        <v>BANCO DE SANGRE-ELSIE ENTRENA MUTIS</v>
      </c>
      <c r="F9932" s="5"/>
      <c r="G9932" s="5"/>
    </row>
    <row r="9933" spans="1:7" ht="58.5" customHeight="1" x14ac:dyDescent="0.25">
      <c r="A9933" s="5" t="str">
        <f>"H0029533"</f>
        <v>H0029533</v>
      </c>
      <c r="B9933" s="5" t="str">
        <f>"MULTIFUNTION HAN STRIPPER"</f>
        <v>MULTIFUNTION HAN STRIPPER</v>
      </c>
      <c r="C9933" s="6">
        <v>612255</v>
      </c>
      <c r="D9933" s="5" t="s">
        <v>313</v>
      </c>
      <c r="E9933" s="5" t="str">
        <f t="shared" si="504"/>
        <v>BANCO DE SANGRE-ELSIE ENTRENA MUTIS</v>
      </c>
      <c r="F9933" s="5"/>
      <c r="G9933" s="5"/>
    </row>
    <row r="9934" spans="1:7" ht="58.5" customHeight="1" x14ac:dyDescent="0.25">
      <c r="A9934" s="5" t="str">
        <f>"H0029534"</f>
        <v>H0029534</v>
      </c>
      <c r="B9934" s="5" t="str">
        <f>"MULTIFUNTION HAN STRIPPER"</f>
        <v>MULTIFUNTION HAN STRIPPER</v>
      </c>
      <c r="C9934" s="6">
        <v>612255</v>
      </c>
      <c r="D9934" s="5" t="s">
        <v>313</v>
      </c>
      <c r="E9934" s="5" t="str">
        <f t="shared" si="504"/>
        <v>BANCO DE SANGRE-ELSIE ENTRENA MUTIS</v>
      </c>
      <c r="F9934" s="5"/>
      <c r="G9934" s="5"/>
    </row>
    <row r="9935" spans="1:7" ht="58.5" customHeight="1" x14ac:dyDescent="0.25">
      <c r="A9935" s="5" t="str">
        <f>"H0029535"</f>
        <v>H0029535</v>
      </c>
      <c r="B9935" s="5" t="str">
        <f>"MULTIFUNTION HAN STRIPPER"</f>
        <v>MULTIFUNTION HAN STRIPPER</v>
      </c>
      <c r="C9935" s="6">
        <v>612255</v>
      </c>
      <c r="D9935" s="5" t="s">
        <v>313</v>
      </c>
      <c r="E9935" s="5" t="str">
        <f t="shared" si="504"/>
        <v>BANCO DE SANGRE-ELSIE ENTRENA MUTIS</v>
      </c>
      <c r="F9935" s="5"/>
      <c r="G9935" s="5"/>
    </row>
    <row r="9936" spans="1:7" ht="58.5" customHeight="1" x14ac:dyDescent="0.25">
      <c r="A9936" s="5" t="str">
        <f>"H0029536"</f>
        <v>H0029536</v>
      </c>
      <c r="B9936" s="5" t="str">
        <f>"AIRE ACONDICIONADO PISO TECHO 5TR"</f>
        <v>AIRE ACONDICIONADO PISO TECHO 5TR</v>
      </c>
      <c r="C9936" s="6">
        <v>9175000</v>
      </c>
      <c r="D9936" s="5" t="s">
        <v>313</v>
      </c>
      <c r="E9936" s="5" t="str">
        <f t="shared" si="504"/>
        <v>BANCO DE SANGRE-ELSIE ENTRENA MUTIS</v>
      </c>
      <c r="F9936" s="5"/>
      <c r="G9936" s="5"/>
    </row>
    <row r="9937" spans="1:7" ht="58.5" customHeight="1" x14ac:dyDescent="0.25">
      <c r="A9937" s="5" t="str">
        <f>"H0029543"</f>
        <v>H0029543</v>
      </c>
      <c r="B9937" s="5" t="str">
        <f>"COMPRESOR DANFOS R410"</f>
        <v>COMPRESOR DANFOS R410</v>
      </c>
      <c r="C9937" s="6">
        <v>5355000</v>
      </c>
      <c r="D9937" s="5" t="s">
        <v>564</v>
      </c>
      <c r="E9937" s="5" t="str">
        <f t="shared" si="504"/>
        <v>BANCO DE SANGRE-ELSIE ENTRENA MUTIS</v>
      </c>
      <c r="F9937" s="5"/>
      <c r="G9937" s="5"/>
    </row>
    <row r="9938" spans="1:7" ht="58.5" customHeight="1" x14ac:dyDescent="0.25">
      <c r="A9938" s="5" t="str">
        <f>"H0029834"</f>
        <v>H0029834</v>
      </c>
      <c r="B9938" s="5" t="str">
        <f>"CORTINA DE 110V DE 1.20 CMS"</f>
        <v>CORTINA DE 110V DE 1.20 CMS</v>
      </c>
      <c r="C9938" s="6">
        <v>1380000</v>
      </c>
      <c r="D9938" s="5" t="s">
        <v>565</v>
      </c>
      <c r="E9938" s="5" t="str">
        <f t="shared" si="504"/>
        <v>BANCO DE SANGRE-ELSIE ENTRENA MUTIS</v>
      </c>
      <c r="F9938" s="5"/>
      <c r="G9938" s="5"/>
    </row>
    <row r="9939" spans="1:7" ht="58.5" customHeight="1" x14ac:dyDescent="0.25">
      <c r="A9939" s="5" t="str">
        <f>"H0030172"</f>
        <v>H0030172</v>
      </c>
      <c r="B9939" s="5" t="str">
        <f>"TELEVISOR TRC 40"</f>
        <v>TELEVISOR TRC 40</v>
      </c>
      <c r="C9939" s="6">
        <v>799900</v>
      </c>
      <c r="D9939" s="5" t="s">
        <v>566</v>
      </c>
      <c r="E9939" s="5" t="str">
        <f t="shared" si="504"/>
        <v>BANCO DE SANGRE-ELSIE ENTRENA MUTIS</v>
      </c>
      <c r="F9939" s="5"/>
      <c r="G9939" s="5"/>
    </row>
    <row r="9940" spans="1:7" ht="58.5" customHeight="1" x14ac:dyDescent="0.25">
      <c r="A9940" s="5" t="str">
        <f>"H0030218"</f>
        <v>H0030218</v>
      </c>
      <c r="B9940" s="5" t="str">
        <f>"CARRO UNIDAD MEDICA MOVIL (DONACION) PLACA OWN380, MARCA CHEVROLET, CHASIS CAB NQR RWD FA ABS E4, MODELO 2020, SERIE 9gdn1r752lb010768, MOTOR 4HK1-0AJ519, COLOR BLANCO, TIPO CARROCERIA: FURGON, CC5193"</f>
        <v>CARRO UNIDAD MEDICA MOVIL (DONACION) PLACA OWN380, MARCA CHEVROLET, CHASIS CAB NQR RWD FA ABS E4, MODELO 2020, SERIE 9gdn1r752lb010768, MOTOR 4HK1-0AJ519, COLOR BLANCO, TIPO CARROCERIA: FURGON, CC5193</v>
      </c>
      <c r="C9940" s="6">
        <v>412930000</v>
      </c>
      <c r="D9940" s="5" t="s">
        <v>567</v>
      </c>
      <c r="E9940" s="5" t="str">
        <f t="shared" si="504"/>
        <v>BANCO DE SANGRE-ELSIE ENTRENA MUTIS</v>
      </c>
      <c r="F9940" s="5" t="str">
        <f>"DONACION MINISTERIO DE SALUD Y PROTECION SOCIAL Y GOBERNACIO0N NORTE DE SANTANDER"</f>
        <v>DONACION MINISTERIO DE SALUD Y PROTECION SOCIAL Y GOBERNACIO0N NORTE DE SANTANDER</v>
      </c>
      <c r="G9940" s="5" t="str">
        <f>"2020"</f>
        <v>2020</v>
      </c>
    </row>
    <row r="9941" spans="1:7" ht="58.5" customHeight="1" x14ac:dyDescent="0.25">
      <c r="A9941" s="5" t="str">
        <f>"H0031407"</f>
        <v>H0031407</v>
      </c>
      <c r="B9941"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941" s="6">
        <v>1939700</v>
      </c>
      <c r="D9941" s="5" t="s">
        <v>473</v>
      </c>
      <c r="E9941" s="5" t="str">
        <f t="shared" si="504"/>
        <v>BANCO DE SANGRE-ELSIE ENTRENA MUTIS</v>
      </c>
      <c r="F9941" s="5"/>
      <c r="G9941" s="5"/>
    </row>
    <row r="9942" spans="1:7" ht="58.5" customHeight="1" x14ac:dyDescent="0.25">
      <c r="A9942" s="5" t="str">
        <f>"H0031408"</f>
        <v>H0031408</v>
      </c>
      <c r="B9942"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942" s="6">
        <v>1939700</v>
      </c>
      <c r="D9942" s="5" t="s">
        <v>473</v>
      </c>
      <c r="E9942" s="5" t="str">
        <f t="shared" si="504"/>
        <v>BANCO DE SANGRE-ELSIE ENTRENA MUTIS</v>
      </c>
      <c r="F9942" s="5"/>
      <c r="G9942" s="5"/>
    </row>
    <row r="9943" spans="1:7" ht="58.5" customHeight="1" x14ac:dyDescent="0.25">
      <c r="A9943" s="5" t="str">
        <f>"H0031409"</f>
        <v>H0031409</v>
      </c>
      <c r="B9943"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943" s="6">
        <v>1939700</v>
      </c>
      <c r="D9943" s="5" t="s">
        <v>473</v>
      </c>
      <c r="E9943" s="5" t="str">
        <f t="shared" si="504"/>
        <v>BANCO DE SANGRE-ELSIE ENTRENA MUTIS</v>
      </c>
      <c r="F9943" s="5"/>
      <c r="G9943" s="5"/>
    </row>
    <row r="9944" spans="1:7" ht="58.5" customHeight="1" x14ac:dyDescent="0.25">
      <c r="A9944" s="5" t="str">
        <f>"H0031410"</f>
        <v>H0031410</v>
      </c>
      <c r="B9944"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9944" s="6">
        <v>1939700</v>
      </c>
      <c r="D9944" s="5" t="s">
        <v>473</v>
      </c>
      <c r="E9944" s="5" t="str">
        <f t="shared" si="504"/>
        <v>BANCO DE SANGRE-ELSIE ENTRENA MUTIS</v>
      </c>
      <c r="F9944" s="5"/>
      <c r="G9944" s="5"/>
    </row>
    <row r="9945" spans="1:7" ht="58.5" customHeight="1" x14ac:dyDescent="0.25">
      <c r="A9945" s="5" t="str">
        <f>"H0031508"</f>
        <v>H0031508</v>
      </c>
      <c r="B9945" s="5" t="str">
        <f>"FONENDOSCOPIO (ESTETOSCOPIO) PARA ADULTO"</f>
        <v>FONENDOSCOPIO (ESTETOSCOPIO) PARA ADULTO</v>
      </c>
      <c r="C9945" s="6">
        <v>92300.03</v>
      </c>
      <c r="D9945" s="5" t="s">
        <v>16</v>
      </c>
      <c r="E9945" s="5" t="str">
        <f t="shared" si="504"/>
        <v>BANCO DE SANGRE-ELSIE ENTRENA MUTIS</v>
      </c>
      <c r="F9945" s="5"/>
      <c r="G9945" s="5"/>
    </row>
    <row r="9946" spans="1:7" ht="58.5" customHeight="1" x14ac:dyDescent="0.25">
      <c r="A9946" s="5" t="str">
        <f>"H0031509"</f>
        <v>H0031509</v>
      </c>
      <c r="B9946" s="5" t="str">
        <f>"FONENDOSCOPIO (ESTETOSCOPIO) PARA ADULTO"</f>
        <v>FONENDOSCOPIO (ESTETOSCOPIO) PARA ADULTO</v>
      </c>
      <c r="C9946" s="6">
        <v>92300.03</v>
      </c>
      <c r="D9946" s="5" t="s">
        <v>16</v>
      </c>
      <c r="E9946" s="5" t="str">
        <f t="shared" si="504"/>
        <v>BANCO DE SANGRE-ELSIE ENTRENA MUTIS</v>
      </c>
      <c r="F9946" s="5"/>
      <c r="G9946" s="5"/>
    </row>
    <row r="9947" spans="1:7" ht="58.5" customHeight="1" x14ac:dyDescent="0.25">
      <c r="A9947" s="5" t="str">
        <f>"H0032410"</f>
        <v>H0032410</v>
      </c>
      <c r="B9947" s="5" t="str">
        <f>"termometro infrarrojo (DONACION)"</f>
        <v>termometro infrarrojo (DONACION)</v>
      </c>
      <c r="C9947" s="6">
        <v>325000</v>
      </c>
      <c r="D9947" s="5" t="s">
        <v>110</v>
      </c>
      <c r="E9947" s="5" t="str">
        <f t="shared" si="504"/>
        <v>BANCO DE SANGRE-ELSIE ENTRENA MUTIS</v>
      </c>
      <c r="F9947" s="5"/>
      <c r="G9947" s="5"/>
    </row>
    <row r="9948" spans="1:7" ht="58.5" customHeight="1" x14ac:dyDescent="0.25">
      <c r="A9948" s="5" t="str">
        <f>"H0033070"</f>
        <v>H0033070</v>
      </c>
      <c r="B9948" s="5" t="str">
        <f>"MONITOR DE SIGNOS VITALES"</f>
        <v>MONITOR DE SIGNOS VITALES</v>
      </c>
      <c r="C9948" s="6">
        <v>9470000</v>
      </c>
      <c r="D9948" s="5" t="s">
        <v>119</v>
      </c>
      <c r="E9948" s="5" t="str">
        <f t="shared" si="504"/>
        <v>BANCO DE SANGRE-ELSIE ENTRENA MUTIS</v>
      </c>
      <c r="F9948" s="5"/>
      <c r="G9948" s="5"/>
    </row>
    <row r="9949" spans="1:7" ht="58.5" customHeight="1" x14ac:dyDescent="0.25">
      <c r="A9949" s="5" t="str">
        <f>"H0033469"</f>
        <v>H0033469</v>
      </c>
      <c r="B9949" s="5" t="str">
        <f>"termometro infrarrojo (DONACION)"</f>
        <v>termometro infrarrojo (DONACION)</v>
      </c>
      <c r="C9949" s="6">
        <v>250000</v>
      </c>
      <c r="D9949" s="5" t="s">
        <v>568</v>
      </c>
      <c r="E9949" s="5" t="str">
        <f t="shared" si="504"/>
        <v>BANCO DE SANGRE-ELSIE ENTRENA MUTIS</v>
      </c>
      <c r="F9949" s="5"/>
      <c r="G9949" s="5"/>
    </row>
    <row r="9950" spans="1:7" ht="58.5" customHeight="1" x14ac:dyDescent="0.25">
      <c r="A9950" s="5" t="str">
        <f>"H0034136"</f>
        <v>H0034136</v>
      </c>
      <c r="B9950" s="5" t="str">
        <f>"termometro infrarrojo (DONACION)"</f>
        <v>termometro infrarrojo (DONACION)</v>
      </c>
      <c r="C9950" s="6">
        <v>150000</v>
      </c>
      <c r="D9950" s="5" t="s">
        <v>489</v>
      </c>
      <c r="E9950" s="5" t="str">
        <f t="shared" si="504"/>
        <v>BANCO DE SANGRE-ELSIE ENTRENA MUTIS</v>
      </c>
      <c r="F9950" s="5"/>
      <c r="G9950" s="5"/>
    </row>
    <row r="9951" spans="1:7" ht="58.5" customHeight="1" x14ac:dyDescent="0.25">
      <c r="A9951" s="5" t="str">
        <f>"H0034182"</f>
        <v>H0034182</v>
      </c>
      <c r="B9951" s="5" t="str">
        <f>"termometro infrarrojo (DONACION)"</f>
        <v>termometro infrarrojo (DONACION)</v>
      </c>
      <c r="C9951" s="6">
        <v>150000</v>
      </c>
      <c r="D9951" s="5" t="s">
        <v>489</v>
      </c>
      <c r="E9951" s="5" t="str">
        <f t="shared" si="504"/>
        <v>BANCO DE SANGRE-ELSIE ENTRENA MUTIS</v>
      </c>
      <c r="F9951" s="5"/>
      <c r="G9951" s="5"/>
    </row>
    <row r="9952" spans="1:7" ht="58.5" customHeight="1" x14ac:dyDescent="0.25">
      <c r="A9952" s="5" t="str">
        <f>"H0034869"</f>
        <v>H0034869</v>
      </c>
      <c r="B9952" s="5" t="str">
        <f>"BALANZA MEZCLADORAS DE SANGRE AUTOMATICA"</f>
        <v>BALANZA MEZCLADORAS DE SANGRE AUTOMATICA</v>
      </c>
      <c r="C9952" s="6">
        <v>22729000</v>
      </c>
      <c r="D9952" s="5" t="s">
        <v>491</v>
      </c>
      <c r="E9952" s="5" t="str">
        <f t="shared" si="504"/>
        <v>BANCO DE SANGRE-ELSIE ENTRENA MUTIS</v>
      </c>
      <c r="F9952" s="5"/>
      <c r="G9952" s="5"/>
    </row>
    <row r="9953" spans="1:7" ht="58.5" customHeight="1" x14ac:dyDescent="0.25">
      <c r="A9953" s="5" t="str">
        <f>"H0034870"</f>
        <v>H0034870</v>
      </c>
      <c r="B9953" s="5" t="str">
        <f>"BALANZA MEZCLADORAS DE SANGRE AUTOMATICA"</f>
        <v>BALANZA MEZCLADORAS DE SANGRE AUTOMATICA</v>
      </c>
      <c r="C9953" s="6">
        <v>22729000</v>
      </c>
      <c r="D9953" s="5" t="s">
        <v>491</v>
      </c>
      <c r="E9953" s="5" t="str">
        <f t="shared" si="504"/>
        <v>BANCO DE SANGRE-ELSIE ENTRENA MUTIS</v>
      </c>
      <c r="F9953" s="5"/>
      <c r="G9953" s="5"/>
    </row>
    <row r="9954" spans="1:7" ht="58.5" customHeight="1" x14ac:dyDescent="0.25">
      <c r="A9954" s="5" t="str">
        <f>"H0034871"</f>
        <v>H0034871</v>
      </c>
      <c r="B9954" s="5" t="str">
        <f>"BALANZA MEZCLADORAS DE SANGRE AUTOMATICA"</f>
        <v>BALANZA MEZCLADORAS DE SANGRE AUTOMATICA</v>
      </c>
      <c r="C9954" s="6">
        <v>22729000</v>
      </c>
      <c r="D9954" s="5" t="s">
        <v>491</v>
      </c>
      <c r="E9954" s="5" t="str">
        <f t="shared" si="504"/>
        <v>BANCO DE SANGRE-ELSIE ENTRENA MUTIS</v>
      </c>
      <c r="F9954" s="5"/>
      <c r="G9954" s="5"/>
    </row>
    <row r="9955" spans="1:7" ht="58.5" customHeight="1" x14ac:dyDescent="0.25">
      <c r="A9955" s="5" t="str">
        <f>"H0034885"</f>
        <v>H0034885</v>
      </c>
      <c r="B9955" s="5" t="str">
        <f>"Cavas térmicas de 47 L con termómetro"</f>
        <v>Cavas térmicas de 47 L con termómetro</v>
      </c>
      <c r="C9955" s="6">
        <v>1450000</v>
      </c>
      <c r="D9955" s="5" t="s">
        <v>491</v>
      </c>
      <c r="E9955" s="5" t="str">
        <f t="shared" si="504"/>
        <v>BANCO DE SANGRE-ELSIE ENTRENA MUTIS</v>
      </c>
      <c r="F9955" s="5"/>
      <c r="G9955" s="5"/>
    </row>
    <row r="9956" spans="1:7" ht="58.5" customHeight="1" x14ac:dyDescent="0.25">
      <c r="A9956" s="5" t="str">
        <f>"H0034886"</f>
        <v>H0034886</v>
      </c>
      <c r="B9956" s="5" t="str">
        <f>"Cavas térmicas de 47 L con termómetro"</f>
        <v>Cavas térmicas de 47 L con termómetro</v>
      </c>
      <c r="C9956" s="6">
        <v>1450000</v>
      </c>
      <c r="D9956" s="5" t="s">
        <v>491</v>
      </c>
      <c r="E9956" s="5" t="str">
        <f t="shared" si="504"/>
        <v>BANCO DE SANGRE-ELSIE ENTRENA MUTIS</v>
      </c>
      <c r="F9956" s="5"/>
      <c r="G9956" s="5"/>
    </row>
    <row r="9957" spans="1:7" ht="58.5" customHeight="1" x14ac:dyDescent="0.25">
      <c r="A9957" s="5" t="str">
        <f>"H0034887"</f>
        <v>H0034887</v>
      </c>
      <c r="B9957" s="5" t="str">
        <f>"Cava térmica de 60 L  con termómetro"</f>
        <v>Cava térmica de 60 L  con termómetro</v>
      </c>
      <c r="C9957" s="6">
        <v>1450000</v>
      </c>
      <c r="D9957" s="5" t="s">
        <v>491</v>
      </c>
      <c r="E9957" s="5" t="str">
        <f t="shared" si="504"/>
        <v>BANCO DE SANGRE-ELSIE ENTRENA MUTIS</v>
      </c>
      <c r="F9957" s="5"/>
      <c r="G9957" s="5"/>
    </row>
    <row r="9958" spans="1:7" ht="58.5" customHeight="1" x14ac:dyDescent="0.25">
      <c r="A9958" s="5" t="str">
        <f>"H0034888"</f>
        <v>H0034888</v>
      </c>
      <c r="B9958" s="5" t="str">
        <f>"BASCULA CON TALLIMETRO"</f>
        <v>BASCULA CON TALLIMETRO</v>
      </c>
      <c r="C9958" s="6">
        <v>1332800</v>
      </c>
      <c r="D9958" s="5" t="s">
        <v>491</v>
      </c>
      <c r="E9958" s="5" t="str">
        <f t="shared" si="504"/>
        <v>BANCO DE SANGRE-ELSIE ENTRENA MUTIS</v>
      </c>
      <c r="F9958" s="5"/>
      <c r="G9958" s="5"/>
    </row>
    <row r="9959" spans="1:7" ht="58.5" customHeight="1" x14ac:dyDescent="0.25">
      <c r="A9959" s="5" t="str">
        <f>"H0036487"</f>
        <v>H0036487</v>
      </c>
      <c r="B9959" s="5" t="str">
        <f>"UPS NEITON EP ONLINE MF 3KVA"</f>
        <v>UPS NEITON EP ONLINE MF 3KVA</v>
      </c>
      <c r="C9959" s="6">
        <v>3498600</v>
      </c>
      <c r="D9959" s="5" t="s">
        <v>569</v>
      </c>
      <c r="E9959" s="5" t="str">
        <f t="shared" si="504"/>
        <v>BANCO DE SANGRE-ELSIE ENTRENA MUTIS</v>
      </c>
      <c r="F9959" s="5"/>
      <c r="G9959" s="5"/>
    </row>
    <row r="9960" spans="1:7" ht="58.5" customHeight="1" x14ac:dyDescent="0.25">
      <c r="A9960" s="5" t="str">
        <f>"H0036806"</f>
        <v>H0036806</v>
      </c>
      <c r="B9960" s="5" t="str">
        <f>"Agitador de plaquetas de 15 unidades 115V"</f>
        <v>Agitador de plaquetas de 15 unidades 115V</v>
      </c>
      <c r="C9960" s="6">
        <v>16813272</v>
      </c>
      <c r="D9960" s="5" t="s">
        <v>570</v>
      </c>
      <c r="E9960" s="5" t="str">
        <f t="shared" si="504"/>
        <v>BANCO DE SANGRE-ELSIE ENTRENA MUTIS</v>
      </c>
      <c r="F9960" s="5"/>
      <c r="G9960" s="5"/>
    </row>
    <row r="9961" spans="1:7" ht="58.5" customHeight="1" x14ac:dyDescent="0.25">
      <c r="A9961" s="5" t="str">
        <f>"H0036807"</f>
        <v>H0036807</v>
      </c>
      <c r="B9961" s="5" t="str">
        <f>"INCUBADOR PARA ALMACENAMIENTO DE PLAQUETAS (15 und)"</f>
        <v>INCUBADOR PARA ALMACENAMIENTO DE PLAQUETAS (15 und)</v>
      </c>
      <c r="C9961" s="6">
        <v>61654079</v>
      </c>
      <c r="D9961" s="5" t="s">
        <v>570</v>
      </c>
      <c r="E9961" s="5" t="str">
        <f t="shared" si="504"/>
        <v>BANCO DE SANGRE-ELSIE ENTRENA MUTIS</v>
      </c>
      <c r="F9961" s="5"/>
      <c r="G9961" s="5"/>
    </row>
    <row r="9962" spans="1:7" ht="58.5" customHeight="1" x14ac:dyDescent="0.25">
      <c r="A9962" s="5" t="str">
        <f>"H0036808"</f>
        <v>H0036808</v>
      </c>
      <c r="B9962" s="5" t="str">
        <f>"AGITADOR DE PLAQUETAS DE 48 UNIDADES 115V"</f>
        <v>AGITADOR DE PLAQUETAS DE 48 UNIDADES 115V</v>
      </c>
      <c r="C9962" s="6">
        <v>21441420</v>
      </c>
      <c r="D9962" s="5" t="s">
        <v>570</v>
      </c>
      <c r="E9962" s="5" t="str">
        <f t="shared" si="504"/>
        <v>BANCO DE SANGRE-ELSIE ENTRENA MUTIS</v>
      </c>
      <c r="F9962" s="5"/>
      <c r="G9962" s="5"/>
    </row>
    <row r="9963" spans="1:7" ht="58.5" customHeight="1" x14ac:dyDescent="0.25">
      <c r="A9963" s="5" t="str">
        <f>"H0036809"</f>
        <v>H0036809</v>
      </c>
      <c r="B9963" s="5" t="str">
        <f>"INCUBADOR PARA ALMACENAMIENTO DE PLAQUETAS 115V (48 und)"</f>
        <v>INCUBADOR PARA ALMACENAMIENTO DE PLAQUETAS 115V (48 und)</v>
      </c>
      <c r="C9963" s="6">
        <v>62618693</v>
      </c>
      <c r="D9963" s="5" t="s">
        <v>570</v>
      </c>
      <c r="E9963" s="5" t="str">
        <f t="shared" si="504"/>
        <v>BANCO DE SANGRE-ELSIE ENTRENA MUTIS</v>
      </c>
      <c r="F9963" s="5"/>
      <c r="G9963" s="5"/>
    </row>
    <row r="9964" spans="1:7" ht="58.5" customHeight="1" x14ac:dyDescent="0.25">
      <c r="A9964" s="5" t="str">
        <f>"H0037134"</f>
        <v>H0037134</v>
      </c>
      <c r="B9964" s="5" t="str">
        <f>"TALLIMETRO CAPACIDAD 20-205 CM (DONACION)"</f>
        <v>TALLIMETRO CAPACIDAD 20-205 CM (DONACION)</v>
      </c>
      <c r="C9964" s="6">
        <v>1254705.99</v>
      </c>
      <c r="D9964" s="5" t="s">
        <v>136</v>
      </c>
      <c r="E9964" s="5" t="str">
        <f t="shared" ref="E9964:E9981" si="506">"BANCO DE SANGRE-ELSIE ENTRENA MUTIS"</f>
        <v>BANCO DE SANGRE-ELSIE ENTRENA MUTIS</v>
      </c>
      <c r="F9964" s="5"/>
      <c r="G9964" s="5"/>
    </row>
    <row r="9965" spans="1:7" ht="58.5" customHeight="1" x14ac:dyDescent="0.25">
      <c r="A9965" s="5" t="str">
        <f>"H0037201"</f>
        <v>H0037201</v>
      </c>
      <c r="B9965" s="5" t="str">
        <f>"BASCULA: Capacidad: 200 kg, División: 100 g &lt; 150 kg &gt; 200 g, Dimensiones (AxAxP):321 x 61 x 362 mm, Peso: 4,1 kg"</f>
        <v>BASCULA: Capacidad: 200 kg, División: 100 g &lt; 150 kg &gt; 200 g, Dimensiones (AxAxP):321 x 61 x 362 mm, Peso: 4,1 kg</v>
      </c>
      <c r="C9965" s="6">
        <v>3588386.01</v>
      </c>
      <c r="D9965" s="5" t="s">
        <v>160</v>
      </c>
      <c r="E9965" s="5" t="str">
        <f t="shared" si="506"/>
        <v>BANCO DE SANGRE-ELSIE ENTRENA MUTIS</v>
      </c>
      <c r="F9965" s="5"/>
      <c r="G9965" s="5"/>
    </row>
    <row r="9966" spans="1:7" ht="58.5" customHeight="1" x14ac:dyDescent="0.25">
      <c r="A9966" s="5" t="str">
        <f>"H0037301"</f>
        <v>H0037301</v>
      </c>
      <c r="B9966" s="5" t="str">
        <f>"VENTILADOR DE PARED"</f>
        <v>VENTILADOR DE PARED</v>
      </c>
      <c r="C9966" s="6">
        <v>286671</v>
      </c>
      <c r="D9966" s="5" t="s">
        <v>138</v>
      </c>
      <c r="E9966" s="5" t="str">
        <f t="shared" si="506"/>
        <v>BANCO DE SANGRE-ELSIE ENTRENA MUTIS</v>
      </c>
      <c r="F9966" s="5"/>
      <c r="G9966" s="5"/>
    </row>
    <row r="9967" spans="1:7" ht="58.5" customHeight="1" x14ac:dyDescent="0.25">
      <c r="A9967" s="5" t="str">
        <f>"H0037990"</f>
        <v>H0037990</v>
      </c>
      <c r="B9967" s="5" t="str">
        <f t="shared" ref="B9967:B9972" si="507">"SILLA GERENTE NIZA MEC. BASCULANTE CON BRAZOS."</f>
        <v>SILLA GERENTE NIZA MEC. BASCULANTE CON BRAZOS.</v>
      </c>
      <c r="C9967" s="6">
        <v>710000.01</v>
      </c>
      <c r="D9967" s="5" t="s">
        <v>30</v>
      </c>
      <c r="E9967" s="5" t="str">
        <f t="shared" si="506"/>
        <v>BANCO DE SANGRE-ELSIE ENTRENA MUTIS</v>
      </c>
      <c r="F9967" s="5"/>
      <c r="G9967" s="5"/>
    </row>
    <row r="9968" spans="1:7" ht="58.5" customHeight="1" x14ac:dyDescent="0.25">
      <c r="A9968" s="5" t="str">
        <f>"H0037991"</f>
        <v>H0037991</v>
      </c>
      <c r="B9968" s="5" t="str">
        <f t="shared" si="507"/>
        <v>SILLA GERENTE NIZA MEC. BASCULANTE CON BRAZOS.</v>
      </c>
      <c r="C9968" s="6">
        <v>710000.01</v>
      </c>
      <c r="D9968" s="5" t="s">
        <v>571</v>
      </c>
      <c r="E9968" s="5" t="str">
        <f t="shared" si="506"/>
        <v>BANCO DE SANGRE-ELSIE ENTRENA MUTIS</v>
      </c>
      <c r="F9968" s="5"/>
      <c r="G9968" s="5"/>
    </row>
    <row r="9969" spans="1:7" ht="58.5" customHeight="1" x14ac:dyDescent="0.25">
      <c r="A9969" s="5" t="str">
        <f>"H0037992"</f>
        <v>H0037992</v>
      </c>
      <c r="B9969" s="5" t="str">
        <f t="shared" si="507"/>
        <v>SILLA GERENTE NIZA MEC. BASCULANTE CON BRAZOS.</v>
      </c>
      <c r="C9969" s="6">
        <v>710000.01</v>
      </c>
      <c r="D9969" s="5" t="s">
        <v>30</v>
      </c>
      <c r="E9969" s="5" t="str">
        <f t="shared" si="506"/>
        <v>BANCO DE SANGRE-ELSIE ENTRENA MUTIS</v>
      </c>
      <c r="F9969" s="5"/>
      <c r="G9969" s="5"/>
    </row>
    <row r="9970" spans="1:7" ht="58.5" customHeight="1" x14ac:dyDescent="0.25">
      <c r="A9970" s="5" t="str">
        <f>"H0037993"</f>
        <v>H0037993</v>
      </c>
      <c r="B9970" s="5" t="str">
        <f t="shared" si="507"/>
        <v>SILLA GERENTE NIZA MEC. BASCULANTE CON BRAZOS.</v>
      </c>
      <c r="C9970" s="6">
        <v>710000.01</v>
      </c>
      <c r="D9970" s="5" t="s">
        <v>30</v>
      </c>
      <c r="E9970" s="5" t="str">
        <f t="shared" si="506"/>
        <v>BANCO DE SANGRE-ELSIE ENTRENA MUTIS</v>
      </c>
      <c r="F9970" s="5"/>
      <c r="G9970" s="5"/>
    </row>
    <row r="9971" spans="1:7" ht="58.5" customHeight="1" x14ac:dyDescent="0.25">
      <c r="A9971" s="5" t="str">
        <f>"H0037994"</f>
        <v>H0037994</v>
      </c>
      <c r="B9971" s="5" t="str">
        <f t="shared" si="507"/>
        <v>SILLA GERENTE NIZA MEC. BASCULANTE CON BRAZOS.</v>
      </c>
      <c r="C9971" s="6">
        <v>710000.01</v>
      </c>
      <c r="D9971" s="5" t="s">
        <v>30</v>
      </c>
      <c r="E9971" s="5" t="str">
        <f t="shared" si="506"/>
        <v>BANCO DE SANGRE-ELSIE ENTRENA MUTIS</v>
      </c>
      <c r="F9971" s="5"/>
      <c r="G9971" s="5"/>
    </row>
    <row r="9972" spans="1:7" ht="58.5" customHeight="1" x14ac:dyDescent="0.25">
      <c r="A9972" s="5" t="str">
        <f>"H0037995"</f>
        <v>H0037995</v>
      </c>
      <c r="B9972" s="5" t="str">
        <f t="shared" si="507"/>
        <v>SILLA GERENTE NIZA MEC. BASCULANTE CON BRAZOS.</v>
      </c>
      <c r="C9972" s="6">
        <v>710000.01</v>
      </c>
      <c r="D9972" s="5" t="s">
        <v>30</v>
      </c>
      <c r="E9972" s="5" t="str">
        <f t="shared" si="506"/>
        <v>BANCO DE SANGRE-ELSIE ENTRENA MUTIS</v>
      </c>
      <c r="F9972" s="5"/>
      <c r="G9972" s="5"/>
    </row>
    <row r="9973" spans="1:7" ht="58.5" customHeight="1" x14ac:dyDescent="0.25">
      <c r="A9973" s="5" t="str">
        <f>"H0038068"</f>
        <v>H0038068</v>
      </c>
      <c r="B9973" s="5" t="str">
        <f t="shared" ref="B9973:B9978" si="508">"SILLA CAJERO KOPI"</f>
        <v>SILLA CAJERO KOPI</v>
      </c>
      <c r="C9973" s="6">
        <v>565000.01</v>
      </c>
      <c r="D9973" s="5" t="s">
        <v>30</v>
      </c>
      <c r="E9973" s="5" t="str">
        <f t="shared" si="506"/>
        <v>BANCO DE SANGRE-ELSIE ENTRENA MUTIS</v>
      </c>
      <c r="F9973" s="5"/>
      <c r="G9973" s="5"/>
    </row>
    <row r="9974" spans="1:7" ht="58.5" customHeight="1" x14ac:dyDescent="0.25">
      <c r="A9974" s="5" t="str">
        <f>"H0038069"</f>
        <v>H0038069</v>
      </c>
      <c r="B9974" s="5" t="str">
        <f t="shared" si="508"/>
        <v>SILLA CAJERO KOPI</v>
      </c>
      <c r="C9974" s="6">
        <v>565000.01</v>
      </c>
      <c r="D9974" s="5" t="s">
        <v>30</v>
      </c>
      <c r="E9974" s="5" t="str">
        <f t="shared" si="506"/>
        <v>BANCO DE SANGRE-ELSIE ENTRENA MUTIS</v>
      </c>
      <c r="F9974" s="5"/>
      <c r="G9974" s="5"/>
    </row>
    <row r="9975" spans="1:7" ht="58.5" customHeight="1" x14ac:dyDescent="0.25">
      <c r="A9975" s="5" t="str">
        <f>"H0038070"</f>
        <v>H0038070</v>
      </c>
      <c r="B9975" s="5" t="str">
        <f t="shared" si="508"/>
        <v>SILLA CAJERO KOPI</v>
      </c>
      <c r="C9975" s="6">
        <v>565000.01</v>
      </c>
      <c r="D9975" s="5" t="s">
        <v>30</v>
      </c>
      <c r="E9975" s="5" t="str">
        <f t="shared" si="506"/>
        <v>BANCO DE SANGRE-ELSIE ENTRENA MUTIS</v>
      </c>
      <c r="F9975" s="5"/>
      <c r="G9975" s="5"/>
    </row>
    <row r="9976" spans="1:7" ht="58.5" customHeight="1" x14ac:dyDescent="0.25">
      <c r="A9976" s="5" t="str">
        <f>"H0038071"</f>
        <v>H0038071</v>
      </c>
      <c r="B9976" s="5" t="str">
        <f t="shared" si="508"/>
        <v>SILLA CAJERO KOPI</v>
      </c>
      <c r="C9976" s="6">
        <v>565000.01</v>
      </c>
      <c r="D9976" s="5" t="s">
        <v>30</v>
      </c>
      <c r="E9976" s="5" t="str">
        <f t="shared" si="506"/>
        <v>BANCO DE SANGRE-ELSIE ENTRENA MUTIS</v>
      </c>
      <c r="F9976" s="5"/>
      <c r="G9976" s="5"/>
    </row>
    <row r="9977" spans="1:7" ht="58.5" customHeight="1" x14ac:dyDescent="0.25">
      <c r="A9977" s="5" t="str">
        <f>"H0038072"</f>
        <v>H0038072</v>
      </c>
      <c r="B9977" s="5" t="str">
        <f t="shared" si="508"/>
        <v>SILLA CAJERO KOPI</v>
      </c>
      <c r="C9977" s="6">
        <v>565000.01</v>
      </c>
      <c r="D9977" s="5" t="s">
        <v>30</v>
      </c>
      <c r="E9977" s="5" t="str">
        <f t="shared" si="506"/>
        <v>BANCO DE SANGRE-ELSIE ENTRENA MUTIS</v>
      </c>
      <c r="F9977" s="5"/>
      <c r="G9977" s="5"/>
    </row>
    <row r="9978" spans="1:7" ht="58.5" customHeight="1" x14ac:dyDescent="0.25">
      <c r="A9978" s="5" t="str">
        <f>"H0038073"</f>
        <v>H0038073</v>
      </c>
      <c r="B9978" s="5" t="str">
        <f t="shared" si="508"/>
        <v>SILLA CAJERO KOPI</v>
      </c>
      <c r="C9978" s="6">
        <v>565000.01</v>
      </c>
      <c r="D9978" s="5" t="s">
        <v>30</v>
      </c>
      <c r="E9978" s="5" t="str">
        <f t="shared" si="506"/>
        <v>BANCO DE SANGRE-ELSIE ENTRENA MUTIS</v>
      </c>
      <c r="F9978" s="5"/>
      <c r="G9978" s="5"/>
    </row>
    <row r="9979" spans="1:7" ht="58.5" customHeight="1" x14ac:dyDescent="0.25">
      <c r="A9979" s="5" t="str">
        <f>"H0038096"</f>
        <v>H0038096</v>
      </c>
      <c r="B9979" s="5" t="str">
        <f>"SILLA CAJERO KOPI SIN RUEDAS"</f>
        <v>SILLA CAJERO KOPI SIN RUEDAS</v>
      </c>
      <c r="C9979" s="6">
        <v>490000</v>
      </c>
      <c r="D9979" s="5" t="s">
        <v>30</v>
      </c>
      <c r="E9979" s="5" t="str">
        <f t="shared" si="506"/>
        <v>BANCO DE SANGRE-ELSIE ENTRENA MUTIS</v>
      </c>
      <c r="F9979" s="5"/>
      <c r="G9979" s="5"/>
    </row>
    <row r="9980" spans="1:7" ht="58.5" customHeight="1" x14ac:dyDescent="0.25">
      <c r="A9980" s="5" t="str">
        <f>"H0038100"</f>
        <v>H0038100</v>
      </c>
      <c r="B9980" s="5" t="str">
        <f>"SILLA CAJERO KOPI SIN RUEDAS"</f>
        <v>SILLA CAJERO KOPI SIN RUEDAS</v>
      </c>
      <c r="C9980" s="6">
        <v>490000</v>
      </c>
      <c r="D9980" s="5" t="s">
        <v>30</v>
      </c>
      <c r="E9980" s="5" t="str">
        <f t="shared" si="506"/>
        <v>BANCO DE SANGRE-ELSIE ENTRENA MUTIS</v>
      </c>
      <c r="F9980" s="5"/>
      <c r="G9980" s="5"/>
    </row>
    <row r="9981" spans="1:7" ht="58.5" customHeight="1" x14ac:dyDescent="0.25">
      <c r="A9981" s="5" t="str">
        <f>"H0038101"</f>
        <v>H0038101</v>
      </c>
      <c r="B9981" s="5" t="str">
        <f>"SILLA CAJERO KOPI SIN RUEDAS"</f>
        <v>SILLA CAJERO KOPI SIN RUEDAS</v>
      </c>
      <c r="C9981" s="6">
        <v>490000</v>
      </c>
      <c r="D9981" s="5" t="s">
        <v>30</v>
      </c>
      <c r="E9981" s="5" t="str">
        <f t="shared" si="506"/>
        <v>BANCO DE SANGRE-ELSIE ENTRENA MUTIS</v>
      </c>
      <c r="F9981" s="5"/>
      <c r="G9981" s="5"/>
    </row>
    <row r="9982" spans="1:7" ht="58.5" customHeight="1" x14ac:dyDescent="0.25">
      <c r="A9982" s="5" t="str">
        <f>"B0000364"</f>
        <v>B0000364</v>
      </c>
      <c r="B9982" s="5" t="str">
        <f>"CANASTILLA METALICA"</f>
        <v>CANASTILLA METALICA</v>
      </c>
      <c r="C9982" s="6">
        <v>97470</v>
      </c>
      <c r="D9982" s="5"/>
      <c r="E9982" s="5" t="str">
        <f t="shared" ref="E9982:E10013" si="509">"LABORATORIO CLINICO-CARLOS OSWALDO MORENO SALGADO"</f>
        <v>LABORATORIO CLINICO-CARLOS OSWALDO MORENO SALGADO</v>
      </c>
      <c r="F9982" s="5" t="str">
        <f>"Descripcion: CANASTILLA METALICA CUADRADA Estado: Bueno Placa anterior: 000019546 Material: METALICO Color: GRIS Referencia:  Observacion:  Placa padre: Tipo adquisicion: Entidad"</f>
        <v>Descripcion: CANASTILLA METALICA CUADRADA Estado: Bueno Placa anterior: 000019546 Material: METALICO Color: GRIS Referencia:  Observacion:  Placa padre: Tipo adquisicion: Entidad</v>
      </c>
      <c r="G9982" s="5"/>
    </row>
    <row r="9983" spans="1:7" ht="58.5" customHeight="1" x14ac:dyDescent="0.25">
      <c r="A9983" s="5" t="str">
        <f>"B0000365"</f>
        <v>B0000365</v>
      </c>
      <c r="B9983" s="5" t="str">
        <f>"CANASTILLA METALICA"</f>
        <v>CANASTILLA METALICA</v>
      </c>
      <c r="C9983" s="6">
        <v>97470</v>
      </c>
      <c r="D9983" s="5"/>
      <c r="E9983" s="5" t="str">
        <f t="shared" si="509"/>
        <v>LABORATORIO CLINICO-CARLOS OSWALDO MORENO SALGADO</v>
      </c>
      <c r="F9983" s="5" t="str">
        <f>"Descripcion: CANASTILLA METALICA CUADRADA Estado: Bueno Placa anterior: 000019544 Material: METALICO Color: GRIS Referencia:  Observacion:  Placa padre: Tipo adquisicion: Entidad"</f>
        <v>Descripcion: CANASTILLA METALICA CUADRADA Estado: Bueno Placa anterior: 000019544 Material: METALICO Color: GRIS Referencia:  Observacion:  Placa padre: Tipo adquisicion: Entidad</v>
      </c>
      <c r="G9983" s="5"/>
    </row>
    <row r="9984" spans="1:7" ht="58.5" customHeight="1" x14ac:dyDescent="0.25">
      <c r="A9984" s="5" t="str">
        <f>"B0000366"</f>
        <v>B0000366</v>
      </c>
      <c r="B9984" s="5" t="str">
        <f>"CANASTILLA PARA THERMOKIN-PARA NEVERA PORTATIL"</f>
        <v>CANASTILLA PARA THERMOKIN-PARA NEVERA PORTATIL</v>
      </c>
      <c r="C9984" s="6">
        <v>97470</v>
      </c>
      <c r="D9984" s="5"/>
      <c r="E9984" s="5" t="str">
        <f t="shared" si="509"/>
        <v>LABORATORIO CLINICO-CARLOS OSWALDO MORENO SALGADO</v>
      </c>
      <c r="F9984" s="5" t="str">
        <f>"Descripcion: CANASTILLA METALICA PARA TRANSPORTAR TUBOS DE CULTIVO Estado: Bueno Placa anterior: 000019545 Material: METALICO Color: BLANCO Referencia:  Observacion:  Placa padre: Tipo adquisicion: Entidad"</f>
        <v>Descripcion: CANASTILLA METALICA PARA TRANSPORTAR TUBOS DE CULTIVO Estado: Bueno Placa anterior: 000019545 Material: METALICO Color: BLANCO Referencia:  Observacion:  Placa padre: Tipo adquisicion: Entidad</v>
      </c>
      <c r="G9984" s="5"/>
    </row>
    <row r="9985" spans="1:7" ht="58.5" customHeight="1" x14ac:dyDescent="0.25">
      <c r="A9985" s="5" t="str">
        <f>"H0001219"</f>
        <v>H0001219</v>
      </c>
      <c r="B9985" s="5" t="str">
        <f>"IMPRESORA LASER"</f>
        <v>IMPRESORA LASER</v>
      </c>
      <c r="C9985" s="6">
        <v>1654259</v>
      </c>
      <c r="D9985" s="5"/>
      <c r="E9985" s="5" t="str">
        <f t="shared" si="509"/>
        <v>LABORATORIO CLINICO-CARLOS OSWALDO MORENO SALGADO</v>
      </c>
      <c r="F9985" s="5" t="str">
        <f>"Descripcion: IMPRESORA LASER HP 1320 Estado: Bueno Placa anterior: 000025108 Material:  Color: GRIS CON BEIGE Referencia:  Observacion:  Placa padre: Tipo adquisicion: Entidad"</f>
        <v>Descripcion: IMPRESORA LASER HP 1320 Estado: Bueno Placa anterior: 000025108 Material:  Color: GRIS CON BEIGE Referencia:  Observacion:  Placa padre: Tipo adquisicion: Entidad</v>
      </c>
      <c r="G9985" s="5" t="str">
        <f>"LASERJET 1320"</f>
        <v>LASERJET 1320</v>
      </c>
    </row>
    <row r="9986" spans="1:7" ht="58.5" customHeight="1" x14ac:dyDescent="0.25">
      <c r="A9986" s="5" t="str">
        <f>"H0001220"</f>
        <v>H0001220</v>
      </c>
      <c r="B9986" s="5" t="str">
        <f>"ESTABILIZADOR  PARA COMPUTADOR"</f>
        <v>ESTABILIZADOR  PARA COMPUTADOR</v>
      </c>
      <c r="C9986" s="6">
        <v>247219</v>
      </c>
      <c r="D9986" s="5"/>
      <c r="E9986" s="5" t="str">
        <f t="shared" si="509"/>
        <v>LABORATORIO CLINICO-CARLOS OSWALDO MORENO SALGADO</v>
      </c>
      <c r="F9986" s="5" t="str">
        <f>"Descripcion: ESTABILIZADOR DE VOLTAJE MAGON DE 2000 W Estado: Bueno Placa anterior: 000008835 Material:  Color: GRIS Referencia:  Observacion:  Placa padre: Tipo adquisicion: Entidad"</f>
        <v>Descripcion: ESTABILIZADOR DE VOLTAJE MAGON DE 2000 W Estado: Bueno Placa anterior: 000008835 Material:  Color: GRIS Referencia:  Observacion:  Placa padre: Tipo adquisicion: Entidad</v>
      </c>
      <c r="G9986" s="5"/>
    </row>
    <row r="9987" spans="1:7" ht="58.5" customHeight="1" x14ac:dyDescent="0.25">
      <c r="A9987" s="5" t="str">
        <f>"H0001221"</f>
        <v>H0001221</v>
      </c>
      <c r="B9987" s="5" t="str">
        <f>"MESA METALICA PARA COMPUTADOR"</f>
        <v>MESA METALICA PARA COMPUTADOR</v>
      </c>
      <c r="C9987" s="6">
        <v>800000</v>
      </c>
      <c r="D9987" s="5"/>
      <c r="E9987" s="5" t="str">
        <f t="shared" si="509"/>
        <v>LABORATORIO CLINICO-CARLOS OSWALDO MORENO SALGADO</v>
      </c>
      <c r="F9987" s="5" t="str">
        <f>"Descripcion: MESA PARA COMPUTADOR METALICA CON MESON EN FORMICA MEDIDAS 72.5X120X60CM Estado: Bueno Placa anterior: 000033465 Material: METALICA CON MESON EN FORMICA Color: NEGRO CON MADERA CLARO Referencia:  Observacion: ESTA MESA APARECE COMO ESCRITORIO"&amp; " EN L POR ERROR DE DIGITACION EN ALMACEN Placa padre: Tipo adquisicion: Entidad"</f>
        <v>Descripcion: MESA PARA COMPUTADOR METALICA CON MESON EN FORMICA MEDIDAS 72.5X120X60CM Estado: Bueno Placa anterior: 000033465 Material: METALICA CON MESON EN FORMICA Color: NEGRO CON MADERA CLARO Referencia:  Observacion: ESTA MESA APARECE COMO ESCRITORIO EN L POR ERROR DE DIGITACION EN ALMACEN Placa padre: Tipo adquisicion: Entidad</v>
      </c>
      <c r="G9987" s="5"/>
    </row>
    <row r="9988" spans="1:7" ht="58.5" customHeight="1" x14ac:dyDescent="0.25">
      <c r="A9988" s="5" t="str">
        <f>"H0001225"</f>
        <v>H0001225</v>
      </c>
      <c r="B9988" s="5" t="str">
        <f>"LOCKER DE 2 COMPARTIMIENTOS"</f>
        <v>LOCKER DE 2 COMPARTIMIENTOS</v>
      </c>
      <c r="C9988" s="6">
        <v>10384</v>
      </c>
      <c r="D9988" s="5"/>
      <c r="E9988" s="5" t="str">
        <f t="shared" si="509"/>
        <v>LABORATORIO CLINICO-CARLOS OSWALDO MORENO SALGADO</v>
      </c>
      <c r="F9988" s="5" t="str">
        <f>"Descripcion: LOCKER 1 CUERPO (2 PUESTOS)  MEDIADS:199X31X45 Estado: Bueno Placa anterior: 000008832 Material: METALICO Color: GRIS Referencia:  Observacion:  Placa padre: Tipo adquisicion: Entidad"</f>
        <v>Descripcion: LOCKER 1 CUERPO (2 PUESTOS)  MEDIADS:199X31X45 Estado: Bueno Placa anterior: 000008832 Material: METALICO Color: GRIS Referencia:  Observacion:  Placa padre: Tipo adquisicion: Entidad</v>
      </c>
      <c r="G9988" s="5"/>
    </row>
    <row r="9989" spans="1:7" ht="58.5" customHeight="1" x14ac:dyDescent="0.25">
      <c r="A9989" s="5" t="str">
        <f>"H0001226"</f>
        <v>H0001226</v>
      </c>
      <c r="B9989" s="5" t="str">
        <f>"VITRINA DE 2 CUERPOS"</f>
        <v>VITRINA DE 2 CUERPOS</v>
      </c>
      <c r="C9989" s="6">
        <v>11935</v>
      </c>
      <c r="D9989" s="5"/>
      <c r="E9989" s="5" t="str">
        <f t="shared" si="509"/>
        <v>LABORATORIO CLINICO-CARLOS OSWALDO MORENO SALGADO</v>
      </c>
      <c r="F9989" s="5" t="str">
        <f>"Descripcion: VITRINA DE 2  CUERPOS METALICA MEDIDAS: 140X90X93 Estado: Bueno Placa anterior: 000008831 Material: METALICO CON VIDRIO Color: GRIS Referencia:  Observacion:  Placa padre: Tipo adquisicion: Entidad"</f>
        <v>Descripcion: VITRINA DE 2  CUERPOS METALICA MEDIDAS: 140X90X93 Estado: Bueno Placa anterior: 000008831 Material: METALICO CON VIDRIO Color: GRIS Referencia:  Observacion:  Placa padre: Tipo adquisicion: Entidad</v>
      </c>
      <c r="G9989" s="5"/>
    </row>
    <row r="9990" spans="1:7" ht="58.5" customHeight="1" x14ac:dyDescent="0.25">
      <c r="A9990" s="5" t="str">
        <f>"H0001227"</f>
        <v>H0001227</v>
      </c>
      <c r="B9990" s="5" t="str">
        <f>"ESCRITORIO METALICO 2 GAVETAS"</f>
        <v>ESCRITORIO METALICO 2 GAVETAS</v>
      </c>
      <c r="C9990" s="6">
        <v>53069.55</v>
      </c>
      <c r="D9990" s="5"/>
      <c r="E9990" s="5" t="str">
        <f t="shared" si="509"/>
        <v>LABORATORIO CLINICO-CARLOS OSWALDO MORENO SALGADO</v>
      </c>
      <c r="F9990" s="5" t="str">
        <f>"Descripcion: ESCRITORIO METALICO DE 2 GAVETAS MEDIDAS 78X120X66 Estado: Bueno Placa anterior: 000008829 Material: METALICO CON MESON EN FORMICA Color: GRIS CON AMDERA OSCURO Referencia:  Observacion:  Placa padre: Tipo adquisicion: Entidad"</f>
        <v>Descripcion: ESCRITORIO METALICO DE 2 GAVETAS MEDIDAS 78X120X66 Estado: Bueno Placa anterior: 000008829 Material: METALICO CON MESON EN FORMICA Color: GRIS CON AMDERA OSCURO Referencia:  Observacion:  Placa padre: Tipo adquisicion: Entidad</v>
      </c>
      <c r="G9990" s="5"/>
    </row>
    <row r="9991" spans="1:7" ht="58.5" customHeight="1" x14ac:dyDescent="0.25">
      <c r="A9991" s="5" t="str">
        <f>"H0001237"</f>
        <v>H0001237</v>
      </c>
      <c r="B9991" s="5" t="str">
        <f>"MESA METALICA PARA COMPUTADOR"</f>
        <v>MESA METALICA PARA COMPUTADOR</v>
      </c>
      <c r="C9991" s="6">
        <v>800000</v>
      </c>
      <c r="D9991" s="5"/>
      <c r="E9991" s="5" t="str">
        <f t="shared" si="509"/>
        <v>LABORATORIO CLINICO-CARLOS OSWALDO MORENO SALGADO</v>
      </c>
      <c r="F9991" s="5" t="str">
        <f>"Descripcion: MESA METALICA PARA COMPUTADOR EN FORMICA MEDIDAS:75.5X150X60 Estado: Bueno Placa anterior: 000033466 Material: METALICO CON MESON EN FORMICA Color: MADERA CLARO Referencia:  Observacion:  Placa padre: Tipo adquisicion: Entidad"</f>
        <v>Descripcion: MESA METALICA PARA COMPUTADOR EN FORMICA MEDIDAS:75.5X150X60 Estado: Bueno Placa anterior: 000033466 Material: METALICO CON MESON EN FORMICA Color: MADERA CLARO Referencia:  Observacion:  Placa padre: Tipo adquisicion: Entidad</v>
      </c>
      <c r="G9991" s="5"/>
    </row>
    <row r="9992" spans="1:7" ht="58.5" customHeight="1" x14ac:dyDescent="0.25">
      <c r="A9992" s="5" t="str">
        <f>"H0001240"</f>
        <v>H0001240</v>
      </c>
      <c r="B9992" s="5" t="str">
        <f>"ESCRITORIO DE MADERA 3 GAVETAS"</f>
        <v>ESCRITORIO DE MADERA 3 GAVETAS</v>
      </c>
      <c r="C9992" s="6">
        <v>500000</v>
      </c>
      <c r="D9992" s="5" t="s">
        <v>572</v>
      </c>
      <c r="E9992" s="5" t="str">
        <f t="shared" si="509"/>
        <v>LABORATORIO CLINICO-CARLOS OSWALDO MORENO SALGADO</v>
      </c>
      <c r="F9992" s="5" t="str">
        <f>"Descripcion: ESCRITORIO DE MADERA 3 GAVETAS MEDIDAS 75X150X60 Estado: Bueno Placa anterior: 000036482 Material: MADERA CON MESON EN FORMICA Color: NEGRO CON MADERA Referencia:  Observacion:  Placa padre: Tipo adquisicion: Entidad"</f>
        <v>Descripcion: ESCRITORIO DE MADERA 3 GAVETAS MEDIDAS 75X150X60 Estado: Bueno Placa anterior: 000036482 Material: MADERA CON MESON EN FORMICA Color: NEGRO CON MADERA Referencia:  Observacion:  Placa padre: Tipo adquisicion: Entidad</v>
      </c>
      <c r="G9992" s="5"/>
    </row>
    <row r="9993" spans="1:7" ht="58.5" customHeight="1" x14ac:dyDescent="0.25">
      <c r="A9993" s="5" t="str">
        <f>"H0001243"</f>
        <v>H0001243</v>
      </c>
      <c r="B9993" s="5" t="str">
        <f>"VENTILADOR DE PARED"</f>
        <v>VENTILADOR DE PARED</v>
      </c>
      <c r="C9993" s="6">
        <v>72477.5</v>
      </c>
      <c r="D9993" s="5" t="s">
        <v>54</v>
      </c>
      <c r="E9993" s="5" t="str">
        <f t="shared" si="509"/>
        <v>LABORATORIO CLINICO-CARLOS OSWALDO MORENO SALGADO</v>
      </c>
      <c r="F9993" s="5" t="str">
        <f>"Descripcion: VENTILADOR DE PARED DIGITAL SANKEY Estado: Bueno Placa anterior: 000037169 Material: PLASTICO CON REJILLA METALICA Color: BEIGE Referencia:  Observacion:  Placa padre: Tipo adquisicion: Entidad"</f>
        <v>Descripcion: VENTILADOR DE PARED DIGITAL SANKEY Estado: Bueno Placa anterior: 000037169 Material: PLASTICO CON REJILLA METALICA Color: BEIGE Referencia:  Observacion:  Placa padre: Tipo adquisicion: Entidad</v>
      </c>
      <c r="G9993" s="5" t="str">
        <f>"DIGITAL"</f>
        <v>DIGITAL</v>
      </c>
    </row>
    <row r="9994" spans="1:7" ht="58.5" customHeight="1" x14ac:dyDescent="0.25">
      <c r="A9994" s="5" t="str">
        <f>"H0001245"</f>
        <v>H0001245</v>
      </c>
      <c r="B9994" s="5" t="str">
        <f>"SILLA ERGONOMICA TIPO SECRETARIA SIN BRAZOS"</f>
        <v>SILLA ERGONOMICA TIPO SECRETARIA SIN BRAZOS</v>
      </c>
      <c r="C9994" s="6">
        <v>175000</v>
      </c>
      <c r="D9994" s="5"/>
      <c r="E9994" s="5" t="str">
        <f t="shared" si="509"/>
        <v>LABORATORIO CLINICO-CARLOS OSWALDO MORENO SALGADO</v>
      </c>
      <c r="F9994" s="5" t="str">
        <f>"Descripcion: SILLA ERGONOMICA TIPO SECRETARIA SIN BRAZOS TAPIZADA Estado: Bueno Placa anterior: 000008869 Material: TAPIZADO EN TELA Color: AZUL Referencia:  Observacion:  Placa padre: Tipo adquisicion: Entidad"</f>
        <v>Descripcion: SILLA ERGONOMICA TIPO SECRETARIA SIN BRAZOS TAPIZADA Estado: Bueno Placa anterior: 000008869 Material: TAPIZADO EN TELA Color: AZUL Referencia:  Observacion:  Placa padre: Tipo adquisicion: Entidad</v>
      </c>
      <c r="G9994" s="5"/>
    </row>
    <row r="9995" spans="1:7" ht="58.5" customHeight="1" x14ac:dyDescent="0.25">
      <c r="A9995" s="5" t="str">
        <f>"H0001248"</f>
        <v>H0001248</v>
      </c>
      <c r="B9995" s="5" t="str">
        <f>"DIVISION (PANEL) MODULAR"</f>
        <v>DIVISION (PANEL) MODULAR</v>
      </c>
      <c r="C9995" s="6">
        <v>980000</v>
      </c>
      <c r="D9995" s="5" t="s">
        <v>3</v>
      </c>
      <c r="E9995" s="5" t="str">
        <f t="shared" si="509"/>
        <v>LABORATORIO CLINICO-CARLOS OSWALDO MORENO SALGADO</v>
      </c>
      <c r="F9995" s="5" t="str">
        <f>"Descripcion: DIVISION METALICA CON VIDRIO MEDIDAS:203X85 Estado: Bueno Placa anterior:  Material: METALICO CON VIDRIO Color: GRIS Referencia:  Observacion:  Placa padre: Tipo adquisicion: Entidad"</f>
        <v>Descripcion: DIVISION METALICA CON VIDRIO MEDIDAS:203X85 Estado: Bueno Placa anterior:  Material: METALICO CON VIDRIO Color: GRIS Referencia:  Observacion:  Placa padre: Tipo adquisicion: Entidad</v>
      </c>
      <c r="G9995" s="5"/>
    </row>
    <row r="9996" spans="1:7" ht="58.5" customHeight="1" x14ac:dyDescent="0.25">
      <c r="A9996" s="5" t="str">
        <f>"H0001250"</f>
        <v>H0001250</v>
      </c>
      <c r="B9996" s="5" t="str">
        <f>"LOCKER DE 2 COMPARTIMIENTOS"</f>
        <v>LOCKER DE 2 COMPARTIMIENTOS</v>
      </c>
      <c r="C9996" s="6">
        <v>7500</v>
      </c>
      <c r="D9996" s="5"/>
      <c r="E9996" s="5" t="str">
        <f t="shared" si="509"/>
        <v>LABORATORIO CLINICO-CARLOS OSWALDO MORENO SALGADO</v>
      </c>
      <c r="F9996" s="5" t="str">
        <f>"Descripcion: LOCKER DE 1 CUERPO 2 COMPARTIMIENTOS MEDIDAS 285X32X29CM Estado: Bueno Placa anterior: 000008185 Material: METALICO Color: GRIS Referencia:  Observacion:  Placa padre: Tipo adquisicion: Entidad"</f>
        <v>Descripcion: LOCKER DE 1 CUERPO 2 COMPARTIMIENTOS MEDIDAS 285X32X29CM Estado: Bueno Placa anterior: 000008185 Material: METALICO Color: GRIS Referencia:  Observacion:  Placa padre: Tipo adquisicion: Entidad</v>
      </c>
      <c r="G9996" s="5"/>
    </row>
    <row r="9997" spans="1:7" ht="58.5" customHeight="1" x14ac:dyDescent="0.25">
      <c r="A9997" s="5" t="str">
        <f>"H0001255"</f>
        <v>H0001255</v>
      </c>
      <c r="B9997" s="5" t="str">
        <f>"LOCKER DE 12 COMPARTIMIENTOS"</f>
        <v>LOCKER DE 12 COMPARTIMIENTOS</v>
      </c>
      <c r="C9997" s="6">
        <v>770000</v>
      </c>
      <c r="D9997" s="5" t="s">
        <v>383</v>
      </c>
      <c r="E9997" s="5" t="str">
        <f t="shared" si="509"/>
        <v>LABORATORIO CLINICO-CARLOS OSWALDO MORENO SALGADO</v>
      </c>
      <c r="F9997" s="5" t="str">
        <f>"Descripcion: LOCKER DE TRES CUERPOS Y 12 COMPARTIMIENTOS MEDIDAS 203X103X35CM Estado: Bueno Placa anterior: 000036480 Material: METALICO Color: BEIGE Referencia:  Observacion:  Placa padre: Tipo adquisicion: Donacion"</f>
        <v>Descripcion: LOCKER DE TRES CUERPOS Y 12 COMPARTIMIENTOS MEDIDAS 203X103X35CM Estado: Bueno Placa anterior: 000036480 Material: METALICO Color: BEIGE Referencia:  Observacion:  Placa padre: Tipo adquisicion: Donacion</v>
      </c>
      <c r="G9997" s="5"/>
    </row>
    <row r="9998" spans="1:7" ht="58.5" customHeight="1" x14ac:dyDescent="0.25">
      <c r="A9998" s="5" t="str">
        <f>"H0001256"</f>
        <v>H0001256</v>
      </c>
      <c r="B9998" s="5" t="str">
        <f>"VITRINA DE 2 CUERPOS"</f>
        <v>VITRINA DE 2 CUERPOS</v>
      </c>
      <c r="C9998" s="6">
        <v>28390.48</v>
      </c>
      <c r="D9998" s="5"/>
      <c r="E9998" s="5" t="str">
        <f t="shared" si="509"/>
        <v>LABORATORIO CLINICO-CARLOS OSWALDO MORENO SALGADO</v>
      </c>
      <c r="F9998" s="5" t="str">
        <f>"Descripcion: VITRINA DE 2 CUERPOS METALICA (FALTA 1 PUERTA) MEDIDAS:140X88X73CM Estado: Regular Placa anterior: 000008848 Material: METALICO Color: GRIS  Referencia:  Observacion:  Placa padre: Tipo adquisicion: Entidad"</f>
        <v>Descripcion: VITRINA DE 2 CUERPOS METALICA (FALTA 1 PUERTA) MEDIDAS:140X88X73CM Estado: Regular Placa anterior: 000008848 Material: METALICO Color: GRIS  Referencia:  Observacion:  Placa padre: Tipo adquisicion: Entidad</v>
      </c>
      <c r="G9998" s="5"/>
    </row>
    <row r="9999" spans="1:7" ht="58.5" customHeight="1" x14ac:dyDescent="0.25">
      <c r="A9999" s="5" t="str">
        <f>"H0001258"</f>
        <v>H0001258</v>
      </c>
      <c r="B9999" s="5" t="str">
        <f>"SWITCH 24 PUERTOS"</f>
        <v>SWITCH 24 PUERTOS</v>
      </c>
      <c r="C9999" s="6">
        <v>6942600</v>
      </c>
      <c r="D9999" s="5"/>
      <c r="E9999" s="5" t="str">
        <f t="shared" si="509"/>
        <v>LABORATORIO CLINICO-CARLOS OSWALDO MORENO SALGADO</v>
      </c>
      <c r="F9999" s="5" t="str">
        <f>"Descripcion: SWICH 24 PUERTOS Estado: Bueno Placa anterior:  Material:  Color: GRIS Referencia:  Observacion:  Placa padre: Tipo adquisicion: Entidad"</f>
        <v>Descripcion: SWICH 24 PUERTOS Estado: Bueno Placa anterior:  Material:  Color: GRIS Referencia:  Observacion:  Placa padre: Tipo adquisicion: Entidad</v>
      </c>
      <c r="G9999" s="5" t="str">
        <f>"3CR17661-91"</f>
        <v>3CR17661-91</v>
      </c>
    </row>
    <row r="10000" spans="1:7" ht="58.5" customHeight="1" x14ac:dyDescent="0.25">
      <c r="A10000" s="5" t="str">
        <f>"H0001267"</f>
        <v>H0001267</v>
      </c>
      <c r="B10000" s="5" t="str">
        <f>"CAMAROTE"</f>
        <v>CAMAROTE</v>
      </c>
      <c r="C10000" s="6">
        <v>23650</v>
      </c>
      <c r="D10000" s="5"/>
      <c r="E10000" s="5" t="str">
        <f t="shared" si="509"/>
        <v>LABORATORIO CLINICO-CARLOS OSWALDO MORENO SALGADO</v>
      </c>
      <c r="F10000" s="5" t="str">
        <f>"Descripcion: CAMAROTE METALICO SENCILLO Estado: Bueno Placa anterior: 000008881 Material: METALICO Color: BEIGE Referencia:  Observacion:  Placa padre: Tipo adquisicion: Entidad"</f>
        <v>Descripcion: CAMAROTE METALICO SENCILLO Estado: Bueno Placa anterior: 000008881 Material: METALICO Color: BEIGE Referencia:  Observacion:  Placa padre: Tipo adquisicion: Entidad</v>
      </c>
      <c r="G10000" s="5"/>
    </row>
    <row r="10001" spans="1:7" ht="58.5" customHeight="1" x14ac:dyDescent="0.25">
      <c r="A10001" s="5" t="str">
        <f>"H0001269"</f>
        <v>H0001269</v>
      </c>
      <c r="B10001" s="5" t="str">
        <f>"DIVISION (PANEL) MODULAR"</f>
        <v>DIVISION (PANEL) MODULAR</v>
      </c>
      <c r="C10001" s="6">
        <v>980000</v>
      </c>
      <c r="D10001" s="5" t="s">
        <v>3</v>
      </c>
      <c r="E10001" s="5" t="str">
        <f t="shared" si="509"/>
        <v>LABORATORIO CLINICO-CARLOS OSWALDO MORENO SALGADO</v>
      </c>
      <c r="F10001" s="5" t="str">
        <f>"Descripcion: DIVISION METALICA CON VIDRIO Y PUERTA CORREDIZA MEDIDAS:203X191CM Estado: Bueno Placa anterior:  Material: METALICO CON VIDRIO Color: GRIS Referencia:  Observacion:  Placa padre: Tipo adquisicion: Entidad"</f>
        <v>Descripcion: DIVISION METALICA CON VIDRIO Y PUERTA CORREDIZA MEDIDAS:203X191CM Estado: Bueno Placa anterior:  Material: METALICO CON VIDRIO Color: GRIS Referencia:  Observacion:  Placa padre: Tipo adquisicion: Entidad</v>
      </c>
      <c r="G10001" s="5"/>
    </row>
    <row r="10002" spans="1:7" ht="58.5" customHeight="1" x14ac:dyDescent="0.25">
      <c r="A10002" s="5" t="str">
        <f>"H0001272"</f>
        <v>H0001272</v>
      </c>
      <c r="B10002" s="5" t="str">
        <f>"NEVERA DE 66 LTS"</f>
        <v>NEVERA DE 66 LTS</v>
      </c>
      <c r="C10002" s="6">
        <v>249500</v>
      </c>
      <c r="D10002" s="5"/>
      <c r="E10002" s="5" t="str">
        <f t="shared" si="509"/>
        <v>LABORATORIO CLINICO-CARLOS OSWALDO MORENO SALGADO</v>
      </c>
      <c r="F10002" s="5" t="str">
        <f>"Descripcion: NEVERA 4 PIES PHILIPS ESTANDAR  Estado: Bueno Placa anterior: 000008844 Material: METALICO Color: BEIGE Referencia:  Observacion:  Placa padre: Tipo adquisicion: Entidad"</f>
        <v>Descripcion: NEVERA 4 PIES PHILIPS ESTANDAR  Estado: Bueno Placa anterior: 000008844 Material: METALICO Color: BEIGE Referencia:  Observacion:  Placa padre: Tipo adquisicion: Entidad</v>
      </c>
      <c r="G10002" s="5" t="str">
        <f>"4 PIES STANTANDAR"</f>
        <v>4 PIES STANTANDAR</v>
      </c>
    </row>
    <row r="10003" spans="1:7" ht="58.5" customHeight="1" x14ac:dyDescent="0.25">
      <c r="A10003" s="5" t="str">
        <f>"H0001273"</f>
        <v>H0001273</v>
      </c>
      <c r="B10003" s="5" t="str">
        <f>"MESA DE MADERA REDONDA"</f>
        <v>MESA DE MADERA REDONDA</v>
      </c>
      <c r="C10003" s="6">
        <v>7800</v>
      </c>
      <c r="D10003" s="5"/>
      <c r="E10003" s="5" t="str">
        <f t="shared" si="509"/>
        <v>LABORATORIO CLINICO-CARLOS OSWALDO MORENO SALGADO</v>
      </c>
      <c r="F10003" s="5" t="str">
        <f>"Descripcion: MESA METALICA CIRCULAR CON MESON EN MADERA CON FORMICA Estado: Bueno Placa anterior: 000008862 Material: METALICO CON MESON EN FORMICA Color: GRIS CON MADERA OSCURO Referencia:  Observacion:  Placa padre: Tipo adquisicion: Entidad"</f>
        <v>Descripcion: MESA METALICA CIRCULAR CON MESON EN MADERA CON FORMICA Estado: Bueno Placa anterior: 000008862 Material: METALICO CON MESON EN FORMICA Color: GRIS CON MADERA OSCURO Referencia:  Observacion:  Placa padre: Tipo adquisicion: Entidad</v>
      </c>
      <c r="G10003" s="5"/>
    </row>
    <row r="10004" spans="1:7" ht="58.5" customHeight="1" x14ac:dyDescent="0.25">
      <c r="A10004" s="5" t="str">
        <f>"H0001275"</f>
        <v>H0001275</v>
      </c>
      <c r="B10004" s="5" t="str">
        <f>"SILLA INTERLOCUTORA (FIJA) SIN BRAZOS"</f>
        <v>SILLA INTERLOCUTORA (FIJA) SIN BRAZOS</v>
      </c>
      <c r="C10004" s="6">
        <v>7480</v>
      </c>
      <c r="D10004" s="5"/>
      <c r="E10004" s="5" t="str">
        <f t="shared" si="509"/>
        <v>LABORATORIO CLINICO-CARLOS OSWALDO MORENO SALGADO</v>
      </c>
      <c r="F10004" s="5" t="str">
        <f>"Descripcion: SILLA FIJA INTERLOCUTORA COLOR MARRON Estado: Bueno Placa anterior: 000009371 Material: TAPIZADO EN SEMICUERO Color: MARRON Referencia:  Observacion:  Placa padre: Tipo adquisicion: Entidad"</f>
        <v>Descripcion: SILLA FIJA INTERLOCUTORA COLOR MARRON Estado: Bueno Placa anterior: 000009371 Material: TAPIZADO EN SEMICUERO Color: MARRON Referencia:  Observacion:  Placa padre: Tipo adquisicion: Entidad</v>
      </c>
      <c r="G10004" s="5"/>
    </row>
    <row r="10005" spans="1:7" ht="58.5" customHeight="1" x14ac:dyDescent="0.25">
      <c r="A10005" s="5" t="str">
        <f>"H0001278"</f>
        <v>H0001278</v>
      </c>
      <c r="B10005" s="5" t="str">
        <f t="shared" ref="B10005:B10010" si="510">"ESTANTE METALICO 6 ENTREPAÑOS"</f>
        <v>ESTANTE METALICO 6 ENTREPAÑOS</v>
      </c>
      <c r="C10005" s="6">
        <v>17880.72</v>
      </c>
      <c r="D10005" s="5"/>
      <c r="E10005" s="5" t="str">
        <f t="shared" si="509"/>
        <v>LABORATORIO CLINICO-CARLOS OSWALDO MORENO SALGADO</v>
      </c>
      <c r="F10005" s="5" t="str">
        <f>"Descripcion: ESTANTE METALICO 6 ENTREPAÑOS Estado: Bueno Placa anterior: 000009121 Material: METALICO Color: GRIS Referencia:  Observacion:  Placa padre: Tipo adquisicion: Entidad"</f>
        <v>Descripcion: ESTANTE METALICO 6 ENTREPAÑOS Estado: Bueno Placa anterior: 000009121 Material: METALICO Color: GRIS Referencia:  Observacion:  Placa padre: Tipo adquisicion: Entidad</v>
      </c>
      <c r="G10005" s="5"/>
    </row>
    <row r="10006" spans="1:7" ht="58.5" customHeight="1" x14ac:dyDescent="0.25">
      <c r="A10006" s="5" t="str">
        <f>"H0001279"</f>
        <v>H0001279</v>
      </c>
      <c r="B10006" s="5" t="str">
        <f t="shared" si="510"/>
        <v>ESTANTE METALICO 6 ENTREPAÑOS</v>
      </c>
      <c r="C10006" s="6">
        <v>17880.72</v>
      </c>
      <c r="D10006" s="5"/>
      <c r="E10006" s="5" t="str">
        <f t="shared" si="509"/>
        <v>LABORATORIO CLINICO-CARLOS OSWALDO MORENO SALGADO</v>
      </c>
      <c r="F10006" s="5" t="str">
        <f>"Descripcion: ESTANTE METALICO 6 ENTREPAÑOS Estado: Bueno Placa anterior: 000009117 Material: METALICO Color: GRIS Referencia:  Observacion:  Placa padre: Tipo adquisicion: Entidad"</f>
        <v>Descripcion: ESTANTE METALICO 6 ENTREPAÑOS Estado: Bueno Placa anterior: 000009117 Material: METALICO Color: GRIS Referencia:  Observacion:  Placa padre: Tipo adquisicion: Entidad</v>
      </c>
      <c r="G10006" s="5"/>
    </row>
    <row r="10007" spans="1:7" ht="58.5" customHeight="1" x14ac:dyDescent="0.25">
      <c r="A10007" s="5" t="str">
        <f>"H0001280"</f>
        <v>H0001280</v>
      </c>
      <c r="B10007" s="5" t="str">
        <f t="shared" si="510"/>
        <v>ESTANTE METALICO 6 ENTREPAÑOS</v>
      </c>
      <c r="C10007" s="6">
        <v>17880.72</v>
      </c>
      <c r="D10007" s="5"/>
      <c r="E10007" s="5" t="str">
        <f t="shared" si="509"/>
        <v>LABORATORIO CLINICO-CARLOS OSWALDO MORENO SALGADO</v>
      </c>
      <c r="F10007" s="5" t="str">
        <f>"Descripcion: ESTANTE METALICO 6 ENTREPAÑOS ALTO 241CM Estado: Bueno Placa anterior: 000009118 Material: METALICO Color: GRIS Referencia:  Observacion:  Placa padre: Tipo adquisicion: Entidad"</f>
        <v>Descripcion: ESTANTE METALICO 6 ENTREPAÑOS ALTO 241CM Estado: Bueno Placa anterior: 000009118 Material: METALICO Color: GRIS Referencia:  Observacion:  Placa padre: Tipo adquisicion: Entidad</v>
      </c>
      <c r="G10007" s="5"/>
    </row>
    <row r="10008" spans="1:7" ht="58.5" customHeight="1" x14ac:dyDescent="0.25">
      <c r="A10008" s="5" t="str">
        <f>"H0001281"</f>
        <v>H0001281</v>
      </c>
      <c r="B10008" s="5" t="str">
        <f t="shared" si="510"/>
        <v>ESTANTE METALICO 6 ENTREPAÑOS</v>
      </c>
      <c r="C10008" s="6">
        <v>17880.72</v>
      </c>
      <c r="D10008" s="5"/>
      <c r="E10008" s="5" t="str">
        <f t="shared" si="509"/>
        <v>LABORATORIO CLINICO-CARLOS OSWALDO MORENO SALGADO</v>
      </c>
      <c r="F10008" s="5" t="str">
        <f>"Descripcion: ESTANTE METALICO 6 ENTREPAÑOS Estado: Bueno Placa anterior: 000009123 Material: METALICO Color: GRIS Referencia:  Observacion:  Placa padre: Tipo adquisicion: Entidad"</f>
        <v>Descripcion: ESTANTE METALICO 6 ENTREPAÑOS Estado: Bueno Placa anterior: 000009123 Material: METALICO Color: GRIS Referencia:  Observacion:  Placa padre: Tipo adquisicion: Entidad</v>
      </c>
      <c r="G10008" s="5"/>
    </row>
    <row r="10009" spans="1:7" ht="58.5" customHeight="1" x14ac:dyDescent="0.25">
      <c r="A10009" s="5" t="str">
        <f>"H0001282"</f>
        <v>H0001282</v>
      </c>
      <c r="B10009" s="5" t="str">
        <f t="shared" si="510"/>
        <v>ESTANTE METALICO 6 ENTREPAÑOS</v>
      </c>
      <c r="C10009" s="6">
        <v>17880.72</v>
      </c>
      <c r="D10009" s="5"/>
      <c r="E10009" s="5" t="str">
        <f t="shared" si="509"/>
        <v>LABORATORIO CLINICO-CARLOS OSWALDO MORENO SALGADO</v>
      </c>
      <c r="F10009" s="5" t="str">
        <f>"Descripcion: ESTANTE METALICO 6 ENTREPAÑOS Estado: Bueno Placa anterior: 000009120 Material: METALICO Color: GRIS Referencia:  Observacion:  Placa padre: Tipo adquisicion: Entidad"</f>
        <v>Descripcion: ESTANTE METALICO 6 ENTREPAÑOS Estado: Bueno Placa anterior: 000009120 Material: METALICO Color: GRIS Referencia:  Observacion:  Placa padre: Tipo adquisicion: Entidad</v>
      </c>
      <c r="G10009" s="5"/>
    </row>
    <row r="10010" spans="1:7" ht="58.5" customHeight="1" x14ac:dyDescent="0.25">
      <c r="A10010" s="5" t="str">
        <f>"H0001283"</f>
        <v>H0001283</v>
      </c>
      <c r="B10010" s="5" t="str">
        <f t="shared" si="510"/>
        <v>ESTANTE METALICO 6 ENTREPAÑOS</v>
      </c>
      <c r="C10010" s="6">
        <v>17880.72</v>
      </c>
      <c r="D10010" s="5"/>
      <c r="E10010" s="5" t="str">
        <f t="shared" si="509"/>
        <v>LABORATORIO CLINICO-CARLOS OSWALDO MORENO SALGADO</v>
      </c>
      <c r="F10010" s="5" t="str">
        <f>"Descripcion: ESTANTE METALICO 6 ENTREPAÑOS Estado: Bueno Placa anterior: 000009122 Material: METALICO Color: GRIS Referencia:  Observacion:  Placa padre: Tipo adquisicion: Entidad"</f>
        <v>Descripcion: ESTANTE METALICO 6 ENTREPAÑOS Estado: Bueno Placa anterior: 000009122 Material: METALICO Color: GRIS Referencia:  Observacion:  Placa padre: Tipo adquisicion: Entidad</v>
      </c>
      <c r="G10010" s="5"/>
    </row>
    <row r="10011" spans="1:7" ht="58.5" customHeight="1" x14ac:dyDescent="0.25">
      <c r="A10011" s="5" t="str">
        <f>"H0001295"</f>
        <v>H0001295</v>
      </c>
      <c r="B10011" s="5" t="str">
        <f>"MESA METALICA PARA COMPUTADOR"</f>
        <v>MESA METALICA PARA COMPUTADOR</v>
      </c>
      <c r="C10011" s="6">
        <v>800000</v>
      </c>
      <c r="D10011" s="5"/>
      <c r="E10011" s="5" t="str">
        <f t="shared" si="509"/>
        <v>LABORATORIO CLINICO-CARLOS OSWALDO MORENO SALGADO</v>
      </c>
      <c r="F10011" s="5" t="str">
        <f>"Descripcion: MESA DE MADERA PARA COMPUTADOR CON 1 GAVETA MEDIDAS 175X150X60 Estado: Bueno Placa anterior: 000033468 Material: METALICO CON MESON EN FOMIRCA Color: MADERA LCARO GRIS Referencia:  Observacion:  Placa padre: Tipo adquisicion: Entidad"</f>
        <v>Descripcion: MESA DE MADERA PARA COMPUTADOR CON 1 GAVETA MEDIDAS 175X150X60 Estado: Bueno Placa anterior: 000033468 Material: METALICO CON MESON EN FOMIRCA Color: MADERA LCARO GRIS Referencia:  Observacion:  Placa padre: Tipo adquisicion: Entidad</v>
      </c>
      <c r="G10011" s="5"/>
    </row>
    <row r="10012" spans="1:7" ht="58.5" customHeight="1" x14ac:dyDescent="0.25">
      <c r="A10012" s="5" t="str">
        <f>"H0001297"</f>
        <v>H0001297</v>
      </c>
      <c r="B10012" s="5" t="str">
        <f>"MESA METALICA PARA COMPUTADOR"</f>
        <v>MESA METALICA PARA COMPUTADOR</v>
      </c>
      <c r="C10012" s="6">
        <v>800000</v>
      </c>
      <c r="D10012" s="5"/>
      <c r="E10012" s="5" t="str">
        <f t="shared" si="509"/>
        <v>LABORATORIO CLINICO-CARLOS OSWALDO MORENO SALGADO</v>
      </c>
      <c r="F10012" s="5" t="str">
        <f>"Descripcion: MESA DE MADERA PARA COMPUTADOR CON 1 GAVETA MEDIDAS 175X150X60 Estado: Bueno Placa anterior: 000033469 Material: METALICO CON MESON EN FORMICA Color: MADERA CLARO Referencia:  Observacion:  Placa padre: Tipo adquisicion: Entidad"</f>
        <v>Descripcion: MESA DE MADERA PARA COMPUTADOR CON 1 GAVETA MEDIDAS 175X150X60 Estado: Bueno Placa anterior: 000033469 Material: METALICO CON MESON EN FORMICA Color: MADERA CLARO Referencia:  Observacion:  Placa padre: Tipo adquisicion: Entidad</v>
      </c>
      <c r="G10012" s="5"/>
    </row>
    <row r="10013" spans="1:7" ht="58.5" customHeight="1" x14ac:dyDescent="0.25">
      <c r="A10013" s="5" t="str">
        <f>"H0001300"</f>
        <v>H0001300</v>
      </c>
      <c r="B10013" s="5" t="str">
        <f>"BUTACO GIRATORIO CON RUEDAS"</f>
        <v>BUTACO GIRATORIO CON RUEDAS</v>
      </c>
      <c r="C10013" s="6">
        <v>211120</v>
      </c>
      <c r="D10013" s="5"/>
      <c r="E10013" s="5" t="str">
        <f t="shared" si="509"/>
        <v>LABORATORIO CLINICO-CARLOS OSWALDO MORENO SALGADO</v>
      </c>
      <c r="F10013" s="5" t="str">
        <f>"Descripcion: BUTACO GIRATORIO CON RODACHINES ANTES SILLA ERGONOMICA LE QUITARON EL ESPALDAR Estado: Bueno Placa anterior: 000025319 Material: TAPIZADO EN SEMICUERO Color: NEGRO Referencia:  Observacion:  Placa padre: Tipo adquisicion: Entidad"</f>
        <v>Descripcion: BUTACO GIRATORIO CON RODACHINES ANTES SILLA ERGONOMICA LE QUITARON EL ESPALDAR Estado: Bueno Placa anterior: 000025319 Material: TAPIZADO EN SEMICUERO Color: NEGRO Referencia:  Observacion:  Placa padre: Tipo adquisicion: Entidad</v>
      </c>
      <c r="G10013" s="5"/>
    </row>
    <row r="10014" spans="1:7" ht="58.5" customHeight="1" x14ac:dyDescent="0.25">
      <c r="A10014" s="5" t="str">
        <f>"H0001301"</f>
        <v>H0001301</v>
      </c>
      <c r="B10014" s="5" t="str">
        <f>"RELOJ DE PARED"</f>
        <v>RELOJ DE PARED</v>
      </c>
      <c r="C10014" s="6">
        <v>8190</v>
      </c>
      <c r="D10014" s="5"/>
      <c r="E10014" s="5" t="str">
        <f t="shared" ref="E10014:E10045" si="511">"LABORATORIO CLINICO-CARLOS OSWALDO MORENO SALGADO"</f>
        <v>LABORATORIO CLINICO-CARLOS OSWALDO MORENO SALGADO</v>
      </c>
      <c r="F10014" s="5" t="str">
        <f>"Descripcion: RELOJ DE PARED MCA. JAWACO Estado: Bueno Placa anterior: 000008871 Material:  Color: NEGRO Referencia:  Observacion:  Placa padre: Tipo adquisicion: Entidad"</f>
        <v>Descripcion: RELOJ DE PARED MCA. JAWACO Estado: Bueno Placa anterior: 000008871 Material:  Color: NEGRO Referencia:  Observacion:  Placa padre: Tipo adquisicion: Entidad</v>
      </c>
      <c r="G10014" s="5"/>
    </row>
    <row r="10015" spans="1:7" ht="58.5" customHeight="1" x14ac:dyDescent="0.25">
      <c r="A10015" s="5" t="str">
        <f>"H0001302"</f>
        <v>H0001302</v>
      </c>
      <c r="B10015" s="5" t="str">
        <f>"CAMARA DE VIDEOVIGILANCIA"</f>
        <v>CAMARA DE VIDEOVIGILANCIA</v>
      </c>
      <c r="C10015" s="6">
        <v>371000</v>
      </c>
      <c r="D10015" s="5" t="s">
        <v>213</v>
      </c>
      <c r="E10015" s="5" t="str">
        <f t="shared" si="511"/>
        <v>LABORATORIO CLINICO-CARLOS OSWALDO MORENO SALGADO</v>
      </c>
      <c r="F10015" s="5" t="str">
        <f>"Descripcion: CAMARA IP TIPO DOMO 2 MPX LENTE DE 2.8 mm PoE 1/3 (WI-FI) Estado: Bueno Placa anterior: 000038227 Material:  Color: BLANCO CON NEGRO Referencia:  Observacion:  Placa padre: Tipo adquisicion: Entidad"</f>
        <v>Descripcion: CAMARA IP TIPO DOMO 2 MPX LENTE DE 2.8 mm PoE 1/3 (WI-FI) Estado: Bueno Placa anterior: 000038227 Material:  Color: BLANCO CON NEGRO Referencia:  Observacion:  Placa padre: Tipo adquisicion: Entidad</v>
      </c>
      <c r="G10015" s="5"/>
    </row>
    <row r="10016" spans="1:7" ht="58.5" customHeight="1" x14ac:dyDescent="0.25">
      <c r="A10016" s="5" t="str">
        <f>"H0001303"</f>
        <v>H0001303</v>
      </c>
      <c r="B10016" s="5" t="str">
        <f>"CAMARA DE VIDEOVIGILANCIA"</f>
        <v>CAMARA DE VIDEOVIGILANCIA</v>
      </c>
      <c r="C10016" s="6">
        <v>371000</v>
      </c>
      <c r="D10016" s="5" t="s">
        <v>213</v>
      </c>
      <c r="E10016" s="5" t="str">
        <f t="shared" si="511"/>
        <v>LABORATORIO CLINICO-CARLOS OSWALDO MORENO SALGADO</v>
      </c>
      <c r="F10016" s="5" t="str">
        <f>"Descripcion: CAMARA IP TIPO DOMO 2 MPX LENTE DE 2.8 mm PoE 1/3 (WI-FI) Estado: Bueno Placa anterior: 000038229 Material:  Color: BLANCO CON NEGRO Referencia:  Observacion:  Placa padre: Tipo adquisicion: Entidad"</f>
        <v>Descripcion: CAMARA IP TIPO DOMO 2 MPX LENTE DE 2.8 mm PoE 1/3 (WI-FI) Estado: Bueno Placa anterior: 000038229 Material:  Color: BLANCO CON NEGRO Referencia:  Observacion:  Placa padre: Tipo adquisicion: Entidad</v>
      </c>
      <c r="G10016" s="5"/>
    </row>
    <row r="10017" spans="1:7" ht="58.5" customHeight="1" x14ac:dyDescent="0.25">
      <c r="A10017" s="5" t="str">
        <f>"H0001304"</f>
        <v>H0001304</v>
      </c>
      <c r="B10017" s="5" t="str">
        <f>"EXTINTOR DE AGUA A PRESION ACERO INOXIDABLE DE 2,58"</f>
        <v>EXTINTOR DE AGUA A PRESION ACERO INOXIDABLE DE 2,58</v>
      </c>
      <c r="C10017" s="6">
        <v>135000</v>
      </c>
      <c r="D10017" s="5"/>
      <c r="E10017" s="5" t="str">
        <f t="shared" si="511"/>
        <v>LABORATORIO CLINICO-CARLOS OSWALDO MORENO SALGADO</v>
      </c>
      <c r="F10017" s="5" t="str">
        <f>"Descripcion: EXTINTOR DE FUEGO CO2 TIPO B Y C Estado: Bueno Placa anterior: 000008868 Material:  Color: ROJO Referencia:  Observacion:  Placa padre: Tipo adquisicion: Entidad"</f>
        <v>Descripcion: EXTINTOR DE FUEGO CO2 TIPO B Y C Estado: Bueno Placa anterior: 000008868 Material:  Color: ROJO Referencia:  Observacion:  Placa padre: Tipo adquisicion: Entidad</v>
      </c>
      <c r="G10017" s="5"/>
    </row>
    <row r="10018" spans="1:7" ht="58.5" customHeight="1" x14ac:dyDescent="0.25">
      <c r="A10018" s="5" t="str">
        <f>"H0001305"</f>
        <v>H0001305</v>
      </c>
      <c r="B10018" s="5" t="str">
        <f>"SILLA ERGONOMICA TIPO SECRETARIA SIN BRAZOS"</f>
        <v>SILLA ERGONOMICA TIPO SECRETARIA SIN BRAZOS</v>
      </c>
      <c r="C10018" s="6">
        <v>160000</v>
      </c>
      <c r="D10018" s="5"/>
      <c r="E10018" s="5" t="str">
        <f t="shared" si="511"/>
        <v>LABORATORIO CLINICO-CARLOS OSWALDO MORENO SALGADO</v>
      </c>
      <c r="F10018" s="5" t="str">
        <f>"Descripcion: SILLA GIRATORIA TIPO SECRETARIA SIN BRAZOS Estado: Regular Placa anterior: 000022513 Material: TAPIZADO EN SEMICUERO (ESTA DAÑADO EL ASIENTO) Color: MARRON Referencia:  Observacion:  Placa padre: Tipo adquisicion: Entidad"</f>
        <v>Descripcion: SILLA GIRATORIA TIPO SECRETARIA SIN BRAZOS Estado: Regular Placa anterior: 000022513 Material: TAPIZADO EN SEMICUERO (ESTA DAÑADO EL ASIENTO) Color: MARRON Referencia:  Observacion:  Placa padre: Tipo adquisicion: Entidad</v>
      </c>
      <c r="G10018" s="5"/>
    </row>
    <row r="10019" spans="1:7" ht="58.5" customHeight="1" x14ac:dyDescent="0.25">
      <c r="A10019" s="5" t="str">
        <f>"H0001307"</f>
        <v>H0001307</v>
      </c>
      <c r="B10019" s="5" t="str">
        <f>"REFRIGERADOR VERTICAL"</f>
        <v>REFRIGERADOR VERTICAL</v>
      </c>
      <c r="C10019" s="6">
        <v>23780000</v>
      </c>
      <c r="D10019" s="5" t="s">
        <v>549</v>
      </c>
      <c r="E10019" s="5" t="str">
        <f t="shared" si="511"/>
        <v>LABORATORIO CLINICO-CARLOS OSWALDO MORENO SALGADO</v>
      </c>
      <c r="F10019" s="5" t="str">
        <f>"Descripcion: REFRIGERADOR PARA LABORATORIO 610LT, 4 REJILLAS Estado: Bueno Placa anterior: 000029779 Material: METALICA Color: AZUL Referencia:  Observacion:  Placa padre: Tipo adquisicion: Entidad"</f>
        <v>Descripcion: REFRIGERADOR PARA LABORATORIO 610LT, 4 REJILLAS Estado: Bueno Placa anterior: 000029779 Material: METALICA Color: AZUL Referencia:  Observacion:  Placa padre: Tipo adquisicion: Entidad</v>
      </c>
      <c r="G10019" s="5" t="str">
        <f>"LR 700 G"</f>
        <v>LR 700 G</v>
      </c>
    </row>
    <row r="10020" spans="1:7" ht="58.5" customHeight="1" x14ac:dyDescent="0.25">
      <c r="A10020" s="5" t="str">
        <f>"H0001310"</f>
        <v>H0001310</v>
      </c>
      <c r="B10020" s="5" t="str">
        <f>"CENTRIFUGA 24 TUBOS LW"</f>
        <v>CENTRIFUGA 24 TUBOS LW</v>
      </c>
      <c r="C10020" s="6">
        <v>9991080</v>
      </c>
      <c r="D10020" s="5" t="s">
        <v>573</v>
      </c>
      <c r="E10020" s="5" t="str">
        <f t="shared" si="511"/>
        <v>LABORATORIO CLINICO-CARLOS OSWALDO MORENO SALGADO</v>
      </c>
      <c r="F10020" s="5" t="str">
        <f>"Descripcion: CENTRIFUGA MARCA HERMLE, MODELO Z306 CAPACIDAD DE 28 TUBOS DE 15 ML Estado: Bueno Placa anterior: 000031305 Material:  Color: GRIS Referencia:  Observacion:  Placa padre: Tipo adquisicion: Entidad"</f>
        <v>Descripcion: CENTRIFUGA MARCA HERMLE, MODELO Z306 CAPACIDAD DE 28 TUBOS DE 15 ML Estado: Bueno Placa anterior: 000031305 Material:  Color: GRIS Referencia:  Observacion:  Placa padre: Tipo adquisicion: Entidad</v>
      </c>
      <c r="G10020" s="5" t="str">
        <f>"Z-306"</f>
        <v>Z-306</v>
      </c>
    </row>
    <row r="10021" spans="1:7" ht="58.5" customHeight="1" x14ac:dyDescent="0.25">
      <c r="A10021" s="5" t="str">
        <f>"H0001314"</f>
        <v>H0001314</v>
      </c>
      <c r="B10021" s="5" t="str">
        <f>"AIRE ACONDICIONADO 18000 BTU"</f>
        <v>AIRE ACONDICIONADO 18000 BTU</v>
      </c>
      <c r="C10021" s="6">
        <v>3009040</v>
      </c>
      <c r="D10021" s="5" t="s">
        <v>52</v>
      </c>
      <c r="E10021" s="5" t="str">
        <f t="shared" si="511"/>
        <v>LABORATORIO CLINICO-CARLOS OSWALDO MORENO SALGADO</v>
      </c>
      <c r="F10021" s="5" t="str">
        <f>"Descripcion: AIRE ACONDICIONADO TIPO SPLIT LG 18000BTU Estado: Bueno Placa anterior: 000036403 Material:  Color: BLANCO Referencia: INVERTER V Observacion:  Placa padre: Tipo adquisicion: Entidad"</f>
        <v>Descripcion: AIRE ACONDICIONADO TIPO SPLIT LG 18000BTU Estado: Bueno Placa anterior: 000036403 Material:  Color: BLANCO Referencia: INVERTER V Observacion:  Placa padre: Tipo adquisicion: Entidad</v>
      </c>
      <c r="G10021" s="5" t="str">
        <f>"VM12CEN B3"</f>
        <v>VM12CEN B3</v>
      </c>
    </row>
    <row r="10022" spans="1:7" ht="58.5" customHeight="1" x14ac:dyDescent="0.25">
      <c r="A10022" s="5" t="str">
        <f>"H0001921"</f>
        <v>H0001921</v>
      </c>
      <c r="B10022" s="5" t="str">
        <f>"MONITOR LCD"</f>
        <v>MONITOR LCD</v>
      </c>
      <c r="C10022" s="6">
        <v>659216</v>
      </c>
      <c r="D10022" s="5"/>
      <c r="E10022" s="5" t="str">
        <f t="shared" si="511"/>
        <v>LABORATORIO CLINICO-CARLOS OSWALDO MORENO SALGADO</v>
      </c>
      <c r="F10022" s="5" t="str">
        <f>"Descripcion: MONITOR DE 15 lCD (Completo del Codigo D4629) Estado: Bueno Placa anterior: 000025030 Material:  Color: NEGRO Referencia:  Observacion:  Placa padre: H0001919Tipo adquisicion: Entidad"</f>
        <v>Descripcion: MONITOR DE 15 lCD (Completo del Codigo D4629) Estado: Bueno Placa anterior: 000025030 Material:  Color: NEGRO Referencia:  Observacion:  Placa padre: H0001919Tipo adquisicion: Entidad</v>
      </c>
      <c r="G10022" s="5" t="str">
        <f>"V173"</f>
        <v>V173</v>
      </c>
    </row>
    <row r="10023" spans="1:7" ht="58.5" customHeight="1" x14ac:dyDescent="0.25">
      <c r="A10023" s="5" t="str">
        <f>"H0001924"</f>
        <v>H0001924</v>
      </c>
      <c r="B10023" s="5" t="str">
        <f>"UNIDAD ININTERRUMPIDA DE POTENCIA (UPS) 1KW"</f>
        <v>UNIDAD ININTERRUMPIDA DE POTENCIA (UPS) 1KW</v>
      </c>
      <c r="C10023" s="6">
        <v>187500</v>
      </c>
      <c r="D10023" s="5"/>
      <c r="E10023" s="5" t="str">
        <f t="shared" si="511"/>
        <v>LABORATORIO CLINICO-CARLOS OSWALDO MORENO SALGADO</v>
      </c>
      <c r="F10023" s="5" t="str">
        <f>"Descripcion: UPS 1000W Estado: Bueno Placa anterior: 000004002 Material:  Color: NEGRO Referencia:  Observacion: AUTORIZADO CRUZAR POR SISTEMAS Placa padre: Tipo adquisicion: Entidad"</f>
        <v>Descripcion: UPS 1000W Estado: Bueno Placa anterior: 000004002 Material:  Color: NEGRO Referencia:  Observacion: AUTORIZADO CRUZAR POR SISTEMAS Placa padre: Tipo adquisicion: Entidad</v>
      </c>
      <c r="G10023" s="5"/>
    </row>
    <row r="10024" spans="1:7" ht="58.5" customHeight="1" x14ac:dyDescent="0.25">
      <c r="A10024" s="5" t="str">
        <f>"H0001930"</f>
        <v>H0001930</v>
      </c>
      <c r="B10024" s="5" t="str">
        <f>"MICROSCOPIO BINOCULARES"</f>
        <v>MICROSCOPIO BINOCULARES</v>
      </c>
      <c r="C10024" s="6">
        <v>5684000</v>
      </c>
      <c r="D10024" s="5"/>
      <c r="E10024" s="5" t="str">
        <f t="shared" si="511"/>
        <v>LABORATORIO CLINICO-CARLOS OSWALDO MORENO SALGADO</v>
      </c>
      <c r="F10024" s="5" t="str">
        <f>"Descripcion: MICROSCOPIO BINOCULAR MARCA OLIMPUS MODELO CX21 CON PROTECCION QUIMICA CONTRA HONGOS, SISTEMA OPTICO UIS (UNIVERSAL INFINITY SYSTEM) LAMPARA DE LUZ HALOGENA DE 6V/20W LENTE COLECTORAAESPERICA. PORTAOBJETICO GIRATORIO CUADRUPLE DOS OCULARES DE"&amp; " 10X F.N. 18 Estado: Bueno Placa anterior: 000026260 Material:  Color: BEIGE CON NEGRO Referencia:  Observacion:  Placa padre: Tipo adquisicion: Entidad"</f>
        <v>Descripcion: MICROSCOPIO BINOCULAR MARCA OLIMPUS MODELO CX21 CON PROTECCION QUIMICA CONTRA HONGOS, SISTEMA OPTICO UIS (UNIVERSAL INFINITY SYSTEM) LAMPARA DE LUZ HALOGENA DE 6V/20W LENTE COLECTORAAESPERICA. PORTAOBJETICO GIRATORIO CUADRUPLE DOS OCULARES DE 10X F.N. 18 Estado: Bueno Placa anterior: 000026260 Material:  Color: BEIGE CON NEGRO Referencia:  Observacion:  Placa padre: Tipo adquisicion: Entidad</v>
      </c>
      <c r="G10024" s="5"/>
    </row>
    <row r="10025" spans="1:7" ht="58.5" customHeight="1" x14ac:dyDescent="0.25">
      <c r="A10025" s="5" t="str">
        <f>"H0001932"</f>
        <v>H0001932</v>
      </c>
      <c r="B10025" s="5" t="str">
        <f>"BANDEJA DE ACERO INOXIDABLE GRANDE"</f>
        <v>BANDEJA DE ACERO INOXIDABLE GRANDE</v>
      </c>
      <c r="C10025" s="6">
        <v>8910</v>
      </c>
      <c r="D10025" s="5"/>
      <c r="E10025" s="5" t="str">
        <f t="shared" si="511"/>
        <v>LABORATORIO CLINICO-CARLOS OSWALDO MORENO SALGADO</v>
      </c>
      <c r="F10025" s="5" t="str">
        <f>"Descripcion: BANDEJA EN ACERO INOXIDABLE GRANDE Estado: Bueno Placa anterior: 000009216 Material: ACERO INOXIDABLE Color:  Referencia:  Observacion:  Placa padre: Tipo adquisicion: Entidad"</f>
        <v>Descripcion: BANDEJA EN ACERO INOXIDABLE GRANDE Estado: Bueno Placa anterior: 000009216 Material: ACERO INOXIDABLE Color:  Referencia:  Observacion:  Placa padre: Tipo adquisicion: Entidad</v>
      </c>
      <c r="G10025" s="5"/>
    </row>
    <row r="10026" spans="1:7" ht="58.5" customHeight="1" x14ac:dyDescent="0.25">
      <c r="A10026" s="5" t="str">
        <f>"H0001937"</f>
        <v>H0001937</v>
      </c>
      <c r="B10026" s="5" t="str">
        <f>"ESTANTE METALICO 6 ENTREPAÑOS"</f>
        <v>ESTANTE METALICO 6 ENTREPAÑOS</v>
      </c>
      <c r="C10026" s="6">
        <v>17880.72</v>
      </c>
      <c r="D10026" s="5"/>
      <c r="E10026" s="5" t="str">
        <f t="shared" si="511"/>
        <v>LABORATORIO CLINICO-CARLOS OSWALDO MORENO SALGADO</v>
      </c>
      <c r="F10026" s="5" t="str">
        <f>"Descripcion: ESTANTE METALICO 6 ENTREPAÑOS Estado: Bueno Placa anterior: 000009119 Material: METALICO Color: GRIS Referencia:  Observacion:  Placa padre: Tipo adquisicion: Entidad"</f>
        <v>Descripcion: ESTANTE METALICO 6 ENTREPAÑOS Estado: Bueno Placa anterior: 000009119 Material: METALICO Color: GRIS Referencia:  Observacion:  Placa padre: Tipo adquisicion: Entidad</v>
      </c>
      <c r="G10026" s="5"/>
    </row>
    <row r="10027" spans="1:7" ht="58.5" customHeight="1" x14ac:dyDescent="0.25">
      <c r="A10027" s="5" t="str">
        <f>"H0001946"</f>
        <v>H0001946</v>
      </c>
      <c r="B10027" s="5" t="str">
        <f>"AIRE ACONDICIONADO TIPO SPLIT 12000 BTU"</f>
        <v>AIRE ACONDICIONADO TIPO SPLIT 12000 BTU</v>
      </c>
      <c r="C10027" s="6">
        <v>1836280</v>
      </c>
      <c r="D10027" s="5" t="s">
        <v>52</v>
      </c>
      <c r="E10027" s="5" t="str">
        <f t="shared" si="511"/>
        <v>LABORATORIO CLINICO-CARLOS OSWALDO MORENO SALGADO</v>
      </c>
      <c r="F10027" s="5" t="str">
        <f>"Descripcion: AIRE ACODICIONADO BTU 12000 Estado: Bueno Placa anterior: 000036392 Material: PLASTICO Color: BLANCO Referencia: INVERTER V Observacion:  Placa padre: Tipo adquisicion: Entidad"</f>
        <v>Descripcion: AIRE ACODICIONADO BTU 12000 Estado: Bueno Placa anterior: 000036392 Material: PLASTICO Color: BLANCO Referencia: INVERTER V Observacion:  Placa padre: Tipo adquisicion: Entidad</v>
      </c>
      <c r="G10027" s="5" t="str">
        <f>"VM12CEN B3"</f>
        <v>VM12CEN B3</v>
      </c>
    </row>
    <row r="10028" spans="1:7" ht="58.5" customHeight="1" x14ac:dyDescent="0.25">
      <c r="A10028" s="5" t="str">
        <f>"H0001961"</f>
        <v>H0001961</v>
      </c>
      <c r="B10028" s="5" t="str">
        <f>"MICROSCOPIO BINOCULARES"</f>
        <v>MICROSCOPIO BINOCULARES</v>
      </c>
      <c r="C10028" s="6">
        <v>2340880</v>
      </c>
      <c r="D10028" s="5" t="s">
        <v>572</v>
      </c>
      <c r="E10028" s="5" t="str">
        <f t="shared" si="511"/>
        <v>LABORATORIO CLINICO-CARLOS OSWALDO MORENO SALGADO</v>
      </c>
      <c r="F10028" s="5" t="str">
        <f>"Descripcion: MICROSCOPIO BINOCULAR MARCA NIKON ECLIPSE E100 LED SERIAL 725037 Estado: Bueno Placa anterior: 000036481 Material: METALICO Color: BEIGE Referencia:  Observacion:  Placa padre: Tipo adquisicion: Entidad"</f>
        <v>Descripcion: MICROSCOPIO BINOCULAR MARCA NIKON ECLIPSE E100 LED SERIAL 725037 Estado: Bueno Placa anterior: 000036481 Material: METALICO Color: BEIGE Referencia:  Observacion:  Placa padre: Tipo adquisicion: Entidad</v>
      </c>
      <c r="G10028" s="5" t="str">
        <f>"ECLIPSE E100"</f>
        <v>ECLIPSE E100</v>
      </c>
    </row>
    <row r="10029" spans="1:7" ht="58.5" customHeight="1" x14ac:dyDescent="0.25">
      <c r="A10029" s="5" t="str">
        <f>"H0001962"</f>
        <v>H0001962</v>
      </c>
      <c r="B10029" s="5" t="str">
        <f>"MICROSCOPIO BINOCULARES"</f>
        <v>MICROSCOPIO BINOCULARES</v>
      </c>
      <c r="C10029" s="6">
        <v>2340880</v>
      </c>
      <c r="D10029" s="5" t="s">
        <v>572</v>
      </c>
      <c r="E10029" s="5" t="str">
        <f t="shared" si="511"/>
        <v>LABORATORIO CLINICO-CARLOS OSWALDO MORENO SALGADO</v>
      </c>
      <c r="F10029" s="5" t="str">
        <f>"Descripcion: MICROSCOPIO BINOCULAR MARCA NIKON ECLIPSE E200 Estado: Bueno Placa anterior:  Material: METALICO Color: BEIGE CON NEGRO Referencia:  Observacion:  Placa padre: Tipo adquisicion: Entidad"</f>
        <v>Descripcion: MICROSCOPIO BINOCULAR MARCA NIKON ECLIPSE E200 Estado: Bueno Placa anterior:  Material: METALICO Color: BEIGE CON NEGRO Referencia:  Observacion:  Placa padre: Tipo adquisicion: Entidad</v>
      </c>
      <c r="G10029" s="5" t="str">
        <f>"ECLIPSE E200"</f>
        <v>ECLIPSE E200</v>
      </c>
    </row>
    <row r="10030" spans="1:7" ht="58.5" customHeight="1" x14ac:dyDescent="0.25">
      <c r="A10030" s="5" t="str">
        <f>"H0001963"</f>
        <v>H0001963</v>
      </c>
      <c r="B10030" s="5" t="str">
        <f>"MICROSCOPIO BINOCULARES"</f>
        <v>MICROSCOPIO BINOCULARES</v>
      </c>
      <c r="C10030" s="6">
        <v>1728650</v>
      </c>
      <c r="D10030" s="5"/>
      <c r="E10030" s="5" t="str">
        <f t="shared" si="511"/>
        <v>LABORATORIO CLINICO-CARLOS OSWALDO MORENO SALGADO</v>
      </c>
      <c r="F10030" s="5" t="str">
        <f>"Descripcion: EQUIPO EPI-FLUORESCENCIA MCA. NIKON Estado: Bueno Placa anterior: 000008878 Material: METALICO Color: BEIGE CON NEGRO Referencia:  Observacion:  Placa padre: Tipo adquisicion: Entidad"</f>
        <v>Descripcion: EQUIPO EPI-FLUORESCENCIA MCA. NIKON Estado: Bueno Placa anterior: 000008878 Material: METALICO Color: BEIGE CON NEGRO Referencia:  Observacion:  Placa padre: Tipo adquisicion: Entidad</v>
      </c>
      <c r="G10030" s="5" t="str">
        <f>"ALPHAPHOT YS"</f>
        <v>ALPHAPHOT YS</v>
      </c>
    </row>
    <row r="10031" spans="1:7" ht="58.5" customHeight="1" x14ac:dyDescent="0.25">
      <c r="A10031" s="5" t="str">
        <f>"H0001964"</f>
        <v>H0001964</v>
      </c>
      <c r="B10031" s="5" t="str">
        <f>"ESTABILIZADOR  PARA COMPUTADOR"</f>
        <v>ESTABILIZADOR  PARA COMPUTADOR</v>
      </c>
      <c r="C10031" s="6">
        <v>247219</v>
      </c>
      <c r="D10031" s="5"/>
      <c r="E10031" s="5" t="str">
        <f t="shared" si="511"/>
        <v>LABORATORIO CLINICO-CARLOS OSWALDO MORENO SALGADO</v>
      </c>
      <c r="F10031" s="5" t="str">
        <f>"Descripcion: ESTABILIZADOR DE VOLTAGE MCA NIKON Estado: Bueno Placa anterior: 000009134 Material: METALICO Color: BEIGE Referencia:  Observacion:  Placa padre: Tipo adquisicion: Entidad"</f>
        <v>Descripcion: ESTABILIZADOR DE VOLTAGE MCA NIKON Estado: Bueno Placa anterior: 000009134 Material: METALICO Color: BEIGE Referencia:  Observacion:  Placa padre: Tipo adquisicion: Entidad</v>
      </c>
      <c r="G10031" s="5" t="str">
        <f>"MERCURY LAMP"</f>
        <v>MERCURY LAMP</v>
      </c>
    </row>
    <row r="10032" spans="1:7" ht="58.5" customHeight="1" x14ac:dyDescent="0.25">
      <c r="A10032" s="5" t="str">
        <f>"H0001966"</f>
        <v>H0001966</v>
      </c>
      <c r="B10032" s="5" t="str">
        <f>"LECTOR (ANALIZADOR) MICROELISA (MICROPLACA)"</f>
        <v>LECTOR (ANALIZADOR) MICROELISA (MICROPLACA)</v>
      </c>
      <c r="C10032" s="6">
        <v>2736000</v>
      </c>
      <c r="D10032" s="5"/>
      <c r="E10032" s="5" t="str">
        <f t="shared" si="511"/>
        <v>LABORATORIO CLINICO-CARLOS OSWALDO MORENO SALGADO</v>
      </c>
      <c r="F10032" s="5" t="str">
        <f>"Descripcion: LECTOR MICROELISA MOD. BP-12 Estado: Bueno Placa anterior: 000009380 Material: METALICO Color: NEGRO Referencia:  Observacion:  Placa padre: Tipo adquisicion: Entidad"</f>
        <v>Descripcion: LECTOR MICROELISA MOD. BP-12 Estado: Bueno Placa anterior: 000009380 Material: METALICO Color: NEGRO Referencia:  Observacion:  Placa padre: Tipo adquisicion: Entidad</v>
      </c>
      <c r="G10032" s="5" t="str">
        <f>"BP-12"</f>
        <v>BP-12</v>
      </c>
    </row>
    <row r="10033" spans="1:7" ht="58.5" customHeight="1" x14ac:dyDescent="0.25">
      <c r="A10033" s="5" t="str">
        <f>"H0001969"</f>
        <v>H0001969</v>
      </c>
      <c r="B10033" s="5" t="str">
        <f>"SILLA GIRATORIA SIN BRAZOS FIJA (NO ERGONOMICA)"</f>
        <v>SILLA GIRATORIA SIN BRAZOS FIJA (NO ERGONOMICA)</v>
      </c>
      <c r="C10033" s="6">
        <v>323640</v>
      </c>
      <c r="D10033" s="5"/>
      <c r="E10033" s="5" t="str">
        <f t="shared" si="511"/>
        <v>LABORATORIO CLINICO-CARLOS OSWALDO MORENO SALGADO</v>
      </c>
      <c r="F10033" s="5" t="str">
        <f>"Descripcion: SILLA GIRATORIA SIN BRAZOS FIJA TAPIZADA  Estado: Regular Placa anterior: 000025226 Material: METALICA CON SILLA TAPIZADA Color: NEGRO Referencia:  Observacion:  Placa padre: Tipo adquisicion: Entidad"</f>
        <v>Descripcion: SILLA GIRATORIA SIN BRAZOS FIJA TAPIZADA  Estado: Regular Placa anterior: 000025226 Material: METALICA CON SILLA TAPIZADA Color: NEGRO Referencia:  Observacion:  Placa padre: Tipo adquisicion: Entidad</v>
      </c>
      <c r="G10033" s="5"/>
    </row>
    <row r="10034" spans="1:7" ht="58.5" customHeight="1" x14ac:dyDescent="0.25">
      <c r="A10034" s="5" t="str">
        <f>"H0001971"</f>
        <v>H0001971</v>
      </c>
      <c r="B10034" s="5" t="str">
        <f>"NEVERA DE 66 LTS"</f>
        <v>NEVERA DE 66 LTS</v>
      </c>
      <c r="C10034" s="6">
        <v>1475000</v>
      </c>
      <c r="D10034" s="5"/>
      <c r="E10034" s="5" t="str">
        <f t="shared" si="511"/>
        <v>LABORATORIO CLINICO-CARLOS OSWALDO MORENO SALGADO</v>
      </c>
      <c r="F10034" s="5" t="str">
        <f>"Descripcion: NEVERA VITRINA VERTICAL HACEB REF. RVC7 Estado: Bueno Placa anterior: 000025916 Material: METALICA Y VIDRIO Color: BLANCA CON NEGRO Referencia:  Observacion:  Placa padre: Tipo adquisicion: Entidad"</f>
        <v>Descripcion: NEVERA VITRINA VERTICAL HACEB REF. RVC7 Estado: Bueno Placa anterior: 000025916 Material: METALICA Y VIDRIO Color: BLANCA CON NEGRO Referencia:  Observacion:  Placa padre: Tipo adquisicion: Entidad</v>
      </c>
      <c r="G10034" s="5" t="str">
        <f>"RVC-7NAL"</f>
        <v>RVC-7NAL</v>
      </c>
    </row>
    <row r="10035" spans="1:7" ht="58.5" customHeight="1" x14ac:dyDescent="0.25">
      <c r="A10035" s="5" t="str">
        <f>"H0001975"</f>
        <v>H0001975</v>
      </c>
      <c r="B10035" s="5" t="str">
        <f>"NEVERA DE 66 LTS"</f>
        <v>NEVERA DE 66 LTS</v>
      </c>
      <c r="C10035" s="6">
        <v>21379310</v>
      </c>
      <c r="D10035" s="5"/>
      <c r="E10035" s="5" t="str">
        <f t="shared" si="511"/>
        <v>LABORATORIO CLINICO-CARLOS OSWALDO MORENO SALGADO</v>
      </c>
      <c r="F10035" s="5" t="str">
        <f>"Descripcion: REFRIGERADOR (PARA BANCO DE SANGRE) MODELO IB120 MARCA HELMER Una sola puertA, Capacidad para 280 bolsas de sangre Sistema central integrado de seguimiento con servicio de vigilancia de T, apertura de puerta, nevera y funciones criticas, cont"&amp; "raseña de pr Estado: Bueno Placa anterior: 000033186 Material: METALICO CON VIDRIO Color: AZUL CON PLATEADO Referencia:  Observacion:  Placa padre: Tipo adquisicion: Entidad"</f>
        <v>Descripcion: REFRIGERADOR (PARA BANCO DE SANGRE) MODELO IB120 MARCA HELMER Una sola puertA, Capacidad para 280 bolsas de sangre Sistema central integrado de seguimiento con servicio de vigilancia de T, apertura de puerta, nevera y funciones criticas, contraseña de pr Estado: Bueno Placa anterior: 000033186 Material: METALICO CON VIDRIO Color: AZUL CON PLATEADO Referencia:  Observacion:  Placa padre: Tipo adquisicion: Entidad</v>
      </c>
      <c r="G10035" s="5" t="str">
        <f>"IB120"</f>
        <v>IB120</v>
      </c>
    </row>
    <row r="10036" spans="1:7" ht="58.5" customHeight="1" x14ac:dyDescent="0.25">
      <c r="A10036" s="5" t="str">
        <f>"H0001979"</f>
        <v>H0001979</v>
      </c>
      <c r="B10036" s="5" t="str">
        <f>"SILLA INTERLOCUTORA (FIJA) SIN BRAZOS"</f>
        <v>SILLA INTERLOCUTORA (FIJA) SIN BRAZOS</v>
      </c>
      <c r="C10036" s="6">
        <v>7480</v>
      </c>
      <c r="D10036" s="5"/>
      <c r="E10036" s="5" t="str">
        <f t="shared" si="511"/>
        <v>LABORATORIO CLINICO-CARLOS OSWALDO MORENO SALGADO</v>
      </c>
      <c r="F10036" s="5" t="str">
        <f>"Descripcion: SILLA INTERLOCUTORA (FIJA) SIN BRAZOS TAPIZADA MARRON Estado: Bueno Placa anterior: 000009372 Material: METALICO CON TAPIZADO EN SEMICUERO Color: MARRON Referencia:  Observacion:  Placa padre: Tipo adquisicion: Entidad"</f>
        <v>Descripcion: SILLA INTERLOCUTORA (FIJA) SIN BRAZOS TAPIZADA MARRON Estado: Bueno Placa anterior: 000009372 Material: METALICO CON TAPIZADO EN SEMICUERO Color: MARRON Referencia:  Observacion:  Placa padre: Tipo adquisicion: Entidad</v>
      </c>
      <c r="G10036" s="5"/>
    </row>
    <row r="10037" spans="1:7" ht="58.5" customHeight="1" x14ac:dyDescent="0.25">
      <c r="A10037" s="5" t="str">
        <f>"H0001981"</f>
        <v>H0001981</v>
      </c>
      <c r="B10037" s="5" t="str">
        <f>"BUTACO GIRATORIO SIN RUEDAS"</f>
        <v>BUTACO GIRATORIO SIN RUEDAS</v>
      </c>
      <c r="C10037" s="6">
        <v>6930</v>
      </c>
      <c r="D10037" s="5"/>
      <c r="E10037" s="5" t="str">
        <f t="shared" si="511"/>
        <v>LABORATORIO CLINICO-CARLOS OSWALDO MORENO SALGADO</v>
      </c>
      <c r="F10037" s="5" t="str">
        <f>"Descripcion: BUTACO GIRATORIO SIN RUEDAS (ASIENTO EN MAL ESTADO) Estado: Regular Placa anterior: 000008900 Material: METALICO Y TAPIZADO Color: NEGRO Referencia:  Observacion: FUNCIONARIO AUTORIZA SE CONCILIE CON PLACA 000008900 Placa padre: Tipo adquisic"&amp; "ion: Entidad"</f>
        <v>Descripcion: BUTACO GIRATORIO SIN RUEDAS (ASIENTO EN MAL ESTADO) Estado: Regular Placa anterior: 000008900 Material: METALICO Y TAPIZADO Color: NEGRO Referencia:  Observacion: FUNCIONARIO AUTORIZA SE CONCILIE CON PLACA 000008900 Placa padre: Tipo adquisicion: Entidad</v>
      </c>
      <c r="G10037" s="5"/>
    </row>
    <row r="10038" spans="1:7" ht="58.5" customHeight="1" x14ac:dyDescent="0.25">
      <c r="A10038" s="5" t="str">
        <f>"H0001983"</f>
        <v>H0001983</v>
      </c>
      <c r="B10038" s="5" t="str">
        <f>"AIRE ACONDICIONADO TIPO SPLIT 60000 BTU (5 TON)"</f>
        <v>AIRE ACONDICIONADO TIPO SPLIT 60000 BTU (5 TON)</v>
      </c>
      <c r="C10038" s="6">
        <v>6345000</v>
      </c>
      <c r="D10038" s="5" t="s">
        <v>574</v>
      </c>
      <c r="E10038" s="5" t="str">
        <f t="shared" si="511"/>
        <v>LABORATORIO CLINICO-CARLOS OSWALDO MORENO SALGADO</v>
      </c>
      <c r="F10038" s="5" t="str">
        <f>"Descripcion: AIRE ACONDICIONADO DE 60.000 BTU (INCLUYEN MATERIALES DE INSTALACION) Estado: Bueno Placa anterior: 000036843 Material:  Color: BLANCO Referencia:  Observacion:  Placa anterior:, Placa nueva=H0020722, Descripcion:CONDENSADORA DEL AIRE ACONDIC"&amp; "IONADO CON PLACA NUEVA N° H0001983Y PLACA ANTERIOR No 000036843, Serial:C15061119779, Marca:STARTLIGHT, Modelo:CV410-60-3, Material:METALICO, Color:GRIS, Referencia: Placa padre: Tipo adquisicion: Entidad"</f>
        <v>Descripcion: AIRE ACONDICIONADO DE 60.000 BTU (INCLUYEN MATERIALES DE INSTALACION) Estado: Bueno Placa anterior: 000036843 Material:  Color: BLANCO Referencia:  Observacion:  Placa anterior:, Placa nueva=H0020722, Descripcion:CONDENSADORA DEL AIRE ACONDICIONADO CON PLACA NUEVA N° H0001983Y PLACA ANTERIOR No 000036843, Serial:C15061119779, Marca:STARTLIGHT, Modelo:CV410-60-3, Material:METALICO, Color:GRIS, Referencia: Placa padre: Tipo adquisicion: Entidad</v>
      </c>
      <c r="G10038" s="5" t="str">
        <f>"CV410-060-3"</f>
        <v>CV410-060-3</v>
      </c>
    </row>
    <row r="10039" spans="1:7" ht="58.5" customHeight="1" x14ac:dyDescent="0.25">
      <c r="A10039" s="5" t="str">
        <f>"H0001987"</f>
        <v>H0001987</v>
      </c>
      <c r="B10039" s="5" t="str">
        <f>"CENTRIFUGA 24 TUBOS LW"</f>
        <v>CENTRIFUGA 24 TUBOS LW</v>
      </c>
      <c r="C10039" s="6">
        <v>9991080</v>
      </c>
      <c r="D10039" s="5" t="s">
        <v>573</v>
      </c>
      <c r="E10039" s="5" t="str">
        <f t="shared" si="511"/>
        <v>LABORATORIO CLINICO-CARLOS OSWALDO MORENO SALGADO</v>
      </c>
      <c r="F10039" s="5" t="str">
        <f>"Descripcion: CENTRIFUGA MARCA HERMLE DE ALEMANIA, MODELO Z306 INCLUYE: ROTOR DE OSCILACION LIBRE CON CAPACIDAD DE 28 TUBOS DE 15 ML Estado: Bueno Placa anterior: 000031306 Material: PLASTICO Color: BLANCO CON GRIS Referencia:  Observacion:  Placa padre: T"&amp; "ipo adquisicion: Entidad"</f>
        <v>Descripcion: CENTRIFUGA MARCA HERMLE DE ALEMANIA, MODELO Z306 INCLUYE: ROTOR DE OSCILACION LIBRE CON CAPACIDAD DE 28 TUBOS DE 15 ML Estado: Bueno Placa anterior: 000031306 Material: PLASTICO Color: BLANCO CON GRIS Referencia:  Observacion:  Placa padre: Tipo adquisicion: Entidad</v>
      </c>
      <c r="G10039" s="5" t="str">
        <f>"Z-306"</f>
        <v>Z-306</v>
      </c>
    </row>
    <row r="10040" spans="1:7" ht="58.5" customHeight="1" x14ac:dyDescent="0.25">
      <c r="A10040" s="5" t="str">
        <f>"H0002295"</f>
        <v>H0002295</v>
      </c>
      <c r="B10040" s="5" t="str">
        <f>"AUTOCLAVE 75LT"</f>
        <v>AUTOCLAVE 75LT</v>
      </c>
      <c r="C10040" s="6">
        <v>29265614</v>
      </c>
      <c r="D10040" s="5"/>
      <c r="E10040" s="5" t="str">
        <f t="shared" si="511"/>
        <v>LABORATORIO CLINICO-CARLOS OSWALDO MORENO SALGADO</v>
      </c>
      <c r="F10040" s="5" t="str">
        <f>"Descripcion:Autoclave vertical Camara simple, capacidad 75 litros, 220 V Estado: Excelente Placa anterior: 000038966 Material: ACERO INOXIDABLE Color: PLATEADO Referencia:  Observacion:  Placa padre:  Tipo adquisicion : Entidad"</f>
        <v>Descripcion:Autoclave vertical Camara simple, capacidad 75 litros, 220 V Estado: Excelente Placa anterior: 000038966 Material: ACERO INOXIDABLE Color: PLATEADO Referencia:  Observacion:  Placa padre:  Tipo adquisicion : Entidad</v>
      </c>
      <c r="G10040" s="5"/>
    </row>
    <row r="10041" spans="1:7" ht="58.5" customHeight="1" x14ac:dyDescent="0.25">
      <c r="A10041" s="5" t="str">
        <f>"H0002303"</f>
        <v>H0002303</v>
      </c>
      <c r="B10041" s="5" t="str">
        <f>"HORNO DE INCUBACIÓN"</f>
        <v>HORNO DE INCUBACIÓN</v>
      </c>
      <c r="C10041" s="6">
        <v>16000001</v>
      </c>
      <c r="D10041" s="5"/>
      <c r="E10041" s="5" t="str">
        <f t="shared" si="511"/>
        <v>LABORATORIO CLINICO-CARLOS OSWALDO MORENO SALGADO</v>
      </c>
      <c r="F10041" s="5" t="str">
        <f>"Descripcion:ESTUFA SECADO-CULTIVO PARA LABORATORIO, Horno de convección para secado de material de laboratorio clínico Con control digital de temperatura. Con aislante térmico de alta temperatura. Estado: Excelente Placa anterior: 000038018 Material: ACER"&amp; "O INOXIDABLE Color: PLATEADO Referencia:  Observacion:  Placa padre:  Tipo adquisicion : Entidad"</f>
        <v>Descripcion:ESTUFA SECADO-CULTIVO PARA LABORATORIO, Horno de convección para secado de material de laboratorio clínico Con control digital de temperatura. Con aislante térmico de alta temperatura. Estado: Excelente Placa anterior: 000038018 Material: ACERO INOXIDABLE Color: PLATEADO Referencia:  Observacion:  Placa padre:  Tipo adquisicion : Entidad</v>
      </c>
      <c r="G10041" s="5" t="str">
        <f>"UN450"</f>
        <v>UN450</v>
      </c>
    </row>
    <row r="10042" spans="1:7" ht="58.5" customHeight="1" x14ac:dyDescent="0.25">
      <c r="A10042" s="5" t="str">
        <f>"H0002378"</f>
        <v>H0002378</v>
      </c>
      <c r="B10042" s="5" t="str">
        <f>"UNIDAD ININTERRUMPIDA DE POTENCIA (UPS) 1KW"</f>
        <v>UNIDAD ININTERRUMPIDA DE POTENCIA (UPS) 1KW</v>
      </c>
      <c r="C10042" s="6">
        <v>1276000</v>
      </c>
      <c r="D10042" s="5"/>
      <c r="E10042" s="5" t="str">
        <f t="shared" si="511"/>
        <v>LABORATORIO CLINICO-CARLOS OSWALDO MORENO SALGADO</v>
      </c>
      <c r="F10042" s="5" t="str">
        <f>"Descripcion:UPS U-1200 4 TOMAS - UPS DE 1Kva MONTAJE EN RACK  Estado: Excelente Placa anterior: 000037089 Material: PASTA Color: NEGRO Referencia: UPS U-1200 Observacion:  Placa padre:  Tipo adquisicion : Entidad"</f>
        <v>Descripcion:UPS U-1200 4 TOMAS - UPS DE 1Kva MONTAJE EN RACK  Estado: Excelente Placa anterior: 000037089 Material: PASTA Color: NEGRO Referencia: UPS U-1200 Observacion:  Placa padre:  Tipo adquisicion : Entidad</v>
      </c>
      <c r="G10042" s="5" t="str">
        <f>"U-1200"</f>
        <v>U-1200</v>
      </c>
    </row>
    <row r="10043" spans="1:7" ht="58.5" customHeight="1" x14ac:dyDescent="0.25">
      <c r="A10043" s="5" t="str">
        <f>"H0002515"</f>
        <v>H0002515</v>
      </c>
      <c r="B10043" s="5" t="str">
        <f>"COMPUTADOR TODO EN UNO"</f>
        <v>COMPUTADOR TODO EN UNO</v>
      </c>
      <c r="C10043" s="6">
        <v>2470000</v>
      </c>
      <c r="D10043" s="5"/>
      <c r="E10043" s="5" t="str">
        <f t="shared" si="511"/>
        <v>LABORATORIO CLINICO-CARLOS OSWALDO MORENO SALGADO</v>
      </c>
      <c r="F10043" s="5" t="str">
        <f>"Descripcion:EQUIPO DE COMPUTO TODO EN UNO CON PROCESADOR INTEL i5 Estado: Excelente Placa anterior: 000037266 Material: PASTA Color: NEGRO Referencia: 10BDFDLS Observacion:  Placa anterior:, Placa nueva=H0002516, Descripcion:TECLADO USB LENOVO, Serial:826"&amp; "0052, Marca:LENOVO, Modelo:KU-0225, Material:PASTA, Color:NEGRO,   Referencia:54Y9424, Placa anterior:, Placa nueva=H0002517, Descripcion:MOUSE USB  3 BOTONES, Serial:44MG391, Marca:LENOVO, Modelo:45J4889, Material:PASTA, Color:NEGRO,   Referencia: Placa "&amp; "padre:  Tipo adquisicion : Entidad"</f>
        <v>Descripcion:EQUIPO DE COMPUTO TODO EN UNO CON PROCESADOR INTEL i5 Estado: Excelente Placa anterior: 000037266 Material: PASTA Color: NEGRO Referencia: 10BDFDLS Observacion:  Placa anterior:, Placa nueva=H0002516, Descripcion:TECLADO USB LENOVO, Serial:8260052, Marca:LENOVO, Modelo:KU-0225, Material:PASTA, Color:NEGRO,   Referencia:54Y9424, Placa anterior:, Placa nueva=H0002517, Descripcion:MOUSE USB  3 BOTONES, Serial:44MG391, Marca:LENOVO, Modelo:45J4889, Material:PASTA, Color:NEGRO,   Referencia: Placa padre:  Tipo adquisicion : Entidad</v>
      </c>
      <c r="G10043" s="5" t="str">
        <f>"00FDLS"</f>
        <v>00FDLS</v>
      </c>
    </row>
    <row r="10044" spans="1:7" ht="58.5" customHeight="1" x14ac:dyDescent="0.25">
      <c r="A10044" s="5" t="str">
        <f>"H0002795"</f>
        <v>H0002795</v>
      </c>
      <c r="B10044" s="5" t="str">
        <f>"MICROSCOPIO DIGITAL"</f>
        <v>MICROSCOPIO DIGITAL</v>
      </c>
      <c r="C10044" s="6">
        <v>3500000</v>
      </c>
      <c r="D10044" s="5"/>
      <c r="E10044" s="5" t="str">
        <f t="shared" si="511"/>
        <v>LABORATORIO CLINICO-CARLOS OSWALDO MORENO SALGADO</v>
      </c>
      <c r="F10044" s="5" t="str">
        <f>"Descripcion:MICROSCOPIO DIGITAL Magnificación: 40X- 1600X Cabeza óptica: Binocular , distancia Interpupilar 55 - 75 mm Porta objetivos: Cuádruple 4 Objetivos estándar DIN, acromáticos, parafocales, paracentricos, poder de 4x, 40x , 100x, 1000x* (* inmersi"&amp; "ón en aceit Estado: Excelente Placa anterior: 000038019 Material: METAL Y PASTA Color: BEIGE Referencia:  Observacion:  Placa padre:  Tipo adquisicion : Entidad"</f>
        <v>Descripcion:MICROSCOPIO DIGITAL Magnificación: 40X- 1600X Cabeza óptica: Binocular , distancia Interpupilar 55 - 75 mm Porta objetivos: Cuádruple 4 Objetivos estándar DIN, acromáticos, parafocales, paracentricos, poder de 4x, 40x , 100x, 1000x* (* inmersión en aceit Estado: Excelente Placa anterior: 000038019 Material: METAL Y PASTA Color: BEIGE Referencia:  Observacion:  Placa padre:  Tipo adquisicion : Entidad</v>
      </c>
      <c r="G10044" s="5" t="str">
        <f>"LX400"</f>
        <v>LX400</v>
      </c>
    </row>
    <row r="10045" spans="1:7" ht="58.5" customHeight="1" x14ac:dyDescent="0.25">
      <c r="A10045" s="5" t="str">
        <f>"H0005893"</f>
        <v>H0005893</v>
      </c>
      <c r="B10045" s="5" t="str">
        <f>"JARRA DE ANAEROBIOSIS (INCUBACIONES)"</f>
        <v>JARRA DE ANAEROBIOSIS (INCUBACIONES)</v>
      </c>
      <c r="C10045" s="6">
        <v>26012.799999999999</v>
      </c>
      <c r="D10045" s="5"/>
      <c r="E10045" s="5" t="str">
        <f t="shared" si="511"/>
        <v>LABORATORIO CLINICO-CARLOS OSWALDO MORENO SALGADO</v>
      </c>
      <c r="F10045" s="5" t="str">
        <f>"Descripcion: JARRA PARA ANAEROBIOSIS Estado: Bueno Placa anterior: 000009379 Material: PLASTICO Color: AMARILLO Referencia:  Observacion:  Placa padre: Tipo adquisicion: Entidad"</f>
        <v>Descripcion: JARRA PARA ANAEROBIOSIS Estado: Bueno Placa anterior: 000009379 Material: PLASTICO Color: AMARILLO Referencia:  Observacion:  Placa padre: Tipo adquisicion: Entidad</v>
      </c>
      <c r="G10045" s="5"/>
    </row>
    <row r="10046" spans="1:7" ht="58.5" customHeight="1" x14ac:dyDescent="0.25">
      <c r="A10046" s="5" t="str">
        <f>"H0005898"</f>
        <v>H0005898</v>
      </c>
      <c r="B10046" s="5" t="str">
        <f t="shared" ref="B10046:B10056" si="512">"SILLA PLASTICA CON BRAZOS"</f>
        <v>SILLA PLASTICA CON BRAZOS</v>
      </c>
      <c r="C10046" s="6">
        <v>23499.62</v>
      </c>
      <c r="D10046" s="5" t="s">
        <v>575</v>
      </c>
      <c r="E10046" s="5" t="str">
        <f t="shared" ref="E10046:E10077" si="513">"LABORATORIO CLINICO-CARLOS OSWALDO MORENO SALGADO"</f>
        <v>LABORATORIO CLINICO-CARLOS OSWALDO MORENO SALGADO</v>
      </c>
      <c r="F10046" s="5" t="str">
        <f>"Descripcion: SILLA CAPRI CON BRAZO BLANCA Estado: Bueno Placa anterior: 000036921 Material: PLASTICO Color: BLANCO Referencia:  Observacion:  Placa padre: Tipo adquisicion: Entidad"</f>
        <v>Descripcion: SILLA CAPRI CON BRAZO BLANCA Estado: Bueno Placa anterior: 000036921 Material: PLASTICO Color: BLANCO Referencia:  Observacion:  Placa padre: Tipo adquisicion: Entidad</v>
      </c>
      <c r="G10046" s="5" t="str">
        <f>"CAPRI 1"</f>
        <v>CAPRI 1</v>
      </c>
    </row>
    <row r="10047" spans="1:7" ht="58.5" customHeight="1" x14ac:dyDescent="0.25">
      <c r="A10047" s="5" t="str">
        <f>"H0005899"</f>
        <v>H0005899</v>
      </c>
      <c r="B10047" s="5" t="str">
        <f t="shared" si="512"/>
        <v>SILLA PLASTICA CON BRAZOS</v>
      </c>
      <c r="C10047" s="6">
        <v>23499.62</v>
      </c>
      <c r="D10047" s="5" t="s">
        <v>575</v>
      </c>
      <c r="E10047" s="5" t="str">
        <f t="shared" si="513"/>
        <v>LABORATORIO CLINICO-CARLOS OSWALDO MORENO SALGADO</v>
      </c>
      <c r="F10047" s="5" t="str">
        <f>"Descripcion: SILLA CAPRI CON BRAZO BLANCA Estado: Bueno Placa anterior: 000036920 Material: PLASTICO Color: BLANCO Referencia:  Observacion:  Placa padre: Tipo adquisicion: Entidad"</f>
        <v>Descripcion: SILLA CAPRI CON BRAZO BLANCA Estado: Bueno Placa anterior: 000036920 Material: PLASTICO Color: BLANCO Referencia:  Observacion:  Placa padre: Tipo adquisicion: Entidad</v>
      </c>
      <c r="G10047" s="5" t="str">
        <f t="shared" ref="G10047:G10056" si="514">"CAPRI"</f>
        <v>CAPRI</v>
      </c>
    </row>
    <row r="10048" spans="1:7" ht="58.5" customHeight="1" x14ac:dyDescent="0.25">
      <c r="A10048" s="5" t="str">
        <f>"H0005900"</f>
        <v>H0005900</v>
      </c>
      <c r="B10048" s="5" t="str">
        <f t="shared" si="512"/>
        <v>SILLA PLASTICA CON BRAZOS</v>
      </c>
      <c r="C10048" s="6">
        <v>23499.62</v>
      </c>
      <c r="D10048" s="5" t="s">
        <v>575</v>
      </c>
      <c r="E10048" s="5" t="str">
        <f t="shared" si="513"/>
        <v>LABORATORIO CLINICO-CARLOS OSWALDO MORENO SALGADO</v>
      </c>
      <c r="F10048" s="5" t="str">
        <f>"Descripcion: SILLA CAPRI CON BRAZO BLANCA Estado: Bueno Placa anterior: 000036914 Material: PLASTICO Color: BLANCO Referencia:  Observacion:  Placa padre: Tipo adquisicion: Entidad"</f>
        <v>Descripcion: SILLA CAPRI CON BRAZO BLANCA Estado: Bueno Placa anterior: 000036914 Material: PLASTICO Color: BLANCO Referencia:  Observacion:  Placa padre: Tipo adquisicion: Entidad</v>
      </c>
      <c r="G10048" s="5" t="str">
        <f t="shared" si="514"/>
        <v>CAPRI</v>
      </c>
    </row>
    <row r="10049" spans="1:7" ht="58.5" customHeight="1" x14ac:dyDescent="0.25">
      <c r="A10049" s="5" t="str">
        <f>"H0005901"</f>
        <v>H0005901</v>
      </c>
      <c r="B10049" s="5" t="str">
        <f t="shared" si="512"/>
        <v>SILLA PLASTICA CON BRAZOS</v>
      </c>
      <c r="C10049" s="6">
        <v>23499.62</v>
      </c>
      <c r="D10049" s="5" t="s">
        <v>575</v>
      </c>
      <c r="E10049" s="5" t="str">
        <f t="shared" si="513"/>
        <v>LABORATORIO CLINICO-CARLOS OSWALDO MORENO SALGADO</v>
      </c>
      <c r="F10049" s="5" t="str">
        <f>"Descripcion: SILLA CAPRI CON BRAZO BLANCA Estado: Bueno Placa anterior: 000036917 Material: PLASTICO Color: BLANCO Referencia:  Observacion:  Placa padre: Tipo adquisicion: Entidad"</f>
        <v>Descripcion: SILLA CAPRI CON BRAZO BLANCA Estado: Bueno Placa anterior: 000036917 Material: PLASTICO Color: BLANCO Referencia:  Observacion:  Placa padre: Tipo adquisicion: Entidad</v>
      </c>
      <c r="G10049" s="5" t="str">
        <f t="shared" si="514"/>
        <v>CAPRI</v>
      </c>
    </row>
    <row r="10050" spans="1:7" ht="58.5" customHeight="1" x14ac:dyDescent="0.25">
      <c r="A10050" s="5" t="str">
        <f>"H0005902"</f>
        <v>H0005902</v>
      </c>
      <c r="B10050" s="5" t="str">
        <f t="shared" si="512"/>
        <v>SILLA PLASTICA CON BRAZOS</v>
      </c>
      <c r="C10050" s="6">
        <v>23499.62</v>
      </c>
      <c r="D10050" s="5" t="s">
        <v>575</v>
      </c>
      <c r="E10050" s="5" t="str">
        <f t="shared" si="513"/>
        <v>LABORATORIO CLINICO-CARLOS OSWALDO MORENO SALGADO</v>
      </c>
      <c r="F10050" s="5" t="str">
        <f>"Descripcion: SILLA CAPRI CON BRAZO BLANCA Estado: Bueno Placa anterior: 000036918 Material: PLASTICO Color: BLANCO Referencia:  Observacion:  Placa padre: Tipo adquisicion: Entidad"</f>
        <v>Descripcion: SILLA CAPRI CON BRAZO BLANCA Estado: Bueno Placa anterior: 000036918 Material: PLASTICO Color: BLANCO Referencia:  Observacion:  Placa padre: Tipo adquisicion: Entidad</v>
      </c>
      <c r="G10050" s="5" t="str">
        <f t="shared" si="514"/>
        <v>CAPRI</v>
      </c>
    </row>
    <row r="10051" spans="1:7" ht="58.5" customHeight="1" x14ac:dyDescent="0.25">
      <c r="A10051" s="5" t="str">
        <f>"H0005903"</f>
        <v>H0005903</v>
      </c>
      <c r="B10051" s="5" t="str">
        <f t="shared" si="512"/>
        <v>SILLA PLASTICA CON BRAZOS</v>
      </c>
      <c r="C10051" s="6">
        <v>23499.62</v>
      </c>
      <c r="D10051" s="5" t="s">
        <v>575</v>
      </c>
      <c r="E10051" s="5" t="str">
        <f t="shared" si="513"/>
        <v>LABORATORIO CLINICO-CARLOS OSWALDO MORENO SALGADO</v>
      </c>
      <c r="F10051" s="5" t="str">
        <f>"Descripcion: SILLA CAPRI CON BRAZO BLANCA Estado: Bueno Placa anterior: 000036924 Material: PLASTICO Color: BLANCO Referencia:  Observacion:  Placa padre: Tipo adquisicion: Entidad"</f>
        <v>Descripcion: SILLA CAPRI CON BRAZO BLANCA Estado: Bueno Placa anterior: 000036924 Material: PLASTICO Color: BLANCO Referencia:  Observacion:  Placa padre: Tipo adquisicion: Entidad</v>
      </c>
      <c r="G10051" s="5" t="str">
        <f t="shared" si="514"/>
        <v>CAPRI</v>
      </c>
    </row>
    <row r="10052" spans="1:7" ht="58.5" customHeight="1" x14ac:dyDescent="0.25">
      <c r="A10052" s="5" t="str">
        <f>"H0005904"</f>
        <v>H0005904</v>
      </c>
      <c r="B10052" s="5" t="str">
        <f t="shared" si="512"/>
        <v>SILLA PLASTICA CON BRAZOS</v>
      </c>
      <c r="C10052" s="6">
        <v>23499.62</v>
      </c>
      <c r="D10052" s="5" t="s">
        <v>575</v>
      </c>
      <c r="E10052" s="5" t="str">
        <f t="shared" si="513"/>
        <v>LABORATORIO CLINICO-CARLOS OSWALDO MORENO SALGADO</v>
      </c>
      <c r="F10052" s="5" t="str">
        <f>"Descripcion: SILLA CAPRI CON BRAZO BLANCA Estado: Bueno Placa anterior: 000036913 Material: PLASTICO Color: BLANCO Referencia:  Observacion:  Placa padre: Tipo adquisicion: Entidad"</f>
        <v>Descripcion: SILLA CAPRI CON BRAZO BLANCA Estado: Bueno Placa anterior: 000036913 Material: PLASTICO Color: BLANCO Referencia:  Observacion:  Placa padre: Tipo adquisicion: Entidad</v>
      </c>
      <c r="G10052" s="5" t="str">
        <f t="shared" si="514"/>
        <v>CAPRI</v>
      </c>
    </row>
    <row r="10053" spans="1:7" ht="58.5" customHeight="1" x14ac:dyDescent="0.25">
      <c r="A10053" s="5" t="str">
        <f>"H0005905"</f>
        <v>H0005905</v>
      </c>
      <c r="B10053" s="5" t="str">
        <f t="shared" si="512"/>
        <v>SILLA PLASTICA CON BRAZOS</v>
      </c>
      <c r="C10053" s="6">
        <v>23499.62</v>
      </c>
      <c r="D10053" s="5" t="s">
        <v>575</v>
      </c>
      <c r="E10053" s="5" t="str">
        <f t="shared" si="513"/>
        <v>LABORATORIO CLINICO-CARLOS OSWALDO MORENO SALGADO</v>
      </c>
      <c r="F10053" s="5" t="str">
        <f>"Descripcion: SILLA CAPRI CON BRAZO BLANCA Estado: Bueno Placa anterior: 000036922 Material: PLASTICO Color: BLANCO Referencia:  Observacion:  Placa padre: Tipo adquisicion: Entidad"</f>
        <v>Descripcion: SILLA CAPRI CON BRAZO BLANCA Estado: Bueno Placa anterior: 000036922 Material: PLASTICO Color: BLANCO Referencia:  Observacion:  Placa padre: Tipo adquisicion: Entidad</v>
      </c>
      <c r="G10053" s="5" t="str">
        <f t="shared" si="514"/>
        <v>CAPRI</v>
      </c>
    </row>
    <row r="10054" spans="1:7" ht="58.5" customHeight="1" x14ac:dyDescent="0.25">
      <c r="A10054" s="5" t="str">
        <f>"H0005906"</f>
        <v>H0005906</v>
      </c>
      <c r="B10054" s="5" t="str">
        <f t="shared" si="512"/>
        <v>SILLA PLASTICA CON BRAZOS</v>
      </c>
      <c r="C10054" s="6">
        <v>23499.62</v>
      </c>
      <c r="D10054" s="5" t="s">
        <v>575</v>
      </c>
      <c r="E10054" s="5" t="str">
        <f t="shared" si="513"/>
        <v>LABORATORIO CLINICO-CARLOS OSWALDO MORENO SALGADO</v>
      </c>
      <c r="F10054" s="5" t="str">
        <f>"Descripcion: SILLA CAPRI CON BRAZO BLANCA Estado: Bueno Placa anterior: 000036919 Material: PLASTICO Color: BLANCO Referencia:  Observacion:  Placa padre: Tipo adquisicion: Entidad"</f>
        <v>Descripcion: SILLA CAPRI CON BRAZO BLANCA Estado: Bueno Placa anterior: 000036919 Material: PLASTICO Color: BLANCO Referencia:  Observacion:  Placa padre: Tipo adquisicion: Entidad</v>
      </c>
      <c r="G10054" s="5" t="str">
        <f t="shared" si="514"/>
        <v>CAPRI</v>
      </c>
    </row>
    <row r="10055" spans="1:7" ht="58.5" customHeight="1" x14ac:dyDescent="0.25">
      <c r="A10055" s="5" t="str">
        <f>"H0005907"</f>
        <v>H0005907</v>
      </c>
      <c r="B10055" s="5" t="str">
        <f t="shared" si="512"/>
        <v>SILLA PLASTICA CON BRAZOS</v>
      </c>
      <c r="C10055" s="6">
        <v>23499.62</v>
      </c>
      <c r="D10055" s="5" t="s">
        <v>575</v>
      </c>
      <c r="E10055" s="5" t="str">
        <f t="shared" si="513"/>
        <v>LABORATORIO CLINICO-CARLOS OSWALDO MORENO SALGADO</v>
      </c>
      <c r="F10055" s="5" t="str">
        <f>"Descripcion: SILLA CAPRI CON BRAZO BLANCA Estado: Bueno Placa anterior: 000036923 Material: PLASTICO Color: BLANCO Referencia:  Observacion:  Placa padre: Tipo adquisicion: Entidad"</f>
        <v>Descripcion: SILLA CAPRI CON BRAZO BLANCA Estado: Bueno Placa anterior: 000036923 Material: PLASTICO Color: BLANCO Referencia:  Observacion:  Placa padre: Tipo adquisicion: Entidad</v>
      </c>
      <c r="G10055" s="5" t="str">
        <f t="shared" si="514"/>
        <v>CAPRI</v>
      </c>
    </row>
    <row r="10056" spans="1:7" ht="58.5" customHeight="1" x14ac:dyDescent="0.25">
      <c r="A10056" s="5" t="str">
        <f>"H0005908"</f>
        <v>H0005908</v>
      </c>
      <c r="B10056" s="5" t="str">
        <f t="shared" si="512"/>
        <v>SILLA PLASTICA CON BRAZOS</v>
      </c>
      <c r="C10056" s="6">
        <v>23499.62</v>
      </c>
      <c r="D10056" s="5" t="s">
        <v>575</v>
      </c>
      <c r="E10056" s="5" t="str">
        <f t="shared" si="513"/>
        <v>LABORATORIO CLINICO-CARLOS OSWALDO MORENO SALGADO</v>
      </c>
      <c r="F10056" s="5" t="str">
        <f>"Descripcion: SILLA CAPRI CON BRAZO BLANCA Estado: Bueno Placa anterior: 000036915 Material: PLASTICO Color: BLANCO Referencia:  Observacion:  Placa padre: Tipo adquisicion: Entidad"</f>
        <v>Descripcion: SILLA CAPRI CON BRAZO BLANCA Estado: Bueno Placa anterior: 000036915 Material: PLASTICO Color: BLANCO Referencia:  Observacion:  Placa padre: Tipo adquisicion: Entidad</v>
      </c>
      <c r="G10056" s="5" t="str">
        <f t="shared" si="514"/>
        <v>CAPRI</v>
      </c>
    </row>
    <row r="10057" spans="1:7" ht="58.5" customHeight="1" x14ac:dyDescent="0.25">
      <c r="A10057" s="5" t="str">
        <f>"H0005909"</f>
        <v>H0005909</v>
      </c>
      <c r="B10057" s="5" t="str">
        <f>"BUTACO GIRATORIO SIN RUEDAS"</f>
        <v>BUTACO GIRATORIO SIN RUEDAS</v>
      </c>
      <c r="C10057" s="6">
        <v>211120</v>
      </c>
      <c r="D10057" s="5"/>
      <c r="E10057" s="5" t="str">
        <f t="shared" si="513"/>
        <v>LABORATORIO CLINICO-CARLOS OSWALDO MORENO SALGADO</v>
      </c>
      <c r="F10057" s="5" t="str">
        <f>"Descripcion: BUTACO GIRATORIO SIN RODACHINES (ANTES SILLA ERGONOMICA BP 02 (COLM OPERATIVA)) Estado: Bueno Placa anterior: 000025318 Material: PLASTICO TAPIZADO EN SEMICUERO Color: NEGRO Referencia:  Observacion:  Placa padre: Tipo adquisicion: Entidad"</f>
        <v>Descripcion: BUTACO GIRATORIO SIN RODACHINES (ANTES SILLA ERGONOMICA BP 02 (COLM OPERATIVA)) Estado: Bueno Placa anterior: 000025318 Material: PLASTICO TAPIZADO EN SEMICUERO Color: NEGRO Referencia:  Observacion:  Placa padre: Tipo adquisicion: Entidad</v>
      </c>
      <c r="G10057" s="5"/>
    </row>
    <row r="10058" spans="1:7" ht="58.5" customHeight="1" x14ac:dyDescent="0.25">
      <c r="A10058" s="5" t="str">
        <f>"H0005910"</f>
        <v>H0005910</v>
      </c>
      <c r="B10058" s="5" t="str">
        <f>"SILLA PLASTICA CON BRAZOS"</f>
        <v>SILLA PLASTICA CON BRAZOS</v>
      </c>
      <c r="C10058" s="6">
        <v>23499.62</v>
      </c>
      <c r="D10058" s="5" t="s">
        <v>575</v>
      </c>
      <c r="E10058" s="5" t="str">
        <f t="shared" si="513"/>
        <v>LABORATORIO CLINICO-CARLOS OSWALDO MORENO SALGADO</v>
      </c>
      <c r="F10058" s="5" t="str">
        <f>"Descripcion: SILLA CAPRI CON BRAZO BLANCA Estado: Bueno Placa anterior: 000036916 Material: PLASTICO Color: BLANCO Referencia:  Observacion:  Placa padre: Tipo adquisicion: Entidad"</f>
        <v>Descripcion: SILLA CAPRI CON BRAZO BLANCA Estado: Bueno Placa anterior: 000036916 Material: PLASTICO Color: BLANCO Referencia:  Observacion:  Placa padre: Tipo adquisicion: Entidad</v>
      </c>
      <c r="G10058" s="5" t="str">
        <f>"CAPRI"</f>
        <v>CAPRI</v>
      </c>
    </row>
    <row r="10059" spans="1:7" ht="58.5" customHeight="1" x14ac:dyDescent="0.25">
      <c r="A10059" s="5" t="str">
        <f>"H0005912"</f>
        <v>H0005912</v>
      </c>
      <c r="B10059" s="5" t="str">
        <f>"DIVISION (PANEL) MODULAR"</f>
        <v>DIVISION (PANEL) MODULAR</v>
      </c>
      <c r="C10059" s="6">
        <v>980000</v>
      </c>
      <c r="D10059" s="5" t="s">
        <v>3</v>
      </c>
      <c r="E10059" s="5" t="str">
        <f t="shared" si="513"/>
        <v>LABORATORIO CLINICO-CARLOS OSWALDO MORENO SALGADO</v>
      </c>
      <c r="F10059" s="5" t="str">
        <f>"Descripcion: PUESTO DE TRABAJO MODULAR CON DIVISIONES PARA 4 PUESTOS (TOMA DE MUESTRAS) MEDIDAS:128X334X80CM Estado: Excelente Placa anterior:  Material: MADERA EN FORMICA Color: GRIS Referencia:  Observacion:  Placa padre: Tipo adquisicion: Entidad"</f>
        <v>Descripcion: PUESTO DE TRABAJO MODULAR CON DIVISIONES PARA 4 PUESTOS (TOMA DE MUESTRAS) MEDIDAS:128X334X80CM Estado: Excelente Placa anterior:  Material: MADERA EN FORMICA Color: GRIS Referencia:  Observacion:  Placa padre: Tipo adquisicion: Entidad</v>
      </c>
      <c r="G10059" s="5"/>
    </row>
    <row r="10060" spans="1:7" ht="58.5" customHeight="1" x14ac:dyDescent="0.25">
      <c r="A10060" s="5" t="str">
        <f>"H0005913"</f>
        <v>H0005913</v>
      </c>
      <c r="B10060" s="5" t="str">
        <f>"VENTILADOR DE PARED"</f>
        <v>VENTILADOR DE PARED</v>
      </c>
      <c r="C10060" s="6">
        <v>72477.5</v>
      </c>
      <c r="D10060" s="5" t="s">
        <v>54</v>
      </c>
      <c r="E10060" s="5" t="str">
        <f t="shared" si="513"/>
        <v>LABORATORIO CLINICO-CARLOS OSWALDO MORENO SALGADO</v>
      </c>
      <c r="F10060" s="5" t="str">
        <f>"Descripcion: VENTILADOR DE PARED  REF. 987181 SILENC. CON GARANTIA DE UN AÑO POR PARTE DEL FABRICANTE Estado: Bueno Placa anterior: 000037167 Material: PLASTICO Color: BLANCO CON ALETAS GRISES Referencia:  Observacion:  Placa padre: Tipo adquisicion: Enti"&amp; "dad"</f>
        <v>Descripcion: VENTILADOR DE PARED  REF. 987181 SILENC. CON GARANTIA DE UN AÑO POR PARTE DEL FABRICANTE Estado: Bueno Placa anterior: 000037167 Material: PLASTICO Color: BLANCO CON ALETAS GRISES Referencia:  Observacion:  Placa padre: Tipo adquisicion: Entidad</v>
      </c>
      <c r="G10060" s="5" t="str">
        <f>"TURBO SILENCE MAXX"</f>
        <v>TURBO SILENCE MAXX</v>
      </c>
    </row>
    <row r="10061" spans="1:7" ht="58.5" customHeight="1" x14ac:dyDescent="0.25">
      <c r="A10061" s="5" t="str">
        <f>"H0005916"</f>
        <v>H0005916</v>
      </c>
      <c r="B10061" s="5" t="str">
        <f>"CAMA HOSPITALARIA 2 PLANOS"</f>
        <v>CAMA HOSPITALARIA 2 PLANOS</v>
      </c>
      <c r="C10061" s="6">
        <v>140140</v>
      </c>
      <c r="D10061" s="5"/>
      <c r="E10061" s="5" t="str">
        <f t="shared" si="513"/>
        <v>LABORATORIO CLINICO-CARLOS OSWALDO MORENO SALGADO</v>
      </c>
      <c r="F10061" s="5" t="str">
        <f>"Descripcion: CAMILLA TIPO B (BARANDILLAS DE SEGURIDAD) Estado: Bueno Placa anterior: 000008842 Material: METALICO Color: BEIGE Referencia:  Observacion:  Placa padre: Tipo adquisicion: Entidad"</f>
        <v>Descripcion: CAMILLA TIPO B (BARANDILLAS DE SEGURIDAD) Estado: Bueno Placa anterior: 000008842 Material: METALICO Color: BEIGE Referencia:  Observacion:  Placa padre: Tipo adquisicion: Entidad</v>
      </c>
      <c r="G10061" s="5"/>
    </row>
    <row r="10062" spans="1:7" ht="58.5" customHeight="1" x14ac:dyDescent="0.25">
      <c r="A10062" s="5" t="str">
        <f>"H0005919"</f>
        <v>H0005919</v>
      </c>
      <c r="B10062" s="5" t="str">
        <f>"CAMARA DE VIDEOVIGILANCIA"</f>
        <v>CAMARA DE VIDEOVIGILANCIA</v>
      </c>
      <c r="C10062" s="6">
        <v>371000</v>
      </c>
      <c r="D10062" s="5" t="s">
        <v>213</v>
      </c>
      <c r="E10062" s="5" t="str">
        <f t="shared" si="513"/>
        <v>LABORATORIO CLINICO-CARLOS OSWALDO MORENO SALGADO</v>
      </c>
      <c r="F10062" s="5" t="str">
        <f>"Descripcion: CAMARA IP TIPO DOMO 2 MPX LENTE DE 2.8 mm PoE 1/3 (WI-FI) Estado: Bueno Placa anterior: 000038223 Material: PLASTICO Color: BLANCO Referencia:  Observacion:  Placa padre: Tipo adquisicion: Entidad"</f>
        <v>Descripcion: CAMARA IP TIPO DOMO 2 MPX LENTE DE 2.8 mm PoE 1/3 (WI-FI) Estado: Bueno Placa anterior: 000038223 Material: PLASTICO Color: BLANCO Referencia:  Observacion:  Placa padre: Tipo adquisicion: Entidad</v>
      </c>
      <c r="G10062" s="5"/>
    </row>
    <row r="10063" spans="1:7" ht="58.5" customHeight="1" x14ac:dyDescent="0.25">
      <c r="A10063" s="5" t="str">
        <f>"H0005922"</f>
        <v>H0005922</v>
      </c>
      <c r="B10063" s="5" t="str">
        <f>"ESTANTE METALICO 5 ENTREPAÑOS"</f>
        <v>ESTANTE METALICO 5 ENTREPAÑOS</v>
      </c>
      <c r="C10063" s="6">
        <v>17880.72</v>
      </c>
      <c r="D10063" s="5"/>
      <c r="E10063" s="5" t="str">
        <f t="shared" si="513"/>
        <v>LABORATORIO CLINICO-CARLOS OSWALDO MORENO SALGADO</v>
      </c>
      <c r="F10063" s="5" t="str">
        <f>"Descripcion: ESTANTE METALICO 5 ENTREPAÑOS Estado: Bueno Placa anterior: 000009124 Material: METALICO Color: GRIS Referencia:  Observacion:  Placa padre: Tipo adquisicion: Entidad"</f>
        <v>Descripcion: ESTANTE METALICO 5 ENTREPAÑOS Estado: Bueno Placa anterior: 000009124 Material: METALICO Color: GRIS Referencia:  Observacion:  Placa padre: Tipo adquisicion: Entidad</v>
      </c>
      <c r="G10063" s="5"/>
    </row>
    <row r="10064" spans="1:7" ht="58.5" customHeight="1" x14ac:dyDescent="0.25">
      <c r="A10064" s="5" t="str">
        <f>"H0005923"</f>
        <v>H0005923</v>
      </c>
      <c r="B10064" s="5" t="str">
        <f>"ESTANTE METALICO 3 ENTREPAÑOS"</f>
        <v>ESTANTE METALICO 3 ENTREPAÑOS</v>
      </c>
      <c r="C10064" s="6">
        <v>27714</v>
      </c>
      <c r="D10064" s="5"/>
      <c r="E10064" s="5" t="str">
        <f t="shared" si="513"/>
        <v>LABORATORIO CLINICO-CARLOS OSWALDO MORENO SALGADO</v>
      </c>
      <c r="F10064" s="5" t="str">
        <f>"Descripcion: ESTANTE METALICO 3 ENTREPAÑOS Estado: Bueno Placa anterior: 000002466 Material: METALICO Color: GRIS Referencia:  Observacion:  Placa padre: Tipo adquisicion: Entidad"</f>
        <v>Descripcion: ESTANTE METALICO 3 ENTREPAÑOS Estado: Bueno Placa anterior: 000002466 Material: METALICO Color: GRIS Referencia:  Observacion:  Placa padre: Tipo adquisicion: Entidad</v>
      </c>
      <c r="G10064" s="5"/>
    </row>
    <row r="10065" spans="1:7" ht="58.5" customHeight="1" x14ac:dyDescent="0.25">
      <c r="A10065" s="5" t="str">
        <f>"H0005925"</f>
        <v>H0005925</v>
      </c>
      <c r="B10065" s="5" t="str">
        <f>"CUARTO FRIO (CAMARA FRIGORIFICA)"</f>
        <v>CUARTO FRIO (CAMARA FRIGORIFICA)</v>
      </c>
      <c r="C10065" s="6">
        <v>1624000</v>
      </c>
      <c r="D10065" s="5"/>
      <c r="E10065" s="5" t="str">
        <f t="shared" si="513"/>
        <v>LABORATORIO CLINICO-CARLOS OSWALDO MORENO SALGADO</v>
      </c>
      <c r="F10065" s="5" t="str">
        <f>"Descripcion: EQUIPO FRIGORIFICO (CUARTO FRIO) Estado: Bueno Placa anterior: 000009098 Material: ACERO INOXIDABLE Color:  Referencia:  Observacion:  Placa padre: Tipo adquisicion: Entidad"</f>
        <v>Descripcion: EQUIPO FRIGORIFICO (CUARTO FRIO) Estado: Bueno Placa anterior: 000009098 Material: ACERO INOXIDABLE Color:  Referencia:  Observacion:  Placa padre: Tipo adquisicion: Entidad</v>
      </c>
      <c r="G10065" s="5"/>
    </row>
    <row r="10066" spans="1:7" ht="58.5" customHeight="1" x14ac:dyDescent="0.25">
      <c r="A10066" s="5" t="str">
        <f>"H0005929"</f>
        <v>H0005929</v>
      </c>
      <c r="B10066" s="5" t="str">
        <f>"CUBETA DE ACERO INOXIDABLE CON TAPA MEDIANA"</f>
        <v>CUBETA DE ACERO INOXIDABLE CON TAPA MEDIANA</v>
      </c>
      <c r="C10066" s="6">
        <v>4561</v>
      </c>
      <c r="D10066" s="5"/>
      <c r="E10066" s="5" t="str">
        <f t="shared" si="513"/>
        <v>LABORATORIO CLINICO-CARLOS OSWALDO MORENO SALGADO</v>
      </c>
      <c r="F10066" s="5" t="str">
        <f>"Descripcion: CUBETA EN ACERO INOX.GRANDE Estado: Bueno Placa anterior: 000009208 Material: ACERO INOXIDABLE Color:  Referencia:  Observacion:  Placa padre: Tipo adquisicion: Entidad"</f>
        <v>Descripcion: CUBETA EN ACERO INOX.GRANDE Estado: Bueno Placa anterior: 000009208 Material: ACERO INOXIDABLE Color:  Referencia:  Observacion:  Placa padre: Tipo adquisicion: Entidad</v>
      </c>
      <c r="G10066" s="5"/>
    </row>
    <row r="10067" spans="1:7" ht="58.5" customHeight="1" x14ac:dyDescent="0.25">
      <c r="A10067" s="5" t="str">
        <f>"H0005931"</f>
        <v>H0005931</v>
      </c>
      <c r="B10067" s="5" t="str">
        <f>"MICROSCOPIO BINOCULARES"</f>
        <v>MICROSCOPIO BINOCULARES</v>
      </c>
      <c r="C10067" s="6">
        <v>5684000</v>
      </c>
      <c r="D10067" s="5"/>
      <c r="E10067" s="5" t="str">
        <f t="shared" si="513"/>
        <v>LABORATORIO CLINICO-CARLOS OSWALDO MORENO SALGADO</v>
      </c>
      <c r="F10067" s="5" t="str">
        <f>"Descripcion: MICROSCOPIO BINOCULAR MARCA OLIMPUS MODELO CX21 CON PROTECCION QUIMICA CONTRA HONGOS, SISTEMA OPTICO UIS (UNIVERSAL INFINITY SYSTEM) LAMPARA DE LUZ HALOGENA DE 6V/20W LENTE COLECTORAAESPERICA. PORTAOBJETICO GIRATORIO CUADRUPLE DOS OCULARES DE"&amp; " 10X F.N. 18 Estado: Bueno Placa anterior: 000026264 Material: METALICO Color: BLANCO Referencia:  Observacion:  Placa padre: Tipo adquisicion: Entidad"</f>
        <v>Descripcion: MICROSCOPIO BINOCULAR MARCA OLIMPUS MODELO CX21 CON PROTECCION QUIMICA CONTRA HONGOS, SISTEMA OPTICO UIS (UNIVERSAL INFINITY SYSTEM) LAMPARA DE LUZ HALOGENA DE 6V/20W LENTE COLECTORAAESPERICA. PORTAOBJETICO GIRATORIO CUADRUPLE DOS OCULARES DE 10X F.N. 18 Estado: Bueno Placa anterior: 000026264 Material: METALICO Color: BLANCO Referencia:  Observacion:  Placa padre: Tipo adquisicion: Entidad</v>
      </c>
      <c r="G10067" s="5" t="str">
        <f>"CX-21"</f>
        <v>CX-21</v>
      </c>
    </row>
    <row r="10068" spans="1:7" ht="58.5" customHeight="1" x14ac:dyDescent="0.25">
      <c r="A10068" s="5" t="str">
        <f>"H0006727"</f>
        <v>H0006727</v>
      </c>
      <c r="B10068" s="5" t="str">
        <f>"MESA DE NOCHE"</f>
        <v>MESA DE NOCHE</v>
      </c>
      <c r="C10068" s="6">
        <v>327586</v>
      </c>
      <c r="D10068" s="5"/>
      <c r="E10068" s="5" t="str">
        <f t="shared" si="513"/>
        <v>LABORATORIO CLINICO-CARLOS OSWALDO MORENO SALGADO</v>
      </c>
      <c r="F10068" s="5" t="str">
        <f>"Descripcion:MESA DE NOCHE EN ACERO Estado: Bueno Placa anterior: 000033053 Material: ACERO INOXIDABLE Color: PLATEADO Referencia:  Observacion:  Placa padre:  Tipo adquisicion : Entidad"</f>
        <v>Descripcion:MESA DE NOCHE EN ACERO Estado: Bueno Placa anterior: 000033053 Material: ACERO INOXIDABLE Color: PLATEADO Referencia:  Observacion:  Placa padre:  Tipo adquisicion : Entidad</v>
      </c>
      <c r="G10068" s="5"/>
    </row>
    <row r="10069" spans="1:7" ht="58.5" customHeight="1" x14ac:dyDescent="0.25">
      <c r="A10069" s="5" t="str">
        <f>"H0006728"</f>
        <v>H0006728</v>
      </c>
      <c r="B10069" s="5" t="str">
        <f>"MESA DE NOCHE"</f>
        <v>MESA DE NOCHE</v>
      </c>
      <c r="C10069" s="6">
        <v>327586</v>
      </c>
      <c r="D10069" s="5"/>
      <c r="E10069" s="5" t="str">
        <f t="shared" si="513"/>
        <v>LABORATORIO CLINICO-CARLOS OSWALDO MORENO SALGADO</v>
      </c>
      <c r="F10069" s="5" t="str">
        <f>"Descripcion:MESA DE NOCHE EN ACERO Estado: Bueno Placa anterior: 000033064 Material: ACERO INOXIDABLE Color: PLATEADO Referencia:  Observacion:  Placa padre:  Tipo adquisicion : Entidad"</f>
        <v>Descripcion:MESA DE NOCHE EN ACERO Estado: Bueno Placa anterior: 000033064 Material: ACERO INOXIDABLE Color: PLATEADO Referencia:  Observacion:  Placa padre:  Tipo adquisicion : Entidad</v>
      </c>
      <c r="G10069" s="5"/>
    </row>
    <row r="10070" spans="1:7" ht="58.5" customHeight="1" x14ac:dyDescent="0.25">
      <c r="A10070" s="5" t="str">
        <f>"H0011924"</f>
        <v>H0011924</v>
      </c>
      <c r="B10070" s="5" t="str">
        <f>"AIRE ACONDICIONADO TIPO SPLIT 14000 BTU"</f>
        <v>AIRE ACONDICIONADO TIPO SPLIT 14000 BTU</v>
      </c>
      <c r="C10070" s="6">
        <v>1749999</v>
      </c>
      <c r="D10070" s="5"/>
      <c r="E10070" s="5" t="str">
        <f t="shared" si="513"/>
        <v>LABORATORIO CLINICO-CARLOS OSWALDO MORENO SALGADO</v>
      </c>
      <c r="F10070" s="5" t="str">
        <f>"Descripcion: AIRE ACONDICIONADO TIPO ART COOL CON CAPACIDAD DE 14000 BTU MARCA LG Estado: Bueno Placa anterior: 000025809 Material: PLASTICO Color: GRIS Referencia:  Observacion:  Placa padre: Tipo adquisicion: Entidad"</f>
        <v>Descripcion: AIRE ACONDICIONADO TIPO ART COOL CON CAPACIDAD DE 14000 BTU MARCA LG Estado: Bueno Placa anterior: 000025809 Material: PLASTICO Color: GRIS Referencia:  Observacion:  Placa padre: Tipo adquisicion: Entidad</v>
      </c>
      <c r="G10070" s="5" t="str">
        <f>"C142CM"</f>
        <v>C142CM</v>
      </c>
    </row>
    <row r="10071" spans="1:7" ht="58.5" customHeight="1" x14ac:dyDescent="0.25">
      <c r="A10071" s="5" t="str">
        <f>"H0012078"</f>
        <v>H0012078</v>
      </c>
      <c r="B10071" s="5" t="str">
        <f>"MICROSCOPIO BINOCULARES"</f>
        <v>MICROSCOPIO BINOCULARES</v>
      </c>
      <c r="C10071" s="6">
        <v>2755000</v>
      </c>
      <c r="D10071" s="5" t="s">
        <v>576</v>
      </c>
      <c r="E10071" s="5" t="str">
        <f t="shared" si="513"/>
        <v>LABORATORIO CLINICO-CARLOS OSWALDO MORENO SALGADO</v>
      </c>
      <c r="F10071" s="5" t="str">
        <f>"Descripcion: MICROSCOPIO PARA EL PROCESAMIENTO DE LA PRUEBA NO TREPONEMICA Estado: Bueno Placa anterior: 000036182 Material: METALICO Color: BLANCO Y NEGRO Referencia:  Observacion:  Placa padre: Tipo adquisicion: Entidad"</f>
        <v>Descripcion: MICROSCOPIO PARA EL PROCESAMIENTO DE LA PRUEBA NO TREPONEMICA Estado: Bueno Placa anterior: 000036182 Material: METALICO Color: BLANCO Y NEGRO Referencia:  Observacion:  Placa padre: Tipo adquisicion: Entidad</v>
      </c>
      <c r="G10071" s="5" t="str">
        <f>"LX 400"</f>
        <v>LX 400</v>
      </c>
    </row>
    <row r="10072" spans="1:7" ht="58.5" customHeight="1" x14ac:dyDescent="0.25">
      <c r="A10072" s="5" t="str">
        <f>"H0012082"</f>
        <v>H0012082</v>
      </c>
      <c r="B10072" s="5" t="str">
        <f>"AGITADOR DE MAZZINI (ROTADOR SEROLOGICO)"</f>
        <v>AGITADOR DE MAZZINI (ROTADOR SEROLOGICO)</v>
      </c>
      <c r="C10072" s="6">
        <v>2175000</v>
      </c>
      <c r="D10072" s="5" t="s">
        <v>576</v>
      </c>
      <c r="E10072" s="5" t="str">
        <f t="shared" si="513"/>
        <v>LABORATORIO CLINICO-CARLOS OSWALDO MORENO SALGADO</v>
      </c>
      <c r="F10072" s="5" t="str">
        <f>"Descripcion: AGITADOR DE MAZZINI UNIVERSAL REF: BQE805900 Estado: Bueno Placa anterior: 000031900 Material: PLASTICO Color: AZUL Referencia:  Observacion:  Placa padre: Tipo adquisicion: Entidad"</f>
        <v>Descripcion: AGITADOR DE MAZZINI UNIVERSAL REF: BQE805900 Estado: Bueno Placa anterior: 000031900 Material: PLASTICO Color: AZUL Referencia:  Observacion:  Placa padre: Tipo adquisicion: Entidad</v>
      </c>
      <c r="G10072" s="5" t="str">
        <f>"OS-20"</f>
        <v>OS-20</v>
      </c>
    </row>
    <row r="10073" spans="1:7" ht="58.5" customHeight="1" x14ac:dyDescent="0.25">
      <c r="A10073" s="5" t="str">
        <f>"H0012621"</f>
        <v>H0012621</v>
      </c>
      <c r="B10073" s="5" t="str">
        <f>"MESA (CARRO) DE CURACIONES"</f>
        <v>MESA (CARRO) DE CURACIONES</v>
      </c>
      <c r="C10073" s="6">
        <v>37276</v>
      </c>
      <c r="D10073" s="5"/>
      <c r="E10073" s="5" t="str">
        <f t="shared" si="513"/>
        <v>LABORATORIO CLINICO-CARLOS OSWALDO MORENO SALGADO</v>
      </c>
      <c r="F10073" s="5" t="str">
        <f>"Descripcion: CARRO DE CURACIONES CON DOS ENTREPAÑOS Estado: Bueno Placa anterior: 000015228 Material: METALICO Color: BLANCO Referencia:  Observacion:  Placa padre: Tipo adquisicion: Entidad"</f>
        <v>Descripcion: CARRO DE CURACIONES CON DOS ENTREPAÑOS Estado: Bueno Placa anterior: 000015228 Material: METALICO Color: BLANCO Referencia:  Observacion:  Placa padre: Tipo adquisicion: Entidad</v>
      </c>
      <c r="G10073" s="5"/>
    </row>
    <row r="10074" spans="1:7" ht="58.5" customHeight="1" x14ac:dyDescent="0.25">
      <c r="A10074" s="5" t="str">
        <f>"H0012972"</f>
        <v>H0012972</v>
      </c>
      <c r="B10074" s="5" t="str">
        <f>"BANDEJA PARA CARRO DE TRANSPORTE DE ALIMENTOS"</f>
        <v>BANDEJA PARA CARRO DE TRANSPORTE DE ALIMENTOS</v>
      </c>
      <c r="C10074" s="6">
        <v>111.11</v>
      </c>
      <c r="D10074" s="5"/>
      <c r="E10074" s="5" t="str">
        <f t="shared" si="513"/>
        <v>LABORATORIO CLINICO-CARLOS OSWALDO MORENO SALGADO</v>
      </c>
      <c r="F10074" s="5" t="str">
        <f>"Descripcion: BANDEJA EN ALUMINIO LISA GRANDE Estado: Bueno Placa anterior: 000015640 Material: ALUMINIO Color:  Referencia:  Observacion:  Placa padre: Tipo adquisicion: Entidad"</f>
        <v>Descripcion: BANDEJA EN ALUMINIO LISA GRANDE Estado: Bueno Placa anterior: 000015640 Material: ALUMINIO Color:  Referencia:  Observacion:  Placa padre: Tipo adquisicion: Entidad</v>
      </c>
      <c r="G10074" s="5"/>
    </row>
    <row r="10075" spans="1:7" ht="58.5" customHeight="1" x14ac:dyDescent="0.25">
      <c r="A10075" s="5" t="str">
        <f>"H0012993"</f>
        <v>H0012993</v>
      </c>
      <c r="B10075" s="5" t="str">
        <f>"BANDEJA PARA CARRO DE TRANSPORTE DE ALIMENTOS"</f>
        <v>BANDEJA PARA CARRO DE TRANSPORTE DE ALIMENTOS</v>
      </c>
      <c r="C10075" s="6">
        <v>111.11</v>
      </c>
      <c r="D10075" s="5"/>
      <c r="E10075" s="5" t="str">
        <f t="shared" si="513"/>
        <v>LABORATORIO CLINICO-CARLOS OSWALDO MORENO SALGADO</v>
      </c>
      <c r="F10075" s="5" t="str">
        <f>"Descripcion: BANDEJA EN ALUMINIO LISA GRANDE Estado: Bueno Placa anterior: 000015665 Material: ALUMINIO Color:  Referencia:  Observacion:  Placa padre: Tipo adquisicion: Entidad"</f>
        <v>Descripcion: BANDEJA EN ALUMINIO LISA GRANDE Estado: Bueno Placa anterior: 000015665 Material: ALUMINIO Color:  Referencia:  Observacion:  Placa padre: Tipo adquisicion: Entidad</v>
      </c>
      <c r="G10075" s="5"/>
    </row>
    <row r="10076" spans="1:7" ht="58.5" customHeight="1" x14ac:dyDescent="0.25">
      <c r="A10076" s="5" t="str">
        <f>"H0013137"</f>
        <v>H0013137</v>
      </c>
      <c r="B10076" s="5" t="str">
        <f>"BANDEJA PARA CARRO DE TRANSPORTE DE ALIMENTOS"</f>
        <v>BANDEJA PARA CARRO DE TRANSPORTE DE ALIMENTOS</v>
      </c>
      <c r="C10076" s="6">
        <v>111.11</v>
      </c>
      <c r="D10076" s="5"/>
      <c r="E10076" s="5" t="str">
        <f t="shared" si="513"/>
        <v>LABORATORIO CLINICO-CARLOS OSWALDO MORENO SALGADO</v>
      </c>
      <c r="F10076" s="5" t="str">
        <f>"Descripcion: BANDEJA EN ALUMINIO LISA GRANDE Estado: Bueno Placa anterior: 000015677 Material: ALUMINIO Color:  Referencia:  Observacion:  Placa padre: Tipo adquisicion: Entidad"</f>
        <v>Descripcion: BANDEJA EN ALUMINIO LISA GRANDE Estado: Bueno Placa anterior: 000015677 Material: ALUMINIO Color:  Referencia:  Observacion:  Placa padre: Tipo adquisicion: Entidad</v>
      </c>
      <c r="G10076" s="5"/>
    </row>
    <row r="10077" spans="1:7" ht="58.5" customHeight="1" x14ac:dyDescent="0.25">
      <c r="A10077" s="5" t="str">
        <f>"H0013142"</f>
        <v>H0013142</v>
      </c>
      <c r="B10077" s="5" t="str">
        <f>"BANDEJA PARA CARRO DE TRANSPORTE DE ALIMENTOS"</f>
        <v>BANDEJA PARA CARRO DE TRANSPORTE DE ALIMENTOS</v>
      </c>
      <c r="C10077" s="6">
        <v>111.11</v>
      </c>
      <c r="D10077" s="5"/>
      <c r="E10077" s="5" t="str">
        <f t="shared" si="513"/>
        <v>LABORATORIO CLINICO-CARLOS OSWALDO MORENO SALGADO</v>
      </c>
      <c r="F10077" s="5" t="str">
        <f>"Descripcion: BANDEJA EN ALUMINIO LISA GRANDE Estado: Bueno Placa anterior: 000015682 Material: ALUMINIO Color:  Referencia:  Observacion:  Placa padre: Tipo adquisicion: Entidad"</f>
        <v>Descripcion: BANDEJA EN ALUMINIO LISA GRANDE Estado: Bueno Placa anterior: 000015682 Material: ALUMINIO Color:  Referencia:  Observacion:  Placa padre: Tipo adquisicion: Entidad</v>
      </c>
      <c r="G10077" s="5"/>
    </row>
    <row r="10078" spans="1:7" ht="58.5" customHeight="1" x14ac:dyDescent="0.25">
      <c r="A10078" s="5" t="str">
        <f>"H0016289"</f>
        <v>H0016289</v>
      </c>
      <c r="B10078" s="5" t="str">
        <f>"ESTANTE METALICO 6 ENTREPAÑOS"</f>
        <v>ESTANTE METALICO 6 ENTREPAÑOS</v>
      </c>
      <c r="C10078" s="6">
        <v>27590.38</v>
      </c>
      <c r="D10078" s="5"/>
      <c r="E10078" s="5" t="str">
        <f t="shared" ref="E10078:E10109" si="515">"LABORATORIO CLINICO-CARLOS OSWALDO MORENO SALGADO"</f>
        <v>LABORATORIO CLINICO-CARLOS OSWALDO MORENO SALGADO</v>
      </c>
      <c r="F10078" s="5" t="str">
        <f>"Descripcion: ESTANTE METALICO 6 ENTREPAÑOS Estado: Bueno Placa anterior: 000021152 Material: METALICO Color: GRIS Referencia:  Observacion:  Placa padre: Tipo adquisicion: Entidad"</f>
        <v>Descripcion: ESTANTE METALICO 6 ENTREPAÑOS Estado: Bueno Placa anterior: 000021152 Material: METALICO Color: GRIS Referencia:  Observacion:  Placa padre: Tipo adquisicion: Entidad</v>
      </c>
      <c r="G10078" s="5"/>
    </row>
    <row r="10079" spans="1:7" ht="58.5" customHeight="1" x14ac:dyDescent="0.25">
      <c r="A10079" s="5" t="str">
        <f>"H0020710"</f>
        <v>H0020710</v>
      </c>
      <c r="B10079" s="5" t="str">
        <f>"AIRE ACONDICIONADO CENTRAL (INTEGRAL)"</f>
        <v>AIRE ACONDICIONADO CENTRAL (INTEGRAL)</v>
      </c>
      <c r="C10079" s="6">
        <v>7830000</v>
      </c>
      <c r="D10079" s="5" t="s">
        <v>577</v>
      </c>
      <c r="E10079" s="5" t="str">
        <f t="shared" si="515"/>
        <v>LABORATORIO CLINICO-CARLOS OSWALDO MORENO SALGADO</v>
      </c>
      <c r="F10079" s="5" t="str">
        <f>"Descripcion: AIRE ACONDICIONADO TIPO SPLIT DE 48.000 BTU 1.5 HP,* LABORATORIO CLINICO ,MARCA ANTERIOR: THERMOTAR Estado: Bueno Placa anterior: 000036558 Material: METALICO Color: GRIS Referencia:  Observacion:  Placa padre: Tipo adquisicion: Entidad"</f>
        <v>Descripcion: AIRE ACONDICIONADO TIPO SPLIT DE 48.000 BTU 1.5 HP,* LABORATORIO CLINICO ,MARCA ANTERIOR: THERMOTAR Estado: Bueno Placa anterior: 000036558 Material: METALICO Color: GRIS Referencia:  Observacion:  Placa padre: Tipo adquisicion: Entidad</v>
      </c>
      <c r="G10079" s="5" t="str">
        <f>"CV060-1-C-3"</f>
        <v>CV060-1-C-3</v>
      </c>
    </row>
    <row r="10080" spans="1:7" ht="58.5" customHeight="1" x14ac:dyDescent="0.25">
      <c r="A10080" s="5" t="str">
        <f>"H0020712"</f>
        <v>H0020712</v>
      </c>
      <c r="B10080" s="5" t="str">
        <f>"EXTRACTOR DE AIRE"</f>
        <v>EXTRACTOR DE AIRE</v>
      </c>
      <c r="C10080" s="6">
        <v>315264.25</v>
      </c>
      <c r="D10080" s="5"/>
      <c r="E10080" s="5" t="str">
        <f t="shared" si="515"/>
        <v>LABORATORIO CLINICO-CARLOS OSWALDO MORENO SALGADO</v>
      </c>
      <c r="F10080" s="5" t="str">
        <f>"Descripcion: EXTRACTORFAN COIL UNIT Estado: Bueno Placa anterior: 000018982 Material: METALICO Color: GRIS Referencia:  Observacion:  Placa padre: H0020711Tipo adquisicion: Entidad"</f>
        <v>Descripcion: EXTRACTORFAN COIL UNIT Estado: Bueno Placa anterior: 000018982 Material: METALICO Color: GRIS Referencia:  Observacion:  Placa padre: H0020711Tipo adquisicion: Entidad</v>
      </c>
      <c r="G10080" s="5" t="str">
        <f>"BV2000TD"</f>
        <v>BV2000TD</v>
      </c>
    </row>
    <row r="10081" spans="1:7" ht="58.5" customHeight="1" x14ac:dyDescent="0.25">
      <c r="A10081" s="5" t="str">
        <f>"H0020955"</f>
        <v>H0020955</v>
      </c>
      <c r="B10081"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C10081" s="6">
        <v>469800</v>
      </c>
      <c r="D10081" s="5" t="s">
        <v>498</v>
      </c>
      <c r="E10081" s="5" t="str">
        <f t="shared" si="515"/>
        <v>LABORATORIO CLINICO-CARLOS OSWALDO MORENO SALGADO</v>
      </c>
      <c r="F10081" s="5"/>
      <c r="G10081" s="5"/>
    </row>
    <row r="10082" spans="1:7" ht="58.5" customHeight="1" x14ac:dyDescent="0.25">
      <c r="A10082" s="5" t="str">
        <f>"H0020956"</f>
        <v>H0020956</v>
      </c>
      <c r="B10082"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C10082" s="6">
        <v>469800</v>
      </c>
      <c r="D10082" s="5" t="s">
        <v>498</v>
      </c>
      <c r="E10082" s="5" t="str">
        <f t="shared" si="515"/>
        <v>LABORATORIO CLINICO-CARLOS OSWALDO MORENO SALGADO</v>
      </c>
      <c r="F10082" s="5"/>
      <c r="G10082" s="5"/>
    </row>
    <row r="10083" spans="1:7" ht="58.5" customHeight="1" x14ac:dyDescent="0.25">
      <c r="A10083" s="5" t="str">
        <f>"H0020957"</f>
        <v>H0020957</v>
      </c>
      <c r="B10083"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C10083" s="6">
        <v>469800</v>
      </c>
      <c r="D10083" s="5" t="s">
        <v>498</v>
      </c>
      <c r="E10083" s="5" t="str">
        <f t="shared" si="515"/>
        <v>LABORATORIO CLINICO-CARLOS OSWALDO MORENO SALGADO</v>
      </c>
      <c r="F10083" s="5"/>
      <c r="G10083" s="5"/>
    </row>
    <row r="10084" spans="1:7" ht="58.5" customHeight="1" x14ac:dyDescent="0.25">
      <c r="A10084" s="5" t="str">
        <f>"H0020958"</f>
        <v>H0020958</v>
      </c>
      <c r="B10084" s="5" t="str">
        <f>"ESPALDAR OPERATIVO ALTO:50*45, SISTEMA DE AJUSTE SINCROAVANZADO DE 7 POSICIONES, CON AJUSTE DE ALTURA DEL ESPALDAR CON SISTEMA DE CREMALLERA;ASIENTO ECUALIZABLE Y SISTEMA DE ELVACIÓN NEUMATICA;ESPUMA DEL ASIENTO INYECTADA DE ALTA DENSIDAD, ESPALDAR EN DEN"&amp; "SIDAD MEDIA, TAPIZADO EN PRANNA;BASE GIRATORIAA EN POLIPROPILENO, INCLUYE RODACHINES EN NYLON PARA PISO DURO, CON APOYA PIES CIRCULAR PARA EL AREA DE LABORATORIO"</f>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84" s="6">
        <v>469800</v>
      </c>
      <c r="D10084" s="5" t="s">
        <v>498</v>
      </c>
      <c r="E10084" s="5" t="str">
        <f t="shared" si="515"/>
        <v>LABORATORIO CLINICO-CARLOS OSWALDO MORENO SALGADO</v>
      </c>
      <c r="F10084" s="5"/>
      <c r="G10084" s="5"/>
    </row>
    <row r="10085" spans="1:7" ht="58.5" customHeight="1" x14ac:dyDescent="0.25">
      <c r="A10085" s="5" t="str">
        <f>"H0020959"</f>
        <v>H0020959</v>
      </c>
      <c r="B10085"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C10085" s="6">
        <v>469800</v>
      </c>
      <c r="D10085" s="5" t="s">
        <v>498</v>
      </c>
      <c r="E10085" s="5" t="str">
        <f t="shared" si="515"/>
        <v>LABORATORIO CLINICO-CARLOS OSWALDO MORENO SALGADO</v>
      </c>
      <c r="F10085" s="5"/>
      <c r="G10085" s="5"/>
    </row>
    <row r="10086" spans="1:7" ht="58.5" customHeight="1" x14ac:dyDescent="0.25">
      <c r="A10086" s="5" t="str">
        <f>"H0020960"</f>
        <v>H0020960</v>
      </c>
      <c r="B10086" s="5" t="str">
        <f t="shared" ref="B10086:B10091" si="516">"ESPALDAR OPERATIVO ALTO:50*45, SISTEMA DE AJUSTE SINCROAVANZADO DE 7 POSICIONES, CON AJUSTE DE ALTURA DEL ESPALDAR CON SISTEMA DE CREMALLERA;ASIENTO ECUALIZABLE Y SISTEMA DE ELVACIÓN NEUMATICA;ESPUMA DEL ASIENTO INYECTADA DE ALTA DENSIDAD, ESPALDAR EN DEN"&amp; "SIDAD MEDIA, TAPIZADO EN PRANNA;BASE GIRATORIAA EN POLIPROPILENO, INCLUYE RODACHINES EN NYLON PARA PISO DURO, CON APOYA PIES CIRCULAR PARA EL AREA DE LABORATORIO"</f>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86" s="6">
        <v>469800</v>
      </c>
      <c r="D10086" s="5" t="s">
        <v>498</v>
      </c>
      <c r="E10086" s="5" t="str">
        <f t="shared" si="515"/>
        <v>LABORATORIO CLINICO-CARLOS OSWALDO MORENO SALGADO</v>
      </c>
      <c r="F10086" s="5"/>
      <c r="G10086" s="5"/>
    </row>
    <row r="10087" spans="1:7" ht="58.5" customHeight="1" x14ac:dyDescent="0.25">
      <c r="A10087" s="5" t="str">
        <f>"H0020961"</f>
        <v>H0020961</v>
      </c>
      <c r="B10087" s="5" t="str">
        <f t="shared" si="51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87" s="6">
        <v>469800</v>
      </c>
      <c r="D10087" s="5" t="s">
        <v>498</v>
      </c>
      <c r="E10087" s="5" t="str">
        <f t="shared" si="515"/>
        <v>LABORATORIO CLINICO-CARLOS OSWALDO MORENO SALGADO</v>
      </c>
      <c r="F10087" s="5"/>
      <c r="G10087" s="5"/>
    </row>
    <row r="10088" spans="1:7" ht="58.5" customHeight="1" x14ac:dyDescent="0.25">
      <c r="A10088" s="5" t="str">
        <f>"H0020962"</f>
        <v>H0020962</v>
      </c>
      <c r="B10088" s="5" t="str">
        <f t="shared" si="51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88" s="6">
        <v>469800</v>
      </c>
      <c r="D10088" s="5" t="s">
        <v>498</v>
      </c>
      <c r="E10088" s="5" t="str">
        <f t="shared" si="515"/>
        <v>LABORATORIO CLINICO-CARLOS OSWALDO MORENO SALGADO</v>
      </c>
      <c r="F10088" s="5"/>
      <c r="G10088" s="5"/>
    </row>
    <row r="10089" spans="1:7" ht="58.5" customHeight="1" x14ac:dyDescent="0.25">
      <c r="A10089" s="5" t="str">
        <f>"H0020963"</f>
        <v>H0020963</v>
      </c>
      <c r="B10089" s="5" t="str">
        <f t="shared" si="51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89" s="6">
        <v>469800</v>
      </c>
      <c r="D10089" s="5" t="s">
        <v>498</v>
      </c>
      <c r="E10089" s="5" t="str">
        <f t="shared" si="515"/>
        <v>LABORATORIO CLINICO-CARLOS OSWALDO MORENO SALGADO</v>
      </c>
      <c r="F10089" s="5"/>
      <c r="G10089" s="5"/>
    </row>
    <row r="10090" spans="1:7" ht="58.5" customHeight="1" x14ac:dyDescent="0.25">
      <c r="A10090" s="5" t="str">
        <f>"H0020964"</f>
        <v>H0020964</v>
      </c>
      <c r="B10090" s="5" t="str">
        <f t="shared" si="51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90" s="6">
        <v>469800</v>
      </c>
      <c r="D10090" s="5" t="s">
        <v>498</v>
      </c>
      <c r="E10090" s="5" t="str">
        <f t="shared" si="515"/>
        <v>LABORATORIO CLINICO-CARLOS OSWALDO MORENO SALGADO</v>
      </c>
      <c r="F10090" s="5"/>
      <c r="G10090" s="5"/>
    </row>
    <row r="10091" spans="1:7" ht="58.5" customHeight="1" x14ac:dyDescent="0.25">
      <c r="A10091" s="5" t="str">
        <f>"H0020966"</f>
        <v>H0020966</v>
      </c>
      <c r="B10091" s="5" t="str">
        <f t="shared" si="516"/>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0091" s="6">
        <v>469800</v>
      </c>
      <c r="D10091" s="5" t="s">
        <v>498</v>
      </c>
      <c r="E10091" s="5" t="str">
        <f t="shared" si="515"/>
        <v>LABORATORIO CLINICO-CARLOS OSWALDO MORENO SALGADO</v>
      </c>
      <c r="F10091" s="5"/>
      <c r="G10091" s="5"/>
    </row>
    <row r="10092" spans="1:7" ht="58.5" customHeight="1" x14ac:dyDescent="0.25">
      <c r="A10092" s="5" t="str">
        <f>"H0020967"</f>
        <v>H0020967</v>
      </c>
      <c r="B10092"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PAÑO;BASE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PAÑO;BASE GIRATORIA EN POLIPROPILENO, INCLUYE RODACHINES EN NYLON PARA PISO DURO</v>
      </c>
      <c r="C10092" s="6">
        <v>458200</v>
      </c>
      <c r="D10092" s="5" t="s">
        <v>498</v>
      </c>
      <c r="E10092" s="5" t="str">
        <f t="shared" si="515"/>
        <v>LABORATORIO CLINICO-CARLOS OSWALDO MORENO SALGADO</v>
      </c>
      <c r="F10092" s="5"/>
      <c r="G10092" s="5"/>
    </row>
    <row r="10093" spans="1:7" ht="58.5" customHeight="1" x14ac:dyDescent="0.25">
      <c r="A10093" s="5" t="str">
        <f>"H0020977"</f>
        <v>H0020977</v>
      </c>
      <c r="B10093" s="5" t="str">
        <f>"SILLA EJECTIVA, ESPALDAR EN MALLA, ASIENTO BASCULANTE CON SISTEMA DE DOS BLOQUEOS, TAPIZADO EN PAÑO, BRAZOS FIJOS, BASE EN HIERRO CROMADO CON RODACHINES EN NYLON PARA PISO DURO"</f>
        <v>SILLA EJECTIVA, ESPALDAR EN MALLA, ASIENTO BASCULANTE CON SISTEMA DE DOS BLOQUEOS, TAPIZADO EN PAÑO, BRAZOS FIJOS, BASE EN HIERRO CROMADO CON RODACHINES EN NYLON PARA PISO DURO</v>
      </c>
      <c r="C10093" s="6">
        <v>574200</v>
      </c>
      <c r="D10093" s="5" t="s">
        <v>498</v>
      </c>
      <c r="E10093" s="5" t="str">
        <f t="shared" si="515"/>
        <v>LABORATORIO CLINICO-CARLOS OSWALDO MORENO SALGADO</v>
      </c>
      <c r="F10093" s="5"/>
      <c r="G10093" s="5"/>
    </row>
    <row r="10094" spans="1:7" ht="58.5" customHeight="1" x14ac:dyDescent="0.25">
      <c r="A10094" s="5" t="str">
        <f>"H0021023"</f>
        <v>H0021023</v>
      </c>
      <c r="B10094" s="5" t="str">
        <f>"VENTILADOR DE TECHO"</f>
        <v>VENTILADOR DE TECHO</v>
      </c>
      <c r="C10094" s="6">
        <v>207000</v>
      </c>
      <c r="D10094" s="5"/>
      <c r="E10094" s="5" t="str">
        <f t="shared" si="515"/>
        <v>LABORATORIO CLINICO-CARLOS OSWALDO MORENO SALGADO</v>
      </c>
      <c r="F10094" s="5" t="str">
        <f>"Descripcion:VENTILADOR DE TECHO Estado: Excelente Placa anterior: 000033287 Material: CERAMICA Y PASTA Color: BEIGE Referencia:  Observacion:  Placa padre:  Tipo adquisicion : Entidad"</f>
        <v>Descripcion:VENTILADOR DE TECHO Estado: Excelente Placa anterior: 000033287 Material: CERAMICA Y PASTA Color: BEIGE Referencia:  Observacion:  Placa padre:  Tipo adquisicion : Entidad</v>
      </c>
      <c r="G10094" s="5" t="str">
        <f>"DFRA-42"</f>
        <v>DFRA-42</v>
      </c>
    </row>
    <row r="10095" spans="1:7" ht="58.5" customHeight="1" x14ac:dyDescent="0.25">
      <c r="A10095" s="5" t="str">
        <f>"H0021425"</f>
        <v>H0021425</v>
      </c>
      <c r="B10095" s="5" t="str">
        <f>"AIRE ACONDICIONADO 5 TR PISO TECHO"</f>
        <v>AIRE ACONDICIONADO 5 TR PISO TECHO</v>
      </c>
      <c r="C10095" s="6">
        <v>8236000</v>
      </c>
      <c r="D10095" s="5" t="s">
        <v>176</v>
      </c>
      <c r="E10095" s="5" t="str">
        <f t="shared" si="515"/>
        <v>LABORATORIO CLINICO-CARLOS OSWALDO MORENO SALGADO</v>
      </c>
      <c r="F10095" s="5"/>
      <c r="G10095" s="5" t="str">
        <f>"CV410-060-3"</f>
        <v>CV410-060-3</v>
      </c>
    </row>
    <row r="10096" spans="1:7" ht="58.5" customHeight="1" x14ac:dyDescent="0.25">
      <c r="A10096" s="5" t="str">
        <f>"H0021434"</f>
        <v>H0021434</v>
      </c>
      <c r="B10096" s="5" t="str">
        <f>"EQUIPO DE AIRE ACONDICIONADO  MINISPLIT 12000 BTU INVERTER"</f>
        <v>EQUIPO DE AIRE ACONDICIONADO  MINISPLIT 12000 BTU INVERTER</v>
      </c>
      <c r="C10096" s="6">
        <v>1856000</v>
      </c>
      <c r="D10096" s="5" t="s">
        <v>176</v>
      </c>
      <c r="E10096" s="5" t="str">
        <f t="shared" si="515"/>
        <v>LABORATORIO CLINICO-CARLOS OSWALDO MORENO SALGADO</v>
      </c>
      <c r="F10096" s="5" t="str">
        <f>"CONDESADORA  602HAFMV2835"</f>
        <v>CONDESADORA  602HAFMV2835</v>
      </c>
      <c r="G10096" s="5" t="str">
        <f>"VM122CE"</f>
        <v>VM122CE</v>
      </c>
    </row>
    <row r="10097" spans="1:7" ht="58.5" customHeight="1" x14ac:dyDescent="0.25">
      <c r="A10097" s="5" t="str">
        <f>"H0021906"</f>
        <v>H0021906</v>
      </c>
      <c r="B10097" s="5" t="str">
        <f>"AIRE ACONDICIONADO TIPO SPLIT 14000 BTU"</f>
        <v>AIRE ACONDICIONADO TIPO SPLIT 14000 BTU</v>
      </c>
      <c r="C10097" s="6">
        <v>1749999</v>
      </c>
      <c r="D10097" s="5"/>
      <c r="E10097" s="5" t="str">
        <f t="shared" si="515"/>
        <v>LABORATORIO CLINICO-CARLOS OSWALDO MORENO SALGADO</v>
      </c>
      <c r="F10097" s="5" t="str">
        <f>"Descripcion: AIRE ACONDICIONADO TIPO ART COOL CON CAPACIDAD DE 14000 BTU MARCA LG Estado: Bueno Placa anterior: 000025811 Material:  Color:  Referencia:  Observacion:  Placa padre: Tipo adquisicion: Entidad"</f>
        <v>Descripcion: AIRE ACONDICIONADO TIPO ART COOL CON CAPACIDAD DE 14000 BTU MARCA LG Estado: Bueno Placa anterior: 000025811 Material:  Color:  Referencia:  Observacion:  Placa padre: Tipo adquisicion: Entidad</v>
      </c>
      <c r="G10097" s="5" t="str">
        <f>"C142CM"</f>
        <v>C142CM</v>
      </c>
    </row>
    <row r="10098" spans="1:7" ht="58.5" customHeight="1" x14ac:dyDescent="0.25">
      <c r="A10098" s="5" t="str">
        <f>"H0021920"</f>
        <v>H0021920</v>
      </c>
      <c r="B10098" s="5" t="str">
        <f>"ARCHIVADOR METALICO 4 GAVETAS"</f>
        <v>ARCHIVADOR METALICO 4 GAVETAS</v>
      </c>
      <c r="C10098" s="6">
        <v>19789</v>
      </c>
      <c r="D10098" s="5"/>
      <c r="E10098" s="5" t="str">
        <f t="shared" si="515"/>
        <v>LABORATORIO CLINICO-CARLOS OSWALDO MORENO SALGADO</v>
      </c>
      <c r="F10098" s="5" t="str">
        <f>"Descripcion: ARCHIVADOR TIPO C (3 GAVETAS) Estado: Bueno Placa anterior: 000004163 Material: METALICO Color: GRIS Referencia:  Observacion:  Placa padre: Tipo adquisicion: Entidad"</f>
        <v>Descripcion: ARCHIVADOR TIPO C (3 GAVETAS) Estado: Bueno Placa anterior: 000004163 Material: METALICO Color: GRIS Referencia:  Observacion:  Placa padre: Tipo adquisicion: Entidad</v>
      </c>
      <c r="G10098" s="5"/>
    </row>
    <row r="10099" spans="1:7" ht="58.5" customHeight="1" x14ac:dyDescent="0.25">
      <c r="A10099" s="5" t="str">
        <f>"H0022269"</f>
        <v>H0022269</v>
      </c>
      <c r="B10099" s="5" t="str">
        <f>"CENTRIFUGA REFRIGERADA"</f>
        <v>CENTRIFUGA REFRIGERADA</v>
      </c>
      <c r="C10099" s="6">
        <v>29580000</v>
      </c>
      <c r="D10099" s="5" t="s">
        <v>61</v>
      </c>
      <c r="E10099" s="5" t="str">
        <f t="shared" si="515"/>
        <v>LABORATORIO CLINICO-CARLOS OSWALDO MORENO SALGADO</v>
      </c>
      <c r="F10099" s="5"/>
      <c r="G10099" s="5"/>
    </row>
    <row r="10100" spans="1:7" ht="58.5" customHeight="1" x14ac:dyDescent="0.25">
      <c r="A10100" s="5" t="str">
        <f>"H0022270"</f>
        <v>H0022270</v>
      </c>
      <c r="B10100" s="5" t="str">
        <f>"REFRIGERADOR VERTICAL PARA CONSERVACIÓN DE MUESTRAS"</f>
        <v>REFRIGERADOR VERTICAL PARA CONSERVACIÓN DE MUESTRAS</v>
      </c>
      <c r="C10100" s="6">
        <v>17400000</v>
      </c>
      <c r="D10100" s="5" t="s">
        <v>61</v>
      </c>
      <c r="E10100" s="5" t="str">
        <f t="shared" si="515"/>
        <v>LABORATORIO CLINICO-CARLOS OSWALDO MORENO SALGADO</v>
      </c>
      <c r="F10100" s="5"/>
      <c r="G10100" s="5" t="str">
        <f>"XXI-04VR"</f>
        <v>XXI-04VR</v>
      </c>
    </row>
    <row r="10101" spans="1:7" ht="58.5" customHeight="1" x14ac:dyDescent="0.25">
      <c r="A10101" s="5" t="str">
        <f>"H0024580"</f>
        <v>H0024580</v>
      </c>
      <c r="B1010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101" s="6">
        <v>2600000</v>
      </c>
      <c r="D10101" s="5" t="s">
        <v>36</v>
      </c>
      <c r="E10101" s="5" t="str">
        <f t="shared" si="515"/>
        <v>LABORATORIO CLINICO-CARLOS OSWALDO MORENO SALGADO</v>
      </c>
      <c r="F10101" s="5"/>
      <c r="G10101" s="5"/>
    </row>
    <row r="10102" spans="1:7" ht="58.5" customHeight="1" x14ac:dyDescent="0.25">
      <c r="A10102" s="5" t="str">
        <f>"H0025065"</f>
        <v>H0025065</v>
      </c>
      <c r="B10102" s="5" t="str">
        <f>"MÓDULO DE RECEPCIÓN LINEAL FABRICADO EN MADERA AGLOMERADA TOTALMENTE ENCHAPADA EN GENERIKA HETRE."</f>
        <v>MÓDULO DE RECEPCIÓN LINEAL FABRICADO EN MADERA AGLOMERADA TOTALMENTE ENCHAPADA EN GENERIKA HETRE.</v>
      </c>
      <c r="C10102" s="6">
        <v>2343200</v>
      </c>
      <c r="D10102" s="5" t="s">
        <v>578</v>
      </c>
      <c r="E10102" s="5" t="str">
        <f t="shared" si="515"/>
        <v>LABORATORIO CLINICO-CARLOS OSWALDO MORENO SALGADO</v>
      </c>
      <c r="F10102" s="5"/>
      <c r="G10102" s="5"/>
    </row>
    <row r="10103" spans="1:7" ht="58.5" customHeight="1" x14ac:dyDescent="0.25">
      <c r="A10103" s="5" t="str">
        <f>"H0025066"</f>
        <v>H0025066</v>
      </c>
      <c r="B10103" s="5" t="str">
        <f>"MUEBLE DE ARCHIVO ENCHAPADO EN GENERIKA COLOR HETRE, CON 4 GAVETAS AUXILIARES, CHAPA INDIVIDUAL Y SECCIÓN DE ENTREPAÑO CON DOS COMPARTIMIENTOS. DIMENSIONES 0.68CM*0.80CM"</f>
        <v>MUEBLE DE ARCHIVO ENCHAPADO EN GENERIKA COLOR HETRE, CON 4 GAVETAS AUXILIARES, CHAPA INDIVIDUAL Y SECCIÓN DE ENTREPAÑO CON DOS COMPARTIMIENTOS. DIMENSIONES 0.68CM*0.80CM</v>
      </c>
      <c r="C10103" s="6">
        <v>719200</v>
      </c>
      <c r="D10103" s="5" t="s">
        <v>578</v>
      </c>
      <c r="E10103" s="5" t="str">
        <f t="shared" si="515"/>
        <v>LABORATORIO CLINICO-CARLOS OSWALDO MORENO SALGADO</v>
      </c>
      <c r="F10103" s="5"/>
      <c r="G10103" s="5"/>
    </row>
    <row r="10104" spans="1:7" ht="58.5" customHeight="1" x14ac:dyDescent="0.25">
      <c r="A10104" s="5" t="str">
        <f>"H0025067"</f>
        <v>H0025067</v>
      </c>
      <c r="B10104" s="5" t="str">
        <f>"MUEBLE DE ARCHIVO ENCHAPADO EN GENERIKA COLOR HETRE, CON 4 GAVETAS AUXILIARES, CHAPA INDIVIDUAL Y SECCIÓN DE ENTREPAÑO CON DOS COMPARTIMIENTOS. DIMENSIONES 0.68CM*0.80CM"</f>
        <v>MUEBLE DE ARCHIVO ENCHAPADO EN GENERIKA COLOR HETRE, CON 4 GAVETAS AUXILIARES, CHAPA INDIVIDUAL Y SECCIÓN DE ENTREPAÑO CON DOS COMPARTIMIENTOS. DIMENSIONES 0.68CM*0.80CM</v>
      </c>
      <c r="C10104" s="6">
        <v>719200</v>
      </c>
      <c r="D10104" s="5" t="s">
        <v>578</v>
      </c>
      <c r="E10104" s="5" t="str">
        <f t="shared" si="515"/>
        <v>LABORATORIO CLINICO-CARLOS OSWALDO MORENO SALGADO</v>
      </c>
      <c r="F10104" s="5"/>
      <c r="G10104" s="5"/>
    </row>
    <row r="10105" spans="1:7" ht="58.5" customHeight="1" x14ac:dyDescent="0.25">
      <c r="A10105" s="5" t="str">
        <f>"H0025322"</f>
        <v>H0025322</v>
      </c>
      <c r="B1010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105" s="6">
        <v>312156</v>
      </c>
      <c r="D10105" s="5" t="s">
        <v>10</v>
      </c>
      <c r="E10105" s="5" t="str">
        <f t="shared" si="515"/>
        <v>LABORATORIO CLINICO-CARLOS OSWALDO MORENO SALGADO</v>
      </c>
      <c r="F10105" s="5"/>
      <c r="G10105" s="5"/>
    </row>
    <row r="10106" spans="1:7" ht="58.5" customHeight="1" x14ac:dyDescent="0.25">
      <c r="A10106" s="5" t="str">
        <f>"H0025355"</f>
        <v>H0025355</v>
      </c>
      <c r="B1010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106" s="6">
        <v>312156</v>
      </c>
      <c r="D10106" s="5" t="s">
        <v>10</v>
      </c>
      <c r="E10106" s="5" t="str">
        <f t="shared" si="515"/>
        <v>LABORATORIO CLINICO-CARLOS OSWALDO MORENO SALGADO</v>
      </c>
      <c r="F10106" s="5"/>
      <c r="G10106" s="5"/>
    </row>
    <row r="10107" spans="1:7" ht="58.5" customHeight="1" x14ac:dyDescent="0.25">
      <c r="A10107" s="5" t="str">
        <f>"H0025762"</f>
        <v>H0025762</v>
      </c>
      <c r="B10107" s="5" t="str">
        <f>"MICROPIPETA DE 8 CANALES"</f>
        <v>MICROPIPETA DE 8 CANALES</v>
      </c>
      <c r="C10107" s="6">
        <v>1114911</v>
      </c>
      <c r="D10107" s="5" t="s">
        <v>579</v>
      </c>
      <c r="E10107" s="5" t="str">
        <f t="shared" si="515"/>
        <v>LABORATORIO CLINICO-CARLOS OSWALDO MORENO SALGADO</v>
      </c>
      <c r="F10107" s="5"/>
      <c r="G10107" s="5"/>
    </row>
    <row r="10108" spans="1:7" ht="58.5" customHeight="1" x14ac:dyDescent="0.25">
      <c r="A10108" s="5" t="str">
        <f>"H0025763"</f>
        <v>H0025763</v>
      </c>
      <c r="B10108" s="5" t="str">
        <f>"MICROPIPETA DE 8 CANALES"</f>
        <v>MICROPIPETA DE 8 CANALES</v>
      </c>
      <c r="C10108" s="6">
        <v>1114911</v>
      </c>
      <c r="D10108" s="5" t="s">
        <v>580</v>
      </c>
      <c r="E10108" s="5" t="str">
        <f t="shared" si="515"/>
        <v>LABORATORIO CLINICO-CARLOS OSWALDO MORENO SALGADO</v>
      </c>
      <c r="F10108" s="5"/>
      <c r="G10108" s="5"/>
    </row>
    <row r="10109" spans="1:7" ht="58.5" customHeight="1" x14ac:dyDescent="0.25">
      <c r="A10109" s="5" t="str">
        <f>"H0025851"</f>
        <v>H0025851</v>
      </c>
      <c r="B10109" s="5" t="str">
        <f>"HORNO DE INCUBACIÓN"</f>
        <v>HORNO DE INCUBACIÓN</v>
      </c>
      <c r="C10109" s="6">
        <v>3618324</v>
      </c>
      <c r="D10109" s="5" t="s">
        <v>581</v>
      </c>
      <c r="E10109" s="5" t="str">
        <f t="shared" si="515"/>
        <v>LABORATORIO CLINICO-CARLOS OSWALDO MORENO SALGADO</v>
      </c>
      <c r="F10109" s="5"/>
      <c r="G10109" s="5" t="str">
        <f>"UN30-MEMMERT"</f>
        <v>UN30-MEMMERT</v>
      </c>
    </row>
    <row r="10110" spans="1:7" ht="58.5" customHeight="1" x14ac:dyDescent="0.25">
      <c r="A10110" s="5" t="str">
        <f>"H0025896"</f>
        <v>H0025896</v>
      </c>
      <c r="B10110" s="5" t="str">
        <f>"CABINA DE SEGURIDAD BIOLOGICA"</f>
        <v>CABINA DE SEGURIDAD BIOLOGICA</v>
      </c>
      <c r="C10110" s="6">
        <v>26006289</v>
      </c>
      <c r="D10110" s="5" t="s">
        <v>582</v>
      </c>
      <c r="E10110" s="5" t="str">
        <f t="shared" ref="E10110:E10141" si="517">"LABORATORIO CLINICO-CARLOS OSWALDO MORENO SALGADO"</f>
        <v>LABORATORIO CLINICO-CARLOS OSWALDO MORENO SALGADO</v>
      </c>
      <c r="F10110" s="5"/>
      <c r="G10110" s="5" t="str">
        <f>"FLC"</f>
        <v>FLC</v>
      </c>
    </row>
    <row r="10111" spans="1:7" ht="58.5" customHeight="1" x14ac:dyDescent="0.25">
      <c r="A10111" s="5" t="str">
        <f>"H0029135"</f>
        <v>H0029135</v>
      </c>
      <c r="B1011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111" s="6">
        <v>2902000</v>
      </c>
      <c r="D10111" s="5" t="s">
        <v>13</v>
      </c>
      <c r="E10111" s="5" t="str">
        <f t="shared" si="517"/>
        <v>LABORATORIO CLINICO-CARLOS OSWALDO MORENO SALGADO</v>
      </c>
      <c r="F10111" s="5"/>
      <c r="G10111" s="5"/>
    </row>
    <row r="10112" spans="1:7" ht="58.5" customHeight="1" x14ac:dyDescent="0.25">
      <c r="A10112" s="5" t="str">
        <f>"H0029257"</f>
        <v>H0029257</v>
      </c>
      <c r="B10112" s="5" t="str">
        <f>"KIT 1 FINNIPIPETTE (1-1000UL) THERMO SCIENTIFIC"</f>
        <v>KIT 1 FINNIPIPETTE (1-1000UL) THERMO SCIENTIFIC</v>
      </c>
      <c r="C10112" s="6">
        <v>2159850</v>
      </c>
      <c r="D10112" s="5" t="s">
        <v>583</v>
      </c>
      <c r="E10112" s="5" t="str">
        <f t="shared" si="517"/>
        <v>LABORATORIO CLINICO-CARLOS OSWALDO MORENO SALGADO</v>
      </c>
      <c r="F10112" s="5"/>
      <c r="G10112" s="5" t="str">
        <f>"FINNPIPETTE"</f>
        <v>FINNPIPETTE</v>
      </c>
    </row>
    <row r="10113" spans="1:7" ht="58.5" customHeight="1" x14ac:dyDescent="0.25">
      <c r="A10113" s="5" t="str">
        <f>"H0029258"</f>
        <v>H0029258</v>
      </c>
      <c r="B10113" s="5" t="str">
        <f>"KIT 1 FINNIPIPETTE (1-1000UL) THERMO SCIENTIFIC"</f>
        <v>KIT 1 FINNIPIPETTE (1-1000UL) THERMO SCIENTIFIC</v>
      </c>
      <c r="C10113" s="6">
        <v>2159850</v>
      </c>
      <c r="D10113" s="5" t="s">
        <v>583</v>
      </c>
      <c r="E10113" s="5" t="str">
        <f t="shared" si="517"/>
        <v>LABORATORIO CLINICO-CARLOS OSWALDO MORENO SALGADO</v>
      </c>
      <c r="F10113" s="5"/>
      <c r="G10113" s="5" t="str">
        <f>"FINNPIPETTE F2"</f>
        <v>FINNPIPETTE F2</v>
      </c>
    </row>
    <row r="10114" spans="1:7" ht="58.5" customHeight="1" x14ac:dyDescent="0.25">
      <c r="A10114" s="5" t="str">
        <f>"H0029260"</f>
        <v>H0029260</v>
      </c>
      <c r="B10114" s="5" t="str">
        <f>"MICROPIPETA MULTICANAL 8 CANALES DE 30 A 300 UL THERMO SCIENTIFIC"</f>
        <v>MICROPIPETA MULTICANAL 8 CANALES DE 30 A 300 UL THERMO SCIENTIFIC</v>
      </c>
      <c r="C10114" s="6">
        <v>2897650</v>
      </c>
      <c r="D10114" s="5" t="s">
        <v>583</v>
      </c>
      <c r="E10114" s="5" t="str">
        <f t="shared" si="517"/>
        <v>LABORATORIO CLINICO-CARLOS OSWALDO MORENO SALGADO</v>
      </c>
      <c r="F10114" s="5"/>
      <c r="G10114" s="5"/>
    </row>
    <row r="10115" spans="1:7" ht="58.5" customHeight="1" x14ac:dyDescent="0.25">
      <c r="A10115" s="5" t="str">
        <f>"H0029261"</f>
        <v>H0029261</v>
      </c>
      <c r="B10115" s="5" t="str">
        <f>"MICROPIPETA MULTICANAL 8 CANALES DE 30 A 300 UL THERMO SCIENTIFIC"</f>
        <v>MICROPIPETA MULTICANAL 8 CANALES DE 30 A 300 UL THERMO SCIENTIFIC</v>
      </c>
      <c r="C10115" s="6">
        <v>2897650</v>
      </c>
      <c r="D10115" s="5" t="s">
        <v>583</v>
      </c>
      <c r="E10115" s="5" t="str">
        <f t="shared" si="517"/>
        <v>LABORATORIO CLINICO-CARLOS OSWALDO MORENO SALGADO</v>
      </c>
      <c r="F10115" s="5"/>
      <c r="G10115" s="5"/>
    </row>
    <row r="10116" spans="1:7" ht="58.5" customHeight="1" x14ac:dyDescent="0.25">
      <c r="A10116" s="5" t="str">
        <f>"H0029262"</f>
        <v>H0029262</v>
      </c>
      <c r="B10116" s="5" t="str">
        <f>"HORNO DE CONVECCIÓN FORZADA DE 104 LITROS MARCA THERMO SCIENTIFIC"</f>
        <v>HORNO DE CONVECCIÓN FORZADA DE 104 LITROS MARCA THERMO SCIENTIFIC</v>
      </c>
      <c r="C10116" s="6">
        <v>14068180</v>
      </c>
      <c r="D10116" s="5" t="s">
        <v>583</v>
      </c>
      <c r="E10116" s="5" t="str">
        <f t="shared" si="517"/>
        <v>LABORATORIO CLINICO-CARLOS OSWALDO MORENO SALGADO</v>
      </c>
      <c r="F10116" s="5"/>
      <c r="G10116" s="5"/>
    </row>
    <row r="10117" spans="1:7" ht="58.5" customHeight="1" x14ac:dyDescent="0.25">
      <c r="A10117" s="5" t="str">
        <f>"H0029263"</f>
        <v>H0029263</v>
      </c>
      <c r="B10117" s="5" t="str">
        <f>"VORTEX MIXER MARCA THERMO SCIENTIFIC"</f>
        <v>VORTEX MIXER MARCA THERMO SCIENTIFIC</v>
      </c>
      <c r="C10117" s="6">
        <v>2011100</v>
      </c>
      <c r="D10117" s="5" t="s">
        <v>583</v>
      </c>
      <c r="E10117" s="5" t="str">
        <f t="shared" si="517"/>
        <v>LABORATORIO CLINICO-CARLOS OSWALDO MORENO SALGADO</v>
      </c>
      <c r="F10117" s="5"/>
      <c r="G10117" s="5" t="str">
        <f>"LP VORTEX MIXER"</f>
        <v>LP VORTEX MIXER</v>
      </c>
    </row>
    <row r="10118" spans="1:7" ht="58.5" customHeight="1" x14ac:dyDescent="0.25">
      <c r="A10118" s="5" t="str">
        <f>"H0029421"</f>
        <v>H0029421</v>
      </c>
      <c r="B10118" s="5" t="str">
        <f>"CENTRIFUGA"</f>
        <v>CENTRIFUGA</v>
      </c>
      <c r="C10118" s="6">
        <v>15500000</v>
      </c>
      <c r="D10118" s="5" t="s">
        <v>584</v>
      </c>
      <c r="E10118" s="5" t="str">
        <f t="shared" si="517"/>
        <v>LABORATORIO CLINICO-CARLOS OSWALDO MORENO SALGADO</v>
      </c>
      <c r="F10118" s="5"/>
      <c r="G10118" s="5"/>
    </row>
    <row r="10119" spans="1:7" ht="58.5" customHeight="1" x14ac:dyDescent="0.25">
      <c r="A10119" s="5" t="str">
        <f>"H0029423"</f>
        <v>H0029423</v>
      </c>
      <c r="B10119" s="5" t="str">
        <f>"CENTRIFUGA"</f>
        <v>CENTRIFUGA</v>
      </c>
      <c r="C10119" s="6">
        <v>15500000</v>
      </c>
      <c r="D10119" s="5" t="s">
        <v>584</v>
      </c>
      <c r="E10119" s="5" t="str">
        <f t="shared" si="517"/>
        <v>LABORATORIO CLINICO-CARLOS OSWALDO MORENO SALGADO</v>
      </c>
      <c r="F10119" s="5"/>
      <c r="G10119" s="5"/>
    </row>
    <row r="10120" spans="1:7" ht="58.5" customHeight="1" x14ac:dyDescent="0.25">
      <c r="A10120" s="5" t="str">
        <f>"H0029601"</f>
        <v>H0029601</v>
      </c>
      <c r="B1012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120" s="6">
        <v>252400.18</v>
      </c>
      <c r="D10120" s="5" t="s">
        <v>15</v>
      </c>
      <c r="E10120" s="5" t="str">
        <f t="shared" si="517"/>
        <v>LABORATORIO CLINICO-CARLOS OSWALDO MORENO SALGADO</v>
      </c>
      <c r="F10120" s="5"/>
      <c r="G10120" s="5"/>
    </row>
    <row r="10121" spans="1:7" ht="58.5" customHeight="1" x14ac:dyDescent="0.25">
      <c r="A10121" s="5" t="str">
        <f>"H0029602"</f>
        <v>H0029602</v>
      </c>
      <c r="B1012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121" s="6">
        <v>252400.18</v>
      </c>
      <c r="D10121" s="5" t="s">
        <v>15</v>
      </c>
      <c r="E10121" s="5" t="str">
        <f t="shared" si="517"/>
        <v>LABORATORIO CLINICO-CARLOS OSWALDO MORENO SALGADO</v>
      </c>
      <c r="F10121" s="5"/>
      <c r="G10121" s="5"/>
    </row>
    <row r="10122" spans="1:7" ht="58.5" customHeight="1" x14ac:dyDescent="0.25">
      <c r="A10122" s="5" t="str">
        <f>"H0029603"</f>
        <v>H0029603</v>
      </c>
      <c r="B1012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122" s="6">
        <v>252400.18</v>
      </c>
      <c r="D10122" s="5" t="s">
        <v>15</v>
      </c>
      <c r="E10122" s="5" t="str">
        <f t="shared" si="517"/>
        <v>LABORATORIO CLINICO-CARLOS OSWALDO MORENO SALGADO</v>
      </c>
      <c r="F10122" s="5"/>
      <c r="G10122" s="5"/>
    </row>
    <row r="10123" spans="1:7" ht="58.5" customHeight="1" x14ac:dyDescent="0.25">
      <c r="A10123" s="5" t="str">
        <f>"H0029790"</f>
        <v>H0029790</v>
      </c>
      <c r="B10123" s="5" t="s">
        <v>96</v>
      </c>
      <c r="C10123" s="6">
        <v>169000.22</v>
      </c>
      <c r="D10123" s="5" t="s">
        <v>93</v>
      </c>
      <c r="E10123" s="5" t="str">
        <f t="shared" si="517"/>
        <v>LABORATORIO CLINICO-CARLOS OSWALDO MORENO SALGADO</v>
      </c>
      <c r="F10123" s="5"/>
      <c r="G10123" s="5"/>
    </row>
    <row r="10124" spans="1:7" ht="58.5" customHeight="1" x14ac:dyDescent="0.25">
      <c r="A10124" s="5" t="str">
        <f>"H0030217"</f>
        <v>H0030217</v>
      </c>
      <c r="B10124" s="5" t="str">
        <f>"DISPENSADOR BRICKMAN"</f>
        <v>DISPENSADOR BRICKMAN</v>
      </c>
      <c r="C10124" s="6">
        <v>820000</v>
      </c>
      <c r="D10124" s="5" t="s">
        <v>362</v>
      </c>
      <c r="E10124" s="5" t="str">
        <f t="shared" si="517"/>
        <v>LABORATORIO CLINICO-CARLOS OSWALDO MORENO SALGADO</v>
      </c>
      <c r="F10124" s="5"/>
      <c r="G10124" s="5"/>
    </row>
    <row r="10125" spans="1:7" ht="58.5" customHeight="1" x14ac:dyDescent="0.25">
      <c r="A10125" s="5" t="str">
        <f>"H0031350"</f>
        <v>H0031350</v>
      </c>
      <c r="B10125" s="5" t="str">
        <f>"INCUBADORA (ESTUFA) PARA CULTIVOS CON CAMARA ACERO INOXIDABLE"</f>
        <v>INCUBADORA (ESTUFA) PARA CULTIVOS CON CAMARA ACERO INOXIDABLE</v>
      </c>
      <c r="C10125" s="6">
        <v>25381000.43</v>
      </c>
      <c r="D10125" s="5" t="s">
        <v>585</v>
      </c>
      <c r="E10125" s="5" t="str">
        <f t="shared" si="517"/>
        <v>LABORATORIO CLINICO-CARLOS OSWALDO MORENO SALGADO</v>
      </c>
      <c r="F10125" s="5"/>
      <c r="G10125" s="5"/>
    </row>
    <row r="10126" spans="1:7" ht="58.5" customHeight="1" x14ac:dyDescent="0.25">
      <c r="A10126" s="5" t="str">
        <f>"H0031390"</f>
        <v>H0031390</v>
      </c>
      <c r="B10126" s="5" t="str">
        <f>"MICROSCOPIO TRIOCULAR DE LUZ TRANSMITIDA MARCA CARL ZEISS MODELO PRIMO STAR"</f>
        <v>MICROSCOPIO TRIOCULAR DE LUZ TRANSMITIDA MARCA CARL ZEISS MODELO PRIMO STAR</v>
      </c>
      <c r="C10126" s="6">
        <v>7318857</v>
      </c>
      <c r="D10126" s="5" t="s">
        <v>586</v>
      </c>
      <c r="E10126" s="5" t="str">
        <f t="shared" si="517"/>
        <v>LABORATORIO CLINICO-CARLOS OSWALDO MORENO SALGADO</v>
      </c>
      <c r="F10126" s="5"/>
      <c r="G10126" s="5"/>
    </row>
    <row r="10127" spans="1:7" ht="58.5" customHeight="1" x14ac:dyDescent="0.25">
      <c r="A10127" s="5" t="str">
        <f>"H0031391"</f>
        <v>H0031391</v>
      </c>
      <c r="B10127" s="5" t="str">
        <f>"MICROSCOPIO TRIOCULAR DE LUZ TRANSMITIDA MARCA CARL ZEISS MODELO PRIMO STAR"</f>
        <v>MICROSCOPIO TRIOCULAR DE LUZ TRANSMITIDA MARCA CARL ZEISS MODELO PRIMO STAR</v>
      </c>
      <c r="C10127" s="6">
        <v>7318857</v>
      </c>
      <c r="D10127" s="5" t="s">
        <v>586</v>
      </c>
      <c r="E10127" s="5" t="str">
        <f t="shared" si="517"/>
        <v>LABORATORIO CLINICO-CARLOS OSWALDO MORENO SALGADO</v>
      </c>
      <c r="F10127" s="5"/>
      <c r="G10127" s="5"/>
    </row>
    <row r="10128" spans="1:7" ht="58.5" customHeight="1" x14ac:dyDescent="0.25">
      <c r="A10128" s="5" t="str">
        <f>"H0031489"</f>
        <v>H0031489</v>
      </c>
      <c r="B1012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128" s="6">
        <v>3209500</v>
      </c>
      <c r="D10128" s="5" t="s">
        <v>16</v>
      </c>
      <c r="E10128" s="5" t="str">
        <f t="shared" si="517"/>
        <v>LABORATORIO CLINICO-CARLOS OSWALDO MORENO SALGADO</v>
      </c>
      <c r="F10128" s="5"/>
      <c r="G10128" s="5"/>
    </row>
    <row r="10129" spans="1:7" ht="58.5" customHeight="1" x14ac:dyDescent="0.25">
      <c r="A10129" s="5" t="str">
        <f>"H0031792"</f>
        <v>H0031792</v>
      </c>
      <c r="B10129" s="5" t="str">
        <f>"LOCKER DE 12 PUERTAS 1.39X1.66X0.35 MELAMINA RH COLOR BLANCO INCLUYE CERRADURAY MANIJA POR CASILLERO"</f>
        <v>LOCKER DE 12 PUERTAS 1.39X1.66X0.35 MELAMINA RH COLOR BLANCO INCLUYE CERRADURAY MANIJA POR CASILLERO</v>
      </c>
      <c r="C10129" s="6">
        <v>1450000</v>
      </c>
      <c r="D10129" s="5" t="s">
        <v>253</v>
      </c>
      <c r="E10129" s="5" t="str">
        <f t="shared" si="517"/>
        <v>LABORATORIO CLINICO-CARLOS OSWALDO MORENO SALGADO</v>
      </c>
      <c r="F10129" s="5"/>
      <c r="G10129" s="5"/>
    </row>
    <row r="10130" spans="1:7" ht="58.5" customHeight="1" x14ac:dyDescent="0.25">
      <c r="A10130" s="5" t="str">
        <f>"H0032449"</f>
        <v>H0032449</v>
      </c>
      <c r="B10130" s="5" t="str">
        <f>"AIRE ACONDICIONADO TIPO SPLIT 24000 BTU SIN IVA"</f>
        <v>AIRE ACONDICIONADO TIPO SPLIT 24000 BTU SIN IVA</v>
      </c>
      <c r="C10130" s="6">
        <v>2352941</v>
      </c>
      <c r="D10130" s="5" t="s">
        <v>485</v>
      </c>
      <c r="E10130" s="5" t="str">
        <f t="shared" si="517"/>
        <v>LABORATORIO CLINICO-CARLOS OSWALDO MORENO SALGADO</v>
      </c>
      <c r="F10130" s="5"/>
      <c r="G10130" s="5"/>
    </row>
    <row r="10131" spans="1:7" ht="58.5" customHeight="1" x14ac:dyDescent="0.25">
      <c r="A10131" s="5" t="str">
        <f>"H0034065"</f>
        <v>H0034065</v>
      </c>
      <c r="B10131" s="5" t="str">
        <f>"Ultracongelador a -70 grados centígrados, capacidad de 400-450 litros"</f>
        <v>Ultracongelador a -70 grados centígrados, capacidad de 400-450 litros</v>
      </c>
      <c r="C10131" s="6">
        <v>82966800</v>
      </c>
      <c r="D10131" s="5" t="s">
        <v>587</v>
      </c>
      <c r="E10131" s="5" t="str">
        <f t="shared" si="517"/>
        <v>LABORATORIO CLINICO-CARLOS OSWALDO MORENO SALGADO</v>
      </c>
      <c r="F10131" s="5"/>
      <c r="G10131" s="5"/>
    </row>
    <row r="10132" spans="1:7" ht="58.5" customHeight="1" x14ac:dyDescent="0.25">
      <c r="A10132" s="5" t="str">
        <f>"H0034066"</f>
        <v>H0034066</v>
      </c>
      <c r="B10132" s="5" t="str">
        <f>"Refrigerador 2-8 grados centígrados, capacidad 150 litros"</f>
        <v>Refrigerador 2-8 grados centígrados, capacidad 150 litros</v>
      </c>
      <c r="C10132" s="6">
        <v>23407300</v>
      </c>
      <c r="D10132" s="5" t="s">
        <v>587</v>
      </c>
      <c r="E10132" s="5" t="str">
        <f t="shared" si="517"/>
        <v>LABORATORIO CLINICO-CARLOS OSWALDO MORENO SALGADO</v>
      </c>
      <c r="F10132" s="5"/>
      <c r="G10132" s="5"/>
    </row>
    <row r="10133" spans="1:7" ht="58.5" customHeight="1" x14ac:dyDescent="0.25">
      <c r="A10133" s="5" t="str">
        <f>"H0034636"</f>
        <v>H0034636</v>
      </c>
      <c r="B10133" s="5" t="str">
        <f>"AIRE ACONDICIONADO TIPO MINISPLIT CAPACIDAD 18.000 BTU TECNOLOGIA INVERTER DUAL"</f>
        <v>AIRE ACONDICIONADO TIPO MINISPLIT CAPACIDAD 18.000 BTU TECNOLOGIA INVERTER DUAL</v>
      </c>
      <c r="C10133" s="6">
        <v>2862720</v>
      </c>
      <c r="D10133" s="5" t="s">
        <v>20</v>
      </c>
      <c r="E10133" s="5" t="str">
        <f t="shared" si="517"/>
        <v>LABORATORIO CLINICO-CARLOS OSWALDO MORENO SALGADO</v>
      </c>
      <c r="F10133" s="5"/>
      <c r="G10133" s="5"/>
    </row>
    <row r="10134" spans="1:7" ht="58.5" customHeight="1" x14ac:dyDescent="0.25">
      <c r="A10134" s="5" t="str">
        <f>"H0035097"</f>
        <v>H0035097</v>
      </c>
      <c r="B10134" s="5" t="str">
        <f>"VENTILADOR DE PARED"</f>
        <v>VENTILADOR DE PARED</v>
      </c>
      <c r="C10134" s="6">
        <v>130000.37</v>
      </c>
      <c r="D10134" s="5" t="s">
        <v>25</v>
      </c>
      <c r="E10134" s="5" t="str">
        <f t="shared" si="517"/>
        <v>LABORATORIO CLINICO-CARLOS OSWALDO MORENO SALGADO</v>
      </c>
      <c r="F10134" s="5"/>
      <c r="G10134" s="5"/>
    </row>
    <row r="10135" spans="1:7" ht="58.5" customHeight="1" x14ac:dyDescent="0.25">
      <c r="A10135" s="5" t="str">
        <f>"H0035124"</f>
        <v>H0035124</v>
      </c>
      <c r="B10135" s="5" t="str">
        <f>"VENTILADOR DE PARED"</f>
        <v>VENTILADOR DE PARED</v>
      </c>
      <c r="C10135" s="6">
        <v>130000.37</v>
      </c>
      <c r="D10135" s="5" t="s">
        <v>25</v>
      </c>
      <c r="E10135" s="5" t="str">
        <f t="shared" si="517"/>
        <v>LABORATORIO CLINICO-CARLOS OSWALDO MORENO SALGADO</v>
      </c>
      <c r="F10135" s="5"/>
      <c r="G10135" s="5"/>
    </row>
    <row r="10136" spans="1:7" ht="58.5" customHeight="1" x14ac:dyDescent="0.25">
      <c r="A10136" s="5" t="str">
        <f>"H0035161"</f>
        <v>H0035161</v>
      </c>
      <c r="B10136" s="5" t="str">
        <f>"CENTRIFUGA HERMLE CON TAPA ALEMANA PANTA HERMLE CON ACCESORIOS - (ROTOR SWING 4M PLAZAS- TAPAS DE PC REF.605.002 PARA 605.000 Y 605.001 HERMLE-  GRADILLA C/U 4 TUBOS DE 50ML (FALCON) - GRADILLA C/U 4"</f>
        <v>CENTRIFUGA HERMLE CON TAPA ALEMANA PANTA HERMLE CON ACCESORIOS - (ROTOR SWING 4M PLAZAS- TAPAS DE PC REF.605.002 PARA 605.000 Y 605.001 HERMLE-  GRADILLA C/U 4 TUBOS DE 50ML (FALCON) - GRADILLA C/U 4</v>
      </c>
      <c r="C10136" s="6">
        <v>70607269</v>
      </c>
      <c r="D10136" s="5" t="s">
        <v>588</v>
      </c>
      <c r="E10136" s="5" t="str">
        <f t="shared" si="517"/>
        <v>LABORATORIO CLINICO-CARLOS OSWALDO MORENO SALGADO</v>
      </c>
      <c r="F10136" s="5"/>
      <c r="G10136" s="5"/>
    </row>
    <row r="10137" spans="1:7" ht="58.5" customHeight="1" x14ac:dyDescent="0.25">
      <c r="A10137" s="5" t="str">
        <f>"H0035162"</f>
        <v>H0035162</v>
      </c>
      <c r="B10137" s="5" t="str">
        <f>"PIPETA AUTOMATICA DE 100-100UL"</f>
        <v>PIPETA AUTOMATICA DE 100-100UL</v>
      </c>
      <c r="C10137" s="6">
        <v>625595</v>
      </c>
      <c r="D10137" s="5" t="s">
        <v>589</v>
      </c>
      <c r="E10137" s="5" t="str">
        <f t="shared" si="517"/>
        <v>LABORATORIO CLINICO-CARLOS OSWALDO MORENO SALGADO</v>
      </c>
      <c r="F10137" s="5"/>
      <c r="G10137" s="5"/>
    </row>
    <row r="10138" spans="1:7" ht="58.5" customHeight="1" x14ac:dyDescent="0.25">
      <c r="A10138" s="5" t="str">
        <f>"H0035163"</f>
        <v>H0035163</v>
      </c>
      <c r="B10138" s="5" t="str">
        <f>"PIPETA AUTOMATICA DE 100-100UL"</f>
        <v>PIPETA AUTOMATICA DE 100-100UL</v>
      </c>
      <c r="C10138" s="6">
        <v>625595</v>
      </c>
      <c r="D10138" s="5" t="s">
        <v>588</v>
      </c>
      <c r="E10138" s="5" t="str">
        <f t="shared" si="517"/>
        <v>LABORATORIO CLINICO-CARLOS OSWALDO MORENO SALGADO</v>
      </c>
      <c r="F10138" s="5"/>
      <c r="G10138" s="5"/>
    </row>
    <row r="10139" spans="1:7" ht="58.5" customHeight="1" x14ac:dyDescent="0.25">
      <c r="A10139" s="5" t="str">
        <f>"H0035164"</f>
        <v>H0035164</v>
      </c>
      <c r="B10139" s="5" t="str">
        <f>"AGITADOR VORTEX V1 PLUS REF. BOE8055100"</f>
        <v>AGITADOR VORTEX V1 PLUS REF. BOE8055100</v>
      </c>
      <c r="C10139" s="6">
        <v>1519796</v>
      </c>
      <c r="D10139" s="5" t="s">
        <v>588</v>
      </c>
      <c r="E10139" s="5" t="str">
        <f t="shared" si="517"/>
        <v>LABORATORIO CLINICO-CARLOS OSWALDO MORENO SALGADO</v>
      </c>
      <c r="F10139" s="5"/>
      <c r="G10139" s="5"/>
    </row>
    <row r="10140" spans="1:7" ht="58.5" customHeight="1" x14ac:dyDescent="0.25">
      <c r="A10140" s="5" t="str">
        <f>"H0035305"</f>
        <v>H0035305</v>
      </c>
      <c r="B10140" s="5" t="str">
        <f>"AIRE ACONDICIONADO TIPO TECHO DE 40.000 BTU MARCA LG NO CONTIENE KIT DE TUBERIA"</f>
        <v>AIRE ACONDICIONADO TIPO TECHO DE 40.000 BTU MARCA LG NO CONTIENE KIT DE TUBERIA</v>
      </c>
      <c r="C10140" s="6">
        <v>7095269</v>
      </c>
      <c r="D10140" s="5" t="s">
        <v>158</v>
      </c>
      <c r="E10140" s="5" t="str">
        <f t="shared" si="517"/>
        <v>LABORATORIO CLINICO-CARLOS OSWALDO MORENO SALGADO</v>
      </c>
      <c r="F10140" s="5"/>
      <c r="G10140" s="5" t="str">
        <f>"AVNU406M1A4"</f>
        <v>AVNU406M1A4</v>
      </c>
    </row>
    <row r="10141" spans="1:7" ht="58.5" customHeight="1" x14ac:dyDescent="0.25">
      <c r="A10141" s="5" t="str">
        <f>"H0035306"</f>
        <v>H0035306</v>
      </c>
      <c r="B10141" s="5" t="str">
        <f>"AIRE ACONDICIONADO TIPO TECHO DE 40.000 BTU MARCA LG NO CONTIENE KIT DE TUBERIA"</f>
        <v>AIRE ACONDICIONADO TIPO TECHO DE 40.000 BTU MARCA LG NO CONTIENE KIT DE TUBERIA</v>
      </c>
      <c r="C10141" s="6">
        <v>7095269</v>
      </c>
      <c r="D10141" s="5" t="s">
        <v>158</v>
      </c>
      <c r="E10141" s="5" t="str">
        <f t="shared" si="517"/>
        <v>LABORATORIO CLINICO-CARLOS OSWALDO MORENO SALGADO</v>
      </c>
      <c r="F10141" s="5"/>
      <c r="G10141" s="5" t="str">
        <f>"AVNU406M1A4"</f>
        <v>AVNU406M1A4</v>
      </c>
    </row>
    <row r="10142" spans="1:7" ht="58.5" customHeight="1" x14ac:dyDescent="0.25">
      <c r="A10142" s="5" t="str">
        <f>"H0035726"</f>
        <v>H0035726</v>
      </c>
      <c r="B10142" s="5" t="str">
        <f t="shared" ref="B10142:B10150" si="518">"SILLA GERENTE NIZA MEC. BASCULANTE CON BRAZOS."</f>
        <v>SILLA GERENTE NIZA MEC. BASCULANTE CON BRAZOS.</v>
      </c>
      <c r="C10142" s="6">
        <v>639999.86</v>
      </c>
      <c r="D10142" s="5" t="s">
        <v>46</v>
      </c>
      <c r="E10142" s="5" t="str">
        <f t="shared" ref="E10142:E10166" si="519">"LABORATORIO CLINICO-CARLOS OSWALDO MORENO SALGADO"</f>
        <v>LABORATORIO CLINICO-CARLOS OSWALDO MORENO SALGADO</v>
      </c>
      <c r="F10142" s="5"/>
      <c r="G10142" s="5"/>
    </row>
    <row r="10143" spans="1:7" ht="58.5" customHeight="1" x14ac:dyDescent="0.25">
      <c r="A10143" s="5" t="str">
        <f>"H0035727"</f>
        <v>H0035727</v>
      </c>
      <c r="B10143" s="5" t="str">
        <f t="shared" si="518"/>
        <v>SILLA GERENTE NIZA MEC. BASCULANTE CON BRAZOS.</v>
      </c>
      <c r="C10143" s="6">
        <v>639999.86</v>
      </c>
      <c r="D10143" s="5" t="s">
        <v>46</v>
      </c>
      <c r="E10143" s="5" t="str">
        <f t="shared" si="519"/>
        <v>LABORATORIO CLINICO-CARLOS OSWALDO MORENO SALGADO</v>
      </c>
      <c r="F10143" s="5"/>
      <c r="G10143" s="5"/>
    </row>
    <row r="10144" spans="1:7" ht="58.5" customHeight="1" x14ac:dyDescent="0.25">
      <c r="A10144" s="5" t="str">
        <f>"H0035728"</f>
        <v>H0035728</v>
      </c>
      <c r="B10144" s="5" t="str">
        <f t="shared" si="518"/>
        <v>SILLA GERENTE NIZA MEC. BASCULANTE CON BRAZOS.</v>
      </c>
      <c r="C10144" s="6">
        <v>639999.86</v>
      </c>
      <c r="D10144" s="5" t="s">
        <v>46</v>
      </c>
      <c r="E10144" s="5" t="str">
        <f t="shared" si="519"/>
        <v>LABORATORIO CLINICO-CARLOS OSWALDO MORENO SALGADO</v>
      </c>
      <c r="F10144" s="5"/>
      <c r="G10144" s="5"/>
    </row>
    <row r="10145" spans="1:7" ht="58.5" customHeight="1" x14ac:dyDescent="0.25">
      <c r="A10145" s="5" t="str">
        <f>"H0035729"</f>
        <v>H0035729</v>
      </c>
      <c r="B10145" s="5" t="str">
        <f t="shared" si="518"/>
        <v>SILLA GERENTE NIZA MEC. BASCULANTE CON BRAZOS.</v>
      </c>
      <c r="C10145" s="6">
        <v>639999.86</v>
      </c>
      <c r="D10145" s="5" t="s">
        <v>46</v>
      </c>
      <c r="E10145" s="5" t="str">
        <f t="shared" si="519"/>
        <v>LABORATORIO CLINICO-CARLOS OSWALDO MORENO SALGADO</v>
      </c>
      <c r="F10145" s="5"/>
      <c r="G10145" s="5"/>
    </row>
    <row r="10146" spans="1:7" ht="58.5" customHeight="1" x14ac:dyDescent="0.25">
      <c r="A10146" s="5" t="str">
        <f>"H0035730"</f>
        <v>H0035730</v>
      </c>
      <c r="B10146" s="5" t="str">
        <f t="shared" si="518"/>
        <v>SILLA GERENTE NIZA MEC. BASCULANTE CON BRAZOS.</v>
      </c>
      <c r="C10146" s="6">
        <v>639999.86</v>
      </c>
      <c r="D10146" s="5" t="s">
        <v>46</v>
      </c>
      <c r="E10146" s="5" t="str">
        <f t="shared" si="519"/>
        <v>LABORATORIO CLINICO-CARLOS OSWALDO MORENO SALGADO</v>
      </c>
      <c r="F10146" s="5"/>
      <c r="G10146" s="5"/>
    </row>
    <row r="10147" spans="1:7" ht="58.5" customHeight="1" x14ac:dyDescent="0.25">
      <c r="A10147" s="5" t="str">
        <f>"H0035731"</f>
        <v>H0035731</v>
      </c>
      <c r="B10147" s="5" t="str">
        <f t="shared" si="518"/>
        <v>SILLA GERENTE NIZA MEC. BASCULANTE CON BRAZOS.</v>
      </c>
      <c r="C10147" s="6">
        <v>639999.86</v>
      </c>
      <c r="D10147" s="5" t="s">
        <v>46</v>
      </c>
      <c r="E10147" s="5" t="str">
        <f t="shared" si="519"/>
        <v>LABORATORIO CLINICO-CARLOS OSWALDO MORENO SALGADO</v>
      </c>
      <c r="F10147" s="5"/>
      <c r="G10147" s="5"/>
    </row>
    <row r="10148" spans="1:7" ht="58.5" customHeight="1" x14ac:dyDescent="0.25">
      <c r="A10148" s="5" t="str">
        <f>"H0035732"</f>
        <v>H0035732</v>
      </c>
      <c r="B10148" s="5" t="str">
        <f t="shared" si="518"/>
        <v>SILLA GERENTE NIZA MEC. BASCULANTE CON BRAZOS.</v>
      </c>
      <c r="C10148" s="6">
        <v>639999.86</v>
      </c>
      <c r="D10148" s="5" t="s">
        <v>46</v>
      </c>
      <c r="E10148" s="5" t="str">
        <f t="shared" si="519"/>
        <v>LABORATORIO CLINICO-CARLOS OSWALDO MORENO SALGADO</v>
      </c>
      <c r="F10148" s="5"/>
      <c r="G10148" s="5"/>
    </row>
    <row r="10149" spans="1:7" ht="58.5" customHeight="1" x14ac:dyDescent="0.25">
      <c r="A10149" s="5" t="str">
        <f>"H0035733"</f>
        <v>H0035733</v>
      </c>
      <c r="B10149" s="5" t="str">
        <f t="shared" si="518"/>
        <v>SILLA GERENTE NIZA MEC. BASCULANTE CON BRAZOS.</v>
      </c>
      <c r="C10149" s="6">
        <v>639999.86</v>
      </c>
      <c r="D10149" s="5" t="s">
        <v>235</v>
      </c>
      <c r="E10149" s="5" t="str">
        <f t="shared" si="519"/>
        <v>LABORATORIO CLINICO-CARLOS OSWALDO MORENO SALGADO</v>
      </c>
      <c r="F10149" s="5"/>
      <c r="G10149" s="5"/>
    </row>
    <row r="10150" spans="1:7" ht="58.5" customHeight="1" x14ac:dyDescent="0.25">
      <c r="A10150" s="5" t="str">
        <f>"H0035734"</f>
        <v>H0035734</v>
      </c>
      <c r="B10150" s="5" t="str">
        <f t="shared" si="518"/>
        <v>SILLA GERENTE NIZA MEC. BASCULANTE CON BRAZOS.</v>
      </c>
      <c r="C10150" s="6">
        <v>639999.86</v>
      </c>
      <c r="D10150" s="5" t="s">
        <v>46</v>
      </c>
      <c r="E10150" s="5" t="str">
        <f t="shared" si="519"/>
        <v>LABORATORIO CLINICO-CARLOS OSWALDO MORENO SALGADO</v>
      </c>
      <c r="F10150" s="5"/>
      <c r="G10150" s="5"/>
    </row>
    <row r="10151" spans="1:7" ht="58.5" customHeight="1" x14ac:dyDescent="0.25">
      <c r="A10151" s="5" t="str">
        <f>"H0036913"</f>
        <v>H0036913</v>
      </c>
      <c r="B10151" s="5" t="str">
        <f>"AIRE ACONDICIONADO DE 24000 BTU CONVENCIONAL R410"</f>
        <v>AIRE ACONDICIONADO DE 24000 BTU CONVENCIONAL R410</v>
      </c>
      <c r="C10151" s="6">
        <v>4950000</v>
      </c>
      <c r="D10151" s="5" t="s">
        <v>28</v>
      </c>
      <c r="E10151" s="5" t="str">
        <f t="shared" si="519"/>
        <v>LABORATORIO CLINICO-CARLOS OSWALDO MORENO SALGADO</v>
      </c>
      <c r="F10151" s="5"/>
      <c r="G10151" s="5"/>
    </row>
    <row r="10152" spans="1:7" ht="58.5" customHeight="1" x14ac:dyDescent="0.25">
      <c r="A10152" s="5" t="str">
        <f>"H0036914"</f>
        <v>H0036914</v>
      </c>
      <c r="B10152" s="5" t="str">
        <f>"AIRE ACONDICIONADO DE 24000 BTU CONVENCIONAL R410"</f>
        <v>AIRE ACONDICIONADO DE 24000 BTU CONVENCIONAL R410</v>
      </c>
      <c r="C10152" s="6">
        <v>4950000</v>
      </c>
      <c r="D10152" s="5" t="s">
        <v>28</v>
      </c>
      <c r="E10152" s="5" t="str">
        <f t="shared" si="519"/>
        <v>LABORATORIO CLINICO-CARLOS OSWALDO MORENO SALGADO</v>
      </c>
      <c r="F10152" s="5"/>
      <c r="G10152" s="5"/>
    </row>
    <row r="10153" spans="1:7" ht="58.5" customHeight="1" x14ac:dyDescent="0.25">
      <c r="A10153" s="5" t="str">
        <f>"H0037528"</f>
        <v>H0037528</v>
      </c>
      <c r="B10153" s="5" t="str">
        <f>"VENTILADOR DE PARED"</f>
        <v>VENTILADOR DE PARED</v>
      </c>
      <c r="C10153" s="6">
        <v>286671</v>
      </c>
      <c r="D10153" s="5" t="s">
        <v>139</v>
      </c>
      <c r="E10153" s="5" t="str">
        <f t="shared" si="519"/>
        <v>LABORATORIO CLINICO-CARLOS OSWALDO MORENO SALGADO</v>
      </c>
      <c r="F10153" s="5"/>
      <c r="G10153" s="5"/>
    </row>
    <row r="10154" spans="1:7" ht="58.5" customHeight="1" x14ac:dyDescent="0.25">
      <c r="A10154" s="5" t="str">
        <f>"H0037564"</f>
        <v>H0037564</v>
      </c>
      <c r="B10154" s="5" t="str">
        <f>"CABINA (CAMARA) (CAMPANA) FLUJO LAMINAR"</f>
        <v>CABINA (CAMARA) (CAMPANA) FLUJO LAMINAR</v>
      </c>
      <c r="C10154" s="6">
        <v>66337026</v>
      </c>
      <c r="D10154" s="5" t="s">
        <v>590</v>
      </c>
      <c r="E10154" s="5" t="str">
        <f t="shared" si="519"/>
        <v>LABORATORIO CLINICO-CARLOS OSWALDO MORENO SALGADO</v>
      </c>
      <c r="F10154" s="5"/>
      <c r="G10154" s="5"/>
    </row>
    <row r="10155" spans="1:7" ht="58.5" customHeight="1" x14ac:dyDescent="0.25">
      <c r="A10155" s="5" t="str">
        <f>"H0037997"</f>
        <v>H0037997</v>
      </c>
      <c r="B10155" s="5" t="str">
        <f>"SILLA GERENTE NIZA MEC. BASCULANTE CON BRAZOS."</f>
        <v>SILLA GERENTE NIZA MEC. BASCULANTE CON BRAZOS.</v>
      </c>
      <c r="C10155" s="6">
        <v>710000.01</v>
      </c>
      <c r="D10155" s="5" t="s">
        <v>30</v>
      </c>
      <c r="E10155" s="5" t="str">
        <f t="shared" si="519"/>
        <v>LABORATORIO CLINICO-CARLOS OSWALDO MORENO SALGADO</v>
      </c>
      <c r="F10155" s="5"/>
      <c r="G10155" s="5"/>
    </row>
    <row r="10156" spans="1:7" ht="58.5" customHeight="1" x14ac:dyDescent="0.25">
      <c r="A10156" s="5" t="str">
        <f>"H0038060"</f>
        <v>H0038060</v>
      </c>
      <c r="B10156" s="5" t="str">
        <f t="shared" ref="B10156:B10161" si="520">"SILLA CAJERO KOPI"</f>
        <v>SILLA CAJERO KOPI</v>
      </c>
      <c r="C10156" s="6">
        <v>565000.01</v>
      </c>
      <c r="D10156" s="5" t="s">
        <v>30</v>
      </c>
      <c r="E10156" s="5" t="str">
        <f t="shared" si="519"/>
        <v>LABORATORIO CLINICO-CARLOS OSWALDO MORENO SALGADO</v>
      </c>
      <c r="F10156" s="5"/>
      <c r="G10156" s="5"/>
    </row>
    <row r="10157" spans="1:7" ht="58.5" customHeight="1" x14ac:dyDescent="0.25">
      <c r="A10157" s="5" t="str">
        <f>"H0038061"</f>
        <v>H0038061</v>
      </c>
      <c r="B10157" s="5" t="str">
        <f t="shared" si="520"/>
        <v>SILLA CAJERO KOPI</v>
      </c>
      <c r="C10157" s="6">
        <v>565000.01</v>
      </c>
      <c r="D10157" s="5" t="s">
        <v>30</v>
      </c>
      <c r="E10157" s="5" t="str">
        <f t="shared" si="519"/>
        <v>LABORATORIO CLINICO-CARLOS OSWALDO MORENO SALGADO</v>
      </c>
      <c r="F10157" s="5"/>
      <c r="G10157" s="5"/>
    </row>
    <row r="10158" spans="1:7" ht="58.5" customHeight="1" x14ac:dyDescent="0.25">
      <c r="A10158" s="5" t="str">
        <f>"H0038062"</f>
        <v>H0038062</v>
      </c>
      <c r="B10158" s="5" t="str">
        <f t="shared" si="520"/>
        <v>SILLA CAJERO KOPI</v>
      </c>
      <c r="C10158" s="6">
        <v>565000.01</v>
      </c>
      <c r="D10158" s="5" t="s">
        <v>30</v>
      </c>
      <c r="E10158" s="5" t="str">
        <f t="shared" si="519"/>
        <v>LABORATORIO CLINICO-CARLOS OSWALDO MORENO SALGADO</v>
      </c>
      <c r="F10158" s="5"/>
      <c r="G10158" s="5"/>
    </row>
    <row r="10159" spans="1:7" ht="58.5" customHeight="1" x14ac:dyDescent="0.25">
      <c r="A10159" s="5" t="str">
        <f>"H0038063"</f>
        <v>H0038063</v>
      </c>
      <c r="B10159" s="5" t="str">
        <f t="shared" si="520"/>
        <v>SILLA CAJERO KOPI</v>
      </c>
      <c r="C10159" s="6">
        <v>565000.01</v>
      </c>
      <c r="D10159" s="5" t="s">
        <v>30</v>
      </c>
      <c r="E10159" s="5" t="str">
        <f t="shared" si="519"/>
        <v>LABORATORIO CLINICO-CARLOS OSWALDO MORENO SALGADO</v>
      </c>
      <c r="F10159" s="5"/>
      <c r="G10159" s="5"/>
    </row>
    <row r="10160" spans="1:7" ht="58.5" customHeight="1" x14ac:dyDescent="0.25">
      <c r="A10160" s="5" t="str">
        <f>"H0038064"</f>
        <v>H0038064</v>
      </c>
      <c r="B10160" s="5" t="str">
        <f t="shared" si="520"/>
        <v>SILLA CAJERO KOPI</v>
      </c>
      <c r="C10160" s="6">
        <v>565000.01</v>
      </c>
      <c r="D10160" s="5" t="s">
        <v>30</v>
      </c>
      <c r="E10160" s="5" t="str">
        <f t="shared" si="519"/>
        <v>LABORATORIO CLINICO-CARLOS OSWALDO MORENO SALGADO</v>
      </c>
      <c r="F10160" s="5"/>
      <c r="G10160" s="5"/>
    </row>
    <row r="10161" spans="1:7" ht="58.5" customHeight="1" x14ac:dyDescent="0.25">
      <c r="A10161" s="5" t="str">
        <f>"H0038065"</f>
        <v>H0038065</v>
      </c>
      <c r="B10161" s="5" t="str">
        <f t="shared" si="520"/>
        <v>SILLA CAJERO KOPI</v>
      </c>
      <c r="C10161" s="6">
        <v>565000.01</v>
      </c>
      <c r="D10161" s="5" t="s">
        <v>30</v>
      </c>
      <c r="E10161" s="5" t="str">
        <f t="shared" si="519"/>
        <v>LABORATORIO CLINICO-CARLOS OSWALDO MORENO SALGADO</v>
      </c>
      <c r="F10161" s="5"/>
      <c r="G10161" s="5"/>
    </row>
    <row r="10162" spans="1:7" ht="58.5" customHeight="1" x14ac:dyDescent="0.25">
      <c r="A10162" s="5" t="str">
        <f>"H0038097"</f>
        <v>H0038097</v>
      </c>
      <c r="B10162" s="5" t="str">
        <f>"SILLA CAJERO KOPI SIN RUEDAS"</f>
        <v>SILLA CAJERO KOPI SIN RUEDAS</v>
      </c>
      <c r="C10162" s="6">
        <v>490000</v>
      </c>
      <c r="D10162" s="5" t="s">
        <v>30</v>
      </c>
      <c r="E10162" s="5" t="str">
        <f t="shared" si="519"/>
        <v>LABORATORIO CLINICO-CARLOS OSWALDO MORENO SALGADO</v>
      </c>
      <c r="F10162" s="5"/>
      <c r="G10162" s="5"/>
    </row>
    <row r="10163" spans="1:7" ht="58.5" customHeight="1" x14ac:dyDescent="0.25">
      <c r="A10163" s="5" t="str">
        <f>"H0038098"</f>
        <v>H0038098</v>
      </c>
      <c r="B10163" s="5" t="str">
        <f>"SILLA CAJERO KOPI SIN RUEDAS"</f>
        <v>SILLA CAJERO KOPI SIN RUEDAS</v>
      </c>
      <c r="C10163" s="6">
        <v>490000</v>
      </c>
      <c r="D10163" s="5" t="s">
        <v>30</v>
      </c>
      <c r="E10163" s="5" t="str">
        <f t="shared" si="519"/>
        <v>LABORATORIO CLINICO-CARLOS OSWALDO MORENO SALGADO</v>
      </c>
      <c r="F10163" s="5"/>
      <c r="G10163" s="5"/>
    </row>
    <row r="10164" spans="1:7" ht="58.5" customHeight="1" x14ac:dyDescent="0.25">
      <c r="A10164" s="5" t="str">
        <f>"H0038099"</f>
        <v>H0038099</v>
      </c>
      <c r="B10164" s="5" t="str">
        <f>"SILLA CAJERO KOPI SIN RUEDAS"</f>
        <v>SILLA CAJERO KOPI SIN RUEDAS</v>
      </c>
      <c r="C10164" s="6">
        <v>490000</v>
      </c>
      <c r="D10164" s="5" t="s">
        <v>30</v>
      </c>
      <c r="E10164" s="5" t="str">
        <f t="shared" si="519"/>
        <v>LABORATORIO CLINICO-CARLOS OSWALDO MORENO SALGADO</v>
      </c>
      <c r="F10164" s="5"/>
      <c r="G10164" s="5"/>
    </row>
    <row r="10165" spans="1:7" ht="58.5" customHeight="1" x14ac:dyDescent="0.25">
      <c r="A10165" s="5" t="str">
        <f>"H0038222"</f>
        <v>H0038222</v>
      </c>
      <c r="B10165" s="5" t="str">
        <f>"MICROPIPETA"</f>
        <v>MICROPIPETA</v>
      </c>
      <c r="C10165" s="6">
        <v>3550374.5</v>
      </c>
      <c r="D10165" s="5" t="s">
        <v>591</v>
      </c>
      <c r="E10165" s="5" t="str">
        <f t="shared" si="519"/>
        <v>LABORATORIO CLINICO-CARLOS OSWALDO MORENO SALGADO</v>
      </c>
      <c r="F10165" s="5"/>
      <c r="G10165" s="5"/>
    </row>
    <row r="10166" spans="1:7" ht="58.5" customHeight="1" x14ac:dyDescent="0.25">
      <c r="A10166" s="5" t="str">
        <f>"H0038223"</f>
        <v>H0038223</v>
      </c>
      <c r="B10166" s="5" t="str">
        <f>"MICROPIPETA"</f>
        <v>MICROPIPETA</v>
      </c>
      <c r="C10166" s="6">
        <v>3550374.5</v>
      </c>
      <c r="D10166" s="5" t="s">
        <v>591</v>
      </c>
      <c r="E10166" s="5" t="str">
        <f t="shared" si="519"/>
        <v>LABORATORIO CLINICO-CARLOS OSWALDO MORENO SALGADO</v>
      </c>
      <c r="F10166" s="5"/>
      <c r="G10166" s="5"/>
    </row>
    <row r="10167" spans="1:7" ht="58.5" customHeight="1" x14ac:dyDescent="0.25">
      <c r="A10167" s="5" t="str">
        <f>"H00004366"</f>
        <v>H00004366</v>
      </c>
      <c r="B10167" s="5" t="str">
        <f>"VENTILADOR DE PARED"</f>
        <v>VENTILADOR DE PARED</v>
      </c>
      <c r="C10167" s="6">
        <v>95500</v>
      </c>
      <c r="D10167" s="5"/>
      <c r="E10167" s="5" t="str">
        <f t="shared" ref="E10167:E10191" si="521">"ACTISALUD-ANDREA LARA-ECOGRAFIA"</f>
        <v>ACTISALUD-ANDREA LARA-ECOGRAFIA</v>
      </c>
      <c r="F10167" s="5" t="str">
        <f>"Descripcion: 3 ASPAS 3 VELOCIDADES  Estado: Bueno Placa anterior: 000022145 Material: PASTA Color: BLANCO Referencia:  Observacion:  Placa padre: Tipo adquisicion: Entidad"</f>
        <v>Descripcion: 3 ASPAS 3 VELOCIDADES  Estado: Bueno Placa anterior: 000022145 Material: PASTA Color: BLANCO Referencia:  Observacion:  Placa padre: Tipo adquisicion: Entidad</v>
      </c>
      <c r="G10167" s="5" t="str">
        <f>"NEW MAX AIR"</f>
        <v>NEW MAX AIR</v>
      </c>
    </row>
    <row r="10168" spans="1:7" ht="58.5" customHeight="1" x14ac:dyDescent="0.25">
      <c r="A10168" s="5" t="str">
        <f>"H0004155"</f>
        <v>H0004155</v>
      </c>
      <c r="B10168" s="5" t="str">
        <f>"BUTACO GIRATORIO SIN RUEDAS"</f>
        <v>BUTACO GIRATORIO SIN RUEDAS</v>
      </c>
      <c r="C10168" s="6">
        <v>10395</v>
      </c>
      <c r="D10168" s="5"/>
      <c r="E10168" s="5" t="str">
        <f t="shared" si="521"/>
        <v>ACTISALUD-ANDREA LARA-ECOGRAFIA</v>
      </c>
      <c r="F10168" s="5" t="str">
        <f>"Descripcion: BUTACO GIRATORIO TAPIZADA EN SINTETICO Estado: Regular Placa anterior: 000009178 Material: METAL Color: BEIS Y GRIS Referencia:  Observacion:  Placa padre: Tipo adquisicion: Entidad"</f>
        <v>Descripcion: BUTACO GIRATORIO TAPIZADA EN SINTETICO Estado: Regular Placa anterior: 000009178 Material: METAL Color: BEIS Y GRIS Referencia:  Observacion:  Placa padre: Tipo adquisicion: Entidad</v>
      </c>
      <c r="G10168" s="5"/>
    </row>
    <row r="10169" spans="1:7" ht="58.5" customHeight="1" x14ac:dyDescent="0.25">
      <c r="A10169" s="5" t="str">
        <f>"H0004169"</f>
        <v>H0004169</v>
      </c>
      <c r="B10169" s="5" t="str">
        <f>"ESCRITORIO DE MADERA 5 GAVETAS"</f>
        <v>ESCRITORIO DE MADERA 5 GAVETAS</v>
      </c>
      <c r="C10169" s="6">
        <v>68750</v>
      </c>
      <c r="D10169" s="5"/>
      <c r="E10169" s="5" t="str">
        <f t="shared" si="521"/>
        <v>ACTISALUD-ANDREA LARA-ECOGRAFIA</v>
      </c>
      <c r="F10169" s="5" t="str">
        <f>"Descripcion: ESCRITORIO TIPO EJECUTIVO CON 5 GAVETAS  Y 1 BANDEJA ESTENSORA SOBRE LAS GABETAS DE LA PARTE IZQUIERDA MIDE 73X166,5X65 CM Estado: Bueno Placa anterior: 000000621 Material: MADERA  Color: MARRON Referencia:  Observacion:  Placa padre: Tipo ad"&amp; "quisicion: Entidad"</f>
        <v>Descripcion: ESCRITORIO TIPO EJECUTIVO CON 5 GAVETAS  Y 1 BANDEJA ESTENSORA SOBRE LAS GABETAS DE LA PARTE IZQUIERDA MIDE 73X166,5X65 CM Estado: Bueno Placa anterior: 000000621 Material: MADERA  Color: MARRON Referencia:  Observacion:  Placa padre: Tipo adquisicion: Entidad</v>
      </c>
      <c r="G10169" s="5"/>
    </row>
    <row r="10170" spans="1:7" ht="58.5" customHeight="1" x14ac:dyDescent="0.25">
      <c r="A10170" s="5" t="str">
        <f>"H0004173"</f>
        <v>H0004173</v>
      </c>
      <c r="B10170" s="5" t="str">
        <f>"MESA RIÑONERA"</f>
        <v>MESA RIÑONERA</v>
      </c>
      <c r="C10170" s="6">
        <v>53130</v>
      </c>
      <c r="D10170" s="5"/>
      <c r="E10170" s="5" t="str">
        <f t="shared" si="521"/>
        <v>ACTISALUD-ANDREA LARA-ECOGRAFIA</v>
      </c>
      <c r="F10170" s="5" t="str">
        <f>"Descripcion: MESA RIÑONERA EN ACERO INOX.DE 6 PATAS DE FORMA CURVA MIDE 90X127X34 CM Estado: Regular Placa anterior: 000028743 Material: ALUMINIO Y HIERRO Color: PLATA Referencia:  Observacion: PATAS OXIDADAS Placa padre: Tipo adquisicion: Entidad"</f>
        <v>Descripcion: MESA RIÑONERA EN ACERO INOX.DE 6 PATAS DE FORMA CURVA MIDE 90X127X34 CM Estado: Regular Placa anterior: 000028743 Material: ALUMINIO Y HIERRO Color: PLATA Referencia:  Observacion: PATAS OXIDADAS Placa padre: Tipo adquisicion: Entidad</v>
      </c>
      <c r="G10170" s="5"/>
    </row>
    <row r="10171" spans="1:7" ht="58.5" customHeight="1" x14ac:dyDescent="0.25">
      <c r="A10171" s="5" t="str">
        <f>"H0004183"</f>
        <v>H0004183</v>
      </c>
      <c r="B10171" s="5" t="str">
        <f>"CAMILLA DE TRASLADO CON BARANDAS"</f>
        <v>CAMILLA DE TRASLADO CON BARANDAS</v>
      </c>
      <c r="C10171" s="6">
        <v>1845000</v>
      </c>
      <c r="D10171" s="5" t="s">
        <v>447</v>
      </c>
      <c r="E10171" s="5" t="str">
        <f t="shared" si="521"/>
        <v>ACTISALUD-ANDREA LARA-ECOGRAFIA</v>
      </c>
      <c r="F10171" s="5" t="str">
        <f>"Descripcion: CAMILLA DE RECUPERACION Y TRANSPORTE DE PACINETES DE DOS PLANOS MARCA DOMETAL, ESPALDAR GRADUABLE COLCHONETA ESPUMA, BARANDA DE SEGURIDAD GARANTIA 1 AÑO Estado: Bueno Placa anterior: 000029033 Material: METAL Color: BEIS Referencia:  Observac"&amp; "ion:  Placa padre: Tipo adquisicion: Entidad"</f>
        <v>Descripcion: CAMILLA DE RECUPERACION Y TRANSPORTE DE PACINETES DE DOS PLANOS MARCA DOMETAL, ESPALDAR GRADUABLE COLCHONETA ESPUMA, BARANDA DE SEGURIDAD GARANTIA 1 AÑO Estado: Bueno Placa anterior: 000029033 Material: METAL Color: BEIS Referencia:  Observacion:  Placa padre: Tipo adquisicion: Entidad</v>
      </c>
      <c r="G10171" s="5"/>
    </row>
    <row r="10172" spans="1:7" ht="58.5" customHeight="1" x14ac:dyDescent="0.25">
      <c r="A10172" s="5" t="str">
        <f>"H0004195"</f>
        <v>H0004195</v>
      </c>
      <c r="B10172" s="5" t="str">
        <f>"ESTABILIZADOR (REGULADOR) DE ENERGIA 1KW"</f>
        <v>ESTABILIZADOR (REGULADOR) DE ENERGIA 1KW</v>
      </c>
      <c r="C10172" s="6">
        <v>200000</v>
      </c>
      <c r="D10172" s="5"/>
      <c r="E10172" s="5" t="str">
        <f t="shared" si="521"/>
        <v>ACTISALUD-ANDREA LARA-ECOGRAFIA</v>
      </c>
      <c r="F10172" s="5" t="str">
        <f>"Descripcion: 8 AMPERIOS 4 CONECTORES Estado: Bueno Placa anterior: 000001301 Material: METALICO Color: BLANCO Referencia:  Observacion:  Placa padre: Tipo adquisicion: Entidad"</f>
        <v>Descripcion: 8 AMPERIOS 4 CONECTORES Estado: Bueno Placa anterior: 000001301 Material: METALICO Color: BLANCO Referencia:  Observacion:  Placa padre: Tipo adquisicion: Entidad</v>
      </c>
      <c r="G10172" s="5"/>
    </row>
    <row r="10173" spans="1:7" ht="58.5" customHeight="1" x14ac:dyDescent="0.25">
      <c r="A10173" s="5" t="str">
        <f>"H0004200"</f>
        <v>H0004200</v>
      </c>
      <c r="B10173" s="5" t="str">
        <f>"CAMA HOSPITALARIA 2 PLANOS"</f>
        <v>CAMA HOSPITALARIA 2 PLANOS</v>
      </c>
      <c r="C10173" s="6">
        <v>1693600</v>
      </c>
      <c r="D10173" s="5" t="s">
        <v>516</v>
      </c>
      <c r="E10173" s="5" t="str">
        <f t="shared" si="521"/>
        <v>ACTISALUD-ANDREA LARA-ECOGRAFIA</v>
      </c>
      <c r="F10173" s="5" t="str">
        <f>"Descripcion: CAMILLA  dos planos en lamina de acero y electrostatica  Estado: Bueno Placa anterior: 000030664 Material: METALICA Color: BEIS Referencia:  Observacion:  Placa padre: Tipo adquisicion: Entidad"</f>
        <v>Descripcion: CAMILLA  dos planos en lamina de acero y electrostatica  Estado: Bueno Placa anterior: 000030664 Material: METALICA Color: BEIS Referencia:  Observacion:  Placa padre: Tipo adquisicion: Entidad</v>
      </c>
      <c r="G10173" s="5" t="str">
        <f>"141-70"</f>
        <v>141-70</v>
      </c>
    </row>
    <row r="10174" spans="1:7" ht="58.5" customHeight="1" x14ac:dyDescent="0.25">
      <c r="A10174" s="5" t="str">
        <f>"H0004210"</f>
        <v>H0004210</v>
      </c>
      <c r="B10174" s="5" t="str">
        <f>"BIOMBO METALICO DE 3 CUERPOS"</f>
        <v>BIOMBO METALICO DE 3 CUERPOS</v>
      </c>
      <c r="C10174" s="6">
        <v>60000</v>
      </c>
      <c r="D10174" s="5"/>
      <c r="E10174" s="5" t="str">
        <f t="shared" si="521"/>
        <v>ACTISALUD-ANDREA LARA-ECOGRAFIA</v>
      </c>
      <c r="F10174" s="5" t="str">
        <f>"Descripcion: MIDE 172X206 CM Estado: Bueno Placa anterior: 000008764 Material: METAL Color: BEIS Referencia:  Observacion:  Placa padre: Tipo adquisicion: Entidad"</f>
        <v>Descripcion: MIDE 172X206 CM Estado: Bueno Placa anterior: 000008764 Material: METAL Color: BEIS Referencia:  Observacion:  Placa padre: Tipo adquisicion: Entidad</v>
      </c>
      <c r="G10174" s="5"/>
    </row>
    <row r="10175" spans="1:7" ht="58.5" customHeight="1" x14ac:dyDescent="0.25">
      <c r="A10175" s="5" t="str">
        <f>"H0004355"</f>
        <v>H0004355</v>
      </c>
      <c r="B10175" s="5" t="str">
        <f>"CAMA HOSPITALARIA 2 PLANOS"</f>
        <v>CAMA HOSPITALARIA 2 PLANOS</v>
      </c>
      <c r="C10175" s="6">
        <v>1693600</v>
      </c>
      <c r="D10175" s="5" t="s">
        <v>516</v>
      </c>
      <c r="E10175" s="5" t="str">
        <f t="shared" si="521"/>
        <v>ACTISALUD-ANDREA LARA-ECOGRAFIA</v>
      </c>
      <c r="F10175" s="5" t="str">
        <f>"Descripcion: CAMILLA  en pintura en polvo electrostatica y capacidad de carga de 150kg Posiciones horizontales y fowler Estado: Bueno Placa anterior: 000030668 Material: METAL Color: BLANCA Referencia:  Observacion:  Placa padre: Tipo adquisicion: Entidad"&amp; ""</f>
        <v>Descripcion: CAMILLA  en pintura en polvo electrostatica y capacidad de carga de 150kg Posiciones horizontales y fowler Estado: Bueno Placa anterior: 000030668 Material: METAL Color: BLANCA Referencia:  Observacion:  Placa padre: Tipo adquisicion: Entidad</v>
      </c>
      <c r="G10175" s="5" t="str">
        <f>"141-70"</f>
        <v>141-70</v>
      </c>
    </row>
    <row r="10176" spans="1:7" ht="58.5" customHeight="1" x14ac:dyDescent="0.25">
      <c r="A10176" s="5" t="str">
        <f>"H0004357"</f>
        <v>H0004357</v>
      </c>
      <c r="B10176" s="5" t="str">
        <f>"ECOGRAFO"</f>
        <v>ECOGRAFO</v>
      </c>
      <c r="C10176" s="6">
        <v>70513749</v>
      </c>
      <c r="D10176" s="5" t="s">
        <v>592</v>
      </c>
      <c r="E10176" s="5" t="str">
        <f t="shared" si="521"/>
        <v>ACTISALUD-ANDREA LARA-ECOGRAFIA</v>
      </c>
      <c r="F10176" s="5" t="str">
        <f>"Descripcion: ECOGRAFO CONSTA DE  UN MONITOR DE 17 CULGADAS Y 3 TRANSDUCTORES Estado: Bueno Placa anterior: 000036468 Material: PASTA Color: BLANCO Referencia:  Observacion:  Placa anterior:, Placa nueva=H0004359, Descripcion:ULTRASONIDO, Serial:QKC4901900"&amp; "1, Marca:MINDRAY, Modelo:C5-2, Material:PASTA, Color:BLANCO,Referencia:, Placa anterior:, Placa nueva=H0004361, Descripcion:ULTRASONIDO, Serial:NDP48011096, Marca:MINDRAY, Modelo:V10-4, Material:PASTA, Color:BLANCO,Referencia:, Placa anterior:, Placa nuev"&amp; "a=H0004358, Descripcion:ULTRASONIDO PARA TEJIDO BLANDOS, Serial:NDR48141406, Marca:MINDRAY, Modelo:7L4A, Material:PASTA, Color:BLANCO,Referencia: Placa padre: Tipo adquisicion: Entidad"</f>
        <v>Descripcion: ECOGRAFO CONSTA DE  UN MONITOR DE 17 CULGADAS Y 3 TRANSDUCTORES Estado: Bueno Placa anterior: 000036468 Material: PASTA Color: BLANCO Referencia:  Observacion:  Placa anterior:, Placa nueva=H0004359, Descripcion:ULTRASONIDO, Serial:QKC49019001, Marca:MINDRAY, Modelo:C5-2, Material:PASTA, Color:BLANCO,Referencia:, Placa anterior:, Placa nueva=H0004361, Descripcion:ULTRASONIDO, Serial:NDP48011096, Marca:MINDRAY, Modelo:V10-4, Material:PASTA, Color:BLANCO,Referencia:, Placa anterior:, Placa nueva=H0004358, Descripcion:ULTRASONIDO PARA TEJIDO BLANDOS, Serial:NDR48141406, Marca:MINDRAY, Modelo:7L4A, Material:PASTA, Color:BLANCO,Referencia: Placa padre: Tipo adquisicion: Entidad</v>
      </c>
      <c r="G10176" s="5" t="str">
        <f>"DC-7"</f>
        <v>DC-7</v>
      </c>
    </row>
    <row r="10177" spans="1:7" ht="58.5" customHeight="1" x14ac:dyDescent="0.25">
      <c r="A10177" s="5" t="str">
        <f>"H0004367"</f>
        <v>H0004367</v>
      </c>
      <c r="B10177" s="5" t="str">
        <f>"SILLA TANDEM DE 4 PUESTOS"</f>
        <v>SILLA TANDEM DE 4 PUESTOS</v>
      </c>
      <c r="C10177" s="6">
        <v>740000</v>
      </c>
      <c r="D10177" s="5" t="s">
        <v>529</v>
      </c>
      <c r="E10177" s="5" t="str">
        <f t="shared" si="521"/>
        <v>ACTISALUD-ANDREA LARA-ECOGRAFIA</v>
      </c>
      <c r="F10177" s="5" t="str">
        <f>"Descripcion: , Estado: Bueno Placa anterior:  Material: PASTA Y METAL Color: VERDE Referencia:  Observacion:  Placa padre: Tipo adquisicion: Entidad"</f>
        <v>Descripcion: , Estado: Bueno Placa anterior:  Material: PASTA Y METAL Color: VERDE Referencia:  Observacion:  Placa padre: Tipo adquisicion: Entidad</v>
      </c>
      <c r="G10177" s="5"/>
    </row>
    <row r="10178" spans="1:7" ht="58.5" customHeight="1" x14ac:dyDescent="0.25">
      <c r="A10178" s="5" t="str">
        <f>"H0004368"</f>
        <v>H0004368</v>
      </c>
      <c r="B10178" s="5" t="str">
        <f>"SILLA TANDEM DE 4 PUESTOS"</f>
        <v>SILLA TANDEM DE 4 PUESTOS</v>
      </c>
      <c r="C10178" s="6">
        <v>740000</v>
      </c>
      <c r="D10178" s="5" t="s">
        <v>529</v>
      </c>
      <c r="E10178" s="5" t="str">
        <f t="shared" si="521"/>
        <v>ACTISALUD-ANDREA LARA-ECOGRAFIA</v>
      </c>
      <c r="F10178" s="5" t="str">
        <f>"Descripcion: . Estado: Bueno Placa anterior:  Material: PASTA Y METAL Color: VERDE Referencia:  Observacion:  Placa padre: Tipo adquisicion: Entidad"</f>
        <v>Descripcion: . Estado: Bueno Placa anterior:  Material: PASTA Y METAL Color: VERDE Referencia:  Observacion:  Placa padre: Tipo adquisicion: Entidad</v>
      </c>
      <c r="G10178" s="5"/>
    </row>
    <row r="10179" spans="1:7" ht="58.5" customHeight="1" x14ac:dyDescent="0.25">
      <c r="A10179" s="5" t="str">
        <f>"H0004369"</f>
        <v>H0004369</v>
      </c>
      <c r="B10179" s="5" t="str">
        <f>"SILLA TANDEM DE 4 PUESTOS"</f>
        <v>SILLA TANDEM DE 4 PUESTOS</v>
      </c>
      <c r="C10179" s="6">
        <v>740000</v>
      </c>
      <c r="D10179" s="5" t="s">
        <v>529</v>
      </c>
      <c r="E10179" s="5" t="str">
        <f t="shared" si="521"/>
        <v>ACTISALUD-ANDREA LARA-ECOGRAFIA</v>
      </c>
      <c r="F10179" s="5" t="str">
        <f>"Descripcion: LE FALTAN DOS SILLAS Estado: Regular Placa anterior:  Material: PASTA Y METAL Color: VERDE Referencia:  Observacion:  Placa padre: Tipo adquisicion: Entidad"</f>
        <v>Descripcion: LE FALTAN DOS SILLAS Estado: Regular Placa anterior:  Material: PASTA Y METAL Color: VERDE Referencia:  Observacion:  Placa padre: Tipo adquisicion: Entidad</v>
      </c>
      <c r="G10179" s="5"/>
    </row>
    <row r="10180" spans="1:7" ht="58.5" customHeight="1" x14ac:dyDescent="0.25">
      <c r="A10180" s="5" t="str">
        <f>"H0004370"</f>
        <v>H0004370</v>
      </c>
      <c r="B10180" s="5" t="str">
        <f>"SILLA TANDEM DE 4 PUESTOS"</f>
        <v>SILLA TANDEM DE 4 PUESTOS</v>
      </c>
      <c r="C10180" s="6">
        <v>740000</v>
      </c>
      <c r="D10180" s="5" t="s">
        <v>529</v>
      </c>
      <c r="E10180" s="5" t="str">
        <f t="shared" si="521"/>
        <v>ACTISALUD-ANDREA LARA-ECOGRAFIA</v>
      </c>
      <c r="F10180" s="5" t="str">
        <f>"Descripcion: . Estado: Bueno Placa anterior:  Material: PASTA Y METAL Color: NARANJA Referencia:  Observacion:  Placa padre: Tipo adquisicion: Entidad"</f>
        <v>Descripcion: . Estado: Bueno Placa anterior:  Material: PASTA Y METAL Color: NARANJA Referencia:  Observacion:  Placa padre: Tipo adquisicion: Entidad</v>
      </c>
      <c r="G10180" s="5"/>
    </row>
    <row r="10181" spans="1:7" ht="58.5" customHeight="1" x14ac:dyDescent="0.25">
      <c r="A10181" s="5" t="str">
        <f>"H0004371"</f>
        <v>H0004371</v>
      </c>
      <c r="B10181" s="5" t="str">
        <f>"SILLA TANDEM DE 3 PUESTOS"</f>
        <v>SILLA TANDEM DE 3 PUESTOS</v>
      </c>
      <c r="C10181" s="6">
        <v>622630</v>
      </c>
      <c r="D10181" s="5"/>
      <c r="E10181" s="5" t="str">
        <f t="shared" si="521"/>
        <v>ACTISALUD-ANDREA LARA-ECOGRAFIA</v>
      </c>
      <c r="F10181" s="5" t="str">
        <f>"Descripcion: . Estado: Bueno Placa anterior: 000019209 Material: PASTA METAL Color: NEGRA Referencia:  Observacion:  Placa padre: Tipo adquisicion: Entidad"</f>
        <v>Descripcion: . Estado: Bueno Placa anterior: 000019209 Material: PASTA METAL Color: NEGRA Referencia:  Observacion:  Placa padre: Tipo adquisicion: Entidad</v>
      </c>
      <c r="G10181" s="5"/>
    </row>
    <row r="10182" spans="1:7" ht="58.5" customHeight="1" x14ac:dyDescent="0.25">
      <c r="A10182" s="5" t="str">
        <f>"H0004372"</f>
        <v>H0004372</v>
      </c>
      <c r="B10182" s="5" t="str">
        <f>"SILLA TANDEM DE 3 PUESTOS"</f>
        <v>SILLA TANDEM DE 3 PUESTOS</v>
      </c>
      <c r="C10182" s="6">
        <v>622630</v>
      </c>
      <c r="D10182" s="5"/>
      <c r="E10182" s="5" t="str">
        <f t="shared" si="521"/>
        <v>ACTISALUD-ANDREA LARA-ECOGRAFIA</v>
      </c>
      <c r="F10182" s="5" t="str">
        <f>"Descripcion: . Estado: Bueno Placa anterior: 000021113 Material: PASTA Y METAL Color: NARANJADA Referencia:  Observacion: AUTORIZADO CONCILIAR EN CRUCE GENERAL Placa padre: Tipo adquisicion: Entidad"</f>
        <v>Descripcion: . Estado: Bueno Placa anterior: 000021113 Material: PASTA Y METAL Color: NARANJADA Referencia:  Observacion: AUTORIZADO CONCILIAR EN CRUCE GENERAL Placa padre: Tipo adquisicion: Entidad</v>
      </c>
      <c r="G10182" s="5"/>
    </row>
    <row r="10183" spans="1:7" ht="58.5" customHeight="1" x14ac:dyDescent="0.25">
      <c r="A10183" s="5" t="str">
        <f>"H0025031"</f>
        <v>H0025031</v>
      </c>
      <c r="B10183" s="5" t="str">
        <f>"RX/FLUOROSCOPIO MOVIL ARCO EN C"</f>
        <v>RX/FLUOROSCOPIO MOVIL ARCO EN C</v>
      </c>
      <c r="C10183" s="6">
        <v>381926520</v>
      </c>
      <c r="D10183" s="5" t="s">
        <v>299</v>
      </c>
      <c r="E10183" s="5" t="str">
        <f t="shared" si="521"/>
        <v>ACTISALUD-ANDREA LARA-ECOGRAFIA</v>
      </c>
      <c r="F10183" s="5"/>
      <c r="G10183" s="5" t="str">
        <f>"SXT-2000A/E1"</f>
        <v>SXT-2000A/E1</v>
      </c>
    </row>
    <row r="10184" spans="1:7" ht="58.5" customHeight="1" x14ac:dyDescent="0.25">
      <c r="A10184" s="5" t="str">
        <f>"H0025701"</f>
        <v>H0025701</v>
      </c>
      <c r="B10184" s="5" t="str">
        <f>"UNIDAD ININTERRUMPIDA DE POTENCIA (UPS) 2.2KW"</f>
        <v>UNIDAD ININTERRUMPIDA DE POTENCIA (UPS) 2.2KW</v>
      </c>
      <c r="C10184" s="6">
        <v>2869965</v>
      </c>
      <c r="D10184" s="5" t="s">
        <v>593</v>
      </c>
      <c r="E10184" s="5" t="str">
        <f t="shared" si="521"/>
        <v>ACTISALUD-ANDREA LARA-ECOGRAFIA</v>
      </c>
      <c r="F10184" s="5"/>
      <c r="G10184" s="5"/>
    </row>
    <row r="10185" spans="1:7" ht="58.5" customHeight="1" x14ac:dyDescent="0.25">
      <c r="A10185" s="5" t="str">
        <f>"H0027648"</f>
        <v>H0027648</v>
      </c>
      <c r="B10185" s="5" t="str">
        <f>"IMPRESORA SONY"</f>
        <v>IMPRESORA SONY</v>
      </c>
      <c r="C10185" s="6">
        <v>4046000</v>
      </c>
      <c r="D10185" s="5" t="s">
        <v>85</v>
      </c>
      <c r="E10185" s="5" t="str">
        <f t="shared" si="521"/>
        <v>ACTISALUD-ANDREA LARA-ECOGRAFIA</v>
      </c>
      <c r="F10185" s="5"/>
      <c r="G10185" s="5"/>
    </row>
    <row r="10186" spans="1:7" ht="58.5" customHeight="1" x14ac:dyDescent="0.25">
      <c r="A10186" s="5" t="str">
        <f>"H0029300"</f>
        <v>H0029300</v>
      </c>
      <c r="B10186" s="5" t="str">
        <f>"SILLA HERGONOMICA CON SISTEMA HIDRAULICO"</f>
        <v>SILLA HERGONOMICA CON SISTEMA HIDRAULICO</v>
      </c>
      <c r="C10186" s="6">
        <v>174900</v>
      </c>
      <c r="D10186" s="5" t="s">
        <v>89</v>
      </c>
      <c r="E10186" s="5" t="str">
        <f t="shared" si="521"/>
        <v>ACTISALUD-ANDREA LARA-ECOGRAFIA</v>
      </c>
      <c r="F10186" s="5"/>
      <c r="G10186" s="5"/>
    </row>
    <row r="10187" spans="1:7" ht="58.5" customHeight="1" x14ac:dyDescent="0.25">
      <c r="A10187" s="5" t="str">
        <f>"H0029547"</f>
        <v>H0029547</v>
      </c>
      <c r="B10187" s="5" t="str">
        <f>"SISTEMA DE ENERGIA ININTERRUMPIBLE UPS CDP R-UPR1008"</f>
        <v>SISTEMA DE ENERGIA ININTERRUMPIBLE UPS CDP R-UPR1008</v>
      </c>
      <c r="C10187" s="6">
        <v>500000</v>
      </c>
      <c r="D10187" s="5" t="s">
        <v>541</v>
      </c>
      <c r="E10187" s="5" t="str">
        <f t="shared" si="521"/>
        <v>ACTISALUD-ANDREA LARA-ECOGRAFIA</v>
      </c>
      <c r="F10187" s="5"/>
      <c r="G10187" s="5"/>
    </row>
    <row r="10188" spans="1:7" ht="58.5" customHeight="1" x14ac:dyDescent="0.25">
      <c r="A10188" s="5" t="str">
        <f>"H0031399"</f>
        <v>H0031399</v>
      </c>
      <c r="B10188"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10188" s="6">
        <v>1178100</v>
      </c>
      <c r="D10188" s="5" t="s">
        <v>473</v>
      </c>
      <c r="E10188" s="5" t="str">
        <f t="shared" si="521"/>
        <v>ACTISALUD-ANDREA LARA-ECOGRAFIA</v>
      </c>
      <c r="F10188" s="5"/>
      <c r="G10188" s="5"/>
    </row>
    <row r="10189" spans="1:7" ht="58.5" customHeight="1" x14ac:dyDescent="0.25">
      <c r="A10189" s="5" t="str">
        <f>"H0031400"</f>
        <v>H0031400</v>
      </c>
      <c r="B10189"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10189" s="6">
        <v>1178100</v>
      </c>
      <c r="D10189" s="5" t="s">
        <v>473</v>
      </c>
      <c r="E10189" s="5" t="str">
        <f t="shared" si="521"/>
        <v>ACTISALUD-ANDREA LARA-ECOGRAFIA</v>
      </c>
      <c r="F10189" s="5"/>
      <c r="G10189" s="5"/>
    </row>
    <row r="10190" spans="1:7" ht="58.5" customHeight="1" x14ac:dyDescent="0.25">
      <c r="A10190" s="5" t="str">
        <f>"H0036012"</f>
        <v>H0036012</v>
      </c>
      <c r="B10190" s="5" t="str">
        <f>"Grabadora de voz"</f>
        <v>Grabadora de voz</v>
      </c>
      <c r="C10190" s="6">
        <v>400078</v>
      </c>
      <c r="D10190" s="5" t="s">
        <v>594</v>
      </c>
      <c r="E10190" s="5" t="str">
        <f t="shared" si="521"/>
        <v>ACTISALUD-ANDREA LARA-ECOGRAFIA</v>
      </c>
      <c r="F10190" s="5"/>
      <c r="G10190" s="5"/>
    </row>
    <row r="10191" spans="1:7" ht="58.5" customHeight="1" x14ac:dyDescent="0.25">
      <c r="A10191" s="5" t="str">
        <f>"H0036494"</f>
        <v>H0036494</v>
      </c>
      <c r="B10191" s="5" t="str">
        <f>"ECOGRAFO PORTATIL (DONACION)"</f>
        <v>ECOGRAFO PORTATIL (DONACION)</v>
      </c>
      <c r="C10191" s="6">
        <v>87500000</v>
      </c>
      <c r="D10191" s="5" t="s">
        <v>132</v>
      </c>
      <c r="E10191" s="5" t="str">
        <f t="shared" si="521"/>
        <v>ACTISALUD-ANDREA LARA-ECOGRAFIA</v>
      </c>
      <c r="F10191" s="5" t="str">
        <f>"SERIAL: ?"</f>
        <v>SERIAL: ?</v>
      </c>
      <c r="G10191" s="5"/>
    </row>
    <row r="10192" spans="1:7" ht="58.5" customHeight="1" x14ac:dyDescent="0.25">
      <c r="A10192" s="5" t="str">
        <f>"B0000258"</f>
        <v>B0000258</v>
      </c>
      <c r="B10192" s="5" t="str">
        <f>"PROTECTOR TIROIDEO (DE TIROIDES)"</f>
        <v>PROTECTOR TIROIDEO (DE TIROIDES)</v>
      </c>
      <c r="C10192" s="6">
        <v>139200</v>
      </c>
      <c r="D10192" s="5"/>
      <c r="E10192" s="5" t="str">
        <f t="shared" ref="E10192:E10223" si="522">"ACTISALUD-GUSTAVO GOMEZ-ENDOSCOPIA"</f>
        <v>ACTISALUD-GUSTAVO GOMEZ-ENDOSCOPIA</v>
      </c>
      <c r="F10192" s="5" t="str">
        <f>"Descripcion:PROTECTOR DE TIROIDES Estado: Excelente Placa anterior: 000039021 Material: TELA Y PLOMO Color: AZUL Referencia:  Observacion:  Placa padre:  Tipo adquisicion : Entidad"</f>
        <v>Descripcion:PROTECTOR DE TIROIDES Estado: Excelente Placa anterior: 000039021 Material: TELA Y PLOMO Color: AZUL Referencia:  Observacion:  Placa padre:  Tipo adquisicion : Entidad</v>
      </c>
      <c r="G10192" s="5"/>
    </row>
    <row r="10193" spans="1:7" ht="58.5" customHeight="1" x14ac:dyDescent="0.25">
      <c r="A10193" s="5" t="str">
        <f>"B0000259"</f>
        <v>B0000259</v>
      </c>
      <c r="B10193" s="5" t="str">
        <f>"PROTECTOR TIROIDEO (DE TIROIDES)"</f>
        <v>PROTECTOR TIROIDEO (DE TIROIDES)</v>
      </c>
      <c r="C10193" s="6">
        <v>139200</v>
      </c>
      <c r="D10193" s="5"/>
      <c r="E10193" s="5" t="str">
        <f t="shared" si="522"/>
        <v>ACTISALUD-GUSTAVO GOMEZ-ENDOSCOPIA</v>
      </c>
      <c r="F10193" s="5" t="str">
        <f>"Descripcion:PROTECTOR DE TIROIDES Estado: Excelente Placa anterior: 000039022 Material: TELA Y PLOMO Color: AZUL Referencia:  Observacion:  Placa padre:  Tipo adquisicion : Entidad"</f>
        <v>Descripcion:PROTECTOR DE TIROIDES Estado: Excelente Placa anterior: 000039022 Material: TELA Y PLOMO Color: AZUL Referencia:  Observacion:  Placa padre:  Tipo adquisicion : Entidad</v>
      </c>
      <c r="G10193" s="5"/>
    </row>
    <row r="10194" spans="1:7" ht="58.5" customHeight="1" x14ac:dyDescent="0.25">
      <c r="A10194" s="5" t="str">
        <f>"B0000260"</f>
        <v>B0000260</v>
      </c>
      <c r="B10194" s="5" t="str">
        <f>"PROTECTOR TIROIDEO (DE TIROIDES)"</f>
        <v>PROTECTOR TIROIDEO (DE TIROIDES)</v>
      </c>
      <c r="C10194" s="6">
        <v>139200</v>
      </c>
      <c r="D10194" s="5"/>
      <c r="E10194" s="5" t="str">
        <f t="shared" si="522"/>
        <v>ACTISALUD-GUSTAVO GOMEZ-ENDOSCOPIA</v>
      </c>
      <c r="F10194" s="5" t="str">
        <f>"Descripcion:PROTECTOR DE TIROIDES Estado: Excelente Placa anterior: 000039023 Material: TELA Y PLOMO Color: AZUL Referencia:  Observacion:  Placa padre:  Tipo adquisicion : Entidad"</f>
        <v>Descripcion:PROTECTOR DE TIROIDES Estado: Excelente Placa anterior: 000039023 Material: TELA Y PLOMO Color: AZUL Referencia:  Observacion:  Placa padre:  Tipo adquisicion : Entidad</v>
      </c>
      <c r="G10194" s="5"/>
    </row>
    <row r="10195" spans="1:7" ht="58.5" customHeight="1" x14ac:dyDescent="0.25">
      <c r="A10195" s="5" t="str">
        <f>"B0000261"</f>
        <v>B0000261</v>
      </c>
      <c r="B10195" s="5" t="str">
        <f>"PROTECTOR TIROIDEO (DE TIROIDES)"</f>
        <v>PROTECTOR TIROIDEO (DE TIROIDES)</v>
      </c>
      <c r="C10195" s="6">
        <v>139200</v>
      </c>
      <c r="D10195" s="5"/>
      <c r="E10195" s="5" t="str">
        <f t="shared" si="522"/>
        <v>ACTISALUD-GUSTAVO GOMEZ-ENDOSCOPIA</v>
      </c>
      <c r="F10195" s="5" t="str">
        <f>"Descripcion:PROTECTOR DE TIROIDES Estado: Excelente Placa anterior: 000039024 Material: TELA Y PLOMO Color: AZUL Referencia:  Observacion:  Placa padre:  Tipo adquisicion : Entidad"</f>
        <v>Descripcion:PROTECTOR DE TIROIDES Estado: Excelente Placa anterior: 000039024 Material: TELA Y PLOMO Color: AZUL Referencia:  Observacion:  Placa padre:  Tipo adquisicion : Entidad</v>
      </c>
      <c r="G10195" s="5"/>
    </row>
    <row r="10196" spans="1:7" ht="58.5" customHeight="1" x14ac:dyDescent="0.25">
      <c r="A10196" s="5" t="str">
        <f>"B0000272"</f>
        <v>B0000272</v>
      </c>
      <c r="B10196" s="5" t="str">
        <f>"DELANTAL (CHALECO) DE PLOMO"</f>
        <v>DELANTAL (CHALECO) DE PLOMO</v>
      </c>
      <c r="C10196" s="6">
        <v>696000</v>
      </c>
      <c r="D10196" s="5"/>
      <c r="E10196" s="5" t="str">
        <f t="shared" si="522"/>
        <v>ACTISALUD-GUSTAVO GOMEZ-ENDOSCOPIA</v>
      </c>
      <c r="F10196" s="5" t="str">
        <f>"Descripcion:DELANTAL PLOMADO ADULTO Estado: Excelente Placa anterior: 000039005 Material: TELA Y PLOMO Color: AZUL OSCURO Y BORDE NEGRO Referencia:  Observacion:  Placa padre:  Tipo adquisicion : Entidad"</f>
        <v>Descripcion:DELANTAL PLOMADO ADULTO Estado: Excelente Placa anterior: 000039005 Material: TELA Y PLOMO Color: AZUL OSCURO Y BORDE NEGRO Referencia:  Observacion:  Placa padre:  Tipo adquisicion : Entidad</v>
      </c>
      <c r="G10196" s="5"/>
    </row>
    <row r="10197" spans="1:7" ht="58.5" customHeight="1" x14ac:dyDescent="0.25">
      <c r="A10197" s="5" t="str">
        <f>"B0000273"</f>
        <v>B0000273</v>
      </c>
      <c r="B10197" s="5" t="str">
        <f>"DELANTAL (CHALECO) DE PLOMO"</f>
        <v>DELANTAL (CHALECO) DE PLOMO</v>
      </c>
      <c r="C10197" s="6">
        <v>696000</v>
      </c>
      <c r="D10197" s="5"/>
      <c r="E10197" s="5" t="str">
        <f t="shared" si="522"/>
        <v>ACTISALUD-GUSTAVO GOMEZ-ENDOSCOPIA</v>
      </c>
      <c r="F10197" s="5" t="str">
        <f>"Descripcion:DELANTAL PLOMADO ADULTO Estado: Excelente Placa anterior: 000039006 Material: TELA Y PLOMO Color: AZUL OSCURO Y BORDE NEGRO Referencia:  Observacion:  Placa padre:  Tipo adquisicion : Entidad"</f>
        <v>Descripcion:DELANTAL PLOMADO ADULTO Estado: Excelente Placa anterior: 000039006 Material: TELA Y PLOMO Color: AZUL OSCURO Y BORDE NEGRO Referencia:  Observacion:  Placa padre:  Tipo adquisicion : Entidad</v>
      </c>
      <c r="G10197" s="5"/>
    </row>
    <row r="10198" spans="1:7" ht="58.5" customHeight="1" x14ac:dyDescent="0.25">
      <c r="A10198" s="5" t="str">
        <f>"B0000274"</f>
        <v>B0000274</v>
      </c>
      <c r="B10198" s="5" t="str">
        <f>"DELANTAL (CHALECO) DE PLOMO"</f>
        <v>DELANTAL (CHALECO) DE PLOMO</v>
      </c>
      <c r="C10198" s="6">
        <v>696000</v>
      </c>
      <c r="D10198" s="5"/>
      <c r="E10198" s="5" t="str">
        <f t="shared" si="522"/>
        <v>ACTISALUD-GUSTAVO GOMEZ-ENDOSCOPIA</v>
      </c>
      <c r="F10198" s="5" t="str">
        <f>"Descripcion:DELANTAL PLOMADO ADULTO Estado: Excelente Placa anterior: 000039007 Material: TELA Y PLOMO Color: AZUL OSCURO Y BORDE NEGRO Referencia:  Observacion:  Placa padre:  Tipo adquisicion : Entidad"</f>
        <v>Descripcion:DELANTAL PLOMADO ADULTO Estado: Excelente Placa anterior: 000039007 Material: TELA Y PLOMO Color: AZUL OSCURO Y BORDE NEGRO Referencia:  Observacion:  Placa padre:  Tipo adquisicion : Entidad</v>
      </c>
      <c r="G10198" s="5"/>
    </row>
    <row r="10199" spans="1:7" ht="58.5" customHeight="1" x14ac:dyDescent="0.25">
      <c r="A10199" s="5" t="str">
        <f>"B0000275"</f>
        <v>B0000275</v>
      </c>
      <c r="B10199" s="5" t="str">
        <f>"DELANTAL (CHALECO) DE PLOMO"</f>
        <v>DELANTAL (CHALECO) DE PLOMO</v>
      </c>
      <c r="C10199" s="6">
        <v>696000</v>
      </c>
      <c r="D10199" s="5"/>
      <c r="E10199" s="5" t="str">
        <f t="shared" si="522"/>
        <v>ACTISALUD-GUSTAVO GOMEZ-ENDOSCOPIA</v>
      </c>
      <c r="F10199" s="5" t="str">
        <f>"Descripcion:DELANTAL PLOMADO ADULTO Estado: Excelente Placa anterior: 000039008 Material: TELA Y PLOMO Color: AZUL OSCURO Y BORDE NEGRO Referencia:  Observacion:  Placa padre:  Tipo adquisicion : Entidad"</f>
        <v>Descripcion:DELANTAL PLOMADO ADULTO Estado: Excelente Placa anterior: 000039008 Material: TELA Y PLOMO Color: AZUL OSCURO Y BORDE NEGRO Referencia:  Observacion:  Placa padre:  Tipo adquisicion : Entidad</v>
      </c>
      <c r="G10199" s="5"/>
    </row>
    <row r="10200" spans="1:7" ht="58.5" customHeight="1" x14ac:dyDescent="0.25">
      <c r="A10200" s="5" t="str">
        <f>"B0003825"</f>
        <v>B0003825</v>
      </c>
      <c r="B10200" s="5" t="str">
        <f>"LARINGOSCOPIO ADULTO"</f>
        <v>LARINGOSCOPIO ADULTO</v>
      </c>
      <c r="C10200" s="6">
        <v>400200</v>
      </c>
      <c r="D10200" s="5"/>
      <c r="E10200" s="5" t="str">
        <f t="shared" si="522"/>
        <v>ACTISALUD-GUSTAVO GOMEZ-ENDOSCOPIA</v>
      </c>
      <c r="F10200" s="5" t="str">
        <f>"Descripcion:LARINGOSCOPIO ADULTO CON 3 VALVAS CURVAS MCA.RUSCH Estado: Bueno Placa anterior: 000025831 Material: ACERO INOXIDABLE Color:  Referencia:  Observacion:  Placa padre:  Tipo adquisicion : Entidad"</f>
        <v>Descripcion:LARINGOSCOPIO ADULTO CON 3 VALVAS CURVAS MCA.RUSCH Estado: Bueno Placa anterior: 000025831 Material: ACERO INOXIDABLE Color:  Referencia:  Observacion:  Placa padre:  Tipo adquisicion : Entidad</v>
      </c>
      <c r="G10200" s="5"/>
    </row>
    <row r="10201" spans="1:7" ht="58.5" customHeight="1" x14ac:dyDescent="0.25">
      <c r="A10201" s="5" t="str">
        <f>"B0003826"</f>
        <v>B0003826</v>
      </c>
      <c r="B10201" s="5" t="str">
        <f>"AMBU (RESUCITADOR MANUAL) (BOLSA AUTOINFLABLE) ADULTO"</f>
        <v>AMBU (RESUCITADOR MANUAL) (BOLSA AUTOINFLABLE) ADULTO</v>
      </c>
      <c r="C10201" s="6">
        <v>411916</v>
      </c>
      <c r="D10201" s="5"/>
      <c r="E10201" s="5" t="str">
        <f t="shared" si="522"/>
        <v>ACTISALUD-GUSTAVO GOMEZ-ENDOSCOPIA</v>
      </c>
      <c r="F10201" s="5" t="str">
        <f>"Descripcion:AMBU PARA ADULTOS Estado: Bueno Placa anterior: 000025829 Material:  Color:  Referencia:  Observacion:  Placa padre:  Tipo adquisicion : Entidad"</f>
        <v>Descripcion:AMBU PARA ADULTOS Estado: Bueno Placa anterior: 000025829 Material:  Color:  Referencia:  Observacion:  Placa padre:  Tipo adquisicion : Entidad</v>
      </c>
      <c r="G10201" s="5"/>
    </row>
    <row r="10202" spans="1:7" ht="58.5" customHeight="1" x14ac:dyDescent="0.25">
      <c r="A10202" s="5" t="str">
        <f>"B0003827"</f>
        <v>B0003827</v>
      </c>
      <c r="B10202" s="5" t="str">
        <f>"EQUIPO LITOTRIPTOR"</f>
        <v>EQUIPO LITOTRIPTOR</v>
      </c>
      <c r="C10202" s="6">
        <v>646504.37</v>
      </c>
      <c r="D10202" s="5"/>
      <c r="E10202" s="5" t="str">
        <f t="shared" si="522"/>
        <v>ACTISALUD-GUSTAVO GOMEZ-ENDOSCOPIA</v>
      </c>
      <c r="F10202" s="5" t="str">
        <f>"Descripcion: LITOTRITOR MANUAL CON ACCESORIOS Estado: Bueno Placa anterior: 000007134 Material: ACERO INOXIDABLE Color:  Referencia:  Observacion:  Placa padre: Tipo adquisicion: Entidad"</f>
        <v>Descripcion: LITOTRITOR MANUAL CON ACCESORIOS Estado: Bueno Placa anterior: 000007134 Material: ACERO INOXIDABLE Color:  Referencia:  Observacion:  Placa padre: Tipo adquisicion: Entidad</v>
      </c>
      <c r="G10202" s="5"/>
    </row>
    <row r="10203" spans="1:7" ht="58.5" customHeight="1" x14ac:dyDescent="0.25">
      <c r="A10203" s="5" t="str">
        <f>"H0001998"</f>
        <v>H0001998</v>
      </c>
      <c r="B10203" s="5" t="str">
        <f>"CUBETA DE ACERO INOXIDABLE CON TAPA GRANDE"</f>
        <v>CUBETA DE ACERO INOXIDABLE CON TAPA GRANDE</v>
      </c>
      <c r="C10203" s="6">
        <v>27776.1</v>
      </c>
      <c r="D10203" s="5"/>
      <c r="E10203" s="5" t="str">
        <f t="shared" si="522"/>
        <v>ACTISALUD-GUSTAVO GOMEZ-ENDOSCOPIA</v>
      </c>
      <c r="F10203" s="5" t="str">
        <f>"Descripcion:CUBETA EN ACERO INOXIDABLE GRANDE Estado: Bueno Placa anterior: 000014429 Material: ACERO INOXIDABLE Color:  Referencia:  Observacion:  Placa padre:  Tipo adquisicion : Entidad"</f>
        <v>Descripcion:CUBETA EN ACERO INOXIDABLE GRANDE Estado: Bueno Placa anterior: 000014429 Material: ACERO INOXIDABLE Color:  Referencia:  Observacion:  Placa padre:  Tipo adquisicion : Entidad</v>
      </c>
      <c r="G10203" s="5"/>
    </row>
    <row r="10204" spans="1:7" ht="58.5" customHeight="1" x14ac:dyDescent="0.25">
      <c r="A10204" s="5" t="str">
        <f>"H0002322"</f>
        <v>H0002322</v>
      </c>
      <c r="B10204" s="5" t="str">
        <f>"CAMARA DE VIDEOVIGILANCIA"</f>
        <v>CAMARA DE VIDEOVIGILANCIA</v>
      </c>
      <c r="C10204" s="6">
        <v>371000</v>
      </c>
      <c r="D10204" s="5"/>
      <c r="E10204" s="5" t="str">
        <f t="shared" si="522"/>
        <v>ACTISALUD-GUSTAVO GOMEZ-ENDOSCOPIA</v>
      </c>
      <c r="F10204" s="5" t="str">
        <f>"Descripcion:CAMARA IP TIPO DOMO 2 MPX LENTE DE 2.8 mm PoE 1/3 (WI-FI) Estado: Excelente Placa anterior: 000038230 Material: PASTA Y VIDRIO Color: BLANCO Referencia:  Observacion:  Placa padre:  Tipo adquisicion : Entidad"</f>
        <v>Descripcion:CAMARA IP TIPO DOMO 2 MPX LENTE DE 2.8 mm PoE 1/3 (WI-FI) Estado: Excelente Placa anterior: 000038230 Material: PASTA Y VIDRIO Color: BLANCO Referencia:  Observacion:  Placa padre:  Tipo adquisicion : Entidad</v>
      </c>
      <c r="G10204" s="5" t="str">
        <f>"DS-2CD2120F-IW"</f>
        <v>DS-2CD2120F-IW</v>
      </c>
    </row>
    <row r="10205" spans="1:7" ht="58.5" customHeight="1" x14ac:dyDescent="0.25">
      <c r="A10205" s="5" t="str">
        <f>"H0002324"</f>
        <v>H0002324</v>
      </c>
      <c r="B10205" s="5" t="str">
        <f>"CAMARA DE VIDEOVIGILANCIA"</f>
        <v>CAMARA DE VIDEOVIGILANCIA</v>
      </c>
      <c r="C10205" s="6">
        <v>371000</v>
      </c>
      <c r="D10205" s="5"/>
      <c r="E10205" s="5" t="str">
        <f t="shared" si="522"/>
        <v>ACTISALUD-GUSTAVO GOMEZ-ENDOSCOPIA</v>
      </c>
      <c r="F10205" s="5" t="str">
        <f>"Descripcion:CAMARA IP TIPO DOMO 2 MPX LENTE DE 2.8 mm PoE 1/3 (WI-FI) Estado: Excelente Placa anterior: 000038232 Material: PASTA Y VIDRIO Color:  Referencia:  Observacion:  Placa padre:  Tipo adquisicion : Entidad"</f>
        <v>Descripcion:CAMARA IP TIPO DOMO 2 MPX LENTE DE 2.8 mm PoE 1/3 (WI-FI) Estado: Excelente Placa anterior: 000038232 Material: PASTA Y VIDRIO Color:  Referencia:  Observacion:  Placa padre:  Tipo adquisicion : Entidad</v>
      </c>
      <c r="G10205" s="5"/>
    </row>
    <row r="10206" spans="1:7" ht="58.5" customHeight="1" x14ac:dyDescent="0.25">
      <c r="A10206" s="5" t="str">
        <f>"H0005819"</f>
        <v>H0005819</v>
      </c>
      <c r="B10206" s="5" t="str">
        <f>"CUBETA DE ACERO INOXIDABLE CON TAPA GRANDE"</f>
        <v>CUBETA DE ACERO INOXIDABLE CON TAPA GRANDE</v>
      </c>
      <c r="C10206" s="6">
        <v>14100.8</v>
      </c>
      <c r="D10206" s="5"/>
      <c r="E10206" s="5" t="str">
        <f t="shared" si="522"/>
        <v>ACTISALUD-GUSTAVO GOMEZ-ENDOSCOPIA</v>
      </c>
      <c r="F10206" s="5" t="str">
        <f>"Descripcion:CUBETA EN ACERO INOXIDABLE GRANDE Estado: Bueno Placa anterior: 000002924 Material: ACERO INOXIDABLE Color:  Referencia:  Observacion: EL BIEN TIENE PLACA ANTERIOR  000025830, LA CUAL CORRESPONDE A UNA BANDEJA EN ACERO INOXIDABLE GRANDE  Placa"&amp; " padre:  Tipo adquisicion : Entidad"</f>
        <v>Descripcion:CUBETA EN ACERO INOXIDABLE GRANDE Estado: Bueno Placa anterior: 000002924 Material: ACERO INOXIDABLE Color:  Referencia:  Observacion: EL BIEN TIENE PLACA ANTERIOR  000025830, LA CUAL CORRESPONDE A UNA BANDEJA EN ACERO INOXIDABLE GRANDE  Placa padre:  Tipo adquisicion : Entidad</v>
      </c>
      <c r="G10206" s="5"/>
    </row>
    <row r="10207" spans="1:7" ht="58.5" customHeight="1" x14ac:dyDescent="0.25">
      <c r="A10207" s="5" t="str">
        <f>"H0005820"</f>
        <v>H0005820</v>
      </c>
      <c r="B10207" s="5" t="str">
        <f>"BANDEJA DE ACERO INOXIDABLE GRANDE"</f>
        <v>BANDEJA DE ACERO INOXIDABLE GRANDE</v>
      </c>
      <c r="C10207" s="6">
        <v>9251.2800000000007</v>
      </c>
      <c r="D10207" s="5"/>
      <c r="E10207" s="5" t="str">
        <f t="shared" si="522"/>
        <v>ACTISALUD-GUSTAVO GOMEZ-ENDOSCOPIA</v>
      </c>
      <c r="F10207" s="5" t="str">
        <f>"Descripcion:BANDEJA EN ACERO INOXIDABLE Estado: Bueno Placa anterior: 000014381 Material: ACERO INOXIDABLE Color:  Referencia:  Observacion:  Placa padre:  Tipo adquisicion : Entidad"</f>
        <v>Descripcion:BANDEJA EN ACERO INOXIDABLE Estado: Bueno Placa anterior: 000014381 Material: ACERO INOXIDABLE Color:  Referencia:  Observacion:  Placa padre:  Tipo adquisicion : Entidad</v>
      </c>
      <c r="G10207" s="5"/>
    </row>
    <row r="10208" spans="1:7" ht="58.5" customHeight="1" x14ac:dyDescent="0.25">
      <c r="A10208" s="5" t="str">
        <f>"H0005827"</f>
        <v>H0005827</v>
      </c>
      <c r="B10208" s="5" t="str">
        <f>"MESA DE MADERA PARA COMPUTADOR"</f>
        <v>MESA DE MADERA PARA COMPUTADOR</v>
      </c>
      <c r="C10208" s="6">
        <v>194717.6</v>
      </c>
      <c r="D10208" s="5"/>
      <c r="E10208" s="5" t="str">
        <f t="shared" si="522"/>
        <v>ACTISALUD-GUSTAVO GOMEZ-ENDOSCOPIA</v>
      </c>
      <c r="F10208" s="5" t="str">
        <f>"Descripcion:MESA PARA COMPUTADOR EN MADERA MEDIDAS:74X110X70CM Estado: Bueno Placa anterior: 000003601 Material:  Color: NEGRO. BEIGE Y MARRON Referencia:  Observacion:  Placa padre:  Tipo adquisicion : Entidad"</f>
        <v>Descripcion:MESA PARA COMPUTADOR EN MADERA MEDIDAS:74X110X70CM Estado: Bueno Placa anterior: 000003601 Material:  Color: NEGRO. BEIGE Y MARRON Referencia:  Observacion:  Placa padre:  Tipo adquisicion : Entidad</v>
      </c>
      <c r="G10208" s="5"/>
    </row>
    <row r="10209" spans="1:7" ht="58.5" customHeight="1" x14ac:dyDescent="0.25">
      <c r="A10209" s="5" t="str">
        <f>"H0005840"</f>
        <v>H0005840</v>
      </c>
      <c r="B10209" s="5" t="str">
        <f>"BUTACO GIRATORIO SIN RUEDAS"</f>
        <v>BUTACO GIRATORIO SIN RUEDAS</v>
      </c>
      <c r="C10209" s="6">
        <v>8930</v>
      </c>
      <c r="D10209" s="5"/>
      <c r="E10209" s="5" t="str">
        <f t="shared" si="522"/>
        <v>ACTISALUD-GUSTAVO GOMEZ-ENDOSCOPIA</v>
      </c>
      <c r="F10209" s="5" t="str">
        <f>"Descripcion:BUTACO GIRATORIO SIN ESPALDAR Estado: Bueno Placa anterior: 000009004 Material: METALICO CON TAPIZADO Color: BEIGE CON NEGRO Referencia:  Observacion:  Placa padre:  Tipo adquisicion : Entidad"</f>
        <v>Descripcion:BUTACO GIRATORIO SIN ESPALDAR Estado: Bueno Placa anterior: 000009004 Material: METALICO CON TAPIZADO Color: BEIGE CON NEGRO Referencia:  Observacion:  Placa padre:  Tipo adquisicion : Entidad</v>
      </c>
      <c r="G10209" s="5"/>
    </row>
    <row r="10210" spans="1:7" ht="58.5" customHeight="1" x14ac:dyDescent="0.25">
      <c r="A10210" s="5" t="str">
        <f>"H0005842"</f>
        <v>H0005842</v>
      </c>
      <c r="B10210" s="5" t="str">
        <f>"CUBETA DE ACERO INOXIDABLE CON TAPA GRANDE"</f>
        <v>CUBETA DE ACERO INOXIDABLE CON TAPA GRANDE</v>
      </c>
      <c r="C10210" s="6">
        <v>27776.1</v>
      </c>
      <c r="D10210" s="5"/>
      <c r="E10210" s="5" t="str">
        <f t="shared" si="522"/>
        <v>ACTISALUD-GUSTAVO GOMEZ-ENDOSCOPIA</v>
      </c>
      <c r="F10210" s="5" t="str">
        <f>"Descripcion:CUBETA EN ACERO INOXIDABLE GRANDE Estado: Bueno Placa anterior: 000014430 Material: ACERO INOXIDABLE Color:  Referencia:  Observacion:  Placa padre:  Tipo adquisicion : Entidad"</f>
        <v>Descripcion:CUBETA EN ACERO INOXIDABLE GRANDE Estado: Bueno Placa anterior: 000014430 Material: ACERO INOXIDABLE Color:  Referencia:  Observacion:  Placa padre:  Tipo adquisicion : Entidad</v>
      </c>
      <c r="G10210" s="5"/>
    </row>
    <row r="10211" spans="1:7" ht="58.5" customHeight="1" x14ac:dyDescent="0.25">
      <c r="A10211" s="5" t="str">
        <f>"H0005843"</f>
        <v>H0005843</v>
      </c>
      <c r="B10211" s="5" t="str">
        <f>"MESA (CARRO) DE CURACIONES"</f>
        <v>MESA (CARRO) DE CURACIONES</v>
      </c>
      <c r="C10211" s="6">
        <v>11880</v>
      </c>
      <c r="D10211" s="5"/>
      <c r="E10211" s="5" t="str">
        <f t="shared" si="522"/>
        <v>ACTISALUD-GUSTAVO GOMEZ-ENDOSCOPIA</v>
      </c>
      <c r="F10211" s="5" t="str">
        <f>"Descripcion:MESA AUXILIAR CARRO CURACIONES  Estado: Bueno Placa anterior: 000003589 Material: ACERO INOXIDABLE Color:  Referencia:  Observacion:  Placa padre:  Tipo adquisicion : Entidad"</f>
        <v>Descripcion:MESA AUXILIAR CARRO CURACIONES  Estado: Bueno Placa anterior: 000003589 Material: ACERO INOXIDABLE Color:  Referencia:  Observacion:  Placa padre:  Tipo adquisicion : Entidad</v>
      </c>
      <c r="G10211" s="5"/>
    </row>
    <row r="10212" spans="1:7" ht="58.5" customHeight="1" x14ac:dyDescent="0.25">
      <c r="A10212" s="5" t="str">
        <f>"H0005856"</f>
        <v>H0005856</v>
      </c>
      <c r="B10212" s="5" t="str">
        <f>"ATRIL PORTASUERO MOVIL"</f>
        <v>ATRIL PORTASUERO MOVIL</v>
      </c>
      <c r="C10212" s="6">
        <v>5373.19</v>
      </c>
      <c r="D10212" s="5"/>
      <c r="E10212" s="5" t="str">
        <f t="shared" si="522"/>
        <v>ACTISALUD-GUSTAVO GOMEZ-ENDOSCOPIA</v>
      </c>
      <c r="F10212" s="5" t="str">
        <f>"Descripcion:ATRIL PORTASUERO MOVIL CON RODACHINES Estado: Bueno Placa anterior: 000003677 Material: CROMADO Color:  Referencia:  Observacion:  Placa padre:  Tipo adquisicion : Entidad"</f>
        <v>Descripcion:ATRIL PORTASUERO MOVIL CON RODACHINES Estado: Bueno Placa anterior: 000003677 Material: CROMADO Color:  Referencia:  Observacion:  Placa padre:  Tipo adquisicion : Entidad</v>
      </c>
      <c r="G10212" s="5"/>
    </row>
    <row r="10213" spans="1:7" ht="58.5" customHeight="1" x14ac:dyDescent="0.25">
      <c r="A10213" s="5" t="str">
        <f>"H0005857"</f>
        <v>H0005857</v>
      </c>
      <c r="B10213" s="5" t="str">
        <f>"ESCALERILLA DE 2 PASOS"</f>
        <v>ESCALERILLA DE 2 PASOS</v>
      </c>
      <c r="C10213" s="6">
        <v>100000</v>
      </c>
      <c r="D10213" s="5" t="s">
        <v>49</v>
      </c>
      <c r="E10213" s="5" t="str">
        <f t="shared" si="522"/>
        <v>ACTISALUD-GUSTAVO GOMEZ-ENDOSCOPIA</v>
      </c>
      <c r="F10213" s="5" t="str">
        <f>"Descripcion:ESCALERILLA DE DOS PASOS EN TUBO REDONDO Estado: Bueno Placa anterior: 000029917 Material: METALICO CON PASOS EN MADERA Color: BLANCO Referencia:  Observacion:  Placa padre:  Tipo adquisicion : Entidad"</f>
        <v>Descripcion:ESCALERILLA DE DOS PASOS EN TUBO REDONDO Estado: Bueno Placa anterior: 000029917 Material: METALICO CON PASOS EN MADERA Color: BLANCO Referencia:  Observacion:  Placa padre:  Tipo adquisicion : Entidad</v>
      </c>
      <c r="G10213" s="5"/>
    </row>
    <row r="10214" spans="1:7" ht="58.5" customHeight="1" x14ac:dyDescent="0.25">
      <c r="A10214" s="5" t="str">
        <f>"H0005858"</f>
        <v>H0005858</v>
      </c>
      <c r="B10214" s="5" t="str">
        <f>"PROCESADOR DE VIDEO PARA ENDOSCOPIO"</f>
        <v>PROCESADOR DE VIDEO PARA ENDOSCOPIO</v>
      </c>
      <c r="C10214" s="6">
        <v>277240000</v>
      </c>
      <c r="D10214" s="5" t="s">
        <v>595</v>
      </c>
      <c r="E10214" s="5" t="str">
        <f t="shared" si="522"/>
        <v>ACTISALUD-GUSTAVO GOMEZ-ENDOSCOPIA</v>
      </c>
      <c r="F10214" s="5" t="str">
        <f>"Descripcion:VIDEO PROCESADOR ENDOSCOPICO CON 3 VISOSCOPIOS (COLONOSCOPIO, DEUDONOSCOPIO Y GASTROSCOPIO) Estado: Bueno Placa anterior: 000031092 Material: PLASTICO Y METALICO Color: BLANCO Referencia:  Observacion:  Placa anterior:, Placa nueva=H0005860, D"&amp; "escripcion:TECLADO, Serial:CY002627, Marca:PENTAX, Modelo:, Material:, Color:BLANCO,   Referencia:, Placa anterior:000003563, Placa nueva=H0005859, Descripcion:MONITOR LED  21 , Serial:C14-000504, Marca:ENDOVUE SE, Modelo:BC-WU21-A1418, Material:, Color:B"&amp; "EIGE,   Referencia:, Placa anterior:, Placa nueva=H0005862, Descripcion:BASE METALICA CON RODACHINES PARA PENTAX, Serial:, Marca:, Modelo:, Material:METALICO , Color:GRIS,   Referencia:, Placa anterior:, Placa nueva=H0005863, Descripcion:SOPORTE METALICO "&amp; "PARA PLACAS, Serial:, Marca:, Modelo:, Material:METALICO, Color:CROMADO,   Referencia: Placa padre:  Tipo adquisicion : Entidad"</f>
        <v>Descripcion:VIDEO PROCESADOR ENDOSCOPICO CON 3 VISOSCOPIOS (COLONOSCOPIO, DEUDONOSCOPIO Y GASTROSCOPIO) Estado: Bueno Placa anterior: 000031092 Material: PLASTICO Y METALICO Color: BLANCO Referencia:  Observacion:  Placa anterior:, Placa nueva=H0005860, Descripcion:TECLADO, Serial:CY002627, Marca:PENTAX, Modelo:, Material:, Color:BLANCO,   Referencia:, Placa anterior:000003563, Placa nueva=H0005859, Descripcion:MONITOR LED  21 , Serial:C14-000504, Marca:ENDOVUE SE, Modelo:BC-WU21-A1418, Material:, Color:BEIGE,   Referencia:, Placa anterior:, Placa nueva=H0005862, Descripcion:BASE METALICA CON RODACHINES PARA PENTAX, Serial:, Marca:, Modelo:, Material:METALICO , Color:GRIS,   Referencia:, Placa anterior:, Placa nueva=H0005863, Descripcion:SOPORTE METALICO PARA PLACAS, Serial:, Marca:, Modelo:, Material:METALICO, Color:CROMADO,   Referencia: Placa padre:  Tipo adquisicion : Entidad</v>
      </c>
      <c r="G10214" s="5" t="str">
        <f>"EPK I5010"</f>
        <v>EPK I5010</v>
      </c>
    </row>
    <row r="10215" spans="1:7" ht="58.5" customHeight="1" x14ac:dyDescent="0.25">
      <c r="A10215" s="5" t="str">
        <f>"H0005859"</f>
        <v>H0005859</v>
      </c>
      <c r="B10215" s="5" t="str">
        <f>"MONITOR (PANTALLA) PARA ENDOSCOPIO"</f>
        <v>MONITOR (PANTALLA) PARA ENDOSCOPIO</v>
      </c>
      <c r="C10215" s="6">
        <v>7900000</v>
      </c>
      <c r="D10215" s="5"/>
      <c r="E10215" s="5" t="str">
        <f t="shared" si="522"/>
        <v>ACTISALUD-GUSTAVO GOMEZ-ENDOSCOPIA</v>
      </c>
      <c r="F10215" s="5" t="str">
        <f>"Descripcion:MONITOR LED  21  Estado: Bueno Placa anterior: 000003563 Material:  Color: BEIGE Referencia:  Observacion:  Placa padre: H0005858 Tipo adquisicion : Entidad"</f>
        <v>Descripcion:MONITOR LED  21  Estado: Bueno Placa anterior: 000003563 Material:  Color: BEIGE Referencia:  Observacion:  Placa padre: H0005858 Tipo adquisicion : Entidad</v>
      </c>
      <c r="G10215" s="5" t="str">
        <f>"BC-WU21-A1418"</f>
        <v>BC-WU21-A1418</v>
      </c>
    </row>
    <row r="10216" spans="1:7" ht="58.5" customHeight="1" x14ac:dyDescent="0.25">
      <c r="A10216" s="5" t="str">
        <f>"H0005866"</f>
        <v>H0005866</v>
      </c>
      <c r="B10216" s="5" t="str">
        <f>"CAMILLA DE TRASLADO CON BARANDAS"</f>
        <v>CAMILLA DE TRASLADO CON BARANDAS</v>
      </c>
      <c r="C10216" s="6">
        <v>1740000</v>
      </c>
      <c r="D10216" s="5"/>
      <c r="E10216" s="5" t="str">
        <f t="shared" si="522"/>
        <v>ACTISALUD-GUSTAVO GOMEZ-ENDOSCOPIA</v>
      </c>
      <c r="F10216" s="5" t="str">
        <f>"Descripcion:CAMILLA DE RECUPERACION Y TRANSPORTE DE DOS PLANOS, MODELO 141-04 CARACTERISTICAS: FABRICADA EN TUBERIA DE REDONDA DE 1 Y 7/8 PLATO EN LAMINA COLL-ROLLED EN TUBERIA REDONDA DE 7/8. DIMENSIONES APROXIMADAS 183cm. DE LARGO 63 cm DE ANCHO 86 cm A"&amp; "LTURA PESO  Estado: Bueno Placa anterior: 000026263 Material: METALICO  Color: BEIGE Referencia:  Observacion:  Placa padre:  Tipo adquisicion : Entidad"</f>
        <v>Descripcion:CAMILLA DE RECUPERACION Y TRANSPORTE DE DOS PLANOS, MODELO 141-04 CARACTERISTICAS: FABRICADA EN TUBERIA DE REDONDA DE 1 Y 7/8 PLATO EN LAMINA COLL-ROLLED EN TUBERIA REDONDA DE 7/8. DIMENSIONES APROXIMADAS 183cm. DE LARGO 63 cm DE ANCHO 86 cm ALTURA PESO  Estado: Bueno Placa anterior: 000026263 Material: METALICO  Color: BEIGE Referencia:  Observacion:  Placa padre:  Tipo adquisicion : Entidad</v>
      </c>
      <c r="G10216" s="5"/>
    </row>
    <row r="10217" spans="1:7" ht="58.5" customHeight="1" x14ac:dyDescent="0.25">
      <c r="A10217" s="5" t="str">
        <f>"H0005867"</f>
        <v>H0005867</v>
      </c>
      <c r="B10217" s="5" t="str">
        <f>"CAMA HOSPITALARIA 4 PLANOS CON BARANDA"</f>
        <v>CAMA HOSPITALARIA 4 PLANOS CON BARANDA</v>
      </c>
      <c r="C10217" s="6">
        <v>2509480</v>
      </c>
      <c r="D10217" s="5"/>
      <c r="E10217" s="5" t="str">
        <f t="shared" si="522"/>
        <v>ACTISALUD-GUSTAVO GOMEZ-ENDOSCOPIA</v>
      </c>
      <c r="F10217" s="5" t="str">
        <f>"Descripcion:CAMA HOSPITALARIA HOSPITECH MOD. 134-45 Estado: Bueno Placa anterior: 000033365 Material: METALICO Color: BEIGE Referencia:  Observacion:  Placa padre:  Tipo adquisicion : Entidad"</f>
        <v>Descripcion:CAMA HOSPITALARIA HOSPITECH MOD. 134-45 Estado: Bueno Placa anterior: 000033365 Material: METALICO Color: BEIGE Referencia:  Observacion:  Placa padre:  Tipo adquisicion : Entidad</v>
      </c>
      <c r="G10217" s="5"/>
    </row>
    <row r="10218" spans="1:7" ht="58.5" customHeight="1" x14ac:dyDescent="0.25">
      <c r="A10218" s="5" t="str">
        <f>"H0005869"</f>
        <v>H0005869</v>
      </c>
      <c r="B10218" s="5" t="str">
        <f>"CAMA HOSPITALARIA 4 PLANOS CON BARANDA"</f>
        <v>CAMA HOSPITALARIA 4 PLANOS CON BARANDA</v>
      </c>
      <c r="C10218" s="6">
        <v>1740000</v>
      </c>
      <c r="D10218" s="5"/>
      <c r="E10218" s="5" t="str">
        <f t="shared" si="522"/>
        <v>ACTISALUD-GUSTAVO GOMEZ-ENDOSCOPIA</v>
      </c>
      <c r="F10218" s="5" t="str">
        <f>"Descripcion:CAMA HOSPITALARIA 4 PLANOS CON BARANDA Estado: Bueno Placa anterior: 000025966 Material: METALICO Color: GRIS Referencia:  Observacion: PLACA ANTERIOR NO ENCONTRADA 000025845  FUNCIONARIO AUTORIZA SE CONCILIE CON PLACA 000025966 Placa padre:  "&amp; "Tipo adquisicion : Entidad"</f>
        <v>Descripcion:CAMA HOSPITALARIA 4 PLANOS CON BARANDA Estado: Bueno Placa anterior: 000025966 Material: METALICO Color: GRIS Referencia:  Observacion: PLACA ANTERIOR NO ENCONTRADA 000025845  FUNCIONARIO AUTORIZA SE CONCILIE CON PLACA 000025966 Placa padre:  Tipo adquisicion : Entidad</v>
      </c>
      <c r="G10218" s="5"/>
    </row>
    <row r="10219" spans="1:7" ht="58.5" customHeight="1" x14ac:dyDescent="0.25">
      <c r="A10219" s="5" t="str">
        <f>"H0005870"</f>
        <v>H0005870</v>
      </c>
      <c r="B10219" s="5" t="str">
        <f>"CAMILLA DE TRASLADO CON BARANDAS"</f>
        <v>CAMILLA DE TRASLADO CON BARANDAS</v>
      </c>
      <c r="C10219" s="6">
        <v>8000</v>
      </c>
      <c r="D10219" s="5"/>
      <c r="E10219" s="5" t="str">
        <f t="shared" si="522"/>
        <v>ACTISALUD-GUSTAVO GOMEZ-ENDOSCOPIA</v>
      </c>
      <c r="F10219" s="5" t="str">
        <f>"Descripcion:CAMILLA DE TRASLADO CON BARANDAS Estado: Bueno Placa anterior: 000008755 Material: METALICO  Color: GRIS Referencia:  Observacion: PLACA ANTERIOR NO ENCONTRADA 000003186  FUNCIONARIO AUTORIZA SE CONCILIE CON PLACA 000008755   Placa padre:  Tip"&amp; "o adquisicion : Entidad"</f>
        <v>Descripcion:CAMILLA DE TRASLADO CON BARANDAS Estado: Bueno Placa anterior: 000008755 Material: METALICO  Color: GRIS Referencia:  Observacion: PLACA ANTERIOR NO ENCONTRADA 000003186  FUNCIONARIO AUTORIZA SE CONCILIE CON PLACA 000008755   Placa padre:  Tipo adquisicion : Entidad</v>
      </c>
      <c r="G10219" s="5"/>
    </row>
    <row r="10220" spans="1:7" ht="58.5" customHeight="1" x14ac:dyDescent="0.25">
      <c r="A10220" s="5" t="str">
        <f>"H0005952"</f>
        <v>H0005952</v>
      </c>
      <c r="B10220" s="5" t="str">
        <f>"ESCRITORIO METALICO 3 GAVETAS"</f>
        <v>ESCRITORIO METALICO 3 GAVETAS</v>
      </c>
      <c r="C10220" s="6">
        <v>640000</v>
      </c>
      <c r="D10220" s="5"/>
      <c r="E10220" s="5" t="str">
        <f t="shared" si="522"/>
        <v>ACTISALUD-GUSTAVO GOMEZ-ENDOSCOPIA</v>
      </c>
      <c r="F10220" s="5" t="str">
        <f>"Descripcion:ESCRITORIO METALICO CON TRES GAVETAS MEDIDAS:74X120X60CM Estado: Bueno Placa anterior: 000033008 Material: METALICO CON MESON EN FORMICA Color: GRIS Referencia:  Observacion:  Placa padre:  Tipo adquisicion : Entidad"</f>
        <v>Descripcion:ESCRITORIO METALICO CON TRES GAVETAS MEDIDAS:74X120X60CM Estado: Bueno Placa anterior: 000033008 Material: METALICO CON MESON EN FORMICA Color: GRIS Referencia:  Observacion:  Placa padre:  Tipo adquisicion : Entidad</v>
      </c>
      <c r="G10220" s="5"/>
    </row>
    <row r="10221" spans="1:7" ht="58.5" customHeight="1" x14ac:dyDescent="0.25">
      <c r="A10221" s="5" t="str">
        <f>"H0005961"</f>
        <v>H0005961</v>
      </c>
      <c r="B10221" s="5" t="str">
        <f>"SILLA INTERLOCUTORA (FIJA) CON BRAZOS"</f>
        <v>SILLA INTERLOCUTORA (FIJA) CON BRAZOS</v>
      </c>
      <c r="C10221" s="6">
        <v>10391.07</v>
      </c>
      <c r="D10221" s="5"/>
      <c r="E10221" s="5" t="str">
        <f t="shared" si="522"/>
        <v>ACTISALUD-GUSTAVO GOMEZ-ENDOSCOPIA</v>
      </c>
      <c r="F10221" s="5" t="str">
        <f>"Descripcion:SILLA TIPO D (FIJA CON BRAZOS) TAPIZADA MARRON Estado: Bueno Placa anterior: 000025850 Material: METALICA TAPIZADA EN SEMICUERO Color: MARRON Referencia:  Observacion:  Placa padre:  Tipo adquisicion : Entidad"</f>
        <v>Descripcion:SILLA TIPO D (FIJA CON BRAZOS) TAPIZADA MARRON Estado: Bueno Placa anterior: 000025850 Material: METALICA TAPIZADA EN SEMICUERO Color: MARRON Referencia:  Observacion:  Placa padre:  Tipo adquisicion : Entidad</v>
      </c>
      <c r="G10221" s="5"/>
    </row>
    <row r="10222" spans="1:7" ht="58.5" customHeight="1" x14ac:dyDescent="0.25">
      <c r="A10222" s="5" t="str">
        <f>"H0005963"</f>
        <v>H0005963</v>
      </c>
      <c r="B10222" s="5" t="str">
        <f>"POTE (TARRO) ACERO INXODABLE CON TAPA PEQUEÑO"</f>
        <v>POTE (TARRO) ACERO INXODABLE CON TAPA PEQUEÑO</v>
      </c>
      <c r="C10222" s="6">
        <v>10312.86</v>
      </c>
      <c r="D10222" s="5"/>
      <c r="E10222" s="5" t="str">
        <f t="shared" si="522"/>
        <v>ACTISALUD-GUSTAVO GOMEZ-ENDOSCOPIA</v>
      </c>
      <c r="F10222" s="5" t="str">
        <f>"Descripcion:TARRO EN ACERO INOXIDABLE PEQUEÑO Estado: Bueno Placa anterior: 000021035 Material: ACERO INOXIDABLE Color:  Referencia:  Observacion:  Placa padre:  Tipo adquisicion : Entidad"</f>
        <v>Descripcion:TARRO EN ACERO INOXIDABLE PEQUEÑO Estado: Bueno Placa anterior: 000021035 Material: ACERO INOXIDABLE Color:  Referencia:  Observacion:  Placa padre:  Tipo adquisicion : Entidad</v>
      </c>
      <c r="G10222" s="5"/>
    </row>
    <row r="10223" spans="1:7" ht="58.5" customHeight="1" x14ac:dyDescent="0.25">
      <c r="A10223" s="5" t="str">
        <f>"H0005964"</f>
        <v>H0005964</v>
      </c>
      <c r="B10223" s="5" t="str">
        <f>"POTE (TARRO) ACERO INXODABLE CON TAPA PEQUEÑO"</f>
        <v>POTE (TARRO) ACERO INXODABLE CON TAPA PEQUEÑO</v>
      </c>
      <c r="C10223" s="6">
        <v>10312.86</v>
      </c>
      <c r="D10223" s="5"/>
      <c r="E10223" s="5" t="str">
        <f t="shared" si="522"/>
        <v>ACTISALUD-GUSTAVO GOMEZ-ENDOSCOPIA</v>
      </c>
      <c r="F10223" s="5" t="str">
        <f>"Descripcion:TARRO EN ACERO INOXIDABLE PEQUEÑO Estado: Bueno Placa anterior: 000007739 Material: ACERO INOXIDABLE Color:  Referencia:  Observacion:  Placa padre:  Tipo adquisicion : Entidad"</f>
        <v>Descripcion:TARRO EN ACERO INOXIDABLE PEQUEÑO Estado: Bueno Placa anterior: 000007739 Material: ACERO INOXIDABLE Color:  Referencia:  Observacion:  Placa padre:  Tipo adquisicion : Entidad</v>
      </c>
      <c r="G10223" s="5"/>
    </row>
    <row r="10224" spans="1:7" ht="58.5" customHeight="1" x14ac:dyDescent="0.25">
      <c r="A10224" s="5" t="str">
        <f>"H0005965"</f>
        <v>H0005965</v>
      </c>
      <c r="B10224" s="5" t="str">
        <f>"CARRO DE PARO"</f>
        <v>CARRO DE PARO</v>
      </c>
      <c r="C10224" s="6">
        <v>1740000</v>
      </c>
      <c r="D10224" s="5"/>
      <c r="E10224" s="5" t="str">
        <f t="shared" ref="E10224:E10255" si="523">"ACTISALUD-GUSTAVO GOMEZ-ENDOSCOPIA"</f>
        <v>ACTISALUD-GUSTAVO GOMEZ-ENDOSCOPIA</v>
      </c>
      <c r="F10224" s="5" t="str">
        <f>"Descripcion:CARRO DE PARO CON ATRIL INCORPORADO Estado: Bueno Placa anterior: 000023565 Material: METALICO Color: BEIGE Referencia:  Observacion:  Placa padre:  Tipo adquisicion : Entidad"</f>
        <v>Descripcion:CARRO DE PARO CON ATRIL INCORPORADO Estado: Bueno Placa anterior: 000023565 Material: METALICO Color: BEIGE Referencia:  Observacion:  Placa padre:  Tipo adquisicion : Entidad</v>
      </c>
      <c r="G10224" s="5"/>
    </row>
    <row r="10225" spans="1:7" ht="58.5" customHeight="1" x14ac:dyDescent="0.25">
      <c r="A10225" s="5" t="str">
        <f>"H0005967"</f>
        <v>H0005967</v>
      </c>
      <c r="B10225" s="5" t="str">
        <f>"BUTACO GIRATORIO SIN RUEDAS"</f>
        <v>BUTACO GIRATORIO SIN RUEDAS</v>
      </c>
      <c r="C10225" s="6">
        <v>9350</v>
      </c>
      <c r="D10225" s="5"/>
      <c r="E10225" s="5" t="str">
        <f t="shared" si="523"/>
        <v>ACTISALUD-GUSTAVO GOMEZ-ENDOSCOPIA</v>
      </c>
      <c r="F10225" s="5" t="str">
        <f>"Descripcion:BUTACO GIRATORIO SIN ESPALDAR Estado: Bueno Placa anterior: 000003179 Material: METALICO CON TAPIZADO Color: NEGRO Referencia:  Observacion:  Placa padre:  Tipo adquisicion : Entidad"</f>
        <v>Descripcion:BUTACO GIRATORIO SIN ESPALDAR Estado: Bueno Placa anterior: 000003179 Material: METALICO CON TAPIZADO Color: NEGRO Referencia:  Observacion:  Placa padre:  Tipo adquisicion : Entidad</v>
      </c>
      <c r="G10225" s="5"/>
    </row>
    <row r="10226" spans="1:7" ht="58.5" customHeight="1" x14ac:dyDescent="0.25">
      <c r="A10226" s="5" t="str">
        <f>"H0005969"</f>
        <v>H0005969</v>
      </c>
      <c r="B10226" s="5" t="str">
        <f>"ATRIL PORTASUERO MOVIL"</f>
        <v>ATRIL PORTASUERO MOVIL</v>
      </c>
      <c r="C10226" s="6">
        <v>5373.19</v>
      </c>
      <c r="D10226" s="5"/>
      <c r="E10226" s="5" t="str">
        <f t="shared" si="523"/>
        <v>ACTISALUD-GUSTAVO GOMEZ-ENDOSCOPIA</v>
      </c>
      <c r="F10226" s="5" t="str">
        <f>"Descripcion:ATRIL PORTASUERO MOVIL CON RODACHINES Estado: Bueno Placa anterior: 000025846 Material: CROMADO Color:  Referencia:  Observacion:  Placa padre:  Tipo adquisicion : Entidad"</f>
        <v>Descripcion:ATRIL PORTASUERO MOVIL CON RODACHINES Estado: Bueno Placa anterior: 000025846 Material: CROMADO Color:  Referencia:  Observacion:  Placa padre:  Tipo adquisicion : Entidad</v>
      </c>
      <c r="G10226" s="5"/>
    </row>
    <row r="10227" spans="1:7" ht="58.5" customHeight="1" x14ac:dyDescent="0.25">
      <c r="A10227" s="5" t="str">
        <f>"H0005970"</f>
        <v>H0005970</v>
      </c>
      <c r="B10227" s="5" t="str">
        <f>"NEGATOSCOPIO"</f>
        <v>NEGATOSCOPIO</v>
      </c>
      <c r="C10227" s="6">
        <v>81373.2</v>
      </c>
      <c r="D10227" s="5"/>
      <c r="E10227" s="5" t="str">
        <f t="shared" si="523"/>
        <v>ACTISALUD-GUSTAVO GOMEZ-ENDOSCOPIA</v>
      </c>
      <c r="F10227" s="5" t="str">
        <f>"Descripcion:NEGATOSCOPIO DE 1 CUERPO Estado: Bueno Placa anterior: 000003539 Material: METALICO Color: BEIGE Referencia:  Observacion:  Placa padre:  Tipo adquisicion : Entidad"</f>
        <v>Descripcion:NEGATOSCOPIO DE 1 CUERPO Estado: Bueno Placa anterior: 000003539 Material: METALICO Color: BEIGE Referencia:  Observacion:  Placa padre:  Tipo adquisicion : Entidad</v>
      </c>
      <c r="G10227" s="5"/>
    </row>
    <row r="10228" spans="1:7" ht="58.5" customHeight="1" x14ac:dyDescent="0.25">
      <c r="A10228" s="5" t="str">
        <f>"H0005971"</f>
        <v>H0005971</v>
      </c>
      <c r="B10228" s="5" t="str">
        <f>"UNIDAD ININTERRUMPIDA DE POTENCIA (UPS) 1.5KW"</f>
        <v>UNIDAD ININTERRUMPIDA DE POTENCIA (UPS) 1.5KW</v>
      </c>
      <c r="C10228" s="6">
        <v>2155172</v>
      </c>
      <c r="D10228" s="5"/>
      <c r="E10228" s="5" t="str">
        <f t="shared" si="523"/>
        <v>ACTISALUD-GUSTAVO GOMEZ-ENDOSCOPIA</v>
      </c>
      <c r="F10228" s="5" t="str">
        <f>"Descripcion:UPS TRIPP LITE DE 1500 V.A. Estado: Bueno Placa anterior: 000026380 Material: PLASTICO Color: NEGRO Referencia:  Observacion:  Placa padre:  Tipo adquisicion : Entidad"</f>
        <v>Descripcion:UPS TRIPP LITE DE 1500 V.A. Estado: Bueno Placa anterior: 000026380 Material: PLASTICO Color: NEGRO Referencia:  Observacion:  Placa padre:  Tipo adquisicion : Entidad</v>
      </c>
      <c r="G10228" s="5"/>
    </row>
    <row r="10229" spans="1:7" ht="58.5" customHeight="1" x14ac:dyDescent="0.25">
      <c r="A10229" s="5" t="str">
        <f>"H0005972"</f>
        <v>H0005972</v>
      </c>
      <c r="B10229" s="5" t="str">
        <f>"MESA (CARRO) DE CURACIONES"</f>
        <v>MESA (CARRO) DE CURACIONES</v>
      </c>
      <c r="C10229" s="6">
        <v>11880</v>
      </c>
      <c r="D10229" s="5"/>
      <c r="E10229" s="5" t="str">
        <f t="shared" si="523"/>
        <v>ACTISALUD-GUSTAVO GOMEZ-ENDOSCOPIA</v>
      </c>
      <c r="F10229" s="5" t="str">
        <f>"Descripcion:MESA METALICA AUXILIAR CON RODACHINES, 1 ENTREPAÑO MEDIDAS: 89X51X34CM Estado: Bueno Placa anterior: 000003587 Material: METALICO Color: VERDE Referencia:  Observacion:  Placa padre:  Tipo adquisicion : Entidad"</f>
        <v>Descripcion:MESA METALICA AUXILIAR CON RODACHINES, 1 ENTREPAÑO MEDIDAS: 89X51X34CM Estado: Bueno Placa anterior: 000003587 Material: METALICO Color: VERDE Referencia:  Observacion:  Placa padre:  Tipo adquisicion : Entidad</v>
      </c>
      <c r="G10229" s="5"/>
    </row>
    <row r="10230" spans="1:7" ht="58.5" customHeight="1" x14ac:dyDescent="0.25">
      <c r="A10230" s="5" t="str">
        <f>"H0005975"</f>
        <v>H0005975</v>
      </c>
      <c r="B10230" s="5" t="str">
        <f>"CUBETA DE ACERO INOXIDABLE CON TAPA MEDIANA"</f>
        <v>CUBETA DE ACERO INOXIDABLE CON TAPA MEDIANA</v>
      </c>
      <c r="C10230" s="6">
        <v>45854.8</v>
      </c>
      <c r="D10230" s="5"/>
      <c r="E10230" s="5" t="str">
        <f t="shared" si="523"/>
        <v>ACTISALUD-GUSTAVO GOMEZ-ENDOSCOPIA</v>
      </c>
      <c r="F10230" s="5" t="str">
        <f>"Descripcion:CUBETA EN ACERO INOX. CON TAPA MEDIANA Estado: Bueno Placa anterior: 000003189 Material: ACERO INOXIDABLE Color:  Referencia:  Observacion:  Placa padre:  Tipo adquisicion : Entidad"</f>
        <v>Descripcion:CUBETA EN ACERO INOX. CON TAPA MEDIANA Estado: Bueno Placa anterior: 000003189 Material: ACERO INOXIDABLE Color:  Referencia:  Observacion:  Placa padre:  Tipo adquisicion : Entidad</v>
      </c>
      <c r="G10230" s="5"/>
    </row>
    <row r="10231" spans="1:7" ht="58.5" customHeight="1" x14ac:dyDescent="0.25">
      <c r="A10231" s="5" t="str">
        <f>"H0005976"</f>
        <v>H0005976</v>
      </c>
      <c r="B10231" s="5" t="str">
        <f>"POTE (TARRO) ACERO INXODABLE CON TAPA PEQUEÑO"</f>
        <v>POTE (TARRO) ACERO INXODABLE CON TAPA PEQUEÑO</v>
      </c>
      <c r="C10231" s="6">
        <v>10312.86</v>
      </c>
      <c r="D10231" s="5"/>
      <c r="E10231" s="5" t="str">
        <f t="shared" si="523"/>
        <v>ACTISALUD-GUSTAVO GOMEZ-ENDOSCOPIA</v>
      </c>
      <c r="F10231" s="5" t="str">
        <f>"Descripcion:TARRO EN ACERO INOXIDABLE PEQUEÑO Estado: Bueno Placa anterior: 000021034 Material: ACERO INOXIDABLE Color:  Referencia:  Observacion:  Placa padre:  Tipo adquisicion : Entidad"</f>
        <v>Descripcion:TARRO EN ACERO INOXIDABLE PEQUEÑO Estado: Bueno Placa anterior: 000021034 Material: ACERO INOXIDABLE Color:  Referencia:  Observacion:  Placa padre:  Tipo adquisicion : Entidad</v>
      </c>
      <c r="G10231" s="5"/>
    </row>
    <row r="10232" spans="1:7" ht="58.5" customHeight="1" x14ac:dyDescent="0.25">
      <c r="A10232" s="5" t="str">
        <f>"H0005978"</f>
        <v>H0005978</v>
      </c>
      <c r="B10232" s="5" t="str">
        <f>"BANDEJA DE ACERO INOXIDABLE GRANDE"</f>
        <v>BANDEJA DE ACERO INOXIDABLE GRANDE</v>
      </c>
      <c r="C10232" s="6">
        <v>3819.2</v>
      </c>
      <c r="D10232" s="5"/>
      <c r="E10232" s="5" t="str">
        <f t="shared" si="523"/>
        <v>ACTISALUD-GUSTAVO GOMEZ-ENDOSCOPIA</v>
      </c>
      <c r="F10232" s="5" t="str">
        <f>"Descripcion:BANDEJA DE ACERO INOXIDABLE GRANDE Estado: Bueno Placa anterior: 000025830 Material: ACERO INOXIDABLE Color:  Referencia:  Observacion:  Placa padre:  Tipo adquisicion : Entidad"</f>
        <v>Descripcion:BANDEJA DE ACERO INOXIDABLE GRANDE Estado: Bueno Placa anterior: 000025830 Material: ACERO INOXIDABLE Color:  Referencia:  Observacion:  Placa padre:  Tipo adquisicion : Entidad</v>
      </c>
      <c r="G10232" s="5"/>
    </row>
    <row r="10233" spans="1:7" ht="58.5" customHeight="1" x14ac:dyDescent="0.25">
      <c r="A10233" s="5" t="str">
        <f>"H0005979"</f>
        <v>H0005979</v>
      </c>
      <c r="B10233" s="5" t="str">
        <f>"AIRE ACONDICIONADO 18000 BTU"</f>
        <v>AIRE ACONDICIONADO 18000 BTU</v>
      </c>
      <c r="C10233" s="6">
        <v>4512400</v>
      </c>
      <c r="D10233" s="5" t="s">
        <v>52</v>
      </c>
      <c r="E10233" s="5" t="str">
        <f t="shared" si="523"/>
        <v>ACTISALUD-GUSTAVO GOMEZ-ENDOSCOPIA</v>
      </c>
      <c r="F10233" s="5" t="str">
        <f>"Descripcion:AIRE ACONDICIONADO BTU 18000 TIPO SPLIT Estado: Bueno Placa anterior: 000036405 Material: PLASTICO Color: BLANCO Referencia:  Observacion:  Placa padre:  Tipo adquisicion : Entidad"</f>
        <v>Descripcion:AIRE ACONDICIONADO BTU 18000 TIPO SPLIT Estado: Bueno Placa anterior: 000036405 Material: PLASTICO Color: BLANCO Referencia:  Observacion:  Placa padre:  Tipo adquisicion : Entidad</v>
      </c>
      <c r="G10233" s="5" t="str">
        <f>"INVERTER"</f>
        <v>INVERTER</v>
      </c>
    </row>
    <row r="10234" spans="1:7" ht="58.5" customHeight="1" x14ac:dyDescent="0.25">
      <c r="A10234" s="5" t="str">
        <f>"H0008607"</f>
        <v>H0008607</v>
      </c>
      <c r="B10234" s="5" t="str">
        <f>"GABINETE CONTRA INCENDIO"</f>
        <v>GABINETE CONTRA INCENDIO</v>
      </c>
      <c r="C10234" s="6">
        <v>171000</v>
      </c>
      <c r="D10234" s="5"/>
      <c r="E10234" s="5" t="str">
        <f t="shared" si="523"/>
        <v>ACTISALUD-GUSTAVO GOMEZ-ENDOSCOPIA</v>
      </c>
      <c r="F10234" s="5" t="str">
        <f>"Descripcion:GABINETE CONTRA INCENDIO: CONTIENE EXTINTOR AMARILLO, MANGUERA Y HACHA Estado: Bueno Placa anterior: 000019089 Material: METALICO Color: ROJO Referencia:  Observacion:  Placa padre:  Tipo adquisicion : Entidad"</f>
        <v>Descripcion:GABINETE CONTRA INCENDIO: CONTIENE EXTINTOR AMARILLO, MANGUERA Y HACHA Estado: Bueno Placa anterior: 000019089 Material: METALICO Color: ROJO Referencia:  Observacion:  Placa padre:  Tipo adquisicion : Entidad</v>
      </c>
      <c r="G10234" s="5"/>
    </row>
    <row r="10235" spans="1:7" ht="58.5" customHeight="1" x14ac:dyDescent="0.25">
      <c r="A10235" s="5" t="str">
        <f>"H0008612"</f>
        <v>H0008612</v>
      </c>
      <c r="B10235" s="5" t="str">
        <f>"SILLA TANDEM DE 4 PUESTOS"</f>
        <v>SILLA TANDEM DE 4 PUESTOS</v>
      </c>
      <c r="C10235" s="6">
        <v>740000</v>
      </c>
      <c r="D10235" s="5" t="s">
        <v>529</v>
      </c>
      <c r="E10235" s="5" t="str">
        <f t="shared" si="523"/>
        <v>ACTISALUD-GUSTAVO GOMEZ-ENDOSCOPIA</v>
      </c>
      <c r="F10235" s="5" t="str">
        <f>"Descripcion:SILLA TANDEM DE 4 PUESTOS  Estado: Bueno Placa anterior:  Material: METALICO CON ASIENTOS EN PLASTICO Color: NEGRO Referencia:  Observacion:  Placa padre:  Tipo adquisicion : Entidad"</f>
        <v>Descripcion:SILLA TANDEM DE 4 PUESTOS  Estado: Bueno Placa anterior:  Material: METALICO CON ASIENTOS EN PLASTICO Color: NEGRO Referencia:  Observacion:  Placa padre:  Tipo adquisicion : Entidad</v>
      </c>
      <c r="G10235" s="5"/>
    </row>
    <row r="10236" spans="1:7" ht="58.5" customHeight="1" x14ac:dyDescent="0.25">
      <c r="A10236" s="5" t="str">
        <f>"H0008626"</f>
        <v>H0008626</v>
      </c>
      <c r="B10236" s="5" t="str">
        <f>"SILLA TANDEM DE 3 PUESTOS"</f>
        <v>SILLA TANDEM DE 3 PUESTOS</v>
      </c>
      <c r="C10236" s="6">
        <v>10780</v>
      </c>
      <c r="D10236" s="5"/>
      <c r="E10236" s="5" t="str">
        <f t="shared" si="523"/>
        <v>ACTISALUD-GUSTAVO GOMEZ-ENDOSCOPIA</v>
      </c>
      <c r="F10236" s="5" t="str">
        <f>"Descripcion:SILLA TANDEM DE 3 PUESTOS  Estado: Bueno Placa anterior: 000006915 Material: METALICO CON ASIENTOS EN PLASTICO Color: VERDE Referencia:  Observacion: AUTORIZADO CONCILIAR EN CRUCE GENERAL Placa padre:  Tipo adquisicion : Entidad"</f>
        <v>Descripcion:SILLA TANDEM DE 3 PUESTOS  Estado: Bueno Placa anterior: 000006915 Material: METALICO CON ASIENTOS EN PLASTICO Color: VERDE Referencia:  Observacion: AUTORIZADO CONCILIAR EN CRUCE GENERAL Placa padre:  Tipo adquisicion : Entidad</v>
      </c>
      <c r="G10236" s="5"/>
    </row>
    <row r="10237" spans="1:7" ht="58.5" customHeight="1" x14ac:dyDescent="0.25">
      <c r="A10237" s="5" t="str">
        <f>"H0010629"</f>
        <v>H0010629</v>
      </c>
      <c r="B10237" s="5" t="str">
        <f>"ENDOSCOPIO"</f>
        <v>ENDOSCOPIO</v>
      </c>
      <c r="C10237" s="6">
        <v>306896000</v>
      </c>
      <c r="D10237" s="5"/>
      <c r="E10237" s="5" t="str">
        <f t="shared" si="523"/>
        <v>ACTISALUD-GUSTAVO GOMEZ-ENDOSCOPIA</v>
      </c>
      <c r="F10237" s="5" t="str">
        <f>"Descripcion:EQUIPO DE ENDOSCOPIA DIGESTIVA CON MAGNIFICACION OPTICA: PROCESADOR CENTRAL CON 2 VISOSCOPIOS   Estado: Bueno Placa anterior: 000032681 Material: PLASTICO Color: GRIS CON VERDE Referencia:  Observacion:  Placa anterior:, Placa nueva=H0010632, "&amp; "Descripcion:EQUIPO DE ENDOSCOPIA DIGESTIVA CON MAGNIFICACION OPTICA: TECLADO, Serial:, Marca:FUJIMON, Modelo:KEK-EA4AU, Material:PLASTICO, Color:BEIGE,   Referencia:CMYKEK7833, Placa anterior:, Placa nueva=H0010633, Descripcion:CARRO PARA TRANSPORTAR EQUI"&amp; "PO DE ENDOSCOPIA DIGESTIVA CON 5 ENTREPAÑOS, BANDEJA PARA TECLADO Y ATRIL, Serial:, Marca:, Modelo:, Material:METALICO, Color:GRIS,   Referencia:, Placa anterior:000022920, Placa nueva=H0010630, Descripcion:EQUIPO DE ENDOSCOPIA DIGESTIVA CON MAGNIFICACION"&amp; " OPTICA: EQUIPO DE ILUMINACION , Serial:, Marca:FIJINOM, Modelo:SYSTEM 4400, Material:PLASTICO, Color:GRIS CON VERDE,   Referencia:, Placa anterior:, Placa nueva=H0010631, Descripcion:EQUIPO DE ENDOSCOPIA DIGESTIVA CON MAGNIFICACION OPTICA: PANTALLA 19 , "&amp; "Serial:1V489A081, Marca:FUJIMON, Modelo:, Material:PLASTICO, Color:BEIGE,   Referencia: Placa padre:  Tipo adquisicion : Entidad"</f>
        <v>Descripcion:EQUIPO DE ENDOSCOPIA DIGESTIVA CON MAGNIFICACION OPTICA: PROCESADOR CENTRAL CON 2 VISOSCOPIOS   Estado: Bueno Placa anterior: 000032681 Material: PLASTICO Color: GRIS CON VERDE Referencia:  Observacion:  Placa anterior:, Placa nueva=H0010632, Descripcion:EQUIPO DE ENDOSCOPIA DIGESTIVA CON MAGNIFICACION OPTICA: TECLADO, Serial:, Marca:FUJIMON, Modelo:KEK-EA4AU, Material:PLASTICO, Color:BEIGE,   Referencia:CMYKEK7833, Placa anterior:, Placa nueva=H0010633, Descripcion:CARRO PARA TRANSPORTAR EQUIPO DE ENDOSCOPIA DIGESTIVA CON 5 ENTREPAÑOS, BANDEJA PARA TECLADO Y ATRIL, Serial:, Marca:, Modelo:, Material:METALICO, Color:GRIS,   Referencia:, Placa anterior:000022920, Placa nueva=H0010630, Descripcion:EQUIPO DE ENDOSCOPIA DIGESTIVA CON MAGNIFICACION OPTICA: EQUIPO DE ILUMINACION , Serial:, Marca:FIJINOM, Modelo:SYSTEM 4400, Material:PLASTICO, Color:GRIS CON VERDE,   Referencia:, Placa anterior:, Placa nueva=H0010631, Descripcion:EQUIPO DE ENDOSCOPIA DIGESTIVA CON MAGNIFICACION OPTICA: PANTALLA 19 , Serial:1V489A081, Marca:FUJIMON, Modelo:, Material:PLASTICO, Color:BEIGE,   Referencia: Placa padre:  Tipo adquisicion : Entidad</v>
      </c>
      <c r="G10237" s="5" t="str">
        <f>"SYSTEM 4400"</f>
        <v>SYSTEM 4400</v>
      </c>
    </row>
    <row r="10238" spans="1:7" ht="58.5" customHeight="1" x14ac:dyDescent="0.25">
      <c r="A10238" s="5" t="str">
        <f>"H0010630"</f>
        <v>H0010630</v>
      </c>
      <c r="B10238" s="5" t="str">
        <f>"ENDOSCOPIO"</f>
        <v>ENDOSCOPIO</v>
      </c>
      <c r="C10238" s="6">
        <v>41400000.170000002</v>
      </c>
      <c r="D10238" s="5"/>
      <c r="E10238" s="5" t="str">
        <f t="shared" si="523"/>
        <v>ACTISALUD-GUSTAVO GOMEZ-ENDOSCOPIA</v>
      </c>
      <c r="F10238" s="5" t="str">
        <f>"Descripcion:EQUIPO DE ENDOSCOPIA DIGESTIVA CON MAGNIFICACION OPTICA: EQUIPO DE ILUMINACION  Estado: Bueno Placa anterior: 000022920 Material: PLASTICO Color: GRIS CON VERDE Referencia:  Observacion:  Placa padre: H0010629 Tipo adquisicion : Entidad"</f>
        <v>Descripcion:EQUIPO DE ENDOSCOPIA DIGESTIVA CON MAGNIFICACION OPTICA: EQUIPO DE ILUMINACION  Estado: Bueno Placa anterior: 000022920 Material: PLASTICO Color: GRIS CON VERDE Referencia:  Observacion:  Placa padre: H0010629 Tipo adquisicion : Entidad</v>
      </c>
      <c r="G10238" s="5" t="str">
        <f>"SYSTEM 4400"</f>
        <v>SYSTEM 4400</v>
      </c>
    </row>
    <row r="10239" spans="1:7" ht="58.5" customHeight="1" x14ac:dyDescent="0.25">
      <c r="A10239" s="5" t="str">
        <f>"H0010637"</f>
        <v>H0010637</v>
      </c>
      <c r="B10239" s="5" t="str">
        <f>"TECLADO USB PARA COMPUTADOR"</f>
        <v>TECLADO USB PARA COMPUTADOR</v>
      </c>
      <c r="C10239" s="6">
        <v>800000</v>
      </c>
      <c r="D10239" s="5"/>
      <c r="E10239" s="5" t="str">
        <f t="shared" si="523"/>
        <v>ACTISALUD-GUSTAVO GOMEZ-ENDOSCOPIA</v>
      </c>
      <c r="F10239" s="5" t="str">
        <f>"Descripcion:EQUIPO DE ENDOSCOPIA DIGESTIVA CON MAGNIFICACION OPTICA: TECLADO Estado: Bueno Placa anterior: 000025839 Material: PLASTICO Color: BEIGE Referencia:  Observacion:  Placa padre: H0010635 Tipo adquisicion : Entidad"</f>
        <v>Descripcion:EQUIPO DE ENDOSCOPIA DIGESTIVA CON MAGNIFICACION OPTICA: TECLADO Estado: Bueno Placa anterior: 000025839 Material: PLASTICO Color: BEIGE Referencia:  Observacion:  Placa padre: H0010635 Tipo adquisicion : Entidad</v>
      </c>
      <c r="G10239" s="5"/>
    </row>
    <row r="10240" spans="1:7" ht="58.5" customHeight="1" x14ac:dyDescent="0.25">
      <c r="A10240" s="5" t="str">
        <f>"H0010660"</f>
        <v>H0010660</v>
      </c>
      <c r="B10240" s="5" t="str">
        <f>"MULTIMUEBLE DE MADERA"</f>
        <v>MULTIMUEBLE DE MADERA</v>
      </c>
      <c r="C10240" s="6">
        <v>742000</v>
      </c>
      <c r="D10240" s="5"/>
      <c r="E10240" s="5" t="str">
        <f t="shared" si="523"/>
        <v>ACTISALUD-GUSTAVO GOMEZ-ENDOSCOPIA</v>
      </c>
      <c r="F10240" s="5" t="str">
        <f>"Descripcion:MUEBLE EN MADECOR BLANCO Estado: Bueno Placa anterior: 000003584 Material: MADERA EN FORMICA Color: BLANCO Referencia:  Observacion:  Placa padre:  Tipo adquisicion : Entidad"</f>
        <v>Descripcion:MUEBLE EN MADECOR BLANCO Estado: Bueno Placa anterior: 000003584 Material: MADERA EN FORMICA Color: BLANCO Referencia:  Observacion:  Placa padre:  Tipo adquisicion : Entidad</v>
      </c>
      <c r="G10240" s="5"/>
    </row>
    <row r="10241" spans="1:7" ht="58.5" customHeight="1" x14ac:dyDescent="0.25">
      <c r="A10241" s="5" t="str">
        <f>"H0010661"</f>
        <v>H0010661</v>
      </c>
      <c r="B10241" s="5" t="str">
        <f>"MULTIMUEBLE DE MADERA"</f>
        <v>MULTIMUEBLE DE MADERA</v>
      </c>
      <c r="C10241" s="6">
        <v>742000</v>
      </c>
      <c r="D10241" s="5"/>
      <c r="E10241" s="5" t="str">
        <f t="shared" si="523"/>
        <v>ACTISALUD-GUSTAVO GOMEZ-ENDOSCOPIA</v>
      </c>
      <c r="F10241" s="5" t="str">
        <f>"Descripcion:MUEBLE EN MADECOR BLANCO DOS CUERPOS (4 PUERTAS) Estado: Bueno Placa anterior: 000025836 Material: MADERA EN FORMICA Color: BLANCO Referencia:  Observacion:  Placa padre:  Tipo adquisicion : Entidad"</f>
        <v>Descripcion:MUEBLE EN MADECOR BLANCO DOS CUERPOS (4 PUERTAS) Estado: Bueno Placa anterior: 000025836 Material: MADERA EN FORMICA Color: BLANCO Referencia:  Observacion:  Placa padre:  Tipo adquisicion : Entidad</v>
      </c>
      <c r="G10241" s="5"/>
    </row>
    <row r="10242" spans="1:7" ht="58.5" customHeight="1" x14ac:dyDescent="0.25">
      <c r="A10242" s="5" t="str">
        <f>"H0010663"</f>
        <v>H0010663</v>
      </c>
      <c r="B10242" s="5" t="str">
        <f>"VITRINA DE 2 CUERPOS"</f>
        <v>VITRINA DE 2 CUERPOS</v>
      </c>
      <c r="C10242" s="6">
        <v>8263.33</v>
      </c>
      <c r="D10242" s="5"/>
      <c r="E10242" s="5" t="str">
        <f t="shared" si="523"/>
        <v>ACTISALUD-GUSTAVO GOMEZ-ENDOSCOPIA</v>
      </c>
      <c r="F10242" s="5" t="str">
        <f>"Descripcion:VITRINA METALICA DE DOS CUERPOS Estado: Bueno Placa anterior: 000003577 Material: METALICO CON VIDRIO Color: GRIS Referencia:  Observacion:  Placa padre:  Tipo adquisicion : Entidad"</f>
        <v>Descripcion:VITRINA METALICA DE DOS CUERPOS Estado: Bueno Placa anterior: 000003577 Material: METALICO CON VIDRIO Color: GRIS Referencia:  Observacion:  Placa padre:  Tipo adquisicion : Entidad</v>
      </c>
      <c r="G10242" s="5"/>
    </row>
    <row r="10243" spans="1:7" ht="58.5" customHeight="1" x14ac:dyDescent="0.25">
      <c r="A10243" s="5" t="str">
        <f>"H0010664"</f>
        <v>H0010664</v>
      </c>
      <c r="B10243" s="5" t="str">
        <f>"VITRINA DE 2 CUERPOS"</f>
        <v>VITRINA DE 2 CUERPOS</v>
      </c>
      <c r="C10243" s="6">
        <v>40400</v>
      </c>
      <c r="D10243" s="5"/>
      <c r="E10243" s="5" t="str">
        <f t="shared" si="523"/>
        <v>ACTISALUD-GUSTAVO GOMEZ-ENDOSCOPIA</v>
      </c>
      <c r="F10243" s="5" t="str">
        <f>"Descripcion:VITRINA METALICA TIPO B ( DOS CUERPOS) Estado: Bueno Placa anterior: 000003575 Material: METALICO Color: BEIGE Referencia:  Observacion:  Placa padre:  Tipo adquisicion : Entidad"</f>
        <v>Descripcion:VITRINA METALICA TIPO B ( DOS CUERPOS) Estado: Bueno Placa anterior: 000003575 Material: METALICO Color: BEIGE Referencia:  Observacion:  Placa padre:  Tipo adquisicion : Entidad</v>
      </c>
      <c r="G10243" s="5"/>
    </row>
    <row r="10244" spans="1:7" ht="58.5" customHeight="1" x14ac:dyDescent="0.25">
      <c r="A10244" s="5" t="str">
        <f>"H0010752"</f>
        <v>H0010752</v>
      </c>
      <c r="B10244" s="5" t="str">
        <f>"NEVERA DE 66 LTS"</f>
        <v>NEVERA DE 66 LTS</v>
      </c>
      <c r="C10244" s="6">
        <v>249500</v>
      </c>
      <c r="D10244" s="5"/>
      <c r="E10244" s="5" t="str">
        <f t="shared" si="523"/>
        <v>ACTISALUD-GUSTAVO GOMEZ-ENDOSCOPIA</v>
      </c>
      <c r="F10244" s="5" t="str">
        <f>"Descripcion:NEVERA PHILIPS MODELO PX-808 Estado: Bueno Placa anterior: 000009323 Material: METALICO Color: BEIGE Referencia:  Observacion:  Placa padre:  Tipo adquisicion : Entidad"</f>
        <v>Descripcion:NEVERA PHILIPS MODELO PX-808 Estado: Bueno Placa anterior: 000009323 Material: METALICO Color: BEIGE Referencia:  Observacion:  Placa padre:  Tipo adquisicion : Entidad</v>
      </c>
      <c r="G10244" s="5"/>
    </row>
    <row r="10245" spans="1:7" ht="58.5" customHeight="1" x14ac:dyDescent="0.25">
      <c r="A10245" s="5" t="str">
        <f>"H0010765"</f>
        <v>H0010765</v>
      </c>
      <c r="B10245" s="5" t="str">
        <f>"MESA DE NOCHE"</f>
        <v>MESA DE NOCHE</v>
      </c>
      <c r="C10245" s="6">
        <v>15588.09</v>
      </c>
      <c r="D10245" s="5"/>
      <c r="E10245" s="5" t="str">
        <f t="shared" si="523"/>
        <v>ACTISALUD-GUSTAVO GOMEZ-ENDOSCOPIA</v>
      </c>
      <c r="F10245" s="5" t="str">
        <f>"Descripcion:MESA DE NOCHE Estado: Bueno Placa anterior: 000015775 Material: METALICO Color: GRIS Referencia:  Observacion:  Placa padre:  Tipo adquisicion : Entidad"</f>
        <v>Descripcion:MESA DE NOCHE Estado: Bueno Placa anterior: 000015775 Material: METALICO Color: GRIS Referencia:  Observacion:  Placa padre:  Tipo adquisicion : Entidad</v>
      </c>
      <c r="G10245" s="5"/>
    </row>
    <row r="10246" spans="1:7" ht="58.5" customHeight="1" x14ac:dyDescent="0.25">
      <c r="A10246" s="5" t="str">
        <f>"H0010767"</f>
        <v>H0010767</v>
      </c>
      <c r="B10246" s="5" t="str">
        <f>"ESCRITORIO DE MADERA 2 GAVETAS"</f>
        <v>ESCRITORIO DE MADERA 2 GAVETAS</v>
      </c>
      <c r="C10246" s="6">
        <v>790000</v>
      </c>
      <c r="D10246" s="5"/>
      <c r="E10246" s="5" t="str">
        <f t="shared" si="523"/>
        <v>ACTISALUD-GUSTAVO GOMEZ-ENDOSCOPIA</v>
      </c>
      <c r="F10246" s="5" t="str">
        <f>"Descripcion:ESCRITORIO LINEA 2000 GERENCIAL EN MADERA PARDILLO DE 1.70X66 ANCHO COLOR NATURAL. Estado: Bueno Placa anterior: 000033006 Material: MADERA Color: MADERA CLARO Referencia:  Observacion:  Placa padre:  Tipo adquisicion : Entidad"</f>
        <v>Descripcion:ESCRITORIO LINEA 2000 GERENCIAL EN MADERA PARDILLO DE 1.70X66 ANCHO COLOR NATURAL. Estado: Bueno Placa anterior: 000033006 Material: MADERA Color: MADERA CLARO Referencia:  Observacion:  Placa padre:  Tipo adquisicion : Entidad</v>
      </c>
      <c r="G10246" s="5"/>
    </row>
    <row r="10247" spans="1:7" ht="58.5" customHeight="1" x14ac:dyDescent="0.25">
      <c r="A10247" s="5" t="str">
        <f>"H0010770"</f>
        <v>H0010770</v>
      </c>
      <c r="B10247" s="5" t="str">
        <f>"SILLA INTERLOCUTORA (FIJA) CON BRAZOS"</f>
        <v>SILLA INTERLOCUTORA (FIJA) CON BRAZOS</v>
      </c>
      <c r="C10247" s="6">
        <v>10391.07</v>
      </c>
      <c r="D10247" s="5"/>
      <c r="E10247" s="5" t="str">
        <f t="shared" si="523"/>
        <v>ACTISALUD-GUSTAVO GOMEZ-ENDOSCOPIA</v>
      </c>
      <c r="F10247" s="5" t="str">
        <f>"Descripcion:SILLA INTERLOCUTORA TAPIZADA EN PAÑO VERDE Estado: Bueno Placa anterior: 000025852 Material: METALICO CON TAPIZADO EN PAÑO Color: VERDE Referencia:  Observacion:  Placa padre:  Tipo adquisicion : Entidad"</f>
        <v>Descripcion:SILLA INTERLOCUTORA TAPIZADA EN PAÑO VERDE Estado: Bueno Placa anterior: 000025852 Material: METALICO CON TAPIZADO EN PAÑO Color: VERDE Referencia:  Observacion:  Placa padre:  Tipo adquisicion : Entidad</v>
      </c>
      <c r="G10247" s="5"/>
    </row>
    <row r="10248" spans="1:7" ht="58.5" customHeight="1" x14ac:dyDescent="0.25">
      <c r="A10248" s="5" t="str">
        <f>"H0010773"</f>
        <v>H0010773</v>
      </c>
      <c r="B10248" s="5" t="str">
        <f>"SILLA INTERLOCUTORA (FIJA) CON BRAZOS"</f>
        <v>SILLA INTERLOCUTORA (FIJA) CON BRAZOS</v>
      </c>
      <c r="C10248" s="6">
        <v>10120</v>
      </c>
      <c r="D10248" s="5"/>
      <c r="E10248" s="5" t="str">
        <f t="shared" si="523"/>
        <v>ACTISALUD-GUSTAVO GOMEZ-ENDOSCOPIA</v>
      </c>
      <c r="F10248" s="5" t="str">
        <f>"Descripcion:SILLA INTERLOCUTORA TAPIZADA EN PAÑO VERDE Estado: Bueno Placa anterior: 000006788 Material: METALICO CON TAPIZADO EN PAÑO Color: VERDE Referencia:  Observacion: SILLA FIJA CON BRAZOS   Placa padre:  Tipo adquisicion : Entidad"</f>
        <v>Descripcion:SILLA INTERLOCUTORA TAPIZADA EN PAÑO VERDE Estado: Bueno Placa anterior: 000006788 Material: METALICO CON TAPIZADO EN PAÑO Color: VERDE Referencia:  Observacion: SILLA FIJA CON BRAZOS   Placa padre:  Tipo adquisicion : Entidad</v>
      </c>
      <c r="G10248" s="5"/>
    </row>
    <row r="10249" spans="1:7" ht="58.5" customHeight="1" x14ac:dyDescent="0.25">
      <c r="A10249" s="5" t="str">
        <f>"H0010776"</f>
        <v>H0010776</v>
      </c>
      <c r="B10249" s="5" t="str">
        <f>"AIRE ACONDICIONADO TIPO SPLIT 24000 BTU"</f>
        <v>AIRE ACONDICIONADO TIPO SPLIT 24000 BTU</v>
      </c>
      <c r="C10249" s="6">
        <v>4512400</v>
      </c>
      <c r="D10249" s="5" t="s">
        <v>146</v>
      </c>
      <c r="E10249" s="5" t="str">
        <f t="shared" si="523"/>
        <v>ACTISALUD-GUSTAVO GOMEZ-ENDOSCOPIA</v>
      </c>
      <c r="F10249" s="5" t="str">
        <f>"Descripcion:AIRE ACONDICIONADO CAPACIDAD 24000 BTU Equipo tipo mini Split, consola de lujo, con control remoto y uso refrigerante ecologico.sistema inverter.Debe incluir display para ser monitoreado por sistema central Estado: Bueno Placa anterior: 000036"&amp; "376 Material: PLASTICO Color: BLANCO Referencia:  Observacion:  Placa padre:  Tipo adquisicion : Entidad"</f>
        <v>Descripcion:AIRE ACONDICIONADO CAPACIDAD 24000 BTU Equipo tipo mini Split, consola de lujo, con control remoto y uso refrigerante ecologico.sistema inverter.Debe incluir display para ser monitoreado por sistema central Estado: Bueno Placa anterior: 000036376 Material: PLASTICO Color: BLANCO Referencia:  Observacion:  Placa padre:  Tipo adquisicion : Entidad</v>
      </c>
      <c r="G10249" s="5" t="str">
        <f>"VM12CEN B3"</f>
        <v>VM12CEN B3</v>
      </c>
    </row>
    <row r="10250" spans="1:7" ht="58.5" customHeight="1" x14ac:dyDescent="0.25">
      <c r="A10250" s="5" t="str">
        <f>"H0010778"</f>
        <v>H0010778</v>
      </c>
      <c r="B10250" s="5" t="str">
        <f>"CARRO PARA TRANSPORTE MATERIAL ESTERIL (OBJETOS ESTERILIZADOS)"</f>
        <v>CARRO PARA TRANSPORTE MATERIAL ESTERIL (OBJETOS ESTERILIZADOS)</v>
      </c>
      <c r="C10250" s="6">
        <v>311520</v>
      </c>
      <c r="D10250" s="5"/>
      <c r="E10250" s="5" t="str">
        <f t="shared" si="523"/>
        <v>ACTISALUD-GUSTAVO GOMEZ-ENDOSCOPIA</v>
      </c>
      <c r="F10250" s="5" t="str">
        <f>"Descripcion:CARRO PARA TRANSPORTAR MATERIAL ESTERIL Estado: Bueno Placa anterior: 000006895 Material: METALICO Color: GRIS Referencia:  Observacion: FUNCIONARIO MANIFIESTA QUE NO SE ENCUENTRA EN EL SERVICIO Placa padre:  Tipo adquisicion : Entidad"</f>
        <v>Descripcion:CARRO PARA TRANSPORTAR MATERIAL ESTERIL Estado: Bueno Placa anterior: 000006895 Material: METALICO Color: GRIS Referencia:  Observacion: FUNCIONARIO MANIFIESTA QUE NO SE ENCUENTRA EN EL SERVICIO Placa padre:  Tipo adquisicion : Entidad</v>
      </c>
      <c r="G10250" s="5"/>
    </row>
    <row r="10251" spans="1:7" ht="58.5" customHeight="1" x14ac:dyDescent="0.25">
      <c r="A10251" s="5" t="str">
        <f>"H0016992"</f>
        <v>H0016992</v>
      </c>
      <c r="B10251" s="5" t="str">
        <f>"SILLA INTERLOCUTORA (FIJA) SIN BRAZOS"</f>
        <v>SILLA INTERLOCUTORA (FIJA) SIN BRAZOS</v>
      </c>
      <c r="C10251" s="6">
        <v>9085.11</v>
      </c>
      <c r="D10251" s="5"/>
      <c r="E10251" s="5" t="str">
        <f t="shared" si="523"/>
        <v>ACTISALUD-GUSTAVO GOMEZ-ENDOSCOPIA</v>
      </c>
      <c r="F10251" s="5" t="str">
        <f>"Descripcion: SILLA FIJA SIN BRAZOS COLOR MARRON Estado: Bueno Placa anterior: 000000325 Material: METALICO Color: TAPIZADO EN MARRON Referencia:  Observacion:  Placa padre: Tipo adquisicion: Entidad"</f>
        <v>Descripcion: SILLA FIJA SIN BRAZOS COLOR MARRON Estado: Bueno Placa anterior: 000000325 Material: METALICO Color: TAPIZADO EN MARRON Referencia:  Observacion:  Placa padre: Tipo adquisicion: Entidad</v>
      </c>
      <c r="G10251" s="5"/>
    </row>
    <row r="10252" spans="1:7" ht="58.5" customHeight="1" x14ac:dyDescent="0.25">
      <c r="A10252" s="5" t="str">
        <f>"H0018035"</f>
        <v>H0018035</v>
      </c>
      <c r="B10252" s="5" t="str">
        <f>"MESA DE MADERA"</f>
        <v>MESA DE MADERA</v>
      </c>
      <c r="C10252" s="6">
        <v>76800</v>
      </c>
      <c r="D10252" s="5"/>
      <c r="E10252" s="5" t="str">
        <f t="shared" si="523"/>
        <v>ACTISALUD-GUSTAVO GOMEZ-ENDOSCOPIA</v>
      </c>
      <c r="F10252" s="5" t="str">
        <f>"Descripcion: MESA PARA IMPRESORA Estado: Bueno Placa anterior: 000000441 Material: MADERA Y FORMICA Color: CAFÉ Y NEGRO Referencia:  Observacion: MESA DE MADERA PARA IMPRESORA Placa padre: Tipo adquisicion: Entidad"</f>
        <v>Descripcion: MESA PARA IMPRESORA Estado: Bueno Placa anterior: 000000441 Material: MADERA Y FORMICA Color: CAFÉ Y NEGRO Referencia:  Observacion: MESA DE MADERA PARA IMPRESORA Placa padre: Tipo adquisicion: Entidad</v>
      </c>
      <c r="G10252" s="5"/>
    </row>
    <row r="10253" spans="1:7" ht="58.5" customHeight="1" x14ac:dyDescent="0.25">
      <c r="A10253" s="5" t="str">
        <f>"H0018616"</f>
        <v>H0018616</v>
      </c>
      <c r="B10253" s="5" t="str">
        <f>"BASCULA ADULTO"</f>
        <v>BASCULA ADULTO</v>
      </c>
      <c r="C10253" s="6">
        <v>69789</v>
      </c>
      <c r="D10253" s="5"/>
      <c r="E10253" s="5" t="str">
        <f t="shared" si="523"/>
        <v>ACTISALUD-GUSTAVO GOMEZ-ENDOSCOPIA</v>
      </c>
      <c r="F10253" s="5" t="str">
        <f>"Descripcion: BASCULA ADULTO DE PIE CON PLATAFORMA Estado: Bueno Placa anterior: 000005514 Material: METALICO Color: BEIGE Referencia:  Observacion:  Placa padre: Tipo adquisicion: Entidad"</f>
        <v>Descripcion: BASCULA ADULTO DE PIE CON PLATAFORMA Estado: Bueno Placa anterior: 000005514 Material: METALICO Color: BEIGE Referencia:  Observacion:  Placa padre: Tipo adquisicion: Entidad</v>
      </c>
      <c r="G10253" s="5" t="str">
        <f>"140 KG"</f>
        <v>140 KG</v>
      </c>
    </row>
    <row r="10254" spans="1:7" ht="58.5" customHeight="1" x14ac:dyDescent="0.25">
      <c r="A10254" s="5" t="str">
        <f>"H0020875"</f>
        <v>H0020875</v>
      </c>
      <c r="B10254" s="5" t="str">
        <f>"VITRINA DE 1 CUERPO"</f>
        <v>VITRINA DE 1 CUERPO</v>
      </c>
      <c r="C10254" s="6">
        <v>20790</v>
      </c>
      <c r="D10254" s="5"/>
      <c r="E10254" s="5" t="str">
        <f t="shared" si="523"/>
        <v>ACTISALUD-GUSTAVO GOMEZ-ENDOSCOPIA</v>
      </c>
      <c r="F10254" s="5" t="str">
        <f>"Descripcion:VITRINA DE UN CUERPO* CON VIDRIO* OXIDO Estado: Bueno Placa anterior: 000004138 Material: METALICO Color: GRIS Referencia:  Observacion:  Placa padre:  Tipo adquisicion : Entidad"</f>
        <v>Descripcion:VITRINA DE UN CUERPO* CON VIDRIO* OXIDO Estado: Bueno Placa anterior: 000004138 Material: METALICO Color: GRIS Referencia:  Observacion:  Placa padre:  Tipo adquisicion : Entidad</v>
      </c>
      <c r="G10254" s="5"/>
    </row>
    <row r="10255" spans="1:7" ht="58.5" customHeight="1" x14ac:dyDescent="0.25">
      <c r="A10255" s="5" t="str">
        <f>"H0021925"</f>
        <v>H0021925</v>
      </c>
      <c r="B10255" s="5" t="str">
        <f>"COMPUTADOR DE MESA"</f>
        <v>COMPUTADOR DE MESA</v>
      </c>
      <c r="C10255" s="6">
        <v>1940000</v>
      </c>
      <c r="D10255" s="5"/>
      <c r="E10255" s="5" t="str">
        <f t="shared" si="523"/>
        <v>ACTISALUD-GUSTAVO GOMEZ-ENDOSCOPIA</v>
      </c>
      <c r="F10255" s="5" t="str">
        <f>"Descripcion: COMPUTADOR CLON Estado: Bueno Placa anterior: 000032691 Material: METALICO Color: NEGRO Referencia: XCO320205 Observacion:  Placa anterior:, Placa nueva=H0021823, Descripcion:MOUSE USB, Serial:55853700386, Marca:GENIUS, Modelo:GM-03022P, Mate"&amp; "rial:PASTA, Color:NEGRO,  Referencia:, Placa anterior:000025036, Placa nueva=H0021926, Descripcion:MONITOR LCD, Serial:090761-12, Marca:LENOVO, Modelo:THINKVISION, Material:PASTA, Color:NEGRO,  Referencia:, Placa anterior:, Placa nueva=H0021822, Descripci"&amp; "on:TECLADO PARA PC, Serial:89P8322, Marca:IBM, Modelo:KB-0225, Material:PASTA, Color:NEGRO,  Referencia:0102885 Placa padre: Tipo adquisicion: Entidad"</f>
        <v>Descripcion: COMPUTADOR CLON Estado: Bueno Placa anterior: 000032691 Material: METALICO Color: NEGRO Referencia: XCO320205 Observacion:  Placa anterior:, Placa nueva=H0021823, Descripcion:MOUSE USB, Serial:55853700386, Marca:GENIUS, Modelo:GM-03022P, Material:PASTA, Color:NEGRO,  Referencia:, Placa anterior:000025036, Placa nueva=H0021926, Descripcion:MONITOR LCD, Serial:090761-12, Marca:LENOVO, Modelo:THINKVISION, Material:PASTA, Color:NEGRO,  Referencia:, Placa anterior:, Placa nueva=H0021822, Descripcion:TECLADO PARA PC, Serial:89P8322, Marca:IBM, Modelo:KB-0225, Material:PASTA, Color:NEGRO,  Referencia:0102885 Placa padre: Tipo adquisicion: Entidad</v>
      </c>
      <c r="G10255" s="5" t="str">
        <f>"PC002XCO32"</f>
        <v>PC002XCO32</v>
      </c>
    </row>
    <row r="10256" spans="1:7" ht="58.5" customHeight="1" x14ac:dyDescent="0.25">
      <c r="A10256" s="5" t="str">
        <f>"H0021926"</f>
        <v>H0021926</v>
      </c>
      <c r="B10256" s="5" t="str">
        <f>"MONITOR LCD"</f>
        <v>MONITOR LCD</v>
      </c>
      <c r="C10256" s="6">
        <v>659216</v>
      </c>
      <c r="D10256" s="5"/>
      <c r="E10256" s="5" t="str">
        <f t="shared" ref="E10256:E10287" si="524">"ACTISALUD-GUSTAVO GOMEZ-ENDOSCOPIA"</f>
        <v>ACTISALUD-GUSTAVO GOMEZ-ENDOSCOPIA</v>
      </c>
      <c r="F10256" s="5" t="str">
        <f>"Descripcion: MONITOR LCD Estado: Bueno Placa anterior: 000025036 Material: PASTA Color: NEGRO Referencia:  Observacion: AUTORIZADO CRUZAR POR SISTEMAS Placa padre: H0021925Tipo adquisicion: Entidad"</f>
        <v>Descripcion: MONITOR LCD Estado: Bueno Placa anterior: 000025036 Material: PASTA Color: NEGRO Referencia:  Observacion: AUTORIZADO CRUZAR POR SISTEMAS Placa padre: H0021925Tipo adquisicion: Entidad</v>
      </c>
      <c r="G10256" s="5" t="str">
        <f>"THINKVISION"</f>
        <v>THINKVISION</v>
      </c>
    </row>
    <row r="10257" spans="1:7" ht="58.5" customHeight="1" x14ac:dyDescent="0.25">
      <c r="A10257" s="5" t="str">
        <f>"H0022129"</f>
        <v>H0022129</v>
      </c>
      <c r="B1025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257" s="6">
        <v>241999.99</v>
      </c>
      <c r="D10257" s="5" t="s">
        <v>499</v>
      </c>
      <c r="E10257" s="5" t="str">
        <f t="shared" si="524"/>
        <v>ACTISALUD-GUSTAVO GOMEZ-ENDOSCOPIA</v>
      </c>
      <c r="F10257" s="5"/>
      <c r="G10257" s="5"/>
    </row>
    <row r="10258" spans="1:7" ht="58.5" customHeight="1" x14ac:dyDescent="0.25">
      <c r="A10258" s="5" t="str">
        <f>"H0022131"</f>
        <v>H0022131</v>
      </c>
      <c r="B1025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258" s="6">
        <v>241999.99</v>
      </c>
      <c r="D10258" s="5" t="s">
        <v>499</v>
      </c>
      <c r="E10258" s="5" t="str">
        <f t="shared" si="524"/>
        <v>ACTISALUD-GUSTAVO GOMEZ-ENDOSCOPIA</v>
      </c>
      <c r="F10258" s="5"/>
      <c r="G10258" s="5"/>
    </row>
    <row r="10259" spans="1:7" ht="58.5" customHeight="1" x14ac:dyDescent="0.25">
      <c r="A10259" s="5" t="str">
        <f>"H0022276"</f>
        <v>H0022276</v>
      </c>
      <c r="B10259" s="5" t="str">
        <f>"DESFRIBILADOR"</f>
        <v>DESFRIBILADOR</v>
      </c>
      <c r="C10259" s="6">
        <v>16657600</v>
      </c>
      <c r="D10259" s="5" t="s">
        <v>262</v>
      </c>
      <c r="E10259" s="5" t="str">
        <f t="shared" si="524"/>
        <v>ACTISALUD-GUSTAVO GOMEZ-ENDOSCOPIA</v>
      </c>
      <c r="F10259" s="5"/>
      <c r="G10259" s="5"/>
    </row>
    <row r="10260" spans="1:7" ht="58.5" customHeight="1" x14ac:dyDescent="0.25">
      <c r="A10260" s="5" t="str">
        <f>"H0022289"</f>
        <v>H0022289</v>
      </c>
      <c r="B10260" s="5" t="str">
        <f>"MONITOR DE SIGNOS VITALES"</f>
        <v>MONITOR DE SIGNOS VITALES</v>
      </c>
      <c r="C10260" s="6">
        <v>4756000</v>
      </c>
      <c r="D10260" s="5" t="s">
        <v>262</v>
      </c>
      <c r="E10260" s="5" t="str">
        <f t="shared" si="524"/>
        <v>ACTISALUD-GUSTAVO GOMEZ-ENDOSCOPIA</v>
      </c>
      <c r="F10260" s="5"/>
      <c r="G10260" s="5" t="str">
        <f>"M50"</f>
        <v>M50</v>
      </c>
    </row>
    <row r="10261" spans="1:7" ht="58.5" customHeight="1" x14ac:dyDescent="0.25">
      <c r="A10261" s="5" t="str">
        <f>"H0022798"</f>
        <v>H0022798</v>
      </c>
      <c r="B10261" s="5" t="str">
        <f>"MULTITOMA – REGLETA ELECTRICA"</f>
        <v>MULTITOMA – REGLETA ELECTRICA</v>
      </c>
      <c r="C10261" s="6">
        <v>3520</v>
      </c>
      <c r="D10261" s="5"/>
      <c r="E10261" s="5" t="str">
        <f t="shared" si="524"/>
        <v>ACTISALUD-GUSTAVO GOMEZ-ENDOSCOPIA</v>
      </c>
      <c r="F10261" s="5" t="str">
        <f>"Descripcion:MULTITOMA Estado: Bueno Placa anterior: 000027925 Material: PASTA Color: NEGRO Referencia:  Observacion:  Placa padre:  Tipo adquisicion : Entidad"</f>
        <v>Descripcion:MULTITOMA Estado: Bueno Placa anterior: 000027925 Material: PASTA Color: NEGRO Referencia:  Observacion:  Placa padre:  Tipo adquisicion : Entidad</v>
      </c>
      <c r="G10261" s="5"/>
    </row>
    <row r="10262" spans="1:7" ht="58.5" customHeight="1" x14ac:dyDescent="0.25">
      <c r="A10262" s="5" t="str">
        <f>"H0022799"</f>
        <v>H0022799</v>
      </c>
      <c r="B10262" s="5" t="str">
        <f>"CUBETA DE ACERO INOXIDABLE CON TAPA MEDIANA"</f>
        <v>CUBETA DE ACERO INOXIDABLE CON TAPA MEDIANA</v>
      </c>
      <c r="C10262" s="6">
        <v>46133.21</v>
      </c>
      <c r="D10262" s="5"/>
      <c r="E10262" s="5" t="str">
        <f t="shared" si="524"/>
        <v>ACTISALUD-GUSTAVO GOMEZ-ENDOSCOPIA</v>
      </c>
      <c r="F10262" s="5" t="str">
        <f>"Descripcion:CUBETA EN ACERO INOX.MEDIANA CON TAPA Estado: Bueno Placa anterior: 000025833 Material: ACERO INOXIDABLE Color: PLATEADO Referencia:  Observacion:  Placa padre:  Tipo adquisicion : Entidad"</f>
        <v>Descripcion:CUBETA EN ACERO INOX.MEDIANA CON TAPA Estado: Bueno Placa anterior: 000025833 Material: ACERO INOXIDABLE Color: PLATEADO Referencia:  Observacion:  Placa padre:  Tipo adquisicion : Entidad</v>
      </c>
      <c r="G10262" s="5"/>
    </row>
    <row r="10263" spans="1:7" ht="58.5" customHeight="1" x14ac:dyDescent="0.25">
      <c r="A10263" s="5" t="str">
        <f>"H0024605"</f>
        <v>H0024605</v>
      </c>
      <c r="B1026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263" s="6">
        <v>2600000</v>
      </c>
      <c r="D10263" s="5" t="s">
        <v>36</v>
      </c>
      <c r="E10263" s="5" t="str">
        <f t="shared" si="524"/>
        <v>ACTISALUD-GUSTAVO GOMEZ-ENDOSCOPIA</v>
      </c>
      <c r="F10263" s="5"/>
      <c r="G10263" s="5"/>
    </row>
    <row r="10264" spans="1:7" ht="58.5" customHeight="1" x14ac:dyDescent="0.25">
      <c r="A10264" s="5" t="str">
        <f>"H0024606"</f>
        <v>H0024606</v>
      </c>
      <c r="B10264"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264" s="6">
        <v>2600000</v>
      </c>
      <c r="D10264" s="5" t="s">
        <v>36</v>
      </c>
      <c r="E10264" s="5" t="str">
        <f t="shared" si="524"/>
        <v>ACTISALUD-GUSTAVO GOMEZ-ENDOSCOPIA</v>
      </c>
      <c r="F10264" s="5"/>
      <c r="G10264" s="5"/>
    </row>
    <row r="10265" spans="1:7" ht="58.5" customHeight="1" x14ac:dyDescent="0.25">
      <c r="A10265" s="5" t="str">
        <f>"H0024648"</f>
        <v>H0024648</v>
      </c>
      <c r="B10265" s="5" t="str">
        <f>"SUCCIONADOR (DONACION)"</f>
        <v>SUCCIONADOR (DONACION)</v>
      </c>
      <c r="C10265" s="6">
        <v>406000</v>
      </c>
      <c r="D10265" s="5" t="s">
        <v>64</v>
      </c>
      <c r="E10265" s="5" t="str">
        <f t="shared" si="524"/>
        <v>ACTISALUD-GUSTAVO GOMEZ-ENDOSCOPIA</v>
      </c>
      <c r="F10265" s="5"/>
      <c r="G10265" s="5"/>
    </row>
    <row r="10266" spans="1:7" ht="58.5" customHeight="1" x14ac:dyDescent="0.25">
      <c r="A10266" s="5" t="str">
        <f>"H0025064"</f>
        <v>H0025064</v>
      </c>
      <c r="B10266" s="5" t="str">
        <f>"LOCKER DE 6 COMPARTIMIENTOS"</f>
        <v>LOCKER DE 6 COMPARTIMIENTOS</v>
      </c>
      <c r="C10266" s="6">
        <v>481400</v>
      </c>
      <c r="D10266" s="5" t="s">
        <v>578</v>
      </c>
      <c r="E10266" s="5" t="str">
        <f t="shared" si="524"/>
        <v>ACTISALUD-GUSTAVO GOMEZ-ENDOSCOPIA</v>
      </c>
      <c r="F10266" s="5"/>
      <c r="G10266" s="5"/>
    </row>
    <row r="10267" spans="1:7" ht="58.5" customHeight="1" x14ac:dyDescent="0.25">
      <c r="A10267" s="5" t="str">
        <f>"H0025310"</f>
        <v>H0025310</v>
      </c>
      <c r="B1026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267" s="6">
        <v>312156</v>
      </c>
      <c r="D10267" s="5" t="s">
        <v>10</v>
      </c>
      <c r="E10267" s="5" t="str">
        <f t="shared" si="524"/>
        <v>ACTISALUD-GUSTAVO GOMEZ-ENDOSCOPIA</v>
      </c>
      <c r="F10267" s="5"/>
      <c r="G10267" s="5"/>
    </row>
    <row r="10268" spans="1:7" ht="58.5" customHeight="1" x14ac:dyDescent="0.25">
      <c r="A10268" s="5" t="str">
        <f>"H0025922"</f>
        <v>H0025922</v>
      </c>
      <c r="B10268" s="5" t="str">
        <f>"RX/FLUOROSCOPIO MOVIL ARCO EN C"</f>
        <v>RX/FLUOROSCOPIO MOVIL ARCO EN C</v>
      </c>
      <c r="C10268" s="6">
        <v>276080000</v>
      </c>
      <c r="D10268" s="5" t="s">
        <v>536</v>
      </c>
      <c r="E10268" s="5" t="str">
        <f t="shared" si="524"/>
        <v>ACTISALUD-GUSTAVO GOMEZ-ENDOSCOPIA</v>
      </c>
      <c r="F10268" s="5"/>
      <c r="G10268" s="5"/>
    </row>
    <row r="10269" spans="1:7" ht="58.5" customHeight="1" x14ac:dyDescent="0.25">
      <c r="A10269" s="5" t="str">
        <f>"H0026006"</f>
        <v>H0026006</v>
      </c>
      <c r="B10269" s="5" t="str">
        <f>"SILLA DE RUEDAS"</f>
        <v>SILLA DE RUEDAS</v>
      </c>
      <c r="C10269" s="6">
        <v>280000</v>
      </c>
      <c r="D10269" s="5" t="s">
        <v>77</v>
      </c>
      <c r="E10269" s="5" t="str">
        <f t="shared" si="524"/>
        <v>ACTISALUD-GUSTAVO GOMEZ-ENDOSCOPIA</v>
      </c>
      <c r="F10269" s="5"/>
      <c r="G10269" s="5"/>
    </row>
    <row r="10270" spans="1:7" ht="58.5" customHeight="1" x14ac:dyDescent="0.25">
      <c r="A10270" s="5" t="str">
        <f>"H0027127"</f>
        <v>H0027127</v>
      </c>
      <c r="B10270" s="5" t="str">
        <f>"SOPORTE DE PARED (BRAZO) PARA MONITOR DE SIGNOS VITALES CON ALTURA VARIABLE Y ORGANIZADOR DE CABLES"</f>
        <v>SOPORTE DE PARED (BRAZO) PARA MONITOR DE SIGNOS VITALES CON ALTURA VARIABLE Y ORGANIZADOR DE CABLES</v>
      </c>
      <c r="C10270" s="6">
        <v>702100</v>
      </c>
      <c r="D10270" s="5" t="s">
        <v>81</v>
      </c>
      <c r="E10270" s="5" t="str">
        <f t="shared" si="524"/>
        <v>ACTISALUD-GUSTAVO GOMEZ-ENDOSCOPIA</v>
      </c>
      <c r="F10270" s="5"/>
      <c r="G10270" s="5"/>
    </row>
    <row r="10271" spans="1:7" ht="58.5" customHeight="1" x14ac:dyDescent="0.25">
      <c r="A10271" s="5" t="str">
        <f>"H0027328"</f>
        <v>H0027328</v>
      </c>
      <c r="B10271" s="5" t="str">
        <f>"MANGO LITOTRIPTOR PARA CANASTILLA"</f>
        <v>MANGO LITOTRIPTOR PARA CANASTILLA</v>
      </c>
      <c r="C10271" s="6">
        <v>2700000</v>
      </c>
      <c r="D10271" s="5" t="s">
        <v>596</v>
      </c>
      <c r="E10271" s="5" t="str">
        <f t="shared" si="524"/>
        <v>ACTISALUD-GUSTAVO GOMEZ-ENDOSCOPIA</v>
      </c>
      <c r="F10271" s="5"/>
      <c r="G10271" s="5"/>
    </row>
    <row r="10272" spans="1:7" ht="58.5" customHeight="1" x14ac:dyDescent="0.25">
      <c r="A10272" s="5" t="str">
        <f>"H0027370"</f>
        <v>H0027370</v>
      </c>
      <c r="B10272" s="5" t="str">
        <f>"LECTOR DE HUELLAS DIGITALES"</f>
        <v>LECTOR DE HUELLAS DIGITALES</v>
      </c>
      <c r="C10272" s="6">
        <v>234000.41</v>
      </c>
      <c r="D10272" s="5" t="s">
        <v>83</v>
      </c>
      <c r="E10272" s="5" t="str">
        <f t="shared" si="524"/>
        <v>ACTISALUD-GUSTAVO GOMEZ-ENDOSCOPIA</v>
      </c>
      <c r="F10272" s="5"/>
      <c r="G10272" s="5"/>
    </row>
    <row r="10273" spans="1:7" ht="58.5" customHeight="1" x14ac:dyDescent="0.25">
      <c r="A10273" s="5" t="str">
        <f>"H0027371"</f>
        <v>H0027371</v>
      </c>
      <c r="B10273" s="5" t="str">
        <f>"LECTOR DE HUELLAS DIGITALES"</f>
        <v>LECTOR DE HUELLAS DIGITALES</v>
      </c>
      <c r="C10273" s="6">
        <v>234000.41</v>
      </c>
      <c r="D10273" s="5" t="s">
        <v>83</v>
      </c>
      <c r="E10273" s="5" t="str">
        <f t="shared" si="524"/>
        <v>ACTISALUD-GUSTAVO GOMEZ-ENDOSCOPIA</v>
      </c>
      <c r="F10273" s="5"/>
      <c r="G10273" s="5"/>
    </row>
    <row r="10274" spans="1:7" ht="58.5" customHeight="1" x14ac:dyDescent="0.25">
      <c r="A10274" s="5" t="str">
        <f>"H0027395"</f>
        <v>H0027395</v>
      </c>
      <c r="B10274" s="5" t="str">
        <f>"CAMILLA RECUPERACIÓN Y TTE FIJA BAROSALA"</f>
        <v>CAMILLA RECUPERACIÓN Y TTE FIJA BAROSALA</v>
      </c>
      <c r="C10274" s="6">
        <v>1781083</v>
      </c>
      <c r="D10274" s="5" t="s">
        <v>84</v>
      </c>
      <c r="E10274" s="5" t="str">
        <f t="shared" si="524"/>
        <v>ACTISALUD-GUSTAVO GOMEZ-ENDOSCOPIA</v>
      </c>
      <c r="F10274" s="5"/>
      <c r="G10274" s="5"/>
    </row>
    <row r="10275" spans="1:7" ht="58.5" customHeight="1" x14ac:dyDescent="0.25">
      <c r="A10275" s="5" t="str">
        <f>"H0027602"</f>
        <v>H0027602</v>
      </c>
      <c r="B10275" s="5" t="str">
        <f>"LARINGOSCOPIO ADULTO"</f>
        <v>LARINGOSCOPIO ADULTO</v>
      </c>
      <c r="C10275" s="6">
        <v>913920</v>
      </c>
      <c r="D10275" s="5" t="s">
        <v>84</v>
      </c>
      <c r="E10275" s="5" t="str">
        <f t="shared" si="524"/>
        <v>ACTISALUD-GUSTAVO GOMEZ-ENDOSCOPIA</v>
      </c>
      <c r="F10275" s="5"/>
      <c r="G10275" s="5"/>
    </row>
    <row r="10276" spans="1:7" ht="58.5" customHeight="1" x14ac:dyDescent="0.25">
      <c r="A10276" s="5" t="str">
        <f>"H0028306"</f>
        <v>H0028306</v>
      </c>
      <c r="B10276" s="5" t="str">
        <f>"DELANTAL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10276" s="6">
        <v>904995</v>
      </c>
      <c r="D10276" s="5" t="s">
        <v>307</v>
      </c>
      <c r="E10276" s="5" t="str">
        <f t="shared" si="524"/>
        <v>ACTISALUD-GUSTAVO GOMEZ-ENDOSCOPIA</v>
      </c>
      <c r="F10276" s="5"/>
      <c r="G10276" s="5"/>
    </row>
    <row r="10277" spans="1:7" ht="58.5" customHeight="1" x14ac:dyDescent="0.25">
      <c r="A10277" s="5" t="str">
        <f>"H0028307"</f>
        <v>H0028307</v>
      </c>
      <c r="B10277" s="5" t="str">
        <f>"DELANTAL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10277" s="6">
        <v>904995</v>
      </c>
      <c r="D10277" s="5" t="s">
        <v>307</v>
      </c>
      <c r="E10277" s="5" t="str">
        <f t="shared" si="524"/>
        <v>ACTISALUD-GUSTAVO GOMEZ-ENDOSCOPIA</v>
      </c>
      <c r="F10277" s="5"/>
      <c r="G10277" s="5"/>
    </row>
    <row r="10278" spans="1:7" ht="58.5" customHeight="1" x14ac:dyDescent="0.25">
      <c r="A10278" s="5" t="str">
        <f>"H0028308"</f>
        <v>H0028308</v>
      </c>
      <c r="B10278" s="5" t="str">
        <f>"DELANTAL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10278" s="6">
        <v>904995</v>
      </c>
      <c r="D10278" s="5" t="s">
        <v>307</v>
      </c>
      <c r="E10278" s="5" t="str">
        <f t="shared" si="524"/>
        <v>ACTISALUD-GUSTAVO GOMEZ-ENDOSCOPIA</v>
      </c>
      <c r="F10278" s="5"/>
      <c r="G10278" s="5"/>
    </row>
    <row r="10279" spans="1:7" ht="58.5" customHeight="1" x14ac:dyDescent="0.25">
      <c r="A10279" s="5" t="str">
        <f>"H0028309"</f>
        <v>H0028309</v>
      </c>
      <c r="B10279" s="5" t="str">
        <f>"DELANTAL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10279" s="6">
        <v>904995</v>
      </c>
      <c r="D10279" s="5" t="s">
        <v>307</v>
      </c>
      <c r="E10279" s="5" t="str">
        <f t="shared" si="524"/>
        <v>ACTISALUD-GUSTAVO GOMEZ-ENDOSCOPIA</v>
      </c>
      <c r="F10279" s="5"/>
      <c r="G10279" s="5"/>
    </row>
    <row r="10280" spans="1:7" ht="58.5" customHeight="1" x14ac:dyDescent="0.25">
      <c r="A10280" s="5" t="str">
        <f>"H0028310"</f>
        <v>H0028310</v>
      </c>
      <c r="B10280" s="5" t="str">
        <f>"DELANTAL ESTANDAR TALLA S – M (Utilice un diseño de alta calidad para facilitar la flexibilidad y la comodidad, así como una protección completa de equivalencia de 0,5 mm. Su diseño único reduce el peso y la fatiga)"</f>
        <v>DELANTAL ESTANDAR TALLA S – M (Utilice un diseño de alta calidad para facilitar la flexibilidad y la comodidad, así como una protección completa de equivalencia de 0,5 mm. Su diseño único reduce el peso y la fatiga)</v>
      </c>
      <c r="C10280" s="6">
        <v>904995</v>
      </c>
      <c r="D10280" s="5" t="s">
        <v>307</v>
      </c>
      <c r="E10280" s="5" t="str">
        <f t="shared" si="524"/>
        <v>ACTISALUD-GUSTAVO GOMEZ-ENDOSCOPIA</v>
      </c>
      <c r="F10280" s="5"/>
      <c r="G10280" s="5"/>
    </row>
    <row r="10281" spans="1:7" ht="58.5" customHeight="1" x14ac:dyDescent="0.25">
      <c r="A10281" s="5" t="str">
        <f>"H0028336"</f>
        <v>H0028336</v>
      </c>
      <c r="B10281" s="5" t="str">
        <f>"COLLAR DE TIROIDES TALLA S (#TC520, equivalencia de plomo de 0,5mm, cómodo cierre de velcro)"</f>
        <v>COLLAR DE TIROIDES TALLA S (#TC520, equivalencia de plomo de 0,5mm, cómodo cierre de velcro)</v>
      </c>
      <c r="C10281" s="6">
        <v>249275.27</v>
      </c>
      <c r="D10281" s="5" t="s">
        <v>307</v>
      </c>
      <c r="E10281" s="5" t="str">
        <f t="shared" si="524"/>
        <v>ACTISALUD-GUSTAVO GOMEZ-ENDOSCOPIA</v>
      </c>
      <c r="F10281" s="5"/>
      <c r="G10281" s="5"/>
    </row>
    <row r="10282" spans="1:7" ht="58.5" customHeight="1" x14ac:dyDescent="0.25">
      <c r="A10282" s="5" t="str">
        <f>"H0028337"</f>
        <v>H0028337</v>
      </c>
      <c r="B10282" s="5" t="str">
        <f>"COLLAR DE TIROIDES TALLA S (#TC520, equivalencia de plomo de 0,5mm, cómodo cierre de velcro)"</f>
        <v>COLLAR DE TIROIDES TALLA S (#TC520, equivalencia de plomo de 0,5mm, cómodo cierre de velcro)</v>
      </c>
      <c r="C10282" s="6">
        <v>249275.27</v>
      </c>
      <c r="D10282" s="5" t="s">
        <v>307</v>
      </c>
      <c r="E10282" s="5" t="str">
        <f t="shared" si="524"/>
        <v>ACTISALUD-GUSTAVO GOMEZ-ENDOSCOPIA</v>
      </c>
      <c r="F10282" s="5"/>
      <c r="G10282" s="5"/>
    </row>
    <row r="10283" spans="1:7" ht="58.5" customHeight="1" x14ac:dyDescent="0.25">
      <c r="A10283" s="5" t="str">
        <f>"H0028338"</f>
        <v>H0028338</v>
      </c>
      <c r="B10283" s="5" t="str">
        <f>"COLLAR DE TIROIDES TALLA S (#TC520, equivalencia de plomo de 0,5mm, cómodo cierre de velcro)"</f>
        <v>COLLAR DE TIROIDES TALLA S (#TC520, equivalencia de plomo de 0,5mm, cómodo cierre de velcro)</v>
      </c>
      <c r="C10283" s="6">
        <v>249275.27</v>
      </c>
      <c r="D10283" s="5" t="s">
        <v>307</v>
      </c>
      <c r="E10283" s="5" t="str">
        <f t="shared" si="524"/>
        <v>ACTISALUD-GUSTAVO GOMEZ-ENDOSCOPIA</v>
      </c>
      <c r="F10283" s="5"/>
      <c r="G10283" s="5"/>
    </row>
    <row r="10284" spans="1:7" ht="58.5" customHeight="1" x14ac:dyDescent="0.25">
      <c r="A10284" s="5" t="str">
        <f>"H0028339"</f>
        <v>H0028339</v>
      </c>
      <c r="B10284" s="5" t="str">
        <f>"COLLAR DE TIROIDES TALLA S (#TC520, equivalencia de plomo de 0,5mm, cómodo cierre de velcro)"</f>
        <v>COLLAR DE TIROIDES TALLA S (#TC520, equivalencia de plomo de 0,5mm, cómodo cierre de velcro)</v>
      </c>
      <c r="C10284" s="6">
        <v>249275.27</v>
      </c>
      <c r="D10284" s="5" t="s">
        <v>307</v>
      </c>
      <c r="E10284" s="5" t="str">
        <f t="shared" si="524"/>
        <v>ACTISALUD-GUSTAVO GOMEZ-ENDOSCOPIA</v>
      </c>
      <c r="F10284" s="5"/>
      <c r="G10284" s="5"/>
    </row>
    <row r="10285" spans="1:7" ht="58.5" customHeight="1" x14ac:dyDescent="0.25">
      <c r="A10285" s="5" t="str">
        <f>"H0028340"</f>
        <v>H0028340</v>
      </c>
      <c r="B10285" s="5" t="str">
        <f>"COLLAR DE TIROIDES TALLA S (#TC520, equivalencia de plomo de 0,5mm, cómodo cierre de velcro)"</f>
        <v>COLLAR DE TIROIDES TALLA S (#TC520, equivalencia de plomo de 0,5mm, cómodo cierre de velcro)</v>
      </c>
      <c r="C10285" s="6">
        <v>249275.27</v>
      </c>
      <c r="D10285" s="5" t="s">
        <v>307</v>
      </c>
      <c r="E10285" s="5" t="str">
        <f t="shared" si="524"/>
        <v>ACTISALUD-GUSTAVO GOMEZ-ENDOSCOPIA</v>
      </c>
      <c r="F10285" s="5"/>
      <c r="G10285" s="5"/>
    </row>
    <row r="10286" spans="1:7" ht="58.5" customHeight="1" x14ac:dyDescent="0.25">
      <c r="A10286" s="5" t="str">
        <f>"H0028603"</f>
        <v>H0028603</v>
      </c>
      <c r="B10286" s="5" t="str">
        <f>"MÓDULO WIRELESS (CON 1 SIRENA 45W Y BATERÍA)"</f>
        <v>MÓDULO WIRELESS (CON 1 SIRENA 45W Y BATERÍA)</v>
      </c>
      <c r="C10286" s="6">
        <v>728280</v>
      </c>
      <c r="D10286" s="5" t="s">
        <v>87</v>
      </c>
      <c r="E10286" s="5" t="str">
        <f t="shared" si="524"/>
        <v>ACTISALUD-GUSTAVO GOMEZ-ENDOSCOPIA</v>
      </c>
      <c r="F10286" s="5"/>
      <c r="G10286" s="5"/>
    </row>
    <row r="10287" spans="1:7" ht="58.5" customHeight="1" x14ac:dyDescent="0.25">
      <c r="A10287" s="5" t="str">
        <f>"H0028615"</f>
        <v>H0028615</v>
      </c>
      <c r="B10287" s="5" t="str">
        <f>"BALIZA ROTATIVA WIRELESS LUZ EMERGENCIA"</f>
        <v>BALIZA ROTATIVA WIRELESS LUZ EMERGENCIA</v>
      </c>
      <c r="C10287" s="6">
        <v>238000</v>
      </c>
      <c r="D10287" s="5" t="s">
        <v>87</v>
      </c>
      <c r="E10287" s="5" t="str">
        <f t="shared" si="524"/>
        <v>ACTISALUD-GUSTAVO GOMEZ-ENDOSCOPIA</v>
      </c>
      <c r="F10287" s="5"/>
      <c r="G10287" s="5"/>
    </row>
    <row r="10288" spans="1:7" ht="58.5" customHeight="1" x14ac:dyDescent="0.25">
      <c r="A10288" s="5" t="str">
        <f>"H0028629"</f>
        <v>H0028629</v>
      </c>
      <c r="B10288" s="5" t="str">
        <f>"BOTÓN DE EMERGENCIA PÁNICO SOS FIJO WIRELESS"</f>
        <v>BOTÓN DE EMERGENCIA PÁNICO SOS FIJO WIRELESS</v>
      </c>
      <c r="C10288" s="6">
        <v>297500</v>
      </c>
      <c r="D10288" s="5" t="s">
        <v>87</v>
      </c>
      <c r="E10288" s="5" t="str">
        <f t="shared" ref="E10288:E10319" si="525">"ACTISALUD-GUSTAVO GOMEZ-ENDOSCOPIA"</f>
        <v>ACTISALUD-GUSTAVO GOMEZ-ENDOSCOPIA</v>
      </c>
      <c r="F10288" s="5"/>
      <c r="G10288" s="5"/>
    </row>
    <row r="10289" spans="1:7" ht="58.5" customHeight="1" x14ac:dyDescent="0.25">
      <c r="A10289" s="5" t="str">
        <f>"H0028630"</f>
        <v>H0028630</v>
      </c>
      <c r="B10289" s="5" t="str">
        <f>"BOTÓN DE EMERGENCIA PÁNICO SOS FIJO WIRELESS"</f>
        <v>BOTÓN DE EMERGENCIA PÁNICO SOS FIJO WIRELESS</v>
      </c>
      <c r="C10289" s="6">
        <v>297500</v>
      </c>
      <c r="D10289" s="5" t="s">
        <v>87</v>
      </c>
      <c r="E10289" s="5" t="str">
        <f t="shared" si="525"/>
        <v>ACTISALUD-GUSTAVO GOMEZ-ENDOSCOPIA</v>
      </c>
      <c r="F10289" s="5"/>
      <c r="G10289" s="5"/>
    </row>
    <row r="10290" spans="1:7" ht="58.5" customHeight="1" x14ac:dyDescent="0.25">
      <c r="A10290" s="5" t="str">
        <f>"H0028664"</f>
        <v>H0028664</v>
      </c>
      <c r="B10290" s="5" t="str">
        <f>"BOTÓN DE EMERGENCIA PÁNICO SOS MÓVIL WIRELESS"</f>
        <v>BOTÓN DE EMERGENCIA PÁNICO SOS MÓVIL WIRELESS</v>
      </c>
      <c r="C10290" s="6">
        <v>47600</v>
      </c>
      <c r="D10290" s="5" t="s">
        <v>87</v>
      </c>
      <c r="E10290" s="5" t="str">
        <f t="shared" si="525"/>
        <v>ACTISALUD-GUSTAVO GOMEZ-ENDOSCOPIA</v>
      </c>
      <c r="F10290" s="5"/>
      <c r="G10290" s="5"/>
    </row>
    <row r="10291" spans="1:7" ht="58.5" customHeight="1" x14ac:dyDescent="0.25">
      <c r="A10291" s="5" t="str">
        <f>"H0028691"</f>
        <v>H0028691</v>
      </c>
      <c r="B10291" s="5" t="str">
        <f>"LÁMPARA RECARGABLE DE EMERGENCIA 60 BOMBILLOS LED LUZ BLANCA"</f>
        <v>LÁMPARA RECARGABLE DE EMERGENCIA 60 BOMBILLOS LED LUZ BLANCA</v>
      </c>
      <c r="C10291" s="6">
        <v>255850</v>
      </c>
      <c r="D10291" s="5" t="s">
        <v>87</v>
      </c>
      <c r="E10291" s="5" t="str">
        <f t="shared" si="525"/>
        <v>ACTISALUD-GUSTAVO GOMEZ-ENDOSCOPIA</v>
      </c>
      <c r="F10291" s="5"/>
      <c r="G10291" s="5"/>
    </row>
    <row r="10292" spans="1:7" ht="58.5" customHeight="1" x14ac:dyDescent="0.25">
      <c r="A10292" s="5" t="str">
        <f>"H0028692"</f>
        <v>H0028692</v>
      </c>
      <c r="B10292" s="5" t="str">
        <f>"LÁMPARA RECARGABLE DE EMERGENCIA 60 BOMBILLOS LED LUZ BLANCA"</f>
        <v>LÁMPARA RECARGABLE DE EMERGENCIA 60 BOMBILLOS LED LUZ BLANCA</v>
      </c>
      <c r="C10292" s="6">
        <v>255850</v>
      </c>
      <c r="D10292" s="5" t="s">
        <v>87</v>
      </c>
      <c r="E10292" s="5" t="str">
        <f t="shared" si="525"/>
        <v>ACTISALUD-GUSTAVO GOMEZ-ENDOSCOPIA</v>
      </c>
      <c r="F10292" s="5"/>
      <c r="G10292" s="5"/>
    </row>
    <row r="10293" spans="1:7" ht="58.5" customHeight="1" x14ac:dyDescent="0.25">
      <c r="A10293" s="5" t="str">
        <f>"h0028839"</f>
        <v>h0028839</v>
      </c>
      <c r="B10293" s="5" t="str">
        <f>"SILLA HERGONOMICA CON SISTEMA HIDRAULICO"</f>
        <v>SILLA HERGONOMICA CON SISTEMA HIDRAULICO</v>
      </c>
      <c r="C10293" s="6">
        <v>174900</v>
      </c>
      <c r="D10293" s="5" t="s">
        <v>40</v>
      </c>
      <c r="E10293" s="5" t="str">
        <f t="shared" si="525"/>
        <v>ACTISALUD-GUSTAVO GOMEZ-ENDOSCOPIA</v>
      </c>
      <c r="F10293" s="5"/>
      <c r="G10293" s="5"/>
    </row>
    <row r="10294" spans="1:7" ht="58.5" customHeight="1" x14ac:dyDescent="0.25">
      <c r="A10294" s="5" t="str">
        <f>"H0028870"</f>
        <v>H0028870</v>
      </c>
      <c r="B10294" s="5" t="str">
        <f>"SILLA HERGONOMICA CON SISTEMA HIDRAULICO"</f>
        <v>SILLA HERGONOMICA CON SISTEMA HIDRAULICO</v>
      </c>
      <c r="C10294" s="6">
        <v>174900</v>
      </c>
      <c r="D10294" s="5" t="s">
        <v>40</v>
      </c>
      <c r="E10294" s="5" t="str">
        <f t="shared" si="525"/>
        <v>ACTISALUD-GUSTAVO GOMEZ-ENDOSCOPIA</v>
      </c>
      <c r="F10294" s="5"/>
      <c r="G10294" s="5"/>
    </row>
    <row r="10295" spans="1:7" ht="58.5" customHeight="1" x14ac:dyDescent="0.25">
      <c r="A10295" s="5" t="str">
        <f>"H0028919"</f>
        <v>H0028919</v>
      </c>
      <c r="B10295" s="5" t="str">
        <f>"SILLA HERGONOMICA CON SISTEMA HIDRAULICO"</f>
        <v>SILLA HERGONOMICA CON SISTEMA HIDRAULICO</v>
      </c>
      <c r="C10295" s="6">
        <v>174900</v>
      </c>
      <c r="D10295" s="5" t="s">
        <v>40</v>
      </c>
      <c r="E10295" s="5" t="str">
        <f t="shared" si="525"/>
        <v>ACTISALUD-GUSTAVO GOMEZ-ENDOSCOPIA</v>
      </c>
      <c r="F10295" s="5"/>
      <c r="G10295" s="5"/>
    </row>
    <row r="10296" spans="1:7" ht="58.5" customHeight="1" x14ac:dyDescent="0.25">
      <c r="A10296" s="5" t="str">
        <f>"H0029050"</f>
        <v>H0029050</v>
      </c>
      <c r="B10296" s="5" t="str">
        <f>"SOPORTE PEDESTAL METALICO ELECTROCARDIOGRAFO COMPATIBLE CON EDAN OTRAS MARCAS"</f>
        <v>SOPORTE PEDESTAL METALICO ELECTROCARDIOGRAFO COMPATIBLE CON EDAN OTRAS MARCAS</v>
      </c>
      <c r="C10296" s="6">
        <v>730303</v>
      </c>
      <c r="D10296" s="5" t="s">
        <v>88</v>
      </c>
      <c r="E10296" s="5" t="str">
        <f t="shared" si="525"/>
        <v>ACTISALUD-GUSTAVO GOMEZ-ENDOSCOPIA</v>
      </c>
      <c r="F10296" s="5"/>
      <c r="G10296" s="5"/>
    </row>
    <row r="10297" spans="1:7" ht="58.5" customHeight="1" x14ac:dyDescent="0.25">
      <c r="A10297" s="5" t="str">
        <f>"H0029051"</f>
        <v>H0029051</v>
      </c>
      <c r="B10297" s="5" t="str">
        <f>"SOPORTE PEDESTAL METALICO ELECTROCARDIOGRAFO COMPATIBLE CON EDAN OTRAS MARCAS"</f>
        <v>SOPORTE PEDESTAL METALICO ELECTROCARDIOGRAFO COMPATIBLE CON EDAN OTRAS MARCAS</v>
      </c>
      <c r="C10297" s="6">
        <v>730303</v>
      </c>
      <c r="D10297" s="5" t="s">
        <v>88</v>
      </c>
      <c r="E10297" s="5" t="str">
        <f t="shared" si="525"/>
        <v>ACTISALUD-GUSTAVO GOMEZ-ENDOSCOPIA</v>
      </c>
      <c r="F10297" s="5"/>
      <c r="G10297" s="5"/>
    </row>
    <row r="10298" spans="1:7" ht="58.5" customHeight="1" x14ac:dyDescent="0.25">
      <c r="A10298" s="5" t="str">
        <f>"H0029116"</f>
        <v>H0029116</v>
      </c>
      <c r="B10298" s="5" t="str">
        <f>"MESA RIÑONERA"</f>
        <v>MESA RIÑONERA</v>
      </c>
      <c r="C10298" s="6">
        <v>784221.91</v>
      </c>
      <c r="D10298" s="5" t="s">
        <v>13</v>
      </c>
      <c r="E10298" s="5" t="str">
        <f t="shared" si="525"/>
        <v>ACTISALUD-GUSTAVO GOMEZ-ENDOSCOPIA</v>
      </c>
      <c r="F10298" s="5"/>
      <c r="G10298" s="5" t="str">
        <f>"M174"</f>
        <v>M174</v>
      </c>
    </row>
    <row r="10299" spans="1:7" ht="58.5" customHeight="1" x14ac:dyDescent="0.25">
      <c r="A10299" s="5" t="str">
        <f>"H0029117"</f>
        <v>H0029117</v>
      </c>
      <c r="B10299" s="5" t="str">
        <f>"MESA RIÑONERA"</f>
        <v>MESA RIÑONERA</v>
      </c>
      <c r="C10299" s="6">
        <v>784221.91</v>
      </c>
      <c r="D10299" s="5" t="s">
        <v>13</v>
      </c>
      <c r="E10299" s="5" t="str">
        <f t="shared" si="525"/>
        <v>ACTISALUD-GUSTAVO GOMEZ-ENDOSCOPIA</v>
      </c>
      <c r="F10299" s="5"/>
      <c r="G10299" s="5" t="str">
        <f>"M174"</f>
        <v>M174</v>
      </c>
    </row>
    <row r="10300" spans="1:7" ht="58.5" customHeight="1" x14ac:dyDescent="0.25">
      <c r="A10300" s="5" t="str">
        <f>"H0029120"</f>
        <v>H0029120</v>
      </c>
      <c r="B10300" s="5" t="str">
        <f>"MESA RIÑONERA"</f>
        <v>MESA RIÑONERA</v>
      </c>
      <c r="C10300" s="6">
        <v>784221.91</v>
      </c>
      <c r="D10300" s="5" t="s">
        <v>13</v>
      </c>
      <c r="E10300" s="5" t="str">
        <f t="shared" si="525"/>
        <v>ACTISALUD-GUSTAVO GOMEZ-ENDOSCOPIA</v>
      </c>
      <c r="F10300" s="5"/>
      <c r="G10300" s="5" t="str">
        <f>"M174"</f>
        <v>M174</v>
      </c>
    </row>
    <row r="10301" spans="1:7" ht="58.5" customHeight="1" x14ac:dyDescent="0.25">
      <c r="A10301" s="5" t="str">
        <f>"H0029196"</f>
        <v>H0029196</v>
      </c>
      <c r="B10301" s="5" t="str">
        <f>"MONITOR DE SIGNOS VITALES"</f>
        <v>MONITOR DE SIGNOS VITALES</v>
      </c>
      <c r="C10301" s="6">
        <v>5950000</v>
      </c>
      <c r="D10301" s="5" t="s">
        <v>13</v>
      </c>
      <c r="E10301" s="5" t="str">
        <f t="shared" si="525"/>
        <v>ACTISALUD-GUSTAVO GOMEZ-ENDOSCOPIA</v>
      </c>
      <c r="F10301" s="5"/>
      <c r="G10301" s="5"/>
    </row>
    <row r="10302" spans="1:7" ht="58.5" customHeight="1" x14ac:dyDescent="0.25">
      <c r="A10302" s="5" t="str">
        <f>"H0029198"</f>
        <v>H0029198</v>
      </c>
      <c r="B10302" s="5" t="str">
        <f>"MONITOR DE SIGNOS VITALES"</f>
        <v>MONITOR DE SIGNOS VITALES</v>
      </c>
      <c r="C10302" s="6">
        <v>5950000</v>
      </c>
      <c r="D10302" s="5" t="s">
        <v>13</v>
      </c>
      <c r="E10302" s="5" t="str">
        <f t="shared" si="525"/>
        <v>ACTISALUD-GUSTAVO GOMEZ-ENDOSCOPIA</v>
      </c>
      <c r="F10302" s="5"/>
      <c r="G10302" s="5"/>
    </row>
    <row r="10303" spans="1:7" ht="58.5" customHeight="1" x14ac:dyDescent="0.25">
      <c r="A10303" s="5" t="str">
        <f>"H0029302"</f>
        <v>H0029302</v>
      </c>
      <c r="B10303" s="5" t="str">
        <f>"SILLA HERGONOMICA CON SISTEMA HIDRAULICO"</f>
        <v>SILLA HERGONOMICA CON SISTEMA HIDRAULICO</v>
      </c>
      <c r="C10303" s="6">
        <v>174900</v>
      </c>
      <c r="D10303" s="5" t="s">
        <v>89</v>
      </c>
      <c r="E10303" s="5" t="str">
        <f t="shared" si="525"/>
        <v>ACTISALUD-GUSTAVO GOMEZ-ENDOSCOPIA</v>
      </c>
      <c r="F10303" s="5"/>
      <c r="G10303" s="5"/>
    </row>
    <row r="10304" spans="1:7" ht="58.5" customHeight="1" x14ac:dyDescent="0.25">
      <c r="A10304" s="5" t="str">
        <f>"H0029303"</f>
        <v>H0029303</v>
      </c>
      <c r="B10304" s="5" t="str">
        <f>"SILLA HERGONOMICA CON SISTEMA HIDRAULICO"</f>
        <v>SILLA HERGONOMICA CON SISTEMA HIDRAULICO</v>
      </c>
      <c r="C10304" s="6">
        <v>174900</v>
      </c>
      <c r="D10304" s="5" t="s">
        <v>89</v>
      </c>
      <c r="E10304" s="5" t="str">
        <f t="shared" si="525"/>
        <v>ACTISALUD-GUSTAVO GOMEZ-ENDOSCOPIA</v>
      </c>
      <c r="F10304" s="5"/>
      <c r="G10304" s="5"/>
    </row>
    <row r="10305" spans="1:7" ht="58.5" customHeight="1" x14ac:dyDescent="0.25">
      <c r="A10305" s="5" t="str">
        <f>"H0029385"</f>
        <v>H0029385</v>
      </c>
      <c r="B10305" s="5" t="str">
        <f>"SILLA HERGONOMICA CON SISTEMA HIDRAULICO"</f>
        <v>SILLA HERGONOMICA CON SISTEMA HIDRAULICO</v>
      </c>
      <c r="C10305" s="6">
        <v>174900</v>
      </c>
      <c r="D10305" s="5" t="s">
        <v>89</v>
      </c>
      <c r="E10305" s="5" t="str">
        <f t="shared" si="525"/>
        <v>ACTISALUD-GUSTAVO GOMEZ-ENDOSCOPIA</v>
      </c>
      <c r="F10305" s="5"/>
      <c r="G10305" s="5"/>
    </row>
    <row r="10306" spans="1:7" ht="58.5" customHeight="1" x14ac:dyDescent="0.25">
      <c r="A10306" s="5" t="str">
        <f>"H0029643"</f>
        <v>H0029643</v>
      </c>
      <c r="B10306" s="5" t="s">
        <v>94</v>
      </c>
      <c r="C10306" s="6">
        <v>148999.9</v>
      </c>
      <c r="D10306" s="5" t="s">
        <v>93</v>
      </c>
      <c r="E10306" s="5" t="str">
        <f t="shared" si="525"/>
        <v>ACTISALUD-GUSTAVO GOMEZ-ENDOSCOPIA</v>
      </c>
      <c r="F10306" s="5"/>
      <c r="G10306" s="5"/>
    </row>
    <row r="10307" spans="1:7" ht="58.5" customHeight="1" x14ac:dyDescent="0.25">
      <c r="A10307" s="5" t="str">
        <f>"H0029644"</f>
        <v>H0029644</v>
      </c>
      <c r="B10307" s="5" t="s">
        <v>94</v>
      </c>
      <c r="C10307" s="6">
        <v>148999.9</v>
      </c>
      <c r="D10307" s="5" t="s">
        <v>93</v>
      </c>
      <c r="E10307" s="5" t="str">
        <f t="shared" si="525"/>
        <v>ACTISALUD-GUSTAVO GOMEZ-ENDOSCOPIA</v>
      </c>
      <c r="F10307" s="5"/>
      <c r="G10307" s="5"/>
    </row>
    <row r="10308" spans="1:7" ht="58.5" customHeight="1" x14ac:dyDescent="0.25">
      <c r="A10308" s="5" t="str">
        <f>"H0029645"</f>
        <v>H0029645</v>
      </c>
      <c r="B10308" s="5" t="s">
        <v>94</v>
      </c>
      <c r="C10308" s="6">
        <v>148999.9</v>
      </c>
      <c r="D10308" s="5" t="s">
        <v>93</v>
      </c>
      <c r="E10308" s="5" t="str">
        <f t="shared" si="525"/>
        <v>ACTISALUD-GUSTAVO GOMEZ-ENDOSCOPIA</v>
      </c>
      <c r="F10308" s="5"/>
      <c r="G10308" s="5"/>
    </row>
    <row r="10309" spans="1:7" ht="58.5" customHeight="1" x14ac:dyDescent="0.25">
      <c r="A10309" s="5" t="str">
        <f>"H0029646"</f>
        <v>H0029646</v>
      </c>
      <c r="B10309" s="5" t="s">
        <v>94</v>
      </c>
      <c r="C10309" s="6">
        <v>148999.9</v>
      </c>
      <c r="D10309" s="5" t="s">
        <v>93</v>
      </c>
      <c r="E10309" s="5" t="str">
        <f t="shared" si="525"/>
        <v>ACTISALUD-GUSTAVO GOMEZ-ENDOSCOPIA</v>
      </c>
      <c r="F10309" s="5"/>
      <c r="G10309" s="5"/>
    </row>
    <row r="10310" spans="1:7" ht="58.5" customHeight="1" x14ac:dyDescent="0.25">
      <c r="A10310" s="5" t="str">
        <f>"H0029647"</f>
        <v>H0029647</v>
      </c>
      <c r="B10310" s="5" t="s">
        <v>94</v>
      </c>
      <c r="C10310" s="6">
        <v>148999.9</v>
      </c>
      <c r="D10310" s="5" t="s">
        <v>93</v>
      </c>
      <c r="E10310" s="5" t="str">
        <f t="shared" si="525"/>
        <v>ACTISALUD-GUSTAVO GOMEZ-ENDOSCOPIA</v>
      </c>
      <c r="F10310" s="5"/>
      <c r="G10310" s="5"/>
    </row>
    <row r="10311" spans="1:7" ht="58.5" customHeight="1" x14ac:dyDescent="0.25">
      <c r="A10311" s="5" t="str">
        <f>"H0030215"</f>
        <v>H0030215</v>
      </c>
      <c r="B10311" s="5" t="str">
        <f>"Tarjeta Video USB Avermedia EZmaker (entrada Video y S-Video). Analog to Digital Recorder"</f>
        <v>Tarjeta Video USB Avermedia EZmaker (entrada Video y S-Video). Analog to Digital Recorder</v>
      </c>
      <c r="C10311" s="6">
        <v>448630</v>
      </c>
      <c r="D10311" s="5" t="s">
        <v>155</v>
      </c>
      <c r="E10311" s="5" t="str">
        <f t="shared" si="525"/>
        <v>ACTISALUD-GUSTAVO GOMEZ-ENDOSCOPIA</v>
      </c>
      <c r="F10311" s="5"/>
      <c r="G10311" s="5"/>
    </row>
    <row r="10312" spans="1:7" ht="58.5" customHeight="1" x14ac:dyDescent="0.25">
      <c r="A10312" s="5" t="str">
        <f>"H0031189"</f>
        <v>H0031189</v>
      </c>
      <c r="B10312"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0312" s="6">
        <v>773500</v>
      </c>
      <c r="D10312" s="5" t="s">
        <v>251</v>
      </c>
      <c r="E10312" s="5" t="str">
        <f t="shared" si="525"/>
        <v>ACTISALUD-GUSTAVO GOMEZ-ENDOSCOPIA</v>
      </c>
      <c r="F10312" s="5"/>
      <c r="G10312" s="5"/>
    </row>
    <row r="10313" spans="1:7" ht="58.5" customHeight="1" x14ac:dyDescent="0.25">
      <c r="A10313" s="5" t="str">
        <f>"H0031414"</f>
        <v>H0031414</v>
      </c>
      <c r="B10313" s="5" t="str">
        <f>"UPS Online 3 KVA Monofásica de 5 Minutos Para rack (vertical). 110 Vac in 50-60 Hz NEMA 5-30P. 110 Vac out NEMA 5-30R. Display. Alarmas. Tarjeta de Red SNMP."</f>
        <v>UPS Online 3 KVA Monofásica de 5 Minutos Para rack (vertical). 110 Vac in 50-60 Hz NEMA 5-30P. 110 Vac out NEMA 5-30R. Display. Alarmas. Tarjeta de Red SNMP.</v>
      </c>
      <c r="C10313" s="6">
        <v>2481150</v>
      </c>
      <c r="D10313" s="5" t="s">
        <v>473</v>
      </c>
      <c r="E10313" s="5" t="str">
        <f t="shared" si="525"/>
        <v>ACTISALUD-GUSTAVO GOMEZ-ENDOSCOPIA</v>
      </c>
      <c r="F10313" s="5"/>
      <c r="G10313" s="5"/>
    </row>
    <row r="10314" spans="1:7" ht="58.5" customHeight="1" x14ac:dyDescent="0.25">
      <c r="A10314" s="5" t="str">
        <f>"H0031417"</f>
        <v>H0031417</v>
      </c>
      <c r="B10314" s="5" t="str">
        <f>"UPS Online 6 KVA Bifásica 5 Minutos Para rack (vertical). 208 Vac in 50-60 Hz. 208 Vac out. Display. Alarmas. Tarjeta de Red SNMP."</f>
        <v>UPS Online 6 KVA Bifásica 5 Minutos Para rack (vertical). 208 Vac in 50-60 Hz. 208 Vac out. Display. Alarmas. Tarjeta de Red SNMP.</v>
      </c>
      <c r="C10314" s="6">
        <v>7163800</v>
      </c>
      <c r="D10314" s="5" t="s">
        <v>473</v>
      </c>
      <c r="E10314" s="5" t="str">
        <f t="shared" si="525"/>
        <v>ACTISALUD-GUSTAVO GOMEZ-ENDOSCOPIA</v>
      </c>
      <c r="F10314" s="5"/>
      <c r="G10314" s="5"/>
    </row>
    <row r="10315" spans="1:7" ht="58.5" customHeight="1" x14ac:dyDescent="0.25">
      <c r="A10315" s="5" t="str">
        <f>"H0031618"</f>
        <v>H0031618</v>
      </c>
      <c r="B10315" s="5" t="str">
        <f>"CAMILLA DE TRASLADO CON BARANDAS"</f>
        <v>CAMILLA DE TRASLADO CON BARANDAS</v>
      </c>
      <c r="C10315" s="6">
        <v>8428770</v>
      </c>
      <c r="D10315" s="5" t="s">
        <v>317</v>
      </c>
      <c r="E10315" s="5" t="str">
        <f t="shared" si="525"/>
        <v>ACTISALUD-GUSTAVO GOMEZ-ENDOSCOPIA</v>
      </c>
      <c r="F10315" s="5"/>
      <c r="G10315" s="5"/>
    </row>
    <row r="10316" spans="1:7" ht="58.5" customHeight="1" x14ac:dyDescent="0.25">
      <c r="A10316" s="5" t="str">
        <f>"H0031673"</f>
        <v>H0031673</v>
      </c>
      <c r="B10316" s="5" t="str">
        <f>"MESA QUIRURGICA"</f>
        <v>MESA QUIRURGICA</v>
      </c>
      <c r="C10316" s="6">
        <v>79333337.25</v>
      </c>
      <c r="D10316" s="5" t="s">
        <v>252</v>
      </c>
      <c r="E10316" s="5" t="str">
        <f t="shared" si="525"/>
        <v>ACTISALUD-GUSTAVO GOMEZ-ENDOSCOPIA</v>
      </c>
      <c r="F10316" s="5"/>
      <c r="G10316" s="5"/>
    </row>
    <row r="10317" spans="1:7" ht="58.5" customHeight="1" x14ac:dyDescent="0.25">
      <c r="A10317" s="5" t="str">
        <f>"H0032372"</f>
        <v>H0032372</v>
      </c>
      <c r="B10317" s="5" t="str">
        <f>"VIDEODUONDENOSCOPIO ALTA DEFINICION HD+"</f>
        <v>VIDEODUONDENOSCOPIO ALTA DEFINICION HD+</v>
      </c>
      <c r="C10317" s="6">
        <v>91706446</v>
      </c>
      <c r="D10317" s="5" t="s">
        <v>597</v>
      </c>
      <c r="E10317" s="5" t="str">
        <f t="shared" si="525"/>
        <v>ACTISALUD-GUSTAVO GOMEZ-ENDOSCOPIA</v>
      </c>
      <c r="F10317" s="5"/>
      <c r="G10317" s="5" t="str">
        <f>"ED34-I10T"</f>
        <v>ED34-I10T</v>
      </c>
    </row>
    <row r="10318" spans="1:7" ht="58.5" customHeight="1" x14ac:dyDescent="0.25">
      <c r="A10318" s="5" t="str">
        <f>"H0033062"</f>
        <v>H0033062</v>
      </c>
      <c r="B10318" s="5" t="str">
        <f>"MONITOR DE SIGNOS VITALES"</f>
        <v>MONITOR DE SIGNOS VITALES</v>
      </c>
      <c r="C10318" s="6">
        <v>9470000</v>
      </c>
      <c r="D10318" s="5" t="s">
        <v>119</v>
      </c>
      <c r="E10318" s="5" t="str">
        <f t="shared" si="525"/>
        <v>ACTISALUD-GUSTAVO GOMEZ-ENDOSCOPIA</v>
      </c>
      <c r="F10318" s="5"/>
      <c r="G10318" s="5"/>
    </row>
    <row r="10319" spans="1:7" ht="58.5" customHeight="1" x14ac:dyDescent="0.25">
      <c r="A10319" s="5" t="str">
        <f>"H0033111"</f>
        <v>H0033111</v>
      </c>
      <c r="B10319" s="5" t="str">
        <f>"MONITOR DE SIGNOS VITALES"</f>
        <v>MONITOR DE SIGNOS VITALES</v>
      </c>
      <c r="C10319" s="6">
        <v>9470000</v>
      </c>
      <c r="D10319" s="5" t="s">
        <v>119</v>
      </c>
      <c r="E10319" s="5" t="str">
        <f t="shared" si="525"/>
        <v>ACTISALUD-GUSTAVO GOMEZ-ENDOSCOPIA</v>
      </c>
      <c r="F10319" s="5"/>
      <c r="G10319" s="5"/>
    </row>
    <row r="10320" spans="1:7" ht="58.5" customHeight="1" x14ac:dyDescent="0.25">
      <c r="A10320" s="5" t="str">
        <f>"H0033115"</f>
        <v>H0033115</v>
      </c>
      <c r="B10320" s="5" t="str">
        <f>"MONITOR DE SIGNOS VITALES"</f>
        <v>MONITOR DE SIGNOS VITALES</v>
      </c>
      <c r="C10320" s="6">
        <v>9470000</v>
      </c>
      <c r="D10320" s="5" t="s">
        <v>119</v>
      </c>
      <c r="E10320" s="5" t="str">
        <f t="shared" ref="E10320:E10332" si="526">"ACTISALUD-GUSTAVO GOMEZ-ENDOSCOPIA"</f>
        <v>ACTISALUD-GUSTAVO GOMEZ-ENDOSCOPIA</v>
      </c>
      <c r="F10320" s="5"/>
      <c r="G10320" s="5"/>
    </row>
    <row r="10321" spans="1:7" ht="58.5" customHeight="1" x14ac:dyDescent="0.25">
      <c r="A10321" s="5" t="str">
        <f>"H0033251"</f>
        <v>H0033251</v>
      </c>
      <c r="B10321" s="5" t="str">
        <f>"MONITOR DE SIGNOS VITALES"</f>
        <v>MONITOR DE SIGNOS VITALES</v>
      </c>
      <c r="C10321" s="6">
        <v>9470000</v>
      </c>
      <c r="D10321" s="5" t="s">
        <v>119</v>
      </c>
      <c r="E10321" s="5" t="str">
        <f t="shared" si="526"/>
        <v>ACTISALUD-GUSTAVO GOMEZ-ENDOSCOPIA</v>
      </c>
      <c r="F10321" s="5"/>
      <c r="G10321" s="5"/>
    </row>
    <row r="10322" spans="1:7" ht="58.5" customHeight="1" x14ac:dyDescent="0.25">
      <c r="A10322" s="5" t="str">
        <f>"H0035142"</f>
        <v>H0035142</v>
      </c>
      <c r="B10322" s="5" t="str">
        <f>"NEVERA DE 66 LTS"</f>
        <v>NEVERA DE 66 LTS</v>
      </c>
      <c r="C10322" s="6">
        <v>544999.71</v>
      </c>
      <c r="D10322" s="5" t="s">
        <v>25</v>
      </c>
      <c r="E10322" s="5" t="str">
        <f t="shared" si="526"/>
        <v>ACTISALUD-GUSTAVO GOMEZ-ENDOSCOPIA</v>
      </c>
      <c r="F10322" s="5"/>
      <c r="G10322" s="5"/>
    </row>
    <row r="10323" spans="1:7" ht="58.5" customHeight="1" x14ac:dyDescent="0.25">
      <c r="A10323" s="5" t="str">
        <f>"H0036447"</f>
        <v>H0036447</v>
      </c>
      <c r="B10323" s="5" t="str">
        <f>"VENTILADOR DE PARED"</f>
        <v>VENTILADOR DE PARED</v>
      </c>
      <c r="C10323" s="6">
        <v>295260</v>
      </c>
      <c r="D10323" s="5" t="s">
        <v>131</v>
      </c>
      <c r="E10323" s="5" t="str">
        <f t="shared" si="526"/>
        <v>ACTISALUD-GUSTAVO GOMEZ-ENDOSCOPIA</v>
      </c>
      <c r="F10323" s="5"/>
      <c r="G10323" s="5"/>
    </row>
    <row r="10324" spans="1:7" ht="58.5" customHeight="1" x14ac:dyDescent="0.25">
      <c r="A10324" s="5" t="str">
        <f>"H0036593"</f>
        <v>H0036593</v>
      </c>
      <c r="B10324" s="5" t="str">
        <f>"ADAPTADOR PARA USO DE PLACAS DESECHABLES PARA PACIENTE OLYMPUS"</f>
        <v>ADAPTADOR PARA USO DE PLACAS DESECHABLES PARA PACIENTE OLYMPUS</v>
      </c>
      <c r="C10324" s="6">
        <v>3266573</v>
      </c>
      <c r="D10324" s="5" t="s">
        <v>598</v>
      </c>
      <c r="E10324" s="5" t="str">
        <f t="shared" si="526"/>
        <v>ACTISALUD-GUSTAVO GOMEZ-ENDOSCOPIA</v>
      </c>
      <c r="F10324" s="5"/>
      <c r="G10324" s="5"/>
    </row>
    <row r="10325" spans="1:7" ht="58.5" customHeight="1" x14ac:dyDescent="0.25">
      <c r="A10325" s="5" t="str">
        <f>"H0036594"</f>
        <v>H0036594</v>
      </c>
      <c r="B10325" s="5" t="str">
        <f>"UNIDAD ELECTROQUIRURGICA AF OLYMPUS"</f>
        <v>UNIDAD ELECTROQUIRURGICA AF OLYMPUS</v>
      </c>
      <c r="C10325" s="6">
        <v>60662511</v>
      </c>
      <c r="D10325" s="5" t="s">
        <v>598</v>
      </c>
      <c r="E10325" s="5" t="str">
        <f t="shared" si="526"/>
        <v>ACTISALUD-GUSTAVO GOMEZ-ENDOSCOPIA</v>
      </c>
      <c r="F10325" s="5"/>
      <c r="G10325" s="5"/>
    </row>
    <row r="10326" spans="1:7" ht="58.5" customHeight="1" x14ac:dyDescent="0.25">
      <c r="A10326" s="5" t="str">
        <f>"H0036905"</f>
        <v>H0036905</v>
      </c>
      <c r="B10326" s="5" t="str">
        <f>"AIRE ACONDICIONADO TIPO MINISPLIT CAPACIDAD 18.000 BTU TECNOLOGIA INVERTER DUAL"</f>
        <v>AIRE ACONDICIONADO TIPO MINISPLIT CAPACIDAD 18.000 BTU TECNOLOGIA INVERTER DUAL</v>
      </c>
      <c r="C10326" s="6">
        <v>3900000</v>
      </c>
      <c r="D10326" s="5" t="s">
        <v>28</v>
      </c>
      <c r="E10326" s="5" t="str">
        <f t="shared" si="526"/>
        <v>ACTISALUD-GUSTAVO GOMEZ-ENDOSCOPIA</v>
      </c>
      <c r="F10326" s="5"/>
      <c r="G10326" s="5"/>
    </row>
    <row r="10327" spans="1:7" ht="58.5" customHeight="1" x14ac:dyDescent="0.25">
      <c r="A10327" s="5" t="str">
        <f>"H0036929"</f>
        <v>H0036929</v>
      </c>
      <c r="B10327" s="5" t="str">
        <f>"SISTEMA INSUFLADOR REUTILIZABLE (DONACION)"</f>
        <v>SISTEMA INSUFLADOR REUTILIZABLE (DONACION)</v>
      </c>
      <c r="C10327" s="6">
        <v>2857200</v>
      </c>
      <c r="D10327" s="5" t="s">
        <v>599</v>
      </c>
      <c r="E10327" s="5" t="str">
        <f t="shared" si="526"/>
        <v>ACTISALUD-GUSTAVO GOMEZ-ENDOSCOPIA</v>
      </c>
      <c r="F10327" s="5"/>
      <c r="G10327" s="5"/>
    </row>
    <row r="10328" spans="1:7" ht="58.5" customHeight="1" x14ac:dyDescent="0.25">
      <c r="A10328" s="5" t="str">
        <f>"H0037531"</f>
        <v>H0037531</v>
      </c>
      <c r="B10328" s="5" t="str">
        <f>"VENTILADOR DE PARED"</f>
        <v>VENTILADOR DE PARED</v>
      </c>
      <c r="C10328" s="6">
        <v>286671</v>
      </c>
      <c r="D10328" s="5" t="s">
        <v>139</v>
      </c>
      <c r="E10328" s="5" t="str">
        <f t="shared" si="526"/>
        <v>ACTISALUD-GUSTAVO GOMEZ-ENDOSCOPIA</v>
      </c>
      <c r="F10328" s="5"/>
      <c r="G10328" s="5"/>
    </row>
    <row r="10329" spans="1:7" ht="58.5" customHeight="1" x14ac:dyDescent="0.25">
      <c r="A10329" s="5" t="str">
        <f>"H0038087"</f>
        <v>H0038087</v>
      </c>
      <c r="B10329" s="5" t="str">
        <f>"SILLA CAJERO KOPI"</f>
        <v>SILLA CAJERO KOPI</v>
      </c>
      <c r="C10329" s="6">
        <v>565000.01</v>
      </c>
      <c r="D10329" s="5" t="s">
        <v>30</v>
      </c>
      <c r="E10329" s="5" t="str">
        <f t="shared" si="526"/>
        <v>ACTISALUD-GUSTAVO GOMEZ-ENDOSCOPIA</v>
      </c>
      <c r="F10329" s="5"/>
      <c r="G10329" s="5"/>
    </row>
    <row r="10330" spans="1:7" ht="58.5" customHeight="1" x14ac:dyDescent="0.25">
      <c r="A10330" s="5" t="str">
        <f>"H0038088"</f>
        <v>H0038088</v>
      </c>
      <c r="B10330" s="5" t="str">
        <f>"SILLA CAJERO KOPI"</f>
        <v>SILLA CAJERO KOPI</v>
      </c>
      <c r="C10330" s="6">
        <v>565000.01</v>
      </c>
      <c r="D10330" s="5" t="s">
        <v>30</v>
      </c>
      <c r="E10330" s="5" t="str">
        <f t="shared" si="526"/>
        <v>ACTISALUD-GUSTAVO GOMEZ-ENDOSCOPIA</v>
      </c>
      <c r="F10330" s="5"/>
      <c r="G10330" s="5"/>
    </row>
    <row r="10331" spans="1:7" ht="58.5" customHeight="1" x14ac:dyDescent="0.25">
      <c r="A10331" s="5" t="str">
        <f>"H0038759"</f>
        <v>H0038759</v>
      </c>
      <c r="B10331" s="5" t="str">
        <f>"TORRE DE ENDOSCOPIA"</f>
        <v>TORRE DE ENDOSCOPIA</v>
      </c>
      <c r="C10331" s="6">
        <v>1996132820</v>
      </c>
      <c r="D10331" s="5" t="s">
        <v>600</v>
      </c>
      <c r="E10331" s="5" t="str">
        <f t="shared" si="526"/>
        <v>ACTISALUD-GUSTAVO GOMEZ-ENDOSCOPIA</v>
      </c>
      <c r="F10331" s="5"/>
      <c r="G10331" s="5"/>
    </row>
    <row r="10332" spans="1:7" ht="58.5" customHeight="1" x14ac:dyDescent="0.25">
      <c r="A10332" s="5" t="str">
        <f>"I0000291"</f>
        <v>I0000291</v>
      </c>
      <c r="B10332" s="5" t="str">
        <f>"PROBADOR DE FUGAS"</f>
        <v>PROBADOR DE FUGAS</v>
      </c>
      <c r="C10332" s="6">
        <v>1722600</v>
      </c>
      <c r="D10332" s="5" t="s">
        <v>601</v>
      </c>
      <c r="E10332" s="5" t="str">
        <f t="shared" si="526"/>
        <v>ACTISALUD-GUSTAVO GOMEZ-ENDOSCOPIA</v>
      </c>
      <c r="F10332" s="5" t="str">
        <f>"COLOR NEGRO CON PLATEADO"</f>
        <v>COLOR NEGRO CON PLATEADO</v>
      </c>
      <c r="G10332" s="5" t="str">
        <f>"LT-7F"</f>
        <v>LT-7F</v>
      </c>
    </row>
    <row r="10333" spans="1:7" ht="58.5" customHeight="1" x14ac:dyDescent="0.25">
      <c r="A10333" s="5" t="str">
        <f>"H0000428"</f>
        <v>H0000428</v>
      </c>
      <c r="B10333" s="5" t="str">
        <f>"NEGATOSCOPIO"</f>
        <v>NEGATOSCOPIO</v>
      </c>
      <c r="C10333" s="6">
        <v>15208.75</v>
      </c>
      <c r="D10333" s="5"/>
      <c r="E10333" s="5" t="str">
        <f t="shared" ref="E10333:E10364" si="527">"REHABILITACION Y TERAPIA-JHON CAMACHO"</f>
        <v>REHABILITACION Y TERAPIA-JHON CAMACHO</v>
      </c>
      <c r="F10333" s="5" t="str">
        <f>"Descripcion: NEGATOSCOPIO DE 1 CUERPO Estado: Bueno Placa anterior: 000004759 Material: PLASTICO Color: NEGRO Referencia:  Observacion:  Placa padre: Tipo adquisicion: Entidad"</f>
        <v>Descripcion: NEGATOSCOPIO DE 1 CUERPO Estado: Bueno Placa anterior: 000004759 Material: PLASTICO Color: NEGRO Referencia:  Observacion:  Placa padre: Tipo adquisicion: Entidad</v>
      </c>
      <c r="G10333" s="5" t="str">
        <f>"1 CUERPO"</f>
        <v>1 CUERPO</v>
      </c>
    </row>
    <row r="10334" spans="1:7" ht="58.5" customHeight="1" x14ac:dyDescent="0.25">
      <c r="A10334" s="5" t="str">
        <f>"H0002059"</f>
        <v>H0002059</v>
      </c>
      <c r="B10334" s="5" t="str">
        <f>"BALANZA DIGITAL DE PISO (PESO) CON TALLIMETRO"</f>
        <v>BALANZA DIGITAL DE PISO (PESO) CON TALLIMETRO</v>
      </c>
      <c r="C10334" s="6">
        <v>2030000</v>
      </c>
      <c r="D10334" s="5"/>
      <c r="E10334" s="5" t="str">
        <f t="shared" si="527"/>
        <v>REHABILITACION Y TERAPIA-JHON CAMACHO</v>
      </c>
      <c r="F10334" s="5" t="str">
        <f>"Descripcion:BASCULAS CON TALIMETRO DIGITAL Estado: Excelente Placa anterior: 000039035 Material: PASTA Color: BLANCO Referencia:  Observacion:  Placa padre:  Tipo adquisicion : Entidad"</f>
        <v>Descripcion:BASCULAS CON TALIMETRO DIGITAL Estado: Excelente Placa anterior: 000039035 Material: PASTA Color: BLANCO Referencia:  Observacion:  Placa padre:  Tipo adquisicion : Entidad</v>
      </c>
      <c r="G10334" s="5" t="str">
        <f>"H150-10-5"</f>
        <v>H150-10-5</v>
      </c>
    </row>
    <row r="10335" spans="1:7" ht="58.5" customHeight="1" x14ac:dyDescent="0.25">
      <c r="A10335" s="5" t="str">
        <f>"H0005556"</f>
        <v>H0005556</v>
      </c>
      <c r="B10335" s="5" t="str">
        <f>"SILLA INTERLOCUTORA (FIJA) SIN BRAZOS"</f>
        <v>SILLA INTERLOCUTORA (FIJA) SIN BRAZOS</v>
      </c>
      <c r="C10335" s="6">
        <v>5610</v>
      </c>
      <c r="D10335" s="5"/>
      <c r="E10335" s="5" t="str">
        <f t="shared" si="527"/>
        <v>REHABILITACION Y TERAPIA-JHON CAMACHO</v>
      </c>
      <c r="F10335" s="5" t="str">
        <f>"Descripcion:SILLA FIJA SIN BRAZOS. TAPIZADA EN CUERINA Estado: Bueno Placa anterior: 000008259 Material: METALICO Y CUERINA Color: GRIS Referencia:  Observacion:  Placa padre:  Tipo adquisicion : Entidad"</f>
        <v>Descripcion:SILLA FIJA SIN BRAZOS. TAPIZADA EN CUERINA Estado: Bueno Placa anterior: 000008259 Material: METALICO Y CUERINA Color: GRIS Referencia:  Observacion:  Placa padre:  Tipo adquisicion : Entidad</v>
      </c>
      <c r="G10335" s="5"/>
    </row>
    <row r="10336" spans="1:7" ht="58.5" customHeight="1" x14ac:dyDescent="0.25">
      <c r="A10336" s="5" t="str">
        <f>"H0005558"</f>
        <v>H0005558</v>
      </c>
      <c r="B10336" s="5" t="str">
        <f>"SILLA INTERLOCUTORA (FIJA) SIN BRAZOS"</f>
        <v>SILLA INTERLOCUTORA (FIJA) SIN BRAZOS</v>
      </c>
      <c r="C10336" s="6">
        <v>5610</v>
      </c>
      <c r="D10336" s="5"/>
      <c r="E10336" s="5" t="str">
        <f t="shared" si="527"/>
        <v>REHABILITACION Y TERAPIA-JHON CAMACHO</v>
      </c>
      <c r="F10336" s="5" t="str">
        <f>"Descripcion:SILLA FIJA SIN BRAZOS. TAPIZADA EN CUERINA Estado: Bueno Placa anterior: 000008278 Material: METALICO Y CUERINA Color: GRIS  Referencia:  Observacion:  Placa padre:  Tipo adquisicion : Entidad"</f>
        <v>Descripcion:SILLA FIJA SIN BRAZOS. TAPIZADA EN CUERINA Estado: Bueno Placa anterior: 000008278 Material: METALICO Y CUERINA Color: GRIS  Referencia:  Observacion:  Placa padre:  Tipo adquisicion : Entidad</v>
      </c>
      <c r="G10336" s="5"/>
    </row>
    <row r="10337" spans="1:7" ht="58.5" customHeight="1" x14ac:dyDescent="0.25">
      <c r="A10337" s="5" t="str">
        <f>"H0005570"</f>
        <v>H0005570</v>
      </c>
      <c r="B10337" s="5" t="str">
        <f>"ESTIMULADOR MUSCULAR GALVANOFARADICO"</f>
        <v>ESTIMULADOR MUSCULAR GALVANOFARADICO</v>
      </c>
      <c r="C10337" s="6">
        <v>7772000</v>
      </c>
      <c r="D10337" s="5" t="s">
        <v>294</v>
      </c>
      <c r="E10337" s="5" t="str">
        <f t="shared" si="527"/>
        <v>REHABILITACION Y TERAPIA-JHON CAMACHO</v>
      </c>
      <c r="F10337" s="5" t="str">
        <f>"Descripcion:Equipo de electroterapia (COMBI TOPLINE) con Electroestimulación galvanofarádica Dos canales de salida con potencias independientes galvánica. De varios tipos de corriente, para baja y media frecuencia. Frecuencia portadora variable de 2 a 10 "&amp; "KHz. Memori Estado: Bueno Placa anterior: 000037227 Material: PLASTICO Color: GRIS Referencia:  Observacion: ESTIMULADOR ELECTRICO Placa padre:  Tipo adquisicion : Entidad"</f>
        <v>Descripcion:Equipo de electroterapia (COMBI TOPLINE) con Electroestimulación galvanofarádica Dos canales de salida con potencias independientes galvánica. De varios tipos de corriente, para baja y media frecuencia. Frecuencia portadora variable de 2 a 10 KHz. Memori Estado: Bueno Placa anterior: 000037227 Material: PLASTICO Color: GRIS Referencia:  Observacion: ESTIMULADOR ELECTRICO Placa padre:  Tipo adquisicion : Entidad</v>
      </c>
      <c r="G10337" s="5" t="str">
        <f>"BTL-4000 SERIES"</f>
        <v>BTL-4000 SERIES</v>
      </c>
    </row>
    <row r="10338" spans="1:7" ht="58.5" customHeight="1" x14ac:dyDescent="0.25">
      <c r="A10338" s="5" t="str">
        <f>"H0005571"</f>
        <v>H0005571</v>
      </c>
      <c r="B10338" s="5" t="str">
        <f>"UNIDAD DE DIATERMIA POR ULTRASONIDO"</f>
        <v>UNIDAD DE DIATERMIA POR ULTRASONIDO</v>
      </c>
      <c r="C10338" s="6">
        <v>6728000</v>
      </c>
      <c r="D10338" s="5" t="s">
        <v>294</v>
      </c>
      <c r="E10338" s="5" t="str">
        <f t="shared" si="527"/>
        <v>REHABILITACION Y TERAPIA-JHON CAMACHO</v>
      </c>
      <c r="F10338" s="5" t="str">
        <f>"Descripcion:ULTRASONIDO.(BTL-4710 Sono Topline) Frecuencias de 1 y 3 MHz Modos de funcionamiento variables (16 Hz, 48 Hz y 100 Hz). Opción de uso con batería Opciones de aplicadores en varios tamaños (1cm2, 2cm2, 5cm2 y 10cm2) Cabezales intercambiables Fu"&amp; "nción de ca Estado: Bueno Placa anterior: 000037232 Material: PLASTICO Color: GRIS Referencia:  Observacion: ULTRASONIDO Placa padre:  Tipo adquisicion : Entidad"</f>
        <v>Descripcion:ULTRASONIDO.(BTL-4710 Sono Topline) Frecuencias de 1 y 3 MHz Modos de funcionamiento variables (16 Hz, 48 Hz y 100 Hz). Opción de uso con batería Opciones de aplicadores en varios tamaños (1cm2, 2cm2, 5cm2 y 10cm2) Cabezales intercambiables Función de ca Estado: Bueno Placa anterior: 000037232 Material: PLASTICO Color: GRIS Referencia:  Observacion: ULTRASONIDO Placa padre:  Tipo adquisicion : Entidad</v>
      </c>
      <c r="G10338" s="5" t="str">
        <f>"BTL-4000 SERIES"</f>
        <v>BTL-4000 SERIES</v>
      </c>
    </row>
    <row r="10339" spans="1:7" ht="58.5" customHeight="1" x14ac:dyDescent="0.25">
      <c r="A10339" s="5" t="str">
        <f>"H0005584"</f>
        <v>H0005584</v>
      </c>
      <c r="B10339" s="5" t="str">
        <f>"ESTIMULADOR MUSCULAR GALVANOFARADICO"</f>
        <v>ESTIMULADOR MUSCULAR GALVANOFARADICO</v>
      </c>
      <c r="C10339" s="6">
        <v>7772000</v>
      </c>
      <c r="D10339" s="5" t="s">
        <v>294</v>
      </c>
      <c r="E10339" s="5" t="str">
        <f t="shared" si="527"/>
        <v>REHABILITACION Y TERAPIA-JHON CAMACHO</v>
      </c>
      <c r="F10339" s="5" t="str">
        <f>"Descripcion:Equipo de electroterapia (COMBI TOPLINE) con Electroestimulación galvanofarádica Dos canales de salida con potencias independientes galvánica. De varios tipos de corriente, para baja y media frecuencia. Frecuencia portadora variable de 2 a 10 "&amp; "KHz. Memori Estado: Bueno Placa anterior: 000037229 Material: PLASTICO Color: GRIS Referencia:  Observacion:  Placa padre:  Tipo adquisicion : Entidad"</f>
        <v>Descripcion:Equipo de electroterapia (COMBI TOPLINE) con Electroestimulación galvanofarádica Dos canales de salida con potencias independientes galvánica. De varios tipos de corriente, para baja y media frecuencia. Frecuencia portadora variable de 2 a 10 KHz. Memori Estado: Bueno Placa anterior: 000037229 Material: PLASTICO Color: GRIS Referencia:  Observacion:  Placa padre:  Tipo adquisicion : Entidad</v>
      </c>
      <c r="G10339" s="5" t="str">
        <f>"BTL-4000 SERIES"</f>
        <v>BTL-4000 SERIES</v>
      </c>
    </row>
    <row r="10340" spans="1:7" ht="58.5" customHeight="1" x14ac:dyDescent="0.25">
      <c r="A10340" s="5" t="str">
        <f>"H0005585"</f>
        <v>H0005585</v>
      </c>
      <c r="B10340" s="5" t="str">
        <f>"UNIDAD DE DIATERMIA POR ULTRASONIDO"</f>
        <v>UNIDAD DE DIATERMIA POR ULTRASONIDO</v>
      </c>
      <c r="C10340" s="6">
        <v>6728000</v>
      </c>
      <c r="D10340" s="5" t="s">
        <v>294</v>
      </c>
      <c r="E10340" s="5" t="str">
        <f t="shared" si="527"/>
        <v>REHABILITACION Y TERAPIA-JHON CAMACHO</v>
      </c>
      <c r="F10340" s="5" t="str">
        <f>"Descripcion:ULTRASONIDO.(BTL-4710 Sono Topline) Frecuencias de 1 y 3 MHz Modos de funcionamiento variables (16 Hz, 48 Hz y 100 Hz). Opción de uso con batería Opciones de aplicadores en varios tamaños (1cm2, 2cm2, 5cm2 y 10cm2) Cabezales intercambiables Fu"&amp; "nción de ca Estado: Bueno Placa anterior: 000037231 Material: PLASTICO Color: GRIS Referencia:  Observacion:  Placa padre:  Tipo adquisicion : Entidad"</f>
        <v>Descripcion:ULTRASONIDO.(BTL-4710 Sono Topline) Frecuencias de 1 y 3 MHz Modos de funcionamiento variables (16 Hz, 48 Hz y 100 Hz). Opción de uso con batería Opciones de aplicadores en varios tamaños (1cm2, 2cm2, 5cm2 y 10cm2) Cabezales intercambiables Función de ca Estado: Bueno Placa anterior: 000037231 Material: PLASTICO Color: GRIS Referencia:  Observacion:  Placa padre:  Tipo adquisicion : Entidad</v>
      </c>
      <c r="G10340" s="5" t="str">
        <f>"BTL-4000 SERIES"</f>
        <v>BTL-4000 SERIES</v>
      </c>
    </row>
    <row r="10341" spans="1:7" ht="58.5" customHeight="1" x14ac:dyDescent="0.25">
      <c r="A10341" s="5" t="str">
        <f>"H0005586"</f>
        <v>H0005586</v>
      </c>
      <c r="B10341" s="5" t="str">
        <f>"ESTIMULADOR MUSCULAR GALVANOFARADICO"</f>
        <v>ESTIMULADOR MUSCULAR GALVANOFARADICO</v>
      </c>
      <c r="C10341" s="6">
        <v>7772000</v>
      </c>
      <c r="D10341" s="5" t="s">
        <v>294</v>
      </c>
      <c r="E10341" s="5" t="str">
        <f t="shared" si="527"/>
        <v>REHABILITACION Y TERAPIA-JHON CAMACHO</v>
      </c>
      <c r="F10341" s="5" t="str">
        <f>"Descripcion:Equipo de electroterapia (COMBI TOPLINE) con Electroestimulación galvanofarádica Dos canales de salida con potencias independientes galvánica. De varios tipos de corriente, para baja y media frecuencia. Frecuencia portadora variable de 2 a 10 "&amp; "KHz. Memori Estado: Bueno Placa anterior: 000037228 Material: PLASTICO Color: GRIS Referencia:  Observacion:  Placa padre:  Tipo adquisicion : Entidad"</f>
        <v>Descripcion:Equipo de electroterapia (COMBI TOPLINE) con Electroestimulación galvanofarádica Dos canales de salida con potencias independientes galvánica. De varios tipos de corriente, para baja y media frecuencia. Frecuencia portadora variable de 2 a 10 KHz. Memori Estado: Bueno Placa anterior: 000037228 Material: PLASTICO Color: GRIS Referencia:  Observacion:  Placa padre:  Tipo adquisicion : Entidad</v>
      </c>
      <c r="G10341" s="5" t="str">
        <f>"BTL-4000 SERIES"</f>
        <v>BTL-4000 SERIES</v>
      </c>
    </row>
    <row r="10342" spans="1:7" ht="58.5" customHeight="1" x14ac:dyDescent="0.25">
      <c r="A10342" s="5" t="str">
        <f>"H0005587"</f>
        <v>H0005587</v>
      </c>
      <c r="B10342" s="5" t="str">
        <f>"MESA (CARRO) DE CURACIONES"</f>
        <v>MESA (CARRO) DE CURACIONES</v>
      </c>
      <c r="C10342" s="6">
        <v>8635</v>
      </c>
      <c r="D10342" s="5"/>
      <c r="E10342" s="5" t="str">
        <f t="shared" si="527"/>
        <v>REHABILITACION Y TERAPIA-JHON CAMACHO</v>
      </c>
      <c r="F10342" s="5" t="str">
        <f>"Descripcion:MESA METALICA CON RODACHINES DE CURACIONES DOS ENTREPAÑOS Estado: Bueno Placa anterior: 000008277 Material: METALICO Color: GRIS Referencia:  Observacion:  Placa padre:  Tipo adquisicion : Entidad"</f>
        <v>Descripcion:MESA METALICA CON RODACHINES DE CURACIONES DOS ENTREPAÑOS Estado: Bueno Placa anterior: 000008277 Material: METALICO Color: GRIS Referencia:  Observacion:  Placa padre:  Tipo adquisicion : Entidad</v>
      </c>
      <c r="G10342" s="5"/>
    </row>
    <row r="10343" spans="1:7" ht="58.5" customHeight="1" x14ac:dyDescent="0.25">
      <c r="A10343" s="5" t="str">
        <f>"H0005591"</f>
        <v>H0005591</v>
      </c>
      <c r="B10343" s="5" t="str">
        <f>"ULTRASONIDO"</f>
        <v>ULTRASONIDO</v>
      </c>
      <c r="C10343" s="6">
        <v>3670000</v>
      </c>
      <c r="D10343" s="5"/>
      <c r="E10343" s="5" t="str">
        <f t="shared" si="527"/>
        <v>REHABILITACION Y TERAPIA-JHON CAMACHO</v>
      </c>
      <c r="F10343" s="5" t="str">
        <f>"Descripcion:ULTRASONIDO DE DOBLE FRECUENCIA MARCA, METRON, MODELO ACCUSONIC PLUS, FRECUENCIA: 1.1 MHz, 3,3 MHz CABEZAL 50 50 Mz2 Estado: Bueno Placa anterior: 000025968 Material: PLASTICO Color: BLANCO Referencia:  Observacion:  Placa padre:  Tipo adquisi"&amp; "cion : Entidad"</f>
        <v>Descripcion:ULTRASONIDO DE DOBLE FRECUENCIA MARCA, METRON, MODELO ACCUSONIC PLUS, FRECUENCIA: 1.1 MHz, 3,3 MHz CABEZAL 50 50 Mz2 Estado: Bueno Placa anterior: 000025968 Material: PLASTICO Color: BLANCO Referencia:  Observacion:  Placa padre:  Tipo adquisicion : Entidad</v>
      </c>
      <c r="G10343" s="5"/>
    </row>
    <row r="10344" spans="1:7" ht="58.5" customHeight="1" x14ac:dyDescent="0.25">
      <c r="A10344" s="5" t="str">
        <f>"H0005592"</f>
        <v>H0005592</v>
      </c>
      <c r="B10344" s="5" t="str">
        <f>"MESA METALICA"</f>
        <v>MESA METALICA</v>
      </c>
      <c r="C10344" s="6">
        <v>8635</v>
      </c>
      <c r="D10344" s="5"/>
      <c r="E10344" s="5" t="str">
        <f t="shared" si="527"/>
        <v>REHABILITACION Y TERAPIA-JHON CAMACHO</v>
      </c>
      <c r="F10344" s="5" t="str">
        <f>"Descripcion:MESA METALICA CON RODACHINES CON  DOS ENTREPAÑOS Estado: Bueno Placa anterior: 000008290 Material: ACERO INOXIDABLE Color: PLATEADO Referencia:  Observacion:  Placa padre:  Tipo adquisicion : Entidad"</f>
        <v>Descripcion:MESA METALICA CON RODACHINES CON  DOS ENTREPAÑOS Estado: Bueno Placa anterior: 000008290 Material: ACERO INOXIDABLE Color: PLATEADO Referencia:  Observacion:  Placa padre:  Tipo adquisicion : Entidad</v>
      </c>
      <c r="G10344" s="5"/>
    </row>
    <row r="10345" spans="1:7" ht="58.5" customHeight="1" x14ac:dyDescent="0.25">
      <c r="A10345" s="5" t="str">
        <f>"H0005593"</f>
        <v>H0005593</v>
      </c>
      <c r="B10345" s="5" t="str">
        <f>"SILLA INTERLOCUTORA (FIJA) SIN BRAZOS"</f>
        <v>SILLA INTERLOCUTORA (FIJA) SIN BRAZOS</v>
      </c>
      <c r="C10345" s="6">
        <v>5610</v>
      </c>
      <c r="D10345" s="5"/>
      <c r="E10345" s="5" t="str">
        <f t="shared" si="527"/>
        <v>REHABILITACION Y TERAPIA-JHON CAMACHO</v>
      </c>
      <c r="F10345" s="5" t="str">
        <f>"Descripcion:SILLA INTERLOCUTORA TAPIZADA EN CUERINA,  Estado: Bueno Placa anterior: 000008319 Material: METALICA Y CUERINA Color: PLATEADO Y NEGRA Referencia:  Observacion:  Placa padre:  Tipo adquisicion : Entidad"</f>
        <v>Descripcion:SILLA INTERLOCUTORA TAPIZADA EN CUERINA,  Estado: Bueno Placa anterior: 000008319 Material: METALICA Y CUERINA Color: PLATEADO Y NEGRA Referencia:  Observacion:  Placa padre:  Tipo adquisicion : Entidad</v>
      </c>
      <c r="G10345" s="5"/>
    </row>
    <row r="10346" spans="1:7" ht="58.5" customHeight="1" x14ac:dyDescent="0.25">
      <c r="A10346" s="5" t="str">
        <f>"H0005594"</f>
        <v>H0005594</v>
      </c>
      <c r="B10346" s="5" t="str">
        <f>"TANQUE METALICO DIAFRAGMA"</f>
        <v>TANQUE METALICO DIAFRAGMA</v>
      </c>
      <c r="C10346" s="6">
        <v>1760000</v>
      </c>
      <c r="D10346" s="5"/>
      <c r="E10346" s="5" t="str">
        <f t="shared" si="527"/>
        <v>REHABILITACION Y TERAPIA-JHON CAMACHO</v>
      </c>
      <c r="F10346" s="5" t="str">
        <f>"Descripcion:TANQUE REMOLINO WHITE HALL MOD.HIGH BOYJOP Estado: Bueno Placa anterior: 000008429 Material: ACERO INOXIDABLE Color: PLATEADO Referencia:  Observacion:  Placa padre:  Tipo adquisicion : Entidad"</f>
        <v>Descripcion:TANQUE REMOLINO WHITE HALL MOD.HIGH BOYJOP Estado: Bueno Placa anterior: 000008429 Material: ACERO INOXIDABLE Color: PLATEADO Referencia:  Observacion:  Placa padre:  Tipo adquisicion : Entidad</v>
      </c>
      <c r="G10346" s="5" t="str">
        <f>"JO-40"</f>
        <v>JO-40</v>
      </c>
    </row>
    <row r="10347" spans="1:7" ht="58.5" customHeight="1" x14ac:dyDescent="0.25">
      <c r="A10347" s="5" t="str">
        <f>"H0005596"</f>
        <v>H0005596</v>
      </c>
      <c r="B10347" s="5" t="str">
        <f>"SILLA INTERLOCUTORA (FIJA) SIN BRAZOS"</f>
        <v>SILLA INTERLOCUTORA (FIJA) SIN BRAZOS</v>
      </c>
      <c r="C10347" s="6">
        <v>5610</v>
      </c>
      <c r="D10347" s="5"/>
      <c r="E10347" s="5" t="str">
        <f t="shared" si="527"/>
        <v>REHABILITACION Y TERAPIA-JHON CAMACHO</v>
      </c>
      <c r="F10347" s="5" t="str">
        <f>"Descripcion:SILLA INTERLOCUTORA TAPIZADA EN CUERINA Estado: Bueno Placa anterior: 000008327 Material: METALICA Y CUERINA Color: PLATEADO Y NEGRO Referencia:  Observacion:  Placa padre:  Tipo adquisicion : Entidad"</f>
        <v>Descripcion:SILLA INTERLOCUTORA TAPIZADA EN CUERINA Estado: Bueno Placa anterior: 000008327 Material: METALICA Y CUERINA Color: PLATEADO Y NEGRO Referencia:  Observacion:  Placa padre:  Tipo adquisicion : Entidad</v>
      </c>
      <c r="G10347" s="5"/>
    </row>
    <row r="10348" spans="1:7" ht="58.5" customHeight="1" x14ac:dyDescent="0.25">
      <c r="A10348" s="5" t="str">
        <f>"H0005597"</f>
        <v>H0005597</v>
      </c>
      <c r="B10348" s="5" t="str">
        <f>"TANQUE PARA PAQUETE FRIO"</f>
        <v>TANQUE PARA PAQUETE FRIO</v>
      </c>
      <c r="C10348" s="6">
        <v>417600</v>
      </c>
      <c r="D10348" s="5"/>
      <c r="E10348" s="5" t="str">
        <f t="shared" si="527"/>
        <v>REHABILITACION Y TERAPIA-JHON CAMACHO</v>
      </c>
      <c r="F10348" s="5" t="str">
        <f>"Descripcion:HIDROCOLLATOR (PQUETE CALIENTE) Estado: Bueno Placa anterior: 000008413 Material: ACERO INOXIDABLE Color: PLATEADO Referencia:  Observacion:  Placa padre:  Tipo adquisicion : Entidad"</f>
        <v>Descripcion:HIDROCOLLATOR (PQUETE CALIENTE) Estado: Bueno Placa anterior: 000008413 Material: ACERO INOXIDABLE Color: PLATEADO Referencia:  Observacion:  Placa padre:  Tipo adquisicion : Entidad</v>
      </c>
      <c r="G10348" s="5" t="str">
        <f>"451"</f>
        <v>451</v>
      </c>
    </row>
    <row r="10349" spans="1:7" ht="58.5" customHeight="1" x14ac:dyDescent="0.25">
      <c r="A10349" s="5" t="str">
        <f>"H0005673"</f>
        <v>H0005673</v>
      </c>
      <c r="B10349" s="5" t="str">
        <f>"SILLA INTERLOCUTORA (FIJA) CON BRAZOS"</f>
        <v>SILLA INTERLOCUTORA (FIJA) CON BRAZOS</v>
      </c>
      <c r="C10349" s="6">
        <v>10120</v>
      </c>
      <c r="D10349" s="5"/>
      <c r="E10349" s="5" t="str">
        <f t="shared" si="527"/>
        <v>REHABILITACION Y TERAPIA-JHON CAMACHO</v>
      </c>
      <c r="F10349" s="5" t="str">
        <f>"Descripcion:SILLA TIPO D (FIJA CON BRAZOS). TAPIZADA EN CUERINA Estado: Regular Placa anterior: 000008258 Material: METALICO Y CUERINA Color: GRIS Y MARRON Referencia:  Observacion: LA CUERINA DE UN BRAZO ESTA DAÑADA Placa padre:  Tipo adquisicion : Entid"&amp; "ad"</f>
        <v>Descripcion:SILLA TIPO D (FIJA CON BRAZOS). TAPIZADA EN CUERINA Estado: Regular Placa anterior: 000008258 Material: METALICO Y CUERINA Color: GRIS Y MARRON Referencia:  Observacion: LA CUERINA DE UN BRAZO ESTA DAÑADA Placa padre:  Tipo adquisicion : Entidad</v>
      </c>
      <c r="G10349" s="5"/>
    </row>
    <row r="10350" spans="1:7" ht="58.5" customHeight="1" x14ac:dyDescent="0.25">
      <c r="A10350" s="5" t="str">
        <f>"H0005675"</f>
        <v>H0005675</v>
      </c>
      <c r="B10350" s="5" t="str">
        <f>"IMPRESORA LASER"</f>
        <v>IMPRESORA LASER</v>
      </c>
      <c r="C10350" s="6">
        <v>899000</v>
      </c>
      <c r="D10350" s="5"/>
      <c r="E10350" s="5" t="str">
        <f t="shared" si="527"/>
        <v>REHABILITACION Y TERAPIA-JHON CAMACHO</v>
      </c>
      <c r="F10350" s="5" t="str">
        <f>"Descripcion:IMPRESORA HP LASER JET 1606 DN BN 28ppm-USB-260 hojas 32 MB -1200 X 1200 ppp - rED-DUPLEX Estado: Bueno Placa anterior: 000029536 Material: PLASTICO DE POLIPROPILENO Color: NEGRA Referencia:  Observacion:  Placa padre:  Tipo adquisicion : Enti"&amp; "dad"</f>
        <v>Descripcion:IMPRESORA HP LASER JET 1606 DN BN 28ppm-USB-260 hojas 32 MB -1200 X 1200 ppp - rED-DUPLEX Estado: Bueno Placa anterior: 000029536 Material: PLASTICO DE POLIPROPILENO Color: NEGRA Referencia:  Observacion:  Placa padre:  Tipo adquisicion : Entidad</v>
      </c>
      <c r="G10350" s="5" t="str">
        <f>"HP LASERJET P1606DN"</f>
        <v>HP LASERJET P1606DN</v>
      </c>
    </row>
    <row r="10351" spans="1:7" ht="58.5" customHeight="1" x14ac:dyDescent="0.25">
      <c r="A10351" s="5" t="str">
        <f>"H0005698"</f>
        <v>H0005698</v>
      </c>
      <c r="B10351" s="5" t="str">
        <f>"COMPUTADOR TODO EN UNO"</f>
        <v>COMPUTADOR TODO EN UNO</v>
      </c>
      <c r="C10351" s="6">
        <v>2470000</v>
      </c>
      <c r="D10351" s="5" t="s">
        <v>6</v>
      </c>
      <c r="E10351" s="5" t="str">
        <f t="shared" si="527"/>
        <v>REHABILITACION Y TERAPIA-JHON CAMACHO</v>
      </c>
      <c r="F10351" s="5" t="str">
        <f>"Descripcion:EQUIPO DE COMPUTO TODO EN UNO CON PROCESADOR INTEL i5 Estado: Bueno Placa anterior: 000037031 Material: PLASTICO DE POLIPROPILENO Color: NEGRO Referencia: 10BD-00FDLS Observacion:  Placa anterior:, Placa nueva=H0005700, Descripcion:MOUSE OPTIC"&amp; "O, Serial:44MG199- 0515, Marca:LENOVO, Modelo:, Material:PLASTICO DE POLIPROPILENO, Color:NEGRO,   Referencia:45J4889, Placa anterior:, Placa nueva=H0005699, Descripcion:TECLADO, Serial:8258899, Marca:LENOVO, Modelo:, Material:PLASTICO DE POLIPROPILENO, C"&amp; "olor:NEGRO,   Referencia:54Y9424 Placa padre:  Tipo adquisicion : Entidad"</f>
        <v>Descripcion:EQUIPO DE COMPUTO TODO EN UNO CON PROCESADOR INTEL i5 Estado: Bueno Placa anterior: 000037031 Material: PLASTICO DE POLIPROPILENO Color: NEGRO Referencia: 10BD-00FDLS Observacion:  Placa anterior:, Placa nueva=H0005700, Descripcion:MOUSE OPTICO, Serial:44MG199- 0515, Marca:LENOVO, Modelo:, Material:PLASTICO DE POLIPROPILENO, Color:NEGRO,   Referencia:45J4889, Placa anterior:, Placa nueva=H0005699, Descripcion:TECLADO, Serial:8258899, Marca:LENOVO, Modelo:, Material:PLASTICO DE POLIPROPILENO, Color:NEGRO,   Referencia:54Y9424 Placa padre:  Tipo adquisicion : Entidad</v>
      </c>
      <c r="G10351" s="5"/>
    </row>
    <row r="10352" spans="1:7" ht="58.5" customHeight="1" x14ac:dyDescent="0.25">
      <c r="A10352" s="5" t="str">
        <f>"H0005702"</f>
        <v>H0005702</v>
      </c>
      <c r="B10352" s="5" t="str">
        <f>"SILLA INTERLOCUTORA (FIJA) CON BRAZOS"</f>
        <v>SILLA INTERLOCUTORA (FIJA) CON BRAZOS</v>
      </c>
      <c r="C10352" s="6">
        <v>10120</v>
      </c>
      <c r="D10352" s="5"/>
      <c r="E10352" s="5" t="str">
        <f t="shared" si="527"/>
        <v>REHABILITACION Y TERAPIA-JHON CAMACHO</v>
      </c>
      <c r="F10352" s="5" t="str">
        <f>"Descripcion:SILLA CON BRAZOS TAPIZADA EN CUERINA  Estado: Regular Placa anterior: 000008325 Material: METALICA Y CUERINA Color: GRIS Y MARRON Referencia:  Observacion: LE FALTA UN BRAZO TAPIZADO Placa padre:  Tipo adquisicion : Entidad"</f>
        <v>Descripcion:SILLA CON BRAZOS TAPIZADA EN CUERINA  Estado: Regular Placa anterior: 000008325 Material: METALICA Y CUERINA Color: GRIS Y MARRON Referencia:  Observacion: LE FALTA UN BRAZO TAPIZADO Placa padre:  Tipo adquisicion : Entidad</v>
      </c>
      <c r="G10352" s="5"/>
    </row>
    <row r="10353" spans="1:7" ht="58.5" customHeight="1" x14ac:dyDescent="0.25">
      <c r="A10353" s="5" t="str">
        <f>"H0005780"</f>
        <v>H0005780</v>
      </c>
      <c r="B10353" s="5" t="str">
        <f>"SILLA DE RUEDAS"</f>
        <v>SILLA DE RUEDAS</v>
      </c>
      <c r="C10353" s="6">
        <v>650000</v>
      </c>
      <c r="D10353" s="5"/>
      <c r="E10353" s="5" t="str">
        <f t="shared" si="527"/>
        <v>REHABILITACION Y TERAPIA-JHON CAMACHO</v>
      </c>
      <c r="F10353" s="5" t="str">
        <f>"Descripcion:SILLA DE RUEDA ADULTO ESTANDAR CON BRAZOS Y DESCANSAPIES DESMONTABLES CON MARCO PLEGABLE CALIBRE 18 DE 7/8 Estado: Bueno Placa anterior: 000026235 Material: METALICA Color: PLATEADO Referencia:  Observacion:  Placa padre:  Tipo adquisicion : E"&amp; "ntidad"</f>
        <v>Descripcion:SILLA DE RUEDA ADULTO ESTANDAR CON BRAZOS Y DESCANSAPIES DESMONTABLES CON MARCO PLEGABLE CALIBRE 18 DE 7/8 Estado: Bueno Placa anterior: 000026235 Material: METALICA Color: PLATEADO Referencia:  Observacion:  Placa padre:  Tipo adquisicion : Entidad</v>
      </c>
      <c r="G10353" s="5"/>
    </row>
    <row r="10354" spans="1:7" ht="58.5" customHeight="1" x14ac:dyDescent="0.25">
      <c r="A10354" s="5" t="str">
        <f>"H0005784"</f>
        <v>H0005784</v>
      </c>
      <c r="B10354" s="5" t="str">
        <f>"SILLA INTERLOCUTORA (FIJA) SIN BRAZOS"</f>
        <v>SILLA INTERLOCUTORA (FIJA) SIN BRAZOS</v>
      </c>
      <c r="C10354" s="6">
        <v>5610</v>
      </c>
      <c r="D10354" s="5"/>
      <c r="E10354" s="5" t="str">
        <f t="shared" si="527"/>
        <v>REHABILITACION Y TERAPIA-JHON CAMACHO</v>
      </c>
      <c r="F10354" s="5" t="str">
        <f>"Descripcion:SILLA FIJA SIN BRAZOS COLOR MARRON CON FORMICA Estado: Bueno Placa anterior: 000008345 Material: METALICO Y FORMICA Color: GRIS Y MARRON Referencia:  Observacion:  Placa padre:  Tipo adquisicion : Entidad"</f>
        <v>Descripcion:SILLA FIJA SIN BRAZOS COLOR MARRON CON FORMICA Estado: Bueno Placa anterior: 000008345 Material: METALICO Y FORMICA Color: GRIS Y MARRON Referencia:  Observacion:  Placa padre:  Tipo adquisicion : Entidad</v>
      </c>
      <c r="G10354" s="5"/>
    </row>
    <row r="10355" spans="1:7" ht="58.5" customHeight="1" x14ac:dyDescent="0.25">
      <c r="A10355" s="5" t="str">
        <f>"H0005791"</f>
        <v>H0005791</v>
      </c>
      <c r="B10355" s="5" t="str">
        <f>"ULTRASONIDO"</f>
        <v>ULTRASONIDO</v>
      </c>
      <c r="C10355" s="6">
        <v>860244</v>
      </c>
      <c r="D10355" s="5"/>
      <c r="E10355" s="5" t="str">
        <f t="shared" si="527"/>
        <v>REHABILITACION Y TERAPIA-JHON CAMACHO</v>
      </c>
      <c r="F10355" s="5" t="str">
        <f>"Descripcion:EQUIPO DE ULTRASONIDO M70 MEDCIR Estado: Bueno Placa anterior: 000008424 Material: METALICO Color: AZUL Referencia:  Observacion:  Placa padre:  Tipo adquisicion : Entidad"</f>
        <v>Descripcion:EQUIPO DE ULTRASONIDO M70 MEDCIR Estado: Bueno Placa anterior: 000008424 Material: METALICO Color: AZUL Referencia:  Observacion:  Placa padre:  Tipo adquisicion : Entidad</v>
      </c>
      <c r="G10355" s="5" t="str">
        <f>"M70"</f>
        <v>M70</v>
      </c>
    </row>
    <row r="10356" spans="1:7" ht="58.5" customHeight="1" x14ac:dyDescent="0.25">
      <c r="A10356" s="5" t="str">
        <f>"H0006851"</f>
        <v>H0006851</v>
      </c>
      <c r="B10356" s="5" t="str">
        <f>"DUAL MUSLO"</f>
        <v>DUAL MUSLO</v>
      </c>
      <c r="C10356" s="6">
        <v>6206897</v>
      </c>
      <c r="D10356" s="5"/>
      <c r="E10356" s="5" t="str">
        <f t="shared" si="527"/>
        <v>REHABILITACION Y TERAPIA-JHON CAMACHO</v>
      </c>
      <c r="F10356" s="5" t="str">
        <f>"Descripcion:MAGNETIN ELLIPTICAL TRAINER E-7000P Estado: Bueno Placa anterior: 000026490 Material: TUBOS EN COLD ROLL, CUERINA Color: GRIS Y NEGRO Referencia: BODY SOLID Observacion: AUTORIZADO CONCILIAR EN CRUCE GENERAL Placa padre:  Tipo adquisicion : En"&amp; "tidad"</f>
        <v>Descripcion:MAGNETIN ELLIPTICAL TRAINER E-7000P Estado: Bueno Placa anterior: 000026490 Material: TUBOS EN COLD ROLL, CUERINA Color: GRIS Y NEGRO Referencia: BODY SOLID Observacion: AUTORIZADO CONCILIAR EN CRUCE GENERAL Placa padre:  Tipo adquisicion : Entidad</v>
      </c>
      <c r="G10356" s="5" t="str">
        <f>"DIOT-ST"</f>
        <v>DIOT-ST</v>
      </c>
    </row>
    <row r="10357" spans="1:7" ht="58.5" customHeight="1" x14ac:dyDescent="0.25">
      <c r="A10357" s="5" t="str">
        <f>"H0006854"</f>
        <v>H0006854</v>
      </c>
      <c r="B10357" s="5" t="str">
        <f>"GIMNASIO MULTIESTACION"</f>
        <v>GIMNASIO MULTIESTACION</v>
      </c>
      <c r="C10357" s="6">
        <v>9688900</v>
      </c>
      <c r="D10357" s="5"/>
      <c r="E10357" s="5" t="str">
        <f t="shared" si="527"/>
        <v>REHABILITACION Y TERAPIA-JHON CAMACHO</v>
      </c>
      <c r="F10357" s="5" t="str">
        <f>"Descripcion:MULTIGIMNACIO PRESTIGIE EXM 3000 LPS: DESCRIPCION TRES ESTACIONES CON ALMOHADILLAS AJUSTABLES Estado: Bueno Placa anterior: 000025970 Material: HIERRO EN COLD ROLL Color: BLANCO Y NEGRO Referencia: BODY SOLID Observacion: NO PRESENTA MARCA, MO"&amp; "DELO Y SERIAL VISIBLE Placa padre:  Tipo adquisicion : Entidad"</f>
        <v>Descripcion:MULTIGIMNACIO PRESTIGIE EXM 3000 LPS: DESCRIPCION TRES ESTACIONES CON ALMOHADILLAS AJUSTABLES Estado: Bueno Placa anterior: 000025970 Material: HIERRO EN COLD ROLL Color: BLANCO Y NEGRO Referencia: BODY SOLID Observacion: NO PRESENTA MARCA, MODELO Y SERIAL VISIBLE Placa padre:  Tipo adquisicion : Entidad</v>
      </c>
      <c r="G10357" s="5"/>
    </row>
    <row r="10358" spans="1:7" ht="58.5" customHeight="1" x14ac:dyDescent="0.25">
      <c r="A10358" s="5" t="str">
        <f>"H0006855"</f>
        <v>H0006855</v>
      </c>
      <c r="B10358" s="5" t="str">
        <f>"SILLA INTERLOCUTORA (FIJA) SIN BRAZOS"</f>
        <v>SILLA INTERLOCUTORA (FIJA) SIN BRAZOS</v>
      </c>
      <c r="C10358" s="6">
        <v>5610</v>
      </c>
      <c r="D10358" s="5"/>
      <c r="E10358" s="5" t="str">
        <f t="shared" si="527"/>
        <v>REHABILITACION Y TERAPIA-JHON CAMACHO</v>
      </c>
      <c r="F10358" s="5" t="str">
        <f>"Descripcion:SILLA FIJA SIN BRAZOS COLOR MARRON CON CUBIERTA EN FORMICA Estado: Bueno Placa anterior: 000008328 Material: METALICO Y FORMICA Color: GRIS Y MARRON Referencia:  Observacion:  Placa padre:  Tipo adquisicion : Entidad"</f>
        <v>Descripcion:SILLA FIJA SIN BRAZOS COLOR MARRON CON CUBIERTA EN FORMICA Estado: Bueno Placa anterior: 000008328 Material: METALICO Y FORMICA Color: GRIS Y MARRON Referencia:  Observacion:  Placa padre:  Tipo adquisicion : Entidad</v>
      </c>
      <c r="G10358" s="5"/>
    </row>
    <row r="10359" spans="1:7" ht="58.5" customHeight="1" x14ac:dyDescent="0.25">
      <c r="A10359" s="5" t="str">
        <f>"H0006856"</f>
        <v>H0006856</v>
      </c>
      <c r="B10359" s="5" t="str">
        <f>"SILLA INTERLOCUTORA (FIJA) SIN BRAZOS"</f>
        <v>SILLA INTERLOCUTORA (FIJA) SIN BRAZOS</v>
      </c>
      <c r="C10359" s="6">
        <v>5610</v>
      </c>
      <c r="D10359" s="5"/>
      <c r="E10359" s="5" t="str">
        <f t="shared" si="527"/>
        <v>REHABILITACION Y TERAPIA-JHON CAMACHO</v>
      </c>
      <c r="F10359" s="5" t="str">
        <f>"Descripcion:SILLA FIJA SIN BRAZOS COLOR MARRON CON CUBIERTA EN FORMICA Estado: Bueno Placa anterior: 000008330 Material: METALICO Y FORMICA Color: GRIS Y MARRON Referencia:  Observacion:  Placa padre:  Tipo adquisicion : Entidad"</f>
        <v>Descripcion:SILLA FIJA SIN BRAZOS COLOR MARRON CON CUBIERTA EN FORMICA Estado: Bueno Placa anterior: 000008330 Material: METALICO Y FORMICA Color: GRIS Y MARRON Referencia:  Observacion:  Placa padre:  Tipo adquisicion : Entidad</v>
      </c>
      <c r="G10359" s="5"/>
    </row>
    <row r="10360" spans="1:7" ht="58.5" customHeight="1" x14ac:dyDescent="0.25">
      <c r="A10360" s="5" t="str">
        <f>"H0006859"</f>
        <v>H0006859</v>
      </c>
      <c r="B10360" s="5" t="str">
        <f>"BARRAS PARALELAS DE REHABILITACION (ADULTO)"</f>
        <v>BARRAS PARALELAS DE REHABILITACION (ADULTO)</v>
      </c>
      <c r="C10360" s="6">
        <v>377000</v>
      </c>
      <c r="D10360" s="5"/>
      <c r="E10360" s="5" t="str">
        <f t="shared" si="527"/>
        <v>REHABILITACION Y TERAPIA-JHON CAMACHO</v>
      </c>
      <c r="F10360" s="5" t="str">
        <f>"Descripcion:BARRAS PARALELAS ADULTOS Estado: Bueno Placa anterior: 000008404 Material: METALICO Y MADERA Color: AZUL Y MARRON Referencia:  Observacion:  Placa padre:  Tipo adquisicion : Entidad"</f>
        <v>Descripcion:BARRAS PARALELAS ADULTOS Estado: Bueno Placa anterior: 000008404 Material: METALICO Y MADERA Color: AZUL Y MARRON Referencia:  Observacion:  Placa padre:  Tipo adquisicion : Entidad</v>
      </c>
      <c r="G10360" s="5"/>
    </row>
    <row r="10361" spans="1:7" ht="58.5" customHeight="1" x14ac:dyDescent="0.25">
      <c r="A10361" s="5" t="str">
        <f>"H0006862"</f>
        <v>H0006862</v>
      </c>
      <c r="B10361" s="5" t="str">
        <f>"GABINETE CONTRA INCENDIO"</f>
        <v>GABINETE CONTRA INCENDIO</v>
      </c>
      <c r="C10361" s="6">
        <v>171000</v>
      </c>
      <c r="D10361" s="5"/>
      <c r="E10361" s="5" t="str">
        <f t="shared" si="527"/>
        <v>REHABILITACION Y TERAPIA-JHON CAMACHO</v>
      </c>
      <c r="F10361" s="5" t="str">
        <f>"Descripcion:KIT DE EMERGENCIA COMPUESTO POR HACHA, MANGUERA, ESTINTOR DE 10 KG, MARTILLO Estado: Bueno Placa anterior: 000019099 Material: MADERA Y VIDRIO LOS EQUIPOE METALICOS Color: MARRON Referencia:  Observacion:  Placa padre:  Tipo adquisicion : Enti"&amp; "dad"</f>
        <v>Descripcion:KIT DE EMERGENCIA COMPUESTO POR HACHA, MANGUERA, ESTINTOR DE 10 KG, MARTILLO Estado: Bueno Placa anterior: 000019099 Material: MADERA Y VIDRIO LOS EQUIPOE METALICOS Color: MARRON Referencia:  Observacion:  Placa padre:  Tipo adquisicion : Entidad</v>
      </c>
      <c r="G10361" s="5"/>
    </row>
    <row r="10362" spans="1:7" ht="58.5" customHeight="1" x14ac:dyDescent="0.25">
      <c r="A10362" s="5" t="str">
        <f>"H0006880"</f>
        <v>H0006880</v>
      </c>
      <c r="B10362" s="5" t="str">
        <f>"SILLA INTERLOCUTORA (FIJA) SIN BRAZOS"</f>
        <v>SILLA INTERLOCUTORA (FIJA) SIN BRAZOS</v>
      </c>
      <c r="C10362" s="6">
        <v>5610</v>
      </c>
      <c r="D10362" s="5"/>
      <c r="E10362" s="5" t="str">
        <f t="shared" si="527"/>
        <v>REHABILITACION Y TERAPIA-JHON CAMACHO</v>
      </c>
      <c r="F10362" s="5" t="str">
        <f>"Descripcion:SILLA FIJA SIN BRAZOS TAPIZADA EN CUERINA Estado: Bueno Placa anterior: 000008351 Material: METALICA Y CUERINA Color: GRIS Referencia:  Observacion:  Placa padre:  Tipo adquisicion : Entidad"</f>
        <v>Descripcion:SILLA FIJA SIN BRAZOS TAPIZADA EN CUERINA Estado: Bueno Placa anterior: 000008351 Material: METALICA Y CUERINA Color: GRIS Referencia:  Observacion:  Placa padre:  Tipo adquisicion : Entidad</v>
      </c>
      <c r="G10362" s="5"/>
    </row>
    <row r="10363" spans="1:7" ht="58.5" customHeight="1" x14ac:dyDescent="0.25">
      <c r="A10363" s="5" t="str">
        <f>"H0006887"</f>
        <v>H0006887</v>
      </c>
      <c r="B10363" s="5" t="str">
        <f>"SILLA INTERLOCUTORA (FIJA) SIN BRAZOS"</f>
        <v>SILLA INTERLOCUTORA (FIJA) SIN BRAZOS</v>
      </c>
      <c r="C10363" s="6">
        <v>5610</v>
      </c>
      <c r="D10363" s="5"/>
      <c r="E10363" s="5" t="str">
        <f t="shared" si="527"/>
        <v>REHABILITACION Y TERAPIA-JHON CAMACHO</v>
      </c>
      <c r="F10363" s="5" t="str">
        <f>"Descripcion:SILLA FIJA SIN BRAZOS COLOR MARRON CON CUBIERTA EN FORMICA Estado: Bueno Placa anterior: 000008347 Material: METALICO Y FORMICA Color: GRIS Y MARRON Referencia:  Observacion:  Placa padre:  Tipo adquisicion : Entidad"</f>
        <v>Descripcion:SILLA FIJA SIN BRAZOS COLOR MARRON CON CUBIERTA EN FORMICA Estado: Bueno Placa anterior: 000008347 Material: METALICO Y FORMICA Color: GRIS Y MARRON Referencia:  Observacion:  Placa padre:  Tipo adquisicion : Entidad</v>
      </c>
      <c r="G10363" s="5"/>
    </row>
    <row r="10364" spans="1:7" ht="58.5" customHeight="1" x14ac:dyDescent="0.25">
      <c r="A10364" s="5" t="str">
        <f>"H0020519"</f>
        <v>H0020519</v>
      </c>
      <c r="B10364" s="5" t="str">
        <f>"SILLA INTERLOCUTORA (FIJA) SIN BRAZOS"</f>
        <v>SILLA INTERLOCUTORA (FIJA) SIN BRAZOS</v>
      </c>
      <c r="C10364" s="6">
        <v>5610</v>
      </c>
      <c r="D10364" s="5"/>
      <c r="E10364" s="5" t="str">
        <f t="shared" si="527"/>
        <v>REHABILITACION Y TERAPIA-JHON CAMACHO</v>
      </c>
      <c r="F10364" s="5" t="str">
        <f>"Descripcion:SILLA FIJA SIN BRAZOS COLOR MARRON Estado: Bueno Placa anterior: 000008303 Material: METALICO Y CUERINA Color: GRIS Y MARRON Referencia:  Observacion:  Placa padre:  Tipo adquisicion : Entidad"</f>
        <v>Descripcion:SILLA FIJA SIN BRAZOS COLOR MARRON Estado: Bueno Placa anterior: 000008303 Material: METALICO Y CUERINA Color: GRIS Y MARRON Referencia:  Observacion:  Placa padre:  Tipo adquisicion : Entidad</v>
      </c>
      <c r="G10364" s="5"/>
    </row>
    <row r="10365" spans="1:7" ht="58.5" customHeight="1" x14ac:dyDescent="0.25">
      <c r="A10365" s="5" t="str">
        <f>"H0020580"</f>
        <v>H0020580</v>
      </c>
      <c r="B10365" s="5" t="str">
        <f>"TENSIOMETRO ANEROIDE DE MANO ADULTO"</f>
        <v>TENSIOMETRO ANEROIDE DE MANO ADULTO</v>
      </c>
      <c r="C10365" s="6">
        <v>40000</v>
      </c>
      <c r="D10365" s="5"/>
      <c r="E10365" s="5" t="str">
        <f t="shared" ref="E10365:E10396" si="528">"REHABILITACION Y TERAPIA-JHON CAMACHO"</f>
        <v>REHABILITACION Y TERAPIA-JHON CAMACHO</v>
      </c>
      <c r="F10365" s="5" t="str">
        <f>"Descripcion: TENSIOMETRO ANEROYDE STARMED - ADULTO - CON ESTUCHE NEGRO Estado: Malo Placa anterior: 000030454 Material: METAL Color: PLATEADO Referencia:  Observacion:  Placa anterior:, Placa nueva=H0020581, Descripcion:FONENDOSCOPIO DE 2 SERVICIOS CON AC"&amp; "CESORIOS, Serial:, Marca:, Modelo:, Material:METAL, Color:PLATEADO,   Referencia: Placa padre: Tipo adquisicion: Donacion"</f>
        <v>Descripcion: TENSIOMETRO ANEROYDE STARMED - ADULTO - CON ESTUCHE NEGRO Estado: Malo Placa anterior: 000030454 Material: METAL Color: PLATEADO Referencia:  Observacion:  Placa anterior:, Placa nueva=H0020581, Descripcion:FONENDOSCOPIO DE 2 SERVICIOS CON ACCESORIOS, Serial:, Marca:, Modelo:, Material:METAL, Color:PLATEADO,   Referencia: Placa padre: Tipo adquisicion: Donacion</v>
      </c>
      <c r="G10365" s="5"/>
    </row>
    <row r="10366" spans="1:7" ht="58.5" customHeight="1" x14ac:dyDescent="0.25">
      <c r="A10366" s="5" t="str">
        <f>"H0020986"</f>
        <v>H0020986</v>
      </c>
      <c r="B10366" s="5" t="str">
        <f>"TABLA DE PROPIOCEPCIÓN"</f>
        <v>TABLA DE PROPIOCEPCIÓN</v>
      </c>
      <c r="C10366" s="6">
        <v>252648</v>
      </c>
      <c r="D10366" s="5" t="s">
        <v>602</v>
      </c>
      <c r="E10366" s="5" t="str">
        <f t="shared" si="528"/>
        <v>REHABILITACION Y TERAPIA-JHON CAMACHO</v>
      </c>
      <c r="F10366" s="5"/>
      <c r="G10366" s="5"/>
    </row>
    <row r="10367" spans="1:7" ht="58.5" customHeight="1" x14ac:dyDescent="0.25">
      <c r="A10367" s="5" t="str">
        <f>"H0020990"</f>
        <v>H0020990</v>
      </c>
      <c r="B10367" s="5" t="str">
        <f>"MAQUINA RECUMBENT PARA BRAZOS Y PIERNAS"</f>
        <v>MAQUINA RECUMBENT PARA BRAZOS Y PIERNAS</v>
      </c>
      <c r="C10367" s="6">
        <v>1380000</v>
      </c>
      <c r="D10367" s="5" t="s">
        <v>603</v>
      </c>
      <c r="E10367" s="5" t="str">
        <f t="shared" si="528"/>
        <v>REHABILITACION Y TERAPIA-JHON CAMACHO</v>
      </c>
      <c r="F10367" s="5"/>
      <c r="G10367" s="5"/>
    </row>
    <row r="10368" spans="1:7" ht="58.5" customHeight="1" x14ac:dyDescent="0.25">
      <c r="A10368" s="5" t="str">
        <f>"H0020991"</f>
        <v>H0020991</v>
      </c>
      <c r="B10368" s="5" t="str">
        <f>"MAQUINA RECUMBENT PARA BRAZOS Y PIERNAS"</f>
        <v>MAQUINA RECUMBENT PARA BRAZOS Y PIERNAS</v>
      </c>
      <c r="C10368" s="6">
        <v>1380000</v>
      </c>
      <c r="D10368" s="5" t="s">
        <v>604</v>
      </c>
      <c r="E10368" s="5" t="str">
        <f t="shared" si="528"/>
        <v>REHABILITACION Y TERAPIA-JHON CAMACHO</v>
      </c>
      <c r="F10368" s="5"/>
      <c r="G10368" s="5"/>
    </row>
    <row r="10369" spans="1:7" ht="58.5" customHeight="1" x14ac:dyDescent="0.25">
      <c r="A10369" s="5" t="str">
        <f>"H0020993"</f>
        <v>H0020993</v>
      </c>
      <c r="B10369" s="5" t="str">
        <f>"BICICLETA SPINING HASTA 150KG"</f>
        <v>BICICLETA SPINING HASTA 150KG</v>
      </c>
      <c r="C10369" s="6">
        <v>1480000</v>
      </c>
      <c r="D10369" s="5" t="s">
        <v>604</v>
      </c>
      <c r="E10369" s="5" t="str">
        <f t="shared" si="528"/>
        <v>REHABILITACION Y TERAPIA-JHON CAMACHO</v>
      </c>
      <c r="F10369" s="5"/>
      <c r="G10369" s="5"/>
    </row>
    <row r="10370" spans="1:7" ht="58.5" customHeight="1" x14ac:dyDescent="0.25">
      <c r="A10370" s="5" t="str">
        <f>"H0020995"</f>
        <v>H0020995</v>
      </c>
      <c r="B10370" s="5" t="str">
        <f>"BANDA TROTADORA GIGANTE PACIENTES HASTA 150 KG"</f>
        <v>BANDA TROTADORA GIGANTE PACIENTES HASTA 150 KG</v>
      </c>
      <c r="C10370" s="6">
        <v>5200000.5</v>
      </c>
      <c r="D10370" s="5" t="s">
        <v>603</v>
      </c>
      <c r="E10370" s="5" t="str">
        <f t="shared" si="528"/>
        <v>REHABILITACION Y TERAPIA-JHON CAMACHO</v>
      </c>
      <c r="F10370" s="5"/>
      <c r="G10370" s="5"/>
    </row>
    <row r="10371" spans="1:7" ht="58.5" customHeight="1" x14ac:dyDescent="0.25">
      <c r="A10371" s="5" t="str">
        <f>"H0022378"</f>
        <v>H0022378</v>
      </c>
      <c r="B10371" s="5" t="str">
        <f>"ESPIROMETRO"</f>
        <v>ESPIROMETRO</v>
      </c>
      <c r="C10371" s="6">
        <v>4643263</v>
      </c>
      <c r="D10371" s="5" t="s">
        <v>350</v>
      </c>
      <c r="E10371" s="5" t="str">
        <f t="shared" si="528"/>
        <v>REHABILITACION Y TERAPIA-JHON CAMACHO</v>
      </c>
      <c r="F10371" s="5"/>
      <c r="G10371" s="5" t="str">
        <f>"MINISPIR"</f>
        <v>MINISPIR</v>
      </c>
    </row>
    <row r="10372" spans="1:7" ht="58.5" customHeight="1" x14ac:dyDescent="0.25">
      <c r="A10372" s="5" t="str">
        <f>"H0025354"</f>
        <v>H0025354</v>
      </c>
      <c r="B1037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372" s="6">
        <v>312156</v>
      </c>
      <c r="D10372" s="5" t="s">
        <v>10</v>
      </c>
      <c r="E10372" s="5" t="str">
        <f t="shared" si="528"/>
        <v>REHABILITACION Y TERAPIA-JHON CAMACHO</v>
      </c>
      <c r="F10372" s="5"/>
      <c r="G10372" s="5"/>
    </row>
    <row r="10373" spans="1:7" ht="58.5" customHeight="1" x14ac:dyDescent="0.25">
      <c r="A10373" s="5" t="str">
        <f>"H0025742"</f>
        <v>H0025742</v>
      </c>
      <c r="B10373" s="5" t="str">
        <f>"TANQUE REMOLINO"</f>
        <v>TANQUE REMOLINO</v>
      </c>
      <c r="C10373" s="6">
        <v>10500000</v>
      </c>
      <c r="D10373" s="5" t="s">
        <v>241</v>
      </c>
      <c r="E10373" s="5" t="str">
        <f t="shared" si="528"/>
        <v>REHABILITACION Y TERAPIA-JHON CAMACHO</v>
      </c>
      <c r="F10373" s="5"/>
      <c r="G10373" s="5"/>
    </row>
    <row r="10374" spans="1:7" ht="58.5" customHeight="1" x14ac:dyDescent="0.25">
      <c r="A10374" s="5" t="str">
        <f>"H0025743"</f>
        <v>H0025743</v>
      </c>
      <c r="B10374" s="5" t="str">
        <f>"TANQUE PARA PAQUETE CALIENTE"</f>
        <v>TANQUE PARA PAQUETE CALIENTE</v>
      </c>
      <c r="C10374" s="6">
        <v>5390000</v>
      </c>
      <c r="D10374" s="5" t="s">
        <v>241</v>
      </c>
      <c r="E10374" s="5" t="str">
        <f t="shared" si="528"/>
        <v>REHABILITACION Y TERAPIA-JHON CAMACHO</v>
      </c>
      <c r="F10374" s="5"/>
      <c r="G10374" s="5"/>
    </row>
    <row r="10375" spans="1:7" ht="58.5" customHeight="1" x14ac:dyDescent="0.25">
      <c r="A10375" s="5" t="str">
        <f>"H0025744"</f>
        <v>H0025744</v>
      </c>
      <c r="B10375" s="5" t="str">
        <f>"TANQUE PARA PAQUETE FRIO"</f>
        <v>TANQUE PARA PAQUETE FRIO</v>
      </c>
      <c r="C10375" s="6">
        <v>3080000</v>
      </c>
      <c r="D10375" s="5" t="s">
        <v>241</v>
      </c>
      <c r="E10375" s="5" t="str">
        <f t="shared" si="528"/>
        <v>REHABILITACION Y TERAPIA-JHON CAMACHO</v>
      </c>
      <c r="F10375" s="5"/>
      <c r="G10375" s="5"/>
    </row>
    <row r="10376" spans="1:7" ht="58.5" customHeight="1" x14ac:dyDescent="0.25">
      <c r="A10376" s="5" t="str">
        <f>"H0026002"</f>
        <v>H0026002</v>
      </c>
      <c r="B10376" s="5" t="str">
        <f>"SILLA DE RUEDAS"</f>
        <v>SILLA DE RUEDAS</v>
      </c>
      <c r="C10376" s="6">
        <v>280000</v>
      </c>
      <c r="D10376" s="5" t="s">
        <v>77</v>
      </c>
      <c r="E10376" s="5" t="str">
        <f t="shared" si="528"/>
        <v>REHABILITACION Y TERAPIA-JHON CAMACHO</v>
      </c>
      <c r="F10376" s="5"/>
      <c r="G10376" s="5"/>
    </row>
    <row r="10377" spans="1:7" ht="58.5" customHeight="1" x14ac:dyDescent="0.25">
      <c r="A10377" s="5" t="str">
        <f>"H0026003"</f>
        <v>H0026003</v>
      </c>
      <c r="B10377" s="5" t="str">
        <f>"SILLA DE RUEDAS"</f>
        <v>SILLA DE RUEDAS</v>
      </c>
      <c r="C10377" s="6">
        <v>280000</v>
      </c>
      <c r="D10377" s="5" t="s">
        <v>77</v>
      </c>
      <c r="E10377" s="5" t="str">
        <f t="shared" si="528"/>
        <v>REHABILITACION Y TERAPIA-JHON CAMACHO</v>
      </c>
      <c r="F10377" s="5"/>
      <c r="G10377" s="5"/>
    </row>
    <row r="10378" spans="1:7" ht="58.5" customHeight="1" x14ac:dyDescent="0.25">
      <c r="A10378" s="5" t="str">
        <f>"H0026784"</f>
        <v>H0026784</v>
      </c>
      <c r="B10378" s="5" t="str">
        <f>"BICICLETA ESTATICA (Donación)"</f>
        <v>BICICLETA ESTATICA (Donación)</v>
      </c>
      <c r="C10378" s="6">
        <v>800000</v>
      </c>
      <c r="D10378" s="5" t="s">
        <v>78</v>
      </c>
      <c r="E10378" s="5" t="str">
        <f t="shared" si="528"/>
        <v>REHABILITACION Y TERAPIA-JHON CAMACHO</v>
      </c>
      <c r="F10378" s="5"/>
      <c r="G10378" s="5"/>
    </row>
    <row r="10379" spans="1:7" ht="58.5" customHeight="1" x14ac:dyDescent="0.25">
      <c r="A10379" s="5" t="str">
        <f>"H0026785"</f>
        <v>H0026785</v>
      </c>
      <c r="B10379" s="5" t="str">
        <f>"BICICLETA ESTATICA (Donación)"</f>
        <v>BICICLETA ESTATICA (Donación)</v>
      </c>
      <c r="C10379" s="6">
        <v>800000</v>
      </c>
      <c r="D10379" s="5" t="s">
        <v>78</v>
      </c>
      <c r="E10379" s="5" t="str">
        <f t="shared" si="528"/>
        <v>REHABILITACION Y TERAPIA-JHON CAMACHO</v>
      </c>
      <c r="F10379" s="5"/>
      <c r="G10379" s="5"/>
    </row>
    <row r="10380" spans="1:7" ht="58.5" customHeight="1" x14ac:dyDescent="0.25">
      <c r="A10380" s="5" t="str">
        <f>"H0026786"</f>
        <v>H0026786</v>
      </c>
      <c r="B10380" s="5" t="str">
        <f>"ESCALADOR (Donación)"</f>
        <v>ESCALADOR (Donación)</v>
      </c>
      <c r="C10380" s="6">
        <v>280000</v>
      </c>
      <c r="D10380" s="5" t="s">
        <v>78</v>
      </c>
      <c r="E10380" s="5" t="str">
        <f t="shared" si="528"/>
        <v>REHABILITACION Y TERAPIA-JHON CAMACHO</v>
      </c>
      <c r="F10380" s="5"/>
      <c r="G10380" s="5"/>
    </row>
    <row r="10381" spans="1:7" ht="58.5" customHeight="1" x14ac:dyDescent="0.25">
      <c r="A10381" s="5" t="str">
        <f>"H0027042"</f>
        <v>H0027042</v>
      </c>
      <c r="B10381" s="5" t="str">
        <f>"RUEDA DE HOMBRO (MECANOTERAPIA)"</f>
        <v>RUEDA DE HOMBRO (MECANOTERAPIA)</v>
      </c>
      <c r="C10381" s="6">
        <v>2590001</v>
      </c>
      <c r="D10381" s="5" t="s">
        <v>605</v>
      </c>
      <c r="E10381" s="5" t="str">
        <f t="shared" si="528"/>
        <v>REHABILITACION Y TERAPIA-JHON CAMACHO</v>
      </c>
      <c r="F10381" s="5"/>
      <c r="G10381" s="5"/>
    </row>
    <row r="10382" spans="1:7" ht="58.5" customHeight="1" x14ac:dyDescent="0.25">
      <c r="A10382" s="5" t="str">
        <f>"H0027113"</f>
        <v>H0027113</v>
      </c>
      <c r="B10382" s="5" t="str">
        <f>"TANQUE PARAFINA"</f>
        <v>TANQUE PARAFINA</v>
      </c>
      <c r="C10382" s="6">
        <v>2825001</v>
      </c>
      <c r="D10382" s="5" t="s">
        <v>606</v>
      </c>
      <c r="E10382" s="5" t="str">
        <f t="shared" si="528"/>
        <v>REHABILITACION Y TERAPIA-JHON CAMACHO</v>
      </c>
      <c r="F10382" s="5"/>
      <c r="G10382" s="5"/>
    </row>
    <row r="10383" spans="1:7" ht="58.5" customHeight="1" x14ac:dyDescent="0.25">
      <c r="A10383" s="5" t="str">
        <f>"H0027144"</f>
        <v>H0027144</v>
      </c>
      <c r="B10383" s="5" t="str">
        <f>"MONITOR DE SIGNOS VITALES"</f>
        <v>MONITOR DE SIGNOS VITALES</v>
      </c>
      <c r="C10383" s="6">
        <v>3680000.05</v>
      </c>
      <c r="D10383" s="5" t="s">
        <v>82</v>
      </c>
      <c r="E10383" s="5" t="str">
        <f t="shared" si="528"/>
        <v>REHABILITACION Y TERAPIA-JHON CAMACHO</v>
      </c>
      <c r="F10383" s="5"/>
      <c r="G10383" s="5" t="str">
        <f>"IM12"</f>
        <v>IM12</v>
      </c>
    </row>
    <row r="10384" spans="1:7" ht="58.5" customHeight="1" x14ac:dyDescent="0.25">
      <c r="A10384" s="5" t="str">
        <f>"H0027183"</f>
        <v>H0027183</v>
      </c>
      <c r="B1038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384" s="6">
        <v>2641800</v>
      </c>
      <c r="D10384" s="5" t="s">
        <v>38</v>
      </c>
      <c r="E10384" s="5" t="str">
        <f t="shared" si="528"/>
        <v>REHABILITACION Y TERAPIA-JHON CAMACHO</v>
      </c>
      <c r="F10384" s="5"/>
      <c r="G10384" s="5"/>
    </row>
    <row r="10385" spans="1:7" ht="58.5" customHeight="1" x14ac:dyDescent="0.25">
      <c r="A10385" s="5" t="str">
        <f>"H0027184"</f>
        <v>H0027184</v>
      </c>
      <c r="B1038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385" s="6">
        <v>2641800</v>
      </c>
      <c r="D10385" s="5" t="s">
        <v>38</v>
      </c>
      <c r="E10385" s="5" t="str">
        <f t="shared" si="528"/>
        <v>REHABILITACION Y TERAPIA-JHON CAMACHO</v>
      </c>
      <c r="F10385" s="5"/>
      <c r="G10385" s="5"/>
    </row>
    <row r="10386" spans="1:7" ht="58.5" customHeight="1" x14ac:dyDescent="0.25">
      <c r="A10386" s="5" t="str">
        <f>"H0027275"</f>
        <v>H0027275</v>
      </c>
      <c r="B1038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386" s="6">
        <v>2641800</v>
      </c>
      <c r="D10386" s="5" t="s">
        <v>38</v>
      </c>
      <c r="E10386" s="5" t="str">
        <f t="shared" si="528"/>
        <v>REHABILITACION Y TERAPIA-JHON CAMACHO</v>
      </c>
      <c r="F10386" s="5"/>
      <c r="G10386" s="5"/>
    </row>
    <row r="10387" spans="1:7" ht="58.5" customHeight="1" x14ac:dyDescent="0.25">
      <c r="A10387" s="5" t="str">
        <f>"H0027304"</f>
        <v>H0027304</v>
      </c>
      <c r="B10387" s="5" t="str">
        <f>"BASE PARA MONITOR DE SIGNOS VITALES"</f>
        <v>BASE PARA MONITOR DE SIGNOS VITALES</v>
      </c>
      <c r="C10387" s="6">
        <v>809200</v>
      </c>
      <c r="D10387" s="5" t="s">
        <v>269</v>
      </c>
      <c r="E10387" s="5" t="str">
        <f t="shared" si="528"/>
        <v>REHABILITACION Y TERAPIA-JHON CAMACHO</v>
      </c>
      <c r="F10387" s="5"/>
      <c r="G10387" s="5"/>
    </row>
    <row r="10388" spans="1:7" ht="58.5" customHeight="1" x14ac:dyDescent="0.25">
      <c r="A10388" s="5" t="str">
        <f>"H0027342"</f>
        <v>H0027342</v>
      </c>
      <c r="B10388" s="5" t="str">
        <f>"DESFRIBILADOR"</f>
        <v>DESFRIBILADOR</v>
      </c>
      <c r="C10388" s="6">
        <v>15300000.140000001</v>
      </c>
      <c r="D10388" s="5" t="s">
        <v>305</v>
      </c>
      <c r="E10388" s="5" t="str">
        <f t="shared" si="528"/>
        <v>REHABILITACION Y TERAPIA-JHON CAMACHO</v>
      </c>
      <c r="F10388" s="5"/>
      <c r="G10388" s="5" t="str">
        <f>"BENEHEART D3"</f>
        <v>BENEHEART D3</v>
      </c>
    </row>
    <row r="10389" spans="1:7" ht="58.5" customHeight="1" x14ac:dyDescent="0.25">
      <c r="A10389" s="5" t="str">
        <f>"H0027440"</f>
        <v>H0027440</v>
      </c>
      <c r="B10389" s="5" t="str">
        <f>"LECTOR DE HUELLAS DIGITALES"</f>
        <v>LECTOR DE HUELLAS DIGITALES</v>
      </c>
      <c r="C10389" s="6">
        <v>234000.41</v>
      </c>
      <c r="D10389" s="5" t="s">
        <v>83</v>
      </c>
      <c r="E10389" s="5" t="str">
        <f t="shared" si="528"/>
        <v>REHABILITACION Y TERAPIA-JHON CAMACHO</v>
      </c>
      <c r="F10389" s="5"/>
      <c r="G10389" s="5"/>
    </row>
    <row r="10390" spans="1:7" ht="58.5" customHeight="1" x14ac:dyDescent="0.25">
      <c r="A10390" s="5" t="str">
        <f>"H0027565"</f>
        <v>H0027565</v>
      </c>
      <c r="B10390" s="5" t="str">
        <f>"LECTOR DE HUELLAS DIGITALES"</f>
        <v>LECTOR DE HUELLAS DIGITALES</v>
      </c>
      <c r="C10390" s="6">
        <v>234000.41</v>
      </c>
      <c r="D10390" s="5" t="s">
        <v>83</v>
      </c>
      <c r="E10390" s="5" t="str">
        <f t="shared" si="528"/>
        <v>REHABILITACION Y TERAPIA-JHON CAMACHO</v>
      </c>
      <c r="F10390" s="5"/>
      <c r="G10390" s="5"/>
    </row>
    <row r="10391" spans="1:7" ht="58.5" customHeight="1" x14ac:dyDescent="0.25">
      <c r="A10391" s="5" t="str">
        <f>"H0027582"</f>
        <v>H0027582</v>
      </c>
      <c r="B10391" s="5" t="str">
        <f>"LECTOR DE HUELLAS DIGITALES"</f>
        <v>LECTOR DE HUELLAS DIGITALES</v>
      </c>
      <c r="C10391" s="6">
        <v>234000.41</v>
      </c>
      <c r="D10391" s="5" t="s">
        <v>83</v>
      </c>
      <c r="E10391" s="5" t="str">
        <f t="shared" si="528"/>
        <v>REHABILITACION Y TERAPIA-JHON CAMACHO</v>
      </c>
      <c r="F10391" s="5"/>
      <c r="G10391" s="5"/>
    </row>
    <row r="10392" spans="1:7" ht="58.5" customHeight="1" x14ac:dyDescent="0.25">
      <c r="A10392" s="5" t="str">
        <f>"H0027583"</f>
        <v>H0027583</v>
      </c>
      <c r="B10392" s="5" t="str">
        <f>"LECTOR DE HUELLAS DIGITALES"</f>
        <v>LECTOR DE HUELLAS DIGITALES</v>
      </c>
      <c r="C10392" s="6">
        <v>234000.41</v>
      </c>
      <c r="D10392" s="5" t="s">
        <v>83</v>
      </c>
      <c r="E10392" s="5" t="str">
        <f t="shared" si="528"/>
        <v>REHABILITACION Y TERAPIA-JHON CAMACHO</v>
      </c>
      <c r="F10392" s="5"/>
      <c r="G10392" s="5"/>
    </row>
    <row r="10393" spans="1:7" ht="58.5" customHeight="1" x14ac:dyDescent="0.25">
      <c r="A10393" s="5" t="str">
        <f>"H0027584"</f>
        <v>H0027584</v>
      </c>
      <c r="B10393" s="5" t="str">
        <f>"LECTOR DE HUELLAS DIGITALES"</f>
        <v>LECTOR DE HUELLAS DIGITALES</v>
      </c>
      <c r="C10393" s="6">
        <v>234000.41</v>
      </c>
      <c r="D10393" s="5" t="s">
        <v>83</v>
      </c>
      <c r="E10393" s="5" t="str">
        <f t="shared" si="528"/>
        <v>REHABILITACION Y TERAPIA-JHON CAMACHO</v>
      </c>
      <c r="F10393" s="5"/>
      <c r="G10393" s="5"/>
    </row>
    <row r="10394" spans="1:7" ht="58.5" customHeight="1" x14ac:dyDescent="0.25">
      <c r="A10394" s="5" t="str">
        <f>"H0027596"</f>
        <v>H0027596</v>
      </c>
      <c r="B10394" s="5" t="str">
        <f>"LARINGOSCOPIO ADULTO"</f>
        <v>LARINGOSCOPIO ADULTO</v>
      </c>
      <c r="C10394" s="6">
        <v>913920</v>
      </c>
      <c r="D10394" s="5" t="s">
        <v>84</v>
      </c>
      <c r="E10394" s="5" t="str">
        <f t="shared" si="528"/>
        <v>REHABILITACION Y TERAPIA-JHON CAMACHO</v>
      </c>
      <c r="F10394" s="5"/>
      <c r="G10394" s="5"/>
    </row>
    <row r="10395" spans="1:7" ht="58.5" customHeight="1" x14ac:dyDescent="0.25">
      <c r="A10395" s="5" t="str">
        <f>"H0027611"</f>
        <v>H0027611</v>
      </c>
      <c r="B10395" s="5" t="str">
        <f>"MONITOR DE SIGNOS VITALES CONPRESIÓN INVASIVA CON AGENTES ANESTESICOS"</f>
        <v>MONITOR DE SIGNOS VITALES CONPRESIÓN INVASIVA CON AGENTES ANESTESICOS</v>
      </c>
      <c r="C10395" s="6">
        <v>21890000</v>
      </c>
      <c r="D10395" s="5" t="s">
        <v>84</v>
      </c>
      <c r="E10395" s="5" t="str">
        <f t="shared" si="528"/>
        <v>REHABILITACION Y TERAPIA-JHON CAMACHO</v>
      </c>
      <c r="F10395" s="5"/>
      <c r="G10395" s="5" t="str">
        <f>"iM12"</f>
        <v>iM12</v>
      </c>
    </row>
    <row r="10396" spans="1:7" ht="58.5" customHeight="1" x14ac:dyDescent="0.25">
      <c r="A10396" s="5" t="str">
        <f>"H0027624"</f>
        <v>H0027624</v>
      </c>
      <c r="B10396"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396" s="6">
        <v>2580000</v>
      </c>
      <c r="D10396" s="5" t="s">
        <v>85</v>
      </c>
      <c r="E10396" s="5" t="str">
        <f t="shared" si="528"/>
        <v>REHABILITACION Y TERAPIA-JHON CAMACHO</v>
      </c>
      <c r="F10396" s="5"/>
      <c r="G10396" s="5"/>
    </row>
    <row r="10397" spans="1:7" ht="58.5" customHeight="1" x14ac:dyDescent="0.25">
      <c r="A10397" s="5" t="str">
        <f>"H0028985"</f>
        <v>H0028985</v>
      </c>
      <c r="B10397" s="5" t="str">
        <f t="shared" ref="B10397:B10402" si="529">"MESA CON RODACHINES EN ACERO INOXIDABLE"</f>
        <v>MESA CON RODACHINES EN ACERO INOXIDABLE</v>
      </c>
      <c r="C10397" s="6">
        <v>333200</v>
      </c>
      <c r="D10397" s="5" t="s">
        <v>607</v>
      </c>
      <c r="E10397" s="5" t="str">
        <f t="shared" ref="E10397:E10428" si="530">"REHABILITACION Y TERAPIA-JHON CAMACHO"</f>
        <v>REHABILITACION Y TERAPIA-JHON CAMACHO</v>
      </c>
      <c r="F10397" s="5"/>
      <c r="G10397" s="5"/>
    </row>
    <row r="10398" spans="1:7" ht="58.5" customHeight="1" x14ac:dyDescent="0.25">
      <c r="A10398" s="5" t="str">
        <f>"H0028986"</f>
        <v>H0028986</v>
      </c>
      <c r="B10398" s="5" t="str">
        <f t="shared" si="529"/>
        <v>MESA CON RODACHINES EN ACERO INOXIDABLE</v>
      </c>
      <c r="C10398" s="6">
        <v>333200</v>
      </c>
      <c r="D10398" s="5" t="s">
        <v>607</v>
      </c>
      <c r="E10398" s="5" t="str">
        <f t="shared" si="530"/>
        <v>REHABILITACION Y TERAPIA-JHON CAMACHO</v>
      </c>
      <c r="F10398" s="5"/>
      <c r="G10398" s="5"/>
    </row>
    <row r="10399" spans="1:7" ht="58.5" customHeight="1" x14ac:dyDescent="0.25">
      <c r="A10399" s="5" t="str">
        <f>"H0028987"</f>
        <v>H0028987</v>
      </c>
      <c r="B10399" s="5" t="str">
        <f t="shared" si="529"/>
        <v>MESA CON RODACHINES EN ACERO INOXIDABLE</v>
      </c>
      <c r="C10399" s="6">
        <v>333200</v>
      </c>
      <c r="D10399" s="5" t="s">
        <v>607</v>
      </c>
      <c r="E10399" s="5" t="str">
        <f t="shared" si="530"/>
        <v>REHABILITACION Y TERAPIA-JHON CAMACHO</v>
      </c>
      <c r="F10399" s="5"/>
      <c r="G10399" s="5"/>
    </row>
    <row r="10400" spans="1:7" ht="58.5" customHeight="1" x14ac:dyDescent="0.25">
      <c r="A10400" s="5" t="str">
        <f>"H0028988"</f>
        <v>H0028988</v>
      </c>
      <c r="B10400" s="5" t="str">
        <f t="shared" si="529"/>
        <v>MESA CON RODACHINES EN ACERO INOXIDABLE</v>
      </c>
      <c r="C10400" s="6">
        <v>333200</v>
      </c>
      <c r="D10400" s="5" t="s">
        <v>607</v>
      </c>
      <c r="E10400" s="5" t="str">
        <f t="shared" si="530"/>
        <v>REHABILITACION Y TERAPIA-JHON CAMACHO</v>
      </c>
      <c r="F10400" s="5"/>
      <c r="G10400" s="5"/>
    </row>
    <row r="10401" spans="1:7" ht="58.5" customHeight="1" x14ac:dyDescent="0.25">
      <c r="A10401" s="5" t="str">
        <f>"H0028989"</f>
        <v>H0028989</v>
      </c>
      <c r="B10401" s="5" t="str">
        <f t="shared" si="529"/>
        <v>MESA CON RODACHINES EN ACERO INOXIDABLE</v>
      </c>
      <c r="C10401" s="6">
        <v>333200</v>
      </c>
      <c r="D10401" s="5" t="s">
        <v>607</v>
      </c>
      <c r="E10401" s="5" t="str">
        <f t="shared" si="530"/>
        <v>REHABILITACION Y TERAPIA-JHON CAMACHO</v>
      </c>
      <c r="F10401" s="5"/>
      <c r="G10401" s="5"/>
    </row>
    <row r="10402" spans="1:7" ht="58.5" customHeight="1" x14ac:dyDescent="0.25">
      <c r="A10402" s="5" t="str">
        <f>"H0028990"</f>
        <v>H0028990</v>
      </c>
      <c r="B10402" s="5" t="str">
        <f t="shared" si="529"/>
        <v>MESA CON RODACHINES EN ACERO INOXIDABLE</v>
      </c>
      <c r="C10402" s="6">
        <v>333200</v>
      </c>
      <c r="D10402" s="5" t="s">
        <v>607</v>
      </c>
      <c r="E10402" s="5" t="str">
        <f t="shared" si="530"/>
        <v>REHABILITACION Y TERAPIA-JHON CAMACHO</v>
      </c>
      <c r="F10402" s="5"/>
      <c r="G10402" s="5"/>
    </row>
    <row r="10403" spans="1:7" ht="58.5" customHeight="1" x14ac:dyDescent="0.25">
      <c r="A10403" s="5" t="str">
        <f>"H0028999"</f>
        <v>H0028999</v>
      </c>
      <c r="B10403" s="5" t="str">
        <f>"SILLA ERGONOMICAS PARA COMPUTADOR"</f>
        <v>SILLA ERGONOMICAS PARA COMPUTADOR</v>
      </c>
      <c r="C10403" s="6">
        <v>618800</v>
      </c>
      <c r="D10403" s="5" t="s">
        <v>608</v>
      </c>
      <c r="E10403" s="5" t="str">
        <f t="shared" si="530"/>
        <v>REHABILITACION Y TERAPIA-JHON CAMACHO</v>
      </c>
      <c r="F10403" s="5"/>
      <c r="G10403" s="5"/>
    </row>
    <row r="10404" spans="1:7" ht="58.5" customHeight="1" x14ac:dyDescent="0.25">
      <c r="A10404" s="5" t="str">
        <f>"H0029000"</f>
        <v>H0029000</v>
      </c>
      <c r="B10404" s="5" t="str">
        <f>"SILLA ERGONOMICAS PARA COMPUTADOR"</f>
        <v>SILLA ERGONOMICAS PARA COMPUTADOR</v>
      </c>
      <c r="C10404" s="6">
        <v>618800</v>
      </c>
      <c r="D10404" s="5" t="s">
        <v>608</v>
      </c>
      <c r="E10404" s="5" t="str">
        <f t="shared" si="530"/>
        <v>REHABILITACION Y TERAPIA-JHON CAMACHO</v>
      </c>
      <c r="F10404" s="5"/>
      <c r="G10404" s="5"/>
    </row>
    <row r="10405" spans="1:7" ht="58.5" customHeight="1" x14ac:dyDescent="0.25">
      <c r="A10405" s="5" t="str">
        <f>"H0029001"</f>
        <v>H0029001</v>
      </c>
      <c r="B10405" s="5" t="str">
        <f>"SILLA ERGONOMICAS PARA COMPUTADOR"</f>
        <v>SILLA ERGONOMICAS PARA COMPUTADOR</v>
      </c>
      <c r="C10405" s="6">
        <v>618800</v>
      </c>
      <c r="D10405" s="5" t="s">
        <v>608</v>
      </c>
      <c r="E10405" s="5" t="str">
        <f t="shared" si="530"/>
        <v>REHABILITACION Y TERAPIA-JHON CAMACHO</v>
      </c>
      <c r="F10405" s="5"/>
      <c r="G10405" s="5"/>
    </row>
    <row r="10406" spans="1:7" ht="58.5" customHeight="1" x14ac:dyDescent="0.25">
      <c r="A10406" s="5" t="str">
        <f>"H0029002"</f>
        <v>H0029002</v>
      </c>
      <c r="B10406" s="5" t="str">
        <f>"SILLA ERGONOMICAS PARA COMPUTADOR"</f>
        <v>SILLA ERGONOMICAS PARA COMPUTADOR</v>
      </c>
      <c r="C10406" s="6">
        <v>618800</v>
      </c>
      <c r="D10406" s="5" t="s">
        <v>608</v>
      </c>
      <c r="E10406" s="5" t="str">
        <f t="shared" si="530"/>
        <v>REHABILITACION Y TERAPIA-JHON CAMACHO</v>
      </c>
      <c r="F10406" s="5"/>
      <c r="G10406" s="5"/>
    </row>
    <row r="10407" spans="1:7" ht="58.5" customHeight="1" x14ac:dyDescent="0.25">
      <c r="A10407" s="5" t="str">
        <f>"H0029006"</f>
        <v>H0029006</v>
      </c>
      <c r="B10407" s="5" t="str">
        <f>"SILLAS DE OFICINA (SILLA EJECUTIVA NEUMÁTICA REF. ALTA, TIPO DE SOPORTE LUMBAR-DORSAL Y CERVICAL, MEDIDAS DE 50X45 DE ESPALDAR, Y ASIENTO DE 44X46, FABRICADOS EN POLIPROPILENO DE ALTA RESISTENCIA, ACOLCHADO EN ESPUMA DE ALTA DENSIDAD DE 5CM, TAPIZADO EN P"&amp; "AÑO DE COLORES REGULABLE DE 36 A 46 CM. RESPALDO FIJO. CON BASE DE 5 PUNTAS Y RUEDAS EN NYLON, SIN APOYA BRAZO. TAPIZADO COLOR A ESCOGER)"</f>
        <v>SILLAS DE OFICINA (SILLA EJECUTIVA NEUMÁTICA REF. ALTA, TIPO DE SOPORTE LUMBAR-DORSAL Y CERVICAL, MEDIDAS DE 50X45 DE ESPALDAR, Y ASIENTO DE 44X46, FABRICADOS EN POLIPROPILENO DE ALTA RESISTENCIA, ACOLCHADO EN ESPUMA DE ALTA DENSIDAD DE 5CM, TAPIZADO EN PAÑO DE COLORES REGULABLE DE 36 A 46 CM. RESPALDO FIJO. CON BASE DE 5 PUNTAS Y RUEDAS EN NYLON, SIN APOYA BRAZO. TAPIZADO COLOR A ESCOGER)</v>
      </c>
      <c r="C10407" s="6">
        <v>333200</v>
      </c>
      <c r="D10407" s="5" t="s">
        <v>608</v>
      </c>
      <c r="E10407" s="5" t="str">
        <f t="shared" si="530"/>
        <v>REHABILITACION Y TERAPIA-JHON CAMACHO</v>
      </c>
      <c r="F10407" s="5"/>
      <c r="G10407" s="5"/>
    </row>
    <row r="10408" spans="1:7" ht="58.5" customHeight="1" x14ac:dyDescent="0.25">
      <c r="A10408" s="5" t="str">
        <f>"H0029010"</f>
        <v>H0029010</v>
      </c>
      <c r="B10408" s="5" t="str">
        <f t="shared" ref="B10408:B10426" si="531">"SILLAS NORMAL (SILLAS ISÓSCELES TAPIZADA, ESPALDAS Y ASIENTO EN POLIPROPILENO, BASTIDORES INTERNOS EN MADERA, TAPIZADO EN ESPUMA DE ALTA DENSIDAD RECUBIERTO EN PAÑO O TELA, HERRAJE FABRICADO EN TUBO OVAL DE 30*15 CALIBRE 16, CON ACABADOS EN PINTURA EN POL"&amp; "VO HORNEABLE DE APLICACIÓN ELECTROSTÁTICA, TAPIZADO COLOR A ESCOGER.)"</f>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08" s="6">
        <v>130900</v>
      </c>
      <c r="D10408" s="5" t="s">
        <v>608</v>
      </c>
      <c r="E10408" s="5" t="str">
        <f t="shared" si="530"/>
        <v>REHABILITACION Y TERAPIA-JHON CAMACHO</v>
      </c>
      <c r="F10408" s="5"/>
      <c r="G10408" s="5"/>
    </row>
    <row r="10409" spans="1:7" ht="58.5" customHeight="1" x14ac:dyDescent="0.25">
      <c r="A10409" s="5" t="str">
        <f>"H0029011"</f>
        <v>H0029011</v>
      </c>
      <c r="B10409"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09" s="6">
        <v>130900</v>
      </c>
      <c r="D10409" s="5" t="s">
        <v>608</v>
      </c>
      <c r="E10409" s="5" t="str">
        <f t="shared" si="530"/>
        <v>REHABILITACION Y TERAPIA-JHON CAMACHO</v>
      </c>
      <c r="F10409" s="5"/>
      <c r="G10409" s="5"/>
    </row>
    <row r="10410" spans="1:7" ht="58.5" customHeight="1" x14ac:dyDescent="0.25">
      <c r="A10410" s="5" t="str">
        <f>"H0029012"</f>
        <v>H0029012</v>
      </c>
      <c r="B10410"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0" s="6">
        <v>130900</v>
      </c>
      <c r="D10410" s="5" t="s">
        <v>608</v>
      </c>
      <c r="E10410" s="5" t="str">
        <f t="shared" si="530"/>
        <v>REHABILITACION Y TERAPIA-JHON CAMACHO</v>
      </c>
      <c r="F10410" s="5"/>
      <c r="G10410" s="5"/>
    </row>
    <row r="10411" spans="1:7" ht="58.5" customHeight="1" x14ac:dyDescent="0.25">
      <c r="A10411" s="5" t="str">
        <f>"H0029013"</f>
        <v>H0029013</v>
      </c>
      <c r="B10411"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1" s="6">
        <v>130900</v>
      </c>
      <c r="D10411" s="5" t="s">
        <v>608</v>
      </c>
      <c r="E10411" s="5" t="str">
        <f t="shared" si="530"/>
        <v>REHABILITACION Y TERAPIA-JHON CAMACHO</v>
      </c>
      <c r="F10411" s="5"/>
      <c r="G10411" s="5"/>
    </row>
    <row r="10412" spans="1:7" ht="58.5" customHeight="1" x14ac:dyDescent="0.25">
      <c r="A10412" s="5" t="str">
        <f>"H0029014"</f>
        <v>H0029014</v>
      </c>
      <c r="B10412"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2" s="6">
        <v>130900</v>
      </c>
      <c r="D10412" s="5" t="s">
        <v>608</v>
      </c>
      <c r="E10412" s="5" t="str">
        <f t="shared" si="530"/>
        <v>REHABILITACION Y TERAPIA-JHON CAMACHO</v>
      </c>
      <c r="F10412" s="5"/>
      <c r="G10412" s="5"/>
    </row>
    <row r="10413" spans="1:7" ht="58.5" customHeight="1" x14ac:dyDescent="0.25">
      <c r="A10413" s="5" t="str">
        <f>"H0029015"</f>
        <v>H0029015</v>
      </c>
      <c r="B10413"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3" s="6">
        <v>130900</v>
      </c>
      <c r="D10413" s="5" t="s">
        <v>608</v>
      </c>
      <c r="E10413" s="5" t="str">
        <f t="shared" si="530"/>
        <v>REHABILITACION Y TERAPIA-JHON CAMACHO</v>
      </c>
      <c r="F10413" s="5"/>
      <c r="G10413" s="5"/>
    </row>
    <row r="10414" spans="1:7" ht="58.5" customHeight="1" x14ac:dyDescent="0.25">
      <c r="A10414" s="5" t="str">
        <f>"H0029016"</f>
        <v>H0029016</v>
      </c>
      <c r="B10414"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4" s="6">
        <v>130900</v>
      </c>
      <c r="D10414" s="5" t="s">
        <v>608</v>
      </c>
      <c r="E10414" s="5" t="str">
        <f t="shared" si="530"/>
        <v>REHABILITACION Y TERAPIA-JHON CAMACHO</v>
      </c>
      <c r="F10414" s="5"/>
      <c r="G10414" s="5"/>
    </row>
    <row r="10415" spans="1:7" ht="58.5" customHeight="1" x14ac:dyDescent="0.25">
      <c r="A10415" s="5" t="str">
        <f>"H0029017"</f>
        <v>H0029017</v>
      </c>
      <c r="B10415"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5" s="6">
        <v>130900</v>
      </c>
      <c r="D10415" s="5" t="s">
        <v>608</v>
      </c>
      <c r="E10415" s="5" t="str">
        <f t="shared" si="530"/>
        <v>REHABILITACION Y TERAPIA-JHON CAMACHO</v>
      </c>
      <c r="F10415" s="5"/>
      <c r="G10415" s="5"/>
    </row>
    <row r="10416" spans="1:7" ht="58.5" customHeight="1" x14ac:dyDescent="0.25">
      <c r="A10416" s="5" t="str">
        <f>"H0029018"</f>
        <v>H0029018</v>
      </c>
      <c r="B10416"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6" s="6">
        <v>130900</v>
      </c>
      <c r="D10416" s="5" t="s">
        <v>608</v>
      </c>
      <c r="E10416" s="5" t="str">
        <f t="shared" si="530"/>
        <v>REHABILITACION Y TERAPIA-JHON CAMACHO</v>
      </c>
      <c r="F10416" s="5"/>
      <c r="G10416" s="5"/>
    </row>
    <row r="10417" spans="1:7" ht="58.5" customHeight="1" x14ac:dyDescent="0.25">
      <c r="A10417" s="5" t="str">
        <f>"H0029019"</f>
        <v>H0029019</v>
      </c>
      <c r="B10417"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7" s="6">
        <v>130900</v>
      </c>
      <c r="D10417" s="5" t="s">
        <v>608</v>
      </c>
      <c r="E10417" s="5" t="str">
        <f t="shared" si="530"/>
        <v>REHABILITACION Y TERAPIA-JHON CAMACHO</v>
      </c>
      <c r="F10417" s="5"/>
      <c r="G10417" s="5"/>
    </row>
    <row r="10418" spans="1:7" ht="58.5" customHeight="1" x14ac:dyDescent="0.25">
      <c r="A10418" s="5" t="str">
        <f>"H0029020"</f>
        <v>H0029020</v>
      </c>
      <c r="B10418"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8" s="6">
        <v>130900</v>
      </c>
      <c r="D10418" s="5" t="s">
        <v>608</v>
      </c>
      <c r="E10418" s="5" t="str">
        <f t="shared" si="530"/>
        <v>REHABILITACION Y TERAPIA-JHON CAMACHO</v>
      </c>
      <c r="F10418" s="5"/>
      <c r="G10418" s="5"/>
    </row>
    <row r="10419" spans="1:7" ht="58.5" customHeight="1" x14ac:dyDescent="0.25">
      <c r="A10419" s="5" t="str">
        <f>"H0029021"</f>
        <v>H0029021</v>
      </c>
      <c r="B10419"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19" s="6">
        <v>130900</v>
      </c>
      <c r="D10419" s="5" t="s">
        <v>608</v>
      </c>
      <c r="E10419" s="5" t="str">
        <f t="shared" si="530"/>
        <v>REHABILITACION Y TERAPIA-JHON CAMACHO</v>
      </c>
      <c r="F10419" s="5"/>
      <c r="G10419" s="5"/>
    </row>
    <row r="10420" spans="1:7" ht="58.5" customHeight="1" x14ac:dyDescent="0.25">
      <c r="A10420" s="5" t="str">
        <f>"H0029022"</f>
        <v>H0029022</v>
      </c>
      <c r="B10420"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0" s="6">
        <v>130900</v>
      </c>
      <c r="D10420" s="5" t="s">
        <v>608</v>
      </c>
      <c r="E10420" s="5" t="str">
        <f t="shared" si="530"/>
        <v>REHABILITACION Y TERAPIA-JHON CAMACHO</v>
      </c>
      <c r="F10420" s="5"/>
      <c r="G10420" s="5"/>
    </row>
    <row r="10421" spans="1:7" ht="58.5" customHeight="1" x14ac:dyDescent="0.25">
      <c r="A10421" s="5" t="str">
        <f>"H0029023"</f>
        <v>H0029023</v>
      </c>
      <c r="B10421"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1" s="6">
        <v>130900</v>
      </c>
      <c r="D10421" s="5" t="s">
        <v>608</v>
      </c>
      <c r="E10421" s="5" t="str">
        <f t="shared" si="530"/>
        <v>REHABILITACION Y TERAPIA-JHON CAMACHO</v>
      </c>
      <c r="F10421" s="5"/>
      <c r="G10421" s="5"/>
    </row>
    <row r="10422" spans="1:7" ht="58.5" customHeight="1" x14ac:dyDescent="0.25">
      <c r="A10422" s="5" t="str">
        <f>"H0029024"</f>
        <v>H0029024</v>
      </c>
      <c r="B10422"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2" s="6">
        <v>130900</v>
      </c>
      <c r="D10422" s="5" t="s">
        <v>608</v>
      </c>
      <c r="E10422" s="5" t="str">
        <f t="shared" si="530"/>
        <v>REHABILITACION Y TERAPIA-JHON CAMACHO</v>
      </c>
      <c r="F10422" s="5"/>
      <c r="G10422" s="5"/>
    </row>
    <row r="10423" spans="1:7" ht="58.5" customHeight="1" x14ac:dyDescent="0.25">
      <c r="A10423" s="5" t="str">
        <f>"H0029025"</f>
        <v>H0029025</v>
      </c>
      <c r="B10423"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3" s="6">
        <v>130900</v>
      </c>
      <c r="D10423" s="5" t="s">
        <v>608</v>
      </c>
      <c r="E10423" s="5" t="str">
        <f t="shared" si="530"/>
        <v>REHABILITACION Y TERAPIA-JHON CAMACHO</v>
      </c>
      <c r="F10423" s="5"/>
      <c r="G10423" s="5"/>
    </row>
    <row r="10424" spans="1:7" ht="58.5" customHeight="1" x14ac:dyDescent="0.25">
      <c r="A10424" s="5" t="str">
        <f>"H0029026"</f>
        <v>H0029026</v>
      </c>
      <c r="B10424"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4" s="6">
        <v>130900</v>
      </c>
      <c r="D10424" s="5" t="s">
        <v>608</v>
      </c>
      <c r="E10424" s="5" t="str">
        <f t="shared" si="530"/>
        <v>REHABILITACION Y TERAPIA-JHON CAMACHO</v>
      </c>
      <c r="F10424" s="5"/>
      <c r="G10424" s="5"/>
    </row>
    <row r="10425" spans="1:7" ht="58.5" customHeight="1" x14ac:dyDescent="0.25">
      <c r="A10425" s="5" t="str">
        <f>"H0029027"</f>
        <v>H0029027</v>
      </c>
      <c r="B10425"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5" s="6">
        <v>130900</v>
      </c>
      <c r="D10425" s="5" t="s">
        <v>608</v>
      </c>
      <c r="E10425" s="5" t="str">
        <f t="shared" si="530"/>
        <v>REHABILITACION Y TERAPIA-JHON CAMACHO</v>
      </c>
      <c r="F10425" s="5"/>
      <c r="G10425" s="5"/>
    </row>
    <row r="10426" spans="1:7" ht="58.5" customHeight="1" x14ac:dyDescent="0.25">
      <c r="A10426" s="5" t="str">
        <f>"H0029028"</f>
        <v>H0029028</v>
      </c>
      <c r="B10426" s="5" t="str">
        <f t="shared" si="531"/>
        <v>SILLAS NORMAL (SILLAS ISÓSCELES TAPIZADA, ESPALDAS Y ASIENTO EN POLIPROPILENO, BASTIDORES INTERNOS EN MADERA, TAPIZADO EN ESPUMA DE ALTA DENSIDAD RECUBIERTO EN PAÑO O TELA, HERRAJE FABRICADO EN TUBO OVAL DE 30*15 CALIBRE 16, CON ACABADOS EN PINTURA EN POLVO HORNEABLE DE APLICACIÓN ELECTROSTÁTICA, TAPIZADO COLOR A ESCOGER.)</v>
      </c>
      <c r="C10426" s="6">
        <v>130900</v>
      </c>
      <c r="D10426" s="5" t="s">
        <v>608</v>
      </c>
      <c r="E10426" s="5" t="str">
        <f t="shared" si="530"/>
        <v>REHABILITACION Y TERAPIA-JHON CAMACHO</v>
      </c>
      <c r="F10426" s="5"/>
      <c r="G10426" s="5"/>
    </row>
    <row r="10427" spans="1:7" ht="58.5" customHeight="1" x14ac:dyDescent="0.25">
      <c r="A10427" s="5" t="str">
        <f>"H0029029"</f>
        <v>H0029029</v>
      </c>
      <c r="B10427" s="5" t="str">
        <f t="shared" ref="B10427:B10439" si="532">"ESCALERILLA DE 2 PASOS"</f>
        <v>ESCALERILLA DE 2 PASOS</v>
      </c>
      <c r="C10427" s="6">
        <v>59500</v>
      </c>
      <c r="D10427" s="5" t="s">
        <v>608</v>
      </c>
      <c r="E10427" s="5" t="str">
        <f t="shared" si="530"/>
        <v>REHABILITACION Y TERAPIA-JHON CAMACHO</v>
      </c>
      <c r="F10427" s="5"/>
      <c r="G10427" s="5"/>
    </row>
    <row r="10428" spans="1:7" ht="58.5" customHeight="1" x14ac:dyDescent="0.25">
      <c r="A10428" s="5" t="str">
        <f>"H0029030"</f>
        <v>H0029030</v>
      </c>
      <c r="B10428" s="5" t="str">
        <f t="shared" si="532"/>
        <v>ESCALERILLA DE 2 PASOS</v>
      </c>
      <c r="C10428" s="6">
        <v>59500</v>
      </c>
      <c r="D10428" s="5" t="s">
        <v>609</v>
      </c>
      <c r="E10428" s="5" t="str">
        <f t="shared" si="530"/>
        <v>REHABILITACION Y TERAPIA-JHON CAMACHO</v>
      </c>
      <c r="F10428" s="5"/>
      <c r="G10428" s="5"/>
    </row>
    <row r="10429" spans="1:7" ht="58.5" customHeight="1" x14ac:dyDescent="0.25">
      <c r="A10429" s="5" t="str">
        <f>"H0029031"</f>
        <v>H0029031</v>
      </c>
      <c r="B10429" s="5" t="str">
        <f t="shared" si="532"/>
        <v>ESCALERILLA DE 2 PASOS</v>
      </c>
      <c r="C10429" s="6">
        <v>59500</v>
      </c>
      <c r="D10429" s="5" t="s">
        <v>609</v>
      </c>
      <c r="E10429" s="5" t="str">
        <f t="shared" ref="E10429:E10460" si="533">"REHABILITACION Y TERAPIA-JHON CAMACHO"</f>
        <v>REHABILITACION Y TERAPIA-JHON CAMACHO</v>
      </c>
      <c r="F10429" s="5"/>
      <c r="G10429" s="5"/>
    </row>
    <row r="10430" spans="1:7" ht="58.5" customHeight="1" x14ac:dyDescent="0.25">
      <c r="A10430" s="5" t="str">
        <f>"H0029032"</f>
        <v>H0029032</v>
      </c>
      <c r="B10430" s="5" t="str">
        <f t="shared" si="532"/>
        <v>ESCALERILLA DE 2 PASOS</v>
      </c>
      <c r="C10430" s="6">
        <v>59500</v>
      </c>
      <c r="D10430" s="5" t="s">
        <v>608</v>
      </c>
      <c r="E10430" s="5" t="str">
        <f t="shared" si="533"/>
        <v>REHABILITACION Y TERAPIA-JHON CAMACHO</v>
      </c>
      <c r="F10430" s="5"/>
      <c r="G10430" s="5"/>
    </row>
    <row r="10431" spans="1:7" ht="58.5" customHeight="1" x14ac:dyDescent="0.25">
      <c r="A10431" s="5" t="str">
        <f>"H0029033"</f>
        <v>H0029033</v>
      </c>
      <c r="B10431" s="5" t="str">
        <f t="shared" si="532"/>
        <v>ESCALERILLA DE 2 PASOS</v>
      </c>
      <c r="C10431" s="6">
        <v>59500</v>
      </c>
      <c r="D10431" s="5" t="s">
        <v>609</v>
      </c>
      <c r="E10431" s="5" t="str">
        <f t="shared" si="533"/>
        <v>REHABILITACION Y TERAPIA-JHON CAMACHO</v>
      </c>
      <c r="F10431" s="5"/>
      <c r="G10431" s="5"/>
    </row>
    <row r="10432" spans="1:7" ht="58.5" customHeight="1" x14ac:dyDescent="0.25">
      <c r="A10432" s="5" t="str">
        <f>"H0029034"</f>
        <v>H0029034</v>
      </c>
      <c r="B10432" s="5" t="str">
        <f t="shared" si="532"/>
        <v>ESCALERILLA DE 2 PASOS</v>
      </c>
      <c r="C10432" s="6">
        <v>59500</v>
      </c>
      <c r="D10432" s="5" t="s">
        <v>609</v>
      </c>
      <c r="E10432" s="5" t="str">
        <f t="shared" si="533"/>
        <v>REHABILITACION Y TERAPIA-JHON CAMACHO</v>
      </c>
      <c r="F10432" s="5"/>
      <c r="G10432" s="5"/>
    </row>
    <row r="10433" spans="1:7" ht="58.5" customHeight="1" x14ac:dyDescent="0.25">
      <c r="A10433" s="5" t="str">
        <f>"H0029035"</f>
        <v>H0029035</v>
      </c>
      <c r="B10433" s="5" t="str">
        <f t="shared" si="532"/>
        <v>ESCALERILLA DE 2 PASOS</v>
      </c>
      <c r="C10433" s="6">
        <v>59500</v>
      </c>
      <c r="D10433" s="5" t="s">
        <v>609</v>
      </c>
      <c r="E10433" s="5" t="str">
        <f t="shared" si="533"/>
        <v>REHABILITACION Y TERAPIA-JHON CAMACHO</v>
      </c>
      <c r="F10433" s="5"/>
      <c r="G10433" s="5"/>
    </row>
    <row r="10434" spans="1:7" ht="58.5" customHeight="1" x14ac:dyDescent="0.25">
      <c r="A10434" s="5" t="str">
        <f>"H0029036"</f>
        <v>H0029036</v>
      </c>
      <c r="B10434" s="5" t="str">
        <f t="shared" si="532"/>
        <v>ESCALERILLA DE 2 PASOS</v>
      </c>
      <c r="C10434" s="6">
        <v>59500</v>
      </c>
      <c r="D10434" s="5" t="s">
        <v>608</v>
      </c>
      <c r="E10434" s="5" t="str">
        <f t="shared" si="533"/>
        <v>REHABILITACION Y TERAPIA-JHON CAMACHO</v>
      </c>
      <c r="F10434" s="5"/>
      <c r="G10434" s="5"/>
    </row>
    <row r="10435" spans="1:7" ht="58.5" customHeight="1" x14ac:dyDescent="0.25">
      <c r="A10435" s="5" t="str">
        <f>"H0029037"</f>
        <v>H0029037</v>
      </c>
      <c r="B10435" s="5" t="str">
        <f t="shared" si="532"/>
        <v>ESCALERILLA DE 2 PASOS</v>
      </c>
      <c r="C10435" s="6">
        <v>59500</v>
      </c>
      <c r="D10435" s="5" t="s">
        <v>609</v>
      </c>
      <c r="E10435" s="5" t="str">
        <f t="shared" si="533"/>
        <v>REHABILITACION Y TERAPIA-JHON CAMACHO</v>
      </c>
      <c r="F10435" s="5"/>
      <c r="G10435" s="5"/>
    </row>
    <row r="10436" spans="1:7" ht="58.5" customHeight="1" x14ac:dyDescent="0.25">
      <c r="A10436" s="5" t="str">
        <f>"H0029038"</f>
        <v>H0029038</v>
      </c>
      <c r="B10436" s="5" t="str">
        <f t="shared" si="532"/>
        <v>ESCALERILLA DE 2 PASOS</v>
      </c>
      <c r="C10436" s="6">
        <v>59500</v>
      </c>
      <c r="D10436" s="5" t="s">
        <v>609</v>
      </c>
      <c r="E10436" s="5" t="str">
        <f t="shared" si="533"/>
        <v>REHABILITACION Y TERAPIA-JHON CAMACHO</v>
      </c>
      <c r="F10436" s="5"/>
      <c r="G10436" s="5"/>
    </row>
    <row r="10437" spans="1:7" ht="58.5" customHeight="1" x14ac:dyDescent="0.25">
      <c r="A10437" s="5" t="str">
        <f>"H0029039"</f>
        <v>H0029039</v>
      </c>
      <c r="B10437" s="5" t="str">
        <f t="shared" si="532"/>
        <v>ESCALERILLA DE 2 PASOS</v>
      </c>
      <c r="C10437" s="6">
        <v>59500</v>
      </c>
      <c r="D10437" s="5" t="s">
        <v>609</v>
      </c>
      <c r="E10437" s="5" t="str">
        <f t="shared" si="533"/>
        <v>REHABILITACION Y TERAPIA-JHON CAMACHO</v>
      </c>
      <c r="F10437" s="5"/>
      <c r="G10437" s="5"/>
    </row>
    <row r="10438" spans="1:7" ht="58.5" customHeight="1" x14ac:dyDescent="0.25">
      <c r="A10438" s="5" t="str">
        <f>"H0029040"</f>
        <v>H0029040</v>
      </c>
      <c r="B10438" s="5" t="str">
        <f t="shared" si="532"/>
        <v>ESCALERILLA DE 2 PASOS</v>
      </c>
      <c r="C10438" s="6">
        <v>59500</v>
      </c>
      <c r="D10438" s="5" t="s">
        <v>608</v>
      </c>
      <c r="E10438" s="5" t="str">
        <f t="shared" si="533"/>
        <v>REHABILITACION Y TERAPIA-JHON CAMACHO</v>
      </c>
      <c r="F10438" s="5"/>
      <c r="G10438" s="5"/>
    </row>
    <row r="10439" spans="1:7" ht="58.5" customHeight="1" x14ac:dyDescent="0.25">
      <c r="A10439" s="5" t="str">
        <f>"H0029041"</f>
        <v>H0029041</v>
      </c>
      <c r="B10439" s="5" t="str">
        <f t="shared" si="532"/>
        <v>ESCALERILLA DE 2 PASOS</v>
      </c>
      <c r="C10439" s="6">
        <v>59500</v>
      </c>
      <c r="D10439" s="5" t="s">
        <v>609</v>
      </c>
      <c r="E10439" s="5" t="str">
        <f t="shared" si="533"/>
        <v>REHABILITACION Y TERAPIA-JHON CAMACHO</v>
      </c>
      <c r="F10439" s="5"/>
      <c r="G10439" s="5"/>
    </row>
    <row r="10440" spans="1:7" ht="58.5" customHeight="1" x14ac:dyDescent="0.25">
      <c r="A10440" s="5" t="str">
        <f>"H0029042"</f>
        <v>H0029042</v>
      </c>
      <c r="B10440" s="5" t="str">
        <f t="shared" ref="B10440:B10445" si="534">"MESA CON RODACHINES EN ACERO INOXIDABLE"</f>
        <v>MESA CON RODACHINES EN ACERO INOXIDABLE</v>
      </c>
      <c r="C10440" s="6">
        <v>333200</v>
      </c>
      <c r="D10440" s="5" t="s">
        <v>609</v>
      </c>
      <c r="E10440" s="5" t="str">
        <f t="shared" si="533"/>
        <v>REHABILITACION Y TERAPIA-JHON CAMACHO</v>
      </c>
      <c r="F10440" s="5"/>
      <c r="G10440" s="5"/>
    </row>
    <row r="10441" spans="1:7" ht="58.5" customHeight="1" x14ac:dyDescent="0.25">
      <c r="A10441" s="5" t="str">
        <f>"H0029043"</f>
        <v>H0029043</v>
      </c>
      <c r="B10441" s="5" t="str">
        <f t="shared" si="534"/>
        <v>MESA CON RODACHINES EN ACERO INOXIDABLE</v>
      </c>
      <c r="C10441" s="6">
        <v>333200</v>
      </c>
      <c r="D10441" s="5" t="s">
        <v>608</v>
      </c>
      <c r="E10441" s="5" t="str">
        <f t="shared" si="533"/>
        <v>REHABILITACION Y TERAPIA-JHON CAMACHO</v>
      </c>
      <c r="F10441" s="5"/>
      <c r="G10441" s="5"/>
    </row>
    <row r="10442" spans="1:7" ht="58.5" customHeight="1" x14ac:dyDescent="0.25">
      <c r="A10442" s="5" t="str">
        <f>"H0029044"</f>
        <v>H0029044</v>
      </c>
      <c r="B10442" s="5" t="str">
        <f t="shared" si="534"/>
        <v>MESA CON RODACHINES EN ACERO INOXIDABLE</v>
      </c>
      <c r="C10442" s="6">
        <v>333200</v>
      </c>
      <c r="D10442" s="5" t="s">
        <v>608</v>
      </c>
      <c r="E10442" s="5" t="str">
        <f t="shared" si="533"/>
        <v>REHABILITACION Y TERAPIA-JHON CAMACHO</v>
      </c>
      <c r="F10442" s="5"/>
      <c r="G10442" s="5"/>
    </row>
    <row r="10443" spans="1:7" ht="58.5" customHeight="1" x14ac:dyDescent="0.25">
      <c r="A10443" s="5" t="str">
        <f>"H0029045"</f>
        <v>H0029045</v>
      </c>
      <c r="B10443" s="5" t="str">
        <f t="shared" si="534"/>
        <v>MESA CON RODACHINES EN ACERO INOXIDABLE</v>
      </c>
      <c r="C10443" s="6">
        <v>333200</v>
      </c>
      <c r="D10443" s="5" t="s">
        <v>608</v>
      </c>
      <c r="E10443" s="5" t="str">
        <f t="shared" si="533"/>
        <v>REHABILITACION Y TERAPIA-JHON CAMACHO</v>
      </c>
      <c r="F10443" s="5"/>
      <c r="G10443" s="5"/>
    </row>
    <row r="10444" spans="1:7" ht="58.5" customHeight="1" x14ac:dyDescent="0.25">
      <c r="A10444" s="5" t="str">
        <f>"H0029046"</f>
        <v>H0029046</v>
      </c>
      <c r="B10444" s="5" t="str">
        <f t="shared" si="534"/>
        <v>MESA CON RODACHINES EN ACERO INOXIDABLE</v>
      </c>
      <c r="C10444" s="6">
        <v>333200</v>
      </c>
      <c r="D10444" s="5" t="s">
        <v>608</v>
      </c>
      <c r="E10444" s="5" t="str">
        <f t="shared" si="533"/>
        <v>REHABILITACION Y TERAPIA-JHON CAMACHO</v>
      </c>
      <c r="F10444" s="5"/>
      <c r="G10444" s="5"/>
    </row>
    <row r="10445" spans="1:7" ht="58.5" customHeight="1" x14ac:dyDescent="0.25">
      <c r="A10445" s="5" t="str">
        <f>"H0029047"</f>
        <v>H0029047</v>
      </c>
      <c r="B10445" s="5" t="str">
        <f t="shared" si="534"/>
        <v>MESA CON RODACHINES EN ACERO INOXIDABLE</v>
      </c>
      <c r="C10445" s="6">
        <v>333200</v>
      </c>
      <c r="D10445" s="5" t="s">
        <v>609</v>
      </c>
      <c r="E10445" s="5" t="str">
        <f t="shared" si="533"/>
        <v>REHABILITACION Y TERAPIA-JHON CAMACHO</v>
      </c>
      <c r="F10445" s="5"/>
      <c r="G10445" s="5"/>
    </row>
    <row r="10446" spans="1:7" ht="58.5" customHeight="1" x14ac:dyDescent="0.25">
      <c r="A10446" s="5" t="str">
        <f>"H0029094"</f>
        <v>H0029094</v>
      </c>
      <c r="B10446" s="5" t="str">
        <f>"MUEBLE FIJO PUESTO DE TRABAJO PASILLO  (4,35M DE ANCHO, 60 CM DE PROFUNDIDAD)"</f>
        <v>MUEBLE FIJO PUESTO DE TRABAJO PASILLO  (4,35M DE ANCHO, 60 CM DE PROFUNDIDAD)</v>
      </c>
      <c r="C10446" s="6">
        <v>1249500</v>
      </c>
      <c r="D10446" s="5" t="s">
        <v>610</v>
      </c>
      <c r="E10446" s="5" t="str">
        <f t="shared" si="533"/>
        <v>REHABILITACION Y TERAPIA-JHON CAMACHO</v>
      </c>
      <c r="F10446" s="5"/>
      <c r="G10446" s="5"/>
    </row>
    <row r="10447" spans="1:7" ht="58.5" customHeight="1" x14ac:dyDescent="0.25">
      <c r="A10447" s="5" t="str">
        <f>"H0029095"</f>
        <v>H0029095</v>
      </c>
      <c r="B10447" s="5" t="str">
        <f>"MODULO AEREO (80 CM DE LARGO, 30 CM DE ANCHO, 50 CM.MADERA ENCHAPADA EN FORMICA )"</f>
        <v>MODULO AEREO (80 CM DE LARGO, 30 CM DE ANCHO, 50 CM.MADERA ENCHAPADA EN FORMICA )</v>
      </c>
      <c r="C10447" s="6">
        <v>333200</v>
      </c>
      <c r="D10447" s="5" t="s">
        <v>610</v>
      </c>
      <c r="E10447" s="5" t="str">
        <f t="shared" si="533"/>
        <v>REHABILITACION Y TERAPIA-JHON CAMACHO</v>
      </c>
      <c r="F10447" s="5"/>
      <c r="G10447" s="5"/>
    </row>
    <row r="10448" spans="1:7" ht="58.5" customHeight="1" x14ac:dyDescent="0.25">
      <c r="A10448" s="5" t="str">
        <f>"H0029096"</f>
        <v>H0029096</v>
      </c>
      <c r="B10448" s="5" t="str">
        <f>"ARCHIVADOR (MUEBLE DE ARCHIVO CON MESA AUXILIAR. 1,94 DE ANCHO, 60 CM DE PROFUNDIDAD, ALTO 2,3 MTRS.MADERA ENCHAPADA EN FORMICA )"</f>
        <v>ARCHIVADOR (MUEBLE DE ARCHIVO CON MESA AUXILIAR. 1,94 DE ANCHO, 60 CM DE PROFUNDIDAD, ALTO 2,3 MTRS.MADERA ENCHAPADA EN FORMICA )</v>
      </c>
      <c r="C10448" s="6">
        <v>2082500</v>
      </c>
      <c r="D10448" s="5" t="s">
        <v>610</v>
      </c>
      <c r="E10448" s="5" t="str">
        <f t="shared" si="533"/>
        <v>REHABILITACION Y TERAPIA-JHON CAMACHO</v>
      </c>
      <c r="F10448" s="5"/>
      <c r="G10448" s="5"/>
    </row>
    <row r="10449" spans="1:7" ht="58.5" customHeight="1" x14ac:dyDescent="0.25">
      <c r="A10449" s="5" t="str">
        <f>"H0029097"</f>
        <v>H0029097</v>
      </c>
      <c r="B10449" s="5" t="str">
        <f>"MUEBLE FIJO (60CMS DE ANCHO, 2,60 METRPS DE LARGO, 2, 10 DE ALTO QUE CONTIENE PUESTO DE TRABAJO(ES CRITORIO) ESPACIOS PARA ALMACENAMIENTO.MADERA ENCHAPADA EN FORMICA)"</f>
        <v>MUEBLE FIJO (60CMS DE ANCHO, 2,60 METRPS DE LARGO, 2, 10 DE ALTO QUE CONTIENE PUESTO DE TRABAJO(ES CRITORIO) ESPACIOS PARA ALMACENAMIENTO.MADERA ENCHAPADA EN FORMICA)</v>
      </c>
      <c r="C10449" s="6">
        <v>1785000</v>
      </c>
      <c r="D10449" s="5" t="s">
        <v>610</v>
      </c>
      <c r="E10449" s="5" t="str">
        <f t="shared" si="533"/>
        <v>REHABILITACION Y TERAPIA-JHON CAMACHO</v>
      </c>
      <c r="F10449" s="5"/>
      <c r="G10449" s="5"/>
    </row>
    <row r="10450" spans="1:7" ht="58.5" customHeight="1" x14ac:dyDescent="0.25">
      <c r="A10450" s="5" t="str">
        <f>"H0029098"</f>
        <v>H0029098</v>
      </c>
      <c r="B10450" s="5" t="str">
        <f>"MUBLE FIJO PARA EQUIPOS (1,3 METROS DE ANCHO, 60 CMS DE PROFUNDIDAD Y 2,10 METROS DE ALTO. ENTREPAÑOS (4) DE 50 CMS DE SEPARACIÓN. )"</f>
        <v>MUBLE FIJO PARA EQUIPOS (1,3 METROS DE ANCHO, 60 CMS DE PROFUNDIDAD Y 2,10 METROS DE ALTO. ENTREPAÑOS (4) DE 50 CMS DE SEPARACIÓN. )</v>
      </c>
      <c r="C10450" s="6">
        <v>1428000</v>
      </c>
      <c r="D10450" s="5" t="s">
        <v>610</v>
      </c>
      <c r="E10450" s="5" t="str">
        <f t="shared" si="533"/>
        <v>REHABILITACION Y TERAPIA-JHON CAMACHO</v>
      </c>
      <c r="F10450" s="5"/>
      <c r="G10450" s="5"/>
    </row>
    <row r="10451" spans="1:7" ht="58.5" customHeight="1" x14ac:dyDescent="0.25">
      <c r="A10451" s="5" t="str">
        <f>"H0029099"</f>
        <v>H0029099</v>
      </c>
      <c r="B10451" s="5" t="s">
        <v>611</v>
      </c>
      <c r="C10451" s="6">
        <v>2958816</v>
      </c>
      <c r="D10451" s="5" t="s">
        <v>610</v>
      </c>
      <c r="E10451" s="5" t="str">
        <f t="shared" si="533"/>
        <v>REHABILITACION Y TERAPIA-JHON CAMACHO</v>
      </c>
      <c r="F10451" s="5"/>
      <c r="G10451" s="5"/>
    </row>
    <row r="10452" spans="1:7" ht="58.5" customHeight="1" x14ac:dyDescent="0.25">
      <c r="A10452" s="5" t="str">
        <f>"H0029100"</f>
        <v>H0029100</v>
      </c>
      <c r="B10452" s="5" t="str">
        <f>"LOCKERS (24 PUESTOS. LARGO DE 2,8 METROS, 33 CMS DE PROFUNDIDAD, ALTURA 1,8 CMS)"</f>
        <v>LOCKERS (24 PUESTOS. LARGO DE 2,8 METROS, 33 CMS DE PROFUNDIDAD, ALTURA 1,8 CMS)</v>
      </c>
      <c r="C10452" s="6">
        <v>2142000</v>
      </c>
      <c r="D10452" s="5" t="s">
        <v>610</v>
      </c>
      <c r="E10452" s="5" t="str">
        <f t="shared" si="533"/>
        <v>REHABILITACION Y TERAPIA-JHON CAMACHO</v>
      </c>
      <c r="F10452" s="5"/>
      <c r="G10452" s="5"/>
    </row>
    <row r="10453" spans="1:7" ht="58.5" customHeight="1" x14ac:dyDescent="0.25">
      <c r="A10453" s="5" t="str">
        <f>"H0029101"</f>
        <v>H0029101</v>
      </c>
      <c r="B10453" s="5" t="str">
        <f>"LOCKERS (24 PUESTOS. LARGO DE 2,8 METROS, 33 CMS DE PROFUNDIDAD, ALTURA 1,8 CMS)"</f>
        <v>LOCKERS (24 PUESTOS. LARGO DE 2,8 METROS, 33 CMS DE PROFUNDIDAD, ALTURA 1,8 CMS)</v>
      </c>
      <c r="C10453" s="6">
        <v>2142000</v>
      </c>
      <c r="D10453" s="5" t="s">
        <v>610</v>
      </c>
      <c r="E10453" s="5" t="str">
        <f t="shared" si="533"/>
        <v>REHABILITACION Y TERAPIA-JHON CAMACHO</v>
      </c>
      <c r="F10453" s="5"/>
      <c r="G10453" s="5"/>
    </row>
    <row r="10454" spans="1:7" ht="58.5" customHeight="1" x14ac:dyDescent="0.25">
      <c r="A10454" s="5" t="str">
        <f>"H0029102"</f>
        <v>H0029102</v>
      </c>
      <c r="B10454" s="5" t="str">
        <f>"MESA DE TRABAJO (70 CMS DE LARGO, 70 CMS DE ANCHO, 74 CMS DE ALTO. MADERA ENCHAPADA EN FORMICA )"</f>
        <v>MESA DE TRABAJO (70 CMS DE LARGO, 70 CMS DE ANCHO, 74 CMS DE ALTO. MADERA ENCHAPADA EN FORMICA )</v>
      </c>
      <c r="C10454" s="6">
        <v>261800</v>
      </c>
      <c r="D10454" s="5" t="s">
        <v>610</v>
      </c>
      <c r="E10454" s="5" t="str">
        <f t="shared" si="533"/>
        <v>REHABILITACION Y TERAPIA-JHON CAMACHO</v>
      </c>
      <c r="F10454" s="5"/>
      <c r="G10454" s="5"/>
    </row>
    <row r="10455" spans="1:7" ht="58.5" customHeight="1" x14ac:dyDescent="0.25">
      <c r="A10455" s="5" t="str">
        <f>"H0029103"</f>
        <v>H0029103</v>
      </c>
      <c r="B10455" s="5" t="str">
        <f>"MESA DE TRABAJO (70 CMS DE LARGO, 70 CMS DE ANCHO, 74 CMS DE ALTO. MADERA ENCHAPADA EN FORMICA )"</f>
        <v>MESA DE TRABAJO (70 CMS DE LARGO, 70 CMS DE ANCHO, 74 CMS DE ALTO. MADERA ENCHAPADA EN FORMICA )</v>
      </c>
      <c r="C10455" s="6">
        <v>261800</v>
      </c>
      <c r="D10455" s="5" t="s">
        <v>610</v>
      </c>
      <c r="E10455" s="5" t="str">
        <f t="shared" si="533"/>
        <v>REHABILITACION Y TERAPIA-JHON CAMACHO</v>
      </c>
      <c r="F10455" s="5"/>
      <c r="G10455" s="5"/>
    </row>
    <row r="10456" spans="1:7" ht="58.5" customHeight="1" x14ac:dyDescent="0.25">
      <c r="A10456" s="5" t="str">
        <f>"H0029104"</f>
        <v>H0029104</v>
      </c>
      <c r="B10456" s="5" t="str">
        <f>"MESA DE TRABAJO (MESA CUADRADA, DE 70 CM DE LADO, 74 CM DE ALTO.MADERA ENCHAPADA EN FORMICA)"</f>
        <v>MESA DE TRABAJO (MESA CUADRADA, DE 70 CM DE LADO, 74 CM DE ALTO.MADERA ENCHAPADA EN FORMICA)</v>
      </c>
      <c r="C10456" s="6">
        <v>333200</v>
      </c>
      <c r="D10456" s="5" t="s">
        <v>610</v>
      </c>
      <c r="E10456" s="5" t="str">
        <f t="shared" si="533"/>
        <v>REHABILITACION Y TERAPIA-JHON CAMACHO</v>
      </c>
      <c r="F10456" s="5"/>
      <c r="G10456" s="5"/>
    </row>
    <row r="10457" spans="1:7" ht="58.5" customHeight="1" x14ac:dyDescent="0.25">
      <c r="A10457" s="5" t="str">
        <f>"H0029105"</f>
        <v>H0029105</v>
      </c>
      <c r="B10457" s="5" t="str">
        <f>"MESA DE TRABAJO (MESA CUADRADA, DE 70 CM DE LADO, 74 CM DE ALTO.MADERA ENCHAPADA EN FORMICA)"</f>
        <v>MESA DE TRABAJO (MESA CUADRADA, DE 70 CM DE LADO, 74 CM DE ALTO.MADERA ENCHAPADA EN FORMICA)</v>
      </c>
      <c r="C10457" s="6">
        <v>333200</v>
      </c>
      <c r="D10457" s="5" t="s">
        <v>610</v>
      </c>
      <c r="E10457" s="5" t="str">
        <f t="shared" si="533"/>
        <v>REHABILITACION Y TERAPIA-JHON CAMACHO</v>
      </c>
      <c r="F10457" s="5"/>
      <c r="G10457" s="5"/>
    </row>
    <row r="10458" spans="1:7" ht="58.5" customHeight="1" x14ac:dyDescent="0.25">
      <c r="A10458" s="5" t="str">
        <f>"H0029106"</f>
        <v>H0029106</v>
      </c>
      <c r="B10458" s="5" t="str">
        <f>"ESCRITRORIO EN L. 1,2 M POR 0,6 M. ALTURA DE 75 CM CON GABETA. MADERA ENCHAPADA EN FORMICA"</f>
        <v>ESCRITRORIO EN L. 1,2 M POR 0,6 M. ALTURA DE 75 CM CON GABETA. MADERA ENCHAPADA EN FORMICA</v>
      </c>
      <c r="C10458" s="6">
        <v>571200</v>
      </c>
      <c r="D10458" s="5" t="s">
        <v>610</v>
      </c>
      <c r="E10458" s="5" t="str">
        <f t="shared" si="533"/>
        <v>REHABILITACION Y TERAPIA-JHON CAMACHO</v>
      </c>
      <c r="F10458" s="5"/>
      <c r="G10458" s="5"/>
    </row>
    <row r="10459" spans="1:7" ht="58.5" customHeight="1" x14ac:dyDescent="0.25">
      <c r="A10459" s="5" t="str">
        <f>"H0029107"</f>
        <v>H0029107</v>
      </c>
      <c r="B10459" s="5" t="str">
        <f>"ESCRITORIO (SCRITRORIO EN L. 1,2 M POR 0,6 M. ALTURA DE 75 CM CON GABETA. MADERA ENCHAPADA EN FORMICA )"</f>
        <v>ESCRITORIO (SCRITRORIO EN L. 1,2 M POR 0,6 M. ALTURA DE 75 CM CON GABETA. MADERA ENCHAPADA EN FORMICA )</v>
      </c>
      <c r="C10459" s="6">
        <v>654500</v>
      </c>
      <c r="D10459" s="5" t="s">
        <v>610</v>
      </c>
      <c r="E10459" s="5" t="str">
        <f t="shared" si="533"/>
        <v>REHABILITACION Y TERAPIA-JHON CAMACHO</v>
      </c>
      <c r="F10459" s="5"/>
      <c r="G10459" s="5"/>
    </row>
    <row r="10460" spans="1:7" ht="58.5" customHeight="1" x14ac:dyDescent="0.25">
      <c r="A10460" s="5" t="str">
        <f>"H0029108"</f>
        <v>H0029108</v>
      </c>
      <c r="B10460" s="5" t="str">
        <f>"ESCRITORIO (1,2 M POR 0,6 M. ALTURA DE 75 CM CON GABETA.MADERA ENCHAPADA EN FORMICA )"</f>
        <v>ESCRITORIO (1,2 M POR 0,6 M. ALTURA DE 75 CM CON GABETA.MADERA ENCHAPADA EN FORMICA )</v>
      </c>
      <c r="C10460" s="6">
        <v>470050</v>
      </c>
      <c r="D10460" s="5" t="s">
        <v>610</v>
      </c>
      <c r="E10460" s="5" t="str">
        <f t="shared" si="533"/>
        <v>REHABILITACION Y TERAPIA-JHON CAMACHO</v>
      </c>
      <c r="F10460" s="5"/>
      <c r="G10460" s="5"/>
    </row>
    <row r="10461" spans="1:7" ht="58.5" customHeight="1" x14ac:dyDescent="0.25">
      <c r="A10461" s="5" t="str">
        <f>"H0029109"</f>
        <v>H0029109</v>
      </c>
      <c r="B10461" s="5" t="str">
        <f>"MUEBLE FIJO (ESTACIÓN DE TRABAJO EN L. 60 CMS DE ANCHO, 75 DE ALTO, LARGOA 2 METROS Y LARGOB 1,95 METROS.MADERA ENCHAPADA EN FORMICA )"</f>
        <v>MUEBLE FIJO (ESTACIÓN DE TRABAJO EN L. 60 CMS DE ANCHO, 75 DE ALTO, LARGOA 2 METROS Y LARGOB 1,95 METROS.MADERA ENCHAPADA EN FORMICA )</v>
      </c>
      <c r="C10461" s="6">
        <v>755650</v>
      </c>
      <c r="D10461" s="5" t="s">
        <v>610</v>
      </c>
      <c r="E10461" s="5" t="str">
        <f t="shared" ref="E10461:E10492" si="535">"REHABILITACION Y TERAPIA-JHON CAMACHO"</f>
        <v>REHABILITACION Y TERAPIA-JHON CAMACHO</v>
      </c>
      <c r="F10461" s="5"/>
      <c r="G10461" s="5"/>
    </row>
    <row r="10462" spans="1:7" ht="58.5" customHeight="1" x14ac:dyDescent="0.25">
      <c r="A10462" s="5" t="str">
        <f>"H0029136"</f>
        <v>H0029136</v>
      </c>
      <c r="B1046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462" s="6">
        <v>2902000</v>
      </c>
      <c r="D10462" s="5" t="s">
        <v>13</v>
      </c>
      <c r="E10462" s="5" t="str">
        <f t="shared" si="535"/>
        <v>REHABILITACION Y TERAPIA-JHON CAMACHO</v>
      </c>
      <c r="F10462" s="5"/>
      <c r="G10462" s="5"/>
    </row>
    <row r="10463" spans="1:7" ht="58.5" customHeight="1" x14ac:dyDescent="0.25">
      <c r="A10463" s="5" t="str">
        <f>"H0029137"</f>
        <v>H0029137</v>
      </c>
      <c r="B1046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463" s="6">
        <v>2902000</v>
      </c>
      <c r="D10463" s="5" t="s">
        <v>13</v>
      </c>
      <c r="E10463" s="5" t="str">
        <f t="shared" si="535"/>
        <v>REHABILITACION Y TERAPIA-JHON CAMACHO</v>
      </c>
      <c r="F10463" s="5"/>
      <c r="G10463" s="5"/>
    </row>
    <row r="10464" spans="1:7" ht="58.5" customHeight="1" x14ac:dyDescent="0.25">
      <c r="A10464" s="5" t="str">
        <f>"H0029138"</f>
        <v>H0029138</v>
      </c>
      <c r="B1046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464" s="6">
        <v>2902000</v>
      </c>
      <c r="D10464" s="5" t="s">
        <v>13</v>
      </c>
      <c r="E10464" s="5" t="str">
        <f t="shared" si="535"/>
        <v>REHABILITACION Y TERAPIA-JHON CAMACHO</v>
      </c>
      <c r="F10464" s="5"/>
      <c r="G10464" s="5"/>
    </row>
    <row r="10465" spans="1:7" ht="58.5" customHeight="1" x14ac:dyDescent="0.25">
      <c r="A10465" s="5" t="str">
        <f>"H0029139"</f>
        <v>H0029139</v>
      </c>
      <c r="B1046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465" s="6">
        <v>2902000</v>
      </c>
      <c r="D10465" s="5" t="s">
        <v>13</v>
      </c>
      <c r="E10465" s="5" t="str">
        <f t="shared" si="535"/>
        <v>REHABILITACION Y TERAPIA-JHON CAMACHO</v>
      </c>
      <c r="F10465" s="5"/>
      <c r="G10465" s="5"/>
    </row>
    <row r="10466" spans="1:7" ht="58.5" customHeight="1" x14ac:dyDescent="0.25">
      <c r="A10466" s="5" t="str">
        <f>"H0029140"</f>
        <v>H0029140</v>
      </c>
      <c r="B1046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466" s="6">
        <v>2902000</v>
      </c>
      <c r="D10466" s="5" t="s">
        <v>13</v>
      </c>
      <c r="E10466" s="5" t="str">
        <f t="shared" si="535"/>
        <v>REHABILITACION Y TERAPIA-JHON CAMACHO</v>
      </c>
      <c r="F10466" s="5"/>
      <c r="G10466" s="5"/>
    </row>
    <row r="10467" spans="1:7" ht="58.5" customHeight="1" x14ac:dyDescent="0.25">
      <c r="A10467" s="5" t="str">
        <f>"H0029199"</f>
        <v>H0029199</v>
      </c>
      <c r="B10467" s="5" t="str">
        <f t="shared" ref="B10467:B10478" si="536">"CAMILLA FIJA (TIPO DIVAN)"</f>
        <v>CAMILLA FIJA (TIPO DIVAN)</v>
      </c>
      <c r="C10467" s="6">
        <v>238000</v>
      </c>
      <c r="D10467" s="5" t="s">
        <v>612</v>
      </c>
      <c r="E10467" s="5" t="str">
        <f t="shared" si="535"/>
        <v>REHABILITACION Y TERAPIA-JHON CAMACHO</v>
      </c>
      <c r="F10467" s="5"/>
      <c r="G10467" s="5"/>
    </row>
    <row r="10468" spans="1:7" ht="58.5" customHeight="1" x14ac:dyDescent="0.25">
      <c r="A10468" s="5" t="str">
        <f>"H0029200"</f>
        <v>H0029200</v>
      </c>
      <c r="B10468" s="5" t="str">
        <f t="shared" si="536"/>
        <v>CAMILLA FIJA (TIPO DIVAN)</v>
      </c>
      <c r="C10468" s="6">
        <v>238000</v>
      </c>
      <c r="D10468" s="5" t="s">
        <v>613</v>
      </c>
      <c r="E10468" s="5" t="str">
        <f t="shared" si="535"/>
        <v>REHABILITACION Y TERAPIA-JHON CAMACHO</v>
      </c>
      <c r="F10468" s="5"/>
      <c r="G10468" s="5"/>
    </row>
    <row r="10469" spans="1:7" ht="58.5" customHeight="1" x14ac:dyDescent="0.25">
      <c r="A10469" s="5" t="str">
        <f>"H0029201"</f>
        <v>H0029201</v>
      </c>
      <c r="B10469" s="5" t="str">
        <f t="shared" si="536"/>
        <v>CAMILLA FIJA (TIPO DIVAN)</v>
      </c>
      <c r="C10469" s="6">
        <v>238000</v>
      </c>
      <c r="D10469" s="5" t="s">
        <v>613</v>
      </c>
      <c r="E10469" s="5" t="str">
        <f t="shared" si="535"/>
        <v>REHABILITACION Y TERAPIA-JHON CAMACHO</v>
      </c>
      <c r="F10469" s="5"/>
      <c r="G10469" s="5"/>
    </row>
    <row r="10470" spans="1:7" ht="58.5" customHeight="1" x14ac:dyDescent="0.25">
      <c r="A10470" s="5" t="str">
        <f>"H0029202"</f>
        <v>H0029202</v>
      </c>
      <c r="B10470" s="5" t="str">
        <f t="shared" si="536"/>
        <v>CAMILLA FIJA (TIPO DIVAN)</v>
      </c>
      <c r="C10470" s="6">
        <v>238000</v>
      </c>
      <c r="D10470" s="5" t="s">
        <v>613</v>
      </c>
      <c r="E10470" s="5" t="str">
        <f t="shared" si="535"/>
        <v>REHABILITACION Y TERAPIA-JHON CAMACHO</v>
      </c>
      <c r="F10470" s="5"/>
      <c r="G10470" s="5"/>
    </row>
    <row r="10471" spans="1:7" ht="58.5" customHeight="1" x14ac:dyDescent="0.25">
      <c r="A10471" s="5" t="str">
        <f>"H0029203"</f>
        <v>H0029203</v>
      </c>
      <c r="B10471" s="5" t="str">
        <f t="shared" si="536"/>
        <v>CAMILLA FIJA (TIPO DIVAN)</v>
      </c>
      <c r="C10471" s="6">
        <v>238000</v>
      </c>
      <c r="D10471" s="5" t="s">
        <v>613</v>
      </c>
      <c r="E10471" s="5" t="str">
        <f t="shared" si="535"/>
        <v>REHABILITACION Y TERAPIA-JHON CAMACHO</v>
      </c>
      <c r="F10471" s="5"/>
      <c r="G10471" s="5"/>
    </row>
    <row r="10472" spans="1:7" ht="58.5" customHeight="1" x14ac:dyDescent="0.25">
      <c r="A10472" s="5" t="str">
        <f>"H0029204"</f>
        <v>H0029204</v>
      </c>
      <c r="B10472" s="5" t="str">
        <f t="shared" si="536"/>
        <v>CAMILLA FIJA (TIPO DIVAN)</v>
      </c>
      <c r="C10472" s="6">
        <v>238000</v>
      </c>
      <c r="D10472" s="5" t="s">
        <v>613</v>
      </c>
      <c r="E10472" s="5" t="str">
        <f t="shared" si="535"/>
        <v>REHABILITACION Y TERAPIA-JHON CAMACHO</v>
      </c>
      <c r="F10472" s="5"/>
      <c r="G10472" s="5"/>
    </row>
    <row r="10473" spans="1:7" ht="58.5" customHeight="1" x14ac:dyDescent="0.25">
      <c r="A10473" s="5" t="str">
        <f>"H0029205"</f>
        <v>H0029205</v>
      </c>
      <c r="B10473" s="5" t="str">
        <f t="shared" si="536"/>
        <v>CAMILLA FIJA (TIPO DIVAN)</v>
      </c>
      <c r="C10473" s="6">
        <v>238000</v>
      </c>
      <c r="D10473" s="5" t="s">
        <v>613</v>
      </c>
      <c r="E10473" s="5" t="str">
        <f t="shared" si="535"/>
        <v>REHABILITACION Y TERAPIA-JHON CAMACHO</v>
      </c>
      <c r="F10473" s="5"/>
      <c r="G10473" s="5"/>
    </row>
    <row r="10474" spans="1:7" ht="58.5" customHeight="1" x14ac:dyDescent="0.25">
      <c r="A10474" s="5" t="str">
        <f>"H0029207"</f>
        <v>H0029207</v>
      </c>
      <c r="B10474" s="5" t="str">
        <f t="shared" si="536"/>
        <v>CAMILLA FIJA (TIPO DIVAN)</v>
      </c>
      <c r="C10474" s="6">
        <v>238000</v>
      </c>
      <c r="D10474" s="5" t="s">
        <v>613</v>
      </c>
      <c r="E10474" s="5" t="str">
        <f t="shared" si="535"/>
        <v>REHABILITACION Y TERAPIA-JHON CAMACHO</v>
      </c>
      <c r="F10474" s="5"/>
      <c r="G10474" s="5"/>
    </row>
    <row r="10475" spans="1:7" ht="58.5" customHeight="1" x14ac:dyDescent="0.25">
      <c r="A10475" s="5" t="str">
        <f>"H0029208"</f>
        <v>H0029208</v>
      </c>
      <c r="B10475" s="5" t="str">
        <f t="shared" si="536"/>
        <v>CAMILLA FIJA (TIPO DIVAN)</v>
      </c>
      <c r="C10475" s="6">
        <v>238000</v>
      </c>
      <c r="D10475" s="5" t="s">
        <v>613</v>
      </c>
      <c r="E10475" s="5" t="str">
        <f t="shared" si="535"/>
        <v>REHABILITACION Y TERAPIA-JHON CAMACHO</v>
      </c>
      <c r="F10475" s="5"/>
      <c r="G10475" s="5"/>
    </row>
    <row r="10476" spans="1:7" ht="58.5" customHeight="1" x14ac:dyDescent="0.25">
      <c r="A10476" s="5" t="str">
        <f>"H0029209"</f>
        <v>H0029209</v>
      </c>
      <c r="B10476" s="5" t="str">
        <f t="shared" si="536"/>
        <v>CAMILLA FIJA (TIPO DIVAN)</v>
      </c>
      <c r="C10476" s="6">
        <v>238000</v>
      </c>
      <c r="D10476" s="5" t="s">
        <v>613</v>
      </c>
      <c r="E10476" s="5" t="str">
        <f t="shared" si="535"/>
        <v>REHABILITACION Y TERAPIA-JHON CAMACHO</v>
      </c>
      <c r="F10476" s="5"/>
      <c r="G10476" s="5"/>
    </row>
    <row r="10477" spans="1:7" ht="58.5" customHeight="1" x14ac:dyDescent="0.25">
      <c r="A10477" s="5" t="str">
        <f>"H0029210"</f>
        <v>H0029210</v>
      </c>
      <c r="B10477" s="5" t="str">
        <f t="shared" si="536"/>
        <v>CAMILLA FIJA (TIPO DIVAN)</v>
      </c>
      <c r="C10477" s="6">
        <v>238000</v>
      </c>
      <c r="D10477" s="5" t="s">
        <v>613</v>
      </c>
      <c r="E10477" s="5" t="str">
        <f t="shared" si="535"/>
        <v>REHABILITACION Y TERAPIA-JHON CAMACHO</v>
      </c>
      <c r="F10477" s="5"/>
      <c r="G10477" s="5"/>
    </row>
    <row r="10478" spans="1:7" ht="58.5" customHeight="1" x14ac:dyDescent="0.25">
      <c r="A10478" s="5" t="str">
        <f>"H0029211"</f>
        <v>H0029211</v>
      </c>
      <c r="B10478" s="5" t="str">
        <f t="shared" si="536"/>
        <v>CAMILLA FIJA (TIPO DIVAN)</v>
      </c>
      <c r="C10478" s="6">
        <v>238000</v>
      </c>
      <c r="D10478" s="5" t="s">
        <v>613</v>
      </c>
      <c r="E10478" s="5" t="str">
        <f t="shared" si="535"/>
        <v>REHABILITACION Y TERAPIA-JHON CAMACHO</v>
      </c>
      <c r="F10478" s="5"/>
      <c r="G10478" s="5"/>
    </row>
    <row r="10479" spans="1:7" ht="58.5" customHeight="1" x14ac:dyDescent="0.25">
      <c r="A10479" s="5" t="str">
        <f>"H0029425"</f>
        <v>H0029425</v>
      </c>
      <c r="B10479" s="5" t="str">
        <f>"AIRE ACONDCIONADO MARCA OLYMPO DE 24000 BTU.220 VOLTIOS.TECNOLOGIA INVERTER"</f>
        <v>AIRE ACONDCIONADO MARCA OLYMPO DE 24000 BTU.220 VOLTIOS.TECNOLOGIA INVERTER</v>
      </c>
      <c r="C10479" s="6">
        <v>3055000</v>
      </c>
      <c r="D10479" s="5" t="s">
        <v>614</v>
      </c>
      <c r="E10479" s="5" t="str">
        <f t="shared" si="535"/>
        <v>REHABILITACION Y TERAPIA-JHON CAMACHO</v>
      </c>
      <c r="F10479" s="5"/>
      <c r="G10479" s="5"/>
    </row>
    <row r="10480" spans="1:7" ht="58.5" customHeight="1" x14ac:dyDescent="0.25">
      <c r="A10480" s="5" t="str">
        <f>"H0029426"</f>
        <v>H0029426</v>
      </c>
      <c r="B10480" s="5" t="str">
        <f>"AIRE ACONDCIONADO MARCA OLYMPO DE 24000 BTU.220 VOLTIOS.TECNOLOGIA INVERTER"</f>
        <v>AIRE ACONDCIONADO MARCA OLYMPO DE 24000 BTU.220 VOLTIOS.TECNOLOGIA INVERTER</v>
      </c>
      <c r="C10480" s="6">
        <v>3055000</v>
      </c>
      <c r="D10480" s="5" t="s">
        <v>614</v>
      </c>
      <c r="E10480" s="5" t="str">
        <f t="shared" si="535"/>
        <v>REHABILITACION Y TERAPIA-JHON CAMACHO</v>
      </c>
      <c r="F10480" s="5"/>
      <c r="G10480" s="5"/>
    </row>
    <row r="10481" spans="1:7" ht="58.5" customHeight="1" x14ac:dyDescent="0.25">
      <c r="A10481" s="5" t="str">
        <f>"H0029427"</f>
        <v>H0029427</v>
      </c>
      <c r="B10481" s="5" t="str">
        <f>"AIRE ACONDCIONADO MARCA OLYMPO DE 24000 BTU.220 VOLTIOS.TECNOLOGIA INVERTER"</f>
        <v>AIRE ACONDCIONADO MARCA OLYMPO DE 24000 BTU.220 VOLTIOS.TECNOLOGIA INVERTER</v>
      </c>
      <c r="C10481" s="6">
        <v>3055000</v>
      </c>
      <c r="D10481" s="5" t="s">
        <v>614</v>
      </c>
      <c r="E10481" s="5" t="str">
        <f t="shared" si="535"/>
        <v>REHABILITACION Y TERAPIA-JHON CAMACHO</v>
      </c>
      <c r="F10481" s="5"/>
      <c r="G10481" s="5"/>
    </row>
    <row r="10482" spans="1:7" ht="58.5" customHeight="1" x14ac:dyDescent="0.25">
      <c r="A10482" s="5" t="str">
        <f>"H0029428"</f>
        <v>H0029428</v>
      </c>
      <c r="B10482" s="5" t="str">
        <f>"AIRE ACONDCIONADO MARCA OLYMPO DE 18000 BTU.220 VOLTIOS.TECNOLOGIA INVERTER"</f>
        <v>AIRE ACONDCIONADO MARCA OLYMPO DE 18000 BTU.220 VOLTIOS.TECNOLOGIA INVERTER</v>
      </c>
      <c r="C10482" s="6">
        <v>2690000</v>
      </c>
      <c r="D10482" s="5" t="s">
        <v>614</v>
      </c>
      <c r="E10482" s="5" t="str">
        <f t="shared" si="535"/>
        <v>REHABILITACION Y TERAPIA-JHON CAMACHO</v>
      </c>
      <c r="F10482" s="5"/>
      <c r="G10482" s="5"/>
    </row>
    <row r="10483" spans="1:7" ht="58.5" customHeight="1" x14ac:dyDescent="0.25">
      <c r="A10483" s="5" t="str">
        <f>"H0029429"</f>
        <v>H0029429</v>
      </c>
      <c r="B10483" s="5" t="str">
        <f>"AIRE ACONDCIONADO MARCA OLYMPO DE 18000 BTU.220 VOLTIOS.TECNOLOGIA INVERTER"</f>
        <v>AIRE ACONDCIONADO MARCA OLYMPO DE 18000 BTU.220 VOLTIOS.TECNOLOGIA INVERTER</v>
      </c>
      <c r="C10483" s="6">
        <v>2690000</v>
      </c>
      <c r="D10483" s="5" t="s">
        <v>614</v>
      </c>
      <c r="E10483" s="5" t="str">
        <f t="shared" si="535"/>
        <v>REHABILITACION Y TERAPIA-JHON CAMACHO</v>
      </c>
      <c r="F10483" s="5"/>
      <c r="G10483" s="5"/>
    </row>
    <row r="10484" spans="1:7" ht="58.5" customHeight="1" x14ac:dyDescent="0.25">
      <c r="A10484" s="5" t="str">
        <f>"H0029430"</f>
        <v>H0029430</v>
      </c>
      <c r="B10484" s="5" t="str">
        <f>"AIRE ACONDCIONADO MARCA OLYMPO DE 18000 BTU.220 VOLTIOS.TECNOLOGIA INVERTER"</f>
        <v>AIRE ACONDCIONADO MARCA OLYMPO DE 18000 BTU.220 VOLTIOS.TECNOLOGIA INVERTER</v>
      </c>
      <c r="C10484" s="6">
        <v>2690000</v>
      </c>
      <c r="D10484" s="5" t="s">
        <v>614</v>
      </c>
      <c r="E10484" s="5" t="str">
        <f t="shared" si="535"/>
        <v>REHABILITACION Y TERAPIA-JHON CAMACHO</v>
      </c>
      <c r="F10484" s="5"/>
      <c r="G10484" s="5"/>
    </row>
    <row r="10485" spans="1:7" ht="58.5" customHeight="1" x14ac:dyDescent="0.25">
      <c r="A10485" s="5" t="str">
        <f>"H0029431"</f>
        <v>H0029431</v>
      </c>
      <c r="B10485" s="5" t="str">
        <f>"AIRE ACONDCIONADO MARCA OLYMPO DE 12000 BTU.220 VOLTIOS.TECNOLOGIA INVERTER"</f>
        <v>AIRE ACONDCIONADO MARCA OLYMPO DE 12000 BTU.220 VOLTIOS.TECNOLOGIA INVERTER</v>
      </c>
      <c r="C10485" s="6">
        <v>2330000</v>
      </c>
      <c r="D10485" s="5" t="s">
        <v>614</v>
      </c>
      <c r="E10485" s="5" t="str">
        <f t="shared" si="535"/>
        <v>REHABILITACION Y TERAPIA-JHON CAMACHO</v>
      </c>
      <c r="F10485" s="5"/>
      <c r="G10485" s="5"/>
    </row>
    <row r="10486" spans="1:7" ht="58.5" customHeight="1" x14ac:dyDescent="0.25">
      <c r="A10486" s="5" t="str">
        <f>"H0029432"</f>
        <v>H0029432</v>
      </c>
      <c r="B10486" s="5" t="str">
        <f>"AIRE ACONDCIONADO MARCA OLYMPO DE 12000 BTU.220 VOLTIOS.TECNOLOGIA INVERTER"</f>
        <v>AIRE ACONDCIONADO MARCA OLYMPO DE 12000 BTU.220 VOLTIOS.TECNOLOGIA INVERTER</v>
      </c>
      <c r="C10486" s="6">
        <v>2330000</v>
      </c>
      <c r="D10486" s="5" t="s">
        <v>614</v>
      </c>
      <c r="E10486" s="5" t="str">
        <f t="shared" si="535"/>
        <v>REHABILITACION Y TERAPIA-JHON CAMACHO</v>
      </c>
      <c r="F10486" s="5"/>
      <c r="G10486" s="5"/>
    </row>
    <row r="10487" spans="1:7" ht="58.5" customHeight="1" x14ac:dyDescent="0.25">
      <c r="A10487" s="5" t="str">
        <f>"H0029433"</f>
        <v>H0029433</v>
      </c>
      <c r="B10487" s="5" t="str">
        <f>"AIRE ACONDCIONADO MARCA OLYMPO DE 12000 BTU.220 VOLTIOS.TECNOLOGIA INVERTER"</f>
        <v>AIRE ACONDCIONADO MARCA OLYMPO DE 12000 BTU.220 VOLTIOS.TECNOLOGIA INVERTER</v>
      </c>
      <c r="C10487" s="6">
        <v>2330000</v>
      </c>
      <c r="D10487" s="5" t="s">
        <v>614</v>
      </c>
      <c r="E10487" s="5" t="str">
        <f t="shared" si="535"/>
        <v>REHABILITACION Y TERAPIA-JHON CAMACHO</v>
      </c>
      <c r="F10487" s="5"/>
      <c r="G10487" s="5"/>
    </row>
    <row r="10488" spans="1:7" ht="58.5" customHeight="1" x14ac:dyDescent="0.25">
      <c r="A10488" s="5" t="str">
        <f>"H0029434"</f>
        <v>H0029434</v>
      </c>
      <c r="B10488" s="5" t="str">
        <f>"AIRE ACONDCIONADO MARCA OLYMPO DE 9000 BTU.220 VOLTIOS.TECNOLOGIA INVERTER"</f>
        <v>AIRE ACONDCIONADO MARCA OLYMPO DE 9000 BTU.220 VOLTIOS.TECNOLOGIA INVERTER</v>
      </c>
      <c r="C10488" s="6">
        <v>2000000</v>
      </c>
      <c r="D10488" s="5" t="s">
        <v>614</v>
      </c>
      <c r="E10488" s="5" t="str">
        <f t="shared" si="535"/>
        <v>REHABILITACION Y TERAPIA-JHON CAMACHO</v>
      </c>
      <c r="F10488" s="5"/>
      <c r="G10488" s="5"/>
    </row>
    <row r="10489" spans="1:7" ht="58.5" customHeight="1" x14ac:dyDescent="0.25">
      <c r="A10489" s="5" t="str">
        <f>"H0029513"</f>
        <v>H0029513</v>
      </c>
      <c r="B1048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489" s="6">
        <v>257040</v>
      </c>
      <c r="D10489" s="5" t="s">
        <v>14</v>
      </c>
      <c r="E10489" s="5" t="str">
        <f t="shared" si="535"/>
        <v>REHABILITACION Y TERAPIA-JHON CAMACHO</v>
      </c>
      <c r="F10489" s="5"/>
      <c r="G10489" s="5"/>
    </row>
    <row r="10490" spans="1:7" ht="58.5" customHeight="1" x14ac:dyDescent="0.25">
      <c r="A10490" s="5" t="str">
        <f>"H0031228"</f>
        <v>H0031228</v>
      </c>
      <c r="B10490" s="5" t="str">
        <f>"ESTIMULADOR"</f>
        <v>ESTIMULADOR</v>
      </c>
      <c r="C10490" s="6">
        <v>8566810</v>
      </c>
      <c r="D10490" s="5" t="s">
        <v>103</v>
      </c>
      <c r="E10490" s="5" t="str">
        <f t="shared" si="535"/>
        <v>REHABILITACION Y TERAPIA-JHON CAMACHO</v>
      </c>
      <c r="F10490" s="5"/>
      <c r="G10490" s="5"/>
    </row>
    <row r="10491" spans="1:7" ht="58.5" customHeight="1" x14ac:dyDescent="0.25">
      <c r="A10491" s="5" t="str">
        <f>"H0031229"</f>
        <v>H0031229</v>
      </c>
      <c r="B10491" s="5" t="str">
        <f>"ESTIMULADOR"</f>
        <v>ESTIMULADOR</v>
      </c>
      <c r="C10491" s="6">
        <v>8566810</v>
      </c>
      <c r="D10491" s="5" t="s">
        <v>103</v>
      </c>
      <c r="E10491" s="5" t="str">
        <f t="shared" si="535"/>
        <v>REHABILITACION Y TERAPIA-JHON CAMACHO</v>
      </c>
      <c r="F10491" s="5"/>
      <c r="G10491" s="5"/>
    </row>
    <row r="10492" spans="1:7" ht="58.5" customHeight="1" x14ac:dyDescent="0.25">
      <c r="A10492" s="5" t="str">
        <f>"H0031230"</f>
        <v>H0031230</v>
      </c>
      <c r="B10492" s="5" t="str">
        <f>"JUEGO DE MANCUERNAS DE 1 A 10 LIBRAS"</f>
        <v>JUEGO DE MANCUERNAS DE 1 A 10 LIBRAS</v>
      </c>
      <c r="C10492" s="6">
        <v>1800600</v>
      </c>
      <c r="D10492" s="5" t="s">
        <v>103</v>
      </c>
      <c r="E10492" s="5" t="str">
        <f t="shared" si="535"/>
        <v>REHABILITACION Y TERAPIA-JHON CAMACHO</v>
      </c>
      <c r="F10492" s="5"/>
      <c r="G10492" s="5"/>
    </row>
    <row r="10493" spans="1:7" ht="58.5" customHeight="1" x14ac:dyDescent="0.25">
      <c r="A10493" s="5" t="str">
        <f>"H0031231"</f>
        <v>H0031231</v>
      </c>
      <c r="B10493" s="5" t="str">
        <f>"CALIBRADOR DE PLIEGO DE PIEL PARA OBESOS"</f>
        <v>CALIBRADOR DE PLIEGO DE PIEL PARA OBESOS</v>
      </c>
      <c r="C10493" s="6">
        <v>155771</v>
      </c>
      <c r="D10493" s="5" t="s">
        <v>103</v>
      </c>
      <c r="E10493" s="5" t="str">
        <f t="shared" ref="E10493:E10528" si="537">"REHABILITACION Y TERAPIA-JHON CAMACHO"</f>
        <v>REHABILITACION Y TERAPIA-JHON CAMACHO</v>
      </c>
      <c r="F10493" s="5"/>
      <c r="G10493" s="5"/>
    </row>
    <row r="10494" spans="1:7" ht="58.5" customHeight="1" x14ac:dyDescent="0.25">
      <c r="A10494" s="5" t="str">
        <f>"H0034084"</f>
        <v>H0034084</v>
      </c>
      <c r="B10494" s="5" t="str">
        <f>"TALLIMETRO CAPACIDAD 20-205 CM (DONACION)"</f>
        <v>TALLIMETRO CAPACIDAD 20-205 CM (DONACION)</v>
      </c>
      <c r="C10494" s="6">
        <v>558631</v>
      </c>
      <c r="D10494" s="5" t="s">
        <v>330</v>
      </c>
      <c r="E10494" s="5" t="str">
        <f t="shared" si="537"/>
        <v>REHABILITACION Y TERAPIA-JHON CAMACHO</v>
      </c>
      <c r="F10494" s="5"/>
      <c r="G10494" s="5"/>
    </row>
    <row r="10495" spans="1:7" ht="58.5" customHeight="1" x14ac:dyDescent="0.25">
      <c r="A10495" s="5" t="str">
        <f>"H0034334"</f>
        <v>H0034334</v>
      </c>
      <c r="B10495" s="5" t="str">
        <f>"BASCULA MECANICA METALICA (DONACION)"</f>
        <v>BASCULA MECANICA METALICA (DONACION)</v>
      </c>
      <c r="C10495" s="6">
        <v>1357000</v>
      </c>
      <c r="D10495" s="5" t="s">
        <v>193</v>
      </c>
      <c r="E10495" s="5" t="str">
        <f t="shared" si="537"/>
        <v>REHABILITACION Y TERAPIA-JHON CAMACHO</v>
      </c>
      <c r="F10495" s="5"/>
      <c r="G10495" s="5"/>
    </row>
    <row r="10496" spans="1:7" ht="58.5" customHeight="1" x14ac:dyDescent="0.25">
      <c r="A10496" s="5" t="str">
        <f>"H0034338"</f>
        <v>H0034338</v>
      </c>
      <c r="B10496" s="5" t="str">
        <f>"CAMILLA DE TRANSPORTE Y RECUPERACION (DONACION)"</f>
        <v>CAMILLA DE TRANSPORTE Y RECUPERACION (DONACION)</v>
      </c>
      <c r="C10496" s="6">
        <v>2200000</v>
      </c>
      <c r="D10496" s="5" t="s">
        <v>193</v>
      </c>
      <c r="E10496" s="5" t="str">
        <f t="shared" si="537"/>
        <v>REHABILITACION Y TERAPIA-JHON CAMACHO</v>
      </c>
      <c r="F10496" s="5"/>
      <c r="G10496" s="5"/>
    </row>
    <row r="10497" spans="1:7" ht="58.5" customHeight="1" x14ac:dyDescent="0.25">
      <c r="A10497" s="5" t="str">
        <f>"h0035204"</f>
        <v>h0035204</v>
      </c>
      <c r="B10497" s="5" t="str">
        <f>"LECTOR DE HUELLAS DIGITALES"</f>
        <v>LECTOR DE HUELLAS DIGITALES</v>
      </c>
      <c r="C10497" s="6">
        <v>357666.4</v>
      </c>
      <c r="D10497" s="5" t="s">
        <v>126</v>
      </c>
      <c r="E10497" s="5" t="str">
        <f t="shared" si="537"/>
        <v>REHABILITACION Y TERAPIA-JHON CAMACHO</v>
      </c>
      <c r="F10497" s="5"/>
      <c r="G10497" s="5"/>
    </row>
    <row r="10498" spans="1:7" ht="58.5" customHeight="1" x14ac:dyDescent="0.25">
      <c r="A10498" s="5" t="str">
        <f>"H0035205"</f>
        <v>H0035205</v>
      </c>
      <c r="B10498" s="5" t="str">
        <f>"LECTOR DE HUELLAS DIGITALES"</f>
        <v>LECTOR DE HUELLAS DIGITALES</v>
      </c>
      <c r="C10498" s="6">
        <v>357666.4</v>
      </c>
      <c r="D10498" s="5" t="s">
        <v>126</v>
      </c>
      <c r="E10498" s="5" t="str">
        <f t="shared" si="537"/>
        <v>REHABILITACION Y TERAPIA-JHON CAMACHO</v>
      </c>
      <c r="F10498" s="5"/>
      <c r="G10498" s="5"/>
    </row>
    <row r="10499" spans="1:7" ht="58.5" customHeight="1" x14ac:dyDescent="0.25">
      <c r="A10499" s="5" t="str">
        <f>"H0035206"</f>
        <v>H0035206</v>
      </c>
      <c r="B10499" s="5" t="str">
        <f>"LECTOR DE HUELLAS DIGITALES"</f>
        <v>LECTOR DE HUELLAS DIGITALES</v>
      </c>
      <c r="C10499" s="6">
        <v>357666.4</v>
      </c>
      <c r="D10499" s="5" t="s">
        <v>126</v>
      </c>
      <c r="E10499" s="5" t="str">
        <f t="shared" si="537"/>
        <v>REHABILITACION Y TERAPIA-JHON CAMACHO</v>
      </c>
      <c r="F10499" s="5"/>
      <c r="G10499" s="5"/>
    </row>
    <row r="10500" spans="1:7" ht="58.5" customHeight="1" x14ac:dyDescent="0.25">
      <c r="A10500" s="5" t="str">
        <f>"H0035208"</f>
        <v>H0035208</v>
      </c>
      <c r="B10500" s="5" t="str">
        <f>"LECTOR DE HUELLAS DIGITALES"</f>
        <v>LECTOR DE HUELLAS DIGITALES</v>
      </c>
      <c r="C10500" s="6">
        <v>357666.4</v>
      </c>
      <c r="D10500" s="5" t="s">
        <v>126</v>
      </c>
      <c r="E10500" s="5" t="str">
        <f t="shared" si="537"/>
        <v>REHABILITACION Y TERAPIA-JHON CAMACHO</v>
      </c>
      <c r="F10500" s="5"/>
      <c r="G10500" s="5"/>
    </row>
    <row r="10501" spans="1:7" ht="58.5" customHeight="1" x14ac:dyDescent="0.25">
      <c r="A10501" s="5" t="str">
        <f>"H0035328"</f>
        <v>H0035328</v>
      </c>
      <c r="B10501" s="5" t="s">
        <v>128</v>
      </c>
      <c r="C10501" s="6">
        <v>5462100</v>
      </c>
      <c r="D10501" s="5" t="s">
        <v>127</v>
      </c>
      <c r="E10501" s="5" t="str">
        <f t="shared" si="537"/>
        <v>REHABILITACION Y TERAPIA-JHON CAMACHO</v>
      </c>
      <c r="F10501" s="5"/>
      <c r="G10501" s="5" t="str">
        <f>"202G4AIO"</f>
        <v>202G4AIO</v>
      </c>
    </row>
    <row r="10502" spans="1:7" ht="58.5" customHeight="1" x14ac:dyDescent="0.25">
      <c r="A10502" s="5" t="str">
        <f>"H0035466"</f>
        <v>H0035466</v>
      </c>
      <c r="B10502" s="5" t="str">
        <f>"CARRO DE PARO (DONACION)"</f>
        <v>CARRO DE PARO (DONACION)</v>
      </c>
      <c r="C10502" s="6">
        <v>1971019.75</v>
      </c>
      <c r="D10502" s="5" t="s">
        <v>130</v>
      </c>
      <c r="E10502" s="5" t="str">
        <f t="shared" si="537"/>
        <v>REHABILITACION Y TERAPIA-JHON CAMACHO</v>
      </c>
      <c r="F10502" s="5"/>
      <c r="G10502" s="5"/>
    </row>
    <row r="10503" spans="1:7" ht="58.5" customHeight="1" x14ac:dyDescent="0.25">
      <c r="A10503" s="5" t="str">
        <f>"H0035961"</f>
        <v>H0035961</v>
      </c>
      <c r="B10503" s="5" t="str">
        <f>"SILLA GERENTE NIZA MEC. BASCULANTE CON BRAZOS."</f>
        <v>SILLA GERENTE NIZA MEC. BASCULANTE CON BRAZOS.</v>
      </c>
      <c r="C10503" s="6">
        <v>639999.86</v>
      </c>
      <c r="D10503" s="5" t="s">
        <v>281</v>
      </c>
      <c r="E10503" s="5" t="str">
        <f t="shared" si="537"/>
        <v>REHABILITACION Y TERAPIA-JHON CAMACHO</v>
      </c>
      <c r="F10503" s="5"/>
      <c r="G10503" s="5"/>
    </row>
    <row r="10504" spans="1:7" ht="58.5" customHeight="1" x14ac:dyDescent="0.25">
      <c r="A10504" s="5" t="str">
        <f>"H0035962"</f>
        <v>H0035962</v>
      </c>
      <c r="B10504" s="5" t="str">
        <f>"SILLA GERENTE NIZA MEC. BASCULANTE CON BRAZOS."</f>
        <v>SILLA GERENTE NIZA MEC. BASCULANTE CON BRAZOS.</v>
      </c>
      <c r="C10504" s="6">
        <v>639999.86</v>
      </c>
      <c r="D10504" s="5" t="s">
        <v>281</v>
      </c>
      <c r="E10504" s="5" t="str">
        <f t="shared" si="537"/>
        <v>REHABILITACION Y TERAPIA-JHON CAMACHO</v>
      </c>
      <c r="F10504" s="5"/>
      <c r="G10504" s="5"/>
    </row>
    <row r="10505" spans="1:7" ht="58.5" customHeight="1" x14ac:dyDescent="0.25">
      <c r="A10505" s="5" t="str">
        <f>"H0035963"</f>
        <v>H0035963</v>
      </c>
      <c r="B10505" s="5" t="str">
        <f>"SILLA GERENTE NIZA MEC. BASCULANTE CON BRAZOS."</f>
        <v>SILLA GERENTE NIZA MEC. BASCULANTE CON BRAZOS.</v>
      </c>
      <c r="C10505" s="6">
        <v>639999.86</v>
      </c>
      <c r="D10505" s="5" t="s">
        <v>281</v>
      </c>
      <c r="E10505" s="5" t="str">
        <f t="shared" si="537"/>
        <v>REHABILITACION Y TERAPIA-JHON CAMACHO</v>
      </c>
      <c r="F10505" s="5"/>
      <c r="G10505" s="5"/>
    </row>
    <row r="10506" spans="1:7" ht="58.5" customHeight="1" x14ac:dyDescent="0.25">
      <c r="A10506" s="5" t="str">
        <f>"H0036212"</f>
        <v>H0036212</v>
      </c>
      <c r="B10506" s="5" t="str">
        <f>"PARLANTE (BAFLE)"</f>
        <v>PARLANTE (BAFLE)</v>
      </c>
      <c r="C10506" s="6">
        <v>1623749.8</v>
      </c>
      <c r="D10506" s="5" t="s">
        <v>615</v>
      </c>
      <c r="E10506" s="5" t="str">
        <f t="shared" si="537"/>
        <v>REHABILITACION Y TERAPIA-JHON CAMACHO</v>
      </c>
      <c r="F10506" s="5"/>
      <c r="G10506" s="5"/>
    </row>
    <row r="10507" spans="1:7" ht="58.5" customHeight="1" x14ac:dyDescent="0.25">
      <c r="A10507" s="5" t="str">
        <f>"H0036480"</f>
        <v>H0036480</v>
      </c>
      <c r="B10507" s="5" t="str">
        <f>"EQUIPO DE ORGANOS PORTATIL"</f>
        <v>EQUIPO DE ORGANOS PORTATIL</v>
      </c>
      <c r="C10507" s="6">
        <v>900000</v>
      </c>
      <c r="D10507" s="5" t="s">
        <v>616</v>
      </c>
      <c r="E10507" s="5" t="str">
        <f t="shared" si="537"/>
        <v>REHABILITACION Y TERAPIA-JHON CAMACHO</v>
      </c>
      <c r="F10507" s="5"/>
      <c r="G10507" s="5"/>
    </row>
    <row r="10508" spans="1:7" ht="58.5" customHeight="1" x14ac:dyDescent="0.25">
      <c r="A10508" s="5" t="str">
        <f>"H0036485"</f>
        <v>H0036485</v>
      </c>
      <c r="B10508" s="5" t="str">
        <f>"Equipo Laser de Alta Intensidad"</f>
        <v>Equipo Laser de Alta Intensidad</v>
      </c>
      <c r="C10508" s="6">
        <v>110908000</v>
      </c>
      <c r="D10508" s="5" t="s">
        <v>617</v>
      </c>
      <c r="E10508" s="5" t="str">
        <f t="shared" si="537"/>
        <v>REHABILITACION Y TERAPIA-JHON CAMACHO</v>
      </c>
      <c r="F10508" s="5"/>
      <c r="G10508" s="5" t="str">
        <f>"BTL-6000"</f>
        <v>BTL-6000</v>
      </c>
    </row>
    <row r="10509" spans="1:7" ht="58.5" customHeight="1" x14ac:dyDescent="0.25">
      <c r="A10509" s="5" t="str">
        <f>"H0036583"</f>
        <v>H0036583</v>
      </c>
      <c r="B10509" s="5" t="str">
        <f>"ESCANER DE ALTA VELOCIDAD 35 PPM"</f>
        <v>ESCANER DE ALTA VELOCIDAD 35 PPM</v>
      </c>
      <c r="C10509" s="6">
        <v>2401636.36</v>
      </c>
      <c r="D10509" s="5" t="s">
        <v>199</v>
      </c>
      <c r="E10509" s="5" t="str">
        <f t="shared" si="537"/>
        <v>REHABILITACION Y TERAPIA-JHON CAMACHO</v>
      </c>
      <c r="F10509" s="5"/>
      <c r="G10509" s="5"/>
    </row>
    <row r="10510" spans="1:7" ht="58.5" customHeight="1" x14ac:dyDescent="0.25">
      <c r="A10510" s="5" t="str">
        <f>"H0036930"</f>
        <v>H0036930</v>
      </c>
      <c r="B10510" s="5" t="s">
        <v>619</v>
      </c>
      <c r="C10510" s="6">
        <v>12785000.48</v>
      </c>
      <c r="D10510" s="5" t="s">
        <v>618</v>
      </c>
      <c r="E10510" s="5" t="str">
        <f t="shared" si="537"/>
        <v>REHABILITACION Y TERAPIA-JHON CAMACHO</v>
      </c>
      <c r="F10510" s="5"/>
      <c r="G10510" s="5"/>
    </row>
    <row r="10511" spans="1:7" ht="58.5" customHeight="1" x14ac:dyDescent="0.25">
      <c r="A10511" s="5" t="str">
        <f>"H0036945"</f>
        <v>H0036945</v>
      </c>
      <c r="B10511" s="5" t="s">
        <v>619</v>
      </c>
      <c r="C10511" s="6">
        <v>12785000.48</v>
      </c>
      <c r="D10511" s="5" t="s">
        <v>618</v>
      </c>
      <c r="E10511" s="5" t="str">
        <f t="shared" si="537"/>
        <v>REHABILITACION Y TERAPIA-JHON CAMACHO</v>
      </c>
      <c r="F10511" s="5"/>
      <c r="G10511" s="5"/>
    </row>
    <row r="10512" spans="1:7" ht="58.5" customHeight="1" x14ac:dyDescent="0.25">
      <c r="A10512" s="5" t="str">
        <f>"H0037152"</f>
        <v>H0037152</v>
      </c>
      <c r="B10512" s="5" t="str">
        <f>"TALLIMETRO CAPACIDAD 20-205 CM (DONACION)"</f>
        <v>TALLIMETRO CAPACIDAD 20-205 CM (DONACION)</v>
      </c>
      <c r="C10512" s="6">
        <v>1254705.99</v>
      </c>
      <c r="D10512" s="5" t="s">
        <v>136</v>
      </c>
      <c r="E10512" s="5" t="str">
        <f t="shared" si="537"/>
        <v>REHABILITACION Y TERAPIA-JHON CAMACHO</v>
      </c>
      <c r="F10512" s="5"/>
      <c r="G10512" s="5"/>
    </row>
    <row r="10513" spans="1:7" ht="58.5" customHeight="1" x14ac:dyDescent="0.25">
      <c r="A10513" s="5" t="str">
        <f>"H0037168"</f>
        <v>H0037168</v>
      </c>
      <c r="B10513" s="5" t="str">
        <f>"BASCULA ADULTO"</f>
        <v>BASCULA ADULTO</v>
      </c>
      <c r="C10513" s="6">
        <v>3588385.98</v>
      </c>
      <c r="D10513" s="5" t="s">
        <v>136</v>
      </c>
      <c r="E10513" s="5" t="str">
        <f t="shared" si="537"/>
        <v>REHABILITACION Y TERAPIA-JHON CAMACHO</v>
      </c>
      <c r="F10513" s="5"/>
      <c r="G10513" s="5"/>
    </row>
    <row r="10514" spans="1:7" ht="58.5" customHeight="1" x14ac:dyDescent="0.25">
      <c r="A10514" s="5" t="str">
        <f>"H0037169"</f>
        <v>H0037169</v>
      </c>
      <c r="B10514" s="5" t="str">
        <f>"BASCULA ADULTO"</f>
        <v>BASCULA ADULTO</v>
      </c>
      <c r="C10514" s="6">
        <v>3588385.98</v>
      </c>
      <c r="D10514" s="5" t="s">
        <v>136</v>
      </c>
      <c r="E10514" s="5" t="str">
        <f t="shared" si="537"/>
        <v>REHABILITACION Y TERAPIA-JHON CAMACHO</v>
      </c>
      <c r="F10514" s="5"/>
      <c r="G10514" s="5"/>
    </row>
    <row r="10515" spans="1:7" ht="58.5" customHeight="1" x14ac:dyDescent="0.25">
      <c r="A10515" s="5" t="str">
        <f>"H0037244"</f>
        <v>H0037244</v>
      </c>
      <c r="B10515" s="5" t="str">
        <f>"BTL – 6000 SWT TOPLINE POWER"</f>
        <v>BTL – 6000 SWT TOPLINE POWER</v>
      </c>
      <c r="C10515" s="6">
        <v>130500000</v>
      </c>
      <c r="D10515" s="5" t="s">
        <v>620</v>
      </c>
      <c r="E10515" s="5" t="str">
        <f t="shared" si="537"/>
        <v>REHABILITACION Y TERAPIA-JHON CAMACHO</v>
      </c>
      <c r="F10515" s="5"/>
      <c r="G10515" s="5"/>
    </row>
    <row r="10516" spans="1:7" ht="58.5" customHeight="1" x14ac:dyDescent="0.25">
      <c r="A10516" s="5" t="str">
        <f>"H0037838"</f>
        <v>H0037838</v>
      </c>
      <c r="B10516" s="5" t="str">
        <f>"BANDA TROTADORA"</f>
        <v>BANDA TROTADORA</v>
      </c>
      <c r="C10516" s="6">
        <v>21319564</v>
      </c>
      <c r="D10516" s="5" t="s">
        <v>30</v>
      </c>
      <c r="E10516" s="5" t="str">
        <f t="shared" si="537"/>
        <v>REHABILITACION Y TERAPIA-JHON CAMACHO</v>
      </c>
      <c r="F10516" s="5"/>
      <c r="G10516" s="5"/>
    </row>
    <row r="10517" spans="1:7" ht="58.5" customHeight="1" x14ac:dyDescent="0.25">
      <c r="A10517" s="5" t="str">
        <f>"H0037863"</f>
        <v>H0037863</v>
      </c>
      <c r="B10517" s="5" t="str">
        <f t="shared" ref="B10517:B10522" si="538">"SILLA GERENTE NIZA MEC. BASCULANTE CON BRAZOS."</f>
        <v>SILLA GERENTE NIZA MEC. BASCULANTE CON BRAZOS.</v>
      </c>
      <c r="C10517" s="6">
        <v>710000.01</v>
      </c>
      <c r="D10517" s="5" t="s">
        <v>30</v>
      </c>
      <c r="E10517" s="5" t="str">
        <f t="shared" si="537"/>
        <v>REHABILITACION Y TERAPIA-JHON CAMACHO</v>
      </c>
      <c r="F10517" s="5"/>
      <c r="G10517" s="5"/>
    </row>
    <row r="10518" spans="1:7" ht="58.5" customHeight="1" x14ac:dyDescent="0.25">
      <c r="A10518" s="5" t="str">
        <f>"H0037864"</f>
        <v>H0037864</v>
      </c>
      <c r="B10518" s="5" t="str">
        <f t="shared" si="538"/>
        <v>SILLA GERENTE NIZA MEC. BASCULANTE CON BRAZOS.</v>
      </c>
      <c r="C10518" s="6">
        <v>710000.01</v>
      </c>
      <c r="D10518" s="5" t="s">
        <v>30</v>
      </c>
      <c r="E10518" s="5" t="str">
        <f t="shared" si="537"/>
        <v>REHABILITACION Y TERAPIA-JHON CAMACHO</v>
      </c>
      <c r="F10518" s="5"/>
      <c r="G10518" s="5"/>
    </row>
    <row r="10519" spans="1:7" ht="58.5" customHeight="1" x14ac:dyDescent="0.25">
      <c r="A10519" s="5" t="str">
        <f>"H0037865"</f>
        <v>H0037865</v>
      </c>
      <c r="B10519" s="5" t="str">
        <f t="shared" si="538"/>
        <v>SILLA GERENTE NIZA MEC. BASCULANTE CON BRAZOS.</v>
      </c>
      <c r="C10519" s="6">
        <v>710000.01</v>
      </c>
      <c r="D10519" s="5" t="s">
        <v>30</v>
      </c>
      <c r="E10519" s="5" t="str">
        <f t="shared" si="537"/>
        <v>REHABILITACION Y TERAPIA-JHON CAMACHO</v>
      </c>
      <c r="F10519" s="5"/>
      <c r="G10519" s="5"/>
    </row>
    <row r="10520" spans="1:7" ht="58.5" customHeight="1" x14ac:dyDescent="0.25">
      <c r="A10520" s="5" t="str">
        <f>"H0037866"</f>
        <v>H0037866</v>
      </c>
      <c r="B10520" s="5" t="str">
        <f t="shared" si="538"/>
        <v>SILLA GERENTE NIZA MEC. BASCULANTE CON BRAZOS.</v>
      </c>
      <c r="C10520" s="6">
        <v>710000.01</v>
      </c>
      <c r="D10520" s="5" t="s">
        <v>30</v>
      </c>
      <c r="E10520" s="5" t="str">
        <f t="shared" si="537"/>
        <v>REHABILITACION Y TERAPIA-JHON CAMACHO</v>
      </c>
      <c r="F10520" s="5"/>
      <c r="G10520" s="5"/>
    </row>
    <row r="10521" spans="1:7" ht="58.5" customHeight="1" x14ac:dyDescent="0.25">
      <c r="A10521" s="5" t="str">
        <f>"H0038058"</f>
        <v>H0038058</v>
      </c>
      <c r="B10521" s="5" t="str">
        <f t="shared" si="538"/>
        <v>SILLA GERENTE NIZA MEC. BASCULANTE CON BRAZOS.</v>
      </c>
      <c r="C10521" s="6">
        <v>710000.01</v>
      </c>
      <c r="D10521" s="5" t="s">
        <v>30</v>
      </c>
      <c r="E10521" s="5" t="str">
        <f t="shared" si="537"/>
        <v>REHABILITACION Y TERAPIA-JHON CAMACHO</v>
      </c>
      <c r="F10521" s="5"/>
      <c r="G10521" s="5"/>
    </row>
    <row r="10522" spans="1:7" ht="58.5" customHeight="1" x14ac:dyDescent="0.25">
      <c r="A10522" s="5" t="str">
        <f>"H0038059"</f>
        <v>H0038059</v>
      </c>
      <c r="B10522" s="5" t="str">
        <f t="shared" si="538"/>
        <v>SILLA GERENTE NIZA MEC. BASCULANTE CON BRAZOS.</v>
      </c>
      <c r="C10522" s="6">
        <v>710000.01</v>
      </c>
      <c r="D10522" s="5" t="s">
        <v>30</v>
      </c>
      <c r="E10522" s="5" t="str">
        <f t="shared" si="537"/>
        <v>REHABILITACION Y TERAPIA-JHON CAMACHO</v>
      </c>
      <c r="F10522" s="5"/>
      <c r="G10522" s="5"/>
    </row>
    <row r="10523" spans="1:7" ht="58.5" customHeight="1" x14ac:dyDescent="0.25">
      <c r="A10523" s="5" t="str">
        <f>"H0038150"</f>
        <v>H0038150</v>
      </c>
      <c r="B10523" s="5" t="str">
        <f>"EQUIPO DE ELECTROTERAPIA Y ULTRASONIDO COMBINADA"</f>
        <v>EQUIPO DE ELECTROTERAPIA Y ULTRASONIDO COMBINADA</v>
      </c>
      <c r="C10523" s="6">
        <v>31573231</v>
      </c>
      <c r="D10523" s="5" t="s">
        <v>142</v>
      </c>
      <c r="E10523" s="5" t="str">
        <f t="shared" si="537"/>
        <v>REHABILITACION Y TERAPIA-JHON CAMACHO</v>
      </c>
      <c r="F10523" s="5"/>
      <c r="G10523" s="5"/>
    </row>
    <row r="10524" spans="1:7" ht="58.5" customHeight="1" x14ac:dyDescent="0.25">
      <c r="A10524" s="5" t="str">
        <f>"H0038151"</f>
        <v>H0038151</v>
      </c>
      <c r="B10524" s="5" t="str">
        <f>"EQUIPO DE ELECTROTERAPIA Y ULTRASONIDO COMBINADA"</f>
        <v>EQUIPO DE ELECTROTERAPIA Y ULTRASONIDO COMBINADA</v>
      </c>
      <c r="C10524" s="6">
        <v>31573231</v>
      </c>
      <c r="D10524" s="5" t="s">
        <v>142</v>
      </c>
      <c r="E10524" s="5" t="str">
        <f t="shared" si="537"/>
        <v>REHABILITACION Y TERAPIA-JHON CAMACHO</v>
      </c>
      <c r="F10524" s="5"/>
      <c r="G10524" s="5"/>
    </row>
    <row r="10525" spans="1:7" ht="58.5" customHeight="1" x14ac:dyDescent="0.25">
      <c r="A10525" s="5" t="str">
        <f>"H0038211"</f>
        <v>H0038211</v>
      </c>
      <c r="B10525" s="5" t="str">
        <f>"SONDA VIA OSEA COMPLETA PARA EL AUDIOMETRO BT1W (TRADUCTOR CABLE Y DIADEMA)"</f>
        <v>SONDA VIA OSEA COMPLETA PARA EL AUDIOMETRO BT1W (TRADUCTOR CABLE Y DIADEMA)</v>
      </c>
      <c r="C10525" s="6">
        <v>3245455</v>
      </c>
      <c r="D10525" s="5" t="s">
        <v>621</v>
      </c>
      <c r="E10525" s="5" t="str">
        <f t="shared" si="537"/>
        <v>REHABILITACION Y TERAPIA-JHON CAMACHO</v>
      </c>
      <c r="F10525" s="5"/>
      <c r="G10525" s="5"/>
    </row>
    <row r="10526" spans="1:7" ht="58.5" customHeight="1" x14ac:dyDescent="0.25">
      <c r="A10526" s="5" t="str">
        <f>"H0038229"</f>
        <v>H0038229</v>
      </c>
      <c r="B10526" s="5" t="str">
        <f>"BICICLETA ESTATICA"</f>
        <v>BICICLETA ESTATICA</v>
      </c>
      <c r="C10526" s="6">
        <v>13959890</v>
      </c>
      <c r="D10526" s="5" t="s">
        <v>622</v>
      </c>
      <c r="E10526" s="5" t="str">
        <f t="shared" si="537"/>
        <v>REHABILITACION Y TERAPIA-JHON CAMACHO</v>
      </c>
      <c r="F10526" s="5"/>
      <c r="G10526" s="5"/>
    </row>
    <row r="10527" spans="1:7" ht="58.5" customHeight="1" x14ac:dyDescent="0.25">
      <c r="A10527" s="5" t="str">
        <f>"H0038230"</f>
        <v>H0038230</v>
      </c>
      <c r="B10527" s="5" t="str">
        <f>"BICICLETA ESTATICA"</f>
        <v>BICICLETA ESTATICA</v>
      </c>
      <c r="C10527" s="6">
        <v>13959890</v>
      </c>
      <c r="D10527" s="5" t="s">
        <v>622</v>
      </c>
      <c r="E10527" s="5" t="str">
        <f t="shared" si="537"/>
        <v>REHABILITACION Y TERAPIA-JHON CAMACHO</v>
      </c>
      <c r="F10527" s="5"/>
      <c r="G10527" s="5"/>
    </row>
    <row r="10528" spans="1:7" ht="58.5" customHeight="1" x14ac:dyDescent="0.25">
      <c r="A10528" s="5" t="str">
        <f>"H0038750"</f>
        <v>H0038750</v>
      </c>
      <c r="B10528" s="5" t="str">
        <f>"ESPIROMETRO"</f>
        <v>ESPIROMETRO</v>
      </c>
      <c r="C10528" s="6">
        <v>619775157</v>
      </c>
      <c r="D10528" s="5" t="s">
        <v>623</v>
      </c>
      <c r="E10528" s="5" t="str">
        <f t="shared" si="537"/>
        <v>REHABILITACION Y TERAPIA-JHON CAMACHO</v>
      </c>
      <c r="F10528" s="5"/>
      <c r="G10528" s="5"/>
    </row>
    <row r="10529" spans="1:7" ht="58.5" customHeight="1" x14ac:dyDescent="0.25">
      <c r="A10529" s="5" t="str">
        <f>"B0004422"</f>
        <v>B0004422</v>
      </c>
      <c r="B10529" s="5" t="str">
        <f>"LICENCIA OFFICE HOME AND BUSINEES"</f>
        <v>LICENCIA OFFICE HOME AND BUSINEES</v>
      </c>
      <c r="C10529" s="6">
        <v>440800</v>
      </c>
      <c r="D10529" s="5" t="s">
        <v>1</v>
      </c>
      <c r="E10529" s="5" t="str">
        <f t="shared" ref="E10529:E10560" si="539">"ACTISALUD-SIAU-MARISELA AREVALO AREVALO"</f>
        <v>ACTISALUD-SIAU-MARISELA AREVALO AREVALO</v>
      </c>
      <c r="F10529" s="5" t="str">
        <f>"Descripcion: LICENCIA OFFICE HOME AND BUSIMESS 2013 Estado: Bueno Placa anterior: 000030612 Material:  Color:  Referencia:  Observacion:  Placa padre: Tipo adquisicion: Entidad"</f>
        <v>Descripcion: LICENCIA OFFICE HOME AND BUSIMESS 2013 Estado: Bueno Placa anterior: 000030612 Material:  Color:  Referencia:  Observacion:  Placa padre: Tipo adquisicion: Entidad</v>
      </c>
      <c r="G10529" s="5"/>
    </row>
    <row r="10530" spans="1:7" ht="58.5" customHeight="1" x14ac:dyDescent="0.25">
      <c r="A10530" s="5" t="str">
        <f>"H0000772"</f>
        <v>H0000772</v>
      </c>
      <c r="B10530" s="5" t="str">
        <f>"VENTILADOR DE PARED"</f>
        <v>VENTILADOR DE PARED</v>
      </c>
      <c r="C10530" s="6">
        <v>20878.25</v>
      </c>
      <c r="D10530" s="5"/>
      <c r="E10530" s="5" t="str">
        <f t="shared" si="539"/>
        <v>ACTISALUD-SIAU-MARISELA AREVALO AREVALO</v>
      </c>
      <c r="F10530" s="5" t="str">
        <f>"Descripcion: VENTILADOR DE PARED MCA CROWN Estado: Bueno Placa anterior: 000002897 Material: PLASTICO CON REJILLA METALICA Color: BEIGE CON MARRON Referencia:  Observacion:  Placa padre: Tipo adquisicion: Entidad"</f>
        <v>Descripcion: VENTILADOR DE PARED MCA CROWN Estado: Bueno Placa anterior: 000002897 Material: PLASTICO CON REJILLA METALICA Color: BEIGE CON MARRON Referencia:  Observacion:  Placa padre: Tipo adquisicion: Entidad</v>
      </c>
      <c r="G10530" s="5" t="str">
        <f>"PR418"</f>
        <v>PR418</v>
      </c>
    </row>
    <row r="10531" spans="1:7" ht="58.5" customHeight="1" x14ac:dyDescent="0.25">
      <c r="A10531" s="5" t="str">
        <f>"H0002110"</f>
        <v>H0002110</v>
      </c>
      <c r="B10531" s="5" t="str">
        <f>"COMPUTADOR TODO EN UNO"</f>
        <v>COMPUTADOR TODO EN UNO</v>
      </c>
      <c r="C10531" s="6">
        <v>1200000</v>
      </c>
      <c r="D10531" s="5" t="s">
        <v>2</v>
      </c>
      <c r="E10531" s="5" t="str">
        <f t="shared" si="539"/>
        <v>ACTISALUD-SIAU-MARISELA AREVALO AREVALO</v>
      </c>
      <c r="F10531" s="5" t="str">
        <f>"Descripcion:COMPUTADOR TODO EN UNO PROCESADOR: Intel pentiun G645 (2.9 Ghz/3MB/2 nucleos) memoria RAM 4GB DDR3-1600 SODIMM (1X4GB) Disco duro 500GB 7200 RPMSATA-6G Multi DVD/RM Licencia win 8 pro 64 Downgrade to Win 7 pro 64 o supervisor USB Keyboard Usbe"&amp; " Optical, m Estado: Bueno Placa anterior: 000030803 Material: PLASTICO Color: NEGRO Referencia:  Observacion: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Bueno Placa anterior: 000030803 Material: PLASTICO Color: NEGRO Referencia:  Observacion:  Placa padre:  Tipo adquisicion : Entidad</v>
      </c>
      <c r="G10531" s="5" t="str">
        <f>"COMPAQ PRO 4300"</f>
        <v>COMPAQ PRO 4300</v>
      </c>
    </row>
    <row r="10532" spans="1:7" ht="58.5" customHeight="1" x14ac:dyDescent="0.25">
      <c r="A10532" s="5" t="str">
        <f>"H0002476"</f>
        <v>H0002476</v>
      </c>
      <c r="B10532" s="5" t="str">
        <f>"COMPUTADOR TODO EN UNO"</f>
        <v>COMPUTADOR TODO EN UNO</v>
      </c>
      <c r="C10532" s="6">
        <v>2470000</v>
      </c>
      <c r="D10532" s="5"/>
      <c r="E10532" s="5" t="str">
        <f t="shared" si="539"/>
        <v>ACTISALUD-SIAU-MARISELA AREVALO AREVALO</v>
      </c>
      <c r="F10532" s="5" t="str">
        <f>"Descripcion:EQUIPO DE COMPUTO TODO EN UNO CON PROCESADOR INTEL i5 Estado: Excelente Placa anterior: 000037273 Material: PASTA Color: NEGRO Referencia: 10BDFDLS Observacion:  Placa anterior:, Placa nueva=H0002478, Descripcion:MOUSE USB  3 BOTONES, Serial:4"&amp; "4PD062, Marca:LENOVO, Modelo:45J4889, Material:PASTA, Color:NEGRO,   Referencia:, Placa anterior:, Placa nueva=H0002477, Descripcion:TECLADO USB LENOVO, Serial:8279197, Marca:LENOVO, Modelo:KU-0225, Material:PASTA, Color:NEGRO,   Referencia:54Y9424 Placa "&amp; "padre:  Tipo adquisicion : Entidad"</f>
        <v>Descripcion:EQUIPO DE COMPUTO TODO EN UNO CON PROCESADOR INTEL i5 Estado: Excelente Placa anterior: 000037273 Material: PASTA Color: NEGRO Referencia: 10BDFDLS Observacion:  Placa anterior:, Placa nueva=H0002478, Descripcion:MOUSE USB  3 BOTONES, Serial:44PD062, Marca:LENOVO, Modelo:45J4889, Material:PASTA, Color:NEGRO,   Referencia:, Placa anterior:, Placa nueva=H0002477, Descripcion:TECLADO USB LENOVO, Serial:8279197, Marca:LENOVO, Modelo:KU-0225, Material:PASTA, Color:NEGRO,   Referencia:54Y9424 Placa padre:  Tipo adquisicion : Entidad</v>
      </c>
      <c r="G10532" s="5" t="str">
        <f>"00FDLS"</f>
        <v>00FDLS</v>
      </c>
    </row>
    <row r="10533" spans="1:7" ht="58.5" customHeight="1" x14ac:dyDescent="0.25">
      <c r="A10533" s="5" t="str">
        <f>"H0005042"</f>
        <v>H0005042</v>
      </c>
      <c r="B10533" s="5" t="str">
        <f>"COMPUTADOR TODO EN UNO"</f>
        <v>COMPUTADOR TODO EN UNO</v>
      </c>
      <c r="C10533" s="6">
        <v>1200000</v>
      </c>
      <c r="D10533" s="5" t="s">
        <v>2</v>
      </c>
      <c r="E10533" s="5" t="str">
        <f t="shared" si="539"/>
        <v>ACTISALUD-SIAU-MARISELA AREVALO AREVALO</v>
      </c>
      <c r="F10533" s="5" t="str">
        <f>"Descripcion:20 PULGADASntel pentiun G645 (2.9 Ghz/3MB/2 nucleos) memoria RAM 4GB DDR3-1600 SODIMM (1X4GB) Disco duro 500GB 7200 RPMSATA-6G Multi DVD/RM Licencia win 8 pro 64 Downgrade to Win 7 pro 64 o supervisor USB Keyboard Usbe Optical,20 Estado: Excel"&amp; "ente Placa anterior: 000030804 Material: PLASTICO Color: NEGRO Referencia: C9K24LT#ABM Observacion:  Placa anterior:, Placa nueva=H0005044, Descripcion:OPTICO, Serial:FCMHH0CAU4F8Q9, Marca:HP, Modelo:674316-001, Material:PLASTICO, Color:NEGRO,   Referenci"&amp; "a:672652001, Placa anterior:, Placa nueva=H0005043, Descripcion:., Serial:BCZZN0BVB4C2HQ, Marca:HP, Modelo:KU-1156, Material:PLASTICO, Color:NEGRO,   Referencia: Placa padre:  Tipo adquisicion : Entidad"</f>
        <v>Descripcion:20 PULGADASntel pentiun G645 (2.9 Ghz/3MB/2 nucleos) memoria RAM 4GB DDR3-1600 SODIMM (1X4GB) Disco duro 500GB 7200 RPMSATA-6G Multi DVD/RM Licencia win 8 pro 64 Downgrade to Win 7 pro 64 o supervisor USB Keyboard Usbe Optical,20 Estado: Excelente Placa anterior: 000030804 Material: PLASTICO Color: NEGRO Referencia: C9K24LT#ABM Observacion:  Placa anterior:, Placa nueva=H0005044, Descripcion:OPTICO, Serial:FCMHH0CAU4F8Q9, Marca:HP, Modelo:674316-001, Material:PLASTICO, Color:NEGRO,   Referencia:672652001, Placa anterior:, Placa nueva=H0005043, Descripcion:., Serial:BCZZN0BVB4C2HQ, Marca:HP, Modelo:KU-1156, Material:PLASTICO, Color:NEGRO,   Referencia: Placa padre:  Tipo adquisicion : Entidad</v>
      </c>
      <c r="G10533" s="5" t="str">
        <f>"HP PRO 4300"</f>
        <v>HP PRO 4300</v>
      </c>
    </row>
    <row r="10534" spans="1:7" ht="58.5" customHeight="1" x14ac:dyDescent="0.25">
      <c r="A10534" s="5" t="str">
        <f>"H0006034"</f>
        <v>H0006034</v>
      </c>
      <c r="B10534" s="5" t="str">
        <f>"AIRE ACONDICIONADO DE 36000 BTU PISO TECHO"</f>
        <v>AIRE ACONDICIONADO DE 36000 BTU PISO TECHO</v>
      </c>
      <c r="C10534" s="6">
        <v>4135400</v>
      </c>
      <c r="D10534" s="5"/>
      <c r="E10534" s="5" t="str">
        <f t="shared" si="539"/>
        <v>ACTISALUD-SIAU-MARISELA AREVALO AREVALO</v>
      </c>
      <c r="F10534" s="5" t="str">
        <f>"Descripcion: AIRE ACONDICIONADO TIPO SPLIT MCA.YORK Estado: Bueno Placa anterior: 000000166 Material: PLASTICO Color: BLANCO Referencia:  Observacion:  Placa anterior:, Placa nueva=H0020689, Descripcion:CONDENSADOR DEL AIRE ACONDICIONADO CON PLACA NUEVA N"&amp; "o. H0006034 Y PLACA ANTERIOR No. 000000166* GERENCIA, Serial:000583047, Marca:YORK, Modelo:BRCS0361BD, Material:METALICO, Color:GRIS,  Referencia: Placa padre: Tipo adquisicion: Entidad"</f>
        <v>Descripcion: AIRE ACONDICIONADO TIPO SPLIT MCA.YORK Estado: Bueno Placa anterior: 000000166 Material: PLASTICO Color: BLANCO Referencia:  Observacion:  Placa anterior:, Placa nueva=H0020689, Descripcion:CONDENSADOR DEL AIRE ACONDICIONADO CON PLACA NUEVA No. H0006034 Y PLACA ANTERIOR No. 000000166* GERENCIA, Serial:000583047, Marca:YORK, Modelo:BRCS0361BD, Material:METALICO, Color:GRIS,  Referencia: Placa padre: Tipo adquisicion: Entidad</v>
      </c>
      <c r="G10534" s="5" t="str">
        <f>"36000 BTU"</f>
        <v>36000 BTU</v>
      </c>
    </row>
    <row r="10535" spans="1:7" ht="58.5" customHeight="1" x14ac:dyDescent="0.25">
      <c r="A10535" s="5" t="str">
        <f>"H0007212"</f>
        <v>H0007212</v>
      </c>
      <c r="B10535" s="5" t="str">
        <f>"COMPUTADOR TODO EN UNO"</f>
        <v>COMPUTADOR TODO EN UNO</v>
      </c>
      <c r="C10535" s="6">
        <v>2470000</v>
      </c>
      <c r="D10535" s="5" t="s">
        <v>6</v>
      </c>
      <c r="E10535" s="5" t="str">
        <f t="shared" si="539"/>
        <v>ACTISALUD-SIAU-MARISELA AREVALO AREVALO</v>
      </c>
      <c r="F10535" s="5" t="str">
        <f>"Descripcion: EQUIPO DE COMPUTO TODO EN UNO CON PROCESADOR INTEL i5 Estado: Bueno Placa anterior: 000037018 Material: PASTA Color: NEGRO Referencia: 10BD00FDLS Observacion:  Placa anterior:, Placa nueva=H0007214, Descripcion:OPTICO, Serial:44MG123, Marca:L"&amp; "ENOVO, Modelo:MOEUUOA, Material:PASTA, Color:NEGRO, Referencia:SM50F76959, Placa anterior:, Placa nueva=H0007213, Descripcion:., Serial:8258S12, Marca:LENOVO, Modelo:KU-0225, Material:PASTA, Color:NEGRO, Referencia:54Y9224 Placa padre: Tipo adquisicion: E"&amp; "ntidad"</f>
        <v>Descripcion: EQUIPO DE COMPUTO TODO EN UNO CON PROCESADOR INTEL i5 Estado: Bueno Placa anterior: 000037018 Material: PASTA Color: NEGRO Referencia: 10BD00FDLS Observacion:  Placa anterior:, Placa nueva=H0007214, Descripcion:OPTICO, Serial:44MG123, Marca:LENOVO, Modelo:MOEUUOA, Material:PASTA, Color:NEGRO, Referencia:SM50F76959, Placa anterior:, Placa nueva=H0007213, Descripcion:., Serial:8258S12, Marca:LENOVO, Modelo:KU-0225, Material:PASTA, Color:NEGRO, Referencia:54Y9224 Placa padre: Tipo adquisicion: Entidad</v>
      </c>
      <c r="G10535" s="5" t="str">
        <f>"THINK CENTRE"</f>
        <v>THINK CENTRE</v>
      </c>
    </row>
    <row r="10536" spans="1:7" ht="58.5" customHeight="1" x14ac:dyDescent="0.25">
      <c r="A10536" s="5" t="str">
        <f>"H0007216"</f>
        <v>H0007216</v>
      </c>
      <c r="B10536" s="5" t="str">
        <f>"ESTABILIZADOR  PARA COMPUTADOR"</f>
        <v>ESTABILIZADOR  PARA COMPUTADOR</v>
      </c>
      <c r="C10536" s="6">
        <v>55835.199999999997</v>
      </c>
      <c r="D10536" s="5"/>
      <c r="E10536" s="5" t="str">
        <f t="shared" si="539"/>
        <v>ACTISALUD-SIAU-MARISELA AREVALO AREVALO</v>
      </c>
      <c r="F10536" s="5" t="str">
        <f>"Descripcion: ESTABILIZADOR MCA POWER TRONIC4 PUERTOS Estado: Bueno Placa anterior: 000000500 Material: METALICO Color: BEIGE Referencia:  Observacion:  Placa padre: Tipo adquisicion: Entidad"</f>
        <v>Descripcion: ESTABILIZADOR MCA POWER TRONIC4 PUERTOS Estado: Bueno Placa anterior: 000000500 Material: METALICO Color: BEIGE Referencia:  Observacion:  Placa padre: Tipo adquisicion: Entidad</v>
      </c>
      <c r="G10536" s="5"/>
    </row>
    <row r="10537" spans="1:7" ht="58.5" customHeight="1" x14ac:dyDescent="0.25">
      <c r="A10537" s="5" t="str">
        <f>"H0007222"</f>
        <v>H0007222</v>
      </c>
      <c r="B10537" s="5" t="str">
        <f>"MANEJADORA (AIRE ACONDICIONADO)"</f>
        <v>MANEJADORA (AIRE ACONDICIONADO)</v>
      </c>
      <c r="C10537" s="6">
        <v>1435000</v>
      </c>
      <c r="D10537" s="5" t="s">
        <v>453</v>
      </c>
      <c r="E10537" s="5" t="str">
        <f t="shared" si="539"/>
        <v>ACTISALUD-SIAU-MARISELA AREVALO AREVALO</v>
      </c>
      <c r="F10537" s="5" t="str">
        <f>"Descripcion: CON CONTROL REMOTO Estado: Bueno Placa anterior: 000033532 Material: PASTA Color: BLANCO Referencia:  Observacion: AUTORIZADO CONCILIAR EN CRUCE GENERAL Placa padre: Tipo adquisicion: Entidad"</f>
        <v>Descripcion: CON CONTROL REMOTO Estado: Bueno Placa anterior: 000033532 Material: PASTA Color: BLANCO Referencia:  Observacion: AUTORIZADO CONCILIAR EN CRUCE GENERAL Placa padre: Tipo adquisicion: Entidad</v>
      </c>
      <c r="G10537" s="5" t="str">
        <f>"AVXC1H032CA"</f>
        <v>AVXC1H032CA</v>
      </c>
    </row>
    <row r="10538" spans="1:7" ht="58.5" customHeight="1" x14ac:dyDescent="0.25">
      <c r="A10538" s="5" t="str">
        <f>"H0007223"</f>
        <v>H0007223</v>
      </c>
      <c r="B10538" s="5" t="str">
        <f>"MANEJADORA (AIRE ACONDICIONADO)"</f>
        <v>MANEJADORA (AIRE ACONDICIONADO)</v>
      </c>
      <c r="C10538" s="6">
        <v>1435000</v>
      </c>
      <c r="D10538" s="5" t="s">
        <v>453</v>
      </c>
      <c r="E10538" s="5" t="str">
        <f t="shared" si="539"/>
        <v>ACTISALUD-SIAU-MARISELA AREVALO AREVALO</v>
      </c>
      <c r="F10538" s="5" t="str">
        <f>"Descripcion: SIN CONTROL REMOTO Estado: Bueno Placa anterior: 000033531 Material: PASTA Color: BLANCO Referencia:  Observacion: AUTORIZADO CONCILIAR EN CRUCE GENERAL Placa padre: Tipo adquisicion: Entidad"</f>
        <v>Descripcion: SIN CONTROL REMOTO Estado: Bueno Placa anterior: 000033531 Material: PASTA Color: BLANCO Referencia:  Observacion: AUTORIZADO CONCILIAR EN CRUCE GENERAL Placa padre: Tipo adquisicion: Entidad</v>
      </c>
      <c r="G10538" s="5" t="str">
        <f>"AVXC1H032CA"</f>
        <v>AVXC1H032CA</v>
      </c>
    </row>
    <row r="10539" spans="1:7" ht="58.5" customHeight="1" x14ac:dyDescent="0.25">
      <c r="A10539" s="5" t="str">
        <f>"H0009691"</f>
        <v>H0009691</v>
      </c>
      <c r="B10539" s="5" t="str">
        <f>"SILLA GIRATORIA SIN BRAZOS CON RODACHINES"</f>
        <v>SILLA GIRATORIA SIN BRAZOS CON RODACHINES</v>
      </c>
      <c r="C10539" s="6">
        <v>59160</v>
      </c>
      <c r="D10539" s="5"/>
      <c r="E10539" s="5" t="str">
        <f t="shared" si="539"/>
        <v>ACTISALUD-SIAU-MARISELA AREVALO AREVALO</v>
      </c>
      <c r="F10539" s="5" t="str">
        <f>"Descripcion: SILLA GIRATORIA  Estado: Regular Placa anterior: 000031204 Material: PASTA Y PAÑO Color: NEGRO, ASIENTO AZUL Y VERDE Referencia:  Observacion: SE CAMBIO EL ESPALDAR Y ASIENTO ESTA SUELTA LA BASE DE CAUCHO Placa padre: Tipo adquisicion: Entida"&amp; "d"</f>
        <v>Descripcion: SILLA GIRATORIA  Estado: Regular Placa anterior: 000031204 Material: PASTA Y PAÑO Color: NEGRO, ASIENTO AZUL Y VERDE Referencia:  Observacion: SE CAMBIO EL ESPALDAR Y ASIENTO ESTA SUELTA LA BASE DE CAUCHO Placa padre: Tipo adquisicion: Entidad</v>
      </c>
      <c r="G10539" s="5"/>
    </row>
    <row r="10540" spans="1:7" ht="58.5" customHeight="1" x14ac:dyDescent="0.25">
      <c r="A10540" s="5" t="str">
        <f>"H0010544"</f>
        <v>H0010544</v>
      </c>
      <c r="B10540" s="5" t="str">
        <f>"ESTABILIZADOR  PARA COMPUTADOR"</f>
        <v>ESTABILIZADOR  PARA COMPUTADOR</v>
      </c>
      <c r="C10540" s="6">
        <v>76500</v>
      </c>
      <c r="D10540" s="5"/>
      <c r="E10540" s="5" t="str">
        <f t="shared" si="539"/>
        <v>ACTISALUD-SIAU-MARISELA AREVALO AREVALO</v>
      </c>
      <c r="F10540" s="5" t="str">
        <f>"Descripcion: ESTABILIZADOR DE VOLTAGE 8 TOMAS Estado: Bueno Placa anterior: 000031187 Material: PLASTICO Color: NEGRO Referencia:  Observacion:  Placa padre: Tipo adquisicion: Entidad"</f>
        <v>Descripcion: ESTABILIZADOR DE VOLTAGE 8 TOMAS Estado: Bueno Placa anterior: 000031187 Material: PLASTICO Color: NEGRO Referencia:  Observacion:  Placa padre: Tipo adquisicion: Entidad</v>
      </c>
      <c r="G10540" s="5" t="str">
        <f>"POWER 8"</f>
        <v>POWER 8</v>
      </c>
    </row>
    <row r="10541" spans="1:7" ht="58.5" customHeight="1" x14ac:dyDescent="0.25">
      <c r="A10541" s="5" t="str">
        <f>"H0010549"</f>
        <v>H0010549</v>
      </c>
      <c r="B10541" s="5" t="str">
        <f>"COMPUTADOR TODO EN UNO"</f>
        <v>COMPUTADOR TODO EN UNO</v>
      </c>
      <c r="C10541" s="6">
        <v>1200000</v>
      </c>
      <c r="D10541" s="5" t="s">
        <v>2</v>
      </c>
      <c r="E10541" s="5" t="str">
        <f t="shared" si="539"/>
        <v>ACTISALUD-SIAU-MARISELA AREVALO AREVALO</v>
      </c>
      <c r="F10541"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000030799 Material: PLASTICO Color: NEGRO Referencia: PRODUCTO No C9K24LT#ABM Observacion:  Placa anterior:, Placa nueva=H0010551, Descripcion:MOUSE OPTICO, Serial:, Marca:HP, Modelo:, Material:PLASTICO, Color:NE"&amp; "GRO, Referencia:, Placa anterior:, Placa nueva=H0010550, Descripcion:TECLADO, Serial:BCZZN0BVB4C2CG, Marca:HP, Modelo:KU - 1156, Material:PLASTICO, Color:NEGRO, Referencia:672647-162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000030799 Material: PLASTICO Color: NEGRO Referencia: PRODUCTO No C9K24LT#ABM Observacion:  Placa anterior:, Placa nueva=H0010551, Descripcion:MOUSE OPTICO, Serial:, Marca:HP, Modelo:, Material:PLASTICO, Color:NEGRO, Referencia:, Placa anterior:, Placa nueva=H0010550, Descripcion:TECLADO, Serial:BCZZN0BVB4C2CG, Marca:HP, Modelo:KU - 1156, Material:PLASTICO, Color:NEGRO, Referencia:672647-162 Placa padre: Tipo adquisicion: Entidad</v>
      </c>
      <c r="G10541" s="5" t="str">
        <f>"HP COMPAQ PRO 4300"</f>
        <v>HP COMPAQ PRO 4300</v>
      </c>
    </row>
    <row r="10542" spans="1:7" ht="58.5" customHeight="1" x14ac:dyDescent="0.25">
      <c r="A10542" s="5" t="str">
        <f>"H0010596"</f>
        <v>H0010596</v>
      </c>
      <c r="B10542" s="5" t="str">
        <f>"ARCHIVADOR METALICO 2 GAVETAS"</f>
        <v>ARCHIVADOR METALICO 2 GAVETAS</v>
      </c>
      <c r="C10542" s="6">
        <v>11935</v>
      </c>
      <c r="D10542" s="5"/>
      <c r="E10542" s="5" t="str">
        <f t="shared" si="539"/>
        <v>ACTISALUD-SIAU-MARISELA AREVALO AREVALO</v>
      </c>
      <c r="F10542" s="5" t="str">
        <f>"Descripcion: ARCHIVADOR  Estado: Regular Placa anterior: 000001426 Material: METALICO Color: GRIS Referencia:  Observacion: PINTURA EN MAL ESTADO, AUTORIZADO CONCILIAR EN CRUCE GENERAL Placa padre: Tipo adquisicion: Entidad"</f>
        <v>Descripcion: ARCHIVADOR  Estado: Regular Placa anterior: 000001426 Material: METALICO Color: GRIS Referencia:  Observacion: PINTURA EN MAL ESTADO, AUTORIZADO CONCILIAR EN CRUCE GENERAL Placa padre: Tipo adquisicion: Entidad</v>
      </c>
      <c r="G10542" s="5"/>
    </row>
    <row r="10543" spans="1:7" ht="58.5" customHeight="1" x14ac:dyDescent="0.25">
      <c r="A10543" s="5" t="str">
        <f>"H0013288"</f>
        <v>H0013288</v>
      </c>
      <c r="B10543" s="5" t="str">
        <f>"COMPUTADOR TODO EN UNO"</f>
        <v>COMPUTADOR TODO EN UNO</v>
      </c>
      <c r="C10543" s="6">
        <v>1572000</v>
      </c>
      <c r="D10543" s="5" t="s">
        <v>346</v>
      </c>
      <c r="E10543" s="5" t="str">
        <f t="shared" si="539"/>
        <v>ACTISALUD-SIAU-MARISELA AREVALO AREVALO</v>
      </c>
      <c r="F10543" s="5" t="str">
        <f>"Descripcion: EQUIPOS DE COMPUTO TODO EN UNO PROCESADOR CORE 3.0 SUPERIOR CORPORATIVO WINDOWS 8 PRO- OFFICE 2013 SMALL BUSINES, TECNOLOGIA HT DE INTEL GARANTIA EXTENDIDA A 3 AÑOSPANTALLA DE 19 PULGADAS Estado: Bueno Placa anterior: 000030684 Material: PLAS"&amp; "TICO Color: NEGRO Referencia: 69GC9G88LT Observacion:  Placa anterior:, Placa nueva=H0013290, Descripcion:MOUSE, Serial:, Marca:STARTECK, Modelo:, Material:PLASTICO, Color:NEGRO,   Referencia:, Placa anterior:, Placa nueva=H0013289, Descripcion:TECLADO, S"&amp; "erial:0DJ454, Marca:DELL, Modelo:, Material:PLASTICO, Color:NEGRO,   Referencia: Placa padre: Tipo adquisicion: Entidad"</f>
        <v>Descripcion: EQUIPOS DE COMPUTO TODO EN UNO PROCESADOR CORE 3.0 SUPERIOR CORPORATIVO WINDOWS 8 PRO- OFFICE 2013 SMALL BUSINES, TECNOLOGIA HT DE INTEL GARANTIA EXTENDIDA A 3 AÑOSPANTALLA DE 19 PULGADAS Estado: Bueno Placa anterior: 000030684 Material: PLASTICO Color: NEGRO Referencia: 69GC9G88LT Observacion:  Placa anterior:, Placa nueva=H0013290, Descripcion:MOUSE, Serial:, Marca:STARTECK, Modelo:, Material:PLASTICO, Color:NEGRO,   Referencia:, Placa anterior:, Placa nueva=H0013289, Descripcion:TECLADO, Serial:0DJ454, Marca:DELL, Modelo:, Material:PLASTICO, Color:NEGRO,   Referencia: Placa padre: Tipo adquisicion: Entidad</v>
      </c>
      <c r="G10543" s="5"/>
    </row>
    <row r="10544" spans="1:7" ht="58.5" customHeight="1" x14ac:dyDescent="0.25">
      <c r="A10544" s="5" t="str">
        <f>"H0017675"</f>
        <v>H0017675</v>
      </c>
      <c r="B10544" s="5" t="str">
        <f>"COMPUTADOR TODO EN UNO"</f>
        <v>COMPUTADOR TODO EN UNO</v>
      </c>
      <c r="C10544" s="6">
        <v>1572000</v>
      </c>
      <c r="D10544" s="5" t="s">
        <v>32</v>
      </c>
      <c r="E10544" s="5" t="str">
        <f t="shared" si="539"/>
        <v>ACTISALUD-SIAU-MARISELA AREVALO AREVALO</v>
      </c>
      <c r="F10544" s="5" t="str">
        <f>"Descripcion:EQUIPOS DE COMPUTO TODO EN UNO PROCESADOR CORE 3.0 SUPERIOR CORPORATIVO WINDOWS 8 PRO- OFFICE 2013 SMALL BUSINES, TECNOLOGIA HT DE INTEL GARANTIA EXTENDIDA A 3 AÑOS Estado: Bueno Placa anterior: 000030569 Material: PLASTICO Color: NEGRO Refere"&amp; "ncia:  Observacion:  Placa anterior:, Placa nueva=H0017676, Descripcion:MOUSE USB, Serial:44M4794, Marca:DELL, Modelo:, Material:PLASTICO, Color:NEGRO,   Referencia: Placa padre:  Tipo adquisicion : Entidad"</f>
        <v>Descripcion:EQUIPOS DE COMPUTO TODO EN UNO PROCESADOR CORE 3.0 SUPERIOR CORPORATIVO WINDOWS 8 PRO- OFFICE 2013 SMALL BUSINES, TECNOLOGIA HT DE INTEL GARANTIA EXTENDIDA A 3 AÑOS Estado: Bueno Placa anterior: 000030569 Material: PLASTICO Color: NEGRO Referencia:  Observacion:  Placa anterior:, Placa nueva=H0017676, Descripcion:MOUSE USB, Serial:44M4794, Marca:DELL, Modelo:, Material:PLASTICO, Color:NEGRO,   Referencia: Placa padre:  Tipo adquisicion : Entidad</v>
      </c>
      <c r="G10544" s="5" t="str">
        <f>"HP COMPAQ PRO4300"</f>
        <v>HP COMPAQ PRO4300</v>
      </c>
    </row>
    <row r="10545" spans="1:7" ht="58.5" customHeight="1" x14ac:dyDescent="0.25">
      <c r="A10545" s="5" t="str">
        <f>"H0021558"</f>
        <v>H0021558</v>
      </c>
      <c r="B10545" s="5" t="str">
        <f>"LECTOR DE HUELLAS DIGITALES"</f>
        <v>LECTOR DE HUELLAS DIGITALES</v>
      </c>
      <c r="C10545" s="6">
        <v>380000</v>
      </c>
      <c r="D10545" s="5"/>
      <c r="E10545" s="5" t="str">
        <f t="shared" si="539"/>
        <v>ACTISALUD-SIAU-MARISELA AREVALO AREVALO</v>
      </c>
      <c r="F10545" s="5" t="str">
        <f>"Descripcion:LECTOR DE HUELLA DIGITAL Uare.U 40008, PN 50008-001, Sv-500 mA. CARACTERISTICAS 512 DPI DE RESOLUCION DE PIXEL EXPLORACION DE LA ZONA DE CAPURA DE 14.6 mm. (ancho en el centro)18,1 mm, (ancho en el centro) 18,1mm. (longitud) 8 Bits en escala d"&amp; "e grises ( Estado: Bueno Placa anterior: 000032867 Material: PASTA Color: GRIS Referencia:  Observacion:  Placa padre:  Tipo adquisicion : Entidad"</f>
        <v>Descripcion:LECTOR DE HUELLA DIGITAL Uare.U 40008, PN 50008-001, Sv-500 mA. CARACTERISTICAS 512 DPI DE RESOLUCION DE PIXEL EXPLORACION DE LA ZONA DE CAPURA DE 14.6 mm. (ancho en el centro)18,1 mm, (ancho en el centro) 18,1mm. (longitud) 8 Bits en escala de grises ( Estado: Bueno Placa anterior: 000032867 Material: PASTA Color: GRIS Referencia:  Observacion:  Placa padre:  Tipo adquisicion : Entidad</v>
      </c>
      <c r="G10545" s="5" t="str">
        <f>"4000B READER"</f>
        <v>4000B READER</v>
      </c>
    </row>
    <row r="10546" spans="1:7" ht="58.5" customHeight="1" x14ac:dyDescent="0.25">
      <c r="A10546" s="5" t="str">
        <f>"H0024555"</f>
        <v>H0024555</v>
      </c>
      <c r="B1054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546" s="6">
        <v>2600000</v>
      </c>
      <c r="D10546" s="5" t="s">
        <v>36</v>
      </c>
      <c r="E10546" s="5" t="str">
        <f t="shared" si="539"/>
        <v>ACTISALUD-SIAU-MARISELA AREVALO AREVALO</v>
      </c>
      <c r="F10546" s="5"/>
      <c r="G10546" s="5"/>
    </row>
    <row r="10547" spans="1:7" ht="58.5" customHeight="1" x14ac:dyDescent="0.25">
      <c r="A10547" s="5" t="str">
        <f>"H0024563"</f>
        <v>H0024563</v>
      </c>
      <c r="B1054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547" s="6">
        <v>2600000</v>
      </c>
      <c r="D10547" s="5" t="s">
        <v>36</v>
      </c>
      <c r="E10547" s="5" t="str">
        <f t="shared" si="539"/>
        <v>ACTISALUD-SIAU-MARISELA AREVALO AREVALO</v>
      </c>
      <c r="F10547" s="5"/>
      <c r="G10547" s="5"/>
    </row>
    <row r="10548" spans="1:7" ht="58.5" customHeight="1" x14ac:dyDescent="0.25">
      <c r="A10548" s="5" t="str">
        <f>"H0024564"</f>
        <v>H0024564</v>
      </c>
      <c r="B1054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548" s="6">
        <v>2600000</v>
      </c>
      <c r="D10548" s="5" t="s">
        <v>36</v>
      </c>
      <c r="E10548" s="5" t="str">
        <f t="shared" si="539"/>
        <v>ACTISALUD-SIAU-MARISELA AREVALO AREVALO</v>
      </c>
      <c r="F10548" s="5"/>
      <c r="G10548" s="5"/>
    </row>
    <row r="10549" spans="1:7" ht="58.5" customHeight="1" x14ac:dyDescent="0.25">
      <c r="A10549" s="5" t="str">
        <f>"H0024583"</f>
        <v>H0024583</v>
      </c>
      <c r="B1054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549" s="6">
        <v>2600000</v>
      </c>
      <c r="D10549" s="5" t="s">
        <v>36</v>
      </c>
      <c r="E10549" s="5" t="str">
        <f t="shared" si="539"/>
        <v>ACTISALUD-SIAU-MARISELA AREVALO AREVALO</v>
      </c>
      <c r="F10549" s="5"/>
      <c r="G10549" s="5"/>
    </row>
    <row r="10550" spans="1:7" ht="58.5" customHeight="1" x14ac:dyDescent="0.25">
      <c r="A10550" s="5" t="str">
        <f>"H0024987"</f>
        <v>H0024987</v>
      </c>
      <c r="B10550" s="5" t="str">
        <f>"ESCRITORIO PRINCIPAL DIRECTOR"</f>
        <v>ESCRITORIO PRINCIPAL DIRECTOR</v>
      </c>
      <c r="C10550" s="6">
        <v>750000</v>
      </c>
      <c r="D10550" s="5" t="s">
        <v>578</v>
      </c>
      <c r="E10550" s="5" t="str">
        <f t="shared" si="539"/>
        <v>ACTISALUD-SIAU-MARISELA AREVALO AREVALO</v>
      </c>
      <c r="F10550" s="5"/>
      <c r="G10550" s="5"/>
    </row>
    <row r="10551" spans="1:7" ht="58.5" customHeight="1" x14ac:dyDescent="0.25">
      <c r="A10551" s="5" t="str">
        <f>"H0025041"</f>
        <v>H0025041</v>
      </c>
      <c r="B10551" s="5" t="str">
        <f>"FACHADA PRINCIPAL DEL S.I.A.U. EN ALUMINIO ARQUITECTONICO"</f>
        <v>FACHADA PRINCIPAL DEL S.I.A.U. EN ALUMINIO ARQUITECTONICO</v>
      </c>
      <c r="C10551" s="6">
        <v>4180000</v>
      </c>
      <c r="D10551" s="5" t="s">
        <v>578</v>
      </c>
      <c r="E10551" s="5" t="str">
        <f t="shared" si="539"/>
        <v>ACTISALUD-SIAU-MARISELA AREVALO AREVALO</v>
      </c>
      <c r="F10551" s="5"/>
      <c r="G10551" s="5"/>
    </row>
    <row r="10552" spans="1:7" ht="58.5" customHeight="1" x14ac:dyDescent="0.25">
      <c r="A10552" s="5" t="str">
        <f>"H0025042"</f>
        <v>H0025042</v>
      </c>
      <c r="B10552" s="5" t="str">
        <f>"DIVISIÓN INTERNA MODULO EN L, EN ALUMINIO ARQUITECTONICO"</f>
        <v>DIVISIÓN INTERNA MODULO EN L, EN ALUMINIO ARQUITECTONICO</v>
      </c>
      <c r="C10552" s="6">
        <v>1430000</v>
      </c>
      <c r="D10552" s="5" t="s">
        <v>578</v>
      </c>
      <c r="E10552" s="5" t="str">
        <f t="shared" si="539"/>
        <v>ACTISALUD-SIAU-MARISELA AREVALO AREVALO</v>
      </c>
      <c r="F10552" s="5"/>
      <c r="G10552" s="5"/>
    </row>
    <row r="10553" spans="1:7" ht="58.5" customHeight="1" x14ac:dyDescent="0.25">
      <c r="A10553" s="5" t="str">
        <f>"H0025043"</f>
        <v>H0025043</v>
      </c>
      <c r="B10553" s="5" t="str">
        <f>"FACHADA INTERNA OFICINA PRIVADA EN ALUMINIO ARQUITECTONICO"</f>
        <v>FACHADA INTERNA OFICINA PRIVADA EN ALUMINIO ARQUITECTONICO</v>
      </c>
      <c r="C10553" s="6">
        <v>1230000</v>
      </c>
      <c r="D10553" s="5" t="s">
        <v>578</v>
      </c>
      <c r="E10553" s="5" t="str">
        <f t="shared" si="539"/>
        <v>ACTISALUD-SIAU-MARISELA AREVALO AREVALO</v>
      </c>
      <c r="F10553" s="5"/>
      <c r="G10553" s="5"/>
    </row>
    <row r="10554" spans="1:7" ht="58.5" customHeight="1" x14ac:dyDescent="0.25">
      <c r="A10554" s="5" t="str">
        <f>"H0025044"</f>
        <v>H0025044</v>
      </c>
      <c r="B10554" s="5" t="str">
        <f>"ESCRITORIO DOBLE PUESTO EN T"</f>
        <v>ESCRITORIO DOBLE PUESTO EN T</v>
      </c>
      <c r="C10554" s="6">
        <v>1400000</v>
      </c>
      <c r="D10554" s="5" t="s">
        <v>578</v>
      </c>
      <c r="E10554" s="5" t="str">
        <f t="shared" si="539"/>
        <v>ACTISALUD-SIAU-MARISELA AREVALO AREVALO</v>
      </c>
      <c r="F10554" s="5"/>
      <c r="G10554" s="5"/>
    </row>
    <row r="10555" spans="1:7" ht="58.5" customHeight="1" x14ac:dyDescent="0.25">
      <c r="A10555" s="5" t="str">
        <f>"H0025046"</f>
        <v>H0025046</v>
      </c>
      <c r="B10555" s="5" t="str">
        <f>"SILLA AUXILIAR FIJA"</f>
        <v>SILLA AUXILIAR FIJA</v>
      </c>
      <c r="C10555" s="6">
        <v>150000</v>
      </c>
      <c r="D10555" s="5" t="s">
        <v>578</v>
      </c>
      <c r="E10555" s="5" t="str">
        <f t="shared" si="539"/>
        <v>ACTISALUD-SIAU-MARISELA AREVALO AREVALO</v>
      </c>
      <c r="F10555" s="5"/>
      <c r="G10555" s="5"/>
    </row>
    <row r="10556" spans="1:7" ht="58.5" customHeight="1" x14ac:dyDescent="0.25">
      <c r="A10556" s="5" t="str">
        <f>"H0025047"</f>
        <v>H0025047</v>
      </c>
      <c r="B10556" s="5" t="str">
        <f>"SILLA AUXILIAR FIJA"</f>
        <v>SILLA AUXILIAR FIJA</v>
      </c>
      <c r="C10556" s="6">
        <v>150000</v>
      </c>
      <c r="D10556" s="5" t="s">
        <v>578</v>
      </c>
      <c r="E10556" s="5" t="str">
        <f t="shared" si="539"/>
        <v>ACTISALUD-SIAU-MARISELA AREVALO AREVALO</v>
      </c>
      <c r="F10556" s="5"/>
      <c r="G10556" s="5"/>
    </row>
    <row r="10557" spans="1:7" ht="58.5" customHeight="1" x14ac:dyDescent="0.25">
      <c r="A10557" s="5" t="str">
        <f>"H0025049"</f>
        <v>H0025049</v>
      </c>
      <c r="B10557" s="5" t="str">
        <f>"SILLA AUXILIAR FIJA"</f>
        <v>SILLA AUXILIAR FIJA</v>
      </c>
      <c r="C10557" s="6">
        <v>150000</v>
      </c>
      <c r="D10557" s="5" t="s">
        <v>578</v>
      </c>
      <c r="E10557" s="5" t="str">
        <f t="shared" si="539"/>
        <v>ACTISALUD-SIAU-MARISELA AREVALO AREVALO</v>
      </c>
      <c r="F10557" s="5"/>
      <c r="G10557" s="5"/>
    </row>
    <row r="10558" spans="1:7" ht="58.5" customHeight="1" x14ac:dyDescent="0.25">
      <c r="A10558" s="5" t="str">
        <f>"H0025050"</f>
        <v>H0025050</v>
      </c>
      <c r="B10558" s="5" t="str">
        <f>"SILLA AUXILIAR FIJA"</f>
        <v>SILLA AUXILIAR FIJA</v>
      </c>
      <c r="C10558" s="6">
        <v>150000</v>
      </c>
      <c r="D10558" s="5" t="s">
        <v>578</v>
      </c>
      <c r="E10558" s="5" t="str">
        <f t="shared" si="539"/>
        <v>ACTISALUD-SIAU-MARISELA AREVALO AREVALO</v>
      </c>
      <c r="F10558" s="5"/>
      <c r="G10558" s="5"/>
    </row>
    <row r="10559" spans="1:7" ht="58.5" customHeight="1" x14ac:dyDescent="0.25">
      <c r="A10559" s="5" t="str">
        <f>"H0025282"</f>
        <v>H0025282</v>
      </c>
      <c r="B10559" s="5" t="s">
        <v>65</v>
      </c>
      <c r="C10559" s="6">
        <v>115394.48</v>
      </c>
      <c r="D10559" s="5" t="s">
        <v>10</v>
      </c>
      <c r="E10559" s="5" t="str">
        <f t="shared" si="539"/>
        <v>ACTISALUD-SIAU-MARISELA AREVALO AREVALO</v>
      </c>
      <c r="F10559" s="5"/>
      <c r="G10559" s="5"/>
    </row>
    <row r="10560" spans="1:7" ht="58.5" customHeight="1" x14ac:dyDescent="0.25">
      <c r="A10560" s="5" t="str">
        <f>"H0025332"</f>
        <v>H0025332</v>
      </c>
      <c r="B1056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560" s="6">
        <v>312156</v>
      </c>
      <c r="D10560" s="5" t="s">
        <v>10</v>
      </c>
      <c r="E10560" s="5" t="str">
        <f t="shared" si="539"/>
        <v>ACTISALUD-SIAU-MARISELA AREVALO AREVALO</v>
      </c>
      <c r="F10560" s="5"/>
      <c r="G10560" s="5"/>
    </row>
    <row r="10561" spans="1:7" ht="58.5" customHeight="1" x14ac:dyDescent="0.25">
      <c r="A10561" s="5" t="str">
        <f>"H0025338"</f>
        <v>H0025338</v>
      </c>
      <c r="B1056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561" s="6">
        <v>312156</v>
      </c>
      <c r="D10561" s="5" t="s">
        <v>10</v>
      </c>
      <c r="E10561" s="5" t="str">
        <f t="shared" ref="E10561:E10592" si="540">"ACTISALUD-SIAU-MARISELA AREVALO AREVALO"</f>
        <v>ACTISALUD-SIAU-MARISELA AREVALO AREVALO</v>
      </c>
      <c r="F10561" s="5"/>
      <c r="G10561" s="5"/>
    </row>
    <row r="10562" spans="1:7" ht="58.5" customHeight="1" x14ac:dyDescent="0.25">
      <c r="A10562" s="5" t="str">
        <f>"H0025352"</f>
        <v>H0025352</v>
      </c>
      <c r="B1056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562" s="6">
        <v>312156</v>
      </c>
      <c r="D10562" s="5" t="s">
        <v>10</v>
      </c>
      <c r="E10562" s="5" t="str">
        <f t="shared" si="540"/>
        <v>ACTISALUD-SIAU-MARISELA AREVALO AREVALO</v>
      </c>
      <c r="F10562" s="5"/>
      <c r="G10562" s="5"/>
    </row>
    <row r="10563" spans="1:7" ht="58.5" customHeight="1" x14ac:dyDescent="0.25">
      <c r="A10563" s="5" t="str">
        <f>"H0025377"</f>
        <v>H0025377</v>
      </c>
      <c r="B1056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563" s="6">
        <v>312156</v>
      </c>
      <c r="D10563" s="5" t="s">
        <v>10</v>
      </c>
      <c r="E10563" s="5" t="str">
        <f t="shared" si="540"/>
        <v>ACTISALUD-SIAU-MARISELA AREVALO AREVALO</v>
      </c>
      <c r="F10563" s="5"/>
      <c r="G10563" s="5"/>
    </row>
    <row r="10564" spans="1:7" ht="58.5" customHeight="1" x14ac:dyDescent="0.25">
      <c r="A10564" s="5" t="str">
        <f>"H0025462"</f>
        <v>H0025462</v>
      </c>
      <c r="B10564" s="5" t="s">
        <v>624</v>
      </c>
      <c r="C10564" s="6">
        <v>555060</v>
      </c>
      <c r="D10564" s="5" t="s">
        <v>10</v>
      </c>
      <c r="E10564" s="5" t="str">
        <f t="shared" si="540"/>
        <v>ACTISALUD-SIAU-MARISELA AREVALO AREVALO</v>
      </c>
      <c r="F10564" s="5"/>
      <c r="G10564" s="5" t="str">
        <f>"GXP2160"</f>
        <v>GXP2160</v>
      </c>
    </row>
    <row r="10565" spans="1:7" ht="58.5" customHeight="1" x14ac:dyDescent="0.25">
      <c r="A10565" s="5" t="str">
        <f>"H0027178"</f>
        <v>H0027178</v>
      </c>
      <c r="B1056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565" s="6">
        <v>2641800</v>
      </c>
      <c r="D10565" s="5" t="s">
        <v>38</v>
      </c>
      <c r="E10565" s="5" t="str">
        <f t="shared" si="540"/>
        <v>ACTISALUD-SIAU-MARISELA AREVALO AREVALO</v>
      </c>
      <c r="F10565" s="5"/>
      <c r="G10565" s="5"/>
    </row>
    <row r="10566" spans="1:7" ht="58.5" customHeight="1" x14ac:dyDescent="0.25">
      <c r="A10566" s="5" t="str">
        <f>"H0027223"</f>
        <v>H0027223</v>
      </c>
      <c r="B1056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566" s="6">
        <v>2641800</v>
      </c>
      <c r="D10566" s="5" t="s">
        <v>38</v>
      </c>
      <c r="E10566" s="5" t="str">
        <f t="shared" si="540"/>
        <v>ACTISALUD-SIAU-MARISELA AREVALO AREVALO</v>
      </c>
      <c r="F10566" s="5"/>
      <c r="G10566" s="5"/>
    </row>
    <row r="10567" spans="1:7" ht="58.5" customHeight="1" x14ac:dyDescent="0.25">
      <c r="A10567" s="5" t="str">
        <f>"H0027224"</f>
        <v>H0027224</v>
      </c>
      <c r="B1056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567" s="6">
        <v>2641800</v>
      </c>
      <c r="D10567" s="5" t="s">
        <v>38</v>
      </c>
      <c r="E10567" s="5" t="str">
        <f t="shared" si="540"/>
        <v>ACTISALUD-SIAU-MARISELA AREVALO AREVALO</v>
      </c>
      <c r="F10567" s="5"/>
      <c r="G10567" s="5"/>
    </row>
    <row r="10568" spans="1:7" ht="58.5" customHeight="1" x14ac:dyDescent="0.25">
      <c r="A10568" s="5" t="str">
        <f>"H0027225"</f>
        <v>H0027225</v>
      </c>
      <c r="B10568"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568" s="6">
        <v>2641800</v>
      </c>
      <c r="D10568" s="5" t="s">
        <v>38</v>
      </c>
      <c r="E10568" s="5" t="str">
        <f t="shared" si="540"/>
        <v>ACTISALUD-SIAU-MARISELA AREVALO AREVALO</v>
      </c>
      <c r="F10568" s="5"/>
      <c r="G10568" s="5"/>
    </row>
    <row r="10569" spans="1:7" ht="58.5" customHeight="1" x14ac:dyDescent="0.25">
      <c r="A10569" s="5" t="str">
        <f>"H0027544"</f>
        <v>H0027544</v>
      </c>
      <c r="B10569" s="5" t="str">
        <f>"LECTOR DE HUELLAS DIGITALES"</f>
        <v>LECTOR DE HUELLAS DIGITALES</v>
      </c>
      <c r="C10569" s="6">
        <v>234000.41</v>
      </c>
      <c r="D10569" s="5" t="s">
        <v>83</v>
      </c>
      <c r="E10569" s="5" t="str">
        <f t="shared" si="540"/>
        <v>ACTISALUD-SIAU-MARISELA AREVALO AREVALO</v>
      </c>
      <c r="F10569" s="5"/>
      <c r="G10569" s="5"/>
    </row>
    <row r="10570" spans="1:7" ht="58.5" customHeight="1" x14ac:dyDescent="0.25">
      <c r="A10570" s="5" t="str">
        <f>"H0027545"</f>
        <v>H0027545</v>
      </c>
      <c r="B10570" s="5" t="str">
        <f>"LECTOR DE HUELLAS DIGITALES"</f>
        <v>LECTOR DE HUELLAS DIGITALES</v>
      </c>
      <c r="C10570" s="6">
        <v>234000.41</v>
      </c>
      <c r="D10570" s="5" t="s">
        <v>354</v>
      </c>
      <c r="E10570" s="5" t="str">
        <f t="shared" si="540"/>
        <v>ACTISALUD-SIAU-MARISELA AREVALO AREVALO</v>
      </c>
      <c r="F10570" s="5"/>
      <c r="G10570" s="5"/>
    </row>
    <row r="10571" spans="1:7" ht="58.5" customHeight="1" x14ac:dyDescent="0.25">
      <c r="A10571" s="5" t="str">
        <f>"H0027625"</f>
        <v>H0027625</v>
      </c>
      <c r="B1057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571" s="6">
        <v>2580000</v>
      </c>
      <c r="D10571" s="5" t="s">
        <v>85</v>
      </c>
      <c r="E10571" s="5" t="str">
        <f t="shared" si="540"/>
        <v>ACTISALUD-SIAU-MARISELA AREVALO AREVALO</v>
      </c>
      <c r="F10571" s="5"/>
      <c r="G10571" s="5"/>
    </row>
    <row r="10572" spans="1:7" ht="58.5" customHeight="1" x14ac:dyDescent="0.25">
      <c r="A10572" s="5" t="str">
        <f>"H0028445"</f>
        <v>H0028445</v>
      </c>
      <c r="B10572" s="5" t="str">
        <f>"AIRE ACONDICIONADO DE 12000 BTU, INVERTER"</f>
        <v>AIRE ACONDICIONADO DE 12000 BTU, INVERTER</v>
      </c>
      <c r="C10572" s="6">
        <v>1707650</v>
      </c>
      <c r="D10572" s="5" t="s">
        <v>563</v>
      </c>
      <c r="E10572" s="5" t="str">
        <f t="shared" si="540"/>
        <v>ACTISALUD-SIAU-MARISELA AREVALO AREVALO</v>
      </c>
      <c r="F10572" s="5"/>
      <c r="G10572" s="5"/>
    </row>
    <row r="10573" spans="1:7" ht="58.5" customHeight="1" x14ac:dyDescent="0.25">
      <c r="A10573" s="5" t="str">
        <f>"H0029265"</f>
        <v>H0029265</v>
      </c>
      <c r="B10573" s="5" t="str">
        <f>"SILLA HERGONOMICA CON SISTEMA HIDRAULICO"</f>
        <v>SILLA HERGONOMICA CON SISTEMA HIDRAULICO</v>
      </c>
      <c r="C10573" s="6">
        <v>174900</v>
      </c>
      <c r="D10573" s="5" t="s">
        <v>625</v>
      </c>
      <c r="E10573" s="5" t="str">
        <f t="shared" si="540"/>
        <v>ACTISALUD-SIAU-MARISELA AREVALO AREVALO</v>
      </c>
      <c r="F10573" s="5"/>
      <c r="G10573" s="5"/>
    </row>
    <row r="10574" spans="1:7" ht="58.5" customHeight="1" x14ac:dyDescent="0.25">
      <c r="A10574" s="5" t="str">
        <f>"H0029331"</f>
        <v>H0029331</v>
      </c>
      <c r="B10574" s="5" t="str">
        <f>"SILLA HERGONOMICA CON SISTEMA HIDRAULICO"</f>
        <v>SILLA HERGONOMICA CON SISTEMA HIDRAULICO</v>
      </c>
      <c r="C10574" s="6">
        <v>174900</v>
      </c>
      <c r="D10574" s="5" t="s">
        <v>89</v>
      </c>
      <c r="E10574" s="5" t="str">
        <f t="shared" si="540"/>
        <v>ACTISALUD-SIAU-MARISELA AREVALO AREVALO</v>
      </c>
      <c r="F10574" s="5"/>
      <c r="G10574" s="5"/>
    </row>
    <row r="10575" spans="1:7" ht="58.5" customHeight="1" x14ac:dyDescent="0.25">
      <c r="A10575" s="5" t="str">
        <f>"H0029337"</f>
        <v>H0029337</v>
      </c>
      <c r="B10575" s="5" t="str">
        <f>"SILLA HERGONOMICA CON SISTEMA HIDRAULICO"</f>
        <v>SILLA HERGONOMICA CON SISTEMA HIDRAULICO</v>
      </c>
      <c r="C10575" s="6">
        <v>174900</v>
      </c>
      <c r="D10575" s="5" t="s">
        <v>89</v>
      </c>
      <c r="E10575" s="5" t="str">
        <f t="shared" si="540"/>
        <v>ACTISALUD-SIAU-MARISELA AREVALO AREVALO</v>
      </c>
      <c r="F10575" s="5"/>
      <c r="G10575" s="5"/>
    </row>
    <row r="10576" spans="1:7" ht="58.5" customHeight="1" x14ac:dyDescent="0.25">
      <c r="A10576" s="5" t="str">
        <f>"H0029476"</f>
        <v>H0029476</v>
      </c>
      <c r="B10576" s="5" t="str">
        <f>"LECTOR DE HUELLAS DIGITALES"</f>
        <v>LECTOR DE HUELLAS DIGITALES</v>
      </c>
      <c r="C10576" s="6">
        <v>309400</v>
      </c>
      <c r="D10576" s="5" t="s">
        <v>14</v>
      </c>
      <c r="E10576" s="5" t="str">
        <f t="shared" si="540"/>
        <v>ACTISALUD-SIAU-MARISELA AREVALO AREVALO</v>
      </c>
      <c r="F10576" s="5"/>
      <c r="G10576" s="5"/>
    </row>
    <row r="10577" spans="1:7" ht="58.5" customHeight="1" x14ac:dyDescent="0.25">
      <c r="A10577" s="5" t="str">
        <f>"H0029519"</f>
        <v>H0029519</v>
      </c>
      <c r="B1057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577" s="6">
        <v>257040</v>
      </c>
      <c r="D10577" s="5" t="s">
        <v>14</v>
      </c>
      <c r="E10577" s="5" t="str">
        <f t="shared" si="540"/>
        <v>ACTISALUD-SIAU-MARISELA AREVALO AREVALO</v>
      </c>
      <c r="F10577" s="5"/>
      <c r="G10577" s="5"/>
    </row>
    <row r="10578" spans="1:7" ht="58.5" customHeight="1" x14ac:dyDescent="0.25">
      <c r="A10578" s="5" t="str">
        <f>"H0029583"</f>
        <v>H0029583</v>
      </c>
      <c r="B1057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578" s="6">
        <v>252400.18</v>
      </c>
      <c r="D10578" s="5" t="s">
        <v>15</v>
      </c>
      <c r="E10578" s="5" t="str">
        <f t="shared" si="540"/>
        <v>ACTISALUD-SIAU-MARISELA AREVALO AREVALO</v>
      </c>
      <c r="F10578" s="5"/>
      <c r="G10578" s="5"/>
    </row>
    <row r="10579" spans="1:7" ht="58.5" customHeight="1" x14ac:dyDescent="0.25">
      <c r="A10579" s="5" t="str">
        <f>"H0029584"</f>
        <v>H0029584</v>
      </c>
      <c r="B1057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579" s="6">
        <v>252400.18</v>
      </c>
      <c r="D10579" s="5" t="s">
        <v>15</v>
      </c>
      <c r="E10579" s="5" t="str">
        <f t="shared" si="540"/>
        <v>ACTISALUD-SIAU-MARISELA AREVALO AREVALO</v>
      </c>
      <c r="F10579" s="5"/>
      <c r="G10579" s="5"/>
    </row>
    <row r="10580" spans="1:7" ht="58.5" customHeight="1" x14ac:dyDescent="0.25">
      <c r="A10580" s="5" t="str">
        <f>"H0029755"</f>
        <v>H0029755</v>
      </c>
      <c r="B10580" s="5" t="s">
        <v>94</v>
      </c>
      <c r="C10580" s="6">
        <v>148999.9</v>
      </c>
      <c r="D10580" s="5" t="s">
        <v>93</v>
      </c>
      <c r="E10580" s="5" t="str">
        <f t="shared" si="540"/>
        <v>ACTISALUD-SIAU-MARISELA AREVALO AREVALO</v>
      </c>
      <c r="F10580" s="5"/>
      <c r="G10580" s="5"/>
    </row>
    <row r="10581" spans="1:7" ht="58.5" customHeight="1" x14ac:dyDescent="0.25">
      <c r="A10581" s="5" t="str">
        <f>"H0029872"</f>
        <v>H0029872</v>
      </c>
      <c r="B10581" s="5" t="str">
        <f>"CARTELERA EN ACRILICO CRISTAL 4mm, CON BASE MDF DE 12mm INSTALADA CON DILATADORES EN ACERO"</f>
        <v>CARTELERA EN ACRILICO CRISTAL 4mm, CON BASE MDF DE 12mm INSTALADA CON DILATADORES EN ACERO</v>
      </c>
      <c r="C10581" s="6">
        <v>750000</v>
      </c>
      <c r="D10581" s="5" t="s">
        <v>225</v>
      </c>
      <c r="E10581" s="5" t="str">
        <f t="shared" si="540"/>
        <v>ACTISALUD-SIAU-MARISELA AREVALO AREVALO</v>
      </c>
      <c r="F10581" s="5"/>
      <c r="G10581" s="5"/>
    </row>
    <row r="10582" spans="1:7" ht="58.5" customHeight="1" x14ac:dyDescent="0.25">
      <c r="A10582" s="5" t="str">
        <f>"H0031452"</f>
        <v>H0031452</v>
      </c>
      <c r="B1058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582" s="6">
        <v>3209500</v>
      </c>
      <c r="D10582" s="5" t="s">
        <v>16</v>
      </c>
      <c r="E10582" s="5" t="str">
        <f t="shared" si="540"/>
        <v>ACTISALUD-SIAU-MARISELA AREVALO AREVALO</v>
      </c>
      <c r="F10582" s="5"/>
      <c r="G10582" s="5"/>
    </row>
    <row r="10583" spans="1:7" ht="58.5" customHeight="1" x14ac:dyDescent="0.25">
      <c r="A10583" s="5" t="str">
        <f>"H0031454"</f>
        <v>H0031454</v>
      </c>
      <c r="B1058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583" s="6">
        <v>3209500</v>
      </c>
      <c r="D10583" s="5" t="s">
        <v>16</v>
      </c>
      <c r="E10583" s="5" t="str">
        <f t="shared" si="540"/>
        <v>ACTISALUD-SIAU-MARISELA AREVALO AREVALO</v>
      </c>
      <c r="F10583" s="5"/>
      <c r="G10583" s="5"/>
    </row>
    <row r="10584" spans="1:7" ht="58.5" customHeight="1" x14ac:dyDescent="0.25">
      <c r="A10584" s="5" t="str">
        <f>"H0031818"</f>
        <v>H0031818</v>
      </c>
      <c r="B10584" s="5" t="str">
        <f>"SILLA GIRATORIA SIN BRAZOS CON RODACHINES"</f>
        <v>SILLA GIRATORIA SIN BRAZOS CON RODACHINES</v>
      </c>
      <c r="C10584" s="6">
        <v>244999.56</v>
      </c>
      <c r="D10584" s="5" t="s">
        <v>43</v>
      </c>
      <c r="E10584" s="5" t="str">
        <f t="shared" si="540"/>
        <v>ACTISALUD-SIAU-MARISELA AREVALO AREVALO</v>
      </c>
      <c r="F10584" s="5"/>
      <c r="G10584" s="5"/>
    </row>
    <row r="10585" spans="1:7" ht="58.5" customHeight="1" x14ac:dyDescent="0.25">
      <c r="A10585" s="5" t="str">
        <f>"H0032275"</f>
        <v>H0032275</v>
      </c>
      <c r="B10585"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10585" s="6">
        <v>901008.5</v>
      </c>
      <c r="D10585" s="5" t="s">
        <v>413</v>
      </c>
      <c r="E10585" s="5" t="str">
        <f t="shared" si="540"/>
        <v>ACTISALUD-SIAU-MARISELA AREVALO AREVALO</v>
      </c>
      <c r="F10585" s="5"/>
      <c r="G10585" s="5"/>
    </row>
    <row r="10586" spans="1:7" ht="58.5" customHeight="1" x14ac:dyDescent="0.25">
      <c r="A10586" s="5" t="str">
        <f>"H0032284"</f>
        <v>H0032284</v>
      </c>
      <c r="B10586" s="5" t="str">
        <f>"Escritorio lineal superficie en formica con archivador 3 gabetas (DONACION)"</f>
        <v>Escritorio lineal superficie en formica con archivador 3 gabetas (DONACION)</v>
      </c>
      <c r="C10586" s="6">
        <v>400000</v>
      </c>
      <c r="D10586" s="5" t="s">
        <v>45</v>
      </c>
      <c r="E10586" s="5" t="str">
        <f t="shared" si="540"/>
        <v>ACTISALUD-SIAU-MARISELA AREVALO AREVALO</v>
      </c>
      <c r="F10586" s="5"/>
      <c r="G10586" s="5"/>
    </row>
    <row r="10587" spans="1:7" ht="58.5" customHeight="1" x14ac:dyDescent="0.25">
      <c r="A10587" s="5" t="str">
        <f>"H0032868"</f>
        <v>H0032868</v>
      </c>
      <c r="B10587"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587" s="6">
        <v>5604900</v>
      </c>
      <c r="D10587" s="5" t="s">
        <v>116</v>
      </c>
      <c r="E10587" s="5" t="str">
        <f t="shared" si="540"/>
        <v>ACTISALUD-SIAU-MARISELA AREVALO AREVALO</v>
      </c>
      <c r="F10587" s="5"/>
      <c r="G10587" s="5"/>
    </row>
    <row r="10588" spans="1:7" ht="58.5" customHeight="1" x14ac:dyDescent="0.25">
      <c r="A10588" s="5" t="str">
        <f>"H0032872"</f>
        <v>H0032872</v>
      </c>
      <c r="B10588"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588" s="6">
        <v>5604900</v>
      </c>
      <c r="D10588" s="5" t="s">
        <v>116</v>
      </c>
      <c r="E10588" s="5" t="str">
        <f t="shared" si="540"/>
        <v>ACTISALUD-SIAU-MARISELA AREVALO AREVALO</v>
      </c>
      <c r="F10588" s="5"/>
      <c r="G10588" s="5"/>
    </row>
    <row r="10589" spans="1:7" ht="58.5" customHeight="1" x14ac:dyDescent="0.25">
      <c r="A10589" s="5" t="str">
        <f>"H0033921"</f>
        <v>H0033921</v>
      </c>
      <c r="B10589" s="5" t="str">
        <f>"LECTOR DE HUELLAS DIGITALES"</f>
        <v>LECTOR DE HUELLAS DIGITALES</v>
      </c>
      <c r="C10589" s="6">
        <v>340340</v>
      </c>
      <c r="D10589" s="5" t="s">
        <v>119</v>
      </c>
      <c r="E10589" s="5" t="str">
        <f t="shared" si="540"/>
        <v>ACTISALUD-SIAU-MARISELA AREVALO AREVALO</v>
      </c>
      <c r="F10589" s="5"/>
      <c r="G10589" s="5"/>
    </row>
    <row r="10590" spans="1:7" ht="58.5" customHeight="1" x14ac:dyDescent="0.25">
      <c r="A10590" s="5" t="str">
        <f>"H0034554"</f>
        <v>H0034554</v>
      </c>
      <c r="B10590" s="5" t="str">
        <f>"IMPRESORA TÉRMICA DE LÍNEAS A 200 MM/S. PAPEL DE 80MM DE ANCHO. DENSIDAD 203X203 DPI. IMPRIME QR. CORTADOR AUTOMÁTICO. INTERFAZ ETHERNET Y USB. FUENTE DE PODER INCLUIDO. MTBF: 360,000 H"</f>
        <v>IMPRESORA TÉRMICA DE LÍNEAS A 200 MM/S. PAPEL DE 80MM DE ANCHO. DENSIDAD 203X203 DPI. IMPRIME QR. CORTADOR AUTOMÁTICO. INTERFAZ ETHERNET Y USB. FUENTE DE PODER INCLUIDO. MTBF: 360,000 H</v>
      </c>
      <c r="C10590" s="6">
        <v>1011500</v>
      </c>
      <c r="D10590" s="5" t="s">
        <v>626</v>
      </c>
      <c r="E10590" s="5" t="str">
        <f t="shared" si="540"/>
        <v>ACTISALUD-SIAU-MARISELA AREVALO AREVALO</v>
      </c>
      <c r="F10590" s="5"/>
      <c r="G10590" s="5"/>
    </row>
    <row r="10591" spans="1:7" ht="58.5" customHeight="1" x14ac:dyDescent="0.25">
      <c r="A10591" s="5" t="str">
        <f>"H0035029"</f>
        <v>H0035029</v>
      </c>
      <c r="B10591"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0591" s="6">
        <v>5289550</v>
      </c>
      <c r="D10591" s="5" t="s">
        <v>22</v>
      </c>
      <c r="E10591" s="5" t="str">
        <f t="shared" si="540"/>
        <v>ACTISALUD-SIAU-MARISELA AREVALO AREVALO</v>
      </c>
      <c r="F10591" s="5"/>
      <c r="G10591" s="5"/>
    </row>
    <row r="10592" spans="1:7" ht="58.5" customHeight="1" x14ac:dyDescent="0.25">
      <c r="A10592" s="5" t="str">
        <f>"H0035105"</f>
        <v>H0035105</v>
      </c>
      <c r="B10592" s="5" t="str">
        <f>"VENTILADOR DE PARED"</f>
        <v>VENTILADOR DE PARED</v>
      </c>
      <c r="C10592" s="6">
        <v>130000.37</v>
      </c>
      <c r="D10592" s="5" t="s">
        <v>25</v>
      </c>
      <c r="E10592" s="5" t="str">
        <f t="shared" si="540"/>
        <v>ACTISALUD-SIAU-MARISELA AREVALO AREVALO</v>
      </c>
      <c r="F10592" s="5"/>
      <c r="G10592" s="5"/>
    </row>
    <row r="10593" spans="1:7" ht="58.5" customHeight="1" x14ac:dyDescent="0.25">
      <c r="A10593" s="5" t="str">
        <f>"H0035335"</f>
        <v>H0035335</v>
      </c>
      <c r="B10593" s="5" t="s">
        <v>128</v>
      </c>
      <c r="C10593" s="6">
        <v>5462100</v>
      </c>
      <c r="D10593" s="5" t="s">
        <v>127</v>
      </c>
      <c r="E10593" s="5" t="str">
        <f t="shared" ref="E10593:E10620" si="541">"ACTISALUD-SIAU-MARISELA AREVALO AREVALO"</f>
        <v>ACTISALUD-SIAU-MARISELA AREVALO AREVALO</v>
      </c>
      <c r="F10593" s="5"/>
      <c r="G10593" s="5"/>
    </row>
    <row r="10594" spans="1:7" ht="58.5" customHeight="1" x14ac:dyDescent="0.25">
      <c r="A10594" s="5" t="str">
        <f>"H0035337"</f>
        <v>H0035337</v>
      </c>
      <c r="B10594" s="5" t="s">
        <v>128</v>
      </c>
      <c r="C10594" s="6">
        <v>5462100</v>
      </c>
      <c r="D10594" s="5" t="s">
        <v>127</v>
      </c>
      <c r="E10594" s="5" t="str">
        <f t="shared" si="541"/>
        <v>ACTISALUD-SIAU-MARISELA AREVALO AREVALO</v>
      </c>
      <c r="F10594" s="5"/>
      <c r="G10594" s="5"/>
    </row>
    <row r="10595" spans="1:7" ht="58.5" customHeight="1" x14ac:dyDescent="0.25">
      <c r="A10595" s="5" t="str">
        <f>"H0035633"</f>
        <v>H0035633</v>
      </c>
      <c r="B10595" s="5" t="str">
        <f t="shared" ref="B10595:B10601" si="542">"SILLA GERENTE NIZA MEC. BASCULANTE CON BRAZOS."</f>
        <v>SILLA GERENTE NIZA MEC. BASCULANTE CON BRAZOS.</v>
      </c>
      <c r="C10595" s="6">
        <v>639999.86</v>
      </c>
      <c r="D10595" s="5" t="s">
        <v>235</v>
      </c>
      <c r="E10595" s="5" t="str">
        <f t="shared" si="541"/>
        <v>ACTISALUD-SIAU-MARISELA AREVALO AREVALO</v>
      </c>
      <c r="F10595" s="5"/>
      <c r="G10595" s="5"/>
    </row>
    <row r="10596" spans="1:7" ht="58.5" customHeight="1" x14ac:dyDescent="0.25">
      <c r="A10596" s="5" t="str">
        <f>"H0035676"</f>
        <v>H0035676</v>
      </c>
      <c r="B10596" s="5" t="str">
        <f t="shared" si="542"/>
        <v>SILLA GERENTE NIZA MEC. BASCULANTE CON BRAZOS.</v>
      </c>
      <c r="C10596" s="6">
        <v>639999.86</v>
      </c>
      <c r="D10596" s="5" t="s">
        <v>235</v>
      </c>
      <c r="E10596" s="5" t="str">
        <f t="shared" si="541"/>
        <v>ACTISALUD-SIAU-MARISELA AREVALO AREVALO</v>
      </c>
      <c r="F10596" s="5"/>
      <c r="G10596" s="5"/>
    </row>
    <row r="10597" spans="1:7" ht="58.5" customHeight="1" x14ac:dyDescent="0.25">
      <c r="A10597" s="5" t="str">
        <f>"H0035680"</f>
        <v>H0035680</v>
      </c>
      <c r="B10597" s="5" t="str">
        <f t="shared" si="542"/>
        <v>SILLA GERENTE NIZA MEC. BASCULANTE CON BRAZOS.</v>
      </c>
      <c r="C10597" s="6">
        <v>639999.86</v>
      </c>
      <c r="D10597" s="5" t="s">
        <v>235</v>
      </c>
      <c r="E10597" s="5" t="str">
        <f t="shared" si="541"/>
        <v>ACTISALUD-SIAU-MARISELA AREVALO AREVALO</v>
      </c>
      <c r="F10597" s="5"/>
      <c r="G10597" s="5"/>
    </row>
    <row r="10598" spans="1:7" ht="58.5" customHeight="1" x14ac:dyDescent="0.25">
      <c r="A10598" s="5" t="str">
        <f>"H0035957"</f>
        <v>H0035957</v>
      </c>
      <c r="B10598" s="5" t="str">
        <f t="shared" si="542"/>
        <v>SILLA GERENTE NIZA MEC. BASCULANTE CON BRAZOS.</v>
      </c>
      <c r="C10598" s="6">
        <v>639999.86</v>
      </c>
      <c r="D10598" s="5" t="s">
        <v>281</v>
      </c>
      <c r="E10598" s="5" t="str">
        <f t="shared" si="541"/>
        <v>ACTISALUD-SIAU-MARISELA AREVALO AREVALO</v>
      </c>
      <c r="F10598" s="5"/>
      <c r="G10598" s="5"/>
    </row>
    <row r="10599" spans="1:7" ht="58.5" customHeight="1" x14ac:dyDescent="0.25">
      <c r="A10599" s="5" t="str">
        <f>"H0035967"</f>
        <v>H0035967</v>
      </c>
      <c r="B10599" s="5" t="str">
        <f t="shared" si="542"/>
        <v>SILLA GERENTE NIZA MEC. BASCULANTE CON BRAZOS.</v>
      </c>
      <c r="C10599" s="6">
        <v>639999.86</v>
      </c>
      <c r="D10599" s="5" t="s">
        <v>281</v>
      </c>
      <c r="E10599" s="5" t="str">
        <f t="shared" si="541"/>
        <v>ACTISALUD-SIAU-MARISELA AREVALO AREVALO</v>
      </c>
      <c r="F10599" s="5"/>
      <c r="G10599" s="5"/>
    </row>
    <row r="10600" spans="1:7" ht="58.5" customHeight="1" x14ac:dyDescent="0.25">
      <c r="A10600" s="5" t="str">
        <f>"H0035968"</f>
        <v>H0035968</v>
      </c>
      <c r="B10600" s="5" t="str">
        <f t="shared" si="542"/>
        <v>SILLA GERENTE NIZA MEC. BASCULANTE CON BRAZOS.</v>
      </c>
      <c r="C10600" s="6">
        <v>639999.86</v>
      </c>
      <c r="D10600" s="5" t="s">
        <v>281</v>
      </c>
      <c r="E10600" s="5" t="str">
        <f t="shared" si="541"/>
        <v>ACTISALUD-SIAU-MARISELA AREVALO AREVALO</v>
      </c>
      <c r="F10600" s="5"/>
      <c r="G10600" s="5"/>
    </row>
    <row r="10601" spans="1:7" ht="58.5" customHeight="1" x14ac:dyDescent="0.25">
      <c r="A10601" s="5" t="str">
        <f>"H0035969"</f>
        <v>H0035969</v>
      </c>
      <c r="B10601" s="5" t="str">
        <f t="shared" si="542"/>
        <v>SILLA GERENTE NIZA MEC. BASCULANTE CON BRAZOS.</v>
      </c>
      <c r="C10601" s="6">
        <v>639999.86</v>
      </c>
      <c r="D10601" s="5" t="s">
        <v>281</v>
      </c>
      <c r="E10601" s="5" t="str">
        <f t="shared" si="541"/>
        <v>ACTISALUD-SIAU-MARISELA AREVALO AREVALO</v>
      </c>
      <c r="F10601" s="5"/>
      <c r="G10601" s="5"/>
    </row>
    <row r="10602" spans="1:7" ht="58.5" customHeight="1" x14ac:dyDescent="0.25">
      <c r="A10602" s="5" t="str">
        <f>"H0035982"</f>
        <v>H0035982</v>
      </c>
      <c r="B10602" s="5" t="str">
        <f>"SILLA GERENTE NIZA MEC. BASCULANTE SIN BRAZOS"</f>
        <v>SILLA GERENTE NIZA MEC. BASCULANTE SIN BRAZOS</v>
      </c>
      <c r="C10602" s="6">
        <v>654999.78</v>
      </c>
      <c r="D10602" s="5" t="s">
        <v>27</v>
      </c>
      <c r="E10602" s="5" t="str">
        <f t="shared" si="541"/>
        <v>ACTISALUD-SIAU-MARISELA AREVALO AREVALO</v>
      </c>
      <c r="F10602" s="5"/>
      <c r="G10602" s="5"/>
    </row>
    <row r="10603" spans="1:7" ht="58.5" customHeight="1" x14ac:dyDescent="0.25">
      <c r="A10603" s="5" t="str">
        <f>"H0036421"</f>
        <v>H0036421</v>
      </c>
      <c r="B10603" s="5" t="str">
        <f>"VENTILADOR DE PARED"</f>
        <v>VENTILADOR DE PARED</v>
      </c>
      <c r="C10603" s="6">
        <v>295260</v>
      </c>
      <c r="D10603" s="5" t="s">
        <v>131</v>
      </c>
      <c r="E10603" s="5" t="str">
        <f t="shared" si="541"/>
        <v>ACTISALUD-SIAU-MARISELA AREVALO AREVALO</v>
      </c>
      <c r="F10603" s="5"/>
      <c r="G10603" s="5"/>
    </row>
    <row r="10604" spans="1:7" ht="58.5" customHeight="1" x14ac:dyDescent="0.25">
      <c r="A10604" s="5" t="str">
        <f>"H0036437"</f>
        <v>H0036437</v>
      </c>
      <c r="B10604" s="5" t="str">
        <f>"VENTILADOR DE PARED"</f>
        <v>VENTILADOR DE PARED</v>
      </c>
      <c r="C10604" s="6">
        <v>295260</v>
      </c>
      <c r="D10604" s="5" t="s">
        <v>131</v>
      </c>
      <c r="E10604" s="5" t="str">
        <f t="shared" si="541"/>
        <v>ACTISALUD-SIAU-MARISELA AREVALO AREVALO</v>
      </c>
      <c r="F10604" s="5"/>
      <c r="G10604" s="5"/>
    </row>
    <row r="10605" spans="1:7" ht="58.5" customHeight="1" x14ac:dyDescent="0.25">
      <c r="A10605" s="5" t="str">
        <f>"H0036585"</f>
        <v>H0036585</v>
      </c>
      <c r="B10605" s="5" t="str">
        <f>"ESCANER DE ALTA VELOCIDAD 35 PPM"</f>
        <v>ESCANER DE ALTA VELOCIDAD 35 PPM</v>
      </c>
      <c r="C10605" s="6">
        <v>2401636.36</v>
      </c>
      <c r="D10605" s="5" t="s">
        <v>199</v>
      </c>
      <c r="E10605" s="5" t="str">
        <f t="shared" si="541"/>
        <v>ACTISALUD-SIAU-MARISELA AREVALO AREVALO</v>
      </c>
      <c r="F10605" s="5"/>
      <c r="G10605" s="5"/>
    </row>
    <row r="10606" spans="1:7" ht="58.5" customHeight="1" x14ac:dyDescent="0.25">
      <c r="A10606" s="5" t="str">
        <f>"H0036895"</f>
        <v>H0036895</v>
      </c>
      <c r="B10606" s="5" t="str">
        <f>"AIRE ACONDICIONADO TIPO MINISPLIT CAPACIDAD 18.000 BTU TECNOLOGIA INVERTER DUAL"</f>
        <v>AIRE ACONDICIONADO TIPO MINISPLIT CAPACIDAD 18.000 BTU TECNOLOGIA INVERTER DUAL</v>
      </c>
      <c r="C10606" s="6">
        <v>3900000</v>
      </c>
      <c r="D10606" s="5" t="s">
        <v>28</v>
      </c>
      <c r="E10606" s="5" t="str">
        <f t="shared" si="541"/>
        <v>ACTISALUD-SIAU-MARISELA AREVALO AREVALO</v>
      </c>
      <c r="F10606" s="5"/>
      <c r="G10606" s="5"/>
    </row>
    <row r="10607" spans="1:7" ht="58.5" customHeight="1" x14ac:dyDescent="0.25">
      <c r="A10607" s="5" t="str">
        <f>"H0036900"</f>
        <v>H0036900</v>
      </c>
      <c r="B10607" s="5" t="str">
        <f>"AIRE ACONDICIONADO TIPO MINISPLIT CAPACIDAD 18.000 BTU TECNOLOGIA INVERTER DUAL"</f>
        <v>AIRE ACONDICIONADO TIPO MINISPLIT CAPACIDAD 18.000 BTU TECNOLOGIA INVERTER DUAL</v>
      </c>
      <c r="C10607" s="6">
        <v>3900000</v>
      </c>
      <c r="D10607" s="5" t="s">
        <v>28</v>
      </c>
      <c r="E10607" s="5" t="str">
        <f t="shared" si="541"/>
        <v>ACTISALUD-SIAU-MARISELA AREVALO AREVALO</v>
      </c>
      <c r="F10607" s="5"/>
      <c r="G10607" s="5"/>
    </row>
    <row r="10608" spans="1:7" ht="58.5" customHeight="1" x14ac:dyDescent="0.25">
      <c r="A10608" s="5" t="str">
        <f>"H0037435"</f>
        <v>H0037435</v>
      </c>
      <c r="B10608" s="5" t="str">
        <f>"AIRE ACONDICIONADO TIPO MINISPLIT CAPACIDAD 18.000 BTU TECNOLOGIA INVERTER DUAL"</f>
        <v>AIRE ACONDICIONADO TIPO MINISPLIT CAPACIDAD 18.000 BTU TECNOLOGIA INVERTER DUAL</v>
      </c>
      <c r="C10608" s="6">
        <v>4542706</v>
      </c>
      <c r="D10608" s="5" t="s">
        <v>202</v>
      </c>
      <c r="E10608" s="5" t="str">
        <f t="shared" si="541"/>
        <v>ACTISALUD-SIAU-MARISELA AREVALO AREVALO</v>
      </c>
      <c r="F10608" s="5"/>
      <c r="G10608" s="5"/>
    </row>
    <row r="10609" spans="1:7" ht="58.5" customHeight="1" x14ac:dyDescent="0.25">
      <c r="A10609" s="5" t="str">
        <f>"H0037509"</f>
        <v>H0037509</v>
      </c>
      <c r="B10609" s="5" t="str">
        <f>"VENTILADOR DE PARED"</f>
        <v>VENTILADOR DE PARED</v>
      </c>
      <c r="C10609" s="6">
        <v>286671</v>
      </c>
      <c r="D10609" s="5" t="s">
        <v>139</v>
      </c>
      <c r="E10609" s="5" t="str">
        <f t="shared" si="541"/>
        <v>ACTISALUD-SIAU-MARISELA AREVALO AREVALO</v>
      </c>
      <c r="F10609" s="5"/>
      <c r="G10609" s="5"/>
    </row>
    <row r="10610" spans="1:7" ht="58.5" customHeight="1" x14ac:dyDescent="0.25">
      <c r="A10610" s="5" t="str">
        <f>"H0037793"</f>
        <v>H0037793</v>
      </c>
      <c r="B10610" s="5" t="str">
        <f t="shared" ref="B10610:B10620" si="543">"SILLA GERENTE NIZA MEC. BASCULANTE CON BRAZOS."</f>
        <v>SILLA GERENTE NIZA MEC. BASCULANTE CON BRAZOS.</v>
      </c>
      <c r="C10610" s="6">
        <v>710000.01</v>
      </c>
      <c r="D10610" s="5" t="s">
        <v>30</v>
      </c>
      <c r="E10610" s="5" t="str">
        <f t="shared" si="541"/>
        <v>ACTISALUD-SIAU-MARISELA AREVALO AREVALO</v>
      </c>
      <c r="F10610" s="5"/>
      <c r="G10610" s="5"/>
    </row>
    <row r="10611" spans="1:7" ht="58.5" customHeight="1" x14ac:dyDescent="0.25">
      <c r="A10611" s="5" t="str">
        <f>"H0037827"</f>
        <v>H0037827</v>
      </c>
      <c r="B10611" s="5" t="str">
        <f t="shared" si="543"/>
        <v>SILLA GERENTE NIZA MEC. BASCULANTE CON BRAZOS.</v>
      </c>
      <c r="C10611" s="6">
        <v>710000.01</v>
      </c>
      <c r="D10611" s="5" t="s">
        <v>30</v>
      </c>
      <c r="E10611" s="5" t="str">
        <f t="shared" si="541"/>
        <v>ACTISALUD-SIAU-MARISELA AREVALO AREVALO</v>
      </c>
      <c r="F10611" s="5"/>
      <c r="G10611" s="5"/>
    </row>
    <row r="10612" spans="1:7" ht="58.5" customHeight="1" x14ac:dyDescent="0.25">
      <c r="A10612" s="5" t="str">
        <f>"H0037828"</f>
        <v>H0037828</v>
      </c>
      <c r="B10612" s="5" t="str">
        <f t="shared" si="543"/>
        <v>SILLA GERENTE NIZA MEC. BASCULANTE CON BRAZOS.</v>
      </c>
      <c r="C10612" s="6">
        <v>710000.01</v>
      </c>
      <c r="D10612" s="5" t="s">
        <v>30</v>
      </c>
      <c r="E10612" s="5" t="str">
        <f t="shared" si="541"/>
        <v>ACTISALUD-SIAU-MARISELA AREVALO AREVALO</v>
      </c>
      <c r="F10612" s="5"/>
      <c r="G10612" s="5"/>
    </row>
    <row r="10613" spans="1:7" ht="58.5" customHeight="1" x14ac:dyDescent="0.25">
      <c r="A10613" s="5" t="str">
        <f>"H0037829"</f>
        <v>H0037829</v>
      </c>
      <c r="B10613" s="5" t="str">
        <f t="shared" si="543"/>
        <v>SILLA GERENTE NIZA MEC. BASCULANTE CON BRAZOS.</v>
      </c>
      <c r="C10613" s="6">
        <v>710000.01</v>
      </c>
      <c r="D10613" s="5" t="s">
        <v>30</v>
      </c>
      <c r="E10613" s="5" t="str">
        <f t="shared" si="541"/>
        <v>ACTISALUD-SIAU-MARISELA AREVALO AREVALO</v>
      </c>
      <c r="F10613" s="5"/>
      <c r="G10613" s="5"/>
    </row>
    <row r="10614" spans="1:7" ht="58.5" customHeight="1" x14ac:dyDescent="0.25">
      <c r="A10614" s="5" t="str">
        <f>"H0037830"</f>
        <v>H0037830</v>
      </c>
      <c r="B10614" s="5" t="str">
        <f t="shared" si="543"/>
        <v>SILLA GERENTE NIZA MEC. BASCULANTE CON BRAZOS.</v>
      </c>
      <c r="C10614" s="6">
        <v>710000.01</v>
      </c>
      <c r="D10614" s="5" t="s">
        <v>30</v>
      </c>
      <c r="E10614" s="5" t="str">
        <f t="shared" si="541"/>
        <v>ACTISALUD-SIAU-MARISELA AREVALO AREVALO</v>
      </c>
      <c r="F10614" s="5"/>
      <c r="G10614" s="5"/>
    </row>
    <row r="10615" spans="1:7" ht="58.5" customHeight="1" x14ac:dyDescent="0.25">
      <c r="A10615" s="5" t="str">
        <f>"H0037831"</f>
        <v>H0037831</v>
      </c>
      <c r="B10615" s="5" t="str">
        <f t="shared" si="543"/>
        <v>SILLA GERENTE NIZA MEC. BASCULANTE CON BRAZOS.</v>
      </c>
      <c r="C10615" s="6">
        <v>710000.01</v>
      </c>
      <c r="D10615" s="5" t="s">
        <v>30</v>
      </c>
      <c r="E10615" s="5" t="str">
        <f t="shared" si="541"/>
        <v>ACTISALUD-SIAU-MARISELA AREVALO AREVALO</v>
      </c>
      <c r="F10615" s="5"/>
      <c r="G10615" s="5"/>
    </row>
    <row r="10616" spans="1:7" ht="58.5" customHeight="1" x14ac:dyDescent="0.25">
      <c r="A10616" s="5" t="str">
        <f>"H0037832"</f>
        <v>H0037832</v>
      </c>
      <c r="B10616" s="5" t="str">
        <f t="shared" si="543"/>
        <v>SILLA GERENTE NIZA MEC. BASCULANTE CON BRAZOS.</v>
      </c>
      <c r="C10616" s="6">
        <v>710000.01</v>
      </c>
      <c r="D10616" s="5" t="s">
        <v>30</v>
      </c>
      <c r="E10616" s="5" t="str">
        <f t="shared" si="541"/>
        <v>ACTISALUD-SIAU-MARISELA AREVALO AREVALO</v>
      </c>
      <c r="F10616" s="5"/>
      <c r="G10616" s="5"/>
    </row>
    <row r="10617" spans="1:7" ht="58.5" customHeight="1" x14ac:dyDescent="0.25">
      <c r="A10617" s="5" t="str">
        <f>"H0037833"</f>
        <v>H0037833</v>
      </c>
      <c r="B10617" s="5" t="str">
        <f t="shared" si="543"/>
        <v>SILLA GERENTE NIZA MEC. BASCULANTE CON BRAZOS.</v>
      </c>
      <c r="C10617" s="6">
        <v>710000.01</v>
      </c>
      <c r="D10617" s="5" t="s">
        <v>30</v>
      </c>
      <c r="E10617" s="5" t="str">
        <f t="shared" si="541"/>
        <v>ACTISALUD-SIAU-MARISELA AREVALO AREVALO</v>
      </c>
      <c r="F10617" s="5"/>
      <c r="G10617" s="5"/>
    </row>
    <row r="10618" spans="1:7" ht="58.5" customHeight="1" x14ac:dyDescent="0.25">
      <c r="A10618" s="5" t="str">
        <f>"H0037867"</f>
        <v>H0037867</v>
      </c>
      <c r="B10618" s="5" t="str">
        <f t="shared" si="543"/>
        <v>SILLA GERENTE NIZA MEC. BASCULANTE CON BRAZOS.</v>
      </c>
      <c r="C10618" s="6">
        <v>710000.01</v>
      </c>
      <c r="D10618" s="5" t="s">
        <v>30</v>
      </c>
      <c r="E10618" s="5" t="str">
        <f t="shared" si="541"/>
        <v>ACTISALUD-SIAU-MARISELA AREVALO AREVALO</v>
      </c>
      <c r="F10618" s="5"/>
      <c r="G10618" s="5"/>
    </row>
    <row r="10619" spans="1:7" ht="58.5" customHeight="1" x14ac:dyDescent="0.25">
      <c r="A10619" s="5" t="str">
        <f>"H0037868"</f>
        <v>H0037868</v>
      </c>
      <c r="B10619" s="5" t="str">
        <f t="shared" si="543"/>
        <v>SILLA GERENTE NIZA MEC. BASCULANTE CON BRAZOS.</v>
      </c>
      <c r="C10619" s="6">
        <v>710000.01</v>
      </c>
      <c r="D10619" s="5" t="s">
        <v>30</v>
      </c>
      <c r="E10619" s="5" t="str">
        <f t="shared" si="541"/>
        <v>ACTISALUD-SIAU-MARISELA AREVALO AREVALO</v>
      </c>
      <c r="F10619" s="5"/>
      <c r="G10619" s="5"/>
    </row>
    <row r="10620" spans="1:7" ht="58.5" customHeight="1" x14ac:dyDescent="0.25">
      <c r="A10620" s="5" t="str">
        <f>"H0038050"</f>
        <v>H0038050</v>
      </c>
      <c r="B10620" s="5" t="str">
        <f t="shared" si="543"/>
        <v>SILLA GERENTE NIZA MEC. BASCULANTE CON BRAZOS.</v>
      </c>
      <c r="C10620" s="6">
        <v>710000.01</v>
      </c>
      <c r="D10620" s="5" t="s">
        <v>30</v>
      </c>
      <c r="E10620" s="5" t="str">
        <f t="shared" si="541"/>
        <v>ACTISALUD-SIAU-MARISELA AREVALO AREVALO</v>
      </c>
      <c r="F10620" s="5"/>
      <c r="G10620" s="5"/>
    </row>
    <row r="10621" spans="1:7" ht="58.5" customHeight="1" x14ac:dyDescent="0.25">
      <c r="A10621" s="5" t="str">
        <f>"B0003902"</f>
        <v>B0003902</v>
      </c>
      <c r="B10621" s="5" t="str">
        <f>"CAMARA DE VIDEOVIGILANCIA"</f>
        <v>CAMARA DE VIDEOVIGILANCIA</v>
      </c>
      <c r="C10621" s="6">
        <v>266220</v>
      </c>
      <c r="D10621" s="5" t="s">
        <v>627</v>
      </c>
      <c r="E10621" s="5" t="str">
        <f t="shared" ref="E10621:E10652" si="544">"FARMACIA-RAFAEL CELIS"</f>
        <v>FARMACIA-RAFAEL CELIS</v>
      </c>
      <c r="F10621" s="5" t="str">
        <f>"Descripcion: CAMARA DE ALTA DEFENICION Estado: Bueno Placa anterior: 000030339 Material: PLASTICO Color: BLANCO Referencia:  Observacion:  Placa padre: Tipo adquisicion: Entidad"</f>
        <v>Descripcion: CAMARA DE ALTA DEFENICION Estado: Bueno Placa anterior: 000030339 Material: PLASTICO Color: BLANCO Referencia:  Observacion:  Placa padre: Tipo adquisicion: Entidad</v>
      </c>
      <c r="G10621" s="5"/>
    </row>
    <row r="10622" spans="1:7" ht="58.5" customHeight="1" x14ac:dyDescent="0.25">
      <c r="A10622" s="5" t="str">
        <f>"B0003903"</f>
        <v>B0003903</v>
      </c>
      <c r="B10622" s="5" t="str">
        <f>"CAMARA DE VIDEOVIGILANCIA"</f>
        <v>CAMARA DE VIDEOVIGILANCIA</v>
      </c>
      <c r="C10622" s="6">
        <v>266220</v>
      </c>
      <c r="D10622" s="5" t="s">
        <v>627</v>
      </c>
      <c r="E10622" s="5" t="str">
        <f t="shared" si="544"/>
        <v>FARMACIA-RAFAEL CELIS</v>
      </c>
      <c r="F10622" s="5" t="str">
        <f>"Descripcion: CAMARA DE ALTA DEFENICION Estado: Bueno Placa anterior: 000030338 Material: PLASTICO Color: BLANCO Referencia:  Observacion:  Placa padre: Tipo adquisicion: Entidad"</f>
        <v>Descripcion: CAMARA DE ALTA DEFENICION Estado: Bueno Placa anterior: 000030338 Material: PLASTICO Color: BLANCO Referencia:  Observacion:  Placa padre: Tipo adquisicion: Entidad</v>
      </c>
      <c r="G10622" s="5"/>
    </row>
    <row r="10623" spans="1:7" ht="58.5" customHeight="1" x14ac:dyDescent="0.25">
      <c r="A10623" s="5" t="str">
        <f>"B0003904"</f>
        <v>B0003904</v>
      </c>
      <c r="B10623" s="5" t="str">
        <f>"CAMARA DE VIDEOVIGILANCIA"</f>
        <v>CAMARA DE VIDEOVIGILANCIA</v>
      </c>
      <c r="C10623" s="6">
        <v>266220</v>
      </c>
      <c r="D10623" s="5" t="s">
        <v>627</v>
      </c>
      <c r="E10623" s="5" t="str">
        <f t="shared" si="544"/>
        <v>FARMACIA-RAFAEL CELIS</v>
      </c>
      <c r="F10623" s="5" t="str">
        <f>"Descripcion: CAMARA DE ALTA DEFENICION Estado: Bueno Placa anterior: 000030337 Material: PLASTICO Color: BLANCO Referencia:  Observacion:  Placa padre: Tipo adquisicion: Entidad"</f>
        <v>Descripcion: CAMARA DE ALTA DEFENICION Estado: Bueno Placa anterior: 000030337 Material: PLASTICO Color: BLANCO Referencia:  Observacion:  Placa padre: Tipo adquisicion: Entidad</v>
      </c>
      <c r="G10623" s="5"/>
    </row>
    <row r="10624" spans="1:7" ht="58.5" customHeight="1" x14ac:dyDescent="0.25">
      <c r="A10624" s="5" t="str">
        <f>"B0004597"</f>
        <v>B0004597</v>
      </c>
      <c r="B10624" s="5" t="str">
        <f>"LICENCIA OFFICE HOME AND BUSINEES"</f>
        <v>LICENCIA OFFICE HOME AND BUSINEES</v>
      </c>
      <c r="C10624" s="6">
        <v>440800</v>
      </c>
      <c r="D10624" s="5" t="s">
        <v>1</v>
      </c>
      <c r="E10624" s="5" t="str">
        <f t="shared" si="544"/>
        <v>FARMACIA-RAFAEL CELIS</v>
      </c>
      <c r="F10624" s="5" t="str">
        <f>"Descripcion: LICENCIA OFFICE HOME AND BUSIMESS 2013 Estado: Bueno Placa anterior: 000030631 Material:  Color:  Referencia:  Observacion:  Placa padre: Tipo adquisicion: Entidad"</f>
        <v>Descripcion: LICENCIA OFFICE HOME AND BUSIMESS 2013 Estado: Bueno Placa anterior: 000030631 Material:  Color:  Referencia:  Observacion:  Placa padre: Tipo adquisicion: Entidad</v>
      </c>
      <c r="G10624" s="5"/>
    </row>
    <row r="10625" spans="1:7" ht="58.5" customHeight="1" x14ac:dyDescent="0.25">
      <c r="A10625" s="5" t="str">
        <f>"H0001499"</f>
        <v>H0001499</v>
      </c>
      <c r="B10625" s="5" t="str">
        <f>"ESTANTE METALICO 5 ENTREPAÑOS"</f>
        <v>ESTANTE METALICO 5 ENTREPAÑOS</v>
      </c>
      <c r="C10625" s="6">
        <v>18479.71</v>
      </c>
      <c r="D10625" s="5"/>
      <c r="E10625" s="5" t="str">
        <f t="shared" si="544"/>
        <v>FARMACIA-RAFAEL CELIS</v>
      </c>
      <c r="F10625" s="5" t="str">
        <f>"Descripcion:ESTANTE METALICO 5 ENTREPAÑOS MEDIDAS: 191X90X30 Estado: Bueno Placa anterior: 000008703 Material: METALICO Color: BLANCO Referencia:  Observacion:  Placa padre:  Tipo adquisicion : Entidad"</f>
        <v>Descripcion:ESTANTE METALICO 5 ENTREPAÑOS MEDIDAS: 191X90X30 Estado: Bueno Placa anterior: 000008703 Material: METALICO Color: BLANCO Referencia:  Observacion:  Placa padre:  Tipo adquisicion : Entidad</v>
      </c>
      <c r="G10625" s="5"/>
    </row>
    <row r="10626" spans="1:7" ht="58.5" customHeight="1" x14ac:dyDescent="0.25">
      <c r="A10626" s="5" t="str">
        <f>"H0001595"</f>
        <v>H0001595</v>
      </c>
      <c r="B10626" s="5" t="str">
        <f>"ESTANTE METALICO 5 ENTREPAÑOS"</f>
        <v>ESTANTE METALICO 5 ENTREPAÑOS</v>
      </c>
      <c r="C10626" s="6">
        <v>9599.01</v>
      </c>
      <c r="D10626" s="5"/>
      <c r="E10626" s="5" t="str">
        <f t="shared" si="544"/>
        <v>FARMACIA-RAFAEL CELIS</v>
      </c>
      <c r="F10626" s="5" t="str">
        <f>"Descripcion:ESTANTE METALICO Estado: Bueno Placa anterior: 000009016 Material: METALICO Color: BEIGE Referencia:  Observacion:  Placa padre:  Tipo adquisicion : Entidad"</f>
        <v>Descripcion:ESTANTE METALICO Estado: Bueno Placa anterior: 000009016 Material: METALICO Color: BEIGE Referencia:  Observacion:  Placa padre:  Tipo adquisicion : Entidad</v>
      </c>
      <c r="G10626" s="5"/>
    </row>
    <row r="10627" spans="1:7" ht="58.5" customHeight="1" x14ac:dyDescent="0.25">
      <c r="A10627" s="5" t="str">
        <f>"H0001596"</f>
        <v>H0001596</v>
      </c>
      <c r="B10627" s="5" t="str">
        <f>"ESTANTE METALICO 6 ENTREPAÑOS"</f>
        <v>ESTANTE METALICO 6 ENTREPAÑOS</v>
      </c>
      <c r="C10627" s="6">
        <v>17880.72</v>
      </c>
      <c r="D10627" s="5"/>
      <c r="E10627" s="5" t="str">
        <f t="shared" si="544"/>
        <v>FARMACIA-RAFAEL CELIS</v>
      </c>
      <c r="F10627" s="5" t="str">
        <f>"Descripcion:ESTANTE METALICO Estado: Bueno Placa anterior: 000008852 Material: METALICO Color: BEIGE Referencia:  Observacion: PLACA ANTERIOR 000008852 APARECE EN EL INVENTARIO DE LABORATORIO CLINICO Placa padre:  Tipo adquisicion : Entidad"</f>
        <v>Descripcion:ESTANTE METALICO Estado: Bueno Placa anterior: 000008852 Material: METALICO Color: BEIGE Referencia:  Observacion: PLACA ANTERIOR 000008852 APARECE EN EL INVENTARIO DE LABORATORIO CLINICO Placa padre:  Tipo adquisicion : Entidad</v>
      </c>
      <c r="G10627" s="5"/>
    </row>
    <row r="10628" spans="1:7" ht="58.5" customHeight="1" x14ac:dyDescent="0.25">
      <c r="A10628" s="5" t="str">
        <f>"H0002364"</f>
        <v>H0002364</v>
      </c>
      <c r="B10628" s="5" t="str">
        <f>"CAMARA DE VIDEOVIGILANCIA"</f>
        <v>CAMARA DE VIDEOVIGILANCIA</v>
      </c>
      <c r="C10628" s="6">
        <v>170000</v>
      </c>
      <c r="D10628" s="5"/>
      <c r="E10628" s="5" t="str">
        <f t="shared" si="544"/>
        <v>FARMACIA-RAFAEL CELIS</v>
      </c>
      <c r="F10628" s="5" t="str">
        <f>"Descripcion:MINIDOMO HIKVISION 700TVL LENTE 3.6MM Estado: Excelente Placa anterior: 000030737 Material: PASTA Y VIDRIO Color: BLANCO Referencia:  Observacion:  Placa padre:  Tipo adquisicion : Entidad"</f>
        <v>Descripcion:MINIDOMO HIKVISION 700TVL LENTE 3.6MM Estado: Excelente Placa anterior: 000030737 Material: PASTA Y VIDRIO Color: BLANCO Referencia:  Observacion:  Placa padre:  Tipo adquisicion : Entidad</v>
      </c>
      <c r="G10628" s="5" t="str">
        <f>"DS-2CE55A2N-IRM"</f>
        <v>DS-2CE55A2N-IRM</v>
      </c>
    </row>
    <row r="10629" spans="1:7" ht="58.5" customHeight="1" x14ac:dyDescent="0.25">
      <c r="A10629" s="5" t="str">
        <f>"H0002367"</f>
        <v>H0002367</v>
      </c>
      <c r="B10629" s="5" t="str">
        <f>"CAMARA DE VIDEOVIGILANCIA"</f>
        <v>CAMARA DE VIDEOVIGILANCIA</v>
      </c>
      <c r="C10629" s="6">
        <v>170000</v>
      </c>
      <c r="D10629" s="5"/>
      <c r="E10629" s="5" t="str">
        <f t="shared" si="544"/>
        <v>FARMACIA-RAFAEL CELIS</v>
      </c>
      <c r="F10629" s="5" t="str">
        <f>"Descripcion:MINIDOMO HIKVISION 700TVL LENTE 3.6MM Estado: Excelente Placa anterior: 000030738 Material: PASTA Y VIDRIO Color: BLANCO Referencia:  Observacion:  Placa padre:  Tipo adquisicion : Entidad"</f>
        <v>Descripcion:MINIDOMO HIKVISION 700TVL LENTE 3.6MM Estado: Excelente Placa anterior: 000030738 Material: PASTA Y VIDRIO Color: BLANCO Referencia:  Observacion:  Placa padre:  Tipo adquisicion : Entidad</v>
      </c>
      <c r="G10629" s="5" t="str">
        <f>"DS-2CE55A2N-IRP"</f>
        <v>DS-2CE55A2N-IRP</v>
      </c>
    </row>
    <row r="10630" spans="1:7" ht="58.5" customHeight="1" x14ac:dyDescent="0.25">
      <c r="A10630" s="5" t="str">
        <f>"H0002368"</f>
        <v>H0002368</v>
      </c>
      <c r="B10630" s="5" t="str">
        <f>"CAMARA DE VIDEOVIGILANCIA"</f>
        <v>CAMARA DE VIDEOVIGILANCIA</v>
      </c>
      <c r="C10630" s="6">
        <v>170000</v>
      </c>
      <c r="D10630" s="5"/>
      <c r="E10630" s="5" t="str">
        <f t="shared" si="544"/>
        <v>FARMACIA-RAFAEL CELIS</v>
      </c>
      <c r="F10630" s="5" t="str">
        <f>"Descripcion:MINIDOMO HIKVISION 700TVL LENTE 3.6MM Estado: Excelente Placa anterior: 000030739 Material: PASTA Y VIDRIO Color: BLANCO Referencia:  Observacion:  Placa padre:  Tipo adquisicion : Entidad"</f>
        <v>Descripcion:MINIDOMO HIKVISION 700TVL LENTE 3.6MM Estado: Excelente Placa anterior: 000030739 Material: PASTA Y VIDRIO Color: BLANCO Referencia:  Observacion:  Placa padre:  Tipo adquisicion : Entidad</v>
      </c>
      <c r="G10630" s="5" t="str">
        <f>"DS-2CE55A2N-IRP"</f>
        <v>DS-2CE55A2N-IRP</v>
      </c>
    </row>
    <row r="10631" spans="1:7" ht="58.5" customHeight="1" x14ac:dyDescent="0.25">
      <c r="A10631" s="5" t="str">
        <f>"H0002371"</f>
        <v>H0002371</v>
      </c>
      <c r="B10631" s="5" t="str">
        <f>"CAMARA DE VIDEOVIGILANCIA"</f>
        <v>CAMARA DE VIDEOVIGILANCIA</v>
      </c>
      <c r="C10631" s="6">
        <v>170000</v>
      </c>
      <c r="D10631" s="5"/>
      <c r="E10631" s="5" t="str">
        <f t="shared" si="544"/>
        <v>FARMACIA-RAFAEL CELIS</v>
      </c>
      <c r="F10631" s="5" t="str">
        <f>"Descripcion:MINIDOMO HIKVISION 700TVL LENTE 3.6MM Estado: Excelente Placa anterior: 000030742 Material: PASTA Y VIDRIO Color: BLANCO Referencia:  Observacion:  Placa padre:  Tipo adquisicion : Entidad"</f>
        <v>Descripcion:MINIDOMO HIKVISION 700TVL LENTE 3.6MM Estado: Excelente Placa anterior: 000030742 Material: PASTA Y VIDRIO Color: BLANCO Referencia:  Observacion:  Placa padre:  Tipo adquisicion : Entidad</v>
      </c>
      <c r="G10631" s="5" t="str">
        <f>"DS-2CE55A2N-IRP"</f>
        <v>DS-2CE55A2N-IRP</v>
      </c>
    </row>
    <row r="10632" spans="1:7" ht="58.5" customHeight="1" x14ac:dyDescent="0.25">
      <c r="A10632" s="5" t="str">
        <f>"H0002677"</f>
        <v>H0002677</v>
      </c>
      <c r="B10632" s="5" t="str">
        <f>"ENRUTADOR (ROUTER) INALAMBRICO (ACCES POINT)"</f>
        <v>ENRUTADOR (ROUTER) INALAMBRICO (ACCES POINT)</v>
      </c>
      <c r="C10632" s="6">
        <v>323640</v>
      </c>
      <c r="D10632" s="5"/>
      <c r="E10632" s="5" t="str">
        <f t="shared" si="544"/>
        <v>FARMACIA-RAFAEL CELIS</v>
      </c>
      <c r="F10632" s="5" t="str">
        <f>"Descripcion:INDOOR ACCESS POINT, 3 ANTENAS DE COLOR GRIS, CABLE DE RED, CARGADOR Estado: Excelente Placa anterior: 000037078 Material: PASTA Color: BLANCO Y GRIS Referencia:  Observacion:  Placa padre:  Tipo adquisicion : Entidad"</f>
        <v>Descripcion:INDOOR ACCESS POINT, 3 ANTENAS DE COLOR GRIS, CABLE DE RED, CARGADOR Estado: Excelente Placa anterior: 000037078 Material: PASTA Color: BLANCO Y GRIS Referencia:  Observacion:  Placa padre:  Tipo adquisicion : Entidad</v>
      </c>
      <c r="G10632" s="5" t="str">
        <f>"TL-WA901ND"</f>
        <v>TL-WA901ND</v>
      </c>
    </row>
    <row r="10633" spans="1:7" ht="58.5" customHeight="1" x14ac:dyDescent="0.25">
      <c r="A10633" s="5" t="str">
        <f>"H0002701"</f>
        <v>H0002701</v>
      </c>
      <c r="B10633" s="5" t="str">
        <f>"FUENTE DE PODER"</f>
        <v>FUENTE DE PODER</v>
      </c>
      <c r="C10633" s="6">
        <v>11200</v>
      </c>
      <c r="D10633" s="5"/>
      <c r="E10633" s="5" t="str">
        <f t="shared" si="544"/>
        <v>FARMACIA-RAFAEL CELIS</v>
      </c>
      <c r="F10633" s="5" t="str">
        <f>"Descripcion:FUENTE DE PODER 12V 1A Estado: Excelente Placa anterior: 000030759 Material: PASTA Color:  Referencia:  Observacion:  Placa padre:  Tipo adquisicion : Entidad"</f>
        <v>Descripcion:FUENTE DE PODER 12V 1A Estado: Excelente Placa anterior: 000030759 Material: PASTA Color:  Referencia:  Observacion:  Placa padre:  Tipo adquisicion : Entidad</v>
      </c>
      <c r="G10633" s="5"/>
    </row>
    <row r="10634" spans="1:7" ht="58.5" customHeight="1" x14ac:dyDescent="0.25">
      <c r="A10634" s="5" t="str">
        <f>"H0002702"</f>
        <v>H0002702</v>
      </c>
      <c r="B10634" s="5" t="str">
        <f>"FUENTE DE PODER"</f>
        <v>FUENTE DE PODER</v>
      </c>
      <c r="C10634" s="6">
        <v>11200</v>
      </c>
      <c r="D10634" s="5"/>
      <c r="E10634" s="5" t="str">
        <f t="shared" si="544"/>
        <v>FARMACIA-RAFAEL CELIS</v>
      </c>
      <c r="F10634" s="5" t="str">
        <f>"Descripcion:FUENTE DE PODER 12V 1A Estado: Excelente Placa anterior: 000030760 Material: PASTA Color:  Referencia:  Observacion:  Placa padre:  Tipo adquisicion : Entidad"</f>
        <v>Descripcion:FUENTE DE PODER 12V 1A Estado: Excelente Placa anterior: 000030760 Material: PASTA Color:  Referencia:  Observacion:  Placa padre:  Tipo adquisicion : Entidad</v>
      </c>
      <c r="G10634" s="5"/>
    </row>
    <row r="10635" spans="1:7" ht="58.5" customHeight="1" x14ac:dyDescent="0.25">
      <c r="A10635" s="5" t="str">
        <f>"H0002703"</f>
        <v>H0002703</v>
      </c>
      <c r="B10635" s="5" t="str">
        <f>"FUENTE DE PODER"</f>
        <v>FUENTE DE PODER</v>
      </c>
      <c r="C10635" s="6">
        <v>11200</v>
      </c>
      <c r="D10635" s="5"/>
      <c r="E10635" s="5" t="str">
        <f t="shared" si="544"/>
        <v>FARMACIA-RAFAEL CELIS</v>
      </c>
      <c r="F10635" s="5" t="str">
        <f>"Descripcion:FUENTE DE PODER 12V 1A Estado: Excelente Placa anterior: 000030761 Material: PASTA Color:  Referencia:  Observacion:  Placa padre:  Tipo adquisicion : Entidad"</f>
        <v>Descripcion:FUENTE DE PODER 12V 1A Estado: Excelente Placa anterior: 000030761 Material: PASTA Color:  Referencia:  Observacion:  Placa padre:  Tipo adquisicion : Entidad</v>
      </c>
      <c r="G10635" s="5"/>
    </row>
    <row r="10636" spans="1:7" ht="58.5" customHeight="1" x14ac:dyDescent="0.25">
      <c r="A10636" s="5" t="str">
        <f>"H0002705"</f>
        <v>H0002705</v>
      </c>
      <c r="B10636" s="5" t="str">
        <f>"FUENTE DE PODER"</f>
        <v>FUENTE DE PODER</v>
      </c>
      <c r="C10636" s="6">
        <v>11200</v>
      </c>
      <c r="D10636" s="5"/>
      <c r="E10636" s="5" t="str">
        <f t="shared" si="544"/>
        <v>FARMACIA-RAFAEL CELIS</v>
      </c>
      <c r="F10636" s="5" t="str">
        <f>"Descripcion:FUENTE DE PODER 12V 1A Estado: Excelente Placa anterior: 000030763 Material: PASTA Color:  Referencia:  Observacion:  Placa padre:  Tipo adquisicion : Entidad"</f>
        <v>Descripcion:FUENTE DE PODER 12V 1A Estado: Excelente Placa anterior: 000030763 Material: PASTA Color:  Referencia:  Observacion:  Placa padre:  Tipo adquisicion : Entidad</v>
      </c>
      <c r="G10636" s="5"/>
    </row>
    <row r="10637" spans="1:7" ht="58.5" customHeight="1" x14ac:dyDescent="0.25">
      <c r="A10637" s="5" t="str">
        <f>"H0003152"</f>
        <v>H0003152</v>
      </c>
      <c r="B10637" s="5" t="str">
        <f>"ESTANTE METALICO 7 ENTREPAÑOS"</f>
        <v>ESTANTE METALICO 7 ENTREPAÑOS</v>
      </c>
      <c r="C10637" s="6">
        <v>29533.23</v>
      </c>
      <c r="D10637" s="5"/>
      <c r="E10637" s="5" t="str">
        <f t="shared" si="544"/>
        <v>FARMACIA-RAFAEL CELIS</v>
      </c>
      <c r="F10637" s="5" t="str">
        <f>"Descripcion: 200x90x30 Estado: Bueno Placa anterior: 000001697 Material: METALICO Color: GRIS Referencia:  Observacion:  Placa padre: Tipo adquisicion: Entidad"</f>
        <v>Descripcion: 200x90x30 Estado: Bueno Placa anterior: 000001697 Material: METALICO Color: GRIS Referencia:  Observacion:  Placa padre: Tipo adquisicion: Entidad</v>
      </c>
      <c r="G10637" s="5"/>
    </row>
    <row r="10638" spans="1:7" ht="58.5" customHeight="1" x14ac:dyDescent="0.25">
      <c r="A10638" s="5" t="str">
        <f>"H0003893"</f>
        <v>H0003893</v>
      </c>
      <c r="B10638" s="5" t="str">
        <f>"MESA METALICA AUXILIAR"</f>
        <v>MESA METALICA AUXILIAR</v>
      </c>
      <c r="C10638" s="6">
        <v>9991.67</v>
      </c>
      <c r="D10638" s="5"/>
      <c r="E10638" s="5" t="str">
        <f t="shared" si="544"/>
        <v>FARMACIA-RAFAEL CELIS</v>
      </c>
      <c r="F10638" s="5" t="str">
        <f>"Descripcion: 50X65X73 Estado: Bueno Placa anterior: 000016791 Material: METALICO Color: BEIGE Referencia:  Observacion:  Placa padre: Tipo adquisicion: Entidad"</f>
        <v>Descripcion: 50X65X73 Estado: Bueno Placa anterior: 000016791 Material: METALICO Color: BEIGE Referencia:  Observacion:  Placa padre: Tipo adquisicion: Entidad</v>
      </c>
      <c r="G10638" s="5"/>
    </row>
    <row r="10639" spans="1:7" ht="58.5" customHeight="1" x14ac:dyDescent="0.25">
      <c r="A10639" s="5" t="str">
        <f>"H0003896"</f>
        <v>H0003896</v>
      </c>
      <c r="B10639" s="5" t="str">
        <f>"MULTIMUEBLE ENCHAPADO EN FORMICA"</f>
        <v>MULTIMUEBLE ENCHAPADO EN FORMICA</v>
      </c>
      <c r="C10639" s="6">
        <v>683978</v>
      </c>
      <c r="D10639" s="5"/>
      <c r="E10639" s="5" t="str">
        <f t="shared" si="544"/>
        <v>FARMACIA-RAFAEL CELIS</v>
      </c>
      <c r="F10639" s="5" t="str">
        <f>"Descripcion: ARCHIVO AZ VERTICAL; 2.00X1.00X0.40 FAB RICADO EN TABLEX DE 15MM. FORMICA COLOR A ESCOGER Estado: Bueno Placa anterior: 000033443 Material: FORMICA Color: BEIGE Referencia:  Observacion:  Placa padre: Tipo adquisicion: Entidad"</f>
        <v>Descripcion: ARCHIVO AZ VERTICAL; 2.00X1.00X0.40 FAB RICADO EN TABLEX DE 15MM. FORMICA COLOR A ESCOGER Estado: Bueno Placa anterior: 000033443 Material: FORMICA Color: BEIGE Referencia:  Observacion:  Placa padre: Tipo adquisicion: Entidad</v>
      </c>
      <c r="G10639" s="5"/>
    </row>
    <row r="10640" spans="1:7" ht="58.5" customHeight="1" x14ac:dyDescent="0.25">
      <c r="A10640" s="5" t="str">
        <f>"H0003898"</f>
        <v>H0003898</v>
      </c>
      <c r="B10640" s="5" t="str">
        <f>"PUESTO DE TRABAJO EN L CON 3 GAVETAS"</f>
        <v>PUESTO DE TRABAJO EN L CON 3 GAVETAS</v>
      </c>
      <c r="C10640" s="6">
        <v>1334000</v>
      </c>
      <c r="D10640" s="5" t="s">
        <v>517</v>
      </c>
      <c r="E10640" s="5" t="str">
        <f t="shared" si="544"/>
        <v>FARMACIA-RAFAEL CELIS</v>
      </c>
      <c r="F10640" s="5" t="str">
        <f>"Descripcion: . Estado: Bueno Placa anterior: 000028990 Material: FORMICA Color: BEIGE Referencia:  Observacion: EL BIEN TIENE PLACA ANTERIOR 000033441, AUTORIZADO CONCILIAR EN CRUCE GENERAL Placa padre: Tipo adquisicion: Entidad"</f>
        <v>Descripcion: . Estado: Bueno Placa anterior: 000028990 Material: FORMICA Color: BEIGE Referencia:  Observacion: EL BIEN TIENE PLACA ANTERIOR 000033441, AUTORIZADO CONCILIAR EN CRUCE GENERAL Placa padre: Tipo adquisicion: Entidad</v>
      </c>
      <c r="G10640" s="5"/>
    </row>
    <row r="10641" spans="1:7" ht="58.5" customHeight="1" x14ac:dyDescent="0.25">
      <c r="A10641" s="5" t="str">
        <f>"H0003899"</f>
        <v>H0003899</v>
      </c>
      <c r="B10641" s="5" t="str">
        <f>"COMPUTADOR TODO EN UNO"</f>
        <v>COMPUTADOR TODO EN UNO</v>
      </c>
      <c r="C10641" s="6">
        <v>1572000</v>
      </c>
      <c r="D10641" s="5" t="s">
        <v>346</v>
      </c>
      <c r="E10641" s="5" t="str">
        <f t="shared" si="544"/>
        <v>FARMACIA-RAFAEL CELIS</v>
      </c>
      <c r="F10641" s="5" t="str">
        <f>"Descripcion: EQUIPOS DE COMPUTO TODO EN UNO PROCESADOR CORE 3.0 SUPERIOR CORPORATIVO WINDOWS 8 PRO- OFFICE 2013 SMALL BUSINES, TECNOLOGIA HT DE INTEL GARANTIA EXTENDIDA A 3 AÑOS Estado: Bueno Placa anterior: 000030677 Material: PASTA Color: NEGRO Referenc"&amp; "ia: C9G88LT#ABM Observacion:  Placa anterior:, Placa nueva=H0003901, Descripcion:OPTICO, Serial:FCMHH0A9W5UJ90, Marca:HP, Modelo:672652-001, Material:PASTA, Color:NEGRO,Referencia:, Placa anterior:, Placa nueva=H0003900, Descripcion:., Serial:BDMHE0CHH5VK"&amp; "DC, Marca:HP, Modelo:672647-163, Material:PASTA, Color:NEGRO,Referencia: Placa padre: Tipo adquisicion: Entidad"</f>
        <v>Descripcion: EQUIPOS DE COMPUTO TODO EN UNO PROCESADOR CORE 3.0 SUPERIOR CORPORATIVO WINDOWS 8 PRO- OFFICE 2013 SMALL BUSINES, TECNOLOGIA HT DE INTEL GARANTIA EXTENDIDA A 3 AÑOS Estado: Bueno Placa anterior: 000030677 Material: PASTA Color: NEGRO Referencia: C9G88LT#ABM Observacion:  Placa anterior:, Placa nueva=H0003901, Descripcion:OPTICO, Serial:FCMHH0A9W5UJ90, Marca:HP, Modelo:672652-001, Material:PASTA, Color:NEGRO,Referencia:, Placa anterior:, Placa nueva=H0003900, Descripcion:., Serial:BDMHE0CHH5VKDC, Marca:HP, Modelo:672647-163, Material:PASTA, Color:NEGRO,Referencia: Placa padre: Tipo adquisicion: Entidad</v>
      </c>
      <c r="G10641" s="5"/>
    </row>
    <row r="10642" spans="1:7" ht="58.5" customHeight="1" x14ac:dyDescent="0.25">
      <c r="A10642" s="5" t="str">
        <f>"H0003903"</f>
        <v>H0003903</v>
      </c>
      <c r="B10642" s="5" t="str">
        <f>"EQUIPO DE GRABACION DIGITAL DE VIDEO - DVR"</f>
        <v>EQUIPO DE GRABACION DIGITAL DE VIDEO - DVR</v>
      </c>
      <c r="C10642" s="6">
        <v>575505</v>
      </c>
      <c r="D10642" s="5" t="s">
        <v>627</v>
      </c>
      <c r="E10642" s="5" t="str">
        <f t="shared" si="544"/>
        <v>FARMACIA-RAFAEL CELIS</v>
      </c>
      <c r="F10642" s="5" t="str">
        <f>"Descripcion: DVR 8 canales salida HDMI con dd 1 TB Estado: Bueno Placa anterior: 000030341 Material: METALICO Color: NEGRO Referencia: HVI-5H Observacion:  Placa anterior:, Placa nueva=H0003904, Descripcion:OPTICO, Serial:, Marca:, Modelo:, Material:PASTA"&amp; ", Color:NEGRO,Referencia: Placa padre: Tipo adquisicion: Entidad"</f>
        <v>Descripcion: DVR 8 canales salida HDMI con dd 1 TB Estado: Bueno Placa anterior: 000030341 Material: METALICO Color: NEGRO Referencia: HVI-5H Observacion:  Placa anterior:, Placa nueva=H0003904, Descripcion:OPTICO, Serial:, Marca:, Modelo:, Material:PASTA, Color:NEGRO,Referencia: Placa padre: Tipo adquisicion: Entidad</v>
      </c>
      <c r="G10642" s="5" t="str">
        <f>"DS-7208"</f>
        <v>DS-7208</v>
      </c>
    </row>
    <row r="10643" spans="1:7" ht="58.5" customHeight="1" x14ac:dyDescent="0.25">
      <c r="A10643" s="5" t="str">
        <f>"H0003910"</f>
        <v>H0003910</v>
      </c>
      <c r="B10643" s="5" t="str">
        <f>"VITRINA DE 2 CUERPOS"</f>
        <v>VITRINA DE 2 CUERPOS</v>
      </c>
      <c r="C10643" s="6">
        <v>11935</v>
      </c>
      <c r="D10643" s="5"/>
      <c r="E10643" s="5" t="str">
        <f t="shared" si="544"/>
        <v>FARMACIA-RAFAEL CELIS</v>
      </c>
      <c r="F10643" s="5" t="str">
        <f>"Descripcion: BIBLIOTECA TIPO B (2 CUERPOS)90X140X35 Estado: Bueno Placa anterior: 000000292 Material: METALICO Color: GRIS Referencia:  Observacion:  Placa padre: Tipo adquisicion: Entidad"</f>
        <v>Descripcion: BIBLIOTECA TIPO B (2 CUERPOS)90X140X35 Estado: Bueno Placa anterior: 000000292 Material: METALICO Color: GRIS Referencia:  Observacion:  Placa padre: Tipo adquisicion: Entidad</v>
      </c>
      <c r="G10643" s="5"/>
    </row>
    <row r="10644" spans="1:7" ht="58.5" customHeight="1" x14ac:dyDescent="0.25">
      <c r="A10644" s="5" t="str">
        <f>"H0003923"</f>
        <v>H0003923</v>
      </c>
      <c r="B10644" s="5" t="str">
        <f>"ESTANTE METALICO 6 ENTREPAÑOS"</f>
        <v>ESTANTE METALICO 6 ENTREPAÑOS</v>
      </c>
      <c r="C10644" s="6">
        <v>5527.03</v>
      </c>
      <c r="D10644" s="5"/>
      <c r="E10644" s="5" t="str">
        <f t="shared" si="544"/>
        <v>FARMACIA-RAFAEL CELIS</v>
      </c>
      <c r="F10644" s="5" t="str">
        <f>"Descripcion: . Estado: Bueno Placa anterior: 000000349 Material: METALICO Color: BLANCO Referencia:  Observacion:  Placa padre: Tipo adquisicion: Entidad"</f>
        <v>Descripcion: . Estado: Bueno Placa anterior: 000000349 Material: METALICO Color: BLANCO Referencia:  Observacion:  Placa padre: Tipo adquisicion: Entidad</v>
      </c>
      <c r="G10644" s="5"/>
    </row>
    <row r="10645" spans="1:7" ht="58.5" customHeight="1" x14ac:dyDescent="0.25">
      <c r="A10645" s="5" t="str">
        <f>"H0003937"</f>
        <v>H0003937</v>
      </c>
      <c r="B10645" s="5" t="str">
        <f>"COMPUTADOR TODO EN UNO"</f>
        <v>COMPUTADOR TODO EN UNO</v>
      </c>
      <c r="C10645" s="6">
        <v>1572000</v>
      </c>
      <c r="D10645" s="5" t="s">
        <v>346</v>
      </c>
      <c r="E10645" s="5" t="str">
        <f t="shared" si="544"/>
        <v>FARMACIA-RAFAEL CELIS</v>
      </c>
      <c r="F10645" s="5" t="str">
        <f>"Descripcion: EQUIPOS DE COMPUTO TODO EN UNO PROCESADOR CORE 3.0 SUPERIOR CORPORATIVO WINDOWS 8 PRO- OFFICE 2013 SMALL BUSINES, TECNOLOGIA HT DE INTEL GARANTIA EXTENDIDA A 3 AÑOS Estado: Bueno Placa anterior: 000030700 Material: PASTA Color: NEGRO Referenc"&amp; "ia: C9G88LT#ABM Observacion:  Placa anterior:, Placa nueva=H0003939, Descripcion:OPTICO, Serial:FCMHH0CQW6AFNO, Marca:HP, Modelo:672662-001, Material:PASTA, Color:NEGRO,Referencia:, Placa anterior:, Placa nueva=H0003938, Descripcion:., Serial:BDMHE0C5Y5X1"&amp; "HI, Marca:HP, Modelo:KU-156, Material:PASTA, Color:NEGRO,Referencia:724720-161 Placa padre: Tipo adquisicion: Entidad"</f>
        <v>Descripcion: EQUIPOS DE COMPUTO TODO EN UNO PROCESADOR CORE 3.0 SUPERIOR CORPORATIVO WINDOWS 8 PRO- OFFICE 2013 SMALL BUSINES, TECNOLOGIA HT DE INTEL GARANTIA EXTENDIDA A 3 AÑOS Estado: Bueno Placa anterior: 000030700 Material: PASTA Color: NEGRO Referencia: C9G88LT#ABM Observacion:  Placa anterior:, Placa nueva=H0003939, Descripcion:OPTICO, Serial:FCMHH0CQW6AFNO, Marca:HP, Modelo:672662-001, Material:PASTA, Color:NEGRO,Referencia:, Placa anterior:, Placa nueva=H0003938, Descripcion:., Serial:BDMHE0C5Y5X1HI, Marca:HP, Modelo:KU-156, Material:PASTA, Color:NEGRO,Referencia:724720-161 Placa padre: Tipo adquisicion: Entidad</v>
      </c>
      <c r="G10645" s="5" t="str">
        <f>"HP COMPAQ PRO 4300"</f>
        <v>HP COMPAQ PRO 4300</v>
      </c>
    </row>
    <row r="10646" spans="1:7" ht="58.5" customHeight="1" x14ac:dyDescent="0.25">
      <c r="A10646" s="5" t="str">
        <f>"H0005532"</f>
        <v>H0005532</v>
      </c>
      <c r="B10646" s="5" t="str">
        <f>"SILLA INTERLOCUTORA (FIJA) SIN BRAZOS"</f>
        <v>SILLA INTERLOCUTORA (FIJA) SIN BRAZOS</v>
      </c>
      <c r="C10646" s="6">
        <v>5825.94</v>
      </c>
      <c r="D10646" s="5"/>
      <c r="E10646" s="5" t="str">
        <f t="shared" si="544"/>
        <v>FARMACIA-RAFAEL CELIS</v>
      </c>
      <c r="F10646" s="5" t="str">
        <f>"Descripcion: SILLA INTERLOCUTORA TAPIZADA EN CUERINA    Estado: Regular Placa anterior: 000018490 Material: MADERA Y CUERINA Color: NEGRO Y MARRON Referencia:  Observacion:  Placa padre: Tipo adquisicion: Entidad"</f>
        <v>Descripcion: SILLA INTERLOCUTORA TAPIZADA EN CUERINA    Estado: Regular Placa anterior: 000018490 Material: MADERA Y CUERINA Color: NEGRO Y MARRON Referencia:  Observacion:  Placa padre: Tipo adquisicion: Entidad</v>
      </c>
      <c r="G10646" s="5"/>
    </row>
    <row r="10647" spans="1:7" ht="58.5" customHeight="1" x14ac:dyDescent="0.25">
      <c r="A10647" s="5" t="str">
        <f>"H0006721"</f>
        <v>H0006721</v>
      </c>
      <c r="B10647" s="5" t="str">
        <f>"ESCALERILLA DE 2 PASOS"</f>
        <v>ESCALERILLA DE 2 PASOS</v>
      </c>
      <c r="C10647" s="6">
        <v>120000</v>
      </c>
      <c r="D10647" s="5"/>
      <c r="E10647" s="5" t="str">
        <f t="shared" si="544"/>
        <v>FARMACIA-RAFAEL CELIS</v>
      </c>
      <c r="F10647" s="5" t="str">
        <f>"Descripcion:ESCALERILLA DE DOS PASOS Estado: Excelente Placa anterior: 000037813 Material: METAL Y PASOS EN MADERA Color: BLANCO Y NEGRO Referencia:  Observacion:  Placa padre:  Tipo adquisicion : Entidad"</f>
        <v>Descripcion:ESCALERILLA DE DOS PASOS Estado: Excelente Placa anterior: 000037813 Material: METAL Y PASOS EN MADERA Color: BLANCO Y NEGRO Referencia:  Observacion:  Placa padre:  Tipo adquisicion : Entidad</v>
      </c>
      <c r="G10647" s="5"/>
    </row>
    <row r="10648" spans="1:7" ht="58.5" customHeight="1" x14ac:dyDescent="0.25">
      <c r="A10648" s="5" t="str">
        <f>"H0007075"</f>
        <v>H0007075</v>
      </c>
      <c r="B10648" s="5" t="str">
        <f>"MULTIMUEBLE ENCHAPADO EN FORMICA"</f>
        <v>MULTIMUEBLE ENCHAPADO EN FORMICA</v>
      </c>
      <c r="C10648" s="6">
        <v>696000</v>
      </c>
      <c r="D10648" s="5"/>
      <c r="E10648" s="5" t="str">
        <f t="shared" si="544"/>
        <v>FARMACIA-RAFAEL CELIS</v>
      </c>
      <c r="F10648" s="5" t="str">
        <f>"Descripcion: BIBLIOTECA DOBLE L-UNO ENCHAPADA EN FORMICA73X80X50 Estado: Excelente Placa anterior: 000022792 Material: FORMICA Color: MARRON Referencia:  Observacion:  Placa padre: Tipo adquisicion: Entidad"</f>
        <v>Descripcion: BIBLIOTECA DOBLE L-UNO ENCHAPADA EN FORMICA73X80X50 Estado: Excelente Placa anterior: 000022792 Material: FORMICA Color: MARRON Referencia:  Observacion:  Placa padre: Tipo adquisicion: Entidad</v>
      </c>
      <c r="G10648" s="5"/>
    </row>
    <row r="10649" spans="1:7" ht="58.5" customHeight="1" x14ac:dyDescent="0.25">
      <c r="A10649" s="5" t="str">
        <f>"H0007082"</f>
        <v>H0007082</v>
      </c>
      <c r="B10649" s="5" t="str">
        <f>"SILLA INTERLOCUTORA (FIJA) SIN BRAZOS"</f>
        <v>SILLA INTERLOCUTORA (FIJA) SIN BRAZOS</v>
      </c>
      <c r="C10649" s="6">
        <v>81200</v>
      </c>
      <c r="D10649" s="5" t="s">
        <v>34</v>
      </c>
      <c r="E10649" s="5" t="str">
        <f t="shared" si="544"/>
        <v>FARMACIA-RAFAEL CELIS</v>
      </c>
      <c r="F10649" s="5" t="str">
        <f>"Descripcion: BASE EN MADERATAPIZADA EN CUERO NEGRO Estado: Excelente Placa anterior: 000030396 Material: MADERA Color: NEGRO Referencia:  Observacion:  Placa padre: Tipo adquisicion: Entidad"</f>
        <v>Descripcion: BASE EN MADERATAPIZADA EN CUERO NEGRO Estado: Excelente Placa anterior: 000030396 Material: MADERA Color: NEGRO Referencia:  Observacion:  Placa padre: Tipo adquisicion: Entidad</v>
      </c>
      <c r="G10649" s="5"/>
    </row>
    <row r="10650" spans="1:7" ht="58.5" customHeight="1" x14ac:dyDescent="0.25">
      <c r="A10650" s="5" t="str">
        <f>"H0007124"</f>
        <v>H0007124</v>
      </c>
      <c r="B10650" s="5" t="str">
        <f>"MESA METALICA AUXILIAR"</f>
        <v>MESA METALICA AUXILIAR</v>
      </c>
      <c r="C10650" s="6">
        <v>7684.13</v>
      </c>
      <c r="D10650" s="5"/>
      <c r="E10650" s="5" t="str">
        <f t="shared" si="544"/>
        <v>FARMACIA-RAFAEL CELIS</v>
      </c>
      <c r="F10650" s="5" t="str">
        <f>"Descripcion: MESA MECANOGRAFA SUPERFICIE EN FORMICABASE METALICA Estado: Bueno Placa anterior: 000000184 Material: METALICO Color: GRIS Referencia:  Observacion:  Placa padre: Tipo adquisicion: Entidad"</f>
        <v>Descripcion: MESA MECANOGRAFA SUPERFICIE EN FORMICABASE METALICA Estado: Bueno Placa anterior: 000000184 Material: METALICO Color: GRIS Referencia:  Observacion:  Placa padre: Tipo adquisicion: Entidad</v>
      </c>
      <c r="G10650" s="5"/>
    </row>
    <row r="10651" spans="1:7" ht="58.5" customHeight="1" x14ac:dyDescent="0.25">
      <c r="A10651" s="5" t="str">
        <f>"H0008740"</f>
        <v>H0008740</v>
      </c>
      <c r="B10651" s="5" t="str">
        <f>"ESCALERILLA DE 2 PASOS"</f>
        <v>ESCALERILLA DE 2 PASOS</v>
      </c>
      <c r="C10651" s="6">
        <v>4455</v>
      </c>
      <c r="D10651" s="5"/>
      <c r="E10651" s="5" t="str">
        <f t="shared" si="544"/>
        <v>FARMACIA-RAFAEL CELIS</v>
      </c>
      <c r="F10651" s="5" t="str">
        <f>"Descripcion: ESCALERA DE DOS PASOS Estado: Bueno Placa anterior: 000004326 Material: METALICO CON PASOS PLASTICOS Color: BLANCO Referencia:  Observacion:  Placa padre: Tipo adquisicion: Entidad"</f>
        <v>Descripcion: ESCALERA DE DOS PASOS Estado: Bueno Placa anterior: 000004326 Material: METALICO CON PASOS PLASTICOS Color: BLANCO Referencia:  Observacion:  Placa padre: Tipo adquisicion: Entidad</v>
      </c>
      <c r="G10651" s="5"/>
    </row>
    <row r="10652" spans="1:7" ht="58.5" customHeight="1" x14ac:dyDescent="0.25">
      <c r="A10652" s="5" t="str">
        <f>"H0009591"</f>
        <v>H0009591</v>
      </c>
      <c r="B10652" s="5" t="str">
        <f>"CAMARA DE VIDEOVIGILANCIA"</f>
        <v>CAMARA DE VIDEOVIGILANCIA</v>
      </c>
      <c r="C10652" s="6">
        <v>266220</v>
      </c>
      <c r="D10652" s="5" t="s">
        <v>627</v>
      </c>
      <c r="E10652" s="5" t="str">
        <f t="shared" si="544"/>
        <v>FARMACIA-RAFAEL CELIS</v>
      </c>
      <c r="F10652" s="5" t="str">
        <f>"Descripcion: CAMARA DE ALTA DEFENICION Estado: Bueno Placa anterior: 000030335 Material: PASTA Color: BLANCO Referencia:  Observacion:  Placa padre: Tipo adquisicion: Entidad"</f>
        <v>Descripcion: CAMARA DE ALTA DEFENICION Estado: Bueno Placa anterior: 000030335 Material: PASTA Color: BLANCO Referencia:  Observacion:  Placa padre: Tipo adquisicion: Entidad</v>
      </c>
      <c r="G10652" s="5" t="str">
        <f>"TS-2CE1582N-WFIR3"</f>
        <v>TS-2CE1582N-WFIR3</v>
      </c>
    </row>
    <row r="10653" spans="1:7" ht="58.5" customHeight="1" x14ac:dyDescent="0.25">
      <c r="A10653" s="5" t="str">
        <f>"H0009599"</f>
        <v>H0009599</v>
      </c>
      <c r="B10653" s="5" t="str">
        <f>"ESTANTE METALICO 6 ENTREPAÑOS"</f>
        <v>ESTANTE METALICO 6 ENTREPAÑOS</v>
      </c>
      <c r="C10653" s="6">
        <v>6916.85</v>
      </c>
      <c r="D10653" s="5"/>
      <c r="E10653" s="5" t="str">
        <f t="shared" ref="E10653:E10684" si="545">"FARMACIA-RAFAEL CELIS"</f>
        <v>FARMACIA-RAFAEL CELIS</v>
      </c>
      <c r="F10653" s="5" t="str">
        <f>"Descripcion: ESTANTE METALICO Estado: Bueno Placa anterior: 000019904 Material: METAL Color: BLANCO Referencia:  Observacion: DE 6 ENTREPAÑOS Placa padre: Tipo adquisicion: Entidad"</f>
        <v>Descripcion: ESTANTE METALICO Estado: Bueno Placa anterior: 000019904 Material: METAL Color: BLANCO Referencia:  Observacion: DE 6 ENTREPAÑOS Placa padre: Tipo adquisicion: Entidad</v>
      </c>
      <c r="G10653" s="5"/>
    </row>
    <row r="10654" spans="1:7" ht="58.5" customHeight="1" x14ac:dyDescent="0.25">
      <c r="A10654" s="5" t="str">
        <f>"H0009600"</f>
        <v>H0009600</v>
      </c>
      <c r="B10654" s="5" t="str">
        <f>"ESTANTE METALICO 6 ENTREPAÑOS"</f>
        <v>ESTANTE METALICO 6 ENTREPAÑOS</v>
      </c>
      <c r="C10654" s="6">
        <v>5527.03</v>
      </c>
      <c r="D10654" s="5"/>
      <c r="E10654" s="5" t="str">
        <f t="shared" si="545"/>
        <v>FARMACIA-RAFAEL CELIS</v>
      </c>
      <c r="F10654" s="5" t="str">
        <f>"Descripcion: ESTANTE METALICO Estado: Bueno Placa anterior: 000000378 Material: METAL Color: BLANCO Referencia:  Observacion:  Placa padre: Tipo adquisicion: Entidad"</f>
        <v>Descripcion: ESTANTE METALICO Estado: Bueno Placa anterior: 000000378 Material: METAL Color: BLANCO Referencia:  Observacion:  Placa padre: Tipo adquisicion: Entidad</v>
      </c>
      <c r="G10654" s="5"/>
    </row>
    <row r="10655" spans="1:7" ht="58.5" customHeight="1" x14ac:dyDescent="0.25">
      <c r="A10655" s="5" t="str">
        <f>"H0009601"</f>
        <v>H0009601</v>
      </c>
      <c r="B10655" s="5" t="str">
        <f>"ESTANTE METALICO 6 ENTREPAÑOS"</f>
        <v>ESTANTE METALICO 6 ENTREPAÑOS</v>
      </c>
      <c r="C10655" s="6">
        <v>5527.03</v>
      </c>
      <c r="D10655" s="5"/>
      <c r="E10655" s="5" t="str">
        <f t="shared" si="545"/>
        <v>FARMACIA-RAFAEL CELIS</v>
      </c>
      <c r="F10655" s="5" t="str">
        <f>"Descripcion: ESTANTE METALICO Estado: Bueno Placa anterior: 000000365 Material: METAL Color: BLANCO Referencia:  Observacion: DE 6 ENTREPAÑOS Placa padre: Tipo adquisicion: Entidad"</f>
        <v>Descripcion: ESTANTE METALICO Estado: Bueno Placa anterior: 000000365 Material: METAL Color: BLANCO Referencia:  Observacion: DE 6 ENTREPAÑOS Placa padre: Tipo adquisicion: Entidad</v>
      </c>
      <c r="G10655" s="5"/>
    </row>
    <row r="10656" spans="1:7" ht="58.5" customHeight="1" x14ac:dyDescent="0.25">
      <c r="A10656" s="5" t="str">
        <f>"H0009602"</f>
        <v>H0009602</v>
      </c>
      <c r="B10656" s="5" t="str">
        <f>"ESTANTE METALICO 6 ENTREPAÑOS"</f>
        <v>ESTANTE METALICO 6 ENTREPAÑOS</v>
      </c>
      <c r="C10656" s="6">
        <v>5527.03</v>
      </c>
      <c r="D10656" s="5"/>
      <c r="E10656" s="5" t="str">
        <f t="shared" si="545"/>
        <v>FARMACIA-RAFAEL CELIS</v>
      </c>
      <c r="F10656" s="5" t="str">
        <f>"Descripcion: ESTANTE METALICO Estado: Bueno Placa anterior: 000000380 Material: METAL Color: BLANCO Referencia:  Observacion: DE 6 ENTREPAÑOS Placa padre: Tipo adquisicion: Entidad"</f>
        <v>Descripcion: ESTANTE METALICO Estado: Bueno Placa anterior: 000000380 Material: METAL Color: BLANCO Referencia:  Observacion: DE 6 ENTREPAÑOS Placa padre: Tipo adquisicion: Entidad</v>
      </c>
      <c r="G10656" s="5"/>
    </row>
    <row r="10657" spans="1:7" ht="58.5" customHeight="1" x14ac:dyDescent="0.25">
      <c r="A10657" s="5" t="str">
        <f>"H0009603"</f>
        <v>H0009603</v>
      </c>
      <c r="B10657" s="5" t="str">
        <f>"MUEBLE (ARCHIVADOR) AEREO (GABINETE DE PARED)"</f>
        <v>MUEBLE (ARCHIVADOR) AEREO (GABINETE DE PARED)</v>
      </c>
      <c r="C10657" s="6">
        <v>440000</v>
      </c>
      <c r="D10657" s="5" t="s">
        <v>628</v>
      </c>
      <c r="E10657" s="5" t="str">
        <f t="shared" si="545"/>
        <v>FARMACIA-RAFAEL CELIS</v>
      </c>
      <c r="F10657" s="5" t="str">
        <f>"Descripcion: GABINETE AEREO DE 1.00 MTX 0.40 FABRICADO EN MADERA AGLOMERADA PINTADA EN BLANCO CON FRENTE FORRADO EN FORMICA BLANCO Y BORDE NEGRO CON CERRADURA Estado: Bueno Placa anterior: 000030269 Material: MADERA Color: BLANCO Referencia:  Observacion:"&amp; " 100 CM ANCHO X 42 CM ALTO X 40 CM FONDO Placa padre: Tipo adquisicion: Donacion"</f>
        <v>Descripcion: GABINETE AEREO DE 1.00 MTX 0.40 FABRICADO EN MADERA AGLOMERADA PINTADA EN BLANCO CON FRENTE FORRADO EN FORMICA BLANCO Y BORDE NEGRO CON CERRADURA Estado: Bueno Placa anterior: 000030269 Material: MADERA Color: BLANCO Referencia:  Observacion: 100 CM ANCHO X 42 CM ALTO X 40 CM FONDO Placa padre: Tipo adquisicion: Donacion</v>
      </c>
      <c r="G10657" s="5"/>
    </row>
    <row r="10658" spans="1:7" ht="58.5" customHeight="1" x14ac:dyDescent="0.25">
      <c r="A10658" s="5" t="str">
        <f>"H0009604"</f>
        <v>H0009604</v>
      </c>
      <c r="B10658" s="5" t="str">
        <f>"MUEBLE (ARCHIVADOR) AEREO (GABINETE DE PARED)"</f>
        <v>MUEBLE (ARCHIVADOR) AEREO (GABINETE DE PARED)</v>
      </c>
      <c r="C10658" s="6">
        <v>440000</v>
      </c>
      <c r="D10658" s="5" t="s">
        <v>628</v>
      </c>
      <c r="E10658" s="5" t="str">
        <f t="shared" si="545"/>
        <v>FARMACIA-RAFAEL CELIS</v>
      </c>
      <c r="F10658" s="5" t="str">
        <f>"Descripcion: GABINETE AEREO DE 1.00 MTX 0.40 FABRICADO EN MADERA AGLOMERADA PINTADA EN BLANCO CON FRENTE FORRADO EN FORMICA BLANCO Y BORDE NEGRO CON CERRADURA Estado: Bueno Placa anterior: 000030270 Material: MADERA Color: BLANCO Referencia:  Observacion:"&amp; " 100 CM ANCHO X 42 CM ALTO X 40 CM FONDO Placa padre: Tipo adquisicion: Donacion"</f>
        <v>Descripcion: GABINETE AEREO DE 1.00 MTX 0.40 FABRICADO EN MADERA AGLOMERADA PINTADA EN BLANCO CON FRENTE FORRADO EN FORMICA BLANCO Y BORDE NEGRO CON CERRADURA Estado: Bueno Placa anterior: 000030270 Material: MADERA Color: BLANCO Referencia:  Observacion: 100 CM ANCHO X 42 CM ALTO X 40 CM FONDO Placa padre: Tipo adquisicion: Donacion</v>
      </c>
      <c r="G10658" s="5"/>
    </row>
    <row r="10659" spans="1:7" ht="58.5" customHeight="1" x14ac:dyDescent="0.25">
      <c r="A10659" s="5" t="str">
        <f>"H0009606"</f>
        <v>H0009606</v>
      </c>
      <c r="B10659" s="5" t="str">
        <f>"CAMARA DE VIDEOVIGILANCIA"</f>
        <v>CAMARA DE VIDEOVIGILANCIA</v>
      </c>
      <c r="C10659" s="6">
        <v>266220</v>
      </c>
      <c r="D10659" s="5" t="s">
        <v>627</v>
      </c>
      <c r="E10659" s="5" t="str">
        <f t="shared" si="545"/>
        <v>FARMACIA-RAFAEL CELIS</v>
      </c>
      <c r="F10659" s="5" t="str">
        <f>"Descripcion: CAMARA DE ALTA DEFENICION Estado: Bueno Placa anterior: 000030340 Material: PASTA Color: BLANCO Referencia:  Observacion:  Placa padre: Tipo adquisicion: Entidad"</f>
        <v>Descripcion: CAMARA DE ALTA DEFENICION Estado: Bueno Placa anterior: 000030340 Material: PASTA Color: BLANCO Referencia:  Observacion:  Placa padre: Tipo adquisicion: Entidad</v>
      </c>
      <c r="G10659" s="5" t="str">
        <f>"DS-2CE1582N-VFIR3"</f>
        <v>DS-2CE1582N-VFIR3</v>
      </c>
    </row>
    <row r="10660" spans="1:7" ht="58.5" customHeight="1" x14ac:dyDescent="0.25">
      <c r="A10660" s="5" t="str">
        <f>"H0009611"</f>
        <v>H0009611</v>
      </c>
      <c r="B10660" s="5" t="str">
        <f>"MUEBLE (COLUMNA) PARA MEDICAMENTOS"</f>
        <v>MUEBLE (COLUMNA) PARA MEDICAMENTOS</v>
      </c>
      <c r="C10660" s="6">
        <v>4002000</v>
      </c>
      <c r="D10660" s="5" t="s">
        <v>382</v>
      </c>
      <c r="E10660" s="5" t="str">
        <f t="shared" si="545"/>
        <v>FARMACIA-RAFAEL CELIS</v>
      </c>
      <c r="F10660" s="5" t="str">
        <f>"Descripcion: COLUMNA PARA MEDICAMENTOS Estado: Bueno Placa anterior: 000039057 Material: METAL Color: BLANCO Referencia:  Observacion: ALMACENAMIENTO DE MEDICAMENTOS Placa padre: Tipo adquisicion: Entidad"</f>
        <v>Descripcion: COLUMNA PARA MEDICAMENTOS Estado: Bueno Placa anterior: 000039057 Material: METAL Color: BLANCO Referencia:  Observacion: ALMACENAMIENTO DE MEDICAMENTOS Placa padre: Tipo adquisicion: Entidad</v>
      </c>
      <c r="G10660" s="5"/>
    </row>
    <row r="10661" spans="1:7" ht="58.5" customHeight="1" x14ac:dyDescent="0.25">
      <c r="A10661" s="5" t="str">
        <f>"H0009619"</f>
        <v>H0009619</v>
      </c>
      <c r="B10661" s="5" t="str">
        <f>"CAMARA DE VIDEOVIGILANCIA"</f>
        <v>CAMARA DE VIDEOVIGILANCIA</v>
      </c>
      <c r="C10661" s="6">
        <v>266220</v>
      </c>
      <c r="D10661" s="5" t="s">
        <v>627</v>
      </c>
      <c r="E10661" s="5" t="str">
        <f t="shared" si="545"/>
        <v>FARMACIA-RAFAEL CELIS</v>
      </c>
      <c r="F10661" s="5" t="str">
        <f>"Descripcion: CAMARA DE ALTA DEFENICION Estado: Bueno Placa anterior: 000030336 Material: PASTA Color: BLANCO Referencia:  Observacion:  Placa padre: Tipo adquisicion: Entidad"</f>
        <v>Descripcion: CAMARA DE ALTA DEFENICION Estado: Bueno Placa anterior: 000030336 Material: PASTA Color: BLANCO Referencia:  Observacion:  Placa padre: Tipo adquisicion: Entidad</v>
      </c>
      <c r="G10661" s="5"/>
    </row>
    <row r="10662" spans="1:7" ht="58.5" customHeight="1" x14ac:dyDescent="0.25">
      <c r="A10662" s="5" t="str">
        <f>"H0009800"</f>
        <v>H0009800</v>
      </c>
      <c r="B10662" s="5" t="str">
        <f>"NEVERA DE 66 LTS"</f>
        <v>NEVERA DE 66 LTS</v>
      </c>
      <c r="C10662" s="6">
        <v>485000</v>
      </c>
      <c r="D10662" s="5"/>
      <c r="E10662" s="5" t="str">
        <f t="shared" si="545"/>
        <v>FARMACIA-RAFAEL CELIS</v>
      </c>
      <c r="F10662" s="5" t="str">
        <f>"Descripcion: NEVERA CRO80 CEDRO VENTANA PLAC/ 050122-0086 Estado: Bueno Placa anterior: 000024906 Material: METALICO Color: MARRON Referencia:  Observacion:  Placa padre: Tipo adquisicion: Donacion"</f>
        <v>Descripcion: NEVERA CRO80 CEDRO VENTANA PLAC/ 050122-0086 Estado: Bueno Placa anterior: 000024906 Material: METALICO Color: MARRON Referencia:  Observacion:  Placa padre: Tipo adquisicion: Donacion</v>
      </c>
      <c r="G10662" s="5" t="str">
        <f>"CR080"</f>
        <v>CR080</v>
      </c>
    </row>
    <row r="10663" spans="1:7" ht="58.5" customHeight="1" x14ac:dyDescent="0.25">
      <c r="A10663" s="5" t="str">
        <f>"H0009807"</f>
        <v>H0009807</v>
      </c>
      <c r="B10663" s="5" t="str">
        <f>"BUTACO GIRATORIO CON RUEDAS"</f>
        <v>BUTACO GIRATORIO CON RUEDAS</v>
      </c>
      <c r="C10663" s="6">
        <v>220400</v>
      </c>
      <c r="D10663" s="5"/>
      <c r="E10663" s="5" t="str">
        <f t="shared" si="545"/>
        <v>FARMACIA-RAFAEL CELIS</v>
      </c>
      <c r="F10663" s="5" t="str">
        <f>"Descripcion: SILLA ERGONOMICA BP 03 COLM (CAJERO ALTO)BUTACO GIRATORIO EN PASTA COLOR NEGRO Estado: Bueno Placa anterior: 000025324 Material: PASTA Color: NEGRO Referencia:  Observacion: ANTES   SILLA ERGONOMICA Placa padre: Tipo adquisicion: Entidad"</f>
        <v>Descripcion: SILLA ERGONOMICA BP 03 COLM (CAJERO ALTO)BUTACO GIRATORIO EN PASTA COLOR NEGRO Estado: Bueno Placa anterior: 000025324 Material: PASTA Color: NEGRO Referencia:  Observacion: ANTES   SILLA ERGONOMICA Placa padre: Tipo adquisicion: Entidad</v>
      </c>
      <c r="G10663" s="5"/>
    </row>
    <row r="10664" spans="1:7" ht="58.5" customHeight="1" x14ac:dyDescent="0.25">
      <c r="A10664" s="5" t="str">
        <f>"H0009828"</f>
        <v>H0009828</v>
      </c>
      <c r="B10664" s="5" t="str">
        <f>"MUEBLE (COLUMNA) PARA MEDICAMENTOS"</f>
        <v>MUEBLE (COLUMNA) PARA MEDICAMENTOS</v>
      </c>
      <c r="C10664" s="6">
        <v>4002000</v>
      </c>
      <c r="D10664" s="5" t="s">
        <v>382</v>
      </c>
      <c r="E10664" s="5" t="str">
        <f t="shared" si="545"/>
        <v>FARMACIA-RAFAEL CELIS</v>
      </c>
      <c r="F10664" s="5" t="str">
        <f>"Descripcion: COLUMNA PARA MEDICAMENTOS14 COMPARTIMIENTOS195X63X78 Estado: Bueno Placa anterior: 000039056 Material: METALICO Color: BLANCO Referencia:  Observacion:  Placa padre: Tipo adquisicion: Entidad"</f>
        <v>Descripcion: COLUMNA PARA MEDICAMENTOS14 COMPARTIMIENTOS195X63X78 Estado: Bueno Placa anterior: 000039056 Material: METALICO Color: BLANCO Referencia:  Observacion:  Placa padre: Tipo adquisicion: Entidad</v>
      </c>
      <c r="G10664" s="5"/>
    </row>
    <row r="10665" spans="1:7" ht="58.5" customHeight="1" x14ac:dyDescent="0.25">
      <c r="A10665" s="5" t="str">
        <f>"H0011991"</f>
        <v>H0011991</v>
      </c>
      <c r="B10665" s="5" t="str">
        <f>"AIRE ACONDICIONADO TIPO SPLIT 12000 BTU"</f>
        <v>AIRE ACONDICIONADO TIPO SPLIT 12000 BTU</v>
      </c>
      <c r="C10665" s="6">
        <v>1836280</v>
      </c>
      <c r="D10665" s="5" t="s">
        <v>52</v>
      </c>
      <c r="E10665" s="5" t="str">
        <f t="shared" si="545"/>
        <v>FARMACIA-RAFAEL CELIS</v>
      </c>
      <c r="F10665" s="5" t="str">
        <f>"Descripcion: AIRE ACODICIONADO BTU 12000 Estado: Bueno Placa anterior: 000036393 Material: PLASTICO Color: BLANCO Referencia:  Observacion:  Placa padre: Tipo adquisicion: Entidad"</f>
        <v>Descripcion: AIRE ACODICIONADO BTU 12000 Estado: Bueno Placa anterior: 000036393 Material: PLASTICO Color: BLANCO Referencia:  Observacion:  Placa padre: Tipo adquisicion: Entidad</v>
      </c>
      <c r="G10665" s="5" t="str">
        <f>"VM12CEN B3"</f>
        <v>VM12CEN B3</v>
      </c>
    </row>
    <row r="10666" spans="1:7" ht="58.5" customHeight="1" x14ac:dyDescent="0.25">
      <c r="A10666" s="5" t="str">
        <f>"H0011993"</f>
        <v>H0011993</v>
      </c>
      <c r="B10666" s="5" t="str">
        <f>"NEVERA DE 66 LTS"</f>
        <v>NEVERA DE 66 LTS</v>
      </c>
      <c r="C10666" s="6">
        <v>15288800</v>
      </c>
      <c r="D10666" s="5" t="s">
        <v>550</v>
      </c>
      <c r="E10666" s="5" t="str">
        <f t="shared" si="545"/>
        <v>FARMACIA-RAFAEL CELIS</v>
      </c>
      <c r="F10666" s="5" t="str">
        <f>"Descripcion: REFRIGERADOR DE FARMACIA ALTO RENDIMIENTO MARCA HAIER Estado: Bueno Placa anterior: 000037608 Material: METALICO VIDRIO Color: GRIS CON AZUL Referencia:  Observacion:  Placa padre: Tipo adquisicion: Entidad"</f>
        <v>Descripcion: REFRIGERADOR DE FARMACIA ALTO RENDIMIENTO MARCA HAIER Estado: Bueno Placa anterior: 000037608 Material: METALICO VIDRIO Color: GRIS CON AZUL Referencia:  Observacion:  Placa padre: Tipo adquisicion: Entidad</v>
      </c>
      <c r="G10666" s="5" t="str">
        <f>"HYG -610"</f>
        <v>HYG -610</v>
      </c>
    </row>
    <row r="10667" spans="1:7" ht="58.5" customHeight="1" x14ac:dyDescent="0.25">
      <c r="A10667" s="5" t="str">
        <f>"H0011999"</f>
        <v>H0011999</v>
      </c>
      <c r="B10667" s="5" t="str">
        <f>"AIRE ACONDICIONADO TIPO SPLIT 60000 BTU (5 TON)"</f>
        <v>AIRE ACONDICIONADO TIPO SPLIT 60000 BTU (5 TON)</v>
      </c>
      <c r="C10667" s="6">
        <v>5939999.6500000004</v>
      </c>
      <c r="D10667" s="5" t="s">
        <v>288</v>
      </c>
      <c r="E10667" s="5" t="str">
        <f t="shared" si="545"/>
        <v>FARMACIA-RAFAEL CELIS</v>
      </c>
      <c r="F10667" s="5" t="str">
        <f>"Descripcion: AIRE ACONDICIONADO 60000 BTU (farmacia 1 piso) Estado: Bueno Placa anterior: 000038272 Material: PLASTICO Color: BLANCO Referencia:  Observacion:  Placa padre: Tipo adquisicion: Entidad"</f>
        <v>Descripcion: AIRE ACONDICIONADO 60000 BTU (farmacia 1 piso) Estado: Bueno Placa anterior: 000038272 Material: PLASTICO Color: BLANCO Referencia:  Observacion:  Placa padre: Tipo adquisicion: Entidad</v>
      </c>
      <c r="G10667" s="5" t="str">
        <f>"UV60C2DB1"</f>
        <v>UV60C2DB1</v>
      </c>
    </row>
    <row r="10668" spans="1:7" ht="58.5" customHeight="1" x14ac:dyDescent="0.25">
      <c r="A10668" s="5" t="str">
        <f>"H0015947"</f>
        <v>H0015947</v>
      </c>
      <c r="B10668" s="5" t="str">
        <f>"ESCALERILLA DE 2 PASOS"</f>
        <v>ESCALERILLA DE 2 PASOS</v>
      </c>
      <c r="C10668" s="6">
        <v>4455</v>
      </c>
      <c r="D10668" s="5"/>
      <c r="E10668" s="5" t="str">
        <f t="shared" si="545"/>
        <v>FARMACIA-RAFAEL CELIS</v>
      </c>
      <c r="F10668" s="5" t="str">
        <f>"Descripcion: ESCALERILLA DE 2 PASOS Estado: Bueno Placa anterior: 000000298 Material: METALICO CON PASOS EN PLASTICOS Color: BLANCO Referencia:  Observacion:  Placa padre: Tipo adquisicion: Entidad"</f>
        <v>Descripcion: ESCALERILLA DE 2 PASOS Estado: Bueno Placa anterior: 000000298 Material: METALICO CON PASOS EN PLASTICOS Color: BLANCO Referencia:  Observacion:  Placa padre: Tipo adquisicion: Entidad</v>
      </c>
      <c r="G10668" s="5"/>
    </row>
    <row r="10669" spans="1:7" ht="58.5" customHeight="1" x14ac:dyDescent="0.25">
      <c r="A10669" s="5" t="str">
        <f>"H0015969"</f>
        <v>H0015969</v>
      </c>
      <c r="B10669" s="5" t="str">
        <f>"ESTANTE METALICO 6 ENTREPAÑOS"</f>
        <v>ESTANTE METALICO 6 ENTREPAÑOS</v>
      </c>
      <c r="C10669" s="6">
        <v>5527.03</v>
      </c>
      <c r="D10669" s="5"/>
      <c r="E10669" s="5" t="str">
        <f t="shared" si="545"/>
        <v>FARMACIA-RAFAEL CELIS</v>
      </c>
      <c r="F10669" s="5" t="str">
        <f>"Descripcion: ESTANTE METALICO 6 ENTREPAÑOS Estado: Bueno Placa anterior: 000000368 Material: METALICO Color: GRIS Referencia:  Observacion:  Placa padre: Tipo adquisicion: Entidad"</f>
        <v>Descripcion: ESTANTE METALICO 6 ENTREPAÑOS Estado: Bueno Placa anterior: 000000368 Material: METALICO Color: GRIS Referencia:  Observacion:  Placa padre: Tipo adquisicion: Entidad</v>
      </c>
      <c r="G10669" s="5"/>
    </row>
    <row r="10670" spans="1:7" ht="58.5" customHeight="1" x14ac:dyDescent="0.25">
      <c r="A10670" s="5" t="str">
        <f>"H0015972"</f>
        <v>H0015972</v>
      </c>
      <c r="B10670" s="5" t="str">
        <f>"ESTANTE METALICO 6 ENTREPAÑOS"</f>
        <v>ESTANTE METALICO 6 ENTREPAÑOS</v>
      </c>
      <c r="C10670" s="6">
        <v>8840.07</v>
      </c>
      <c r="D10670" s="5"/>
      <c r="E10670" s="5" t="str">
        <f t="shared" si="545"/>
        <v>FARMACIA-RAFAEL CELIS</v>
      </c>
      <c r="F10670" s="5" t="str">
        <f>"Descripcion: ESTANTE METALICO 6 ENTREPAÑOS Estado: Bueno Placa anterior: 000009082 Material: METALICO Color: GRIS Referencia:  Observacion:  Placa padre: Tipo adquisicion: Entidad"</f>
        <v>Descripcion: ESTANTE METALICO 6 ENTREPAÑOS Estado: Bueno Placa anterior: 000009082 Material: METALICO Color: GRIS Referencia:  Observacion:  Placa padre: Tipo adquisicion: Entidad</v>
      </c>
      <c r="G10670" s="5"/>
    </row>
    <row r="10671" spans="1:7" ht="58.5" customHeight="1" x14ac:dyDescent="0.25">
      <c r="A10671" s="5" t="str">
        <f>"H0015976"</f>
        <v>H0015976</v>
      </c>
      <c r="B10671" s="5" t="str">
        <f>"ESTANTE METALICO 6 ENTREPAÑOS"</f>
        <v>ESTANTE METALICO 6 ENTREPAÑOS</v>
      </c>
      <c r="C10671" s="6">
        <v>8840.07</v>
      </c>
      <c r="D10671" s="5"/>
      <c r="E10671" s="5" t="str">
        <f t="shared" si="545"/>
        <v>FARMACIA-RAFAEL CELIS</v>
      </c>
      <c r="F10671" s="5" t="str">
        <f>"Descripcion: ESTANTE METALICO 6 ENTREPAÑOS Estado: Bueno Placa anterior: 000002307 Material: METALICO Color: VERDE Referencia:  Observacion:  Placa padre: Tipo adquisicion: Entidad"</f>
        <v>Descripcion: ESTANTE METALICO 6 ENTREPAÑOS Estado: Bueno Placa anterior: 000002307 Material: METALICO Color: VERDE Referencia:  Observacion:  Placa padre: Tipo adquisicion: Entidad</v>
      </c>
      <c r="G10671" s="5"/>
    </row>
    <row r="10672" spans="1:7" ht="58.5" customHeight="1" x14ac:dyDescent="0.25">
      <c r="A10672" s="5" t="str">
        <f>"H0016127"</f>
        <v>H0016127</v>
      </c>
      <c r="B10672" s="5" t="str">
        <f>"LOCKER DE 2 COMPARTIMIENTOS"</f>
        <v>LOCKER DE 2 COMPARTIMIENTOS</v>
      </c>
      <c r="C10672" s="6">
        <v>10384</v>
      </c>
      <c r="D10672" s="5"/>
      <c r="E10672" s="5" t="str">
        <f t="shared" si="545"/>
        <v>FARMACIA-RAFAEL CELIS</v>
      </c>
      <c r="F10672" s="5" t="str">
        <f>"Descripcion: . Estado: Regular Placa anterior: 000000306 Material: METALICO Color: GRIS Referencia:  Observacion: EL BIEN TIENE PLACA ANTERIOR 000000606 FUNCIONARIO AUTORIZA SE CONCILIE CON PLACA 000000306 Placa padre: Tipo adquisicion: Entidad"</f>
        <v>Descripcion: . Estado: Regular Placa anterior: 000000306 Material: METALICO Color: GRIS Referencia:  Observacion: EL BIEN TIENE PLACA ANTERIOR 000000606 FUNCIONARIO AUTORIZA SE CONCILIE CON PLACA 000000306 Placa padre: Tipo adquisicion: Entidad</v>
      </c>
      <c r="G10672" s="5"/>
    </row>
    <row r="10673" spans="1:7" ht="58.5" customHeight="1" x14ac:dyDescent="0.25">
      <c r="A10673" s="5" t="str">
        <f>"H0016141"</f>
        <v>H0016141</v>
      </c>
      <c r="B10673" s="5" t="str">
        <f>"ESTANTE METALICO 5 ENTREPAÑOS"</f>
        <v>ESTANTE METALICO 5 ENTREPAÑOS</v>
      </c>
      <c r="C10673" s="6">
        <v>37673</v>
      </c>
      <c r="D10673" s="5"/>
      <c r="E10673" s="5" t="str">
        <f t="shared" si="545"/>
        <v>FARMACIA-RAFAEL CELIS</v>
      </c>
      <c r="F10673" s="5" t="str">
        <f>"Descripcion: ESTANTE METALICO 5 ENTREPAÑOS Estado: Bueno Placa anterior: 000000702 Material: METALICO Color: BLANCO Referencia:  Observacion: AUTORIZADO CONCILIAR EN CRUCE GENERAL Placa padre: Tipo adquisicion: Entidad"</f>
        <v>Descripcion: ESTANTE METALICO 5 ENTREPAÑOS Estado: Bueno Placa anterior: 000000702 Material: METALICO Color: BLANCO Referencia:  Observacion: AUTORIZADO CONCILIAR EN CRUCE GENERAL Placa padre: Tipo adquisicion: Entidad</v>
      </c>
      <c r="G10673" s="5"/>
    </row>
    <row r="10674" spans="1:7" ht="58.5" customHeight="1" x14ac:dyDescent="0.25">
      <c r="A10674" s="5" t="str">
        <f>"H0016142"</f>
        <v>H0016142</v>
      </c>
      <c r="B10674" s="5" t="str">
        <f t="shared" ref="B10674:B10690" si="546">"ESTANTE METALICO 6 ENTREPAÑOS"</f>
        <v>ESTANTE METALICO 6 ENTREPAÑOS</v>
      </c>
      <c r="C10674" s="6">
        <v>5527.03</v>
      </c>
      <c r="D10674" s="5"/>
      <c r="E10674" s="5" t="str">
        <f t="shared" si="545"/>
        <v>FARMACIA-RAFAEL CELIS</v>
      </c>
      <c r="F10674" s="5" t="str">
        <f>"Descripcion: ESTANTE METALICO 6 ENTREPAÑOS Estado: Bueno Placa anterior: 000000392 Material: METALICO Color: GRIS Referencia:  Observacion:  Placa padre: Tipo adquisicion: Entidad"</f>
        <v>Descripcion: ESTANTE METALICO 6 ENTREPAÑOS Estado: Bueno Placa anterior: 000000392 Material: METALICO Color: GRIS Referencia:  Observacion:  Placa padre: Tipo adquisicion: Entidad</v>
      </c>
      <c r="G10674" s="5"/>
    </row>
    <row r="10675" spans="1:7" ht="58.5" customHeight="1" x14ac:dyDescent="0.25">
      <c r="A10675" s="5" t="str">
        <f>"H0016143"</f>
        <v>H0016143</v>
      </c>
      <c r="B10675" s="5" t="str">
        <f t="shared" si="546"/>
        <v>ESTANTE METALICO 6 ENTREPAÑOS</v>
      </c>
      <c r="C10675" s="6">
        <v>5527.03</v>
      </c>
      <c r="D10675" s="5"/>
      <c r="E10675" s="5" t="str">
        <f t="shared" si="545"/>
        <v>FARMACIA-RAFAEL CELIS</v>
      </c>
      <c r="F10675" s="5" t="str">
        <f>"Descripcion: ESTANTE METALICO 6 ENTREPAÑOS Estado: Bueno Placa anterior: 000000389 Material: METALICO Color: GRIS Referencia:  Observacion:  Placa padre: Tipo adquisicion: Entidad"</f>
        <v>Descripcion: ESTANTE METALICO 6 ENTREPAÑOS Estado: Bueno Placa anterior: 000000389 Material: METALICO Color: GRIS Referencia:  Observacion:  Placa padre: Tipo adquisicion: Entidad</v>
      </c>
      <c r="G10675" s="5"/>
    </row>
    <row r="10676" spans="1:7" ht="58.5" customHeight="1" x14ac:dyDescent="0.25">
      <c r="A10676" s="5" t="str">
        <f>"H0016144"</f>
        <v>H0016144</v>
      </c>
      <c r="B10676" s="5" t="str">
        <f t="shared" si="546"/>
        <v>ESTANTE METALICO 6 ENTREPAÑOS</v>
      </c>
      <c r="C10676" s="6">
        <v>5527.03</v>
      </c>
      <c r="D10676" s="5"/>
      <c r="E10676" s="5" t="str">
        <f t="shared" si="545"/>
        <v>FARMACIA-RAFAEL CELIS</v>
      </c>
      <c r="F10676" s="5" t="str">
        <f>"Descripcion: ESTANTE METALICO 6 ENTREPAÑOS Estado: Bueno Placa anterior: 000000398 Material: METALICO Color: GRIS Referencia:  Observacion:  Placa padre: Tipo adquisicion: Entidad"</f>
        <v>Descripcion: ESTANTE METALICO 6 ENTREPAÑOS Estado: Bueno Placa anterior: 000000398 Material: METALICO Color: GRIS Referencia:  Observacion:  Placa padre: Tipo adquisicion: Entidad</v>
      </c>
      <c r="G10676" s="5"/>
    </row>
    <row r="10677" spans="1:7" ht="58.5" customHeight="1" x14ac:dyDescent="0.25">
      <c r="A10677" s="5" t="str">
        <f>"H0016145"</f>
        <v>H0016145</v>
      </c>
      <c r="B10677" s="5" t="str">
        <f t="shared" si="546"/>
        <v>ESTANTE METALICO 6 ENTREPAÑOS</v>
      </c>
      <c r="C10677" s="6">
        <v>5527.03</v>
      </c>
      <c r="D10677" s="5"/>
      <c r="E10677" s="5" t="str">
        <f t="shared" si="545"/>
        <v>FARMACIA-RAFAEL CELIS</v>
      </c>
      <c r="F10677" s="5" t="str">
        <f>"Descripcion: ESTANTE METALICO 6 ENTREPAÑOS Estado: Bueno Placa anterior: 000000385 Material: METALICO Color: GRIS Referencia:  Observacion:  Placa padre: Tipo adquisicion: Entidad"</f>
        <v>Descripcion: ESTANTE METALICO 6 ENTREPAÑOS Estado: Bueno Placa anterior: 000000385 Material: METALICO Color: GRIS Referencia:  Observacion:  Placa padre: Tipo adquisicion: Entidad</v>
      </c>
      <c r="G10677" s="5"/>
    </row>
    <row r="10678" spans="1:7" ht="58.5" customHeight="1" x14ac:dyDescent="0.25">
      <c r="A10678" s="5" t="str">
        <f>"H0016147"</f>
        <v>H0016147</v>
      </c>
      <c r="B10678" s="5" t="str">
        <f t="shared" si="546"/>
        <v>ESTANTE METALICO 6 ENTREPAÑOS</v>
      </c>
      <c r="C10678" s="6">
        <v>5527.03</v>
      </c>
      <c r="D10678" s="5"/>
      <c r="E10678" s="5" t="str">
        <f t="shared" si="545"/>
        <v>FARMACIA-RAFAEL CELIS</v>
      </c>
      <c r="F10678" s="5" t="str">
        <f>"Descripcion: ESTANTE METALICO 6 ENTREPAÑOS Estado: Bueno Placa anterior: 000000386 Material: METALICO Color: GRIS Referencia:  Observacion:  Placa padre: Tipo adquisicion: Entidad"</f>
        <v>Descripcion: ESTANTE METALICO 6 ENTREPAÑOS Estado: Bueno Placa anterior: 000000386 Material: METALICO Color: GRIS Referencia:  Observacion:  Placa padre: Tipo adquisicion: Entidad</v>
      </c>
      <c r="G10678" s="5"/>
    </row>
    <row r="10679" spans="1:7" ht="58.5" customHeight="1" x14ac:dyDescent="0.25">
      <c r="A10679" s="5" t="str">
        <f>"H0016148"</f>
        <v>H0016148</v>
      </c>
      <c r="B10679" s="5" t="str">
        <f t="shared" si="546"/>
        <v>ESTANTE METALICO 6 ENTREPAÑOS</v>
      </c>
      <c r="C10679" s="6">
        <v>5527.03</v>
      </c>
      <c r="D10679" s="5"/>
      <c r="E10679" s="5" t="str">
        <f t="shared" si="545"/>
        <v>FARMACIA-RAFAEL CELIS</v>
      </c>
      <c r="F10679" s="5" t="str">
        <f>"Descripcion: ESTANTE METALICO 6 ENTREPAÑOS Estado: Bueno Placa anterior: 000000390 Material: METALICO Color: GRIS Referencia:  Observacion:  Placa padre: Tipo adquisicion: Entidad"</f>
        <v>Descripcion: ESTANTE METALICO 6 ENTREPAÑOS Estado: Bueno Placa anterior: 000000390 Material: METALICO Color: GRIS Referencia:  Observacion:  Placa padre: Tipo adquisicion: Entidad</v>
      </c>
      <c r="G10679" s="5"/>
    </row>
    <row r="10680" spans="1:7" ht="58.5" customHeight="1" x14ac:dyDescent="0.25">
      <c r="A10680" s="5" t="str">
        <f>"H0016149"</f>
        <v>H0016149</v>
      </c>
      <c r="B10680" s="5" t="str">
        <f t="shared" si="546"/>
        <v>ESTANTE METALICO 6 ENTREPAÑOS</v>
      </c>
      <c r="C10680" s="6">
        <v>5527.03</v>
      </c>
      <c r="D10680" s="5"/>
      <c r="E10680" s="5" t="str">
        <f t="shared" si="545"/>
        <v>FARMACIA-RAFAEL CELIS</v>
      </c>
      <c r="F10680" s="5" t="str">
        <f>"Descripcion: ESTANTE METALICO 6 ENTREPAÑOS Estado: Bueno Placa anterior: 000000391 Material: METALICO Color: GRIS Referencia:  Observacion:  Placa padre: Tipo adquisicion: Entidad"</f>
        <v>Descripcion: ESTANTE METALICO 6 ENTREPAÑOS Estado: Bueno Placa anterior: 000000391 Material: METALICO Color: GRIS Referencia:  Observacion:  Placa padre: Tipo adquisicion: Entidad</v>
      </c>
      <c r="G10680" s="5"/>
    </row>
    <row r="10681" spans="1:7" ht="58.5" customHeight="1" x14ac:dyDescent="0.25">
      <c r="A10681" s="5" t="str">
        <f>"H0016154"</f>
        <v>H0016154</v>
      </c>
      <c r="B10681" s="5" t="str">
        <f t="shared" si="546"/>
        <v>ESTANTE METALICO 6 ENTREPAÑOS</v>
      </c>
      <c r="C10681" s="6">
        <v>5527.03</v>
      </c>
      <c r="D10681" s="5"/>
      <c r="E10681" s="5" t="str">
        <f t="shared" si="545"/>
        <v>FARMACIA-RAFAEL CELIS</v>
      </c>
      <c r="F10681" s="5" t="str">
        <f>"Descripcion: ESTANTE METALICO 6 ENTREPAÑOS Estado: Bueno Placa anterior: 000000382 Material: METALICO Color: GRIS Referencia:  Observacion:  Placa padre: Tipo adquisicion: Entidad"</f>
        <v>Descripcion: ESTANTE METALICO 6 ENTREPAÑOS Estado: Bueno Placa anterior: 000000382 Material: METALICO Color: GRIS Referencia:  Observacion:  Placa padre: Tipo adquisicion: Entidad</v>
      </c>
      <c r="G10681" s="5"/>
    </row>
    <row r="10682" spans="1:7" ht="58.5" customHeight="1" x14ac:dyDescent="0.25">
      <c r="A10682" s="5" t="str">
        <f>"H0016155"</f>
        <v>H0016155</v>
      </c>
      <c r="B10682" s="5" t="str">
        <f t="shared" si="546"/>
        <v>ESTANTE METALICO 6 ENTREPAÑOS</v>
      </c>
      <c r="C10682" s="6">
        <v>5527.03</v>
      </c>
      <c r="D10682" s="5"/>
      <c r="E10682" s="5" t="str">
        <f t="shared" si="545"/>
        <v>FARMACIA-RAFAEL CELIS</v>
      </c>
      <c r="F10682" s="5" t="str">
        <f>"Descripcion: ESTANTE METALICO 6 ENTREPAÑOS Estado: Bueno Placa anterior: 000000381 Material: METALICO Color: GRIS Referencia:  Observacion:  Placa padre: Tipo adquisicion: Entidad"</f>
        <v>Descripcion: ESTANTE METALICO 6 ENTREPAÑOS Estado: Bueno Placa anterior: 000000381 Material: METALICO Color: GRIS Referencia:  Observacion:  Placa padre: Tipo adquisicion: Entidad</v>
      </c>
      <c r="G10682" s="5"/>
    </row>
    <row r="10683" spans="1:7" ht="58.5" customHeight="1" x14ac:dyDescent="0.25">
      <c r="A10683" s="5" t="str">
        <f>"H0016156"</f>
        <v>H0016156</v>
      </c>
      <c r="B10683" s="5" t="str">
        <f t="shared" si="546"/>
        <v>ESTANTE METALICO 6 ENTREPAÑOS</v>
      </c>
      <c r="C10683" s="6">
        <v>5527.03</v>
      </c>
      <c r="D10683" s="5"/>
      <c r="E10683" s="5" t="str">
        <f t="shared" si="545"/>
        <v>FARMACIA-RAFAEL CELIS</v>
      </c>
      <c r="F10683" s="5" t="str">
        <f>"Descripcion: ESTANTE METALICO 6 ENTREPAÑOS Estado: Bueno Placa anterior: 000000384 Material: METALICO Color: GRIS Referencia:  Observacion:  Placa padre: Tipo adquisicion: Entidad"</f>
        <v>Descripcion: ESTANTE METALICO 6 ENTREPAÑOS Estado: Bueno Placa anterior: 000000384 Material: METALICO Color: GRIS Referencia:  Observacion:  Placa padre: Tipo adquisicion: Entidad</v>
      </c>
      <c r="G10683" s="5"/>
    </row>
    <row r="10684" spans="1:7" ht="58.5" customHeight="1" x14ac:dyDescent="0.25">
      <c r="A10684" s="5" t="str">
        <f>"H0016961"</f>
        <v>H0016961</v>
      </c>
      <c r="B10684" s="5" t="str">
        <f t="shared" si="546"/>
        <v>ESTANTE METALICO 6 ENTREPAÑOS</v>
      </c>
      <c r="C10684" s="6">
        <v>5527.03</v>
      </c>
      <c r="D10684" s="5"/>
      <c r="E10684" s="5" t="str">
        <f t="shared" si="545"/>
        <v>FARMACIA-RAFAEL CELIS</v>
      </c>
      <c r="F10684" s="5" t="str">
        <f>"Descripcion: ESTANTE METALICO 6 ENTREPAÑOS Estado: Bueno Placa anterior: 000000366 Material: METALICO Color: GRIS Referencia:  Observacion:  Placa padre: Tipo adquisicion: Entidad"</f>
        <v>Descripcion: ESTANTE METALICO 6 ENTREPAÑOS Estado: Bueno Placa anterior: 000000366 Material: METALICO Color: GRIS Referencia:  Observacion:  Placa padre: Tipo adquisicion: Entidad</v>
      </c>
      <c r="G10684" s="5"/>
    </row>
    <row r="10685" spans="1:7" ht="58.5" customHeight="1" x14ac:dyDescent="0.25">
      <c r="A10685" s="5" t="str">
        <f>"H0016964"</f>
        <v>H0016964</v>
      </c>
      <c r="B10685" s="5" t="str">
        <f t="shared" si="546"/>
        <v>ESTANTE METALICO 6 ENTREPAÑOS</v>
      </c>
      <c r="C10685" s="6">
        <v>5527.03</v>
      </c>
      <c r="D10685" s="5"/>
      <c r="E10685" s="5" t="str">
        <f t="shared" ref="E10685:E10716" si="547">"FARMACIA-RAFAEL CELIS"</f>
        <v>FARMACIA-RAFAEL CELIS</v>
      </c>
      <c r="F10685" s="5" t="str">
        <f>"Descripcion: ESTANTE METALICO 6 ENTREPAÑOS  Estado: Bueno Placa anterior: 000000346 Material: METALICO Color: BLANCO Referencia:  Observacion:  Placa padre: Tipo adquisicion: Entidad"</f>
        <v>Descripcion: ESTANTE METALICO 6 ENTREPAÑOS  Estado: Bueno Placa anterior: 000000346 Material: METALICO Color: BLANCO Referencia:  Observacion:  Placa padre: Tipo adquisicion: Entidad</v>
      </c>
      <c r="G10685" s="5"/>
    </row>
    <row r="10686" spans="1:7" ht="58.5" customHeight="1" x14ac:dyDescent="0.25">
      <c r="A10686" s="5" t="str">
        <f>"H0016970"</f>
        <v>H0016970</v>
      </c>
      <c r="B10686" s="5" t="str">
        <f t="shared" si="546"/>
        <v>ESTANTE METALICO 6 ENTREPAÑOS</v>
      </c>
      <c r="C10686" s="6">
        <v>5527.03</v>
      </c>
      <c r="D10686" s="5"/>
      <c r="E10686" s="5" t="str">
        <f t="shared" si="547"/>
        <v>FARMACIA-RAFAEL CELIS</v>
      </c>
      <c r="F10686" s="5" t="str">
        <f>"Descripcion: ESTANTE METALICO 6 ENTREPAÑOS  Estado: Bueno Placa anterior: 000000402 Material: METALICO Color: BLANCO Referencia:  Observacion:  Placa padre: Tipo adquisicion: Entidad"</f>
        <v>Descripcion: ESTANTE METALICO 6 ENTREPAÑOS  Estado: Bueno Placa anterior: 000000402 Material: METALICO Color: BLANCO Referencia:  Observacion:  Placa padre: Tipo adquisicion: Entidad</v>
      </c>
      <c r="G10686" s="5"/>
    </row>
    <row r="10687" spans="1:7" ht="58.5" customHeight="1" x14ac:dyDescent="0.25">
      <c r="A10687" s="5" t="str">
        <f>"H0016971"</f>
        <v>H0016971</v>
      </c>
      <c r="B10687" s="5" t="str">
        <f t="shared" si="546"/>
        <v>ESTANTE METALICO 6 ENTREPAÑOS</v>
      </c>
      <c r="C10687" s="6">
        <v>5527.03</v>
      </c>
      <c r="D10687" s="5"/>
      <c r="E10687" s="5" t="str">
        <f t="shared" si="547"/>
        <v>FARMACIA-RAFAEL CELIS</v>
      </c>
      <c r="F10687" s="5" t="str">
        <f>"Descripcion: ESTANTE METALICO 6 ENTREPAÑOS  Estado: Bueno Placa anterior: 000000403 Material: METALICO Color: BLANCO Referencia:  Observacion:  Placa padre: Tipo adquisicion: Entidad"</f>
        <v>Descripcion: ESTANTE METALICO 6 ENTREPAÑOS  Estado: Bueno Placa anterior: 000000403 Material: METALICO Color: BLANCO Referencia:  Observacion:  Placa padre: Tipo adquisicion: Entidad</v>
      </c>
      <c r="G10687" s="5"/>
    </row>
    <row r="10688" spans="1:7" ht="58.5" customHeight="1" x14ac:dyDescent="0.25">
      <c r="A10688" s="5" t="str">
        <f>"H0016972"</f>
        <v>H0016972</v>
      </c>
      <c r="B10688" s="5" t="str">
        <f t="shared" si="546"/>
        <v>ESTANTE METALICO 6 ENTREPAÑOS</v>
      </c>
      <c r="C10688" s="6">
        <v>5527.03</v>
      </c>
      <c r="D10688" s="5"/>
      <c r="E10688" s="5" t="str">
        <f t="shared" si="547"/>
        <v>FARMACIA-RAFAEL CELIS</v>
      </c>
      <c r="F10688" s="5" t="str">
        <f>"Descripcion: ESTANTE METALICO 6 ENTREPAÑOS  Estado: Bueno Placa anterior: 000000393 Material: METALICO Color: BLANCO Referencia:  Observacion:  Placa padre: Tipo adquisicion: Entidad"</f>
        <v>Descripcion: ESTANTE METALICO 6 ENTREPAÑOS  Estado: Bueno Placa anterior: 000000393 Material: METALICO Color: BLANCO Referencia:  Observacion:  Placa padre: Tipo adquisicion: Entidad</v>
      </c>
      <c r="G10688" s="5"/>
    </row>
    <row r="10689" spans="1:7" ht="58.5" customHeight="1" x14ac:dyDescent="0.25">
      <c r="A10689" s="5" t="str">
        <f>"H0016974"</f>
        <v>H0016974</v>
      </c>
      <c r="B10689" s="5" t="str">
        <f t="shared" si="546"/>
        <v>ESTANTE METALICO 6 ENTREPAÑOS</v>
      </c>
      <c r="C10689" s="6">
        <v>5527.03</v>
      </c>
      <c r="D10689" s="5"/>
      <c r="E10689" s="5" t="str">
        <f t="shared" si="547"/>
        <v>FARMACIA-RAFAEL CELIS</v>
      </c>
      <c r="F10689" s="5" t="str">
        <f>"Descripcion: ESTANTE METALICO 6 ENTREPAÑOS  Estado: Bueno Placa anterior: 000000362 Material: METALICO Color: GRIS Referencia:  Observacion:  Placa padre: Tipo adquisicion: Entidad"</f>
        <v>Descripcion: ESTANTE METALICO 6 ENTREPAÑOS  Estado: Bueno Placa anterior: 000000362 Material: METALICO Color: GRIS Referencia:  Observacion:  Placa padre: Tipo adquisicion: Entidad</v>
      </c>
      <c r="G10689" s="5"/>
    </row>
    <row r="10690" spans="1:7" ht="58.5" customHeight="1" x14ac:dyDescent="0.25">
      <c r="A10690" s="5" t="str">
        <f>"H0016977"</f>
        <v>H0016977</v>
      </c>
      <c r="B10690" s="5" t="str">
        <f t="shared" si="546"/>
        <v>ESTANTE METALICO 6 ENTREPAÑOS</v>
      </c>
      <c r="C10690" s="6">
        <v>5527.03</v>
      </c>
      <c r="D10690" s="5"/>
      <c r="E10690" s="5" t="str">
        <f t="shared" si="547"/>
        <v>FARMACIA-RAFAEL CELIS</v>
      </c>
      <c r="F10690" s="5" t="str">
        <f>"Descripcion: ESTANTE METALICO 6 ENTREPAÑOS  Estado: Bueno Placa anterior: 000000352 Material: METALICO Color: GRIS Referencia:  Observacion:  Placa padre: Tipo adquisicion: Entidad"</f>
        <v>Descripcion: ESTANTE METALICO 6 ENTREPAÑOS  Estado: Bueno Placa anterior: 000000352 Material: METALICO Color: GRIS Referencia:  Observacion:  Placa padre: Tipo adquisicion: Entidad</v>
      </c>
      <c r="G10690" s="5"/>
    </row>
    <row r="10691" spans="1:7" ht="58.5" customHeight="1" x14ac:dyDescent="0.25">
      <c r="A10691" s="5" t="str">
        <f>"H0016994"</f>
        <v>H0016994</v>
      </c>
      <c r="B10691" s="5" t="str">
        <f>"MUEBLE DE MADERA"</f>
        <v>MUEBLE DE MADERA</v>
      </c>
      <c r="C10691" s="6">
        <v>6189538</v>
      </c>
      <c r="D10691" s="5"/>
      <c r="E10691" s="5" t="str">
        <f t="shared" si="547"/>
        <v>FARMACIA-RAFAEL CELIS</v>
      </c>
      <c r="F10691" s="5" t="str">
        <f>"Descripcion: COLUMNA EVEREST 9N+2E 2.2 M Y 1.0 M DE PROFUNDIDAD (9 GAVETAS GRANDES, 2 GAVETAS PEQUEÑAS Y 2 PUERTAS) Estado: Bueno Placa anterior: 000022308 Material: MADERA EN FORMICA Color: BLANCO Referencia:  Observacion:  Placa padre: Tipo adquisicion:"&amp; " Entidad"</f>
        <v>Descripcion: COLUMNA EVEREST 9N+2E 2.2 M Y 1.0 M DE PROFUNDIDAD (9 GAVETAS GRANDES, 2 GAVETAS PEQUEÑAS Y 2 PUERTAS) Estado: Bueno Placa anterior: 000022308 Material: MADERA EN FORMICA Color: BLANCO Referencia:  Observacion:  Placa padre: Tipo adquisicion: Entidad</v>
      </c>
      <c r="G10691" s="5"/>
    </row>
    <row r="10692" spans="1:7" ht="58.5" customHeight="1" x14ac:dyDescent="0.25">
      <c r="A10692" s="5" t="str">
        <f>"H0016995"</f>
        <v>H0016995</v>
      </c>
      <c r="B10692" s="5" t="str">
        <f>"SISTEMA DE BLOQUEO TOTAL POR COLUMNA"</f>
        <v>SISTEMA DE BLOQUEO TOTAL POR COLUMNA</v>
      </c>
      <c r="C10692" s="6">
        <v>752089</v>
      </c>
      <c r="D10692" s="5"/>
      <c r="E10692" s="5" t="str">
        <f t="shared" si="547"/>
        <v>FARMACIA-RAFAEL CELIS</v>
      </c>
      <c r="F10692" s="5" t="str">
        <f>"Descripcion: SISTEMA DE BLOQUEO TOTAL POR COLUMNA Estado: Bueno Placa anterior: 000022309 Material:  Color:  Referencia:  Observacion:  Placa padre: Tipo adquisicion: Entidad"</f>
        <v>Descripcion: SISTEMA DE BLOQUEO TOTAL POR COLUMNA Estado: Bueno Placa anterior: 000022309 Material:  Color:  Referencia:  Observacion:  Placa padre: Tipo adquisicion: Entidad</v>
      </c>
      <c r="G10692" s="5"/>
    </row>
    <row r="10693" spans="1:7" ht="58.5" customHeight="1" x14ac:dyDescent="0.25">
      <c r="A10693" s="5" t="str">
        <f>"H0016999"</f>
        <v>H0016999</v>
      </c>
      <c r="B10693" s="5" t="str">
        <f>"ARCHIVADOR RODANTE"</f>
        <v>ARCHIVADOR RODANTE</v>
      </c>
      <c r="C10693" s="6">
        <v>18429806</v>
      </c>
      <c r="D10693" s="5"/>
      <c r="E10693" s="5" t="str">
        <f t="shared" si="547"/>
        <v>FARMACIA-RAFAEL CELIS</v>
      </c>
      <c r="F10693" s="5" t="str">
        <f>"Descripcion: SISTEMA DE ARCHIVO MECANICO DE 36 ESTANTES Y DOS PUERTAS QUE CONSTA DE : DOS MDA 13F (UN CUERPO DE FRENTE POR TRES DE FONDO) CARRO FIJO 15F C30 -40 TRES CUERPOS DE ESTANTERIA DE: 7 ENTREPAÑOS DE 30X91.5 CAL. 22 4 ANGULOS CAL. 16 DE 2 MTS, 10 "&amp; "TEMPLETES, 1 Estado: Bueno Placa anterior: 000024964 Material: METALICO  Color: BLANCO Referencia:  Observacion:  Placa padre: Tipo adquisicion: Entidad"</f>
        <v>Descripcion: SISTEMA DE ARCHIVO MECANICO DE 36 ESTANTES Y DOS PUERTAS QUE CONSTA DE : DOS MDA 13F (UN CUERPO DE FRENTE POR TRES DE FONDO) CARRO FIJO 15F C30 -40 TRES CUERPOS DE ESTANTERIA DE: 7 ENTREPAÑOS DE 30X91.5 CAL. 22 4 ANGULOS CAL. 16 DE 2 MTS, 10 TEMPLETES, 1 Estado: Bueno Placa anterior: 000024964 Material: METALICO  Color: BLANCO Referencia:  Observacion:  Placa padre: Tipo adquisicion: Entidad</v>
      </c>
      <c r="G10693" s="5"/>
    </row>
    <row r="10694" spans="1:7" ht="58.5" customHeight="1" x14ac:dyDescent="0.25">
      <c r="A10694" s="5" t="str">
        <f>"H0017000"</f>
        <v>H0017000</v>
      </c>
      <c r="B10694" s="5" t="str">
        <f>"ARCHIVADOR RODANTE"</f>
        <v>ARCHIVADOR RODANTE</v>
      </c>
      <c r="C10694" s="6">
        <v>8022833</v>
      </c>
      <c r="D10694" s="5"/>
      <c r="E10694" s="5" t="str">
        <f t="shared" si="547"/>
        <v>FARMACIA-RAFAEL CELIS</v>
      </c>
      <c r="F10694" s="5" t="str">
        <f>"Descripcion: SISTEMA DE ARCHIVO RODANTE MANUAL DE 20 ESTANTES Y UNA PUERTA QUE CONSTA DE : DOS MDA.12F (UN CUERPO DE FRENTE X DOS DE FONDO) CARRO FIJO 12F-30-40 DOS CUERPOS ESTANTERIA DE: 7 ENTREPAÑOS DE 30X91.5 CAL. 22 4 ANGULOS CAL 16 DE 2 MTS, 10 TEMPL"&amp; "ETES, 12 TOP Estado: Bueno Placa anterior: 000024963 Material: METALICO Color: BLANCO Referencia:  Observacion:  Placa padre: Tipo adquisicion: Entidad"</f>
        <v>Descripcion: SISTEMA DE ARCHIVO RODANTE MANUAL DE 20 ESTANTES Y UNA PUERTA QUE CONSTA DE : DOS MDA.12F (UN CUERPO DE FRENTE X DOS DE FONDO) CARRO FIJO 12F-30-40 DOS CUERPOS ESTANTERIA DE: 7 ENTREPAÑOS DE 30X91.5 CAL. 22 4 ANGULOS CAL 16 DE 2 MTS, 10 TEMPLETES, 12 TOP Estado: Bueno Placa anterior: 000024963 Material: METALICO Color: BLANCO Referencia:  Observacion:  Placa padre: Tipo adquisicion: Entidad</v>
      </c>
      <c r="G10694" s="5"/>
    </row>
    <row r="10695" spans="1:7" ht="58.5" customHeight="1" x14ac:dyDescent="0.25">
      <c r="A10695" s="5" t="str">
        <f>"H0017219"</f>
        <v>H0017219</v>
      </c>
      <c r="B10695" s="5" t="str">
        <f>"MESA METALICA AUXILIAR"</f>
        <v>MESA METALICA AUXILIAR</v>
      </c>
      <c r="C10695" s="6">
        <v>7800</v>
      </c>
      <c r="D10695" s="5"/>
      <c r="E10695" s="5" t="str">
        <f t="shared" si="547"/>
        <v>FARMACIA-RAFAEL CELIS</v>
      </c>
      <c r="F10695" s="5" t="str">
        <f>"Descripcion: MESA TIPO H (MECANOGRAFA CON ALA) Estado: Regular Placa anterior: 000000309 Material: METALICO Color: GRIS Referencia:  Observacion:  Placa padre: Tipo adquisicion: Entidad"</f>
        <v>Descripcion: MESA TIPO H (MECANOGRAFA CON ALA) Estado: Regular Placa anterior: 000000309 Material: METALICO Color: GRIS Referencia:  Observacion:  Placa padre: Tipo adquisicion: Entidad</v>
      </c>
      <c r="G10695" s="5"/>
    </row>
    <row r="10696" spans="1:7" ht="58.5" customHeight="1" x14ac:dyDescent="0.25">
      <c r="A10696" s="5" t="str">
        <f>"H0017250"</f>
        <v>H0017250</v>
      </c>
      <c r="B10696" s="5" t="str">
        <f t="shared" ref="B10696:B10701" si="548">"ESTANTE METALICO 6 ENTREPAÑOS"</f>
        <v>ESTANTE METALICO 6 ENTREPAÑOS</v>
      </c>
      <c r="C10696" s="6">
        <v>8840.07</v>
      </c>
      <c r="D10696" s="5"/>
      <c r="E10696" s="5" t="str">
        <f t="shared" si="547"/>
        <v>FARMACIA-RAFAEL CELIS</v>
      </c>
      <c r="F10696" s="5" t="str">
        <f>"Descripcion: ESTANTE METALICO Estado: Bueno Placa anterior: 000002365 Material: METALICO Color: GRIS Referencia:  Observacion:  Placa padre: Tipo adquisicion: Entidad"</f>
        <v>Descripcion: ESTANTE METALICO Estado: Bueno Placa anterior: 000002365 Material: METALICO Color: GRIS Referencia:  Observacion:  Placa padre: Tipo adquisicion: Entidad</v>
      </c>
      <c r="G10696" s="5"/>
    </row>
    <row r="10697" spans="1:7" ht="58.5" customHeight="1" x14ac:dyDescent="0.25">
      <c r="A10697" s="5" t="str">
        <f>"H0017251"</f>
        <v>H0017251</v>
      </c>
      <c r="B10697" s="5" t="str">
        <f t="shared" si="548"/>
        <v>ESTANTE METALICO 6 ENTREPAÑOS</v>
      </c>
      <c r="C10697" s="6">
        <v>8840.07</v>
      </c>
      <c r="D10697" s="5"/>
      <c r="E10697" s="5" t="str">
        <f t="shared" si="547"/>
        <v>FARMACIA-RAFAEL CELIS</v>
      </c>
      <c r="F10697" s="5" t="str">
        <f>"Descripcion: ESTANTE METALICO Estado: Bueno Placa anterior: 000002366 Material: METALICO Color: GRIS Referencia:  Observacion:  Placa padre: Tipo adquisicion: Entidad"</f>
        <v>Descripcion: ESTANTE METALICO Estado: Bueno Placa anterior: 000002366 Material: METALICO Color: GRIS Referencia:  Observacion:  Placa padre: Tipo adquisicion: Entidad</v>
      </c>
      <c r="G10697" s="5"/>
    </row>
    <row r="10698" spans="1:7" ht="58.5" customHeight="1" x14ac:dyDescent="0.25">
      <c r="A10698" s="5" t="str">
        <f>"H0017252"</f>
        <v>H0017252</v>
      </c>
      <c r="B10698" s="5" t="str">
        <f t="shared" si="548"/>
        <v>ESTANTE METALICO 6 ENTREPAÑOS</v>
      </c>
      <c r="C10698" s="6">
        <v>8840.07</v>
      </c>
      <c r="D10698" s="5"/>
      <c r="E10698" s="5" t="str">
        <f t="shared" si="547"/>
        <v>FARMACIA-RAFAEL CELIS</v>
      </c>
      <c r="F10698" s="5" t="str">
        <f>"Descripcion: ESTANTE METALICO Estado: Bueno Placa anterior: 000002367 Material: METALICO Color: GRIS Referencia:  Observacion:  Placa padre: Tipo adquisicion: Entidad"</f>
        <v>Descripcion: ESTANTE METALICO Estado: Bueno Placa anterior: 000002367 Material: METALICO Color: GRIS Referencia:  Observacion:  Placa padre: Tipo adquisicion: Entidad</v>
      </c>
      <c r="G10698" s="5"/>
    </row>
    <row r="10699" spans="1:7" ht="58.5" customHeight="1" x14ac:dyDescent="0.25">
      <c r="A10699" s="5" t="str">
        <f>"H0017253"</f>
        <v>H0017253</v>
      </c>
      <c r="B10699" s="5" t="str">
        <f t="shared" si="548"/>
        <v>ESTANTE METALICO 6 ENTREPAÑOS</v>
      </c>
      <c r="C10699" s="6">
        <v>8840.07</v>
      </c>
      <c r="D10699" s="5"/>
      <c r="E10699" s="5" t="str">
        <f t="shared" si="547"/>
        <v>FARMACIA-RAFAEL CELIS</v>
      </c>
      <c r="F10699" s="5" t="str">
        <f>"Descripcion: ESTANTE METALICO Estado: Bueno Placa anterior: 000002369 Material: METALICO Color: GRIS Referencia:  Observacion:  Placa padre: Tipo adquisicion: Entidad"</f>
        <v>Descripcion: ESTANTE METALICO Estado: Bueno Placa anterior: 000002369 Material: METALICO Color: GRIS Referencia:  Observacion:  Placa padre: Tipo adquisicion: Entidad</v>
      </c>
      <c r="G10699" s="5"/>
    </row>
    <row r="10700" spans="1:7" ht="58.5" customHeight="1" x14ac:dyDescent="0.25">
      <c r="A10700" s="5" t="str">
        <f>"H0017254"</f>
        <v>H0017254</v>
      </c>
      <c r="B10700" s="5" t="str">
        <f t="shared" si="548"/>
        <v>ESTANTE METALICO 6 ENTREPAÑOS</v>
      </c>
      <c r="C10700" s="6">
        <v>8840.07</v>
      </c>
      <c r="D10700" s="5"/>
      <c r="E10700" s="5" t="str">
        <f t="shared" si="547"/>
        <v>FARMACIA-RAFAEL CELIS</v>
      </c>
      <c r="F10700" s="5" t="str">
        <f>"Descripcion: ESTANTE METALICO Estado: Bueno Placa anterior: 000002370 Material: METALICO Color: GRIS Referencia:  Observacion:  Placa padre: Tipo adquisicion: Entidad"</f>
        <v>Descripcion: ESTANTE METALICO Estado: Bueno Placa anterior: 000002370 Material: METALICO Color: GRIS Referencia:  Observacion:  Placa padre: Tipo adquisicion: Entidad</v>
      </c>
      <c r="G10700" s="5"/>
    </row>
    <row r="10701" spans="1:7" ht="58.5" customHeight="1" x14ac:dyDescent="0.25">
      <c r="A10701" s="5" t="str">
        <f>"H0017255"</f>
        <v>H0017255</v>
      </c>
      <c r="B10701" s="5" t="str">
        <f t="shared" si="548"/>
        <v>ESTANTE METALICO 6 ENTREPAÑOS</v>
      </c>
      <c r="C10701" s="6">
        <v>8840.07</v>
      </c>
      <c r="D10701" s="5"/>
      <c r="E10701" s="5" t="str">
        <f t="shared" si="547"/>
        <v>FARMACIA-RAFAEL CELIS</v>
      </c>
      <c r="F10701" s="5" t="str">
        <f>"Descripcion: ESTANTE METALICO Estado: Bueno Placa anterior: 000002371 Material: METALICO Color: GRIS Referencia:  Observacion:  Placa padre: Tipo adquisicion: Entidad"</f>
        <v>Descripcion: ESTANTE METALICO Estado: Bueno Placa anterior: 000002371 Material: METALICO Color: GRIS Referencia:  Observacion:  Placa padre: Tipo adquisicion: Entidad</v>
      </c>
      <c r="G10701" s="5"/>
    </row>
    <row r="10702" spans="1:7" ht="58.5" customHeight="1" x14ac:dyDescent="0.25">
      <c r="A10702" s="5" t="str">
        <f>"H0017259"</f>
        <v>H0017259</v>
      </c>
      <c r="B10702" s="5" t="str">
        <f>"AIRE ACONDICIONADO TIPO SPLIT 24000 BTU"</f>
        <v>AIRE ACONDICIONADO TIPO SPLIT 24000 BTU</v>
      </c>
      <c r="C10702" s="6">
        <v>2204000</v>
      </c>
      <c r="D10702" s="5"/>
      <c r="E10702" s="5" t="str">
        <f t="shared" si="547"/>
        <v>FARMACIA-RAFAEL CELIS</v>
      </c>
      <c r="F10702" s="5" t="str">
        <f>"Descripcion: AIRE ACONDICIONADO DE 24.000 BTU Estado: Bueno Placa anterior: 000025778 Material: PASTA Color: BLANCO Referencia:  Observacion:  Placa padre: Tipo adquisicion: Entidad"</f>
        <v>Descripcion: AIRE ACONDICIONADO DE 24.000 BTU Estado: Bueno Placa anterior: 000025778 Material: PASTA Color: BLANCO Referencia:  Observacion:  Placa padre: Tipo adquisicion: Entidad</v>
      </c>
      <c r="G10702" s="5" t="str">
        <f>"SL 24000"</f>
        <v>SL 24000</v>
      </c>
    </row>
    <row r="10703" spans="1:7" ht="58.5" customHeight="1" x14ac:dyDescent="0.25">
      <c r="A10703" s="5" t="str">
        <f>"H0017280"</f>
        <v>H0017280</v>
      </c>
      <c r="B10703" s="5" t="str">
        <f>"EXTINTOR POLVO QUIMICO SECO DE 20LBS ABC"</f>
        <v>EXTINTOR POLVO QUIMICO SECO DE 20LBS ABC</v>
      </c>
      <c r="C10703" s="6">
        <v>45200</v>
      </c>
      <c r="D10703" s="5"/>
      <c r="E10703" s="5" t="str">
        <f t="shared" si="547"/>
        <v>FARMACIA-RAFAEL CELIS</v>
      </c>
      <c r="F10703" s="5" t="str">
        <f>"Descripcion: . Estado: Bueno Placa anterior: 000000304 Material: METALICO Color: AMARILLO Referencia:  Observacion: FUNCIONARIO AUTORIZA SE CONCILIE CON PLACA 000000304 Placa padre: Tipo adquisicion: Entidad"</f>
        <v>Descripcion: . Estado: Bueno Placa anterior: 000000304 Material: METALICO Color: AMARILLO Referencia:  Observacion: FUNCIONARIO AUTORIZA SE CONCILIE CON PLACA 000000304 Placa padre: Tipo adquisicion: Entidad</v>
      </c>
      <c r="G10703" s="5"/>
    </row>
    <row r="10704" spans="1:7" ht="58.5" customHeight="1" x14ac:dyDescent="0.25">
      <c r="A10704" s="5" t="str">
        <f>"H0017304"</f>
        <v>H0017304</v>
      </c>
      <c r="B10704" s="5" t="str">
        <f>"AIRE ACONDICIONADO TIPO VENTANA 18000 BTU"</f>
        <v>AIRE ACONDICIONADO TIPO VENTANA 18000 BTU</v>
      </c>
      <c r="C10704" s="6">
        <v>950000</v>
      </c>
      <c r="D10704" s="5"/>
      <c r="E10704" s="5" t="str">
        <f t="shared" si="547"/>
        <v>FARMACIA-RAFAEL CELIS</v>
      </c>
      <c r="F10704" s="5" t="str">
        <f>"Descripcion: . Estado: Bueno Placa anterior:  Material: METALICO Color: BLANCO Referencia: TSW2 Observacion:  Placa padre: Tipo adquisicion: Entidad"</f>
        <v>Descripcion: . Estado: Bueno Placa anterior:  Material: METALICO Color: BLANCO Referencia: TSW2 Observacion:  Placa padre: Tipo adquisicion: Entidad</v>
      </c>
      <c r="G10704" s="5" t="str">
        <f>"W182CM"</f>
        <v>W182CM</v>
      </c>
    </row>
    <row r="10705" spans="1:7" ht="58.5" customHeight="1" x14ac:dyDescent="0.25">
      <c r="A10705" s="5" t="str">
        <f>"H0017331"</f>
        <v>H0017331</v>
      </c>
      <c r="B10705" s="5" t="str">
        <f>"CARRO MANUAL PARA TRANSPORTE OBJETOS"</f>
        <v>CARRO MANUAL PARA TRANSPORTE OBJETOS</v>
      </c>
      <c r="C10705" s="6">
        <v>50000</v>
      </c>
      <c r="D10705" s="5"/>
      <c r="E10705" s="5" t="str">
        <f t="shared" si="547"/>
        <v>FARMACIA-RAFAEL CELIS</v>
      </c>
      <c r="F10705" s="5" t="str">
        <f>"Descripcion: OXIDOPELADO Estado: Regular Placa anterior: 000022445 Material: METALICO Color: VERDE Referencia:  Observacion:  Placa padre: Tipo adquisicion: Entidad"</f>
        <v>Descripcion: OXIDOPELADO Estado: Regular Placa anterior: 000022445 Material: METALICO Color: VERDE Referencia:  Observacion:  Placa padre: Tipo adquisicion: Entidad</v>
      </c>
      <c r="G10705" s="5"/>
    </row>
    <row r="10706" spans="1:7" ht="58.5" customHeight="1" x14ac:dyDescent="0.25">
      <c r="A10706" s="5" t="str">
        <f>"H0017333"</f>
        <v>H0017333</v>
      </c>
      <c r="B10706" s="5" t="str">
        <f>"CARRO MANUAL PARA TRANSPORTE OBJETOS"</f>
        <v>CARRO MANUAL PARA TRANSPORTE OBJETOS</v>
      </c>
      <c r="C10706" s="6">
        <v>41855</v>
      </c>
      <c r="D10706" s="5"/>
      <c r="E10706" s="5" t="str">
        <f t="shared" si="547"/>
        <v>FARMACIA-RAFAEL CELIS</v>
      </c>
      <c r="F10706" s="5" t="str">
        <f>"Descripcion: CARRO TRANSPORTADOR CON PLATAFORMA Estado: Regular Placa anterior: 000000295 Material: METALICO Color: VERDE Referencia:  Observacion:  Placa padre: Tipo adquisicion: Entidad"</f>
        <v>Descripcion: CARRO TRANSPORTADOR CON PLATAFORMA Estado: Regular Placa anterior: 000000295 Material: METALICO Color: VERDE Referencia:  Observacion:  Placa padre: Tipo adquisicion: Entidad</v>
      </c>
      <c r="G10706" s="5"/>
    </row>
    <row r="10707" spans="1:7" ht="58.5" customHeight="1" x14ac:dyDescent="0.25">
      <c r="A10707" s="5" t="str">
        <f>"H0018709"</f>
        <v>H0018709</v>
      </c>
      <c r="B10707" s="5" t="str">
        <f>"MONITOR LCD"</f>
        <v>MONITOR LCD</v>
      </c>
      <c r="C10707" s="6">
        <v>760000</v>
      </c>
      <c r="D10707" s="5"/>
      <c r="E10707" s="5" t="str">
        <f t="shared" si="547"/>
        <v>FARMACIA-RAFAEL CELIS</v>
      </c>
      <c r="F10707" s="5" t="str">
        <f>"Descripcion:MONITOR LCD DE 17 O SUPERIOR Estado: Bueno Placa anterior: 000029279 Material: PLASTICO Color: NEGRO Referencia:  Observacion: 742S Placa padre: H0018708 Tipo adquisicion : Entidad"</f>
        <v>Descripcion:MONITOR LCD DE 17 O SUPERIOR Estado: Bueno Placa anterior: 000029279 Material: PLASTICO Color: NEGRO Referencia:  Observacion: 742S Placa padre: H0018708 Tipo adquisicion : Entidad</v>
      </c>
      <c r="G10707" s="5" t="str">
        <f>"FLATRON W1742S"</f>
        <v>FLATRON W1742S</v>
      </c>
    </row>
    <row r="10708" spans="1:7" ht="58.5" customHeight="1" x14ac:dyDescent="0.25">
      <c r="A10708" s="5" t="str">
        <f>"H0018753"</f>
        <v>H0018753</v>
      </c>
      <c r="B10708" s="5" t="str">
        <f>"AIRE ACONDICIONADO TIPO SPLIT 12000 BTU"</f>
        <v>AIRE ACONDICIONADO TIPO SPLIT 12000 BTU</v>
      </c>
      <c r="C10708" s="6">
        <v>1150000</v>
      </c>
      <c r="D10708" s="5"/>
      <c r="E10708" s="5" t="str">
        <f t="shared" si="547"/>
        <v>FARMACIA-RAFAEL CELIS</v>
      </c>
      <c r="F10708" s="5" t="str">
        <f>"Descripcion:AIRE ACONDICIONADO MINI SPLIT MCA. LG DE 12000 BTU CON CONTROL REMOTO AIRE ACONDICIONADO MINI SPLIT MCA.LG 12000 BTU Estado: Bueno Placa anterior: 000028535 Material: PLASTICO Color: BLANCO Referencia:  Observacion:  Placa padre:  Tipo adquisi"&amp; "cion : Entidad"</f>
        <v>Descripcion:AIRE ACONDICIONADO MINI SPLIT MCA. LG DE 12000 BTU CON CONTROL REMOTO AIRE ACONDICIONADO MINI SPLIT MCA.LG 12000 BTU Estado: Bueno Placa anterior: 000028535 Material: PLASTICO Color: BLANCO Referencia:  Observacion:  Placa padre:  Tipo adquisicion : Entidad</v>
      </c>
      <c r="G10708" s="5" t="str">
        <f>"G122C"</f>
        <v>G122C</v>
      </c>
    </row>
    <row r="10709" spans="1:7" ht="58.5" customHeight="1" x14ac:dyDescent="0.25">
      <c r="A10709" s="5" t="str">
        <f>"H0018844"</f>
        <v>H0018844</v>
      </c>
      <c r="B10709" s="5" t="str">
        <f>"ESTANTE METALICO 6 ENTREPAÑOS"</f>
        <v>ESTANTE METALICO 6 ENTREPAÑOS</v>
      </c>
      <c r="C10709" s="6">
        <v>170000</v>
      </c>
      <c r="D10709" s="5"/>
      <c r="E10709" s="5" t="str">
        <f t="shared" si="547"/>
        <v>FARMACIA-RAFAEL CELIS</v>
      </c>
      <c r="F10709" s="5" t="str">
        <f>"Descripcion:ESTANTE METALICO DE 6 ENTREPAÑOS Estado: Bueno Placa anterior: 000022170 Material: METALICO Color: GRIS Referencia:  Observacion:  Placa padre:  Tipo adquisicion : Entidad"</f>
        <v>Descripcion:ESTANTE METALICO DE 6 ENTREPAÑOS Estado: Bueno Placa anterior: 000022170 Material: METALICO Color: GRIS Referencia:  Observacion:  Placa padre:  Tipo adquisicion : Entidad</v>
      </c>
      <c r="G10709" s="5"/>
    </row>
    <row r="10710" spans="1:7" ht="58.5" customHeight="1" x14ac:dyDescent="0.25">
      <c r="A10710" s="5" t="str">
        <f>"H0019610"</f>
        <v>H0019610</v>
      </c>
      <c r="B10710" s="5" t="str">
        <f>"IMPRESORA LASER"</f>
        <v>IMPRESORA LASER</v>
      </c>
      <c r="C10710" s="6">
        <v>562600</v>
      </c>
      <c r="D10710" s="5"/>
      <c r="E10710" s="5" t="str">
        <f t="shared" si="547"/>
        <v>FARMACIA-RAFAEL CELIS</v>
      </c>
      <c r="F10710" s="5" t="str">
        <f>"Descripcion:IMPRESORA HP LASER JET PRO P1102W VELOCIDADES 18 PAGINAS A4 POR MINUTO (ppm) 19 TAMAÑO CARTA PPM BANDEJ Estado: Bueno Placa anterior: 000029525 Material: PLASTICO DE POLIPROPILENO Color: NEGRO Referencia:  Observacion:  Placa padre:  Tipo adqu"&amp; "isicion : Entidad"</f>
        <v>Descripcion:IMPRESORA HP LASER JET PRO P1102W VELOCIDADES 18 PAGINAS A4 POR MINUTO (ppm) 19 TAMAÑO CARTA PPM BANDEJ Estado: Bueno Placa anterior: 000029525 Material: PLASTICO DE POLIPROPILENO Color: NEGRO Referencia:  Observacion:  Placa padre:  Tipo adquisicion : Entidad</v>
      </c>
      <c r="G10710" s="5" t="str">
        <f>"HPLASERJETP1102W"</f>
        <v>HPLASERJETP1102W</v>
      </c>
    </row>
    <row r="10711" spans="1:7" ht="58.5" customHeight="1" x14ac:dyDescent="0.25">
      <c r="A10711" s="5" t="str">
        <f>"H0021431"</f>
        <v>H0021431</v>
      </c>
      <c r="B10711" s="5" t="str">
        <f>"EQUIPO DE AIRE ACONDICIONADO  MINISPLIT 12000 BTU INVERTER"</f>
        <v>EQUIPO DE AIRE ACONDICIONADO  MINISPLIT 12000 BTU INVERTER</v>
      </c>
      <c r="C10711" s="6">
        <v>1856000</v>
      </c>
      <c r="D10711" s="5" t="s">
        <v>176</v>
      </c>
      <c r="E10711" s="5" t="str">
        <f t="shared" si="547"/>
        <v>FARMACIA-RAFAEL CELIS</v>
      </c>
      <c r="F10711" s="5"/>
      <c r="G10711" s="5" t="str">
        <f>"VM122CE"</f>
        <v>VM122CE</v>
      </c>
    </row>
    <row r="10712" spans="1:7" ht="58.5" customHeight="1" x14ac:dyDescent="0.25">
      <c r="A10712" s="5" t="str">
        <f>"H0021960"</f>
        <v>H0021960</v>
      </c>
      <c r="B10712" s="5" t="str">
        <f>"MANUALES (LIBRO GUIA)"</f>
        <v>MANUALES (LIBRO GUIA)</v>
      </c>
      <c r="C10712" s="6">
        <v>200000</v>
      </c>
      <c r="D10712" s="5"/>
      <c r="E10712" s="5" t="str">
        <f t="shared" si="547"/>
        <v>FARMACIA-RAFAEL CELIS</v>
      </c>
      <c r="F10712" s="5" t="str">
        <f>"Descripcion: MANUAL MERCK DE INFORMACION MED/HOGAR Estado: Bueno Placa anterior: 000000344 Material: PAPEL Color:  Referencia:  Observacion:  Placa padre: Tipo adquisicion: Entidad"</f>
        <v>Descripcion: MANUAL MERCK DE INFORMACION MED/HOGAR Estado: Bueno Placa anterior: 000000344 Material: PAPEL Color:  Referencia:  Observacion:  Placa padre: Tipo adquisicion: Entidad</v>
      </c>
      <c r="G10712" s="5"/>
    </row>
    <row r="10713" spans="1:7" ht="58.5" customHeight="1" x14ac:dyDescent="0.25">
      <c r="A10713" s="5" t="str">
        <f>"H0022226"</f>
        <v>H0022226</v>
      </c>
      <c r="B1071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13" s="6">
        <v>241999.99</v>
      </c>
      <c r="D10713" s="5" t="s">
        <v>499</v>
      </c>
      <c r="E10713" s="5" t="str">
        <f t="shared" si="547"/>
        <v>FARMACIA-RAFAEL CELIS</v>
      </c>
      <c r="F10713" s="5"/>
      <c r="G10713" s="5"/>
    </row>
    <row r="10714" spans="1:7" ht="58.5" customHeight="1" x14ac:dyDescent="0.25">
      <c r="A10714" s="5" t="str">
        <f>"H0022253"</f>
        <v>H0022253</v>
      </c>
      <c r="B10714" s="5" t="str">
        <f>"CARRO UNIDOSIS PARA MEDICAMENTOS"</f>
        <v>CARRO UNIDOSIS PARA MEDICAMENTOS</v>
      </c>
      <c r="C10714" s="6">
        <v>4060000</v>
      </c>
      <c r="D10714" s="5" t="s">
        <v>61</v>
      </c>
      <c r="E10714" s="5" t="str">
        <f t="shared" si="547"/>
        <v>FARMACIA-RAFAEL CELIS</v>
      </c>
      <c r="F10714" s="5"/>
      <c r="G10714" s="5"/>
    </row>
    <row r="10715" spans="1:7" ht="58.5" customHeight="1" x14ac:dyDescent="0.25">
      <c r="A10715" s="5" t="str">
        <f>"H0022254"</f>
        <v>H0022254</v>
      </c>
      <c r="B10715" s="5" t="str">
        <f>"CARRO UNIDOSIS PARA MEDICAMENTOS"</f>
        <v>CARRO UNIDOSIS PARA MEDICAMENTOS</v>
      </c>
      <c r="C10715" s="6">
        <v>4060000</v>
      </c>
      <c r="D10715" s="5" t="s">
        <v>61</v>
      </c>
      <c r="E10715" s="5" t="str">
        <f t="shared" si="547"/>
        <v>FARMACIA-RAFAEL CELIS</v>
      </c>
      <c r="F10715" s="5"/>
      <c r="G10715" s="5"/>
    </row>
    <row r="10716" spans="1:7" ht="58.5" customHeight="1" x14ac:dyDescent="0.25">
      <c r="A10716" s="5" t="str">
        <f>"H0022256"</f>
        <v>H0022256</v>
      </c>
      <c r="B10716" s="5" t="str">
        <f>"CARRO UNIDOSIS PARA MEDICAMENTOS"</f>
        <v>CARRO UNIDOSIS PARA MEDICAMENTOS</v>
      </c>
      <c r="C10716" s="6">
        <v>4060000</v>
      </c>
      <c r="D10716" s="5" t="s">
        <v>61</v>
      </c>
      <c r="E10716" s="5" t="str">
        <f t="shared" si="547"/>
        <v>FARMACIA-RAFAEL CELIS</v>
      </c>
      <c r="F10716" s="5"/>
      <c r="G10716" s="5"/>
    </row>
    <row r="10717" spans="1:7" ht="58.5" customHeight="1" x14ac:dyDescent="0.25">
      <c r="A10717" s="5" t="str">
        <f>"H0022257"</f>
        <v>H0022257</v>
      </c>
      <c r="B10717" s="5" t="str">
        <f>"CARRO TRES NIVELES"</f>
        <v>CARRO TRES NIVELES</v>
      </c>
      <c r="C10717" s="6">
        <v>696000</v>
      </c>
      <c r="D10717" s="5" t="s">
        <v>61</v>
      </c>
      <c r="E10717" s="5" t="str">
        <f t="shared" ref="E10717:E10748" si="549">"FARMACIA-RAFAEL CELIS"</f>
        <v>FARMACIA-RAFAEL CELIS</v>
      </c>
      <c r="F10717" s="5"/>
      <c r="G10717" s="5"/>
    </row>
    <row r="10718" spans="1:7" ht="58.5" customHeight="1" x14ac:dyDescent="0.25">
      <c r="A10718" s="5" t="str">
        <f>"H0022258"</f>
        <v>H0022258</v>
      </c>
      <c r="B10718" s="5" t="str">
        <f>"CARRO TRES NIVELES"</f>
        <v>CARRO TRES NIVELES</v>
      </c>
      <c r="C10718" s="6">
        <v>696000</v>
      </c>
      <c r="D10718" s="5" t="s">
        <v>629</v>
      </c>
      <c r="E10718" s="5" t="str">
        <f t="shared" si="549"/>
        <v>FARMACIA-RAFAEL CELIS</v>
      </c>
      <c r="F10718" s="5"/>
      <c r="G10718" s="5"/>
    </row>
    <row r="10719" spans="1:7" ht="58.5" customHeight="1" x14ac:dyDescent="0.25">
      <c r="A10719" s="5" t="str">
        <f>"H0024140"</f>
        <v>H0024140</v>
      </c>
      <c r="B10719" s="5" t="str">
        <f>"EXTINTORES 3700 grs DE AGENTE LIMPIO"</f>
        <v>EXTINTORES 3700 grs DE AGENTE LIMPIO</v>
      </c>
      <c r="C10719" s="6">
        <v>330000.01</v>
      </c>
      <c r="D10719" s="5" t="s">
        <v>630</v>
      </c>
      <c r="E10719" s="5" t="str">
        <f t="shared" si="549"/>
        <v>FARMACIA-RAFAEL CELIS</v>
      </c>
      <c r="F10719" s="5"/>
      <c r="G10719" s="5"/>
    </row>
    <row r="10720" spans="1:7" ht="58.5" customHeight="1" x14ac:dyDescent="0.25">
      <c r="A10720" s="5" t="str">
        <f>"H0024141"</f>
        <v>H0024141</v>
      </c>
      <c r="B10720" s="5" t="str">
        <f>"EXTINTORES 3700 grs DE AGENTE LIMPIO"</f>
        <v>EXTINTORES 3700 grs DE AGENTE LIMPIO</v>
      </c>
      <c r="C10720" s="6">
        <v>330000.01</v>
      </c>
      <c r="D10720" s="5" t="s">
        <v>458</v>
      </c>
      <c r="E10720" s="5" t="str">
        <f t="shared" si="549"/>
        <v>FARMACIA-RAFAEL CELIS</v>
      </c>
      <c r="F10720" s="5"/>
      <c r="G10720" s="5"/>
    </row>
    <row r="10721" spans="1:7" ht="58.5" customHeight="1" x14ac:dyDescent="0.25">
      <c r="A10721" s="5" t="str">
        <f>"H0024574"</f>
        <v>H0024574</v>
      </c>
      <c r="B1072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721" s="6">
        <v>2600000</v>
      </c>
      <c r="D10721" s="5" t="s">
        <v>36</v>
      </c>
      <c r="E10721" s="5" t="str">
        <f t="shared" si="549"/>
        <v>FARMACIA-RAFAEL CELIS</v>
      </c>
      <c r="F10721" s="5"/>
      <c r="G10721" s="5"/>
    </row>
    <row r="10722" spans="1:7" ht="58.5" customHeight="1" x14ac:dyDescent="0.25">
      <c r="A10722" s="5" t="str">
        <f>"H0024575"</f>
        <v>H0024575</v>
      </c>
      <c r="B1072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722" s="6">
        <v>2600000</v>
      </c>
      <c r="D10722" s="5" t="s">
        <v>36</v>
      </c>
      <c r="E10722" s="5" t="str">
        <f t="shared" si="549"/>
        <v>FARMACIA-RAFAEL CELIS</v>
      </c>
      <c r="F10722" s="5"/>
      <c r="G10722" s="5"/>
    </row>
    <row r="10723" spans="1:7" ht="58.5" customHeight="1" x14ac:dyDescent="0.25">
      <c r="A10723" s="5" t="str">
        <f>"H0024576"</f>
        <v>H0024576</v>
      </c>
      <c r="B1072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723" s="6">
        <v>2600000</v>
      </c>
      <c r="D10723" s="5" t="s">
        <v>36</v>
      </c>
      <c r="E10723" s="5" t="str">
        <f t="shared" si="549"/>
        <v>FARMACIA-RAFAEL CELIS</v>
      </c>
      <c r="F10723" s="5"/>
      <c r="G10723" s="5"/>
    </row>
    <row r="10724" spans="1:7" ht="58.5" customHeight="1" x14ac:dyDescent="0.25">
      <c r="A10724" s="5" t="str">
        <f>"H0024578"</f>
        <v>H0024578</v>
      </c>
      <c r="B10724"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0724" s="6">
        <v>2600000</v>
      </c>
      <c r="D10724" s="5" t="s">
        <v>36</v>
      </c>
      <c r="E10724" s="5" t="str">
        <f t="shared" si="549"/>
        <v>FARMACIA-RAFAEL CELIS</v>
      </c>
      <c r="F10724" s="5"/>
      <c r="G10724" s="5"/>
    </row>
    <row r="10725" spans="1:7" ht="58.5" customHeight="1" x14ac:dyDescent="0.25">
      <c r="A10725" s="5" t="str">
        <f>"H0025318"</f>
        <v>H0025318</v>
      </c>
      <c r="B1072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725" s="6">
        <v>312156</v>
      </c>
      <c r="D10725" s="5" t="s">
        <v>10</v>
      </c>
      <c r="E10725" s="5" t="str">
        <f t="shared" si="549"/>
        <v>FARMACIA-RAFAEL CELIS</v>
      </c>
      <c r="F10725" s="5"/>
      <c r="G10725" s="5" t="str">
        <f>"GXP1628"</f>
        <v>GXP1628</v>
      </c>
    </row>
    <row r="10726" spans="1:7" ht="58.5" customHeight="1" x14ac:dyDescent="0.25">
      <c r="A10726" s="5" t="str">
        <f>"H0025385"</f>
        <v>H0025385</v>
      </c>
      <c r="B1072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726" s="6">
        <v>312156</v>
      </c>
      <c r="D10726" s="5" t="s">
        <v>10</v>
      </c>
      <c r="E10726" s="5" t="str">
        <f t="shared" si="549"/>
        <v>FARMACIA-RAFAEL CELIS</v>
      </c>
      <c r="F10726" s="5"/>
      <c r="G10726" s="5"/>
    </row>
    <row r="10727" spans="1:7" ht="58.5" customHeight="1" x14ac:dyDescent="0.25">
      <c r="A10727" s="5" t="str">
        <f>"H0025433"</f>
        <v>H0025433</v>
      </c>
      <c r="B1072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727" s="6">
        <v>312156</v>
      </c>
      <c r="D10727" s="5" t="s">
        <v>10</v>
      </c>
      <c r="E10727" s="5" t="str">
        <f t="shared" si="549"/>
        <v>FARMACIA-RAFAEL CELIS</v>
      </c>
      <c r="F10727" s="5"/>
      <c r="G10727" s="5"/>
    </row>
    <row r="10728" spans="1:7" ht="58.5" customHeight="1" x14ac:dyDescent="0.25">
      <c r="A10728" s="5" t="str">
        <f>"H0025798"</f>
        <v>H0025798</v>
      </c>
      <c r="B10728" s="5" t="str">
        <f>"CARRO DE TRES NIVELES CON CAPACIDAD MINIMA DE 100 KG Y LAVABLES"</f>
        <v>CARRO DE TRES NIVELES CON CAPACIDAD MINIMA DE 100 KG Y LAVABLES</v>
      </c>
      <c r="C10728" s="6">
        <v>779716.55</v>
      </c>
      <c r="D10728" s="5" t="s">
        <v>266</v>
      </c>
      <c r="E10728" s="5" t="str">
        <f t="shared" si="549"/>
        <v>FARMACIA-RAFAEL CELIS</v>
      </c>
      <c r="F10728" s="5"/>
      <c r="G10728" s="5"/>
    </row>
    <row r="10729" spans="1:7" ht="58.5" customHeight="1" x14ac:dyDescent="0.25">
      <c r="A10729" s="5" t="str">
        <f>"H0025799"</f>
        <v>H0025799</v>
      </c>
      <c r="B10729" s="5" t="str">
        <f>"CARRO DE TRES NIVELES CON CAPACIDAD MINIMA DE 100 KG Y LAVABLES"</f>
        <v>CARRO DE TRES NIVELES CON CAPACIDAD MINIMA DE 100 KG Y LAVABLES</v>
      </c>
      <c r="C10729" s="6">
        <v>779716.55</v>
      </c>
      <c r="D10729" s="5" t="s">
        <v>266</v>
      </c>
      <c r="E10729" s="5" t="str">
        <f t="shared" si="549"/>
        <v>FARMACIA-RAFAEL CELIS</v>
      </c>
      <c r="F10729" s="5"/>
      <c r="G10729" s="5"/>
    </row>
    <row r="10730" spans="1:7" ht="58.5" customHeight="1" x14ac:dyDescent="0.25">
      <c r="A10730" s="5" t="str">
        <f>"H0026800"</f>
        <v>H0026800</v>
      </c>
      <c r="B10730"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730" s="6">
        <v>3296300</v>
      </c>
      <c r="D10730" s="5" t="s">
        <v>631</v>
      </c>
      <c r="E10730" s="5" t="str">
        <f t="shared" si="549"/>
        <v>FARMACIA-RAFAEL CELIS</v>
      </c>
      <c r="F10730" s="5"/>
      <c r="G10730" s="5"/>
    </row>
    <row r="10731" spans="1:7" ht="58.5" customHeight="1" x14ac:dyDescent="0.25">
      <c r="A10731" s="5" t="str">
        <f>"H0027215"</f>
        <v>H0027215</v>
      </c>
      <c r="B1073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731" s="6">
        <v>2641800</v>
      </c>
      <c r="D10731" s="5" t="s">
        <v>38</v>
      </c>
      <c r="E10731" s="5" t="str">
        <f t="shared" si="549"/>
        <v>FARMACIA-RAFAEL CELIS</v>
      </c>
      <c r="F10731" s="5"/>
      <c r="G10731" s="5"/>
    </row>
    <row r="10732" spans="1:7" ht="58.5" customHeight="1" x14ac:dyDescent="0.25">
      <c r="A10732" s="5" t="str">
        <f>"H0027239"</f>
        <v>H0027239</v>
      </c>
      <c r="B1073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732" s="6">
        <v>2641800</v>
      </c>
      <c r="D10732" s="5" t="s">
        <v>386</v>
      </c>
      <c r="E10732" s="5" t="str">
        <f t="shared" si="549"/>
        <v>FARMACIA-RAFAEL CELIS</v>
      </c>
      <c r="F10732" s="5"/>
      <c r="G10732" s="5"/>
    </row>
    <row r="10733" spans="1:7" ht="58.5" customHeight="1" x14ac:dyDescent="0.25">
      <c r="A10733" s="5" t="str">
        <f>"H0029160"</f>
        <v>H0029160</v>
      </c>
      <c r="B1073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0733" s="6">
        <v>2425000</v>
      </c>
      <c r="D10733" s="5" t="s">
        <v>13</v>
      </c>
      <c r="E10733" s="5" t="str">
        <f t="shared" si="549"/>
        <v>FARMACIA-RAFAEL CELIS</v>
      </c>
      <c r="F10733" s="5"/>
      <c r="G10733" s="5" t="str">
        <f>"V330"</f>
        <v>V330</v>
      </c>
    </row>
    <row r="10734" spans="1:7" ht="58.5" customHeight="1" x14ac:dyDescent="0.25">
      <c r="A10734" s="5" t="str">
        <f>"H0029355"</f>
        <v>H0029355</v>
      </c>
      <c r="B10734" s="5" t="str">
        <f>"SILLA HERGONOMICA CON SISTEMA HIDRAULICO"</f>
        <v>SILLA HERGONOMICA CON SISTEMA HIDRAULICO</v>
      </c>
      <c r="C10734" s="6">
        <v>174900</v>
      </c>
      <c r="D10734" s="5" t="s">
        <v>89</v>
      </c>
      <c r="E10734" s="5" t="str">
        <f t="shared" si="549"/>
        <v>FARMACIA-RAFAEL CELIS</v>
      </c>
      <c r="F10734" s="5"/>
      <c r="G10734" s="5"/>
    </row>
    <row r="10735" spans="1:7" ht="58.5" customHeight="1" x14ac:dyDescent="0.25">
      <c r="A10735" s="5" t="str">
        <f>"H0029515"</f>
        <v>H0029515</v>
      </c>
      <c r="B1073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735" s="6">
        <v>257040</v>
      </c>
      <c r="D10735" s="5" t="s">
        <v>14</v>
      </c>
      <c r="E10735" s="5" t="str">
        <f t="shared" si="549"/>
        <v>FARMACIA-RAFAEL CELIS</v>
      </c>
      <c r="F10735" s="5"/>
      <c r="G10735" s="5"/>
    </row>
    <row r="10736" spans="1:7" ht="58.5" customHeight="1" x14ac:dyDescent="0.25">
      <c r="A10736" s="5" t="str">
        <f>"H0029571"</f>
        <v>H0029571</v>
      </c>
      <c r="B1073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36" s="6">
        <v>252400.18</v>
      </c>
      <c r="D10736" s="5" t="s">
        <v>15</v>
      </c>
      <c r="E10736" s="5" t="str">
        <f t="shared" si="549"/>
        <v>FARMACIA-RAFAEL CELIS</v>
      </c>
      <c r="F10736" s="5"/>
      <c r="G10736" s="5"/>
    </row>
    <row r="10737" spans="1:7" ht="58.5" customHeight="1" x14ac:dyDescent="0.25">
      <c r="A10737" s="5" t="str">
        <f>"H0029575"</f>
        <v>H0029575</v>
      </c>
      <c r="B1073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37" s="6">
        <v>252400.18</v>
      </c>
      <c r="D10737" s="5" t="s">
        <v>15</v>
      </c>
      <c r="E10737" s="5" t="str">
        <f t="shared" si="549"/>
        <v>FARMACIA-RAFAEL CELIS</v>
      </c>
      <c r="F10737" s="5"/>
      <c r="G10737" s="5"/>
    </row>
    <row r="10738" spans="1:7" ht="58.5" customHeight="1" x14ac:dyDescent="0.25">
      <c r="A10738" s="5" t="str">
        <f>"H0029577"</f>
        <v>H0029577</v>
      </c>
      <c r="B1073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38" s="6">
        <v>252400.18</v>
      </c>
      <c r="D10738" s="5" t="s">
        <v>15</v>
      </c>
      <c r="E10738" s="5" t="str">
        <f t="shared" si="549"/>
        <v>FARMACIA-RAFAEL CELIS</v>
      </c>
      <c r="F10738" s="5"/>
      <c r="G10738" s="5"/>
    </row>
    <row r="10739" spans="1:7" ht="58.5" customHeight="1" x14ac:dyDescent="0.25">
      <c r="A10739" s="5" t="str">
        <f>"H0029578"</f>
        <v>H0029578</v>
      </c>
      <c r="B1073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39" s="6">
        <v>252400.18</v>
      </c>
      <c r="D10739" s="5" t="s">
        <v>15</v>
      </c>
      <c r="E10739" s="5" t="str">
        <f t="shared" si="549"/>
        <v>FARMACIA-RAFAEL CELIS</v>
      </c>
      <c r="F10739" s="5"/>
      <c r="G10739" s="5"/>
    </row>
    <row r="10740" spans="1:7" ht="58.5" customHeight="1" x14ac:dyDescent="0.25">
      <c r="A10740" s="5" t="str">
        <f>"H0029611"</f>
        <v>H0029611</v>
      </c>
      <c r="B10740" s="5" t="str">
        <f>"COLUMNA DE ALMACENAMIENTO FARMACIA (central de mezclas)"</f>
        <v>COLUMNA DE ALMACENAMIENTO FARMACIA (central de mezclas)</v>
      </c>
      <c r="C10740" s="6">
        <v>13090000</v>
      </c>
      <c r="D10740" s="5" t="s">
        <v>632</v>
      </c>
      <c r="E10740" s="5" t="str">
        <f t="shared" si="549"/>
        <v>FARMACIA-RAFAEL CELIS</v>
      </c>
      <c r="F10740" s="5"/>
      <c r="G10740" s="5"/>
    </row>
    <row r="10741" spans="1:7" ht="58.5" customHeight="1" x14ac:dyDescent="0.25">
      <c r="A10741" s="5" t="str">
        <f>"H0029612"</f>
        <v>H0029612</v>
      </c>
      <c r="B10741" s="5" t="str">
        <f>"COLUMNA DE ALMACENAMIENTO FARMACIA (central de mezclas)"</f>
        <v>COLUMNA DE ALMACENAMIENTO FARMACIA (central de mezclas)</v>
      </c>
      <c r="C10741" s="6">
        <v>13090000</v>
      </c>
      <c r="D10741" s="5" t="s">
        <v>632</v>
      </c>
      <c r="E10741" s="5" t="str">
        <f t="shared" si="549"/>
        <v>FARMACIA-RAFAEL CELIS</v>
      </c>
      <c r="F10741" s="5"/>
      <c r="G10741" s="5"/>
    </row>
    <row r="10742" spans="1:7" ht="58.5" customHeight="1" x14ac:dyDescent="0.25">
      <c r="A10742" s="5" t="str">
        <f>"H0029615"</f>
        <v>H0029615</v>
      </c>
      <c r="B10742" s="5" t="str">
        <f t="shared" ref="B10742:B10748" si="550">"TORRE DE ALMACENAMIENTO DE LÍQUIDOS (cental de mezclas)"</f>
        <v>TORRE DE ALMACENAMIENTO DE LÍQUIDOS (cental de mezclas)</v>
      </c>
      <c r="C10742" s="6">
        <v>4165000</v>
      </c>
      <c r="D10742" s="5" t="s">
        <v>632</v>
      </c>
      <c r="E10742" s="5" t="str">
        <f t="shared" si="549"/>
        <v>FARMACIA-RAFAEL CELIS</v>
      </c>
      <c r="F10742" s="5"/>
      <c r="G10742" s="5"/>
    </row>
    <row r="10743" spans="1:7" ht="58.5" customHeight="1" x14ac:dyDescent="0.25">
      <c r="A10743" s="5" t="str">
        <f>"H0029616"</f>
        <v>H0029616</v>
      </c>
      <c r="B10743" s="5" t="str">
        <f t="shared" si="550"/>
        <v>TORRE DE ALMACENAMIENTO DE LÍQUIDOS (cental de mezclas)</v>
      </c>
      <c r="C10743" s="6">
        <v>4165000</v>
      </c>
      <c r="D10743" s="5" t="s">
        <v>632</v>
      </c>
      <c r="E10743" s="5" t="str">
        <f t="shared" si="549"/>
        <v>FARMACIA-RAFAEL CELIS</v>
      </c>
      <c r="F10743" s="5"/>
      <c r="G10743" s="5"/>
    </row>
    <row r="10744" spans="1:7" ht="58.5" customHeight="1" x14ac:dyDescent="0.25">
      <c r="A10744" s="5" t="str">
        <f>"H0029617"</f>
        <v>H0029617</v>
      </c>
      <c r="B10744" s="5" t="str">
        <f t="shared" si="550"/>
        <v>TORRE DE ALMACENAMIENTO DE LÍQUIDOS (cental de mezclas)</v>
      </c>
      <c r="C10744" s="6">
        <v>4165000</v>
      </c>
      <c r="D10744" s="5" t="s">
        <v>632</v>
      </c>
      <c r="E10744" s="5" t="str">
        <f t="shared" si="549"/>
        <v>FARMACIA-RAFAEL CELIS</v>
      </c>
      <c r="F10744" s="5"/>
      <c r="G10744" s="5"/>
    </row>
    <row r="10745" spans="1:7" ht="58.5" customHeight="1" x14ac:dyDescent="0.25">
      <c r="A10745" s="5" t="str">
        <f>"H0029618"</f>
        <v>H0029618</v>
      </c>
      <c r="B10745" s="5" t="str">
        <f t="shared" si="550"/>
        <v>TORRE DE ALMACENAMIENTO DE LÍQUIDOS (cental de mezclas)</v>
      </c>
      <c r="C10745" s="6">
        <v>4165000</v>
      </c>
      <c r="D10745" s="5" t="s">
        <v>632</v>
      </c>
      <c r="E10745" s="5" t="str">
        <f t="shared" si="549"/>
        <v>FARMACIA-RAFAEL CELIS</v>
      </c>
      <c r="F10745" s="5"/>
      <c r="G10745" s="5"/>
    </row>
    <row r="10746" spans="1:7" ht="58.5" customHeight="1" x14ac:dyDescent="0.25">
      <c r="A10746" s="5" t="str">
        <f>"H0029793"</f>
        <v>H0029793</v>
      </c>
      <c r="B10746" s="5" t="str">
        <f t="shared" si="550"/>
        <v>TORRE DE ALMACENAMIENTO DE LÍQUIDOS (cental de mezclas)</v>
      </c>
      <c r="C10746" s="6">
        <v>4462500</v>
      </c>
      <c r="D10746" s="5" t="s">
        <v>633</v>
      </c>
      <c r="E10746" s="5" t="str">
        <f t="shared" si="549"/>
        <v>FARMACIA-RAFAEL CELIS</v>
      </c>
      <c r="F10746" s="5"/>
      <c r="G10746" s="5"/>
    </row>
    <row r="10747" spans="1:7" ht="58.5" customHeight="1" x14ac:dyDescent="0.25">
      <c r="A10747" s="5" t="str">
        <f>"H0029794"</f>
        <v>H0029794</v>
      </c>
      <c r="B10747" s="5" t="str">
        <f t="shared" si="550"/>
        <v>TORRE DE ALMACENAMIENTO DE LÍQUIDOS (cental de mezclas)</v>
      </c>
      <c r="C10747" s="6">
        <v>4462500</v>
      </c>
      <c r="D10747" s="5" t="s">
        <v>633</v>
      </c>
      <c r="E10747" s="5" t="str">
        <f t="shared" si="549"/>
        <v>FARMACIA-RAFAEL CELIS</v>
      </c>
      <c r="F10747" s="5"/>
      <c r="G10747" s="5"/>
    </row>
    <row r="10748" spans="1:7" ht="58.5" customHeight="1" x14ac:dyDescent="0.25">
      <c r="A10748" s="5" t="str">
        <f>"H0029795"</f>
        <v>H0029795</v>
      </c>
      <c r="B10748" s="5" t="str">
        <f t="shared" si="550"/>
        <v>TORRE DE ALMACENAMIENTO DE LÍQUIDOS (cental de mezclas)</v>
      </c>
      <c r="C10748" s="6">
        <v>4462500</v>
      </c>
      <c r="D10748" s="5" t="s">
        <v>633</v>
      </c>
      <c r="E10748" s="5" t="str">
        <f t="shared" si="549"/>
        <v>FARMACIA-RAFAEL CELIS</v>
      </c>
      <c r="F10748" s="5"/>
      <c r="G10748" s="5"/>
    </row>
    <row r="10749" spans="1:7" ht="58.5" customHeight="1" x14ac:dyDescent="0.25">
      <c r="A10749" s="5" t="str">
        <f>"H0029814"</f>
        <v>H0029814</v>
      </c>
      <c r="B10749" s="5" t="str">
        <f>"NEVERA DE 66 LTS"</f>
        <v>NEVERA DE 66 LTS</v>
      </c>
      <c r="C10749" s="6">
        <v>14257390</v>
      </c>
      <c r="D10749" s="5" t="s">
        <v>634</v>
      </c>
      <c r="E10749" s="5" t="str">
        <f t="shared" ref="E10749:E10780" si="551">"FARMACIA-RAFAEL CELIS"</f>
        <v>FARMACIA-RAFAEL CELIS</v>
      </c>
      <c r="F10749" s="5"/>
      <c r="G10749" s="5"/>
    </row>
    <row r="10750" spans="1:7" ht="58.5" customHeight="1" x14ac:dyDescent="0.25">
      <c r="A10750" s="5" t="str">
        <f>"H0029815"</f>
        <v>H0029815</v>
      </c>
      <c r="B10750" s="5" t="str">
        <f>"NEVERA DE 66 LTS"</f>
        <v>NEVERA DE 66 LTS</v>
      </c>
      <c r="C10750" s="6">
        <v>14257390</v>
      </c>
      <c r="D10750" s="5" t="s">
        <v>634</v>
      </c>
      <c r="E10750" s="5" t="str">
        <f t="shared" si="551"/>
        <v>FARMACIA-RAFAEL CELIS</v>
      </c>
      <c r="F10750" s="5"/>
      <c r="G10750" s="5"/>
    </row>
    <row r="10751" spans="1:7" ht="58.5" customHeight="1" x14ac:dyDescent="0.25">
      <c r="A10751" s="5" t="str">
        <f>"H0031209"</f>
        <v>H0031209</v>
      </c>
      <c r="B10751" s="5" t="str">
        <f t="shared" ref="B10751:B10764" si="552">"ESTANTE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751" s="6">
        <v>246036.99</v>
      </c>
      <c r="D10751" s="5" t="s">
        <v>103</v>
      </c>
      <c r="E10751" s="5" t="str">
        <f t="shared" si="551"/>
        <v>FARMACIA-RAFAEL CELIS</v>
      </c>
      <c r="F10751" s="5"/>
      <c r="G10751" s="5"/>
    </row>
    <row r="10752" spans="1:7" ht="58.5" customHeight="1" x14ac:dyDescent="0.25">
      <c r="A10752" s="5" t="str">
        <f>"H0031210"</f>
        <v>H0031210</v>
      </c>
      <c r="B10752" s="5" t="str">
        <f t="shared" si="552"/>
        <v>ESTANTE CONSTRUIDOS EN LAMINAS METÁLICAS SOLIDAS, RESISTENTES Y ESTABLES CON TRATAMIENTO ANTICORROSIVO, CON 7 ENTREPAÑOS, DE 0.94 CMS DE ANCHO, CON ALTURA DE 2.20MTS Y CADA BANDEJA DEBE SOPORTAR UN PESO DE 100KG/MT LINEA</v>
      </c>
      <c r="C10752" s="6">
        <v>246036.99</v>
      </c>
      <c r="D10752" s="5" t="s">
        <v>103</v>
      </c>
      <c r="E10752" s="5" t="str">
        <f t="shared" si="551"/>
        <v>FARMACIA-RAFAEL CELIS</v>
      </c>
      <c r="F10752" s="5"/>
      <c r="G10752" s="5"/>
    </row>
    <row r="10753" spans="1:7" ht="58.5" customHeight="1" x14ac:dyDescent="0.25">
      <c r="A10753" s="5" t="str">
        <f>"H0031211"</f>
        <v>H0031211</v>
      </c>
      <c r="B10753" s="5" t="str">
        <f t="shared" si="552"/>
        <v>ESTANTE CONSTRUIDOS EN LAMINAS METÁLICAS SOLIDAS, RESISTENTES Y ESTABLES CON TRATAMIENTO ANTICORROSIVO, CON 7 ENTREPAÑOS, DE 0.94 CMS DE ANCHO, CON ALTURA DE 2.20MTS Y CADA BANDEJA DEBE SOPORTAR UN PESO DE 100KG/MT LINEA</v>
      </c>
      <c r="C10753" s="6">
        <v>246036.99</v>
      </c>
      <c r="D10753" s="5" t="s">
        <v>103</v>
      </c>
      <c r="E10753" s="5" t="str">
        <f t="shared" si="551"/>
        <v>FARMACIA-RAFAEL CELIS</v>
      </c>
      <c r="F10753" s="5"/>
      <c r="G10753" s="5"/>
    </row>
    <row r="10754" spans="1:7" ht="58.5" customHeight="1" x14ac:dyDescent="0.25">
      <c r="A10754" s="5" t="str">
        <f>"H0031212"</f>
        <v>H0031212</v>
      </c>
      <c r="B10754" s="5" t="str">
        <f t="shared" si="552"/>
        <v>ESTANTE CONSTRUIDOS EN LAMINAS METÁLICAS SOLIDAS, RESISTENTES Y ESTABLES CON TRATAMIENTO ANTICORROSIVO, CON 7 ENTREPAÑOS, DE 0.94 CMS DE ANCHO, CON ALTURA DE 2.20MTS Y CADA BANDEJA DEBE SOPORTAR UN PESO DE 100KG/MT LINEA</v>
      </c>
      <c r="C10754" s="6">
        <v>246036.99</v>
      </c>
      <c r="D10754" s="5" t="s">
        <v>103</v>
      </c>
      <c r="E10754" s="5" t="str">
        <f t="shared" si="551"/>
        <v>FARMACIA-RAFAEL CELIS</v>
      </c>
      <c r="F10754" s="5"/>
      <c r="G10754" s="5"/>
    </row>
    <row r="10755" spans="1:7" ht="58.5" customHeight="1" x14ac:dyDescent="0.25">
      <c r="A10755" s="5" t="str">
        <f>"H0031213"</f>
        <v>H0031213</v>
      </c>
      <c r="B10755" s="5" t="str">
        <f t="shared" si="552"/>
        <v>ESTANTE CONSTRUIDOS EN LAMINAS METÁLICAS SOLIDAS, RESISTENTES Y ESTABLES CON TRATAMIENTO ANTICORROSIVO, CON 7 ENTREPAÑOS, DE 0.94 CMS DE ANCHO, CON ALTURA DE 2.20MTS Y CADA BANDEJA DEBE SOPORTAR UN PESO DE 100KG/MT LINEA</v>
      </c>
      <c r="C10755" s="6">
        <v>246036.99</v>
      </c>
      <c r="D10755" s="5" t="s">
        <v>103</v>
      </c>
      <c r="E10755" s="5" t="str">
        <f t="shared" si="551"/>
        <v>FARMACIA-RAFAEL CELIS</v>
      </c>
      <c r="F10755" s="5"/>
      <c r="G10755" s="5"/>
    </row>
    <row r="10756" spans="1:7" ht="58.5" customHeight="1" x14ac:dyDescent="0.25">
      <c r="A10756" s="5" t="str">
        <f>"H0031214"</f>
        <v>H0031214</v>
      </c>
      <c r="B10756" s="5" t="str">
        <f t="shared" si="552"/>
        <v>ESTANTE CONSTRUIDOS EN LAMINAS METÁLICAS SOLIDAS, RESISTENTES Y ESTABLES CON TRATAMIENTO ANTICORROSIVO, CON 7 ENTREPAÑOS, DE 0.94 CMS DE ANCHO, CON ALTURA DE 2.20MTS Y CADA BANDEJA DEBE SOPORTAR UN PESO DE 100KG/MT LINEA</v>
      </c>
      <c r="C10756" s="6">
        <v>246036.99</v>
      </c>
      <c r="D10756" s="5" t="s">
        <v>103</v>
      </c>
      <c r="E10756" s="5" t="str">
        <f t="shared" si="551"/>
        <v>FARMACIA-RAFAEL CELIS</v>
      </c>
      <c r="F10756" s="5"/>
      <c r="G10756" s="5"/>
    </row>
    <row r="10757" spans="1:7" ht="58.5" customHeight="1" x14ac:dyDescent="0.25">
      <c r="A10757" s="5" t="str">
        <f>"H0031215"</f>
        <v>H0031215</v>
      </c>
      <c r="B10757" s="5" t="str">
        <f t="shared" si="552"/>
        <v>ESTANTE CONSTRUIDOS EN LAMINAS METÁLICAS SOLIDAS, RESISTENTES Y ESTABLES CON TRATAMIENTO ANTICORROSIVO, CON 7 ENTREPAÑOS, DE 0.94 CMS DE ANCHO, CON ALTURA DE 2.20MTS Y CADA BANDEJA DEBE SOPORTAR UN PESO DE 100KG/MT LINEA</v>
      </c>
      <c r="C10757" s="6">
        <v>246036.99</v>
      </c>
      <c r="D10757" s="5" t="s">
        <v>103</v>
      </c>
      <c r="E10757" s="5" t="str">
        <f t="shared" si="551"/>
        <v>FARMACIA-RAFAEL CELIS</v>
      </c>
      <c r="F10757" s="5"/>
      <c r="G10757" s="5"/>
    </row>
    <row r="10758" spans="1:7" ht="58.5" customHeight="1" x14ac:dyDescent="0.25">
      <c r="A10758" s="5" t="str">
        <f>"H0031216"</f>
        <v>H0031216</v>
      </c>
      <c r="B10758" s="5" t="str">
        <f t="shared" si="552"/>
        <v>ESTANTE CONSTRUIDOS EN LAMINAS METÁLICAS SOLIDAS, RESISTENTES Y ESTABLES CON TRATAMIENTO ANTICORROSIVO, CON 7 ENTREPAÑOS, DE 0.94 CMS DE ANCHO, CON ALTURA DE 2.20MTS Y CADA BANDEJA DEBE SOPORTAR UN PESO DE 100KG/MT LINEA</v>
      </c>
      <c r="C10758" s="6">
        <v>246036.99</v>
      </c>
      <c r="D10758" s="5" t="s">
        <v>103</v>
      </c>
      <c r="E10758" s="5" t="str">
        <f t="shared" si="551"/>
        <v>FARMACIA-RAFAEL CELIS</v>
      </c>
      <c r="F10758" s="5"/>
      <c r="G10758" s="5"/>
    </row>
    <row r="10759" spans="1:7" ht="58.5" customHeight="1" x14ac:dyDescent="0.25">
      <c r="A10759" s="5" t="str">
        <f>"H0031217"</f>
        <v>H0031217</v>
      </c>
      <c r="B10759" s="5" t="str">
        <f t="shared" si="552"/>
        <v>ESTANTE CONSTRUIDOS EN LAMINAS METÁLICAS SOLIDAS, RESISTENTES Y ESTABLES CON TRATAMIENTO ANTICORROSIVO, CON 7 ENTREPAÑOS, DE 0.94 CMS DE ANCHO, CON ALTURA DE 2.20MTS Y CADA BANDEJA DEBE SOPORTAR UN PESO DE 100KG/MT LINEA</v>
      </c>
      <c r="C10759" s="6">
        <v>246036.99</v>
      </c>
      <c r="D10759" s="5" t="s">
        <v>103</v>
      </c>
      <c r="E10759" s="5" t="str">
        <f t="shared" si="551"/>
        <v>FARMACIA-RAFAEL CELIS</v>
      </c>
      <c r="F10759" s="5"/>
      <c r="G10759" s="5"/>
    </row>
    <row r="10760" spans="1:7" ht="58.5" customHeight="1" x14ac:dyDescent="0.25">
      <c r="A10760" s="5" t="str">
        <f>"H0031218"</f>
        <v>H0031218</v>
      </c>
      <c r="B10760" s="5" t="str">
        <f t="shared" si="552"/>
        <v>ESTANTE CONSTRUIDOS EN LAMINAS METÁLICAS SOLIDAS, RESISTENTES Y ESTABLES CON TRATAMIENTO ANTICORROSIVO, CON 7 ENTREPAÑOS, DE 0.94 CMS DE ANCHO, CON ALTURA DE 2.20MTS Y CADA BANDEJA DEBE SOPORTAR UN PESO DE 100KG/MT LINEA</v>
      </c>
      <c r="C10760" s="6">
        <v>246036.99</v>
      </c>
      <c r="D10760" s="5" t="s">
        <v>103</v>
      </c>
      <c r="E10760" s="5" t="str">
        <f t="shared" si="551"/>
        <v>FARMACIA-RAFAEL CELIS</v>
      </c>
      <c r="F10760" s="5"/>
      <c r="G10760" s="5"/>
    </row>
    <row r="10761" spans="1:7" ht="58.5" customHeight="1" x14ac:dyDescent="0.25">
      <c r="A10761" s="5" t="str">
        <f>"H0031219"</f>
        <v>H0031219</v>
      </c>
      <c r="B10761" s="5" t="str">
        <f t="shared" si="552"/>
        <v>ESTANTE CONSTRUIDOS EN LAMINAS METÁLICAS SOLIDAS, RESISTENTES Y ESTABLES CON TRATAMIENTO ANTICORROSIVO, CON 7 ENTREPAÑOS, DE 0.94 CMS DE ANCHO, CON ALTURA DE 2.20MTS Y CADA BANDEJA DEBE SOPORTAR UN PESO DE 100KG/MT LINEA</v>
      </c>
      <c r="C10761" s="6">
        <v>246036.99</v>
      </c>
      <c r="D10761" s="5" t="s">
        <v>103</v>
      </c>
      <c r="E10761" s="5" t="str">
        <f t="shared" si="551"/>
        <v>FARMACIA-RAFAEL CELIS</v>
      </c>
      <c r="F10761" s="5"/>
      <c r="G10761" s="5"/>
    </row>
    <row r="10762" spans="1:7" ht="58.5" customHeight="1" x14ac:dyDescent="0.25">
      <c r="A10762" s="5" t="str">
        <f>"H0031220"</f>
        <v>H0031220</v>
      </c>
      <c r="B10762" s="5" t="str">
        <f t="shared" si="552"/>
        <v>ESTANTE CONSTRUIDOS EN LAMINAS METÁLICAS SOLIDAS, RESISTENTES Y ESTABLES CON TRATAMIENTO ANTICORROSIVO, CON 7 ENTREPAÑOS, DE 0.94 CMS DE ANCHO, CON ALTURA DE 2.20MTS Y CADA BANDEJA DEBE SOPORTAR UN PESO DE 100KG/MT LINEA</v>
      </c>
      <c r="C10762" s="6">
        <v>246036.99</v>
      </c>
      <c r="D10762" s="5" t="s">
        <v>103</v>
      </c>
      <c r="E10762" s="5" t="str">
        <f t="shared" si="551"/>
        <v>FARMACIA-RAFAEL CELIS</v>
      </c>
      <c r="F10762" s="5"/>
      <c r="G10762" s="5"/>
    </row>
    <row r="10763" spans="1:7" ht="58.5" customHeight="1" x14ac:dyDescent="0.25">
      <c r="A10763" s="5" t="str">
        <f>"H0031224"</f>
        <v>H0031224</v>
      </c>
      <c r="B10763" s="5" t="str">
        <f t="shared" si="552"/>
        <v>ESTANTE CONSTRUIDOS EN LAMINAS METÁLICAS SOLIDAS, RESISTENTES Y ESTABLES CON TRATAMIENTO ANTICORROSIVO, CON 7 ENTREPAÑOS, DE 0.94 CMS DE ANCHO, CON ALTURA DE 2.20MTS Y CADA BANDEJA DEBE SOPORTAR UN PESO DE 100KG/MT LINEA</v>
      </c>
      <c r="C10763" s="6">
        <v>246036.99</v>
      </c>
      <c r="D10763" s="5" t="s">
        <v>103</v>
      </c>
      <c r="E10763" s="5" t="str">
        <f t="shared" si="551"/>
        <v>FARMACIA-RAFAEL CELIS</v>
      </c>
      <c r="F10763" s="5"/>
      <c r="G10763" s="5"/>
    </row>
    <row r="10764" spans="1:7" ht="58.5" customHeight="1" x14ac:dyDescent="0.25">
      <c r="A10764" s="5" t="str">
        <f>"H0031225"</f>
        <v>H0031225</v>
      </c>
      <c r="B10764" s="5" t="str">
        <f t="shared" si="552"/>
        <v>ESTANTE CONSTRUIDOS EN LAMINAS METÁLICAS SOLIDAS, RESISTENTES Y ESTABLES CON TRATAMIENTO ANTICORROSIVO, CON 7 ENTREPAÑOS, DE 0.94 CMS DE ANCHO, CON ALTURA DE 2.20MTS Y CADA BANDEJA DEBE SOPORTAR UN PESO DE 100KG/MT LINEA</v>
      </c>
      <c r="C10764" s="6">
        <v>246036.99</v>
      </c>
      <c r="D10764" s="5" t="s">
        <v>103</v>
      </c>
      <c r="E10764" s="5" t="str">
        <f t="shared" si="551"/>
        <v>FARMACIA-RAFAEL CELIS</v>
      </c>
      <c r="F10764" s="5"/>
      <c r="G10764" s="5"/>
    </row>
    <row r="10765" spans="1:7" ht="58.5" customHeight="1" x14ac:dyDescent="0.25">
      <c r="A10765" s="5" t="str">
        <f>"H0031446"</f>
        <v>H0031446</v>
      </c>
      <c r="B1076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0765" s="6">
        <v>3209500</v>
      </c>
      <c r="D10765" s="5" t="s">
        <v>16</v>
      </c>
      <c r="E10765" s="5" t="str">
        <f t="shared" si="551"/>
        <v>FARMACIA-RAFAEL CELIS</v>
      </c>
      <c r="F10765" s="5"/>
      <c r="G10765" s="5"/>
    </row>
    <row r="10766" spans="1:7" ht="58.5" customHeight="1" x14ac:dyDescent="0.25">
      <c r="A10766" s="5" t="str">
        <f>"H0031615"</f>
        <v>H0031615</v>
      </c>
      <c r="B10766" s="5" t="str">
        <f>"ESCRITORIO EN L MATERIAL MELAMINA RH MEDIDAS LARGO 1.87 MTS  + 1.20 MTS FONDO 0.55 MTS ALTO 0.76 MTS"</f>
        <v>ESCRITORIO EN L MATERIAL MELAMINA RH MEDIDAS LARGO 1.87 MTS  + 1.20 MTS FONDO 0.55 MTS ALTO 0.76 MTS</v>
      </c>
      <c r="C10766" s="6">
        <v>1200000</v>
      </c>
      <c r="D10766" s="5" t="s">
        <v>42</v>
      </c>
      <c r="E10766" s="5" t="str">
        <f t="shared" si="551"/>
        <v>FARMACIA-RAFAEL CELIS</v>
      </c>
      <c r="F10766" s="5"/>
      <c r="G10766" s="5"/>
    </row>
    <row r="10767" spans="1:7" ht="58.5" customHeight="1" x14ac:dyDescent="0.25">
      <c r="A10767" s="5" t="str">
        <f>"H0033988"</f>
        <v>H0033988</v>
      </c>
      <c r="B10767" s="5" t="s">
        <v>329</v>
      </c>
      <c r="C10767" s="6">
        <v>258000</v>
      </c>
      <c r="D10767" s="5" t="s">
        <v>122</v>
      </c>
      <c r="E10767" s="5" t="str">
        <f t="shared" si="551"/>
        <v>FARMACIA-RAFAEL CELIS</v>
      </c>
      <c r="F10767" s="5"/>
      <c r="G10767" s="5"/>
    </row>
    <row r="10768" spans="1:7" ht="58.5" customHeight="1" x14ac:dyDescent="0.25">
      <c r="A10768" s="5" t="str">
        <f>"H0033991"</f>
        <v>H0033991</v>
      </c>
      <c r="B10768" s="5" t="s">
        <v>329</v>
      </c>
      <c r="C10768" s="6">
        <v>258000</v>
      </c>
      <c r="D10768" s="5" t="s">
        <v>122</v>
      </c>
      <c r="E10768" s="5" t="str">
        <f t="shared" si="551"/>
        <v>FARMACIA-RAFAEL CELIS</v>
      </c>
      <c r="F10768" s="5"/>
      <c r="G10768" s="5"/>
    </row>
    <row r="10769" spans="1:7" ht="58.5" customHeight="1" x14ac:dyDescent="0.25">
      <c r="A10769" s="5" t="str">
        <f>"H0034026"</f>
        <v>H0034026</v>
      </c>
      <c r="B10769" s="5" t="s">
        <v>329</v>
      </c>
      <c r="C10769" s="6">
        <v>258000</v>
      </c>
      <c r="D10769" s="5" t="s">
        <v>122</v>
      </c>
      <c r="E10769" s="5" t="str">
        <f t="shared" si="551"/>
        <v>FARMACIA-RAFAEL CELIS</v>
      </c>
      <c r="F10769" s="5"/>
      <c r="G10769" s="5"/>
    </row>
    <row r="10770" spans="1:7" ht="58.5" customHeight="1" x14ac:dyDescent="0.25">
      <c r="A10770" s="5" t="str">
        <f>"H0034028"</f>
        <v>H0034028</v>
      </c>
      <c r="B10770" s="5" t="s">
        <v>329</v>
      </c>
      <c r="C10770" s="6">
        <v>258000</v>
      </c>
      <c r="D10770" s="5" t="s">
        <v>122</v>
      </c>
      <c r="E10770" s="5" t="str">
        <f t="shared" si="551"/>
        <v>FARMACIA-RAFAEL CELIS</v>
      </c>
      <c r="F10770" s="5"/>
      <c r="G10770" s="5"/>
    </row>
    <row r="10771" spans="1:7" ht="58.5" customHeight="1" x14ac:dyDescent="0.25">
      <c r="A10771" s="5" t="str">
        <f>"H0034029"</f>
        <v>H0034029</v>
      </c>
      <c r="B10771" s="5" t="s">
        <v>329</v>
      </c>
      <c r="C10771" s="6">
        <v>258000</v>
      </c>
      <c r="D10771" s="5" t="s">
        <v>122</v>
      </c>
      <c r="E10771" s="5" t="str">
        <f t="shared" si="551"/>
        <v>FARMACIA-RAFAEL CELIS</v>
      </c>
      <c r="F10771" s="5"/>
      <c r="G10771" s="5"/>
    </row>
    <row r="10772" spans="1:7" ht="58.5" customHeight="1" x14ac:dyDescent="0.25">
      <c r="A10772" s="5" t="str">
        <f>"H0034045"</f>
        <v>H0034045</v>
      </c>
      <c r="B10772" s="5" t="s">
        <v>329</v>
      </c>
      <c r="C10772" s="6">
        <v>258000</v>
      </c>
      <c r="D10772" s="5" t="s">
        <v>122</v>
      </c>
      <c r="E10772" s="5" t="str">
        <f t="shared" si="551"/>
        <v>FARMACIA-RAFAEL CELIS</v>
      </c>
      <c r="F10772" s="5"/>
      <c r="G10772" s="5"/>
    </row>
    <row r="10773" spans="1:7" ht="58.5" customHeight="1" x14ac:dyDescent="0.25">
      <c r="A10773" s="5" t="str">
        <f>"H0034547"</f>
        <v>H0034547</v>
      </c>
      <c r="B10773" s="5" t="str">
        <f>"IMPRESORA DE TRANSFERENCIA TÉRMICA DE ETIQUETAS VELOCIDAD DE IMPRESIÓN 14 IPS. RESOLUCIÓN ENTRE 200 Y 600 DPI. ANCHO DE IMPRESIÓN HASTA 100 mm. MEMORIA DDR DE 256 MB. ROLLO DE CERA O RESINA HASTA 100 mm X 300 m. CONEXIÓN USB Y ETHERNET 10/100. PANTALLA LC"&amp; "D. IMPRESIÓN DE CÓDIGOS DE BARRA CODE 128 Y DE CÓDIGOS BIDIMENSIONALES. SENSOR DE IDENTIFICACIÓN DE ETIQUETAS. VOLTAJE DE ALIMENTACIÓN 100 A 240 V."</f>
        <v>IMPRESORA DE TRANSFERENCIA TÉRMICA DE ETIQUETAS VELOCIDAD DE IMPRESIÓN 14 IPS. RESOLUCIÓN ENTRE 200 Y 600 DPI. ANCHO DE IMPRESIÓN HASTA 100 mm. MEMORIA DDR DE 256 MB. ROLLO DE CERA O RESINA HASTA 100 mm X 300 m. CONEXIÓN USB Y ETHERNET 10/100. PANTALLA LCD. IMPRESIÓN DE CÓDIGOS DE BARRA CODE 128 Y DE CÓDIGOS BIDIMENSIONALES. SENSOR DE IDENTIFICACIÓN DE ETIQUETAS. VOLTAJE DE ALIMENTACIÓN 100 A 240 V.</v>
      </c>
      <c r="C10773" s="6">
        <v>7871850</v>
      </c>
      <c r="D10773" s="5" t="s">
        <v>626</v>
      </c>
      <c r="E10773" s="5" t="str">
        <f t="shared" si="551"/>
        <v>FARMACIA-RAFAEL CELIS</v>
      </c>
      <c r="F10773" s="5"/>
      <c r="G10773" s="5"/>
    </row>
    <row r="10774" spans="1:7" ht="58.5" customHeight="1" x14ac:dyDescent="0.25">
      <c r="A10774" s="5" t="str">
        <f>"H0035421"</f>
        <v>H0035421</v>
      </c>
      <c r="B10774" s="5" t="str">
        <f>"COMPUTADOR TODO EN UNO HP  200 G4 CORPORATIVO  21.5  Intel® Core™ i5-10210U 10ma generación), Disco Duro 1TB"</f>
        <v>COMPUTADOR TODO EN UNO HP  200 G4 CORPORATIVO  21.5  Intel® Core™ i5-10210U 10ma generación), Disco Duro 1TB</v>
      </c>
      <c r="C10774" s="6">
        <v>5343100</v>
      </c>
      <c r="D10774" s="5" t="s">
        <v>197</v>
      </c>
      <c r="E10774" s="5" t="str">
        <f t="shared" si="551"/>
        <v>FARMACIA-RAFAEL CELIS</v>
      </c>
      <c r="F10774" s="5"/>
      <c r="G10774" s="5"/>
    </row>
    <row r="10775" spans="1:7" ht="58.5" customHeight="1" x14ac:dyDescent="0.25">
      <c r="A10775" s="5" t="str">
        <f>"H0035423"</f>
        <v>H0035423</v>
      </c>
      <c r="B10775" s="5" t="str">
        <f>"COMPUTADOR TODO EN UNO HP  200 G4 CORPORATIVO  21.5  Intel® Core™ i5-10210U 10ma generación), Disco Duro 1TB"</f>
        <v>COMPUTADOR TODO EN UNO HP  200 G4 CORPORATIVO  21.5  Intel® Core™ i5-10210U 10ma generación), Disco Duro 1TB</v>
      </c>
      <c r="C10775" s="6">
        <v>5343100</v>
      </c>
      <c r="D10775" s="5" t="s">
        <v>197</v>
      </c>
      <c r="E10775" s="5" t="str">
        <f t="shared" si="551"/>
        <v>FARMACIA-RAFAEL CELIS</v>
      </c>
      <c r="F10775" s="5"/>
      <c r="G10775" s="5"/>
    </row>
    <row r="10776" spans="1:7" ht="58.5" customHeight="1" x14ac:dyDescent="0.25">
      <c r="A10776" s="5" t="str">
        <f>"H0035424"</f>
        <v>H0035424</v>
      </c>
      <c r="B10776" s="5" t="str">
        <f>"COMPUTADOR TODO EN UNO HP  200 G4 CORPORATIVO  21.5  Intel® Core™ i5-10210U 10ma generación), Disco Duro 1TB"</f>
        <v>COMPUTADOR TODO EN UNO HP  200 G4 CORPORATIVO  21.5  Intel® Core™ i5-10210U 10ma generación), Disco Duro 1TB</v>
      </c>
      <c r="C10776" s="6">
        <v>5343100</v>
      </c>
      <c r="D10776" s="5" t="s">
        <v>197</v>
      </c>
      <c r="E10776" s="5" t="str">
        <f t="shared" si="551"/>
        <v>FARMACIA-RAFAEL CELIS</v>
      </c>
      <c r="F10776" s="5"/>
      <c r="G10776" s="5"/>
    </row>
    <row r="10777" spans="1:7" ht="58.5" customHeight="1" x14ac:dyDescent="0.25">
      <c r="A10777" s="5" t="str">
        <f>"H0035425"</f>
        <v>H0035425</v>
      </c>
      <c r="B10777" s="5" t="str">
        <f>"COMPUTADOR TODO EN UNO HP  200 G4 CORPORATIVO  21.5  Intel® Core™ i5-10210U 10ma generación), Disco Duro 1TB"</f>
        <v>COMPUTADOR TODO EN UNO HP  200 G4 CORPORATIVO  21.5  Intel® Core™ i5-10210U 10ma generación), Disco Duro 1TB</v>
      </c>
      <c r="C10777" s="6">
        <v>5343100</v>
      </c>
      <c r="D10777" s="5" t="s">
        <v>197</v>
      </c>
      <c r="E10777" s="5" t="str">
        <f t="shared" si="551"/>
        <v>FARMACIA-RAFAEL CELIS</v>
      </c>
      <c r="F10777" s="5"/>
      <c r="G10777" s="5"/>
    </row>
    <row r="10778" spans="1:7" ht="58.5" customHeight="1" x14ac:dyDescent="0.25">
      <c r="A10778" s="5" t="str">
        <f>"H0035735"</f>
        <v>H0035735</v>
      </c>
      <c r="B10778" s="5" t="str">
        <f t="shared" ref="B10778:B10783" si="553">"SILLA GERENTE NIZA MEC. BASCULANTE CON BRAZOS."</f>
        <v>SILLA GERENTE NIZA MEC. BASCULANTE CON BRAZOS.</v>
      </c>
      <c r="C10778" s="6">
        <v>639999.86</v>
      </c>
      <c r="D10778" s="5" t="s">
        <v>46</v>
      </c>
      <c r="E10778" s="5" t="str">
        <f t="shared" si="551"/>
        <v>FARMACIA-RAFAEL CELIS</v>
      </c>
      <c r="F10778" s="5"/>
      <c r="G10778" s="5"/>
    </row>
    <row r="10779" spans="1:7" ht="58.5" customHeight="1" x14ac:dyDescent="0.25">
      <c r="A10779" s="5" t="str">
        <f>"H0035736"</f>
        <v>H0035736</v>
      </c>
      <c r="B10779" s="5" t="str">
        <f t="shared" si="553"/>
        <v>SILLA GERENTE NIZA MEC. BASCULANTE CON BRAZOS.</v>
      </c>
      <c r="C10779" s="6">
        <v>639999.86</v>
      </c>
      <c r="D10779" s="5" t="s">
        <v>46</v>
      </c>
      <c r="E10779" s="5" t="str">
        <f t="shared" si="551"/>
        <v>FARMACIA-RAFAEL CELIS</v>
      </c>
      <c r="F10779" s="5"/>
      <c r="G10779" s="5"/>
    </row>
    <row r="10780" spans="1:7" ht="58.5" customHeight="1" x14ac:dyDescent="0.25">
      <c r="A10780" s="5" t="str">
        <f>"H0035737"</f>
        <v>H0035737</v>
      </c>
      <c r="B10780" s="5" t="str">
        <f t="shared" si="553"/>
        <v>SILLA GERENTE NIZA MEC. BASCULANTE CON BRAZOS.</v>
      </c>
      <c r="C10780" s="6">
        <v>639999.86</v>
      </c>
      <c r="D10780" s="5" t="s">
        <v>46</v>
      </c>
      <c r="E10780" s="5" t="str">
        <f t="shared" si="551"/>
        <v>FARMACIA-RAFAEL CELIS</v>
      </c>
      <c r="F10780" s="5"/>
      <c r="G10780" s="5"/>
    </row>
    <row r="10781" spans="1:7" ht="58.5" customHeight="1" x14ac:dyDescent="0.25">
      <c r="A10781" s="5" t="str">
        <f>"H0035738"</f>
        <v>H0035738</v>
      </c>
      <c r="B10781" s="5" t="str">
        <f t="shared" si="553"/>
        <v>SILLA GERENTE NIZA MEC. BASCULANTE CON BRAZOS.</v>
      </c>
      <c r="C10781" s="6">
        <v>639999.86</v>
      </c>
      <c r="D10781" s="5" t="s">
        <v>46</v>
      </c>
      <c r="E10781" s="5" t="str">
        <f t="shared" ref="E10781:E10812" si="554">"FARMACIA-RAFAEL CELIS"</f>
        <v>FARMACIA-RAFAEL CELIS</v>
      </c>
      <c r="F10781" s="5"/>
      <c r="G10781" s="5"/>
    </row>
    <row r="10782" spans="1:7" ht="58.5" customHeight="1" x14ac:dyDescent="0.25">
      <c r="A10782" s="5" t="str">
        <f>"H0035850"</f>
        <v>H0035850</v>
      </c>
      <c r="B10782" s="5" t="str">
        <f t="shared" si="553"/>
        <v>SILLA GERENTE NIZA MEC. BASCULANTE CON BRAZOS.</v>
      </c>
      <c r="C10782" s="6">
        <v>639999.86</v>
      </c>
      <c r="D10782" s="5" t="s">
        <v>47</v>
      </c>
      <c r="E10782" s="5" t="str">
        <f t="shared" si="554"/>
        <v>FARMACIA-RAFAEL CELIS</v>
      </c>
      <c r="F10782" s="5"/>
      <c r="G10782" s="5"/>
    </row>
    <row r="10783" spans="1:7" ht="58.5" customHeight="1" x14ac:dyDescent="0.25">
      <c r="A10783" s="5" t="str">
        <f>"H0035852"</f>
        <v>H0035852</v>
      </c>
      <c r="B10783" s="5" t="str">
        <f t="shared" si="553"/>
        <v>SILLA GERENTE NIZA MEC. BASCULANTE CON BRAZOS.</v>
      </c>
      <c r="C10783" s="6">
        <v>639999.86</v>
      </c>
      <c r="D10783" s="5" t="s">
        <v>47</v>
      </c>
      <c r="E10783" s="5" t="str">
        <f t="shared" si="554"/>
        <v>FARMACIA-RAFAEL CELIS</v>
      </c>
      <c r="F10783" s="5"/>
      <c r="G10783" s="5"/>
    </row>
    <row r="10784" spans="1:7" ht="58.5" customHeight="1" x14ac:dyDescent="0.25">
      <c r="A10784" s="5" t="str">
        <f>"H0036377"</f>
        <v>H0036377</v>
      </c>
      <c r="B10784" s="5" t="str">
        <f>"REFRIGERADOR PARA ALMACENAMIENTO DE MEDICAMENTOS"</f>
        <v>REFRIGERADOR PARA ALMACENAMIENTO DE MEDICAMENTOS</v>
      </c>
      <c r="C10784" s="6">
        <v>24777272</v>
      </c>
      <c r="D10784" s="5" t="s">
        <v>635</v>
      </c>
      <c r="E10784" s="5" t="str">
        <f t="shared" si="554"/>
        <v>FARMACIA-RAFAEL CELIS</v>
      </c>
      <c r="F10784" s="5"/>
      <c r="G10784" s="5" t="str">
        <f>"VR20-D1-E1D115BGCIR"</f>
        <v>VR20-D1-E1D115BGCIR</v>
      </c>
    </row>
    <row r="10785" spans="1:7" ht="58.5" customHeight="1" x14ac:dyDescent="0.25">
      <c r="A10785" s="5" t="str">
        <f>"H0036378"</f>
        <v>H0036378</v>
      </c>
      <c r="B10785" s="5" t="str">
        <f>"REFRIGERADOR PARA ALMACENAMIENTO DE MEDICAMENTOS"</f>
        <v>REFRIGERADOR PARA ALMACENAMIENTO DE MEDICAMENTOS</v>
      </c>
      <c r="C10785" s="6">
        <v>24777272</v>
      </c>
      <c r="D10785" s="5" t="s">
        <v>635</v>
      </c>
      <c r="E10785" s="5" t="str">
        <f t="shared" si="554"/>
        <v>FARMACIA-RAFAEL CELIS</v>
      </c>
      <c r="F10785" s="5"/>
      <c r="G10785" s="5" t="str">
        <f>"VR20DBMAE"</f>
        <v>VR20DBMAE</v>
      </c>
    </row>
    <row r="10786" spans="1:7" ht="58.5" customHeight="1" x14ac:dyDescent="0.25">
      <c r="A10786" s="5" t="str">
        <f>"H0036404"</f>
        <v>H0036404</v>
      </c>
      <c r="B10786" s="5" t="str">
        <f>"VENTILADOR DE PARED"</f>
        <v>VENTILADOR DE PARED</v>
      </c>
      <c r="C10786" s="6">
        <v>295260</v>
      </c>
      <c r="D10786" s="5" t="s">
        <v>131</v>
      </c>
      <c r="E10786" s="5" t="str">
        <f t="shared" si="554"/>
        <v>FARMACIA-RAFAEL CELIS</v>
      </c>
      <c r="F10786" s="5"/>
      <c r="G10786" s="5"/>
    </row>
    <row r="10787" spans="1:7" ht="58.5" customHeight="1" x14ac:dyDescent="0.25">
      <c r="A10787" s="5" t="str">
        <f>"H0036520"</f>
        <v>H0036520</v>
      </c>
      <c r="B10787"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0787" s="6">
        <v>6307000</v>
      </c>
      <c r="D10787" s="5" t="s">
        <v>48</v>
      </c>
      <c r="E10787" s="5" t="str">
        <f t="shared" si="554"/>
        <v>FARMACIA-RAFAEL CELIS</v>
      </c>
      <c r="F10787" s="5"/>
      <c r="G10787" s="5" t="str">
        <f>"VZ4680G"</f>
        <v>VZ4680G</v>
      </c>
    </row>
    <row r="10788" spans="1:7" ht="58.5" customHeight="1" x14ac:dyDescent="0.25">
      <c r="A10788" s="5" t="str">
        <f>"H0036521"</f>
        <v>H0036521</v>
      </c>
      <c r="B10788"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0788" s="6">
        <v>6307000</v>
      </c>
      <c r="D10788" s="5" t="s">
        <v>48</v>
      </c>
      <c r="E10788" s="5" t="str">
        <f t="shared" si="554"/>
        <v>FARMACIA-RAFAEL CELIS</v>
      </c>
      <c r="F10788" s="5"/>
      <c r="G10788" s="5" t="str">
        <f>"VZ4680G"</f>
        <v>VZ4680G</v>
      </c>
    </row>
    <row r="10789" spans="1:7" ht="58.5" customHeight="1" x14ac:dyDescent="0.25">
      <c r="A10789" s="5" t="str">
        <f>"H0036533"</f>
        <v>H0036533</v>
      </c>
      <c r="B1078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0789" s="6">
        <v>6307000</v>
      </c>
      <c r="D10789" s="5" t="s">
        <v>48</v>
      </c>
      <c r="E10789" s="5" t="str">
        <f t="shared" si="554"/>
        <v>FARMACIA-RAFAEL CELIS</v>
      </c>
      <c r="F10789" s="5"/>
      <c r="G10789" s="5" t="str">
        <f>"VZ4680G"</f>
        <v>VZ4680G</v>
      </c>
    </row>
    <row r="10790" spans="1:7" ht="58.5" customHeight="1" x14ac:dyDescent="0.25">
      <c r="A10790" s="5" t="str">
        <f>"H0036584"</f>
        <v>H0036584</v>
      </c>
      <c r="B10790" s="5" t="str">
        <f>"ESCANER DE ALTA VELOCIDAD 35 PPM"</f>
        <v>ESCANER DE ALTA VELOCIDAD 35 PPM</v>
      </c>
      <c r="C10790" s="6">
        <v>2401636.36</v>
      </c>
      <c r="D10790" s="5" t="s">
        <v>199</v>
      </c>
      <c r="E10790" s="5" t="str">
        <f t="shared" si="554"/>
        <v>FARMACIA-RAFAEL CELIS</v>
      </c>
      <c r="F10790" s="5"/>
      <c r="G10790" s="5"/>
    </row>
    <row r="10791" spans="1:7" ht="58.5" customHeight="1" x14ac:dyDescent="0.25">
      <c r="A10791" s="5" t="str">
        <f>"H0036924"</f>
        <v>H0036924</v>
      </c>
      <c r="B10791" s="5" t="str">
        <f>"AIRE ACONDICIONADO DE 24000 BTU CONVENCIONAL R410"</f>
        <v>AIRE ACONDICIONADO DE 24000 BTU CONVENCIONAL R410</v>
      </c>
      <c r="C10791" s="6">
        <v>4950000</v>
      </c>
      <c r="D10791" s="5" t="s">
        <v>28</v>
      </c>
      <c r="E10791" s="5" t="str">
        <f t="shared" si="554"/>
        <v>FARMACIA-RAFAEL CELIS</v>
      </c>
      <c r="F10791" s="5"/>
      <c r="G10791" s="5"/>
    </row>
    <row r="10792" spans="1:7" ht="58.5" customHeight="1" x14ac:dyDescent="0.25">
      <c r="A10792" s="5" t="str">
        <f>"H0037217"</f>
        <v>H0037217</v>
      </c>
      <c r="B10792" s="5" t="str">
        <f>"AIRE ACONDICIONADO DE 36000 BTU PISO TECHO"</f>
        <v>AIRE ACONDICIONADO DE 36000 BTU PISO TECHO</v>
      </c>
      <c r="C10792" s="6">
        <v>6426000</v>
      </c>
      <c r="D10792" s="5" t="s">
        <v>201</v>
      </c>
      <c r="E10792" s="5" t="str">
        <f t="shared" si="554"/>
        <v>FARMACIA-RAFAEL CELIS</v>
      </c>
      <c r="F10792" s="5"/>
      <c r="G10792" s="5"/>
    </row>
    <row r="10793" spans="1:7" ht="58.5" customHeight="1" x14ac:dyDescent="0.25">
      <c r="A10793" s="5" t="str">
        <f>"H0037439"</f>
        <v>H0037439</v>
      </c>
      <c r="B10793" s="5" t="str">
        <f>"AIRE ACONDICIONADO TIPO MINISPLIT CAPACIDAD 24.000 BTU TECNOLOGIA INVERTER DUAL"</f>
        <v>AIRE ACONDICIONADO TIPO MINISPLIT CAPACIDAD 24.000 BTU TECNOLOGIA INVERTER DUAL</v>
      </c>
      <c r="C10793" s="6">
        <v>5848909.5300000003</v>
      </c>
      <c r="D10793" s="5" t="s">
        <v>202</v>
      </c>
      <c r="E10793" s="5" t="str">
        <f t="shared" si="554"/>
        <v>FARMACIA-RAFAEL CELIS</v>
      </c>
      <c r="F10793" s="5"/>
      <c r="G10793" s="5"/>
    </row>
    <row r="10794" spans="1:7" ht="58.5" customHeight="1" x14ac:dyDescent="0.25">
      <c r="A10794" s="5" t="str">
        <f>"H0037440"</f>
        <v>H0037440</v>
      </c>
      <c r="B10794" s="5" t="str">
        <f>"AIRE ACONDICIONADO TIPO MINISPLIT CAPACIDAD 24.000 BTU TECNOLOGIA INVERTER DUAL"</f>
        <v>AIRE ACONDICIONADO TIPO MINISPLIT CAPACIDAD 24.000 BTU TECNOLOGIA INVERTER DUAL</v>
      </c>
      <c r="C10794" s="6">
        <v>5848909.5300000003</v>
      </c>
      <c r="D10794" s="5" t="s">
        <v>202</v>
      </c>
      <c r="E10794" s="5" t="str">
        <f t="shared" si="554"/>
        <v>FARMACIA-RAFAEL CELIS</v>
      </c>
      <c r="F10794" s="5"/>
      <c r="G10794" s="5"/>
    </row>
    <row r="10795" spans="1:7" ht="58.5" customHeight="1" x14ac:dyDescent="0.25">
      <c r="A10795" s="5" t="str">
        <f>"H0037441"</f>
        <v>H0037441</v>
      </c>
      <c r="B10795" s="5" t="str">
        <f>"AIRE ACONDICIONADO TIPO MINISPLIT CAPACIDAD 24.000 BTU TECNOLOGIA INVERTER DUAL"</f>
        <v>AIRE ACONDICIONADO TIPO MINISPLIT CAPACIDAD 24.000 BTU TECNOLOGIA INVERTER DUAL</v>
      </c>
      <c r="C10795" s="6">
        <v>5848909.5300000003</v>
      </c>
      <c r="D10795" s="5" t="s">
        <v>202</v>
      </c>
      <c r="E10795" s="5" t="str">
        <f t="shared" si="554"/>
        <v>FARMACIA-RAFAEL CELIS</v>
      </c>
      <c r="F10795" s="5"/>
      <c r="G10795" s="5"/>
    </row>
    <row r="10796" spans="1:7" ht="58.5" customHeight="1" x14ac:dyDescent="0.25">
      <c r="A10796" s="5" t="str">
        <f>"H0037450"</f>
        <v>H0037450</v>
      </c>
      <c r="B10796" s="5" t="str">
        <f>"AIRE ACONDICIONADO TIPO MINISPLIT CAPACIDAD 24.000 BTU TECNOLOGIA INVERTER DUAL"</f>
        <v>AIRE ACONDICIONADO TIPO MINISPLIT CAPACIDAD 24.000 BTU TECNOLOGIA INVERTER DUAL</v>
      </c>
      <c r="C10796" s="6">
        <v>5848909.5300000003</v>
      </c>
      <c r="D10796" s="5" t="s">
        <v>202</v>
      </c>
      <c r="E10796" s="5" t="str">
        <f t="shared" si="554"/>
        <v>FARMACIA-RAFAEL CELIS</v>
      </c>
      <c r="F10796" s="5"/>
      <c r="G10796" s="5"/>
    </row>
    <row r="10797" spans="1:7" ht="58.5" customHeight="1" x14ac:dyDescent="0.25">
      <c r="A10797" s="5" t="str">
        <f>"H0037558"</f>
        <v>H0037558</v>
      </c>
      <c r="B10797" s="5" t="str">
        <f>"AIRE ACONDICIONADO INVERTER 220V MINI SPLIT - TENSION 220V - FUNCION ECO - CAPACIDAD REFRIGERACION 1350 - 1450 - CAPACIDAD 12.000 BTU."</f>
        <v>AIRE ACONDICIONADO INVERTER 220V MINI SPLIT - TENSION 220V - FUNCION ECO - CAPACIDAD REFRIGERACION 1350 - 1450 - CAPACIDAD 12.000 BTU.</v>
      </c>
      <c r="C10797" s="6">
        <v>3261552</v>
      </c>
      <c r="D10797" s="5" t="s">
        <v>545</v>
      </c>
      <c r="E10797" s="5" t="str">
        <f t="shared" si="554"/>
        <v>FARMACIA-RAFAEL CELIS</v>
      </c>
      <c r="F10797" s="5"/>
      <c r="G10797" s="5"/>
    </row>
    <row r="10798" spans="1:7" ht="58.5" customHeight="1" x14ac:dyDescent="0.25">
      <c r="A10798" s="5" t="str">
        <f>"H0037612"</f>
        <v>H0037612</v>
      </c>
      <c r="B10798" s="5" t="str">
        <f>"COMPUTADOR TODO EN UNO"</f>
        <v>COMPUTADOR TODO EN UNO</v>
      </c>
      <c r="C10798" s="6">
        <v>7497000</v>
      </c>
      <c r="D10798" s="5" t="s">
        <v>636</v>
      </c>
      <c r="E10798" s="5" t="str">
        <f t="shared" si="554"/>
        <v>FARMACIA-RAFAEL CELIS</v>
      </c>
      <c r="F10798" s="5"/>
      <c r="G10798" s="5"/>
    </row>
    <row r="10799" spans="1:7" ht="58.5" customHeight="1" x14ac:dyDescent="0.25">
      <c r="A10799" s="5" t="str">
        <f>"H0037648"</f>
        <v>H0037648</v>
      </c>
      <c r="B10799" s="5" t="str">
        <f t="shared" ref="B10799:B10809" si="555">"SILLA GERENTE NIZA MEC. BASCULANTE CON BRAZOS."</f>
        <v>SILLA GERENTE NIZA MEC. BASCULANTE CON BRAZOS.</v>
      </c>
      <c r="C10799" s="6">
        <v>710000.01</v>
      </c>
      <c r="D10799" s="5" t="s">
        <v>30</v>
      </c>
      <c r="E10799" s="5" t="str">
        <f t="shared" si="554"/>
        <v>FARMACIA-RAFAEL CELIS</v>
      </c>
      <c r="F10799" s="5"/>
      <c r="G10799" s="5"/>
    </row>
    <row r="10800" spans="1:7" ht="58.5" customHeight="1" x14ac:dyDescent="0.25">
      <c r="A10800" s="5" t="str">
        <f>"H0037649"</f>
        <v>H0037649</v>
      </c>
      <c r="B10800" s="5" t="str">
        <f t="shared" si="555"/>
        <v>SILLA GERENTE NIZA MEC. BASCULANTE CON BRAZOS.</v>
      </c>
      <c r="C10800" s="6">
        <v>710000.01</v>
      </c>
      <c r="D10800" s="5" t="s">
        <v>30</v>
      </c>
      <c r="E10800" s="5" t="str">
        <f t="shared" si="554"/>
        <v>FARMACIA-RAFAEL CELIS</v>
      </c>
      <c r="F10800" s="5"/>
      <c r="G10800" s="5"/>
    </row>
    <row r="10801" spans="1:7" ht="58.5" customHeight="1" x14ac:dyDescent="0.25">
      <c r="A10801" s="5" t="str">
        <f>"H0037650"</f>
        <v>H0037650</v>
      </c>
      <c r="B10801" s="5" t="str">
        <f t="shared" si="555"/>
        <v>SILLA GERENTE NIZA MEC. BASCULANTE CON BRAZOS.</v>
      </c>
      <c r="C10801" s="6">
        <v>710000.01</v>
      </c>
      <c r="D10801" s="5" t="s">
        <v>30</v>
      </c>
      <c r="E10801" s="5" t="str">
        <f t="shared" si="554"/>
        <v>FARMACIA-RAFAEL CELIS</v>
      </c>
      <c r="F10801" s="5"/>
      <c r="G10801" s="5"/>
    </row>
    <row r="10802" spans="1:7" ht="58.5" customHeight="1" x14ac:dyDescent="0.25">
      <c r="A10802" s="5" t="str">
        <f>"H0037651"</f>
        <v>H0037651</v>
      </c>
      <c r="B10802" s="5" t="str">
        <f t="shared" si="555"/>
        <v>SILLA GERENTE NIZA MEC. BASCULANTE CON BRAZOS.</v>
      </c>
      <c r="C10802" s="6">
        <v>710000.01</v>
      </c>
      <c r="D10802" s="5" t="s">
        <v>30</v>
      </c>
      <c r="E10802" s="5" t="str">
        <f t="shared" si="554"/>
        <v>FARMACIA-RAFAEL CELIS</v>
      </c>
      <c r="F10802" s="5"/>
      <c r="G10802" s="5"/>
    </row>
    <row r="10803" spans="1:7" ht="58.5" customHeight="1" x14ac:dyDescent="0.25">
      <c r="A10803" s="5" t="str">
        <f>"H0037652"</f>
        <v>H0037652</v>
      </c>
      <c r="B10803" s="5" t="str">
        <f t="shared" si="555"/>
        <v>SILLA GERENTE NIZA MEC. BASCULANTE CON BRAZOS.</v>
      </c>
      <c r="C10803" s="6">
        <v>710000.01</v>
      </c>
      <c r="D10803" s="5" t="s">
        <v>30</v>
      </c>
      <c r="E10803" s="5" t="str">
        <f t="shared" si="554"/>
        <v>FARMACIA-RAFAEL CELIS</v>
      </c>
      <c r="F10803" s="5"/>
      <c r="G10803" s="5"/>
    </row>
    <row r="10804" spans="1:7" ht="58.5" customHeight="1" x14ac:dyDescent="0.25">
      <c r="A10804" s="5" t="str">
        <f>"H0037653"</f>
        <v>H0037653</v>
      </c>
      <c r="B10804" s="5" t="str">
        <f t="shared" si="555"/>
        <v>SILLA GERENTE NIZA MEC. BASCULANTE CON BRAZOS.</v>
      </c>
      <c r="C10804" s="6">
        <v>710000.01</v>
      </c>
      <c r="D10804" s="5" t="s">
        <v>30</v>
      </c>
      <c r="E10804" s="5" t="str">
        <f t="shared" si="554"/>
        <v>FARMACIA-RAFAEL CELIS</v>
      </c>
      <c r="F10804" s="5"/>
      <c r="G10804" s="5"/>
    </row>
    <row r="10805" spans="1:7" ht="58.5" customHeight="1" x14ac:dyDescent="0.25">
      <c r="A10805" s="5" t="str">
        <f>"H0037654"</f>
        <v>H0037654</v>
      </c>
      <c r="B10805" s="5" t="str">
        <f t="shared" si="555"/>
        <v>SILLA GERENTE NIZA MEC. BASCULANTE CON BRAZOS.</v>
      </c>
      <c r="C10805" s="6">
        <v>710000.01</v>
      </c>
      <c r="D10805" s="5" t="s">
        <v>30</v>
      </c>
      <c r="E10805" s="5" t="str">
        <f t="shared" si="554"/>
        <v>FARMACIA-RAFAEL CELIS</v>
      </c>
      <c r="F10805" s="5"/>
      <c r="G10805" s="5"/>
    </row>
    <row r="10806" spans="1:7" ht="58.5" customHeight="1" x14ac:dyDescent="0.25">
      <c r="A10806" s="5" t="str">
        <f>"H0037655"</f>
        <v>H0037655</v>
      </c>
      <c r="B10806" s="5" t="str">
        <f t="shared" si="555"/>
        <v>SILLA GERENTE NIZA MEC. BASCULANTE CON BRAZOS.</v>
      </c>
      <c r="C10806" s="6">
        <v>710000.01</v>
      </c>
      <c r="D10806" s="5" t="s">
        <v>30</v>
      </c>
      <c r="E10806" s="5" t="str">
        <f t="shared" si="554"/>
        <v>FARMACIA-RAFAEL CELIS</v>
      </c>
      <c r="F10806" s="5"/>
      <c r="G10806" s="5"/>
    </row>
    <row r="10807" spans="1:7" ht="58.5" customHeight="1" x14ac:dyDescent="0.25">
      <c r="A10807" s="5" t="str">
        <f>"H0037842"</f>
        <v>H0037842</v>
      </c>
      <c r="B10807" s="5" t="str">
        <f t="shared" si="555"/>
        <v>SILLA GERENTE NIZA MEC. BASCULANTE CON BRAZOS.</v>
      </c>
      <c r="C10807" s="6">
        <v>710000.01</v>
      </c>
      <c r="D10807" s="5" t="s">
        <v>30</v>
      </c>
      <c r="E10807" s="5" t="str">
        <f t="shared" si="554"/>
        <v>FARMACIA-RAFAEL CELIS</v>
      </c>
      <c r="F10807" s="5"/>
      <c r="G10807" s="5"/>
    </row>
    <row r="10808" spans="1:7" ht="58.5" customHeight="1" x14ac:dyDescent="0.25">
      <c r="A10808" s="5" t="str">
        <f>"H0037843"</f>
        <v>H0037843</v>
      </c>
      <c r="B10808" s="5" t="str">
        <f t="shared" si="555"/>
        <v>SILLA GERENTE NIZA MEC. BASCULANTE CON BRAZOS.</v>
      </c>
      <c r="C10808" s="6">
        <v>710000.01</v>
      </c>
      <c r="D10808" s="5" t="s">
        <v>30</v>
      </c>
      <c r="E10808" s="5" t="str">
        <f t="shared" si="554"/>
        <v>FARMACIA-RAFAEL CELIS</v>
      </c>
      <c r="F10808" s="5"/>
      <c r="G10808" s="5"/>
    </row>
    <row r="10809" spans="1:7" ht="58.5" customHeight="1" x14ac:dyDescent="0.25">
      <c r="A10809" s="5" t="str">
        <f>"H0038012"</f>
        <v>H0038012</v>
      </c>
      <c r="B10809" s="5" t="str">
        <f t="shared" si="555"/>
        <v>SILLA GERENTE NIZA MEC. BASCULANTE CON BRAZOS.</v>
      </c>
      <c r="C10809" s="6">
        <v>710000.01</v>
      </c>
      <c r="D10809" s="5" t="s">
        <v>30</v>
      </c>
      <c r="E10809" s="5" t="str">
        <f t="shared" si="554"/>
        <v>FARMACIA-RAFAEL CELIS</v>
      </c>
      <c r="F10809" s="5"/>
      <c r="G10809" s="5"/>
    </row>
    <row r="10810" spans="1:7" ht="58.5" customHeight="1" x14ac:dyDescent="0.25">
      <c r="A10810" s="5" t="str">
        <f>"H0038074"</f>
        <v>H0038074</v>
      </c>
      <c r="B10810" s="5" t="str">
        <f>"SILLA CAJERO KOPI"</f>
        <v>SILLA CAJERO KOPI</v>
      </c>
      <c r="C10810" s="6">
        <v>565000.01</v>
      </c>
      <c r="D10810" s="5" t="s">
        <v>30</v>
      </c>
      <c r="E10810" s="5" t="str">
        <f t="shared" si="554"/>
        <v>FARMACIA-RAFAEL CELIS</v>
      </c>
      <c r="F10810" s="5"/>
      <c r="G10810" s="5"/>
    </row>
    <row r="10811" spans="1:7" ht="58.5" customHeight="1" x14ac:dyDescent="0.25">
      <c r="A10811" s="5" t="str">
        <f>"H0038075"</f>
        <v>H0038075</v>
      </c>
      <c r="B10811" s="5" t="str">
        <f>"SILLA CAJERO KOPI"</f>
        <v>SILLA CAJERO KOPI</v>
      </c>
      <c r="C10811" s="6">
        <v>565000.01</v>
      </c>
      <c r="D10811" s="5" t="s">
        <v>30</v>
      </c>
      <c r="E10811" s="5" t="str">
        <f t="shared" si="554"/>
        <v>FARMACIA-RAFAEL CELIS</v>
      </c>
      <c r="F10811" s="5"/>
      <c r="G10811" s="5"/>
    </row>
    <row r="10812" spans="1:7" ht="58.5" customHeight="1" x14ac:dyDescent="0.25">
      <c r="A10812" s="5" t="str">
        <f>"H0038076"</f>
        <v>H0038076</v>
      </c>
      <c r="B10812" s="5" t="str">
        <f>"SILLA CAJERO KOPI"</f>
        <v>SILLA CAJERO KOPI</v>
      </c>
      <c r="C10812" s="6">
        <v>565000.01</v>
      </c>
      <c r="D10812" s="5" t="s">
        <v>571</v>
      </c>
      <c r="E10812" s="5" t="str">
        <f t="shared" si="554"/>
        <v>FARMACIA-RAFAEL CELIS</v>
      </c>
      <c r="F10812" s="5"/>
      <c r="G10812" s="5"/>
    </row>
    <row r="10813" spans="1:7" ht="58.5" customHeight="1" x14ac:dyDescent="0.25">
      <c r="A10813" s="5" t="str">
        <f>"H0006715"</f>
        <v>H0006715</v>
      </c>
      <c r="B10813" s="5" t="str">
        <f>"ESCALERILLA DE 2 PASOS"</f>
        <v>ESCALERILLA DE 2 PASOS</v>
      </c>
      <c r="C10813" s="6">
        <v>120000</v>
      </c>
      <c r="D10813" s="5"/>
      <c r="E10813" s="5" t="str">
        <f t="shared" ref="E10813:E10844" si="556">"ACTISALUD-CENTRAL DE MEZCLA-RAFAEL CELIS"</f>
        <v>ACTISALUD-CENTRAL DE MEZCLA-RAFAEL CELIS</v>
      </c>
      <c r="F10813" s="5" t="str">
        <f>"Descripcion:ESCALERILLA DE DOS PASOS Estado: Excelente Placa anterior: 000037816 Material: METAL Y PASOS EN MADERA Color: BLANCO Y NEGRO Referencia:  Observacion:  Placa padre:  Tipo adquisicion : Entidad"</f>
        <v>Descripcion:ESCALERILLA DE DOS PASOS Estado: Excelente Placa anterior: 000037816 Material: METAL Y PASOS EN MADERA Color: BLANCO Y NEGRO Referencia:  Observacion:  Placa padre:  Tipo adquisicion : Entidad</v>
      </c>
      <c r="G10813" s="5"/>
    </row>
    <row r="10814" spans="1:7" ht="58.5" customHeight="1" x14ac:dyDescent="0.25">
      <c r="A10814" s="5" t="str">
        <f>"H0009797"</f>
        <v>H0009797</v>
      </c>
      <c r="B10814" s="5" t="str">
        <f>"MESA METALICA AUXILIAR"</f>
        <v>MESA METALICA AUXILIAR</v>
      </c>
      <c r="C10814" s="6">
        <v>77520</v>
      </c>
      <c r="D10814" s="5"/>
      <c r="E10814" s="5" t="str">
        <f t="shared" si="556"/>
        <v>ACTISALUD-CENTRAL DE MEZCLA-RAFAEL CELIS</v>
      </c>
      <c r="F10814" s="5" t="str">
        <f>"Descripcion: . Estado: Bueno Placa anterior: 000004407 Material: METALICO Color: GRIS Referencia:  Observacion: BIEN QUE PERTENECE A SISTEMAS.  SE ENCUENTRA EN FARMACIA PISO 2 Placa padre: Tipo adquisicion: Entidad"</f>
        <v>Descripcion: . Estado: Bueno Placa anterior: 000004407 Material: METALICO Color: GRIS Referencia:  Observacion: BIEN QUE PERTENECE A SISTEMAS.  SE ENCUENTRA EN FARMACIA PISO 2 Placa padre: Tipo adquisicion: Entidad</v>
      </c>
      <c r="G10814" s="5"/>
    </row>
    <row r="10815" spans="1:7" ht="58.5" customHeight="1" x14ac:dyDescent="0.25">
      <c r="A10815" s="5" t="str">
        <f>"H0022008"</f>
        <v>H0022008</v>
      </c>
      <c r="B1081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815" s="6">
        <v>241999.98</v>
      </c>
      <c r="D10815" s="5" t="s">
        <v>499</v>
      </c>
      <c r="E10815" s="5" t="str">
        <f t="shared" si="556"/>
        <v>ACTISALUD-CENTRAL DE MEZCLA-RAFAEL CELIS</v>
      </c>
      <c r="F10815" s="5"/>
      <c r="G10815" s="5"/>
    </row>
    <row r="10816" spans="1:7" ht="58.5" customHeight="1" x14ac:dyDescent="0.25">
      <c r="A10816" s="5" t="str">
        <f>"H0022252"</f>
        <v>H0022252</v>
      </c>
      <c r="B10816" s="5" t="str">
        <f>"CARRO UNIDOSIS PARA MEDICAMENTOS"</f>
        <v>CARRO UNIDOSIS PARA MEDICAMENTOS</v>
      </c>
      <c r="C10816" s="6">
        <v>4060000</v>
      </c>
      <c r="D10816" s="5" t="s">
        <v>559</v>
      </c>
      <c r="E10816" s="5" t="str">
        <f t="shared" si="556"/>
        <v>ACTISALUD-CENTRAL DE MEZCLA-RAFAEL CELIS</v>
      </c>
      <c r="F10816" s="5"/>
      <c r="G10816" s="5"/>
    </row>
    <row r="10817" spans="1:7" ht="58.5" customHeight="1" x14ac:dyDescent="0.25">
      <c r="A10817" s="5" t="str">
        <f>"H0025303"</f>
        <v>H0025303</v>
      </c>
      <c r="B10817" s="5" t="str">
        <f>"NEVERA DE 50 LITROS CONDENSADORA OCULTO"</f>
        <v>NEVERA DE 50 LITROS CONDENSADORA OCULTO</v>
      </c>
      <c r="C10817" s="6">
        <v>418951.4</v>
      </c>
      <c r="D10817" s="5" t="s">
        <v>10</v>
      </c>
      <c r="E10817" s="5" t="str">
        <f t="shared" si="556"/>
        <v>ACTISALUD-CENTRAL DE MEZCLA-RAFAEL CELIS</v>
      </c>
      <c r="F10817" s="5"/>
      <c r="G10817" s="5"/>
    </row>
    <row r="10818" spans="1:7" ht="58.5" customHeight="1" x14ac:dyDescent="0.25">
      <c r="A10818" s="5" t="str">
        <f>"H0025384"</f>
        <v>H0025384</v>
      </c>
      <c r="B1081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818" s="6">
        <v>312156</v>
      </c>
      <c r="D10818" s="5" t="s">
        <v>10</v>
      </c>
      <c r="E10818" s="5" t="str">
        <f t="shared" si="556"/>
        <v>ACTISALUD-CENTRAL DE MEZCLA-RAFAEL CELIS</v>
      </c>
      <c r="F10818" s="5"/>
      <c r="G10818" s="5"/>
    </row>
    <row r="10819" spans="1:7" ht="58.5" customHeight="1" x14ac:dyDescent="0.25">
      <c r="A10819" s="5" t="str">
        <f>"H0028991"</f>
        <v>H0028991</v>
      </c>
      <c r="B10819" s="5" t="str">
        <f>"AISLADOR ASEPTICO C.A.C.I"</f>
        <v>AISLADOR ASEPTICO C.A.C.I</v>
      </c>
      <c r="C10819" s="6">
        <v>197416000</v>
      </c>
      <c r="D10819" s="5" t="s">
        <v>310</v>
      </c>
      <c r="E10819" s="5" t="str">
        <f t="shared" si="556"/>
        <v>ACTISALUD-CENTRAL DE MEZCLA-RAFAEL CELIS</v>
      </c>
      <c r="F10819" s="5"/>
      <c r="G10819" s="5"/>
    </row>
    <row r="10820" spans="1:7" ht="58.5" customHeight="1" x14ac:dyDescent="0.25">
      <c r="A10820" s="5" t="str">
        <f>"H0028992"</f>
        <v>H0028992</v>
      </c>
      <c r="B10820" s="5" t="str">
        <f>"AISLADOR ASEPTICO C.A.I"</f>
        <v>AISLADOR ASEPTICO C.A.I</v>
      </c>
      <c r="C10820" s="6">
        <v>103292000</v>
      </c>
      <c r="D10820" s="5" t="s">
        <v>310</v>
      </c>
      <c r="E10820" s="5" t="str">
        <f t="shared" si="556"/>
        <v>ACTISALUD-CENTRAL DE MEZCLA-RAFAEL CELIS</v>
      </c>
      <c r="F10820" s="5"/>
      <c r="G10820" s="5"/>
    </row>
    <row r="10821" spans="1:7" ht="58.5" customHeight="1" x14ac:dyDescent="0.25">
      <c r="A10821" s="5" t="str">
        <f>"H0028993"</f>
        <v>H0028993</v>
      </c>
      <c r="B10821" s="5" t="str">
        <f>"AISLADOR ASEPTICO C.A.I"</f>
        <v>AISLADOR ASEPTICO C.A.I</v>
      </c>
      <c r="C10821" s="6">
        <v>103292000</v>
      </c>
      <c r="D10821" s="5" t="s">
        <v>310</v>
      </c>
      <c r="E10821" s="5" t="str">
        <f t="shared" si="556"/>
        <v>ACTISALUD-CENTRAL DE MEZCLA-RAFAEL CELIS</v>
      </c>
      <c r="F10821" s="5"/>
      <c r="G10821" s="5"/>
    </row>
    <row r="10822" spans="1:7" ht="58.5" customHeight="1" x14ac:dyDescent="0.25">
      <c r="A10822" s="5" t="str">
        <f>"H0029142"</f>
        <v>H0029142</v>
      </c>
      <c r="B1082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822" s="6">
        <v>2902000</v>
      </c>
      <c r="D10822" s="5" t="s">
        <v>13</v>
      </c>
      <c r="E10822" s="5" t="str">
        <f t="shared" si="556"/>
        <v>ACTISALUD-CENTRAL DE MEZCLA-RAFAEL CELIS</v>
      </c>
      <c r="F10822" s="5"/>
      <c r="G10822" s="5"/>
    </row>
    <row r="10823" spans="1:7" ht="58.5" customHeight="1" x14ac:dyDescent="0.25">
      <c r="A10823" s="5" t="str">
        <f>"H0029143"</f>
        <v>H0029143</v>
      </c>
      <c r="B1082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823" s="6">
        <v>2902000</v>
      </c>
      <c r="D10823" s="5" t="s">
        <v>13</v>
      </c>
      <c r="E10823" s="5" t="str">
        <f t="shared" si="556"/>
        <v>ACTISALUD-CENTRAL DE MEZCLA-RAFAEL CELIS</v>
      </c>
      <c r="F10823" s="5"/>
      <c r="G10823" s="5"/>
    </row>
    <row r="10824" spans="1:7" ht="58.5" customHeight="1" x14ac:dyDescent="0.25">
      <c r="A10824" s="5" t="str">
        <f>"H0029144"</f>
        <v>H0029144</v>
      </c>
      <c r="B1082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824" s="6">
        <v>2902000</v>
      </c>
      <c r="D10824" s="5" t="s">
        <v>13</v>
      </c>
      <c r="E10824" s="5" t="str">
        <f t="shared" si="556"/>
        <v>ACTISALUD-CENTRAL DE MEZCLA-RAFAEL CELIS</v>
      </c>
      <c r="F10824" s="5"/>
      <c r="G10824" s="5"/>
    </row>
    <row r="10825" spans="1:7" ht="58.5" customHeight="1" x14ac:dyDescent="0.25">
      <c r="A10825" s="5" t="str">
        <f>"H0029145"</f>
        <v>H0029145</v>
      </c>
      <c r="B1082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0825" s="6">
        <v>2902000</v>
      </c>
      <c r="D10825" s="5" t="s">
        <v>13</v>
      </c>
      <c r="E10825" s="5" t="str">
        <f t="shared" si="556"/>
        <v>ACTISALUD-CENTRAL DE MEZCLA-RAFAEL CELIS</v>
      </c>
      <c r="F10825" s="5"/>
      <c r="G10825" s="5"/>
    </row>
    <row r="10826" spans="1:7" ht="58.5" customHeight="1" x14ac:dyDescent="0.25">
      <c r="A10826" s="5" t="str">
        <f>"H0029392"</f>
        <v>H0029392</v>
      </c>
      <c r="B10826"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0826" s="6">
        <v>952000</v>
      </c>
      <c r="D10826" s="5" t="s">
        <v>89</v>
      </c>
      <c r="E10826" s="5" t="str">
        <f t="shared" si="556"/>
        <v>ACTISALUD-CENTRAL DE MEZCLA-RAFAEL CELIS</v>
      </c>
      <c r="F10826" s="5"/>
      <c r="G10826" s="5"/>
    </row>
    <row r="10827" spans="1:7" ht="58.5" customHeight="1" x14ac:dyDescent="0.25">
      <c r="A10827" s="5" t="str">
        <f>"H0029393"</f>
        <v>H0029393</v>
      </c>
      <c r="B10827"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0827" s="6">
        <v>952000</v>
      </c>
      <c r="D10827" s="5" t="s">
        <v>89</v>
      </c>
      <c r="E10827" s="5" t="str">
        <f t="shared" si="556"/>
        <v>ACTISALUD-CENTRAL DE MEZCLA-RAFAEL CELIS</v>
      </c>
      <c r="F10827" s="5"/>
      <c r="G10827" s="5"/>
    </row>
    <row r="10828" spans="1:7" ht="58.5" customHeight="1" x14ac:dyDescent="0.25">
      <c r="A10828" s="5" t="str">
        <f>"H0029394"</f>
        <v>H0029394</v>
      </c>
      <c r="B10828" s="5" t="str">
        <f>"BANCO, MEDIDAS 0,8 LARGO POR 0,3 DE ANCHO POR 0,45 DE ALTURA, EN ACERO INOXIDABLE CAL 20, PATAS EN TUBO DE ACERO INOXIDABLE CALIBRE 18, CON TAPONES ANTIDESLIZANTES, ENTREPAÑO CENTRAL."</f>
        <v>BANCO, MEDIDAS 0,8 LARGO POR 0,3 DE ANCHO POR 0,45 DE ALTURA, EN ACERO INOXIDABLE CAL 20, PATAS EN TUBO DE ACERO INOXIDABLE CALIBRE 18, CON TAPONES ANTIDESLIZANTES, ENTREPAÑO CENTRAL.</v>
      </c>
      <c r="C10828" s="6">
        <v>833000</v>
      </c>
      <c r="D10828" s="5" t="s">
        <v>89</v>
      </c>
      <c r="E10828" s="5" t="str">
        <f t="shared" si="556"/>
        <v>ACTISALUD-CENTRAL DE MEZCLA-RAFAEL CELIS</v>
      </c>
      <c r="F10828" s="5"/>
      <c r="G10828" s="5"/>
    </row>
    <row r="10829" spans="1:7" ht="58.5" customHeight="1" x14ac:dyDescent="0.25">
      <c r="A10829" s="5" t="str">
        <f>"H0029395"</f>
        <v>H0029395</v>
      </c>
      <c r="B10829" s="5" t="str">
        <f t="shared" ref="B10829:B10834" si="557">"MESA EN ACERO, MEDIDAS 1,50*0,6*1 DE ALTURA, CON ENTREPAÑO DE 0,75 DE LARGO, POR 0,6 DE FONDO, SUPERFICIES EN ACERO INOXIDABLE CAL 20, REFORZADAS CON TABLEZ DE 25 MM, TUBOS EN ACERO INOXIDABLE CAL 18, DE 1 1/2X 1 1/2, TAPONES ANTIDESLIZANTES"</f>
        <v>MESA EN ACERO, MEDIDAS 1,50*0,6*1 DE ALTURA, CON ENTREPAÑO DE 0,75 DE LARGO, POR 0,6 DE FONDO, SUPERFICIES EN ACERO INOXIDABLE CAL 20, REFORZADAS CON TABLEZ DE 25 MM, TUBOS EN ACERO INOXIDABLE CAL 18, DE 1 1/2X 1 1/2, TAPONES ANTIDESLIZANTES</v>
      </c>
      <c r="C10829" s="6">
        <v>1130500</v>
      </c>
      <c r="D10829" s="5" t="s">
        <v>89</v>
      </c>
      <c r="E10829" s="5" t="str">
        <f t="shared" si="556"/>
        <v>ACTISALUD-CENTRAL DE MEZCLA-RAFAEL CELIS</v>
      </c>
      <c r="F10829" s="5"/>
      <c r="G10829" s="5"/>
    </row>
    <row r="10830" spans="1:7" ht="58.5" customHeight="1" x14ac:dyDescent="0.25">
      <c r="A10830" s="5" t="str">
        <f>"H0029396"</f>
        <v>H0029396</v>
      </c>
      <c r="B10830" s="5" t="str">
        <f t="shared" si="557"/>
        <v>MESA EN ACERO, MEDIDAS 1,50*0,6*1 DE ALTURA, CON ENTREPAÑO DE 0,75 DE LARGO, POR 0,6 DE FONDO, SUPERFICIES EN ACERO INOXIDABLE CAL 20, REFORZADAS CON TABLEZ DE 25 MM, TUBOS EN ACERO INOXIDABLE CAL 18, DE 1 1/2X 1 1/2, TAPONES ANTIDESLIZANTES</v>
      </c>
      <c r="C10830" s="6">
        <v>1130500</v>
      </c>
      <c r="D10830" s="5" t="s">
        <v>89</v>
      </c>
      <c r="E10830" s="5" t="str">
        <f t="shared" si="556"/>
        <v>ACTISALUD-CENTRAL DE MEZCLA-RAFAEL CELIS</v>
      </c>
      <c r="F10830" s="5"/>
      <c r="G10830" s="5"/>
    </row>
    <row r="10831" spans="1:7" ht="58.5" customHeight="1" x14ac:dyDescent="0.25">
      <c r="A10831" s="5" t="str">
        <f>"H0029397"</f>
        <v>H0029397</v>
      </c>
      <c r="B10831" s="5" t="str">
        <f t="shared" si="557"/>
        <v>MESA EN ACERO, MEDIDAS 1,50*0,6*1 DE ALTURA, CON ENTREPAÑO DE 0,75 DE LARGO, POR 0,6 DE FONDO, SUPERFICIES EN ACERO INOXIDABLE CAL 20, REFORZADAS CON TABLEZ DE 25 MM, TUBOS EN ACERO INOXIDABLE CAL 18, DE 1 1/2X 1 1/2, TAPONES ANTIDESLIZANTES</v>
      </c>
      <c r="C10831" s="6">
        <v>1130500</v>
      </c>
      <c r="D10831" s="5" t="s">
        <v>89</v>
      </c>
      <c r="E10831" s="5" t="str">
        <f t="shared" si="556"/>
        <v>ACTISALUD-CENTRAL DE MEZCLA-RAFAEL CELIS</v>
      </c>
      <c r="F10831" s="5"/>
      <c r="G10831" s="5"/>
    </row>
    <row r="10832" spans="1:7" ht="58.5" customHeight="1" x14ac:dyDescent="0.25">
      <c r="A10832" s="5" t="str">
        <f>"H0029398"</f>
        <v>H0029398</v>
      </c>
      <c r="B10832" s="5" t="str">
        <f t="shared" si="557"/>
        <v>MESA EN ACERO, MEDIDAS 1,50*0,6*1 DE ALTURA, CON ENTREPAÑO DE 0,75 DE LARGO, POR 0,6 DE FONDO, SUPERFICIES EN ACERO INOXIDABLE CAL 20, REFORZADAS CON TABLEZ DE 25 MM, TUBOS EN ACERO INOXIDABLE CAL 18, DE 1 1/2X 1 1/2, TAPONES ANTIDESLIZANTES</v>
      </c>
      <c r="C10832" s="6">
        <v>1130500</v>
      </c>
      <c r="D10832" s="5" t="s">
        <v>89</v>
      </c>
      <c r="E10832" s="5" t="str">
        <f t="shared" si="556"/>
        <v>ACTISALUD-CENTRAL DE MEZCLA-RAFAEL CELIS</v>
      </c>
      <c r="F10832" s="5"/>
      <c r="G10832" s="5"/>
    </row>
    <row r="10833" spans="1:7" ht="58.5" customHeight="1" x14ac:dyDescent="0.25">
      <c r="A10833" s="5" t="str">
        <f>"H0029399"</f>
        <v>H0029399</v>
      </c>
      <c r="B10833" s="5" t="str">
        <f t="shared" si="557"/>
        <v>MESA EN ACERO, MEDIDAS 1,50*0,6*1 DE ALTURA, CON ENTREPAÑO DE 0,75 DE LARGO, POR 0,6 DE FONDO, SUPERFICIES EN ACERO INOXIDABLE CAL 20, REFORZADAS CON TABLEZ DE 25 MM, TUBOS EN ACERO INOXIDABLE CAL 18, DE 1 1/2X 1 1/2, TAPONES ANTIDESLIZANTES</v>
      </c>
      <c r="C10833" s="6">
        <v>1130500</v>
      </c>
      <c r="D10833" s="5" t="s">
        <v>89</v>
      </c>
      <c r="E10833" s="5" t="str">
        <f t="shared" si="556"/>
        <v>ACTISALUD-CENTRAL DE MEZCLA-RAFAEL CELIS</v>
      </c>
      <c r="F10833" s="5"/>
      <c r="G10833" s="5"/>
    </row>
    <row r="10834" spans="1:7" ht="58.5" customHeight="1" x14ac:dyDescent="0.25">
      <c r="A10834" s="5" t="str">
        <f>"H0029400"</f>
        <v>H0029400</v>
      </c>
      <c r="B10834" s="5" t="str">
        <f t="shared" si="557"/>
        <v>MESA EN ACERO, MEDIDAS 1,50*0,6*1 DE ALTURA, CON ENTREPAÑO DE 0,75 DE LARGO, POR 0,6 DE FONDO, SUPERFICIES EN ACERO INOXIDABLE CAL 20, REFORZADAS CON TABLEZ DE 25 MM, TUBOS EN ACERO INOXIDABLE CAL 18, DE 1 1/2X 1 1/2, TAPONES ANTIDESLIZANTES</v>
      </c>
      <c r="C10834" s="6">
        <v>1130500</v>
      </c>
      <c r="D10834" s="5" t="s">
        <v>89</v>
      </c>
      <c r="E10834" s="5" t="str">
        <f t="shared" si="556"/>
        <v>ACTISALUD-CENTRAL DE MEZCLA-RAFAEL CELIS</v>
      </c>
      <c r="F10834" s="5"/>
      <c r="G10834" s="5"/>
    </row>
    <row r="10835" spans="1:7" ht="58.5" customHeight="1" x14ac:dyDescent="0.25">
      <c r="A10835" s="5" t="str">
        <f>"H0029401"</f>
        <v>H0029401</v>
      </c>
      <c r="B10835" s="5" t="str">
        <f>"MESA EN ACERO EN L, MEDIDAS 2,20*1,20*0,6 DE ANCHO *0,60 DE FONDO, SUPERFICIES EN ACERO INOXIDABLE CAL 20, REFORZADAS CON TABLEX DE 25 MM, TUBOS EN ACERO INOXIDABLE CAL 18, DE 1 1/2* 1 1/2, TAPONES ANTIDESLIZANTES."</f>
        <v>MESA EN ACERO EN L, MEDIDAS 2,20*1,20*0,6 DE ANCHO *0,60 DE FONDO, SUPERFICIES EN ACERO INOXIDABLE CAL 20, REFORZADAS CON TABLEX DE 25 MM, TUBOS EN ACERO INOXIDABLE CAL 18, DE 1 1/2* 1 1/2, TAPONES ANTIDESLIZANTES.</v>
      </c>
      <c r="C10835" s="6">
        <v>1880200</v>
      </c>
      <c r="D10835" s="5" t="s">
        <v>89</v>
      </c>
      <c r="E10835" s="5" t="str">
        <f t="shared" si="556"/>
        <v>ACTISALUD-CENTRAL DE MEZCLA-RAFAEL CELIS</v>
      </c>
      <c r="F10835" s="5"/>
      <c r="G10835" s="5"/>
    </row>
    <row r="10836" spans="1:7" ht="58.5" customHeight="1" x14ac:dyDescent="0.25">
      <c r="A10836" s="5" t="str">
        <f>"H0029402"</f>
        <v>H0029402</v>
      </c>
      <c r="B10836" s="5" t="str">
        <f>"DISTRIBUCIÓN ESPECIAL PUESTOS DE TRABAJO, MEDIDAS SUPERFICIE DE TRABAJO DE 3,07 DE LARGO*0,5 DE ANCHO EN TABLEX DE 25MM ENCHAPADAS EN FORMICA Y CANTO RIGIDO, MUEBLE LATERAL BAJO DE 1,73 DE LARGO, POR 0,3 DE FONDO, CUERPO EN LAMINA CR CAL 22, DE 0,60 DE AL"&amp; "TURA, SUPERFICIE EN FORMICA DE 25 MM, CON 3 GAVETAS Y ESPACIO PAPELERO, COLORES A ESCOGER."</f>
        <v>DISTRIBUCIÓN ESPECIAL PUESTOS DE TRABAJO, MEDIDAS SUPERFICIE DE TRABAJO DE 3,07 DE LARGO*0,5 DE ANCHO EN TABLEX DE 25MM ENCHAPADAS EN FORMICA Y CANTO RIGIDO, MUEBLE LATERAL BAJO DE 1,73 DE LARGO, POR 0,3 DE FONDO, CUERPO EN LAMINA CR CAL 22, DE 0,60 DE ALTURA, SUPERFICIE EN FORMICA DE 25 MM, CON 3 GAVETAS Y ESPACIO PAPELERO, COLORES A ESCOGER.</v>
      </c>
      <c r="C10836" s="6">
        <v>1428000</v>
      </c>
      <c r="D10836" s="5" t="s">
        <v>89</v>
      </c>
      <c r="E10836" s="5" t="str">
        <f t="shared" si="556"/>
        <v>ACTISALUD-CENTRAL DE MEZCLA-RAFAEL CELIS</v>
      </c>
      <c r="F10836" s="5"/>
      <c r="G10836" s="5"/>
    </row>
    <row r="10837" spans="1:7" ht="58.5" customHeight="1" x14ac:dyDescent="0.25">
      <c r="A10837" s="5" t="str">
        <f>"H0029403"</f>
        <v>H0029403</v>
      </c>
      <c r="B10837" s="5" t="str">
        <f>"DISTRIBUCIÓN ESPECIAL PUESTOS DE TRABAJO, MEDIDAS SUPERFICIE DE TRABAJO DE 3,07 DE LARGO*0,5 DE ANCHO EN TABLEX DE 25MM ENCHAPADAS EN FORMICA Y CANTO RIGIDO, MUEBLE LATERAL BAJO DE 1,73 DE LARGO, POR 0,3 DE FONDO, CUERPO EN LAMINA CR CAL 22, DE 0,60 DE AL"&amp; "TURA, SUPERFICIE EN FORMICA DE 25 MM, CON 3 GAVETAS Y ESPACIO PAPELERO, COLORES A ESCOGER."</f>
        <v>DISTRIBUCIÓN ESPECIAL PUESTOS DE TRABAJO, MEDIDAS SUPERFICIE DE TRABAJO DE 3,07 DE LARGO*0,5 DE ANCHO EN TABLEX DE 25MM ENCHAPADAS EN FORMICA Y CANTO RIGIDO, MUEBLE LATERAL BAJO DE 1,73 DE LARGO, POR 0,3 DE FONDO, CUERPO EN LAMINA CR CAL 22, DE 0,60 DE ALTURA, SUPERFICIE EN FORMICA DE 25 MM, CON 3 GAVETAS Y ESPACIO PAPELERO, COLORES A ESCOGER.</v>
      </c>
      <c r="C10837" s="6">
        <v>1428000</v>
      </c>
      <c r="D10837" s="5" t="s">
        <v>89</v>
      </c>
      <c r="E10837" s="5" t="str">
        <f t="shared" si="556"/>
        <v>ACTISALUD-CENTRAL DE MEZCLA-RAFAEL CELIS</v>
      </c>
      <c r="F10837" s="5"/>
      <c r="G10837" s="5"/>
    </row>
    <row r="10838" spans="1:7" ht="58.5" customHeight="1" x14ac:dyDescent="0.25">
      <c r="A10838" s="5" t="str">
        <f>"H0029405"</f>
        <v>H0029405</v>
      </c>
      <c r="B10838" s="5" t="str">
        <f>"MUEBLE AÉREO, MEDIDAS 0,8*0,35*0,35 CUERPO MADERA FORRADO EN FORMICA DE 15MM SIN PUERTAS"</f>
        <v>MUEBLE AÉREO, MEDIDAS 0,8*0,35*0,35 CUERPO MADERA FORRADO EN FORMICA DE 15MM SIN PUERTAS</v>
      </c>
      <c r="C10838" s="6">
        <v>190400</v>
      </c>
      <c r="D10838" s="5" t="s">
        <v>89</v>
      </c>
      <c r="E10838" s="5" t="str">
        <f t="shared" si="556"/>
        <v>ACTISALUD-CENTRAL DE MEZCLA-RAFAEL CELIS</v>
      </c>
      <c r="F10838" s="5"/>
      <c r="G10838" s="5"/>
    </row>
    <row r="10839" spans="1:7" ht="58.5" customHeight="1" x14ac:dyDescent="0.25">
      <c r="A10839" s="5" t="str">
        <f>"H0029406"</f>
        <v>H0029406</v>
      </c>
      <c r="B10839" s="5" t="str">
        <f>"MUEBLE AÉREO, MEDIDAS 0,8*0,35*0,35 CUERPO MADERA FORRADO EN FORMICA DE 15MM SIN PUERTAS"</f>
        <v>MUEBLE AÉREO, MEDIDAS 0,8*0,35*0,35 CUERPO MADERA FORRADO EN FORMICA DE 15MM SIN PUERTAS</v>
      </c>
      <c r="C10839" s="6">
        <v>190400</v>
      </c>
      <c r="D10839" s="5" t="s">
        <v>89</v>
      </c>
      <c r="E10839" s="5" t="str">
        <f t="shared" si="556"/>
        <v>ACTISALUD-CENTRAL DE MEZCLA-RAFAEL CELIS</v>
      </c>
      <c r="F10839" s="5"/>
      <c r="G10839" s="5"/>
    </row>
    <row r="10840" spans="1:7" ht="58.5" customHeight="1" x14ac:dyDescent="0.25">
      <c r="A10840" s="5" t="str">
        <f>"H0029407"</f>
        <v>H0029407</v>
      </c>
      <c r="B10840" s="5" t="str">
        <f>"REPISA EN ACERO MEDIDAS 1 DE LARGO * 0,4 DE ANCHO"</f>
        <v>REPISA EN ACERO MEDIDAS 1 DE LARGO * 0,4 DE ANCHO</v>
      </c>
      <c r="C10840" s="6">
        <v>452200</v>
      </c>
      <c r="D10840" s="5" t="s">
        <v>89</v>
      </c>
      <c r="E10840" s="5" t="str">
        <f t="shared" si="556"/>
        <v>ACTISALUD-CENTRAL DE MEZCLA-RAFAEL CELIS</v>
      </c>
      <c r="F10840" s="5"/>
      <c r="G10840" s="5"/>
    </row>
    <row r="10841" spans="1:7" ht="58.5" customHeight="1" x14ac:dyDescent="0.25">
      <c r="A10841" s="5" t="str">
        <f>"H0029408"</f>
        <v>H0029408</v>
      </c>
      <c r="B10841" s="5" t="str">
        <f>"REPISA EN ACERO MEDIDAS 1 DE LARGO * 0,4 DE ANCHO"</f>
        <v>REPISA EN ACERO MEDIDAS 1 DE LARGO * 0,4 DE ANCHO</v>
      </c>
      <c r="C10841" s="6">
        <v>452200</v>
      </c>
      <c r="D10841" s="5" t="s">
        <v>89</v>
      </c>
      <c r="E10841" s="5" t="str">
        <f t="shared" si="556"/>
        <v>ACTISALUD-CENTRAL DE MEZCLA-RAFAEL CELIS</v>
      </c>
      <c r="F10841" s="5"/>
      <c r="G10841" s="5"/>
    </row>
    <row r="10842" spans="1:7" ht="58.5" customHeight="1" x14ac:dyDescent="0.25">
      <c r="A10842" s="5" t="str">
        <f>"H0029410"</f>
        <v>H0029410</v>
      </c>
      <c r="B10842" s="5" t="str">
        <f t="shared" ref="B10842:B10848" si="558">"SILLA TIPO CAJERO NEUMATICA REF. BAJA CON ARO, TIPO DE SOPORTE LUMBAR Y DORSAL, MEDIDAS DE 35*39 DE ESPALDAR, Y ASIENTO DE 39*45, FABRICADOS EN POLIPROPILENO. AJUSTE DE ELEVACIÓN NEUMÁTICA, ALTURA DE ASIENTO REGULABLE DE 55 A 75 CM. RESPALDO FIJO. CAN BAS"&amp; "E DE PUNTAS EN NYLON, CON RUEDAS EN NYLON O DESLIZADORES, TAPIZADAS CORDOBAN, COLORES A ESCOGER."</f>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2" s="6">
        <v>333200</v>
      </c>
      <c r="D10842" s="5" t="s">
        <v>89</v>
      </c>
      <c r="E10842" s="5" t="str">
        <f t="shared" si="556"/>
        <v>ACTISALUD-CENTRAL DE MEZCLA-RAFAEL CELIS</v>
      </c>
      <c r="F10842" s="5"/>
      <c r="G10842" s="5"/>
    </row>
    <row r="10843" spans="1:7" ht="58.5" customHeight="1" x14ac:dyDescent="0.25">
      <c r="A10843" s="5" t="str">
        <f>"H0029411"</f>
        <v>H0029411</v>
      </c>
      <c r="B10843"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3" s="6">
        <v>333200</v>
      </c>
      <c r="D10843" s="5" t="s">
        <v>89</v>
      </c>
      <c r="E10843" s="5" t="str">
        <f t="shared" si="556"/>
        <v>ACTISALUD-CENTRAL DE MEZCLA-RAFAEL CELIS</v>
      </c>
      <c r="F10843" s="5"/>
      <c r="G10843" s="5"/>
    </row>
    <row r="10844" spans="1:7" ht="58.5" customHeight="1" x14ac:dyDescent="0.25">
      <c r="A10844" s="5" t="str">
        <f>"H0029412"</f>
        <v>H0029412</v>
      </c>
      <c r="B10844"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4" s="6">
        <v>333200</v>
      </c>
      <c r="D10844" s="5" t="s">
        <v>89</v>
      </c>
      <c r="E10844" s="5" t="str">
        <f t="shared" si="556"/>
        <v>ACTISALUD-CENTRAL DE MEZCLA-RAFAEL CELIS</v>
      </c>
      <c r="F10844" s="5"/>
      <c r="G10844" s="5"/>
    </row>
    <row r="10845" spans="1:7" ht="58.5" customHeight="1" x14ac:dyDescent="0.25">
      <c r="A10845" s="5" t="str">
        <f>"H0029413"</f>
        <v>H0029413</v>
      </c>
      <c r="B10845"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5" s="6">
        <v>333200</v>
      </c>
      <c r="D10845" s="5" t="s">
        <v>89</v>
      </c>
      <c r="E10845" s="5" t="str">
        <f t="shared" ref="E10845:E10876" si="559">"ACTISALUD-CENTRAL DE MEZCLA-RAFAEL CELIS"</f>
        <v>ACTISALUD-CENTRAL DE MEZCLA-RAFAEL CELIS</v>
      </c>
      <c r="F10845" s="5"/>
      <c r="G10845" s="5"/>
    </row>
    <row r="10846" spans="1:7" ht="58.5" customHeight="1" x14ac:dyDescent="0.25">
      <c r="A10846" s="5" t="str">
        <f>"H0029414"</f>
        <v>H0029414</v>
      </c>
      <c r="B10846"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6" s="6">
        <v>333200</v>
      </c>
      <c r="D10846" s="5" t="s">
        <v>89</v>
      </c>
      <c r="E10846" s="5" t="str">
        <f t="shared" si="559"/>
        <v>ACTISALUD-CENTRAL DE MEZCLA-RAFAEL CELIS</v>
      </c>
      <c r="F10846" s="5"/>
      <c r="G10846" s="5"/>
    </row>
    <row r="10847" spans="1:7" ht="58.5" customHeight="1" x14ac:dyDescent="0.25">
      <c r="A10847" s="5" t="str">
        <f>"H0029415"</f>
        <v>H0029415</v>
      </c>
      <c r="B10847"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7" s="6">
        <v>333200</v>
      </c>
      <c r="D10847" s="5" t="s">
        <v>89</v>
      </c>
      <c r="E10847" s="5" t="str">
        <f t="shared" si="559"/>
        <v>ACTISALUD-CENTRAL DE MEZCLA-RAFAEL CELIS</v>
      </c>
      <c r="F10847" s="5"/>
      <c r="G10847" s="5"/>
    </row>
    <row r="10848" spans="1:7" ht="58.5" customHeight="1" x14ac:dyDescent="0.25">
      <c r="A10848" s="5" t="str">
        <f>"H0029416"</f>
        <v>H0029416</v>
      </c>
      <c r="B10848" s="5" t="str">
        <f t="shared" si="558"/>
        <v>SILLA TIPO CAJERO NEUMATICA REF. BAJA CON ARO, TIPO DE SOPORTE LUMBAR Y DORSAL, MEDIDAS DE 35*39 DE ESPALDAR, Y ASIENTO DE 39*45, FABRICADOS EN POLIPROPILENO. AJUSTE DE ELEVACIÓN NEUMÁTICA, ALTURA DE ASIENTO REGULABLE DE 55 A 75 CM. RESPALDO FIJO. CAN BASE DE PUNTAS EN NYLON, CON RUEDAS EN NYLON O DESLIZADORES, TAPIZADAS CORDOBAN, COLORES A ESCOGER.</v>
      </c>
      <c r="C10848" s="6">
        <v>333200</v>
      </c>
      <c r="D10848" s="5" t="s">
        <v>89</v>
      </c>
      <c r="E10848" s="5" t="str">
        <f t="shared" si="559"/>
        <v>ACTISALUD-CENTRAL DE MEZCLA-RAFAEL CELIS</v>
      </c>
      <c r="F10848" s="5"/>
      <c r="G10848" s="5"/>
    </row>
    <row r="10849" spans="1:7" ht="58.5" customHeight="1" x14ac:dyDescent="0.25">
      <c r="A10849" s="5" t="str">
        <f>"H0029531"</f>
        <v>H0029531</v>
      </c>
      <c r="B10849" s="5" t="str">
        <f>"SECADOR MANOS POTENCIA"</f>
        <v>SECADOR MANOS POTENCIA</v>
      </c>
      <c r="C10849" s="6">
        <v>732859.86</v>
      </c>
      <c r="D10849" s="5" t="s">
        <v>637</v>
      </c>
      <c r="E10849" s="5" t="str">
        <f t="shared" si="559"/>
        <v>ACTISALUD-CENTRAL DE MEZCLA-RAFAEL CELIS</v>
      </c>
      <c r="F10849" s="5"/>
      <c r="G10849" s="5"/>
    </row>
    <row r="10850" spans="1:7" ht="58.5" customHeight="1" x14ac:dyDescent="0.25">
      <c r="A10850" s="5" t="str">
        <f>"H0029537"</f>
        <v>H0029537</v>
      </c>
      <c r="B10850" s="5" t="str">
        <f>"IMPRESORA DE TRANSFERENCIA TÉRMICA DE ETIQUETAS VELOCIDAD DE IMPRESIÓN 14 IPS. RESOLUCIÓN ENTRE 200 Y 600 DPI. ANCHO DE IMPRESIÓN HASTA 100 mm. MEMORIA DDR DE 256 MB. ROLLO DE CERA O RESINA HASTA 100 mm X 300 m. CONEXIÓN USB Y ETHERNET 10/100. PANTALLA LC"&amp; "D. IMPRESIÓN DE CÓDIGOS DE BARRA CODE 128 Y DE CÓDIGOS BIDIMENSIONALES. SENSOR DE IDENTIFICACIÓN DE ETIQUETAS. VOLTAJE DE ALIMENTACIÓN 100 A 240 V."</f>
        <v>IMPRESORA DE TRANSFERENCIA TÉRMICA DE ETIQUETAS VELOCIDAD DE IMPRESIÓN 14 IPS. RESOLUCIÓN ENTRE 200 Y 600 DPI. ANCHO DE IMPRESIÓN HASTA 100 mm. MEMORIA DDR DE 256 MB. ROLLO DE CERA O RESINA HASTA 100 mm X 300 m. CONEXIÓN USB Y ETHERNET 10/100. PANTALLA LCD. IMPRESIÓN DE CÓDIGOS DE BARRA CODE 128 Y DE CÓDIGOS BIDIMENSIONALES. SENSOR DE IDENTIFICACIÓN DE ETIQUETAS. VOLTAJE DE ALIMENTACIÓN 100 A 240 V.</v>
      </c>
      <c r="C10850" s="6">
        <v>13923000</v>
      </c>
      <c r="D10850" s="5" t="s">
        <v>638</v>
      </c>
      <c r="E10850" s="5" t="str">
        <f t="shared" si="559"/>
        <v>ACTISALUD-CENTRAL DE MEZCLA-RAFAEL CELIS</v>
      </c>
      <c r="F10850" s="5"/>
      <c r="G10850" s="5"/>
    </row>
    <row r="10851" spans="1:7" ht="58.5" customHeight="1" x14ac:dyDescent="0.25">
      <c r="A10851" s="5" t="str">
        <f>"H0029613"</f>
        <v>H0029613</v>
      </c>
      <c r="B10851" s="5" t="str">
        <f>"NEVERA DE ALMACENAMIENTO  CENTRAL"</f>
        <v>NEVERA DE ALMACENAMIENTO  CENTRAL</v>
      </c>
      <c r="C10851" s="6">
        <v>12495000</v>
      </c>
      <c r="D10851" s="5" t="s">
        <v>632</v>
      </c>
      <c r="E10851" s="5" t="str">
        <f t="shared" si="559"/>
        <v>ACTISALUD-CENTRAL DE MEZCLA-RAFAEL CELIS</v>
      </c>
      <c r="F10851" s="5"/>
      <c r="G10851" s="5" t="str">
        <f>"VR20-D1-E1D115BGFGB"</f>
        <v>VR20-D1-E1D115BGFGB</v>
      </c>
    </row>
    <row r="10852" spans="1:7" ht="58.5" customHeight="1" x14ac:dyDescent="0.25">
      <c r="A10852" s="5" t="str">
        <f>"H0029614"</f>
        <v>H0029614</v>
      </c>
      <c r="B10852" s="5" t="str">
        <f>"NEVERA DE ALMACENAMIENTO  CENTRAL"</f>
        <v>NEVERA DE ALMACENAMIENTO  CENTRAL</v>
      </c>
      <c r="C10852" s="6">
        <v>12495000</v>
      </c>
      <c r="D10852" s="5" t="s">
        <v>632</v>
      </c>
      <c r="E10852" s="5" t="str">
        <f t="shared" si="559"/>
        <v>ACTISALUD-CENTRAL DE MEZCLA-RAFAEL CELIS</v>
      </c>
      <c r="F10852" s="5"/>
      <c r="G10852" s="5" t="str">
        <f>"VR20-D1-E1D115BGFGB"</f>
        <v>VR20-D1-E1D115BGFGB</v>
      </c>
    </row>
    <row r="10853" spans="1:7" ht="58.5" customHeight="1" x14ac:dyDescent="0.25">
      <c r="A10853" s="5" t="str">
        <f>"H0029619"</f>
        <v>H0029619</v>
      </c>
      <c r="B10853" s="5" t="str">
        <f t="shared" ref="B10853:B10858" si="560">"CARROS UTILITARIOS (central de mezclas)"</f>
        <v>CARROS UTILITARIOS (central de mezclas)</v>
      </c>
      <c r="C10853" s="6">
        <v>969850</v>
      </c>
      <c r="D10853" s="5" t="s">
        <v>639</v>
      </c>
      <c r="E10853" s="5" t="str">
        <f t="shared" si="559"/>
        <v>ACTISALUD-CENTRAL DE MEZCLA-RAFAEL CELIS</v>
      </c>
      <c r="F10853" s="5"/>
      <c r="G10853" s="5"/>
    </row>
    <row r="10854" spans="1:7" ht="58.5" customHeight="1" x14ac:dyDescent="0.25">
      <c r="A10854" s="5" t="str">
        <f>"H0029620"</f>
        <v>H0029620</v>
      </c>
      <c r="B10854" s="5" t="str">
        <f t="shared" si="560"/>
        <v>CARROS UTILITARIOS (central de mezclas)</v>
      </c>
      <c r="C10854" s="6">
        <v>969850</v>
      </c>
      <c r="D10854" s="5" t="s">
        <v>639</v>
      </c>
      <c r="E10854" s="5" t="str">
        <f t="shared" si="559"/>
        <v>ACTISALUD-CENTRAL DE MEZCLA-RAFAEL CELIS</v>
      </c>
      <c r="F10854" s="5"/>
      <c r="G10854" s="5"/>
    </row>
    <row r="10855" spans="1:7" ht="58.5" customHeight="1" x14ac:dyDescent="0.25">
      <c r="A10855" s="5" t="str">
        <f>"H0029621"</f>
        <v>H0029621</v>
      </c>
      <c r="B10855" s="5" t="str">
        <f t="shared" si="560"/>
        <v>CARROS UTILITARIOS (central de mezclas)</v>
      </c>
      <c r="C10855" s="6">
        <v>969850</v>
      </c>
      <c r="D10855" s="5" t="s">
        <v>639</v>
      </c>
      <c r="E10855" s="5" t="str">
        <f t="shared" si="559"/>
        <v>ACTISALUD-CENTRAL DE MEZCLA-RAFAEL CELIS</v>
      </c>
      <c r="F10855" s="5"/>
      <c r="G10855" s="5"/>
    </row>
    <row r="10856" spans="1:7" ht="58.5" customHeight="1" x14ac:dyDescent="0.25">
      <c r="A10856" s="5" t="str">
        <f>"H0029622"</f>
        <v>H0029622</v>
      </c>
      <c r="B10856" s="5" t="str">
        <f t="shared" si="560"/>
        <v>CARROS UTILITARIOS (central de mezclas)</v>
      </c>
      <c r="C10856" s="6">
        <v>969850</v>
      </c>
      <c r="D10856" s="5" t="s">
        <v>639</v>
      </c>
      <c r="E10856" s="5" t="str">
        <f t="shared" si="559"/>
        <v>ACTISALUD-CENTRAL DE MEZCLA-RAFAEL CELIS</v>
      </c>
      <c r="F10856" s="5"/>
      <c r="G10856" s="5"/>
    </row>
    <row r="10857" spans="1:7" ht="58.5" customHeight="1" x14ac:dyDescent="0.25">
      <c r="A10857" s="5" t="str">
        <f>"H0029623"</f>
        <v>H0029623</v>
      </c>
      <c r="B10857" s="5" t="str">
        <f t="shared" si="560"/>
        <v>CARROS UTILITARIOS (central de mezclas)</v>
      </c>
      <c r="C10857" s="6">
        <v>969850</v>
      </c>
      <c r="D10857" s="5" t="s">
        <v>639</v>
      </c>
      <c r="E10857" s="5" t="str">
        <f t="shared" si="559"/>
        <v>ACTISALUD-CENTRAL DE MEZCLA-RAFAEL CELIS</v>
      </c>
      <c r="F10857" s="5"/>
      <c r="G10857" s="5"/>
    </row>
    <row r="10858" spans="1:7" ht="58.5" customHeight="1" x14ac:dyDescent="0.25">
      <c r="A10858" s="5" t="str">
        <f>"H0029624"</f>
        <v>H0029624</v>
      </c>
      <c r="B10858" s="5" t="str">
        <f t="shared" si="560"/>
        <v>CARROS UTILITARIOS (central de mezclas)</v>
      </c>
      <c r="C10858" s="6">
        <v>969850</v>
      </c>
      <c r="D10858" s="5" t="s">
        <v>639</v>
      </c>
      <c r="E10858" s="5" t="str">
        <f t="shared" si="559"/>
        <v>ACTISALUD-CENTRAL DE MEZCLA-RAFAEL CELIS</v>
      </c>
      <c r="F10858" s="5"/>
      <c r="G10858" s="5"/>
    </row>
    <row r="10859" spans="1:7" ht="58.5" customHeight="1" x14ac:dyDescent="0.25">
      <c r="A10859" s="5" t="str">
        <f>"H0029625"</f>
        <v>H0029625</v>
      </c>
      <c r="B10859" s="5" t="str">
        <f>"SELLADORA DE IMPULSO DE PEDAL"</f>
        <v>SELLADORA DE IMPULSO DE PEDAL</v>
      </c>
      <c r="C10859" s="6">
        <v>2463300</v>
      </c>
      <c r="D10859" s="5" t="s">
        <v>639</v>
      </c>
      <c r="E10859" s="5" t="str">
        <f t="shared" si="559"/>
        <v>ACTISALUD-CENTRAL DE MEZCLA-RAFAEL CELIS</v>
      </c>
      <c r="F10859" s="5"/>
      <c r="G10859" s="5"/>
    </row>
    <row r="10860" spans="1:7" ht="58.5" customHeight="1" x14ac:dyDescent="0.25">
      <c r="A10860" s="5" t="str">
        <f>"H0029626"</f>
        <v>H0029626</v>
      </c>
      <c r="B10860" s="5" t="str">
        <f>"SELLADORA DE IMPULSO DE PEDAL"</f>
        <v>SELLADORA DE IMPULSO DE PEDAL</v>
      </c>
      <c r="C10860" s="6">
        <v>2463300</v>
      </c>
      <c r="D10860" s="5" t="s">
        <v>639</v>
      </c>
      <c r="E10860" s="5" t="str">
        <f t="shared" si="559"/>
        <v>ACTISALUD-CENTRAL DE MEZCLA-RAFAEL CELIS</v>
      </c>
      <c r="F10860" s="5"/>
      <c r="G10860" s="5"/>
    </row>
    <row r="10861" spans="1:7" ht="58.5" customHeight="1" x14ac:dyDescent="0.25">
      <c r="A10861" s="5" t="str">
        <f>"H0029633"</f>
        <v>H0029633</v>
      </c>
      <c r="B10861" s="5" t="str">
        <f t="shared" ref="B10861:B10866" si="561">"CAVAS DE TRANSPORTE 9.5 L"</f>
        <v>CAVAS DE TRANSPORTE 9.5 L</v>
      </c>
      <c r="C10861" s="6">
        <v>371280</v>
      </c>
      <c r="D10861" s="5" t="s">
        <v>640</v>
      </c>
      <c r="E10861" s="5" t="str">
        <f t="shared" si="559"/>
        <v>ACTISALUD-CENTRAL DE MEZCLA-RAFAEL CELIS</v>
      </c>
      <c r="F10861" s="5"/>
      <c r="G10861" s="5"/>
    </row>
    <row r="10862" spans="1:7" ht="58.5" customHeight="1" x14ac:dyDescent="0.25">
      <c r="A10862" s="5" t="str">
        <f>"H0029634"</f>
        <v>H0029634</v>
      </c>
      <c r="B10862" s="5" t="str">
        <f t="shared" si="561"/>
        <v>CAVAS DE TRANSPORTE 9.5 L</v>
      </c>
      <c r="C10862" s="6">
        <v>371280</v>
      </c>
      <c r="D10862" s="5" t="s">
        <v>640</v>
      </c>
      <c r="E10862" s="5" t="str">
        <f t="shared" si="559"/>
        <v>ACTISALUD-CENTRAL DE MEZCLA-RAFAEL CELIS</v>
      </c>
      <c r="F10862" s="5"/>
      <c r="G10862" s="5"/>
    </row>
    <row r="10863" spans="1:7" ht="58.5" customHeight="1" x14ac:dyDescent="0.25">
      <c r="A10863" s="5" t="str">
        <f>"H0029635"</f>
        <v>H0029635</v>
      </c>
      <c r="B10863" s="5" t="str">
        <f t="shared" si="561"/>
        <v>CAVAS DE TRANSPORTE 9.5 L</v>
      </c>
      <c r="C10863" s="6">
        <v>371280</v>
      </c>
      <c r="D10863" s="5" t="s">
        <v>640</v>
      </c>
      <c r="E10863" s="5" t="str">
        <f t="shared" si="559"/>
        <v>ACTISALUD-CENTRAL DE MEZCLA-RAFAEL CELIS</v>
      </c>
      <c r="F10863" s="5"/>
      <c r="G10863" s="5"/>
    </row>
    <row r="10864" spans="1:7" ht="58.5" customHeight="1" x14ac:dyDescent="0.25">
      <c r="A10864" s="5" t="str">
        <f>"H0029636"</f>
        <v>H0029636</v>
      </c>
      <c r="B10864" s="5" t="str">
        <f t="shared" si="561"/>
        <v>CAVAS DE TRANSPORTE 9.5 L</v>
      </c>
      <c r="C10864" s="6">
        <v>371280</v>
      </c>
      <c r="D10864" s="5" t="s">
        <v>640</v>
      </c>
      <c r="E10864" s="5" t="str">
        <f t="shared" si="559"/>
        <v>ACTISALUD-CENTRAL DE MEZCLA-RAFAEL CELIS</v>
      </c>
      <c r="F10864" s="5"/>
      <c r="G10864" s="5"/>
    </row>
    <row r="10865" spans="1:7" ht="58.5" customHeight="1" x14ac:dyDescent="0.25">
      <c r="A10865" s="5" t="str">
        <f>"H0029637"</f>
        <v>H0029637</v>
      </c>
      <c r="B10865" s="5" t="str">
        <f t="shared" si="561"/>
        <v>CAVAS DE TRANSPORTE 9.5 L</v>
      </c>
      <c r="C10865" s="6">
        <v>371280</v>
      </c>
      <c r="D10865" s="5" t="s">
        <v>640</v>
      </c>
      <c r="E10865" s="5" t="str">
        <f t="shared" si="559"/>
        <v>ACTISALUD-CENTRAL DE MEZCLA-RAFAEL CELIS</v>
      </c>
      <c r="F10865" s="5"/>
      <c r="G10865" s="5"/>
    </row>
    <row r="10866" spans="1:7" ht="58.5" customHeight="1" x14ac:dyDescent="0.25">
      <c r="A10866" s="5" t="str">
        <f>"H0029638"</f>
        <v>H0029638</v>
      </c>
      <c r="B10866" s="5" t="str">
        <f t="shared" si="561"/>
        <v>CAVAS DE TRANSPORTE 9.5 L</v>
      </c>
      <c r="C10866" s="6">
        <v>371280</v>
      </c>
      <c r="D10866" s="5" t="s">
        <v>640</v>
      </c>
      <c r="E10866" s="5" t="str">
        <f t="shared" si="559"/>
        <v>ACTISALUD-CENTRAL DE MEZCLA-RAFAEL CELIS</v>
      </c>
      <c r="F10866" s="5"/>
      <c r="G10866" s="5"/>
    </row>
    <row r="10867" spans="1:7" ht="58.5" customHeight="1" x14ac:dyDescent="0.25">
      <c r="A10867" s="5" t="str">
        <f>"H0029639"</f>
        <v>H0029639</v>
      </c>
      <c r="B10867" s="5" t="str">
        <f>"CAVAS DE TRANSPORTE 22 L (Central de mezclas)"</f>
        <v>CAVAS DE TRANSPORTE 22 L (Central de mezclas)</v>
      </c>
      <c r="C10867" s="6">
        <v>462910</v>
      </c>
      <c r="D10867" s="5" t="s">
        <v>640</v>
      </c>
      <c r="E10867" s="5" t="str">
        <f t="shared" si="559"/>
        <v>ACTISALUD-CENTRAL DE MEZCLA-RAFAEL CELIS</v>
      </c>
      <c r="F10867" s="5"/>
      <c r="G10867" s="5"/>
    </row>
    <row r="10868" spans="1:7" ht="58.5" customHeight="1" x14ac:dyDescent="0.25">
      <c r="A10868" s="5" t="str">
        <f>"H0029640"</f>
        <v>H0029640</v>
      </c>
      <c r="B10868" s="5" t="str">
        <f>"CAVAS DE TRANSPORTE 22 L (Central de mezclas)"</f>
        <v>CAVAS DE TRANSPORTE 22 L (Central de mezclas)</v>
      </c>
      <c r="C10868" s="6">
        <v>462910</v>
      </c>
      <c r="D10868" s="5" t="s">
        <v>640</v>
      </c>
      <c r="E10868" s="5" t="str">
        <f t="shared" si="559"/>
        <v>ACTISALUD-CENTRAL DE MEZCLA-RAFAEL CELIS</v>
      </c>
      <c r="F10868" s="5"/>
      <c r="G10868" s="5"/>
    </row>
    <row r="10869" spans="1:7" ht="58.5" customHeight="1" x14ac:dyDescent="0.25">
      <c r="A10869" s="5" t="str">
        <f>"H0029641"</f>
        <v>H0029641</v>
      </c>
      <c r="B10869" s="5" t="str">
        <f>"CAVAS DE TRANSPORTE 22 L (Central de mezclas)"</f>
        <v>CAVAS DE TRANSPORTE 22 L (Central de mezclas)</v>
      </c>
      <c r="C10869" s="6">
        <v>462910</v>
      </c>
      <c r="D10869" s="5" t="s">
        <v>640</v>
      </c>
      <c r="E10869" s="5" t="str">
        <f t="shared" si="559"/>
        <v>ACTISALUD-CENTRAL DE MEZCLA-RAFAEL CELIS</v>
      </c>
      <c r="F10869" s="5"/>
      <c r="G10869" s="5"/>
    </row>
    <row r="10870" spans="1:7" ht="58.5" customHeight="1" x14ac:dyDescent="0.25">
      <c r="A10870" s="5" t="str">
        <f>"H0029642"</f>
        <v>H0029642</v>
      </c>
      <c r="B10870" s="5" t="str">
        <f>"CAVAS DE TRANSPORTE 22 L (Central de mezclas)"</f>
        <v>CAVAS DE TRANSPORTE 22 L (Central de mezclas)</v>
      </c>
      <c r="C10870" s="6">
        <v>462910</v>
      </c>
      <c r="D10870" s="5" t="s">
        <v>640</v>
      </c>
      <c r="E10870" s="5" t="str">
        <f t="shared" si="559"/>
        <v>ACTISALUD-CENTRAL DE MEZCLA-RAFAEL CELIS</v>
      </c>
      <c r="F10870" s="5"/>
      <c r="G10870" s="5"/>
    </row>
    <row r="10871" spans="1:7" ht="58.5" customHeight="1" x14ac:dyDescent="0.25">
      <c r="A10871" s="5" t="str">
        <f>"H0029796"</f>
        <v>H0029796</v>
      </c>
      <c r="B10871" s="5" t="str">
        <f>"TORRE DE ALMACENAMIENTO DE LÍQUIDOS (cental de mezclas)"</f>
        <v>TORRE DE ALMACENAMIENTO DE LÍQUIDOS (cental de mezclas)</v>
      </c>
      <c r="C10871" s="6">
        <v>4462500</v>
      </c>
      <c r="D10871" s="5" t="s">
        <v>633</v>
      </c>
      <c r="E10871" s="5" t="str">
        <f t="shared" si="559"/>
        <v>ACTISALUD-CENTRAL DE MEZCLA-RAFAEL CELIS</v>
      </c>
      <c r="F10871" s="5"/>
      <c r="G10871" s="5"/>
    </row>
    <row r="10872" spans="1:7" ht="58.5" customHeight="1" x14ac:dyDescent="0.25">
      <c r="A10872" s="5" t="str">
        <f>"H0029813"</f>
        <v>H0029813</v>
      </c>
      <c r="B10872" s="5" t="str">
        <f>"KIT BOMBA DE FILTRACIÓN AL VACÍO"</f>
        <v>KIT BOMBA DE FILTRACIÓN AL VACÍO</v>
      </c>
      <c r="C10872" s="6">
        <v>2488290</v>
      </c>
      <c r="D10872" s="5" t="s">
        <v>634</v>
      </c>
      <c r="E10872" s="5" t="str">
        <f t="shared" si="559"/>
        <v>ACTISALUD-CENTRAL DE MEZCLA-RAFAEL CELIS</v>
      </c>
      <c r="F10872" s="5"/>
      <c r="G10872" s="5"/>
    </row>
    <row r="10873" spans="1:7" ht="58.5" customHeight="1" x14ac:dyDescent="0.25">
      <c r="A10873" s="5" t="str">
        <f>"H0030165"</f>
        <v>H0030165</v>
      </c>
      <c r="B1087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0873" s="6">
        <v>252400</v>
      </c>
      <c r="D10873" s="5" t="s">
        <v>190</v>
      </c>
      <c r="E10873" s="5" t="str">
        <f t="shared" si="559"/>
        <v>ACTISALUD-CENTRAL DE MEZCLA-RAFAEL CELIS</v>
      </c>
      <c r="F10873" s="5"/>
      <c r="G10873" s="5"/>
    </row>
    <row r="10874" spans="1:7" ht="58.5" customHeight="1" x14ac:dyDescent="0.25">
      <c r="A10874" s="5" t="str">
        <f>"H0031232"</f>
        <v>H0031232</v>
      </c>
      <c r="B10874" s="5" t="str">
        <f>"BALANZA GRANATARIA DIGITAL (central de mezclas)"</f>
        <v>BALANZA GRANATARIA DIGITAL (central de mezclas)</v>
      </c>
      <c r="C10874" s="6">
        <v>3210620</v>
      </c>
      <c r="D10874" s="5" t="s">
        <v>641</v>
      </c>
      <c r="E10874" s="5" t="str">
        <f t="shared" si="559"/>
        <v>ACTISALUD-CENTRAL DE MEZCLA-RAFAEL CELIS</v>
      </c>
      <c r="F10874" s="5"/>
      <c r="G10874" s="5"/>
    </row>
    <row r="10875" spans="1:7" ht="58.5" customHeight="1" x14ac:dyDescent="0.25">
      <c r="A10875" s="5" t="str">
        <f>"H0031233"</f>
        <v>H0031233</v>
      </c>
      <c r="B10875" s="5" t="str">
        <f>"KIT PESAS PATRÓN PARA CALIBRACIÓN DE BALANZA"</f>
        <v>KIT PESAS PATRÓN PARA CALIBRACIÓN DE BALANZA</v>
      </c>
      <c r="C10875" s="6">
        <v>3853815</v>
      </c>
      <c r="D10875" s="5" t="s">
        <v>641</v>
      </c>
      <c r="E10875" s="5" t="str">
        <f t="shared" si="559"/>
        <v>ACTISALUD-CENTRAL DE MEZCLA-RAFAEL CELIS</v>
      </c>
      <c r="F10875" s="5"/>
      <c r="G10875" s="5"/>
    </row>
    <row r="10876" spans="1:7" ht="58.5" customHeight="1" x14ac:dyDescent="0.25">
      <c r="A10876" s="5" t="str">
        <f>"H0031234"</f>
        <v>H0031234</v>
      </c>
      <c r="B10876" s="5" t="str">
        <f>"PANTALLA DE INSPECCIÓN VISUAL CALIDAD"</f>
        <v>PANTALLA DE INSPECCIÓN VISUAL CALIDAD</v>
      </c>
      <c r="C10876" s="6">
        <v>658427</v>
      </c>
      <c r="D10876" s="5" t="s">
        <v>103</v>
      </c>
      <c r="E10876" s="5" t="str">
        <f t="shared" si="559"/>
        <v>ACTISALUD-CENTRAL DE MEZCLA-RAFAEL CELIS</v>
      </c>
      <c r="F10876" s="5"/>
      <c r="G10876" s="5"/>
    </row>
    <row r="10877" spans="1:7" ht="58.5" customHeight="1" x14ac:dyDescent="0.25">
      <c r="A10877" s="5" t="str">
        <f>"H0031235"</f>
        <v>H0031235</v>
      </c>
      <c r="B10877" s="5" t="str">
        <f>"PANTALLA DE INSPECCIÓN VISUAL CALIDAD"</f>
        <v>PANTALLA DE INSPECCIÓN VISUAL CALIDAD</v>
      </c>
      <c r="C10877" s="6">
        <v>658427</v>
      </c>
      <c r="D10877" s="5" t="s">
        <v>103</v>
      </c>
      <c r="E10877" s="5" t="str">
        <f t="shared" ref="E10877:E10887" si="562">"ACTISALUD-CENTRAL DE MEZCLA-RAFAEL CELIS"</f>
        <v>ACTISALUD-CENTRAL DE MEZCLA-RAFAEL CELIS</v>
      </c>
      <c r="F10877" s="5"/>
      <c r="G10877" s="5"/>
    </row>
    <row r="10878" spans="1:7" ht="58.5" customHeight="1" x14ac:dyDescent="0.25">
      <c r="A10878" s="5" t="str">
        <f>"H0031236"</f>
        <v>H0031236</v>
      </c>
      <c r="B10878" s="5" t="str">
        <f>"PANTALLA DE INSPECCIÓN VISUAL CALIDAD"</f>
        <v>PANTALLA DE INSPECCIÓN VISUAL CALIDAD</v>
      </c>
      <c r="C10878" s="6">
        <v>658427</v>
      </c>
      <c r="D10878" s="5" t="s">
        <v>103</v>
      </c>
      <c r="E10878" s="5" t="str">
        <f t="shared" si="562"/>
        <v>ACTISALUD-CENTRAL DE MEZCLA-RAFAEL CELIS</v>
      </c>
      <c r="F10878" s="5"/>
      <c r="G10878" s="5"/>
    </row>
    <row r="10879" spans="1:7" ht="58.5" customHeight="1" x14ac:dyDescent="0.25">
      <c r="A10879" s="5" t="str">
        <f>"H0031237"</f>
        <v>H0031237</v>
      </c>
      <c r="B10879" s="5" t="str">
        <f>"SELLADORA DE IMPULSO DE PEDAL"</f>
        <v>SELLADORA DE IMPULSO DE PEDAL</v>
      </c>
      <c r="C10879" s="6">
        <v>3009986</v>
      </c>
      <c r="D10879" s="5" t="s">
        <v>641</v>
      </c>
      <c r="E10879" s="5" t="str">
        <f t="shared" si="562"/>
        <v>ACTISALUD-CENTRAL DE MEZCLA-RAFAEL CELIS</v>
      </c>
      <c r="F10879" s="5"/>
      <c r="G10879" s="5"/>
    </row>
    <row r="10880" spans="1:7" ht="58.5" customHeight="1" x14ac:dyDescent="0.25">
      <c r="A10880" s="5" t="str">
        <f>"H0031238"</f>
        <v>H0031238</v>
      </c>
      <c r="B10880" s="5" t="str">
        <f>"SELLADORA DE IMPULSO DE PEDAL"</f>
        <v>SELLADORA DE IMPULSO DE PEDAL</v>
      </c>
      <c r="C10880" s="6">
        <v>3009986</v>
      </c>
      <c r="D10880" s="5" t="s">
        <v>641</v>
      </c>
      <c r="E10880" s="5" t="str">
        <f t="shared" si="562"/>
        <v>ACTISALUD-CENTRAL DE MEZCLA-RAFAEL CELIS</v>
      </c>
      <c r="F10880" s="5"/>
      <c r="G10880" s="5"/>
    </row>
    <row r="10881" spans="1:7" ht="58.5" customHeight="1" x14ac:dyDescent="0.25">
      <c r="A10881" s="5" t="str">
        <f>"H0034035"</f>
        <v>H0034035</v>
      </c>
      <c r="B10881" s="5" t="s">
        <v>329</v>
      </c>
      <c r="C10881" s="6">
        <v>258000</v>
      </c>
      <c r="D10881" s="5" t="s">
        <v>122</v>
      </c>
      <c r="E10881" s="5" t="str">
        <f t="shared" si="562"/>
        <v>ACTISALUD-CENTRAL DE MEZCLA-RAFAEL CELIS</v>
      </c>
      <c r="F10881" s="5"/>
      <c r="G10881" s="5"/>
    </row>
    <row r="10882" spans="1:7" ht="58.5" customHeight="1" x14ac:dyDescent="0.25">
      <c r="A10882" s="5" t="str">
        <f>"H0036901"</f>
        <v>H0036901</v>
      </c>
      <c r="B10882" s="5" t="str">
        <f>"AIRE ACONDICIONADO TIPO MINISPLIT CAPACIDAD 18.000 BTU TECNOLOGIA INVERTER DUAL"</f>
        <v>AIRE ACONDICIONADO TIPO MINISPLIT CAPACIDAD 18.000 BTU TECNOLOGIA INVERTER DUAL</v>
      </c>
      <c r="C10882" s="6">
        <v>3900000</v>
      </c>
      <c r="D10882" s="5" t="s">
        <v>28</v>
      </c>
      <c r="E10882" s="5" t="str">
        <f t="shared" si="562"/>
        <v>ACTISALUD-CENTRAL DE MEZCLA-RAFAEL CELIS</v>
      </c>
      <c r="F10882" s="5"/>
      <c r="G10882" s="5"/>
    </row>
    <row r="10883" spans="1:7" ht="58.5" customHeight="1" x14ac:dyDescent="0.25">
      <c r="A10883" s="5" t="str">
        <f>"H0036902"</f>
        <v>H0036902</v>
      </c>
      <c r="B10883" s="5" t="str">
        <f>"AIRE ACONDICIONADO TIPO MINISPLIT CAPACIDAD 18.000 BTU TECNOLOGIA INVERTER DUAL"</f>
        <v>AIRE ACONDICIONADO TIPO MINISPLIT CAPACIDAD 18.000 BTU TECNOLOGIA INVERTER DUAL</v>
      </c>
      <c r="C10883" s="6">
        <v>3900000</v>
      </c>
      <c r="D10883" s="5" t="s">
        <v>28</v>
      </c>
      <c r="E10883" s="5" t="str">
        <f t="shared" si="562"/>
        <v>ACTISALUD-CENTRAL DE MEZCLA-RAFAEL CELIS</v>
      </c>
      <c r="F10883" s="5"/>
      <c r="G10883" s="5"/>
    </row>
    <row r="10884" spans="1:7" ht="58.5" customHeight="1" x14ac:dyDescent="0.25">
      <c r="A10884" s="5" t="str">
        <f>"H0037844"</f>
        <v>H0037844</v>
      </c>
      <c r="B10884" s="5" t="str">
        <f>"SILLA GERENTE NIZA MEC. BASCULANTE CON BRAZOS."</f>
        <v>SILLA GERENTE NIZA MEC. BASCULANTE CON BRAZOS.</v>
      </c>
      <c r="C10884" s="6">
        <v>710000.01</v>
      </c>
      <c r="D10884" s="5" t="s">
        <v>30</v>
      </c>
      <c r="E10884" s="5" t="str">
        <f t="shared" si="562"/>
        <v>ACTISALUD-CENTRAL DE MEZCLA-RAFAEL CELIS</v>
      </c>
      <c r="F10884" s="5"/>
      <c r="G10884" s="5"/>
    </row>
    <row r="10885" spans="1:7" ht="58.5" customHeight="1" x14ac:dyDescent="0.25">
      <c r="A10885" s="5" t="str">
        <f>"H0037845"</f>
        <v>H0037845</v>
      </c>
      <c r="B10885" s="5" t="str">
        <f>"SILLA GERENTE NIZA MEC. BASCULANTE CON BRAZOS."</f>
        <v>SILLA GERENTE NIZA MEC. BASCULANTE CON BRAZOS.</v>
      </c>
      <c r="C10885" s="6">
        <v>710000.01</v>
      </c>
      <c r="D10885" s="5" t="s">
        <v>30</v>
      </c>
      <c r="E10885" s="5" t="str">
        <f t="shared" si="562"/>
        <v>ACTISALUD-CENTRAL DE MEZCLA-RAFAEL CELIS</v>
      </c>
      <c r="F10885" s="5"/>
      <c r="G10885" s="5"/>
    </row>
    <row r="10886" spans="1:7" ht="58.5" customHeight="1" x14ac:dyDescent="0.25">
      <c r="A10886" s="5" t="str">
        <f>"H0037846"</f>
        <v>H0037846</v>
      </c>
      <c r="B10886" s="5" t="str">
        <f>"SILLA GERENTE NIZA MEC. BASCULANTE CON BRAZOS."</f>
        <v>SILLA GERENTE NIZA MEC. BASCULANTE CON BRAZOS.</v>
      </c>
      <c r="C10886" s="6">
        <v>710000.01</v>
      </c>
      <c r="D10886" s="5" t="s">
        <v>30</v>
      </c>
      <c r="E10886" s="5" t="str">
        <f t="shared" si="562"/>
        <v>ACTISALUD-CENTRAL DE MEZCLA-RAFAEL CELIS</v>
      </c>
      <c r="F10886" s="5"/>
      <c r="G10886" s="5"/>
    </row>
    <row r="10887" spans="1:7" ht="58.5" customHeight="1" x14ac:dyDescent="0.25">
      <c r="A10887" s="5" t="str">
        <f>"H0037847"</f>
        <v>H0037847</v>
      </c>
      <c r="B10887" s="5" t="str">
        <f>"SILLA GERENTE NIZA MEC. BASCULANTE CON BRAZOS."</f>
        <v>SILLA GERENTE NIZA MEC. BASCULANTE CON BRAZOS.</v>
      </c>
      <c r="C10887" s="6">
        <v>710000.01</v>
      </c>
      <c r="D10887" s="5" t="s">
        <v>30</v>
      </c>
      <c r="E10887" s="5" t="str">
        <f t="shared" si="562"/>
        <v>ACTISALUD-CENTRAL DE MEZCLA-RAFAEL CELIS</v>
      </c>
      <c r="F10887" s="5"/>
      <c r="G10887" s="5"/>
    </row>
    <row r="10888" spans="1:7" ht="58.5" customHeight="1" x14ac:dyDescent="0.25">
      <c r="A10888" s="5" t="str">
        <f>"B0000379"</f>
        <v>B0000379</v>
      </c>
      <c r="B10888" s="5" t="str">
        <f>"VIBRADOR"</f>
        <v>VIBRADOR</v>
      </c>
      <c r="C10888" s="6">
        <v>54039</v>
      </c>
      <c r="D10888" s="5"/>
      <c r="E10888" s="5" t="str">
        <f t="shared" ref="E10888:E10919" si="563">"BANCO DE LECHE-ESPERANZA MONCADA"</f>
        <v>BANCO DE LECHE-ESPERANZA MONCADA</v>
      </c>
      <c r="F10888" s="5" t="str">
        <f>"Descripcion:Masajeadores/vibradores Electrico, para mano, cara y pies, tres cabezas intercambiables, 2 velocidades Masajea y Limpia el rostro. Estado: Excelente Placa anterior: 000038971 Material: PASTA Color: BLANCO Y VERDE Referencia: 28869 Observacion:"&amp; "  Placa padre:  Tipo adquisicion : Entidad"</f>
        <v>Descripcion:Masajeadores/vibradores Electrico, para mano, cara y pies, tres cabezas intercambiables, 2 velocidades Masajea y Limpia el rostro. Estado: Excelente Placa anterior: 000038971 Material: PASTA Color: BLANCO Y VERDE Referencia: 28869 Observacion:  Placa padre:  Tipo adquisicion : Entidad</v>
      </c>
      <c r="G10888" s="5"/>
    </row>
    <row r="10889" spans="1:7" ht="58.5" customHeight="1" x14ac:dyDescent="0.25">
      <c r="A10889" s="5" t="str">
        <f>"B0000380"</f>
        <v>B0000380</v>
      </c>
      <c r="B10889" s="5" t="str">
        <f>"VIBRADOR"</f>
        <v>VIBRADOR</v>
      </c>
      <c r="C10889" s="6">
        <v>54039</v>
      </c>
      <c r="D10889" s="5"/>
      <c r="E10889" s="5" t="str">
        <f t="shared" si="563"/>
        <v>BANCO DE LECHE-ESPERANZA MONCADA</v>
      </c>
      <c r="F10889" s="5" t="str">
        <f>"Descripcion:Masajeadores/vibradores Electrico, para mano, cara y pies, tres cabezas intercambiables, 2 velocidades Masajea y Limpia el rostro. Estado: Excelente Placa anterior: 000038970 Material: PASTA Color: BLANCO Y VERDE Referencia: 28869 Observacion:"&amp; "  Placa padre:  Tipo adquisicion : Entidad"</f>
        <v>Descripcion:Masajeadores/vibradores Electrico, para mano, cara y pies, tres cabezas intercambiables, 2 velocidades Masajea y Limpia el rostro. Estado: Excelente Placa anterior: 000038970 Material: PASTA Color: BLANCO Y VERDE Referencia: 28869 Observacion:  Placa padre:  Tipo adquisicion : Entidad</v>
      </c>
      <c r="G10889" s="5"/>
    </row>
    <row r="10890" spans="1:7" ht="58.5" customHeight="1" x14ac:dyDescent="0.25">
      <c r="A10890" s="5" t="str">
        <f>"B0000381"</f>
        <v>B0000381</v>
      </c>
      <c r="B10890" s="5" t="str">
        <f>"TERMOMETRO -10 + 10 GRAD. 1/1"</f>
        <v>TERMOMETRO -10 + 10 GRAD. 1/1</v>
      </c>
      <c r="C10890" s="6">
        <v>512782.49</v>
      </c>
      <c r="D10890" s="5"/>
      <c r="E10890" s="5" t="str">
        <f t="shared" si="563"/>
        <v>BANCO DE LECHE-ESPERANZA MONCADA</v>
      </c>
      <c r="F10890" s="5" t="str">
        <f>"Descripcion:TERMOMETRO CALIBRADO CONCERTIFICADO Termometro calibrado con escala interna ycolumna graduada de -10 a 110 grados,sensibilidad de 0,1 grados centigrados, certificadode calibracion en 2 o 3 puntos Estado: Excelente Placa anterior: 000038953 Mat"&amp; "erial: VIDRIO Color: TRANSPARENTE Referencia: 5021 Observacion:  Placa padre:  Tipo adquisicion : Entidad"</f>
        <v>Descripcion:TERMOMETRO CALIBRADO CONCERTIFICADO Termometro calibrado con escala interna ycolumna graduada de -10 a 110 grados,sensibilidad de 0,1 grados centigrados, certificadode calibracion en 2 o 3 puntos Estado: Excelente Placa anterior: 000038953 Material: VIDRIO Color: TRANSPARENTE Referencia: 5021 Observacion:  Placa padre:  Tipo adquisicion : Entidad</v>
      </c>
      <c r="G10890" s="5"/>
    </row>
    <row r="10891" spans="1:7" ht="58.5" customHeight="1" x14ac:dyDescent="0.25">
      <c r="A10891" s="5" t="str">
        <f>"B0000383"</f>
        <v>B0000383</v>
      </c>
      <c r="B10891" s="5" t="str">
        <f>"TERMOMETRO CUELLO GANSO"</f>
        <v>TERMOMETRO CUELLO GANSO</v>
      </c>
      <c r="C10891" s="6">
        <v>146569</v>
      </c>
      <c r="D10891" s="5"/>
      <c r="E10891" s="5" t="str">
        <f t="shared" si="563"/>
        <v>BANCO DE LECHE-ESPERANZA MONCADA</v>
      </c>
      <c r="F10891" s="5" t="str">
        <f>"Descripcion:TERMOMETRO MARCADO PARTE SUPERIOR Termometro de estufa (cuello de ganso) calibradopor la red brasilera de calibracion con escalainterna y columna graduada de -10 a 110 grados,sensibilidad de 0,1 grados centigrados certificadode calibracion en "&amp; "2 o 3 punto Estado: Excelente Placa anterior: 000038954 Material: VIDRIO Color: TRANSPARENTE Referencia:  Observacion:  Placa padre:  Tipo adquisicion : Entidad"</f>
        <v>Descripcion:TERMOMETRO MARCADO PARTE SUPERIOR Termometro de estufa (cuello de ganso) calibradopor la red brasilera de calibracion con escalainterna y columna graduada de -10 a 110 grados,sensibilidad de 0,1 grados centigrados certificadode calibracion en 2 o 3 punto Estado: Excelente Placa anterior: 000038954 Material: VIDRIO Color: TRANSPARENTE Referencia:  Observacion:  Placa padre:  Tipo adquisicion : Entidad</v>
      </c>
      <c r="G10891" s="5" t="str">
        <f>"5108.L"</f>
        <v>5108.L</v>
      </c>
    </row>
    <row r="10892" spans="1:7" ht="58.5" customHeight="1" x14ac:dyDescent="0.25">
      <c r="A10892" s="5" t="str">
        <f>"H0002008"</f>
        <v>H0002008</v>
      </c>
      <c r="B10892" s="5" t="str">
        <f>"REFRIGERADOR VERTICAL 230LT"</f>
        <v>REFRIGERADOR VERTICAL 230LT</v>
      </c>
      <c r="C10892" s="6">
        <v>1911600</v>
      </c>
      <c r="D10892" s="5"/>
      <c r="E10892" s="5" t="str">
        <f t="shared" si="563"/>
        <v>BANCO DE LECHE-ESPERANZA MONCADA</v>
      </c>
      <c r="F10892" s="5" t="str">
        <f>"Descripcion:NEVERA CONGELADOR VERTICAL DE 230 LITROS  Estado: Excelente Placa anterior: 000039100 Material: METALICA Y PASTA Color: GRIS Referencia:  Observacion: ESTA GUARDADA EN LAVANDERIA Placa padre:  Tipo adquisicion : Entidad"</f>
        <v>Descripcion:NEVERA CONGELADOR VERTICAL DE 230 LITROS  Estado: Excelente Placa anterior: 000039100 Material: METALICA Y PASTA Color: GRIS Referencia:  Observacion: ESTA GUARDADA EN LAVANDERIA Placa padre:  Tipo adquisicion : Entidad</v>
      </c>
      <c r="G10892" s="5" t="str">
        <f>"CV460"</f>
        <v>CV460</v>
      </c>
    </row>
    <row r="10893" spans="1:7" ht="58.5" customHeight="1" x14ac:dyDescent="0.25">
      <c r="A10893" s="5" t="str">
        <f>"H0002009"</f>
        <v>H0002009</v>
      </c>
      <c r="B10893" s="5" t="str">
        <f>"REFRIGERADOR VERTICAL 230LT"</f>
        <v>REFRIGERADOR VERTICAL 230LT</v>
      </c>
      <c r="C10893" s="6">
        <v>1911600</v>
      </c>
      <c r="D10893" s="5"/>
      <c r="E10893" s="5" t="str">
        <f t="shared" si="563"/>
        <v>BANCO DE LECHE-ESPERANZA MONCADA</v>
      </c>
      <c r="F10893" s="5" t="str">
        <f>"Descripcion:NEVERA CONGELADOR VERTICAL DE 230 LITROS  Estado: Excelente Placa anterior: 000039099 Material: METALICA Y PASTA Color: GRIS Referencia:  Observacion: ESTA GUARDADA EN LAVANDERIA Placa padre:  Tipo adquisicion : Entidad"</f>
        <v>Descripcion:NEVERA CONGELADOR VERTICAL DE 230 LITROS  Estado: Excelente Placa anterior: 000039099 Material: METALICA Y PASTA Color: GRIS Referencia:  Observacion: ESTA GUARDADA EN LAVANDERIA Placa padre:  Tipo adquisicion : Entidad</v>
      </c>
      <c r="G10893" s="5" t="str">
        <f>"CV460"</f>
        <v>CV460</v>
      </c>
    </row>
    <row r="10894" spans="1:7" ht="58.5" customHeight="1" x14ac:dyDescent="0.25">
      <c r="A10894" s="5" t="str">
        <f>"H0002010"</f>
        <v>H0002010</v>
      </c>
      <c r="B10894" s="5" t="str">
        <f>"REFRIGERADOR VERTICAL 230LT"</f>
        <v>REFRIGERADOR VERTICAL 230LT</v>
      </c>
      <c r="C10894" s="6">
        <v>1911600</v>
      </c>
      <c r="D10894" s="5"/>
      <c r="E10894" s="5" t="str">
        <f t="shared" si="563"/>
        <v>BANCO DE LECHE-ESPERANZA MONCADA</v>
      </c>
      <c r="F10894" s="5" t="str">
        <f>"Descripcion:NEVERA CONGELADOR VERTICAL DE 230 LITROS  Estado: Excelente Placa anterior: 000039101 Material: METALICA Y PASTA Color: GRIS Referencia:  Observacion: ESTA GUARDADA EN LAVANDERIA Placa padre:  Tipo adquisicion : Entidad"</f>
        <v>Descripcion:NEVERA CONGELADOR VERTICAL DE 230 LITROS  Estado: Excelente Placa anterior: 000039101 Material: METALICA Y PASTA Color: GRIS Referencia:  Observacion: ESTA GUARDADA EN LAVANDERIA Placa padre:  Tipo adquisicion : Entidad</v>
      </c>
      <c r="G10894" s="5" t="str">
        <f>"CV460"</f>
        <v>CV460</v>
      </c>
    </row>
    <row r="10895" spans="1:7" ht="58.5" customHeight="1" x14ac:dyDescent="0.25">
      <c r="A10895" s="5" t="str">
        <f>"H0002011"</f>
        <v>H0002011</v>
      </c>
      <c r="B10895" s="5" t="str">
        <f>"NEVERA 9.5 PIES (266LT)"</f>
        <v>NEVERA 9.5 PIES (266LT)</v>
      </c>
      <c r="C10895" s="6">
        <v>748440</v>
      </c>
      <c r="D10895" s="5"/>
      <c r="E10895" s="5" t="str">
        <f t="shared" si="563"/>
        <v>BANCO DE LECHE-ESPERANZA MONCADA</v>
      </c>
      <c r="F10895" s="5" t="str">
        <f>"Descripcion:NEVERA CONGELADOR VERTICAL DE 266 LITROS NO FROST Estado: Excelente Placa anterior: 000039098 Material: METALICA Y PASTA Color: GRIS Referencia:  Observacion: ESTA GUARDADA EN LAVANDERIA Placa padre:  Tipo adquisicion : Entidad"</f>
        <v>Descripcion:NEVERA CONGELADOR VERTICAL DE 266 LITROS NO FROST Estado: Excelente Placa anterior: 000039098 Material: METALICA Y PASTA Color: GRIS Referencia:  Observacion: ESTA GUARDADA EN LAVANDERIA Placa padre:  Tipo adquisicion : Entidad</v>
      </c>
      <c r="G10895" s="5" t="str">
        <f>"CR370B"</f>
        <v>CR370B</v>
      </c>
    </row>
    <row r="10896" spans="1:7" ht="58.5" customHeight="1" x14ac:dyDescent="0.25">
      <c r="A10896" s="5" t="str">
        <f>"H0002012"</f>
        <v>H0002012</v>
      </c>
      <c r="B10896" s="5" t="str">
        <f>"NEVERA 4 PIES (115LT)"</f>
        <v>NEVERA 4 PIES (115LT)</v>
      </c>
      <c r="C10896" s="6">
        <v>379080</v>
      </c>
      <c r="D10896" s="5"/>
      <c r="E10896" s="5" t="str">
        <f t="shared" si="563"/>
        <v>BANCO DE LECHE-ESPERANZA MONCADA</v>
      </c>
      <c r="F10896" s="5" t="str">
        <f>"Descripcion:NEVERA REFRIGERADOR DE 115 LTS. NO FROST Estado: Excelente Placa anterior: 000039097 Material: METALICA Y PASTA Color: GRIS Referencia:  Observacion: ESTA GUARDADA EN LAVANDERIA Placa padre:  Tipo adquisicion : Entidad"</f>
        <v>Descripcion:NEVERA REFRIGERADOR DE 115 LTS. NO FROST Estado: Excelente Placa anterior: 000039097 Material: METALICA Y PASTA Color: GRIS Referencia:  Observacion: ESTA GUARDADA EN LAVANDERIA Placa padre:  Tipo adquisicion : Entidad</v>
      </c>
      <c r="G10896" s="5" t="str">
        <f>"CR150"</f>
        <v>CR150</v>
      </c>
    </row>
    <row r="10897" spans="1:7" ht="58.5" customHeight="1" x14ac:dyDescent="0.25">
      <c r="A10897" s="5" t="str">
        <f>"H0002071"</f>
        <v>H0002071</v>
      </c>
      <c r="B10897" s="5" t="str">
        <f>"REFRIGERADOR (ENFRIADOR) PARA LHOP"</f>
        <v>REFRIGERADOR (ENFRIADOR) PARA LHOP</v>
      </c>
      <c r="C10897" s="6">
        <v>19944933</v>
      </c>
      <c r="D10897" s="5"/>
      <c r="E10897" s="5" t="str">
        <f t="shared" si="563"/>
        <v>BANCO DE LECHE-ESPERANZA MONCADA</v>
      </c>
      <c r="F10897" s="5" t="str">
        <f>"Descripcion:RESFRIADOR PARA HLOP - ENFRIADOR Estado: Excelente Placa anterior: 000038999 Material: ACERO INOXIDABLE Color: PLATEADO Referencia:  Observacion:  Placa padre:  Tipo adquisicion : Entidad"</f>
        <v>Descripcion:RESFRIADOR PARA HLOP - ENFRIADOR Estado: Excelente Placa anterior: 000038999 Material: ACERO INOXIDABLE Color: PLATEADO Referencia:  Observacion:  Placa padre:  Tipo adquisicion : Entidad</v>
      </c>
      <c r="G10897" s="5" t="str">
        <f>"RBL65"</f>
        <v>RBL65</v>
      </c>
    </row>
    <row r="10898" spans="1:7" ht="58.5" customHeight="1" x14ac:dyDescent="0.25">
      <c r="A10898" s="5" t="str">
        <f>"H0002095"</f>
        <v>H0002095</v>
      </c>
      <c r="B10898" s="5" t="str">
        <f>"EXTRACTOR DE COMPONENTES SANGUINEOS"</f>
        <v>EXTRACTOR DE COMPONENTES SANGUINEOS</v>
      </c>
      <c r="C10898" s="6">
        <v>11041809</v>
      </c>
      <c r="D10898" s="5"/>
      <c r="E10898" s="5" t="str">
        <f t="shared" si="563"/>
        <v>BANCO DE LECHE-ESPERANZA MONCADA</v>
      </c>
      <c r="F10898" s="5" t="str">
        <f>"Descripcion:BOMBA DE SUCCION EXTRACTORA Estado: Excelente Placa anterior: 000038994 Material: PASTA Color:  Referencia:  Observacion: FUNCIONARIO AUTORIZA SE CONCILIE CON PLACA 000038994 Placa padre:  Tipo adquisicion : Entidad"</f>
        <v>Descripcion:BOMBA DE SUCCION EXTRACTORA Estado: Excelente Placa anterior: 000038994 Material: PASTA Color:  Referencia:  Observacion: FUNCIONARIO AUTORIZA SE CONCILIE CON PLACA 000038994 Placa padre:  Tipo adquisicion : Entidad</v>
      </c>
      <c r="G10898" s="5"/>
    </row>
    <row r="10899" spans="1:7" ht="58.5" customHeight="1" x14ac:dyDescent="0.25">
      <c r="A10899" s="5" t="str">
        <f>"H0002096"</f>
        <v>H0002096</v>
      </c>
      <c r="B10899" s="5" t="str">
        <f t="shared" ref="B10899:B10908" si="564">"CUBETA PLASTICA"</f>
        <v>CUBETA PLASTICA</v>
      </c>
      <c r="C10899" s="6">
        <v>43231</v>
      </c>
      <c r="D10899" s="5"/>
      <c r="E10899" s="5" t="str">
        <f t="shared" si="563"/>
        <v>BANCO DE LECHE-ESPERANZA MONCADA</v>
      </c>
      <c r="F10899" s="5" t="str">
        <f>"Descripcion:CUBETA PLASTICA 47CM LARGO X 29CM ANCHO X 15CM ALTO.  Estado: Excelente Placa anterior: 000038961 Material: PLASTICO Color: TRANSP. CON TAPA BLANCA Referencia:  Observacion:  Placa padre:  Tipo adquisicion : Entidad"</f>
        <v>Descripcion:CUBETA PLASTICA 47CM LARGO X 29CM ANCHO X 15CM ALTO.  Estado: Excelente Placa anterior: 000038961 Material: PLASTICO Color: TRANSP. CON TAPA BLANCA Referencia:  Observacion:  Placa padre:  Tipo adquisicion : Entidad</v>
      </c>
      <c r="G10899" s="5"/>
    </row>
    <row r="10900" spans="1:7" ht="58.5" customHeight="1" x14ac:dyDescent="0.25">
      <c r="A10900" s="5" t="str">
        <f>"H0002097"</f>
        <v>H0002097</v>
      </c>
      <c r="B10900" s="5" t="str">
        <f t="shared" si="564"/>
        <v>CUBETA PLASTICA</v>
      </c>
      <c r="C10900" s="6">
        <v>43231</v>
      </c>
      <c r="D10900" s="5"/>
      <c r="E10900" s="5" t="str">
        <f t="shared" si="563"/>
        <v>BANCO DE LECHE-ESPERANZA MONCADA</v>
      </c>
      <c r="F10900" s="5" t="str">
        <f>"Descripcion:CUBETA PLASTICA 47CM LARGO X 29CM ANCHO X 15CM ALTO.  Estado: Excelente Placa anterior: 000038962 Material: PLASTICO Color: TRANSP. CON TAPA BLANCA Referencia:  Observacion:  Placa padre:  Tipo adquisicion : Entidad"</f>
        <v>Descripcion:CUBETA PLASTICA 47CM LARGO X 29CM ANCHO X 15CM ALTO.  Estado: Excelente Placa anterior: 000038962 Material: PLASTICO Color: TRANSP. CON TAPA BLANCA Referencia:  Observacion:  Placa padre:  Tipo adquisicion : Entidad</v>
      </c>
      <c r="G10900" s="5"/>
    </row>
    <row r="10901" spans="1:7" ht="58.5" customHeight="1" x14ac:dyDescent="0.25">
      <c r="A10901" s="5" t="str">
        <f>"H0002098"</f>
        <v>H0002098</v>
      </c>
      <c r="B10901" s="5" t="str">
        <f t="shared" si="564"/>
        <v>CUBETA PLASTICA</v>
      </c>
      <c r="C10901" s="6">
        <v>43231</v>
      </c>
      <c r="D10901" s="5"/>
      <c r="E10901" s="5" t="str">
        <f t="shared" si="563"/>
        <v>BANCO DE LECHE-ESPERANZA MONCADA</v>
      </c>
      <c r="F10901" s="5" t="str">
        <f>"Descripcion:CUBETA PLASTICA 47CM LARGO X 29CM ANCHO X 15CM ALTO.  Estado: Excelente Placa anterior: 000038963 Material: PLASTICO Color: TRANSP. CON TAPA BLANCA Referencia:  Observacion:  Placa padre:  Tipo adquisicion : Entidad"</f>
        <v>Descripcion:CUBETA PLASTICA 47CM LARGO X 29CM ANCHO X 15CM ALTO.  Estado: Excelente Placa anterior: 000038963 Material: PLASTICO Color: TRANSP. CON TAPA BLANCA Referencia:  Observacion:  Placa padre:  Tipo adquisicion : Entidad</v>
      </c>
      <c r="G10901" s="5"/>
    </row>
    <row r="10902" spans="1:7" ht="58.5" customHeight="1" x14ac:dyDescent="0.25">
      <c r="A10902" s="5" t="str">
        <f>"H0002099"</f>
        <v>H0002099</v>
      </c>
      <c r="B10902" s="5" t="str">
        <f t="shared" si="564"/>
        <v>CUBETA PLASTICA</v>
      </c>
      <c r="C10902" s="6">
        <v>43231</v>
      </c>
      <c r="D10902" s="5"/>
      <c r="E10902" s="5" t="str">
        <f t="shared" si="563"/>
        <v>BANCO DE LECHE-ESPERANZA MONCADA</v>
      </c>
      <c r="F10902" s="5" t="str">
        <f>"Descripcion:CUBETA PLASTICA 47CM LARGO X 29CM ANCHO X 15CM ALTO.  Estado: Excelente Placa anterior: 000038964 Material: PLASTICO Color: TRANSP. CON TAPA BLANCA Referencia:  Observacion:  Placa padre:  Tipo adquisicion : Entidad"</f>
        <v>Descripcion:CUBETA PLASTICA 47CM LARGO X 29CM ANCHO X 15CM ALTO.  Estado: Excelente Placa anterior: 000038964 Material: PLASTICO Color: TRANSP. CON TAPA BLANCA Referencia:  Observacion:  Placa padre:  Tipo adquisicion : Entidad</v>
      </c>
      <c r="G10902" s="5"/>
    </row>
    <row r="10903" spans="1:7" ht="58.5" customHeight="1" x14ac:dyDescent="0.25">
      <c r="A10903" s="5" t="str">
        <f>"H0002100"</f>
        <v>H0002100</v>
      </c>
      <c r="B10903" s="5" t="str">
        <f t="shared" si="564"/>
        <v>CUBETA PLASTICA</v>
      </c>
      <c r="C10903" s="6">
        <v>43231</v>
      </c>
      <c r="D10903" s="5"/>
      <c r="E10903" s="5" t="str">
        <f t="shared" si="563"/>
        <v>BANCO DE LECHE-ESPERANZA MONCADA</v>
      </c>
      <c r="F10903" s="5" t="str">
        <f>"Descripcion:CUBETA PLASTICA 47CM LARGO X 29CM ANCHO X 15CM ALTO.  Estado: Excelente Placa anterior: 000038965 Material: PLASTICO Color: TRANSP. CON TAPA BLANCA Referencia:  Observacion:  Placa padre:  Tipo adquisicion : Entidad"</f>
        <v>Descripcion:CUBETA PLASTICA 47CM LARGO X 29CM ANCHO X 15CM ALTO.  Estado: Excelente Placa anterior: 000038965 Material: PLASTICO Color: TRANSP. CON TAPA BLANCA Referencia:  Observacion:  Placa padre:  Tipo adquisicion : Entidad</v>
      </c>
      <c r="G10903" s="5"/>
    </row>
    <row r="10904" spans="1:7" ht="58.5" customHeight="1" x14ac:dyDescent="0.25">
      <c r="A10904" s="5" t="str">
        <f>"H0002101"</f>
        <v>H0002101</v>
      </c>
      <c r="B10904" s="5" t="str">
        <f t="shared" si="564"/>
        <v>CUBETA PLASTICA</v>
      </c>
      <c r="C10904" s="6">
        <v>49407</v>
      </c>
      <c r="D10904" s="5"/>
      <c r="E10904" s="5" t="str">
        <f t="shared" si="563"/>
        <v>BANCO DE LECHE-ESPERANZA MONCADA</v>
      </c>
      <c r="F10904" s="5" t="str">
        <f>"Descripcion:CUBETA PLASTICA 30CM LARGO x 20 CM ANCHO x 12 CM ALTO, TAPA BLANCA 5.7 LTS. Estado: Excelente Placa anterior: 000038957 Material: PLASTICO Color: TRANSP. MANIJA AZUL Referencia:  Observacion: LAS MEDIDAS ESTABAN MAL APUNTADAS Placa padre:  Tip"&amp; "o adquisicion : Entidad"</f>
        <v>Descripcion:CUBETA PLASTICA 30CM LARGO x 20 CM ANCHO x 12 CM ALTO, TAPA BLANCA 5.7 LTS. Estado: Excelente Placa anterior: 000038957 Material: PLASTICO Color: TRANSP. MANIJA AZUL Referencia:  Observacion: LAS MEDIDAS ESTABAN MAL APUNTADAS Placa padre:  Tipo adquisicion : Entidad</v>
      </c>
      <c r="G10904" s="5"/>
    </row>
    <row r="10905" spans="1:7" ht="58.5" customHeight="1" x14ac:dyDescent="0.25">
      <c r="A10905" s="5" t="str">
        <f>"H0002102"</f>
        <v>H0002102</v>
      </c>
      <c r="B10905" s="5" t="str">
        <f t="shared" si="564"/>
        <v>CUBETA PLASTICA</v>
      </c>
      <c r="C10905" s="6">
        <v>49407</v>
      </c>
      <c r="D10905" s="5"/>
      <c r="E10905" s="5" t="str">
        <f t="shared" si="563"/>
        <v>BANCO DE LECHE-ESPERANZA MONCADA</v>
      </c>
      <c r="F10905" s="5" t="str">
        <f>"Descripcion:CUBETA PLASTICA 30CM LARGO x 20 CM ANCHO x 12 CM ALTO, TAPA BLANCA 5.7 LTS. Estado: Excelente Placa anterior: 000038958 Material: PLASTICO Color: TRANSP. MANIJA AZUL Referencia:  Observacion: LAS MEDIDAS ESTABAN MAL APUNTADAS Placa padre:  Tip"&amp; "o adquisicion : Entidad"</f>
        <v>Descripcion:CUBETA PLASTICA 30CM LARGO x 20 CM ANCHO x 12 CM ALTO, TAPA BLANCA 5.7 LTS. Estado: Excelente Placa anterior: 000038958 Material: PLASTICO Color: TRANSP. MANIJA AZUL Referencia:  Observacion: LAS MEDIDAS ESTABAN MAL APUNTADAS Placa padre:  Tipo adquisicion : Entidad</v>
      </c>
      <c r="G10905" s="5"/>
    </row>
    <row r="10906" spans="1:7" ht="58.5" customHeight="1" x14ac:dyDescent="0.25">
      <c r="A10906" s="5" t="str">
        <f>"H0002103"</f>
        <v>H0002103</v>
      </c>
      <c r="B10906" s="5" t="str">
        <f t="shared" si="564"/>
        <v>CUBETA PLASTICA</v>
      </c>
      <c r="C10906" s="6">
        <v>49407</v>
      </c>
      <c r="D10906" s="5"/>
      <c r="E10906" s="5" t="str">
        <f t="shared" si="563"/>
        <v>BANCO DE LECHE-ESPERANZA MONCADA</v>
      </c>
      <c r="F10906" s="5" t="str">
        <f>"Descripcion:CUBETA PLASTICA 30CM LARGO x 20 CM ANCHO x 12 CM ALTO, TAPA BLANCA 5.7 LTS. Estado: Excelente Placa anterior: 000038960 Material: PLASTICO Color: TRANSP. MANIJA AZUL Referencia:  Observacion: LAS MEDIDAS ESTABAN MAL APUNTADAS Placa padre:  Tip"&amp; "o adquisicion : Entidad"</f>
        <v>Descripcion:CUBETA PLASTICA 30CM LARGO x 20 CM ANCHO x 12 CM ALTO, TAPA BLANCA 5.7 LTS. Estado: Excelente Placa anterior: 000038960 Material: PLASTICO Color: TRANSP. MANIJA AZUL Referencia:  Observacion: LAS MEDIDAS ESTABAN MAL APUNTADAS Placa padre:  Tipo adquisicion : Entidad</v>
      </c>
      <c r="G10906" s="5"/>
    </row>
    <row r="10907" spans="1:7" ht="58.5" customHeight="1" x14ac:dyDescent="0.25">
      <c r="A10907" s="5" t="str">
        <f>"H0002104"</f>
        <v>H0002104</v>
      </c>
      <c r="B10907" s="5" t="str">
        <f t="shared" si="564"/>
        <v>CUBETA PLASTICA</v>
      </c>
      <c r="C10907" s="6">
        <v>49407</v>
      </c>
      <c r="D10907" s="5"/>
      <c r="E10907" s="5" t="str">
        <f t="shared" si="563"/>
        <v>BANCO DE LECHE-ESPERANZA MONCADA</v>
      </c>
      <c r="F10907" s="5" t="str">
        <f>"Descripcion:CUBETA PLASTICA 30CM LARGO x 20 CM ANCHO x 12 CM ALTO, TAPA BLANCA 5.7 LTS. Estado: Excelente Placa anterior: 000038959 Material: PLASTICO Color: TRANSP. MANIJA AZUL Referencia:  Observacion: LAS MEDIDAS ESTABAN MAL APUNTADAS Placa padre:  Tip"&amp; "o adquisicion : Entidad"</f>
        <v>Descripcion:CUBETA PLASTICA 30CM LARGO x 20 CM ANCHO x 12 CM ALTO, TAPA BLANCA 5.7 LTS. Estado: Excelente Placa anterior: 000038959 Material: PLASTICO Color: TRANSP. MANIJA AZUL Referencia:  Observacion: LAS MEDIDAS ESTABAN MAL APUNTADAS Placa padre:  Tipo adquisicion : Entidad</v>
      </c>
      <c r="G10907" s="5"/>
    </row>
    <row r="10908" spans="1:7" ht="58.5" customHeight="1" x14ac:dyDescent="0.25">
      <c r="A10908" s="5" t="str">
        <f>"H0002105"</f>
        <v>H0002105</v>
      </c>
      <c r="B10908" s="5" t="str">
        <f t="shared" si="564"/>
        <v>CUBETA PLASTICA</v>
      </c>
      <c r="C10908" s="6">
        <v>49407</v>
      </c>
      <c r="D10908" s="5"/>
      <c r="E10908" s="5" t="str">
        <f t="shared" si="563"/>
        <v>BANCO DE LECHE-ESPERANZA MONCADA</v>
      </c>
      <c r="F10908" s="5" t="str">
        <f>"Descripcion:CUBETA PLASTICA 30CM LARGO x 20 CM ANCHO x 12 CM ALTO, TAPA BLANCA 5.7 LTS. Estado: Excelente Placa anterior: 000038956 Material: PLASTICO Color: TRANSP. MANIJA AZUL Referencia:  Observacion: LAS MEDIDAS ESTABAN MAL APUNTADAS Placa padre:  Tip"&amp; "o adquisicion : Entidad"</f>
        <v>Descripcion:CUBETA PLASTICA 30CM LARGO x 20 CM ANCHO x 12 CM ALTO, TAPA BLANCA 5.7 LTS. Estado: Excelente Placa anterior: 000038956 Material: PLASTICO Color: TRANSP. MANIJA AZUL Referencia:  Observacion: LAS MEDIDAS ESTABAN MAL APUNTADAS Placa padre:  Tipo adquisicion : Entidad</v>
      </c>
      <c r="G10908" s="5"/>
    </row>
    <row r="10909" spans="1:7" ht="58.5" customHeight="1" x14ac:dyDescent="0.25">
      <c r="A10909" s="5" t="str">
        <f>"H0002276"</f>
        <v>H0002276</v>
      </c>
      <c r="B10909" s="5" t="str">
        <f>"CRONOMETRO DIGITAL"</f>
        <v>CRONOMETRO DIGITAL</v>
      </c>
      <c r="C10909" s="6">
        <v>35076</v>
      </c>
      <c r="D10909" s="5" t="s">
        <v>382</v>
      </c>
      <c r="E10909" s="5" t="str">
        <f t="shared" si="563"/>
        <v>BANCO DE LECHE-ESPERANZA MONCADA</v>
      </c>
      <c r="F10909" s="5" t="str">
        <f>"Descripcion:Timer para marcar tiempo. Estado: Bueno Placa anterior: 000038955 Material:  Color:  Referencia:  Observacion:  Placa padre:  Tipo adquisicion : Entidad"</f>
        <v>Descripcion:Timer para marcar tiempo. Estado: Bueno Placa anterior: 000038955 Material:  Color:  Referencia:  Observacion:  Placa padre:  Tipo adquisicion : Entidad</v>
      </c>
      <c r="G10909" s="5"/>
    </row>
    <row r="10910" spans="1:7" ht="58.5" customHeight="1" x14ac:dyDescent="0.25">
      <c r="A10910" s="5" t="str">
        <f>"H0002277"</f>
        <v>H0002277</v>
      </c>
      <c r="B10910" s="5" t="str">
        <f>"PIPETEADOR DIGITAL"</f>
        <v>PIPETEADOR DIGITAL</v>
      </c>
      <c r="C10910" s="6">
        <v>1282625</v>
      </c>
      <c r="D10910" s="5"/>
      <c r="E10910" s="5" t="str">
        <f t="shared" si="563"/>
        <v>BANCO DE LECHE-ESPERANZA MONCADA</v>
      </c>
      <c r="F10910" s="5" t="str">
        <f>"Descripcion:PIPETEADOR DIGITAL 500-5000 UL, CON ACCESORIOS Y GRASA DE SILICONA Estado: Excelente Placa anterior: 000038886 Material: GOMA Y PASTA Color: GRIS CLARO Y OSCURO Referencia: 704782 Observacion:  Placa padre:  Tipo adquisicion : Entidad"</f>
        <v>Descripcion:PIPETEADOR DIGITAL 500-5000 UL, CON ACCESORIOS Y GRASA DE SILICONA Estado: Excelente Placa anterior: 000038886 Material: GOMA Y PASTA Color: GRIS CLARO Y OSCURO Referencia: 704782 Observacion:  Placa padre:  Tipo adquisicion : Entidad</v>
      </c>
      <c r="G10910" s="5"/>
    </row>
    <row r="10911" spans="1:7" ht="58.5" customHeight="1" x14ac:dyDescent="0.25">
      <c r="A10911" s="5" t="str">
        <f>"H0002278"</f>
        <v>H0002278</v>
      </c>
      <c r="B10911" s="5" t="str">
        <f>"PIPETEADOR DIGITAL"</f>
        <v>PIPETEADOR DIGITAL</v>
      </c>
      <c r="C10911" s="6">
        <v>1282625</v>
      </c>
      <c r="D10911" s="5"/>
      <c r="E10911" s="5" t="str">
        <f t="shared" si="563"/>
        <v>BANCO DE LECHE-ESPERANZA MONCADA</v>
      </c>
      <c r="F10911" s="5" t="str">
        <f>"Descripcion:PIPETEADOR DIGITAL 500-5000 UL, CON ACCESORIOS Y GRASA DE SILICONA Estado: Excelente Placa anterior: 000038887 Material: GOMA Y PASTA Color: GRIS CLARO Y OSCURO Referencia: 704782 Observacion:  Placa padre:  Tipo adquisicion : Entidad"</f>
        <v>Descripcion:PIPETEADOR DIGITAL 500-5000 UL, CON ACCESORIOS Y GRASA DE SILICONA Estado: Excelente Placa anterior: 000038887 Material: GOMA Y PASTA Color: GRIS CLARO Y OSCURO Referencia: 704782 Observacion:  Placa padre:  Tipo adquisicion : Entidad</v>
      </c>
      <c r="G10911" s="5"/>
    </row>
    <row r="10912" spans="1:7" ht="58.5" customHeight="1" x14ac:dyDescent="0.25">
      <c r="A10912" s="5" t="str">
        <f>"H0002279"</f>
        <v>H0002279</v>
      </c>
      <c r="B10912" s="5" t="str">
        <f>"PIPETEADOR DIGITAL"</f>
        <v>PIPETEADOR DIGITAL</v>
      </c>
      <c r="C10912" s="6">
        <v>1282625</v>
      </c>
      <c r="D10912" s="5"/>
      <c r="E10912" s="5" t="str">
        <f t="shared" si="563"/>
        <v>BANCO DE LECHE-ESPERANZA MONCADA</v>
      </c>
      <c r="F10912" s="5" t="str">
        <f>"Descripcion:PIPETEADOR DIGITAL 500-5000 UL, CON ACCESORIOS Y GRASA DE SILICONA Estado: Excelente Placa anterior: 000038884 Material: GOMA Y PASTA Color: GRIS CLARO Y OSCURO Referencia: 704782 Observacion:  Placa padre:  Tipo adquisicion : Entidad"</f>
        <v>Descripcion:PIPETEADOR DIGITAL 500-5000 UL, CON ACCESORIOS Y GRASA DE SILICONA Estado: Excelente Placa anterior: 000038884 Material: GOMA Y PASTA Color: GRIS CLARO Y OSCURO Referencia: 704782 Observacion:  Placa padre:  Tipo adquisicion : Entidad</v>
      </c>
      <c r="G10912" s="5"/>
    </row>
    <row r="10913" spans="1:7" ht="58.5" customHeight="1" x14ac:dyDescent="0.25">
      <c r="A10913" s="5" t="str">
        <f>"H0002280"</f>
        <v>H0002280</v>
      </c>
      <c r="B10913" s="5" t="str">
        <f>"PIPETEADOR DIGITAL"</f>
        <v>PIPETEADOR DIGITAL</v>
      </c>
      <c r="C10913" s="6">
        <v>1282625</v>
      </c>
      <c r="D10913" s="5"/>
      <c r="E10913" s="5" t="str">
        <f t="shared" si="563"/>
        <v>BANCO DE LECHE-ESPERANZA MONCADA</v>
      </c>
      <c r="F10913" s="5" t="str">
        <f>"Descripcion:PIPETEADOR DIGITAL 500-5000 UL, CON ACCESORIOS Y GRASA DE SILICONA Estado: Excelente Placa anterior: 000038885 Material: GOMA Y PASTA Color: GRIS CLARO Y OSCURO Referencia: 704782 Observacion:  Placa padre:  Tipo adquisicion : Entidad"</f>
        <v>Descripcion:PIPETEADOR DIGITAL 500-5000 UL, CON ACCESORIOS Y GRASA DE SILICONA Estado: Excelente Placa anterior: 000038885 Material: GOMA Y PASTA Color: GRIS CLARO Y OSCURO Referencia: 704782 Observacion:  Placa padre:  Tipo adquisicion : Entidad</v>
      </c>
      <c r="G10913" s="5"/>
    </row>
    <row r="10914" spans="1:7" ht="58.5" customHeight="1" x14ac:dyDescent="0.25">
      <c r="A10914" s="5" t="str">
        <f>"H0002297"</f>
        <v>H0002297</v>
      </c>
      <c r="B10914" s="5" t="str">
        <f>"CAJA (CAVA) TERMICA 9LT"</f>
        <v>CAJA (CAVA) TERMICA 9LT</v>
      </c>
      <c r="C10914" s="6">
        <v>364760</v>
      </c>
      <c r="D10914" s="5"/>
      <c r="E10914" s="5" t="str">
        <f t="shared" si="563"/>
        <v>BANCO DE LECHE-ESPERANZA MONCADA</v>
      </c>
      <c r="F10914" s="5" t="str">
        <f>"Descripcion:Caja isotermica cuerpo termoplastico de pared doble, aislado termicamente con espuma de poliuretano con asa integrada; tapa basculante; abre para cualquier lado, con cierre automatico; material atoxico y reciclable;capacidad 9 Lts. Estado: Exc"&amp; "elente Placa anterior: 000038973 Material: PASTA Color: AZUL Referencia:  Observacion:  Placa padre:  Tipo adquisicion : Entidad"</f>
        <v>Descripcion:Caja isotermica cuerpo termoplastico de pared doble, aislado termicamente con espuma de poliuretano con asa integrada; tapa basculante; abre para cualquier lado, con cierre automatico; material atoxico y reciclable;capacidad 9 Lts. Estado: Excelente Placa anterior: 000038973 Material: PASTA Color: AZUL Referencia:  Observacion:  Placa padre:  Tipo adquisicion : Entidad</v>
      </c>
      <c r="G10914" s="5"/>
    </row>
    <row r="10915" spans="1:7" ht="58.5" customHeight="1" x14ac:dyDescent="0.25">
      <c r="A10915" s="5" t="str">
        <f>"H0002298"</f>
        <v>H0002298</v>
      </c>
      <c r="B10915" s="5" t="str">
        <f>"CAJA (CAVA) TERMICA 22LT"</f>
        <v>CAJA (CAVA) TERMICA 22LT</v>
      </c>
      <c r="C10915" s="6">
        <v>364760</v>
      </c>
      <c r="D10915" s="5"/>
      <c r="E10915" s="5" t="str">
        <f t="shared" si="563"/>
        <v>BANCO DE LECHE-ESPERANZA MONCADA</v>
      </c>
      <c r="F10915" s="5" t="str">
        <f>"Descripcion:Caja isotermica cuerpo termoplastico de pared doble, aislado termicamente con espuma de poliuretano con asa integrada; tapa basculante; abre para cualquier lado, con cierre automatico; material atoxico y reciclable;capacidad 22 Litros. Estado:"&amp; " Excelente Placa anterior: 000038974 Material: PASTA Color: ROJO Referencia:  Observacion:  Placa padre:  Tipo adquisicion : Entidad"</f>
        <v>Descripcion:Caja isotermica cuerpo termoplastico de pared doble, aislado termicamente con espuma de poliuretano con asa integrada; tapa basculante; abre para cualquier lado, con cierre automatico; material atoxico y reciclable;capacidad 22 Litros. Estado: Excelente Placa anterior: 000038974 Material: PASTA Color: ROJO Referencia:  Observacion:  Placa padre:  Tipo adquisicion : Entidad</v>
      </c>
      <c r="G10915" s="5"/>
    </row>
    <row r="10916" spans="1:7" ht="58.5" customHeight="1" x14ac:dyDescent="0.25">
      <c r="A10916" s="5" t="str">
        <f>"H0002299"</f>
        <v>H0002299</v>
      </c>
      <c r="B10916" s="5" t="str">
        <f>"CAJA (CAVA) TERMICA 48LT"</f>
        <v>CAJA (CAVA) TERMICA 48LT</v>
      </c>
      <c r="C10916" s="6">
        <v>567405</v>
      </c>
      <c r="D10916" s="5"/>
      <c r="E10916" s="5" t="str">
        <f t="shared" si="563"/>
        <v>BANCO DE LECHE-ESPERANZA MONCADA</v>
      </c>
      <c r="F10916" s="5" t="str">
        <f>"Descripcion:CAVA NEVERA CON RUEDAS 50QT - 47LTS.Cuerpo Termoplástico de pared doble, aislado térmicamente con espuma de poliuretano con asa integrada; tapa basculante; abre para cualquier lado, con cierre automático; material atóxico y reciclable; capacid"&amp; "ad 48 Litros Estado: Excelente Placa anterior: 000038975 Material: PASTA Color: AZUL Referencia: 32507 Observacion:  Placa padre:  Tipo adquisicion : Entidad"</f>
        <v>Descripcion:CAVA NEVERA CON RUEDAS 50QT - 47LTS.Cuerpo Termoplástico de pared doble, aislado térmicamente con espuma de poliuretano con asa integrada; tapa basculante; abre para cualquier lado, con cierre automático; material atóxico y reciclable; capacidad 48 Litros Estado: Excelente Placa anterior: 000038975 Material: PASTA Color: AZUL Referencia: 32507 Observacion:  Placa padre:  Tipo adquisicion : Entidad</v>
      </c>
      <c r="G10916" s="5" t="str">
        <f>"3000000188"</f>
        <v>3000000188</v>
      </c>
    </row>
    <row r="10917" spans="1:7" ht="58.5" customHeight="1" x14ac:dyDescent="0.25">
      <c r="A10917" s="5" t="str">
        <f>"H0002300"</f>
        <v>H0002300</v>
      </c>
      <c r="B10917" s="5" t="str">
        <f>"CAJA (CAVA) TERMICA 48LT"</f>
        <v>CAJA (CAVA) TERMICA 48LT</v>
      </c>
      <c r="C10917" s="6">
        <v>567405</v>
      </c>
      <c r="D10917" s="5"/>
      <c r="E10917" s="5" t="str">
        <f t="shared" si="563"/>
        <v>BANCO DE LECHE-ESPERANZA MONCADA</v>
      </c>
      <c r="F10917" s="5" t="str">
        <f>"Descripcion:CAVA NEVERA CON RUEDAS 50QT - 47 LTSCuerpo termoplástico de pared doble, aislado térmicamente con espuma de poliuretano con asa integrada; tapa basculante; abre para cualquier lado, con cierre automático; material atóxico y reciclable; capacid"&amp; "ad 48 Litros Estado: Excelente Placa anterior: 000038976 Material: PASTA Color: AZUL Referencia: 32507 Observacion:  Placa padre:  Tipo adquisicion : Entidad"</f>
        <v>Descripcion:CAVA NEVERA CON RUEDAS 50QT - 47 LTSCuerpo termoplástico de pared doble, aislado térmicamente con espuma de poliuretano con asa integrada; tapa basculante; abre para cualquier lado, con cierre automático; material atóxico y reciclable; capacidad 48 Litros Estado: Excelente Placa anterior: 000038976 Material: PASTA Color: AZUL Referencia: 32507 Observacion:  Placa padre:  Tipo adquisicion : Entidad</v>
      </c>
      <c r="G10917" s="5" t="str">
        <f>"3000000188"</f>
        <v>3000000188</v>
      </c>
    </row>
    <row r="10918" spans="1:7" ht="58.5" customHeight="1" x14ac:dyDescent="0.25">
      <c r="A10918" s="5" t="str">
        <f>"H0002301"</f>
        <v>H0002301</v>
      </c>
      <c r="B10918" s="5" t="str">
        <f>"INCUBADORA (ESTUFA) PARA CULTIVOS CON CAMARA ACERO INOXIDABLE"</f>
        <v>INCUBADORA (ESTUFA) PARA CULTIVOS CON CAMARA ACERO INOXIDABLE</v>
      </c>
      <c r="C10918" s="6">
        <v>8530972</v>
      </c>
      <c r="D10918" s="5"/>
      <c r="E10918" s="5" t="str">
        <f t="shared" si="563"/>
        <v>BANCO DE LECHE-ESPERANZA MONCADA</v>
      </c>
      <c r="F10918" s="5" t="str">
        <f>"Descripcion:Estufa para cultivo bacteriologico-incubadora 80 litros, tension de trabajo de 110V a 220V dependiendo del tipo de energia provista en el lugar, pared interna en chapa de acero , puerta interna de vidrio Estado: Excelente Placa anterior: 00003"&amp; "7241 Material: METALICA Y MARCO EN ACERO INOXIDABLE Color: BEIGE CLARO Y PLATEADO Referencia:  Observacion:  Placa padre:  Tipo adquisicion : Entidad"</f>
        <v>Descripcion:Estufa para cultivo bacteriologico-incubadora 80 litros, tension de trabajo de 110V a 220V dependiendo del tipo de energia provista en el lugar, pared interna en chapa de acero , puerta interna de vidrio Estado: Excelente Placa anterior: 000037241 Material: METALICA Y MARCO EN ACERO INOXIDABLE Color: BEIGE CLARO Y PLATEADO Referencia:  Observacion:  Placa padre:  Tipo adquisicion : Entidad</v>
      </c>
      <c r="G10918" s="5" t="str">
        <f>"IN2005"</f>
        <v>IN2005</v>
      </c>
    </row>
    <row r="10919" spans="1:7" ht="58.5" customHeight="1" x14ac:dyDescent="0.25">
      <c r="A10919" s="5" t="str">
        <f>"H0002302"</f>
        <v>H0002302</v>
      </c>
      <c r="B10919" s="5" t="str">
        <f>"HORNO DE INCUBACIÓN"</f>
        <v>HORNO DE INCUBACIÓN</v>
      </c>
      <c r="C10919" s="6">
        <v>5542253</v>
      </c>
      <c r="D10919" s="5"/>
      <c r="E10919" s="5" t="str">
        <f t="shared" si="563"/>
        <v>BANCO DE LECHE-ESPERANZA MONCADA</v>
      </c>
      <c r="F10919" s="5" t="str">
        <f>"Descripcion:Estufa para secado de material-camara de secado Construccion metalica, guarnicion de goma Estado: Excelente Placa anterior: 000038984 Material: METAL Color: AZUL Y PLATEADO Referencia:  Observacion:  Placa padre:  Tipo adquisicion : Entidad"</f>
        <v>Descripcion:Estufa para secado de material-camara de secado Construccion metalica, guarnicion de goma Estado: Excelente Placa anterior: 000038984 Material: METAL Color: AZUL Y PLATEADO Referencia:  Observacion:  Placa padre:  Tipo adquisicion : Entidad</v>
      </c>
      <c r="G10919" s="5" t="str">
        <f>"UN55"</f>
        <v>UN55</v>
      </c>
    </row>
    <row r="10920" spans="1:7" ht="58.5" customHeight="1" x14ac:dyDescent="0.25">
      <c r="A10920" s="5" t="str">
        <f>"H0002304"</f>
        <v>H0002304</v>
      </c>
      <c r="B10920" s="5" t="str">
        <f>"AGITADOR DE TUBOS TIPO VORTEX"</f>
        <v>AGITADOR DE TUBOS TIPO VORTEX</v>
      </c>
      <c r="C10920" s="6">
        <v>901364</v>
      </c>
      <c r="D10920" s="5"/>
      <c r="E10920" s="5" t="str">
        <f t="shared" ref="E10920:E10951" si="565">"BANCO DE LECHE-ESPERANZA MONCADA"</f>
        <v>BANCO DE LECHE-ESPERANZA MONCADA</v>
      </c>
      <c r="F10920" s="5" t="str">
        <f>"Descripcion:Agitador de tubos tipo VORTEX, Tension de trabajo 110V a 220V Estado: Excelente Placa anterior: 000038972 Material: PASTA Color: GRIS CLARO Y AZUL Referencia:  Observacion:  Placa padre:  Tipo adquisicion : Entidad"</f>
        <v>Descripcion:Agitador de tubos tipo VORTEX, Tension de trabajo 110V a 220V Estado: Excelente Placa anterior: 000038972 Material: PASTA Color: GRIS CLARO Y AZUL Referencia:  Observacion:  Placa padre:  Tipo adquisicion : Entidad</v>
      </c>
      <c r="G10920" s="5" t="str">
        <f>"VORTEX V1-PLUS"</f>
        <v>VORTEX V1-PLUS</v>
      </c>
    </row>
    <row r="10921" spans="1:7" ht="58.5" customHeight="1" x14ac:dyDescent="0.25">
      <c r="A10921" s="5" t="str">
        <f>"H0002308"</f>
        <v>H0002308</v>
      </c>
      <c r="B10921" s="5" t="str">
        <f>"BALANZA (PESO) DIGITAL (GRAMERA)"</f>
        <v>BALANZA (PESO) DIGITAL (GRAMERA)</v>
      </c>
      <c r="C10921" s="6">
        <v>389428</v>
      </c>
      <c r="D10921" s="5"/>
      <c r="E10921" s="5" t="str">
        <f t="shared" si="565"/>
        <v>BANCO DE LECHE-ESPERANZA MONCADA</v>
      </c>
      <c r="F10921" s="5" t="str">
        <f>"Descripcion:BALANZA ELECTR. Estado: Excelente Placa anterior: 000038806 Material: PASTA Y BANDEJA EN ACERO INOXIDABLE Color: BASE GRIS CLARO Y OSCURO, BANDEJA EN ACERO INOX. Y PASTA Referencia:  Observacion:  Placa padre:  Tipo adquisicion : Entidad"</f>
        <v>Descripcion:BALANZA ELECTR. Estado: Excelente Placa anterior: 000038806 Material: PASTA Y BANDEJA EN ACERO INOXIDABLE Color: BASE GRIS CLARO Y OSCURO, BANDEJA EN ACERO INOX. Y PASTA Referencia:  Observacion:  Placa padre:  Tipo adquisicion : Entidad</v>
      </c>
      <c r="G10921" s="5" t="str">
        <f>"QHW-6+"</f>
        <v>QHW-6+</v>
      </c>
    </row>
    <row r="10922" spans="1:7" ht="58.5" customHeight="1" x14ac:dyDescent="0.25">
      <c r="A10922" s="5" t="str">
        <f>"H0002309"</f>
        <v>H0002309</v>
      </c>
      <c r="B10922" s="5" t="str">
        <f>"BAÑO SEROLOGICO (BAÑO MARIA)"</f>
        <v>BAÑO SEROLOGICO (BAÑO MARIA)</v>
      </c>
      <c r="C10922" s="6">
        <v>5434899</v>
      </c>
      <c r="D10922" s="5"/>
      <c r="E10922" s="5" t="str">
        <f t="shared" si="565"/>
        <v>BANCO DE LECHE-ESPERANZA MONCADA</v>
      </c>
      <c r="F10922" s="5" t="str">
        <f>"Descripcion:Baño maria para calentar la leche humana.Rango de temp entre 40 y 36 grados centigrados. Cap 7 lts de agua y para 12 frascos. En acero inox - Dimen 25 cmts de alto x 40 de ancho x 27 cmts de  Estado: Excelente Placa anterior: 000038993 Materia"&amp; "l: ACERO INOXIDABLE Color: PLATEADO Referencia:  Observacion:  Placa padre:  Tipo adquisicion : Entidad"</f>
        <v>Descripcion:Baño maria para calentar la leche humana.Rango de temp entre 40 y 36 grados centigrados. Cap 7 lts de agua y para 12 frascos. En acero inox - Dimen 25 cmts de alto x 40 de ancho x 27 cmts de  Estado: Excelente Placa anterior: 000038993 Material: ACERO INOXIDABLE Color: PLATEADO Referencia:  Observacion:  Placa padre:  Tipo adquisicion : Entidad</v>
      </c>
      <c r="G10922" s="5" t="str">
        <f>"ALTS-100E"</f>
        <v>ALTS-100E</v>
      </c>
    </row>
    <row r="10923" spans="1:7" ht="58.5" customHeight="1" x14ac:dyDescent="0.25">
      <c r="A10923" s="5" t="str">
        <f>"H0002310"</f>
        <v>H0002310</v>
      </c>
      <c r="B10923" s="5" t="str">
        <f>"BAÑO SEROLOGICO (BAÑO MARIA)"</f>
        <v>BAÑO SEROLOGICO (BAÑO MARIA)</v>
      </c>
      <c r="C10923" s="6">
        <v>20339504</v>
      </c>
      <c r="D10923" s="5"/>
      <c r="E10923" s="5" t="str">
        <f t="shared" si="565"/>
        <v>BANCO DE LECHE-ESPERANZA MONCADA</v>
      </c>
      <c r="F10923" s="5" t="str">
        <f>"Descripcion:Calentador a baño maria para pasteurizacion Dotado de cuba construido en acero inoxidable pulido Estado: Excelente Placa anterior: 000038996 Material: ACERO INOX. Color: PLATEADO Referencia:  Observacion:  Placa padre:  Tipo adquisicion : Enti"&amp; "dad"</f>
        <v>Descripcion:Calentador a baño maria para pasteurizacion Dotado de cuba construido en acero inoxidable pulido Estado: Excelente Placa anterior: 000038996 Material: ACERO INOX. Color: PLATEADO Referencia:  Observacion:  Placa padre:  Tipo adquisicion : Entidad</v>
      </c>
      <c r="G10923" s="5" t="str">
        <f>"ABL-65"</f>
        <v>ABL-65</v>
      </c>
    </row>
    <row r="10924" spans="1:7" ht="58.5" customHeight="1" x14ac:dyDescent="0.25">
      <c r="A10924" s="5" t="str">
        <f>"H0002311"</f>
        <v>H0002311</v>
      </c>
      <c r="B10924" s="5" t="str">
        <f>"BAÑO SEROLOGICO (BAÑO MARIA)"</f>
        <v>BAÑO SEROLOGICO (BAÑO MARIA)</v>
      </c>
      <c r="C10924" s="6">
        <v>16228328</v>
      </c>
      <c r="D10924" s="5"/>
      <c r="E10924" s="5" t="str">
        <f t="shared" si="565"/>
        <v>BANCO DE LECHE-ESPERANZA MONCADA</v>
      </c>
      <c r="F10924" s="5" t="str">
        <f>"Descripcion:Calentador Baño de María -descongelar Calentamiento y descongelado rápido de leche humana con capacidad de hasta 33 litros de agua, y hasta 30 frascos de 300 mL con resistencia de alta potencia; Estado: Excelente Placa anterior: 000038997 Mate"&amp; "rial: ACERO INOX.  Color: PLATEADO Referencia:  Observacion:  Placa padre:  Tipo adquisicion : Entidad"</f>
        <v>Descripcion:Calentador Baño de María -descongelar Calentamiento y descongelado rápido de leche humana con capacidad de hasta 33 litros de agua, y hasta 30 frascos de 300 mL con resistencia de alta potencia; Estado: Excelente Placa anterior: 000038997 Material: ACERO INOX.  Color: PLATEADO Referencia:  Observacion:  Placa padre:  Tipo adquisicion : Entidad</v>
      </c>
      <c r="G10924" s="5" t="str">
        <f>"ABM-65"</f>
        <v>ABM-65</v>
      </c>
    </row>
    <row r="10925" spans="1:7" ht="58.5" customHeight="1" x14ac:dyDescent="0.25">
      <c r="A10925" s="5" t="str">
        <f>"H0002318"</f>
        <v>H0002318</v>
      </c>
      <c r="B10925" s="5" t="str">
        <f>"GRADILLA PARA 74 TUBOS"</f>
        <v>GRADILLA PARA 74 TUBOS</v>
      </c>
      <c r="C10925" s="6">
        <v>26348</v>
      </c>
      <c r="D10925" s="5"/>
      <c r="E10925" s="5" t="str">
        <f t="shared" si="565"/>
        <v>BANCO DE LECHE-ESPERANZA MONCADA</v>
      </c>
      <c r="F10925" s="5" t="str">
        <f>"Descripcion:Gradilla o estante para 24 tubos/74 tubos. Estado: Excelente Placa anterior: 000038882 Material: ACERO INOX.  Color: PLATEADO Referencia:  Observacion:  Placa padre:  Tipo adquisicion : Entidad"</f>
        <v>Descripcion:Gradilla o estante para 24 tubos/74 tubos. Estado: Excelente Placa anterior: 000038882 Material: ACERO INOX.  Color: PLATEADO Referencia:  Observacion:  Placa padre:  Tipo adquisicion : Entidad</v>
      </c>
      <c r="G10925" s="5"/>
    </row>
    <row r="10926" spans="1:7" ht="58.5" customHeight="1" x14ac:dyDescent="0.25">
      <c r="A10926" s="5" t="str">
        <f>"H0002319"</f>
        <v>H0002319</v>
      </c>
      <c r="B10926" s="5" t="str">
        <f>"GRADILLA PARA 74 TUBOS"</f>
        <v>GRADILLA PARA 74 TUBOS</v>
      </c>
      <c r="C10926" s="6">
        <v>26348</v>
      </c>
      <c r="D10926" s="5"/>
      <c r="E10926" s="5" t="str">
        <f t="shared" si="565"/>
        <v>BANCO DE LECHE-ESPERANZA MONCADA</v>
      </c>
      <c r="F10926" s="5" t="str">
        <f>"Descripcion:Gradilla o estante para 24 tubos/74 tubos. Estado: Excelente Placa anterior: 000038883 Material: ACERO INOX. Color: PLATEADO Referencia:  Observacion:  Placa padre:  Tipo adquisicion : Entidad"</f>
        <v>Descripcion:Gradilla o estante para 24 tubos/74 tubos. Estado: Excelente Placa anterior: 000038883 Material: ACERO INOX. Color: PLATEADO Referencia:  Observacion:  Placa padre:  Tipo adquisicion : Entidad</v>
      </c>
      <c r="G10926" s="5"/>
    </row>
    <row r="10927" spans="1:7" ht="58.5" customHeight="1" x14ac:dyDescent="0.25">
      <c r="A10927" s="5" t="str">
        <f>"H0002320"</f>
        <v>H0002320</v>
      </c>
      <c r="B10927" s="5" t="str">
        <f>"GRADILLA PARA 74 TUBOS"</f>
        <v>GRADILLA PARA 74 TUBOS</v>
      </c>
      <c r="C10927" s="6">
        <v>26348</v>
      </c>
      <c r="D10927" s="5"/>
      <c r="E10927" s="5" t="str">
        <f t="shared" si="565"/>
        <v>BANCO DE LECHE-ESPERANZA MONCADA</v>
      </c>
      <c r="F10927" s="5" t="str">
        <f>"Descripcion:Gradilla o estante para 24 tubos/74 tubos. Estado: Excelente Placa anterior: 000038881 Material: ACERO INOX. Color: PLATEADO Referencia:  Observacion:  Placa padre:  Tipo adquisicion : Entidad"</f>
        <v>Descripcion:Gradilla o estante para 24 tubos/74 tubos. Estado: Excelente Placa anterior: 000038881 Material: ACERO INOX. Color: PLATEADO Referencia:  Observacion:  Placa padre:  Tipo adquisicion : Entidad</v>
      </c>
      <c r="G10927" s="5"/>
    </row>
    <row r="10928" spans="1:7" ht="58.5" customHeight="1" x14ac:dyDescent="0.25">
      <c r="A10928" s="5" t="str">
        <f>"H0002321"</f>
        <v>H0002321</v>
      </c>
      <c r="B10928" s="5" t="str">
        <f>"GRADILLA PARA 74 TUBOS"</f>
        <v>GRADILLA PARA 74 TUBOS</v>
      </c>
      <c r="C10928" s="6">
        <v>26348</v>
      </c>
      <c r="D10928" s="5"/>
      <c r="E10928" s="5" t="str">
        <f t="shared" si="565"/>
        <v>BANCO DE LECHE-ESPERANZA MONCADA</v>
      </c>
      <c r="F10928" s="5" t="str">
        <f>"Descripcion:Gradilla o estante para 24 tubos/74 tubos. Estado: Excelente Placa anterior: 000038880 Material: ACERO INOXIDABLE Color: PLATEADO Referencia:  Observacion:  Placa padre:  Tipo adquisicion : Entidad"</f>
        <v>Descripcion:Gradilla o estante para 24 tubos/74 tubos. Estado: Excelente Placa anterior: 000038880 Material: ACERO INOXIDABLE Color: PLATEADO Referencia:  Observacion:  Placa padre:  Tipo adquisicion : Entidad</v>
      </c>
      <c r="G10928" s="5"/>
    </row>
    <row r="10929" spans="1:7" ht="58.5" customHeight="1" x14ac:dyDescent="0.25">
      <c r="A10929" s="5" t="str">
        <f>"H0008825"</f>
        <v>H0008825</v>
      </c>
      <c r="B10929" s="5" t="str">
        <f>"MESA (CARRO) DE CURACIONES"</f>
        <v>MESA (CARRO) DE CURACIONES</v>
      </c>
      <c r="C10929" s="6">
        <v>17380</v>
      </c>
      <c r="D10929" s="5"/>
      <c r="E10929" s="5" t="str">
        <f t="shared" si="565"/>
        <v>BANCO DE LECHE-ESPERANZA MONCADA</v>
      </c>
      <c r="F10929" s="5" t="str">
        <f>"Descripcion: MESA (CARRO) DE CURACIONES Estado: Bueno Placa anterior: 000008035 Material: ACERO INOXIDABLE Color:  Referencia:  Observacion:  Placa padre: Tipo adquisicion: Entidad"</f>
        <v>Descripcion: MESA (CARRO) DE CURACIONES Estado: Bueno Placa anterior: 000008035 Material: ACERO INOXIDABLE Color:  Referencia:  Observacion:  Placa padre: Tipo adquisicion: Entidad</v>
      </c>
      <c r="G10929" s="5"/>
    </row>
    <row r="10930" spans="1:7" ht="58.5" customHeight="1" x14ac:dyDescent="0.25">
      <c r="A10930" s="5" t="str">
        <f>"H0008865"</f>
        <v>H0008865</v>
      </c>
      <c r="B10930" s="5" t="str">
        <f>"MULTIFUNCIONAL DE TINTA"</f>
        <v>MULTIFUNCIONAL DE TINTA</v>
      </c>
      <c r="C10930" s="6">
        <v>2267459</v>
      </c>
      <c r="D10930" s="5" t="s">
        <v>382</v>
      </c>
      <c r="E10930" s="5" t="str">
        <f t="shared" si="565"/>
        <v>BANCO DE LECHE-ESPERANZA MONCADA</v>
      </c>
      <c r="F10930" s="5" t="str">
        <f>"Descripcion: Impresora multifuncional Copiadora Escaner Impresora. Velocidad de la impresion 5760x1440 dpi Resolucion escaner 600x1200 dpi48 bits. Conectividad USB WIFI Estado: Excelente Placa anterior: 000038968 Material:  Color: NEGRO Referencia:  Obser"&amp; "vacion:  Placa padre: Tipo adquisicion: Entidad"</f>
        <v>Descripcion: Impresora multifuncional Copiadora Escaner Impresora. Velocidad de la impresion 5760x1440 dpi Resolucion escaner 600x1200 dpi48 bits. Conectividad USB WIFI Estado: Excelente Placa anterior: 000038968 Material:  Color: NEGRO Referencia:  Observacion:  Placa padre: Tipo adquisicion: Entidad</v>
      </c>
      <c r="G10930" s="5" t="str">
        <f>"L220"</f>
        <v>L220</v>
      </c>
    </row>
    <row r="10931" spans="1:7" ht="58.5" customHeight="1" x14ac:dyDescent="0.25">
      <c r="A10931" s="5" t="str">
        <f>"H0008873"</f>
        <v>H0008873</v>
      </c>
      <c r="B10931" s="5" t="str">
        <f>"SILLA ERGONOMICA TIPO SECRETARIA SIN BRAZOS"</f>
        <v>SILLA ERGONOMICA TIPO SECRETARIA SIN BRAZOS</v>
      </c>
      <c r="C10931" s="6">
        <v>322480</v>
      </c>
      <c r="D10931" s="5" t="s">
        <v>211</v>
      </c>
      <c r="E10931" s="5" t="str">
        <f t="shared" si="565"/>
        <v>BANCO DE LECHE-ESPERANZA MONCADA</v>
      </c>
      <c r="F10931"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Excelente Placa anterior: 000032626 Material: PLASTICO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Excelente Placa anterior: 000032626 Material: PLASTICO Color: NEGRO Referencia:  Observacion:  Placa padre: Tipo adquisicion: Entidad</v>
      </c>
      <c r="G10931" s="5"/>
    </row>
    <row r="10932" spans="1:7" ht="58.5" customHeight="1" x14ac:dyDescent="0.25">
      <c r="A10932" s="5" t="str">
        <f>"H0010246"</f>
        <v>H0010246</v>
      </c>
      <c r="B10932" s="5" t="str">
        <f>"SILLA ERGONOMICA TIPO GERENTE CON BRAZOS"</f>
        <v>SILLA ERGONOMICA TIPO GERENTE CON BRAZOS</v>
      </c>
      <c r="C10932" s="6">
        <v>200680</v>
      </c>
      <c r="D10932" s="5" t="s">
        <v>642</v>
      </c>
      <c r="E10932" s="5" t="str">
        <f t="shared" si="565"/>
        <v>BANCO DE LECHE-ESPERANZA MONCADA</v>
      </c>
      <c r="F10932" s="5" t="str">
        <f>"Descripcion: SILLA TIPO GERENETE, CON BRAZOS Estado: Bueno Placa anterior: 000036311 Material: METALICO, PLASTICO Y CUERO Color: NEGRO Referencia:  Observacion:  Placa padre: Tipo adquisicion: Donacion"</f>
        <v>Descripcion: SILLA TIPO GERENETE, CON BRAZOS Estado: Bueno Placa anterior: 000036311 Material: METALICO, PLASTICO Y CUERO Color: NEGRO Referencia:  Observacion:  Placa padre: Tipo adquisicion: Donacion</v>
      </c>
      <c r="G10932" s="5"/>
    </row>
    <row r="10933" spans="1:7" ht="58.5" customHeight="1" x14ac:dyDescent="0.25">
      <c r="A10933" s="5" t="str">
        <f>"H0010247"</f>
        <v>H0010247</v>
      </c>
      <c r="B10933" s="5" t="str">
        <f>"SILLA ERGONOMICA TIPO GERENTE CON BRAZOS"</f>
        <v>SILLA ERGONOMICA TIPO GERENTE CON BRAZOS</v>
      </c>
      <c r="C10933" s="6">
        <v>200680</v>
      </c>
      <c r="D10933" s="5" t="s">
        <v>642</v>
      </c>
      <c r="E10933" s="5" t="str">
        <f t="shared" si="565"/>
        <v>BANCO DE LECHE-ESPERANZA MONCADA</v>
      </c>
      <c r="F10933" s="5" t="str">
        <f>"Descripcion: SILLA TIPO GERENETE, CON BRAZOS Estado: Bueno Placa anterior: 000036310 Material: METALICO, PLASTICO Y CUERO Color: NEGRO Referencia:  Observacion:  Placa padre: Tipo adquisicion: Donacion"</f>
        <v>Descripcion: SILLA TIPO GERENETE, CON BRAZOS Estado: Bueno Placa anterior: 000036310 Material: METALICO, PLASTICO Y CUERO Color: NEGRO Referencia:  Observacion:  Placa padre: Tipo adquisicion: Donacion</v>
      </c>
      <c r="G10933" s="5"/>
    </row>
    <row r="10934" spans="1:7" ht="58.5" customHeight="1" x14ac:dyDescent="0.25">
      <c r="A10934" s="5" t="str">
        <f>"H0010251"</f>
        <v>H0010251</v>
      </c>
      <c r="B10934" s="5" t="str">
        <f>"SILLA ERGONOMICA TIPO SECRETARIA CON BRAZOS"</f>
        <v>SILLA ERGONOMICA TIPO SECRETARIA CON BRAZOS</v>
      </c>
      <c r="C10934" s="6">
        <v>200680</v>
      </c>
      <c r="D10934" s="5" t="s">
        <v>642</v>
      </c>
      <c r="E10934" s="5" t="str">
        <f t="shared" si="565"/>
        <v>BANCO DE LECHE-ESPERANZA MONCADA</v>
      </c>
      <c r="F10934" s="5" t="str">
        <f>"Descripcion: SILLAS ERGONICAS BRAZO Y TAPIZADAS EN LONA NEGRA Estado: Bueno Placa anterior: 000036309 Material: METALICO, PLASTICO Y CUERO Color: NEGRO Referencia:  Observacion:  Placa padre: Tipo adquisicion: Donacion"</f>
        <v>Descripcion: SILLAS ERGONICAS BRAZO Y TAPIZADAS EN LONA NEGRA Estado: Bueno Placa anterior: 000036309 Material: METALICO, PLASTICO Y CUERO Color: NEGRO Referencia:  Observacion:  Placa padre: Tipo adquisicion: Donacion</v>
      </c>
      <c r="G10934" s="5"/>
    </row>
    <row r="10935" spans="1:7" ht="58.5" customHeight="1" x14ac:dyDescent="0.25">
      <c r="A10935" s="5" t="str">
        <f>"H0010252"</f>
        <v>H0010252</v>
      </c>
      <c r="B10935" s="5" t="str">
        <f>"SILLA ERGONOMICA TIPO GERENTE CON BRAZOS"</f>
        <v>SILLA ERGONOMICA TIPO GERENTE CON BRAZOS</v>
      </c>
      <c r="C10935" s="6">
        <v>265901</v>
      </c>
      <c r="D10935" s="5" t="s">
        <v>209</v>
      </c>
      <c r="E10935" s="5" t="str">
        <f t="shared" si="565"/>
        <v>BANCO DE LECHE-ESPERANZA MONCADA</v>
      </c>
      <c r="F10935" s="5" t="str">
        <f>"Descripcion: SILLA TIPO GERENTE, CON BRAZOS Estado: Bueno Placa anterior: 000030649 Material: METALICO, PLASTICO Y CUERO Color: NEGRO Referencia:  Observacion:  Placa padre: Tipo adquisicion: Donacion"</f>
        <v>Descripcion: SILLA TIPO GERENTE, CON BRAZOS Estado: Bueno Placa anterior: 000030649 Material: METALICO, PLASTICO Y CUERO Color: NEGRO Referencia:  Observacion:  Placa padre: Tipo adquisicion: Donacion</v>
      </c>
      <c r="G10935" s="5"/>
    </row>
    <row r="10936" spans="1:7" ht="58.5" customHeight="1" x14ac:dyDescent="0.25">
      <c r="A10936" s="5" t="str">
        <f>"H0010255"</f>
        <v>H0010255</v>
      </c>
      <c r="B10936" s="5" t="str">
        <f>"SILLA ERGONOMICA TIPO GERENTE CON BRAZOS"</f>
        <v>SILLA ERGONOMICA TIPO GERENTE CON BRAZOS</v>
      </c>
      <c r="C10936" s="6">
        <v>200680</v>
      </c>
      <c r="D10936" s="5" t="s">
        <v>642</v>
      </c>
      <c r="E10936" s="5" t="str">
        <f t="shared" si="565"/>
        <v>BANCO DE LECHE-ESPERANZA MONCADA</v>
      </c>
      <c r="F10936" s="5" t="str">
        <f>"Descripcion: SILLA TIPO GERENTE, CON BRAZOS Estado: Bueno Placa anterior: 000036308 Material: METALICO, PLASTICO Y CUERO Color: NEGRO Referencia:  Observacion:  Placa padre: Tipo adquisicion: Donacion"</f>
        <v>Descripcion: SILLA TIPO GERENTE, CON BRAZOS Estado: Bueno Placa anterior: 000036308 Material: METALICO, PLASTICO Y CUERO Color: NEGRO Referencia:  Observacion:  Placa padre: Tipo adquisicion: Donacion</v>
      </c>
      <c r="G10936" s="5"/>
    </row>
    <row r="10937" spans="1:7" ht="58.5" customHeight="1" x14ac:dyDescent="0.25">
      <c r="A10937" s="5" t="str">
        <f>"H0010333"</f>
        <v>H0010333</v>
      </c>
      <c r="B10937" s="5" t="str">
        <f>"MESA (CARRO) DE CURACIONES"</f>
        <v>MESA (CARRO) DE CURACIONES</v>
      </c>
      <c r="C10937" s="6">
        <v>112860</v>
      </c>
      <c r="D10937" s="5" t="s">
        <v>214</v>
      </c>
      <c r="E10937" s="5" t="str">
        <f t="shared" si="565"/>
        <v>BANCO DE LECHE-ESPERANZA MONCADA</v>
      </c>
      <c r="F10937" s="5" t="str">
        <f>"Descripcion: MESA DE CURACIONES;  Estado: Bueno;  Material: ACERO INOXIDABLE;  Color: PLATEADO;"</f>
        <v>Descripcion: MESA DE CURACIONES;  Estado: Bueno;  Material: ACERO INOXIDABLE;  Color: PLATEADO;</v>
      </c>
      <c r="G10937" s="5"/>
    </row>
    <row r="10938" spans="1:7" ht="58.5" customHeight="1" x14ac:dyDescent="0.25">
      <c r="A10938" s="5" t="str">
        <f>"H0010344"</f>
        <v>H0010344</v>
      </c>
      <c r="B10938" s="5" t="str">
        <f>"TELEVISOR LCD 32"</f>
        <v>TELEVISOR LCD 32</v>
      </c>
      <c r="C10938" s="6">
        <v>844000</v>
      </c>
      <c r="D10938" s="5" t="s">
        <v>642</v>
      </c>
      <c r="E10938" s="5" t="str">
        <f t="shared" si="565"/>
        <v>BANCO DE LECHE-ESPERANZA MONCADA</v>
      </c>
      <c r="F10938" s="5" t="str">
        <f>"Descripcion: TELEVISOR LG LIFE S GOOD SMART TV FRONT 32 LB 58 -80 PICTURE PERFECTO, CON ESPECIFICACIONES: SMARTH SHARE, SMARTH SOUND SMARTH MOBILE, MODO FUTBOL Estado: Bueno Placa anterior: 000036305 Material: PASTA Color: NEGRO Referencia:  Observacion: "&amp; "FUNCIONARIO AUTORIZA SE CONCILIE CON PLACA 000036305 Placa padre: Tipo adquisicion: Donacion"</f>
        <v>Descripcion: TELEVISOR LG LIFE S GOOD SMART TV FRONT 32 LB 58 -80 PICTURE PERFECTO, CON ESPECIFICACIONES: SMARTH SHARE, SMARTH SOUND SMARTH MOBILE, MODO FUTBOL Estado: Bueno Placa anterior: 000036305 Material: PASTA Color: NEGRO Referencia:  Observacion: FUNCIONARIO AUTORIZA SE CONCILIE CON PLACA 000036305 Placa padre: Tipo adquisicion: Donacion</v>
      </c>
      <c r="G10938" s="5"/>
    </row>
    <row r="10939" spans="1:7" ht="58.5" customHeight="1" x14ac:dyDescent="0.25">
      <c r="A10939" s="5" t="str">
        <f>"H0013297"</f>
        <v>H0013297</v>
      </c>
      <c r="B10939" s="5" t="str">
        <f>"IMPRESORA LASER"</f>
        <v>IMPRESORA LASER</v>
      </c>
      <c r="C10939" s="6">
        <v>330600</v>
      </c>
      <c r="D10939" s="5"/>
      <c r="E10939" s="5" t="str">
        <f t="shared" si="565"/>
        <v>BANCO DE LECHE-ESPERANZA MONCADA</v>
      </c>
      <c r="F10939" s="5" t="str">
        <f>"Descripcion:IMPRESORA HP P 1006 VELOCIDAD 17 PPM MEMORIA ESTANDAR DE 8MB, RESOLUCION 1200 DPI Estado: Bueno Placa anterior: 000025906 Material: PLASTICO Color: NEGRO Referencia:  Observacion:  Placa padre:  Tipo adquisicion : Entidad"</f>
        <v>Descripcion:IMPRESORA HP P 1006 VELOCIDAD 17 PPM MEMORIA ESTANDAR DE 8MB, RESOLUCION 1200 DPI Estado: Bueno Placa anterior: 000025906 Material: PLASTICO Color: NEGRO Referencia:  Observacion:  Placa padre:  Tipo adquisicion : Entidad</v>
      </c>
      <c r="G10939" s="5" t="str">
        <f>"LASERJET P1006"</f>
        <v>LASERJET P1006</v>
      </c>
    </row>
    <row r="10940" spans="1:7" ht="58.5" customHeight="1" x14ac:dyDescent="0.25">
      <c r="A10940" s="5" t="str">
        <f>"H0015995"</f>
        <v>H0015995</v>
      </c>
      <c r="B10940" s="5" t="str">
        <f>"MESA (CARRO) DE CURACIONES"</f>
        <v>MESA (CARRO) DE CURACIONES</v>
      </c>
      <c r="C10940" s="6">
        <v>795428</v>
      </c>
      <c r="D10940" s="5" t="s">
        <v>257</v>
      </c>
      <c r="E10940" s="5" t="str">
        <f t="shared" si="565"/>
        <v>BANCO DE LECHE-ESPERANZA MONCADA</v>
      </c>
      <c r="F10940" s="5" t="str">
        <f>"Descripcion: Carro quirurgico Fabricado en acero inoxidable dimensiones 72 cms ALTO X 70 cms ANCHO X 50 cms de PROFUNDIDAD segundo entrepaño a 50 cms Estado: Bueno Placa anterior: 000038808 Material: ACERO INOXIDABLE Color:  Referencia:  Observacion:  Pla"&amp; "ca padre: Tipo adquisicion: Entidad"</f>
        <v>Descripcion: Carro quirurgico Fabricado en acero inoxidable dimensiones 72 cms ALTO X 70 cms ANCHO X 50 cms de PROFUNDIDAD segundo entrepaño a 50 cms Estado: Bueno Placa anterior: 000038808 Material: ACERO INOXIDABLE Color:  Referencia:  Observacion:  Placa padre: Tipo adquisicion: Entidad</v>
      </c>
      <c r="G10940" s="5"/>
    </row>
    <row r="10941" spans="1:7" ht="58.5" customHeight="1" x14ac:dyDescent="0.25">
      <c r="A10941" s="5" t="str">
        <f>"H0021910"</f>
        <v>H0021910</v>
      </c>
      <c r="B10941" s="5" t="str">
        <f>"UNIDAD EXTERNA BLURAY"</f>
        <v>UNIDAD EXTERNA BLURAY</v>
      </c>
      <c r="C10941" s="6">
        <v>250000</v>
      </c>
      <c r="D10941" s="5" t="s">
        <v>642</v>
      </c>
      <c r="E10941" s="5" t="str">
        <f t="shared" si="565"/>
        <v>BANCO DE LECHE-ESPERANZA MONCADA</v>
      </c>
      <c r="F10941" s="5" t="str">
        <f>"Descripcion: DVD LIFE S GOOD BLU-RAY DISC TM PLAYETE WITH BUITH BUITH -IN WI-FI, REPRODUCE BLU RAY DISC TM CON CONEXION A INTERNET INALMABRICA BP 340 SMAR SHANE-WI-FI Estado: Bueno Placa anterior: 000036306 Material:  Color: NEGRO Referencia:  Observacion"&amp; ":  Placa padre: Tipo adquisicion: Donacion"</f>
        <v>Descripcion: DVD LIFE S GOOD BLU-RAY DISC TM PLAYETE WITH BUITH BUITH -IN WI-FI, REPRODUCE BLU RAY DISC TM CON CONEXION A INTERNET INALMABRICA BP 340 SMAR SHANE-WI-FI Estado: Bueno Placa anterior: 000036306 Material:  Color: NEGRO Referencia:  Observacion:  Placa padre: Tipo adquisicion: Donacion</v>
      </c>
      <c r="G10941" s="5"/>
    </row>
    <row r="10942" spans="1:7" ht="58.5" customHeight="1" x14ac:dyDescent="0.25">
      <c r="A10942" s="5" t="str">
        <f>"H0024145"</f>
        <v>H0024145</v>
      </c>
      <c r="B10942" s="5" t="str">
        <f>"EXTINTORES 3700 grs DE AGENTE LIMPIO"</f>
        <v>EXTINTORES 3700 grs DE AGENTE LIMPIO</v>
      </c>
      <c r="C10942" s="6">
        <v>330000.01</v>
      </c>
      <c r="D10942" s="5" t="s">
        <v>458</v>
      </c>
      <c r="E10942" s="5" t="str">
        <f t="shared" si="565"/>
        <v>BANCO DE LECHE-ESPERANZA MONCADA</v>
      </c>
      <c r="F10942" s="5"/>
      <c r="G10942" s="5"/>
    </row>
    <row r="10943" spans="1:7" ht="58.5" customHeight="1" x14ac:dyDescent="0.25">
      <c r="A10943" s="5" t="str">
        <f>"H0024214"</f>
        <v>H0024214</v>
      </c>
      <c r="B10943" s="5" t="str">
        <f>"EQUIPO DE AIRE ACONDICIONADO MINISPLIT 18000 BTU INVERTER. 220V"</f>
        <v>EQUIPO DE AIRE ACONDICIONADO MINISPLIT 18000 BTU INVERTER. 220V</v>
      </c>
      <c r="C10943" s="6">
        <v>2412800</v>
      </c>
      <c r="D10943" s="5" t="s">
        <v>218</v>
      </c>
      <c r="E10943" s="5" t="str">
        <f t="shared" si="565"/>
        <v>BANCO DE LECHE-ESPERANZA MONCADA</v>
      </c>
      <c r="F10943" s="5" t="str">
        <f>"SERIAL  DEL MOTOR  #511HAFMB9923"</f>
        <v>SERIAL  DEL MOTOR  #511HAFMB9923</v>
      </c>
      <c r="G10943" s="5"/>
    </row>
    <row r="10944" spans="1:7" ht="58.5" customHeight="1" x14ac:dyDescent="0.25">
      <c r="A10944" s="5" t="str">
        <f>"H0024215"</f>
        <v>H0024215</v>
      </c>
      <c r="B10944" s="5" t="str">
        <f>"EQUIPO DE AIRE ACONDICIONADO MINISPLIT 18000 BTU INVERTER. 220V"</f>
        <v>EQUIPO DE AIRE ACONDICIONADO MINISPLIT 18000 BTU INVERTER. 220V</v>
      </c>
      <c r="C10944" s="6">
        <v>2412800</v>
      </c>
      <c r="D10944" s="5" t="s">
        <v>218</v>
      </c>
      <c r="E10944" s="5" t="str">
        <f t="shared" si="565"/>
        <v>BANCO DE LECHE-ESPERANZA MONCADA</v>
      </c>
      <c r="F10944" s="5" t="str">
        <f>"SERIAL DEL MOTOR  #508HAUID6046"</f>
        <v>SERIAL DEL MOTOR  #508HAUID6046</v>
      </c>
      <c r="G10944" s="5"/>
    </row>
    <row r="10945" spans="1:7" ht="58.5" customHeight="1" x14ac:dyDescent="0.25">
      <c r="A10945" s="5" t="str">
        <f>"H0024216"</f>
        <v>H0024216</v>
      </c>
      <c r="B10945" s="5" t="str">
        <f>"EQUIPO DE AIRE ACONDICIONADO  MINISPLIT 12000 BTU INVERTER"</f>
        <v>EQUIPO DE AIRE ACONDICIONADO  MINISPLIT 12000 BTU INVERTER</v>
      </c>
      <c r="C10945" s="6">
        <v>1879200</v>
      </c>
      <c r="D10945" s="5" t="s">
        <v>218</v>
      </c>
      <c r="E10945" s="5" t="str">
        <f t="shared" si="565"/>
        <v>BANCO DE LECHE-ESPERANZA MONCADA</v>
      </c>
      <c r="F10945" s="5" t="str">
        <f>"SERIAL MOTOR # 604HAPUF7688"</f>
        <v>SERIAL MOTOR # 604HAPUF7688</v>
      </c>
      <c r="G10945" s="5"/>
    </row>
    <row r="10946" spans="1:7" ht="58.5" customHeight="1" x14ac:dyDescent="0.25">
      <c r="A10946" s="5" t="str">
        <f>"H0024217"</f>
        <v>H0024217</v>
      </c>
      <c r="B10946" s="5" t="str">
        <f>"EQUIPO DE AIRE ACONDICIONADO  MINISPLIT 12000 BTU INVERTER"</f>
        <v>EQUIPO DE AIRE ACONDICIONADO  MINISPLIT 12000 BTU INVERTER</v>
      </c>
      <c r="C10946" s="6">
        <v>1879200</v>
      </c>
      <c r="D10946" s="5" t="s">
        <v>218</v>
      </c>
      <c r="E10946" s="5" t="str">
        <f t="shared" si="565"/>
        <v>BANCO DE LECHE-ESPERANZA MONCADA</v>
      </c>
      <c r="F10946" s="5" t="str">
        <f>"SERIAL  DEL MOTOR  #604HARK3372"</f>
        <v>SERIAL  DEL MOTOR  #604HARK3372</v>
      </c>
      <c r="G10946" s="5"/>
    </row>
    <row r="10947" spans="1:7" ht="58.5" customHeight="1" x14ac:dyDescent="0.25">
      <c r="A10947" s="5" t="str">
        <f>"H0024243"</f>
        <v>H0024243</v>
      </c>
      <c r="B10947" s="5" t="str">
        <f>"AIRE ACONDICIONADO 5 TR PISO TECHO"</f>
        <v>AIRE ACONDICIONADO 5 TR PISO TECHO</v>
      </c>
      <c r="C10947" s="6">
        <v>22783840</v>
      </c>
      <c r="D10947" s="5" t="s">
        <v>376</v>
      </c>
      <c r="E10947" s="5" t="str">
        <f t="shared" si="565"/>
        <v>BANCO DE LECHE-ESPERANZA MONCADA</v>
      </c>
      <c r="F10947" s="5" t="str">
        <f>"SERIAL    C15091121150"</f>
        <v>SERIAL    C15091121150</v>
      </c>
      <c r="G10947" s="5" t="str">
        <f>"CV  410-060-1"</f>
        <v>CV  410-060-1</v>
      </c>
    </row>
    <row r="10948" spans="1:7" ht="58.5" customHeight="1" x14ac:dyDescent="0.25">
      <c r="A10948" s="5" t="str">
        <f>"h0024948"</f>
        <v>h0024948</v>
      </c>
      <c r="B10948" s="5" t="s">
        <v>643</v>
      </c>
      <c r="C10948" s="6">
        <v>2687000</v>
      </c>
      <c r="D10948" s="5" t="s">
        <v>376</v>
      </c>
      <c r="E10948" s="5" t="str">
        <f t="shared" si="565"/>
        <v>BANCO DE LECHE-ESPERANZA MONCADA</v>
      </c>
      <c r="F10948" s="5"/>
      <c r="G10948" s="5"/>
    </row>
    <row r="10949" spans="1:7" ht="58.5" customHeight="1" x14ac:dyDescent="0.25">
      <c r="A10949" s="5" t="str">
        <f>"H0024949"</f>
        <v>H0024949</v>
      </c>
      <c r="B10949" s="5" t="s">
        <v>643</v>
      </c>
      <c r="C10949" s="6">
        <v>2687000</v>
      </c>
      <c r="D10949" s="5" t="s">
        <v>376</v>
      </c>
      <c r="E10949" s="5" t="str">
        <f t="shared" si="565"/>
        <v>BANCO DE LECHE-ESPERANZA MONCADA</v>
      </c>
      <c r="F10949" s="5"/>
      <c r="G10949" s="5"/>
    </row>
    <row r="10950" spans="1:7" ht="58.5" customHeight="1" x14ac:dyDescent="0.25">
      <c r="A10950" s="5" t="str">
        <f>"H0024950"</f>
        <v>H0024950</v>
      </c>
      <c r="B10950" s="5" t="str">
        <f>"LAVAMANOS DE PEDAL MAUAL EN ACERO INOXIDABLE"</f>
        <v>LAVAMANOS DE PEDAL MAUAL EN ACERO INOXIDABLE</v>
      </c>
      <c r="C10950" s="6">
        <v>1885000</v>
      </c>
      <c r="D10950" s="5" t="s">
        <v>376</v>
      </c>
      <c r="E10950" s="5" t="str">
        <f t="shared" si="565"/>
        <v>BANCO DE LECHE-ESPERANZA MONCADA</v>
      </c>
      <c r="F10950" s="5"/>
      <c r="G10950" s="5"/>
    </row>
    <row r="10951" spans="1:7" ht="58.5" customHeight="1" x14ac:dyDescent="0.25">
      <c r="A10951" s="5" t="str">
        <f>"H0024951"</f>
        <v>H0024951</v>
      </c>
      <c r="B10951" s="5" t="str">
        <f>"MESON EN ACERO INOXIDABLE"</f>
        <v>MESON EN ACERO INOXIDABLE</v>
      </c>
      <c r="C10951" s="6">
        <v>1131000</v>
      </c>
      <c r="D10951" s="5" t="s">
        <v>376</v>
      </c>
      <c r="E10951" s="5" t="str">
        <f t="shared" si="565"/>
        <v>BANCO DE LECHE-ESPERANZA MONCADA</v>
      </c>
      <c r="F10951" s="5"/>
      <c r="G10951" s="5"/>
    </row>
    <row r="10952" spans="1:7" ht="58.5" customHeight="1" x14ac:dyDescent="0.25">
      <c r="A10952" s="5" t="str">
        <f>"H0024952"</f>
        <v>H0024952</v>
      </c>
      <c r="B10952" s="5" t="str">
        <f>"ARCHIVADOR EN ACERO INOXIDABLE  304"</f>
        <v>ARCHIVADOR EN ACERO INOXIDABLE  304</v>
      </c>
      <c r="C10952" s="6">
        <v>939600</v>
      </c>
      <c r="D10952" s="5" t="s">
        <v>376</v>
      </c>
      <c r="E10952" s="5" t="str">
        <f t="shared" ref="E10952:E10983" si="566">"BANCO DE LECHE-ESPERANZA MONCADA"</f>
        <v>BANCO DE LECHE-ESPERANZA MONCADA</v>
      </c>
      <c r="F10952" s="5"/>
      <c r="G10952" s="5"/>
    </row>
    <row r="10953" spans="1:7" ht="58.5" customHeight="1" x14ac:dyDescent="0.25">
      <c r="A10953" s="5" t="str">
        <f>"H0024953"</f>
        <v>H0024953</v>
      </c>
      <c r="B10953" s="5" t="str">
        <f t="shared" ref="B10953:B10958" si="567">"SILLAS INTERLOCUTORAS FIJAS EN TUBO DE 15X30 REFORZADA, PINTURA ELECTROSTATICA, ASIENTO TAPIZADO EN PRANNA, ESPALDAR EN POLIPROPILENO PERFORADO, TAPONES ANTIRESBALANTES"</f>
        <v>SILLAS INTERLOCUTORAS FIJAS EN TUBO DE 15X30 REFORZADA, PINTURA ELECTROSTATICA, ASIENTO TAPIZADO EN PRANNA, ESPALDAR EN POLIPROPILENO PERFORADO, TAPONES ANTIRESBALANTES</v>
      </c>
      <c r="C10953" s="6">
        <v>194880</v>
      </c>
      <c r="D10953" s="5" t="s">
        <v>644</v>
      </c>
      <c r="E10953" s="5" t="str">
        <f t="shared" si="566"/>
        <v>BANCO DE LECHE-ESPERANZA MONCADA</v>
      </c>
      <c r="F10953" s="5"/>
      <c r="G10953" s="5"/>
    </row>
    <row r="10954" spans="1:7" ht="58.5" customHeight="1" x14ac:dyDescent="0.25">
      <c r="A10954" s="5" t="str">
        <f>"H0024954"</f>
        <v>H0024954</v>
      </c>
      <c r="B10954" s="5" t="str">
        <f t="shared" si="567"/>
        <v>SILLAS INTERLOCUTORAS FIJAS EN TUBO DE 15X30 REFORZADA, PINTURA ELECTROSTATICA, ASIENTO TAPIZADO EN PRANNA, ESPALDAR EN POLIPROPILENO PERFORADO, TAPONES ANTIRESBALANTES</v>
      </c>
      <c r="C10954" s="6">
        <v>194880</v>
      </c>
      <c r="D10954" s="5" t="s">
        <v>644</v>
      </c>
      <c r="E10954" s="5" t="str">
        <f t="shared" si="566"/>
        <v>BANCO DE LECHE-ESPERANZA MONCADA</v>
      </c>
      <c r="F10954" s="5"/>
      <c r="G10954" s="5"/>
    </row>
    <row r="10955" spans="1:7" ht="58.5" customHeight="1" x14ac:dyDescent="0.25">
      <c r="A10955" s="5" t="str">
        <f>"H0024955"</f>
        <v>H0024955</v>
      </c>
      <c r="B10955" s="5" t="str">
        <f t="shared" si="567"/>
        <v>SILLAS INTERLOCUTORAS FIJAS EN TUBO DE 15X30 REFORZADA, PINTURA ELECTROSTATICA, ASIENTO TAPIZADO EN PRANNA, ESPALDAR EN POLIPROPILENO PERFORADO, TAPONES ANTIRESBALANTES</v>
      </c>
      <c r="C10955" s="6">
        <v>194880</v>
      </c>
      <c r="D10955" s="5" t="s">
        <v>644</v>
      </c>
      <c r="E10955" s="5" t="str">
        <f t="shared" si="566"/>
        <v>BANCO DE LECHE-ESPERANZA MONCADA</v>
      </c>
      <c r="F10955" s="5"/>
      <c r="G10955" s="5"/>
    </row>
    <row r="10956" spans="1:7" ht="58.5" customHeight="1" x14ac:dyDescent="0.25">
      <c r="A10956" s="5" t="str">
        <f>"H0024956"</f>
        <v>H0024956</v>
      </c>
      <c r="B10956" s="5" t="str">
        <f t="shared" si="567"/>
        <v>SILLAS INTERLOCUTORAS FIJAS EN TUBO DE 15X30 REFORZADA, PINTURA ELECTROSTATICA, ASIENTO TAPIZADO EN PRANNA, ESPALDAR EN POLIPROPILENO PERFORADO, TAPONES ANTIRESBALANTES</v>
      </c>
      <c r="C10956" s="6">
        <v>194880</v>
      </c>
      <c r="D10956" s="5" t="s">
        <v>644</v>
      </c>
      <c r="E10956" s="5" t="str">
        <f t="shared" si="566"/>
        <v>BANCO DE LECHE-ESPERANZA MONCADA</v>
      </c>
      <c r="F10956" s="5"/>
      <c r="G10956" s="5"/>
    </row>
    <row r="10957" spans="1:7" ht="58.5" customHeight="1" x14ac:dyDescent="0.25">
      <c r="A10957" s="5" t="str">
        <f>"H0024957"</f>
        <v>H0024957</v>
      </c>
      <c r="B10957" s="5" t="str">
        <f t="shared" si="567"/>
        <v>SILLAS INTERLOCUTORAS FIJAS EN TUBO DE 15X30 REFORZADA, PINTURA ELECTROSTATICA, ASIENTO TAPIZADO EN PRANNA, ESPALDAR EN POLIPROPILENO PERFORADO, TAPONES ANTIRESBALANTES</v>
      </c>
      <c r="C10957" s="6">
        <v>194880</v>
      </c>
      <c r="D10957" s="5" t="s">
        <v>644</v>
      </c>
      <c r="E10957" s="5" t="str">
        <f t="shared" si="566"/>
        <v>BANCO DE LECHE-ESPERANZA MONCADA</v>
      </c>
      <c r="F10957" s="5"/>
      <c r="G10957" s="5"/>
    </row>
    <row r="10958" spans="1:7" ht="58.5" customHeight="1" x14ac:dyDescent="0.25">
      <c r="A10958" s="5" t="str">
        <f>"H0024958"</f>
        <v>H0024958</v>
      </c>
      <c r="B10958" s="5" t="str">
        <f t="shared" si="567"/>
        <v>SILLAS INTERLOCUTORAS FIJAS EN TUBO DE 15X30 REFORZADA, PINTURA ELECTROSTATICA, ASIENTO TAPIZADO EN PRANNA, ESPALDAR EN POLIPROPILENO PERFORADO, TAPONES ANTIRESBALANTES</v>
      </c>
      <c r="C10958" s="6">
        <v>194880</v>
      </c>
      <c r="D10958" s="5" t="s">
        <v>644</v>
      </c>
      <c r="E10958" s="5" t="str">
        <f t="shared" si="566"/>
        <v>BANCO DE LECHE-ESPERANZA MONCADA</v>
      </c>
      <c r="F10958" s="5"/>
      <c r="G10958" s="5"/>
    </row>
    <row r="10959" spans="1:7" ht="58.5" customHeight="1" x14ac:dyDescent="0.25">
      <c r="A10959" s="5" t="str">
        <f>"H0024959"</f>
        <v>H0024959</v>
      </c>
      <c r="B10959" s="5" t="str">
        <f>"SILLA UNIVERSITARIO, PINTURA ELECTROSTATICA, ESPALDAR, ASIENTO Y RAQUETA EN PXILIPROPILENO"</f>
        <v>SILLA UNIVERSITARIO, PINTURA ELECTROSTATICA, ESPALDAR, ASIENTO Y RAQUETA EN PXILIPROPILENO</v>
      </c>
      <c r="C10959" s="6">
        <v>127600</v>
      </c>
      <c r="D10959" s="5" t="s">
        <v>644</v>
      </c>
      <c r="E10959" s="5" t="str">
        <f t="shared" si="566"/>
        <v>BANCO DE LECHE-ESPERANZA MONCADA</v>
      </c>
      <c r="F10959" s="5"/>
      <c r="G10959" s="5"/>
    </row>
    <row r="10960" spans="1:7" ht="58.5" customHeight="1" x14ac:dyDescent="0.25">
      <c r="A10960" s="5" t="str">
        <f>"H0024960"</f>
        <v>H0024960</v>
      </c>
      <c r="B10960" s="5" t="str">
        <f>"SILLA UNIVERSITARIO, PINTURA ELECTROSTATICA, ESPALDAR, ASIENTO Y RAQUETA EN PXILIPROPILENO"</f>
        <v>SILLA UNIVERSITARIO, PINTURA ELECTROSTATICA, ESPALDAR, ASIENTO Y RAQUETA EN PXILIPROPILENO</v>
      </c>
      <c r="C10960" s="6">
        <v>127600</v>
      </c>
      <c r="D10960" s="5" t="s">
        <v>644</v>
      </c>
      <c r="E10960" s="5" t="str">
        <f t="shared" si="566"/>
        <v>BANCO DE LECHE-ESPERANZA MONCADA</v>
      </c>
      <c r="F10960" s="5"/>
      <c r="G10960" s="5"/>
    </row>
    <row r="10961" spans="1:7" ht="58.5" customHeight="1" x14ac:dyDescent="0.25">
      <c r="A10961" s="5" t="str">
        <f>"H0024961"</f>
        <v>H0024961</v>
      </c>
      <c r="B10961" s="5"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C10961" s="6">
        <v>100920</v>
      </c>
      <c r="D10961" s="5" t="s">
        <v>644</v>
      </c>
      <c r="E10961" s="5" t="str">
        <f t="shared" si="566"/>
        <v>BANCO DE LECHE-ESPERANZA MONCADA</v>
      </c>
      <c r="F10961" s="5"/>
      <c r="G10961" s="5"/>
    </row>
    <row r="10962" spans="1:7" ht="58.5" customHeight="1" x14ac:dyDescent="0.25">
      <c r="A10962" s="5" t="str">
        <f>"H0024962"</f>
        <v>H0024962</v>
      </c>
      <c r="B10962" s="5"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C10962" s="6">
        <v>100920</v>
      </c>
      <c r="D10962" s="5" t="s">
        <v>644</v>
      </c>
      <c r="E10962" s="5" t="str">
        <f t="shared" si="566"/>
        <v>BANCO DE LECHE-ESPERANZA MONCADA</v>
      </c>
      <c r="F10962" s="5"/>
      <c r="G10962" s="5"/>
    </row>
    <row r="10963" spans="1:7" ht="58.5" customHeight="1" x14ac:dyDescent="0.25">
      <c r="A10963" s="5" t="str">
        <f>"H0024965"</f>
        <v>H0024965</v>
      </c>
      <c r="B10963" s="5" t="str">
        <f>"ESPALDAR OPERATIVO ALTO:50*45, SISTEMA DE AJUSTE SINCROAVANZADO DE 7 POSICIONES, CON AJUSTE DE ALTURA DEL ESPALDAR CON SISTEMA DE CREMALLERA:ASIENTO ECUALIZABLE Y SISTEMA DE ELEVACIÓN NEUMATICA;ESPUMA DEL ASIENTO INYECTADA DE ALTA DENSIDAD, ESPALDAR EN DE"&amp; "NSIDAD MEDIA, TAPIZADO EN TRANNA;BASE GIRATORIA EN POLIPROPILENO, INCLUYE RODACHINES EN NYLON PARA PISO DURO"</f>
        <v>ESPALDAR OPERATIVO ALTO:50*45, SISTEMA DE AJUSTE SINCROAVANZADO DE 7 POSICIONES, CON AJUSTE DE ALTURA DEL ESPALDAR CON SISTEMA DE CREMALLERA:ASIENTO ECUALIZABLE Y SISTEMA DE ELEVACIÓN NEUMATICA;ESPUMA DEL ASIENTO INYECTADA DE ALTA DENSIDAD, ESPALDAR EN DENSIDAD MEDIA, TAPIZADO EN TRANNA;BASE GIRATORIA EN POLIPROPILENO, INCLUYE RODACHINES EN NYLON PARA PISO DURO</v>
      </c>
      <c r="C10963" s="6">
        <v>377000</v>
      </c>
      <c r="D10963" s="5" t="s">
        <v>644</v>
      </c>
      <c r="E10963" s="5" t="str">
        <f t="shared" si="566"/>
        <v>BANCO DE LECHE-ESPERANZA MONCADA</v>
      </c>
      <c r="F10963" s="5"/>
      <c r="G10963" s="5"/>
    </row>
    <row r="10964" spans="1:7" ht="58.5" customHeight="1" x14ac:dyDescent="0.25">
      <c r="A10964" s="5" t="str">
        <f>"H0024966"</f>
        <v>H0024966</v>
      </c>
      <c r="B10964" s="5" t="str">
        <f>"SILLA EJECTIVA, ESPALDAR EN MALLA, ASIENTO BASCULANTE CON SISTEMA DE DOS BLOQUEOS, TAPIZADO EN PAÑO, BRAZOS FIJOS, BASE EN HIERRO CROMADO CON RODACHINES EN NYLON PARA PISO DURO"</f>
        <v>SILLA EJECTIVA, ESPALDAR EN MALLA, ASIENTO BASCULANTE CON SISTEMA DE DOS BLOQUEOS, TAPIZADO EN PAÑO, BRAZOS FIJOS, BASE EN HIERRO CROMADO CON RODACHINES EN NYLON PARA PISO DURO</v>
      </c>
      <c r="C10964" s="6">
        <v>406000</v>
      </c>
      <c r="D10964" s="5" t="s">
        <v>644</v>
      </c>
      <c r="E10964" s="5" t="str">
        <f t="shared" si="566"/>
        <v>BANCO DE LECHE-ESPERANZA MONCADA</v>
      </c>
      <c r="F10964" s="5"/>
      <c r="G10964" s="5"/>
    </row>
    <row r="10965" spans="1:7" ht="58.5" customHeight="1" x14ac:dyDescent="0.25">
      <c r="A10965" s="5" t="str">
        <f>"H0024969"</f>
        <v>H0024969</v>
      </c>
      <c r="B10965" s="5" t="str">
        <f>"SILLA TANDEM DE 3 PUESTOS"</f>
        <v>SILLA TANDEM DE 3 PUESTOS</v>
      </c>
      <c r="C10965" s="6">
        <v>390920</v>
      </c>
      <c r="D10965" s="5" t="s">
        <v>644</v>
      </c>
      <c r="E10965" s="5" t="str">
        <f t="shared" si="566"/>
        <v>BANCO DE LECHE-ESPERANZA MONCADA</v>
      </c>
      <c r="F10965" s="5"/>
      <c r="G10965" s="5"/>
    </row>
    <row r="10966" spans="1:7" ht="58.5" customHeight="1" x14ac:dyDescent="0.25">
      <c r="A10966" s="5" t="str">
        <f>"H0025036"</f>
        <v>H0025036</v>
      </c>
      <c r="B10966" s="5" t="str">
        <f>"LOCKER EN MELAMINA BLANCA DE 2.00 x 1.85x0.30 mts CON PUERTAS, CHAPAS Y MANIJA EN ACERO"</f>
        <v>LOCKER EN MELAMINA BLANCA DE 2.00 x 1.85x0.30 mts CON PUERTAS, CHAPAS Y MANIJA EN ACERO</v>
      </c>
      <c r="C10966" s="6">
        <v>649600</v>
      </c>
      <c r="D10966" s="5" t="s">
        <v>578</v>
      </c>
      <c r="E10966" s="5" t="str">
        <f t="shared" si="566"/>
        <v>BANCO DE LECHE-ESPERANZA MONCADA</v>
      </c>
      <c r="F10966" s="5"/>
      <c r="G10966" s="5"/>
    </row>
    <row r="10967" spans="1:7" ht="58.5" customHeight="1" x14ac:dyDescent="0.25">
      <c r="A10967" s="5" t="str">
        <f>"H0025037"</f>
        <v>H0025037</v>
      </c>
      <c r="B10967" s="5" t="str">
        <f>"ESCRITORIO RECEPCIÓN  FIJA EN FORMA DE L EN MELAMINA Ancho de 1.30 x Largo de 1.80"</f>
        <v>ESCRITORIO RECEPCIÓN  FIJA EN FORMA DE L EN MELAMINA Ancho de 1.30 x Largo de 1.80</v>
      </c>
      <c r="C10967" s="6">
        <v>1086920</v>
      </c>
      <c r="D10967" s="5" t="s">
        <v>578</v>
      </c>
      <c r="E10967" s="5" t="str">
        <f t="shared" si="566"/>
        <v>BANCO DE LECHE-ESPERANZA MONCADA</v>
      </c>
      <c r="F10967" s="5"/>
      <c r="G10967" s="5"/>
    </row>
    <row r="10968" spans="1:7" ht="58.5" customHeight="1" x14ac:dyDescent="0.25">
      <c r="A10968" s="5" t="str">
        <f>"H0025038"</f>
        <v>H0025038</v>
      </c>
      <c r="B10968" s="5" t="str">
        <f>"ESCRITORIO CONSULTORIO EN MELAMINA,CON ARCHIVADOR EN LA PARTE INFERIOR EN FORMA DE L"</f>
        <v>ESCRITORIO CONSULTORIO EN MELAMINA,CON ARCHIVADOR EN LA PARTE INFERIOR EN FORMA DE L</v>
      </c>
      <c r="C10968" s="6">
        <v>719200</v>
      </c>
      <c r="D10968" s="5" t="s">
        <v>578</v>
      </c>
      <c r="E10968" s="5" t="str">
        <f t="shared" si="566"/>
        <v>BANCO DE LECHE-ESPERANZA MONCADA</v>
      </c>
      <c r="F10968" s="5"/>
      <c r="G10968" s="5"/>
    </row>
    <row r="10969" spans="1:7" ht="58.5" customHeight="1" x14ac:dyDescent="0.25">
      <c r="A10969" s="5" t="str">
        <f>"H0025039"</f>
        <v>H0025039</v>
      </c>
      <c r="B10969" s="5" t="str">
        <f>"ARCHIVADOR-MUEBLE EXTERNO EN MADERA MELAMINA"</f>
        <v>ARCHIVADOR-MUEBLE EXTERNO EN MADERA MELAMINA</v>
      </c>
      <c r="C10969" s="6">
        <v>506920</v>
      </c>
      <c r="D10969" s="5" t="s">
        <v>578</v>
      </c>
      <c r="E10969" s="5" t="str">
        <f t="shared" si="566"/>
        <v>BANCO DE LECHE-ESPERANZA MONCADA</v>
      </c>
      <c r="F10969" s="5"/>
      <c r="G10969" s="5"/>
    </row>
    <row r="10970" spans="1:7" ht="58.5" customHeight="1" x14ac:dyDescent="0.25">
      <c r="A10970" s="5" t="str">
        <f>"H0025040"</f>
        <v>H0025040</v>
      </c>
      <c r="B10970" s="5" t="str">
        <f>"MUEBLE EXTERNO MESA EN MADERA MELAMINA"</f>
        <v>MUEBLE EXTERNO MESA EN MADERA MELAMINA</v>
      </c>
      <c r="C10970" s="6">
        <v>580000</v>
      </c>
      <c r="D10970" s="5" t="s">
        <v>578</v>
      </c>
      <c r="E10970" s="5" t="str">
        <f t="shared" si="566"/>
        <v>BANCO DE LECHE-ESPERANZA MONCADA</v>
      </c>
      <c r="F10970" s="5"/>
      <c r="G10970" s="5"/>
    </row>
    <row r="10971" spans="1:7" ht="58.5" customHeight="1" x14ac:dyDescent="0.25">
      <c r="A10971" s="5" t="str">
        <f>"H0025308"</f>
        <v>H0025308</v>
      </c>
      <c r="B1097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0971" s="6">
        <v>312156</v>
      </c>
      <c r="D10971" s="5" t="s">
        <v>10</v>
      </c>
      <c r="E10971" s="5" t="str">
        <f t="shared" si="566"/>
        <v>BANCO DE LECHE-ESPERANZA MONCADA</v>
      </c>
      <c r="F10971" s="5"/>
      <c r="G10971" s="5"/>
    </row>
    <row r="10972" spans="1:7" ht="58.5" customHeight="1" x14ac:dyDescent="0.25">
      <c r="A10972" s="5" t="str">
        <f>"H0027560"</f>
        <v>H0027560</v>
      </c>
      <c r="B10972" s="5" t="str">
        <f>"LECTOR DE HUELLAS DIGITALES"</f>
        <v>LECTOR DE HUELLAS DIGITALES</v>
      </c>
      <c r="C10972" s="6">
        <v>234000.41</v>
      </c>
      <c r="D10972" s="5" t="s">
        <v>83</v>
      </c>
      <c r="E10972" s="5" t="str">
        <f t="shared" si="566"/>
        <v>BANCO DE LECHE-ESPERANZA MONCADA</v>
      </c>
      <c r="F10972" s="5"/>
      <c r="G10972" s="5"/>
    </row>
    <row r="10973" spans="1:7" ht="58.5" customHeight="1" x14ac:dyDescent="0.25">
      <c r="A10973" s="5" t="str">
        <f>"H0031329"</f>
        <v>H0031329</v>
      </c>
      <c r="B10973" s="5" t="str">
        <f>"MICROCENTRIFUGA DIGITAL PARA HEMATOCRITO MODELO H-240 INCLUYE UN ROTOR PARA HEMATOCRITO SEGMENTADO PARA 24 CAPILARES. (CODIGO DONACION)"</f>
        <v>MICROCENTRIFUGA DIGITAL PARA HEMATOCRITO MODELO H-240 INCLUYE UN ROTOR PARA HEMATOCRITO SEGMENTADO PARA 24 CAPILARES. (CODIGO DONACION)</v>
      </c>
      <c r="C10973" s="6">
        <v>832000</v>
      </c>
      <c r="D10973" s="5" t="s">
        <v>645</v>
      </c>
      <c r="E10973" s="5" t="str">
        <f t="shared" si="566"/>
        <v>BANCO DE LECHE-ESPERANZA MONCADA</v>
      </c>
      <c r="F10973" s="5"/>
      <c r="G10973" s="5"/>
    </row>
    <row r="10974" spans="1:7" ht="58.5" customHeight="1" x14ac:dyDescent="0.25">
      <c r="A10974" s="5" t="str">
        <f>"H0031351"</f>
        <v>H0031351</v>
      </c>
      <c r="B10974" s="5" t="str">
        <f>"Pipeta automática de 1000uL constante"</f>
        <v>Pipeta automática de 1000uL constante</v>
      </c>
      <c r="C10974" s="6">
        <v>210700</v>
      </c>
      <c r="D10974" s="5" t="s">
        <v>585</v>
      </c>
      <c r="E10974" s="5" t="str">
        <f t="shared" si="566"/>
        <v>BANCO DE LECHE-ESPERANZA MONCADA</v>
      </c>
      <c r="F10974" s="5"/>
      <c r="G10974" s="5"/>
    </row>
    <row r="10975" spans="1:7" ht="58.5" customHeight="1" x14ac:dyDescent="0.25">
      <c r="A10975" s="5" t="str">
        <f>"H0034872"</f>
        <v>H0034872</v>
      </c>
      <c r="B10975" s="5" t="str">
        <f t="shared" ref="B10975:B10986" si="568">"Nevera de sangre (Sistema de almacenamiento y transporte de sangre entera)"</f>
        <v>Nevera de sangre (Sistema de almacenamiento y transporte de sangre entera)</v>
      </c>
      <c r="C10975" s="6">
        <v>4225000</v>
      </c>
      <c r="D10975" s="5" t="s">
        <v>491</v>
      </c>
      <c r="E10975" s="5" t="str">
        <f t="shared" si="566"/>
        <v>BANCO DE LECHE-ESPERANZA MONCADA</v>
      </c>
      <c r="F10975" s="5"/>
      <c r="G10975" s="5"/>
    </row>
    <row r="10976" spans="1:7" ht="58.5" customHeight="1" x14ac:dyDescent="0.25">
      <c r="A10976" s="5" t="str">
        <f>"H0034873"</f>
        <v>H0034873</v>
      </c>
      <c r="B10976" s="5" t="str">
        <f t="shared" si="568"/>
        <v>Nevera de sangre (Sistema de almacenamiento y transporte de sangre entera)</v>
      </c>
      <c r="C10976" s="6">
        <v>4225000</v>
      </c>
      <c r="D10976" s="5" t="s">
        <v>491</v>
      </c>
      <c r="E10976" s="5" t="str">
        <f t="shared" si="566"/>
        <v>BANCO DE LECHE-ESPERANZA MONCADA</v>
      </c>
      <c r="F10976" s="5"/>
      <c r="G10976" s="5"/>
    </row>
    <row r="10977" spans="1:7" ht="58.5" customHeight="1" x14ac:dyDescent="0.25">
      <c r="A10977" s="5" t="str">
        <f>"H0034874"</f>
        <v>H0034874</v>
      </c>
      <c r="B10977" s="5" t="str">
        <f t="shared" si="568"/>
        <v>Nevera de sangre (Sistema de almacenamiento y transporte de sangre entera)</v>
      </c>
      <c r="C10977" s="6">
        <v>4225000</v>
      </c>
      <c r="D10977" s="5" t="s">
        <v>491</v>
      </c>
      <c r="E10977" s="5" t="str">
        <f t="shared" si="566"/>
        <v>BANCO DE LECHE-ESPERANZA MONCADA</v>
      </c>
      <c r="F10977" s="5"/>
      <c r="G10977" s="5"/>
    </row>
    <row r="10978" spans="1:7" ht="58.5" customHeight="1" x14ac:dyDescent="0.25">
      <c r="A10978" s="5" t="str">
        <f>"H0034875"</f>
        <v>H0034875</v>
      </c>
      <c r="B10978" s="5" t="str">
        <f t="shared" si="568"/>
        <v>Nevera de sangre (Sistema de almacenamiento y transporte de sangre entera)</v>
      </c>
      <c r="C10978" s="6">
        <v>4225000</v>
      </c>
      <c r="D10978" s="5" t="s">
        <v>491</v>
      </c>
      <c r="E10978" s="5" t="str">
        <f t="shared" si="566"/>
        <v>BANCO DE LECHE-ESPERANZA MONCADA</v>
      </c>
      <c r="F10978" s="5"/>
      <c r="G10978" s="5"/>
    </row>
    <row r="10979" spans="1:7" ht="58.5" customHeight="1" x14ac:dyDescent="0.25">
      <c r="A10979" s="5" t="str">
        <f>"H0034876"</f>
        <v>H0034876</v>
      </c>
      <c r="B10979" s="5" t="str">
        <f t="shared" si="568"/>
        <v>Nevera de sangre (Sistema de almacenamiento y transporte de sangre entera)</v>
      </c>
      <c r="C10979" s="6">
        <v>4225000</v>
      </c>
      <c r="D10979" s="5" t="s">
        <v>491</v>
      </c>
      <c r="E10979" s="5" t="str">
        <f t="shared" si="566"/>
        <v>BANCO DE LECHE-ESPERANZA MONCADA</v>
      </c>
      <c r="F10979" s="5"/>
      <c r="G10979" s="5"/>
    </row>
    <row r="10980" spans="1:7" ht="58.5" customHeight="1" x14ac:dyDescent="0.25">
      <c r="A10980" s="5" t="str">
        <f>"H0034877"</f>
        <v>H0034877</v>
      </c>
      <c r="B10980" s="5" t="str">
        <f t="shared" si="568"/>
        <v>Nevera de sangre (Sistema de almacenamiento y transporte de sangre entera)</v>
      </c>
      <c r="C10980" s="6">
        <v>4225000</v>
      </c>
      <c r="D10980" s="5" t="s">
        <v>491</v>
      </c>
      <c r="E10980" s="5" t="str">
        <f t="shared" si="566"/>
        <v>BANCO DE LECHE-ESPERANZA MONCADA</v>
      </c>
      <c r="F10980" s="5"/>
      <c r="G10980" s="5"/>
    </row>
    <row r="10981" spans="1:7" ht="58.5" customHeight="1" x14ac:dyDescent="0.25">
      <c r="A10981" s="5" t="str">
        <f>"H0034878"</f>
        <v>H0034878</v>
      </c>
      <c r="B10981" s="5" t="str">
        <f t="shared" si="568"/>
        <v>Nevera de sangre (Sistema de almacenamiento y transporte de sangre entera)</v>
      </c>
      <c r="C10981" s="6">
        <v>4225000</v>
      </c>
      <c r="D10981" s="5" t="s">
        <v>491</v>
      </c>
      <c r="E10981" s="5" t="str">
        <f t="shared" si="566"/>
        <v>BANCO DE LECHE-ESPERANZA MONCADA</v>
      </c>
      <c r="F10981" s="5"/>
      <c r="G10981" s="5"/>
    </row>
    <row r="10982" spans="1:7" ht="58.5" customHeight="1" x14ac:dyDescent="0.25">
      <c r="A10982" s="5" t="str">
        <f>"H0034879"</f>
        <v>H0034879</v>
      </c>
      <c r="B10982" s="5" t="str">
        <f t="shared" si="568"/>
        <v>Nevera de sangre (Sistema de almacenamiento y transporte de sangre entera)</v>
      </c>
      <c r="C10982" s="6">
        <v>4225000</v>
      </c>
      <c r="D10982" s="5" t="s">
        <v>491</v>
      </c>
      <c r="E10982" s="5" t="str">
        <f t="shared" si="566"/>
        <v>BANCO DE LECHE-ESPERANZA MONCADA</v>
      </c>
      <c r="F10982" s="5"/>
      <c r="G10982" s="5"/>
    </row>
    <row r="10983" spans="1:7" ht="58.5" customHeight="1" x14ac:dyDescent="0.25">
      <c r="A10983" s="5" t="str">
        <f>"H0034880"</f>
        <v>H0034880</v>
      </c>
      <c r="B10983" s="5" t="str">
        <f t="shared" si="568"/>
        <v>Nevera de sangre (Sistema de almacenamiento y transporte de sangre entera)</v>
      </c>
      <c r="C10983" s="6">
        <v>4225000</v>
      </c>
      <c r="D10983" s="5" t="s">
        <v>491</v>
      </c>
      <c r="E10983" s="5" t="str">
        <f t="shared" si="566"/>
        <v>BANCO DE LECHE-ESPERANZA MONCADA</v>
      </c>
      <c r="F10983" s="5"/>
      <c r="G10983" s="5"/>
    </row>
    <row r="10984" spans="1:7" ht="58.5" customHeight="1" x14ac:dyDescent="0.25">
      <c r="A10984" s="5" t="str">
        <f>"H0034881"</f>
        <v>H0034881</v>
      </c>
      <c r="B10984" s="5" t="str">
        <f t="shared" si="568"/>
        <v>Nevera de sangre (Sistema de almacenamiento y transporte de sangre entera)</v>
      </c>
      <c r="C10984" s="6">
        <v>4225000</v>
      </c>
      <c r="D10984" s="5" t="s">
        <v>491</v>
      </c>
      <c r="E10984" s="5" t="str">
        <f t="shared" ref="E10984:E11008" si="569">"BANCO DE LECHE-ESPERANZA MONCADA"</f>
        <v>BANCO DE LECHE-ESPERANZA MONCADA</v>
      </c>
      <c r="F10984" s="5"/>
      <c r="G10984" s="5"/>
    </row>
    <row r="10985" spans="1:7" ht="58.5" customHeight="1" x14ac:dyDescent="0.25">
      <c r="A10985" s="5" t="str">
        <f>"H0034882"</f>
        <v>H0034882</v>
      </c>
      <c r="B10985" s="5" t="str">
        <f t="shared" si="568"/>
        <v>Nevera de sangre (Sistema de almacenamiento y transporte de sangre entera)</v>
      </c>
      <c r="C10985" s="6">
        <v>4225000</v>
      </c>
      <c r="D10985" s="5" t="s">
        <v>491</v>
      </c>
      <c r="E10985" s="5" t="str">
        <f t="shared" si="569"/>
        <v>BANCO DE LECHE-ESPERANZA MONCADA</v>
      </c>
      <c r="F10985" s="5"/>
      <c r="G10985" s="5"/>
    </row>
    <row r="10986" spans="1:7" ht="58.5" customHeight="1" x14ac:dyDescent="0.25">
      <c r="A10986" s="5" t="str">
        <f>"H0034883"</f>
        <v>H0034883</v>
      </c>
      <c r="B10986" s="5" t="str">
        <f t="shared" si="568"/>
        <v>Nevera de sangre (Sistema de almacenamiento y transporte de sangre entera)</v>
      </c>
      <c r="C10986" s="6">
        <v>4225000</v>
      </c>
      <c r="D10986" s="5" t="s">
        <v>491</v>
      </c>
      <c r="E10986" s="5" t="str">
        <f t="shared" si="569"/>
        <v>BANCO DE LECHE-ESPERANZA MONCADA</v>
      </c>
      <c r="F10986" s="5"/>
      <c r="G10986" s="5"/>
    </row>
    <row r="10987" spans="1:7" ht="58.5" customHeight="1" x14ac:dyDescent="0.25">
      <c r="A10987" s="5" t="str">
        <f>"H0034884"</f>
        <v>H0034884</v>
      </c>
      <c r="B10987" s="5" t="str">
        <f>"Sistema de almacenamiento y transporte de sangre entera"</f>
        <v>Sistema de almacenamiento y transporte de sangre entera</v>
      </c>
      <c r="C10987" s="6">
        <v>780000</v>
      </c>
      <c r="D10987" s="5" t="s">
        <v>491</v>
      </c>
      <c r="E10987" s="5" t="str">
        <f t="shared" si="569"/>
        <v>BANCO DE LECHE-ESPERANZA MONCADA</v>
      </c>
      <c r="F10987" s="5"/>
      <c r="G10987" s="5"/>
    </row>
    <row r="10988" spans="1:7" ht="58.5" customHeight="1" x14ac:dyDescent="0.25">
      <c r="A10988" s="5" t="str">
        <f>"H0035580"</f>
        <v>H0035580</v>
      </c>
      <c r="B10988" s="5" t="str">
        <f>"KIT MATERNO (EXTRACTOR LECHE MATERNA) (DONACION)"</f>
        <v>KIT MATERNO (EXTRACTOR LECHE MATERNA) (DONACION)</v>
      </c>
      <c r="C10988" s="6">
        <v>1932776</v>
      </c>
      <c r="D10988" s="5" t="s">
        <v>646</v>
      </c>
      <c r="E10988" s="5" t="str">
        <f t="shared" si="569"/>
        <v>BANCO DE LECHE-ESPERANZA MONCADA</v>
      </c>
      <c r="F10988" s="5"/>
      <c r="G10988" s="5"/>
    </row>
    <row r="10989" spans="1:7" ht="58.5" customHeight="1" x14ac:dyDescent="0.25">
      <c r="A10989" s="5" t="str">
        <f>"H0036013"</f>
        <v>H0036013</v>
      </c>
      <c r="B10989" s="5" t="str">
        <f>"ACIDÍMETRO"</f>
        <v>ACIDÍMETRO</v>
      </c>
      <c r="C10989" s="6">
        <v>3070000</v>
      </c>
      <c r="D10989" s="5" t="s">
        <v>647</v>
      </c>
      <c r="E10989" s="5" t="str">
        <f t="shared" si="569"/>
        <v>BANCO DE LECHE-ESPERANZA MONCADA</v>
      </c>
      <c r="F10989" s="5"/>
      <c r="G10989" s="5"/>
    </row>
    <row r="10990" spans="1:7" ht="58.5" customHeight="1" x14ac:dyDescent="0.25">
      <c r="A10990" s="5" t="str">
        <f>"H0036014"</f>
        <v>H0036014</v>
      </c>
      <c r="B10990" s="5" t="str">
        <f>"ACIDÍMETRO"</f>
        <v>ACIDÍMETRO</v>
      </c>
      <c r="C10990" s="6">
        <v>3070000</v>
      </c>
      <c r="D10990" s="5" t="s">
        <v>647</v>
      </c>
      <c r="E10990" s="5" t="str">
        <f t="shared" si="569"/>
        <v>BANCO DE LECHE-ESPERANZA MONCADA</v>
      </c>
      <c r="F10990" s="5"/>
      <c r="G10990" s="5"/>
    </row>
    <row r="10991" spans="1:7" ht="58.5" customHeight="1" x14ac:dyDescent="0.25">
      <c r="A10991" s="5" t="str">
        <f>"H003708"</f>
        <v>H003708</v>
      </c>
      <c r="B10991" s="5" t="str">
        <f>"NEVERA CONGELADOR VERTICAL, CAPACIDAD TOTAL UTIL 323 LT"</f>
        <v>NEVERA CONGELADOR VERTICAL, CAPACIDAD TOTAL UTIL 323 LT</v>
      </c>
      <c r="C10991" s="6">
        <v>4879000</v>
      </c>
      <c r="D10991" s="5" t="s">
        <v>648</v>
      </c>
      <c r="E10991" s="5" t="str">
        <f t="shared" si="569"/>
        <v>BANCO DE LECHE-ESPERANZA MONCADA</v>
      </c>
      <c r="F10991" s="5"/>
      <c r="G10991" s="5" t="str">
        <f>"WVU26EKTWF"</f>
        <v>WVU26EKTWF</v>
      </c>
    </row>
    <row r="10992" spans="1:7" ht="58.5" customHeight="1" x14ac:dyDescent="0.25">
      <c r="A10992" s="5" t="str">
        <f>"H0037095"</f>
        <v>H0037095</v>
      </c>
      <c r="B10992" s="5" t="str">
        <f>"INFANTOMETRO"</f>
        <v>INFANTOMETRO</v>
      </c>
      <c r="C10992" s="6">
        <v>1191337.03</v>
      </c>
      <c r="D10992" s="5" t="s">
        <v>136</v>
      </c>
      <c r="E10992" s="5" t="str">
        <f t="shared" si="569"/>
        <v>BANCO DE LECHE-ESPERANZA MONCADA</v>
      </c>
      <c r="F10992" s="5"/>
      <c r="G10992" s="5"/>
    </row>
    <row r="10993" spans="1:7" ht="58.5" customHeight="1" x14ac:dyDescent="0.25">
      <c r="A10993" s="5" t="str">
        <f>"H0037106"</f>
        <v>H0037106</v>
      </c>
      <c r="B10993" s="5" t="str">
        <f>"BASCULA PESA BEBE MARCA SECA MODELO 374"</f>
        <v>BASCULA PESA BEBE MARCA SECA MODELO 374</v>
      </c>
      <c r="C10993" s="6">
        <v>3971069.02</v>
      </c>
      <c r="D10993" s="5" t="s">
        <v>136</v>
      </c>
      <c r="E10993" s="5" t="str">
        <f t="shared" si="569"/>
        <v>BANCO DE LECHE-ESPERANZA MONCADA</v>
      </c>
      <c r="F10993" s="5"/>
      <c r="G10993" s="5"/>
    </row>
    <row r="10994" spans="1:7" ht="58.5" customHeight="1" x14ac:dyDescent="0.25">
      <c r="A10994" s="5" t="str">
        <f>"H0037234"</f>
        <v>H0037234</v>
      </c>
      <c r="B10994" s="5" t="str">
        <f>"MICRO-CENTRIFUGA DIGITAL PARA HEMATOCRITO, REF HC-240"</f>
        <v>MICRO-CENTRIFUGA DIGITAL PARA HEMATOCRITO, REF HC-240</v>
      </c>
      <c r="C10994" s="6">
        <v>24514000</v>
      </c>
      <c r="D10994" s="5" t="s">
        <v>649</v>
      </c>
      <c r="E10994" s="5" t="str">
        <f t="shared" si="569"/>
        <v>BANCO DE LECHE-ESPERANZA MONCADA</v>
      </c>
      <c r="F10994" s="5"/>
      <c r="G10994" s="5"/>
    </row>
    <row r="10995" spans="1:7" ht="58.5" customHeight="1" x14ac:dyDescent="0.25">
      <c r="A10995" s="5" t="str">
        <f>"H0037563"</f>
        <v>H0037563</v>
      </c>
      <c r="B10995" s="5" t="str">
        <f>"CABINA (CAMARA) (CAMPANA) FLUJO LAMINAR"</f>
        <v>CABINA (CAMARA) (CAMPANA) FLUJO LAMINAR</v>
      </c>
      <c r="C10995" s="6">
        <v>66337026</v>
      </c>
      <c r="D10995" s="5" t="s">
        <v>590</v>
      </c>
      <c r="E10995" s="5" t="str">
        <f t="shared" si="569"/>
        <v>BANCO DE LECHE-ESPERANZA MONCADA</v>
      </c>
      <c r="F10995" s="5"/>
      <c r="G10995" s="5"/>
    </row>
    <row r="10996" spans="1:7" ht="58.5" customHeight="1" x14ac:dyDescent="0.25">
      <c r="A10996" s="5" t="str">
        <f>"H0037806"</f>
        <v>H0037806</v>
      </c>
      <c r="B10996" s="5" t="str">
        <f>"SILLA GERENTE NIZA MEC. BASCULANTE CON BRAZOS."</f>
        <v>SILLA GERENTE NIZA MEC. BASCULANTE CON BRAZOS.</v>
      </c>
      <c r="C10996" s="6">
        <v>710000.01</v>
      </c>
      <c r="D10996" s="5" t="s">
        <v>30</v>
      </c>
      <c r="E10996" s="5" t="str">
        <f t="shared" si="569"/>
        <v>BANCO DE LECHE-ESPERANZA MONCADA</v>
      </c>
      <c r="F10996" s="5"/>
      <c r="G10996" s="5"/>
    </row>
    <row r="10997" spans="1:7" ht="58.5" customHeight="1" x14ac:dyDescent="0.25">
      <c r="A10997" s="5" t="str">
        <f>"H0037807"</f>
        <v>H0037807</v>
      </c>
      <c r="B10997" s="5" t="str">
        <f>"SILLA GERENTE NIZA MEC. BASCULANTE CON BRAZOS."</f>
        <v>SILLA GERENTE NIZA MEC. BASCULANTE CON BRAZOS.</v>
      </c>
      <c r="C10997" s="6">
        <v>710000.01</v>
      </c>
      <c r="D10997" s="5" t="s">
        <v>30</v>
      </c>
      <c r="E10997" s="5" t="str">
        <f t="shared" si="569"/>
        <v>BANCO DE LECHE-ESPERANZA MONCADA</v>
      </c>
      <c r="F10997" s="5"/>
      <c r="G10997" s="5"/>
    </row>
    <row r="10998" spans="1:7" ht="58.5" customHeight="1" x14ac:dyDescent="0.25">
      <c r="A10998" s="5" t="str">
        <f>"H0038082"</f>
        <v>H0038082</v>
      </c>
      <c r="B10998" s="5" t="str">
        <f>"SILLA CAJERO KOPI"</f>
        <v>SILLA CAJERO KOPI</v>
      </c>
      <c r="C10998" s="6">
        <v>565000.01</v>
      </c>
      <c r="D10998" s="5" t="s">
        <v>30</v>
      </c>
      <c r="E10998" s="5" t="str">
        <f t="shared" si="569"/>
        <v>BANCO DE LECHE-ESPERANZA MONCADA</v>
      </c>
      <c r="F10998" s="5"/>
      <c r="G10998" s="5"/>
    </row>
    <row r="10999" spans="1:7" ht="58.5" customHeight="1" x14ac:dyDescent="0.25">
      <c r="A10999" s="5" t="str">
        <f>"H0038083"</f>
        <v>H0038083</v>
      </c>
      <c r="B10999" s="5" t="str">
        <f>"SILLA CAJERO KOPI"</f>
        <v>SILLA CAJERO KOPI</v>
      </c>
      <c r="C10999" s="6">
        <v>565000.01</v>
      </c>
      <c r="D10999" s="5" t="s">
        <v>30</v>
      </c>
      <c r="E10999" s="5" t="str">
        <f t="shared" si="569"/>
        <v>BANCO DE LECHE-ESPERANZA MONCADA</v>
      </c>
      <c r="F10999" s="5"/>
      <c r="G10999" s="5"/>
    </row>
    <row r="11000" spans="1:7" ht="58.5" customHeight="1" x14ac:dyDescent="0.25">
      <c r="A11000" s="5" t="str">
        <f>"H0038661"</f>
        <v>H0038661</v>
      </c>
      <c r="B11000" s="5" t="str">
        <f>"EXTRACTOR DE LECHE MATERNA ELÉCTRICO"</f>
        <v>EXTRACTOR DE LECHE MATERNA ELÉCTRICO</v>
      </c>
      <c r="C11000" s="6">
        <v>2522800</v>
      </c>
      <c r="D11000" s="5" t="s">
        <v>650</v>
      </c>
      <c r="E11000" s="5" t="str">
        <f t="shared" si="569"/>
        <v>BANCO DE LECHE-ESPERANZA MONCADA</v>
      </c>
      <c r="F11000" s="5"/>
      <c r="G11000" s="5"/>
    </row>
    <row r="11001" spans="1:7" ht="58.5" customHeight="1" x14ac:dyDescent="0.25">
      <c r="A11001" s="5" t="str">
        <f>"H0038662"</f>
        <v>H0038662</v>
      </c>
      <c r="B11001" s="5" t="str">
        <f>"EXTRACTOR DE LECHE MATERNA ELÉCTRICO"</f>
        <v>EXTRACTOR DE LECHE MATERNA ELÉCTRICO</v>
      </c>
      <c r="C11001" s="6">
        <v>2522800</v>
      </c>
      <c r="D11001" s="5" t="s">
        <v>650</v>
      </c>
      <c r="E11001" s="5" t="str">
        <f t="shared" si="569"/>
        <v>BANCO DE LECHE-ESPERANZA MONCADA</v>
      </c>
      <c r="F11001" s="5"/>
      <c r="G11001" s="5"/>
    </row>
    <row r="11002" spans="1:7" ht="58.5" customHeight="1" x14ac:dyDescent="0.25">
      <c r="A11002" s="5" t="str">
        <f>"H0038663"</f>
        <v>H0038663</v>
      </c>
      <c r="B11002" s="5" t="str">
        <f>"EXTRACTOR DE LECHE MATERNA ELÉCTRICO"</f>
        <v>EXTRACTOR DE LECHE MATERNA ELÉCTRICO</v>
      </c>
      <c r="C11002" s="6">
        <v>2522800</v>
      </c>
      <c r="D11002" s="5" t="s">
        <v>650</v>
      </c>
      <c r="E11002" s="5" t="str">
        <f t="shared" si="569"/>
        <v>BANCO DE LECHE-ESPERANZA MONCADA</v>
      </c>
      <c r="F11002" s="5"/>
      <c r="G11002" s="5"/>
    </row>
    <row r="11003" spans="1:7" ht="58.5" customHeight="1" x14ac:dyDescent="0.25">
      <c r="A11003" s="5" t="str">
        <f>"H0038682"</f>
        <v>H0038682</v>
      </c>
      <c r="B11003" s="5" t="str">
        <f>"BAÑO MARÍA PARA CALENTAMIENTO DE LECHE MATERNA Y FÓRMULA"</f>
        <v>BAÑO MARÍA PARA CALENTAMIENTO DE LECHE MATERNA Y FÓRMULA</v>
      </c>
      <c r="C11003" s="6">
        <v>9401000</v>
      </c>
      <c r="D11003" s="5" t="s">
        <v>204</v>
      </c>
      <c r="E11003" s="5" t="str">
        <f t="shared" si="569"/>
        <v>BANCO DE LECHE-ESPERANZA MONCADA</v>
      </c>
      <c r="F11003" s="5"/>
      <c r="G11003" s="5"/>
    </row>
    <row r="11004" spans="1:7" ht="58.5" customHeight="1" x14ac:dyDescent="0.25">
      <c r="A11004" s="5" t="str">
        <f>"H0038683"</f>
        <v>H0038683</v>
      </c>
      <c r="B11004" s="5" t="str">
        <f>"BAÑO MARÍA PARA CULTIVO Y SEROLOGÍA"</f>
        <v>BAÑO MARÍA PARA CULTIVO Y SEROLOGÍA</v>
      </c>
      <c r="C11004" s="6">
        <v>8330000</v>
      </c>
      <c r="D11004" s="5" t="s">
        <v>204</v>
      </c>
      <c r="E11004" s="5" t="str">
        <f t="shared" si="569"/>
        <v>BANCO DE LECHE-ESPERANZA MONCADA</v>
      </c>
      <c r="F11004" s="5"/>
      <c r="G11004" s="5"/>
    </row>
    <row r="11005" spans="1:7" ht="58.5" customHeight="1" x14ac:dyDescent="0.25">
      <c r="A11005" s="5" t="str">
        <f>"H0038684"</f>
        <v>H0038684</v>
      </c>
      <c r="B11005" s="5" t="str">
        <f>"SET DE EXTRACTOR DE USO HOSPITALARIO REUTILIZABLE"</f>
        <v>SET DE EXTRACTOR DE USO HOSPITALARIO REUTILIZABLE</v>
      </c>
      <c r="C11005" s="6">
        <v>20825000</v>
      </c>
      <c r="D11005" s="5" t="s">
        <v>204</v>
      </c>
      <c r="E11005" s="5" t="str">
        <f t="shared" si="569"/>
        <v>BANCO DE LECHE-ESPERANZA MONCADA</v>
      </c>
      <c r="F11005" s="5"/>
      <c r="G11005" s="5"/>
    </row>
    <row r="11006" spans="1:7" ht="58.5" customHeight="1" x14ac:dyDescent="0.25">
      <c r="A11006" s="5" t="str">
        <f>"H0038685"</f>
        <v>H0038685</v>
      </c>
      <c r="B11006" s="5" t="str">
        <f>"SET DE EXTRACTOR DE USO HOSPITALARIO REUTILIZABLE"</f>
        <v>SET DE EXTRACTOR DE USO HOSPITALARIO REUTILIZABLE</v>
      </c>
      <c r="C11006" s="6">
        <v>20825000</v>
      </c>
      <c r="D11006" s="5" t="s">
        <v>204</v>
      </c>
      <c r="E11006" s="5" t="str">
        <f t="shared" si="569"/>
        <v>BANCO DE LECHE-ESPERANZA MONCADA</v>
      </c>
      <c r="F11006" s="5"/>
      <c r="G11006" s="5"/>
    </row>
    <row r="11007" spans="1:7" ht="58.5" customHeight="1" x14ac:dyDescent="0.25">
      <c r="A11007" s="5" t="str">
        <f>"H0038686"</f>
        <v>H0038686</v>
      </c>
      <c r="B11007" s="5" t="str">
        <f>"SET DE EXTRACTOR DE USO HOSPITALARIO REUTILIZABLE"</f>
        <v>SET DE EXTRACTOR DE USO HOSPITALARIO REUTILIZABLE</v>
      </c>
      <c r="C11007" s="6">
        <v>20825000</v>
      </c>
      <c r="D11007" s="5" t="s">
        <v>204</v>
      </c>
      <c r="E11007" s="5" t="str">
        <f t="shared" si="569"/>
        <v>BANCO DE LECHE-ESPERANZA MONCADA</v>
      </c>
      <c r="F11007" s="5"/>
      <c r="G11007" s="5"/>
    </row>
    <row r="11008" spans="1:7" ht="58.5" customHeight="1" x14ac:dyDescent="0.25">
      <c r="A11008" s="5" t="str">
        <f>"H0038687"</f>
        <v>H0038687</v>
      </c>
      <c r="B11008" s="5" t="str">
        <f>"SET DE EXTRACTOR DE USO HOSPITALARIO REUTILIZABLE"</f>
        <v>SET DE EXTRACTOR DE USO HOSPITALARIO REUTILIZABLE</v>
      </c>
      <c r="C11008" s="6">
        <v>20825000</v>
      </c>
      <c r="D11008" s="5" t="s">
        <v>204</v>
      </c>
      <c r="E11008" s="5" t="str">
        <f t="shared" si="569"/>
        <v>BANCO DE LECHE-ESPERANZA MONCADA</v>
      </c>
      <c r="F11008" s="5"/>
      <c r="G11008" s="5"/>
    </row>
    <row r="11009" spans="1:7" ht="58.5" customHeight="1" x14ac:dyDescent="0.25">
      <c r="A11009" s="5" t="str">
        <f>"H0007823"</f>
        <v>H0007823</v>
      </c>
      <c r="B11009" s="5" t="str">
        <f>"SILLA PLASTICA CON BRAZOS"</f>
        <v>SILLA PLASTICA CON BRAZOS</v>
      </c>
      <c r="C11009" s="6">
        <v>14000</v>
      </c>
      <c r="D11009" s="5"/>
      <c r="E11009" s="5" t="str">
        <f t="shared" ref="E11009:E11040" si="570">"ACTISALUD-MADRE CANGURO-MARIA AUXILIADORA PERTUZ"</f>
        <v>ACTISALUD-MADRE CANGURO-MARIA AUXILIADORA PERTUZ</v>
      </c>
      <c r="F11009" s="5" t="str">
        <f>"Descripcion: SILLA PLASTICA BLANCA Estado: Bueno Placa anterior: 000005615 Material: PASTA Color: BLANCO Referencia:  Observacion:  Placa padre: Tipo adquisicion: Entidad"</f>
        <v>Descripcion: SILLA PLASTICA BLANCA Estado: Bueno Placa anterior: 000005615 Material: PASTA Color: BLANCO Referencia:  Observacion:  Placa padre: Tipo adquisicion: Entidad</v>
      </c>
      <c r="G11009" s="5"/>
    </row>
    <row r="11010" spans="1:7" ht="58.5" customHeight="1" x14ac:dyDescent="0.25">
      <c r="A11010" s="5" t="str">
        <f>"H0008810"</f>
        <v>H0008810</v>
      </c>
      <c r="B11010" s="5" t="str">
        <f>"COMPUTADOR DE MESA"</f>
        <v>COMPUTADOR DE MESA</v>
      </c>
      <c r="C11010" s="6">
        <v>1949999</v>
      </c>
      <c r="D11010" s="5" t="s">
        <v>519</v>
      </c>
      <c r="E11010" s="5" t="str">
        <f t="shared" si="570"/>
        <v>ACTISALUD-MADRE CANGURO-MARIA AUXILIADORA PERTUZ</v>
      </c>
      <c r="F11010" s="5" t="str">
        <f>"Descripcion: CPU CORE 3.2 GB 300 GB DISCO DURO O SUPERIOR MONITOR LCD 17 TECLADO MOUSE CON LICENCIA SISTEMA OPERATIVO Estado: Bueno Placa anterior: 000030179 Material: PLASTICO Color: NEGRO Referencia:  Observacion:  Placa anterior:, Placa nueva=H0008813,"&amp; " Descripcion:MOUSE OPTICO, Serial:590270-001, Marca:HP, Modelo:, Material:PLASTICO, Color:NEGRO,  Referencia:, Placa anterior:, Placa nueva=H0008812, Descripcion:TECLADO, Serial:14213969NF, Marca:COMPUMAX, Modelo:, Material:PLASTICO, Color:NEGRO,  Referen"&amp; "cia:, Placa anterior:, Placa nueva=H0008811, Descripcion:MONITOR LCD 19 , Serial:003TGS1S359, Marca:LG, Modelo:FLATRON W1742S, Material:PLASTICO, Color:NEGRO,  Referencia: Placa padre: Tipo adquisicion: Entidad"</f>
        <v>Descripcion: CPU CORE 3.2 GB 300 GB DISCO DURO O SUPERIOR MONITOR LCD 17 TECLADO MOUSE CON LICENCIA SISTEMA OPERATIVO Estado: Bueno Placa anterior: 000030179 Material: PLASTICO Color: NEGRO Referencia:  Observacion:  Placa anterior:, Placa nueva=H0008813, Descripcion:MOUSE OPTICO, Serial:590270-001, Marca:HP, Modelo:, Material:PLASTICO, Color:NEGRO,  Referencia:, Placa anterior:, Placa nueva=H0008812, Descripcion:TECLADO, Serial:14213969NF, Marca:COMPUMAX, Modelo:, Material:PLASTICO, Color:NEGRO,  Referencia:, Placa anterior:, Placa nueva=H0008811, Descripcion:MONITOR LCD 19 , Serial:003TGS1S359, Marca:LG, Modelo:FLATRON W1742S, Material:PLASTICO, Color:NEGRO,  Referencia: Placa padre: Tipo adquisicion: Entidad</v>
      </c>
      <c r="G11010" s="5"/>
    </row>
    <row r="11011" spans="1:7" ht="58.5" customHeight="1" x14ac:dyDescent="0.25">
      <c r="A11011" s="5" t="str">
        <f>"H0008869"</f>
        <v>H0008869</v>
      </c>
      <c r="B11011" s="5" t="str">
        <f>"SILLA INTERLOCUTORA (FIJA) CON BRAZOS"</f>
        <v>SILLA INTERLOCUTORA (FIJA) CON BRAZOS</v>
      </c>
      <c r="C11011" s="6">
        <v>5905.26</v>
      </c>
      <c r="D11011" s="5"/>
      <c r="E11011" s="5" t="str">
        <f t="shared" si="570"/>
        <v>ACTISALUD-MADRE CANGURO-MARIA AUXILIADORA PERTUZ</v>
      </c>
      <c r="F11011" s="5" t="str">
        <f>"Descripcion: SILLA EN MADERA TAPIZADA EN ASIENTO Y ESPALDAR CON BRAZOS Estado: Excelente Placa anterior: 000007938 Material: MADERA CON TAPIZADO EN SEMICUERO Color: AZUL CON MARRON Referencia:  Observacion:  Placa padre: Tipo adquisicion: Entidad"</f>
        <v>Descripcion: SILLA EN MADERA TAPIZADA EN ASIENTO Y ESPALDAR CON BRAZOS Estado: Excelente Placa anterior: 000007938 Material: MADERA CON TAPIZADO EN SEMICUERO Color: AZUL CON MARRON Referencia:  Observacion:  Placa padre: Tipo adquisicion: Entidad</v>
      </c>
      <c r="G11011" s="5"/>
    </row>
    <row r="11012" spans="1:7" ht="58.5" customHeight="1" x14ac:dyDescent="0.25">
      <c r="A11012" s="5" t="str">
        <f>"H0008870"</f>
        <v>H0008870</v>
      </c>
      <c r="B11012" s="5" t="str">
        <f>"SILLA INTERLOCUTORA (FIJA) CON BRAZOS"</f>
        <v>SILLA INTERLOCUTORA (FIJA) CON BRAZOS</v>
      </c>
      <c r="C11012" s="6">
        <v>5905.26</v>
      </c>
      <c r="D11012" s="5"/>
      <c r="E11012" s="5" t="str">
        <f t="shared" si="570"/>
        <v>ACTISALUD-MADRE CANGURO-MARIA AUXILIADORA PERTUZ</v>
      </c>
      <c r="F11012" s="5" t="str">
        <f>"Descripcion: SILLA EN MADERA TAPIZADA EN ASIENTO Y ESPALDAR CON BRAZOS Estado: Excelente Placa anterior: 000007937 Material: MADERA CON TAPIZADO EN SEMICUERO Color: AZUL CON MARRON Referencia:  Observacion:  Placa padre: Tipo adquisicion: Entidad"</f>
        <v>Descripcion: SILLA EN MADERA TAPIZADA EN ASIENTO Y ESPALDAR CON BRAZOS Estado: Excelente Placa anterior: 000007937 Material: MADERA CON TAPIZADO EN SEMICUERO Color: AZUL CON MARRON Referencia:  Observacion:  Placa padre: Tipo adquisicion: Entidad</v>
      </c>
      <c r="G11012" s="5"/>
    </row>
    <row r="11013" spans="1:7" ht="58.5" customHeight="1" x14ac:dyDescent="0.25">
      <c r="A11013" s="5" t="str">
        <f>"H0008871"</f>
        <v>H0008871</v>
      </c>
      <c r="B11013" s="5" t="str">
        <f>"SILLA INTERLOCUTORA (FIJA) CON BRAZOS"</f>
        <v>SILLA INTERLOCUTORA (FIJA) CON BRAZOS</v>
      </c>
      <c r="C11013" s="6">
        <v>5905.26</v>
      </c>
      <c r="D11013" s="5"/>
      <c r="E11013" s="5" t="str">
        <f t="shared" si="570"/>
        <v>ACTISALUD-MADRE CANGURO-MARIA AUXILIADORA PERTUZ</v>
      </c>
      <c r="F11013" s="5" t="str">
        <f>"Descripcion: SILLA EN MADERA TAPIZADA EN ASIENTO Y ESPALDAR CON BRAZOS Estado: Excelente Placa anterior: 000007940 Material: MADERA CON TAPIZADO EN SEMICUERO Color: AZUL CON MARRON Referencia:  Observacion:  Placa padre: Tipo adquisicion: Entidad"</f>
        <v>Descripcion: SILLA EN MADERA TAPIZADA EN ASIENTO Y ESPALDAR CON BRAZOS Estado: Excelente Placa anterior: 000007940 Material: MADERA CON TAPIZADO EN SEMICUERO Color: AZUL CON MARRON Referencia:  Observacion:  Placa padre: Tipo adquisicion: Entidad</v>
      </c>
      <c r="G11013" s="5"/>
    </row>
    <row r="11014" spans="1:7" ht="58.5" customHeight="1" x14ac:dyDescent="0.25">
      <c r="A11014" s="5" t="str">
        <f>"H0008872"</f>
        <v>H0008872</v>
      </c>
      <c r="B11014" s="5" t="str">
        <f>"SILLA ERGONOMICA TIPO SECRETARIA SIN BRAZOS"</f>
        <v>SILLA ERGONOMICA TIPO SECRETARIA SIN BRAZOS</v>
      </c>
      <c r="C11014" s="6">
        <v>322480</v>
      </c>
      <c r="D11014" s="5" t="s">
        <v>211</v>
      </c>
      <c r="E11014" s="5" t="str">
        <f t="shared" si="570"/>
        <v>ACTISALUD-MADRE CANGURO-MARIA AUXILIADORA PERTUZ</v>
      </c>
      <c r="F11014"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Excelente Placa anterior: 000032625 Material: PLASTICO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Excelente Placa anterior: 000032625 Material: PLASTICO Color: NEGRO Referencia:  Observacion:  Placa padre: Tipo adquisicion: Entidad</v>
      </c>
      <c r="G11014" s="5"/>
    </row>
    <row r="11015" spans="1:7" ht="58.5" customHeight="1" x14ac:dyDescent="0.25">
      <c r="A11015" s="5" t="str">
        <f>"H0008875"</f>
        <v>H0008875</v>
      </c>
      <c r="B11015" s="5" t="str">
        <f>"PESO PARA BEBE DIGITAL CON TALLIMETRO"</f>
        <v>PESO PARA BEBE DIGITAL CON TALLIMETRO</v>
      </c>
      <c r="C11015" s="6">
        <v>446600</v>
      </c>
      <c r="D11015" s="5" t="s">
        <v>651</v>
      </c>
      <c r="E11015" s="5" t="str">
        <f t="shared" si="570"/>
        <v>ACTISALUD-MADRE CANGURO-MARIA AUXILIADORA PERTUZ</v>
      </c>
      <c r="F11015" s="5" t="str">
        <f>"Descripcion: BALANZA PARA BEBES ELECTRONICA CON 5 A 10 G DE DIVISION DE ESCALA. CARGA MAXIMA DE 20 KILOGRAMOS Estado: Excelente Placa anterior: 000030713 Material: METALICO Color: BLANCO Referencia:  Observacion:  Placa padre: Tipo adquisicion: Entidad"</f>
        <v>Descripcion: BALANZA PARA BEBES ELECTRONICA CON 5 A 10 G DE DIVISION DE ESCALA. CARGA MAXIMA DE 20 KILOGRAMOS Estado: Excelente Placa anterior: 000030713 Material: METALICO Color: BLANCO Referencia:  Observacion:  Placa padre: Tipo adquisicion: Entidad</v>
      </c>
      <c r="G11015" s="5"/>
    </row>
    <row r="11016" spans="1:7" ht="58.5" customHeight="1" x14ac:dyDescent="0.25">
      <c r="A11016" s="5" t="str">
        <f>"H0008876"</f>
        <v>H0008876</v>
      </c>
      <c r="B11016" s="5" t="str">
        <f>"SILLA ERGONOMICA TIPO SECRETARIA SIN BRAZOS"</f>
        <v>SILLA ERGONOMICA TIPO SECRETARIA SIN BRAZOS</v>
      </c>
      <c r="C11016" s="6">
        <v>322480</v>
      </c>
      <c r="D11016" s="5" t="s">
        <v>211</v>
      </c>
      <c r="E11016" s="5" t="str">
        <f t="shared" si="570"/>
        <v>ACTISALUD-MADRE CANGURO-MARIA AUXILIADORA PERTUZ</v>
      </c>
      <c r="F11016"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Excelente Placa anterior: 000032623 Material: PLASTICO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Excelente Placa anterior: 000032623 Material: PLASTICO Color: NEGRO Referencia:  Observacion:  Placa padre: Tipo adquisicion: Entidad</v>
      </c>
      <c r="G11016" s="5"/>
    </row>
    <row r="11017" spans="1:7" ht="58.5" customHeight="1" x14ac:dyDescent="0.25">
      <c r="A11017" s="5" t="str">
        <f>"H0008877"</f>
        <v>H0008877</v>
      </c>
      <c r="B11017" s="5" t="str">
        <f>"SILLA ERGONOMICA TIPO SECRETARIA SIN BRAZOS"</f>
        <v>SILLA ERGONOMICA TIPO SECRETARIA SIN BRAZOS</v>
      </c>
      <c r="C11017" s="6">
        <v>322480</v>
      </c>
      <c r="D11017" s="5" t="s">
        <v>211</v>
      </c>
      <c r="E11017" s="5" t="str">
        <f t="shared" si="570"/>
        <v>ACTISALUD-MADRE CANGURO-MARIA AUXILIADORA PERTUZ</v>
      </c>
      <c r="F11017" s="5" t="str">
        <f>"Descripcion: Silla ergonomica con soporte lumbar cascada frontal en el asiento Elaborada en polipropileno inyectado con espaldar medio y apoyo lumbar asiento anatomico con cascada amplia en el borde delantero del asiento.Ajuste neumatico de altura, contro"&amp; "lador de pal Estado: Excelente Placa anterior: 000032624 Material: PLASTICO Color: NEGRO Referencia:  Observacion:  Placa padre: Tipo adquisicion: Entidad"</f>
        <v>Descripcion: Silla ergonomica con soporte lumbar cascada frontal en el asiento Elaborada en polipropileno inyectado con espaldar medio y apoyo lumbar asiento anatomico con cascada amplia en el borde delantero del asiento.Ajuste neumatico de altura, controlador de pal Estado: Excelente Placa anterior: 000032624 Material: PLASTICO Color: NEGRO Referencia:  Observacion:  Placa padre: Tipo adquisicion: Entidad</v>
      </c>
      <c r="G11017" s="5"/>
    </row>
    <row r="11018" spans="1:7" ht="58.5" customHeight="1" x14ac:dyDescent="0.25">
      <c r="A11018" s="5" t="str">
        <f>"H0008879"</f>
        <v>H0008879</v>
      </c>
      <c r="B11018" s="5" t="str">
        <f>"LOCKER DE 12 COMPARTIMIENTOS"</f>
        <v>LOCKER DE 12 COMPARTIMIENTOS</v>
      </c>
      <c r="C11018" s="6">
        <v>770000</v>
      </c>
      <c r="D11018" s="5" t="s">
        <v>383</v>
      </c>
      <c r="E11018" s="5" t="str">
        <f t="shared" si="570"/>
        <v>ACTISALUD-MADRE CANGURO-MARIA AUXILIADORA PERTUZ</v>
      </c>
      <c r="F11018" s="5" t="str">
        <f>"Descripcion: LOCKER DE 2 CUERPOS CON 12 COMPARTIMIENTOS Estado: Excelente Placa anterior:  Material: METALICO Color: BEIGE Referencia:  Observacion:  Placa padre: Tipo adquisicion: Entidad"</f>
        <v>Descripcion: LOCKER DE 2 CUERPOS CON 12 COMPARTIMIENTOS Estado: Excelente Placa anterior:  Material: METALICO Color: BEIGE Referencia:  Observacion:  Placa padre: Tipo adquisicion: Entidad</v>
      </c>
      <c r="G11018" s="5"/>
    </row>
    <row r="11019" spans="1:7" ht="58.5" customHeight="1" x14ac:dyDescent="0.25">
      <c r="A11019" s="5" t="str">
        <f>"H0008880"</f>
        <v>H0008880</v>
      </c>
      <c r="B11019" s="5" t="str">
        <f>"TABLERO ACRILICO"</f>
        <v>TABLERO ACRILICO</v>
      </c>
      <c r="C11019" s="6">
        <v>72500</v>
      </c>
      <c r="D11019" s="5"/>
      <c r="E11019" s="5" t="str">
        <f t="shared" si="570"/>
        <v>ACTISALUD-MADRE CANGURO-MARIA AUXILIADORA PERTUZ</v>
      </c>
      <c r="F11019" s="5" t="str">
        <f>"Descripcion: TABLERO ACRILICO MEDIDAS: 81X123CM Estado: Excelente Placa anterior: 000036847 Material: METALICO  Color: BLANCO Referencia:  Observacion:  Placa padre: Tipo adquisicion: Entidad"</f>
        <v>Descripcion: TABLERO ACRILICO MEDIDAS: 81X123CM Estado: Excelente Placa anterior: 000036847 Material: METALICO  Color: BLANCO Referencia:  Observacion:  Placa padre: Tipo adquisicion: Entidad</v>
      </c>
      <c r="G11019" s="5"/>
    </row>
    <row r="11020" spans="1:7" ht="58.5" customHeight="1" x14ac:dyDescent="0.25">
      <c r="A11020" s="5" t="str">
        <f>"H0008883"</f>
        <v>H0008883</v>
      </c>
      <c r="B11020" s="5" t="str">
        <f>"COMPUTADOR PORTATIL"</f>
        <v>COMPUTADOR PORTATIL</v>
      </c>
      <c r="C11020" s="6">
        <v>1900000</v>
      </c>
      <c r="D11020" s="5" t="s">
        <v>168</v>
      </c>
      <c r="E11020" s="5" t="str">
        <f t="shared" si="570"/>
        <v>ACTISALUD-MADRE CANGURO-MARIA AUXILIADORA PERTUZ</v>
      </c>
      <c r="F11020" s="5" t="str">
        <f>"Descripcion: COMPUTADOR PORTATIL PROCESADOR CORE 15, MEMORIA RAM DE 4GB, DD DE 1TB PANTALLA DE 14 UNIDAD CON QUEMADOR DE DVD WINDOWS 8 PRO Y GARANTIA DE 1 AÑO Estado: Excelente Placa anterior: 000036840 Material:  Color: NEGRO Referencia:  Observacion:  P"&amp; "laca padre: Tipo adquisicion: Entidad"</f>
        <v>Descripcion: COMPUTADOR PORTATIL PROCESADOR CORE 15, MEMORIA RAM DE 4GB, DD DE 1TB PANTALLA DE 14 UNIDAD CON QUEMADOR DE DVD WINDOWS 8 PRO Y GARANTIA DE 1 AÑO Estado: Excelente Placa anterior: 000036840 Material:  Color: NEGRO Referencia:  Observacion:  Placa padre: Tipo adquisicion: Entidad</v>
      </c>
      <c r="G11020" s="5" t="str">
        <f>"240G4"</f>
        <v>240G4</v>
      </c>
    </row>
    <row r="11021" spans="1:7" ht="58.5" customHeight="1" x14ac:dyDescent="0.25">
      <c r="A11021" s="5" t="str">
        <f>"H0008884"</f>
        <v>H0008884</v>
      </c>
      <c r="B11021" s="5" t="str">
        <f>"COMPUTADOR PORTATIL"</f>
        <v>COMPUTADOR PORTATIL</v>
      </c>
      <c r="C11021" s="6">
        <v>1900000</v>
      </c>
      <c r="D11021" s="5" t="s">
        <v>168</v>
      </c>
      <c r="E11021" s="5" t="str">
        <f t="shared" si="570"/>
        <v>ACTISALUD-MADRE CANGURO-MARIA AUXILIADORA PERTUZ</v>
      </c>
      <c r="F11021" s="5" t="str">
        <f>"Descripcion: COMPUTADOR PORTATIL PROCESADOR CORE 15, MEMORIA RAM DE 4GB, DD DE 1TB PANTALLA DE 14 UNIDAD CON QUEMADOR DE DVD WINDOWS 8 PRO Y GARANTIA DE 1 AÑO Estado: Excelente Placa anterior: 000036841 Material:  Color: NEGRO Referencia:  Observacion:  P"&amp; "laca padre: Tipo adquisicion: Entidad"</f>
        <v>Descripcion: COMPUTADOR PORTATIL PROCESADOR CORE 15, MEMORIA RAM DE 4GB, DD DE 1TB PANTALLA DE 14 UNIDAD CON QUEMADOR DE DVD WINDOWS 8 PRO Y GARANTIA DE 1 AÑO Estado: Excelente Placa anterior: 000036841 Material:  Color: NEGRO Referencia:  Observacion:  Placa padre: Tipo adquisicion: Entidad</v>
      </c>
      <c r="G11021" s="5" t="str">
        <f>"240G4"</f>
        <v>240G4</v>
      </c>
    </row>
    <row r="11022" spans="1:7" ht="58.5" customHeight="1" x14ac:dyDescent="0.25">
      <c r="A11022" s="5" t="str">
        <f>"H0008885"</f>
        <v>H0008885</v>
      </c>
      <c r="B11022" s="5" t="str">
        <f>"COMPUTADOR PORTATIL"</f>
        <v>COMPUTADOR PORTATIL</v>
      </c>
      <c r="C11022" s="6">
        <v>1900000</v>
      </c>
      <c r="D11022" s="5" t="s">
        <v>168</v>
      </c>
      <c r="E11022" s="5" t="str">
        <f t="shared" si="570"/>
        <v>ACTISALUD-MADRE CANGURO-MARIA AUXILIADORA PERTUZ</v>
      </c>
      <c r="F11022" s="5" t="str">
        <f>"Descripcion: COMPUTADOR PORTATIL PROCESADOR CORE 15, MEMORIA RAM DE 4GB, DD DE 1TB PANTALLA DE 14 UNIDAD CON QUEMADOR DE DVD WINDOWS 8 PRO Y GARANTIA DE 1 AÑO Estado: Excelente Placa anterior: 000036839 Material:  Color: NEGRO Referencia:  Observacion:  P"&amp; "laca padre: Tipo adquisicion: Entidad"</f>
        <v>Descripcion: COMPUTADOR PORTATIL PROCESADOR CORE 15, MEMORIA RAM DE 4GB, DD DE 1TB PANTALLA DE 14 UNIDAD CON QUEMADOR DE DVD WINDOWS 8 PRO Y GARANTIA DE 1 AÑO Estado: Excelente Placa anterior: 000036839 Material:  Color: NEGRO Referencia:  Observacion:  Placa padre: Tipo adquisicion: Entidad</v>
      </c>
      <c r="G11022" s="5" t="str">
        <f>"240G4"</f>
        <v>240G4</v>
      </c>
    </row>
    <row r="11023" spans="1:7" ht="58.5" customHeight="1" x14ac:dyDescent="0.25">
      <c r="A11023" s="5" t="str">
        <f>"H0008901"</f>
        <v>H0008901</v>
      </c>
      <c r="B11023" s="5" t="str">
        <f>"MESA DE MADERA PARA COMPUTADOR"</f>
        <v>MESA DE MADERA PARA COMPUTADOR</v>
      </c>
      <c r="C11023" s="6">
        <v>194717.6</v>
      </c>
      <c r="D11023" s="5"/>
      <c r="E11023" s="5" t="str">
        <f t="shared" si="570"/>
        <v>ACTISALUD-MADRE CANGURO-MARIA AUXILIADORA PERTUZ</v>
      </c>
      <c r="F11023" s="5" t="str">
        <f>"Descripcion: MESA PARA COMPUTADOR EN MADERA CON 1 GAVETA  MEDIDAS: 75X111X70CM Estado: Bueno Placa anterior: 000008455 Material: MADERA Color: NEGRO CON BEIGE  Referencia:  Observacion:  Placa padre: Tipo adquisicion: Entidad"</f>
        <v>Descripcion: MESA PARA COMPUTADOR EN MADERA CON 1 GAVETA  MEDIDAS: 75X111X70CM Estado: Bueno Placa anterior: 000008455 Material: MADERA Color: NEGRO CON BEIGE  Referencia:  Observacion:  Placa padre: Tipo adquisicion: Entidad</v>
      </c>
      <c r="G11023" s="5"/>
    </row>
    <row r="11024" spans="1:7" ht="58.5" customHeight="1" x14ac:dyDescent="0.25">
      <c r="A11024" s="5" t="str">
        <f>"H0008907"</f>
        <v>H0008907</v>
      </c>
      <c r="B11024" s="5" t="str">
        <f>"COMPUTADOR TODO EN UNO"</f>
        <v>COMPUTADOR TODO EN UNO</v>
      </c>
      <c r="C11024" s="6">
        <v>1200000</v>
      </c>
      <c r="D11024" s="5" t="s">
        <v>2</v>
      </c>
      <c r="E11024" s="5" t="str">
        <f t="shared" si="570"/>
        <v>ACTISALUD-MADRE CANGURO-MARIA AUXILIADORA PERTUZ</v>
      </c>
      <c r="F11024"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000030788 Material: PLASTICO Color: NEGRO Referencia:  Observacion:  Placa anterior:, Placa nueva=H0008909, Descripcion:MOUSE OPTICO, Serial:X812824-002, Marca:MICROSOFT, Modelo:, Material:PLASTICO, Color:NEGRO, "&amp; " Referencia:, Placa anterior:, Placa nueva=H0008908, Descripcion:TECLADO, Serial:BCZZN0BVB4C34O, Marca:HP, Modelo:, Material:PLASTICO, Color:NEGRO,  Referencia: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000030788 Material: PLASTICO Color: NEGRO Referencia:  Observacion:  Placa anterior:, Placa nueva=H0008909, Descripcion:MOUSE OPTICO, Serial:X812824-002, Marca:MICROSOFT, Modelo:, Material:PLASTICO, Color:NEGRO,  Referencia:, Placa anterior:, Placa nueva=H0008908, Descripcion:TECLADO, Serial:BCZZN0BVB4C34O, Marca:HP, Modelo:, Material:PLASTICO, Color:NEGRO,  Referencia: Placa padre: Tipo adquisicion: Entidad</v>
      </c>
      <c r="G11024" s="5" t="str">
        <f>"COMPAQ PRO 4300"</f>
        <v>COMPAQ PRO 4300</v>
      </c>
    </row>
    <row r="11025" spans="1:7" ht="58.5" customHeight="1" x14ac:dyDescent="0.25">
      <c r="A11025" s="5" t="str">
        <f>"H0010250"</f>
        <v>H0010250</v>
      </c>
      <c r="B11025" s="5" t="str">
        <f>"SILLA INTERLOCUTORA (FIJA) CON BRAZOS"</f>
        <v>SILLA INTERLOCUTORA (FIJA) CON BRAZOS</v>
      </c>
      <c r="C11025" s="6">
        <v>265901</v>
      </c>
      <c r="D11025" s="5" t="s">
        <v>209</v>
      </c>
      <c r="E11025" s="5" t="str">
        <f t="shared" si="570"/>
        <v>ACTISALUD-MADRE CANGURO-MARIA AUXILIADORA PERTUZ</v>
      </c>
      <c r="F11025" s="5" t="str">
        <f>"Descripcion: SILLA FIJA CON BRAZO COLOR NEGRASilla de esldar alto fija de contextura ancha con brazos elaborado en material sintetico de alta resistencia de facil limpieza y permite el uso de agua y jabon Estado: Bueno Placa anterior: 000030652 Material: "&amp; "METALICO, PLASTICO Y CUERO Color: NEGRO Referencia:  Observacion:  Placa padre: Tipo adquisicion: Donacion"</f>
        <v>Descripcion: SILLA FIJA CON BRAZO COLOR NEGRASilla de esldar alto fija de contextura ancha con brazos elaborado en material sintetico de alta resistencia de facil limpieza y permite el uso de agua y jabon Estado: Bueno Placa anterior: 000030652 Material: METALICO, PLASTICO Y CUERO Color: NEGRO Referencia:  Observacion:  Placa padre: Tipo adquisicion: Donacion</v>
      </c>
      <c r="G11025" s="5"/>
    </row>
    <row r="11026" spans="1:7" ht="58.5" customHeight="1" x14ac:dyDescent="0.25">
      <c r="A11026" s="5" t="str">
        <f>"H0010253"</f>
        <v>H0010253</v>
      </c>
      <c r="B11026" s="5" t="str">
        <f>"SILLA ERGONOMICA TIPO GERENTE CON BRAZOS"</f>
        <v>SILLA ERGONOMICA TIPO GERENTE CON BRAZOS</v>
      </c>
      <c r="C11026" s="6">
        <v>200680</v>
      </c>
      <c r="D11026" s="5" t="s">
        <v>642</v>
      </c>
      <c r="E11026" s="5" t="str">
        <f t="shared" si="570"/>
        <v>ACTISALUD-MADRE CANGURO-MARIA AUXILIADORA PERTUZ</v>
      </c>
      <c r="F11026" s="5" t="str">
        <f>"Descripcion: SILLA TIPO GERENTE, CON BRAZOS Estado: Bueno Placa anterior: 000036307 Material: METALICO, PLASTICO Y CUERO Color: NEGRO Referencia:  Observacion:  Placa padre: Tipo adquisicion: Donacion"</f>
        <v>Descripcion: SILLA TIPO GERENTE, CON BRAZOS Estado: Bueno Placa anterior: 000036307 Material: METALICO, PLASTICO Y CUERO Color: NEGRO Referencia:  Observacion:  Placa padre: Tipo adquisicion: Donacion</v>
      </c>
      <c r="G11026" s="5"/>
    </row>
    <row r="11027" spans="1:7" ht="58.5" customHeight="1" x14ac:dyDescent="0.25">
      <c r="A11027" s="5" t="str">
        <f>"H0010299"</f>
        <v>H0010299</v>
      </c>
      <c r="B11027" s="5" t="str">
        <f>"ESCRITORIO METALICO 1 GAVETA"</f>
        <v>ESCRITORIO METALICO 1 GAVETA</v>
      </c>
      <c r="C11027" s="6">
        <v>15682.33</v>
      </c>
      <c r="D11027" s="5" t="s">
        <v>214</v>
      </c>
      <c r="E11027" s="5" t="str">
        <f t="shared" si="570"/>
        <v>ACTISALUD-MADRE CANGURO-MARIA AUXILIADORA PERTUZ</v>
      </c>
      <c r="F11027" s="5" t="str">
        <f>"Descripcion: ESCRITORIO 1 GAVETA;  Estado: Bueno;  Material: METALICA-FORMICA;  Color: GRIS;"</f>
        <v>Descripcion: ESCRITORIO 1 GAVETA;  Estado: Bueno;  Material: METALICA-FORMICA;  Color: GRIS;</v>
      </c>
      <c r="G11027" s="5"/>
    </row>
    <row r="11028" spans="1:7" ht="58.5" customHeight="1" x14ac:dyDescent="0.25">
      <c r="A11028" s="5" t="str">
        <f>"H0010305"</f>
        <v>H0010305</v>
      </c>
      <c r="B11028" s="5" t="str">
        <f>"EQUIPO ORGANOS DE LOS SENTIDOS PORTATIL"</f>
        <v>EQUIPO ORGANOS DE LOS SENTIDOS PORTATIL</v>
      </c>
      <c r="C11028" s="6">
        <v>440696</v>
      </c>
      <c r="D11028" s="5" t="s">
        <v>652</v>
      </c>
      <c r="E11028" s="5" t="str">
        <f t="shared" si="570"/>
        <v>ACTISALUD-MADRE CANGURO-MARIA AUXILIADORA PERTUZ</v>
      </c>
      <c r="F11028" s="5" t="str">
        <f>"Descripcion: EQUIPO ORGANOS DE LOS SENTIDOS REF.95001 LOTE 8200199935 Estado: Bueno Placa anterior: 000031896 Material: ACERO INOXIDABLE Color: PLATEADO Y NEGRO Referencia:  Observacion: FUNCIONARIO AUTORIZA SE CONCILIE CON PLACA 000031896 Placa padre: Ti"&amp; "po adquisicion: Entidad"</f>
        <v>Descripcion: EQUIPO ORGANOS DE LOS SENTIDOS REF.95001 LOTE 8200199935 Estado: Bueno Placa anterior: 000031896 Material: ACERO INOXIDABLE Color: PLATEADO Y NEGRO Referencia:  Observacion: FUNCIONARIO AUTORIZA SE CONCILIE CON PLACA 000031896 Placa padre: Tipo adquisicion: Entidad</v>
      </c>
      <c r="G11028" s="5"/>
    </row>
    <row r="11029" spans="1:7" ht="58.5" customHeight="1" x14ac:dyDescent="0.25">
      <c r="A11029" s="5" t="str">
        <f>"H0010306"</f>
        <v>H0010306</v>
      </c>
      <c r="B11029" s="5" t="str">
        <f>"OXIMETRO"</f>
        <v>OXIMETRO</v>
      </c>
      <c r="C11029" s="6">
        <v>526350</v>
      </c>
      <c r="D11029" s="5" t="s">
        <v>652</v>
      </c>
      <c r="E11029" s="5" t="str">
        <f t="shared" si="570"/>
        <v>ACTISALUD-MADRE CANGURO-MARIA AUXILIADORA PERTUZ</v>
      </c>
      <c r="F11029" s="5" t="str">
        <f>"Descripcion: OXIMETRO H100B PULSO SENSORES NEONATALES+ 316036M14400080081 Estado: Bueno Placa anterior: 000031898 Material: PASTA Color:  Referencia:  Observacion: FUNCIONARIO AUTORIZA SE CONCILIE CON PLACA 000031898 Placa padre: Tipo adquisicion: Entidad"&amp; ""</f>
        <v>Descripcion: OXIMETRO H100B PULSO SENSORES NEONATALES+ 316036M14400080081 Estado: Bueno Placa anterior: 000031898 Material: PASTA Color:  Referencia:  Observacion: FUNCIONARIO AUTORIZA SE CONCILIE CON PLACA 000031898 Placa padre: Tipo adquisicion: Entidad</v>
      </c>
      <c r="G11029" s="5"/>
    </row>
    <row r="11030" spans="1:7" ht="58.5" customHeight="1" x14ac:dyDescent="0.25">
      <c r="A11030" s="5" t="str">
        <f>"H0013086"</f>
        <v>H0013086</v>
      </c>
      <c r="B11030" s="5" t="str">
        <f>"SILLA TANDEM DE 3 PUESTOS"</f>
        <v>SILLA TANDEM DE 3 PUESTOS</v>
      </c>
      <c r="C11030" s="6">
        <v>18141.38</v>
      </c>
      <c r="D11030" s="5"/>
      <c r="E11030" s="5" t="str">
        <f t="shared" si="570"/>
        <v>ACTISALUD-MADRE CANGURO-MARIA AUXILIADORA PERTUZ</v>
      </c>
      <c r="F11030" s="5" t="str">
        <f>"Descripcion: . Estado: Bueno Placa anterior: 000015333 Material: PASTA Color: VERDE Referencia:  Observacion: AUTORIZADO CONCILIAR EN CRUCE GENERAL Placa padre: Tipo adquisicion: Entidad"</f>
        <v>Descripcion: . Estado: Bueno Placa anterior: 000015333 Material: PASTA Color: VERDE Referencia:  Observacion: AUTORIZADO CONCILIAR EN CRUCE GENERAL Placa padre: Tipo adquisicion: Entidad</v>
      </c>
      <c r="G11030" s="5"/>
    </row>
    <row r="11031" spans="1:7" ht="58.5" customHeight="1" x14ac:dyDescent="0.25">
      <c r="A11031" s="5" t="str">
        <f>"H0017134"</f>
        <v>H0017134</v>
      </c>
      <c r="B11031" s="5" t="str">
        <f>"CARRO DE PARO"</f>
        <v>CARRO DE PARO</v>
      </c>
      <c r="C11031" s="6">
        <v>100000</v>
      </c>
      <c r="D11031" s="5"/>
      <c r="E11031" s="5" t="str">
        <f t="shared" si="570"/>
        <v>ACTISALUD-MADRE CANGURO-MARIA AUXILIADORA PERTUZ</v>
      </c>
      <c r="F11031" s="5" t="str">
        <f>"Descripcion:CARRO DE PARO Estado: Excelente Placa anterior: 000036457 Material: METAL Color: BEIGE Referencia:  Observacion:  Placa padre:  Tipo adquisicion : Donacion"</f>
        <v>Descripcion:CARRO DE PARO Estado: Excelente Placa anterior: 000036457 Material: METAL Color: BEIGE Referencia:  Observacion:  Placa padre:  Tipo adquisicion : Donacion</v>
      </c>
      <c r="G11031" s="5"/>
    </row>
    <row r="11032" spans="1:7" ht="58.5" customHeight="1" x14ac:dyDescent="0.25">
      <c r="A11032" s="5" t="str">
        <f>"H0018325"</f>
        <v>H0018325</v>
      </c>
      <c r="B11032" s="5" t="str">
        <f>"MONITOR LCD"</f>
        <v>MONITOR LCD</v>
      </c>
      <c r="C11032" s="6">
        <v>760000</v>
      </c>
      <c r="D11032" s="5"/>
      <c r="E11032" s="5" t="str">
        <f t="shared" si="570"/>
        <v>ACTISALUD-MADRE CANGURO-MARIA AUXILIADORA PERTUZ</v>
      </c>
      <c r="F11032" s="5" t="str">
        <f>"Descripcion:MONITOR LCD DE 17 O SUPERIOR Estado: Bueno Placa anterior: 000029316 Material: PLASTICO Color: NEGRO Referencia:  Observacion: ESTAN PARA TRASLADAR A ALMACEN POR CAMBIO DE TECNOLOGIA Placa padre:  Tipo adquisicion : Entidad"</f>
        <v>Descripcion:MONITOR LCD DE 17 O SUPERIOR Estado: Bueno Placa anterior: 000029316 Material: PLASTICO Color: NEGRO Referencia:  Observacion: ESTAN PARA TRASLADAR A ALMACEN POR CAMBIO DE TECNOLOGIA Placa padre:  Tipo adquisicion : Entidad</v>
      </c>
      <c r="G11032" s="5"/>
    </row>
    <row r="11033" spans="1:7" ht="58.5" customHeight="1" x14ac:dyDescent="0.25">
      <c r="A11033" s="5" t="str">
        <f>"H0021457"</f>
        <v>H0021457</v>
      </c>
      <c r="B11033" s="5" t="s">
        <v>654</v>
      </c>
      <c r="C11033" s="6">
        <v>1600000</v>
      </c>
      <c r="D11033" s="5" t="s">
        <v>653</v>
      </c>
      <c r="E11033" s="5" t="str">
        <f t="shared" si="570"/>
        <v>ACTISALUD-MADRE CANGURO-MARIA AUXILIADORA PERTUZ</v>
      </c>
      <c r="F11033" s="5"/>
      <c r="G11033" s="5"/>
    </row>
    <row r="11034" spans="1:7" ht="58.5" customHeight="1" x14ac:dyDescent="0.25">
      <c r="A11034" s="5" t="str">
        <f>"H0021895"</f>
        <v>H0021895</v>
      </c>
      <c r="B11034" s="5" t="str">
        <f>"FONENDOSCOPIO (ESTETOSCOPIO) PEDIATRICO"</f>
        <v>FONENDOSCOPIO (ESTETOSCOPIO) PEDIATRICO</v>
      </c>
      <c r="C11034" s="6">
        <v>324800</v>
      </c>
      <c r="D11034" s="5"/>
      <c r="E11034" s="5" t="str">
        <f t="shared" si="570"/>
        <v>ACTISALUD-MADRE CANGURO-MARIA AUXILIADORA PERTUZ</v>
      </c>
      <c r="F11034" s="5" t="str">
        <f>"Descripcion: FONENDOSCOPIO NEONATAL Y PEDIATRICO Estado: Bueno Placa anterior: 000030715 Material:  Color:  Referencia:  Observacion:  Placa padre: Tipo adquisicion: Entidad"</f>
        <v>Descripcion: FONENDOSCOPIO NEONATAL Y PEDIATRICO Estado: Bueno Placa anterior: 000030715 Material:  Color:  Referencia:  Observacion:  Placa padre: Tipo adquisicion: Entidad</v>
      </c>
      <c r="G11034" s="5"/>
    </row>
    <row r="11035" spans="1:7" ht="58.5" customHeight="1" x14ac:dyDescent="0.25">
      <c r="A11035" s="5" t="str">
        <f>"H0024146"</f>
        <v>H0024146</v>
      </c>
      <c r="B11035" s="5" t="str">
        <f>"EXTINTORES 3700 grs DE AGENTE LIMPIO"</f>
        <v>EXTINTORES 3700 grs DE AGENTE LIMPIO</v>
      </c>
      <c r="C11035" s="6">
        <v>330000.01</v>
      </c>
      <c r="D11035" s="5" t="s">
        <v>458</v>
      </c>
      <c r="E11035" s="5" t="str">
        <f t="shared" si="570"/>
        <v>ACTISALUD-MADRE CANGURO-MARIA AUXILIADORA PERTUZ</v>
      </c>
      <c r="F11035" s="5"/>
      <c r="G11035" s="5"/>
    </row>
    <row r="11036" spans="1:7" ht="58.5" customHeight="1" x14ac:dyDescent="0.25">
      <c r="A11036" s="5" t="str">
        <f>"H0024963"</f>
        <v>H0024963</v>
      </c>
      <c r="B11036" s="5"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C11036" s="6">
        <v>100920</v>
      </c>
      <c r="D11036" s="5" t="s">
        <v>644</v>
      </c>
      <c r="E11036" s="5" t="str">
        <f t="shared" si="570"/>
        <v>ACTISALUD-MADRE CANGURO-MARIA AUXILIADORA PERTUZ</v>
      </c>
      <c r="F11036" s="5"/>
      <c r="G11036" s="5"/>
    </row>
    <row r="11037" spans="1:7" ht="58.5" customHeight="1" x14ac:dyDescent="0.25">
      <c r="A11037" s="5" t="str">
        <f>"H0024964"</f>
        <v>H0024964</v>
      </c>
      <c r="B11037" s="5" t="str">
        <f>"SILLAS INTERLOCUTORAS FIJAS CON TUBO DE 15x30 REFORZADA, PINTURA ELECTROSTATICA, ESPALDAR Y ASIENTO EN POLIPROPILENOno, tapones antiresbalantes"</f>
        <v>SILLAS INTERLOCUTORAS FIJAS CON TUBO DE 15x30 REFORZADA, PINTURA ELECTROSTATICA, ESPALDAR Y ASIENTO EN POLIPROPILENOno, tapones antiresbalantes</v>
      </c>
      <c r="C11037" s="6">
        <v>100920</v>
      </c>
      <c r="D11037" s="5" t="s">
        <v>644</v>
      </c>
      <c r="E11037" s="5" t="str">
        <f t="shared" si="570"/>
        <v>ACTISALUD-MADRE CANGURO-MARIA AUXILIADORA PERTUZ</v>
      </c>
      <c r="F11037" s="5"/>
      <c r="G11037" s="5"/>
    </row>
    <row r="11038" spans="1:7" ht="58.5" customHeight="1" x14ac:dyDescent="0.25">
      <c r="A11038" s="5" t="str">
        <f>"H0025412"</f>
        <v>H0025412</v>
      </c>
      <c r="B1103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038" s="6">
        <v>312156</v>
      </c>
      <c r="D11038" s="5" t="s">
        <v>10</v>
      </c>
      <c r="E11038" s="5" t="str">
        <f t="shared" si="570"/>
        <v>ACTISALUD-MADRE CANGURO-MARIA AUXILIADORA PERTUZ</v>
      </c>
      <c r="F11038" s="5"/>
      <c r="G11038" s="5"/>
    </row>
    <row r="11039" spans="1:7" ht="58.5" customHeight="1" x14ac:dyDescent="0.25">
      <c r="A11039" s="5" t="str">
        <f>"H0025740"</f>
        <v>H0025740</v>
      </c>
      <c r="B11039" s="5" t="str">
        <f>"AIRE ACONDICIONADO UCA 36 KBTU R4410A S12 ON OFF 220V S12 DAIKIN"</f>
        <v>AIRE ACONDICIONADO UCA 36 KBTU R4410A S12 ON OFF 220V S12 DAIKIN</v>
      </c>
      <c r="C11039" s="6">
        <v>1756440</v>
      </c>
      <c r="D11039" s="5" t="s">
        <v>73</v>
      </c>
      <c r="E11039" s="5" t="str">
        <f t="shared" si="570"/>
        <v>ACTISALUD-MADRE CANGURO-MARIA AUXILIADORA PERTUZ</v>
      </c>
      <c r="F11039" s="5"/>
      <c r="G11039" s="5" t="str">
        <f>"JCA  36KBTU"</f>
        <v>JCA  36KBTU</v>
      </c>
    </row>
    <row r="11040" spans="1:7" ht="58.5" customHeight="1" x14ac:dyDescent="0.25">
      <c r="A11040" s="5" t="str">
        <f>"H0025748"</f>
        <v>H0025748</v>
      </c>
      <c r="B11040" s="5" t="str">
        <f>"AIRE ACONDICIONADO UMA PARED 36 KBTU R410 S12 ON-OFF 220V DAIKIN"</f>
        <v>AIRE ACONDICIONADO UMA PARED 36 KBTU R410 S12 ON-OFF 220V DAIKIN</v>
      </c>
      <c r="C11040" s="6">
        <v>1213800</v>
      </c>
      <c r="D11040" s="5" t="s">
        <v>181</v>
      </c>
      <c r="E11040" s="5" t="str">
        <f t="shared" si="570"/>
        <v>ACTISALUD-MADRE CANGURO-MARIA AUXILIADORA PERTUZ</v>
      </c>
      <c r="F11040" s="5"/>
      <c r="G11040" s="5"/>
    </row>
    <row r="11041" spans="1:7" ht="58.5" customHeight="1" x14ac:dyDescent="0.25">
      <c r="A11041" s="5" t="str">
        <f>"H0026994"</f>
        <v>H0026994</v>
      </c>
      <c r="B11041" s="5" t="str">
        <f>"MUEBLE FORMICA REPISERO DE 1.50"</f>
        <v>MUEBLE FORMICA REPISERO DE 1.50</v>
      </c>
      <c r="C11041" s="6">
        <v>470050</v>
      </c>
      <c r="D11041" s="5" t="s">
        <v>655</v>
      </c>
      <c r="E11041" s="5" t="str">
        <f t="shared" ref="E11041:E11061" si="571">"ACTISALUD-MADRE CANGURO-MARIA AUXILIADORA PERTUZ"</f>
        <v>ACTISALUD-MADRE CANGURO-MARIA AUXILIADORA PERTUZ</v>
      </c>
      <c r="F11041" s="5"/>
      <c r="G11041" s="5"/>
    </row>
    <row r="11042" spans="1:7" ht="58.5" customHeight="1" x14ac:dyDescent="0.25">
      <c r="A11042" s="5" t="str">
        <f>"H0026995"</f>
        <v>H0026995</v>
      </c>
      <c r="B11042" s="5" t="str">
        <f>"MUEBLE FORMICA REPISERO DE 1.50"</f>
        <v>MUEBLE FORMICA REPISERO DE 1.50</v>
      </c>
      <c r="C11042" s="6">
        <v>470050</v>
      </c>
      <c r="D11042" s="5" t="s">
        <v>656</v>
      </c>
      <c r="E11042" s="5" t="str">
        <f t="shared" si="571"/>
        <v>ACTISALUD-MADRE CANGURO-MARIA AUXILIADORA PERTUZ</v>
      </c>
      <c r="F11042" s="5"/>
      <c r="G11042" s="5"/>
    </row>
    <row r="11043" spans="1:7" ht="58.5" customHeight="1" x14ac:dyDescent="0.25">
      <c r="A11043" s="5" t="str">
        <f>"H0027181"</f>
        <v>H0027181</v>
      </c>
      <c r="B1104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043" s="6">
        <v>2641800</v>
      </c>
      <c r="D11043" s="5" t="s">
        <v>38</v>
      </c>
      <c r="E11043" s="5" t="str">
        <f t="shared" si="571"/>
        <v>ACTISALUD-MADRE CANGURO-MARIA AUXILIADORA PERTUZ</v>
      </c>
      <c r="F11043" s="5"/>
      <c r="G11043" s="5"/>
    </row>
    <row r="11044" spans="1:7" ht="58.5" customHeight="1" x14ac:dyDescent="0.25">
      <c r="A11044" s="5" t="str">
        <f>"H0027561"</f>
        <v>H0027561</v>
      </c>
      <c r="B11044" s="5" t="str">
        <f>"LECTOR DE HUELLAS DIGITALES"</f>
        <v>LECTOR DE HUELLAS DIGITALES</v>
      </c>
      <c r="C11044" s="6">
        <v>234000.41</v>
      </c>
      <c r="D11044" s="5" t="s">
        <v>83</v>
      </c>
      <c r="E11044" s="5" t="str">
        <f t="shared" si="571"/>
        <v>ACTISALUD-MADRE CANGURO-MARIA AUXILIADORA PERTUZ</v>
      </c>
      <c r="F11044" s="5"/>
      <c r="G11044" s="5"/>
    </row>
    <row r="11045" spans="1:7" ht="58.5" customHeight="1" x14ac:dyDescent="0.25">
      <c r="A11045" s="5" t="str">
        <f>"H0029836"</f>
        <v>H0029836</v>
      </c>
      <c r="B11045" s="5" t="str">
        <f>"BASCULA CON TALIMETRO NEONATAL SECA"</f>
        <v>BASCULA CON TALIMETRO NEONATAL SECA</v>
      </c>
      <c r="C11045" s="6">
        <v>5378800</v>
      </c>
      <c r="D11045" s="5" t="s">
        <v>224</v>
      </c>
      <c r="E11045" s="5" t="str">
        <f t="shared" si="571"/>
        <v>ACTISALUD-MADRE CANGURO-MARIA AUXILIADORA PERTUZ</v>
      </c>
      <c r="F11045" s="5"/>
      <c r="G11045" s="5" t="str">
        <f>"3341321008"</f>
        <v>3341321008</v>
      </c>
    </row>
    <row r="11046" spans="1:7" ht="58.5" customHeight="1" x14ac:dyDescent="0.25">
      <c r="A11046" s="5" t="str">
        <f>"H0032265"</f>
        <v>H0032265</v>
      </c>
      <c r="B11046"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11046" s="6">
        <v>901008.5</v>
      </c>
      <c r="D11046" s="5" t="s">
        <v>413</v>
      </c>
      <c r="E11046" s="5" t="str">
        <f t="shared" si="571"/>
        <v>ACTISALUD-MADRE CANGURO-MARIA AUXILIADORA PERTUZ</v>
      </c>
      <c r="F11046" s="5"/>
      <c r="G11046" s="5"/>
    </row>
    <row r="11047" spans="1:7" ht="58.5" customHeight="1" x14ac:dyDescent="0.25">
      <c r="A11047" s="5" t="str">
        <f>"H0032350"</f>
        <v>H0032350</v>
      </c>
      <c r="B11047" s="5" t="str">
        <f>"CUNA RECIEN NACIDO CON COLCHONETA"</f>
        <v>CUNA RECIEN NACIDO CON COLCHONETA</v>
      </c>
      <c r="C11047" s="6">
        <v>1667725.5</v>
      </c>
      <c r="D11047" s="5" t="s">
        <v>254</v>
      </c>
      <c r="E11047" s="5" t="str">
        <f t="shared" si="571"/>
        <v>ACTISALUD-MADRE CANGURO-MARIA AUXILIADORA PERTUZ</v>
      </c>
      <c r="F11047" s="5"/>
      <c r="G11047" s="5"/>
    </row>
    <row r="11048" spans="1:7" ht="58.5" customHeight="1" x14ac:dyDescent="0.25">
      <c r="A11048" s="5" t="str">
        <f>"H0032351"</f>
        <v>H0032351</v>
      </c>
      <c r="B11048" s="5" t="str">
        <f>"CUNA RECIEN NACIDO CON COLCHONETA"</f>
        <v>CUNA RECIEN NACIDO CON COLCHONETA</v>
      </c>
      <c r="C11048" s="6">
        <v>1667725.5</v>
      </c>
      <c r="D11048" s="5" t="s">
        <v>254</v>
      </c>
      <c r="E11048" s="5" t="str">
        <f t="shared" si="571"/>
        <v>ACTISALUD-MADRE CANGURO-MARIA AUXILIADORA PERTUZ</v>
      </c>
      <c r="F11048" s="5"/>
      <c r="G11048" s="5"/>
    </row>
    <row r="11049" spans="1:7" ht="58.5" customHeight="1" x14ac:dyDescent="0.25">
      <c r="A11049" s="5" t="str">
        <f>"H0032411"</f>
        <v>H0032411</v>
      </c>
      <c r="B11049" s="5" t="str">
        <f>"termometro infrarrojo (DONACION)"</f>
        <v>termometro infrarrojo (DONACION)</v>
      </c>
      <c r="C11049" s="6">
        <v>325000</v>
      </c>
      <c r="D11049" s="5" t="s">
        <v>657</v>
      </c>
      <c r="E11049" s="5" t="str">
        <f t="shared" si="571"/>
        <v>ACTISALUD-MADRE CANGURO-MARIA AUXILIADORA PERTUZ</v>
      </c>
      <c r="F11049" s="5"/>
      <c r="G11049" s="5"/>
    </row>
    <row r="11050" spans="1:7" ht="58.5" customHeight="1" x14ac:dyDescent="0.25">
      <c r="A11050" s="5" t="str">
        <f>"H0033074"</f>
        <v>H0033074</v>
      </c>
      <c r="B11050" s="5" t="str">
        <f>"MONITOR DE SIGNOS VITALES"</f>
        <v>MONITOR DE SIGNOS VITALES</v>
      </c>
      <c r="C11050" s="6">
        <v>9470000</v>
      </c>
      <c r="D11050" s="5" t="s">
        <v>119</v>
      </c>
      <c r="E11050" s="5" t="str">
        <f t="shared" si="571"/>
        <v>ACTISALUD-MADRE CANGURO-MARIA AUXILIADORA PERTUZ</v>
      </c>
      <c r="F11050" s="5"/>
      <c r="G11050" s="5"/>
    </row>
    <row r="11051" spans="1:7" ht="58.5" customHeight="1" x14ac:dyDescent="0.25">
      <c r="A11051" s="5" t="str">
        <f>"H0036441"</f>
        <v>H0036441</v>
      </c>
      <c r="B11051" s="5" t="str">
        <f>"VENTILADOR DE PARED"</f>
        <v>VENTILADOR DE PARED</v>
      </c>
      <c r="C11051" s="6">
        <v>295260</v>
      </c>
      <c r="D11051" s="5" t="s">
        <v>131</v>
      </c>
      <c r="E11051" s="5" t="str">
        <f t="shared" si="571"/>
        <v>ACTISALUD-MADRE CANGURO-MARIA AUXILIADORA PERTUZ</v>
      </c>
      <c r="F11051" s="5"/>
      <c r="G11051" s="5"/>
    </row>
    <row r="11052" spans="1:7" ht="58.5" customHeight="1" x14ac:dyDescent="0.25">
      <c r="A11052" s="5" t="str">
        <f>"H0037094"</f>
        <v>H0037094</v>
      </c>
      <c r="B11052" s="5" t="str">
        <f>"INFANTOMETRO"</f>
        <v>INFANTOMETRO</v>
      </c>
      <c r="C11052" s="6">
        <v>1191337.03</v>
      </c>
      <c r="D11052" s="5" t="s">
        <v>136</v>
      </c>
      <c r="E11052" s="5" t="str">
        <f t="shared" si="571"/>
        <v>ACTISALUD-MADRE CANGURO-MARIA AUXILIADORA PERTUZ</v>
      </c>
      <c r="F11052" s="5"/>
      <c r="G11052" s="5"/>
    </row>
    <row r="11053" spans="1:7" ht="58.5" customHeight="1" x14ac:dyDescent="0.25">
      <c r="A11053" s="5" t="str">
        <f>"H0037105"</f>
        <v>H0037105</v>
      </c>
      <c r="B11053" s="5" t="str">
        <f>"BASCULA PESA BEBE MARCA SECA MODELO 374"</f>
        <v>BASCULA PESA BEBE MARCA SECA MODELO 374</v>
      </c>
      <c r="C11053" s="6">
        <v>3971069.02</v>
      </c>
      <c r="D11053" s="5" t="s">
        <v>136</v>
      </c>
      <c r="E11053" s="5" t="str">
        <f t="shared" si="571"/>
        <v>ACTISALUD-MADRE CANGURO-MARIA AUXILIADORA PERTUZ</v>
      </c>
      <c r="F11053" s="5"/>
      <c r="G11053" s="5"/>
    </row>
    <row r="11054" spans="1:7" ht="58.5" customHeight="1" x14ac:dyDescent="0.25">
      <c r="A11054" s="5" t="str">
        <f>"H0037214"</f>
        <v>H0037214</v>
      </c>
      <c r="B11054" s="5" t="str">
        <f>"AIRE ACONDICIONADO TIPO MINISPLIT CAPACIDAD 24.000 BTU TECNOLOGIA INVERTER DUAL"</f>
        <v>AIRE ACONDICIONADO TIPO MINISPLIT CAPACIDAD 24.000 BTU TECNOLOGIA INVERTER DUAL</v>
      </c>
      <c r="C11054" s="6">
        <v>4949999.87</v>
      </c>
      <c r="D11054" s="5" t="s">
        <v>201</v>
      </c>
      <c r="E11054" s="5" t="str">
        <f t="shared" si="571"/>
        <v>ACTISALUD-MADRE CANGURO-MARIA AUXILIADORA PERTUZ</v>
      </c>
      <c r="F11054" s="5"/>
      <c r="G11054" s="5"/>
    </row>
    <row r="11055" spans="1:7" ht="58.5" customHeight="1" x14ac:dyDescent="0.25">
      <c r="A11055" s="5" t="str">
        <f>"H0037539"</f>
        <v>H0037539</v>
      </c>
      <c r="B11055" s="5" t="str">
        <f>"VENTILADOR DE PEDESTAL"</f>
        <v>VENTILADOR DE PEDESTAL</v>
      </c>
      <c r="C11055" s="6">
        <v>305000.55</v>
      </c>
      <c r="D11055" s="5" t="s">
        <v>140</v>
      </c>
      <c r="E11055" s="5" t="str">
        <f t="shared" si="571"/>
        <v>ACTISALUD-MADRE CANGURO-MARIA AUXILIADORA PERTUZ</v>
      </c>
      <c r="F11055" s="5"/>
      <c r="G11055" s="5"/>
    </row>
    <row r="11056" spans="1:7" ht="58.5" customHeight="1" x14ac:dyDescent="0.25">
      <c r="A11056" s="5" t="str">
        <f>"H0037808"</f>
        <v>H0037808</v>
      </c>
      <c r="B11056" s="5" t="str">
        <f>"SILLA GERENTE NIZA MEC. BASCULANTE CON BRAZOS."</f>
        <v>SILLA GERENTE NIZA MEC. BASCULANTE CON BRAZOS.</v>
      </c>
      <c r="C11056" s="6">
        <v>710000.01</v>
      </c>
      <c r="D11056" s="5" t="s">
        <v>30</v>
      </c>
      <c r="E11056" s="5" t="str">
        <f t="shared" si="571"/>
        <v>ACTISALUD-MADRE CANGURO-MARIA AUXILIADORA PERTUZ</v>
      </c>
      <c r="F11056" s="5"/>
      <c r="G11056" s="5"/>
    </row>
    <row r="11057" spans="1:7" ht="58.5" customHeight="1" x14ac:dyDescent="0.25">
      <c r="A11057" s="5" t="str">
        <f>"H0037809"</f>
        <v>H0037809</v>
      </c>
      <c r="B11057" s="5" t="str">
        <f>"SILLA GERENTE NIZA MEC. BASCULANTE CON BRAZOS."</f>
        <v>SILLA GERENTE NIZA MEC. BASCULANTE CON BRAZOS.</v>
      </c>
      <c r="C11057" s="6">
        <v>710000.01</v>
      </c>
      <c r="D11057" s="5" t="s">
        <v>30</v>
      </c>
      <c r="E11057" s="5" t="str">
        <f t="shared" si="571"/>
        <v>ACTISALUD-MADRE CANGURO-MARIA AUXILIADORA PERTUZ</v>
      </c>
      <c r="F11057" s="5"/>
      <c r="G11057" s="5"/>
    </row>
    <row r="11058" spans="1:7" ht="58.5" customHeight="1" x14ac:dyDescent="0.25">
      <c r="A11058" s="5" t="str">
        <f>"H0037810"</f>
        <v>H0037810</v>
      </c>
      <c r="B11058" s="5" t="str">
        <f>"SILLA GERENTE NIZA MEC. BASCULANTE CON BRAZOS."</f>
        <v>SILLA GERENTE NIZA MEC. BASCULANTE CON BRAZOS.</v>
      </c>
      <c r="C11058" s="6">
        <v>710000.01</v>
      </c>
      <c r="D11058" s="5" t="s">
        <v>30</v>
      </c>
      <c r="E11058" s="5" t="str">
        <f t="shared" si="571"/>
        <v>ACTISALUD-MADRE CANGURO-MARIA AUXILIADORA PERTUZ</v>
      </c>
      <c r="F11058" s="5"/>
      <c r="G11058" s="5"/>
    </row>
    <row r="11059" spans="1:7" ht="58.5" customHeight="1" x14ac:dyDescent="0.25">
      <c r="A11059" s="5" t="str">
        <f>"H0038084"</f>
        <v>H0038084</v>
      </c>
      <c r="B11059" s="5" t="str">
        <f>"SILLA CAJERO KOPI"</f>
        <v>SILLA CAJERO KOPI</v>
      </c>
      <c r="C11059" s="6">
        <v>565000.01</v>
      </c>
      <c r="D11059" s="5" t="s">
        <v>30</v>
      </c>
      <c r="E11059" s="5" t="str">
        <f t="shared" si="571"/>
        <v>ACTISALUD-MADRE CANGURO-MARIA AUXILIADORA PERTUZ</v>
      </c>
      <c r="F11059" s="5"/>
      <c r="G11059" s="5"/>
    </row>
    <row r="11060" spans="1:7" ht="58.5" customHeight="1" x14ac:dyDescent="0.25">
      <c r="A11060" s="5" t="str">
        <f>"H0038085"</f>
        <v>H0038085</v>
      </c>
      <c r="B11060" s="5" t="str">
        <f>"SILLA CAJERO KOPI"</f>
        <v>SILLA CAJERO KOPI</v>
      </c>
      <c r="C11060" s="6">
        <v>565000.01</v>
      </c>
      <c r="D11060" s="5" t="s">
        <v>30</v>
      </c>
      <c r="E11060" s="5" t="str">
        <f t="shared" si="571"/>
        <v>ACTISALUD-MADRE CANGURO-MARIA AUXILIADORA PERTUZ</v>
      </c>
      <c r="F11060" s="5"/>
      <c r="G11060" s="5"/>
    </row>
    <row r="11061" spans="1:7" ht="58.5" customHeight="1" x14ac:dyDescent="0.25">
      <c r="A11061" s="5" t="str">
        <f>"H0038086"</f>
        <v>H0038086</v>
      </c>
      <c r="B11061" s="5" t="str">
        <f>"SILLA CAJERO KOPI"</f>
        <v>SILLA CAJERO KOPI</v>
      </c>
      <c r="C11061" s="6">
        <v>565000.01</v>
      </c>
      <c r="D11061" s="5" t="s">
        <v>30</v>
      </c>
      <c r="E11061" s="5" t="str">
        <f t="shared" si="571"/>
        <v>ACTISALUD-MADRE CANGURO-MARIA AUXILIADORA PERTUZ</v>
      </c>
      <c r="F11061" s="5"/>
      <c r="G11061" s="5"/>
    </row>
    <row r="11062" spans="1:7" ht="58.5" customHeight="1" x14ac:dyDescent="0.25">
      <c r="A11062" s="5" t="str">
        <f>"H0035005"</f>
        <v>H0035005</v>
      </c>
      <c r="B11062" s="5" t="str">
        <f>"Altavoces Estéreo Ac Logitech S120, Control Volumen / 3.5mm"</f>
        <v>Altavoces Estéreo Ac Logitech S120, Control Volumen / 3.5mm</v>
      </c>
      <c r="C11062" s="6">
        <v>83300</v>
      </c>
      <c r="D11062" s="5" t="s">
        <v>22</v>
      </c>
      <c r="E11062" s="5" t="str">
        <f t="shared" ref="E11062:E11073" si="572">"ACTISALUD-AUDITORIA DE CUENTAS MEDICAS"</f>
        <v>ACTISALUD-AUDITORIA DE CUENTAS MEDICAS</v>
      </c>
      <c r="F11062" s="5"/>
      <c r="G11062" s="5"/>
    </row>
    <row r="11063" spans="1:7" ht="58.5" customHeight="1" x14ac:dyDescent="0.25">
      <c r="A11063" s="5" t="str">
        <f>"H0037218"</f>
        <v>H0037218</v>
      </c>
      <c r="B11063" s="5" t="str">
        <f>"AIRE ACONDICIONADO DE 36000 BTU PISO TECHO"</f>
        <v>AIRE ACONDICIONADO DE 36000 BTU PISO TECHO</v>
      </c>
      <c r="C11063" s="6">
        <v>6426000</v>
      </c>
      <c r="D11063" s="5" t="s">
        <v>201</v>
      </c>
      <c r="E11063" s="5" t="str">
        <f t="shared" si="572"/>
        <v>ACTISALUD-AUDITORIA DE CUENTAS MEDICAS</v>
      </c>
      <c r="F11063" s="5"/>
      <c r="G11063" s="5"/>
    </row>
    <row r="11064" spans="1:7" ht="58.5" customHeight="1" x14ac:dyDescent="0.25">
      <c r="A11064" s="5" t="str">
        <f>"H0037980"</f>
        <v>H0037980</v>
      </c>
      <c r="B11064" s="5" t="str">
        <f t="shared" ref="B11064:B11073" si="573">"SILLA GERENTE NIZA MEC. BASCULANTE CON BRAZOS."</f>
        <v>SILLA GERENTE NIZA MEC. BASCULANTE CON BRAZOS.</v>
      </c>
      <c r="C11064" s="6">
        <v>710000.01</v>
      </c>
      <c r="D11064" s="5" t="s">
        <v>30</v>
      </c>
      <c r="E11064" s="5" t="str">
        <f t="shared" si="572"/>
        <v>ACTISALUD-AUDITORIA DE CUENTAS MEDICAS</v>
      </c>
      <c r="F11064" s="5"/>
      <c r="G11064" s="5"/>
    </row>
    <row r="11065" spans="1:7" ht="58.5" customHeight="1" x14ac:dyDescent="0.25">
      <c r="A11065" s="5" t="str">
        <f>"H0037981"</f>
        <v>H0037981</v>
      </c>
      <c r="B11065" s="5" t="str">
        <f t="shared" si="573"/>
        <v>SILLA GERENTE NIZA MEC. BASCULANTE CON BRAZOS.</v>
      </c>
      <c r="C11065" s="6">
        <v>710000.01</v>
      </c>
      <c r="D11065" s="5" t="s">
        <v>30</v>
      </c>
      <c r="E11065" s="5" t="str">
        <f t="shared" si="572"/>
        <v>ACTISALUD-AUDITORIA DE CUENTAS MEDICAS</v>
      </c>
      <c r="F11065" s="5"/>
      <c r="G11065" s="5"/>
    </row>
    <row r="11066" spans="1:7" ht="58.5" customHeight="1" x14ac:dyDescent="0.25">
      <c r="A11066" s="5" t="str">
        <f>"H0037982"</f>
        <v>H0037982</v>
      </c>
      <c r="B11066" s="5" t="str">
        <f t="shared" si="573"/>
        <v>SILLA GERENTE NIZA MEC. BASCULANTE CON BRAZOS.</v>
      </c>
      <c r="C11066" s="6">
        <v>710000.01</v>
      </c>
      <c r="D11066" s="5" t="s">
        <v>30</v>
      </c>
      <c r="E11066" s="5" t="str">
        <f t="shared" si="572"/>
        <v>ACTISALUD-AUDITORIA DE CUENTAS MEDICAS</v>
      </c>
      <c r="F11066" s="5"/>
      <c r="G11066" s="5"/>
    </row>
    <row r="11067" spans="1:7" ht="58.5" customHeight="1" x14ac:dyDescent="0.25">
      <c r="A11067" s="5" t="str">
        <f>"H0037983"</f>
        <v>H0037983</v>
      </c>
      <c r="B11067" s="5" t="str">
        <f t="shared" si="573"/>
        <v>SILLA GERENTE NIZA MEC. BASCULANTE CON BRAZOS.</v>
      </c>
      <c r="C11067" s="6">
        <v>710000.01</v>
      </c>
      <c r="D11067" s="5" t="s">
        <v>30</v>
      </c>
      <c r="E11067" s="5" t="str">
        <f t="shared" si="572"/>
        <v>ACTISALUD-AUDITORIA DE CUENTAS MEDICAS</v>
      </c>
      <c r="F11067" s="5"/>
      <c r="G11067" s="5"/>
    </row>
    <row r="11068" spans="1:7" ht="58.5" customHeight="1" x14ac:dyDescent="0.25">
      <c r="A11068" s="5" t="str">
        <f>"H0037984"</f>
        <v>H0037984</v>
      </c>
      <c r="B11068" s="5" t="str">
        <f t="shared" si="573"/>
        <v>SILLA GERENTE NIZA MEC. BASCULANTE CON BRAZOS.</v>
      </c>
      <c r="C11068" s="6">
        <v>710000.01</v>
      </c>
      <c r="D11068" s="5" t="s">
        <v>30</v>
      </c>
      <c r="E11068" s="5" t="str">
        <f t="shared" si="572"/>
        <v>ACTISALUD-AUDITORIA DE CUENTAS MEDICAS</v>
      </c>
      <c r="F11068" s="5"/>
      <c r="G11068" s="5"/>
    </row>
    <row r="11069" spans="1:7" ht="58.5" customHeight="1" x14ac:dyDescent="0.25">
      <c r="A11069" s="5" t="str">
        <f>"H0037985"</f>
        <v>H0037985</v>
      </c>
      <c r="B11069" s="5" t="str">
        <f t="shared" si="573"/>
        <v>SILLA GERENTE NIZA MEC. BASCULANTE CON BRAZOS.</v>
      </c>
      <c r="C11069" s="6">
        <v>710000.01</v>
      </c>
      <c r="D11069" s="5" t="s">
        <v>30</v>
      </c>
      <c r="E11069" s="5" t="str">
        <f t="shared" si="572"/>
        <v>ACTISALUD-AUDITORIA DE CUENTAS MEDICAS</v>
      </c>
      <c r="F11069" s="5"/>
      <c r="G11069" s="5"/>
    </row>
    <row r="11070" spans="1:7" ht="58.5" customHeight="1" x14ac:dyDescent="0.25">
      <c r="A11070" s="5" t="str">
        <f>"H0037986"</f>
        <v>H0037986</v>
      </c>
      <c r="B11070" s="5" t="str">
        <f t="shared" si="573"/>
        <v>SILLA GERENTE NIZA MEC. BASCULANTE CON BRAZOS.</v>
      </c>
      <c r="C11070" s="6">
        <v>710000.01</v>
      </c>
      <c r="D11070" s="5" t="s">
        <v>30</v>
      </c>
      <c r="E11070" s="5" t="str">
        <f t="shared" si="572"/>
        <v>ACTISALUD-AUDITORIA DE CUENTAS MEDICAS</v>
      </c>
      <c r="F11070" s="5"/>
      <c r="G11070" s="5"/>
    </row>
    <row r="11071" spans="1:7" ht="58.5" customHeight="1" x14ac:dyDescent="0.25">
      <c r="A11071" s="5" t="str">
        <f>"H0037987"</f>
        <v>H0037987</v>
      </c>
      <c r="B11071" s="5" t="str">
        <f t="shared" si="573"/>
        <v>SILLA GERENTE NIZA MEC. BASCULANTE CON BRAZOS.</v>
      </c>
      <c r="C11071" s="6">
        <v>710000.01</v>
      </c>
      <c r="D11071" s="5" t="s">
        <v>30</v>
      </c>
      <c r="E11071" s="5" t="str">
        <f t="shared" si="572"/>
        <v>ACTISALUD-AUDITORIA DE CUENTAS MEDICAS</v>
      </c>
      <c r="F11071" s="5"/>
      <c r="G11071" s="5"/>
    </row>
    <row r="11072" spans="1:7" ht="58.5" customHeight="1" x14ac:dyDescent="0.25">
      <c r="A11072" s="5" t="str">
        <f>"H0037988"</f>
        <v>H0037988</v>
      </c>
      <c r="B11072" s="5" t="str">
        <f t="shared" si="573"/>
        <v>SILLA GERENTE NIZA MEC. BASCULANTE CON BRAZOS.</v>
      </c>
      <c r="C11072" s="6">
        <v>710000.01</v>
      </c>
      <c r="D11072" s="5" t="s">
        <v>30</v>
      </c>
      <c r="E11072" s="5" t="str">
        <f t="shared" si="572"/>
        <v>ACTISALUD-AUDITORIA DE CUENTAS MEDICAS</v>
      </c>
      <c r="F11072" s="5"/>
      <c r="G11072" s="5"/>
    </row>
    <row r="11073" spans="1:7" ht="58.5" customHeight="1" x14ac:dyDescent="0.25">
      <c r="A11073" s="5" t="str">
        <f>"H0037989"</f>
        <v>H0037989</v>
      </c>
      <c r="B11073" s="5" t="str">
        <f t="shared" si="573"/>
        <v>SILLA GERENTE NIZA MEC. BASCULANTE CON BRAZOS.</v>
      </c>
      <c r="C11073" s="6">
        <v>710000.01</v>
      </c>
      <c r="D11073" s="5" t="s">
        <v>30</v>
      </c>
      <c r="E11073" s="5" t="str">
        <f t="shared" si="572"/>
        <v>ACTISALUD-AUDITORIA DE CUENTAS MEDICAS</v>
      </c>
      <c r="F11073" s="5"/>
      <c r="G11073" s="5"/>
    </row>
    <row r="11074" spans="1:7" ht="58.5" customHeight="1" x14ac:dyDescent="0.25">
      <c r="A11074" s="5" t="str">
        <f>"H0004157"</f>
        <v>H0004157</v>
      </c>
      <c r="B11074" s="5" t="str">
        <f>"ESCALERILLA DE 2 PASOS"</f>
        <v>ESCALERILLA DE 2 PASOS</v>
      </c>
      <c r="C11074" s="6">
        <v>5346</v>
      </c>
      <c r="D11074" s="5"/>
      <c r="E11074" s="5" t="str">
        <f t="shared" ref="E11074:E11083" si="574">"ACTISALUD- AUDITORIA DE CALIDAD-JHON KLEVER-YAMILE GALLARDO-JUANITA"</f>
        <v>ACTISALUD- AUDITORIA DE CALIDAD-JHON KLEVER-YAMILE GALLARDO-JUANITA</v>
      </c>
      <c r="F11074" s="5" t="str">
        <f>"Descripcion: . Estado: Bueno Placa anterior: 000009138 Material: METAL Y PASTA Color: BLANCA Referencia:  Observacion:  Placa padre: Tipo adquisicion: Entidad"</f>
        <v>Descripcion: . Estado: Bueno Placa anterior: 000009138 Material: METAL Y PASTA Color: BLANCA Referencia:  Observacion:  Placa padre: Tipo adquisicion: Entidad</v>
      </c>
      <c r="G11074" s="5"/>
    </row>
    <row r="11075" spans="1:7" ht="58.5" customHeight="1" x14ac:dyDescent="0.25">
      <c r="A11075" s="5" t="str">
        <f>"H0005094"</f>
        <v>H0005094</v>
      </c>
      <c r="B11075" s="5" t="str">
        <f>"SILLA INTERLOCUTORA (FIJA) SIN BRAZOS"</f>
        <v>SILLA INTERLOCUTORA (FIJA) SIN BRAZOS</v>
      </c>
      <c r="C11075" s="6">
        <v>81200</v>
      </c>
      <c r="D11075" s="5" t="s">
        <v>34</v>
      </c>
      <c r="E11075" s="5" t="str">
        <f t="shared" si="574"/>
        <v>ACTISALUD- AUDITORIA DE CALIDAD-JHON KLEVER-YAMILE GALLARDO-JUANITA</v>
      </c>
      <c r="F11075" s="5" t="str">
        <f>"Descripcion: SILLA SPRISMAS INTERLOCUTORASTAPIZADA CUERO NEGRO ESPALDAR Estado: Bueno Placa anterior: 000030391 Material: METALICO Color: NEGRO Referencia:  Observacion:  Placa padre: Tipo adquisicion: Entidad"</f>
        <v>Descripcion: SILLA SPRISMAS INTERLOCUTORASTAPIZADA CUERO NEGRO ESPALDAR Estado: Bueno Placa anterior: 000030391 Material: METALICO Color: NEGRO Referencia:  Observacion:  Placa padre: Tipo adquisicion: Entidad</v>
      </c>
      <c r="G11075" s="5"/>
    </row>
    <row r="11076" spans="1:7" ht="58.5" customHeight="1" x14ac:dyDescent="0.25">
      <c r="A11076" s="5" t="str">
        <f>"H0025687"</f>
        <v>H0025687</v>
      </c>
      <c r="B11076" s="5"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11076" s="6">
        <v>666400</v>
      </c>
      <c r="D11076" s="5" t="s">
        <v>658</v>
      </c>
      <c r="E11076" s="5" t="str">
        <f t="shared" si="574"/>
        <v>ACTISALUD- AUDITORIA DE CALIDAD-JHON KLEVER-YAMILE GALLARDO-JUANITA</v>
      </c>
      <c r="F11076" s="5"/>
      <c r="G11076" s="5"/>
    </row>
    <row r="11077" spans="1:7" ht="58.5" customHeight="1" x14ac:dyDescent="0.25">
      <c r="A11077" s="5" t="str">
        <f>"H0026807"</f>
        <v>H0026807</v>
      </c>
      <c r="B11077"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077" s="6">
        <v>3296300</v>
      </c>
      <c r="D11077" s="5" t="s">
        <v>37</v>
      </c>
      <c r="E11077" s="5" t="str">
        <f t="shared" si="574"/>
        <v>ACTISALUD- AUDITORIA DE CALIDAD-JHON KLEVER-YAMILE GALLARDO-JUANITA</v>
      </c>
      <c r="F11077" s="5"/>
      <c r="G11077" s="5"/>
    </row>
    <row r="11078" spans="1:7" ht="58.5" customHeight="1" x14ac:dyDescent="0.25">
      <c r="A11078" s="5" t="str">
        <f>"H0027204"</f>
        <v>H0027204</v>
      </c>
      <c r="B11078"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078" s="6">
        <v>2641800</v>
      </c>
      <c r="D11078" s="5" t="s">
        <v>38</v>
      </c>
      <c r="E11078" s="5" t="str">
        <f t="shared" si="574"/>
        <v>ACTISALUD- AUDITORIA DE CALIDAD-JHON KLEVER-YAMILE GALLARDO-JUANITA</v>
      </c>
      <c r="F11078" s="5"/>
      <c r="G11078" s="5"/>
    </row>
    <row r="11079" spans="1:7" ht="58.5" customHeight="1" x14ac:dyDescent="0.25">
      <c r="A11079" s="5" t="str">
        <f>"H0029682"</f>
        <v>H0029682</v>
      </c>
      <c r="B11079" s="5" t="s">
        <v>94</v>
      </c>
      <c r="C11079" s="6">
        <v>148999.9</v>
      </c>
      <c r="D11079" s="5" t="s">
        <v>93</v>
      </c>
      <c r="E11079" s="5" t="str">
        <f t="shared" si="574"/>
        <v>ACTISALUD- AUDITORIA DE CALIDAD-JHON KLEVER-YAMILE GALLARDO-JUANITA</v>
      </c>
      <c r="F11079" s="5"/>
      <c r="G11079" s="5"/>
    </row>
    <row r="11080" spans="1:7" ht="58.5" customHeight="1" x14ac:dyDescent="0.25">
      <c r="A11080" s="5" t="str">
        <f>"H0029753"</f>
        <v>H0029753</v>
      </c>
      <c r="B11080" s="5" t="s">
        <v>94</v>
      </c>
      <c r="C11080" s="6">
        <v>148999.9</v>
      </c>
      <c r="D11080" s="5" t="s">
        <v>93</v>
      </c>
      <c r="E11080" s="5" t="str">
        <f t="shared" si="574"/>
        <v>ACTISALUD- AUDITORIA DE CALIDAD-JHON KLEVER-YAMILE GALLARDO-JUANITA</v>
      </c>
      <c r="F11080" s="5"/>
      <c r="G11080" s="5"/>
    </row>
    <row r="11081" spans="1:7" ht="58.5" customHeight="1" x14ac:dyDescent="0.25">
      <c r="A11081" s="5" t="str">
        <f>"H0031896"</f>
        <v>H0031896</v>
      </c>
      <c r="B11081"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1081" s="6">
        <v>2647750</v>
      </c>
      <c r="D11081" s="5" t="s">
        <v>44</v>
      </c>
      <c r="E11081" s="5" t="str">
        <f t="shared" si="574"/>
        <v>ACTISALUD- AUDITORIA DE CALIDAD-JHON KLEVER-YAMILE GALLARDO-JUANITA</v>
      </c>
      <c r="F11081" s="5"/>
      <c r="G11081" s="5" t="str">
        <f>"DS-870"</f>
        <v>DS-870</v>
      </c>
    </row>
    <row r="11082" spans="1:7" ht="58.5" customHeight="1" x14ac:dyDescent="0.25">
      <c r="A11082" s="5" t="str">
        <f>"H0035870"</f>
        <v>H0035870</v>
      </c>
      <c r="B11082" s="5" t="str">
        <f>"SILLA GERENTE NIZA MEC. BASCULANTE CON BRAZOS."</f>
        <v>SILLA GERENTE NIZA MEC. BASCULANTE CON BRAZOS.</v>
      </c>
      <c r="C11082" s="6">
        <v>639999.86</v>
      </c>
      <c r="D11082" s="5" t="s">
        <v>47</v>
      </c>
      <c r="E11082" s="5" t="str">
        <f t="shared" si="574"/>
        <v>ACTISALUD- AUDITORIA DE CALIDAD-JHON KLEVER-YAMILE GALLARDO-JUANITA</v>
      </c>
      <c r="F11082" s="5"/>
      <c r="G11082" s="5"/>
    </row>
    <row r="11083" spans="1:7" ht="58.5" customHeight="1" x14ac:dyDescent="0.25">
      <c r="A11083" s="5" t="str">
        <f>"H0037436"</f>
        <v>H0037436</v>
      </c>
      <c r="B11083" s="5" t="str">
        <f>"AIRE ACONDICIONADO TIPO MINISPLIT CAPACIDAD 24.000 BTU TECNOLOGIA INVERTER DUAL"</f>
        <v>AIRE ACONDICIONADO TIPO MINISPLIT CAPACIDAD 24.000 BTU TECNOLOGIA INVERTER DUAL</v>
      </c>
      <c r="C11083" s="6">
        <v>5848909.5300000003</v>
      </c>
      <c r="D11083" s="5" t="s">
        <v>202</v>
      </c>
      <c r="E11083" s="5" t="str">
        <f t="shared" si="574"/>
        <v>ACTISALUD- AUDITORIA DE CALIDAD-JHON KLEVER-YAMILE GALLARDO-JUANITA</v>
      </c>
      <c r="F11083" s="5"/>
      <c r="G11083" s="5"/>
    </row>
    <row r="11084" spans="1:7" ht="58.5" customHeight="1" x14ac:dyDescent="0.25">
      <c r="A11084" s="5" t="str">
        <f>"B0004507"</f>
        <v>B0004507</v>
      </c>
      <c r="B11084" s="5" t="str">
        <f>"LICENCIA OFFICE HOME AND BUSINEES"</f>
        <v>LICENCIA OFFICE HOME AND BUSINEES</v>
      </c>
      <c r="C11084" s="6">
        <v>440800</v>
      </c>
      <c r="D11084" s="5" t="s">
        <v>2</v>
      </c>
      <c r="E11084" s="5" t="str">
        <f t="shared" ref="E11084:E11115" si="575">"ACTISALUD-PATOLOGIA-ANDREA LARA"</f>
        <v>ACTISALUD-PATOLOGIA-ANDREA LARA</v>
      </c>
      <c r="F11084" s="5" t="str">
        <f>"Descripcion:LICENCIA OFFICE HOME AND BUSIMESS 2013 Estado: Bueno Placa anterior: 000030810 Material:  Color:  Referencia:  Observacion:  Placa padre:  Tipo adquisicion : Entidad"</f>
        <v>Descripcion:LICENCIA OFFICE HOME AND BUSIMESS 2013 Estado: Bueno Placa anterior: 000030810 Material:  Color:  Referencia:  Observacion:  Placa padre:  Tipo adquisicion : Entidad</v>
      </c>
      <c r="G11084" s="5"/>
    </row>
    <row r="11085" spans="1:7" ht="58.5" customHeight="1" x14ac:dyDescent="0.25">
      <c r="A11085" s="5" t="str">
        <f>"B0004508"</f>
        <v>B0004508</v>
      </c>
      <c r="B11085" s="5" t="str">
        <f>"LICENCIA OFFICE HOME AND BUSINEES"</f>
        <v>LICENCIA OFFICE HOME AND BUSINEES</v>
      </c>
      <c r="C11085" s="6">
        <v>440800</v>
      </c>
      <c r="D11085" s="5" t="s">
        <v>2</v>
      </c>
      <c r="E11085" s="5" t="str">
        <f t="shared" si="575"/>
        <v>ACTISALUD-PATOLOGIA-ANDREA LARA</v>
      </c>
      <c r="F11085" s="5" t="str">
        <f>"Descripcion:LICENCIA OFFICE HOME AND BUSIMESS 2013 Estado: Bueno Placa anterior: 000030811 Material:  Color:  Referencia:  Observacion:  Placa padre:  Tipo adquisicion : Entidad"</f>
        <v>Descripcion:LICENCIA OFFICE HOME AND BUSIMESS 2013 Estado: Bueno Placa anterior: 000030811 Material:  Color:  Referencia:  Observacion:  Placa padre:  Tipo adquisicion : Entidad</v>
      </c>
      <c r="G11085" s="5"/>
    </row>
    <row r="11086" spans="1:7" ht="58.5" customHeight="1" x14ac:dyDescent="0.25">
      <c r="A11086" s="5" t="str">
        <f>"B0005148"</f>
        <v>B0005148</v>
      </c>
      <c r="B11086" s="5" t="str">
        <f>"MANGO PARA BISTURI #4"</f>
        <v>MANGO PARA BISTURI #4</v>
      </c>
      <c r="C11086" s="6">
        <v>1947.17</v>
      </c>
      <c r="D11086" s="5"/>
      <c r="E11086" s="5" t="str">
        <f t="shared" si="575"/>
        <v>ACTISALUD-PATOLOGIA-ANDREA LARA</v>
      </c>
      <c r="F11086" s="5" t="str">
        <f>"Descripcion:MANGO PARA BISTURI Estado: Bueno Placa anterior: 000009242 Material:  Color:  Referencia:  Observacion:  Placa padre:  Tipo adquisicion : Entidad"</f>
        <v>Descripcion:MANGO PARA BISTURI Estado: Bueno Placa anterior: 000009242 Material:  Color:  Referencia:  Observacion:  Placa padre:  Tipo adquisicion : Entidad</v>
      </c>
      <c r="G11086" s="5"/>
    </row>
    <row r="11087" spans="1:7" ht="58.5" customHeight="1" x14ac:dyDescent="0.25">
      <c r="A11087" s="5" t="str">
        <f>"B0005149"</f>
        <v>B0005149</v>
      </c>
      <c r="B11087" s="5" t="str">
        <f>"PINZA DE DISECCION SIN GARRA LARGA 25 CM"</f>
        <v>PINZA DE DISECCION SIN GARRA LARGA 25 CM</v>
      </c>
      <c r="C11087" s="6">
        <v>4543.5</v>
      </c>
      <c r="D11087" s="5"/>
      <c r="E11087" s="5" t="str">
        <f t="shared" si="575"/>
        <v>ACTISALUD-PATOLOGIA-ANDREA LARA</v>
      </c>
      <c r="F11087" s="5" t="str">
        <f>"Descripcion:PINZA DISECCION SIN GARRA Estado: Bueno Placa anterior: 000009254 Material:  Color:  Referencia:  Observacion:  Placa padre:  Tipo adquisicion : Entidad"</f>
        <v>Descripcion:PINZA DISECCION SIN GARRA Estado: Bueno Placa anterior: 000009254 Material:  Color:  Referencia:  Observacion:  Placa padre:  Tipo adquisicion : Entidad</v>
      </c>
      <c r="G11087" s="5"/>
    </row>
    <row r="11088" spans="1:7" ht="58.5" customHeight="1" x14ac:dyDescent="0.25">
      <c r="A11088" s="5" t="str">
        <f>"B0005150"</f>
        <v>B0005150</v>
      </c>
      <c r="B11088" s="5" t="str">
        <f>"PRENSA DE BANCO"</f>
        <v>PRENSA DE BANCO</v>
      </c>
      <c r="C11088" s="6">
        <v>19250</v>
      </c>
      <c r="D11088" s="5"/>
      <c r="E11088" s="5" t="str">
        <f t="shared" si="575"/>
        <v>ACTISALUD-PATOLOGIA-ANDREA LARA</v>
      </c>
      <c r="F11088" s="5" t="str">
        <f>"Descripcion:PRENSA METALICA PARA BANCO THURY DE 75 MM Estado: Malo Placa anterior: 000009285 Material: METALICA Color: GRIS Referencia:  Observacion:  Placa padre:  Tipo adquisicion : Entidad"</f>
        <v>Descripcion:PRENSA METALICA PARA BANCO THURY DE 75 MM Estado: Malo Placa anterior: 000009285 Material: METALICA Color: GRIS Referencia:  Observacion:  Placa padre:  Tipo adquisicion : Entidad</v>
      </c>
      <c r="G11088" s="5"/>
    </row>
    <row r="11089" spans="1:7" ht="58.5" customHeight="1" x14ac:dyDescent="0.25">
      <c r="A11089" s="5" t="str">
        <f>"H0001490"</f>
        <v>H0001490</v>
      </c>
      <c r="B11089" s="5" t="str">
        <f>"SILLA TANDEM DE 3 PUESTOS"</f>
        <v>SILLA TANDEM DE 3 PUESTOS</v>
      </c>
      <c r="C11089" s="6">
        <v>122850</v>
      </c>
      <c r="D11089" s="5"/>
      <c r="E11089" s="5" t="str">
        <f t="shared" si="575"/>
        <v>ACTISALUD-PATOLOGIA-ANDREA LARA</v>
      </c>
      <c r="F11089" s="5" t="str">
        <f>"Descripcion:SILLA TANDEN DE 3 PUESTOS TAPIZADA Estado: Bueno Placa anterior: 000021488 Material: TAPIZADO EN TELA Color: VERDE Referencia:  Observacion: AUTORIZADO CONCILIAR EN CRUCE GENERAL Placa padre:  Tipo adquisicion : Entidad"</f>
        <v>Descripcion:SILLA TANDEN DE 3 PUESTOS TAPIZADA Estado: Bueno Placa anterior: 000021488 Material: TAPIZADO EN TELA Color: VERDE Referencia:  Observacion: AUTORIZADO CONCILIAR EN CRUCE GENERAL Placa padre:  Tipo adquisicion : Entidad</v>
      </c>
      <c r="G11089" s="5"/>
    </row>
    <row r="11090" spans="1:7" ht="58.5" customHeight="1" x14ac:dyDescent="0.25">
      <c r="A11090" s="5" t="str">
        <f>"H0001491"</f>
        <v>H0001491</v>
      </c>
      <c r="B11090" s="5" t="str">
        <f>"EXTINTOR DE AGUA A PRESION ACERO INOXIDABLE DE 2,58"</f>
        <v>EXTINTOR DE AGUA A PRESION ACERO INOXIDABLE DE 2,58</v>
      </c>
      <c r="C11090" s="6">
        <v>135000</v>
      </c>
      <c r="D11090" s="5"/>
      <c r="E11090" s="5" t="str">
        <f t="shared" si="575"/>
        <v>ACTISALUD-PATOLOGIA-ANDREA LARA</v>
      </c>
      <c r="F11090" s="5" t="str">
        <f>"Descripcion:  EXTINTOR DE AGUA A PRESION ACERO INOXIDABLE DE 2,58 Estado: Bueno Placa anterior: 000008981 Material: ACERO INOXIDABLE Color:  Referencia:  Observacion:  Placa padre:  Tipo adquisicion : Entidad"</f>
        <v>Descripcion:  EXTINTOR DE AGUA A PRESION ACERO INOXIDABLE DE 2,58 Estado: Bueno Placa anterior: 000008981 Material: ACERO INOXIDABLE Color:  Referencia:  Observacion:  Placa padre:  Tipo adquisicion : Entidad</v>
      </c>
      <c r="G11090" s="5"/>
    </row>
    <row r="11091" spans="1:7" ht="58.5" customHeight="1" x14ac:dyDescent="0.25">
      <c r="A11091" s="5" t="str">
        <f>"H0001492"</f>
        <v>H0001492</v>
      </c>
      <c r="B11091" s="5" t="str">
        <f>"SILLA TANDEM DE 3 PUESTOS"</f>
        <v>SILLA TANDEM DE 3 PUESTOS</v>
      </c>
      <c r="C11091" s="6">
        <v>122850</v>
      </c>
      <c r="D11091" s="5"/>
      <c r="E11091" s="5" t="str">
        <f t="shared" si="575"/>
        <v>ACTISALUD-PATOLOGIA-ANDREA LARA</v>
      </c>
      <c r="F11091" s="5" t="str">
        <f>"Descripcion:SILLA TANDEN DE 3 PUESTOS TAPIZADA Estado: Bueno Placa anterior: 000021493 Material: TAPIZADO EN TELA Color: VERDE Referencia:  Observacion: AUTORIZADO CONCILIAR EN CRUCE GENERAL Placa padre:  Tipo adquisicion : Entidad"</f>
        <v>Descripcion:SILLA TANDEN DE 3 PUESTOS TAPIZADA Estado: Bueno Placa anterior: 000021493 Material: TAPIZADO EN TELA Color: VERDE Referencia:  Observacion: AUTORIZADO CONCILIAR EN CRUCE GENERAL Placa padre:  Tipo adquisicion : Entidad</v>
      </c>
      <c r="G11091" s="5"/>
    </row>
    <row r="11092" spans="1:7" ht="58.5" customHeight="1" x14ac:dyDescent="0.25">
      <c r="A11092" s="5" t="str">
        <f>"H0001517"</f>
        <v>H0001517</v>
      </c>
      <c r="B11092" s="5" t="str">
        <f>"PUESTO DE TRABAJO EN L CON 3 GAVETAS"</f>
        <v>PUESTO DE TRABAJO EN L CON 3 GAVETAS</v>
      </c>
      <c r="C11092" s="6">
        <v>610000</v>
      </c>
      <c r="D11092" s="5"/>
      <c r="E11092" s="5" t="str">
        <f t="shared" si="575"/>
        <v>ACTISALUD-PATOLOGIA-ANDREA LARA</v>
      </c>
      <c r="F11092" s="5" t="str">
        <f>"Descripcion:PUESTO DE TRABAJO EN L CON 3 GAVETAS MEDIDAS: 73.5X310X145X59CM Estado: Bueno Placa anterior: 000033463 Material: MADERA EN FORMICA Color: BEIGE Referencia:  Observacion:  Placa padre:  Tipo adquisicion : Entidad"</f>
        <v>Descripcion:PUESTO DE TRABAJO EN L CON 3 GAVETAS MEDIDAS: 73.5X310X145X59CM Estado: Bueno Placa anterior: 000033463 Material: MADERA EN FORMICA Color: BEIGE Referencia:  Observacion:  Placa padre:  Tipo adquisicion : Entidad</v>
      </c>
      <c r="G11092" s="5"/>
    </row>
    <row r="11093" spans="1:7" ht="58.5" customHeight="1" x14ac:dyDescent="0.25">
      <c r="A11093" s="5" t="str">
        <f>"H0001518"</f>
        <v>H0001518</v>
      </c>
      <c r="B11093" s="5" t="str">
        <f>"COMPUTADOR TODO EN UNO"</f>
        <v>COMPUTADOR TODO EN UNO</v>
      </c>
      <c r="C11093" s="6">
        <v>2470000</v>
      </c>
      <c r="D11093" s="5" t="s">
        <v>6</v>
      </c>
      <c r="E11093" s="5" t="str">
        <f t="shared" si="575"/>
        <v>ACTISALUD-PATOLOGIA-ANDREA LARA</v>
      </c>
      <c r="F11093" s="5" t="str">
        <f>"Descripcion:CPU COMPUTADOR TODO EN UNO CON PROCESADOR INTEL i5 PANTALLA DE 21  Estado: Bueno Placa anterior: 000036971 Material:  Color: NEGRO Referencia:  Observacion:  Placa anterior:, Placa nueva=H0001519, Descripcion:TECLADO, Serial:2859134, Marca:LEN"&amp; "OVO, Modelo:, Material:, Color:NEGRO,   Referencia:, Placa anterior:, Placa nueva=H0001520, Descripcion:MOUSE OPTICO, Serial:44PD028, Marca:LENOVO, Modelo:, Material:, Color:NEGRO,   Referencia: Placa padre:  Tipo adquisicion : Entidad"</f>
        <v>Descripcion:CPU COMPUTADOR TODO EN UNO CON PROCESADOR INTEL i5 PANTALLA DE 21  Estado: Bueno Placa anterior: 000036971 Material:  Color: NEGRO Referencia:  Observacion:  Placa anterior:, Placa nueva=H0001519, Descripcion:TECLADO, Serial:2859134, Marca:LENOVO, Modelo:, Material:, Color:NEGRO,   Referencia:, Placa anterior:, Placa nueva=H0001520, Descripcion:MOUSE OPTICO, Serial:44PD028, Marca:LENOVO, Modelo:, Material:, Color:NEGRO,   Referencia: Placa padre:  Tipo adquisicion : Entidad</v>
      </c>
      <c r="G11093" s="5" t="str">
        <f>"THINKCENTER"</f>
        <v>THINKCENTER</v>
      </c>
    </row>
    <row r="11094" spans="1:7" ht="58.5" customHeight="1" x14ac:dyDescent="0.25">
      <c r="A11094" s="5" t="str">
        <f>"H0001528"</f>
        <v>H0001528</v>
      </c>
      <c r="B11094" s="5" t="str">
        <f>"MICROSCOPIO BINOCULARES"</f>
        <v>MICROSCOPIO BINOCULARES</v>
      </c>
      <c r="C11094" s="6">
        <v>6500000</v>
      </c>
      <c r="D11094" s="5"/>
      <c r="E11094" s="5" t="str">
        <f t="shared" si="575"/>
        <v>ACTISALUD-PATOLOGIA-ANDREA LARA</v>
      </c>
      <c r="F11094" s="5" t="str">
        <f>"Descripcion:MICROSCOPIO TRIOCULAR MODELO CX-31  Estado: Bueno Placa anterior: 000033209 Material:  Color:  GRIS CLARO Referencia:  Observacion:  Placa padre:  Tipo adquisicion : Entidad"</f>
        <v>Descripcion:MICROSCOPIO TRIOCULAR MODELO CX-31  Estado: Bueno Placa anterior: 000033209 Material:  Color:  GRIS CLARO Referencia:  Observacion:  Placa padre:  Tipo adquisicion : Entidad</v>
      </c>
      <c r="G11094" s="5" t="str">
        <f>"CX31RBSFA"</f>
        <v>CX31RBSFA</v>
      </c>
    </row>
    <row r="11095" spans="1:7" ht="58.5" customHeight="1" x14ac:dyDescent="0.25">
      <c r="A11095" s="5" t="str">
        <f>"H0001529"</f>
        <v>H0001529</v>
      </c>
      <c r="B11095" s="5" t="str">
        <f>"COMPUTADOR TODO EN UNO"</f>
        <v>COMPUTADOR TODO EN UNO</v>
      </c>
      <c r="C11095" s="6">
        <v>2470000</v>
      </c>
      <c r="D11095" s="5" t="s">
        <v>6</v>
      </c>
      <c r="E11095" s="5" t="str">
        <f t="shared" si="575"/>
        <v>ACTISALUD-PATOLOGIA-ANDREA LARA</v>
      </c>
      <c r="F11095" s="5" t="str">
        <f>"Descripcion:COMPUTADOR  TODO EN UNO CON PROCESADOR INTEL i5 PANTALLA 21  Estado: Bueno Placa anterior: 000036978 Material:  Color: NEGRO Referencia:  Observacion:  Placa anterior:, Placa nueva=H0001531, Descripcion: MOUSE OPTICO, Serial:44PD057, Marca:LEN"&amp; "OVO, Modelo:, Material:, Color:NEGRO,   Referencia:, Placa anterior:, Placa nueva=H0001530, Descripcion:TECLADO, Serial:8279212, Marca:LENOVO, Modelo:, Material:, Color:NEGRO,   Referencia: Placa padre:  Tipo adquisicion : Entidad"</f>
        <v>Descripcion:COMPUTADOR  TODO EN UNO CON PROCESADOR INTEL i5 PANTALLA 21  Estado: Bueno Placa anterior: 000036978 Material:  Color: NEGRO Referencia:  Observacion:  Placa anterior:, Placa nueva=H0001531, Descripcion: MOUSE OPTICO, Serial:44PD057, Marca:LENOVO, Modelo:, Material:, Color:NEGRO,   Referencia:, Placa anterior:, Placa nueva=H0001530, Descripcion:TECLADO, Serial:8279212, Marca:LENOVO, Modelo:, Material:, Color:NEGRO,   Referencia: Placa padre:  Tipo adquisicion : Entidad</v>
      </c>
      <c r="G11095" s="5" t="str">
        <f>"THINKCENTER"</f>
        <v>THINKCENTER</v>
      </c>
    </row>
    <row r="11096" spans="1:7" ht="58.5" customHeight="1" x14ac:dyDescent="0.25">
      <c r="A11096" s="5" t="str">
        <f>"H0001534"</f>
        <v>H0001534</v>
      </c>
      <c r="B11096" s="5" t="str">
        <f>"ARCHIVADOR METALICO 3 GAVETAS"</f>
        <v>ARCHIVADOR METALICO 3 GAVETAS</v>
      </c>
      <c r="C11096" s="6">
        <v>63596.03</v>
      </c>
      <c r="D11096" s="5"/>
      <c r="E11096" s="5" t="str">
        <f t="shared" si="575"/>
        <v>ACTISALUD-PATOLOGIA-ANDREA LARA</v>
      </c>
      <c r="F11096" s="5" t="str">
        <f>"Descripcion:ARCHIVADOR METALICO 3 GAVETAS MEDIDAS:110X46X70CM Estado: Bueno Placa anterior: 000024890 Material: METALICO Color: GRIS  Referencia:  Observacion: AUTORIZADO CONCILIAR EN CRUCE GENERAL Placa padre:  Tipo adquisicion : Entidad"</f>
        <v>Descripcion:ARCHIVADOR METALICO 3 GAVETAS MEDIDAS:110X46X70CM Estado: Bueno Placa anterior: 000024890 Material: METALICO Color: GRIS  Referencia:  Observacion: AUTORIZADO CONCILIAR EN CRUCE GENERAL Placa padre:  Tipo adquisicion : Entidad</v>
      </c>
      <c r="G11096" s="5"/>
    </row>
    <row r="11097" spans="1:7" ht="58.5" customHeight="1" x14ac:dyDescent="0.25">
      <c r="A11097" s="5" t="str">
        <f>"H0001540"</f>
        <v>H0001540</v>
      </c>
      <c r="B11097" s="5" t="str">
        <f>"SILLA INTERLOCUTORA (FIJA) SIN BRAZOS"</f>
        <v>SILLA INTERLOCUTORA (FIJA) SIN BRAZOS</v>
      </c>
      <c r="C11097" s="6">
        <v>5610</v>
      </c>
      <c r="D11097" s="5"/>
      <c r="E11097" s="5" t="str">
        <f t="shared" si="575"/>
        <v>ACTISALUD-PATOLOGIA-ANDREA LARA</v>
      </c>
      <c r="F11097" s="5" t="str">
        <f>"Descripcion:SILLA INTERLOCUTORA FIJA  COLOR MARRON Estado: Bueno Placa anterior: 000008961 Material: TAPIZADO EN SEMICUERO Color: MARRON Referencia:  Observacion:  Placa padre:  Tipo adquisicion : Entidad"</f>
        <v>Descripcion:SILLA INTERLOCUTORA FIJA  COLOR MARRON Estado: Bueno Placa anterior: 000008961 Material: TAPIZADO EN SEMICUERO Color: MARRON Referencia:  Observacion:  Placa padre:  Tipo adquisicion : Entidad</v>
      </c>
      <c r="G11097" s="5"/>
    </row>
    <row r="11098" spans="1:7" ht="58.5" customHeight="1" x14ac:dyDescent="0.25">
      <c r="A11098" s="5" t="str">
        <f>"H0001543"</f>
        <v>H0001543</v>
      </c>
      <c r="B11098" s="5" t="str">
        <f>"MICROSCOPIO BINOCULARES"</f>
        <v>MICROSCOPIO BINOCULARES</v>
      </c>
      <c r="C11098" s="6">
        <v>4872000</v>
      </c>
      <c r="D11098" s="5"/>
      <c r="E11098" s="5" t="str">
        <f t="shared" si="575"/>
        <v>ACTISALUD-PATOLOGIA-ANDREA LARA</v>
      </c>
      <c r="F11098" s="5" t="str">
        <f>"Descripcion:MICROSCOPIO OLYMPUS  Estado: Bueno Placa anterior: 000022519 Material:  Color: GRIS Referencia:  Observacion:  Placa padre:  Tipo adquisicion : Entidad"</f>
        <v>Descripcion:MICROSCOPIO OLYMPUS  Estado: Bueno Placa anterior: 000022519 Material:  Color: GRIS Referencia:  Observacion:  Placa padre:  Tipo adquisicion : Entidad</v>
      </c>
      <c r="G11098" s="5" t="str">
        <f>"CX21FS1"</f>
        <v>CX21FS1</v>
      </c>
    </row>
    <row r="11099" spans="1:7" ht="58.5" customHeight="1" x14ac:dyDescent="0.25">
      <c r="A11099" s="5" t="str">
        <f>"H0001544"</f>
        <v>H0001544</v>
      </c>
      <c r="B11099" s="5" t="str">
        <f>"COMPUTADOR TODO EN UNO"</f>
        <v>COMPUTADOR TODO EN UNO</v>
      </c>
      <c r="C11099" s="6">
        <v>2470000</v>
      </c>
      <c r="D11099" s="5" t="s">
        <v>6</v>
      </c>
      <c r="E11099" s="5" t="str">
        <f t="shared" si="575"/>
        <v>ACTISALUD-PATOLOGIA-ANDREA LARA</v>
      </c>
      <c r="F11099" s="5" t="str">
        <f>"Descripcion:COMPUTADOR TODO EN UNO CON PROCESADOR INTEL i5 PANTALLA 21  Estado: Bueno Placa anterior: 000036979 Material: NEGRO Color: LENOVO Referencia:  Observacion:  Placa anterior:, Placa nueva=H0001546, Descripcion: MOUSE OPTICO, Serial:44PD617, Marc"&amp; "a:LENOVO, Modelo:, Material:, Color:NEGRO,   Referencia:, Placa anterior:, Placa nueva=H0001545, Descripcion:TECLADO, Serial:8259121, Marca:LENOVO, Modelo:, Material:, Color:NEGRO,   Referencia: Placa padre:  Tipo adquisicion : Entidad"</f>
        <v>Descripcion:COMPUTADOR TODO EN UNO CON PROCESADOR INTEL i5 PANTALLA 21  Estado: Bueno Placa anterior: 000036979 Material: NEGRO Color: LENOVO Referencia:  Observacion:  Placa anterior:, Placa nueva=H0001546, Descripcion: MOUSE OPTICO, Serial:44PD617, Marca:LENOVO, Modelo:, Material:, Color:NEGRO,   Referencia:, Placa anterior:, Placa nueva=H0001545, Descripcion:TECLADO, Serial:8259121, Marca:LENOVO, Modelo:, Material:, Color:NEGRO,   Referencia: Placa padre:  Tipo adquisicion : Entidad</v>
      </c>
      <c r="G11099" s="5"/>
    </row>
    <row r="11100" spans="1:7" ht="58.5" customHeight="1" x14ac:dyDescent="0.25">
      <c r="A11100" s="5" t="str">
        <f>"H0001552"</f>
        <v>H0001552</v>
      </c>
      <c r="B11100" s="5" t="str">
        <f>"MICROSCOPIO BINOCULARES"</f>
        <v>MICROSCOPIO BINOCULARES</v>
      </c>
      <c r="C11100" s="6">
        <v>6500000</v>
      </c>
      <c r="D11100" s="5"/>
      <c r="E11100" s="5" t="str">
        <f t="shared" si="575"/>
        <v>ACTISALUD-PATOLOGIA-ANDREA LARA</v>
      </c>
      <c r="F11100" s="5" t="str">
        <f>"Descripcion:MICROSCOPIO TRIOCULAR MODELO CX-31 Estado: Bueno Placa anterior: 000033211 Material:  Color: GRIS Referencia:  Observacion:  Placa padre:  Tipo adquisicion : Entidad"</f>
        <v>Descripcion:MICROSCOPIO TRIOCULAR MODELO CX-31 Estado: Bueno Placa anterior: 000033211 Material:  Color: GRIS Referencia:  Observacion:  Placa padre:  Tipo adquisicion : Entidad</v>
      </c>
      <c r="G11100" s="5"/>
    </row>
    <row r="11101" spans="1:7" ht="58.5" customHeight="1" x14ac:dyDescent="0.25">
      <c r="A11101" s="5" t="str">
        <f>"H0001553"</f>
        <v>H0001553</v>
      </c>
      <c r="B11101" s="5" t="str">
        <f t="shared" ref="B11101:B11106" si="576">"SILLA INTERLOCUTORA (FIJA) SIN BRAZOS"</f>
        <v>SILLA INTERLOCUTORA (FIJA) SIN BRAZOS</v>
      </c>
      <c r="C11101" s="6">
        <v>5610</v>
      </c>
      <c r="D11101" s="5"/>
      <c r="E11101" s="5" t="str">
        <f t="shared" si="575"/>
        <v>ACTISALUD-PATOLOGIA-ANDREA LARA</v>
      </c>
      <c r="F11101" s="5" t="str">
        <f>"Descripcion: SILLA INTERLOCUTORA (FIJA) SIN BRAZOS MARRON Estado: Bueno Placa anterior: 000008959 Material: TAPIZADO EN SEMICUERO Color: MARRON Referencia:  Observacion:  Placa padre:  Tipo adquisicion : Entidad"</f>
        <v>Descripcion: SILLA INTERLOCUTORA (FIJA) SIN BRAZOS MARRON Estado: Bueno Placa anterior: 000008959 Material: TAPIZADO EN SEMICUERO Color: MARRON Referencia:  Observacion:  Placa padre:  Tipo adquisicion : Entidad</v>
      </c>
      <c r="G11101" s="5"/>
    </row>
    <row r="11102" spans="1:7" ht="58.5" customHeight="1" x14ac:dyDescent="0.25">
      <c r="A11102" s="5" t="str">
        <f>"H0001556"</f>
        <v>H0001556</v>
      </c>
      <c r="B11102" s="5" t="str">
        <f t="shared" si="576"/>
        <v>SILLA INTERLOCUTORA (FIJA) SIN BRAZOS</v>
      </c>
      <c r="C11102" s="6">
        <v>5610</v>
      </c>
      <c r="D11102" s="5"/>
      <c r="E11102" s="5" t="str">
        <f t="shared" si="575"/>
        <v>ACTISALUD-PATOLOGIA-ANDREA LARA</v>
      </c>
      <c r="F11102" s="5" t="str">
        <f>"Descripcion: SILLA INTERLOCUTORA (FIJA) SIN BRAZOS MARRON Estado: Regular Placa anterior: 000008972 Material: TAPIZADO EN SEMICUERO Color: MARRON Referencia:  Observacion:  Placa padre:  Tipo adquisicion : Entidad"</f>
        <v>Descripcion: SILLA INTERLOCUTORA (FIJA) SIN BRAZOS MARRON Estado: Regular Placa anterior: 000008972 Material: TAPIZADO EN SEMICUERO Color: MARRON Referencia:  Observacion:  Placa padre:  Tipo adquisicion : Entidad</v>
      </c>
      <c r="G11102" s="5"/>
    </row>
    <row r="11103" spans="1:7" ht="58.5" customHeight="1" x14ac:dyDescent="0.25">
      <c r="A11103" s="5" t="str">
        <f>"H0001559"</f>
        <v>H0001559</v>
      </c>
      <c r="B11103" s="5" t="str">
        <f t="shared" si="576"/>
        <v>SILLA INTERLOCUTORA (FIJA) SIN BRAZOS</v>
      </c>
      <c r="C11103" s="6">
        <v>5610</v>
      </c>
      <c r="D11103" s="5"/>
      <c r="E11103" s="5" t="str">
        <f t="shared" si="575"/>
        <v>ACTISALUD-PATOLOGIA-ANDREA LARA</v>
      </c>
      <c r="F11103" s="5" t="str">
        <f>"Descripcion:SILLA FIJA INTERLOCUTORA COLOR MARRON Estado: Bueno Placa anterior: 000008973 Material: TAPIZADO EN SEMICUERO Color: MARRON Referencia:  Observacion:  Placa padre:  Tipo adquisicion : Entidad"</f>
        <v>Descripcion:SILLA FIJA INTERLOCUTORA COLOR MARRON Estado: Bueno Placa anterior: 000008973 Material: TAPIZADO EN SEMICUERO Color: MARRON Referencia:  Observacion:  Placa padre:  Tipo adquisicion : Entidad</v>
      </c>
      <c r="G11103" s="5"/>
    </row>
    <row r="11104" spans="1:7" ht="58.5" customHeight="1" x14ac:dyDescent="0.25">
      <c r="A11104" s="5" t="str">
        <f>"H0001560"</f>
        <v>H0001560</v>
      </c>
      <c r="B11104" s="5" t="str">
        <f t="shared" si="576"/>
        <v>SILLA INTERLOCUTORA (FIJA) SIN BRAZOS</v>
      </c>
      <c r="C11104" s="6">
        <v>5610</v>
      </c>
      <c r="D11104" s="5"/>
      <c r="E11104" s="5" t="str">
        <f t="shared" si="575"/>
        <v>ACTISALUD-PATOLOGIA-ANDREA LARA</v>
      </c>
      <c r="F11104" s="5" t="str">
        <f>"Descripcion:SILLA FIJA INTERLOCUTORA COLOR MARRON Estado: Bueno Placa anterior: 000008960 Material: TAPIZADO EN SEMICUERO Color: MARRON Referencia:  Observacion:  Placa padre:  Tipo adquisicion : Entidad"</f>
        <v>Descripcion:SILLA FIJA INTERLOCUTORA COLOR MARRON Estado: Bueno Placa anterior: 000008960 Material: TAPIZADO EN SEMICUERO Color: MARRON Referencia:  Observacion:  Placa padre:  Tipo adquisicion : Entidad</v>
      </c>
      <c r="G11104" s="5"/>
    </row>
    <row r="11105" spans="1:7" ht="58.5" customHeight="1" x14ac:dyDescent="0.25">
      <c r="A11105" s="5" t="str">
        <f>"H0001561"</f>
        <v>H0001561</v>
      </c>
      <c r="B11105" s="5" t="str">
        <f t="shared" si="576"/>
        <v>SILLA INTERLOCUTORA (FIJA) SIN BRAZOS</v>
      </c>
      <c r="C11105" s="6">
        <v>5610</v>
      </c>
      <c r="D11105" s="5"/>
      <c r="E11105" s="5" t="str">
        <f t="shared" si="575"/>
        <v>ACTISALUD-PATOLOGIA-ANDREA LARA</v>
      </c>
      <c r="F11105" s="5" t="str">
        <f>"Descripcion:SILLA FIJA INTERLOCUTORA COLOR MARRON Estado: Bueno Placa anterior: 000009045 Material: TAPIZADO EN SEMICUERO Color: MARRON Referencia:  Observacion:  Placa padre:  Tipo adquisicion : Entidad"</f>
        <v>Descripcion:SILLA FIJA INTERLOCUTORA COLOR MARRON Estado: Bueno Placa anterior: 000009045 Material: TAPIZADO EN SEMICUERO Color: MARRON Referencia:  Observacion:  Placa padre:  Tipo adquisicion : Entidad</v>
      </c>
      <c r="G11105" s="5"/>
    </row>
    <row r="11106" spans="1:7" ht="58.5" customHeight="1" x14ac:dyDescent="0.25">
      <c r="A11106" s="5" t="str">
        <f>"H0001562"</f>
        <v>H0001562</v>
      </c>
      <c r="B11106" s="5" t="str">
        <f t="shared" si="576"/>
        <v>SILLA INTERLOCUTORA (FIJA) SIN BRAZOS</v>
      </c>
      <c r="C11106" s="6">
        <v>5610</v>
      </c>
      <c r="D11106" s="5"/>
      <c r="E11106" s="5" t="str">
        <f t="shared" si="575"/>
        <v>ACTISALUD-PATOLOGIA-ANDREA LARA</v>
      </c>
      <c r="F11106" s="5" t="str">
        <f>"Descripcion:SILLA FIJA INTERLOCUTORA COLOR MARRON Estado: Malo Placa anterior: 000008953 Material: TAPIZADO EN SEMICUERO Color: MARRON Referencia:  Observacion:  Placa padre:  Tipo adquisicion : Entidad"</f>
        <v>Descripcion:SILLA FIJA INTERLOCUTORA COLOR MARRON Estado: Malo Placa anterior: 000008953 Material: TAPIZADO EN SEMICUERO Color: MARRON Referencia:  Observacion:  Placa padre:  Tipo adquisicion : Entidad</v>
      </c>
      <c r="G11106" s="5"/>
    </row>
    <row r="11107" spans="1:7" ht="58.5" customHeight="1" x14ac:dyDescent="0.25">
      <c r="A11107" s="5" t="str">
        <f>"H0001563"</f>
        <v>H0001563</v>
      </c>
      <c r="B11107" s="5" t="str">
        <f>"MESA METALICA"</f>
        <v>MESA METALICA</v>
      </c>
      <c r="C11107" s="6">
        <v>42000</v>
      </c>
      <c r="D11107" s="5"/>
      <c r="E11107" s="5" t="str">
        <f t="shared" si="575"/>
        <v>ACTISALUD-PATOLOGIA-ANDREA LARA</v>
      </c>
      <c r="F11107" s="5" t="str">
        <f>"Descripcion:MESA DE MADERA REDONDA CON BASE METALICA Y MESON EN FORMICA  Estado: Bueno Placa anterior: 000008993 Material: METALICO CON MESON EN MADERA Color: MARRON CON GRIS Referencia:  Observacion:  Placa padre:  Tipo adquisicion : Entidad"</f>
        <v>Descripcion:MESA DE MADERA REDONDA CON BASE METALICA Y MESON EN FORMICA  Estado: Bueno Placa anterior: 000008993 Material: METALICO CON MESON EN MADERA Color: MARRON CON GRIS Referencia:  Observacion:  Placa padre:  Tipo adquisicion : Entidad</v>
      </c>
      <c r="G11107" s="5"/>
    </row>
    <row r="11108" spans="1:7" ht="58.5" customHeight="1" x14ac:dyDescent="0.25">
      <c r="A11108" s="5" t="str">
        <f>"H0001565"</f>
        <v>H0001565</v>
      </c>
      <c r="B11108" s="5" t="str">
        <f>"MESA DE MADERA PARA COMPUTADOR"</f>
        <v>MESA DE MADERA PARA COMPUTADOR</v>
      </c>
      <c r="C11108" s="6">
        <v>125000</v>
      </c>
      <c r="D11108" s="5"/>
      <c r="E11108" s="5" t="str">
        <f t="shared" si="575"/>
        <v>ACTISALUD-PATOLOGIA-ANDREA LARA</v>
      </c>
      <c r="F11108" s="5" t="str">
        <f>"Descripcion:MESA PARA COMPUTADOR EN MADERA Estado: Bueno Placa anterior: 000008805 Material: MADERA Y FORMICA Color: BEIGE Referencia:  Observacion:  Placa padre:  Tipo adquisicion : Entidad"</f>
        <v>Descripcion:MESA PARA COMPUTADOR EN MADERA Estado: Bueno Placa anterior: 000008805 Material: MADERA Y FORMICA Color: BEIGE Referencia:  Observacion:  Placa padre:  Tipo adquisicion : Entidad</v>
      </c>
      <c r="G11108" s="5"/>
    </row>
    <row r="11109" spans="1:7" ht="58.5" customHeight="1" x14ac:dyDescent="0.25">
      <c r="A11109" s="5" t="str">
        <f>"H0001566"</f>
        <v>H0001566</v>
      </c>
      <c r="B11109" s="5" t="str">
        <f>"MESA (CARRO) DE CURACIONES"</f>
        <v>MESA (CARRO) DE CURACIONES</v>
      </c>
      <c r="C11109" s="6">
        <v>27500</v>
      </c>
      <c r="D11109" s="5"/>
      <c r="E11109" s="5" t="str">
        <f t="shared" si="575"/>
        <v>ACTISALUD-PATOLOGIA-ANDREA LARA</v>
      </c>
      <c r="F11109" s="5" t="str">
        <f>"Descripcion:MESA CON RODACHIN, 80X80X50 DOS COMPARTIMIENTOS Estado: Bueno Placa anterior: 000008979 Material: METALICO Color: PLATEADO Referencia:  Observacion:  Placa padre:  Tipo adquisicion : Entidad"</f>
        <v>Descripcion:MESA CON RODACHIN, 80X80X50 DOS COMPARTIMIENTOS Estado: Bueno Placa anterior: 000008979 Material: METALICO Color: PLATEADO Referencia:  Observacion:  Placa padre:  Tipo adquisicion : Entidad</v>
      </c>
      <c r="G11109" s="5"/>
    </row>
    <row r="11110" spans="1:7" ht="58.5" customHeight="1" x14ac:dyDescent="0.25">
      <c r="A11110" s="5" t="str">
        <f>"H0001567"</f>
        <v>H0001567</v>
      </c>
      <c r="B11110" s="5" t="str">
        <f>"SILLA ERGONOMICA SIN BRAZOS CON REPOSAPIES"</f>
        <v>SILLA ERGONOMICA SIN BRAZOS CON REPOSAPIES</v>
      </c>
      <c r="C11110" s="6">
        <v>338720</v>
      </c>
      <c r="D11110" s="5"/>
      <c r="E11110" s="5" t="str">
        <f t="shared" si="575"/>
        <v>ACTISALUD-PATOLOGIA-ANDREA LARA</v>
      </c>
      <c r="F11110" s="5" t="str">
        <f>"Descripcion:SILLA ERGONOMICA BPE 03 Estado: Regular Placa anterior: 000025329 Material: METALICO Y PLASTICO Color: NEGRO Referencia:  Observacion:  Placa padre:  Tipo adquisicion : Entidad"</f>
        <v>Descripcion:SILLA ERGONOMICA BPE 03 Estado: Regular Placa anterior: 000025329 Material: METALICO Y PLASTICO Color: NEGRO Referencia:  Observacion:  Placa padre:  Tipo adquisicion : Entidad</v>
      </c>
      <c r="G11110" s="5"/>
    </row>
    <row r="11111" spans="1:7" ht="58.5" customHeight="1" x14ac:dyDescent="0.25">
      <c r="A11111" s="5" t="str">
        <f>"H0001569"</f>
        <v>H0001569</v>
      </c>
      <c r="B11111" s="5" t="str">
        <f>"BUTACO GIRATORIO SIN RUEDAS"</f>
        <v>BUTACO GIRATORIO SIN RUEDAS</v>
      </c>
      <c r="C11111" s="6">
        <v>8930</v>
      </c>
      <c r="D11111" s="5"/>
      <c r="E11111" s="5" t="str">
        <f t="shared" si="575"/>
        <v>ACTISALUD-PATOLOGIA-ANDREA LARA</v>
      </c>
      <c r="F11111" s="5" t="str">
        <f>"Descripcion:BUTACO GIRATORIO SIN ESPALDAR Estado: Bueno Placa anterior: 000009003 Material: METALICO Color: GRIS Y NEGRO Referencia:  Observacion:  Placa padre:  Tipo adquisicion : Entidad"</f>
        <v>Descripcion:BUTACO GIRATORIO SIN ESPALDAR Estado: Bueno Placa anterior: 000009003 Material: METALICO Color: GRIS Y NEGRO Referencia:  Observacion:  Placa padre:  Tipo adquisicion : Entidad</v>
      </c>
      <c r="G11111" s="5"/>
    </row>
    <row r="11112" spans="1:7" ht="58.5" customHeight="1" x14ac:dyDescent="0.25">
      <c r="A11112" s="5" t="str">
        <f>"H0001570"</f>
        <v>H0001570</v>
      </c>
      <c r="B11112" s="5" t="str">
        <f>"BUTACO GIRATORIO SIN RUEDAS"</f>
        <v>BUTACO GIRATORIO SIN RUEDAS</v>
      </c>
      <c r="C11112" s="6">
        <v>8930</v>
      </c>
      <c r="D11112" s="5"/>
      <c r="E11112" s="5" t="str">
        <f t="shared" si="575"/>
        <v>ACTISALUD-PATOLOGIA-ANDREA LARA</v>
      </c>
      <c r="F11112" s="5" t="str">
        <f>"Descripcion:BUTACO GIRATORIO SIN ESPALDAR Estado: Bueno Placa anterior: 000012017 Material: METALICO Color: GRIS Y NEGRO Referencia:  Observacion:  Placa padre:  Tipo adquisicion : Entidad"</f>
        <v>Descripcion:BUTACO GIRATORIO SIN ESPALDAR Estado: Bueno Placa anterior: 000012017 Material: METALICO Color: GRIS Y NEGRO Referencia:  Observacion:  Placa padre:  Tipo adquisicion : Entidad</v>
      </c>
      <c r="G11112" s="5"/>
    </row>
    <row r="11113" spans="1:7" ht="58.5" customHeight="1" x14ac:dyDescent="0.25">
      <c r="A11113" s="5" t="str">
        <f>"H0001572"</f>
        <v>H0001572</v>
      </c>
      <c r="B11113" s="5" t="str">
        <f>"MORTERO"</f>
        <v>MORTERO</v>
      </c>
      <c r="C11113" s="6">
        <v>15000</v>
      </c>
      <c r="D11113" s="5"/>
      <c r="E11113" s="5" t="str">
        <f t="shared" si="575"/>
        <v>ACTISALUD-PATOLOGIA-ANDREA LARA</v>
      </c>
      <c r="F11113" s="5" t="str">
        <f>"Descripcion:MORTERO DE PORCELANA DE 800 ML ALEMAN Estado: Bueno Placa anterior: 000009224 Material: PORCELANA Color: BLANCO Referencia:  Observacion:  Placa padre:  Tipo adquisicion : Entidad"</f>
        <v>Descripcion:MORTERO DE PORCELANA DE 800 ML ALEMAN Estado: Bueno Placa anterior: 000009224 Material: PORCELANA Color: BLANCO Referencia:  Observacion:  Placa padre:  Tipo adquisicion : Entidad</v>
      </c>
      <c r="G11113" s="5"/>
    </row>
    <row r="11114" spans="1:7" ht="58.5" customHeight="1" x14ac:dyDescent="0.25">
      <c r="A11114" s="5" t="str">
        <f>"H0001573"</f>
        <v>H0001573</v>
      </c>
      <c r="B11114" s="5" t="str">
        <f>"SIERRA PARA CORTE DE YESO"</f>
        <v>SIERRA PARA CORTE DE YESO</v>
      </c>
      <c r="C11114" s="6">
        <v>161204.95000000001</v>
      </c>
      <c r="D11114" s="5"/>
      <c r="E11114" s="5" t="str">
        <f t="shared" si="575"/>
        <v>ACTISALUD-PATOLOGIA-ANDREA LARA</v>
      </c>
      <c r="F11114" s="5" t="str">
        <f>"Descripcion:SIERRA ELECTRICA CRANEOTOMIA CON: Estado: Bueno Placa anterior: 000009255 Material: METAL Y PASTA Color: NEGRO Y BEIGE Referencia:  Observacion:  Placa padre:  Tipo adquisicion : Entidad"</f>
        <v>Descripcion:SIERRA ELECTRICA CRANEOTOMIA CON: Estado: Bueno Placa anterior: 000009255 Material: METAL Y PASTA Color: NEGRO Y BEIGE Referencia:  Observacion:  Placa padre:  Tipo adquisicion : Entidad</v>
      </c>
      <c r="G11114" s="5"/>
    </row>
    <row r="11115" spans="1:7" ht="58.5" customHeight="1" x14ac:dyDescent="0.25">
      <c r="A11115" s="5" t="str">
        <f>"H0001574"</f>
        <v>H0001574</v>
      </c>
      <c r="B11115" s="5" t="str">
        <f>"BALANZA ANALOGA DE COLGAR (PESO)"</f>
        <v>BALANZA ANALOGA DE COLGAR (PESO)</v>
      </c>
      <c r="C11115" s="6">
        <v>3000</v>
      </c>
      <c r="D11115" s="5"/>
      <c r="E11115" s="5" t="str">
        <f t="shared" si="575"/>
        <v>ACTISALUD-PATOLOGIA-ANDREA LARA</v>
      </c>
      <c r="F11115" s="5" t="str">
        <f>"Descripcion:BALANZA DETECTO MCA.MATIC CON CAP. 30KL Estado: Bueno Placa anterior: 000009053 Material: METAL Color: PLATEADO Referencia:  Observacion:  Placa padre:  Tipo adquisicion : Entidad"</f>
        <v>Descripcion:BALANZA DETECTO MCA.MATIC CON CAP. 30KL Estado: Bueno Placa anterior: 000009053 Material: METAL Color: PLATEADO Referencia:  Observacion:  Placa padre:  Tipo adquisicion : Entidad</v>
      </c>
      <c r="G11115" s="5" t="str">
        <f>"MATIC 30KG"</f>
        <v>MATIC 30KG</v>
      </c>
    </row>
    <row r="11116" spans="1:7" ht="58.5" customHeight="1" x14ac:dyDescent="0.25">
      <c r="A11116" s="5" t="str">
        <f>"H0001580"</f>
        <v>H0001580</v>
      </c>
      <c r="B11116" s="5" t="str">
        <f t="shared" ref="B11116:B11122" si="577">"ESTANTE METALICO 5 ENTREPAÑOS"</f>
        <v>ESTANTE METALICO 5 ENTREPAÑOS</v>
      </c>
      <c r="C11116" s="6">
        <v>9599.01</v>
      </c>
      <c r="D11116" s="5"/>
      <c r="E11116" s="5" t="str">
        <f t="shared" ref="E11116:E11147" si="578">"ACTISALUD-PATOLOGIA-ANDREA LARA"</f>
        <v>ACTISALUD-PATOLOGIA-ANDREA LARA</v>
      </c>
      <c r="F11116" s="5" t="str">
        <f>"Descripcion:ESTANTE METÁLICO DE 5 ENTREPAÑOS DIM:180X90X30 CMS. Estado: Bueno Placa anterior: 000009058 Material: METALICO Color: GRIS Referencia:  Observacion:  Placa padre:  Tipo adquisicion : Entidad"</f>
        <v>Descripcion:ESTANTE METÁLICO DE 5 ENTREPAÑOS DIM:180X90X30 CMS. Estado: Bueno Placa anterior: 000009058 Material: METALICO Color: GRIS Referencia:  Observacion:  Placa padre:  Tipo adquisicion : Entidad</v>
      </c>
      <c r="G11116" s="5"/>
    </row>
    <row r="11117" spans="1:7" ht="58.5" customHeight="1" x14ac:dyDescent="0.25">
      <c r="A11117" s="5" t="str">
        <f>"H0001581"</f>
        <v>H0001581</v>
      </c>
      <c r="B11117" s="5" t="str">
        <f t="shared" si="577"/>
        <v>ESTANTE METALICO 5 ENTREPAÑOS</v>
      </c>
      <c r="C11117" s="6">
        <v>9599.01</v>
      </c>
      <c r="D11117" s="5"/>
      <c r="E11117" s="5" t="str">
        <f t="shared" si="578"/>
        <v>ACTISALUD-PATOLOGIA-ANDREA LARA</v>
      </c>
      <c r="F11117" s="5" t="str">
        <f>"Descripcion:ESTANTE METÁLICO DE 5 ENTREPAÑOS DIM:180X90X30 CMS. Estado: Bueno Placa anterior: 000009015 Material: METALICO Color: GRIS Referencia:  Observacion:  Placa padre:  Tipo adquisicion : Entidad"</f>
        <v>Descripcion:ESTANTE METÁLICO DE 5 ENTREPAÑOS DIM:180X90X30 CMS. Estado: Bueno Placa anterior: 000009015 Material: METALICO Color: GRIS Referencia:  Observacion:  Placa padre:  Tipo adquisicion : Entidad</v>
      </c>
      <c r="G11117" s="5"/>
    </row>
    <row r="11118" spans="1:7" ht="58.5" customHeight="1" x14ac:dyDescent="0.25">
      <c r="A11118" s="5" t="str">
        <f>"H0001591"</f>
        <v>H0001591</v>
      </c>
      <c r="B11118" s="5" t="str">
        <f t="shared" si="577"/>
        <v>ESTANTE METALICO 5 ENTREPAÑOS</v>
      </c>
      <c r="C11118" s="6">
        <v>9599.01</v>
      </c>
      <c r="D11118" s="5"/>
      <c r="E11118" s="5" t="str">
        <f t="shared" si="578"/>
        <v>ACTISALUD-PATOLOGIA-ANDREA LARA</v>
      </c>
      <c r="F11118" s="5" t="str">
        <f>"Descripcion:ESTANTE METALICO Estado: Bueno Placa anterior: 000008946 Material: METALICO Color: BEIGE  Referencia:  Observacion:  Placa padre:  Tipo adquisicion : Entidad"</f>
        <v>Descripcion:ESTANTE METALICO Estado: Bueno Placa anterior: 000008946 Material: METALICO Color: BEIGE  Referencia:  Observacion:  Placa padre:  Tipo adquisicion : Entidad</v>
      </c>
      <c r="G11118" s="5"/>
    </row>
    <row r="11119" spans="1:7" ht="58.5" customHeight="1" x14ac:dyDescent="0.25">
      <c r="A11119" s="5" t="str">
        <f>"H0001594"</f>
        <v>H0001594</v>
      </c>
      <c r="B11119" s="5" t="str">
        <f t="shared" si="577"/>
        <v>ESTANTE METALICO 5 ENTREPAÑOS</v>
      </c>
      <c r="C11119" s="6">
        <v>9599.01</v>
      </c>
      <c r="D11119" s="5"/>
      <c r="E11119" s="5" t="str">
        <f t="shared" si="578"/>
        <v>ACTISALUD-PATOLOGIA-ANDREA LARA</v>
      </c>
      <c r="F11119" s="5" t="str">
        <f>"Descripcion:ESTANTE METALICO Estado: Bueno Placa anterior: 000008950 Material: METALICO Color: BEIGE Referencia:  Observacion:  Placa padre:  Tipo adquisicion : Entidad"</f>
        <v>Descripcion:ESTANTE METALICO Estado: Bueno Placa anterior: 000008950 Material: METALICO Color: BEIGE Referencia:  Observacion:  Placa padre:  Tipo adquisicion : Entidad</v>
      </c>
      <c r="G11119" s="5"/>
    </row>
    <row r="11120" spans="1:7" ht="58.5" customHeight="1" x14ac:dyDescent="0.25">
      <c r="A11120" s="5" t="str">
        <f>"H0001597"</f>
        <v>H0001597</v>
      </c>
      <c r="B11120" s="5" t="str">
        <f t="shared" si="577"/>
        <v>ESTANTE METALICO 5 ENTREPAÑOS</v>
      </c>
      <c r="C11120" s="6">
        <v>9599.01</v>
      </c>
      <c r="D11120" s="5"/>
      <c r="E11120" s="5" t="str">
        <f t="shared" si="578"/>
        <v>ACTISALUD-PATOLOGIA-ANDREA LARA</v>
      </c>
      <c r="F11120" s="5" t="str">
        <f>"Descripcion:ESTANTE METALICO Estado: Bueno Placa anterior: 000009014 Material: METALICO Color: BEIGE Referencia:  Observacion:  Placa padre:  Tipo adquisicion : Entidad"</f>
        <v>Descripcion:ESTANTE METALICO Estado: Bueno Placa anterior: 000009014 Material: METALICO Color: BEIGE Referencia:  Observacion:  Placa padre:  Tipo adquisicion : Entidad</v>
      </c>
      <c r="G11120" s="5"/>
    </row>
    <row r="11121" spans="1:7" ht="58.5" customHeight="1" x14ac:dyDescent="0.25">
      <c r="A11121" s="5" t="str">
        <f>"H0001599"</f>
        <v>H0001599</v>
      </c>
      <c r="B11121" s="5" t="str">
        <f t="shared" si="577"/>
        <v>ESTANTE METALICO 5 ENTREPAÑOS</v>
      </c>
      <c r="C11121" s="6">
        <v>9599.01</v>
      </c>
      <c r="D11121" s="5"/>
      <c r="E11121" s="5" t="str">
        <f t="shared" si="578"/>
        <v>ACTISALUD-PATOLOGIA-ANDREA LARA</v>
      </c>
      <c r="F11121" s="5" t="str">
        <f>"Descripcion:ESTANTE METALICO Estado: Bueno Placa anterior: 000009039 Material: METALICO Color: BEIGE Referencia:  Observacion:  Placa padre:  Tipo adquisicion : Entidad"</f>
        <v>Descripcion:ESTANTE METALICO Estado: Bueno Placa anterior: 000009039 Material: METALICO Color: BEIGE Referencia:  Observacion:  Placa padre:  Tipo adquisicion : Entidad</v>
      </c>
      <c r="G11121" s="5"/>
    </row>
    <row r="11122" spans="1:7" ht="58.5" customHeight="1" x14ac:dyDescent="0.25">
      <c r="A11122" s="5" t="str">
        <f>"H0001600"</f>
        <v>H0001600</v>
      </c>
      <c r="B11122" s="5" t="str">
        <f t="shared" si="577"/>
        <v>ESTANTE METALICO 5 ENTREPAÑOS</v>
      </c>
      <c r="C11122" s="6">
        <v>18479.71</v>
      </c>
      <c r="D11122" s="5"/>
      <c r="E11122" s="5" t="str">
        <f t="shared" si="578"/>
        <v>ACTISALUD-PATOLOGIA-ANDREA LARA</v>
      </c>
      <c r="F11122" s="5" t="str">
        <f>"Descripcion:ESTANTE METALICO Estado: Bueno Placa anterior: 000008777 Material: METALICO Color: BEIGE Referencia:  Observacion:  Placa padre:  Tipo adquisicion : Entidad"</f>
        <v>Descripcion:ESTANTE METALICO Estado: Bueno Placa anterior: 000008777 Material: METALICO Color: BEIGE Referencia:  Observacion:  Placa padre:  Tipo adquisicion : Entidad</v>
      </c>
      <c r="G11122" s="5"/>
    </row>
    <row r="11123" spans="1:7" ht="58.5" customHeight="1" x14ac:dyDescent="0.25">
      <c r="A11123" s="5" t="str">
        <f>"H0001602"</f>
        <v>H0001602</v>
      </c>
      <c r="B11123" s="5" t="str">
        <f>"LOCKER DE 3 COMPARTIMIENTOS"</f>
        <v>LOCKER DE 3 COMPARTIMIENTOS</v>
      </c>
      <c r="C11123" s="6">
        <v>10384</v>
      </c>
      <c r="D11123" s="5"/>
      <c r="E11123" s="5" t="str">
        <f t="shared" si="578"/>
        <v>ACTISALUD-PATOLOGIA-ANDREA LARA</v>
      </c>
      <c r="F11123" s="5" t="str">
        <f>"Descripcion:LOCKER TIPO B (3 PUESTOS) Estado: Bueno Placa anterior: 000009061 Material: METALICO Color: GRIS CLARO Referencia:  Observacion:  Placa padre:  Tipo adquisicion : Entidad"</f>
        <v>Descripcion:LOCKER TIPO B (3 PUESTOS) Estado: Bueno Placa anterior: 000009061 Material: METALICO Color: GRIS CLARO Referencia:  Observacion:  Placa padre:  Tipo adquisicion : Entidad</v>
      </c>
      <c r="G11123" s="5"/>
    </row>
    <row r="11124" spans="1:7" ht="58.5" customHeight="1" x14ac:dyDescent="0.25">
      <c r="A11124" s="5" t="str">
        <f>"H0001613"</f>
        <v>H0001613</v>
      </c>
      <c r="B11124" s="5" t="str">
        <f>"VITRINA DE 1 CUERPO"</f>
        <v>VITRINA DE 1 CUERPO</v>
      </c>
      <c r="C11124" s="6">
        <v>290000</v>
      </c>
      <c r="D11124" s="5"/>
      <c r="E11124" s="5" t="str">
        <f t="shared" si="578"/>
        <v>ACTISALUD-PATOLOGIA-ANDREA LARA</v>
      </c>
      <c r="F11124" s="5" t="str">
        <f>"Descripcion:VITRINA METALICA DE UN CUERPO  CON UNA GAVETA DIM: 162X50X30 Estado: Malo Placa anterior: 000033294 Material: METALICO Color: GRIS Referencia:  Observacion: AUTORIZADO CONCILIAR EN CRUCE GENERAL Placa padre:  Tipo adquisicion : Entidad"</f>
        <v>Descripcion:VITRINA METALICA DE UN CUERPO  CON UNA GAVETA DIM: 162X50X30 Estado: Malo Placa anterior: 000033294 Material: METALICO Color: GRIS Referencia:  Observacion: AUTORIZADO CONCILIAR EN CRUCE GENERAL Placa padre:  Tipo adquisicion : Entidad</v>
      </c>
      <c r="G11124" s="5"/>
    </row>
    <row r="11125" spans="1:7" ht="58.5" customHeight="1" x14ac:dyDescent="0.25">
      <c r="A11125" s="5" t="str">
        <f>"H0001808"</f>
        <v>H0001808</v>
      </c>
      <c r="B11125" s="5" t="str">
        <f>"RELOJ MULTI TIMER PARA LABORATORIO"</f>
        <v>RELOJ MULTI TIMER PARA LABORATORIO</v>
      </c>
      <c r="C11125" s="6">
        <v>290580</v>
      </c>
      <c r="D11125" s="5"/>
      <c r="E11125" s="5" t="str">
        <f t="shared" si="578"/>
        <v>ACTISALUD-PATOLOGIA-ANDREA LARA</v>
      </c>
      <c r="F11125" s="5" t="str">
        <f>"Descripcion:RELOJ DE TIME CON TIMBRE Estado: Bueno Placa anterior: 000009035 Material: METALICO Color: MARRON Referencia:  Observacion:  Placa padre:  Tipo adquisicion : Entidad"</f>
        <v>Descripcion:RELOJ DE TIME CON TIMBRE Estado: Bueno Placa anterior: 000009035 Material: METALICO Color: MARRON Referencia:  Observacion:  Placa padre:  Tipo adquisicion : Entidad</v>
      </c>
      <c r="G11125" s="5"/>
    </row>
    <row r="11126" spans="1:7" ht="58.5" customHeight="1" x14ac:dyDescent="0.25">
      <c r="A11126" s="5" t="str">
        <f>"H0001810"</f>
        <v>H0001810</v>
      </c>
      <c r="B11126" s="5" t="str">
        <f>"ARCHIVADOR PARA PORTAOBJETOS (LABORATORIO)"</f>
        <v>ARCHIVADOR PARA PORTAOBJETOS (LABORATORIO)</v>
      </c>
      <c r="C11126" s="6">
        <v>979885</v>
      </c>
      <c r="D11126" s="5"/>
      <c r="E11126" s="5" t="str">
        <f t="shared" si="578"/>
        <v>ACTISALUD-PATOLOGIA-ANDREA LARA</v>
      </c>
      <c r="F11126" s="5" t="str">
        <f>"Descripcion:ARCHIVADOR DE LAMINAS PORTA-OBJETOS MCA.STOCK16 GAVETAS PEQUEÑAS Estado: Bueno Placa anterior: 000008986 Material: METALICO Color: BEIGE Referencia:  Observacion:  Placa padre:  Tipo adquisicion : Entidad"</f>
        <v>Descripcion:ARCHIVADOR DE LAMINAS PORTA-OBJETOS MCA.STOCK16 GAVETAS PEQUEÑAS Estado: Bueno Placa anterior: 000008986 Material: METALICO Color: BEIGE Referencia:  Observacion:  Placa padre:  Tipo adquisicion : Entidad</v>
      </c>
      <c r="G11126" s="5"/>
    </row>
    <row r="11127" spans="1:7" ht="58.5" customHeight="1" x14ac:dyDescent="0.25">
      <c r="A11127" s="5" t="str">
        <f>"H0001813"</f>
        <v>H0001813</v>
      </c>
      <c r="B11127" s="5" t="str">
        <f>"SILLA ERGONOMICA TIPO SECRETARIA SIN BRAZOS"</f>
        <v>SILLA ERGONOMICA TIPO SECRETARIA SIN BRAZOS</v>
      </c>
      <c r="C11127" s="6">
        <v>16500</v>
      </c>
      <c r="D11127" s="5"/>
      <c r="E11127" s="5" t="str">
        <f t="shared" si="578"/>
        <v>ACTISALUD-PATOLOGIA-ANDREA LARA</v>
      </c>
      <c r="F11127" s="5" t="str">
        <f>"Descripcion:SILLA TIPO B (GIRATORIA SIN BRAZOS) Estado: Bueno Placa anterior: 000008977 Material: TAPIZADO EN SEMICUERO Color: NEGRO Referencia:  Observacion:  Placa padre:  Tipo adquisicion : Entidad"</f>
        <v>Descripcion:SILLA TIPO B (GIRATORIA SIN BRAZOS) Estado: Bueno Placa anterior: 000008977 Material: TAPIZADO EN SEMICUERO Color: NEGRO Referencia:  Observacion:  Placa padre:  Tipo adquisicion : Entidad</v>
      </c>
      <c r="G11127" s="5"/>
    </row>
    <row r="11128" spans="1:7" ht="58.5" customHeight="1" x14ac:dyDescent="0.25">
      <c r="A11128" s="5" t="str">
        <f>"H0001816"</f>
        <v>H0001816</v>
      </c>
      <c r="B11128" s="5" t="str">
        <f>"MICROTOMO GIRATORIO"</f>
        <v>MICROTOMO GIRATORIO</v>
      </c>
      <c r="C11128" s="6">
        <v>44229640</v>
      </c>
      <c r="D11128" s="5"/>
      <c r="E11128" s="5" t="str">
        <f t="shared" si="578"/>
        <v>ACTISALUD-PATOLOGIA-ANDREA LARA</v>
      </c>
      <c r="F11128" s="5" t="str">
        <f>"Descripcion:MICROTOMO DE ROTACION SHANDON FINESSE 325, CON RETROCESO. RPODUCE CORTES EXACTOS REPRODUCIBLES TANTO PARA ESPECIMENES DE INCLUSION EN PARAFINA COMO EN PLASTICO. CUENTA CON MAYOR PESO DEL MERCADO DE 40 KILOS, LO CUAL BRINDA ESTABILIDAD AL MOMEN"&amp; "TO DEL CORT Estado: Bueno Placa anterior: 000026160 Material: PLASTICO Color: BLANCO Referencia:  Observacion:  Placa padre:  Tipo adquisicion : Entidad"</f>
        <v>Descripcion:MICROTOMO DE ROTACION SHANDON FINESSE 325, CON RETROCESO. RPODUCE CORTES EXACTOS REPRODUCIBLES TANTO PARA ESPECIMENES DE INCLUSION EN PARAFINA COMO EN PLASTICO. CUENTA CON MAYOR PESO DEL MERCADO DE 40 KILOS, LO CUAL BRINDA ESTABILIDAD AL MOMENTO DEL CORT Estado: Bueno Placa anterior: 000026160 Material: PLASTICO Color: BLANCO Referencia:  Observacion:  Placa padre:  Tipo adquisicion : Entidad</v>
      </c>
      <c r="G11128" s="5" t="str">
        <f>"SHANDON FINESSE 325"</f>
        <v>SHANDON FINESSE 325</v>
      </c>
    </row>
    <row r="11129" spans="1:7" ht="58.5" customHeight="1" x14ac:dyDescent="0.25">
      <c r="A11129" s="5" t="str">
        <f>"H0001817"</f>
        <v>H0001817</v>
      </c>
      <c r="B11129" s="5" t="str">
        <f>"MICROTOMO GIRATORIO"</f>
        <v>MICROTOMO GIRATORIO</v>
      </c>
      <c r="C11129" s="6">
        <v>40600000</v>
      </c>
      <c r="D11129" s="5" t="s">
        <v>7</v>
      </c>
      <c r="E11129" s="5" t="str">
        <f t="shared" si="578"/>
        <v>ACTISALUD-PATOLOGIA-ANDREA LARA</v>
      </c>
      <c r="F11129" s="5" t="str">
        <f>"Descripcion:MICROTOMO DE ROTACION CON RETROCESO Estado: Bueno Placa anterior: 000030705 Material: PLASTICO Color: BLANCO Referencia:  Observacion:  Placa padre:  Tipo adquisicion : Entidad"</f>
        <v>Descripcion:MICROTOMO DE ROTACION CON RETROCESO Estado: Bueno Placa anterior: 000030705 Material: PLASTICO Color: BLANCO Referencia:  Observacion:  Placa padre:  Tipo adquisicion : Entidad</v>
      </c>
      <c r="G11129" s="5" t="str">
        <f>"MICRO HM 325"</f>
        <v>MICRO HM 325</v>
      </c>
    </row>
    <row r="11130" spans="1:7" ht="58.5" customHeight="1" x14ac:dyDescent="0.25">
      <c r="A11130" s="5" t="str">
        <f>"H0001818"</f>
        <v>H0001818</v>
      </c>
      <c r="B11130" s="5" t="str">
        <f>"PROCESADOR DE TEJIDO"</f>
        <v>PROCESADOR DE TEJIDO</v>
      </c>
      <c r="C11130" s="6">
        <v>60320000</v>
      </c>
      <c r="D11130" s="5" t="s">
        <v>7</v>
      </c>
      <c r="E11130" s="5" t="str">
        <f t="shared" si="578"/>
        <v>ACTISALUD-PATOLOGIA-ANDREA LARA</v>
      </c>
      <c r="F11130" s="5" t="str">
        <f>"Descripcion:PROCESADOR DE TEJIDO CON CAPACIDAD DE 110 CASSETES (110V-60HZ), *con estaciones de reactivo fàciles de retirar * con funcion para programarse con minimo de 5 dias de antelacion Estado: Bueno Placa anterior: 000030706 Material:  Color:  Referen"&amp; "cia:  Observacion: FUNCIONARIO AUTORIZA SE CONCILIE CON PLACA    000030706 Placa padre:  Tipo adquisicion : Entidad"</f>
        <v>Descripcion:PROCESADOR DE TEJIDO CON CAPACIDAD DE 110 CASSETES (110V-60HZ), *con estaciones de reactivo fàciles de retirar * con funcion para programarse con minimo de 5 dias de antelacion Estado: Bueno Placa anterior: 000030706 Material:  Color:  Referencia:  Observacion: FUNCIONARIO AUTORIZA SE CONCILIE CON PLACA    000030706 Placa padre:  Tipo adquisicion : Entidad</v>
      </c>
      <c r="G11130" s="5"/>
    </row>
    <row r="11131" spans="1:7" ht="58.5" customHeight="1" x14ac:dyDescent="0.25">
      <c r="A11131" s="5" t="str">
        <f>"H0001820"</f>
        <v>H0001820</v>
      </c>
      <c r="B11131" s="5" t="str">
        <f>"VITRINA DE 1 CUERPO"</f>
        <v>VITRINA DE 1 CUERPO</v>
      </c>
      <c r="C11131" s="6">
        <v>20790</v>
      </c>
      <c r="D11131" s="5"/>
      <c r="E11131" s="5" t="str">
        <f t="shared" si="578"/>
        <v>ACTISALUD-PATOLOGIA-ANDREA LARA</v>
      </c>
      <c r="F11131" s="5" t="str">
        <f>"Descripcion:VITRINA DE UN CUERPO Estado: Bueno Placa anterior: 000009057 Material: METALICO Color: GRIS Referencia:  Observacion:  Placa padre:  Tipo adquisicion : Entidad"</f>
        <v>Descripcion:VITRINA DE UN CUERPO Estado: Bueno Placa anterior: 000009057 Material: METALICO Color: GRIS Referencia:  Observacion:  Placa padre:  Tipo adquisicion : Entidad</v>
      </c>
      <c r="G11131" s="5"/>
    </row>
    <row r="11132" spans="1:7" ht="58.5" customHeight="1" x14ac:dyDescent="0.25">
      <c r="A11132" s="5" t="str">
        <f>"H0001822"</f>
        <v>H0001822</v>
      </c>
      <c r="B11132" s="5" t="str">
        <f>"ARCHIVADOR PARA PORTAOBJETOS (LABORATORIO)"</f>
        <v>ARCHIVADOR PARA PORTAOBJETOS (LABORATORIO)</v>
      </c>
      <c r="C11132" s="6">
        <v>1119085</v>
      </c>
      <c r="D11132" s="5"/>
      <c r="E11132" s="5" t="str">
        <f t="shared" si="578"/>
        <v>ACTISALUD-PATOLOGIA-ANDREA LARA</v>
      </c>
      <c r="F11132" s="5" t="str">
        <f>"Descripcion:ARCHIVADOR DE LAMINAS PORTA-OBJETOS MCA.STOCK16 GAVETAS PEQUEÑAS Estado: Bueno Placa anterior: 000008984 Material: METALICO Color: BEIGE Referencia:  Observacion:  Placa padre:  Tipo adquisicion : Entidad"</f>
        <v>Descripcion:ARCHIVADOR DE LAMINAS PORTA-OBJETOS MCA.STOCK16 GAVETAS PEQUEÑAS Estado: Bueno Placa anterior: 000008984 Material: METALICO Color: BEIGE Referencia:  Observacion:  Placa padre:  Tipo adquisicion : Entidad</v>
      </c>
      <c r="G11132" s="5"/>
    </row>
    <row r="11133" spans="1:7" ht="58.5" customHeight="1" x14ac:dyDescent="0.25">
      <c r="A11133" s="5" t="str">
        <f>"H0001823"</f>
        <v>H0001823</v>
      </c>
      <c r="B11133" s="5" t="str">
        <f>"ARCHIVADOR PARA PORTAOBJETOS (LABORATORIO)"</f>
        <v>ARCHIVADOR PARA PORTAOBJETOS (LABORATORIO)</v>
      </c>
      <c r="C11133" s="6">
        <v>1119085</v>
      </c>
      <c r="D11133" s="5"/>
      <c r="E11133" s="5" t="str">
        <f t="shared" si="578"/>
        <v>ACTISALUD-PATOLOGIA-ANDREA LARA</v>
      </c>
      <c r="F11133" s="5" t="str">
        <f>"Descripcion:ARCHIVADOR DE LAMINAS PORTA-OBJETOS MCA.STOCK16 GAVETAS PEQUEÑAS Estado: Bueno Placa anterior: 000008985 Material: METALICO Color: BEIGE Referencia:  Observacion:  Placa padre:  Tipo adquisicion : Entidad"</f>
        <v>Descripcion:ARCHIVADOR DE LAMINAS PORTA-OBJETOS MCA.STOCK16 GAVETAS PEQUEÑAS Estado: Bueno Placa anterior: 000008985 Material: METALICO Color: BEIGE Referencia:  Observacion:  Placa padre:  Tipo adquisicion : Entidad</v>
      </c>
      <c r="G11133" s="5"/>
    </row>
    <row r="11134" spans="1:7" ht="58.5" customHeight="1" x14ac:dyDescent="0.25">
      <c r="A11134" s="5" t="str">
        <f>"H0001824"</f>
        <v>H0001824</v>
      </c>
      <c r="B11134" s="5" t="str">
        <f>"BALANZA (PESO) ANALOGA (GRAMERA)"</f>
        <v>BALANZA (PESO) ANALOGA (GRAMERA)</v>
      </c>
      <c r="C11134" s="6">
        <v>330</v>
      </c>
      <c r="D11134" s="5"/>
      <c r="E11134" s="5" t="str">
        <f t="shared" si="578"/>
        <v>ACTISALUD-PATOLOGIA-ANDREA LARA</v>
      </c>
      <c r="F11134" s="5" t="str">
        <f>"Descripcion:BALANZA DE 2 PLATILLOS SENSIBILIDAD 1/10 GRS Estado: Bueno Placa anterior: 000009226 Material: METALICO Color: NEGRO Referencia:  Observacion:  Placa padre:  Tipo adquisicion : Entidad"</f>
        <v>Descripcion:BALANZA DE 2 PLATILLOS SENSIBILIDAD 1/10 GRS Estado: Bueno Placa anterior: 000009226 Material: METALICO Color: NEGRO Referencia:  Observacion:  Placa padre:  Tipo adquisicion : Entidad</v>
      </c>
      <c r="G11134" s="5" t="str">
        <f>"HARVARD"</f>
        <v>HARVARD</v>
      </c>
    </row>
    <row r="11135" spans="1:7" ht="58.5" customHeight="1" x14ac:dyDescent="0.25">
      <c r="A11135" s="5" t="str">
        <f>"H0001826"</f>
        <v>H0001826</v>
      </c>
      <c r="B11135" s="5" t="str">
        <f>"BALANZA (PESO) DIGITAL (GRAMERA)"</f>
        <v>BALANZA (PESO) DIGITAL (GRAMERA)</v>
      </c>
      <c r="C11135" s="6">
        <v>3850001</v>
      </c>
      <c r="D11135" s="5" t="s">
        <v>63</v>
      </c>
      <c r="E11135" s="5" t="str">
        <f t="shared" si="578"/>
        <v>ACTISALUD-PATOLOGIA-ANDREA LARA</v>
      </c>
      <c r="F11135" s="5" t="str">
        <f>"Descripcion:BALANZA ANALITICA STANDAR CON CABINA DE VIDRIO REF. BAS 31 ESPECIFICACIONES TECNICAS MAXIMA CAPACIDAD 220 GR CARGA MINIMA 0.01g legibilidad 0.0001G Estado: Bueno Placa anterior: 000037996 Material: PLASTICO Color: BLANCO CON AZUL Referencia:  "&amp; "Observacion:  Placa padre:  Tipo adquisicion : Entidad"</f>
        <v>Descripcion:BALANZA ANALITICA STANDAR CON CABINA DE VIDRIO REF. BAS 31 ESPECIFICACIONES TECNICAS MAXIMA CAPACIDAD 220 GR CARGA MINIMA 0.01g legibilidad 0.0001G Estado: Bueno Placa anterior: 000037996 Material: PLASTICO Color: BLANCO CON AZUL Referencia:  Observacion:  Placa padre:  Tipo adquisicion : Entidad</v>
      </c>
      <c r="G11135" s="5" t="str">
        <f>"BAS 31 PLUS"</f>
        <v>BAS 31 PLUS</v>
      </c>
    </row>
    <row r="11136" spans="1:7" ht="58.5" customHeight="1" x14ac:dyDescent="0.25">
      <c r="A11136" s="5" t="str">
        <f>"H0001828"</f>
        <v>H0001828</v>
      </c>
      <c r="B11136" s="5" t="str">
        <f>"SILLA ERGONOMICA TIPO SECRETARIA SIN BRAZOS"</f>
        <v>SILLA ERGONOMICA TIPO SECRETARIA SIN BRAZOS</v>
      </c>
      <c r="C11136" s="6">
        <v>285592</v>
      </c>
      <c r="D11136" s="5"/>
      <c r="E11136" s="5" t="str">
        <f t="shared" si="578"/>
        <v>ACTISALUD-PATOLOGIA-ANDREA LARA</v>
      </c>
      <c r="F11136" s="5" t="str">
        <f>"Descripcion:SILLA ERGONOMICA ROBIM MEDIA Estado: Bueno Placa anterior: 000025300 Material: TAPIZADO EN SEMICUERO NEGRO Color: NEGRO Referencia:  Observacion:  Placa padre:  Tipo adquisicion : Entidad"</f>
        <v>Descripcion:SILLA ERGONOMICA ROBIM MEDIA Estado: Bueno Placa anterior: 000025300 Material: TAPIZADO EN SEMICUERO NEGRO Color: NEGRO Referencia:  Observacion:  Placa padre:  Tipo adquisicion : Entidad</v>
      </c>
      <c r="G11136" s="5"/>
    </row>
    <row r="11137" spans="1:7" ht="58.5" customHeight="1" x14ac:dyDescent="0.25">
      <c r="A11137" s="5" t="str">
        <f>"H0001829"</f>
        <v>H0001829</v>
      </c>
      <c r="B11137" s="5" t="str">
        <f>"SILLA ERGONOMICA TIPO SECRETARIA SIN BRAZOS"</f>
        <v>SILLA ERGONOMICA TIPO SECRETARIA SIN BRAZOS</v>
      </c>
      <c r="C11137" s="6">
        <v>211120</v>
      </c>
      <c r="D11137" s="5"/>
      <c r="E11137" s="5" t="str">
        <f t="shared" si="578"/>
        <v>ACTISALUD-PATOLOGIA-ANDREA LARA</v>
      </c>
      <c r="F11137" s="5" t="str">
        <f>"Descripcion:SILLA ERGONOMICA AT 02 (TA-SECRETARIAL) Estado: Bueno Placa anterior: 000025245 Material: TAPIZADO EN TELA DE PAÑO Color: NEGRO Referencia:  Observacion:  Placa padre:  Tipo adquisicion : Entidad"</f>
        <v>Descripcion:SILLA ERGONOMICA AT 02 (TA-SECRETARIAL) Estado: Bueno Placa anterior: 000025245 Material: TAPIZADO EN TELA DE PAÑO Color: NEGRO Referencia:  Observacion:  Placa padre:  Tipo adquisicion : Entidad</v>
      </c>
      <c r="G11137" s="5"/>
    </row>
    <row r="11138" spans="1:7" ht="58.5" customHeight="1" x14ac:dyDescent="0.25">
      <c r="A11138" s="5" t="str">
        <f>"H0001831"</f>
        <v>H0001831</v>
      </c>
      <c r="B11138" s="5" t="str">
        <f>"SILLA ERGONOMICA TIPO SECRETARIA SIN BRAZOS"</f>
        <v>SILLA ERGONOMICA TIPO SECRETARIA SIN BRAZOS</v>
      </c>
      <c r="C11138" s="6">
        <v>148480</v>
      </c>
      <c r="D11138" s="5"/>
      <c r="E11138" s="5" t="str">
        <f t="shared" si="578"/>
        <v>ACTISALUD-PATOLOGIA-ANDREA LARA</v>
      </c>
      <c r="F11138" s="5" t="str">
        <f>"Descripcion:SILLA ERGONOMICA MECANICA ER-53 Estado: Bueno Placa anterior: 000009041 Material: TAPIZADO EN TELA DE PAÑO Color: NEGRO Referencia:  Observacion:  Placa padre:  Tipo adquisicion : Entidad"</f>
        <v>Descripcion:SILLA ERGONOMICA MECANICA ER-53 Estado: Bueno Placa anterior: 000009041 Material: TAPIZADO EN TELA DE PAÑO Color: NEGRO Referencia:  Observacion:  Placa padre:  Tipo adquisicion : Entidad</v>
      </c>
      <c r="G11138" s="5"/>
    </row>
    <row r="11139" spans="1:7" ht="58.5" customHeight="1" x14ac:dyDescent="0.25">
      <c r="A11139" s="5" t="str">
        <f>"H0001832"</f>
        <v>H0001832</v>
      </c>
      <c r="B11139" s="5" t="str">
        <f>"BAÑO  DE FLOTACION PARA CORTES DE TEJIDO"</f>
        <v>BAÑO  DE FLOTACION PARA CORTES DE TEJIDO</v>
      </c>
      <c r="C11139" s="6">
        <v>1740000</v>
      </c>
      <c r="D11139" s="5" t="s">
        <v>7</v>
      </c>
      <c r="E11139" s="5" t="str">
        <f t="shared" si="578"/>
        <v>ACTISALUD-PATOLOGIA-ANDREA LARA</v>
      </c>
      <c r="F11139" s="5" t="str">
        <f>"Descripcion:BAÑO DE FLOTACION CIRCULAR PARA CORTES DE PARAFINA . Que mantenga una temperatura constante del agua Estado: Bueno Placa anterior: 000030704 Material: METALICO Color:  Referencia:  Observacion:  Placa padre:  Tipo adquisicion : Entidad"</f>
        <v>Descripcion:BAÑO DE FLOTACION CIRCULAR PARA CORTES DE PARAFINA . Que mantenga una temperatura constante del agua Estado: Bueno Placa anterior: 000030704 Material: METALICO Color:  Referencia:  Observacion:  Placa padre:  Tipo adquisicion : Entidad</v>
      </c>
      <c r="G11139" s="5"/>
    </row>
    <row r="11140" spans="1:7" ht="58.5" customHeight="1" x14ac:dyDescent="0.25">
      <c r="A11140" s="5" t="str">
        <f>"H0001833"</f>
        <v>H0001833</v>
      </c>
      <c r="B11140" s="5" t="str">
        <f>"BAÑO  DE FLOTACION PARA CORTES DE TEJIDO"</f>
        <v>BAÑO  DE FLOTACION PARA CORTES DE TEJIDO</v>
      </c>
      <c r="C11140" s="6">
        <v>3359</v>
      </c>
      <c r="D11140" s="5"/>
      <c r="E11140" s="5" t="str">
        <f t="shared" si="578"/>
        <v>ACTISALUD-PATOLOGIA-ANDREA LARA</v>
      </c>
      <c r="F11140" s="5" t="str">
        <f>"Descripcion:BAÑO DE FLOTACION DE TEJIDO HISTOLOGICAMENTE MEDAX Estado: Bueno Placa anterior: 000009227 Material: METALICO Color:  Referencia:  Observacion:  Placa padre:  Tipo adquisicion : Entidad"</f>
        <v>Descripcion:BAÑO DE FLOTACION DE TEJIDO HISTOLOGICAMENTE MEDAX Estado: Bueno Placa anterior: 000009227 Material: METALICO Color:  Referencia:  Observacion:  Placa padre:  Tipo adquisicion : Entidad</v>
      </c>
      <c r="G11140" s="5"/>
    </row>
    <row r="11141" spans="1:7" ht="58.5" customHeight="1" x14ac:dyDescent="0.25">
      <c r="A11141" s="5" t="str">
        <f>"H0001836"</f>
        <v>H0001836</v>
      </c>
      <c r="B11141" s="5" t="str">
        <f>"ESTANTE METALICO 7 ENTREPAÑOS"</f>
        <v>ESTANTE METALICO 7 ENTREPAÑOS</v>
      </c>
      <c r="C11141" s="6">
        <v>18479.71</v>
      </c>
      <c r="D11141" s="5"/>
      <c r="E11141" s="5" t="str">
        <f t="shared" si="578"/>
        <v>ACTISALUD-PATOLOGIA-ANDREA LARA</v>
      </c>
      <c r="F11141" s="5" t="str">
        <f>"Descripcion:ESTANTE METALICO 7 ENTREPAÑOS Estado: Bueno Placa anterior: 000008711 Material: METALICO  Color: GRIS Referencia:  Observacion:  Placa padre:  Tipo adquisicion : Entidad"</f>
        <v>Descripcion:ESTANTE METALICO 7 ENTREPAÑOS Estado: Bueno Placa anterior: 000008711 Material: METALICO  Color: GRIS Referencia:  Observacion:  Placa padre:  Tipo adquisicion : Entidad</v>
      </c>
      <c r="G11141" s="5"/>
    </row>
    <row r="11142" spans="1:7" ht="58.5" customHeight="1" x14ac:dyDescent="0.25">
      <c r="A11142" s="5" t="str">
        <f>"H0001837"</f>
        <v>H0001837</v>
      </c>
      <c r="B11142" s="5" t="str">
        <f>"ESTANTE METALICO 7 ENTREPAÑOS"</f>
        <v>ESTANTE METALICO 7 ENTREPAÑOS</v>
      </c>
      <c r="C11142" s="6">
        <v>18479.71</v>
      </c>
      <c r="D11142" s="5"/>
      <c r="E11142" s="5" t="str">
        <f t="shared" si="578"/>
        <v>ACTISALUD-PATOLOGIA-ANDREA LARA</v>
      </c>
      <c r="F11142" s="5" t="str">
        <f>"Descripcion:ESTANTE METALICO 7 ENTREPAÑOS Estado: Bueno Placa anterior: 000008772 Material: METALICO Color: BEIGE Referencia:  Observacion:  Placa padre:  Tipo adquisicion : Entidad"</f>
        <v>Descripcion:ESTANTE METALICO 7 ENTREPAÑOS Estado: Bueno Placa anterior: 000008772 Material: METALICO Color: BEIGE Referencia:  Observacion:  Placa padre:  Tipo adquisicion : Entidad</v>
      </c>
      <c r="G11142" s="5"/>
    </row>
    <row r="11143" spans="1:7" ht="58.5" customHeight="1" x14ac:dyDescent="0.25">
      <c r="A11143" s="5" t="str">
        <f>"H0001839"</f>
        <v>H0001839</v>
      </c>
      <c r="B11143" s="5" t="str">
        <f>"ESTANTE METALICO 5 ENTREPAÑOS"</f>
        <v>ESTANTE METALICO 5 ENTREPAÑOS</v>
      </c>
      <c r="C11143" s="6">
        <v>18479.71</v>
      </c>
      <c r="D11143" s="5"/>
      <c r="E11143" s="5" t="str">
        <f t="shared" si="578"/>
        <v>ACTISALUD-PATOLOGIA-ANDREA LARA</v>
      </c>
      <c r="F11143" s="5" t="str">
        <f>"Descripcion:ESTANTE METALICO 5 ENTREPAÑOS Estado: Bueno Placa anterior: 000008704 Material: METALICO Color: BEIGE Referencia:  Observacion:  Placa padre:  Tipo adquisicion : Entidad"</f>
        <v>Descripcion:ESTANTE METALICO 5 ENTREPAÑOS Estado: Bueno Placa anterior: 000008704 Material: METALICO Color: BEIGE Referencia:  Observacion:  Placa padre:  Tipo adquisicion : Entidad</v>
      </c>
      <c r="G11143" s="5"/>
    </row>
    <row r="11144" spans="1:7" ht="58.5" customHeight="1" x14ac:dyDescent="0.25">
      <c r="A11144" s="5" t="str">
        <f>"H0001857"</f>
        <v>H0001857</v>
      </c>
      <c r="B11144" s="5" t="str">
        <f>"SILLA RECLINOMATICA"</f>
        <v>SILLA RECLINOMATICA</v>
      </c>
      <c r="C11144" s="6">
        <v>1218000</v>
      </c>
      <c r="D11144" s="5" t="s">
        <v>445</v>
      </c>
      <c r="E11144" s="5" t="str">
        <f t="shared" si="578"/>
        <v>ACTISALUD-PATOLOGIA-ANDREA LARA</v>
      </c>
      <c r="F11144" s="5" t="str">
        <f>"Descripcion:SILLA PARA ACOMPAÑANTE EN MATERIAL LAVABLE CON SISTEMA RECLINABLE Estado: Excelente Placa anterior: 000037584 Material: TAPIZADO EN SEMICUERO Color: NEGRO Referencia:  Observacion:  Placa padre:  Tipo adquisicion : Entidad"</f>
        <v>Descripcion:SILLA PARA ACOMPAÑANTE EN MATERIAL LAVABLE CON SISTEMA RECLINABLE Estado: Excelente Placa anterior: 000037584 Material: TAPIZADO EN SEMICUERO Color: NEGRO Referencia:  Observacion:  Placa padre:  Tipo adquisicion : Entidad</v>
      </c>
      <c r="G11144" s="5"/>
    </row>
    <row r="11145" spans="1:7" ht="58.5" customHeight="1" x14ac:dyDescent="0.25">
      <c r="A11145" s="5" t="str">
        <f>"H0001870"</f>
        <v>H0001870</v>
      </c>
      <c r="B11145" s="5" t="str">
        <f>"SILLA RECLINOMATICA"</f>
        <v>SILLA RECLINOMATICA</v>
      </c>
      <c r="C11145" s="6">
        <v>1218000</v>
      </c>
      <c r="D11145" s="5" t="s">
        <v>445</v>
      </c>
      <c r="E11145" s="5" t="str">
        <f t="shared" si="578"/>
        <v>ACTISALUD-PATOLOGIA-ANDREA LARA</v>
      </c>
      <c r="F11145" s="5" t="str">
        <f>"Descripcion:SILLA PARA ACOMPAÑANTE EN MATERIAL LAVABLE CON SISTEMA RECLINABLE Estado: Excelente Placa anterior: 000037585 Material: TAPIZADO EN SEMICUERO Color: NEGRO Referencia:  Observacion:  Placa padre:  Tipo adquisicion : Entidad"</f>
        <v>Descripcion:SILLA PARA ACOMPAÑANTE EN MATERIAL LAVABLE CON SISTEMA RECLINABLE Estado: Excelente Placa anterior: 000037585 Material: TAPIZADO EN SEMICUERO Color: NEGRO Referencia:  Observacion:  Placa padre:  Tipo adquisicion : Entidad</v>
      </c>
      <c r="G11145" s="5"/>
    </row>
    <row r="11146" spans="1:7" ht="58.5" customHeight="1" x14ac:dyDescent="0.25">
      <c r="A11146" s="5" t="str">
        <f>"H0004117"</f>
        <v>H0004117</v>
      </c>
      <c r="B11146" s="5" t="str">
        <f>"COMPUTADOR TODO EN UNO"</f>
        <v>COMPUTADOR TODO EN UNO</v>
      </c>
      <c r="C11146" s="6">
        <v>2470000</v>
      </c>
      <c r="D11146" s="5" t="s">
        <v>6</v>
      </c>
      <c r="E11146" s="5" t="str">
        <f t="shared" si="578"/>
        <v>ACTISALUD-PATOLOGIA-ANDREA LARA</v>
      </c>
      <c r="F11146" s="5" t="str">
        <f>"Descripcion: EQUIPO DE COMPUTO TODO EN UNO CON PROCESADOR INTEL i5 Estado: Bueno Placa anterior: 000036983 Material: PASTA Color: NEGRO Referencia:  Observacion:  Placa anterior:, Placa nueva=H0004120, Descripcion:., Serial:, Marca:GENIUS, Modelo:SP-QO65,"&amp; " Material:PASTA, Color:NEGRO GRIS, Referencia:, Placa anterior:, Placa nueva=H0004119, Descripcion:OPTICO, Serial:44PD614, Marca:LENOVO, Modelo:, Material:PASTA, Color:NEGRO, Referencia:, Placa anterior:, Placa nueva=H0004118, Descripcion:., Serial:SN: 82"&amp; "59082, Marca:LENOVO, Modelo:KU-0225, Material:PASTA, Color:NEGRO, Referencia: Placa padre: Tipo adquisicion: Entidad"</f>
        <v>Descripcion: EQUIPO DE COMPUTO TODO EN UNO CON PROCESADOR INTEL i5 Estado: Bueno Placa anterior: 000036983 Material: PASTA Color: NEGRO Referencia:  Observacion:  Placa anterior:, Placa nueva=H0004120, Descripcion:., Serial:, Marca:GENIUS, Modelo:SP-QO65, Material:PASTA, Color:NEGRO GRIS, Referencia:, Placa anterior:, Placa nueva=H0004119, Descripcion:OPTICO, Serial:44PD614, Marca:LENOVO, Modelo:, Material:PASTA, Color:NEGRO, Referencia:, Placa anterior:, Placa nueva=H0004118, Descripcion:., Serial:SN: 8259082, Marca:LENOVO, Modelo:KU-0225, Material:PASTA, Color:NEGRO, Referencia: Placa padre: Tipo adquisicion: Entidad</v>
      </c>
      <c r="G11146" s="5" t="str">
        <f>"THINKCENTREOOFDLS"</f>
        <v>THINKCENTREOOFDLS</v>
      </c>
    </row>
    <row r="11147" spans="1:7" ht="58.5" customHeight="1" x14ac:dyDescent="0.25">
      <c r="A11147" s="5" t="str">
        <f>"H0005152"</f>
        <v>H0005152</v>
      </c>
      <c r="B11147" s="5" t="str">
        <f>"MULTIMUEBLE ENCHAPADO EN FORMICA"</f>
        <v>MULTIMUEBLE ENCHAPADO EN FORMICA</v>
      </c>
      <c r="C11147" s="6">
        <v>600000</v>
      </c>
      <c r="D11147" s="5"/>
      <c r="E11147" s="5" t="str">
        <f t="shared" si="578"/>
        <v>ACTISALUD-PATOLOGIA-ANDREA LARA</v>
      </c>
      <c r="F11147" s="5" t="str">
        <f>"Descripcion: MUEBLE ARCHIVO AZ VERTICALESTRES ENTREPAÑOSDOS PUERTAS182X96X50 Estado: Bueno Placa anterior: 000033460 Material: MADEFLEX Color: BEIGE Referencia:  Observacion:  Placa padre: Tipo adquisicion: Entidad"</f>
        <v>Descripcion: MUEBLE ARCHIVO AZ VERTICALESTRES ENTREPAÑOSDOS PUERTAS182X96X50 Estado: Bueno Placa anterior: 000033460 Material: MADEFLEX Color: BEIGE Referencia:  Observacion:  Placa padre: Tipo adquisicion: Entidad</v>
      </c>
      <c r="G11147" s="5"/>
    </row>
    <row r="11148" spans="1:7" ht="58.5" customHeight="1" x14ac:dyDescent="0.25">
      <c r="A11148" s="5" t="str">
        <f>"H0005686"</f>
        <v>H0005686</v>
      </c>
      <c r="B11148" s="5" t="str">
        <f>"ESTANTE METALICO 5 ENTREPAÑOS"</f>
        <v>ESTANTE METALICO 5 ENTREPAÑOS</v>
      </c>
      <c r="C11148" s="6">
        <v>18479.71</v>
      </c>
      <c r="D11148" s="5"/>
      <c r="E11148" s="5" t="str">
        <f t="shared" ref="E11148:E11179" si="579">"ACTISALUD-PATOLOGIA-ANDREA LARA"</f>
        <v>ACTISALUD-PATOLOGIA-ANDREA LARA</v>
      </c>
      <c r="F11148" s="5" t="str">
        <f>"Descripcion:ESTANTE METALICO. DIMENSIONES: 200X90X40 CM Estado: Bueno Placa anterior: 000008769 Material: METALICO Color: GRIS Referencia:  Observacion: EL BIEN TIENE PLACA ANTERIOR 000027848 Placa padre:  Tipo adquisicion : Entidad"</f>
        <v>Descripcion:ESTANTE METALICO. DIMENSIONES: 200X90X40 CM Estado: Bueno Placa anterior: 000008769 Material: METALICO Color: GRIS Referencia:  Observacion: EL BIEN TIENE PLACA ANTERIOR 000027848 Placa padre:  Tipo adquisicion : Entidad</v>
      </c>
      <c r="G11148" s="5"/>
    </row>
    <row r="11149" spans="1:7" ht="58.5" customHeight="1" x14ac:dyDescent="0.25">
      <c r="A11149" s="5" t="str">
        <f>"H0012525"</f>
        <v>H0012525</v>
      </c>
      <c r="B11149" s="5" t="str">
        <f>"TERMOHIGROMETRO DIGITAL"</f>
        <v>TERMOHIGROMETRO DIGITAL</v>
      </c>
      <c r="C11149" s="6">
        <v>139200</v>
      </c>
      <c r="D11149" s="5"/>
      <c r="E11149" s="5" t="str">
        <f t="shared" si="579"/>
        <v>ACTISALUD-PATOLOGIA-ANDREA LARA</v>
      </c>
      <c r="F11149" s="5" t="str">
        <f>"Descripcion: TERMOHIGROMETRO DIGITAL TIPO JUMBO CON CERTIFICADO Estado: Bueno Placa anterior: 000036782 Material: PLASTICO Color: BLANCO Referencia:  Observacion:  Placa padre: Tipo adquisicion: Entidad"</f>
        <v>Descripcion: TERMOHIGROMETRO DIGITAL TIPO JUMBO CON CERTIFICADO Estado: Bueno Placa anterior: 000036782 Material: PLASTICO Color: BLANCO Referencia:  Observacion:  Placa padre: Tipo adquisicion: Entidad</v>
      </c>
      <c r="G11149" s="5"/>
    </row>
    <row r="11150" spans="1:7" ht="58.5" customHeight="1" x14ac:dyDescent="0.25">
      <c r="A11150" s="5" t="str">
        <f>"H0017234"</f>
        <v>H0017234</v>
      </c>
      <c r="B11150" s="5" t="str">
        <f>"ESTANTE METALICO 6 ENTREPAÑOS"</f>
        <v>ESTANTE METALICO 6 ENTREPAÑOS</v>
      </c>
      <c r="C11150" s="6">
        <v>8840.07</v>
      </c>
      <c r="D11150" s="5"/>
      <c r="E11150" s="5" t="str">
        <f t="shared" si="579"/>
        <v>ACTISALUD-PATOLOGIA-ANDREA LARA</v>
      </c>
      <c r="F11150" s="5" t="str">
        <f>"Descripcion: ESTANTE METALICO Estado: Bueno Placa anterior: 000002336 Material: METALICO Color: GRIS Referencia:  Observacion:  Placa padre: Tipo adquisicion: Entidad"</f>
        <v>Descripcion: ESTANTE METALICO Estado: Bueno Placa anterior: 000002336 Material: METALICO Color: GRIS Referencia:  Observacion:  Placa padre: Tipo adquisicion: Entidad</v>
      </c>
      <c r="G11150" s="5"/>
    </row>
    <row r="11151" spans="1:7" ht="58.5" customHeight="1" x14ac:dyDescent="0.25">
      <c r="A11151" s="5" t="str">
        <f>"H0017236"</f>
        <v>H0017236</v>
      </c>
      <c r="B11151" s="5" t="str">
        <f>"ESTANTE METALICO 6 ENTREPAÑOS"</f>
        <v>ESTANTE METALICO 6 ENTREPAÑOS</v>
      </c>
      <c r="C11151" s="6">
        <v>8840.07</v>
      </c>
      <c r="D11151" s="5"/>
      <c r="E11151" s="5" t="str">
        <f t="shared" si="579"/>
        <v>ACTISALUD-PATOLOGIA-ANDREA LARA</v>
      </c>
      <c r="F11151" s="5" t="str">
        <f>"Descripcion: ESTANTE METALICO Estado: Bueno Placa anterior: 000002352 Material: METALICO Color: GRIS Referencia:  Observacion:  Placa padre: Tipo adquisicion: Entidad"</f>
        <v>Descripcion: ESTANTE METALICO Estado: Bueno Placa anterior: 000002352 Material: METALICO Color: GRIS Referencia:  Observacion:  Placa padre: Tipo adquisicion: Entidad</v>
      </c>
      <c r="G11151" s="5"/>
    </row>
    <row r="11152" spans="1:7" ht="58.5" customHeight="1" x14ac:dyDescent="0.25">
      <c r="A11152" s="5" t="str">
        <f>"H0017237"</f>
        <v>H0017237</v>
      </c>
      <c r="B11152" s="5" t="str">
        <f>"ESTANTE METALICO 6 ENTREPAÑOS"</f>
        <v>ESTANTE METALICO 6 ENTREPAÑOS</v>
      </c>
      <c r="C11152" s="6">
        <v>8840.07</v>
      </c>
      <c r="D11152" s="5"/>
      <c r="E11152" s="5" t="str">
        <f t="shared" si="579"/>
        <v>ACTISALUD-PATOLOGIA-ANDREA LARA</v>
      </c>
      <c r="F11152" s="5" t="str">
        <f>"Descripcion: ESTANTE METALICO Estado: Bueno Placa anterior: 000002353 Material: METALICO Color: GRIS Referencia:  Observacion:  Placa padre: Tipo adquisicion: Entidad"</f>
        <v>Descripcion: ESTANTE METALICO Estado: Bueno Placa anterior: 000002353 Material: METALICO Color: GRIS Referencia:  Observacion:  Placa padre: Tipo adquisicion: Entidad</v>
      </c>
      <c r="G11152" s="5"/>
    </row>
    <row r="11153" spans="1:7" ht="58.5" customHeight="1" x14ac:dyDescent="0.25">
      <c r="A11153" s="5" t="str">
        <f>"H0017240"</f>
        <v>H0017240</v>
      </c>
      <c r="B11153" s="5" t="str">
        <f>"ESTANTE METALICO 6 ENTREPAÑOS"</f>
        <v>ESTANTE METALICO 6 ENTREPAÑOS</v>
      </c>
      <c r="C11153" s="6">
        <v>8840.07</v>
      </c>
      <c r="D11153" s="5"/>
      <c r="E11153" s="5" t="str">
        <f t="shared" si="579"/>
        <v>ACTISALUD-PATOLOGIA-ANDREA LARA</v>
      </c>
      <c r="F11153" s="5" t="str">
        <f>"Descripcion: ESTANTE METALICO Estado: Bueno Placa anterior: 000002348 Material: METALICO Color: GRIS Referencia:  Observacion:  Placa padre: Tipo adquisicion: Entidad"</f>
        <v>Descripcion: ESTANTE METALICO Estado: Bueno Placa anterior: 000002348 Material: METALICO Color: GRIS Referencia:  Observacion:  Placa padre: Tipo adquisicion: Entidad</v>
      </c>
      <c r="G11153" s="5"/>
    </row>
    <row r="11154" spans="1:7" ht="58.5" customHeight="1" x14ac:dyDescent="0.25">
      <c r="A11154" s="5" t="str">
        <f>"H0017242"</f>
        <v>H0017242</v>
      </c>
      <c r="B11154" s="5" t="str">
        <f>"ESTANTE METALICO 6 ENTREPAÑOS"</f>
        <v>ESTANTE METALICO 6 ENTREPAÑOS</v>
      </c>
      <c r="C11154" s="6">
        <v>8840.07</v>
      </c>
      <c r="D11154" s="5"/>
      <c r="E11154" s="5" t="str">
        <f t="shared" si="579"/>
        <v>ACTISALUD-PATOLOGIA-ANDREA LARA</v>
      </c>
      <c r="F11154" s="5" t="str">
        <f>"Descripcion: ESTANTE METALICO Estado: Bueno Placa anterior: 000002356 Material: METALICO Color: GRIS Referencia:  Observacion:  Placa padre: Tipo adquisicion: Entidad"</f>
        <v>Descripcion: ESTANTE METALICO Estado: Bueno Placa anterior: 000002356 Material: METALICO Color: GRIS Referencia:  Observacion:  Placa padre: Tipo adquisicion: Entidad</v>
      </c>
      <c r="G11154" s="5"/>
    </row>
    <row r="11155" spans="1:7" ht="58.5" customHeight="1" x14ac:dyDescent="0.25">
      <c r="A11155" s="5" t="str">
        <f>"H0017942"</f>
        <v>H0017942</v>
      </c>
      <c r="B11155" s="5" t="str">
        <f>"MULTIMUEBLE DE MADERA"</f>
        <v>MULTIMUEBLE DE MADERA</v>
      </c>
      <c r="C11155" s="6">
        <v>1044000</v>
      </c>
      <c r="D11155" s="5" t="s">
        <v>546</v>
      </c>
      <c r="E11155" s="5" t="str">
        <f t="shared" si="579"/>
        <v>ACTISALUD-PATOLOGIA-ANDREA LARA</v>
      </c>
      <c r="F11155" s="5" t="str">
        <f>"Descripcion: MULTIMUEBLE EN MADERACON 5 ENTREPAÑOS Y DOS PUERTAS INFERIORES Estado: Bueno Placa anterior: 000028124 Material: MADERA Color: NEGRO Y BEIS Referencia:  Observacion:  Placa padre: Tipo adquisicion: Entidad"</f>
        <v>Descripcion: MULTIMUEBLE EN MADERACON 5 ENTREPAÑOS Y DOS PUERTAS INFERIORES Estado: Bueno Placa anterior: 000028124 Material: MADERA Color: NEGRO Y BEIS Referencia:  Observacion:  Placa padre: Tipo adquisicion: Entidad</v>
      </c>
      <c r="G11155" s="5"/>
    </row>
    <row r="11156" spans="1:7" ht="58.5" customHeight="1" x14ac:dyDescent="0.25">
      <c r="A11156" s="5" t="str">
        <f>"H0020380"</f>
        <v>H0020380</v>
      </c>
      <c r="B11156" s="5" t="str">
        <f>"CONDENSDORA (AIRE ACONDICIONADO)"</f>
        <v>CONDENSDORA (AIRE ACONDICIONADO)</v>
      </c>
      <c r="C11156" s="6">
        <v>6641000</v>
      </c>
      <c r="D11156" s="5" t="s">
        <v>659</v>
      </c>
      <c r="E11156" s="5" t="str">
        <f t="shared" si="579"/>
        <v>ACTISALUD-PATOLOGIA-ANDREA LARA</v>
      </c>
      <c r="F11156" s="5" t="str">
        <f>"Descripcion:AIRE ACONDICIONADO INTEGRAL VA PARA PATOLOGIA Estado: Bueno Placa anterior: 000036326 Material: METALICO Color: GRIS Referencia:  Observacion: AUTORIZADO CONCILIAR EN CRUCE GENERAL Placa padre:  Tipo adquisicion : Entidad"</f>
        <v>Descripcion:AIRE ACONDICIONADO INTEGRAL VA PARA PATOLOGIA Estado: Bueno Placa anterior: 000036326 Material: METALICO Color: GRIS Referencia:  Observacion: AUTORIZADO CONCILIAR EN CRUCE GENERAL Placa padre:  Tipo adquisicion : Entidad</v>
      </c>
      <c r="G11156" s="5" t="str">
        <f>"TRAE300E2420A100"</f>
        <v>TRAE300E2420A100</v>
      </c>
    </row>
    <row r="11157" spans="1:7" ht="58.5" customHeight="1" x14ac:dyDescent="0.25">
      <c r="A11157" s="5" t="str">
        <f>"H0021189"</f>
        <v>H0021189</v>
      </c>
      <c r="B11157" s="5" t="str">
        <f>"GUILLOTINA (CORTA PAPEL) DE MESA"</f>
        <v>GUILLOTINA (CORTA PAPEL) DE MESA</v>
      </c>
      <c r="C11157" s="6">
        <v>1500</v>
      </c>
      <c r="D11157" s="5"/>
      <c r="E11157" s="5" t="str">
        <f t="shared" si="579"/>
        <v>ACTISALUD-PATOLOGIA-ANDREA LARA</v>
      </c>
      <c r="F11157" s="5" t="str">
        <f>"Descripcion:GUILLOTINA DE MESA Estado: Bueno Placa anterior: 000008810 Material: METALICO Color: VERDE Referencia:  Observacion:  Placa padre:  Tipo adquisicion : Entidad"</f>
        <v>Descripcion:GUILLOTINA DE MESA Estado: Bueno Placa anterior: 000008810 Material: METALICO Color: VERDE Referencia:  Observacion:  Placa padre:  Tipo adquisicion : Entidad</v>
      </c>
      <c r="G11157" s="5"/>
    </row>
    <row r="11158" spans="1:7" ht="58.5" customHeight="1" x14ac:dyDescent="0.25">
      <c r="A11158" s="5" t="str">
        <f>"H0021864"</f>
        <v>H0021864</v>
      </c>
      <c r="B11158" s="5" t="str">
        <f>"ESTANTE METALICO 6 ENTREPAÑOS"</f>
        <v>ESTANTE METALICO 6 ENTREPAÑOS</v>
      </c>
      <c r="C11158" s="6">
        <v>31512.47</v>
      </c>
      <c r="D11158" s="5"/>
      <c r="E11158" s="5" t="str">
        <f t="shared" si="579"/>
        <v>ACTISALUD-PATOLOGIA-ANDREA LARA</v>
      </c>
      <c r="F11158" s="5" t="str">
        <f>"Descripcion: ESTANTE METALICO DE 6 ENTREPAÑOS Estado: Bueno Placa anterior: 000004193 Material: METALICO Color: GRIS Referencia:  Observacion:  Placa padre: Tipo adquisicion: Entidad"</f>
        <v>Descripcion: ESTANTE METALICO DE 6 ENTREPAÑOS Estado: Bueno Placa anterior: 000004193 Material: METALICO Color: GRIS Referencia:  Observacion:  Placa padre: Tipo adquisicion: Entidad</v>
      </c>
      <c r="G11158" s="5"/>
    </row>
    <row r="11159" spans="1:7" ht="58.5" customHeight="1" x14ac:dyDescent="0.25">
      <c r="A11159" s="5" t="str">
        <f>"H0022266"</f>
        <v>H0022266</v>
      </c>
      <c r="B11159" s="5" t="str">
        <f>"HORNO DE INCUBACIÓN"</f>
        <v>HORNO DE INCUBACIÓN</v>
      </c>
      <c r="C11159" s="6">
        <v>13340000</v>
      </c>
      <c r="D11159" s="5" t="s">
        <v>61</v>
      </c>
      <c r="E11159" s="5" t="str">
        <f t="shared" si="579"/>
        <v>ACTISALUD-PATOLOGIA-ANDREA LARA</v>
      </c>
      <c r="F11159" s="5"/>
      <c r="G11159" s="5"/>
    </row>
    <row r="11160" spans="1:7" ht="58.5" customHeight="1" x14ac:dyDescent="0.25">
      <c r="A11160" s="5" t="str">
        <f>"H0022401"</f>
        <v>H0022401</v>
      </c>
      <c r="B11160" s="5" t="str">
        <f>"NEVERA 8.3 PIES (235LT)"</f>
        <v>NEVERA 8.3 PIES (235LT)</v>
      </c>
      <c r="C11160" s="6">
        <v>850000</v>
      </c>
      <c r="D11160" s="5" t="s">
        <v>630</v>
      </c>
      <c r="E11160" s="5" t="str">
        <f t="shared" si="579"/>
        <v>ACTISALUD-PATOLOGIA-ANDREA LARA</v>
      </c>
      <c r="F11160" s="5"/>
      <c r="G11160" s="5" t="str">
        <f>"CCN230FXAX"</f>
        <v>CCN230FXAX</v>
      </c>
    </row>
    <row r="11161" spans="1:7" ht="58.5" customHeight="1" x14ac:dyDescent="0.25">
      <c r="A11161" s="5" t="str">
        <f>"H0025455"</f>
        <v>H0025455</v>
      </c>
      <c r="B1116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161" s="6">
        <v>312156</v>
      </c>
      <c r="D11161" s="5" t="s">
        <v>10</v>
      </c>
      <c r="E11161" s="5" t="str">
        <f t="shared" si="579"/>
        <v>ACTISALUD-PATOLOGIA-ANDREA LARA</v>
      </c>
      <c r="F11161" s="5"/>
      <c r="G11161" s="5"/>
    </row>
    <row r="11162" spans="1:7" ht="58.5" customHeight="1" x14ac:dyDescent="0.25">
      <c r="A11162" s="5" t="str">
        <f>"H0025457"</f>
        <v>H0025457</v>
      </c>
      <c r="B1116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162" s="6">
        <v>312156</v>
      </c>
      <c r="D11162" s="5" t="s">
        <v>10</v>
      </c>
      <c r="E11162" s="5" t="str">
        <f t="shared" si="579"/>
        <v>ACTISALUD-PATOLOGIA-ANDREA LARA</v>
      </c>
      <c r="F11162" s="5"/>
      <c r="G11162" s="5"/>
    </row>
    <row r="11163" spans="1:7" ht="58.5" customHeight="1" x14ac:dyDescent="0.25">
      <c r="A11163" s="5" t="str">
        <f>"H0025519"</f>
        <v>H0025519</v>
      </c>
      <c r="B11163" s="5" t="str">
        <f>"CAMARA DIGITAL 20 MEGAPIXELES"</f>
        <v>CAMARA DIGITAL 20 MEGAPIXELES</v>
      </c>
      <c r="C11163" s="6">
        <v>800000</v>
      </c>
      <c r="D11163" s="5" t="s">
        <v>298</v>
      </c>
      <c r="E11163" s="5" t="str">
        <f t="shared" si="579"/>
        <v>ACTISALUD-PATOLOGIA-ANDREA LARA</v>
      </c>
      <c r="F11163" s="5"/>
      <c r="G11163" s="5"/>
    </row>
    <row r="11164" spans="1:7" ht="58.5" customHeight="1" x14ac:dyDescent="0.25">
      <c r="A11164" s="5" t="str">
        <f>"H0025717"</f>
        <v>H0025717</v>
      </c>
      <c r="B11164" s="5" t="str">
        <f>"CENTRAL (SISTEMA) DE INCLUSION  DE TEJIDOS"</f>
        <v>CENTRAL (SISTEMA) DE INCLUSION  DE TEJIDOS</v>
      </c>
      <c r="C11164" s="6">
        <v>59106110</v>
      </c>
      <c r="D11164" s="5" t="s">
        <v>265</v>
      </c>
      <c r="E11164" s="5" t="str">
        <f t="shared" si="579"/>
        <v>ACTISALUD-PATOLOGIA-ANDREA LARA</v>
      </c>
      <c r="F11164" s="5"/>
      <c r="G11164" s="5"/>
    </row>
    <row r="11165" spans="1:7" ht="58.5" customHeight="1" x14ac:dyDescent="0.25">
      <c r="A11165" s="5" t="str">
        <f>"H0025894"</f>
        <v>H0025894</v>
      </c>
      <c r="B11165" s="5" t="str">
        <f>"MICROSCOPIO BINOCULARES"</f>
        <v>MICROSCOPIO BINOCULARES</v>
      </c>
      <c r="C11165" s="6">
        <v>3956750</v>
      </c>
      <c r="D11165" s="5" t="s">
        <v>660</v>
      </c>
      <c r="E11165" s="5" t="str">
        <f t="shared" si="579"/>
        <v>ACTISALUD-PATOLOGIA-ANDREA LARA</v>
      </c>
      <c r="F11165" s="5"/>
      <c r="G11165" s="5" t="str">
        <f>"PRIMO STAR"</f>
        <v>PRIMO STAR</v>
      </c>
    </row>
    <row r="11166" spans="1:7" ht="58.5" customHeight="1" x14ac:dyDescent="0.25">
      <c r="A11166" s="5" t="str">
        <f>"H0025895"</f>
        <v>H0025895</v>
      </c>
      <c r="B11166" s="5" t="str">
        <f>"MICROSCOPIO BINOCULARES"</f>
        <v>MICROSCOPIO BINOCULARES</v>
      </c>
      <c r="C11166" s="6">
        <v>3956750</v>
      </c>
      <c r="D11166" s="5" t="s">
        <v>661</v>
      </c>
      <c r="E11166" s="5" t="str">
        <f t="shared" si="579"/>
        <v>ACTISALUD-PATOLOGIA-ANDREA LARA</v>
      </c>
      <c r="F11166" s="5"/>
      <c r="G11166" s="5" t="str">
        <f>"PRIMO  STAR"</f>
        <v>PRIMO  STAR</v>
      </c>
    </row>
    <row r="11167" spans="1:7" ht="58.5" customHeight="1" x14ac:dyDescent="0.25">
      <c r="A11167" s="5" t="str">
        <f>"H0025932"</f>
        <v>H0025932</v>
      </c>
      <c r="B11167" s="5" t="str">
        <f t="shared" ref="B11167:B11182" si="580">"ARCHIVADOR METÁLICO PARA BLOQUES DE PARAFINA, CON CAPACIDAD PARA 1.500 UNIDADES"</f>
        <v>ARCHIVADOR METÁLICO PARA BLOQUES DE PARAFINA, CON CAPACIDAD PARA 1.500 UNIDADES</v>
      </c>
      <c r="C11167" s="6">
        <v>1100750</v>
      </c>
      <c r="D11167" s="5" t="s">
        <v>662</v>
      </c>
      <c r="E11167" s="5" t="str">
        <f t="shared" si="579"/>
        <v>ACTISALUD-PATOLOGIA-ANDREA LARA</v>
      </c>
      <c r="F11167" s="5"/>
      <c r="G11167" s="5"/>
    </row>
    <row r="11168" spans="1:7" ht="58.5" customHeight="1" x14ac:dyDescent="0.25">
      <c r="A11168" s="5" t="str">
        <f>"H0025933"</f>
        <v>H0025933</v>
      </c>
      <c r="B11168" s="5" t="str">
        <f t="shared" si="580"/>
        <v>ARCHIVADOR METÁLICO PARA BLOQUES DE PARAFINA, CON CAPACIDAD PARA 1.500 UNIDADES</v>
      </c>
      <c r="C11168" s="6">
        <v>1100750</v>
      </c>
      <c r="D11168" s="5" t="s">
        <v>662</v>
      </c>
      <c r="E11168" s="5" t="str">
        <f t="shared" si="579"/>
        <v>ACTISALUD-PATOLOGIA-ANDREA LARA</v>
      </c>
      <c r="F11168" s="5"/>
      <c r="G11168" s="5"/>
    </row>
    <row r="11169" spans="1:7" ht="58.5" customHeight="1" x14ac:dyDescent="0.25">
      <c r="A11169" s="5" t="str">
        <f>"H0025934"</f>
        <v>H0025934</v>
      </c>
      <c r="B11169" s="5" t="str">
        <f t="shared" si="580"/>
        <v>ARCHIVADOR METÁLICO PARA BLOQUES DE PARAFINA, CON CAPACIDAD PARA 1.500 UNIDADES</v>
      </c>
      <c r="C11169" s="6">
        <v>1100750</v>
      </c>
      <c r="D11169" s="5" t="s">
        <v>662</v>
      </c>
      <c r="E11169" s="5" t="str">
        <f t="shared" si="579"/>
        <v>ACTISALUD-PATOLOGIA-ANDREA LARA</v>
      </c>
      <c r="F11169" s="5"/>
      <c r="G11169" s="5"/>
    </row>
    <row r="11170" spans="1:7" ht="58.5" customHeight="1" x14ac:dyDescent="0.25">
      <c r="A11170" s="5" t="str">
        <f>"H0025935"</f>
        <v>H0025935</v>
      </c>
      <c r="B11170" s="5" t="str">
        <f t="shared" si="580"/>
        <v>ARCHIVADOR METÁLICO PARA BLOQUES DE PARAFINA, CON CAPACIDAD PARA 1.500 UNIDADES</v>
      </c>
      <c r="C11170" s="6">
        <v>1100750</v>
      </c>
      <c r="D11170" s="5" t="s">
        <v>662</v>
      </c>
      <c r="E11170" s="5" t="str">
        <f t="shared" si="579"/>
        <v>ACTISALUD-PATOLOGIA-ANDREA LARA</v>
      </c>
      <c r="F11170" s="5"/>
      <c r="G11170" s="5"/>
    </row>
    <row r="11171" spans="1:7" ht="58.5" customHeight="1" x14ac:dyDescent="0.25">
      <c r="A11171" s="5" t="str">
        <f>"H0025936"</f>
        <v>H0025936</v>
      </c>
      <c r="B11171" s="5" t="str">
        <f t="shared" si="580"/>
        <v>ARCHIVADOR METÁLICO PARA BLOQUES DE PARAFINA, CON CAPACIDAD PARA 1.500 UNIDADES</v>
      </c>
      <c r="C11171" s="6">
        <v>1100750</v>
      </c>
      <c r="D11171" s="5" t="s">
        <v>662</v>
      </c>
      <c r="E11171" s="5" t="str">
        <f t="shared" si="579"/>
        <v>ACTISALUD-PATOLOGIA-ANDREA LARA</v>
      </c>
      <c r="F11171" s="5"/>
      <c r="G11171" s="5"/>
    </row>
    <row r="11172" spans="1:7" ht="58.5" customHeight="1" x14ac:dyDescent="0.25">
      <c r="A11172" s="5" t="str">
        <f>"H0025937"</f>
        <v>H0025937</v>
      </c>
      <c r="B11172" s="5" t="str">
        <f t="shared" si="580"/>
        <v>ARCHIVADOR METÁLICO PARA BLOQUES DE PARAFINA, CON CAPACIDAD PARA 1.500 UNIDADES</v>
      </c>
      <c r="C11172" s="6">
        <v>1100750</v>
      </c>
      <c r="D11172" s="5" t="s">
        <v>662</v>
      </c>
      <c r="E11172" s="5" t="str">
        <f t="shared" si="579"/>
        <v>ACTISALUD-PATOLOGIA-ANDREA LARA</v>
      </c>
      <c r="F11172" s="5"/>
      <c r="G11172" s="5"/>
    </row>
    <row r="11173" spans="1:7" ht="58.5" customHeight="1" x14ac:dyDescent="0.25">
      <c r="A11173" s="5" t="str">
        <f>"H0025938"</f>
        <v>H0025938</v>
      </c>
      <c r="B11173" s="5" t="str">
        <f t="shared" si="580"/>
        <v>ARCHIVADOR METÁLICO PARA BLOQUES DE PARAFINA, CON CAPACIDAD PARA 1.500 UNIDADES</v>
      </c>
      <c r="C11173" s="6">
        <v>1100750</v>
      </c>
      <c r="D11173" s="5" t="s">
        <v>662</v>
      </c>
      <c r="E11173" s="5" t="str">
        <f t="shared" si="579"/>
        <v>ACTISALUD-PATOLOGIA-ANDREA LARA</v>
      </c>
      <c r="F11173" s="5"/>
      <c r="G11173" s="5"/>
    </row>
    <row r="11174" spans="1:7" ht="58.5" customHeight="1" x14ac:dyDescent="0.25">
      <c r="A11174" s="5" t="str">
        <f>"H0025939"</f>
        <v>H0025939</v>
      </c>
      <c r="B11174" s="5" t="str">
        <f t="shared" si="580"/>
        <v>ARCHIVADOR METÁLICO PARA BLOQUES DE PARAFINA, CON CAPACIDAD PARA 1.500 UNIDADES</v>
      </c>
      <c r="C11174" s="6">
        <v>1100750</v>
      </c>
      <c r="D11174" s="5" t="s">
        <v>662</v>
      </c>
      <c r="E11174" s="5" t="str">
        <f t="shared" si="579"/>
        <v>ACTISALUD-PATOLOGIA-ANDREA LARA</v>
      </c>
      <c r="F11174" s="5"/>
      <c r="G11174" s="5"/>
    </row>
    <row r="11175" spans="1:7" ht="58.5" customHeight="1" x14ac:dyDescent="0.25">
      <c r="A11175" s="5" t="str">
        <f>"H0025940"</f>
        <v>H0025940</v>
      </c>
      <c r="B11175" s="5" t="str">
        <f t="shared" si="580"/>
        <v>ARCHIVADOR METÁLICO PARA BLOQUES DE PARAFINA, CON CAPACIDAD PARA 1.500 UNIDADES</v>
      </c>
      <c r="C11175" s="6">
        <v>1100750</v>
      </c>
      <c r="D11175" s="5" t="s">
        <v>662</v>
      </c>
      <c r="E11175" s="5" t="str">
        <f t="shared" si="579"/>
        <v>ACTISALUD-PATOLOGIA-ANDREA LARA</v>
      </c>
      <c r="F11175" s="5"/>
      <c r="G11175" s="5"/>
    </row>
    <row r="11176" spans="1:7" ht="58.5" customHeight="1" x14ac:dyDescent="0.25">
      <c r="A11176" s="5" t="str">
        <f>"H0025941"</f>
        <v>H0025941</v>
      </c>
      <c r="B11176" s="5" t="str">
        <f t="shared" si="580"/>
        <v>ARCHIVADOR METÁLICO PARA BLOQUES DE PARAFINA, CON CAPACIDAD PARA 1.500 UNIDADES</v>
      </c>
      <c r="C11176" s="6">
        <v>1100750</v>
      </c>
      <c r="D11176" s="5" t="s">
        <v>662</v>
      </c>
      <c r="E11176" s="5" t="str">
        <f t="shared" si="579"/>
        <v>ACTISALUD-PATOLOGIA-ANDREA LARA</v>
      </c>
      <c r="F11176" s="5"/>
      <c r="G11176" s="5"/>
    </row>
    <row r="11177" spans="1:7" ht="58.5" customHeight="1" x14ac:dyDescent="0.25">
      <c r="A11177" s="5" t="str">
        <f>"H0025942"</f>
        <v>H0025942</v>
      </c>
      <c r="B11177" s="5" t="str">
        <f t="shared" si="580"/>
        <v>ARCHIVADOR METÁLICO PARA BLOQUES DE PARAFINA, CON CAPACIDAD PARA 1.500 UNIDADES</v>
      </c>
      <c r="C11177" s="6">
        <v>1100750</v>
      </c>
      <c r="D11177" s="5" t="s">
        <v>662</v>
      </c>
      <c r="E11177" s="5" t="str">
        <f t="shared" si="579"/>
        <v>ACTISALUD-PATOLOGIA-ANDREA LARA</v>
      </c>
      <c r="F11177" s="5"/>
      <c r="G11177" s="5"/>
    </row>
    <row r="11178" spans="1:7" ht="58.5" customHeight="1" x14ac:dyDescent="0.25">
      <c r="A11178" s="5" t="str">
        <f>"H0025943"</f>
        <v>H0025943</v>
      </c>
      <c r="B11178" s="5" t="str">
        <f t="shared" si="580"/>
        <v>ARCHIVADOR METÁLICO PARA BLOQUES DE PARAFINA, CON CAPACIDAD PARA 1.500 UNIDADES</v>
      </c>
      <c r="C11178" s="6">
        <v>1100750</v>
      </c>
      <c r="D11178" s="5" t="s">
        <v>662</v>
      </c>
      <c r="E11178" s="5" t="str">
        <f t="shared" si="579"/>
        <v>ACTISALUD-PATOLOGIA-ANDREA LARA</v>
      </c>
      <c r="F11178" s="5"/>
      <c r="G11178" s="5"/>
    </row>
    <row r="11179" spans="1:7" ht="58.5" customHeight="1" x14ac:dyDescent="0.25">
      <c r="A11179" s="5" t="str">
        <f>"H0025944"</f>
        <v>H0025944</v>
      </c>
      <c r="B11179" s="5" t="str">
        <f t="shared" si="580"/>
        <v>ARCHIVADOR METÁLICO PARA BLOQUES DE PARAFINA, CON CAPACIDAD PARA 1.500 UNIDADES</v>
      </c>
      <c r="C11179" s="6">
        <v>1100750</v>
      </c>
      <c r="D11179" s="5" t="s">
        <v>662</v>
      </c>
      <c r="E11179" s="5" t="str">
        <f t="shared" si="579"/>
        <v>ACTISALUD-PATOLOGIA-ANDREA LARA</v>
      </c>
      <c r="F11179" s="5"/>
      <c r="G11179" s="5"/>
    </row>
    <row r="11180" spans="1:7" ht="58.5" customHeight="1" x14ac:dyDescent="0.25">
      <c r="A11180" s="5" t="str">
        <f>"H0025945"</f>
        <v>H0025945</v>
      </c>
      <c r="B11180" s="5" t="str">
        <f t="shared" si="580"/>
        <v>ARCHIVADOR METÁLICO PARA BLOQUES DE PARAFINA, CON CAPACIDAD PARA 1.500 UNIDADES</v>
      </c>
      <c r="C11180" s="6">
        <v>1100750</v>
      </c>
      <c r="D11180" s="5" t="s">
        <v>662</v>
      </c>
      <c r="E11180" s="5" t="str">
        <f t="shared" ref="E11180:E11211" si="581">"ACTISALUD-PATOLOGIA-ANDREA LARA"</f>
        <v>ACTISALUD-PATOLOGIA-ANDREA LARA</v>
      </c>
      <c r="F11180" s="5"/>
      <c r="G11180" s="5"/>
    </row>
    <row r="11181" spans="1:7" ht="58.5" customHeight="1" x14ac:dyDescent="0.25">
      <c r="A11181" s="5" t="str">
        <f>"H0025946"</f>
        <v>H0025946</v>
      </c>
      <c r="B11181" s="5" t="str">
        <f t="shared" si="580"/>
        <v>ARCHIVADOR METÁLICO PARA BLOQUES DE PARAFINA, CON CAPACIDAD PARA 1.500 UNIDADES</v>
      </c>
      <c r="C11181" s="6">
        <v>1100750</v>
      </c>
      <c r="D11181" s="5" t="s">
        <v>662</v>
      </c>
      <c r="E11181" s="5" t="str">
        <f t="shared" si="581"/>
        <v>ACTISALUD-PATOLOGIA-ANDREA LARA</v>
      </c>
      <c r="F11181" s="5"/>
      <c r="G11181" s="5"/>
    </row>
    <row r="11182" spans="1:7" ht="58.5" customHeight="1" x14ac:dyDescent="0.25">
      <c r="A11182" s="5" t="str">
        <f>"H0025947"</f>
        <v>H0025947</v>
      </c>
      <c r="B11182" s="5" t="str">
        <f t="shared" si="580"/>
        <v>ARCHIVADOR METÁLICO PARA BLOQUES DE PARAFINA, CON CAPACIDAD PARA 1.500 UNIDADES</v>
      </c>
      <c r="C11182" s="6">
        <v>1100750</v>
      </c>
      <c r="D11182" s="5" t="s">
        <v>662</v>
      </c>
      <c r="E11182" s="5" t="str">
        <f t="shared" si="581"/>
        <v>ACTISALUD-PATOLOGIA-ANDREA LARA</v>
      </c>
      <c r="F11182" s="5"/>
      <c r="G11182" s="5"/>
    </row>
    <row r="11183" spans="1:7" ht="58.5" customHeight="1" x14ac:dyDescent="0.25">
      <c r="A11183" s="5" t="str">
        <f>"H0026791"</f>
        <v>H0026791</v>
      </c>
      <c r="B11183"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183" s="6">
        <v>3296300</v>
      </c>
      <c r="D11183" s="5" t="s">
        <v>37</v>
      </c>
      <c r="E11183" s="5" t="str">
        <f t="shared" si="581"/>
        <v>ACTISALUD-PATOLOGIA-ANDREA LARA</v>
      </c>
      <c r="F11183" s="5"/>
      <c r="G11183" s="5"/>
    </row>
    <row r="11184" spans="1:7" ht="58.5" customHeight="1" x14ac:dyDescent="0.25">
      <c r="A11184" s="5" t="str">
        <f>"H0027207"</f>
        <v>H0027207</v>
      </c>
      <c r="B1118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184" s="6">
        <v>2641800</v>
      </c>
      <c r="D11184" s="5" t="s">
        <v>38</v>
      </c>
      <c r="E11184" s="5" t="str">
        <f t="shared" si="581"/>
        <v>ACTISALUD-PATOLOGIA-ANDREA LARA</v>
      </c>
      <c r="F11184" s="5"/>
      <c r="G11184" s="5"/>
    </row>
    <row r="11185" spans="1:7" ht="58.5" customHeight="1" x14ac:dyDescent="0.25">
      <c r="A11185" s="5" t="str">
        <f>"H0027208"</f>
        <v>H0027208</v>
      </c>
      <c r="B1118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185" s="6">
        <v>2641800</v>
      </c>
      <c r="D11185" s="5" t="s">
        <v>38</v>
      </c>
      <c r="E11185" s="5" t="str">
        <f t="shared" si="581"/>
        <v>ACTISALUD-PATOLOGIA-ANDREA LARA</v>
      </c>
      <c r="F11185" s="5"/>
      <c r="G11185" s="5"/>
    </row>
    <row r="11186" spans="1:7" ht="58.5" customHeight="1" x14ac:dyDescent="0.25">
      <c r="A11186" s="5" t="str">
        <f>"H0027568"</f>
        <v>H0027568</v>
      </c>
      <c r="B11186" s="5" t="str">
        <f>"LECTOR DE HUELLAS DIGITALES"</f>
        <v>LECTOR DE HUELLAS DIGITALES</v>
      </c>
      <c r="C11186" s="6">
        <v>234000.41</v>
      </c>
      <c r="D11186" s="5" t="s">
        <v>83</v>
      </c>
      <c r="E11186" s="5" t="str">
        <f t="shared" si="581"/>
        <v>ACTISALUD-PATOLOGIA-ANDREA LARA</v>
      </c>
      <c r="F11186" s="5"/>
      <c r="G11186" s="5"/>
    </row>
    <row r="11187" spans="1:7" ht="58.5" customHeight="1" x14ac:dyDescent="0.25">
      <c r="A11187" s="5" t="str">
        <f>"H0028290"</f>
        <v>H0028290</v>
      </c>
      <c r="B11187" s="5" t="str">
        <f t="shared" ref="B11187:B11197" si="582">"ARCHIVADOR METÁLICO PARA BLOQUES DE PARAFINA, CON CAPACIDAD PARA 1.500 UNIDADES"</f>
        <v>ARCHIVADOR METÁLICO PARA BLOQUES DE PARAFINA, CON CAPACIDAD PARA 1.500 UNIDADES</v>
      </c>
      <c r="C11187" s="6">
        <v>1100750</v>
      </c>
      <c r="D11187" s="5" t="s">
        <v>186</v>
      </c>
      <c r="E11187" s="5" t="str">
        <f t="shared" si="581"/>
        <v>ACTISALUD-PATOLOGIA-ANDREA LARA</v>
      </c>
      <c r="F11187" s="5"/>
      <c r="G11187" s="5"/>
    </row>
    <row r="11188" spans="1:7" ht="58.5" customHeight="1" x14ac:dyDescent="0.25">
      <c r="A11188" s="5" t="str">
        <f>"H0028291"</f>
        <v>H0028291</v>
      </c>
      <c r="B11188" s="5" t="str">
        <f t="shared" si="582"/>
        <v>ARCHIVADOR METÁLICO PARA BLOQUES DE PARAFINA, CON CAPACIDAD PARA 1.500 UNIDADES</v>
      </c>
      <c r="C11188" s="6">
        <v>1100750</v>
      </c>
      <c r="D11188" s="5" t="s">
        <v>186</v>
      </c>
      <c r="E11188" s="5" t="str">
        <f t="shared" si="581"/>
        <v>ACTISALUD-PATOLOGIA-ANDREA LARA</v>
      </c>
      <c r="F11188" s="5"/>
      <c r="G11188" s="5"/>
    </row>
    <row r="11189" spans="1:7" ht="58.5" customHeight="1" x14ac:dyDescent="0.25">
      <c r="A11189" s="5" t="str">
        <f>"H0028292"</f>
        <v>H0028292</v>
      </c>
      <c r="B11189" s="5" t="str">
        <f t="shared" si="582"/>
        <v>ARCHIVADOR METÁLICO PARA BLOQUES DE PARAFINA, CON CAPACIDAD PARA 1.500 UNIDADES</v>
      </c>
      <c r="C11189" s="6">
        <v>1100750</v>
      </c>
      <c r="D11189" s="5" t="s">
        <v>663</v>
      </c>
      <c r="E11189" s="5" t="str">
        <f t="shared" si="581"/>
        <v>ACTISALUD-PATOLOGIA-ANDREA LARA</v>
      </c>
      <c r="F11189" s="5"/>
      <c r="G11189" s="5"/>
    </row>
    <row r="11190" spans="1:7" ht="58.5" customHeight="1" x14ac:dyDescent="0.25">
      <c r="A11190" s="5" t="str">
        <f>"H0028293"</f>
        <v>H0028293</v>
      </c>
      <c r="B11190" s="5" t="str">
        <f t="shared" si="582"/>
        <v>ARCHIVADOR METÁLICO PARA BLOQUES DE PARAFINA, CON CAPACIDAD PARA 1.500 UNIDADES</v>
      </c>
      <c r="C11190" s="6">
        <v>1100750</v>
      </c>
      <c r="D11190" s="5" t="s">
        <v>663</v>
      </c>
      <c r="E11190" s="5" t="str">
        <f t="shared" si="581"/>
        <v>ACTISALUD-PATOLOGIA-ANDREA LARA</v>
      </c>
      <c r="F11190" s="5"/>
      <c r="G11190" s="5"/>
    </row>
    <row r="11191" spans="1:7" ht="58.5" customHeight="1" x14ac:dyDescent="0.25">
      <c r="A11191" s="5" t="str">
        <f>"H0028294"</f>
        <v>H0028294</v>
      </c>
      <c r="B11191" s="5" t="str">
        <f t="shared" si="582"/>
        <v>ARCHIVADOR METÁLICO PARA BLOQUES DE PARAFINA, CON CAPACIDAD PARA 1.500 UNIDADES</v>
      </c>
      <c r="C11191" s="6">
        <v>1100750</v>
      </c>
      <c r="D11191" s="5" t="s">
        <v>663</v>
      </c>
      <c r="E11191" s="5" t="str">
        <f t="shared" si="581"/>
        <v>ACTISALUD-PATOLOGIA-ANDREA LARA</v>
      </c>
      <c r="F11191" s="5"/>
      <c r="G11191" s="5"/>
    </row>
    <row r="11192" spans="1:7" ht="58.5" customHeight="1" x14ac:dyDescent="0.25">
      <c r="A11192" s="5" t="str">
        <f>"H0028295"</f>
        <v>H0028295</v>
      </c>
      <c r="B11192" s="5" t="str">
        <f t="shared" si="582"/>
        <v>ARCHIVADOR METÁLICO PARA BLOQUES DE PARAFINA, CON CAPACIDAD PARA 1.500 UNIDADES</v>
      </c>
      <c r="C11192" s="6">
        <v>1100750</v>
      </c>
      <c r="D11192" s="5" t="s">
        <v>663</v>
      </c>
      <c r="E11192" s="5" t="str">
        <f t="shared" si="581"/>
        <v>ACTISALUD-PATOLOGIA-ANDREA LARA</v>
      </c>
      <c r="F11192" s="5"/>
      <c r="G11192" s="5"/>
    </row>
    <row r="11193" spans="1:7" ht="58.5" customHeight="1" x14ac:dyDescent="0.25">
      <c r="A11193" s="5" t="str">
        <f>"H0028296"</f>
        <v>H0028296</v>
      </c>
      <c r="B11193" s="5" t="str">
        <f t="shared" si="582"/>
        <v>ARCHIVADOR METÁLICO PARA BLOQUES DE PARAFINA, CON CAPACIDAD PARA 1.500 UNIDADES</v>
      </c>
      <c r="C11193" s="6">
        <v>1100750</v>
      </c>
      <c r="D11193" s="5" t="s">
        <v>663</v>
      </c>
      <c r="E11193" s="5" t="str">
        <f t="shared" si="581"/>
        <v>ACTISALUD-PATOLOGIA-ANDREA LARA</v>
      </c>
      <c r="F11193" s="5"/>
      <c r="G11193" s="5"/>
    </row>
    <row r="11194" spans="1:7" ht="58.5" customHeight="1" x14ac:dyDescent="0.25">
      <c r="A11194" s="5" t="str">
        <f>"H0028298"</f>
        <v>H0028298</v>
      </c>
      <c r="B11194" s="5" t="str">
        <f t="shared" si="582"/>
        <v>ARCHIVADOR METÁLICO PARA BLOQUES DE PARAFINA, CON CAPACIDAD PARA 1.500 UNIDADES</v>
      </c>
      <c r="C11194" s="6">
        <v>1100750</v>
      </c>
      <c r="D11194" s="5" t="s">
        <v>663</v>
      </c>
      <c r="E11194" s="5" t="str">
        <f t="shared" si="581"/>
        <v>ACTISALUD-PATOLOGIA-ANDREA LARA</v>
      </c>
      <c r="F11194" s="5"/>
      <c r="G11194" s="5"/>
    </row>
    <row r="11195" spans="1:7" ht="58.5" customHeight="1" x14ac:dyDescent="0.25">
      <c r="A11195" s="5" t="str">
        <f>"H0028299"</f>
        <v>H0028299</v>
      </c>
      <c r="B11195" s="5" t="str">
        <f t="shared" si="582"/>
        <v>ARCHIVADOR METÁLICO PARA BLOQUES DE PARAFINA, CON CAPACIDAD PARA 1.500 UNIDADES</v>
      </c>
      <c r="C11195" s="6">
        <v>1100750</v>
      </c>
      <c r="D11195" s="5" t="s">
        <v>663</v>
      </c>
      <c r="E11195" s="5" t="str">
        <f t="shared" si="581"/>
        <v>ACTISALUD-PATOLOGIA-ANDREA LARA</v>
      </c>
      <c r="F11195" s="5"/>
      <c r="G11195" s="5"/>
    </row>
    <row r="11196" spans="1:7" ht="58.5" customHeight="1" x14ac:dyDescent="0.25">
      <c r="A11196" s="5" t="str">
        <f>"H0028300"</f>
        <v>H0028300</v>
      </c>
      <c r="B11196" s="5" t="str">
        <f t="shared" si="582"/>
        <v>ARCHIVADOR METÁLICO PARA BLOQUES DE PARAFINA, CON CAPACIDAD PARA 1.500 UNIDADES</v>
      </c>
      <c r="C11196" s="6">
        <v>1100750</v>
      </c>
      <c r="D11196" s="5" t="s">
        <v>663</v>
      </c>
      <c r="E11196" s="5" t="str">
        <f t="shared" si="581"/>
        <v>ACTISALUD-PATOLOGIA-ANDREA LARA</v>
      </c>
      <c r="F11196" s="5"/>
      <c r="G11196" s="5"/>
    </row>
    <row r="11197" spans="1:7" ht="58.5" customHeight="1" x14ac:dyDescent="0.25">
      <c r="A11197" s="5" t="str">
        <f>"H0028301"</f>
        <v>H0028301</v>
      </c>
      <c r="B11197" s="5" t="str">
        <f t="shared" si="582"/>
        <v>ARCHIVADOR METÁLICO PARA BLOQUES DE PARAFINA, CON CAPACIDAD PARA 1.500 UNIDADES</v>
      </c>
      <c r="C11197" s="6">
        <v>1100750</v>
      </c>
      <c r="D11197" s="5" t="s">
        <v>663</v>
      </c>
      <c r="E11197" s="5" t="str">
        <f t="shared" si="581"/>
        <v>ACTISALUD-PATOLOGIA-ANDREA LARA</v>
      </c>
      <c r="F11197" s="5"/>
      <c r="G11197" s="5"/>
    </row>
    <row r="11198" spans="1:7" ht="58.5" customHeight="1" x14ac:dyDescent="0.25">
      <c r="A11198" s="5" t="str">
        <f>"H0028756"</f>
        <v>H0028756</v>
      </c>
      <c r="B11198" s="5" t="str">
        <f>"SILLA HERGONOMICA CON SISTEMA HIDRAULICO"</f>
        <v>SILLA HERGONOMICA CON SISTEMA HIDRAULICO</v>
      </c>
      <c r="C11198" s="6">
        <v>174900</v>
      </c>
      <c r="D11198" s="5" t="s">
        <v>39</v>
      </c>
      <c r="E11198" s="5" t="str">
        <f t="shared" si="581"/>
        <v>ACTISALUD-PATOLOGIA-ANDREA LARA</v>
      </c>
      <c r="F11198" s="5"/>
      <c r="G11198" s="5"/>
    </row>
    <row r="11199" spans="1:7" ht="58.5" customHeight="1" x14ac:dyDescent="0.25">
      <c r="A11199" s="5" t="str">
        <f>"H0029422"</f>
        <v>H0029422</v>
      </c>
      <c r="B11199" s="5" t="str">
        <f>"CENTRIFUGA"</f>
        <v>CENTRIFUGA</v>
      </c>
      <c r="C11199" s="6">
        <v>15500000</v>
      </c>
      <c r="D11199" s="5" t="s">
        <v>584</v>
      </c>
      <c r="E11199" s="5" t="str">
        <f t="shared" si="581"/>
        <v>ACTISALUD-PATOLOGIA-ANDREA LARA</v>
      </c>
      <c r="F11199" s="5"/>
      <c r="G11199" s="5"/>
    </row>
    <row r="11200" spans="1:7" ht="58.5" customHeight="1" x14ac:dyDescent="0.25">
      <c r="A11200" s="5" t="str">
        <f>"H0029545"</f>
        <v>H0029545</v>
      </c>
      <c r="B11200" s="5" t="str">
        <f>"COMPRESOR SCROL 15 22 440/3"</f>
        <v>COMPRESOR SCROL 15 22 440/3</v>
      </c>
      <c r="C11200" s="6">
        <v>12975000</v>
      </c>
      <c r="D11200" s="5" t="s">
        <v>664</v>
      </c>
      <c r="E11200" s="5" t="str">
        <f t="shared" si="581"/>
        <v>ACTISALUD-PATOLOGIA-ANDREA LARA</v>
      </c>
      <c r="F11200" s="5"/>
      <c r="G11200" s="5"/>
    </row>
    <row r="11201" spans="1:7" ht="58.5" customHeight="1" x14ac:dyDescent="0.25">
      <c r="A11201" s="5" t="str">
        <f>"H0030003"</f>
        <v>H0030003</v>
      </c>
      <c r="B11201" s="5" t="str">
        <f>"EXTRACTOR DE AIRE 12"</f>
        <v>EXTRACTOR DE AIRE 12</v>
      </c>
      <c r="C11201" s="6">
        <v>18000000</v>
      </c>
      <c r="D11201" s="5" t="s">
        <v>225</v>
      </c>
      <c r="E11201" s="5" t="str">
        <f t="shared" si="581"/>
        <v>ACTISALUD-PATOLOGIA-ANDREA LARA</v>
      </c>
      <c r="F11201" s="5"/>
      <c r="G11201" s="5"/>
    </row>
    <row r="11202" spans="1:7" ht="58.5" customHeight="1" x14ac:dyDescent="0.25">
      <c r="A11202" s="5" t="str">
        <f>"H0031895"</f>
        <v>H0031895</v>
      </c>
      <c r="B11202"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1202" s="6">
        <v>2647750</v>
      </c>
      <c r="D11202" s="5" t="s">
        <v>44</v>
      </c>
      <c r="E11202" s="5" t="str">
        <f t="shared" si="581"/>
        <v>ACTISALUD-PATOLOGIA-ANDREA LARA</v>
      </c>
      <c r="F11202" s="5"/>
      <c r="G11202" s="5" t="str">
        <f>"DS-870"</f>
        <v>DS-870</v>
      </c>
    </row>
    <row r="11203" spans="1:7" ht="58.5" customHeight="1" x14ac:dyDescent="0.25">
      <c r="A11203" s="5" t="str">
        <f>"H0032462"</f>
        <v>H0032462</v>
      </c>
      <c r="B11203" s="5" t="str">
        <f t="shared" ref="B11203:B11217" si="583">"ARCHIVADOR METÁLICO PARA BLOQUES DE PARAFINA, CON CAPACIDAD PARA 1.500 UNIDADES"</f>
        <v>ARCHIVADOR METÁLICO PARA BLOQUES DE PARAFINA, CON CAPACIDAD PARA 1.500 UNIDADES</v>
      </c>
      <c r="C11203" s="6">
        <v>1100750</v>
      </c>
      <c r="D11203" s="5" t="s">
        <v>486</v>
      </c>
      <c r="E11203" s="5" t="str">
        <f t="shared" si="581"/>
        <v>ACTISALUD-PATOLOGIA-ANDREA LARA</v>
      </c>
      <c r="F11203" s="5"/>
      <c r="G11203" s="5"/>
    </row>
    <row r="11204" spans="1:7" ht="58.5" customHeight="1" x14ac:dyDescent="0.25">
      <c r="A11204" s="5" t="str">
        <f>"H0032463"</f>
        <v>H0032463</v>
      </c>
      <c r="B11204" s="5" t="str">
        <f t="shared" si="583"/>
        <v>ARCHIVADOR METÁLICO PARA BLOQUES DE PARAFINA, CON CAPACIDAD PARA 1.500 UNIDADES</v>
      </c>
      <c r="C11204" s="6">
        <v>1100750</v>
      </c>
      <c r="D11204" s="5" t="s">
        <v>486</v>
      </c>
      <c r="E11204" s="5" t="str">
        <f t="shared" si="581"/>
        <v>ACTISALUD-PATOLOGIA-ANDREA LARA</v>
      </c>
      <c r="F11204" s="5"/>
      <c r="G11204" s="5"/>
    </row>
    <row r="11205" spans="1:7" ht="58.5" customHeight="1" x14ac:dyDescent="0.25">
      <c r="A11205" s="5" t="str">
        <f>"H0032464"</f>
        <v>H0032464</v>
      </c>
      <c r="B11205" s="5" t="str">
        <f t="shared" si="583"/>
        <v>ARCHIVADOR METÁLICO PARA BLOQUES DE PARAFINA, CON CAPACIDAD PARA 1.500 UNIDADES</v>
      </c>
      <c r="C11205" s="6">
        <v>1100750</v>
      </c>
      <c r="D11205" s="5" t="s">
        <v>486</v>
      </c>
      <c r="E11205" s="5" t="str">
        <f t="shared" si="581"/>
        <v>ACTISALUD-PATOLOGIA-ANDREA LARA</v>
      </c>
      <c r="F11205" s="5"/>
      <c r="G11205" s="5"/>
    </row>
    <row r="11206" spans="1:7" ht="58.5" customHeight="1" x14ac:dyDescent="0.25">
      <c r="A11206" s="5" t="str">
        <f>"H0032465"</f>
        <v>H0032465</v>
      </c>
      <c r="B11206" s="5" t="str">
        <f t="shared" si="583"/>
        <v>ARCHIVADOR METÁLICO PARA BLOQUES DE PARAFINA, CON CAPACIDAD PARA 1.500 UNIDADES</v>
      </c>
      <c r="C11206" s="6">
        <v>1100750</v>
      </c>
      <c r="D11206" s="5" t="s">
        <v>486</v>
      </c>
      <c r="E11206" s="5" t="str">
        <f t="shared" si="581"/>
        <v>ACTISALUD-PATOLOGIA-ANDREA LARA</v>
      </c>
      <c r="F11206" s="5"/>
      <c r="G11206" s="5"/>
    </row>
    <row r="11207" spans="1:7" ht="58.5" customHeight="1" x14ac:dyDescent="0.25">
      <c r="A11207" s="5" t="str">
        <f>"H0032466"</f>
        <v>H0032466</v>
      </c>
      <c r="B11207" s="5" t="str">
        <f t="shared" si="583"/>
        <v>ARCHIVADOR METÁLICO PARA BLOQUES DE PARAFINA, CON CAPACIDAD PARA 1.500 UNIDADES</v>
      </c>
      <c r="C11207" s="6">
        <v>1100750</v>
      </c>
      <c r="D11207" s="5" t="s">
        <v>486</v>
      </c>
      <c r="E11207" s="5" t="str">
        <f t="shared" si="581"/>
        <v>ACTISALUD-PATOLOGIA-ANDREA LARA</v>
      </c>
      <c r="F11207" s="5"/>
      <c r="G11207" s="5"/>
    </row>
    <row r="11208" spans="1:7" ht="58.5" customHeight="1" x14ac:dyDescent="0.25">
      <c r="A11208" s="5" t="str">
        <f>"H0032467"</f>
        <v>H0032467</v>
      </c>
      <c r="B11208" s="5" t="str">
        <f t="shared" si="583"/>
        <v>ARCHIVADOR METÁLICO PARA BLOQUES DE PARAFINA, CON CAPACIDAD PARA 1.500 UNIDADES</v>
      </c>
      <c r="C11208" s="6">
        <v>1100750</v>
      </c>
      <c r="D11208" s="5" t="s">
        <v>486</v>
      </c>
      <c r="E11208" s="5" t="str">
        <f t="shared" si="581"/>
        <v>ACTISALUD-PATOLOGIA-ANDREA LARA</v>
      </c>
      <c r="F11208" s="5"/>
      <c r="G11208" s="5"/>
    </row>
    <row r="11209" spans="1:7" ht="58.5" customHeight="1" x14ac:dyDescent="0.25">
      <c r="A11209" s="5" t="str">
        <f>"H0032468"</f>
        <v>H0032468</v>
      </c>
      <c r="B11209" s="5" t="str">
        <f t="shared" si="583"/>
        <v>ARCHIVADOR METÁLICO PARA BLOQUES DE PARAFINA, CON CAPACIDAD PARA 1.500 UNIDADES</v>
      </c>
      <c r="C11209" s="6">
        <v>1100750</v>
      </c>
      <c r="D11209" s="5" t="s">
        <v>486</v>
      </c>
      <c r="E11209" s="5" t="str">
        <f t="shared" si="581"/>
        <v>ACTISALUD-PATOLOGIA-ANDREA LARA</v>
      </c>
      <c r="F11209" s="5"/>
      <c r="G11209" s="5"/>
    </row>
    <row r="11210" spans="1:7" ht="58.5" customHeight="1" x14ac:dyDescent="0.25">
      <c r="A11210" s="5" t="str">
        <f>"H0032469"</f>
        <v>H0032469</v>
      </c>
      <c r="B11210" s="5" t="str">
        <f t="shared" si="583"/>
        <v>ARCHIVADOR METÁLICO PARA BLOQUES DE PARAFINA, CON CAPACIDAD PARA 1.500 UNIDADES</v>
      </c>
      <c r="C11210" s="6">
        <v>1100750</v>
      </c>
      <c r="D11210" s="5" t="s">
        <v>486</v>
      </c>
      <c r="E11210" s="5" t="str">
        <f t="shared" si="581"/>
        <v>ACTISALUD-PATOLOGIA-ANDREA LARA</v>
      </c>
      <c r="F11210" s="5"/>
      <c r="G11210" s="5"/>
    </row>
    <row r="11211" spans="1:7" ht="58.5" customHeight="1" x14ac:dyDescent="0.25">
      <c r="A11211" s="5" t="str">
        <f>"H0032470"</f>
        <v>H0032470</v>
      </c>
      <c r="B11211" s="5" t="str">
        <f t="shared" si="583"/>
        <v>ARCHIVADOR METÁLICO PARA BLOQUES DE PARAFINA, CON CAPACIDAD PARA 1.500 UNIDADES</v>
      </c>
      <c r="C11211" s="6">
        <v>1100750</v>
      </c>
      <c r="D11211" s="5" t="s">
        <v>486</v>
      </c>
      <c r="E11211" s="5" t="str">
        <f t="shared" si="581"/>
        <v>ACTISALUD-PATOLOGIA-ANDREA LARA</v>
      </c>
      <c r="F11211" s="5"/>
      <c r="G11211" s="5"/>
    </row>
    <row r="11212" spans="1:7" ht="58.5" customHeight="1" x14ac:dyDescent="0.25">
      <c r="A11212" s="5" t="str">
        <f>"H0032471"</f>
        <v>H0032471</v>
      </c>
      <c r="B11212" s="5" t="str">
        <f t="shared" si="583"/>
        <v>ARCHIVADOR METÁLICO PARA BLOQUES DE PARAFINA, CON CAPACIDAD PARA 1.500 UNIDADES</v>
      </c>
      <c r="C11212" s="6">
        <v>1100750</v>
      </c>
      <c r="D11212" s="5" t="s">
        <v>486</v>
      </c>
      <c r="E11212" s="5" t="str">
        <f t="shared" ref="E11212:E11238" si="584">"ACTISALUD-PATOLOGIA-ANDREA LARA"</f>
        <v>ACTISALUD-PATOLOGIA-ANDREA LARA</v>
      </c>
      <c r="F11212" s="5"/>
      <c r="G11212" s="5"/>
    </row>
    <row r="11213" spans="1:7" ht="58.5" customHeight="1" x14ac:dyDescent="0.25">
      <c r="A11213" s="5" t="str">
        <f>"H0032472"</f>
        <v>H0032472</v>
      </c>
      <c r="B11213" s="5" t="str">
        <f t="shared" si="583"/>
        <v>ARCHIVADOR METÁLICO PARA BLOQUES DE PARAFINA, CON CAPACIDAD PARA 1.500 UNIDADES</v>
      </c>
      <c r="C11213" s="6">
        <v>1100750</v>
      </c>
      <c r="D11213" s="5" t="s">
        <v>486</v>
      </c>
      <c r="E11213" s="5" t="str">
        <f t="shared" si="584"/>
        <v>ACTISALUD-PATOLOGIA-ANDREA LARA</v>
      </c>
      <c r="F11213" s="5"/>
      <c r="G11213" s="5"/>
    </row>
    <row r="11214" spans="1:7" ht="58.5" customHeight="1" x14ac:dyDescent="0.25">
      <c r="A11214" s="5" t="str">
        <f>"H0032473"</f>
        <v>H0032473</v>
      </c>
      <c r="B11214" s="5" t="str">
        <f t="shared" si="583"/>
        <v>ARCHIVADOR METÁLICO PARA BLOQUES DE PARAFINA, CON CAPACIDAD PARA 1.500 UNIDADES</v>
      </c>
      <c r="C11214" s="6">
        <v>1100750</v>
      </c>
      <c r="D11214" s="5" t="s">
        <v>486</v>
      </c>
      <c r="E11214" s="5" t="str">
        <f t="shared" si="584"/>
        <v>ACTISALUD-PATOLOGIA-ANDREA LARA</v>
      </c>
      <c r="F11214" s="5"/>
      <c r="G11214" s="5"/>
    </row>
    <row r="11215" spans="1:7" ht="58.5" customHeight="1" x14ac:dyDescent="0.25">
      <c r="A11215" s="5" t="str">
        <f>"H0032474"</f>
        <v>H0032474</v>
      </c>
      <c r="B11215" s="5" t="str">
        <f t="shared" si="583"/>
        <v>ARCHIVADOR METÁLICO PARA BLOQUES DE PARAFINA, CON CAPACIDAD PARA 1.500 UNIDADES</v>
      </c>
      <c r="C11215" s="6">
        <v>1100750</v>
      </c>
      <c r="D11215" s="5" t="s">
        <v>486</v>
      </c>
      <c r="E11215" s="5" t="str">
        <f t="shared" si="584"/>
        <v>ACTISALUD-PATOLOGIA-ANDREA LARA</v>
      </c>
      <c r="F11215" s="5"/>
      <c r="G11215" s="5"/>
    </row>
    <row r="11216" spans="1:7" ht="58.5" customHeight="1" x14ac:dyDescent="0.25">
      <c r="A11216" s="5" t="str">
        <f>"H0032475"</f>
        <v>H0032475</v>
      </c>
      <c r="B11216" s="5" t="str">
        <f t="shared" si="583"/>
        <v>ARCHIVADOR METÁLICO PARA BLOQUES DE PARAFINA, CON CAPACIDAD PARA 1.500 UNIDADES</v>
      </c>
      <c r="C11216" s="6">
        <v>1100750</v>
      </c>
      <c r="D11216" s="5" t="s">
        <v>486</v>
      </c>
      <c r="E11216" s="5" t="str">
        <f t="shared" si="584"/>
        <v>ACTISALUD-PATOLOGIA-ANDREA LARA</v>
      </c>
      <c r="F11216" s="5"/>
      <c r="G11216" s="5"/>
    </row>
    <row r="11217" spans="1:7" ht="58.5" customHeight="1" x14ac:dyDescent="0.25">
      <c r="A11217" s="5" t="str">
        <f>"H0032476"</f>
        <v>H0032476</v>
      </c>
      <c r="B11217" s="5" t="str">
        <f t="shared" si="583"/>
        <v>ARCHIVADOR METÁLICO PARA BLOQUES DE PARAFINA, CON CAPACIDAD PARA 1.500 UNIDADES</v>
      </c>
      <c r="C11217" s="6">
        <v>1100750</v>
      </c>
      <c r="D11217" s="5" t="s">
        <v>486</v>
      </c>
      <c r="E11217" s="5" t="str">
        <f t="shared" si="584"/>
        <v>ACTISALUD-PATOLOGIA-ANDREA LARA</v>
      </c>
      <c r="F11217" s="5"/>
      <c r="G11217" s="5"/>
    </row>
    <row r="11218" spans="1:7" ht="58.5" customHeight="1" x14ac:dyDescent="0.25">
      <c r="A11218" s="5" t="str">
        <f>"H0032508"</f>
        <v>H0032508</v>
      </c>
      <c r="B11218"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11218" s="6">
        <v>420090</v>
      </c>
      <c r="D11218" s="5" t="s">
        <v>17</v>
      </c>
      <c r="E11218" s="5" t="str">
        <f t="shared" si="584"/>
        <v>ACTISALUD-PATOLOGIA-ANDREA LARA</v>
      </c>
      <c r="F11218" s="5"/>
      <c r="G11218" s="5"/>
    </row>
    <row r="11219" spans="1:7" ht="58.5" customHeight="1" x14ac:dyDescent="0.25">
      <c r="A11219" s="5" t="str">
        <f>"H0035100"</f>
        <v>H0035100</v>
      </c>
      <c r="B11219" s="5" t="str">
        <f>"VENTILADOR DE PARED"</f>
        <v>VENTILADOR DE PARED</v>
      </c>
      <c r="C11219" s="6">
        <v>130000.37</v>
      </c>
      <c r="D11219" s="5" t="s">
        <v>25</v>
      </c>
      <c r="E11219" s="5" t="str">
        <f t="shared" si="584"/>
        <v>ACTISALUD-PATOLOGIA-ANDREA LARA</v>
      </c>
      <c r="F11219" s="5"/>
      <c r="G11219" s="5"/>
    </row>
    <row r="11220" spans="1:7" ht="58.5" customHeight="1" x14ac:dyDescent="0.25">
      <c r="A11220" s="5" t="str">
        <f>"H0035113"</f>
        <v>H0035113</v>
      </c>
      <c r="B11220" s="5" t="str">
        <f>"VENTILADOR DE PARED"</f>
        <v>VENTILADOR DE PARED</v>
      </c>
      <c r="C11220" s="6">
        <v>130000.37</v>
      </c>
      <c r="D11220" s="5" t="s">
        <v>25</v>
      </c>
      <c r="E11220" s="5" t="str">
        <f t="shared" si="584"/>
        <v>ACTISALUD-PATOLOGIA-ANDREA LARA</v>
      </c>
      <c r="F11220" s="5"/>
      <c r="G11220" s="5"/>
    </row>
    <row r="11221" spans="1:7" ht="58.5" customHeight="1" x14ac:dyDescent="0.25">
      <c r="A11221" s="5" t="str">
        <f>"H0035114"</f>
        <v>H0035114</v>
      </c>
      <c r="B11221" s="5" t="str">
        <f>"VENTILADOR DE PARED"</f>
        <v>VENTILADOR DE PARED</v>
      </c>
      <c r="C11221" s="6">
        <v>130000.37</v>
      </c>
      <c r="D11221" s="5" t="s">
        <v>25</v>
      </c>
      <c r="E11221" s="5" t="str">
        <f t="shared" si="584"/>
        <v>ACTISALUD-PATOLOGIA-ANDREA LARA</v>
      </c>
      <c r="F11221" s="5"/>
      <c r="G11221" s="5"/>
    </row>
    <row r="11222" spans="1:7" ht="58.5" customHeight="1" x14ac:dyDescent="0.25">
      <c r="A11222" s="5" t="str">
        <f>"H0035742"</f>
        <v>H0035742</v>
      </c>
      <c r="B11222" s="5" t="str">
        <f>"SILLA GERENTE NIZA MEC. BASCULANTE CON BRAZOS."</f>
        <v>SILLA GERENTE NIZA MEC. BASCULANTE CON BRAZOS.</v>
      </c>
      <c r="C11222" s="6">
        <v>639999.86</v>
      </c>
      <c r="D11222" s="5" t="s">
        <v>46</v>
      </c>
      <c r="E11222" s="5" t="str">
        <f t="shared" si="584"/>
        <v>ACTISALUD-PATOLOGIA-ANDREA LARA</v>
      </c>
      <c r="F11222" s="5"/>
      <c r="G11222" s="5"/>
    </row>
    <row r="11223" spans="1:7" ht="58.5" customHeight="1" x14ac:dyDescent="0.25">
      <c r="A11223" s="5" t="str">
        <f>"H0035743"</f>
        <v>H0035743</v>
      </c>
      <c r="B11223" s="5" t="str">
        <f>"SILLA GERENTE NIZA MEC. BASCULANTE CON BRAZOS."</f>
        <v>SILLA GERENTE NIZA MEC. BASCULANTE CON BRAZOS.</v>
      </c>
      <c r="C11223" s="6">
        <v>639999.86</v>
      </c>
      <c r="D11223" s="5" t="s">
        <v>46</v>
      </c>
      <c r="E11223" s="5" t="str">
        <f t="shared" si="584"/>
        <v>ACTISALUD-PATOLOGIA-ANDREA LARA</v>
      </c>
      <c r="F11223" s="5"/>
      <c r="G11223" s="5"/>
    </row>
    <row r="11224" spans="1:7" ht="58.5" customHeight="1" x14ac:dyDescent="0.25">
      <c r="A11224" s="5" t="str">
        <f>"H0035946"</f>
        <v>H0035946</v>
      </c>
      <c r="B11224" s="5" t="str">
        <f>"SILLA GERENTE NIZA MEC. BASCULANTE CON BRAZOS."</f>
        <v>SILLA GERENTE NIZA MEC. BASCULANTE CON BRAZOS.</v>
      </c>
      <c r="C11224" s="6">
        <v>639999.86</v>
      </c>
      <c r="D11224" s="5" t="s">
        <v>281</v>
      </c>
      <c r="E11224" s="5" t="str">
        <f t="shared" si="584"/>
        <v>ACTISALUD-PATOLOGIA-ANDREA LARA</v>
      </c>
      <c r="F11224" s="5"/>
      <c r="G11224" s="5"/>
    </row>
    <row r="11225" spans="1:7" ht="58.5" customHeight="1" x14ac:dyDescent="0.25">
      <c r="A11225" s="5" t="str">
        <f>"H0035947"</f>
        <v>H0035947</v>
      </c>
      <c r="B11225" s="5" t="str">
        <f>"SILLA GERENTE NIZA MEC. BASCULANTE CON BRAZOS."</f>
        <v>SILLA GERENTE NIZA MEC. BASCULANTE CON BRAZOS.</v>
      </c>
      <c r="C11225" s="6">
        <v>639999.86</v>
      </c>
      <c r="D11225" s="5" t="s">
        <v>281</v>
      </c>
      <c r="E11225" s="5" t="str">
        <f t="shared" si="584"/>
        <v>ACTISALUD-PATOLOGIA-ANDREA LARA</v>
      </c>
      <c r="F11225" s="5"/>
      <c r="G11225" s="5"/>
    </row>
    <row r="11226" spans="1:7" ht="58.5" customHeight="1" x14ac:dyDescent="0.25">
      <c r="A11226" s="5" t="str">
        <f>"H0036011"</f>
        <v>H0036011</v>
      </c>
      <c r="B11226" s="5" t="str">
        <f>"Grabadora de voz"</f>
        <v>Grabadora de voz</v>
      </c>
      <c r="C11226" s="6">
        <v>400078</v>
      </c>
      <c r="D11226" s="5" t="s">
        <v>594</v>
      </c>
      <c r="E11226" s="5" t="str">
        <f t="shared" si="584"/>
        <v>ACTISALUD-PATOLOGIA-ANDREA LARA</v>
      </c>
      <c r="F11226" s="5"/>
      <c r="G11226" s="5"/>
    </row>
    <row r="11227" spans="1:7" ht="58.5" customHeight="1" x14ac:dyDescent="0.25">
      <c r="A11227" s="5" t="str">
        <f>"H0037527"</f>
        <v>H0037527</v>
      </c>
      <c r="B11227" s="5" t="str">
        <f>"VENTILADOR DE PARED"</f>
        <v>VENTILADOR DE PARED</v>
      </c>
      <c r="C11227" s="6">
        <v>286671</v>
      </c>
      <c r="D11227" s="5" t="s">
        <v>139</v>
      </c>
      <c r="E11227" s="5" t="str">
        <f t="shared" si="584"/>
        <v>ACTISALUD-PATOLOGIA-ANDREA LARA</v>
      </c>
      <c r="F11227" s="5"/>
      <c r="G11227" s="5"/>
    </row>
    <row r="11228" spans="1:7" ht="58.5" customHeight="1" x14ac:dyDescent="0.25">
      <c r="A11228" s="5" t="str">
        <f>"H0037582"</f>
        <v>H0037582</v>
      </c>
      <c r="B11228" s="5" t="str">
        <f>"PROCESADOR DE TEJIDO"</f>
        <v>PROCESADOR DE TEJIDO</v>
      </c>
      <c r="C11228" s="6">
        <v>238562171</v>
      </c>
      <c r="D11228" s="5" t="s">
        <v>665</v>
      </c>
      <c r="E11228" s="5" t="str">
        <f t="shared" si="584"/>
        <v>ACTISALUD-PATOLOGIA-ANDREA LARA</v>
      </c>
      <c r="F11228" s="5"/>
      <c r="G11228" s="5"/>
    </row>
    <row r="11229" spans="1:7" ht="58.5" customHeight="1" x14ac:dyDescent="0.25">
      <c r="A11229" s="5" t="str">
        <f>"H0037583"</f>
        <v>H0037583</v>
      </c>
      <c r="B11229" s="5" t="str">
        <f>"MICROSCOPIO TRIOCULAR (DONACION)"</f>
        <v>MICROSCOPIO TRIOCULAR (DONACION)</v>
      </c>
      <c r="C11229" s="6">
        <v>7968240</v>
      </c>
      <c r="D11229" s="5" t="s">
        <v>666</v>
      </c>
      <c r="E11229" s="5" t="str">
        <f t="shared" si="584"/>
        <v>ACTISALUD-PATOLOGIA-ANDREA LARA</v>
      </c>
      <c r="F11229" s="5"/>
      <c r="G11229" s="5"/>
    </row>
    <row r="11230" spans="1:7" ht="58.5" customHeight="1" x14ac:dyDescent="0.25">
      <c r="A11230" s="5" t="str">
        <f>"H0037880"</f>
        <v>H0037880</v>
      </c>
      <c r="B11230" s="5" t="str">
        <f>"SILLA GERENTE NIZA MEC. BASCULANTE CON BRAZOS."</f>
        <v>SILLA GERENTE NIZA MEC. BASCULANTE CON BRAZOS.</v>
      </c>
      <c r="C11230" s="6">
        <v>710000.01</v>
      </c>
      <c r="D11230" s="5" t="s">
        <v>30</v>
      </c>
      <c r="E11230" s="5" t="str">
        <f t="shared" si="584"/>
        <v>ACTISALUD-PATOLOGIA-ANDREA LARA</v>
      </c>
      <c r="F11230" s="5"/>
      <c r="G11230" s="5"/>
    </row>
    <row r="11231" spans="1:7" ht="58.5" customHeight="1" x14ac:dyDescent="0.25">
      <c r="A11231" s="5" t="str">
        <f>"H0037881"</f>
        <v>H0037881</v>
      </c>
      <c r="B11231" s="5" t="str">
        <f>"SILLA GERENTE NIZA MEC. BASCULANTE CON BRAZOS."</f>
        <v>SILLA GERENTE NIZA MEC. BASCULANTE CON BRAZOS.</v>
      </c>
      <c r="C11231" s="6">
        <v>710000.01</v>
      </c>
      <c r="D11231" s="5" t="s">
        <v>30</v>
      </c>
      <c r="E11231" s="5" t="str">
        <f t="shared" si="584"/>
        <v>ACTISALUD-PATOLOGIA-ANDREA LARA</v>
      </c>
      <c r="F11231" s="5"/>
      <c r="G11231" s="5"/>
    </row>
    <row r="11232" spans="1:7" ht="58.5" customHeight="1" x14ac:dyDescent="0.25">
      <c r="A11232" s="5" t="str">
        <f>"H0037882"</f>
        <v>H0037882</v>
      </c>
      <c r="B11232" s="5" t="str">
        <f>"SILLA GERENTE NIZA MEC. BASCULANTE CON BRAZOS."</f>
        <v>SILLA GERENTE NIZA MEC. BASCULANTE CON BRAZOS.</v>
      </c>
      <c r="C11232" s="6">
        <v>710000.01</v>
      </c>
      <c r="D11232" s="5" t="s">
        <v>30</v>
      </c>
      <c r="E11232" s="5" t="str">
        <f t="shared" si="584"/>
        <v>ACTISALUD-PATOLOGIA-ANDREA LARA</v>
      </c>
      <c r="F11232" s="5"/>
      <c r="G11232" s="5"/>
    </row>
    <row r="11233" spans="1:7" ht="58.5" customHeight="1" x14ac:dyDescent="0.25">
      <c r="A11233" s="5" t="str">
        <f>"H0037883"</f>
        <v>H0037883</v>
      </c>
      <c r="B11233" s="5" t="str">
        <f>"SILLA GERENTE NIZA MEC. BASCULANTE CON BRAZOS."</f>
        <v>SILLA GERENTE NIZA MEC. BASCULANTE CON BRAZOS.</v>
      </c>
      <c r="C11233" s="6">
        <v>710000.01</v>
      </c>
      <c r="D11233" s="5" t="s">
        <v>30</v>
      </c>
      <c r="E11233" s="5" t="str">
        <f t="shared" si="584"/>
        <v>ACTISALUD-PATOLOGIA-ANDREA LARA</v>
      </c>
      <c r="F11233" s="5"/>
      <c r="G11233" s="5"/>
    </row>
    <row r="11234" spans="1:7" ht="58.5" customHeight="1" x14ac:dyDescent="0.25">
      <c r="A11234" s="5" t="str">
        <f>"H0038079"</f>
        <v>H0038079</v>
      </c>
      <c r="B11234" s="5" t="str">
        <f>"SILLA CAJERO KOPI"</f>
        <v>SILLA CAJERO KOPI</v>
      </c>
      <c r="C11234" s="6">
        <v>565000.01</v>
      </c>
      <c r="D11234" s="5" t="s">
        <v>30</v>
      </c>
      <c r="E11234" s="5" t="str">
        <f t="shared" si="584"/>
        <v>ACTISALUD-PATOLOGIA-ANDREA LARA</v>
      </c>
      <c r="F11234" s="5"/>
      <c r="G11234" s="5"/>
    </row>
    <row r="11235" spans="1:7" ht="58.5" customHeight="1" x14ac:dyDescent="0.25">
      <c r="A11235" s="5" t="str">
        <f>"H0038080"</f>
        <v>H0038080</v>
      </c>
      <c r="B11235" s="5" t="str">
        <f>"SILLA CAJERO KOPI"</f>
        <v>SILLA CAJERO KOPI</v>
      </c>
      <c r="C11235" s="6">
        <v>565000.01</v>
      </c>
      <c r="D11235" s="5" t="s">
        <v>30</v>
      </c>
      <c r="E11235" s="5" t="str">
        <f t="shared" si="584"/>
        <v>ACTISALUD-PATOLOGIA-ANDREA LARA</v>
      </c>
      <c r="F11235" s="5"/>
      <c r="G11235" s="5"/>
    </row>
    <row r="11236" spans="1:7" ht="58.5" customHeight="1" x14ac:dyDescent="0.25">
      <c r="A11236" s="5" t="str">
        <f>"H0038081"</f>
        <v>H0038081</v>
      </c>
      <c r="B11236" s="5" t="str">
        <f>"SILLA CAJERO KOPI"</f>
        <v>SILLA CAJERO KOPI</v>
      </c>
      <c r="C11236" s="6">
        <v>565000.01</v>
      </c>
      <c r="D11236" s="5" t="s">
        <v>30</v>
      </c>
      <c r="E11236" s="5" t="str">
        <f t="shared" si="584"/>
        <v>ACTISALUD-PATOLOGIA-ANDREA LARA</v>
      </c>
      <c r="F11236" s="5"/>
      <c r="G11236" s="5"/>
    </row>
    <row r="11237" spans="1:7" ht="58.5" customHeight="1" x14ac:dyDescent="0.25">
      <c r="A11237" s="5" t="str">
        <f>"H0038657"</f>
        <v>H0038657</v>
      </c>
      <c r="B11237" s="5" t="str">
        <f>"CAMILLA  y  BOLSA PARA TRASLADO DE CADÁVER"</f>
        <v>CAMILLA  y  BOLSA PARA TRASLADO DE CADÁVER</v>
      </c>
      <c r="C11237" s="6">
        <v>6300000.1500000004</v>
      </c>
      <c r="D11237" s="5" t="s">
        <v>145</v>
      </c>
      <c r="E11237" s="5" t="str">
        <f t="shared" si="584"/>
        <v>ACTISALUD-PATOLOGIA-ANDREA LARA</v>
      </c>
      <c r="F11237" s="5"/>
      <c r="G11237" s="5"/>
    </row>
    <row r="11238" spans="1:7" ht="58.5" customHeight="1" x14ac:dyDescent="0.25">
      <c r="A11238" s="5" t="str">
        <f>"H0038658"</f>
        <v>H0038658</v>
      </c>
      <c r="B11238" s="5" t="str">
        <f>"CAMILLA  y  BOLSA PARA TRASLADO DE CADÁVER"</f>
        <v>CAMILLA  y  BOLSA PARA TRASLADO DE CADÁVER</v>
      </c>
      <c r="C11238" s="6">
        <v>6300000.1500000004</v>
      </c>
      <c r="D11238" s="5" t="s">
        <v>145</v>
      </c>
      <c r="E11238" s="5" t="str">
        <f t="shared" si="584"/>
        <v>ACTISALUD-PATOLOGIA-ANDREA LARA</v>
      </c>
      <c r="F11238" s="5"/>
      <c r="G11238" s="5"/>
    </row>
    <row r="11239" spans="1:7" ht="58.5" customHeight="1" x14ac:dyDescent="0.25">
      <c r="A11239" s="5" t="str">
        <f>"B0003916"</f>
        <v>B0003916</v>
      </c>
      <c r="B11239" s="5" t="str">
        <f t="shared" ref="B11239:B11247" si="585">"CUCHILLO DE COCINA"</f>
        <v>CUCHILLO DE COCINA</v>
      </c>
      <c r="C11239" s="6">
        <v>45008</v>
      </c>
      <c r="D11239" s="5"/>
      <c r="E11239" s="5" t="str">
        <f t="shared" ref="E11239:E11302" si="586">"NUTRICION-ESPERANZA MONCADA PARADA"</f>
        <v>NUTRICION-ESPERANZA MONCADA PARADA</v>
      </c>
      <c r="F11239" s="5" t="str">
        <f>"Descripcion: CUCHILLO RECTO PARA DESHUESAR 16 CM MANGO COLOR AZUL (COCINA) Estado: Bueno Placa anterior: 000036516 Material: METALICO, PLASTICO Color: MANGO AZUL Referencia:  Observacion:  Placa padre: Tipo adquisicion: Entidad"</f>
        <v>Descripcion: CUCHILLO RECTO PARA DESHUESAR 16 CM MANGO COLOR AZUL (COCINA) Estado: Bueno Placa anterior: 000036516 Material: METALICO, PLASTICO Color: MANGO AZUL Referencia:  Observacion:  Placa padre: Tipo adquisicion: Entidad</v>
      </c>
      <c r="G11239" s="5"/>
    </row>
    <row r="11240" spans="1:7" ht="58.5" customHeight="1" x14ac:dyDescent="0.25">
      <c r="A11240" s="5" t="str">
        <f>"B0003917"</f>
        <v>B0003917</v>
      </c>
      <c r="B11240" s="5" t="str">
        <f t="shared" si="585"/>
        <v>CUCHILLO DE COCINA</v>
      </c>
      <c r="C11240" s="6">
        <v>45008</v>
      </c>
      <c r="D11240" s="5"/>
      <c r="E11240" s="5" t="str">
        <f t="shared" si="586"/>
        <v>NUTRICION-ESPERANZA MONCADA PARADA</v>
      </c>
      <c r="F11240" s="5" t="str">
        <f>"Descripcion: CUCHILLO RECTO PARA CORTE 16 CM MANGO COLOR ROJO (COCINA) Estado: Bueno Placa anterior: 000036517 Material: METALICO, PLASTICO Color: MANGO ROJO Referencia:  Observacion:  Placa padre: Tipo adquisicion: Entidad"</f>
        <v>Descripcion: CUCHILLO RECTO PARA CORTE 16 CM MANGO COLOR ROJO (COCINA) Estado: Bueno Placa anterior: 000036517 Material: METALICO, PLASTICO Color: MANGO ROJO Referencia:  Observacion:  Placa padre: Tipo adquisicion: Entidad</v>
      </c>
      <c r="G11240" s="5"/>
    </row>
    <row r="11241" spans="1:7" ht="58.5" customHeight="1" x14ac:dyDescent="0.25">
      <c r="A11241" s="5" t="str">
        <f>"B0003918"</f>
        <v>B0003918</v>
      </c>
      <c r="B11241" s="5" t="str">
        <f t="shared" si="585"/>
        <v>CUCHILLO DE COCINA</v>
      </c>
      <c r="C11241" s="6">
        <v>45008</v>
      </c>
      <c r="D11241" s="5"/>
      <c r="E11241" s="5" t="str">
        <f t="shared" si="586"/>
        <v>NUTRICION-ESPERANZA MONCADA PARADA</v>
      </c>
      <c r="F11241" s="5" t="str">
        <f>"Descripcion: CUCHILLO RECTO PARA CORTE 16 CM MANGO COLOR ROJO (COCINA) Estado: Bueno Placa anterior: 000036518 Material: METALICO PLASTICO Color: MANGO ROJO Referencia:  Observacion:  Placa padre: Tipo adquisicion: Entidad"</f>
        <v>Descripcion: CUCHILLO RECTO PARA CORTE 16 CM MANGO COLOR ROJO (COCINA) Estado: Bueno Placa anterior: 000036518 Material: METALICO PLASTICO Color: MANGO ROJO Referencia:  Observacion:  Placa padre: Tipo adquisicion: Entidad</v>
      </c>
      <c r="G11241" s="5"/>
    </row>
    <row r="11242" spans="1:7" ht="58.5" customHeight="1" x14ac:dyDescent="0.25">
      <c r="A11242" s="5" t="str">
        <f>"B0003919"</f>
        <v>B0003919</v>
      </c>
      <c r="B11242" s="5" t="str">
        <f t="shared" si="585"/>
        <v>CUCHILLO DE COCINA</v>
      </c>
      <c r="C11242" s="6">
        <v>20532</v>
      </c>
      <c r="D11242" s="5"/>
      <c r="E11242" s="5" t="str">
        <f t="shared" si="586"/>
        <v>NUTRICION-ESPERANZA MONCADA PARADA</v>
      </c>
      <c r="F11242" s="5" t="str">
        <f>"Descripcion: CUCHILLO RECTO PARA DESHUESE 12 CM MANGO COLOR BLANCO (COCINA) Estado: Bueno Placa anterior: 000036519 Material: METALICO, PLASTICO Color: MANGO BLANCO Referencia:  Observacion:  Placa padre: Tipo adquisicion: Entidad"</f>
        <v>Descripcion: CUCHILLO RECTO PARA DESHUESE 12 CM MANGO COLOR BLANCO (COCINA) Estado: Bueno Placa anterior: 000036519 Material: METALICO, PLASTICO Color: MANGO BLANCO Referencia:  Observacion:  Placa padre: Tipo adquisicion: Entidad</v>
      </c>
      <c r="G11242" s="5"/>
    </row>
    <row r="11243" spans="1:7" ht="58.5" customHeight="1" x14ac:dyDescent="0.25">
      <c r="A11243" s="5" t="str">
        <f>"B0003920"</f>
        <v>B0003920</v>
      </c>
      <c r="B11243" s="5" t="str">
        <f t="shared" si="585"/>
        <v>CUCHILLO DE COCINA</v>
      </c>
      <c r="C11243" s="6">
        <v>20532</v>
      </c>
      <c r="D11243" s="5"/>
      <c r="E11243" s="5" t="str">
        <f t="shared" si="586"/>
        <v>NUTRICION-ESPERANZA MONCADA PARADA</v>
      </c>
      <c r="F11243" s="5" t="str">
        <f>"Descripcion: CUCHILLO RECTO PARA DESHUESE 12 CM MANGO COLOR BLANCO (COCINA) Estado: Bueno Placa anterior: 000036520 Material: METALICO, PLASTICO Color: MANGO BLANCO Referencia:  Observacion:  Placa padre: Tipo adquisicion: Entidad"</f>
        <v>Descripcion: CUCHILLO RECTO PARA DESHUESE 12 CM MANGO COLOR BLANCO (COCINA) Estado: Bueno Placa anterior: 000036520 Material: METALICO, PLASTICO Color: MANGO BLANCO Referencia:  Observacion:  Placa padre: Tipo adquisicion: Entidad</v>
      </c>
      <c r="G11243" s="5"/>
    </row>
    <row r="11244" spans="1:7" ht="58.5" customHeight="1" x14ac:dyDescent="0.25">
      <c r="A11244" s="5" t="str">
        <f>"B0003921"</f>
        <v>B0003921</v>
      </c>
      <c r="B11244" s="5" t="str">
        <f t="shared" si="585"/>
        <v>CUCHILLO DE COCINA</v>
      </c>
      <c r="C11244" s="6">
        <v>20532</v>
      </c>
      <c r="D11244" s="5"/>
      <c r="E11244" s="5" t="str">
        <f t="shared" si="586"/>
        <v>NUTRICION-ESPERANZA MONCADA PARADA</v>
      </c>
      <c r="F11244" s="5" t="str">
        <f>"Descripcion: CUCHILLO RECTO PARA DESHUESE 12 CM MANGO COLOR BLANCO (COCINA) Estado: Bueno Placa anterior: 000036521 Material: METALICO, PLASTICO Color: MANGO BLANCO Referencia:  Observacion:  Placa padre: Tipo adquisicion: Entidad"</f>
        <v>Descripcion: CUCHILLO RECTO PARA DESHUESE 12 CM MANGO COLOR BLANCO (COCINA) Estado: Bueno Placa anterior: 000036521 Material: METALICO, PLASTICO Color: MANGO BLANCO Referencia:  Observacion:  Placa padre: Tipo adquisicion: Entidad</v>
      </c>
      <c r="G11244" s="5"/>
    </row>
    <row r="11245" spans="1:7" ht="58.5" customHeight="1" x14ac:dyDescent="0.25">
      <c r="A11245" s="5" t="str">
        <f>"B0003922"</f>
        <v>B0003922</v>
      </c>
      <c r="B11245" s="5" t="str">
        <f t="shared" si="585"/>
        <v>CUCHILLO DE COCINA</v>
      </c>
      <c r="C11245" s="6">
        <v>66352</v>
      </c>
      <c r="D11245" s="5"/>
      <c r="E11245" s="5" t="str">
        <f t="shared" si="586"/>
        <v>NUTRICION-ESPERANZA MONCADA PARADA</v>
      </c>
      <c r="F11245" s="5" t="str">
        <f>"Descripcion: CUCHILLO PARA CORTE 20 CM MANGO COLOR AMARILLO (COCINA) Estado: Bueno Placa anterior: 000036522 Material: METALICO, PLASTICO Color: MANGO AMARILLO Referencia:  Observacion:  Placa padre: Tipo adquisicion: Entidad"</f>
        <v>Descripcion: CUCHILLO PARA CORTE 20 CM MANGO COLOR AMARILLO (COCINA) Estado: Bueno Placa anterior: 000036522 Material: METALICO, PLASTICO Color: MANGO AMARILLO Referencia:  Observacion:  Placa padre: Tipo adquisicion: Entidad</v>
      </c>
      <c r="G11245" s="5"/>
    </row>
    <row r="11246" spans="1:7" ht="58.5" customHeight="1" x14ac:dyDescent="0.25">
      <c r="A11246" s="5" t="str">
        <f>"B0003923"</f>
        <v>B0003923</v>
      </c>
      <c r="B11246" s="5" t="str">
        <f t="shared" si="585"/>
        <v>CUCHILLO DE COCINA</v>
      </c>
      <c r="C11246" s="6">
        <v>66352</v>
      </c>
      <c r="D11246" s="5"/>
      <c r="E11246" s="5" t="str">
        <f t="shared" si="586"/>
        <v>NUTRICION-ESPERANZA MONCADA PARADA</v>
      </c>
      <c r="F11246" s="5" t="str">
        <f>"Descripcion: CUCHILLO PARA CORTE 20 CM MANGO COLOR AMARILLO (COCINA) Estado: Bueno Placa anterior: 000036523 Material: METALICO, PLASTICO Color: MANGO AMARILLO Referencia:  Observacion:  Placa padre: Tipo adquisicion: Entidad"</f>
        <v>Descripcion: CUCHILLO PARA CORTE 20 CM MANGO COLOR AMARILLO (COCINA) Estado: Bueno Placa anterior: 000036523 Material: METALICO, PLASTICO Color: MANGO AMARILLO Referencia:  Observacion:  Placa padre: Tipo adquisicion: Entidad</v>
      </c>
      <c r="G11246" s="5"/>
    </row>
    <row r="11247" spans="1:7" ht="58.5" customHeight="1" x14ac:dyDescent="0.25">
      <c r="A11247" s="5" t="str">
        <f>"B0003924"</f>
        <v>B0003924</v>
      </c>
      <c r="B11247" s="5" t="str">
        <f t="shared" si="585"/>
        <v>CUCHILLO DE COCINA</v>
      </c>
      <c r="C11247" s="6">
        <v>48372</v>
      </c>
      <c r="D11247" s="5"/>
      <c r="E11247" s="5" t="str">
        <f t="shared" si="586"/>
        <v>NUTRICION-ESPERANZA MONCADA PARADA</v>
      </c>
      <c r="F11247" s="5" t="str">
        <f>"Descripcion: CUCHILLO PARA CORTE 20 CM MANGO COLOR VIOLETA (COCINA) Estado: Bueno Placa anterior: 000036524 Material: METALICO, PLASTICO Color: MANGO VIOLETA Referencia:  Observacion:  Placa padre: Tipo adquisicion: Entidad"</f>
        <v>Descripcion: CUCHILLO PARA CORTE 20 CM MANGO COLOR VIOLETA (COCINA) Estado: Bueno Placa anterior: 000036524 Material: METALICO, PLASTICO Color: MANGO VIOLETA Referencia:  Observacion:  Placa padre: Tipo adquisicion: Entidad</v>
      </c>
      <c r="G11247" s="5"/>
    </row>
    <row r="11248" spans="1:7" ht="58.5" customHeight="1" x14ac:dyDescent="0.25">
      <c r="A11248" s="5" t="str">
        <f>"B0003925"</f>
        <v>B0003925</v>
      </c>
      <c r="B11248" s="5" t="str">
        <f>"ESPATULA DE COCINA"</f>
        <v>ESPATULA DE COCINA</v>
      </c>
      <c r="C11248" s="6">
        <v>54288</v>
      </c>
      <c r="D11248" s="5"/>
      <c r="E11248" s="5" t="str">
        <f t="shared" si="586"/>
        <v>NUTRICION-ESPERANZA MONCADA PARADA</v>
      </c>
      <c r="F11248" s="5" t="str">
        <f>"Descripcion: ESPATULA CUADRADA MANGO ROJO (COCINA) Estado: Bueno Placa anterior: 000036526 Material: PLASTICO, METALICO Color: MANGO ROJO Referencia:  Observacion:  Placa padre: Tipo adquisicion: Entidad"</f>
        <v>Descripcion: ESPATULA CUADRADA MANGO ROJO (COCINA) Estado: Bueno Placa anterior: 000036526 Material: PLASTICO, METALICO Color: MANGO ROJO Referencia:  Observacion:  Placa padre: Tipo adquisicion: Entidad</v>
      </c>
      <c r="G11248" s="5"/>
    </row>
    <row r="11249" spans="1:7" ht="58.5" customHeight="1" x14ac:dyDescent="0.25">
      <c r="A11249" s="5" t="str">
        <f>"B0003926"</f>
        <v>B0003926</v>
      </c>
      <c r="B11249" s="5" t="str">
        <f>"ESPATULA DE COCINA"</f>
        <v>ESPATULA DE COCINA</v>
      </c>
      <c r="C11249" s="6">
        <v>58000</v>
      </c>
      <c r="D11249" s="5"/>
      <c r="E11249" s="5" t="str">
        <f t="shared" si="586"/>
        <v>NUTRICION-ESPERANZA MONCADA PARADA</v>
      </c>
      <c r="F11249" s="5" t="str">
        <f>"Descripcion: ESPATULA PLANA MANGO COLOR VERDE (COCINA) Estado: Bueno Placa anterior: 000036525 Material: PLASTICO, METALICO Color: MANGO VERDE Referencia:  Observacion:  Placa padre: Tipo adquisicion: Entidad"</f>
        <v>Descripcion: ESPATULA PLANA MANGO COLOR VERDE (COCINA) Estado: Bueno Placa anterior: 000036525 Material: PLASTICO, METALICO Color: MANGO VERDE Referencia:  Observacion:  Placa padre: Tipo adquisicion: Entidad</v>
      </c>
      <c r="G11249" s="5"/>
    </row>
    <row r="11250" spans="1:7" ht="58.5" customHeight="1" x14ac:dyDescent="0.25">
      <c r="A11250" s="5" t="str">
        <f>"H0002115"</f>
        <v>H0002115</v>
      </c>
      <c r="B11250" s="5" t="str">
        <f>"CAMARA DE VIDEOVIGILANCIA"</f>
        <v>CAMARA DE VIDEOVIGILANCIA</v>
      </c>
      <c r="C11250" s="6">
        <v>441700</v>
      </c>
      <c r="D11250" s="5"/>
      <c r="E11250" s="5" t="str">
        <f t="shared" si="586"/>
        <v>NUTRICION-ESPERANZA MONCADA PARADA</v>
      </c>
      <c r="F11250" s="5" t="str">
        <f>"Descripcion:CAMARA IP TIPO DOMO 3 MPX LENTE DE 2.8 mm PoE 1/3 Estado: Excelente Placa anterior: 000038185 Material: PASTA Y ACRILICO Color: BLANCO Referencia:  Observacion:  Placa padre:  Tipo adquisicion : Entidad"</f>
        <v>Descripcion:CAMARA IP TIPO DOMO 3 MPX LENTE DE 2.8 mm PoE 1/3 Estado: Excelente Placa anterior: 000038185 Material: PASTA Y ACRILICO Color: BLANCO Referencia:  Observacion:  Placa padre:  Tipo adquisicion : Entidad</v>
      </c>
      <c r="G11250" s="5" t="str">
        <f>"DS-2ED2132F-1"</f>
        <v>DS-2ED2132F-1</v>
      </c>
    </row>
    <row r="11251" spans="1:7" ht="58.5" customHeight="1" x14ac:dyDescent="0.25">
      <c r="A11251" s="5" t="str">
        <f>"H0002116"</f>
        <v>H0002116</v>
      </c>
      <c r="B11251" s="5" t="str">
        <f>"CAMARA DE VIDEOVIGILANCIA"</f>
        <v>CAMARA DE VIDEOVIGILANCIA</v>
      </c>
      <c r="C11251" s="6">
        <v>441700</v>
      </c>
      <c r="D11251" s="5"/>
      <c r="E11251" s="5" t="str">
        <f t="shared" si="586"/>
        <v>NUTRICION-ESPERANZA MONCADA PARADA</v>
      </c>
      <c r="F11251" s="5" t="str">
        <f>"Descripcion:CAMARA IP TIPO DOMO 3 MPX LENTE DE 2.8 mm PoE 1/3 Estado: Excelente Placa anterior: 000038186 Material: PASTA Y ACRILICO Color: BLANCO Referencia:  Observacion:  Placa padre:  Tipo adquisicion : Entidad"</f>
        <v>Descripcion:CAMARA IP TIPO DOMO 3 MPX LENTE DE 2.8 mm PoE 1/3 Estado: Excelente Placa anterior: 000038186 Material: PASTA Y ACRILICO Color: BLANCO Referencia:  Observacion:  Placa padre:  Tipo adquisicion : Entidad</v>
      </c>
      <c r="G11251" s="5" t="str">
        <f>"DS-2ED2132F-1"</f>
        <v>DS-2ED2132F-1</v>
      </c>
    </row>
    <row r="11252" spans="1:7" ht="58.5" customHeight="1" x14ac:dyDescent="0.25">
      <c r="A11252" s="5" t="str">
        <f>"H0002117"</f>
        <v>H0002117</v>
      </c>
      <c r="B11252" s="5" t="str">
        <f>"CAMARA DE VIDEOVIGILANCIA"</f>
        <v>CAMARA DE VIDEOVIGILANCIA</v>
      </c>
      <c r="C11252" s="6">
        <v>441700</v>
      </c>
      <c r="D11252" s="5"/>
      <c r="E11252" s="5" t="str">
        <f t="shared" si="586"/>
        <v>NUTRICION-ESPERANZA MONCADA PARADA</v>
      </c>
      <c r="F11252" s="5" t="str">
        <f>"Descripcion:CAMARA IP TIPO DOMO 3 MPX LENTE DE 2.8 mm PoE 1/3 Estado: Excelente Placa anterior: 000038187 Material: PASTA Y ACRILICO Color: BLANCO Referencia:  Observacion:  Placa padre:  Tipo adquisicion : Entidad"</f>
        <v>Descripcion:CAMARA IP TIPO DOMO 3 MPX LENTE DE 2.8 mm PoE 1/3 Estado: Excelente Placa anterior: 000038187 Material: PASTA Y ACRILICO Color: BLANCO Referencia:  Observacion:  Placa padre:  Tipo adquisicion : Entidad</v>
      </c>
      <c r="G11252" s="5" t="str">
        <f>"DS-2ED2132F-1"</f>
        <v>DS-2ED2132F-1</v>
      </c>
    </row>
    <row r="11253" spans="1:7" ht="58.5" customHeight="1" x14ac:dyDescent="0.25">
      <c r="A11253" s="5" t="str">
        <f>"H0002118"</f>
        <v>H0002118</v>
      </c>
      <c r="B11253" s="5" t="str">
        <f>"CAMARA DE VIDEOVIGILANCIA"</f>
        <v>CAMARA DE VIDEOVIGILANCIA</v>
      </c>
      <c r="C11253" s="6">
        <v>441700</v>
      </c>
      <c r="D11253" s="5"/>
      <c r="E11253" s="5" t="str">
        <f t="shared" si="586"/>
        <v>NUTRICION-ESPERANZA MONCADA PARADA</v>
      </c>
      <c r="F11253" s="5" t="str">
        <f>"Descripcion:CAMARA IP TIPO DOMO 3 MPX LENTE DE 2.8 mm PoE 1/3 Estado: Excelente Placa anterior: 000038188 Material: PASTA Y ACRILICO Color: BLANCO Referencia:  Observacion:  Placa padre:  Tipo adquisicion : Entidad"</f>
        <v>Descripcion:CAMARA IP TIPO DOMO 3 MPX LENTE DE 2.8 mm PoE 1/3 Estado: Excelente Placa anterior: 000038188 Material: PASTA Y ACRILICO Color: BLANCO Referencia:  Observacion:  Placa padre:  Tipo adquisicion : Entidad</v>
      </c>
      <c r="G11253" s="5" t="str">
        <f>"DS-2ED2132F-1"</f>
        <v>DS-2ED2132F-1</v>
      </c>
    </row>
    <row r="11254" spans="1:7" ht="58.5" customHeight="1" x14ac:dyDescent="0.25">
      <c r="A11254" s="5" t="str">
        <f>"H0002452"</f>
        <v>H0002452</v>
      </c>
      <c r="B11254" s="5" t="str">
        <f>"COMPUTADOR TODO EN UNO"</f>
        <v>COMPUTADOR TODO EN UNO</v>
      </c>
      <c r="C11254" s="6">
        <v>2470000</v>
      </c>
      <c r="D11254" s="5"/>
      <c r="E11254" s="5" t="str">
        <f t="shared" si="586"/>
        <v>NUTRICION-ESPERANZA MONCADA PARADA</v>
      </c>
      <c r="F11254" s="5" t="str">
        <f>"Descripcion:EQUIPO DE COMPUTO TODO EN UNO CON PROCESADOR INTEL i5 Estado: Excelente Placa anterior: 000037285 Material: PASTA Color: NEGRO Referencia: 10BDFDLS Observacion:  Placa anterior:, Placa nueva=H0002454, Descripcion:MOUSE USB  3 BOTONES, Serial:4"&amp; "4PC975, Marca:LENOVO, Modelo:45J4889, Material:PASTA, Color:NEGRO,   Referencia:, Placa anterior:, Placa nueva=H0002453, Descripcion:TECLADO USB LENOVO, Serial:8259045, Marca:LENOVO, Modelo:KU-0225, Material:PASTA, Color:NEGRO,   Referencia:54Y9424 Placa "&amp; "padre:  Tipo adquisicion : Entidad"</f>
        <v>Descripcion:EQUIPO DE COMPUTO TODO EN UNO CON PROCESADOR INTEL i5 Estado: Excelente Placa anterior: 000037285 Material: PASTA Color: NEGRO Referencia: 10BDFDLS Observacion:  Placa anterior:, Placa nueva=H0002454, Descripcion:MOUSE USB  3 BOTONES, Serial:44PC975, Marca:LENOVO, Modelo:45J4889, Material:PASTA, Color:NEGRO,   Referencia:, Placa anterior:, Placa nueva=H0002453, Descripcion:TECLADO USB LENOVO, Serial:8259045, Marca:LENOVO, Modelo:KU-0225, Material:PASTA, Color:NEGRO,   Referencia:54Y9424 Placa padre:  Tipo adquisicion : Entidad</v>
      </c>
      <c r="G11254" s="5" t="str">
        <f>"00FDLS"</f>
        <v>00FDLS</v>
      </c>
    </row>
    <row r="11255" spans="1:7" ht="58.5" customHeight="1" x14ac:dyDescent="0.25">
      <c r="A11255" s="5" t="str">
        <f>"H0002503"</f>
        <v>H0002503</v>
      </c>
      <c r="B11255" s="5" t="str">
        <f>"COMPUTADOR TODO EN UNO"</f>
        <v>COMPUTADOR TODO EN UNO</v>
      </c>
      <c r="C11255" s="6">
        <v>2470000</v>
      </c>
      <c r="D11255" s="5"/>
      <c r="E11255" s="5" t="str">
        <f t="shared" si="586"/>
        <v>NUTRICION-ESPERANZA MONCADA PARADA</v>
      </c>
      <c r="F11255" s="5" t="str">
        <f>"Descripcion:EQUIPO DE COMPUTO TODO EN UNO CON PROCESADOR INTEL i5 Estado: Excelente Placa anterior: 000037297 Material: PASTA Color: NEGRO Referencia: 10BDFDLS Observacion:  Placa anterior:, Placa nueva=H0002505, Descripcion:MOUSE USB  3 BOTONES, Serial:4"&amp; "4PC943, Marca:LENOVO, Modelo:45J4889, Material:PASTA, Color:NEGRO,   Referencia:, Placa anterior:, Placa nueva=H0002504, Descripcion:TECLADO USB LENOVO, Serial:8259058, Marca:LENOVO, Modelo:KU-0225, Material:PASTA, Color:NEGRO,   Referencia:54Y9424 Placa "&amp; "padre:  Tipo adquisicion : Entidad"</f>
        <v>Descripcion:EQUIPO DE COMPUTO TODO EN UNO CON PROCESADOR INTEL i5 Estado: Excelente Placa anterior: 000037297 Material: PASTA Color: NEGRO Referencia: 10BDFDLS Observacion:  Placa anterior:, Placa nueva=H0002505, Descripcion:MOUSE USB  3 BOTONES, Serial:44PC943, Marca:LENOVO, Modelo:45J4889, Material:PASTA, Color:NEGRO,   Referencia:, Placa anterior:, Placa nueva=H0002504, Descripcion:TECLADO USB LENOVO, Serial:8259058, Marca:LENOVO, Modelo:KU-0225, Material:PASTA, Color:NEGRO,   Referencia:54Y9424 Placa padre:  Tipo adquisicion : Entidad</v>
      </c>
      <c r="G11255" s="5" t="str">
        <f>"00FDLS"</f>
        <v>00FDLS</v>
      </c>
    </row>
    <row r="11256" spans="1:7" ht="58.5" customHeight="1" x14ac:dyDescent="0.25">
      <c r="A11256" s="5" t="str">
        <f>"H0004475"</f>
        <v>H0004475</v>
      </c>
      <c r="B11256" s="5" t="str">
        <f>"CARRO PARA TRANSPORTE DE MENAJE"</f>
        <v>CARRO PARA TRANSPORTE DE MENAJE</v>
      </c>
      <c r="C11256" s="6">
        <v>138424</v>
      </c>
      <c r="D11256" s="5"/>
      <c r="E11256" s="5" t="str">
        <f t="shared" si="586"/>
        <v>NUTRICION-ESPERANZA MONCADA PARADA</v>
      </c>
      <c r="F11256" s="5" t="str">
        <f>"Descripcion: DE 5 ENTREPAÑOS  CON RODACHINES Estado: Bueno Placa anterior: 000014281 Material: ACERO  Color: PLATA Referencia:  Observacion: FUNCIONARIO AUTORIZA SE CONCILIE CON PLACA 000014281 Placa padre: Tipo adquisicion: Entidad"</f>
        <v>Descripcion: DE 5 ENTREPAÑOS  CON RODACHINES Estado: Bueno Placa anterior: 000014281 Material: ACERO  Color: PLATA Referencia:  Observacion: FUNCIONARIO AUTORIZA SE CONCILIE CON PLACA 000014281 Placa padre: Tipo adquisicion: Entidad</v>
      </c>
      <c r="G11256" s="5"/>
    </row>
    <row r="11257" spans="1:7" ht="58.5" customHeight="1" x14ac:dyDescent="0.25">
      <c r="A11257" s="5" t="str">
        <f>"H0004479"</f>
        <v>H0004479</v>
      </c>
      <c r="B11257" s="5" t="str">
        <f>"LAVAPLATOS EN ACERO INOXIDABLE 1 PUESTO"</f>
        <v>LAVAPLATOS EN ACERO INOXIDABLE 1 PUESTO</v>
      </c>
      <c r="C11257" s="6">
        <v>81414.84</v>
      </c>
      <c r="D11257" s="5"/>
      <c r="E11257" s="5" t="str">
        <f t="shared" si="586"/>
        <v>NUTRICION-ESPERANZA MONCADA PARADA</v>
      </c>
      <c r="F11257" s="5" t="str">
        <f>"Descripcion: DOBLE MIDE 85X214X60CM DE DOS DIVISIONES Estado: Bueno Placa anterior: 000014285 Material: SUPERFICIE SUPERIOR EN ACERO INERIOR EN LAMIDA Color: PLATA Y GRIS Referencia:  Observacion: EL BIEN TIENE PLACA ANTERIOR 000022896  FUNCIONARIO AUTORI"&amp; "ZA SE CONCILIE CON PLACA 000014285 Placa padre: Tipo adquisicion: Entidad"</f>
        <v>Descripcion: DOBLE MIDE 85X214X60CM DE DOS DIVISIONES Estado: Bueno Placa anterior: 000014285 Material: SUPERFICIE SUPERIOR EN ACERO INERIOR EN LAMIDA Color: PLATA Y GRIS Referencia:  Observacion: EL BIEN TIENE PLACA ANTERIOR 000022896  FUNCIONARIO AUTORIZA SE CONCILIE CON PLACA 000014285 Placa padre: Tipo adquisicion: Entidad</v>
      </c>
      <c r="G11257" s="5"/>
    </row>
    <row r="11258" spans="1:7" ht="58.5" customHeight="1" x14ac:dyDescent="0.25">
      <c r="A11258" s="5" t="str">
        <f>"H0004480"</f>
        <v>H0004480</v>
      </c>
      <c r="B11258" s="5" t="str">
        <f>"NEVERA DE 66 LTS"</f>
        <v>NEVERA DE 66 LTS</v>
      </c>
      <c r="C11258" s="6">
        <v>900001</v>
      </c>
      <c r="D11258" s="5"/>
      <c r="E11258" s="5" t="str">
        <f t="shared" si="586"/>
        <v>NUTRICION-ESPERANZA MONCADA PARADA</v>
      </c>
      <c r="F11258" s="5" t="str">
        <f>"Descripcion: REFRIGERADORA 14 P. RE-37 ELECTROLUX CONVENCIONAL. NEVERA DE 5 PIES Estado: Bueno Placa anterior: 000022582 Material: METAL Color: BLANCO Referencia:  Observacion: ES DE 5 PIES Placa padre: Tipo adquisicion: Entidad"</f>
        <v>Descripcion: REFRIGERADORA 14 P. RE-37 ELECTROLUX CONVENCIONAL. NEVERA DE 5 PIES Estado: Bueno Placa anterior: 000022582 Material: METAL Color: BLANCO Referencia:  Observacion: ES DE 5 PIES Placa padre: Tipo adquisicion: Entidad</v>
      </c>
      <c r="G11258" s="5" t="str">
        <f>"RE-37"</f>
        <v>RE-37</v>
      </c>
    </row>
    <row r="11259" spans="1:7" ht="58.5" customHeight="1" x14ac:dyDescent="0.25">
      <c r="A11259" s="5" t="str">
        <f>"H0004481"</f>
        <v>H0004481</v>
      </c>
      <c r="B11259" s="5" t="str">
        <f>"SILLA INTERLOCUTORA (FIJA) SIN BRAZOS"</f>
        <v>SILLA INTERLOCUTORA (FIJA) SIN BRAZOS</v>
      </c>
      <c r="C11259" s="6">
        <v>11220</v>
      </c>
      <c r="D11259" s="5"/>
      <c r="E11259" s="5" t="str">
        <f t="shared" si="586"/>
        <v>NUTRICION-ESPERANZA MONCADA PARADA</v>
      </c>
      <c r="F11259" s="5" t="str">
        <f>"Descripcion: NO TIENE EL ESPALDAR TAPIZADA EN SINTETICO Estado: Malo Placa anterior: 000014293 Material: METAL Color: GRIS Referencia:  Observacion: EL BIEN TIENE PLACA A ANTERIOR 000008262  FUNCIONARIO AUTORIZA SE CONCILIE CON PLACA 000014293 Placa padre"&amp; ": Tipo adquisicion: Entidad"</f>
        <v>Descripcion: NO TIENE EL ESPALDAR TAPIZADA EN SINTETICO Estado: Malo Placa anterior: 000014293 Material: METAL Color: GRIS Referencia:  Observacion: EL BIEN TIENE PLACA A ANTERIOR 000008262  FUNCIONARIO AUTORIZA SE CONCILIE CON PLACA 000014293 Placa padre: Tipo adquisicion: Entidad</v>
      </c>
      <c r="G11259" s="5"/>
    </row>
    <row r="11260" spans="1:7" ht="58.5" customHeight="1" x14ac:dyDescent="0.25">
      <c r="A11260" s="5" t="str">
        <f>"H0004533"</f>
        <v>H0004533</v>
      </c>
      <c r="B11260" s="5" t="str">
        <f>"CARRO PARA TRANSPORTE DE MENAJE"</f>
        <v>CARRO PARA TRANSPORTE DE MENAJE</v>
      </c>
      <c r="C11260" s="6">
        <v>138424</v>
      </c>
      <c r="D11260" s="5"/>
      <c r="E11260" s="5" t="str">
        <f t="shared" si="586"/>
        <v>NUTRICION-ESPERANZA MONCADA PARADA</v>
      </c>
      <c r="F11260" s="5" t="str">
        <f>"Descripcion: DE 5 COMPARTIMIENTOS Estado: Bueno Placa anterior: 000015409 Material: ACERO Color: PLATA Referencia:  Observacion: FUNCIONARIO AUTORIZA SE CONCILIE CON PLACA 000015409 Placa padre: Tipo adquisicion: Entidad"</f>
        <v>Descripcion: DE 5 COMPARTIMIENTOS Estado: Bueno Placa anterior: 000015409 Material: ACERO Color: PLATA Referencia:  Observacion: FUNCIONARIO AUTORIZA SE CONCILIE CON PLACA 000015409 Placa padre: Tipo adquisicion: Entidad</v>
      </c>
      <c r="G11260" s="5"/>
    </row>
    <row r="11261" spans="1:7" ht="58.5" customHeight="1" x14ac:dyDescent="0.25">
      <c r="A11261" s="5" t="str">
        <f>"H0006627"</f>
        <v>H0006627</v>
      </c>
      <c r="B11261" s="5" t="str">
        <f t="shared" ref="B11261:B11292" si="587">"BANDEJA SIN COMPARTIMIENTOS EN ACERO INOXIDABLE"</f>
        <v>BANDEJA SIN COMPARTIMIENTOS EN ACERO INOXIDABLE</v>
      </c>
      <c r="C11261" s="6">
        <v>111.11</v>
      </c>
      <c r="D11261" s="5"/>
      <c r="E11261" s="5" t="str">
        <f t="shared" si="586"/>
        <v>NUTRICION-ESPERANZA MONCADA PARADA</v>
      </c>
      <c r="F11261" s="5" t="str">
        <f>"Descripcion: BANDEJA CROMADA (CHAROL) - BANDEJA SIN COMPARTIMIENTOS EN ACERO INOXIDABLE - COCINA Estado: Bueno Placa anterior: 000015525 Material: ACERO INOX. Color: PLATEADO Referencia:  Observacion:  Placa padre: Tipo adquisicion: Entidad"</f>
        <v>Descripcion: BANDEJA CROMADA (CHAROL) - BANDEJA SIN COMPARTIMIENTOS EN ACERO INOXIDABLE - COCINA Estado: Bueno Placa anterior: 000015525 Material: ACERO INOX. Color: PLATEADO Referencia:  Observacion:  Placa padre: Tipo adquisicion: Entidad</v>
      </c>
      <c r="G11261" s="5"/>
    </row>
    <row r="11262" spans="1:7" ht="58.5" customHeight="1" x14ac:dyDescent="0.25">
      <c r="A11262" s="5" t="str">
        <f>"H0006628"</f>
        <v>H0006628</v>
      </c>
      <c r="B11262" s="5" t="str">
        <f t="shared" si="587"/>
        <v>BANDEJA SIN COMPARTIMIENTOS EN ACERO INOXIDABLE</v>
      </c>
      <c r="C11262" s="6">
        <v>111.11</v>
      </c>
      <c r="D11262" s="5"/>
      <c r="E11262" s="5" t="str">
        <f t="shared" si="586"/>
        <v>NUTRICION-ESPERANZA MONCADA PARADA</v>
      </c>
      <c r="F11262" s="5" t="str">
        <f>"Descripcion: BANDEJA CROMADA (CHAROL) - BANDEJA SIN COMPARTIMIENTOS EN ACERO INOXIDABLE - COCINA Estado: Bueno Placa anterior: 000015526 Material: ACERO INOX. Color: PLATEADO Referencia:  Observacion:  Placa padre: Tipo adquisicion: Entidad"</f>
        <v>Descripcion: BANDEJA CROMADA (CHAROL) - BANDEJA SIN COMPARTIMIENTOS EN ACERO INOXIDABLE - COCINA Estado: Bueno Placa anterior: 000015526 Material: ACERO INOX. Color: PLATEADO Referencia:  Observacion:  Placa padre: Tipo adquisicion: Entidad</v>
      </c>
      <c r="G11262" s="5"/>
    </row>
    <row r="11263" spans="1:7" ht="58.5" customHeight="1" x14ac:dyDescent="0.25">
      <c r="A11263" s="5" t="str">
        <f>"H0006629"</f>
        <v>H0006629</v>
      </c>
      <c r="B11263" s="5" t="str">
        <f t="shared" si="587"/>
        <v>BANDEJA SIN COMPARTIMIENTOS EN ACERO INOXIDABLE</v>
      </c>
      <c r="C11263" s="6">
        <v>111.11</v>
      </c>
      <c r="D11263" s="5"/>
      <c r="E11263" s="5" t="str">
        <f t="shared" si="586"/>
        <v>NUTRICION-ESPERANZA MONCADA PARADA</v>
      </c>
      <c r="F11263" s="5" t="str">
        <f>"Descripcion: BANDEJA CROMADA (CHAROL) - BANDEJA SIN COMPARTIMIENTOS EN ACERO INOXIDABLE - COCINA Estado: Bueno Placa anterior: 000015527 Material: ACERO INOX. Color: PLATEADO Referencia:  Observacion:  Placa padre: Tipo adquisicion: Entidad"</f>
        <v>Descripcion: BANDEJA CROMADA (CHAROL) - BANDEJA SIN COMPARTIMIENTOS EN ACERO INOXIDABLE - COCINA Estado: Bueno Placa anterior: 000015527 Material: ACERO INOX. Color: PLATEADO Referencia:  Observacion:  Placa padre: Tipo adquisicion: Entidad</v>
      </c>
      <c r="G11263" s="5"/>
    </row>
    <row r="11264" spans="1:7" ht="58.5" customHeight="1" x14ac:dyDescent="0.25">
      <c r="A11264" s="5" t="str">
        <f>"H0006630"</f>
        <v>H0006630</v>
      </c>
      <c r="B11264" s="5" t="str">
        <f t="shared" si="587"/>
        <v>BANDEJA SIN COMPARTIMIENTOS EN ACERO INOXIDABLE</v>
      </c>
      <c r="C11264" s="6">
        <v>111.11</v>
      </c>
      <c r="D11264" s="5"/>
      <c r="E11264" s="5" t="str">
        <f t="shared" si="586"/>
        <v>NUTRICION-ESPERANZA MONCADA PARADA</v>
      </c>
      <c r="F11264" s="5" t="str">
        <f>"Descripcion: BANDEJA CROMADA (CHAROL) - BANDEJA SIN COMPARTIMIENTOS EN ACERO INOXIDABLE - COCINA Estado: Bueno Placa anterior: 000015528 Material: ACERO INOX. Color: PLATEADO Referencia:  Observacion:  Placa padre: Tipo adquisicion: Entidad"</f>
        <v>Descripcion: BANDEJA CROMADA (CHAROL) - BANDEJA SIN COMPARTIMIENTOS EN ACERO INOXIDABLE - COCINA Estado: Bueno Placa anterior: 000015528 Material: ACERO INOX. Color: PLATEADO Referencia:  Observacion:  Placa padre: Tipo adquisicion: Entidad</v>
      </c>
      <c r="G11264" s="5"/>
    </row>
    <row r="11265" spans="1:7" ht="58.5" customHeight="1" x14ac:dyDescent="0.25">
      <c r="A11265" s="5" t="str">
        <f>"H0006631"</f>
        <v>H0006631</v>
      </c>
      <c r="B11265" s="5" t="str">
        <f t="shared" si="587"/>
        <v>BANDEJA SIN COMPARTIMIENTOS EN ACERO INOXIDABLE</v>
      </c>
      <c r="C11265" s="6">
        <v>111.11</v>
      </c>
      <c r="D11265" s="5"/>
      <c r="E11265" s="5" t="str">
        <f t="shared" si="586"/>
        <v>NUTRICION-ESPERANZA MONCADA PARADA</v>
      </c>
      <c r="F11265" s="5" t="str">
        <f>"Descripcion: BANDEJA CROMADA (CHAROL) - BANDEJA SIN COMPARTIMIENTOS EN ACERO INOXIDABLE - COCINA Estado: Bueno Placa anterior: 000015529 Material: ACERO INOX. Color: PLATEADO Referencia:  Observacion:  Placa padre: Tipo adquisicion: Entidad"</f>
        <v>Descripcion: BANDEJA CROMADA (CHAROL) - BANDEJA SIN COMPARTIMIENTOS EN ACERO INOXIDABLE - COCINA Estado: Bueno Placa anterior: 000015529 Material: ACERO INOX. Color: PLATEADO Referencia:  Observacion:  Placa padre: Tipo adquisicion: Entidad</v>
      </c>
      <c r="G11265" s="5"/>
    </row>
    <row r="11266" spans="1:7" ht="58.5" customHeight="1" x14ac:dyDescent="0.25">
      <c r="A11266" s="5" t="str">
        <f>"H0006632"</f>
        <v>H0006632</v>
      </c>
      <c r="B11266" s="5" t="str">
        <f t="shared" si="587"/>
        <v>BANDEJA SIN COMPARTIMIENTOS EN ACERO INOXIDABLE</v>
      </c>
      <c r="C11266" s="6">
        <v>111.11</v>
      </c>
      <c r="D11266" s="5"/>
      <c r="E11266" s="5" t="str">
        <f t="shared" si="586"/>
        <v>NUTRICION-ESPERANZA MONCADA PARADA</v>
      </c>
      <c r="F11266" s="5" t="str">
        <f>"Descripcion: BANDEJA CROMADA (CHAROL) - BANDEJA SIN COMPARTIMIENTOS EN ACERO INOXIDABLE - COCINA Estado: Bueno Placa anterior: 000015530 Material: ACERO INOX. Color: PLATEADO Referencia:  Observacion:  Placa padre: Tipo adquisicion: Entidad"</f>
        <v>Descripcion: BANDEJA CROMADA (CHAROL) - BANDEJA SIN COMPARTIMIENTOS EN ACERO INOXIDABLE - COCINA Estado: Bueno Placa anterior: 000015530 Material: ACERO INOX. Color: PLATEADO Referencia:  Observacion:  Placa padre: Tipo adquisicion: Entidad</v>
      </c>
      <c r="G11266" s="5"/>
    </row>
    <row r="11267" spans="1:7" ht="58.5" customHeight="1" x14ac:dyDescent="0.25">
      <c r="A11267" s="5" t="str">
        <f>"H0006633"</f>
        <v>H0006633</v>
      </c>
      <c r="B11267" s="5" t="str">
        <f t="shared" si="587"/>
        <v>BANDEJA SIN COMPARTIMIENTOS EN ACERO INOXIDABLE</v>
      </c>
      <c r="C11267" s="6">
        <v>111.11</v>
      </c>
      <c r="D11267" s="5"/>
      <c r="E11267" s="5" t="str">
        <f t="shared" si="586"/>
        <v>NUTRICION-ESPERANZA MONCADA PARADA</v>
      </c>
      <c r="F11267" s="5" t="str">
        <f>"Descripcion: BANDEJA CROMADA (CHAROL) - BANDEJA SIN COMPARTIMIENTOS EN ACERO INOXIDABLE - COCINA Estado: Bueno Placa anterior: 000015532 Material: ACERO INOX. Color: PLATEADO Referencia:  Observacion:  Placa padre: Tipo adquisicion: Entidad"</f>
        <v>Descripcion: BANDEJA CROMADA (CHAROL) - BANDEJA SIN COMPARTIMIENTOS EN ACERO INOXIDABLE - COCINA Estado: Bueno Placa anterior: 000015532 Material: ACERO INOX. Color: PLATEADO Referencia:  Observacion:  Placa padre: Tipo adquisicion: Entidad</v>
      </c>
      <c r="G11267" s="5"/>
    </row>
    <row r="11268" spans="1:7" ht="58.5" customHeight="1" x14ac:dyDescent="0.25">
      <c r="A11268" s="5" t="str">
        <f>"H0006634"</f>
        <v>H0006634</v>
      </c>
      <c r="B11268" s="5" t="str">
        <f t="shared" si="587"/>
        <v>BANDEJA SIN COMPARTIMIENTOS EN ACERO INOXIDABLE</v>
      </c>
      <c r="C11268" s="6">
        <v>111.11</v>
      </c>
      <c r="D11268" s="5"/>
      <c r="E11268" s="5" t="str">
        <f t="shared" si="586"/>
        <v>NUTRICION-ESPERANZA MONCADA PARADA</v>
      </c>
      <c r="F11268" s="5" t="str">
        <f>"Descripcion: BANDEJA CROMADA (CHAROL) - BANDEJA SIN COMPARTIMIENTOS EN ACERO INOXIDABLE - COCINA Estado: Bueno Placa anterior: 000015533 Material: ACERO INOX. Color: PLATEADO Referencia:  Observacion:  Placa padre: Tipo adquisicion: Entidad"</f>
        <v>Descripcion: BANDEJA CROMADA (CHAROL) - BANDEJA SIN COMPARTIMIENTOS EN ACERO INOXIDABLE - COCINA Estado: Bueno Placa anterior: 000015533 Material: ACERO INOX. Color: PLATEADO Referencia:  Observacion:  Placa padre: Tipo adquisicion: Entidad</v>
      </c>
      <c r="G11268" s="5"/>
    </row>
    <row r="11269" spans="1:7" ht="58.5" customHeight="1" x14ac:dyDescent="0.25">
      <c r="A11269" s="5" t="str">
        <f>"H0006635"</f>
        <v>H0006635</v>
      </c>
      <c r="B11269" s="5" t="str">
        <f t="shared" si="587"/>
        <v>BANDEJA SIN COMPARTIMIENTOS EN ACERO INOXIDABLE</v>
      </c>
      <c r="C11269" s="6">
        <v>111.11</v>
      </c>
      <c r="D11269" s="5"/>
      <c r="E11269" s="5" t="str">
        <f t="shared" si="586"/>
        <v>NUTRICION-ESPERANZA MONCADA PARADA</v>
      </c>
      <c r="F11269" s="5" t="str">
        <f>"Descripcion: BANDEJA CROMADA (CHAROL) - BANDEJA SIN COMPARTIMIENTOS EN ACERO INOXIDABLE - COCINA Estado: Bueno Placa anterior: 000015534 Material: ACERO INOX. Color: PLATEADO Referencia:  Observacion:  Placa padre: Tipo adquisicion: Entidad"</f>
        <v>Descripcion: BANDEJA CROMADA (CHAROL) - BANDEJA SIN COMPARTIMIENTOS EN ACERO INOXIDABLE - COCINA Estado: Bueno Placa anterior: 000015534 Material: ACERO INOX. Color: PLATEADO Referencia:  Observacion:  Placa padre: Tipo adquisicion: Entidad</v>
      </c>
      <c r="G11269" s="5"/>
    </row>
    <row r="11270" spans="1:7" ht="58.5" customHeight="1" x14ac:dyDescent="0.25">
      <c r="A11270" s="5" t="str">
        <f>"H0006636"</f>
        <v>H0006636</v>
      </c>
      <c r="B11270" s="5" t="str">
        <f t="shared" si="587"/>
        <v>BANDEJA SIN COMPARTIMIENTOS EN ACERO INOXIDABLE</v>
      </c>
      <c r="C11270" s="6">
        <v>111.11</v>
      </c>
      <c r="D11270" s="5"/>
      <c r="E11270" s="5" t="str">
        <f t="shared" si="586"/>
        <v>NUTRICION-ESPERANZA MONCADA PARADA</v>
      </c>
      <c r="F11270" s="5" t="str">
        <f>"Descripcion: BANDEJA CROMADA (CHAROL) - BANDEJA SIN COMPARTIMIENTOS EN ACERO INOXIDABLE - COCINA Estado: Bueno Placa anterior: 000015535 Material: ACERO INOX. Color: PLATEADO Referencia:  Observacion:  Placa padre: Tipo adquisicion: Entidad"</f>
        <v>Descripcion: BANDEJA CROMADA (CHAROL) - BANDEJA SIN COMPARTIMIENTOS EN ACERO INOXIDABLE - COCINA Estado: Bueno Placa anterior: 000015535 Material: ACERO INOX. Color: PLATEADO Referencia:  Observacion:  Placa padre: Tipo adquisicion: Entidad</v>
      </c>
      <c r="G11270" s="5"/>
    </row>
    <row r="11271" spans="1:7" ht="58.5" customHeight="1" x14ac:dyDescent="0.25">
      <c r="A11271" s="5" t="str">
        <f>"H0006637"</f>
        <v>H0006637</v>
      </c>
      <c r="B11271" s="5" t="str">
        <f t="shared" si="587"/>
        <v>BANDEJA SIN COMPARTIMIENTOS EN ACERO INOXIDABLE</v>
      </c>
      <c r="C11271" s="6">
        <v>111.11</v>
      </c>
      <c r="D11271" s="5"/>
      <c r="E11271" s="5" t="str">
        <f t="shared" si="586"/>
        <v>NUTRICION-ESPERANZA MONCADA PARADA</v>
      </c>
      <c r="F11271" s="5" t="str">
        <f>"Descripcion: BANDEJA CROMADA (CHAROL) - BANDEJA SIN COMPARTIMIENTOS EN ACERO INOXIDABLE - COCINA Estado: Bueno Placa anterior: 000015536 Material: ACERO INOX. Color: PLATEADO Referencia:  Observacion:  Placa padre: Tipo adquisicion: Entidad"</f>
        <v>Descripcion: BANDEJA CROMADA (CHAROL) - BANDEJA SIN COMPARTIMIENTOS EN ACERO INOXIDABLE - COCINA Estado: Bueno Placa anterior: 000015536 Material: ACERO INOX. Color: PLATEADO Referencia:  Observacion:  Placa padre: Tipo adquisicion: Entidad</v>
      </c>
      <c r="G11271" s="5"/>
    </row>
    <row r="11272" spans="1:7" ht="58.5" customHeight="1" x14ac:dyDescent="0.25">
      <c r="A11272" s="5" t="str">
        <f>"H0006638"</f>
        <v>H0006638</v>
      </c>
      <c r="B11272" s="5" t="str">
        <f t="shared" si="587"/>
        <v>BANDEJA SIN COMPARTIMIENTOS EN ACERO INOXIDABLE</v>
      </c>
      <c r="C11272" s="6">
        <v>111.11</v>
      </c>
      <c r="D11272" s="5"/>
      <c r="E11272" s="5" t="str">
        <f t="shared" si="586"/>
        <v>NUTRICION-ESPERANZA MONCADA PARADA</v>
      </c>
      <c r="F11272" s="5" t="str">
        <f>"Descripcion: BANDEJA CROMADA (CHAROL) - BANDEJA SIN COMPARTIMIENTOS EN ACERO INOXIDABLE - COCINA Estado: Bueno Placa anterior: 000015537 Material: ACERO INOX. Color: PLATEADO Referencia:  Observacion:  Placa padre: Tipo adquisicion: Entidad"</f>
        <v>Descripcion: BANDEJA CROMADA (CHAROL) - BANDEJA SIN COMPARTIMIENTOS EN ACERO INOXIDABLE - COCINA Estado: Bueno Placa anterior: 000015537 Material: ACERO INOX. Color: PLATEADO Referencia:  Observacion:  Placa padre: Tipo adquisicion: Entidad</v>
      </c>
      <c r="G11272" s="5"/>
    </row>
    <row r="11273" spans="1:7" ht="58.5" customHeight="1" x14ac:dyDescent="0.25">
      <c r="A11273" s="5" t="str">
        <f>"H0006639"</f>
        <v>H0006639</v>
      </c>
      <c r="B11273" s="5" t="str">
        <f t="shared" si="587"/>
        <v>BANDEJA SIN COMPARTIMIENTOS EN ACERO INOXIDABLE</v>
      </c>
      <c r="C11273" s="6">
        <v>111.11</v>
      </c>
      <c r="D11273" s="5"/>
      <c r="E11273" s="5" t="str">
        <f t="shared" si="586"/>
        <v>NUTRICION-ESPERANZA MONCADA PARADA</v>
      </c>
      <c r="F11273" s="5" t="str">
        <f>"Descripcion: BANDEJA CROMADA (CHAROL) - BANDEJA SIN COMPARTIMIENTOS EN ACERO INOXIDABLE - COCINA Estado: Bueno Placa anterior: 000015538 Material: ACERO INOX. Color: PLATEADO Referencia:  Observacion:  Placa padre: Tipo adquisicion: Entidad"</f>
        <v>Descripcion: BANDEJA CROMADA (CHAROL) - BANDEJA SIN COMPARTIMIENTOS EN ACERO INOXIDABLE - COCINA Estado: Bueno Placa anterior: 000015538 Material: ACERO INOX. Color: PLATEADO Referencia:  Observacion:  Placa padre: Tipo adquisicion: Entidad</v>
      </c>
      <c r="G11273" s="5"/>
    </row>
    <row r="11274" spans="1:7" ht="58.5" customHeight="1" x14ac:dyDescent="0.25">
      <c r="A11274" s="5" t="str">
        <f>"H0006640"</f>
        <v>H0006640</v>
      </c>
      <c r="B11274" s="5" t="str">
        <f t="shared" si="587"/>
        <v>BANDEJA SIN COMPARTIMIENTOS EN ACERO INOXIDABLE</v>
      </c>
      <c r="C11274" s="6">
        <v>111.11</v>
      </c>
      <c r="D11274" s="5"/>
      <c r="E11274" s="5" t="str">
        <f t="shared" si="586"/>
        <v>NUTRICION-ESPERANZA MONCADA PARADA</v>
      </c>
      <c r="F11274" s="5" t="str">
        <f>"Descripcion: BANDEJA CROMADA (CHAROL) - BANDEJA SIN COMPARTIMIENTOS EN ACERO INOXIDABLE - COCINA Estado: Bueno Placa anterior: 000015539 Material: ACERO INOX. Color: PLATEADO Referencia:  Observacion:  Placa padre: Tipo adquisicion: Entidad"</f>
        <v>Descripcion: BANDEJA CROMADA (CHAROL) - BANDEJA SIN COMPARTIMIENTOS EN ACERO INOXIDABLE - COCINA Estado: Bueno Placa anterior: 000015539 Material: ACERO INOX. Color: PLATEADO Referencia:  Observacion:  Placa padre: Tipo adquisicion: Entidad</v>
      </c>
      <c r="G11274" s="5"/>
    </row>
    <row r="11275" spans="1:7" ht="58.5" customHeight="1" x14ac:dyDescent="0.25">
      <c r="A11275" s="5" t="str">
        <f>"H0006641"</f>
        <v>H0006641</v>
      </c>
      <c r="B11275" s="5" t="str">
        <f t="shared" si="587"/>
        <v>BANDEJA SIN COMPARTIMIENTOS EN ACERO INOXIDABLE</v>
      </c>
      <c r="C11275" s="6">
        <v>111.11</v>
      </c>
      <c r="D11275" s="5"/>
      <c r="E11275" s="5" t="str">
        <f t="shared" si="586"/>
        <v>NUTRICION-ESPERANZA MONCADA PARADA</v>
      </c>
      <c r="F11275" s="5" t="str">
        <f>"Descripcion: BANDEJA CROMADA (CHAROL) - BANDEJA SIN COMPARTIMIENTOS EN ACERO INOXIDABLE - COCINA Estado: Bueno Placa anterior: 000015540 Material: ACERO INOX. Color: PLATEADO Referencia:  Observacion:  Placa padre: Tipo adquisicion: Entidad"</f>
        <v>Descripcion: BANDEJA CROMADA (CHAROL) - BANDEJA SIN COMPARTIMIENTOS EN ACERO INOXIDABLE - COCINA Estado: Bueno Placa anterior: 000015540 Material: ACERO INOX. Color: PLATEADO Referencia:  Observacion:  Placa padre: Tipo adquisicion: Entidad</v>
      </c>
      <c r="G11275" s="5"/>
    </row>
    <row r="11276" spans="1:7" ht="58.5" customHeight="1" x14ac:dyDescent="0.25">
      <c r="A11276" s="5" t="str">
        <f>"H0006642"</f>
        <v>H0006642</v>
      </c>
      <c r="B11276" s="5" t="str">
        <f t="shared" si="587"/>
        <v>BANDEJA SIN COMPARTIMIENTOS EN ACERO INOXIDABLE</v>
      </c>
      <c r="C11276" s="6">
        <v>111.11</v>
      </c>
      <c r="D11276" s="5"/>
      <c r="E11276" s="5" t="str">
        <f t="shared" si="586"/>
        <v>NUTRICION-ESPERANZA MONCADA PARADA</v>
      </c>
      <c r="F11276" s="5" t="str">
        <f>"Descripcion: BANDEJA CROMADA (CHAROL) - BANDEJA SIN COMPARTIMIENTOS EN ACERO INOXIDABLE - COCINA Estado: Bueno Placa anterior: 000015541 Material: ACERO INOX. Color: PLATEADO Referencia:  Observacion:  Placa padre: Tipo adquisicion: Entidad"</f>
        <v>Descripcion: BANDEJA CROMADA (CHAROL) - BANDEJA SIN COMPARTIMIENTOS EN ACERO INOXIDABLE - COCINA Estado: Bueno Placa anterior: 000015541 Material: ACERO INOX. Color: PLATEADO Referencia:  Observacion:  Placa padre: Tipo adquisicion: Entidad</v>
      </c>
      <c r="G11276" s="5"/>
    </row>
    <row r="11277" spans="1:7" ht="58.5" customHeight="1" x14ac:dyDescent="0.25">
      <c r="A11277" s="5" t="str">
        <f>"H0006643"</f>
        <v>H0006643</v>
      </c>
      <c r="B11277" s="5" t="str">
        <f t="shared" si="587"/>
        <v>BANDEJA SIN COMPARTIMIENTOS EN ACERO INOXIDABLE</v>
      </c>
      <c r="C11277" s="6">
        <v>111.11</v>
      </c>
      <c r="D11277" s="5"/>
      <c r="E11277" s="5" t="str">
        <f t="shared" si="586"/>
        <v>NUTRICION-ESPERANZA MONCADA PARADA</v>
      </c>
      <c r="F11277" s="5" t="str">
        <f>"Descripcion: BANDEJA CROMADA (CHAROL) - BANDEJA SIN COMPARTIMIENTOS EN ACERO INOXIDABLE - COCINA Estado: Bueno Placa anterior: 000015542 Material: ACERO INOX. Color: PLATEADO Referencia:  Observacion:  Placa padre: Tipo adquisicion: Entidad"</f>
        <v>Descripcion: BANDEJA CROMADA (CHAROL) - BANDEJA SIN COMPARTIMIENTOS EN ACERO INOXIDABLE - COCINA Estado: Bueno Placa anterior: 000015542 Material: ACERO INOX. Color: PLATEADO Referencia:  Observacion:  Placa padre: Tipo adquisicion: Entidad</v>
      </c>
      <c r="G11277" s="5"/>
    </row>
    <row r="11278" spans="1:7" ht="58.5" customHeight="1" x14ac:dyDescent="0.25">
      <c r="A11278" s="5" t="str">
        <f>"H0006644"</f>
        <v>H0006644</v>
      </c>
      <c r="B11278" s="5" t="str">
        <f t="shared" si="587"/>
        <v>BANDEJA SIN COMPARTIMIENTOS EN ACERO INOXIDABLE</v>
      </c>
      <c r="C11278" s="6">
        <v>111.11</v>
      </c>
      <c r="D11278" s="5"/>
      <c r="E11278" s="5" t="str">
        <f t="shared" si="586"/>
        <v>NUTRICION-ESPERANZA MONCADA PARADA</v>
      </c>
      <c r="F11278" s="5" t="str">
        <f>"Descripcion: BANDEJA CROMADA (CHAROL) - BANDEJA SIN COMPARTIMIENTOS EN ACERO INOXIDABLE - COCINA Estado: Bueno Placa anterior: 000015543 Material: ACERO INOX. Color: PLATEADO Referencia:  Observacion:  Placa padre: Tipo adquisicion: Entidad"</f>
        <v>Descripcion: BANDEJA CROMADA (CHAROL) - BANDEJA SIN COMPARTIMIENTOS EN ACERO INOXIDABLE - COCINA Estado: Bueno Placa anterior: 000015543 Material: ACERO INOX. Color: PLATEADO Referencia:  Observacion:  Placa padre: Tipo adquisicion: Entidad</v>
      </c>
      <c r="G11278" s="5"/>
    </row>
    <row r="11279" spans="1:7" ht="58.5" customHeight="1" x14ac:dyDescent="0.25">
      <c r="A11279" s="5" t="str">
        <f>"H0006645"</f>
        <v>H0006645</v>
      </c>
      <c r="B11279" s="5" t="str">
        <f t="shared" si="587"/>
        <v>BANDEJA SIN COMPARTIMIENTOS EN ACERO INOXIDABLE</v>
      </c>
      <c r="C11279" s="6">
        <v>111.11</v>
      </c>
      <c r="D11279" s="5"/>
      <c r="E11279" s="5" t="str">
        <f t="shared" si="586"/>
        <v>NUTRICION-ESPERANZA MONCADA PARADA</v>
      </c>
      <c r="F11279" s="5" t="str">
        <f>"Descripcion: BANDEJA CROMADA (CHAROL) - BANDEJA SIN COMPARTIMIENTOS EN ACERO INOXIDABLE - COCINA Estado: Bueno Placa anterior: 000015544 Material: ACERO INOX. Color: PLATEADO Referencia:  Observacion:  Placa padre: Tipo adquisicion: Entidad"</f>
        <v>Descripcion: BANDEJA CROMADA (CHAROL) - BANDEJA SIN COMPARTIMIENTOS EN ACERO INOXIDABLE - COCINA Estado: Bueno Placa anterior: 000015544 Material: ACERO INOX. Color: PLATEADO Referencia:  Observacion:  Placa padre: Tipo adquisicion: Entidad</v>
      </c>
      <c r="G11279" s="5"/>
    </row>
    <row r="11280" spans="1:7" ht="58.5" customHeight="1" x14ac:dyDescent="0.25">
      <c r="A11280" s="5" t="str">
        <f>"H0006646"</f>
        <v>H0006646</v>
      </c>
      <c r="B11280" s="5" t="str">
        <f t="shared" si="587"/>
        <v>BANDEJA SIN COMPARTIMIENTOS EN ACERO INOXIDABLE</v>
      </c>
      <c r="C11280" s="6">
        <v>111.11</v>
      </c>
      <c r="D11280" s="5"/>
      <c r="E11280" s="5" t="str">
        <f t="shared" si="586"/>
        <v>NUTRICION-ESPERANZA MONCADA PARADA</v>
      </c>
      <c r="F11280" s="5" t="str">
        <f>"Descripcion: BANDEJA CROMADA (CHAROL) - BANDEJA SIN COMPARTIMIENTOS EN ACERO INOXIDABLE - COCINA Estado: Bueno Placa anterior: 000015545 Material: ACERO INOX. Color: PLATEADO Referencia:  Observacion:  Placa padre: Tipo adquisicion: Entidad"</f>
        <v>Descripcion: BANDEJA CROMADA (CHAROL) - BANDEJA SIN COMPARTIMIENTOS EN ACERO INOXIDABLE - COCINA Estado: Bueno Placa anterior: 000015545 Material: ACERO INOX. Color: PLATEADO Referencia:  Observacion:  Placa padre: Tipo adquisicion: Entidad</v>
      </c>
      <c r="G11280" s="5"/>
    </row>
    <row r="11281" spans="1:7" ht="58.5" customHeight="1" x14ac:dyDescent="0.25">
      <c r="A11281" s="5" t="str">
        <f>"H0006647"</f>
        <v>H0006647</v>
      </c>
      <c r="B11281" s="5" t="str">
        <f t="shared" si="587"/>
        <v>BANDEJA SIN COMPARTIMIENTOS EN ACERO INOXIDABLE</v>
      </c>
      <c r="C11281" s="6">
        <v>111.11</v>
      </c>
      <c r="D11281" s="5"/>
      <c r="E11281" s="5" t="str">
        <f t="shared" si="586"/>
        <v>NUTRICION-ESPERANZA MONCADA PARADA</v>
      </c>
      <c r="F11281" s="5" t="str">
        <f>"Descripcion: BANDEJA CROMADA (CHAROL) - BANDEJA SIN COMPARTIMIENTOS EN ACERO INOXIDABLE - COCINA Estado: Bueno Placa anterior: 000015546 Material: ACERO INOX. Color: PLATEADO Referencia:  Observacion:  Placa padre: Tipo adquisicion: Entidad"</f>
        <v>Descripcion: BANDEJA CROMADA (CHAROL) - BANDEJA SIN COMPARTIMIENTOS EN ACERO INOXIDABLE - COCINA Estado: Bueno Placa anterior: 000015546 Material: ACERO INOX. Color: PLATEADO Referencia:  Observacion:  Placa padre: Tipo adquisicion: Entidad</v>
      </c>
      <c r="G11281" s="5"/>
    </row>
    <row r="11282" spans="1:7" ht="58.5" customHeight="1" x14ac:dyDescent="0.25">
      <c r="A11282" s="5" t="str">
        <f>"H0006648"</f>
        <v>H0006648</v>
      </c>
      <c r="B11282" s="5" t="str">
        <f t="shared" si="587"/>
        <v>BANDEJA SIN COMPARTIMIENTOS EN ACERO INOXIDABLE</v>
      </c>
      <c r="C11282" s="6">
        <v>111.11</v>
      </c>
      <c r="D11282" s="5"/>
      <c r="E11282" s="5" t="str">
        <f t="shared" si="586"/>
        <v>NUTRICION-ESPERANZA MONCADA PARADA</v>
      </c>
      <c r="F11282" s="5" t="str">
        <f>"Descripcion: BANDEJA CROMADA (CHAROL) - BANDEJA SIN COMPARTIMIENTOS EN ACERO INOXIDABLE - COCINA Estado: Bueno Placa anterior: 000015547 Material: ACERO INOX. Color: PLATEADO Referencia:  Observacion:  Placa padre: Tipo adquisicion: Entidad"</f>
        <v>Descripcion: BANDEJA CROMADA (CHAROL) - BANDEJA SIN COMPARTIMIENTOS EN ACERO INOXIDABLE - COCINA Estado: Bueno Placa anterior: 000015547 Material: ACERO INOX. Color: PLATEADO Referencia:  Observacion:  Placa padre: Tipo adquisicion: Entidad</v>
      </c>
      <c r="G11282" s="5"/>
    </row>
    <row r="11283" spans="1:7" ht="58.5" customHeight="1" x14ac:dyDescent="0.25">
      <c r="A11283" s="5" t="str">
        <f>"H0006649"</f>
        <v>H0006649</v>
      </c>
      <c r="B11283" s="5" t="str">
        <f t="shared" si="587"/>
        <v>BANDEJA SIN COMPARTIMIENTOS EN ACERO INOXIDABLE</v>
      </c>
      <c r="C11283" s="6">
        <v>111.11</v>
      </c>
      <c r="D11283" s="5"/>
      <c r="E11283" s="5" t="str">
        <f t="shared" si="586"/>
        <v>NUTRICION-ESPERANZA MONCADA PARADA</v>
      </c>
      <c r="F11283" s="5" t="str">
        <f>"Descripcion: BANDEJA CROMADA (CHAROL) - BANDEJA SIN COMPARTIMIENTOS EN ACERO INOXIDABLE - COCINA Estado: Bueno Placa anterior: 000015548 Material: ACERO INOX. Color: PLATEADO Referencia:  Observacion:  Placa padre: Tipo adquisicion: Entidad"</f>
        <v>Descripcion: BANDEJA CROMADA (CHAROL) - BANDEJA SIN COMPARTIMIENTOS EN ACERO INOXIDABLE - COCINA Estado: Bueno Placa anterior: 000015548 Material: ACERO INOX. Color: PLATEADO Referencia:  Observacion:  Placa padre: Tipo adquisicion: Entidad</v>
      </c>
      <c r="G11283" s="5"/>
    </row>
    <row r="11284" spans="1:7" ht="58.5" customHeight="1" x14ac:dyDescent="0.25">
      <c r="A11284" s="5" t="str">
        <f>"H0006650"</f>
        <v>H0006650</v>
      </c>
      <c r="B11284" s="5" t="str">
        <f t="shared" si="587"/>
        <v>BANDEJA SIN COMPARTIMIENTOS EN ACERO INOXIDABLE</v>
      </c>
      <c r="C11284" s="6">
        <v>111.11</v>
      </c>
      <c r="D11284" s="5"/>
      <c r="E11284" s="5" t="str">
        <f t="shared" si="586"/>
        <v>NUTRICION-ESPERANZA MONCADA PARADA</v>
      </c>
      <c r="F11284" s="5" t="str">
        <f>"Descripcion: BANDEJA CROMADA (CHAROL) - BANDEJA SIN COMPARTIMIENTOS EN ACERO INOXIDABLE - COCINA Estado: Bueno Placa anterior: 000015549 Material: ACERO INOX. Color: PLATEADO Referencia:  Observacion:  Placa padre: Tipo adquisicion: Entidad"</f>
        <v>Descripcion: BANDEJA CROMADA (CHAROL) - BANDEJA SIN COMPARTIMIENTOS EN ACERO INOXIDABLE - COCINA Estado: Bueno Placa anterior: 000015549 Material: ACERO INOX. Color: PLATEADO Referencia:  Observacion:  Placa padre: Tipo adquisicion: Entidad</v>
      </c>
      <c r="G11284" s="5"/>
    </row>
    <row r="11285" spans="1:7" ht="58.5" customHeight="1" x14ac:dyDescent="0.25">
      <c r="A11285" s="5" t="str">
        <f>"H0006651"</f>
        <v>H0006651</v>
      </c>
      <c r="B11285" s="5" t="str">
        <f t="shared" si="587"/>
        <v>BANDEJA SIN COMPARTIMIENTOS EN ACERO INOXIDABLE</v>
      </c>
      <c r="C11285" s="6">
        <v>111.11</v>
      </c>
      <c r="D11285" s="5"/>
      <c r="E11285" s="5" t="str">
        <f t="shared" si="586"/>
        <v>NUTRICION-ESPERANZA MONCADA PARADA</v>
      </c>
      <c r="F11285" s="5" t="str">
        <f>"Descripcion: BANDEJA CROMADA (CHAROL) - BANDEJA SIN COMPARTIMIENTOS EN ACERO INOXIDABLE - COCINA Estado: Bueno Placa anterior: 000015550 Material: ACERO INOX. Color: PLATEADO Referencia:  Observacion:  Placa padre: Tipo adquisicion: Entidad"</f>
        <v>Descripcion: BANDEJA CROMADA (CHAROL) - BANDEJA SIN COMPARTIMIENTOS EN ACERO INOXIDABLE - COCINA Estado: Bueno Placa anterior: 000015550 Material: ACERO INOX. Color: PLATEADO Referencia:  Observacion:  Placa padre: Tipo adquisicion: Entidad</v>
      </c>
      <c r="G11285" s="5"/>
    </row>
    <row r="11286" spans="1:7" ht="58.5" customHeight="1" x14ac:dyDescent="0.25">
      <c r="A11286" s="5" t="str">
        <f>"H0006652"</f>
        <v>H0006652</v>
      </c>
      <c r="B11286" s="5" t="str">
        <f t="shared" si="587"/>
        <v>BANDEJA SIN COMPARTIMIENTOS EN ACERO INOXIDABLE</v>
      </c>
      <c r="C11286" s="6">
        <v>111.11</v>
      </c>
      <c r="D11286" s="5"/>
      <c r="E11286" s="5" t="str">
        <f t="shared" si="586"/>
        <v>NUTRICION-ESPERANZA MONCADA PARADA</v>
      </c>
      <c r="F11286" s="5" t="str">
        <f>"Descripcion: BANDEJA CROMADA (CHAROL) - BANDEJA SIN COMPARTIMIENTOS EN ACERO INOXIDABLE - COCINA Estado: Bueno Placa anterior: 000015551 Material: ACERO INOX. Color: PLATEADO Referencia:  Observacion:  Placa padre: Tipo adquisicion: Entidad"</f>
        <v>Descripcion: BANDEJA CROMADA (CHAROL) - BANDEJA SIN COMPARTIMIENTOS EN ACERO INOXIDABLE - COCINA Estado: Bueno Placa anterior: 000015551 Material: ACERO INOX. Color: PLATEADO Referencia:  Observacion:  Placa padre: Tipo adquisicion: Entidad</v>
      </c>
      <c r="G11286" s="5"/>
    </row>
    <row r="11287" spans="1:7" ht="58.5" customHeight="1" x14ac:dyDescent="0.25">
      <c r="A11287" s="5" t="str">
        <f>"H0006653"</f>
        <v>H0006653</v>
      </c>
      <c r="B11287" s="5" t="str">
        <f t="shared" si="587"/>
        <v>BANDEJA SIN COMPARTIMIENTOS EN ACERO INOXIDABLE</v>
      </c>
      <c r="C11287" s="6">
        <v>111.11</v>
      </c>
      <c r="D11287" s="5"/>
      <c r="E11287" s="5" t="str">
        <f t="shared" si="586"/>
        <v>NUTRICION-ESPERANZA MONCADA PARADA</v>
      </c>
      <c r="F11287" s="5" t="str">
        <f>"Descripcion: BANDEJA CROMADA (CHAROL) - BANDEJA SIN COMPARTIMIENTOS EN ACERO INOXIDABLE - COCINA Estado: Bueno Placa anterior: 000015552 Material: ACERO INOX. Color: PLATEADO Referencia:  Observacion:  Placa padre: Tipo adquisicion: Entidad"</f>
        <v>Descripcion: BANDEJA CROMADA (CHAROL) - BANDEJA SIN COMPARTIMIENTOS EN ACERO INOXIDABLE - COCINA Estado: Bueno Placa anterior: 000015552 Material: ACERO INOX. Color: PLATEADO Referencia:  Observacion:  Placa padre: Tipo adquisicion: Entidad</v>
      </c>
      <c r="G11287" s="5"/>
    </row>
    <row r="11288" spans="1:7" ht="58.5" customHeight="1" x14ac:dyDescent="0.25">
      <c r="A11288" s="5" t="str">
        <f>"H0006654"</f>
        <v>H0006654</v>
      </c>
      <c r="B11288" s="5" t="str">
        <f t="shared" si="587"/>
        <v>BANDEJA SIN COMPARTIMIENTOS EN ACERO INOXIDABLE</v>
      </c>
      <c r="C11288" s="6">
        <v>111.11</v>
      </c>
      <c r="D11288" s="5"/>
      <c r="E11288" s="5" t="str">
        <f t="shared" si="586"/>
        <v>NUTRICION-ESPERANZA MONCADA PARADA</v>
      </c>
      <c r="F11288" s="5" t="str">
        <f>"Descripcion: BANDEJA CROMADA (CHAROL) - BANDEJA SIN COMPARTIMIENTOS EN ACERO INOXIDABLE - COCINA Estado: Bueno Placa anterior: 000015553 Material: ACERO INOX. Color: PLATEADO Referencia:  Observacion:  Placa padre: Tipo adquisicion: Entidad"</f>
        <v>Descripcion: BANDEJA CROMADA (CHAROL) - BANDEJA SIN COMPARTIMIENTOS EN ACERO INOXIDABLE - COCINA Estado: Bueno Placa anterior: 000015553 Material: ACERO INOX. Color: PLATEADO Referencia:  Observacion:  Placa padre: Tipo adquisicion: Entidad</v>
      </c>
      <c r="G11288" s="5"/>
    </row>
    <row r="11289" spans="1:7" ht="58.5" customHeight="1" x14ac:dyDescent="0.25">
      <c r="A11289" s="5" t="str">
        <f>"H0006655"</f>
        <v>H0006655</v>
      </c>
      <c r="B11289" s="5" t="str">
        <f t="shared" si="587"/>
        <v>BANDEJA SIN COMPARTIMIENTOS EN ACERO INOXIDABLE</v>
      </c>
      <c r="C11289" s="6">
        <v>111.11</v>
      </c>
      <c r="D11289" s="5"/>
      <c r="E11289" s="5" t="str">
        <f t="shared" si="586"/>
        <v>NUTRICION-ESPERANZA MONCADA PARADA</v>
      </c>
      <c r="F11289" s="5" t="str">
        <f>"Descripcion: BANDEJA CROMADA (CHAROL) - BANDEJA SIN COMPARTIMIENTOS EN ACERO INOXIDABLE - COCINA Estado: Bueno Placa anterior: 000015554 Material: ACERO INOX. Color: PLATEADO Referencia:  Observacion:  Placa padre: Tipo adquisicion: Entidad"</f>
        <v>Descripcion: BANDEJA CROMADA (CHAROL) - BANDEJA SIN COMPARTIMIENTOS EN ACERO INOXIDABLE - COCINA Estado: Bueno Placa anterior: 000015554 Material: ACERO INOX. Color: PLATEADO Referencia:  Observacion:  Placa padre: Tipo adquisicion: Entidad</v>
      </c>
      <c r="G11289" s="5"/>
    </row>
    <row r="11290" spans="1:7" ht="58.5" customHeight="1" x14ac:dyDescent="0.25">
      <c r="A11290" s="5" t="str">
        <f>"H0006656"</f>
        <v>H0006656</v>
      </c>
      <c r="B11290" s="5" t="str">
        <f t="shared" si="587"/>
        <v>BANDEJA SIN COMPARTIMIENTOS EN ACERO INOXIDABLE</v>
      </c>
      <c r="C11290" s="6">
        <v>111.11</v>
      </c>
      <c r="D11290" s="5"/>
      <c r="E11290" s="5" t="str">
        <f t="shared" si="586"/>
        <v>NUTRICION-ESPERANZA MONCADA PARADA</v>
      </c>
      <c r="F11290" s="5" t="str">
        <f>"Descripcion: BANDEJA CROMADA (CHAROL) - BANDEJA SIN COMPARTIMIENTOS EN ACERO INOXIDABLE - COCINA Estado: Bueno Placa anterior: 000015555 Material: ACERO INOX. Color: PLATEADO Referencia:  Observacion:  Placa padre: Tipo adquisicion: Entidad"</f>
        <v>Descripcion: BANDEJA CROMADA (CHAROL) - BANDEJA SIN COMPARTIMIENTOS EN ACERO INOXIDABLE - COCINA Estado: Bueno Placa anterior: 000015555 Material: ACERO INOX. Color: PLATEADO Referencia:  Observacion:  Placa padre: Tipo adquisicion: Entidad</v>
      </c>
      <c r="G11290" s="5"/>
    </row>
    <row r="11291" spans="1:7" ht="58.5" customHeight="1" x14ac:dyDescent="0.25">
      <c r="A11291" s="5" t="str">
        <f>"H0006657"</f>
        <v>H0006657</v>
      </c>
      <c r="B11291" s="5" t="str">
        <f t="shared" si="587"/>
        <v>BANDEJA SIN COMPARTIMIENTOS EN ACERO INOXIDABLE</v>
      </c>
      <c r="C11291" s="6">
        <v>111.11</v>
      </c>
      <c r="D11291" s="5"/>
      <c r="E11291" s="5" t="str">
        <f t="shared" si="586"/>
        <v>NUTRICION-ESPERANZA MONCADA PARADA</v>
      </c>
      <c r="F11291" s="5" t="str">
        <f>"Descripcion: BANDEJA CROMADA (CHAROL) - BANDEJA SIN COMPARTIMIENTOS EN ACERO INOXIDABLE - COCINA Estado: Bueno Placa anterior: 000015556 Material: ACERO INOX. Color: PLATEADO Referencia:  Observacion:  Placa padre: Tipo adquisicion: Entidad"</f>
        <v>Descripcion: BANDEJA CROMADA (CHAROL) - BANDEJA SIN COMPARTIMIENTOS EN ACERO INOXIDABLE - COCINA Estado: Bueno Placa anterior: 000015556 Material: ACERO INOX. Color: PLATEADO Referencia:  Observacion:  Placa padre: Tipo adquisicion: Entidad</v>
      </c>
      <c r="G11291" s="5"/>
    </row>
    <row r="11292" spans="1:7" ht="58.5" customHeight="1" x14ac:dyDescent="0.25">
      <c r="A11292" s="5" t="str">
        <f>"H0006658"</f>
        <v>H0006658</v>
      </c>
      <c r="B11292" s="5" t="str">
        <f t="shared" si="587"/>
        <v>BANDEJA SIN COMPARTIMIENTOS EN ACERO INOXIDABLE</v>
      </c>
      <c r="C11292" s="6">
        <v>111.11</v>
      </c>
      <c r="D11292" s="5"/>
      <c r="E11292" s="5" t="str">
        <f t="shared" si="586"/>
        <v>NUTRICION-ESPERANZA MONCADA PARADA</v>
      </c>
      <c r="F11292" s="5" t="str">
        <f>"Descripcion: BANDEJA CROMADA (CHAROL) - BANDEJA SIN COMPARTIMIENTOS EN ACERO INOXIDABLE - COCINA Estado: Bueno Placa anterior: 000015557 Material: ACERO INOX. Color: PLATEADO Referencia:  Observacion:  Placa padre: Tipo adquisicion: Entidad"</f>
        <v>Descripcion: BANDEJA CROMADA (CHAROL) - BANDEJA SIN COMPARTIMIENTOS EN ACERO INOXIDABLE - COCINA Estado: Bueno Placa anterior: 000015557 Material: ACERO INOX. Color: PLATEADO Referencia:  Observacion:  Placa padre: Tipo adquisicion: Entidad</v>
      </c>
      <c r="G11292" s="5"/>
    </row>
    <row r="11293" spans="1:7" ht="58.5" customHeight="1" x14ac:dyDescent="0.25">
      <c r="A11293" s="5" t="str">
        <f>"H0006659"</f>
        <v>H0006659</v>
      </c>
      <c r="B11293" s="5" t="str">
        <f t="shared" ref="B11293:B11312" si="588">"BANDEJA SIN COMPARTIMIENTOS EN ACERO INOXIDABLE"</f>
        <v>BANDEJA SIN COMPARTIMIENTOS EN ACERO INOXIDABLE</v>
      </c>
      <c r="C11293" s="6">
        <v>111.11</v>
      </c>
      <c r="D11293" s="5"/>
      <c r="E11293" s="5" t="str">
        <f t="shared" si="586"/>
        <v>NUTRICION-ESPERANZA MONCADA PARADA</v>
      </c>
      <c r="F11293" s="5" t="str">
        <f>"Descripcion: BANDEJA CROMADA (CHAROL) - BANDEJA SIN COMPARTIMIENTOS EN ACERO INOXIDABLE - COCINA Estado: Bueno Placa anterior: 000015558 Material: ACERO INOX. Color: PLATEADO Referencia:  Observacion:  Placa padre: Tipo adquisicion: Entidad"</f>
        <v>Descripcion: BANDEJA CROMADA (CHAROL) - BANDEJA SIN COMPARTIMIENTOS EN ACERO INOXIDABLE - COCINA Estado: Bueno Placa anterior: 000015558 Material: ACERO INOX. Color: PLATEADO Referencia:  Observacion:  Placa padre: Tipo adquisicion: Entidad</v>
      </c>
      <c r="G11293" s="5"/>
    </row>
    <row r="11294" spans="1:7" ht="58.5" customHeight="1" x14ac:dyDescent="0.25">
      <c r="A11294" s="5" t="str">
        <f>"H0006660"</f>
        <v>H0006660</v>
      </c>
      <c r="B11294" s="5" t="str">
        <f t="shared" si="588"/>
        <v>BANDEJA SIN COMPARTIMIENTOS EN ACERO INOXIDABLE</v>
      </c>
      <c r="C11294" s="6">
        <v>111.11</v>
      </c>
      <c r="D11294" s="5"/>
      <c r="E11294" s="5" t="str">
        <f t="shared" si="586"/>
        <v>NUTRICION-ESPERANZA MONCADA PARADA</v>
      </c>
      <c r="F11294" s="5" t="str">
        <f>"Descripcion: BANDEJA CROMADA (CHAROL) - BANDEJA SIN COMPARTIMIENTOS EN ACERO INOXIDABLE - COCINA Estado: Bueno Placa anterior: 000015559 Material: ACERO INOX. Color: PLATEADO Referencia:  Observacion:  Placa padre: Tipo adquisicion: Entidad"</f>
        <v>Descripcion: BANDEJA CROMADA (CHAROL) - BANDEJA SIN COMPARTIMIENTOS EN ACERO INOXIDABLE - COCINA Estado: Bueno Placa anterior: 000015559 Material: ACERO INOX. Color: PLATEADO Referencia:  Observacion:  Placa padre: Tipo adquisicion: Entidad</v>
      </c>
      <c r="G11294" s="5"/>
    </row>
    <row r="11295" spans="1:7" ht="58.5" customHeight="1" x14ac:dyDescent="0.25">
      <c r="A11295" s="5" t="str">
        <f>"H0006661"</f>
        <v>H0006661</v>
      </c>
      <c r="B11295" s="5" t="str">
        <f t="shared" si="588"/>
        <v>BANDEJA SIN COMPARTIMIENTOS EN ACERO INOXIDABLE</v>
      </c>
      <c r="C11295" s="6">
        <v>111.11</v>
      </c>
      <c r="D11295" s="5"/>
      <c r="E11295" s="5" t="str">
        <f t="shared" si="586"/>
        <v>NUTRICION-ESPERANZA MONCADA PARADA</v>
      </c>
      <c r="F11295" s="5" t="str">
        <f>"Descripcion: BANDEJA CROMADA (CHAROL) - BANDEJA SIN COMPARTIMIENTOS EN ACERO INOXIDABLE - COCINA Estado: Bueno Placa anterior: 000015560 Material: ACERO INOX. Color: PLATEADO Referencia:  Observacion:  Placa padre: Tipo adquisicion: Entidad"</f>
        <v>Descripcion: BANDEJA CROMADA (CHAROL) - BANDEJA SIN COMPARTIMIENTOS EN ACERO INOXIDABLE - COCINA Estado: Bueno Placa anterior: 000015560 Material: ACERO INOX. Color: PLATEADO Referencia:  Observacion:  Placa padre: Tipo adquisicion: Entidad</v>
      </c>
      <c r="G11295" s="5"/>
    </row>
    <row r="11296" spans="1:7" ht="58.5" customHeight="1" x14ac:dyDescent="0.25">
      <c r="A11296" s="5" t="str">
        <f>"H0006662"</f>
        <v>H0006662</v>
      </c>
      <c r="B11296" s="5" t="str">
        <f t="shared" si="588"/>
        <v>BANDEJA SIN COMPARTIMIENTOS EN ACERO INOXIDABLE</v>
      </c>
      <c r="C11296" s="6">
        <v>111.11</v>
      </c>
      <c r="D11296" s="5"/>
      <c r="E11296" s="5" t="str">
        <f t="shared" si="586"/>
        <v>NUTRICION-ESPERANZA MONCADA PARADA</v>
      </c>
      <c r="F11296" s="5" t="str">
        <f>"Descripcion: BANDEJA CROMADA (CHAROL) - BANDEJA SIN COMPARTIMIENTOS EN ACERO INOXIDABLE - COCINA Estado: Bueno Placa anterior: 000015561 Material: ACERO INOX. Color: PLATEADO Referencia:  Observacion:  Placa padre: Tipo adquisicion: Entidad"</f>
        <v>Descripcion: BANDEJA CROMADA (CHAROL) - BANDEJA SIN COMPARTIMIENTOS EN ACERO INOXIDABLE - COCINA Estado: Bueno Placa anterior: 000015561 Material: ACERO INOX. Color: PLATEADO Referencia:  Observacion:  Placa padre: Tipo adquisicion: Entidad</v>
      </c>
      <c r="G11296" s="5"/>
    </row>
    <row r="11297" spans="1:7" ht="58.5" customHeight="1" x14ac:dyDescent="0.25">
      <c r="A11297" s="5" t="str">
        <f>"H0006664"</f>
        <v>H0006664</v>
      </c>
      <c r="B11297" s="5" t="str">
        <f t="shared" si="588"/>
        <v>BANDEJA SIN COMPARTIMIENTOS EN ACERO INOXIDABLE</v>
      </c>
      <c r="C11297" s="6">
        <v>111.11</v>
      </c>
      <c r="D11297" s="5"/>
      <c r="E11297" s="5" t="str">
        <f t="shared" si="586"/>
        <v>NUTRICION-ESPERANZA MONCADA PARADA</v>
      </c>
      <c r="F11297" s="5" t="str">
        <f>"Descripcion: BANDEJA CROMADA (CHAROL) - BANDEJA SIN COMPARTIMIENTOS EN ACERO INOXIDABLE - COCINA Estado: Bueno Placa anterior: 000015563 Material: ACERO INOX.  Color: PLATEADO Referencia:  Observacion:  Placa padre: Tipo adquisicion: Entidad"</f>
        <v>Descripcion: BANDEJA CROMADA (CHAROL) - BANDEJA SIN COMPARTIMIENTOS EN ACERO INOXIDABLE - COCINA Estado: Bueno Placa anterior: 000015563 Material: ACERO INOX.  Color: PLATEADO Referencia:  Observacion:  Placa padre: Tipo adquisicion: Entidad</v>
      </c>
      <c r="G11297" s="5"/>
    </row>
    <row r="11298" spans="1:7" ht="58.5" customHeight="1" x14ac:dyDescent="0.25">
      <c r="A11298" s="5" t="str">
        <f>"H0006665"</f>
        <v>H0006665</v>
      </c>
      <c r="B11298" s="5" t="str">
        <f t="shared" si="588"/>
        <v>BANDEJA SIN COMPARTIMIENTOS EN ACERO INOXIDABLE</v>
      </c>
      <c r="C11298" s="6">
        <v>111.11</v>
      </c>
      <c r="D11298" s="5"/>
      <c r="E11298" s="5" t="str">
        <f t="shared" si="586"/>
        <v>NUTRICION-ESPERANZA MONCADA PARADA</v>
      </c>
      <c r="F11298" s="5" t="str">
        <f>"Descripcion: BANDEJA CROMADA (CHAROL) - BANDEJA SIN COMPARTIMIENTOS EN ACERO INOXIDABLE - COCINA Estado: Bueno Placa anterior: 000015564 Material: ACERO INOX. Color: PLATEADO Referencia:  Observacion:  Placa padre: Tipo adquisicion: Entidad"</f>
        <v>Descripcion: BANDEJA CROMADA (CHAROL) - BANDEJA SIN COMPARTIMIENTOS EN ACERO INOXIDABLE - COCINA Estado: Bueno Placa anterior: 000015564 Material: ACERO INOX. Color: PLATEADO Referencia:  Observacion:  Placa padre: Tipo adquisicion: Entidad</v>
      </c>
      <c r="G11298" s="5"/>
    </row>
    <row r="11299" spans="1:7" ht="58.5" customHeight="1" x14ac:dyDescent="0.25">
      <c r="A11299" s="5" t="str">
        <f>"H0006666"</f>
        <v>H0006666</v>
      </c>
      <c r="B11299" s="5" t="str">
        <f t="shared" si="588"/>
        <v>BANDEJA SIN COMPARTIMIENTOS EN ACERO INOXIDABLE</v>
      </c>
      <c r="C11299" s="6">
        <v>111.11</v>
      </c>
      <c r="D11299" s="5"/>
      <c r="E11299" s="5" t="str">
        <f t="shared" si="586"/>
        <v>NUTRICION-ESPERANZA MONCADA PARADA</v>
      </c>
      <c r="F11299" s="5" t="str">
        <f>"Descripcion: BANDEJA CROMADA (CHAROL) - BANDEJA SIN COMPARTIMIENTOS EN ACERO INOXIDABLE - COCINA Estado: Bueno Placa anterior: 000015565 Material: ACERO INOX. Color: PLATEADO Referencia:  Observacion:  Placa padre: Tipo adquisicion: Entidad"</f>
        <v>Descripcion: BANDEJA CROMADA (CHAROL) - BANDEJA SIN COMPARTIMIENTOS EN ACERO INOXIDABLE - COCINA Estado: Bueno Placa anterior: 000015565 Material: ACERO INOX. Color: PLATEADO Referencia:  Observacion:  Placa padre: Tipo adquisicion: Entidad</v>
      </c>
      <c r="G11299" s="5"/>
    </row>
    <row r="11300" spans="1:7" ht="58.5" customHeight="1" x14ac:dyDescent="0.25">
      <c r="A11300" s="5" t="str">
        <f>"H0006667"</f>
        <v>H0006667</v>
      </c>
      <c r="B11300" s="5" t="str">
        <f t="shared" si="588"/>
        <v>BANDEJA SIN COMPARTIMIENTOS EN ACERO INOXIDABLE</v>
      </c>
      <c r="C11300" s="6">
        <v>111.11</v>
      </c>
      <c r="D11300" s="5"/>
      <c r="E11300" s="5" t="str">
        <f t="shared" si="586"/>
        <v>NUTRICION-ESPERANZA MONCADA PARADA</v>
      </c>
      <c r="F11300" s="5" t="str">
        <f>"Descripcion: BANDEJA CROMADA (CHAROL) - BANDEJA SIN COMPARTIMIENTOS EN ACERO INOXIDABLE - COCINA Estado: Bueno Placa anterior: 000015566 Material: ACERO INOX. Color: PLATEADO Referencia:  Observacion:  Placa padre: Tipo adquisicion: Entidad"</f>
        <v>Descripcion: BANDEJA CROMADA (CHAROL) - BANDEJA SIN COMPARTIMIENTOS EN ACERO INOXIDABLE - COCINA Estado: Bueno Placa anterior: 000015566 Material: ACERO INOX. Color: PLATEADO Referencia:  Observacion:  Placa padre: Tipo adquisicion: Entidad</v>
      </c>
      <c r="G11300" s="5"/>
    </row>
    <row r="11301" spans="1:7" ht="58.5" customHeight="1" x14ac:dyDescent="0.25">
      <c r="A11301" s="5" t="str">
        <f>"H0006668"</f>
        <v>H0006668</v>
      </c>
      <c r="B11301" s="5" t="str">
        <f t="shared" si="588"/>
        <v>BANDEJA SIN COMPARTIMIENTOS EN ACERO INOXIDABLE</v>
      </c>
      <c r="C11301" s="6">
        <v>111.11</v>
      </c>
      <c r="D11301" s="5"/>
      <c r="E11301" s="5" t="str">
        <f t="shared" si="586"/>
        <v>NUTRICION-ESPERANZA MONCADA PARADA</v>
      </c>
      <c r="F11301" s="5" t="str">
        <f>"Descripcion: BANDEJA CROMADA (CHAROL) - BANDEJA SIN COMPARTIMIENTOS EN ACERO INOXIDABLE - COCINA Estado: Bueno Placa anterior: 000015567 Material: ACERO INOX. Color: PLATEADO Referencia:  Observacion:  Placa padre: Tipo adquisicion: Entidad"</f>
        <v>Descripcion: BANDEJA CROMADA (CHAROL) - BANDEJA SIN COMPARTIMIENTOS EN ACERO INOXIDABLE - COCINA Estado: Bueno Placa anterior: 000015567 Material: ACERO INOX. Color: PLATEADO Referencia:  Observacion:  Placa padre: Tipo adquisicion: Entidad</v>
      </c>
      <c r="G11301" s="5"/>
    </row>
    <row r="11302" spans="1:7" ht="58.5" customHeight="1" x14ac:dyDescent="0.25">
      <c r="A11302" s="5" t="str">
        <f>"H0006669"</f>
        <v>H0006669</v>
      </c>
      <c r="B11302" s="5" t="str">
        <f t="shared" si="588"/>
        <v>BANDEJA SIN COMPARTIMIENTOS EN ACERO INOXIDABLE</v>
      </c>
      <c r="C11302" s="6">
        <v>111.11</v>
      </c>
      <c r="D11302" s="5"/>
      <c r="E11302" s="5" t="str">
        <f t="shared" si="586"/>
        <v>NUTRICION-ESPERANZA MONCADA PARADA</v>
      </c>
      <c r="F11302" s="5" t="str">
        <f>"Descripcion: BANDEJA CROMADA (CHAROL) - BANDEJA SIN COMPARTIMIENTOS EN ACERO INOXIDABLE - COCINA Estado: Bueno Placa anterior: 000015568 Material: ACERO INOX. Color: PLATEADO Referencia:  Observacion:  Placa padre: Tipo adquisicion: Entidad"</f>
        <v>Descripcion: BANDEJA CROMADA (CHAROL) - BANDEJA SIN COMPARTIMIENTOS EN ACERO INOXIDABLE - COCINA Estado: Bueno Placa anterior: 000015568 Material: ACERO INOX. Color: PLATEADO Referencia:  Observacion:  Placa padre: Tipo adquisicion: Entidad</v>
      </c>
      <c r="G11302" s="5"/>
    </row>
    <row r="11303" spans="1:7" ht="58.5" customHeight="1" x14ac:dyDescent="0.25">
      <c r="A11303" s="5" t="str">
        <f>"H0006670"</f>
        <v>H0006670</v>
      </c>
      <c r="B11303" s="5" t="str">
        <f t="shared" si="588"/>
        <v>BANDEJA SIN COMPARTIMIENTOS EN ACERO INOXIDABLE</v>
      </c>
      <c r="C11303" s="6">
        <v>111.11</v>
      </c>
      <c r="D11303" s="5"/>
      <c r="E11303" s="5" t="str">
        <f t="shared" ref="E11303:E11366" si="589">"NUTRICION-ESPERANZA MONCADA PARADA"</f>
        <v>NUTRICION-ESPERANZA MONCADA PARADA</v>
      </c>
      <c r="F11303" s="5" t="str">
        <f>"Descripcion: BANDEJA CROMADA (CHAROL) - BANDEJA SIN COMPARTIMIENTOS EN ACERO INOXIDABLE - COCINA Estado: Bueno Placa anterior: 000015569 Material: ACERO INOX. Color: PLATEADO Referencia:  Observacion:  Placa padre: Tipo adquisicion: Entidad"</f>
        <v>Descripcion: BANDEJA CROMADA (CHAROL) - BANDEJA SIN COMPARTIMIENTOS EN ACERO INOXIDABLE - COCINA Estado: Bueno Placa anterior: 000015569 Material: ACERO INOX. Color: PLATEADO Referencia:  Observacion:  Placa padre: Tipo adquisicion: Entidad</v>
      </c>
      <c r="G11303" s="5"/>
    </row>
    <row r="11304" spans="1:7" ht="58.5" customHeight="1" x14ac:dyDescent="0.25">
      <c r="A11304" s="5" t="str">
        <f>"H0006671"</f>
        <v>H0006671</v>
      </c>
      <c r="B11304" s="5" t="str">
        <f t="shared" si="588"/>
        <v>BANDEJA SIN COMPARTIMIENTOS EN ACERO INOXIDABLE</v>
      </c>
      <c r="C11304" s="6">
        <v>111.11</v>
      </c>
      <c r="D11304" s="5"/>
      <c r="E11304" s="5" t="str">
        <f t="shared" si="589"/>
        <v>NUTRICION-ESPERANZA MONCADA PARADA</v>
      </c>
      <c r="F11304" s="5" t="str">
        <f>"Descripcion: BANDEJA CROMADA (CHAROL) - BANDEJA SIN COMPARTIMIENTOS EN ACERO INOXIDABLE - COCINA Estado: Bueno Placa anterior: 000015570 Material: ACERO INOX. Color: PLATEADO Referencia:  Observacion:  Placa padre: Tipo adquisicion: Entidad"</f>
        <v>Descripcion: BANDEJA CROMADA (CHAROL) - BANDEJA SIN COMPARTIMIENTOS EN ACERO INOXIDABLE - COCINA Estado: Bueno Placa anterior: 000015570 Material: ACERO INOX. Color: PLATEADO Referencia:  Observacion:  Placa padre: Tipo adquisicion: Entidad</v>
      </c>
      <c r="G11304" s="5"/>
    </row>
    <row r="11305" spans="1:7" ht="58.5" customHeight="1" x14ac:dyDescent="0.25">
      <c r="A11305" s="5" t="str">
        <f>"H0006672"</f>
        <v>H0006672</v>
      </c>
      <c r="B11305" s="5" t="str">
        <f t="shared" si="588"/>
        <v>BANDEJA SIN COMPARTIMIENTOS EN ACERO INOXIDABLE</v>
      </c>
      <c r="C11305" s="6">
        <v>111.11</v>
      </c>
      <c r="D11305" s="5"/>
      <c r="E11305" s="5" t="str">
        <f t="shared" si="589"/>
        <v>NUTRICION-ESPERANZA MONCADA PARADA</v>
      </c>
      <c r="F11305" s="5" t="str">
        <f>"Descripcion: BANDEJA CROMADA (CHAROL) - BANDEJA SIN COMPARTIMIENTOS EN ACERO INOXIDABLE - COCINA Estado: Bueno Placa anterior: 000015571 Material: ACERO INOX. Color: PLATEADO Referencia:  Observacion:  Placa padre: Tipo adquisicion: Entidad"</f>
        <v>Descripcion: BANDEJA CROMADA (CHAROL) - BANDEJA SIN COMPARTIMIENTOS EN ACERO INOXIDABLE - COCINA Estado: Bueno Placa anterior: 000015571 Material: ACERO INOX. Color: PLATEADO Referencia:  Observacion:  Placa padre: Tipo adquisicion: Entidad</v>
      </c>
      <c r="G11305" s="5"/>
    </row>
    <row r="11306" spans="1:7" ht="58.5" customHeight="1" x14ac:dyDescent="0.25">
      <c r="A11306" s="5" t="str">
        <f>"H0006673"</f>
        <v>H0006673</v>
      </c>
      <c r="B11306" s="5" t="str">
        <f t="shared" si="588"/>
        <v>BANDEJA SIN COMPARTIMIENTOS EN ACERO INOXIDABLE</v>
      </c>
      <c r="C11306" s="6">
        <v>111.11</v>
      </c>
      <c r="D11306" s="5"/>
      <c r="E11306" s="5" t="str">
        <f t="shared" si="589"/>
        <v>NUTRICION-ESPERANZA MONCADA PARADA</v>
      </c>
      <c r="F11306" s="5" t="str">
        <f>"Descripcion: BANDEJA CROMADA (CHAROL) - BANDEJA SIN COMPARTIMIENTOS EN ACERO INOXIDABLE - COCINA Estado: Bueno Placa anterior: 000015572 Material: ACERO INOX. Color: PLATEADO Referencia:  Observacion:  Placa padre: Tipo adquisicion: Entidad"</f>
        <v>Descripcion: BANDEJA CROMADA (CHAROL) - BANDEJA SIN COMPARTIMIENTOS EN ACERO INOXIDABLE - COCINA Estado: Bueno Placa anterior: 000015572 Material: ACERO INOX. Color: PLATEADO Referencia:  Observacion:  Placa padre: Tipo adquisicion: Entidad</v>
      </c>
      <c r="G11306" s="5"/>
    </row>
    <row r="11307" spans="1:7" ht="58.5" customHeight="1" x14ac:dyDescent="0.25">
      <c r="A11307" s="5" t="str">
        <f>"H0006674"</f>
        <v>H0006674</v>
      </c>
      <c r="B11307" s="5" t="str">
        <f t="shared" si="588"/>
        <v>BANDEJA SIN COMPARTIMIENTOS EN ACERO INOXIDABLE</v>
      </c>
      <c r="C11307" s="6">
        <v>111.11</v>
      </c>
      <c r="D11307" s="5"/>
      <c r="E11307" s="5" t="str">
        <f t="shared" si="589"/>
        <v>NUTRICION-ESPERANZA MONCADA PARADA</v>
      </c>
      <c r="F11307" s="5" t="str">
        <f>"Descripcion: BANDEJA CROMADA (CHAROL) - BANDEJA SIN COMPARTIMIENTOS EN ACERO INOXIDABLE - COCINA Estado: Bueno Placa anterior: 000015573 Material: ACERO INOX. Color: PLATEADO Referencia:  Observacion:  Placa padre: Tipo adquisicion: Entidad"</f>
        <v>Descripcion: BANDEJA CROMADA (CHAROL) - BANDEJA SIN COMPARTIMIENTOS EN ACERO INOXIDABLE - COCINA Estado: Bueno Placa anterior: 000015573 Material: ACERO INOX. Color: PLATEADO Referencia:  Observacion:  Placa padre: Tipo adquisicion: Entidad</v>
      </c>
      <c r="G11307" s="5"/>
    </row>
    <row r="11308" spans="1:7" ht="58.5" customHeight="1" x14ac:dyDescent="0.25">
      <c r="A11308" s="5" t="str">
        <f>"H0006675"</f>
        <v>H0006675</v>
      </c>
      <c r="B11308" s="5" t="str">
        <f t="shared" si="588"/>
        <v>BANDEJA SIN COMPARTIMIENTOS EN ACERO INOXIDABLE</v>
      </c>
      <c r="C11308" s="6">
        <v>111.11</v>
      </c>
      <c r="D11308" s="5"/>
      <c r="E11308" s="5" t="str">
        <f t="shared" si="589"/>
        <v>NUTRICION-ESPERANZA MONCADA PARADA</v>
      </c>
      <c r="F11308" s="5" t="str">
        <f>"Descripcion: BANDEJA CROMADA (CHAROL) - BANDEJA SIN COMPARTIMIENTOS EN ACERO INOXIDABLE - COCINA Estado: Bueno Placa anterior: 000015574 Material: ACERO INOX. Color: PLATEADO Referencia:  Observacion:  Placa padre: Tipo adquisicion: Entidad"</f>
        <v>Descripcion: BANDEJA CROMADA (CHAROL) - BANDEJA SIN COMPARTIMIENTOS EN ACERO INOXIDABLE - COCINA Estado: Bueno Placa anterior: 000015574 Material: ACERO INOX. Color: PLATEADO Referencia:  Observacion:  Placa padre: Tipo adquisicion: Entidad</v>
      </c>
      <c r="G11308" s="5"/>
    </row>
    <row r="11309" spans="1:7" ht="58.5" customHeight="1" x14ac:dyDescent="0.25">
      <c r="A11309" s="5" t="str">
        <f>"H0006676"</f>
        <v>H0006676</v>
      </c>
      <c r="B11309" s="5" t="str">
        <f t="shared" si="588"/>
        <v>BANDEJA SIN COMPARTIMIENTOS EN ACERO INOXIDABLE</v>
      </c>
      <c r="C11309" s="6">
        <v>111.11</v>
      </c>
      <c r="D11309" s="5"/>
      <c r="E11309" s="5" t="str">
        <f t="shared" si="589"/>
        <v>NUTRICION-ESPERANZA MONCADA PARADA</v>
      </c>
      <c r="F11309" s="5" t="str">
        <f>"Descripcion: BANDEJA CROMADA (CHAROL) - BANDEJA SIN COMPARTIMIENTOS EN ACERO INOXIDABLE - COCINA Estado: Bueno Placa anterior: 000015575 Material: ACERO INOX. Color: PLATEADO Referencia:  Observacion:  Placa padre: Tipo adquisicion: Entidad"</f>
        <v>Descripcion: BANDEJA CROMADA (CHAROL) - BANDEJA SIN COMPARTIMIENTOS EN ACERO INOXIDABLE - COCINA Estado: Bueno Placa anterior: 000015575 Material: ACERO INOX. Color: PLATEADO Referencia:  Observacion:  Placa padre: Tipo adquisicion: Entidad</v>
      </c>
      <c r="G11309" s="5"/>
    </row>
    <row r="11310" spans="1:7" ht="58.5" customHeight="1" x14ac:dyDescent="0.25">
      <c r="A11310" s="5" t="str">
        <f>"H0006677"</f>
        <v>H0006677</v>
      </c>
      <c r="B11310" s="5" t="str">
        <f t="shared" si="588"/>
        <v>BANDEJA SIN COMPARTIMIENTOS EN ACERO INOXIDABLE</v>
      </c>
      <c r="C11310" s="6">
        <v>111.11</v>
      </c>
      <c r="D11310" s="5"/>
      <c r="E11310" s="5" t="str">
        <f t="shared" si="589"/>
        <v>NUTRICION-ESPERANZA MONCADA PARADA</v>
      </c>
      <c r="F11310" s="5" t="str">
        <f>"Descripcion: BANDEJA CROMADA (CHAROL) - BANDEJA SIN COMPARTIMIENTOS EN ACERO INOXIDABLE - COCINA Estado: Bueno Placa anterior: 000015576 Material: ACERO INOX. Color: PLATEADO Referencia:  Observacion:  Placa padre: Tipo adquisicion: Entidad"</f>
        <v>Descripcion: BANDEJA CROMADA (CHAROL) - BANDEJA SIN COMPARTIMIENTOS EN ACERO INOXIDABLE - COCINA Estado: Bueno Placa anterior: 000015576 Material: ACERO INOX. Color: PLATEADO Referencia:  Observacion:  Placa padre: Tipo adquisicion: Entidad</v>
      </c>
      <c r="G11310" s="5"/>
    </row>
    <row r="11311" spans="1:7" ht="58.5" customHeight="1" x14ac:dyDescent="0.25">
      <c r="A11311" s="5" t="str">
        <f>"H0006678"</f>
        <v>H0006678</v>
      </c>
      <c r="B11311" s="5" t="str">
        <f t="shared" si="588"/>
        <v>BANDEJA SIN COMPARTIMIENTOS EN ACERO INOXIDABLE</v>
      </c>
      <c r="C11311" s="6">
        <v>111.11</v>
      </c>
      <c r="D11311" s="5"/>
      <c r="E11311" s="5" t="str">
        <f t="shared" si="589"/>
        <v>NUTRICION-ESPERANZA MONCADA PARADA</v>
      </c>
      <c r="F11311" s="5" t="str">
        <f>"Descripcion: BANDEJA CROMADA (CHAROL) - BANDEJA SIN COMPARTIMIENTOS EN ACERO INOXIDABLE - COCINA Estado: Bueno Placa anterior: 000015577 Material: ACERO INOX. Color: PLATEADO Referencia:  Observacion:  Placa padre: Tipo adquisicion: Entidad"</f>
        <v>Descripcion: BANDEJA CROMADA (CHAROL) - BANDEJA SIN COMPARTIMIENTOS EN ACERO INOXIDABLE - COCINA Estado: Bueno Placa anterior: 000015577 Material: ACERO INOX. Color: PLATEADO Referencia:  Observacion:  Placa padre: Tipo adquisicion: Entidad</v>
      </c>
      <c r="G11311" s="5"/>
    </row>
    <row r="11312" spans="1:7" ht="58.5" customHeight="1" x14ac:dyDescent="0.25">
      <c r="A11312" s="5" t="str">
        <f>"H0006679"</f>
        <v>H0006679</v>
      </c>
      <c r="B11312" s="5" t="str">
        <f t="shared" si="588"/>
        <v>BANDEJA SIN COMPARTIMIENTOS EN ACERO INOXIDABLE</v>
      </c>
      <c r="C11312" s="6">
        <v>111.11</v>
      </c>
      <c r="D11312" s="5"/>
      <c r="E11312" s="5" t="str">
        <f t="shared" si="589"/>
        <v>NUTRICION-ESPERANZA MONCADA PARADA</v>
      </c>
      <c r="F11312" s="5" t="str">
        <f>"Descripcion: BANDEJA CROMADA (CHAROL) - BANDEJA SIN COMPARTIMIENTOS EN ACERO INOXIDABLE - COCINA Estado: Bueno Placa anterior: 000015629 Material: ACERO INOX. Color: PLATEADO Referencia:  Observacion:  Placa padre: Tipo adquisicion: Entidad"</f>
        <v>Descripcion: BANDEJA CROMADA (CHAROL) - BANDEJA SIN COMPARTIMIENTOS EN ACERO INOXIDABLE - COCINA Estado: Bueno Placa anterior: 000015629 Material: ACERO INOX. Color: PLATEADO Referencia:  Observacion:  Placa padre: Tipo adquisicion: Entidad</v>
      </c>
      <c r="G11312" s="5"/>
    </row>
    <row r="11313" spans="1:7" ht="58.5" customHeight="1" x14ac:dyDescent="0.25">
      <c r="A11313" s="5" t="str">
        <f>"H0006680"</f>
        <v>H0006680</v>
      </c>
      <c r="B11313" s="5" t="str">
        <f>"CARRO PARA TRANSPORTE DE MENAJE"</f>
        <v>CARRO PARA TRANSPORTE DE MENAJE</v>
      </c>
      <c r="C11313" s="6">
        <v>126117.3</v>
      </c>
      <c r="D11313" s="5"/>
      <c r="E11313" s="5" t="str">
        <f t="shared" si="589"/>
        <v>NUTRICION-ESPERANZA MONCADA PARADA</v>
      </c>
      <c r="F11313" s="5" t="str">
        <f>"Descripcion: CARRO PARA TRANSPORTE DE LOZA - 4 ENTREPAÑOS Estado: Bueno Placa anterior: 000014181 Material: ACERO INOX. Color: PLATEADO Referencia:  Observacion:  Placa padre: Tipo adquisicion: Entidad"</f>
        <v>Descripcion: CARRO PARA TRANSPORTE DE LOZA - 4 ENTREPAÑOS Estado: Bueno Placa anterior: 000014181 Material: ACERO INOX. Color: PLATEADO Referencia:  Observacion:  Placa padre: Tipo adquisicion: Entidad</v>
      </c>
      <c r="G11313" s="5"/>
    </row>
    <row r="11314" spans="1:7" ht="58.5" customHeight="1" x14ac:dyDescent="0.25">
      <c r="A11314" s="5" t="str">
        <f>"H0006681"</f>
        <v>H0006681</v>
      </c>
      <c r="B11314" s="5" t="str">
        <f>"CARRO PARA TRANSPORTE DE MENAJE"</f>
        <v>CARRO PARA TRANSPORTE DE MENAJE</v>
      </c>
      <c r="C11314" s="6">
        <v>126117.3</v>
      </c>
      <c r="D11314" s="5"/>
      <c r="E11314" s="5" t="str">
        <f t="shared" si="589"/>
        <v>NUTRICION-ESPERANZA MONCADA PARADA</v>
      </c>
      <c r="F11314" s="5" t="str">
        <f>"Descripcion: CARRO PARA TRANSPORTE DE LOZA - 4 ENTREPAÑOS Estado: Bueno Placa anterior: 000014183 Material: ACERO INOX. Color: PLATEADO Referencia:  Observacion:  Placa padre: Tipo adquisicion: Entidad"</f>
        <v>Descripcion: CARRO PARA TRANSPORTE DE LOZA - 4 ENTREPAÑOS Estado: Bueno Placa anterior: 000014183 Material: ACERO INOX. Color: PLATEADO Referencia:  Observacion:  Placa padre: Tipo adquisicion: Entidad</v>
      </c>
      <c r="G11314" s="5"/>
    </row>
    <row r="11315" spans="1:7" ht="58.5" customHeight="1" x14ac:dyDescent="0.25">
      <c r="A11315" s="5" t="str">
        <f>"H0006682"</f>
        <v>H0006682</v>
      </c>
      <c r="B11315" s="5" t="str">
        <f>"LAVAPLATOS EN ACERO INOXIDABLE 2 PUESTOS"</f>
        <v>LAVAPLATOS EN ACERO INOXIDABLE 2 PUESTOS</v>
      </c>
      <c r="C11315" s="6">
        <v>81414.84</v>
      </c>
      <c r="D11315" s="5"/>
      <c r="E11315" s="5" t="str">
        <f t="shared" si="589"/>
        <v>NUTRICION-ESPERANZA MONCADA PARADA</v>
      </c>
      <c r="F11315" s="5" t="str">
        <f>"Descripcion: MESON EN ACERO INOX. CON 2 VERTEDEROS LISO 2.13X66 CMS - 214 CM ANCHO X 85 ALTO X 60 FONDO Estado: Bueno Placa anterior: 000015427 Material: ACERO INOX. Color: PLATEADO Referencia:  Observacion:  Placa padre: Tipo adquisicion: Entidad"</f>
        <v>Descripcion: MESON EN ACERO INOX. CON 2 VERTEDEROS LISO 2.13X66 CMS - 214 CM ANCHO X 85 ALTO X 60 FONDO Estado: Bueno Placa anterior: 000015427 Material: ACERO INOX. Color: PLATEADO Referencia:  Observacion:  Placa padre: Tipo adquisicion: Entidad</v>
      </c>
      <c r="G11315" s="5"/>
    </row>
    <row r="11316" spans="1:7" ht="58.5" customHeight="1" x14ac:dyDescent="0.25">
      <c r="A11316" s="5" t="str">
        <f>"H0006684"</f>
        <v>H0006684</v>
      </c>
      <c r="B11316" s="5" t="str">
        <f>"MESON EN ACERO INOXIDABLE"</f>
        <v>MESON EN ACERO INOXIDABLE</v>
      </c>
      <c r="C11316" s="6">
        <v>35240.589999999997</v>
      </c>
      <c r="D11316" s="5"/>
      <c r="E11316" s="5" t="str">
        <f t="shared" si="589"/>
        <v>NUTRICION-ESPERANZA MONCADA PARADA</v>
      </c>
      <c r="F11316" s="5" t="str">
        <f>"Descripcion: MESON  EN ACERO 202 CM ANCHO X 85 CM ALTO X 65 CM FONDO CON PLANCHON Estado: Bueno Placa anterior: 000015424 Material: ACERO INOX. Color: PLATEADO Referencia:  Observacion:  Placa padre: Tipo adquisicion: Entidad"</f>
        <v>Descripcion: MESON  EN ACERO 202 CM ANCHO X 85 CM ALTO X 65 CM FONDO CON PLANCHON Estado: Bueno Placa anterior: 000015424 Material: ACERO INOX. Color: PLATEADO Referencia:  Observacion:  Placa padre: Tipo adquisicion: Entidad</v>
      </c>
      <c r="G11316" s="5"/>
    </row>
    <row r="11317" spans="1:7" ht="58.5" customHeight="1" x14ac:dyDescent="0.25">
      <c r="A11317" s="5" t="str">
        <f>"H0006685"</f>
        <v>H0006685</v>
      </c>
      <c r="B11317" s="5" t="str">
        <f>"MESON EN ACERO INOXIDABLE"</f>
        <v>MESON EN ACERO INOXIDABLE</v>
      </c>
      <c r="C11317" s="6">
        <v>35240.589999999997</v>
      </c>
      <c r="D11317" s="5"/>
      <c r="E11317" s="5" t="str">
        <f t="shared" si="589"/>
        <v>NUTRICION-ESPERANZA MONCADA PARADA</v>
      </c>
      <c r="F11317" s="5" t="str">
        <f>"Descripcion: MESON EN ACERO INOX.CON TOPE EN L 1.99X62 CMS .-  202 CM ANCHO X 85 CM ALTO X 65 CM FONDO CON PLANCHON Estado: Bueno Placa anterior: 000015425 Material: ACERO INOX. Color: PLATEADO Referencia:  Observacion:  Placa padre: Tipo adquisicion: Ent"&amp; "idad"</f>
        <v>Descripcion: MESON EN ACERO INOX.CON TOPE EN L 1.99X62 CMS .-  202 CM ANCHO X 85 CM ALTO X 65 CM FONDO CON PLANCHON Estado: Bueno Placa anterior: 000015425 Material: ACERO INOX. Color: PLATEADO Referencia:  Observacion:  Placa padre: Tipo adquisicion: Entidad</v>
      </c>
      <c r="G11317" s="5"/>
    </row>
    <row r="11318" spans="1:7" ht="58.5" customHeight="1" x14ac:dyDescent="0.25">
      <c r="A11318" s="5" t="str">
        <f>"H0006687"</f>
        <v>H0006687</v>
      </c>
      <c r="B11318" s="5" t="str">
        <f>"MESON EN ACERO INOXIDABLE"</f>
        <v>MESON EN ACERO INOXIDABLE</v>
      </c>
      <c r="C11318" s="6">
        <v>35240.99</v>
      </c>
      <c r="D11318" s="5"/>
      <c r="E11318" s="5" t="str">
        <f t="shared" si="589"/>
        <v>NUTRICION-ESPERANZA MONCADA PARADA</v>
      </c>
      <c r="F11318" s="5" t="str">
        <f>"Descripcion: MESON EN ACERO INOX. CON TOPE LISO 2.24X62 CMS - 202 CM ANCHO X 85 CM ALTO X 65 CM FONDO CON PLANCHON Estado: Bueno Placa anterior: 000015426 Material: ACERO INOX. Color: PLATEADO Referencia:  Observacion:  Placa padre: Tipo adquisicion: Enti"&amp; "dad"</f>
        <v>Descripcion: MESON EN ACERO INOX. CON TOPE LISO 2.24X62 CMS - 202 CM ANCHO X 85 CM ALTO X 65 CM FONDO CON PLANCHON Estado: Bueno Placa anterior: 000015426 Material: ACERO INOX. Color: PLATEADO Referencia:  Observacion:  Placa padre: Tipo adquisicion: Entidad</v>
      </c>
      <c r="G11318" s="5"/>
    </row>
    <row r="11319" spans="1:7" ht="58.5" customHeight="1" x14ac:dyDescent="0.25">
      <c r="A11319" s="5" t="str">
        <f>"H0006688"</f>
        <v>H0006688</v>
      </c>
      <c r="B11319" s="5" t="str">
        <f>"OLLA ALUMINIO"</f>
        <v>OLLA ALUMINIO</v>
      </c>
      <c r="C11319" s="6">
        <v>23901</v>
      </c>
      <c r="D11319" s="5"/>
      <c r="E11319" s="5" t="str">
        <f t="shared" si="589"/>
        <v>NUTRICION-ESPERANZA MONCADA PARADA</v>
      </c>
      <c r="F11319" s="5" t="str">
        <f>"Descripcion: OLLA CON TAPA - GRANDE 24 CM ALTO ANCHO 41 CM Estado: Bueno Placa anterior: 000036595 Material: ALUMINIO Color: PLATEADO Referencia:  Observacion:  Placa padre: Tipo adquisicion: Entidad"</f>
        <v>Descripcion: OLLA CON TAPA - GRANDE 24 CM ALTO ANCHO 41 CM Estado: Bueno Placa anterior: 000036595 Material: ALUMINIO Color: PLATEADO Referencia:  Observacion:  Placa padre: Tipo adquisicion: Entidad</v>
      </c>
      <c r="G11319" s="5"/>
    </row>
    <row r="11320" spans="1:7" ht="58.5" customHeight="1" x14ac:dyDescent="0.25">
      <c r="A11320" s="5" t="str">
        <f>"H0006689"</f>
        <v>H0006689</v>
      </c>
      <c r="B11320" s="5" t="str">
        <f>"BANDEJA SIN COMPARTIMIENTOS EN ACERO INOXIDABLE"</f>
        <v>BANDEJA SIN COMPARTIMIENTOS EN ACERO INOXIDABLE</v>
      </c>
      <c r="C11320" s="6">
        <v>111.11</v>
      </c>
      <c r="D11320" s="5"/>
      <c r="E11320" s="5" t="str">
        <f t="shared" si="589"/>
        <v>NUTRICION-ESPERANZA MONCADA PARADA</v>
      </c>
      <c r="F11320" s="5" t="str">
        <f>"Descripcion: BANDEJA CROMADA (CHAROL) BANDEJA SIN COMPARTIMIENTOS EN ACERO INOXIDABLE - COCINA. Estado: Bueno Placa anterior: 000015630 Material: ACERO INOX. Color: PLATEADO Referencia:  Observacion:  Placa padre: Tipo adquisicion: Entidad"</f>
        <v>Descripcion: BANDEJA CROMADA (CHAROL) BANDEJA SIN COMPARTIMIENTOS EN ACERO INOXIDABLE - COCINA. Estado: Bueno Placa anterior: 000015630 Material: ACERO INOX. Color: PLATEADO Referencia:  Observacion:  Placa padre: Tipo adquisicion: Entidad</v>
      </c>
      <c r="G11320" s="5"/>
    </row>
    <row r="11321" spans="1:7" ht="58.5" customHeight="1" x14ac:dyDescent="0.25">
      <c r="A11321" s="5" t="str">
        <f>"H0007822"</f>
        <v>H0007822</v>
      </c>
      <c r="B11321" s="5" t="str">
        <f>"SILLA PLASTICA CON BRAZOS"</f>
        <v>SILLA PLASTICA CON BRAZOS</v>
      </c>
      <c r="C11321" s="6">
        <v>14000</v>
      </c>
      <c r="D11321" s="5"/>
      <c r="E11321" s="5" t="str">
        <f t="shared" si="589"/>
        <v>NUTRICION-ESPERANZA MONCADA PARADA</v>
      </c>
      <c r="F11321" s="5" t="str">
        <f>"Descripcion: SILLA PLASTICA BLANCA Estado: Bueno Placa anterior: 000008098 Material: PASTA Color: BLANCO Referencia:  Observacion:  Placa padre: Tipo adquisicion: Entidad"</f>
        <v>Descripcion: SILLA PLASTICA BLANCA Estado: Bueno Placa anterior: 000008098 Material: PASTA Color: BLANCO Referencia:  Observacion:  Placa padre: Tipo adquisicion: Entidad</v>
      </c>
      <c r="G11321" s="5"/>
    </row>
    <row r="11322" spans="1:7" ht="58.5" customHeight="1" x14ac:dyDescent="0.25">
      <c r="A11322" s="5" t="str">
        <f>"H0007825"</f>
        <v>H0007825</v>
      </c>
      <c r="B11322" s="5" t="str">
        <f>"SILLA PLASTICA CON BRAZOS"</f>
        <v>SILLA PLASTICA CON BRAZOS</v>
      </c>
      <c r="C11322" s="6">
        <v>12240.32</v>
      </c>
      <c r="D11322" s="5"/>
      <c r="E11322" s="5" t="str">
        <f t="shared" si="589"/>
        <v>NUTRICION-ESPERANZA MONCADA PARADA</v>
      </c>
      <c r="F11322" s="5" t="str">
        <f>"Descripcion: SILLA PLASTICA BLANCA Estado: Bueno Placa anterior: 000023666 Material: PASTA Color: BLANCO Referencia:  Observacion:  Placa padre: Tipo adquisicion: Entidad"</f>
        <v>Descripcion: SILLA PLASTICA BLANCA Estado: Bueno Placa anterior: 000023666 Material: PASTA Color: BLANCO Referencia:  Observacion:  Placa padre: Tipo adquisicion: Entidad</v>
      </c>
      <c r="G11322" s="5"/>
    </row>
    <row r="11323" spans="1:7" ht="58.5" customHeight="1" x14ac:dyDescent="0.25">
      <c r="A11323" s="5" t="str">
        <f>"H0007827"</f>
        <v>H0007827</v>
      </c>
      <c r="B11323" s="5" t="str">
        <f>"SILLA PLASTICA CON BRAZOS"</f>
        <v>SILLA PLASTICA CON BRAZOS</v>
      </c>
      <c r="C11323" s="6">
        <v>14000</v>
      </c>
      <c r="D11323" s="5"/>
      <c r="E11323" s="5" t="str">
        <f t="shared" si="589"/>
        <v>NUTRICION-ESPERANZA MONCADA PARADA</v>
      </c>
      <c r="F11323" s="5" t="str">
        <f>"Descripcion: SILLA PLASTICA BLANCA Estado: Bueno Placa anterior: 000008097 Material: PASTA Color: BLANCO Referencia:  Observacion:  Placa padre: Tipo adquisicion: Entidad"</f>
        <v>Descripcion: SILLA PLASTICA BLANCA Estado: Bueno Placa anterior: 000008097 Material: PASTA Color: BLANCO Referencia:  Observacion:  Placa padre: Tipo adquisicion: Entidad</v>
      </c>
      <c r="G11323" s="5"/>
    </row>
    <row r="11324" spans="1:7" ht="58.5" customHeight="1" x14ac:dyDescent="0.25">
      <c r="A11324" s="5" t="str">
        <f>"H0007828"</f>
        <v>H0007828</v>
      </c>
      <c r="B11324" s="5" t="str">
        <f>"SILLA PLASTICA CON BRAZOS"</f>
        <v>SILLA PLASTICA CON BRAZOS</v>
      </c>
      <c r="C11324" s="6">
        <v>14000</v>
      </c>
      <c r="D11324" s="5"/>
      <c r="E11324" s="5" t="str">
        <f t="shared" si="589"/>
        <v>NUTRICION-ESPERANZA MONCADA PARADA</v>
      </c>
      <c r="F11324" s="5" t="str">
        <f>"Descripcion: SILLA PLASTICA BLANCA Estado: Bueno Placa anterior: 000008090 Material: PASTA Color: BLANCO Referencia:  Observacion:  Placa padre: Tipo adquisicion: Entidad"</f>
        <v>Descripcion: SILLA PLASTICA BLANCA Estado: Bueno Placa anterior: 000008090 Material: PASTA Color: BLANCO Referencia:  Observacion:  Placa padre: Tipo adquisicion: Entidad</v>
      </c>
      <c r="G11324" s="5"/>
    </row>
    <row r="11325" spans="1:7" ht="58.5" customHeight="1" x14ac:dyDescent="0.25">
      <c r="A11325" s="5" t="str">
        <f>"H0007829"</f>
        <v>H0007829</v>
      </c>
      <c r="B11325" s="5" t="str">
        <f>"CARRO PARA TRANSPORTE DE MENAJE"</f>
        <v>CARRO PARA TRANSPORTE DE MENAJE</v>
      </c>
      <c r="C11325" s="6">
        <v>138424</v>
      </c>
      <c r="D11325" s="5"/>
      <c r="E11325" s="5" t="str">
        <f t="shared" si="589"/>
        <v>NUTRICION-ESPERANZA MONCADA PARADA</v>
      </c>
      <c r="F11325" s="5" t="str">
        <f>"Descripcion: 100x120x50 Estado: Bueno Placa anterior: 000014161 Material: ACERO INOXIDABLE Color:  Referencia:  Observacion:  Placa padre: Tipo adquisicion: Entidad"</f>
        <v>Descripcion: 100x120x50 Estado: Bueno Placa anterior: 000014161 Material: ACERO INOXIDABLE Color:  Referencia:  Observacion:  Placa padre: Tipo adquisicion: Entidad</v>
      </c>
      <c r="G11325" s="5"/>
    </row>
    <row r="11326" spans="1:7" ht="58.5" customHeight="1" x14ac:dyDescent="0.25">
      <c r="A11326" s="5" t="str">
        <f>"H0007834"</f>
        <v>H0007834</v>
      </c>
      <c r="B11326" s="5" t="str">
        <f>"BANDEJA CON COMPARTIMIENTOS EN ACERO INOXIDABLE"</f>
        <v>BANDEJA CON COMPARTIMIENTOS EN ACERO INOXIDABLE</v>
      </c>
      <c r="C11326" s="6">
        <v>10507.38</v>
      </c>
      <c r="D11326" s="5"/>
      <c r="E11326" s="5" t="str">
        <f t="shared" si="589"/>
        <v>NUTRICION-ESPERANZA MONCADA PARADA</v>
      </c>
      <c r="F11326" s="5" t="str">
        <f>"Descripcion: 6 COMPARTIMIENTOS Estado: Bueno Placa anterior: 000016849 Material: ACERO INOXIDABLE Color:  Referencia:  Observacion:  Placa padre: Tipo adquisicion: Entidad"</f>
        <v>Descripcion: 6 COMPARTIMIENTOS Estado: Bueno Placa anterior: 000016849 Material: ACERO INOXIDABLE Color:  Referencia:  Observacion:  Placa padre: Tipo adquisicion: Entidad</v>
      </c>
      <c r="G11326" s="5"/>
    </row>
    <row r="11327" spans="1:7" ht="58.5" customHeight="1" x14ac:dyDescent="0.25">
      <c r="A11327" s="5" t="str">
        <f>"H0008588"</f>
        <v>H0008588</v>
      </c>
      <c r="B11327" s="5" t="str">
        <f>"SILLA INTERLOCUTORA (FIJA) SIN BRAZOS"</f>
        <v>SILLA INTERLOCUTORA (FIJA) SIN BRAZOS</v>
      </c>
      <c r="C11327" s="6">
        <v>8833.02</v>
      </c>
      <c r="D11327" s="5"/>
      <c r="E11327" s="5" t="str">
        <f t="shared" si="589"/>
        <v>NUTRICION-ESPERANZA MONCADA PARADA</v>
      </c>
      <c r="F11327" s="5" t="str">
        <f>"Descripcion: SILLA INTERLOCUTORA (FIJA) SIN BRAZOS MARRON Estado: Bueno Placa anterior: 000013759 Material: METALICO, TAPIZADO EN SEMICUERO Color: MARRON Referencia:  Observacion: PLACA ANTERIOR NO ENCONTRADA 000005255 SILLA FIJA TIPO A COLOR MARRON Placa"&amp; " padre: Tipo adquisicion: Entidad"</f>
        <v>Descripcion: SILLA INTERLOCUTORA (FIJA) SIN BRAZOS MARRON Estado: Bueno Placa anterior: 000013759 Material: METALICO, TAPIZADO EN SEMICUERO Color: MARRON Referencia:  Observacion: PLACA ANTERIOR NO ENCONTRADA 000005255 SILLA FIJA TIPO A COLOR MARRON Placa padre: Tipo adquisicion: Entidad</v>
      </c>
      <c r="G11327" s="5"/>
    </row>
    <row r="11328" spans="1:7" ht="58.5" customHeight="1" x14ac:dyDescent="0.25">
      <c r="A11328" s="5" t="str">
        <f>"H0009435"</f>
        <v>H0009435</v>
      </c>
      <c r="B11328" s="5" t="str">
        <f>"NEVERA 8 PIES (226LT)"</f>
        <v>NEVERA 8 PIES (226LT)</v>
      </c>
      <c r="C11328" s="6">
        <v>765900</v>
      </c>
      <c r="D11328" s="5" t="s">
        <v>553</v>
      </c>
      <c r="E11328" s="5" t="str">
        <f t="shared" si="589"/>
        <v>NUTRICION-ESPERANZA MONCADA PARADA</v>
      </c>
      <c r="F11328" s="5" t="str">
        <f>"Descripcion: NEVERA CHALLENGER GRIS NO FROST 222LTS Estado: Bueno Placa anterior: 000036562 Material: METALICO Color: GRIS Referencia:  Observacion:  Placa padre: Tipo adquisicion: Entidad"</f>
        <v>Descripcion: NEVERA CHALLENGER GRIS NO FROST 222LTS Estado: Bueno Placa anterior: 000036562 Material: METALICO Color: GRIS Referencia:  Observacion:  Placa padre: Tipo adquisicion: Entidad</v>
      </c>
      <c r="G11328" s="5"/>
    </row>
    <row r="11329" spans="1:7" ht="58.5" customHeight="1" x14ac:dyDescent="0.25">
      <c r="A11329" s="5" t="str">
        <f>"H0009436"</f>
        <v>H0009436</v>
      </c>
      <c r="B11329" s="5" t="str">
        <f>"ARCHIVADOR METALICO 3 GAVETAS"</f>
        <v>ARCHIVADOR METALICO 3 GAVETAS</v>
      </c>
      <c r="C11329" s="6">
        <v>26843.55</v>
      </c>
      <c r="D11329" s="5"/>
      <c r="E11329" s="5" t="str">
        <f t="shared" si="589"/>
        <v>NUTRICION-ESPERANZA MONCADA PARADA</v>
      </c>
      <c r="F11329" s="5" t="str">
        <f>"Descripcion: ARCHIVADOR METALICO 3 GAVETAS Estado: Bueno Placa anterior: 000014093 Material: METAL Color: GRIS Referencia:  Observacion:  Placa padre: Tipo adquisicion: Entidad"</f>
        <v>Descripcion: ARCHIVADOR METALICO 3 GAVETAS Estado: Bueno Placa anterior: 000014093 Material: METAL Color: GRIS Referencia:  Observacion:  Placa padre: Tipo adquisicion: Entidad</v>
      </c>
      <c r="G11329" s="5"/>
    </row>
    <row r="11330" spans="1:7" ht="58.5" customHeight="1" x14ac:dyDescent="0.25">
      <c r="A11330" s="5" t="str">
        <f>"H0009440"</f>
        <v>H0009440</v>
      </c>
      <c r="B11330" s="5" t="str">
        <f>"ESCRITORIO METALICO DE 6 GAVETAS"</f>
        <v>ESCRITORIO METALICO DE 6 GAVETAS</v>
      </c>
      <c r="C11330" s="6">
        <v>20202.25</v>
      </c>
      <c r="D11330" s="5"/>
      <c r="E11330" s="5" t="str">
        <f t="shared" si="589"/>
        <v>NUTRICION-ESPERANZA MONCADA PARADA</v>
      </c>
      <c r="F11330" s="5" t="str">
        <f>"Descripcion: ESCRITORIO TIPO EJECUTIVO DE 6 GAVETAS Estado: Bueno Placa anterior: 000014118 Material: METAL Y FORMICA Color: GRIS Y MADERA CLARO Referencia:  Observacion: 160 CM ANCHO X 68 CM ALTO X 71 CM FONDO Placa padre: Tipo adquisicion: Entidad"</f>
        <v>Descripcion: ESCRITORIO TIPO EJECUTIVO DE 6 GAVETAS Estado: Bueno Placa anterior: 000014118 Material: METAL Y FORMICA Color: GRIS Y MADERA CLARO Referencia:  Observacion: 160 CM ANCHO X 68 CM ALTO X 71 CM FONDO Placa padre: Tipo adquisicion: Entidad</v>
      </c>
      <c r="G11330" s="5"/>
    </row>
    <row r="11331" spans="1:7" ht="58.5" customHeight="1" x14ac:dyDescent="0.25">
      <c r="A11331" s="5" t="str">
        <f>"H0009451"</f>
        <v>H0009451</v>
      </c>
      <c r="B11331" s="5" t="str">
        <f>"ESCRITORIO METALICO 3 GAVETAS"</f>
        <v>ESCRITORIO METALICO 3 GAVETAS</v>
      </c>
      <c r="C11331" s="6">
        <v>20202.25</v>
      </c>
      <c r="D11331" s="5"/>
      <c r="E11331" s="5" t="str">
        <f t="shared" si="589"/>
        <v>NUTRICION-ESPERANZA MONCADA PARADA</v>
      </c>
      <c r="F11331" s="5" t="str">
        <f>"Descripcion: ESCRITORIO DE 3 GAVETAS DE 100 CM ANCHO X 76 CM ALTO X 46 FONDO Estado: Bueno Placa anterior: 000014292 Material: METAL Y FORMICA Color: GRIS Y MADERA OSCURO Referencia:  Observacion:  Placa padre: Tipo adquisicion: Entidad"</f>
        <v>Descripcion: ESCRITORIO DE 3 GAVETAS DE 100 CM ANCHO X 76 CM ALTO X 46 FONDO Estado: Bueno Placa anterior: 000014292 Material: METAL Y FORMICA Color: GRIS Y MADERA OSCURO Referencia:  Observacion:  Placa padre: Tipo adquisicion: Entidad</v>
      </c>
      <c r="G11331" s="5"/>
    </row>
    <row r="11332" spans="1:7" ht="58.5" customHeight="1" x14ac:dyDescent="0.25">
      <c r="A11332" s="5" t="str">
        <f>"H0009453"</f>
        <v>H0009453</v>
      </c>
      <c r="B11332" s="5" t="str">
        <f>"SILLA PLASTICA CON BRAZOS"</f>
        <v>SILLA PLASTICA CON BRAZOS</v>
      </c>
      <c r="C11332" s="6">
        <v>12240.32</v>
      </c>
      <c r="D11332" s="5"/>
      <c r="E11332" s="5" t="str">
        <f t="shared" si="589"/>
        <v>NUTRICION-ESPERANZA MONCADA PARADA</v>
      </c>
      <c r="F11332" s="5" t="str">
        <f>"Descripcion: SILLA PLASTICA BLANCA Estado: Bueno Placa anterior: 000026915 Material: PASTA Color: BLANCO Referencia:  Observacion:  Placa padre: Tipo adquisicion: Entidad"</f>
        <v>Descripcion: SILLA PLASTICA BLANCA Estado: Bueno Placa anterior: 000026915 Material: PASTA Color: BLANCO Referencia:  Observacion:  Placa padre: Tipo adquisicion: Entidad</v>
      </c>
      <c r="G11332" s="5"/>
    </row>
    <row r="11333" spans="1:7" ht="58.5" customHeight="1" x14ac:dyDescent="0.25">
      <c r="A11333" s="5" t="str">
        <f>"H0010302"</f>
        <v>H0010302</v>
      </c>
      <c r="B11333" s="5" t="str">
        <f>"SILLA ERGONOMICA TIPO SECRETARIA CON BRAZOS"</f>
        <v>SILLA ERGONOMICA TIPO SECRETARIA CON BRAZOS</v>
      </c>
      <c r="C11333" s="6">
        <v>211120</v>
      </c>
      <c r="D11333" s="5" t="s">
        <v>214</v>
      </c>
      <c r="E11333" s="5" t="str">
        <f t="shared" si="589"/>
        <v>NUTRICION-ESPERANZA MONCADA PARADA</v>
      </c>
      <c r="F11333" s="5" t="str">
        <f>"Descripcion: SILLA GIRATORIA DE ESCRITORIO;  Estado: Bueno;  Material: PASTA;  Color: AZUL;"</f>
        <v>Descripcion: SILLA GIRATORIA DE ESCRITORIO;  Estado: Bueno;  Material: PASTA;  Color: AZUL;</v>
      </c>
      <c r="G11333" s="5"/>
    </row>
    <row r="11334" spans="1:7" ht="58.5" customHeight="1" x14ac:dyDescent="0.25">
      <c r="A11334" s="5" t="str">
        <f>"H0011438"</f>
        <v>H0011438</v>
      </c>
      <c r="B11334" s="5" t="str">
        <f t="shared" ref="B11334:B11365" si="590">"BANDEJA SIN COMPARTIMIENTOS EN ACERO INOXIDABLE"</f>
        <v>BANDEJA SIN COMPARTIMIENTOS EN ACERO INOXIDABLE</v>
      </c>
      <c r="C11334" s="6">
        <v>111.11</v>
      </c>
      <c r="D11334" s="5"/>
      <c r="E11334" s="5" t="str">
        <f t="shared" si="589"/>
        <v>NUTRICION-ESPERANZA MONCADA PARADA</v>
      </c>
      <c r="F11334" s="5" t="str">
        <f>"Descripcion: . Estado: Regular Placa anterior: 000015578 Material: ALUMINIO Color:  Referencia:  Observacion:  Placa padre: Tipo adquisicion: Entidad"</f>
        <v>Descripcion: . Estado: Regular Placa anterior: 000015578 Material: ALUMINIO Color:  Referencia:  Observacion:  Placa padre: Tipo adquisicion: Entidad</v>
      </c>
      <c r="G11334" s="5"/>
    </row>
    <row r="11335" spans="1:7" ht="58.5" customHeight="1" x14ac:dyDescent="0.25">
      <c r="A11335" s="5" t="str">
        <f>"H0011439"</f>
        <v>H0011439</v>
      </c>
      <c r="B11335" s="5" t="str">
        <f t="shared" si="590"/>
        <v>BANDEJA SIN COMPARTIMIENTOS EN ACERO INOXIDABLE</v>
      </c>
      <c r="C11335" s="6">
        <v>111.11</v>
      </c>
      <c r="D11335" s="5"/>
      <c r="E11335" s="5" t="str">
        <f t="shared" si="589"/>
        <v>NUTRICION-ESPERANZA MONCADA PARADA</v>
      </c>
      <c r="F11335" s="5" t="str">
        <f>"Descripcion: . Estado: Regular Placa anterior: 000015579 Material: ALUMINIO Color:  Referencia:  Observacion:  Placa padre: Tipo adquisicion: Entidad"</f>
        <v>Descripcion: . Estado: Regular Placa anterior: 000015579 Material: ALUMINIO Color:  Referencia:  Observacion:  Placa padre: Tipo adquisicion: Entidad</v>
      </c>
      <c r="G11335" s="5"/>
    </row>
    <row r="11336" spans="1:7" ht="58.5" customHeight="1" x14ac:dyDescent="0.25">
      <c r="A11336" s="5" t="str">
        <f>"H0011440"</f>
        <v>H0011440</v>
      </c>
      <c r="B11336" s="5" t="str">
        <f t="shared" si="590"/>
        <v>BANDEJA SIN COMPARTIMIENTOS EN ACERO INOXIDABLE</v>
      </c>
      <c r="C11336" s="6">
        <v>111.11</v>
      </c>
      <c r="D11336" s="5"/>
      <c r="E11336" s="5" t="str">
        <f t="shared" si="589"/>
        <v>NUTRICION-ESPERANZA MONCADA PARADA</v>
      </c>
      <c r="F11336" s="5" t="str">
        <f>"Descripcion: . Estado: Bueno Placa anterior: 000015580 Material: ACERO INOXIDABLE Color:  Referencia:  Observacion:  Placa padre: Tipo adquisicion: Entidad"</f>
        <v>Descripcion: . Estado: Bueno Placa anterior: 000015580 Material: ACERO INOXIDABLE Color:  Referencia:  Observacion:  Placa padre: Tipo adquisicion: Entidad</v>
      </c>
      <c r="G11336" s="5"/>
    </row>
    <row r="11337" spans="1:7" ht="58.5" customHeight="1" x14ac:dyDescent="0.25">
      <c r="A11337" s="5" t="str">
        <f>"H0011442"</f>
        <v>H0011442</v>
      </c>
      <c r="B11337" s="5" t="str">
        <f t="shared" si="590"/>
        <v>BANDEJA SIN COMPARTIMIENTOS EN ACERO INOXIDABLE</v>
      </c>
      <c r="C11337" s="6">
        <v>111.11</v>
      </c>
      <c r="D11337" s="5"/>
      <c r="E11337" s="5" t="str">
        <f t="shared" si="589"/>
        <v>NUTRICION-ESPERANZA MONCADA PARADA</v>
      </c>
      <c r="F11337" s="5" t="str">
        <f>"Descripcion: . Estado: Regular Placa anterior: 000015581 Material: ALUMINIO Color:  Referencia:  Observacion:  Placa padre: Tipo adquisicion: Entidad"</f>
        <v>Descripcion: . Estado: Regular Placa anterior: 000015581 Material: ALUMINIO Color:  Referencia:  Observacion:  Placa padre: Tipo adquisicion: Entidad</v>
      </c>
      <c r="G11337" s="5"/>
    </row>
    <row r="11338" spans="1:7" ht="58.5" customHeight="1" x14ac:dyDescent="0.25">
      <c r="A11338" s="5" t="str">
        <f>"H0011443"</f>
        <v>H0011443</v>
      </c>
      <c r="B11338" s="5" t="str">
        <f t="shared" si="590"/>
        <v>BANDEJA SIN COMPARTIMIENTOS EN ACERO INOXIDABLE</v>
      </c>
      <c r="C11338" s="6">
        <v>111.11</v>
      </c>
      <c r="D11338" s="5"/>
      <c r="E11338" s="5" t="str">
        <f t="shared" si="589"/>
        <v>NUTRICION-ESPERANZA MONCADA PARADA</v>
      </c>
      <c r="F11338" s="5" t="str">
        <f>"Descripcion: . Estado: Regular Placa anterior: 000015582 Material: ALUMINIO Color:  Referencia:  Observacion:  Placa padre: Tipo adquisicion: Entidad"</f>
        <v>Descripcion: . Estado: Regular Placa anterior: 000015582 Material: ALUMINIO Color:  Referencia:  Observacion:  Placa padre: Tipo adquisicion: Entidad</v>
      </c>
      <c r="G11338" s="5"/>
    </row>
    <row r="11339" spans="1:7" ht="58.5" customHeight="1" x14ac:dyDescent="0.25">
      <c r="A11339" s="5" t="str">
        <f>"H0011444"</f>
        <v>H0011444</v>
      </c>
      <c r="B11339" s="5" t="str">
        <f t="shared" si="590"/>
        <v>BANDEJA SIN COMPARTIMIENTOS EN ACERO INOXIDABLE</v>
      </c>
      <c r="C11339" s="6">
        <v>111.11</v>
      </c>
      <c r="D11339" s="5"/>
      <c r="E11339" s="5" t="str">
        <f t="shared" si="589"/>
        <v>NUTRICION-ESPERANZA MONCADA PARADA</v>
      </c>
      <c r="F11339" s="5" t="str">
        <f>"Descripcion: . Estado: Regular Placa anterior: 000015583 Material: ALUMINIO Color:  Referencia:  Observacion:  Placa padre: Tipo adquisicion: Entidad"</f>
        <v>Descripcion: . Estado: Regular Placa anterior: 000015583 Material: ALUMINIO Color:  Referencia:  Observacion:  Placa padre: Tipo adquisicion: Entidad</v>
      </c>
      <c r="G11339" s="5"/>
    </row>
    <row r="11340" spans="1:7" ht="58.5" customHeight="1" x14ac:dyDescent="0.25">
      <c r="A11340" s="5" t="str">
        <f>"H0011445"</f>
        <v>H0011445</v>
      </c>
      <c r="B11340" s="5" t="str">
        <f t="shared" si="590"/>
        <v>BANDEJA SIN COMPARTIMIENTOS EN ACERO INOXIDABLE</v>
      </c>
      <c r="C11340" s="6">
        <v>111.11</v>
      </c>
      <c r="D11340" s="5"/>
      <c r="E11340" s="5" t="str">
        <f t="shared" si="589"/>
        <v>NUTRICION-ESPERANZA MONCADA PARADA</v>
      </c>
      <c r="F11340" s="5" t="str">
        <f>"Descripcion: . Estado: Regular Placa anterior: 000015584 Material: ALUMINIO Color:  Referencia:  Observacion:  Placa padre: Tipo adquisicion: Entidad"</f>
        <v>Descripcion: . Estado: Regular Placa anterior: 000015584 Material: ALUMINIO Color:  Referencia:  Observacion:  Placa padre: Tipo adquisicion: Entidad</v>
      </c>
      <c r="G11340" s="5"/>
    </row>
    <row r="11341" spans="1:7" ht="58.5" customHeight="1" x14ac:dyDescent="0.25">
      <c r="A11341" s="5" t="str">
        <f>"H0011446"</f>
        <v>H0011446</v>
      </c>
      <c r="B11341" s="5" t="str">
        <f t="shared" si="590"/>
        <v>BANDEJA SIN COMPARTIMIENTOS EN ACERO INOXIDABLE</v>
      </c>
      <c r="C11341" s="6">
        <v>111.11</v>
      </c>
      <c r="D11341" s="5"/>
      <c r="E11341" s="5" t="str">
        <f t="shared" si="589"/>
        <v>NUTRICION-ESPERANZA MONCADA PARADA</v>
      </c>
      <c r="F11341" s="5" t="str">
        <f>"Descripcion: . Estado: Regular Placa anterior: 000015585 Material: ALUMINIO Color:  Referencia:  Observacion:  Placa padre: Tipo adquisicion: Entidad"</f>
        <v>Descripcion: . Estado: Regular Placa anterior: 000015585 Material: ALUMINIO Color:  Referencia:  Observacion:  Placa padre: Tipo adquisicion: Entidad</v>
      </c>
      <c r="G11341" s="5"/>
    </row>
    <row r="11342" spans="1:7" ht="58.5" customHeight="1" x14ac:dyDescent="0.25">
      <c r="A11342" s="5" t="str">
        <f>"H0011447"</f>
        <v>H0011447</v>
      </c>
      <c r="B11342" s="5" t="str">
        <f t="shared" si="590"/>
        <v>BANDEJA SIN COMPARTIMIENTOS EN ACERO INOXIDABLE</v>
      </c>
      <c r="C11342" s="6">
        <v>111.11</v>
      </c>
      <c r="D11342" s="5"/>
      <c r="E11342" s="5" t="str">
        <f t="shared" si="589"/>
        <v>NUTRICION-ESPERANZA MONCADA PARADA</v>
      </c>
      <c r="F11342" s="5" t="str">
        <f>"Descripcion: . Estado: Regular Placa anterior: 000015586 Material: ALUMINIO Color:  Referencia:  Observacion:  Placa padre: Tipo adquisicion: Entidad"</f>
        <v>Descripcion: . Estado: Regular Placa anterior: 000015586 Material: ALUMINIO Color:  Referencia:  Observacion:  Placa padre: Tipo adquisicion: Entidad</v>
      </c>
      <c r="G11342" s="5"/>
    </row>
    <row r="11343" spans="1:7" ht="58.5" customHeight="1" x14ac:dyDescent="0.25">
      <c r="A11343" s="5" t="str">
        <f>"H0011448"</f>
        <v>H0011448</v>
      </c>
      <c r="B11343" s="5" t="str">
        <f t="shared" si="590"/>
        <v>BANDEJA SIN COMPARTIMIENTOS EN ACERO INOXIDABLE</v>
      </c>
      <c r="C11343" s="6">
        <v>111.11</v>
      </c>
      <c r="D11343" s="5"/>
      <c r="E11343" s="5" t="str">
        <f t="shared" si="589"/>
        <v>NUTRICION-ESPERANZA MONCADA PARADA</v>
      </c>
      <c r="F11343" s="5" t="str">
        <f>"Descripcion: . Estado: Regular Placa anterior: 000015587 Material: ALUMINIO Color:  Referencia:  Observacion:  Placa padre: Tipo adquisicion: Entidad"</f>
        <v>Descripcion: . Estado: Regular Placa anterior: 000015587 Material: ALUMINIO Color:  Referencia:  Observacion:  Placa padre: Tipo adquisicion: Entidad</v>
      </c>
      <c r="G11343" s="5"/>
    </row>
    <row r="11344" spans="1:7" ht="58.5" customHeight="1" x14ac:dyDescent="0.25">
      <c r="A11344" s="5" t="str">
        <f>"H0011449"</f>
        <v>H0011449</v>
      </c>
      <c r="B11344" s="5" t="str">
        <f t="shared" si="590"/>
        <v>BANDEJA SIN COMPARTIMIENTOS EN ACERO INOXIDABLE</v>
      </c>
      <c r="C11344" s="6">
        <v>111.11</v>
      </c>
      <c r="D11344" s="5"/>
      <c r="E11344" s="5" t="str">
        <f t="shared" si="589"/>
        <v>NUTRICION-ESPERANZA MONCADA PARADA</v>
      </c>
      <c r="F11344" s="5" t="str">
        <f>"Descripcion: . Estado: Regular Placa anterior: 000015588 Material: ALUMINIO Color:  Referencia:  Observacion:  Placa padre: Tipo adquisicion: Entidad"</f>
        <v>Descripcion: . Estado: Regular Placa anterior: 000015588 Material: ALUMINIO Color:  Referencia:  Observacion:  Placa padre: Tipo adquisicion: Entidad</v>
      </c>
      <c r="G11344" s="5"/>
    </row>
    <row r="11345" spans="1:7" ht="58.5" customHeight="1" x14ac:dyDescent="0.25">
      <c r="A11345" s="5" t="str">
        <f>"H0011450"</f>
        <v>H0011450</v>
      </c>
      <c r="B11345" s="5" t="str">
        <f t="shared" si="590"/>
        <v>BANDEJA SIN COMPARTIMIENTOS EN ACERO INOXIDABLE</v>
      </c>
      <c r="C11345" s="6">
        <v>111.11</v>
      </c>
      <c r="D11345" s="5"/>
      <c r="E11345" s="5" t="str">
        <f t="shared" si="589"/>
        <v>NUTRICION-ESPERANZA MONCADA PARADA</v>
      </c>
      <c r="F11345" s="5" t="str">
        <f>"Descripcion: . Estado: Regular Placa anterior: 000015589 Material: ALUMINIO Color:  Referencia:  Observacion:  Placa padre: Tipo adquisicion: Entidad"</f>
        <v>Descripcion: . Estado: Regular Placa anterior: 000015589 Material: ALUMINIO Color:  Referencia:  Observacion:  Placa padre: Tipo adquisicion: Entidad</v>
      </c>
      <c r="G11345" s="5"/>
    </row>
    <row r="11346" spans="1:7" ht="58.5" customHeight="1" x14ac:dyDescent="0.25">
      <c r="A11346" s="5" t="str">
        <f>"H0011451"</f>
        <v>H0011451</v>
      </c>
      <c r="B11346" s="5" t="str">
        <f t="shared" si="590"/>
        <v>BANDEJA SIN COMPARTIMIENTOS EN ACERO INOXIDABLE</v>
      </c>
      <c r="C11346" s="6">
        <v>111.11</v>
      </c>
      <c r="D11346" s="5"/>
      <c r="E11346" s="5" t="str">
        <f t="shared" si="589"/>
        <v>NUTRICION-ESPERANZA MONCADA PARADA</v>
      </c>
      <c r="F11346" s="5" t="str">
        <f>"Descripcion: . Estado: Regular Placa anterior: 000015590 Material: ALUMINIO Color:  Referencia:  Observacion:  Placa padre: Tipo adquisicion: Entidad"</f>
        <v>Descripcion: . Estado: Regular Placa anterior: 000015590 Material: ALUMINIO Color:  Referencia:  Observacion:  Placa padre: Tipo adquisicion: Entidad</v>
      </c>
      <c r="G11346" s="5"/>
    </row>
    <row r="11347" spans="1:7" ht="58.5" customHeight="1" x14ac:dyDescent="0.25">
      <c r="A11347" s="5" t="str">
        <f>"H0011452"</f>
        <v>H0011452</v>
      </c>
      <c r="B11347" s="5" t="str">
        <f t="shared" si="590"/>
        <v>BANDEJA SIN COMPARTIMIENTOS EN ACERO INOXIDABLE</v>
      </c>
      <c r="C11347" s="6">
        <v>111.11</v>
      </c>
      <c r="D11347" s="5"/>
      <c r="E11347" s="5" t="str">
        <f t="shared" si="589"/>
        <v>NUTRICION-ESPERANZA MONCADA PARADA</v>
      </c>
      <c r="F11347" s="5" t="str">
        <f>"Descripcion: . Estado: Regular Placa anterior: 000015591 Material: ALUMINIO Color:  Referencia:  Observacion:  Placa padre: Tipo adquisicion: Entidad"</f>
        <v>Descripcion: . Estado: Regular Placa anterior: 000015591 Material: ALUMINIO Color:  Referencia:  Observacion:  Placa padre: Tipo adquisicion: Entidad</v>
      </c>
      <c r="G11347" s="5"/>
    </row>
    <row r="11348" spans="1:7" ht="58.5" customHeight="1" x14ac:dyDescent="0.25">
      <c r="A11348" s="5" t="str">
        <f>"H0011453"</f>
        <v>H0011453</v>
      </c>
      <c r="B11348" s="5" t="str">
        <f t="shared" si="590"/>
        <v>BANDEJA SIN COMPARTIMIENTOS EN ACERO INOXIDABLE</v>
      </c>
      <c r="C11348" s="6">
        <v>111.11</v>
      </c>
      <c r="D11348" s="5"/>
      <c r="E11348" s="5" t="str">
        <f t="shared" si="589"/>
        <v>NUTRICION-ESPERANZA MONCADA PARADA</v>
      </c>
      <c r="F11348" s="5" t="str">
        <f>"Descripcion: . Estado: Regular Placa anterior: 000015592 Material: ALUMINIO Color:  Referencia:  Observacion:  Placa padre: Tipo adquisicion: Entidad"</f>
        <v>Descripcion: . Estado: Regular Placa anterior: 000015592 Material: ALUMINIO Color:  Referencia:  Observacion:  Placa padre: Tipo adquisicion: Entidad</v>
      </c>
      <c r="G11348" s="5"/>
    </row>
    <row r="11349" spans="1:7" ht="58.5" customHeight="1" x14ac:dyDescent="0.25">
      <c r="A11349" s="5" t="str">
        <f>"H0011454"</f>
        <v>H0011454</v>
      </c>
      <c r="B11349" s="5" t="str">
        <f t="shared" si="590"/>
        <v>BANDEJA SIN COMPARTIMIENTOS EN ACERO INOXIDABLE</v>
      </c>
      <c r="C11349" s="6">
        <v>111.11</v>
      </c>
      <c r="D11349" s="5"/>
      <c r="E11349" s="5" t="str">
        <f t="shared" si="589"/>
        <v>NUTRICION-ESPERANZA MONCADA PARADA</v>
      </c>
      <c r="F11349" s="5" t="str">
        <f>"Descripcion: . Estado: Regular Placa anterior: 000015593 Material: ALUMINIO Color:  Referencia:  Observacion:  Placa padre: Tipo adquisicion: Entidad"</f>
        <v>Descripcion: . Estado: Regular Placa anterior: 000015593 Material: ALUMINIO Color:  Referencia:  Observacion:  Placa padre: Tipo adquisicion: Entidad</v>
      </c>
      <c r="G11349" s="5"/>
    </row>
    <row r="11350" spans="1:7" ht="58.5" customHeight="1" x14ac:dyDescent="0.25">
      <c r="A11350" s="5" t="str">
        <f>"H0011455"</f>
        <v>H0011455</v>
      </c>
      <c r="B11350" s="5" t="str">
        <f t="shared" si="590"/>
        <v>BANDEJA SIN COMPARTIMIENTOS EN ACERO INOXIDABLE</v>
      </c>
      <c r="C11350" s="6">
        <v>111.11</v>
      </c>
      <c r="D11350" s="5"/>
      <c r="E11350" s="5" t="str">
        <f t="shared" si="589"/>
        <v>NUTRICION-ESPERANZA MONCADA PARADA</v>
      </c>
      <c r="F11350" s="5" t="str">
        <f>"Descripcion: . Estado: Regular Placa anterior: 000015594 Material: ALUMINIO Color:  Referencia:  Observacion:  Placa padre: Tipo adquisicion: Entidad"</f>
        <v>Descripcion: . Estado: Regular Placa anterior: 000015594 Material: ALUMINIO Color:  Referencia:  Observacion:  Placa padre: Tipo adquisicion: Entidad</v>
      </c>
      <c r="G11350" s="5"/>
    </row>
    <row r="11351" spans="1:7" ht="58.5" customHeight="1" x14ac:dyDescent="0.25">
      <c r="A11351" s="5" t="str">
        <f>"H0011456"</f>
        <v>H0011456</v>
      </c>
      <c r="B11351" s="5" t="str">
        <f t="shared" si="590"/>
        <v>BANDEJA SIN COMPARTIMIENTOS EN ACERO INOXIDABLE</v>
      </c>
      <c r="C11351" s="6">
        <v>111.11</v>
      </c>
      <c r="D11351" s="5"/>
      <c r="E11351" s="5" t="str">
        <f t="shared" si="589"/>
        <v>NUTRICION-ESPERANZA MONCADA PARADA</v>
      </c>
      <c r="F11351" s="5" t="str">
        <f>"Descripcion: . Estado: Regular Placa anterior: 000015595 Material: ALUMINIO Color:  Referencia:  Observacion:  Placa padre: Tipo adquisicion: Entidad"</f>
        <v>Descripcion: . Estado: Regular Placa anterior: 000015595 Material: ALUMINIO Color:  Referencia:  Observacion:  Placa padre: Tipo adquisicion: Entidad</v>
      </c>
      <c r="G11351" s="5"/>
    </row>
    <row r="11352" spans="1:7" ht="58.5" customHeight="1" x14ac:dyDescent="0.25">
      <c r="A11352" s="5" t="str">
        <f>"H0011457"</f>
        <v>H0011457</v>
      </c>
      <c r="B11352" s="5" t="str">
        <f t="shared" si="590"/>
        <v>BANDEJA SIN COMPARTIMIENTOS EN ACERO INOXIDABLE</v>
      </c>
      <c r="C11352" s="6">
        <v>111.11</v>
      </c>
      <c r="D11352" s="5"/>
      <c r="E11352" s="5" t="str">
        <f t="shared" si="589"/>
        <v>NUTRICION-ESPERANZA MONCADA PARADA</v>
      </c>
      <c r="F11352" s="5" t="str">
        <f>"Descripcion: . Estado: Regular Placa anterior: 000015596 Material: ALUMINIO Color:  Referencia:  Observacion:  Placa padre: Tipo adquisicion: Entidad"</f>
        <v>Descripcion: . Estado: Regular Placa anterior: 000015596 Material: ALUMINIO Color:  Referencia:  Observacion:  Placa padre: Tipo adquisicion: Entidad</v>
      </c>
      <c r="G11352" s="5"/>
    </row>
    <row r="11353" spans="1:7" ht="58.5" customHeight="1" x14ac:dyDescent="0.25">
      <c r="A11353" s="5" t="str">
        <f>"H0011458"</f>
        <v>H0011458</v>
      </c>
      <c r="B11353" s="5" t="str">
        <f t="shared" si="590"/>
        <v>BANDEJA SIN COMPARTIMIENTOS EN ACERO INOXIDABLE</v>
      </c>
      <c r="C11353" s="6">
        <v>111.11</v>
      </c>
      <c r="D11353" s="5"/>
      <c r="E11353" s="5" t="str">
        <f t="shared" si="589"/>
        <v>NUTRICION-ESPERANZA MONCADA PARADA</v>
      </c>
      <c r="F11353" s="5" t="str">
        <f>"Descripcion: . Estado: Regular Placa anterior: 000015597 Material: ALUMINIO Color:  Referencia:  Observacion:  Placa padre: Tipo adquisicion: Entidad"</f>
        <v>Descripcion: . Estado: Regular Placa anterior: 000015597 Material: ALUMINIO Color:  Referencia:  Observacion:  Placa padre: Tipo adquisicion: Entidad</v>
      </c>
      <c r="G11353" s="5"/>
    </row>
    <row r="11354" spans="1:7" ht="58.5" customHeight="1" x14ac:dyDescent="0.25">
      <c r="A11354" s="5" t="str">
        <f>"H0011459"</f>
        <v>H0011459</v>
      </c>
      <c r="B11354" s="5" t="str">
        <f t="shared" si="590"/>
        <v>BANDEJA SIN COMPARTIMIENTOS EN ACERO INOXIDABLE</v>
      </c>
      <c r="C11354" s="6">
        <v>111.11</v>
      </c>
      <c r="D11354" s="5"/>
      <c r="E11354" s="5" t="str">
        <f t="shared" si="589"/>
        <v>NUTRICION-ESPERANZA MONCADA PARADA</v>
      </c>
      <c r="F11354" s="5" t="str">
        <f>"Descripcion: . Estado: Regular Placa anterior: 000015598 Material: ALUMINIO Color:  Referencia:  Observacion:  Placa padre: Tipo adquisicion: Entidad"</f>
        <v>Descripcion: . Estado: Regular Placa anterior: 000015598 Material: ALUMINIO Color:  Referencia:  Observacion:  Placa padre: Tipo adquisicion: Entidad</v>
      </c>
      <c r="G11354" s="5"/>
    </row>
    <row r="11355" spans="1:7" ht="58.5" customHeight="1" x14ac:dyDescent="0.25">
      <c r="A11355" s="5" t="str">
        <f>"H0011460"</f>
        <v>H0011460</v>
      </c>
      <c r="B11355" s="5" t="str">
        <f t="shared" si="590"/>
        <v>BANDEJA SIN COMPARTIMIENTOS EN ACERO INOXIDABLE</v>
      </c>
      <c r="C11355" s="6">
        <v>111.11</v>
      </c>
      <c r="D11355" s="5"/>
      <c r="E11355" s="5" t="str">
        <f t="shared" si="589"/>
        <v>NUTRICION-ESPERANZA MONCADA PARADA</v>
      </c>
      <c r="F11355" s="5" t="str">
        <f>"Descripcion: . Estado: Regular Placa anterior: 000015599 Material: ALUMINIO Color:  Referencia:  Observacion:  Placa padre: Tipo adquisicion: Entidad"</f>
        <v>Descripcion: . Estado: Regular Placa anterior: 000015599 Material: ALUMINIO Color:  Referencia:  Observacion:  Placa padre: Tipo adquisicion: Entidad</v>
      </c>
      <c r="G11355" s="5"/>
    </row>
    <row r="11356" spans="1:7" ht="58.5" customHeight="1" x14ac:dyDescent="0.25">
      <c r="A11356" s="5" t="str">
        <f>"H0011461"</f>
        <v>H0011461</v>
      </c>
      <c r="B11356" s="5" t="str">
        <f t="shared" si="590"/>
        <v>BANDEJA SIN COMPARTIMIENTOS EN ACERO INOXIDABLE</v>
      </c>
      <c r="C11356" s="6">
        <v>111.11</v>
      </c>
      <c r="D11356" s="5"/>
      <c r="E11356" s="5" t="str">
        <f t="shared" si="589"/>
        <v>NUTRICION-ESPERANZA MONCADA PARADA</v>
      </c>
      <c r="F11356" s="5" t="str">
        <f>"Descripcion: . Estado: Regular Placa anterior: 000015600 Material: ALUMINIO Color:  Referencia:  Observacion:  Placa padre: Tipo adquisicion: Entidad"</f>
        <v>Descripcion: . Estado: Regular Placa anterior: 000015600 Material: ALUMINIO Color:  Referencia:  Observacion:  Placa padre: Tipo adquisicion: Entidad</v>
      </c>
      <c r="G11356" s="5"/>
    </row>
    <row r="11357" spans="1:7" ht="58.5" customHeight="1" x14ac:dyDescent="0.25">
      <c r="A11357" s="5" t="str">
        <f>"H0011462"</f>
        <v>H0011462</v>
      </c>
      <c r="B11357" s="5" t="str">
        <f t="shared" si="590"/>
        <v>BANDEJA SIN COMPARTIMIENTOS EN ACERO INOXIDABLE</v>
      </c>
      <c r="C11357" s="6">
        <v>111.11</v>
      </c>
      <c r="D11357" s="5"/>
      <c r="E11357" s="5" t="str">
        <f t="shared" si="589"/>
        <v>NUTRICION-ESPERANZA MONCADA PARADA</v>
      </c>
      <c r="F11357" s="5" t="str">
        <f>"Descripcion: . Estado: Regular Placa anterior: 000015601 Material: ALUMINIO Color:  Referencia:  Observacion:  Placa padre: Tipo adquisicion: Entidad"</f>
        <v>Descripcion: . Estado: Regular Placa anterior: 000015601 Material: ALUMINIO Color:  Referencia:  Observacion:  Placa padre: Tipo adquisicion: Entidad</v>
      </c>
      <c r="G11357" s="5"/>
    </row>
    <row r="11358" spans="1:7" ht="58.5" customHeight="1" x14ac:dyDescent="0.25">
      <c r="A11358" s="5" t="str">
        <f>"H0011463"</f>
        <v>H0011463</v>
      </c>
      <c r="B11358" s="5" t="str">
        <f t="shared" si="590"/>
        <v>BANDEJA SIN COMPARTIMIENTOS EN ACERO INOXIDABLE</v>
      </c>
      <c r="C11358" s="6">
        <v>111.11</v>
      </c>
      <c r="D11358" s="5"/>
      <c r="E11358" s="5" t="str">
        <f t="shared" si="589"/>
        <v>NUTRICION-ESPERANZA MONCADA PARADA</v>
      </c>
      <c r="F11358" s="5" t="str">
        <f>"Descripcion: . Estado: Regular Placa anterior: 000015602 Material: ALUMINIO Color:  Referencia:  Observacion:  Placa padre: Tipo adquisicion: Entidad"</f>
        <v>Descripcion: . Estado: Regular Placa anterior: 000015602 Material: ALUMINIO Color:  Referencia:  Observacion:  Placa padre: Tipo adquisicion: Entidad</v>
      </c>
      <c r="G11358" s="5"/>
    </row>
    <row r="11359" spans="1:7" ht="58.5" customHeight="1" x14ac:dyDescent="0.25">
      <c r="A11359" s="5" t="str">
        <f>"H0011465"</f>
        <v>H0011465</v>
      </c>
      <c r="B11359" s="5" t="str">
        <f t="shared" si="590"/>
        <v>BANDEJA SIN COMPARTIMIENTOS EN ACERO INOXIDABLE</v>
      </c>
      <c r="C11359" s="6">
        <v>111.11</v>
      </c>
      <c r="D11359" s="5"/>
      <c r="E11359" s="5" t="str">
        <f t="shared" si="589"/>
        <v>NUTRICION-ESPERANZA MONCADA PARADA</v>
      </c>
      <c r="F11359" s="5" t="str">
        <f>"Descripcion: . Estado: Bueno Placa anterior: 000015603 Material: ACERO INOXIDABLE Color:  Referencia:  Observacion:  Placa padre: Tipo adquisicion: Entidad"</f>
        <v>Descripcion: . Estado: Bueno Placa anterior: 000015603 Material: ACERO INOXIDABLE Color:  Referencia:  Observacion:  Placa padre: Tipo adquisicion: Entidad</v>
      </c>
      <c r="G11359" s="5"/>
    </row>
    <row r="11360" spans="1:7" ht="58.5" customHeight="1" x14ac:dyDescent="0.25">
      <c r="A11360" s="5" t="str">
        <f>"H0011466"</f>
        <v>H0011466</v>
      </c>
      <c r="B11360" s="5" t="str">
        <f t="shared" si="590"/>
        <v>BANDEJA SIN COMPARTIMIENTOS EN ACERO INOXIDABLE</v>
      </c>
      <c r="C11360" s="6">
        <v>111.11</v>
      </c>
      <c r="D11360" s="5"/>
      <c r="E11360" s="5" t="str">
        <f t="shared" si="589"/>
        <v>NUTRICION-ESPERANZA MONCADA PARADA</v>
      </c>
      <c r="F11360" s="5" t="str">
        <f>"Descripcion: . Estado: Bueno Placa anterior: 000015604 Material: ACERO INOXIDABLE Color:  Referencia:  Observacion:  Placa padre: Tipo adquisicion: Entidad"</f>
        <v>Descripcion: . Estado: Bueno Placa anterior: 000015604 Material: ACERO INOXIDABLE Color:  Referencia:  Observacion:  Placa padre: Tipo adquisicion: Entidad</v>
      </c>
      <c r="G11360" s="5"/>
    </row>
    <row r="11361" spans="1:7" ht="58.5" customHeight="1" x14ac:dyDescent="0.25">
      <c r="A11361" s="5" t="str">
        <f>"H0011467"</f>
        <v>H0011467</v>
      </c>
      <c r="B11361" s="5" t="str">
        <f t="shared" si="590"/>
        <v>BANDEJA SIN COMPARTIMIENTOS EN ACERO INOXIDABLE</v>
      </c>
      <c r="C11361" s="6">
        <v>111.11</v>
      </c>
      <c r="D11361" s="5"/>
      <c r="E11361" s="5" t="str">
        <f t="shared" si="589"/>
        <v>NUTRICION-ESPERANZA MONCADA PARADA</v>
      </c>
      <c r="F11361" s="5" t="str">
        <f>"Descripcion: . Estado: Bueno Placa anterior: 000015605 Material: ACERO INOXIDABLE Color:  Referencia:  Observacion:  Placa padre: Tipo adquisicion: Entidad"</f>
        <v>Descripcion: . Estado: Bueno Placa anterior: 000015605 Material: ACERO INOXIDABLE Color:  Referencia:  Observacion:  Placa padre: Tipo adquisicion: Entidad</v>
      </c>
      <c r="G11361" s="5"/>
    </row>
    <row r="11362" spans="1:7" ht="58.5" customHeight="1" x14ac:dyDescent="0.25">
      <c r="A11362" s="5" t="str">
        <f>"H0011468"</f>
        <v>H0011468</v>
      </c>
      <c r="B11362" s="5" t="str">
        <f t="shared" si="590"/>
        <v>BANDEJA SIN COMPARTIMIENTOS EN ACERO INOXIDABLE</v>
      </c>
      <c r="C11362" s="6">
        <v>111.11</v>
      </c>
      <c r="D11362" s="5"/>
      <c r="E11362" s="5" t="str">
        <f t="shared" si="589"/>
        <v>NUTRICION-ESPERANZA MONCADA PARADA</v>
      </c>
      <c r="F11362" s="5" t="str">
        <f>"Descripcion: . Estado: Bueno Placa anterior: 000015606 Material: ACERO INOXIDABLE Color:  Referencia:  Observacion:  Placa padre: Tipo adquisicion: Entidad"</f>
        <v>Descripcion: . Estado: Bueno Placa anterior: 000015606 Material: ACERO INOXIDABLE Color:  Referencia:  Observacion:  Placa padre: Tipo adquisicion: Entidad</v>
      </c>
      <c r="G11362" s="5"/>
    </row>
    <row r="11363" spans="1:7" ht="58.5" customHeight="1" x14ac:dyDescent="0.25">
      <c r="A11363" s="5" t="str">
        <f>"H0011469"</f>
        <v>H0011469</v>
      </c>
      <c r="B11363" s="5" t="str">
        <f t="shared" si="590"/>
        <v>BANDEJA SIN COMPARTIMIENTOS EN ACERO INOXIDABLE</v>
      </c>
      <c r="C11363" s="6">
        <v>111.11</v>
      </c>
      <c r="D11363" s="5"/>
      <c r="E11363" s="5" t="str">
        <f t="shared" si="589"/>
        <v>NUTRICION-ESPERANZA MONCADA PARADA</v>
      </c>
      <c r="F11363" s="5" t="str">
        <f>"Descripcion: . Estado: Bueno Placa anterior: 000015607 Material: ACERO INOXIDABLE Color:  Referencia:  Observacion:  Placa padre: Tipo adquisicion: Entidad"</f>
        <v>Descripcion: . Estado: Bueno Placa anterior: 000015607 Material: ACERO INOXIDABLE Color:  Referencia:  Observacion:  Placa padre: Tipo adquisicion: Entidad</v>
      </c>
      <c r="G11363" s="5"/>
    </row>
    <row r="11364" spans="1:7" ht="58.5" customHeight="1" x14ac:dyDescent="0.25">
      <c r="A11364" s="5" t="str">
        <f>"H0011470"</f>
        <v>H0011470</v>
      </c>
      <c r="B11364" s="5" t="str">
        <f t="shared" si="590"/>
        <v>BANDEJA SIN COMPARTIMIENTOS EN ACERO INOXIDABLE</v>
      </c>
      <c r="C11364" s="6">
        <v>111.11</v>
      </c>
      <c r="D11364" s="5"/>
      <c r="E11364" s="5" t="str">
        <f t="shared" si="589"/>
        <v>NUTRICION-ESPERANZA MONCADA PARADA</v>
      </c>
      <c r="F11364" s="5" t="str">
        <f>"Descripcion: . Estado: Bueno Placa anterior: 000015608 Material: ACERO INOXIDABLE Color:  Referencia:  Observacion:  Placa padre: Tipo adquisicion: Entidad"</f>
        <v>Descripcion: . Estado: Bueno Placa anterior: 000015608 Material: ACERO INOXIDABLE Color:  Referencia:  Observacion:  Placa padre: Tipo adquisicion: Entidad</v>
      </c>
      <c r="G11364" s="5"/>
    </row>
    <row r="11365" spans="1:7" ht="58.5" customHeight="1" x14ac:dyDescent="0.25">
      <c r="A11365" s="5" t="str">
        <f>"H0011471"</f>
        <v>H0011471</v>
      </c>
      <c r="B11365" s="5" t="str">
        <f t="shared" si="590"/>
        <v>BANDEJA SIN COMPARTIMIENTOS EN ACERO INOXIDABLE</v>
      </c>
      <c r="C11365" s="6">
        <v>111.11</v>
      </c>
      <c r="D11365" s="5"/>
      <c r="E11365" s="5" t="str">
        <f t="shared" si="589"/>
        <v>NUTRICION-ESPERANZA MONCADA PARADA</v>
      </c>
      <c r="F11365" s="5" t="str">
        <f>"Descripcion: . Estado: Bueno Placa anterior: 000015609 Material: ACERO INOXIDABLE Color:  Referencia:  Observacion:  Placa padre: Tipo adquisicion: Entidad"</f>
        <v>Descripcion: . Estado: Bueno Placa anterior: 000015609 Material: ACERO INOXIDABLE Color:  Referencia:  Observacion:  Placa padre: Tipo adquisicion: Entidad</v>
      </c>
      <c r="G11365" s="5"/>
    </row>
    <row r="11366" spans="1:7" ht="58.5" customHeight="1" x14ac:dyDescent="0.25">
      <c r="A11366" s="5" t="str">
        <f>"H0011472"</f>
        <v>H0011472</v>
      </c>
      <c r="B11366" s="5" t="str">
        <f t="shared" ref="B11366:B11386" si="591">"BANDEJA SIN COMPARTIMIENTOS EN ACERO INOXIDABLE"</f>
        <v>BANDEJA SIN COMPARTIMIENTOS EN ACERO INOXIDABLE</v>
      </c>
      <c r="C11366" s="6">
        <v>111.11</v>
      </c>
      <c r="D11366" s="5"/>
      <c r="E11366" s="5" t="str">
        <f t="shared" si="589"/>
        <v>NUTRICION-ESPERANZA MONCADA PARADA</v>
      </c>
      <c r="F11366" s="5" t="str">
        <f>"Descripcion: . Estado: Bueno Placa anterior: 000015610 Material: ACERO INOXIDABLE Color:  Referencia:  Observacion:  Placa padre: Tipo adquisicion: Entidad"</f>
        <v>Descripcion: . Estado: Bueno Placa anterior: 000015610 Material: ACERO INOXIDABLE Color:  Referencia:  Observacion:  Placa padre: Tipo adquisicion: Entidad</v>
      </c>
      <c r="G11366" s="5"/>
    </row>
    <row r="11367" spans="1:7" ht="58.5" customHeight="1" x14ac:dyDescent="0.25">
      <c r="A11367" s="5" t="str">
        <f>"H0011473"</f>
        <v>H0011473</v>
      </c>
      <c r="B11367" s="5" t="str">
        <f t="shared" si="591"/>
        <v>BANDEJA SIN COMPARTIMIENTOS EN ACERO INOXIDABLE</v>
      </c>
      <c r="C11367" s="6">
        <v>111.11</v>
      </c>
      <c r="D11367" s="5"/>
      <c r="E11367" s="5" t="str">
        <f t="shared" ref="E11367:E11430" si="592">"NUTRICION-ESPERANZA MONCADA PARADA"</f>
        <v>NUTRICION-ESPERANZA MONCADA PARADA</v>
      </c>
      <c r="F11367" s="5" t="str">
        <f>"Descripcion: . Estado: Bueno Placa anterior: 000015611 Material: ACERO INOXIDABLE Color:  Referencia:  Observacion:  Placa padre: Tipo adquisicion: Entidad"</f>
        <v>Descripcion: . Estado: Bueno Placa anterior: 000015611 Material: ACERO INOXIDABLE Color:  Referencia:  Observacion:  Placa padre: Tipo adquisicion: Entidad</v>
      </c>
      <c r="G11367" s="5"/>
    </row>
    <row r="11368" spans="1:7" ht="58.5" customHeight="1" x14ac:dyDescent="0.25">
      <c r="A11368" s="5" t="str">
        <f>"H0011474"</f>
        <v>H0011474</v>
      </c>
      <c r="B11368" s="5" t="str">
        <f t="shared" si="591"/>
        <v>BANDEJA SIN COMPARTIMIENTOS EN ACERO INOXIDABLE</v>
      </c>
      <c r="C11368" s="6">
        <v>111.11</v>
      </c>
      <c r="D11368" s="5"/>
      <c r="E11368" s="5" t="str">
        <f t="shared" si="592"/>
        <v>NUTRICION-ESPERANZA MONCADA PARADA</v>
      </c>
      <c r="F11368" s="5" t="str">
        <f>"Descripcion: . Estado: Bueno Placa anterior: 000015612 Material: ACERO INOXIDABLE Color:  Referencia:  Observacion:  Placa padre: Tipo adquisicion: Entidad"</f>
        <v>Descripcion: . Estado: Bueno Placa anterior: 000015612 Material: ACERO INOXIDABLE Color:  Referencia:  Observacion:  Placa padre: Tipo adquisicion: Entidad</v>
      </c>
      <c r="G11368" s="5"/>
    </row>
    <row r="11369" spans="1:7" ht="58.5" customHeight="1" x14ac:dyDescent="0.25">
      <c r="A11369" s="5" t="str">
        <f>"H0011475"</f>
        <v>H0011475</v>
      </c>
      <c r="B11369" s="5" t="str">
        <f t="shared" si="591"/>
        <v>BANDEJA SIN COMPARTIMIENTOS EN ACERO INOXIDABLE</v>
      </c>
      <c r="C11369" s="6">
        <v>111.11</v>
      </c>
      <c r="D11369" s="5"/>
      <c r="E11369" s="5" t="str">
        <f t="shared" si="592"/>
        <v>NUTRICION-ESPERANZA MONCADA PARADA</v>
      </c>
      <c r="F11369" s="5" t="str">
        <f>"Descripcion: . Estado: Bueno Placa anterior: 000015613 Material: ACERO INOXIDABLE Color:  Referencia:  Observacion:  Placa padre: Tipo adquisicion: Entidad"</f>
        <v>Descripcion: . Estado: Bueno Placa anterior: 000015613 Material: ACERO INOXIDABLE Color:  Referencia:  Observacion:  Placa padre: Tipo adquisicion: Entidad</v>
      </c>
      <c r="G11369" s="5"/>
    </row>
    <row r="11370" spans="1:7" ht="58.5" customHeight="1" x14ac:dyDescent="0.25">
      <c r="A11370" s="5" t="str">
        <f>"H0011476"</f>
        <v>H0011476</v>
      </c>
      <c r="B11370" s="5" t="str">
        <f t="shared" si="591"/>
        <v>BANDEJA SIN COMPARTIMIENTOS EN ACERO INOXIDABLE</v>
      </c>
      <c r="C11370" s="6">
        <v>111.11</v>
      </c>
      <c r="D11370" s="5"/>
      <c r="E11370" s="5" t="str">
        <f t="shared" si="592"/>
        <v>NUTRICION-ESPERANZA MONCADA PARADA</v>
      </c>
      <c r="F11370" s="5" t="str">
        <f>"Descripcion: . Estado: Bueno Placa anterior: 000015614 Material: ACERO INOXIDABLE Color:  Referencia:  Observacion:  Placa padre: Tipo adquisicion: Entidad"</f>
        <v>Descripcion: . Estado: Bueno Placa anterior: 000015614 Material: ACERO INOXIDABLE Color:  Referencia:  Observacion:  Placa padre: Tipo adquisicion: Entidad</v>
      </c>
      <c r="G11370" s="5"/>
    </row>
    <row r="11371" spans="1:7" ht="58.5" customHeight="1" x14ac:dyDescent="0.25">
      <c r="A11371" s="5" t="str">
        <f>"H0011477"</f>
        <v>H0011477</v>
      </c>
      <c r="B11371" s="5" t="str">
        <f t="shared" si="591"/>
        <v>BANDEJA SIN COMPARTIMIENTOS EN ACERO INOXIDABLE</v>
      </c>
      <c r="C11371" s="6">
        <v>111.11</v>
      </c>
      <c r="D11371" s="5"/>
      <c r="E11371" s="5" t="str">
        <f t="shared" si="592"/>
        <v>NUTRICION-ESPERANZA MONCADA PARADA</v>
      </c>
      <c r="F11371" s="5" t="str">
        <f>"Descripcion: . Estado: Bueno Placa anterior: 000015615 Material: ACERO INOXIDABLE Color:  Referencia:  Observacion:  Placa padre: Tipo adquisicion: Entidad"</f>
        <v>Descripcion: . Estado: Bueno Placa anterior: 000015615 Material: ACERO INOXIDABLE Color:  Referencia:  Observacion:  Placa padre: Tipo adquisicion: Entidad</v>
      </c>
      <c r="G11371" s="5"/>
    </row>
    <row r="11372" spans="1:7" ht="58.5" customHeight="1" x14ac:dyDescent="0.25">
      <c r="A11372" s="5" t="str">
        <f>"H0011478"</f>
        <v>H0011478</v>
      </c>
      <c r="B11372" s="5" t="str">
        <f t="shared" si="591"/>
        <v>BANDEJA SIN COMPARTIMIENTOS EN ACERO INOXIDABLE</v>
      </c>
      <c r="C11372" s="6">
        <v>111.11</v>
      </c>
      <c r="D11372" s="5"/>
      <c r="E11372" s="5" t="str">
        <f t="shared" si="592"/>
        <v>NUTRICION-ESPERANZA MONCADA PARADA</v>
      </c>
      <c r="F11372" s="5" t="str">
        <f>"Descripcion: . Estado: Bueno Placa anterior: 000015616 Material: ACERO INOXIDABLE Color:  Referencia:  Observacion:  Placa padre: Tipo adquisicion: Entidad"</f>
        <v>Descripcion: . Estado: Bueno Placa anterior: 000015616 Material: ACERO INOXIDABLE Color:  Referencia:  Observacion:  Placa padre: Tipo adquisicion: Entidad</v>
      </c>
      <c r="G11372" s="5"/>
    </row>
    <row r="11373" spans="1:7" ht="58.5" customHeight="1" x14ac:dyDescent="0.25">
      <c r="A11373" s="5" t="str">
        <f>"H0011479"</f>
        <v>H0011479</v>
      </c>
      <c r="B11373" s="5" t="str">
        <f t="shared" si="591"/>
        <v>BANDEJA SIN COMPARTIMIENTOS EN ACERO INOXIDABLE</v>
      </c>
      <c r="C11373" s="6">
        <v>111.11</v>
      </c>
      <c r="D11373" s="5"/>
      <c r="E11373" s="5" t="str">
        <f t="shared" si="592"/>
        <v>NUTRICION-ESPERANZA MONCADA PARADA</v>
      </c>
      <c r="F11373" s="5" t="str">
        <f>"Descripcion: . Estado: Bueno Placa anterior: 000015617 Material: ACERO INOXIDABLE Color:  Referencia:  Observacion:  Placa padre: Tipo adquisicion: Entidad"</f>
        <v>Descripcion: . Estado: Bueno Placa anterior: 000015617 Material: ACERO INOXIDABLE Color:  Referencia:  Observacion:  Placa padre: Tipo adquisicion: Entidad</v>
      </c>
      <c r="G11373" s="5"/>
    </row>
    <row r="11374" spans="1:7" ht="58.5" customHeight="1" x14ac:dyDescent="0.25">
      <c r="A11374" s="5" t="str">
        <f>"H0011480"</f>
        <v>H0011480</v>
      </c>
      <c r="B11374" s="5" t="str">
        <f t="shared" si="591"/>
        <v>BANDEJA SIN COMPARTIMIENTOS EN ACERO INOXIDABLE</v>
      </c>
      <c r="C11374" s="6">
        <v>111.11</v>
      </c>
      <c r="D11374" s="5"/>
      <c r="E11374" s="5" t="str">
        <f t="shared" si="592"/>
        <v>NUTRICION-ESPERANZA MONCADA PARADA</v>
      </c>
      <c r="F11374" s="5" t="str">
        <f>"Descripcion: . Estado: Bueno Placa anterior: 000015618 Material: ACERO INOXIDABLE Color:  Referencia:  Observacion:  Placa padre: Tipo adquisicion: Entidad"</f>
        <v>Descripcion: . Estado: Bueno Placa anterior: 000015618 Material: ACERO INOXIDABLE Color:  Referencia:  Observacion:  Placa padre: Tipo adquisicion: Entidad</v>
      </c>
      <c r="G11374" s="5"/>
    </row>
    <row r="11375" spans="1:7" ht="58.5" customHeight="1" x14ac:dyDescent="0.25">
      <c r="A11375" s="5" t="str">
        <f>"H0011481"</f>
        <v>H0011481</v>
      </c>
      <c r="B11375" s="5" t="str">
        <f t="shared" si="591"/>
        <v>BANDEJA SIN COMPARTIMIENTOS EN ACERO INOXIDABLE</v>
      </c>
      <c r="C11375" s="6">
        <v>111.11</v>
      </c>
      <c r="D11375" s="5"/>
      <c r="E11375" s="5" t="str">
        <f t="shared" si="592"/>
        <v>NUTRICION-ESPERANZA MONCADA PARADA</v>
      </c>
      <c r="F11375" s="5" t="str">
        <f>"Descripcion: . Estado: Bueno Placa anterior: 000015619 Material: ACERO INOXIDABLE Color:  Referencia:  Observacion:  Placa padre: Tipo adquisicion: Entidad"</f>
        <v>Descripcion: . Estado: Bueno Placa anterior: 000015619 Material: ACERO INOXIDABLE Color:  Referencia:  Observacion:  Placa padre: Tipo adquisicion: Entidad</v>
      </c>
      <c r="G11375" s="5"/>
    </row>
    <row r="11376" spans="1:7" ht="58.5" customHeight="1" x14ac:dyDescent="0.25">
      <c r="A11376" s="5" t="str">
        <f>"H0011482"</f>
        <v>H0011482</v>
      </c>
      <c r="B11376" s="5" t="str">
        <f t="shared" si="591"/>
        <v>BANDEJA SIN COMPARTIMIENTOS EN ACERO INOXIDABLE</v>
      </c>
      <c r="C11376" s="6">
        <v>111.11</v>
      </c>
      <c r="D11376" s="5"/>
      <c r="E11376" s="5" t="str">
        <f t="shared" si="592"/>
        <v>NUTRICION-ESPERANZA MONCADA PARADA</v>
      </c>
      <c r="F11376" s="5" t="str">
        <f>"Descripcion: . Estado: Bueno Placa anterior: 000015620 Material: ACERO INOXIDABLE Color:  Referencia:  Observacion:  Placa padre: Tipo adquisicion: Entidad"</f>
        <v>Descripcion: . Estado: Bueno Placa anterior: 000015620 Material: ACERO INOXIDABLE Color:  Referencia:  Observacion:  Placa padre: Tipo adquisicion: Entidad</v>
      </c>
      <c r="G11376" s="5"/>
    </row>
    <row r="11377" spans="1:7" ht="58.5" customHeight="1" x14ac:dyDescent="0.25">
      <c r="A11377" s="5" t="str">
        <f>"H0011483"</f>
        <v>H0011483</v>
      </c>
      <c r="B11377" s="5" t="str">
        <f t="shared" si="591"/>
        <v>BANDEJA SIN COMPARTIMIENTOS EN ACERO INOXIDABLE</v>
      </c>
      <c r="C11377" s="6">
        <v>111.11</v>
      </c>
      <c r="D11377" s="5"/>
      <c r="E11377" s="5" t="str">
        <f t="shared" si="592"/>
        <v>NUTRICION-ESPERANZA MONCADA PARADA</v>
      </c>
      <c r="F11377" s="5" t="str">
        <f>"Descripcion: . Estado: Bueno Placa anterior: 000015621 Material: ACERO INOXIDABLE Color:  Referencia:  Observacion:  Placa padre: Tipo adquisicion: Entidad"</f>
        <v>Descripcion: . Estado: Bueno Placa anterior: 000015621 Material: ACERO INOXIDABLE Color:  Referencia:  Observacion:  Placa padre: Tipo adquisicion: Entidad</v>
      </c>
      <c r="G11377" s="5"/>
    </row>
    <row r="11378" spans="1:7" ht="58.5" customHeight="1" x14ac:dyDescent="0.25">
      <c r="A11378" s="5" t="str">
        <f>"H0011484"</f>
        <v>H0011484</v>
      </c>
      <c r="B11378" s="5" t="str">
        <f t="shared" si="591"/>
        <v>BANDEJA SIN COMPARTIMIENTOS EN ACERO INOXIDABLE</v>
      </c>
      <c r="C11378" s="6">
        <v>111.11</v>
      </c>
      <c r="D11378" s="5"/>
      <c r="E11378" s="5" t="str">
        <f t="shared" si="592"/>
        <v>NUTRICION-ESPERANZA MONCADA PARADA</v>
      </c>
      <c r="F11378" s="5" t="str">
        <f>"Descripcion: . Estado: Bueno Placa anterior: 000015622 Material: ACERO INOXIDABLE Color:  Referencia:  Observacion:  Placa padre: Tipo adquisicion: Entidad"</f>
        <v>Descripcion: . Estado: Bueno Placa anterior: 000015622 Material: ACERO INOXIDABLE Color:  Referencia:  Observacion:  Placa padre: Tipo adquisicion: Entidad</v>
      </c>
      <c r="G11378" s="5"/>
    </row>
    <row r="11379" spans="1:7" ht="58.5" customHeight="1" x14ac:dyDescent="0.25">
      <c r="A11379" s="5" t="str">
        <f>"H0011485"</f>
        <v>H0011485</v>
      </c>
      <c r="B11379" s="5" t="str">
        <f t="shared" si="591"/>
        <v>BANDEJA SIN COMPARTIMIENTOS EN ACERO INOXIDABLE</v>
      </c>
      <c r="C11379" s="6">
        <v>111.11</v>
      </c>
      <c r="D11379" s="5"/>
      <c r="E11379" s="5" t="str">
        <f t="shared" si="592"/>
        <v>NUTRICION-ESPERANZA MONCADA PARADA</v>
      </c>
      <c r="F11379" s="5" t="str">
        <f>"Descripcion: . Estado: Bueno Placa anterior: 000015623 Material: ACERO INOXIDABLE Color:  Referencia:  Observacion:  Placa padre: Tipo adquisicion: Entidad"</f>
        <v>Descripcion: . Estado: Bueno Placa anterior: 000015623 Material: ACERO INOXIDABLE Color:  Referencia:  Observacion:  Placa padre: Tipo adquisicion: Entidad</v>
      </c>
      <c r="G11379" s="5"/>
    </row>
    <row r="11380" spans="1:7" ht="58.5" customHeight="1" x14ac:dyDescent="0.25">
      <c r="A11380" s="5" t="str">
        <f>"H0011486"</f>
        <v>H0011486</v>
      </c>
      <c r="B11380" s="5" t="str">
        <f t="shared" si="591"/>
        <v>BANDEJA SIN COMPARTIMIENTOS EN ACERO INOXIDABLE</v>
      </c>
      <c r="C11380" s="6">
        <v>111.11</v>
      </c>
      <c r="D11380" s="5"/>
      <c r="E11380" s="5" t="str">
        <f t="shared" si="592"/>
        <v>NUTRICION-ESPERANZA MONCADA PARADA</v>
      </c>
      <c r="F11380" s="5" t="str">
        <f>"Descripcion: . Estado: Bueno Placa anterior: 000015624 Material: ACERO INOXIDABLE Color:  Referencia:  Observacion:  Placa padre: Tipo adquisicion: Entidad"</f>
        <v>Descripcion: . Estado: Bueno Placa anterior: 000015624 Material: ACERO INOXIDABLE Color:  Referencia:  Observacion:  Placa padre: Tipo adquisicion: Entidad</v>
      </c>
      <c r="G11380" s="5"/>
    </row>
    <row r="11381" spans="1:7" ht="58.5" customHeight="1" x14ac:dyDescent="0.25">
      <c r="A11381" s="5" t="str">
        <f>"H0011487"</f>
        <v>H0011487</v>
      </c>
      <c r="B11381" s="5" t="str">
        <f t="shared" si="591"/>
        <v>BANDEJA SIN COMPARTIMIENTOS EN ACERO INOXIDABLE</v>
      </c>
      <c r="C11381" s="6">
        <v>111.11</v>
      </c>
      <c r="D11381" s="5"/>
      <c r="E11381" s="5" t="str">
        <f t="shared" si="592"/>
        <v>NUTRICION-ESPERANZA MONCADA PARADA</v>
      </c>
      <c r="F11381" s="5" t="str">
        <f>"Descripcion: . Estado: Bueno Placa anterior: 000015625 Material: ACERO INOXIDABLE Color:  Referencia:  Observacion:  Placa padre: Tipo adquisicion: Entidad"</f>
        <v>Descripcion: . Estado: Bueno Placa anterior: 000015625 Material: ACERO INOXIDABLE Color:  Referencia:  Observacion:  Placa padre: Tipo adquisicion: Entidad</v>
      </c>
      <c r="G11381" s="5"/>
    </row>
    <row r="11382" spans="1:7" ht="58.5" customHeight="1" x14ac:dyDescent="0.25">
      <c r="A11382" s="5" t="str">
        <f>"H0011488"</f>
        <v>H0011488</v>
      </c>
      <c r="B11382" s="5" t="str">
        <f t="shared" si="591"/>
        <v>BANDEJA SIN COMPARTIMIENTOS EN ACERO INOXIDABLE</v>
      </c>
      <c r="C11382" s="6">
        <v>111.11</v>
      </c>
      <c r="D11382" s="5"/>
      <c r="E11382" s="5" t="str">
        <f t="shared" si="592"/>
        <v>NUTRICION-ESPERANZA MONCADA PARADA</v>
      </c>
      <c r="F11382" s="5" t="str">
        <f>"Descripcion: . Estado: Bueno Placa anterior: 000015626 Material: ACERO INOXIDABLE Color:  Referencia:  Observacion:  Placa padre: Tipo adquisicion: Entidad"</f>
        <v>Descripcion: . Estado: Bueno Placa anterior: 000015626 Material: ACERO INOXIDABLE Color:  Referencia:  Observacion:  Placa padre: Tipo adquisicion: Entidad</v>
      </c>
      <c r="G11382" s="5"/>
    </row>
    <row r="11383" spans="1:7" ht="58.5" customHeight="1" x14ac:dyDescent="0.25">
      <c r="A11383" s="5" t="str">
        <f>"H0011489"</f>
        <v>H0011489</v>
      </c>
      <c r="B11383" s="5" t="str">
        <f t="shared" si="591"/>
        <v>BANDEJA SIN COMPARTIMIENTOS EN ACERO INOXIDABLE</v>
      </c>
      <c r="C11383" s="6">
        <v>111.11</v>
      </c>
      <c r="D11383" s="5"/>
      <c r="E11383" s="5" t="str">
        <f t="shared" si="592"/>
        <v>NUTRICION-ESPERANZA MONCADA PARADA</v>
      </c>
      <c r="F11383" s="5" t="str">
        <f>"Descripcion: . Estado: Bueno Placa anterior: 000015627 Material: ACERO INOXIDABLE Color:  Referencia:  Observacion:  Placa padre: Tipo adquisicion: Entidad"</f>
        <v>Descripcion: . Estado: Bueno Placa anterior: 000015627 Material: ACERO INOXIDABLE Color:  Referencia:  Observacion:  Placa padre: Tipo adquisicion: Entidad</v>
      </c>
      <c r="G11383" s="5"/>
    </row>
    <row r="11384" spans="1:7" ht="58.5" customHeight="1" x14ac:dyDescent="0.25">
      <c r="A11384" s="5" t="str">
        <f>"H0011490"</f>
        <v>H0011490</v>
      </c>
      <c r="B11384" s="5" t="str">
        <f t="shared" si="591"/>
        <v>BANDEJA SIN COMPARTIMIENTOS EN ACERO INOXIDABLE</v>
      </c>
      <c r="C11384" s="6">
        <v>111.11</v>
      </c>
      <c r="D11384" s="5"/>
      <c r="E11384" s="5" t="str">
        <f t="shared" si="592"/>
        <v>NUTRICION-ESPERANZA MONCADA PARADA</v>
      </c>
      <c r="F11384" s="5" t="str">
        <f>"Descripcion: . Estado: Bueno Placa anterior: 000015628 Material: ACERO INOXIDABLE Color:  Referencia:  Observacion:  Placa padre: Tipo adquisicion: Entidad"</f>
        <v>Descripcion: . Estado: Bueno Placa anterior: 000015628 Material: ACERO INOXIDABLE Color:  Referencia:  Observacion:  Placa padre: Tipo adquisicion: Entidad</v>
      </c>
      <c r="G11384" s="5"/>
    </row>
    <row r="11385" spans="1:7" ht="58.5" customHeight="1" x14ac:dyDescent="0.25">
      <c r="A11385" s="5" t="str">
        <f>"H0011491"</f>
        <v>H0011491</v>
      </c>
      <c r="B11385" s="5" t="str">
        <f t="shared" si="591"/>
        <v>BANDEJA SIN COMPARTIMIENTOS EN ACERO INOXIDABLE</v>
      </c>
      <c r="C11385" s="6">
        <v>111.11</v>
      </c>
      <c r="D11385" s="5"/>
      <c r="E11385" s="5" t="str">
        <f t="shared" si="592"/>
        <v>NUTRICION-ESPERANZA MONCADA PARADA</v>
      </c>
      <c r="F11385" s="5" t="str">
        <f>"Descripcion: . Estado: Bueno Placa anterior: 000015631 Material: ACERO INOXIDABLE Color:  Referencia:  Observacion:  Placa padre: Tipo adquisicion: Entidad"</f>
        <v>Descripcion: . Estado: Bueno Placa anterior: 000015631 Material: ACERO INOXIDABLE Color:  Referencia:  Observacion:  Placa padre: Tipo adquisicion: Entidad</v>
      </c>
      <c r="G11385" s="5"/>
    </row>
    <row r="11386" spans="1:7" ht="58.5" customHeight="1" x14ac:dyDescent="0.25">
      <c r="A11386" s="5" t="str">
        <f>"H0011492"</f>
        <v>H0011492</v>
      </c>
      <c r="B11386" s="5" t="str">
        <f t="shared" si="591"/>
        <v>BANDEJA SIN COMPARTIMIENTOS EN ACERO INOXIDABLE</v>
      </c>
      <c r="C11386" s="6">
        <v>111.11</v>
      </c>
      <c r="D11386" s="5"/>
      <c r="E11386" s="5" t="str">
        <f t="shared" si="592"/>
        <v>NUTRICION-ESPERANZA MONCADA PARADA</v>
      </c>
      <c r="F11386" s="5" t="str">
        <f>"Descripcion: . Estado: Bueno Placa anterior: 000015632 Material: ACERO INOXIDABLE Color:  Referencia:  Observacion:  Placa padre: Tipo adquisicion: Entidad"</f>
        <v>Descripcion: . Estado: Bueno Placa anterior: 000015632 Material: ACERO INOXIDABLE Color:  Referencia:  Observacion:  Placa padre: Tipo adquisicion: Entidad</v>
      </c>
      <c r="G11386" s="5"/>
    </row>
    <row r="11387" spans="1:7" ht="58.5" customHeight="1" x14ac:dyDescent="0.25">
      <c r="A11387" s="5" t="str">
        <f>"H0011493"</f>
        <v>H0011493</v>
      </c>
      <c r="B11387" s="5" t="str">
        <f>"CARRO PARA TRANSPORTE DE MENAJE"</f>
        <v>CARRO PARA TRANSPORTE DE MENAJE</v>
      </c>
      <c r="C11387" s="6">
        <v>126117.3</v>
      </c>
      <c r="D11387" s="5"/>
      <c r="E11387" s="5" t="str">
        <f t="shared" si="592"/>
        <v>NUTRICION-ESPERANZA MONCADA PARADA</v>
      </c>
      <c r="F11387" s="5" t="str">
        <f>"Descripcion: 100x120x50 Estado: Bueno Placa anterior: 000014185 Material: ACERO INOXIDABLE Color:  Referencia:  Observacion:  Placa padre: Tipo adquisicion: Entidad"</f>
        <v>Descripcion: 100x120x50 Estado: Bueno Placa anterior: 000014185 Material: ACERO INOXIDABLE Color:  Referencia:  Observacion:  Placa padre: Tipo adquisicion: Entidad</v>
      </c>
      <c r="G11387" s="5"/>
    </row>
    <row r="11388" spans="1:7" ht="58.5" customHeight="1" x14ac:dyDescent="0.25">
      <c r="A11388" s="5" t="str">
        <f>"H0011494"</f>
        <v>H0011494</v>
      </c>
      <c r="B11388" s="5" t="str">
        <f>"MESON EN ACERO INOXIDABLE"</f>
        <v>MESON EN ACERO INOXIDABLE</v>
      </c>
      <c r="C11388" s="6">
        <v>35240.99</v>
      </c>
      <c r="D11388" s="5"/>
      <c r="E11388" s="5" t="str">
        <f t="shared" si="592"/>
        <v>NUTRICION-ESPERANZA MONCADA PARADA</v>
      </c>
      <c r="F11388" s="5" t="str">
        <f>"Descripcion: MESON EN ACERO INOX. CON TOPE LISO 83X224X66 CMS Estado: Bueno Placa anterior: 000015385 Material: ACERO INOXIDABLE Color:  Referencia:  Observacion:  Placa padre: Tipo adquisicion: Entidad"</f>
        <v>Descripcion: MESON EN ACERO INOX. CON TOPE LISO 83X224X66 CMS Estado: Bueno Placa anterior: 000015385 Material: ACERO INOXIDABLE Color:  Referencia:  Observacion:  Placa padre: Tipo adquisicion: Entidad</v>
      </c>
      <c r="G11388" s="5"/>
    </row>
    <row r="11389" spans="1:7" ht="58.5" customHeight="1" x14ac:dyDescent="0.25">
      <c r="A11389" s="5" t="str">
        <f>"H0011495"</f>
        <v>H0011495</v>
      </c>
      <c r="B11389" s="5" t="str">
        <f>"MESON EN ACERO INOXIDABLE"</f>
        <v>MESON EN ACERO INOXIDABLE</v>
      </c>
      <c r="C11389" s="6">
        <v>35240.589999999997</v>
      </c>
      <c r="D11389" s="5"/>
      <c r="E11389" s="5" t="str">
        <f t="shared" si="592"/>
        <v>NUTRICION-ESPERANZA MONCADA PARADA</v>
      </c>
      <c r="F11389" s="5" t="str">
        <f>"Descripcion: MESON EN ACERO INOX. TOPE EN ANGULO 83X194X66 CMS Estado: Bueno Placa anterior: 000015386 Material: ACERO INOXIDABLE Color:  Referencia:  Observacion:  Placa padre: Tipo adquisicion: Entidad"</f>
        <v>Descripcion: MESON EN ACERO INOX. TOPE EN ANGULO 83X194X66 CMS Estado: Bueno Placa anterior: 000015386 Material: ACERO INOXIDABLE Color:  Referencia:  Observacion:  Placa padre: Tipo adquisicion: Entidad</v>
      </c>
      <c r="G11389" s="5"/>
    </row>
    <row r="11390" spans="1:7" ht="58.5" customHeight="1" x14ac:dyDescent="0.25">
      <c r="A11390" s="5" t="str">
        <f>"H0011497"</f>
        <v>H0011497</v>
      </c>
      <c r="B11390" s="5" t="str">
        <f>"NEVERA 8.3 PIES (235LT)"</f>
        <v>NEVERA 8.3 PIES (235LT)</v>
      </c>
      <c r="C11390" s="6">
        <v>649600</v>
      </c>
      <c r="D11390" s="5"/>
      <c r="E11390" s="5" t="str">
        <f t="shared" si="592"/>
        <v>NUTRICION-ESPERANZA MONCADA PARADA</v>
      </c>
      <c r="F11390" s="5" t="str">
        <f>"Descripcion: NEVERA 235 LITROS1 PUERTA Estado: Bueno Placa anterior: 000026248 Material: METALICO Color: BLANCO Referencia: NATURE FRESH Observacion:  Placa padre: Tipo adquisicion: Entidad"</f>
        <v>Descripcion: NEVERA 235 LITROS1 PUERTA Estado: Bueno Placa anterior: 000026248 Material: METALICO Color: BLANCO Referencia: NATURE FRESH Observacion:  Placa padre: Tipo adquisicion: Entidad</v>
      </c>
      <c r="G11390" s="5" t="str">
        <f>"CCA235SULE0"</f>
        <v>CCA235SULE0</v>
      </c>
    </row>
    <row r="11391" spans="1:7" ht="58.5" customHeight="1" x14ac:dyDescent="0.25">
      <c r="A11391" s="5" t="str">
        <f>"H0011498"</f>
        <v>H0011498</v>
      </c>
      <c r="B11391" s="5" t="str">
        <f>"LAVAPLATOS EN ACERO INOXIDABLE 2 PUESTOS"</f>
        <v>LAVAPLATOS EN ACERO INOXIDABLE 2 PUESTOS</v>
      </c>
      <c r="C11391" s="6">
        <v>81414.59</v>
      </c>
      <c r="D11391" s="5"/>
      <c r="E11391" s="5" t="str">
        <f t="shared" si="592"/>
        <v>NUTRICION-ESPERANZA MONCADA PARADA</v>
      </c>
      <c r="F11391" s="5" t="str">
        <f>"Descripcion: MESON EN ACERO INOX.CON TOPE Y 2 VERTEDEROS 83X213X63 CMS Estado: Bueno Placa anterior: 000015383 Material: ACERO INOXIDABLE Color:  Referencia:  Observacion:  Placa padre: Tipo adquisicion: Entidad"</f>
        <v>Descripcion: MESON EN ACERO INOX.CON TOPE Y 2 VERTEDEROS 83X213X63 CMS Estado: Bueno Placa anterior: 000015383 Material: ACERO INOXIDABLE Color:  Referencia:  Observacion:  Placa padre: Tipo adquisicion: Entidad</v>
      </c>
      <c r="G11391" s="5"/>
    </row>
    <row r="11392" spans="1:7" ht="58.5" customHeight="1" x14ac:dyDescent="0.25">
      <c r="A11392" s="5" t="str">
        <f>"H0011499"</f>
        <v>H0011499</v>
      </c>
      <c r="B11392" s="5" t="str">
        <f>"BANDEJA SIN COMPARTIMIENTOS EN ACERO INOXIDABLE"</f>
        <v>BANDEJA SIN COMPARTIMIENTOS EN ACERO INOXIDABLE</v>
      </c>
      <c r="C11392" s="6">
        <v>111.11</v>
      </c>
      <c r="D11392" s="5"/>
      <c r="E11392" s="5" t="str">
        <f t="shared" si="592"/>
        <v>NUTRICION-ESPERANZA MONCADA PARADA</v>
      </c>
      <c r="F11392" s="5" t="str">
        <f>"Descripcion: . Estado: Bueno Placa anterior: 000015633 Material: ACERO INOXIDABLE Color:  Referencia:  Observacion:  Placa padre: Tipo adquisicion: Entidad"</f>
        <v>Descripcion: . Estado: Bueno Placa anterior: 000015633 Material: ACERO INOXIDABLE Color:  Referencia:  Observacion:  Placa padre: Tipo adquisicion: Entidad</v>
      </c>
      <c r="G11392" s="5"/>
    </row>
    <row r="11393" spans="1:7" ht="58.5" customHeight="1" x14ac:dyDescent="0.25">
      <c r="A11393" s="5" t="str">
        <f>"H0011500"</f>
        <v>H0011500</v>
      </c>
      <c r="B11393" s="5" t="str">
        <f>"BANDEJA SIN COMPARTIMIENTOS EN ACERO INOXIDABLE"</f>
        <v>BANDEJA SIN COMPARTIMIENTOS EN ACERO INOXIDABLE</v>
      </c>
      <c r="C11393" s="6">
        <v>111.11</v>
      </c>
      <c r="D11393" s="5"/>
      <c r="E11393" s="5" t="str">
        <f t="shared" si="592"/>
        <v>NUTRICION-ESPERANZA MONCADA PARADA</v>
      </c>
      <c r="F11393" s="5" t="str">
        <f>"Descripcion: . Estado: Bueno Placa anterior: 000015634 Material: ACERO INOXIDABLE Color:  Referencia:  Observacion:  Placa padre: Tipo adquisicion: Entidad"</f>
        <v>Descripcion: . Estado: Bueno Placa anterior: 000015634 Material: ACERO INOXIDABLE Color:  Referencia:  Observacion:  Placa padre: Tipo adquisicion: Entidad</v>
      </c>
      <c r="G11393" s="5"/>
    </row>
    <row r="11394" spans="1:7" ht="58.5" customHeight="1" x14ac:dyDescent="0.25">
      <c r="A11394" s="5" t="str">
        <f>"H0012057"</f>
        <v>H0012057</v>
      </c>
      <c r="B11394" s="5" t="str">
        <f>"SILLA ERGONOMICA TIPO SECRETARIA SIN BRAZOS"</f>
        <v>SILLA ERGONOMICA TIPO SECRETARIA SIN BRAZOS</v>
      </c>
      <c r="C11394" s="6">
        <v>235000</v>
      </c>
      <c r="D11394" s="5"/>
      <c r="E11394" s="5" t="str">
        <f t="shared" si="592"/>
        <v>NUTRICION-ESPERANZA MONCADA PARADA</v>
      </c>
      <c r="F11394" s="5" t="str">
        <f>"Descripcion: SILLA TAPIZADA Estado: Bueno Placa anterior: 000032776 Material: PLASTICO, METALICO Y LONA Color: AZUL Y NEGRO Referencia:  Observacion:  Placa padre: Tipo adquisicion: Entidad"</f>
        <v>Descripcion: SILLA TAPIZADA Estado: Bueno Placa anterior: 000032776 Material: PLASTICO, METALICO Y LONA Color: AZUL Y NEGRO Referencia:  Observacion:  Placa padre: Tipo adquisicion: Entidad</v>
      </c>
      <c r="G11394" s="5"/>
    </row>
    <row r="11395" spans="1:7" ht="58.5" customHeight="1" x14ac:dyDescent="0.25">
      <c r="A11395" s="5" t="str">
        <f>"H0012059"</f>
        <v>H0012059</v>
      </c>
      <c r="B11395" s="5" t="str">
        <f>"SILLA INTERLOCUTORA (FIJA) SIN BRAZOS"</f>
        <v>SILLA INTERLOCUTORA (FIJA) SIN BRAZOS</v>
      </c>
      <c r="C11395" s="6">
        <v>11220</v>
      </c>
      <c r="D11395" s="5"/>
      <c r="E11395" s="5" t="str">
        <f t="shared" si="592"/>
        <v>NUTRICION-ESPERANZA MONCADA PARADA</v>
      </c>
      <c r="F11395" s="5" t="str">
        <f>"Descripcion: SILLA TAPIZADA Estado: Bueno Placa anterior: 000015373 Material: METALICO Y CUERINA Color: GRIS Y MARRON Referencia:  Observacion:  Placa padre: Tipo adquisicion: Entidad"</f>
        <v>Descripcion: SILLA TAPIZADA Estado: Bueno Placa anterior: 000015373 Material: METALICO Y CUERINA Color: GRIS Y MARRON Referencia:  Observacion:  Placa padre: Tipo adquisicion: Entidad</v>
      </c>
      <c r="G11395" s="5"/>
    </row>
    <row r="11396" spans="1:7" ht="58.5" customHeight="1" x14ac:dyDescent="0.25">
      <c r="A11396" s="5" t="str">
        <f>"H0012064"</f>
        <v>H0012064</v>
      </c>
      <c r="B11396" s="5" t="str">
        <f>"ESCRITORIOS LINEAL SUPERFICIE ENCHAPADA"</f>
        <v>ESCRITORIOS LINEAL SUPERFICIE ENCHAPADA</v>
      </c>
      <c r="C11396" s="6">
        <v>790000</v>
      </c>
      <c r="D11396" s="5"/>
      <c r="E11396" s="5" t="str">
        <f t="shared" si="592"/>
        <v>NUTRICION-ESPERANZA MONCADA PARADA</v>
      </c>
      <c r="F11396" s="5" t="str">
        <f>"Descripcion: ESCRITORIO LINEA 2000 EN MADERA DE 1.70X66 COLOR NATURAL. CON UN TAPIZADO EN CUERO DE LA TERCERA PARTE DE LA SUPERFICIE  Estado: Bueno Placa anterior: 000032774 Material: MADERA Color: MARRON Y NEGRO Referencia:  Observacion:  Placa padre: Ti"&amp; "po adquisicion: Entidad"</f>
        <v>Descripcion: ESCRITORIO LINEA 2000 EN MADERA DE 1.70X66 COLOR NATURAL. CON UN TAPIZADO EN CUERO DE LA TERCERA PARTE DE LA SUPERFICIE  Estado: Bueno Placa anterior: 000032774 Material: MADERA Color: MARRON Y NEGRO Referencia:  Observacion:  Placa padre: Tipo adquisicion: Entidad</v>
      </c>
      <c r="G11396" s="5"/>
    </row>
    <row r="11397" spans="1:7" ht="58.5" customHeight="1" x14ac:dyDescent="0.25">
      <c r="A11397" s="5" t="str">
        <f>"H0012090"</f>
        <v>H0012090</v>
      </c>
      <c r="B11397" s="5" t="str">
        <f>"ARCHIVADOR DE MADERA 4 GAVETAS"</f>
        <v>ARCHIVADOR DE MADERA 4 GAVETAS</v>
      </c>
      <c r="C11397" s="6">
        <v>490000</v>
      </c>
      <c r="D11397" s="5"/>
      <c r="E11397" s="5" t="str">
        <f t="shared" si="592"/>
        <v>NUTRICION-ESPERANZA MONCADA PARADA</v>
      </c>
      <c r="F11397" s="5" t="str">
        <f>"Descripcion: ARCHIVADOR EN MADERA DE 4 GAVETAS DE 1.37X52X56 COLOR NATURAL Estado: Bueno Placa anterior: 000032777 Material: MADERA Color: MIEL Referencia:  Observacion:  Placa padre: Tipo adquisicion: Entidad"</f>
        <v>Descripcion: ARCHIVADOR EN MADERA DE 4 GAVETAS DE 1.37X52X56 COLOR NATURAL Estado: Bueno Placa anterior: 000032777 Material: MADERA Color: MIEL Referencia:  Observacion:  Placa padre: Tipo adquisicion: Entidad</v>
      </c>
      <c r="G11397" s="5"/>
    </row>
    <row r="11398" spans="1:7" ht="58.5" customHeight="1" x14ac:dyDescent="0.25">
      <c r="A11398" s="5" t="str">
        <f>"H0012092"</f>
        <v>H0012092</v>
      </c>
      <c r="B11398" s="5" t="str">
        <f>"ARCHIVADOR DE MADERA 3 GAVETAS"</f>
        <v>ARCHIVADOR DE MADERA 3 GAVETAS</v>
      </c>
      <c r="C11398" s="6">
        <v>440000</v>
      </c>
      <c r="D11398" s="5"/>
      <c r="E11398" s="5" t="str">
        <f t="shared" si="592"/>
        <v>NUTRICION-ESPERANZA MONCADA PARADA</v>
      </c>
      <c r="F11398" s="5" t="str">
        <f>"Descripcion: ARCHIVADOR DE DOS GAVETAS Estado: Bueno Placa anterior: 000032778 Material: MADERA Color: MIEL Referencia:  Observacion:  Placa padre: Tipo adquisicion: Entidad"</f>
        <v>Descripcion: ARCHIVADOR DE DOS GAVETAS Estado: Bueno Placa anterior: 000032778 Material: MADERA Color: MIEL Referencia:  Observacion:  Placa padre: Tipo adquisicion: Entidad</v>
      </c>
      <c r="G11398" s="5"/>
    </row>
    <row r="11399" spans="1:7" ht="58.5" customHeight="1" x14ac:dyDescent="0.25">
      <c r="A11399" s="5" t="str">
        <f>"H0012103"</f>
        <v>H0012103</v>
      </c>
      <c r="B11399" s="5" t="str">
        <f>"COMPUTADOR TODO EN UNO"</f>
        <v>COMPUTADOR TODO EN UNO</v>
      </c>
      <c r="C11399" s="6">
        <v>2470000</v>
      </c>
      <c r="D11399" s="5" t="s">
        <v>6</v>
      </c>
      <c r="E11399" s="5" t="str">
        <f t="shared" si="592"/>
        <v>NUTRICION-ESPERANZA MONCADA PARADA</v>
      </c>
      <c r="F11399" s="5" t="str">
        <f>"Descripcion: EQUIPO DE COMPUTO TODO EN UNO CON PROCESADOR INTEL i5. MONITOR DE 20  Estado: Bueno Placa anterior: 000037025 Material: PLASTICO Color: NEGRO Referencia:  Observacion:  Placa anterior:, Placa nueva=H0012104, Descripcion:TECLADO, Serial:825850"&amp; "8, Marca:LENOVO, Modelo:KU-0225, Material:PLASTICO, Color:NEGRO,   Referencia:, Placa anterior:, Placa nueva=H0012105, Descripcion:MOUSE OPTICO, Serial:44MG 137, Marca:LENOVO, Modelo:MOEUUOA, Material:PLASTICO, Color:NEGRO,   Referencia: Placa padre: Tipo"&amp; " adquisicion: Entidad"</f>
        <v>Descripcion: EQUIPO DE COMPUTO TODO EN UNO CON PROCESADOR INTEL i5. MONITOR DE 20  Estado: Bueno Placa anterior: 000037025 Material: PLASTICO Color: NEGRO Referencia:  Observacion:  Placa anterior:, Placa nueva=H0012104, Descripcion:TECLADO, Serial:8258508, Marca:LENOVO, Modelo:KU-0225, Material:PLASTICO, Color:NEGRO,   Referencia:, Placa anterior:, Placa nueva=H0012105, Descripcion:MOUSE OPTICO, Serial:44MG 137, Marca:LENOVO, Modelo:MOEUUOA, Material:PLASTICO, Color:NEGRO,   Referencia: Placa padre: Tipo adquisicion: Entidad</v>
      </c>
      <c r="G11399" s="5" t="str">
        <f>"THINKCENTRE"</f>
        <v>THINKCENTRE</v>
      </c>
    </row>
    <row r="11400" spans="1:7" ht="58.5" customHeight="1" x14ac:dyDescent="0.25">
      <c r="A11400" s="5" t="str">
        <f>"H0012106"</f>
        <v>H0012106</v>
      </c>
      <c r="B11400" s="5" t="str">
        <f>"COMPUTADOR TODO EN UNO"</f>
        <v>COMPUTADOR TODO EN UNO</v>
      </c>
      <c r="C11400" s="6">
        <v>2470000</v>
      </c>
      <c r="D11400" s="5" t="s">
        <v>6</v>
      </c>
      <c r="E11400" s="5" t="str">
        <f t="shared" si="592"/>
        <v>NUTRICION-ESPERANZA MONCADA PARADA</v>
      </c>
      <c r="F11400" s="5" t="str">
        <f>"Descripcion: EQUIPO DE COMPUTO TODO EN UNO CON PROCESADOR INTEL i5 MONITOR DE 20  Estado: Bueno Placa anterior: 000037026 Material: PLASTICO Color: NEGRO Referencia:  Observacion:  Placa anterior:, Placa nueva=H0012107, Descripcion:TECLADO, Serial:8258509"&amp; ", Marca:LENOVO, Modelo:KU  0225, Material:PLASTICO, Color:NEGRO,   Referencia:, Placa anterior:, Placa nueva=H0012108, Descripcion:MOUSE OPTICO, Serial:44MG115, Marca:LENOVO, Modelo:MOEUUOA, Material:PLASTICO, Color:NEGRO,   Referencia: Placa padre: Tipo "&amp; "adquisicion: Entidad"</f>
        <v>Descripcion: EQUIPO DE COMPUTO TODO EN UNO CON PROCESADOR INTEL i5 MONITOR DE 20  Estado: Bueno Placa anterior: 000037026 Material: PLASTICO Color: NEGRO Referencia:  Observacion:  Placa anterior:, Placa nueva=H0012107, Descripcion:TECLADO, Serial:8258509, Marca:LENOVO, Modelo:KU  0225, Material:PLASTICO, Color:NEGRO,   Referencia:, Placa anterior:, Placa nueva=H0012108, Descripcion:MOUSE OPTICO, Serial:44MG115, Marca:LENOVO, Modelo:MOEUUOA, Material:PLASTICO, Color:NEGRO,   Referencia: Placa padre: Tipo adquisicion: Entidad</v>
      </c>
      <c r="G11400" s="5" t="str">
        <f>"THINKCENTRE"</f>
        <v>THINKCENTRE</v>
      </c>
    </row>
    <row r="11401" spans="1:7" ht="58.5" customHeight="1" x14ac:dyDescent="0.25">
      <c r="A11401" s="5" t="str">
        <f>"H0012925"</f>
        <v>H0012925</v>
      </c>
      <c r="B11401" s="5" t="str">
        <f t="shared" ref="B11401:B11408" si="593">"CARRO PARA TRANSPORTE DE MENAJE"</f>
        <v>CARRO PARA TRANSPORTE DE MENAJE</v>
      </c>
      <c r="C11401" s="6">
        <v>138424</v>
      </c>
      <c r="D11401" s="5"/>
      <c r="E11401" s="5" t="str">
        <f t="shared" si="592"/>
        <v>NUTRICION-ESPERANZA MONCADA PARADA</v>
      </c>
      <c r="F11401" s="5" t="str">
        <f>"Descripcion: CARRO PARA TRANSPORTE DE LOZA CON 1 ENTREPAÑO Estado: Bueno Placa anterior: 000015382 Material: ACERO INOXIDABLE Color:  Referencia:  Observacion: FUNCIONARIO AUTORIZA SE CONCILIE CON PLACA 000015382 Placa padre: Tipo adquisicion: Entidad"</f>
        <v>Descripcion: CARRO PARA TRANSPORTE DE LOZA CON 1 ENTREPAÑO Estado: Bueno Placa anterior: 000015382 Material: ACERO INOXIDABLE Color:  Referencia:  Observacion: FUNCIONARIO AUTORIZA SE CONCILIE CON PLACA 000015382 Placa padre: Tipo adquisicion: Entidad</v>
      </c>
      <c r="G11401" s="5"/>
    </row>
    <row r="11402" spans="1:7" ht="58.5" customHeight="1" x14ac:dyDescent="0.25">
      <c r="A11402" s="5" t="str">
        <f>"H0012926"</f>
        <v>H0012926</v>
      </c>
      <c r="B11402" s="5" t="str">
        <f t="shared" si="593"/>
        <v>CARRO PARA TRANSPORTE DE MENAJE</v>
      </c>
      <c r="C11402" s="6">
        <v>126117.3</v>
      </c>
      <c r="D11402" s="5"/>
      <c r="E11402" s="5" t="str">
        <f t="shared" si="592"/>
        <v>NUTRICION-ESPERANZA MONCADA PARADA</v>
      </c>
      <c r="F11402" s="5" t="str">
        <f>"Descripcion: CARRO PARA TRANSPORTE DE LOZA CON 1 ENTREPAÑO Estado: Bueno Placa anterior: 000014186 Material: ACERO INOXIDABLE Color:  Referencia:  Observacion:  Placa padre: Tipo adquisicion: Entidad"</f>
        <v>Descripcion: CARRO PARA TRANSPORTE DE LOZA CON 1 ENTREPAÑO Estado: Bueno Placa anterior: 000014186 Material: ACERO INOXIDABLE Color:  Referencia:  Observacion:  Placa padre: Tipo adquisicion: Entidad</v>
      </c>
      <c r="G11402" s="5"/>
    </row>
    <row r="11403" spans="1:7" ht="58.5" customHeight="1" x14ac:dyDescent="0.25">
      <c r="A11403" s="5" t="str">
        <f>"H0012927"</f>
        <v>H0012927</v>
      </c>
      <c r="B11403" s="5" t="str">
        <f t="shared" si="593"/>
        <v>CARRO PARA TRANSPORTE DE MENAJE</v>
      </c>
      <c r="C11403" s="6">
        <v>126117.3</v>
      </c>
      <c r="D11403" s="5"/>
      <c r="E11403" s="5" t="str">
        <f t="shared" si="592"/>
        <v>NUTRICION-ESPERANZA MONCADA PARADA</v>
      </c>
      <c r="F11403" s="5" t="str">
        <f>"Descripcion: CARRO PARA TRANSPORTE DE LOZA CON 1 ENTREPAÑO Estado: Bueno Placa anterior: 000014182 Material: ACERO INOXIDABLE Color:  Referencia:  Observacion:  Placa padre: Tipo adquisicion: Entidad"</f>
        <v>Descripcion: CARRO PARA TRANSPORTE DE LOZA CON 1 ENTREPAÑO Estado: Bueno Placa anterior: 000014182 Material: ACERO INOXIDABLE Color:  Referencia:  Observacion:  Placa padre: Tipo adquisicion: Entidad</v>
      </c>
      <c r="G11403" s="5"/>
    </row>
    <row r="11404" spans="1:7" ht="58.5" customHeight="1" x14ac:dyDescent="0.25">
      <c r="A11404" s="5" t="str">
        <f>"H0012928"</f>
        <v>H0012928</v>
      </c>
      <c r="B11404" s="5" t="str">
        <f t="shared" si="593"/>
        <v>CARRO PARA TRANSPORTE DE MENAJE</v>
      </c>
      <c r="C11404" s="6">
        <v>138424</v>
      </c>
      <c r="D11404" s="5"/>
      <c r="E11404" s="5" t="str">
        <f t="shared" si="592"/>
        <v>NUTRICION-ESPERANZA MONCADA PARADA</v>
      </c>
      <c r="F11404" s="5" t="str">
        <f>"Descripcion: CARRO PARA TRANSPORTE DE LOZA CON 1 ENTREPAÑO Estado: Bueno Placa anterior: 000015369 Material: ACERO INOXIDABLE Color:  Referencia:  Observacion: FUNCIONARIO AUTORIZA SE CONCILIE CON PLACA 000015369 Placa padre: Tipo adquisicion: Entidad"</f>
        <v>Descripcion: CARRO PARA TRANSPORTE DE LOZA CON 1 ENTREPAÑO Estado: Bueno Placa anterior: 000015369 Material: ACERO INOXIDABLE Color:  Referencia:  Observacion: FUNCIONARIO AUTORIZA SE CONCILIE CON PLACA 000015369 Placa padre: Tipo adquisicion: Entidad</v>
      </c>
      <c r="G11404" s="5"/>
    </row>
    <row r="11405" spans="1:7" ht="58.5" customHeight="1" x14ac:dyDescent="0.25">
      <c r="A11405" s="5" t="str">
        <f>"H0012929"</f>
        <v>H0012929</v>
      </c>
      <c r="B11405" s="5" t="str">
        <f t="shared" si="593"/>
        <v>CARRO PARA TRANSPORTE DE MENAJE</v>
      </c>
      <c r="C11405" s="6">
        <v>138424</v>
      </c>
      <c r="D11405" s="5"/>
      <c r="E11405" s="5" t="str">
        <f t="shared" si="592"/>
        <v>NUTRICION-ESPERANZA MONCADA PARADA</v>
      </c>
      <c r="F11405" s="5" t="str">
        <f>"Descripcion: CARRO PARA TRANSPORTE DE LOZA CON 1 ENTREPAÑO Estado: Bueno Placa anterior: 000015428 Material: ACERO INOXIDABLE Color:  Referencia:  Observacion: FUNCIONARIO AUTORIZA SE CONCILIE CON PLACA 000015428 Placa padre: Tipo adquisicion: Entidad"</f>
        <v>Descripcion: CARRO PARA TRANSPORTE DE LOZA CON 1 ENTREPAÑO Estado: Bueno Placa anterior: 000015428 Material: ACERO INOXIDABLE Color:  Referencia:  Observacion: FUNCIONARIO AUTORIZA SE CONCILIE CON PLACA 000015428 Placa padre: Tipo adquisicion: Entidad</v>
      </c>
      <c r="G11405" s="5"/>
    </row>
    <row r="11406" spans="1:7" ht="58.5" customHeight="1" x14ac:dyDescent="0.25">
      <c r="A11406" s="5" t="str">
        <f>"H0012930"</f>
        <v>H0012930</v>
      </c>
      <c r="B11406" s="5" t="str">
        <f t="shared" si="593"/>
        <v>CARRO PARA TRANSPORTE DE MENAJE</v>
      </c>
      <c r="C11406" s="6">
        <v>126117.3</v>
      </c>
      <c r="D11406" s="5"/>
      <c r="E11406" s="5" t="str">
        <f t="shared" si="592"/>
        <v>NUTRICION-ESPERANZA MONCADA PARADA</v>
      </c>
      <c r="F11406" s="5" t="str">
        <f>"Descripcion: CARRO PARA TRANSPORTE DE LOZA CON 1 ENTREPAÑO Estado: Bueno Placa anterior: 000014184 Material: ACERO INOXIDABLE Color:  Referencia:  Observacion:  Placa padre: Tipo adquisicion: Entidad"</f>
        <v>Descripcion: CARRO PARA TRANSPORTE DE LOZA CON 1 ENTREPAÑO Estado: Bueno Placa anterior: 000014184 Material: ACERO INOXIDABLE Color:  Referencia:  Observacion:  Placa padre: Tipo adquisicion: Entidad</v>
      </c>
      <c r="G11406" s="5"/>
    </row>
    <row r="11407" spans="1:7" ht="58.5" customHeight="1" x14ac:dyDescent="0.25">
      <c r="A11407" s="5" t="str">
        <f>"H0012931"</f>
        <v>H0012931</v>
      </c>
      <c r="B11407" s="5" t="str">
        <f t="shared" si="593"/>
        <v>CARRO PARA TRANSPORTE DE MENAJE</v>
      </c>
      <c r="C11407" s="6">
        <v>138424</v>
      </c>
      <c r="D11407" s="5"/>
      <c r="E11407" s="5" t="str">
        <f t="shared" si="592"/>
        <v>NUTRICION-ESPERANZA MONCADA PARADA</v>
      </c>
      <c r="F11407" s="5" t="str">
        <f>"Descripcion: CARRO PARA TRANSPORTE DE LOZA CON 1 ENTREPAÑO Estado: Bueno Placa anterior: 000015392 Material: ACERO INOXIDABLE Color:  Referencia:  Observacion: FUNCIONARIO AUTORIZA SE CONCILIE CON PLACA 000015392 Placa padre: Tipo adquisicion: Entidad"</f>
        <v>Descripcion: CARRO PARA TRANSPORTE DE LOZA CON 1 ENTREPAÑO Estado: Bueno Placa anterior: 000015392 Material: ACERO INOXIDABLE Color:  Referencia:  Observacion: FUNCIONARIO AUTORIZA SE CONCILIE CON PLACA 000015392 Placa padre: Tipo adquisicion: Entidad</v>
      </c>
      <c r="G11407" s="5"/>
    </row>
    <row r="11408" spans="1:7" ht="58.5" customHeight="1" x14ac:dyDescent="0.25">
      <c r="A11408" s="5" t="str">
        <f>"H0012933"</f>
        <v>H0012933</v>
      </c>
      <c r="B11408" s="5" t="str">
        <f t="shared" si="593"/>
        <v>CARRO PARA TRANSPORTE DE MENAJE</v>
      </c>
      <c r="C11408" s="6">
        <v>138424</v>
      </c>
      <c r="D11408" s="5"/>
      <c r="E11408" s="5" t="str">
        <f t="shared" si="592"/>
        <v>NUTRICION-ESPERANZA MONCADA PARADA</v>
      </c>
      <c r="F11408" s="5" t="str">
        <f>"Descripcion: CARRO PARA TRANSPORTE DE LOZA CON 1 ENTREPAÑO Estado: Bueno Placa anterior: 000014174 Material: ACERO INOXIDABLE Color:  Referencia:  Observacion: FUNCIONARIO AUTORIZA SE CONCILIE CON PLACA 000014174 Placa padre: Tipo adquisicion: Entidad"</f>
        <v>Descripcion: CARRO PARA TRANSPORTE DE LOZA CON 1 ENTREPAÑO Estado: Bueno Placa anterior: 000014174 Material: ACERO INOXIDABLE Color:  Referencia:  Observacion: FUNCIONARIO AUTORIZA SE CONCILIE CON PLACA 000014174 Placa padre: Tipo adquisicion: Entidad</v>
      </c>
      <c r="G11408" s="5"/>
    </row>
    <row r="11409" spans="1:7" ht="58.5" customHeight="1" x14ac:dyDescent="0.25">
      <c r="A11409" s="5" t="str">
        <f>"H0012935"</f>
        <v>H0012935</v>
      </c>
      <c r="B11409" s="5" t="str">
        <f>"EXTINTOR POLVO QUIMICO SECO DE 30LBS ABC"</f>
        <v>EXTINTOR POLVO QUIMICO SECO DE 30LBS ABC</v>
      </c>
      <c r="C11409" s="6">
        <v>6833.34</v>
      </c>
      <c r="D11409" s="5"/>
      <c r="E11409" s="5" t="str">
        <f t="shared" si="592"/>
        <v>NUTRICION-ESPERANZA MONCADA PARADA</v>
      </c>
      <c r="F11409" s="5" t="str">
        <f>"Descripcion: EXTINTOR DE 30 LBS BIOXIDO DE CARBONO Estado: Bueno Placa anterior: 000014265 Material: METALICO Color: ROJO Referencia:  Observacion:  Placa padre: Tipo adquisicion: Entidad"</f>
        <v>Descripcion: EXTINTOR DE 30 LBS BIOXIDO DE CARBONO Estado: Bueno Placa anterior: 000014265 Material: METALICO Color: ROJO Referencia:  Observacion:  Placa padre: Tipo adquisicion: Entidad</v>
      </c>
      <c r="G11409" s="5"/>
    </row>
    <row r="11410" spans="1:7" ht="58.5" customHeight="1" x14ac:dyDescent="0.25">
      <c r="A11410" s="5" t="str">
        <f>"H0012936"</f>
        <v>H0012936</v>
      </c>
      <c r="B11410" s="5" t="str">
        <f>"CARRO PARA TRANSPORTE DE MENAJE"</f>
        <v>CARRO PARA TRANSPORTE DE MENAJE</v>
      </c>
      <c r="C11410" s="6">
        <v>138424</v>
      </c>
      <c r="D11410" s="5"/>
      <c r="E11410" s="5" t="str">
        <f t="shared" si="592"/>
        <v>NUTRICION-ESPERANZA MONCADA PARADA</v>
      </c>
      <c r="F11410" s="5" t="str">
        <f>"Descripcion: CARRO PARA TRANSPORTE DE BANDEJAS CON 5 ENTREPAÑOS Estado: Bueno Placa anterior: 000015390 Material: ACERO INOXIDABLE Color:  Referencia:  Observacion: FUNCIONARIO AUTORIZA SE CONCILIE CON PLACA 000015390 Placa padre: Tipo adquisicion: Entida"&amp; "d"</f>
        <v>Descripcion: CARRO PARA TRANSPORTE DE BANDEJAS CON 5 ENTREPAÑOS Estado: Bueno Placa anterior: 000015390 Material: ACERO INOXIDABLE Color:  Referencia:  Observacion: FUNCIONARIO AUTORIZA SE CONCILIE CON PLACA 000015390 Placa padre: Tipo adquisicion: Entidad</v>
      </c>
      <c r="G11410" s="5"/>
    </row>
    <row r="11411" spans="1:7" ht="58.5" customHeight="1" x14ac:dyDescent="0.25">
      <c r="A11411" s="5" t="str">
        <f>"H0012937"</f>
        <v>H0012937</v>
      </c>
      <c r="B11411" s="5" t="str">
        <f>"MESON EN ACERO INOXIDABLE"</f>
        <v>MESON EN ACERO INOXIDABLE</v>
      </c>
      <c r="C11411" s="6">
        <v>81414.59</v>
      </c>
      <c r="D11411" s="5"/>
      <c r="E11411" s="5" t="str">
        <f t="shared" si="592"/>
        <v>NUTRICION-ESPERANZA MONCADA PARADA</v>
      </c>
      <c r="F11411" s="5" t="str">
        <f>"Descripcion: MESON EN ACERO INOXIDABLE CON 1 ENTREPAÑO MEDIDAS:90X203X77 CMS. Estado: Bueno Placa anterior: 000014263 Material: ACERO INOXIDABLE Color:  Referencia:  Observacion: FUNCIONARIO AUTORIZA SE CONCILIE CON PLACA 000014263 Placa padre: Tipo adqui"&amp; "sicion: Entidad"</f>
        <v>Descripcion: MESON EN ACERO INOXIDABLE CON 1 ENTREPAÑO MEDIDAS:90X203X77 CMS. Estado: Bueno Placa anterior: 000014263 Material: ACERO INOXIDABLE Color:  Referencia:  Observacion: FUNCIONARIO AUTORIZA SE CONCILIE CON PLACA 000014263 Placa padre: Tipo adquisicion: Entidad</v>
      </c>
      <c r="G11411" s="5"/>
    </row>
    <row r="11412" spans="1:7" ht="58.5" customHeight="1" x14ac:dyDescent="0.25">
      <c r="A11412" s="5" t="str">
        <f>"H0012938"</f>
        <v>H0012938</v>
      </c>
      <c r="B11412" s="5" t="str">
        <f>"MESON EN ACERO INOXIDABLE"</f>
        <v>MESON EN ACERO INOXIDABLE</v>
      </c>
      <c r="C11412" s="6">
        <v>35240.589999999997</v>
      </c>
      <c r="D11412" s="5"/>
      <c r="E11412" s="5" t="str">
        <f t="shared" si="592"/>
        <v>NUTRICION-ESPERANZA MONCADA PARADA</v>
      </c>
      <c r="F11412" s="5" t="str">
        <f>"Descripcion: MESON EN ACERO INOX. RECTANGULAR CON TOPE LISO MEDIDAS: 92X280X70 CMS Estado: Bueno Placa anterior: 000014246 Material: ACERO INOXIDABLE Color:  Referencia:  Observacion:  Placa padre: Tipo adquisicion: Entidad"</f>
        <v>Descripcion: MESON EN ACERO INOX. RECTANGULAR CON TOPE LISO MEDIDAS: 92X280X70 CMS Estado: Bueno Placa anterior: 000014246 Material: ACERO INOXIDABLE Color:  Referencia:  Observacion:  Placa padre: Tipo adquisicion: Entidad</v>
      </c>
      <c r="G11412" s="5"/>
    </row>
    <row r="11413" spans="1:7" ht="58.5" customHeight="1" x14ac:dyDescent="0.25">
      <c r="A11413" s="5" t="str">
        <f>"H0012941"</f>
        <v>H0012941</v>
      </c>
      <c r="B11413" s="5" t="str">
        <f>"NEVERA DE 66 LTS"</f>
        <v>NEVERA DE 66 LTS</v>
      </c>
      <c r="C11413" s="6">
        <v>765900</v>
      </c>
      <c r="D11413" s="5" t="s">
        <v>553</v>
      </c>
      <c r="E11413" s="5" t="str">
        <f t="shared" si="592"/>
        <v>NUTRICION-ESPERANZA MONCADA PARADA</v>
      </c>
      <c r="F11413" s="5" t="str">
        <f>"Descripcion: NEVERA CHALLENGER GRIS NO FROST 222LTS Estado: Bueno Placa anterior: 000036563 Material: METALICO Color: GRIS Referencia:  Observacion:  Placa padre: Tipo adquisicion: Entidad"</f>
        <v>Descripcion: NEVERA CHALLENGER GRIS NO FROST 222LTS Estado: Bueno Placa anterior: 000036563 Material: METALICO Color: GRIS Referencia:  Observacion:  Placa padre: Tipo adquisicion: Entidad</v>
      </c>
      <c r="G11413" s="5" t="str">
        <f>"CR-249"</f>
        <v>CR-249</v>
      </c>
    </row>
    <row r="11414" spans="1:7" ht="58.5" customHeight="1" x14ac:dyDescent="0.25">
      <c r="A11414" s="5" t="str">
        <f>"H0012942"</f>
        <v>H0012942</v>
      </c>
      <c r="B11414" s="5" t="str">
        <f>"CARRO PARA TRANSPORTE DE MENAJE"</f>
        <v>CARRO PARA TRANSPORTE DE MENAJE</v>
      </c>
      <c r="C11414" s="6">
        <v>138424</v>
      </c>
      <c r="D11414" s="5"/>
      <c r="E11414" s="5" t="str">
        <f t="shared" si="592"/>
        <v>NUTRICION-ESPERANZA MONCADA PARADA</v>
      </c>
      <c r="F11414" s="5" t="str">
        <f>"Descripcion: CARRO PARA TRANSPORTE DE LOZA CON 2 ENTREPAÑO Estado: Bueno Placa anterior: 000015420 Material: ACERO INOXIDABLE Color:  Referencia:  Observacion: FUNCIONARIO AUTORIZA SE CONCILIE CON PLACA  000015420 Placa padre: Tipo adquisicion: Entidad"</f>
        <v>Descripcion: CARRO PARA TRANSPORTE DE LOZA CON 2 ENTREPAÑO Estado: Bueno Placa anterior: 000015420 Material: ACERO INOXIDABLE Color:  Referencia:  Observacion: FUNCIONARIO AUTORIZA SE CONCILIE CON PLACA  000015420 Placa padre: Tipo adquisicion: Entidad</v>
      </c>
      <c r="G11414" s="5"/>
    </row>
    <row r="11415" spans="1:7" ht="58.5" customHeight="1" x14ac:dyDescent="0.25">
      <c r="A11415" s="5" t="str">
        <f>"H0012943"</f>
        <v>H0012943</v>
      </c>
      <c r="B11415" s="5" t="str">
        <f>"LAVAPLATOS EN ACERO INOXIDABLE 2 PUESTOS"</f>
        <v>LAVAPLATOS EN ACERO INOXIDABLE 2 PUESTOS</v>
      </c>
      <c r="C11415" s="6">
        <v>81414.84</v>
      </c>
      <c r="D11415" s="5"/>
      <c r="E11415" s="5" t="str">
        <f t="shared" si="592"/>
        <v>NUTRICION-ESPERANZA MONCADA PARADA</v>
      </c>
      <c r="F11415" s="5" t="str">
        <f>"Descripcion: MESON EN ACERO INOX. CON VERTEDERO DOBLE MEDIDAS:85X340X68 CMS Estado: Bueno Placa anterior: 000014247 Material: ACERO INOXIDABLE Color:  Referencia:  Observacion:  Placa padre: Tipo adquisicion: Entidad"</f>
        <v>Descripcion: MESON EN ACERO INOX. CON VERTEDERO DOBLE MEDIDAS:85X340X68 CMS Estado: Bueno Placa anterior: 000014247 Material: ACERO INOXIDABLE Color:  Referencia:  Observacion:  Placa padre: Tipo adquisicion: Entidad</v>
      </c>
      <c r="G11415" s="5"/>
    </row>
    <row r="11416" spans="1:7" ht="58.5" customHeight="1" x14ac:dyDescent="0.25">
      <c r="A11416" s="5" t="str">
        <f>"H0012944"</f>
        <v>H0012944</v>
      </c>
      <c r="B11416" s="5" t="str">
        <f>"MESON EN ACERO INOXIDABLE"</f>
        <v>MESON EN ACERO INOXIDABLE</v>
      </c>
      <c r="C11416" s="6">
        <v>81414.84</v>
      </c>
      <c r="D11416" s="5"/>
      <c r="E11416" s="5" t="str">
        <f t="shared" si="592"/>
        <v>NUTRICION-ESPERANZA MONCADA PARADA</v>
      </c>
      <c r="F11416" s="5" t="str">
        <f>"Descripcion: MESON EN ACERO INOXIDABLE CON 1 ENTREPAÑO MEDIDAS: 85X200X69CM Estado: Bueno Placa anterior: 000014284 Material: ACERO INOXIDABLE Color:  Referencia:  Observacion:  Placa padre: Tipo adquisicion: Entidad"</f>
        <v>Descripcion: MESON EN ACERO INOXIDABLE CON 1 ENTREPAÑO MEDIDAS: 85X200X69CM Estado: Bueno Placa anterior: 000014284 Material: ACERO INOXIDABLE Color:  Referencia:  Observacion:  Placa padre: Tipo adquisicion: Entidad</v>
      </c>
      <c r="G11416" s="5"/>
    </row>
    <row r="11417" spans="1:7" ht="58.5" customHeight="1" x14ac:dyDescent="0.25">
      <c r="A11417" s="5" t="str">
        <f>"H0012946"</f>
        <v>H0012946</v>
      </c>
      <c r="B11417" s="5" t="str">
        <f>"LAVAPLATOS EN ACERO INOXIDABLE 2 PUESTOS"</f>
        <v>LAVAPLATOS EN ACERO INOXIDABLE 2 PUESTOS</v>
      </c>
      <c r="C11417" s="6">
        <v>81414.84</v>
      </c>
      <c r="D11417" s="5"/>
      <c r="E11417" s="5" t="str">
        <f t="shared" si="592"/>
        <v>NUTRICION-ESPERANZA MONCADA PARADA</v>
      </c>
      <c r="F11417" s="5" t="str">
        <f>"Descripcion: MESON EN ACERO INOX. CON VERTEDERO DOBLE MEDIDAS:80X214X70 CMS Estado: Bueno Placa anterior: 000014283 Material: ACERO INOXIDABLE Color:  Referencia:  Observacion: FUNCIONARIO AUTORIZA SE CONCILIE CON PLACA 000014283 Placa padre: Tipo adquisi"&amp; "cion: Entidad"</f>
        <v>Descripcion: MESON EN ACERO INOX. CON VERTEDERO DOBLE MEDIDAS:80X214X70 CMS Estado: Bueno Placa anterior: 000014283 Material: ACERO INOXIDABLE Color:  Referencia:  Observacion: FUNCIONARIO AUTORIZA SE CONCILIE CON PLACA 000014283 Placa padre: Tipo adquisicion: Entidad</v>
      </c>
      <c r="G11417" s="5"/>
    </row>
    <row r="11418" spans="1:7" ht="58.5" customHeight="1" x14ac:dyDescent="0.25">
      <c r="A11418" s="5" t="str">
        <f>"H0012947"</f>
        <v>H0012947</v>
      </c>
      <c r="B11418" s="5" t="str">
        <f>"LAVAPLATOS EN ACERO INOXIDABLE 2 PUESTOS"</f>
        <v>LAVAPLATOS EN ACERO INOXIDABLE 2 PUESTOS</v>
      </c>
      <c r="C11418" s="6">
        <v>81414.84</v>
      </c>
      <c r="D11418" s="5"/>
      <c r="E11418" s="5" t="str">
        <f t="shared" si="592"/>
        <v>NUTRICION-ESPERANZA MONCADA PARADA</v>
      </c>
      <c r="F11418" s="5" t="str">
        <f>"Descripcion: MESON EN ACERO INOX. CON 2 VERTEDEROS MEDIDAS: 85X292X70 CMS Estado: Bueno Placa anterior: 000014245 Material: ACERO INOXIDABLE Color:  Referencia:  Observacion:  Placa padre: Tipo adquisicion: Entidad"</f>
        <v>Descripcion: MESON EN ACERO INOX. CON 2 VERTEDEROS MEDIDAS: 85X292X70 CMS Estado: Bueno Placa anterior: 000014245 Material: ACERO INOXIDABLE Color:  Referencia:  Observacion:  Placa padre: Tipo adquisicion: Entidad</v>
      </c>
      <c r="G11418" s="5"/>
    </row>
    <row r="11419" spans="1:7" ht="58.5" customHeight="1" x14ac:dyDescent="0.25">
      <c r="A11419" s="5" t="str">
        <f>"H0012948"</f>
        <v>H0012948</v>
      </c>
      <c r="B11419" s="5" t="str">
        <f>"MESON EN ACERO INOXIDABLE"</f>
        <v>MESON EN ACERO INOXIDABLE</v>
      </c>
      <c r="C11419" s="6">
        <v>35240.589999999997</v>
      </c>
      <c r="D11419" s="5"/>
      <c r="E11419" s="5" t="str">
        <f t="shared" si="592"/>
        <v>NUTRICION-ESPERANZA MONCADA PARADA</v>
      </c>
      <c r="F11419" s="5" t="str">
        <f>"Descripcion: MESON EN ACERO INOXIDABLE CON 1 ENTREPAÑO MEDIDAS: 84X200X65 CMS Estado: Bueno Placa anterior: 000015355 Material: ACERO INOXIDABLE Color:  Referencia:  Observacion: FUNCIONARIO AUTORIZA SE CONCILIE CON PLACA 000015355 Placa padre: Tipo adqui"&amp; "sicion: Entidad"</f>
        <v>Descripcion: MESON EN ACERO INOXIDABLE CON 1 ENTREPAÑO MEDIDAS: 84X200X65 CMS Estado: Bueno Placa anterior: 000015355 Material: ACERO INOXIDABLE Color:  Referencia:  Observacion: FUNCIONARIO AUTORIZA SE CONCILIE CON PLACA 000015355 Placa padre: Tipo adquisicion: Entidad</v>
      </c>
      <c r="G11419" s="5"/>
    </row>
    <row r="11420" spans="1:7" ht="58.5" customHeight="1" x14ac:dyDescent="0.25">
      <c r="A11420" s="5" t="str">
        <f>"H0012949"</f>
        <v>H0012949</v>
      </c>
      <c r="B11420" s="5" t="str">
        <f>"MESON EN ACERO INOXIDABLE"</f>
        <v>MESON EN ACERO INOXIDABLE</v>
      </c>
      <c r="C11420" s="6">
        <v>81414.84</v>
      </c>
      <c r="D11420" s="5"/>
      <c r="E11420" s="5" t="str">
        <f t="shared" si="592"/>
        <v>NUTRICION-ESPERANZA MONCADA PARADA</v>
      </c>
      <c r="F11420" s="5" t="str">
        <f>"Descripcion: MESA METALICA EN ACERO INOXIDABLE MEDIDAS: 58X70X40 CMS Estado: Bueno Placa anterior: 000014226 Material: ACERO INOXIDABLE Color:  Referencia:  Observacion: FUNCIONARIO AUTORIZA SE CONCILIE CON PLACA 000014226 Placa padre: Tipo adquisicion: E"&amp; "ntidad"</f>
        <v>Descripcion: MESA METALICA EN ACERO INOXIDABLE MEDIDAS: 58X70X40 CMS Estado: Bueno Placa anterior: 000014226 Material: ACERO INOXIDABLE Color:  Referencia:  Observacion: FUNCIONARIO AUTORIZA SE CONCILIE CON PLACA 000014226 Placa padre: Tipo adquisicion: Entidad</v>
      </c>
      <c r="G11420" s="5"/>
    </row>
    <row r="11421" spans="1:7" ht="58.5" customHeight="1" x14ac:dyDescent="0.25">
      <c r="A11421" s="5" t="str">
        <f>"H0012951"</f>
        <v>H0012951</v>
      </c>
      <c r="B11421" s="5" t="str">
        <f>"LAVAPLATOS EN ACERO INOXIDABLE 2 PUESTOS"</f>
        <v>LAVAPLATOS EN ACERO INOXIDABLE 2 PUESTOS</v>
      </c>
      <c r="C11421" s="6">
        <v>81414.84</v>
      </c>
      <c r="D11421" s="5"/>
      <c r="E11421" s="5" t="str">
        <f t="shared" si="592"/>
        <v>NUTRICION-ESPERANZA MONCADA PARADA</v>
      </c>
      <c r="F11421" s="5" t="str">
        <f>"Descripcion: MESON EN ACERO INOX.CON VERTEDERO DOBLE MEDIDAS: 85X361X70CM Estado: Bueno Placa anterior: 000014235 Material: ACERO INOXIDABLE Color:  Referencia:  Observacion:  Placa padre: Tipo adquisicion: Entidad"</f>
        <v>Descripcion: MESON EN ACERO INOX.CON VERTEDERO DOBLE MEDIDAS: 85X361X70CM Estado: Bueno Placa anterior: 000014235 Material: ACERO INOXIDABLE Color:  Referencia:  Observacion:  Placa padre: Tipo adquisicion: Entidad</v>
      </c>
      <c r="G11421" s="5"/>
    </row>
    <row r="11422" spans="1:7" ht="58.5" customHeight="1" x14ac:dyDescent="0.25">
      <c r="A11422" s="5" t="str">
        <f>"H0012953"</f>
        <v>H0012953</v>
      </c>
      <c r="B11422" s="5" t="str">
        <f>"LAVAPLATOS EN ACERO INOXIDABLE 1 PUESTO"</f>
        <v>LAVAPLATOS EN ACERO INOXIDABLE 1 PUESTO</v>
      </c>
      <c r="C11422" s="6">
        <v>81414.84</v>
      </c>
      <c r="D11422" s="5"/>
      <c r="E11422" s="5" t="str">
        <f t="shared" si="592"/>
        <v>NUTRICION-ESPERANZA MONCADA PARADA</v>
      </c>
      <c r="F11422" s="5" t="str">
        <f>"Descripcion: MESON EN ACERO INOX. CON 1 VERTEDERO MEDIDAS: 84X298X68 CMS Estado: Bueno Placa anterior: 000014233 Material: ACERO INOXIDABLE Color:  Referencia:  Observacion:  Placa padre: Tipo adquisicion: Entidad"</f>
        <v>Descripcion: MESON EN ACERO INOX. CON 1 VERTEDERO MEDIDAS: 84X298X68 CMS Estado: Bueno Placa anterior: 000014233 Material: ACERO INOXIDABLE Color:  Referencia:  Observacion:  Placa padre: Tipo adquisicion: Entidad</v>
      </c>
      <c r="G11422" s="5"/>
    </row>
    <row r="11423" spans="1:7" ht="58.5" customHeight="1" x14ac:dyDescent="0.25">
      <c r="A11423" s="5" t="str">
        <f>"H0012954"</f>
        <v>H0012954</v>
      </c>
      <c r="B11423" s="5" t="str">
        <f>"MESON EN ACERO INOXIDABLE"</f>
        <v>MESON EN ACERO INOXIDABLE</v>
      </c>
      <c r="C11423" s="6">
        <v>35240.589999999997</v>
      </c>
      <c r="D11423" s="5"/>
      <c r="E11423" s="5" t="str">
        <f t="shared" si="592"/>
        <v>NUTRICION-ESPERANZA MONCADA PARADA</v>
      </c>
      <c r="F11423" s="5" t="str">
        <f>"Descripcion: MESON EN ACERO INOXIDABLE CON 1 ENTREPAÑO MEDIDAS: 84X228X64CM Estado: Bueno Placa anterior: 000014251 Material: ACERO INOXIDABLE Color:  Referencia:  Observacion:  Placa padre: Tipo adquisicion: Entidad"</f>
        <v>Descripcion: MESON EN ACERO INOXIDABLE CON 1 ENTREPAÑO MEDIDAS: 84X228X64CM Estado: Bueno Placa anterior: 000014251 Material: ACERO INOXIDABLE Color:  Referencia:  Observacion:  Placa padre: Tipo adquisicion: Entidad</v>
      </c>
      <c r="G11423" s="5"/>
    </row>
    <row r="11424" spans="1:7" ht="58.5" customHeight="1" x14ac:dyDescent="0.25">
      <c r="A11424" s="5" t="str">
        <f>"H0012955"</f>
        <v>H0012955</v>
      </c>
      <c r="B11424" s="5" t="str">
        <f>"CARRO PARA TRANSPORTE DE MENAJE"</f>
        <v>CARRO PARA TRANSPORTE DE MENAJE</v>
      </c>
      <c r="C11424" s="6">
        <v>138424</v>
      </c>
      <c r="D11424" s="5"/>
      <c r="E11424" s="5" t="str">
        <f t="shared" si="592"/>
        <v>NUTRICION-ESPERANZA MONCADA PARADA</v>
      </c>
      <c r="F11424" s="5" t="str">
        <f>"Descripcion: CARRO PARA TRANSPORTE DE BANDEJAS CON 5 ENTREPAÑOS Estado: Bueno Placa anterior: 000014282 Material: ACERO INOXIDABLE Color:  Referencia:  Observacion: FUNCIONARIO AUTORIZA SE CONCILIE CON PLACA 000014282 Placa padre: Tipo adquisicion: Entida"&amp; "d"</f>
        <v>Descripcion: CARRO PARA TRANSPORTE DE BANDEJAS CON 5 ENTREPAÑOS Estado: Bueno Placa anterior: 000014282 Material: ACERO INOXIDABLE Color:  Referencia:  Observacion: FUNCIONARIO AUTORIZA SE CONCILIE CON PLACA 000014282 Placa padre: Tipo adquisicion: Entidad</v>
      </c>
      <c r="G11424" s="5"/>
    </row>
    <row r="11425" spans="1:7" ht="58.5" customHeight="1" x14ac:dyDescent="0.25">
      <c r="A11425" s="5" t="str">
        <f>"H0012957"</f>
        <v>H0012957</v>
      </c>
      <c r="B11425" s="5" t="str">
        <f>"EXTINTOR POLVO QUIMICO SECO DE 10LBS ABC"</f>
        <v>EXTINTOR POLVO QUIMICO SECO DE 10LBS ABC</v>
      </c>
      <c r="C11425" s="6">
        <v>6633.34</v>
      </c>
      <c r="D11425" s="5"/>
      <c r="E11425" s="5" t="str">
        <f t="shared" si="592"/>
        <v>NUTRICION-ESPERANZA MONCADA PARADA</v>
      </c>
      <c r="F11425" s="5" t="str">
        <f>"Descripcion: EXTINTOR DE 10LBS AMARILLO Estado: Bueno Placa anterior: 000015452 Material: METALICO Color: AMARILLO Referencia:  Observacion:  Placa padre: Tipo adquisicion: Entidad"</f>
        <v>Descripcion: EXTINTOR DE 10LBS AMARILLO Estado: Bueno Placa anterior: 000015452 Material: METALICO Color: AMARILLO Referencia:  Observacion:  Placa padre: Tipo adquisicion: Entidad</v>
      </c>
      <c r="G11425" s="5"/>
    </row>
    <row r="11426" spans="1:7" ht="58.5" customHeight="1" x14ac:dyDescent="0.25">
      <c r="A11426" s="5" t="str">
        <f>"H0012958"</f>
        <v>H0012958</v>
      </c>
      <c r="B11426" s="5" t="str">
        <f>"MESON EN ACERO INOXIDABLE"</f>
        <v>MESON EN ACERO INOXIDABLE</v>
      </c>
      <c r="C11426" s="6">
        <v>81414.84</v>
      </c>
      <c r="D11426" s="5"/>
      <c r="E11426" s="5" t="str">
        <f t="shared" si="592"/>
        <v>NUTRICION-ESPERANZA MONCADA PARADA</v>
      </c>
      <c r="F11426" s="5" t="str">
        <f>"Descripcion: MESON EN ACERO INOXIDABLE CON 1 ENTREPAÑO MEDIDAS: 84X140X70CM Estado: Bueno Placa anterior: 000014286 Material: ACERO INOXIDABLE Color:  Referencia:  Observacion: FUNCIONARIO AUTORIZA SE CONCILIE CON PLACA 000014286 Placa padre: Tipo adquisi"&amp; "cion: Entidad"</f>
        <v>Descripcion: MESON EN ACERO INOXIDABLE CON 1 ENTREPAÑO MEDIDAS: 84X140X70CM Estado: Bueno Placa anterior: 000014286 Material: ACERO INOXIDABLE Color:  Referencia:  Observacion: FUNCIONARIO AUTORIZA SE CONCILIE CON PLACA 000014286 Placa padre: Tipo adquisicion: Entidad</v>
      </c>
      <c r="G11426" s="5"/>
    </row>
    <row r="11427" spans="1:7" ht="58.5" customHeight="1" x14ac:dyDescent="0.25">
      <c r="A11427" s="5" t="str">
        <f>"H0012959"</f>
        <v>H0012959</v>
      </c>
      <c r="B11427" s="5" t="str">
        <f>"PELAPAPA ELECTRICO"</f>
        <v>PELAPAPA ELECTRICO</v>
      </c>
      <c r="C11427" s="6">
        <v>4930000</v>
      </c>
      <c r="D11427" s="5" t="s">
        <v>667</v>
      </c>
      <c r="E11427" s="5" t="str">
        <f t="shared" si="592"/>
        <v>NUTRICION-ESPERANZA MONCADA PARADA</v>
      </c>
      <c r="F11427" s="5" t="str">
        <f>"Descripcion: PELAPAPA ELECTRICO INDUSTRIAL Estado: Bueno Placa anterior: 000036512 Material: ACERO Color:  Referencia:  Observacion:  Placa padre: Tipo adquisicion: Entidad"</f>
        <v>Descripcion: PELAPAPA ELECTRICO INDUSTRIAL Estado: Bueno Placa anterior: 000036512 Material: ACERO Color:  Referencia:  Observacion:  Placa padre: Tipo adquisicion: Entidad</v>
      </c>
      <c r="G11427" s="5" t="str">
        <f>"SL"</f>
        <v>SL</v>
      </c>
    </row>
    <row r="11428" spans="1:7" ht="58.5" customHeight="1" x14ac:dyDescent="0.25">
      <c r="A11428" s="5" t="str">
        <f>"H0012960"</f>
        <v>H0012960</v>
      </c>
      <c r="B11428" s="5" t="str">
        <f>"EXPRIMIDOR DE FRUTAS"</f>
        <v>EXPRIMIDOR DE FRUTAS</v>
      </c>
      <c r="C11428" s="6">
        <v>1069557</v>
      </c>
      <c r="D11428" s="5" t="s">
        <v>667</v>
      </c>
      <c r="E11428" s="5" t="str">
        <f t="shared" si="592"/>
        <v>NUTRICION-ESPERANZA MONCADA PARADA</v>
      </c>
      <c r="F11428" s="5" t="str">
        <f>"Descripcion: EXPRIMIDOR DE NARANJAS Estado: Bueno Placa anterior: 000036513 Material: METALICO Color: AZUL CON GRIS Referencia:  Observacion: EL BIEN TIENE PLACA ANTERIOR 000036574 Y YA CORRESPONDE A LA PLACA NUEVA H0013253  FUNCIONARIO AUTORIZA SE CONCIL"&amp; "IE CON PLACA 000036513 Placa padre: Tipo adquisicion: Entidad"</f>
        <v>Descripcion: EXPRIMIDOR DE NARANJAS Estado: Bueno Placa anterior: 000036513 Material: METALICO Color: AZUL CON GRIS Referencia:  Observacion: EL BIEN TIENE PLACA ANTERIOR 000036574 Y YA CORRESPONDE A LA PLACA NUEVA H0013253  FUNCIONARIO AUTORIZA SE CONCILIE CON PLACA 000036513 Placa padre: Tipo adquisicion: Entidad</v>
      </c>
      <c r="G11428" s="5"/>
    </row>
    <row r="11429" spans="1:7" ht="58.5" customHeight="1" x14ac:dyDescent="0.25">
      <c r="A11429" s="5" t="str">
        <f>"H0012962"</f>
        <v>H0012962</v>
      </c>
      <c r="B11429" s="5" t="str">
        <f>"LICUADORA INDUSTRIAL"</f>
        <v>LICUADORA INDUSTRIAL</v>
      </c>
      <c r="C11429" s="6">
        <v>2400000</v>
      </c>
      <c r="D11429" s="5"/>
      <c r="E11429" s="5" t="str">
        <f t="shared" si="592"/>
        <v>NUTRICION-ESPERANZA MONCADA PARADA</v>
      </c>
      <c r="F11429" s="5" t="str">
        <f>"Descripcion: LICUADORA INDUSTRIAL Estado: Bueno Placa anterior: 000026488 Material: ACERO INOXIDABLE Color:  Referencia:  Observacion:  Placa padre: Tipo adquisicion: Entidad"</f>
        <v>Descripcion: LICUADORA INDUSTRIAL Estado: Bueno Placa anterior: 000026488 Material: ACERO INOXIDABLE Color:  Referencia:  Observacion:  Placa padre: Tipo adquisicion: Entidad</v>
      </c>
      <c r="G11429" s="5"/>
    </row>
    <row r="11430" spans="1:7" ht="58.5" customHeight="1" x14ac:dyDescent="0.25">
      <c r="A11430" s="5" t="str">
        <f>"H0012965"</f>
        <v>H0012965</v>
      </c>
      <c r="B11430" s="5" t="str">
        <f>"PURIFICADOR AGUA OZONO"</f>
        <v>PURIFICADOR AGUA OZONO</v>
      </c>
      <c r="C11430" s="6">
        <v>795000</v>
      </c>
      <c r="D11430" s="5" t="s">
        <v>668</v>
      </c>
      <c r="E11430" s="5" t="str">
        <f t="shared" si="592"/>
        <v>NUTRICION-ESPERANZA MONCADA PARADA</v>
      </c>
      <c r="F11430" s="5" t="str">
        <f>"Descripcion: PLANTA PURIFICADORA DE OZONO TIPO INDUSTRIAL DE 350 LTS/HR Estado: Bueno Placa anterior: 000036688 Material: METALICO Color: BLANCO Referencia:  Observacion:  Placa padre: Tipo adquisicion: Entidad"</f>
        <v>Descripcion: PLANTA PURIFICADORA DE OZONO TIPO INDUSTRIAL DE 350 LTS/HR Estado: Bueno Placa anterior: 000036688 Material: METALICO Color: BLANCO Referencia:  Observacion:  Placa padre: Tipo adquisicion: Entidad</v>
      </c>
      <c r="G11430" s="5"/>
    </row>
    <row r="11431" spans="1:7" ht="58.5" customHeight="1" x14ac:dyDescent="0.25">
      <c r="A11431" s="5" t="str">
        <f>"H0012969"</f>
        <v>H0012969</v>
      </c>
      <c r="B11431" s="5" t="str">
        <f>"CARRO PARA TRANSPORTE DE MENAJE"</f>
        <v>CARRO PARA TRANSPORTE DE MENAJE</v>
      </c>
      <c r="C11431" s="6">
        <v>50000</v>
      </c>
      <c r="D11431" s="5"/>
      <c r="E11431" s="5" t="str">
        <f t="shared" ref="E11431:E11494" si="594">"NUTRICION-ESPERANZA MONCADA PARADA"</f>
        <v>NUTRICION-ESPERANZA MONCADA PARADA</v>
      </c>
      <c r="F11431" s="5" t="str">
        <f>"Descripcion: CARRO METALICO RODABLE PARA TRABAJO CON 1 ENTREPAÑO Estado: Bueno Placa anterior: 000022134 Material: ACERO INOXIDABLE Color:  Referencia:  Observacion:  Placa padre: Tipo adquisicion: Entidad"</f>
        <v>Descripcion: CARRO METALICO RODABLE PARA TRABAJO CON 1 ENTREPAÑO Estado: Bueno Placa anterior: 000022134 Material: ACERO INOXIDABLE Color:  Referencia:  Observacion:  Placa padre: Tipo adquisicion: Entidad</v>
      </c>
      <c r="G11431" s="5"/>
    </row>
    <row r="11432" spans="1:7" ht="58.5" customHeight="1" x14ac:dyDescent="0.25">
      <c r="A11432" s="5" t="str">
        <f>"H0012991"</f>
        <v>H0012991</v>
      </c>
      <c r="B11432" s="5" t="str">
        <f>"CARRO PARA TRANSPORTE DE ALIMENTOS TERMICO"</f>
        <v>CARRO PARA TRANSPORTE DE ALIMENTOS TERMICO</v>
      </c>
      <c r="C11432" s="6">
        <v>144509.41</v>
      </c>
      <c r="D11432" s="5"/>
      <c r="E11432" s="5" t="str">
        <f t="shared" si="594"/>
        <v>NUTRICION-ESPERANZA MONCADA PARADA</v>
      </c>
      <c r="F11432" s="5" t="str">
        <f>"Descripcion: CARRO THERMO BANDEJERO PISO 8 Estado: Bueno Placa anterior: 000014162 Material: ACERO INOXIDABLE Color:  Referencia:  Observacion:  Placa padre: Tipo adquisicion: Entidad"</f>
        <v>Descripcion: CARRO THERMO BANDEJERO PISO 8 Estado: Bueno Placa anterior: 000014162 Material: ACERO INOXIDABLE Color:  Referencia:  Observacion:  Placa padre: Tipo adquisicion: Entidad</v>
      </c>
      <c r="G11432" s="5"/>
    </row>
    <row r="11433" spans="1:7" ht="58.5" customHeight="1" x14ac:dyDescent="0.25">
      <c r="A11433" s="5" t="str">
        <f>"H0013030"</f>
        <v>H0013030</v>
      </c>
      <c r="B11433" s="5" t="str">
        <f>"LOCKER DE 16 COMPARTIMIENTOS"</f>
        <v>LOCKER DE 16 COMPARTIMIENTOS</v>
      </c>
      <c r="C11433" s="6">
        <v>707600</v>
      </c>
      <c r="D11433" s="5" t="s">
        <v>669</v>
      </c>
      <c r="E11433" s="5" t="str">
        <f t="shared" si="594"/>
        <v>NUTRICION-ESPERANZA MONCADA PARADA</v>
      </c>
      <c r="F11433" s="5" t="str">
        <f>"Descripcion: LOCKER DE 4 CUERPOS 16 PUERTAS DE 1.80X1.20X0.35 PUERTA CON PORTACANDADO Y ORIFICIOS PARA VENTILACION,, LAMINA COLD ROLLED CALIBRE 22, PINTURA ELECTROSTATICA EN POLVO HORNEABLE, COLOR NEGRO Estado: Bueno Placa anterior: 000036490 Material: ME"&amp; "TALICO Color: NEGRO Referencia:  Observacion:  Placa padre: Tipo adquisicion: Entidad"</f>
        <v>Descripcion: LOCKER DE 4 CUERPOS 16 PUERTAS DE 1.80X1.20X0.35 PUERTA CON PORTACANDADO Y ORIFICIOS PARA VENTILACION,, LAMINA COLD ROLLED CALIBRE 22, PINTURA ELECTROSTATICA EN POLVO HORNEABLE, COLOR NEGRO Estado: Bueno Placa anterior: 000036490 Material: METALICO Color: NEGRO Referencia:  Observacion:  Placa padre: Tipo adquisicion: Entidad</v>
      </c>
      <c r="G11433" s="5"/>
    </row>
    <row r="11434" spans="1:7" ht="58.5" customHeight="1" x14ac:dyDescent="0.25">
      <c r="A11434" s="5" t="str">
        <f>"H0013035"</f>
        <v>H0013035</v>
      </c>
      <c r="B11434" s="5" t="str">
        <f>"CUARTO FRIO (CAMARA FRIGORIFICA)"</f>
        <v>CUARTO FRIO (CAMARA FRIGORIFICA)</v>
      </c>
      <c r="C11434" s="6">
        <v>1624000</v>
      </c>
      <c r="D11434" s="5"/>
      <c r="E11434" s="5" t="str">
        <f t="shared" si="594"/>
        <v>NUTRICION-ESPERANZA MONCADA PARADA</v>
      </c>
      <c r="F11434" s="5" t="str">
        <f>"Descripcion: CUARTO FRIO Estado: Bueno Placa anterior: 000014261 Material: ACERO INOXIDABLE Color: GRIS Referencia:  Observacion: FUNCIONARIO AUTORIZA SE CONCILIE CON PLACA 0014261.  EL BIEN SE ENCUENTRA COMPUESTO POR TRES SECCIONES DE CUARTO FRIO, LOS CU"&amp; "ALES SE ENCUENTRAN PLAQUETEADOS CON LAS SIGUIENTES PLACAS H0013035 - H0013036 - H0013065 Placa padre: Tipo adquisicion: Entidad"</f>
        <v>Descripcion: CUARTO FRIO Estado: Bueno Placa anterior: 000014261 Material: ACERO INOXIDABLE Color: GRIS Referencia:  Observacion: FUNCIONARIO AUTORIZA SE CONCILIE CON PLACA 0014261.  EL BIEN SE ENCUENTRA COMPUESTO POR TRES SECCIONES DE CUARTO FRIO, LOS CUALES SE ENCUENTRAN PLAQUETEADOS CON LAS SIGUIENTES PLACAS H0013035 - H0013036 - H0013065 Placa padre: Tipo adquisicion: Entidad</v>
      </c>
      <c r="G11434" s="5"/>
    </row>
    <row r="11435" spans="1:7" ht="58.5" customHeight="1" x14ac:dyDescent="0.25">
      <c r="A11435" s="5" t="str">
        <f>"H0013037"</f>
        <v>H0013037</v>
      </c>
      <c r="B11435" s="5" t="str">
        <f>"CARRO PARA TRANSPORTE DE MENAJE"</f>
        <v>CARRO PARA TRANSPORTE DE MENAJE</v>
      </c>
      <c r="C11435" s="6">
        <v>138424</v>
      </c>
      <c r="D11435" s="5"/>
      <c r="E11435" s="5" t="str">
        <f t="shared" si="594"/>
        <v>NUTRICION-ESPERANZA MONCADA PARADA</v>
      </c>
      <c r="F11435" s="5" t="str">
        <f>"Descripcion: CARRO PARA TRANSPORTE DE LOZA Estado: Malo Placa anterior: 000015429 Material: ACERO INOXIDABLE Color: GRIS Referencia:  Observacion: FUNCIONARIO AUTORIZA SE CONCILIE CON PLACA 000015429 Placa padre: Tipo adquisicion: Entidad"</f>
        <v>Descripcion: CARRO PARA TRANSPORTE DE LOZA Estado: Malo Placa anterior: 000015429 Material: ACERO INOXIDABLE Color: GRIS Referencia:  Observacion: FUNCIONARIO AUTORIZA SE CONCILIE CON PLACA 000015429 Placa padre: Tipo adquisicion: Entidad</v>
      </c>
      <c r="G11435" s="5"/>
    </row>
    <row r="11436" spans="1:7" ht="58.5" customHeight="1" x14ac:dyDescent="0.25">
      <c r="A11436" s="5" t="str">
        <f>"H0013041"</f>
        <v>H0013041</v>
      </c>
      <c r="B11436" s="5" t="str">
        <f>"REFRIGERADOR VERTICAL"</f>
        <v>REFRIGERADOR VERTICAL</v>
      </c>
      <c r="C11436" s="6">
        <v>1450000</v>
      </c>
      <c r="D11436" s="5" t="s">
        <v>553</v>
      </c>
      <c r="E11436" s="5" t="str">
        <f t="shared" si="594"/>
        <v>NUTRICION-ESPERANZA MONCADA PARADA</v>
      </c>
      <c r="F11436" s="5" t="str">
        <f>"Descripcion: VITRINA REFRIGERADORA VERTICAL BLANCO 270 LTS Estado: Bueno Placa anterior: 000036565 Material: MATALICA Color: BLANCO Referencia:  Observacion:  Placa padre: Tipo adquisicion: Entidad"</f>
        <v>Descripcion: VITRINA REFRIGERADORA VERTICAL BLANCO 270 LTS Estado: Bueno Placa anterior: 000036565 Material: MATALICA Color: BLANCO Referencia:  Observacion:  Placa padre: Tipo adquisicion: Entidad</v>
      </c>
      <c r="G11436" s="5" t="str">
        <f>"VFV-400"</f>
        <v>VFV-400</v>
      </c>
    </row>
    <row r="11437" spans="1:7" ht="58.5" customHeight="1" x14ac:dyDescent="0.25">
      <c r="A11437" s="5" t="str">
        <f>"H0013044"</f>
        <v>H0013044</v>
      </c>
      <c r="B11437" s="5" t="str">
        <f>"BAÑO MARIA (MESA CALIENTE)"</f>
        <v>BAÑO MARIA (MESA CALIENTE)</v>
      </c>
      <c r="C11437" s="6">
        <v>137940.79999999999</v>
      </c>
      <c r="D11437" s="5"/>
      <c r="E11437" s="5" t="str">
        <f t="shared" si="594"/>
        <v>NUTRICION-ESPERANZA MONCADA PARADA</v>
      </c>
      <c r="F11437" s="5" t="str">
        <f>"Descripcion: BAÑO DE MARIA. DIMENSIONES: 84X198X70 CM Estado: Malo Placa anterior: 000014243 Material: ACERO INOXIDABLE Color: PLATEADO Referencia:  Observacion:  Placa padre: Tipo adquisicion: Entidad"</f>
        <v>Descripcion: BAÑO DE MARIA. DIMENSIONES: 84X198X70 CM Estado: Malo Placa anterior: 000014243 Material: ACERO INOXIDABLE Color: PLATEADO Referencia:  Observacion:  Placa padre: Tipo adquisicion: Entidad</v>
      </c>
      <c r="G11437" s="5"/>
    </row>
    <row r="11438" spans="1:7" ht="58.5" customHeight="1" x14ac:dyDescent="0.25">
      <c r="A11438" s="5" t="str">
        <f>"H0013045"</f>
        <v>H0013045</v>
      </c>
      <c r="B11438" s="5" t="str">
        <f>"MESON EN ACERO INOXIDABLE"</f>
        <v>MESON EN ACERO INOXIDABLE</v>
      </c>
      <c r="C11438" s="6">
        <v>35240.589999999997</v>
      </c>
      <c r="D11438" s="5"/>
      <c r="E11438" s="5" t="str">
        <f t="shared" si="594"/>
        <v>NUTRICION-ESPERANZA MONCADA PARADA</v>
      </c>
      <c r="F11438" s="5" t="str">
        <f>"Descripcion: MESON EN ACERO INOX. LISO 1.43X64 CMS Estado: Bueno Placa anterior: 000014254 Material: ACERO INOXIDABLE Color: PLATEADO Referencia:  Observacion:  Placa padre: Tipo adquisicion: Entidad"</f>
        <v>Descripcion: MESON EN ACERO INOX. LISO 1.43X64 CMS Estado: Bueno Placa anterior: 000014254 Material: ACERO INOXIDABLE Color: PLATEADO Referencia:  Observacion:  Placa padre: Tipo adquisicion: Entidad</v>
      </c>
      <c r="G11438" s="5"/>
    </row>
    <row r="11439" spans="1:7" ht="58.5" customHeight="1" x14ac:dyDescent="0.25">
      <c r="A11439" s="5" t="str">
        <f>"H0013047"</f>
        <v>H0013047</v>
      </c>
      <c r="B11439" s="5" t="str">
        <f>"BAÑO MARIA (MESA CALIENTE)"</f>
        <v>BAÑO MARIA (MESA CALIENTE)</v>
      </c>
      <c r="C11439" s="6">
        <v>185790</v>
      </c>
      <c r="D11439" s="5"/>
      <c r="E11439" s="5" t="str">
        <f t="shared" si="594"/>
        <v>NUTRICION-ESPERANZA MONCADA PARADA</v>
      </c>
      <c r="F11439" s="5" t="str">
        <f>"Descripcion: BAÑO DE MARIA EN ACERO INOX.CON MESON SERVIDOR 2.54 X 68 CMS ALIMENTOS CALIENTES Estado: Malo Placa anterior: 000014259 Material: ACERO INOXIDABLE Color: PLATEADO Referencia:  Observacion:  Placa padre: Tipo adquisicion: Entidad"</f>
        <v>Descripcion: BAÑO DE MARIA EN ACERO INOX.CON MESON SERVIDOR 2.54 X 68 CMS ALIMENTOS CALIENTES Estado: Malo Placa anterior: 000014259 Material: ACERO INOXIDABLE Color: PLATEADO Referencia:  Observacion:  Placa padre: Tipo adquisicion: Entidad</v>
      </c>
      <c r="G11439" s="5"/>
    </row>
    <row r="11440" spans="1:7" ht="58.5" customHeight="1" x14ac:dyDescent="0.25">
      <c r="A11440" s="5" t="str">
        <f>"H0013048"</f>
        <v>H0013048</v>
      </c>
      <c r="B11440" s="5" t="str">
        <f>"MESON EN ACERO INOXIDABLE"</f>
        <v>MESON EN ACERO INOXIDABLE</v>
      </c>
      <c r="C11440" s="6">
        <v>81414.59</v>
      </c>
      <c r="D11440" s="5"/>
      <c r="E11440" s="5" t="str">
        <f t="shared" si="594"/>
        <v>NUTRICION-ESPERANZA MONCADA PARADA</v>
      </c>
      <c r="F11440" s="5" t="str">
        <f>"Descripcion: MESON EN ACERO INOX. LISO 1.98X65 CMS Estado: Bueno Placa anterior: 000014256 Material: ACERO INOXIDABLE Color: PLATEADO Referencia:  Observacion:  Placa padre: Tipo adquisicion: Entidad"</f>
        <v>Descripcion: MESON EN ACERO INOX. LISO 1.98X65 CMS Estado: Bueno Placa anterior: 000014256 Material: ACERO INOXIDABLE Color: PLATEADO Referencia:  Observacion:  Placa padre: Tipo adquisicion: Entidad</v>
      </c>
      <c r="G11440" s="5"/>
    </row>
    <row r="11441" spans="1:7" ht="58.5" customHeight="1" x14ac:dyDescent="0.25">
      <c r="A11441" s="5" t="str">
        <f>"H0013049"</f>
        <v>H0013049</v>
      </c>
      <c r="B11441" s="5" t="str">
        <f>"CARRO PARA TRANSPORTE DE MENAJE"</f>
        <v>CARRO PARA TRANSPORTE DE MENAJE</v>
      </c>
      <c r="C11441" s="6">
        <v>138424</v>
      </c>
      <c r="D11441" s="5"/>
      <c r="E11441" s="5" t="str">
        <f t="shared" si="594"/>
        <v>NUTRICION-ESPERANZA MONCADA PARADA</v>
      </c>
      <c r="F11441" s="5" t="str">
        <f>"Descripcion: CARRO DE TRANSPORTE DE LOZA Estado: Bueno Placa anterior: 000015391 Material: ACERO INOXIDABLE Color: PLATEADO Referencia:  Observacion: FUNCIONARIO AUTORIZA SE CONCILIE CON PLACA 000015391 Placa padre: Tipo adquisicion: Entidad"</f>
        <v>Descripcion: CARRO DE TRANSPORTE DE LOZA Estado: Bueno Placa anterior: 000015391 Material: ACERO INOXIDABLE Color: PLATEADO Referencia:  Observacion: FUNCIONARIO AUTORIZA SE CONCILIE CON PLACA 000015391 Placa padre: Tipo adquisicion: Entidad</v>
      </c>
      <c r="G11441" s="5"/>
    </row>
    <row r="11442" spans="1:7" ht="58.5" customHeight="1" x14ac:dyDescent="0.25">
      <c r="A11442" s="5" t="str">
        <f>"H0013050"</f>
        <v>H0013050</v>
      </c>
      <c r="B11442" s="5" t="str">
        <f>"LAVAPLATOS EN ACERO INOXIDABLE 1 PUESTO"</f>
        <v>LAVAPLATOS EN ACERO INOXIDABLE 1 PUESTO</v>
      </c>
      <c r="C11442" s="6">
        <v>89315</v>
      </c>
      <c r="D11442" s="5"/>
      <c r="E11442" s="5" t="str">
        <f t="shared" si="594"/>
        <v>NUTRICION-ESPERANZA MONCADA PARADA</v>
      </c>
      <c r="F11442" s="5" t="str">
        <f>"Descripcion: LAVA OLLAS EN ACERO INOX.CON TOPE HORIZONTAL Estado: Bueno Placa anterior: 000014257 Material: ACERO INOXIDABLE Color: PLATEADO Referencia:  Observacion:  Placa padre: Tipo adquisicion: Entidad"</f>
        <v>Descripcion: LAVA OLLAS EN ACERO INOX.CON TOPE HORIZONTAL Estado: Bueno Placa anterior: 000014257 Material: ACERO INOXIDABLE Color: PLATEADO Referencia:  Observacion:  Placa padre: Tipo adquisicion: Entidad</v>
      </c>
      <c r="G11442" s="5"/>
    </row>
    <row r="11443" spans="1:7" ht="58.5" customHeight="1" x14ac:dyDescent="0.25">
      <c r="A11443" s="5" t="str">
        <f>"H0013051"</f>
        <v>H0013051</v>
      </c>
      <c r="B11443" s="5" t="str">
        <f>"LAVAPLATOS EN ACERO INOXIDABLE 1 PUESTO"</f>
        <v>LAVAPLATOS EN ACERO INOXIDABLE 1 PUESTO</v>
      </c>
      <c r="C11443" s="6">
        <v>35240.589999999997</v>
      </c>
      <c r="D11443" s="5"/>
      <c r="E11443" s="5" t="str">
        <f t="shared" si="594"/>
        <v>NUTRICION-ESPERANZA MONCADA PARADA</v>
      </c>
      <c r="F11443" s="5" t="str">
        <f>"Descripcion: LAVAPLATOS  Estado: Bueno Placa anterior: 000015362 Material: ACERO INOXIDABLE Color: PLATEADO Referencia:  Observacion: EL BIEN TIENE PLACA ANTERIOR 000014358  FUNCIONARIO AUTORIZA SE CONCILIE CON PLACA 000015362 Placa padre: Tipo adquisicio"&amp; "n: Entidad"</f>
        <v>Descripcion: LAVAPLATOS  Estado: Bueno Placa anterior: 000015362 Material: ACERO INOXIDABLE Color: PLATEADO Referencia:  Observacion: EL BIEN TIENE PLACA ANTERIOR 000014358  FUNCIONARIO AUTORIZA SE CONCILIE CON PLACA 000015362 Placa padre: Tipo adquisicion: Entidad</v>
      </c>
      <c r="G11443" s="5"/>
    </row>
    <row r="11444" spans="1:7" ht="58.5" customHeight="1" x14ac:dyDescent="0.25">
      <c r="A11444" s="5" t="str">
        <f>"H0013052"</f>
        <v>H0013052</v>
      </c>
      <c r="B11444" s="5" t="str">
        <f>"ESTANTE EN ACERO INOXIDABLE"</f>
        <v>ESTANTE EN ACERO INOXIDABLE</v>
      </c>
      <c r="C11444" s="6">
        <v>85391.92</v>
      </c>
      <c r="D11444" s="5"/>
      <c r="E11444" s="5" t="str">
        <f t="shared" si="594"/>
        <v>NUTRICION-ESPERANZA MONCADA PARADA</v>
      </c>
      <c r="F11444" s="5" t="str">
        <f>"Descripcion: ESTANTE PARA ALMACENAMIENTO  Y SECADO DE OLLAS. EN ACERO INOX Estado: Bueno Placa anterior: 000014188 Material: ACERO INOXIDABLE Color: PLATEADO Referencia:  Observacion:  Placa padre: Tipo adquisicion: Entidad"</f>
        <v>Descripcion: ESTANTE PARA ALMACENAMIENTO  Y SECADO DE OLLAS. EN ACERO INOX Estado: Bueno Placa anterior: 000014188 Material: ACERO INOXIDABLE Color: PLATEADO Referencia:  Observacion:  Placa padre: Tipo adquisicion: Entidad</v>
      </c>
      <c r="G11444" s="5"/>
    </row>
    <row r="11445" spans="1:7" ht="58.5" customHeight="1" x14ac:dyDescent="0.25">
      <c r="A11445" s="5" t="str">
        <f>"H0013058"</f>
        <v>H0013058</v>
      </c>
      <c r="B11445" s="5" t="str">
        <f>"CARRO PARA TRANSPORTE DE MENAJE"</f>
        <v>CARRO PARA TRANSPORTE DE MENAJE</v>
      </c>
      <c r="C11445" s="6">
        <v>48620</v>
      </c>
      <c r="D11445" s="5"/>
      <c r="E11445" s="5" t="str">
        <f t="shared" si="594"/>
        <v>NUTRICION-ESPERANZA MONCADA PARADA</v>
      </c>
      <c r="F11445" s="5" t="str">
        <f>"Descripcion: CARRO CON DOS ENTREPAÑOS  Estado: Bueno Placa anterior: 000015366 Material: ACERO INOXIDABLE Color: PLATEADO Referencia:  Observacion: FUNCIONARIO AUTORIZA SE CONCILIE CON PLACA 000015366 Placa padre: Tipo adquisicion: Entidad"</f>
        <v>Descripcion: CARRO CON DOS ENTREPAÑOS  Estado: Bueno Placa anterior: 000015366 Material: ACERO INOXIDABLE Color: PLATEADO Referencia:  Observacion: FUNCIONARIO AUTORIZA SE CONCILIE CON PLACA 000015366 Placa padre: Tipo adquisicion: Entidad</v>
      </c>
      <c r="G11445" s="5"/>
    </row>
    <row r="11446" spans="1:7" ht="58.5" customHeight="1" x14ac:dyDescent="0.25">
      <c r="A11446" s="5" t="str">
        <f>"H0013059"</f>
        <v>H0013059</v>
      </c>
      <c r="B11446" s="5" t="str">
        <f>"ESTIBAS DE METALICAS"</f>
        <v>ESTIBAS DE METALICAS</v>
      </c>
      <c r="C11446" s="6">
        <v>44467.5</v>
      </c>
      <c r="D11446" s="5"/>
      <c r="E11446" s="5" t="str">
        <f t="shared" si="594"/>
        <v>NUTRICION-ESPERANZA MONCADA PARADA</v>
      </c>
      <c r="F11446" s="5" t="str">
        <f>"Descripcion: ESTIBAS METALICAS Estado: Bueno Placa anterior: 000014206 Material: METALICAS  Color: GRIS Referencia:  Observacion: FUNCIONARIO AUTORIZA SE CONCILIE CON PLACA 000014206 Placa padre: Tipo adquisicion: Entidad"</f>
        <v>Descripcion: ESTIBAS METALICAS Estado: Bueno Placa anterior: 000014206 Material: METALICAS  Color: GRIS Referencia:  Observacion: FUNCIONARIO AUTORIZA SE CONCILIE CON PLACA 000014206 Placa padre: Tipo adquisicion: Entidad</v>
      </c>
      <c r="G11446" s="5"/>
    </row>
    <row r="11447" spans="1:7" ht="58.5" customHeight="1" x14ac:dyDescent="0.25">
      <c r="A11447" s="5" t="str">
        <f>"H0013060"</f>
        <v>H0013060</v>
      </c>
      <c r="B11447" s="5" t="str">
        <f>"ESTIBAS DE METALICAS"</f>
        <v>ESTIBAS DE METALICAS</v>
      </c>
      <c r="C11447" s="6">
        <v>44467.5</v>
      </c>
      <c r="D11447" s="5"/>
      <c r="E11447" s="5" t="str">
        <f t="shared" si="594"/>
        <v>NUTRICION-ESPERANZA MONCADA PARADA</v>
      </c>
      <c r="F11447" s="5" t="str">
        <f>"Descripcion: ESTIBAS METALICAS Estado: Bueno Placa anterior: 000014209 Material: METALICAS  Color: GRIS Referencia:  Observacion: FUNCIONARIO AUTORIZA SE CONCILIE CON PLACA 000014209 Placa padre: Tipo adquisicion: Entidad"</f>
        <v>Descripcion: ESTIBAS METALICAS Estado: Bueno Placa anterior: 000014209 Material: METALICAS  Color: GRIS Referencia:  Observacion: FUNCIONARIO AUTORIZA SE CONCILIE CON PLACA 000014209 Placa padre: Tipo adquisicion: Entidad</v>
      </c>
      <c r="G11447" s="5"/>
    </row>
    <row r="11448" spans="1:7" ht="58.5" customHeight="1" x14ac:dyDescent="0.25">
      <c r="A11448" s="5" t="str">
        <f>"H0013062"</f>
        <v>H0013062</v>
      </c>
      <c r="B11448" s="5" t="str">
        <f>"CARRO PARA TRANSPORTE DE MENAJE"</f>
        <v>CARRO PARA TRANSPORTE DE MENAJE</v>
      </c>
      <c r="C11448" s="6">
        <v>120000</v>
      </c>
      <c r="D11448" s="5"/>
      <c r="E11448" s="5" t="str">
        <f t="shared" si="594"/>
        <v>NUTRICION-ESPERANZA MONCADA PARADA</v>
      </c>
      <c r="F11448" s="5" t="str">
        <f>"Descripcion: CARRO DE TRANSPORTE Estado: Bueno Placa anterior: 000014157 Material: METALICO Y PASTA Color: GRIS Y NEGRO Referencia:  Observacion: FUNCIONARIO AUTORIZA SE CONCILIE CON PLACA 000014157 Placa padre: Tipo adquisicion: Entidad"</f>
        <v>Descripcion: CARRO DE TRANSPORTE Estado: Bueno Placa anterior: 000014157 Material: METALICO Y PASTA Color: GRIS Y NEGRO Referencia:  Observacion: FUNCIONARIO AUTORIZA SE CONCILIE CON PLACA 000014157 Placa padre: Tipo adquisicion: Entidad</v>
      </c>
      <c r="G11448" s="5"/>
    </row>
    <row r="11449" spans="1:7" ht="58.5" customHeight="1" x14ac:dyDescent="0.25">
      <c r="A11449" s="5" t="str">
        <f>"H0013063"</f>
        <v>H0013063</v>
      </c>
      <c r="B11449" s="5" t="str">
        <f>"FOLDERAMA METALICO"</f>
        <v>FOLDERAMA METALICO</v>
      </c>
      <c r="C11449" s="6">
        <v>321320</v>
      </c>
      <c r="D11449" s="5"/>
      <c r="E11449" s="5" t="str">
        <f t="shared" si="594"/>
        <v>NUTRICION-ESPERANZA MONCADA PARADA</v>
      </c>
      <c r="F11449" s="5" t="str">
        <f>"Descripcion: FOLDERAMA METALICO DE 5 ENTREPAÑOS  Estado: Bueno Placa anterior: 000014268 Material: METALICO Color: GRIS Referencia:  Observacion:  Placa padre: Tipo adquisicion: Entidad"</f>
        <v>Descripcion: FOLDERAMA METALICO DE 5 ENTREPAÑOS  Estado: Bueno Placa anterior: 000014268 Material: METALICO Color: GRIS Referencia:  Observacion:  Placa padre: Tipo adquisicion: Entidad</v>
      </c>
      <c r="G11449" s="5"/>
    </row>
    <row r="11450" spans="1:7" ht="58.5" customHeight="1" x14ac:dyDescent="0.25">
      <c r="A11450" s="5" t="str">
        <f>"H0013064"</f>
        <v>H0013064</v>
      </c>
      <c r="B11450" s="5" t="str">
        <f>"ESTANTE METALICO 5 ENTREPAÑOS"</f>
        <v>ESTANTE METALICO 5 ENTREPAÑOS</v>
      </c>
      <c r="C11450" s="6">
        <v>11462.56</v>
      </c>
      <c r="D11450" s="5"/>
      <c r="E11450" s="5" t="str">
        <f t="shared" si="594"/>
        <v>NUTRICION-ESPERANZA MONCADA PARADA</v>
      </c>
      <c r="F11450" s="5" t="str">
        <f>"Descripcion: ESTANTE  Estado: Bueno Placa anterior: 000015476 Material: METALICO Color: GRIS  Referencia:  Observacion:  Placa padre: Tipo adquisicion: Entidad"</f>
        <v>Descripcion: ESTANTE  Estado: Bueno Placa anterior: 000015476 Material: METALICO Color: GRIS  Referencia:  Observacion:  Placa padre: Tipo adquisicion: Entidad</v>
      </c>
      <c r="G11450" s="5"/>
    </row>
    <row r="11451" spans="1:7" ht="58.5" customHeight="1" x14ac:dyDescent="0.25">
      <c r="A11451" s="5" t="str">
        <f>"H0013066"</f>
        <v>H0013066</v>
      </c>
      <c r="B11451" s="5" t="str">
        <f>"CARRO PARA TRANSPORTE DE MENAJE"</f>
        <v>CARRO PARA TRANSPORTE DE MENAJE</v>
      </c>
      <c r="C11451" s="6">
        <v>138424</v>
      </c>
      <c r="D11451" s="5"/>
      <c r="E11451" s="5" t="str">
        <f t="shared" si="594"/>
        <v>NUTRICION-ESPERANZA MONCADA PARADA</v>
      </c>
      <c r="F11451" s="5" t="str">
        <f>"Descripcion: CARRO TRANSPORTADOR BANDEJERO EN ACERO INOX. Estado: Bueno Placa anterior: 000014159 Material: ACERO INOXIDABLE Color: GRIS Referencia:  Observacion:  Placa padre: Tipo adquisicion: Entidad"</f>
        <v>Descripcion: CARRO TRANSPORTADOR BANDEJERO EN ACERO INOX. Estado: Bueno Placa anterior: 000014159 Material: ACERO INOXIDABLE Color: GRIS Referencia:  Observacion:  Placa padre: Tipo adquisicion: Entidad</v>
      </c>
      <c r="G11451" s="5"/>
    </row>
    <row r="11452" spans="1:7" ht="58.5" customHeight="1" x14ac:dyDescent="0.25">
      <c r="A11452" s="5" t="str">
        <f>"H0013067"</f>
        <v>H0013067</v>
      </c>
      <c r="B11452" s="5" t="str">
        <f>"ESTANTE METALICO 5 ENTREPAÑOS"</f>
        <v>ESTANTE METALICO 5 ENTREPAÑOS</v>
      </c>
      <c r="C11452" s="6">
        <v>11462.56</v>
      </c>
      <c r="D11452" s="5"/>
      <c r="E11452" s="5" t="str">
        <f t="shared" si="594"/>
        <v>NUTRICION-ESPERANZA MONCADA PARADA</v>
      </c>
      <c r="F11452" s="5" t="str">
        <f>"Descripcion: ESTANTE  Estado: Bueno Placa anterior: 000015477 Material: METALICO Color: GRIS  Referencia:  Observacion:  Placa padre: Tipo adquisicion: Entidad"</f>
        <v>Descripcion: ESTANTE  Estado: Bueno Placa anterior: 000015477 Material: METALICO Color: GRIS  Referencia:  Observacion:  Placa padre: Tipo adquisicion: Entidad</v>
      </c>
      <c r="G11452" s="5"/>
    </row>
    <row r="11453" spans="1:7" ht="58.5" customHeight="1" x14ac:dyDescent="0.25">
      <c r="A11453" s="5" t="str">
        <f>"H0013074"</f>
        <v>H0013074</v>
      </c>
      <c r="B11453" s="5" t="str">
        <f>"BASCULA"</f>
        <v>BASCULA</v>
      </c>
      <c r="C11453" s="6">
        <v>110000</v>
      </c>
      <c r="D11453" s="5" t="s">
        <v>642</v>
      </c>
      <c r="E11453" s="5" t="str">
        <f t="shared" si="594"/>
        <v>NUTRICION-ESPERANZA MONCADA PARADA</v>
      </c>
      <c r="F11453" s="5" t="str">
        <f>"Descripcion: BASCULA PARA PESADO DE VERDURAS Estado: Malo Placa anterior: 000036303 Material: METALICA Color: GRIS Referencia:  Observacion: EL RELOJ DIGITAL ESTA EN REPARACION Placa padre: Tipo adquisicion: Entidad"</f>
        <v>Descripcion: BASCULA PARA PESADO DE VERDURAS Estado: Malo Placa anterior: 000036303 Material: METALICA Color: GRIS Referencia:  Observacion: EL RELOJ DIGITAL ESTA EN REPARACION Placa padre: Tipo adquisicion: Entidad</v>
      </c>
      <c r="G11453" s="5"/>
    </row>
    <row r="11454" spans="1:7" ht="58.5" customHeight="1" x14ac:dyDescent="0.25">
      <c r="A11454" s="5" t="str">
        <f>"H0013076"</f>
        <v>H0013076</v>
      </c>
      <c r="B11454" s="5" t="str">
        <f>"OLLA (MARMITA) A VAPOR"</f>
        <v>OLLA (MARMITA) A VAPOR</v>
      </c>
      <c r="C11454" s="6">
        <v>165671.85999999999</v>
      </c>
      <c r="D11454" s="5"/>
      <c r="E11454" s="5" t="str">
        <f t="shared" si="594"/>
        <v>NUTRICION-ESPERANZA MONCADA PARADA</v>
      </c>
      <c r="F11454" s="5" t="str">
        <f>"Descripcion: MARMITAS A VAPOR Estado: Bueno Placa anterior: 000017859 Material: ACERO INOXIDABLE Color: PLATEADO Referencia:  Observacion:  Placa padre: Tipo adquisicion: Entidad"</f>
        <v>Descripcion: MARMITAS A VAPOR Estado: Bueno Placa anterior: 000017859 Material: ACERO INOXIDABLE Color: PLATEADO Referencia:  Observacion:  Placa padre: Tipo adquisicion: Entidad</v>
      </c>
      <c r="G11454" s="5"/>
    </row>
    <row r="11455" spans="1:7" ht="58.5" customHeight="1" x14ac:dyDescent="0.25">
      <c r="A11455" s="5" t="str">
        <f>"H0013077"</f>
        <v>H0013077</v>
      </c>
      <c r="B11455" s="5" t="str">
        <f>"OLLA (MARMITA) A VAPOR"</f>
        <v>OLLA (MARMITA) A VAPOR</v>
      </c>
      <c r="C11455" s="6">
        <v>165671.85999999999</v>
      </c>
      <c r="D11455" s="5"/>
      <c r="E11455" s="5" t="str">
        <f t="shared" si="594"/>
        <v>NUTRICION-ESPERANZA MONCADA PARADA</v>
      </c>
      <c r="F11455" s="5" t="str">
        <f>"Descripcion: MARMITAS A VAPOR Estado: Bueno Placa anterior: 000017860 Material: ACERO INOXIDABLE Color: PLATEADO Referencia:  Observacion:  Placa padre: Tipo adquisicion: Entidad"</f>
        <v>Descripcion: MARMITAS A VAPOR Estado: Bueno Placa anterior: 000017860 Material: ACERO INOXIDABLE Color: PLATEADO Referencia:  Observacion:  Placa padre: Tipo adquisicion: Entidad</v>
      </c>
      <c r="G11455" s="5"/>
    </row>
    <row r="11456" spans="1:7" ht="58.5" customHeight="1" x14ac:dyDescent="0.25">
      <c r="A11456" s="5" t="str">
        <f>"H0013078"</f>
        <v>H0013078</v>
      </c>
      <c r="B11456" s="5" t="str">
        <f>"OLLA (MARMITA) A VAPOR"</f>
        <v>OLLA (MARMITA) A VAPOR</v>
      </c>
      <c r="C11456" s="6">
        <v>165671.85999999999</v>
      </c>
      <c r="D11456" s="5"/>
      <c r="E11456" s="5" t="str">
        <f t="shared" si="594"/>
        <v>NUTRICION-ESPERANZA MONCADA PARADA</v>
      </c>
      <c r="F11456" s="5" t="str">
        <f>"Descripcion: MARMITAS A VAPOR Estado: Bueno Placa anterior: 000017861 Material: ACERO INOXIDABLEXI Color: PLATEADO Referencia:  Observacion:  Placa padre: Tipo adquisicion: Entidad"</f>
        <v>Descripcion: MARMITAS A VAPOR Estado: Bueno Placa anterior: 000017861 Material: ACERO INOXIDABLEXI Color: PLATEADO Referencia:  Observacion:  Placa padre: Tipo adquisicion: Entidad</v>
      </c>
      <c r="G11456" s="5"/>
    </row>
    <row r="11457" spans="1:7" ht="58.5" customHeight="1" x14ac:dyDescent="0.25">
      <c r="A11457" s="5" t="str">
        <f>"H0013079"</f>
        <v>H0013079</v>
      </c>
      <c r="B11457" s="5" t="str">
        <f>"OLLA (MARMITA) A VAPOR"</f>
        <v>OLLA (MARMITA) A VAPOR</v>
      </c>
      <c r="C11457" s="6">
        <v>165671.85999999999</v>
      </c>
      <c r="D11457" s="5"/>
      <c r="E11457" s="5" t="str">
        <f t="shared" si="594"/>
        <v>NUTRICION-ESPERANZA MONCADA PARADA</v>
      </c>
      <c r="F11457" s="5" t="str">
        <f>"Descripcion: MARMITAS A VAPOR Estado: Bueno Placa anterior: 000017862 Material: ACERO INOXIDABLE Color: PLATEADO Referencia:  Observacion:  Placa padre: Tipo adquisicion: Entidad"</f>
        <v>Descripcion: MARMITAS A VAPOR Estado: Bueno Placa anterior: 000017862 Material: ACERO INOXIDABLE Color: PLATEADO Referencia:  Observacion:  Placa padre: Tipo adquisicion: Entidad</v>
      </c>
      <c r="G11457" s="5"/>
    </row>
    <row r="11458" spans="1:7" ht="58.5" customHeight="1" x14ac:dyDescent="0.25">
      <c r="A11458" s="5" t="str">
        <f>"H0013131"</f>
        <v>H0013131</v>
      </c>
      <c r="B11458" s="5" t="str">
        <f t="shared" ref="B11458:B11486" si="595">"BANDEJA PARA CARRO DE TRANSPORTE DE ALIMENTOS"</f>
        <v>BANDEJA PARA CARRO DE TRANSPORTE DE ALIMENTOS</v>
      </c>
      <c r="C11458" s="6">
        <v>111.11</v>
      </c>
      <c r="D11458" s="5"/>
      <c r="E11458" s="5" t="str">
        <f t="shared" si="594"/>
        <v>NUTRICION-ESPERANZA MONCADA PARADA</v>
      </c>
      <c r="F11458" s="5" t="str">
        <f>"Descripcion: BANDEJA EN ALUMINIO LISA GRANDE Estado: Bueno Placa anterior: 000015671 Material: ALUMINIO Color:  Referencia:  Observacion:  Placa padre: Tipo adquisicion: Entidad"</f>
        <v>Descripcion: BANDEJA EN ALUMINIO LISA GRANDE Estado: Bueno Placa anterior: 000015671 Material: ALUMINIO Color:  Referencia:  Observacion:  Placa padre: Tipo adquisicion: Entidad</v>
      </c>
      <c r="G11458" s="5"/>
    </row>
    <row r="11459" spans="1:7" ht="58.5" customHeight="1" x14ac:dyDescent="0.25">
      <c r="A11459" s="5" t="str">
        <f>"H0013139"</f>
        <v>H0013139</v>
      </c>
      <c r="B11459" s="5" t="str">
        <f t="shared" si="595"/>
        <v>BANDEJA PARA CARRO DE TRANSPORTE DE ALIMENTOS</v>
      </c>
      <c r="C11459" s="6">
        <v>111.11</v>
      </c>
      <c r="D11459" s="5"/>
      <c r="E11459" s="5" t="str">
        <f t="shared" si="594"/>
        <v>NUTRICION-ESPERANZA MONCADA PARADA</v>
      </c>
      <c r="F11459" s="5" t="str">
        <f>"Descripcion: BANDEJA EN ALUMINIO LISA GRANDE Estado: Bueno Placa anterior: 000015679 Material: ALUMINIO Color:  Referencia:  Observacion:  Placa padre: Tipo adquisicion: Entidad"</f>
        <v>Descripcion: BANDEJA EN ALUMINIO LISA GRANDE Estado: Bueno Placa anterior: 000015679 Material: ALUMINIO Color:  Referencia:  Observacion:  Placa padre: Tipo adquisicion: Entidad</v>
      </c>
      <c r="G11459" s="5"/>
    </row>
    <row r="11460" spans="1:7" ht="58.5" customHeight="1" x14ac:dyDescent="0.25">
      <c r="A11460" s="5" t="str">
        <f>"H0013140"</f>
        <v>H0013140</v>
      </c>
      <c r="B11460" s="5" t="str">
        <f t="shared" si="595"/>
        <v>BANDEJA PARA CARRO DE TRANSPORTE DE ALIMENTOS</v>
      </c>
      <c r="C11460" s="6">
        <v>111.11</v>
      </c>
      <c r="D11460" s="5"/>
      <c r="E11460" s="5" t="str">
        <f t="shared" si="594"/>
        <v>NUTRICION-ESPERANZA MONCADA PARADA</v>
      </c>
      <c r="F11460" s="5" t="str">
        <f>"Descripcion: BANDEJA EN ALUMINIO LISA GRANDE Estado: Bueno Placa anterior: 000015680 Material: ALUMINIO Color:  Referencia:  Observacion:  Placa padre: Tipo adquisicion: Entidad"</f>
        <v>Descripcion: BANDEJA EN ALUMINIO LISA GRANDE Estado: Bueno Placa anterior: 000015680 Material: ALUMINIO Color:  Referencia:  Observacion:  Placa padre: Tipo adquisicion: Entidad</v>
      </c>
      <c r="G11460" s="5"/>
    </row>
    <row r="11461" spans="1:7" ht="58.5" customHeight="1" x14ac:dyDescent="0.25">
      <c r="A11461" s="5" t="str">
        <f>"H0013144"</f>
        <v>H0013144</v>
      </c>
      <c r="B11461" s="5" t="str">
        <f t="shared" si="595"/>
        <v>BANDEJA PARA CARRO DE TRANSPORTE DE ALIMENTOS</v>
      </c>
      <c r="C11461" s="6">
        <v>111.11</v>
      </c>
      <c r="D11461" s="5"/>
      <c r="E11461" s="5" t="str">
        <f t="shared" si="594"/>
        <v>NUTRICION-ESPERANZA MONCADA PARADA</v>
      </c>
      <c r="F11461" s="5" t="str">
        <f>"Descripcion: BANDEJA EN ALUMINIO LISA GRANDE Estado: Bueno Placa anterior: 000015684 Material: ALUMINIO Color:  Referencia:  Observacion:  Placa padre: Tipo adquisicion: Entidad"</f>
        <v>Descripcion: BANDEJA EN ALUMINIO LISA GRANDE Estado: Bueno Placa anterior: 000015684 Material: ALUMINIO Color:  Referencia:  Observacion:  Placa padre: Tipo adquisicion: Entidad</v>
      </c>
      <c r="G11461" s="5"/>
    </row>
    <row r="11462" spans="1:7" ht="58.5" customHeight="1" x14ac:dyDescent="0.25">
      <c r="A11462" s="5" t="str">
        <f>"H0013145"</f>
        <v>H0013145</v>
      </c>
      <c r="B11462" s="5" t="str">
        <f t="shared" si="595"/>
        <v>BANDEJA PARA CARRO DE TRANSPORTE DE ALIMENTOS</v>
      </c>
      <c r="C11462" s="6">
        <v>111.11</v>
      </c>
      <c r="D11462" s="5"/>
      <c r="E11462" s="5" t="str">
        <f t="shared" si="594"/>
        <v>NUTRICION-ESPERANZA MONCADA PARADA</v>
      </c>
      <c r="F11462" s="5" t="str">
        <f>"Descripcion: BANDEJA EN ALUMINIO LISA GRANDE Estado: Bueno Placa anterior: 000015685 Material: ALUMINIO Color:  Referencia:  Observacion:  Placa padre: Tipo adquisicion: Entidad"</f>
        <v>Descripcion: BANDEJA EN ALUMINIO LISA GRANDE Estado: Bueno Placa anterior: 000015685 Material: ALUMINIO Color:  Referencia:  Observacion:  Placa padre: Tipo adquisicion: Entidad</v>
      </c>
      <c r="G11462" s="5"/>
    </row>
    <row r="11463" spans="1:7" ht="58.5" customHeight="1" x14ac:dyDescent="0.25">
      <c r="A11463" s="5" t="str">
        <f>"H0013146"</f>
        <v>H0013146</v>
      </c>
      <c r="B11463" s="5" t="str">
        <f t="shared" si="595"/>
        <v>BANDEJA PARA CARRO DE TRANSPORTE DE ALIMENTOS</v>
      </c>
      <c r="C11463" s="6">
        <v>111.11</v>
      </c>
      <c r="D11463" s="5"/>
      <c r="E11463" s="5" t="str">
        <f t="shared" si="594"/>
        <v>NUTRICION-ESPERANZA MONCADA PARADA</v>
      </c>
      <c r="F11463" s="5" t="str">
        <f>"Descripcion: BANDEJA EN ALUMINIO LISA GRANDE Estado: Bueno Placa anterior: 000015686 Material: ALUMINIO Color:  Referencia:  Observacion:  Placa padre: Tipo adquisicion: Entidad"</f>
        <v>Descripcion: BANDEJA EN ALUMINIO LISA GRANDE Estado: Bueno Placa anterior: 000015686 Material: ALUMINIO Color:  Referencia:  Observacion:  Placa padre: Tipo adquisicion: Entidad</v>
      </c>
      <c r="G11463" s="5"/>
    </row>
    <row r="11464" spans="1:7" ht="58.5" customHeight="1" x14ac:dyDescent="0.25">
      <c r="A11464" s="5" t="str">
        <f>"H0013147"</f>
        <v>H0013147</v>
      </c>
      <c r="B11464" s="5" t="str">
        <f t="shared" si="595"/>
        <v>BANDEJA PARA CARRO DE TRANSPORTE DE ALIMENTOS</v>
      </c>
      <c r="C11464" s="6">
        <v>111.11</v>
      </c>
      <c r="D11464" s="5"/>
      <c r="E11464" s="5" t="str">
        <f t="shared" si="594"/>
        <v>NUTRICION-ESPERANZA MONCADA PARADA</v>
      </c>
      <c r="F11464" s="5" t="str">
        <f>"Descripcion: BANDEJA EN ALUMINIO LISA GRANDE Estado: Bueno Placa anterior: 000015687 Material: ALUMINIO Color:  Referencia:  Observacion:  Placa padre: Tipo adquisicion: Entidad"</f>
        <v>Descripcion: BANDEJA EN ALUMINIO LISA GRANDE Estado: Bueno Placa anterior: 000015687 Material: ALUMINIO Color:  Referencia:  Observacion:  Placa padre: Tipo adquisicion: Entidad</v>
      </c>
      <c r="G11464" s="5"/>
    </row>
    <row r="11465" spans="1:7" ht="58.5" customHeight="1" x14ac:dyDescent="0.25">
      <c r="A11465" s="5" t="str">
        <f>"H0013148"</f>
        <v>H0013148</v>
      </c>
      <c r="B11465" s="5" t="str">
        <f t="shared" si="595"/>
        <v>BANDEJA PARA CARRO DE TRANSPORTE DE ALIMENTOS</v>
      </c>
      <c r="C11465" s="6">
        <v>111.11</v>
      </c>
      <c r="D11465" s="5"/>
      <c r="E11465" s="5" t="str">
        <f t="shared" si="594"/>
        <v>NUTRICION-ESPERANZA MONCADA PARADA</v>
      </c>
      <c r="F11465" s="5" t="str">
        <f>"Descripcion: BANDEJA EN ALUMINIO LISA GRANDE Estado: Bueno Placa anterior: 000015688 Material: ALUMINIO Color:  Referencia:  Observacion:  Placa padre: Tipo adquisicion: Entidad"</f>
        <v>Descripcion: BANDEJA EN ALUMINIO LISA GRANDE Estado: Bueno Placa anterior: 000015688 Material: ALUMINIO Color:  Referencia:  Observacion:  Placa padre: Tipo adquisicion: Entidad</v>
      </c>
      <c r="G11465" s="5"/>
    </row>
    <row r="11466" spans="1:7" ht="58.5" customHeight="1" x14ac:dyDescent="0.25">
      <c r="A11466" s="5" t="str">
        <f>"H0013149"</f>
        <v>H0013149</v>
      </c>
      <c r="B11466" s="5" t="str">
        <f t="shared" si="595"/>
        <v>BANDEJA PARA CARRO DE TRANSPORTE DE ALIMENTOS</v>
      </c>
      <c r="C11466" s="6">
        <v>111.11</v>
      </c>
      <c r="D11466" s="5"/>
      <c r="E11466" s="5" t="str">
        <f t="shared" si="594"/>
        <v>NUTRICION-ESPERANZA MONCADA PARADA</v>
      </c>
      <c r="F11466" s="5" t="str">
        <f>"Descripcion: BANDEJA EN ALUMINIO LISA GRANDE Estado: Bueno Placa anterior: 000015689 Material: ALUMINIO Color:  Referencia:  Observacion:  Placa padre: Tipo adquisicion: Entidad"</f>
        <v>Descripcion: BANDEJA EN ALUMINIO LISA GRANDE Estado: Bueno Placa anterior: 000015689 Material: ALUMINIO Color:  Referencia:  Observacion:  Placa padre: Tipo adquisicion: Entidad</v>
      </c>
      <c r="G11466" s="5"/>
    </row>
    <row r="11467" spans="1:7" ht="58.5" customHeight="1" x14ac:dyDescent="0.25">
      <c r="A11467" s="5" t="str">
        <f>"H0013153"</f>
        <v>H0013153</v>
      </c>
      <c r="B11467" s="5" t="str">
        <f t="shared" si="595"/>
        <v>BANDEJA PARA CARRO DE TRANSPORTE DE ALIMENTOS</v>
      </c>
      <c r="C11467" s="6">
        <v>111.11</v>
      </c>
      <c r="D11467" s="5"/>
      <c r="E11467" s="5" t="str">
        <f t="shared" si="594"/>
        <v>NUTRICION-ESPERANZA MONCADA PARADA</v>
      </c>
      <c r="F11467" s="5" t="str">
        <f>"Descripcion: BANDEJA EN ALUMINIO LISA GRANDE Estado: Bueno Placa anterior: 000015712 Material: ALUMINIO Color:  Referencia:  Observacion:  Placa padre: Tipo adquisicion: Entidad"</f>
        <v>Descripcion: BANDEJA EN ALUMINIO LISA GRANDE Estado: Bueno Placa anterior: 000015712 Material: ALUMINIO Color:  Referencia:  Observacion:  Placa padre: Tipo adquisicion: Entidad</v>
      </c>
      <c r="G11467" s="5"/>
    </row>
    <row r="11468" spans="1:7" ht="58.5" customHeight="1" x14ac:dyDescent="0.25">
      <c r="A11468" s="5" t="str">
        <f>"H0013154"</f>
        <v>H0013154</v>
      </c>
      <c r="B11468" s="5" t="str">
        <f t="shared" si="595"/>
        <v>BANDEJA PARA CARRO DE TRANSPORTE DE ALIMENTOS</v>
      </c>
      <c r="C11468" s="6">
        <v>111.11</v>
      </c>
      <c r="D11468" s="5"/>
      <c r="E11468" s="5" t="str">
        <f t="shared" si="594"/>
        <v>NUTRICION-ESPERANZA MONCADA PARADA</v>
      </c>
      <c r="F11468" s="5" t="str">
        <f>"Descripcion: BANDEJA EN ALUMINIO LISA GRANDE Estado: Bueno Placa anterior: 000015713 Material: ALUMINIO Color:  Referencia:  Observacion:  Placa padre: Tipo adquisicion: Entidad"</f>
        <v>Descripcion: BANDEJA EN ALUMINIO LISA GRANDE Estado: Bueno Placa anterior: 000015713 Material: ALUMINIO Color:  Referencia:  Observacion:  Placa padre: Tipo adquisicion: Entidad</v>
      </c>
      <c r="G11468" s="5"/>
    </row>
    <row r="11469" spans="1:7" ht="58.5" customHeight="1" x14ac:dyDescent="0.25">
      <c r="A11469" s="5" t="str">
        <f>"H0013155"</f>
        <v>H0013155</v>
      </c>
      <c r="B11469" s="5" t="str">
        <f t="shared" si="595"/>
        <v>BANDEJA PARA CARRO DE TRANSPORTE DE ALIMENTOS</v>
      </c>
      <c r="C11469" s="6">
        <v>111.11</v>
      </c>
      <c r="D11469" s="5"/>
      <c r="E11469" s="5" t="str">
        <f t="shared" si="594"/>
        <v>NUTRICION-ESPERANZA MONCADA PARADA</v>
      </c>
      <c r="F11469" s="5" t="str">
        <f>"Descripcion: BANDEJA EN ALUMINIO LISA GRANDE Estado: Bueno Placa anterior: 000015714 Material: ALUMINIO Color:  Referencia:  Observacion:  Placa padre: Tipo adquisicion: Entidad"</f>
        <v>Descripcion: BANDEJA EN ALUMINIO LISA GRANDE Estado: Bueno Placa anterior: 000015714 Material: ALUMINIO Color:  Referencia:  Observacion:  Placa padre: Tipo adquisicion: Entidad</v>
      </c>
      <c r="G11469" s="5"/>
    </row>
    <row r="11470" spans="1:7" ht="58.5" customHeight="1" x14ac:dyDescent="0.25">
      <c r="A11470" s="5" t="str">
        <f>"H0013156"</f>
        <v>H0013156</v>
      </c>
      <c r="B11470" s="5" t="str">
        <f t="shared" si="595"/>
        <v>BANDEJA PARA CARRO DE TRANSPORTE DE ALIMENTOS</v>
      </c>
      <c r="C11470" s="6">
        <v>111.11</v>
      </c>
      <c r="D11470" s="5"/>
      <c r="E11470" s="5" t="str">
        <f t="shared" si="594"/>
        <v>NUTRICION-ESPERANZA MONCADA PARADA</v>
      </c>
      <c r="F11470" s="5" t="str">
        <f>"Descripcion: BANDEJA EN ALUMINIO LISA GRANDE Estado: Bueno Placa anterior: 000015715 Material: ALUMINIO Color:  Referencia:  Observacion:  Placa padre: Tipo adquisicion: Entidad"</f>
        <v>Descripcion: BANDEJA EN ALUMINIO LISA GRANDE Estado: Bueno Placa anterior: 000015715 Material: ALUMINIO Color:  Referencia:  Observacion:  Placa padre: Tipo adquisicion: Entidad</v>
      </c>
      <c r="G11470" s="5"/>
    </row>
    <row r="11471" spans="1:7" ht="58.5" customHeight="1" x14ac:dyDescent="0.25">
      <c r="A11471" s="5" t="str">
        <f>"H0013157"</f>
        <v>H0013157</v>
      </c>
      <c r="B11471" s="5" t="str">
        <f t="shared" si="595"/>
        <v>BANDEJA PARA CARRO DE TRANSPORTE DE ALIMENTOS</v>
      </c>
      <c r="C11471" s="6">
        <v>111.11</v>
      </c>
      <c r="D11471" s="5"/>
      <c r="E11471" s="5" t="str">
        <f t="shared" si="594"/>
        <v>NUTRICION-ESPERANZA MONCADA PARADA</v>
      </c>
      <c r="F11471" s="5" t="str">
        <f>"Descripcion: BANDEJA EN ALUMINIO LISA GRANDE Estado: Bueno Placa anterior: 000015716 Material: ALUMINIO Color:  Referencia:  Observacion:  Placa padre: Tipo adquisicion: Entidad"</f>
        <v>Descripcion: BANDEJA EN ALUMINIO LISA GRANDE Estado: Bueno Placa anterior: 000015716 Material: ALUMINIO Color:  Referencia:  Observacion:  Placa padre: Tipo adquisicion: Entidad</v>
      </c>
      <c r="G11471" s="5"/>
    </row>
    <row r="11472" spans="1:7" ht="58.5" customHeight="1" x14ac:dyDescent="0.25">
      <c r="A11472" s="5" t="str">
        <f>"H0013158"</f>
        <v>H0013158</v>
      </c>
      <c r="B11472" s="5" t="str">
        <f t="shared" si="595"/>
        <v>BANDEJA PARA CARRO DE TRANSPORTE DE ALIMENTOS</v>
      </c>
      <c r="C11472" s="6">
        <v>111.11</v>
      </c>
      <c r="D11472" s="5"/>
      <c r="E11472" s="5" t="str">
        <f t="shared" si="594"/>
        <v>NUTRICION-ESPERANZA MONCADA PARADA</v>
      </c>
      <c r="F11472" s="5" t="str">
        <f>"Descripcion: BANDEJA EN ALUMINIO LISA GRANDE Estado: Bueno Placa anterior: 000015717 Material: ALUMINIO Color:  Referencia:  Observacion:  Placa padre: Tipo adquisicion: Entidad"</f>
        <v>Descripcion: BANDEJA EN ALUMINIO LISA GRANDE Estado: Bueno Placa anterior: 000015717 Material: ALUMINIO Color:  Referencia:  Observacion:  Placa padre: Tipo adquisicion: Entidad</v>
      </c>
      <c r="G11472" s="5"/>
    </row>
    <row r="11473" spans="1:7" ht="58.5" customHeight="1" x14ac:dyDescent="0.25">
      <c r="A11473" s="5" t="str">
        <f>"H0013159"</f>
        <v>H0013159</v>
      </c>
      <c r="B11473" s="5" t="str">
        <f t="shared" si="595"/>
        <v>BANDEJA PARA CARRO DE TRANSPORTE DE ALIMENTOS</v>
      </c>
      <c r="C11473" s="6">
        <v>111.11</v>
      </c>
      <c r="D11473" s="5"/>
      <c r="E11473" s="5" t="str">
        <f t="shared" si="594"/>
        <v>NUTRICION-ESPERANZA MONCADA PARADA</v>
      </c>
      <c r="F11473" s="5" t="str">
        <f>"Descripcion: BANDEJA EN ALUMINIO LISA GRANDE Estado: Bueno Placa anterior: 000015718 Material: ALUMINIO Color:  Referencia:  Observacion:  Placa padre: Tipo adquisicion: Entidad"</f>
        <v>Descripcion: BANDEJA EN ALUMINIO LISA GRANDE Estado: Bueno Placa anterior: 000015718 Material: ALUMINIO Color:  Referencia:  Observacion:  Placa padre: Tipo adquisicion: Entidad</v>
      </c>
      <c r="G11473" s="5"/>
    </row>
    <row r="11474" spans="1:7" ht="58.5" customHeight="1" x14ac:dyDescent="0.25">
      <c r="A11474" s="5" t="str">
        <f>"H0013160"</f>
        <v>H0013160</v>
      </c>
      <c r="B11474" s="5" t="str">
        <f t="shared" si="595"/>
        <v>BANDEJA PARA CARRO DE TRANSPORTE DE ALIMENTOS</v>
      </c>
      <c r="C11474" s="6">
        <v>111.11</v>
      </c>
      <c r="D11474" s="5"/>
      <c r="E11474" s="5" t="str">
        <f t="shared" si="594"/>
        <v>NUTRICION-ESPERANZA MONCADA PARADA</v>
      </c>
      <c r="F11474" s="5" t="str">
        <f>"Descripcion: BANDEJA EN ALUMINIO LISA GRANDE Estado: Bueno Placa anterior: 000015719 Material: ALUMINIO Color:  Referencia:  Observacion:  Placa padre: Tipo adquisicion: Entidad"</f>
        <v>Descripcion: BANDEJA EN ALUMINIO LISA GRANDE Estado: Bueno Placa anterior: 000015719 Material: ALUMINIO Color:  Referencia:  Observacion:  Placa padre: Tipo adquisicion: Entidad</v>
      </c>
      <c r="G11474" s="5"/>
    </row>
    <row r="11475" spans="1:7" ht="58.5" customHeight="1" x14ac:dyDescent="0.25">
      <c r="A11475" s="5" t="str">
        <f>"H0013161"</f>
        <v>H0013161</v>
      </c>
      <c r="B11475" s="5" t="str">
        <f t="shared" si="595"/>
        <v>BANDEJA PARA CARRO DE TRANSPORTE DE ALIMENTOS</v>
      </c>
      <c r="C11475" s="6">
        <v>111.11</v>
      </c>
      <c r="D11475" s="5"/>
      <c r="E11475" s="5" t="str">
        <f t="shared" si="594"/>
        <v>NUTRICION-ESPERANZA MONCADA PARADA</v>
      </c>
      <c r="F11475" s="5" t="str">
        <f>"Descripcion: BANDEJA EN ALUMINIO LISA GRANDE Estado: Bueno Placa anterior: 000015720 Material: ALUMINIO Color:  Referencia:  Observacion:  Placa padre: Tipo adquisicion: Entidad"</f>
        <v>Descripcion: BANDEJA EN ALUMINIO LISA GRANDE Estado: Bueno Placa anterior: 000015720 Material: ALUMINIO Color:  Referencia:  Observacion:  Placa padre: Tipo adquisicion: Entidad</v>
      </c>
      <c r="G11475" s="5"/>
    </row>
    <row r="11476" spans="1:7" ht="58.5" customHeight="1" x14ac:dyDescent="0.25">
      <c r="A11476" s="5" t="str">
        <f>"H0013162"</f>
        <v>H0013162</v>
      </c>
      <c r="B11476" s="5" t="str">
        <f t="shared" si="595"/>
        <v>BANDEJA PARA CARRO DE TRANSPORTE DE ALIMENTOS</v>
      </c>
      <c r="C11476" s="6">
        <v>111.11</v>
      </c>
      <c r="D11476" s="5"/>
      <c r="E11476" s="5" t="str">
        <f t="shared" si="594"/>
        <v>NUTRICION-ESPERANZA MONCADA PARADA</v>
      </c>
      <c r="F11476" s="5" t="str">
        <f>"Descripcion: BANDEJA EN ALUMINIO LISA GRANDE Estado: Bueno Placa anterior: 000015721 Material: ALUMINIO Color:  Referencia:  Observacion:  Placa padre: Tipo adquisicion: Entidad"</f>
        <v>Descripcion: BANDEJA EN ALUMINIO LISA GRANDE Estado: Bueno Placa anterior: 000015721 Material: ALUMINIO Color:  Referencia:  Observacion:  Placa padre: Tipo adquisicion: Entidad</v>
      </c>
      <c r="G11476" s="5"/>
    </row>
    <row r="11477" spans="1:7" ht="58.5" customHeight="1" x14ac:dyDescent="0.25">
      <c r="A11477" s="5" t="str">
        <f>"H0013163"</f>
        <v>H0013163</v>
      </c>
      <c r="B11477" s="5" t="str">
        <f t="shared" si="595"/>
        <v>BANDEJA PARA CARRO DE TRANSPORTE DE ALIMENTOS</v>
      </c>
      <c r="C11477" s="6">
        <v>111.11</v>
      </c>
      <c r="D11477" s="5"/>
      <c r="E11477" s="5" t="str">
        <f t="shared" si="594"/>
        <v>NUTRICION-ESPERANZA MONCADA PARADA</v>
      </c>
      <c r="F11477" s="5" t="str">
        <f>"Descripcion: BANDEJA EN ALUMINIO LISA GRANDE Estado: Bueno Placa anterior: 000015722 Material: ALUMINIO Color:  Referencia:  Observacion:  Placa padre: Tipo adquisicion: Entidad"</f>
        <v>Descripcion: BANDEJA EN ALUMINIO LISA GRANDE Estado: Bueno Placa anterior: 000015722 Material: ALUMINIO Color:  Referencia:  Observacion:  Placa padre: Tipo adquisicion: Entidad</v>
      </c>
      <c r="G11477" s="5"/>
    </row>
    <row r="11478" spans="1:7" ht="58.5" customHeight="1" x14ac:dyDescent="0.25">
      <c r="A11478" s="5" t="str">
        <f>"H0013164"</f>
        <v>H0013164</v>
      </c>
      <c r="B11478" s="5" t="str">
        <f t="shared" si="595"/>
        <v>BANDEJA PARA CARRO DE TRANSPORTE DE ALIMENTOS</v>
      </c>
      <c r="C11478" s="6">
        <v>111.11</v>
      </c>
      <c r="D11478" s="5"/>
      <c r="E11478" s="5" t="str">
        <f t="shared" si="594"/>
        <v>NUTRICION-ESPERANZA MONCADA PARADA</v>
      </c>
      <c r="F11478" s="5" t="str">
        <f>"Descripcion: BANDEJA EN ALUMINIO LISA GRANDE Estado: Bueno Placa anterior: 000015723 Material: ALUMINIO Color:  Referencia:  Observacion:  Placa padre: Tipo adquisicion: Entidad"</f>
        <v>Descripcion: BANDEJA EN ALUMINIO LISA GRANDE Estado: Bueno Placa anterior: 000015723 Material: ALUMINIO Color:  Referencia:  Observacion:  Placa padre: Tipo adquisicion: Entidad</v>
      </c>
      <c r="G11478" s="5"/>
    </row>
    <row r="11479" spans="1:7" ht="58.5" customHeight="1" x14ac:dyDescent="0.25">
      <c r="A11479" s="5" t="str">
        <f>"H0013165"</f>
        <v>H0013165</v>
      </c>
      <c r="B11479" s="5" t="str">
        <f t="shared" si="595"/>
        <v>BANDEJA PARA CARRO DE TRANSPORTE DE ALIMENTOS</v>
      </c>
      <c r="C11479" s="6">
        <v>111.11</v>
      </c>
      <c r="D11479" s="5"/>
      <c r="E11479" s="5" t="str">
        <f t="shared" si="594"/>
        <v>NUTRICION-ESPERANZA MONCADA PARADA</v>
      </c>
      <c r="F11479" s="5" t="str">
        <f>"Descripcion: BANDEJA EN ALUMINIO LISA GRANDE Estado: Bueno Placa anterior: 000015724 Material: ALUMINIO Color:  Referencia:  Observacion:  Placa padre: Tipo adquisicion: Entidad"</f>
        <v>Descripcion: BANDEJA EN ALUMINIO LISA GRANDE Estado: Bueno Placa anterior: 000015724 Material: ALUMINIO Color:  Referencia:  Observacion:  Placa padre: Tipo adquisicion: Entidad</v>
      </c>
      <c r="G11479" s="5"/>
    </row>
    <row r="11480" spans="1:7" ht="58.5" customHeight="1" x14ac:dyDescent="0.25">
      <c r="A11480" s="5" t="str">
        <f>"H0013166"</f>
        <v>H0013166</v>
      </c>
      <c r="B11480" s="5" t="str">
        <f t="shared" si="595"/>
        <v>BANDEJA PARA CARRO DE TRANSPORTE DE ALIMENTOS</v>
      </c>
      <c r="C11480" s="6">
        <v>111.11</v>
      </c>
      <c r="D11480" s="5"/>
      <c r="E11480" s="5" t="str">
        <f t="shared" si="594"/>
        <v>NUTRICION-ESPERANZA MONCADA PARADA</v>
      </c>
      <c r="F11480" s="5" t="str">
        <f>"Descripcion: BANDEJA EN ALUMINIO LISA GRANDE Estado: Bueno Placa anterior: 000015725 Material: ALUMINIO Color:  Referencia:  Observacion:  Placa padre: Tipo adquisicion: Entidad"</f>
        <v>Descripcion: BANDEJA EN ALUMINIO LISA GRANDE Estado: Bueno Placa anterior: 000015725 Material: ALUMINIO Color:  Referencia:  Observacion:  Placa padre: Tipo adquisicion: Entidad</v>
      </c>
      <c r="G11480" s="5"/>
    </row>
    <row r="11481" spans="1:7" ht="58.5" customHeight="1" x14ac:dyDescent="0.25">
      <c r="A11481" s="5" t="str">
        <f>"H0013167"</f>
        <v>H0013167</v>
      </c>
      <c r="B11481" s="5" t="str">
        <f t="shared" si="595"/>
        <v>BANDEJA PARA CARRO DE TRANSPORTE DE ALIMENTOS</v>
      </c>
      <c r="C11481" s="6">
        <v>111.11</v>
      </c>
      <c r="D11481" s="5"/>
      <c r="E11481" s="5" t="str">
        <f t="shared" si="594"/>
        <v>NUTRICION-ESPERANZA MONCADA PARADA</v>
      </c>
      <c r="F11481" s="5" t="str">
        <f>"Descripcion: BANDEJA EN ALUMINIO LISA GRANDE Estado: Bueno Placa anterior: 000015726 Material: ALUMINIO Color:  Referencia:  Observacion:  Placa padre: Tipo adquisicion: Entidad"</f>
        <v>Descripcion: BANDEJA EN ALUMINIO LISA GRANDE Estado: Bueno Placa anterior: 000015726 Material: ALUMINIO Color:  Referencia:  Observacion:  Placa padre: Tipo adquisicion: Entidad</v>
      </c>
      <c r="G11481" s="5"/>
    </row>
    <row r="11482" spans="1:7" ht="58.5" customHeight="1" x14ac:dyDescent="0.25">
      <c r="A11482" s="5" t="str">
        <f>"H0013168"</f>
        <v>H0013168</v>
      </c>
      <c r="B11482" s="5" t="str">
        <f t="shared" si="595"/>
        <v>BANDEJA PARA CARRO DE TRANSPORTE DE ALIMENTOS</v>
      </c>
      <c r="C11482" s="6">
        <v>111.11</v>
      </c>
      <c r="D11482" s="5"/>
      <c r="E11482" s="5" t="str">
        <f t="shared" si="594"/>
        <v>NUTRICION-ESPERANZA MONCADA PARADA</v>
      </c>
      <c r="F11482" s="5" t="str">
        <f>"Descripcion: BANDEJA EN ALUMINIO LISA GRANDE Estado: Bueno Placa anterior: 000015727 Material: ALUMINIO Color:  Referencia:  Observacion:  Placa padre: Tipo adquisicion: Entidad"</f>
        <v>Descripcion: BANDEJA EN ALUMINIO LISA GRANDE Estado: Bueno Placa anterior: 000015727 Material: ALUMINIO Color:  Referencia:  Observacion:  Placa padre: Tipo adquisicion: Entidad</v>
      </c>
      <c r="G11482" s="5"/>
    </row>
    <row r="11483" spans="1:7" ht="58.5" customHeight="1" x14ac:dyDescent="0.25">
      <c r="A11483" s="5" t="str">
        <f>"H0013169"</f>
        <v>H0013169</v>
      </c>
      <c r="B11483" s="5" t="str">
        <f t="shared" si="595"/>
        <v>BANDEJA PARA CARRO DE TRANSPORTE DE ALIMENTOS</v>
      </c>
      <c r="C11483" s="6">
        <v>111.11</v>
      </c>
      <c r="D11483" s="5"/>
      <c r="E11483" s="5" t="str">
        <f t="shared" si="594"/>
        <v>NUTRICION-ESPERANZA MONCADA PARADA</v>
      </c>
      <c r="F11483" s="5" t="str">
        <f>"Descripcion: BANDEJA EN ALUMINIO LISA GRANDE Estado: Bueno Placa anterior: 000015728 Material: ALUMINIO Color:  Referencia:  Observacion:  Placa padre: Tipo adquisicion: Entidad"</f>
        <v>Descripcion: BANDEJA EN ALUMINIO LISA GRANDE Estado: Bueno Placa anterior: 000015728 Material: ALUMINIO Color:  Referencia:  Observacion:  Placa padre: Tipo adquisicion: Entidad</v>
      </c>
      <c r="G11483" s="5"/>
    </row>
    <row r="11484" spans="1:7" ht="58.5" customHeight="1" x14ac:dyDescent="0.25">
      <c r="A11484" s="5" t="str">
        <f>"H0013170"</f>
        <v>H0013170</v>
      </c>
      <c r="B11484" s="5" t="str">
        <f t="shared" si="595"/>
        <v>BANDEJA PARA CARRO DE TRANSPORTE DE ALIMENTOS</v>
      </c>
      <c r="C11484" s="6">
        <v>111.11</v>
      </c>
      <c r="D11484" s="5"/>
      <c r="E11484" s="5" t="str">
        <f t="shared" si="594"/>
        <v>NUTRICION-ESPERANZA MONCADA PARADA</v>
      </c>
      <c r="F11484" s="5" t="str">
        <f>"Descripcion: BANDEJA EN ALUMINIO LISA GRANDE Estado: Bueno Placa anterior: 000015729 Material: ALUMINIO Color:  Referencia:  Observacion:  Placa padre: Tipo adquisicion: Entidad"</f>
        <v>Descripcion: BANDEJA EN ALUMINIO LISA GRANDE Estado: Bueno Placa anterior: 000015729 Material: ALUMINIO Color:  Referencia:  Observacion:  Placa padre: Tipo adquisicion: Entidad</v>
      </c>
      <c r="G11484" s="5"/>
    </row>
    <row r="11485" spans="1:7" ht="58.5" customHeight="1" x14ac:dyDescent="0.25">
      <c r="A11485" s="5" t="str">
        <f>"H0013171"</f>
        <v>H0013171</v>
      </c>
      <c r="B11485" s="5" t="str">
        <f t="shared" si="595"/>
        <v>BANDEJA PARA CARRO DE TRANSPORTE DE ALIMENTOS</v>
      </c>
      <c r="C11485" s="6">
        <v>111.11</v>
      </c>
      <c r="D11485" s="5"/>
      <c r="E11485" s="5" t="str">
        <f t="shared" si="594"/>
        <v>NUTRICION-ESPERANZA MONCADA PARADA</v>
      </c>
      <c r="F11485" s="5" t="str">
        <f>"Descripcion: BANDEJA EN ALUMINIO LISA GRANDE Estado: Bueno Placa anterior: 000015737 Material: ALUMINIO Color:  Referencia:  Observacion:  Placa padre: Tipo adquisicion: Entidad"</f>
        <v>Descripcion: BANDEJA EN ALUMINIO LISA GRANDE Estado: Bueno Placa anterior: 000015737 Material: ALUMINIO Color:  Referencia:  Observacion:  Placa padre: Tipo adquisicion: Entidad</v>
      </c>
      <c r="G11485" s="5"/>
    </row>
    <row r="11486" spans="1:7" ht="58.5" customHeight="1" x14ac:dyDescent="0.25">
      <c r="A11486" s="5" t="str">
        <f>"H0013173"</f>
        <v>H0013173</v>
      </c>
      <c r="B11486" s="5" t="str">
        <f t="shared" si="595"/>
        <v>BANDEJA PARA CARRO DE TRANSPORTE DE ALIMENTOS</v>
      </c>
      <c r="C11486" s="6">
        <v>111.11</v>
      </c>
      <c r="D11486" s="5"/>
      <c r="E11486" s="5" t="str">
        <f t="shared" si="594"/>
        <v>NUTRICION-ESPERANZA MONCADA PARADA</v>
      </c>
      <c r="F11486" s="5" t="str">
        <f>"Descripcion: BANDEJA EN ALUMINIO LISA GRANDE Estado: Bueno Placa anterior: 000015739 Material: ALUMINIO Color:  Referencia:  Observacion:  Placa padre: Tipo adquisicion: Entidad"</f>
        <v>Descripcion: BANDEJA EN ALUMINIO LISA GRANDE Estado: Bueno Placa anterior: 000015739 Material: ALUMINIO Color:  Referencia:  Observacion:  Placa padre: Tipo adquisicion: Entidad</v>
      </c>
      <c r="G11486" s="5"/>
    </row>
    <row r="11487" spans="1:7" ht="58.5" customHeight="1" x14ac:dyDescent="0.25">
      <c r="A11487" s="5" t="str">
        <f>"H0013175"</f>
        <v>H0013175</v>
      </c>
      <c r="B11487" s="5" t="str">
        <f>"CARRO PARA TRANSPORTE DE ALIMENTOS TERMICO"</f>
        <v>CARRO PARA TRANSPORTE DE ALIMENTOS TERMICO</v>
      </c>
      <c r="C11487" s="6">
        <v>144509.41</v>
      </c>
      <c r="D11487" s="5"/>
      <c r="E11487" s="5" t="str">
        <f t="shared" si="594"/>
        <v>NUTRICION-ESPERANZA MONCADA PARADA</v>
      </c>
      <c r="F11487" s="5" t="str">
        <f>"Descripcion: CARRO THERMO BANDEJERO Estado: Bueno Placa anterior: 000014164 Material: ACERO INOXIDABLE Color:  Referencia:  Observacion:  Placa padre: Tipo adquisicion: Entidad"</f>
        <v>Descripcion: CARRO THERMO BANDEJERO Estado: Bueno Placa anterior: 000014164 Material: ACERO INOXIDABLE Color:  Referencia:  Observacion:  Placa padre: Tipo adquisicion: Entidad</v>
      </c>
      <c r="G11487" s="5"/>
    </row>
    <row r="11488" spans="1:7" ht="58.5" customHeight="1" x14ac:dyDescent="0.25">
      <c r="A11488" s="5" t="str">
        <f>"H0013176"</f>
        <v>H0013176</v>
      </c>
      <c r="B11488" s="5" t="str">
        <f t="shared" ref="B11488:B11515" si="596">"BANDEJA PARA CARRO DE TRANSPORTE DE ALIMENTOS"</f>
        <v>BANDEJA PARA CARRO DE TRANSPORTE DE ALIMENTOS</v>
      </c>
      <c r="C11488" s="6">
        <v>111.11</v>
      </c>
      <c r="D11488" s="5"/>
      <c r="E11488" s="5" t="str">
        <f t="shared" si="594"/>
        <v>NUTRICION-ESPERANZA MONCADA PARADA</v>
      </c>
      <c r="F11488" s="5" t="str">
        <f>"Descripcion: BANDEJA EN ALUMINIO LISA GRANDE Estado: Bueno Placa anterior: 000015741 Material: ALUMINIO Color:  Referencia:  Observacion:  Placa padre: Tipo adquisicion: Entidad"</f>
        <v>Descripcion: BANDEJA EN ALUMINIO LISA GRANDE Estado: Bueno Placa anterior: 000015741 Material: ALUMINIO Color:  Referencia:  Observacion:  Placa padre: Tipo adquisicion: Entidad</v>
      </c>
      <c r="G11488" s="5"/>
    </row>
    <row r="11489" spans="1:7" ht="58.5" customHeight="1" x14ac:dyDescent="0.25">
      <c r="A11489" s="5" t="str">
        <f>"H0013177"</f>
        <v>H0013177</v>
      </c>
      <c r="B11489" s="5" t="str">
        <f t="shared" si="596"/>
        <v>BANDEJA PARA CARRO DE TRANSPORTE DE ALIMENTOS</v>
      </c>
      <c r="C11489" s="6">
        <v>111.11</v>
      </c>
      <c r="D11489" s="5"/>
      <c r="E11489" s="5" t="str">
        <f t="shared" si="594"/>
        <v>NUTRICION-ESPERANZA MONCADA PARADA</v>
      </c>
      <c r="F11489" s="5" t="str">
        <f>"Descripcion: BANDEJA EN ALUMINIO LISA GRANDE Estado: Bueno Placa anterior: 000015742 Material: ALUMINIO Color:  Referencia:  Observacion:  Placa padre: Tipo adquisicion: Entidad"</f>
        <v>Descripcion: BANDEJA EN ALUMINIO LISA GRANDE Estado: Bueno Placa anterior: 000015742 Material: ALUMINIO Color:  Referencia:  Observacion:  Placa padre: Tipo adquisicion: Entidad</v>
      </c>
      <c r="G11489" s="5"/>
    </row>
    <row r="11490" spans="1:7" ht="58.5" customHeight="1" x14ac:dyDescent="0.25">
      <c r="A11490" s="5" t="str">
        <f>"H0013178"</f>
        <v>H0013178</v>
      </c>
      <c r="B11490" s="5" t="str">
        <f t="shared" si="596"/>
        <v>BANDEJA PARA CARRO DE TRANSPORTE DE ALIMENTOS</v>
      </c>
      <c r="C11490" s="6">
        <v>111.11</v>
      </c>
      <c r="D11490" s="5"/>
      <c r="E11490" s="5" t="str">
        <f t="shared" si="594"/>
        <v>NUTRICION-ESPERANZA MONCADA PARADA</v>
      </c>
      <c r="F11490" s="5" t="str">
        <f>"Descripcion: BANDEJA EN ALUMINIO LISA GRANDE Estado: Bueno Placa anterior: 000015743 Material: ALUMINIO Color:  Referencia:  Observacion:  Placa padre: Tipo adquisicion: Entidad"</f>
        <v>Descripcion: BANDEJA EN ALUMINIO LISA GRANDE Estado: Bueno Placa anterior: 000015743 Material: ALUMINIO Color:  Referencia:  Observacion:  Placa padre: Tipo adquisicion: Entidad</v>
      </c>
      <c r="G11490" s="5"/>
    </row>
    <row r="11491" spans="1:7" ht="58.5" customHeight="1" x14ac:dyDescent="0.25">
      <c r="A11491" s="5" t="str">
        <f>"H0013179"</f>
        <v>H0013179</v>
      </c>
      <c r="B11491" s="5" t="str">
        <f t="shared" si="596"/>
        <v>BANDEJA PARA CARRO DE TRANSPORTE DE ALIMENTOS</v>
      </c>
      <c r="C11491" s="6">
        <v>111.11</v>
      </c>
      <c r="D11491" s="5"/>
      <c r="E11491" s="5" t="str">
        <f t="shared" si="594"/>
        <v>NUTRICION-ESPERANZA MONCADA PARADA</v>
      </c>
      <c r="F11491" s="5" t="str">
        <f>"Descripcion: BANDEJA EN ALUMINIO LISA GRANDE Estado: Bueno Placa anterior: 000015744 Material: ALUMINIO Color:  Referencia:  Observacion:  Placa padre: Tipo adquisicion: Entidad"</f>
        <v>Descripcion: BANDEJA EN ALUMINIO LISA GRANDE Estado: Bueno Placa anterior: 000015744 Material: ALUMINIO Color:  Referencia:  Observacion:  Placa padre: Tipo adquisicion: Entidad</v>
      </c>
      <c r="G11491" s="5"/>
    </row>
    <row r="11492" spans="1:7" ht="58.5" customHeight="1" x14ac:dyDescent="0.25">
      <c r="A11492" s="5" t="str">
        <f>"H0013180"</f>
        <v>H0013180</v>
      </c>
      <c r="B11492" s="5" t="str">
        <f t="shared" si="596"/>
        <v>BANDEJA PARA CARRO DE TRANSPORTE DE ALIMENTOS</v>
      </c>
      <c r="C11492" s="6">
        <v>111.11</v>
      </c>
      <c r="D11492" s="5"/>
      <c r="E11492" s="5" t="str">
        <f t="shared" si="594"/>
        <v>NUTRICION-ESPERANZA MONCADA PARADA</v>
      </c>
      <c r="F11492" s="5" t="str">
        <f>"Descripcion: BANDEJA EN ALUMINIO LISA GRANDE Estado: Bueno Placa anterior: 000015745 Material: ALUMINIO Color:  Referencia:  Observacion:  Placa padre: Tipo adquisicion: Entidad"</f>
        <v>Descripcion: BANDEJA EN ALUMINIO LISA GRANDE Estado: Bueno Placa anterior: 000015745 Material: ALUMINIO Color:  Referencia:  Observacion:  Placa padre: Tipo adquisicion: Entidad</v>
      </c>
      <c r="G11492" s="5"/>
    </row>
    <row r="11493" spans="1:7" ht="58.5" customHeight="1" x14ac:dyDescent="0.25">
      <c r="A11493" s="5" t="str">
        <f>"H0013181"</f>
        <v>H0013181</v>
      </c>
      <c r="B11493" s="5" t="str">
        <f t="shared" si="596"/>
        <v>BANDEJA PARA CARRO DE TRANSPORTE DE ALIMENTOS</v>
      </c>
      <c r="C11493" s="6">
        <v>111.11</v>
      </c>
      <c r="D11493" s="5"/>
      <c r="E11493" s="5" t="str">
        <f t="shared" si="594"/>
        <v>NUTRICION-ESPERANZA MONCADA PARADA</v>
      </c>
      <c r="F11493" s="5" t="str">
        <f>"Descripcion: BANDEJA EN ALUMINIO LISA GRANDE Estado: Bueno Placa anterior: 000015746 Material: ALUMINIO Color:  Referencia:  Observacion:  Placa padre: Tipo adquisicion: Entidad"</f>
        <v>Descripcion: BANDEJA EN ALUMINIO LISA GRANDE Estado: Bueno Placa anterior: 000015746 Material: ALUMINIO Color:  Referencia:  Observacion:  Placa padre: Tipo adquisicion: Entidad</v>
      </c>
      <c r="G11493" s="5"/>
    </row>
    <row r="11494" spans="1:7" ht="58.5" customHeight="1" x14ac:dyDescent="0.25">
      <c r="A11494" s="5" t="str">
        <f>"H0013182"</f>
        <v>H0013182</v>
      </c>
      <c r="B11494" s="5" t="str">
        <f t="shared" si="596"/>
        <v>BANDEJA PARA CARRO DE TRANSPORTE DE ALIMENTOS</v>
      </c>
      <c r="C11494" s="6">
        <v>111.11</v>
      </c>
      <c r="D11494" s="5"/>
      <c r="E11494" s="5" t="str">
        <f t="shared" si="594"/>
        <v>NUTRICION-ESPERANZA MONCADA PARADA</v>
      </c>
      <c r="F11494" s="5" t="str">
        <f>"Descripcion: BANDEJA EN ALUMINIO LISA GRANDE Estado: Bueno Placa anterior: 000015747 Material: ALUMINIO Color:  Referencia:  Observacion:  Placa padre: Tipo adquisicion: Entidad"</f>
        <v>Descripcion: BANDEJA EN ALUMINIO LISA GRANDE Estado: Bueno Placa anterior: 000015747 Material: ALUMINIO Color:  Referencia:  Observacion:  Placa padre: Tipo adquisicion: Entidad</v>
      </c>
      <c r="G11494" s="5"/>
    </row>
    <row r="11495" spans="1:7" ht="58.5" customHeight="1" x14ac:dyDescent="0.25">
      <c r="A11495" s="5" t="str">
        <f>"H0013183"</f>
        <v>H0013183</v>
      </c>
      <c r="B11495" s="5" t="str">
        <f t="shared" si="596"/>
        <v>BANDEJA PARA CARRO DE TRANSPORTE DE ALIMENTOS</v>
      </c>
      <c r="C11495" s="6">
        <v>111.11</v>
      </c>
      <c r="D11495" s="5"/>
      <c r="E11495" s="5" t="str">
        <f t="shared" ref="E11495:E11558" si="597">"NUTRICION-ESPERANZA MONCADA PARADA"</f>
        <v>NUTRICION-ESPERANZA MONCADA PARADA</v>
      </c>
      <c r="F11495" s="5" t="str">
        <f>"Descripcion: BANDEJA EN ALUMINIO LISA GRANDE Estado: Bueno Placa anterior: 000015748 Material: ALUMINIO Color:  Referencia:  Observacion:  Placa padre: Tipo adquisicion: Entidad"</f>
        <v>Descripcion: BANDEJA EN ALUMINIO LISA GRANDE Estado: Bueno Placa anterior: 000015748 Material: ALUMINIO Color:  Referencia:  Observacion:  Placa padre: Tipo adquisicion: Entidad</v>
      </c>
      <c r="G11495" s="5"/>
    </row>
    <row r="11496" spans="1:7" ht="58.5" customHeight="1" x14ac:dyDescent="0.25">
      <c r="A11496" s="5" t="str">
        <f>"H0013184"</f>
        <v>H0013184</v>
      </c>
      <c r="B11496" s="5" t="str">
        <f t="shared" si="596"/>
        <v>BANDEJA PARA CARRO DE TRANSPORTE DE ALIMENTOS</v>
      </c>
      <c r="C11496" s="6">
        <v>111.11</v>
      </c>
      <c r="D11496" s="5"/>
      <c r="E11496" s="5" t="str">
        <f t="shared" si="597"/>
        <v>NUTRICION-ESPERANZA MONCADA PARADA</v>
      </c>
      <c r="F11496" s="5" t="str">
        <f>"Descripcion: BANDEJA EN ALUMINIO LISA GRANDE Estado: Bueno Placa anterior: 000015749 Material: ALUMINIO Color:  Referencia:  Observacion:  Placa padre: Tipo adquisicion: Entidad"</f>
        <v>Descripcion: BANDEJA EN ALUMINIO LISA GRANDE Estado: Bueno Placa anterior: 000015749 Material: ALUMINIO Color:  Referencia:  Observacion:  Placa padre: Tipo adquisicion: Entidad</v>
      </c>
      <c r="G11496" s="5"/>
    </row>
    <row r="11497" spans="1:7" ht="58.5" customHeight="1" x14ac:dyDescent="0.25">
      <c r="A11497" s="5" t="str">
        <f>"H0013185"</f>
        <v>H0013185</v>
      </c>
      <c r="B11497" s="5" t="str">
        <f t="shared" si="596"/>
        <v>BANDEJA PARA CARRO DE TRANSPORTE DE ALIMENTOS</v>
      </c>
      <c r="C11497" s="6">
        <v>111.11</v>
      </c>
      <c r="D11497" s="5"/>
      <c r="E11497" s="5" t="str">
        <f t="shared" si="597"/>
        <v>NUTRICION-ESPERANZA MONCADA PARADA</v>
      </c>
      <c r="F11497" s="5" t="str">
        <f>"Descripcion: BANDEJA EN ALUMINIO LISA GRANDE Estado: Bueno Placa anterior: 000015750 Material: ALUMINIO Color:  Referencia:  Observacion:  Placa padre: Tipo adquisicion: Entidad"</f>
        <v>Descripcion: BANDEJA EN ALUMINIO LISA GRANDE Estado: Bueno Placa anterior: 000015750 Material: ALUMINIO Color:  Referencia:  Observacion:  Placa padre: Tipo adquisicion: Entidad</v>
      </c>
      <c r="G11497" s="5"/>
    </row>
    <row r="11498" spans="1:7" ht="58.5" customHeight="1" x14ac:dyDescent="0.25">
      <c r="A11498" s="5" t="str">
        <f>"H0013186"</f>
        <v>H0013186</v>
      </c>
      <c r="B11498" s="5" t="str">
        <f t="shared" si="596"/>
        <v>BANDEJA PARA CARRO DE TRANSPORTE DE ALIMENTOS</v>
      </c>
      <c r="C11498" s="6">
        <v>111.11</v>
      </c>
      <c r="D11498" s="5"/>
      <c r="E11498" s="5" t="str">
        <f t="shared" si="597"/>
        <v>NUTRICION-ESPERANZA MONCADA PARADA</v>
      </c>
      <c r="F11498" s="5" t="str">
        <f>"Descripcion: BANDEJA EN ALUMINIO LISA GRANDE Estado: Bueno Placa anterior: 000015751 Material: ALUMINIO Color:  Referencia:  Observacion:  Placa padre: Tipo adquisicion: Entidad"</f>
        <v>Descripcion: BANDEJA EN ALUMINIO LISA GRANDE Estado: Bueno Placa anterior: 000015751 Material: ALUMINIO Color:  Referencia:  Observacion:  Placa padre: Tipo adquisicion: Entidad</v>
      </c>
      <c r="G11498" s="5"/>
    </row>
    <row r="11499" spans="1:7" ht="58.5" customHeight="1" x14ac:dyDescent="0.25">
      <c r="A11499" s="5" t="str">
        <f>"H0013187"</f>
        <v>H0013187</v>
      </c>
      <c r="B11499" s="5" t="str">
        <f t="shared" si="596"/>
        <v>BANDEJA PARA CARRO DE TRANSPORTE DE ALIMENTOS</v>
      </c>
      <c r="C11499" s="6">
        <v>111.11</v>
      </c>
      <c r="D11499" s="5"/>
      <c r="E11499" s="5" t="str">
        <f t="shared" si="597"/>
        <v>NUTRICION-ESPERANZA MONCADA PARADA</v>
      </c>
      <c r="F11499" s="5" t="str">
        <f>"Descripcion: BANDEJA EN ALUMINIO LISA GRANDE Estado: Bueno Placa anterior: 000015752 Material: ALUMINIO Color:  Referencia:  Observacion:  Placa padre: Tipo adquisicion: Entidad"</f>
        <v>Descripcion: BANDEJA EN ALUMINIO LISA GRANDE Estado: Bueno Placa anterior: 000015752 Material: ALUMINIO Color:  Referencia:  Observacion:  Placa padre: Tipo adquisicion: Entidad</v>
      </c>
      <c r="G11499" s="5"/>
    </row>
    <row r="11500" spans="1:7" ht="58.5" customHeight="1" x14ac:dyDescent="0.25">
      <c r="A11500" s="5" t="str">
        <f>"H0013188"</f>
        <v>H0013188</v>
      </c>
      <c r="B11500" s="5" t="str">
        <f t="shared" si="596"/>
        <v>BANDEJA PARA CARRO DE TRANSPORTE DE ALIMENTOS</v>
      </c>
      <c r="C11500" s="6">
        <v>111.11</v>
      </c>
      <c r="D11500" s="5"/>
      <c r="E11500" s="5" t="str">
        <f t="shared" si="597"/>
        <v>NUTRICION-ESPERANZA MONCADA PARADA</v>
      </c>
      <c r="F11500" s="5" t="str">
        <f>"Descripcion: BANDEJA EN ALUMINIO LISA GRANDE Estado: Bueno Placa anterior: 000015753 Material: ALUMINIO Color:  Referencia:  Observacion:  Placa padre: Tipo adquisicion: Entidad"</f>
        <v>Descripcion: BANDEJA EN ALUMINIO LISA GRANDE Estado: Bueno Placa anterior: 000015753 Material: ALUMINIO Color:  Referencia:  Observacion:  Placa padre: Tipo adquisicion: Entidad</v>
      </c>
      <c r="G11500" s="5"/>
    </row>
    <row r="11501" spans="1:7" ht="58.5" customHeight="1" x14ac:dyDescent="0.25">
      <c r="A11501" s="5" t="str">
        <f>"H0013189"</f>
        <v>H0013189</v>
      </c>
      <c r="B11501" s="5" t="str">
        <f t="shared" si="596"/>
        <v>BANDEJA PARA CARRO DE TRANSPORTE DE ALIMENTOS</v>
      </c>
      <c r="C11501" s="6">
        <v>111.11</v>
      </c>
      <c r="D11501" s="5"/>
      <c r="E11501" s="5" t="str">
        <f t="shared" si="597"/>
        <v>NUTRICION-ESPERANZA MONCADA PARADA</v>
      </c>
      <c r="F11501" s="5" t="str">
        <f>"Descripcion: BANDEJA EN ALUMINIO LISA GRANDE Estado: Bueno Placa anterior: 000015754 Material: ALUMINIO Color:  Referencia:  Observacion:  Placa padre: Tipo adquisicion: Entidad"</f>
        <v>Descripcion: BANDEJA EN ALUMINIO LISA GRANDE Estado: Bueno Placa anterior: 000015754 Material: ALUMINIO Color:  Referencia:  Observacion:  Placa padre: Tipo adquisicion: Entidad</v>
      </c>
      <c r="G11501" s="5"/>
    </row>
    <row r="11502" spans="1:7" ht="58.5" customHeight="1" x14ac:dyDescent="0.25">
      <c r="A11502" s="5" t="str">
        <f>"H0013190"</f>
        <v>H0013190</v>
      </c>
      <c r="B11502" s="5" t="str">
        <f t="shared" si="596"/>
        <v>BANDEJA PARA CARRO DE TRANSPORTE DE ALIMENTOS</v>
      </c>
      <c r="C11502" s="6">
        <v>111.11</v>
      </c>
      <c r="D11502" s="5"/>
      <c r="E11502" s="5" t="str">
        <f t="shared" si="597"/>
        <v>NUTRICION-ESPERANZA MONCADA PARADA</v>
      </c>
      <c r="F11502" s="5" t="str">
        <f>"Descripcion: BANDEJA EN ALUMINIO LISA GRANDE Estado: Bueno Placa anterior: 000015755 Material: ALUMINIO Color:  Referencia:  Observacion:  Placa padre: Tipo adquisicion: Entidad"</f>
        <v>Descripcion: BANDEJA EN ALUMINIO LISA GRANDE Estado: Bueno Placa anterior: 000015755 Material: ALUMINIO Color:  Referencia:  Observacion:  Placa padre: Tipo adquisicion: Entidad</v>
      </c>
      <c r="G11502" s="5"/>
    </row>
    <row r="11503" spans="1:7" ht="58.5" customHeight="1" x14ac:dyDescent="0.25">
      <c r="A11503" s="5" t="str">
        <f>"H0013191"</f>
        <v>H0013191</v>
      </c>
      <c r="B11503" s="5" t="str">
        <f t="shared" si="596"/>
        <v>BANDEJA PARA CARRO DE TRANSPORTE DE ALIMENTOS</v>
      </c>
      <c r="C11503" s="6">
        <v>111.11</v>
      </c>
      <c r="D11503" s="5"/>
      <c r="E11503" s="5" t="str">
        <f t="shared" si="597"/>
        <v>NUTRICION-ESPERANZA MONCADA PARADA</v>
      </c>
      <c r="F11503" s="5" t="str">
        <f>"Descripcion: BANDEJA EN ALUMINIO LISA GRANDE Estado: Bueno Placa anterior: 000015756 Material: ALUMINIO Color:  Referencia:  Observacion:  Placa padre: Tipo adquisicion: Entidad"</f>
        <v>Descripcion: BANDEJA EN ALUMINIO LISA GRANDE Estado: Bueno Placa anterior: 000015756 Material: ALUMINIO Color:  Referencia:  Observacion:  Placa padre: Tipo adquisicion: Entidad</v>
      </c>
      <c r="G11503" s="5"/>
    </row>
    <row r="11504" spans="1:7" ht="58.5" customHeight="1" x14ac:dyDescent="0.25">
      <c r="A11504" s="5" t="str">
        <f>"H0013192"</f>
        <v>H0013192</v>
      </c>
      <c r="B11504" s="5" t="str">
        <f t="shared" si="596"/>
        <v>BANDEJA PARA CARRO DE TRANSPORTE DE ALIMENTOS</v>
      </c>
      <c r="C11504" s="6">
        <v>111.11</v>
      </c>
      <c r="D11504" s="5"/>
      <c r="E11504" s="5" t="str">
        <f t="shared" si="597"/>
        <v>NUTRICION-ESPERANZA MONCADA PARADA</v>
      </c>
      <c r="F11504" s="5" t="str">
        <f>"Descripcion: BANDEJA EN ALUMINIO LISA GRANDE Estado: Bueno Placa anterior: 000015757 Material: ALUMINIO Color:  Referencia:  Observacion:  Placa padre: Tipo adquisicion: Entidad"</f>
        <v>Descripcion: BANDEJA EN ALUMINIO LISA GRANDE Estado: Bueno Placa anterior: 000015757 Material: ALUMINIO Color:  Referencia:  Observacion:  Placa padre: Tipo adquisicion: Entidad</v>
      </c>
      <c r="G11504" s="5"/>
    </row>
    <row r="11505" spans="1:7" ht="58.5" customHeight="1" x14ac:dyDescent="0.25">
      <c r="A11505" s="5" t="str">
        <f>"H0013193"</f>
        <v>H0013193</v>
      </c>
      <c r="B11505" s="5" t="str">
        <f t="shared" si="596"/>
        <v>BANDEJA PARA CARRO DE TRANSPORTE DE ALIMENTOS</v>
      </c>
      <c r="C11505" s="6">
        <v>111.11</v>
      </c>
      <c r="D11505" s="5"/>
      <c r="E11505" s="5" t="str">
        <f t="shared" si="597"/>
        <v>NUTRICION-ESPERANZA MONCADA PARADA</v>
      </c>
      <c r="F11505" s="5" t="str">
        <f>"Descripcion: BANDEJA EN ALUMINIO LISA GRANDE Estado: Bueno Placa anterior: 000015758 Material: ALUMINIO Color:  Referencia:  Observacion:  Placa padre: Tipo adquisicion: Entidad"</f>
        <v>Descripcion: BANDEJA EN ALUMINIO LISA GRANDE Estado: Bueno Placa anterior: 000015758 Material: ALUMINIO Color:  Referencia:  Observacion:  Placa padre: Tipo adquisicion: Entidad</v>
      </c>
      <c r="G11505" s="5"/>
    </row>
    <row r="11506" spans="1:7" ht="58.5" customHeight="1" x14ac:dyDescent="0.25">
      <c r="A11506" s="5" t="str">
        <f>"H0013194"</f>
        <v>H0013194</v>
      </c>
      <c r="B11506" s="5" t="str">
        <f t="shared" si="596"/>
        <v>BANDEJA PARA CARRO DE TRANSPORTE DE ALIMENTOS</v>
      </c>
      <c r="C11506" s="6">
        <v>111.11</v>
      </c>
      <c r="D11506" s="5"/>
      <c r="E11506" s="5" t="str">
        <f t="shared" si="597"/>
        <v>NUTRICION-ESPERANZA MONCADA PARADA</v>
      </c>
      <c r="F11506" s="5" t="str">
        <f>"Descripcion: BANDEJA EN ALUMINIO LISA GRANDE Estado: Bueno Placa anterior: 000015759 Material: ALUMINIO Color:  Referencia:  Observacion:  Placa padre: Tipo adquisicion: Entidad"</f>
        <v>Descripcion: BANDEJA EN ALUMINIO LISA GRANDE Estado: Bueno Placa anterior: 000015759 Material: ALUMINIO Color:  Referencia:  Observacion:  Placa padre: Tipo adquisicion: Entidad</v>
      </c>
      <c r="G11506" s="5"/>
    </row>
    <row r="11507" spans="1:7" ht="58.5" customHeight="1" x14ac:dyDescent="0.25">
      <c r="A11507" s="5" t="str">
        <f>"H0013195"</f>
        <v>H0013195</v>
      </c>
      <c r="B11507" s="5" t="str">
        <f t="shared" si="596"/>
        <v>BANDEJA PARA CARRO DE TRANSPORTE DE ALIMENTOS</v>
      </c>
      <c r="C11507" s="6">
        <v>111.11</v>
      </c>
      <c r="D11507" s="5"/>
      <c r="E11507" s="5" t="str">
        <f t="shared" si="597"/>
        <v>NUTRICION-ESPERANZA MONCADA PARADA</v>
      </c>
      <c r="F11507" s="5" t="str">
        <f>"Descripcion: BANDEJA EN ALUMINIO LISA GRANDE Estado: Bueno Placa anterior: 000015760 Material: ALUMINIO Color:  Referencia:  Observacion:  Placa padre: Tipo adquisicion: Entidad"</f>
        <v>Descripcion: BANDEJA EN ALUMINIO LISA GRANDE Estado: Bueno Placa anterior: 000015760 Material: ALUMINIO Color:  Referencia:  Observacion:  Placa padre: Tipo adquisicion: Entidad</v>
      </c>
      <c r="G11507" s="5"/>
    </row>
    <row r="11508" spans="1:7" ht="58.5" customHeight="1" x14ac:dyDescent="0.25">
      <c r="A11508" s="5" t="str">
        <f>"H0013196"</f>
        <v>H0013196</v>
      </c>
      <c r="B11508" s="5" t="str">
        <f t="shared" si="596"/>
        <v>BANDEJA PARA CARRO DE TRANSPORTE DE ALIMENTOS</v>
      </c>
      <c r="C11508" s="6">
        <v>111.11</v>
      </c>
      <c r="D11508" s="5"/>
      <c r="E11508" s="5" t="str">
        <f t="shared" si="597"/>
        <v>NUTRICION-ESPERANZA MONCADA PARADA</v>
      </c>
      <c r="F11508" s="5" t="str">
        <f>"Descripcion: BANDEJA EN ALUMINIO LISA GRANDE Estado: Bueno Placa anterior: 000015761 Material: ALUMINIO Color:  Referencia:  Observacion:  Placa padre: Tipo adquisicion: Entidad"</f>
        <v>Descripcion: BANDEJA EN ALUMINIO LISA GRANDE Estado: Bueno Placa anterior: 000015761 Material: ALUMINIO Color:  Referencia:  Observacion:  Placa padre: Tipo adquisicion: Entidad</v>
      </c>
      <c r="G11508" s="5"/>
    </row>
    <row r="11509" spans="1:7" ht="58.5" customHeight="1" x14ac:dyDescent="0.25">
      <c r="A11509" s="5" t="str">
        <f>"H0013197"</f>
        <v>H0013197</v>
      </c>
      <c r="B11509" s="5" t="str">
        <f t="shared" si="596"/>
        <v>BANDEJA PARA CARRO DE TRANSPORTE DE ALIMENTOS</v>
      </c>
      <c r="C11509" s="6">
        <v>111.11</v>
      </c>
      <c r="D11509" s="5"/>
      <c r="E11509" s="5" t="str">
        <f t="shared" si="597"/>
        <v>NUTRICION-ESPERANZA MONCADA PARADA</v>
      </c>
      <c r="F11509" s="5" t="str">
        <f>"Descripcion: BANDEJA EN ALUMINIO LISA GRANDE Estado: Bueno Placa anterior: 000015762 Material: ALUMINIO Color:  Referencia:  Observacion:  Placa padre: Tipo adquisicion: Entidad"</f>
        <v>Descripcion: BANDEJA EN ALUMINIO LISA GRANDE Estado: Bueno Placa anterior: 000015762 Material: ALUMINIO Color:  Referencia:  Observacion:  Placa padre: Tipo adquisicion: Entidad</v>
      </c>
      <c r="G11509" s="5"/>
    </row>
    <row r="11510" spans="1:7" ht="58.5" customHeight="1" x14ac:dyDescent="0.25">
      <c r="A11510" s="5" t="str">
        <f>"H0013198"</f>
        <v>H0013198</v>
      </c>
      <c r="B11510" s="5" t="str">
        <f t="shared" si="596"/>
        <v>BANDEJA PARA CARRO DE TRANSPORTE DE ALIMENTOS</v>
      </c>
      <c r="C11510" s="6">
        <v>111.11</v>
      </c>
      <c r="D11510" s="5"/>
      <c r="E11510" s="5" t="str">
        <f t="shared" si="597"/>
        <v>NUTRICION-ESPERANZA MONCADA PARADA</v>
      </c>
      <c r="F11510" s="5" t="str">
        <f>"Descripcion: BANDEJA EN ALUMINIO LISA GRANDE Estado: Bueno Placa anterior: 000015763 Material: ALUMINIO Color:  Referencia:  Observacion:  Placa padre: Tipo adquisicion: Entidad"</f>
        <v>Descripcion: BANDEJA EN ALUMINIO LISA GRANDE Estado: Bueno Placa anterior: 000015763 Material: ALUMINIO Color:  Referencia:  Observacion:  Placa padre: Tipo adquisicion: Entidad</v>
      </c>
      <c r="G11510" s="5"/>
    </row>
    <row r="11511" spans="1:7" ht="58.5" customHeight="1" x14ac:dyDescent="0.25">
      <c r="A11511" s="5" t="str">
        <f>"H0013199"</f>
        <v>H0013199</v>
      </c>
      <c r="B11511" s="5" t="str">
        <f t="shared" si="596"/>
        <v>BANDEJA PARA CARRO DE TRANSPORTE DE ALIMENTOS</v>
      </c>
      <c r="C11511" s="6">
        <v>111.11</v>
      </c>
      <c r="D11511" s="5"/>
      <c r="E11511" s="5" t="str">
        <f t="shared" si="597"/>
        <v>NUTRICION-ESPERANZA MONCADA PARADA</v>
      </c>
      <c r="F11511" s="5" t="str">
        <f>"Descripcion: BANDEJA EN ALUMINIO LISA GRANDE Estado: Bueno Placa anterior: 000015764 Material: ALUMINIO Color:  Referencia:  Observacion:  Placa padre: Tipo adquisicion: Entidad"</f>
        <v>Descripcion: BANDEJA EN ALUMINIO LISA GRANDE Estado: Bueno Placa anterior: 000015764 Material: ALUMINIO Color:  Referencia:  Observacion:  Placa padre: Tipo adquisicion: Entidad</v>
      </c>
      <c r="G11511" s="5"/>
    </row>
    <row r="11512" spans="1:7" ht="58.5" customHeight="1" x14ac:dyDescent="0.25">
      <c r="A11512" s="5" t="str">
        <f>"H0013200"</f>
        <v>H0013200</v>
      </c>
      <c r="B11512" s="5" t="str">
        <f t="shared" si="596"/>
        <v>BANDEJA PARA CARRO DE TRANSPORTE DE ALIMENTOS</v>
      </c>
      <c r="C11512" s="6">
        <v>111.11</v>
      </c>
      <c r="D11512" s="5"/>
      <c r="E11512" s="5" t="str">
        <f t="shared" si="597"/>
        <v>NUTRICION-ESPERANZA MONCADA PARADA</v>
      </c>
      <c r="F11512" s="5" t="str">
        <f>"Descripcion: BANDEJA EN ALUMINIO LISA GRANDE Estado: Bueno Placa anterior: 000015765 Material: ALUMINIO Color:  Referencia:  Observacion:  Placa padre: Tipo adquisicion: Entidad"</f>
        <v>Descripcion: BANDEJA EN ALUMINIO LISA GRANDE Estado: Bueno Placa anterior: 000015765 Material: ALUMINIO Color:  Referencia:  Observacion:  Placa padre: Tipo adquisicion: Entidad</v>
      </c>
      <c r="G11512" s="5"/>
    </row>
    <row r="11513" spans="1:7" ht="58.5" customHeight="1" x14ac:dyDescent="0.25">
      <c r="A11513" s="5" t="str">
        <f>"H0013201"</f>
        <v>H0013201</v>
      </c>
      <c r="B11513" s="5" t="str">
        <f t="shared" si="596"/>
        <v>BANDEJA PARA CARRO DE TRANSPORTE DE ALIMENTOS</v>
      </c>
      <c r="C11513" s="6">
        <v>111.11</v>
      </c>
      <c r="D11513" s="5"/>
      <c r="E11513" s="5" t="str">
        <f t="shared" si="597"/>
        <v>NUTRICION-ESPERANZA MONCADA PARADA</v>
      </c>
      <c r="F11513" s="5" t="str">
        <f>"Descripcion: BANDEJA EN ALUMINIO LISA GRANDE Estado: Bueno Placa anterior: 000015766 Material: ALUMINIO Color:  Referencia:  Observacion:  Placa padre: Tipo adquisicion: Entidad"</f>
        <v>Descripcion: BANDEJA EN ALUMINIO LISA GRANDE Estado: Bueno Placa anterior: 000015766 Material: ALUMINIO Color:  Referencia:  Observacion:  Placa padre: Tipo adquisicion: Entidad</v>
      </c>
      <c r="G11513" s="5"/>
    </row>
    <row r="11514" spans="1:7" ht="58.5" customHeight="1" x14ac:dyDescent="0.25">
      <c r="A11514" s="5" t="str">
        <f>"H0013202"</f>
        <v>H0013202</v>
      </c>
      <c r="B11514" s="5" t="str">
        <f t="shared" si="596"/>
        <v>BANDEJA PARA CARRO DE TRANSPORTE DE ALIMENTOS</v>
      </c>
      <c r="C11514" s="6">
        <v>111.11</v>
      </c>
      <c r="D11514" s="5"/>
      <c r="E11514" s="5" t="str">
        <f t="shared" si="597"/>
        <v>NUTRICION-ESPERANZA MONCADA PARADA</v>
      </c>
      <c r="F11514" s="5" t="str">
        <f>"Descripcion: BANDEJA EN ALUMINIO LISA GRANDE Estado: Bueno Placa anterior: 000015767 Material: ALUMINIO Color:  Referencia:  Observacion:  Placa padre: Tipo adquisicion: Entidad"</f>
        <v>Descripcion: BANDEJA EN ALUMINIO LISA GRANDE Estado: Bueno Placa anterior: 000015767 Material: ALUMINIO Color:  Referencia:  Observacion:  Placa padre: Tipo adquisicion: Entidad</v>
      </c>
      <c r="G11514" s="5"/>
    </row>
    <row r="11515" spans="1:7" ht="58.5" customHeight="1" x14ac:dyDescent="0.25">
      <c r="A11515" s="5" t="str">
        <f>"H0013203"</f>
        <v>H0013203</v>
      </c>
      <c r="B11515" s="5" t="str">
        <f t="shared" si="596"/>
        <v>BANDEJA PARA CARRO DE TRANSPORTE DE ALIMENTOS</v>
      </c>
      <c r="C11515" s="6">
        <v>111.11</v>
      </c>
      <c r="D11515" s="5"/>
      <c r="E11515" s="5" t="str">
        <f t="shared" si="597"/>
        <v>NUTRICION-ESPERANZA MONCADA PARADA</v>
      </c>
      <c r="F11515" s="5" t="str">
        <f>"Descripcion: BANDEJA EN ALUMINIO LISA GRANDE Estado: Bueno Placa anterior: 000015768 Material: ALUMINIO Color:  Referencia:  Observacion:  Placa padre: Tipo adquisicion: Entidad"</f>
        <v>Descripcion: BANDEJA EN ALUMINIO LISA GRANDE Estado: Bueno Placa anterior: 000015768 Material: ALUMINIO Color:  Referencia:  Observacion:  Placa padre: Tipo adquisicion: Entidad</v>
      </c>
      <c r="G11515" s="5"/>
    </row>
    <row r="11516" spans="1:7" ht="58.5" customHeight="1" x14ac:dyDescent="0.25">
      <c r="A11516" s="5" t="str">
        <f>"H0013204"</f>
        <v>H0013204</v>
      </c>
      <c r="B11516" s="5" t="str">
        <f>"MESON EN ACERO INOXIDABLE"</f>
        <v>MESON EN ACERO INOXIDABLE</v>
      </c>
      <c r="C11516" s="6">
        <v>35240.589999999997</v>
      </c>
      <c r="D11516" s="5"/>
      <c r="E11516" s="5" t="str">
        <f t="shared" si="597"/>
        <v>NUTRICION-ESPERANZA MONCADA PARADA</v>
      </c>
      <c r="F11516" s="5" t="str">
        <f>"Descripcion: MESON EN ACERO INOX. 84X166X65 CMS Estado: Bueno Placa anterior: 000014252 Material: ACERO INOXIDABLE Color:  Referencia:  Observacion:  Placa padre: Tipo adquisicion: Entidad"</f>
        <v>Descripcion: MESON EN ACERO INOX. 84X166X65 CMS Estado: Bueno Placa anterior: 000014252 Material: ACERO INOXIDABLE Color:  Referencia:  Observacion:  Placa padre: Tipo adquisicion: Entidad</v>
      </c>
      <c r="G11516" s="5"/>
    </row>
    <row r="11517" spans="1:7" ht="58.5" customHeight="1" x14ac:dyDescent="0.25">
      <c r="A11517" s="5" t="str">
        <f>"H0013205"</f>
        <v>H0013205</v>
      </c>
      <c r="B11517" s="5" t="str">
        <f>"CUARTO DE CRECIMIENTO"</f>
        <v>CUARTO DE CRECIMIENTO</v>
      </c>
      <c r="C11517" s="6">
        <v>45980.27</v>
      </c>
      <c r="D11517" s="5"/>
      <c r="E11517" s="5" t="str">
        <f t="shared" si="597"/>
        <v>NUTRICION-ESPERANZA MONCADA PARADA</v>
      </c>
      <c r="F11517" s="5" t="str">
        <f>"Descripcion: CUARTO DE CRECIMIENTO (ESTANTE)TIPO VITRINA PARA 12 BANDEJAS Estado: Bueno Placa anterior: 000014223 Material: METALICO, VIDRIO Color: GRIS CON NARANJA Referencia:  Observacion:  Placa padre: Tipo adquisicion: Entidad"</f>
        <v>Descripcion: CUARTO DE CRECIMIENTO (ESTANTE)TIPO VITRINA PARA 12 BANDEJAS Estado: Bueno Placa anterior: 000014223 Material: METALICO, VIDRIO Color: GRIS CON NARANJA Referencia:  Observacion:  Placa padre: Tipo adquisicion: Entidad</v>
      </c>
      <c r="G11517" s="5"/>
    </row>
    <row r="11518" spans="1:7" ht="58.5" customHeight="1" x14ac:dyDescent="0.25">
      <c r="A11518" s="5" t="str">
        <f>"H0013207"</f>
        <v>H0013207</v>
      </c>
      <c r="B11518" s="5" t="str">
        <f>"BALANZA ANALOGA DE COLGAR (PESO)"</f>
        <v>BALANZA ANALOGA DE COLGAR (PESO)</v>
      </c>
      <c r="C11518" s="6">
        <v>3850001</v>
      </c>
      <c r="D11518" s="5" t="s">
        <v>63</v>
      </c>
      <c r="E11518" s="5" t="str">
        <f t="shared" si="597"/>
        <v>NUTRICION-ESPERANZA MONCADA PARADA</v>
      </c>
      <c r="F11518" s="5" t="str">
        <f>"Descripcion: BALANZA ANALOGA DE COLGAR (PESO) Estado: Bueno Placa anterior:  Material: METALICO Color: BLANCO CON GRIS Referencia:  Observacion:  Placa padre: Tipo adquisicion: Entidad"</f>
        <v>Descripcion: BALANZA ANALOGA DE COLGAR (PESO) Estado: Bueno Placa anterior:  Material: METALICO Color: BLANCO CON GRIS Referencia:  Observacion:  Placa padre: Tipo adquisicion: Entidad</v>
      </c>
      <c r="G11518" s="5" t="str">
        <f>"P163"</f>
        <v>P163</v>
      </c>
    </row>
    <row r="11519" spans="1:7" ht="58.5" customHeight="1" x14ac:dyDescent="0.25">
      <c r="A11519" s="5" t="str">
        <f>"H0013211"</f>
        <v>H0013211</v>
      </c>
      <c r="B11519" s="5" t="str">
        <f>"CILINDRADORA DE PANADERIA"</f>
        <v>CILINDRADORA DE PANADERIA</v>
      </c>
      <c r="C11519" s="6">
        <v>91960.53</v>
      </c>
      <c r="D11519" s="5"/>
      <c r="E11519" s="5" t="str">
        <f t="shared" si="597"/>
        <v>NUTRICION-ESPERANZA MONCADA PARADA</v>
      </c>
      <c r="F11519" s="5" t="str">
        <f>"Descripcion: CILINDRADORA Estado: Bueno Placa anterior: 000014220 Material: ACERO INOXIDABLE Color:  Referencia:  Observacion:  Placa padre: Tipo adquisicion: Entidad"</f>
        <v>Descripcion: CILINDRADORA Estado: Bueno Placa anterior: 000014220 Material: ACERO INOXIDABLE Color:  Referencia:  Observacion:  Placa padre: Tipo adquisicion: Entidad</v>
      </c>
      <c r="G11519" s="5"/>
    </row>
    <row r="11520" spans="1:7" ht="58.5" customHeight="1" x14ac:dyDescent="0.25">
      <c r="A11520" s="5" t="str">
        <f>"H0013212"</f>
        <v>H0013212</v>
      </c>
      <c r="B11520" s="5" t="str">
        <f>"BATIDORA (MEZCLADORA) CON TAZON MULTIPROPOSITO DE COCINA"</f>
        <v>BATIDORA (MEZCLADORA) CON TAZON MULTIPROPOSITO DE COCINA</v>
      </c>
      <c r="C11520" s="6">
        <v>5664375</v>
      </c>
      <c r="D11520" s="5"/>
      <c r="E11520" s="5" t="str">
        <f t="shared" si="597"/>
        <v>NUTRICION-ESPERANZA MONCADA PARADA</v>
      </c>
      <c r="F11520" s="5" t="str">
        <f>"Descripcion: BATIDORA DYNASTY 30 LTS. TIMER BOWL Y 3 ACC 110, ACABADO: PINTURA HORNEABLE DE ALTA RESISTENCIA, COLOR BLANCA FUNCION IMPULSADO POR UN MOTOR DE 1.0 HP DIMENS ALTO: 1163,00 mm FRENTE 576,00 mm  Estado: Bueno Placa anterior: 000033077 Material:"&amp; " METALICO Color: GRIS Referencia:  Observacion:  Placa anterior:, Placa nueva=H0013215, Descripcion:OLLA PARA BATIDORA , Serial:, Marca:, Modelo:, Material:ACERO INOXIDABLE, Color:,   Referencia: Placa padre: Tipo adquisicion: Entidad"</f>
        <v>Descripcion: BATIDORA DYNASTY 30 LTS. TIMER BOWL Y 3 ACC 110, ACABADO: PINTURA HORNEABLE DE ALTA RESISTENCIA, COLOR BLANCA FUNCION IMPULSADO POR UN MOTOR DE 1.0 HP DIMENS ALTO: 1163,00 mm FRENTE 576,00 mm  Estado: Bueno Placa anterior: 000033077 Material: METALICO Color: GRIS Referencia:  Observacion:  Placa anterior:, Placa nueva=H0013215, Descripcion:OLLA PARA BATIDORA , Serial:, Marca:, Modelo:, Material:ACERO INOXIDABLE, Color:,   Referencia: Placa padre: Tipo adquisicion: Entidad</v>
      </c>
      <c r="G11520" s="5" t="str">
        <f>"BM-30T"</f>
        <v>BM-30T</v>
      </c>
    </row>
    <row r="11521" spans="1:7" ht="58.5" customHeight="1" x14ac:dyDescent="0.25">
      <c r="A11521" s="5" t="str">
        <f>"H0013213"</f>
        <v>H0013213</v>
      </c>
      <c r="B11521" s="5" t="str">
        <f>"ESTANTE METALICO"</f>
        <v>ESTANTE METALICO</v>
      </c>
      <c r="C11521" s="6">
        <v>39411.660000000003</v>
      </c>
      <c r="D11521" s="5"/>
      <c r="E11521" s="5" t="str">
        <f t="shared" si="597"/>
        <v>NUTRICION-ESPERANZA MONCADA PARADA</v>
      </c>
      <c r="F11521" s="5" t="str">
        <f>"Descripcion: ESTANTE PARA LATAS PARA 30 LATAS Estado: Regular Placa anterior: 000014218 Material: METALICO Color: GRIS Referencia:  Observacion:  Placa padre: Tipo adquisicion: Entidad"</f>
        <v>Descripcion: ESTANTE PARA LATAS PARA 30 LATAS Estado: Regular Placa anterior: 000014218 Material: METALICO Color: GRIS Referencia:  Observacion:  Placa padre: Tipo adquisicion: Entidad</v>
      </c>
      <c r="G11521" s="5"/>
    </row>
    <row r="11522" spans="1:7" ht="58.5" customHeight="1" x14ac:dyDescent="0.25">
      <c r="A11522" s="5" t="str">
        <f>"H0013214"</f>
        <v>H0013214</v>
      </c>
      <c r="B11522" s="5" t="str">
        <f>"PANERA EN ACERO INOXIDABLE"</f>
        <v>PANERA EN ACERO INOXIDABLE</v>
      </c>
      <c r="C11522" s="6">
        <v>75600</v>
      </c>
      <c r="D11522" s="5"/>
      <c r="E11522" s="5" t="str">
        <f t="shared" si="597"/>
        <v>NUTRICION-ESPERANZA MONCADA PARADA</v>
      </c>
      <c r="F11522" s="5" t="str">
        <f>"Descripcion: PANERA CONCAVA EN ACERO INOX.CON RODACHINES Estado: Bueno Placa anterior: 000014264 Material: ACERO INOXIDABLE Color:  Referencia:  Observacion:  Placa padre: Tipo adquisicion: Entidad"</f>
        <v>Descripcion: PANERA CONCAVA EN ACERO INOX.CON RODACHINES Estado: Bueno Placa anterior: 000014264 Material: ACERO INOXIDABLE Color:  Referencia:  Observacion:  Placa padre: Tipo adquisicion: Entidad</v>
      </c>
      <c r="G11522" s="5"/>
    </row>
    <row r="11523" spans="1:7" ht="58.5" customHeight="1" x14ac:dyDescent="0.25">
      <c r="A11523" s="5" t="str">
        <f>"H0013216"</f>
        <v>H0013216</v>
      </c>
      <c r="B11523" s="5" t="str">
        <f t="shared" ref="B11523:B11528" si="598">"CALDERO"</f>
        <v>CALDERO</v>
      </c>
      <c r="C11523" s="6">
        <v>54900</v>
      </c>
      <c r="D11523" s="5"/>
      <c r="E11523" s="5" t="str">
        <f t="shared" si="597"/>
        <v>NUTRICION-ESPERANZA MONCADA PARADA</v>
      </c>
      <c r="F11523" s="5" t="str">
        <f>"Descripcion: CALDERO RECORTADO X 40 CMS Estado: Bueno Placa anterior: 000036578 Material: ACERO COLADO Color:  Referencia:  Observacion:  Placa padre: Tipo adquisicion: Entidad"</f>
        <v>Descripcion: CALDERO RECORTADO X 40 CMS Estado: Bueno Placa anterior: 000036578 Material: ACERO COLADO Color:  Referencia:  Observacion:  Placa padre: Tipo adquisicion: Entidad</v>
      </c>
      <c r="G11523" s="5"/>
    </row>
    <row r="11524" spans="1:7" ht="58.5" customHeight="1" x14ac:dyDescent="0.25">
      <c r="A11524" s="5" t="str">
        <f>"H0013217"</f>
        <v>H0013217</v>
      </c>
      <c r="B11524" s="5" t="str">
        <f t="shared" si="598"/>
        <v>CALDERO</v>
      </c>
      <c r="C11524" s="6">
        <v>54900</v>
      </c>
      <c r="D11524" s="5"/>
      <c r="E11524" s="5" t="str">
        <f t="shared" si="597"/>
        <v>NUTRICION-ESPERANZA MONCADA PARADA</v>
      </c>
      <c r="F11524" s="5" t="str">
        <f>"Descripcion: CALDERO RECORTADO X 40 CMS Estado: Bueno Placa anterior: 000036579 Material: HIERRO COLADO Color:  Referencia:  Observacion:  Placa padre: Tipo adquisicion: Entidad"</f>
        <v>Descripcion: CALDERO RECORTADO X 40 CMS Estado: Bueno Placa anterior: 000036579 Material: HIERRO COLADO Color:  Referencia:  Observacion:  Placa padre: Tipo adquisicion: Entidad</v>
      </c>
      <c r="G11524" s="5"/>
    </row>
    <row r="11525" spans="1:7" ht="58.5" customHeight="1" x14ac:dyDescent="0.25">
      <c r="A11525" s="5" t="str">
        <f>"H0013218"</f>
        <v>H0013218</v>
      </c>
      <c r="B11525" s="5" t="str">
        <f t="shared" si="598"/>
        <v>CALDERO</v>
      </c>
      <c r="C11525" s="6">
        <v>54900</v>
      </c>
      <c r="D11525" s="5"/>
      <c r="E11525" s="5" t="str">
        <f t="shared" si="597"/>
        <v>NUTRICION-ESPERANZA MONCADA PARADA</v>
      </c>
      <c r="F11525" s="5" t="str">
        <f>"Descripcion: CALDERO RECORTADO X 40 CMS Estado: Bueno Placa anterior: 000036581 Material: HIERRO COLADO Color:  Referencia:  Observacion:  Placa padre: Tipo adquisicion: Entidad"</f>
        <v>Descripcion: CALDERO RECORTADO X 40 CMS Estado: Bueno Placa anterior: 000036581 Material: HIERRO COLADO Color:  Referencia:  Observacion:  Placa padre: Tipo adquisicion: Entidad</v>
      </c>
      <c r="G11525" s="5"/>
    </row>
    <row r="11526" spans="1:7" ht="58.5" customHeight="1" x14ac:dyDescent="0.25">
      <c r="A11526" s="5" t="str">
        <f>"H0013221"</f>
        <v>H0013221</v>
      </c>
      <c r="B11526" s="5" t="str">
        <f t="shared" si="598"/>
        <v>CALDERO</v>
      </c>
      <c r="C11526" s="6">
        <v>54900</v>
      </c>
      <c r="D11526" s="5"/>
      <c r="E11526" s="5" t="str">
        <f t="shared" si="597"/>
        <v>NUTRICION-ESPERANZA MONCADA PARADA</v>
      </c>
      <c r="F11526" s="5" t="str">
        <f>"Descripcion: CALDERO RECORTADO X 40 CMS Estado: Bueno Placa anterior: 000036583 Material: HIERRO COLADO Color:  Referencia:  Observacion:  Placa padre: Tipo adquisicion: Entidad"</f>
        <v>Descripcion: CALDERO RECORTADO X 40 CMS Estado: Bueno Placa anterior: 000036583 Material: HIERRO COLADO Color:  Referencia:  Observacion:  Placa padre: Tipo adquisicion: Entidad</v>
      </c>
      <c r="G11526" s="5"/>
    </row>
    <row r="11527" spans="1:7" ht="58.5" customHeight="1" x14ac:dyDescent="0.25">
      <c r="A11527" s="5" t="str">
        <f>"H0013222"</f>
        <v>H0013222</v>
      </c>
      <c r="B11527" s="5" t="str">
        <f t="shared" si="598"/>
        <v>CALDERO</v>
      </c>
      <c r="C11527" s="6">
        <v>54900</v>
      </c>
      <c r="D11527" s="5"/>
      <c r="E11527" s="5" t="str">
        <f t="shared" si="597"/>
        <v>NUTRICION-ESPERANZA MONCADA PARADA</v>
      </c>
      <c r="F11527" s="5" t="str">
        <f>"Descripcion: CALDERO RECORTADO X 40 CMS Estado: Bueno Placa anterior: 000036584 Material: HIERRO COLADO Color:  Referencia:  Observacion:  Placa padre: Tipo adquisicion: Entidad"</f>
        <v>Descripcion: CALDERO RECORTADO X 40 CMS Estado: Bueno Placa anterior: 000036584 Material: HIERRO COLADO Color:  Referencia:  Observacion:  Placa padre: Tipo adquisicion: Entidad</v>
      </c>
      <c r="G11527" s="5"/>
    </row>
    <row r="11528" spans="1:7" ht="58.5" customHeight="1" x14ac:dyDescent="0.25">
      <c r="A11528" s="5" t="str">
        <f>"H0013223"</f>
        <v>H0013223</v>
      </c>
      <c r="B11528" s="5" t="str">
        <f t="shared" si="598"/>
        <v>CALDERO</v>
      </c>
      <c r="C11528" s="6">
        <v>54900</v>
      </c>
      <c r="D11528" s="5"/>
      <c r="E11528" s="5" t="str">
        <f t="shared" si="597"/>
        <v>NUTRICION-ESPERANZA MONCADA PARADA</v>
      </c>
      <c r="F11528" s="5" t="str">
        <f>"Descripcion: CALDERO RECORTADO X 40 CMS Estado: Bueno Placa anterior: 000036585 Material: HIERRO COLADO Color:  Referencia:  Observacion:  Placa padre: Tipo adquisicion: Entidad"</f>
        <v>Descripcion: CALDERO RECORTADO X 40 CMS Estado: Bueno Placa anterior: 000036585 Material: HIERRO COLADO Color:  Referencia:  Observacion:  Placa padre: Tipo adquisicion: Entidad</v>
      </c>
      <c r="G11528" s="5"/>
    </row>
    <row r="11529" spans="1:7" ht="58.5" customHeight="1" x14ac:dyDescent="0.25">
      <c r="A11529" s="5" t="str">
        <f>"H0013224"</f>
        <v>H0013224</v>
      </c>
      <c r="B11529" s="5" t="str">
        <f>"CAMPANA EN ACERO INOXIDABLE PARA EXTRACTOR"</f>
        <v>CAMPANA EN ACERO INOXIDABLE PARA EXTRACTOR</v>
      </c>
      <c r="C11529" s="6">
        <v>326553.71999999997</v>
      </c>
      <c r="D11529" s="5"/>
      <c r="E11529" s="5" t="str">
        <f t="shared" si="597"/>
        <v>NUTRICION-ESPERANZA MONCADA PARADA</v>
      </c>
      <c r="F11529" s="5" t="str">
        <f>"Descripcion: CAMPANA EN ACERO INOX. 6.03 X 2.51 MTS Estado: Bueno Placa anterior: 000014250 Material: ACERO INOXIDABLE Color:  Referencia:  Observacion:  Placa padre: Tipo adquisicion: Entidad"</f>
        <v>Descripcion: CAMPANA EN ACERO INOX. 6.03 X 2.51 MTS Estado: Bueno Placa anterior: 000014250 Material: ACERO INOXIDABLE Color:  Referencia:  Observacion:  Placa padre: Tipo adquisicion: Entidad</v>
      </c>
      <c r="G11529" s="5"/>
    </row>
    <row r="11530" spans="1:7" ht="58.5" customHeight="1" x14ac:dyDescent="0.25">
      <c r="A11530" s="5" t="str">
        <f>"H0013225"</f>
        <v>H0013225</v>
      </c>
      <c r="B11530" s="5" t="str">
        <f>"MONTACARGA (CARRO) DE PLATAFOMA DE OPERACION MANUAL"</f>
        <v>MONTACARGA (CARRO) DE PLATAFOMA DE OPERACION MANUAL</v>
      </c>
      <c r="C11530" s="6">
        <v>336299</v>
      </c>
      <c r="D11530" s="5" t="s">
        <v>670</v>
      </c>
      <c r="E11530" s="5" t="str">
        <f t="shared" si="597"/>
        <v>NUTRICION-ESPERANZA MONCADA PARADA</v>
      </c>
      <c r="F11530" s="5" t="str">
        <f>"Descripcion: CARRO MONTACARGA CAPACIDAD 125KG, RUEDAS DE TRABAJO PESADO (SERVICIO DE nUTRICION) Estado: Bueno Placa anterior: 000036504 Material: METALICO Color: VERDE (FALTA PINTURA) Referencia:  Observacion:  Placa padre: Tipo adquisicion: Entidad"</f>
        <v>Descripcion: CARRO MONTACARGA CAPACIDAD 125KG, RUEDAS DE TRABAJO PESADO (SERVICIO DE nUTRICION) Estado: Bueno Placa anterior: 000036504 Material: METALICO Color: VERDE (FALTA PINTURA) Referencia:  Observacion:  Placa padre: Tipo adquisicion: Entidad</v>
      </c>
      <c r="G11530" s="5"/>
    </row>
    <row r="11531" spans="1:7" ht="58.5" customHeight="1" x14ac:dyDescent="0.25">
      <c r="A11531" s="5" t="str">
        <f>"H0013226"</f>
        <v>H0013226</v>
      </c>
      <c r="B11531" s="5" t="str">
        <f>"CALDERO"</f>
        <v>CALDERO</v>
      </c>
      <c r="C11531" s="6">
        <v>18428.89</v>
      </c>
      <c r="D11531" s="5"/>
      <c r="E11531" s="5" t="str">
        <f t="shared" si="597"/>
        <v>NUTRICION-ESPERANZA MONCADA PARADA</v>
      </c>
      <c r="F11531" s="5" t="str">
        <f>"Descripcion: CALDERO VARIOS TAMAÑOS (GRANDE) Estado: Bueno Placa anterior: 000017330 Material: ACERO COLADO Color:  Referencia:  Observacion:  Placa padre: Tipo adquisicion: Entidad"</f>
        <v>Descripcion: CALDERO VARIOS TAMAÑOS (GRANDE) Estado: Bueno Placa anterior: 000017330 Material: ACERO COLADO Color:  Referencia:  Observacion:  Placa padre: Tipo adquisicion: Entidad</v>
      </c>
      <c r="G11531" s="5"/>
    </row>
    <row r="11532" spans="1:7" ht="58.5" customHeight="1" x14ac:dyDescent="0.25">
      <c r="A11532" s="5" t="str">
        <f>"H0013227"</f>
        <v>H0013227</v>
      </c>
      <c r="B11532" s="5" t="str">
        <f>"CALDERO"</f>
        <v>CALDERO</v>
      </c>
      <c r="C11532" s="6">
        <v>18428.89</v>
      </c>
      <c r="D11532" s="5"/>
      <c r="E11532" s="5" t="str">
        <f t="shared" si="597"/>
        <v>NUTRICION-ESPERANZA MONCADA PARADA</v>
      </c>
      <c r="F11532" s="5" t="str">
        <f>"Descripcion: CALDERO VARIOS TAMAÑOS (GRANDE) Estado: Bueno Placa anterior: 000017331 Material: ACERO COLADO Color:  Referencia:  Observacion:  Placa padre: Tipo adquisicion: Entidad"</f>
        <v>Descripcion: CALDERO VARIOS TAMAÑOS (GRANDE) Estado: Bueno Placa anterior: 000017331 Material: ACERO COLADO Color:  Referencia:  Observacion:  Placa padre: Tipo adquisicion: Entidad</v>
      </c>
      <c r="G11532" s="5"/>
    </row>
    <row r="11533" spans="1:7" ht="58.5" customHeight="1" x14ac:dyDescent="0.25">
      <c r="A11533" s="5" t="str">
        <f>"H0013228"</f>
        <v>H0013228</v>
      </c>
      <c r="B11533" s="5" t="str">
        <f>"CALDERO"</f>
        <v>CALDERO</v>
      </c>
      <c r="C11533" s="6">
        <v>18428.89</v>
      </c>
      <c r="D11533" s="5"/>
      <c r="E11533" s="5" t="str">
        <f t="shared" si="597"/>
        <v>NUTRICION-ESPERANZA MONCADA PARADA</v>
      </c>
      <c r="F11533" s="5" t="str">
        <f>"Descripcion: CALDERO VARIOS TAMAÑOS (GRANDE) Estado: Bueno Placa anterior: 000017332 Material: ACERO COLADO Color:  Referencia:  Observacion:  Placa padre: Tipo adquisicion: Entidad"</f>
        <v>Descripcion: CALDERO VARIOS TAMAÑOS (GRANDE) Estado: Bueno Placa anterior: 000017332 Material: ACERO COLADO Color:  Referencia:  Observacion:  Placa padre: Tipo adquisicion: Entidad</v>
      </c>
      <c r="G11533" s="5"/>
    </row>
    <row r="11534" spans="1:7" ht="58.5" customHeight="1" x14ac:dyDescent="0.25">
      <c r="A11534" s="5" t="str">
        <f>"H0013230"</f>
        <v>H0013230</v>
      </c>
      <c r="B11534" s="5" t="str">
        <f>"CALDERO"</f>
        <v>CALDERO</v>
      </c>
      <c r="C11534" s="6">
        <v>18428.89</v>
      </c>
      <c r="D11534" s="5"/>
      <c r="E11534" s="5" t="str">
        <f t="shared" si="597"/>
        <v>NUTRICION-ESPERANZA MONCADA PARADA</v>
      </c>
      <c r="F11534" s="5" t="str">
        <f>"Descripcion: CALDERO VARIOS TAMAÑOS (GRANDE) Estado: Bueno Placa anterior: 000017334 Material: ACERO COLADO Color:  Referencia:  Observacion:  Placa padre: Tipo adquisicion: Entidad"</f>
        <v>Descripcion: CALDERO VARIOS TAMAÑOS (GRANDE) Estado: Bueno Placa anterior: 000017334 Material: ACERO COLADO Color:  Referencia:  Observacion:  Placa padre: Tipo adquisicion: Entidad</v>
      </c>
      <c r="G11534" s="5"/>
    </row>
    <row r="11535" spans="1:7" ht="58.5" customHeight="1" x14ac:dyDescent="0.25">
      <c r="A11535" s="5" t="str">
        <f>"H0013231"</f>
        <v>H0013231</v>
      </c>
      <c r="B11535" s="5" t="str">
        <f>"CALDERO"</f>
        <v>CALDERO</v>
      </c>
      <c r="C11535" s="6">
        <v>18428.89</v>
      </c>
      <c r="D11535" s="5"/>
      <c r="E11535" s="5" t="str">
        <f t="shared" si="597"/>
        <v>NUTRICION-ESPERANZA MONCADA PARADA</v>
      </c>
      <c r="F11535" s="5" t="str">
        <f>"Descripcion: CALDERO VARIOS TAMAÑOS (GRANDE) Estado: Bueno Placa anterior: 000017335 Material: ACERO COLADO Color:  Referencia:  Observacion:  Placa padre: Tipo adquisicion: Entidad"</f>
        <v>Descripcion: CALDERO VARIOS TAMAÑOS (GRANDE) Estado: Bueno Placa anterior: 000017335 Material: ACERO COLADO Color:  Referencia:  Observacion:  Placa padre: Tipo adquisicion: Entidad</v>
      </c>
      <c r="G11535" s="5"/>
    </row>
    <row r="11536" spans="1:7" ht="58.5" customHeight="1" x14ac:dyDescent="0.25">
      <c r="A11536" s="5" t="str">
        <f>"H0013254"</f>
        <v>H0013254</v>
      </c>
      <c r="B11536" s="5" t="str">
        <f>"CARRO PARA TRANSPORTE DE MENAJE"</f>
        <v>CARRO PARA TRANSPORTE DE MENAJE</v>
      </c>
      <c r="C11536" s="6">
        <v>2100000</v>
      </c>
      <c r="D11536" s="5"/>
      <c r="E11536" s="5" t="str">
        <f t="shared" si="597"/>
        <v>NUTRICION-ESPERANZA MONCADA PARADA</v>
      </c>
      <c r="F11536" s="5" t="str">
        <f>"Descripcion: CARRO DE TRANSPORTE. CINCO ENTREPAÑOS Estado: Bueno Placa anterior: 000032987 Material: ACERO INOXIDABLE Color:  Referencia:  Observacion:  Placa padre: Tipo adquisicion: Entidad"</f>
        <v>Descripcion: CARRO DE TRANSPORTE. CINCO ENTREPAÑOS Estado: Bueno Placa anterior: 000032987 Material: ACERO INOXIDABLE Color:  Referencia:  Observacion:  Placa padre: Tipo adquisicion: Entidad</v>
      </c>
      <c r="G11536" s="5"/>
    </row>
    <row r="11537" spans="1:7" ht="58.5" customHeight="1" x14ac:dyDescent="0.25">
      <c r="A11537" s="5" t="str">
        <f>"H0013255"</f>
        <v>H0013255</v>
      </c>
      <c r="B11537" s="5" t="str">
        <f>"CARRO PARA TRANSPORTE DE MENAJE"</f>
        <v>CARRO PARA TRANSPORTE DE MENAJE</v>
      </c>
      <c r="C11537" s="6">
        <v>2100000</v>
      </c>
      <c r="D11537" s="5"/>
      <c r="E11537" s="5" t="str">
        <f t="shared" si="597"/>
        <v>NUTRICION-ESPERANZA MONCADA PARADA</v>
      </c>
      <c r="F11537" s="5" t="str">
        <f>"Descripcion: CARRO DE TRANSPORTE. CINCO ENTREPAÑOS Estado: Bueno Placa anterior: 000032988 Material: ACERO INOXIDABLE Color:  Referencia:  Observacion:  Placa padre: Tipo adquisicion: Entidad"</f>
        <v>Descripcion: CARRO DE TRANSPORTE. CINCO ENTREPAÑOS Estado: Bueno Placa anterior: 000032988 Material: ACERO INOXIDABLE Color:  Referencia:  Observacion:  Placa padre: Tipo adquisicion: Entidad</v>
      </c>
      <c r="G11537" s="5"/>
    </row>
    <row r="11538" spans="1:7" ht="58.5" customHeight="1" x14ac:dyDescent="0.25">
      <c r="A11538" s="5" t="str">
        <f>"H0013257"</f>
        <v>H0013257</v>
      </c>
      <c r="B11538" s="5" t="str">
        <f>"CARRO PARA TRANSPORTE DE MENAJE"</f>
        <v>CARRO PARA TRANSPORTE DE MENAJE</v>
      </c>
      <c r="C11538" s="6">
        <v>138424</v>
      </c>
      <c r="D11538" s="5"/>
      <c r="E11538" s="5" t="str">
        <f t="shared" si="597"/>
        <v>NUTRICION-ESPERANZA MONCADA PARADA</v>
      </c>
      <c r="F11538" s="5" t="str">
        <f>"Descripcion: CARRO TRANSPORTADOR BANDEJERO EN ACERO INOX. CON 5 ENTREPAÑOS Estado: Bueno Placa anterior: 000015381 Material: ACERO INOX. Color:  Referencia:  Observacion:  Placa padre: Tipo adquisicion: Entidad"</f>
        <v>Descripcion: CARRO TRANSPORTADOR BANDEJERO EN ACERO INOX. CON 5 ENTREPAÑOS Estado: Bueno Placa anterior: 000015381 Material: ACERO INOX. Color:  Referencia:  Observacion:  Placa padre: Tipo adquisicion: Entidad</v>
      </c>
      <c r="G11538" s="5"/>
    </row>
    <row r="11539" spans="1:7" ht="58.5" customHeight="1" x14ac:dyDescent="0.25">
      <c r="A11539" s="5" t="str">
        <f>"H0013259"</f>
        <v>H0013259</v>
      </c>
      <c r="B11539" s="5" t="str">
        <f>"OLLA ALUMINIO"</f>
        <v>OLLA ALUMINIO</v>
      </c>
      <c r="C11539" s="6">
        <v>594</v>
      </c>
      <c r="D11539" s="5"/>
      <c r="E11539" s="5" t="str">
        <f t="shared" si="597"/>
        <v>NUTRICION-ESPERANZA MONCADA PARADA</v>
      </c>
      <c r="F11539" s="5" t="str">
        <f>"Descripcion: OLLA DOBLE ASA EN ALUMINIO 40 CM CON TAPA  Estado: Regular Placa anterior: 000017311 Material: ALUMINIO Color:  Referencia:  Observacion: FUNCIONARIO AUTORIZA SE CONCILIE CON PLACA 000017311 Placa padre: Tipo adquisicion: Entidad"</f>
        <v>Descripcion: OLLA DOBLE ASA EN ALUMINIO 40 CM CON TAPA  Estado: Regular Placa anterior: 000017311 Material: ALUMINIO Color:  Referencia:  Observacion: FUNCIONARIO AUTORIZA SE CONCILIE CON PLACA 000017311 Placa padre: Tipo adquisicion: Entidad</v>
      </c>
      <c r="G11539" s="5"/>
    </row>
    <row r="11540" spans="1:7" ht="58.5" customHeight="1" x14ac:dyDescent="0.25">
      <c r="A11540" s="5" t="str">
        <f>"H0013876"</f>
        <v>H0013876</v>
      </c>
      <c r="B11540" s="5" t="str">
        <f>"BANDEJA SIN COMPARTIMIENTOS EN ACERO INOXIDABLE"</f>
        <v>BANDEJA SIN COMPARTIMIENTOS EN ACERO INOXIDABLE</v>
      </c>
      <c r="C11540" s="6">
        <v>111.11</v>
      </c>
      <c r="D11540" s="5"/>
      <c r="E11540" s="5" t="str">
        <f t="shared" si="597"/>
        <v>NUTRICION-ESPERANZA MONCADA PARADA</v>
      </c>
      <c r="F11540" s="5" t="str">
        <f>"Descripcion: . Estado: Bueno Placa anterior: 000016808 Material: ACERO INOXIDABLE Color:  Referencia:  Observacion:  Placa padre: Tipo adquisicion: Entidad"</f>
        <v>Descripcion: . Estado: Bueno Placa anterior: 000016808 Material: ACERO INOXIDABLE Color:  Referencia:  Observacion:  Placa padre: Tipo adquisicion: Entidad</v>
      </c>
      <c r="G11540" s="5"/>
    </row>
    <row r="11541" spans="1:7" ht="58.5" customHeight="1" x14ac:dyDescent="0.25">
      <c r="A11541" s="5" t="str">
        <f>"H0013877"</f>
        <v>H0013877</v>
      </c>
      <c r="B11541" s="5" t="str">
        <f>"BANDEJA SIN COMPARTIMIENTOS EN ACERO INOXIDABLE"</f>
        <v>BANDEJA SIN COMPARTIMIENTOS EN ACERO INOXIDABLE</v>
      </c>
      <c r="C11541" s="6">
        <v>111.11</v>
      </c>
      <c r="D11541" s="5"/>
      <c r="E11541" s="5" t="str">
        <f t="shared" si="597"/>
        <v>NUTRICION-ESPERANZA MONCADA PARADA</v>
      </c>
      <c r="F11541" s="5" t="str">
        <f>"Descripcion: . Estado: Bueno Placa anterior: 000016809 Material: ACERO INOXIDABLE Color:  Referencia:  Observacion:  Placa padre: Tipo adquisicion: Entidad"</f>
        <v>Descripcion: . Estado: Bueno Placa anterior: 000016809 Material: ACERO INOXIDABLE Color:  Referencia:  Observacion:  Placa padre: Tipo adquisicion: Entidad</v>
      </c>
      <c r="G11541" s="5"/>
    </row>
    <row r="11542" spans="1:7" ht="58.5" customHeight="1" x14ac:dyDescent="0.25">
      <c r="A11542" s="5" t="str">
        <f>"H0013883"</f>
        <v>H0013883</v>
      </c>
      <c r="B11542" s="5" t="str">
        <f>"MESON EN ACERO INOXIDABLE"</f>
        <v>MESON EN ACERO INOXIDABLE</v>
      </c>
      <c r="C11542" s="6">
        <v>37046.959999999999</v>
      </c>
      <c r="D11542" s="5"/>
      <c r="E11542" s="5" t="str">
        <f t="shared" si="597"/>
        <v>NUTRICION-ESPERANZA MONCADA PARADA</v>
      </c>
      <c r="F11542" s="5" t="str">
        <f>"Descripcion: MESON EN ACERO INOX. CON TOPE EN L 83X204X65 CMSBANDEJA DOBLADAOXIDO Estado: Regular Placa anterior: 000015367 Material: ACERO INOXIDABLE Color:  Referencia:  Observacion:  Placa padre: Tipo adquisicion: Entidad"</f>
        <v>Descripcion: MESON EN ACERO INOX. CON TOPE EN L 83X204X65 CMSBANDEJA DOBLADAOXIDO Estado: Regular Placa anterior: 000015367 Material: ACERO INOXIDABLE Color:  Referencia:  Observacion:  Placa padre: Tipo adquisicion: Entidad</v>
      </c>
      <c r="G11542" s="5"/>
    </row>
    <row r="11543" spans="1:7" ht="58.5" customHeight="1" x14ac:dyDescent="0.25">
      <c r="A11543" s="5" t="str">
        <f>"H0013888"</f>
        <v>H0013888</v>
      </c>
      <c r="B11543" s="5" t="str">
        <f>"NEVERA DE 66 LTS"</f>
        <v>NEVERA DE 66 LTS</v>
      </c>
      <c r="C11543" s="6">
        <v>765900</v>
      </c>
      <c r="D11543" s="5" t="s">
        <v>553</v>
      </c>
      <c r="E11543" s="5" t="str">
        <f t="shared" si="597"/>
        <v>NUTRICION-ESPERANZA MONCADA PARADA</v>
      </c>
      <c r="F11543" s="5" t="str">
        <f>"Descripcion: NEVERA CHALLENGER GRIS NO FROST 222LTS1 PUERTA| Estado: Bueno Placa anterior: 000036564 Material: METALICO Color: GRIS Referencia:  Observacion:  Placa padre: Tipo adquisicion: Entidad"</f>
        <v>Descripcion: NEVERA CHALLENGER GRIS NO FROST 222LTS1 PUERTA| Estado: Bueno Placa anterior: 000036564 Material: METALICO Color: GRIS Referencia:  Observacion:  Placa padre: Tipo adquisicion: Entidad</v>
      </c>
      <c r="G11543" s="5" t="str">
        <f>"CR-249"</f>
        <v>CR-249</v>
      </c>
    </row>
    <row r="11544" spans="1:7" ht="58.5" customHeight="1" x14ac:dyDescent="0.25">
      <c r="A11544" s="5" t="str">
        <f>"H0013889"</f>
        <v>H0013889</v>
      </c>
      <c r="B11544" s="5" t="str">
        <f>"TERMOHIGROMETRO DIGITAL"</f>
        <v>TERMOHIGROMETRO DIGITAL</v>
      </c>
      <c r="C11544" s="6">
        <v>78184</v>
      </c>
      <c r="D11544" s="5"/>
      <c r="E11544" s="5" t="str">
        <f t="shared" si="597"/>
        <v>NUTRICION-ESPERANZA MONCADA PARADA</v>
      </c>
      <c r="F11544" s="5" t="str">
        <f>"Descripcion: . Estado: Bueno Placa anterior: 000036515 Material: PASTA Color: GRIS Referencia:  Observacion: FUNCIONARIO AUTORIZA SE CONCILIE CON PLACA 000036515 Placa padre: Tipo adquisicion: Entidad"</f>
        <v>Descripcion: . Estado: Bueno Placa anterior: 000036515 Material: PASTA Color: GRIS Referencia:  Observacion: FUNCIONARIO AUTORIZA SE CONCILIE CON PLACA 000036515 Placa padre: Tipo adquisicion: Entidad</v>
      </c>
      <c r="G11544" s="5"/>
    </row>
    <row r="11545" spans="1:7" ht="58.5" customHeight="1" x14ac:dyDescent="0.25">
      <c r="A11545" s="5" t="str">
        <f>"H0013891"</f>
        <v>H0013891</v>
      </c>
      <c r="B11545" s="5" t="str">
        <f>"MESON EN ACERO INOXIDABLE"</f>
        <v>MESON EN ACERO INOXIDABLE</v>
      </c>
      <c r="C11545" s="6">
        <v>35240.589999999997</v>
      </c>
      <c r="D11545" s="5"/>
      <c r="E11545" s="5" t="str">
        <f t="shared" si="597"/>
        <v>NUTRICION-ESPERANZA MONCADA PARADA</v>
      </c>
      <c r="F11545" s="5" t="str">
        <f>"Descripcion: MESON EN ACERO INOX.LISO CON TOPE ANGULADO 100X247X60 CMS Estado: Regular Placa anterior: 000015361 Material: ACERO INOXIDABLE Color:  Referencia:  Observacion:  Placa padre: Tipo adquisicion: Entidad"</f>
        <v>Descripcion: MESON EN ACERO INOX.LISO CON TOPE ANGULADO 100X247X60 CMS Estado: Regular Placa anterior: 000015361 Material: ACERO INOXIDABLE Color:  Referencia:  Observacion:  Placa padre: Tipo adquisicion: Entidad</v>
      </c>
      <c r="G11545" s="5"/>
    </row>
    <row r="11546" spans="1:7" ht="58.5" customHeight="1" x14ac:dyDescent="0.25">
      <c r="A11546" s="5" t="str">
        <f>"H0013898"</f>
        <v>H0013898</v>
      </c>
      <c r="B11546" s="5" t="str">
        <f>"CARRO PARA TRANSPORTE DE MENAJE"</f>
        <v>CARRO PARA TRANSPORTE DE MENAJE</v>
      </c>
      <c r="C11546" s="6">
        <v>2100000</v>
      </c>
      <c r="D11546" s="5"/>
      <c r="E11546" s="5" t="str">
        <f t="shared" si="597"/>
        <v>NUTRICION-ESPERANZA MONCADA PARADA</v>
      </c>
      <c r="F11546" s="5" t="str">
        <f>"Descripcion: . Estado: Bueno Placa anterior: 000032989 Material: ACERO INOXIDABLE Color:  Referencia:  Observacion:  Placa padre: Tipo adquisicion: Entidad"</f>
        <v>Descripcion: . Estado: Bueno Placa anterior: 000032989 Material: ACERO INOXIDABLE Color:  Referencia:  Observacion:  Placa padre: Tipo adquisicion: Entidad</v>
      </c>
      <c r="G11546" s="5"/>
    </row>
    <row r="11547" spans="1:7" ht="58.5" customHeight="1" x14ac:dyDescent="0.25">
      <c r="A11547" s="5" t="str">
        <f>"H0013899"</f>
        <v>H0013899</v>
      </c>
      <c r="B11547" s="5" t="str">
        <f>"MESON EN ACERO INOXIDABLE"</f>
        <v>MESON EN ACERO INOXIDABLE</v>
      </c>
      <c r="C11547" s="6">
        <v>37046.959999999999</v>
      </c>
      <c r="D11547" s="5"/>
      <c r="E11547" s="5" t="str">
        <f t="shared" si="597"/>
        <v>NUTRICION-ESPERANZA MONCADA PARADA</v>
      </c>
      <c r="F11547" s="5" t="str">
        <f>"Descripcion: MESON EN ACERO INOX.CON TOPE LISO 100X225X66 CMS Estado: Regular Placa anterior: 000015375 Material: ACERO INOXIDABLE Color:  Referencia:  Observacion:  Placa padre: Tipo adquisicion: Entidad"</f>
        <v>Descripcion: MESON EN ACERO INOX.CON TOPE LISO 100X225X66 CMS Estado: Regular Placa anterior: 000015375 Material: ACERO INOXIDABLE Color:  Referencia:  Observacion:  Placa padre: Tipo adquisicion: Entidad</v>
      </c>
      <c r="G11547" s="5"/>
    </row>
    <row r="11548" spans="1:7" ht="58.5" customHeight="1" x14ac:dyDescent="0.25">
      <c r="A11548" s="5" t="str">
        <f>"H0013900"</f>
        <v>H0013900</v>
      </c>
      <c r="B11548" s="5" t="str">
        <f>"MESON EN ACERO INOXIDABLE"</f>
        <v>MESON EN ACERO INOXIDABLE</v>
      </c>
      <c r="C11548" s="6">
        <v>37046.959999999999</v>
      </c>
      <c r="D11548" s="5"/>
      <c r="E11548" s="5" t="str">
        <f t="shared" si="597"/>
        <v>NUTRICION-ESPERANZA MONCADA PARADA</v>
      </c>
      <c r="F11548" s="5" t="str">
        <f>"Descripcion: MESON EN ACERO INOX. CON TOPE EN L 100X202X66 CMS Estado: Regular Placa anterior: 000015376 Material: ACERO INOXIDABLE Color:  Referencia:  Observacion:  Placa padre: Tipo adquisicion: Entidad"</f>
        <v>Descripcion: MESON EN ACERO INOX. CON TOPE EN L 100X202X66 CMS Estado: Regular Placa anterior: 000015376 Material: ACERO INOXIDABLE Color:  Referencia:  Observacion:  Placa padre: Tipo adquisicion: Entidad</v>
      </c>
      <c r="G11548" s="5"/>
    </row>
    <row r="11549" spans="1:7" ht="58.5" customHeight="1" x14ac:dyDescent="0.25">
      <c r="A11549" s="5" t="str">
        <f>"H0013902"</f>
        <v>H0013902</v>
      </c>
      <c r="B11549" s="5" t="str">
        <f>"NEVERA DE 66 LTS"</f>
        <v>NEVERA DE 66 LTS</v>
      </c>
      <c r="C11549" s="6">
        <v>162960.03</v>
      </c>
      <c r="D11549" s="5"/>
      <c r="E11549" s="5" t="str">
        <f t="shared" si="597"/>
        <v>NUTRICION-ESPERANZA MONCADA PARADA</v>
      </c>
      <c r="F11549" s="5" t="str">
        <f>"Descripcion: 1 PUERTA Estado: Regular Placa anterior: 000015411 Material: METALICO Color: BLANCO Referencia: 378200 Observacion:  Placa padre: Tipo adquisicion: Entidad"</f>
        <v>Descripcion: 1 PUERTA Estado: Regular Placa anterior: 000015411 Material: METALICO Color: BLANCO Referencia: 378200 Observacion:  Placa padre: Tipo adquisicion: Entidad</v>
      </c>
      <c r="G11549" s="5" t="str">
        <f>"NE-9"</f>
        <v>NE-9</v>
      </c>
    </row>
    <row r="11550" spans="1:7" ht="58.5" customHeight="1" x14ac:dyDescent="0.25">
      <c r="A11550" s="5" t="str">
        <f>"H0013903"</f>
        <v>H0013903</v>
      </c>
      <c r="B11550" s="5" t="str">
        <f>"LAVAPLATOS EN ACERO INOXIDABLE 2 PUESTOS"</f>
        <v>LAVAPLATOS EN ACERO INOXIDABLE 2 PUESTOS</v>
      </c>
      <c r="C11550" s="6">
        <v>81414.59</v>
      </c>
      <c r="D11550" s="5"/>
      <c r="E11550" s="5" t="str">
        <f t="shared" si="597"/>
        <v>NUTRICION-ESPERANZA MONCADA PARADA</v>
      </c>
      <c r="F11550" s="5" t="str">
        <f>"Descripcion: MESON EN ACERO INOX.CON TOPE Y 2 VERTEDEROS 2.14X56 CMS Estado: Regular Placa anterior: 000015378 Material: ACERO INOXIDABLE Color:  Referencia:  Observacion:  Placa padre: Tipo adquisicion: Entidad"</f>
        <v>Descripcion: MESON EN ACERO INOX.CON TOPE Y 2 VERTEDEROS 2.14X56 CMS Estado: Regular Placa anterior: 000015378 Material: ACERO INOXIDABLE Color:  Referencia:  Observacion:  Placa padre: Tipo adquisicion: Entidad</v>
      </c>
      <c r="G11550" s="5"/>
    </row>
    <row r="11551" spans="1:7" ht="58.5" customHeight="1" x14ac:dyDescent="0.25">
      <c r="A11551" s="5" t="str">
        <f>"H0013904"</f>
        <v>H0013904</v>
      </c>
      <c r="B11551" s="5" t="str">
        <f>"CARRO PARA TRANSPORTE DE MENAJE"</f>
        <v>CARRO PARA TRANSPORTE DE MENAJE</v>
      </c>
      <c r="C11551" s="6">
        <v>940000</v>
      </c>
      <c r="D11551" s="5"/>
      <c r="E11551" s="5" t="str">
        <f t="shared" si="597"/>
        <v>NUTRICION-ESPERANZA MONCADA PARADA</v>
      </c>
      <c r="F11551" s="5" t="str">
        <f>"Descripcion: 100X214X60 Estado: Bueno Placa anterior: 000033161 Material: ACERO INOXIDABLE Color:  Referencia:  Observacion: FUNCIONARIO AUTORIZA SE CONCILIE CON PLACA 000033161 Placa padre: Tipo adquisicion: Entidad"</f>
        <v>Descripcion: 100X214X60 Estado: Bueno Placa anterior: 000033161 Material: ACERO INOXIDABLE Color:  Referencia:  Observacion: FUNCIONARIO AUTORIZA SE CONCILIE CON PLACA 000033161 Placa padre: Tipo adquisicion: Entidad</v>
      </c>
      <c r="G11551" s="5"/>
    </row>
    <row r="11552" spans="1:7" ht="58.5" customHeight="1" x14ac:dyDescent="0.25">
      <c r="A11552" s="5" t="str">
        <f>"H0013934"</f>
        <v>H0013934</v>
      </c>
      <c r="B11552" s="5" t="str">
        <f>"MESON EN ACERO INOXIDABLE"</f>
        <v>MESON EN ACERO INOXIDABLE</v>
      </c>
      <c r="C11552" s="6">
        <v>35240.99</v>
      </c>
      <c r="D11552" s="5"/>
      <c r="E11552" s="5" t="str">
        <f t="shared" si="597"/>
        <v>NUTRICION-ESPERANZA MONCADA PARADA</v>
      </c>
      <c r="F11552" s="5" t="str">
        <f>"Descripcion: MESON EN ACERO INOX. CON TOPE LISO 100X223X66 CMS Estado: Bueno Placa anterior: 000015398 Material: ACERO INOXIDABLE Color:  Referencia:  Observacion:  Placa padre: Tipo adquisicion: Entidad"</f>
        <v>Descripcion: MESON EN ACERO INOX. CON TOPE LISO 100X223X66 CMS Estado: Bueno Placa anterior: 000015398 Material: ACERO INOXIDABLE Color:  Referencia:  Observacion:  Placa padre: Tipo adquisicion: Entidad</v>
      </c>
      <c r="G11552" s="5"/>
    </row>
    <row r="11553" spans="1:7" ht="58.5" customHeight="1" x14ac:dyDescent="0.25">
      <c r="A11553" s="5" t="str">
        <f>"H0013935"</f>
        <v>H0013935</v>
      </c>
      <c r="B11553" s="5" t="str">
        <f>"MESON EN ACERO INOXIDABLE"</f>
        <v>MESON EN ACERO INOXIDABLE</v>
      </c>
      <c r="C11553" s="6">
        <v>37046.959999999999</v>
      </c>
      <c r="D11553" s="5"/>
      <c r="E11553" s="5" t="str">
        <f t="shared" si="597"/>
        <v>NUTRICION-ESPERANZA MONCADA PARADA</v>
      </c>
      <c r="F11553" s="5" t="str">
        <f>"Descripcion: MESON EN ACERO INOX. CON TOPE EN L 100X203X66 CMS Estado: Bueno Placa anterior: 000015399 Material: ACERO INOXIDABLE Color:  Referencia:  Observacion:  Placa padre: Tipo adquisicion: Entidad"</f>
        <v>Descripcion: MESON EN ACERO INOX. CON TOPE EN L 100X203X66 CMS Estado: Bueno Placa anterior: 000015399 Material: ACERO INOXIDABLE Color:  Referencia:  Observacion:  Placa padre: Tipo adquisicion: Entidad</v>
      </c>
      <c r="G11553" s="5"/>
    </row>
    <row r="11554" spans="1:7" ht="58.5" customHeight="1" x14ac:dyDescent="0.25">
      <c r="A11554" s="5" t="str">
        <f>"H0013937"</f>
        <v>H0013937</v>
      </c>
      <c r="B11554" s="5" t="str">
        <f>"LAVAPLATOS EN ACERO INOXIDABLE 2 PUESTOS"</f>
        <v>LAVAPLATOS EN ACERO INOXIDABLE 2 PUESTOS</v>
      </c>
      <c r="C11554" s="6">
        <v>81414.59</v>
      </c>
      <c r="D11554" s="5"/>
      <c r="E11554" s="5" t="str">
        <f t="shared" si="597"/>
        <v>NUTRICION-ESPERANZA MONCADA PARADA</v>
      </c>
      <c r="F11554" s="5" t="str">
        <f>"Descripcion: MESON EN ACERO INOX.CON TOPE Y 2 VERTEDEROS 100X214X66 CMS Estado: Bueno Placa anterior: 000015401 Material: ACERO INOXIDABLE Color:  Referencia:  Observacion:  Placa padre: Tipo adquisicion: Entidad"</f>
        <v>Descripcion: MESON EN ACERO INOX.CON TOPE Y 2 VERTEDEROS 100X214X66 CMS Estado: Bueno Placa anterior: 000015401 Material: ACERO INOXIDABLE Color:  Referencia:  Observacion:  Placa padre: Tipo adquisicion: Entidad</v>
      </c>
      <c r="G11554" s="5"/>
    </row>
    <row r="11555" spans="1:7" ht="58.5" customHeight="1" x14ac:dyDescent="0.25">
      <c r="A11555" s="5" t="str">
        <f>"H0013938"</f>
        <v>H0013938</v>
      </c>
      <c r="B11555" s="5" t="str">
        <f>"NEVERA 8 PIES (226LT)"</f>
        <v>NEVERA 8 PIES (226LT)</v>
      </c>
      <c r="C11555" s="6">
        <v>264999.84000000003</v>
      </c>
      <c r="D11555" s="5"/>
      <c r="E11555" s="5" t="str">
        <f t="shared" si="597"/>
        <v>NUTRICION-ESPERANZA MONCADA PARADA</v>
      </c>
      <c r="F11555" s="5" t="str">
        <f>"Descripcion: NEVERA PHILIPS DE 8 PIESOXIDO1 PUERTASE BOTA EL AGUA Estado: Regular Placa anterior: 000012156 Material: METALICO Color: BEIGE Referencia:  Observacion:  Placa padre: Tipo adquisicion: Entidad"</f>
        <v>Descripcion: NEVERA PHILIPS DE 8 PIESOXIDO1 PUERTASE BOTA EL AGUA Estado: Regular Placa anterior: 000012156 Material: METALICO Color: BEIGE Referencia:  Observacion:  Placa padre: Tipo adquisicion: Entidad</v>
      </c>
      <c r="G11555" s="5" t="str">
        <f>"ST98-6"</f>
        <v>ST98-6</v>
      </c>
    </row>
    <row r="11556" spans="1:7" ht="58.5" customHeight="1" x14ac:dyDescent="0.25">
      <c r="A11556" s="5" t="str">
        <f>"H0013939"</f>
        <v>H0013939</v>
      </c>
      <c r="B11556" s="5" t="str">
        <f>"CARRO PARA TRANSPORTE DE MENAJE"</f>
        <v>CARRO PARA TRANSPORTE DE MENAJE</v>
      </c>
      <c r="C11556" s="6">
        <v>138424</v>
      </c>
      <c r="D11556" s="5"/>
      <c r="E11556" s="5" t="str">
        <f t="shared" si="597"/>
        <v>NUTRICION-ESPERANZA MONCADA PARADA</v>
      </c>
      <c r="F11556" s="5" t="str">
        <f>"Descripcion: CARRO TRANSPORTADOR BANDEJERO EN ACERO INOX. Estado: Regular Placa anterior: 000014160 Material: ACERO INOXIDABLE Color:  Referencia:  Observacion:  Placa padre: Tipo adquisicion: Entidad"</f>
        <v>Descripcion: CARRO TRANSPORTADOR BANDEJERO EN ACERO INOX. Estado: Regular Placa anterior: 000014160 Material: ACERO INOXIDABLE Color:  Referencia:  Observacion:  Placa padre: Tipo adquisicion: Entidad</v>
      </c>
      <c r="G11556" s="5"/>
    </row>
    <row r="11557" spans="1:7" ht="58.5" customHeight="1" x14ac:dyDescent="0.25">
      <c r="A11557" s="5" t="str">
        <f>"H0013940"</f>
        <v>H0013940</v>
      </c>
      <c r="B11557" s="5" t="str">
        <f>"CARRO PARA TRANSPORTE DE MENAJE"</f>
        <v>CARRO PARA TRANSPORTE DE MENAJE</v>
      </c>
      <c r="C11557" s="6">
        <v>56650</v>
      </c>
      <c r="D11557" s="5"/>
      <c r="E11557" s="5" t="str">
        <f t="shared" si="597"/>
        <v>NUTRICION-ESPERANZA MONCADA PARADA</v>
      </c>
      <c r="F11557" s="5" t="str">
        <f>"Descripcion: CARRO TRANSPORTADOR BANDEJERO EN ACERO INOX. Estado: Malo Placa anterior: 000014180 Material: ACERO INOXIDABLE Color:  Referencia:  Observacion: FUNCIONARIO AUTORIZA SE CONCILIE CON PLACA 000014180 Placa padre: Tipo adquisicion: Entidad"</f>
        <v>Descripcion: CARRO TRANSPORTADOR BANDEJERO EN ACERO INOX. Estado: Malo Placa anterior: 000014180 Material: ACERO INOXIDABLE Color:  Referencia:  Observacion: FUNCIONARIO AUTORIZA SE CONCILIE CON PLACA 000014180 Placa padre: Tipo adquisicion: Entidad</v>
      </c>
      <c r="G11557" s="5"/>
    </row>
    <row r="11558" spans="1:7" ht="58.5" customHeight="1" x14ac:dyDescent="0.25">
      <c r="A11558" s="5" t="str">
        <f>"H0013941"</f>
        <v>H0013941</v>
      </c>
      <c r="B11558" s="5" t="str">
        <f>"SILLA INTERLOCUTORA (FIJA) SIN BRAZOS"</f>
        <v>SILLA INTERLOCUTORA (FIJA) SIN BRAZOS</v>
      </c>
      <c r="C11558" s="6">
        <v>11220</v>
      </c>
      <c r="D11558" s="5"/>
      <c r="E11558" s="5" t="str">
        <f t="shared" si="597"/>
        <v>NUTRICION-ESPERANZA MONCADA PARADA</v>
      </c>
      <c r="F11558" s="5" t="str">
        <f>"Descripcion: SILLA FIJA TIPO A COLOR MARRON Estado: Inservible Placa anterior: 000015395 Material: METALICO Color: MARRON Referencia:  Observacion:  Placa padre: Tipo adquisicion: Entidad"</f>
        <v>Descripcion: SILLA FIJA TIPO A COLOR MARRON Estado: Inservible Placa anterior: 000015395 Material: METALICO Color: MARRON Referencia:  Observacion:  Placa padre: Tipo adquisicion: Entidad</v>
      </c>
      <c r="G11558" s="5"/>
    </row>
    <row r="11559" spans="1:7" ht="58.5" customHeight="1" x14ac:dyDescent="0.25">
      <c r="A11559" s="5" t="str">
        <f>"H0013942"</f>
        <v>H0013942</v>
      </c>
      <c r="B11559" s="5" t="str">
        <f>"SILLA INTERLOCUTORA (FIJA) SIN BRAZOS"</f>
        <v>SILLA INTERLOCUTORA (FIJA) SIN BRAZOS</v>
      </c>
      <c r="C11559" s="6">
        <v>11220</v>
      </c>
      <c r="D11559" s="5"/>
      <c r="E11559" s="5" t="str">
        <f t="shared" ref="E11559:E11622" si="599">"NUTRICION-ESPERANZA MONCADA PARADA"</f>
        <v>NUTRICION-ESPERANZA MONCADA PARADA</v>
      </c>
      <c r="F11559" s="5" t="str">
        <f>"Descripcion: SILLA FIJA TIPO A COLOR MARRON Estado: Inservible Placa anterior: 000015394 Material: METALICO Color: MARRON Referencia:  Observacion:  Placa padre: Tipo adquisicion: Entidad"</f>
        <v>Descripcion: SILLA FIJA TIPO A COLOR MARRON Estado: Inservible Placa anterior: 000015394 Material: METALICO Color: MARRON Referencia:  Observacion:  Placa padre: Tipo adquisicion: Entidad</v>
      </c>
      <c r="G11559" s="5"/>
    </row>
    <row r="11560" spans="1:7" ht="58.5" customHeight="1" x14ac:dyDescent="0.25">
      <c r="A11560" s="5" t="str">
        <f>"H0014003"</f>
        <v>H0014003</v>
      </c>
      <c r="B11560" s="5" t="str">
        <f>"BANDEJA CON COMPARTIMIENTOS EN ACERO INOXIDABLE"</f>
        <v>BANDEJA CON COMPARTIMIENTOS EN ACERO INOXIDABLE</v>
      </c>
      <c r="C11560" s="6">
        <v>2547.6</v>
      </c>
      <c r="D11560" s="5"/>
      <c r="E11560" s="5" t="str">
        <f t="shared" si="599"/>
        <v>NUTRICION-ESPERANZA MONCADA PARADA</v>
      </c>
      <c r="F11560" s="5" t="str">
        <f>"Descripcion: BANDEJA EN ACERO INOX. 6 COMPARTIMIENTOS - COCINA Estado: Bueno Placa anterior: 000018151 Material: ACERO INOX. Color: PLATEADO Referencia:  Observacion: FUNCIONARIO AUTORIZA SE CONCILIE CON PLACA 000018151 Placa padre: Tipo adquisicion: Enti"&amp; "dad"</f>
        <v>Descripcion: BANDEJA EN ACERO INOX. 6 COMPARTIMIENTOS - COCINA Estado: Bueno Placa anterior: 000018151 Material: ACERO INOX. Color: PLATEADO Referencia:  Observacion: FUNCIONARIO AUTORIZA SE CONCILIE CON PLACA 000018151 Placa padre: Tipo adquisicion: Entidad</v>
      </c>
      <c r="G11560" s="5"/>
    </row>
    <row r="11561" spans="1:7" ht="58.5" customHeight="1" x14ac:dyDescent="0.25">
      <c r="A11561" s="5" t="str">
        <f>"H0014243"</f>
        <v>H0014243</v>
      </c>
      <c r="B11561" s="5" t="str">
        <f>"COLADOR CHINO"</f>
        <v>COLADOR CHINO</v>
      </c>
      <c r="C11561" s="6">
        <v>65772</v>
      </c>
      <c r="D11561" s="5"/>
      <c r="E11561" s="5" t="str">
        <f t="shared" si="599"/>
        <v>NUTRICION-ESPERANZA MONCADA PARADA</v>
      </c>
      <c r="F11561" s="5" t="str">
        <f>"Descripcion: COLADOR CHINO ACERO INOXIDABLE Estado: Bueno Placa anterior: 000036528 Material: ACERO INOXIDABLE Color:  Referencia:  Observacion:  Placa padre: Tipo adquisicion: Entidad"</f>
        <v>Descripcion: COLADOR CHINO ACERO INOXIDABLE Estado: Bueno Placa anterior: 000036528 Material: ACERO INOXIDABLE Color:  Referencia:  Observacion:  Placa padre: Tipo adquisicion: Entidad</v>
      </c>
      <c r="G11561" s="5"/>
    </row>
    <row r="11562" spans="1:7" ht="58.5" customHeight="1" x14ac:dyDescent="0.25">
      <c r="A11562" s="5" t="str">
        <f>"H0014244"</f>
        <v>H0014244</v>
      </c>
      <c r="B11562" s="5" t="str">
        <f>"COLADOR CHINO"</f>
        <v>COLADOR CHINO</v>
      </c>
      <c r="C11562" s="6">
        <v>65772</v>
      </c>
      <c r="D11562" s="5"/>
      <c r="E11562" s="5" t="str">
        <f t="shared" si="599"/>
        <v>NUTRICION-ESPERANZA MONCADA PARADA</v>
      </c>
      <c r="F11562" s="5" t="str">
        <f>"Descripcion: COLADOR CHINO ACERO INOXIDABLE Estado: Bueno Placa anterior: 000036527 Material: ACERO INOXIDABLE Color:  Referencia:  Observacion:  Placa padre: Tipo adquisicion: Entidad"</f>
        <v>Descripcion: COLADOR CHINO ACERO INOXIDABLE Estado: Bueno Placa anterior: 000036527 Material: ACERO INOXIDABLE Color:  Referencia:  Observacion:  Placa padre: Tipo adquisicion: Entidad</v>
      </c>
      <c r="G11562" s="5"/>
    </row>
    <row r="11563" spans="1:7" ht="58.5" customHeight="1" x14ac:dyDescent="0.25">
      <c r="A11563" s="5" t="str">
        <f>"H0014245"</f>
        <v>H0014245</v>
      </c>
      <c r="B11563" s="5" t="str">
        <f t="shared" ref="B11563:B11594" si="600">"CACEROLA CON TAPA EN ALUMINIO PEQUEÑA"</f>
        <v>CACEROLA CON TAPA EN ALUMINIO PEQUEÑA</v>
      </c>
      <c r="C11563" s="6">
        <v>594</v>
      </c>
      <c r="D11563" s="5"/>
      <c r="E11563" s="5" t="str">
        <f t="shared" si="599"/>
        <v>NUTRICION-ESPERANZA MONCADA PARADA</v>
      </c>
      <c r="F11563" s="5" t="str">
        <f>"Descripcion: CACEROLA CON TAPA PEQUEÑA Estado: Bueno Placa anterior: 000017270 Material: ALUMNINIO Color:  Referencia:  Observacion:  Placa padre: Tipo adquisicion: Entidad"</f>
        <v>Descripcion: CACEROLA CON TAPA PEQUEÑA Estado: Bueno Placa anterior: 000017270 Material: ALUMNINIO Color:  Referencia:  Observacion:  Placa padre: Tipo adquisicion: Entidad</v>
      </c>
      <c r="G11563" s="5"/>
    </row>
    <row r="11564" spans="1:7" ht="58.5" customHeight="1" x14ac:dyDescent="0.25">
      <c r="A11564" s="5" t="str">
        <f>"H0014246"</f>
        <v>H0014246</v>
      </c>
      <c r="B11564" s="5" t="str">
        <f t="shared" si="600"/>
        <v>CACEROLA CON TAPA EN ALUMINIO PEQUEÑA</v>
      </c>
      <c r="C11564" s="6">
        <v>594</v>
      </c>
      <c r="D11564" s="5"/>
      <c r="E11564" s="5" t="str">
        <f t="shared" si="599"/>
        <v>NUTRICION-ESPERANZA MONCADA PARADA</v>
      </c>
      <c r="F11564" s="5" t="str">
        <f>"Descripcion: CACEROLA CON TAPA PEQUEÑA Estado: Bueno Placa anterior: 000017275 Material: ALUMNINIO Color:  Referencia:  Observacion:  Placa padre: Tipo adquisicion: Entidad"</f>
        <v>Descripcion: CACEROLA CON TAPA PEQUEÑA Estado: Bueno Placa anterior: 000017275 Material: ALUMNINIO Color:  Referencia:  Observacion:  Placa padre: Tipo adquisicion: Entidad</v>
      </c>
      <c r="G11564" s="5"/>
    </row>
    <row r="11565" spans="1:7" ht="58.5" customHeight="1" x14ac:dyDescent="0.25">
      <c r="A11565" s="5" t="str">
        <f>"H0014247"</f>
        <v>H0014247</v>
      </c>
      <c r="B11565" s="5" t="str">
        <f t="shared" si="600"/>
        <v>CACEROLA CON TAPA EN ALUMINIO PEQUEÑA</v>
      </c>
      <c r="C11565" s="6">
        <v>594</v>
      </c>
      <c r="D11565" s="5"/>
      <c r="E11565" s="5" t="str">
        <f t="shared" si="599"/>
        <v>NUTRICION-ESPERANZA MONCADA PARADA</v>
      </c>
      <c r="F11565" s="5" t="str">
        <f>"Descripcion: CACEROLA CON TAPA PEQUEÑA Estado: Bueno Placa anterior: 000017278 Material: ALUMNINIO Color:  Referencia:  Observacion:  Placa padre: Tipo adquisicion: Entidad"</f>
        <v>Descripcion: CACEROLA CON TAPA PEQUEÑA Estado: Bueno Placa anterior: 000017278 Material: ALUMNINIO Color:  Referencia:  Observacion:  Placa padre: Tipo adquisicion: Entidad</v>
      </c>
      <c r="G11565" s="5"/>
    </row>
    <row r="11566" spans="1:7" ht="58.5" customHeight="1" x14ac:dyDescent="0.25">
      <c r="A11566" s="5" t="str">
        <f>"H0014248"</f>
        <v>H0014248</v>
      </c>
      <c r="B11566" s="5" t="str">
        <f t="shared" si="600"/>
        <v>CACEROLA CON TAPA EN ALUMINIO PEQUEÑA</v>
      </c>
      <c r="C11566" s="6">
        <v>594</v>
      </c>
      <c r="D11566" s="5"/>
      <c r="E11566" s="5" t="str">
        <f t="shared" si="599"/>
        <v>NUTRICION-ESPERANZA MONCADA PARADA</v>
      </c>
      <c r="F11566" s="5" t="str">
        <f>"Descripcion: CACEROLA CON TAPA PEQUEÑA Estado: Bueno Placa anterior: 000017279 Material: ALUMNINIO Color:  Referencia:  Observacion:  Placa padre: Tipo adquisicion: Entidad"</f>
        <v>Descripcion: CACEROLA CON TAPA PEQUEÑA Estado: Bueno Placa anterior: 000017279 Material: ALUMNINIO Color:  Referencia:  Observacion:  Placa padre: Tipo adquisicion: Entidad</v>
      </c>
      <c r="G11566" s="5"/>
    </row>
    <row r="11567" spans="1:7" ht="58.5" customHeight="1" x14ac:dyDescent="0.25">
      <c r="A11567" s="5" t="str">
        <f>"H0014249"</f>
        <v>H0014249</v>
      </c>
      <c r="B11567" s="5" t="str">
        <f t="shared" si="600"/>
        <v>CACEROLA CON TAPA EN ALUMINIO PEQUEÑA</v>
      </c>
      <c r="C11567" s="6">
        <v>594</v>
      </c>
      <c r="D11567" s="5"/>
      <c r="E11567" s="5" t="str">
        <f t="shared" si="599"/>
        <v>NUTRICION-ESPERANZA MONCADA PARADA</v>
      </c>
      <c r="F11567" s="5" t="str">
        <f>"Descripcion: CACEROLA CON TAPA PEQUEÑA Estado: Bueno Placa anterior: 000017280 Material: ALUMNINIO Color:  Referencia:  Observacion:  Placa padre: Tipo adquisicion: Entidad"</f>
        <v>Descripcion: CACEROLA CON TAPA PEQUEÑA Estado: Bueno Placa anterior: 000017280 Material: ALUMNINIO Color:  Referencia:  Observacion:  Placa padre: Tipo adquisicion: Entidad</v>
      </c>
      <c r="G11567" s="5"/>
    </row>
    <row r="11568" spans="1:7" ht="58.5" customHeight="1" x14ac:dyDescent="0.25">
      <c r="A11568" s="5" t="str">
        <f>"H0014250"</f>
        <v>H0014250</v>
      </c>
      <c r="B11568" s="5" t="str">
        <f t="shared" si="600"/>
        <v>CACEROLA CON TAPA EN ALUMINIO PEQUEÑA</v>
      </c>
      <c r="C11568" s="6">
        <v>594</v>
      </c>
      <c r="D11568" s="5"/>
      <c r="E11568" s="5" t="str">
        <f t="shared" si="599"/>
        <v>NUTRICION-ESPERANZA MONCADA PARADA</v>
      </c>
      <c r="F11568" s="5" t="str">
        <f>"Descripcion: CACEROLA CON TAPA PEQUEÑA Estado: Bueno Placa anterior: 000017281 Material: ALUMNINIO Color:  Referencia:  Observacion:  Placa padre: Tipo adquisicion: Entidad"</f>
        <v>Descripcion: CACEROLA CON TAPA PEQUEÑA Estado: Bueno Placa anterior: 000017281 Material: ALUMNINIO Color:  Referencia:  Observacion:  Placa padre: Tipo adquisicion: Entidad</v>
      </c>
      <c r="G11568" s="5"/>
    </row>
    <row r="11569" spans="1:7" ht="58.5" customHeight="1" x14ac:dyDescent="0.25">
      <c r="A11569" s="5" t="str">
        <f>"H0014251"</f>
        <v>H0014251</v>
      </c>
      <c r="B11569" s="5" t="str">
        <f t="shared" si="600"/>
        <v>CACEROLA CON TAPA EN ALUMINIO PEQUEÑA</v>
      </c>
      <c r="C11569" s="6">
        <v>594</v>
      </c>
      <c r="D11569" s="5"/>
      <c r="E11569" s="5" t="str">
        <f t="shared" si="599"/>
        <v>NUTRICION-ESPERANZA MONCADA PARADA</v>
      </c>
      <c r="F11569" s="5" t="str">
        <f>"Descripcion: CACEROLA CON TAPA PEQUEÑA Estado: Bueno Placa anterior: 000017282 Material: ALUMNINIO Color:  Referencia:  Observacion:  Placa padre: Tipo adquisicion: Entidad"</f>
        <v>Descripcion: CACEROLA CON TAPA PEQUEÑA Estado: Bueno Placa anterior: 000017282 Material: ALUMNINIO Color:  Referencia:  Observacion:  Placa padre: Tipo adquisicion: Entidad</v>
      </c>
      <c r="G11569" s="5"/>
    </row>
    <row r="11570" spans="1:7" ht="58.5" customHeight="1" x14ac:dyDescent="0.25">
      <c r="A11570" s="5" t="str">
        <f>"H0014252"</f>
        <v>H0014252</v>
      </c>
      <c r="B11570" s="5" t="str">
        <f t="shared" si="600"/>
        <v>CACEROLA CON TAPA EN ALUMINIO PEQUEÑA</v>
      </c>
      <c r="C11570" s="6">
        <v>594</v>
      </c>
      <c r="D11570" s="5"/>
      <c r="E11570" s="5" t="str">
        <f t="shared" si="599"/>
        <v>NUTRICION-ESPERANZA MONCADA PARADA</v>
      </c>
      <c r="F11570" s="5" t="str">
        <f>"Descripcion: CACEROLA CON TAPA PEQUEÑA Estado: Bueno Placa anterior: 000017283 Material: ALUMNINIO Color:  Referencia:  Observacion:  Placa padre: Tipo adquisicion: Entidad"</f>
        <v>Descripcion: CACEROLA CON TAPA PEQUEÑA Estado: Bueno Placa anterior: 000017283 Material: ALUMNINIO Color:  Referencia:  Observacion:  Placa padre: Tipo adquisicion: Entidad</v>
      </c>
      <c r="G11570" s="5"/>
    </row>
    <row r="11571" spans="1:7" ht="58.5" customHeight="1" x14ac:dyDescent="0.25">
      <c r="A11571" s="5" t="str">
        <f>"H0014253"</f>
        <v>H0014253</v>
      </c>
      <c r="B11571" s="5" t="str">
        <f t="shared" si="600"/>
        <v>CACEROLA CON TAPA EN ALUMINIO PEQUEÑA</v>
      </c>
      <c r="C11571" s="6">
        <v>594</v>
      </c>
      <c r="D11571" s="5"/>
      <c r="E11571" s="5" t="str">
        <f t="shared" si="599"/>
        <v>NUTRICION-ESPERANZA MONCADA PARADA</v>
      </c>
      <c r="F11571" s="5" t="str">
        <f>"Descripcion: CACEROLA CON TAPA PEQUEÑA Estado: Bueno Placa anterior: 000017284 Material: ALUMNINIO Color:  Referencia:  Observacion:  Placa padre: Tipo adquisicion: Entidad"</f>
        <v>Descripcion: CACEROLA CON TAPA PEQUEÑA Estado: Bueno Placa anterior: 000017284 Material: ALUMNINIO Color:  Referencia:  Observacion:  Placa padre: Tipo adquisicion: Entidad</v>
      </c>
      <c r="G11571" s="5"/>
    </row>
    <row r="11572" spans="1:7" ht="58.5" customHeight="1" x14ac:dyDescent="0.25">
      <c r="A11572" s="5" t="str">
        <f>"H0014254"</f>
        <v>H0014254</v>
      </c>
      <c r="B11572" s="5" t="str">
        <f t="shared" si="600"/>
        <v>CACEROLA CON TAPA EN ALUMINIO PEQUEÑA</v>
      </c>
      <c r="C11572" s="6">
        <v>594</v>
      </c>
      <c r="D11572" s="5"/>
      <c r="E11572" s="5" t="str">
        <f t="shared" si="599"/>
        <v>NUTRICION-ESPERANZA MONCADA PARADA</v>
      </c>
      <c r="F11572" s="5" t="str">
        <f>"Descripcion: CACEROLA CON TAPA PEQUEÑA Estado: Bueno Placa anterior: 000017285 Material: ALUMNINIO Color:  Referencia:  Observacion:  Placa padre: Tipo adquisicion: Entidad"</f>
        <v>Descripcion: CACEROLA CON TAPA PEQUEÑA Estado: Bueno Placa anterior: 000017285 Material: ALUMNINIO Color:  Referencia:  Observacion:  Placa padre: Tipo adquisicion: Entidad</v>
      </c>
      <c r="G11572" s="5"/>
    </row>
    <row r="11573" spans="1:7" ht="58.5" customHeight="1" x14ac:dyDescent="0.25">
      <c r="A11573" s="5" t="str">
        <f>"H0014255"</f>
        <v>H0014255</v>
      </c>
      <c r="B11573" s="5" t="str">
        <f t="shared" si="600"/>
        <v>CACEROLA CON TAPA EN ALUMINIO PEQUEÑA</v>
      </c>
      <c r="C11573" s="6">
        <v>594</v>
      </c>
      <c r="D11573" s="5"/>
      <c r="E11573" s="5" t="str">
        <f t="shared" si="599"/>
        <v>NUTRICION-ESPERANZA MONCADA PARADA</v>
      </c>
      <c r="F11573" s="5" t="str">
        <f>"Descripcion: CACEROLA CON TAPA PEQUEÑA Estado: Bueno Placa anterior: 000017286 Material: ALUMNINIO Color:  Referencia:  Observacion:  Placa padre: Tipo adquisicion: Entidad"</f>
        <v>Descripcion: CACEROLA CON TAPA PEQUEÑA Estado: Bueno Placa anterior: 000017286 Material: ALUMNINIO Color:  Referencia:  Observacion:  Placa padre: Tipo adquisicion: Entidad</v>
      </c>
      <c r="G11573" s="5"/>
    </row>
    <row r="11574" spans="1:7" ht="58.5" customHeight="1" x14ac:dyDescent="0.25">
      <c r="A11574" s="5" t="str">
        <f>"H0014256"</f>
        <v>H0014256</v>
      </c>
      <c r="B11574" s="5" t="str">
        <f t="shared" si="600"/>
        <v>CACEROLA CON TAPA EN ALUMINIO PEQUEÑA</v>
      </c>
      <c r="C11574" s="6">
        <v>594</v>
      </c>
      <c r="D11574" s="5"/>
      <c r="E11574" s="5" t="str">
        <f t="shared" si="599"/>
        <v>NUTRICION-ESPERANZA MONCADA PARADA</v>
      </c>
      <c r="F11574" s="5" t="str">
        <f>"Descripcion: CACEROLA CON TAPA PEQUEÑA Estado: Bueno Placa anterior: 000017287 Material: ALUMNINIO Color:  Referencia:  Observacion:  Placa padre: Tipo adquisicion: Entidad"</f>
        <v>Descripcion: CACEROLA CON TAPA PEQUEÑA Estado: Bueno Placa anterior: 000017287 Material: ALUMNINIO Color:  Referencia:  Observacion:  Placa padre: Tipo adquisicion: Entidad</v>
      </c>
      <c r="G11574" s="5"/>
    </row>
    <row r="11575" spans="1:7" ht="58.5" customHeight="1" x14ac:dyDescent="0.25">
      <c r="A11575" s="5" t="str">
        <f>"H0014257"</f>
        <v>H0014257</v>
      </c>
      <c r="B11575" s="5" t="str">
        <f t="shared" si="600"/>
        <v>CACEROLA CON TAPA EN ALUMINIO PEQUEÑA</v>
      </c>
      <c r="C11575" s="6">
        <v>594</v>
      </c>
      <c r="D11575" s="5"/>
      <c r="E11575" s="5" t="str">
        <f t="shared" si="599"/>
        <v>NUTRICION-ESPERANZA MONCADA PARADA</v>
      </c>
      <c r="F11575" s="5" t="str">
        <f>"Descripcion: CACEROLA CON TAPA PEQUEÑA Estado: Bueno Placa anterior: 000017288 Material: ALUMNINIO Color:  Referencia:  Observacion:  Placa padre: Tipo adquisicion: Entidad"</f>
        <v>Descripcion: CACEROLA CON TAPA PEQUEÑA Estado: Bueno Placa anterior: 000017288 Material: ALUMNINIO Color:  Referencia:  Observacion:  Placa padre: Tipo adquisicion: Entidad</v>
      </c>
      <c r="G11575" s="5"/>
    </row>
    <row r="11576" spans="1:7" ht="58.5" customHeight="1" x14ac:dyDescent="0.25">
      <c r="A11576" s="5" t="str">
        <f>"H0014258"</f>
        <v>H0014258</v>
      </c>
      <c r="B11576" s="5" t="str">
        <f t="shared" si="600"/>
        <v>CACEROLA CON TAPA EN ALUMINIO PEQUEÑA</v>
      </c>
      <c r="C11576" s="6">
        <v>594</v>
      </c>
      <c r="D11576" s="5"/>
      <c r="E11576" s="5" t="str">
        <f t="shared" si="599"/>
        <v>NUTRICION-ESPERANZA MONCADA PARADA</v>
      </c>
      <c r="F11576" s="5" t="str">
        <f>"Descripcion: CACEROLA CON TAPA PEQUEÑA Estado: Bueno Placa anterior: 000017289 Material: ALUMNINIO Color:  Referencia:  Observacion:  Placa padre: Tipo adquisicion: Entidad"</f>
        <v>Descripcion: CACEROLA CON TAPA PEQUEÑA Estado: Bueno Placa anterior: 000017289 Material: ALUMNINIO Color:  Referencia:  Observacion:  Placa padre: Tipo adquisicion: Entidad</v>
      </c>
      <c r="G11576" s="5"/>
    </row>
    <row r="11577" spans="1:7" ht="58.5" customHeight="1" x14ac:dyDescent="0.25">
      <c r="A11577" s="5" t="str">
        <f>"H0014259"</f>
        <v>H0014259</v>
      </c>
      <c r="B11577" s="5" t="str">
        <f t="shared" si="600"/>
        <v>CACEROLA CON TAPA EN ALUMINIO PEQUEÑA</v>
      </c>
      <c r="C11577" s="6">
        <v>594</v>
      </c>
      <c r="D11577" s="5"/>
      <c r="E11577" s="5" t="str">
        <f t="shared" si="599"/>
        <v>NUTRICION-ESPERANZA MONCADA PARADA</v>
      </c>
      <c r="F11577" s="5" t="str">
        <f>"Descripcion: CACEROLA CON TAPA PEQUEÑA Estado: Bueno Placa anterior: 000017290 Material: ALUMNINIO Color:  Referencia:  Observacion:  Placa padre: Tipo adquisicion: Entidad"</f>
        <v>Descripcion: CACEROLA CON TAPA PEQUEÑA Estado: Bueno Placa anterior: 000017290 Material: ALUMNINIO Color:  Referencia:  Observacion:  Placa padre: Tipo adquisicion: Entidad</v>
      </c>
      <c r="G11577" s="5"/>
    </row>
    <row r="11578" spans="1:7" ht="58.5" customHeight="1" x14ac:dyDescent="0.25">
      <c r="A11578" s="5" t="str">
        <f>"H0014260"</f>
        <v>H0014260</v>
      </c>
      <c r="B11578" s="5" t="str">
        <f t="shared" si="600"/>
        <v>CACEROLA CON TAPA EN ALUMINIO PEQUEÑA</v>
      </c>
      <c r="C11578" s="6">
        <v>594</v>
      </c>
      <c r="D11578" s="5"/>
      <c r="E11578" s="5" t="str">
        <f t="shared" si="599"/>
        <v>NUTRICION-ESPERANZA MONCADA PARADA</v>
      </c>
      <c r="F11578" s="5" t="str">
        <f>"Descripcion: CACEROLA CON TAPA PEQUEÑA Estado: Bueno Placa anterior: 000017291 Material: ALUMNINIO Color:  Referencia:  Observacion:  Placa padre: Tipo adquisicion: Entidad"</f>
        <v>Descripcion: CACEROLA CON TAPA PEQUEÑA Estado: Bueno Placa anterior: 000017291 Material: ALUMNINIO Color:  Referencia:  Observacion:  Placa padre: Tipo adquisicion: Entidad</v>
      </c>
      <c r="G11578" s="5"/>
    </row>
    <row r="11579" spans="1:7" ht="58.5" customHeight="1" x14ac:dyDescent="0.25">
      <c r="A11579" s="5" t="str">
        <f>"H0014261"</f>
        <v>H0014261</v>
      </c>
      <c r="B11579" s="5" t="str">
        <f t="shared" si="600"/>
        <v>CACEROLA CON TAPA EN ALUMINIO PEQUEÑA</v>
      </c>
      <c r="C11579" s="6">
        <v>594</v>
      </c>
      <c r="D11579" s="5"/>
      <c r="E11579" s="5" t="str">
        <f t="shared" si="599"/>
        <v>NUTRICION-ESPERANZA MONCADA PARADA</v>
      </c>
      <c r="F11579" s="5" t="str">
        <f>"Descripcion: CACEROLA CON TAPA PEQUEÑA Estado: Bueno Placa anterior: 000017292 Material: ALUMNINIO Color:  Referencia:  Observacion:  Placa padre: Tipo adquisicion: Entidad"</f>
        <v>Descripcion: CACEROLA CON TAPA PEQUEÑA Estado: Bueno Placa anterior: 000017292 Material: ALUMNINIO Color:  Referencia:  Observacion:  Placa padre: Tipo adquisicion: Entidad</v>
      </c>
      <c r="G11579" s="5"/>
    </row>
    <row r="11580" spans="1:7" ht="58.5" customHeight="1" x14ac:dyDescent="0.25">
      <c r="A11580" s="5" t="str">
        <f>"H0014262"</f>
        <v>H0014262</v>
      </c>
      <c r="B11580" s="5" t="str">
        <f t="shared" si="600"/>
        <v>CACEROLA CON TAPA EN ALUMINIO PEQUEÑA</v>
      </c>
      <c r="C11580" s="6">
        <v>594</v>
      </c>
      <c r="D11580" s="5"/>
      <c r="E11580" s="5" t="str">
        <f t="shared" si="599"/>
        <v>NUTRICION-ESPERANZA MONCADA PARADA</v>
      </c>
      <c r="F11580" s="5" t="str">
        <f>"Descripcion: CACEROLA CON TAPA PEQUEÑA Estado: Bueno Placa anterior: 000017293 Material: ALUMNINIO Color:  Referencia:  Observacion:  Placa padre: Tipo adquisicion: Entidad"</f>
        <v>Descripcion: CACEROLA CON TAPA PEQUEÑA Estado: Bueno Placa anterior: 000017293 Material: ALUMNINIO Color:  Referencia:  Observacion:  Placa padre: Tipo adquisicion: Entidad</v>
      </c>
      <c r="G11580" s="5"/>
    </row>
    <row r="11581" spans="1:7" ht="58.5" customHeight="1" x14ac:dyDescent="0.25">
      <c r="A11581" s="5" t="str">
        <f>"H0014263"</f>
        <v>H0014263</v>
      </c>
      <c r="B11581" s="5" t="str">
        <f t="shared" si="600"/>
        <v>CACEROLA CON TAPA EN ALUMINIO PEQUEÑA</v>
      </c>
      <c r="C11581" s="6">
        <v>594</v>
      </c>
      <c r="D11581" s="5"/>
      <c r="E11581" s="5" t="str">
        <f t="shared" si="599"/>
        <v>NUTRICION-ESPERANZA MONCADA PARADA</v>
      </c>
      <c r="F11581" s="5" t="str">
        <f>"Descripcion: CACEROLA CON TAPA PEQUEÑA Estado: Bueno Placa anterior: 000017294 Material: ALUMNINIO Color:  Referencia:  Observacion:  Placa padre: Tipo adquisicion: Entidad"</f>
        <v>Descripcion: CACEROLA CON TAPA PEQUEÑA Estado: Bueno Placa anterior: 000017294 Material: ALUMNINIO Color:  Referencia:  Observacion:  Placa padre: Tipo adquisicion: Entidad</v>
      </c>
      <c r="G11581" s="5"/>
    </row>
    <row r="11582" spans="1:7" ht="58.5" customHeight="1" x14ac:dyDescent="0.25">
      <c r="A11582" s="5" t="str">
        <f>"H0014264"</f>
        <v>H0014264</v>
      </c>
      <c r="B11582" s="5" t="str">
        <f t="shared" si="600"/>
        <v>CACEROLA CON TAPA EN ALUMINIO PEQUEÑA</v>
      </c>
      <c r="C11582" s="6">
        <v>594</v>
      </c>
      <c r="D11582" s="5"/>
      <c r="E11582" s="5" t="str">
        <f t="shared" si="599"/>
        <v>NUTRICION-ESPERANZA MONCADA PARADA</v>
      </c>
      <c r="F11582" s="5" t="str">
        <f>"Descripcion: CACEROLA CON TAPA PEQUEÑA Estado: Bueno Placa anterior: 000017295 Material: ALUMNINIO Color:  Referencia:  Observacion:  Placa padre: Tipo adquisicion: Entidad"</f>
        <v>Descripcion: CACEROLA CON TAPA PEQUEÑA Estado: Bueno Placa anterior: 000017295 Material: ALUMNINIO Color:  Referencia:  Observacion:  Placa padre: Tipo adquisicion: Entidad</v>
      </c>
      <c r="G11582" s="5"/>
    </row>
    <row r="11583" spans="1:7" ht="58.5" customHeight="1" x14ac:dyDescent="0.25">
      <c r="A11583" s="5" t="str">
        <f>"H0014265"</f>
        <v>H0014265</v>
      </c>
      <c r="B11583" s="5" t="str">
        <f t="shared" si="600"/>
        <v>CACEROLA CON TAPA EN ALUMINIO PEQUEÑA</v>
      </c>
      <c r="C11583" s="6">
        <v>594</v>
      </c>
      <c r="D11583" s="5"/>
      <c r="E11583" s="5" t="str">
        <f t="shared" si="599"/>
        <v>NUTRICION-ESPERANZA MONCADA PARADA</v>
      </c>
      <c r="F11583" s="5" t="str">
        <f>"Descripcion: CACEROLA CON TAPA PEQUEÑA Estado: Bueno Placa anterior: 000017296 Material: ALUMNINIO Color:  Referencia:  Observacion:  Placa padre: Tipo adquisicion: Entidad"</f>
        <v>Descripcion: CACEROLA CON TAPA PEQUEÑA Estado: Bueno Placa anterior: 000017296 Material: ALUMNINIO Color:  Referencia:  Observacion:  Placa padre: Tipo adquisicion: Entidad</v>
      </c>
      <c r="G11583" s="5"/>
    </row>
    <row r="11584" spans="1:7" ht="58.5" customHeight="1" x14ac:dyDescent="0.25">
      <c r="A11584" s="5" t="str">
        <f>"H0014266"</f>
        <v>H0014266</v>
      </c>
      <c r="B11584" s="5" t="str">
        <f t="shared" si="600"/>
        <v>CACEROLA CON TAPA EN ALUMINIO PEQUEÑA</v>
      </c>
      <c r="C11584" s="6">
        <v>594</v>
      </c>
      <c r="D11584" s="5"/>
      <c r="E11584" s="5" t="str">
        <f t="shared" si="599"/>
        <v>NUTRICION-ESPERANZA MONCADA PARADA</v>
      </c>
      <c r="F11584" s="5" t="str">
        <f>"Descripcion: CACEROLA CON TAPA PEQUEÑA Estado: Bueno Placa anterior: 000017297 Material: ALUMNINIO Color:  Referencia:  Observacion:  Placa padre: Tipo adquisicion: Entidad"</f>
        <v>Descripcion: CACEROLA CON TAPA PEQUEÑA Estado: Bueno Placa anterior: 000017297 Material: ALUMNINIO Color:  Referencia:  Observacion:  Placa padre: Tipo adquisicion: Entidad</v>
      </c>
      <c r="G11584" s="5"/>
    </row>
    <row r="11585" spans="1:7" ht="58.5" customHeight="1" x14ac:dyDescent="0.25">
      <c r="A11585" s="5" t="str">
        <f>"H0014267"</f>
        <v>H0014267</v>
      </c>
      <c r="B11585" s="5" t="str">
        <f t="shared" si="600"/>
        <v>CACEROLA CON TAPA EN ALUMINIO PEQUEÑA</v>
      </c>
      <c r="C11585" s="6">
        <v>594</v>
      </c>
      <c r="D11585" s="5"/>
      <c r="E11585" s="5" t="str">
        <f t="shared" si="599"/>
        <v>NUTRICION-ESPERANZA MONCADA PARADA</v>
      </c>
      <c r="F11585" s="5" t="str">
        <f>"Descripcion: CACEROLA CON TAPA PEQUEÑA Estado: Bueno Placa anterior: 000017298 Material: ALUMNINIO Color:  Referencia:  Observacion:  Placa padre: Tipo adquisicion: Entidad"</f>
        <v>Descripcion: CACEROLA CON TAPA PEQUEÑA Estado: Bueno Placa anterior: 000017298 Material: ALUMNINIO Color:  Referencia:  Observacion:  Placa padre: Tipo adquisicion: Entidad</v>
      </c>
      <c r="G11585" s="5"/>
    </row>
    <row r="11586" spans="1:7" ht="58.5" customHeight="1" x14ac:dyDescent="0.25">
      <c r="A11586" s="5" t="str">
        <f>"H0014268"</f>
        <v>H0014268</v>
      </c>
      <c r="B11586" s="5" t="str">
        <f t="shared" si="600"/>
        <v>CACEROLA CON TAPA EN ALUMINIO PEQUEÑA</v>
      </c>
      <c r="C11586" s="6">
        <v>594</v>
      </c>
      <c r="D11586" s="5"/>
      <c r="E11586" s="5" t="str">
        <f t="shared" si="599"/>
        <v>NUTRICION-ESPERANZA MONCADA PARADA</v>
      </c>
      <c r="F11586" s="5" t="str">
        <f>"Descripcion: CACEROLA CON TAPA PEQUEÑA Estado: Bueno Placa anterior: 000017299 Material: ALUMNINIO Color:  Referencia:  Observacion:  Placa padre: Tipo adquisicion: Entidad"</f>
        <v>Descripcion: CACEROLA CON TAPA PEQUEÑA Estado: Bueno Placa anterior: 000017299 Material: ALUMNINIO Color:  Referencia:  Observacion:  Placa padre: Tipo adquisicion: Entidad</v>
      </c>
      <c r="G11586" s="5"/>
    </row>
    <row r="11587" spans="1:7" ht="58.5" customHeight="1" x14ac:dyDescent="0.25">
      <c r="A11587" s="5" t="str">
        <f>"H0014269"</f>
        <v>H0014269</v>
      </c>
      <c r="B11587" s="5" t="str">
        <f t="shared" si="600"/>
        <v>CACEROLA CON TAPA EN ALUMINIO PEQUEÑA</v>
      </c>
      <c r="C11587" s="6">
        <v>594</v>
      </c>
      <c r="D11587" s="5"/>
      <c r="E11587" s="5" t="str">
        <f t="shared" si="599"/>
        <v>NUTRICION-ESPERANZA MONCADA PARADA</v>
      </c>
      <c r="F11587" s="5" t="str">
        <f>"Descripcion: CACEROLA CON TAPA PEQUEÑA Estado: Bueno Placa anterior: 000017300 Material: ALUMNINIO Color:  Referencia:  Observacion:  Placa padre: Tipo adquisicion: Entidad"</f>
        <v>Descripcion: CACEROLA CON TAPA PEQUEÑA Estado: Bueno Placa anterior: 000017300 Material: ALUMNINIO Color:  Referencia:  Observacion:  Placa padre: Tipo adquisicion: Entidad</v>
      </c>
      <c r="G11587" s="5"/>
    </row>
    <row r="11588" spans="1:7" ht="58.5" customHeight="1" x14ac:dyDescent="0.25">
      <c r="A11588" s="5" t="str">
        <f>"H0014270"</f>
        <v>H0014270</v>
      </c>
      <c r="B11588" s="5" t="str">
        <f t="shared" si="600"/>
        <v>CACEROLA CON TAPA EN ALUMINIO PEQUEÑA</v>
      </c>
      <c r="C11588" s="6">
        <v>594</v>
      </c>
      <c r="D11588" s="5"/>
      <c r="E11588" s="5" t="str">
        <f t="shared" si="599"/>
        <v>NUTRICION-ESPERANZA MONCADA PARADA</v>
      </c>
      <c r="F11588" s="5" t="str">
        <f>"Descripcion: CACEROLA CON TAPA PEQUEÑA Estado: Bueno Placa anterior: 000017301 Material: ALUMNINIO Color:  Referencia:  Observacion:  Placa padre: Tipo adquisicion: Entidad"</f>
        <v>Descripcion: CACEROLA CON TAPA PEQUEÑA Estado: Bueno Placa anterior: 000017301 Material: ALUMNINIO Color:  Referencia:  Observacion:  Placa padre: Tipo adquisicion: Entidad</v>
      </c>
      <c r="G11588" s="5"/>
    </row>
    <row r="11589" spans="1:7" ht="58.5" customHeight="1" x14ac:dyDescent="0.25">
      <c r="A11589" s="5" t="str">
        <f>"H0014271"</f>
        <v>H0014271</v>
      </c>
      <c r="B11589" s="5" t="str">
        <f t="shared" si="600"/>
        <v>CACEROLA CON TAPA EN ALUMINIO PEQUEÑA</v>
      </c>
      <c r="C11589" s="6">
        <v>594</v>
      </c>
      <c r="D11589" s="5"/>
      <c r="E11589" s="5" t="str">
        <f t="shared" si="599"/>
        <v>NUTRICION-ESPERANZA MONCADA PARADA</v>
      </c>
      <c r="F11589" s="5" t="str">
        <f>"Descripcion: CACEROLA CON TAPA PEQUEÑA Estado: Bueno Placa anterior: 000017302 Material: ALUMNINIO Color:  Referencia:  Observacion:  Placa padre: Tipo adquisicion: Entidad"</f>
        <v>Descripcion: CACEROLA CON TAPA PEQUEÑA Estado: Bueno Placa anterior: 000017302 Material: ALUMNINIO Color:  Referencia:  Observacion:  Placa padre: Tipo adquisicion: Entidad</v>
      </c>
      <c r="G11589" s="5"/>
    </row>
    <row r="11590" spans="1:7" ht="58.5" customHeight="1" x14ac:dyDescent="0.25">
      <c r="A11590" s="5" t="str">
        <f>"H0014272"</f>
        <v>H0014272</v>
      </c>
      <c r="B11590" s="5" t="str">
        <f t="shared" si="600"/>
        <v>CACEROLA CON TAPA EN ALUMINIO PEQUEÑA</v>
      </c>
      <c r="C11590" s="6">
        <v>594</v>
      </c>
      <c r="D11590" s="5"/>
      <c r="E11590" s="5" t="str">
        <f t="shared" si="599"/>
        <v>NUTRICION-ESPERANZA MONCADA PARADA</v>
      </c>
      <c r="F11590" s="5" t="str">
        <f>"Descripcion: CACEROLA CON TAPA PEQUEÑA Estado: Bueno Placa anterior: 000017303 Material: ALUMNINIO Color:  Referencia:  Observacion:  Placa padre: Tipo adquisicion: Entidad"</f>
        <v>Descripcion: CACEROLA CON TAPA PEQUEÑA Estado: Bueno Placa anterior: 000017303 Material: ALUMNINIO Color:  Referencia:  Observacion:  Placa padre: Tipo adquisicion: Entidad</v>
      </c>
      <c r="G11590" s="5"/>
    </row>
    <row r="11591" spans="1:7" ht="58.5" customHeight="1" x14ac:dyDescent="0.25">
      <c r="A11591" s="5" t="str">
        <f>"H0014273"</f>
        <v>H0014273</v>
      </c>
      <c r="B11591" s="5" t="str">
        <f t="shared" si="600"/>
        <v>CACEROLA CON TAPA EN ALUMINIO PEQUEÑA</v>
      </c>
      <c r="C11591" s="6">
        <v>594</v>
      </c>
      <c r="D11591" s="5"/>
      <c r="E11591" s="5" t="str">
        <f t="shared" si="599"/>
        <v>NUTRICION-ESPERANZA MONCADA PARADA</v>
      </c>
      <c r="F11591" s="5" t="str">
        <f>"Descripcion: CACEROLA CON TAPA PEQUEÑA Estado: Bueno Placa anterior: 000017304 Material: ALUMNINIO Color:  Referencia:  Observacion:  Placa padre: Tipo adquisicion: Entidad"</f>
        <v>Descripcion: CACEROLA CON TAPA PEQUEÑA Estado: Bueno Placa anterior: 000017304 Material: ALUMNINIO Color:  Referencia:  Observacion:  Placa padre: Tipo adquisicion: Entidad</v>
      </c>
      <c r="G11591" s="5"/>
    </row>
    <row r="11592" spans="1:7" ht="58.5" customHeight="1" x14ac:dyDescent="0.25">
      <c r="A11592" s="5" t="str">
        <f>"H0014274"</f>
        <v>H0014274</v>
      </c>
      <c r="B11592" s="5" t="str">
        <f t="shared" si="600"/>
        <v>CACEROLA CON TAPA EN ALUMINIO PEQUEÑA</v>
      </c>
      <c r="C11592" s="6">
        <v>594</v>
      </c>
      <c r="D11592" s="5"/>
      <c r="E11592" s="5" t="str">
        <f t="shared" si="599"/>
        <v>NUTRICION-ESPERANZA MONCADA PARADA</v>
      </c>
      <c r="F11592" s="5" t="str">
        <f>"Descripcion: CACEROLA CON TAPA PEQUEÑA Estado: Bueno Placa anterior: 000017305 Material: ALUMNINIO Color:  Referencia:  Observacion:  Placa padre: Tipo adquisicion: Entidad"</f>
        <v>Descripcion: CACEROLA CON TAPA PEQUEÑA Estado: Bueno Placa anterior: 000017305 Material: ALUMNINIO Color:  Referencia:  Observacion:  Placa padre: Tipo adquisicion: Entidad</v>
      </c>
      <c r="G11592" s="5"/>
    </row>
    <row r="11593" spans="1:7" ht="58.5" customHeight="1" x14ac:dyDescent="0.25">
      <c r="A11593" s="5" t="str">
        <f>"H0014275"</f>
        <v>H0014275</v>
      </c>
      <c r="B11593" s="5" t="str">
        <f t="shared" si="600"/>
        <v>CACEROLA CON TAPA EN ALUMINIO PEQUEÑA</v>
      </c>
      <c r="C11593" s="6">
        <v>594</v>
      </c>
      <c r="D11593" s="5"/>
      <c r="E11593" s="5" t="str">
        <f t="shared" si="599"/>
        <v>NUTRICION-ESPERANZA MONCADA PARADA</v>
      </c>
      <c r="F11593" s="5" t="str">
        <f>"Descripcion: CACEROLA CON TAPA PEQUEÑA Estado: Bueno Placa anterior: 000017306 Material: ALUMNINIO Color:  Referencia:  Observacion:  Placa padre: Tipo adquisicion: Entidad"</f>
        <v>Descripcion: CACEROLA CON TAPA PEQUEÑA Estado: Bueno Placa anterior: 000017306 Material: ALUMNINIO Color:  Referencia:  Observacion:  Placa padre: Tipo adquisicion: Entidad</v>
      </c>
      <c r="G11593" s="5"/>
    </row>
    <row r="11594" spans="1:7" ht="58.5" customHeight="1" x14ac:dyDescent="0.25">
      <c r="A11594" s="5" t="str">
        <f>"H0014276"</f>
        <v>H0014276</v>
      </c>
      <c r="B11594" s="5" t="str">
        <f t="shared" si="600"/>
        <v>CACEROLA CON TAPA EN ALUMINIO PEQUEÑA</v>
      </c>
      <c r="C11594" s="6">
        <v>594</v>
      </c>
      <c r="D11594" s="5"/>
      <c r="E11594" s="5" t="str">
        <f t="shared" si="599"/>
        <v>NUTRICION-ESPERANZA MONCADA PARADA</v>
      </c>
      <c r="F11594" s="5" t="str">
        <f>"Descripcion: CACEROLA CON TAPA PEQUEÑA Estado: Bueno Placa anterior: 000017307 Material: ALUMNINIO Color:  Referencia:  Observacion:  Placa padre: Tipo adquisicion: Entidad"</f>
        <v>Descripcion: CACEROLA CON TAPA PEQUEÑA Estado: Bueno Placa anterior: 000017307 Material: ALUMNINIO Color:  Referencia:  Observacion:  Placa padre: Tipo adquisicion: Entidad</v>
      </c>
      <c r="G11594" s="5"/>
    </row>
    <row r="11595" spans="1:7" ht="58.5" customHeight="1" x14ac:dyDescent="0.25">
      <c r="A11595" s="5" t="str">
        <f>"H0014277"</f>
        <v>H0014277</v>
      </c>
      <c r="B11595" s="5" t="str">
        <f t="shared" ref="B11595:B11618" si="601">"CACEROLA CON TAPA EN ALUMINIO PEQUEÑA"</f>
        <v>CACEROLA CON TAPA EN ALUMINIO PEQUEÑA</v>
      </c>
      <c r="C11595" s="6">
        <v>594</v>
      </c>
      <c r="D11595" s="5"/>
      <c r="E11595" s="5" t="str">
        <f t="shared" si="599"/>
        <v>NUTRICION-ESPERANZA MONCADA PARADA</v>
      </c>
      <c r="F11595" s="5" t="str">
        <f>"Descripcion: CACEROLA CON TAPA PEQUEÑA Estado: Bueno Placa anterior: 000017308 Material: ALUMNINIO Color:  Referencia:  Observacion:  Placa padre: Tipo adquisicion: Entidad"</f>
        <v>Descripcion: CACEROLA CON TAPA PEQUEÑA Estado: Bueno Placa anterior: 000017308 Material: ALUMNINIO Color:  Referencia:  Observacion:  Placa padre: Tipo adquisicion: Entidad</v>
      </c>
      <c r="G11595" s="5"/>
    </row>
    <row r="11596" spans="1:7" ht="58.5" customHeight="1" x14ac:dyDescent="0.25">
      <c r="A11596" s="5" t="str">
        <f>"H0014278"</f>
        <v>H0014278</v>
      </c>
      <c r="B11596" s="5" t="str">
        <f t="shared" si="601"/>
        <v>CACEROLA CON TAPA EN ALUMINIO PEQUEÑA</v>
      </c>
      <c r="C11596" s="6">
        <v>594</v>
      </c>
      <c r="D11596" s="5"/>
      <c r="E11596" s="5" t="str">
        <f t="shared" si="599"/>
        <v>NUTRICION-ESPERANZA MONCADA PARADA</v>
      </c>
      <c r="F11596" s="5" t="str">
        <f>"Descripcion: CACEROLA CON TAPA PEQUEÑA Estado: Bueno Placa anterior: 000017309 Material: ALUMNINIO Color:  Referencia:  Observacion:  Placa padre: Tipo adquisicion: Entidad"</f>
        <v>Descripcion: CACEROLA CON TAPA PEQUEÑA Estado: Bueno Placa anterior: 000017309 Material: ALUMNINIO Color:  Referencia:  Observacion:  Placa padre: Tipo adquisicion: Entidad</v>
      </c>
      <c r="G11596" s="5"/>
    </row>
    <row r="11597" spans="1:7" ht="58.5" customHeight="1" x14ac:dyDescent="0.25">
      <c r="A11597" s="5" t="str">
        <f>"H0014279"</f>
        <v>H0014279</v>
      </c>
      <c r="B11597" s="5" t="str">
        <f t="shared" si="601"/>
        <v>CACEROLA CON TAPA EN ALUMINIO PEQUEÑA</v>
      </c>
      <c r="C11597" s="6">
        <v>594</v>
      </c>
      <c r="D11597" s="5"/>
      <c r="E11597" s="5" t="str">
        <f t="shared" si="599"/>
        <v>NUTRICION-ESPERANZA MONCADA PARADA</v>
      </c>
      <c r="F11597" s="5" t="str">
        <f>"Descripcion: CACEROLA CON TAPA PEQUEÑA Estado: Bueno Placa anterior: 000017310 Material: ALUMNINIO Color:  Referencia:  Observacion:  Placa padre: Tipo adquisicion: Entidad"</f>
        <v>Descripcion: CACEROLA CON TAPA PEQUEÑA Estado: Bueno Placa anterior: 000017310 Material: ALUMNINIO Color:  Referencia:  Observacion:  Placa padre: Tipo adquisicion: Entidad</v>
      </c>
      <c r="G11597" s="5"/>
    </row>
    <row r="11598" spans="1:7" ht="58.5" customHeight="1" x14ac:dyDescent="0.25">
      <c r="A11598" s="5" t="str">
        <f>"H0014280"</f>
        <v>H0014280</v>
      </c>
      <c r="B11598" s="5" t="str">
        <f t="shared" si="601"/>
        <v>CACEROLA CON TAPA EN ALUMINIO PEQUEÑA</v>
      </c>
      <c r="C11598" s="6">
        <v>594</v>
      </c>
      <c r="D11598" s="5"/>
      <c r="E11598" s="5" t="str">
        <f t="shared" si="599"/>
        <v>NUTRICION-ESPERANZA MONCADA PARADA</v>
      </c>
      <c r="F11598" s="5" t="str">
        <f>"Descripcion: CACEROLA CON TAPA PEQUEÑA Estado: Bueno Placa anterior: 000017312 Material: ALUMNINIO Color:  Referencia:  Observacion:  Placa padre: Tipo adquisicion: Entidad"</f>
        <v>Descripcion: CACEROLA CON TAPA PEQUEÑA Estado: Bueno Placa anterior: 000017312 Material: ALUMNINIO Color:  Referencia:  Observacion:  Placa padre: Tipo adquisicion: Entidad</v>
      </c>
      <c r="G11598" s="5"/>
    </row>
    <row r="11599" spans="1:7" ht="58.5" customHeight="1" x14ac:dyDescent="0.25">
      <c r="A11599" s="5" t="str">
        <f>"H0014281"</f>
        <v>H0014281</v>
      </c>
      <c r="B11599" s="5" t="str">
        <f t="shared" si="601"/>
        <v>CACEROLA CON TAPA EN ALUMINIO PEQUEÑA</v>
      </c>
      <c r="C11599" s="6">
        <v>594</v>
      </c>
      <c r="D11599" s="5"/>
      <c r="E11599" s="5" t="str">
        <f t="shared" si="599"/>
        <v>NUTRICION-ESPERANZA MONCADA PARADA</v>
      </c>
      <c r="F11599" s="5" t="str">
        <f>"Descripcion: CACEROLA CON TAPA PEQUEÑA Estado: Bueno Placa anterior: 000017313 Material: ALUMNINIO Color:  Referencia:  Observacion:  Placa padre: Tipo adquisicion: Entidad"</f>
        <v>Descripcion: CACEROLA CON TAPA PEQUEÑA Estado: Bueno Placa anterior: 000017313 Material: ALUMNINIO Color:  Referencia:  Observacion:  Placa padre: Tipo adquisicion: Entidad</v>
      </c>
      <c r="G11599" s="5"/>
    </row>
    <row r="11600" spans="1:7" ht="58.5" customHeight="1" x14ac:dyDescent="0.25">
      <c r="A11600" s="5" t="str">
        <f>"H0014282"</f>
        <v>H0014282</v>
      </c>
      <c r="B11600" s="5" t="str">
        <f t="shared" si="601"/>
        <v>CACEROLA CON TAPA EN ALUMINIO PEQUEÑA</v>
      </c>
      <c r="C11600" s="6">
        <v>594</v>
      </c>
      <c r="D11600" s="5"/>
      <c r="E11600" s="5" t="str">
        <f t="shared" si="599"/>
        <v>NUTRICION-ESPERANZA MONCADA PARADA</v>
      </c>
      <c r="F11600" s="5" t="str">
        <f>"Descripcion: CACEROLA CON TAPA PEQUEÑA Estado: Bueno Placa anterior: 000017314 Material: ALUMNINIO Color:  Referencia:  Observacion:  Placa padre: Tipo adquisicion: Entidad"</f>
        <v>Descripcion: CACEROLA CON TAPA PEQUEÑA Estado: Bueno Placa anterior: 000017314 Material: ALUMNINIO Color:  Referencia:  Observacion:  Placa padre: Tipo adquisicion: Entidad</v>
      </c>
      <c r="G11600" s="5"/>
    </row>
    <row r="11601" spans="1:7" ht="58.5" customHeight="1" x14ac:dyDescent="0.25">
      <c r="A11601" s="5" t="str">
        <f>"H0014283"</f>
        <v>H0014283</v>
      </c>
      <c r="B11601" s="5" t="str">
        <f t="shared" si="601"/>
        <v>CACEROLA CON TAPA EN ALUMINIO PEQUEÑA</v>
      </c>
      <c r="C11601" s="6">
        <v>594</v>
      </c>
      <c r="D11601" s="5"/>
      <c r="E11601" s="5" t="str">
        <f t="shared" si="599"/>
        <v>NUTRICION-ESPERANZA MONCADA PARADA</v>
      </c>
      <c r="F11601" s="5" t="str">
        <f>"Descripcion: CACEROLA CON TAPA PEQUEÑA Estado: Bueno Placa anterior: 000017315 Material: ALUMNINIO Color:  Referencia:  Observacion:  Placa padre: Tipo adquisicion: Entidad"</f>
        <v>Descripcion: CACEROLA CON TAPA PEQUEÑA Estado: Bueno Placa anterior: 000017315 Material: ALUMNINIO Color:  Referencia:  Observacion:  Placa padre: Tipo adquisicion: Entidad</v>
      </c>
      <c r="G11601" s="5"/>
    </row>
    <row r="11602" spans="1:7" ht="58.5" customHeight="1" x14ac:dyDescent="0.25">
      <c r="A11602" s="5" t="str">
        <f>"H0014284"</f>
        <v>H0014284</v>
      </c>
      <c r="B11602" s="5" t="str">
        <f t="shared" si="601"/>
        <v>CACEROLA CON TAPA EN ALUMINIO PEQUEÑA</v>
      </c>
      <c r="C11602" s="6">
        <v>594</v>
      </c>
      <c r="D11602" s="5"/>
      <c r="E11602" s="5" t="str">
        <f t="shared" si="599"/>
        <v>NUTRICION-ESPERANZA MONCADA PARADA</v>
      </c>
      <c r="F11602" s="5" t="str">
        <f>"Descripcion: CACEROLA CON TAPA PEQUEÑA Estado: Bueno Placa anterior: 000017316 Material: ALUMNINIO Color:  Referencia:  Observacion:  Placa padre: Tipo adquisicion: Entidad"</f>
        <v>Descripcion: CACEROLA CON TAPA PEQUEÑA Estado: Bueno Placa anterior: 000017316 Material: ALUMNINIO Color:  Referencia:  Observacion:  Placa padre: Tipo adquisicion: Entidad</v>
      </c>
      <c r="G11602" s="5"/>
    </row>
    <row r="11603" spans="1:7" ht="58.5" customHeight="1" x14ac:dyDescent="0.25">
      <c r="A11603" s="5" t="str">
        <f>"H0014285"</f>
        <v>H0014285</v>
      </c>
      <c r="B11603" s="5" t="str">
        <f t="shared" si="601"/>
        <v>CACEROLA CON TAPA EN ALUMINIO PEQUEÑA</v>
      </c>
      <c r="C11603" s="6">
        <v>594</v>
      </c>
      <c r="D11603" s="5"/>
      <c r="E11603" s="5" t="str">
        <f t="shared" si="599"/>
        <v>NUTRICION-ESPERANZA MONCADA PARADA</v>
      </c>
      <c r="F11603" s="5" t="str">
        <f>"Descripcion: CACEROLA CON TAPA PEQUEÑA Estado: Bueno Placa anterior: 000017317 Material: ALUMNINIO Color:  Referencia:  Observacion:  Placa padre: Tipo adquisicion: Entidad"</f>
        <v>Descripcion: CACEROLA CON TAPA PEQUEÑA Estado: Bueno Placa anterior: 000017317 Material: ALUMNINIO Color:  Referencia:  Observacion:  Placa padre: Tipo adquisicion: Entidad</v>
      </c>
      <c r="G11603" s="5"/>
    </row>
    <row r="11604" spans="1:7" ht="58.5" customHeight="1" x14ac:dyDescent="0.25">
      <c r="A11604" s="5" t="str">
        <f>"H0014286"</f>
        <v>H0014286</v>
      </c>
      <c r="B11604" s="5" t="str">
        <f t="shared" si="601"/>
        <v>CACEROLA CON TAPA EN ALUMINIO PEQUEÑA</v>
      </c>
      <c r="C11604" s="6">
        <v>594</v>
      </c>
      <c r="D11604" s="5"/>
      <c r="E11604" s="5" t="str">
        <f t="shared" si="599"/>
        <v>NUTRICION-ESPERANZA MONCADA PARADA</v>
      </c>
      <c r="F11604" s="5" t="str">
        <f>"Descripcion: CACEROLA CON TAPA PEQUEÑA Estado: Bueno Placa anterior: 000017318 Material: ALUMNINIO Color:  Referencia:  Observacion:  Placa padre: Tipo adquisicion: Entidad"</f>
        <v>Descripcion: CACEROLA CON TAPA PEQUEÑA Estado: Bueno Placa anterior: 000017318 Material: ALUMNINIO Color:  Referencia:  Observacion:  Placa padre: Tipo adquisicion: Entidad</v>
      </c>
      <c r="G11604" s="5"/>
    </row>
    <row r="11605" spans="1:7" ht="58.5" customHeight="1" x14ac:dyDescent="0.25">
      <c r="A11605" s="5" t="str">
        <f>"H0014287"</f>
        <v>H0014287</v>
      </c>
      <c r="B11605" s="5" t="str">
        <f t="shared" si="601"/>
        <v>CACEROLA CON TAPA EN ALUMINIO PEQUEÑA</v>
      </c>
      <c r="C11605" s="6">
        <v>594</v>
      </c>
      <c r="D11605" s="5"/>
      <c r="E11605" s="5" t="str">
        <f t="shared" si="599"/>
        <v>NUTRICION-ESPERANZA MONCADA PARADA</v>
      </c>
      <c r="F11605" s="5" t="str">
        <f>"Descripcion: CACEROLA CON TAPA PEQUEÑA Estado: Bueno Placa anterior: 000017319 Material: ALUMNINIO Color:  Referencia:  Observacion:  Placa padre: Tipo adquisicion: Entidad"</f>
        <v>Descripcion: CACEROLA CON TAPA PEQUEÑA Estado: Bueno Placa anterior: 000017319 Material: ALUMNINIO Color:  Referencia:  Observacion:  Placa padre: Tipo adquisicion: Entidad</v>
      </c>
      <c r="G11605" s="5"/>
    </row>
    <row r="11606" spans="1:7" ht="58.5" customHeight="1" x14ac:dyDescent="0.25">
      <c r="A11606" s="5" t="str">
        <f>"H0014288"</f>
        <v>H0014288</v>
      </c>
      <c r="B11606" s="5" t="str">
        <f t="shared" si="601"/>
        <v>CACEROLA CON TAPA EN ALUMINIO PEQUEÑA</v>
      </c>
      <c r="C11606" s="6">
        <v>594</v>
      </c>
      <c r="D11606" s="5"/>
      <c r="E11606" s="5" t="str">
        <f t="shared" si="599"/>
        <v>NUTRICION-ESPERANZA MONCADA PARADA</v>
      </c>
      <c r="F11606" s="5" t="str">
        <f>"Descripcion: CACEROLA CON TAPA PEQUEÑA Estado: Bueno Placa anterior: 000017320 Material: ALUMNINIO Color:  Referencia:  Observacion:  Placa padre: Tipo adquisicion: Entidad"</f>
        <v>Descripcion: CACEROLA CON TAPA PEQUEÑA Estado: Bueno Placa anterior: 000017320 Material: ALUMNINIO Color:  Referencia:  Observacion:  Placa padre: Tipo adquisicion: Entidad</v>
      </c>
      <c r="G11606" s="5"/>
    </row>
    <row r="11607" spans="1:7" ht="58.5" customHeight="1" x14ac:dyDescent="0.25">
      <c r="A11607" s="5" t="str">
        <f>"H0014289"</f>
        <v>H0014289</v>
      </c>
      <c r="B11607" s="5" t="str">
        <f t="shared" si="601"/>
        <v>CACEROLA CON TAPA EN ALUMINIO PEQUEÑA</v>
      </c>
      <c r="C11607" s="6">
        <v>594</v>
      </c>
      <c r="D11607" s="5"/>
      <c r="E11607" s="5" t="str">
        <f t="shared" si="599"/>
        <v>NUTRICION-ESPERANZA MONCADA PARADA</v>
      </c>
      <c r="F11607" s="5" t="str">
        <f>"Descripcion: CACEROLA CON TAPA PEQUEÑA Estado: Bueno Placa anterior: 000017321 Material: ALUMNINIO Color:  Referencia:  Observacion:  Placa padre: Tipo adquisicion: Entidad"</f>
        <v>Descripcion: CACEROLA CON TAPA PEQUEÑA Estado: Bueno Placa anterior: 000017321 Material: ALUMNINIO Color:  Referencia:  Observacion:  Placa padre: Tipo adquisicion: Entidad</v>
      </c>
      <c r="G11607" s="5"/>
    </row>
    <row r="11608" spans="1:7" ht="58.5" customHeight="1" x14ac:dyDescent="0.25">
      <c r="A11608" s="5" t="str">
        <f>"H0014290"</f>
        <v>H0014290</v>
      </c>
      <c r="B11608" s="5" t="str">
        <f t="shared" si="601"/>
        <v>CACEROLA CON TAPA EN ALUMINIO PEQUEÑA</v>
      </c>
      <c r="C11608" s="6">
        <v>594</v>
      </c>
      <c r="D11608" s="5"/>
      <c r="E11608" s="5" t="str">
        <f t="shared" si="599"/>
        <v>NUTRICION-ESPERANZA MONCADA PARADA</v>
      </c>
      <c r="F11608" s="5" t="str">
        <f>"Descripcion: CACEROLA CON TAPA PEQUEÑA Estado: Bueno Placa anterior: 000017322 Material: ALUMNINIO Color:  Referencia:  Observacion:  Placa padre: Tipo adquisicion: Entidad"</f>
        <v>Descripcion: CACEROLA CON TAPA PEQUEÑA Estado: Bueno Placa anterior: 000017322 Material: ALUMNINIO Color:  Referencia:  Observacion:  Placa padre: Tipo adquisicion: Entidad</v>
      </c>
      <c r="G11608" s="5"/>
    </row>
    <row r="11609" spans="1:7" ht="58.5" customHeight="1" x14ac:dyDescent="0.25">
      <c r="A11609" s="5" t="str">
        <f>"H0014291"</f>
        <v>H0014291</v>
      </c>
      <c r="B11609" s="5" t="str">
        <f t="shared" si="601"/>
        <v>CACEROLA CON TAPA EN ALUMINIO PEQUEÑA</v>
      </c>
      <c r="C11609" s="6">
        <v>594</v>
      </c>
      <c r="D11609" s="5"/>
      <c r="E11609" s="5" t="str">
        <f t="shared" si="599"/>
        <v>NUTRICION-ESPERANZA MONCADA PARADA</v>
      </c>
      <c r="F11609" s="5" t="str">
        <f>"Descripcion: CACEROLA CON TAPA PEQUEÑA Estado: Bueno Placa anterior: 000017323 Material: ALUMNINIO Color:  Referencia:  Observacion:  Placa padre: Tipo adquisicion: Entidad"</f>
        <v>Descripcion: CACEROLA CON TAPA PEQUEÑA Estado: Bueno Placa anterior: 000017323 Material: ALUMNINIO Color:  Referencia:  Observacion:  Placa padre: Tipo adquisicion: Entidad</v>
      </c>
      <c r="G11609" s="5"/>
    </row>
    <row r="11610" spans="1:7" ht="58.5" customHeight="1" x14ac:dyDescent="0.25">
      <c r="A11610" s="5" t="str">
        <f>"H0014292"</f>
        <v>H0014292</v>
      </c>
      <c r="B11610" s="5" t="str">
        <f t="shared" si="601"/>
        <v>CACEROLA CON TAPA EN ALUMINIO PEQUEÑA</v>
      </c>
      <c r="C11610" s="6">
        <v>594</v>
      </c>
      <c r="D11610" s="5"/>
      <c r="E11610" s="5" t="str">
        <f t="shared" si="599"/>
        <v>NUTRICION-ESPERANZA MONCADA PARADA</v>
      </c>
      <c r="F11610" s="5" t="str">
        <f>"Descripcion: CACEROLA CON TAPA PEQUEÑA Estado: Bueno Placa anterior: 000017324 Material: ALUMNINIO Color:  Referencia:  Observacion:  Placa padre: Tipo adquisicion: Entidad"</f>
        <v>Descripcion: CACEROLA CON TAPA PEQUEÑA Estado: Bueno Placa anterior: 000017324 Material: ALUMNINIO Color:  Referencia:  Observacion:  Placa padre: Tipo adquisicion: Entidad</v>
      </c>
      <c r="G11610" s="5"/>
    </row>
    <row r="11611" spans="1:7" ht="58.5" customHeight="1" x14ac:dyDescent="0.25">
      <c r="A11611" s="5" t="str">
        <f>"H0014293"</f>
        <v>H0014293</v>
      </c>
      <c r="B11611" s="5" t="str">
        <f t="shared" si="601"/>
        <v>CACEROLA CON TAPA EN ALUMINIO PEQUEÑA</v>
      </c>
      <c r="C11611" s="6">
        <v>594</v>
      </c>
      <c r="D11611" s="5"/>
      <c r="E11611" s="5" t="str">
        <f t="shared" si="599"/>
        <v>NUTRICION-ESPERANZA MONCADA PARADA</v>
      </c>
      <c r="F11611" s="5" t="str">
        <f>"Descripcion: CACEROLA CON TAPA PEQUEÑA Estado: Bueno Placa anterior: 000017325 Material: ALUMNINIO Color:  Referencia:  Observacion:  Placa padre: Tipo adquisicion: Entidad"</f>
        <v>Descripcion: CACEROLA CON TAPA PEQUEÑA Estado: Bueno Placa anterior: 000017325 Material: ALUMNINIO Color:  Referencia:  Observacion:  Placa padre: Tipo adquisicion: Entidad</v>
      </c>
      <c r="G11611" s="5"/>
    </row>
    <row r="11612" spans="1:7" ht="58.5" customHeight="1" x14ac:dyDescent="0.25">
      <c r="A11612" s="5" t="str">
        <f>"H0014294"</f>
        <v>H0014294</v>
      </c>
      <c r="B11612" s="5" t="str">
        <f t="shared" si="601"/>
        <v>CACEROLA CON TAPA EN ALUMINIO PEQUEÑA</v>
      </c>
      <c r="C11612" s="6">
        <v>594</v>
      </c>
      <c r="D11612" s="5"/>
      <c r="E11612" s="5" t="str">
        <f t="shared" si="599"/>
        <v>NUTRICION-ESPERANZA MONCADA PARADA</v>
      </c>
      <c r="F11612" s="5" t="str">
        <f>"Descripcion: CACEROLA CON TAPA PEQUEÑA Estado: Bueno Placa anterior: 000017326 Material: ALUMNINIO Color:  Referencia:  Observacion:  Placa padre: Tipo adquisicion: Entidad"</f>
        <v>Descripcion: CACEROLA CON TAPA PEQUEÑA Estado: Bueno Placa anterior: 000017326 Material: ALUMNINIO Color:  Referencia:  Observacion:  Placa padre: Tipo adquisicion: Entidad</v>
      </c>
      <c r="G11612" s="5"/>
    </row>
    <row r="11613" spans="1:7" ht="58.5" customHeight="1" x14ac:dyDescent="0.25">
      <c r="A11613" s="5" t="str">
        <f>"H0014295"</f>
        <v>H0014295</v>
      </c>
      <c r="B11613" s="5" t="str">
        <f t="shared" si="601"/>
        <v>CACEROLA CON TAPA EN ALUMINIO PEQUEÑA</v>
      </c>
      <c r="C11613" s="6">
        <v>594</v>
      </c>
      <c r="D11613" s="5"/>
      <c r="E11613" s="5" t="str">
        <f t="shared" si="599"/>
        <v>NUTRICION-ESPERANZA MONCADA PARADA</v>
      </c>
      <c r="F11613" s="5" t="str">
        <f>"Descripcion: CACEROLA CON TAPA PEQUEÑA Estado: Bueno Placa anterior: 000017327 Material: ALUMNINIO Color:  Referencia:  Observacion:  Placa padre: Tipo adquisicion: Entidad"</f>
        <v>Descripcion: CACEROLA CON TAPA PEQUEÑA Estado: Bueno Placa anterior: 000017327 Material: ALUMNINIO Color:  Referencia:  Observacion:  Placa padre: Tipo adquisicion: Entidad</v>
      </c>
      <c r="G11613" s="5"/>
    </row>
    <row r="11614" spans="1:7" ht="58.5" customHeight="1" x14ac:dyDescent="0.25">
      <c r="A11614" s="5" t="str">
        <f>"H0014296"</f>
        <v>H0014296</v>
      </c>
      <c r="B11614" s="5" t="str">
        <f t="shared" si="601"/>
        <v>CACEROLA CON TAPA EN ALUMINIO PEQUEÑA</v>
      </c>
      <c r="C11614" s="6">
        <v>594</v>
      </c>
      <c r="D11614" s="5"/>
      <c r="E11614" s="5" t="str">
        <f t="shared" si="599"/>
        <v>NUTRICION-ESPERANZA MONCADA PARADA</v>
      </c>
      <c r="F11614" s="5" t="str">
        <f>"Descripcion: CACEROLA CON TAPA PEQUEÑA Estado: Bueno Placa anterior: 000017328 Material: ALUMNINIO Color:  Referencia:  Observacion:  Placa padre: Tipo adquisicion: Entidad"</f>
        <v>Descripcion: CACEROLA CON TAPA PEQUEÑA Estado: Bueno Placa anterior: 000017328 Material: ALUMNINIO Color:  Referencia:  Observacion:  Placa padre: Tipo adquisicion: Entidad</v>
      </c>
      <c r="G11614" s="5"/>
    </row>
    <row r="11615" spans="1:7" ht="58.5" customHeight="1" x14ac:dyDescent="0.25">
      <c r="A11615" s="5" t="str">
        <f>"H0014297"</f>
        <v>H0014297</v>
      </c>
      <c r="B11615" s="5" t="str">
        <f t="shared" si="601"/>
        <v>CACEROLA CON TAPA EN ALUMINIO PEQUEÑA</v>
      </c>
      <c r="C11615" s="6">
        <v>594</v>
      </c>
      <c r="D11615" s="5"/>
      <c r="E11615" s="5" t="str">
        <f t="shared" si="599"/>
        <v>NUTRICION-ESPERANZA MONCADA PARADA</v>
      </c>
      <c r="F11615" s="5" t="str">
        <f>"Descripcion: CACEROLA CON TAPA PEQUEÑA Estado: Bueno Placa anterior: 000017329 Material: ALUMNINIO Color:  Referencia:  Observacion:  Placa padre: Tipo adquisicion: Entidad"</f>
        <v>Descripcion: CACEROLA CON TAPA PEQUEÑA Estado: Bueno Placa anterior: 000017329 Material: ALUMNINIO Color:  Referencia:  Observacion:  Placa padre: Tipo adquisicion: Entidad</v>
      </c>
      <c r="G11615" s="5"/>
    </row>
    <row r="11616" spans="1:7" ht="58.5" customHeight="1" x14ac:dyDescent="0.25">
      <c r="A11616" s="5" t="str">
        <f>"H0014298"</f>
        <v>H0014298</v>
      </c>
      <c r="B11616" s="5" t="str">
        <f t="shared" si="601"/>
        <v>CACEROLA CON TAPA EN ALUMINIO PEQUEÑA</v>
      </c>
      <c r="C11616" s="6">
        <v>594</v>
      </c>
      <c r="D11616" s="5"/>
      <c r="E11616" s="5" t="str">
        <f t="shared" si="599"/>
        <v>NUTRICION-ESPERANZA MONCADA PARADA</v>
      </c>
      <c r="F11616" s="5" t="str">
        <f>"Descripcion: CACEROLA CON TAPA PEQUEÑA Estado: Bueno Placa anterior: 000017271 Material: ALUMNINIO Color:  Referencia:  Observacion:  Placa padre: Tipo adquisicion: Entidad"</f>
        <v>Descripcion: CACEROLA CON TAPA PEQUEÑA Estado: Bueno Placa anterior: 000017271 Material: ALUMNINIO Color:  Referencia:  Observacion:  Placa padre: Tipo adquisicion: Entidad</v>
      </c>
      <c r="G11616" s="5"/>
    </row>
    <row r="11617" spans="1:7" ht="58.5" customHeight="1" x14ac:dyDescent="0.25">
      <c r="A11617" s="5" t="str">
        <f>"H0014299"</f>
        <v>H0014299</v>
      </c>
      <c r="B11617" s="5" t="str">
        <f t="shared" si="601"/>
        <v>CACEROLA CON TAPA EN ALUMINIO PEQUEÑA</v>
      </c>
      <c r="C11617" s="6">
        <v>594</v>
      </c>
      <c r="D11617" s="5"/>
      <c r="E11617" s="5" t="str">
        <f t="shared" si="599"/>
        <v>NUTRICION-ESPERANZA MONCADA PARADA</v>
      </c>
      <c r="F11617" s="5" t="str">
        <f>"Descripcion: CACEROLA CON TAPA PEQUEÑA Estado: Bueno Placa anterior: 000017272 Material: ALUMNINIO Color:  Referencia:  Observacion:  Placa padre: Tipo adquisicion: Entidad"</f>
        <v>Descripcion: CACEROLA CON TAPA PEQUEÑA Estado: Bueno Placa anterior: 000017272 Material: ALUMNINIO Color:  Referencia:  Observacion:  Placa padre: Tipo adquisicion: Entidad</v>
      </c>
      <c r="G11617" s="5"/>
    </row>
    <row r="11618" spans="1:7" ht="58.5" customHeight="1" x14ac:dyDescent="0.25">
      <c r="A11618" s="5" t="str">
        <f>"H0014300"</f>
        <v>H0014300</v>
      </c>
      <c r="B11618" s="5" t="str">
        <f t="shared" si="601"/>
        <v>CACEROLA CON TAPA EN ALUMINIO PEQUEÑA</v>
      </c>
      <c r="C11618" s="6">
        <v>594</v>
      </c>
      <c r="D11618" s="5"/>
      <c r="E11618" s="5" t="str">
        <f t="shared" si="599"/>
        <v>NUTRICION-ESPERANZA MONCADA PARADA</v>
      </c>
      <c r="F11618" s="5" t="str">
        <f>"Descripcion: CACEROLA CON TAPA PEQUEÑA Estado: Bueno Placa anterior: 000017273 Material: ALUMNINIO Color:  Referencia:  Observacion:  Placa padre: Tipo adquisicion: Entidad"</f>
        <v>Descripcion: CACEROLA CON TAPA PEQUEÑA Estado: Bueno Placa anterior: 000017273 Material: ALUMNINIO Color:  Referencia:  Observacion:  Placa padre: Tipo adquisicion: Entidad</v>
      </c>
      <c r="G11618" s="5"/>
    </row>
    <row r="11619" spans="1:7" ht="58.5" customHeight="1" x14ac:dyDescent="0.25">
      <c r="A11619" s="5" t="str">
        <f>"H0014304"</f>
        <v>H0014304</v>
      </c>
      <c r="B11619" s="5" t="str">
        <f>"MESON EN ACERO INOXIDABLE"</f>
        <v>MESON EN ACERO INOXIDABLE</v>
      </c>
      <c r="C11619" s="6">
        <v>35240.99</v>
      </c>
      <c r="D11619" s="5"/>
      <c r="E11619" s="5" t="str">
        <f t="shared" si="599"/>
        <v>NUTRICION-ESPERANZA MONCADA PARADA</v>
      </c>
      <c r="F11619" s="5" t="str">
        <f>"Descripcion: 100X220X66 Estado: Bueno Placa anterior: 000015414 Material: ACERO INOXIDABLE Color:  Referencia:  Observacion:  Placa padre: Tipo adquisicion: Entidad"</f>
        <v>Descripcion: 100X220X66 Estado: Bueno Placa anterior: 000015414 Material: ACERO INOXIDABLE Color:  Referencia:  Observacion:  Placa padre: Tipo adquisicion: Entidad</v>
      </c>
      <c r="G11619" s="5"/>
    </row>
    <row r="11620" spans="1:7" ht="58.5" customHeight="1" x14ac:dyDescent="0.25">
      <c r="A11620" s="5" t="str">
        <f>"H0014305"</f>
        <v>H0014305</v>
      </c>
      <c r="B11620" s="5" t="str">
        <f>"MESON EN ACERO INOXIDABLE"</f>
        <v>MESON EN ACERO INOXIDABLE</v>
      </c>
      <c r="C11620" s="6">
        <v>35240.589999999997</v>
      </c>
      <c r="D11620" s="5"/>
      <c r="E11620" s="5" t="str">
        <f t="shared" si="599"/>
        <v>NUTRICION-ESPERANZA MONCADA PARADA</v>
      </c>
      <c r="F11620" s="5" t="str">
        <f>"Descripcion: MESON EN ACERO INOX. CON TOPE EN ANGULO 2.00X62 CMS Estado: Bueno Placa anterior: 000015415 Material: ACERO INOXIDABLE Color:  Referencia:  Observacion:  Placa padre: Tipo adquisicion: Entidad"</f>
        <v>Descripcion: MESON EN ACERO INOX. CON TOPE EN ANGULO 2.00X62 CMS Estado: Bueno Placa anterior: 000015415 Material: ACERO INOXIDABLE Color:  Referencia:  Observacion:  Placa padre: Tipo adquisicion: Entidad</v>
      </c>
      <c r="G11620" s="5"/>
    </row>
    <row r="11621" spans="1:7" ht="58.5" customHeight="1" x14ac:dyDescent="0.25">
      <c r="A11621" s="5" t="str">
        <f>"H0014307"</f>
        <v>H0014307</v>
      </c>
      <c r="B11621" s="5" t="str">
        <f>"NEVERA DE 66 LTS"</f>
        <v>NEVERA DE 66 LTS</v>
      </c>
      <c r="C11621" s="6">
        <v>765900</v>
      </c>
      <c r="D11621" s="5" t="s">
        <v>553</v>
      </c>
      <c r="E11621" s="5" t="str">
        <f t="shared" si="599"/>
        <v>NUTRICION-ESPERANZA MONCADA PARADA</v>
      </c>
      <c r="F11621" s="5" t="str">
        <f>"Descripcion: NEVERA CHALLENGER GRIS NO FROST 222LTS1 PUERTA Estado: Bueno Placa anterior: 000036561 Material: METALICO Color: GRIS Referencia: CR249 Observacion:  Placa padre: Tipo adquisicion: Entidad"</f>
        <v>Descripcion: NEVERA CHALLENGER GRIS NO FROST 222LTS1 PUERTA Estado: Bueno Placa anterior: 000036561 Material: METALICO Color: GRIS Referencia: CR249 Observacion:  Placa padre: Tipo adquisicion: Entidad</v>
      </c>
      <c r="G11621" s="5"/>
    </row>
    <row r="11622" spans="1:7" ht="58.5" customHeight="1" x14ac:dyDescent="0.25">
      <c r="A11622" s="5" t="str">
        <f>"H0014309"</f>
        <v>H0014309</v>
      </c>
      <c r="B11622" s="5" t="str">
        <f>"LAVAPLATOS EN ACERO INOXIDABLE 2 PUESTOS"</f>
        <v>LAVAPLATOS EN ACERO INOXIDABLE 2 PUESTOS</v>
      </c>
      <c r="C11622" s="6">
        <v>81414.59</v>
      </c>
      <c r="D11622" s="5"/>
      <c r="E11622" s="5" t="str">
        <f t="shared" si="599"/>
        <v>NUTRICION-ESPERANZA MONCADA PARADA</v>
      </c>
      <c r="F11622" s="5" t="str">
        <f>"Descripcion: MESON EN ACERO INOX.CON TOPE Y 2 VERTEDEROS 2.14X56 CMS Estado: Regular Placa anterior: 000015417 Material: ACERO INOXIDABLE Color:  Referencia:  Observacion:  Placa padre: Tipo adquisicion: Entidad"</f>
        <v>Descripcion: MESON EN ACERO INOX.CON TOPE Y 2 VERTEDEROS 2.14X56 CMS Estado: Regular Placa anterior: 000015417 Material: ACERO INOXIDABLE Color:  Referencia:  Observacion:  Placa padre: Tipo adquisicion: Entidad</v>
      </c>
      <c r="G11622" s="5"/>
    </row>
    <row r="11623" spans="1:7" ht="58.5" customHeight="1" x14ac:dyDescent="0.25">
      <c r="A11623" s="5" t="str">
        <f>"H0014311"</f>
        <v>H0014311</v>
      </c>
      <c r="B11623" s="5" t="str">
        <f>"CARRO PARA TRANSPORTE DE MENAJE"</f>
        <v>CARRO PARA TRANSPORTE DE MENAJE</v>
      </c>
      <c r="C11623" s="6">
        <v>138424</v>
      </c>
      <c r="D11623" s="5"/>
      <c r="E11623" s="5" t="str">
        <f t="shared" ref="E11623:E11686" si="602">"NUTRICION-ESPERANZA MONCADA PARADA"</f>
        <v>NUTRICION-ESPERANZA MONCADA PARADA</v>
      </c>
      <c r="F11623" s="5" t="str">
        <f>"Descripcion: CARRO TRANSPORTADOR BANDEJERO EN ACERO INOX. Estado: Bueno Placa anterior: 000015370 Material: ACERO INOXIDABLE Color:  Referencia:  Observacion:  Placa padre: Tipo adquisicion: Entidad"</f>
        <v>Descripcion: CARRO TRANSPORTADOR BANDEJERO EN ACERO INOX. Estado: Bueno Placa anterior: 000015370 Material: ACERO INOXIDABLE Color:  Referencia:  Observacion:  Placa padre: Tipo adquisicion: Entidad</v>
      </c>
      <c r="G11623" s="5"/>
    </row>
    <row r="11624" spans="1:7" ht="58.5" customHeight="1" x14ac:dyDescent="0.25">
      <c r="A11624" s="5" t="str">
        <f>"H0014314"</f>
        <v>H0014314</v>
      </c>
      <c r="B11624" s="5" t="str">
        <f>"CARRO PARA TRANSPORTE DE MENAJE"</f>
        <v>CARRO PARA TRANSPORTE DE MENAJE</v>
      </c>
      <c r="C11624" s="6">
        <v>50000</v>
      </c>
      <c r="D11624" s="5"/>
      <c r="E11624" s="5" t="str">
        <f t="shared" si="602"/>
        <v>NUTRICION-ESPERANZA MONCADA PARADA</v>
      </c>
      <c r="F11624" s="5" t="str">
        <f>"Descripcion: CARRO TRANSPORTADOR BANDEJERO EN ACERO INOX. Estado: Bueno Placa anterior: 000022133 Material: ACERO INOXIDABLE Color:  Referencia:  Observacion: FUNCIONARIO AUTORIZA SE CONCILIE CON PLACA 000022133 Placa padre: Tipo adquisicion: Entidad"</f>
        <v>Descripcion: CARRO TRANSPORTADOR BANDEJERO EN ACERO INOX. Estado: Bueno Placa anterior: 000022133 Material: ACERO INOXIDABLE Color:  Referencia:  Observacion: FUNCIONARIO AUTORIZA SE CONCILIE CON PLACA 000022133 Placa padre: Tipo adquisicion: Entidad</v>
      </c>
      <c r="G11624" s="5"/>
    </row>
    <row r="11625" spans="1:7" ht="58.5" customHeight="1" x14ac:dyDescent="0.25">
      <c r="A11625" s="5" t="str">
        <f>"H0014315"</f>
        <v>H0014315</v>
      </c>
      <c r="B11625" s="5" t="str">
        <f>"SILLA ERGONOMICA TIPO SECRETARIA SIN BRAZOS"</f>
        <v>SILLA ERGONOMICA TIPO SECRETARIA SIN BRAZOS</v>
      </c>
      <c r="C11625" s="6">
        <v>16500</v>
      </c>
      <c r="D11625" s="5"/>
      <c r="E11625" s="5" t="str">
        <f t="shared" si="602"/>
        <v>NUTRICION-ESPERANZA MONCADA PARADA</v>
      </c>
      <c r="F11625" s="5" t="str">
        <f>"Descripcion: SILLA TIPO B (GIRATORIA SIN BRAZOS)OXIDONO SIRVEN LOS RODACHINES Estado: Inservible Placa anterior: 000003921 Material: METALICO, CUERO Color: MARRON Referencia:  Observacion:  Placa padre: Tipo adquisicion: Entidad"</f>
        <v>Descripcion: SILLA TIPO B (GIRATORIA SIN BRAZOS)OXIDONO SIRVEN LOS RODACHINES Estado: Inservible Placa anterior: 000003921 Material: METALICO, CUERO Color: MARRON Referencia:  Observacion:  Placa padre: Tipo adquisicion: Entidad</v>
      </c>
      <c r="G11625" s="5"/>
    </row>
    <row r="11626" spans="1:7" ht="58.5" customHeight="1" x14ac:dyDescent="0.25">
      <c r="A11626" s="5" t="str">
        <f>"H0014357"</f>
        <v>H0014357</v>
      </c>
      <c r="B11626" s="5" t="str">
        <f>"POCILLO ACERO INOXIDABLE PEQUEÑO"</f>
        <v>POCILLO ACERO INOXIDABLE PEQUEÑO</v>
      </c>
      <c r="C11626" s="6">
        <v>3335.64</v>
      </c>
      <c r="D11626" s="5"/>
      <c r="E11626" s="5" t="str">
        <f t="shared" si="602"/>
        <v>NUTRICION-ESPERANZA MONCADA PARADA</v>
      </c>
      <c r="F11626" s="5" t="str">
        <f>"Descripcion: . Estado: Bueno Placa anterior: 000018183 Material: ACERO INOXIDABLE Color:  Referencia:  Observacion:  Placa padre: Tipo adquisicion: Entidad"</f>
        <v>Descripcion: . Estado: Bueno Placa anterior: 000018183 Material: ACERO INOXIDABLE Color:  Referencia:  Observacion:  Placa padre: Tipo adquisicion: Entidad</v>
      </c>
      <c r="G11626" s="5"/>
    </row>
    <row r="11627" spans="1:7" ht="58.5" customHeight="1" x14ac:dyDescent="0.25">
      <c r="A11627" s="5" t="str">
        <f>"H0014361"</f>
        <v>H0014361</v>
      </c>
      <c r="B11627" s="5" t="str">
        <f>"POCILLO ACERO INOXIDABLE PEQUEÑO"</f>
        <v>POCILLO ACERO INOXIDABLE PEQUEÑO</v>
      </c>
      <c r="C11627" s="6">
        <v>3335.64</v>
      </c>
      <c r="D11627" s="5"/>
      <c r="E11627" s="5" t="str">
        <f t="shared" si="602"/>
        <v>NUTRICION-ESPERANZA MONCADA PARADA</v>
      </c>
      <c r="F11627" s="5" t="str">
        <f>"Descripcion: . Estado: Bueno Placa anterior: 000018187 Material: ACERO INOXIDABLE Color:  Referencia:  Observacion:  Placa padre: Tipo adquisicion: Entidad"</f>
        <v>Descripcion: . Estado: Bueno Placa anterior: 000018187 Material: ACERO INOXIDABLE Color:  Referencia:  Observacion:  Placa padre: Tipo adquisicion: Entidad</v>
      </c>
      <c r="G11627" s="5"/>
    </row>
    <row r="11628" spans="1:7" ht="58.5" customHeight="1" x14ac:dyDescent="0.25">
      <c r="A11628" s="5" t="str">
        <f>"H0014701"</f>
        <v>H0014701</v>
      </c>
      <c r="B11628" s="5" t="str">
        <f t="shared" ref="B11628:B11659" si="603">"FLANERA EN ACERO INOXIDABLE"</f>
        <v>FLANERA EN ACERO INOXIDABLE</v>
      </c>
      <c r="C11628" s="6">
        <v>1826.28</v>
      </c>
      <c r="D11628" s="5"/>
      <c r="E11628" s="5" t="str">
        <f t="shared" si="602"/>
        <v>NUTRICION-ESPERANZA MONCADA PARADA</v>
      </c>
      <c r="F11628" s="5" t="str">
        <f>"Descripcion: FLANERA POSTRES EN ACERO INOX. Estado: Bueno Placa anterior: 000017692 Material: ACERO INOXIDABLE Color: PLATEADO Referencia:  Observacion:  Placa padre: Tipo adquisicion: Entidad"</f>
        <v>Descripcion: FLANERA POSTRES EN ACERO INOX. Estado: Bueno Placa anterior: 000017692 Material: ACERO INOXIDABLE Color: PLATEADO Referencia:  Observacion:  Placa padre: Tipo adquisicion: Entidad</v>
      </c>
      <c r="G11628" s="5"/>
    </row>
    <row r="11629" spans="1:7" ht="58.5" customHeight="1" x14ac:dyDescent="0.25">
      <c r="A11629" s="5" t="str">
        <f>"H0014702"</f>
        <v>H0014702</v>
      </c>
      <c r="B11629" s="5" t="str">
        <f t="shared" si="603"/>
        <v>FLANERA EN ACERO INOXIDABLE</v>
      </c>
      <c r="C11629" s="6">
        <v>1826.28</v>
      </c>
      <c r="D11629" s="5"/>
      <c r="E11629" s="5" t="str">
        <f t="shared" si="602"/>
        <v>NUTRICION-ESPERANZA MONCADA PARADA</v>
      </c>
      <c r="F11629" s="5" t="str">
        <f>"Descripcion: FLANERA POSTRES EN ACERO INOX. Estado: Bueno Placa anterior: 000017843 Material: ACERO INOXIDABLE Color: PLATEADO Referencia:  Observacion:  Placa padre: Tipo adquisicion: Entidad"</f>
        <v>Descripcion: FLANERA POSTRES EN ACERO INOX. Estado: Bueno Placa anterior: 000017843 Material: ACERO INOXIDABLE Color: PLATEADO Referencia:  Observacion:  Placa padre: Tipo adquisicion: Entidad</v>
      </c>
      <c r="G11629" s="5"/>
    </row>
    <row r="11630" spans="1:7" ht="58.5" customHeight="1" x14ac:dyDescent="0.25">
      <c r="A11630" s="5" t="str">
        <f>"H0014703"</f>
        <v>H0014703</v>
      </c>
      <c r="B11630" s="5" t="str">
        <f t="shared" si="603"/>
        <v>FLANERA EN ACERO INOXIDABLE</v>
      </c>
      <c r="C11630" s="6">
        <v>1826.28</v>
      </c>
      <c r="D11630" s="5"/>
      <c r="E11630" s="5" t="str">
        <f t="shared" si="602"/>
        <v>NUTRICION-ESPERANZA MONCADA PARADA</v>
      </c>
      <c r="F11630" s="5" t="str">
        <f>"Descripcion: FLANERA POSTRES EN ACERO INOX. Estado: Bueno Placa anterior: 000017844 Material: ACERO INOXIDABLE Color: PLATEADO Referencia:  Observacion:  Placa padre: Tipo adquisicion: Entidad"</f>
        <v>Descripcion: FLANERA POSTRES EN ACERO INOX. Estado: Bueno Placa anterior: 000017844 Material: ACERO INOXIDABLE Color: PLATEADO Referencia:  Observacion:  Placa padre: Tipo adquisicion: Entidad</v>
      </c>
      <c r="G11630" s="5"/>
    </row>
    <row r="11631" spans="1:7" ht="58.5" customHeight="1" x14ac:dyDescent="0.25">
      <c r="A11631" s="5" t="str">
        <f>"H0014704"</f>
        <v>H0014704</v>
      </c>
      <c r="B11631" s="5" t="str">
        <f t="shared" si="603"/>
        <v>FLANERA EN ACERO INOXIDABLE</v>
      </c>
      <c r="C11631" s="6">
        <v>1826.28</v>
      </c>
      <c r="D11631" s="5"/>
      <c r="E11631" s="5" t="str">
        <f t="shared" si="602"/>
        <v>NUTRICION-ESPERANZA MONCADA PARADA</v>
      </c>
      <c r="F11631" s="5" t="str">
        <f>"Descripcion: FLANERA POSTRES EN ACERO INOX. Estado: Bueno Placa anterior: 000017845 Material: ACERO INOXIDABLE Color: PLATEADO Referencia:  Observacion:  Placa padre: Tipo adquisicion: Entidad"</f>
        <v>Descripcion: FLANERA POSTRES EN ACERO INOX. Estado: Bueno Placa anterior: 000017845 Material: ACERO INOXIDABLE Color: PLATEADO Referencia:  Observacion:  Placa padre: Tipo adquisicion: Entidad</v>
      </c>
      <c r="G11631" s="5"/>
    </row>
    <row r="11632" spans="1:7" ht="58.5" customHeight="1" x14ac:dyDescent="0.25">
      <c r="A11632" s="5" t="str">
        <f>"H0014705"</f>
        <v>H0014705</v>
      </c>
      <c r="B11632" s="5" t="str">
        <f t="shared" si="603"/>
        <v>FLANERA EN ACERO INOXIDABLE</v>
      </c>
      <c r="C11632" s="6">
        <v>1826.28</v>
      </c>
      <c r="D11632" s="5"/>
      <c r="E11632" s="5" t="str">
        <f t="shared" si="602"/>
        <v>NUTRICION-ESPERANZA MONCADA PARADA</v>
      </c>
      <c r="F11632" s="5" t="str">
        <f>"Descripcion: FLANERA POSTRES EN ACERO INOX. Estado: Bueno Placa anterior: 000017846 Material: ACERO INOXIDABLE Color: PLATEADO Referencia:  Observacion:  Placa padre: Tipo adquisicion: Entidad"</f>
        <v>Descripcion: FLANERA POSTRES EN ACERO INOX. Estado: Bueno Placa anterior: 000017846 Material: ACERO INOXIDABLE Color: PLATEADO Referencia:  Observacion:  Placa padre: Tipo adquisicion: Entidad</v>
      </c>
      <c r="G11632" s="5"/>
    </row>
    <row r="11633" spans="1:7" ht="58.5" customHeight="1" x14ac:dyDescent="0.25">
      <c r="A11633" s="5" t="str">
        <f>"H0014706"</f>
        <v>H0014706</v>
      </c>
      <c r="B11633" s="5" t="str">
        <f t="shared" si="603"/>
        <v>FLANERA EN ACERO INOXIDABLE</v>
      </c>
      <c r="C11633" s="6">
        <v>1826.28</v>
      </c>
      <c r="D11633" s="5"/>
      <c r="E11633" s="5" t="str">
        <f t="shared" si="602"/>
        <v>NUTRICION-ESPERANZA MONCADA PARADA</v>
      </c>
      <c r="F11633" s="5" t="str">
        <f>"Descripcion: FLANERA POSTRES EN ACERO INOX. Estado: Bueno Placa anterior: 000017847 Material: ACERO INOXIDABLE Color: PLATEADO Referencia:  Observacion:  Placa padre: Tipo adquisicion: Entidad"</f>
        <v>Descripcion: FLANERA POSTRES EN ACERO INOX. Estado: Bueno Placa anterior: 000017847 Material: ACERO INOXIDABLE Color: PLATEADO Referencia:  Observacion:  Placa padre: Tipo adquisicion: Entidad</v>
      </c>
      <c r="G11633" s="5"/>
    </row>
    <row r="11634" spans="1:7" ht="58.5" customHeight="1" x14ac:dyDescent="0.25">
      <c r="A11634" s="5" t="str">
        <f>"H0014707"</f>
        <v>H0014707</v>
      </c>
      <c r="B11634" s="5" t="str">
        <f t="shared" si="603"/>
        <v>FLANERA EN ACERO INOXIDABLE</v>
      </c>
      <c r="C11634" s="6">
        <v>1826.28</v>
      </c>
      <c r="D11634" s="5"/>
      <c r="E11634" s="5" t="str">
        <f t="shared" si="602"/>
        <v>NUTRICION-ESPERANZA MONCADA PARADA</v>
      </c>
      <c r="F11634" s="5" t="str">
        <f>"Descripcion: FLANERA POSTRES EN ACERO INOX. Estado: Bueno Placa anterior: 000017848 Material: ACERO INOXIDABLE Color: PLATEADO Referencia:  Observacion:  Placa padre: Tipo adquisicion: Entidad"</f>
        <v>Descripcion: FLANERA POSTRES EN ACERO INOX. Estado: Bueno Placa anterior: 000017848 Material: ACERO INOXIDABLE Color: PLATEADO Referencia:  Observacion:  Placa padre: Tipo adquisicion: Entidad</v>
      </c>
      <c r="G11634" s="5"/>
    </row>
    <row r="11635" spans="1:7" ht="58.5" customHeight="1" x14ac:dyDescent="0.25">
      <c r="A11635" s="5" t="str">
        <f>"H0014708"</f>
        <v>H0014708</v>
      </c>
      <c r="B11635" s="5" t="str">
        <f t="shared" si="603"/>
        <v>FLANERA EN ACERO INOXIDABLE</v>
      </c>
      <c r="C11635" s="6">
        <v>1826.28</v>
      </c>
      <c r="D11635" s="5"/>
      <c r="E11635" s="5" t="str">
        <f t="shared" si="602"/>
        <v>NUTRICION-ESPERANZA MONCADA PARADA</v>
      </c>
      <c r="F11635" s="5" t="str">
        <f>"Descripcion: FLANERA POSTRES EN ACERO INOX. Estado: Bueno Placa anterior: 000017849 Material: ACERO INOXIDABLE Color: PLATEADO Referencia:  Observacion:  Placa padre: Tipo adquisicion: Entidad"</f>
        <v>Descripcion: FLANERA POSTRES EN ACERO INOX. Estado: Bueno Placa anterior: 000017849 Material: ACERO INOXIDABLE Color: PLATEADO Referencia:  Observacion:  Placa padre: Tipo adquisicion: Entidad</v>
      </c>
      <c r="G11635" s="5"/>
    </row>
    <row r="11636" spans="1:7" ht="58.5" customHeight="1" x14ac:dyDescent="0.25">
      <c r="A11636" s="5" t="str">
        <f>"H0014709"</f>
        <v>H0014709</v>
      </c>
      <c r="B11636" s="5" t="str">
        <f t="shared" si="603"/>
        <v>FLANERA EN ACERO INOXIDABLE</v>
      </c>
      <c r="C11636" s="6">
        <v>1826.28</v>
      </c>
      <c r="D11636" s="5"/>
      <c r="E11636" s="5" t="str">
        <f t="shared" si="602"/>
        <v>NUTRICION-ESPERANZA MONCADA PARADA</v>
      </c>
      <c r="F11636" s="5" t="str">
        <f>"Descripcion: FLANERA POSTRES EN ACERO INOX. Estado: Bueno Placa anterior: 000017850 Material: ACERO INOXIDABLE Color: PLATEADO Referencia:  Observacion:  Placa padre: Tipo adquisicion: Entidad"</f>
        <v>Descripcion: FLANERA POSTRES EN ACERO INOX. Estado: Bueno Placa anterior: 000017850 Material: ACERO INOXIDABLE Color: PLATEADO Referencia:  Observacion:  Placa padre: Tipo adquisicion: Entidad</v>
      </c>
      <c r="G11636" s="5"/>
    </row>
    <row r="11637" spans="1:7" ht="58.5" customHeight="1" x14ac:dyDescent="0.25">
      <c r="A11637" s="5" t="str">
        <f>"H0014710"</f>
        <v>H0014710</v>
      </c>
      <c r="B11637" s="5" t="str">
        <f t="shared" si="603"/>
        <v>FLANERA EN ACERO INOXIDABLE</v>
      </c>
      <c r="C11637" s="6">
        <v>1826.28</v>
      </c>
      <c r="D11637" s="5"/>
      <c r="E11637" s="5" t="str">
        <f t="shared" si="602"/>
        <v>NUTRICION-ESPERANZA MONCADA PARADA</v>
      </c>
      <c r="F11637" s="5" t="str">
        <f>"Descripcion: FLANERA POSTRES EN ACERO INOX. Estado: Bueno Placa anterior: 000017851 Material: ACERO INOXIDABLE Color: PLATEADO Referencia:  Observacion:  Placa padre: Tipo adquisicion: Entidad"</f>
        <v>Descripcion: FLANERA POSTRES EN ACERO INOX. Estado: Bueno Placa anterior: 000017851 Material: ACERO INOXIDABLE Color: PLATEADO Referencia:  Observacion:  Placa padre: Tipo adquisicion: Entidad</v>
      </c>
      <c r="G11637" s="5"/>
    </row>
    <row r="11638" spans="1:7" ht="58.5" customHeight="1" x14ac:dyDescent="0.25">
      <c r="A11638" s="5" t="str">
        <f>"H0014711"</f>
        <v>H0014711</v>
      </c>
      <c r="B11638" s="5" t="str">
        <f t="shared" si="603"/>
        <v>FLANERA EN ACERO INOXIDABLE</v>
      </c>
      <c r="C11638" s="6">
        <v>1826.28</v>
      </c>
      <c r="D11638" s="5"/>
      <c r="E11638" s="5" t="str">
        <f t="shared" si="602"/>
        <v>NUTRICION-ESPERANZA MONCADA PARADA</v>
      </c>
      <c r="F11638" s="5" t="str">
        <f>"Descripcion: FLANERA POSTRES EN ACERO INOX. Estado: Bueno Placa anterior: 000017852 Material: ACERO INOXIDABLE Color: PLATEADO Referencia:  Observacion:  Placa padre: Tipo adquisicion: Entidad"</f>
        <v>Descripcion: FLANERA POSTRES EN ACERO INOX. Estado: Bueno Placa anterior: 000017852 Material: ACERO INOXIDABLE Color: PLATEADO Referencia:  Observacion:  Placa padre: Tipo adquisicion: Entidad</v>
      </c>
      <c r="G11638" s="5"/>
    </row>
    <row r="11639" spans="1:7" ht="58.5" customHeight="1" x14ac:dyDescent="0.25">
      <c r="A11639" s="5" t="str">
        <f>"H0014712"</f>
        <v>H0014712</v>
      </c>
      <c r="B11639" s="5" t="str">
        <f t="shared" si="603"/>
        <v>FLANERA EN ACERO INOXIDABLE</v>
      </c>
      <c r="C11639" s="6">
        <v>1826.28</v>
      </c>
      <c r="D11639" s="5"/>
      <c r="E11639" s="5" t="str">
        <f t="shared" si="602"/>
        <v>NUTRICION-ESPERANZA MONCADA PARADA</v>
      </c>
      <c r="F11639" s="5" t="str">
        <f>"Descripcion: FLANERA POSTRES EN ACERO INOX. Estado: Bueno Placa anterior: 000017788 Material: ACERO INOXIDABLE Color: PLATEADO Referencia:  Observacion:  Placa padre: Tipo adquisicion: Entidad"</f>
        <v>Descripcion: FLANERA POSTRES EN ACERO INOX. Estado: Bueno Placa anterior: 000017788 Material: ACERO INOXIDABLE Color: PLATEADO Referencia:  Observacion:  Placa padre: Tipo adquisicion: Entidad</v>
      </c>
      <c r="G11639" s="5"/>
    </row>
    <row r="11640" spans="1:7" ht="58.5" customHeight="1" x14ac:dyDescent="0.25">
      <c r="A11640" s="5" t="str">
        <f>"H0014713"</f>
        <v>H0014713</v>
      </c>
      <c r="B11640" s="5" t="str">
        <f t="shared" si="603"/>
        <v>FLANERA EN ACERO INOXIDABLE</v>
      </c>
      <c r="C11640" s="6">
        <v>1826.28</v>
      </c>
      <c r="D11640" s="5"/>
      <c r="E11640" s="5" t="str">
        <f t="shared" si="602"/>
        <v>NUTRICION-ESPERANZA MONCADA PARADA</v>
      </c>
      <c r="F11640" s="5" t="str">
        <f>"Descripcion: FLANERA POSTRES EN ACERO INOX. Estado: Bueno Placa anterior: 000017653 Material: ACERO INOXIDABLE Color: PLATEADO Referencia:  Observacion:  Placa padre: Tipo adquisicion: Entidad"</f>
        <v>Descripcion: FLANERA POSTRES EN ACERO INOX. Estado: Bueno Placa anterior: 000017653 Material: ACERO INOXIDABLE Color: PLATEADO Referencia:  Observacion:  Placa padre: Tipo adquisicion: Entidad</v>
      </c>
      <c r="G11640" s="5"/>
    </row>
    <row r="11641" spans="1:7" ht="58.5" customHeight="1" x14ac:dyDescent="0.25">
      <c r="A11641" s="5" t="str">
        <f>"H0014714"</f>
        <v>H0014714</v>
      </c>
      <c r="B11641" s="5" t="str">
        <f t="shared" si="603"/>
        <v>FLANERA EN ACERO INOXIDABLE</v>
      </c>
      <c r="C11641" s="6">
        <v>1826.28</v>
      </c>
      <c r="D11641" s="5"/>
      <c r="E11641" s="5" t="str">
        <f t="shared" si="602"/>
        <v>NUTRICION-ESPERANZA MONCADA PARADA</v>
      </c>
      <c r="F11641" s="5" t="str">
        <f>"Descripcion: FLANERA POSTRES EN ACERO INOX. Estado: Bueno Placa anterior: 000017654 Material: ACERO INOXIDABLE Color: PLATEADO Referencia:  Observacion:  Placa padre: Tipo adquisicion: Entidad"</f>
        <v>Descripcion: FLANERA POSTRES EN ACERO INOX. Estado: Bueno Placa anterior: 000017654 Material: ACERO INOXIDABLE Color: PLATEADO Referencia:  Observacion:  Placa padre: Tipo adquisicion: Entidad</v>
      </c>
      <c r="G11641" s="5"/>
    </row>
    <row r="11642" spans="1:7" ht="58.5" customHeight="1" x14ac:dyDescent="0.25">
      <c r="A11642" s="5" t="str">
        <f>"H0014715"</f>
        <v>H0014715</v>
      </c>
      <c r="B11642" s="5" t="str">
        <f t="shared" si="603"/>
        <v>FLANERA EN ACERO INOXIDABLE</v>
      </c>
      <c r="C11642" s="6">
        <v>1826.28</v>
      </c>
      <c r="D11642" s="5"/>
      <c r="E11642" s="5" t="str">
        <f t="shared" si="602"/>
        <v>NUTRICION-ESPERANZA MONCADA PARADA</v>
      </c>
      <c r="F11642" s="5" t="str">
        <f>"Descripcion: FLANERA POSTRES EN ACERO INOX. Estado: Bueno Placa anterior: 000017655 Material: ACERO INOXIDABLE Color: PLATEADO Referencia:  Observacion:  Placa padre: Tipo adquisicion: Entidad"</f>
        <v>Descripcion: FLANERA POSTRES EN ACERO INOX. Estado: Bueno Placa anterior: 000017655 Material: ACERO INOXIDABLE Color: PLATEADO Referencia:  Observacion:  Placa padre: Tipo adquisicion: Entidad</v>
      </c>
      <c r="G11642" s="5"/>
    </row>
    <row r="11643" spans="1:7" ht="58.5" customHeight="1" x14ac:dyDescent="0.25">
      <c r="A11643" s="5" t="str">
        <f>"H0014716"</f>
        <v>H0014716</v>
      </c>
      <c r="B11643" s="5" t="str">
        <f t="shared" si="603"/>
        <v>FLANERA EN ACERO INOXIDABLE</v>
      </c>
      <c r="C11643" s="6">
        <v>1826.28</v>
      </c>
      <c r="D11643" s="5"/>
      <c r="E11643" s="5" t="str">
        <f t="shared" si="602"/>
        <v>NUTRICION-ESPERANZA MONCADA PARADA</v>
      </c>
      <c r="F11643" s="5" t="str">
        <f>"Descripcion: FLANERA POSTRES EN ACERO INOX. Estado: Bueno Placa anterior: 000017656 Material: ACERO INOXIDABLE Color: PLATEADO Referencia:  Observacion:  Placa padre: Tipo adquisicion: Entidad"</f>
        <v>Descripcion: FLANERA POSTRES EN ACERO INOX. Estado: Bueno Placa anterior: 000017656 Material: ACERO INOXIDABLE Color: PLATEADO Referencia:  Observacion:  Placa padre: Tipo adquisicion: Entidad</v>
      </c>
      <c r="G11643" s="5"/>
    </row>
    <row r="11644" spans="1:7" ht="58.5" customHeight="1" x14ac:dyDescent="0.25">
      <c r="A11644" s="5" t="str">
        <f>"H0014717"</f>
        <v>H0014717</v>
      </c>
      <c r="B11644" s="5" t="str">
        <f t="shared" si="603"/>
        <v>FLANERA EN ACERO INOXIDABLE</v>
      </c>
      <c r="C11644" s="6">
        <v>1826.28</v>
      </c>
      <c r="D11644" s="5"/>
      <c r="E11644" s="5" t="str">
        <f t="shared" si="602"/>
        <v>NUTRICION-ESPERANZA MONCADA PARADA</v>
      </c>
      <c r="F11644" s="5" t="str">
        <f>"Descripcion: FLANERA POSTRES EN ACERO INOX. Estado: Bueno Placa anterior: 000017657 Material: ACERO INOXIDABLE Color: PLATEADO Referencia:  Observacion:  Placa padre: Tipo adquisicion: Entidad"</f>
        <v>Descripcion: FLANERA POSTRES EN ACERO INOX. Estado: Bueno Placa anterior: 000017657 Material: ACERO INOXIDABLE Color: PLATEADO Referencia:  Observacion:  Placa padre: Tipo adquisicion: Entidad</v>
      </c>
      <c r="G11644" s="5"/>
    </row>
    <row r="11645" spans="1:7" ht="58.5" customHeight="1" x14ac:dyDescent="0.25">
      <c r="A11645" s="5" t="str">
        <f>"H0014718"</f>
        <v>H0014718</v>
      </c>
      <c r="B11645" s="5" t="str">
        <f t="shared" si="603"/>
        <v>FLANERA EN ACERO INOXIDABLE</v>
      </c>
      <c r="C11645" s="6">
        <v>1826.28</v>
      </c>
      <c r="D11645" s="5"/>
      <c r="E11645" s="5" t="str">
        <f t="shared" si="602"/>
        <v>NUTRICION-ESPERANZA MONCADA PARADA</v>
      </c>
      <c r="F11645" s="5" t="str">
        <f>"Descripcion: FLANERA POSTRES EN ACERO INOX. Estado: Bueno Placa anterior: 000017658 Material: ACERO INOXIDABLE Color: PLATEADO Referencia:  Observacion:  Placa padre: Tipo adquisicion: Entidad"</f>
        <v>Descripcion: FLANERA POSTRES EN ACERO INOX. Estado: Bueno Placa anterior: 000017658 Material: ACERO INOXIDABLE Color: PLATEADO Referencia:  Observacion:  Placa padre: Tipo adquisicion: Entidad</v>
      </c>
      <c r="G11645" s="5"/>
    </row>
    <row r="11646" spans="1:7" ht="58.5" customHeight="1" x14ac:dyDescent="0.25">
      <c r="A11646" s="5" t="str">
        <f>"H0014719"</f>
        <v>H0014719</v>
      </c>
      <c r="B11646" s="5" t="str">
        <f t="shared" si="603"/>
        <v>FLANERA EN ACERO INOXIDABLE</v>
      </c>
      <c r="C11646" s="6">
        <v>1826.28</v>
      </c>
      <c r="D11646" s="5"/>
      <c r="E11646" s="5" t="str">
        <f t="shared" si="602"/>
        <v>NUTRICION-ESPERANZA MONCADA PARADA</v>
      </c>
      <c r="F11646" s="5" t="str">
        <f>"Descripcion: FLANERA POSTRES EN ACERO INOX. Estado: Bueno Placa anterior: 000017659 Material: ACERO INOXIDABLE Color: PLATEADO Referencia:  Observacion:  Placa padre: Tipo adquisicion: Entidad"</f>
        <v>Descripcion: FLANERA POSTRES EN ACERO INOX. Estado: Bueno Placa anterior: 000017659 Material: ACERO INOXIDABLE Color: PLATEADO Referencia:  Observacion:  Placa padre: Tipo adquisicion: Entidad</v>
      </c>
      <c r="G11646" s="5"/>
    </row>
    <row r="11647" spans="1:7" ht="58.5" customHeight="1" x14ac:dyDescent="0.25">
      <c r="A11647" s="5" t="str">
        <f>"H0014720"</f>
        <v>H0014720</v>
      </c>
      <c r="B11647" s="5" t="str">
        <f t="shared" si="603"/>
        <v>FLANERA EN ACERO INOXIDABLE</v>
      </c>
      <c r="C11647" s="6">
        <v>1826.28</v>
      </c>
      <c r="D11647" s="5"/>
      <c r="E11647" s="5" t="str">
        <f t="shared" si="602"/>
        <v>NUTRICION-ESPERANZA MONCADA PARADA</v>
      </c>
      <c r="F11647" s="5" t="str">
        <f>"Descripcion: FLANERA POSTRES EN ACERO INOX. Estado: Bueno Placa anterior: 000017660 Material: ACERO INOXIDABLE Color: PLATEADO Referencia:  Observacion:  Placa padre: Tipo adquisicion: Entidad"</f>
        <v>Descripcion: FLANERA POSTRES EN ACERO INOX. Estado: Bueno Placa anterior: 000017660 Material: ACERO INOXIDABLE Color: PLATEADO Referencia:  Observacion:  Placa padre: Tipo adquisicion: Entidad</v>
      </c>
      <c r="G11647" s="5"/>
    </row>
    <row r="11648" spans="1:7" ht="58.5" customHeight="1" x14ac:dyDescent="0.25">
      <c r="A11648" s="5" t="str">
        <f>"H0014721"</f>
        <v>H0014721</v>
      </c>
      <c r="B11648" s="5" t="str">
        <f t="shared" si="603"/>
        <v>FLANERA EN ACERO INOXIDABLE</v>
      </c>
      <c r="C11648" s="6">
        <v>1826.28</v>
      </c>
      <c r="D11648" s="5"/>
      <c r="E11648" s="5" t="str">
        <f t="shared" si="602"/>
        <v>NUTRICION-ESPERANZA MONCADA PARADA</v>
      </c>
      <c r="F11648" s="5" t="str">
        <f>"Descripcion: FLANERA POSTRES EN ACERO INOX. Estado: Bueno Placa anterior: 000017661 Material: ACERO INOXIDABLE Color: PLATEADO Referencia:  Observacion:  Placa padre: Tipo adquisicion: Entidad"</f>
        <v>Descripcion: FLANERA POSTRES EN ACERO INOX. Estado: Bueno Placa anterior: 000017661 Material: ACERO INOXIDABLE Color: PLATEADO Referencia:  Observacion:  Placa padre: Tipo adquisicion: Entidad</v>
      </c>
      <c r="G11648" s="5"/>
    </row>
    <row r="11649" spans="1:7" ht="58.5" customHeight="1" x14ac:dyDescent="0.25">
      <c r="A11649" s="5" t="str">
        <f>"H0014722"</f>
        <v>H0014722</v>
      </c>
      <c r="B11649" s="5" t="str">
        <f t="shared" si="603"/>
        <v>FLANERA EN ACERO INOXIDABLE</v>
      </c>
      <c r="C11649" s="6">
        <v>1826.28</v>
      </c>
      <c r="D11649" s="5"/>
      <c r="E11649" s="5" t="str">
        <f t="shared" si="602"/>
        <v>NUTRICION-ESPERANZA MONCADA PARADA</v>
      </c>
      <c r="F11649" s="5" t="str">
        <f>"Descripcion: FLANERA POSTRES EN ACERO INOX. Estado: Bueno Placa anterior: 000017662 Material: ACERO INOXIDABLE Color: PLATEADO Referencia:  Observacion:  Placa padre: Tipo adquisicion: Entidad"</f>
        <v>Descripcion: FLANERA POSTRES EN ACERO INOX. Estado: Bueno Placa anterior: 000017662 Material: ACERO INOXIDABLE Color: PLATEADO Referencia:  Observacion:  Placa padre: Tipo adquisicion: Entidad</v>
      </c>
      <c r="G11649" s="5"/>
    </row>
    <row r="11650" spans="1:7" ht="58.5" customHeight="1" x14ac:dyDescent="0.25">
      <c r="A11650" s="5" t="str">
        <f>"H0014723"</f>
        <v>H0014723</v>
      </c>
      <c r="B11650" s="5" t="str">
        <f t="shared" si="603"/>
        <v>FLANERA EN ACERO INOXIDABLE</v>
      </c>
      <c r="C11650" s="6">
        <v>1826.28</v>
      </c>
      <c r="D11650" s="5"/>
      <c r="E11650" s="5" t="str">
        <f t="shared" si="602"/>
        <v>NUTRICION-ESPERANZA MONCADA PARADA</v>
      </c>
      <c r="F11650" s="5" t="str">
        <f>"Descripcion: FLANERA POSTRES EN ACERO INOX. Estado: Bueno Placa anterior: 000017663 Material: ACERO INOXIDABLE Color: PLATEADO Referencia:  Observacion:  Placa padre: Tipo adquisicion: Entidad"</f>
        <v>Descripcion: FLANERA POSTRES EN ACERO INOX. Estado: Bueno Placa anterior: 000017663 Material: ACERO INOXIDABLE Color: PLATEADO Referencia:  Observacion:  Placa padre: Tipo adquisicion: Entidad</v>
      </c>
      <c r="G11650" s="5"/>
    </row>
    <row r="11651" spans="1:7" ht="58.5" customHeight="1" x14ac:dyDescent="0.25">
      <c r="A11651" s="5" t="str">
        <f>"H0014724"</f>
        <v>H0014724</v>
      </c>
      <c r="B11651" s="5" t="str">
        <f t="shared" si="603"/>
        <v>FLANERA EN ACERO INOXIDABLE</v>
      </c>
      <c r="C11651" s="6">
        <v>1826.28</v>
      </c>
      <c r="D11651" s="5"/>
      <c r="E11651" s="5" t="str">
        <f t="shared" si="602"/>
        <v>NUTRICION-ESPERANZA MONCADA PARADA</v>
      </c>
      <c r="F11651" s="5" t="str">
        <f>"Descripcion: FLANERA POSTRES EN ACERO INOX. Estado: Bueno Placa anterior: 000017664 Material: ACERO INOXIDABLE Color: PLATEADO Referencia:  Observacion:  Placa padre: Tipo adquisicion: Entidad"</f>
        <v>Descripcion: FLANERA POSTRES EN ACERO INOX. Estado: Bueno Placa anterior: 000017664 Material: ACERO INOXIDABLE Color: PLATEADO Referencia:  Observacion:  Placa padre: Tipo adquisicion: Entidad</v>
      </c>
      <c r="G11651" s="5"/>
    </row>
    <row r="11652" spans="1:7" ht="58.5" customHeight="1" x14ac:dyDescent="0.25">
      <c r="A11652" s="5" t="str">
        <f>"H0014725"</f>
        <v>H0014725</v>
      </c>
      <c r="B11652" s="5" t="str">
        <f t="shared" si="603"/>
        <v>FLANERA EN ACERO INOXIDABLE</v>
      </c>
      <c r="C11652" s="6">
        <v>1826.28</v>
      </c>
      <c r="D11652" s="5"/>
      <c r="E11652" s="5" t="str">
        <f t="shared" si="602"/>
        <v>NUTRICION-ESPERANZA MONCADA PARADA</v>
      </c>
      <c r="F11652" s="5" t="str">
        <f>"Descripcion: FLANERA POSTRES EN ACERO INOX. Estado: Bueno Placa anterior: 000017665 Material: ACERO INOXIDABLE Color: PLATEADO Referencia:  Observacion:  Placa padre: Tipo adquisicion: Entidad"</f>
        <v>Descripcion: FLANERA POSTRES EN ACERO INOX. Estado: Bueno Placa anterior: 000017665 Material: ACERO INOXIDABLE Color: PLATEADO Referencia:  Observacion:  Placa padre: Tipo adquisicion: Entidad</v>
      </c>
      <c r="G11652" s="5"/>
    </row>
    <row r="11653" spans="1:7" ht="58.5" customHeight="1" x14ac:dyDescent="0.25">
      <c r="A11653" s="5" t="str">
        <f>"H0014726"</f>
        <v>H0014726</v>
      </c>
      <c r="B11653" s="5" t="str">
        <f t="shared" si="603"/>
        <v>FLANERA EN ACERO INOXIDABLE</v>
      </c>
      <c r="C11653" s="6">
        <v>1826.28</v>
      </c>
      <c r="D11653" s="5"/>
      <c r="E11653" s="5" t="str">
        <f t="shared" si="602"/>
        <v>NUTRICION-ESPERANZA MONCADA PARADA</v>
      </c>
      <c r="F11653" s="5" t="str">
        <f>"Descripcion: FLANERA POSTRES EN ACERO INOX. Estado: Bueno Placa anterior: 000017666 Material: ACERO INOXIDABLE Color: PLATEADO Referencia:  Observacion:  Placa padre: Tipo adquisicion: Entidad"</f>
        <v>Descripcion: FLANERA POSTRES EN ACERO INOX. Estado: Bueno Placa anterior: 000017666 Material: ACERO INOXIDABLE Color: PLATEADO Referencia:  Observacion:  Placa padre: Tipo adquisicion: Entidad</v>
      </c>
      <c r="G11653" s="5"/>
    </row>
    <row r="11654" spans="1:7" ht="58.5" customHeight="1" x14ac:dyDescent="0.25">
      <c r="A11654" s="5" t="str">
        <f>"H0014727"</f>
        <v>H0014727</v>
      </c>
      <c r="B11654" s="5" t="str">
        <f t="shared" si="603"/>
        <v>FLANERA EN ACERO INOXIDABLE</v>
      </c>
      <c r="C11654" s="6">
        <v>1826.28</v>
      </c>
      <c r="D11654" s="5"/>
      <c r="E11654" s="5" t="str">
        <f t="shared" si="602"/>
        <v>NUTRICION-ESPERANZA MONCADA PARADA</v>
      </c>
      <c r="F11654" s="5" t="str">
        <f>"Descripcion: FLANERA POSTRES EN ACERO INOX. Estado: Bueno Placa anterior: 000017667 Material: ACERO INOXIDABLE Color: PLATEADO Referencia:  Observacion:  Placa padre: Tipo adquisicion: Entidad"</f>
        <v>Descripcion: FLANERA POSTRES EN ACERO INOX. Estado: Bueno Placa anterior: 000017667 Material: ACERO INOXIDABLE Color: PLATEADO Referencia:  Observacion:  Placa padre: Tipo adquisicion: Entidad</v>
      </c>
      <c r="G11654" s="5"/>
    </row>
    <row r="11655" spans="1:7" ht="58.5" customHeight="1" x14ac:dyDescent="0.25">
      <c r="A11655" s="5" t="str">
        <f>"H0014728"</f>
        <v>H0014728</v>
      </c>
      <c r="B11655" s="5" t="str">
        <f t="shared" si="603"/>
        <v>FLANERA EN ACERO INOXIDABLE</v>
      </c>
      <c r="C11655" s="6">
        <v>1826.28</v>
      </c>
      <c r="D11655" s="5"/>
      <c r="E11655" s="5" t="str">
        <f t="shared" si="602"/>
        <v>NUTRICION-ESPERANZA MONCADA PARADA</v>
      </c>
      <c r="F11655" s="5" t="str">
        <f>"Descripcion: FLANERA POSTRES EN ACERO INOX. Estado: Bueno Placa anterior: 000017668 Material: ACERO INOXIDABLE Color: PLATEADO Referencia:  Observacion:  Placa padre: Tipo adquisicion: Entidad"</f>
        <v>Descripcion: FLANERA POSTRES EN ACERO INOX. Estado: Bueno Placa anterior: 000017668 Material: ACERO INOXIDABLE Color: PLATEADO Referencia:  Observacion:  Placa padre: Tipo adquisicion: Entidad</v>
      </c>
      <c r="G11655" s="5"/>
    </row>
    <row r="11656" spans="1:7" ht="58.5" customHeight="1" x14ac:dyDescent="0.25">
      <c r="A11656" s="5" t="str">
        <f>"H0014729"</f>
        <v>H0014729</v>
      </c>
      <c r="B11656" s="5" t="str">
        <f t="shared" si="603"/>
        <v>FLANERA EN ACERO INOXIDABLE</v>
      </c>
      <c r="C11656" s="6">
        <v>1826.28</v>
      </c>
      <c r="D11656" s="5"/>
      <c r="E11656" s="5" t="str">
        <f t="shared" si="602"/>
        <v>NUTRICION-ESPERANZA MONCADA PARADA</v>
      </c>
      <c r="F11656" s="5" t="str">
        <f>"Descripcion: FLANERA POSTRES EN ACERO INOX. Estado: Bueno Placa anterior: 000017669 Material: ACERO INOXIDABLE Color: PLATEADO Referencia:  Observacion:  Placa padre: Tipo adquisicion: Entidad"</f>
        <v>Descripcion: FLANERA POSTRES EN ACERO INOX. Estado: Bueno Placa anterior: 000017669 Material: ACERO INOXIDABLE Color: PLATEADO Referencia:  Observacion:  Placa padre: Tipo adquisicion: Entidad</v>
      </c>
      <c r="G11656" s="5"/>
    </row>
    <row r="11657" spans="1:7" ht="58.5" customHeight="1" x14ac:dyDescent="0.25">
      <c r="A11657" s="5" t="str">
        <f>"H0014730"</f>
        <v>H0014730</v>
      </c>
      <c r="B11657" s="5" t="str">
        <f t="shared" si="603"/>
        <v>FLANERA EN ACERO INOXIDABLE</v>
      </c>
      <c r="C11657" s="6">
        <v>1826.28</v>
      </c>
      <c r="D11657" s="5"/>
      <c r="E11657" s="5" t="str">
        <f t="shared" si="602"/>
        <v>NUTRICION-ESPERANZA MONCADA PARADA</v>
      </c>
      <c r="F11657" s="5" t="str">
        <f>"Descripcion: FLANERA POSTRES EN ACERO INOX. Estado: Bueno Placa anterior: 000017670 Material: ACERO INOXIDABLE Color: PLATEADO Referencia:  Observacion:  Placa padre: Tipo adquisicion: Entidad"</f>
        <v>Descripcion: FLANERA POSTRES EN ACERO INOX. Estado: Bueno Placa anterior: 000017670 Material: ACERO INOXIDABLE Color: PLATEADO Referencia:  Observacion:  Placa padre: Tipo adquisicion: Entidad</v>
      </c>
      <c r="G11657" s="5"/>
    </row>
    <row r="11658" spans="1:7" ht="58.5" customHeight="1" x14ac:dyDescent="0.25">
      <c r="A11658" s="5" t="str">
        <f>"H0014731"</f>
        <v>H0014731</v>
      </c>
      <c r="B11658" s="5" t="str">
        <f t="shared" si="603"/>
        <v>FLANERA EN ACERO INOXIDABLE</v>
      </c>
      <c r="C11658" s="6">
        <v>1826.28</v>
      </c>
      <c r="D11658" s="5"/>
      <c r="E11658" s="5" t="str">
        <f t="shared" si="602"/>
        <v>NUTRICION-ESPERANZA MONCADA PARADA</v>
      </c>
      <c r="F11658" s="5" t="str">
        <f>"Descripcion: FLANERA POSTRES EN ACERO INOX. Estado: Bueno Placa anterior: 000017671 Material: ACERO INOXIDABLE Color: PLATEADO Referencia:  Observacion:  Placa padre: Tipo adquisicion: Entidad"</f>
        <v>Descripcion: FLANERA POSTRES EN ACERO INOX. Estado: Bueno Placa anterior: 000017671 Material: ACERO INOXIDABLE Color: PLATEADO Referencia:  Observacion:  Placa padre: Tipo adquisicion: Entidad</v>
      </c>
      <c r="G11658" s="5"/>
    </row>
    <row r="11659" spans="1:7" ht="58.5" customHeight="1" x14ac:dyDescent="0.25">
      <c r="A11659" s="5" t="str">
        <f>"H0014732"</f>
        <v>H0014732</v>
      </c>
      <c r="B11659" s="5" t="str">
        <f t="shared" si="603"/>
        <v>FLANERA EN ACERO INOXIDABLE</v>
      </c>
      <c r="C11659" s="6">
        <v>1826.28</v>
      </c>
      <c r="D11659" s="5"/>
      <c r="E11659" s="5" t="str">
        <f t="shared" si="602"/>
        <v>NUTRICION-ESPERANZA MONCADA PARADA</v>
      </c>
      <c r="F11659" s="5" t="str">
        <f>"Descripcion: FLANERA POSTRES EN ACERO INOX. Estado: Bueno Placa anterior: 000017672 Material: ACERO INOXIDABLE Color: PLATEADO Referencia:  Observacion:  Placa padre: Tipo adquisicion: Entidad"</f>
        <v>Descripcion: FLANERA POSTRES EN ACERO INOX. Estado: Bueno Placa anterior: 000017672 Material: ACERO INOXIDABLE Color: PLATEADO Referencia:  Observacion:  Placa padre: Tipo adquisicion: Entidad</v>
      </c>
      <c r="G11659" s="5"/>
    </row>
    <row r="11660" spans="1:7" ht="58.5" customHeight="1" x14ac:dyDescent="0.25">
      <c r="A11660" s="5" t="str">
        <f>"H0014733"</f>
        <v>H0014733</v>
      </c>
      <c r="B11660" s="5" t="str">
        <f t="shared" ref="B11660:B11691" si="604">"FLANERA EN ACERO INOXIDABLE"</f>
        <v>FLANERA EN ACERO INOXIDABLE</v>
      </c>
      <c r="C11660" s="6">
        <v>1826.28</v>
      </c>
      <c r="D11660" s="5"/>
      <c r="E11660" s="5" t="str">
        <f t="shared" si="602"/>
        <v>NUTRICION-ESPERANZA MONCADA PARADA</v>
      </c>
      <c r="F11660" s="5" t="str">
        <f>"Descripcion: FLANERA POSTRES EN ACERO INOX. Estado: Bueno Placa anterior: 000017673 Material: ACERO INOXIDABLE Color: PLATEADO Referencia:  Observacion:  Placa padre: Tipo adquisicion: Entidad"</f>
        <v>Descripcion: FLANERA POSTRES EN ACERO INOX. Estado: Bueno Placa anterior: 000017673 Material: ACERO INOXIDABLE Color: PLATEADO Referencia:  Observacion:  Placa padre: Tipo adquisicion: Entidad</v>
      </c>
      <c r="G11660" s="5"/>
    </row>
    <row r="11661" spans="1:7" ht="58.5" customHeight="1" x14ac:dyDescent="0.25">
      <c r="A11661" s="5" t="str">
        <f>"H0014734"</f>
        <v>H0014734</v>
      </c>
      <c r="B11661" s="5" t="str">
        <f t="shared" si="604"/>
        <v>FLANERA EN ACERO INOXIDABLE</v>
      </c>
      <c r="C11661" s="6">
        <v>1826.28</v>
      </c>
      <c r="D11661" s="5"/>
      <c r="E11661" s="5" t="str">
        <f t="shared" si="602"/>
        <v>NUTRICION-ESPERANZA MONCADA PARADA</v>
      </c>
      <c r="F11661" s="5" t="str">
        <f>"Descripcion: FLANERA POSTRES EN ACERO INOX. Estado: Bueno Placa anterior: 000017674 Material: ACERO INOXIDABLE Color: PLATEADO Referencia:  Observacion:  Placa padre: Tipo adquisicion: Entidad"</f>
        <v>Descripcion: FLANERA POSTRES EN ACERO INOX. Estado: Bueno Placa anterior: 000017674 Material: ACERO INOXIDABLE Color: PLATEADO Referencia:  Observacion:  Placa padre: Tipo adquisicion: Entidad</v>
      </c>
      <c r="G11661" s="5"/>
    </row>
    <row r="11662" spans="1:7" ht="58.5" customHeight="1" x14ac:dyDescent="0.25">
      <c r="A11662" s="5" t="str">
        <f>"H0014735"</f>
        <v>H0014735</v>
      </c>
      <c r="B11662" s="5" t="str">
        <f t="shared" si="604"/>
        <v>FLANERA EN ACERO INOXIDABLE</v>
      </c>
      <c r="C11662" s="6">
        <v>1826.28</v>
      </c>
      <c r="D11662" s="5"/>
      <c r="E11662" s="5" t="str">
        <f t="shared" si="602"/>
        <v>NUTRICION-ESPERANZA MONCADA PARADA</v>
      </c>
      <c r="F11662" s="5" t="str">
        <f>"Descripcion: FLANERA POSTRES EN ACERO INOX. Estado: Bueno Placa anterior: 000017675 Material: ACERO INOXIDABLE Color: PLATEADO Referencia:  Observacion:  Placa padre: Tipo adquisicion: Entidad"</f>
        <v>Descripcion: FLANERA POSTRES EN ACERO INOX. Estado: Bueno Placa anterior: 000017675 Material: ACERO INOXIDABLE Color: PLATEADO Referencia:  Observacion:  Placa padre: Tipo adquisicion: Entidad</v>
      </c>
      <c r="G11662" s="5"/>
    </row>
    <row r="11663" spans="1:7" ht="58.5" customHeight="1" x14ac:dyDescent="0.25">
      <c r="A11663" s="5" t="str">
        <f>"H0014736"</f>
        <v>H0014736</v>
      </c>
      <c r="B11663" s="5" t="str">
        <f t="shared" si="604"/>
        <v>FLANERA EN ACERO INOXIDABLE</v>
      </c>
      <c r="C11663" s="6">
        <v>1826.28</v>
      </c>
      <c r="D11663" s="5"/>
      <c r="E11663" s="5" t="str">
        <f t="shared" si="602"/>
        <v>NUTRICION-ESPERANZA MONCADA PARADA</v>
      </c>
      <c r="F11663" s="5" t="str">
        <f>"Descripcion: FLANERA POSTRES EN ACERO INOX. Estado: Bueno Placa anterior: 000017676 Material: ACERO INOXIDABLE Color: PLATEADO Referencia:  Observacion:  Placa padre: Tipo adquisicion: Entidad"</f>
        <v>Descripcion: FLANERA POSTRES EN ACERO INOX. Estado: Bueno Placa anterior: 000017676 Material: ACERO INOXIDABLE Color: PLATEADO Referencia:  Observacion:  Placa padre: Tipo adquisicion: Entidad</v>
      </c>
      <c r="G11663" s="5"/>
    </row>
    <row r="11664" spans="1:7" ht="58.5" customHeight="1" x14ac:dyDescent="0.25">
      <c r="A11664" s="5" t="str">
        <f>"H0014737"</f>
        <v>H0014737</v>
      </c>
      <c r="B11664" s="5" t="str">
        <f t="shared" si="604"/>
        <v>FLANERA EN ACERO INOXIDABLE</v>
      </c>
      <c r="C11664" s="6">
        <v>1826.28</v>
      </c>
      <c r="D11664" s="5"/>
      <c r="E11664" s="5" t="str">
        <f t="shared" si="602"/>
        <v>NUTRICION-ESPERANZA MONCADA PARADA</v>
      </c>
      <c r="F11664" s="5" t="str">
        <f>"Descripcion: FLANERA POSTRES EN ACERO INOX. Estado: Bueno Placa anterior: 000017677 Material: ACERO INOXIDABLE Color: PLATEADO Referencia:  Observacion:  Placa padre: Tipo adquisicion: Entidad"</f>
        <v>Descripcion: FLANERA POSTRES EN ACERO INOX. Estado: Bueno Placa anterior: 000017677 Material: ACERO INOXIDABLE Color: PLATEADO Referencia:  Observacion:  Placa padre: Tipo adquisicion: Entidad</v>
      </c>
      <c r="G11664" s="5"/>
    </row>
    <row r="11665" spans="1:7" ht="58.5" customHeight="1" x14ac:dyDescent="0.25">
      <c r="A11665" s="5" t="str">
        <f>"H0014738"</f>
        <v>H0014738</v>
      </c>
      <c r="B11665" s="5" t="str">
        <f t="shared" si="604"/>
        <v>FLANERA EN ACERO INOXIDABLE</v>
      </c>
      <c r="C11665" s="6">
        <v>1826.28</v>
      </c>
      <c r="D11665" s="5"/>
      <c r="E11665" s="5" t="str">
        <f t="shared" si="602"/>
        <v>NUTRICION-ESPERANZA MONCADA PARADA</v>
      </c>
      <c r="F11665" s="5" t="str">
        <f>"Descripcion: FLANERA POSTRES EN ACERO INOX. Estado: Bueno Placa anterior: 000017678 Material: ACERO INOXIDABLE Color: PLATEADO Referencia:  Observacion:  Placa padre: Tipo adquisicion: Entidad"</f>
        <v>Descripcion: FLANERA POSTRES EN ACERO INOX. Estado: Bueno Placa anterior: 000017678 Material: ACERO INOXIDABLE Color: PLATEADO Referencia:  Observacion:  Placa padre: Tipo adquisicion: Entidad</v>
      </c>
      <c r="G11665" s="5"/>
    </row>
    <row r="11666" spans="1:7" ht="58.5" customHeight="1" x14ac:dyDescent="0.25">
      <c r="A11666" s="5" t="str">
        <f>"H0014739"</f>
        <v>H0014739</v>
      </c>
      <c r="B11666" s="5" t="str">
        <f t="shared" si="604"/>
        <v>FLANERA EN ACERO INOXIDABLE</v>
      </c>
      <c r="C11666" s="6">
        <v>1826.28</v>
      </c>
      <c r="D11666" s="5"/>
      <c r="E11666" s="5" t="str">
        <f t="shared" si="602"/>
        <v>NUTRICION-ESPERANZA MONCADA PARADA</v>
      </c>
      <c r="F11666" s="5" t="str">
        <f>"Descripcion: FLANERA POSTRES EN ACERO INOX. Estado: Bueno Placa anterior: 000017679 Material: ACERO INOXIDABLE Color: PLATEADO Referencia:  Observacion:  Placa padre: Tipo adquisicion: Entidad"</f>
        <v>Descripcion: FLANERA POSTRES EN ACERO INOX. Estado: Bueno Placa anterior: 000017679 Material: ACERO INOXIDABLE Color: PLATEADO Referencia:  Observacion:  Placa padre: Tipo adquisicion: Entidad</v>
      </c>
      <c r="G11666" s="5"/>
    </row>
    <row r="11667" spans="1:7" ht="58.5" customHeight="1" x14ac:dyDescent="0.25">
      <c r="A11667" s="5" t="str">
        <f>"H0014740"</f>
        <v>H0014740</v>
      </c>
      <c r="B11667" s="5" t="str">
        <f t="shared" si="604"/>
        <v>FLANERA EN ACERO INOXIDABLE</v>
      </c>
      <c r="C11667" s="6">
        <v>1826.28</v>
      </c>
      <c r="D11667" s="5"/>
      <c r="E11667" s="5" t="str">
        <f t="shared" si="602"/>
        <v>NUTRICION-ESPERANZA MONCADA PARADA</v>
      </c>
      <c r="F11667" s="5" t="str">
        <f>"Descripcion: FLANERA POSTRES EN ACERO INOX. Estado: Bueno Placa anterior: 000017680 Material: ACERO INOXIDABLE Color: PLATEADO Referencia:  Observacion:  Placa padre: Tipo adquisicion: Entidad"</f>
        <v>Descripcion: FLANERA POSTRES EN ACERO INOX. Estado: Bueno Placa anterior: 000017680 Material: ACERO INOXIDABLE Color: PLATEADO Referencia:  Observacion:  Placa padre: Tipo adquisicion: Entidad</v>
      </c>
      <c r="G11667" s="5"/>
    </row>
    <row r="11668" spans="1:7" ht="58.5" customHeight="1" x14ac:dyDescent="0.25">
      <c r="A11668" s="5" t="str">
        <f>"H0014741"</f>
        <v>H0014741</v>
      </c>
      <c r="B11668" s="5" t="str">
        <f t="shared" si="604"/>
        <v>FLANERA EN ACERO INOXIDABLE</v>
      </c>
      <c r="C11668" s="6">
        <v>1826.28</v>
      </c>
      <c r="D11668" s="5"/>
      <c r="E11668" s="5" t="str">
        <f t="shared" si="602"/>
        <v>NUTRICION-ESPERANZA MONCADA PARADA</v>
      </c>
      <c r="F11668" s="5" t="str">
        <f>"Descripcion: FLANERA POSTRES EN ACERO INOX. Estado: Bueno Placa anterior: 000017681 Material: ACERO INOXIDABLE Color: PLATEADO Referencia:  Observacion:  Placa padre: Tipo adquisicion: Entidad"</f>
        <v>Descripcion: FLANERA POSTRES EN ACERO INOX. Estado: Bueno Placa anterior: 000017681 Material: ACERO INOXIDABLE Color: PLATEADO Referencia:  Observacion:  Placa padre: Tipo adquisicion: Entidad</v>
      </c>
      <c r="G11668" s="5"/>
    </row>
    <row r="11669" spans="1:7" ht="58.5" customHeight="1" x14ac:dyDescent="0.25">
      <c r="A11669" s="5" t="str">
        <f>"H0014742"</f>
        <v>H0014742</v>
      </c>
      <c r="B11669" s="5" t="str">
        <f t="shared" si="604"/>
        <v>FLANERA EN ACERO INOXIDABLE</v>
      </c>
      <c r="C11669" s="6">
        <v>1826.28</v>
      </c>
      <c r="D11669" s="5"/>
      <c r="E11669" s="5" t="str">
        <f t="shared" si="602"/>
        <v>NUTRICION-ESPERANZA MONCADA PARADA</v>
      </c>
      <c r="F11669" s="5" t="str">
        <f>"Descripcion: FLANERA POSTRES EN ACERO INOX. Estado: Bueno Placa anterior: 000017682 Material: ACERO INOXIDABLE Color: PLATEADO Referencia:  Observacion:  Placa padre: Tipo adquisicion: Entidad"</f>
        <v>Descripcion: FLANERA POSTRES EN ACERO INOX. Estado: Bueno Placa anterior: 000017682 Material: ACERO INOXIDABLE Color: PLATEADO Referencia:  Observacion:  Placa padre: Tipo adquisicion: Entidad</v>
      </c>
      <c r="G11669" s="5"/>
    </row>
    <row r="11670" spans="1:7" ht="58.5" customHeight="1" x14ac:dyDescent="0.25">
      <c r="A11670" s="5" t="str">
        <f>"H0014743"</f>
        <v>H0014743</v>
      </c>
      <c r="B11670" s="5" t="str">
        <f t="shared" si="604"/>
        <v>FLANERA EN ACERO INOXIDABLE</v>
      </c>
      <c r="C11670" s="6">
        <v>1826.28</v>
      </c>
      <c r="D11670" s="5"/>
      <c r="E11670" s="5" t="str">
        <f t="shared" si="602"/>
        <v>NUTRICION-ESPERANZA MONCADA PARADA</v>
      </c>
      <c r="F11670" s="5" t="str">
        <f>"Descripcion: FLANERA POSTRES EN ACERO INOX. Estado: Bueno Placa anterior: 000017683 Material: ACERO INOXIDABLE Color: PLATEADO Referencia:  Observacion:  Placa padre: Tipo adquisicion: Entidad"</f>
        <v>Descripcion: FLANERA POSTRES EN ACERO INOX. Estado: Bueno Placa anterior: 000017683 Material: ACERO INOXIDABLE Color: PLATEADO Referencia:  Observacion:  Placa padre: Tipo adquisicion: Entidad</v>
      </c>
      <c r="G11670" s="5"/>
    </row>
    <row r="11671" spans="1:7" ht="58.5" customHeight="1" x14ac:dyDescent="0.25">
      <c r="A11671" s="5" t="str">
        <f>"H0014744"</f>
        <v>H0014744</v>
      </c>
      <c r="B11671" s="5" t="str">
        <f t="shared" si="604"/>
        <v>FLANERA EN ACERO INOXIDABLE</v>
      </c>
      <c r="C11671" s="6">
        <v>1826.28</v>
      </c>
      <c r="D11671" s="5"/>
      <c r="E11671" s="5" t="str">
        <f t="shared" si="602"/>
        <v>NUTRICION-ESPERANZA MONCADA PARADA</v>
      </c>
      <c r="F11671" s="5" t="str">
        <f>"Descripcion: FLANERA POSTRES EN ACERO INOX. Estado: Bueno Placa anterior: 000017684 Material: ACERO INOXIDABLE Color: PLATEADO Referencia:  Observacion:  Placa padre: Tipo adquisicion: Entidad"</f>
        <v>Descripcion: FLANERA POSTRES EN ACERO INOX. Estado: Bueno Placa anterior: 000017684 Material: ACERO INOXIDABLE Color: PLATEADO Referencia:  Observacion:  Placa padre: Tipo adquisicion: Entidad</v>
      </c>
      <c r="G11671" s="5"/>
    </row>
    <row r="11672" spans="1:7" ht="58.5" customHeight="1" x14ac:dyDescent="0.25">
      <c r="A11672" s="5" t="str">
        <f>"H0014745"</f>
        <v>H0014745</v>
      </c>
      <c r="B11672" s="5" t="str">
        <f t="shared" si="604"/>
        <v>FLANERA EN ACERO INOXIDABLE</v>
      </c>
      <c r="C11672" s="6">
        <v>1826.28</v>
      </c>
      <c r="D11672" s="5"/>
      <c r="E11672" s="5" t="str">
        <f t="shared" si="602"/>
        <v>NUTRICION-ESPERANZA MONCADA PARADA</v>
      </c>
      <c r="F11672" s="5" t="str">
        <f>"Descripcion: FLANERA POSTRES EN ACERO INOX. Estado: Bueno Placa anterior: 000017685 Material: ACERO INOXIDABLE Color:  Referencia:  Observacion:  Placa padre: Tipo adquisicion: Entidad"</f>
        <v>Descripcion: FLANERA POSTRES EN ACERO INOX. Estado: Bueno Placa anterior: 000017685 Material: ACERO INOXIDABLE Color:  Referencia:  Observacion:  Placa padre: Tipo adquisicion: Entidad</v>
      </c>
      <c r="G11672" s="5"/>
    </row>
    <row r="11673" spans="1:7" ht="58.5" customHeight="1" x14ac:dyDescent="0.25">
      <c r="A11673" s="5" t="str">
        <f>"H0014746"</f>
        <v>H0014746</v>
      </c>
      <c r="B11673" s="5" t="str">
        <f t="shared" si="604"/>
        <v>FLANERA EN ACERO INOXIDABLE</v>
      </c>
      <c r="C11673" s="6">
        <v>1826.28</v>
      </c>
      <c r="D11673" s="5"/>
      <c r="E11673" s="5" t="str">
        <f t="shared" si="602"/>
        <v>NUTRICION-ESPERANZA MONCADA PARADA</v>
      </c>
      <c r="F11673" s="5" t="str">
        <f>"Descripcion: FLANERA POSTRES EN ACERO INOX. Estado: Bueno Placa anterior: 000017686 Material: ACERO INOXIDABLE Color:  Referencia:  Observacion:  Placa padre: Tipo adquisicion: Entidad"</f>
        <v>Descripcion: FLANERA POSTRES EN ACERO INOX. Estado: Bueno Placa anterior: 000017686 Material: ACERO INOXIDABLE Color:  Referencia:  Observacion:  Placa padre: Tipo adquisicion: Entidad</v>
      </c>
      <c r="G11673" s="5"/>
    </row>
    <row r="11674" spans="1:7" ht="58.5" customHeight="1" x14ac:dyDescent="0.25">
      <c r="A11674" s="5" t="str">
        <f>"H0014747"</f>
        <v>H0014747</v>
      </c>
      <c r="B11674" s="5" t="str">
        <f t="shared" si="604"/>
        <v>FLANERA EN ACERO INOXIDABLE</v>
      </c>
      <c r="C11674" s="6">
        <v>1826.28</v>
      </c>
      <c r="D11674" s="5"/>
      <c r="E11674" s="5" t="str">
        <f t="shared" si="602"/>
        <v>NUTRICION-ESPERANZA MONCADA PARADA</v>
      </c>
      <c r="F11674" s="5" t="str">
        <f>"Descripcion: FLANERA POSTRES EN ACERO INOX. Estado: Bueno Placa anterior: 000017687 Material: ACERO INOXIDABLE Color:  Referencia:  Observacion:  Placa padre: Tipo adquisicion: Entidad"</f>
        <v>Descripcion: FLANERA POSTRES EN ACERO INOX. Estado: Bueno Placa anterior: 000017687 Material: ACERO INOXIDABLE Color:  Referencia:  Observacion:  Placa padre: Tipo adquisicion: Entidad</v>
      </c>
      <c r="G11674" s="5"/>
    </row>
    <row r="11675" spans="1:7" ht="58.5" customHeight="1" x14ac:dyDescent="0.25">
      <c r="A11675" s="5" t="str">
        <f>"H0014748"</f>
        <v>H0014748</v>
      </c>
      <c r="B11675" s="5" t="str">
        <f t="shared" si="604"/>
        <v>FLANERA EN ACERO INOXIDABLE</v>
      </c>
      <c r="C11675" s="6">
        <v>1826.28</v>
      </c>
      <c r="D11675" s="5"/>
      <c r="E11675" s="5" t="str">
        <f t="shared" si="602"/>
        <v>NUTRICION-ESPERANZA MONCADA PARADA</v>
      </c>
      <c r="F11675" s="5" t="str">
        <f>"Descripcion: FLANERA POSTRES EN ACERO INOX. Estado: Bueno Placa anterior: 000017688 Material: ACERO INOXIDABLE Color:  Referencia:  Observacion:  Placa padre: Tipo adquisicion: Entidad"</f>
        <v>Descripcion: FLANERA POSTRES EN ACERO INOX. Estado: Bueno Placa anterior: 000017688 Material: ACERO INOXIDABLE Color:  Referencia:  Observacion:  Placa padre: Tipo adquisicion: Entidad</v>
      </c>
      <c r="G11675" s="5"/>
    </row>
    <row r="11676" spans="1:7" ht="58.5" customHeight="1" x14ac:dyDescent="0.25">
      <c r="A11676" s="5" t="str">
        <f>"H0014749"</f>
        <v>H0014749</v>
      </c>
      <c r="B11676" s="5" t="str">
        <f t="shared" si="604"/>
        <v>FLANERA EN ACERO INOXIDABLE</v>
      </c>
      <c r="C11676" s="6">
        <v>1826.28</v>
      </c>
      <c r="D11676" s="5"/>
      <c r="E11676" s="5" t="str">
        <f t="shared" si="602"/>
        <v>NUTRICION-ESPERANZA MONCADA PARADA</v>
      </c>
      <c r="F11676" s="5" t="str">
        <f>"Descripcion: FLANERA POSTRES EN ACERO INOX. Estado: Bueno Placa anterior: 000017689 Material: ACERO INOXIDABLE Color:  Referencia:  Observacion:  Placa padre: Tipo adquisicion: Entidad"</f>
        <v>Descripcion: FLANERA POSTRES EN ACERO INOX. Estado: Bueno Placa anterior: 000017689 Material: ACERO INOXIDABLE Color:  Referencia:  Observacion:  Placa padre: Tipo adquisicion: Entidad</v>
      </c>
      <c r="G11676" s="5"/>
    </row>
    <row r="11677" spans="1:7" ht="58.5" customHeight="1" x14ac:dyDescent="0.25">
      <c r="A11677" s="5" t="str">
        <f>"H0014750"</f>
        <v>H0014750</v>
      </c>
      <c r="B11677" s="5" t="str">
        <f t="shared" si="604"/>
        <v>FLANERA EN ACERO INOXIDABLE</v>
      </c>
      <c r="C11677" s="6">
        <v>1826.28</v>
      </c>
      <c r="D11677" s="5"/>
      <c r="E11677" s="5" t="str">
        <f t="shared" si="602"/>
        <v>NUTRICION-ESPERANZA MONCADA PARADA</v>
      </c>
      <c r="F11677" s="5" t="str">
        <f>"Descripcion: FLANERA POSTRES EN ACERO INOX. Estado: Bueno Placa anterior: 000017690 Material: ACERO INOXIDABLE Color:  Referencia:  Observacion:  Placa padre: Tipo adquisicion: Entidad"</f>
        <v>Descripcion: FLANERA POSTRES EN ACERO INOX. Estado: Bueno Placa anterior: 000017690 Material: ACERO INOXIDABLE Color:  Referencia:  Observacion:  Placa padre: Tipo adquisicion: Entidad</v>
      </c>
      <c r="G11677" s="5"/>
    </row>
    <row r="11678" spans="1:7" ht="58.5" customHeight="1" x14ac:dyDescent="0.25">
      <c r="A11678" s="5" t="str">
        <f>"H0014751"</f>
        <v>H0014751</v>
      </c>
      <c r="B11678" s="5" t="str">
        <f t="shared" si="604"/>
        <v>FLANERA EN ACERO INOXIDABLE</v>
      </c>
      <c r="C11678" s="6">
        <v>1826.28</v>
      </c>
      <c r="D11678" s="5"/>
      <c r="E11678" s="5" t="str">
        <f t="shared" si="602"/>
        <v>NUTRICION-ESPERANZA MONCADA PARADA</v>
      </c>
      <c r="F11678" s="5" t="str">
        <f>"Descripcion: FLANERA POSTRES EN ACERO INOX. Estado: Bueno Placa anterior: 000017691 Material: ACERO INOXIDABLE Color:  Referencia:  Observacion:  Placa padre: Tipo adquisicion: Entidad"</f>
        <v>Descripcion: FLANERA POSTRES EN ACERO INOX. Estado: Bueno Placa anterior: 000017691 Material: ACERO INOXIDABLE Color:  Referencia:  Observacion:  Placa padre: Tipo adquisicion: Entidad</v>
      </c>
      <c r="G11678" s="5"/>
    </row>
    <row r="11679" spans="1:7" ht="58.5" customHeight="1" x14ac:dyDescent="0.25">
      <c r="A11679" s="5" t="str">
        <f>"H0014752"</f>
        <v>H0014752</v>
      </c>
      <c r="B11679" s="5" t="str">
        <f t="shared" si="604"/>
        <v>FLANERA EN ACERO INOXIDABLE</v>
      </c>
      <c r="C11679" s="6">
        <v>1826.28</v>
      </c>
      <c r="D11679" s="5"/>
      <c r="E11679" s="5" t="str">
        <f t="shared" si="602"/>
        <v>NUTRICION-ESPERANZA MONCADA PARADA</v>
      </c>
      <c r="F11679" s="5" t="str">
        <f>"Descripcion: FLANERA POSTRES EN ACERO INOX. Estado: Bueno Placa anterior: 000017693 Material: ACERO INOXIDABLE Color:  Referencia:  Observacion:  Placa padre: Tipo adquisicion: Entidad"</f>
        <v>Descripcion: FLANERA POSTRES EN ACERO INOX. Estado: Bueno Placa anterior: 000017693 Material: ACERO INOXIDABLE Color:  Referencia:  Observacion:  Placa padre: Tipo adquisicion: Entidad</v>
      </c>
      <c r="G11679" s="5"/>
    </row>
    <row r="11680" spans="1:7" ht="58.5" customHeight="1" x14ac:dyDescent="0.25">
      <c r="A11680" s="5" t="str">
        <f>"H0014753"</f>
        <v>H0014753</v>
      </c>
      <c r="B11680" s="5" t="str">
        <f t="shared" si="604"/>
        <v>FLANERA EN ACERO INOXIDABLE</v>
      </c>
      <c r="C11680" s="6">
        <v>1826.28</v>
      </c>
      <c r="D11680" s="5"/>
      <c r="E11680" s="5" t="str">
        <f t="shared" si="602"/>
        <v>NUTRICION-ESPERANZA MONCADA PARADA</v>
      </c>
      <c r="F11680" s="5" t="str">
        <f>"Descripcion: FLANERA POSTRES EN ACERO INOX. Estado: Bueno Placa anterior: 000017694 Material: ACERO INOXIDABLE Color:  Referencia:  Observacion:  Placa padre: Tipo adquisicion: Entidad"</f>
        <v>Descripcion: FLANERA POSTRES EN ACERO INOX. Estado: Bueno Placa anterior: 000017694 Material: ACERO INOXIDABLE Color:  Referencia:  Observacion:  Placa padre: Tipo adquisicion: Entidad</v>
      </c>
      <c r="G11680" s="5"/>
    </row>
    <row r="11681" spans="1:7" ht="58.5" customHeight="1" x14ac:dyDescent="0.25">
      <c r="A11681" s="5" t="str">
        <f>"H0014754"</f>
        <v>H0014754</v>
      </c>
      <c r="B11681" s="5" t="str">
        <f t="shared" si="604"/>
        <v>FLANERA EN ACERO INOXIDABLE</v>
      </c>
      <c r="C11681" s="6">
        <v>1826.28</v>
      </c>
      <c r="D11681" s="5"/>
      <c r="E11681" s="5" t="str">
        <f t="shared" si="602"/>
        <v>NUTRICION-ESPERANZA MONCADA PARADA</v>
      </c>
      <c r="F11681" s="5" t="str">
        <f>"Descripcion: FLANERA POSTRES EN ACERO INOX. Estado: Bueno Placa anterior: 000017695 Material: ACERO INOXIDABLE Color:  Referencia:  Observacion:  Placa padre: Tipo adquisicion: Entidad"</f>
        <v>Descripcion: FLANERA POSTRES EN ACERO INOX. Estado: Bueno Placa anterior: 000017695 Material: ACERO INOXIDABLE Color:  Referencia:  Observacion:  Placa padre: Tipo adquisicion: Entidad</v>
      </c>
      <c r="G11681" s="5"/>
    </row>
    <row r="11682" spans="1:7" ht="58.5" customHeight="1" x14ac:dyDescent="0.25">
      <c r="A11682" s="5" t="str">
        <f>"H0014755"</f>
        <v>H0014755</v>
      </c>
      <c r="B11682" s="5" t="str">
        <f t="shared" si="604"/>
        <v>FLANERA EN ACERO INOXIDABLE</v>
      </c>
      <c r="C11682" s="6">
        <v>1826.28</v>
      </c>
      <c r="D11682" s="5"/>
      <c r="E11682" s="5" t="str">
        <f t="shared" si="602"/>
        <v>NUTRICION-ESPERANZA MONCADA PARADA</v>
      </c>
      <c r="F11682" s="5" t="str">
        <f>"Descripcion: FLANERA POSTRES EN ACERO INOX. Estado: Bueno Placa anterior: 000017696 Material: ACERO INOXIDABLE Color:  Referencia:  Observacion:  Placa padre: Tipo adquisicion: Entidad"</f>
        <v>Descripcion: FLANERA POSTRES EN ACERO INOX. Estado: Bueno Placa anterior: 000017696 Material: ACERO INOXIDABLE Color:  Referencia:  Observacion:  Placa padre: Tipo adquisicion: Entidad</v>
      </c>
      <c r="G11682" s="5"/>
    </row>
    <row r="11683" spans="1:7" ht="58.5" customHeight="1" x14ac:dyDescent="0.25">
      <c r="A11683" s="5" t="str">
        <f>"H0014756"</f>
        <v>H0014756</v>
      </c>
      <c r="B11683" s="5" t="str">
        <f t="shared" si="604"/>
        <v>FLANERA EN ACERO INOXIDABLE</v>
      </c>
      <c r="C11683" s="6">
        <v>1826.28</v>
      </c>
      <c r="D11683" s="5"/>
      <c r="E11683" s="5" t="str">
        <f t="shared" si="602"/>
        <v>NUTRICION-ESPERANZA MONCADA PARADA</v>
      </c>
      <c r="F11683" s="5" t="str">
        <f>"Descripcion: FLANERA POSTRES EN ACERO INOX. Estado: Bueno Placa anterior: 000017697 Material: ACERO INOXIDABLE Color:  Referencia:  Observacion:  Placa padre: Tipo adquisicion: Entidad"</f>
        <v>Descripcion: FLANERA POSTRES EN ACERO INOX. Estado: Bueno Placa anterior: 000017697 Material: ACERO INOXIDABLE Color:  Referencia:  Observacion:  Placa padre: Tipo adquisicion: Entidad</v>
      </c>
      <c r="G11683" s="5"/>
    </row>
    <row r="11684" spans="1:7" ht="58.5" customHeight="1" x14ac:dyDescent="0.25">
      <c r="A11684" s="5" t="str">
        <f>"H0014757"</f>
        <v>H0014757</v>
      </c>
      <c r="B11684" s="5" t="str">
        <f t="shared" si="604"/>
        <v>FLANERA EN ACERO INOXIDABLE</v>
      </c>
      <c r="C11684" s="6">
        <v>1826.28</v>
      </c>
      <c r="D11684" s="5"/>
      <c r="E11684" s="5" t="str">
        <f t="shared" si="602"/>
        <v>NUTRICION-ESPERANZA MONCADA PARADA</v>
      </c>
      <c r="F11684" s="5" t="str">
        <f>"Descripcion: FLANERA POSTRES EN ACERO INOX. Estado: Bueno Placa anterior: 000017698 Material: ACERO INOXIDABLE Color:  Referencia:  Observacion:  Placa padre: Tipo adquisicion: Entidad"</f>
        <v>Descripcion: FLANERA POSTRES EN ACERO INOX. Estado: Bueno Placa anterior: 000017698 Material: ACERO INOXIDABLE Color:  Referencia:  Observacion:  Placa padre: Tipo adquisicion: Entidad</v>
      </c>
      <c r="G11684" s="5"/>
    </row>
    <row r="11685" spans="1:7" ht="58.5" customHeight="1" x14ac:dyDescent="0.25">
      <c r="A11685" s="5" t="str">
        <f>"H0014758"</f>
        <v>H0014758</v>
      </c>
      <c r="B11685" s="5" t="str">
        <f t="shared" si="604"/>
        <v>FLANERA EN ACERO INOXIDABLE</v>
      </c>
      <c r="C11685" s="6">
        <v>1826.28</v>
      </c>
      <c r="D11685" s="5"/>
      <c r="E11685" s="5" t="str">
        <f t="shared" si="602"/>
        <v>NUTRICION-ESPERANZA MONCADA PARADA</v>
      </c>
      <c r="F11685" s="5" t="str">
        <f>"Descripcion: FLANERA POSTRES EN ACERO INOX. Estado: Bueno Placa anterior: 000017699 Material: ACERO INOXIDABLE Color:  Referencia:  Observacion:  Placa padre: Tipo adquisicion: Entidad"</f>
        <v>Descripcion: FLANERA POSTRES EN ACERO INOX. Estado: Bueno Placa anterior: 000017699 Material: ACERO INOXIDABLE Color:  Referencia:  Observacion:  Placa padre: Tipo adquisicion: Entidad</v>
      </c>
      <c r="G11685" s="5"/>
    </row>
    <row r="11686" spans="1:7" ht="58.5" customHeight="1" x14ac:dyDescent="0.25">
      <c r="A11686" s="5" t="str">
        <f>"H0014759"</f>
        <v>H0014759</v>
      </c>
      <c r="B11686" s="5" t="str">
        <f t="shared" si="604"/>
        <v>FLANERA EN ACERO INOXIDABLE</v>
      </c>
      <c r="C11686" s="6">
        <v>1826.28</v>
      </c>
      <c r="D11686" s="5"/>
      <c r="E11686" s="5" t="str">
        <f t="shared" si="602"/>
        <v>NUTRICION-ESPERANZA MONCADA PARADA</v>
      </c>
      <c r="F11686" s="5" t="str">
        <f>"Descripcion: FLANERA POSTRES EN ACERO INOX. Estado: Bueno Placa anterior: 000017700 Material: ACERO INOXIDABLE Color:  Referencia:  Observacion:  Placa padre: Tipo adquisicion: Entidad"</f>
        <v>Descripcion: FLANERA POSTRES EN ACERO INOX. Estado: Bueno Placa anterior: 000017700 Material: ACERO INOXIDABLE Color:  Referencia:  Observacion:  Placa padre: Tipo adquisicion: Entidad</v>
      </c>
      <c r="G11686" s="5"/>
    </row>
    <row r="11687" spans="1:7" ht="58.5" customHeight="1" x14ac:dyDescent="0.25">
      <c r="A11687" s="5" t="str">
        <f>"H0014760"</f>
        <v>H0014760</v>
      </c>
      <c r="B11687" s="5" t="str">
        <f t="shared" si="604"/>
        <v>FLANERA EN ACERO INOXIDABLE</v>
      </c>
      <c r="C11687" s="6">
        <v>1826.28</v>
      </c>
      <c r="D11687" s="5"/>
      <c r="E11687" s="5" t="str">
        <f t="shared" ref="E11687:E11750" si="605">"NUTRICION-ESPERANZA MONCADA PARADA"</f>
        <v>NUTRICION-ESPERANZA MONCADA PARADA</v>
      </c>
      <c r="F11687" s="5" t="str">
        <f>"Descripcion: FLANERA POSTRES EN ACERO INOX. Estado: Bueno Placa anterior: 000017701 Material: ACERO INOXIDABLE Color:  Referencia:  Observacion:  Placa padre: Tipo adquisicion: Entidad"</f>
        <v>Descripcion: FLANERA POSTRES EN ACERO INOX. Estado: Bueno Placa anterior: 000017701 Material: ACERO INOXIDABLE Color:  Referencia:  Observacion:  Placa padre: Tipo adquisicion: Entidad</v>
      </c>
      <c r="G11687" s="5"/>
    </row>
    <row r="11688" spans="1:7" ht="58.5" customHeight="1" x14ac:dyDescent="0.25">
      <c r="A11688" s="5" t="str">
        <f>"H0014761"</f>
        <v>H0014761</v>
      </c>
      <c r="B11688" s="5" t="str">
        <f t="shared" si="604"/>
        <v>FLANERA EN ACERO INOXIDABLE</v>
      </c>
      <c r="C11688" s="6">
        <v>1826.28</v>
      </c>
      <c r="D11688" s="5"/>
      <c r="E11688" s="5" t="str">
        <f t="shared" si="605"/>
        <v>NUTRICION-ESPERANZA MONCADA PARADA</v>
      </c>
      <c r="F11688" s="5" t="str">
        <f>"Descripcion: FLANERA POSTRES EN ACERO INOX. Estado: Bueno Placa anterior: 000017702 Material: ACERO INOXIDABLE Color:  Referencia:  Observacion:  Placa padre: Tipo adquisicion: Entidad"</f>
        <v>Descripcion: FLANERA POSTRES EN ACERO INOX. Estado: Bueno Placa anterior: 000017702 Material: ACERO INOXIDABLE Color:  Referencia:  Observacion:  Placa padre: Tipo adquisicion: Entidad</v>
      </c>
      <c r="G11688" s="5"/>
    </row>
    <row r="11689" spans="1:7" ht="58.5" customHeight="1" x14ac:dyDescent="0.25">
      <c r="A11689" s="5" t="str">
        <f>"H0014762"</f>
        <v>H0014762</v>
      </c>
      <c r="B11689" s="5" t="str">
        <f t="shared" si="604"/>
        <v>FLANERA EN ACERO INOXIDABLE</v>
      </c>
      <c r="C11689" s="6">
        <v>1826.28</v>
      </c>
      <c r="D11689" s="5"/>
      <c r="E11689" s="5" t="str">
        <f t="shared" si="605"/>
        <v>NUTRICION-ESPERANZA MONCADA PARADA</v>
      </c>
      <c r="F11689" s="5" t="str">
        <f>"Descripcion: FLANERA POSTRES EN ACERO INOX. Estado: Bueno Placa anterior: 000017703 Material: ACERO INOXIDABLE Color:  Referencia:  Observacion:  Placa padre: Tipo adquisicion: Entidad"</f>
        <v>Descripcion: FLANERA POSTRES EN ACERO INOX. Estado: Bueno Placa anterior: 000017703 Material: ACERO INOXIDABLE Color:  Referencia:  Observacion:  Placa padre: Tipo adquisicion: Entidad</v>
      </c>
      <c r="G11689" s="5"/>
    </row>
    <row r="11690" spans="1:7" ht="58.5" customHeight="1" x14ac:dyDescent="0.25">
      <c r="A11690" s="5" t="str">
        <f>"H0014763"</f>
        <v>H0014763</v>
      </c>
      <c r="B11690" s="5" t="str">
        <f t="shared" si="604"/>
        <v>FLANERA EN ACERO INOXIDABLE</v>
      </c>
      <c r="C11690" s="6">
        <v>1826.28</v>
      </c>
      <c r="D11690" s="5"/>
      <c r="E11690" s="5" t="str">
        <f t="shared" si="605"/>
        <v>NUTRICION-ESPERANZA MONCADA PARADA</v>
      </c>
      <c r="F11690" s="5" t="str">
        <f>"Descripcion: FLANERA POSTRES EN ACERO INOX. Estado: Bueno Placa anterior: 000017704 Material: ACERO INOXIDABLE Color:  Referencia:  Observacion:  Placa padre: Tipo adquisicion: Entidad"</f>
        <v>Descripcion: FLANERA POSTRES EN ACERO INOX. Estado: Bueno Placa anterior: 000017704 Material: ACERO INOXIDABLE Color:  Referencia:  Observacion:  Placa padre: Tipo adquisicion: Entidad</v>
      </c>
      <c r="G11690" s="5"/>
    </row>
    <row r="11691" spans="1:7" ht="58.5" customHeight="1" x14ac:dyDescent="0.25">
      <c r="A11691" s="5" t="str">
        <f>"H0014764"</f>
        <v>H0014764</v>
      </c>
      <c r="B11691" s="5" t="str">
        <f t="shared" si="604"/>
        <v>FLANERA EN ACERO INOXIDABLE</v>
      </c>
      <c r="C11691" s="6">
        <v>1826.28</v>
      </c>
      <c r="D11691" s="5"/>
      <c r="E11691" s="5" t="str">
        <f t="shared" si="605"/>
        <v>NUTRICION-ESPERANZA MONCADA PARADA</v>
      </c>
      <c r="F11691" s="5" t="str">
        <f>"Descripcion: FLANERA POSTRES EN ACERO INOX. Estado: Bueno Placa anterior: 000017705 Material: ACERO INOXIDABLE Color:  Referencia:  Observacion:  Placa padre: Tipo adquisicion: Entidad"</f>
        <v>Descripcion: FLANERA POSTRES EN ACERO INOX. Estado: Bueno Placa anterior: 000017705 Material: ACERO INOXIDABLE Color:  Referencia:  Observacion:  Placa padre: Tipo adquisicion: Entidad</v>
      </c>
      <c r="G11691" s="5"/>
    </row>
    <row r="11692" spans="1:7" ht="58.5" customHeight="1" x14ac:dyDescent="0.25">
      <c r="A11692" s="5" t="str">
        <f>"H0014765"</f>
        <v>H0014765</v>
      </c>
      <c r="B11692" s="5" t="str">
        <f t="shared" ref="B11692:B11723" si="606">"FLANERA EN ACERO INOXIDABLE"</f>
        <v>FLANERA EN ACERO INOXIDABLE</v>
      </c>
      <c r="C11692" s="6">
        <v>1826.28</v>
      </c>
      <c r="D11692" s="5"/>
      <c r="E11692" s="5" t="str">
        <f t="shared" si="605"/>
        <v>NUTRICION-ESPERANZA MONCADA PARADA</v>
      </c>
      <c r="F11692" s="5" t="str">
        <f>"Descripcion: FLANERA POSTRES EN ACERO INOX. Estado: Bueno Placa anterior: 000017706 Material: ACERO INOXIDABLE Color:  Referencia:  Observacion:  Placa padre: Tipo adquisicion: Entidad"</f>
        <v>Descripcion: FLANERA POSTRES EN ACERO INOX. Estado: Bueno Placa anterior: 000017706 Material: ACERO INOXIDABLE Color:  Referencia:  Observacion:  Placa padre: Tipo adquisicion: Entidad</v>
      </c>
      <c r="G11692" s="5"/>
    </row>
    <row r="11693" spans="1:7" ht="58.5" customHeight="1" x14ac:dyDescent="0.25">
      <c r="A11693" s="5" t="str">
        <f>"H0014766"</f>
        <v>H0014766</v>
      </c>
      <c r="B11693" s="5" t="str">
        <f t="shared" si="606"/>
        <v>FLANERA EN ACERO INOXIDABLE</v>
      </c>
      <c r="C11693" s="6">
        <v>1826.28</v>
      </c>
      <c r="D11693" s="5"/>
      <c r="E11693" s="5" t="str">
        <f t="shared" si="605"/>
        <v>NUTRICION-ESPERANZA MONCADA PARADA</v>
      </c>
      <c r="F11693" s="5" t="str">
        <f>"Descripcion: FLANERA POSTRES EN ACERO INOX. Estado: Bueno Placa anterior: 000017707 Material: ACERO INOXIDABLE Color:  Referencia:  Observacion:  Placa padre: Tipo adquisicion: Entidad"</f>
        <v>Descripcion: FLANERA POSTRES EN ACERO INOX. Estado: Bueno Placa anterior: 000017707 Material: ACERO INOXIDABLE Color:  Referencia:  Observacion:  Placa padre: Tipo adquisicion: Entidad</v>
      </c>
      <c r="G11693" s="5"/>
    </row>
    <row r="11694" spans="1:7" ht="58.5" customHeight="1" x14ac:dyDescent="0.25">
      <c r="A11694" s="5" t="str">
        <f>"H0014767"</f>
        <v>H0014767</v>
      </c>
      <c r="B11694" s="5" t="str">
        <f t="shared" si="606"/>
        <v>FLANERA EN ACERO INOXIDABLE</v>
      </c>
      <c r="C11694" s="6">
        <v>1826.28</v>
      </c>
      <c r="D11694" s="5"/>
      <c r="E11694" s="5" t="str">
        <f t="shared" si="605"/>
        <v>NUTRICION-ESPERANZA MONCADA PARADA</v>
      </c>
      <c r="F11694" s="5" t="str">
        <f>"Descripcion: FLANERA POSTRES EN ACERO INOX. Estado: Bueno Placa anterior: 000017708 Material: ACERO INOXIDABLE Color:  Referencia:  Observacion:  Placa padre: Tipo adquisicion: Entidad"</f>
        <v>Descripcion: FLANERA POSTRES EN ACERO INOX. Estado: Bueno Placa anterior: 000017708 Material: ACERO INOXIDABLE Color:  Referencia:  Observacion:  Placa padre: Tipo adquisicion: Entidad</v>
      </c>
      <c r="G11694" s="5"/>
    </row>
    <row r="11695" spans="1:7" ht="58.5" customHeight="1" x14ac:dyDescent="0.25">
      <c r="A11695" s="5" t="str">
        <f>"H0014768"</f>
        <v>H0014768</v>
      </c>
      <c r="B11695" s="5" t="str">
        <f t="shared" si="606"/>
        <v>FLANERA EN ACERO INOXIDABLE</v>
      </c>
      <c r="C11695" s="6">
        <v>1826.28</v>
      </c>
      <c r="D11695" s="5"/>
      <c r="E11695" s="5" t="str">
        <f t="shared" si="605"/>
        <v>NUTRICION-ESPERANZA MONCADA PARADA</v>
      </c>
      <c r="F11695" s="5" t="str">
        <f>"Descripcion: FLANERA POSTRES EN ACERO INOX. Estado: Bueno Placa anterior: 000017709 Material: ACERO INOXIDABLE Color:  Referencia:  Observacion:  Placa padre: Tipo adquisicion: Entidad"</f>
        <v>Descripcion: FLANERA POSTRES EN ACERO INOX. Estado: Bueno Placa anterior: 000017709 Material: ACERO INOXIDABLE Color:  Referencia:  Observacion:  Placa padre: Tipo adquisicion: Entidad</v>
      </c>
      <c r="G11695" s="5"/>
    </row>
    <row r="11696" spans="1:7" ht="58.5" customHeight="1" x14ac:dyDescent="0.25">
      <c r="A11696" s="5" t="str">
        <f>"H0014769"</f>
        <v>H0014769</v>
      </c>
      <c r="B11696" s="5" t="str">
        <f t="shared" si="606"/>
        <v>FLANERA EN ACERO INOXIDABLE</v>
      </c>
      <c r="C11696" s="6">
        <v>1826.28</v>
      </c>
      <c r="D11696" s="5"/>
      <c r="E11696" s="5" t="str">
        <f t="shared" si="605"/>
        <v>NUTRICION-ESPERANZA MONCADA PARADA</v>
      </c>
      <c r="F11696" s="5" t="str">
        <f>"Descripcion: FLANERA POSTRES EN ACERO INOX. Estado: Bueno Placa anterior: 000017710 Material: ACERO INOXIDABLE Color:  Referencia:  Observacion:  Placa padre: Tipo adquisicion: Entidad"</f>
        <v>Descripcion: FLANERA POSTRES EN ACERO INOX. Estado: Bueno Placa anterior: 000017710 Material: ACERO INOXIDABLE Color:  Referencia:  Observacion:  Placa padre: Tipo adquisicion: Entidad</v>
      </c>
      <c r="G11696" s="5"/>
    </row>
    <row r="11697" spans="1:7" ht="58.5" customHeight="1" x14ac:dyDescent="0.25">
      <c r="A11697" s="5" t="str">
        <f>"H0014770"</f>
        <v>H0014770</v>
      </c>
      <c r="B11697" s="5" t="str">
        <f t="shared" si="606"/>
        <v>FLANERA EN ACERO INOXIDABLE</v>
      </c>
      <c r="C11697" s="6">
        <v>1826.28</v>
      </c>
      <c r="D11697" s="5"/>
      <c r="E11697" s="5" t="str">
        <f t="shared" si="605"/>
        <v>NUTRICION-ESPERANZA MONCADA PARADA</v>
      </c>
      <c r="F11697" s="5" t="str">
        <f>"Descripcion: FLANERA POSTRES EN ACERO INOX. Estado: Bueno Placa anterior: 000017711 Material: ACERO INOXIDABLE Color:  Referencia:  Observacion:  Placa padre: Tipo adquisicion: Entidad"</f>
        <v>Descripcion: FLANERA POSTRES EN ACERO INOX. Estado: Bueno Placa anterior: 000017711 Material: ACERO INOXIDABLE Color:  Referencia:  Observacion:  Placa padre: Tipo adquisicion: Entidad</v>
      </c>
      <c r="G11697" s="5"/>
    </row>
    <row r="11698" spans="1:7" ht="58.5" customHeight="1" x14ac:dyDescent="0.25">
      <c r="A11698" s="5" t="str">
        <f>"H0014771"</f>
        <v>H0014771</v>
      </c>
      <c r="B11698" s="5" t="str">
        <f t="shared" si="606"/>
        <v>FLANERA EN ACERO INOXIDABLE</v>
      </c>
      <c r="C11698" s="6">
        <v>1826.28</v>
      </c>
      <c r="D11698" s="5"/>
      <c r="E11698" s="5" t="str">
        <f t="shared" si="605"/>
        <v>NUTRICION-ESPERANZA MONCADA PARADA</v>
      </c>
      <c r="F11698" s="5" t="str">
        <f>"Descripcion: FLANERA POSTRES EN ACERO INOX. Estado: Bueno Placa anterior: 000017712 Material: ACERO INOXIDABLE Color:  Referencia:  Observacion:  Placa padre: Tipo adquisicion: Entidad"</f>
        <v>Descripcion: FLANERA POSTRES EN ACERO INOX. Estado: Bueno Placa anterior: 000017712 Material: ACERO INOXIDABLE Color:  Referencia:  Observacion:  Placa padre: Tipo adquisicion: Entidad</v>
      </c>
      <c r="G11698" s="5"/>
    </row>
    <row r="11699" spans="1:7" ht="58.5" customHeight="1" x14ac:dyDescent="0.25">
      <c r="A11699" s="5" t="str">
        <f>"H0014772"</f>
        <v>H0014772</v>
      </c>
      <c r="B11699" s="5" t="str">
        <f t="shared" si="606"/>
        <v>FLANERA EN ACERO INOXIDABLE</v>
      </c>
      <c r="C11699" s="6">
        <v>1826.28</v>
      </c>
      <c r="D11699" s="5"/>
      <c r="E11699" s="5" t="str">
        <f t="shared" si="605"/>
        <v>NUTRICION-ESPERANZA MONCADA PARADA</v>
      </c>
      <c r="F11699" s="5" t="str">
        <f>"Descripcion: FLANERA POSTRES EN ACERO INOX. Estado: Bueno Placa anterior: 000017713 Material: ACERO INOXIDABLE Color:  Referencia:  Observacion:  Placa padre: Tipo adquisicion: Entidad"</f>
        <v>Descripcion: FLANERA POSTRES EN ACERO INOX. Estado: Bueno Placa anterior: 000017713 Material: ACERO INOXIDABLE Color:  Referencia:  Observacion:  Placa padre: Tipo adquisicion: Entidad</v>
      </c>
      <c r="G11699" s="5"/>
    </row>
    <row r="11700" spans="1:7" ht="58.5" customHeight="1" x14ac:dyDescent="0.25">
      <c r="A11700" s="5" t="str">
        <f>"H0014773"</f>
        <v>H0014773</v>
      </c>
      <c r="B11700" s="5" t="str">
        <f t="shared" si="606"/>
        <v>FLANERA EN ACERO INOXIDABLE</v>
      </c>
      <c r="C11700" s="6">
        <v>1826.28</v>
      </c>
      <c r="D11700" s="5"/>
      <c r="E11700" s="5" t="str">
        <f t="shared" si="605"/>
        <v>NUTRICION-ESPERANZA MONCADA PARADA</v>
      </c>
      <c r="F11700" s="5" t="str">
        <f>"Descripcion: FLANERA POSTRES EN ACERO INOX. Estado: Bueno Placa anterior: 000017714 Material: ACERO INOXIDABLE Color:  Referencia:  Observacion:  Placa padre: Tipo adquisicion: Entidad"</f>
        <v>Descripcion: FLANERA POSTRES EN ACERO INOX. Estado: Bueno Placa anterior: 000017714 Material: ACERO INOXIDABLE Color:  Referencia:  Observacion:  Placa padre: Tipo adquisicion: Entidad</v>
      </c>
      <c r="G11700" s="5"/>
    </row>
    <row r="11701" spans="1:7" ht="58.5" customHeight="1" x14ac:dyDescent="0.25">
      <c r="A11701" s="5" t="str">
        <f>"H0014774"</f>
        <v>H0014774</v>
      </c>
      <c r="B11701" s="5" t="str">
        <f t="shared" si="606"/>
        <v>FLANERA EN ACERO INOXIDABLE</v>
      </c>
      <c r="C11701" s="6">
        <v>1826.28</v>
      </c>
      <c r="D11701" s="5"/>
      <c r="E11701" s="5" t="str">
        <f t="shared" si="605"/>
        <v>NUTRICION-ESPERANZA MONCADA PARADA</v>
      </c>
      <c r="F11701" s="5" t="str">
        <f>"Descripcion: FLANERA POSTRES EN ACERO INOX. Estado: Bueno Placa anterior: 000017715 Material: ACERO INOXIDABLE Color:  Referencia:  Observacion:  Placa padre: Tipo adquisicion: Entidad"</f>
        <v>Descripcion: FLANERA POSTRES EN ACERO INOX. Estado: Bueno Placa anterior: 000017715 Material: ACERO INOXIDABLE Color:  Referencia:  Observacion:  Placa padre: Tipo adquisicion: Entidad</v>
      </c>
      <c r="G11701" s="5"/>
    </row>
    <row r="11702" spans="1:7" ht="58.5" customHeight="1" x14ac:dyDescent="0.25">
      <c r="A11702" s="5" t="str">
        <f>"H0014775"</f>
        <v>H0014775</v>
      </c>
      <c r="B11702" s="5" t="str">
        <f t="shared" si="606"/>
        <v>FLANERA EN ACERO INOXIDABLE</v>
      </c>
      <c r="C11702" s="6">
        <v>1826.28</v>
      </c>
      <c r="D11702" s="5"/>
      <c r="E11702" s="5" t="str">
        <f t="shared" si="605"/>
        <v>NUTRICION-ESPERANZA MONCADA PARADA</v>
      </c>
      <c r="F11702" s="5" t="str">
        <f>"Descripcion: FLANERA POSTRES EN ACERO INOX. Estado: Bueno Placa anterior: 000017716 Material: ACERO INOXIDABLE Color:  Referencia:  Observacion:  Placa padre: Tipo adquisicion: Entidad"</f>
        <v>Descripcion: FLANERA POSTRES EN ACERO INOX. Estado: Bueno Placa anterior: 000017716 Material: ACERO INOXIDABLE Color:  Referencia:  Observacion:  Placa padre: Tipo adquisicion: Entidad</v>
      </c>
      <c r="G11702" s="5"/>
    </row>
    <row r="11703" spans="1:7" ht="58.5" customHeight="1" x14ac:dyDescent="0.25">
      <c r="A11703" s="5" t="str">
        <f>"H0014776"</f>
        <v>H0014776</v>
      </c>
      <c r="B11703" s="5" t="str">
        <f t="shared" si="606"/>
        <v>FLANERA EN ACERO INOXIDABLE</v>
      </c>
      <c r="C11703" s="6">
        <v>1826.28</v>
      </c>
      <c r="D11703" s="5"/>
      <c r="E11703" s="5" t="str">
        <f t="shared" si="605"/>
        <v>NUTRICION-ESPERANZA MONCADA PARADA</v>
      </c>
      <c r="F11703" s="5" t="str">
        <f>"Descripcion: FLANERA POSTRES EN ACERO INOX. Estado: Bueno Placa anterior: 000017717 Material: ACERO INOXIDABLE Color:  Referencia:  Observacion:  Placa padre: Tipo adquisicion: Entidad"</f>
        <v>Descripcion: FLANERA POSTRES EN ACERO INOX. Estado: Bueno Placa anterior: 000017717 Material: ACERO INOXIDABLE Color:  Referencia:  Observacion:  Placa padre: Tipo adquisicion: Entidad</v>
      </c>
      <c r="G11703" s="5"/>
    </row>
    <row r="11704" spans="1:7" ht="58.5" customHeight="1" x14ac:dyDescent="0.25">
      <c r="A11704" s="5" t="str">
        <f>"H0014777"</f>
        <v>H0014777</v>
      </c>
      <c r="B11704" s="5" t="str">
        <f t="shared" si="606"/>
        <v>FLANERA EN ACERO INOXIDABLE</v>
      </c>
      <c r="C11704" s="6">
        <v>1826.28</v>
      </c>
      <c r="D11704" s="5"/>
      <c r="E11704" s="5" t="str">
        <f t="shared" si="605"/>
        <v>NUTRICION-ESPERANZA MONCADA PARADA</v>
      </c>
      <c r="F11704" s="5" t="str">
        <f>"Descripcion: FLANERA POSTRES EN ACERO INOX. Estado: Bueno Placa anterior: 000017718 Material: ACERO INOXIDABLE Color:  Referencia:  Observacion:  Placa padre: Tipo adquisicion: Entidad"</f>
        <v>Descripcion: FLANERA POSTRES EN ACERO INOX. Estado: Bueno Placa anterior: 000017718 Material: ACERO INOXIDABLE Color:  Referencia:  Observacion:  Placa padre: Tipo adquisicion: Entidad</v>
      </c>
      <c r="G11704" s="5"/>
    </row>
    <row r="11705" spans="1:7" ht="58.5" customHeight="1" x14ac:dyDescent="0.25">
      <c r="A11705" s="5" t="str">
        <f>"H0014778"</f>
        <v>H0014778</v>
      </c>
      <c r="B11705" s="5" t="str">
        <f t="shared" si="606"/>
        <v>FLANERA EN ACERO INOXIDABLE</v>
      </c>
      <c r="C11705" s="6">
        <v>1826.28</v>
      </c>
      <c r="D11705" s="5"/>
      <c r="E11705" s="5" t="str">
        <f t="shared" si="605"/>
        <v>NUTRICION-ESPERANZA MONCADA PARADA</v>
      </c>
      <c r="F11705" s="5" t="str">
        <f>"Descripcion: FLANERA POSTRES EN ACERO INOX. Estado: Bueno Placa anterior: 000017719 Material: ACERO INOXIDABLE Color:  Referencia:  Observacion:  Placa padre: Tipo adquisicion: Entidad"</f>
        <v>Descripcion: FLANERA POSTRES EN ACERO INOX. Estado: Bueno Placa anterior: 000017719 Material: ACERO INOXIDABLE Color:  Referencia:  Observacion:  Placa padre: Tipo adquisicion: Entidad</v>
      </c>
      <c r="G11705" s="5"/>
    </row>
    <row r="11706" spans="1:7" ht="58.5" customHeight="1" x14ac:dyDescent="0.25">
      <c r="A11706" s="5" t="str">
        <f>"H0014779"</f>
        <v>H0014779</v>
      </c>
      <c r="B11706" s="5" t="str">
        <f t="shared" si="606"/>
        <v>FLANERA EN ACERO INOXIDABLE</v>
      </c>
      <c r="C11706" s="6">
        <v>1826.28</v>
      </c>
      <c r="D11706" s="5"/>
      <c r="E11706" s="5" t="str">
        <f t="shared" si="605"/>
        <v>NUTRICION-ESPERANZA MONCADA PARADA</v>
      </c>
      <c r="F11706" s="5" t="str">
        <f>"Descripcion: FLANERA POSTRES EN ACERO INOX. Estado: Bueno Placa anterior: 000017720 Material: ACERO INOXIDABLE Color:  Referencia:  Observacion:  Placa padre: Tipo adquisicion: Entidad"</f>
        <v>Descripcion: FLANERA POSTRES EN ACERO INOX. Estado: Bueno Placa anterior: 000017720 Material: ACERO INOXIDABLE Color:  Referencia:  Observacion:  Placa padre: Tipo adquisicion: Entidad</v>
      </c>
      <c r="G11706" s="5"/>
    </row>
    <row r="11707" spans="1:7" ht="58.5" customHeight="1" x14ac:dyDescent="0.25">
      <c r="A11707" s="5" t="str">
        <f>"H0014780"</f>
        <v>H0014780</v>
      </c>
      <c r="B11707" s="5" t="str">
        <f t="shared" si="606"/>
        <v>FLANERA EN ACERO INOXIDABLE</v>
      </c>
      <c r="C11707" s="6">
        <v>1826.28</v>
      </c>
      <c r="D11707" s="5"/>
      <c r="E11707" s="5" t="str">
        <f t="shared" si="605"/>
        <v>NUTRICION-ESPERANZA MONCADA PARADA</v>
      </c>
      <c r="F11707" s="5" t="str">
        <f>"Descripcion: FLANERA POSTRES EN ACERO INOX. Estado: Bueno Placa anterior: 000017721 Material: ACERO INOXIDABLE Color:  Referencia:  Observacion:  Placa padre: Tipo adquisicion: Entidad"</f>
        <v>Descripcion: FLANERA POSTRES EN ACERO INOX. Estado: Bueno Placa anterior: 000017721 Material: ACERO INOXIDABLE Color:  Referencia:  Observacion:  Placa padre: Tipo adquisicion: Entidad</v>
      </c>
      <c r="G11707" s="5"/>
    </row>
    <row r="11708" spans="1:7" ht="58.5" customHeight="1" x14ac:dyDescent="0.25">
      <c r="A11708" s="5" t="str">
        <f>"H0014781"</f>
        <v>H0014781</v>
      </c>
      <c r="B11708" s="5" t="str">
        <f t="shared" si="606"/>
        <v>FLANERA EN ACERO INOXIDABLE</v>
      </c>
      <c r="C11708" s="6">
        <v>1826.28</v>
      </c>
      <c r="D11708" s="5"/>
      <c r="E11708" s="5" t="str">
        <f t="shared" si="605"/>
        <v>NUTRICION-ESPERANZA MONCADA PARADA</v>
      </c>
      <c r="F11708" s="5" t="str">
        <f>"Descripcion: FLANERA POSTRES EN ACERO INOX. Estado: Bueno Placa anterior: 000017722 Material: ACERO INOXIDABLE Color:  Referencia:  Observacion:  Placa padre: Tipo adquisicion: Entidad"</f>
        <v>Descripcion: FLANERA POSTRES EN ACERO INOX. Estado: Bueno Placa anterior: 000017722 Material: ACERO INOXIDABLE Color:  Referencia:  Observacion:  Placa padre: Tipo adquisicion: Entidad</v>
      </c>
      <c r="G11708" s="5"/>
    </row>
    <row r="11709" spans="1:7" ht="58.5" customHeight="1" x14ac:dyDescent="0.25">
      <c r="A11709" s="5" t="str">
        <f>"H0014782"</f>
        <v>H0014782</v>
      </c>
      <c r="B11709" s="5" t="str">
        <f t="shared" si="606"/>
        <v>FLANERA EN ACERO INOXIDABLE</v>
      </c>
      <c r="C11709" s="6">
        <v>1826.28</v>
      </c>
      <c r="D11709" s="5"/>
      <c r="E11709" s="5" t="str">
        <f t="shared" si="605"/>
        <v>NUTRICION-ESPERANZA MONCADA PARADA</v>
      </c>
      <c r="F11709" s="5" t="str">
        <f>"Descripcion: FLANERA POSTRES EN ACERO INOX. Estado: Bueno Placa anterior: 000017723 Material: ACERO INOXIDABLE Color:  Referencia:  Observacion:  Placa padre: Tipo adquisicion: Entidad"</f>
        <v>Descripcion: FLANERA POSTRES EN ACERO INOX. Estado: Bueno Placa anterior: 000017723 Material: ACERO INOXIDABLE Color:  Referencia:  Observacion:  Placa padre: Tipo adquisicion: Entidad</v>
      </c>
      <c r="G11709" s="5"/>
    </row>
    <row r="11710" spans="1:7" ht="58.5" customHeight="1" x14ac:dyDescent="0.25">
      <c r="A11710" s="5" t="str">
        <f>"H0014783"</f>
        <v>H0014783</v>
      </c>
      <c r="B11710" s="5" t="str">
        <f t="shared" si="606"/>
        <v>FLANERA EN ACERO INOXIDABLE</v>
      </c>
      <c r="C11710" s="6">
        <v>1826.28</v>
      </c>
      <c r="D11710" s="5"/>
      <c r="E11710" s="5" t="str">
        <f t="shared" si="605"/>
        <v>NUTRICION-ESPERANZA MONCADA PARADA</v>
      </c>
      <c r="F11710" s="5" t="str">
        <f>"Descripcion: FLANERA POSTRES EN ACERO INOX. Estado: Bueno Placa anterior: 000017724 Material: ACERO INOXIDABLE Color:  Referencia:  Observacion:  Placa padre: Tipo adquisicion: Entidad"</f>
        <v>Descripcion: FLANERA POSTRES EN ACERO INOX. Estado: Bueno Placa anterior: 000017724 Material: ACERO INOXIDABLE Color:  Referencia:  Observacion:  Placa padre: Tipo adquisicion: Entidad</v>
      </c>
      <c r="G11710" s="5"/>
    </row>
    <row r="11711" spans="1:7" ht="58.5" customHeight="1" x14ac:dyDescent="0.25">
      <c r="A11711" s="5" t="str">
        <f>"H0014784"</f>
        <v>H0014784</v>
      </c>
      <c r="B11711" s="5" t="str">
        <f t="shared" si="606"/>
        <v>FLANERA EN ACERO INOXIDABLE</v>
      </c>
      <c r="C11711" s="6">
        <v>1826.28</v>
      </c>
      <c r="D11711" s="5"/>
      <c r="E11711" s="5" t="str">
        <f t="shared" si="605"/>
        <v>NUTRICION-ESPERANZA MONCADA PARADA</v>
      </c>
      <c r="F11711" s="5" t="str">
        <f>"Descripcion: FLANERA POSTRES EN ACERO INOX. Estado: Bueno Placa anterior: 000017725 Material: ACERO INOXIDABLE Color:  Referencia:  Observacion:  Placa padre: Tipo adquisicion: Entidad"</f>
        <v>Descripcion: FLANERA POSTRES EN ACERO INOX. Estado: Bueno Placa anterior: 000017725 Material: ACERO INOXIDABLE Color:  Referencia:  Observacion:  Placa padre: Tipo adquisicion: Entidad</v>
      </c>
      <c r="G11711" s="5"/>
    </row>
    <row r="11712" spans="1:7" ht="58.5" customHeight="1" x14ac:dyDescent="0.25">
      <c r="A11712" s="5" t="str">
        <f>"H0014785"</f>
        <v>H0014785</v>
      </c>
      <c r="B11712" s="5" t="str">
        <f t="shared" si="606"/>
        <v>FLANERA EN ACERO INOXIDABLE</v>
      </c>
      <c r="C11712" s="6">
        <v>1826.28</v>
      </c>
      <c r="D11712" s="5"/>
      <c r="E11712" s="5" t="str">
        <f t="shared" si="605"/>
        <v>NUTRICION-ESPERANZA MONCADA PARADA</v>
      </c>
      <c r="F11712" s="5" t="str">
        <f>"Descripcion: FLANERA POSTRES EN ACERO INOX. Estado: Bueno Placa anterior: 000017726 Material: ACERO INOXIDABLE Color:  Referencia:  Observacion:  Placa padre: Tipo adquisicion: Entidad"</f>
        <v>Descripcion: FLANERA POSTRES EN ACERO INOX. Estado: Bueno Placa anterior: 000017726 Material: ACERO INOXIDABLE Color:  Referencia:  Observacion:  Placa padre: Tipo adquisicion: Entidad</v>
      </c>
      <c r="G11712" s="5"/>
    </row>
    <row r="11713" spans="1:7" ht="58.5" customHeight="1" x14ac:dyDescent="0.25">
      <c r="A11713" s="5" t="str">
        <f>"H0014786"</f>
        <v>H0014786</v>
      </c>
      <c r="B11713" s="5" t="str">
        <f t="shared" si="606"/>
        <v>FLANERA EN ACERO INOXIDABLE</v>
      </c>
      <c r="C11713" s="6">
        <v>1826.28</v>
      </c>
      <c r="D11713" s="5"/>
      <c r="E11713" s="5" t="str">
        <f t="shared" si="605"/>
        <v>NUTRICION-ESPERANZA MONCADA PARADA</v>
      </c>
      <c r="F11713" s="5" t="str">
        <f>"Descripcion: FLANERA POSTRES EN ACERO INOX. Estado: Bueno Placa anterior: 000017727 Material: ACERO INOXIDABLE Color:  Referencia:  Observacion:  Placa padre: Tipo adquisicion: Entidad"</f>
        <v>Descripcion: FLANERA POSTRES EN ACERO INOX. Estado: Bueno Placa anterior: 000017727 Material: ACERO INOXIDABLE Color:  Referencia:  Observacion:  Placa padre: Tipo adquisicion: Entidad</v>
      </c>
      <c r="G11713" s="5"/>
    </row>
    <row r="11714" spans="1:7" ht="58.5" customHeight="1" x14ac:dyDescent="0.25">
      <c r="A11714" s="5" t="str">
        <f>"H0014787"</f>
        <v>H0014787</v>
      </c>
      <c r="B11714" s="5" t="str">
        <f t="shared" si="606"/>
        <v>FLANERA EN ACERO INOXIDABLE</v>
      </c>
      <c r="C11714" s="6">
        <v>1826.28</v>
      </c>
      <c r="D11714" s="5"/>
      <c r="E11714" s="5" t="str">
        <f t="shared" si="605"/>
        <v>NUTRICION-ESPERANZA MONCADA PARADA</v>
      </c>
      <c r="F11714" s="5" t="str">
        <f>"Descripcion: FLANERA POSTRES EN ACERO INOX. Estado: Bueno Placa anterior: 000017728 Material: ACERO INOXIDABLE Color:  Referencia:  Observacion:  Placa padre: Tipo adquisicion: Entidad"</f>
        <v>Descripcion: FLANERA POSTRES EN ACERO INOX. Estado: Bueno Placa anterior: 000017728 Material: ACERO INOXIDABLE Color:  Referencia:  Observacion:  Placa padre: Tipo adquisicion: Entidad</v>
      </c>
      <c r="G11714" s="5"/>
    </row>
    <row r="11715" spans="1:7" ht="58.5" customHeight="1" x14ac:dyDescent="0.25">
      <c r="A11715" s="5" t="str">
        <f>"H0014788"</f>
        <v>H0014788</v>
      </c>
      <c r="B11715" s="5" t="str">
        <f t="shared" si="606"/>
        <v>FLANERA EN ACERO INOXIDABLE</v>
      </c>
      <c r="C11715" s="6">
        <v>1826.28</v>
      </c>
      <c r="D11715" s="5"/>
      <c r="E11715" s="5" t="str">
        <f t="shared" si="605"/>
        <v>NUTRICION-ESPERANZA MONCADA PARADA</v>
      </c>
      <c r="F11715" s="5" t="str">
        <f>"Descripcion: FLANERA POSTRES EN ACERO INOX. Estado: Bueno Placa anterior: 000017729 Material: ACERO INOXIDABLE Color:  Referencia:  Observacion:  Placa padre: Tipo adquisicion: Entidad"</f>
        <v>Descripcion: FLANERA POSTRES EN ACERO INOX. Estado: Bueno Placa anterior: 000017729 Material: ACERO INOXIDABLE Color:  Referencia:  Observacion:  Placa padre: Tipo adquisicion: Entidad</v>
      </c>
      <c r="G11715" s="5"/>
    </row>
    <row r="11716" spans="1:7" ht="58.5" customHeight="1" x14ac:dyDescent="0.25">
      <c r="A11716" s="5" t="str">
        <f>"H0014789"</f>
        <v>H0014789</v>
      </c>
      <c r="B11716" s="5" t="str">
        <f t="shared" si="606"/>
        <v>FLANERA EN ACERO INOXIDABLE</v>
      </c>
      <c r="C11716" s="6">
        <v>1826.28</v>
      </c>
      <c r="D11716" s="5"/>
      <c r="E11716" s="5" t="str">
        <f t="shared" si="605"/>
        <v>NUTRICION-ESPERANZA MONCADA PARADA</v>
      </c>
      <c r="F11716" s="5" t="str">
        <f>"Descripcion: FLANERA POSTRES EN ACERO INOX. Estado: Bueno Placa anterior: 000017730 Material: ACERO INOXIDABLE Color:  Referencia:  Observacion:  Placa padre: Tipo adquisicion: Entidad"</f>
        <v>Descripcion: FLANERA POSTRES EN ACERO INOX. Estado: Bueno Placa anterior: 000017730 Material: ACERO INOXIDABLE Color:  Referencia:  Observacion:  Placa padre: Tipo adquisicion: Entidad</v>
      </c>
      <c r="G11716" s="5"/>
    </row>
    <row r="11717" spans="1:7" ht="58.5" customHeight="1" x14ac:dyDescent="0.25">
      <c r="A11717" s="5" t="str">
        <f>"H0014790"</f>
        <v>H0014790</v>
      </c>
      <c r="B11717" s="5" t="str">
        <f t="shared" si="606"/>
        <v>FLANERA EN ACERO INOXIDABLE</v>
      </c>
      <c r="C11717" s="6">
        <v>1826.28</v>
      </c>
      <c r="D11717" s="5"/>
      <c r="E11717" s="5" t="str">
        <f t="shared" si="605"/>
        <v>NUTRICION-ESPERANZA MONCADA PARADA</v>
      </c>
      <c r="F11717" s="5" t="str">
        <f>"Descripcion: FLANERA POSTRES EN ACERO INOX. Estado: Bueno Placa anterior: 000017731 Material: ACERO INOXIDABLE Color:  Referencia:  Observacion:  Placa padre: Tipo adquisicion: Entidad"</f>
        <v>Descripcion: FLANERA POSTRES EN ACERO INOX. Estado: Bueno Placa anterior: 000017731 Material: ACERO INOXIDABLE Color:  Referencia:  Observacion:  Placa padre: Tipo adquisicion: Entidad</v>
      </c>
      <c r="G11717" s="5"/>
    </row>
    <row r="11718" spans="1:7" ht="58.5" customHeight="1" x14ac:dyDescent="0.25">
      <c r="A11718" s="5" t="str">
        <f>"H0014791"</f>
        <v>H0014791</v>
      </c>
      <c r="B11718" s="5" t="str">
        <f t="shared" si="606"/>
        <v>FLANERA EN ACERO INOXIDABLE</v>
      </c>
      <c r="C11718" s="6">
        <v>1826.28</v>
      </c>
      <c r="D11718" s="5"/>
      <c r="E11718" s="5" t="str">
        <f t="shared" si="605"/>
        <v>NUTRICION-ESPERANZA MONCADA PARADA</v>
      </c>
      <c r="F11718" s="5" t="str">
        <f>"Descripcion: FLANERA POSTRES EN ACERO INOX. Estado: Bueno Placa anterior: 000017732 Material: ACERO INOXIDABLE Color:  Referencia:  Observacion:  Placa padre: Tipo adquisicion: Entidad"</f>
        <v>Descripcion: FLANERA POSTRES EN ACERO INOX. Estado: Bueno Placa anterior: 000017732 Material: ACERO INOXIDABLE Color:  Referencia:  Observacion:  Placa padre: Tipo adquisicion: Entidad</v>
      </c>
      <c r="G11718" s="5"/>
    </row>
    <row r="11719" spans="1:7" ht="58.5" customHeight="1" x14ac:dyDescent="0.25">
      <c r="A11719" s="5" t="str">
        <f>"H0014792"</f>
        <v>H0014792</v>
      </c>
      <c r="B11719" s="5" t="str">
        <f t="shared" si="606"/>
        <v>FLANERA EN ACERO INOXIDABLE</v>
      </c>
      <c r="C11719" s="6">
        <v>1826.28</v>
      </c>
      <c r="D11719" s="5"/>
      <c r="E11719" s="5" t="str">
        <f t="shared" si="605"/>
        <v>NUTRICION-ESPERANZA MONCADA PARADA</v>
      </c>
      <c r="F11719" s="5" t="str">
        <f>"Descripcion: FLANERA POSTRES EN ACERO INOX. Estado: Bueno Placa anterior: 000017733 Material: ACERO INOXIDABLE Color:  Referencia:  Observacion:  Placa padre: Tipo adquisicion: Entidad"</f>
        <v>Descripcion: FLANERA POSTRES EN ACERO INOX. Estado: Bueno Placa anterior: 000017733 Material: ACERO INOXIDABLE Color:  Referencia:  Observacion:  Placa padre: Tipo adquisicion: Entidad</v>
      </c>
      <c r="G11719" s="5"/>
    </row>
    <row r="11720" spans="1:7" ht="58.5" customHeight="1" x14ac:dyDescent="0.25">
      <c r="A11720" s="5" t="str">
        <f>"H0014793"</f>
        <v>H0014793</v>
      </c>
      <c r="B11720" s="5" t="str">
        <f t="shared" si="606"/>
        <v>FLANERA EN ACERO INOXIDABLE</v>
      </c>
      <c r="C11720" s="6">
        <v>1826.28</v>
      </c>
      <c r="D11720" s="5"/>
      <c r="E11720" s="5" t="str">
        <f t="shared" si="605"/>
        <v>NUTRICION-ESPERANZA MONCADA PARADA</v>
      </c>
      <c r="F11720" s="5" t="str">
        <f>"Descripcion: FLANERA POSTRES EN ACERO INOX. Estado: Bueno Placa anterior: 000017734 Material: ACERO INOXIDABLE Color:  Referencia:  Observacion:  Placa padre: Tipo adquisicion: Entidad"</f>
        <v>Descripcion: FLANERA POSTRES EN ACERO INOX. Estado: Bueno Placa anterior: 000017734 Material: ACERO INOXIDABLE Color:  Referencia:  Observacion:  Placa padre: Tipo adquisicion: Entidad</v>
      </c>
      <c r="G11720" s="5"/>
    </row>
    <row r="11721" spans="1:7" ht="58.5" customHeight="1" x14ac:dyDescent="0.25">
      <c r="A11721" s="5" t="str">
        <f>"H0014794"</f>
        <v>H0014794</v>
      </c>
      <c r="B11721" s="5" t="str">
        <f t="shared" si="606"/>
        <v>FLANERA EN ACERO INOXIDABLE</v>
      </c>
      <c r="C11721" s="6">
        <v>1826.28</v>
      </c>
      <c r="D11721" s="5"/>
      <c r="E11721" s="5" t="str">
        <f t="shared" si="605"/>
        <v>NUTRICION-ESPERANZA MONCADA PARADA</v>
      </c>
      <c r="F11721" s="5" t="str">
        <f>"Descripcion: FLANERA POSTRES EN ACERO INOX. Estado: Bueno Placa anterior: 000017735 Material: ACERO INOXIDABLE Color:  Referencia:  Observacion:  Placa padre: Tipo adquisicion: Entidad"</f>
        <v>Descripcion: FLANERA POSTRES EN ACERO INOX. Estado: Bueno Placa anterior: 000017735 Material: ACERO INOXIDABLE Color:  Referencia:  Observacion:  Placa padre: Tipo adquisicion: Entidad</v>
      </c>
      <c r="G11721" s="5"/>
    </row>
    <row r="11722" spans="1:7" ht="58.5" customHeight="1" x14ac:dyDescent="0.25">
      <c r="A11722" s="5" t="str">
        <f>"H0014795"</f>
        <v>H0014795</v>
      </c>
      <c r="B11722" s="5" t="str">
        <f t="shared" si="606"/>
        <v>FLANERA EN ACERO INOXIDABLE</v>
      </c>
      <c r="C11722" s="6">
        <v>1826.28</v>
      </c>
      <c r="D11722" s="5"/>
      <c r="E11722" s="5" t="str">
        <f t="shared" si="605"/>
        <v>NUTRICION-ESPERANZA MONCADA PARADA</v>
      </c>
      <c r="F11722" s="5" t="str">
        <f>"Descripcion: FLANERA POSTRES EN ACERO INOX. Estado: Bueno Placa anterior: 000017736 Material: ACERO INOXIDABLE Color:  Referencia:  Observacion:  Placa padre: Tipo adquisicion: Entidad"</f>
        <v>Descripcion: FLANERA POSTRES EN ACERO INOX. Estado: Bueno Placa anterior: 000017736 Material: ACERO INOXIDABLE Color:  Referencia:  Observacion:  Placa padre: Tipo adquisicion: Entidad</v>
      </c>
      <c r="G11722" s="5"/>
    </row>
    <row r="11723" spans="1:7" ht="58.5" customHeight="1" x14ac:dyDescent="0.25">
      <c r="A11723" s="5" t="str">
        <f>"H0014796"</f>
        <v>H0014796</v>
      </c>
      <c r="B11723" s="5" t="str">
        <f t="shared" si="606"/>
        <v>FLANERA EN ACERO INOXIDABLE</v>
      </c>
      <c r="C11723" s="6">
        <v>1826.28</v>
      </c>
      <c r="D11723" s="5"/>
      <c r="E11723" s="5" t="str">
        <f t="shared" si="605"/>
        <v>NUTRICION-ESPERANZA MONCADA PARADA</v>
      </c>
      <c r="F11723" s="5" t="str">
        <f>"Descripcion: FLANERA POSTRES EN ACERO INOX. Estado: Bueno Placa anterior: 000017737 Material: ACERO INOXIDABLE Color:  Referencia:  Observacion:  Placa padre: Tipo adquisicion: Entidad"</f>
        <v>Descripcion: FLANERA POSTRES EN ACERO INOX. Estado: Bueno Placa anterior: 000017737 Material: ACERO INOXIDABLE Color:  Referencia:  Observacion:  Placa padre: Tipo adquisicion: Entidad</v>
      </c>
      <c r="G11723" s="5"/>
    </row>
    <row r="11724" spans="1:7" ht="58.5" customHeight="1" x14ac:dyDescent="0.25">
      <c r="A11724" s="5" t="str">
        <f>"H0014797"</f>
        <v>H0014797</v>
      </c>
      <c r="B11724" s="5" t="str">
        <f t="shared" ref="B11724:B11755" si="607">"FLANERA EN ACERO INOXIDABLE"</f>
        <v>FLANERA EN ACERO INOXIDABLE</v>
      </c>
      <c r="C11724" s="6">
        <v>1826.28</v>
      </c>
      <c r="D11724" s="5"/>
      <c r="E11724" s="5" t="str">
        <f t="shared" si="605"/>
        <v>NUTRICION-ESPERANZA MONCADA PARADA</v>
      </c>
      <c r="F11724" s="5" t="str">
        <f>"Descripcion: FLANERA POSTRES EN ACERO INOX. Estado: Bueno Placa anterior: 000017738 Material: ACERO INOXIDABLE Color:  Referencia:  Observacion:  Placa padre: Tipo adquisicion: Entidad"</f>
        <v>Descripcion: FLANERA POSTRES EN ACERO INOX. Estado: Bueno Placa anterior: 000017738 Material: ACERO INOXIDABLE Color:  Referencia:  Observacion:  Placa padre: Tipo adquisicion: Entidad</v>
      </c>
      <c r="G11724" s="5"/>
    </row>
    <row r="11725" spans="1:7" ht="58.5" customHeight="1" x14ac:dyDescent="0.25">
      <c r="A11725" s="5" t="str">
        <f>"H0014798"</f>
        <v>H0014798</v>
      </c>
      <c r="B11725" s="5" t="str">
        <f t="shared" si="607"/>
        <v>FLANERA EN ACERO INOXIDABLE</v>
      </c>
      <c r="C11725" s="6">
        <v>1826.28</v>
      </c>
      <c r="D11725" s="5"/>
      <c r="E11725" s="5" t="str">
        <f t="shared" si="605"/>
        <v>NUTRICION-ESPERANZA MONCADA PARADA</v>
      </c>
      <c r="F11725" s="5" t="str">
        <f>"Descripcion: FLANERA POSTRES EN ACERO INOX. Estado: Bueno Placa anterior: 000017739 Material: ACERO INOXIDABLE Color:  Referencia:  Observacion:  Placa padre: Tipo adquisicion: Entidad"</f>
        <v>Descripcion: FLANERA POSTRES EN ACERO INOX. Estado: Bueno Placa anterior: 000017739 Material: ACERO INOXIDABLE Color:  Referencia:  Observacion:  Placa padre: Tipo adquisicion: Entidad</v>
      </c>
      <c r="G11725" s="5"/>
    </row>
    <row r="11726" spans="1:7" ht="58.5" customHeight="1" x14ac:dyDescent="0.25">
      <c r="A11726" s="5" t="str">
        <f>"H0014799"</f>
        <v>H0014799</v>
      </c>
      <c r="B11726" s="5" t="str">
        <f t="shared" si="607"/>
        <v>FLANERA EN ACERO INOXIDABLE</v>
      </c>
      <c r="C11726" s="6">
        <v>1826.28</v>
      </c>
      <c r="D11726" s="5"/>
      <c r="E11726" s="5" t="str">
        <f t="shared" si="605"/>
        <v>NUTRICION-ESPERANZA MONCADA PARADA</v>
      </c>
      <c r="F11726" s="5" t="str">
        <f>"Descripcion: FLANERA POSTRES EN ACERO INOX. Estado: Bueno Placa anterior: 000017740 Material: ACERO INOXIDABLE Color:  Referencia:  Observacion:  Placa padre: Tipo adquisicion: Entidad"</f>
        <v>Descripcion: FLANERA POSTRES EN ACERO INOX. Estado: Bueno Placa anterior: 000017740 Material: ACERO INOXIDABLE Color:  Referencia:  Observacion:  Placa padre: Tipo adquisicion: Entidad</v>
      </c>
      <c r="G11726" s="5"/>
    </row>
    <row r="11727" spans="1:7" ht="58.5" customHeight="1" x14ac:dyDescent="0.25">
      <c r="A11727" s="5" t="str">
        <f>"H0014800"</f>
        <v>H0014800</v>
      </c>
      <c r="B11727" s="5" t="str">
        <f t="shared" si="607"/>
        <v>FLANERA EN ACERO INOXIDABLE</v>
      </c>
      <c r="C11727" s="6">
        <v>1826.28</v>
      </c>
      <c r="D11727" s="5"/>
      <c r="E11727" s="5" t="str">
        <f t="shared" si="605"/>
        <v>NUTRICION-ESPERANZA MONCADA PARADA</v>
      </c>
      <c r="F11727" s="5" t="str">
        <f>"Descripcion: FLANERA POSTRES EN ACERO INOX. Estado: Bueno Placa anterior: 000017741 Material: ACERO INOXIDABLE Color:  Referencia:  Observacion:  Placa padre: Tipo adquisicion: Entidad"</f>
        <v>Descripcion: FLANERA POSTRES EN ACERO INOX. Estado: Bueno Placa anterior: 000017741 Material: ACERO INOXIDABLE Color:  Referencia:  Observacion:  Placa padre: Tipo adquisicion: Entidad</v>
      </c>
      <c r="G11727" s="5"/>
    </row>
    <row r="11728" spans="1:7" ht="58.5" customHeight="1" x14ac:dyDescent="0.25">
      <c r="A11728" s="5" t="str">
        <f>"H0014801"</f>
        <v>H0014801</v>
      </c>
      <c r="B11728" s="5" t="str">
        <f t="shared" si="607"/>
        <v>FLANERA EN ACERO INOXIDABLE</v>
      </c>
      <c r="C11728" s="6">
        <v>1826.28</v>
      </c>
      <c r="D11728" s="5"/>
      <c r="E11728" s="5" t="str">
        <f t="shared" si="605"/>
        <v>NUTRICION-ESPERANZA MONCADA PARADA</v>
      </c>
      <c r="F11728" s="5" t="str">
        <f>"Descripcion: FLANERA POSTRES EN ACERO INOX. Estado: Bueno Placa anterior: 000017742 Material: ACERO INOXIDABLE Color:  Referencia:  Observacion:  Placa padre: Tipo adquisicion: Entidad"</f>
        <v>Descripcion: FLANERA POSTRES EN ACERO INOX. Estado: Bueno Placa anterior: 000017742 Material: ACERO INOXIDABLE Color:  Referencia:  Observacion:  Placa padre: Tipo adquisicion: Entidad</v>
      </c>
      <c r="G11728" s="5"/>
    </row>
    <row r="11729" spans="1:7" ht="58.5" customHeight="1" x14ac:dyDescent="0.25">
      <c r="A11729" s="5" t="str">
        <f>"H0014802"</f>
        <v>H0014802</v>
      </c>
      <c r="B11729" s="5" t="str">
        <f t="shared" si="607"/>
        <v>FLANERA EN ACERO INOXIDABLE</v>
      </c>
      <c r="C11729" s="6">
        <v>1826.28</v>
      </c>
      <c r="D11729" s="5"/>
      <c r="E11729" s="5" t="str">
        <f t="shared" si="605"/>
        <v>NUTRICION-ESPERANZA MONCADA PARADA</v>
      </c>
      <c r="F11729" s="5" t="str">
        <f>"Descripcion: FLANERA POSTRES EN ACERO INOX. Estado: Bueno Placa anterior: 000017743 Material: ACERO INOXIDABLE Color:  Referencia:  Observacion:  Placa padre: Tipo adquisicion: Entidad"</f>
        <v>Descripcion: FLANERA POSTRES EN ACERO INOX. Estado: Bueno Placa anterior: 000017743 Material: ACERO INOXIDABLE Color:  Referencia:  Observacion:  Placa padre: Tipo adquisicion: Entidad</v>
      </c>
      <c r="G11729" s="5"/>
    </row>
    <row r="11730" spans="1:7" ht="58.5" customHeight="1" x14ac:dyDescent="0.25">
      <c r="A11730" s="5" t="str">
        <f>"H0014803"</f>
        <v>H0014803</v>
      </c>
      <c r="B11730" s="5" t="str">
        <f t="shared" si="607"/>
        <v>FLANERA EN ACERO INOXIDABLE</v>
      </c>
      <c r="C11730" s="6">
        <v>1826.28</v>
      </c>
      <c r="D11730" s="5"/>
      <c r="E11730" s="5" t="str">
        <f t="shared" si="605"/>
        <v>NUTRICION-ESPERANZA MONCADA PARADA</v>
      </c>
      <c r="F11730" s="5" t="str">
        <f>"Descripcion: FLANERA POSTRES EN ACERO INOX. Estado: Bueno Placa anterior: 000017744 Material: ACERO INOXIDABLE Color:  Referencia:  Observacion:  Placa padre: Tipo adquisicion: Entidad"</f>
        <v>Descripcion: FLANERA POSTRES EN ACERO INOX. Estado: Bueno Placa anterior: 000017744 Material: ACERO INOXIDABLE Color:  Referencia:  Observacion:  Placa padre: Tipo adquisicion: Entidad</v>
      </c>
      <c r="G11730" s="5"/>
    </row>
    <row r="11731" spans="1:7" ht="58.5" customHeight="1" x14ac:dyDescent="0.25">
      <c r="A11731" s="5" t="str">
        <f>"H0014804"</f>
        <v>H0014804</v>
      </c>
      <c r="B11731" s="5" t="str">
        <f t="shared" si="607"/>
        <v>FLANERA EN ACERO INOXIDABLE</v>
      </c>
      <c r="C11731" s="6">
        <v>1826.28</v>
      </c>
      <c r="D11731" s="5"/>
      <c r="E11731" s="5" t="str">
        <f t="shared" si="605"/>
        <v>NUTRICION-ESPERANZA MONCADA PARADA</v>
      </c>
      <c r="F11731" s="5" t="str">
        <f>"Descripcion: FLANERA POSTRES EN ACERO INOX. Estado: Bueno Placa anterior: 000017745 Material: ACERO INOXIDABLE Color:  Referencia:  Observacion:  Placa padre: Tipo adquisicion: Entidad"</f>
        <v>Descripcion: FLANERA POSTRES EN ACERO INOX. Estado: Bueno Placa anterior: 000017745 Material: ACERO INOXIDABLE Color:  Referencia:  Observacion:  Placa padre: Tipo adquisicion: Entidad</v>
      </c>
      <c r="G11731" s="5"/>
    </row>
    <row r="11732" spans="1:7" ht="58.5" customHeight="1" x14ac:dyDescent="0.25">
      <c r="A11732" s="5" t="str">
        <f>"H0014805"</f>
        <v>H0014805</v>
      </c>
      <c r="B11732" s="5" t="str">
        <f t="shared" si="607"/>
        <v>FLANERA EN ACERO INOXIDABLE</v>
      </c>
      <c r="C11732" s="6">
        <v>1826.28</v>
      </c>
      <c r="D11732" s="5"/>
      <c r="E11732" s="5" t="str">
        <f t="shared" si="605"/>
        <v>NUTRICION-ESPERANZA MONCADA PARADA</v>
      </c>
      <c r="F11732" s="5" t="str">
        <f>"Descripcion: FLANERA POSTRES EN ACERO INOX. Estado: Bueno Placa anterior: 000017746 Material: ACERO INOXIDABLE Color:  Referencia:  Observacion:  Placa padre: Tipo adquisicion: Entidad"</f>
        <v>Descripcion: FLANERA POSTRES EN ACERO INOX. Estado: Bueno Placa anterior: 000017746 Material: ACERO INOXIDABLE Color:  Referencia:  Observacion:  Placa padre: Tipo adquisicion: Entidad</v>
      </c>
      <c r="G11732" s="5"/>
    </row>
    <row r="11733" spans="1:7" ht="58.5" customHeight="1" x14ac:dyDescent="0.25">
      <c r="A11733" s="5" t="str">
        <f>"H0014806"</f>
        <v>H0014806</v>
      </c>
      <c r="B11733" s="5" t="str">
        <f t="shared" si="607"/>
        <v>FLANERA EN ACERO INOXIDABLE</v>
      </c>
      <c r="C11733" s="6">
        <v>1826.28</v>
      </c>
      <c r="D11733" s="5"/>
      <c r="E11733" s="5" t="str">
        <f t="shared" si="605"/>
        <v>NUTRICION-ESPERANZA MONCADA PARADA</v>
      </c>
      <c r="F11733" s="5" t="str">
        <f>"Descripcion: FLANERA POSTRES EN ACERO INOX. Estado: Bueno Placa anterior: 000017747 Material: ACERO INOXIDABLE Color:  Referencia:  Observacion:  Placa padre: Tipo adquisicion: Entidad"</f>
        <v>Descripcion: FLANERA POSTRES EN ACERO INOX. Estado: Bueno Placa anterior: 000017747 Material: ACERO INOXIDABLE Color:  Referencia:  Observacion:  Placa padre: Tipo adquisicion: Entidad</v>
      </c>
      <c r="G11733" s="5"/>
    </row>
    <row r="11734" spans="1:7" ht="58.5" customHeight="1" x14ac:dyDescent="0.25">
      <c r="A11734" s="5" t="str">
        <f>"H0014807"</f>
        <v>H0014807</v>
      </c>
      <c r="B11734" s="5" t="str">
        <f t="shared" si="607"/>
        <v>FLANERA EN ACERO INOXIDABLE</v>
      </c>
      <c r="C11734" s="6">
        <v>1826.28</v>
      </c>
      <c r="D11734" s="5"/>
      <c r="E11734" s="5" t="str">
        <f t="shared" si="605"/>
        <v>NUTRICION-ESPERANZA MONCADA PARADA</v>
      </c>
      <c r="F11734" s="5" t="str">
        <f>"Descripcion: FLANERA POSTRES EN ACERO INOX. Estado: Bueno Placa anterior: 000017748 Material: ACERO INOXIDABLE Color:  Referencia:  Observacion:  Placa padre: Tipo adquisicion: Entidad"</f>
        <v>Descripcion: FLANERA POSTRES EN ACERO INOX. Estado: Bueno Placa anterior: 000017748 Material: ACERO INOXIDABLE Color:  Referencia:  Observacion:  Placa padre: Tipo adquisicion: Entidad</v>
      </c>
      <c r="G11734" s="5"/>
    </row>
    <row r="11735" spans="1:7" ht="58.5" customHeight="1" x14ac:dyDescent="0.25">
      <c r="A11735" s="5" t="str">
        <f>"H0014808"</f>
        <v>H0014808</v>
      </c>
      <c r="B11735" s="5" t="str">
        <f t="shared" si="607"/>
        <v>FLANERA EN ACERO INOXIDABLE</v>
      </c>
      <c r="C11735" s="6">
        <v>1826.28</v>
      </c>
      <c r="D11735" s="5"/>
      <c r="E11735" s="5" t="str">
        <f t="shared" si="605"/>
        <v>NUTRICION-ESPERANZA MONCADA PARADA</v>
      </c>
      <c r="F11735" s="5" t="str">
        <f>"Descripcion: FLANERA POSTRES EN ACERO INOX. Estado: Bueno Placa anterior: 000017749 Material: ACERO INOXIDABLE Color:  Referencia:  Observacion:  Placa padre: Tipo adquisicion: Entidad"</f>
        <v>Descripcion: FLANERA POSTRES EN ACERO INOX. Estado: Bueno Placa anterior: 000017749 Material: ACERO INOXIDABLE Color:  Referencia:  Observacion:  Placa padre: Tipo adquisicion: Entidad</v>
      </c>
      <c r="G11735" s="5"/>
    </row>
    <row r="11736" spans="1:7" ht="58.5" customHeight="1" x14ac:dyDescent="0.25">
      <c r="A11736" s="5" t="str">
        <f>"H0014809"</f>
        <v>H0014809</v>
      </c>
      <c r="B11736" s="5" t="str">
        <f t="shared" si="607"/>
        <v>FLANERA EN ACERO INOXIDABLE</v>
      </c>
      <c r="C11736" s="6">
        <v>1826.28</v>
      </c>
      <c r="D11736" s="5"/>
      <c r="E11736" s="5" t="str">
        <f t="shared" si="605"/>
        <v>NUTRICION-ESPERANZA MONCADA PARADA</v>
      </c>
      <c r="F11736" s="5" t="str">
        <f>"Descripcion: FLANERA POSTRES EN ACERO INOX. Estado: Bueno Placa anterior: 000017750 Material: ACERO INOXIDABLE Color:  Referencia:  Observacion:  Placa padre: Tipo adquisicion: Entidad"</f>
        <v>Descripcion: FLANERA POSTRES EN ACERO INOX. Estado: Bueno Placa anterior: 000017750 Material: ACERO INOXIDABLE Color:  Referencia:  Observacion:  Placa padre: Tipo adquisicion: Entidad</v>
      </c>
      <c r="G11736" s="5"/>
    </row>
    <row r="11737" spans="1:7" ht="58.5" customHeight="1" x14ac:dyDescent="0.25">
      <c r="A11737" s="5" t="str">
        <f>"H0014810"</f>
        <v>H0014810</v>
      </c>
      <c r="B11737" s="5" t="str">
        <f t="shared" si="607"/>
        <v>FLANERA EN ACERO INOXIDABLE</v>
      </c>
      <c r="C11737" s="6">
        <v>1826.28</v>
      </c>
      <c r="D11737" s="5"/>
      <c r="E11737" s="5" t="str">
        <f t="shared" si="605"/>
        <v>NUTRICION-ESPERANZA MONCADA PARADA</v>
      </c>
      <c r="F11737" s="5" t="str">
        <f>"Descripcion: FLANERA POSTRES EN ACERO INOX. Estado: Bueno Placa anterior: 000017751 Material: ACERO INOXIDABLE Color:  Referencia:  Observacion:  Placa padre: Tipo adquisicion: Entidad"</f>
        <v>Descripcion: FLANERA POSTRES EN ACERO INOX. Estado: Bueno Placa anterior: 000017751 Material: ACERO INOXIDABLE Color:  Referencia:  Observacion:  Placa padre: Tipo adquisicion: Entidad</v>
      </c>
      <c r="G11737" s="5"/>
    </row>
    <row r="11738" spans="1:7" ht="58.5" customHeight="1" x14ac:dyDescent="0.25">
      <c r="A11738" s="5" t="str">
        <f>"H0014811"</f>
        <v>H0014811</v>
      </c>
      <c r="B11738" s="5" t="str">
        <f t="shared" si="607"/>
        <v>FLANERA EN ACERO INOXIDABLE</v>
      </c>
      <c r="C11738" s="6">
        <v>1826.28</v>
      </c>
      <c r="D11738" s="5"/>
      <c r="E11738" s="5" t="str">
        <f t="shared" si="605"/>
        <v>NUTRICION-ESPERANZA MONCADA PARADA</v>
      </c>
      <c r="F11738" s="5" t="str">
        <f>"Descripcion: FLANERA POSTRES EN ACERO INOX. Estado: Bueno Placa anterior: 000017752 Material: ACERO INOXIDABLE Color:  Referencia:  Observacion:  Placa padre: Tipo adquisicion: Entidad"</f>
        <v>Descripcion: FLANERA POSTRES EN ACERO INOX. Estado: Bueno Placa anterior: 000017752 Material: ACERO INOXIDABLE Color:  Referencia:  Observacion:  Placa padre: Tipo adquisicion: Entidad</v>
      </c>
      <c r="G11738" s="5"/>
    </row>
    <row r="11739" spans="1:7" ht="58.5" customHeight="1" x14ac:dyDescent="0.25">
      <c r="A11739" s="5" t="str">
        <f>"H0014812"</f>
        <v>H0014812</v>
      </c>
      <c r="B11739" s="5" t="str">
        <f t="shared" si="607"/>
        <v>FLANERA EN ACERO INOXIDABLE</v>
      </c>
      <c r="C11739" s="6">
        <v>1826.28</v>
      </c>
      <c r="D11739" s="5"/>
      <c r="E11739" s="5" t="str">
        <f t="shared" si="605"/>
        <v>NUTRICION-ESPERANZA MONCADA PARADA</v>
      </c>
      <c r="F11739" s="5" t="str">
        <f>"Descripcion: FLANERA POSTRES EN ACERO INOX. Estado: Bueno Placa anterior: 000017753 Material: ACERO INOXIDABLE Color:  Referencia:  Observacion:  Placa padre: Tipo adquisicion: Entidad"</f>
        <v>Descripcion: FLANERA POSTRES EN ACERO INOX. Estado: Bueno Placa anterior: 000017753 Material: ACERO INOXIDABLE Color:  Referencia:  Observacion:  Placa padre: Tipo adquisicion: Entidad</v>
      </c>
      <c r="G11739" s="5"/>
    </row>
    <row r="11740" spans="1:7" ht="58.5" customHeight="1" x14ac:dyDescent="0.25">
      <c r="A11740" s="5" t="str">
        <f>"H0014813"</f>
        <v>H0014813</v>
      </c>
      <c r="B11740" s="5" t="str">
        <f t="shared" si="607"/>
        <v>FLANERA EN ACERO INOXIDABLE</v>
      </c>
      <c r="C11740" s="6">
        <v>1826.28</v>
      </c>
      <c r="D11740" s="5"/>
      <c r="E11740" s="5" t="str">
        <f t="shared" si="605"/>
        <v>NUTRICION-ESPERANZA MONCADA PARADA</v>
      </c>
      <c r="F11740" s="5" t="str">
        <f>"Descripcion: FLANERA POSTRES EN ACERO INOX. Estado: Bueno Placa anterior: 000017754 Material: ACERO INOXIDABLE Color:  Referencia:  Observacion:  Placa padre: Tipo adquisicion: Entidad"</f>
        <v>Descripcion: FLANERA POSTRES EN ACERO INOX. Estado: Bueno Placa anterior: 000017754 Material: ACERO INOXIDABLE Color:  Referencia:  Observacion:  Placa padre: Tipo adquisicion: Entidad</v>
      </c>
      <c r="G11740" s="5"/>
    </row>
    <row r="11741" spans="1:7" ht="58.5" customHeight="1" x14ac:dyDescent="0.25">
      <c r="A11741" s="5" t="str">
        <f>"H0014814"</f>
        <v>H0014814</v>
      </c>
      <c r="B11741" s="5" t="str">
        <f t="shared" si="607"/>
        <v>FLANERA EN ACERO INOXIDABLE</v>
      </c>
      <c r="C11741" s="6">
        <v>1826.28</v>
      </c>
      <c r="D11741" s="5"/>
      <c r="E11741" s="5" t="str">
        <f t="shared" si="605"/>
        <v>NUTRICION-ESPERANZA MONCADA PARADA</v>
      </c>
      <c r="F11741" s="5" t="str">
        <f>"Descripcion: FLANERA POSTRES EN ACERO INOX. Estado: Bueno Placa anterior: 000017755 Material: ACERO INOXIDABLE Color:  Referencia:  Observacion:  Placa padre: Tipo adquisicion: Entidad"</f>
        <v>Descripcion: FLANERA POSTRES EN ACERO INOX. Estado: Bueno Placa anterior: 000017755 Material: ACERO INOXIDABLE Color:  Referencia:  Observacion:  Placa padre: Tipo adquisicion: Entidad</v>
      </c>
      <c r="G11741" s="5"/>
    </row>
    <row r="11742" spans="1:7" ht="58.5" customHeight="1" x14ac:dyDescent="0.25">
      <c r="A11742" s="5" t="str">
        <f>"H0014815"</f>
        <v>H0014815</v>
      </c>
      <c r="B11742" s="5" t="str">
        <f t="shared" si="607"/>
        <v>FLANERA EN ACERO INOXIDABLE</v>
      </c>
      <c r="C11742" s="6">
        <v>1826.28</v>
      </c>
      <c r="D11742" s="5"/>
      <c r="E11742" s="5" t="str">
        <f t="shared" si="605"/>
        <v>NUTRICION-ESPERANZA MONCADA PARADA</v>
      </c>
      <c r="F11742" s="5" t="str">
        <f>"Descripcion: FLANERA POSTRES EN ACERO INOX. Estado: Bueno Placa anterior: 000017756 Material: ACERO INOXIDABLE Color:  Referencia:  Observacion:  Placa padre: Tipo adquisicion: Entidad"</f>
        <v>Descripcion: FLANERA POSTRES EN ACERO INOX. Estado: Bueno Placa anterior: 000017756 Material: ACERO INOXIDABLE Color:  Referencia:  Observacion:  Placa padre: Tipo adquisicion: Entidad</v>
      </c>
      <c r="G11742" s="5"/>
    </row>
    <row r="11743" spans="1:7" ht="58.5" customHeight="1" x14ac:dyDescent="0.25">
      <c r="A11743" s="5" t="str">
        <f>"H0014816"</f>
        <v>H0014816</v>
      </c>
      <c r="B11743" s="5" t="str">
        <f t="shared" si="607"/>
        <v>FLANERA EN ACERO INOXIDABLE</v>
      </c>
      <c r="C11743" s="6">
        <v>1826.28</v>
      </c>
      <c r="D11743" s="5"/>
      <c r="E11743" s="5" t="str">
        <f t="shared" si="605"/>
        <v>NUTRICION-ESPERANZA MONCADA PARADA</v>
      </c>
      <c r="F11743" s="5" t="str">
        <f>"Descripcion: FLANERA POSTRES EN ACERO INOX. Estado: Bueno Placa anterior: 000017757 Material: ACERO INOXIDABLE Color:  Referencia:  Observacion:  Placa padre: Tipo adquisicion: Entidad"</f>
        <v>Descripcion: FLANERA POSTRES EN ACERO INOX. Estado: Bueno Placa anterior: 000017757 Material: ACERO INOXIDABLE Color:  Referencia:  Observacion:  Placa padre: Tipo adquisicion: Entidad</v>
      </c>
      <c r="G11743" s="5"/>
    </row>
    <row r="11744" spans="1:7" ht="58.5" customHeight="1" x14ac:dyDescent="0.25">
      <c r="A11744" s="5" t="str">
        <f>"H0014817"</f>
        <v>H0014817</v>
      </c>
      <c r="B11744" s="5" t="str">
        <f t="shared" si="607"/>
        <v>FLANERA EN ACERO INOXIDABLE</v>
      </c>
      <c r="C11744" s="6">
        <v>1826.28</v>
      </c>
      <c r="D11744" s="5"/>
      <c r="E11744" s="5" t="str">
        <f t="shared" si="605"/>
        <v>NUTRICION-ESPERANZA MONCADA PARADA</v>
      </c>
      <c r="F11744" s="5" t="str">
        <f>"Descripcion: FLANERA POSTRES EN ACERO INOX. Estado: Bueno Placa anterior: 000017758 Material: ACERO INOXIDABLE Color:  Referencia:  Observacion:  Placa padre: Tipo adquisicion: Entidad"</f>
        <v>Descripcion: FLANERA POSTRES EN ACERO INOX. Estado: Bueno Placa anterior: 000017758 Material: ACERO INOXIDABLE Color:  Referencia:  Observacion:  Placa padre: Tipo adquisicion: Entidad</v>
      </c>
      <c r="G11744" s="5"/>
    </row>
    <row r="11745" spans="1:7" ht="58.5" customHeight="1" x14ac:dyDescent="0.25">
      <c r="A11745" s="5" t="str">
        <f>"H0014818"</f>
        <v>H0014818</v>
      </c>
      <c r="B11745" s="5" t="str">
        <f t="shared" si="607"/>
        <v>FLANERA EN ACERO INOXIDABLE</v>
      </c>
      <c r="C11745" s="6">
        <v>1826.28</v>
      </c>
      <c r="D11745" s="5"/>
      <c r="E11745" s="5" t="str">
        <f t="shared" si="605"/>
        <v>NUTRICION-ESPERANZA MONCADA PARADA</v>
      </c>
      <c r="F11745" s="5" t="str">
        <f>"Descripcion: FLANERA POSTRES EN ACERO INOX. Estado: Bueno Placa anterior: 000017759 Material: ACERO INOXIDABLE Color:  Referencia:  Observacion:  Placa padre: Tipo adquisicion: Entidad"</f>
        <v>Descripcion: FLANERA POSTRES EN ACERO INOX. Estado: Bueno Placa anterior: 000017759 Material: ACERO INOXIDABLE Color:  Referencia:  Observacion:  Placa padre: Tipo adquisicion: Entidad</v>
      </c>
      <c r="G11745" s="5"/>
    </row>
    <row r="11746" spans="1:7" ht="58.5" customHeight="1" x14ac:dyDescent="0.25">
      <c r="A11746" s="5" t="str">
        <f>"H0014819"</f>
        <v>H0014819</v>
      </c>
      <c r="B11746" s="5" t="str">
        <f t="shared" si="607"/>
        <v>FLANERA EN ACERO INOXIDABLE</v>
      </c>
      <c r="C11746" s="6">
        <v>1826.28</v>
      </c>
      <c r="D11746" s="5"/>
      <c r="E11746" s="5" t="str">
        <f t="shared" si="605"/>
        <v>NUTRICION-ESPERANZA MONCADA PARADA</v>
      </c>
      <c r="F11746" s="5" t="str">
        <f>"Descripcion: FLANERA POSTRES EN ACERO INOX. Estado: Bueno Placa anterior: 000017760 Material: ACERO INOXIDABLE Color:  Referencia:  Observacion:  Placa padre: Tipo adquisicion: Entidad"</f>
        <v>Descripcion: FLANERA POSTRES EN ACERO INOX. Estado: Bueno Placa anterior: 000017760 Material: ACERO INOXIDABLE Color:  Referencia:  Observacion:  Placa padre: Tipo adquisicion: Entidad</v>
      </c>
      <c r="G11746" s="5"/>
    </row>
    <row r="11747" spans="1:7" ht="58.5" customHeight="1" x14ac:dyDescent="0.25">
      <c r="A11747" s="5" t="str">
        <f>"H0014820"</f>
        <v>H0014820</v>
      </c>
      <c r="B11747" s="5" t="str">
        <f t="shared" si="607"/>
        <v>FLANERA EN ACERO INOXIDABLE</v>
      </c>
      <c r="C11747" s="6">
        <v>1826.28</v>
      </c>
      <c r="D11747" s="5"/>
      <c r="E11747" s="5" t="str">
        <f t="shared" si="605"/>
        <v>NUTRICION-ESPERANZA MONCADA PARADA</v>
      </c>
      <c r="F11747" s="5" t="str">
        <f>"Descripcion: FLANERA POSTRES EN ACERO INOX. Estado: Bueno Placa anterior: 000017761 Material: ACERO INOXIDABLE Color:  Referencia:  Observacion:  Placa padre: Tipo adquisicion: Entidad"</f>
        <v>Descripcion: FLANERA POSTRES EN ACERO INOX. Estado: Bueno Placa anterior: 000017761 Material: ACERO INOXIDABLE Color:  Referencia:  Observacion:  Placa padre: Tipo adquisicion: Entidad</v>
      </c>
      <c r="G11747" s="5"/>
    </row>
    <row r="11748" spans="1:7" ht="58.5" customHeight="1" x14ac:dyDescent="0.25">
      <c r="A11748" s="5" t="str">
        <f>"H0014821"</f>
        <v>H0014821</v>
      </c>
      <c r="B11748" s="5" t="str">
        <f t="shared" si="607"/>
        <v>FLANERA EN ACERO INOXIDABLE</v>
      </c>
      <c r="C11748" s="6">
        <v>1826.28</v>
      </c>
      <c r="D11748" s="5"/>
      <c r="E11748" s="5" t="str">
        <f t="shared" si="605"/>
        <v>NUTRICION-ESPERANZA MONCADA PARADA</v>
      </c>
      <c r="F11748" s="5" t="str">
        <f>"Descripcion: FLANERA POSTRES EN ACERO INOX. Estado: Bueno Placa anterior: 000017762 Material: ACERO INOXIDABLE Color:  Referencia:  Observacion:  Placa padre: Tipo adquisicion: Entidad"</f>
        <v>Descripcion: FLANERA POSTRES EN ACERO INOX. Estado: Bueno Placa anterior: 000017762 Material: ACERO INOXIDABLE Color:  Referencia:  Observacion:  Placa padre: Tipo adquisicion: Entidad</v>
      </c>
      <c r="G11748" s="5"/>
    </row>
    <row r="11749" spans="1:7" ht="58.5" customHeight="1" x14ac:dyDescent="0.25">
      <c r="A11749" s="5" t="str">
        <f>"H0014822"</f>
        <v>H0014822</v>
      </c>
      <c r="B11749" s="5" t="str">
        <f t="shared" si="607"/>
        <v>FLANERA EN ACERO INOXIDABLE</v>
      </c>
      <c r="C11749" s="6">
        <v>1826.28</v>
      </c>
      <c r="D11749" s="5"/>
      <c r="E11749" s="5" t="str">
        <f t="shared" si="605"/>
        <v>NUTRICION-ESPERANZA MONCADA PARADA</v>
      </c>
      <c r="F11749" s="5" t="str">
        <f>"Descripcion: FLANERA POSTRES EN ACERO INOX. Estado: Bueno Placa anterior: 000017763 Material: ACERO INOXIDABLE Color:  Referencia:  Observacion:  Placa padre: Tipo adquisicion: Entidad"</f>
        <v>Descripcion: FLANERA POSTRES EN ACERO INOX. Estado: Bueno Placa anterior: 000017763 Material: ACERO INOXIDABLE Color:  Referencia:  Observacion:  Placa padre: Tipo adquisicion: Entidad</v>
      </c>
      <c r="G11749" s="5"/>
    </row>
    <row r="11750" spans="1:7" ht="58.5" customHeight="1" x14ac:dyDescent="0.25">
      <c r="A11750" s="5" t="str">
        <f>"H0014823"</f>
        <v>H0014823</v>
      </c>
      <c r="B11750" s="5" t="str">
        <f t="shared" si="607"/>
        <v>FLANERA EN ACERO INOXIDABLE</v>
      </c>
      <c r="C11750" s="6">
        <v>1826.28</v>
      </c>
      <c r="D11750" s="5"/>
      <c r="E11750" s="5" t="str">
        <f t="shared" si="605"/>
        <v>NUTRICION-ESPERANZA MONCADA PARADA</v>
      </c>
      <c r="F11750" s="5" t="str">
        <f>"Descripcion: FLANERA POSTRES EN ACERO INOX. Estado: Bueno Placa anterior: 000017764 Material: ACERO INOXIDABLE Color:  Referencia:  Observacion:  Placa padre: Tipo adquisicion: Entidad"</f>
        <v>Descripcion: FLANERA POSTRES EN ACERO INOX. Estado: Bueno Placa anterior: 000017764 Material: ACERO INOXIDABLE Color:  Referencia:  Observacion:  Placa padre: Tipo adquisicion: Entidad</v>
      </c>
      <c r="G11750" s="5"/>
    </row>
    <row r="11751" spans="1:7" ht="58.5" customHeight="1" x14ac:dyDescent="0.25">
      <c r="A11751" s="5" t="str">
        <f>"H0014824"</f>
        <v>H0014824</v>
      </c>
      <c r="B11751" s="5" t="str">
        <f t="shared" si="607"/>
        <v>FLANERA EN ACERO INOXIDABLE</v>
      </c>
      <c r="C11751" s="6">
        <v>1826.28</v>
      </c>
      <c r="D11751" s="5"/>
      <c r="E11751" s="5" t="str">
        <f t="shared" ref="E11751:E11814" si="608">"NUTRICION-ESPERANZA MONCADA PARADA"</f>
        <v>NUTRICION-ESPERANZA MONCADA PARADA</v>
      </c>
      <c r="F11751" s="5" t="str">
        <f>"Descripcion: FLANERA POSTRES EN ACERO INOX. Estado: Bueno Placa anterior: 000017765 Material: ACERO INOXIDABLE Color:  Referencia:  Observacion:  Placa padre: Tipo adquisicion: Entidad"</f>
        <v>Descripcion: FLANERA POSTRES EN ACERO INOX. Estado: Bueno Placa anterior: 000017765 Material: ACERO INOXIDABLE Color:  Referencia:  Observacion:  Placa padre: Tipo adquisicion: Entidad</v>
      </c>
      <c r="G11751" s="5"/>
    </row>
    <row r="11752" spans="1:7" ht="58.5" customHeight="1" x14ac:dyDescent="0.25">
      <c r="A11752" s="5" t="str">
        <f>"H0014825"</f>
        <v>H0014825</v>
      </c>
      <c r="B11752" s="5" t="str">
        <f t="shared" si="607"/>
        <v>FLANERA EN ACERO INOXIDABLE</v>
      </c>
      <c r="C11752" s="6">
        <v>1826.28</v>
      </c>
      <c r="D11752" s="5"/>
      <c r="E11752" s="5" t="str">
        <f t="shared" si="608"/>
        <v>NUTRICION-ESPERANZA MONCADA PARADA</v>
      </c>
      <c r="F11752" s="5" t="str">
        <f>"Descripcion: FLANERA POSTRES EN ACERO INOX. Estado: Bueno Placa anterior: 000017766 Material: ACERO INOXIDABLE Color:  Referencia:  Observacion:  Placa padre: Tipo adquisicion: Entidad"</f>
        <v>Descripcion: FLANERA POSTRES EN ACERO INOX. Estado: Bueno Placa anterior: 000017766 Material: ACERO INOXIDABLE Color:  Referencia:  Observacion:  Placa padre: Tipo adquisicion: Entidad</v>
      </c>
      <c r="G11752" s="5"/>
    </row>
    <row r="11753" spans="1:7" ht="58.5" customHeight="1" x14ac:dyDescent="0.25">
      <c r="A11753" s="5" t="str">
        <f>"H0014826"</f>
        <v>H0014826</v>
      </c>
      <c r="B11753" s="5" t="str">
        <f t="shared" si="607"/>
        <v>FLANERA EN ACERO INOXIDABLE</v>
      </c>
      <c r="C11753" s="6">
        <v>1826.28</v>
      </c>
      <c r="D11753" s="5"/>
      <c r="E11753" s="5" t="str">
        <f t="shared" si="608"/>
        <v>NUTRICION-ESPERANZA MONCADA PARADA</v>
      </c>
      <c r="F11753" s="5" t="str">
        <f>"Descripcion: FLANERA POSTRES EN ACERO INOX. Estado: Bueno Placa anterior: 000017767 Material: ACERO INOXIDABLE Color:  Referencia:  Observacion:  Placa padre: Tipo adquisicion: Entidad"</f>
        <v>Descripcion: FLANERA POSTRES EN ACERO INOX. Estado: Bueno Placa anterior: 000017767 Material: ACERO INOXIDABLE Color:  Referencia:  Observacion:  Placa padre: Tipo adquisicion: Entidad</v>
      </c>
      <c r="G11753" s="5"/>
    </row>
    <row r="11754" spans="1:7" ht="58.5" customHeight="1" x14ac:dyDescent="0.25">
      <c r="A11754" s="5" t="str">
        <f>"H0014827"</f>
        <v>H0014827</v>
      </c>
      <c r="B11754" s="5" t="str">
        <f t="shared" si="607"/>
        <v>FLANERA EN ACERO INOXIDABLE</v>
      </c>
      <c r="C11754" s="6">
        <v>1826.28</v>
      </c>
      <c r="D11754" s="5"/>
      <c r="E11754" s="5" t="str">
        <f t="shared" si="608"/>
        <v>NUTRICION-ESPERANZA MONCADA PARADA</v>
      </c>
      <c r="F11754" s="5" t="str">
        <f>"Descripcion: FLANERA POSTRES EN ACERO INOX. Estado: Bueno Placa anterior: 000017768 Material: ACERO INOXIDABLE Color:  Referencia:  Observacion:  Placa padre: Tipo adquisicion: Entidad"</f>
        <v>Descripcion: FLANERA POSTRES EN ACERO INOX. Estado: Bueno Placa anterior: 000017768 Material: ACERO INOXIDABLE Color:  Referencia:  Observacion:  Placa padre: Tipo adquisicion: Entidad</v>
      </c>
      <c r="G11754" s="5"/>
    </row>
    <row r="11755" spans="1:7" ht="58.5" customHeight="1" x14ac:dyDescent="0.25">
      <c r="A11755" s="5" t="str">
        <f>"H0014828"</f>
        <v>H0014828</v>
      </c>
      <c r="B11755" s="5" t="str">
        <f t="shared" si="607"/>
        <v>FLANERA EN ACERO INOXIDABLE</v>
      </c>
      <c r="C11755" s="6">
        <v>1826.28</v>
      </c>
      <c r="D11755" s="5"/>
      <c r="E11755" s="5" t="str">
        <f t="shared" si="608"/>
        <v>NUTRICION-ESPERANZA MONCADA PARADA</v>
      </c>
      <c r="F11755" s="5" t="str">
        <f>"Descripcion: FLANERA POSTRES EN ACERO INOX. Estado: Bueno Placa anterior: 000017769 Material: ACERO INOXIDABLE Color:  Referencia:  Observacion:  Placa padre: Tipo adquisicion: Entidad"</f>
        <v>Descripcion: FLANERA POSTRES EN ACERO INOX. Estado: Bueno Placa anterior: 000017769 Material: ACERO INOXIDABLE Color:  Referencia:  Observacion:  Placa padre: Tipo adquisicion: Entidad</v>
      </c>
      <c r="G11755" s="5"/>
    </row>
    <row r="11756" spans="1:7" ht="58.5" customHeight="1" x14ac:dyDescent="0.25">
      <c r="A11756" s="5" t="str">
        <f>"H0014829"</f>
        <v>H0014829</v>
      </c>
      <c r="B11756" s="5" t="str">
        <f t="shared" ref="B11756:B11787" si="609">"FLANERA EN ACERO INOXIDABLE"</f>
        <v>FLANERA EN ACERO INOXIDABLE</v>
      </c>
      <c r="C11756" s="6">
        <v>1826.28</v>
      </c>
      <c r="D11756" s="5"/>
      <c r="E11756" s="5" t="str">
        <f t="shared" si="608"/>
        <v>NUTRICION-ESPERANZA MONCADA PARADA</v>
      </c>
      <c r="F11756" s="5" t="str">
        <f>"Descripcion: FLANERA POSTRES EN ACERO INOX. Estado: Bueno Placa anterior: 000017770 Material: ACERO INOXIDABLE Color:  Referencia:  Observacion:  Placa padre: Tipo adquisicion: Entidad"</f>
        <v>Descripcion: FLANERA POSTRES EN ACERO INOX. Estado: Bueno Placa anterior: 000017770 Material: ACERO INOXIDABLE Color:  Referencia:  Observacion:  Placa padre: Tipo adquisicion: Entidad</v>
      </c>
      <c r="G11756" s="5"/>
    </row>
    <row r="11757" spans="1:7" ht="58.5" customHeight="1" x14ac:dyDescent="0.25">
      <c r="A11757" s="5" t="str">
        <f>"H0014830"</f>
        <v>H0014830</v>
      </c>
      <c r="B11757" s="5" t="str">
        <f t="shared" si="609"/>
        <v>FLANERA EN ACERO INOXIDABLE</v>
      </c>
      <c r="C11757" s="6">
        <v>1826.28</v>
      </c>
      <c r="D11757" s="5"/>
      <c r="E11757" s="5" t="str">
        <f t="shared" si="608"/>
        <v>NUTRICION-ESPERANZA MONCADA PARADA</v>
      </c>
      <c r="F11757" s="5" t="str">
        <f>"Descripcion: FLANERA POSTRES EN ACERO INOX. Estado: Bueno Placa anterior: 000017771 Material: ACERO INOXIDABLE Color:  Referencia:  Observacion:  Placa padre: Tipo adquisicion: Entidad"</f>
        <v>Descripcion: FLANERA POSTRES EN ACERO INOX. Estado: Bueno Placa anterior: 000017771 Material: ACERO INOXIDABLE Color:  Referencia:  Observacion:  Placa padre: Tipo adquisicion: Entidad</v>
      </c>
      <c r="G11757" s="5"/>
    </row>
    <row r="11758" spans="1:7" ht="58.5" customHeight="1" x14ac:dyDescent="0.25">
      <c r="A11758" s="5" t="str">
        <f>"H0014831"</f>
        <v>H0014831</v>
      </c>
      <c r="B11758" s="5" t="str">
        <f t="shared" si="609"/>
        <v>FLANERA EN ACERO INOXIDABLE</v>
      </c>
      <c r="C11758" s="6">
        <v>1826.28</v>
      </c>
      <c r="D11758" s="5"/>
      <c r="E11758" s="5" t="str">
        <f t="shared" si="608"/>
        <v>NUTRICION-ESPERANZA MONCADA PARADA</v>
      </c>
      <c r="F11758" s="5" t="str">
        <f>"Descripcion: FLANERA POSTRES EN ACERO INOX. Estado: Bueno Placa anterior: 000017772 Material: ACERO INOXIDABLE Color:  Referencia:  Observacion:  Placa padre: Tipo adquisicion: Entidad"</f>
        <v>Descripcion: FLANERA POSTRES EN ACERO INOX. Estado: Bueno Placa anterior: 000017772 Material: ACERO INOXIDABLE Color:  Referencia:  Observacion:  Placa padre: Tipo adquisicion: Entidad</v>
      </c>
      <c r="G11758" s="5"/>
    </row>
    <row r="11759" spans="1:7" ht="58.5" customHeight="1" x14ac:dyDescent="0.25">
      <c r="A11759" s="5" t="str">
        <f>"H0014832"</f>
        <v>H0014832</v>
      </c>
      <c r="B11759" s="5" t="str">
        <f t="shared" si="609"/>
        <v>FLANERA EN ACERO INOXIDABLE</v>
      </c>
      <c r="C11759" s="6">
        <v>1826.28</v>
      </c>
      <c r="D11759" s="5"/>
      <c r="E11759" s="5" t="str">
        <f t="shared" si="608"/>
        <v>NUTRICION-ESPERANZA MONCADA PARADA</v>
      </c>
      <c r="F11759" s="5" t="str">
        <f>"Descripcion: FLANERA POSTRES EN ACERO INOX. Estado: Bueno Placa anterior: 000017773 Material: ACERO INOXIDABLE Color:  Referencia:  Observacion:  Placa padre: Tipo adquisicion: Entidad"</f>
        <v>Descripcion: FLANERA POSTRES EN ACERO INOX. Estado: Bueno Placa anterior: 000017773 Material: ACERO INOXIDABLE Color:  Referencia:  Observacion:  Placa padre: Tipo adquisicion: Entidad</v>
      </c>
      <c r="G11759" s="5"/>
    </row>
    <row r="11760" spans="1:7" ht="58.5" customHeight="1" x14ac:dyDescent="0.25">
      <c r="A11760" s="5" t="str">
        <f>"H0014833"</f>
        <v>H0014833</v>
      </c>
      <c r="B11760" s="5" t="str">
        <f t="shared" si="609"/>
        <v>FLANERA EN ACERO INOXIDABLE</v>
      </c>
      <c r="C11760" s="6">
        <v>1826.28</v>
      </c>
      <c r="D11760" s="5"/>
      <c r="E11760" s="5" t="str">
        <f t="shared" si="608"/>
        <v>NUTRICION-ESPERANZA MONCADA PARADA</v>
      </c>
      <c r="F11760" s="5" t="str">
        <f>"Descripcion: FLANERA POSTRES EN ACERO INOX. Estado: Bueno Placa anterior: 000017774 Material: ACERO INOXIDABLE Color:  Referencia:  Observacion:  Placa padre: Tipo adquisicion: Entidad"</f>
        <v>Descripcion: FLANERA POSTRES EN ACERO INOX. Estado: Bueno Placa anterior: 000017774 Material: ACERO INOXIDABLE Color:  Referencia:  Observacion:  Placa padre: Tipo adquisicion: Entidad</v>
      </c>
      <c r="G11760" s="5"/>
    </row>
    <row r="11761" spans="1:7" ht="58.5" customHeight="1" x14ac:dyDescent="0.25">
      <c r="A11761" s="5" t="str">
        <f>"H0014834"</f>
        <v>H0014834</v>
      </c>
      <c r="B11761" s="5" t="str">
        <f t="shared" si="609"/>
        <v>FLANERA EN ACERO INOXIDABLE</v>
      </c>
      <c r="C11761" s="6">
        <v>1826.28</v>
      </c>
      <c r="D11761" s="5"/>
      <c r="E11761" s="5" t="str">
        <f t="shared" si="608"/>
        <v>NUTRICION-ESPERANZA MONCADA PARADA</v>
      </c>
      <c r="F11761" s="5" t="str">
        <f>"Descripcion: FLANERA POSTRES EN ACERO INOX. Estado: Bueno Placa anterior: 000017775 Material: ACERO INOXIDABLE Color:  Referencia:  Observacion:  Placa padre: Tipo adquisicion: Entidad"</f>
        <v>Descripcion: FLANERA POSTRES EN ACERO INOX. Estado: Bueno Placa anterior: 000017775 Material: ACERO INOXIDABLE Color:  Referencia:  Observacion:  Placa padre: Tipo adquisicion: Entidad</v>
      </c>
      <c r="G11761" s="5"/>
    </row>
    <row r="11762" spans="1:7" ht="58.5" customHeight="1" x14ac:dyDescent="0.25">
      <c r="A11762" s="5" t="str">
        <f>"H0014835"</f>
        <v>H0014835</v>
      </c>
      <c r="B11762" s="5" t="str">
        <f t="shared" si="609"/>
        <v>FLANERA EN ACERO INOXIDABLE</v>
      </c>
      <c r="C11762" s="6">
        <v>1826.28</v>
      </c>
      <c r="D11762" s="5"/>
      <c r="E11762" s="5" t="str">
        <f t="shared" si="608"/>
        <v>NUTRICION-ESPERANZA MONCADA PARADA</v>
      </c>
      <c r="F11762" s="5" t="str">
        <f>"Descripcion: FLANERA POSTRES EN ACERO INOX. Estado: Bueno Placa anterior: 000017776 Material: ACERO INOXIDABLE Color:  Referencia:  Observacion:  Placa padre: Tipo adquisicion: Entidad"</f>
        <v>Descripcion: FLANERA POSTRES EN ACERO INOX. Estado: Bueno Placa anterior: 000017776 Material: ACERO INOXIDABLE Color:  Referencia:  Observacion:  Placa padre: Tipo adquisicion: Entidad</v>
      </c>
      <c r="G11762" s="5"/>
    </row>
    <row r="11763" spans="1:7" ht="58.5" customHeight="1" x14ac:dyDescent="0.25">
      <c r="A11763" s="5" t="str">
        <f>"H0014836"</f>
        <v>H0014836</v>
      </c>
      <c r="B11763" s="5" t="str">
        <f t="shared" si="609"/>
        <v>FLANERA EN ACERO INOXIDABLE</v>
      </c>
      <c r="C11763" s="6">
        <v>1826.28</v>
      </c>
      <c r="D11763" s="5"/>
      <c r="E11763" s="5" t="str">
        <f t="shared" si="608"/>
        <v>NUTRICION-ESPERANZA MONCADA PARADA</v>
      </c>
      <c r="F11763" s="5" t="str">
        <f>"Descripcion: FLANERA POSTRES EN ACERO INOX. Estado: Bueno Placa anterior: 000017777 Material: ACERO INOXIDABLE Color:  Referencia:  Observacion:  Placa padre: Tipo adquisicion: Entidad"</f>
        <v>Descripcion: FLANERA POSTRES EN ACERO INOX. Estado: Bueno Placa anterior: 000017777 Material: ACERO INOXIDABLE Color:  Referencia:  Observacion:  Placa padre: Tipo adquisicion: Entidad</v>
      </c>
      <c r="G11763" s="5"/>
    </row>
    <row r="11764" spans="1:7" ht="58.5" customHeight="1" x14ac:dyDescent="0.25">
      <c r="A11764" s="5" t="str">
        <f>"H0014837"</f>
        <v>H0014837</v>
      </c>
      <c r="B11764" s="5" t="str">
        <f t="shared" si="609"/>
        <v>FLANERA EN ACERO INOXIDABLE</v>
      </c>
      <c r="C11764" s="6">
        <v>1826.28</v>
      </c>
      <c r="D11764" s="5"/>
      <c r="E11764" s="5" t="str">
        <f t="shared" si="608"/>
        <v>NUTRICION-ESPERANZA MONCADA PARADA</v>
      </c>
      <c r="F11764" s="5" t="str">
        <f>"Descripcion: FLANERA POSTRES EN ACERO INOX. Estado: Bueno Placa anterior: 000017778 Material: ACERO INOXIDABLE Color:  Referencia:  Observacion:  Placa padre: Tipo adquisicion: Entidad"</f>
        <v>Descripcion: FLANERA POSTRES EN ACERO INOX. Estado: Bueno Placa anterior: 000017778 Material: ACERO INOXIDABLE Color:  Referencia:  Observacion:  Placa padre: Tipo adquisicion: Entidad</v>
      </c>
      <c r="G11764" s="5"/>
    </row>
    <row r="11765" spans="1:7" ht="58.5" customHeight="1" x14ac:dyDescent="0.25">
      <c r="A11765" s="5" t="str">
        <f>"H0014838"</f>
        <v>H0014838</v>
      </c>
      <c r="B11765" s="5" t="str">
        <f t="shared" si="609"/>
        <v>FLANERA EN ACERO INOXIDABLE</v>
      </c>
      <c r="C11765" s="6">
        <v>1826.28</v>
      </c>
      <c r="D11765" s="5"/>
      <c r="E11765" s="5" t="str">
        <f t="shared" si="608"/>
        <v>NUTRICION-ESPERANZA MONCADA PARADA</v>
      </c>
      <c r="F11765" s="5" t="str">
        <f>"Descripcion: FLANERA POSTRES EN ACERO INOX. Estado: Bueno Placa anterior: 000017779 Material: ACERO INOXIDABLE Color:  Referencia:  Observacion:  Placa padre: Tipo adquisicion: Entidad"</f>
        <v>Descripcion: FLANERA POSTRES EN ACERO INOX. Estado: Bueno Placa anterior: 000017779 Material: ACERO INOXIDABLE Color:  Referencia:  Observacion:  Placa padre: Tipo adquisicion: Entidad</v>
      </c>
      <c r="G11765" s="5"/>
    </row>
    <row r="11766" spans="1:7" ht="58.5" customHeight="1" x14ac:dyDescent="0.25">
      <c r="A11766" s="5" t="str">
        <f>"H0014839"</f>
        <v>H0014839</v>
      </c>
      <c r="B11766" s="5" t="str">
        <f t="shared" si="609"/>
        <v>FLANERA EN ACERO INOXIDABLE</v>
      </c>
      <c r="C11766" s="6">
        <v>1826.28</v>
      </c>
      <c r="D11766" s="5"/>
      <c r="E11766" s="5" t="str">
        <f t="shared" si="608"/>
        <v>NUTRICION-ESPERANZA MONCADA PARADA</v>
      </c>
      <c r="F11766" s="5" t="str">
        <f>"Descripcion: FLANERA POSTRES EN ACERO INOX. Estado: Bueno Placa anterior: 000017780 Material: ACERO INOXIDABLE Color:  Referencia:  Observacion:  Placa padre: Tipo adquisicion: Entidad"</f>
        <v>Descripcion: FLANERA POSTRES EN ACERO INOX. Estado: Bueno Placa anterior: 000017780 Material: ACERO INOXIDABLE Color:  Referencia:  Observacion:  Placa padre: Tipo adquisicion: Entidad</v>
      </c>
      <c r="G11766" s="5"/>
    </row>
    <row r="11767" spans="1:7" ht="58.5" customHeight="1" x14ac:dyDescent="0.25">
      <c r="A11767" s="5" t="str">
        <f>"H0014840"</f>
        <v>H0014840</v>
      </c>
      <c r="B11767" s="5" t="str">
        <f t="shared" si="609"/>
        <v>FLANERA EN ACERO INOXIDABLE</v>
      </c>
      <c r="C11767" s="6">
        <v>1826.28</v>
      </c>
      <c r="D11767" s="5"/>
      <c r="E11767" s="5" t="str">
        <f t="shared" si="608"/>
        <v>NUTRICION-ESPERANZA MONCADA PARADA</v>
      </c>
      <c r="F11767" s="5" t="str">
        <f>"Descripcion: FLANERA POSTRES EN ACERO INOX. Estado: Bueno Placa anterior: 000017781 Material: ACERO INOXIDABLE Color:  Referencia:  Observacion:  Placa padre: Tipo adquisicion: Entidad"</f>
        <v>Descripcion: FLANERA POSTRES EN ACERO INOX. Estado: Bueno Placa anterior: 000017781 Material: ACERO INOXIDABLE Color:  Referencia:  Observacion:  Placa padre: Tipo adquisicion: Entidad</v>
      </c>
      <c r="G11767" s="5"/>
    </row>
    <row r="11768" spans="1:7" ht="58.5" customHeight="1" x14ac:dyDescent="0.25">
      <c r="A11768" s="5" t="str">
        <f>"H0014841"</f>
        <v>H0014841</v>
      </c>
      <c r="B11768" s="5" t="str">
        <f t="shared" si="609"/>
        <v>FLANERA EN ACERO INOXIDABLE</v>
      </c>
      <c r="C11768" s="6">
        <v>1826.28</v>
      </c>
      <c r="D11768" s="5"/>
      <c r="E11768" s="5" t="str">
        <f t="shared" si="608"/>
        <v>NUTRICION-ESPERANZA MONCADA PARADA</v>
      </c>
      <c r="F11768" s="5" t="str">
        <f>"Descripcion: FLANERA POSTRES EN ACERO INOX. Estado: Bueno Placa anterior: 000017782 Material: ACERO INOXIDABLE Color:  Referencia:  Observacion:  Placa padre: Tipo adquisicion: Entidad"</f>
        <v>Descripcion: FLANERA POSTRES EN ACERO INOX. Estado: Bueno Placa anterior: 000017782 Material: ACERO INOXIDABLE Color:  Referencia:  Observacion:  Placa padre: Tipo adquisicion: Entidad</v>
      </c>
      <c r="G11768" s="5"/>
    </row>
    <row r="11769" spans="1:7" ht="58.5" customHeight="1" x14ac:dyDescent="0.25">
      <c r="A11769" s="5" t="str">
        <f>"H0014842"</f>
        <v>H0014842</v>
      </c>
      <c r="B11769" s="5" t="str">
        <f t="shared" si="609"/>
        <v>FLANERA EN ACERO INOXIDABLE</v>
      </c>
      <c r="C11769" s="6">
        <v>1826.28</v>
      </c>
      <c r="D11769" s="5"/>
      <c r="E11769" s="5" t="str">
        <f t="shared" si="608"/>
        <v>NUTRICION-ESPERANZA MONCADA PARADA</v>
      </c>
      <c r="F11769" s="5" t="str">
        <f>"Descripcion: FLANERA POSTRES EN ACERO INOX. Estado: Bueno Placa anterior: 000017783 Material: ACERO INOXIDABLE Color:  Referencia:  Observacion:  Placa padre: Tipo adquisicion: Entidad"</f>
        <v>Descripcion: FLANERA POSTRES EN ACERO INOX. Estado: Bueno Placa anterior: 000017783 Material: ACERO INOXIDABLE Color:  Referencia:  Observacion:  Placa padre: Tipo adquisicion: Entidad</v>
      </c>
      <c r="G11769" s="5"/>
    </row>
    <row r="11770" spans="1:7" ht="58.5" customHeight="1" x14ac:dyDescent="0.25">
      <c r="A11770" s="5" t="str">
        <f>"H0014843"</f>
        <v>H0014843</v>
      </c>
      <c r="B11770" s="5" t="str">
        <f t="shared" si="609"/>
        <v>FLANERA EN ACERO INOXIDABLE</v>
      </c>
      <c r="C11770" s="6">
        <v>1826.28</v>
      </c>
      <c r="D11770" s="5"/>
      <c r="E11770" s="5" t="str">
        <f t="shared" si="608"/>
        <v>NUTRICION-ESPERANZA MONCADA PARADA</v>
      </c>
      <c r="F11770" s="5" t="str">
        <f>"Descripcion: FLANERA POSTRES EN ACERO INOX. Estado: Bueno Placa anterior: 000017784 Material: ACERO INOXIDABLE Color:  Referencia:  Observacion:  Placa padre: Tipo adquisicion: Entidad"</f>
        <v>Descripcion: FLANERA POSTRES EN ACERO INOX. Estado: Bueno Placa anterior: 000017784 Material: ACERO INOXIDABLE Color:  Referencia:  Observacion:  Placa padre: Tipo adquisicion: Entidad</v>
      </c>
      <c r="G11770" s="5"/>
    </row>
    <row r="11771" spans="1:7" ht="58.5" customHeight="1" x14ac:dyDescent="0.25">
      <c r="A11771" s="5" t="str">
        <f>"H0014844"</f>
        <v>H0014844</v>
      </c>
      <c r="B11771" s="5" t="str">
        <f t="shared" si="609"/>
        <v>FLANERA EN ACERO INOXIDABLE</v>
      </c>
      <c r="C11771" s="6">
        <v>1826.28</v>
      </c>
      <c r="D11771" s="5"/>
      <c r="E11771" s="5" t="str">
        <f t="shared" si="608"/>
        <v>NUTRICION-ESPERANZA MONCADA PARADA</v>
      </c>
      <c r="F11771" s="5" t="str">
        <f>"Descripcion: FLANERA POSTRES EN ACERO INOX. Estado: Bueno Placa anterior: 000017785 Material: ACERO INOXIDABLE Color:  Referencia:  Observacion:  Placa padre: Tipo adquisicion: Entidad"</f>
        <v>Descripcion: FLANERA POSTRES EN ACERO INOX. Estado: Bueno Placa anterior: 000017785 Material: ACERO INOXIDABLE Color:  Referencia:  Observacion:  Placa padre: Tipo adquisicion: Entidad</v>
      </c>
      <c r="G11771" s="5"/>
    </row>
    <row r="11772" spans="1:7" ht="58.5" customHeight="1" x14ac:dyDescent="0.25">
      <c r="A11772" s="5" t="str">
        <f>"H0014845"</f>
        <v>H0014845</v>
      </c>
      <c r="B11772" s="5" t="str">
        <f t="shared" si="609"/>
        <v>FLANERA EN ACERO INOXIDABLE</v>
      </c>
      <c r="C11772" s="6">
        <v>1826.28</v>
      </c>
      <c r="D11772" s="5"/>
      <c r="E11772" s="5" t="str">
        <f t="shared" si="608"/>
        <v>NUTRICION-ESPERANZA MONCADA PARADA</v>
      </c>
      <c r="F11772" s="5" t="str">
        <f>"Descripcion: FLANERA POSTRES EN ACERO INOX. Estado: Bueno Placa anterior: 000017786 Material: ACERO INOXIDABLE Color:  Referencia:  Observacion:  Placa padre: Tipo adquisicion: Entidad"</f>
        <v>Descripcion: FLANERA POSTRES EN ACERO INOX. Estado: Bueno Placa anterior: 000017786 Material: ACERO INOXIDABLE Color:  Referencia:  Observacion:  Placa padre: Tipo adquisicion: Entidad</v>
      </c>
      <c r="G11772" s="5"/>
    </row>
    <row r="11773" spans="1:7" ht="58.5" customHeight="1" x14ac:dyDescent="0.25">
      <c r="A11773" s="5" t="str">
        <f>"H0014846"</f>
        <v>H0014846</v>
      </c>
      <c r="B11773" s="5" t="str">
        <f t="shared" si="609"/>
        <v>FLANERA EN ACERO INOXIDABLE</v>
      </c>
      <c r="C11773" s="6">
        <v>1826.28</v>
      </c>
      <c r="D11773" s="5"/>
      <c r="E11773" s="5" t="str">
        <f t="shared" si="608"/>
        <v>NUTRICION-ESPERANZA MONCADA PARADA</v>
      </c>
      <c r="F11773" s="5" t="str">
        <f>"Descripcion: FLANERA POSTRES EN ACERO INOX. Estado: Bueno Placa anterior: 000017787 Material: ACERO INOXIDABLE Color:  Referencia:  Observacion:  Placa padre: Tipo adquisicion: Entidad"</f>
        <v>Descripcion: FLANERA POSTRES EN ACERO INOX. Estado: Bueno Placa anterior: 000017787 Material: ACERO INOXIDABLE Color:  Referencia:  Observacion:  Placa padre: Tipo adquisicion: Entidad</v>
      </c>
      <c r="G11773" s="5"/>
    </row>
    <row r="11774" spans="1:7" ht="58.5" customHeight="1" x14ac:dyDescent="0.25">
      <c r="A11774" s="5" t="str">
        <f>"H0014847"</f>
        <v>H0014847</v>
      </c>
      <c r="B11774" s="5" t="str">
        <f t="shared" si="609"/>
        <v>FLANERA EN ACERO INOXIDABLE</v>
      </c>
      <c r="C11774" s="6">
        <v>1826.28</v>
      </c>
      <c r="D11774" s="5"/>
      <c r="E11774" s="5" t="str">
        <f t="shared" si="608"/>
        <v>NUTRICION-ESPERANZA MONCADA PARADA</v>
      </c>
      <c r="F11774" s="5" t="str">
        <f>"Descripcion: FLANERA POSTRES EN ACERO INOX. Estado: Bueno Placa anterior: 000017789 Material: ACERO INOXIDABLE Color:  Referencia:  Observacion:  Placa padre: Tipo adquisicion: Entidad"</f>
        <v>Descripcion: FLANERA POSTRES EN ACERO INOX. Estado: Bueno Placa anterior: 000017789 Material: ACERO INOXIDABLE Color:  Referencia:  Observacion:  Placa padre: Tipo adquisicion: Entidad</v>
      </c>
      <c r="G11774" s="5"/>
    </row>
    <row r="11775" spans="1:7" ht="58.5" customHeight="1" x14ac:dyDescent="0.25">
      <c r="A11775" s="5" t="str">
        <f>"H0014848"</f>
        <v>H0014848</v>
      </c>
      <c r="B11775" s="5" t="str">
        <f t="shared" si="609"/>
        <v>FLANERA EN ACERO INOXIDABLE</v>
      </c>
      <c r="C11775" s="6">
        <v>1826.28</v>
      </c>
      <c r="D11775" s="5"/>
      <c r="E11775" s="5" t="str">
        <f t="shared" si="608"/>
        <v>NUTRICION-ESPERANZA MONCADA PARADA</v>
      </c>
      <c r="F11775" s="5" t="str">
        <f>"Descripcion: FLANERA POSTRES EN ACERO INOX. Estado: Bueno Placa anterior: 000017790 Material: ACERO INOXIDABLE Color:  Referencia:  Observacion:  Placa padre: Tipo adquisicion: Entidad"</f>
        <v>Descripcion: FLANERA POSTRES EN ACERO INOX. Estado: Bueno Placa anterior: 000017790 Material: ACERO INOXIDABLE Color:  Referencia:  Observacion:  Placa padre: Tipo adquisicion: Entidad</v>
      </c>
      <c r="G11775" s="5"/>
    </row>
    <row r="11776" spans="1:7" ht="58.5" customHeight="1" x14ac:dyDescent="0.25">
      <c r="A11776" s="5" t="str">
        <f>"H0014849"</f>
        <v>H0014849</v>
      </c>
      <c r="B11776" s="5" t="str">
        <f t="shared" si="609"/>
        <v>FLANERA EN ACERO INOXIDABLE</v>
      </c>
      <c r="C11776" s="6">
        <v>1826.28</v>
      </c>
      <c r="D11776" s="5"/>
      <c r="E11776" s="5" t="str">
        <f t="shared" si="608"/>
        <v>NUTRICION-ESPERANZA MONCADA PARADA</v>
      </c>
      <c r="F11776" s="5" t="str">
        <f>"Descripcion: FLANERA POSTRES EN ACERO INOX. Estado: Bueno Placa anterior: 000017791 Material: ACERO INOXIDABLE Color:  Referencia:  Observacion:  Placa padre: Tipo adquisicion: Entidad"</f>
        <v>Descripcion: FLANERA POSTRES EN ACERO INOX. Estado: Bueno Placa anterior: 000017791 Material: ACERO INOXIDABLE Color:  Referencia:  Observacion:  Placa padre: Tipo adquisicion: Entidad</v>
      </c>
      <c r="G11776" s="5"/>
    </row>
    <row r="11777" spans="1:7" ht="58.5" customHeight="1" x14ac:dyDescent="0.25">
      <c r="A11777" s="5" t="str">
        <f>"H0014850"</f>
        <v>H0014850</v>
      </c>
      <c r="B11777" s="5" t="str">
        <f t="shared" si="609"/>
        <v>FLANERA EN ACERO INOXIDABLE</v>
      </c>
      <c r="C11777" s="6">
        <v>1826.28</v>
      </c>
      <c r="D11777" s="5"/>
      <c r="E11777" s="5" t="str">
        <f t="shared" si="608"/>
        <v>NUTRICION-ESPERANZA MONCADA PARADA</v>
      </c>
      <c r="F11777" s="5" t="str">
        <f>"Descripcion: FLANERA POSTRES EN ACERO INOX. Estado: Bueno Placa anterior: 000017792 Material: ACERO INOXIDABLE Color:  Referencia:  Observacion:  Placa padre: Tipo adquisicion: Entidad"</f>
        <v>Descripcion: FLANERA POSTRES EN ACERO INOX. Estado: Bueno Placa anterior: 000017792 Material: ACERO INOXIDABLE Color:  Referencia:  Observacion:  Placa padre: Tipo adquisicion: Entidad</v>
      </c>
      <c r="G11777" s="5"/>
    </row>
    <row r="11778" spans="1:7" ht="58.5" customHeight="1" x14ac:dyDescent="0.25">
      <c r="A11778" s="5" t="str">
        <f>"H0014851"</f>
        <v>H0014851</v>
      </c>
      <c r="B11778" s="5" t="str">
        <f t="shared" si="609"/>
        <v>FLANERA EN ACERO INOXIDABLE</v>
      </c>
      <c r="C11778" s="6">
        <v>1826.28</v>
      </c>
      <c r="D11778" s="5"/>
      <c r="E11778" s="5" t="str">
        <f t="shared" si="608"/>
        <v>NUTRICION-ESPERANZA MONCADA PARADA</v>
      </c>
      <c r="F11778" s="5" t="str">
        <f>"Descripcion: FLANERA POSTRES EN ACERO INOX. Estado: Bueno Placa anterior: 000017793 Material: ACERO INOXIDABLE Color:  Referencia:  Observacion:  Placa padre: Tipo adquisicion: Entidad"</f>
        <v>Descripcion: FLANERA POSTRES EN ACERO INOX. Estado: Bueno Placa anterior: 000017793 Material: ACERO INOXIDABLE Color:  Referencia:  Observacion:  Placa padre: Tipo adquisicion: Entidad</v>
      </c>
      <c r="G11778" s="5"/>
    </row>
    <row r="11779" spans="1:7" ht="58.5" customHeight="1" x14ac:dyDescent="0.25">
      <c r="A11779" s="5" t="str">
        <f>"H0014852"</f>
        <v>H0014852</v>
      </c>
      <c r="B11779" s="5" t="str">
        <f t="shared" si="609"/>
        <v>FLANERA EN ACERO INOXIDABLE</v>
      </c>
      <c r="C11779" s="6">
        <v>1826.28</v>
      </c>
      <c r="D11779" s="5"/>
      <c r="E11779" s="5" t="str">
        <f t="shared" si="608"/>
        <v>NUTRICION-ESPERANZA MONCADA PARADA</v>
      </c>
      <c r="F11779" s="5" t="str">
        <f>"Descripcion: FLANERA POSTRES EN ACERO INOX. Estado: Bueno Placa anterior: 000017794 Material: ACERO INOXIDABLE Color:  Referencia:  Observacion:  Placa padre: Tipo adquisicion: Entidad"</f>
        <v>Descripcion: FLANERA POSTRES EN ACERO INOX. Estado: Bueno Placa anterior: 000017794 Material: ACERO INOXIDABLE Color:  Referencia:  Observacion:  Placa padre: Tipo adquisicion: Entidad</v>
      </c>
      <c r="G11779" s="5"/>
    </row>
    <row r="11780" spans="1:7" ht="58.5" customHeight="1" x14ac:dyDescent="0.25">
      <c r="A11780" s="5" t="str">
        <f>"H0014853"</f>
        <v>H0014853</v>
      </c>
      <c r="B11780" s="5" t="str">
        <f t="shared" si="609"/>
        <v>FLANERA EN ACERO INOXIDABLE</v>
      </c>
      <c r="C11780" s="6">
        <v>1826.28</v>
      </c>
      <c r="D11780" s="5"/>
      <c r="E11780" s="5" t="str">
        <f t="shared" si="608"/>
        <v>NUTRICION-ESPERANZA MONCADA PARADA</v>
      </c>
      <c r="F11780" s="5" t="str">
        <f>"Descripcion: FLANERA POSTRES EN ACERO INOX. Estado: Bueno Placa anterior: 000017795 Material: ACERO INOXIDABLE Color:  Referencia:  Observacion:  Placa padre: Tipo adquisicion: Entidad"</f>
        <v>Descripcion: FLANERA POSTRES EN ACERO INOX. Estado: Bueno Placa anterior: 000017795 Material: ACERO INOXIDABLE Color:  Referencia:  Observacion:  Placa padre: Tipo adquisicion: Entidad</v>
      </c>
      <c r="G11780" s="5"/>
    </row>
    <row r="11781" spans="1:7" ht="58.5" customHeight="1" x14ac:dyDescent="0.25">
      <c r="A11781" s="5" t="str">
        <f>"H0014854"</f>
        <v>H0014854</v>
      </c>
      <c r="B11781" s="5" t="str">
        <f t="shared" si="609"/>
        <v>FLANERA EN ACERO INOXIDABLE</v>
      </c>
      <c r="C11781" s="6">
        <v>1826.28</v>
      </c>
      <c r="D11781" s="5"/>
      <c r="E11781" s="5" t="str">
        <f t="shared" si="608"/>
        <v>NUTRICION-ESPERANZA MONCADA PARADA</v>
      </c>
      <c r="F11781" s="5" t="str">
        <f>"Descripcion: FLANERA POSTRES EN ACERO INOX. Estado: Bueno Placa anterior: 000017796 Material: ACERO INOXIDABLE Color:  Referencia:  Observacion:  Placa padre: Tipo adquisicion: Entidad"</f>
        <v>Descripcion: FLANERA POSTRES EN ACERO INOX. Estado: Bueno Placa anterior: 000017796 Material: ACERO INOXIDABLE Color:  Referencia:  Observacion:  Placa padre: Tipo adquisicion: Entidad</v>
      </c>
      <c r="G11781" s="5"/>
    </row>
    <row r="11782" spans="1:7" ht="58.5" customHeight="1" x14ac:dyDescent="0.25">
      <c r="A11782" s="5" t="str">
        <f>"H0014855"</f>
        <v>H0014855</v>
      </c>
      <c r="B11782" s="5" t="str">
        <f t="shared" si="609"/>
        <v>FLANERA EN ACERO INOXIDABLE</v>
      </c>
      <c r="C11782" s="6">
        <v>1826.28</v>
      </c>
      <c r="D11782" s="5"/>
      <c r="E11782" s="5" t="str">
        <f t="shared" si="608"/>
        <v>NUTRICION-ESPERANZA MONCADA PARADA</v>
      </c>
      <c r="F11782" s="5" t="str">
        <f>"Descripcion: FLANERA POSTRES EN ACERO INOX. Estado: Bueno Placa anterior: 000017797 Material: ACERO INOXIDABLE Color:  Referencia:  Observacion:  Placa padre: Tipo adquisicion: Entidad"</f>
        <v>Descripcion: FLANERA POSTRES EN ACERO INOX. Estado: Bueno Placa anterior: 000017797 Material: ACERO INOXIDABLE Color:  Referencia:  Observacion:  Placa padre: Tipo adquisicion: Entidad</v>
      </c>
      <c r="G11782" s="5"/>
    </row>
    <row r="11783" spans="1:7" ht="58.5" customHeight="1" x14ac:dyDescent="0.25">
      <c r="A11783" s="5" t="str">
        <f>"H0014856"</f>
        <v>H0014856</v>
      </c>
      <c r="B11783" s="5" t="str">
        <f t="shared" si="609"/>
        <v>FLANERA EN ACERO INOXIDABLE</v>
      </c>
      <c r="C11783" s="6">
        <v>1826.28</v>
      </c>
      <c r="D11783" s="5"/>
      <c r="E11783" s="5" t="str">
        <f t="shared" si="608"/>
        <v>NUTRICION-ESPERANZA MONCADA PARADA</v>
      </c>
      <c r="F11783" s="5" t="str">
        <f>"Descripcion: FLANERA POSTRES EN ACERO INOX. Estado: Bueno Placa anterior: 000017798 Material: ACERO INOXIDABLE Color:  Referencia:  Observacion:  Placa padre: Tipo adquisicion: Entidad"</f>
        <v>Descripcion: FLANERA POSTRES EN ACERO INOX. Estado: Bueno Placa anterior: 000017798 Material: ACERO INOXIDABLE Color:  Referencia:  Observacion:  Placa padre: Tipo adquisicion: Entidad</v>
      </c>
      <c r="G11783" s="5"/>
    </row>
    <row r="11784" spans="1:7" ht="58.5" customHeight="1" x14ac:dyDescent="0.25">
      <c r="A11784" s="5" t="str">
        <f>"H0014857"</f>
        <v>H0014857</v>
      </c>
      <c r="B11784" s="5" t="str">
        <f t="shared" si="609"/>
        <v>FLANERA EN ACERO INOXIDABLE</v>
      </c>
      <c r="C11784" s="6">
        <v>1826.28</v>
      </c>
      <c r="D11784" s="5"/>
      <c r="E11784" s="5" t="str">
        <f t="shared" si="608"/>
        <v>NUTRICION-ESPERANZA MONCADA PARADA</v>
      </c>
      <c r="F11784" s="5" t="str">
        <f>"Descripcion: FLANERA POSTRES EN ACERO INOX. Estado: Bueno Placa anterior: 000017799 Material: ACERO INOXIDABLE Color:  Referencia:  Observacion:  Placa padre: Tipo adquisicion: Entidad"</f>
        <v>Descripcion: FLANERA POSTRES EN ACERO INOX. Estado: Bueno Placa anterior: 000017799 Material: ACERO INOXIDABLE Color:  Referencia:  Observacion:  Placa padre: Tipo adquisicion: Entidad</v>
      </c>
      <c r="G11784" s="5"/>
    </row>
    <row r="11785" spans="1:7" ht="58.5" customHeight="1" x14ac:dyDescent="0.25">
      <c r="A11785" s="5" t="str">
        <f>"H0014858"</f>
        <v>H0014858</v>
      </c>
      <c r="B11785" s="5" t="str">
        <f t="shared" si="609"/>
        <v>FLANERA EN ACERO INOXIDABLE</v>
      </c>
      <c r="C11785" s="6">
        <v>1826.28</v>
      </c>
      <c r="D11785" s="5"/>
      <c r="E11785" s="5" t="str">
        <f t="shared" si="608"/>
        <v>NUTRICION-ESPERANZA MONCADA PARADA</v>
      </c>
      <c r="F11785" s="5" t="str">
        <f>"Descripcion: FLANERA POSTRES EN ACERO INOX. Estado: Bueno Placa anterior: 000017800 Material: ACERO INOXIDABLE Color:  Referencia:  Observacion:  Placa padre: Tipo adquisicion: Entidad"</f>
        <v>Descripcion: FLANERA POSTRES EN ACERO INOX. Estado: Bueno Placa anterior: 000017800 Material: ACERO INOXIDABLE Color:  Referencia:  Observacion:  Placa padre: Tipo adquisicion: Entidad</v>
      </c>
      <c r="G11785" s="5"/>
    </row>
    <row r="11786" spans="1:7" ht="58.5" customHeight="1" x14ac:dyDescent="0.25">
      <c r="A11786" s="5" t="str">
        <f>"H0014859"</f>
        <v>H0014859</v>
      </c>
      <c r="B11786" s="5" t="str">
        <f t="shared" si="609"/>
        <v>FLANERA EN ACERO INOXIDABLE</v>
      </c>
      <c r="C11786" s="6">
        <v>1826.28</v>
      </c>
      <c r="D11786" s="5"/>
      <c r="E11786" s="5" t="str">
        <f t="shared" si="608"/>
        <v>NUTRICION-ESPERANZA MONCADA PARADA</v>
      </c>
      <c r="F11786" s="5" t="str">
        <f>"Descripcion: FLANERA POSTRES EN ACERO INOX. Estado: Bueno Placa anterior: 000017801 Material: ACERO INOXIDABLE Color:  Referencia:  Observacion:  Placa padre: Tipo adquisicion: Entidad"</f>
        <v>Descripcion: FLANERA POSTRES EN ACERO INOX. Estado: Bueno Placa anterior: 000017801 Material: ACERO INOXIDABLE Color:  Referencia:  Observacion:  Placa padre: Tipo adquisicion: Entidad</v>
      </c>
      <c r="G11786" s="5"/>
    </row>
    <row r="11787" spans="1:7" ht="58.5" customHeight="1" x14ac:dyDescent="0.25">
      <c r="A11787" s="5" t="str">
        <f>"H0014860"</f>
        <v>H0014860</v>
      </c>
      <c r="B11787" s="5" t="str">
        <f t="shared" si="609"/>
        <v>FLANERA EN ACERO INOXIDABLE</v>
      </c>
      <c r="C11787" s="6">
        <v>1826.28</v>
      </c>
      <c r="D11787" s="5"/>
      <c r="E11787" s="5" t="str">
        <f t="shared" si="608"/>
        <v>NUTRICION-ESPERANZA MONCADA PARADA</v>
      </c>
      <c r="F11787" s="5" t="str">
        <f>"Descripcion: FLANERA POSTRES EN ACERO INOX. Estado: Bueno Placa anterior: 000017802 Material: ACERO INOXIDABLE Color:  Referencia:  Observacion:  Placa padre: Tipo adquisicion: Entidad"</f>
        <v>Descripcion: FLANERA POSTRES EN ACERO INOX. Estado: Bueno Placa anterior: 000017802 Material: ACERO INOXIDABLE Color:  Referencia:  Observacion:  Placa padre: Tipo adquisicion: Entidad</v>
      </c>
      <c r="G11787" s="5"/>
    </row>
    <row r="11788" spans="1:7" ht="58.5" customHeight="1" x14ac:dyDescent="0.25">
      <c r="A11788" s="5" t="str">
        <f>"H0014861"</f>
        <v>H0014861</v>
      </c>
      <c r="B11788" s="5" t="str">
        <f t="shared" ref="B11788:B11819" si="610">"FLANERA EN ACERO INOXIDABLE"</f>
        <v>FLANERA EN ACERO INOXIDABLE</v>
      </c>
      <c r="C11788" s="6">
        <v>1826.28</v>
      </c>
      <c r="D11788" s="5"/>
      <c r="E11788" s="5" t="str">
        <f t="shared" si="608"/>
        <v>NUTRICION-ESPERANZA MONCADA PARADA</v>
      </c>
      <c r="F11788" s="5" t="str">
        <f>"Descripcion: FLANERA POSTRES EN ACERO INOX. Estado: Bueno Placa anterior: 000017803 Material: ACERO INOXIDABLE Color:  Referencia:  Observacion:  Placa padre: Tipo adquisicion: Entidad"</f>
        <v>Descripcion: FLANERA POSTRES EN ACERO INOX. Estado: Bueno Placa anterior: 000017803 Material: ACERO INOXIDABLE Color:  Referencia:  Observacion:  Placa padre: Tipo adquisicion: Entidad</v>
      </c>
      <c r="G11788" s="5"/>
    </row>
    <row r="11789" spans="1:7" ht="58.5" customHeight="1" x14ac:dyDescent="0.25">
      <c r="A11789" s="5" t="str">
        <f>"H0014862"</f>
        <v>H0014862</v>
      </c>
      <c r="B11789" s="5" t="str">
        <f t="shared" si="610"/>
        <v>FLANERA EN ACERO INOXIDABLE</v>
      </c>
      <c r="C11789" s="6">
        <v>1826.28</v>
      </c>
      <c r="D11789" s="5"/>
      <c r="E11789" s="5" t="str">
        <f t="shared" si="608"/>
        <v>NUTRICION-ESPERANZA MONCADA PARADA</v>
      </c>
      <c r="F11789" s="5" t="str">
        <f>"Descripcion: FLANERA POSTRES EN ACERO INOX. Estado: Bueno Placa anterior: 000017804 Material: ACERO INOXIDABLE Color:  Referencia:  Observacion:  Placa padre: Tipo adquisicion: Entidad"</f>
        <v>Descripcion: FLANERA POSTRES EN ACERO INOX. Estado: Bueno Placa anterior: 000017804 Material: ACERO INOXIDABLE Color:  Referencia:  Observacion:  Placa padre: Tipo adquisicion: Entidad</v>
      </c>
      <c r="G11789" s="5"/>
    </row>
    <row r="11790" spans="1:7" ht="58.5" customHeight="1" x14ac:dyDescent="0.25">
      <c r="A11790" s="5" t="str">
        <f>"H0014863"</f>
        <v>H0014863</v>
      </c>
      <c r="B11790" s="5" t="str">
        <f t="shared" si="610"/>
        <v>FLANERA EN ACERO INOXIDABLE</v>
      </c>
      <c r="C11790" s="6">
        <v>1826.28</v>
      </c>
      <c r="D11790" s="5"/>
      <c r="E11790" s="5" t="str">
        <f t="shared" si="608"/>
        <v>NUTRICION-ESPERANZA MONCADA PARADA</v>
      </c>
      <c r="F11790" s="5" t="str">
        <f>"Descripcion: FLANERA POSTRES EN ACERO INOX. Estado: Bueno Placa anterior: 000017805 Material: ACERO INOXIDABLE Color:  Referencia:  Observacion:  Placa padre: Tipo adquisicion: Entidad"</f>
        <v>Descripcion: FLANERA POSTRES EN ACERO INOX. Estado: Bueno Placa anterior: 000017805 Material: ACERO INOXIDABLE Color:  Referencia:  Observacion:  Placa padre: Tipo adquisicion: Entidad</v>
      </c>
      <c r="G11790" s="5"/>
    </row>
    <row r="11791" spans="1:7" ht="58.5" customHeight="1" x14ac:dyDescent="0.25">
      <c r="A11791" s="5" t="str">
        <f>"H0014864"</f>
        <v>H0014864</v>
      </c>
      <c r="B11791" s="5" t="str">
        <f t="shared" si="610"/>
        <v>FLANERA EN ACERO INOXIDABLE</v>
      </c>
      <c r="C11791" s="6">
        <v>1826.28</v>
      </c>
      <c r="D11791" s="5"/>
      <c r="E11791" s="5" t="str">
        <f t="shared" si="608"/>
        <v>NUTRICION-ESPERANZA MONCADA PARADA</v>
      </c>
      <c r="F11791" s="5" t="str">
        <f>"Descripcion: FLANERA POSTRES EN ACERO INOX. Estado: Bueno Placa anterior: 000017806 Material: ACERO INOXIDABLE Color:  Referencia:  Observacion:  Placa padre: Tipo adquisicion: Entidad"</f>
        <v>Descripcion: FLANERA POSTRES EN ACERO INOX. Estado: Bueno Placa anterior: 000017806 Material: ACERO INOXIDABLE Color:  Referencia:  Observacion:  Placa padre: Tipo adquisicion: Entidad</v>
      </c>
      <c r="G11791" s="5"/>
    </row>
    <row r="11792" spans="1:7" ht="58.5" customHeight="1" x14ac:dyDescent="0.25">
      <c r="A11792" s="5" t="str">
        <f>"H0014865"</f>
        <v>H0014865</v>
      </c>
      <c r="B11792" s="5" t="str">
        <f t="shared" si="610"/>
        <v>FLANERA EN ACERO INOXIDABLE</v>
      </c>
      <c r="C11792" s="6">
        <v>1826.28</v>
      </c>
      <c r="D11792" s="5"/>
      <c r="E11792" s="5" t="str">
        <f t="shared" si="608"/>
        <v>NUTRICION-ESPERANZA MONCADA PARADA</v>
      </c>
      <c r="F11792" s="5" t="str">
        <f>"Descripcion: FLANERA POSTRES EN ACERO INOX. Estado: Bueno Placa anterior: 000017807 Material: ACERO INOXIDABLE Color:  Referencia:  Observacion:  Placa padre: Tipo adquisicion: Entidad"</f>
        <v>Descripcion: FLANERA POSTRES EN ACERO INOX. Estado: Bueno Placa anterior: 000017807 Material: ACERO INOXIDABLE Color:  Referencia:  Observacion:  Placa padre: Tipo adquisicion: Entidad</v>
      </c>
      <c r="G11792" s="5"/>
    </row>
    <row r="11793" spans="1:7" ht="58.5" customHeight="1" x14ac:dyDescent="0.25">
      <c r="A11793" s="5" t="str">
        <f>"H0014866"</f>
        <v>H0014866</v>
      </c>
      <c r="B11793" s="5" t="str">
        <f t="shared" si="610"/>
        <v>FLANERA EN ACERO INOXIDABLE</v>
      </c>
      <c r="C11793" s="6">
        <v>1826.28</v>
      </c>
      <c r="D11793" s="5"/>
      <c r="E11793" s="5" t="str">
        <f t="shared" si="608"/>
        <v>NUTRICION-ESPERANZA MONCADA PARADA</v>
      </c>
      <c r="F11793" s="5" t="str">
        <f>"Descripcion: FLANERA POSTRES EN ACERO INOX. Estado: Bueno Placa anterior: 000017808 Material: ACERO INOXIDABLE Color:  Referencia:  Observacion:  Placa padre: Tipo adquisicion: Entidad"</f>
        <v>Descripcion: FLANERA POSTRES EN ACERO INOX. Estado: Bueno Placa anterior: 000017808 Material: ACERO INOXIDABLE Color:  Referencia:  Observacion:  Placa padre: Tipo adquisicion: Entidad</v>
      </c>
      <c r="G11793" s="5"/>
    </row>
    <row r="11794" spans="1:7" ht="58.5" customHeight="1" x14ac:dyDescent="0.25">
      <c r="A11794" s="5" t="str">
        <f>"H0014867"</f>
        <v>H0014867</v>
      </c>
      <c r="B11794" s="5" t="str">
        <f t="shared" si="610"/>
        <v>FLANERA EN ACERO INOXIDABLE</v>
      </c>
      <c r="C11794" s="6">
        <v>1826.28</v>
      </c>
      <c r="D11794" s="5"/>
      <c r="E11794" s="5" t="str">
        <f t="shared" si="608"/>
        <v>NUTRICION-ESPERANZA MONCADA PARADA</v>
      </c>
      <c r="F11794" s="5" t="str">
        <f>"Descripcion: FLANERA POSTRES EN ACERO INOX. Estado: Bueno Placa anterior: 000017809 Material: ACERO INOXIDABLE Color:  Referencia:  Observacion:  Placa padre: Tipo adquisicion: Entidad"</f>
        <v>Descripcion: FLANERA POSTRES EN ACERO INOX. Estado: Bueno Placa anterior: 000017809 Material: ACERO INOXIDABLE Color:  Referencia:  Observacion:  Placa padre: Tipo adquisicion: Entidad</v>
      </c>
      <c r="G11794" s="5"/>
    </row>
    <row r="11795" spans="1:7" ht="58.5" customHeight="1" x14ac:dyDescent="0.25">
      <c r="A11795" s="5" t="str">
        <f>"H0014868"</f>
        <v>H0014868</v>
      </c>
      <c r="B11795" s="5" t="str">
        <f t="shared" si="610"/>
        <v>FLANERA EN ACERO INOXIDABLE</v>
      </c>
      <c r="C11795" s="6">
        <v>1826.28</v>
      </c>
      <c r="D11795" s="5"/>
      <c r="E11795" s="5" t="str">
        <f t="shared" si="608"/>
        <v>NUTRICION-ESPERANZA MONCADA PARADA</v>
      </c>
      <c r="F11795" s="5" t="str">
        <f>"Descripcion: FLANERA POSTRES EN ACERO INOX. Estado: Bueno Placa anterior: 000017810 Material: ACERO INOXIDABLE Color:  Referencia:  Observacion:  Placa padre: Tipo adquisicion: Entidad"</f>
        <v>Descripcion: FLANERA POSTRES EN ACERO INOX. Estado: Bueno Placa anterior: 000017810 Material: ACERO INOXIDABLE Color:  Referencia:  Observacion:  Placa padre: Tipo adquisicion: Entidad</v>
      </c>
      <c r="G11795" s="5"/>
    </row>
    <row r="11796" spans="1:7" ht="58.5" customHeight="1" x14ac:dyDescent="0.25">
      <c r="A11796" s="5" t="str">
        <f>"H0014869"</f>
        <v>H0014869</v>
      </c>
      <c r="B11796" s="5" t="str">
        <f t="shared" si="610"/>
        <v>FLANERA EN ACERO INOXIDABLE</v>
      </c>
      <c r="C11796" s="6">
        <v>1826.28</v>
      </c>
      <c r="D11796" s="5"/>
      <c r="E11796" s="5" t="str">
        <f t="shared" si="608"/>
        <v>NUTRICION-ESPERANZA MONCADA PARADA</v>
      </c>
      <c r="F11796" s="5" t="str">
        <f>"Descripcion: FLANERA POSTRES EN ACERO INOX. Estado: Bueno Placa anterior: 000017811 Material: ACERO INOXIDABLE Color:  Referencia:  Observacion:  Placa padre: Tipo adquisicion: Entidad"</f>
        <v>Descripcion: FLANERA POSTRES EN ACERO INOX. Estado: Bueno Placa anterior: 000017811 Material: ACERO INOXIDABLE Color:  Referencia:  Observacion:  Placa padre: Tipo adquisicion: Entidad</v>
      </c>
      <c r="G11796" s="5"/>
    </row>
    <row r="11797" spans="1:7" ht="58.5" customHeight="1" x14ac:dyDescent="0.25">
      <c r="A11797" s="5" t="str">
        <f>"H0014870"</f>
        <v>H0014870</v>
      </c>
      <c r="B11797" s="5" t="str">
        <f t="shared" si="610"/>
        <v>FLANERA EN ACERO INOXIDABLE</v>
      </c>
      <c r="C11797" s="6">
        <v>1826.28</v>
      </c>
      <c r="D11797" s="5"/>
      <c r="E11797" s="5" t="str">
        <f t="shared" si="608"/>
        <v>NUTRICION-ESPERANZA MONCADA PARADA</v>
      </c>
      <c r="F11797" s="5" t="str">
        <f>"Descripcion: FLANERA POSTRES EN ACERO INOX. Estado: Bueno Placa anterior: 000017812 Material: ACERO INOXIDABLE Color:  Referencia:  Observacion:  Placa padre: Tipo adquisicion: Entidad"</f>
        <v>Descripcion: FLANERA POSTRES EN ACERO INOX. Estado: Bueno Placa anterior: 000017812 Material: ACERO INOXIDABLE Color:  Referencia:  Observacion:  Placa padre: Tipo adquisicion: Entidad</v>
      </c>
      <c r="G11797" s="5"/>
    </row>
    <row r="11798" spans="1:7" ht="58.5" customHeight="1" x14ac:dyDescent="0.25">
      <c r="A11798" s="5" t="str">
        <f>"H0014871"</f>
        <v>H0014871</v>
      </c>
      <c r="B11798" s="5" t="str">
        <f t="shared" si="610"/>
        <v>FLANERA EN ACERO INOXIDABLE</v>
      </c>
      <c r="C11798" s="6">
        <v>1826.28</v>
      </c>
      <c r="D11798" s="5"/>
      <c r="E11798" s="5" t="str">
        <f t="shared" si="608"/>
        <v>NUTRICION-ESPERANZA MONCADA PARADA</v>
      </c>
      <c r="F11798" s="5" t="str">
        <f>"Descripcion: FLANERA POSTRES EN ACERO INOX. Estado: Bueno Placa anterior: 000017813 Material: ACERO INOXIDABLE Color:  Referencia:  Observacion:  Placa padre: Tipo adquisicion: Entidad"</f>
        <v>Descripcion: FLANERA POSTRES EN ACERO INOX. Estado: Bueno Placa anterior: 000017813 Material: ACERO INOXIDABLE Color:  Referencia:  Observacion:  Placa padre: Tipo adquisicion: Entidad</v>
      </c>
      <c r="G11798" s="5"/>
    </row>
    <row r="11799" spans="1:7" ht="58.5" customHeight="1" x14ac:dyDescent="0.25">
      <c r="A11799" s="5" t="str">
        <f>"H0014872"</f>
        <v>H0014872</v>
      </c>
      <c r="B11799" s="5" t="str">
        <f t="shared" si="610"/>
        <v>FLANERA EN ACERO INOXIDABLE</v>
      </c>
      <c r="C11799" s="6">
        <v>1826.28</v>
      </c>
      <c r="D11799" s="5"/>
      <c r="E11799" s="5" t="str">
        <f t="shared" si="608"/>
        <v>NUTRICION-ESPERANZA MONCADA PARADA</v>
      </c>
      <c r="F11799" s="5" t="str">
        <f>"Descripcion: FLANERA POSTRES EN ACERO INOX. Estado: Bueno Placa anterior: 000017814 Material: ACERO INOXIDABLE Color:  Referencia:  Observacion:  Placa padre: Tipo adquisicion: Entidad"</f>
        <v>Descripcion: FLANERA POSTRES EN ACERO INOX. Estado: Bueno Placa anterior: 000017814 Material: ACERO INOXIDABLE Color:  Referencia:  Observacion:  Placa padre: Tipo adquisicion: Entidad</v>
      </c>
      <c r="G11799" s="5"/>
    </row>
    <row r="11800" spans="1:7" ht="58.5" customHeight="1" x14ac:dyDescent="0.25">
      <c r="A11800" s="5" t="str">
        <f>"H0014873"</f>
        <v>H0014873</v>
      </c>
      <c r="B11800" s="5" t="str">
        <f t="shared" si="610"/>
        <v>FLANERA EN ACERO INOXIDABLE</v>
      </c>
      <c r="C11800" s="6">
        <v>1826.28</v>
      </c>
      <c r="D11800" s="5"/>
      <c r="E11800" s="5" t="str">
        <f t="shared" si="608"/>
        <v>NUTRICION-ESPERANZA MONCADA PARADA</v>
      </c>
      <c r="F11800" s="5" t="str">
        <f>"Descripcion: FLANERA POSTRES EN ACERO INOX. Estado: Bueno Placa anterior: 000017815 Material: ACERO INOXIDABLE Color:  Referencia:  Observacion:  Placa padre: Tipo adquisicion: Entidad"</f>
        <v>Descripcion: FLANERA POSTRES EN ACERO INOX. Estado: Bueno Placa anterior: 000017815 Material: ACERO INOXIDABLE Color:  Referencia:  Observacion:  Placa padre: Tipo adquisicion: Entidad</v>
      </c>
      <c r="G11800" s="5"/>
    </row>
    <row r="11801" spans="1:7" ht="58.5" customHeight="1" x14ac:dyDescent="0.25">
      <c r="A11801" s="5" t="str">
        <f>"H0014874"</f>
        <v>H0014874</v>
      </c>
      <c r="B11801" s="5" t="str">
        <f t="shared" si="610"/>
        <v>FLANERA EN ACERO INOXIDABLE</v>
      </c>
      <c r="C11801" s="6">
        <v>1826.28</v>
      </c>
      <c r="D11801" s="5"/>
      <c r="E11801" s="5" t="str">
        <f t="shared" si="608"/>
        <v>NUTRICION-ESPERANZA MONCADA PARADA</v>
      </c>
      <c r="F11801" s="5" t="str">
        <f>"Descripcion: FLANERA POSTRES EN ACERO INOX. Estado: Bueno Placa anterior: 000017816 Material: ACERO INOXIDABLE Color:  Referencia:  Observacion:  Placa padre: Tipo adquisicion: Entidad"</f>
        <v>Descripcion: FLANERA POSTRES EN ACERO INOX. Estado: Bueno Placa anterior: 000017816 Material: ACERO INOXIDABLE Color:  Referencia:  Observacion:  Placa padre: Tipo adquisicion: Entidad</v>
      </c>
      <c r="G11801" s="5"/>
    </row>
    <row r="11802" spans="1:7" ht="58.5" customHeight="1" x14ac:dyDescent="0.25">
      <c r="A11802" s="5" t="str">
        <f>"H0014875"</f>
        <v>H0014875</v>
      </c>
      <c r="B11802" s="5" t="str">
        <f t="shared" si="610"/>
        <v>FLANERA EN ACERO INOXIDABLE</v>
      </c>
      <c r="C11802" s="6">
        <v>1826.28</v>
      </c>
      <c r="D11802" s="5"/>
      <c r="E11802" s="5" t="str">
        <f t="shared" si="608"/>
        <v>NUTRICION-ESPERANZA MONCADA PARADA</v>
      </c>
      <c r="F11802" s="5" t="str">
        <f>"Descripcion: FLANERA POSTRES EN ACERO INOX. Estado: Bueno Placa anterior: 000017817 Material: ACERO INOXIDABLE Color:  Referencia:  Observacion:  Placa padre: Tipo adquisicion: Entidad"</f>
        <v>Descripcion: FLANERA POSTRES EN ACERO INOX. Estado: Bueno Placa anterior: 000017817 Material: ACERO INOXIDABLE Color:  Referencia:  Observacion:  Placa padre: Tipo adquisicion: Entidad</v>
      </c>
      <c r="G11802" s="5"/>
    </row>
    <row r="11803" spans="1:7" ht="58.5" customHeight="1" x14ac:dyDescent="0.25">
      <c r="A11803" s="5" t="str">
        <f>"H0014876"</f>
        <v>H0014876</v>
      </c>
      <c r="B11803" s="5" t="str">
        <f t="shared" si="610"/>
        <v>FLANERA EN ACERO INOXIDABLE</v>
      </c>
      <c r="C11803" s="6">
        <v>1826.28</v>
      </c>
      <c r="D11803" s="5"/>
      <c r="E11803" s="5" t="str">
        <f t="shared" si="608"/>
        <v>NUTRICION-ESPERANZA MONCADA PARADA</v>
      </c>
      <c r="F11803" s="5" t="str">
        <f>"Descripcion: FLANERA POSTRES EN ACERO INOX. Estado: Bueno Placa anterior: 000017818 Material: ACERO INOXIDABLE Color:  Referencia:  Observacion:  Placa padre: Tipo adquisicion: Entidad"</f>
        <v>Descripcion: FLANERA POSTRES EN ACERO INOX. Estado: Bueno Placa anterior: 000017818 Material: ACERO INOXIDABLE Color:  Referencia:  Observacion:  Placa padre: Tipo adquisicion: Entidad</v>
      </c>
      <c r="G11803" s="5"/>
    </row>
    <row r="11804" spans="1:7" ht="58.5" customHeight="1" x14ac:dyDescent="0.25">
      <c r="A11804" s="5" t="str">
        <f>"H0014877"</f>
        <v>H0014877</v>
      </c>
      <c r="B11804" s="5" t="str">
        <f t="shared" si="610"/>
        <v>FLANERA EN ACERO INOXIDABLE</v>
      </c>
      <c r="C11804" s="6">
        <v>1826.28</v>
      </c>
      <c r="D11804" s="5"/>
      <c r="E11804" s="5" t="str">
        <f t="shared" si="608"/>
        <v>NUTRICION-ESPERANZA MONCADA PARADA</v>
      </c>
      <c r="F11804" s="5" t="str">
        <f>"Descripcion: FLANERA POSTRES EN ACERO INOX. Estado: Bueno Placa anterior: 000017819 Material: ACERO INOXIDABLE Color:  Referencia:  Observacion:  Placa padre: Tipo adquisicion: Entidad"</f>
        <v>Descripcion: FLANERA POSTRES EN ACERO INOX. Estado: Bueno Placa anterior: 000017819 Material: ACERO INOXIDABLE Color:  Referencia:  Observacion:  Placa padre: Tipo adquisicion: Entidad</v>
      </c>
      <c r="G11804" s="5"/>
    </row>
    <row r="11805" spans="1:7" ht="58.5" customHeight="1" x14ac:dyDescent="0.25">
      <c r="A11805" s="5" t="str">
        <f>"H0014878"</f>
        <v>H0014878</v>
      </c>
      <c r="B11805" s="5" t="str">
        <f t="shared" si="610"/>
        <v>FLANERA EN ACERO INOXIDABLE</v>
      </c>
      <c r="C11805" s="6">
        <v>1826.28</v>
      </c>
      <c r="D11805" s="5"/>
      <c r="E11805" s="5" t="str">
        <f t="shared" si="608"/>
        <v>NUTRICION-ESPERANZA MONCADA PARADA</v>
      </c>
      <c r="F11805" s="5" t="str">
        <f>"Descripcion: FLANERA POSTRES EN ACERO INOX. Estado: Bueno Placa anterior: 000017820 Material: ACERO INOXIDABLE Color:  Referencia:  Observacion:  Placa padre: Tipo adquisicion: Entidad"</f>
        <v>Descripcion: FLANERA POSTRES EN ACERO INOX. Estado: Bueno Placa anterior: 000017820 Material: ACERO INOXIDABLE Color:  Referencia:  Observacion:  Placa padre: Tipo adquisicion: Entidad</v>
      </c>
      <c r="G11805" s="5"/>
    </row>
    <row r="11806" spans="1:7" ht="58.5" customHeight="1" x14ac:dyDescent="0.25">
      <c r="A11806" s="5" t="str">
        <f>"H0014879"</f>
        <v>H0014879</v>
      </c>
      <c r="B11806" s="5" t="str">
        <f t="shared" si="610"/>
        <v>FLANERA EN ACERO INOXIDABLE</v>
      </c>
      <c r="C11806" s="6">
        <v>1826.28</v>
      </c>
      <c r="D11806" s="5"/>
      <c r="E11806" s="5" t="str">
        <f t="shared" si="608"/>
        <v>NUTRICION-ESPERANZA MONCADA PARADA</v>
      </c>
      <c r="F11806" s="5" t="str">
        <f>"Descripcion: FLANERA POSTRES EN ACERO INOX. Estado: Bueno Placa anterior: 000017821 Material: ACERO INOXIDABLE Color:  Referencia:  Observacion:  Placa padre: Tipo adquisicion: Entidad"</f>
        <v>Descripcion: FLANERA POSTRES EN ACERO INOX. Estado: Bueno Placa anterior: 000017821 Material: ACERO INOXIDABLE Color:  Referencia:  Observacion:  Placa padre: Tipo adquisicion: Entidad</v>
      </c>
      <c r="G11806" s="5"/>
    </row>
    <row r="11807" spans="1:7" ht="58.5" customHeight="1" x14ac:dyDescent="0.25">
      <c r="A11807" s="5" t="str">
        <f>"H0014880"</f>
        <v>H0014880</v>
      </c>
      <c r="B11807" s="5" t="str">
        <f t="shared" si="610"/>
        <v>FLANERA EN ACERO INOXIDABLE</v>
      </c>
      <c r="C11807" s="6">
        <v>1826.28</v>
      </c>
      <c r="D11807" s="5"/>
      <c r="E11807" s="5" t="str">
        <f t="shared" si="608"/>
        <v>NUTRICION-ESPERANZA MONCADA PARADA</v>
      </c>
      <c r="F11807" s="5" t="str">
        <f>"Descripcion: FLANERA POSTRES EN ACERO INOX. Estado: Bueno Placa anterior: 000017822 Material: ACERO INOXIDABLE Color:  Referencia:  Observacion:  Placa padre: Tipo adquisicion: Entidad"</f>
        <v>Descripcion: FLANERA POSTRES EN ACERO INOX. Estado: Bueno Placa anterior: 000017822 Material: ACERO INOXIDABLE Color:  Referencia:  Observacion:  Placa padre: Tipo adquisicion: Entidad</v>
      </c>
      <c r="G11807" s="5"/>
    </row>
    <row r="11808" spans="1:7" ht="58.5" customHeight="1" x14ac:dyDescent="0.25">
      <c r="A11808" s="5" t="str">
        <f>"H0014881"</f>
        <v>H0014881</v>
      </c>
      <c r="B11808" s="5" t="str">
        <f t="shared" si="610"/>
        <v>FLANERA EN ACERO INOXIDABLE</v>
      </c>
      <c r="C11808" s="6">
        <v>1826.28</v>
      </c>
      <c r="D11808" s="5"/>
      <c r="E11808" s="5" t="str">
        <f t="shared" si="608"/>
        <v>NUTRICION-ESPERANZA MONCADA PARADA</v>
      </c>
      <c r="F11808" s="5" t="str">
        <f>"Descripcion: FLANERA POSTRES EN ACERO INOX. Estado: Bueno Placa anterior: 000017823 Material: ACERO INOXIDABLE Color:  Referencia:  Observacion:  Placa padre: Tipo adquisicion: Entidad"</f>
        <v>Descripcion: FLANERA POSTRES EN ACERO INOX. Estado: Bueno Placa anterior: 000017823 Material: ACERO INOXIDABLE Color:  Referencia:  Observacion:  Placa padre: Tipo adquisicion: Entidad</v>
      </c>
      <c r="G11808" s="5"/>
    </row>
    <row r="11809" spans="1:7" ht="58.5" customHeight="1" x14ac:dyDescent="0.25">
      <c r="A11809" s="5" t="str">
        <f>"H0014882"</f>
        <v>H0014882</v>
      </c>
      <c r="B11809" s="5" t="str">
        <f t="shared" si="610"/>
        <v>FLANERA EN ACERO INOXIDABLE</v>
      </c>
      <c r="C11809" s="6">
        <v>1826.28</v>
      </c>
      <c r="D11809" s="5"/>
      <c r="E11809" s="5" t="str">
        <f t="shared" si="608"/>
        <v>NUTRICION-ESPERANZA MONCADA PARADA</v>
      </c>
      <c r="F11809" s="5" t="str">
        <f>"Descripcion: FLANERA POSTRES EN ACERO INOX. Estado: Bueno Placa anterior: 000017824 Material: ACERO INOXIDABLE Color:  Referencia:  Observacion:  Placa padre: Tipo adquisicion: Entidad"</f>
        <v>Descripcion: FLANERA POSTRES EN ACERO INOX. Estado: Bueno Placa anterior: 000017824 Material: ACERO INOXIDABLE Color:  Referencia:  Observacion:  Placa padre: Tipo adquisicion: Entidad</v>
      </c>
      <c r="G11809" s="5"/>
    </row>
    <row r="11810" spans="1:7" ht="58.5" customHeight="1" x14ac:dyDescent="0.25">
      <c r="A11810" s="5" t="str">
        <f>"H0014883"</f>
        <v>H0014883</v>
      </c>
      <c r="B11810" s="5" t="str">
        <f t="shared" si="610"/>
        <v>FLANERA EN ACERO INOXIDABLE</v>
      </c>
      <c r="C11810" s="6">
        <v>1826.28</v>
      </c>
      <c r="D11810" s="5"/>
      <c r="E11810" s="5" t="str">
        <f t="shared" si="608"/>
        <v>NUTRICION-ESPERANZA MONCADA PARADA</v>
      </c>
      <c r="F11810" s="5" t="str">
        <f>"Descripcion: FLANERA POSTRES EN ACERO INOX. Estado: Bueno Placa anterior: 000017825 Material: ACERO INOXIDABLE Color:  Referencia:  Observacion:  Placa padre: Tipo adquisicion: Entidad"</f>
        <v>Descripcion: FLANERA POSTRES EN ACERO INOX. Estado: Bueno Placa anterior: 000017825 Material: ACERO INOXIDABLE Color:  Referencia:  Observacion:  Placa padre: Tipo adquisicion: Entidad</v>
      </c>
      <c r="G11810" s="5"/>
    </row>
    <row r="11811" spans="1:7" ht="58.5" customHeight="1" x14ac:dyDescent="0.25">
      <c r="A11811" s="5" t="str">
        <f>"H0014884"</f>
        <v>H0014884</v>
      </c>
      <c r="B11811" s="5" t="str">
        <f t="shared" si="610"/>
        <v>FLANERA EN ACERO INOXIDABLE</v>
      </c>
      <c r="C11811" s="6">
        <v>1826.28</v>
      </c>
      <c r="D11811" s="5"/>
      <c r="E11811" s="5" t="str">
        <f t="shared" si="608"/>
        <v>NUTRICION-ESPERANZA MONCADA PARADA</v>
      </c>
      <c r="F11811" s="5" t="str">
        <f>"Descripcion: FLANERA POSTRES EN ACERO INOX. Estado: Bueno Placa anterior: 000017826 Material: ACERO INOXIDABLE Color:  Referencia:  Observacion:  Placa padre: Tipo adquisicion: Entidad"</f>
        <v>Descripcion: FLANERA POSTRES EN ACERO INOX. Estado: Bueno Placa anterior: 000017826 Material: ACERO INOXIDABLE Color:  Referencia:  Observacion:  Placa padre: Tipo adquisicion: Entidad</v>
      </c>
      <c r="G11811" s="5"/>
    </row>
    <row r="11812" spans="1:7" ht="58.5" customHeight="1" x14ac:dyDescent="0.25">
      <c r="A11812" s="5" t="str">
        <f>"H0014885"</f>
        <v>H0014885</v>
      </c>
      <c r="B11812" s="5" t="str">
        <f t="shared" si="610"/>
        <v>FLANERA EN ACERO INOXIDABLE</v>
      </c>
      <c r="C11812" s="6">
        <v>1826.28</v>
      </c>
      <c r="D11812" s="5"/>
      <c r="E11812" s="5" t="str">
        <f t="shared" si="608"/>
        <v>NUTRICION-ESPERANZA MONCADA PARADA</v>
      </c>
      <c r="F11812" s="5" t="str">
        <f>"Descripcion: FLANERA POSTRES EN ACERO INOX. Estado: Bueno Placa anterior: 000017827 Material: ACERO INOXIDABLE Color:  Referencia:  Observacion:  Placa padre: Tipo adquisicion: Entidad"</f>
        <v>Descripcion: FLANERA POSTRES EN ACERO INOX. Estado: Bueno Placa anterior: 000017827 Material: ACERO INOXIDABLE Color:  Referencia:  Observacion:  Placa padre: Tipo adquisicion: Entidad</v>
      </c>
      <c r="G11812" s="5"/>
    </row>
    <row r="11813" spans="1:7" ht="58.5" customHeight="1" x14ac:dyDescent="0.25">
      <c r="A11813" s="5" t="str">
        <f>"H0014886"</f>
        <v>H0014886</v>
      </c>
      <c r="B11813" s="5" t="str">
        <f t="shared" si="610"/>
        <v>FLANERA EN ACERO INOXIDABLE</v>
      </c>
      <c r="C11813" s="6">
        <v>1826.28</v>
      </c>
      <c r="D11813" s="5"/>
      <c r="E11813" s="5" t="str">
        <f t="shared" si="608"/>
        <v>NUTRICION-ESPERANZA MONCADA PARADA</v>
      </c>
      <c r="F11813" s="5" t="str">
        <f>"Descripcion: FLANERA POSTRES EN ACERO INOX. Estado: Bueno Placa anterior: 000017828 Material: ACERO INOXIDABLE Color:  Referencia:  Observacion:  Placa padre: Tipo adquisicion: Entidad"</f>
        <v>Descripcion: FLANERA POSTRES EN ACERO INOX. Estado: Bueno Placa anterior: 000017828 Material: ACERO INOXIDABLE Color:  Referencia:  Observacion:  Placa padre: Tipo adquisicion: Entidad</v>
      </c>
      <c r="G11813" s="5"/>
    </row>
    <row r="11814" spans="1:7" ht="58.5" customHeight="1" x14ac:dyDescent="0.25">
      <c r="A11814" s="5" t="str">
        <f>"H0014887"</f>
        <v>H0014887</v>
      </c>
      <c r="B11814" s="5" t="str">
        <f t="shared" si="610"/>
        <v>FLANERA EN ACERO INOXIDABLE</v>
      </c>
      <c r="C11814" s="6">
        <v>1826.28</v>
      </c>
      <c r="D11814" s="5"/>
      <c r="E11814" s="5" t="str">
        <f t="shared" si="608"/>
        <v>NUTRICION-ESPERANZA MONCADA PARADA</v>
      </c>
      <c r="F11814" s="5" t="str">
        <f>"Descripcion: FLANERA POSTRES EN ACERO INOX. Estado: Bueno Placa anterior: 000017829 Material: ACERO INOXIDABLE Color:  Referencia:  Observacion:  Placa padre: Tipo adquisicion: Entidad"</f>
        <v>Descripcion: FLANERA POSTRES EN ACERO INOX. Estado: Bueno Placa anterior: 000017829 Material: ACERO INOXIDABLE Color:  Referencia:  Observacion:  Placa padre: Tipo adquisicion: Entidad</v>
      </c>
      <c r="G11814" s="5"/>
    </row>
    <row r="11815" spans="1:7" ht="58.5" customHeight="1" x14ac:dyDescent="0.25">
      <c r="A11815" s="5" t="str">
        <f>"H0014888"</f>
        <v>H0014888</v>
      </c>
      <c r="B11815" s="5" t="str">
        <f t="shared" si="610"/>
        <v>FLANERA EN ACERO INOXIDABLE</v>
      </c>
      <c r="C11815" s="6">
        <v>1826.28</v>
      </c>
      <c r="D11815" s="5"/>
      <c r="E11815" s="5" t="str">
        <f t="shared" ref="E11815:E11878" si="611">"NUTRICION-ESPERANZA MONCADA PARADA"</f>
        <v>NUTRICION-ESPERANZA MONCADA PARADA</v>
      </c>
      <c r="F11815" s="5" t="str">
        <f>"Descripcion: FLANERA POSTRES EN ACERO INOX. Estado: Bueno Placa anterior: 000017830 Material: ACERO INOXIDABLE Color:  Referencia:  Observacion:  Placa padre: Tipo adquisicion: Entidad"</f>
        <v>Descripcion: FLANERA POSTRES EN ACERO INOX. Estado: Bueno Placa anterior: 000017830 Material: ACERO INOXIDABLE Color:  Referencia:  Observacion:  Placa padre: Tipo adquisicion: Entidad</v>
      </c>
      <c r="G11815" s="5"/>
    </row>
    <row r="11816" spans="1:7" ht="58.5" customHeight="1" x14ac:dyDescent="0.25">
      <c r="A11816" s="5" t="str">
        <f>"H0014889"</f>
        <v>H0014889</v>
      </c>
      <c r="B11816" s="5" t="str">
        <f t="shared" si="610"/>
        <v>FLANERA EN ACERO INOXIDABLE</v>
      </c>
      <c r="C11816" s="6">
        <v>1826.28</v>
      </c>
      <c r="D11816" s="5"/>
      <c r="E11816" s="5" t="str">
        <f t="shared" si="611"/>
        <v>NUTRICION-ESPERANZA MONCADA PARADA</v>
      </c>
      <c r="F11816" s="5" t="str">
        <f>"Descripcion: FLANERA POSTRES EN ACERO INOX. Estado: Bueno Placa anterior: 000017831 Material: ACERO INOXIDABLE Color:  Referencia:  Observacion:  Placa padre: Tipo adquisicion: Entidad"</f>
        <v>Descripcion: FLANERA POSTRES EN ACERO INOX. Estado: Bueno Placa anterior: 000017831 Material: ACERO INOXIDABLE Color:  Referencia:  Observacion:  Placa padre: Tipo adquisicion: Entidad</v>
      </c>
      <c r="G11816" s="5"/>
    </row>
    <row r="11817" spans="1:7" ht="58.5" customHeight="1" x14ac:dyDescent="0.25">
      <c r="A11817" s="5" t="str">
        <f>"H0014890"</f>
        <v>H0014890</v>
      </c>
      <c r="B11817" s="5" t="str">
        <f t="shared" si="610"/>
        <v>FLANERA EN ACERO INOXIDABLE</v>
      </c>
      <c r="C11817" s="6">
        <v>1826.28</v>
      </c>
      <c r="D11817" s="5"/>
      <c r="E11817" s="5" t="str">
        <f t="shared" si="611"/>
        <v>NUTRICION-ESPERANZA MONCADA PARADA</v>
      </c>
      <c r="F11817" s="5" t="str">
        <f>"Descripcion: FLANERA POSTRES EN ACERO INOX. Estado: Bueno Placa anterior: 000017832 Material: ACERO INOXIDABLE Color:  Referencia:  Observacion:  Placa padre: Tipo adquisicion: Entidad"</f>
        <v>Descripcion: FLANERA POSTRES EN ACERO INOX. Estado: Bueno Placa anterior: 000017832 Material: ACERO INOXIDABLE Color:  Referencia:  Observacion:  Placa padre: Tipo adquisicion: Entidad</v>
      </c>
      <c r="G11817" s="5"/>
    </row>
    <row r="11818" spans="1:7" ht="58.5" customHeight="1" x14ac:dyDescent="0.25">
      <c r="A11818" s="5" t="str">
        <f>"H0014891"</f>
        <v>H0014891</v>
      </c>
      <c r="B11818" s="5" t="str">
        <f t="shared" si="610"/>
        <v>FLANERA EN ACERO INOXIDABLE</v>
      </c>
      <c r="C11818" s="6">
        <v>1826.28</v>
      </c>
      <c r="D11818" s="5"/>
      <c r="E11818" s="5" t="str">
        <f t="shared" si="611"/>
        <v>NUTRICION-ESPERANZA MONCADA PARADA</v>
      </c>
      <c r="F11818" s="5" t="str">
        <f>"Descripcion: FLANERA POSTRES EN ACERO INOX. Estado: Bueno Placa anterior: 000017833 Material: ACERO INOXIDABLE Color:  Referencia:  Observacion:  Placa padre: Tipo adquisicion: Entidad"</f>
        <v>Descripcion: FLANERA POSTRES EN ACERO INOX. Estado: Bueno Placa anterior: 000017833 Material: ACERO INOXIDABLE Color:  Referencia:  Observacion:  Placa padre: Tipo adquisicion: Entidad</v>
      </c>
      <c r="G11818" s="5"/>
    </row>
    <row r="11819" spans="1:7" ht="58.5" customHeight="1" x14ac:dyDescent="0.25">
      <c r="A11819" s="5" t="str">
        <f>"H0014892"</f>
        <v>H0014892</v>
      </c>
      <c r="B11819" s="5" t="str">
        <f t="shared" si="610"/>
        <v>FLANERA EN ACERO INOXIDABLE</v>
      </c>
      <c r="C11819" s="6">
        <v>1826.28</v>
      </c>
      <c r="D11819" s="5"/>
      <c r="E11819" s="5" t="str">
        <f t="shared" si="611"/>
        <v>NUTRICION-ESPERANZA MONCADA PARADA</v>
      </c>
      <c r="F11819" s="5" t="str">
        <f>"Descripcion: FLANERA POSTRES EN ACERO INOX. Estado: Bueno Placa anterior: 000017834 Material: ACERO INOXIDABLE Color:  Referencia:  Observacion:  Placa padre: Tipo adquisicion: Entidad"</f>
        <v>Descripcion: FLANERA POSTRES EN ACERO INOX. Estado: Bueno Placa anterior: 000017834 Material: ACERO INOXIDABLE Color:  Referencia:  Observacion:  Placa padre: Tipo adquisicion: Entidad</v>
      </c>
      <c r="G11819" s="5"/>
    </row>
    <row r="11820" spans="1:7" ht="58.5" customHeight="1" x14ac:dyDescent="0.25">
      <c r="A11820" s="5" t="str">
        <f>"H0014893"</f>
        <v>H0014893</v>
      </c>
      <c r="B11820" s="5" t="str">
        <f t="shared" ref="B11820:B11827" si="612">"FLANERA EN ACERO INOXIDABLE"</f>
        <v>FLANERA EN ACERO INOXIDABLE</v>
      </c>
      <c r="C11820" s="6">
        <v>1826.28</v>
      </c>
      <c r="D11820" s="5"/>
      <c r="E11820" s="5" t="str">
        <f t="shared" si="611"/>
        <v>NUTRICION-ESPERANZA MONCADA PARADA</v>
      </c>
      <c r="F11820" s="5" t="str">
        <f>"Descripcion: FLANERA POSTRES EN ACERO INOX. Estado: Bueno Placa anterior: 000017835 Material: ACERO INOXIDABLE Color:  Referencia:  Observacion:  Placa padre: Tipo adquisicion: Entidad"</f>
        <v>Descripcion: FLANERA POSTRES EN ACERO INOX. Estado: Bueno Placa anterior: 000017835 Material: ACERO INOXIDABLE Color:  Referencia:  Observacion:  Placa padre: Tipo adquisicion: Entidad</v>
      </c>
      <c r="G11820" s="5"/>
    </row>
    <row r="11821" spans="1:7" ht="58.5" customHeight="1" x14ac:dyDescent="0.25">
      <c r="A11821" s="5" t="str">
        <f>"H0014894"</f>
        <v>H0014894</v>
      </c>
      <c r="B11821" s="5" t="str">
        <f t="shared" si="612"/>
        <v>FLANERA EN ACERO INOXIDABLE</v>
      </c>
      <c r="C11821" s="6">
        <v>1826.28</v>
      </c>
      <c r="D11821" s="5"/>
      <c r="E11821" s="5" t="str">
        <f t="shared" si="611"/>
        <v>NUTRICION-ESPERANZA MONCADA PARADA</v>
      </c>
      <c r="F11821" s="5" t="str">
        <f>"Descripcion: FLANERA POSTRES EN ACERO INOX. Estado: Bueno Placa anterior: 000017836 Material: ACERO INOXIDABLE Color:  Referencia:  Observacion:  Placa padre: Tipo adquisicion: Entidad"</f>
        <v>Descripcion: FLANERA POSTRES EN ACERO INOX. Estado: Bueno Placa anterior: 000017836 Material: ACERO INOXIDABLE Color:  Referencia:  Observacion:  Placa padre: Tipo adquisicion: Entidad</v>
      </c>
      <c r="G11821" s="5"/>
    </row>
    <row r="11822" spans="1:7" ht="58.5" customHeight="1" x14ac:dyDescent="0.25">
      <c r="A11822" s="5" t="str">
        <f>"H0014895"</f>
        <v>H0014895</v>
      </c>
      <c r="B11822" s="5" t="str">
        <f t="shared" si="612"/>
        <v>FLANERA EN ACERO INOXIDABLE</v>
      </c>
      <c r="C11822" s="6">
        <v>1826.28</v>
      </c>
      <c r="D11822" s="5"/>
      <c r="E11822" s="5" t="str">
        <f t="shared" si="611"/>
        <v>NUTRICION-ESPERANZA MONCADA PARADA</v>
      </c>
      <c r="F11822" s="5" t="str">
        <f>"Descripcion: FLANERA POSTRES EN ACERO INOX. Estado: Bueno Placa anterior: 000017837 Material: ACERO INOXIDABLE Color:  Referencia:  Observacion:  Placa padre: Tipo adquisicion: Entidad"</f>
        <v>Descripcion: FLANERA POSTRES EN ACERO INOX. Estado: Bueno Placa anterior: 000017837 Material: ACERO INOXIDABLE Color:  Referencia:  Observacion:  Placa padre: Tipo adquisicion: Entidad</v>
      </c>
      <c r="G11822" s="5"/>
    </row>
    <row r="11823" spans="1:7" ht="58.5" customHeight="1" x14ac:dyDescent="0.25">
      <c r="A11823" s="5" t="str">
        <f>"H0014896"</f>
        <v>H0014896</v>
      </c>
      <c r="B11823" s="5" t="str">
        <f t="shared" si="612"/>
        <v>FLANERA EN ACERO INOXIDABLE</v>
      </c>
      <c r="C11823" s="6">
        <v>1826.28</v>
      </c>
      <c r="D11823" s="5"/>
      <c r="E11823" s="5" t="str">
        <f t="shared" si="611"/>
        <v>NUTRICION-ESPERANZA MONCADA PARADA</v>
      </c>
      <c r="F11823" s="5" t="str">
        <f>"Descripcion: FLANERA POSTRES EN ACERO INOX. Estado: Bueno Placa anterior: 000017838 Material: ACERO INOXIDABLE Color:  Referencia:  Observacion:  Placa padre: Tipo adquisicion: Entidad"</f>
        <v>Descripcion: FLANERA POSTRES EN ACERO INOX. Estado: Bueno Placa anterior: 000017838 Material: ACERO INOXIDABLE Color:  Referencia:  Observacion:  Placa padre: Tipo adquisicion: Entidad</v>
      </c>
      <c r="G11823" s="5"/>
    </row>
    <row r="11824" spans="1:7" ht="58.5" customHeight="1" x14ac:dyDescent="0.25">
      <c r="A11824" s="5" t="str">
        <f>"H0014897"</f>
        <v>H0014897</v>
      </c>
      <c r="B11824" s="5" t="str">
        <f t="shared" si="612"/>
        <v>FLANERA EN ACERO INOXIDABLE</v>
      </c>
      <c r="C11824" s="6">
        <v>1826.28</v>
      </c>
      <c r="D11824" s="5"/>
      <c r="E11824" s="5" t="str">
        <f t="shared" si="611"/>
        <v>NUTRICION-ESPERANZA MONCADA PARADA</v>
      </c>
      <c r="F11824" s="5" t="str">
        <f>"Descripcion: FLANERA POSTRES EN ACERO INOX. Estado: Bueno Placa anterior: 000017839 Material: ACERO INOXIDABLE Color:  Referencia:  Observacion:  Placa padre: Tipo adquisicion: Entidad"</f>
        <v>Descripcion: FLANERA POSTRES EN ACERO INOX. Estado: Bueno Placa anterior: 000017839 Material: ACERO INOXIDABLE Color:  Referencia:  Observacion:  Placa padre: Tipo adquisicion: Entidad</v>
      </c>
      <c r="G11824" s="5"/>
    </row>
    <row r="11825" spans="1:7" ht="58.5" customHeight="1" x14ac:dyDescent="0.25">
      <c r="A11825" s="5" t="str">
        <f>"H0014898"</f>
        <v>H0014898</v>
      </c>
      <c r="B11825" s="5" t="str">
        <f t="shared" si="612"/>
        <v>FLANERA EN ACERO INOXIDABLE</v>
      </c>
      <c r="C11825" s="6">
        <v>1826.28</v>
      </c>
      <c r="D11825" s="5"/>
      <c r="E11825" s="5" t="str">
        <f t="shared" si="611"/>
        <v>NUTRICION-ESPERANZA MONCADA PARADA</v>
      </c>
      <c r="F11825" s="5" t="str">
        <f>"Descripcion: FLANERA POSTRES EN ACERO INOX. Estado: Bueno Placa anterior: 000017840 Material: ACERO INOXIDABLE Color:  Referencia:  Observacion:  Placa padre: Tipo adquisicion: Entidad"</f>
        <v>Descripcion: FLANERA POSTRES EN ACERO INOX. Estado: Bueno Placa anterior: 000017840 Material: ACERO INOXIDABLE Color:  Referencia:  Observacion:  Placa padre: Tipo adquisicion: Entidad</v>
      </c>
      <c r="G11825" s="5"/>
    </row>
    <row r="11826" spans="1:7" ht="58.5" customHeight="1" x14ac:dyDescent="0.25">
      <c r="A11826" s="5" t="str">
        <f>"H0014899"</f>
        <v>H0014899</v>
      </c>
      <c r="B11826" s="5" t="str">
        <f t="shared" si="612"/>
        <v>FLANERA EN ACERO INOXIDABLE</v>
      </c>
      <c r="C11826" s="6">
        <v>1826.28</v>
      </c>
      <c r="D11826" s="5"/>
      <c r="E11826" s="5" t="str">
        <f t="shared" si="611"/>
        <v>NUTRICION-ESPERANZA MONCADA PARADA</v>
      </c>
      <c r="F11826" s="5" t="str">
        <f>"Descripcion: FLANERA POSTRES EN ACERO INOX. Estado: Bueno Placa anterior: 000017841 Material: ACERO INOXIDABLE Color:  Referencia:  Observacion:  Placa padre: Tipo adquisicion: Entidad"</f>
        <v>Descripcion: FLANERA POSTRES EN ACERO INOX. Estado: Bueno Placa anterior: 000017841 Material: ACERO INOXIDABLE Color:  Referencia:  Observacion:  Placa padre: Tipo adquisicion: Entidad</v>
      </c>
      <c r="G11826" s="5"/>
    </row>
    <row r="11827" spans="1:7" ht="58.5" customHeight="1" x14ac:dyDescent="0.25">
      <c r="A11827" s="5" t="str">
        <f>"H0014900"</f>
        <v>H0014900</v>
      </c>
      <c r="B11827" s="5" t="str">
        <f t="shared" si="612"/>
        <v>FLANERA EN ACERO INOXIDABLE</v>
      </c>
      <c r="C11827" s="6">
        <v>1826.28</v>
      </c>
      <c r="D11827" s="5"/>
      <c r="E11827" s="5" t="str">
        <f t="shared" si="611"/>
        <v>NUTRICION-ESPERANZA MONCADA PARADA</v>
      </c>
      <c r="F11827" s="5" t="str">
        <f>"Descripcion: FLANERA POSTRES EN ACERO INOX. Estado: Bueno Placa anterior: 000017842 Material: ACERO INOXIDABLE Color:  Referencia:  Observacion:  Placa padre: Tipo adquisicion: Entidad"</f>
        <v>Descripcion: FLANERA POSTRES EN ACERO INOX. Estado: Bueno Placa anterior: 000017842 Material: ACERO INOXIDABLE Color:  Referencia:  Observacion:  Placa padre: Tipo adquisicion: Entidad</v>
      </c>
      <c r="G11827" s="5"/>
    </row>
    <row r="11828" spans="1:7" ht="58.5" customHeight="1" x14ac:dyDescent="0.25">
      <c r="A11828" s="5" t="str">
        <f>"H0014901"</f>
        <v>H0014901</v>
      </c>
      <c r="B11828" s="5" t="str">
        <f>"CACEROLA CON TAPA EN ALUMINIO PEQUEÑA"</f>
        <v>CACEROLA CON TAPA EN ALUMINIO PEQUEÑA</v>
      </c>
      <c r="C11828" s="6">
        <v>594</v>
      </c>
      <c r="D11828" s="5"/>
      <c r="E11828" s="5" t="str">
        <f t="shared" si="611"/>
        <v>NUTRICION-ESPERANZA MONCADA PARADA</v>
      </c>
      <c r="F11828" s="5" t="str">
        <f>"Descripcion: CACEROLA CON TAPA PEQUEÑA Estado: Bueno Placa anterior: 000017274 Material: ALUMNINIO Color:  Referencia:  Observacion:  Placa padre: Tipo adquisicion: Entidad"</f>
        <v>Descripcion: CACEROLA CON TAPA PEQUEÑA Estado: Bueno Placa anterior: 000017274 Material: ALUMNINIO Color:  Referencia:  Observacion:  Placa padre: Tipo adquisicion: Entidad</v>
      </c>
      <c r="G11828" s="5"/>
    </row>
    <row r="11829" spans="1:7" ht="58.5" customHeight="1" x14ac:dyDescent="0.25">
      <c r="A11829" s="5" t="str">
        <f>"H0014902"</f>
        <v>H0014902</v>
      </c>
      <c r="B11829" s="5" t="str">
        <f>"OLLA A PRESION"</f>
        <v>OLLA A PRESION</v>
      </c>
      <c r="C11829" s="6">
        <v>170000</v>
      </c>
      <c r="D11829" s="5" t="s">
        <v>642</v>
      </c>
      <c r="E11829" s="5" t="str">
        <f t="shared" si="611"/>
        <v>NUTRICION-ESPERANZA MONCADA PARADA</v>
      </c>
      <c r="F11829" s="5" t="str">
        <f>"Descripcion: OLLAS A PRESION DE 10 LITROS Estado: Bueno Placa anterior: 000036323 Material: ALUMINIO Color:  Referencia:  Observacion:  Placa padre: Tipo adquisicion: Donacion"</f>
        <v>Descripcion: OLLAS A PRESION DE 10 LITROS Estado: Bueno Placa anterior: 000036323 Material: ALUMINIO Color:  Referencia:  Observacion:  Placa padre: Tipo adquisicion: Donacion</v>
      </c>
      <c r="G11829" s="5"/>
    </row>
    <row r="11830" spans="1:7" ht="58.5" customHeight="1" x14ac:dyDescent="0.25">
      <c r="A11830" s="5" t="str">
        <f>"H0014903"</f>
        <v>H0014903</v>
      </c>
      <c r="B11830" s="5" t="str">
        <f>"OLLA A PRESION"</f>
        <v>OLLA A PRESION</v>
      </c>
      <c r="C11830" s="6">
        <v>170000</v>
      </c>
      <c r="D11830" s="5" t="s">
        <v>642</v>
      </c>
      <c r="E11830" s="5" t="str">
        <f t="shared" si="611"/>
        <v>NUTRICION-ESPERANZA MONCADA PARADA</v>
      </c>
      <c r="F11830" s="5" t="str">
        <f>"Descripcion: OLLAS A PRESION DE 10 LITROS Estado: Bueno Placa anterior: 000036324 Material: ALUMINIO Color:  Referencia:  Observacion:  Placa padre: Tipo adquisicion: Donacion"</f>
        <v>Descripcion: OLLAS A PRESION DE 10 LITROS Estado: Bueno Placa anterior: 000036324 Material: ALUMINIO Color:  Referencia:  Observacion:  Placa padre: Tipo adquisicion: Donacion</v>
      </c>
      <c r="G11830" s="5"/>
    </row>
    <row r="11831" spans="1:7" ht="58.5" customHeight="1" x14ac:dyDescent="0.25">
      <c r="A11831" s="5" t="str">
        <f>"H0014904"</f>
        <v>H0014904</v>
      </c>
      <c r="B11831" s="5" t="str">
        <f>"OLLA ALUMINIO"</f>
        <v>OLLA ALUMINIO</v>
      </c>
      <c r="C11831" s="6">
        <v>90000</v>
      </c>
      <c r="D11831" s="5"/>
      <c r="E11831" s="5" t="str">
        <f t="shared" si="611"/>
        <v>NUTRICION-ESPERANZA MONCADA PARADA</v>
      </c>
      <c r="F11831" s="5" t="str">
        <f>"Descripcion: OLLAS CON DOBLE ASA MARCA MUNAL No. 30  Estado: Bueno Placa anterior: 000036316 Material: ALUMINIO Color:  Referencia:  Observacion:  Placa padre: Tipo adquisicion: Donacion"</f>
        <v>Descripcion: OLLAS CON DOBLE ASA MARCA MUNAL No. 30  Estado: Bueno Placa anterior: 000036316 Material: ALUMINIO Color:  Referencia:  Observacion:  Placa padre: Tipo adquisicion: Donacion</v>
      </c>
      <c r="G11831" s="5"/>
    </row>
    <row r="11832" spans="1:7" ht="58.5" customHeight="1" x14ac:dyDescent="0.25">
      <c r="A11832" s="5" t="str">
        <f>"H0014905"</f>
        <v>H0014905</v>
      </c>
      <c r="B11832" s="5" t="str">
        <f>"CACEROLA CON TAPA EN ALUMINIO PEQUEÑA"</f>
        <v>CACEROLA CON TAPA EN ALUMINIO PEQUEÑA</v>
      </c>
      <c r="C11832" s="6">
        <v>594</v>
      </c>
      <c r="D11832" s="5"/>
      <c r="E11832" s="5" t="str">
        <f t="shared" si="611"/>
        <v>NUTRICION-ESPERANZA MONCADA PARADA</v>
      </c>
      <c r="F11832" s="5" t="str">
        <f>"Descripcion: CACEROLA CON TAPA PEQUEÑA Estado: Bueno Placa anterior: 000017277 Material: ALUMINIO Color:  Referencia:  Observacion:  Placa padre: Tipo adquisicion: Entidad"</f>
        <v>Descripcion: CACEROLA CON TAPA PEQUEÑA Estado: Bueno Placa anterior: 000017277 Material: ALUMINIO Color:  Referencia:  Observacion:  Placa padre: Tipo adquisicion: Entidad</v>
      </c>
      <c r="G11832" s="5"/>
    </row>
    <row r="11833" spans="1:7" ht="58.5" customHeight="1" x14ac:dyDescent="0.25">
      <c r="A11833" s="5" t="str">
        <f>"H0014906"</f>
        <v>H0014906</v>
      </c>
      <c r="B11833" s="5" t="str">
        <f>"OLLA ALUMINIO"</f>
        <v>OLLA ALUMINIO</v>
      </c>
      <c r="C11833" s="6">
        <v>90000</v>
      </c>
      <c r="D11833" s="5"/>
      <c r="E11833" s="5" t="str">
        <f t="shared" si="611"/>
        <v>NUTRICION-ESPERANZA MONCADA PARADA</v>
      </c>
      <c r="F11833" s="5" t="str">
        <f>"Descripcion: OLLAS CON DOBLE ASA MARCA MUNAL No. 30 Estado: Bueno Placa anterior: 000036317 Material: ALUMINIO Color:  Referencia:  Observacion:  Placa padre: Tipo adquisicion: Donacion"</f>
        <v>Descripcion: OLLAS CON DOBLE ASA MARCA MUNAL No. 30 Estado: Bueno Placa anterior: 000036317 Material: ALUMINIO Color:  Referencia:  Observacion:  Placa padre: Tipo adquisicion: Donacion</v>
      </c>
      <c r="G11833" s="5"/>
    </row>
    <row r="11834" spans="1:7" ht="58.5" customHeight="1" x14ac:dyDescent="0.25">
      <c r="A11834" s="5" t="str">
        <f>"H0014907"</f>
        <v>H0014907</v>
      </c>
      <c r="B11834" s="5" t="str">
        <f>"OLLA ALUMINIO"</f>
        <v>OLLA ALUMINIO</v>
      </c>
      <c r="C11834" s="6">
        <v>90000</v>
      </c>
      <c r="D11834" s="5"/>
      <c r="E11834" s="5" t="str">
        <f t="shared" si="611"/>
        <v>NUTRICION-ESPERANZA MONCADA PARADA</v>
      </c>
      <c r="F11834" s="5" t="str">
        <f>"Descripcion: OLLAS CON DOBLE ASA MARCA MUNAL No. 30 Estado: Bueno Placa anterior: 000036318 Material: ALUMINIO Color:  Referencia:  Observacion:  Placa padre: Tipo adquisicion: Donacion"</f>
        <v>Descripcion: OLLAS CON DOBLE ASA MARCA MUNAL No. 30 Estado: Bueno Placa anterior: 000036318 Material: ALUMINIO Color:  Referencia:  Observacion:  Placa padre: Tipo adquisicion: Donacion</v>
      </c>
      <c r="G11834" s="5"/>
    </row>
    <row r="11835" spans="1:7" ht="58.5" customHeight="1" x14ac:dyDescent="0.25">
      <c r="A11835" s="5" t="str">
        <f>"H0014908"</f>
        <v>H0014908</v>
      </c>
      <c r="B11835" s="5" t="str">
        <f>"OLLA ALUMINIO"</f>
        <v>OLLA ALUMINIO</v>
      </c>
      <c r="C11835" s="6">
        <v>90000</v>
      </c>
      <c r="D11835" s="5"/>
      <c r="E11835" s="5" t="str">
        <f t="shared" si="611"/>
        <v>NUTRICION-ESPERANZA MONCADA PARADA</v>
      </c>
      <c r="F11835" s="5" t="str">
        <f>"Descripcion: OLLAS CON DOBLE ASA MARCA  MUNAL No. 30 Estado: Bueno Placa anterior: 000036315 Material: ALUMINIO Color:  Referencia:  Observacion:  Placa padre: Tipo adquisicion: Donacion"</f>
        <v>Descripcion: OLLAS CON DOBLE ASA MARCA  MUNAL No. 30 Estado: Bueno Placa anterior: 000036315 Material: ALUMINIO Color:  Referencia:  Observacion:  Placa padre: Tipo adquisicion: Donacion</v>
      </c>
      <c r="G11835" s="5"/>
    </row>
    <row r="11836" spans="1:7" ht="58.5" customHeight="1" x14ac:dyDescent="0.25">
      <c r="A11836" s="5" t="str">
        <f>"H0014918"</f>
        <v>H0014918</v>
      </c>
      <c r="B11836" s="5" t="str">
        <f t="shared" ref="B11836:B11843" si="613">"CALDERO"</f>
        <v>CALDERO</v>
      </c>
      <c r="C11836" s="6">
        <v>18428.89</v>
      </c>
      <c r="D11836" s="5"/>
      <c r="E11836" s="5" t="str">
        <f t="shared" si="611"/>
        <v>NUTRICION-ESPERANZA MONCADA PARADA</v>
      </c>
      <c r="F11836" s="5" t="str">
        <f>"Descripcion: CALDERO VARIOS TAMAÑOS (GRANDE) Estado: Bueno Placa anterior: 000017337 Material: ACERO COLADO Color:  Referencia:  Observacion:  Placa padre: Tipo adquisicion: Entidad"</f>
        <v>Descripcion: CALDERO VARIOS TAMAÑOS (GRANDE) Estado: Bueno Placa anterior: 000017337 Material: ACERO COLADO Color:  Referencia:  Observacion:  Placa padre: Tipo adquisicion: Entidad</v>
      </c>
      <c r="G11836" s="5"/>
    </row>
    <row r="11837" spans="1:7" ht="58.5" customHeight="1" x14ac:dyDescent="0.25">
      <c r="A11837" s="5" t="str">
        <f>"H0014936"</f>
        <v>H0014936</v>
      </c>
      <c r="B11837" s="5" t="str">
        <f t="shared" si="613"/>
        <v>CALDERO</v>
      </c>
      <c r="C11837" s="6">
        <v>32900</v>
      </c>
      <c r="D11837" s="5"/>
      <c r="E11837" s="5" t="str">
        <f t="shared" si="611"/>
        <v>NUTRICION-ESPERANZA MONCADA PARADA</v>
      </c>
      <c r="F11837" s="5" t="str">
        <f>"Descripcion: CALDERO RECORTADO X 26 CMS (DOBLE ASA) Estado: Bueno Placa anterior: 000036586 Material: ALUMINIO Color:  Referencia:  Observacion:  Placa padre: Tipo adquisicion: Entidad"</f>
        <v>Descripcion: CALDERO RECORTADO X 26 CMS (DOBLE ASA) Estado: Bueno Placa anterior: 000036586 Material: ALUMINIO Color:  Referencia:  Observacion:  Placa padre: Tipo adquisicion: Entidad</v>
      </c>
      <c r="G11837" s="5"/>
    </row>
    <row r="11838" spans="1:7" ht="58.5" customHeight="1" x14ac:dyDescent="0.25">
      <c r="A11838" s="5" t="str">
        <f>"H0014937"</f>
        <v>H0014937</v>
      </c>
      <c r="B11838" s="5" t="str">
        <f t="shared" si="613"/>
        <v>CALDERO</v>
      </c>
      <c r="C11838" s="6">
        <v>32900</v>
      </c>
      <c r="D11838" s="5"/>
      <c r="E11838" s="5" t="str">
        <f t="shared" si="611"/>
        <v>NUTRICION-ESPERANZA MONCADA PARADA</v>
      </c>
      <c r="F11838" s="5" t="str">
        <f>"Descripcion: CALDERO RECORTADO X 26 CMS (DOBLE ASA) Estado: Bueno Placa anterior: 000036591 Material: ALUMINIO) Color:  Referencia:  Observacion:  Placa padre: Tipo adquisicion: Entidad"</f>
        <v>Descripcion: CALDERO RECORTADO X 26 CMS (DOBLE ASA) Estado: Bueno Placa anterior: 000036591 Material: ALUMINIO) Color:  Referencia:  Observacion:  Placa padre: Tipo adquisicion: Entidad</v>
      </c>
      <c r="G11838" s="5"/>
    </row>
    <row r="11839" spans="1:7" ht="58.5" customHeight="1" x14ac:dyDescent="0.25">
      <c r="A11839" s="5" t="str">
        <f>"H0014938"</f>
        <v>H0014938</v>
      </c>
      <c r="B11839" s="5" t="str">
        <f t="shared" si="613"/>
        <v>CALDERO</v>
      </c>
      <c r="C11839" s="6">
        <v>23901</v>
      </c>
      <c r="D11839" s="5"/>
      <c r="E11839" s="5" t="str">
        <f t="shared" si="611"/>
        <v>NUTRICION-ESPERANZA MONCADA PARADA</v>
      </c>
      <c r="F11839" s="5" t="str">
        <f>"Descripcion: CALDERO RECORTADO X 22 CMS (DOBLE ASA) Estado: Bueno Placa anterior: 000036594 Material: ALUMINIO Color:  Referencia:  Observacion:  Placa padre: Tipo adquisicion: Entidad"</f>
        <v>Descripcion: CALDERO RECORTADO X 22 CMS (DOBLE ASA) Estado: Bueno Placa anterior: 000036594 Material: ALUMINIO Color:  Referencia:  Observacion:  Placa padre: Tipo adquisicion: Entidad</v>
      </c>
      <c r="G11839" s="5"/>
    </row>
    <row r="11840" spans="1:7" ht="58.5" customHeight="1" x14ac:dyDescent="0.25">
      <c r="A11840" s="5" t="str">
        <f>"H0014939"</f>
        <v>H0014939</v>
      </c>
      <c r="B11840" s="5" t="str">
        <f t="shared" si="613"/>
        <v>CALDERO</v>
      </c>
      <c r="C11840" s="6">
        <v>23901</v>
      </c>
      <c r="D11840" s="5"/>
      <c r="E11840" s="5" t="str">
        <f t="shared" si="611"/>
        <v>NUTRICION-ESPERANZA MONCADA PARADA</v>
      </c>
      <c r="F11840" s="5" t="str">
        <f>"Descripcion: CALDERO RECORTADO X 22 CMS Estado: Bueno Placa anterior: 000036592 Material: ALUMINIO Color:  Referencia:  Observacion:  Placa padre: Tipo adquisicion: Entidad"</f>
        <v>Descripcion: CALDERO RECORTADO X 22 CMS Estado: Bueno Placa anterior: 000036592 Material: ALUMINIO Color:  Referencia:  Observacion:  Placa padre: Tipo adquisicion: Entidad</v>
      </c>
      <c r="G11840" s="5"/>
    </row>
    <row r="11841" spans="1:7" ht="58.5" customHeight="1" x14ac:dyDescent="0.25">
      <c r="A11841" s="5" t="str">
        <f>"H0014940"</f>
        <v>H0014940</v>
      </c>
      <c r="B11841" s="5" t="str">
        <f t="shared" si="613"/>
        <v>CALDERO</v>
      </c>
      <c r="C11841" s="6">
        <v>18428.89</v>
      </c>
      <c r="D11841" s="5"/>
      <c r="E11841" s="5" t="str">
        <f t="shared" si="611"/>
        <v>NUTRICION-ESPERANZA MONCADA PARADA</v>
      </c>
      <c r="F11841" s="5" t="str">
        <f>"Descripcion: CALDERO VARIOS TAMAÑOS (OLLA DOBLE ASA CON TAPA PEQUEÑA) Estado: Bueno Placa anterior: 000017349 Material: ALUMINIO Color:  Referencia:  Observacion:  Placa padre: Tipo adquisicion: Entidad"</f>
        <v>Descripcion: CALDERO VARIOS TAMAÑOS (OLLA DOBLE ASA CON TAPA PEQUEÑA) Estado: Bueno Placa anterior: 000017349 Material: ALUMINIO Color:  Referencia:  Observacion:  Placa padre: Tipo adquisicion: Entidad</v>
      </c>
      <c r="G11841" s="5"/>
    </row>
    <row r="11842" spans="1:7" ht="58.5" customHeight="1" x14ac:dyDescent="0.25">
      <c r="A11842" s="5" t="str">
        <f>"H0014941"</f>
        <v>H0014941</v>
      </c>
      <c r="B11842" s="5" t="str">
        <f t="shared" si="613"/>
        <v>CALDERO</v>
      </c>
      <c r="C11842" s="6">
        <v>18428.89</v>
      </c>
      <c r="D11842" s="5"/>
      <c r="E11842" s="5" t="str">
        <f t="shared" si="611"/>
        <v>NUTRICION-ESPERANZA MONCADA PARADA</v>
      </c>
      <c r="F11842" s="5" t="str">
        <f>"Descripcion: CALDERO VARIOS TAMAÑOS (OLLA DOBLE ASA CON TAPA PEQUEÑA) Estado: Bueno Placa anterior: 000017350 Material: ALUMINIO Color:  Referencia:  Observacion:  Placa padre: Tipo adquisicion: Entidad"</f>
        <v>Descripcion: CALDERO VARIOS TAMAÑOS (OLLA DOBLE ASA CON TAPA PEQUEÑA) Estado: Bueno Placa anterior: 000017350 Material: ALUMINIO Color:  Referencia:  Observacion:  Placa padre: Tipo adquisicion: Entidad</v>
      </c>
      <c r="G11842" s="5"/>
    </row>
    <row r="11843" spans="1:7" ht="58.5" customHeight="1" x14ac:dyDescent="0.25">
      <c r="A11843" s="5" t="str">
        <f>"H0014942"</f>
        <v>H0014942</v>
      </c>
      <c r="B11843" s="5" t="str">
        <f t="shared" si="613"/>
        <v>CALDERO</v>
      </c>
      <c r="C11843" s="6">
        <v>18428.89</v>
      </c>
      <c r="D11843" s="5"/>
      <c r="E11843" s="5" t="str">
        <f t="shared" si="611"/>
        <v>NUTRICION-ESPERANZA MONCADA PARADA</v>
      </c>
      <c r="F11843" s="5" t="str">
        <f>"Descripcion: CALDERO VARIOS TAMAÑOS (OLLA DOBLE ASA CON TAPA PEQUEÑA) Estado: Bueno Placa anterior: 000017351 Material: ALUMINIO Color:  Referencia:  Observacion:  Placa padre: Tipo adquisicion: Entidad"</f>
        <v>Descripcion: CALDERO VARIOS TAMAÑOS (OLLA DOBLE ASA CON TAPA PEQUEÑA) Estado: Bueno Placa anterior: 000017351 Material: ALUMINIO Color:  Referencia:  Observacion:  Placa padre: Tipo adquisicion: Entidad</v>
      </c>
      <c r="G11843" s="5"/>
    </row>
    <row r="11844" spans="1:7" ht="58.5" customHeight="1" x14ac:dyDescent="0.25">
      <c r="A11844" s="5" t="str">
        <f>"H0014949"</f>
        <v>H0014949</v>
      </c>
      <c r="B11844" s="5" t="str">
        <f t="shared" ref="B11844:B11850" si="614">"SARTEN EN TEFLON"</f>
        <v>SARTEN EN TEFLON</v>
      </c>
      <c r="C11844" s="6">
        <v>5040.91</v>
      </c>
      <c r="D11844" s="5"/>
      <c r="E11844" s="5" t="str">
        <f t="shared" si="611"/>
        <v>NUTRICION-ESPERANZA MONCADA PARADA</v>
      </c>
      <c r="F11844" s="5" t="str">
        <f>"Descripcion: SARTEN EN TEFLON PEQUEÑO CON 1 MANGO Estado: Bueno Placa anterior: 000018199 Material: METALICO Color:  Referencia:  Observacion: FUNCIONARIO AUTORIZA SE CONCILIE CON PLACA 000018199 Placa padre: Tipo adquisicion: Entidad"</f>
        <v>Descripcion: SARTEN EN TEFLON PEQUEÑO CON 1 MANGO Estado: Bueno Placa anterior: 000018199 Material: METALICO Color:  Referencia:  Observacion: FUNCIONARIO AUTORIZA SE CONCILIE CON PLACA 000018199 Placa padre: Tipo adquisicion: Entidad</v>
      </c>
      <c r="G11844" s="5"/>
    </row>
    <row r="11845" spans="1:7" ht="58.5" customHeight="1" x14ac:dyDescent="0.25">
      <c r="A11845" s="5" t="str">
        <f>"H0014950"</f>
        <v>H0014950</v>
      </c>
      <c r="B11845" s="5" t="str">
        <f t="shared" si="614"/>
        <v>SARTEN EN TEFLON</v>
      </c>
      <c r="C11845" s="6">
        <v>5040.91</v>
      </c>
      <c r="D11845" s="5"/>
      <c r="E11845" s="5" t="str">
        <f t="shared" si="611"/>
        <v>NUTRICION-ESPERANZA MONCADA PARADA</v>
      </c>
      <c r="F11845" s="5" t="str">
        <f>"Descripcion: SARTEN EN TEFLON PEQUEÑO CON 1 MANGO Estado: Bueno Placa anterior: 000018197 Material: METALICO Color:  Referencia:  Observacion: FUNCIONARIO AUTORIZA SE CONCILIE CON PLACA 000018197 Placa padre: Tipo adquisicion: Entidad"</f>
        <v>Descripcion: SARTEN EN TEFLON PEQUEÑO CON 1 MANGO Estado: Bueno Placa anterior: 000018197 Material: METALICO Color:  Referencia:  Observacion: FUNCIONARIO AUTORIZA SE CONCILIE CON PLACA 000018197 Placa padre: Tipo adquisicion: Entidad</v>
      </c>
      <c r="G11845" s="5"/>
    </row>
    <row r="11846" spans="1:7" ht="58.5" customHeight="1" x14ac:dyDescent="0.25">
      <c r="A11846" s="5" t="str">
        <f>"H0015408"</f>
        <v>H0015408</v>
      </c>
      <c r="B11846" s="5" t="str">
        <f t="shared" si="614"/>
        <v>SARTEN EN TEFLON</v>
      </c>
      <c r="C11846" s="6">
        <v>5040.91</v>
      </c>
      <c r="D11846" s="5"/>
      <c r="E11846" s="5" t="str">
        <f t="shared" si="611"/>
        <v>NUTRICION-ESPERANZA MONCADA PARADA</v>
      </c>
      <c r="F11846" s="5" t="str">
        <f>"Descripcion: SARTEN EN TEFLON PEQUEÑO CON 1 MANGO Estado: Bueno Placa anterior: 000018196 Material: METALICO Color:  Referencia:  Observacion: FUNCIONARIO AUTORIZA SE CONCILIE CON PLACA 000018196 Placa padre: Tipo adquisicion: Entidad"</f>
        <v>Descripcion: SARTEN EN TEFLON PEQUEÑO CON 1 MANGO Estado: Bueno Placa anterior: 000018196 Material: METALICO Color:  Referencia:  Observacion: FUNCIONARIO AUTORIZA SE CONCILIE CON PLACA 000018196 Placa padre: Tipo adquisicion: Entidad</v>
      </c>
      <c r="G11846" s="5"/>
    </row>
    <row r="11847" spans="1:7" ht="58.5" customHeight="1" x14ac:dyDescent="0.25">
      <c r="A11847" s="5" t="str">
        <f>"H0015409"</f>
        <v>H0015409</v>
      </c>
      <c r="B11847" s="5" t="str">
        <f t="shared" si="614"/>
        <v>SARTEN EN TEFLON</v>
      </c>
      <c r="C11847" s="6">
        <v>5040.91</v>
      </c>
      <c r="D11847" s="5"/>
      <c r="E11847" s="5" t="str">
        <f t="shared" si="611"/>
        <v>NUTRICION-ESPERANZA MONCADA PARADA</v>
      </c>
      <c r="F11847" s="5" t="str">
        <f>"Descripcion: SARTEN EN TEFLON PEQUEÑO CON 1 MANGO Estado: Bueno Placa anterior: 000018200 Material: METALICO Color:  Referencia:  Observacion: FUNCIONARIO AUTORIZA SE CONCILIE CON PLACA 000018200 Placa padre: Tipo adquisicion: Entidad"</f>
        <v>Descripcion: SARTEN EN TEFLON PEQUEÑO CON 1 MANGO Estado: Bueno Placa anterior: 000018200 Material: METALICO Color:  Referencia:  Observacion: FUNCIONARIO AUTORIZA SE CONCILIE CON PLACA 000018200 Placa padre: Tipo adquisicion: Entidad</v>
      </c>
      <c r="G11847" s="5"/>
    </row>
    <row r="11848" spans="1:7" ht="58.5" customHeight="1" x14ac:dyDescent="0.25">
      <c r="A11848" s="5" t="str">
        <f>"H0015410"</f>
        <v>H0015410</v>
      </c>
      <c r="B11848" s="5" t="str">
        <f t="shared" si="614"/>
        <v>SARTEN EN TEFLON</v>
      </c>
      <c r="C11848" s="6">
        <v>5040.91</v>
      </c>
      <c r="D11848" s="5"/>
      <c r="E11848" s="5" t="str">
        <f t="shared" si="611"/>
        <v>NUTRICION-ESPERANZA MONCADA PARADA</v>
      </c>
      <c r="F11848" s="5" t="str">
        <f>"Descripcion: SARTEN EN TEFLON PEQUEÑO CON 1 MANGO Estado: Bueno Placa anterior: 000018202 Material: METALICO Color:  Referencia:  Observacion: FUNCIONARIO AUTORIZA SE CONCILIE CON PLACA 000018202 Placa padre: Tipo adquisicion: Entidad"</f>
        <v>Descripcion: SARTEN EN TEFLON PEQUEÑO CON 1 MANGO Estado: Bueno Placa anterior: 000018202 Material: METALICO Color:  Referencia:  Observacion: FUNCIONARIO AUTORIZA SE CONCILIE CON PLACA 000018202 Placa padre: Tipo adquisicion: Entidad</v>
      </c>
      <c r="G11848" s="5"/>
    </row>
    <row r="11849" spans="1:7" ht="58.5" customHeight="1" x14ac:dyDescent="0.25">
      <c r="A11849" s="5" t="str">
        <f>"H0015411"</f>
        <v>H0015411</v>
      </c>
      <c r="B11849" s="5" t="str">
        <f t="shared" si="614"/>
        <v>SARTEN EN TEFLON</v>
      </c>
      <c r="C11849" s="6">
        <v>5040.91</v>
      </c>
      <c r="D11849" s="5"/>
      <c r="E11849" s="5" t="str">
        <f t="shared" si="611"/>
        <v>NUTRICION-ESPERANZA MONCADA PARADA</v>
      </c>
      <c r="F11849" s="5" t="str">
        <f>"Descripcion: SARTEN EN TEFLON PEQUEÑO CON 1 MANGO Estado: Bueno Placa anterior: 000018203 Material: METALICO Color:  Referencia:  Observacion: FUNCIONARIO AUTORIZA SE CONCILIE CON PLACA 000018203 Placa padre: Tipo adquisicion: Entidad"</f>
        <v>Descripcion: SARTEN EN TEFLON PEQUEÑO CON 1 MANGO Estado: Bueno Placa anterior: 000018203 Material: METALICO Color:  Referencia:  Observacion: FUNCIONARIO AUTORIZA SE CONCILIE CON PLACA 000018203 Placa padre: Tipo adquisicion: Entidad</v>
      </c>
      <c r="G11849" s="5"/>
    </row>
    <row r="11850" spans="1:7" ht="58.5" customHeight="1" x14ac:dyDescent="0.25">
      <c r="A11850" s="5" t="str">
        <f>"H0015412"</f>
        <v>H0015412</v>
      </c>
      <c r="B11850" s="5" t="str">
        <f t="shared" si="614"/>
        <v>SARTEN EN TEFLON</v>
      </c>
      <c r="C11850" s="6">
        <v>5040.91</v>
      </c>
      <c r="D11850" s="5"/>
      <c r="E11850" s="5" t="str">
        <f t="shared" si="611"/>
        <v>NUTRICION-ESPERANZA MONCADA PARADA</v>
      </c>
      <c r="F11850" s="5" t="str">
        <f>"Descripcion: SARTEN EN TEFLON PEQUEÑO CON 1 MANGO Estado: Bueno Placa anterior: 000018192 Material: METALICO Color:  Referencia:  Observacion: FUNCIONARIO AUTORIZA SE CONCILIE CON PLACA 000018192 Placa padre: Tipo adquisicion: Entidad"</f>
        <v>Descripcion: SARTEN EN TEFLON PEQUEÑO CON 1 MANGO Estado: Bueno Placa anterior: 000018192 Material: METALICO Color:  Referencia:  Observacion: FUNCIONARIO AUTORIZA SE CONCILIE CON PLACA 000018192 Placa padre: Tipo adquisicion: Entidad</v>
      </c>
      <c r="G11850" s="5"/>
    </row>
    <row r="11851" spans="1:7" ht="58.5" customHeight="1" x14ac:dyDescent="0.25">
      <c r="A11851" s="5" t="str">
        <f>"H0015625"</f>
        <v>H0015625</v>
      </c>
      <c r="B11851" s="5" t="str">
        <f>"ESTANTE METALICO 6 ENTREPAÑOS"</f>
        <v>ESTANTE METALICO 6 ENTREPAÑOS</v>
      </c>
      <c r="C11851" s="6">
        <v>11462.56</v>
      </c>
      <c r="D11851" s="5"/>
      <c r="E11851" s="5" t="str">
        <f t="shared" si="611"/>
        <v>NUTRICION-ESPERANZA MONCADA PARADA</v>
      </c>
      <c r="F11851" s="5" t="str">
        <f>"Descripcion: ESTANTE METALICO 6 ENTREPAÑOS Estado: Bueno Placa anterior: 000015481 Material: METALICO Color:  GRIS Referencia:  Observacion:  Placa padre: Tipo adquisicion: Entidad"</f>
        <v>Descripcion: ESTANTE METALICO 6 ENTREPAÑOS Estado: Bueno Placa anterior: 000015481 Material: METALICO Color:  GRIS Referencia:  Observacion:  Placa padre: Tipo adquisicion: Entidad</v>
      </c>
      <c r="G11851" s="5"/>
    </row>
    <row r="11852" spans="1:7" ht="58.5" customHeight="1" x14ac:dyDescent="0.25">
      <c r="A11852" s="5" t="str">
        <f>"H0015627"</f>
        <v>H0015627</v>
      </c>
      <c r="B11852" s="5" t="str">
        <f>"ESTANTE METALICO 5 ENTREPAÑOS"</f>
        <v>ESTANTE METALICO 5 ENTREPAÑOS</v>
      </c>
      <c r="C11852" s="6">
        <v>11462.56</v>
      </c>
      <c r="D11852" s="5"/>
      <c r="E11852" s="5" t="str">
        <f t="shared" si="611"/>
        <v>NUTRICION-ESPERANZA MONCADA PARADA</v>
      </c>
      <c r="F11852" s="5" t="str">
        <f>"Descripcion: ESTANTE METALICO 5 ENTREPAÑOS Estado: Bueno Placa anterior: 000015472 Material: METALICO Color: GRIS Referencia:  Observacion:  Placa padre: Tipo adquisicion: Entidad"</f>
        <v>Descripcion: ESTANTE METALICO 5 ENTREPAÑOS Estado: Bueno Placa anterior: 000015472 Material: METALICO Color: GRIS Referencia:  Observacion:  Placa padre: Tipo adquisicion: Entidad</v>
      </c>
      <c r="G11852" s="5"/>
    </row>
    <row r="11853" spans="1:7" ht="58.5" customHeight="1" x14ac:dyDescent="0.25">
      <c r="A11853" s="5" t="str">
        <f>"H0015628"</f>
        <v>H0015628</v>
      </c>
      <c r="B11853" s="5" t="str">
        <f>"ESTANTE METALICO 5 ENTREPAÑOS"</f>
        <v>ESTANTE METALICO 5 ENTREPAÑOS</v>
      </c>
      <c r="C11853" s="6">
        <v>11462.56</v>
      </c>
      <c r="D11853" s="5"/>
      <c r="E11853" s="5" t="str">
        <f t="shared" si="611"/>
        <v>NUTRICION-ESPERANZA MONCADA PARADA</v>
      </c>
      <c r="F11853" s="5" t="str">
        <f>"Descripcion: ESTANTE METALICO 5 ENTREPAÑOS Estado: Bueno Placa anterior: 000015473 Material: METALICO Color: GRIS Referencia:  Observacion:  Placa padre: Tipo adquisicion: Entidad"</f>
        <v>Descripcion: ESTANTE METALICO 5 ENTREPAÑOS Estado: Bueno Placa anterior: 000015473 Material: METALICO Color: GRIS Referencia:  Observacion:  Placa padre: Tipo adquisicion: Entidad</v>
      </c>
      <c r="G11853" s="5"/>
    </row>
    <row r="11854" spans="1:7" ht="58.5" customHeight="1" x14ac:dyDescent="0.25">
      <c r="A11854" s="5" t="str">
        <f>"H0015629"</f>
        <v>H0015629</v>
      </c>
      <c r="B11854" s="5" t="str">
        <f>"ESTANTE METALICO 8 ENTREPAÑOS"</f>
        <v>ESTANTE METALICO 8 ENTREPAÑOS</v>
      </c>
      <c r="C11854" s="6">
        <v>11462.56</v>
      </c>
      <c r="D11854" s="5"/>
      <c r="E11854" s="5" t="str">
        <f t="shared" si="611"/>
        <v>NUTRICION-ESPERANZA MONCADA PARADA</v>
      </c>
      <c r="F11854" s="5" t="str">
        <f>"Descripcion: ESTANTE METALICO 8 ENTREPAÑOS Estado: Bueno Placa anterior: 000015478 Material: METALICO Color: GRIS Referencia:  Observacion:  Placa padre: Tipo adquisicion: Entidad"</f>
        <v>Descripcion: ESTANTE METALICO 8 ENTREPAÑOS Estado: Bueno Placa anterior: 000015478 Material: METALICO Color: GRIS Referencia:  Observacion:  Placa padre: Tipo adquisicion: Entidad</v>
      </c>
      <c r="G11854" s="5"/>
    </row>
    <row r="11855" spans="1:7" ht="58.5" customHeight="1" x14ac:dyDescent="0.25">
      <c r="A11855" s="5" t="str">
        <f>"H0015630"</f>
        <v>H0015630</v>
      </c>
      <c r="B11855" s="5" t="str">
        <f>"ESTANTE METALICO 8 ENTREPAÑOS"</f>
        <v>ESTANTE METALICO 8 ENTREPAÑOS</v>
      </c>
      <c r="C11855" s="6">
        <v>11462.56</v>
      </c>
      <c r="D11855" s="5"/>
      <c r="E11855" s="5" t="str">
        <f t="shared" si="611"/>
        <v>NUTRICION-ESPERANZA MONCADA PARADA</v>
      </c>
      <c r="F11855" s="5" t="str">
        <f>"Descripcion: ESTANTE METALICO 8 ENTREPAÑOS Estado: Bueno Placa anterior: 000015479 Material: METALICO Color: GRIS Referencia:  Observacion:  Placa padre: Tipo adquisicion: Entidad"</f>
        <v>Descripcion: ESTANTE METALICO 8 ENTREPAÑOS Estado: Bueno Placa anterior: 000015479 Material: METALICO Color: GRIS Referencia:  Observacion:  Placa padre: Tipo adquisicion: Entidad</v>
      </c>
      <c r="G11855" s="5"/>
    </row>
    <row r="11856" spans="1:7" ht="58.5" customHeight="1" x14ac:dyDescent="0.25">
      <c r="A11856" s="5" t="str">
        <f>"H0015631"</f>
        <v>H0015631</v>
      </c>
      <c r="B11856" s="5" t="str">
        <f>"ESTANTE METALICO 5 ENTREPAÑOS"</f>
        <v>ESTANTE METALICO 5 ENTREPAÑOS</v>
      </c>
      <c r="C11856" s="6">
        <v>11462.56</v>
      </c>
      <c r="D11856" s="5"/>
      <c r="E11856" s="5" t="str">
        <f t="shared" si="611"/>
        <v>NUTRICION-ESPERANZA MONCADA PARADA</v>
      </c>
      <c r="F11856" s="5" t="str">
        <f>"Descripcion: ESTANTE METALICO 5 ENTREPAÑOS Estado: Bueno Placa anterior: 000015474 Material: METALICO Color: GRIS Referencia:  Observacion:  Placa padre: Tipo adquisicion: Entidad"</f>
        <v>Descripcion: ESTANTE METALICO 5 ENTREPAÑOS Estado: Bueno Placa anterior: 000015474 Material: METALICO Color: GRIS Referencia:  Observacion:  Placa padre: Tipo adquisicion: Entidad</v>
      </c>
      <c r="G11856" s="5"/>
    </row>
    <row r="11857" spans="1:7" ht="58.5" customHeight="1" x14ac:dyDescent="0.25">
      <c r="A11857" s="5" t="str">
        <f>"H0015633"</f>
        <v>H0015633</v>
      </c>
      <c r="B11857" s="5" t="str">
        <f>"CUCHILLO ELECTRICO"</f>
        <v>CUCHILLO ELECTRICO</v>
      </c>
      <c r="C11857" s="6">
        <v>28000</v>
      </c>
      <c r="D11857" s="5"/>
      <c r="E11857" s="5" t="str">
        <f t="shared" si="611"/>
        <v>NUTRICION-ESPERANZA MONCADA PARADA</v>
      </c>
      <c r="F11857" s="5" t="str">
        <f>"Descripcion: CUCHILLO ELECTRICO Estado: Bueno Placa anterior: 000015451 Material: PLASTICO, METALICO Color: BEIGE CON GRIS Referencia:  Observacion:  Placa padre: Tipo adquisicion: Entidad"</f>
        <v>Descripcion: CUCHILLO ELECTRICO Estado: Bueno Placa anterior: 000015451 Material: PLASTICO, METALICO Color: BEIGE CON GRIS Referencia:  Observacion:  Placa padre: Tipo adquisicion: Entidad</v>
      </c>
      <c r="G11857" s="5"/>
    </row>
    <row r="11858" spans="1:7" ht="58.5" customHeight="1" x14ac:dyDescent="0.25">
      <c r="A11858" s="5" t="str">
        <f>"H0015634"</f>
        <v>H0015634</v>
      </c>
      <c r="B11858" s="5" t="str">
        <f>"SARTEN EN TEFLON"</f>
        <v>SARTEN EN TEFLON</v>
      </c>
      <c r="C11858" s="6">
        <v>5040.91</v>
      </c>
      <c r="D11858" s="5"/>
      <c r="E11858" s="5" t="str">
        <f t="shared" si="611"/>
        <v>NUTRICION-ESPERANZA MONCADA PARADA</v>
      </c>
      <c r="F11858" s="5" t="str">
        <f>"Descripcion: SARTEN HONDO MEDIANO CON 1 MANGO Estado: Bueno Placa anterior: 000018198 Material: ALUMINIO Color:  Referencia:  Observacion: FUNCIONARIO AUTORIZA SE CONCILIE  Placa padre: Tipo adquisicion: Entidad"</f>
        <v>Descripcion: SARTEN HONDO MEDIANO CON 1 MANGO Estado: Bueno Placa anterior: 000018198 Material: ALUMINIO Color:  Referencia:  Observacion: FUNCIONARIO AUTORIZA SE CONCILIE  Placa padre: Tipo adquisicion: Entidad</v>
      </c>
      <c r="G11858" s="5"/>
    </row>
    <row r="11859" spans="1:7" ht="58.5" customHeight="1" x14ac:dyDescent="0.25">
      <c r="A11859" s="5" t="str">
        <f>"H0015638"</f>
        <v>H0015638</v>
      </c>
      <c r="B11859" s="5" t="str">
        <f>"RALLADOR"</f>
        <v>RALLADOR</v>
      </c>
      <c r="C11859" s="6">
        <v>19500</v>
      </c>
      <c r="D11859" s="5"/>
      <c r="E11859" s="5" t="str">
        <f t="shared" si="611"/>
        <v>NUTRICION-ESPERANZA MONCADA PARADA</v>
      </c>
      <c r="F11859" s="5" t="str">
        <f>"Descripcion: RALLADOR HEXAGONAL EN ACERO INOXIDABLE Estado: Bueno Placa anterior: 000036575 Material: ACERO INOX, Color:  Referencia:  Observacion:  Placa padre: Tipo adquisicion: Entidad"</f>
        <v>Descripcion: RALLADOR HEXAGONAL EN ACERO INOXIDABLE Estado: Bueno Placa anterior: 000036575 Material: ACERO INOX, Color:  Referencia:  Observacion:  Placa padre: Tipo adquisicion: Entidad</v>
      </c>
      <c r="G11859" s="5"/>
    </row>
    <row r="11860" spans="1:7" ht="58.5" customHeight="1" x14ac:dyDescent="0.25">
      <c r="A11860" s="5" t="str">
        <f>"H0015639"</f>
        <v>H0015639</v>
      </c>
      <c r="B11860" s="5" t="str">
        <f>"RALLADOR"</f>
        <v>RALLADOR</v>
      </c>
      <c r="C11860" s="6">
        <v>19500</v>
      </c>
      <c r="D11860" s="5"/>
      <c r="E11860" s="5" t="str">
        <f t="shared" si="611"/>
        <v>NUTRICION-ESPERANZA MONCADA PARADA</v>
      </c>
      <c r="F11860" s="5" t="str">
        <f>"Descripcion: RALLADOR HEXAGONAL EN ACERO INOXIDABLE Estado: Malo Placa anterior: 000036576 Material: ACERO INOX Color:  Referencia:  Observacion:  Placa padre: Tipo adquisicion: Entidad"</f>
        <v>Descripcion: RALLADOR HEXAGONAL EN ACERO INOXIDABLE Estado: Malo Placa anterior: 000036576 Material: ACERO INOX Color:  Referencia:  Observacion:  Placa padre: Tipo adquisicion: Entidad</v>
      </c>
      <c r="G11860" s="5"/>
    </row>
    <row r="11861" spans="1:7" ht="58.5" customHeight="1" x14ac:dyDescent="0.25">
      <c r="A11861" s="5" t="str">
        <f>"H0015640"</f>
        <v>H0015640</v>
      </c>
      <c r="B11861" s="5" t="str">
        <f>"RALLADOR"</f>
        <v>RALLADOR</v>
      </c>
      <c r="C11861" s="6">
        <v>19500</v>
      </c>
      <c r="D11861" s="5"/>
      <c r="E11861" s="5" t="str">
        <f t="shared" si="611"/>
        <v>NUTRICION-ESPERANZA MONCADA PARADA</v>
      </c>
      <c r="F11861" s="5" t="str">
        <f>"Descripcion: RALLADOR HEXAGONAL EN ACERO INOXIDABLE Estado: Malo Placa anterior: 000036577 Material: ACERO INOX, Color:  Referencia:  Observacion:  Placa padre: Tipo adquisicion: Entidad"</f>
        <v>Descripcion: RALLADOR HEXAGONAL EN ACERO INOXIDABLE Estado: Malo Placa anterior: 000036577 Material: ACERO INOX, Color:  Referencia:  Observacion:  Placa padre: Tipo adquisicion: Entidad</v>
      </c>
      <c r="G11861" s="5"/>
    </row>
    <row r="11862" spans="1:7" ht="58.5" customHeight="1" x14ac:dyDescent="0.25">
      <c r="A11862" s="5" t="str">
        <f>"H0017679"</f>
        <v>H0017679</v>
      </c>
      <c r="B11862" s="5" t="str">
        <f>"COMPUTADOR TODO EN UNO"</f>
        <v>COMPUTADOR TODO EN UNO</v>
      </c>
      <c r="C11862" s="6">
        <v>1572000</v>
      </c>
      <c r="D11862" s="5" t="s">
        <v>346</v>
      </c>
      <c r="E11862" s="5" t="str">
        <f t="shared" si="611"/>
        <v>NUTRICION-ESPERANZA MONCADA PARADA</v>
      </c>
      <c r="F11862" s="5" t="str">
        <f>"Descripcion:EQUIPOS DE COMPUTO TODO EN UNO PROCESADOR CORE 3.0 SUPERIOR CORPORATIVO WINDOWS 8 PRO- OFFICE 2013 SMALL BUSINES, TECNOLOGIA HT DE INTEL GARANTIA EXTENDIDA A 3 AÑOS Estado: Bueno Placa anterior: 000030674 Material: PLASTICO Color: NEGRO Refere"&amp; "ncia:  Observacion:  Placa padre:  Tipo adquisicion : Entidad"</f>
        <v>Descripcion:EQUIPOS DE COMPUTO TODO EN UNO PROCESADOR CORE 3.0 SUPERIOR CORPORATIVO WINDOWS 8 PRO- OFFICE 2013 SMALL BUSINES, TECNOLOGIA HT DE INTEL GARANTIA EXTENDIDA A 3 AÑOS Estado: Bueno Placa anterior: 000030674 Material: PLASTICO Color: NEGRO Referencia:  Observacion:  Placa padre:  Tipo adquisicion : Entidad</v>
      </c>
      <c r="G11862" s="5" t="str">
        <f>"COMPAQ PRO 4300"</f>
        <v>COMPAQ PRO 4300</v>
      </c>
    </row>
    <row r="11863" spans="1:7" ht="58.5" customHeight="1" x14ac:dyDescent="0.25">
      <c r="A11863" s="5" t="str">
        <f>"H0018437"</f>
        <v>H0018437</v>
      </c>
      <c r="B11863" s="5" t="str">
        <f>"VENTILADOR DE PARED"</f>
        <v>VENTILADOR DE PARED</v>
      </c>
      <c r="C11863" s="6">
        <v>72477.5</v>
      </c>
      <c r="D11863" s="5" t="s">
        <v>54</v>
      </c>
      <c r="E11863" s="5" t="str">
        <f t="shared" si="611"/>
        <v>NUTRICION-ESPERANZA MONCADA PARADA</v>
      </c>
      <c r="F11863" s="5" t="str">
        <f>"Descripcion: VENTILADOR DE PARED VENTILADOR DE PARED REF. 987181 SILENC. CON GARANTIA DE UN AÑO POR PARTE DEL FABRICANTE Estado: Bueno Placa anterior: 000037125 Material: PLASTICO Color: BLANCO Referencia:  Observacion:  Placa padre: Tipo adquisicion: Ent"&amp; "idad"</f>
        <v>Descripcion: VENTILADOR DE PARED VENTILADOR DE PARED REF. 987181 SILENC. CON GARANTIA DE UN AÑO POR PARTE DEL FABRICANTE Estado: Bueno Placa anterior: 000037125 Material: PLASTICO Color: BLANCO Referencia:  Observacion:  Placa padre: Tipo adquisicion: Entidad</v>
      </c>
      <c r="G11863" s="5" t="str">
        <f>"TURBO SILENCE MAXX"</f>
        <v>TURBO SILENCE MAXX</v>
      </c>
    </row>
    <row r="11864" spans="1:7" ht="58.5" customHeight="1" x14ac:dyDescent="0.25">
      <c r="A11864" s="5" t="str">
        <f>"H0020307"</f>
        <v>H0020307</v>
      </c>
      <c r="B11864" s="5" t="str">
        <f>"UNIDAD CONDENSADORA CAPACIDAD 2 HP CON ACCESORIOS"</f>
        <v>UNIDAD CONDENSADORA CAPACIDAD 2 HP CON ACCESORIOS</v>
      </c>
      <c r="C11864" s="6">
        <v>4199000</v>
      </c>
      <c r="D11864" s="5" t="s">
        <v>671</v>
      </c>
      <c r="E11864" s="5" t="str">
        <f t="shared" si="611"/>
        <v>NUTRICION-ESPERANZA MONCADA PARADA</v>
      </c>
      <c r="F11864" s="5"/>
      <c r="G11864" s="5"/>
    </row>
    <row r="11865" spans="1:7" ht="58.5" customHeight="1" x14ac:dyDescent="0.25">
      <c r="A11865" s="5" t="str">
        <f>"H0020684"</f>
        <v>H0020684</v>
      </c>
      <c r="B11865" s="5" t="str">
        <f>"EXTRACTOR DE AIRE"</f>
        <v>EXTRACTOR DE AIRE</v>
      </c>
      <c r="C11865" s="6">
        <v>63635</v>
      </c>
      <c r="D11865" s="5"/>
      <c r="E11865" s="5" t="str">
        <f t="shared" si="611"/>
        <v>NUTRICION-ESPERANZA MONCADA PARADA</v>
      </c>
      <c r="F11865" s="5" t="str">
        <f>"Descripcion: EXTRACTOR SIEMENSCOCINA Estado: Bueno Placa anterior: 000014260 Material: METALICO Color: GRIS Referencia:  Observacion:  Placa padre: Tipo adquisicion: Entidad"</f>
        <v>Descripcion: EXTRACTOR SIEMENSCOCINA Estado: Bueno Placa anterior: 000014260 Material: METALICO Color: GRIS Referencia:  Observacion:  Placa padre: Tipo adquisicion: Entidad</v>
      </c>
      <c r="G11865" s="5"/>
    </row>
    <row r="11866" spans="1:7" ht="58.5" customHeight="1" x14ac:dyDescent="0.25">
      <c r="A11866" s="5" t="str">
        <f>"H0021848"</f>
        <v>H0021848</v>
      </c>
      <c r="B11866" s="5" t="str">
        <f>"ESTANTE METALICO"</f>
        <v>ESTANTE METALICO</v>
      </c>
      <c r="C11866" s="6">
        <v>357332.35</v>
      </c>
      <c r="D11866" s="5"/>
      <c r="E11866" s="5" t="str">
        <f t="shared" si="611"/>
        <v>NUTRICION-ESPERANZA MONCADA PARADA</v>
      </c>
      <c r="F11866" s="5" t="str">
        <f>"Descripcion: ESTANTERIA PARA DESPENSA DOBLE DE 3 ENTREPAÑOS Estado: Bueno Placa anterior: 000014200 Material: METALICO Color: GRIS Referencia:  Observacion:  Placa padre: Tipo adquisicion: Entidad"</f>
        <v>Descripcion: ESTANTERIA PARA DESPENSA DOBLE DE 3 ENTREPAÑOS Estado: Bueno Placa anterior: 000014200 Material: METALICO Color: GRIS Referencia:  Observacion:  Placa padre: Tipo adquisicion: Entidad</v>
      </c>
      <c r="G11866" s="5"/>
    </row>
    <row r="11867" spans="1:7" ht="58.5" customHeight="1" x14ac:dyDescent="0.25">
      <c r="A11867" s="5" t="str">
        <f>"H0021849"</f>
        <v>H0021849</v>
      </c>
      <c r="B11867" s="5" t="str">
        <f>"ESTANTE METALICO 6 ENTREPAÑOS"</f>
        <v>ESTANTE METALICO 6 ENTREPAÑOS</v>
      </c>
      <c r="C11867" s="6">
        <v>11462.56</v>
      </c>
      <c r="D11867" s="5"/>
      <c r="E11867" s="5" t="str">
        <f t="shared" si="611"/>
        <v>NUTRICION-ESPERANZA MONCADA PARADA</v>
      </c>
      <c r="F11867" s="5" t="str">
        <f>"Descripcion: ESTANTE METALICO Estado: Bueno Placa anterior: 000015480 Material: METALICO Color: GRIS Referencia:  Observacion:  Placa padre: Tipo adquisicion: Entidad"</f>
        <v>Descripcion: ESTANTE METALICO Estado: Bueno Placa anterior: 000015480 Material: METALICO Color: GRIS Referencia:  Observacion:  Placa padre: Tipo adquisicion: Entidad</v>
      </c>
      <c r="G11867" s="5"/>
    </row>
    <row r="11868" spans="1:7" ht="58.5" customHeight="1" x14ac:dyDescent="0.25">
      <c r="A11868" s="5" t="str">
        <f>"H0021850"</f>
        <v>H0021850</v>
      </c>
      <c r="B11868" s="5" t="str">
        <f>"ESTANTE METALICO"</f>
        <v>ESTANTE METALICO</v>
      </c>
      <c r="C11868" s="6">
        <v>91960.53</v>
      </c>
      <c r="D11868" s="5"/>
      <c r="E11868" s="5" t="str">
        <f t="shared" si="611"/>
        <v>NUTRICION-ESPERANZA MONCADA PARADA</v>
      </c>
      <c r="F11868" s="5" t="str">
        <f>"Descripcion: ARMARIO PARA ALIMENTO DOBLE DE 4 ENPTREPAÑOS Estado: Bueno Placa anterior: 000014195 Material: METALICO Color: GRIS Referencia:  Observacion:  Placa padre: Tipo adquisicion: Entidad"</f>
        <v>Descripcion: ARMARIO PARA ALIMENTO DOBLE DE 4 ENPTREPAÑOS Estado: Bueno Placa anterior: 000014195 Material: METALICO Color: GRIS Referencia:  Observacion:  Placa padre: Tipo adquisicion: Entidad</v>
      </c>
      <c r="G11868" s="5"/>
    </row>
    <row r="11869" spans="1:7" ht="58.5" customHeight="1" x14ac:dyDescent="0.25">
      <c r="A11869" s="5" t="str">
        <f>"H0021851"</f>
        <v>H0021851</v>
      </c>
      <c r="B11869" s="5" t="str">
        <f>"CARRO PARA TRANSPORTE DE ALIMENTOS TERMICO"</f>
        <v>CARRO PARA TRANSPORTE DE ALIMENTOS TERMICO</v>
      </c>
      <c r="C11869" s="6">
        <v>940000</v>
      </c>
      <c r="D11869" s="5"/>
      <c r="E11869" s="5" t="str">
        <f t="shared" si="611"/>
        <v>NUTRICION-ESPERANZA MONCADA PARADA</v>
      </c>
      <c r="F11869" s="5" t="str">
        <f>"Descripcion: BANDEJERO EN ACERO INOXIDABLE Estado: Bueno Placa anterior: 000033162 Material: ACERO INOXIDABLE Color: PLATEADO Referencia:  Observacion:  Placa padre: Tipo adquisicion: Entidad"</f>
        <v>Descripcion: BANDEJERO EN ACERO INOXIDABLE Estado: Bueno Placa anterior: 000033162 Material: ACERO INOXIDABLE Color: PLATEADO Referencia:  Observacion:  Placa padre: Tipo adquisicion: Entidad</v>
      </c>
      <c r="G11869" s="5"/>
    </row>
    <row r="11870" spans="1:7" ht="58.5" customHeight="1" x14ac:dyDescent="0.25">
      <c r="A11870" s="5" t="str">
        <f>"H0021852"</f>
        <v>H0021852</v>
      </c>
      <c r="B11870" s="5" t="str">
        <f>"CAJA EN POLIPROPILENO PARA ALMACENAMIENTO"</f>
        <v>CAJA EN POLIPROPILENO PARA ALMACENAMIENTO</v>
      </c>
      <c r="C11870" s="6">
        <v>84900</v>
      </c>
      <c r="D11870" s="5"/>
      <c r="E11870" s="5" t="str">
        <f t="shared" si="611"/>
        <v>NUTRICION-ESPERANZA MONCADA PARADA</v>
      </c>
      <c r="F11870" s="5" t="str">
        <f>"Descripcion: RECIPIENTE POLICARBONATO TRANSPARENTE PARA ALMACENAMIENTO X 45 LTS Estado: Bueno Placa anterior: 000036567 Material: POLICARBONATO Color: TRANSPARENTE Referencia:  Observacion:  Placa padre: Tipo adquisicion: Entidad"</f>
        <v>Descripcion: RECIPIENTE POLICARBONATO TRANSPARENTE PARA ALMACENAMIENTO X 45 LTS Estado: Bueno Placa anterior: 000036567 Material: POLICARBONATO Color: TRANSPARENTE Referencia:  Observacion:  Placa padre: Tipo adquisicion: Entidad</v>
      </c>
      <c r="G11870" s="5"/>
    </row>
    <row r="11871" spans="1:7" ht="58.5" customHeight="1" x14ac:dyDescent="0.25">
      <c r="A11871" s="5" t="str">
        <f>"H0021853"</f>
        <v>H0021853</v>
      </c>
      <c r="B11871" s="5" t="str">
        <f>"CAJA EN POLIPROPILENO PARA ALMACENAMIENTO"</f>
        <v>CAJA EN POLIPROPILENO PARA ALMACENAMIENTO</v>
      </c>
      <c r="C11871" s="6">
        <v>84900</v>
      </c>
      <c r="D11871" s="5"/>
      <c r="E11871" s="5" t="str">
        <f t="shared" si="611"/>
        <v>NUTRICION-ESPERANZA MONCADA PARADA</v>
      </c>
      <c r="F11871" s="5" t="str">
        <f>"Descripcion: RECIPIENTE POLICARBONATO TRANSPARENTE PARA ALMACENAMIENTO X 45 LTS Estado: Bueno Placa anterior: 000036566 Material: POLICARBONATO Color: TRANSPARENTE Referencia:  Observacion:  Placa padre: Tipo adquisicion: Entidad"</f>
        <v>Descripcion: RECIPIENTE POLICARBONATO TRANSPARENTE PARA ALMACENAMIENTO X 45 LTS Estado: Bueno Placa anterior: 000036566 Material: POLICARBONATO Color: TRANSPARENTE Referencia:  Observacion:  Placa padre: Tipo adquisicion: Entidad</v>
      </c>
      <c r="G11871" s="5"/>
    </row>
    <row r="11872" spans="1:7" ht="58.5" customHeight="1" x14ac:dyDescent="0.25">
      <c r="A11872" s="5" t="str">
        <f>"H0021859"</f>
        <v>H0021859</v>
      </c>
      <c r="B11872" s="5" t="str">
        <f>"MANUALES (LIBRO GUIA)"</f>
        <v>MANUALES (LIBRO GUIA)</v>
      </c>
      <c r="C11872" s="6">
        <v>15000</v>
      </c>
      <c r="D11872" s="5"/>
      <c r="E11872" s="5" t="str">
        <f t="shared" si="611"/>
        <v>NUTRICION-ESPERANZA MONCADA PARADA</v>
      </c>
      <c r="F11872" s="5" t="str">
        <f>"Descripcion: TABLA DE COMPOSICION DE ALIMENTOSLIBRO Estado: Bueno Placa anterior: 000014101 Material: PAPEL Color: VERDE Referencia:  Observacion:  Placa padre: Tipo adquisicion: Entidad"</f>
        <v>Descripcion: TABLA DE COMPOSICION DE ALIMENTOSLIBRO Estado: Bueno Placa anterior: 000014101 Material: PAPEL Color: VERDE Referencia:  Observacion:  Placa padre: Tipo adquisicion: Entidad</v>
      </c>
      <c r="G11872" s="5"/>
    </row>
    <row r="11873" spans="1:7" ht="58.5" customHeight="1" x14ac:dyDescent="0.25">
      <c r="A11873" s="5" t="str">
        <f>"H0021860"</f>
        <v>H0021860</v>
      </c>
      <c r="B11873" s="5" t="str">
        <f>"COSEDORA GRANDE CAPACIDAD MAYOR 140 HOJAS"</f>
        <v>COSEDORA GRANDE CAPACIDAD MAYOR 140 HOJAS</v>
      </c>
      <c r="C11873" s="6">
        <v>75400</v>
      </c>
      <c r="D11873" s="5"/>
      <c r="E11873" s="5" t="str">
        <f t="shared" si="611"/>
        <v>NUTRICION-ESPERANZA MONCADA PARADA</v>
      </c>
      <c r="F11873" s="5" t="str">
        <f>"Descripcion: COSEDORA INDUSTRIAL Estado: Bueno Placa anterior: 000014096 Material: METALICO Color: NEGRO Referencia:  Observacion:  Placa padre: Tipo adquisicion: Entidad"</f>
        <v>Descripcion: COSEDORA INDUSTRIAL Estado: Bueno Placa anterior: 000014096 Material: METALICO Color: NEGRO Referencia:  Observacion:  Placa padre: Tipo adquisicion: Entidad</v>
      </c>
      <c r="G11873" s="5"/>
    </row>
    <row r="11874" spans="1:7" ht="58.5" customHeight="1" x14ac:dyDescent="0.25">
      <c r="A11874" s="5" t="str">
        <f>"H0021862"</f>
        <v>H0021862</v>
      </c>
      <c r="B11874" s="5" t="str">
        <f>"ESTIBAS DE METALICAS"</f>
        <v>ESTIBAS DE METALICAS</v>
      </c>
      <c r="C11874" s="6">
        <v>44467.5</v>
      </c>
      <c r="D11874" s="5"/>
      <c r="E11874" s="5" t="str">
        <f t="shared" si="611"/>
        <v>NUTRICION-ESPERANZA MONCADA PARADA</v>
      </c>
      <c r="F11874" s="5" t="str">
        <f>"Descripcion: TARIMA EN LAMINA CON 6 PATAS Estado: Bueno Placa anterior: 000014208 Material: METALICO Color: GRIS Referencia:  Observacion:  Placa padre: Tipo adquisicion: Entidad"</f>
        <v>Descripcion: TARIMA EN LAMINA CON 6 PATAS Estado: Bueno Placa anterior: 000014208 Material: METALICO Color: GRIS Referencia:  Observacion:  Placa padre: Tipo adquisicion: Entidad</v>
      </c>
      <c r="G11874" s="5"/>
    </row>
    <row r="11875" spans="1:7" ht="58.5" customHeight="1" x14ac:dyDescent="0.25">
      <c r="A11875" s="5" t="str">
        <f>"H0021863"</f>
        <v>H0021863</v>
      </c>
      <c r="B11875" s="5" t="str">
        <f>"ESTIBAS DE METALICAS"</f>
        <v>ESTIBAS DE METALICAS</v>
      </c>
      <c r="C11875" s="6">
        <v>44467.5</v>
      </c>
      <c r="D11875" s="5"/>
      <c r="E11875" s="5" t="str">
        <f t="shared" si="611"/>
        <v>NUTRICION-ESPERANZA MONCADA PARADA</v>
      </c>
      <c r="F11875" s="5" t="str">
        <f>"Descripcion: TARIMA EN LAMINA CON 6 PATAS Estado: Bueno Placa anterior: 000014207 Material: METALICO Color: GRIS Referencia:  Observacion:  Placa padre: Tipo adquisicion: Entidad"</f>
        <v>Descripcion: TARIMA EN LAMINA CON 6 PATAS Estado: Bueno Placa anterior: 000014207 Material: METALICO Color: GRIS Referencia:  Observacion:  Placa padre: Tipo adquisicion: Entidad</v>
      </c>
      <c r="G11875" s="5"/>
    </row>
    <row r="11876" spans="1:7" ht="58.5" customHeight="1" x14ac:dyDescent="0.25">
      <c r="A11876" s="5" t="str">
        <f>"H0022271"</f>
        <v>H0022271</v>
      </c>
      <c r="B11876" s="5" t="str">
        <f>"INDICADOR ELECTRONICO DE PESO"</f>
        <v>INDICADOR ELECTRONICO DE PESO</v>
      </c>
      <c r="C11876" s="6">
        <v>290000</v>
      </c>
      <c r="D11876" s="5" t="s">
        <v>672</v>
      </c>
      <c r="E11876" s="5" t="str">
        <f t="shared" si="611"/>
        <v>NUTRICION-ESPERANZA MONCADA PARADA</v>
      </c>
      <c r="F11876" s="5"/>
      <c r="G11876" s="5"/>
    </row>
    <row r="11877" spans="1:7" ht="58.5" customHeight="1" x14ac:dyDescent="0.25">
      <c r="A11877" s="5" t="str">
        <f>"H0022391"</f>
        <v>H0022391</v>
      </c>
      <c r="B11877" s="5" t="str">
        <f t="shared" ref="B11877:B11884" si="615">"CARRO TERMICO TRANSPORTADOR DE ALIMENTOS"</f>
        <v>CARRO TERMICO TRANSPORTADOR DE ALIMENTOS</v>
      </c>
      <c r="C11877" s="6">
        <v>6194400</v>
      </c>
      <c r="D11877" s="5" t="s">
        <v>673</v>
      </c>
      <c r="E11877" s="5" t="str">
        <f t="shared" si="611"/>
        <v>NUTRICION-ESPERANZA MONCADA PARADA</v>
      </c>
      <c r="F11877" s="5"/>
      <c r="G11877" s="5"/>
    </row>
    <row r="11878" spans="1:7" ht="58.5" customHeight="1" x14ac:dyDescent="0.25">
      <c r="A11878" s="5" t="str">
        <f>"H0022392"</f>
        <v>H0022392</v>
      </c>
      <c r="B11878" s="5" t="str">
        <f t="shared" si="615"/>
        <v>CARRO TERMICO TRANSPORTADOR DE ALIMENTOS</v>
      </c>
      <c r="C11878" s="6">
        <v>6194400</v>
      </c>
      <c r="D11878" s="5" t="s">
        <v>630</v>
      </c>
      <c r="E11878" s="5" t="str">
        <f t="shared" si="611"/>
        <v>NUTRICION-ESPERANZA MONCADA PARADA</v>
      </c>
      <c r="F11878" s="5"/>
      <c r="G11878" s="5"/>
    </row>
    <row r="11879" spans="1:7" ht="58.5" customHeight="1" x14ac:dyDescent="0.25">
      <c r="A11879" s="5" t="str">
        <f>"H0022393"</f>
        <v>H0022393</v>
      </c>
      <c r="B11879" s="5" t="str">
        <f t="shared" si="615"/>
        <v>CARRO TERMICO TRANSPORTADOR DE ALIMENTOS</v>
      </c>
      <c r="C11879" s="6">
        <v>6194400</v>
      </c>
      <c r="D11879" s="5" t="s">
        <v>630</v>
      </c>
      <c r="E11879" s="5" t="str">
        <f t="shared" ref="E11879:E11942" si="616">"NUTRICION-ESPERANZA MONCADA PARADA"</f>
        <v>NUTRICION-ESPERANZA MONCADA PARADA</v>
      </c>
      <c r="F11879" s="5"/>
      <c r="G11879" s="5"/>
    </row>
    <row r="11880" spans="1:7" ht="58.5" customHeight="1" x14ac:dyDescent="0.25">
      <c r="A11880" s="5" t="str">
        <f>"H0022394"</f>
        <v>H0022394</v>
      </c>
      <c r="B11880" s="5" t="str">
        <f t="shared" si="615"/>
        <v>CARRO TERMICO TRANSPORTADOR DE ALIMENTOS</v>
      </c>
      <c r="C11880" s="6">
        <v>6194400</v>
      </c>
      <c r="D11880" s="5" t="s">
        <v>674</v>
      </c>
      <c r="E11880" s="5" t="str">
        <f t="shared" si="616"/>
        <v>NUTRICION-ESPERANZA MONCADA PARADA</v>
      </c>
      <c r="F11880" s="5"/>
      <c r="G11880" s="5"/>
    </row>
    <row r="11881" spans="1:7" ht="58.5" customHeight="1" x14ac:dyDescent="0.25">
      <c r="A11881" s="5" t="str">
        <f>"H0022395"</f>
        <v>H0022395</v>
      </c>
      <c r="B11881" s="5" t="str">
        <f t="shared" si="615"/>
        <v>CARRO TERMICO TRANSPORTADOR DE ALIMENTOS</v>
      </c>
      <c r="C11881" s="6">
        <v>6194400</v>
      </c>
      <c r="D11881" s="5" t="s">
        <v>630</v>
      </c>
      <c r="E11881" s="5" t="str">
        <f t="shared" si="616"/>
        <v>NUTRICION-ESPERANZA MONCADA PARADA</v>
      </c>
      <c r="F11881" s="5"/>
      <c r="G11881" s="5"/>
    </row>
    <row r="11882" spans="1:7" ht="58.5" customHeight="1" x14ac:dyDescent="0.25">
      <c r="A11882" s="5" t="str">
        <f>"H0022396"</f>
        <v>H0022396</v>
      </c>
      <c r="B11882" s="5" t="str">
        <f t="shared" si="615"/>
        <v>CARRO TERMICO TRANSPORTADOR DE ALIMENTOS</v>
      </c>
      <c r="C11882" s="6">
        <v>6194400</v>
      </c>
      <c r="D11882" s="5" t="s">
        <v>674</v>
      </c>
      <c r="E11882" s="5" t="str">
        <f t="shared" si="616"/>
        <v>NUTRICION-ESPERANZA MONCADA PARADA</v>
      </c>
      <c r="F11882" s="5"/>
      <c r="G11882" s="5"/>
    </row>
    <row r="11883" spans="1:7" ht="58.5" customHeight="1" x14ac:dyDescent="0.25">
      <c r="A11883" s="5" t="str">
        <f>"H0022397"</f>
        <v>H0022397</v>
      </c>
      <c r="B11883" s="5" t="str">
        <f t="shared" si="615"/>
        <v>CARRO TERMICO TRANSPORTADOR DE ALIMENTOS</v>
      </c>
      <c r="C11883" s="6">
        <v>6194400</v>
      </c>
      <c r="D11883" s="5" t="s">
        <v>630</v>
      </c>
      <c r="E11883" s="5" t="str">
        <f t="shared" si="616"/>
        <v>NUTRICION-ESPERANZA MONCADA PARADA</v>
      </c>
      <c r="F11883" s="5"/>
      <c r="G11883" s="5"/>
    </row>
    <row r="11884" spans="1:7" ht="58.5" customHeight="1" x14ac:dyDescent="0.25">
      <c r="A11884" s="5" t="str">
        <f>"H0022398"</f>
        <v>H0022398</v>
      </c>
      <c r="B11884" s="5" t="str">
        <f t="shared" si="615"/>
        <v>CARRO TERMICO TRANSPORTADOR DE ALIMENTOS</v>
      </c>
      <c r="C11884" s="6">
        <v>6194400</v>
      </c>
      <c r="D11884" s="5" t="s">
        <v>630</v>
      </c>
      <c r="E11884" s="5" t="str">
        <f t="shared" si="616"/>
        <v>NUTRICION-ESPERANZA MONCADA PARADA</v>
      </c>
      <c r="F11884" s="5"/>
      <c r="G11884" s="5"/>
    </row>
    <row r="11885" spans="1:7" ht="58.5" customHeight="1" x14ac:dyDescent="0.25">
      <c r="A11885" s="5" t="str">
        <f>"H0024157"</f>
        <v>H0024157</v>
      </c>
      <c r="B11885" s="5" t="str">
        <f>"Extintores CO2 10 lbs"</f>
        <v>Extintores CO2 10 lbs</v>
      </c>
      <c r="C11885" s="6">
        <v>549999.93000000005</v>
      </c>
      <c r="D11885" s="5" t="s">
        <v>458</v>
      </c>
      <c r="E11885" s="5" t="str">
        <f t="shared" si="616"/>
        <v>NUTRICION-ESPERANZA MONCADA PARADA</v>
      </c>
      <c r="F11885" s="5"/>
      <c r="G11885" s="5"/>
    </row>
    <row r="11886" spans="1:7" ht="58.5" customHeight="1" x14ac:dyDescent="0.25">
      <c r="A11886" s="5" t="str">
        <f>"H0025443"</f>
        <v>H0025443</v>
      </c>
      <c r="B1188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886" s="6">
        <v>312156</v>
      </c>
      <c r="D11886" s="5" t="s">
        <v>10</v>
      </c>
      <c r="E11886" s="5" t="str">
        <f t="shared" si="616"/>
        <v>NUTRICION-ESPERANZA MONCADA PARADA</v>
      </c>
      <c r="F11886" s="5"/>
      <c r="G11886" s="5"/>
    </row>
    <row r="11887" spans="1:7" ht="58.5" customHeight="1" x14ac:dyDescent="0.25">
      <c r="A11887" s="5" t="str">
        <f>"H0025563"</f>
        <v>H0025563</v>
      </c>
      <c r="B11887" s="5" t="str">
        <f>"REFRIGERADOR-CONGELADOR HORIZONTAL CON SISTEMA DUAL DE TEMPERATURAS CAPACIDAD 198 LITROS"</f>
        <v>REFRIGERADOR-CONGELADOR HORIZONTAL CON SISTEMA DUAL DE TEMPERATURAS CAPACIDAD 198 LITROS</v>
      </c>
      <c r="C11887" s="6">
        <v>946288</v>
      </c>
      <c r="D11887" s="5" t="s">
        <v>675</v>
      </c>
      <c r="E11887" s="5" t="str">
        <f t="shared" si="616"/>
        <v>NUTRICION-ESPERANZA MONCADA PARADA</v>
      </c>
      <c r="F11887" s="5"/>
      <c r="G11887" s="5" t="str">
        <f>"HYCF198WS"</f>
        <v>HYCF198WS</v>
      </c>
    </row>
    <row r="11888" spans="1:7" ht="58.5" customHeight="1" x14ac:dyDescent="0.25">
      <c r="A11888" s="5" t="str">
        <f>"H0026799"</f>
        <v>H0026799</v>
      </c>
      <c r="B11888"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888" s="6">
        <v>3296300</v>
      </c>
      <c r="D11888" s="5" t="s">
        <v>37</v>
      </c>
      <c r="E11888" s="5" t="str">
        <f t="shared" si="616"/>
        <v>NUTRICION-ESPERANZA MONCADA PARADA</v>
      </c>
      <c r="F11888" s="5"/>
      <c r="G11888" s="5"/>
    </row>
    <row r="11889" spans="1:7" ht="58.5" customHeight="1" x14ac:dyDescent="0.25">
      <c r="A11889" s="5" t="str">
        <f>"H0027556"</f>
        <v>H0027556</v>
      </c>
      <c r="B11889" s="5" t="str">
        <f>"LECTOR DE HUELLAS DIGITALES"</f>
        <v>LECTOR DE HUELLAS DIGITALES</v>
      </c>
      <c r="C11889" s="6">
        <v>234000.41</v>
      </c>
      <c r="D11889" s="5" t="s">
        <v>83</v>
      </c>
      <c r="E11889" s="5" t="str">
        <f t="shared" si="616"/>
        <v>NUTRICION-ESPERANZA MONCADA PARADA</v>
      </c>
      <c r="F11889" s="5"/>
      <c r="G11889" s="5"/>
    </row>
    <row r="11890" spans="1:7" ht="58.5" customHeight="1" x14ac:dyDescent="0.25">
      <c r="A11890" s="5" t="str">
        <f>"H0027557"</f>
        <v>H0027557</v>
      </c>
      <c r="B11890" s="5" t="str">
        <f>"LECTOR DE HUELLAS DIGITALES"</f>
        <v>LECTOR DE HUELLAS DIGITALES</v>
      </c>
      <c r="C11890" s="6">
        <v>234000.41</v>
      </c>
      <c r="D11890" s="5" t="s">
        <v>83</v>
      </c>
      <c r="E11890" s="5" t="str">
        <f t="shared" si="616"/>
        <v>NUTRICION-ESPERANZA MONCADA PARADA</v>
      </c>
      <c r="F11890" s="5"/>
      <c r="G11890" s="5"/>
    </row>
    <row r="11891" spans="1:7" ht="58.5" customHeight="1" x14ac:dyDescent="0.25">
      <c r="A11891" s="5" t="str">
        <f>"H0027558"</f>
        <v>H0027558</v>
      </c>
      <c r="B11891" s="5" t="str">
        <f>"LECTOR DE HUELLAS DIGITALES"</f>
        <v>LECTOR DE HUELLAS DIGITALES</v>
      </c>
      <c r="C11891" s="6">
        <v>234000.41</v>
      </c>
      <c r="D11891" s="5" t="s">
        <v>83</v>
      </c>
      <c r="E11891" s="5" t="str">
        <f t="shared" si="616"/>
        <v>NUTRICION-ESPERANZA MONCADA PARADA</v>
      </c>
      <c r="F11891" s="5"/>
      <c r="G11891" s="5"/>
    </row>
    <row r="11892" spans="1:7" ht="58.5" customHeight="1" x14ac:dyDescent="0.25">
      <c r="A11892" s="5" t="str">
        <f>"H0028998"</f>
        <v>H0028998</v>
      </c>
      <c r="B11892" s="5" t="str">
        <f>"MAQUINA PRODUCTORA DE HIELO"</f>
        <v>MAQUINA PRODUCTORA DE HIELO</v>
      </c>
      <c r="C11892" s="6">
        <v>9648463</v>
      </c>
      <c r="D11892" s="5" t="s">
        <v>608</v>
      </c>
      <c r="E11892" s="5" t="str">
        <f t="shared" si="616"/>
        <v>NUTRICION-ESPERANZA MONCADA PARADA</v>
      </c>
      <c r="F11892" s="5"/>
      <c r="G11892" s="5" t="str">
        <f>"E75 A IX 220//60/1"</f>
        <v>E75 A IX 220//60/1</v>
      </c>
    </row>
    <row r="11893" spans="1:7" ht="58.5" customHeight="1" x14ac:dyDescent="0.25">
      <c r="A11893" s="5" t="str">
        <f>"H0029264"</f>
        <v>H0029264</v>
      </c>
      <c r="B11893" s="5" t="str">
        <f>"TERMOMETRO INFRARROJO (Donación de equipos y laboratorios de Colombia)"</f>
        <v>TERMOMETRO INFRARROJO (Donación de equipos y laboratorios de Colombia)</v>
      </c>
      <c r="C11893" s="6">
        <v>432452</v>
      </c>
      <c r="D11893" s="5" t="s">
        <v>89</v>
      </c>
      <c r="E11893" s="5" t="str">
        <f t="shared" si="616"/>
        <v>NUTRICION-ESPERANZA MONCADA PARADA</v>
      </c>
      <c r="F11893" s="5"/>
      <c r="G11893" s="5"/>
    </row>
    <row r="11894" spans="1:7" ht="58.5" customHeight="1" x14ac:dyDescent="0.25">
      <c r="A11894" s="5" t="str">
        <f>"H0029327"</f>
        <v>H0029327</v>
      </c>
      <c r="B11894" s="5" t="str">
        <f>"SILLA HERGONOMICA CON SISTEMA HIDRAULICO"</f>
        <v>SILLA HERGONOMICA CON SISTEMA HIDRAULICO</v>
      </c>
      <c r="C11894" s="6">
        <v>174900</v>
      </c>
      <c r="D11894" s="5" t="s">
        <v>89</v>
      </c>
      <c r="E11894" s="5" t="str">
        <f t="shared" si="616"/>
        <v>NUTRICION-ESPERANZA MONCADA PARADA</v>
      </c>
      <c r="F11894" s="5"/>
      <c r="G11894" s="5"/>
    </row>
    <row r="11895" spans="1:7" ht="58.5" customHeight="1" x14ac:dyDescent="0.25">
      <c r="A11895" s="5" t="str">
        <f>"H0029404"</f>
        <v>H0029404</v>
      </c>
      <c r="B11895" s="5" t="str">
        <f>"GABINETE AEREO, FORMICA COLOR A ELEGIR, HERRAJE COLOR GRIS MUEBLE, MEDIDAS 0,9 DE ANCHO * 1,00 DE ALTURA *0,35 DE FONDO, CON 2 ENTREPAÑOS"</f>
        <v>GABINETE AEREO, FORMICA COLOR A ELEGIR, HERRAJE COLOR GRIS MUEBLE, MEDIDAS 0,9 DE ANCHO * 1,00 DE ALTURA *0,35 DE FONDO, CON 2 ENTREPAÑOS</v>
      </c>
      <c r="C11895" s="6">
        <v>285600</v>
      </c>
      <c r="D11895" s="5" t="s">
        <v>89</v>
      </c>
      <c r="E11895" s="5" t="str">
        <f t="shared" si="616"/>
        <v>NUTRICION-ESPERANZA MONCADA PARADA</v>
      </c>
      <c r="F11895" s="5"/>
      <c r="G11895" s="5"/>
    </row>
    <row r="11896" spans="1:7" ht="58.5" customHeight="1" x14ac:dyDescent="0.25">
      <c r="A11896" s="5" t="str">
        <f>"H0029481"</f>
        <v>H0029481</v>
      </c>
      <c r="B11896" s="5" t="str">
        <f>"LECTOR DE HUELLAS DIGITALES"</f>
        <v>LECTOR DE HUELLAS DIGITALES</v>
      </c>
      <c r="C11896" s="6">
        <v>309400</v>
      </c>
      <c r="D11896" s="5" t="s">
        <v>14</v>
      </c>
      <c r="E11896" s="5" t="str">
        <f t="shared" si="616"/>
        <v>NUTRICION-ESPERANZA MONCADA PARADA</v>
      </c>
      <c r="F11896" s="5"/>
      <c r="G11896" s="5"/>
    </row>
    <row r="11897" spans="1:7" ht="58.5" customHeight="1" x14ac:dyDescent="0.25">
      <c r="A11897" s="5" t="str">
        <f>"H0029585"</f>
        <v>H0029585</v>
      </c>
      <c r="B1189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1897" s="6">
        <v>252400.18</v>
      </c>
      <c r="D11897" s="5" t="s">
        <v>15</v>
      </c>
      <c r="E11897" s="5" t="str">
        <f t="shared" si="616"/>
        <v>NUTRICION-ESPERANZA MONCADA PARADA</v>
      </c>
      <c r="F11897" s="5"/>
      <c r="G11897" s="5"/>
    </row>
    <row r="11898" spans="1:7" ht="58.5" customHeight="1" x14ac:dyDescent="0.25">
      <c r="A11898" s="5" t="str">
        <f>"H0029832"</f>
        <v>H0029832</v>
      </c>
      <c r="B11898" s="5" t="str">
        <f>"AIRE ACONDICIONADO DE 18.000 BTU CONVENCIONAL"</f>
        <v>AIRE ACONDICIONADO DE 18.000 BTU CONVENCIONAL</v>
      </c>
      <c r="C11898" s="6">
        <v>2500000</v>
      </c>
      <c r="D11898" s="5" t="s">
        <v>565</v>
      </c>
      <c r="E11898" s="5" t="str">
        <f t="shared" si="616"/>
        <v>NUTRICION-ESPERANZA MONCADA PARADA</v>
      </c>
      <c r="F11898" s="5"/>
      <c r="G11898" s="5" t="str">
        <f>"JAA0WAJC213762000318"</f>
        <v>JAA0WAJC213762000318</v>
      </c>
    </row>
    <row r="11899" spans="1:7" ht="58.5" customHeight="1" x14ac:dyDescent="0.25">
      <c r="A11899" s="5" t="str">
        <f>"H0029833"</f>
        <v>H0029833</v>
      </c>
      <c r="B11899" s="5" t="str">
        <f>"AIRE ACONDICIONADO DE 24.000 BTU CONVENCIONAL"</f>
        <v>AIRE ACONDICIONADO DE 24.000 BTU CONVENCIONAL</v>
      </c>
      <c r="C11899" s="6">
        <v>2800000</v>
      </c>
      <c r="D11899" s="5" t="s">
        <v>565</v>
      </c>
      <c r="E11899" s="5" t="str">
        <f t="shared" si="616"/>
        <v>NUTRICION-ESPERANZA MONCADA PARADA</v>
      </c>
      <c r="F11899" s="5"/>
      <c r="G11899" s="5" t="str">
        <f>"D202291390414C"</f>
        <v>D202291390414C</v>
      </c>
    </row>
    <row r="11900" spans="1:7" ht="58.5" customHeight="1" x14ac:dyDescent="0.25">
      <c r="A11900" s="5" t="str">
        <f>"H0031196"</f>
        <v>H0031196</v>
      </c>
      <c r="B1190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1900" s="6">
        <v>246036.99</v>
      </c>
      <c r="D11900" s="5" t="s">
        <v>103</v>
      </c>
      <c r="E11900" s="5" t="str">
        <f t="shared" si="616"/>
        <v>NUTRICION-ESPERANZA MONCADA PARADA</v>
      </c>
      <c r="F11900" s="5"/>
      <c r="G11900" s="5"/>
    </row>
    <row r="11901" spans="1:7" ht="58.5" customHeight="1" x14ac:dyDescent="0.25">
      <c r="A11901" s="5" t="str">
        <f>"H0031462"</f>
        <v>H0031462</v>
      </c>
      <c r="B1190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1901" s="6">
        <v>3209500</v>
      </c>
      <c r="D11901" s="5" t="s">
        <v>16</v>
      </c>
      <c r="E11901" s="5" t="str">
        <f t="shared" si="616"/>
        <v>NUTRICION-ESPERANZA MONCADA PARADA</v>
      </c>
      <c r="F11901" s="5"/>
      <c r="G11901" s="5"/>
    </row>
    <row r="11902" spans="1:7" ht="58.5" customHeight="1" x14ac:dyDescent="0.25">
      <c r="A11902" s="5" t="str">
        <f>"H0032491"</f>
        <v>H0032491</v>
      </c>
      <c r="B11902"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11902" s="6">
        <v>420090</v>
      </c>
      <c r="D11902" s="5" t="s">
        <v>17</v>
      </c>
      <c r="E11902" s="5" t="str">
        <f t="shared" si="616"/>
        <v>NUTRICION-ESPERANZA MONCADA PARADA</v>
      </c>
      <c r="F11902" s="5"/>
      <c r="G11902" s="5"/>
    </row>
    <row r="11903" spans="1:7" ht="58.5" customHeight="1" x14ac:dyDescent="0.25">
      <c r="A11903" s="5" t="str">
        <f>"H0032511"</f>
        <v>H0032511</v>
      </c>
      <c r="B11903" s="5" t="str">
        <f>"IMPRESORA DE ETIQUETADOS REF ZT410 (DONACION)"</f>
        <v>IMPRESORA DE ETIQUETADOS REF ZT410 (DONACION)</v>
      </c>
      <c r="C11903" s="6">
        <v>821100</v>
      </c>
      <c r="D11903" s="5" t="s">
        <v>366</v>
      </c>
      <c r="E11903" s="5" t="str">
        <f t="shared" si="616"/>
        <v>NUTRICION-ESPERANZA MONCADA PARADA</v>
      </c>
      <c r="F11903" s="5"/>
      <c r="G11903" s="5"/>
    </row>
    <row r="11904" spans="1:7" ht="58.5" customHeight="1" x14ac:dyDescent="0.25">
      <c r="A11904" s="5" t="str">
        <f>"H0032512"</f>
        <v>H0032512</v>
      </c>
      <c r="B11904" s="5" t="str">
        <f>"COMPUTADOR TODO EN UNO LENOVO"</f>
        <v>COMPUTADOR TODO EN UNO LENOVO</v>
      </c>
      <c r="C11904" s="6">
        <v>2250000</v>
      </c>
      <c r="D11904" s="5" t="s">
        <v>275</v>
      </c>
      <c r="E11904" s="5" t="str">
        <f t="shared" si="616"/>
        <v>NUTRICION-ESPERANZA MONCADA PARADA</v>
      </c>
      <c r="F11904" s="5"/>
      <c r="G11904" s="5"/>
    </row>
    <row r="11905" spans="1:7" ht="58.5" customHeight="1" x14ac:dyDescent="0.25">
      <c r="A11905" s="5" t="str">
        <f>"H0032513"</f>
        <v>H0032513</v>
      </c>
      <c r="B11905" s="5" t="str">
        <f>"LICENCIA"</f>
        <v>LICENCIA</v>
      </c>
      <c r="C11905" s="6">
        <v>745000</v>
      </c>
      <c r="D11905" s="5" t="s">
        <v>275</v>
      </c>
      <c r="E11905" s="5" t="str">
        <f t="shared" si="616"/>
        <v>NUTRICION-ESPERANZA MONCADA PARADA</v>
      </c>
      <c r="F11905" s="5"/>
      <c r="G11905" s="5"/>
    </row>
    <row r="11906" spans="1:7" ht="58.5" customHeight="1" x14ac:dyDescent="0.25">
      <c r="A11906" s="5" t="str">
        <f>"H0032528"</f>
        <v>H0032528</v>
      </c>
      <c r="B11906" s="5" t="str">
        <f>"Balanza pesa bebe digital (DONACION)"</f>
        <v>Balanza pesa bebe digital (DONACION)</v>
      </c>
      <c r="C11906" s="6">
        <v>850000</v>
      </c>
      <c r="D11906" s="5" t="s">
        <v>676</v>
      </c>
      <c r="E11906" s="5" t="str">
        <f t="shared" si="616"/>
        <v>NUTRICION-ESPERANZA MONCADA PARADA</v>
      </c>
      <c r="F11906" s="5"/>
      <c r="G11906" s="5"/>
    </row>
    <row r="11907" spans="1:7" ht="58.5" customHeight="1" x14ac:dyDescent="0.25">
      <c r="A11907" s="5" t="str">
        <f>"H0032893"</f>
        <v>H0032893</v>
      </c>
      <c r="B11907" s="5" t="str">
        <f>"HIDROLAVADORA 2000 PSI"</f>
        <v>HIDROLAVADORA 2000 PSI</v>
      </c>
      <c r="C11907" s="6">
        <v>2170000</v>
      </c>
      <c r="D11907" s="5" t="s">
        <v>677</v>
      </c>
      <c r="E11907" s="5" t="str">
        <f t="shared" si="616"/>
        <v>NUTRICION-ESPERANZA MONCADA PARADA</v>
      </c>
      <c r="F11907" s="5"/>
      <c r="G11907" s="5"/>
    </row>
    <row r="11908" spans="1:7" ht="58.5" customHeight="1" x14ac:dyDescent="0.25">
      <c r="A11908" s="5" t="str">
        <f>"H0033927"</f>
        <v>H0033927</v>
      </c>
      <c r="B11908" s="5" t="str">
        <f>"LECTOR DE HUELLAS DIGITALES"</f>
        <v>LECTOR DE HUELLAS DIGITALES</v>
      </c>
      <c r="C11908" s="6">
        <v>340340</v>
      </c>
      <c r="D11908" s="5" t="s">
        <v>119</v>
      </c>
      <c r="E11908" s="5" t="str">
        <f t="shared" si="616"/>
        <v>NUTRICION-ESPERANZA MONCADA PARADA</v>
      </c>
      <c r="F11908" s="5"/>
      <c r="G11908" s="5"/>
    </row>
    <row r="11909" spans="1:7" ht="58.5" customHeight="1" x14ac:dyDescent="0.25">
      <c r="A11909" s="5" t="str">
        <f>"H0033949"</f>
        <v>H0033949</v>
      </c>
      <c r="B11909" s="5" t="str">
        <f>"LECTOR DE HUELLAS DIGITALES"</f>
        <v>LECTOR DE HUELLAS DIGITALES</v>
      </c>
      <c r="C11909" s="6">
        <v>340340</v>
      </c>
      <c r="D11909" s="5" t="s">
        <v>119</v>
      </c>
      <c r="E11909" s="5" t="str">
        <f t="shared" si="616"/>
        <v>NUTRICION-ESPERANZA MONCADA PARADA</v>
      </c>
      <c r="F11909" s="5"/>
      <c r="G11909" s="5"/>
    </row>
    <row r="11910" spans="1:7" ht="58.5" customHeight="1" x14ac:dyDescent="0.25">
      <c r="A11910" s="5" t="str">
        <f>"H0033952"</f>
        <v>H0033952</v>
      </c>
      <c r="B11910" s="5" t="str">
        <f>"LECTOR DE HUELLAS DIGITALES"</f>
        <v>LECTOR DE HUELLAS DIGITALES</v>
      </c>
      <c r="C11910" s="6">
        <v>340340</v>
      </c>
      <c r="D11910" s="5" t="s">
        <v>119</v>
      </c>
      <c r="E11910" s="5" t="str">
        <f t="shared" si="616"/>
        <v>NUTRICION-ESPERANZA MONCADA PARADA</v>
      </c>
      <c r="F11910" s="5"/>
      <c r="G11910" s="5"/>
    </row>
    <row r="11911" spans="1:7" ht="58.5" customHeight="1" x14ac:dyDescent="0.25">
      <c r="A11911" s="5" t="str">
        <f>"H0034075"</f>
        <v>H0034075</v>
      </c>
      <c r="B11911" s="5" t="str">
        <f>"ESTADIOMETRO PORTATIL (DONACION)"</f>
        <v>ESTADIOMETRO PORTATIL (DONACION)</v>
      </c>
      <c r="C11911" s="6">
        <v>950000</v>
      </c>
      <c r="D11911" s="5" t="s">
        <v>678</v>
      </c>
      <c r="E11911" s="5" t="str">
        <f t="shared" si="616"/>
        <v>NUTRICION-ESPERANZA MONCADA PARADA</v>
      </c>
      <c r="F11911" s="5"/>
      <c r="G11911" s="5"/>
    </row>
    <row r="11912" spans="1:7" ht="58.5" customHeight="1" x14ac:dyDescent="0.25">
      <c r="A11912" s="5" t="str">
        <f>"H0034076"</f>
        <v>H0034076</v>
      </c>
      <c r="B11912" s="5" t="str">
        <f>"BALANZA DE PESAJE DIGITAL CAPACIDAD 200 KG  (DONACION)"</f>
        <v>BALANZA DE PESAJE DIGITAL CAPACIDAD 200 KG  (DONACION)</v>
      </c>
      <c r="C11912" s="6">
        <v>1000000</v>
      </c>
      <c r="D11912" s="5" t="s">
        <v>330</v>
      </c>
      <c r="E11912" s="5" t="str">
        <f t="shared" si="616"/>
        <v>NUTRICION-ESPERANZA MONCADA PARADA</v>
      </c>
      <c r="F11912" s="5"/>
      <c r="G11912" s="5"/>
    </row>
    <row r="11913" spans="1:7" ht="58.5" customHeight="1" x14ac:dyDescent="0.25">
      <c r="A11913" s="5" t="str">
        <f>"H0034089"</f>
        <v>H0034089</v>
      </c>
      <c r="B1191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1913" s="6">
        <v>5604900</v>
      </c>
      <c r="D11913" s="5" t="s">
        <v>192</v>
      </c>
      <c r="E11913" s="5" t="str">
        <f t="shared" si="616"/>
        <v>NUTRICION-ESPERANZA MONCADA PARADA</v>
      </c>
      <c r="F11913" s="5"/>
      <c r="G11913" s="5"/>
    </row>
    <row r="11914" spans="1:7" ht="58.5" customHeight="1" x14ac:dyDescent="0.25">
      <c r="A11914" s="5" t="str">
        <f>"H0034598"</f>
        <v>H0034598</v>
      </c>
      <c r="B11914" s="5" t="str">
        <f>"BALANZA (PESO) DIGITAL (GRAMERA)"</f>
        <v>BALANZA (PESO) DIGITAL (GRAMERA)</v>
      </c>
      <c r="C11914" s="6">
        <v>120000.01</v>
      </c>
      <c r="D11914" s="5" t="s">
        <v>234</v>
      </c>
      <c r="E11914" s="5" t="str">
        <f t="shared" si="616"/>
        <v>NUTRICION-ESPERANZA MONCADA PARADA</v>
      </c>
      <c r="F11914" s="5"/>
      <c r="G11914" s="5"/>
    </row>
    <row r="11915" spans="1:7" ht="58.5" customHeight="1" x14ac:dyDescent="0.25">
      <c r="A11915" s="5" t="str">
        <f>"H0034629"</f>
        <v>H0034629</v>
      </c>
      <c r="B11915" s="5" t="str">
        <f>"LICUADORA INDUSTRIAL VOL 25 LT 1.5 HP 220V"</f>
        <v>LICUADORA INDUSTRIAL VOL 25 LT 1.5 HP 220V</v>
      </c>
      <c r="C11915" s="6">
        <v>12199880</v>
      </c>
      <c r="D11915" s="5" t="s">
        <v>367</v>
      </c>
      <c r="E11915" s="5" t="str">
        <f t="shared" si="616"/>
        <v>NUTRICION-ESPERANZA MONCADA PARADA</v>
      </c>
      <c r="F11915" s="5"/>
      <c r="G11915" s="5"/>
    </row>
    <row r="11916" spans="1:7" ht="58.5" customHeight="1" x14ac:dyDescent="0.25">
      <c r="A11916" s="5" t="str">
        <f>"H0034630"</f>
        <v>H0034630</v>
      </c>
      <c r="B11916" s="5" t="str">
        <f>"LICUADORA INDUSTRIAL VOL 25 LT 1.5 HP 220V"</f>
        <v>LICUADORA INDUSTRIAL VOL 25 LT 1.5 HP 220V</v>
      </c>
      <c r="C11916" s="6">
        <v>12199880</v>
      </c>
      <c r="D11916" s="5" t="s">
        <v>367</v>
      </c>
      <c r="E11916" s="5" t="str">
        <f t="shared" si="616"/>
        <v>NUTRICION-ESPERANZA MONCADA PARADA</v>
      </c>
      <c r="F11916" s="5"/>
      <c r="G11916" s="5"/>
    </row>
    <row r="11917" spans="1:7" ht="58.5" customHeight="1" x14ac:dyDescent="0.25">
      <c r="A11917" s="5" t="str">
        <f>"H0034631"</f>
        <v>H0034631</v>
      </c>
      <c r="B11917" s="5" t="str">
        <f>"LICUADORA VEL VARIABLE VASO POLIC 2 LT"</f>
        <v>LICUADORA VEL VARIABLE VASO POLIC 2 LT</v>
      </c>
      <c r="C11917" s="6">
        <v>1261400</v>
      </c>
      <c r="D11917" s="5" t="s">
        <v>367</v>
      </c>
      <c r="E11917" s="5" t="str">
        <f t="shared" si="616"/>
        <v>NUTRICION-ESPERANZA MONCADA PARADA</v>
      </c>
      <c r="F11917" s="5"/>
      <c r="G11917" s="5"/>
    </row>
    <row r="11918" spans="1:7" ht="58.5" customHeight="1" x14ac:dyDescent="0.25">
      <c r="A11918" s="5" t="str">
        <f>"H0034632"</f>
        <v>H0034632</v>
      </c>
      <c r="B11918" s="5" t="str">
        <f>"LICUADORA VEL VARIABLE VASO POLIC 2 LT"</f>
        <v>LICUADORA VEL VARIABLE VASO POLIC 2 LT</v>
      </c>
      <c r="C11918" s="6">
        <v>1261400</v>
      </c>
      <c r="D11918" s="5" t="s">
        <v>367</v>
      </c>
      <c r="E11918" s="5" t="str">
        <f t="shared" si="616"/>
        <v>NUTRICION-ESPERANZA MONCADA PARADA</v>
      </c>
      <c r="F11918" s="5"/>
      <c r="G11918" s="5"/>
    </row>
    <row r="11919" spans="1:7" ht="58.5" customHeight="1" x14ac:dyDescent="0.25">
      <c r="A11919" s="5" t="str">
        <f>"H0034822"</f>
        <v>H0034822</v>
      </c>
      <c r="B11919" s="5" t="str">
        <f>"Pistola para desinfección por niebla"</f>
        <v>Pistola para desinfección por niebla</v>
      </c>
      <c r="C11919" s="6">
        <v>425000</v>
      </c>
      <c r="D11919" s="5" t="s">
        <v>21</v>
      </c>
      <c r="E11919" s="5" t="str">
        <f t="shared" si="616"/>
        <v>NUTRICION-ESPERANZA MONCADA PARADA</v>
      </c>
      <c r="F11919" s="5"/>
      <c r="G11919" s="5"/>
    </row>
    <row r="11920" spans="1:7" ht="58.5" customHeight="1" x14ac:dyDescent="0.25">
      <c r="A11920" s="5" t="str">
        <f>"H0035311"</f>
        <v>H0035311</v>
      </c>
      <c r="B11920" s="5" t="str">
        <f>"ANALIZADOR DE COMPOSICION CORPORAL MARCA INBODY (DONACION)"</f>
        <v>ANALIZADOR DE COMPOSICION CORPORAL MARCA INBODY (DONACION)</v>
      </c>
      <c r="C11920" s="6">
        <v>2841640</v>
      </c>
      <c r="D11920" s="5" t="s">
        <v>511</v>
      </c>
      <c r="E11920" s="5" t="str">
        <f t="shared" si="616"/>
        <v>NUTRICION-ESPERANZA MONCADA PARADA</v>
      </c>
      <c r="F11920" s="5"/>
      <c r="G11920" s="5"/>
    </row>
    <row r="11921" spans="1:7" ht="58.5" customHeight="1" x14ac:dyDescent="0.25">
      <c r="A11921" s="5" t="str">
        <f>"H0035512"</f>
        <v>H0035512</v>
      </c>
      <c r="B11921" s="5" t="str">
        <f>"CARRO PARA TRANSPORTE DE MENAJE"</f>
        <v>CARRO PARA TRANSPORTE DE MENAJE</v>
      </c>
      <c r="C11921" s="6">
        <v>1150000.05</v>
      </c>
      <c r="D11921" s="5" t="s">
        <v>159</v>
      </c>
      <c r="E11921" s="5" t="str">
        <f t="shared" si="616"/>
        <v>NUTRICION-ESPERANZA MONCADA PARADA</v>
      </c>
      <c r="F11921" s="5"/>
      <c r="G11921" s="5"/>
    </row>
    <row r="11922" spans="1:7" ht="58.5" customHeight="1" x14ac:dyDescent="0.25">
      <c r="A11922" s="5" t="str">
        <f>"H0035513"</f>
        <v>H0035513</v>
      </c>
      <c r="B11922" s="5" t="str">
        <f>"CARRO PARA TRANSPORTE DE MENAJE"</f>
        <v>CARRO PARA TRANSPORTE DE MENAJE</v>
      </c>
      <c r="C11922" s="6">
        <v>1150000.05</v>
      </c>
      <c r="D11922" s="5" t="s">
        <v>159</v>
      </c>
      <c r="E11922" s="5" t="str">
        <f t="shared" si="616"/>
        <v>NUTRICION-ESPERANZA MONCADA PARADA</v>
      </c>
      <c r="F11922" s="5"/>
      <c r="G11922" s="5"/>
    </row>
    <row r="11923" spans="1:7" ht="58.5" customHeight="1" x14ac:dyDescent="0.25">
      <c r="A11923" s="5" t="str">
        <f>"H0035514"</f>
        <v>H0035514</v>
      </c>
      <c r="B11923" s="5" t="str">
        <f>"CARRO PARA TRANSPORTE DE MENAJE"</f>
        <v>CARRO PARA TRANSPORTE DE MENAJE</v>
      </c>
      <c r="C11923" s="6">
        <v>1150000.05</v>
      </c>
      <c r="D11923" s="5" t="s">
        <v>159</v>
      </c>
      <c r="E11923" s="5" t="str">
        <f t="shared" si="616"/>
        <v>NUTRICION-ESPERANZA MONCADA PARADA</v>
      </c>
      <c r="F11923" s="5"/>
      <c r="G11923" s="5"/>
    </row>
    <row r="11924" spans="1:7" ht="58.5" customHeight="1" x14ac:dyDescent="0.25">
      <c r="A11924" s="5" t="str">
        <f>"H0035515"</f>
        <v>H0035515</v>
      </c>
      <c r="B11924" s="5" t="str">
        <f>"CARRO PARA TRANSPORTE DE MENAJE"</f>
        <v>CARRO PARA TRANSPORTE DE MENAJE</v>
      </c>
      <c r="C11924" s="6">
        <v>1150000.05</v>
      </c>
      <c r="D11924" s="5" t="s">
        <v>159</v>
      </c>
      <c r="E11924" s="5" t="str">
        <f t="shared" si="616"/>
        <v>NUTRICION-ESPERANZA MONCADA PARADA</v>
      </c>
      <c r="F11924" s="5"/>
      <c r="G11924" s="5"/>
    </row>
    <row r="11925" spans="1:7" ht="58.5" customHeight="1" x14ac:dyDescent="0.25">
      <c r="A11925" s="5" t="str">
        <f>"H0035516"</f>
        <v>H0035516</v>
      </c>
      <c r="B11925" s="5" t="str">
        <f>"CARRO PARA TRANSPORTE DE MENAJE"</f>
        <v>CARRO PARA TRANSPORTE DE MENAJE</v>
      </c>
      <c r="C11925" s="6">
        <v>1150000.05</v>
      </c>
      <c r="D11925" s="5" t="s">
        <v>159</v>
      </c>
      <c r="E11925" s="5" t="str">
        <f t="shared" si="616"/>
        <v>NUTRICION-ESPERANZA MONCADA PARADA</v>
      </c>
      <c r="F11925" s="5"/>
      <c r="G11925" s="5"/>
    </row>
    <row r="11926" spans="1:7" ht="58.5" customHeight="1" x14ac:dyDescent="0.25">
      <c r="A11926" s="5" t="str">
        <f>"H0035707"</f>
        <v>H0035707</v>
      </c>
      <c r="B11926" s="5" t="str">
        <f>"SILLA GERENTE NIZA MEC. BASCULANTE CON BRAZOS."</f>
        <v>SILLA GERENTE NIZA MEC. BASCULANTE CON BRAZOS.</v>
      </c>
      <c r="C11926" s="6">
        <v>639999.86</v>
      </c>
      <c r="D11926" s="5" t="s">
        <v>235</v>
      </c>
      <c r="E11926" s="5" t="str">
        <f t="shared" si="616"/>
        <v>NUTRICION-ESPERANZA MONCADA PARADA</v>
      </c>
      <c r="F11926" s="5"/>
      <c r="G11926" s="5"/>
    </row>
    <row r="11927" spans="1:7" ht="58.5" customHeight="1" x14ac:dyDescent="0.25">
      <c r="A11927" s="5" t="str">
        <f>"H0035708"</f>
        <v>H0035708</v>
      </c>
      <c r="B11927" s="5" t="str">
        <f>"SILLA GERENTE NIZA MEC. BASCULANTE CON BRAZOS."</f>
        <v>SILLA GERENTE NIZA MEC. BASCULANTE CON BRAZOS.</v>
      </c>
      <c r="C11927" s="6">
        <v>639999.86</v>
      </c>
      <c r="D11927" s="5" t="s">
        <v>236</v>
      </c>
      <c r="E11927" s="5" t="str">
        <f t="shared" si="616"/>
        <v>NUTRICION-ESPERANZA MONCADA PARADA</v>
      </c>
      <c r="F11927" s="5"/>
      <c r="G11927" s="5"/>
    </row>
    <row r="11928" spans="1:7" ht="58.5" customHeight="1" x14ac:dyDescent="0.25">
      <c r="A11928" s="5" t="str">
        <f>"H0035709"</f>
        <v>H0035709</v>
      </c>
      <c r="B11928" s="5" t="str">
        <f>"SILLA GERENTE NIZA MEC. BASCULANTE CON BRAZOS."</f>
        <v>SILLA GERENTE NIZA MEC. BASCULANTE CON BRAZOS.</v>
      </c>
      <c r="C11928" s="6">
        <v>639999.86</v>
      </c>
      <c r="D11928" s="5" t="s">
        <v>235</v>
      </c>
      <c r="E11928" s="5" t="str">
        <f t="shared" si="616"/>
        <v>NUTRICION-ESPERANZA MONCADA PARADA</v>
      </c>
      <c r="F11928" s="5"/>
      <c r="G11928" s="5"/>
    </row>
    <row r="11929" spans="1:7" ht="58.5" customHeight="1" x14ac:dyDescent="0.25">
      <c r="A11929" s="5" t="str">
        <f>"H0035710"</f>
        <v>H0035710</v>
      </c>
      <c r="B11929" s="5" t="str">
        <f>"SILLA GERENTE NIZA MEC. BASCULANTE CON BRAZOS."</f>
        <v>SILLA GERENTE NIZA MEC. BASCULANTE CON BRAZOS.</v>
      </c>
      <c r="C11929" s="6">
        <v>639999.86</v>
      </c>
      <c r="D11929" s="5" t="s">
        <v>235</v>
      </c>
      <c r="E11929" s="5" t="str">
        <f t="shared" si="616"/>
        <v>NUTRICION-ESPERANZA MONCADA PARADA</v>
      </c>
      <c r="F11929" s="5"/>
      <c r="G11929" s="5"/>
    </row>
    <row r="11930" spans="1:7" ht="58.5" customHeight="1" x14ac:dyDescent="0.25">
      <c r="A11930" s="5" t="str">
        <f>"H0036005"</f>
        <v>H0036005</v>
      </c>
      <c r="B11930" s="5" t="str">
        <f>"CAVA PLASTICA 130 LITROS DIMENSIONES 95/50/46"</f>
        <v>CAVA PLASTICA 130 LITROS DIMENSIONES 95/50/46</v>
      </c>
      <c r="C11930" s="6">
        <v>1250000.17</v>
      </c>
      <c r="D11930" s="5" t="s">
        <v>679</v>
      </c>
      <c r="E11930" s="5" t="str">
        <f t="shared" si="616"/>
        <v>NUTRICION-ESPERANZA MONCADA PARADA</v>
      </c>
      <c r="F11930" s="5"/>
      <c r="G11930" s="5"/>
    </row>
    <row r="11931" spans="1:7" ht="58.5" customHeight="1" x14ac:dyDescent="0.25">
      <c r="A11931" s="5" t="str">
        <f>"H0036006"</f>
        <v>H0036006</v>
      </c>
      <c r="B11931" s="5" t="str">
        <f>"CAVA PLASTICA 130 LITROS DIMENSIONES 95/50/46"</f>
        <v>CAVA PLASTICA 130 LITROS DIMENSIONES 95/50/46</v>
      </c>
      <c r="C11931" s="6">
        <v>1250000.17</v>
      </c>
      <c r="D11931" s="5" t="s">
        <v>679</v>
      </c>
      <c r="E11931" s="5" t="str">
        <f t="shared" si="616"/>
        <v>NUTRICION-ESPERANZA MONCADA PARADA</v>
      </c>
      <c r="F11931" s="5"/>
      <c r="G11931" s="5"/>
    </row>
    <row r="11932" spans="1:7" ht="58.5" customHeight="1" x14ac:dyDescent="0.25">
      <c r="A11932" s="5" t="str">
        <f>"H0036364"</f>
        <v>H0036364</v>
      </c>
      <c r="B11932" s="5" t="str">
        <f>"PELADOR DE PAPAS CAP. 50Kg/h"</f>
        <v>PELADOR DE PAPAS CAP. 50Kg/h</v>
      </c>
      <c r="C11932" s="6">
        <v>16065000</v>
      </c>
      <c r="D11932" s="5" t="s">
        <v>680</v>
      </c>
      <c r="E11932" s="5" t="str">
        <f t="shared" si="616"/>
        <v>NUTRICION-ESPERANZA MONCADA PARADA</v>
      </c>
      <c r="F11932" s="5"/>
      <c r="G11932" s="5"/>
    </row>
    <row r="11933" spans="1:7" ht="58.5" customHeight="1" x14ac:dyDescent="0.25">
      <c r="A11933" s="5" t="str">
        <f>"H0036366"</f>
        <v>H0036366</v>
      </c>
      <c r="B11933" s="5" t="str">
        <f>"CORTADOR INDUSTRIAL DE ALIMENTOS Cap. 250Kg/h"</f>
        <v>CORTADOR INDUSTRIAL DE ALIMENTOS Cap. 250Kg/h</v>
      </c>
      <c r="C11933" s="6">
        <v>11662000</v>
      </c>
      <c r="D11933" s="5" t="s">
        <v>680</v>
      </c>
      <c r="E11933" s="5" t="str">
        <f t="shared" si="616"/>
        <v>NUTRICION-ESPERANZA MONCADA PARADA</v>
      </c>
      <c r="F11933" s="5"/>
      <c r="G11933" s="5"/>
    </row>
    <row r="11934" spans="1:7" ht="58.5" customHeight="1" x14ac:dyDescent="0.25">
      <c r="A11934" s="5" t="str">
        <f>"H0036926"</f>
        <v>H0036926</v>
      </c>
      <c r="B11934" s="5" t="str">
        <f>"Horno giratorio de 12 latas acero calibre 18,430 satinado quemador marca Wayner de 250 mil BTU"</f>
        <v>Horno giratorio de 12 latas acero calibre 18,430 satinado quemador marca Wayner de 250 mil BTU</v>
      </c>
      <c r="C11934" s="6">
        <v>27350000</v>
      </c>
      <c r="D11934" s="5" t="s">
        <v>681</v>
      </c>
      <c r="E11934" s="5" t="str">
        <f t="shared" si="616"/>
        <v>NUTRICION-ESPERANZA MONCADA PARADA</v>
      </c>
      <c r="F11934" s="5"/>
      <c r="G11934" s="5"/>
    </row>
    <row r="11935" spans="1:7" ht="58.5" customHeight="1" x14ac:dyDescent="0.25">
      <c r="A11935" s="5" t="str">
        <f>"H0037087"</f>
        <v>H0037087</v>
      </c>
      <c r="B11935" s="5" t="str">
        <f>"CONGELADOR HORIZONTAL. CAPACIDAD 520 LT BRUTOS"</f>
        <v>CONGELADOR HORIZONTAL. CAPACIDAD 520 LT BRUTOS</v>
      </c>
      <c r="C11935" s="6">
        <v>5527550</v>
      </c>
      <c r="D11935" s="5" t="s">
        <v>682</v>
      </c>
      <c r="E11935" s="5" t="str">
        <f t="shared" si="616"/>
        <v>NUTRICION-ESPERANZA MONCADA PARADA</v>
      </c>
      <c r="F11935" s="5"/>
      <c r="G11935" s="5"/>
    </row>
    <row r="11936" spans="1:7" ht="58.5" customHeight="1" x14ac:dyDescent="0.25">
      <c r="A11936" s="5" t="str">
        <f>"H0037177"</f>
        <v>H0037177</v>
      </c>
      <c r="B11936" s="5" t="str">
        <f>"LOCKER DE 12 COMPARTIMIENTOS"</f>
        <v>LOCKER DE 12 COMPARTIMIENTOS</v>
      </c>
      <c r="C11936" s="6">
        <v>1699320</v>
      </c>
      <c r="D11936" s="5" t="s">
        <v>648</v>
      </c>
      <c r="E11936" s="5" t="str">
        <f t="shared" si="616"/>
        <v>NUTRICION-ESPERANZA MONCADA PARADA</v>
      </c>
      <c r="F11936" s="5"/>
      <c r="G11936" s="5"/>
    </row>
    <row r="11937" spans="1:7" ht="58.5" customHeight="1" x14ac:dyDescent="0.25">
      <c r="A11937" s="5" t="str">
        <f>"H0037178"</f>
        <v>H0037178</v>
      </c>
      <c r="B11937" s="5" t="str">
        <f>"LOCKER DE 12 COMPARTIMIENTOS"</f>
        <v>LOCKER DE 12 COMPARTIMIENTOS</v>
      </c>
      <c r="C11937" s="6">
        <v>1699320</v>
      </c>
      <c r="D11937" s="5" t="s">
        <v>648</v>
      </c>
      <c r="E11937" s="5" t="str">
        <f t="shared" si="616"/>
        <v>NUTRICION-ESPERANZA MONCADA PARADA</v>
      </c>
      <c r="F11937" s="5"/>
      <c r="G11937" s="5"/>
    </row>
    <row r="11938" spans="1:7" ht="58.5" customHeight="1" x14ac:dyDescent="0.25">
      <c r="A11938" s="5" t="str">
        <f>"H0037179"</f>
        <v>H0037179</v>
      </c>
      <c r="B11938" s="5" t="str">
        <f>"LOCKER DE 12 COMPARTIMIENTOS"</f>
        <v>LOCKER DE 12 COMPARTIMIENTOS</v>
      </c>
      <c r="C11938" s="6">
        <v>1699320</v>
      </c>
      <c r="D11938" s="5" t="s">
        <v>648</v>
      </c>
      <c r="E11938" s="5" t="str">
        <f t="shared" si="616"/>
        <v>NUTRICION-ESPERANZA MONCADA PARADA</v>
      </c>
      <c r="F11938" s="5"/>
      <c r="G11938" s="5"/>
    </row>
    <row r="11939" spans="1:7" ht="58.5" customHeight="1" x14ac:dyDescent="0.25">
      <c r="A11939" s="5" t="str">
        <f>"H0037180"</f>
        <v>H0037180</v>
      </c>
      <c r="B11939" s="5" t="str">
        <f>"LOCKER DE 6 COMPARTIMIENTOS"</f>
        <v>LOCKER DE 6 COMPARTIMIENTOS</v>
      </c>
      <c r="C11939" s="6">
        <v>1456560</v>
      </c>
      <c r="D11939" s="5" t="s">
        <v>648</v>
      </c>
      <c r="E11939" s="5" t="str">
        <f t="shared" si="616"/>
        <v>NUTRICION-ESPERANZA MONCADA PARADA</v>
      </c>
      <c r="F11939" s="5"/>
      <c r="G11939" s="5"/>
    </row>
    <row r="11940" spans="1:7" ht="58.5" customHeight="1" x14ac:dyDescent="0.25">
      <c r="A11940" s="5" t="str">
        <f>"H0037224"</f>
        <v>H0037224</v>
      </c>
      <c r="B11940" s="5" t="str">
        <f>"ESTUFA INDUSTRIAL DE 6 PUESTOS"</f>
        <v>ESTUFA INDUSTRIAL DE 6 PUESTOS</v>
      </c>
      <c r="C11940" s="6">
        <v>8360000.0800000001</v>
      </c>
      <c r="D11940" s="5" t="s">
        <v>683</v>
      </c>
      <c r="E11940" s="5" t="str">
        <f t="shared" si="616"/>
        <v>NUTRICION-ESPERANZA MONCADA PARADA</v>
      </c>
      <c r="F11940" s="5"/>
      <c r="G11940" s="5"/>
    </row>
    <row r="11941" spans="1:7" ht="58.5" customHeight="1" x14ac:dyDescent="0.25">
      <c r="A11941" s="5" t="str">
        <f>"H0037225"</f>
        <v>H0037225</v>
      </c>
      <c r="B11941" s="5" t="str">
        <f>"MUEBLE CON PLANCHA"</f>
        <v>MUEBLE CON PLANCHA</v>
      </c>
      <c r="C11941" s="6">
        <v>6450000.0700000003</v>
      </c>
      <c r="D11941" s="5" t="s">
        <v>683</v>
      </c>
      <c r="E11941" s="5" t="str">
        <f t="shared" si="616"/>
        <v>NUTRICION-ESPERANZA MONCADA PARADA</v>
      </c>
      <c r="F11941" s="5"/>
      <c r="G11941" s="5"/>
    </row>
    <row r="11942" spans="1:7" ht="58.5" customHeight="1" x14ac:dyDescent="0.25">
      <c r="A11942" s="5" t="str">
        <f>"H0037226"</f>
        <v>H0037226</v>
      </c>
      <c r="B11942" s="5" t="str">
        <f>"ESTUFA DE 4 PUESTOS"</f>
        <v>ESTUFA DE 4 PUESTOS</v>
      </c>
      <c r="C11942" s="6">
        <v>3640004.37</v>
      </c>
      <c r="D11942" s="5" t="s">
        <v>683</v>
      </c>
      <c r="E11942" s="5" t="str">
        <f t="shared" si="616"/>
        <v>NUTRICION-ESPERANZA MONCADA PARADA</v>
      </c>
      <c r="F11942" s="5"/>
      <c r="G11942" s="5"/>
    </row>
    <row r="11943" spans="1:7" ht="58.5" customHeight="1" x14ac:dyDescent="0.25">
      <c r="A11943" s="5" t="str">
        <f>"H0037227"</f>
        <v>H0037227</v>
      </c>
      <c r="B11943" s="5" t="str">
        <f>"FREIDOR INDUSTRIAL 1 TANQUE"</f>
        <v>FREIDOR INDUSTRIAL 1 TANQUE</v>
      </c>
      <c r="C11943" s="6">
        <v>6100000.4199999999</v>
      </c>
      <c r="D11943" s="5" t="s">
        <v>683</v>
      </c>
      <c r="E11943" s="5" t="str">
        <f t="shared" ref="E11943:E11954" si="617">"NUTRICION-ESPERANZA MONCADA PARADA"</f>
        <v>NUTRICION-ESPERANZA MONCADA PARADA</v>
      </c>
      <c r="F11943" s="5"/>
      <c r="G11943" s="5"/>
    </row>
    <row r="11944" spans="1:7" ht="58.5" customHeight="1" x14ac:dyDescent="0.25">
      <c r="A11944" s="5" t="str">
        <f>"H0037228"</f>
        <v>H0037228</v>
      </c>
      <c r="B11944" s="5" t="str">
        <f>"BARBACOA"</f>
        <v>BARBACOA</v>
      </c>
      <c r="C11944" s="6">
        <v>6349998.6100000003</v>
      </c>
      <c r="D11944" s="5" t="s">
        <v>683</v>
      </c>
      <c r="E11944" s="5" t="str">
        <f t="shared" si="617"/>
        <v>NUTRICION-ESPERANZA MONCADA PARADA</v>
      </c>
      <c r="F11944" s="5"/>
      <c r="G11944" s="5"/>
    </row>
    <row r="11945" spans="1:7" ht="58.5" customHeight="1" x14ac:dyDescent="0.25">
      <c r="A11945" s="5" t="str">
        <f>"H0037284"</f>
        <v>H0037284</v>
      </c>
      <c r="B11945" s="5" t="str">
        <f>"LECTOR DE HUELLAS DIGITALES"</f>
        <v>LECTOR DE HUELLAS DIGITALES</v>
      </c>
      <c r="C11945" s="6">
        <v>580000</v>
      </c>
      <c r="D11945" s="5" t="s">
        <v>137</v>
      </c>
      <c r="E11945" s="5" t="str">
        <f t="shared" si="617"/>
        <v>NUTRICION-ESPERANZA MONCADA PARADA</v>
      </c>
      <c r="F11945" s="5"/>
      <c r="G11945" s="5"/>
    </row>
    <row r="11946" spans="1:7" ht="58.5" customHeight="1" x14ac:dyDescent="0.25">
      <c r="A11946" s="5" t="str">
        <f>"H0037888"</f>
        <v>H0037888</v>
      </c>
      <c r="B11946" s="5" t="str">
        <f>"SILLA GERENTE NIZA MEC. BASCULANTE CON BRAZOS."</f>
        <v>SILLA GERENTE NIZA MEC. BASCULANTE CON BRAZOS.</v>
      </c>
      <c r="C11946" s="6">
        <v>710000.01</v>
      </c>
      <c r="D11946" s="5" t="s">
        <v>30</v>
      </c>
      <c r="E11946" s="5" t="str">
        <f t="shared" si="617"/>
        <v>NUTRICION-ESPERANZA MONCADA PARADA</v>
      </c>
      <c r="F11946" s="5"/>
      <c r="G11946" s="5"/>
    </row>
    <row r="11947" spans="1:7" ht="58.5" customHeight="1" x14ac:dyDescent="0.25">
      <c r="A11947" s="5" t="str">
        <f>"H0037889"</f>
        <v>H0037889</v>
      </c>
      <c r="B11947" s="5" t="str">
        <f>"SILLA GERENTE NIZA MEC. BASCULANTE CON BRAZOS."</f>
        <v>SILLA GERENTE NIZA MEC. BASCULANTE CON BRAZOS.</v>
      </c>
      <c r="C11947" s="6">
        <v>710000.01</v>
      </c>
      <c r="D11947" s="5" t="s">
        <v>30</v>
      </c>
      <c r="E11947" s="5" t="str">
        <f t="shared" si="617"/>
        <v>NUTRICION-ESPERANZA MONCADA PARADA</v>
      </c>
      <c r="F11947" s="5"/>
      <c r="G11947" s="5"/>
    </row>
    <row r="11948" spans="1:7" ht="58.5" customHeight="1" x14ac:dyDescent="0.25">
      <c r="A11948" s="5" t="str">
        <f>"H0037890"</f>
        <v>H0037890</v>
      </c>
      <c r="B11948" s="5" t="str">
        <f>"SILLA GERENTE NIZA MEC. BASCULANTE CON BRAZOS."</f>
        <v>SILLA GERENTE NIZA MEC. BASCULANTE CON BRAZOS.</v>
      </c>
      <c r="C11948" s="6">
        <v>710000.01</v>
      </c>
      <c r="D11948" s="5" t="s">
        <v>30</v>
      </c>
      <c r="E11948" s="5" t="str">
        <f t="shared" si="617"/>
        <v>NUTRICION-ESPERANZA MONCADA PARADA</v>
      </c>
      <c r="F11948" s="5"/>
      <c r="G11948" s="5"/>
    </row>
    <row r="11949" spans="1:7" ht="58.5" customHeight="1" x14ac:dyDescent="0.25">
      <c r="A11949" s="5" t="str">
        <f>"H0037891"</f>
        <v>H0037891</v>
      </c>
      <c r="B11949" s="5" t="str">
        <f>"SILLA GERENTE NIZA MEC. BASCULANTE CON BRAZOS."</f>
        <v>SILLA GERENTE NIZA MEC. BASCULANTE CON BRAZOS.</v>
      </c>
      <c r="C11949" s="6">
        <v>710000.01</v>
      </c>
      <c r="D11949" s="5" t="s">
        <v>30</v>
      </c>
      <c r="E11949" s="5" t="str">
        <f t="shared" si="617"/>
        <v>NUTRICION-ESPERANZA MONCADA PARADA</v>
      </c>
      <c r="F11949" s="5"/>
      <c r="G11949" s="5"/>
    </row>
    <row r="11950" spans="1:7" ht="58.5" customHeight="1" x14ac:dyDescent="0.25">
      <c r="A11950" s="5" t="str">
        <f>"H0037892"</f>
        <v>H0037892</v>
      </c>
      <c r="B11950" s="5" t="str">
        <f>"SILLA GERENTE NIZA MEC. BASCULANTE CON BRAZOS."</f>
        <v>SILLA GERENTE NIZA MEC. BASCULANTE CON BRAZOS.</v>
      </c>
      <c r="C11950" s="6">
        <v>710000.01</v>
      </c>
      <c r="D11950" s="5" t="s">
        <v>30</v>
      </c>
      <c r="E11950" s="5" t="str">
        <f t="shared" si="617"/>
        <v>NUTRICION-ESPERANZA MONCADA PARADA</v>
      </c>
      <c r="F11950" s="5"/>
      <c r="G11950" s="5"/>
    </row>
    <row r="11951" spans="1:7" ht="58.5" customHeight="1" x14ac:dyDescent="0.25">
      <c r="A11951" s="5" t="str">
        <f>"H0038632"</f>
        <v>H0038632</v>
      </c>
      <c r="B11951" s="5" t="str">
        <f>"LICUADORA OMNIBLEND VELOCIDAD VARIABLE 4 LITROS TM767C"</f>
        <v>LICUADORA OMNIBLEND VELOCIDAD VARIABLE 4 LITROS TM767C</v>
      </c>
      <c r="C11951" s="6">
        <v>2200000</v>
      </c>
      <c r="D11951" s="5" t="s">
        <v>145</v>
      </c>
      <c r="E11951" s="5" t="str">
        <f t="shared" si="617"/>
        <v>NUTRICION-ESPERANZA MONCADA PARADA</v>
      </c>
      <c r="F11951" s="5"/>
      <c r="G11951" s="5"/>
    </row>
    <row r="11952" spans="1:7" ht="58.5" customHeight="1" x14ac:dyDescent="0.25">
      <c r="A11952" s="5" t="str">
        <f>"H0038633"</f>
        <v>H0038633</v>
      </c>
      <c r="B11952" s="5" t="str">
        <f>"LICUADORA OMNIBLEND VELOCIDAD VARIABLE 4 LITROS TM767C"</f>
        <v>LICUADORA OMNIBLEND VELOCIDAD VARIABLE 4 LITROS TM767C</v>
      </c>
      <c r="C11952" s="6">
        <v>2200000</v>
      </c>
      <c r="D11952" s="5" t="s">
        <v>145</v>
      </c>
      <c r="E11952" s="5" t="str">
        <f t="shared" si="617"/>
        <v>NUTRICION-ESPERANZA MONCADA PARADA</v>
      </c>
      <c r="F11952" s="5"/>
      <c r="G11952" s="5"/>
    </row>
    <row r="11953" spans="1:7" ht="58.5" customHeight="1" x14ac:dyDescent="0.25">
      <c r="A11953" s="5" t="str">
        <f>"H0038660"</f>
        <v>H0038660</v>
      </c>
      <c r="B11953" s="5" t="str">
        <f>"TRITURADORA DE DESECHOS ORGÁNICOS"</f>
        <v>TRITURADORA DE DESECHOS ORGÁNICOS</v>
      </c>
      <c r="C11953" s="6">
        <v>4998000</v>
      </c>
      <c r="D11953" s="5" t="s">
        <v>650</v>
      </c>
      <c r="E11953" s="5" t="str">
        <f t="shared" si="617"/>
        <v>NUTRICION-ESPERANZA MONCADA PARADA</v>
      </c>
      <c r="F11953" s="5"/>
      <c r="G11953" s="5"/>
    </row>
    <row r="11954" spans="1:7" ht="58.5" customHeight="1" x14ac:dyDescent="0.25">
      <c r="A11954" s="5" t="str">
        <f>"V000013"</f>
        <v>V000013</v>
      </c>
      <c r="B11954" s="5" t="str">
        <f>"CARRO PARA TRANSPORTE DE MENAJE"</f>
        <v>CARRO PARA TRANSPORTE DE MENAJE</v>
      </c>
      <c r="C11954" s="6">
        <v>1150000.05</v>
      </c>
      <c r="D11954" s="5" t="s">
        <v>513</v>
      </c>
      <c r="E11954" s="5" t="str">
        <f t="shared" si="617"/>
        <v>NUTRICION-ESPERANZA MONCADA PARADA</v>
      </c>
      <c r="F11954" s="5"/>
      <c r="G11954" s="5"/>
    </row>
    <row r="11955" spans="1:7" ht="58.5" customHeight="1" x14ac:dyDescent="0.25">
      <c r="A11955" s="5" t="str">
        <f>"B0005007"</f>
        <v>B0005007</v>
      </c>
      <c r="B11955" s="5" t="str">
        <f>"LICENCIA OFFICE HOME AND BUSINEES"</f>
        <v>LICENCIA OFFICE HOME AND BUSINEES</v>
      </c>
      <c r="C11955" s="6">
        <v>440800</v>
      </c>
      <c r="D11955" s="5" t="s">
        <v>1</v>
      </c>
      <c r="E11955" s="5" t="str">
        <f t="shared" ref="E11955:E11983" si="618">"COORDINACION ENFERMERIA"</f>
        <v>COORDINACION ENFERMERIA</v>
      </c>
      <c r="F11955" s="5" t="str">
        <f>"Descripcion:LICENCIA OFFICE HOME AND BUSIMESS 2013 Estado: Bueno Placa anterior: 000030618 Material:  Color:  Referencia:  Observacion:  Placa padre:  Tipo adquisicion : Entidad"</f>
        <v>Descripcion:LICENCIA OFFICE HOME AND BUSIMESS 2013 Estado: Bueno Placa anterior: 000030618 Material:  Color:  Referencia:  Observacion:  Placa padre:  Tipo adquisicion : Entidad</v>
      </c>
      <c r="G11955" s="5"/>
    </row>
    <row r="11956" spans="1:7" ht="58.5" customHeight="1" x14ac:dyDescent="0.25">
      <c r="A11956" s="5" t="str">
        <f>"H0007196"</f>
        <v>H0007196</v>
      </c>
      <c r="B11956" s="5" t="str">
        <f>"ESTANTE METALICO 6 ENTREPAÑOS"</f>
        <v>ESTANTE METALICO 6 ENTREPAÑOS</v>
      </c>
      <c r="C11956" s="6">
        <v>22189.18</v>
      </c>
      <c r="D11956" s="5"/>
      <c r="E11956" s="5" t="str">
        <f t="shared" si="618"/>
        <v>COORDINACION ENFERMERIA</v>
      </c>
      <c r="F11956" s="5" t="str">
        <f>"Descripcion: ESTANTE METALICO Estado: Bueno Placa anterior: 000000634 Material: METALICO Color: GRIS Referencia:  Observacion:  Placa padre: Tipo adquisicion: Entidad"</f>
        <v>Descripcion: ESTANTE METALICO Estado: Bueno Placa anterior: 000000634 Material: METALICO Color: GRIS Referencia:  Observacion:  Placa padre: Tipo adquisicion: Entidad</v>
      </c>
      <c r="G11956" s="5"/>
    </row>
    <row r="11957" spans="1:7" ht="58.5" customHeight="1" x14ac:dyDescent="0.25">
      <c r="A11957" s="5" t="str">
        <f>"H0017492"</f>
        <v>H0017492</v>
      </c>
      <c r="B11957" s="5" t="str">
        <f>"ESTABILIZADOR (REGULADOR) DE ENERGIA 1KW"</f>
        <v>ESTABILIZADOR (REGULADOR) DE ENERGIA 1KW</v>
      </c>
      <c r="C11957" s="6">
        <v>92157.82</v>
      </c>
      <c r="D11957" s="5"/>
      <c r="E11957" s="5" t="str">
        <f t="shared" si="618"/>
        <v>COORDINACION ENFERMERIA</v>
      </c>
      <c r="F11957" s="5" t="str">
        <f>"Descripcion:ESTABILIZADOR DE VOLTAJE MCA. NICOMARD PROPC 1000 Estado: Bueno Placa anterior: 000002234 Material: METALICO Color: NEGRO Referencia:  Observacion:  Placa padre:  Tipo adquisicion : Entidad"</f>
        <v>Descripcion:ESTABILIZADOR DE VOLTAJE MCA. NICOMARD PROPC 1000 Estado: Bueno Placa anterior: 000002234 Material: METALICO Color: NEGRO Referencia:  Observacion:  Placa padre:  Tipo adquisicion : Entidad</v>
      </c>
      <c r="G11957" s="5"/>
    </row>
    <row r="11958" spans="1:7" ht="58.5" customHeight="1" x14ac:dyDescent="0.25">
      <c r="A11958" s="5" t="str">
        <f>"H0017919"</f>
        <v>H0017919</v>
      </c>
      <c r="B11958" s="5" t="str">
        <f>"ESTANTE METALICO 6 ENTREPAÑOS"</f>
        <v>ESTANTE METALICO 6 ENTREPAÑOS</v>
      </c>
      <c r="C11958" s="6">
        <v>24714.18</v>
      </c>
      <c r="D11958" s="5"/>
      <c r="E11958" s="5" t="str">
        <f t="shared" si="618"/>
        <v>COORDINACION ENFERMERIA</v>
      </c>
      <c r="F11958" s="5" t="str">
        <f>"Descripcion:ESTANTE METALICO DE 6 ENTREPAÑOS Estado: Bueno Placa anterior: 000000548 Material: METALICO Color: GRIS Referencia:  Observacion:  Placa padre:  Tipo adquisicion : Entidad"</f>
        <v>Descripcion:ESTANTE METALICO DE 6 ENTREPAÑOS Estado: Bueno Placa anterior: 000000548 Material: METALICO Color: GRIS Referencia:  Observacion:  Placa padre:  Tipo adquisicion : Entidad</v>
      </c>
      <c r="G11958" s="5"/>
    </row>
    <row r="11959" spans="1:7" ht="58.5" customHeight="1" x14ac:dyDescent="0.25">
      <c r="A11959" s="5" t="str">
        <f>"H0018732"</f>
        <v>H0018732</v>
      </c>
      <c r="B11959" s="5" t="str">
        <f>"MUEBLE (ARCHIVADOR) AEREO (GABINETE DE PARED)"</f>
        <v>MUEBLE (ARCHIVADOR) AEREO (GABINETE DE PARED)</v>
      </c>
      <c r="C11959" s="6">
        <v>406000</v>
      </c>
      <c r="D11959" s="5" t="s">
        <v>285</v>
      </c>
      <c r="E11959" s="5" t="str">
        <f t="shared" si="618"/>
        <v>COORDINACION ENFERMERIA</v>
      </c>
      <c r="F11959" s="5" t="str">
        <f>"Descripcion:GABINETE AEREO CON RIEL Estado: Bueno Placa anterior: 000030149 Material: MADERA Color: GRIS CON MARRON Referencia:  Observacion:  Placa padre:  Tipo adquisicion : Entidad"</f>
        <v>Descripcion:GABINETE AEREO CON RIEL Estado: Bueno Placa anterior: 000030149 Material: MADERA Color: GRIS CON MARRON Referencia:  Observacion:  Placa padre:  Tipo adquisicion : Entidad</v>
      </c>
      <c r="G11959" s="5"/>
    </row>
    <row r="11960" spans="1:7" ht="58.5" customHeight="1" x14ac:dyDescent="0.25">
      <c r="A11960" s="5" t="str">
        <f>"H0018734"</f>
        <v>H0018734</v>
      </c>
      <c r="B11960" s="5" t="str">
        <f>"MUEBLE (ARCHIVADOR) AEREO (GABINETE DE PARED)"</f>
        <v>MUEBLE (ARCHIVADOR) AEREO (GABINETE DE PARED)</v>
      </c>
      <c r="C11960" s="6">
        <v>406000</v>
      </c>
      <c r="D11960" s="5" t="s">
        <v>285</v>
      </c>
      <c r="E11960" s="5" t="str">
        <f t="shared" si="618"/>
        <v>COORDINACION ENFERMERIA</v>
      </c>
      <c r="F11960" s="5" t="str">
        <f>"Descripcion:GABINETE AEREO CON RIELARCHIVADOR AEREO Estado: Bueno Placa anterior: 000030148 Material: MADERA Color: GRIS CON MARRON Referencia:  Observacion:  Placa padre:  Tipo adquisicion : Entidad"</f>
        <v>Descripcion:GABINETE AEREO CON RIELARCHIVADOR AEREO Estado: Bueno Placa anterior: 000030148 Material: MADERA Color: GRIS CON MARRON Referencia:  Observacion:  Placa padre:  Tipo adquisicion : Entidad</v>
      </c>
      <c r="G11960" s="5"/>
    </row>
    <row r="11961" spans="1:7" ht="58.5" customHeight="1" x14ac:dyDescent="0.25">
      <c r="A11961" s="5" t="str">
        <f>"H0018736"</f>
        <v>H0018736</v>
      </c>
      <c r="B11961" s="5" t="str">
        <f>"PUESTO DE TRABAJO EN L"</f>
        <v>PUESTO DE TRABAJO EN L</v>
      </c>
      <c r="C11961" s="6">
        <v>208800</v>
      </c>
      <c r="D11961" s="5" t="s">
        <v>285</v>
      </c>
      <c r="E11961" s="5" t="str">
        <f t="shared" si="618"/>
        <v>COORDINACION ENFERMERIA</v>
      </c>
      <c r="F11961" s="5" t="str">
        <f>"Descripcion:SUPERFICIES MICROANGULARES DE 0.90X0.90, FABRICADO EN TABLES DE 25 MM ENCHAPADO EN FORMICA CONTORNOS EN PVC Estado: Bueno Placa anterior: 000030140 Material: METALICO Color: GIRS CON MARRON Referencia:  Observacion:  Placa padre:  Tipo adquisi"&amp; "cion : Entidad"</f>
        <v>Descripcion:SUPERFICIES MICROANGULARES DE 0.90X0.90, FABRICADO EN TABLES DE 25 MM ENCHAPADO EN FORMICA CONTORNOS EN PVC Estado: Bueno Placa anterior: 000030140 Material: METALICO Color: GIRS CON MARRON Referencia:  Observacion:  Placa padre:  Tipo adquisicion : Entidad</v>
      </c>
      <c r="G11961" s="5"/>
    </row>
    <row r="11962" spans="1:7" ht="58.5" customHeight="1" x14ac:dyDescent="0.25">
      <c r="A11962" s="5" t="str">
        <f>"H0018742"</f>
        <v>H0018742</v>
      </c>
      <c r="B11962" s="5" t="str">
        <f>"IMPRESORA LASER"</f>
        <v>IMPRESORA LASER</v>
      </c>
      <c r="C11962" s="6">
        <v>1100000</v>
      </c>
      <c r="D11962" s="5" t="s">
        <v>63</v>
      </c>
      <c r="E11962" s="5" t="str">
        <f t="shared" si="618"/>
        <v>COORDINACION ENFERMERIA</v>
      </c>
      <c r="F11962" s="5" t="str">
        <f>"Descripcion:IMPRESORA MULTIFUNCIONAL HP LASERJET M425DN MFP (COMODATO 073/2015) Estado: Bueno Placa anterior: 000037648 Material: PLASTICO Color: NEGRO Referencia:  Observacion:  Placa padre:  Tipo adquisicion : Entidad"</f>
        <v>Descripcion:IMPRESORA MULTIFUNCIONAL HP LASERJET M425DN MFP (COMODATO 073/2015) Estado: Bueno Placa anterior: 000037648 Material: PLASTICO Color: NEGRO Referencia:  Observacion:  Placa padre:  Tipo adquisicion : Entidad</v>
      </c>
      <c r="G11962" s="5" t="str">
        <f>"LASERJET PRO 400"</f>
        <v>LASERJET PRO 400</v>
      </c>
    </row>
    <row r="11963" spans="1:7" ht="58.5" customHeight="1" x14ac:dyDescent="0.25">
      <c r="A11963" s="5" t="str">
        <f>"H0018743"</f>
        <v>H0018743</v>
      </c>
      <c r="B11963" s="5" t="str">
        <f>"COMPUTADOR TODO EN UNO"</f>
        <v>COMPUTADOR TODO EN UNO</v>
      </c>
      <c r="C11963" s="6">
        <v>2470000</v>
      </c>
      <c r="D11963" s="5" t="s">
        <v>6</v>
      </c>
      <c r="E11963" s="5" t="str">
        <f t="shared" si="618"/>
        <v>COORDINACION ENFERMERIA</v>
      </c>
      <c r="F11963" s="5" t="str">
        <f>"Descripcion:EQUIPO DE COMPUTO TODO EN UNO CON PROCESADOR INTEL i5 Estado: Bueno Placa anterior: 000037021 Material: PLASTICO Color: NEGRO Referencia:  Observacion:  Placa anterior:, Placa nueva=H0018745, Descripcion:MOUSE USB, Serial:, Marca:LENOVO, Model"&amp; "o:44MG120, Material:PLASTICO, Color:NEGRO,   Referencia:, Placa anterior:, Placa nueva=H0018744, Descripcion:TECLADO USB, Serial:8258388, Marca:LENOVO, Modelo:KU0225, Material:PLASTICO, Color:NEGRO,   Referencia: Placa padre:  Tipo adquisicion : Entidad"</f>
        <v>Descripcion:EQUIPO DE COMPUTO TODO EN UNO CON PROCESADOR INTEL i5 Estado: Bueno Placa anterior: 000037021 Material: PLASTICO Color: NEGRO Referencia:  Observacion:  Placa anterior:, Placa nueva=H0018745, Descripcion:MOUSE USB, Serial:, Marca:LENOVO, Modelo:44MG120, Material:PLASTICO, Color:NEGRO,   Referencia:, Placa anterior:, Placa nueva=H0018744, Descripcion:TECLADO USB, Serial:8258388, Marca:LENOVO, Modelo:KU0225, Material:PLASTICO, Color:NEGRO,   Referencia: Placa padre:  Tipo adquisicion : Entidad</v>
      </c>
      <c r="G11963" s="5"/>
    </row>
    <row r="11964" spans="1:7" ht="58.5" customHeight="1" x14ac:dyDescent="0.25">
      <c r="A11964" s="5" t="str">
        <f>"H0025375"</f>
        <v>H0025375</v>
      </c>
      <c r="B1196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964" s="6">
        <v>312156</v>
      </c>
      <c r="D11964" s="5" t="s">
        <v>10</v>
      </c>
      <c r="E11964" s="5" t="str">
        <f t="shared" si="618"/>
        <v>COORDINACION ENFERMERIA</v>
      </c>
      <c r="F11964" s="5"/>
      <c r="G11964" s="5"/>
    </row>
    <row r="11965" spans="1:7" ht="58.5" customHeight="1" x14ac:dyDescent="0.25">
      <c r="A11965" s="5" t="str">
        <f>"H0025498"</f>
        <v>H0025498</v>
      </c>
      <c r="B11965" s="5" t="str">
        <f>"SILLA ESCRITORIO VARIAS (Donación ACTISALUD)"</f>
        <v>SILLA ESCRITORIO VARIAS (Donación ACTISALUD)</v>
      </c>
      <c r="C11965" s="6">
        <v>113266.66</v>
      </c>
      <c r="D11965" s="5" t="s">
        <v>9</v>
      </c>
      <c r="E11965" s="5" t="str">
        <f t="shared" si="618"/>
        <v>COORDINACION ENFERMERIA</v>
      </c>
      <c r="F11965" s="5"/>
      <c r="G11965" s="5"/>
    </row>
    <row r="11966" spans="1:7" ht="58.5" customHeight="1" x14ac:dyDescent="0.25">
      <c r="A11966" s="5" t="str">
        <f>"H0027185"</f>
        <v>H0027185</v>
      </c>
      <c r="B1196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1966" s="6">
        <v>2641800</v>
      </c>
      <c r="D11966" s="5" t="s">
        <v>38</v>
      </c>
      <c r="E11966" s="5" t="str">
        <f t="shared" si="618"/>
        <v>COORDINACION ENFERMERIA</v>
      </c>
      <c r="F11966" s="5"/>
      <c r="G11966" s="5"/>
    </row>
    <row r="11967" spans="1:7" ht="58.5" customHeight="1" x14ac:dyDescent="0.25">
      <c r="A11967" s="5" t="str">
        <f>"H0028805"</f>
        <v>H0028805</v>
      </c>
      <c r="B11967" s="5" t="str">
        <f>"SILLA HERGONOMICA CON SISTEMA HIDRAULICO"</f>
        <v>SILLA HERGONOMICA CON SISTEMA HIDRAULICO</v>
      </c>
      <c r="C11967" s="6">
        <v>174900</v>
      </c>
      <c r="D11967" s="5" t="s">
        <v>39</v>
      </c>
      <c r="E11967" s="5" t="str">
        <f t="shared" si="618"/>
        <v>COORDINACION ENFERMERIA</v>
      </c>
      <c r="F11967" s="5"/>
      <c r="G11967" s="5"/>
    </row>
    <row r="11968" spans="1:7" ht="58.5" customHeight="1" x14ac:dyDescent="0.25">
      <c r="A11968" s="5" t="str">
        <f>"H0028908"</f>
        <v>H0028908</v>
      </c>
      <c r="B11968" s="5" t="str">
        <f>"SILLA HERGONOMICA CON SISTEMA HIDRAULICO"</f>
        <v>SILLA HERGONOMICA CON SISTEMA HIDRAULICO</v>
      </c>
      <c r="C11968" s="6">
        <v>174900</v>
      </c>
      <c r="D11968" s="5" t="s">
        <v>40</v>
      </c>
      <c r="E11968" s="5" t="str">
        <f t="shared" si="618"/>
        <v>COORDINACION ENFERMERIA</v>
      </c>
      <c r="F11968" s="5"/>
      <c r="G11968" s="5"/>
    </row>
    <row r="11969" spans="1:7" ht="58.5" customHeight="1" x14ac:dyDescent="0.25">
      <c r="A11969" s="5" t="str">
        <f>"H0029335"</f>
        <v>H0029335</v>
      </c>
      <c r="B11969" s="5" t="str">
        <f>"SILLA HERGONOMICA CON SISTEMA HIDRAULICO"</f>
        <v>SILLA HERGONOMICA CON SISTEMA HIDRAULICO</v>
      </c>
      <c r="C11969" s="6">
        <v>174900</v>
      </c>
      <c r="D11969" s="5" t="s">
        <v>89</v>
      </c>
      <c r="E11969" s="5" t="str">
        <f t="shared" si="618"/>
        <v>COORDINACION ENFERMERIA</v>
      </c>
      <c r="F11969" s="5"/>
      <c r="G11969" s="5"/>
    </row>
    <row r="11970" spans="1:7" ht="58.5" customHeight="1" x14ac:dyDescent="0.25">
      <c r="A11970" s="5" t="str">
        <f>"H0029368"</f>
        <v>H0029368</v>
      </c>
      <c r="B11970" s="5" t="str">
        <f>"SILLA HERGONOMICA CON SISTEMA HIDRAULICO"</f>
        <v>SILLA HERGONOMICA CON SISTEMA HIDRAULICO</v>
      </c>
      <c r="C11970" s="6">
        <v>174900</v>
      </c>
      <c r="D11970" s="5" t="s">
        <v>89</v>
      </c>
      <c r="E11970" s="5" t="str">
        <f t="shared" si="618"/>
        <v>COORDINACION ENFERMERIA</v>
      </c>
      <c r="F11970" s="5"/>
      <c r="G11970" s="5"/>
    </row>
    <row r="11971" spans="1:7" ht="58.5" customHeight="1" x14ac:dyDescent="0.25">
      <c r="A11971" s="5" t="str">
        <f>"H0029381"</f>
        <v>H0029381</v>
      </c>
      <c r="B11971" s="5" t="str">
        <f>"SILLA HERGONOMICA CON SISTEMA HIDRAULICO"</f>
        <v>SILLA HERGONOMICA CON SISTEMA HIDRAULICO</v>
      </c>
      <c r="C11971" s="6">
        <v>174900</v>
      </c>
      <c r="D11971" s="5" t="s">
        <v>89</v>
      </c>
      <c r="E11971" s="5" t="str">
        <f t="shared" si="618"/>
        <v>COORDINACION ENFERMERIA</v>
      </c>
      <c r="F11971" s="5"/>
      <c r="G11971" s="5"/>
    </row>
    <row r="11972" spans="1:7" ht="58.5" customHeight="1" x14ac:dyDescent="0.25">
      <c r="A11972" s="5" t="str">
        <f>"H0031445"</f>
        <v>H0031445</v>
      </c>
      <c r="B1197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1972" s="6">
        <v>3209500</v>
      </c>
      <c r="D11972" s="5" t="s">
        <v>16</v>
      </c>
      <c r="E11972" s="5" t="str">
        <f t="shared" si="618"/>
        <v>COORDINACION ENFERMERIA</v>
      </c>
      <c r="F11972" s="5"/>
      <c r="G11972" s="5"/>
    </row>
    <row r="11973" spans="1:7" ht="58.5" customHeight="1" x14ac:dyDescent="0.25">
      <c r="A11973" s="5" t="str">
        <f>"H0031466"</f>
        <v>H0031466</v>
      </c>
      <c r="B1197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1973" s="6">
        <v>3209500</v>
      </c>
      <c r="D11973" s="5" t="s">
        <v>16</v>
      </c>
      <c r="E11973" s="5" t="str">
        <f t="shared" si="618"/>
        <v>COORDINACION ENFERMERIA</v>
      </c>
      <c r="F11973" s="5"/>
      <c r="G11973" s="5"/>
    </row>
    <row r="11974" spans="1:7" ht="58.5" customHeight="1" x14ac:dyDescent="0.25">
      <c r="A11974" s="5" t="str">
        <f>"H0031811"</f>
        <v>H0031811</v>
      </c>
      <c r="B11974" s="5" t="str">
        <f>"SILLA ERGONOMICAS PARA COMPUTADOR"</f>
        <v>SILLA ERGONOMICAS PARA COMPUTADOR</v>
      </c>
      <c r="C11974" s="6">
        <v>264999.90000000002</v>
      </c>
      <c r="D11974" s="5" t="s">
        <v>43</v>
      </c>
      <c r="E11974" s="5" t="str">
        <f t="shared" si="618"/>
        <v>COORDINACION ENFERMERIA</v>
      </c>
      <c r="F11974" s="5"/>
      <c r="G11974" s="5"/>
    </row>
    <row r="11975" spans="1:7" ht="58.5" customHeight="1" x14ac:dyDescent="0.25">
      <c r="A11975" s="5" t="str">
        <f>"H0031835"</f>
        <v>H0031835</v>
      </c>
      <c r="B11975" s="5" t="str">
        <f>"ESCRITORIO LARGO 1.25X0.6 MELAMINA"</f>
        <v>ESCRITORIO LARGO 1.25X0.6 MELAMINA</v>
      </c>
      <c r="C11975" s="6">
        <v>620000</v>
      </c>
      <c r="D11975" s="5" t="s">
        <v>43</v>
      </c>
      <c r="E11975" s="5" t="str">
        <f t="shared" si="618"/>
        <v>COORDINACION ENFERMERIA</v>
      </c>
      <c r="F11975" s="5"/>
      <c r="G11975" s="5"/>
    </row>
    <row r="11976" spans="1:7" ht="58.5" customHeight="1" x14ac:dyDescent="0.25">
      <c r="A11976" s="5" t="str">
        <f>"H0035038"</f>
        <v>H0035038</v>
      </c>
      <c r="B11976"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1976" s="6">
        <v>5289550</v>
      </c>
      <c r="D11976" s="5" t="s">
        <v>22</v>
      </c>
      <c r="E11976" s="5" t="str">
        <f t="shared" si="618"/>
        <v>COORDINACION ENFERMERIA</v>
      </c>
      <c r="F11976" s="5"/>
      <c r="G11976" s="5"/>
    </row>
    <row r="11977" spans="1:7" ht="58.5" customHeight="1" x14ac:dyDescent="0.25">
      <c r="A11977" s="5" t="str">
        <f>"H0036009"</f>
        <v>H0036009</v>
      </c>
      <c r="B11977" s="5" t="str">
        <f>"SILLA GERENTE NIZA MEC. BASCULANTE CON BRAZOS."</f>
        <v>SILLA GERENTE NIZA MEC. BASCULANTE CON BRAZOS.</v>
      </c>
      <c r="C11977" s="6">
        <v>639999.75</v>
      </c>
      <c r="D11977" s="5" t="s">
        <v>594</v>
      </c>
      <c r="E11977" s="5" t="str">
        <f t="shared" si="618"/>
        <v>COORDINACION ENFERMERIA</v>
      </c>
      <c r="F11977" s="5"/>
      <c r="G11977" s="5"/>
    </row>
    <row r="11978" spans="1:7" ht="58.5" customHeight="1" x14ac:dyDescent="0.25">
      <c r="A11978" s="5" t="str">
        <f>"H0036010"</f>
        <v>H0036010</v>
      </c>
      <c r="B11978" s="5" t="str">
        <f>"SILLA GERENTE NIZA MEC. BASCULANTE CON BRAZOS."</f>
        <v>SILLA GERENTE NIZA MEC. BASCULANTE CON BRAZOS.</v>
      </c>
      <c r="C11978" s="6">
        <v>639999.75</v>
      </c>
      <c r="D11978" s="5" t="s">
        <v>594</v>
      </c>
      <c r="E11978" s="5" t="str">
        <f t="shared" si="618"/>
        <v>COORDINACION ENFERMERIA</v>
      </c>
      <c r="F11978" s="5"/>
      <c r="G11978" s="5"/>
    </row>
    <row r="11979" spans="1:7" ht="58.5" customHeight="1" x14ac:dyDescent="0.25">
      <c r="A11979" s="5" t="str">
        <f>"H0036571"</f>
        <v>H0036571</v>
      </c>
      <c r="B11979" s="5" t="str">
        <f>"ESCANER DE ALTA VELOCIDAD 35 PPM"</f>
        <v>ESCANER DE ALTA VELOCIDAD 35 PPM</v>
      </c>
      <c r="C11979" s="6">
        <v>2401636.36</v>
      </c>
      <c r="D11979" s="5" t="s">
        <v>199</v>
      </c>
      <c r="E11979" s="5" t="str">
        <f t="shared" si="618"/>
        <v>COORDINACION ENFERMERIA</v>
      </c>
      <c r="F11979" s="5"/>
      <c r="G11979" s="5"/>
    </row>
    <row r="11980" spans="1:7" ht="58.5" customHeight="1" x14ac:dyDescent="0.25">
      <c r="A11980" s="5" t="str">
        <f>"H0036921"</f>
        <v>H0036921</v>
      </c>
      <c r="B11980" s="5" t="str">
        <f>"AIRE ACONDICIONADO DE 24000 BTU CONVENCIONAL R410"</f>
        <v>AIRE ACONDICIONADO DE 24000 BTU CONVENCIONAL R410</v>
      </c>
      <c r="C11980" s="6">
        <v>4950000</v>
      </c>
      <c r="D11980" s="5" t="s">
        <v>28</v>
      </c>
      <c r="E11980" s="5" t="str">
        <f t="shared" si="618"/>
        <v>COORDINACION ENFERMERIA</v>
      </c>
      <c r="F11980" s="5"/>
      <c r="G11980" s="5"/>
    </row>
    <row r="11981" spans="1:7" ht="58.5" customHeight="1" x14ac:dyDescent="0.25">
      <c r="A11981" s="5" t="str">
        <f>"H0037541"</f>
        <v>H0037541</v>
      </c>
      <c r="B11981" s="5" t="str">
        <f>"VENTILADOR DE PEDESTAL"</f>
        <v>VENTILADOR DE PEDESTAL</v>
      </c>
      <c r="C11981" s="6">
        <v>305000.55</v>
      </c>
      <c r="D11981" s="5" t="s">
        <v>140</v>
      </c>
      <c r="E11981" s="5" t="str">
        <f t="shared" si="618"/>
        <v>COORDINACION ENFERMERIA</v>
      </c>
      <c r="F11981" s="5"/>
      <c r="G11981" s="5"/>
    </row>
    <row r="11982" spans="1:7" ht="58.5" customHeight="1" x14ac:dyDescent="0.25">
      <c r="A11982" s="5" t="str">
        <f>"H0037786"</f>
        <v>H0037786</v>
      </c>
      <c r="B11982" s="5" t="str">
        <f>"SILLA GERENTE NIZA MEC. BASCULANTE CON BRAZOS."</f>
        <v>SILLA GERENTE NIZA MEC. BASCULANTE CON BRAZOS.</v>
      </c>
      <c r="C11982" s="6">
        <v>710000.01</v>
      </c>
      <c r="D11982" s="5" t="s">
        <v>30</v>
      </c>
      <c r="E11982" s="5" t="str">
        <f t="shared" si="618"/>
        <v>COORDINACION ENFERMERIA</v>
      </c>
      <c r="F11982" s="5"/>
      <c r="G11982" s="5"/>
    </row>
    <row r="11983" spans="1:7" ht="58.5" customHeight="1" x14ac:dyDescent="0.25">
      <c r="A11983" s="5" t="str">
        <f>"H0037787"</f>
        <v>H0037787</v>
      </c>
      <c r="B11983" s="5" t="str">
        <f>"SILLA GERENTE NIZA MEC. BASCULANTE CON BRAZOS."</f>
        <v>SILLA GERENTE NIZA MEC. BASCULANTE CON BRAZOS.</v>
      </c>
      <c r="C11983" s="6">
        <v>710000.01</v>
      </c>
      <c r="D11983" s="5" t="s">
        <v>30</v>
      </c>
      <c r="E11983" s="5" t="str">
        <f t="shared" si="618"/>
        <v>COORDINACION ENFERMERIA</v>
      </c>
      <c r="F11983" s="5"/>
      <c r="G11983" s="5"/>
    </row>
    <row r="11984" spans="1:7" ht="58.5" customHeight="1" x14ac:dyDescent="0.25">
      <c r="A11984" s="5" t="str">
        <f>"B0004606"</f>
        <v>B0004606</v>
      </c>
      <c r="B11984" s="5" t="str">
        <f>"LICENCIA OFFICE HOME AND BUSINEES"</f>
        <v>LICENCIA OFFICE HOME AND BUSINEES</v>
      </c>
      <c r="C11984" s="6">
        <v>440800</v>
      </c>
      <c r="D11984" s="5" t="s">
        <v>1</v>
      </c>
      <c r="E11984" s="5" t="str">
        <f t="shared" ref="E11984:E12002" si="619">"APOYO A LA ATENCION-JENNY PEÑA(E)"</f>
        <v>APOYO A LA ATENCION-JENNY PEÑA(E)</v>
      </c>
      <c r="F11984" s="5" t="str">
        <f>"Descripcion:LICENCIA OFFICE HOME AND BUSIMESS 2013 Estado: Bueno Placa anterior: 000030619 Material:  Color:  Referencia:  Observacion:  Placa padre:  Tipo adquisicion : Entidad"</f>
        <v>Descripcion:LICENCIA OFFICE HOME AND BUSIMESS 2013 Estado: Bueno Placa anterior: 000030619 Material:  Color:  Referencia:  Observacion:  Placa padre:  Tipo adquisicion : Entidad</v>
      </c>
      <c r="G11984" s="5"/>
    </row>
    <row r="11985" spans="1:7" ht="58.5" customHeight="1" x14ac:dyDescent="0.25">
      <c r="A11985" s="5" t="str">
        <f>"H0002418"</f>
        <v>H0002418</v>
      </c>
      <c r="B11985" s="5" t="str">
        <f>"COMPUTADOR TODO EN UNO"</f>
        <v>COMPUTADOR TODO EN UNO</v>
      </c>
      <c r="C11985" s="6">
        <v>2470000</v>
      </c>
      <c r="D11985" s="5" t="s">
        <v>684</v>
      </c>
      <c r="E11985" s="5" t="str">
        <f t="shared" si="619"/>
        <v>APOYO A LA ATENCION-JENNY PEÑA(E)</v>
      </c>
      <c r="F11985" s="5" t="str">
        <f>"Descripcion: EQUIPO DE COMPUTO TODO EN UNO CON PROCESADOR INTEL i5 Estado: Excelente Placa anterior: 000037293 Material: PASTA Color: NEGRO Referencia: 10BDFDLS Observacion:  Placa anterior:, Placa nueva=H0002420, Descripcion:MOUSE USB  3 BOTONES, Serial:"&amp; "44PC972, Marca:LENOVO, Modelo:45J4889, Material:PASTA, Color:NEGRO,   Referencia:, Placa anterior:, Placa nueva=H0002419, Descripcion:TECLADO USB LENOVO, Serial:8259037, Marca:LENOVO, Modelo:KU-0225, Material:PASTA, Color:NEGRO,   Referencia:54Y9424 Placa"&amp; " padre: Tipo adquisicion: Entidad"</f>
        <v>Descripcion: EQUIPO DE COMPUTO TODO EN UNO CON PROCESADOR INTEL i5 Estado: Excelente Placa anterior: 000037293 Material: PASTA Color: NEGRO Referencia: 10BDFDLS Observacion:  Placa anterior:, Placa nueva=H0002420, Descripcion:MOUSE USB  3 BOTONES, Serial:44PC972, Marca:LENOVO, Modelo:45J4889, Material:PASTA, Color:NEGRO,   Referencia:, Placa anterior:, Placa nueva=H0002419, Descripcion:TECLADO USB LENOVO, Serial:8259037, Marca:LENOVO, Modelo:KU-0225, Material:PASTA, Color:NEGRO,   Referencia:54Y9424 Placa padre: Tipo adquisicion: Entidad</v>
      </c>
      <c r="G11985" s="5" t="str">
        <f>"00FDLS"</f>
        <v>00FDLS</v>
      </c>
    </row>
    <row r="11986" spans="1:7" ht="58.5" customHeight="1" x14ac:dyDescent="0.25">
      <c r="A11986" s="5" t="str">
        <f>"H0017386"</f>
        <v>H0017386</v>
      </c>
      <c r="B11986" s="5" t="str">
        <f>"SILLA INTERLOCUTORA (FIJA) SIN BRAZOS"</f>
        <v>SILLA INTERLOCUTORA (FIJA) SIN BRAZOS</v>
      </c>
      <c r="C11986" s="6">
        <v>5610</v>
      </c>
      <c r="D11986" s="5"/>
      <c r="E11986" s="5" t="str">
        <f t="shared" si="619"/>
        <v>APOYO A LA ATENCION-JENNY PEÑA(E)</v>
      </c>
      <c r="F11986" s="5" t="str">
        <f>"Descripcion: SILLA FIJA SIN BRAZOS COLOR MARRON Estado: Bueno Placa anterior: 000002058 Material: METALICO Color: MARRON Referencia:  Observacion:  Placa padre: Tipo adquisicion: Entidad"</f>
        <v>Descripcion: SILLA FIJA SIN BRAZOS COLOR MARRON Estado: Bueno Placa anterior: 000002058 Material: METALICO Color: MARRON Referencia:  Observacion:  Placa padre: Tipo adquisicion: Entidad</v>
      </c>
      <c r="G11986" s="5"/>
    </row>
    <row r="11987" spans="1:7" ht="58.5" customHeight="1" x14ac:dyDescent="0.25">
      <c r="A11987" s="5" t="str">
        <f>"H0017481"</f>
        <v>H0017481</v>
      </c>
      <c r="B11987" s="5" t="str">
        <f>"SILLA INTERLOCUTORA (FIJA) SIN BRAZOS"</f>
        <v>SILLA INTERLOCUTORA (FIJA) SIN BRAZOS</v>
      </c>
      <c r="C11987" s="6">
        <v>8878.3799999999992</v>
      </c>
      <c r="D11987" s="5"/>
      <c r="E11987" s="5" t="str">
        <f t="shared" si="619"/>
        <v>APOYO A LA ATENCION-JENNY PEÑA(E)</v>
      </c>
      <c r="F11987" s="5" t="str">
        <f>"Descripcion:SILLA INTERLOCUTORA FIJA Estado: Bueno Placa anterior: 000002239 Material: METALICO Color: MARRON CLARO Referencia:  Observacion:  Placa padre:  Tipo adquisicion : Entidad"</f>
        <v>Descripcion:SILLA INTERLOCUTORA FIJA Estado: Bueno Placa anterior: 000002239 Material: METALICO Color: MARRON CLARO Referencia:  Observacion:  Placa padre:  Tipo adquisicion : Entidad</v>
      </c>
      <c r="G11987" s="5"/>
    </row>
    <row r="11988" spans="1:7" ht="58.5" customHeight="1" x14ac:dyDescent="0.25">
      <c r="A11988" s="5" t="str">
        <f>"H0017483"</f>
        <v>H0017483</v>
      </c>
      <c r="B11988" s="5" t="str">
        <f>"SILLA INTERLOCUTORA (FIJA) SIN BRAZOS"</f>
        <v>SILLA INTERLOCUTORA (FIJA) SIN BRAZOS</v>
      </c>
      <c r="C11988" s="6">
        <v>5610</v>
      </c>
      <c r="D11988" s="5"/>
      <c r="E11988" s="5" t="str">
        <f t="shared" si="619"/>
        <v>APOYO A LA ATENCION-JENNY PEÑA(E)</v>
      </c>
      <c r="F11988" s="5" t="str">
        <f>"Descripcion:SILLA INTERLOCUTORA FIJA Estado: Bueno Placa anterior: 000026452 Material: METALICO Color: MARRON CLARO Referencia:  Observacion:  Placa padre:  Tipo adquisicion : Entidad"</f>
        <v>Descripcion:SILLA INTERLOCUTORA FIJA Estado: Bueno Placa anterior: 000026452 Material: METALICO Color: MARRON CLARO Referencia:  Observacion:  Placa padre:  Tipo adquisicion : Entidad</v>
      </c>
      <c r="G11988" s="5"/>
    </row>
    <row r="11989" spans="1:7" ht="58.5" customHeight="1" x14ac:dyDescent="0.25">
      <c r="A11989" s="5" t="str">
        <f>"H0017493"</f>
        <v>H0017493</v>
      </c>
      <c r="B11989" s="5" t="str">
        <f>"ESCRITORIO METALICO 2 GAVETAS"</f>
        <v>ESCRITORIO METALICO 2 GAVETAS</v>
      </c>
      <c r="C11989" s="6">
        <v>13032</v>
      </c>
      <c r="D11989" s="5"/>
      <c r="E11989" s="5" t="str">
        <f t="shared" si="619"/>
        <v>APOYO A LA ATENCION-JENNY PEÑA(E)</v>
      </c>
      <c r="F11989" s="5" t="str">
        <f>"Descripcion:ESCRITORIO DE 2 GAVETAS Estado: Bueno Placa anterior: 000002235 Material: METALICO Color: GRIS Referencia:  Observacion:  Placa padre:  Tipo adquisicion : Entidad"</f>
        <v>Descripcion:ESCRITORIO DE 2 GAVETAS Estado: Bueno Placa anterior: 000002235 Material: METALICO Color: GRIS Referencia:  Observacion:  Placa padre:  Tipo adquisicion : Entidad</v>
      </c>
      <c r="G11989" s="5"/>
    </row>
    <row r="11990" spans="1:7" ht="58.5" customHeight="1" x14ac:dyDescent="0.25">
      <c r="A11990" s="5" t="str">
        <f>"H0017500"</f>
        <v>H0017500</v>
      </c>
      <c r="B11990" s="5" t="str">
        <f>"ESTANTE METALICO 6 ENTREPAÑOS"</f>
        <v>ESTANTE METALICO 6 ENTREPAÑOS</v>
      </c>
      <c r="C11990" s="6">
        <v>5527.03</v>
      </c>
      <c r="D11990" s="5"/>
      <c r="E11990" s="5" t="str">
        <f t="shared" si="619"/>
        <v>APOYO A LA ATENCION-JENNY PEÑA(E)</v>
      </c>
      <c r="F11990" s="5" t="str">
        <f>"Descripcion:ESTANTES DE 6 ENTREPAÑOS Estado: Bueno Placa anterior: 000000421 Material: METALICO Color: BLANCO Referencia:  Observacion:  Placa padre:  Tipo adquisicion : Entidad"</f>
        <v>Descripcion:ESTANTES DE 6 ENTREPAÑOS Estado: Bueno Placa anterior: 000000421 Material: METALICO Color: BLANCO Referencia:  Observacion:  Placa padre:  Tipo adquisicion : Entidad</v>
      </c>
      <c r="G11990" s="5"/>
    </row>
    <row r="11991" spans="1:7" ht="58.5" customHeight="1" x14ac:dyDescent="0.25">
      <c r="A11991" s="5" t="str">
        <f>"H0017504"</f>
        <v>H0017504</v>
      </c>
      <c r="B11991" s="5" t="str">
        <f>"SILLON (SOFA)"</f>
        <v>SILLON (SOFA)</v>
      </c>
      <c r="C11991" s="6">
        <v>21400</v>
      </c>
      <c r="D11991" s="5"/>
      <c r="E11991" s="5" t="str">
        <f t="shared" si="619"/>
        <v>APOYO A LA ATENCION-JENNY PEÑA(E)</v>
      </c>
      <c r="F11991" s="5" t="str">
        <f>"Descripcion:SOFA LIZZY Estado: Bueno Placa anterior: 000026454 Material: MADERA Color: NEGRO Referencia:  Observacion:  Placa padre:  Tipo adquisicion : Entidad"</f>
        <v>Descripcion:SOFA LIZZY Estado: Bueno Placa anterior: 000026454 Material: MADERA Color: NEGRO Referencia:  Observacion:  Placa padre:  Tipo adquisicion : Entidad</v>
      </c>
      <c r="G11991" s="5"/>
    </row>
    <row r="11992" spans="1:7" ht="58.5" customHeight="1" x14ac:dyDescent="0.25">
      <c r="A11992" s="5" t="str">
        <f>"H0021992"</f>
        <v>H0021992</v>
      </c>
      <c r="B11992" s="5" t="str">
        <f>"ESTANTE METALICO 6 ENTREPAÑOS"</f>
        <v>ESTANTE METALICO 6 ENTREPAÑOS</v>
      </c>
      <c r="C11992" s="6">
        <v>55973.53</v>
      </c>
      <c r="D11992" s="5"/>
      <c r="E11992" s="5" t="str">
        <f t="shared" si="619"/>
        <v>APOYO A LA ATENCION-JENNY PEÑA(E)</v>
      </c>
      <c r="F11992" s="5" t="str">
        <f>"Descripcion: ESTANTE METALICO Estado: Bueno Placa anterior: 000002049 Material: METALICO Color: GRIS Referencia:  Observacion: UBICADO EN EL BAÑO CONTIGUO A LA OFICINA DE JURIDICA Placa padre: Tipo adquisicion: Entidad"</f>
        <v>Descripcion: ESTANTE METALICO Estado: Bueno Placa anterior: 000002049 Material: METALICO Color: GRIS Referencia:  Observacion: UBICADO EN EL BAÑO CONTIGUO A LA OFICINA DE JURIDICA Placa padre: Tipo adquisicion: Entidad</v>
      </c>
      <c r="G11992" s="5"/>
    </row>
    <row r="11993" spans="1:7" ht="58.5" customHeight="1" x14ac:dyDescent="0.25">
      <c r="A11993" s="5" t="str">
        <f>"H0025430"</f>
        <v>H0025430</v>
      </c>
      <c r="B1199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993" s="6">
        <v>312156</v>
      </c>
      <c r="D11993" s="5" t="s">
        <v>10</v>
      </c>
      <c r="E11993" s="5" t="str">
        <f t="shared" si="619"/>
        <v>APOYO A LA ATENCION-JENNY PEÑA(E)</v>
      </c>
      <c r="F11993" s="5"/>
      <c r="G11993" s="5"/>
    </row>
    <row r="11994" spans="1:7" ht="58.5" customHeight="1" x14ac:dyDescent="0.25">
      <c r="A11994" s="5" t="str">
        <f>"H0028801"</f>
        <v>H0028801</v>
      </c>
      <c r="B11994" s="5" t="str">
        <f>"SILLA HERGONOMICA CON SISTEMA HIDRAULICO"</f>
        <v>SILLA HERGONOMICA CON SISTEMA HIDRAULICO</v>
      </c>
      <c r="C11994" s="6">
        <v>174900</v>
      </c>
      <c r="D11994" s="5" t="s">
        <v>39</v>
      </c>
      <c r="E11994" s="5" t="str">
        <f t="shared" si="619"/>
        <v>APOYO A LA ATENCION-JENNY PEÑA(E)</v>
      </c>
      <c r="F11994" s="5"/>
      <c r="G11994" s="5"/>
    </row>
    <row r="11995" spans="1:7" ht="58.5" customHeight="1" x14ac:dyDescent="0.25">
      <c r="A11995" s="5" t="str">
        <f>"H0029285"</f>
        <v>H0029285</v>
      </c>
      <c r="B11995" s="5" t="str">
        <f>"SILLA HERGONOMICA CON SISTEMA HIDRAULICO"</f>
        <v>SILLA HERGONOMICA CON SISTEMA HIDRAULICO</v>
      </c>
      <c r="C11995" s="6">
        <v>174900</v>
      </c>
      <c r="D11995" s="5" t="s">
        <v>89</v>
      </c>
      <c r="E11995" s="5" t="str">
        <f t="shared" si="619"/>
        <v>APOYO A LA ATENCION-JENNY PEÑA(E)</v>
      </c>
      <c r="F11995" s="5"/>
      <c r="G11995" s="5"/>
    </row>
    <row r="11996" spans="1:7" ht="58.5" customHeight="1" x14ac:dyDescent="0.25">
      <c r="A11996" s="5" t="str">
        <f>"H0029498"</f>
        <v>H0029498</v>
      </c>
      <c r="B1199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1996" s="6">
        <v>257040</v>
      </c>
      <c r="D11996" s="5" t="s">
        <v>14</v>
      </c>
      <c r="E11996" s="5" t="str">
        <f t="shared" si="619"/>
        <v>APOYO A LA ATENCION-JENNY PEÑA(E)</v>
      </c>
      <c r="F11996" s="5"/>
      <c r="G11996" s="5"/>
    </row>
    <row r="11997" spans="1:7" ht="58.5" customHeight="1" x14ac:dyDescent="0.25">
      <c r="A11997" s="5" t="str">
        <f>"H0031430"</f>
        <v>H0031430</v>
      </c>
      <c r="B1199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1997" s="6">
        <v>3209500</v>
      </c>
      <c r="D11997" s="5" t="s">
        <v>16</v>
      </c>
      <c r="E11997" s="5" t="str">
        <f t="shared" si="619"/>
        <v>APOYO A LA ATENCION-JENNY PEÑA(E)</v>
      </c>
      <c r="F11997" s="5"/>
      <c r="G11997" s="5"/>
    </row>
    <row r="11998" spans="1:7" ht="58.5" customHeight="1" x14ac:dyDescent="0.25">
      <c r="A11998" s="5" t="str">
        <f>"H0031431"</f>
        <v>H0031431</v>
      </c>
      <c r="B1199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1998" s="6">
        <v>3209500</v>
      </c>
      <c r="D11998" s="5" t="s">
        <v>16</v>
      </c>
      <c r="E11998" s="5" t="str">
        <f t="shared" si="619"/>
        <v>APOYO A LA ATENCION-JENNY PEÑA(E)</v>
      </c>
      <c r="F11998" s="5"/>
      <c r="G11998" s="5"/>
    </row>
    <row r="11999" spans="1:7" ht="58.5" customHeight="1" x14ac:dyDescent="0.25">
      <c r="A11999" s="5" t="str">
        <f>"H0035869"</f>
        <v>H0035869</v>
      </c>
      <c r="B11999" s="5" t="str">
        <f>"SILLA GERENTE NIZA MEC. BASCULANTE CON BRAZOS."</f>
        <v>SILLA GERENTE NIZA MEC. BASCULANTE CON BRAZOS.</v>
      </c>
      <c r="C11999" s="6">
        <v>639999.86</v>
      </c>
      <c r="D11999" s="5" t="s">
        <v>47</v>
      </c>
      <c r="E11999" s="5" t="str">
        <f t="shared" si="619"/>
        <v>APOYO A LA ATENCION-JENNY PEÑA(E)</v>
      </c>
      <c r="F11999" s="5"/>
      <c r="G11999" s="5"/>
    </row>
    <row r="12000" spans="1:7" ht="58.5" customHeight="1" x14ac:dyDescent="0.25">
      <c r="A12000" s="5" t="str">
        <f>"H0036457"</f>
        <v>H0036457</v>
      </c>
      <c r="B12000" s="5" t="str">
        <f>"VENTILADOR DE PEDESTAL"</f>
        <v>VENTILADOR DE PEDESTAL</v>
      </c>
      <c r="C12000" s="6">
        <v>358260</v>
      </c>
      <c r="D12000" s="5" t="s">
        <v>131</v>
      </c>
      <c r="E12000" s="5" t="str">
        <f t="shared" si="619"/>
        <v>APOYO A LA ATENCION-JENNY PEÑA(E)</v>
      </c>
      <c r="F12000" s="5"/>
      <c r="G12000" s="5"/>
    </row>
    <row r="12001" spans="1:7" ht="58.5" customHeight="1" x14ac:dyDescent="0.25">
      <c r="A12001" s="5" t="str">
        <f>"H0036553"</f>
        <v>H0036553</v>
      </c>
      <c r="B12001" s="5" t="str">
        <f>"ESCÁNER  EPSON WORKFORCE DS-870 VERTICAL ESCÁNER EPSON WORKFORCE DS-870 (A4)// TIPO DE ESCÁNER: ALIMENTACIÓN VERTICAL, ESCÁNER DÚPLEX A COLOR"</f>
        <v>ESCÁNER  EPSON WORKFORCE DS-870 VERTICAL ESCÁNER EPSON WORKFORCE DS-870 (A4)// TIPO DE ESCÁNER: ALIMENTACIÓN VERTICAL, ESCÁNER DÚPLEX A COLOR</v>
      </c>
      <c r="C12001" s="6">
        <v>4403000</v>
      </c>
      <c r="D12001" s="5" t="s">
        <v>48</v>
      </c>
      <c r="E12001" s="5" t="str">
        <f t="shared" si="619"/>
        <v>APOYO A LA ATENCION-JENNY PEÑA(E)</v>
      </c>
      <c r="F12001" s="5"/>
      <c r="G12001" s="5" t="str">
        <f>"DS-870"</f>
        <v>DS-870</v>
      </c>
    </row>
    <row r="12002" spans="1:7" ht="58.5" customHeight="1" x14ac:dyDescent="0.25">
      <c r="A12002" s="5" t="str">
        <f>"H0036903"</f>
        <v>H0036903</v>
      </c>
      <c r="B12002" s="5" t="str">
        <f>"AIRE ACONDICIONADO TIPO MINISPLIT CAPACIDAD 18.000 BTU TECNOLOGIA INVERTER DUAL"</f>
        <v>AIRE ACONDICIONADO TIPO MINISPLIT CAPACIDAD 18.000 BTU TECNOLOGIA INVERTER DUAL</v>
      </c>
      <c r="C12002" s="6">
        <v>3900000</v>
      </c>
      <c r="D12002" s="5" t="s">
        <v>28</v>
      </c>
      <c r="E12002" s="5" t="str">
        <f t="shared" si="619"/>
        <v>APOYO A LA ATENCION-JENNY PEÑA(E)</v>
      </c>
      <c r="F12002" s="5"/>
      <c r="G12002" s="5"/>
    </row>
    <row r="12003" spans="1:7" ht="58.5" customHeight="1" x14ac:dyDescent="0.25">
      <c r="A12003" s="5" t="str">
        <f>"H0012091"</f>
        <v>H0012091</v>
      </c>
      <c r="B12003" s="5" t="str">
        <f>"ESCRITORIO DE MADERA 2 GAVETAS"</f>
        <v>ESCRITORIO DE MADERA 2 GAVETAS</v>
      </c>
      <c r="C12003" s="6">
        <v>398000</v>
      </c>
      <c r="D12003" s="5"/>
      <c r="E12003" s="5" t="str">
        <f>"AUDITORIA MEDICA"</f>
        <v>AUDITORIA MEDICA</v>
      </c>
      <c r="F12003" s="5" t="str">
        <f>"Descripcion: ESCRITORIO LINEA 2000 EN MADERA PARDILLO Estado: Bueno Placa anterior: 000032773 Material: MADERA Color: MIEL Referencia:  Observacion:  Placa padre: Tipo adquisicion: Entidad"</f>
        <v>Descripcion: ESCRITORIO LINEA 2000 EN MADERA PARDILLO Estado: Bueno Placa anterior: 000032773 Material: MADERA Color: MIEL Referencia:  Observacion:  Placa padre: Tipo adquisicion: Entidad</v>
      </c>
      <c r="G12003" s="5"/>
    </row>
    <row r="12004" spans="1:7" ht="58.5" customHeight="1" x14ac:dyDescent="0.25">
      <c r="A12004" s="5" t="str">
        <f>"H0016549"</f>
        <v>H0016549</v>
      </c>
      <c r="B12004" s="5" t="str">
        <f>"CUADRO DECORATIVO"</f>
        <v>CUADRO DECORATIVO</v>
      </c>
      <c r="C12004" s="6">
        <v>60000</v>
      </c>
      <c r="D12004" s="5"/>
      <c r="E12004" s="5" t="str">
        <f>"AUDITORIA MEDICA"</f>
        <v>AUDITORIA MEDICA</v>
      </c>
      <c r="F12004" s="5" t="str">
        <f>"Descripcion: RETRATO AL OLEO EN TELA CON MARCO Estado: Bueno Placa anterior: 000000190 Material: MADERA Color:  Referencia:  Observacion:  Placa padre: Tipo adquisicion: Entidad"</f>
        <v>Descripcion: RETRATO AL OLEO EN TELA CON MARCO Estado: Bueno Placa anterior: 000000190 Material: MADERA Color:  Referencia:  Observacion:  Placa padre: Tipo adquisicion: Entidad</v>
      </c>
      <c r="G12004" s="5"/>
    </row>
    <row r="12005" spans="1:7" ht="58.5" customHeight="1" x14ac:dyDescent="0.25">
      <c r="A12005" s="5" t="str">
        <f>"H0016552"</f>
        <v>H0016552</v>
      </c>
      <c r="B12005" s="5" t="str">
        <f>"AIRE ACONDICIONADO DE 36000 BTU PISO TECHO"</f>
        <v>AIRE ACONDICIONADO DE 36000 BTU PISO TECHO</v>
      </c>
      <c r="C12005" s="6">
        <v>3245689</v>
      </c>
      <c r="D12005" s="5"/>
      <c r="E12005" s="5" t="str">
        <f>"AUDITORIA MEDICA"</f>
        <v>AUDITORIA MEDICA</v>
      </c>
      <c r="F12005" s="5" t="str">
        <f>"Descripcion: AIRE ACONDICIONADO DE 36000 BTU TIPO MINI SPLIT LG Estado: Bueno Placa anterior: 000033610 Material: PLASTICO Color: BLANCO Referencia:  Observacion:  Placa padre: Tipo adquisicion: Entidad"</f>
        <v>Descripcion: AIRE ACONDICIONADO DE 36000 BTU TIPO MINI SPLIT LG Estado: Bueno Placa anterior: 000033610 Material: PLASTICO Color: BLANCO Referencia:  Observacion:  Placa padre: Tipo adquisicion: Entidad</v>
      </c>
      <c r="G12005" s="5" t="str">
        <f>"S362CP"</f>
        <v>S362CP</v>
      </c>
    </row>
    <row r="12006" spans="1:7" ht="58.5" customHeight="1" x14ac:dyDescent="0.25">
      <c r="A12006" s="5" t="str">
        <f>"H0016553"</f>
        <v>H0016553</v>
      </c>
      <c r="B12006" s="5" t="str">
        <f>"AIRE ACONDICIONADO DE 36000 BTU PISO TECHO"</f>
        <v>AIRE ACONDICIONADO DE 36000 BTU PISO TECHO</v>
      </c>
      <c r="C12006" s="6">
        <v>3245689</v>
      </c>
      <c r="D12006" s="5"/>
      <c r="E12006" s="5" t="str">
        <f>"AUDITORIA MEDICA"</f>
        <v>AUDITORIA MEDICA</v>
      </c>
      <c r="F12006" s="5" t="str">
        <f>"Descripcion: AIRE ACONDICIONADO DE 36000 BTU TIPO MINI SPLIT LG Estado: Bueno Placa anterior: 000033609 Material: PLASTICO Color: BLANCO Referencia:  Observacion:  Placa padre: Tipo adquisicion: Entidad"</f>
        <v>Descripcion: AIRE ACONDICIONADO DE 36000 BTU TIPO MINI SPLIT LG Estado: Bueno Placa anterior: 000033609 Material: PLASTICO Color: BLANCO Referencia:  Observacion:  Placa padre: Tipo adquisicion: Entidad</v>
      </c>
      <c r="G12006" s="5" t="str">
        <f>"S362CP"</f>
        <v>S362CP</v>
      </c>
    </row>
    <row r="12007" spans="1:7" ht="58.5" customHeight="1" x14ac:dyDescent="0.25">
      <c r="A12007" s="5" t="str">
        <f>"H0032272"</f>
        <v>H0032272</v>
      </c>
      <c r="B12007"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12007" s="6">
        <v>901008.5</v>
      </c>
      <c r="D12007" s="5" t="s">
        <v>413</v>
      </c>
      <c r="E12007" s="5" t="str">
        <f>"AUDITORIA MEDICA"</f>
        <v>AUDITORIA MEDICA</v>
      </c>
      <c r="F12007" s="5"/>
      <c r="G12007" s="5"/>
    </row>
    <row r="12008" spans="1:7" ht="58.5" customHeight="1" x14ac:dyDescent="0.25">
      <c r="A12008" s="5" t="str">
        <f>"B0003831"</f>
        <v>B0003831</v>
      </c>
      <c r="B12008" s="5" t="str">
        <f>"JERINGA DE IRIGACION TIPO TOOMEY"</f>
        <v>JERINGA DE IRIGACION TIPO TOOMEY</v>
      </c>
      <c r="C12008" s="6">
        <v>17930</v>
      </c>
      <c r="D12008" s="5"/>
      <c r="E12008" s="5" t="str">
        <f t="shared" ref="E12008:E12039" si="620">"UROLOGIA-PISO 11"</f>
        <v>UROLOGIA-PISO 11</v>
      </c>
      <c r="F12008" s="5" t="str">
        <f>"Descripcion: JERINGA DE TOOMEY 50 CC. Estado: Bueno Placa anterior: 000007132 Material: ACERO INOXIDABLE Y VIDRIO Color:  Referencia:  Observacion:  Placa padre: Tipo adquisicion: Entidad"</f>
        <v>Descripcion: JERINGA DE TOOMEY 50 CC. Estado: Bueno Placa anterior: 000007132 Material: ACERO INOXIDABLE Y VIDRIO Color:  Referencia:  Observacion:  Placa padre: Tipo adquisicion: Entidad</v>
      </c>
      <c r="G12008" s="5"/>
    </row>
    <row r="12009" spans="1:7" ht="58.5" customHeight="1" x14ac:dyDescent="0.25">
      <c r="A12009" s="5" t="str">
        <f>"B0003836"</f>
        <v>B0003836</v>
      </c>
      <c r="B12009" s="5" t="str">
        <f>"EVACUADOR DE LA VEJIGA"</f>
        <v>EVACUADOR DE LA VEJIGA</v>
      </c>
      <c r="C12009" s="6">
        <v>16350</v>
      </c>
      <c r="D12009" s="5"/>
      <c r="E12009" s="5" t="str">
        <f t="shared" si="620"/>
        <v>UROLOGIA-PISO 11</v>
      </c>
      <c r="F12009" s="5" t="str">
        <f>"Descripcion: EVACUADORES Estado: Bueno Placa anterior: 000007124 Material: PLASTICOS CON VIDRIO Color:  Referencia:  Observacion:  Placa padre: Tipo adquisicion: Entidad"</f>
        <v>Descripcion: EVACUADORES Estado: Bueno Placa anterior: 000007124 Material: PLASTICOS CON VIDRIO Color:  Referencia:  Observacion:  Placa padre: Tipo adquisicion: Entidad</v>
      </c>
      <c r="G12009" s="5"/>
    </row>
    <row r="12010" spans="1:7" ht="58.5" customHeight="1" x14ac:dyDescent="0.25">
      <c r="A12010" s="5" t="str">
        <f>"B0003837"</f>
        <v>B0003837</v>
      </c>
      <c r="B12010" s="5" t="str">
        <f>"EVACUADOR DE LA VEJIGA"</f>
        <v>EVACUADOR DE LA VEJIGA</v>
      </c>
      <c r="C12010" s="6">
        <v>16350</v>
      </c>
      <c r="D12010" s="5"/>
      <c r="E12010" s="5" t="str">
        <f t="shared" si="620"/>
        <v>UROLOGIA-PISO 11</v>
      </c>
      <c r="F12010" s="5" t="str">
        <f>"Descripcion: EVACUADORES Estado: Bueno Placa anterior: 000007125 Material: PLASTICOS CON VIDRIO Color:  Referencia:  Observacion:  Placa padre: Tipo adquisicion: Entidad"</f>
        <v>Descripcion: EVACUADORES Estado: Bueno Placa anterior: 000007125 Material: PLASTICOS CON VIDRIO Color:  Referencia:  Observacion:  Placa padre: Tipo adquisicion: Entidad</v>
      </c>
      <c r="G12010" s="5"/>
    </row>
    <row r="12011" spans="1:7" ht="58.5" customHeight="1" x14ac:dyDescent="0.25">
      <c r="A12011" s="5" t="str">
        <f>"B0003839"</f>
        <v>B0003839</v>
      </c>
      <c r="B12011" s="5" t="str">
        <f>"EVACUADOR DE LA VEJIGA"</f>
        <v>EVACUADOR DE LA VEJIGA</v>
      </c>
      <c r="C12011" s="6">
        <v>16350</v>
      </c>
      <c r="D12011" s="5"/>
      <c r="E12011" s="5" t="str">
        <f t="shared" si="620"/>
        <v>UROLOGIA-PISO 11</v>
      </c>
      <c r="F12011" s="5" t="str">
        <f>"Descripcion: EVACUADORES Estado: Bueno Placa anterior: 000007127 Material: PLASTICOS CON VIDRIO Color:  Referencia:  Observacion:  Placa padre: Tipo adquisicion: Entidad"</f>
        <v>Descripcion: EVACUADORES Estado: Bueno Placa anterior: 000007127 Material: PLASTICOS CON VIDRIO Color:  Referencia:  Observacion:  Placa padre: Tipo adquisicion: Entidad</v>
      </c>
      <c r="G12011" s="5"/>
    </row>
    <row r="12012" spans="1:7" ht="58.5" customHeight="1" x14ac:dyDescent="0.25">
      <c r="A12012" s="5" t="str">
        <f>"B0003840"</f>
        <v>B0003840</v>
      </c>
      <c r="B12012" s="5" t="str">
        <f>"CISTOURETROSCOPIO PARA CATETERISMO"</f>
        <v>CISTOURETROSCOPIO PARA CATETERISMO</v>
      </c>
      <c r="C12012" s="6">
        <v>1240587</v>
      </c>
      <c r="D12012" s="5"/>
      <c r="E12012" s="5" t="str">
        <f t="shared" si="620"/>
        <v>UROLOGIA-PISO 11</v>
      </c>
      <c r="F12012" s="5" t="str">
        <f>"Descripcion: CISTOURETROSCOPIO PARA ADULTO Estado: Bueno Placa anterior: 000007119 Material: ACERO INOXIDABLE Color:  Referencia:  Observacion:  Placa padre: Tipo adquisicion: Entidad"</f>
        <v>Descripcion: CISTOURETROSCOPIO PARA ADULTO Estado: Bueno Placa anterior: 000007119 Material: ACERO INOXIDABLE Color:  Referencia:  Observacion:  Placa padre: Tipo adquisicion: Entidad</v>
      </c>
      <c r="G12012" s="5"/>
    </row>
    <row r="12013" spans="1:7" ht="58.5" customHeight="1" x14ac:dyDescent="0.25">
      <c r="A12013" s="5" t="str">
        <f>"B0003844"</f>
        <v>B0003844</v>
      </c>
      <c r="B12013" s="5" t="str">
        <f>"FONENDOSCOPIO (ESTETOSCOPIO) DE 2 SERVICIOS"</f>
        <v>FONENDOSCOPIO (ESTETOSCOPIO) DE 2 SERVICIOS</v>
      </c>
      <c r="C12013" s="6">
        <v>1863.4</v>
      </c>
      <c r="D12013" s="5"/>
      <c r="E12013" s="5" t="str">
        <f t="shared" si="620"/>
        <v>UROLOGIA-PISO 11</v>
      </c>
      <c r="F12013" s="5" t="str">
        <f>"Descripcion: FONENDOSCOPIO DE DOS SERVICIOS Estado: Bueno Placa anterior: 000007128 Material:  Color: NEGRO Referencia:  Observacion:  Placa padre: Tipo adquisicion: Entidad"</f>
        <v>Descripcion: FONENDOSCOPIO DE DOS SERVICIOS Estado: Bueno Placa anterior: 000007128 Material:  Color: NEGRO Referencia:  Observacion:  Placa padre: Tipo adquisicion: Entidad</v>
      </c>
      <c r="G12013" s="5"/>
    </row>
    <row r="12014" spans="1:7" ht="58.5" customHeight="1" x14ac:dyDescent="0.25">
      <c r="A12014" s="5" t="str">
        <f>"B0003845"</f>
        <v>B0003845</v>
      </c>
      <c r="B12014" s="5" t="str">
        <f>"CUBETA DE ACERO INOXIDABLE CON TAPA GRANDE"</f>
        <v>CUBETA DE ACERO INOXIDABLE CON TAPA GRANDE</v>
      </c>
      <c r="C12014" s="6">
        <v>5815.15</v>
      </c>
      <c r="D12014" s="5"/>
      <c r="E12014" s="5" t="str">
        <f t="shared" si="620"/>
        <v>UROLOGIA-PISO 11</v>
      </c>
      <c r="F12014" s="5" t="str">
        <f>"Descripcion: CUBETA GRANDE EN ACERO INOXIDABLE Estado: Bueno Placa anterior: 000007113 Material: ACERO INOXIDABLE Color:  Referencia:  Observacion: ESTERILIZADA Placa padre: Tipo adquisicion: Entidad"</f>
        <v>Descripcion: CUBETA GRANDE EN ACERO INOXIDABLE Estado: Bueno Placa anterior: 000007113 Material: ACERO INOXIDABLE Color:  Referencia:  Observacion: ESTERILIZADA Placa padre: Tipo adquisicion: Entidad</v>
      </c>
      <c r="G12014" s="5"/>
    </row>
    <row r="12015" spans="1:7" ht="58.5" customHeight="1" x14ac:dyDescent="0.25">
      <c r="A12015" s="5" t="str">
        <f>"B0003846"</f>
        <v>B0003846</v>
      </c>
      <c r="B12015" s="5" t="str">
        <f>"CUBETA DE ACERO INOXIDABLE CON TAPA MEDIANA"</f>
        <v>CUBETA DE ACERO INOXIDABLE CON TAPA MEDIANA</v>
      </c>
      <c r="C12015" s="6">
        <v>5815.51</v>
      </c>
      <c r="D12015" s="5"/>
      <c r="E12015" s="5" t="str">
        <f t="shared" si="620"/>
        <v>UROLOGIA-PISO 11</v>
      </c>
      <c r="F12015" s="5" t="str">
        <f>"Descripcion: CUBETA EN ACERO INOX.MEDIANA Estado: Bueno Placa anterior: 000007117 Material: ACERO INOXIDABLE Color:  Referencia:  Observacion: ESTERILIZADA Placa padre: Tipo adquisicion: Entidad"</f>
        <v>Descripcion: CUBETA EN ACERO INOX.MEDIANA Estado: Bueno Placa anterior: 000007117 Material: ACERO INOXIDABLE Color:  Referencia:  Observacion: ESTERILIZADA Placa padre: Tipo adquisicion: Entidad</v>
      </c>
      <c r="G12015" s="5"/>
    </row>
    <row r="12016" spans="1:7" ht="58.5" customHeight="1" x14ac:dyDescent="0.25">
      <c r="A12016" s="5" t="str">
        <f>"B0003847"</f>
        <v>B0003847</v>
      </c>
      <c r="B12016" s="5" t="str">
        <f>"CUBETA DE ACERO INOXIDABLE CON TAPA PEQUEÑA"</f>
        <v>CUBETA DE ACERO INOXIDABLE CON TAPA PEQUEÑA</v>
      </c>
      <c r="C12016" s="6">
        <v>5815.51</v>
      </c>
      <c r="D12016" s="5"/>
      <c r="E12016" s="5" t="str">
        <f t="shared" si="620"/>
        <v>UROLOGIA-PISO 11</v>
      </c>
      <c r="F12016" s="5" t="str">
        <f>"Descripcion: CUBETA EN ACERO INOXIDABLE PEQUEÑA Estado: Bueno Placa anterior: 000007118 Material: ACERO INOXIDABLE Color:  Referencia:  Observacion: ESTERILIZADA Placa padre: Tipo adquisicion: Entidad"</f>
        <v>Descripcion: CUBETA EN ACERO INOXIDABLE PEQUEÑA Estado: Bueno Placa anterior: 000007118 Material: ACERO INOXIDABLE Color:  Referencia:  Observacion: ESTERILIZADA Placa padre: Tipo adquisicion: Entidad</v>
      </c>
      <c r="G12016" s="5"/>
    </row>
    <row r="12017" spans="1:7" ht="58.5" customHeight="1" x14ac:dyDescent="0.25">
      <c r="A12017" s="5" t="str">
        <f>"H0002026"</f>
        <v>H0002026</v>
      </c>
      <c r="B12017" s="5" t="str">
        <f>"TENSIOMETRO ANEROIDE DE PARED ADULTO"</f>
        <v>TENSIOMETRO ANEROIDE DE PARED ADULTO</v>
      </c>
      <c r="C12017" s="6">
        <v>464000</v>
      </c>
      <c r="D12017" s="5"/>
      <c r="E12017" s="5" t="str">
        <f t="shared" si="620"/>
        <v>UROLOGIA-PISO 11</v>
      </c>
      <c r="F12017" s="5" t="str">
        <f>"Descripcion:TENSIOMETRO ADULTO DE PARED, CON BRAZALETE COLOR NEGRO Estado: Excelente Placa anterior: 000039082 Material: PASTA Color: AZUL Y GRIS Referencia:  Observacion:  Placa padre:  Tipo adquisicion : Entidad"</f>
        <v>Descripcion:TENSIOMETRO ADULTO DE PARED, CON BRAZALETE COLOR NEGRO Estado: Excelente Placa anterior: 000039082 Material: PASTA Color: AZUL Y GRIS Referencia:  Observacion:  Placa padre:  Tipo adquisicion : Entidad</v>
      </c>
      <c r="G12017" s="5" t="str">
        <f>"BIG BEN ROUND 1450"</f>
        <v>BIG BEN ROUND 1450</v>
      </c>
    </row>
    <row r="12018" spans="1:7" ht="58.5" customHeight="1" x14ac:dyDescent="0.25">
      <c r="A12018" s="5" t="str">
        <f>"H0008609"</f>
        <v>H0008609</v>
      </c>
      <c r="B12018" s="5" t="str">
        <f>"SILLA TANDEM DE 4 PUESTOS"</f>
        <v>SILLA TANDEM DE 4 PUESTOS</v>
      </c>
      <c r="C12018" s="6">
        <v>740000</v>
      </c>
      <c r="D12018" s="5" t="s">
        <v>529</v>
      </c>
      <c r="E12018" s="5" t="str">
        <f t="shared" si="620"/>
        <v>UROLOGIA-PISO 11</v>
      </c>
      <c r="F12018" s="5" t="str">
        <f>"Descripcion:SILLA TANDEM DE 4 PUESTOS Estado: Bueno Placa anterior:  Material: METALICO CON ASIENTOS EN PLASTICO Color: VERDE Referencia:  Observacion:  Placa padre:  Tipo adquisicion : Entidad"</f>
        <v>Descripcion:SILLA TANDEM DE 4 PUESTOS Estado: Bueno Placa anterior:  Material: METALICO CON ASIENTOS EN PLASTICO Color: VERDE Referencia:  Observacion:  Placa padre:  Tipo adquisicion : Entidad</v>
      </c>
      <c r="G12018" s="5"/>
    </row>
    <row r="12019" spans="1:7" ht="58.5" customHeight="1" x14ac:dyDescent="0.25">
      <c r="A12019" s="5" t="str">
        <f>"H0008615"</f>
        <v>H0008615</v>
      </c>
      <c r="B12019" s="5" t="str">
        <f>"SILLA TANDEM DE 4 PUESTOS"</f>
        <v>SILLA TANDEM DE 4 PUESTOS</v>
      </c>
      <c r="C12019" s="6">
        <v>740000</v>
      </c>
      <c r="D12019" s="5" t="s">
        <v>529</v>
      </c>
      <c r="E12019" s="5" t="str">
        <f t="shared" si="620"/>
        <v>UROLOGIA-PISO 11</v>
      </c>
      <c r="F12019" s="5" t="str">
        <f>"Descripcion:SILLA TANDEM DE 4 PUESTOS  Estado: Bueno Placa anterior:  Material: METALICO CON ASIENTOS EN PLASTICO Color: VERDE Referencia:  Observacion:  Placa padre:  Tipo adquisicion : Entidad"</f>
        <v>Descripcion:SILLA TANDEM DE 4 PUESTOS  Estado: Bueno Placa anterior:  Material: METALICO CON ASIENTOS EN PLASTICO Color: VERDE Referencia:  Observacion:  Placa padre:  Tipo adquisicion : Entidad</v>
      </c>
      <c r="G12019" s="5"/>
    </row>
    <row r="12020" spans="1:7" ht="58.5" customHeight="1" x14ac:dyDescent="0.25">
      <c r="A12020" s="5" t="str">
        <f>"H0008617"</f>
        <v>H0008617</v>
      </c>
      <c r="B12020" s="5" t="str">
        <f>"SILLA TANDEM DE 4 PUESTOS"</f>
        <v>SILLA TANDEM DE 4 PUESTOS</v>
      </c>
      <c r="C12020" s="6">
        <v>740000</v>
      </c>
      <c r="D12020" s="5" t="s">
        <v>529</v>
      </c>
      <c r="E12020" s="5" t="str">
        <f t="shared" si="620"/>
        <v>UROLOGIA-PISO 11</v>
      </c>
      <c r="F12020" s="5" t="str">
        <f>"Descripcion:SILLA TANDEM DE 4 PUESTOS  Estado: Bueno Placa anterior:  Material: METALICO CON ASIENTOS EN PLASTICO Color: BLANCO Referencia:  Observacion:  Placa padre:  Tipo adquisicion : Entidad"</f>
        <v>Descripcion:SILLA TANDEM DE 4 PUESTOS  Estado: Bueno Placa anterior:  Material: METALICO CON ASIENTOS EN PLASTICO Color: BLANCO Referencia:  Observacion:  Placa padre:  Tipo adquisicion : Entidad</v>
      </c>
      <c r="G12020" s="5"/>
    </row>
    <row r="12021" spans="1:7" ht="58.5" customHeight="1" x14ac:dyDescent="0.25">
      <c r="A12021" s="5" t="str">
        <f>"H0008627"</f>
        <v>H0008627</v>
      </c>
      <c r="B12021" s="5" t="str">
        <f>"SILLA TANDEM DE 3 PUESTOS"</f>
        <v>SILLA TANDEM DE 3 PUESTOS</v>
      </c>
      <c r="C12021" s="6">
        <v>10780</v>
      </c>
      <c r="D12021" s="5"/>
      <c r="E12021" s="5" t="str">
        <f t="shared" si="620"/>
        <v>UROLOGIA-PISO 11</v>
      </c>
      <c r="F12021" s="5" t="str">
        <f>"Descripcion:SILLA TANDEM DE 3 PUESTOS  Estado: Bueno Placa anterior: 000006917 Material: METALICO CON ASIENTOS EN PLASTICO Color: VERDE Referencia:  Observacion: AUTORIZADO CONCILIAR EN CRUCE GENERAL Placa padre:  Tipo adquisicion : Entidad"</f>
        <v>Descripcion:SILLA TANDEM DE 3 PUESTOS  Estado: Bueno Placa anterior: 000006917 Material: METALICO CON ASIENTOS EN PLASTICO Color: VERDE Referencia:  Observacion: AUTORIZADO CONCILIAR EN CRUCE GENERAL Placa padre:  Tipo adquisicion : Entidad</v>
      </c>
      <c r="G12021" s="5"/>
    </row>
    <row r="12022" spans="1:7" ht="58.5" customHeight="1" x14ac:dyDescent="0.25">
      <c r="A12022" s="5" t="str">
        <f>"H0010779"</f>
        <v>H0010779</v>
      </c>
      <c r="B12022" s="5" t="str">
        <f>"MESA METALICA AUXILIAR"</f>
        <v>MESA METALICA AUXILIAR</v>
      </c>
      <c r="C12022" s="6">
        <v>1870</v>
      </c>
      <c r="D12022" s="5"/>
      <c r="E12022" s="5" t="str">
        <f t="shared" si="620"/>
        <v>UROLOGIA-PISO 11</v>
      </c>
      <c r="F12022" s="5" t="str">
        <f>"Descripcion: MESA AUXILIAR GRANDE PARA OBJETOS QUIRURGICOS CON RODACHINES Estado: Bueno Placa anterior: 000006898 Material: METALICO Color: GRIS Referencia:  Observacion:  Placa padre: Tipo adquisicion: Entidad"</f>
        <v>Descripcion: MESA AUXILIAR GRANDE PARA OBJETOS QUIRURGICOS CON RODACHINES Estado: Bueno Placa anterior: 000006898 Material: METALICO Color: GRIS Referencia:  Observacion:  Placa padre: Tipo adquisicion: Entidad</v>
      </c>
      <c r="G12022" s="5"/>
    </row>
    <row r="12023" spans="1:7" ht="58.5" customHeight="1" x14ac:dyDescent="0.25">
      <c r="A12023" s="5" t="str">
        <f>"H0010780"</f>
        <v>H0010780</v>
      </c>
      <c r="B12023" s="5" t="str">
        <f>"POTE (TARRO) ACERO INXODABLE CON TAPA MEDIANO"</f>
        <v>POTE (TARRO) ACERO INXODABLE CON TAPA MEDIANO</v>
      </c>
      <c r="C12023" s="6">
        <v>13179</v>
      </c>
      <c r="D12023" s="5"/>
      <c r="E12023" s="5" t="str">
        <f t="shared" si="620"/>
        <v>UROLOGIA-PISO 11</v>
      </c>
      <c r="F12023" s="5" t="str">
        <f>"Descripcion: TARRO NIQUELADO Estado: Bueno Placa anterior: 000006877 Material: ACERO INOXIDABLE Color:  Referencia:  Observacion:  Placa padre: Tipo adquisicion: Entidad"</f>
        <v>Descripcion: TARRO NIQUELADO Estado: Bueno Placa anterior: 000006877 Material: ACERO INOXIDABLE Color:  Referencia:  Observacion:  Placa padre: Tipo adquisicion: Entidad</v>
      </c>
      <c r="G12023" s="5"/>
    </row>
    <row r="12024" spans="1:7" ht="58.5" customHeight="1" x14ac:dyDescent="0.25">
      <c r="A12024" s="5" t="str">
        <f>"H0010781"</f>
        <v>H0010781</v>
      </c>
      <c r="B12024" s="5" t="str">
        <f>"POTE (TARRO) ACERO INXODABLE CON TAPA MEDIANO"</f>
        <v>POTE (TARRO) ACERO INXODABLE CON TAPA MEDIANO</v>
      </c>
      <c r="C12024" s="6">
        <v>13179</v>
      </c>
      <c r="D12024" s="5"/>
      <c r="E12024" s="5" t="str">
        <f t="shared" si="620"/>
        <v>UROLOGIA-PISO 11</v>
      </c>
      <c r="F12024" s="5" t="str">
        <f>"Descripcion: TARRO NIQUELADO Estado: Bueno Placa anterior: 000006905 Material: ACERO INOXIDABLE Color:  Referencia:  Observacion:  Placa padre: Tipo adquisicion: Entidad"</f>
        <v>Descripcion: TARRO NIQUELADO Estado: Bueno Placa anterior: 000006905 Material: ACERO INOXIDABLE Color:  Referencia:  Observacion:  Placa padre: Tipo adquisicion: Entidad</v>
      </c>
      <c r="G12024" s="5"/>
    </row>
    <row r="12025" spans="1:7" ht="58.5" customHeight="1" x14ac:dyDescent="0.25">
      <c r="A12025" s="5" t="str">
        <f>"H0010782"</f>
        <v>H0010782</v>
      </c>
      <c r="B12025" s="5" t="str">
        <f>"POTE (TARRO) ACERO INXODABLE CON TAPA MEDIANO"</f>
        <v>POTE (TARRO) ACERO INXODABLE CON TAPA MEDIANO</v>
      </c>
      <c r="C12025" s="6">
        <v>13179</v>
      </c>
      <c r="D12025" s="5"/>
      <c r="E12025" s="5" t="str">
        <f t="shared" si="620"/>
        <v>UROLOGIA-PISO 11</v>
      </c>
      <c r="F12025" s="5" t="str">
        <f>"Descripcion: TARRO NIQUELADO Estado: Bueno Placa anterior: 000006903 Material: ACERO INOXIDAB LE Color:  Referencia:  Observacion:  Placa padre: Tipo adquisicion: Entidad"</f>
        <v>Descripcion: TARRO NIQUELADO Estado: Bueno Placa anterior: 000006903 Material: ACERO INOXIDAB LE Color:  Referencia:  Observacion:  Placa padre: Tipo adquisicion: Entidad</v>
      </c>
      <c r="G12025" s="5"/>
    </row>
    <row r="12026" spans="1:7" ht="58.5" customHeight="1" x14ac:dyDescent="0.25">
      <c r="A12026" s="5" t="str">
        <f>"H0010784"</f>
        <v>H0010784</v>
      </c>
      <c r="B12026" s="5" t="str">
        <f>"MESA (CARRO) DE CURACIONES"</f>
        <v>MESA (CARRO) DE CURACIONES</v>
      </c>
      <c r="C12026" s="6">
        <v>49170</v>
      </c>
      <c r="D12026" s="5"/>
      <c r="E12026" s="5" t="str">
        <f t="shared" si="620"/>
        <v>UROLOGIA-PISO 11</v>
      </c>
      <c r="F12026" s="5" t="str">
        <f>"Descripcion: MESA AUXILIAR TIPO CARRO C/BARANDAS Y RODACHINES Estado: Bueno Placa anterior: 000006872 Material: METALICO Color: VERDE Referencia:  Observacion:  Placa padre: Tipo adquisicion: Entidad"</f>
        <v>Descripcion: MESA AUXILIAR TIPO CARRO C/BARANDAS Y RODACHINES Estado: Bueno Placa anterior: 000006872 Material: METALICO Color: VERDE Referencia:  Observacion:  Placa padre: Tipo adquisicion: Entidad</v>
      </c>
      <c r="G12026" s="5"/>
    </row>
    <row r="12027" spans="1:7" ht="58.5" customHeight="1" x14ac:dyDescent="0.25">
      <c r="A12027" s="5" t="str">
        <f>"H0010785"</f>
        <v>H0010785</v>
      </c>
      <c r="B12027" s="5" t="str">
        <f>"MESA (CARRO) DE CURACIONES"</f>
        <v>MESA (CARRO) DE CURACIONES</v>
      </c>
      <c r="C12027" s="6">
        <v>30470</v>
      </c>
      <c r="D12027" s="5"/>
      <c r="E12027" s="5" t="str">
        <f t="shared" si="620"/>
        <v>UROLOGIA-PISO 11</v>
      </c>
      <c r="F12027" s="5" t="str">
        <f>"Descripcion: CARRO DE CURACIONES Estado: Bueno Placa anterior: 000006896 Material: METALICO Color: GRIS Referencia:  Observacion:  Placa padre: Tipo adquisicion: Entidad"</f>
        <v>Descripcion: CARRO DE CURACIONES Estado: Bueno Placa anterior: 000006896 Material: METALICO Color: GRIS Referencia:  Observacion:  Placa padre: Tipo adquisicion: Entidad</v>
      </c>
      <c r="G12027" s="5"/>
    </row>
    <row r="12028" spans="1:7" ht="58.5" customHeight="1" x14ac:dyDescent="0.25">
      <c r="A12028" s="5" t="str">
        <f>"H0010787"</f>
        <v>H0010787</v>
      </c>
      <c r="B12028" s="5" t="str">
        <f>"ESCRITORIO METALICO 2 GAVETAS"</f>
        <v>ESCRITORIO METALICO 2 GAVETAS</v>
      </c>
      <c r="C12028" s="6">
        <v>5962</v>
      </c>
      <c r="D12028" s="5"/>
      <c r="E12028" s="5" t="str">
        <f t="shared" si="620"/>
        <v>UROLOGIA-PISO 11</v>
      </c>
      <c r="F12028" s="5" t="str">
        <f>"Descripcion: ESCRITORIO DE 2 GAVETAS Estado: Bueno Placa anterior: 000006884 Material: METALICO CON MESON EN FORMICA Color: GRIS CON BEIGE Referencia:  Observacion:  Placa padre: Tipo adquisicion: Entidad"</f>
        <v>Descripcion: ESCRITORIO DE 2 GAVETAS Estado: Bueno Placa anterior: 000006884 Material: METALICO CON MESON EN FORMICA Color: GRIS CON BEIGE Referencia:  Observacion:  Placa padre: Tipo adquisicion: Entidad</v>
      </c>
      <c r="G12028" s="5"/>
    </row>
    <row r="12029" spans="1:7" ht="58.5" customHeight="1" x14ac:dyDescent="0.25">
      <c r="A12029" s="5" t="str">
        <f>"H0010789"</f>
        <v>H0010789</v>
      </c>
      <c r="B12029" s="5" t="str">
        <f>"MESA DE MAYO"</f>
        <v>MESA DE MAYO</v>
      </c>
      <c r="C12029" s="6">
        <v>13530</v>
      </c>
      <c r="D12029" s="5"/>
      <c r="E12029" s="5" t="str">
        <f t="shared" si="620"/>
        <v>UROLOGIA-PISO 11</v>
      </c>
      <c r="F12029" s="5" t="str">
        <f>"Descripcion: MESA DE MAYO Estado: Bueno Placa anterior: 000006894 Material: METALICO Color:  GRIS Referencia:  Observacion:  Placa padre: Tipo adquisicion: Entidad"</f>
        <v>Descripcion: MESA DE MAYO Estado: Bueno Placa anterior: 000006894 Material: METALICO Color:  GRIS Referencia:  Observacion:  Placa padre: Tipo adquisicion: Entidad</v>
      </c>
      <c r="G12029" s="5"/>
    </row>
    <row r="12030" spans="1:7" ht="58.5" customHeight="1" x14ac:dyDescent="0.25">
      <c r="A12030" s="5" t="str">
        <f>"H0010790"</f>
        <v>H0010790</v>
      </c>
      <c r="B12030" s="5" t="str">
        <f>"ESCRITORIO METALICO 3 GAVETAS"</f>
        <v>ESCRITORIO METALICO 3 GAVETAS</v>
      </c>
      <c r="C12030" s="6">
        <v>6900</v>
      </c>
      <c r="D12030" s="5"/>
      <c r="E12030" s="5" t="str">
        <f t="shared" si="620"/>
        <v>UROLOGIA-PISO 11</v>
      </c>
      <c r="F12030" s="5" t="str">
        <f>"Descripcion: ESCRITORIO METALICO 3 GAVETAS (NO TIENE LAS GAVETAS) Estado: Bueno Placa anterior: 000006885 Material: METALICO CON MESON EN FORMICA Color: GRIS CON BLANCO Referencia:  Observacion:  Placa padre: Tipo adquisicion: Entidad"</f>
        <v>Descripcion: ESCRITORIO METALICO 3 GAVETAS (NO TIENE LAS GAVETAS) Estado: Bueno Placa anterior: 000006885 Material: METALICO CON MESON EN FORMICA Color: GRIS CON BLANCO Referencia:  Observacion:  Placa padre: Tipo adquisicion: Entidad</v>
      </c>
      <c r="G12030" s="5"/>
    </row>
    <row r="12031" spans="1:7" ht="58.5" customHeight="1" x14ac:dyDescent="0.25">
      <c r="A12031" s="5" t="str">
        <f>"H0010792"</f>
        <v>H0010792</v>
      </c>
      <c r="B12031" s="5" t="str">
        <f>"ESCALERILLA DE 2 PASOS"</f>
        <v>ESCALERILLA DE 2 PASOS</v>
      </c>
      <c r="C12031" s="6">
        <v>4455</v>
      </c>
      <c r="D12031" s="5"/>
      <c r="E12031" s="5" t="str">
        <f t="shared" si="620"/>
        <v>UROLOGIA-PISO 11</v>
      </c>
      <c r="F12031" s="5" t="str">
        <f>"Descripcion: ESCALERA DE DOS PASOS Estado: Malo Placa anterior: 000005297 Material: METALICO CON PASOS EN MADERA Color: NEGRO Referencia:  Observacion: AUTORIZADO CONCILIAR EN CRUCE GENERAL Placa padre: Tipo adquisicion: Entidad"</f>
        <v>Descripcion: ESCALERA DE DOS PASOS Estado: Malo Placa anterior: 000005297 Material: METALICO CON PASOS EN MADERA Color: NEGRO Referencia:  Observacion: AUTORIZADO CONCILIAR EN CRUCE GENERAL Placa padre: Tipo adquisicion: Entidad</v>
      </c>
      <c r="G12031" s="5"/>
    </row>
    <row r="12032" spans="1:7" ht="58.5" customHeight="1" x14ac:dyDescent="0.25">
      <c r="A12032" s="5" t="str">
        <f>"H0010794"</f>
        <v>H0010794</v>
      </c>
      <c r="B12032" s="5" t="str">
        <f>"VITRINA DE 2 CUERPOS"</f>
        <v>VITRINA DE 2 CUERPOS</v>
      </c>
      <c r="C12032" s="6">
        <v>5000</v>
      </c>
      <c r="D12032" s="5"/>
      <c r="E12032" s="5" t="str">
        <f t="shared" si="620"/>
        <v>UROLOGIA-PISO 11</v>
      </c>
      <c r="F12032" s="5" t="str">
        <f>"Descripcion: VITRINA (2 PUERTAS) Estado: Bueno Placa anterior: 000006888 Material: METALICO Color: GRIS Referencia:  Observacion:  Placa padre: Tipo adquisicion: Entidad"</f>
        <v>Descripcion: VITRINA (2 PUERTAS) Estado: Bueno Placa anterior: 000006888 Material: METALICO Color: GRIS Referencia:  Observacion:  Placa padre: Tipo adquisicion: Entidad</v>
      </c>
      <c r="G12032" s="5"/>
    </row>
    <row r="12033" spans="1:7" ht="58.5" customHeight="1" x14ac:dyDescent="0.25">
      <c r="A12033" s="5" t="str">
        <f>"H0010795"</f>
        <v>H0010795</v>
      </c>
      <c r="B12033" s="5" t="str">
        <f>"ATRIL PORTASUERO FIJO"</f>
        <v>ATRIL PORTASUERO FIJO</v>
      </c>
      <c r="C12033" s="6">
        <v>1200</v>
      </c>
      <c r="D12033" s="5"/>
      <c r="E12033" s="5" t="str">
        <f t="shared" si="620"/>
        <v>UROLOGIA-PISO 11</v>
      </c>
      <c r="F12033" s="5" t="str">
        <f>"Descripcion: ATRIL PORTASUERO FIJO EXPANSIBLE Estado: Malo Placa anterior: 000006866 Material: METALICO  Color: GRIS (FALTA PINTURA) Referencia:  Observacion:  Placa padre: Tipo adquisicion: Entidad"</f>
        <v>Descripcion: ATRIL PORTASUERO FIJO EXPANSIBLE Estado: Malo Placa anterior: 000006866 Material: METALICO  Color: GRIS (FALTA PINTURA) Referencia:  Observacion:  Placa padre: Tipo adquisicion: Entidad</v>
      </c>
      <c r="G12033" s="5"/>
    </row>
    <row r="12034" spans="1:7" ht="58.5" customHeight="1" x14ac:dyDescent="0.25">
      <c r="A12034" s="5" t="str">
        <f>"H0010798"</f>
        <v>H0010798</v>
      </c>
      <c r="B12034" s="5" t="str">
        <f>"PLATON NIQUELADO – INOXIDABLE"</f>
        <v>PLATON NIQUELADO – INOXIDABLE</v>
      </c>
      <c r="C12034" s="6">
        <v>4346</v>
      </c>
      <c r="D12034" s="5"/>
      <c r="E12034" s="5" t="str">
        <f t="shared" si="620"/>
        <v>UROLOGIA-PISO 11</v>
      </c>
      <c r="F12034" s="5" t="str">
        <f>"Descripcion: PLATON NIQUELADO MEDIANO Estado: Bueno Placa anterior: 000007114 Material: ACERO INOXIDABLE Color:  Referencia:  Observacion:  Placa padre: Tipo adquisicion: Entidad"</f>
        <v>Descripcion: PLATON NIQUELADO MEDIANO Estado: Bueno Placa anterior: 000007114 Material: ACERO INOXIDABLE Color:  Referencia:  Observacion:  Placa padre: Tipo adquisicion: Entidad</v>
      </c>
      <c r="G12034" s="5"/>
    </row>
    <row r="12035" spans="1:7" ht="58.5" customHeight="1" x14ac:dyDescent="0.25">
      <c r="A12035" s="5" t="str">
        <f>"H0010799"</f>
        <v>H0010799</v>
      </c>
      <c r="B12035" s="5" t="str">
        <f>"PLATON NIQUELADO – INOXIDABLE"</f>
        <v>PLATON NIQUELADO – INOXIDABLE</v>
      </c>
      <c r="C12035" s="6">
        <v>4346</v>
      </c>
      <c r="D12035" s="5"/>
      <c r="E12035" s="5" t="str">
        <f t="shared" si="620"/>
        <v>UROLOGIA-PISO 11</v>
      </c>
      <c r="F12035" s="5" t="str">
        <f>"Descripcion: PLATON NIQUELADO MEDIANO Estado: Bueno Placa anterior: 000007116 Material: ACERO INOXIDABLE Color:  Referencia:  Observacion:  Placa padre: Tipo adquisicion: Entidad"</f>
        <v>Descripcion: PLATON NIQUELADO MEDIANO Estado: Bueno Placa anterior: 000007116 Material: ACERO INOXIDABLE Color:  Referencia:  Observacion:  Placa padre: Tipo adquisicion: Entidad</v>
      </c>
      <c r="G12035" s="5"/>
    </row>
    <row r="12036" spans="1:7" ht="58.5" customHeight="1" x14ac:dyDescent="0.25">
      <c r="A12036" s="5" t="str">
        <f>"H0010800"</f>
        <v>H0010800</v>
      </c>
      <c r="B12036" s="5" t="str">
        <f>"PLATON NIQUELADO – INOXIDABLE"</f>
        <v>PLATON NIQUELADO – INOXIDABLE</v>
      </c>
      <c r="C12036" s="6">
        <v>4346</v>
      </c>
      <c r="D12036" s="5"/>
      <c r="E12036" s="5" t="str">
        <f t="shared" si="620"/>
        <v>UROLOGIA-PISO 11</v>
      </c>
      <c r="F12036" s="5" t="str">
        <f>"Descripcion: PLATON NIQUELADO MEDIANO Estado: Bueno Placa anterior: 000007115 Material: ACERO INOXIDABLE Color:  Referencia:  Observacion:  Placa padre: Tipo adquisicion: Entidad"</f>
        <v>Descripcion: PLATON NIQUELADO MEDIANO Estado: Bueno Placa anterior: 000007115 Material: ACERO INOXIDABLE Color:  Referencia:  Observacion:  Placa padre: Tipo adquisicion: Entidad</v>
      </c>
      <c r="G12036" s="5"/>
    </row>
    <row r="12037" spans="1:7" ht="58.5" customHeight="1" x14ac:dyDescent="0.25">
      <c r="A12037" s="5" t="str">
        <f>"H0010805"</f>
        <v>H0010805</v>
      </c>
      <c r="B12037" s="5" t="str">
        <f>"BUTACO GIRATORIO SIN RUEDAS"</f>
        <v>BUTACO GIRATORIO SIN RUEDAS</v>
      </c>
      <c r="C12037" s="6">
        <v>6775</v>
      </c>
      <c r="D12037" s="5"/>
      <c r="E12037" s="5" t="str">
        <f t="shared" si="620"/>
        <v>UROLOGIA-PISO 11</v>
      </c>
      <c r="F12037" s="5" t="str">
        <f>"Descripcion: BUTACO GIRATORIO SIN ESPALDAR Estado: Bueno Placa anterior: 000006863 Material: METALICO Color: NEGRO Referencia:  Observacion:  Placa padre: Tipo adquisicion: Entidad"</f>
        <v>Descripcion: BUTACO GIRATORIO SIN ESPALDAR Estado: Bueno Placa anterior: 000006863 Material: METALICO Color: NEGRO Referencia:  Observacion:  Placa padre: Tipo adquisicion: Entidad</v>
      </c>
      <c r="G12037" s="5"/>
    </row>
    <row r="12038" spans="1:7" ht="58.5" customHeight="1" x14ac:dyDescent="0.25">
      <c r="A12038" s="5" t="str">
        <f>"H0010806"</f>
        <v>H0010806</v>
      </c>
      <c r="B12038" s="5" t="str">
        <f>"ESCALERA DE 1 PASO"</f>
        <v>ESCALERA DE 1 PASO</v>
      </c>
      <c r="C12038" s="6">
        <v>3300</v>
      </c>
      <c r="D12038" s="5"/>
      <c r="E12038" s="5" t="str">
        <f t="shared" si="620"/>
        <v>UROLOGIA-PISO 11</v>
      </c>
      <c r="F12038" s="5" t="str">
        <f>"Descripcion: ESCALA DE UN PASO Estado: Bueno Placa anterior: 000027462 Material: METALICO Color: NEGRO CON GRIS Referencia:  Observacion:  Placa padre: Tipo adquisicion: Entidad"</f>
        <v>Descripcion: ESCALA DE UN PASO Estado: Bueno Placa anterior: 000027462 Material: METALICO Color: NEGRO CON GRIS Referencia:  Observacion:  Placa padre: Tipo adquisicion: Entidad</v>
      </c>
      <c r="G12038" s="5"/>
    </row>
    <row r="12039" spans="1:7" ht="58.5" customHeight="1" x14ac:dyDescent="0.25">
      <c r="A12039" s="5" t="str">
        <f>"H0010808"</f>
        <v>H0010808</v>
      </c>
      <c r="B12039" s="5" t="str">
        <f>"BIOMBO METALICO DE 3 CUERPOS"</f>
        <v>BIOMBO METALICO DE 3 CUERPOS</v>
      </c>
      <c r="C12039" s="6">
        <v>9240</v>
      </c>
      <c r="D12039" s="5"/>
      <c r="E12039" s="5" t="str">
        <f t="shared" si="620"/>
        <v>UROLOGIA-PISO 11</v>
      </c>
      <c r="F12039" s="5" t="str">
        <f>"Descripcion: BIOMBO TIPO B (3 CUERPOS) Estado: Bueno Placa anterior: 000024889 Material: METALICO Color: BLANCO Referencia:  Observacion:  Placa padre: Tipo adquisicion: Entidad"</f>
        <v>Descripcion: BIOMBO TIPO B (3 CUERPOS) Estado: Bueno Placa anterior: 000024889 Material: METALICO Color: BLANCO Referencia:  Observacion:  Placa padre: Tipo adquisicion: Entidad</v>
      </c>
      <c r="G12039" s="5"/>
    </row>
    <row r="12040" spans="1:7" ht="58.5" customHeight="1" x14ac:dyDescent="0.25">
      <c r="A12040" s="5" t="str">
        <f>"H0010809"</f>
        <v>H0010809</v>
      </c>
      <c r="B12040" s="5" t="str">
        <f>"MESA (CARRO) DE CURACIONES"</f>
        <v>MESA (CARRO) DE CURACIONES</v>
      </c>
      <c r="C12040" s="6">
        <v>4655.93</v>
      </c>
      <c r="D12040" s="5"/>
      <c r="E12040" s="5" t="str">
        <f t="shared" ref="E12040:E12071" si="621">"UROLOGIA-PISO 11"</f>
        <v>UROLOGIA-PISO 11</v>
      </c>
      <c r="F12040" s="5" t="str">
        <f>"Descripcion: MESA (CARRO) DE CURACIONES Estado: Bueno Placa anterior: 000021603 Material: METALICO Color:  GRIS Referencia:  Observacion: EL BIEN TIENE PLACA ANTERIOR  000027460  CARRO DE CURACIONES Placa padre: Tipo adquisicion: Entidad"</f>
        <v>Descripcion: MESA (CARRO) DE CURACIONES Estado: Bueno Placa anterior: 000021603 Material: METALICO Color:  GRIS Referencia:  Observacion: EL BIEN TIENE PLACA ANTERIOR  000027460  CARRO DE CURACIONES Placa padre: Tipo adquisicion: Entidad</v>
      </c>
      <c r="G12040" s="5"/>
    </row>
    <row r="12041" spans="1:7" ht="58.5" customHeight="1" x14ac:dyDescent="0.25">
      <c r="A12041" s="5" t="str">
        <f>"H0010810"</f>
        <v>H0010810</v>
      </c>
      <c r="B12041" s="5" t="str">
        <f>"VITRINA DE 1 CUERPO"</f>
        <v>VITRINA DE 1 CUERPO</v>
      </c>
      <c r="C12041" s="6">
        <v>20208.78</v>
      </c>
      <c r="D12041" s="5"/>
      <c r="E12041" s="5" t="str">
        <f t="shared" si="621"/>
        <v>UROLOGIA-PISO 11</v>
      </c>
      <c r="F12041" s="5" t="str">
        <f>"Descripcion: VITRINA METALICA Estado: Bueno Placa anterior: 000006907 Material: METALICO Color: GRIS Referencia:  Observacion:  Placa padre: Tipo adquisicion: Entidad"</f>
        <v>Descripcion: VITRINA METALICA Estado: Bueno Placa anterior: 000006907 Material: METALICO Color: GRIS Referencia:  Observacion:  Placa padre: Tipo adquisicion: Entidad</v>
      </c>
      <c r="G12041" s="5"/>
    </row>
    <row r="12042" spans="1:7" ht="58.5" customHeight="1" x14ac:dyDescent="0.25">
      <c r="A12042" s="5" t="str">
        <f>"H0010811"</f>
        <v>H0010811</v>
      </c>
      <c r="B12042" s="5" t="str">
        <f>"POTE (TARRO) ACERO INXODABLE CON TAPA MEDIANO"</f>
        <v>POTE (TARRO) ACERO INXODABLE CON TAPA MEDIANO</v>
      </c>
      <c r="C12042" s="6">
        <v>13179</v>
      </c>
      <c r="D12042" s="5"/>
      <c r="E12042" s="5" t="str">
        <f t="shared" si="621"/>
        <v>UROLOGIA-PISO 11</v>
      </c>
      <c r="F12042" s="5" t="str">
        <f>"Descripcion: TARRO NIQUELADO Estado: Bueno Placa anterior: 000006904 Material: ACERO INOXIDABLE Color:  Referencia:  Observacion:  Placa padre: Tipo adquisicion: Entidad"</f>
        <v>Descripcion: TARRO NIQUELADO Estado: Bueno Placa anterior: 000006904 Material: ACERO INOXIDABLE Color:  Referencia:  Observacion:  Placa padre: Tipo adquisicion: Entidad</v>
      </c>
      <c r="G12042" s="5"/>
    </row>
    <row r="12043" spans="1:7" ht="58.5" customHeight="1" x14ac:dyDescent="0.25">
      <c r="A12043" s="5" t="str">
        <f>"H0010812"</f>
        <v>H0010812</v>
      </c>
      <c r="B12043" s="5" t="str">
        <f>"POTE (TARRO) ACERO INXODABLE CON TAPA MEDIANO"</f>
        <v>POTE (TARRO) ACERO INXODABLE CON TAPA MEDIANO</v>
      </c>
      <c r="C12043" s="6">
        <v>13179</v>
      </c>
      <c r="D12043" s="5"/>
      <c r="E12043" s="5" t="str">
        <f t="shared" si="621"/>
        <v>UROLOGIA-PISO 11</v>
      </c>
      <c r="F12043" s="5" t="str">
        <f>"Descripcion: TARRO NIQUELADO Estado: Bueno Placa anterior: 000006906 Material: ACERO INOXIDABLE Color:  Referencia:  Observacion:  Placa padre: Tipo adquisicion: Entidad"</f>
        <v>Descripcion: TARRO NIQUELADO Estado: Bueno Placa anterior: 000006906 Material: ACERO INOXIDABLE Color:  Referencia:  Observacion:  Placa padre: Tipo adquisicion: Entidad</v>
      </c>
      <c r="G12043" s="5"/>
    </row>
    <row r="12044" spans="1:7" ht="58.5" customHeight="1" x14ac:dyDescent="0.25">
      <c r="A12044" s="5" t="str">
        <f>"H0010813"</f>
        <v>H0010813</v>
      </c>
      <c r="B12044" s="5" t="str">
        <f>"POTE (TARRO) ACERO INXODABLE CON TAPA MEDIANO"</f>
        <v>POTE (TARRO) ACERO INXODABLE CON TAPA MEDIANO</v>
      </c>
      <c r="C12044" s="6">
        <v>13179</v>
      </c>
      <c r="D12044" s="5"/>
      <c r="E12044" s="5" t="str">
        <f t="shared" si="621"/>
        <v>UROLOGIA-PISO 11</v>
      </c>
      <c r="F12044" s="5" t="str">
        <f>"Descripcion: TARRO NIQUELADO Estado: Bueno Placa anterior: 000006876 Material: ACERO INOXIDABLE Color:  Referencia:  Observacion:  Placa padre: Tipo adquisicion: Entidad"</f>
        <v>Descripcion: TARRO NIQUELADO Estado: Bueno Placa anterior: 000006876 Material: ACERO INOXIDABLE Color:  Referencia:  Observacion:  Placa padre: Tipo adquisicion: Entidad</v>
      </c>
      <c r="G12044" s="5"/>
    </row>
    <row r="12045" spans="1:7" ht="58.5" customHeight="1" x14ac:dyDescent="0.25">
      <c r="A12045" s="5" t="str">
        <f>"H0010814"</f>
        <v>H0010814</v>
      </c>
      <c r="B12045" s="5" t="str">
        <f>"MESA METALICA AUXILIAR"</f>
        <v>MESA METALICA AUXILIAR</v>
      </c>
      <c r="C12045" s="6">
        <v>6500</v>
      </c>
      <c r="D12045" s="5"/>
      <c r="E12045" s="5" t="str">
        <f t="shared" si="621"/>
        <v>UROLOGIA-PISO 11</v>
      </c>
      <c r="F12045" s="5" t="str">
        <f>"Descripcion: MESA TIPO H (MECANOGRAFA CON ALA) Estado: Bueno Placa anterior: 000006911 Material: METALICO CON MESON EN FORMICA Color: GRIS CON MARRON Referencia:  Observacion:  Placa padre: Tipo adquisicion: Entidad"</f>
        <v>Descripcion: MESA TIPO H (MECANOGRAFA CON ALA) Estado: Bueno Placa anterior: 000006911 Material: METALICO CON MESON EN FORMICA Color: GRIS CON MARRON Referencia:  Observacion:  Placa padre: Tipo adquisicion: Entidad</v>
      </c>
      <c r="G12045" s="5"/>
    </row>
    <row r="12046" spans="1:7" ht="58.5" customHeight="1" x14ac:dyDescent="0.25">
      <c r="A12046" s="5" t="str">
        <f>"H0010815"</f>
        <v>H0010815</v>
      </c>
      <c r="B12046" s="5" t="str">
        <f>"ESCALERILLA DE 2 PASOS"</f>
        <v>ESCALERILLA DE 2 PASOS</v>
      </c>
      <c r="C12046" s="6">
        <v>4455</v>
      </c>
      <c r="D12046" s="5"/>
      <c r="E12046" s="5" t="str">
        <f t="shared" si="621"/>
        <v>UROLOGIA-PISO 11</v>
      </c>
      <c r="F12046" s="5" t="str">
        <f>"Descripcion: ESCALA TIPO B (2 PASOS) Estado: Regular Placa anterior: 000006874 Material: METALICO CON PASOS EN MADERA Color: NEGRO Referencia:  Observacion:  Placa padre: Tipo adquisicion: Entidad"</f>
        <v>Descripcion: ESCALA TIPO B (2 PASOS) Estado: Regular Placa anterior: 000006874 Material: METALICO CON PASOS EN MADERA Color: NEGRO Referencia:  Observacion:  Placa padre: Tipo adquisicion: Entidad</v>
      </c>
      <c r="G12046" s="5"/>
    </row>
    <row r="12047" spans="1:7" ht="58.5" customHeight="1" x14ac:dyDescent="0.25">
      <c r="A12047" s="5" t="str">
        <f>"H0010816"</f>
        <v>H0010816</v>
      </c>
      <c r="B12047" s="5" t="str">
        <f>"CAMILLA DE TRASLADO CON BARANDAS"</f>
        <v>CAMILLA DE TRASLADO CON BARANDAS</v>
      </c>
      <c r="C12047" s="6">
        <v>1693600</v>
      </c>
      <c r="D12047" s="5" t="s">
        <v>166</v>
      </c>
      <c r="E12047" s="5" t="str">
        <f t="shared" si="621"/>
        <v>UROLOGIA-PISO 11</v>
      </c>
      <c r="F12047" s="5" t="str">
        <f>"Descripcion: CAMILLA DE TRASLADO CON BARANDAS Estado: Bueno Placa anterior: 000031348 Material: METALICO Color: GRIS Referencia:  Observacion: AUTORIZADO CONCILIAR EN CRUCE GENERAL Placa padre: Tipo adquisicion: Entidad"</f>
        <v>Descripcion: CAMILLA DE TRASLADO CON BARANDAS Estado: Bueno Placa anterior: 000031348 Material: METALICO Color: GRIS Referencia:  Observacion: AUTORIZADO CONCILIAR EN CRUCE GENERAL Placa padre: Tipo adquisicion: Entidad</v>
      </c>
      <c r="G12047" s="5"/>
    </row>
    <row r="12048" spans="1:7" ht="58.5" customHeight="1" x14ac:dyDescent="0.25">
      <c r="A12048" s="5" t="str">
        <f>"H0010817"</f>
        <v>H0010817</v>
      </c>
      <c r="B12048" s="5" t="str">
        <f>"NEGATOSCOPIO"</f>
        <v>NEGATOSCOPIO</v>
      </c>
      <c r="C12048" s="6">
        <v>21605</v>
      </c>
      <c r="D12048" s="5"/>
      <c r="E12048" s="5" t="str">
        <f t="shared" si="621"/>
        <v>UROLOGIA-PISO 11</v>
      </c>
      <c r="F12048" s="5" t="str">
        <f>"Descripcion: NEGATOSCOPIO DE 1 CUERPO Estado: Bueno Placa anterior: 000006886 Material: METALICO Color: VERDE  Referencia:  Observacion:  Placa padre: Tipo adquisicion: Entidad"</f>
        <v>Descripcion: NEGATOSCOPIO DE 1 CUERPO Estado: Bueno Placa anterior: 000006886 Material: METALICO Color: VERDE  Referencia:  Observacion:  Placa padre: Tipo adquisicion: Entidad</v>
      </c>
      <c r="G12048" s="5" t="str">
        <f>"UN CUERPO"</f>
        <v>UN CUERPO</v>
      </c>
    </row>
    <row r="12049" spans="1:7" ht="58.5" customHeight="1" x14ac:dyDescent="0.25">
      <c r="A12049" s="5" t="str">
        <f>"H0010818"</f>
        <v>H0010818</v>
      </c>
      <c r="B12049" s="5" t="str">
        <f>"COMPUTADOR TODO EN UNO"</f>
        <v>COMPUTADOR TODO EN UNO</v>
      </c>
      <c r="C12049" s="6">
        <v>2470000</v>
      </c>
      <c r="D12049" s="5" t="s">
        <v>6</v>
      </c>
      <c r="E12049" s="5" t="str">
        <f t="shared" si="621"/>
        <v>UROLOGIA-PISO 11</v>
      </c>
      <c r="F12049" s="5" t="str">
        <f>"Descripcion: EQUIPO DE COMPUTO TODO EN UNO CON PROCESADOR INTEL i5 Estado: Bueno Placa anterior: 000037020 Material: PLASTICO Color: NEGRO Referencia:  Observacion:  Placa anterior:, Placa nueva=H0010820, Descripcion:MOUSE OPTICO, Serial:44MG210, Marca:LE"&amp; "NOVO, Modelo:, Material:PLASTICO, Color:NEGRO,   Referencia:, Placa anterior:, Placa nueva=H0010819, Descripcion:TECLADO, Serial:8258874, Marca:LENOVO, Modelo:, Material:PLASTICO, Color:NEGRO,   Referencia: Placa padre: Tipo adquisicion: Entidad"</f>
        <v>Descripcion: EQUIPO DE COMPUTO TODO EN UNO CON PROCESADOR INTEL i5 Estado: Bueno Placa anterior: 000037020 Material: PLASTICO Color: NEGRO Referencia:  Observacion:  Placa anterior:, Placa nueva=H0010820, Descripcion:MOUSE OPTICO, Serial:44MG210, Marca:LENOVO, Modelo:, Material:PLASTICO, Color:NEGRO,   Referencia:, Placa anterior:, Placa nueva=H0010819, Descripcion:TECLADO, Serial:8258874, Marca:LENOVO, Modelo:, Material:PLASTICO, Color:NEGRO,   Referencia: Placa padre: Tipo adquisicion: Entidad</v>
      </c>
      <c r="G12049" s="5"/>
    </row>
    <row r="12050" spans="1:7" ht="58.5" customHeight="1" x14ac:dyDescent="0.25">
      <c r="A12050" s="5" t="str">
        <f>"H0010822"</f>
        <v>H0010822</v>
      </c>
      <c r="B12050" s="5" t="str">
        <f>"ESTABILIZADOR  PARA COMPUTADOR"</f>
        <v>ESTABILIZADOR  PARA COMPUTADOR</v>
      </c>
      <c r="C12050" s="6">
        <v>150000</v>
      </c>
      <c r="D12050" s="5"/>
      <c r="E12050" s="5" t="str">
        <f t="shared" si="621"/>
        <v>UROLOGIA-PISO 11</v>
      </c>
      <c r="F12050" s="5" t="str">
        <f>"Descripcion: ESTABILIZADOR DE VOLTAGE  Estado: Bueno Placa anterior: 000006900 Material: METALICO Color: NEGRO Referencia:  Observacion:  Placa padre: Tipo adquisicion: Entidad"</f>
        <v>Descripcion: ESTABILIZADOR DE VOLTAGE  Estado: Bueno Placa anterior: 000006900 Material: METALICO Color: NEGRO Referencia:  Observacion:  Placa padre: Tipo adquisicion: Entidad</v>
      </c>
      <c r="G12050" s="5"/>
    </row>
    <row r="12051" spans="1:7" ht="58.5" customHeight="1" x14ac:dyDescent="0.25">
      <c r="A12051" s="5" t="str">
        <f>"H0010824"</f>
        <v>H0010824</v>
      </c>
      <c r="B12051" s="5" t="str">
        <f>"ESCRITORIO METALICO 2 GAVETAS"</f>
        <v>ESCRITORIO METALICO 2 GAVETAS</v>
      </c>
      <c r="C12051" s="6">
        <v>5962</v>
      </c>
      <c r="D12051" s="5"/>
      <c r="E12051" s="5" t="str">
        <f t="shared" si="621"/>
        <v>UROLOGIA-PISO 11</v>
      </c>
      <c r="F12051" s="5" t="str">
        <f>"Descripcion: ESCRITORIO DE 2 GAVETAS Estado: Bueno Placa anterior: 000006879 Material: METALICO CON MESON EN FORMICA Color: GRIS CON BLANCO Referencia:  Observacion:  Placa padre: Tipo adquisicion: Entidad"</f>
        <v>Descripcion: ESCRITORIO DE 2 GAVETAS Estado: Bueno Placa anterior: 000006879 Material: METALICO CON MESON EN FORMICA Color: GRIS CON BLANCO Referencia:  Observacion:  Placa padre: Tipo adquisicion: Entidad</v>
      </c>
      <c r="G12051" s="5"/>
    </row>
    <row r="12052" spans="1:7" ht="58.5" customHeight="1" x14ac:dyDescent="0.25">
      <c r="A12052" s="5" t="str">
        <f>"H0010831"</f>
        <v>H0010831</v>
      </c>
      <c r="B12052" s="5" t="str">
        <f>"AIRE ACONDICIONADO TIPO SPLIT 12000 BTU"</f>
        <v>AIRE ACONDICIONADO TIPO SPLIT 12000 BTU</v>
      </c>
      <c r="C12052" s="6">
        <v>1836280</v>
      </c>
      <c r="D12052" s="5" t="s">
        <v>52</v>
      </c>
      <c r="E12052" s="5" t="str">
        <f t="shared" si="621"/>
        <v>UROLOGIA-PISO 11</v>
      </c>
      <c r="F12052" s="5" t="str">
        <f>"Descripcion: AIRE ACODICIONADO BTU 12000 Estado: Bueno Placa anterior: 000036395 Material: PLASTICO Color: BLANCO Referencia:  Observacion:  Placa padre: Tipo adquisicion: Entidad"</f>
        <v>Descripcion: AIRE ACODICIONADO BTU 12000 Estado: Bueno Placa anterior: 000036395 Material: PLASTICO Color: BLANCO Referencia:  Observacion:  Placa padre: Tipo adquisicion: Entidad</v>
      </c>
      <c r="G12052" s="5" t="str">
        <f>"VM12CEN B3"</f>
        <v>VM12CEN B3</v>
      </c>
    </row>
    <row r="12053" spans="1:7" ht="58.5" customHeight="1" x14ac:dyDescent="0.25">
      <c r="A12053" s="5" t="str">
        <f>"H0010832"</f>
        <v>H0010832</v>
      </c>
      <c r="B12053" s="5" t="str">
        <f>"LARINGOSCOPIO ADULTO"</f>
        <v>LARINGOSCOPIO ADULTO</v>
      </c>
      <c r="C12053" s="6">
        <v>40964.89</v>
      </c>
      <c r="D12053" s="5"/>
      <c r="E12053" s="5" t="str">
        <f t="shared" si="621"/>
        <v>UROLOGIA-PISO 11</v>
      </c>
      <c r="F12053" s="5" t="str">
        <f>"Descripcion: LARINGOSCOPIO Estado: Bueno Placa anterior: 000006892 Material: ACERO INOXIDABLE Color:  Referencia:  Observacion:  Placa padre: Tipo adquisicion: Entidad"</f>
        <v>Descripcion: LARINGOSCOPIO Estado: Bueno Placa anterior: 000006892 Material: ACERO INOXIDABLE Color:  Referencia:  Observacion:  Placa padre: Tipo adquisicion: Entidad</v>
      </c>
      <c r="G12053" s="5"/>
    </row>
    <row r="12054" spans="1:7" ht="58.5" customHeight="1" x14ac:dyDescent="0.25">
      <c r="A12054" s="5" t="str">
        <f>"H0010838"</f>
        <v>H0010838</v>
      </c>
      <c r="B12054" s="5" t="str">
        <f>"SILLON (SOFA)"</f>
        <v>SILLON (SOFA)</v>
      </c>
      <c r="C12054" s="6">
        <v>21400</v>
      </c>
      <c r="D12054" s="5"/>
      <c r="E12054" s="5" t="str">
        <f t="shared" si="621"/>
        <v>UROLOGIA-PISO 11</v>
      </c>
      <c r="F12054" s="5" t="str">
        <f>"Descripcion: SOFA LIZZY Estado: Bueno Placa anterior: 000027457 Material: TAPIZADO EN SEMICUERO Color: NEGRO Referencia:  Observacion:  Placa padre: Tipo adquisicion: Entidad"</f>
        <v>Descripcion: SOFA LIZZY Estado: Bueno Placa anterior: 000027457 Material: TAPIZADO EN SEMICUERO Color: NEGRO Referencia:  Observacion:  Placa padre: Tipo adquisicion: Entidad</v>
      </c>
      <c r="G12054" s="5"/>
    </row>
    <row r="12055" spans="1:7" ht="58.5" customHeight="1" x14ac:dyDescent="0.25">
      <c r="A12055" s="5" t="str">
        <f>"H0010840"</f>
        <v>H0010840</v>
      </c>
      <c r="B12055" s="5" t="str">
        <f>"SILLA INTERLOCUTORA (FIJA) SIN BRAZOS"</f>
        <v>SILLA INTERLOCUTORA (FIJA) SIN BRAZOS</v>
      </c>
      <c r="C12055" s="6">
        <v>6949.64</v>
      </c>
      <c r="D12055" s="5"/>
      <c r="E12055" s="5" t="str">
        <f t="shared" si="621"/>
        <v>UROLOGIA-PISO 11</v>
      </c>
      <c r="F12055" s="5" t="str">
        <f>"Descripcion: SILLA FIJA TIPO A COLOR GRIS Estado: Bueno Placa anterior: 000005776 Material: METALICO TAPIZADO EN SEMICUERO  Color: GRIS Referencia:  Observacion:  Placa padre: Tipo adquisicion: Entidad"</f>
        <v>Descripcion: SILLA FIJA TIPO A COLOR GRIS Estado: Bueno Placa anterior: 000005776 Material: METALICO TAPIZADO EN SEMICUERO  Color: GRIS Referencia:  Observacion:  Placa padre: Tipo adquisicion: Entidad</v>
      </c>
      <c r="G12055" s="5"/>
    </row>
    <row r="12056" spans="1:7" ht="58.5" customHeight="1" x14ac:dyDescent="0.25">
      <c r="A12056" s="5" t="str">
        <f>"H0022288"</f>
        <v>H0022288</v>
      </c>
      <c r="B12056" s="5" t="str">
        <f>"MONITOR DE SIGNOS VITALES"</f>
        <v>MONITOR DE SIGNOS VITALES</v>
      </c>
      <c r="C12056" s="6">
        <v>4756000</v>
      </c>
      <c r="D12056" s="5" t="s">
        <v>262</v>
      </c>
      <c r="E12056" s="5" t="str">
        <f t="shared" si="621"/>
        <v>UROLOGIA-PISO 11</v>
      </c>
      <c r="F12056" s="5"/>
      <c r="G12056" s="5" t="str">
        <f>"M50"</f>
        <v>M50</v>
      </c>
    </row>
    <row r="12057" spans="1:7" ht="58.5" customHeight="1" x14ac:dyDescent="0.25">
      <c r="A12057" s="5" t="str">
        <f>"H0022431"</f>
        <v>H0022431</v>
      </c>
      <c r="B12057" s="5" t="str">
        <f>"MARTILLO DE REFLEJOS"</f>
        <v>MARTILLO DE REFLEJOS</v>
      </c>
      <c r="C12057" s="6">
        <v>18505.48</v>
      </c>
      <c r="D12057" s="5" t="s">
        <v>455</v>
      </c>
      <c r="E12057" s="5" t="str">
        <f t="shared" si="621"/>
        <v>UROLOGIA-PISO 11</v>
      </c>
      <c r="F12057" s="5"/>
      <c r="G12057" s="5"/>
    </row>
    <row r="12058" spans="1:7" ht="58.5" customHeight="1" x14ac:dyDescent="0.25">
      <c r="A12058" s="5" t="str">
        <f>"H0024300"</f>
        <v>H0024300</v>
      </c>
      <c r="B12058" s="5" t="str">
        <f>"EQUIPO DE ORGANOS PORTATIL"</f>
        <v>EQUIPO DE ORGANOS PORTATIL</v>
      </c>
      <c r="C12058" s="6">
        <v>510568</v>
      </c>
      <c r="D12058" s="5" t="s">
        <v>64</v>
      </c>
      <c r="E12058" s="5" t="str">
        <f t="shared" si="621"/>
        <v>UROLOGIA-PISO 11</v>
      </c>
      <c r="F12058" s="5"/>
      <c r="G12058" s="5"/>
    </row>
    <row r="12059" spans="1:7" ht="58.5" customHeight="1" x14ac:dyDescent="0.25">
      <c r="A12059" s="5" t="str">
        <f>"H0024550"</f>
        <v>H0024550</v>
      </c>
      <c r="B1205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2059" s="6">
        <v>2600000</v>
      </c>
      <c r="D12059" s="5" t="s">
        <v>36</v>
      </c>
      <c r="E12059" s="5" t="str">
        <f t="shared" si="621"/>
        <v>UROLOGIA-PISO 11</v>
      </c>
      <c r="F12059" s="5"/>
      <c r="G12059" s="5"/>
    </row>
    <row r="12060" spans="1:7" ht="58.5" customHeight="1" x14ac:dyDescent="0.25">
      <c r="A12060" s="5" t="str">
        <f>"H0025339"</f>
        <v>H0025339</v>
      </c>
      <c r="B1206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2060" s="6">
        <v>312156</v>
      </c>
      <c r="D12060" s="5" t="s">
        <v>10</v>
      </c>
      <c r="E12060" s="5" t="str">
        <f t="shared" si="621"/>
        <v>UROLOGIA-PISO 11</v>
      </c>
      <c r="F12060" s="5"/>
      <c r="G12060" s="5"/>
    </row>
    <row r="12061" spans="1:7" ht="58.5" customHeight="1" x14ac:dyDescent="0.25">
      <c r="A12061" s="5" t="str">
        <f>"H0027392"</f>
        <v>H0027392</v>
      </c>
      <c r="B12061" s="5" t="str">
        <f>"CAMILLA PARA EXAMEN"</f>
        <v>CAMILLA PARA EXAMEN</v>
      </c>
      <c r="C12061" s="6">
        <v>210833</v>
      </c>
      <c r="D12061" s="5" t="s">
        <v>84</v>
      </c>
      <c r="E12061" s="5" t="str">
        <f t="shared" si="621"/>
        <v>UROLOGIA-PISO 11</v>
      </c>
      <c r="F12061" s="5"/>
      <c r="G12061" s="5"/>
    </row>
    <row r="12062" spans="1:7" ht="58.5" customHeight="1" x14ac:dyDescent="0.25">
      <c r="A12062" s="5" t="str">
        <f>"H0027441"</f>
        <v>H0027441</v>
      </c>
      <c r="B12062" s="5" t="str">
        <f>"LECTOR DE HUELLAS DIGITALES"</f>
        <v>LECTOR DE HUELLAS DIGITALES</v>
      </c>
      <c r="C12062" s="6">
        <v>234000.41</v>
      </c>
      <c r="D12062" s="5" t="s">
        <v>83</v>
      </c>
      <c r="E12062" s="5" t="str">
        <f t="shared" si="621"/>
        <v>UROLOGIA-PISO 11</v>
      </c>
      <c r="F12062" s="5"/>
      <c r="G12062" s="5"/>
    </row>
    <row r="12063" spans="1:7" ht="58.5" customHeight="1" x14ac:dyDescent="0.25">
      <c r="A12063" s="5" t="str">
        <f>"H0027548"</f>
        <v>H0027548</v>
      </c>
      <c r="B12063" s="5" t="str">
        <f>"LECTOR DE HUELLAS DIGITALES"</f>
        <v>LECTOR DE HUELLAS DIGITALES</v>
      </c>
      <c r="C12063" s="6">
        <v>234000.41</v>
      </c>
      <c r="D12063" s="5" t="s">
        <v>83</v>
      </c>
      <c r="E12063" s="5" t="str">
        <f t="shared" si="621"/>
        <v>UROLOGIA-PISO 11</v>
      </c>
      <c r="F12063" s="5"/>
      <c r="G12063" s="5"/>
    </row>
    <row r="12064" spans="1:7" ht="58.5" customHeight="1" x14ac:dyDescent="0.25">
      <c r="A12064" s="5" t="str">
        <f>"H0027562"</f>
        <v>H0027562</v>
      </c>
      <c r="B12064" s="5" t="str">
        <f>"LECTOR DE HUELLAS DIGITALES"</f>
        <v>LECTOR DE HUELLAS DIGITALES</v>
      </c>
      <c r="C12064" s="6">
        <v>234000.41</v>
      </c>
      <c r="D12064" s="5" t="s">
        <v>83</v>
      </c>
      <c r="E12064" s="5" t="str">
        <f t="shared" si="621"/>
        <v>UROLOGIA-PISO 11</v>
      </c>
      <c r="F12064" s="5"/>
      <c r="G12064" s="5"/>
    </row>
    <row r="12065" spans="1:7" ht="58.5" customHeight="1" x14ac:dyDescent="0.25">
      <c r="A12065" s="5" t="str">
        <f>"H0028953"</f>
        <v>H0028953</v>
      </c>
      <c r="B12065" s="5" t="str">
        <f>"SILLA HERGONOMICA CON SISTEMA HIDRAULICO"</f>
        <v>SILLA HERGONOMICA CON SISTEMA HIDRAULICO</v>
      </c>
      <c r="C12065" s="6">
        <v>174900</v>
      </c>
      <c r="D12065" s="5" t="s">
        <v>40</v>
      </c>
      <c r="E12065" s="5" t="str">
        <f t="shared" si="621"/>
        <v>UROLOGIA-PISO 11</v>
      </c>
      <c r="F12065" s="5"/>
      <c r="G12065" s="5"/>
    </row>
    <row r="12066" spans="1:7" ht="58.5" customHeight="1" x14ac:dyDescent="0.25">
      <c r="A12066" s="5" t="str">
        <f>"H0029119"</f>
        <v>H0029119</v>
      </c>
      <c r="B12066" s="5" t="str">
        <f>"MESA RIÑONERA"</f>
        <v>MESA RIÑONERA</v>
      </c>
      <c r="C12066" s="6">
        <v>784221.91</v>
      </c>
      <c r="D12066" s="5" t="s">
        <v>13</v>
      </c>
      <c r="E12066" s="5" t="str">
        <f t="shared" si="621"/>
        <v>UROLOGIA-PISO 11</v>
      </c>
      <c r="F12066" s="5"/>
      <c r="G12066" s="5" t="str">
        <f>"M174"</f>
        <v>M174</v>
      </c>
    </row>
    <row r="12067" spans="1:7" ht="58.5" customHeight="1" x14ac:dyDescent="0.25">
      <c r="A12067" s="5" t="str">
        <f>"H0029466"</f>
        <v>H0029466</v>
      </c>
      <c r="B12067" s="5" t="str">
        <f>"LECTOR DE HUELLAS DIGITALES"</f>
        <v>LECTOR DE HUELLAS DIGITALES</v>
      </c>
      <c r="C12067" s="6">
        <v>309400</v>
      </c>
      <c r="D12067" s="5" t="s">
        <v>14</v>
      </c>
      <c r="E12067" s="5" t="str">
        <f t="shared" si="621"/>
        <v>UROLOGIA-PISO 11</v>
      </c>
      <c r="F12067" s="5"/>
      <c r="G12067" s="5"/>
    </row>
    <row r="12068" spans="1:7" ht="58.5" customHeight="1" x14ac:dyDescent="0.25">
      <c r="A12068" s="5" t="str">
        <f>"H0029492"</f>
        <v>H0029492</v>
      </c>
      <c r="B1206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2068" s="6">
        <v>257040</v>
      </c>
      <c r="D12068" s="5" t="s">
        <v>14</v>
      </c>
      <c r="E12068" s="5" t="str">
        <f t="shared" si="621"/>
        <v>UROLOGIA-PISO 11</v>
      </c>
      <c r="F12068" s="5"/>
      <c r="G12068" s="5"/>
    </row>
    <row r="12069" spans="1:7" ht="58.5" customHeight="1" x14ac:dyDescent="0.25">
      <c r="A12069" s="5" t="str">
        <f>"H0031682"</f>
        <v>H0031682</v>
      </c>
      <c r="B12069" s="5" t="str">
        <f>"MESA (CARRO) DE CURACIONES"</f>
        <v>MESA (CARRO) DE CURACIONES</v>
      </c>
      <c r="C12069" s="6">
        <v>190400</v>
      </c>
      <c r="D12069" s="5" t="s">
        <v>156</v>
      </c>
      <c r="E12069" s="5" t="str">
        <f t="shared" si="621"/>
        <v>UROLOGIA-PISO 11</v>
      </c>
      <c r="F12069" s="5"/>
      <c r="G12069" s="5"/>
    </row>
    <row r="12070" spans="1:7" ht="58.5" customHeight="1" x14ac:dyDescent="0.25">
      <c r="A12070" s="5" t="str">
        <f>"H0031703"</f>
        <v>H0031703</v>
      </c>
      <c r="B12070" s="5" t="str">
        <f>"MESA RIÑONERA"</f>
        <v>MESA RIÑONERA</v>
      </c>
      <c r="C12070" s="6">
        <v>928200</v>
      </c>
      <c r="D12070" s="5" t="s">
        <v>156</v>
      </c>
      <c r="E12070" s="5" t="str">
        <f t="shared" si="621"/>
        <v>UROLOGIA-PISO 11</v>
      </c>
      <c r="F12070" s="5"/>
      <c r="G12070" s="5"/>
    </row>
    <row r="12071" spans="1:7" ht="58.5" customHeight="1" x14ac:dyDescent="0.25">
      <c r="A12071" s="5" t="str">
        <f>"H0033048"</f>
        <v>H0033048</v>
      </c>
      <c r="B12071" s="5" t="str">
        <f>"MONITOR DE SIGNOS VITALES"</f>
        <v>MONITOR DE SIGNOS VITALES</v>
      </c>
      <c r="C12071" s="6">
        <v>9470000</v>
      </c>
      <c r="D12071" s="5" t="s">
        <v>119</v>
      </c>
      <c r="E12071" s="5" t="str">
        <f t="shared" si="621"/>
        <v>UROLOGIA-PISO 11</v>
      </c>
      <c r="F12071" s="5"/>
      <c r="G12071" s="5"/>
    </row>
    <row r="12072" spans="1:7" ht="58.5" customHeight="1" x14ac:dyDescent="0.25">
      <c r="A12072" s="5" t="str">
        <f>"H0034104"</f>
        <v>H0034104</v>
      </c>
      <c r="B12072" s="5" t="str">
        <f>"Óptica de visión foroblicua panorámica HOPKINS® 30° 4 mm Ø, longitud 30 cm AUTOCLAVABLE"</f>
        <v>Óptica de visión foroblicua panorámica HOPKINS® 30° 4 mm Ø, longitud 30 cm AUTOCLAVABLE</v>
      </c>
      <c r="C12072" s="6">
        <v>18044209</v>
      </c>
      <c r="D12072" s="5" t="s">
        <v>414</v>
      </c>
      <c r="E12072" s="5" t="str">
        <f t="shared" ref="E12072:E12086" si="622">"UROLOGIA-PISO 11"</f>
        <v>UROLOGIA-PISO 11</v>
      </c>
      <c r="F12072" s="5"/>
      <c r="G12072" s="5"/>
    </row>
    <row r="12073" spans="1:7" ht="58.5" customHeight="1" x14ac:dyDescent="0.25">
      <c r="A12073" s="5" t="str">
        <f>"H0034106"</f>
        <v>H0034106</v>
      </c>
      <c r="B12073" s="5" t="str">
        <f>"Vaina para cisto-uretroscopio 17 Charr.  Con obturator 27026 UO y Adaptadores  LUER-Lock"</f>
        <v>Vaina para cisto-uretroscopio 17 Charr.  Con obturator 27026 UO y Adaptadores  LUER-Lock</v>
      </c>
      <c r="C12073" s="6">
        <v>4663558</v>
      </c>
      <c r="D12073" s="5" t="s">
        <v>415</v>
      </c>
      <c r="E12073" s="5" t="str">
        <f t="shared" si="622"/>
        <v>UROLOGIA-PISO 11</v>
      </c>
      <c r="F12073" s="5"/>
      <c r="G12073" s="5"/>
    </row>
    <row r="12074" spans="1:7" ht="58.5" customHeight="1" x14ac:dyDescent="0.25">
      <c r="A12074" s="5" t="str">
        <f>"H0034107"</f>
        <v>H0034107</v>
      </c>
      <c r="B12074" s="5" t="str">
        <f>"Vaina para cisto-uretroscopio 19 Charr.  Con obturator 27026 DO y Adaptadores  LUER-Lock"</f>
        <v>Vaina para cisto-uretroscopio 19 Charr.  Con obturator 27026 DO y Adaptadores  LUER-Lock</v>
      </c>
      <c r="C12074" s="6">
        <v>4663558</v>
      </c>
      <c r="D12074" s="5" t="s">
        <v>415</v>
      </c>
      <c r="E12074" s="5" t="str">
        <f t="shared" si="622"/>
        <v>UROLOGIA-PISO 11</v>
      </c>
      <c r="F12074" s="5"/>
      <c r="G12074" s="5"/>
    </row>
    <row r="12075" spans="1:7" ht="58.5" customHeight="1" x14ac:dyDescent="0.25">
      <c r="A12075" s="5" t="str">
        <f>"H0034108"</f>
        <v>H0034108</v>
      </c>
      <c r="B12075" s="5" t="str">
        <f>"Inserto de exploración con 2 entradas obturables"</f>
        <v>Inserto de exploración con 2 entradas obturables</v>
      </c>
      <c r="C12075" s="6">
        <v>1281926</v>
      </c>
      <c r="D12075" s="5" t="s">
        <v>415</v>
      </c>
      <c r="E12075" s="5" t="str">
        <f t="shared" si="622"/>
        <v>UROLOGIA-PISO 11</v>
      </c>
      <c r="F12075" s="5"/>
      <c r="G12075" s="5"/>
    </row>
    <row r="12076" spans="1:7" ht="58.5" customHeight="1" x14ac:dyDescent="0.25">
      <c r="A12076" s="5" t="str">
        <f>"H0034109"</f>
        <v>H0034109</v>
      </c>
      <c r="B12076" s="5" t="str">
        <f>"Cabezal camara"</f>
        <v>Cabezal camara</v>
      </c>
      <c r="C12076" s="6">
        <v>19069750</v>
      </c>
      <c r="D12076" s="5" t="s">
        <v>415</v>
      </c>
      <c r="E12076" s="5" t="str">
        <f t="shared" si="622"/>
        <v>UROLOGIA-PISO 11</v>
      </c>
      <c r="F12076" s="5"/>
      <c r="G12076" s="5"/>
    </row>
    <row r="12077" spans="1:7" ht="58.5" customHeight="1" x14ac:dyDescent="0.25">
      <c r="A12077" s="5" t="str">
        <f>"H0034430"</f>
        <v>H0034430</v>
      </c>
      <c r="B12077" s="5" t="str">
        <f>"Consola TELEPACK"</f>
        <v>Consola TELEPACK</v>
      </c>
      <c r="C12077" s="6">
        <v>55211215</v>
      </c>
      <c r="D12077" s="5" t="s">
        <v>331</v>
      </c>
      <c r="E12077" s="5" t="str">
        <f t="shared" si="622"/>
        <v>UROLOGIA-PISO 11</v>
      </c>
      <c r="F12077" s="5"/>
      <c r="G12077" s="5"/>
    </row>
    <row r="12078" spans="1:7" ht="58.5" customHeight="1" x14ac:dyDescent="0.25">
      <c r="A12078" s="5" t="str">
        <f>"H0034479"</f>
        <v>H0034479</v>
      </c>
      <c r="B12078" s="5" t="str">
        <f>"Pinzas para biopsia flexibles, abertura bilateral, 7 Charr., longitud 40 cm"</f>
        <v>Pinzas para biopsia flexibles, abertura bilateral, 7 Charr., longitud 40 cm</v>
      </c>
      <c r="C12078" s="6">
        <v>1843321</v>
      </c>
      <c r="D12078" s="5" t="s">
        <v>331</v>
      </c>
      <c r="E12078" s="5" t="str">
        <f t="shared" si="622"/>
        <v>UROLOGIA-PISO 11</v>
      </c>
      <c r="F12078" s="5"/>
      <c r="G12078" s="5"/>
    </row>
    <row r="12079" spans="1:7" ht="58.5" customHeight="1" x14ac:dyDescent="0.25">
      <c r="A12079" s="5" t="str">
        <f>"H0034561"</f>
        <v>H0034561</v>
      </c>
      <c r="B12079" s="5" t="str">
        <f>"Pinzas para la extracción de cuerpos extraños flexibles, abertura bilateral, 7 Charr. Long 40mm"</f>
        <v>Pinzas para la extracción de cuerpos extraños flexibles, abertura bilateral, 7 Charr. Long 40mm</v>
      </c>
      <c r="C12079" s="6">
        <v>1843321</v>
      </c>
      <c r="D12079" s="5" t="s">
        <v>685</v>
      </c>
      <c r="E12079" s="5" t="str">
        <f t="shared" si="622"/>
        <v>UROLOGIA-PISO 11</v>
      </c>
      <c r="F12079" s="5"/>
      <c r="G12079" s="5"/>
    </row>
    <row r="12080" spans="1:7" ht="58.5" customHeight="1" x14ac:dyDescent="0.25">
      <c r="A12080" s="5" t="str">
        <f>"H0035053"</f>
        <v>H0035053</v>
      </c>
      <c r="B12080" s="5" t="str">
        <f>"Vaina para cisto-uretroscopio 20 Charr.  Con obturator 27026 CO y Adaptadores  LUER-Lock"</f>
        <v>Vaina para cisto-uretroscopio 20 Charr.  Con obturator 27026 CO y Adaptadores  LUER-Lock</v>
      </c>
      <c r="C12080" s="6">
        <v>2594795</v>
      </c>
      <c r="D12080" s="5" t="s">
        <v>22</v>
      </c>
      <c r="E12080" s="5" t="str">
        <f t="shared" si="622"/>
        <v>UROLOGIA-PISO 11</v>
      </c>
      <c r="F12080" s="5"/>
      <c r="G12080" s="5"/>
    </row>
    <row r="12081" spans="1:7" ht="58.5" customHeight="1" x14ac:dyDescent="0.25">
      <c r="A12081" s="5" t="str">
        <f>"H0036604"</f>
        <v>H0036604</v>
      </c>
      <c r="B12081" s="5" t="str">
        <f>"MONITOR DE PACIENTES (DONACION)"</f>
        <v>MONITOR DE PACIENTES (DONACION)</v>
      </c>
      <c r="C12081" s="6">
        <v>4450000</v>
      </c>
      <c r="D12081" s="5" t="s">
        <v>134</v>
      </c>
      <c r="E12081" s="5" t="str">
        <f t="shared" si="622"/>
        <v>UROLOGIA-PISO 11</v>
      </c>
      <c r="F12081" s="5"/>
      <c r="G12081" s="5"/>
    </row>
    <row r="12082" spans="1:7" ht="58.5" customHeight="1" x14ac:dyDescent="0.25">
      <c r="A12082" s="5" t="str">
        <f>"H0037140"</f>
        <v>H0037140</v>
      </c>
      <c r="B12082" s="5" t="str">
        <f>"TALLIMETRO CAPACIDAD 20-205 CM (DONACION)"</f>
        <v>TALLIMETRO CAPACIDAD 20-205 CM (DONACION)</v>
      </c>
      <c r="C12082" s="6">
        <v>1254705.99</v>
      </c>
      <c r="D12082" s="5" t="s">
        <v>136</v>
      </c>
      <c r="E12082" s="5" t="str">
        <f t="shared" si="622"/>
        <v>UROLOGIA-PISO 11</v>
      </c>
      <c r="F12082" s="5"/>
      <c r="G12082" s="5"/>
    </row>
    <row r="12083" spans="1:7" ht="58.5" customHeight="1" x14ac:dyDescent="0.25">
      <c r="A12083" s="5" t="str">
        <f>"H0037207"</f>
        <v>H0037207</v>
      </c>
      <c r="B12083" s="5" t="str">
        <f>"BASCULA: Capacidad: 200 kg, División: 100 g &lt; 150 kg &gt; 200 g, Dimensiones (AxAxP):321 x 61 x 362 mm, Peso: 4,1 kg"</f>
        <v>BASCULA: Capacidad: 200 kg, División: 100 g &lt; 150 kg &gt; 200 g, Dimensiones (AxAxP):321 x 61 x 362 mm, Peso: 4,1 kg</v>
      </c>
      <c r="C12083" s="6">
        <v>3588386.01</v>
      </c>
      <c r="D12083" s="5" t="s">
        <v>160</v>
      </c>
      <c r="E12083" s="5" t="str">
        <f t="shared" si="622"/>
        <v>UROLOGIA-PISO 11</v>
      </c>
      <c r="F12083" s="5"/>
      <c r="G12083" s="5"/>
    </row>
    <row r="12084" spans="1:7" ht="58.5" customHeight="1" x14ac:dyDescent="0.25">
      <c r="A12084" s="5" t="str">
        <f>"H0037433"</f>
        <v>H0037433</v>
      </c>
      <c r="B12084" s="5" t="str">
        <f>"AIRE ACONDICIONADO TIPO MINISPLIT CAPACIDAD 12.000 BTU TECNOLOGIA INVERTER DUAL"</f>
        <v>AIRE ACONDICIONADO TIPO MINISPLIT CAPACIDAD 12.000 BTU TECNOLOGIA INVERTER DUAL</v>
      </c>
      <c r="C12084" s="6">
        <v>3261552</v>
      </c>
      <c r="D12084" s="5" t="s">
        <v>202</v>
      </c>
      <c r="E12084" s="5" t="str">
        <f t="shared" si="622"/>
        <v>UROLOGIA-PISO 11</v>
      </c>
      <c r="F12084" s="5"/>
      <c r="G12084" s="5"/>
    </row>
    <row r="12085" spans="1:7" ht="58.5" customHeight="1" x14ac:dyDescent="0.25">
      <c r="A12085" s="5" t="str">
        <f>"H0037696"</f>
        <v>H0037696</v>
      </c>
      <c r="B12085" s="5" t="str">
        <f>"SILLA GERENTE NIZA MEC. BASCULANTE CON BRAZOS."</f>
        <v>SILLA GERENTE NIZA MEC. BASCULANTE CON BRAZOS.</v>
      </c>
      <c r="C12085" s="6">
        <v>710000.01</v>
      </c>
      <c r="D12085" s="5" t="s">
        <v>30</v>
      </c>
      <c r="E12085" s="5" t="str">
        <f t="shared" si="622"/>
        <v>UROLOGIA-PISO 11</v>
      </c>
      <c r="F12085" s="5"/>
      <c r="G12085" s="5"/>
    </row>
    <row r="12086" spans="1:7" ht="58.5" customHeight="1" x14ac:dyDescent="0.25">
      <c r="A12086" s="5" t="str">
        <f>"H0037697"</f>
        <v>H0037697</v>
      </c>
      <c r="B12086" s="5" t="str">
        <f>"SILLA GERENTE NIZA MEC. BASCULANTE CON BRAZOS."</f>
        <v>SILLA GERENTE NIZA MEC. BASCULANTE CON BRAZOS.</v>
      </c>
      <c r="C12086" s="6">
        <v>710000.01</v>
      </c>
      <c r="D12086" s="5" t="s">
        <v>30</v>
      </c>
      <c r="E12086" s="5" t="str">
        <f t="shared" si="622"/>
        <v>UROLOGIA-PISO 11</v>
      </c>
      <c r="F12086" s="5"/>
      <c r="G12086" s="5"/>
    </row>
    <row r="12087" spans="1:7" ht="58.5" customHeight="1" x14ac:dyDescent="0.25">
      <c r="A12087" s="5" t="str">
        <f>"B0003824"</f>
        <v>B0003824</v>
      </c>
      <c r="B12087" s="5" t="str">
        <f>"LICENCIA OFFICE HOME AND BUSINEES"</f>
        <v>LICENCIA OFFICE HOME AND BUSINEES</v>
      </c>
      <c r="C12087" s="6">
        <v>440800</v>
      </c>
      <c r="D12087" s="5" t="s">
        <v>2</v>
      </c>
      <c r="E12087" s="5" t="str">
        <f t="shared" ref="E12087:E12118" si="623">"RADIOTERAPIA-GLORIA NANCY JAIMES GONZALEZ"</f>
        <v>RADIOTERAPIA-GLORIA NANCY JAIMES GONZALEZ</v>
      </c>
      <c r="F12087" s="5" t="str">
        <f>"Descripcion: LICENCIA OFFICE HOME AND BUSIMESS 2013 Estado: Bueno Placa anterior: 000030821 Material:  Color:  Referencia:  Observacion:  Placa padre: Tipo adquisicion: Entidad"</f>
        <v>Descripcion: LICENCIA OFFICE HOME AND BUSIMESS 2013 Estado: Bueno Placa anterior: 000030821 Material:  Color:  Referencia:  Observacion:  Placa padre: Tipo adquisicion: Entidad</v>
      </c>
      <c r="G12087" s="5"/>
    </row>
    <row r="12088" spans="1:7" ht="58.5" customHeight="1" x14ac:dyDescent="0.25">
      <c r="A12088" s="5" t="str">
        <f>"B0003887"</f>
        <v>B0003887</v>
      </c>
      <c r="B12088" s="5" t="str">
        <f>"LICENCIA OFFICE HOME AND BUSINEES"</f>
        <v>LICENCIA OFFICE HOME AND BUSINEES</v>
      </c>
      <c r="C12088" s="6">
        <v>440800</v>
      </c>
      <c r="D12088" s="5" t="s">
        <v>1</v>
      </c>
      <c r="E12088" s="5" t="str">
        <f t="shared" si="623"/>
        <v>RADIOTERAPIA-GLORIA NANCY JAIMES GONZALEZ</v>
      </c>
      <c r="F12088" s="5" t="str">
        <f>"Descripcion: LICENCIA OFFICE HOME AND BUSIMESS 2013 Estado: Bueno Placa anterior: 000030628 Material:  Color:  Referencia:  Observacion:  Placa padre: H0016044Tipo adquisicion: Entidad"</f>
        <v>Descripcion: LICENCIA OFFICE HOME AND BUSIMESS 2013 Estado: Bueno Placa anterior: 000030628 Material:  Color:  Referencia:  Observacion:  Placa padre: H0016044Tipo adquisicion: Entidad</v>
      </c>
      <c r="G12088" s="5"/>
    </row>
    <row r="12089" spans="1:7" ht="58.5" customHeight="1" x14ac:dyDescent="0.25">
      <c r="A12089" s="5" t="str">
        <f>"B0004608"</f>
        <v>B0004608</v>
      </c>
      <c r="B12089" s="5" t="str">
        <f>"CAL MICROSOT SMALL BUSSINES SE"</f>
        <v>CAL MICROSOT SMALL BUSSINES SE</v>
      </c>
      <c r="C12089" s="6">
        <v>2494000</v>
      </c>
      <c r="D12089" s="5"/>
      <c r="E12089" s="5" t="str">
        <f t="shared" si="623"/>
        <v>RADIOTERAPIA-GLORIA NANCY JAIMES GONZALEZ</v>
      </c>
      <c r="F12089" s="5" t="str">
        <f>"Descripcion: LICENCIA MOLP DE MICROSOFT-WIN SBS SBS CAL SPANISH OLP 5 NL DEVICE CAL Estado: Bueno Placa anterior: 000025614 Material:  Color:  Referencia:  Observacion:  Placa padre: Tipo adquisicion: Entidad"</f>
        <v>Descripcion: LICENCIA MOLP DE MICROSOFT-WIN SBS SBS CAL SPANISH OLP 5 NL DEVICE CAL Estado: Bueno Placa anterior: 000025614 Material:  Color:  Referencia:  Observacion:  Placa padre: Tipo adquisicion: Entidad</v>
      </c>
      <c r="G12089" s="5"/>
    </row>
    <row r="12090" spans="1:7" ht="58.5" customHeight="1" x14ac:dyDescent="0.25">
      <c r="A12090" s="5" t="str">
        <f>"B0004609"</f>
        <v>B0004609</v>
      </c>
      <c r="B12090" s="5" t="str">
        <f>"LICENCIA OFFICE HOME AND BUSINEES"</f>
        <v>LICENCIA OFFICE HOME AND BUSINEES</v>
      </c>
      <c r="C12090" s="6">
        <v>440800</v>
      </c>
      <c r="D12090" s="5" t="s">
        <v>1</v>
      </c>
      <c r="E12090" s="5" t="str">
        <f t="shared" si="623"/>
        <v>RADIOTERAPIA-GLORIA NANCY JAIMES GONZALEZ</v>
      </c>
      <c r="F12090" s="5" t="str">
        <f>"Descripcion: LICENCIA OFFICE HOME AND BUSIMESS 2013 Estado: Bueno Placa anterior: 000030599 Material:  Color:  Referencia:  Observacion:  Placa padre: Tipo adquisicion: Entidad"</f>
        <v>Descripcion: LICENCIA OFFICE HOME AND BUSIMESS 2013 Estado: Bueno Placa anterior: 000030599 Material:  Color:  Referencia:  Observacion:  Placa padre: Tipo adquisicion: Entidad</v>
      </c>
      <c r="G12090" s="5"/>
    </row>
    <row r="12091" spans="1:7" ht="58.5" customHeight="1" x14ac:dyDescent="0.25">
      <c r="A12091" s="5" t="str">
        <f>"B0004610"</f>
        <v>B0004610</v>
      </c>
      <c r="B12091" s="5" t="str">
        <f>"LICENCIA OFFICE HOME AND BUSINEES"</f>
        <v>LICENCIA OFFICE HOME AND BUSINEES</v>
      </c>
      <c r="C12091" s="6">
        <v>440800</v>
      </c>
      <c r="D12091" s="5" t="s">
        <v>1</v>
      </c>
      <c r="E12091" s="5" t="str">
        <f t="shared" si="623"/>
        <v>RADIOTERAPIA-GLORIA NANCY JAIMES GONZALEZ</v>
      </c>
      <c r="F12091" s="5" t="str">
        <f>"Descripcion: LICENCIA OFFICE HOME AND BUSIMESS 2013 Estado: Bueno Placa anterior: 000030627 Material:  Color:  Referencia:  Observacion:  Placa padre: Tipo adquisicion: Entidad"</f>
        <v>Descripcion: LICENCIA OFFICE HOME AND BUSIMESS 2013 Estado: Bueno Placa anterior: 000030627 Material:  Color:  Referencia:  Observacion:  Placa padre: Tipo adquisicion: Entidad</v>
      </c>
      <c r="G12091" s="5"/>
    </row>
    <row r="12092" spans="1:7" ht="58.5" customHeight="1" x14ac:dyDescent="0.25">
      <c r="A12092" s="5" t="str">
        <f>"B0004611"</f>
        <v>B0004611</v>
      </c>
      <c r="B12092" s="5" t="str">
        <f>"LICENCIA OFFICE HOME AND BUSINEES"</f>
        <v>LICENCIA OFFICE HOME AND BUSINEES</v>
      </c>
      <c r="C12092" s="6">
        <v>440800</v>
      </c>
      <c r="D12092" s="5" t="s">
        <v>2</v>
      </c>
      <c r="E12092" s="5" t="str">
        <f t="shared" si="623"/>
        <v>RADIOTERAPIA-GLORIA NANCY JAIMES GONZALEZ</v>
      </c>
      <c r="F12092" s="5" t="str">
        <f>"Descripcion: LICENCIA OFFICE HOME AND BUSIMESS 2013 Estado: Bueno Placa anterior: 000030822 Material:  Color:  Referencia:  Observacion:  Placa padre: Tipo adquisicion: Entidad"</f>
        <v>Descripcion: LICENCIA OFFICE HOME AND BUSIMESS 2013 Estado: Bueno Placa anterior: 000030822 Material:  Color:  Referencia:  Observacion:  Placa padre: Tipo adquisicion: Entidad</v>
      </c>
      <c r="G12092" s="5"/>
    </row>
    <row r="12093" spans="1:7" ht="58.5" customHeight="1" x14ac:dyDescent="0.25">
      <c r="A12093" s="5" t="str">
        <f>"B0004612"</f>
        <v>B0004612</v>
      </c>
      <c r="B12093" s="5" t="str">
        <f>"LICENCIA OFFICE HOME AND BUSINEES"</f>
        <v>LICENCIA OFFICE HOME AND BUSINEES</v>
      </c>
      <c r="C12093" s="6">
        <v>440800</v>
      </c>
      <c r="D12093" s="5" t="s">
        <v>2</v>
      </c>
      <c r="E12093" s="5" t="str">
        <f t="shared" si="623"/>
        <v>RADIOTERAPIA-GLORIA NANCY JAIMES GONZALEZ</v>
      </c>
      <c r="F12093" s="5" t="str">
        <f>"Descripcion: LICENCIA OFFICE HOME AND BUSIMESS 2013 Estado: Bueno Placa anterior: 000030823 Material:  Color:  Referencia:  Observacion:  Placa padre: Tipo adquisicion: Entidad"</f>
        <v>Descripcion: LICENCIA OFFICE HOME AND BUSIMESS 2013 Estado: Bueno Placa anterior: 000030823 Material:  Color:  Referencia:  Observacion:  Placa padre: Tipo adquisicion: Entidad</v>
      </c>
      <c r="G12093" s="5"/>
    </row>
    <row r="12094" spans="1:7" ht="58.5" customHeight="1" x14ac:dyDescent="0.25">
      <c r="A12094" s="5" t="str">
        <f>"B0004613"</f>
        <v>B0004613</v>
      </c>
      <c r="B12094" s="5" t="str">
        <f>"LICENCIA OFFICE HOME AND BUSINEES"</f>
        <v>LICENCIA OFFICE HOME AND BUSINEES</v>
      </c>
      <c r="C12094" s="6">
        <v>440800</v>
      </c>
      <c r="D12094" s="5" t="s">
        <v>2</v>
      </c>
      <c r="E12094" s="5" t="str">
        <f t="shared" si="623"/>
        <v>RADIOTERAPIA-GLORIA NANCY JAIMES GONZALEZ</v>
      </c>
      <c r="F12094" s="5" t="str">
        <f>"Descripcion: LICENCIA OFFICE HOME AND BUSIMESS 2013 Estado: Bueno Placa anterior: 000030824 Material:  Color:  Referencia:  Observacion:  Placa padre: Tipo adquisicion: Entidad"</f>
        <v>Descripcion: LICENCIA OFFICE HOME AND BUSIMESS 2013 Estado: Bueno Placa anterior: 000030824 Material:  Color:  Referencia:  Observacion:  Placa padre: Tipo adquisicion: Entidad</v>
      </c>
      <c r="G12094" s="5"/>
    </row>
    <row r="12095" spans="1:7" ht="58.5" customHeight="1" x14ac:dyDescent="0.25">
      <c r="A12095" s="5" t="str">
        <f>"B0005246"</f>
        <v>B0005246</v>
      </c>
      <c r="B12095" s="5" t="str">
        <f>"LARINGOSCOPIO ADULTO"</f>
        <v>LARINGOSCOPIO ADULTO</v>
      </c>
      <c r="C12095" s="6">
        <v>986000</v>
      </c>
      <c r="D12095" s="5" t="s">
        <v>52</v>
      </c>
      <c r="E12095" s="5" t="str">
        <f t="shared" si="623"/>
        <v>RADIOTERAPIA-GLORIA NANCY JAIMES GONZALEZ</v>
      </c>
      <c r="F12095" s="5" t="str">
        <f>"Descripcion: LARINGOSCOPIO CON HOJAS ADULTOS, PEDIATRICAS Y NEONATALES Estado: Bueno Placa anterior: 000036422 Material: ACERO INOXIDABLE Color: PLATEADO Referencia:  Observacion: SE ENCUENTRA EN EL CARRO DE PARO Placa padre: Tipo adquisicion: Entidad"</f>
        <v>Descripcion: LARINGOSCOPIO CON HOJAS ADULTOS, PEDIATRICAS Y NEONATALES Estado: Bueno Placa anterior: 000036422 Material: ACERO INOXIDABLE Color: PLATEADO Referencia:  Observacion: SE ENCUENTRA EN EL CARRO DE PARO Placa padre: Tipo adquisicion: Entidad</v>
      </c>
      <c r="G12095" s="5"/>
    </row>
    <row r="12096" spans="1:7" ht="58.5" customHeight="1" x14ac:dyDescent="0.25">
      <c r="A12096" s="5" t="str">
        <f>"B0005247"</f>
        <v>B0005247</v>
      </c>
      <c r="B12096" s="5" t="str">
        <f>"LARINGOSCOPIO PEDIATRICO"</f>
        <v>LARINGOSCOPIO PEDIATRICO</v>
      </c>
      <c r="C12096" s="6">
        <v>986000</v>
      </c>
      <c r="D12096" s="5" t="s">
        <v>52</v>
      </c>
      <c r="E12096" s="5" t="str">
        <f t="shared" si="623"/>
        <v>RADIOTERAPIA-GLORIA NANCY JAIMES GONZALEZ</v>
      </c>
      <c r="F12096" s="5" t="str">
        <f>"Descripcion: LARINGOSCOPIO CON HOJAS ADULTOS, PEDIATRICAS Y NEONATALES Estado: Bueno Placa anterior: 000036421 Material: ACERO INOXIDABLE Color: PLATEADO Referencia:  Observacion: SE ENCUENTRA EN EL CARRO DE PARO Placa padre: Tipo adquisicion: Entidad"</f>
        <v>Descripcion: LARINGOSCOPIO CON HOJAS ADULTOS, PEDIATRICAS Y NEONATALES Estado: Bueno Placa anterior: 000036421 Material: ACERO INOXIDABLE Color: PLATEADO Referencia:  Observacion: SE ENCUENTRA EN EL CARRO DE PARO Placa padre: Tipo adquisicion: Entidad</v>
      </c>
      <c r="G12096" s="5"/>
    </row>
    <row r="12097" spans="1:7" ht="58.5" customHeight="1" x14ac:dyDescent="0.25">
      <c r="A12097" s="5" t="str">
        <f>"H0004176"</f>
        <v>H0004176</v>
      </c>
      <c r="B12097" s="5" t="str">
        <f>"CUBETA DE ACERO INOXIDABLE CON TAPA MEDIANA"</f>
        <v>CUBETA DE ACERO INOXIDABLE CON TAPA MEDIANA</v>
      </c>
      <c r="C12097" s="6">
        <v>16500</v>
      </c>
      <c r="D12097" s="5"/>
      <c r="E12097" s="5" t="str">
        <f t="shared" si="623"/>
        <v>RADIOTERAPIA-GLORIA NANCY JAIMES GONZALEZ</v>
      </c>
      <c r="F12097" s="5" t="str">
        <f>"Descripcion: CUBETA GRANDE EN ACERO INOXIDABLE CON TAPA 31X16X5 CM Estado: Bueno Placa anterior: 000008668 Material: ACERO Color: PLATA Referencia:  Observacion:  Placa padre: Tipo adquisicion: Entidad"</f>
        <v>Descripcion: CUBETA GRANDE EN ACERO INOXIDABLE CON TAPA 31X16X5 CM Estado: Bueno Placa anterior: 000008668 Material: ACERO Color: PLATA Referencia:  Observacion:  Placa padre: Tipo adquisicion: Entidad</v>
      </c>
      <c r="G12097" s="5"/>
    </row>
    <row r="12098" spans="1:7" ht="58.5" customHeight="1" x14ac:dyDescent="0.25">
      <c r="A12098" s="5" t="str">
        <f>"H0009902"</f>
        <v>H0009902</v>
      </c>
      <c r="B12098" s="5" t="str">
        <f>"EXTINTOR SOLKAFLAM 123 DE 3700GR"</f>
        <v>EXTINTOR SOLKAFLAM 123 DE 3700GR</v>
      </c>
      <c r="C12098" s="6">
        <v>199999.8</v>
      </c>
      <c r="D12098" s="5" t="s">
        <v>686</v>
      </c>
      <c r="E12098" s="5" t="str">
        <f t="shared" si="623"/>
        <v>RADIOTERAPIA-GLORIA NANCY JAIMES GONZALEZ</v>
      </c>
      <c r="F12098" s="5" t="str">
        <f>"Descripcion: Extintor de agente limpio Solkaflam de 3.700 gr, con certificación 2885 Estado: Bueno Placa anterior: 000037249 Material: METALICO Color: BLANCO Referencia:  Observacion:  Placa padre: Tipo adquisicion: Entidad"</f>
        <v>Descripcion: Extintor de agente limpio Solkaflam de 3.700 gr, con certificación 2885 Estado: Bueno Placa anterior: 000037249 Material: METALICO Color: BLANCO Referencia:  Observacion:  Placa padre: Tipo adquisicion: Entidad</v>
      </c>
      <c r="G12098" s="5"/>
    </row>
    <row r="12099" spans="1:7" ht="58.5" customHeight="1" x14ac:dyDescent="0.25">
      <c r="A12099" s="5" t="str">
        <f>"H0009904"</f>
        <v>H0009904</v>
      </c>
      <c r="B12099" s="5" t="str">
        <f>"SILLA TANDEM DE 4 PUESTOS"</f>
        <v>SILLA TANDEM DE 4 PUESTOS</v>
      </c>
      <c r="C12099" s="6">
        <v>740000</v>
      </c>
      <c r="D12099" s="5" t="s">
        <v>529</v>
      </c>
      <c r="E12099" s="5" t="str">
        <f t="shared" si="623"/>
        <v>RADIOTERAPIA-GLORIA NANCY JAIMES GONZALEZ</v>
      </c>
      <c r="F12099" s="5" t="str">
        <f>"Descripcion: SILLAS TANDER LUXURI 4 PUESTOS SIN TAPIZADO Estado: Bueno Placa anterior: 000037180 Material: METALICO Color: NEGRO Referencia:  Observacion:  Placa padre: Tipo adquisicion: Entidad"</f>
        <v>Descripcion: SILLAS TANDER LUXURI 4 PUESTOS SIN TAPIZADO Estado: Bueno Placa anterior: 000037180 Material: METALICO Color: NEGRO Referencia:  Observacion:  Placa padre: Tipo adquisicion: Entidad</v>
      </c>
      <c r="G12099" s="5"/>
    </row>
    <row r="12100" spans="1:7" ht="58.5" customHeight="1" x14ac:dyDescent="0.25">
      <c r="A12100" s="5" t="str">
        <f>"H0009905"</f>
        <v>H0009905</v>
      </c>
      <c r="B12100" s="5" t="str">
        <f>"SILLA TANDEM DE 4 PUESTOS"</f>
        <v>SILLA TANDEM DE 4 PUESTOS</v>
      </c>
      <c r="C12100" s="6">
        <v>740000</v>
      </c>
      <c r="D12100" s="5" t="s">
        <v>529</v>
      </c>
      <c r="E12100" s="5" t="str">
        <f t="shared" si="623"/>
        <v>RADIOTERAPIA-GLORIA NANCY JAIMES GONZALEZ</v>
      </c>
      <c r="F12100" s="5" t="str">
        <f>"Descripcion: SILLAS TANDER LUXURI 4 PUESTOS SIN TAPIZADO Estado: Bueno Placa anterior: 000037181 Material: METALICO Color: NEGRO Referencia:  Observacion:  Placa padre: Tipo adquisicion: Entidad"</f>
        <v>Descripcion: SILLAS TANDER LUXURI 4 PUESTOS SIN TAPIZADO Estado: Bueno Placa anterior: 000037181 Material: METALICO Color: NEGRO Referencia:  Observacion:  Placa padre: Tipo adquisicion: Entidad</v>
      </c>
      <c r="G12100" s="5"/>
    </row>
    <row r="12101" spans="1:7" ht="58.5" customHeight="1" x14ac:dyDescent="0.25">
      <c r="A12101" s="5" t="str">
        <f>"H0009908"</f>
        <v>H0009908</v>
      </c>
      <c r="B12101" s="5" t="str">
        <f>"CAMARA DE VIDEOVIGILANCIA"</f>
        <v>CAMARA DE VIDEOVIGILANCIA</v>
      </c>
      <c r="C12101" s="6">
        <v>186000</v>
      </c>
      <c r="D12101" s="5" t="s">
        <v>147</v>
      </c>
      <c r="E12101" s="5" t="str">
        <f t="shared" si="623"/>
        <v>RADIOTERAPIA-GLORIA NANCY JAIMES GONZALEZ</v>
      </c>
      <c r="F12101" s="5" t="str">
        <f>"Descripcion: TIPO DOMO Estado: Bueno Placa anterior: 000037649 Material: PASTA Color: BLANCO Referencia:  Observacion:  Placa padre: Tipo adquisicion: Entidad"</f>
        <v>Descripcion: TIPO DOMO Estado: Bueno Placa anterior: 000037649 Material: PASTA Color: BLANCO Referencia:  Observacion:  Placa padre: Tipo adquisicion: Entidad</v>
      </c>
      <c r="G12101" s="5"/>
    </row>
    <row r="12102" spans="1:7" ht="58.5" customHeight="1" x14ac:dyDescent="0.25">
      <c r="A12102" s="5" t="str">
        <f>"H0009909"</f>
        <v>H0009909</v>
      </c>
      <c r="B12102" s="5" t="str">
        <f>"CAMARA DE VIDEOVIGILANCIA"</f>
        <v>CAMARA DE VIDEOVIGILANCIA</v>
      </c>
      <c r="C12102" s="6">
        <v>186000</v>
      </c>
      <c r="D12102" s="5" t="s">
        <v>147</v>
      </c>
      <c r="E12102" s="5" t="str">
        <f t="shared" si="623"/>
        <v>RADIOTERAPIA-GLORIA NANCY JAIMES GONZALEZ</v>
      </c>
      <c r="F12102" s="5" t="str">
        <f>"Descripcion: TIPO DOMO Estado: Bueno Placa anterior: 000037650 Material: PASTA Color: BLANCO Referencia:  Observacion:  Placa padre: Tipo adquisicion: Entidad"</f>
        <v>Descripcion: TIPO DOMO Estado: Bueno Placa anterior: 000037650 Material: PASTA Color: BLANCO Referencia:  Observacion:  Placa padre: Tipo adquisicion: Entidad</v>
      </c>
      <c r="G12102" s="5"/>
    </row>
    <row r="12103" spans="1:7" ht="58.5" customHeight="1" x14ac:dyDescent="0.25">
      <c r="A12103" s="5" t="str">
        <f>"H0009910"</f>
        <v>H0009910</v>
      </c>
      <c r="B12103" s="5" t="str">
        <f>"COMPUTADOR DE MESA"</f>
        <v>COMPUTADOR DE MESA</v>
      </c>
      <c r="C12103" s="6">
        <v>1200000</v>
      </c>
      <c r="D12103" s="5"/>
      <c r="E12103" s="5" t="str">
        <f t="shared" si="623"/>
        <v>RADIOTERAPIA-GLORIA NANCY JAIMES GONZALEZ</v>
      </c>
      <c r="F12103" s="5" t="str">
        <f>"Descripcion: . Estado: Bueno Placa anterior:  Material: PASTA Color: NEGRO Referencia: RC93-FCYT9-F79TV-V7RRR-QXFMV Observacion:  Placa anterior:, Placa nueva=H0009913, Descripcion:OPTICO, Serial:LZ416BJ0AG3, Marca:DELL, Modelo:M-UAV-DELL8, Material:PASTA"&amp; ", Color:NEGRO,   Referencia:4K93W, Placa anterior:, Placa nueva=H0009914, Descripcion:CAMARA PC1080 HD, Serial:, Marca:MICROSOFT, Modelo:, Material:METALICO, Color:NEGRO,   Referencia:, Placa anterior:, Placa nueva=H0009912, Descripcion:., Serial:0DJ454-7"&amp; "1581-45J-00PX-A01/A01, Marca:DELL, Modelo:KB212-B, Material:PASTA, Color:NEGRO,   Referencia:0DJ454, Placa anterior:000032796, Placa nueva=H0009911, Descripcion:., Serial:38709918TA, Marca:NEC, Modelo:LCD2090UXi-BK-1, Material:PASTA, Color:NEGRO,   Refere"&amp; "ncia: Placa padre: Tipo adquisicion: Entidad"</f>
        <v>Descripcion: . Estado: Bueno Placa anterior:  Material: PASTA Color: NEGRO Referencia: RC93-FCYT9-F79TV-V7RRR-QXFMV Observacion:  Placa anterior:, Placa nueva=H0009913, Descripcion:OPTICO, Serial:LZ416BJ0AG3, Marca:DELL, Modelo:M-UAV-DELL8, Material:PASTA, Color:NEGRO,   Referencia:4K93W, Placa anterior:, Placa nueva=H0009914, Descripcion:CAMARA PC1080 HD, Serial:, Marca:MICROSOFT, Modelo:, Material:METALICO, Color:NEGRO,   Referencia:, Placa anterior:, Placa nueva=H0009912, Descripcion:., Serial:0DJ454-71581-45J-00PX-A01/A01, Marca:DELL, Modelo:KB212-B, Material:PASTA, Color:NEGRO,   Referencia:0DJ454, Placa anterior:000032796, Placa nueva=H0009911, Descripcion:., Serial:38709918TA, Marca:NEC, Modelo:LCD2090UXi-BK-1, Material:PASTA, Color:NEGRO,   Referencia: Placa padre: Tipo adquisicion: Entidad</v>
      </c>
      <c r="G12103" s="5"/>
    </row>
    <row r="12104" spans="1:7" ht="58.5" customHeight="1" x14ac:dyDescent="0.25">
      <c r="A12104" s="5" t="str">
        <f>"H0009911"</f>
        <v>H0009911</v>
      </c>
      <c r="B12104" s="5" t="str">
        <f>"MONITOR LCD"</f>
        <v>MONITOR LCD</v>
      </c>
      <c r="C12104" s="6">
        <v>450000</v>
      </c>
      <c r="D12104" s="5"/>
      <c r="E12104" s="5" t="str">
        <f t="shared" si="623"/>
        <v>RADIOTERAPIA-GLORIA NANCY JAIMES GONZALEZ</v>
      </c>
      <c r="F12104" s="5" t="str">
        <f>"Descripcion: . Estado: Bueno Placa anterior: 000032796 Material: PASTA Color: NEGRO Referencia:  Observacion:  Placa padre: H0009910Tipo adquisicion: Entidad"</f>
        <v>Descripcion: . Estado: Bueno Placa anterior: 000032796 Material: PASTA Color: NEGRO Referencia:  Observacion:  Placa padre: H0009910Tipo adquisicion: Entidad</v>
      </c>
      <c r="G12104" s="5" t="str">
        <f>"LCD2090UXi-BK-1"</f>
        <v>LCD2090UXi-BK-1</v>
      </c>
    </row>
    <row r="12105" spans="1:7" ht="58.5" customHeight="1" x14ac:dyDescent="0.25">
      <c r="A12105" s="5" t="str">
        <f>"H0009917"</f>
        <v>H0009917</v>
      </c>
      <c r="B12105" s="5" t="str">
        <f t="shared" ref="B12105:B12110" si="624">"CAMARA DE VIDEOVIGILANCIA"</f>
        <v>CAMARA DE VIDEOVIGILANCIA</v>
      </c>
      <c r="C12105" s="6">
        <v>269529</v>
      </c>
      <c r="D12105" s="5" t="s">
        <v>147</v>
      </c>
      <c r="E12105" s="5" t="str">
        <f t="shared" si="623"/>
        <v>RADIOTERAPIA-GLORIA NANCY JAIMES GONZALEZ</v>
      </c>
      <c r="F12105" s="5" t="str">
        <f>"Descripcion: camara tipo bala EXIR HD720p Turbo HD CON LENTE 3.6 MM E ir 40m exterior Estado: Bueno Placa anterior: 000037655 Material: METALICO Color: BLANCO Referencia:  Observacion:  Placa padre: Tipo adquisicion: Entidad"</f>
        <v>Descripcion: camara tipo bala EXIR HD720p Turbo HD CON LENTE 3.6 MM E ir 40m exterior Estado: Bueno Placa anterior: 000037655 Material: METALICO Color: BLANCO Referencia:  Observacion:  Placa padre: Tipo adquisicion: Entidad</v>
      </c>
      <c r="G12105" s="5"/>
    </row>
    <row r="12106" spans="1:7" ht="58.5" customHeight="1" x14ac:dyDescent="0.25">
      <c r="A12106" s="5" t="str">
        <f>"H0009918"</f>
        <v>H0009918</v>
      </c>
      <c r="B12106" s="5" t="str">
        <f t="shared" si="624"/>
        <v>CAMARA DE VIDEOVIGILANCIA</v>
      </c>
      <c r="C12106" s="6">
        <v>269529</v>
      </c>
      <c r="D12106" s="5" t="s">
        <v>147</v>
      </c>
      <c r="E12106" s="5" t="str">
        <f t="shared" si="623"/>
        <v>RADIOTERAPIA-GLORIA NANCY JAIMES GONZALEZ</v>
      </c>
      <c r="F12106" s="5" t="str">
        <f>"Descripcion: camara tipo bala EXIR HD720p Turbo HD CON LENTE 3.6 MM E ir 40m exterior Estado: Bueno Placa anterior: 000037657 Material: METALICO Color: BLANCO Referencia:  Observacion:  Placa padre: Tipo adquisicion: Entidad"</f>
        <v>Descripcion: camara tipo bala EXIR HD720p Turbo HD CON LENTE 3.6 MM E ir 40m exterior Estado: Bueno Placa anterior: 000037657 Material: METALICO Color: BLANCO Referencia:  Observacion:  Placa padre: Tipo adquisicion: Entidad</v>
      </c>
      <c r="G12106" s="5"/>
    </row>
    <row r="12107" spans="1:7" ht="58.5" customHeight="1" x14ac:dyDescent="0.25">
      <c r="A12107" s="5" t="str">
        <f>"H0009920"</f>
        <v>H0009920</v>
      </c>
      <c r="B12107" s="5" t="str">
        <f t="shared" si="624"/>
        <v>CAMARA DE VIDEOVIGILANCIA</v>
      </c>
      <c r="C12107" s="6">
        <v>186000</v>
      </c>
      <c r="D12107" s="5" t="s">
        <v>147</v>
      </c>
      <c r="E12107" s="5" t="str">
        <f t="shared" si="623"/>
        <v>RADIOTERAPIA-GLORIA NANCY JAIMES GONZALEZ</v>
      </c>
      <c r="F12107" s="5" t="str">
        <f>"Descripcion: TIPO BALA Estado: Bueno Placa anterior: 000037651 Material: METALICO Color: BLANCO Referencia:  Observacion:  Placa padre: Tipo adquisicion: Entidad"</f>
        <v>Descripcion: TIPO BALA Estado: Bueno Placa anterior: 000037651 Material: METALICO Color: BLANCO Referencia:  Observacion:  Placa padre: Tipo adquisicion: Entidad</v>
      </c>
      <c r="G12107" s="5"/>
    </row>
    <row r="12108" spans="1:7" ht="58.5" customHeight="1" x14ac:dyDescent="0.25">
      <c r="A12108" s="5" t="str">
        <f>"H0009921"</f>
        <v>H0009921</v>
      </c>
      <c r="B12108" s="5" t="str">
        <f t="shared" si="624"/>
        <v>CAMARA DE VIDEOVIGILANCIA</v>
      </c>
      <c r="C12108" s="6">
        <v>186000</v>
      </c>
      <c r="D12108" s="5" t="s">
        <v>147</v>
      </c>
      <c r="E12108" s="5" t="str">
        <f t="shared" si="623"/>
        <v>RADIOTERAPIA-GLORIA NANCY JAIMES GONZALEZ</v>
      </c>
      <c r="F12108" s="5" t="str">
        <f>"Descripcion: TIPO BALA Estado: Bueno Placa anterior: 000037652 Material: METALICO Color: BLANCO Referencia:  Observacion:  Placa padre: Tipo adquisicion: Entidad"</f>
        <v>Descripcion: TIPO BALA Estado: Bueno Placa anterior: 000037652 Material: METALICO Color: BLANCO Referencia:  Observacion:  Placa padre: Tipo adquisicion: Entidad</v>
      </c>
      <c r="G12108" s="5"/>
    </row>
    <row r="12109" spans="1:7" ht="58.5" customHeight="1" x14ac:dyDescent="0.25">
      <c r="A12109" s="5" t="str">
        <f>"H0009922"</f>
        <v>H0009922</v>
      </c>
      <c r="B12109" s="5" t="str">
        <f t="shared" si="624"/>
        <v>CAMARA DE VIDEOVIGILANCIA</v>
      </c>
      <c r="C12109" s="6">
        <v>186000</v>
      </c>
      <c r="D12109" s="5" t="s">
        <v>147</v>
      </c>
      <c r="E12109" s="5" t="str">
        <f t="shared" si="623"/>
        <v>RADIOTERAPIA-GLORIA NANCY JAIMES GONZALEZ</v>
      </c>
      <c r="F12109" s="5" t="str">
        <f>"Descripcion: TIPO BALA Estado: Bueno Placa anterior: 000037653 Material: METALICO Color: BLANCO Referencia:  Observacion:  Placa padre: Tipo adquisicion: Entidad"</f>
        <v>Descripcion: TIPO BALA Estado: Bueno Placa anterior: 000037653 Material: METALICO Color: BLANCO Referencia:  Observacion:  Placa padre: Tipo adquisicion: Entidad</v>
      </c>
      <c r="G12109" s="5"/>
    </row>
    <row r="12110" spans="1:7" ht="58.5" customHeight="1" x14ac:dyDescent="0.25">
      <c r="A12110" s="5" t="str">
        <f>"H0009923"</f>
        <v>H0009923</v>
      </c>
      <c r="B12110" s="5" t="str">
        <f t="shared" si="624"/>
        <v>CAMARA DE VIDEOVIGILANCIA</v>
      </c>
      <c r="C12110" s="6">
        <v>269529</v>
      </c>
      <c r="D12110" s="5" t="s">
        <v>147</v>
      </c>
      <c r="E12110" s="5" t="str">
        <f t="shared" si="623"/>
        <v>RADIOTERAPIA-GLORIA NANCY JAIMES GONZALEZ</v>
      </c>
      <c r="F12110" s="5" t="str">
        <f>"Descripcion: TIPO BALA Estado: Bueno Placa anterior: 000037658 Material: METALICO Color: BLANCO Referencia:  Observacion:  Placa padre: Tipo adquisicion: Entidad"</f>
        <v>Descripcion: TIPO BALA Estado: Bueno Placa anterior: 000037658 Material: METALICO Color: BLANCO Referencia:  Observacion:  Placa padre: Tipo adquisicion: Entidad</v>
      </c>
      <c r="G12110" s="5"/>
    </row>
    <row r="12111" spans="1:7" ht="58.5" customHeight="1" x14ac:dyDescent="0.25">
      <c r="A12111" s="5" t="str">
        <f>"H0009925"</f>
        <v>H0009925</v>
      </c>
      <c r="B12111" s="5" t="str">
        <f>"RACK (GABINETE) DE SOBREMURO"</f>
        <v>RACK (GABINETE) DE SOBREMURO</v>
      </c>
      <c r="C12111" s="6">
        <v>301600</v>
      </c>
      <c r="D12111" s="5" t="s">
        <v>147</v>
      </c>
      <c r="E12111" s="5" t="str">
        <f t="shared" si="623"/>
        <v>RADIOTERAPIA-GLORIA NANCY JAIMES GONZALEZ</v>
      </c>
      <c r="F12111" s="5" t="str">
        <f>"Descripcion: GABINETE PUERTA FRONTAL ACRILICA Estado: Bueno Placa anterior: 000037663 Material: METALICO Color: NEGRO Referencia:  Observacion:  Placa padre: Tipo adquisicion: Entidad"</f>
        <v>Descripcion: GABINETE PUERTA FRONTAL ACRILICA Estado: Bueno Placa anterior: 000037663 Material: METALICO Color: NEGRO Referencia:  Observacion:  Placa padre: Tipo adquisicion: Entidad</v>
      </c>
      <c r="G12111" s="5"/>
    </row>
    <row r="12112" spans="1:7" ht="58.5" customHeight="1" x14ac:dyDescent="0.25">
      <c r="A12112" s="5" t="str">
        <f>"H0009927"</f>
        <v>H0009927</v>
      </c>
      <c r="B12112" s="5" t="str">
        <f>"PUESTO DE TRABAJO EN L"</f>
        <v>PUESTO DE TRABAJO EN L</v>
      </c>
      <c r="C12112" s="6">
        <v>524000.14</v>
      </c>
      <c r="D12112" s="5" t="s">
        <v>445</v>
      </c>
      <c r="E12112" s="5" t="str">
        <f t="shared" si="623"/>
        <v>RADIOTERAPIA-GLORIA NANCY JAIMES GONZALEZ</v>
      </c>
      <c r="F12112" s="5" t="str">
        <f>"Descripcion: ESCRITORIO AGLOMERADO EN L MADERA.COMPUESTO POR ESCRITORIOS A:1.40X60 DE FONDO DE 3CM DE GROSOR, 1 GAVETA EN MELANINA Y BASE METALICA.B:1X60 DE FONDO 3 CM DE GROSOR, 1 GAVETA EN MELANINA BASE METALICA Estado: Bueno Placa anterior: 000037206 M"&amp; "aterial: FORMICA Color: MADERA Referencia:  Observacion:  Placa padre: Tipo adquisicion: Entidad"</f>
        <v>Descripcion: ESCRITORIO AGLOMERADO EN L MADERA.COMPUESTO POR ESCRITORIOS A:1.40X60 DE FONDO DE 3CM DE GROSOR, 1 GAVETA EN MELANINA Y BASE METALICA.B:1X60 DE FONDO 3 CM DE GROSOR, 1 GAVETA EN MELANINA BASE METALICA Estado: Bueno Placa anterior: 000037206 Material: FORMICA Color: MADERA Referencia:  Observacion:  Placa padre: Tipo adquisicion: Entidad</v>
      </c>
      <c r="G12112" s="5"/>
    </row>
    <row r="12113" spans="1:7" ht="58.5" customHeight="1" x14ac:dyDescent="0.25">
      <c r="A12113" s="5" t="str">
        <f>"H0009928"</f>
        <v>H0009928</v>
      </c>
      <c r="B12113" s="5" t="str">
        <f>"COMPUTADOR DE MESA"</f>
        <v>COMPUTADOR DE MESA</v>
      </c>
      <c r="C12113" s="6">
        <v>1200000</v>
      </c>
      <c r="D12113" s="5"/>
      <c r="E12113" s="5" t="str">
        <f t="shared" si="623"/>
        <v>RADIOTERAPIA-GLORIA NANCY JAIMES GONZALEZ</v>
      </c>
      <c r="F12113" s="5" t="str">
        <f>"Descripcion: CPU HORIZONTAL Estado: Bueno Placa anterior:  Material: METALICO Color: NEGRO Referencia:  Observacion:  Placa anterior:, Placa nueva=H0009929, Descripcion:20 PULGADAS, Serial:38709916TA, Marca:NEC, Modelo:LCD2090UXi-BK-1, Material:PASTA, Col"&amp; "or:NEGRO,   Referencia:, Placa anterior:, Placa nueva=H0009930, Descripcion:., Serial:BDMHE0CHH5VLJ2, Marca:HP, Modelo:KB57211, Material:PASTA, Color:NEGRO,   Referencia:724720-161, Placa anterior:, Placa nueva=H0009931, Descripcion:OPTICO, Serial:, Marca"&amp; ":STARTEC, Modelo:, Material:PASTA, Color:NEGRO,   Referencia: Placa padre: Tipo adquisicion: Entidad"</f>
        <v>Descripcion: CPU HORIZONTAL Estado: Bueno Placa anterior:  Material: METALICO Color: NEGRO Referencia:  Observacion:  Placa anterior:, Placa nueva=H0009929, Descripcion:20 PULGADAS, Serial:38709916TA, Marca:NEC, Modelo:LCD2090UXi-BK-1, Material:PASTA, Color:NEGRO,   Referencia:, Placa anterior:, Placa nueva=H0009930, Descripcion:., Serial:BDMHE0CHH5VLJ2, Marca:HP, Modelo:KB57211, Material:PASTA, Color:NEGRO,   Referencia:724720-161, Placa anterior:, Placa nueva=H0009931, Descripcion:OPTICO, Serial:, Marca:STARTEC, Modelo:, Material:PASTA, Color:NEGRO,   Referencia: Placa padre: Tipo adquisicion: Entidad</v>
      </c>
      <c r="G12113" s="5" t="str">
        <f>"D07S"</f>
        <v>D07S</v>
      </c>
    </row>
    <row r="12114" spans="1:7" ht="58.5" customHeight="1" x14ac:dyDescent="0.25">
      <c r="A12114" s="5" t="str">
        <f>"H0009933"</f>
        <v>H0009933</v>
      </c>
      <c r="B12114" s="5" t="str">
        <f>"COMPUTADOR TODO EN UNO"</f>
        <v>COMPUTADOR TODO EN UNO</v>
      </c>
      <c r="C12114" s="6">
        <v>2470000</v>
      </c>
      <c r="D12114" s="5" t="s">
        <v>6</v>
      </c>
      <c r="E12114" s="5" t="str">
        <f t="shared" si="623"/>
        <v>RADIOTERAPIA-GLORIA NANCY JAIMES GONZALEZ</v>
      </c>
      <c r="F12114" s="5" t="str">
        <f>"Descripcion: EQUIPO DE COMPUTO TODO EN UNO CON PROCESADOR INTEL i5 Estado: Bueno Placa anterior: 000036991 Material: PASTA Color: NEGRO Referencia: 10BD-00FDLS Observacion:  Placa anterior:, Placa nueva=H0009934, Descripcion:., Serial:8259135, Marca:LENOV"&amp; "O, Modelo:KO-0225, Material:PASTA, Color:NEGRO,   Referencia:54Y9424, Placa anterior:, Placa nueva=H0009935, Descripcion:OPTICO, Serial:44PC945, Marca:LENOVO, Modelo:MOEUUOA, Material:PASTA, Color:NEGRO,   Referencia:SM50F76959 Placa padre: Tipo adquisici"&amp; "on: Entidad"</f>
        <v>Descripcion: EQUIPO DE COMPUTO TODO EN UNO CON PROCESADOR INTEL i5 Estado: Bueno Placa anterior: 000036991 Material: PASTA Color: NEGRO Referencia: 10BD-00FDLS Observacion:  Placa anterior:, Placa nueva=H0009934, Descripcion:., Serial:8259135, Marca:LENOVO, Modelo:KO-0225, Material:PASTA, Color:NEGRO,   Referencia:54Y9424, Placa anterior:, Placa nueva=H0009935, Descripcion:OPTICO, Serial:44PC945, Marca:LENOVO, Modelo:MOEUUOA, Material:PASTA, Color:NEGRO,   Referencia:SM50F76959 Placa padre: Tipo adquisicion: Entidad</v>
      </c>
      <c r="G12114" s="5" t="str">
        <f>"THINCENTRE"</f>
        <v>THINCENTRE</v>
      </c>
    </row>
    <row r="12115" spans="1:7" ht="58.5" customHeight="1" x14ac:dyDescent="0.25">
      <c r="A12115" s="5" t="str">
        <f>"H0009936"</f>
        <v>H0009936</v>
      </c>
      <c r="B12115" s="5" t="str">
        <f>"IMPRESORA LASER"</f>
        <v>IMPRESORA LASER</v>
      </c>
      <c r="C12115" s="6">
        <v>657102</v>
      </c>
      <c r="D12115" s="5" t="s">
        <v>240</v>
      </c>
      <c r="E12115" s="5" t="str">
        <f t="shared" si="623"/>
        <v>RADIOTERAPIA-GLORIA NANCY JAIMES GONZALEZ</v>
      </c>
      <c r="F12115" s="5" t="str">
        <f>"Descripcion: IMPRESORA LASER EN BLANCO Y NEGRO CON CAPACIDAD DE IMPRESION A DOBLE CARA AUTOMATICA, COMPATIBLE CON WINDOWS XP Y WINDOWS 7 RECOMENDADA (HP1006) Estado: Bueno Placa anterior: 000030009 Material: PASTA Color: NEGRO Referencia: CE749A Observaci"&amp; "on:  Placa padre: Tipo adquisicion: Entidad"</f>
        <v>Descripcion: IMPRESORA LASER EN BLANCO Y NEGRO CON CAPACIDAD DE IMPRESION A DOBLE CARA AUTOMATICA, COMPATIBLE CON WINDOWS XP Y WINDOWS 7 RECOMENDADA (HP1006) Estado: Bueno Placa anterior: 000030009 Material: PASTA Color: NEGRO Referencia: CE749A Observacion:  Placa padre: Tipo adquisicion: Entidad</v>
      </c>
      <c r="G12115" s="5" t="str">
        <f>"HP LASERJET P1606dn"</f>
        <v>HP LASERJET P1606dn</v>
      </c>
    </row>
    <row r="12116" spans="1:7" ht="58.5" customHeight="1" x14ac:dyDescent="0.25">
      <c r="A12116" s="5" t="str">
        <f>"H0009939"</f>
        <v>H0009939</v>
      </c>
      <c r="B12116" s="5" t="str">
        <f>"SILLA INTERLOCUTORA (FIJA) SIN BRAZOS"</f>
        <v>SILLA INTERLOCUTORA (FIJA) SIN BRAZOS</v>
      </c>
      <c r="C12116" s="6">
        <v>97999.76</v>
      </c>
      <c r="D12116" s="5" t="s">
        <v>445</v>
      </c>
      <c r="E12116" s="5" t="str">
        <f t="shared" si="623"/>
        <v>RADIOTERAPIA-GLORIA NANCY JAIMES GONZALEZ</v>
      </c>
      <c r="F12116" s="5" t="str">
        <f>"Descripcion: SILLAS INTERLOCUTORA SILLA METALICA CLIENTETAPIZADA EN PAÑO NEGRO Estado: Bueno Placa anterior: 000037203 Material: METALICO Color: NEGRO Referencia:  Observacion:  Placa padre: Tipo adquisicion: Entidad"</f>
        <v>Descripcion: SILLAS INTERLOCUTORA SILLA METALICA CLIENTETAPIZADA EN PAÑO NEGRO Estado: Bueno Placa anterior: 000037203 Material: METALICO Color: NEGRO Referencia:  Observacion:  Placa padre: Tipo adquisicion: Entidad</v>
      </c>
      <c r="G12116" s="5"/>
    </row>
    <row r="12117" spans="1:7" ht="58.5" customHeight="1" x14ac:dyDescent="0.25">
      <c r="A12117" s="5" t="str">
        <f>"H0009940"</f>
        <v>H0009940</v>
      </c>
      <c r="B12117" s="5" t="str">
        <f>"SILLA INTERLOCUTORA (FIJA) SIN BRAZOS"</f>
        <v>SILLA INTERLOCUTORA (FIJA) SIN BRAZOS</v>
      </c>
      <c r="C12117" s="6">
        <v>97999.76</v>
      </c>
      <c r="D12117" s="5" t="s">
        <v>445</v>
      </c>
      <c r="E12117" s="5" t="str">
        <f t="shared" si="623"/>
        <v>RADIOTERAPIA-GLORIA NANCY JAIMES GONZALEZ</v>
      </c>
      <c r="F12117" s="5" t="str">
        <f>"Descripcion: SILLAS INTERLOCUTORA SILLA METALICA CLIENTETAPIZADA EN PAÑO NEGRO Estado: Bueno Placa anterior: 000037202 Material: METALICO Color: NEGRO Referencia:  Observacion:  Placa padre: Tipo adquisicion: Entidad"</f>
        <v>Descripcion: SILLAS INTERLOCUTORA SILLA METALICA CLIENTETAPIZADA EN PAÑO NEGRO Estado: Bueno Placa anterior: 000037202 Material: METALICO Color: NEGRO Referencia:  Observacion:  Placa padre: Tipo adquisicion: Entidad</v>
      </c>
      <c r="G12117" s="5"/>
    </row>
    <row r="12118" spans="1:7" ht="58.5" customHeight="1" x14ac:dyDescent="0.25">
      <c r="A12118" s="5" t="str">
        <f>"H0009941"</f>
        <v>H0009941</v>
      </c>
      <c r="B12118" s="5" t="str">
        <f>"PESO DE PISO DIGITAL MAX. 180KG"</f>
        <v>PESO DE PISO DIGITAL MAX. 180KG</v>
      </c>
      <c r="C12118" s="6">
        <v>2030000</v>
      </c>
      <c r="D12118" s="5" t="s">
        <v>382</v>
      </c>
      <c r="E12118" s="5" t="str">
        <f t="shared" si="623"/>
        <v>RADIOTERAPIA-GLORIA NANCY JAIMES GONZALEZ</v>
      </c>
      <c r="F12118" s="5" t="str">
        <f>"Descripcion: . Estado: Bueno Placa anterior: 000039031 Material: METALICO Color: BLANCO Referencia:  Observacion:  Placa padre: Tipo adquisicion: Entidad"</f>
        <v>Descripcion: . Estado: Bueno Placa anterior: 000039031 Material: METALICO Color: BLANCO Referencia:  Observacion:  Placa padre: Tipo adquisicion: Entidad</v>
      </c>
      <c r="G12118" s="5" t="str">
        <f>"H150-10-5"</f>
        <v>H150-10-5</v>
      </c>
    </row>
    <row r="12119" spans="1:7" ht="58.5" customHeight="1" x14ac:dyDescent="0.25">
      <c r="A12119" s="5" t="str">
        <f>"H0009942"</f>
        <v>H0009942</v>
      </c>
      <c r="B12119" s="5" t="str">
        <f>"NEGATOSCOPIO"</f>
        <v>NEGATOSCOPIO</v>
      </c>
      <c r="C12119" s="6">
        <v>139200</v>
      </c>
      <c r="D12119" s="5"/>
      <c r="E12119" s="5" t="str">
        <f t="shared" ref="E12119:E12150" si="625">"RADIOTERAPIA-GLORIA NANCY JAIMES GONZALEZ"</f>
        <v>RADIOTERAPIA-GLORIA NANCY JAIMES GONZALEZ</v>
      </c>
      <c r="F12119" s="5" t="str">
        <f>"Descripcion: NEGATOSCOPIO 1 CUERPO Estado: Bueno Placa anterior: 000036427 Material: METALICO Color: AZUL CLARO Referencia:  Observacion:  Placa padre: Tipo adquisicion: Entidad"</f>
        <v>Descripcion: NEGATOSCOPIO 1 CUERPO Estado: Bueno Placa anterior: 000036427 Material: METALICO Color: AZUL CLARO Referencia:  Observacion:  Placa padre: Tipo adquisicion: Entidad</v>
      </c>
      <c r="G12119" s="5"/>
    </row>
    <row r="12120" spans="1:7" ht="58.5" customHeight="1" x14ac:dyDescent="0.25">
      <c r="A12120" s="5" t="str">
        <f>"H0009943"</f>
        <v>H0009943</v>
      </c>
      <c r="B12120" s="5" t="str">
        <f>"MESA (CARRO) DE CURACIONES"</f>
        <v>MESA (CARRO) DE CURACIONES</v>
      </c>
      <c r="C12120" s="6">
        <v>116000</v>
      </c>
      <c r="D12120" s="5" t="s">
        <v>52</v>
      </c>
      <c r="E12120" s="5" t="str">
        <f t="shared" si="625"/>
        <v>RADIOTERAPIA-GLORIA NANCY JAIMES GONZALEZ</v>
      </c>
      <c r="F12120" s="5" t="str">
        <f>"Descripcion: MESA AUXILIAR COB RODACHINES Estado: Bueno Placa anterior: 000036446 Material: METALICO Color: BLANCO Referencia:  Observacion:  Placa padre: Tipo adquisicion: Entidad"</f>
        <v>Descripcion: MESA AUXILIAR COB RODACHINES Estado: Bueno Placa anterior: 000036446 Material: METALICO Color: BLANCO Referencia:  Observacion:  Placa padre: Tipo adquisicion: Entidad</v>
      </c>
      <c r="G12120" s="5"/>
    </row>
    <row r="12121" spans="1:7" ht="58.5" customHeight="1" x14ac:dyDescent="0.25">
      <c r="A12121" s="5" t="str">
        <f>"H0009944"</f>
        <v>H0009944</v>
      </c>
      <c r="B12121" s="5" t="str">
        <f>"BANDEJA DE ACERO INOXIDABLE GRANDE"</f>
        <v>BANDEJA DE ACERO INOXIDABLE GRANDE</v>
      </c>
      <c r="C12121" s="6">
        <v>52200</v>
      </c>
      <c r="D12121" s="5"/>
      <c r="E12121" s="5" t="str">
        <f t="shared" si="625"/>
        <v>RADIOTERAPIA-GLORIA NANCY JAIMES GONZALEZ</v>
      </c>
      <c r="F12121" s="5" t="str">
        <f>"Descripcion: . Estado: Bueno Placa anterior: 000036432 Material: ACERO INOXIDABLE Color:  Referencia:  Observacion:  Placa padre: Tipo adquisicion: Entidad"</f>
        <v>Descripcion: . Estado: Bueno Placa anterior: 000036432 Material: ACERO INOXIDABLE Color:  Referencia:  Observacion:  Placa padre: Tipo adquisicion: Entidad</v>
      </c>
      <c r="G12121" s="5"/>
    </row>
    <row r="12122" spans="1:7" ht="58.5" customHeight="1" x14ac:dyDescent="0.25">
      <c r="A12122" s="5" t="str">
        <f>"H0009945"</f>
        <v>H0009945</v>
      </c>
      <c r="B12122" s="5" t="str">
        <f>"BANDEJA DE ACERO INOXIDABLE GRANDE"</f>
        <v>BANDEJA DE ACERO INOXIDABLE GRANDE</v>
      </c>
      <c r="C12122" s="6">
        <v>69600</v>
      </c>
      <c r="D12122" s="5"/>
      <c r="E12122" s="5" t="str">
        <f t="shared" si="625"/>
        <v>RADIOTERAPIA-GLORIA NANCY JAIMES GONZALEZ</v>
      </c>
      <c r="F12122" s="5" t="str">
        <f>"Descripcion: . Estado: Bueno Placa anterior: 000036437 Material: ACERO INOXIDABLE Color:  Referencia:  Observacion:  Placa padre: Tipo adquisicion: Entidad"</f>
        <v>Descripcion: . Estado: Bueno Placa anterior: 000036437 Material: ACERO INOXIDABLE Color:  Referencia:  Observacion:  Placa padre: Tipo adquisicion: Entidad</v>
      </c>
      <c r="G12122" s="5"/>
    </row>
    <row r="12123" spans="1:7" ht="58.5" customHeight="1" x14ac:dyDescent="0.25">
      <c r="A12123" s="5" t="str">
        <f>"H0009946"</f>
        <v>H0009946</v>
      </c>
      <c r="B12123" s="5" t="str">
        <f>"POTE (TARRO) ACERO INXODABLE CON TAPA PEQUEÑO"</f>
        <v>POTE (TARRO) ACERO INXODABLE CON TAPA PEQUEÑO</v>
      </c>
      <c r="C12123" s="6">
        <v>8784.7999999999993</v>
      </c>
      <c r="D12123" s="5"/>
      <c r="E12123" s="5" t="str">
        <f t="shared" si="625"/>
        <v>RADIOTERAPIA-GLORIA NANCY JAIMES GONZALEZ</v>
      </c>
      <c r="F12123" s="5" t="str">
        <f>"Descripcion: TARRO NIQUELADO Estado: Bueno Placa anterior: 000009409 Material: ACERO INOXIDABLE Color:  Referencia:  Observacion:  Placa padre: Tipo adquisicion: Entidad"</f>
        <v>Descripcion: TARRO NIQUELADO Estado: Bueno Placa anterior: 000009409 Material: ACERO INOXIDABLE Color:  Referencia:  Observacion:  Placa padre: Tipo adquisicion: Entidad</v>
      </c>
      <c r="G12123" s="5"/>
    </row>
    <row r="12124" spans="1:7" ht="58.5" customHeight="1" x14ac:dyDescent="0.25">
      <c r="A12124" s="5" t="str">
        <f>"H0009947"</f>
        <v>H0009947</v>
      </c>
      <c r="B12124" s="5" t="str">
        <f>"POTE (TARRO) ACERO INXODABLE CON TAPA MEDIANO"</f>
        <v>POTE (TARRO) ACERO INXODABLE CON TAPA MEDIANO</v>
      </c>
      <c r="C12124" s="6">
        <v>8784.7999999999993</v>
      </c>
      <c r="D12124" s="5"/>
      <c r="E12124" s="5" t="str">
        <f t="shared" si="625"/>
        <v>RADIOTERAPIA-GLORIA NANCY JAIMES GONZALEZ</v>
      </c>
      <c r="F12124" s="5" t="str">
        <f>"Descripcion: TARRO NIQUELADO Estado: Bueno Placa anterior: 000009406 Material: ACERO INOXIDABLE Color:  Referencia:  Observacion:  Placa padre: Tipo adquisicion: Entidad"</f>
        <v>Descripcion: TARRO NIQUELADO Estado: Bueno Placa anterior: 000009406 Material: ACERO INOXIDABLE Color:  Referencia:  Observacion:  Placa padre: Tipo adquisicion: Entidad</v>
      </c>
      <c r="G12124" s="5"/>
    </row>
    <row r="12125" spans="1:7" ht="58.5" customHeight="1" x14ac:dyDescent="0.25">
      <c r="A12125" s="5" t="str">
        <f>"H0009948"</f>
        <v>H0009948</v>
      </c>
      <c r="B12125" s="5" t="str">
        <f>"POTE (TARRO) ACERO INXODABLE CON TAPA MEDIANO"</f>
        <v>POTE (TARRO) ACERO INXODABLE CON TAPA MEDIANO</v>
      </c>
      <c r="C12125" s="6">
        <v>8784.7999999999993</v>
      </c>
      <c r="D12125" s="5"/>
      <c r="E12125" s="5" t="str">
        <f t="shared" si="625"/>
        <v>RADIOTERAPIA-GLORIA NANCY JAIMES GONZALEZ</v>
      </c>
      <c r="F12125" s="5" t="str">
        <f>"Descripcion: TARRO NIQUELADO Estado: Bueno Placa anterior: 000009412 Material: ACERO INOXIDABLE Color:  Referencia:  Observacion:  Placa padre: Tipo adquisicion: Entidad"</f>
        <v>Descripcion: TARRO NIQUELADO Estado: Bueno Placa anterior: 000009412 Material: ACERO INOXIDABLE Color:  Referencia:  Observacion:  Placa padre: Tipo adquisicion: Entidad</v>
      </c>
      <c r="G12125" s="5"/>
    </row>
    <row r="12126" spans="1:7" ht="58.5" customHeight="1" x14ac:dyDescent="0.25">
      <c r="A12126" s="5" t="str">
        <f>"H0009949"</f>
        <v>H0009949</v>
      </c>
      <c r="B12126" s="5" t="str">
        <f>"RIÑONERA HOSPITALARIA EN ACERO INOXIDABLE"</f>
        <v>RIÑONERA HOSPITALARIA EN ACERO INOXIDABLE</v>
      </c>
      <c r="C12126" s="6">
        <v>17400</v>
      </c>
      <c r="D12126" s="5"/>
      <c r="E12126" s="5" t="str">
        <f t="shared" si="625"/>
        <v>RADIOTERAPIA-GLORIA NANCY JAIMES GONZALEZ</v>
      </c>
      <c r="F12126" s="5" t="str">
        <f>"Descripcion: . Estado: Bueno Placa anterior: 000036430 Material: ACERO INOXIDABLE Color:  Referencia:  Observacion:  Placa padre: Tipo adquisicion: Entidad"</f>
        <v>Descripcion: . Estado: Bueno Placa anterior: 000036430 Material: ACERO INOXIDABLE Color:  Referencia:  Observacion:  Placa padre: Tipo adquisicion: Entidad</v>
      </c>
      <c r="G12126" s="5"/>
    </row>
    <row r="12127" spans="1:7" ht="58.5" customHeight="1" x14ac:dyDescent="0.25">
      <c r="A12127" s="5" t="str">
        <f>"H0009950"</f>
        <v>H0009950</v>
      </c>
      <c r="B12127" s="5" t="str">
        <f>"RIÑONERA HOSPITALARIA EN ACERO INOXIDABLE"</f>
        <v>RIÑONERA HOSPITALARIA EN ACERO INOXIDABLE</v>
      </c>
      <c r="C12127" s="6">
        <v>17400</v>
      </c>
      <c r="D12127" s="5"/>
      <c r="E12127" s="5" t="str">
        <f t="shared" si="625"/>
        <v>RADIOTERAPIA-GLORIA NANCY JAIMES GONZALEZ</v>
      </c>
      <c r="F12127" s="5" t="str">
        <f>"Descripcion: . Estado: Bueno Placa anterior: 000036431 Material: ACERO INOXIDABLE Color:  Referencia:  Observacion:  Placa padre: Tipo adquisicion: Entidad"</f>
        <v>Descripcion: . Estado: Bueno Placa anterior: 000036431 Material: ACERO INOXIDABLE Color:  Referencia:  Observacion:  Placa padre: Tipo adquisicion: Entidad</v>
      </c>
      <c r="G12127" s="5"/>
    </row>
    <row r="12128" spans="1:7" ht="58.5" customHeight="1" x14ac:dyDescent="0.25">
      <c r="A12128" s="5" t="str">
        <f>"H0009951"</f>
        <v>H0009951</v>
      </c>
      <c r="B12128" s="5" t="str">
        <f>"MONITOR DE SIGNOS VITALES"</f>
        <v>MONITOR DE SIGNOS VITALES</v>
      </c>
      <c r="C12128" s="6">
        <v>2088000</v>
      </c>
      <c r="D12128" s="5" t="s">
        <v>52</v>
      </c>
      <c r="E12128" s="5" t="str">
        <f t="shared" si="625"/>
        <v>RADIOTERAPIA-GLORIA NANCY JAIMES GONZALEZ</v>
      </c>
      <c r="F12128" s="5" t="str">
        <f>"Descripcion: MONITOR DE PRESION NO INVASIVA CON PULSOMETRIA (CON ACCESORIOS ADULTOS, PEDIATRICOS Y NEONATAL) Estado: Bueno Placa anterior: 000036407 Material: PASTA Color: GRIS AZUL Referencia: 42N0B Observacion:  Placa padre: Tipo adquisicion: Entidad"</f>
        <v>Descripcion: MONITOR DE PRESION NO INVASIVA CON PULSOMETRIA (CON ACCESORIOS ADULTOS, PEDIATRICOS Y NEONATAL) Estado: Bueno Placa anterior: 000036407 Material: PASTA Color: GRIS AZUL Referencia: 42N0B Observacion:  Placa padre: Tipo adquisicion: Entidad</v>
      </c>
      <c r="G12128" s="5" t="str">
        <f>"CE0297"</f>
        <v>CE0297</v>
      </c>
    </row>
    <row r="12129" spans="1:7" ht="58.5" customHeight="1" x14ac:dyDescent="0.25">
      <c r="A12129" s="5" t="str">
        <f>"H0009952"</f>
        <v>H0009952</v>
      </c>
      <c r="B12129" s="5" t="str">
        <f>"LAMPARA CUELLO CISNE"</f>
        <v>LAMPARA CUELLO CISNE</v>
      </c>
      <c r="C12129" s="6">
        <v>139200</v>
      </c>
      <c r="D12129" s="5" t="s">
        <v>52</v>
      </c>
      <c r="E12129" s="5" t="str">
        <f t="shared" si="625"/>
        <v>RADIOTERAPIA-GLORIA NANCY JAIMES GONZALEZ</v>
      </c>
      <c r="F12129" s="5" t="str">
        <f>"Descripcion: LAMPARA DE CUELLO DE CISNE PARA CONSULTORIO MEDICO Estado: Bueno Placa anterior: 000036426 Material: ACERO INOXIDABLE Color:  Referencia:  Observacion:  Placa padre: Tipo adquisicion: Entidad"</f>
        <v>Descripcion: LAMPARA DE CUELLO DE CISNE PARA CONSULTORIO MEDICO Estado: Bueno Placa anterior: 000036426 Material: ACERO INOXIDABLE Color:  Referencia:  Observacion:  Placa padre: Tipo adquisicion: Entidad</v>
      </c>
      <c r="G12129" s="5" t="str">
        <f>"LAMPHOLDER"</f>
        <v>LAMPHOLDER</v>
      </c>
    </row>
    <row r="12130" spans="1:7" ht="58.5" customHeight="1" x14ac:dyDescent="0.25">
      <c r="A12130" s="5" t="str">
        <f>"H0009953"</f>
        <v>H0009953</v>
      </c>
      <c r="B12130" s="5" t="str">
        <f>"BIOMBO METALICO DE 3 CUERPOS"</f>
        <v>BIOMBO METALICO DE 3 CUERPOS</v>
      </c>
      <c r="C12130" s="6">
        <v>200000</v>
      </c>
      <c r="D12130" s="5" t="s">
        <v>147</v>
      </c>
      <c r="E12130" s="5" t="str">
        <f t="shared" si="625"/>
        <v>RADIOTERAPIA-GLORIA NANCY JAIMES GONZALEZ</v>
      </c>
      <c r="F12130" s="5" t="str">
        <f>"Descripcion: BIOMBO DE TRES CUERPOSTELA BLANCA Estado: Bueno Placa anterior: 000037621 Material: METALICO Color: BLANCO Referencia:  Observacion:  Placa padre: Tipo adquisicion: Donacion"</f>
        <v>Descripcion: BIOMBO DE TRES CUERPOSTELA BLANCA Estado: Bueno Placa anterior: 000037621 Material: METALICO Color: BLANCO Referencia:  Observacion:  Placa padre: Tipo adquisicion: Donacion</v>
      </c>
      <c r="G12130" s="5"/>
    </row>
    <row r="12131" spans="1:7" ht="58.5" customHeight="1" x14ac:dyDescent="0.25">
      <c r="A12131" s="5" t="str">
        <f>"H0009954"</f>
        <v>H0009954</v>
      </c>
      <c r="B12131" s="5" t="str">
        <f>"CAMILLA GINECOLOGICA CON ESTRIBOS"</f>
        <v>CAMILLA GINECOLOGICA CON ESTRIBOS</v>
      </c>
      <c r="C12131" s="6">
        <v>580000</v>
      </c>
      <c r="D12131" s="5" t="s">
        <v>52</v>
      </c>
      <c r="E12131" s="5" t="str">
        <f t="shared" si="625"/>
        <v>RADIOTERAPIA-GLORIA NANCY JAIMES GONZALEZ</v>
      </c>
      <c r="F12131" s="5" t="str">
        <f>"Descripcion: CAMILLA GINECOLOGICATAPIZADA EN CUERO NEGRO Estado: Bueno Placa anterior: 000036413 Material: METALICO Color: BLANCO Referencia:  Observacion:  Placa padre: Tipo adquisicion: Entidad"</f>
        <v>Descripcion: CAMILLA GINECOLOGICATAPIZADA EN CUERO NEGRO Estado: Bueno Placa anterior: 000036413 Material: METALICO Color: BLANCO Referencia:  Observacion:  Placa padre: Tipo adquisicion: Entidad</v>
      </c>
      <c r="G12131" s="5"/>
    </row>
    <row r="12132" spans="1:7" ht="58.5" customHeight="1" x14ac:dyDescent="0.25">
      <c r="A12132" s="5" t="str">
        <f>"H0009955"</f>
        <v>H0009955</v>
      </c>
      <c r="B12132" s="5" t="str">
        <f>"ESCALERILLA DE 2 PASOS"</f>
        <v>ESCALERILLA DE 2 PASOS</v>
      </c>
      <c r="C12132" s="6">
        <v>69600</v>
      </c>
      <c r="D12132" s="5" t="s">
        <v>52</v>
      </c>
      <c r="E12132" s="5" t="str">
        <f t="shared" si="625"/>
        <v>RADIOTERAPIA-GLORIA NANCY JAIMES GONZALEZ</v>
      </c>
      <c r="F12132" s="5" t="str">
        <f>"Descripcion: ESCALERILLA DE DOS PASOS Estado: Bueno Placa anterior: 000036438 Material: METALICO Color: BLANCO Referencia:  Observacion:  Placa padre: Tipo adquisicion: Entidad"</f>
        <v>Descripcion: ESCALERILLA DE DOS PASOS Estado: Bueno Placa anterior: 000036438 Material: METALICO Color: BLANCO Referencia:  Observacion:  Placa padre: Tipo adquisicion: Entidad</v>
      </c>
      <c r="G12132" s="5"/>
    </row>
    <row r="12133" spans="1:7" ht="58.5" customHeight="1" x14ac:dyDescent="0.25">
      <c r="A12133" s="5" t="str">
        <f>"H0009957"</f>
        <v>H0009957</v>
      </c>
      <c r="B12133" s="5" t="str">
        <f>"FONENDOSCOPIO (ESTETOSCOPIO) PARA ADULTO"</f>
        <v>FONENDOSCOPIO (ESTETOSCOPIO) PARA ADULTO</v>
      </c>
      <c r="C12133" s="6">
        <v>214556</v>
      </c>
      <c r="D12133" s="5"/>
      <c r="E12133" s="5" t="str">
        <f t="shared" si="625"/>
        <v>RADIOTERAPIA-GLORIA NANCY JAIMES GONZALEZ</v>
      </c>
      <c r="F12133" s="5" t="str">
        <f>"Descripcion: 1 MAGUERA Estado: Bueno Placa anterior: 000036408 Material: METALICO Color:  Referencia:  Observacion:  Placa padre: Tipo adquisicion: Entidad"</f>
        <v>Descripcion: 1 MAGUERA Estado: Bueno Placa anterior: 000036408 Material: METALICO Color:  Referencia:  Observacion:  Placa padre: Tipo adquisicion: Entidad</v>
      </c>
      <c r="G12133" s="5" t="str">
        <f>"3M LITTMANN CLASSIC"</f>
        <v>3M LITTMANN CLASSIC</v>
      </c>
    </row>
    <row r="12134" spans="1:7" ht="58.5" customHeight="1" x14ac:dyDescent="0.25">
      <c r="A12134" s="5" t="str">
        <f>"H0009958"</f>
        <v>H0009958</v>
      </c>
      <c r="B12134" s="5" t="str">
        <f>"EQUIPO DE ORGANOS PORTATIL"</f>
        <v>EQUIPO DE ORGANOS PORTATIL</v>
      </c>
      <c r="C12134" s="6">
        <v>974400</v>
      </c>
      <c r="D12134" s="5"/>
      <c r="E12134" s="5" t="str">
        <f t="shared" si="625"/>
        <v>RADIOTERAPIA-GLORIA NANCY JAIMES GONZALEZ</v>
      </c>
      <c r="F12134" s="5" t="str">
        <f>"Descripcion: OTOSCOPIOOFTALMOSCOPIO Estado: Bueno Placa anterior:  Material: METALICO Color:  Referencia: 901026 Observacion:  Placa padre: Tipo adquisicion: Entidad"</f>
        <v>Descripcion: OTOSCOPIOOFTALMOSCOPIO Estado: Bueno Placa anterior:  Material: METALICO Color:  Referencia: 901026 Observacion:  Placa padre: Tipo adquisicion: Entidad</v>
      </c>
      <c r="G12134" s="5" t="str">
        <f>"POCKET LED SET"</f>
        <v>POCKET LED SET</v>
      </c>
    </row>
    <row r="12135" spans="1:7" ht="58.5" customHeight="1" x14ac:dyDescent="0.25">
      <c r="A12135" s="5" t="str">
        <f>"H0009959"</f>
        <v>H0009959</v>
      </c>
      <c r="B12135" s="5" t="str">
        <f>"SILLA TANDEM DE 4 PUESTOS"</f>
        <v>SILLA TANDEM DE 4 PUESTOS</v>
      </c>
      <c r="C12135" s="6">
        <v>740000</v>
      </c>
      <c r="D12135" s="5" t="s">
        <v>529</v>
      </c>
      <c r="E12135" s="5" t="str">
        <f t="shared" si="625"/>
        <v>RADIOTERAPIA-GLORIA NANCY JAIMES GONZALEZ</v>
      </c>
      <c r="F12135" s="5" t="str">
        <f>"Descripcion: SILLAS TANDER LUXURI 4 PUESTOS SIN TAPIZADO Estado: Bueno Placa anterior: 000037177 Material: METALICO Color: NEGRO Referencia:  Observacion:  Placa padre: Tipo adquisicion: Entidad"</f>
        <v>Descripcion: SILLAS TANDER LUXURI 4 PUESTOS SIN TAPIZADO Estado: Bueno Placa anterior: 000037177 Material: METALICO Color: NEGRO Referencia:  Observacion:  Placa padre: Tipo adquisicion: Entidad</v>
      </c>
      <c r="G12135" s="5"/>
    </row>
    <row r="12136" spans="1:7" ht="58.5" customHeight="1" x14ac:dyDescent="0.25">
      <c r="A12136" s="5" t="str">
        <f>"H0009960"</f>
        <v>H0009960</v>
      </c>
      <c r="B12136" s="5" t="str">
        <f>"SILLA TANDEM DE 4 PUESTOS"</f>
        <v>SILLA TANDEM DE 4 PUESTOS</v>
      </c>
      <c r="C12136" s="6">
        <v>740000</v>
      </c>
      <c r="D12136" s="5" t="s">
        <v>529</v>
      </c>
      <c r="E12136" s="5" t="str">
        <f t="shared" si="625"/>
        <v>RADIOTERAPIA-GLORIA NANCY JAIMES GONZALEZ</v>
      </c>
      <c r="F12136" s="5" t="str">
        <f>"Descripcion: SILLAS TANDER LUXURI 4 PUESTOS SIN TAPIZADO Estado: Bueno Placa anterior: 000037182 Material: METALICO Color: NEGRO Referencia:  Observacion:  Placa padre: Tipo adquisicion: Entidad"</f>
        <v>Descripcion: SILLAS TANDER LUXURI 4 PUESTOS SIN TAPIZADO Estado: Bueno Placa anterior: 000037182 Material: METALICO Color: NEGRO Referencia:  Observacion:  Placa padre: Tipo adquisicion: Entidad</v>
      </c>
      <c r="G12136" s="5"/>
    </row>
    <row r="12137" spans="1:7" ht="58.5" customHeight="1" x14ac:dyDescent="0.25">
      <c r="A12137" s="5" t="str">
        <f>"H0009961"</f>
        <v>H0009961</v>
      </c>
      <c r="B12137" s="5" t="str">
        <f>"SILLA TANDEM DE 4 PUESTOS"</f>
        <v>SILLA TANDEM DE 4 PUESTOS</v>
      </c>
      <c r="C12137" s="6">
        <v>740000</v>
      </c>
      <c r="D12137" s="5" t="s">
        <v>529</v>
      </c>
      <c r="E12137" s="5" t="str">
        <f t="shared" si="625"/>
        <v>RADIOTERAPIA-GLORIA NANCY JAIMES GONZALEZ</v>
      </c>
      <c r="F12137" s="5" t="str">
        <f>"Descripcion: SILLAS TANDER LUXURI 4 PUESTOS SIN TAPIZADO Estado: Bueno Placa anterior: 000037179 Material: METALICO Color: NEGRO Referencia:  Observacion:  Placa padre: Tipo adquisicion: Entidad"</f>
        <v>Descripcion: SILLAS TANDER LUXURI 4 PUESTOS SIN TAPIZADO Estado: Bueno Placa anterior: 000037179 Material: METALICO Color: NEGRO Referencia:  Observacion:  Placa padre: Tipo adquisicion: Entidad</v>
      </c>
      <c r="G12137" s="5"/>
    </row>
    <row r="12138" spans="1:7" ht="58.5" customHeight="1" x14ac:dyDescent="0.25">
      <c r="A12138" s="5" t="str">
        <f>"H0009962"</f>
        <v>H0009962</v>
      </c>
      <c r="B12138" s="5" t="str">
        <f>"SILLA TANDEM DE 4 PUESTOS"</f>
        <v>SILLA TANDEM DE 4 PUESTOS</v>
      </c>
      <c r="C12138" s="6">
        <v>740000</v>
      </c>
      <c r="D12138" s="5" t="s">
        <v>529</v>
      </c>
      <c r="E12138" s="5" t="str">
        <f t="shared" si="625"/>
        <v>RADIOTERAPIA-GLORIA NANCY JAIMES GONZALEZ</v>
      </c>
      <c r="F12138" s="5" t="str">
        <f>"Descripcion: SILLAS TANDER LUXURI 4 PUESTOS SIN TAPIZADO Estado: Bueno Placa anterior: 000037178 Material: METALICO Color: NEGRO Referencia:  Observacion:  Placa padre: Tipo adquisicion: Entidad"</f>
        <v>Descripcion: SILLAS TANDER LUXURI 4 PUESTOS SIN TAPIZADO Estado: Bueno Placa anterior: 000037178 Material: METALICO Color: NEGRO Referencia:  Observacion:  Placa padre: Tipo adquisicion: Entidad</v>
      </c>
      <c r="G12138" s="5"/>
    </row>
    <row r="12139" spans="1:7" ht="58.5" customHeight="1" x14ac:dyDescent="0.25">
      <c r="A12139" s="5" t="str">
        <f>"H0009963"</f>
        <v>H0009963</v>
      </c>
      <c r="B12139" s="5" t="str">
        <f>"MULTIFUNCIONAL DE LASER"</f>
        <v>MULTIFUNCIONAL DE LASER</v>
      </c>
      <c r="C12139" s="6">
        <v>1880000</v>
      </c>
      <c r="D12139" s="5" t="s">
        <v>684</v>
      </c>
      <c r="E12139" s="5" t="str">
        <f t="shared" si="625"/>
        <v>RADIOTERAPIA-GLORIA NANCY JAIMES GONZALEZ</v>
      </c>
      <c r="F12139" s="5" t="str">
        <f>"Descripcion: IMPRESORA MULTIFUNCIONAL HP IFFICEJET PRO X 476 Estado: Bueno Placa anterior: 000037235 Material: PASTA Color: NEGRO Referencia: VCVRA-1212 Observacion:  Placa padre: Tipo adquisicion: Entidad"</f>
        <v>Descripcion: IMPRESORA MULTIFUNCIONAL HP IFFICEJET PRO X 476 Estado: Bueno Placa anterior: 000037235 Material: PASTA Color: NEGRO Referencia: VCVRA-1212 Observacion:  Placa padre: Tipo adquisicion: Entidad</v>
      </c>
      <c r="G12139" s="5" t="str">
        <f>"HP OFFICEJET PRO X4"</f>
        <v>HP OFFICEJET PRO X4</v>
      </c>
    </row>
    <row r="12140" spans="1:7" ht="58.5" customHeight="1" x14ac:dyDescent="0.25">
      <c r="A12140" s="5" t="str">
        <f>"H0009964"</f>
        <v>H0009964</v>
      </c>
      <c r="B12140" s="5" t="str">
        <f>"CAMILLA DE TRASLADO CON BARANDAS"</f>
        <v>CAMILLA DE TRASLADO CON BARANDAS</v>
      </c>
      <c r="C12140" s="6">
        <v>2490868</v>
      </c>
      <c r="D12140" s="5" t="s">
        <v>52</v>
      </c>
      <c r="E12140" s="5" t="str">
        <f t="shared" si="625"/>
        <v>RADIOTERAPIA-GLORIA NANCY JAIMES GONZALEZ</v>
      </c>
      <c r="F12140" s="5" t="str">
        <f>"Descripcion: CAMILLA RODANTE CON BARANDAS Y FRENOS Estado: Bueno Placa anterior: 000036440 Material: METALICO Color: BEIGE Referencia:  Observacion:  Placa padre: Tipo adquisicion: Entidad"</f>
        <v>Descripcion: CAMILLA RODANTE CON BARANDAS Y FRENOS Estado: Bueno Placa anterior: 000036440 Material: METALICO Color: BEIGE Referencia:  Observacion:  Placa padre: Tipo adquisicion: Entidad</v>
      </c>
      <c r="G12140" s="5"/>
    </row>
    <row r="12141" spans="1:7" ht="58.5" customHeight="1" x14ac:dyDescent="0.25">
      <c r="A12141" s="5" t="str">
        <f>"H0011001"</f>
        <v>H0011001</v>
      </c>
      <c r="B12141" s="5" t="str">
        <f>"KIT DE DILATADORES"</f>
        <v>KIT DE DILATADORES</v>
      </c>
      <c r="C12141" s="6">
        <v>75400</v>
      </c>
      <c r="D12141" s="5"/>
      <c r="E12141" s="5" t="str">
        <f t="shared" si="625"/>
        <v>RADIOTERAPIA-GLORIA NANCY JAIMES GONZALEZ</v>
      </c>
      <c r="F12141" s="5" t="str">
        <f>"Descripcion: JUEGO DILATADORES UTERINOS X 8 PIEZAS Estado: Bueno Placa anterior: 000036448 Material: ACERO INOXIDABLE Color:  Referencia:  Observacion:  Placa padre: Tipo adquisicion: Entidad"</f>
        <v>Descripcion: JUEGO DILATADORES UTERINOS X 8 PIEZAS Estado: Bueno Placa anterior: 000036448 Material: ACERO INOXIDABLE Color:  Referencia:  Observacion:  Placa padre: Tipo adquisicion: Entidad</v>
      </c>
      <c r="G12141" s="5"/>
    </row>
    <row r="12142" spans="1:7" ht="58.5" customHeight="1" x14ac:dyDescent="0.25">
      <c r="A12142" s="5" t="str">
        <f>"H0011002"</f>
        <v>H0011002</v>
      </c>
      <c r="B12142" s="5" t="str">
        <f>"KIT DE DILATADORES"</f>
        <v>KIT DE DILATADORES</v>
      </c>
      <c r="C12142" s="6">
        <v>75400</v>
      </c>
      <c r="D12142" s="5"/>
      <c r="E12142" s="5" t="str">
        <f t="shared" si="625"/>
        <v>RADIOTERAPIA-GLORIA NANCY JAIMES GONZALEZ</v>
      </c>
      <c r="F12142" s="5" t="str">
        <f>"Descripcion: JUEGO DILATADORES UTERINOS X 8 PIEZAS Estado: Bueno Placa anterior: 000036447 Material: ACERO INOXIDABLE Color:  Referencia:  Observacion:  Placa padre: Tipo adquisicion: Entidad"</f>
        <v>Descripcion: JUEGO DILATADORES UTERINOS X 8 PIEZAS Estado: Bueno Placa anterior: 000036447 Material: ACERO INOXIDABLE Color:  Referencia:  Observacion:  Placa padre: Tipo adquisicion: Entidad</v>
      </c>
      <c r="G12142" s="5"/>
    </row>
    <row r="12143" spans="1:7" ht="58.5" customHeight="1" x14ac:dyDescent="0.25">
      <c r="A12143" s="5" t="str">
        <f>"H0011004"</f>
        <v>H0011004</v>
      </c>
      <c r="B12143" s="5" t="str">
        <f>"EQUIPO DE ORGANOS PORTATIL"</f>
        <v>EQUIPO DE ORGANOS PORTATIL</v>
      </c>
      <c r="C12143" s="6">
        <v>417600</v>
      </c>
      <c r="D12143" s="5" t="s">
        <v>52</v>
      </c>
      <c r="E12143" s="5" t="str">
        <f t="shared" si="625"/>
        <v>RADIOTERAPIA-GLORIA NANCY JAIMES GONZALEZ</v>
      </c>
      <c r="F12143" s="5" t="str">
        <f>"Descripcion: EQUIPO DE ORGANO DE LOS SENTIDOSOTOSCOPIOOFTALMOSCOPIOESTUCHE Estado: Bueno Placa anterior: 000036410 Material: ACERO INOXIDABLE Color: NEGRO Referencia:  Observacion:  Placa padre: Tipo adquisicion: Entidad"</f>
        <v>Descripcion: EQUIPO DE ORGANO DE LOS SENTIDOSOTOSCOPIOOFTALMOSCOPIOESTUCHE Estado: Bueno Placa anterior: 000036410 Material: ACERO INOXIDABLE Color: NEGRO Referencia:  Observacion:  Placa padre: Tipo adquisicion: Entidad</v>
      </c>
      <c r="G12143" s="5"/>
    </row>
    <row r="12144" spans="1:7" ht="58.5" customHeight="1" x14ac:dyDescent="0.25">
      <c r="A12144" s="5" t="str">
        <f>"H0011005"</f>
        <v>H0011005</v>
      </c>
      <c r="B12144" s="5" t="str">
        <f>"FONENDOSCOPIO (ESTETOSCOPIO) PARA ADULTO"</f>
        <v>FONENDOSCOPIO (ESTETOSCOPIO) PARA ADULTO</v>
      </c>
      <c r="C12144" s="6">
        <v>214556</v>
      </c>
      <c r="D12144" s="5"/>
      <c r="E12144" s="5" t="str">
        <f t="shared" si="625"/>
        <v>RADIOTERAPIA-GLORIA NANCY JAIMES GONZALEZ</v>
      </c>
      <c r="F12144" s="5" t="str">
        <f>"Descripcion: 1 SERVICIO Estado: Bueno Placa anterior: 000036409 Material: ACERO INOXIDABLE Color: NEGRO Referencia:  Observacion:  Placa padre: Tipo adquisicion: Entidad"</f>
        <v>Descripcion: 1 SERVICIO Estado: Bueno Placa anterior: 000036409 Material: ACERO INOXIDABLE Color: NEGRO Referencia:  Observacion:  Placa padre: Tipo adquisicion: Entidad</v>
      </c>
      <c r="G12144" s="5" t="str">
        <f>"3M LITTMANN CLASSIC"</f>
        <v>3M LITTMANN CLASSIC</v>
      </c>
    </row>
    <row r="12145" spans="1:7" ht="58.5" customHeight="1" x14ac:dyDescent="0.25">
      <c r="A12145" s="5" t="str">
        <f>"H0011007"</f>
        <v>H0011007</v>
      </c>
      <c r="B12145" s="5" t="str">
        <f>"MARTILLO PARA REFLEJOS"</f>
        <v>MARTILLO PARA REFLEJOS</v>
      </c>
      <c r="C12145" s="6">
        <v>7540</v>
      </c>
      <c r="D12145" s="5"/>
      <c r="E12145" s="5" t="str">
        <f t="shared" si="625"/>
        <v>RADIOTERAPIA-GLORIA NANCY JAIMES GONZALEZ</v>
      </c>
      <c r="F12145" s="5" t="str">
        <f>"Descripcion: MARTILLO DE REFLEJOS Estado: Bueno Placa anterior: 000036411 Material: ACERO INOXIDABLE Color:  Referencia:  Observacion:  Placa padre: Tipo adquisicion: Entidad"</f>
        <v>Descripcion: MARTILLO DE REFLEJOS Estado: Bueno Placa anterior: 000036411 Material: ACERO INOXIDABLE Color:  Referencia:  Observacion:  Placa padre: Tipo adquisicion: Entidad</v>
      </c>
      <c r="G12145" s="5"/>
    </row>
    <row r="12146" spans="1:7" ht="58.5" customHeight="1" x14ac:dyDescent="0.25">
      <c r="A12146" s="5" t="str">
        <f>"H0011008"</f>
        <v>H0011008</v>
      </c>
      <c r="B12146" s="5" t="str">
        <f>"HISTEROMETRO"</f>
        <v>HISTEROMETRO</v>
      </c>
      <c r="C12146" s="6">
        <v>81200</v>
      </c>
      <c r="D12146" s="5"/>
      <c r="E12146" s="5" t="str">
        <f t="shared" si="625"/>
        <v>RADIOTERAPIA-GLORIA NANCY JAIMES GONZALEZ</v>
      </c>
      <c r="F12146" s="5" t="str">
        <f>"Descripcion: HISTEROMETROS Estado: Bueno Placa anterior: 000036433 Material: ACERO INOXIDABLE Color:  Referencia:  Observacion:  Placa padre: Tipo adquisicion: Entidad"</f>
        <v>Descripcion: HISTEROMETROS Estado: Bueno Placa anterior: 000036433 Material: ACERO INOXIDABLE Color:  Referencia:  Observacion:  Placa padre: Tipo adquisicion: Entidad</v>
      </c>
      <c r="G12146" s="5"/>
    </row>
    <row r="12147" spans="1:7" ht="58.5" customHeight="1" x14ac:dyDescent="0.25">
      <c r="A12147" s="5" t="str">
        <f>"H0011009"</f>
        <v>H0011009</v>
      </c>
      <c r="B12147" s="5" t="str">
        <f>"HISTEROMETRO"</f>
        <v>HISTEROMETRO</v>
      </c>
      <c r="C12147" s="6">
        <v>81200</v>
      </c>
      <c r="D12147" s="5"/>
      <c r="E12147" s="5" t="str">
        <f t="shared" si="625"/>
        <v>RADIOTERAPIA-GLORIA NANCY JAIMES GONZALEZ</v>
      </c>
      <c r="F12147" s="5" t="str">
        <f>"Descripcion: HISTEROMETROS Estado: Bueno Placa anterior: 000036434 Material: ACERO INOXIDABLE Color:  Referencia:  Observacion:  Placa padre: Tipo adquisicion: Entidad"</f>
        <v>Descripcion: HISTEROMETROS Estado: Bueno Placa anterior: 000036434 Material: ACERO INOXIDABLE Color:  Referencia:  Observacion:  Placa padre: Tipo adquisicion: Entidad</v>
      </c>
      <c r="G12147" s="5"/>
    </row>
    <row r="12148" spans="1:7" ht="58.5" customHeight="1" x14ac:dyDescent="0.25">
      <c r="A12148" s="5" t="str">
        <f>"H0011010"</f>
        <v>H0011010</v>
      </c>
      <c r="B12148" s="5" t="str">
        <f>"HISTEROMETRO"</f>
        <v>HISTEROMETRO</v>
      </c>
      <c r="C12148" s="6">
        <v>81200</v>
      </c>
      <c r="D12148" s="5"/>
      <c r="E12148" s="5" t="str">
        <f t="shared" si="625"/>
        <v>RADIOTERAPIA-GLORIA NANCY JAIMES GONZALEZ</v>
      </c>
      <c r="F12148" s="5" t="str">
        <f>"Descripcion: HISTEROMETROS Estado: Bueno Placa anterior: 000036435 Material: ACERO INOXIDABLE Color:  Referencia:  Observacion:  Placa padre: Tipo adquisicion: Entidad"</f>
        <v>Descripcion: HISTEROMETROS Estado: Bueno Placa anterior: 000036435 Material: ACERO INOXIDABLE Color:  Referencia:  Observacion:  Placa padre: Tipo adquisicion: Entidad</v>
      </c>
      <c r="G12148" s="5"/>
    </row>
    <row r="12149" spans="1:7" ht="58.5" customHeight="1" x14ac:dyDescent="0.25">
      <c r="A12149" s="5" t="str">
        <f>"H0011011"</f>
        <v>H0011011</v>
      </c>
      <c r="B12149" s="5" t="str">
        <f>"HISTEROMETRO"</f>
        <v>HISTEROMETRO</v>
      </c>
      <c r="C12149" s="6">
        <v>81200</v>
      </c>
      <c r="D12149" s="5"/>
      <c r="E12149" s="5" t="str">
        <f t="shared" si="625"/>
        <v>RADIOTERAPIA-GLORIA NANCY JAIMES GONZALEZ</v>
      </c>
      <c r="F12149" s="5" t="str">
        <f>"Descripcion: HISTEROMETROS Estado: Bueno Placa anterior: 000036436 Material: ACERO INOXIDABLE Color:  Referencia:  Observacion:  Placa padre: Tipo adquisicion: Entidad"</f>
        <v>Descripcion: HISTEROMETROS Estado: Bueno Placa anterior: 000036436 Material: ACERO INOXIDABLE Color:  Referencia:  Observacion:  Placa padre: Tipo adquisicion: Entidad</v>
      </c>
      <c r="G12149" s="5"/>
    </row>
    <row r="12150" spans="1:7" ht="58.5" customHeight="1" x14ac:dyDescent="0.25">
      <c r="A12150" s="5" t="str">
        <f>"H0011012"</f>
        <v>H0011012</v>
      </c>
      <c r="B12150" s="5" t="str">
        <f>"MONITOR DETECTOR DE RADIACIONES IONIZANTES"</f>
        <v>MONITOR DETECTOR DE RADIACIONES IONIZANTES</v>
      </c>
      <c r="C12150" s="6">
        <v>11581213</v>
      </c>
      <c r="D12150" s="5" t="s">
        <v>687</v>
      </c>
      <c r="E12150" s="5" t="str">
        <f t="shared" si="625"/>
        <v>RADIOTERAPIA-GLORIA NANCY JAIMES GONZALEZ</v>
      </c>
      <c r="F12150" s="5" t="str">
        <f>"Descripcion: MONITOR DE AREA DIGITAL FIJO MODELO 375/4 MARCA LADLUM, CON ALARMA REMOTA (Deteccion de radiaciones) Estado: Bueno Placa anterior: 000037605 Material: METALICO Color: BEIGE Referencia: 322528 Observacion:  Placa anterior:, Placa nueva=H001101"&amp; "3, Descripcion:., Serial:310307, Marca:LUDLUM, Modelo:271 REMOTE, Material:METALICO, Color:BEIGE,   Referencia: Placa padre: Tipo adquisicion: Entidad"</f>
        <v>Descripcion: MONITOR DE AREA DIGITAL FIJO MODELO 375/4 MARCA LADLUM, CON ALARMA REMOTA (Deteccion de radiaciones) Estado: Bueno Placa anterior: 000037605 Material: METALICO Color: BEIGE Referencia: 322528 Observacion:  Placa anterior:, Placa nueva=H0011013, Descripcion:., Serial:310307, Marca:LUDLUM, Modelo:271 REMOTE, Material:METALICO, Color:BEIGE,   Referencia: Placa padre: Tipo adquisicion: Entidad</v>
      </c>
      <c r="G12150" s="5" t="str">
        <f>"375"</f>
        <v>375</v>
      </c>
    </row>
    <row r="12151" spans="1:7" ht="58.5" customHeight="1" x14ac:dyDescent="0.25">
      <c r="A12151" s="5" t="str">
        <f>"H0011014"</f>
        <v>H0011014</v>
      </c>
      <c r="B12151" s="5" t="str">
        <f>"BALANZA ANALOGA DE PISO (PESO) CON TALLIMETRO"</f>
        <v>BALANZA ANALOGA DE PISO (PESO) CON TALLIMETRO</v>
      </c>
      <c r="C12151" s="6">
        <v>498800</v>
      </c>
      <c r="D12151" s="5"/>
      <c r="E12151" s="5" t="str">
        <f t="shared" ref="E12151:E12182" si="626">"RADIOTERAPIA-GLORIA NANCY JAIMES GONZALEZ"</f>
        <v>RADIOTERAPIA-GLORIA NANCY JAIMES GONZALEZ</v>
      </c>
      <c r="F12151" s="5" t="str">
        <f>"Descripcion: BALANZA DE PIE CON TALLIMETRO Estado: Bueno Placa anterior: 000036412 Material: METALICO Color: BLANCO Referencia:  Observacion:  Placa padre: Tipo adquisicion: Entidad"</f>
        <v>Descripcion: BALANZA DE PIE CON TALLIMETRO Estado: Bueno Placa anterior: 000036412 Material: METALICO Color: BLANCO Referencia:  Observacion:  Placa padre: Tipo adquisicion: Entidad</v>
      </c>
      <c r="G12151" s="5"/>
    </row>
    <row r="12152" spans="1:7" ht="58.5" customHeight="1" x14ac:dyDescent="0.25">
      <c r="A12152" s="5" t="str">
        <f>"H0011944"</f>
        <v>H0011944</v>
      </c>
      <c r="B12152" s="5" t="str">
        <f>"EXTINTOR SOLKAFLAM 123 DE 3700GR"</f>
        <v>EXTINTOR SOLKAFLAM 123 DE 3700GR</v>
      </c>
      <c r="C12152" s="6">
        <v>199999.8</v>
      </c>
      <c r="D12152" s="5" t="s">
        <v>686</v>
      </c>
      <c r="E12152" s="5" t="str">
        <f t="shared" si="626"/>
        <v>RADIOTERAPIA-GLORIA NANCY JAIMES GONZALEZ</v>
      </c>
      <c r="F12152" s="5" t="str">
        <f>"Descripcion: Extintor de agente limpio Solkaflam de 3.700 gr, con certificación 2885 Estado: Bueno Placa anterior: 000037251 Material: METALICO Color: BLANCO Referencia:  Observacion:  Placa padre: Tipo adquisicion: Entidad"</f>
        <v>Descripcion: Extintor de agente limpio Solkaflam de 3.700 gr, con certificación 2885 Estado: Bueno Placa anterior: 000037251 Material: METALICO Color: BLANCO Referencia:  Observacion:  Placa padre: Tipo adquisicion: Entidad</v>
      </c>
      <c r="G12152" s="5"/>
    </row>
    <row r="12153" spans="1:7" ht="58.5" customHeight="1" x14ac:dyDescent="0.25">
      <c r="A12153" s="5" t="str">
        <f>"H0011946"</f>
        <v>H0011946</v>
      </c>
      <c r="B12153" s="5" t="str">
        <f>"ATRIL PORTASUERO MOVIL"</f>
        <v>ATRIL PORTASUERO MOVIL</v>
      </c>
      <c r="C12153" s="6">
        <v>92800</v>
      </c>
      <c r="D12153" s="5" t="s">
        <v>52</v>
      </c>
      <c r="E12153" s="5" t="str">
        <f t="shared" si="626"/>
        <v>RADIOTERAPIA-GLORIA NANCY JAIMES GONZALEZ</v>
      </c>
      <c r="F12153" s="5" t="str">
        <f>"Descripcion: ATRIL PORTASUERO CON RODACHINES Y EXTENSOR Estado: Bueno Placa anterior: 000036428 Material: METALICO Color: BEIGE Referencia:  Observacion:  Placa padre: Tipo adquisicion: Entidad"</f>
        <v>Descripcion: ATRIL PORTASUERO CON RODACHINES Y EXTENSOR Estado: Bueno Placa anterior: 000036428 Material: METALICO Color: BEIGE Referencia:  Observacion:  Placa padre: Tipo adquisicion: Entidad</v>
      </c>
      <c r="G12153" s="5"/>
    </row>
    <row r="12154" spans="1:7" ht="58.5" customHeight="1" x14ac:dyDescent="0.25">
      <c r="A12154" s="5" t="str">
        <f>"H0011947"</f>
        <v>H0011947</v>
      </c>
      <c r="B12154" s="5" t="str">
        <f>"ATRIL PORTASUERO MOVIL"</f>
        <v>ATRIL PORTASUERO MOVIL</v>
      </c>
      <c r="C12154" s="6">
        <v>92800</v>
      </c>
      <c r="D12154" s="5" t="s">
        <v>52</v>
      </c>
      <c r="E12154" s="5" t="str">
        <f t="shared" si="626"/>
        <v>RADIOTERAPIA-GLORIA NANCY JAIMES GONZALEZ</v>
      </c>
      <c r="F12154" s="5" t="str">
        <f>"Descripcion: ATRIL PORTASUERO CON RODACHINES Y EXTENSOR Estado: Bueno Placa anterior: 000036429 Material: METALICO Color: BEIGE Referencia:  Observacion:  Placa padre: Tipo adquisicion: Entidad"</f>
        <v>Descripcion: ATRIL PORTASUERO CON RODACHINES Y EXTENSOR Estado: Bueno Placa anterior: 000036429 Material: METALICO Color: BEIGE Referencia:  Observacion:  Placa padre: Tipo adquisicion: Entidad</v>
      </c>
      <c r="G12154" s="5"/>
    </row>
    <row r="12155" spans="1:7" ht="58.5" customHeight="1" x14ac:dyDescent="0.25">
      <c r="A12155" s="5" t="str">
        <f>"H0011948"</f>
        <v>H0011948</v>
      </c>
      <c r="B12155" s="5" t="str">
        <f>"MESA DE MADERA REDONDA"</f>
        <v>MESA DE MADERA REDONDA</v>
      </c>
      <c r="C12155" s="6">
        <v>42000</v>
      </c>
      <c r="D12155" s="5"/>
      <c r="E12155" s="5" t="str">
        <f t="shared" si="626"/>
        <v>RADIOTERAPIA-GLORIA NANCY JAIMES GONZALEZ</v>
      </c>
      <c r="F12155" s="5" t="str">
        <f>"Descripcion:  MESA CON ESTRUCTURA METALICA Y MESON EN MADERA FORMICA REDONDO DIAMETRO: 120CM Estado: Bueno Placa anterior: 000002172 Material: MADERA EN FORMICA Y METALICO Color: MARRON Y NEGRO Referencia:  Observacion: AUTORIZADO CONCILIAR EN CRUCE GENER"&amp; "AL Placa padre: Tipo adquisicion: Entidad"</f>
        <v>Descripcion:  MESA CON ESTRUCTURA METALICA Y MESON EN MADERA FORMICA REDONDO DIAMETRO: 120CM Estado: Bueno Placa anterior: 000002172 Material: MADERA EN FORMICA Y METALICO Color: MARRON Y NEGRO Referencia:  Observacion: AUTORIZADO CONCILIAR EN CRUCE GENERAL Placa padre: Tipo adquisicion: Entidad</v>
      </c>
      <c r="G12155" s="5"/>
    </row>
    <row r="12156" spans="1:7" ht="58.5" customHeight="1" x14ac:dyDescent="0.25">
      <c r="A12156" s="5" t="str">
        <f>"H0011949"</f>
        <v>H0011949</v>
      </c>
      <c r="B12156" s="5" t="str">
        <f>"ESCALERILLA DE 2 PASOS"</f>
        <v>ESCALERILLA DE 2 PASOS</v>
      </c>
      <c r="C12156" s="6">
        <v>4455</v>
      </c>
      <c r="D12156" s="5"/>
      <c r="E12156" s="5" t="str">
        <f t="shared" si="626"/>
        <v>RADIOTERAPIA-GLORIA NANCY JAIMES GONZALEZ</v>
      </c>
      <c r="F12156" s="5" t="str">
        <f>"Descripcion: ESCALERILLA DE 2 PASOS Estado: Bueno Placa anterior: 000009332 Material: METALICO CON PASOS EN MADERA Color: BEIGE CON NEGRO Referencia:  Observacion:  Placa padre: Tipo adquisicion: Entidad"</f>
        <v>Descripcion: ESCALERILLA DE 2 PASOS Estado: Bueno Placa anterior: 000009332 Material: METALICO CON PASOS EN MADERA Color: BEIGE CON NEGRO Referencia:  Observacion:  Placa padre: Tipo adquisicion: Entidad</v>
      </c>
      <c r="G12156" s="5"/>
    </row>
    <row r="12157" spans="1:7" ht="58.5" customHeight="1" x14ac:dyDescent="0.25">
      <c r="A12157" s="5" t="str">
        <f>"H0011951"</f>
        <v>H0011951</v>
      </c>
      <c r="B12157" s="5" t="str">
        <f>"SILLA DE RUEDAS"</f>
        <v>SILLA DE RUEDAS</v>
      </c>
      <c r="C12157" s="6">
        <v>300000</v>
      </c>
      <c r="D12157" s="5" t="s">
        <v>52</v>
      </c>
      <c r="E12157" s="5" t="str">
        <f t="shared" si="626"/>
        <v>RADIOTERAPIA-GLORIA NANCY JAIMES GONZALEZ</v>
      </c>
      <c r="F12157" s="5" t="str">
        <f>"Descripcion: SILLA DE RUEDAS ADULTO Estado: Bueno Placa anterior: 000036416 Material: METALICO CON TAPIZADO  Color: NEGRO Referencia:  Observacion:  Placa padre: Tipo adquisicion: Entidad"</f>
        <v>Descripcion: SILLA DE RUEDAS ADULTO Estado: Bueno Placa anterior: 000036416 Material: METALICO CON TAPIZADO  Color: NEGRO Referencia:  Observacion:  Placa padre: Tipo adquisicion: Entidad</v>
      </c>
      <c r="G12157" s="5"/>
    </row>
    <row r="12158" spans="1:7" ht="58.5" customHeight="1" x14ac:dyDescent="0.25">
      <c r="A12158" s="5" t="str">
        <f>"H0011952"</f>
        <v>H0011952</v>
      </c>
      <c r="B12158" s="5" t="str">
        <f>"SILLA DE RUEDAS"</f>
        <v>SILLA DE RUEDAS</v>
      </c>
      <c r="C12158" s="6">
        <v>300000</v>
      </c>
      <c r="D12158" s="5" t="s">
        <v>52</v>
      </c>
      <c r="E12158" s="5" t="str">
        <f t="shared" si="626"/>
        <v>RADIOTERAPIA-GLORIA NANCY JAIMES GONZALEZ</v>
      </c>
      <c r="F12158" s="5" t="str">
        <f>"Descripcion: SILLA DE RUEDAS ADULTO Estado: Bueno Placa anterior: 000036415 Material: METALICO CON TAPIZADO Color: NEGRO Referencia:  Observacion:  Placa padre: Tipo adquisicion: Entidad"</f>
        <v>Descripcion: SILLA DE RUEDAS ADULTO Estado: Bueno Placa anterior: 000036415 Material: METALICO CON TAPIZADO Color: NEGRO Referencia:  Observacion:  Placa padre: Tipo adquisicion: Entidad</v>
      </c>
      <c r="G12158" s="5"/>
    </row>
    <row r="12159" spans="1:7" ht="58.5" customHeight="1" x14ac:dyDescent="0.25">
      <c r="A12159" s="5" t="str">
        <f>"H0011953"</f>
        <v>H0011953</v>
      </c>
      <c r="B12159" s="5" t="str">
        <f>"SILLA DE RUEDAS"</f>
        <v>SILLA DE RUEDAS</v>
      </c>
      <c r="C12159" s="6">
        <v>300000</v>
      </c>
      <c r="D12159" s="5" t="s">
        <v>52</v>
      </c>
      <c r="E12159" s="5" t="str">
        <f t="shared" si="626"/>
        <v>RADIOTERAPIA-GLORIA NANCY JAIMES GONZALEZ</v>
      </c>
      <c r="F12159" s="5" t="str">
        <f>"Descripcion: SILLA DE RUEDAS ADULTO Estado: Bueno Placa anterior: 000036414 Material: METALICO CON TAPIZADO Color: NEGRO Referencia:  Observacion:  Placa padre: Tipo adquisicion: Entidad"</f>
        <v>Descripcion: SILLA DE RUEDAS ADULTO Estado: Bueno Placa anterior: 000036414 Material: METALICO CON TAPIZADO Color: NEGRO Referencia:  Observacion:  Placa padre: Tipo adquisicion: Entidad</v>
      </c>
      <c r="G12159" s="5"/>
    </row>
    <row r="12160" spans="1:7" ht="58.5" customHeight="1" x14ac:dyDescent="0.25">
      <c r="A12160" s="5" t="str">
        <f>"H0011955"</f>
        <v>H0011955</v>
      </c>
      <c r="B12160" s="5" t="str">
        <f>"SILLA DE RUEDAS"</f>
        <v>SILLA DE RUEDAS</v>
      </c>
      <c r="C12160" s="6">
        <v>280000</v>
      </c>
      <c r="D12160" s="5" t="s">
        <v>52</v>
      </c>
      <c r="E12160" s="5" t="str">
        <f t="shared" si="626"/>
        <v>RADIOTERAPIA-GLORIA NANCY JAIMES GONZALEZ</v>
      </c>
      <c r="F12160" s="5" t="str">
        <f>"Descripcion: SILLA DE RUEDAS PEDIATRICA Estado: Bueno Placa anterior: 000036417 Material: METALICO CON TAPIZADO NEGRO Color: ROJO, AMARILLO AZUL NEGRO Referencia:  Observacion:  Placa padre: Tipo adquisicion: Entidad"</f>
        <v>Descripcion: SILLA DE RUEDAS PEDIATRICA Estado: Bueno Placa anterior: 000036417 Material: METALICO CON TAPIZADO NEGRO Color: ROJO, AMARILLO AZUL NEGRO Referencia:  Observacion:  Placa padre: Tipo adquisicion: Entidad</v>
      </c>
      <c r="G12160" s="5"/>
    </row>
    <row r="12161" spans="1:7" ht="58.5" customHeight="1" x14ac:dyDescent="0.25">
      <c r="A12161" s="5" t="str">
        <f>"H0011957"</f>
        <v>H0011957</v>
      </c>
      <c r="B12161" s="5" t="str">
        <f>"CAMILLA ESPINAL LARGA - TABLA"</f>
        <v>CAMILLA ESPINAL LARGA - TABLA</v>
      </c>
      <c r="C12161" s="6">
        <v>464000</v>
      </c>
      <c r="D12161" s="5" t="s">
        <v>52</v>
      </c>
      <c r="E12161" s="5" t="str">
        <f t="shared" si="626"/>
        <v>RADIOTERAPIA-GLORIA NANCY JAIMES GONZALEZ</v>
      </c>
      <c r="F12161" s="5" t="str">
        <f>"Descripcion: CAMILLA O TABLA DE EMERGENCIAS (POLIPROPILENO) CON INMOVILIZADOR DE CABEZA Y CORREAS Estado: Bueno Placa anterior: 000036425 Material: PLASTICO Color: NARANJA Referencia:  Observacion:  Placa padre: Tipo adquisicion: Entidad"</f>
        <v>Descripcion: CAMILLA O TABLA DE EMERGENCIAS (POLIPROPILENO) CON INMOVILIZADOR DE CABEZA Y CORREAS Estado: Bueno Placa anterior: 000036425 Material: PLASTICO Color: NARANJA Referencia:  Observacion:  Placa padre: Tipo adquisicion: Entidad</v>
      </c>
      <c r="G12161" s="5"/>
    </row>
    <row r="12162" spans="1:7" ht="58.5" customHeight="1" x14ac:dyDescent="0.25">
      <c r="A12162" s="5" t="str">
        <f>"H0011958"</f>
        <v>H0011958</v>
      </c>
      <c r="B12162" s="5" t="str">
        <f>"EXTINTOR SOLKAFLAM 123 DE 3700GR"</f>
        <v>EXTINTOR SOLKAFLAM 123 DE 3700GR</v>
      </c>
      <c r="C12162" s="6">
        <v>199999.8</v>
      </c>
      <c r="D12162" s="5" t="s">
        <v>686</v>
      </c>
      <c r="E12162" s="5" t="str">
        <f t="shared" si="626"/>
        <v>RADIOTERAPIA-GLORIA NANCY JAIMES GONZALEZ</v>
      </c>
      <c r="F12162" s="5" t="str">
        <f>"Descripcion: Extintor de agente limpio Solkaflam de 3.700 gr, con certificación 2885 Estado: Bueno Placa anterior: 000037248 Material: METALICO Color: BLANCO Referencia:  Observacion:  Placa padre: Tipo adquisicion: Entidad"</f>
        <v>Descripcion: Extintor de agente limpio Solkaflam de 3.700 gr, con certificación 2885 Estado: Bueno Placa anterior: 000037248 Material: METALICO Color: BLANCO Referencia:  Observacion:  Placa padre: Tipo adquisicion: Entidad</v>
      </c>
      <c r="G12162" s="5"/>
    </row>
    <row r="12163" spans="1:7" ht="58.5" customHeight="1" x14ac:dyDescent="0.25">
      <c r="A12163" s="5" t="str">
        <f>"H0011961"</f>
        <v>H0011961</v>
      </c>
      <c r="B12163" s="5" t="str">
        <f>"BALA DE OXIGENO PORTATIL DE 682 LT"</f>
        <v>BALA DE OXIGENO PORTATIL DE 682 LT</v>
      </c>
      <c r="C12163" s="6">
        <v>324800</v>
      </c>
      <c r="D12163" s="5" t="s">
        <v>52</v>
      </c>
      <c r="E12163" s="5" t="str">
        <f t="shared" si="626"/>
        <v>RADIOTERAPIA-GLORIA NANCY JAIMES GONZALEZ</v>
      </c>
      <c r="F12163" s="5" t="str">
        <f>"Descripcion: BALA DE OXIGENO PORTATIL PEQUEÑA Estado: Bueno Placa anterior: 000036445 Material: METALICO Color: BLANCO Referencia:  Observacion:  Placa padre: Tipo adquisicion: Entidad"</f>
        <v>Descripcion: BALA DE OXIGENO PORTATIL PEQUEÑA Estado: Bueno Placa anterior: 000036445 Material: METALICO Color: BLANCO Referencia:  Observacion:  Placa padre: Tipo adquisicion: Entidad</v>
      </c>
      <c r="G12163" s="5"/>
    </row>
    <row r="12164" spans="1:7" ht="58.5" customHeight="1" x14ac:dyDescent="0.25">
      <c r="A12164" s="5" t="str">
        <f>"H0011963"</f>
        <v>H0011963</v>
      </c>
      <c r="B12164" s="5" t="str">
        <f>"DESFRIBILADOR"</f>
        <v>DESFRIBILADOR</v>
      </c>
      <c r="C12164" s="6">
        <v>16899999.52</v>
      </c>
      <c r="D12164" s="5" t="s">
        <v>688</v>
      </c>
      <c r="E12164" s="5" t="str">
        <f t="shared" si="626"/>
        <v>RADIOTERAPIA-GLORIA NANCY JAIMES GONZALEZ</v>
      </c>
      <c r="F12164" s="5" t="str">
        <f>"Descripcion: DESFIBRILADOR CON MONITOREO BASICO DE ELECTROCARDIOGRAFIA PARA EL CARRO DE PARO (SERVICIOD E RADIOTERAPIA) Estado: Bueno Placa anterior: 000037189 Material: METALICO Color: BEIGE Referencia:  Observacion:  Placa padre: Tipo adquisicion: Entid"&amp; "ad"</f>
        <v>Descripcion: DESFIBRILADOR CON MONITOREO BASICO DE ELECTROCARDIOGRAFIA PARA EL CARRO DE PARO (SERVICIOD E RADIOTERAPIA) Estado: Bueno Placa anterior: 000037189 Material: METALICO Color: BEIGE Referencia:  Observacion:  Placa padre: Tipo adquisicion: Entidad</v>
      </c>
      <c r="G12164" s="5" t="str">
        <f>"BENEHEART D3"</f>
        <v>BENEHEART D3</v>
      </c>
    </row>
    <row r="12165" spans="1:7" ht="58.5" customHeight="1" x14ac:dyDescent="0.25">
      <c r="A12165" s="5" t="str">
        <f>"H0011964"</f>
        <v>H0011964</v>
      </c>
      <c r="B12165" s="5" t="str">
        <f>"CARRO DE PARO"</f>
        <v>CARRO DE PARO</v>
      </c>
      <c r="C12165" s="6">
        <v>2030000</v>
      </c>
      <c r="D12165" s="5" t="s">
        <v>52</v>
      </c>
      <c r="E12165" s="5" t="str">
        <f t="shared" si="626"/>
        <v>RADIOTERAPIA-GLORIA NANCY JAIMES GONZALEZ</v>
      </c>
      <c r="F12165" s="5" t="str">
        <f>"Descripcion: CARRO DE PARO 4 GAVETAS Estado: Bueno Placa anterior: 000036444 Material: METALICO Color: BLANCO CON AZUL Referencia:  Observacion:  Placa padre: Tipo adquisicion: Entidad"</f>
        <v>Descripcion: CARRO DE PARO 4 GAVETAS Estado: Bueno Placa anterior: 000036444 Material: METALICO Color: BLANCO CON AZUL Referencia:  Observacion:  Placa padre: Tipo adquisicion: Entidad</v>
      </c>
      <c r="G12165" s="5"/>
    </row>
    <row r="12166" spans="1:7" ht="58.5" customHeight="1" x14ac:dyDescent="0.25">
      <c r="A12166" s="5" t="str">
        <f>"H0011965"</f>
        <v>H0011965</v>
      </c>
      <c r="B12166" s="5" t="str">
        <f>"ASPIRADOR DE SECRECIONES"</f>
        <v>ASPIRADOR DE SECRECIONES</v>
      </c>
      <c r="C12166" s="6">
        <v>928000</v>
      </c>
      <c r="D12166" s="5" t="s">
        <v>52</v>
      </c>
      <c r="E12166" s="5" t="str">
        <f t="shared" si="626"/>
        <v>RADIOTERAPIA-GLORIA NANCY JAIMES GONZALEZ</v>
      </c>
      <c r="F12166" s="5" t="str">
        <f>"Descripcion: ASPIRADOR DE SECRECIONES Estado: Bueno Placa anterior: 000036423 Material: PLASTICO Color: GRIS CON BEIGE Referencia:  Observacion:  Placa padre: Tipo adquisicion: Entidad"</f>
        <v>Descripcion: ASPIRADOR DE SECRECIONES Estado: Bueno Placa anterior: 000036423 Material: PLASTICO Color: GRIS CON BEIGE Referencia:  Observacion:  Placa padre: Tipo adquisicion: Entidad</v>
      </c>
      <c r="G12166" s="5"/>
    </row>
    <row r="12167" spans="1:7" ht="58.5" customHeight="1" x14ac:dyDescent="0.25">
      <c r="A12167" s="5" t="str">
        <f>"H0015901"</f>
        <v>H0015901</v>
      </c>
      <c r="B12167" s="5" t="str">
        <f>"COMPUTADOR DE MESA"</f>
        <v>COMPUTADOR DE MESA</v>
      </c>
      <c r="C12167" s="6">
        <v>1200000</v>
      </c>
      <c r="D12167" s="5"/>
      <c r="E12167" s="5" t="str">
        <f t="shared" si="626"/>
        <v>RADIOTERAPIA-GLORIA NANCY JAIMES GONZALEZ</v>
      </c>
      <c r="F12167" s="5" t="str">
        <f>"Descripcion: COMPUTADOR DE MESA MARCA DELL CORE I7 Estado: Bueno Placa anterior:  Material: PLASTICO Color: NEGRO Referencia:  Observacion:  Placa anterior:, Placa nueva=H0015903, Descripcion:TECLADO, Serial:, Marca:DELL, Modelo:, Material:PLASTICO, Color"&amp; ":NEGRO,   Referencia:, Placa anterior:, Placa nueva=H0015904, Descripcion:MOUSE OPTICO, Serial:, Marca:DELL, Modelo:M-UAV-DELL 8, Material:PLASTICO, Color:NEGRO,   Referencia:, Placa anterior:, Placa nueva=H0015902, Descripcion:MONITOR LCD 23   , Serial:4"&amp; "4103707TA, Marca:NEC, Modelo:MULTISYNC EA 234WMI -BK, Material:PLASTICO, Color:NEGRO,   Referencia: Placa padre: Tipo adquisicion: Entidad"</f>
        <v>Descripcion: COMPUTADOR DE MESA MARCA DELL CORE I7 Estado: Bueno Placa anterior:  Material: PLASTICO Color: NEGRO Referencia:  Observacion:  Placa anterior:, Placa nueva=H0015903, Descripcion:TECLADO, Serial:, Marca:DELL, Modelo:, Material:PLASTICO, Color:NEGRO,   Referencia:, Placa anterior:, Placa nueva=H0015904, Descripcion:MOUSE OPTICO, Serial:, Marca:DELL, Modelo:M-UAV-DELL 8, Material:PLASTICO, Color:NEGRO,   Referencia:, Placa anterior:, Placa nueva=H0015902, Descripcion:MONITOR LCD 23   , Serial:44103707TA, Marca:NEC, Modelo:MULTISYNC EA 234WMI -BK, Material:PLASTICO, Color:NEGRO,   Referencia: Placa padre: Tipo adquisicion: Entidad</v>
      </c>
      <c r="G12167" s="5"/>
    </row>
    <row r="12168" spans="1:7" ht="58.5" customHeight="1" x14ac:dyDescent="0.25">
      <c r="A12168" s="5" t="str">
        <f>"H0015905"</f>
        <v>H0015905</v>
      </c>
      <c r="B12168" s="5" t="str">
        <f>"COMPUTADOR TODO EN UNO"</f>
        <v>COMPUTADOR TODO EN UNO</v>
      </c>
      <c r="C12168" s="6">
        <v>2470000</v>
      </c>
      <c r="D12168" s="5" t="s">
        <v>6</v>
      </c>
      <c r="E12168" s="5" t="str">
        <f t="shared" si="626"/>
        <v>RADIOTERAPIA-GLORIA NANCY JAIMES GONZALEZ</v>
      </c>
      <c r="F12168" s="5" t="str">
        <f>"Descripcion: EQUIPO DE COMPUTO TODO EN UNO CON PROCESADOR INTEL i5 Estado: Bueno Placa anterior: 000036992 Material: PLASTICO Color: NEGRO Referencia:  Observacion:  Placa anterior:, Placa nueva=H0015906, Descripcion:TECLADO, Serial:8258997, Marca:LENOVO,"&amp; " Modelo:KU0225, Material:PLASTICO, Color:NEGRO,   Referencia:, Placa anterior:, Placa nueva=H0015907, Descripcion:MOUSE OPTICO, Serial:44PD680, Marca:LENOVO, Modelo:MOEUUOA, Material:PLASTICO, Color:NEGRO,   Referencia: Placa padre: Tipo adquisicion: Enti"&amp; "dad"</f>
        <v>Descripcion: EQUIPO DE COMPUTO TODO EN UNO CON PROCESADOR INTEL i5 Estado: Bueno Placa anterior: 000036992 Material: PLASTICO Color: NEGRO Referencia:  Observacion:  Placa anterior:, Placa nueva=H0015906, Descripcion:TECLADO, Serial:8258997, Marca:LENOVO, Modelo:KU0225, Material:PLASTICO, Color:NEGRO,   Referencia:, Placa anterior:, Placa nueva=H0015907, Descripcion:MOUSE OPTICO, Serial:44PD680, Marca:LENOVO, Modelo:MOEUUOA, Material:PLASTICO, Color:NEGRO,   Referencia: Placa padre: Tipo adquisicion: Entidad</v>
      </c>
      <c r="G12168" s="5" t="str">
        <f>"10BD-00FDLS"</f>
        <v>10BD-00FDLS</v>
      </c>
    </row>
    <row r="12169" spans="1:7" ht="58.5" customHeight="1" x14ac:dyDescent="0.25">
      <c r="A12169" s="5" t="str">
        <f>"H0015909"</f>
        <v>H0015909</v>
      </c>
      <c r="B12169" s="5" t="str">
        <f>"COMPUTADOR DE MESA"</f>
        <v>COMPUTADOR DE MESA</v>
      </c>
      <c r="C12169" s="6">
        <v>1200000</v>
      </c>
      <c r="D12169" s="5"/>
      <c r="E12169" s="5" t="str">
        <f t="shared" si="626"/>
        <v>RADIOTERAPIA-GLORIA NANCY JAIMES GONZALEZ</v>
      </c>
      <c r="F12169" s="5" t="str">
        <f>"Descripcion: COMPUTADOR DE MESA MARCA DELL CORE I7 Estado: Bueno Placa anterior:  Material: PLASTICO Color: NEGRO Referencia:  Observacion:  Placa anterior:, Placa nueva=H0015912, Descripcion:MOUSE OPTICO, Serial:, Marca:DELL, Modelo:M-UAV-DELL 8, Materia"&amp; "l:PLASTICO, Color:NEGRO,   Referencia:, Placa anterior:, Placa nueva=H0015911, Descripcion:TECLADO, Serial:, Marca:DELL, Modelo:, Material:PLASTICO, Color:NEGRO,   Referencia:, Placa anterior:, Placa nueva=H0015910, Descripcion:MONITOR LCD 23   , Serial:4"&amp; "4103120TA, Marca:NEC, Modelo:MULTISYNC EA 234WMI -BK, Material:PLASTICO, Color:NEGRO,   Referencia: Placa padre: Tipo adquisicion: Entidad"</f>
        <v>Descripcion: COMPUTADOR DE MESA MARCA DELL CORE I7 Estado: Bueno Placa anterior:  Material: PLASTICO Color: NEGRO Referencia:  Observacion:  Placa anterior:, Placa nueva=H0015912, Descripcion:MOUSE OPTICO, Serial:, Marca:DELL, Modelo:M-UAV-DELL 8, Material:PLASTICO, Color:NEGRO,   Referencia:, Placa anterior:, Placa nueva=H0015911, Descripcion:TECLADO, Serial:, Marca:DELL, Modelo:, Material:PLASTICO, Color:NEGRO,   Referencia:, Placa anterior:, Placa nueva=H0015910, Descripcion:MONITOR LCD 23   , Serial:44103120TA, Marca:NEC, Modelo:MULTISYNC EA 234WMI -BK, Material:PLASTICO, Color:NEGRO,   Referencia: Placa padre: Tipo adquisicion: Entidad</v>
      </c>
      <c r="G12169" s="5"/>
    </row>
    <row r="12170" spans="1:7" ht="58.5" customHeight="1" x14ac:dyDescent="0.25">
      <c r="A12170" s="5" t="str">
        <f>"H0015914"</f>
        <v>H0015914</v>
      </c>
      <c r="B12170" s="5" t="str">
        <f>"MANUALES (LIBRO GUIA)"</f>
        <v>MANUALES (LIBRO GUIA)</v>
      </c>
      <c r="C12170" s="6">
        <v>1</v>
      </c>
      <c r="D12170" s="5"/>
      <c r="E12170" s="5" t="str">
        <f t="shared" si="626"/>
        <v>RADIOTERAPIA-GLORIA NANCY JAIMES GONZALEZ</v>
      </c>
      <c r="F12170" s="5" t="str">
        <f>"Descripcion: MANUAL DE GUIAS DE PRACTICA CLINICA EN ENFERMEDADES NEOPLASTICAS. Estado: Bueno Placa anterior: 000022017 Material: PAPEL Color: BLANCO Referencia:  Observacion:  Placa padre: Tipo adquisicion: Entidad"</f>
        <v>Descripcion: MANUAL DE GUIAS DE PRACTICA CLINICA EN ENFERMEDADES NEOPLASTICAS. Estado: Bueno Placa anterior: 000022017 Material: PAPEL Color: BLANCO Referencia:  Observacion:  Placa padre: Tipo adquisicion: Entidad</v>
      </c>
      <c r="G12170" s="5"/>
    </row>
    <row r="12171" spans="1:7" ht="58.5" customHeight="1" x14ac:dyDescent="0.25">
      <c r="A12171" s="5" t="str">
        <f>"H0015918"</f>
        <v>H0015918</v>
      </c>
      <c r="B12171" s="5" t="str">
        <f>"COMPUTADOR DE MESA"</f>
        <v>COMPUTADOR DE MESA</v>
      </c>
      <c r="C12171" s="6">
        <v>1200000</v>
      </c>
      <c r="D12171" s="5"/>
      <c r="E12171" s="5" t="str">
        <f t="shared" si="626"/>
        <v>RADIOTERAPIA-GLORIA NANCY JAIMES GONZALEZ</v>
      </c>
      <c r="F12171" s="5" t="str">
        <f>"Descripcion: COMPUTADOR DE MESA MARCA DELL CORE I7 Estado: Bueno Placa anterior:  Material: PLASTICO Color: NEGRO Referencia:  Observacion:  Placa anterior:, Placa nueva=H0015920, Descripcion:TECLADO, Serial:, Marca:DELL, Modelo:DP-N04G481, Material:PLAST"&amp; "ICO, Color:NEGRO,   Referencia:, Placa anterior:, Placa nueva=H0015921, Descripcion:MOUSE OPTICO, Serial:, Marca:DELL, Modelo:MS111-P, Material:PLASTICO, Color:NEGRO,   Referencia:, Placa anterior:, Placa nueva=H0015919, Descripcion:MONITOR LCD 23   , Ser"&amp; "ial:44103708TA, Marca:NEC, Modelo:MULTISYNC EA 234WMI -BK, Material:PLASTICO, Color:NEGRO,   Referencia: Placa padre: Tipo adquisicion: Entidad"</f>
        <v>Descripcion: COMPUTADOR DE MESA MARCA DELL CORE I7 Estado: Bueno Placa anterior:  Material: PLASTICO Color: NEGRO Referencia:  Observacion:  Placa anterior:, Placa nueva=H0015920, Descripcion:TECLADO, Serial:, Marca:DELL, Modelo:DP-N04G481, Material:PLASTICO, Color:NEGRO,   Referencia:, Placa anterior:, Placa nueva=H0015921, Descripcion:MOUSE OPTICO, Serial:, Marca:DELL, Modelo:MS111-P, Material:PLASTICO, Color:NEGRO,   Referencia:, Placa anterior:, Placa nueva=H0015919, Descripcion:MONITOR LCD 23   , Serial:44103708TA, Marca:NEC, Modelo:MULTISYNC EA 234WMI -BK, Material:PLASTICO, Color:NEGRO,   Referencia: Placa padre: Tipo adquisicion: Entidad</v>
      </c>
      <c r="G12171" s="5"/>
    </row>
    <row r="12172" spans="1:7" ht="58.5" customHeight="1" x14ac:dyDescent="0.25">
      <c r="A12172" s="5" t="str">
        <f>"H0015924"</f>
        <v>H0015924</v>
      </c>
      <c r="B12172" s="5" t="str">
        <f>"TALADRO"</f>
        <v>TALADRO</v>
      </c>
      <c r="C12172" s="6">
        <v>1147240</v>
      </c>
      <c r="D12172" s="5" t="s">
        <v>445</v>
      </c>
      <c r="E12172" s="5" t="str">
        <f t="shared" si="626"/>
        <v>RADIOTERAPIA-GLORIA NANCY JAIMES GONZALEZ</v>
      </c>
      <c r="F12172" s="5" t="str">
        <f>"Descripcion: TALADRO PARA PERFORAR BLOQUES.RESISTENTE AL CALOR.VOLTAJE DE 120VAC.POTENCIA MINIMA 1200WATS Estado: Bueno Placa anterior: 000037208 Material: METALICO Y PLASTICO Color: ROJO CON NEGRO Referencia:  Observacion:  Placa padre: Tipo adquisicion:"&amp; " Entidad"</f>
        <v>Descripcion: TALADRO PARA PERFORAR BLOQUES.RESISTENTE AL CALOR.VOLTAJE DE 120VAC.POTENCIA MINIMA 1200WATS Estado: Bueno Placa anterior: 000037208 Material: METALICO Y PLASTICO Color: ROJO CON NEGRO Referencia:  Observacion:  Placa padre: Tipo adquisicion: Entidad</v>
      </c>
      <c r="G12172" s="5"/>
    </row>
    <row r="12173" spans="1:7" ht="58.5" customHeight="1" x14ac:dyDescent="0.25">
      <c r="A12173" s="5" t="str">
        <f>"H0015925"</f>
        <v>H0015925</v>
      </c>
      <c r="B12173" s="5" t="str">
        <f>"EXTRACTOR ELECTRONICO"</f>
        <v>EXTRACTOR ELECTRONICO</v>
      </c>
      <c r="C12173" s="6">
        <v>8841520</v>
      </c>
      <c r="D12173" s="5" t="s">
        <v>521</v>
      </c>
      <c r="E12173" s="5" t="str">
        <f t="shared" si="626"/>
        <v>RADIOTERAPIA-GLORIA NANCY JAIMES GONZALEZ</v>
      </c>
      <c r="F12173" s="5" t="str">
        <f>"Descripcion: EXTRACTOR LIPIADOR DE AIRE ELECTRONICO 120VAC. CON CONEXION ELETRICA MARCA X-400 SMOKEMASTER Estado: Bueno Placa anterior: 000036453 Material: METALICO Color: GRIS CON BLANCO Referencia:  Observacion:  Placa padre: Tipo adquisicion: Entidad"</f>
        <v>Descripcion: EXTRACTOR LIPIADOR DE AIRE ELECTRONICO 120VAC. CON CONEXION ELETRICA MARCA X-400 SMOKEMASTER Estado: Bueno Placa anterior: 000036453 Material: METALICO Color: GRIS CON BLANCO Referencia:  Observacion:  Placa padre: Tipo adquisicion: Entidad</v>
      </c>
      <c r="G12173" s="5"/>
    </row>
    <row r="12174" spans="1:7" ht="58.5" customHeight="1" x14ac:dyDescent="0.25">
      <c r="A12174" s="5" t="str">
        <f>"H0015926"</f>
        <v>H0015926</v>
      </c>
      <c r="B12174" s="5" t="str">
        <f>"HORNO DE FUNDICION"</f>
        <v>HORNO DE FUNDICION</v>
      </c>
      <c r="C12174" s="6">
        <v>5940360</v>
      </c>
      <c r="D12174" s="5" t="s">
        <v>445</v>
      </c>
      <c r="E12174" s="5" t="str">
        <f t="shared" si="626"/>
        <v>RADIOTERAPIA-GLORIA NANCY JAIMES GONZALEZ</v>
      </c>
      <c r="F12174" s="5" t="str">
        <f>"Descripcion: HORNO DE FUNDICION (cerroband) Galones 1.5 Voltaje de 120VAC, FRECUENCIA DE 50/60hZ Estado: Bueno Placa anterior: 000037209 Material: METALICO Color: GRIS Referencia:  Observacion:  Placa padre: Tipo adquisicion: Entidad"</f>
        <v>Descripcion: HORNO DE FUNDICION (cerroband) Galones 1.5 Voltaje de 120VAC, FRECUENCIA DE 50/60hZ Estado: Bueno Placa anterior: 000037209 Material: METALICO Color: GRIS Referencia:  Observacion:  Placa padre: Tipo adquisicion: Entidad</v>
      </c>
      <c r="G12174" s="5"/>
    </row>
    <row r="12175" spans="1:7" ht="58.5" customHeight="1" x14ac:dyDescent="0.25">
      <c r="A12175" s="5" t="str">
        <f>"H0015927"</f>
        <v>H0015927</v>
      </c>
      <c r="B12175" s="5" t="str">
        <f>"CORTADORA DE ICOPOR"</f>
        <v>CORTADORA DE ICOPOR</v>
      </c>
      <c r="C12175" s="6">
        <v>2369880</v>
      </c>
      <c r="D12175" s="5" t="s">
        <v>445</v>
      </c>
      <c r="E12175" s="5" t="str">
        <f t="shared" si="626"/>
        <v>RADIOTERAPIA-GLORIA NANCY JAIMES GONZALEZ</v>
      </c>
      <c r="F12175" s="5" t="str">
        <f>"Descripcion: CORTADOR DE ICOPOR BLOQUES DE ELECTRONES.TEMPERATURA DEL CABLE 100 A 200°C, ALAMBRE NICHROME.VOLTAJE DE 110-120 VAC FRECUENCIA DE 60HZ Estado: Bueno Placa anterior: 000037207 Material: METALICO Color: VERDE Referencia:  Observacion:  Placa pa"&amp; "dre: Tipo adquisicion: Entidad"</f>
        <v>Descripcion: CORTADOR DE ICOPOR BLOQUES DE ELECTRONES.TEMPERATURA DEL CABLE 100 A 200°C, ALAMBRE NICHROME.VOLTAJE DE 110-120 VAC FRECUENCIA DE 60HZ Estado: Bueno Placa anterior: 000037207 Material: METALICO Color: VERDE Referencia:  Observacion:  Placa padre: Tipo adquisicion: Entidad</v>
      </c>
      <c r="G12175" s="5"/>
    </row>
    <row r="12176" spans="1:7" ht="58.5" customHeight="1" x14ac:dyDescent="0.25">
      <c r="A12176" s="5" t="str">
        <f>"H0015930"</f>
        <v>H0015930</v>
      </c>
      <c r="B12176" s="5" t="str">
        <f>"ESCALERILLA DE 2 PASOS"</f>
        <v>ESCALERILLA DE 2 PASOS</v>
      </c>
      <c r="C12176" s="6">
        <v>69600</v>
      </c>
      <c r="D12176" s="5" t="s">
        <v>52</v>
      </c>
      <c r="E12176" s="5" t="str">
        <f t="shared" si="626"/>
        <v>RADIOTERAPIA-GLORIA NANCY JAIMES GONZALEZ</v>
      </c>
      <c r="F12176" s="5" t="str">
        <f>"Descripcion: ESCALERILLA DE DOS PASOS Estado: Bueno Placa anterior: 000036439 Material: METALICO CON PASOS EN MADERA Color: BLANCO CON NEGRO Referencia:  Observacion:  Placa padre: Tipo adquisicion: Entidad"</f>
        <v>Descripcion: ESCALERILLA DE DOS PASOS Estado: Bueno Placa anterior: 000036439 Material: METALICO CON PASOS EN MADERA Color: BLANCO CON NEGRO Referencia:  Observacion:  Placa padre: Tipo adquisicion: Entidad</v>
      </c>
      <c r="G12176" s="5"/>
    </row>
    <row r="12177" spans="1:7" ht="58.5" customHeight="1" x14ac:dyDescent="0.25">
      <c r="A12177" s="5" t="str">
        <f>"H0015940"</f>
        <v>H0015940</v>
      </c>
      <c r="B12177" s="5" t="str">
        <f>"MANOMETRO PARA OXIGENO"</f>
        <v>MANOMETRO PARA OXIGENO</v>
      </c>
      <c r="C12177" s="6">
        <v>165880</v>
      </c>
      <c r="D12177" s="5" t="s">
        <v>52</v>
      </c>
      <c r="E12177" s="5" t="str">
        <f t="shared" si="626"/>
        <v>RADIOTERAPIA-GLORIA NANCY JAIMES GONZALEZ</v>
      </c>
      <c r="F12177" s="5" t="str">
        <f>"Descripcion: MANOMETRO PARA BALA DE OXIGENO Estado: Bueno Placa anterior: 000036424 Material: METALICO Color: CROMADO Referencia:  Observacion:  Placa padre: Tipo adquisicion: Entidad"</f>
        <v>Descripcion: MANOMETRO PARA BALA DE OXIGENO Estado: Bueno Placa anterior: 000036424 Material: METALICO Color: CROMADO Referencia:  Observacion:  Placa padre: Tipo adquisicion: Entidad</v>
      </c>
      <c r="G12177" s="5"/>
    </row>
    <row r="12178" spans="1:7" ht="58.5" customHeight="1" x14ac:dyDescent="0.25">
      <c r="A12178" s="5" t="str">
        <f>"H0016029"</f>
        <v>H0016029</v>
      </c>
      <c r="B12178" s="5" t="str">
        <f>"PUESTO DE TRABAJO EN L"</f>
        <v>PUESTO DE TRABAJO EN L</v>
      </c>
      <c r="C12178" s="6">
        <v>524000.14</v>
      </c>
      <c r="D12178" s="5" t="s">
        <v>445</v>
      </c>
      <c r="E12178" s="5" t="str">
        <f t="shared" si="626"/>
        <v>RADIOTERAPIA-GLORIA NANCY JAIMES GONZALEZ</v>
      </c>
      <c r="F12178" s="5" t="str">
        <f>"Descripcion: ESCRITORIO AGLOMERADO EN L MADERA.COMPUESTO POR ESCRITORIOS A:1.40X60 DE FONDO DE 3CM DE GROSOR, 1 GAVETA EN MELANINA Y BASE METALICA.B:1X60 DE FONDO 3 CM DE GROSOR, 1 GAVETA EN MELANINA BASE METALICA Estado: Bueno Placa anterior: 000037205 M"&amp; "aterial: FORMICA Color: MARRON Referencia:  Observacion:  Placa padre: Tipo adquisicion: Entidad"</f>
        <v>Descripcion: ESCRITORIO AGLOMERADO EN L MADERA.COMPUESTO POR ESCRITORIOS A:1.40X60 DE FONDO DE 3CM DE GROSOR, 1 GAVETA EN MELANINA Y BASE METALICA.B:1X60 DE FONDO 3 CM DE GROSOR, 1 GAVETA EN MELANINA BASE METALICA Estado: Bueno Placa anterior: 000037205 Material: FORMICA Color: MARRON Referencia:  Observacion:  Placa padre: Tipo adquisicion: Entidad</v>
      </c>
      <c r="G12178" s="5"/>
    </row>
    <row r="12179" spans="1:7" ht="58.5" customHeight="1" x14ac:dyDescent="0.25">
      <c r="A12179" s="5" t="str">
        <f>"H0016031"</f>
        <v>H0016031</v>
      </c>
      <c r="B12179" s="5" t="str">
        <f>"COMPUTADOR TODO EN UNO"</f>
        <v>COMPUTADOR TODO EN UNO</v>
      </c>
      <c r="C12179" s="6">
        <v>2470000</v>
      </c>
      <c r="D12179" s="5" t="s">
        <v>6</v>
      </c>
      <c r="E12179" s="5" t="str">
        <f t="shared" si="626"/>
        <v>RADIOTERAPIA-GLORIA NANCY JAIMES GONZALEZ</v>
      </c>
      <c r="F12179" s="5" t="str">
        <f>"Descripcion: EQUIPO DE COMPUTO TODO EN UNO CON PROCESADOR INTEL i5 Estado: Bueno Placa anterior: 000036989 Material: PASTA Color: NEGRO Referencia:  Observacion:  Placa anterior:, Placa nueva=H0016033, Descripcion:., Serial:44PD0840515, Marca:LENOVO, Mode"&amp; "lo:MOEUUOA, Material:PASTA, Color:NEGRO,   Referencia:SM50F76959, Placa anterior:, Placa nueva=H0016032, Descripcion:., Serial:8259048, Marca:LENOVO, Modelo:KU-0225, Material:PASTA, Color:NEGRO,   Referencia:54Y9424 Placa padre: Tipo adquisicion: Entidad"</f>
        <v>Descripcion: EQUIPO DE COMPUTO TODO EN UNO CON PROCESADOR INTEL i5 Estado: Bueno Placa anterior: 000036989 Material: PASTA Color: NEGRO Referencia:  Observacion:  Placa anterior:, Placa nueva=H0016033, Descripcion:., Serial:44PD0840515, Marca:LENOVO, Modelo:MOEUUOA, Material:PASTA, Color:NEGRO,   Referencia:SM50F76959, Placa anterior:, Placa nueva=H0016032, Descripcion:., Serial:8259048, Marca:LENOVO, Modelo:KU-0225, Material:PASTA, Color:NEGRO,   Referencia:54Y9424 Placa padre: Tipo adquisicion: Entidad</v>
      </c>
      <c r="G12179" s="5" t="str">
        <f>"10BD-00FDLS"</f>
        <v>10BD-00FDLS</v>
      </c>
    </row>
    <row r="12180" spans="1:7" ht="58.5" customHeight="1" x14ac:dyDescent="0.25">
      <c r="A12180" s="5" t="str">
        <f>"H0016034"</f>
        <v>H0016034</v>
      </c>
      <c r="B12180" s="5" t="str">
        <f>"MESA DE NOCHE"</f>
        <v>MESA DE NOCHE</v>
      </c>
      <c r="C12180" s="6">
        <v>327586</v>
      </c>
      <c r="D12180" s="5"/>
      <c r="E12180" s="5" t="str">
        <f t="shared" si="626"/>
        <v>RADIOTERAPIA-GLORIA NANCY JAIMES GONZALEZ</v>
      </c>
      <c r="F12180" s="5" t="str">
        <f>"Descripcion: PARTIDA Estado: Inservible Placa anterior: 000033041 Material: ACERO INOXIDABLE Color:  Referencia:  Observacion: AUTORIZADO CONCILIAR EN CRUCE GENERAL Placa padre: Tipo adquisicion: Entidad"</f>
        <v>Descripcion: PARTIDA Estado: Inservible Placa anterior: 000033041 Material: ACERO INOXIDABLE Color:  Referencia:  Observacion: AUTORIZADO CONCILIAR EN CRUCE GENERAL Placa padre: Tipo adquisicion: Entidad</v>
      </c>
      <c r="G12180" s="5"/>
    </row>
    <row r="12181" spans="1:7" ht="58.5" customHeight="1" x14ac:dyDescent="0.25">
      <c r="A12181" s="5" t="str">
        <f>"H0016035"</f>
        <v>H0016035</v>
      </c>
      <c r="B12181" s="5" t="str">
        <f>"CAMILLA FIJA (TIPO DIVAN)"</f>
        <v>CAMILLA FIJA (TIPO DIVAN)</v>
      </c>
      <c r="C12181" s="6">
        <v>50000</v>
      </c>
      <c r="D12181" s="5" t="s">
        <v>687</v>
      </c>
      <c r="E12181" s="5" t="str">
        <f t="shared" si="626"/>
        <v>RADIOTERAPIA-GLORIA NANCY JAIMES GONZALEZ</v>
      </c>
      <c r="F12181" s="5" t="str">
        <f>"Descripcion: CAMILLA Estado: Bueno Placa anterior: 000038260 Material: METALICO Color: BEIGE Referencia:  Observacion:  Placa padre: Tipo adquisicion: Donacion"</f>
        <v>Descripcion: CAMILLA Estado: Bueno Placa anterior: 000038260 Material: METALICO Color: BEIGE Referencia:  Observacion:  Placa padre: Tipo adquisicion: Donacion</v>
      </c>
      <c r="G12181" s="5"/>
    </row>
    <row r="12182" spans="1:7" ht="58.5" customHeight="1" x14ac:dyDescent="0.25">
      <c r="A12182" s="5" t="str">
        <f>"H0016037"</f>
        <v>H0016037</v>
      </c>
      <c r="B12182" s="5" t="str">
        <f>"POTE (TARRO) ACERO INXODABLE CON TAPA MEDIANO"</f>
        <v>POTE (TARRO) ACERO INXODABLE CON TAPA MEDIANO</v>
      </c>
      <c r="C12182" s="6">
        <v>8784.7999999999993</v>
      </c>
      <c r="D12182" s="5"/>
      <c r="E12182" s="5" t="str">
        <f t="shared" si="626"/>
        <v>RADIOTERAPIA-GLORIA NANCY JAIMES GONZALEZ</v>
      </c>
      <c r="F12182" s="5" t="str">
        <f>"Descripcion: TARRO NIQUELADO Estado: Bueno Placa anterior: 000009408 Material: ACERO INOXIDABLE Color:  Referencia:  Observacion:  Placa padre: Tipo adquisicion: Entidad"</f>
        <v>Descripcion: TARRO NIQUELADO Estado: Bueno Placa anterior: 000009408 Material: ACERO INOXIDABLE Color:  Referencia:  Observacion:  Placa padre: Tipo adquisicion: Entidad</v>
      </c>
      <c r="G12182" s="5"/>
    </row>
    <row r="12183" spans="1:7" ht="58.5" customHeight="1" x14ac:dyDescent="0.25">
      <c r="A12183" s="5" t="str">
        <f>"H0016038"</f>
        <v>H0016038</v>
      </c>
      <c r="B12183" s="5" t="str">
        <f>"TENSIOMETRO ANEROIDE DE PARED ADULTO"</f>
        <v>TENSIOMETRO ANEROIDE DE PARED ADULTO</v>
      </c>
      <c r="C12183" s="6">
        <v>464000</v>
      </c>
      <c r="D12183" s="5"/>
      <c r="E12183" s="5" t="str">
        <f t="shared" ref="E12183:E12214" si="627">"RADIOTERAPIA-GLORIA NANCY JAIMES GONZALEZ"</f>
        <v>RADIOTERAPIA-GLORIA NANCY JAIMES GONZALEZ</v>
      </c>
      <c r="F12183" s="5" t="str">
        <f>"Descripcion: CON BRAZALETE Estado: Bueno Placa anterior: 000039076 Material: PASTA Color: GRIS AZUL Referencia: CE0124 Observacion:  Placa padre: Tipo adquisicion: Entidad"</f>
        <v>Descripcion: CON BRAZALETE Estado: Bueno Placa anterior: 000039076 Material: PASTA Color: GRIS AZUL Referencia: CE0124 Observacion:  Placa padre: Tipo adquisicion: Entidad</v>
      </c>
      <c r="G12183" s="5" t="str">
        <f>"BIGBENROUND"</f>
        <v>BIGBENROUND</v>
      </c>
    </row>
    <row r="12184" spans="1:7" ht="58.5" customHeight="1" x14ac:dyDescent="0.25">
      <c r="A12184" s="5" t="str">
        <f>"H0016039"</f>
        <v>H0016039</v>
      </c>
      <c r="B12184" s="5" t="str">
        <f>"AIRE ACONDICIONADO TIPO SPLIT 9000 BTU"</f>
        <v>AIRE ACONDICIONADO TIPO SPLIT 9000 BTU</v>
      </c>
      <c r="C12184" s="6">
        <v>986000</v>
      </c>
      <c r="D12184" s="5"/>
      <c r="E12184" s="5" t="str">
        <f t="shared" si="627"/>
        <v>RADIOTERAPIA-GLORIA NANCY JAIMES GONZALEZ</v>
      </c>
      <c r="F12184" s="5" t="str">
        <f>"Descripcion: INVERTER V9000 BTU Estado: Bueno Placa anterior:  Material: PASTA Color: BLANCO Referencia: R-410A Observacion:  Placa padre: Tipo adquisicion: Entidad"</f>
        <v>Descripcion: INVERTER V9000 BTU Estado: Bueno Placa anterior:  Material: PASTA Color: BLANCO Referencia: R-410A Observacion:  Placa padre: Tipo adquisicion: Entidad</v>
      </c>
      <c r="G12184" s="5" t="str">
        <f>"VM092CENW0"</f>
        <v>VM092CENW0</v>
      </c>
    </row>
    <row r="12185" spans="1:7" ht="58.5" customHeight="1" x14ac:dyDescent="0.25">
      <c r="A12185" s="5" t="str">
        <f>"H0016040"</f>
        <v>H0016040</v>
      </c>
      <c r="B12185" s="5" t="str">
        <f>"SILLA INTERLOCUTORA (FIJA) SIN BRAZOS"</f>
        <v>SILLA INTERLOCUTORA (FIJA) SIN BRAZOS</v>
      </c>
      <c r="C12185" s="6">
        <v>97999.76</v>
      </c>
      <c r="D12185" s="5" t="s">
        <v>445</v>
      </c>
      <c r="E12185" s="5" t="str">
        <f t="shared" si="627"/>
        <v>RADIOTERAPIA-GLORIA NANCY JAIMES GONZALEZ</v>
      </c>
      <c r="F12185" s="5" t="str">
        <f>"Descripcion: SILLAS INTERLOCUTORA SILLA METALICA CLIENTETAPIZADA EN PAÑO NEGRO Estado: Bueno Placa anterior: 000037204 Material: METAL Color: NEGRO Referencia:  Observacion:  Placa padre: Tipo adquisicion: Entidad"</f>
        <v>Descripcion: SILLAS INTERLOCUTORA SILLA METALICA CLIENTETAPIZADA EN PAÑO NEGRO Estado: Bueno Placa anterior: 000037204 Material: METAL Color: NEGRO Referencia:  Observacion:  Placa padre: Tipo adquisicion: Entidad</v>
      </c>
      <c r="G12185" s="5"/>
    </row>
    <row r="12186" spans="1:7" ht="58.5" customHeight="1" x14ac:dyDescent="0.25">
      <c r="A12186" s="5" t="str">
        <f>"H0016041"</f>
        <v>H0016041</v>
      </c>
      <c r="B12186" s="5" t="str">
        <f>"SILLA INTERLOCUTORA (FIJA) SIN BRAZOS"</f>
        <v>SILLA INTERLOCUTORA (FIJA) SIN BRAZOS</v>
      </c>
      <c r="C12186" s="6">
        <v>97999.76</v>
      </c>
      <c r="D12186" s="5" t="s">
        <v>445</v>
      </c>
      <c r="E12186" s="5" t="str">
        <f t="shared" si="627"/>
        <v>RADIOTERAPIA-GLORIA NANCY JAIMES GONZALEZ</v>
      </c>
      <c r="F12186" s="5" t="str">
        <f>"Descripcion: SILLAS INTERLOCUTORA SILLA METALICA CLIENTETAPIZADA EN PAÑO NEGRO Estado: Bueno Placa anterior: 000037201 Material: METAL Color: NEGRO Referencia:  Observacion:  Placa padre: Tipo adquisicion: Entidad"</f>
        <v>Descripcion: SILLAS INTERLOCUTORA SILLA METALICA CLIENTETAPIZADA EN PAÑO NEGRO Estado: Bueno Placa anterior: 000037201 Material: METAL Color: NEGRO Referencia:  Observacion:  Placa padre: Tipo adquisicion: Entidad</v>
      </c>
      <c r="G12186" s="5"/>
    </row>
    <row r="12187" spans="1:7" ht="58.5" customHeight="1" x14ac:dyDescent="0.25">
      <c r="A12187" s="5" t="str">
        <f>"H0016042"</f>
        <v>H0016042</v>
      </c>
      <c r="B12187" s="5" t="str">
        <f>"NEGATOSCOPIO"</f>
        <v>NEGATOSCOPIO</v>
      </c>
      <c r="C12187" s="6">
        <v>50000</v>
      </c>
      <c r="D12187" s="5"/>
      <c r="E12187" s="5" t="str">
        <f t="shared" si="627"/>
        <v>RADIOTERAPIA-GLORIA NANCY JAIMES GONZALEZ</v>
      </c>
      <c r="F12187" s="5" t="str">
        <f>"Descripcion: NEGATOSCOPIO 1 CUERPO Estado: Bueno Placa anterior: 000038172 Material: PASTA Color: NEGRO Referencia:  Observacion:  Placa padre: Tipo adquisicion: Donacion"</f>
        <v>Descripcion: NEGATOSCOPIO 1 CUERPO Estado: Bueno Placa anterior: 000038172 Material: PASTA Color: NEGRO Referencia:  Observacion:  Placa padre: Tipo adquisicion: Donacion</v>
      </c>
      <c r="G12187" s="5"/>
    </row>
    <row r="12188" spans="1:7" ht="58.5" customHeight="1" x14ac:dyDescent="0.25">
      <c r="A12188" s="5" t="str">
        <f>"H0016044"</f>
        <v>H0016044</v>
      </c>
      <c r="B12188" s="5" t="str">
        <f>"COMPUTADOR TODO EN UNO"</f>
        <v>COMPUTADOR TODO EN UNO</v>
      </c>
      <c r="C12188" s="6">
        <v>1572000</v>
      </c>
      <c r="D12188" s="5" t="s">
        <v>346</v>
      </c>
      <c r="E12188" s="5" t="str">
        <f t="shared" si="627"/>
        <v>RADIOTERAPIA-GLORIA NANCY JAIMES GONZALEZ</v>
      </c>
      <c r="F12188" s="5" t="str">
        <f>"Descripcion: EQUIPOS DE COMPUTO TODO EN UNO PROCESADOR CORE 3.0 SUPERIOR CORPORATIVO WINDOWS 8 PRO- OFFICE 2013 SMALL BUSINES, TECNOLOGIA HT DE INTEL GARANTIA EXTENDIDA A 3 AÑOS 20 PULGADAS Estado: Bueno Placa anterior: 000030685 Material: PASTA Color: NE"&amp; "GRO Referencia: C9G88LT#ABM Observacion:  Placa anterior:, Placa nueva=H0016045, Descripcion:., Serial:BDMHE0C5Y5X1DW, Marca:HP, Modelo:KU-1156, Material:PASTA, Color:NEGRO,   Referencia:672647-163LA, Placa anterior:, Placa nueva=H0016046, Descripcion:OPT"&amp; "ICO, Serial:FCMHH0CQW6AFLN, Marca:HP, Modelo:SM-2022, Material:PASTA, Color:NEGRO,   Referencia:672652-001, Placa anterior:000030628, Placa nueva=B0003887, Descripcion:LICENCIA OFFICE HOME AND BUSIMESS 2013, Serial:99994785864412, Marca:, Modelo:, Materia"&amp; "l:, Color:,   Referencia: Placa padre: Tipo adquisicion: Entidad"</f>
        <v>Descripcion: EQUIPOS DE COMPUTO TODO EN UNO PROCESADOR CORE 3.0 SUPERIOR CORPORATIVO WINDOWS 8 PRO- OFFICE 2013 SMALL BUSINES, TECNOLOGIA HT DE INTEL GARANTIA EXTENDIDA A 3 AÑOS 20 PULGADAS Estado: Bueno Placa anterior: 000030685 Material: PASTA Color: NEGRO Referencia: C9G88LT#ABM Observacion:  Placa anterior:, Placa nueva=H0016045, Descripcion:., Serial:BDMHE0C5Y5X1DW, Marca:HP, Modelo:KU-1156, Material:PASTA, Color:NEGRO,   Referencia:672647-163LA, Placa anterior:, Placa nueva=H0016046, Descripcion:OPTICO, Serial:FCMHH0CQW6AFLN, Marca:HP, Modelo:SM-2022, Material:PASTA, Color:NEGRO,   Referencia:672652-001, Placa anterior:000030628, Placa nueva=B0003887, Descripcion:LICENCIA OFFICE HOME AND BUSIMESS 2013, Serial:99994785864412, Marca:, Modelo:, Material:, Color:,   Referencia: Placa padre: Tipo adquisicion: Entidad</v>
      </c>
      <c r="G12188" s="5" t="str">
        <f>"HP COMPAQ PRO 4300"</f>
        <v>HP COMPAQ PRO 4300</v>
      </c>
    </row>
    <row r="12189" spans="1:7" ht="58.5" customHeight="1" x14ac:dyDescent="0.25">
      <c r="A12189" s="5" t="str">
        <f>"H0016048"</f>
        <v>H0016048</v>
      </c>
      <c r="B12189" s="5" t="str">
        <f>"EQUIPO DE RADIOTERAPIA (RADIOLOGICO)"</f>
        <v>EQUIPO DE RADIOTERAPIA (RADIOLOGICO)</v>
      </c>
      <c r="C12189" s="6">
        <v>4510600000</v>
      </c>
      <c r="D12189" s="5" t="s">
        <v>52</v>
      </c>
      <c r="E12189" s="5" t="str">
        <f t="shared" si="627"/>
        <v>RADIOTERAPIA-GLORIA NANCY JAIMES GONZALEZ</v>
      </c>
      <c r="F12189" s="5" t="str">
        <f>"Descripcion:  EQUIPO RADIOTERAPIA. Acelerador lineal de alta energía Clinac IX Energía Dual de Fotones: 6/16 MV Visualización de la energía de los fotones: BJR11 Tasa de dosis en fotones: 600 UM / min Tasa de dosis en fotones: 100, 200, 300, 400, 500 y 60"&amp; "0 UM/min UM  Estado: Bueno Placa anterior: 000036454 Material:  Color:  Referencia:  Observacion: COMPONENTES DEL EQUIPO DE RADIOTERAPIA : H0016049-H0016095 Placa padre: Tipo adquisicion: Entidad"</f>
        <v>Descripcion:  EQUIPO RADIOTERAPIA. Acelerador lineal de alta energía Clinac IX Energía Dual de Fotones: 6/16 MV Visualización de la energía de los fotones: BJR11 Tasa de dosis en fotones: 600 UM / min Tasa de dosis en fotones: 100, 200, 300, 400, 500 y 600 UM/min UM  Estado: Bueno Placa anterior: 000036454 Material:  Color:  Referencia:  Observacion: COMPONENTES DEL EQUIPO DE RADIOTERAPIA : H0016049-H0016095 Placa padre: Tipo adquisicion: Entidad</v>
      </c>
      <c r="G12189" s="5"/>
    </row>
    <row r="12190" spans="1:7" ht="58.5" customHeight="1" x14ac:dyDescent="0.25">
      <c r="A12190" s="5" t="str">
        <f>"H0016097"</f>
        <v>H0016097</v>
      </c>
      <c r="B12190" s="5" t="str">
        <f>"SILLA ERGONOMICA SIN BRAZOS CON REPOSAPIES"</f>
        <v>SILLA ERGONOMICA SIN BRAZOS CON REPOSAPIES</v>
      </c>
      <c r="C12190" s="6">
        <v>447180</v>
      </c>
      <c r="D12190" s="5" t="s">
        <v>689</v>
      </c>
      <c r="E12190" s="5" t="str">
        <f t="shared" si="627"/>
        <v>RADIOTERAPIA-GLORIA NANCY JAIMES GONZALEZ</v>
      </c>
      <c r="F12190" s="5" t="str">
        <f>"Descripcion: SILLA INDUSTRIAL ERGONOMICA AT 03 ta TAPIZADO ASIENTO Estado: Bueno Placa anterior: 000037677 Material: PASTA CUERO Color: NEGRO Referencia:  Observacion:  Placa padre: Tipo adquisicion: Entidad"</f>
        <v>Descripcion: SILLA INDUSTRIAL ERGONOMICA AT 03 ta TAPIZADO ASIENTO Estado: Bueno Placa anterior: 000037677 Material: PASTA CUERO Color: NEGRO Referencia:  Observacion:  Placa padre: Tipo adquisicion: Entidad</v>
      </c>
      <c r="G12190" s="5"/>
    </row>
    <row r="12191" spans="1:7" ht="58.5" customHeight="1" x14ac:dyDescent="0.25">
      <c r="A12191" s="5" t="str">
        <f>"H0016098"</f>
        <v>H0016098</v>
      </c>
      <c r="B12191" s="5" t="str">
        <f>"SILLA ERGONOMICA SIN BRAZOS CON REPOSAPIES"</f>
        <v>SILLA ERGONOMICA SIN BRAZOS CON REPOSAPIES</v>
      </c>
      <c r="C12191" s="6">
        <v>447180</v>
      </c>
      <c r="D12191" s="5" t="s">
        <v>689</v>
      </c>
      <c r="E12191" s="5" t="str">
        <f t="shared" si="627"/>
        <v>RADIOTERAPIA-GLORIA NANCY JAIMES GONZALEZ</v>
      </c>
      <c r="F12191" s="5" t="str">
        <f>"Descripcion: SILLA INDUSTRIAL ERGONOMICA AT 03 ta TAPIZADO ASIENTO Estado: Bueno Placa anterior: 000037678 Material: PASTA CUERO Color: NEGRO Referencia:  Observacion:  Placa padre: Tipo adquisicion: Entidad"</f>
        <v>Descripcion: SILLA INDUSTRIAL ERGONOMICA AT 03 ta TAPIZADO ASIENTO Estado: Bueno Placa anterior: 000037678 Material: PASTA CUERO Color: NEGRO Referencia:  Observacion:  Placa padre: Tipo adquisicion: Entidad</v>
      </c>
      <c r="G12191" s="5"/>
    </row>
    <row r="12192" spans="1:7" ht="58.5" customHeight="1" x14ac:dyDescent="0.25">
      <c r="A12192" s="5" t="str">
        <f>"H0016100"</f>
        <v>H0016100</v>
      </c>
      <c r="B12192" s="5" t="str">
        <f>"EXTINTOR SOLKAFLAM 123 DE 3700GR"</f>
        <v>EXTINTOR SOLKAFLAM 123 DE 3700GR</v>
      </c>
      <c r="C12192" s="6">
        <v>199999.8</v>
      </c>
      <c r="D12192" s="5" t="s">
        <v>686</v>
      </c>
      <c r="E12192" s="5" t="str">
        <f t="shared" si="627"/>
        <v>RADIOTERAPIA-GLORIA NANCY JAIMES GONZALEZ</v>
      </c>
      <c r="F12192" s="5" t="str">
        <f>"Descripcion: Extintor de agente limpio Solkaflam de 3.700 gr, con certificación 2885 Estado: Bueno Placa anterior: 000037250 Material: METALICO Color: BLANCO Referencia:  Observacion:  Placa padre: Tipo adquisicion: Entidad"</f>
        <v>Descripcion: Extintor de agente limpio Solkaflam de 3.700 gr, con certificación 2885 Estado: Bueno Placa anterior: 000037250 Material: METALICO Color: BLANCO Referencia:  Observacion:  Placa padre: Tipo adquisicion: Entidad</v>
      </c>
      <c r="G12192" s="5"/>
    </row>
    <row r="12193" spans="1:7" ht="58.5" customHeight="1" x14ac:dyDescent="0.25">
      <c r="A12193" s="5" t="str">
        <f>"H0016101"</f>
        <v>H0016101</v>
      </c>
      <c r="B12193" s="5" t="str">
        <f>"PARLANTE (BAFLE)"</f>
        <v>PARLANTE (BAFLE)</v>
      </c>
      <c r="C12193" s="6">
        <v>162400</v>
      </c>
      <c r="D12193" s="5" t="s">
        <v>147</v>
      </c>
      <c r="E12193" s="5" t="str">
        <f t="shared" si="627"/>
        <v>RADIOTERAPIA-GLORIA NANCY JAIMES GONZALEZ</v>
      </c>
      <c r="F12193" s="5" t="str">
        <f>"Descripcion: PARLANTES EMPOTRABLES Estado: Bueno Placa anterior: 000037664 Material: PASTA Color: BLANCO Referencia:  Observacion:  Placa padre: Tipo adquisicion: Entidad"</f>
        <v>Descripcion: PARLANTES EMPOTRABLES Estado: Bueno Placa anterior: 000037664 Material: PASTA Color: BLANCO Referencia:  Observacion:  Placa padre: Tipo adquisicion: Entidad</v>
      </c>
      <c r="G12193" s="5"/>
    </row>
    <row r="12194" spans="1:7" ht="58.5" customHeight="1" x14ac:dyDescent="0.25">
      <c r="A12194" s="5" t="str">
        <f>"H0016102"</f>
        <v>H0016102</v>
      </c>
      <c r="B12194" s="5" t="str">
        <f>"PARLANTE (BAFLE)"</f>
        <v>PARLANTE (BAFLE)</v>
      </c>
      <c r="C12194" s="6">
        <v>162400</v>
      </c>
      <c r="D12194" s="5" t="s">
        <v>147</v>
      </c>
      <c r="E12194" s="5" t="str">
        <f t="shared" si="627"/>
        <v>RADIOTERAPIA-GLORIA NANCY JAIMES GONZALEZ</v>
      </c>
      <c r="F12194" s="5" t="str">
        <f>"Descripcion: PARLANTES EMPOTRABLES Estado: Bueno Placa anterior: 000037666 Material: PASTA Color: BLANCO Referencia:  Observacion:  Placa padre: Tipo adquisicion: Entidad"</f>
        <v>Descripcion: PARLANTES EMPOTRABLES Estado: Bueno Placa anterior: 000037666 Material: PASTA Color: BLANCO Referencia:  Observacion:  Placa padre: Tipo adquisicion: Entidad</v>
      </c>
      <c r="G12194" s="5"/>
    </row>
    <row r="12195" spans="1:7" ht="58.5" customHeight="1" x14ac:dyDescent="0.25">
      <c r="A12195" s="5" t="str">
        <f>"H0016103"</f>
        <v>H0016103</v>
      </c>
      <c r="B12195" s="5" t="str">
        <f>"PARLANTE (BAFLE)"</f>
        <v>PARLANTE (BAFLE)</v>
      </c>
      <c r="C12195" s="6">
        <v>162400</v>
      </c>
      <c r="D12195" s="5" t="s">
        <v>147</v>
      </c>
      <c r="E12195" s="5" t="str">
        <f t="shared" si="627"/>
        <v>RADIOTERAPIA-GLORIA NANCY JAIMES GONZALEZ</v>
      </c>
      <c r="F12195" s="5" t="str">
        <f>"Descripcion: PARLANTES EMPOTRABLES Estado: Bueno Placa anterior: 000037667 Material: PASTA Color: BLANCO Referencia:  Observacion:  Placa padre: Tipo adquisicion: Entidad"</f>
        <v>Descripcion: PARLANTES EMPOTRABLES Estado: Bueno Placa anterior: 000037667 Material: PASTA Color: BLANCO Referencia:  Observacion:  Placa padre: Tipo adquisicion: Entidad</v>
      </c>
      <c r="G12195" s="5"/>
    </row>
    <row r="12196" spans="1:7" ht="58.5" customHeight="1" x14ac:dyDescent="0.25">
      <c r="A12196" s="5" t="str">
        <f>"H0016104"</f>
        <v>H0016104</v>
      </c>
      <c r="B12196" s="5" t="str">
        <f>"PARLANTE (BAFLE)"</f>
        <v>PARLANTE (BAFLE)</v>
      </c>
      <c r="C12196" s="6">
        <v>162400</v>
      </c>
      <c r="D12196" s="5" t="s">
        <v>147</v>
      </c>
      <c r="E12196" s="5" t="str">
        <f t="shared" si="627"/>
        <v>RADIOTERAPIA-GLORIA NANCY JAIMES GONZALEZ</v>
      </c>
      <c r="F12196" s="5" t="str">
        <f>"Descripcion: PARLANTES EMPOTRABLES Estado: Bueno Placa anterior: 000037668 Material: PASTA Color: BLANCO Referencia:  Observacion:  Placa padre: Tipo adquisicion: Entidad"</f>
        <v>Descripcion: PARLANTES EMPOTRABLES Estado: Bueno Placa anterior: 000037668 Material: PASTA Color: BLANCO Referencia:  Observacion:  Placa padre: Tipo adquisicion: Entidad</v>
      </c>
      <c r="G12196" s="5"/>
    </row>
    <row r="12197" spans="1:7" ht="58.5" customHeight="1" x14ac:dyDescent="0.25">
      <c r="A12197" s="5" t="str">
        <f>"H0016105"</f>
        <v>H0016105</v>
      </c>
      <c r="B12197" s="5" t="str">
        <f>"PARLANTE (BAFLE)"</f>
        <v>PARLANTE (BAFLE)</v>
      </c>
      <c r="C12197" s="6">
        <v>162400</v>
      </c>
      <c r="D12197" s="5" t="s">
        <v>147</v>
      </c>
      <c r="E12197" s="5" t="str">
        <f t="shared" si="627"/>
        <v>RADIOTERAPIA-GLORIA NANCY JAIMES GONZALEZ</v>
      </c>
      <c r="F12197" s="5" t="str">
        <f>"Descripcion: PARLANTES EMPOTRABLES Estado: Bueno Placa anterior: 000037665 Material: PASTA Color: BLANCO Referencia:  Observacion:  Placa padre: Tipo adquisicion: Entidad"</f>
        <v>Descripcion: PARLANTES EMPOTRABLES Estado: Bueno Placa anterior: 000037665 Material: PASTA Color: BLANCO Referencia:  Observacion:  Placa padre: Tipo adquisicion: Entidad</v>
      </c>
      <c r="G12197" s="5"/>
    </row>
    <row r="12198" spans="1:7" ht="58.5" customHeight="1" x14ac:dyDescent="0.25">
      <c r="A12198" s="5" t="str">
        <f>"H0016107"</f>
        <v>H0016107</v>
      </c>
      <c r="B12198" s="5" t="str">
        <f>"CAMARA DE VIDEOVIGILANCIA"</f>
        <v>CAMARA DE VIDEOVIGILANCIA</v>
      </c>
      <c r="C12198" s="6">
        <v>269529</v>
      </c>
      <c r="D12198" s="5" t="s">
        <v>147</v>
      </c>
      <c r="E12198" s="5" t="str">
        <f t="shared" si="627"/>
        <v>RADIOTERAPIA-GLORIA NANCY JAIMES GONZALEZ</v>
      </c>
      <c r="F12198" s="5" t="str">
        <f>"Descripcion: CAMARA TIPO DOMO Estado: Bueno Placa anterior: 000037660 Material: PASTA Color: BLANCO Referencia:  Observacion:  Placa padre: Tipo adquisicion: Entidad"</f>
        <v>Descripcion: CAMARA TIPO DOMO Estado: Bueno Placa anterior: 000037660 Material: PASTA Color: BLANCO Referencia:  Observacion:  Placa padre: Tipo adquisicion: Entidad</v>
      </c>
      <c r="G12198" s="5"/>
    </row>
    <row r="12199" spans="1:7" ht="58.5" customHeight="1" x14ac:dyDescent="0.25">
      <c r="A12199" s="5" t="str">
        <f>"H0016108"</f>
        <v>H0016108</v>
      </c>
      <c r="B12199" s="5" t="str">
        <f>"CAMARA DE VIDEOVIGILANCIA"</f>
        <v>CAMARA DE VIDEOVIGILANCIA</v>
      </c>
      <c r="C12199" s="6">
        <v>269529</v>
      </c>
      <c r="D12199" s="5" t="s">
        <v>147</v>
      </c>
      <c r="E12199" s="5" t="str">
        <f t="shared" si="627"/>
        <v>RADIOTERAPIA-GLORIA NANCY JAIMES GONZALEZ</v>
      </c>
      <c r="F12199" s="5" t="str">
        <f>"Descripcion: CAMARA TIPO DOMO Estado: Bueno Placa anterior: 000037661 Material: PASTA Color: BLANCO Referencia:  Observacion:  Placa padre: Tipo adquisicion: Entidad"</f>
        <v>Descripcion: CAMARA TIPO DOMO Estado: Bueno Placa anterior: 000037661 Material: PASTA Color: BLANCO Referencia:  Observacion:  Placa padre: Tipo adquisicion: Entidad</v>
      </c>
      <c r="G12199" s="5"/>
    </row>
    <row r="12200" spans="1:7" ht="58.5" customHeight="1" x14ac:dyDescent="0.25">
      <c r="A12200" s="5" t="str">
        <f>"H0016109"</f>
        <v>H0016109</v>
      </c>
      <c r="B12200" s="5" t="str">
        <f>"CAMARA DE VIDEOVIGILANCIA"</f>
        <v>CAMARA DE VIDEOVIGILANCIA</v>
      </c>
      <c r="C12200" s="6">
        <v>425000</v>
      </c>
      <c r="D12200" s="5"/>
      <c r="E12200" s="5" t="str">
        <f t="shared" si="627"/>
        <v>RADIOTERAPIA-GLORIA NANCY JAIMES GONZALEZ</v>
      </c>
      <c r="F12200" s="5" t="str">
        <f>"Descripcion: CAMARA TIPO DOMO Estado: Bueno Placa anterior: 000032798 Material: PASTA Color: BLANCO Referencia:  Observacion:  Placa padre: Tipo adquisicion: Entidad"</f>
        <v>Descripcion: CAMARA TIPO DOMO Estado: Bueno Placa anterior: 000032798 Material: PASTA Color: BLANCO Referencia:  Observacion:  Placa padre: Tipo adquisicion: Entidad</v>
      </c>
      <c r="G12200" s="5"/>
    </row>
    <row r="12201" spans="1:7" ht="58.5" customHeight="1" x14ac:dyDescent="0.25">
      <c r="A12201" s="5" t="str">
        <f>"H0016110"</f>
        <v>H0016110</v>
      </c>
      <c r="B12201" s="5" t="str">
        <f>"MULTIMUEBLE ENCHAPADO EN FORMICA"</f>
        <v>MULTIMUEBLE ENCHAPADO EN FORMICA</v>
      </c>
      <c r="C12201" s="6">
        <v>798000</v>
      </c>
      <c r="D12201" s="5"/>
      <c r="E12201" s="5" t="str">
        <f t="shared" si="627"/>
        <v>RADIOTERAPIA-GLORIA NANCY JAIMES GONZALEZ</v>
      </c>
      <c r="F12201" s="5" t="str">
        <f>"Descripcion: 8 ENTREPAÑOS Estado: Bueno Placa anterior:  Material: FORMICA Color: BLANCO Referencia:  Observacion:  Placa padre: Tipo adquisicion: Entidad"</f>
        <v>Descripcion: 8 ENTREPAÑOS Estado: Bueno Placa anterior:  Material: FORMICA Color: BLANCO Referencia:  Observacion:  Placa padre: Tipo adquisicion: Entidad</v>
      </c>
      <c r="G12201" s="5"/>
    </row>
    <row r="12202" spans="1:7" ht="58.5" customHeight="1" x14ac:dyDescent="0.25">
      <c r="A12202" s="5" t="str">
        <f>"H0017843"</f>
        <v>H0017843</v>
      </c>
      <c r="B12202" s="5" t="str">
        <f>"AIRE ACONDICIONADO TIPO SPLIT 60000 BTU (5 TON)"</f>
        <v>AIRE ACONDICIONADO TIPO SPLIT 60000 BTU (5 TON)</v>
      </c>
      <c r="C12202" s="6">
        <v>5939999.6500000004</v>
      </c>
      <c r="D12202" s="5" t="s">
        <v>288</v>
      </c>
      <c r="E12202" s="5" t="str">
        <f t="shared" si="627"/>
        <v>RADIOTERAPIA-GLORIA NANCY JAIMES GONZALEZ</v>
      </c>
      <c r="F12202" s="5" t="str">
        <f>"Descripcion: . Estado: Bueno Placa anterior:  Material: PASTA Color: BLANCO Referencia:  Observacion:  Placa padre: Tipo adquisicion: Entidad"</f>
        <v>Descripcion: . Estado: Bueno Placa anterior:  Material: PASTA Color: BLANCO Referencia:  Observacion:  Placa padre: Tipo adquisicion: Entidad</v>
      </c>
      <c r="G12202" s="5" t="str">
        <f>"PAC606FC-O"</f>
        <v>PAC606FC-O</v>
      </c>
    </row>
    <row r="12203" spans="1:7" ht="58.5" customHeight="1" x14ac:dyDescent="0.25">
      <c r="A12203" s="5" t="str">
        <f>"H0020370"</f>
        <v>H0020370</v>
      </c>
      <c r="B12203" s="5" t="str">
        <f>"RACK (GABINETE) DE SOBREMURO"</f>
        <v>RACK (GABINETE) DE SOBREMURO</v>
      </c>
      <c r="C12203" s="6">
        <v>1450000</v>
      </c>
      <c r="D12203" s="5" t="s">
        <v>690</v>
      </c>
      <c r="E12203" s="5" t="str">
        <f t="shared" si="627"/>
        <v>RADIOTERAPIA-GLORIA NANCY JAIMES GONZALEZ</v>
      </c>
      <c r="F12203" s="5" t="str">
        <f>"Descripcion:CAJA DE RACK CON UN CONTACTOR Estado: Bueno Placa anterior: 000030465 Material: METALICO Color: BEIS Referencia:  Observacion:  Placa anterior:, Placa nueva=H0020372, Descripcion:HIDROMATICO PARA AGUA 300 LITROS, Serial:MNC310V00176, Marca:PEA"&amp; "RL, Modelo:MNC310V, Material:LAMINA SAE, Color:BEIS,   Referencia:MUPN-300-8.6, Placa anterior:, Placa nueva=H0020371, Descripcion:MOTOBOMBA ELECTRICA, Serial:X121101818, Marca:PEARL, Modelo:C2P  20H36S, Material:ACERO, Color:GRIS,   Referencia: Placa pad"&amp; "re:  Tipo adquisicion : Entidad"</f>
        <v>Descripcion:CAJA DE RACK CON UN CONTACTOR Estado: Bueno Placa anterior: 000030465 Material: METALICO Color: BEIS Referencia:  Observacion:  Placa anterior:, Placa nueva=H0020372, Descripcion:HIDROMATICO PARA AGUA 300 LITROS, Serial:MNC310V00176, Marca:PEARL, Modelo:MNC310V, Material:LAMINA SAE, Color:BEIS,   Referencia:MUPN-300-8.6, Placa anterior:, Placa nueva=H0020371, Descripcion:MOTOBOMBA ELECTRICA, Serial:X121101818, Marca:PEARL, Modelo:C2P  20H36S, Material:ACERO, Color:GRIS,   Referencia: Placa padre:  Tipo adquisicion : Entidad</v>
      </c>
      <c r="G12203" s="5"/>
    </row>
    <row r="12204" spans="1:7" ht="58.5" customHeight="1" x14ac:dyDescent="0.25">
      <c r="A12204" s="5" t="str">
        <f>"H0020640"</f>
        <v>H0020640</v>
      </c>
      <c r="B12204" s="5" t="str">
        <f>"KIT INMOVILIZADORES DE CABEZA Y CUELLO"</f>
        <v>KIT INMOVILIZADORES DE CABEZA Y CUELLO</v>
      </c>
      <c r="C12204" s="6">
        <v>1276000</v>
      </c>
      <c r="D12204" s="5"/>
      <c r="E12204" s="5" t="str">
        <f t="shared" si="627"/>
        <v>RADIOTERAPIA-GLORIA NANCY JAIMES GONZALEZ</v>
      </c>
      <c r="F12204" s="5" t="str">
        <f>"Descripcion: SOPORTE TOMO (JUEGO DE 6) PARA INMOVILIZACION DE CABEZA Y CUELLO Estado: Bueno Placa anterior: 000025440 Material: PASTA Color: COLORES SURTIDOS Referencia:  Observacion:  Placa padre: Tipo adquisicion: Entidad"</f>
        <v>Descripcion: SOPORTE TOMO (JUEGO DE 6) PARA INMOVILIZACION DE CABEZA Y CUELLO Estado: Bueno Placa anterior: 000025440 Material: PASTA Color: COLORES SURTIDOS Referencia:  Observacion:  Placa padre: Tipo adquisicion: Entidad</v>
      </c>
      <c r="G12204" s="5"/>
    </row>
    <row r="12205" spans="1:7" ht="58.5" customHeight="1" x14ac:dyDescent="0.25">
      <c r="A12205" s="5" t="str">
        <f>"H0020671"</f>
        <v>H0020671</v>
      </c>
      <c r="B12205" s="5" t="str">
        <f>"LICENCIA MIRS (SISTEMA DE PLANIFICACION DE RADIOTERAPIA)"</f>
        <v>LICENCIA MIRS (SISTEMA DE PLANIFICACION DE RADIOTERAPIA)</v>
      </c>
      <c r="C12205" s="6">
        <v>76724138</v>
      </c>
      <c r="D12205" s="5"/>
      <c r="E12205" s="5" t="str">
        <f t="shared" si="627"/>
        <v>RADIOTERAPIA-GLORIA NANCY JAIMES GONZALEZ</v>
      </c>
      <c r="F12205" s="5" t="str">
        <f>"Descripcion: SISTEMA MIRS DE PLANIFICACION PARA RADIOTERAPIA CONFORMAL Estado: Bueno Placa anterior: 000033400 Material:  Color:  Referencia:  Observacion:  Placa padre: Tipo adquisicion: Entidad"</f>
        <v>Descripcion: SISTEMA MIRS DE PLANIFICACION PARA RADIOTERAPIA CONFORMAL Estado: Bueno Placa anterior: 000033400 Material:  Color:  Referencia:  Observacion:  Placa padre: Tipo adquisicion: Entidad</v>
      </c>
      <c r="G12205" s="5"/>
    </row>
    <row r="12206" spans="1:7" ht="58.5" customHeight="1" x14ac:dyDescent="0.25">
      <c r="A12206" s="5" t="str">
        <f>"H0021534"</f>
        <v>H0021534</v>
      </c>
      <c r="B12206" s="5" t="str">
        <f>"SILLA INTERLOCUTORA (FIJA) SIN BRAZOS"</f>
        <v>SILLA INTERLOCUTORA (FIJA) SIN BRAZOS</v>
      </c>
      <c r="C12206" s="6">
        <v>5610</v>
      </c>
      <c r="D12206" s="5"/>
      <c r="E12206" s="5" t="str">
        <f t="shared" si="627"/>
        <v>RADIOTERAPIA-GLORIA NANCY JAIMES GONZALEZ</v>
      </c>
      <c r="F12206" s="5" t="str">
        <f>"Descripcion: SILLA INTERLOCUTORA MARRON Estado: Inservible Placa anterior: 000002056 Material: CUERO Y PASTA Color: MARRON Referencia:  Observacion: AUTORIZADO CONCILIAR EN CRUCE GENERAL Placa padre: Tipo adquisicion: Entidad"</f>
        <v>Descripcion: SILLA INTERLOCUTORA MARRON Estado: Inservible Placa anterior: 000002056 Material: CUERO Y PASTA Color: MARRON Referencia:  Observacion: AUTORIZADO CONCILIAR EN CRUCE GENERAL Placa padre: Tipo adquisicion: Entidad</v>
      </c>
      <c r="G12206" s="5"/>
    </row>
    <row r="12207" spans="1:7" ht="58.5" customHeight="1" x14ac:dyDescent="0.25">
      <c r="A12207" s="5" t="str">
        <f>"H0022646"</f>
        <v>H0022646</v>
      </c>
      <c r="B12207" s="5" t="str">
        <f>"AMPLIFICADOR PARA ZONA RAQUEABLE"</f>
        <v>AMPLIFICADOR PARA ZONA RAQUEABLE</v>
      </c>
      <c r="C12207" s="6">
        <v>1076480</v>
      </c>
      <c r="D12207" s="5" t="s">
        <v>147</v>
      </c>
      <c r="E12207" s="5" t="str">
        <f t="shared" si="627"/>
        <v>RADIOTERAPIA-GLORIA NANCY JAIMES GONZALEZ</v>
      </c>
      <c r="F12207" s="5" t="str">
        <f>"Descripcion: AMPLIFICADOR PARA ZONA RAQUEABLE Estado: Bueno Placa anterior: 000037669 Material: METALICO Color: NEGRO Referencia:  Observacion:  Placa padre: Tipo adquisicion: Entidad"</f>
        <v>Descripcion: AMPLIFICADOR PARA ZONA RAQUEABLE Estado: Bueno Placa anterior: 000037669 Material: METALICO Color: NEGRO Referencia:  Observacion:  Placa padre: Tipo adquisicion: Entidad</v>
      </c>
      <c r="G12207" s="5"/>
    </row>
    <row r="12208" spans="1:7" ht="58.5" customHeight="1" x14ac:dyDescent="0.25">
      <c r="A12208" s="5" t="str">
        <f>"H0025372"</f>
        <v>H0025372</v>
      </c>
      <c r="B1220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2208" s="6">
        <v>312156</v>
      </c>
      <c r="D12208" s="5" t="s">
        <v>10</v>
      </c>
      <c r="E12208" s="5" t="str">
        <f t="shared" si="627"/>
        <v>RADIOTERAPIA-GLORIA NANCY JAIMES GONZALEZ</v>
      </c>
      <c r="F12208" s="5"/>
      <c r="G12208" s="5"/>
    </row>
    <row r="12209" spans="1:7" ht="58.5" customHeight="1" x14ac:dyDescent="0.25">
      <c r="A12209" s="5" t="str">
        <f>"H0025712"</f>
        <v>H0025712</v>
      </c>
      <c r="B12209" s="5" t="str">
        <f>"BASE INMOVILIZADORA PARA CABEZA Y CUELLO EN FIBRA DE CARBONO RT603"</f>
        <v>BASE INMOVILIZADORA PARA CABEZA Y CUELLO EN FIBRA DE CARBONO RT603</v>
      </c>
      <c r="C12209" s="6">
        <v>2570400</v>
      </c>
      <c r="D12209" s="5" t="s">
        <v>265</v>
      </c>
      <c r="E12209" s="5" t="str">
        <f t="shared" si="627"/>
        <v>RADIOTERAPIA-GLORIA NANCY JAIMES GONZALEZ</v>
      </c>
      <c r="F12209" s="5"/>
      <c r="G12209" s="5"/>
    </row>
    <row r="12210" spans="1:7" ht="58.5" customHeight="1" x14ac:dyDescent="0.25">
      <c r="A12210" s="5" t="str">
        <f>"H0025713"</f>
        <v>H0025713</v>
      </c>
      <c r="B12210" s="5" t="str">
        <f>"SOPORTES APOYA CABEZA SILVERMAN. JUEGO DE A-F (transparentes)"</f>
        <v>SOPORTES APOYA CABEZA SILVERMAN. JUEGO DE A-F (transparentes)</v>
      </c>
      <c r="C12210" s="6">
        <v>1011500</v>
      </c>
      <c r="D12210" s="5" t="s">
        <v>265</v>
      </c>
      <c r="E12210" s="5" t="str">
        <f t="shared" si="627"/>
        <v>RADIOTERAPIA-GLORIA NANCY JAIMES GONZALEZ</v>
      </c>
      <c r="F12210" s="5"/>
      <c r="G12210" s="5"/>
    </row>
    <row r="12211" spans="1:7" ht="58.5" customHeight="1" x14ac:dyDescent="0.25">
      <c r="A12211" s="5" t="str">
        <f>"H0025714"</f>
        <v>H0025714</v>
      </c>
      <c r="B12211" s="5" t="str">
        <f>"BARRA CAMILLA VARIAN ALUMINIIO RE-7"</f>
        <v>BARRA CAMILLA VARIAN ALUMINIIO RE-7</v>
      </c>
      <c r="C12211" s="6">
        <v>1237600</v>
      </c>
      <c r="D12211" s="5" t="s">
        <v>265</v>
      </c>
      <c r="E12211" s="5" t="str">
        <f t="shared" si="627"/>
        <v>RADIOTERAPIA-GLORIA NANCY JAIMES GONZALEZ</v>
      </c>
      <c r="F12211" s="5"/>
      <c r="G12211" s="5"/>
    </row>
    <row r="12212" spans="1:7" ht="58.5" customHeight="1" x14ac:dyDescent="0.25">
      <c r="A12212" s="5" t="str">
        <f>"H0025715"</f>
        <v>H0025715</v>
      </c>
      <c r="B12212" s="5" t="str">
        <f>"COJIN PARA POSICIONAMIENTO DE PRONO. PRONEPILLOW"</f>
        <v>COJIN PARA POSICIONAMIENTO DE PRONO. PRONEPILLOW</v>
      </c>
      <c r="C12212" s="6">
        <v>2320500</v>
      </c>
      <c r="D12212" s="5" t="s">
        <v>265</v>
      </c>
      <c r="E12212" s="5" t="str">
        <f t="shared" si="627"/>
        <v>RADIOTERAPIA-GLORIA NANCY JAIMES GONZALEZ</v>
      </c>
      <c r="F12212" s="5"/>
      <c r="G12212" s="5"/>
    </row>
    <row r="12213" spans="1:7" ht="58.5" customHeight="1" x14ac:dyDescent="0.25">
      <c r="A12213" s="5" t="str">
        <f>"H0025716"</f>
        <v>H0025716</v>
      </c>
      <c r="B12213" s="5" t="str">
        <f>"SOPORTE TIPO MARIPOSA EN FIBRA DE CARBONO CON SOPORTE DE MANOS TIPO BARRA “T”"</f>
        <v>SOPORTE TIPO MARIPOSA EN FIBRA DE CARBONO CON SOPORTE DE MANOS TIPO BARRA “T”</v>
      </c>
      <c r="C12213" s="6">
        <v>5117000</v>
      </c>
      <c r="D12213" s="5" t="s">
        <v>265</v>
      </c>
      <c r="E12213" s="5" t="str">
        <f t="shared" si="627"/>
        <v>RADIOTERAPIA-GLORIA NANCY JAIMES GONZALEZ</v>
      </c>
      <c r="F12213" s="5"/>
      <c r="G12213" s="5"/>
    </row>
    <row r="12214" spans="1:7" ht="58.5" customHeight="1" x14ac:dyDescent="0.25">
      <c r="A12214" s="5" t="str">
        <f>"H0025954"</f>
        <v>H0025954</v>
      </c>
      <c r="B12214" s="5" t="str">
        <f>"ENFRIADOR DE AGUA  GE  BLA"</f>
        <v>ENFRIADOR DE AGUA  GE  BLA</v>
      </c>
      <c r="C12214" s="6">
        <v>512100</v>
      </c>
      <c r="D12214" s="5" t="s">
        <v>691</v>
      </c>
      <c r="E12214" s="5" t="str">
        <f t="shared" si="627"/>
        <v>RADIOTERAPIA-GLORIA NANCY JAIMES GONZALEZ</v>
      </c>
      <c r="F12214" s="5"/>
      <c r="G12214" s="5"/>
    </row>
    <row r="12215" spans="1:7" ht="58.5" customHeight="1" x14ac:dyDescent="0.25">
      <c r="A12215" s="5" t="str">
        <f>"H0026823"</f>
        <v>H0026823</v>
      </c>
      <c r="B12215" s="5" t="str">
        <f>"BOMBA DE INFUSION"</f>
        <v>BOMBA DE INFUSION</v>
      </c>
      <c r="C12215" s="6">
        <v>1000000</v>
      </c>
      <c r="D12215" s="5" t="s">
        <v>351</v>
      </c>
      <c r="E12215" s="5" t="str">
        <f t="shared" ref="E12215:E12241" si="628">"RADIOTERAPIA-GLORIA NANCY JAIMES GONZALEZ"</f>
        <v>RADIOTERAPIA-GLORIA NANCY JAIMES GONZALEZ</v>
      </c>
      <c r="F12215" s="5"/>
      <c r="G12215" s="5"/>
    </row>
    <row r="12216" spans="1:7" ht="58.5" customHeight="1" x14ac:dyDescent="0.25">
      <c r="A12216" s="5" t="str">
        <f>"H0027546"</f>
        <v>H0027546</v>
      </c>
      <c r="B12216" s="5" t="str">
        <f>"LECTOR DE HUELLAS DIGITALES"</f>
        <v>LECTOR DE HUELLAS DIGITALES</v>
      </c>
      <c r="C12216" s="6">
        <v>234000.41</v>
      </c>
      <c r="D12216" s="5" t="s">
        <v>83</v>
      </c>
      <c r="E12216" s="5" t="str">
        <f t="shared" si="628"/>
        <v>RADIOTERAPIA-GLORIA NANCY JAIMES GONZALEZ</v>
      </c>
      <c r="F12216" s="5"/>
      <c r="G12216" s="5"/>
    </row>
    <row r="12217" spans="1:7" ht="58.5" customHeight="1" x14ac:dyDescent="0.25">
      <c r="A12217" s="5" t="str">
        <f>"H0027547"</f>
        <v>H0027547</v>
      </c>
      <c r="B12217" s="5" t="str">
        <f>"LECTOR DE HUELLAS DIGITALES"</f>
        <v>LECTOR DE HUELLAS DIGITALES</v>
      </c>
      <c r="C12217" s="6">
        <v>234000.41</v>
      </c>
      <c r="D12217" s="5" t="s">
        <v>83</v>
      </c>
      <c r="E12217" s="5" t="str">
        <f t="shared" si="628"/>
        <v>RADIOTERAPIA-GLORIA NANCY JAIMES GONZALEZ</v>
      </c>
      <c r="F12217" s="5"/>
      <c r="G12217" s="5"/>
    </row>
    <row r="12218" spans="1:7" ht="58.5" customHeight="1" x14ac:dyDescent="0.25">
      <c r="A12218" s="5" t="str">
        <f>"H0031520"</f>
        <v>H0031520</v>
      </c>
      <c r="B12218" s="5" t="s">
        <v>329</v>
      </c>
      <c r="C12218" s="6">
        <v>326041.09999999998</v>
      </c>
      <c r="D12218" s="5" t="s">
        <v>16</v>
      </c>
      <c r="E12218" s="5" t="str">
        <f t="shared" si="628"/>
        <v>RADIOTERAPIA-GLORIA NANCY JAIMES GONZALEZ</v>
      </c>
      <c r="F12218" s="5"/>
      <c r="G12218" s="5"/>
    </row>
    <row r="12219" spans="1:7" ht="58.5" customHeight="1" x14ac:dyDescent="0.25">
      <c r="A12219" s="5" t="str">
        <f>"H0031522"</f>
        <v>H0031522</v>
      </c>
      <c r="B12219" s="5" t="s">
        <v>329</v>
      </c>
      <c r="C12219" s="6">
        <v>326041.09999999998</v>
      </c>
      <c r="D12219" s="5" t="s">
        <v>16</v>
      </c>
      <c r="E12219" s="5" t="str">
        <f t="shared" si="628"/>
        <v>RADIOTERAPIA-GLORIA NANCY JAIMES GONZALEZ</v>
      </c>
      <c r="F12219" s="5"/>
      <c r="G12219" s="5"/>
    </row>
    <row r="12220" spans="1:7" ht="58.5" customHeight="1" x14ac:dyDescent="0.25">
      <c r="A12220" s="5" t="str">
        <f>"H0031525"</f>
        <v>H0031525</v>
      </c>
      <c r="B12220" s="5" t="s">
        <v>329</v>
      </c>
      <c r="C12220" s="6">
        <v>326041.09999999998</v>
      </c>
      <c r="D12220" s="5" t="s">
        <v>16</v>
      </c>
      <c r="E12220" s="5" t="str">
        <f t="shared" si="628"/>
        <v>RADIOTERAPIA-GLORIA NANCY JAIMES GONZALEZ</v>
      </c>
      <c r="F12220" s="5"/>
      <c r="G12220" s="5"/>
    </row>
    <row r="12221" spans="1:7" ht="58.5" customHeight="1" x14ac:dyDescent="0.25">
      <c r="A12221" s="5" t="str">
        <f>"H0031589"</f>
        <v>H0031589</v>
      </c>
      <c r="B12221" s="5" t="s">
        <v>221</v>
      </c>
      <c r="C12221" s="6">
        <v>375382.64</v>
      </c>
      <c r="D12221" s="5" t="s">
        <v>16</v>
      </c>
      <c r="E12221" s="5" t="str">
        <f t="shared" si="628"/>
        <v>RADIOTERAPIA-GLORIA NANCY JAIMES GONZALEZ</v>
      </c>
      <c r="F12221" s="5"/>
      <c r="G12221" s="5"/>
    </row>
    <row r="12222" spans="1:7" ht="58.5" customHeight="1" x14ac:dyDescent="0.25">
      <c r="A12222" s="5" t="str">
        <f>"H0031592"</f>
        <v>H0031592</v>
      </c>
      <c r="B12222" s="5" t="s">
        <v>221</v>
      </c>
      <c r="C12222" s="6">
        <v>375382.64</v>
      </c>
      <c r="D12222" s="5" t="s">
        <v>16</v>
      </c>
      <c r="E12222" s="5" t="str">
        <f t="shared" si="628"/>
        <v>RADIOTERAPIA-GLORIA NANCY JAIMES GONZALEZ</v>
      </c>
      <c r="F12222" s="5"/>
      <c r="G12222" s="5"/>
    </row>
    <row r="12223" spans="1:7" ht="58.5" customHeight="1" x14ac:dyDescent="0.25">
      <c r="A12223" s="5" t="str">
        <f>"H0031663"</f>
        <v>H0031663</v>
      </c>
      <c r="B12223" s="5" t="str">
        <f>"MAQUINA PARA ANESTESIA"</f>
        <v>MAQUINA PARA ANESTESIA</v>
      </c>
      <c r="C12223" s="6">
        <v>172375486.5</v>
      </c>
      <c r="D12223" s="5" t="s">
        <v>252</v>
      </c>
      <c r="E12223" s="5" t="str">
        <f t="shared" si="628"/>
        <v>RADIOTERAPIA-GLORIA NANCY JAIMES GONZALEZ</v>
      </c>
      <c r="F12223" s="5"/>
      <c r="G12223" s="5"/>
    </row>
    <row r="12224" spans="1:7" ht="58.5" customHeight="1" x14ac:dyDescent="0.25">
      <c r="A12224" s="5" t="str">
        <f>"H0032286"</f>
        <v>H0032286</v>
      </c>
      <c r="B12224" s="5" t="str">
        <f>"Escritorio lineal superficie en formica con archivador 3 gabetas (DONACION)"</f>
        <v>Escritorio lineal superficie en formica con archivador 3 gabetas (DONACION)</v>
      </c>
      <c r="C12224" s="6">
        <v>400000</v>
      </c>
      <c r="D12224" s="5" t="s">
        <v>45</v>
      </c>
      <c r="E12224" s="5" t="str">
        <f t="shared" si="628"/>
        <v>RADIOTERAPIA-GLORIA NANCY JAIMES GONZALEZ</v>
      </c>
      <c r="F12224" s="5"/>
      <c r="G12224" s="5"/>
    </row>
    <row r="12225" spans="1:7" ht="58.5" customHeight="1" x14ac:dyDescent="0.25">
      <c r="A12225" s="5" t="str">
        <f>"H0033154"</f>
        <v>H0033154</v>
      </c>
      <c r="B12225"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2225" s="6">
        <v>2533333</v>
      </c>
      <c r="D12225" s="5" t="s">
        <v>157</v>
      </c>
      <c r="E12225" s="5" t="str">
        <f t="shared" si="628"/>
        <v>RADIOTERAPIA-GLORIA NANCY JAIMES GONZALEZ</v>
      </c>
      <c r="F12225" s="5"/>
      <c r="G12225" s="5"/>
    </row>
    <row r="12226" spans="1:7" ht="58.5" customHeight="1" x14ac:dyDescent="0.25">
      <c r="A12226" s="5" t="str">
        <f>"H0033495"</f>
        <v>H0033495</v>
      </c>
      <c r="B12226"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2226" s="6">
        <v>2533333</v>
      </c>
      <c r="D12226" s="5" t="s">
        <v>120</v>
      </c>
      <c r="E12226" s="5" t="str">
        <f t="shared" si="628"/>
        <v>RADIOTERAPIA-GLORIA NANCY JAIMES GONZALEZ</v>
      </c>
      <c r="F12226" s="5"/>
      <c r="G12226" s="5"/>
    </row>
    <row r="12227" spans="1:7" ht="58.5" customHeight="1" x14ac:dyDescent="0.25">
      <c r="A12227" s="5" t="str">
        <f>"H0033989"</f>
        <v>H0033989</v>
      </c>
      <c r="B12227" s="5" t="s">
        <v>329</v>
      </c>
      <c r="C12227" s="6">
        <v>258000</v>
      </c>
      <c r="D12227" s="5" t="s">
        <v>122</v>
      </c>
      <c r="E12227" s="5" t="str">
        <f t="shared" si="628"/>
        <v>RADIOTERAPIA-GLORIA NANCY JAIMES GONZALEZ</v>
      </c>
      <c r="F12227" s="5"/>
      <c r="G12227" s="5"/>
    </row>
    <row r="12228" spans="1:7" ht="58.5" customHeight="1" x14ac:dyDescent="0.25">
      <c r="A12228" s="5" t="str">
        <f>"H0033990"</f>
        <v>H0033990</v>
      </c>
      <c r="B12228" s="5" t="s">
        <v>329</v>
      </c>
      <c r="C12228" s="6">
        <v>258000</v>
      </c>
      <c r="D12228" s="5" t="s">
        <v>122</v>
      </c>
      <c r="E12228" s="5" t="str">
        <f t="shared" si="628"/>
        <v>RADIOTERAPIA-GLORIA NANCY JAIMES GONZALEZ</v>
      </c>
      <c r="F12228" s="5"/>
      <c r="G12228" s="5"/>
    </row>
    <row r="12229" spans="1:7" ht="58.5" customHeight="1" x14ac:dyDescent="0.25">
      <c r="A12229" s="5" t="str">
        <f>"H0033999"</f>
        <v>H0033999</v>
      </c>
      <c r="B12229" s="5" t="s">
        <v>329</v>
      </c>
      <c r="C12229" s="6">
        <v>258000</v>
      </c>
      <c r="D12229" s="5" t="s">
        <v>122</v>
      </c>
      <c r="E12229" s="5" t="str">
        <f t="shared" si="628"/>
        <v>RADIOTERAPIA-GLORIA NANCY JAIMES GONZALEZ</v>
      </c>
      <c r="F12229" s="5"/>
      <c r="G12229" s="5"/>
    </row>
    <row r="12230" spans="1:7" ht="58.5" customHeight="1" x14ac:dyDescent="0.25">
      <c r="A12230" s="5" t="str">
        <f>"H0034558"</f>
        <v>H0034558</v>
      </c>
      <c r="B12230" s="5" t="str">
        <f>"COMPRESOR TESUMSEK AE-8022-F220 VAC"</f>
        <v>COMPRESOR TESUMSEK AE-8022-F220 VAC</v>
      </c>
      <c r="C12230" s="6">
        <v>789999.6</v>
      </c>
      <c r="D12230" s="5" t="s">
        <v>18</v>
      </c>
      <c r="E12230" s="5" t="str">
        <f t="shared" si="628"/>
        <v>RADIOTERAPIA-GLORIA NANCY JAIMES GONZALEZ</v>
      </c>
      <c r="F12230" s="5"/>
      <c r="G12230" s="5"/>
    </row>
    <row r="12231" spans="1:7" ht="58.5" customHeight="1" x14ac:dyDescent="0.25">
      <c r="A12231" s="5" t="str">
        <f>"H0034560"</f>
        <v>H0034560</v>
      </c>
      <c r="B12231" s="5" t="str">
        <f>"COMPRESOR COPELAND  MODELO : ZP83KCE-TFD-522 / 3/440V) USAR UNICAMENTE  R-410"</f>
        <v>COMPRESOR COPELAND  MODELO : ZP83KCE-TFD-522 / 3/440V) USAR UNICAMENTE  R-410</v>
      </c>
      <c r="C12231" s="6">
        <v>8625000.1600000001</v>
      </c>
      <c r="D12231" s="5" t="s">
        <v>18</v>
      </c>
      <c r="E12231" s="5" t="str">
        <f t="shared" si="628"/>
        <v>RADIOTERAPIA-GLORIA NANCY JAIMES GONZALEZ</v>
      </c>
      <c r="F12231" s="5"/>
      <c r="G12231" s="5"/>
    </row>
    <row r="12232" spans="1:7" ht="58.5" customHeight="1" x14ac:dyDescent="0.25">
      <c r="A12232" s="5" t="str">
        <f>"H0035047"</f>
        <v>H0035047</v>
      </c>
      <c r="B12232"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2232" s="6">
        <v>5289550</v>
      </c>
      <c r="D12232" s="5" t="s">
        <v>22</v>
      </c>
      <c r="E12232" s="5" t="str">
        <f t="shared" si="628"/>
        <v>RADIOTERAPIA-GLORIA NANCY JAIMES GONZALEZ</v>
      </c>
      <c r="F12232" s="5"/>
      <c r="G12232" s="5"/>
    </row>
    <row r="12233" spans="1:7" ht="58.5" customHeight="1" x14ac:dyDescent="0.25">
      <c r="A12233" s="5" t="str">
        <f>"H0036379"</f>
        <v>H0036379</v>
      </c>
      <c r="B12233" s="5" t="str">
        <f>"DESFIBRILADOR (DONACION)"</f>
        <v>DESFIBRILADOR (DONACION)</v>
      </c>
      <c r="C12233" s="6">
        <v>12951300</v>
      </c>
      <c r="D12233" s="5" t="s">
        <v>692</v>
      </c>
      <c r="E12233" s="5" t="str">
        <f t="shared" si="628"/>
        <v>RADIOTERAPIA-GLORIA NANCY JAIMES GONZALEZ</v>
      </c>
      <c r="F12233" s="5"/>
      <c r="G12233" s="5"/>
    </row>
    <row r="12234" spans="1:7" ht="58.5" customHeight="1" x14ac:dyDescent="0.25">
      <c r="A12234" s="5" t="str">
        <f>"H0038014"</f>
        <v>H0038014</v>
      </c>
      <c r="B12234" s="5" t="str">
        <f t="shared" ref="B12234:B12239" si="629">"SILLA GERENTE NIZA MEC. BASCULANTE CON BRAZOS."</f>
        <v>SILLA GERENTE NIZA MEC. BASCULANTE CON BRAZOS.</v>
      </c>
      <c r="C12234" s="6">
        <v>710000.01</v>
      </c>
      <c r="D12234" s="5" t="s">
        <v>30</v>
      </c>
      <c r="E12234" s="5" t="str">
        <f t="shared" si="628"/>
        <v>RADIOTERAPIA-GLORIA NANCY JAIMES GONZALEZ</v>
      </c>
      <c r="F12234" s="5"/>
      <c r="G12234" s="5"/>
    </row>
    <row r="12235" spans="1:7" ht="58.5" customHeight="1" x14ac:dyDescent="0.25">
      <c r="A12235" s="5" t="str">
        <f>"H0038015"</f>
        <v>H0038015</v>
      </c>
      <c r="B12235" s="5" t="str">
        <f t="shared" si="629"/>
        <v>SILLA GERENTE NIZA MEC. BASCULANTE CON BRAZOS.</v>
      </c>
      <c r="C12235" s="6">
        <v>710000.01</v>
      </c>
      <c r="D12235" s="5" t="s">
        <v>30</v>
      </c>
      <c r="E12235" s="5" t="str">
        <f t="shared" si="628"/>
        <v>RADIOTERAPIA-GLORIA NANCY JAIMES GONZALEZ</v>
      </c>
      <c r="F12235" s="5"/>
      <c r="G12235" s="5"/>
    </row>
    <row r="12236" spans="1:7" ht="58.5" customHeight="1" x14ac:dyDescent="0.25">
      <c r="A12236" s="5" t="str">
        <f>"H0038016"</f>
        <v>H0038016</v>
      </c>
      <c r="B12236" s="5" t="str">
        <f t="shared" si="629"/>
        <v>SILLA GERENTE NIZA MEC. BASCULANTE CON BRAZOS.</v>
      </c>
      <c r="C12236" s="6">
        <v>710000.01</v>
      </c>
      <c r="D12236" s="5" t="s">
        <v>30</v>
      </c>
      <c r="E12236" s="5" t="str">
        <f t="shared" si="628"/>
        <v>RADIOTERAPIA-GLORIA NANCY JAIMES GONZALEZ</v>
      </c>
      <c r="F12236" s="5"/>
      <c r="G12236" s="5"/>
    </row>
    <row r="12237" spans="1:7" ht="58.5" customHeight="1" x14ac:dyDescent="0.25">
      <c r="A12237" s="5" t="str">
        <f>"H0038017"</f>
        <v>H0038017</v>
      </c>
      <c r="B12237" s="5" t="str">
        <f t="shared" si="629"/>
        <v>SILLA GERENTE NIZA MEC. BASCULANTE CON BRAZOS.</v>
      </c>
      <c r="C12237" s="6">
        <v>710000.01</v>
      </c>
      <c r="D12237" s="5" t="s">
        <v>30</v>
      </c>
      <c r="E12237" s="5" t="str">
        <f t="shared" si="628"/>
        <v>RADIOTERAPIA-GLORIA NANCY JAIMES GONZALEZ</v>
      </c>
      <c r="F12237" s="5"/>
      <c r="G12237" s="5"/>
    </row>
    <row r="12238" spans="1:7" ht="58.5" customHeight="1" x14ac:dyDescent="0.25">
      <c r="A12238" s="5" t="str">
        <f>"H0038018"</f>
        <v>H0038018</v>
      </c>
      <c r="B12238" s="5" t="str">
        <f t="shared" si="629"/>
        <v>SILLA GERENTE NIZA MEC. BASCULANTE CON BRAZOS.</v>
      </c>
      <c r="C12238" s="6">
        <v>710000.01</v>
      </c>
      <c r="D12238" s="5" t="s">
        <v>30</v>
      </c>
      <c r="E12238" s="5" t="str">
        <f t="shared" si="628"/>
        <v>RADIOTERAPIA-GLORIA NANCY JAIMES GONZALEZ</v>
      </c>
      <c r="F12238" s="5"/>
      <c r="G12238" s="5"/>
    </row>
    <row r="12239" spans="1:7" ht="58.5" customHeight="1" x14ac:dyDescent="0.25">
      <c r="A12239" s="5" t="str">
        <f>"H0038019"</f>
        <v>H0038019</v>
      </c>
      <c r="B12239" s="5" t="str">
        <f t="shared" si="629"/>
        <v>SILLA GERENTE NIZA MEC. BASCULANTE CON BRAZOS.</v>
      </c>
      <c r="C12239" s="6">
        <v>710000.01</v>
      </c>
      <c r="D12239" s="5" t="s">
        <v>30</v>
      </c>
      <c r="E12239" s="5" t="str">
        <f t="shared" si="628"/>
        <v>RADIOTERAPIA-GLORIA NANCY JAIMES GONZALEZ</v>
      </c>
      <c r="F12239" s="5"/>
      <c r="G12239" s="5"/>
    </row>
    <row r="12240" spans="1:7" ht="58.5" customHeight="1" x14ac:dyDescent="0.25">
      <c r="A12240" s="5" t="str">
        <f>"H0038077"</f>
        <v>H0038077</v>
      </c>
      <c r="B12240" s="5" t="str">
        <f>"SILLA CAJERO KOPI"</f>
        <v>SILLA CAJERO KOPI</v>
      </c>
      <c r="C12240" s="6">
        <v>565000.01</v>
      </c>
      <c r="D12240" s="5" t="s">
        <v>30</v>
      </c>
      <c r="E12240" s="5" t="str">
        <f t="shared" si="628"/>
        <v>RADIOTERAPIA-GLORIA NANCY JAIMES GONZALEZ</v>
      </c>
      <c r="F12240" s="5"/>
      <c r="G12240" s="5"/>
    </row>
    <row r="12241" spans="1:7" ht="58.5" customHeight="1" x14ac:dyDescent="0.25">
      <c r="A12241" s="5" t="str">
        <f>"H0038078"</f>
        <v>H0038078</v>
      </c>
      <c r="B12241" s="5" t="str">
        <f>"SILLA CAJERO KOPI"</f>
        <v>SILLA CAJERO KOPI</v>
      </c>
      <c r="C12241" s="6">
        <v>565000.01</v>
      </c>
      <c r="D12241" s="5" t="s">
        <v>571</v>
      </c>
      <c r="E12241" s="5" t="str">
        <f t="shared" si="628"/>
        <v>RADIOTERAPIA-GLORIA NANCY JAIMES GONZALEZ</v>
      </c>
      <c r="F12241" s="5"/>
      <c r="G12241" s="5"/>
    </row>
    <row r="12242" spans="1:7" ht="58.5" customHeight="1" x14ac:dyDescent="0.25">
      <c r="A12242" s="5" t="str">
        <f>"H0028969"</f>
        <v>H0028969</v>
      </c>
      <c r="B12242" s="5" t="str">
        <f>"SILLA HERGONOMICA CON SISTEMA HIDRAULICO"</f>
        <v>SILLA HERGONOMICA CON SISTEMA HIDRAULICO</v>
      </c>
      <c r="C12242" s="6">
        <v>174900</v>
      </c>
      <c r="D12242" s="5" t="s">
        <v>40</v>
      </c>
      <c r="E12242" s="5" t="str">
        <f t="shared" ref="E12242:E12249" si="630">"SEGURIDAD DEL PACIENTE"</f>
        <v>SEGURIDAD DEL PACIENTE</v>
      </c>
      <c r="F12242" s="5"/>
      <c r="G12242" s="5"/>
    </row>
    <row r="12243" spans="1:7" ht="58.5" customHeight="1" x14ac:dyDescent="0.25">
      <c r="A12243" s="5" t="str">
        <f>"H0037210"</f>
        <v>H0037210</v>
      </c>
      <c r="B12243" s="5" t="str">
        <f>"AIRE ACONDICIONADO TIPO MINISPLIT CAPACIDAD 12.000 BTU TECNOLOGIA INVERTER DUAL"</f>
        <v>AIRE ACONDICIONADO TIPO MINISPLIT CAPACIDAD 12.000 BTU TECNOLOGIA INVERTER DUAL</v>
      </c>
      <c r="C12243" s="6">
        <v>2799999.93</v>
      </c>
      <c r="D12243" s="5" t="s">
        <v>201</v>
      </c>
      <c r="E12243" s="5" t="str">
        <f t="shared" si="630"/>
        <v>SEGURIDAD DEL PACIENTE</v>
      </c>
      <c r="F12243" s="5"/>
      <c r="G12243" s="5"/>
    </row>
    <row r="12244" spans="1:7" ht="58.5" customHeight="1" x14ac:dyDescent="0.25">
      <c r="A12244" s="5" t="str">
        <f>"H0037974"</f>
        <v>H0037974</v>
      </c>
      <c r="B12244" s="5" t="str">
        <f t="shared" ref="B12244:B12249" si="631">"SILLA GERENTE NIZA MEC. BASCULANTE CON BRAZOS."</f>
        <v>SILLA GERENTE NIZA MEC. BASCULANTE CON BRAZOS.</v>
      </c>
      <c r="C12244" s="6">
        <v>710000.01</v>
      </c>
      <c r="D12244" s="5" t="s">
        <v>30</v>
      </c>
      <c r="E12244" s="5" t="str">
        <f t="shared" si="630"/>
        <v>SEGURIDAD DEL PACIENTE</v>
      </c>
      <c r="F12244" s="5"/>
      <c r="G12244" s="5"/>
    </row>
    <row r="12245" spans="1:7" ht="58.5" customHeight="1" x14ac:dyDescent="0.25">
      <c r="A12245" s="5" t="str">
        <f>"H0037975"</f>
        <v>H0037975</v>
      </c>
      <c r="B12245" s="5" t="str">
        <f t="shared" si="631"/>
        <v>SILLA GERENTE NIZA MEC. BASCULANTE CON BRAZOS.</v>
      </c>
      <c r="C12245" s="6">
        <v>710000.01</v>
      </c>
      <c r="D12245" s="5" t="s">
        <v>30</v>
      </c>
      <c r="E12245" s="5" t="str">
        <f t="shared" si="630"/>
        <v>SEGURIDAD DEL PACIENTE</v>
      </c>
      <c r="F12245" s="5"/>
      <c r="G12245" s="5"/>
    </row>
    <row r="12246" spans="1:7" ht="58.5" customHeight="1" x14ac:dyDescent="0.25">
      <c r="A12246" s="5" t="str">
        <f>"H0037976"</f>
        <v>H0037976</v>
      </c>
      <c r="B12246" s="5" t="str">
        <f t="shared" si="631"/>
        <v>SILLA GERENTE NIZA MEC. BASCULANTE CON BRAZOS.</v>
      </c>
      <c r="C12246" s="6">
        <v>710000.01</v>
      </c>
      <c r="D12246" s="5" t="s">
        <v>30</v>
      </c>
      <c r="E12246" s="5" t="str">
        <f t="shared" si="630"/>
        <v>SEGURIDAD DEL PACIENTE</v>
      </c>
      <c r="F12246" s="5"/>
      <c r="G12246" s="5"/>
    </row>
    <row r="12247" spans="1:7" ht="58.5" customHeight="1" x14ac:dyDescent="0.25">
      <c r="A12247" s="5" t="str">
        <f>"H0037977"</f>
        <v>H0037977</v>
      </c>
      <c r="B12247" s="5" t="str">
        <f t="shared" si="631"/>
        <v>SILLA GERENTE NIZA MEC. BASCULANTE CON BRAZOS.</v>
      </c>
      <c r="C12247" s="6">
        <v>710000.01</v>
      </c>
      <c r="D12247" s="5" t="s">
        <v>30</v>
      </c>
      <c r="E12247" s="5" t="str">
        <f t="shared" si="630"/>
        <v>SEGURIDAD DEL PACIENTE</v>
      </c>
      <c r="F12247" s="5"/>
      <c r="G12247" s="5"/>
    </row>
    <row r="12248" spans="1:7" ht="58.5" customHeight="1" x14ac:dyDescent="0.25">
      <c r="A12248" s="5" t="str">
        <f>"H0037978"</f>
        <v>H0037978</v>
      </c>
      <c r="B12248" s="5" t="str">
        <f t="shared" si="631"/>
        <v>SILLA GERENTE NIZA MEC. BASCULANTE CON BRAZOS.</v>
      </c>
      <c r="C12248" s="6">
        <v>710000.01</v>
      </c>
      <c r="D12248" s="5" t="s">
        <v>30</v>
      </c>
      <c r="E12248" s="5" t="str">
        <f t="shared" si="630"/>
        <v>SEGURIDAD DEL PACIENTE</v>
      </c>
      <c r="F12248" s="5"/>
      <c r="G12248" s="5"/>
    </row>
    <row r="12249" spans="1:7" ht="58.5" customHeight="1" x14ac:dyDescent="0.25">
      <c r="A12249" s="5" t="str">
        <f>"H0037979"</f>
        <v>H0037979</v>
      </c>
      <c r="B12249" s="5" t="str">
        <f t="shared" si="631"/>
        <v>SILLA GERENTE NIZA MEC. BASCULANTE CON BRAZOS.</v>
      </c>
      <c r="C12249" s="6">
        <v>710000.01</v>
      </c>
      <c r="D12249" s="5" t="s">
        <v>30</v>
      </c>
      <c r="E12249" s="5" t="str">
        <f t="shared" si="630"/>
        <v>SEGURIDAD DEL PACIENTE</v>
      </c>
      <c r="F12249" s="5"/>
      <c r="G12249" s="5"/>
    </row>
    <row r="12250" spans="1:7" ht="58.5" customHeight="1" x14ac:dyDescent="0.25">
      <c r="A12250" s="5" t="str">
        <f>"B0003797"</f>
        <v>B0003797</v>
      </c>
      <c r="B12250" s="5" t="str">
        <f>"PLATON NIQUELADO – INOXIDABLE"</f>
        <v>PLATON NIQUELADO – INOXIDABLE</v>
      </c>
      <c r="C12250" s="6">
        <v>2640</v>
      </c>
      <c r="D12250" s="5"/>
      <c r="E12250" s="5" t="str">
        <f t="shared" ref="E12250:E12313" si="632">"ACTISALUD-PISO 9-GUSTAVO GOMEZ"</f>
        <v>ACTISALUD-PISO 9-GUSTAVO GOMEZ</v>
      </c>
      <c r="F12250" s="5" t="str">
        <f>"Descripcion: PLATON EN ALUMINIO PEQ. Estado: Bueno Placa anterior: 000005751 Material: ALUMINIO Color: PLATEADO Referencia:  Observacion:  Placa padre: Tipo adquisicion: Entidad"</f>
        <v>Descripcion: PLATON EN ALUMINIO PEQ. Estado: Bueno Placa anterior: 000005751 Material: ALUMINIO Color: PLATEADO Referencia:  Observacion:  Placa padre: Tipo adquisicion: Entidad</v>
      </c>
      <c r="G12250" s="5"/>
    </row>
    <row r="12251" spans="1:7" ht="58.5" customHeight="1" x14ac:dyDescent="0.25">
      <c r="A12251" s="5" t="str">
        <f>"B0005212"</f>
        <v>B0005212</v>
      </c>
      <c r="B12251" s="5" t="str">
        <f>"LLAVE DE BOCA FIJA"</f>
        <v>LLAVE DE BOCA FIJA</v>
      </c>
      <c r="C12251" s="6">
        <v>4325.4399999999996</v>
      </c>
      <c r="D12251" s="5"/>
      <c r="E12251" s="5" t="str">
        <f t="shared" si="632"/>
        <v>ACTISALUD-PISO 9-GUSTAVO GOMEZ</v>
      </c>
      <c r="F12251" s="5" t="str">
        <f>"Descripcion: LLAVE BOCA FIJA DE 1 1/8 P/CAMBIO CILINDRO Estado: Bueno Placa anterior: 000005726 Material: ACERO INOXIDABLE Color: PLATEADO Referencia:  Observacion:  Placa padre: Tipo adquisicion: Entidad"</f>
        <v>Descripcion: LLAVE BOCA FIJA DE 1 1/8 P/CAMBIO CILINDRO Estado: Bueno Placa anterior: 000005726 Material: ACERO INOXIDABLE Color: PLATEADO Referencia:  Observacion:  Placa padre: Tipo adquisicion: Entidad</v>
      </c>
      <c r="G12251" s="5"/>
    </row>
    <row r="12252" spans="1:7" ht="58.5" customHeight="1" x14ac:dyDescent="0.25">
      <c r="A12252" s="5" t="str">
        <f>"B0005213"</f>
        <v>B0005213</v>
      </c>
      <c r="B12252" s="5" t="str">
        <f>"AMBU (RESUCITADOR MANUAL) (BOLSA AUTOINFLABLE) ADULTO"</f>
        <v>AMBU (RESUCITADOR MANUAL) (BOLSA AUTOINFLABLE) ADULTO</v>
      </c>
      <c r="C12252" s="6">
        <v>291450</v>
      </c>
      <c r="D12252" s="5"/>
      <c r="E12252" s="5" t="str">
        <f t="shared" si="632"/>
        <v>ACTISALUD-PISO 9-GUSTAVO GOMEZ</v>
      </c>
      <c r="F12252" s="5" t="str">
        <f>"Descripcion: AMBU PARA ADULTOS Estado: Bueno Placa anterior: 000021771 Material: DESECHABLE Color: TRANSPARENTE Referencia:  Observacion:  Placa padre: Tipo adquisicion: Entidad"</f>
        <v>Descripcion: AMBU PARA ADULTOS Estado: Bueno Placa anterior: 000021771 Material: DESECHABLE Color: TRANSPARENTE Referencia:  Observacion:  Placa padre: Tipo adquisicion: Entidad</v>
      </c>
      <c r="G12252" s="5"/>
    </row>
    <row r="12253" spans="1:7" ht="58.5" customHeight="1" x14ac:dyDescent="0.25">
      <c r="A12253" s="5" t="str">
        <f>"H00002595"</f>
        <v>H00002595</v>
      </c>
      <c r="B12253" s="5" t="str">
        <f>"PATO (PISINGO) HOMBRE"</f>
        <v>PATO (PISINGO) HOMBRE</v>
      </c>
      <c r="C12253" s="6">
        <v>11033.66</v>
      </c>
      <c r="D12253" s="5"/>
      <c r="E12253" s="5" t="str">
        <f t="shared" si="632"/>
        <v>ACTISALUD-PISO 9-GUSTAVO GOMEZ</v>
      </c>
      <c r="F12253" s="5" t="str">
        <f>"Descripcion: PATO ORINAL - PISINGO Estado: Bueno Placa anterior: 000026597 Material: ACERO INOX. Color: PLATEADO Referencia:  Observacion: 910- Placa padre: Tipo adquisicion: Entidad"</f>
        <v>Descripcion: PATO ORINAL - PISINGO Estado: Bueno Placa anterior: 000026597 Material: ACERO INOX. Color: PLATEADO Referencia:  Observacion: 910- Placa padre: Tipo adquisicion: Entidad</v>
      </c>
      <c r="G12253" s="5"/>
    </row>
    <row r="12254" spans="1:7" ht="58.5" customHeight="1" x14ac:dyDescent="0.25">
      <c r="A12254" s="5" t="str">
        <f>"H0002524"</f>
        <v>H0002524</v>
      </c>
      <c r="B12254" s="5" t="str">
        <f>"PATO (PISINGO) HOMBRE"</f>
        <v>PATO (PISINGO) HOMBRE</v>
      </c>
      <c r="C12254" s="6">
        <v>15612.17</v>
      </c>
      <c r="D12254" s="5"/>
      <c r="E12254" s="5" t="str">
        <f t="shared" si="632"/>
        <v>ACTISALUD-PISO 9-GUSTAVO GOMEZ</v>
      </c>
      <c r="F12254" s="5" t="str">
        <f>"Descripcion: PATO PISINGO HOMBRE Estado: Bueno Placa anterior: 000003869 Material: ACERO INOXIDABLE Color: PLATEADO Referencia:  Observacion: ESTA EN EL CUARTO DE ASEO Placa padre: Tipo adquisicion: Entidad"</f>
        <v>Descripcion: PATO PISINGO HOMBRE Estado: Bueno Placa anterior: 000003869 Material: ACERO INOXIDABLE Color: PLATEADO Referencia:  Observacion: ESTA EN EL CUARTO DE ASEO Placa padre: Tipo adquisicion: Entidad</v>
      </c>
      <c r="G12254" s="5"/>
    </row>
    <row r="12255" spans="1:7" ht="58.5" customHeight="1" x14ac:dyDescent="0.25">
      <c r="A12255" s="5" t="str">
        <f>"H0002525"</f>
        <v>H0002525</v>
      </c>
      <c r="B12255" s="5" t="str">
        <f>"PATO (PISINGO) HOMBRE"</f>
        <v>PATO (PISINGO) HOMBRE</v>
      </c>
      <c r="C12255" s="6">
        <v>15612.17</v>
      </c>
      <c r="D12255" s="5"/>
      <c r="E12255" s="5" t="str">
        <f t="shared" si="632"/>
        <v>ACTISALUD-PISO 9-GUSTAVO GOMEZ</v>
      </c>
      <c r="F12255" s="5" t="str">
        <f>"Descripcion: PATO PISINGO HOMBRE Estado: Bueno Placa anterior: 000003890 Material: ACERO INOXIDABLE Color: PLATEADO Referencia:  Observacion: ESTA EN EL CUARTO DE ASEO Placa padre: Tipo adquisicion: Entidad"</f>
        <v>Descripcion: PATO PISINGO HOMBRE Estado: Bueno Placa anterior: 000003890 Material: ACERO INOXIDABLE Color: PLATEADO Referencia:  Observacion: ESTA EN EL CUARTO DE ASEO Placa padre: Tipo adquisicion: Entidad</v>
      </c>
      <c r="G12255" s="5"/>
    </row>
    <row r="12256" spans="1:7" ht="58.5" customHeight="1" x14ac:dyDescent="0.25">
      <c r="A12256" s="5" t="str">
        <f>"H0002527"</f>
        <v>H0002527</v>
      </c>
      <c r="B12256" s="5" t="str">
        <f>"PATO (PISINGO) HOMBRE"</f>
        <v>PATO (PISINGO) HOMBRE</v>
      </c>
      <c r="C12256" s="6">
        <v>15612.17</v>
      </c>
      <c r="D12256" s="5"/>
      <c r="E12256" s="5" t="str">
        <f t="shared" si="632"/>
        <v>ACTISALUD-PISO 9-GUSTAVO GOMEZ</v>
      </c>
      <c r="F12256" s="5" t="str">
        <f>"Descripcion: PATO PISINGO HOMBRE Estado: Bueno Placa anterior: 000003898 Material: ACERO INOXIDABLE Color: PLATEADO Referencia:  Observacion: ESTA EN EL CUARTO DE ASEO Placa padre: Tipo adquisicion: Entidad"</f>
        <v>Descripcion: PATO PISINGO HOMBRE Estado: Bueno Placa anterior: 000003898 Material: ACERO INOXIDABLE Color: PLATEADO Referencia:  Observacion: ESTA EN EL CUARTO DE ASEO Placa padre: Tipo adquisicion: Entidad</v>
      </c>
      <c r="G12256" s="5"/>
    </row>
    <row r="12257" spans="1:7" ht="58.5" customHeight="1" x14ac:dyDescent="0.25">
      <c r="A12257" s="5" t="str">
        <f>"H0002528"</f>
        <v>H0002528</v>
      </c>
      <c r="B12257" s="5" t="str">
        <f>"PATO (COPROLOGICO) MUJER"</f>
        <v>PATO (COPROLOGICO) MUJER</v>
      </c>
      <c r="C12257" s="6">
        <v>17913.86</v>
      </c>
      <c r="D12257" s="5"/>
      <c r="E12257" s="5" t="str">
        <f t="shared" si="632"/>
        <v>ACTISALUD-PISO 9-GUSTAVO GOMEZ</v>
      </c>
      <c r="F12257" s="5" t="str">
        <f>"Descripcion: PATO COPROLOGICO MUJER Estado: Bueno Placa anterior: 000003289 Material: ACERO INOXIDABLE Color: PLATEADO Referencia:  Observacion: ESTA EN EL CUARTO DE ASEO Placa padre: Tipo adquisicion: Entidad"</f>
        <v>Descripcion: PATO COPROLOGICO MUJER Estado: Bueno Placa anterior: 000003289 Material: ACERO INOXIDABLE Color: PLATEADO Referencia:  Observacion: ESTA EN EL CUARTO DE ASEO Placa padre: Tipo adquisicion: Entidad</v>
      </c>
      <c r="G12257" s="5"/>
    </row>
    <row r="12258" spans="1:7" ht="58.5" customHeight="1" x14ac:dyDescent="0.25">
      <c r="A12258" s="5" t="str">
        <f>"H0002529"</f>
        <v>H0002529</v>
      </c>
      <c r="B12258" s="5" t="str">
        <f>"PATO (COPROLOGICO) MUJER"</f>
        <v>PATO (COPROLOGICO) MUJER</v>
      </c>
      <c r="C12258" s="6">
        <v>17913.86</v>
      </c>
      <c r="D12258" s="5"/>
      <c r="E12258" s="5" t="str">
        <f t="shared" si="632"/>
        <v>ACTISALUD-PISO 9-GUSTAVO GOMEZ</v>
      </c>
      <c r="F12258" s="5" t="str">
        <f>"Descripcion: PATO COPROLOGICO MUJER Estado: Bueno Placa anterior: 000003903 Material: ACERO INOXIDABLE Color: PLATEADO Referencia:  Observacion: ESTA EN EL CUARTO DE ASEO Placa padre: Tipo adquisicion: Entidad"</f>
        <v>Descripcion: PATO COPROLOGICO MUJER Estado: Bueno Placa anterior: 000003903 Material: ACERO INOXIDABLE Color: PLATEADO Referencia:  Observacion: ESTA EN EL CUARTO DE ASEO Placa padre: Tipo adquisicion: Entidad</v>
      </c>
      <c r="G12258" s="5"/>
    </row>
    <row r="12259" spans="1:7" ht="58.5" customHeight="1" x14ac:dyDescent="0.25">
      <c r="A12259" s="5" t="str">
        <f>"H0002530"</f>
        <v>H0002530</v>
      </c>
      <c r="B12259" s="5" t="str">
        <f>"PATO (COPROLOGICO) MUJER"</f>
        <v>PATO (COPROLOGICO) MUJER</v>
      </c>
      <c r="C12259" s="6">
        <v>17913.86</v>
      </c>
      <c r="D12259" s="5"/>
      <c r="E12259" s="5" t="str">
        <f t="shared" si="632"/>
        <v>ACTISALUD-PISO 9-GUSTAVO GOMEZ</v>
      </c>
      <c r="F12259" s="5" t="str">
        <f>"Descripcion: PATO COPROLOGICO MUJER Estado: Bueno Placa anterior: 000003904 Material: ACERO INOXIDABLE Color: PLATEADO Referencia:  Observacion: ESTA EN EL CUARTO DE ASEO Placa padre: Tipo adquisicion: Entidad"</f>
        <v>Descripcion: PATO COPROLOGICO MUJER Estado: Bueno Placa anterior: 000003904 Material: ACERO INOXIDABLE Color: PLATEADO Referencia:  Observacion: ESTA EN EL CUARTO DE ASEO Placa padre: Tipo adquisicion: Entidad</v>
      </c>
      <c r="G12259" s="5"/>
    </row>
    <row r="12260" spans="1:7" ht="58.5" customHeight="1" x14ac:dyDescent="0.25">
      <c r="A12260" s="5" t="str">
        <f>"H0002534"</f>
        <v>H0002534</v>
      </c>
      <c r="B12260" s="5" t="str">
        <f>"GABINETE CONTRA INCENDIO"</f>
        <v>GABINETE CONTRA INCENDIO</v>
      </c>
      <c r="C12260" s="6">
        <v>171000</v>
      </c>
      <c r="D12260" s="5"/>
      <c r="E12260" s="5" t="str">
        <f t="shared" si="632"/>
        <v>ACTISALUD-PISO 9-GUSTAVO GOMEZ</v>
      </c>
      <c r="F12260" s="5" t="str">
        <f>"Descripcion: KIT CONTRA INCENDIO, CONTIENE MANGUERA, HACHA Y EXTINTOR CAP. 10 (4536 KG) Estado: Bueno Placa anterior: 000019075 Material: METALICO Y MANGUERA FIBRA GRUESA Color: ROJO, AMARILLO Y BLANCO Referencia:  Observacion:  Placa padre: Tipo adquisic"&amp; "ion: Entidad"</f>
        <v>Descripcion: KIT CONTRA INCENDIO, CONTIENE MANGUERA, HACHA Y EXTINTOR CAP. 10 (4536 KG) Estado: Bueno Placa anterior: 000019075 Material: METALICO Y MANGUERA FIBRA GRUESA Color: ROJO, AMARILLO Y BLANCO Referencia:  Observacion:  Placa padre: Tipo adquisicion: Entidad</v>
      </c>
      <c r="G12260" s="5"/>
    </row>
    <row r="12261" spans="1:7" ht="58.5" customHeight="1" x14ac:dyDescent="0.25">
      <c r="A12261" s="5" t="str">
        <f>"H0002535"</f>
        <v>H0002535</v>
      </c>
      <c r="B12261" s="5" t="str">
        <f>"CAMILLA DE TRASLADO CON BARANDAS"</f>
        <v>CAMILLA DE TRASLADO CON BARANDAS</v>
      </c>
      <c r="C12261" s="6">
        <v>1740000</v>
      </c>
      <c r="D12261" s="5"/>
      <c r="E12261" s="5" t="str">
        <f t="shared" si="632"/>
        <v>ACTISALUD-PISO 9-GUSTAVO GOMEZ</v>
      </c>
      <c r="F12261" s="5" t="str">
        <f>"Descripcion: CAMILLA RECUPERACION Y TRANSPORTE, MARCA HOSPITECH, MODELO 141-04: CARACTERISTICAS: FABRICADA EN TUBERIA REDONDA DE 1 Y 7/8 PLATO SUPERIOR EN LAMINA COLL-ROLLED, MARCO TUBERIA REDONDA DE 7/8 CON REFUERZOS ADICIONALES ESPALDAR GRADUABLE, COLCH"&amp; "ONETA EN ESP Estado: Bueno Placa anterior: 000025954 Material: METAL  Y COLCHONETA EN CUERO Color: BEIGE Y TAPIZADO EN NEGRO Referencia: 141-04 Observacion: CON COLCHONETA Placa padre: Tipo adquisicion: Entidad"</f>
        <v>Descripcion: CAMILLA RECUPERACION Y TRANSPORTE, MARCA HOSPITECH, MODELO 141-04: CARACTERISTICAS: FABRICADA EN TUBERIA REDONDA DE 1 Y 7/8 PLATO SUPERIOR EN LAMINA COLL-ROLLED, MARCO TUBERIA REDONDA DE 7/8 CON REFUERZOS ADICIONALES ESPALDAR GRADUABLE, COLCHONETA EN ESP Estado: Bueno Placa anterior: 000025954 Material: METAL  Y COLCHONETA EN CUERO Color: BEIGE Y TAPIZADO EN NEGRO Referencia: 141-04 Observacion: CON COLCHONETA Placa padre: Tipo adquisicion: Entidad</v>
      </c>
      <c r="G12261" s="5" t="str">
        <f>"HOSPITECH"</f>
        <v>HOSPITECH</v>
      </c>
    </row>
    <row r="12262" spans="1:7" ht="58.5" customHeight="1" x14ac:dyDescent="0.25">
      <c r="A12262" s="5" t="str">
        <f>"H0002536"</f>
        <v>H0002536</v>
      </c>
      <c r="B12262" s="5" t="str">
        <f>"SILLA PLASTICA CON BRAZOS"</f>
        <v>SILLA PLASTICA CON BRAZOS</v>
      </c>
      <c r="C12262" s="6">
        <v>12240.32</v>
      </c>
      <c r="D12262" s="5"/>
      <c r="E12262" s="5" t="str">
        <f t="shared" si="632"/>
        <v>ACTISALUD-PISO 9-GUSTAVO GOMEZ</v>
      </c>
      <c r="F12262" s="5" t="str">
        <f>"Descripcion: SILLA PLASTICA BLANCA CON BRAZOS Estado: Bueno Placa anterior: 000003354 Material: PLASTICO Color: BLANCO Referencia:  Observacion: 901 -  Placa padre: Tipo adquisicion: Entidad"</f>
        <v>Descripcion: SILLA PLASTICA BLANCA CON BRAZOS Estado: Bueno Placa anterior: 000003354 Material: PLASTICO Color: BLANCO Referencia:  Observacion: 901 -  Placa padre: Tipo adquisicion: Entidad</v>
      </c>
      <c r="G12262" s="5"/>
    </row>
    <row r="12263" spans="1:7" ht="58.5" customHeight="1" x14ac:dyDescent="0.25">
      <c r="A12263" s="5" t="str">
        <f>"H0002537"</f>
        <v>H0002537</v>
      </c>
      <c r="B12263" s="5" t="str">
        <f>"MESA DE NOCHE"</f>
        <v>MESA DE NOCHE</v>
      </c>
      <c r="C12263" s="6">
        <v>327586</v>
      </c>
      <c r="D12263" s="5"/>
      <c r="E12263" s="5" t="str">
        <f t="shared" si="632"/>
        <v>ACTISALUD-PISO 9-GUSTAVO GOMEZ</v>
      </c>
      <c r="F12263" s="5" t="str">
        <f>"Descripcion: MESA DE NOCHE EN ACERO Estado: Bueno Placa anterior: 000028891 Material: ACERO INOX. Color: PLATEADO Referencia:  Observacion: 901 -  Placa padre: Tipo adquisicion: Entidad"</f>
        <v>Descripcion: MESA DE NOCHE EN ACERO Estado: Bueno Placa anterior: 000028891 Material: ACERO INOX. Color: PLATEADO Referencia:  Observacion: 901 -  Placa padre: Tipo adquisicion: Entidad</v>
      </c>
      <c r="G12263" s="5"/>
    </row>
    <row r="12264" spans="1:7" ht="58.5" customHeight="1" x14ac:dyDescent="0.25">
      <c r="A12264" s="5" t="str">
        <f>"H0002541"</f>
        <v>H0002541</v>
      </c>
      <c r="B12264" s="5" t="str">
        <f>"ESCALERILLA DE 2 PASOS"</f>
        <v>ESCALERILLA DE 2 PASOS</v>
      </c>
      <c r="C12264" s="6">
        <v>4455</v>
      </c>
      <c r="D12264" s="5"/>
      <c r="E12264" s="5" t="str">
        <f t="shared" si="632"/>
        <v>ACTISALUD-PISO 9-GUSTAVO GOMEZ</v>
      </c>
      <c r="F12264" s="5" t="str">
        <f>"Descripcion: ESCALERILLA DE 2 PASOS Estado: Bueno Placa anterior: 000021183 Material: TUBO METALICO Y PASOS EN PASTA Color: BLANCO Referencia:  Observacion: 901 -  Placa padre: Tipo adquisicion: Entidad"</f>
        <v>Descripcion: ESCALERILLA DE 2 PASOS Estado: Bueno Placa anterior: 000021183 Material: TUBO METALICO Y PASOS EN PASTA Color: BLANCO Referencia:  Observacion: 901 -  Placa padre: Tipo adquisicion: Entidad</v>
      </c>
      <c r="G12264" s="5"/>
    </row>
    <row r="12265" spans="1:7" ht="58.5" customHeight="1" x14ac:dyDescent="0.25">
      <c r="A12265" s="5" t="str">
        <f>"H0002543"</f>
        <v>H0002543</v>
      </c>
      <c r="B12265" s="5" t="str">
        <f>"MESA PUENTE (ALIMENTACION) (INSTRUMENTAL)"</f>
        <v>MESA PUENTE (ALIMENTACION) (INSTRUMENTAL)</v>
      </c>
      <c r="C12265" s="6">
        <v>15000</v>
      </c>
      <c r="D12265" s="5"/>
      <c r="E12265" s="5" t="str">
        <f t="shared" si="632"/>
        <v>ACTISALUD-PISO 9-GUSTAVO GOMEZ</v>
      </c>
      <c r="F12265" s="5" t="str">
        <f>"Descripcion: MESA PUENTE PARA ALIMENTACION Estado: Bueno Placa anterior: 000026699 Material: TUBO METALICO Y BANDEJA EN ACERO INOX. Color: BEIGE Referencia:  Observacion: 901 -  Placa padre: Tipo adquisicion: Entidad"</f>
        <v>Descripcion: MESA PUENTE PARA ALIMENTACION Estado: Bueno Placa anterior: 000026699 Material: TUBO METALICO Y BANDEJA EN ACERO INOX. Color: BEIGE Referencia:  Observacion: 901 -  Placa padre: Tipo adquisicion: Entidad</v>
      </c>
      <c r="G12265" s="5"/>
    </row>
    <row r="12266" spans="1:7" ht="58.5" customHeight="1" x14ac:dyDescent="0.25">
      <c r="A12266" s="5" t="str">
        <f>"H0002544"</f>
        <v>H0002544</v>
      </c>
      <c r="B12266" s="5" t="str">
        <f>"PATO (PISINGO) HOMBRE"</f>
        <v>PATO (PISINGO) HOMBRE</v>
      </c>
      <c r="C12266" s="6">
        <v>15612.17</v>
      </c>
      <c r="D12266" s="5"/>
      <c r="E12266" s="5" t="str">
        <f t="shared" si="632"/>
        <v>ACTISALUD-PISO 9-GUSTAVO GOMEZ</v>
      </c>
      <c r="F12266" s="5" t="str">
        <f>"Descripcion: PATO (PISINGO) HOMBRE Estado: Bueno Placa anterior: 000003899 Material: ACERO INOX. Color:  Referencia:  Observacion: 901 . Placa padre: Tipo adquisicion: Entidad"</f>
        <v>Descripcion: PATO (PISINGO) HOMBRE Estado: Bueno Placa anterior: 000003899 Material: ACERO INOX. Color:  Referencia:  Observacion: 901 . Placa padre: Tipo adquisicion: Entidad</v>
      </c>
      <c r="G12266" s="5"/>
    </row>
    <row r="12267" spans="1:7" ht="58.5" customHeight="1" x14ac:dyDescent="0.25">
      <c r="A12267" s="5" t="str">
        <f>"H0002547"</f>
        <v>H0002547</v>
      </c>
      <c r="B12267" s="5" t="str">
        <f>"MESA PUENTE (ALIMENTACION) (INSTRUMENTAL)"</f>
        <v>MESA PUENTE (ALIMENTACION) (INSTRUMENTAL)</v>
      </c>
      <c r="C12267" s="6">
        <v>15000</v>
      </c>
      <c r="D12267" s="5"/>
      <c r="E12267" s="5" t="str">
        <f t="shared" si="632"/>
        <v>ACTISALUD-PISO 9-GUSTAVO GOMEZ</v>
      </c>
      <c r="F12267" s="5" t="str">
        <f>"Descripcion: MESA PUENTE PARA ALIMENTACION CON RODACHINES Estado: Bueno Placa anterior: 000026701 Material: METALICA CON BANDEJA ACERO INOX. Color: VERDE CLARA Referencia:  Observacion: 902 -  Placa padre: Tipo adquisicion: Entidad"</f>
        <v>Descripcion: MESA PUENTE PARA ALIMENTACION CON RODACHINES Estado: Bueno Placa anterior: 000026701 Material: METALICA CON BANDEJA ACERO INOX. Color: VERDE CLARA Referencia:  Observacion: 902 -  Placa padre: Tipo adquisicion: Entidad</v>
      </c>
      <c r="G12267" s="5"/>
    </row>
    <row r="12268" spans="1:7" ht="58.5" customHeight="1" x14ac:dyDescent="0.25">
      <c r="A12268" s="5" t="str">
        <f>"H0002548"</f>
        <v>H0002548</v>
      </c>
      <c r="B12268" s="5" t="str">
        <f>"SILLA DE RUEDAS"</f>
        <v>SILLA DE RUEDAS</v>
      </c>
      <c r="C12268" s="6">
        <v>650000</v>
      </c>
      <c r="D12268" s="5"/>
      <c r="E12268" s="5" t="str">
        <f t="shared" si="632"/>
        <v>ACTISALUD-PISO 9-GUSTAVO GOMEZ</v>
      </c>
      <c r="F12268" s="5" t="str">
        <f>"Descripcion: SILLA DE RUEDAS  Estado: Malo Placa anterior: 000026221 Material: METALICA CON ASIENTO EN TELA Color: NEGRO Referencia:  Observacion: 902- ASIENTO Y ESPALDAR ROTO, RUEDAS DESAJUSTADAS Placa padre: Tipo adquisicion: Entidad"</f>
        <v>Descripcion: SILLA DE RUEDAS  Estado: Malo Placa anterior: 000026221 Material: METALICA CON ASIENTO EN TELA Color: NEGRO Referencia:  Observacion: 902- ASIENTO Y ESPALDAR ROTO, RUEDAS DESAJUSTADAS Placa padre: Tipo adquisicion: Entidad</v>
      </c>
      <c r="G12268" s="5"/>
    </row>
    <row r="12269" spans="1:7" ht="58.5" customHeight="1" x14ac:dyDescent="0.25">
      <c r="A12269" s="5" t="str">
        <f>"H0002549"</f>
        <v>H0002549</v>
      </c>
      <c r="B12269" s="5" t="str">
        <f>"ESCALERILLA DE 2 PASOS"</f>
        <v>ESCALERILLA DE 2 PASOS</v>
      </c>
      <c r="C12269" s="6">
        <v>4455</v>
      </c>
      <c r="D12269" s="5"/>
      <c r="E12269" s="5" t="str">
        <f t="shared" si="632"/>
        <v>ACTISALUD-PISO 9-GUSTAVO GOMEZ</v>
      </c>
      <c r="F12269" s="5" t="str">
        <f>"Descripcion: ESCALERILLA DE 2 PASOS Estado: Regular Placa anterior: 000021203 Material: TUBO METALICO Y PASOS EN MADERA Color: NEGRO Referencia:  Observacion: 902 TUBOS OXIDADOS Placa padre: Tipo adquisicion: Entidad"</f>
        <v>Descripcion: ESCALERILLA DE 2 PASOS Estado: Regular Placa anterior: 000021203 Material: TUBO METALICO Y PASOS EN MADERA Color: NEGRO Referencia:  Observacion: 902 TUBOS OXIDADOS Placa padre: Tipo adquisicion: Entidad</v>
      </c>
      <c r="G12269" s="5"/>
    </row>
    <row r="12270" spans="1:7" ht="58.5" customHeight="1" x14ac:dyDescent="0.25">
      <c r="A12270" s="5" t="str">
        <f>"H0002552"</f>
        <v>H0002552</v>
      </c>
      <c r="B12270" s="5" t="str">
        <f>"MESA PUENTE (ALIMENTACION) (INSTRUMENTAL)"</f>
        <v>MESA PUENTE (ALIMENTACION) (INSTRUMENTAL)</v>
      </c>
      <c r="C12270" s="6">
        <v>15000</v>
      </c>
      <c r="D12270" s="5"/>
      <c r="E12270" s="5" t="str">
        <f t="shared" si="632"/>
        <v>ACTISALUD-PISO 9-GUSTAVO GOMEZ</v>
      </c>
      <c r="F12270" s="5" t="str">
        <f>"Descripcion: MESA PUENTE CON RODACHINES Estado: Bueno Placa anterior: 000026706 Material: METALICA CON BANDEJA EN ACERO INOX. Color: VERDE CLARO Referencia:  Observacion: 903 - TIENE PARTES OXIDADAS Y LOS RODACHINES ESTAN DESGASTADOS Placa padre: Tipo adq"&amp; "uisicion: Entidad"</f>
        <v>Descripcion: MESA PUENTE CON RODACHINES Estado: Bueno Placa anterior: 000026706 Material: METALICA CON BANDEJA EN ACERO INOX. Color: VERDE CLARO Referencia:  Observacion: 903 - TIENE PARTES OXIDADAS Y LOS RODACHINES ESTAN DESGASTADOS Placa padre: Tipo adquisicion: Entidad</v>
      </c>
      <c r="G12270" s="5"/>
    </row>
    <row r="12271" spans="1:7" ht="58.5" customHeight="1" x14ac:dyDescent="0.25">
      <c r="A12271" s="5" t="str">
        <f>"H0002553"</f>
        <v>H0002553</v>
      </c>
      <c r="B12271" s="5" t="str">
        <f>"MESA DE NOCHE"</f>
        <v>MESA DE NOCHE</v>
      </c>
      <c r="C12271" s="6">
        <v>327586</v>
      </c>
      <c r="D12271" s="5"/>
      <c r="E12271" s="5" t="str">
        <f t="shared" si="632"/>
        <v>ACTISALUD-PISO 9-GUSTAVO GOMEZ</v>
      </c>
      <c r="F12271" s="5" t="str">
        <f>"Descripcion: MESA DE NOCHE EN ACERO Estado: Bueno Placa anterior: 000033061 Material: ACERO INOXIDABLE Color: PLATEADO Referencia:  Observacion: 903 - TIENE PARTES OXIDADAS Placa padre: Tipo adquisicion: Entidad"</f>
        <v>Descripcion: MESA DE NOCHE EN ACERO Estado: Bueno Placa anterior: 000033061 Material: ACERO INOXIDABLE Color: PLATEADO Referencia:  Observacion: 903 - TIENE PARTES OXIDADAS Placa padre: Tipo adquisicion: Entidad</v>
      </c>
      <c r="G12271" s="5"/>
    </row>
    <row r="12272" spans="1:7" ht="58.5" customHeight="1" x14ac:dyDescent="0.25">
      <c r="A12272" s="5" t="str">
        <f>"H0002556"</f>
        <v>H0002556</v>
      </c>
      <c r="B12272" s="5" t="str">
        <f>"PATO (PISINGO) HOMBRE"</f>
        <v>PATO (PISINGO) HOMBRE</v>
      </c>
      <c r="C12272" s="6">
        <v>15612.17</v>
      </c>
      <c r="D12272" s="5"/>
      <c r="E12272" s="5" t="str">
        <f t="shared" si="632"/>
        <v>ACTISALUD-PISO 9-GUSTAVO GOMEZ</v>
      </c>
      <c r="F12272" s="5" t="str">
        <f>"Descripcion: PATO PISINGO HOMBRE Estado: Bueno Placa anterior: 000003900 Material: ACERO INOXIDABLE Color: PLATEADO Referencia:  Observacion: 903 Placa padre: Tipo adquisicion: Entidad"</f>
        <v>Descripcion: PATO PISINGO HOMBRE Estado: Bueno Placa anterior: 000003900 Material: ACERO INOXIDABLE Color: PLATEADO Referencia:  Observacion: 903 Placa padre: Tipo adquisicion: Entidad</v>
      </c>
      <c r="G12272" s="5"/>
    </row>
    <row r="12273" spans="1:7" ht="58.5" customHeight="1" x14ac:dyDescent="0.25">
      <c r="A12273" s="5" t="str">
        <f>"H0002557"</f>
        <v>H0002557</v>
      </c>
      <c r="B12273" s="5" t="str">
        <f>"SILLA PLASTICA CON BRAZOS"</f>
        <v>SILLA PLASTICA CON BRAZOS</v>
      </c>
      <c r="C12273" s="6">
        <v>12240.32</v>
      </c>
      <c r="D12273" s="5"/>
      <c r="E12273" s="5" t="str">
        <f t="shared" si="632"/>
        <v>ACTISALUD-PISO 9-GUSTAVO GOMEZ</v>
      </c>
      <c r="F12273" s="5" t="str">
        <f>"Descripcion: SILLA PLASTICA CON BRAZOS Estado: Bueno Placa anterior: 000003343 Material: PLASTICO Color: AZUL Referencia:  Observacion: 903 Placa padre: Tipo adquisicion: Entidad"</f>
        <v>Descripcion: SILLA PLASTICA CON BRAZOS Estado: Bueno Placa anterior: 000003343 Material: PLASTICO Color: AZUL Referencia:  Observacion: 903 Placa padre: Tipo adquisicion: Entidad</v>
      </c>
      <c r="G12273" s="5"/>
    </row>
    <row r="12274" spans="1:7" ht="58.5" customHeight="1" x14ac:dyDescent="0.25">
      <c r="A12274" s="5" t="str">
        <f>"H0002560"</f>
        <v>H0002560</v>
      </c>
      <c r="B12274" s="5" t="str">
        <f>"MESA PUENTE (ALIMENTACION) (INSTRUMENTAL)"</f>
        <v>MESA PUENTE (ALIMENTACION) (INSTRUMENTAL)</v>
      </c>
      <c r="C12274" s="6">
        <v>15000</v>
      </c>
      <c r="D12274" s="5"/>
      <c r="E12274" s="5" t="str">
        <f t="shared" si="632"/>
        <v>ACTISALUD-PISO 9-GUSTAVO GOMEZ</v>
      </c>
      <c r="F12274" s="5" t="str">
        <f>"Descripcion: MESA PUENTE CON RODACHINES Estado: Bueno Placa anterior: 000026707 Material: METALICA CON BANDEJA EN ACERO INOX. Color: VERDE CLARO Referencia:  Observacion: 904 TIENE PARTES OXIDADAS Y LOS RODACHINES ESTAN DESGASTADOS Placa padre: Tipo adqui"&amp; "sicion: Entidad"</f>
        <v>Descripcion: MESA PUENTE CON RODACHINES Estado: Bueno Placa anterior: 000026707 Material: METALICA CON BANDEJA EN ACERO INOX. Color: VERDE CLARO Referencia:  Observacion: 904 TIENE PARTES OXIDADAS Y LOS RODACHINES ESTAN DESGASTADOS Placa padre: Tipo adquisicion: Entidad</v>
      </c>
      <c r="G12274" s="5"/>
    </row>
    <row r="12275" spans="1:7" ht="58.5" customHeight="1" x14ac:dyDescent="0.25">
      <c r="A12275" s="5" t="str">
        <f>"H0002563"</f>
        <v>H0002563</v>
      </c>
      <c r="B12275" s="5" t="str">
        <f>"SILLA PLASTICA CON BRAZOS"</f>
        <v>SILLA PLASTICA CON BRAZOS</v>
      </c>
      <c r="C12275" s="6">
        <v>12240.32</v>
      </c>
      <c r="D12275" s="5"/>
      <c r="E12275" s="5" t="str">
        <f t="shared" si="632"/>
        <v>ACTISALUD-PISO 9-GUSTAVO GOMEZ</v>
      </c>
      <c r="F12275" s="5" t="str">
        <f>"Descripcion: SILLA PLASTICA BLANCA Estado: Bueno Placa anterior: 000003157 Material: PLASTICO Color: BLANCO Referencia:  Observacion: 904 Placa padre: Tipo adquisicion: Entidad"</f>
        <v>Descripcion: SILLA PLASTICA BLANCA Estado: Bueno Placa anterior: 000003157 Material: PLASTICO Color: BLANCO Referencia:  Observacion: 904 Placa padre: Tipo adquisicion: Entidad</v>
      </c>
      <c r="G12275" s="5"/>
    </row>
    <row r="12276" spans="1:7" ht="58.5" customHeight="1" x14ac:dyDescent="0.25">
      <c r="A12276" s="5" t="str">
        <f>"H0002567"</f>
        <v>H0002567</v>
      </c>
      <c r="B12276" s="5" t="str">
        <f>"ESCALERILLA DE 2 PASOS"</f>
        <v>ESCALERILLA DE 2 PASOS</v>
      </c>
      <c r="C12276" s="6">
        <v>4455</v>
      </c>
      <c r="D12276" s="5"/>
      <c r="E12276" s="5" t="str">
        <f t="shared" si="632"/>
        <v>ACTISALUD-PISO 9-GUSTAVO GOMEZ</v>
      </c>
      <c r="F12276" s="5" t="str">
        <f>"Descripcion: ESCALERILLA DE 2 PASOS PLASTICA  Estado: Bueno Placa anterior: 000003041 Material: TUBO METALICO  Y PASOS DE PASTA Color: BLANCO Referencia:  Observacion: 905 TIENE PARTES OXIDADAS   Placa padre: Tipo adquisicion: Entidad"</f>
        <v>Descripcion: ESCALERILLA DE 2 PASOS PLASTICA  Estado: Bueno Placa anterior: 000003041 Material: TUBO METALICO  Y PASOS DE PASTA Color: BLANCO Referencia:  Observacion: 905 TIENE PARTES OXIDADAS   Placa padre: Tipo adquisicion: Entidad</v>
      </c>
      <c r="G12276" s="5"/>
    </row>
    <row r="12277" spans="1:7" ht="58.5" customHeight="1" x14ac:dyDescent="0.25">
      <c r="A12277" s="5" t="str">
        <f>"H0002572"</f>
        <v>H0002572</v>
      </c>
      <c r="B12277" s="5" t="str">
        <f>"MESA DE NOCHE"</f>
        <v>MESA DE NOCHE</v>
      </c>
      <c r="C12277" s="6">
        <v>327586</v>
      </c>
      <c r="D12277" s="5"/>
      <c r="E12277" s="5" t="str">
        <f t="shared" si="632"/>
        <v>ACTISALUD-PISO 9-GUSTAVO GOMEZ</v>
      </c>
      <c r="F12277" s="5" t="str">
        <f>"Descripcion: MESA DE NOCHE Estado: Bueno Placa anterior: 000028895 Material: ACERO INOXIDABLE Color: PLATEADO Referencia:  Observacion: PARTES OXIDADAS Placa padre: Tipo adquisicion: Entidad"</f>
        <v>Descripcion: MESA DE NOCHE Estado: Bueno Placa anterior: 000028895 Material: ACERO INOXIDABLE Color: PLATEADO Referencia:  Observacion: PARTES OXIDADAS Placa padre: Tipo adquisicion: Entidad</v>
      </c>
      <c r="G12277" s="5"/>
    </row>
    <row r="12278" spans="1:7" ht="58.5" customHeight="1" x14ac:dyDescent="0.25">
      <c r="A12278" s="5" t="str">
        <f>"H0002573"</f>
        <v>H0002573</v>
      </c>
      <c r="B12278" s="5" t="str">
        <f>"SILLA PLASTICA CON BRAZOS"</f>
        <v>SILLA PLASTICA CON BRAZOS</v>
      </c>
      <c r="C12278" s="6">
        <v>12240.32</v>
      </c>
      <c r="D12278" s="5"/>
      <c r="E12278" s="5" t="str">
        <f t="shared" si="632"/>
        <v>ACTISALUD-PISO 9-GUSTAVO GOMEZ</v>
      </c>
      <c r="F12278" s="5" t="str">
        <f>"Descripcion: SILLA PLASTICA BLANCA Estado: Bueno Placa anterior: 000026725 Material: PLASTICO Color: BLANCO Referencia:  Observacion: 906 Placa padre: Tipo adquisicion: Entidad"</f>
        <v>Descripcion: SILLA PLASTICA BLANCA Estado: Bueno Placa anterior: 000026725 Material: PLASTICO Color: BLANCO Referencia:  Observacion: 906 Placa padre: Tipo adquisicion: Entidad</v>
      </c>
      <c r="G12278" s="5"/>
    </row>
    <row r="12279" spans="1:7" ht="58.5" customHeight="1" x14ac:dyDescent="0.25">
      <c r="A12279" s="5" t="str">
        <f>"H0002580"</f>
        <v>H0002580</v>
      </c>
      <c r="B12279" s="5" t="str">
        <f>"MESA PUENTE (ALIMENTACION) (INSTRUMENTAL)"</f>
        <v>MESA PUENTE (ALIMENTACION) (INSTRUMENTAL)</v>
      </c>
      <c r="C12279" s="6">
        <v>24640</v>
      </c>
      <c r="D12279" s="5"/>
      <c r="E12279" s="5" t="str">
        <f t="shared" si="632"/>
        <v>ACTISALUD-PISO 9-GUSTAVO GOMEZ</v>
      </c>
      <c r="F12279" s="5" t="str">
        <f>"Descripcion: MESA PUENTE PARA ALIMENTACION CON RODACHINES Estado: Bueno Placa anterior: 000028148 Material: METALICA Color: VERDE  CON BANDEJA EN ACERO INOX. Referencia:  Observacion: 908 - PARTES OXIDADAS, TIENE RODACHINES Placa padre: Tipo adquisicion: "&amp; "Entidad"</f>
        <v>Descripcion: MESA PUENTE PARA ALIMENTACION CON RODACHINES Estado: Bueno Placa anterior: 000028148 Material: METALICA Color: VERDE  CON BANDEJA EN ACERO INOX. Referencia:  Observacion: 908 - PARTES OXIDADAS, TIENE RODACHINES Placa padre: Tipo adquisicion: Entidad</v>
      </c>
      <c r="G12279" s="5"/>
    </row>
    <row r="12280" spans="1:7" ht="58.5" customHeight="1" x14ac:dyDescent="0.25">
      <c r="A12280" s="5" t="str">
        <f>"H0002581"</f>
        <v>H0002581</v>
      </c>
      <c r="B12280" s="5" t="str">
        <f>"ESCALERILLA DE 2 PASOS"</f>
        <v>ESCALERILLA DE 2 PASOS</v>
      </c>
      <c r="C12280" s="6">
        <v>4455</v>
      </c>
      <c r="D12280" s="5"/>
      <c r="E12280" s="5" t="str">
        <f t="shared" si="632"/>
        <v>ACTISALUD-PISO 9-GUSTAVO GOMEZ</v>
      </c>
      <c r="F12280" s="5" t="str">
        <f>"Descripcion: ESCALERILLA DE 2 PASOS PLASTICA Estado: Bueno Placa anterior: 000003113 Material: TUBO METALICO Y PASOS DE PASTA Color: BLANCO Referencia:  Observacion: 908- PASOS DE PASTA Y CON TAPONES  Placa padre: Tipo adquisicion: Entidad"</f>
        <v>Descripcion: ESCALERILLA DE 2 PASOS PLASTICA Estado: Bueno Placa anterior: 000003113 Material: TUBO METALICO Y PASOS DE PASTA Color: BLANCO Referencia:  Observacion: 908- PASOS DE PASTA Y CON TAPONES  Placa padre: Tipo adquisicion: Entidad</v>
      </c>
      <c r="G12280" s="5"/>
    </row>
    <row r="12281" spans="1:7" ht="58.5" customHeight="1" x14ac:dyDescent="0.25">
      <c r="A12281" s="5" t="str">
        <f>"H0002582"</f>
        <v>H0002582</v>
      </c>
      <c r="B12281" s="5" t="str">
        <f>"MESA DE NOCHE"</f>
        <v>MESA DE NOCHE</v>
      </c>
      <c r="C12281" s="6">
        <v>327586</v>
      </c>
      <c r="D12281" s="5"/>
      <c r="E12281" s="5" t="str">
        <f t="shared" si="632"/>
        <v>ACTISALUD-PISO 9-GUSTAVO GOMEZ</v>
      </c>
      <c r="F12281" s="5" t="str">
        <f>"Descripcion: MESA DE NOCHE Estado: Bueno Placa anterior: 000028897 Material: ACERO INOXIDABLE Color: PLATEADO Referencia:  Observacion: PARTES OXIDADAS Placa padre: Tipo adquisicion: Entidad"</f>
        <v>Descripcion: MESA DE NOCHE Estado: Bueno Placa anterior: 000028897 Material: ACERO INOXIDABLE Color: PLATEADO Referencia:  Observacion: PARTES OXIDADAS Placa padre: Tipo adquisicion: Entidad</v>
      </c>
      <c r="G12281" s="5"/>
    </row>
    <row r="12282" spans="1:7" ht="58.5" customHeight="1" x14ac:dyDescent="0.25">
      <c r="A12282" s="5" t="str">
        <f>"H0002585"</f>
        <v>H0002585</v>
      </c>
      <c r="B12282" s="5" t="str">
        <f>"MESA PUENTE (ALIMENTACION) (INSTRUMENTAL)"</f>
        <v>MESA PUENTE (ALIMENTACION) (INSTRUMENTAL)</v>
      </c>
      <c r="C12282" s="6">
        <v>15000</v>
      </c>
      <c r="D12282" s="5"/>
      <c r="E12282" s="5" t="str">
        <f t="shared" si="632"/>
        <v>ACTISALUD-PISO 9-GUSTAVO GOMEZ</v>
      </c>
      <c r="F12282" s="5" t="str">
        <f>"Descripcion: MESA PUENTE PARA ALIMENTACION CON RODACHINES Estado: Bueno Placa anterior: 000028195 Material: METALICA Color: TUBO VERDE  CON BANDEJA EN ACERO INOX. Referencia:  Observacion: 909 - PARTES OXIDADAS, TIENE RODACHINES Placa padre: Tipo adquisic"&amp; "ion: Entidad"</f>
        <v>Descripcion: MESA PUENTE PARA ALIMENTACION CON RODACHINES Estado: Bueno Placa anterior: 000028195 Material: METALICA Color: TUBO VERDE  CON BANDEJA EN ACERO INOX. Referencia:  Observacion: 909 - PARTES OXIDADAS, TIENE RODACHINES Placa padre: Tipo adquisicion: Entidad</v>
      </c>
      <c r="G12282" s="5"/>
    </row>
    <row r="12283" spans="1:7" ht="58.5" customHeight="1" x14ac:dyDescent="0.25">
      <c r="A12283" s="5" t="str">
        <f>"H0002586"</f>
        <v>H0002586</v>
      </c>
      <c r="B12283" s="5" t="str">
        <f>"ESCALERILLA DE 2 PASOS"</f>
        <v>ESCALERILLA DE 2 PASOS</v>
      </c>
      <c r="C12283" s="6">
        <v>4455</v>
      </c>
      <c r="D12283" s="5"/>
      <c r="E12283" s="5" t="str">
        <f t="shared" si="632"/>
        <v>ACTISALUD-PISO 9-GUSTAVO GOMEZ</v>
      </c>
      <c r="F12283" s="5" t="str">
        <f>"Descripcion: ESCALERILLA DE 2 PASOS PLASTICA Estado: Bueno Placa anterior: 000003135 Material: TUBO METALICO Y PASOS DE PASTA Color: BLANCO Referencia:  Observacion: 909- PASOS DE PASTA Y CON TAPONES  Placa padre: Tipo adquisicion: Entidad"</f>
        <v>Descripcion: ESCALERILLA DE 2 PASOS PLASTICA Estado: Bueno Placa anterior: 000003135 Material: TUBO METALICO Y PASOS DE PASTA Color: BLANCO Referencia:  Observacion: 909- PASOS DE PASTA Y CON TAPONES  Placa padre: Tipo adquisicion: Entidad</v>
      </c>
      <c r="G12283" s="5"/>
    </row>
    <row r="12284" spans="1:7" ht="58.5" customHeight="1" x14ac:dyDescent="0.25">
      <c r="A12284" s="5" t="str">
        <f>"H0002587"</f>
        <v>H0002587</v>
      </c>
      <c r="B12284" s="5" t="str">
        <f>"MESA DE NOCHE"</f>
        <v>MESA DE NOCHE</v>
      </c>
      <c r="C12284" s="6">
        <v>327586</v>
      </c>
      <c r="D12284" s="5"/>
      <c r="E12284" s="5" t="str">
        <f t="shared" si="632"/>
        <v>ACTISALUD-PISO 9-GUSTAVO GOMEZ</v>
      </c>
      <c r="F12284" s="5" t="str">
        <f>"Descripcion: MESA DE NOCHE EN ACERO Estado: Bueno Placa anterior: 000032942 Material: ACERO INOX. Color: PLATEADO Referencia:  Observacion: 909. PARTES OXIDADAS Placa padre: Tipo adquisicion: Entidad"</f>
        <v>Descripcion: MESA DE NOCHE EN ACERO Estado: Bueno Placa anterior: 000032942 Material: ACERO INOX. Color: PLATEADO Referencia:  Observacion: 909. PARTES OXIDADAS Placa padre: Tipo adquisicion: Entidad</v>
      </c>
      <c r="G12284" s="5"/>
    </row>
    <row r="12285" spans="1:7" ht="58.5" customHeight="1" x14ac:dyDescent="0.25">
      <c r="A12285" s="5" t="str">
        <f>"H0002588"</f>
        <v>H0002588</v>
      </c>
      <c r="B12285" s="5" t="str">
        <f>"SILLA PLASTICA CON BRAZOS"</f>
        <v>SILLA PLASTICA CON BRAZOS</v>
      </c>
      <c r="C12285" s="6">
        <v>12240.32</v>
      </c>
      <c r="D12285" s="5"/>
      <c r="E12285" s="5" t="str">
        <f t="shared" si="632"/>
        <v>ACTISALUD-PISO 9-GUSTAVO GOMEZ</v>
      </c>
      <c r="F12285" s="5" t="str">
        <f>"Descripcion: SILLA PLASTICA BLANCA Estado: Bueno Placa anterior: 000003345 Material: PLASTICO Color: BLANCO Referencia:  Observacion: 909 Placa padre: Tipo adquisicion: Entidad"</f>
        <v>Descripcion: SILLA PLASTICA BLANCA Estado: Bueno Placa anterior: 000003345 Material: PLASTICO Color: BLANCO Referencia:  Observacion: 909 Placa padre: Tipo adquisicion: Entidad</v>
      </c>
      <c r="G12285" s="5"/>
    </row>
    <row r="12286" spans="1:7" ht="58.5" customHeight="1" x14ac:dyDescent="0.25">
      <c r="A12286" s="5" t="str">
        <f>"H0002589"</f>
        <v>H0002589</v>
      </c>
      <c r="B12286" s="5" t="str">
        <f>"SILLA PLASTICA CON BRAZOS"</f>
        <v>SILLA PLASTICA CON BRAZOS</v>
      </c>
      <c r="C12286" s="6">
        <v>12240.32</v>
      </c>
      <c r="D12286" s="5"/>
      <c r="E12286" s="5" t="str">
        <f t="shared" si="632"/>
        <v>ACTISALUD-PISO 9-GUSTAVO GOMEZ</v>
      </c>
      <c r="F12286" s="5" t="str">
        <f>"Descripcion: SILLA PLASTICA BLANCA Estado: Bueno Placa anterior: 000003346 Material: PLASTICO Color: BLANCO Referencia:  Observacion: 909 Placa padre: Tipo adquisicion: Entidad"</f>
        <v>Descripcion: SILLA PLASTICA BLANCA Estado: Bueno Placa anterior: 000003346 Material: PLASTICO Color: BLANCO Referencia:  Observacion: 909 Placa padre: Tipo adquisicion: Entidad</v>
      </c>
      <c r="G12286" s="5"/>
    </row>
    <row r="12287" spans="1:7" ht="58.5" customHeight="1" x14ac:dyDescent="0.25">
      <c r="A12287" s="5" t="str">
        <f>"H0002592"</f>
        <v>H0002592</v>
      </c>
      <c r="B12287" s="5" t="str">
        <f>"MESA PUENTE (ALIMENTACION) (INSTRUMENTAL)"</f>
        <v>MESA PUENTE (ALIMENTACION) (INSTRUMENTAL)</v>
      </c>
      <c r="C12287" s="6">
        <v>15000</v>
      </c>
      <c r="D12287" s="5"/>
      <c r="E12287" s="5" t="str">
        <f t="shared" si="632"/>
        <v>ACTISALUD-PISO 9-GUSTAVO GOMEZ</v>
      </c>
      <c r="F12287" s="5" t="str">
        <f>"Descripcion: MESA PUENTE PARA ALIMENTACION CON RODACHINES Estado: Bueno Placa anterior: 000026711 Material: TUBO METALICO CON BANDEJA ACERO INOX. Color: BEIGE Referencia:  Observacion: 910- PARTES OXIDADAS Placa padre: Tipo adquisicion: Entidad"</f>
        <v>Descripcion: MESA PUENTE PARA ALIMENTACION CON RODACHINES Estado: Bueno Placa anterior: 000026711 Material: TUBO METALICO CON BANDEJA ACERO INOX. Color: BEIGE Referencia:  Observacion: 910- PARTES OXIDADAS Placa padre: Tipo adquisicion: Entidad</v>
      </c>
      <c r="G12287" s="5"/>
    </row>
    <row r="12288" spans="1:7" ht="58.5" customHeight="1" x14ac:dyDescent="0.25">
      <c r="A12288" s="5" t="str">
        <f>"H0002594"</f>
        <v>H0002594</v>
      </c>
      <c r="B12288" s="5" t="str">
        <f>"MESA DE NOCHE"</f>
        <v>MESA DE NOCHE</v>
      </c>
      <c r="C12288" s="6">
        <v>327586</v>
      </c>
      <c r="D12288" s="5"/>
      <c r="E12288" s="5" t="str">
        <f t="shared" si="632"/>
        <v>ACTISALUD-PISO 9-GUSTAVO GOMEZ</v>
      </c>
      <c r="F12288" s="5" t="str">
        <f>"Descripcion: MESA DE NOCHE EN ACERO Estado: Excelente Placa anterior: 000033047 Material: ACERO INOX. Color: PLATEADO Referencia:  Observacion: 910- Placa padre: Tipo adquisicion: Entidad"</f>
        <v>Descripcion: MESA DE NOCHE EN ACERO Estado: Excelente Placa anterior: 000033047 Material: ACERO INOX. Color: PLATEADO Referencia:  Observacion: 910- Placa padre: Tipo adquisicion: Entidad</v>
      </c>
      <c r="G12288" s="5"/>
    </row>
    <row r="12289" spans="1:7" ht="58.5" customHeight="1" x14ac:dyDescent="0.25">
      <c r="A12289" s="5" t="str">
        <f>"H0002596"</f>
        <v>H0002596</v>
      </c>
      <c r="B12289" s="5" t="str">
        <f>"SILLA PLASTICA CON BRAZOS"</f>
        <v>SILLA PLASTICA CON BRAZOS</v>
      </c>
      <c r="C12289" s="6">
        <v>12240.32</v>
      </c>
      <c r="D12289" s="5"/>
      <c r="E12289" s="5" t="str">
        <f t="shared" si="632"/>
        <v>ACTISALUD-PISO 9-GUSTAVO GOMEZ</v>
      </c>
      <c r="F12289" s="5" t="str">
        <f>"Descripcion: BLANCA Estado: Bueno Placa anterior: 000003347 Material: PLASTICO Color: BLANCO Referencia:  Observacion: 910 Placa padre: Tipo adquisicion: Entidad"</f>
        <v>Descripcion: BLANCA Estado: Bueno Placa anterior: 000003347 Material: PLASTICO Color: BLANCO Referencia:  Observacion: 910 Placa padre: Tipo adquisicion: Entidad</v>
      </c>
      <c r="G12289" s="5"/>
    </row>
    <row r="12290" spans="1:7" ht="58.5" customHeight="1" x14ac:dyDescent="0.25">
      <c r="A12290" s="5" t="str">
        <f>"H0002599"</f>
        <v>H0002599</v>
      </c>
      <c r="B12290" s="5" t="str">
        <f>"MESA PUENTE (ALIMENTACION) (INSTRUMENTAL)"</f>
        <v>MESA PUENTE (ALIMENTACION) (INSTRUMENTAL)</v>
      </c>
      <c r="C12290" s="6">
        <v>15000</v>
      </c>
      <c r="D12290" s="5"/>
      <c r="E12290" s="5" t="str">
        <f t="shared" si="632"/>
        <v>ACTISALUD-PISO 9-GUSTAVO GOMEZ</v>
      </c>
      <c r="F12290" s="5" t="str">
        <f>"Descripcion: MESA PUENTE PARA ALIMENTACION CON RODACHINES Estado: Bueno Placa anterior: 000028196 Material: TUBO METALICO CON BANDEJA ACERO INOX. Color: VERDE Referencia:  Observacion: 911- PARTES OXIDADAS Placa padre: Tipo adquisicion: Entidad"</f>
        <v>Descripcion: MESA PUENTE PARA ALIMENTACION CON RODACHINES Estado: Bueno Placa anterior: 000028196 Material: TUBO METALICO CON BANDEJA ACERO INOX. Color: VERDE Referencia:  Observacion: 911- PARTES OXIDADAS Placa padre: Tipo adquisicion: Entidad</v>
      </c>
      <c r="G12290" s="5"/>
    </row>
    <row r="12291" spans="1:7" ht="58.5" customHeight="1" x14ac:dyDescent="0.25">
      <c r="A12291" s="5" t="str">
        <f>"H0002601"</f>
        <v>H0002601</v>
      </c>
      <c r="B12291" s="5" t="str">
        <f>"MESA DE NOCHE"</f>
        <v>MESA DE NOCHE</v>
      </c>
      <c r="C12291" s="6">
        <v>327586</v>
      </c>
      <c r="D12291" s="5"/>
      <c r="E12291" s="5" t="str">
        <f t="shared" si="632"/>
        <v>ACTISALUD-PISO 9-GUSTAVO GOMEZ</v>
      </c>
      <c r="F12291" s="5" t="str">
        <f>"Descripcion: MESA DE NOCHE EN ACERO Estado: Excelente Placa anterior: 000028898 Material: ACERO INOX. Color: PLATEADO Referencia:  Observacion: 911- PARTES OXIDADAS Placa padre: Tipo adquisicion: Entidad"</f>
        <v>Descripcion: MESA DE NOCHE EN ACERO Estado: Excelente Placa anterior: 000028898 Material: ACERO INOX. Color: PLATEADO Referencia:  Observacion: 911- PARTES OXIDADAS Placa padre: Tipo adquisicion: Entidad</v>
      </c>
      <c r="G12291" s="5"/>
    </row>
    <row r="12292" spans="1:7" ht="58.5" customHeight="1" x14ac:dyDescent="0.25">
      <c r="A12292" s="5" t="str">
        <f>"H0002602"</f>
        <v>H0002602</v>
      </c>
      <c r="B12292" s="5" t="str">
        <f>"SILLA PLASTICA CON BRAZOS"</f>
        <v>SILLA PLASTICA CON BRAZOS</v>
      </c>
      <c r="C12292" s="6">
        <v>12240.32</v>
      </c>
      <c r="D12292" s="5"/>
      <c r="E12292" s="5" t="str">
        <f t="shared" si="632"/>
        <v>ACTISALUD-PISO 9-GUSTAVO GOMEZ</v>
      </c>
      <c r="F12292" s="5" t="str">
        <f>"Descripcion: SILLA PLASTICA CON BRAZOS Estado: Bueno Placa anterior: 000003348 Material: PLASTICO Color: BLANCO Referencia:  Observacion: 911 Placa padre: Tipo adquisicion: Entidad"</f>
        <v>Descripcion: SILLA PLASTICA CON BRAZOS Estado: Bueno Placa anterior: 000003348 Material: PLASTICO Color: BLANCO Referencia:  Observacion: 911 Placa padre: Tipo adquisicion: Entidad</v>
      </c>
      <c r="G12292" s="5"/>
    </row>
    <row r="12293" spans="1:7" ht="58.5" customHeight="1" x14ac:dyDescent="0.25">
      <c r="A12293" s="5" t="str">
        <f>"H0002603"</f>
        <v>H0002603</v>
      </c>
      <c r="B12293" s="5" t="str">
        <f>"SILLA PLASTICA CON BRAZOS"</f>
        <v>SILLA PLASTICA CON BRAZOS</v>
      </c>
      <c r="C12293" s="6">
        <v>12240.32</v>
      </c>
      <c r="D12293" s="5"/>
      <c r="E12293" s="5" t="str">
        <f t="shared" si="632"/>
        <v>ACTISALUD-PISO 9-GUSTAVO GOMEZ</v>
      </c>
      <c r="F12293" s="5" t="str">
        <f>"Descripcion: SILLA PLASTICA CON BRAZOS Estado: Bueno Placa anterior: 000003349 Material: PLASTICO Color: BLANCO Referencia:  Observacion: 911 Placa padre: Tipo adquisicion: Entidad"</f>
        <v>Descripcion: SILLA PLASTICA CON BRAZOS Estado: Bueno Placa anterior: 000003349 Material: PLASTICO Color: BLANCO Referencia:  Observacion: 911 Placa padre: Tipo adquisicion: Entidad</v>
      </c>
      <c r="G12293" s="5"/>
    </row>
    <row r="12294" spans="1:7" ht="58.5" customHeight="1" x14ac:dyDescent="0.25">
      <c r="A12294" s="5" t="str">
        <f>"H0002606"</f>
        <v>H0002606</v>
      </c>
      <c r="B12294" s="5" t="str">
        <f>"MESA PUENTE (ALIMENTACION) (INSTRUMENTAL)"</f>
        <v>MESA PUENTE (ALIMENTACION) (INSTRUMENTAL)</v>
      </c>
      <c r="C12294" s="6">
        <v>15000</v>
      </c>
      <c r="D12294" s="5"/>
      <c r="E12294" s="5" t="str">
        <f t="shared" si="632"/>
        <v>ACTISALUD-PISO 9-GUSTAVO GOMEZ</v>
      </c>
      <c r="F12294" s="5" t="str">
        <f>"Descripcion: MESA PUENTE PARA ALIMENTACION CON RODACHINES Estado: Bueno Placa anterior: 000026714 Material: TUBO METALICO CON BANDEJA ACERO INOX. Color: VERDE Referencia:  Observacion: 912- PARTES OXIDADAS Placa padre: Tipo adquisicion: Entidad"</f>
        <v>Descripcion: MESA PUENTE PARA ALIMENTACION CON RODACHINES Estado: Bueno Placa anterior: 000026714 Material: TUBO METALICO CON BANDEJA ACERO INOX. Color: VERDE Referencia:  Observacion: 912- PARTES OXIDADAS Placa padre: Tipo adquisicion: Entidad</v>
      </c>
      <c r="G12294" s="5"/>
    </row>
    <row r="12295" spans="1:7" ht="58.5" customHeight="1" x14ac:dyDescent="0.25">
      <c r="A12295" s="5" t="str">
        <f>"H0002607"</f>
        <v>H0002607</v>
      </c>
      <c r="B12295" s="5" t="str">
        <f>"MESA DE NOCHE"</f>
        <v>MESA DE NOCHE</v>
      </c>
      <c r="C12295" s="6">
        <v>8389.33</v>
      </c>
      <c r="D12295" s="5"/>
      <c r="E12295" s="5" t="str">
        <f t="shared" si="632"/>
        <v>ACTISALUD-PISO 9-GUSTAVO GOMEZ</v>
      </c>
      <c r="F12295" s="5" t="str">
        <f>"Descripcion: MESA DE NOCHE EN ACERO Estado: Bueno Placa anterior: 000027411 Material: ACERO INOX. Color: PLATEADO Referencia:  Observacion: 912- PARTES OXIDADAS Placa padre: Tipo adquisicion: Entidad"</f>
        <v>Descripcion: MESA DE NOCHE EN ACERO Estado: Bueno Placa anterior: 000027411 Material: ACERO INOX. Color: PLATEADO Referencia:  Observacion: 912- PARTES OXIDADAS Placa padre: Tipo adquisicion: Entidad</v>
      </c>
      <c r="G12295" s="5"/>
    </row>
    <row r="12296" spans="1:7" ht="58.5" customHeight="1" x14ac:dyDescent="0.25">
      <c r="A12296" s="5" t="str">
        <f>"H0002612"</f>
        <v>H0002612</v>
      </c>
      <c r="B12296" s="5" t="str">
        <f>"MESA DE NOCHE"</f>
        <v>MESA DE NOCHE</v>
      </c>
      <c r="C12296" s="6">
        <v>327586</v>
      </c>
      <c r="D12296" s="5"/>
      <c r="E12296" s="5" t="str">
        <f t="shared" si="632"/>
        <v>ACTISALUD-PISO 9-GUSTAVO GOMEZ</v>
      </c>
      <c r="F12296" s="5" t="str">
        <f>"Descripcion: MESA DE NOCHE EN ACERO Estado: Bueno Placa anterior: 000032931 Material: ACERO INOX. Color: PLATEADO Referencia:  Observacion: 913- PARTES OXIDADAS Placa padre: Tipo adquisicion: Entidad"</f>
        <v>Descripcion: MESA DE NOCHE EN ACERO Estado: Bueno Placa anterior: 000032931 Material: ACERO INOX. Color: PLATEADO Referencia:  Observacion: 913- PARTES OXIDADAS Placa padre: Tipo adquisicion: Entidad</v>
      </c>
      <c r="G12296" s="5"/>
    </row>
    <row r="12297" spans="1:7" ht="58.5" customHeight="1" x14ac:dyDescent="0.25">
      <c r="A12297" s="5" t="str">
        <f>"H0002613"</f>
        <v>H0002613</v>
      </c>
      <c r="B12297" s="5" t="str">
        <f>"SILLA PLASTICA CON BRAZOS"</f>
        <v>SILLA PLASTICA CON BRAZOS</v>
      </c>
      <c r="C12297" s="6">
        <v>12240.32</v>
      </c>
      <c r="D12297" s="5"/>
      <c r="E12297" s="5" t="str">
        <f t="shared" si="632"/>
        <v>ACTISALUD-PISO 9-GUSTAVO GOMEZ</v>
      </c>
      <c r="F12297" s="5" t="str">
        <f>"Descripcion: SILLA PLASTICA CON BRAZOS  Estado: Bueno Placa anterior: 000003351 Material: PLASTICO Color: BLANCO Referencia:  Observacion: 913- Placa padre: Tipo adquisicion: Entidad"</f>
        <v>Descripcion: SILLA PLASTICA CON BRAZOS  Estado: Bueno Placa anterior: 000003351 Material: PLASTICO Color: BLANCO Referencia:  Observacion: 913- Placa padre: Tipo adquisicion: Entidad</v>
      </c>
      <c r="G12297" s="5"/>
    </row>
    <row r="12298" spans="1:7" ht="58.5" customHeight="1" x14ac:dyDescent="0.25">
      <c r="A12298" s="5" t="str">
        <f>"H0002616"</f>
        <v>H0002616</v>
      </c>
      <c r="B12298" s="5" t="str">
        <f>"MESA PUENTE (ALIMENTACION) (INSTRUMENTAL)"</f>
        <v>MESA PUENTE (ALIMENTACION) (INSTRUMENTAL)</v>
      </c>
      <c r="C12298" s="6">
        <v>15000</v>
      </c>
      <c r="D12298" s="5"/>
      <c r="E12298" s="5" t="str">
        <f t="shared" si="632"/>
        <v>ACTISALUD-PISO 9-GUSTAVO GOMEZ</v>
      </c>
      <c r="F12298" s="5" t="str">
        <f>"Descripcion: MESA PUENTE  PARA ALIMENTACION Estado: Bueno Placa anterior: 000026720 Material: TUBO METALICO, BANDEJA EN ACERO, INOX.  Color: VERDE  Referencia:  Observacion: 914-PARTES OXIDADAS Placa padre: Tipo adquisicion: Entidad"</f>
        <v>Descripcion: MESA PUENTE  PARA ALIMENTACION Estado: Bueno Placa anterior: 000026720 Material: TUBO METALICO, BANDEJA EN ACERO, INOX.  Color: VERDE  Referencia:  Observacion: 914-PARTES OXIDADAS Placa padre: Tipo adquisicion: Entidad</v>
      </c>
      <c r="G12298" s="5"/>
    </row>
    <row r="12299" spans="1:7" ht="58.5" customHeight="1" x14ac:dyDescent="0.25">
      <c r="A12299" s="5" t="str">
        <f>"H0002618"</f>
        <v>H0002618</v>
      </c>
      <c r="B12299" s="5" t="str">
        <f>"MESA DE NOCHE"</f>
        <v>MESA DE NOCHE</v>
      </c>
      <c r="C12299" s="6">
        <v>8389.33</v>
      </c>
      <c r="D12299" s="5"/>
      <c r="E12299" s="5" t="str">
        <f t="shared" si="632"/>
        <v>ACTISALUD-PISO 9-GUSTAVO GOMEZ</v>
      </c>
      <c r="F12299" s="5" t="str">
        <f>"Descripcion: MESA DE NOCHE METALICA DE 2 GAVETAS Estado: Bueno Placa anterior: 000027397 Material: METALICA Y SUPERFICIE EN MADERA Color: BEIGE Referencia:  Observacion: 914- Placa padre: Tipo adquisicion: Entidad"</f>
        <v>Descripcion: MESA DE NOCHE METALICA DE 2 GAVETAS Estado: Bueno Placa anterior: 000027397 Material: METALICA Y SUPERFICIE EN MADERA Color: BEIGE Referencia:  Observacion: 914- Placa padre: Tipo adquisicion: Entidad</v>
      </c>
      <c r="G12299" s="5"/>
    </row>
    <row r="12300" spans="1:7" ht="58.5" customHeight="1" x14ac:dyDescent="0.25">
      <c r="A12300" s="5" t="str">
        <f>"H0002619"</f>
        <v>H0002619</v>
      </c>
      <c r="B12300" s="5" t="str">
        <f>"SILLA PLASTICA CON BRAZOS"</f>
        <v>SILLA PLASTICA CON BRAZOS</v>
      </c>
      <c r="C12300" s="6">
        <v>12240.32</v>
      </c>
      <c r="D12300" s="5"/>
      <c r="E12300" s="5" t="str">
        <f t="shared" si="632"/>
        <v>ACTISALUD-PISO 9-GUSTAVO GOMEZ</v>
      </c>
      <c r="F12300" s="5" t="str">
        <f>"Descripcion: SILLA PLASTICA BLANCA CON BRAZOS Estado: Bueno Placa anterior: 000003358 Material: PLASTICO Color: BLANCO Referencia:  Observacion: 914 Placa padre: Tipo adquisicion: Entidad"</f>
        <v>Descripcion: SILLA PLASTICA BLANCA CON BRAZOS Estado: Bueno Placa anterior: 000003358 Material: PLASTICO Color: BLANCO Referencia:  Observacion: 914 Placa padre: Tipo adquisicion: Entidad</v>
      </c>
      <c r="G12300" s="5"/>
    </row>
    <row r="12301" spans="1:7" ht="58.5" customHeight="1" x14ac:dyDescent="0.25">
      <c r="A12301" s="5" t="str">
        <f>"H0002622"</f>
        <v>H0002622</v>
      </c>
      <c r="B12301" s="5" t="str">
        <f>"MESA PUENTE (ALIMENTACION) (INSTRUMENTAL)"</f>
        <v>MESA PUENTE (ALIMENTACION) (INSTRUMENTAL)</v>
      </c>
      <c r="C12301" s="6">
        <v>15000</v>
      </c>
      <c r="D12301" s="5"/>
      <c r="E12301" s="5" t="str">
        <f t="shared" si="632"/>
        <v>ACTISALUD-PISO 9-GUSTAVO GOMEZ</v>
      </c>
      <c r="F12301" s="5" t="str">
        <f>"Descripcion: MESA PUENTE  PARA ALIMENTACION Estado: Bueno Placa anterior: 000026722 Material: TUBO METALICO, BANDEJA EN ACERO Color: BEIGE Referencia:  Observacion: 915-PARTES OXIDADAS Placa padre: Tipo adquisicion: Entidad"</f>
        <v>Descripcion: MESA PUENTE  PARA ALIMENTACION Estado: Bueno Placa anterior: 000026722 Material: TUBO METALICO, BANDEJA EN ACERO Color: BEIGE Referencia:  Observacion: 915-PARTES OXIDADAS Placa padre: Tipo adquisicion: Entidad</v>
      </c>
      <c r="G12301" s="5"/>
    </row>
    <row r="12302" spans="1:7" ht="58.5" customHeight="1" x14ac:dyDescent="0.25">
      <c r="A12302" s="5" t="str">
        <f>"H0002624"</f>
        <v>H0002624</v>
      </c>
      <c r="B12302" s="5" t="str">
        <f>"MESA DE NOCHE"</f>
        <v>MESA DE NOCHE</v>
      </c>
      <c r="C12302" s="6">
        <v>327586</v>
      </c>
      <c r="D12302" s="5"/>
      <c r="E12302" s="5" t="str">
        <f t="shared" si="632"/>
        <v>ACTISALUD-PISO 9-GUSTAVO GOMEZ</v>
      </c>
      <c r="F12302" s="5" t="str">
        <f>"Descripcion: MESA DE NOCHE EN ACERO Estado: Bueno Placa anterior: 000032938 Material: ACERO INOX. Color: PLATEADO Referencia:  Observacion: 915- 2 GAVETAS . PARTES OXIDADAS Placa padre: Tipo adquisicion: Entidad"</f>
        <v>Descripcion: MESA DE NOCHE EN ACERO Estado: Bueno Placa anterior: 000032938 Material: ACERO INOX. Color: PLATEADO Referencia:  Observacion: 915- 2 GAVETAS . PARTES OXIDADAS Placa padre: Tipo adquisicion: Entidad</v>
      </c>
      <c r="G12302" s="5"/>
    </row>
    <row r="12303" spans="1:7" ht="58.5" customHeight="1" x14ac:dyDescent="0.25">
      <c r="A12303" s="5" t="str">
        <f>"H0002625"</f>
        <v>H0002625</v>
      </c>
      <c r="B12303" s="5" t="str">
        <f>"SILLA PLASTICA CON BRAZOS"</f>
        <v>SILLA PLASTICA CON BRAZOS</v>
      </c>
      <c r="C12303" s="6">
        <v>12240.32</v>
      </c>
      <c r="D12303" s="5"/>
      <c r="E12303" s="5" t="str">
        <f t="shared" si="632"/>
        <v>ACTISALUD-PISO 9-GUSTAVO GOMEZ</v>
      </c>
      <c r="F12303" s="5" t="str">
        <f>"Descripcion: SILLA PLASTICA BLANCA CON BRAZOS Estado: Bueno Placa anterior: 000002959 Material: PLASTICO Color: BLANCO Referencia:  Observacion: 915 Placa padre: Tipo adquisicion: Entidad"</f>
        <v>Descripcion: SILLA PLASTICA BLANCA CON BRAZOS Estado: Bueno Placa anterior: 000002959 Material: PLASTICO Color: BLANCO Referencia:  Observacion: 915 Placa padre: Tipo adquisicion: Entidad</v>
      </c>
      <c r="G12303" s="5"/>
    </row>
    <row r="12304" spans="1:7" ht="58.5" customHeight="1" x14ac:dyDescent="0.25">
      <c r="A12304" s="5" t="str">
        <f>"H0002628"</f>
        <v>H0002628</v>
      </c>
      <c r="B12304" s="5" t="str">
        <f>"MESA PUENTE (ALIMENTACION) (INSTRUMENTAL)"</f>
        <v>MESA PUENTE (ALIMENTACION) (INSTRUMENTAL)</v>
      </c>
      <c r="C12304" s="6">
        <v>15000</v>
      </c>
      <c r="D12304" s="5"/>
      <c r="E12304" s="5" t="str">
        <f t="shared" si="632"/>
        <v>ACTISALUD-PISO 9-GUSTAVO GOMEZ</v>
      </c>
      <c r="F12304" s="5" t="str">
        <f>"Descripcion: MESA PUENTE PARA ALIMENTACION Estado: Bueno Placa anterior: 000026728 Material: TUBO METALICO, BANDEJA EN ACERO Color: VERDE Referencia:  Observacion: 916-PARTES OXIDADAS Placa padre: Tipo adquisicion: Entidad"</f>
        <v>Descripcion: MESA PUENTE PARA ALIMENTACION Estado: Bueno Placa anterior: 000026728 Material: TUBO METALICO, BANDEJA EN ACERO Color: VERDE Referencia:  Observacion: 916-PARTES OXIDADAS Placa padre: Tipo adquisicion: Entidad</v>
      </c>
      <c r="G12304" s="5"/>
    </row>
    <row r="12305" spans="1:7" ht="58.5" customHeight="1" x14ac:dyDescent="0.25">
      <c r="A12305" s="5" t="str">
        <f>"H0002630"</f>
        <v>H0002630</v>
      </c>
      <c r="B12305" s="5" t="str">
        <f>"MESA DE NOCHE"</f>
        <v>MESA DE NOCHE</v>
      </c>
      <c r="C12305" s="6">
        <v>327586</v>
      </c>
      <c r="D12305" s="5"/>
      <c r="E12305" s="5" t="str">
        <f t="shared" si="632"/>
        <v>ACTISALUD-PISO 9-GUSTAVO GOMEZ</v>
      </c>
      <c r="F12305" s="5" t="str">
        <f>"Descripcion: MESA DE NOCHE EN ACERO Estado: Bueno Placa anterior: 000033058 Material: ACERO INOXIDABLE Color: PLATEADO Referencia:  Observacion: 916- 2 GAVETAS - PARTES OXIDADAS Placa padre: Tipo adquisicion: Entidad"</f>
        <v>Descripcion: MESA DE NOCHE EN ACERO Estado: Bueno Placa anterior: 000033058 Material: ACERO INOXIDABLE Color: PLATEADO Referencia:  Observacion: 916- 2 GAVETAS - PARTES OXIDADAS Placa padre: Tipo adquisicion: Entidad</v>
      </c>
      <c r="G12305" s="5"/>
    </row>
    <row r="12306" spans="1:7" ht="58.5" customHeight="1" x14ac:dyDescent="0.25">
      <c r="A12306" s="5" t="str">
        <f>"H0002633"</f>
        <v>H0002633</v>
      </c>
      <c r="B12306" s="5" t="str">
        <f>"MESA PUENTE (ALIMENTACION) (INSTRUMENTAL)"</f>
        <v>MESA PUENTE (ALIMENTACION) (INSTRUMENTAL)</v>
      </c>
      <c r="C12306" s="6">
        <v>15000</v>
      </c>
      <c r="D12306" s="5"/>
      <c r="E12306" s="5" t="str">
        <f t="shared" si="632"/>
        <v>ACTISALUD-PISO 9-GUSTAVO GOMEZ</v>
      </c>
      <c r="F12306" s="5" t="str">
        <f>"Descripcion: MESA PUENTE PARA ALIMENTACION Estado: Bueno Placa anterior: 000026729 Material: TUBO METALICO, BANDEJA EN ACERO Color: BEIGE Referencia:  Observacion: 917-PARTES OXIDADAS Placa padre: Tipo adquisicion: Entidad"</f>
        <v>Descripcion: MESA PUENTE PARA ALIMENTACION Estado: Bueno Placa anterior: 000026729 Material: TUBO METALICO, BANDEJA EN ACERO Color: BEIGE Referencia:  Observacion: 917-PARTES OXIDADAS Placa padre: Tipo adquisicion: Entidad</v>
      </c>
      <c r="G12306" s="5"/>
    </row>
    <row r="12307" spans="1:7" ht="58.5" customHeight="1" x14ac:dyDescent="0.25">
      <c r="A12307" s="5" t="str">
        <f>"H0002635"</f>
        <v>H0002635</v>
      </c>
      <c r="B12307" s="5" t="str">
        <f>"MESA DE NOCHE"</f>
        <v>MESA DE NOCHE</v>
      </c>
      <c r="C12307" s="6">
        <v>8389.33</v>
      </c>
      <c r="D12307" s="5"/>
      <c r="E12307" s="5" t="str">
        <f t="shared" si="632"/>
        <v>ACTISALUD-PISO 9-GUSTAVO GOMEZ</v>
      </c>
      <c r="F12307" s="5" t="str">
        <f>"Descripcion: MESA DE NOCHE EN ACERO Estado: Bueno Placa anterior: 000027432 Material: ACERO INOXIDABLE Color: PLATEADO Referencia:  Observacion: 916- 2 GAVETAS - PARTES OXIDADAS Placa padre: Tipo adquisicion: Entidad"</f>
        <v>Descripcion: MESA DE NOCHE EN ACERO Estado: Bueno Placa anterior: 000027432 Material: ACERO INOXIDABLE Color: PLATEADO Referencia:  Observacion: 916- 2 GAVETAS - PARTES OXIDADAS Placa padre: Tipo adquisicion: Entidad</v>
      </c>
      <c r="G12307" s="5"/>
    </row>
    <row r="12308" spans="1:7" ht="58.5" customHeight="1" x14ac:dyDescent="0.25">
      <c r="A12308" s="5" t="str">
        <f>"H0002636"</f>
        <v>H0002636</v>
      </c>
      <c r="B12308" s="5" t="str">
        <f>"SILLA PLASTICA CON BRAZOS"</f>
        <v>SILLA PLASTICA CON BRAZOS</v>
      </c>
      <c r="C12308" s="6">
        <v>12240.32</v>
      </c>
      <c r="D12308" s="5"/>
      <c r="E12308" s="5" t="str">
        <f t="shared" si="632"/>
        <v>ACTISALUD-PISO 9-GUSTAVO GOMEZ</v>
      </c>
      <c r="F12308" s="5" t="str">
        <f>"Descripcion: SILLA PLASTICA BLANCA CON BRAZOS Estado: Bueno Placa anterior: 000003352 Material: PLASTICO Color: BLANCO Referencia:  Observacion: 917 Placa padre: Tipo adquisicion: Entidad"</f>
        <v>Descripcion: SILLA PLASTICA BLANCA CON BRAZOS Estado: Bueno Placa anterior: 000003352 Material: PLASTICO Color: BLANCO Referencia:  Observacion: 917 Placa padre: Tipo adquisicion: Entidad</v>
      </c>
      <c r="G12308" s="5"/>
    </row>
    <row r="12309" spans="1:7" ht="58.5" customHeight="1" x14ac:dyDescent="0.25">
      <c r="A12309" s="5" t="str">
        <f>"H0002641"</f>
        <v>H0002641</v>
      </c>
      <c r="B12309" s="5" t="str">
        <f>"SILLA PLASTICA CON BRAZOS"</f>
        <v>SILLA PLASTICA CON BRAZOS</v>
      </c>
      <c r="C12309" s="6">
        <v>12240.32</v>
      </c>
      <c r="D12309" s="5"/>
      <c r="E12309" s="5" t="str">
        <f t="shared" si="632"/>
        <v>ACTISALUD-PISO 9-GUSTAVO GOMEZ</v>
      </c>
      <c r="F12309" s="5" t="str">
        <f>"Descripcion: SILLA PLASTICA BLANCA CON BRAZOS Estado: Bueno Placa anterior: 000026825 Material: PLASTICO Color: BLANCO Referencia:  Observacion: 918  - TIENE 2 SERIALES ANTERIORES: 26825 Y 3341 Placa padre: Tipo adquisicion: Entidad"</f>
        <v>Descripcion: SILLA PLASTICA BLANCA CON BRAZOS Estado: Bueno Placa anterior: 000026825 Material: PLASTICO Color: BLANCO Referencia:  Observacion: 918  - TIENE 2 SERIALES ANTERIORES: 26825 Y 3341 Placa padre: Tipo adquisicion: Entidad</v>
      </c>
      <c r="G12309" s="5"/>
    </row>
    <row r="12310" spans="1:7" ht="58.5" customHeight="1" x14ac:dyDescent="0.25">
      <c r="A12310" s="5" t="str">
        <f>"H0002644"</f>
        <v>H0002644</v>
      </c>
      <c r="B12310" s="5" t="str">
        <f>"MESA PUENTE (ALIMENTACION) (INSTRUMENTAL)"</f>
        <v>MESA PUENTE (ALIMENTACION) (INSTRUMENTAL)</v>
      </c>
      <c r="C12310" s="6">
        <v>15000</v>
      </c>
      <c r="D12310" s="5"/>
      <c r="E12310" s="5" t="str">
        <f t="shared" si="632"/>
        <v>ACTISALUD-PISO 9-GUSTAVO GOMEZ</v>
      </c>
      <c r="F12310" s="5" t="str">
        <f>"Descripcion: MESA PUENTE PARA ALIMENTACION CON RODACHINES Estado: Bueno Placa anterior: 000026739 Material: TUBO METALICO,  BANDEJA EN ACERO INOX. Color: VERDE Referencia:  Observacion: 919 - PARTES OXIDADAS Placa padre: Tipo adquisicion: Entidad"</f>
        <v>Descripcion: MESA PUENTE PARA ALIMENTACION CON RODACHINES Estado: Bueno Placa anterior: 000026739 Material: TUBO METALICO,  BANDEJA EN ACERO INOX. Color: VERDE Referencia:  Observacion: 919 - PARTES OXIDADAS Placa padre: Tipo adquisicion: Entidad</v>
      </c>
      <c r="G12310" s="5"/>
    </row>
    <row r="12311" spans="1:7" ht="58.5" customHeight="1" x14ac:dyDescent="0.25">
      <c r="A12311" s="5" t="str">
        <f>"H0002646"</f>
        <v>H0002646</v>
      </c>
      <c r="B12311" s="5" t="str">
        <f>"MESA DE NOCHE"</f>
        <v>MESA DE NOCHE</v>
      </c>
      <c r="C12311" s="6">
        <v>8389.33</v>
      </c>
      <c r="D12311" s="5"/>
      <c r="E12311" s="5" t="str">
        <f t="shared" si="632"/>
        <v>ACTISALUD-PISO 9-GUSTAVO GOMEZ</v>
      </c>
      <c r="F12311" s="5" t="str">
        <f>"Descripcion: MESA DE NOCHE  Estado: Bueno Placa anterior: 000027364 Material: ACERO INOX. Color: PLATEADO Referencia:  Observacion: 919-PARTES OXIDADAS Placa padre: Tipo adquisicion: Entidad"</f>
        <v>Descripcion: MESA DE NOCHE  Estado: Bueno Placa anterior: 000027364 Material: ACERO INOX. Color: PLATEADO Referencia:  Observacion: 919-PARTES OXIDADAS Placa padre: Tipo adquisicion: Entidad</v>
      </c>
      <c r="G12311" s="5"/>
    </row>
    <row r="12312" spans="1:7" ht="58.5" customHeight="1" x14ac:dyDescent="0.25">
      <c r="A12312" s="5" t="str">
        <f>"H0002647"</f>
        <v>H0002647</v>
      </c>
      <c r="B12312" s="5" t="str">
        <f>"SILLA PLASTICA CON BRAZOS"</f>
        <v>SILLA PLASTICA CON BRAZOS</v>
      </c>
      <c r="C12312" s="6">
        <v>12240.32</v>
      </c>
      <c r="D12312" s="5"/>
      <c r="E12312" s="5" t="str">
        <f t="shared" si="632"/>
        <v>ACTISALUD-PISO 9-GUSTAVO GOMEZ</v>
      </c>
      <c r="F12312" s="5" t="str">
        <f>"Descripcion: SILLA PLASTICA BLANCA CON BRAZOS Estado: Bueno Placa anterior: 000003353 Material: PLASTICO Color: BLANCO Referencia:  Observacion: 919  Placa padre: Tipo adquisicion: Entidad"</f>
        <v>Descripcion: SILLA PLASTICA BLANCA CON BRAZOS Estado: Bueno Placa anterior: 000003353 Material: PLASTICO Color: BLANCO Referencia:  Observacion: 919  Placa padre: Tipo adquisicion: Entidad</v>
      </c>
      <c r="G12312" s="5"/>
    </row>
    <row r="12313" spans="1:7" ht="58.5" customHeight="1" x14ac:dyDescent="0.25">
      <c r="A12313" s="5" t="str">
        <f>"H0002650"</f>
        <v>H0002650</v>
      </c>
      <c r="B12313" s="5" t="str">
        <f>"MESA PUENTE (ALIMENTACION) (INSTRUMENTAL)"</f>
        <v>MESA PUENTE (ALIMENTACION) (INSTRUMENTAL)</v>
      </c>
      <c r="C12313" s="6">
        <v>15000</v>
      </c>
      <c r="D12313" s="5"/>
      <c r="E12313" s="5" t="str">
        <f t="shared" si="632"/>
        <v>ACTISALUD-PISO 9-GUSTAVO GOMEZ</v>
      </c>
      <c r="F12313" s="5" t="str">
        <f>"Descripcion: MESA PUENTE PARA ALIMENTACION CON RODACHINES Estado: Bueno Placa anterior: 000026742 Material: TUBO METALICO,  BANDEJA EN ACERO INOX. Color: VERDE Referencia:  Observacion: 920 Placa padre: Tipo adquisicion: Entidad"</f>
        <v>Descripcion: MESA PUENTE PARA ALIMENTACION CON RODACHINES Estado: Bueno Placa anterior: 000026742 Material: TUBO METALICO,  BANDEJA EN ACERO INOX. Color: VERDE Referencia:  Observacion: 920 Placa padre: Tipo adquisicion: Entidad</v>
      </c>
      <c r="G12313" s="5"/>
    </row>
    <row r="12314" spans="1:7" ht="58.5" customHeight="1" x14ac:dyDescent="0.25">
      <c r="A12314" s="5" t="str">
        <f>"H0002652"</f>
        <v>H0002652</v>
      </c>
      <c r="B12314" s="5" t="str">
        <f>"MESA DE NOCHE"</f>
        <v>MESA DE NOCHE</v>
      </c>
      <c r="C12314" s="6">
        <v>8389.33</v>
      </c>
      <c r="D12314" s="5"/>
      <c r="E12314" s="5" t="str">
        <f t="shared" ref="E12314:E12377" si="633">"ACTISALUD-PISO 9-GUSTAVO GOMEZ"</f>
        <v>ACTISALUD-PISO 9-GUSTAVO GOMEZ</v>
      </c>
      <c r="F12314" s="5" t="str">
        <f>"Descripcion: MESA DE NOCHE  Estado: Bueno Placa anterior: 000027361 Material: ACERO INOX. Color: PLATEADO Referencia:  Observacion: 920- 2 GAVETAS - PARTES OXIDADAS Placa padre: Tipo adquisicion: Entidad"</f>
        <v>Descripcion: MESA DE NOCHE  Estado: Bueno Placa anterior: 000027361 Material: ACERO INOX. Color: PLATEADO Referencia:  Observacion: 920- 2 GAVETAS - PARTES OXIDADAS Placa padre: Tipo adquisicion: Entidad</v>
      </c>
      <c r="G12314" s="5"/>
    </row>
    <row r="12315" spans="1:7" ht="58.5" customHeight="1" x14ac:dyDescent="0.25">
      <c r="A12315" s="5" t="str">
        <f>"H0002656"</f>
        <v>H0002656</v>
      </c>
      <c r="B12315" s="5" t="str">
        <f>"MESA PUENTE (ALIMENTACION) (INSTRUMENTAL)"</f>
        <v>MESA PUENTE (ALIMENTACION) (INSTRUMENTAL)</v>
      </c>
      <c r="C12315" s="6">
        <v>15000</v>
      </c>
      <c r="D12315" s="5"/>
      <c r="E12315" s="5" t="str">
        <f t="shared" si="633"/>
        <v>ACTISALUD-PISO 9-GUSTAVO GOMEZ</v>
      </c>
      <c r="F12315" s="5" t="str">
        <f>"Descripcion: MESA PUENTE PARA ALIMENTACION CON RODACHINES Estado: Regular Placa anterior: 000026745 Material: TUBO METALICO,  BANDEJA EN ACERO INOX. Color: VERDE Referencia:  Observacion: 921 - TIENE UN RODACHIN SUELTO Placa padre: Tipo adquisicion: Entid"&amp; "ad"</f>
        <v>Descripcion: MESA PUENTE PARA ALIMENTACION CON RODACHINES Estado: Regular Placa anterior: 000026745 Material: TUBO METALICO,  BANDEJA EN ACERO INOX. Color: VERDE Referencia:  Observacion: 921 - TIENE UN RODACHIN SUELTO Placa padre: Tipo adquisicion: Entidad</v>
      </c>
      <c r="G12315" s="5"/>
    </row>
    <row r="12316" spans="1:7" ht="58.5" customHeight="1" x14ac:dyDescent="0.25">
      <c r="A12316" s="5" t="str">
        <f>"H0002658"</f>
        <v>H0002658</v>
      </c>
      <c r="B12316" s="5" t="str">
        <f>"PATO (PISINGO) HOMBRE"</f>
        <v>PATO (PISINGO) HOMBRE</v>
      </c>
      <c r="C12316" s="6">
        <v>15612.17</v>
      </c>
      <c r="D12316" s="5"/>
      <c r="E12316" s="5" t="str">
        <f t="shared" si="633"/>
        <v>ACTISALUD-PISO 9-GUSTAVO GOMEZ</v>
      </c>
      <c r="F12316" s="5" t="str">
        <f>"Descripcion: PATO (PISINGO) HOMBRE Estado: Bueno Placa anterior: 000003901 Material: ACERO INOX- Color: PLATEADO Referencia:  Observacion: 921 Placa padre: Tipo adquisicion: Entidad"</f>
        <v>Descripcion: PATO (PISINGO) HOMBRE Estado: Bueno Placa anterior: 000003901 Material: ACERO INOX- Color: PLATEADO Referencia:  Observacion: 921 Placa padre: Tipo adquisicion: Entidad</v>
      </c>
      <c r="G12316" s="5"/>
    </row>
    <row r="12317" spans="1:7" ht="58.5" customHeight="1" x14ac:dyDescent="0.25">
      <c r="A12317" s="5" t="str">
        <f>"H0002694"</f>
        <v>H0002694</v>
      </c>
      <c r="B12317" s="5" t="str">
        <f>"COMPUTADOR PORTATIL"</f>
        <v>COMPUTADOR PORTATIL</v>
      </c>
      <c r="C12317" s="6">
        <v>2250000</v>
      </c>
      <c r="D12317" s="5"/>
      <c r="E12317" s="5" t="str">
        <f t="shared" si="633"/>
        <v>ACTISALUD-PISO 9-GUSTAVO GOMEZ</v>
      </c>
      <c r="F12317" s="5" t="str">
        <f>"Descripcion:PC PORTATIL CON PROCESADOR 15 500gb DISCO DURO 4GB EN MEMORIA RAM Estado: Excelente Placa anterior: 000037253 Material: PASTA Color: NEGRO Referencia:  Observacion: PANTALLA DE 14 , PROCESADOR INTEL CORE i5 Placa padre:  Tipo adquisicion : Ent"&amp; "idad"</f>
        <v>Descripcion:PC PORTATIL CON PROCESADOR 15 500gb DISCO DURO 4GB EN MEMORIA RAM Estado: Excelente Placa anterior: 000037253 Material: PASTA Color: NEGRO Referencia:  Observacion: PANTALLA DE 14 , PROCESADOR INTEL CORE i5 Placa padre:  Tipo adquisicion : Entidad</v>
      </c>
      <c r="G12317" s="5" t="str">
        <f>"CB0505084E"</f>
        <v>CB0505084E</v>
      </c>
    </row>
    <row r="12318" spans="1:7" ht="58.5" customHeight="1" x14ac:dyDescent="0.25">
      <c r="A12318" s="5" t="str">
        <f>"H0002810"</f>
        <v>H0002810</v>
      </c>
      <c r="B12318" s="5" t="str">
        <f>"MUEBLE (ARCHIVADOR) AEREO (GABINETE DE PARED)"</f>
        <v>MUEBLE (ARCHIVADOR) AEREO (GABINETE DE PARED)</v>
      </c>
      <c r="C12318" s="6">
        <v>12856.86</v>
      </c>
      <c r="D12318" s="5"/>
      <c r="E12318" s="5" t="str">
        <f t="shared" si="633"/>
        <v>ACTISALUD-PISO 9-GUSTAVO GOMEZ</v>
      </c>
      <c r="F12318" s="5" t="str">
        <f>"Descripcion: GABINETE AEREO DE PARED, 2 GAVETAS Estado: Bueno Placa anterior: 000027475 Material: FORMICA Color: WENGUE Y BLANCO Referencia:  Observacion:  Placa padre: Tipo adquisicion: Entidad"</f>
        <v>Descripcion: GABINETE AEREO DE PARED, 2 GAVETAS Estado: Bueno Placa anterior: 000027475 Material: FORMICA Color: WENGUE Y BLANCO Referencia:  Observacion:  Placa padre: Tipo adquisicion: Entidad</v>
      </c>
      <c r="G12318" s="5"/>
    </row>
    <row r="12319" spans="1:7" ht="58.5" customHeight="1" x14ac:dyDescent="0.25">
      <c r="A12319" s="5" t="str">
        <f>"H0002814"</f>
        <v>H0002814</v>
      </c>
      <c r="B12319" s="5" t="str">
        <f>"ARCHIVADOR DE MADERA 3 GAVETAS"</f>
        <v>ARCHIVADOR DE MADERA 3 GAVETAS</v>
      </c>
      <c r="C12319" s="6">
        <v>20520.86</v>
      </c>
      <c r="D12319" s="5"/>
      <c r="E12319" s="5" t="str">
        <f t="shared" si="633"/>
        <v>ACTISALUD-PISO 9-GUSTAVO GOMEZ</v>
      </c>
      <c r="F12319" s="5" t="str">
        <f>"Descripcion: ARCHIVADOR DE MADERA CON 3 GAVETAS, CON RUEDAS Estado: Bueno Placa anterior: 000003740 Material: FORMICA Color: WENGUE Y BLANCO Referencia:  Observacion:  Placa padre: Tipo adquisicion: Entidad"</f>
        <v>Descripcion: ARCHIVADOR DE MADERA CON 3 GAVETAS, CON RUEDAS Estado: Bueno Placa anterior: 000003740 Material: FORMICA Color: WENGUE Y BLANCO Referencia:  Observacion:  Placa padre: Tipo adquisicion: Entidad</v>
      </c>
      <c r="G12319" s="5"/>
    </row>
    <row r="12320" spans="1:7" ht="58.5" customHeight="1" x14ac:dyDescent="0.25">
      <c r="A12320" s="5" t="str">
        <f>"H0002815"</f>
        <v>H0002815</v>
      </c>
      <c r="B12320" s="5" t="str">
        <f>"NEGATOSCOPIO"</f>
        <v>NEGATOSCOPIO</v>
      </c>
      <c r="C12320" s="6">
        <v>13049</v>
      </c>
      <c r="D12320" s="5"/>
      <c r="E12320" s="5" t="str">
        <f t="shared" si="633"/>
        <v>ACTISALUD-PISO 9-GUSTAVO GOMEZ</v>
      </c>
      <c r="F12320" s="5" t="str">
        <f>"Descripcion: NEGATOSCOPIO DE 1 CUERPO Estado: Bueno Placa anterior: 000003213 Material: PASTA Y ACRILICO Color: NEGRO Y BLANCO Referencia:  Observacion:  Placa padre: Tipo adquisicion: Entidad"</f>
        <v>Descripcion: NEGATOSCOPIO DE 1 CUERPO Estado: Bueno Placa anterior: 000003213 Material: PASTA Y ACRILICO Color: NEGRO Y BLANCO Referencia:  Observacion:  Placa padre: Tipo adquisicion: Entidad</v>
      </c>
      <c r="G12320" s="5"/>
    </row>
    <row r="12321" spans="1:7" ht="58.5" customHeight="1" x14ac:dyDescent="0.25">
      <c r="A12321" s="5" t="str">
        <f>"H0002819"</f>
        <v>H0002819</v>
      </c>
      <c r="B12321" s="5" t="str">
        <f>"BALA OXIGENO"</f>
        <v>BALA OXIGENO</v>
      </c>
      <c r="C12321" s="6">
        <v>557682</v>
      </c>
      <c r="D12321" s="5" t="s">
        <v>290</v>
      </c>
      <c r="E12321" s="5" t="str">
        <f t="shared" si="633"/>
        <v>ACTISALUD-PISO 9-GUSTAVO GOMEZ</v>
      </c>
      <c r="F12321" s="5" t="str">
        <f>"Descripcion: BALA DE OXIGENO Estado: Bueno Placa anterior: 000029545 Material: METAL Color: BLANCO Referencia:  Observacion:  Placa padre: Tipo adquisicion: Entidad"</f>
        <v>Descripcion: BALA DE OXIGENO Estado: Bueno Placa anterior: 000029545 Material: METAL Color: BLANCO Referencia:  Observacion:  Placa padre: Tipo adquisicion: Entidad</v>
      </c>
      <c r="G12321" s="5"/>
    </row>
    <row r="12322" spans="1:7" ht="58.5" customHeight="1" x14ac:dyDescent="0.25">
      <c r="A12322" s="5" t="str">
        <f>"H0002826"</f>
        <v>H0002826</v>
      </c>
      <c r="B12322" s="5" t="str">
        <f>"MESA DE MADERA CON 3 GAVETAS"</f>
        <v>MESA DE MADERA CON 3 GAVETAS</v>
      </c>
      <c r="C12322" s="6">
        <v>7991.66</v>
      </c>
      <c r="D12322" s="5"/>
      <c r="E12322" s="5" t="str">
        <f t="shared" si="633"/>
        <v>ACTISALUD-PISO 9-GUSTAVO GOMEZ</v>
      </c>
      <c r="F12322" s="5" t="str">
        <f>"Descripcion: MESA RECTA CON ARCHIVADOR DE 3 GAVETAS Estado: Bueno Placa anterior: 000004846 Material: FORMICA Color: WENGUE Y BLANCO Referencia:  Observacion:  Placa padre: Tipo adquisicion: Entidad"</f>
        <v>Descripcion: MESA RECTA CON ARCHIVADOR DE 3 GAVETAS Estado: Bueno Placa anterior: 000004846 Material: FORMICA Color: WENGUE Y BLANCO Referencia:  Observacion:  Placa padre: Tipo adquisicion: Entidad</v>
      </c>
      <c r="G12322" s="5"/>
    </row>
    <row r="12323" spans="1:7" ht="58.5" customHeight="1" x14ac:dyDescent="0.25">
      <c r="A12323" s="5" t="str">
        <f>"H0002829"</f>
        <v>H0002829</v>
      </c>
      <c r="B12323" s="5" t="str">
        <f>"SILLA DE RUEDAS"</f>
        <v>SILLA DE RUEDAS</v>
      </c>
      <c r="C12323" s="6">
        <v>650000</v>
      </c>
      <c r="D12323" s="5"/>
      <c r="E12323" s="5" t="str">
        <f t="shared" si="633"/>
        <v>ACTISALUD-PISO 9-GUSTAVO GOMEZ</v>
      </c>
      <c r="F12323" s="5" t="str">
        <f>"Descripcion: SILLA DE RUEDAS ADULTO Estado: Malo Placa anterior: 000026222 Material: ACERO Y CUERO Color: NEGRO Y PLATEADO Referencia:  Observacion: RUEDA SUELTA - NO SIRVE Placa padre: Tipo adquisicion: Entidad"</f>
        <v>Descripcion: SILLA DE RUEDAS ADULTO Estado: Malo Placa anterior: 000026222 Material: ACERO Y CUERO Color: NEGRO Y PLATEADO Referencia:  Observacion: RUEDA SUELTA - NO SIRVE Placa padre: Tipo adquisicion: Entidad</v>
      </c>
      <c r="G12323" s="5"/>
    </row>
    <row r="12324" spans="1:7" ht="58.5" customHeight="1" x14ac:dyDescent="0.25">
      <c r="A12324" s="5" t="str">
        <f>"H0002831"</f>
        <v>H0002831</v>
      </c>
      <c r="B12324" s="5" t="str">
        <f>"CARRO PORTA MATERIAL"</f>
        <v>CARRO PORTA MATERIAL</v>
      </c>
      <c r="C12324" s="6">
        <v>16300</v>
      </c>
      <c r="D12324" s="5"/>
      <c r="E12324" s="5" t="str">
        <f t="shared" si="633"/>
        <v>ACTISALUD-PISO 9-GUSTAVO GOMEZ</v>
      </c>
      <c r="F12324" s="5" t="str">
        <f>"Descripcion: CARRO TRANSPORTADOR CON RODACHINES Estado: Bueno Placa anterior: 000021208 Material: METAL Color: GRIS Referencia:  Observacion: PARTES OXIDADAS Placa padre: Tipo adquisicion: Entidad"</f>
        <v>Descripcion: CARRO TRANSPORTADOR CON RODACHINES Estado: Bueno Placa anterior: 000021208 Material: METAL Color: GRIS Referencia:  Observacion: PARTES OXIDADAS Placa padre: Tipo adquisicion: Entidad</v>
      </c>
      <c r="G12324" s="5"/>
    </row>
    <row r="12325" spans="1:7" ht="58.5" customHeight="1" x14ac:dyDescent="0.25">
      <c r="A12325" s="5" t="str">
        <f>"H0002834"</f>
        <v>H0002834</v>
      </c>
      <c r="B12325" s="5" t="str">
        <f>"JARRA EN ACERO INOXIDABLE PEQUEÑA"</f>
        <v>JARRA EN ACERO INOXIDABLE PEQUEÑA</v>
      </c>
      <c r="C12325" s="6">
        <v>6250</v>
      </c>
      <c r="D12325" s="5"/>
      <c r="E12325" s="5" t="str">
        <f t="shared" si="633"/>
        <v>ACTISALUD-PISO 9-GUSTAVO GOMEZ</v>
      </c>
      <c r="F12325" s="5" t="str">
        <f>"Descripcion: JARRA EN ACERO INOX.GRANDE Estado: Bueno Placa anterior: 000003240 Material: METAL Color: PLATEADO Referencia:  Observacion: PARTES OXIDADAS Placa padre: Tipo adquisicion: Entidad"</f>
        <v>Descripcion: JARRA EN ACERO INOX.GRANDE Estado: Bueno Placa anterior: 000003240 Material: METAL Color: PLATEADO Referencia:  Observacion: PARTES OXIDADAS Placa padre: Tipo adquisicion: Entidad</v>
      </c>
      <c r="G12325" s="5"/>
    </row>
    <row r="12326" spans="1:7" ht="58.5" customHeight="1" x14ac:dyDescent="0.25">
      <c r="A12326" s="5" t="str">
        <f>"H0002836"</f>
        <v>H0002836</v>
      </c>
      <c r="B12326" s="5" t="str">
        <f>"SILLA DE RUEDAS"</f>
        <v>SILLA DE RUEDAS</v>
      </c>
      <c r="C12326" s="6">
        <v>650000</v>
      </c>
      <c r="D12326" s="5"/>
      <c r="E12326" s="5" t="str">
        <f t="shared" si="633"/>
        <v>ACTISALUD-PISO 9-GUSTAVO GOMEZ</v>
      </c>
      <c r="F12326" s="5" t="str">
        <f>"Descripcion: SILLA DE RUEDAS ADULTO Estado: Malo Placa anterior: 000026217 Material: ACERO Y CUERINA Color: AZUL Y PLATEADO Referencia:  Observacion:  Placa padre: Tipo adquisicion: Entidad"</f>
        <v>Descripcion: SILLA DE RUEDAS ADULTO Estado: Malo Placa anterior: 000026217 Material: ACERO Y CUERINA Color: AZUL Y PLATEADO Referencia:  Observacion:  Placa padre: Tipo adquisicion: Entidad</v>
      </c>
      <c r="G12326" s="5"/>
    </row>
    <row r="12327" spans="1:7" ht="58.5" customHeight="1" x14ac:dyDescent="0.25">
      <c r="A12327" s="5" t="str">
        <f>"H0002842"</f>
        <v>H0002842</v>
      </c>
      <c r="B12327" s="5" t="str">
        <f>"BANDEJA DE ACERO INOXIDABLE GRANDE"</f>
        <v>BANDEJA DE ACERO INOXIDABLE GRANDE</v>
      </c>
      <c r="C12327" s="6">
        <v>9251.2800000000007</v>
      </c>
      <c r="D12327" s="5"/>
      <c r="E12327" s="5" t="str">
        <f t="shared" si="633"/>
        <v>ACTISALUD-PISO 9-GUSTAVO GOMEZ</v>
      </c>
      <c r="F12327" s="5" t="str">
        <f>"Descripcion: BANDEJA EN ACERO INOX. Estado: Bueno Placa anterior: 000014379 Material: ACERO INOX. Color: PLATEADO Referencia:  Observacion:  Placa padre: Tipo adquisicion: Entidad"</f>
        <v>Descripcion: BANDEJA EN ACERO INOX. Estado: Bueno Placa anterior: 000014379 Material: ACERO INOX. Color: PLATEADO Referencia:  Observacion:  Placa padre: Tipo adquisicion: Entidad</v>
      </c>
      <c r="G12327" s="5"/>
    </row>
    <row r="12328" spans="1:7" ht="58.5" customHeight="1" x14ac:dyDescent="0.25">
      <c r="A12328" s="5" t="str">
        <f>"H0002847"</f>
        <v>H0002847</v>
      </c>
      <c r="B12328" s="5" t="str">
        <f>"FLUJOMETRO SENCILLO"</f>
        <v>FLUJOMETRO SENCILLO</v>
      </c>
      <c r="C12328" s="6">
        <v>365400</v>
      </c>
      <c r="D12328" s="5" t="s">
        <v>56</v>
      </c>
      <c r="E12328" s="5" t="str">
        <f t="shared" si="633"/>
        <v>ACTISALUD-PISO 9-GUSTAVO GOMEZ</v>
      </c>
      <c r="F12328" s="5" t="str">
        <f>"Descripcion: FLUJOMETRO DE ALTA PRESION SENCILLO Estado: Bueno Placa anterior: 000031121 Material: PASTA Y METAL Color: BLANCO Y AMARILLO Referencia:  Observacion: AUTORIZADO CONCILIAR EN CRUCE GENERAL Placa padre: Tipo adquisicion: Entidad"</f>
        <v>Descripcion: FLUJOMETRO DE ALTA PRESION SENCILLO Estado: Bueno Placa anterior: 000031121 Material: PASTA Y METAL Color: BLANCO Y AMARILLO Referencia:  Observacion: AUTORIZADO CONCILIAR EN CRUCE GENERAL Placa padre: Tipo adquisicion: Entidad</v>
      </c>
      <c r="G12328" s="5" t="str">
        <f>"580406"</f>
        <v>580406</v>
      </c>
    </row>
    <row r="12329" spans="1:7" ht="58.5" customHeight="1" x14ac:dyDescent="0.25">
      <c r="A12329" s="5" t="str">
        <f>"H0002849"</f>
        <v>H0002849</v>
      </c>
      <c r="B12329" s="5" t="str">
        <f>"RIÑONERA HOSPITALARIA EN ACERO INOXIDABLE"</f>
        <v>RIÑONERA HOSPITALARIA EN ACERO INOXIDABLE</v>
      </c>
      <c r="C12329" s="6">
        <v>2661.24</v>
      </c>
      <c r="D12329" s="5"/>
      <c r="E12329" s="5" t="str">
        <f t="shared" si="633"/>
        <v>ACTISALUD-PISO 9-GUSTAVO GOMEZ</v>
      </c>
      <c r="F12329" s="5" t="str">
        <f>"Descripcion: RIÑONERA EN ACERO INOX. Estado: Bueno Placa anterior: 000003791 Material: ACERO INOX. Color: PLATEADO Referencia:  Observacion:  Placa padre: Tipo adquisicion: Entidad"</f>
        <v>Descripcion: RIÑONERA EN ACERO INOX. Estado: Bueno Placa anterior: 000003791 Material: ACERO INOX. Color: PLATEADO Referencia:  Observacion:  Placa padre: Tipo adquisicion: Entidad</v>
      </c>
      <c r="G12329" s="5"/>
    </row>
    <row r="12330" spans="1:7" ht="58.5" customHeight="1" x14ac:dyDescent="0.25">
      <c r="A12330" s="5" t="str">
        <f>"H0002850"</f>
        <v>H0002850</v>
      </c>
      <c r="B12330" s="5" t="str">
        <f>"RIÑONERA HOSPITALARIA EN ACERO INOXIDABLE"</f>
        <v>RIÑONERA HOSPITALARIA EN ACERO INOXIDABLE</v>
      </c>
      <c r="C12330" s="6">
        <v>15723.87</v>
      </c>
      <c r="D12330" s="5"/>
      <c r="E12330" s="5" t="str">
        <f t="shared" si="633"/>
        <v>ACTISALUD-PISO 9-GUSTAVO GOMEZ</v>
      </c>
      <c r="F12330" s="5" t="str">
        <f>"Descripcion: RIÑONERA EN ACERO INOX. Estado: Bueno Placa anterior: 000004986 Material: ACERO INOX. Color: PLATEADO Referencia:  Observacion:  Placa padre: Tipo adquisicion: Entidad"</f>
        <v>Descripcion: RIÑONERA EN ACERO INOX. Estado: Bueno Placa anterior: 000004986 Material: ACERO INOX. Color: PLATEADO Referencia:  Observacion:  Placa padre: Tipo adquisicion: Entidad</v>
      </c>
      <c r="G12330" s="5"/>
    </row>
    <row r="12331" spans="1:7" ht="58.5" customHeight="1" x14ac:dyDescent="0.25">
      <c r="A12331" s="5" t="str">
        <f>"H0002852"</f>
        <v>H0002852</v>
      </c>
      <c r="B12331" s="5" t="str">
        <f>"FLUJOMETRO SENCILLO"</f>
        <v>FLUJOMETRO SENCILLO</v>
      </c>
      <c r="C12331" s="6">
        <v>365400</v>
      </c>
      <c r="D12331" s="5" t="s">
        <v>56</v>
      </c>
      <c r="E12331" s="5" t="str">
        <f t="shared" si="633"/>
        <v>ACTISALUD-PISO 9-GUSTAVO GOMEZ</v>
      </c>
      <c r="F12331" s="5" t="str">
        <f>"Descripcion: FLUJOMETRO DE ALTA PRESION SENCILLO Estado: Bueno Placa anterior: 000031120 Material: PASTA Y METAL Color: BLANCO Y AMARILLO Referencia:  Observacion: AUTORIZADO CONCILIAR EN CRUCE GENERAL Placa padre: Tipo adquisicion: Entidad"</f>
        <v>Descripcion: FLUJOMETRO DE ALTA PRESION SENCILLO Estado: Bueno Placa anterior: 000031120 Material: PASTA Y METAL Color: BLANCO Y AMARILLO Referencia:  Observacion: AUTORIZADO CONCILIAR EN CRUCE GENERAL Placa padre: Tipo adquisicion: Entidad</v>
      </c>
      <c r="G12331" s="5" t="str">
        <f>"580406"</f>
        <v>580406</v>
      </c>
    </row>
    <row r="12332" spans="1:7" ht="58.5" customHeight="1" x14ac:dyDescent="0.25">
      <c r="A12332" s="5" t="str">
        <f>"H0002855"</f>
        <v>H0002855</v>
      </c>
      <c r="B12332" s="5" t="str">
        <f>"LARINGOSCOPIO ADULTO"</f>
        <v>LARINGOSCOPIO ADULTO</v>
      </c>
      <c r="C12332" s="6">
        <v>604824</v>
      </c>
      <c r="D12332" s="5"/>
      <c r="E12332" s="5" t="str">
        <f t="shared" si="633"/>
        <v>ACTISALUD-PISO 9-GUSTAVO GOMEZ</v>
      </c>
      <c r="F12332" s="5" t="str">
        <f>"Descripcion: LARINGOSCOPIO PARA ADULTOS , CON MANGO Y 3 ESPATULAS CURVAS METALICAS MOD. McINTOCH EN ESTUCHE DE LUJO MARCA RIESTER Estado: Bueno Placa anterior: 000022652 Material: ACERO Color: PLATEADO Referencia:  Observacion:  Placa padre: Tipo adquisic"&amp; "ion: Entidad"</f>
        <v>Descripcion: LARINGOSCOPIO PARA ADULTOS , CON MANGO Y 3 ESPATULAS CURVAS METALICAS MOD. McINTOCH EN ESTUCHE DE LUJO MARCA RIESTER Estado: Bueno Placa anterior: 000022652 Material: ACERO Color: PLATEADO Referencia:  Observacion:  Placa padre: Tipo adquisicion: Entidad</v>
      </c>
      <c r="G12332" s="5"/>
    </row>
    <row r="12333" spans="1:7" ht="58.5" customHeight="1" x14ac:dyDescent="0.25">
      <c r="A12333" s="5" t="str">
        <f>"H0002857"</f>
        <v>H0002857</v>
      </c>
      <c r="B12333" s="5" t="str">
        <f>"RIÑONERA HOSPITALARIA EN ACERO INOXIDABLE"</f>
        <v>RIÑONERA HOSPITALARIA EN ACERO INOXIDABLE</v>
      </c>
      <c r="C12333" s="6">
        <v>15723.87</v>
      </c>
      <c r="D12333" s="5"/>
      <c r="E12333" s="5" t="str">
        <f t="shared" si="633"/>
        <v>ACTISALUD-PISO 9-GUSTAVO GOMEZ</v>
      </c>
      <c r="F12333" s="5" t="str">
        <f>"Descripcion: RIÑONERA EN ACERO INOX. Estado: Bueno Placa anterior: 000004987 Material: ACERO INOX. Color: PLATEADO Referencia:  Observacion:  Placa padre: Tipo adquisicion: Entidad"</f>
        <v>Descripcion: RIÑONERA EN ACERO INOX. Estado: Bueno Placa anterior: 000004987 Material: ACERO INOX. Color: PLATEADO Referencia:  Observacion:  Placa padre: Tipo adquisicion: Entidad</v>
      </c>
      <c r="G12333" s="5"/>
    </row>
    <row r="12334" spans="1:7" ht="58.5" customHeight="1" x14ac:dyDescent="0.25">
      <c r="A12334" s="5" t="str">
        <f>"H0002859"</f>
        <v>H0002859</v>
      </c>
      <c r="B12334" s="5" t="str">
        <f>"CUBETA DE ACERO INOXIDABLE CON TAPA PEQUEÑA"</f>
        <v>CUBETA DE ACERO INOXIDABLE CON TAPA PEQUEÑA</v>
      </c>
      <c r="C12334" s="6">
        <v>5815.6</v>
      </c>
      <c r="D12334" s="5"/>
      <c r="E12334" s="5" t="str">
        <f t="shared" si="633"/>
        <v>ACTISALUD-PISO 9-GUSTAVO GOMEZ</v>
      </c>
      <c r="F12334" s="5" t="str">
        <f>"Descripcion: BANDEJA EN ACERO INOX. CON TAPA, 17 CM ANCHO X 32 CM FONDO X 5 CM ALTO Estado: Bueno Placa anterior: 000005908 Material: ACERO INOX. Color: PLATEADO Referencia:  Observacion:  Placa padre: Tipo adquisicion: Entidad"</f>
        <v>Descripcion: BANDEJA EN ACERO INOX. CON TAPA, 17 CM ANCHO X 32 CM FONDO X 5 CM ALTO Estado: Bueno Placa anterior: 000005908 Material: ACERO INOX. Color: PLATEADO Referencia:  Observacion:  Placa padre: Tipo adquisicion: Entidad</v>
      </c>
      <c r="G12334" s="5"/>
    </row>
    <row r="12335" spans="1:7" ht="58.5" customHeight="1" x14ac:dyDescent="0.25">
      <c r="A12335" s="5" t="str">
        <f>"H0002860"</f>
        <v>H0002860</v>
      </c>
      <c r="B12335" s="5" t="str">
        <f>"RIÑONERA HOSPITALARIA EN ACERO INOXIDABLE"</f>
        <v>RIÑONERA HOSPITALARIA EN ACERO INOXIDABLE</v>
      </c>
      <c r="C12335" s="6">
        <v>15723.87</v>
      </c>
      <c r="D12335" s="5"/>
      <c r="E12335" s="5" t="str">
        <f t="shared" si="633"/>
        <v>ACTISALUD-PISO 9-GUSTAVO GOMEZ</v>
      </c>
      <c r="F12335" s="5" t="str">
        <f>"Descripcion: RIÑONERA EN ACERO INOX. Estado: Bueno Placa anterior: 000005057 Material: ACERO INOX. Color: PLATEADO Referencia:  Observacion:  Placa padre: Tipo adquisicion: Entidad"</f>
        <v>Descripcion: RIÑONERA EN ACERO INOX. Estado: Bueno Placa anterior: 000005057 Material: ACERO INOX. Color: PLATEADO Referencia:  Observacion:  Placa padre: Tipo adquisicion: Entidad</v>
      </c>
      <c r="G12335" s="5"/>
    </row>
    <row r="12336" spans="1:7" ht="58.5" customHeight="1" x14ac:dyDescent="0.25">
      <c r="A12336" s="5" t="str">
        <f>"H0002863"</f>
        <v>H0002863</v>
      </c>
      <c r="B12336" s="5" t="str">
        <f>"RIÑONERA HOSPITALARIA EN ACERO INOXIDABLE"</f>
        <v>RIÑONERA HOSPITALARIA EN ACERO INOXIDABLE</v>
      </c>
      <c r="C12336" s="6">
        <v>15723.87</v>
      </c>
      <c r="D12336" s="5"/>
      <c r="E12336" s="5" t="str">
        <f t="shared" si="633"/>
        <v>ACTISALUD-PISO 9-GUSTAVO GOMEZ</v>
      </c>
      <c r="F12336" s="5" t="str">
        <f>"Descripcion: RIÑONERA EN ACERO INOX. Estado: Bueno Placa anterior: 000005058 Material: ACERO INOX. Color: PLATEADO Referencia:  Observacion:  Placa padre: Tipo adquisicion: Entidad"</f>
        <v>Descripcion: RIÑONERA EN ACERO INOX. Estado: Bueno Placa anterior: 000005058 Material: ACERO INOX. Color: PLATEADO Referencia:  Observacion:  Placa padre: Tipo adquisicion: Entidad</v>
      </c>
      <c r="G12336" s="5"/>
    </row>
    <row r="12337" spans="1:7" ht="58.5" customHeight="1" x14ac:dyDescent="0.25">
      <c r="A12337" s="5" t="str">
        <f>"H0002870"</f>
        <v>H0002870</v>
      </c>
      <c r="B12337" s="5" t="str">
        <f>"CARRO PORTA HISTORIAS CLINICAS"</f>
        <v>CARRO PORTA HISTORIAS CLINICAS</v>
      </c>
      <c r="C12337" s="6">
        <v>450000</v>
      </c>
      <c r="D12337" s="5" t="s">
        <v>57</v>
      </c>
      <c r="E12337" s="5" t="str">
        <f t="shared" si="633"/>
        <v>ACTISALUD-PISO 9-GUSTAVO GOMEZ</v>
      </c>
      <c r="F12337" s="5" t="str">
        <f>"Descripcion: CARRITO PARA HISTORIAS CLINICAS 65 CM ANCHO X 35 CM FONDO, X 100 CM ALTO Estado: Bueno Placa anterior: 000030463 Material: FORMICA Color: MADERA Referencia:  Observacion:  Placa padre: Tipo adquisicion: Donacion"</f>
        <v>Descripcion: CARRITO PARA HISTORIAS CLINICAS 65 CM ANCHO X 35 CM FONDO, X 100 CM ALTO Estado: Bueno Placa anterior: 000030463 Material: FORMICA Color: MADERA Referencia:  Observacion:  Placa padre: Tipo adquisicion: Donacion</v>
      </c>
      <c r="G12337" s="5"/>
    </row>
    <row r="12338" spans="1:7" ht="58.5" customHeight="1" x14ac:dyDescent="0.25">
      <c r="A12338" s="5" t="str">
        <f>"H0002871"</f>
        <v>H0002871</v>
      </c>
      <c r="B12338" s="5" t="str">
        <f>"PLATON NIQUELADO – INOXIDABLE"</f>
        <v>PLATON NIQUELADO – INOXIDABLE</v>
      </c>
      <c r="C12338" s="6">
        <v>2640</v>
      </c>
      <c r="D12338" s="5"/>
      <c r="E12338" s="5" t="str">
        <f t="shared" si="633"/>
        <v>ACTISALUD-PISO 9-GUSTAVO GOMEZ</v>
      </c>
      <c r="F12338" s="5" t="str">
        <f>"Descripcion: PLATON EN ALUMINIO PEQ. Estado: Bueno Placa anterior: 000005749 Material: ALUMINIO Color: PLATEADO Referencia:  Observacion:  Placa padre: Tipo adquisicion: Entidad"</f>
        <v>Descripcion: PLATON EN ALUMINIO PEQ. Estado: Bueno Placa anterior: 000005749 Material: ALUMINIO Color: PLATEADO Referencia:  Observacion:  Placa padre: Tipo adquisicion: Entidad</v>
      </c>
      <c r="G12338" s="5"/>
    </row>
    <row r="12339" spans="1:7" ht="58.5" customHeight="1" x14ac:dyDescent="0.25">
      <c r="A12339" s="5" t="str">
        <f>"H0002877"</f>
        <v>H0002877</v>
      </c>
      <c r="B12339" s="5" t="str">
        <f>"ESTANTE METALICO 7 ENTREPAÑOS"</f>
        <v>ESTANTE METALICO 7 ENTREPAÑOS</v>
      </c>
      <c r="C12339" s="6">
        <v>22189.18</v>
      </c>
      <c r="D12339" s="5"/>
      <c r="E12339" s="5" t="str">
        <f t="shared" si="633"/>
        <v>ACTISALUD-PISO 9-GUSTAVO GOMEZ</v>
      </c>
      <c r="F12339" s="5" t="str">
        <f>"Descripcion: ESTANTE METALICO DE 7 ENTREPAÑOS 90 CM ANCHO X 200 CM ALTO X 31 CM FONDO Estado: Bueno Placa anterior: 000005135 Material: METAL Color: GRIS Referencia:  Observacion:  Placa padre: Tipo adquisicion: Entidad"</f>
        <v>Descripcion: ESTANTE METALICO DE 7 ENTREPAÑOS 90 CM ANCHO X 200 CM ALTO X 31 CM FONDO Estado: Bueno Placa anterior: 000005135 Material: METAL Color: GRIS Referencia:  Observacion:  Placa padre: Tipo adquisicion: Entidad</v>
      </c>
      <c r="G12339" s="5"/>
    </row>
    <row r="12340" spans="1:7" ht="58.5" customHeight="1" x14ac:dyDescent="0.25">
      <c r="A12340" s="5" t="str">
        <f>"H0002880"</f>
        <v>H0002880</v>
      </c>
      <c r="B12340" s="5" t="str">
        <f>"BALA OXIGENO"</f>
        <v>BALA OXIGENO</v>
      </c>
      <c r="C12340" s="6">
        <v>557682</v>
      </c>
      <c r="D12340" s="5" t="s">
        <v>290</v>
      </c>
      <c r="E12340" s="5" t="str">
        <f t="shared" si="633"/>
        <v>ACTISALUD-PISO 9-GUSTAVO GOMEZ</v>
      </c>
      <c r="F12340" s="5" t="str">
        <f>"Descripcion: BALA DE OXIGENO Estado: Bueno Placa anterior: 000029548 Material: METAL Color: BLANCO Referencia:  Observacion: PARTES OXIDADAS Placa padre: Tipo adquisicion: Entidad"</f>
        <v>Descripcion: BALA DE OXIGENO Estado: Bueno Placa anterior: 000029548 Material: METAL Color: BLANCO Referencia:  Observacion: PARTES OXIDADAS Placa padre: Tipo adquisicion: Entidad</v>
      </c>
      <c r="G12340" s="5"/>
    </row>
    <row r="12341" spans="1:7" ht="58.5" customHeight="1" x14ac:dyDescent="0.25">
      <c r="A12341" s="5" t="str">
        <f>"H0002886"</f>
        <v>H0002886</v>
      </c>
      <c r="B12341" s="5" t="str">
        <f>"VITRINA DE 1 CUERPO"</f>
        <v>VITRINA DE 1 CUERPO</v>
      </c>
      <c r="C12341" s="6">
        <v>20790</v>
      </c>
      <c r="D12341" s="5"/>
      <c r="E12341" s="5" t="str">
        <f t="shared" si="633"/>
        <v>ACTISALUD-PISO 9-GUSTAVO GOMEZ</v>
      </c>
      <c r="F12341" s="5" t="str">
        <f>"Descripcion: VITRINA DE UN CUERPO Estado: Malo Placa anterior: 000006851 Material: METAL Y VIDRIO Color: VERDE Y PLATEADO Referencia:  Observacion: VITRINA DE 2 CUERPOS , PARTES OXIDADAS, CHAPAS DAÑADAS Placa padre: Tipo adquisicion: Entidad"</f>
        <v>Descripcion: VITRINA DE UN CUERPO Estado: Malo Placa anterior: 000006851 Material: METAL Y VIDRIO Color: VERDE Y PLATEADO Referencia:  Observacion: VITRINA DE 2 CUERPOS , PARTES OXIDADAS, CHAPAS DAÑADAS Placa padre: Tipo adquisicion: Entidad</v>
      </c>
      <c r="G12341" s="5"/>
    </row>
    <row r="12342" spans="1:7" ht="58.5" customHeight="1" x14ac:dyDescent="0.25">
      <c r="A12342" s="5" t="str">
        <f>"H0002893"</f>
        <v>H0002893</v>
      </c>
      <c r="B12342" s="5" t="str">
        <f>"GABINETE CONTRA INCENDIO"</f>
        <v>GABINETE CONTRA INCENDIO</v>
      </c>
      <c r="C12342" s="6">
        <v>171000</v>
      </c>
      <c r="D12342" s="5"/>
      <c r="E12342" s="5" t="str">
        <f t="shared" si="633"/>
        <v>ACTISALUD-PISO 9-GUSTAVO GOMEZ</v>
      </c>
      <c r="F12342" s="5" t="str">
        <f>"Descripcion: GABINETE CONTRA INCENDIO - EXTINTOR, MANGUERA Y HACHA Estado: Bueno Placa anterior: 000019076 Material: METAL Color: AMARILLO Referencia:  Observacion: EXTINTOR DESCARGADO Placa padre: Tipo adquisicion: Entidad"</f>
        <v>Descripcion: GABINETE CONTRA INCENDIO - EXTINTOR, MANGUERA Y HACHA Estado: Bueno Placa anterior: 000019076 Material: METAL Color: AMARILLO Referencia:  Observacion: EXTINTOR DESCARGADO Placa padre: Tipo adquisicion: Entidad</v>
      </c>
      <c r="G12342" s="5"/>
    </row>
    <row r="12343" spans="1:7" ht="58.5" customHeight="1" x14ac:dyDescent="0.25">
      <c r="A12343" s="5" t="str">
        <f>"H0002894"</f>
        <v>H0002894</v>
      </c>
      <c r="B12343" s="5" t="str">
        <f>"CAMILLA DE TRASLADO CON BARANDAS"</f>
        <v>CAMILLA DE TRASLADO CON BARANDAS</v>
      </c>
      <c r="C12343" s="6">
        <v>1740000</v>
      </c>
      <c r="D12343" s="5"/>
      <c r="E12343" s="5" t="str">
        <f t="shared" si="633"/>
        <v>ACTISALUD-PISO 9-GUSTAVO GOMEZ</v>
      </c>
      <c r="F12343" s="5" t="str">
        <f>"Descripcion: CAMILLA RECUPERACION Y TRANSPORTE, MARCA HOSPITECH, MODELO 141-04: CARACTERISTICAS: FABRICADA EN TUBERIA REDONDA DE 1 Y 7/8 PLATO SUPERIOR EN LAMINA COLL-ROLLED, MARCO TUBERIA REDONDA DE 7/8 CON REFUERZOS ADICIONALES ESPALDAR GRADUABLE, COLCH"&amp; "ONETA EN ESP Estado: Bueno Placa anterior: 000025956 Material: METAL Color: BEIGE Referencia:  Observacion:  Placa padre: Tipo adquisicion: Entidad"</f>
        <v>Descripcion: CAMILLA RECUPERACION Y TRANSPORTE, MARCA HOSPITECH, MODELO 141-04: CARACTERISTICAS: FABRICADA EN TUBERIA REDONDA DE 1 Y 7/8 PLATO SUPERIOR EN LAMINA COLL-ROLLED, MARCO TUBERIA REDONDA DE 7/8 CON REFUERZOS ADICIONALES ESPALDAR GRADUABLE, COLCHONETA EN ESP Estado: Bueno Placa anterior: 000025956 Material: METAL Color: BEIGE Referencia:  Observacion:  Placa padre: Tipo adquisicion: Entidad</v>
      </c>
      <c r="G12343" s="5"/>
    </row>
    <row r="12344" spans="1:7" ht="58.5" customHeight="1" x14ac:dyDescent="0.25">
      <c r="A12344" s="5" t="str">
        <f>"H0002896"</f>
        <v>H0002896</v>
      </c>
      <c r="B12344" s="5" t="str">
        <f>"MESA REDONDA DE MADERA PARA JUNTAS DE 4 PUESTOS"</f>
        <v>MESA REDONDA DE MADERA PARA JUNTAS DE 4 PUESTOS</v>
      </c>
      <c r="C12344" s="6">
        <v>42000</v>
      </c>
      <c r="D12344" s="5"/>
      <c r="E12344" s="5" t="str">
        <f t="shared" si="633"/>
        <v>ACTISALUD-PISO 9-GUSTAVO GOMEZ</v>
      </c>
      <c r="F12344" s="5" t="str">
        <f>"Descripcion: MESA REDONDA EN FORMICA Y METAL Estado: Bueno Placa anterior: 000003917 Material: FORMICA Y METAL Color: MADERA Y GRIS Referencia:  Observacion:  Placa padre: Tipo adquisicion: Entidad"</f>
        <v>Descripcion: MESA REDONDA EN FORMICA Y METAL Estado: Bueno Placa anterior: 000003917 Material: FORMICA Y METAL Color: MADERA Y GRIS Referencia:  Observacion:  Placa padre: Tipo adquisicion: Entidad</v>
      </c>
      <c r="G12344" s="5"/>
    </row>
    <row r="12345" spans="1:7" ht="58.5" customHeight="1" x14ac:dyDescent="0.25">
      <c r="A12345" s="5" t="str">
        <f>"H0002900"</f>
        <v>H0002900</v>
      </c>
      <c r="B12345" s="5" t="str">
        <f>"MESA DE MADERA PARA JUNTASDE 6 PUESTOS"</f>
        <v>MESA DE MADERA PARA JUNTASDE 6 PUESTOS</v>
      </c>
      <c r="C12345" s="6">
        <v>307980</v>
      </c>
      <c r="D12345" s="5"/>
      <c r="E12345" s="5" t="str">
        <f t="shared" si="633"/>
        <v>ACTISALUD-PISO 9-GUSTAVO GOMEZ</v>
      </c>
      <c r="F12345" s="5" t="str">
        <f>"Descripcion: MESA DE JUNTAS, PARA 6 PERSONAS DE 1.20 Estado: Bueno Placa anterior: 000022793 Material: FORMICA Y METAL  Color: MADERA Y NEGRO Referencia:  Observacion:  Placa padre: Tipo adquisicion: Entidad"</f>
        <v>Descripcion: MESA DE JUNTAS, PARA 6 PERSONAS DE 1.20 Estado: Bueno Placa anterior: 000022793 Material: FORMICA Y METAL  Color: MADERA Y NEGRO Referencia:  Observacion:  Placa padre: Tipo adquisicion: Entidad</v>
      </c>
      <c r="G12345" s="5"/>
    </row>
    <row r="12346" spans="1:7" ht="58.5" customHeight="1" x14ac:dyDescent="0.25">
      <c r="A12346" s="5" t="str">
        <f>"H0002932"</f>
        <v>H0002932</v>
      </c>
      <c r="B12346" s="5" t="str">
        <f>"MULTIMUEBLE DE MADERA"</f>
        <v>MULTIMUEBLE DE MADERA</v>
      </c>
      <c r="C12346" s="6">
        <v>85000</v>
      </c>
      <c r="D12346" s="5"/>
      <c r="E12346" s="5" t="str">
        <f t="shared" si="633"/>
        <v>ACTISALUD-PISO 9-GUSTAVO GOMEZ</v>
      </c>
      <c r="F12346" s="5" t="str">
        <f>"Descripcion:BIBLIOTECA EN MADERA CON PUERTAS CORREDISAS - 4 ENTREPAÑOS - 125 CM ANCHO X 38 CM FONDO X 145 CM ALTO Estado: Bueno Placa anterior: 000001347 Material: MADERA Color: MADERA Referencia:  Observacion:  Placa padre:  Tipo adquisicion : Entidad"</f>
        <v>Descripcion:BIBLIOTECA EN MADERA CON PUERTAS CORREDISAS - 4 ENTREPAÑOS - 125 CM ANCHO X 38 CM FONDO X 145 CM ALTO Estado: Bueno Placa anterior: 000001347 Material: MADERA Color: MADERA Referencia:  Observacion:  Placa padre:  Tipo adquisicion : Entidad</v>
      </c>
      <c r="G12346" s="5"/>
    </row>
    <row r="12347" spans="1:7" ht="58.5" customHeight="1" x14ac:dyDescent="0.25">
      <c r="A12347" s="5" t="str">
        <f>"H0002933"</f>
        <v>H0002933</v>
      </c>
      <c r="B12347" s="5" t="str">
        <f>"VITRINA DE 2 CUERPOS"</f>
        <v>VITRINA DE 2 CUERPOS</v>
      </c>
      <c r="C12347" s="6">
        <v>20456</v>
      </c>
      <c r="D12347" s="5"/>
      <c r="E12347" s="5" t="str">
        <f t="shared" si="633"/>
        <v>ACTISALUD-PISO 9-GUSTAVO GOMEZ</v>
      </c>
      <c r="F12347" s="5" t="str">
        <f>"Descripcion:BIBLIOTECA METALICA - 2 PUERTAS Y 3 ENTREPAÑOS Estado: Bueno Placa anterior: 000001181 Material: METAL Color: GRIS Referencia:  Observacion:  Placa padre:  Tipo adquisicion : Entidad"</f>
        <v>Descripcion:BIBLIOTECA METALICA - 2 PUERTAS Y 3 ENTREPAÑOS Estado: Bueno Placa anterior: 000001181 Material: METAL Color: GRIS Referencia:  Observacion:  Placa padre:  Tipo adquisicion : Entidad</v>
      </c>
      <c r="G12347" s="5"/>
    </row>
    <row r="12348" spans="1:7" ht="58.5" customHeight="1" x14ac:dyDescent="0.25">
      <c r="A12348" s="5" t="str">
        <f>"H0002955"</f>
        <v>H0002955</v>
      </c>
      <c r="B12348" s="5" t="str">
        <f>"GABINETE CONTRA INCENDIO"</f>
        <v>GABINETE CONTRA INCENDIO</v>
      </c>
      <c r="C12348" s="6">
        <v>171000</v>
      </c>
      <c r="D12348" s="5"/>
      <c r="E12348" s="5" t="str">
        <f t="shared" si="633"/>
        <v>ACTISALUD-PISO 9-GUSTAVO GOMEZ</v>
      </c>
      <c r="F12348" s="5" t="str">
        <f>"Descripcion: KIT CONTRA INCENDIO, CONTIENE MANGUERA, HACHA Y EXTINTOR CAP. 10 (4536 KG) Estado: Bueno Placa anterior: 000019077 Material: METALICO Y MANGUERA FIBRA GRUESA Color: ROJO, AMARILLO Y BLANCO Referencia:  Observacion:  Placa padre: Tipo adquisic"&amp; "ion: Entidad"</f>
        <v>Descripcion: KIT CONTRA INCENDIO, CONTIENE MANGUERA, HACHA Y EXTINTOR CAP. 10 (4536 KG) Estado: Bueno Placa anterior: 000019077 Material: METALICO Y MANGUERA FIBRA GRUESA Color: ROJO, AMARILLO Y BLANCO Referencia:  Observacion:  Placa padre: Tipo adquisicion: Entidad</v>
      </c>
      <c r="G12348" s="5"/>
    </row>
    <row r="12349" spans="1:7" ht="58.5" customHeight="1" x14ac:dyDescent="0.25">
      <c r="A12349" s="5" t="str">
        <f>"H0002956"</f>
        <v>H0002956</v>
      </c>
      <c r="B12349" s="5" t="str">
        <f>"SILLA PLASTICA CON BRAZOS"</f>
        <v>SILLA PLASTICA CON BRAZOS</v>
      </c>
      <c r="C12349" s="6">
        <v>12240.32</v>
      </c>
      <c r="D12349" s="5"/>
      <c r="E12349" s="5" t="str">
        <f t="shared" si="633"/>
        <v>ACTISALUD-PISO 9-GUSTAVO GOMEZ</v>
      </c>
      <c r="F12349" s="5" t="str">
        <f>"Descripcion: SILLA PLASTICA CON BRAZOS Estado: Bueno Placa anterior: 000004873 Material: PASTA Color: AZUL Referencia:  Observacion:  Placa padre: Tipo adquisicion: Entidad"</f>
        <v>Descripcion: SILLA PLASTICA CON BRAZOS Estado: Bueno Placa anterior: 000004873 Material: PASTA Color: AZUL Referencia:  Observacion:  Placa padre: Tipo adquisicion: Entidad</v>
      </c>
      <c r="G12349" s="5"/>
    </row>
    <row r="12350" spans="1:7" ht="58.5" customHeight="1" x14ac:dyDescent="0.25">
      <c r="A12350" s="5" t="str">
        <f>"H0002958"</f>
        <v>H0002958</v>
      </c>
      <c r="B12350" s="5" t="str">
        <f>"SILLON (SOFA)"</f>
        <v>SILLON (SOFA)</v>
      </c>
      <c r="C12350" s="6">
        <v>21400</v>
      </c>
      <c r="D12350" s="5"/>
      <c r="E12350" s="5" t="str">
        <f t="shared" si="633"/>
        <v>ACTISALUD-PISO 9-GUSTAVO GOMEZ</v>
      </c>
      <c r="F12350" s="5" t="str">
        <f>"Descripcion: SOFA LIZZY - 3 PUESTOS Estado: Bueno Placa anterior: 000003256 Material: MADERA Y CUERINA Color: NEGRO Y MADERA Referencia:  Observacion: ASIENTO ROTO Placa padre: Tipo adquisicion: Entidad"</f>
        <v>Descripcion: SOFA LIZZY - 3 PUESTOS Estado: Bueno Placa anterior: 000003256 Material: MADERA Y CUERINA Color: NEGRO Y MADERA Referencia:  Observacion: ASIENTO ROTO Placa padre: Tipo adquisicion: Entidad</v>
      </c>
      <c r="G12350" s="5"/>
    </row>
    <row r="12351" spans="1:7" ht="58.5" customHeight="1" x14ac:dyDescent="0.25">
      <c r="A12351" s="5" t="str">
        <f>"H0002961"</f>
        <v>H0002961</v>
      </c>
      <c r="B12351" s="5" t="str">
        <f>"NEBULIZADOR PORTATIL"</f>
        <v>NEBULIZADOR PORTATIL</v>
      </c>
      <c r="C12351" s="6">
        <v>145692</v>
      </c>
      <c r="D12351" s="5"/>
      <c r="E12351" s="5" t="str">
        <f t="shared" si="633"/>
        <v>ACTISALUD-PISO 9-GUSTAVO GOMEZ</v>
      </c>
      <c r="F12351" s="5" t="str">
        <f>"Descripcion: COMPRESOR PARA AEROSOLTERAPIA MCA.DEVILBIS MOD.PULMO AID Estado: Bueno Placa anterior: 000003282 Material: PASTA Color: BEIGE Referencia:  Observacion:  Placa padre: Tipo adquisicion: Entidad"</f>
        <v>Descripcion: COMPRESOR PARA AEROSOLTERAPIA MCA.DEVILBIS MOD.PULMO AID Estado: Bueno Placa anterior: 000003282 Material: PASTA Color: BEIGE Referencia:  Observacion:  Placa padre: Tipo adquisicion: Entidad</v>
      </c>
      <c r="G12351" s="5"/>
    </row>
    <row r="12352" spans="1:7" ht="58.5" customHeight="1" x14ac:dyDescent="0.25">
      <c r="A12352" s="5" t="str">
        <f>"H0002966"</f>
        <v>H0002966</v>
      </c>
      <c r="B12352" s="5" t="str">
        <f>"SILLON (SOFA)"</f>
        <v>SILLON (SOFA)</v>
      </c>
      <c r="C12352" s="6">
        <v>26200</v>
      </c>
      <c r="D12352" s="5"/>
      <c r="E12352" s="5" t="str">
        <f t="shared" si="633"/>
        <v>ACTISALUD-PISO 9-GUSTAVO GOMEZ</v>
      </c>
      <c r="F12352" s="5" t="str">
        <f>"Descripcion: SILLA NEGRA CON BRAZOS  Estado: Bueno Placa anterior: 000000532 Material: METAL Y CUERINA Color: NEGRO Referencia:  Observacion: BRAZOS Y ASIENTO ROTO - PARTES OXIDADAS Placa padre: Tipo adquisicion: Entidad"</f>
        <v>Descripcion: SILLA NEGRA CON BRAZOS  Estado: Bueno Placa anterior: 000000532 Material: METAL Y CUERINA Color: NEGRO Referencia:  Observacion: BRAZOS Y ASIENTO ROTO - PARTES OXIDADAS Placa padre: Tipo adquisicion: Entidad</v>
      </c>
      <c r="G12352" s="5"/>
    </row>
    <row r="12353" spans="1:7" ht="58.5" customHeight="1" x14ac:dyDescent="0.25">
      <c r="A12353" s="5" t="str">
        <f>"H0002969"</f>
        <v>H0002969</v>
      </c>
      <c r="B12353" s="5" t="str">
        <f>"BALA DE OXIGENO PORTATIL DE 682 LT"</f>
        <v>BALA DE OXIGENO PORTATIL DE 682 LT</v>
      </c>
      <c r="C12353" s="6">
        <v>557682</v>
      </c>
      <c r="D12353" s="5" t="s">
        <v>290</v>
      </c>
      <c r="E12353" s="5" t="str">
        <f t="shared" si="633"/>
        <v>ACTISALUD-PISO 9-GUSTAVO GOMEZ</v>
      </c>
      <c r="F12353" s="5" t="str">
        <f>"Descripcion: BALA DE OXIGENO PORTATIL CON BASE DE 2 RUEDAS Estado: Bueno Placa anterior: 000029542 Material: METAL Y PASTA Color: BLANCO Referencia:  Observacion:  Placa padre: Tipo adquisicion: Entidad"</f>
        <v>Descripcion: BALA DE OXIGENO PORTATIL CON BASE DE 2 RUEDAS Estado: Bueno Placa anterior: 000029542 Material: METAL Y PASTA Color: BLANCO Referencia:  Observacion:  Placa padre: Tipo adquisicion: Entidad</v>
      </c>
      <c r="G12353" s="5"/>
    </row>
    <row r="12354" spans="1:7" ht="58.5" customHeight="1" x14ac:dyDescent="0.25">
      <c r="A12354" s="5" t="str">
        <f>"H0002972"</f>
        <v>H0002972</v>
      </c>
      <c r="B12354" s="5" t="str">
        <f>"LOCKER DE 2 COMPARTIMIENTOS"</f>
        <v>LOCKER DE 2 COMPARTIMIENTOS</v>
      </c>
      <c r="C12354" s="6">
        <v>48720</v>
      </c>
      <c r="D12354" s="5"/>
      <c r="E12354" s="5" t="str">
        <f t="shared" si="633"/>
        <v>ACTISALUD-PISO 9-GUSTAVO GOMEZ</v>
      </c>
      <c r="F12354" s="5" t="str">
        <f>"Descripcion: LOCKER METAL - 2 CASILLEROS Estado: Bueno Placa anterior: 000004934 Material: METAL Color: GRIS Referencia:  Observacion: EL BIEN TIENE PLACA ANTERIOR 000003250 Placa padre: Tipo adquisicion: Entidad"</f>
        <v>Descripcion: LOCKER METAL - 2 CASILLEROS Estado: Bueno Placa anterior: 000004934 Material: METAL Color: GRIS Referencia:  Observacion: EL BIEN TIENE PLACA ANTERIOR 000003250 Placa padre: Tipo adquisicion: Entidad</v>
      </c>
      <c r="G12354" s="5"/>
    </row>
    <row r="12355" spans="1:7" ht="58.5" customHeight="1" x14ac:dyDescent="0.25">
      <c r="A12355" s="5" t="str">
        <f>"H0002974"</f>
        <v>H0002974</v>
      </c>
      <c r="B12355" s="5" t="str">
        <f>"VITRINA DE 2 CUERPOS"</f>
        <v>VITRINA DE 2 CUERPOS</v>
      </c>
      <c r="C12355" s="6">
        <v>119712</v>
      </c>
      <c r="D12355" s="5"/>
      <c r="E12355" s="5" t="str">
        <f t="shared" si="633"/>
        <v>ACTISALUD-PISO 9-GUSTAVO GOMEZ</v>
      </c>
      <c r="F12355" s="5" t="str">
        <f>"Descripcion: - 2 PUERTAS Y 4 GAVETAS Estado: Bueno Placa anterior: 000004577 Material: METAL Color: GRIS OSCURO Referencia:  Observacion: EL BIEN TIENE PLACA ANTERIOR  000003249, LA CUAL ESTA CONCILIADA CON PLACA H0002909  AUTORIZADO CONCILIAR EN CRUCE GE"&amp; "NERAL Placa padre: Tipo adquisicion: Entidad"</f>
        <v>Descripcion: - 2 PUERTAS Y 4 GAVETAS Estado: Bueno Placa anterior: 000004577 Material: METAL Color: GRIS OSCURO Referencia:  Observacion: EL BIEN TIENE PLACA ANTERIOR  000003249, LA CUAL ESTA CONCILIADA CON PLACA H0002909  AUTORIZADO CONCILIAR EN CRUCE GENERAL Placa padre: Tipo adquisicion: Entidad</v>
      </c>
      <c r="G12355" s="5"/>
    </row>
    <row r="12356" spans="1:7" ht="58.5" customHeight="1" x14ac:dyDescent="0.25">
      <c r="A12356" s="5" t="str">
        <f>"H0002975"</f>
        <v>H0002975</v>
      </c>
      <c r="B12356" s="5" t="str">
        <f>"PAPELOGRAFO"</f>
        <v>PAPELOGRAFO</v>
      </c>
      <c r="C12356" s="6">
        <v>9812</v>
      </c>
      <c r="D12356" s="5"/>
      <c r="E12356" s="5" t="str">
        <f t="shared" si="633"/>
        <v>ACTISALUD-PISO 9-GUSTAVO GOMEZ</v>
      </c>
      <c r="F12356" s="5" t="str">
        <f>"Descripcion: PAPELOGRAFO DE MADERA Estado: Bueno Placa anterior: 000003329 Material: MADERA Color: MADERA Referencia:  Observacion:  Placa padre: Tipo adquisicion: Entidad"</f>
        <v>Descripcion: PAPELOGRAFO DE MADERA Estado: Bueno Placa anterior: 000003329 Material: MADERA Color: MADERA Referencia:  Observacion:  Placa padre: Tipo adquisicion: Entidad</v>
      </c>
      <c r="G12356" s="5"/>
    </row>
    <row r="12357" spans="1:7" ht="58.5" customHeight="1" x14ac:dyDescent="0.25">
      <c r="A12357" s="5" t="str">
        <f>"H0002976"</f>
        <v>H0002976</v>
      </c>
      <c r="B12357" s="5" t="str">
        <f>"BANDEJA DE ACERO INOXIDABLE GRANDE"</f>
        <v>BANDEJA DE ACERO INOXIDABLE GRANDE</v>
      </c>
      <c r="C12357" s="6">
        <v>9251.2800000000007</v>
      </c>
      <c r="D12357" s="5"/>
      <c r="E12357" s="5" t="str">
        <f t="shared" si="633"/>
        <v>ACTISALUD-PISO 9-GUSTAVO GOMEZ</v>
      </c>
      <c r="F12357" s="5" t="str">
        <f>"Descripcion: BANDEJA EN ACERO INOX. - 46 CM ANCHO X 28 CM FONDO Y 2CM ALTO Estado: Bueno Placa anterior: 000014380 Material: ACERO INOX. Color: PLATEADO Referencia:  Observacion:  Placa padre: Tipo adquisicion: Entidad"</f>
        <v>Descripcion: BANDEJA EN ACERO INOX. - 46 CM ANCHO X 28 CM FONDO Y 2CM ALTO Estado: Bueno Placa anterior: 000014380 Material: ACERO INOX. Color: PLATEADO Referencia:  Observacion:  Placa padre: Tipo adquisicion: Entidad</v>
      </c>
      <c r="G12357" s="5"/>
    </row>
    <row r="12358" spans="1:7" ht="58.5" customHeight="1" x14ac:dyDescent="0.25">
      <c r="A12358" s="5" t="str">
        <f>"H0002977"</f>
        <v>H0002977</v>
      </c>
      <c r="B12358" s="5" t="str">
        <f>"BANDEJA DE ACERO INOXIDABLE GRANDE"</f>
        <v>BANDEJA DE ACERO INOXIDABLE GRANDE</v>
      </c>
      <c r="C12358" s="6">
        <v>9251.2800000000007</v>
      </c>
      <c r="D12358" s="5"/>
      <c r="E12358" s="5" t="str">
        <f t="shared" si="633"/>
        <v>ACTISALUD-PISO 9-GUSTAVO GOMEZ</v>
      </c>
      <c r="F12358" s="5" t="str">
        <f>"Descripcion: BANDEJA EN ACERO INOX. - 46 CM ANCHO X 28 CM FONDO Y 2CM ALTO Estado: Bueno Placa anterior: 000014382 Material: ACERO INOX. Color: PLATEADO Referencia:  Observacion:  Placa padre: Tipo adquisicion: Entidad"</f>
        <v>Descripcion: BANDEJA EN ACERO INOX. - 46 CM ANCHO X 28 CM FONDO Y 2CM ALTO Estado: Bueno Placa anterior: 000014382 Material: ACERO INOX. Color: PLATEADO Referencia:  Observacion:  Placa padre: Tipo adquisicion: Entidad</v>
      </c>
      <c r="G12358" s="5"/>
    </row>
    <row r="12359" spans="1:7" ht="58.5" customHeight="1" x14ac:dyDescent="0.25">
      <c r="A12359" s="5" t="str">
        <f>"H0002978"</f>
        <v>H0002978</v>
      </c>
      <c r="B12359" s="5" t="str">
        <f>"BANDEJA DE ACERO INOXIDABLE GRANDE"</f>
        <v>BANDEJA DE ACERO INOXIDABLE GRANDE</v>
      </c>
      <c r="C12359" s="6">
        <v>9251.2800000000007</v>
      </c>
      <c r="D12359" s="5"/>
      <c r="E12359" s="5" t="str">
        <f t="shared" si="633"/>
        <v>ACTISALUD-PISO 9-GUSTAVO GOMEZ</v>
      </c>
      <c r="F12359" s="5" t="str">
        <f>"Descripcion: BANDEJA EN ACERO INOX. - 46 CM ANCHO X 28 CM FONDO Y 2CM ALTO Estado: Bueno Placa anterior: 000014383 Material: ACERO INOX. Color: PLATEADO Referencia:  Observacion:  Placa padre: Tipo adquisicion: Entidad"</f>
        <v>Descripcion: BANDEJA EN ACERO INOX. - 46 CM ANCHO X 28 CM FONDO Y 2CM ALTO Estado: Bueno Placa anterior: 000014383 Material: ACERO INOX. Color: PLATEADO Referencia:  Observacion:  Placa padre: Tipo adquisicion: Entidad</v>
      </c>
      <c r="G12359" s="5"/>
    </row>
    <row r="12360" spans="1:7" ht="58.5" customHeight="1" x14ac:dyDescent="0.25">
      <c r="A12360" s="5" t="str">
        <f>"H0002980"</f>
        <v>H0002980</v>
      </c>
      <c r="B12360" s="5" t="str">
        <f>"BANDEJA DE ACERO INOXIDABLE GRANDE"</f>
        <v>BANDEJA DE ACERO INOXIDABLE GRANDE</v>
      </c>
      <c r="C12360" s="6">
        <v>9251.2800000000007</v>
      </c>
      <c r="D12360" s="5"/>
      <c r="E12360" s="5" t="str">
        <f t="shared" si="633"/>
        <v>ACTISALUD-PISO 9-GUSTAVO GOMEZ</v>
      </c>
      <c r="F12360" s="5" t="str">
        <f>"Descripcion: BANDEJA EN ACERO INOX. - 40CM ANCHO X 29 CM FONDO Y 2CM ALTO Estado: Bueno Placa anterior: 000014384 Material: ACERO INOX. Color: PLATEADO Referencia:  Observacion:  Placa padre: Tipo adquisicion: Entidad"</f>
        <v>Descripcion: BANDEJA EN ACERO INOX. - 40CM ANCHO X 29 CM FONDO Y 2CM ALTO Estado: Bueno Placa anterior: 000014384 Material: ACERO INOX. Color: PLATEADO Referencia:  Observacion:  Placa padre: Tipo adquisicion: Entidad</v>
      </c>
      <c r="G12360" s="5"/>
    </row>
    <row r="12361" spans="1:7" ht="58.5" customHeight="1" x14ac:dyDescent="0.25">
      <c r="A12361" s="5" t="str">
        <f>"H0002983"</f>
        <v>H0002983</v>
      </c>
      <c r="B12361" s="5" t="str">
        <f>"SILLA PLASTICA CON BRAZOS"</f>
        <v>SILLA PLASTICA CON BRAZOS</v>
      </c>
      <c r="C12361" s="6">
        <v>12240.32</v>
      </c>
      <c r="D12361" s="5"/>
      <c r="E12361" s="5" t="str">
        <f t="shared" si="633"/>
        <v>ACTISALUD-PISO 9-GUSTAVO GOMEZ</v>
      </c>
      <c r="F12361" s="5" t="str">
        <f>"Descripcion: SILLA PLASTICA BLANCA CON BRAZOS Estado: Bueno Placa anterior: 000026712 Material: PASTA Color: BLANCO Referencia:  Observacion:  Placa padre: Tipo adquisicion: Entidad"</f>
        <v>Descripcion: SILLA PLASTICA BLANCA CON BRAZOS Estado: Bueno Placa anterior: 000026712 Material: PASTA Color: BLANCO Referencia:  Observacion:  Placa padre: Tipo adquisicion: Entidad</v>
      </c>
      <c r="G12361" s="5"/>
    </row>
    <row r="12362" spans="1:7" ht="58.5" customHeight="1" x14ac:dyDescent="0.25">
      <c r="A12362" s="5" t="str">
        <f>"H0002986"</f>
        <v>H0002986</v>
      </c>
      <c r="B12362" s="5" t="str">
        <f>"MESA PUENTE (ALIMENTACION) (INSTRUMENTAL)"</f>
        <v>MESA PUENTE (ALIMENTACION) (INSTRUMENTAL)</v>
      </c>
      <c r="C12362" s="6">
        <v>15000</v>
      </c>
      <c r="D12362" s="5"/>
      <c r="E12362" s="5" t="str">
        <f t="shared" si="633"/>
        <v>ACTISALUD-PISO 9-GUSTAVO GOMEZ</v>
      </c>
      <c r="F12362" s="5" t="str">
        <f>"Descripcion: MESA PUENTE PARA ALIMENTACION Estado: Bueno Placa anterior: 000026747 Material: METAL Y BAND. EN ACERO INOX. Color: BEIGE Referencia:  Observacion:  Placa padre: Tipo adquisicion: Entidad"</f>
        <v>Descripcion: MESA PUENTE PARA ALIMENTACION Estado: Bueno Placa anterior: 000026747 Material: METAL Y BAND. EN ACERO INOX. Color: BEIGE Referencia:  Observacion:  Placa padre: Tipo adquisicion: Entidad</v>
      </c>
      <c r="G12362" s="5"/>
    </row>
    <row r="12363" spans="1:7" ht="58.5" customHeight="1" x14ac:dyDescent="0.25">
      <c r="A12363" s="5" t="str">
        <f>"H0002988"</f>
        <v>H0002988</v>
      </c>
      <c r="B12363" s="5" t="str">
        <f>"MESA DE NOCHE"</f>
        <v>MESA DE NOCHE</v>
      </c>
      <c r="C12363" s="6">
        <v>8389.33</v>
      </c>
      <c r="D12363" s="5"/>
      <c r="E12363" s="5" t="str">
        <f t="shared" si="633"/>
        <v>ACTISALUD-PISO 9-GUSTAVO GOMEZ</v>
      </c>
      <c r="F12363" s="5" t="str">
        <f>"Descripcion: MESA DE NOCHE 2 GAVETAS Estado: Bueno Placa anterior: 000027406 Material: ACERO INOX. Color: PLATEADO Referencia:  Observacion:  Placa padre: Tipo adquisicion: Entidad"</f>
        <v>Descripcion: MESA DE NOCHE 2 GAVETAS Estado: Bueno Placa anterior: 000027406 Material: ACERO INOX. Color: PLATEADO Referencia:  Observacion:  Placa padre: Tipo adquisicion: Entidad</v>
      </c>
      <c r="G12363" s="5"/>
    </row>
    <row r="12364" spans="1:7" ht="58.5" customHeight="1" x14ac:dyDescent="0.25">
      <c r="A12364" s="5" t="str">
        <f>"H0002991"</f>
        <v>H0002991</v>
      </c>
      <c r="B12364" s="5" t="str">
        <f>"SILLA PLASTICA CON BRAZOS"</f>
        <v>SILLA PLASTICA CON BRAZOS</v>
      </c>
      <c r="C12364" s="6">
        <v>12240.32</v>
      </c>
      <c r="D12364" s="5"/>
      <c r="E12364" s="5" t="str">
        <f t="shared" si="633"/>
        <v>ACTISALUD-PISO 9-GUSTAVO GOMEZ</v>
      </c>
      <c r="F12364" s="5" t="str">
        <f>"Descripcion: SILLA PLASTICA CON BRAZOS Estado: Bueno Placa anterior: 000004886 Material: PASTA Color: BLANCO Referencia:  Observacion:  Placa padre: Tipo adquisicion: Entidad"</f>
        <v>Descripcion: SILLA PLASTICA CON BRAZOS Estado: Bueno Placa anterior: 000004886 Material: PASTA Color: BLANCO Referencia:  Observacion:  Placa padre: Tipo adquisicion: Entidad</v>
      </c>
      <c r="G12364" s="5"/>
    </row>
    <row r="12365" spans="1:7" ht="58.5" customHeight="1" x14ac:dyDescent="0.25">
      <c r="A12365" s="5" t="str">
        <f>"H0002996"</f>
        <v>H0002996</v>
      </c>
      <c r="B12365" s="5" t="str">
        <f>"MESA DE NOCHE"</f>
        <v>MESA DE NOCHE</v>
      </c>
      <c r="C12365" s="6">
        <v>9289.25</v>
      </c>
      <c r="D12365" s="5"/>
      <c r="E12365" s="5" t="str">
        <f t="shared" si="633"/>
        <v>ACTISALUD-PISO 9-GUSTAVO GOMEZ</v>
      </c>
      <c r="F12365" s="5" t="str">
        <f>"Descripcion: MESA DE NOCHE2 GAVETAS Estado: Bueno Placa anterior: 000025794 Material: ACERO INOX. Color: PLATEADO Referencia:  Observacion: PARTES OXID. Placa padre: Tipo adquisicion: Entidad"</f>
        <v>Descripcion: MESA DE NOCHE2 GAVETAS Estado: Bueno Placa anterior: 000025794 Material: ACERO INOX. Color: PLATEADO Referencia:  Observacion: PARTES OXID. Placa padre: Tipo adquisicion: Entidad</v>
      </c>
      <c r="G12365" s="5"/>
    </row>
    <row r="12366" spans="1:7" ht="58.5" customHeight="1" x14ac:dyDescent="0.25">
      <c r="A12366" s="5" t="str">
        <f>"H0002999"</f>
        <v>H0002999</v>
      </c>
      <c r="B12366" s="5" t="str">
        <f>"MESA DE NOCHE"</f>
        <v>MESA DE NOCHE</v>
      </c>
      <c r="C12366" s="6">
        <v>15588.09</v>
      </c>
      <c r="D12366" s="5"/>
      <c r="E12366" s="5" t="str">
        <f t="shared" si="633"/>
        <v>ACTISALUD-PISO 9-GUSTAVO GOMEZ</v>
      </c>
      <c r="F12366" s="5" t="str">
        <f>"Descripcion: MESA DE NOCHE2 GAVETAS Estado: Bueno Placa anterior: 000026773 Material: ACERO INOX. Color: PLATEADO Referencia:  Observacion: PARTES OXID. Placa padre: Tipo adquisicion: Entidad"</f>
        <v>Descripcion: MESA DE NOCHE2 GAVETAS Estado: Bueno Placa anterior: 000026773 Material: ACERO INOX. Color: PLATEADO Referencia:  Observacion: PARTES OXID. Placa padre: Tipo adquisicion: Entidad</v>
      </c>
      <c r="G12366" s="5"/>
    </row>
    <row r="12367" spans="1:7" ht="58.5" customHeight="1" x14ac:dyDescent="0.25">
      <c r="A12367" s="5" t="str">
        <f>"H0004240"</f>
        <v>H0004240</v>
      </c>
      <c r="B12367" s="5" t="str">
        <f>"COMPUTADOR TODO EN UNO"</f>
        <v>COMPUTADOR TODO EN UNO</v>
      </c>
      <c r="C12367" s="6">
        <v>2470000</v>
      </c>
      <c r="D12367" s="5" t="s">
        <v>6</v>
      </c>
      <c r="E12367" s="5" t="str">
        <f t="shared" si="633"/>
        <v>ACTISALUD-PISO 9-GUSTAVO GOMEZ</v>
      </c>
      <c r="F12367" s="5" t="str">
        <f>"Descripcion: EQUIPO DE COMPUTO TODO EN UNO CON PROCESADOR INTEL i5 CON MONITOR DE 20 PULGADAS Estado: Bueno Placa anterior: 000037027 Material: METAL Color: NEGRO Referencia: THINKCENTRE Observacion:  Placa anterior:, Placa nueva=H0004242, Descripcion:OPT"&amp; "ICO 3 BOTONES, Serial:44MG135, Marca:LENOVO, Modelo:, Material:PASTA, Color:NEGRO,   Referencia:, Placa anterior:, Placa nueva=H0004241, Descripcion:., Serial:1S54Y94248258902E, Marca:LENOVO, Modelo:KU-0225, Material:PASTA, Color:NEGRO,   Referencia: Plac"&amp; "a padre: Tipo adquisicion: Entidad"</f>
        <v>Descripcion: EQUIPO DE COMPUTO TODO EN UNO CON PROCESADOR INTEL i5 CON MONITOR DE 20 PULGADAS Estado: Bueno Placa anterior: 000037027 Material: METAL Color: NEGRO Referencia: THINKCENTRE Observacion:  Placa anterior:, Placa nueva=H0004242, Descripcion:OPTICO 3 BOTONES, Serial:44MG135, Marca:LENOVO, Modelo:, Material:PASTA, Color:NEGRO,   Referencia:, Placa anterior:, Placa nueva=H0004241, Descripcion:., Serial:1S54Y94248258902E, Marca:LENOVO, Modelo:KU-0225, Material:PASTA, Color:NEGRO,   Referencia: Placa padre: Tipo adquisicion: Entidad</v>
      </c>
      <c r="G12367" s="5" t="str">
        <f>"00FDLS"</f>
        <v>00FDLS</v>
      </c>
    </row>
    <row r="12368" spans="1:7" ht="58.5" customHeight="1" x14ac:dyDescent="0.25">
      <c r="A12368" s="5" t="str">
        <f>"H0004284"</f>
        <v>H0004284</v>
      </c>
      <c r="B12368" s="5" t="str">
        <f t="shared" ref="B12368:B12373" si="634">"CAMA HOSPITALARIA 4 PLANOS CON BARANDA"</f>
        <v>CAMA HOSPITALARIA 4 PLANOS CON BARANDA</v>
      </c>
      <c r="C12368" s="6">
        <v>2509480</v>
      </c>
      <c r="D12368" s="5"/>
      <c r="E12368" s="5" t="str">
        <f t="shared" si="633"/>
        <v>ACTISALUD-PISO 9-GUSTAVO GOMEZ</v>
      </c>
      <c r="F12368" s="5" t="str">
        <f>"Descripcion: CAMA HOSPITALARIA HOSPITECH MOD. 134-45 Estado: Bueno Placa anterior: 000033372 Material: METAL Color: BEIS Referencia:  Observacion:  Placa padre: Tipo adquisicion: Entidad"</f>
        <v>Descripcion: CAMA HOSPITALARIA HOSPITECH MOD. 134-45 Estado: Bueno Placa anterior: 000033372 Material: METAL Color: BEIS Referencia:  Observacion:  Placa padre: Tipo adquisicion: Entidad</v>
      </c>
      <c r="G12368" s="5"/>
    </row>
    <row r="12369" spans="1:7" ht="58.5" customHeight="1" x14ac:dyDescent="0.25">
      <c r="A12369" s="5" t="str">
        <f>"H0004300"</f>
        <v>H0004300</v>
      </c>
      <c r="B12369" s="5" t="str">
        <f t="shared" si="634"/>
        <v>CAMA HOSPITALARIA 4 PLANOS CON BARANDA</v>
      </c>
      <c r="C12369" s="6">
        <v>2509480</v>
      </c>
      <c r="D12369" s="5"/>
      <c r="E12369" s="5" t="str">
        <f t="shared" si="633"/>
        <v>ACTISALUD-PISO 9-GUSTAVO GOMEZ</v>
      </c>
      <c r="F12369" s="5" t="str">
        <f>"Descripcion: CAMA HOSPITALARIA HOSPITECH MOD. 134-45 Estado: Bueno Placa anterior: 000033374 Material: METAL Color: BLANCO Referencia:  Observacion:  Placa padre: Tipo adquisicion: Entidad"</f>
        <v>Descripcion: CAMA HOSPITALARIA HOSPITECH MOD. 134-45 Estado: Bueno Placa anterior: 000033374 Material: METAL Color: BLANCO Referencia:  Observacion:  Placa padre: Tipo adquisicion: Entidad</v>
      </c>
      <c r="G12369" s="5"/>
    </row>
    <row r="12370" spans="1:7" ht="58.5" customHeight="1" x14ac:dyDescent="0.25">
      <c r="A12370" s="5" t="str">
        <f>"H0004325"</f>
        <v>H0004325</v>
      </c>
      <c r="B12370" s="5" t="str">
        <f t="shared" si="634"/>
        <v>CAMA HOSPITALARIA 4 PLANOS CON BARANDA</v>
      </c>
      <c r="C12370" s="6">
        <v>2509480</v>
      </c>
      <c r="D12370" s="5"/>
      <c r="E12370" s="5" t="str">
        <f t="shared" si="633"/>
        <v>ACTISALUD-PISO 9-GUSTAVO GOMEZ</v>
      </c>
      <c r="F12370" s="5" t="str">
        <f>"Descripcion: . Estado: Bueno Placa anterior: 000033389 Material: METAL Color: BEIS Referencia:  Observacion:  Placa padre: Tipo adquisicion: Entidad"</f>
        <v>Descripcion: . Estado: Bueno Placa anterior: 000033389 Material: METAL Color: BEIS Referencia:  Observacion:  Placa padre: Tipo adquisicion: Entidad</v>
      </c>
      <c r="G12370" s="5"/>
    </row>
    <row r="12371" spans="1:7" ht="58.5" customHeight="1" x14ac:dyDescent="0.25">
      <c r="A12371" s="5" t="str">
        <f>"H0004568"</f>
        <v>H0004568</v>
      </c>
      <c r="B12371" s="5" t="str">
        <f t="shared" si="634"/>
        <v>CAMA HOSPITALARIA 4 PLANOS CON BARANDA</v>
      </c>
      <c r="C12371" s="6">
        <v>2100000</v>
      </c>
      <c r="D12371" s="5" t="s">
        <v>63</v>
      </c>
      <c r="E12371" s="5" t="str">
        <f t="shared" si="633"/>
        <v>ACTISALUD-PISO 9-GUSTAVO GOMEZ</v>
      </c>
      <c r="F12371" s="5" t="str">
        <f>"Descripcion: CABECERA EN PASTA Estado: Bueno Placa anterior: 000037728 Material: METAL Y PASTA Color: BEIS Referencia:  Observacion:  Placa padre: Tipo adquisicion: Entidad"</f>
        <v>Descripcion: CABECERA EN PASTA Estado: Bueno Placa anterior: 000037728 Material: METAL Y PASTA Color: BEIS Referencia:  Observacion:  Placa padre: Tipo adquisicion: Entidad</v>
      </c>
      <c r="G12371" s="5"/>
    </row>
    <row r="12372" spans="1:7" ht="58.5" customHeight="1" x14ac:dyDescent="0.25">
      <c r="A12372" s="5" t="str">
        <f>"H0004569"</f>
        <v>H0004569</v>
      </c>
      <c r="B12372" s="5" t="str">
        <f t="shared" si="634"/>
        <v>CAMA HOSPITALARIA 4 PLANOS CON BARANDA</v>
      </c>
      <c r="C12372" s="6">
        <v>2100000</v>
      </c>
      <c r="D12372" s="5" t="s">
        <v>63</v>
      </c>
      <c r="E12372" s="5" t="str">
        <f t="shared" si="633"/>
        <v>ACTISALUD-PISO 9-GUSTAVO GOMEZ</v>
      </c>
      <c r="F12372" s="5" t="str">
        <f>"Descripcion: CABECERA EN PASTA Estado: Bueno Placa anterior: 000037730 Material: METAL Y PASTA Color: BEIS Referencia:  Observacion:  Placa padre: Tipo adquisicion: Entidad"</f>
        <v>Descripcion: CABECERA EN PASTA Estado: Bueno Placa anterior: 000037730 Material: METAL Y PASTA Color: BEIS Referencia:  Observacion:  Placa padre: Tipo adquisicion: Entidad</v>
      </c>
      <c r="G12372" s="5"/>
    </row>
    <row r="12373" spans="1:7" ht="58.5" customHeight="1" x14ac:dyDescent="0.25">
      <c r="A12373" s="5" t="str">
        <f>"H0004585"</f>
        <v>H0004585</v>
      </c>
      <c r="B12373" s="5" t="str">
        <f t="shared" si="634"/>
        <v>CAMA HOSPITALARIA 4 PLANOS CON BARANDA</v>
      </c>
      <c r="C12373" s="6">
        <v>2100000</v>
      </c>
      <c r="D12373" s="5" t="s">
        <v>63</v>
      </c>
      <c r="E12373" s="5" t="str">
        <f t="shared" si="633"/>
        <v>ACTISALUD-PISO 9-GUSTAVO GOMEZ</v>
      </c>
      <c r="F12373" s="5" t="str">
        <f>"Descripcion: CON CABEZERA Y PIES  EN PASTA Estado: Bueno Placa anterior: 000037729 Material: PASTA Y METAL Color: BEIS Y MARRON Referencia:  Observacion:  Placa padre: Tipo adquisicion: Entidad"</f>
        <v>Descripcion: CON CABEZERA Y PIES  EN PASTA Estado: Bueno Placa anterior: 000037729 Material: PASTA Y METAL Color: BEIS Y MARRON Referencia:  Observacion:  Placa padre: Tipo adquisicion: Entidad</v>
      </c>
      <c r="G12373" s="5"/>
    </row>
    <row r="12374" spans="1:7" ht="58.5" customHeight="1" x14ac:dyDescent="0.25">
      <c r="A12374" s="5" t="str">
        <f>"H0004982"</f>
        <v>H0004982</v>
      </c>
      <c r="B12374" s="5" t="str">
        <f>"SILLA PLASTICA CON BRAZOS"</f>
        <v>SILLA PLASTICA CON BRAZOS</v>
      </c>
      <c r="C12374" s="6">
        <v>10440</v>
      </c>
      <c r="D12374" s="5"/>
      <c r="E12374" s="5" t="str">
        <f t="shared" si="633"/>
        <v>ACTISALUD-PISO 9-GUSTAVO GOMEZ</v>
      </c>
      <c r="F12374" s="5" t="str">
        <f>"Descripcion: . Estado: Bueno Placa anterior: 000003832 Material: PLASTICO Color: BLANCO Referencia:  Observacion:  Placa padre: Tipo adquisicion: Entidad"</f>
        <v>Descripcion: . Estado: Bueno Placa anterior: 000003832 Material: PLASTICO Color: BLANCO Referencia:  Observacion:  Placa padre: Tipo adquisicion: Entidad</v>
      </c>
      <c r="G12374" s="5"/>
    </row>
    <row r="12375" spans="1:7" ht="58.5" customHeight="1" x14ac:dyDescent="0.25">
      <c r="A12375" s="5" t="str">
        <f>"H0006503"</f>
        <v>H0006503</v>
      </c>
      <c r="B12375" s="5" t="str">
        <f>"MESA PUENTE (ALIMENTACION) (INSTRUMENTAL)"</f>
        <v>MESA PUENTE (ALIMENTACION) (INSTRUMENTAL)</v>
      </c>
      <c r="C12375" s="6">
        <v>15000</v>
      </c>
      <c r="D12375" s="5"/>
      <c r="E12375" s="5" t="str">
        <f t="shared" si="633"/>
        <v>ACTISALUD-PISO 9-GUSTAVO GOMEZ</v>
      </c>
      <c r="F12375" s="5" t="str">
        <f>"Descripcion: MESA PUENTE PARA ALIMENTACION Estado: Bueno Placa anterior: 000026754 Material: METAL Y BAND. EN ACERO  Color: BEIGE Referencia:  Observacion: PARTES OXID. Placa padre: Tipo adquisicion: Entidad"</f>
        <v>Descripcion: MESA PUENTE PARA ALIMENTACION Estado: Bueno Placa anterior: 000026754 Material: METAL Y BAND. EN ACERO  Color: BEIGE Referencia:  Observacion: PARTES OXID. Placa padre: Tipo adquisicion: Entidad</v>
      </c>
      <c r="G12375" s="5"/>
    </row>
    <row r="12376" spans="1:7" ht="58.5" customHeight="1" x14ac:dyDescent="0.25">
      <c r="A12376" s="5" t="str">
        <f>"H0006504"</f>
        <v>H0006504</v>
      </c>
      <c r="B12376" s="5" t="str">
        <f>"MESA DE NOCHE"</f>
        <v>MESA DE NOCHE</v>
      </c>
      <c r="C12376" s="6">
        <v>15588.09</v>
      </c>
      <c r="D12376" s="5"/>
      <c r="E12376" s="5" t="str">
        <f t="shared" si="633"/>
        <v>ACTISALUD-PISO 9-GUSTAVO GOMEZ</v>
      </c>
      <c r="F12376" s="5" t="str">
        <f>"Descripcion: MESA DE NOCHE2 GAVETAS Estado: Regular Placa anterior: 000026776 Material: ACERO INOX. Color: PLATEADO Referencia:  Observacion: PARTES OXID., PUERTA DAÑADA Placa padre: Tipo adquisicion: Entidad"</f>
        <v>Descripcion: MESA DE NOCHE2 GAVETAS Estado: Regular Placa anterior: 000026776 Material: ACERO INOX. Color: PLATEADO Referencia:  Observacion: PARTES OXID., PUERTA DAÑADA Placa padre: Tipo adquisicion: Entidad</v>
      </c>
      <c r="G12376" s="5"/>
    </row>
    <row r="12377" spans="1:7" ht="58.5" customHeight="1" x14ac:dyDescent="0.25">
      <c r="A12377" s="5" t="str">
        <f>"H0006510"</f>
        <v>H0006510</v>
      </c>
      <c r="B12377" s="5" t="str">
        <f>"MESA DE NOCHE"</f>
        <v>MESA DE NOCHE</v>
      </c>
      <c r="C12377" s="6">
        <v>8389.33</v>
      </c>
      <c r="D12377" s="5"/>
      <c r="E12377" s="5" t="str">
        <f t="shared" si="633"/>
        <v>ACTISALUD-PISO 9-GUSTAVO GOMEZ</v>
      </c>
      <c r="F12377" s="5" t="str">
        <f>"Descripcion: MESA DE NOCHE2 GAVETAS Estado: Regular Placa anterior: 000027368 Material: ACERO INOX. Color: PLATEADO Referencia:  Observacion: PARTES OXID., PUERTA DAÑADA Placa padre: Tipo adquisicion: Entidad"</f>
        <v>Descripcion: MESA DE NOCHE2 GAVETAS Estado: Regular Placa anterior: 000027368 Material: ACERO INOX. Color: PLATEADO Referencia:  Observacion: PARTES OXID., PUERTA DAÑADA Placa padre: Tipo adquisicion: Entidad</v>
      </c>
      <c r="G12377" s="5"/>
    </row>
    <row r="12378" spans="1:7" ht="58.5" customHeight="1" x14ac:dyDescent="0.25">
      <c r="A12378" s="5" t="str">
        <f>"H0006511"</f>
        <v>H0006511</v>
      </c>
      <c r="B12378" s="5" t="str">
        <f>"SILLA PLASTICA CON BRAZOS"</f>
        <v>SILLA PLASTICA CON BRAZOS</v>
      </c>
      <c r="C12378" s="6">
        <v>12240.32</v>
      </c>
      <c r="D12378" s="5"/>
      <c r="E12378" s="5" t="str">
        <f t="shared" ref="E12378:E12441" si="635">"ACTISALUD-PISO 9-GUSTAVO GOMEZ"</f>
        <v>ACTISALUD-PISO 9-GUSTAVO GOMEZ</v>
      </c>
      <c r="F12378" s="5" t="str">
        <f>"Descripcion: SILLA PLASTICA CON BRAZOS Estado: Bueno Placa anterior: 000027365 Material: PASTA Color: BLANCO Referencia:  Observacion:  Placa padre: Tipo adquisicion: Entidad"</f>
        <v>Descripcion: SILLA PLASTICA CON BRAZOS Estado: Bueno Placa anterior: 000027365 Material: PASTA Color: BLANCO Referencia:  Observacion:  Placa padre: Tipo adquisicion: Entidad</v>
      </c>
      <c r="G12378" s="5"/>
    </row>
    <row r="12379" spans="1:7" ht="58.5" customHeight="1" x14ac:dyDescent="0.25">
      <c r="A12379" s="5" t="str">
        <f>"H0006516"</f>
        <v>H0006516</v>
      </c>
      <c r="B12379" s="5" t="str">
        <f>"PATO (COPROLOGICO) MUJER"</f>
        <v>PATO (COPROLOGICO) MUJER</v>
      </c>
      <c r="C12379" s="6">
        <v>43881.89</v>
      </c>
      <c r="D12379" s="5"/>
      <c r="E12379" s="5" t="str">
        <f t="shared" si="635"/>
        <v>ACTISALUD-PISO 9-GUSTAVO GOMEZ</v>
      </c>
      <c r="F12379" s="5" t="str">
        <f>"Descripcion: PATO (COPROLOGICO) MUJER Estado: Bueno Placa anterior: 000005088 Material: ACERO INOX. Color: PLATEADO Referencia:  Observacion:  Placa padre: Tipo adquisicion: Entidad"</f>
        <v>Descripcion: PATO (COPROLOGICO) MUJER Estado: Bueno Placa anterior: 000005088 Material: ACERO INOX. Color: PLATEADO Referencia:  Observacion:  Placa padre: Tipo adquisicion: Entidad</v>
      </c>
      <c r="G12379" s="5"/>
    </row>
    <row r="12380" spans="1:7" ht="58.5" customHeight="1" x14ac:dyDescent="0.25">
      <c r="A12380" s="5" t="str">
        <f>"H0006517"</f>
        <v>H0006517</v>
      </c>
      <c r="B12380" s="5" t="str">
        <f>"SILLA PLASTICA CON BRAZOS"</f>
        <v>SILLA PLASTICA CON BRAZOS</v>
      </c>
      <c r="C12380" s="6">
        <v>12240.32</v>
      </c>
      <c r="D12380" s="5"/>
      <c r="E12380" s="5" t="str">
        <f t="shared" si="635"/>
        <v>ACTISALUD-PISO 9-GUSTAVO GOMEZ</v>
      </c>
      <c r="F12380" s="5" t="str">
        <f>"Descripcion: SILLA PLASTICA BLANCA CON BRAZOS Estado: Bueno Placa anterior: 000021212 Material: PASTA Color: BLANCO Referencia:  Observacion:  Placa padre: Tipo adquisicion: Entidad"</f>
        <v>Descripcion: SILLA PLASTICA BLANCA CON BRAZOS Estado: Bueno Placa anterior: 000021212 Material: PASTA Color: BLANCO Referencia:  Observacion:  Placa padre: Tipo adquisicion: Entidad</v>
      </c>
      <c r="G12380" s="5"/>
    </row>
    <row r="12381" spans="1:7" ht="58.5" customHeight="1" x14ac:dyDescent="0.25">
      <c r="A12381" s="5" t="str">
        <f>"H0006521"</f>
        <v>H0006521</v>
      </c>
      <c r="B12381" s="5" t="str">
        <f>"MESA DE NOCHE"</f>
        <v>MESA DE NOCHE</v>
      </c>
      <c r="C12381" s="6">
        <v>327586</v>
      </c>
      <c r="D12381" s="5"/>
      <c r="E12381" s="5" t="str">
        <f t="shared" si="635"/>
        <v>ACTISALUD-PISO 9-GUSTAVO GOMEZ</v>
      </c>
      <c r="F12381" s="5" t="str">
        <f>"Descripcion: MESA DE NOCHE 2 GAVETAS Estado: Bueno Placa anterior: 000028886 Material: ACERO INOX. Color: PLATEADO Referencia:  Observacion: PARTES OXID. Placa padre: Tipo adquisicion: Entidad"</f>
        <v>Descripcion: MESA DE NOCHE 2 GAVETAS Estado: Bueno Placa anterior: 000028886 Material: ACERO INOX. Color: PLATEADO Referencia:  Observacion: PARTES OXID. Placa padre: Tipo adquisicion: Entidad</v>
      </c>
      <c r="G12381" s="5"/>
    </row>
    <row r="12382" spans="1:7" ht="58.5" customHeight="1" x14ac:dyDescent="0.25">
      <c r="A12382" s="5" t="str">
        <f>"H0006523"</f>
        <v>H0006523</v>
      </c>
      <c r="B12382" s="5" t="str">
        <f>"MESA PUENTE (ALIMENTACION) (INSTRUMENTAL)"</f>
        <v>MESA PUENTE (ALIMENTACION) (INSTRUMENTAL)</v>
      </c>
      <c r="C12382" s="6">
        <v>15000</v>
      </c>
      <c r="D12382" s="5"/>
      <c r="E12382" s="5" t="str">
        <f t="shared" si="635"/>
        <v>ACTISALUD-PISO 9-GUSTAVO GOMEZ</v>
      </c>
      <c r="F12382" s="5" t="str">
        <f>"Descripcion: MESA PUENTE PARA ALIM. Estado: Bueno Placa anterior: 000026761 Material: METAL Y BAND. EN ACERO Color: BEIGE Referencia:  Observacion: PARTES OXID. Placa padre: Tipo adquisicion: Entidad"</f>
        <v>Descripcion: MESA PUENTE PARA ALIM. Estado: Bueno Placa anterior: 000026761 Material: METAL Y BAND. EN ACERO Color: BEIGE Referencia:  Observacion: PARTES OXID. Placa padre: Tipo adquisicion: Entidad</v>
      </c>
      <c r="G12382" s="5"/>
    </row>
    <row r="12383" spans="1:7" ht="58.5" customHeight="1" x14ac:dyDescent="0.25">
      <c r="A12383" s="5" t="str">
        <f>"H0006524"</f>
        <v>H0006524</v>
      </c>
      <c r="B12383" s="5" t="str">
        <f>"MESA DE NOCHE"</f>
        <v>MESA DE NOCHE</v>
      </c>
      <c r="C12383" s="6">
        <v>13530</v>
      </c>
      <c r="D12383" s="5"/>
      <c r="E12383" s="5" t="str">
        <f t="shared" si="635"/>
        <v>ACTISALUD-PISO 9-GUSTAVO GOMEZ</v>
      </c>
      <c r="F12383" s="5" t="str">
        <f>"Descripcion: MESA DE NOCHE 2 GAVETAS Estado: Bueno Placa anterior: 000025802 Material: ACERO INOX. Color: PLATEADO Referencia:  Observacion: PARTES OXID. Placa padre: Tipo adquisicion: Entidad"</f>
        <v>Descripcion: MESA DE NOCHE 2 GAVETAS Estado: Bueno Placa anterior: 000025802 Material: ACERO INOX. Color: PLATEADO Referencia:  Observacion: PARTES OXID. Placa padre: Tipo adquisicion: Entidad</v>
      </c>
      <c r="G12383" s="5"/>
    </row>
    <row r="12384" spans="1:7" ht="58.5" customHeight="1" x14ac:dyDescent="0.25">
      <c r="A12384" s="5" t="str">
        <f>"H0006528"</f>
        <v>H0006528</v>
      </c>
      <c r="B12384" s="5" t="str">
        <f>"MESA PUENTE (ALIMENTACION) (INSTRUMENTAL)"</f>
        <v>MESA PUENTE (ALIMENTACION) (INSTRUMENTAL)</v>
      </c>
      <c r="C12384" s="6">
        <v>15000</v>
      </c>
      <c r="D12384" s="5"/>
      <c r="E12384" s="5" t="str">
        <f t="shared" si="635"/>
        <v>ACTISALUD-PISO 9-GUSTAVO GOMEZ</v>
      </c>
      <c r="F12384" s="5" t="str">
        <f>"Descripcion: MESA PUENTE PARA ALIM. Estado: Bueno Placa anterior: 000026764 Material: METAL Y BAND. EN ACERO Color: BEIGE Referencia:  Observacion: PARTES OXID. Placa padre: Tipo adquisicion: Entidad"</f>
        <v>Descripcion: MESA PUENTE PARA ALIM. Estado: Bueno Placa anterior: 000026764 Material: METAL Y BAND. EN ACERO Color: BEIGE Referencia:  Observacion: PARTES OXID. Placa padre: Tipo adquisicion: Entidad</v>
      </c>
      <c r="G12384" s="5"/>
    </row>
    <row r="12385" spans="1:7" ht="58.5" customHeight="1" x14ac:dyDescent="0.25">
      <c r="A12385" s="5" t="str">
        <f>"H0006530"</f>
        <v>H0006530</v>
      </c>
      <c r="B12385" s="5" t="str">
        <f>"SILLA PLASTICA CON BRAZOS"</f>
        <v>SILLA PLASTICA CON BRAZOS</v>
      </c>
      <c r="C12385" s="6">
        <v>12240.32</v>
      </c>
      <c r="D12385" s="5"/>
      <c r="E12385" s="5" t="str">
        <f t="shared" si="635"/>
        <v>ACTISALUD-PISO 9-GUSTAVO GOMEZ</v>
      </c>
      <c r="F12385" s="5" t="str">
        <f>"Descripcion: SILLA PLASTICA BLANCA CON BRAZOS Estado: Bueno Placa anterior: 000026785 Material: PASTA Color: BLANCO Referencia:  Observacion:  Placa padre: Tipo adquisicion: Entidad"</f>
        <v>Descripcion: SILLA PLASTICA BLANCA CON BRAZOS Estado: Bueno Placa anterior: 000026785 Material: PASTA Color: BLANCO Referencia:  Observacion:  Placa padre: Tipo adquisicion: Entidad</v>
      </c>
      <c r="G12385" s="5"/>
    </row>
    <row r="12386" spans="1:7" ht="58.5" customHeight="1" x14ac:dyDescent="0.25">
      <c r="A12386" s="5" t="str">
        <f>"H0006532"</f>
        <v>H0006532</v>
      </c>
      <c r="B12386" s="5" t="str">
        <f>"MESA DE NOCHE"</f>
        <v>MESA DE NOCHE</v>
      </c>
      <c r="C12386" s="6">
        <v>15588.09</v>
      </c>
      <c r="D12386" s="5"/>
      <c r="E12386" s="5" t="str">
        <f t="shared" si="635"/>
        <v>ACTISALUD-PISO 9-GUSTAVO GOMEZ</v>
      </c>
      <c r="F12386" s="5" t="str">
        <f>"Descripcion: MESA DE NOCHE 2 GAVETAS Estado: Bueno Placa anterior: 000026783 Material: ACERO INOX. Color: PLATEADO Referencia:  Observacion: PARTES OXID. Placa padre: Tipo adquisicion: Entidad"</f>
        <v>Descripcion: MESA DE NOCHE 2 GAVETAS Estado: Bueno Placa anterior: 000026783 Material: ACERO INOX. Color: PLATEADO Referencia:  Observacion: PARTES OXID. Placa padre: Tipo adquisicion: Entidad</v>
      </c>
      <c r="G12386" s="5"/>
    </row>
    <row r="12387" spans="1:7" ht="58.5" customHeight="1" x14ac:dyDescent="0.25">
      <c r="A12387" s="5" t="str">
        <f>"H0006536"</f>
        <v>H0006536</v>
      </c>
      <c r="B12387" s="5" t="str">
        <f>"MESA DE NOCHE"</f>
        <v>MESA DE NOCHE</v>
      </c>
      <c r="C12387" s="6">
        <v>327586</v>
      </c>
      <c r="D12387" s="5"/>
      <c r="E12387" s="5" t="str">
        <f t="shared" si="635"/>
        <v>ACTISALUD-PISO 9-GUSTAVO GOMEZ</v>
      </c>
      <c r="F12387" s="5" t="str">
        <f>"Descripcion: MESA DE NOCHE 2 GAVETAS Estado: Bueno Placa anterior: 000028900 Material: ACERO INOX. Color: PLATEADO Referencia:  Observacion: PARTES OXID. Placa padre: Tipo adquisicion: Entidad"</f>
        <v>Descripcion: MESA DE NOCHE 2 GAVETAS Estado: Bueno Placa anterior: 000028900 Material: ACERO INOX. Color: PLATEADO Referencia:  Observacion: PARTES OXID. Placa padre: Tipo adquisicion: Entidad</v>
      </c>
      <c r="G12387" s="5"/>
    </row>
    <row r="12388" spans="1:7" ht="58.5" customHeight="1" x14ac:dyDescent="0.25">
      <c r="A12388" s="5" t="str">
        <f>"H0006544"</f>
        <v>H0006544</v>
      </c>
      <c r="B12388" s="5" t="str">
        <f>"MESA PUENTE (ALIMENTACION) (INSTRUMENTAL)"</f>
        <v>MESA PUENTE (ALIMENTACION) (INSTRUMENTAL)</v>
      </c>
      <c r="C12388" s="6">
        <v>15000</v>
      </c>
      <c r="D12388" s="5"/>
      <c r="E12388" s="5" t="str">
        <f t="shared" si="635"/>
        <v>ACTISALUD-PISO 9-GUSTAVO GOMEZ</v>
      </c>
      <c r="F12388" s="5" t="str">
        <f>"Descripcion: MESA PUENTE PARA ALIM. Estado: Bueno Placa anterior: 000026777 Material: METAL Y BAND. DE ACERO Color: BEIGE Referencia:  Observacion: PARTES OXID. Placa padre: Tipo adquisicion: Entidad"</f>
        <v>Descripcion: MESA PUENTE PARA ALIM. Estado: Bueno Placa anterior: 000026777 Material: METAL Y BAND. DE ACERO Color: BEIGE Referencia:  Observacion: PARTES OXID. Placa padre: Tipo adquisicion: Entidad</v>
      </c>
      <c r="G12388" s="5"/>
    </row>
    <row r="12389" spans="1:7" ht="58.5" customHeight="1" x14ac:dyDescent="0.25">
      <c r="A12389" s="5" t="str">
        <f>"H0006545"</f>
        <v>H0006545</v>
      </c>
      <c r="B12389" s="5" t="str">
        <f>"MESA DE NOCHE"</f>
        <v>MESA DE NOCHE</v>
      </c>
      <c r="C12389" s="6">
        <v>15588.09</v>
      </c>
      <c r="D12389" s="5"/>
      <c r="E12389" s="5" t="str">
        <f t="shared" si="635"/>
        <v>ACTISALUD-PISO 9-GUSTAVO GOMEZ</v>
      </c>
      <c r="F12389" s="5" t="str">
        <f>"Descripcion: MESA DE NOCHE 2 GAVETAS Estado: Bueno Placa anterior: 000026786 Material: ACERO INOX. Color: PLATEADO Referencia:  Observacion: PARTES OXIDADAS Placa padre: Tipo adquisicion: Entidad"</f>
        <v>Descripcion: MESA DE NOCHE 2 GAVETAS Estado: Bueno Placa anterior: 000026786 Material: ACERO INOX. Color: PLATEADO Referencia:  Observacion: PARTES OXIDADAS Placa padre: Tipo adquisicion: Entidad</v>
      </c>
      <c r="G12389" s="5"/>
    </row>
    <row r="12390" spans="1:7" ht="58.5" customHeight="1" x14ac:dyDescent="0.25">
      <c r="A12390" s="5" t="str">
        <f>"H0006546"</f>
        <v>H0006546</v>
      </c>
      <c r="B12390" s="5" t="str">
        <f>"PATO (COPROLOGICO) MUJER"</f>
        <v>PATO (COPROLOGICO) MUJER</v>
      </c>
      <c r="C12390" s="6">
        <v>17913.86</v>
      </c>
      <c r="D12390" s="5"/>
      <c r="E12390" s="5" t="str">
        <f t="shared" si="635"/>
        <v>ACTISALUD-PISO 9-GUSTAVO GOMEZ</v>
      </c>
      <c r="F12390" s="5" t="str">
        <f>"Descripcion: PATO (COPROLOGICO) MUJER Estado: Bueno Placa anterior: 000003905 Material: ACERO INOX. Color: PLATEADO Referencia:  Observacion:  Placa padre: Tipo adquisicion: Entidad"</f>
        <v>Descripcion: PATO (COPROLOGICO) MUJER Estado: Bueno Placa anterior: 000003905 Material: ACERO INOX. Color: PLATEADO Referencia:  Observacion:  Placa padre: Tipo adquisicion: Entidad</v>
      </c>
      <c r="G12390" s="5"/>
    </row>
    <row r="12391" spans="1:7" ht="58.5" customHeight="1" x14ac:dyDescent="0.25">
      <c r="A12391" s="5" t="str">
        <f>"H0006547"</f>
        <v>H0006547</v>
      </c>
      <c r="B12391" s="5" t="str">
        <f>"SILLA PLASTICA CON BRAZOS"</f>
        <v>SILLA PLASTICA CON BRAZOS</v>
      </c>
      <c r="C12391" s="6">
        <v>12240.32</v>
      </c>
      <c r="D12391" s="5"/>
      <c r="E12391" s="5" t="str">
        <f t="shared" si="635"/>
        <v>ACTISALUD-PISO 9-GUSTAVO GOMEZ</v>
      </c>
      <c r="F12391" s="5" t="str">
        <f>"Descripcion: SILLA PLASTICA CON BRAZOS Estado: Bueno Placa anterior: 000021187 Material: PASTA Color: BLANCO Referencia:  Observacion:  Placa padre: Tipo adquisicion: Entidad"</f>
        <v>Descripcion: SILLA PLASTICA CON BRAZOS Estado: Bueno Placa anterior: 000021187 Material: PASTA Color: BLANCO Referencia:  Observacion:  Placa padre: Tipo adquisicion: Entidad</v>
      </c>
      <c r="G12391" s="5"/>
    </row>
    <row r="12392" spans="1:7" ht="58.5" customHeight="1" x14ac:dyDescent="0.25">
      <c r="A12392" s="5" t="str">
        <f>"H0006552"</f>
        <v>H0006552</v>
      </c>
      <c r="B12392" s="5" t="str">
        <f>"MESA DE NOCHE"</f>
        <v>MESA DE NOCHE</v>
      </c>
      <c r="C12392" s="6">
        <v>327586</v>
      </c>
      <c r="D12392" s="5"/>
      <c r="E12392" s="5" t="str">
        <f t="shared" si="635"/>
        <v>ACTISALUD-PISO 9-GUSTAVO GOMEZ</v>
      </c>
      <c r="F12392" s="5" t="str">
        <f>"Descripcion: MESA DE NOCHE 2 GAVETAS Estado: Inservible Placa anterior: 000028899 Material: ACERO INOX. Color: PLATEADO Referencia:  Observacion:  Placa padre: Tipo adquisicion: Entidad"</f>
        <v>Descripcion: MESA DE NOCHE 2 GAVETAS Estado: Inservible Placa anterior: 000028899 Material: ACERO INOX. Color: PLATEADO Referencia:  Observacion:  Placa padre: Tipo adquisicion: Entidad</v>
      </c>
      <c r="G12392" s="5"/>
    </row>
    <row r="12393" spans="1:7" ht="58.5" customHeight="1" x14ac:dyDescent="0.25">
      <c r="A12393" s="5" t="str">
        <f>"H0006555"</f>
        <v>H0006555</v>
      </c>
      <c r="B12393" s="5" t="str">
        <f>"MESA PUENTE (ALIMENTACION) (INSTRUMENTAL)"</f>
        <v>MESA PUENTE (ALIMENTACION) (INSTRUMENTAL)</v>
      </c>
      <c r="C12393" s="6">
        <v>15000</v>
      </c>
      <c r="D12393" s="5"/>
      <c r="E12393" s="5" t="str">
        <f t="shared" si="635"/>
        <v>ACTISALUD-PISO 9-GUSTAVO GOMEZ</v>
      </c>
      <c r="F12393" s="5" t="str">
        <f>"Descripcion: MESA PUENTE PARA ALIM. Estado: Bueno Placa anterior: 000026778 Material: METAL Y BAND. DE ACERO Color: BEIGE Referencia:  Observacion: PARTES OXID. Placa padre: Tipo adquisicion: Entidad"</f>
        <v>Descripcion: MESA PUENTE PARA ALIM. Estado: Bueno Placa anterior: 000026778 Material: METAL Y BAND. DE ACERO Color: BEIGE Referencia:  Observacion: PARTES OXID. Placa padre: Tipo adquisicion: Entidad</v>
      </c>
      <c r="G12393" s="5"/>
    </row>
    <row r="12394" spans="1:7" ht="58.5" customHeight="1" x14ac:dyDescent="0.25">
      <c r="A12394" s="5" t="str">
        <f>"H0006557"</f>
        <v>H0006557</v>
      </c>
      <c r="B12394" s="5" t="str">
        <f>"MESA DE NOCHE"</f>
        <v>MESA DE NOCHE</v>
      </c>
      <c r="C12394" s="6">
        <v>327586</v>
      </c>
      <c r="D12394" s="5"/>
      <c r="E12394" s="5" t="str">
        <f t="shared" si="635"/>
        <v>ACTISALUD-PISO 9-GUSTAVO GOMEZ</v>
      </c>
      <c r="F12394" s="5" t="str">
        <f>"Descripcion: MESA DE NOCHE EN ACERO 2 GAVETAS Estado: Bueno Placa anterior: 000033050 Material: ACERO INOX. Color: PLATEADO Referencia:  Observacion: PARTES OXID. Placa padre: Tipo adquisicion: Entidad"</f>
        <v>Descripcion: MESA DE NOCHE EN ACERO 2 GAVETAS Estado: Bueno Placa anterior: 000033050 Material: ACERO INOX. Color: PLATEADO Referencia:  Observacion: PARTES OXID. Placa padre: Tipo adquisicion: Entidad</v>
      </c>
      <c r="G12394" s="5"/>
    </row>
    <row r="12395" spans="1:7" ht="58.5" customHeight="1" x14ac:dyDescent="0.25">
      <c r="A12395" s="5" t="str">
        <f>"H0006558"</f>
        <v>H0006558</v>
      </c>
      <c r="B12395" s="5" t="str">
        <f>"SILLA PLASTICA CON BRAZOS"</f>
        <v>SILLA PLASTICA CON BRAZOS</v>
      </c>
      <c r="C12395" s="6">
        <v>12240.32</v>
      </c>
      <c r="D12395" s="5"/>
      <c r="E12395" s="5" t="str">
        <f t="shared" si="635"/>
        <v>ACTISALUD-PISO 9-GUSTAVO GOMEZ</v>
      </c>
      <c r="F12395" s="5" t="str">
        <f>"Descripcion: SILLA PLASTICA BLANCA CON BRAZOS Estado: Bueno Placa anterior: 000003350 Material: PASTA Color: BLANCO Referencia:  Observacion:  Placa padre: Tipo adquisicion: Entidad"</f>
        <v>Descripcion: SILLA PLASTICA BLANCA CON BRAZOS Estado: Bueno Placa anterior: 000003350 Material: PASTA Color: BLANCO Referencia:  Observacion:  Placa padre: Tipo adquisicion: Entidad</v>
      </c>
      <c r="G12395" s="5"/>
    </row>
    <row r="12396" spans="1:7" ht="58.5" customHeight="1" x14ac:dyDescent="0.25">
      <c r="A12396" s="5" t="str">
        <f>"H0006562"</f>
        <v>H0006562</v>
      </c>
      <c r="B12396" s="5" t="str">
        <f>"MESA DE NOCHE"</f>
        <v>MESA DE NOCHE</v>
      </c>
      <c r="C12396" s="6">
        <v>327586</v>
      </c>
      <c r="D12396" s="5"/>
      <c r="E12396" s="5" t="str">
        <f t="shared" si="635"/>
        <v>ACTISALUD-PISO 9-GUSTAVO GOMEZ</v>
      </c>
      <c r="F12396" s="5" t="str">
        <f>"Descripcion: MESA DE NOCHE 2 GAVETAS Estado: Bueno Placa anterior: 000028887 Material: ACERO INOX. Color: PLATEADO Referencia:  Observacion: PARTES OXID. Placa padre: Tipo adquisicion: Entidad"</f>
        <v>Descripcion: MESA DE NOCHE 2 GAVETAS Estado: Bueno Placa anterior: 000028887 Material: ACERO INOX. Color: PLATEADO Referencia:  Observacion: PARTES OXID. Placa padre: Tipo adquisicion: Entidad</v>
      </c>
      <c r="G12396" s="5"/>
    </row>
    <row r="12397" spans="1:7" ht="58.5" customHeight="1" x14ac:dyDescent="0.25">
      <c r="A12397" s="5" t="str">
        <f>"H0006563"</f>
        <v>H0006563</v>
      </c>
      <c r="B12397" s="5" t="str">
        <f>"SILLA PLASTICA CON BRAZOS"</f>
        <v>SILLA PLASTICA CON BRAZOS</v>
      </c>
      <c r="C12397" s="6">
        <v>12240.32</v>
      </c>
      <c r="D12397" s="5"/>
      <c r="E12397" s="5" t="str">
        <f t="shared" si="635"/>
        <v>ACTISALUD-PISO 9-GUSTAVO GOMEZ</v>
      </c>
      <c r="F12397" s="5" t="str">
        <f>"Descripcion: SILLA PLASTICA CON BRAZOS Estado: Bueno Placa anterior: 000021213 Material: PLASTICO Color: BLANCO Referencia:  Observacion:  Placa padre: Tipo adquisicion: Entidad"</f>
        <v>Descripcion: SILLA PLASTICA CON BRAZOS Estado: Bueno Placa anterior: 000021213 Material: PLASTICO Color: BLANCO Referencia:  Observacion:  Placa padre: Tipo adquisicion: Entidad</v>
      </c>
      <c r="G12397" s="5"/>
    </row>
    <row r="12398" spans="1:7" ht="58.5" customHeight="1" x14ac:dyDescent="0.25">
      <c r="A12398" s="5" t="str">
        <f>"H0006565"</f>
        <v>H0006565</v>
      </c>
      <c r="B12398" s="5" t="str">
        <f>"MESA PUENTE (ALIMENTACION) (INSTRUMENTAL)"</f>
        <v>MESA PUENTE (ALIMENTACION) (INSTRUMENTAL)</v>
      </c>
      <c r="C12398" s="6">
        <v>15000</v>
      </c>
      <c r="D12398" s="5"/>
      <c r="E12398" s="5" t="str">
        <f t="shared" si="635"/>
        <v>ACTISALUD-PISO 9-GUSTAVO GOMEZ</v>
      </c>
      <c r="F12398" s="5" t="str">
        <f>"Descripcion: MESA PUENTE Estado: Bueno Placa anterior: 000026782 Material: METAL Y BAND. EN ACERO Color: BEIGE Referencia:  Observacion:  Placa padre: Tipo adquisicion: Entidad"</f>
        <v>Descripcion: MESA PUENTE Estado: Bueno Placa anterior: 000026782 Material: METAL Y BAND. EN ACERO Color: BEIGE Referencia:  Observacion:  Placa padre: Tipo adquisicion: Entidad</v>
      </c>
      <c r="G12398" s="5"/>
    </row>
    <row r="12399" spans="1:7" ht="58.5" customHeight="1" x14ac:dyDescent="0.25">
      <c r="A12399" s="5" t="str">
        <f>"H0006569"</f>
        <v>H0006569</v>
      </c>
      <c r="B12399" s="5" t="str">
        <f>"MESA PUENTE (ALIMENTACION) (INSTRUMENTAL)"</f>
        <v>MESA PUENTE (ALIMENTACION) (INSTRUMENTAL)</v>
      </c>
      <c r="C12399" s="6">
        <v>15000</v>
      </c>
      <c r="D12399" s="5"/>
      <c r="E12399" s="5" t="str">
        <f t="shared" si="635"/>
        <v>ACTISALUD-PISO 9-GUSTAVO GOMEZ</v>
      </c>
      <c r="F12399" s="5" t="str">
        <f>"Descripcion: MESA PUENTE PARA ALIM. Estado: Bueno Placa anterior: 000026788 Material: METAL Y BANDEJA EN ACERO Color: BEIGE Referencia:  Observacion:  Placa padre: Tipo adquisicion: Entidad"</f>
        <v>Descripcion: MESA PUENTE PARA ALIM. Estado: Bueno Placa anterior: 000026788 Material: METAL Y BANDEJA EN ACERO Color: BEIGE Referencia:  Observacion:  Placa padre: Tipo adquisicion: Entidad</v>
      </c>
      <c r="G12399" s="5"/>
    </row>
    <row r="12400" spans="1:7" ht="58.5" customHeight="1" x14ac:dyDescent="0.25">
      <c r="A12400" s="5" t="str">
        <f>"H0006571"</f>
        <v>H0006571</v>
      </c>
      <c r="B12400" s="5" t="str">
        <f>"MESA DE NOCHE"</f>
        <v>MESA DE NOCHE</v>
      </c>
      <c r="C12400" s="6">
        <v>327586</v>
      </c>
      <c r="D12400" s="5"/>
      <c r="E12400" s="5" t="str">
        <f t="shared" si="635"/>
        <v>ACTISALUD-PISO 9-GUSTAVO GOMEZ</v>
      </c>
      <c r="F12400" s="5" t="str">
        <f>"Descripcion: MESA DE NOCHE Estado: Bueno Placa anterior: 000028892 Material: ACERO INOXIDABLE Color: PLATEADO Referencia:  Observacion: MESA DE NOCHE 2 GAVETAS   Placa padre: Tipo adquisicion: Entidad"</f>
        <v>Descripcion: MESA DE NOCHE Estado: Bueno Placa anterior: 000028892 Material: ACERO INOXIDABLE Color: PLATEADO Referencia:  Observacion: MESA DE NOCHE 2 GAVETAS   Placa padre: Tipo adquisicion: Entidad</v>
      </c>
      <c r="G12400" s="5"/>
    </row>
    <row r="12401" spans="1:7" ht="58.5" customHeight="1" x14ac:dyDescent="0.25">
      <c r="A12401" s="5" t="str">
        <f>"H0006572"</f>
        <v>H0006572</v>
      </c>
      <c r="B12401" s="5" t="str">
        <f>"SILLA PLASTICA CON BRAZOS"</f>
        <v>SILLA PLASTICA CON BRAZOS</v>
      </c>
      <c r="C12401" s="6">
        <v>14000</v>
      </c>
      <c r="D12401" s="5"/>
      <c r="E12401" s="5" t="str">
        <f t="shared" si="635"/>
        <v>ACTISALUD-PISO 9-GUSTAVO GOMEZ</v>
      </c>
      <c r="F12401" s="5" t="str">
        <f>"Descripcion: SILLA PLASTICA BLANCA Estado: Bueno Placa anterior: 000002851 Material: PLASTICO Color: BLANCO Referencia:  Observacion:  Placa padre: Tipo adquisicion: Entidad"</f>
        <v>Descripcion: SILLA PLASTICA BLANCA Estado: Bueno Placa anterior: 000002851 Material: PLASTICO Color: BLANCO Referencia:  Observacion:  Placa padre: Tipo adquisicion: Entidad</v>
      </c>
      <c r="G12401" s="5"/>
    </row>
    <row r="12402" spans="1:7" ht="58.5" customHeight="1" x14ac:dyDescent="0.25">
      <c r="A12402" s="5" t="str">
        <f>"H0006574"</f>
        <v>H0006574</v>
      </c>
      <c r="B12402" s="5" t="str">
        <f>"MESA PUENTE (ALIMENTACION) (INSTRUMENTAL)"</f>
        <v>MESA PUENTE (ALIMENTACION) (INSTRUMENTAL)</v>
      </c>
      <c r="C12402" s="6">
        <v>15000</v>
      </c>
      <c r="D12402" s="5"/>
      <c r="E12402" s="5" t="str">
        <f t="shared" si="635"/>
        <v>ACTISALUD-PISO 9-GUSTAVO GOMEZ</v>
      </c>
      <c r="F12402" s="5" t="str">
        <f>"Descripcion: MESA PUENTE PARA ALIMENTACION Estado: Bueno Placa anterior: 000027073 Material: METAL Y BANDEJA EN ACERO Color: BEIGE Referencia:  Observacion: EL BIEN TIENE PLACA ANTERIOR  000023211, AUTORIZADO CONCILIAR EN CRUCE GENERAL Placa padre: Tipo a"&amp; "dquisicion: Entidad"</f>
        <v>Descripcion: MESA PUENTE PARA ALIMENTACION Estado: Bueno Placa anterior: 000027073 Material: METAL Y BANDEJA EN ACERO Color: BEIGE Referencia:  Observacion: EL BIEN TIENE PLACA ANTERIOR  000023211, AUTORIZADO CONCILIAR EN CRUCE GENERAL Placa padre: Tipo adquisicion: Entidad</v>
      </c>
      <c r="G12402" s="5"/>
    </row>
    <row r="12403" spans="1:7" ht="58.5" customHeight="1" x14ac:dyDescent="0.25">
      <c r="A12403" s="5" t="str">
        <f>"H0006576"</f>
        <v>H0006576</v>
      </c>
      <c r="B12403" s="5" t="str">
        <f>"MESA DE NOCHE"</f>
        <v>MESA DE NOCHE</v>
      </c>
      <c r="C12403" s="6">
        <v>327586</v>
      </c>
      <c r="D12403" s="5"/>
      <c r="E12403" s="5" t="str">
        <f t="shared" si="635"/>
        <v>ACTISALUD-PISO 9-GUSTAVO GOMEZ</v>
      </c>
      <c r="F12403" s="5" t="str">
        <f>"Descripcion: MESA DE NOCHE EN ACERO Estado: Bueno Placa anterior: 000033046 Material: ACERO INOXIDABLE Color: PLATEADO Referencia:  Observacion:  Placa padre: Tipo adquisicion: Entidad"</f>
        <v>Descripcion: MESA DE NOCHE EN ACERO Estado: Bueno Placa anterior: 000033046 Material: ACERO INOXIDABLE Color: PLATEADO Referencia:  Observacion:  Placa padre: Tipo adquisicion: Entidad</v>
      </c>
      <c r="G12403" s="5"/>
    </row>
    <row r="12404" spans="1:7" ht="58.5" customHeight="1" x14ac:dyDescent="0.25">
      <c r="A12404" s="5" t="str">
        <f>"H0006577"</f>
        <v>H0006577</v>
      </c>
      <c r="B12404" s="5" t="str">
        <f>"SILLA PLASTICA CON BRAZOS"</f>
        <v>SILLA PLASTICA CON BRAZOS</v>
      </c>
      <c r="C12404" s="6">
        <v>12240.32</v>
      </c>
      <c r="D12404" s="5"/>
      <c r="E12404" s="5" t="str">
        <f t="shared" si="635"/>
        <v>ACTISALUD-PISO 9-GUSTAVO GOMEZ</v>
      </c>
      <c r="F12404" s="5" t="str">
        <f>"Descripcion: SILLA PLASTICA CON BRAZOS Estado: Bueno Placa anterior: 000026716 Material: PLASTICO Color: BLANCO Referencia:  Observacion:  Placa padre: Tipo adquisicion: Entidad"</f>
        <v>Descripcion: SILLA PLASTICA CON BRAZOS Estado: Bueno Placa anterior: 000026716 Material: PLASTICO Color: BLANCO Referencia:  Observacion:  Placa padre: Tipo adquisicion: Entidad</v>
      </c>
      <c r="G12404" s="5"/>
    </row>
    <row r="12405" spans="1:7" ht="58.5" customHeight="1" x14ac:dyDescent="0.25">
      <c r="A12405" s="5" t="str">
        <f>"H0006583"</f>
        <v>H0006583</v>
      </c>
      <c r="B12405" s="5" t="str">
        <f>"MESA DE NOCHE"</f>
        <v>MESA DE NOCHE</v>
      </c>
      <c r="C12405" s="6">
        <v>8389.33</v>
      </c>
      <c r="D12405" s="5"/>
      <c r="E12405" s="5" t="str">
        <f t="shared" si="635"/>
        <v>ACTISALUD-PISO 9-GUSTAVO GOMEZ</v>
      </c>
      <c r="F12405" s="5" t="str">
        <f>"Descripcion: MESA DE NOCHE Estado: Bueno Placa anterior: 000027377 Material: ACERO INOXIDABLE Color: PLATEADO Referencia:  Observacion:  Placa padre: Tipo adquisicion: Entidad"</f>
        <v>Descripcion: MESA DE NOCHE Estado: Bueno Placa anterior: 000027377 Material: ACERO INOXIDABLE Color: PLATEADO Referencia:  Observacion:  Placa padre: Tipo adquisicion: Entidad</v>
      </c>
      <c r="G12405" s="5"/>
    </row>
    <row r="12406" spans="1:7" ht="58.5" customHeight="1" x14ac:dyDescent="0.25">
      <c r="A12406" s="5" t="str">
        <f>"H0006584"</f>
        <v>H0006584</v>
      </c>
      <c r="B12406" s="5" t="str">
        <f>"SILLA PLASTICA CON BRAZOS"</f>
        <v>SILLA PLASTICA CON BRAZOS</v>
      </c>
      <c r="C12406" s="6">
        <v>12240.32</v>
      </c>
      <c r="D12406" s="5"/>
      <c r="E12406" s="5" t="str">
        <f t="shared" si="635"/>
        <v>ACTISALUD-PISO 9-GUSTAVO GOMEZ</v>
      </c>
      <c r="F12406" s="5" t="str">
        <f>"Descripcion: SILLA PLASTICA CON BRAZOS Estado: Bueno Placa anterior: 000026815 Material: PLASTICO Color: BLANCO Referencia:  Observacion:  Placa padre: Tipo adquisicion: Entidad"</f>
        <v>Descripcion: SILLA PLASTICA CON BRAZOS Estado: Bueno Placa anterior: 000026815 Material: PLASTICO Color: BLANCO Referencia:  Observacion:  Placa padre: Tipo adquisicion: Entidad</v>
      </c>
      <c r="G12406" s="5"/>
    </row>
    <row r="12407" spans="1:7" ht="58.5" customHeight="1" x14ac:dyDescent="0.25">
      <c r="A12407" s="5" t="str">
        <f>"H0006585"</f>
        <v>H0006585</v>
      </c>
      <c r="B12407" s="5" t="str">
        <f>"SILLA PLASTICA CON BRAZOS"</f>
        <v>SILLA PLASTICA CON BRAZOS</v>
      </c>
      <c r="C12407" s="6">
        <v>12240.32</v>
      </c>
      <c r="D12407" s="5"/>
      <c r="E12407" s="5" t="str">
        <f t="shared" si="635"/>
        <v>ACTISALUD-PISO 9-GUSTAVO GOMEZ</v>
      </c>
      <c r="F12407" s="5" t="str">
        <f>"Descripcion: SILLA PLASTICA CON BRAZOS Estado: Bueno Placa anterior: 000027366 Material: PASTA Color: BLANCO Referencia:  Observacion:  Placa padre: Tipo adquisicion: Entidad"</f>
        <v>Descripcion: SILLA PLASTICA CON BRAZOS Estado: Bueno Placa anterior: 000027366 Material: PASTA Color: BLANCO Referencia:  Observacion:  Placa padre: Tipo adquisicion: Entidad</v>
      </c>
      <c r="G12407" s="5"/>
    </row>
    <row r="12408" spans="1:7" ht="58.5" customHeight="1" x14ac:dyDescent="0.25">
      <c r="A12408" s="5" t="str">
        <f>"H0006587"</f>
        <v>H0006587</v>
      </c>
      <c r="B12408" s="5" t="str">
        <f>"MESA PUENTE (ALIMENTACION) (INSTRUMENTAL)"</f>
        <v>MESA PUENTE (ALIMENTACION) (INSTRUMENTAL)</v>
      </c>
      <c r="C12408" s="6">
        <v>15000</v>
      </c>
      <c r="D12408" s="5"/>
      <c r="E12408" s="5" t="str">
        <f t="shared" si="635"/>
        <v>ACTISALUD-PISO 9-GUSTAVO GOMEZ</v>
      </c>
      <c r="F12408" s="5" t="str">
        <f>"Descripcion: MESA PUENTE Estado: Bueno Placa anterior: 000026789 Material: METAL Y BANDEJA EN ACERO Color: BEIGE Referencia:  Observacion:  Placa padre: Tipo adquisicion: Entidad"</f>
        <v>Descripcion: MESA PUENTE Estado: Bueno Placa anterior: 000026789 Material: METAL Y BANDEJA EN ACERO Color: BEIGE Referencia:  Observacion:  Placa padre: Tipo adquisicion: Entidad</v>
      </c>
      <c r="G12408" s="5"/>
    </row>
    <row r="12409" spans="1:7" ht="58.5" customHeight="1" x14ac:dyDescent="0.25">
      <c r="A12409" s="5" t="str">
        <f>"H0006588"</f>
        <v>H0006588</v>
      </c>
      <c r="B12409" s="5" t="str">
        <f>"MESA DE NOCHE"</f>
        <v>MESA DE NOCHE</v>
      </c>
      <c r="C12409" s="6">
        <v>8389.33</v>
      </c>
      <c r="D12409" s="5"/>
      <c r="E12409" s="5" t="str">
        <f t="shared" si="635"/>
        <v>ACTISALUD-PISO 9-GUSTAVO GOMEZ</v>
      </c>
      <c r="F12409" s="5" t="str">
        <f>"Descripcion: MESA DE NOCHE Estado: Bueno Placa anterior: 000027383 Material: ACERO INOX. Color: PLATEADO Referencia:  Observacion:  Placa padre: Tipo adquisicion: Entidad"</f>
        <v>Descripcion: MESA DE NOCHE Estado: Bueno Placa anterior: 000027383 Material: ACERO INOX. Color: PLATEADO Referencia:  Observacion:  Placa padre: Tipo adquisicion: Entidad</v>
      </c>
      <c r="G12409" s="5"/>
    </row>
    <row r="12410" spans="1:7" ht="58.5" customHeight="1" x14ac:dyDescent="0.25">
      <c r="A12410" s="5" t="str">
        <f>"H0006589"</f>
        <v>H0006589</v>
      </c>
      <c r="B12410" s="5" t="str">
        <f>"PATO (PISINGO) HOMBRE"</f>
        <v>PATO (PISINGO) HOMBRE</v>
      </c>
      <c r="C12410" s="6">
        <v>15612.17</v>
      </c>
      <c r="D12410" s="5"/>
      <c r="E12410" s="5" t="str">
        <f t="shared" si="635"/>
        <v>ACTISALUD-PISO 9-GUSTAVO GOMEZ</v>
      </c>
      <c r="F12410" s="5" t="str">
        <f>"Descripcion: PISINGO Estado: Bueno Placa anterior: A7 Material: ACERO INOX. Color: PLATEADO Referencia:  Observacion:  Placa padre: Tipo adquisicion: Entidad"</f>
        <v>Descripcion: PISINGO Estado: Bueno Placa anterior: A7 Material: ACERO INOX. Color: PLATEADO Referencia:  Observacion:  Placa padre: Tipo adquisicion: Entidad</v>
      </c>
      <c r="G12410" s="5"/>
    </row>
    <row r="12411" spans="1:7" ht="58.5" customHeight="1" x14ac:dyDescent="0.25">
      <c r="A12411" s="5" t="str">
        <f>"H0006595"</f>
        <v>H0006595</v>
      </c>
      <c r="B12411" s="5" t="str">
        <f>"MESA DE NOCHE"</f>
        <v>MESA DE NOCHE</v>
      </c>
      <c r="C12411" s="6">
        <v>327586</v>
      </c>
      <c r="D12411" s="5"/>
      <c r="E12411" s="5" t="str">
        <f t="shared" si="635"/>
        <v>ACTISALUD-PISO 9-GUSTAVO GOMEZ</v>
      </c>
      <c r="F12411" s="5" t="str">
        <f>"Descripcion: MESA DE NOCHE EN ACERO Estado: Bueno Placa anterior: 000033060 Material: ACERO INOX. Color: PLATEADO Referencia:  Observacion:  Placa padre: Tipo adquisicion: Entidad"</f>
        <v>Descripcion: MESA DE NOCHE EN ACERO Estado: Bueno Placa anterior: 000033060 Material: ACERO INOX. Color: PLATEADO Referencia:  Observacion:  Placa padre: Tipo adquisicion: Entidad</v>
      </c>
      <c r="G12411" s="5"/>
    </row>
    <row r="12412" spans="1:7" ht="58.5" customHeight="1" x14ac:dyDescent="0.25">
      <c r="A12412" s="5" t="str">
        <f>"H0006596"</f>
        <v>H0006596</v>
      </c>
      <c r="B12412" s="5" t="str">
        <f>"PATO (PISINGO) HOMBRE"</f>
        <v>PATO (PISINGO) HOMBRE</v>
      </c>
      <c r="C12412" s="6">
        <v>11033.66</v>
      </c>
      <c r="D12412" s="5"/>
      <c r="E12412" s="5" t="str">
        <f t="shared" si="635"/>
        <v>ACTISALUD-PISO 9-GUSTAVO GOMEZ</v>
      </c>
      <c r="F12412" s="5" t="str">
        <f>"Descripcion: PISINGO Estado: Bueno Placa anterior: 000026638 Material: ACERO INOX. Color: PLATEADO Referencia:  Observacion:  Placa padre: Tipo adquisicion: Entidad"</f>
        <v>Descripcion: PISINGO Estado: Bueno Placa anterior: 000026638 Material: ACERO INOX. Color: PLATEADO Referencia:  Observacion:  Placa padre: Tipo adquisicion: Entidad</v>
      </c>
      <c r="G12412" s="5"/>
    </row>
    <row r="12413" spans="1:7" ht="58.5" customHeight="1" x14ac:dyDescent="0.25">
      <c r="A12413" s="5" t="str">
        <f>"H0006597"</f>
        <v>H0006597</v>
      </c>
      <c r="B12413" s="5" t="str">
        <f>"PATO (COPROLOGICO) MUJER"</f>
        <v>PATO (COPROLOGICO) MUJER</v>
      </c>
      <c r="C12413" s="6">
        <v>17913.86</v>
      </c>
      <c r="D12413" s="5"/>
      <c r="E12413" s="5" t="str">
        <f t="shared" si="635"/>
        <v>ACTISALUD-PISO 9-GUSTAVO GOMEZ</v>
      </c>
      <c r="F12413" s="5" t="str">
        <f>"Descripcion: PATO COPROLOGICO Estado: Bueno Placa anterior: 000003867 Material: ACERO INOX. Color: PLATEADO Referencia:  Observacion:  Placa padre: Tipo adquisicion: Entidad"</f>
        <v>Descripcion: PATO COPROLOGICO Estado: Bueno Placa anterior: 000003867 Material: ACERO INOX. Color: PLATEADO Referencia:  Observacion:  Placa padre: Tipo adquisicion: Entidad</v>
      </c>
      <c r="G12413" s="5"/>
    </row>
    <row r="12414" spans="1:7" ht="58.5" customHeight="1" x14ac:dyDescent="0.25">
      <c r="A12414" s="5" t="str">
        <f>"H0006598"</f>
        <v>H0006598</v>
      </c>
      <c r="B12414" s="5" t="str">
        <f>"SILLA PLASTICA CON BRAZOS"</f>
        <v>SILLA PLASTICA CON BRAZOS</v>
      </c>
      <c r="C12414" s="6">
        <v>12240.32</v>
      </c>
      <c r="D12414" s="5"/>
      <c r="E12414" s="5" t="str">
        <f t="shared" si="635"/>
        <v>ACTISALUD-PISO 9-GUSTAVO GOMEZ</v>
      </c>
      <c r="F12414" s="5" t="str">
        <f>"Descripcion: SILLA PLASTICA CON BRAZOS Estado: Bueno Placa anterior: 000027384 Material: ACERO INOX. Color: PLATEADO Referencia:  Observacion:  Placa padre: Tipo adquisicion: Entidad"</f>
        <v>Descripcion: SILLA PLASTICA CON BRAZOS Estado: Bueno Placa anterior: 000027384 Material: ACERO INOX. Color: PLATEADO Referencia:  Observacion:  Placa padre: Tipo adquisicion: Entidad</v>
      </c>
      <c r="G12414" s="5"/>
    </row>
    <row r="12415" spans="1:7" ht="58.5" customHeight="1" x14ac:dyDescent="0.25">
      <c r="A12415" s="5" t="str">
        <f>"H0006603"</f>
        <v>H0006603</v>
      </c>
      <c r="B12415" s="5" t="str">
        <f>"MESA DE NOCHE"</f>
        <v>MESA DE NOCHE</v>
      </c>
      <c r="C12415" s="6">
        <v>8389.33</v>
      </c>
      <c r="D12415" s="5"/>
      <c r="E12415" s="5" t="str">
        <f t="shared" si="635"/>
        <v>ACTISALUD-PISO 9-GUSTAVO GOMEZ</v>
      </c>
      <c r="F12415" s="5" t="str">
        <f>"Descripcion: MESA DE NOCHE 2 GAVETAS Estado: Bueno Placa anterior: 000027389 Material: ACERO INOX. Color: PLATEADO Referencia:  Observacion:  Placa padre: Tipo adquisicion: Entidad"</f>
        <v>Descripcion: MESA DE NOCHE 2 GAVETAS Estado: Bueno Placa anterior: 000027389 Material: ACERO INOX. Color: PLATEADO Referencia:  Observacion:  Placa padre: Tipo adquisicion: Entidad</v>
      </c>
      <c r="G12415" s="5"/>
    </row>
    <row r="12416" spans="1:7" ht="58.5" customHeight="1" x14ac:dyDescent="0.25">
      <c r="A12416" s="5" t="str">
        <f>"H0006604"</f>
        <v>H0006604</v>
      </c>
      <c r="B12416" s="5" t="str">
        <f>"PATO (PISINGO) HOMBRE"</f>
        <v>PATO (PISINGO) HOMBRE</v>
      </c>
      <c r="C12416" s="6">
        <v>11033.66</v>
      </c>
      <c r="D12416" s="5"/>
      <c r="E12416" s="5" t="str">
        <f t="shared" si="635"/>
        <v>ACTISALUD-PISO 9-GUSTAVO GOMEZ</v>
      </c>
      <c r="F12416" s="5" t="str">
        <f>"Descripcion: PISINGO Estado: Bueno Placa anterior: 000026649 Material: ACERO INOX. Color: PLATEADO Referencia:  Observacion:  Placa padre: Tipo adquisicion: Entidad"</f>
        <v>Descripcion: PISINGO Estado: Bueno Placa anterior: 000026649 Material: ACERO INOX. Color: PLATEADO Referencia:  Observacion:  Placa padre: Tipo adquisicion: Entidad</v>
      </c>
      <c r="G12416" s="5"/>
    </row>
    <row r="12417" spans="1:7" ht="58.5" customHeight="1" x14ac:dyDescent="0.25">
      <c r="A12417" s="5" t="str">
        <f>"H0006605"</f>
        <v>H0006605</v>
      </c>
      <c r="B12417" s="5" t="str">
        <f>"SILLA PLASTICA CON BRAZOS"</f>
        <v>SILLA PLASTICA CON BRAZOS</v>
      </c>
      <c r="C12417" s="6">
        <v>12240.32</v>
      </c>
      <c r="D12417" s="5"/>
      <c r="E12417" s="5" t="str">
        <f t="shared" si="635"/>
        <v>ACTISALUD-PISO 9-GUSTAVO GOMEZ</v>
      </c>
      <c r="F12417" s="5" t="str">
        <f>"Descripcion: SILLA PLASTICA CON BRAZOS Estado: Bueno Placa anterior: 000003335 Material: PASTA Color: BLANCO Referencia:  Observacion:  Placa padre: Tipo adquisicion: Entidad"</f>
        <v>Descripcion: SILLA PLASTICA CON BRAZOS Estado: Bueno Placa anterior: 000003335 Material: PASTA Color: BLANCO Referencia:  Observacion:  Placa padre: Tipo adquisicion: Entidad</v>
      </c>
      <c r="G12417" s="5"/>
    </row>
    <row r="12418" spans="1:7" ht="58.5" customHeight="1" x14ac:dyDescent="0.25">
      <c r="A12418" s="5" t="str">
        <f>"H0006608"</f>
        <v>H0006608</v>
      </c>
      <c r="B12418" s="5" t="str">
        <f>"MESA PUENTE (ALIMENTACION) (INSTRUMENTAL)"</f>
        <v>MESA PUENTE (ALIMENTACION) (INSTRUMENTAL)</v>
      </c>
      <c r="C12418" s="6">
        <v>15000</v>
      </c>
      <c r="D12418" s="5"/>
      <c r="E12418" s="5" t="str">
        <f t="shared" si="635"/>
        <v>ACTISALUD-PISO 9-GUSTAVO GOMEZ</v>
      </c>
      <c r="F12418" s="5" t="str">
        <f>"Descripcion: MESA PUENTE Estado: Bueno Placa anterior: 000027075 Material: METAL Y BANDEJA EN ACERO Color: BEIGE Referencia:  Observacion: EL BIEN TIENE PLACA ANTERIOR  000023209, AUTORIZADO CONCILIAR EN CRUCE GENERAL Placa padre: Tipo adquisicion: Entida"&amp; "d"</f>
        <v>Descripcion: MESA PUENTE Estado: Bueno Placa anterior: 000027075 Material: METAL Y BANDEJA EN ACERO Color: BEIGE Referencia:  Observacion: EL BIEN TIENE PLACA ANTERIOR  000023209, AUTORIZADO CONCILIAR EN CRUCE GENERAL Placa padre: Tipo adquisicion: Entidad</v>
      </c>
      <c r="G12418" s="5"/>
    </row>
    <row r="12419" spans="1:7" ht="58.5" customHeight="1" x14ac:dyDescent="0.25">
      <c r="A12419" s="5" t="str">
        <f>"H0006610"</f>
        <v>H0006610</v>
      </c>
      <c r="B12419" s="5" t="str">
        <f>"MESA DE NOCHE"</f>
        <v>MESA DE NOCHE</v>
      </c>
      <c r="C12419" s="6">
        <v>327586</v>
      </c>
      <c r="D12419" s="5"/>
      <c r="E12419" s="5" t="str">
        <f t="shared" si="635"/>
        <v>ACTISALUD-PISO 9-GUSTAVO GOMEZ</v>
      </c>
      <c r="F12419" s="5" t="str">
        <f>"Descripcion: MESA DE NOCHE Estado: Bueno Placa anterior: 000028896 Material: ACERO INOX. Color: PLATEADO Referencia:  Observacion:  Placa padre: Tipo adquisicion: Entidad"</f>
        <v>Descripcion: MESA DE NOCHE Estado: Bueno Placa anterior: 000028896 Material: ACERO INOX. Color: PLATEADO Referencia:  Observacion:  Placa padre: Tipo adquisicion: Entidad</v>
      </c>
      <c r="G12419" s="5"/>
    </row>
    <row r="12420" spans="1:7" ht="58.5" customHeight="1" x14ac:dyDescent="0.25">
      <c r="A12420" s="5" t="str">
        <f>"H0006615"</f>
        <v>H0006615</v>
      </c>
      <c r="B12420" s="5" t="str">
        <f>"MESA DE NOCHE"</f>
        <v>MESA DE NOCHE</v>
      </c>
      <c r="C12420" s="6">
        <v>8389.33</v>
      </c>
      <c r="D12420" s="5"/>
      <c r="E12420" s="5" t="str">
        <f t="shared" si="635"/>
        <v>ACTISALUD-PISO 9-GUSTAVO GOMEZ</v>
      </c>
      <c r="F12420" s="5" t="str">
        <f>"Descripcion: MESA DE NOCHE 2 GAVETAS Estado: Bueno Placa anterior: 000027394 Material: ACERO INOX. Color: BLANCO Referencia:  Observacion:  Placa padre: Tipo adquisicion: Entidad"</f>
        <v>Descripcion: MESA DE NOCHE 2 GAVETAS Estado: Bueno Placa anterior: 000027394 Material: ACERO INOX. Color: BLANCO Referencia:  Observacion:  Placa padre: Tipo adquisicion: Entidad</v>
      </c>
      <c r="G12420" s="5"/>
    </row>
    <row r="12421" spans="1:7" ht="58.5" customHeight="1" x14ac:dyDescent="0.25">
      <c r="A12421" s="5" t="str">
        <f>"H0006620"</f>
        <v>H0006620</v>
      </c>
      <c r="B12421" s="5" t="str">
        <f>"MESA DE NOCHE"</f>
        <v>MESA DE NOCHE</v>
      </c>
      <c r="C12421" s="6">
        <v>327586</v>
      </c>
      <c r="D12421" s="5"/>
      <c r="E12421" s="5" t="str">
        <f t="shared" si="635"/>
        <v>ACTISALUD-PISO 9-GUSTAVO GOMEZ</v>
      </c>
      <c r="F12421" s="5" t="str">
        <f>"Descripcion: MESA DE NOCHE EN ACERO -  2 GAVETAS Estado: Bueno Placa anterior: 000033063 Material: ACERO INOX. Color: PLATEADO Referencia:  Observacion:  Placa padre: Tipo adquisicion: Entidad"</f>
        <v>Descripcion: MESA DE NOCHE EN ACERO -  2 GAVETAS Estado: Bueno Placa anterior: 000033063 Material: ACERO INOX. Color: PLATEADO Referencia:  Observacion:  Placa padre: Tipo adquisicion: Entidad</v>
      </c>
      <c r="G12421" s="5"/>
    </row>
    <row r="12422" spans="1:7" ht="58.5" customHeight="1" x14ac:dyDescent="0.25">
      <c r="A12422" s="5" t="str">
        <f>"H0006621"</f>
        <v>H0006621</v>
      </c>
      <c r="B12422" s="5" t="str">
        <f>"SILLA PLASTICA CON BRAZOS"</f>
        <v>SILLA PLASTICA CON BRAZOS</v>
      </c>
      <c r="C12422" s="6">
        <v>14000</v>
      </c>
      <c r="D12422" s="5"/>
      <c r="E12422" s="5" t="str">
        <f t="shared" si="635"/>
        <v>ACTISALUD-PISO 9-GUSTAVO GOMEZ</v>
      </c>
      <c r="F12422" s="5" t="str">
        <f>"Descripcion: SILLA PLASTICA BLANCA CON BRAZOS Estado: Bueno Placa anterior: 000002858 Material: PASTA Color: BLANCO Referencia:  Observacion:  Placa padre: Tipo adquisicion: Entidad"</f>
        <v>Descripcion: SILLA PLASTICA BLANCA CON BRAZOS Estado: Bueno Placa anterior: 000002858 Material: PASTA Color: BLANCO Referencia:  Observacion:  Placa padre: Tipo adquisicion: Entidad</v>
      </c>
      <c r="G12422" s="5"/>
    </row>
    <row r="12423" spans="1:7" ht="58.5" customHeight="1" x14ac:dyDescent="0.25">
      <c r="A12423" s="5" t="str">
        <f>"H0006692"</f>
        <v>H0006692</v>
      </c>
      <c r="B12423" s="5" t="str">
        <f>"MESA METALICA"</f>
        <v>MESA METALICA</v>
      </c>
      <c r="C12423" s="6">
        <v>327586</v>
      </c>
      <c r="D12423" s="5"/>
      <c r="E12423" s="5" t="str">
        <f t="shared" si="635"/>
        <v>ACTISALUD-PISO 9-GUSTAVO GOMEZ</v>
      </c>
      <c r="F12423" s="5" t="str">
        <f>"Descripcion: MESA METALICA  65 ANCHO X 65 ALTO X 50 FONDO Estado: Bueno Placa anterior: 000032976 Material: METAL Y FORMICA Color: VERDE AGUA Y FORMICA MADERA Referencia:  Observacion:  Placa padre: Tipo adquisicion: Entidad"</f>
        <v>Descripcion: MESA METALICA  65 ANCHO X 65 ALTO X 50 FONDO Estado: Bueno Placa anterior: 000032976 Material: METAL Y FORMICA Color: VERDE AGUA Y FORMICA MADERA Referencia:  Observacion:  Placa padre: Tipo adquisicion: Entidad</v>
      </c>
      <c r="G12423" s="5"/>
    </row>
    <row r="12424" spans="1:7" ht="58.5" customHeight="1" x14ac:dyDescent="0.25">
      <c r="A12424" s="5" t="str">
        <f>"H0006698"</f>
        <v>H0006698</v>
      </c>
      <c r="B12424" s="5" t="str">
        <f>"LOCKER DE 6 COMPARTIMIENTOS"</f>
        <v>LOCKER DE 6 COMPARTIMIENTOS</v>
      </c>
      <c r="C12424" s="6">
        <v>585988</v>
      </c>
      <c r="D12424" s="5" t="s">
        <v>60</v>
      </c>
      <c r="E12424" s="5" t="str">
        <f t="shared" si="635"/>
        <v>ACTISALUD-PISO 9-GUSTAVO GOMEZ</v>
      </c>
      <c r="F12424" s="5" t="str">
        <f>"Descripcion: LOCKER DE LAMINA CALIBRE 22 C/6 CASILLEROS, PORTACANDADO, MANIJA PROFUNDIZADA MEDIDAS 1.80X1.90 DE ANCHO X 35 DE FONDO DE PINTURA Estado: Bueno Placa anterior: 000029183 Material: METAL Color: GRIS OSCURO Referencia:  Observacion:  Placa padr"&amp; "e: Tipo adquisicion: Entidad"</f>
        <v>Descripcion: LOCKER DE LAMINA CALIBRE 22 C/6 CASILLEROS, PORTACANDADO, MANIJA PROFUNDIZADA MEDIDAS 1.80X1.90 DE ANCHO X 35 DE FONDO DE PINTURA Estado: Bueno Placa anterior: 000029183 Material: METAL Color: GRIS OSCURO Referencia:  Observacion:  Placa padre: Tipo adquisicion: Entidad</v>
      </c>
      <c r="G12424" s="5"/>
    </row>
    <row r="12425" spans="1:7" ht="58.5" customHeight="1" x14ac:dyDescent="0.25">
      <c r="A12425" s="5" t="str">
        <f>"H0006699"</f>
        <v>H0006699</v>
      </c>
      <c r="B12425" s="5" t="str">
        <f>"LOCKER DE 6 COMPARTIMIENTOS"</f>
        <v>LOCKER DE 6 COMPARTIMIENTOS</v>
      </c>
      <c r="C12425" s="6">
        <v>585988</v>
      </c>
      <c r="D12425" s="5" t="s">
        <v>60</v>
      </c>
      <c r="E12425" s="5" t="str">
        <f t="shared" si="635"/>
        <v>ACTISALUD-PISO 9-GUSTAVO GOMEZ</v>
      </c>
      <c r="F12425" s="5" t="str">
        <f>"Descripcion: LOCKER DE LAMINA CALIBRE 22 C/6 CASILLEROS, PORTACANDADO, MANIJA PROFUNDIZADA MEDIDAS 1.80X1.90 DE ANCHO X 35 DE FONDO DE PINTURA Estado: Bueno Placa anterior: 000029184 Material: METAL Color: GRIS OSCURO  Referencia:  Observacion:  Placa pad"&amp; "re: Tipo adquisicion: Entidad"</f>
        <v>Descripcion: LOCKER DE LAMINA CALIBRE 22 C/6 CASILLEROS, PORTACANDADO, MANIJA PROFUNDIZADA MEDIDAS 1.80X1.90 DE ANCHO X 35 DE FONDO DE PINTURA Estado: Bueno Placa anterior: 000029184 Material: METAL Color: GRIS OSCURO  Referencia:  Observacion:  Placa padre: Tipo adquisicion: Entidad</v>
      </c>
      <c r="G12425" s="5"/>
    </row>
    <row r="12426" spans="1:7" ht="58.5" customHeight="1" x14ac:dyDescent="0.25">
      <c r="A12426" s="5" t="str">
        <f>"H0006768"</f>
        <v>H0006768</v>
      </c>
      <c r="B12426" s="5" t="str">
        <f>"CAMA HOSPITALARIA 4 PLANOS CON BARANDA"</f>
        <v>CAMA HOSPITALARIA 4 PLANOS CON BARANDA</v>
      </c>
      <c r="C12426" s="6">
        <v>2100000</v>
      </c>
      <c r="D12426" s="5" t="s">
        <v>63</v>
      </c>
      <c r="E12426" s="5" t="str">
        <f t="shared" si="635"/>
        <v>ACTISALUD-PISO 9-GUSTAVO GOMEZ</v>
      </c>
      <c r="F12426" s="5" t="str">
        <f>"Descripcion: CAMA HOSPITALARIA Estado: Bueno Placa anterior: 000037744 Material: METALICO Y PLASTICO DE POLIPROPILENO Color: BEIS Referencia:  Observacion:  Placa padre: Tipo adquisicion: Entidad"</f>
        <v>Descripcion: CAMA HOSPITALARIA Estado: Bueno Placa anterior: 000037744 Material: METALICO Y PLASTICO DE POLIPROPILENO Color: BEIS Referencia:  Observacion:  Placa padre: Tipo adquisicion: Entidad</v>
      </c>
      <c r="G12426" s="5"/>
    </row>
    <row r="12427" spans="1:7" ht="58.5" customHeight="1" x14ac:dyDescent="0.25">
      <c r="A12427" s="5" t="str">
        <f>"H0006838"</f>
        <v>H0006838</v>
      </c>
      <c r="B12427" s="5" t="str">
        <f>"CAMA HOSPITALARIA 4 PLANOS CON BARANDA"</f>
        <v>CAMA HOSPITALARIA 4 PLANOS CON BARANDA</v>
      </c>
      <c r="C12427" s="6">
        <v>2100000</v>
      </c>
      <c r="D12427" s="5" t="s">
        <v>63</v>
      </c>
      <c r="E12427" s="5" t="str">
        <f t="shared" si="635"/>
        <v>ACTISALUD-PISO 9-GUSTAVO GOMEZ</v>
      </c>
      <c r="F12427" s="5" t="str">
        <f>"Descripcion: CAMA DE A PUESTO Estado: Bueno Placa anterior: 000037738 Material: METALICO Color: BEIS Referencia:  Observacion:  Placa padre: Tipo adquisicion: Entidad"</f>
        <v>Descripcion: CAMA DE A PUESTO Estado: Bueno Placa anterior: 000037738 Material: METALICO Color: BEIS Referencia:  Observacion:  Placa padre: Tipo adquisicion: Entidad</v>
      </c>
      <c r="G12427" s="5"/>
    </row>
    <row r="12428" spans="1:7" ht="58.5" customHeight="1" x14ac:dyDescent="0.25">
      <c r="A12428" s="5" t="str">
        <f>"H0006915"</f>
        <v>H0006915</v>
      </c>
      <c r="B12428" s="5" t="str">
        <f>"CAMA HOSPITALARIA 4 PLANOS CON BARANDA"</f>
        <v>CAMA HOSPITALARIA 4 PLANOS CON BARANDA</v>
      </c>
      <c r="C12428" s="6">
        <v>2100000</v>
      </c>
      <c r="D12428" s="5" t="s">
        <v>63</v>
      </c>
      <c r="E12428" s="5" t="str">
        <f t="shared" si="635"/>
        <v>ACTISALUD-PISO 9-GUSTAVO GOMEZ</v>
      </c>
      <c r="F12428" s="5" t="str">
        <f>"Descripcion: CAMA HOSPITALARIA Estado: Bueno Placa anterior: 000037734 Material: METALICA Color: BEIGE Referencia:  Observacion:  Placa padre: Tipo adquisicion: Entidad"</f>
        <v>Descripcion: CAMA HOSPITALARIA Estado: Bueno Placa anterior: 000037734 Material: METALICA Color: BEIGE Referencia:  Observacion:  Placa padre: Tipo adquisicion: Entidad</v>
      </c>
      <c r="G12428" s="5"/>
    </row>
    <row r="12429" spans="1:7" ht="58.5" customHeight="1" x14ac:dyDescent="0.25">
      <c r="A12429" s="5" t="str">
        <f>"H0006964"</f>
        <v>H0006964</v>
      </c>
      <c r="B12429" s="5" t="str">
        <f>"NEVERA 3 PIES (84LT)"</f>
        <v>NEVERA 3 PIES (84LT)</v>
      </c>
      <c r="C12429" s="6">
        <v>452400</v>
      </c>
      <c r="D12429" s="5"/>
      <c r="E12429" s="5" t="str">
        <f t="shared" si="635"/>
        <v>ACTISALUD-PISO 9-GUSTAVO GOMEZ</v>
      </c>
      <c r="F12429" s="5" t="str">
        <f>"Descripcion: NEVERA SAMSUNG SG-12BCSWCN   Estado: Bueno Placa anterior: 000022610 Material: PLASTICO DE POLIPROPILENO Color: BLANCO Referencia:  Observacion:  Placa padre: Tipo adquisicion: Entidad"</f>
        <v>Descripcion: NEVERA SAMSUNG SG-12BCSWCN   Estado: Bueno Placa anterior: 000022610 Material: PLASTICO DE POLIPROPILENO Color: BLANCO Referencia:  Observacion:  Placa padre: Tipo adquisicion: Entidad</v>
      </c>
      <c r="G12429" s="5" t="str">
        <f>"SG12BCSWCN/SCL"</f>
        <v>SG12BCSWCN/SCL</v>
      </c>
    </row>
    <row r="12430" spans="1:7" ht="58.5" customHeight="1" x14ac:dyDescent="0.25">
      <c r="A12430" s="5" t="str">
        <f>"H0007941"</f>
        <v>H0007941</v>
      </c>
      <c r="B12430" s="5" t="str">
        <f>"SILLA PLASTICA CON BRAZOS"</f>
        <v>SILLA PLASTICA CON BRAZOS</v>
      </c>
      <c r="C12430" s="6">
        <v>14000</v>
      </c>
      <c r="D12430" s="5"/>
      <c r="E12430" s="5" t="str">
        <f t="shared" si="635"/>
        <v>ACTISALUD-PISO 9-GUSTAVO GOMEZ</v>
      </c>
      <c r="F12430" s="5" t="str">
        <f>"Descripcion: SILLA PLASTICA BLANCA Estado: Bueno Placa anterior: 000005477 Material: PASTA Color: BLANCO Referencia:  Observacion:  Placa padre: Tipo adquisicion: Entidad"</f>
        <v>Descripcion: SILLA PLASTICA BLANCA Estado: Bueno Placa anterior: 000005477 Material: PASTA Color: BLANCO Referencia:  Observacion:  Placa padre: Tipo adquisicion: Entidad</v>
      </c>
      <c r="G12430" s="5"/>
    </row>
    <row r="12431" spans="1:7" ht="58.5" customHeight="1" x14ac:dyDescent="0.25">
      <c r="A12431" s="5" t="str">
        <f>"H0016531"</f>
        <v>H0016531</v>
      </c>
      <c r="B12431" s="5" t="str">
        <f>"SILLA INTERLOCUTORA (FIJA) SIN BRAZOS"</f>
        <v>SILLA INTERLOCUTORA (FIJA) SIN BRAZOS</v>
      </c>
      <c r="C12431" s="6">
        <v>81200</v>
      </c>
      <c r="D12431" s="5" t="s">
        <v>34</v>
      </c>
      <c r="E12431" s="5" t="str">
        <f t="shared" si="635"/>
        <v>ACTISALUD-PISO 9-GUSTAVO GOMEZ</v>
      </c>
      <c r="F12431" s="5" t="str">
        <f>"Descripcion: SILLA SPRISMAS INTERLOCUTORAS Estado: Bueno Placa anterior: 000030422 Material: METALICO Color: NEGRO Referencia:  Observacion: SILLA PRISMA   Placa padre: Tipo adquisicion: Entidad"</f>
        <v>Descripcion: SILLA SPRISMAS INTERLOCUTORAS Estado: Bueno Placa anterior: 000030422 Material: METALICO Color: NEGRO Referencia:  Observacion: SILLA PRISMA   Placa padre: Tipo adquisicion: Entidad</v>
      </c>
      <c r="G12431" s="5"/>
    </row>
    <row r="12432" spans="1:7" ht="58.5" customHeight="1" x14ac:dyDescent="0.25">
      <c r="A12432" s="5" t="str">
        <f>"H0018846"</f>
        <v>H0018846</v>
      </c>
      <c r="B12432" s="5" t="str">
        <f>"ESTANTE METALICO 6 ENTREPAÑOS"</f>
        <v>ESTANTE METALICO 6 ENTREPAÑOS</v>
      </c>
      <c r="C12432" s="6">
        <v>24714.18</v>
      </c>
      <c r="D12432" s="5"/>
      <c r="E12432" s="5" t="str">
        <f t="shared" si="635"/>
        <v>ACTISALUD-PISO 9-GUSTAVO GOMEZ</v>
      </c>
      <c r="F12432" s="5" t="str">
        <f>"Descripcion:ESTANTE METALICO DE 6 ENTREPAÑOS Estado: Bueno Placa anterior: 000021236 Material: METALICO Color: GRIS Referencia:  Observacion:  Placa padre:  Tipo adquisicion : Entidad"</f>
        <v>Descripcion:ESTANTE METALICO DE 6 ENTREPAÑOS Estado: Bueno Placa anterior: 000021236 Material: METALICO Color: GRIS Referencia:  Observacion:  Placa padre:  Tipo adquisicion : Entidad</v>
      </c>
      <c r="G12432" s="5"/>
    </row>
    <row r="12433" spans="1:7" ht="58.5" customHeight="1" x14ac:dyDescent="0.25">
      <c r="A12433" s="5" t="str">
        <f>"H0018847"</f>
        <v>H0018847</v>
      </c>
      <c r="B12433" s="5" t="str">
        <f>"ESTANTE METALICO 6 ENTREPAÑOS"</f>
        <v>ESTANTE METALICO 6 ENTREPAÑOS</v>
      </c>
      <c r="C12433" s="6">
        <v>170000</v>
      </c>
      <c r="D12433" s="5"/>
      <c r="E12433" s="5" t="str">
        <f t="shared" si="635"/>
        <v>ACTISALUD-PISO 9-GUSTAVO GOMEZ</v>
      </c>
      <c r="F12433" s="5" t="str">
        <f>"Descripcion:ESTANTE METALICO DE 6 ENTREPAÑOS Estado: Bueno Placa anterior: 000022169 Material: METALICO Color: GRIS Referencia:  Observacion:  Placa padre:  Tipo adquisicion : Entidad"</f>
        <v>Descripcion:ESTANTE METALICO DE 6 ENTREPAÑOS Estado: Bueno Placa anterior: 000022169 Material: METALICO Color: GRIS Referencia:  Observacion:  Placa padre:  Tipo adquisicion : Entidad</v>
      </c>
      <c r="G12433" s="5"/>
    </row>
    <row r="12434" spans="1:7" ht="58.5" customHeight="1" x14ac:dyDescent="0.25">
      <c r="A12434" s="5" t="str">
        <f>"H0018893"</f>
        <v>H0018893</v>
      </c>
      <c r="B12434" s="5" t="str">
        <f>"BANDEJA DE ACERO INOXIDABLE GRANDE"</f>
        <v>BANDEJA DE ACERO INOXIDABLE GRANDE</v>
      </c>
      <c r="C12434" s="6">
        <v>1477.78</v>
      </c>
      <c r="D12434" s="5"/>
      <c r="E12434" s="5" t="str">
        <f t="shared" si="635"/>
        <v>ACTISALUD-PISO 9-GUSTAVO GOMEZ</v>
      </c>
      <c r="F12434" s="5" t="str">
        <f>"Descripcion: BANDEJA ACERO INOXIDABLE Estado: Bueno Placa anterior: 000003239 Material: ACERO INOXIDABLE Color: PLATEADO Referencia:  Observacion:  Placa padre: Tipo adquisicion: Entidad"</f>
        <v>Descripcion: BANDEJA ACERO INOXIDABLE Estado: Bueno Placa anterior: 000003239 Material: ACERO INOXIDABLE Color: PLATEADO Referencia:  Observacion:  Placa padre: Tipo adquisicion: Entidad</v>
      </c>
      <c r="G12434" s="5"/>
    </row>
    <row r="12435" spans="1:7" ht="58.5" customHeight="1" x14ac:dyDescent="0.25">
      <c r="A12435" s="5" t="str">
        <f>"H0018894"</f>
        <v>H0018894</v>
      </c>
      <c r="B12435" s="5" t="str">
        <f>"BANDEJA DE ACERO INOXIDABLE GRANDE"</f>
        <v>BANDEJA DE ACERO INOXIDABLE GRANDE</v>
      </c>
      <c r="C12435" s="6">
        <v>1477.78</v>
      </c>
      <c r="D12435" s="5"/>
      <c r="E12435" s="5" t="str">
        <f t="shared" si="635"/>
        <v>ACTISALUD-PISO 9-GUSTAVO GOMEZ</v>
      </c>
      <c r="F12435" s="5" t="str">
        <f>"Descripcion: BANDEJA ACERO INOXIDABLE Estado: Bueno Placa anterior: 000003246 Material: ACERO INOXIDABLE Color: PLATEADO Referencia:  Observacion:  Placa padre: Tipo adquisicion: Entidad"</f>
        <v>Descripcion: BANDEJA ACERO INOXIDABLE Estado: Bueno Placa anterior: 000003246 Material: ACERO INOXIDABLE Color: PLATEADO Referencia:  Observacion:  Placa padre: Tipo adquisicion: Entidad</v>
      </c>
      <c r="G12435" s="5"/>
    </row>
    <row r="12436" spans="1:7" ht="58.5" customHeight="1" x14ac:dyDescent="0.25">
      <c r="A12436" s="5" t="str">
        <f>"H0018896"</f>
        <v>H0018896</v>
      </c>
      <c r="B12436" s="5" t="str">
        <f>"JARRA EN ACERO INOXIDABLE MEDIANA"</f>
        <v>JARRA EN ACERO INOXIDABLE MEDIANA</v>
      </c>
      <c r="C12436" s="6">
        <v>4275</v>
      </c>
      <c r="D12436" s="5"/>
      <c r="E12436" s="5" t="str">
        <f t="shared" si="635"/>
        <v>ACTISALUD-PISO 9-GUSTAVO GOMEZ</v>
      </c>
      <c r="F12436" s="5" t="str">
        <f>"Descripcion: JARRA NIQUELADA MEDIANA Estado: Bueno Placa anterior: 000003276 Material: ACERO INOXIDABLE Color: PLATEADO Referencia:  Observacion:  Placa padre: Tipo adquisicion: Entidad"</f>
        <v>Descripcion: JARRA NIQUELADA MEDIANA Estado: Bueno Placa anterior: 000003276 Material: ACERO INOXIDABLE Color: PLATEADO Referencia:  Observacion:  Placa padre: Tipo adquisicion: Entidad</v>
      </c>
      <c r="G12436" s="5"/>
    </row>
    <row r="12437" spans="1:7" ht="58.5" customHeight="1" x14ac:dyDescent="0.25">
      <c r="A12437" s="5" t="str">
        <f>"H0018897"</f>
        <v>H0018897</v>
      </c>
      <c r="B12437" s="5" t="str">
        <f>"MESA (CARRO) DE CURACIONES"</f>
        <v>MESA (CARRO) DE CURACIONES</v>
      </c>
      <c r="C12437" s="6">
        <v>4655.93</v>
      </c>
      <c r="D12437" s="5"/>
      <c r="E12437" s="5" t="str">
        <f t="shared" si="635"/>
        <v>ACTISALUD-PISO 9-GUSTAVO GOMEZ</v>
      </c>
      <c r="F12437" s="5" t="str">
        <f>"Descripcion: CARRO DE CURACIONES  Estado: Bueno Placa anterior: 000003274 Material: ACERO INOXIDABLE Color: PLATEADO Referencia:  Observacion: EL BIEN TIENE PLACA ANTERIOR  000003253 Placa padre: Tipo adquisicion: Entidad"</f>
        <v>Descripcion: CARRO DE CURACIONES  Estado: Bueno Placa anterior: 000003274 Material: ACERO INOXIDABLE Color: PLATEADO Referencia:  Observacion: EL BIEN TIENE PLACA ANTERIOR  000003253 Placa padre: Tipo adquisicion: Entidad</v>
      </c>
      <c r="G12437" s="5"/>
    </row>
    <row r="12438" spans="1:7" ht="58.5" customHeight="1" x14ac:dyDescent="0.25">
      <c r="A12438" s="5" t="str">
        <f>"H0018899"</f>
        <v>H0018899</v>
      </c>
      <c r="B12438" s="5" t="str">
        <f>"DIVISION (PANEL) MODULAR"</f>
        <v>DIVISION (PANEL) MODULAR</v>
      </c>
      <c r="C12438" s="6">
        <v>980000</v>
      </c>
      <c r="D12438" s="5" t="s">
        <v>3</v>
      </c>
      <c r="E12438" s="5" t="str">
        <f t="shared" si="635"/>
        <v>ACTISALUD-PISO 9-GUSTAVO GOMEZ</v>
      </c>
      <c r="F12438" s="5" t="str">
        <f>"Descripcion: DIVISION EN VIDRIO CON MARCO METALICO, 2 CUERPOS Y PUERTA Estado: Bueno Placa anterior:  Material: VIDRIO Y METALICO Color: GRIS Referencia:  Observacion:  Placa padre: Tipo adquisicion: Entidad"</f>
        <v>Descripcion: DIVISION EN VIDRIO CON MARCO METALICO, 2 CUERPOS Y PUERTA Estado: Bueno Placa anterior:  Material: VIDRIO Y METALICO Color: GRIS Referencia:  Observacion:  Placa padre: Tipo adquisicion: Entidad</v>
      </c>
      <c r="G12438" s="5"/>
    </row>
    <row r="12439" spans="1:7" ht="58.5" customHeight="1" x14ac:dyDescent="0.25">
      <c r="A12439" s="5" t="str">
        <f>"H0018900"</f>
        <v>H0018900</v>
      </c>
      <c r="B12439" s="5" t="str">
        <f>"DIVISION (PANEL) MODULAR"</f>
        <v>DIVISION (PANEL) MODULAR</v>
      </c>
      <c r="C12439" s="6">
        <v>980000</v>
      </c>
      <c r="D12439" s="5" t="s">
        <v>3</v>
      </c>
      <c r="E12439" s="5" t="str">
        <f t="shared" si="635"/>
        <v>ACTISALUD-PISO 9-GUSTAVO GOMEZ</v>
      </c>
      <c r="F12439" s="5" t="str">
        <f>"Descripcion: DIVISION EN VIDRIO CON MARCO METALICO, 2 CUERPOS CON PUERTA CORREDIZA Estado: Bueno Placa anterior:  Material: VIDRIO Y METALICO Color: GRIS Referencia:  Observacion:  Placa padre: Tipo adquisicion: Entidad"</f>
        <v>Descripcion: DIVISION EN VIDRIO CON MARCO METALICO, 2 CUERPOS CON PUERTA CORREDIZA Estado: Bueno Placa anterior:  Material: VIDRIO Y METALICO Color: GRIS Referencia:  Observacion:  Placa padre: Tipo adquisicion: Entidad</v>
      </c>
      <c r="G12439" s="5"/>
    </row>
    <row r="12440" spans="1:7" ht="58.5" customHeight="1" x14ac:dyDescent="0.25">
      <c r="A12440" s="5" t="str">
        <f>"H0018901"</f>
        <v>H0018901</v>
      </c>
      <c r="B12440" s="5" t="str">
        <f>"CUBETA DE ACERO INOXIDABLE CON TAPA MEDIANA"</f>
        <v>CUBETA DE ACERO INOXIDABLE CON TAPA MEDIANA</v>
      </c>
      <c r="C12440" s="6">
        <v>5815.6</v>
      </c>
      <c r="D12440" s="5"/>
      <c r="E12440" s="5" t="str">
        <f t="shared" si="635"/>
        <v>ACTISALUD-PISO 9-GUSTAVO GOMEZ</v>
      </c>
      <c r="F12440" s="5" t="str">
        <f>"Descripcion: BANDEJA EN ACERO INOXIDABLE MEDIANO CON TAPA Estado: Bueno Placa anterior: 000005907 Material: ACERO INOXIDABLE Color: PLATEADO Referencia:  Observacion:  Placa padre: Tipo adquisicion: Entidad"</f>
        <v>Descripcion: BANDEJA EN ACERO INOXIDABLE MEDIANO CON TAPA Estado: Bueno Placa anterior: 000005907 Material: ACERO INOXIDABLE Color: PLATEADO Referencia:  Observacion:  Placa padre: Tipo adquisicion: Entidad</v>
      </c>
      <c r="G12440" s="5"/>
    </row>
    <row r="12441" spans="1:7" ht="58.5" customHeight="1" x14ac:dyDescent="0.25">
      <c r="A12441" s="5" t="str">
        <f>"H0018902"</f>
        <v>H0018902</v>
      </c>
      <c r="B12441" s="5" t="str">
        <f>"DIVISION (PANEL) MODULAR"</f>
        <v>DIVISION (PANEL) MODULAR</v>
      </c>
      <c r="C12441" s="6">
        <v>980000</v>
      </c>
      <c r="D12441" s="5" t="s">
        <v>3</v>
      </c>
      <c r="E12441" s="5" t="str">
        <f t="shared" si="635"/>
        <v>ACTISALUD-PISO 9-GUSTAVO GOMEZ</v>
      </c>
      <c r="F12441" s="5" t="str">
        <f>"Descripcion: DIVISION EN VIDRIO CON MARCO METALICO, 2 CUERPOS  Estado: Bueno Placa anterior:  Material: VIDRIO Y METALICO Color: GRIS Referencia:  Observacion:  Placa padre: Tipo adquisicion: Entidad"</f>
        <v>Descripcion: DIVISION EN VIDRIO CON MARCO METALICO, 2 CUERPOS  Estado: Bueno Placa anterior:  Material: VIDRIO Y METALICO Color: GRIS Referencia:  Observacion:  Placa padre: Tipo adquisicion: Entidad</v>
      </c>
      <c r="G12441" s="5"/>
    </row>
    <row r="12442" spans="1:7" ht="58.5" customHeight="1" x14ac:dyDescent="0.25">
      <c r="A12442" s="5" t="str">
        <f>"H0018909"</f>
        <v>H0018909</v>
      </c>
      <c r="B12442" s="5" t="str">
        <f>"POTE (TARRO) ACERO INXODABLE CON TAPA MEDIANO"</f>
        <v>POTE (TARRO) ACERO INXODABLE CON TAPA MEDIANO</v>
      </c>
      <c r="C12442" s="6">
        <v>3870.05</v>
      </c>
      <c r="D12442" s="5"/>
      <c r="E12442" s="5" t="str">
        <f t="shared" ref="E12442:E12505" si="636">"ACTISALUD-PISO 9-GUSTAVO GOMEZ"</f>
        <v>ACTISALUD-PISO 9-GUSTAVO GOMEZ</v>
      </c>
      <c r="F12442" s="5" t="str">
        <f>"Descripcion: TARRO  Estado: Bueno Placa anterior: 000004205 Material: ACERO INOXIDABLE Color: PLATEADO Referencia:  Observacion:  Placa padre: Tipo adquisicion: Entidad"</f>
        <v>Descripcion: TARRO  Estado: Bueno Placa anterior: 000004205 Material: ACERO INOXIDABLE Color: PLATEADO Referencia:  Observacion:  Placa padre: Tipo adquisicion: Entidad</v>
      </c>
      <c r="G12442" s="5"/>
    </row>
    <row r="12443" spans="1:7" ht="58.5" customHeight="1" x14ac:dyDescent="0.25">
      <c r="A12443" s="5" t="str">
        <f>"H0018910"</f>
        <v>H0018910</v>
      </c>
      <c r="B12443" s="5" t="str">
        <f>"POTE (TARRO) ACERO INXODABLE CON TAPA GRANDE"</f>
        <v>POTE (TARRO) ACERO INXODABLE CON TAPA GRANDE</v>
      </c>
      <c r="C12443" s="6">
        <v>5321.32</v>
      </c>
      <c r="D12443" s="5"/>
      <c r="E12443" s="5" t="str">
        <f t="shared" si="636"/>
        <v>ACTISALUD-PISO 9-GUSTAVO GOMEZ</v>
      </c>
      <c r="F12443" s="5" t="str">
        <f>"Descripcion: TARRO  Estado: Bueno Placa anterior: 000003874 Material: ACERO INOXIDABLE Color: PLATEADO Referencia:  Observacion:  Placa padre: Tipo adquisicion: Entidad"</f>
        <v>Descripcion: TARRO  Estado: Bueno Placa anterior: 000003874 Material: ACERO INOXIDABLE Color: PLATEADO Referencia:  Observacion:  Placa padre: Tipo adquisicion: Entidad</v>
      </c>
      <c r="G12443" s="5"/>
    </row>
    <row r="12444" spans="1:7" ht="58.5" customHeight="1" x14ac:dyDescent="0.25">
      <c r="A12444" s="5" t="str">
        <f>"H0018915"</f>
        <v>H0018915</v>
      </c>
      <c r="B12444" s="5" t="str">
        <f>"NEGATOSCOPIO"</f>
        <v>NEGATOSCOPIO</v>
      </c>
      <c r="C12444" s="6">
        <v>13049</v>
      </c>
      <c r="D12444" s="5"/>
      <c r="E12444" s="5" t="str">
        <f t="shared" si="636"/>
        <v>ACTISALUD-PISO 9-GUSTAVO GOMEZ</v>
      </c>
      <c r="F12444" s="5" t="str">
        <f>"Descripcion: NEGATOSCOPIO DE 1 CUERPO Estado: Bueno Placa anterior: 000003293 Material:  Color: NEGRO Referencia:  Observacion:  Placa padre: Tipo adquisicion: Entidad"</f>
        <v>Descripcion: NEGATOSCOPIO DE 1 CUERPO Estado: Bueno Placa anterior: 000003293 Material:  Color: NEGRO Referencia:  Observacion:  Placa padre: Tipo adquisicion: Entidad</v>
      </c>
      <c r="G12444" s="5"/>
    </row>
    <row r="12445" spans="1:7" ht="58.5" customHeight="1" x14ac:dyDescent="0.25">
      <c r="A12445" s="5" t="str">
        <f>"H0018942"</f>
        <v>H0018942</v>
      </c>
      <c r="B12445" s="5" t="str">
        <f>"TABLA DE ALUMINIO HISTORIAS CLINICAS (PORTAHISTORIAS)"</f>
        <v>TABLA DE ALUMINIO HISTORIAS CLINICAS (PORTAHISTORIAS)</v>
      </c>
      <c r="C12445" s="6">
        <v>3080</v>
      </c>
      <c r="D12445" s="5"/>
      <c r="E12445" s="5" t="str">
        <f t="shared" si="636"/>
        <v>ACTISALUD-PISO 9-GUSTAVO GOMEZ</v>
      </c>
      <c r="F12445" s="5" t="str">
        <f>"Descripcion: PORTA HISTORIA CLINICA Estado: Bueno Placa anterior: 000004504 Material: ACERO INOXIDABLE Color: PLATEADO Referencia:  Observacion: AUTORIZADO CONCILIAR EN CRUCE GENERAL Placa padre: Tipo adquisicion: Entidad"</f>
        <v>Descripcion: PORTA HISTORIA CLINICA Estado: Bueno Placa anterior: 000004504 Material: ACERO INOXIDABLE Color: PLATEADO Referencia:  Observacion: AUTORIZADO CONCILIAR EN CRUCE GENERAL Placa padre: Tipo adquisicion: Entidad</v>
      </c>
      <c r="G12445" s="5"/>
    </row>
    <row r="12446" spans="1:7" ht="58.5" customHeight="1" x14ac:dyDescent="0.25">
      <c r="A12446" s="5" t="str">
        <f>"H0018943"</f>
        <v>H0018943</v>
      </c>
      <c r="B12446" s="5" t="str">
        <f>"TABLA DE ALUMINIO HISTORIAS CLINICAS (PORTAHISTORIAS)"</f>
        <v>TABLA DE ALUMINIO HISTORIAS CLINICAS (PORTAHISTORIAS)</v>
      </c>
      <c r="C12446" s="6">
        <v>3080</v>
      </c>
      <c r="D12446" s="5"/>
      <c r="E12446" s="5" t="str">
        <f t="shared" si="636"/>
        <v>ACTISALUD-PISO 9-GUSTAVO GOMEZ</v>
      </c>
      <c r="F12446" s="5" t="str">
        <f>"Descripcion: PORTA HISTORIA CLINICA Estado: Bueno Placa anterior: 000004506 Material: ACERO INOXIDABLE Color: PLATEADO Referencia:  Observacion: AUTORIZADO CONCILIAR EN CRUCE GENERAL Placa padre: Tipo adquisicion: Entidad"</f>
        <v>Descripcion: PORTA HISTORIA CLINICA Estado: Bueno Placa anterior: 000004506 Material: ACERO INOXIDABLE Color: PLATEADO Referencia:  Observacion: AUTORIZADO CONCILIAR EN CRUCE GENERAL Placa padre: Tipo adquisicion: Entidad</v>
      </c>
      <c r="G12446" s="5"/>
    </row>
    <row r="12447" spans="1:7" ht="58.5" customHeight="1" x14ac:dyDescent="0.25">
      <c r="A12447" s="5" t="str">
        <f>"H0018944"</f>
        <v>H0018944</v>
      </c>
      <c r="B12447" s="5" t="str">
        <f>"TABLA DE ALUMINIO HISTORIAS CLINICAS (PORTAHISTORIAS)"</f>
        <v>TABLA DE ALUMINIO HISTORIAS CLINICAS (PORTAHISTORIAS)</v>
      </c>
      <c r="C12447" s="6">
        <v>3080</v>
      </c>
      <c r="D12447" s="5"/>
      <c r="E12447" s="5" t="str">
        <f t="shared" si="636"/>
        <v>ACTISALUD-PISO 9-GUSTAVO GOMEZ</v>
      </c>
      <c r="F12447" s="5" t="str">
        <f>"Descripcion: PORTA HISTORIA CLINICA Estado: Bueno Placa anterior: 000004096 Material: ACERO INOXIDABLE Color: PLATEADO Referencia:  Observacion: AUTORIZADO CONCILIAR EN CRUCE GENERAL Placa padre: Tipo adquisicion: Entidad"</f>
        <v>Descripcion: PORTA HISTORIA CLINICA Estado: Bueno Placa anterior: 000004096 Material: ACERO INOXIDABLE Color: PLATEADO Referencia:  Observacion: AUTORIZADO CONCILIAR EN CRUCE GENERAL Placa padre: Tipo adquisicion: Entidad</v>
      </c>
      <c r="G12447" s="5"/>
    </row>
    <row r="12448" spans="1:7" ht="58.5" customHeight="1" x14ac:dyDescent="0.25">
      <c r="A12448" s="5" t="str">
        <f>"H0018945"</f>
        <v>H0018945</v>
      </c>
      <c r="B12448" s="5" t="str">
        <f>"TABLA DE ALUMINIO HISTORIAS CLINICAS (PORTAHISTORIAS)"</f>
        <v>TABLA DE ALUMINIO HISTORIAS CLINICAS (PORTAHISTORIAS)</v>
      </c>
      <c r="C12448" s="6">
        <v>3080</v>
      </c>
      <c r="D12448" s="5"/>
      <c r="E12448" s="5" t="str">
        <f t="shared" si="636"/>
        <v>ACTISALUD-PISO 9-GUSTAVO GOMEZ</v>
      </c>
      <c r="F12448" s="5" t="str">
        <f>"Descripcion: PORTA HISTORIA CLINICA Estado: Bueno Placa anterior: 000004505 Material: ACERO INOXIDABLE Color: PLATEADO Referencia:  Observacion: AUTORIZADO CONCILIAR EN CRUCE GENERAL Placa padre: Tipo adquisicion: Entidad"</f>
        <v>Descripcion: PORTA HISTORIA CLINICA Estado: Bueno Placa anterior: 000004505 Material: ACERO INOXIDABLE Color: PLATEADO Referencia:  Observacion: AUTORIZADO CONCILIAR EN CRUCE GENERAL Placa padre: Tipo adquisicion: Entidad</v>
      </c>
      <c r="G12448" s="5"/>
    </row>
    <row r="12449" spans="1:7" ht="58.5" customHeight="1" x14ac:dyDescent="0.25">
      <c r="A12449" s="5" t="str">
        <f>"H0018946"</f>
        <v>H0018946</v>
      </c>
      <c r="B12449" s="5" t="str">
        <f>"TABLA DE ALUMINIO HISTORIAS CLINICAS (PORTAHISTORIAS)"</f>
        <v>TABLA DE ALUMINIO HISTORIAS CLINICAS (PORTAHISTORIAS)</v>
      </c>
      <c r="C12449" s="6">
        <v>3080</v>
      </c>
      <c r="D12449" s="5"/>
      <c r="E12449" s="5" t="str">
        <f t="shared" si="636"/>
        <v>ACTISALUD-PISO 9-GUSTAVO GOMEZ</v>
      </c>
      <c r="F12449" s="5" t="str">
        <f>"Descripcion: PORTA HISTORIA CLINICA Estado: Bueno Placa anterior: 000004150 Material: ACERO INOXIDABLE Color: PLATEADO Referencia:  Observacion: AUTORIZADO CONCILIAR EN CRUCE GENERAL Placa padre: Tipo adquisicion: Entidad"</f>
        <v>Descripcion: PORTA HISTORIA CLINICA Estado: Bueno Placa anterior: 000004150 Material: ACERO INOXIDABLE Color: PLATEADO Referencia:  Observacion: AUTORIZADO CONCILIAR EN CRUCE GENERAL Placa padre: Tipo adquisicion: Entidad</v>
      </c>
      <c r="G12449" s="5"/>
    </row>
    <row r="12450" spans="1:7" ht="58.5" customHeight="1" x14ac:dyDescent="0.25">
      <c r="A12450" s="5" t="str">
        <f>"H0018949"</f>
        <v>H0018949</v>
      </c>
      <c r="B12450" s="5" t="str">
        <f>"SILLA INTERLOCUTORA (FIJA) SIN BRAZOS"</f>
        <v>SILLA INTERLOCUTORA (FIJA) SIN BRAZOS</v>
      </c>
      <c r="C12450" s="6">
        <v>5985.88</v>
      </c>
      <c r="D12450" s="5"/>
      <c r="E12450" s="5" t="str">
        <f t="shared" si="636"/>
        <v>ACTISALUD-PISO 9-GUSTAVO GOMEZ</v>
      </c>
      <c r="F12450" s="5" t="str">
        <f>"Descripcion: SILLA FIJA TIPO A COLOR MARRON Estado: Bueno Placa anterior: 000003267 Material: METALICO Y CUERO Color: GRIS Y MARRON Referencia:  Observacion:  Placa padre: Tipo adquisicion: Entidad"</f>
        <v>Descripcion: SILLA FIJA TIPO A COLOR MARRON Estado: Bueno Placa anterior: 000003267 Material: METALICO Y CUERO Color: GRIS Y MARRON Referencia:  Observacion:  Placa padre: Tipo adquisicion: Entidad</v>
      </c>
      <c r="G12450" s="5"/>
    </row>
    <row r="12451" spans="1:7" ht="58.5" customHeight="1" x14ac:dyDescent="0.25">
      <c r="A12451" s="5" t="str">
        <f>"H0020564"</f>
        <v>H0020564</v>
      </c>
      <c r="B12451" s="5" t="str">
        <f>"BANDEJA DE ACERO INOXIDABLE GRANDE"</f>
        <v>BANDEJA DE ACERO INOXIDABLE GRANDE</v>
      </c>
      <c r="C12451" s="6">
        <v>1477.78</v>
      </c>
      <c r="D12451" s="5"/>
      <c r="E12451" s="5" t="str">
        <f t="shared" si="636"/>
        <v>ACTISALUD-PISO 9-GUSTAVO GOMEZ</v>
      </c>
      <c r="F12451" s="5" t="str">
        <f>"Descripcion: BANDEJA EN ACERO INOX. Estado: Regular Placa anterior: 000003863 Material: ACERO INOX. Color: PLATEADO Referencia:  Observacion: LA JEFE CECILIA MANIFIETSA QUE SON BANDEJAS DE INSTRUMENTACION Y NO DE COCINA. Placa padre: Tipo adquisicion: Ent"&amp; "idad"</f>
        <v>Descripcion: BANDEJA EN ACERO INOX. Estado: Regular Placa anterior: 000003863 Material: ACERO INOX. Color: PLATEADO Referencia:  Observacion: LA JEFE CECILIA MANIFIETSA QUE SON BANDEJAS DE INSTRUMENTACION Y NO DE COCINA. Placa padre: Tipo adquisicion: Entidad</v>
      </c>
      <c r="G12451" s="5"/>
    </row>
    <row r="12452" spans="1:7" ht="58.5" customHeight="1" x14ac:dyDescent="0.25">
      <c r="A12452" s="5" t="str">
        <f>"H0020565"</f>
        <v>H0020565</v>
      </c>
      <c r="B12452" s="5" t="str">
        <f>"BANDEJA DE ACERO INOXIDABLE GRANDE"</f>
        <v>BANDEJA DE ACERO INOXIDABLE GRANDE</v>
      </c>
      <c r="C12452" s="6">
        <v>1477.78</v>
      </c>
      <c r="D12452" s="5"/>
      <c r="E12452" s="5" t="str">
        <f t="shared" si="636"/>
        <v>ACTISALUD-PISO 9-GUSTAVO GOMEZ</v>
      </c>
      <c r="F12452" s="5" t="str">
        <f>"Descripcion: BANDEJA EN ACERO INOX. Estado: Regular Placa anterior: 000003864 Material: ACERO INOX. Color: ROJO Referencia:  Observacion: LA JEFE CECILIA MANIFIETSA QUE SON BANDEJAS DE INSTRUMENTACION Y NO DE COCINA. Placa padre: Tipo adquisicion: Entidad"&amp; ""</f>
        <v>Descripcion: BANDEJA EN ACERO INOX. Estado: Regular Placa anterior: 000003864 Material: ACERO INOX. Color: ROJO Referencia:  Observacion: LA JEFE CECILIA MANIFIETSA QUE SON BANDEJAS DE INSTRUMENTACION Y NO DE COCINA. Placa padre: Tipo adquisicion: Entidad</v>
      </c>
      <c r="G12452" s="5"/>
    </row>
    <row r="12453" spans="1:7" ht="58.5" customHeight="1" x14ac:dyDescent="0.25">
      <c r="A12453" s="5" t="str">
        <f>"H0020566"</f>
        <v>H0020566</v>
      </c>
      <c r="B12453" s="5" t="str">
        <f>"BANDEJA DE ACERO INOXIDABLE GRANDE"</f>
        <v>BANDEJA DE ACERO INOXIDABLE GRANDE</v>
      </c>
      <c r="C12453" s="6">
        <v>1477.78</v>
      </c>
      <c r="D12453" s="5"/>
      <c r="E12453" s="5" t="str">
        <f t="shared" si="636"/>
        <v>ACTISALUD-PISO 9-GUSTAVO GOMEZ</v>
      </c>
      <c r="F12453" s="5" t="str">
        <f>"Descripcion: BANDEJA EN ACERO INOX. Estado: Regular Placa anterior: 000003866 Material: ACERO INOX. Color: PLATEADO Referencia:  Observacion: LA JEFE CECILIA MANIFIETSA QUE SON BANDEJAS DE INSTRUMENTACION Y NO DE COCINA. Placa padre: Tipo adquisicion: Ent"&amp; "idad"</f>
        <v>Descripcion: BANDEJA EN ACERO INOX. Estado: Regular Placa anterior: 000003866 Material: ACERO INOX. Color: PLATEADO Referencia:  Observacion: LA JEFE CECILIA MANIFIETSA QUE SON BANDEJAS DE INSTRUMENTACION Y NO DE COCINA. Placa padre: Tipo adquisicion: Entidad</v>
      </c>
      <c r="G12453" s="5"/>
    </row>
    <row r="12454" spans="1:7" ht="58.5" customHeight="1" x14ac:dyDescent="0.25">
      <c r="A12454" s="5" t="str">
        <f>"H0021466"</f>
        <v>H0021466</v>
      </c>
      <c r="B12454" s="5" t="str">
        <f>"PLANTA DOMESTICA A BASE DE OZONO"</f>
        <v>PLANTA DOMESTICA A BASE DE OZONO</v>
      </c>
      <c r="C12454" s="6">
        <v>275000</v>
      </c>
      <c r="D12454" s="5" t="s">
        <v>62</v>
      </c>
      <c r="E12454" s="5" t="str">
        <f t="shared" si="636"/>
        <v>ACTISALUD-PISO 9-GUSTAVO GOMEZ</v>
      </c>
      <c r="F12454" s="5"/>
      <c r="G12454" s="5"/>
    </row>
    <row r="12455" spans="1:7" ht="58.5" customHeight="1" x14ac:dyDescent="0.25">
      <c r="A12455" s="5" t="str">
        <f>"H0021844"</f>
        <v>H0021844</v>
      </c>
      <c r="B12455" s="5" t="str">
        <f>"CAMA HOSPITALARIA 4 PLANOS CON BARANDA"</f>
        <v>CAMA HOSPITALARIA 4 PLANOS CON BARANDA</v>
      </c>
      <c r="C12455" s="6">
        <v>2509480</v>
      </c>
      <c r="D12455" s="5"/>
      <c r="E12455" s="5" t="str">
        <f t="shared" si="636"/>
        <v>ACTISALUD-PISO 9-GUSTAVO GOMEZ</v>
      </c>
      <c r="F12455" s="5" t="str">
        <f>"Descripcion: CAMA HOSPITALARIA HOSPITECH MOD. 134-45 Estado: Bueno Placa anterior: 000033375 Material: METALICA Color: BEIGE Referencia:  Observacion:  Placa padre: Tipo adquisicion: Entidad"</f>
        <v>Descripcion: CAMA HOSPITALARIA HOSPITECH MOD. 134-45 Estado: Bueno Placa anterior: 000033375 Material: METALICA Color: BEIGE Referencia:  Observacion:  Placa padre: Tipo adquisicion: Entidad</v>
      </c>
      <c r="G12455" s="5"/>
    </row>
    <row r="12456" spans="1:7" ht="58.5" customHeight="1" x14ac:dyDescent="0.25">
      <c r="A12456" s="5" t="str">
        <f>"H0021846"</f>
        <v>H0021846</v>
      </c>
      <c r="B12456" s="5" t="str">
        <f>"CAMA HOSPITALARIA 4 PLANOS CON BARANDA"</f>
        <v>CAMA HOSPITALARIA 4 PLANOS CON BARANDA</v>
      </c>
      <c r="C12456" s="6">
        <v>5700000</v>
      </c>
      <c r="D12456" s="5" t="s">
        <v>63</v>
      </c>
      <c r="E12456" s="5" t="str">
        <f t="shared" si="636"/>
        <v>ACTISALUD-PISO 9-GUSTAVO GOMEZ</v>
      </c>
      <c r="F12456" s="5" t="str">
        <f>"Descripcion: CAMA HOSPITALARIA Estado: Bueno Placa anterior: 000037749 Material: METALICA Color: BEIGE Referencia:  Observacion:  Placa padre: Tipo adquisicion: Entidad"</f>
        <v>Descripcion: CAMA HOSPITALARIA Estado: Bueno Placa anterior: 000037749 Material: METALICA Color: BEIGE Referencia:  Observacion:  Placa padre: Tipo adquisicion: Entidad</v>
      </c>
      <c r="G12456" s="5"/>
    </row>
    <row r="12457" spans="1:7" ht="58.5" customHeight="1" x14ac:dyDescent="0.25">
      <c r="A12457" s="5" t="str">
        <f>"H0021964"</f>
        <v>H0021964</v>
      </c>
      <c r="B12457" s="5" t="str">
        <f>"RELOJ DE PARED"</f>
        <v>RELOJ DE PARED</v>
      </c>
      <c r="C12457" s="6">
        <v>8190</v>
      </c>
      <c r="D12457" s="5"/>
      <c r="E12457" s="5" t="str">
        <f t="shared" si="636"/>
        <v>ACTISALUD-PISO 9-GUSTAVO GOMEZ</v>
      </c>
      <c r="F12457" s="5" t="str">
        <f>"Descripcion: RELOJ DE PARED MCA. JAWACO Estado: Bueno Placa anterior: 000003884 Material: PASTA Color:  Referencia:  Observacion: SE PERDIO Y FUE REEMPLAZADO POR UN RELOJ QUERTZ Placa padre: Tipo adquisicion: Entidad"</f>
        <v>Descripcion: RELOJ DE PARED MCA. JAWACO Estado: Bueno Placa anterior: 000003884 Material: PASTA Color:  Referencia:  Observacion: SE PERDIO Y FUE REEMPLAZADO POR UN RELOJ QUERTZ Placa padre: Tipo adquisicion: Entidad</v>
      </c>
      <c r="G12457" s="5"/>
    </row>
    <row r="12458" spans="1:7" ht="58.5" customHeight="1" x14ac:dyDescent="0.25">
      <c r="A12458" s="5" t="str">
        <f>"H0021967"</f>
        <v>H0021967</v>
      </c>
      <c r="B12458" s="5" t="str">
        <f>"LIBROS DE SALUD PUBLICA"</f>
        <v>LIBROS DE SALUD PUBLICA</v>
      </c>
      <c r="C12458" s="6">
        <v>95000</v>
      </c>
      <c r="D12458" s="5"/>
      <c r="E12458" s="5" t="str">
        <f t="shared" si="636"/>
        <v>ACTISALUD-PISO 9-GUSTAVO GOMEZ</v>
      </c>
      <c r="F12458" s="5" t="str">
        <f>"Descripcion:  PROTOCOLO VIGILANCIA EN SALUD PUBLICA Estado: Bueno Placa anterior: 000023109 Material: PAPEL Color:  Referencia:  Observacion:  Placa padre: Tipo adquisicion: Donacion"</f>
        <v>Descripcion:  PROTOCOLO VIGILANCIA EN SALUD PUBLICA Estado: Bueno Placa anterior: 000023109 Material: PAPEL Color:  Referencia:  Observacion:  Placa padre: Tipo adquisicion: Donacion</v>
      </c>
      <c r="G12458" s="5"/>
    </row>
    <row r="12459" spans="1:7" ht="58.5" customHeight="1" x14ac:dyDescent="0.25">
      <c r="A12459" s="5" t="str">
        <f>"H0021968"</f>
        <v>H0021968</v>
      </c>
      <c r="B12459" s="5" t="str">
        <f>"ESTANTE METALICO 6 ENTREPAÑOS"</f>
        <v>ESTANTE METALICO 6 ENTREPAÑOS</v>
      </c>
      <c r="C12459" s="6">
        <v>38735.35</v>
      </c>
      <c r="D12459" s="5"/>
      <c r="E12459" s="5" t="str">
        <f t="shared" si="636"/>
        <v>ACTISALUD-PISO 9-GUSTAVO GOMEZ</v>
      </c>
      <c r="F12459" s="5" t="str">
        <f>"Descripcion: ESTANTE METALICO DE 6 ENTREPAÑOS Estado: Bueno Placa anterior: 000003363 Material: METALICO Color: GRIS Referencia:  Observacion:  Placa padre: Tipo adquisicion: Entidad"</f>
        <v>Descripcion: ESTANTE METALICO DE 6 ENTREPAÑOS Estado: Bueno Placa anterior: 000003363 Material: METALICO Color: GRIS Referencia:  Observacion:  Placa padre: Tipo adquisicion: Entidad</v>
      </c>
      <c r="G12459" s="5"/>
    </row>
    <row r="12460" spans="1:7" ht="58.5" customHeight="1" x14ac:dyDescent="0.25">
      <c r="A12460" s="5" t="str">
        <f>"H0021969"</f>
        <v>H0021969</v>
      </c>
      <c r="B12460" s="5" t="str">
        <f>"ESTANTE METALICO 6 ENTREPAÑOS"</f>
        <v>ESTANTE METALICO 6 ENTREPAÑOS</v>
      </c>
      <c r="C12460" s="6">
        <v>38735.35</v>
      </c>
      <c r="D12460" s="5"/>
      <c r="E12460" s="5" t="str">
        <f t="shared" si="636"/>
        <v>ACTISALUD-PISO 9-GUSTAVO GOMEZ</v>
      </c>
      <c r="F12460" s="5" t="str">
        <f>"Descripcion: ESTANTE METALICO DE 6 ENTREPAÑOS Estado: Bueno Placa anterior: 000003364 Material: METALICO Color: GRIS Referencia:  Observacion:  Placa padre: Tipo adquisicion: Entidad"</f>
        <v>Descripcion: ESTANTE METALICO DE 6 ENTREPAÑOS Estado: Bueno Placa anterior: 000003364 Material: METALICO Color: GRIS Referencia:  Observacion:  Placa padre: Tipo adquisicion: Entidad</v>
      </c>
      <c r="G12460" s="5"/>
    </row>
    <row r="12461" spans="1:7" ht="58.5" customHeight="1" x14ac:dyDescent="0.25">
      <c r="A12461" s="5" t="str">
        <f>"H0022598"</f>
        <v>H0022598</v>
      </c>
      <c r="B12461" s="5" t="str">
        <f>"SILLA DE RUEDAS"</f>
        <v>SILLA DE RUEDAS</v>
      </c>
      <c r="C12461" s="6">
        <v>650000</v>
      </c>
      <c r="D12461" s="5"/>
      <c r="E12461" s="5" t="str">
        <f t="shared" si="636"/>
        <v>ACTISALUD-PISO 9-GUSTAVO GOMEZ</v>
      </c>
      <c r="F12461" s="5" t="str">
        <f>"Descripcion:SILLA DE RUEDA ADULTO ESTANDAR CON BRAZOS Y DESCANSAPIES DESMONTABLES CON MARCO PLEGABLE CALIBRE 18 DE 7/8 Estado: Bueno Placa anterior: 000026237 Material: METALICO Color:  Referencia:  Observacion: SE ENCUENTRA EN EL PATIO TRASERO Placa padr"&amp; "e:  Tipo adquisicion : Entidad"</f>
        <v>Descripcion:SILLA DE RUEDA ADULTO ESTANDAR CON BRAZOS Y DESCANSAPIES DESMONTABLES CON MARCO PLEGABLE CALIBRE 18 DE 7/8 Estado: Bueno Placa anterior: 000026237 Material: METALICO Color:  Referencia:  Observacion: SE ENCUENTRA EN EL PATIO TRASERO Placa padre:  Tipo adquisicion : Entidad</v>
      </c>
      <c r="G12461" s="5"/>
    </row>
    <row r="12462" spans="1:7" ht="58.5" customHeight="1" x14ac:dyDescent="0.25">
      <c r="A12462" s="5" t="str">
        <f>"H0022599"</f>
        <v>H0022599</v>
      </c>
      <c r="B12462" s="5" t="str">
        <f>"SILLA DE RUEDAS"</f>
        <v>SILLA DE RUEDAS</v>
      </c>
      <c r="C12462" s="6">
        <v>650000</v>
      </c>
      <c r="D12462" s="5"/>
      <c r="E12462" s="5" t="str">
        <f t="shared" si="636"/>
        <v>ACTISALUD-PISO 9-GUSTAVO GOMEZ</v>
      </c>
      <c r="F12462" s="5" t="str">
        <f>"Descripcion:SILLA DE RUEDA ADULTO ESTANDAR CON BRAZOS Y DESCANSAPIES DESMONTABLES CON MARCO PLEGABLE CALIBRE 18 DE 7/8 Estado: Bueno Placa anterior: 000026238 Material: METALICO Color:  Referencia:  Observacion: SE ENCUENTRA EN EL PATIO TRASERO Placa padr"&amp; "e:  Tipo adquisicion : Entidad"</f>
        <v>Descripcion:SILLA DE RUEDA ADULTO ESTANDAR CON BRAZOS Y DESCANSAPIES DESMONTABLES CON MARCO PLEGABLE CALIBRE 18 DE 7/8 Estado: Bueno Placa anterior: 000026238 Material: METALICO Color:  Referencia:  Observacion: SE ENCUENTRA EN EL PATIO TRASERO Placa padre:  Tipo adquisicion : Entidad</v>
      </c>
      <c r="G12462" s="5"/>
    </row>
    <row r="12463" spans="1:7" ht="58.5" customHeight="1" x14ac:dyDescent="0.25">
      <c r="A12463" s="5" t="str">
        <f>"H0022672"</f>
        <v>H0022672</v>
      </c>
      <c r="B12463" s="5" t="str">
        <f>"REGULADOR DE OXIGENO PORTATIL"</f>
        <v>REGULADOR DE OXIGENO PORTATIL</v>
      </c>
      <c r="C12463" s="6">
        <v>104862</v>
      </c>
      <c r="D12463" s="5"/>
      <c r="E12463" s="5" t="str">
        <f t="shared" si="636"/>
        <v>ACTISALUD-PISO 9-GUSTAVO GOMEZ</v>
      </c>
      <c r="F12463" s="5" t="str">
        <f>"Descripcion: REGULADOR DE OXIGENO CON 2 MANOMETROS Estado: Bueno Placa anterior: 000003243 Material: METALICO Color:  Referencia:  Observacion:  Placa padre: Tipo adquisicion: Entidad"</f>
        <v>Descripcion: REGULADOR DE OXIGENO CON 2 MANOMETROS Estado: Bueno Placa anterior: 000003243 Material: METALICO Color:  Referencia:  Observacion:  Placa padre: Tipo adquisicion: Entidad</v>
      </c>
      <c r="G12463" s="5"/>
    </row>
    <row r="12464" spans="1:7" ht="58.5" customHeight="1" x14ac:dyDescent="0.25">
      <c r="A12464" s="5" t="str">
        <f>"H0022673"</f>
        <v>H0022673</v>
      </c>
      <c r="B12464" s="5" t="str">
        <f>"BASCULA"</f>
        <v>BASCULA</v>
      </c>
      <c r="C12464" s="6">
        <v>21840</v>
      </c>
      <c r="D12464" s="5"/>
      <c r="E12464" s="5" t="str">
        <f t="shared" si="636"/>
        <v>ACTISALUD-PISO 9-GUSTAVO GOMEZ</v>
      </c>
      <c r="F12464" s="5" t="str">
        <f>"Descripcion: PESADOR PARA BALA DE OXIGENO Estado: Bueno Placa anterior: 000003361 Material: METALICO Color:  Referencia:  Observacion:  Placa padre: Tipo adquisicion: Entidad"</f>
        <v>Descripcion: PESADOR PARA BALA DE OXIGENO Estado: Bueno Placa anterior: 000003361 Material: METALICO Color:  Referencia:  Observacion:  Placa padre: Tipo adquisicion: Entidad</v>
      </c>
      <c r="G12464" s="5"/>
    </row>
    <row r="12465" spans="1:7" ht="58.5" customHeight="1" x14ac:dyDescent="0.25">
      <c r="A12465" s="5" t="str">
        <f>"H0022678"</f>
        <v>H0022678</v>
      </c>
      <c r="B12465" s="5" t="str">
        <f>"ASPIRADOR DE SECRECIONES"</f>
        <v>ASPIRADOR DE SECRECIONES</v>
      </c>
      <c r="C12465" s="6">
        <v>1415384</v>
      </c>
      <c r="D12465" s="5" t="s">
        <v>693</v>
      </c>
      <c r="E12465" s="5" t="str">
        <f t="shared" si="636"/>
        <v>ACTISALUD-PISO 9-GUSTAVO GOMEZ</v>
      </c>
      <c r="F12465" s="5" t="str">
        <f>"Descripcion: ASPIRADOR Estado: Bueno Placa anterior:  Material: METALICO Color: BEIGE Referencia:  Observacion:  Placa padre: Tipo adquisicion: Entidad"</f>
        <v>Descripcion: ASPIRADOR Estado: Bueno Placa anterior:  Material: METALICO Color: BEIGE Referencia:  Observacion:  Placa padre: Tipo adquisicion: Entidad</v>
      </c>
      <c r="G12465" s="5"/>
    </row>
    <row r="12466" spans="1:7" ht="58.5" customHeight="1" x14ac:dyDescent="0.25">
      <c r="A12466" s="5" t="str">
        <f>"H0022679"</f>
        <v>H0022679</v>
      </c>
      <c r="B12466" s="5" t="str">
        <f>"REGULADOR DE OXIGENO PORTATIL"</f>
        <v>REGULADOR DE OXIGENO PORTATIL</v>
      </c>
      <c r="C12466" s="6">
        <v>104862</v>
      </c>
      <c r="D12466" s="5"/>
      <c r="E12466" s="5" t="str">
        <f t="shared" si="636"/>
        <v>ACTISALUD-PISO 9-GUSTAVO GOMEZ</v>
      </c>
      <c r="F12466" s="5" t="str">
        <f>"Descripcion: REGULADOR DE OXIGENO CON 2 MANOMETROS Estado: Bueno Placa anterior: 000003159 Material: METALICO Color:  Referencia:  Observacion:  Placa padre: Tipo adquisicion: Entidad"</f>
        <v>Descripcion: REGULADOR DE OXIGENO CON 2 MANOMETROS Estado: Bueno Placa anterior: 000003159 Material: METALICO Color:  Referencia:  Observacion:  Placa padre: Tipo adquisicion: Entidad</v>
      </c>
      <c r="G12466" s="5"/>
    </row>
    <row r="12467" spans="1:7" ht="58.5" customHeight="1" x14ac:dyDescent="0.25">
      <c r="A12467" s="5" t="str">
        <f>"H0024163"</f>
        <v>H0024163</v>
      </c>
      <c r="B12467" s="5" t="str">
        <f t="shared" ref="B12467:B12505" si="637">"CAMA ELECTRICA ADULTOS"</f>
        <v>CAMA ELECTRICA ADULTOS</v>
      </c>
      <c r="C12467" s="6">
        <v>5746930</v>
      </c>
      <c r="D12467" s="5" t="s">
        <v>36</v>
      </c>
      <c r="E12467" s="5" t="str">
        <f t="shared" si="636"/>
        <v>ACTISALUD-PISO 9-GUSTAVO GOMEZ</v>
      </c>
      <c r="F12467" s="5"/>
      <c r="G12467" s="5"/>
    </row>
    <row r="12468" spans="1:7" ht="58.5" customHeight="1" x14ac:dyDescent="0.25">
      <c r="A12468" s="5" t="str">
        <f>"H0024175"</f>
        <v>H0024175</v>
      </c>
      <c r="B12468" s="5" t="str">
        <f t="shared" si="637"/>
        <v>CAMA ELECTRICA ADULTOS</v>
      </c>
      <c r="C12468" s="6">
        <v>5746930</v>
      </c>
      <c r="D12468" s="5" t="s">
        <v>36</v>
      </c>
      <c r="E12468" s="5" t="str">
        <f t="shared" si="636"/>
        <v>ACTISALUD-PISO 9-GUSTAVO GOMEZ</v>
      </c>
      <c r="F12468" s="5"/>
      <c r="G12468" s="5"/>
    </row>
    <row r="12469" spans="1:7" ht="58.5" customHeight="1" x14ac:dyDescent="0.25">
      <c r="A12469" s="5" t="str">
        <f>"H0024178"</f>
        <v>H0024178</v>
      </c>
      <c r="B12469" s="5" t="str">
        <f t="shared" si="637"/>
        <v>CAMA ELECTRICA ADULTOS</v>
      </c>
      <c r="C12469" s="6">
        <v>5746930</v>
      </c>
      <c r="D12469" s="5" t="s">
        <v>36</v>
      </c>
      <c r="E12469" s="5" t="str">
        <f t="shared" si="636"/>
        <v>ACTISALUD-PISO 9-GUSTAVO GOMEZ</v>
      </c>
      <c r="F12469" s="5"/>
      <c r="G12469" s="5"/>
    </row>
    <row r="12470" spans="1:7" ht="58.5" customHeight="1" x14ac:dyDescent="0.25">
      <c r="A12470" s="5" t="str">
        <f>"H0024179"</f>
        <v>H0024179</v>
      </c>
      <c r="B12470" s="5" t="str">
        <f t="shared" si="637"/>
        <v>CAMA ELECTRICA ADULTOS</v>
      </c>
      <c r="C12470" s="6">
        <v>5746930</v>
      </c>
      <c r="D12470" s="5" t="s">
        <v>36</v>
      </c>
      <c r="E12470" s="5" t="str">
        <f t="shared" si="636"/>
        <v>ACTISALUD-PISO 9-GUSTAVO GOMEZ</v>
      </c>
      <c r="F12470" s="5"/>
      <c r="G12470" s="5"/>
    </row>
    <row r="12471" spans="1:7" ht="58.5" customHeight="1" x14ac:dyDescent="0.25">
      <c r="A12471" s="5" t="str">
        <f>"H0024184"</f>
        <v>H0024184</v>
      </c>
      <c r="B12471" s="5" t="str">
        <f t="shared" si="637"/>
        <v>CAMA ELECTRICA ADULTOS</v>
      </c>
      <c r="C12471" s="6">
        <v>5746930</v>
      </c>
      <c r="D12471" s="5" t="s">
        <v>36</v>
      </c>
      <c r="E12471" s="5" t="str">
        <f t="shared" si="636"/>
        <v>ACTISALUD-PISO 9-GUSTAVO GOMEZ</v>
      </c>
      <c r="F12471" s="5"/>
      <c r="G12471" s="5"/>
    </row>
    <row r="12472" spans="1:7" ht="58.5" customHeight="1" x14ac:dyDescent="0.25">
      <c r="A12472" s="5" t="str">
        <f>"H0024185"</f>
        <v>H0024185</v>
      </c>
      <c r="B12472" s="5" t="str">
        <f t="shared" si="637"/>
        <v>CAMA ELECTRICA ADULTOS</v>
      </c>
      <c r="C12472" s="6">
        <v>5746930</v>
      </c>
      <c r="D12472" s="5" t="s">
        <v>36</v>
      </c>
      <c r="E12472" s="5" t="str">
        <f t="shared" si="636"/>
        <v>ACTISALUD-PISO 9-GUSTAVO GOMEZ</v>
      </c>
      <c r="F12472" s="5"/>
      <c r="G12472" s="5"/>
    </row>
    <row r="12473" spans="1:7" ht="58.5" customHeight="1" x14ac:dyDescent="0.25">
      <c r="A12473" s="5" t="str">
        <f>"H0024186"</f>
        <v>H0024186</v>
      </c>
      <c r="B12473" s="5" t="str">
        <f t="shared" si="637"/>
        <v>CAMA ELECTRICA ADULTOS</v>
      </c>
      <c r="C12473" s="6">
        <v>5746930</v>
      </c>
      <c r="D12473" s="5" t="s">
        <v>36</v>
      </c>
      <c r="E12473" s="5" t="str">
        <f t="shared" si="636"/>
        <v>ACTISALUD-PISO 9-GUSTAVO GOMEZ</v>
      </c>
      <c r="F12473" s="5"/>
      <c r="G12473" s="5"/>
    </row>
    <row r="12474" spans="1:7" ht="58.5" customHeight="1" x14ac:dyDescent="0.25">
      <c r="A12474" s="5" t="str">
        <f>"H0024187"</f>
        <v>H0024187</v>
      </c>
      <c r="B12474" s="5" t="str">
        <f t="shared" si="637"/>
        <v>CAMA ELECTRICA ADULTOS</v>
      </c>
      <c r="C12474" s="6">
        <v>5746930</v>
      </c>
      <c r="D12474" s="5" t="s">
        <v>36</v>
      </c>
      <c r="E12474" s="5" t="str">
        <f t="shared" si="636"/>
        <v>ACTISALUD-PISO 9-GUSTAVO GOMEZ</v>
      </c>
      <c r="F12474" s="5"/>
      <c r="G12474" s="5"/>
    </row>
    <row r="12475" spans="1:7" ht="58.5" customHeight="1" x14ac:dyDescent="0.25">
      <c r="A12475" s="5" t="str">
        <f>"H0024189"</f>
        <v>H0024189</v>
      </c>
      <c r="B12475" s="5" t="str">
        <f t="shared" si="637"/>
        <v>CAMA ELECTRICA ADULTOS</v>
      </c>
      <c r="C12475" s="6">
        <v>5746930</v>
      </c>
      <c r="D12475" s="5" t="s">
        <v>36</v>
      </c>
      <c r="E12475" s="5" t="str">
        <f t="shared" si="636"/>
        <v>ACTISALUD-PISO 9-GUSTAVO GOMEZ</v>
      </c>
      <c r="F12475" s="5"/>
      <c r="G12475" s="5"/>
    </row>
    <row r="12476" spans="1:7" ht="58.5" customHeight="1" x14ac:dyDescent="0.25">
      <c r="A12476" s="5" t="str">
        <f>"H0024193"</f>
        <v>H0024193</v>
      </c>
      <c r="B12476" s="5" t="str">
        <f t="shared" si="637"/>
        <v>CAMA ELECTRICA ADULTOS</v>
      </c>
      <c r="C12476" s="6">
        <v>5746930</v>
      </c>
      <c r="D12476" s="5" t="s">
        <v>36</v>
      </c>
      <c r="E12476" s="5" t="str">
        <f t="shared" si="636"/>
        <v>ACTISALUD-PISO 9-GUSTAVO GOMEZ</v>
      </c>
      <c r="F12476" s="5"/>
      <c r="G12476" s="5"/>
    </row>
    <row r="12477" spans="1:7" ht="58.5" customHeight="1" x14ac:dyDescent="0.25">
      <c r="A12477" s="5" t="str">
        <f>"H0024307"</f>
        <v>H0024307</v>
      </c>
      <c r="B12477" s="5" t="str">
        <f t="shared" si="637"/>
        <v>CAMA ELECTRICA ADULTOS</v>
      </c>
      <c r="C12477" s="6">
        <v>5746930</v>
      </c>
      <c r="D12477" s="5" t="s">
        <v>36</v>
      </c>
      <c r="E12477" s="5" t="str">
        <f t="shared" si="636"/>
        <v>ACTISALUD-PISO 9-GUSTAVO GOMEZ</v>
      </c>
      <c r="F12477" s="5"/>
      <c r="G12477" s="5"/>
    </row>
    <row r="12478" spans="1:7" ht="58.5" customHeight="1" x14ac:dyDescent="0.25">
      <c r="A12478" s="5" t="str">
        <f>"H0024319"</f>
        <v>H0024319</v>
      </c>
      <c r="B12478" s="5" t="str">
        <f t="shared" si="637"/>
        <v>CAMA ELECTRICA ADULTOS</v>
      </c>
      <c r="C12478" s="6">
        <v>5746930</v>
      </c>
      <c r="D12478" s="5" t="s">
        <v>36</v>
      </c>
      <c r="E12478" s="5" t="str">
        <f t="shared" si="636"/>
        <v>ACTISALUD-PISO 9-GUSTAVO GOMEZ</v>
      </c>
      <c r="F12478" s="5"/>
      <c r="G12478" s="5"/>
    </row>
    <row r="12479" spans="1:7" ht="58.5" customHeight="1" x14ac:dyDescent="0.25">
      <c r="A12479" s="5" t="str">
        <f>"H0024320"</f>
        <v>H0024320</v>
      </c>
      <c r="B12479" s="5" t="str">
        <f t="shared" si="637"/>
        <v>CAMA ELECTRICA ADULTOS</v>
      </c>
      <c r="C12479" s="6">
        <v>5746930</v>
      </c>
      <c r="D12479" s="5" t="s">
        <v>36</v>
      </c>
      <c r="E12479" s="5" t="str">
        <f t="shared" si="636"/>
        <v>ACTISALUD-PISO 9-GUSTAVO GOMEZ</v>
      </c>
      <c r="F12479" s="5"/>
      <c r="G12479" s="5"/>
    </row>
    <row r="12480" spans="1:7" ht="58.5" customHeight="1" x14ac:dyDescent="0.25">
      <c r="A12480" s="5" t="str">
        <f>"H0024321"</f>
        <v>H0024321</v>
      </c>
      <c r="B12480" s="5" t="str">
        <f t="shared" si="637"/>
        <v>CAMA ELECTRICA ADULTOS</v>
      </c>
      <c r="C12480" s="6">
        <v>5746930</v>
      </c>
      <c r="D12480" s="5" t="s">
        <v>36</v>
      </c>
      <c r="E12480" s="5" t="str">
        <f t="shared" si="636"/>
        <v>ACTISALUD-PISO 9-GUSTAVO GOMEZ</v>
      </c>
      <c r="F12480" s="5"/>
      <c r="G12480" s="5"/>
    </row>
    <row r="12481" spans="1:7" ht="58.5" customHeight="1" x14ac:dyDescent="0.25">
      <c r="A12481" s="5" t="str">
        <f>"H0024322"</f>
        <v>H0024322</v>
      </c>
      <c r="B12481" s="5" t="str">
        <f t="shared" si="637"/>
        <v>CAMA ELECTRICA ADULTOS</v>
      </c>
      <c r="C12481" s="6">
        <v>5746930</v>
      </c>
      <c r="D12481" s="5" t="s">
        <v>36</v>
      </c>
      <c r="E12481" s="5" t="str">
        <f t="shared" si="636"/>
        <v>ACTISALUD-PISO 9-GUSTAVO GOMEZ</v>
      </c>
      <c r="F12481" s="5"/>
      <c r="G12481" s="5"/>
    </row>
    <row r="12482" spans="1:7" ht="58.5" customHeight="1" x14ac:dyDescent="0.25">
      <c r="A12482" s="5" t="str">
        <f>"H0024326"</f>
        <v>H0024326</v>
      </c>
      <c r="B12482" s="5" t="str">
        <f t="shared" si="637"/>
        <v>CAMA ELECTRICA ADULTOS</v>
      </c>
      <c r="C12482" s="6">
        <v>5746930</v>
      </c>
      <c r="D12482" s="5" t="s">
        <v>36</v>
      </c>
      <c r="E12482" s="5" t="str">
        <f t="shared" si="636"/>
        <v>ACTISALUD-PISO 9-GUSTAVO GOMEZ</v>
      </c>
      <c r="F12482" s="5"/>
      <c r="G12482" s="5"/>
    </row>
    <row r="12483" spans="1:7" ht="58.5" customHeight="1" x14ac:dyDescent="0.25">
      <c r="A12483" s="5" t="str">
        <f>"H0024334"</f>
        <v>H0024334</v>
      </c>
      <c r="B12483" s="5" t="str">
        <f t="shared" si="637"/>
        <v>CAMA ELECTRICA ADULTOS</v>
      </c>
      <c r="C12483" s="6">
        <v>5746930</v>
      </c>
      <c r="D12483" s="5" t="s">
        <v>36</v>
      </c>
      <c r="E12483" s="5" t="str">
        <f t="shared" si="636"/>
        <v>ACTISALUD-PISO 9-GUSTAVO GOMEZ</v>
      </c>
      <c r="F12483" s="5"/>
      <c r="G12483" s="5"/>
    </row>
    <row r="12484" spans="1:7" ht="58.5" customHeight="1" x14ac:dyDescent="0.25">
      <c r="A12484" s="5" t="str">
        <f>"H0024335"</f>
        <v>H0024335</v>
      </c>
      <c r="B12484" s="5" t="str">
        <f t="shared" si="637"/>
        <v>CAMA ELECTRICA ADULTOS</v>
      </c>
      <c r="C12484" s="6">
        <v>5746930</v>
      </c>
      <c r="D12484" s="5" t="s">
        <v>36</v>
      </c>
      <c r="E12484" s="5" t="str">
        <f t="shared" si="636"/>
        <v>ACTISALUD-PISO 9-GUSTAVO GOMEZ</v>
      </c>
      <c r="F12484" s="5"/>
      <c r="G12484" s="5"/>
    </row>
    <row r="12485" spans="1:7" ht="58.5" customHeight="1" x14ac:dyDescent="0.25">
      <c r="A12485" s="5" t="str">
        <f>"H0024355"</f>
        <v>H0024355</v>
      </c>
      <c r="B12485" s="5" t="str">
        <f t="shared" si="637"/>
        <v>CAMA ELECTRICA ADULTOS</v>
      </c>
      <c r="C12485" s="6">
        <v>5746930</v>
      </c>
      <c r="D12485" s="5" t="s">
        <v>36</v>
      </c>
      <c r="E12485" s="5" t="str">
        <f t="shared" si="636"/>
        <v>ACTISALUD-PISO 9-GUSTAVO GOMEZ</v>
      </c>
      <c r="F12485" s="5"/>
      <c r="G12485" s="5"/>
    </row>
    <row r="12486" spans="1:7" ht="58.5" customHeight="1" x14ac:dyDescent="0.25">
      <c r="A12486" s="5" t="str">
        <f>"H0024356"</f>
        <v>H0024356</v>
      </c>
      <c r="B12486" s="5" t="str">
        <f t="shared" si="637"/>
        <v>CAMA ELECTRICA ADULTOS</v>
      </c>
      <c r="C12486" s="6">
        <v>5746930</v>
      </c>
      <c r="D12486" s="5" t="s">
        <v>36</v>
      </c>
      <c r="E12486" s="5" t="str">
        <f t="shared" si="636"/>
        <v>ACTISALUD-PISO 9-GUSTAVO GOMEZ</v>
      </c>
      <c r="F12486" s="5"/>
      <c r="G12486" s="5"/>
    </row>
    <row r="12487" spans="1:7" ht="58.5" customHeight="1" x14ac:dyDescent="0.25">
      <c r="A12487" s="5" t="str">
        <f>"H0024359"</f>
        <v>H0024359</v>
      </c>
      <c r="B12487" s="5" t="str">
        <f t="shared" si="637"/>
        <v>CAMA ELECTRICA ADULTOS</v>
      </c>
      <c r="C12487" s="6">
        <v>5746930</v>
      </c>
      <c r="D12487" s="5" t="s">
        <v>36</v>
      </c>
      <c r="E12487" s="5" t="str">
        <f t="shared" si="636"/>
        <v>ACTISALUD-PISO 9-GUSTAVO GOMEZ</v>
      </c>
      <c r="F12487" s="5"/>
      <c r="G12487" s="5"/>
    </row>
    <row r="12488" spans="1:7" ht="58.5" customHeight="1" x14ac:dyDescent="0.25">
      <c r="A12488" s="5" t="str">
        <f>"H0024360"</f>
        <v>H0024360</v>
      </c>
      <c r="B12488" s="5" t="str">
        <f t="shared" si="637"/>
        <v>CAMA ELECTRICA ADULTOS</v>
      </c>
      <c r="C12488" s="6">
        <v>5746930</v>
      </c>
      <c r="D12488" s="5" t="s">
        <v>36</v>
      </c>
      <c r="E12488" s="5" t="str">
        <f t="shared" si="636"/>
        <v>ACTISALUD-PISO 9-GUSTAVO GOMEZ</v>
      </c>
      <c r="F12488" s="5"/>
      <c r="G12488" s="5"/>
    </row>
    <row r="12489" spans="1:7" ht="58.5" customHeight="1" x14ac:dyDescent="0.25">
      <c r="A12489" s="5" t="str">
        <f>"H0024361"</f>
        <v>H0024361</v>
      </c>
      <c r="B12489" s="5" t="str">
        <f t="shared" si="637"/>
        <v>CAMA ELECTRICA ADULTOS</v>
      </c>
      <c r="C12489" s="6">
        <v>5746930</v>
      </c>
      <c r="D12489" s="5" t="s">
        <v>36</v>
      </c>
      <c r="E12489" s="5" t="str">
        <f t="shared" si="636"/>
        <v>ACTISALUD-PISO 9-GUSTAVO GOMEZ</v>
      </c>
      <c r="F12489" s="5"/>
      <c r="G12489" s="5"/>
    </row>
    <row r="12490" spans="1:7" ht="58.5" customHeight="1" x14ac:dyDescent="0.25">
      <c r="A12490" s="5" t="str">
        <f>"H0024362"</f>
        <v>H0024362</v>
      </c>
      <c r="B12490" s="5" t="str">
        <f t="shared" si="637"/>
        <v>CAMA ELECTRICA ADULTOS</v>
      </c>
      <c r="C12490" s="6">
        <v>5746930</v>
      </c>
      <c r="D12490" s="5" t="s">
        <v>36</v>
      </c>
      <c r="E12490" s="5" t="str">
        <f t="shared" si="636"/>
        <v>ACTISALUD-PISO 9-GUSTAVO GOMEZ</v>
      </c>
      <c r="F12490" s="5"/>
      <c r="G12490" s="5"/>
    </row>
    <row r="12491" spans="1:7" ht="58.5" customHeight="1" x14ac:dyDescent="0.25">
      <c r="A12491" s="5" t="str">
        <f>"H0024363"</f>
        <v>H0024363</v>
      </c>
      <c r="B12491" s="5" t="str">
        <f t="shared" si="637"/>
        <v>CAMA ELECTRICA ADULTOS</v>
      </c>
      <c r="C12491" s="6">
        <v>5746930</v>
      </c>
      <c r="D12491" s="5" t="s">
        <v>36</v>
      </c>
      <c r="E12491" s="5" t="str">
        <f t="shared" si="636"/>
        <v>ACTISALUD-PISO 9-GUSTAVO GOMEZ</v>
      </c>
      <c r="F12491" s="5"/>
      <c r="G12491" s="5"/>
    </row>
    <row r="12492" spans="1:7" ht="58.5" customHeight="1" x14ac:dyDescent="0.25">
      <c r="A12492" s="5" t="str">
        <f>"H0024364"</f>
        <v>H0024364</v>
      </c>
      <c r="B12492" s="5" t="str">
        <f t="shared" si="637"/>
        <v>CAMA ELECTRICA ADULTOS</v>
      </c>
      <c r="C12492" s="6">
        <v>5746930</v>
      </c>
      <c r="D12492" s="5" t="s">
        <v>36</v>
      </c>
      <c r="E12492" s="5" t="str">
        <f t="shared" si="636"/>
        <v>ACTISALUD-PISO 9-GUSTAVO GOMEZ</v>
      </c>
      <c r="F12492" s="5"/>
      <c r="G12492" s="5"/>
    </row>
    <row r="12493" spans="1:7" ht="58.5" customHeight="1" x14ac:dyDescent="0.25">
      <c r="A12493" s="5" t="str">
        <f>"H0024365"</f>
        <v>H0024365</v>
      </c>
      <c r="B12493" s="5" t="str">
        <f t="shared" si="637"/>
        <v>CAMA ELECTRICA ADULTOS</v>
      </c>
      <c r="C12493" s="6">
        <v>5746930</v>
      </c>
      <c r="D12493" s="5" t="s">
        <v>36</v>
      </c>
      <c r="E12493" s="5" t="str">
        <f t="shared" si="636"/>
        <v>ACTISALUD-PISO 9-GUSTAVO GOMEZ</v>
      </c>
      <c r="F12493" s="5"/>
      <c r="G12493" s="5"/>
    </row>
    <row r="12494" spans="1:7" ht="58.5" customHeight="1" x14ac:dyDescent="0.25">
      <c r="A12494" s="5" t="str">
        <f>"H0024366"</f>
        <v>H0024366</v>
      </c>
      <c r="B12494" s="5" t="str">
        <f t="shared" si="637"/>
        <v>CAMA ELECTRICA ADULTOS</v>
      </c>
      <c r="C12494" s="6">
        <v>5746930</v>
      </c>
      <c r="D12494" s="5" t="s">
        <v>36</v>
      </c>
      <c r="E12494" s="5" t="str">
        <f t="shared" si="636"/>
        <v>ACTISALUD-PISO 9-GUSTAVO GOMEZ</v>
      </c>
      <c r="F12494" s="5"/>
      <c r="G12494" s="5"/>
    </row>
    <row r="12495" spans="1:7" ht="58.5" customHeight="1" x14ac:dyDescent="0.25">
      <c r="A12495" s="5" t="str">
        <f>"H0024367"</f>
        <v>H0024367</v>
      </c>
      <c r="B12495" s="5" t="str">
        <f t="shared" si="637"/>
        <v>CAMA ELECTRICA ADULTOS</v>
      </c>
      <c r="C12495" s="6">
        <v>5746930</v>
      </c>
      <c r="D12495" s="5" t="s">
        <v>36</v>
      </c>
      <c r="E12495" s="5" t="str">
        <f t="shared" si="636"/>
        <v>ACTISALUD-PISO 9-GUSTAVO GOMEZ</v>
      </c>
      <c r="F12495" s="5"/>
      <c r="G12495" s="5"/>
    </row>
    <row r="12496" spans="1:7" ht="58.5" customHeight="1" x14ac:dyDescent="0.25">
      <c r="A12496" s="5" t="str">
        <f>"H0024368"</f>
        <v>H0024368</v>
      </c>
      <c r="B12496" s="5" t="str">
        <f t="shared" si="637"/>
        <v>CAMA ELECTRICA ADULTOS</v>
      </c>
      <c r="C12496" s="6">
        <v>5746930</v>
      </c>
      <c r="D12496" s="5" t="s">
        <v>36</v>
      </c>
      <c r="E12496" s="5" t="str">
        <f t="shared" si="636"/>
        <v>ACTISALUD-PISO 9-GUSTAVO GOMEZ</v>
      </c>
      <c r="F12496" s="5"/>
      <c r="G12496" s="5"/>
    </row>
    <row r="12497" spans="1:7" ht="58.5" customHeight="1" x14ac:dyDescent="0.25">
      <c r="A12497" s="5" t="str">
        <f>"H0024369"</f>
        <v>H0024369</v>
      </c>
      <c r="B12497" s="5" t="str">
        <f t="shared" si="637"/>
        <v>CAMA ELECTRICA ADULTOS</v>
      </c>
      <c r="C12497" s="6">
        <v>5746930</v>
      </c>
      <c r="D12497" s="5" t="s">
        <v>36</v>
      </c>
      <c r="E12497" s="5" t="str">
        <f t="shared" si="636"/>
        <v>ACTISALUD-PISO 9-GUSTAVO GOMEZ</v>
      </c>
      <c r="F12497" s="5"/>
      <c r="G12497" s="5"/>
    </row>
    <row r="12498" spans="1:7" ht="58.5" customHeight="1" x14ac:dyDescent="0.25">
      <c r="A12498" s="5" t="str">
        <f>"H0024370"</f>
        <v>H0024370</v>
      </c>
      <c r="B12498" s="5" t="str">
        <f t="shared" si="637"/>
        <v>CAMA ELECTRICA ADULTOS</v>
      </c>
      <c r="C12498" s="6">
        <v>5746930</v>
      </c>
      <c r="D12498" s="5" t="s">
        <v>36</v>
      </c>
      <c r="E12498" s="5" t="str">
        <f t="shared" si="636"/>
        <v>ACTISALUD-PISO 9-GUSTAVO GOMEZ</v>
      </c>
      <c r="F12498" s="5"/>
      <c r="G12498" s="5"/>
    </row>
    <row r="12499" spans="1:7" ht="58.5" customHeight="1" x14ac:dyDescent="0.25">
      <c r="A12499" s="5" t="str">
        <f>"H0024371"</f>
        <v>H0024371</v>
      </c>
      <c r="B12499" s="5" t="str">
        <f t="shared" si="637"/>
        <v>CAMA ELECTRICA ADULTOS</v>
      </c>
      <c r="C12499" s="6">
        <v>5746930</v>
      </c>
      <c r="D12499" s="5" t="s">
        <v>36</v>
      </c>
      <c r="E12499" s="5" t="str">
        <f t="shared" si="636"/>
        <v>ACTISALUD-PISO 9-GUSTAVO GOMEZ</v>
      </c>
      <c r="F12499" s="5"/>
      <c r="G12499" s="5"/>
    </row>
    <row r="12500" spans="1:7" ht="58.5" customHeight="1" x14ac:dyDescent="0.25">
      <c r="A12500" s="5" t="str">
        <f>"H0024372"</f>
        <v>H0024372</v>
      </c>
      <c r="B12500" s="5" t="str">
        <f t="shared" si="637"/>
        <v>CAMA ELECTRICA ADULTOS</v>
      </c>
      <c r="C12500" s="6">
        <v>5746930</v>
      </c>
      <c r="D12500" s="5" t="s">
        <v>36</v>
      </c>
      <c r="E12500" s="5" t="str">
        <f t="shared" si="636"/>
        <v>ACTISALUD-PISO 9-GUSTAVO GOMEZ</v>
      </c>
      <c r="F12500" s="5"/>
      <c r="G12500" s="5"/>
    </row>
    <row r="12501" spans="1:7" ht="58.5" customHeight="1" x14ac:dyDescent="0.25">
      <c r="A12501" s="5" t="str">
        <f>"H0024373"</f>
        <v>H0024373</v>
      </c>
      <c r="B12501" s="5" t="str">
        <f t="shared" si="637"/>
        <v>CAMA ELECTRICA ADULTOS</v>
      </c>
      <c r="C12501" s="6">
        <v>5746930</v>
      </c>
      <c r="D12501" s="5" t="s">
        <v>36</v>
      </c>
      <c r="E12501" s="5" t="str">
        <f t="shared" si="636"/>
        <v>ACTISALUD-PISO 9-GUSTAVO GOMEZ</v>
      </c>
      <c r="F12501" s="5"/>
      <c r="G12501" s="5"/>
    </row>
    <row r="12502" spans="1:7" ht="58.5" customHeight="1" x14ac:dyDescent="0.25">
      <c r="A12502" s="5" t="str">
        <f>"H0024375"</f>
        <v>H0024375</v>
      </c>
      <c r="B12502" s="5" t="str">
        <f t="shared" si="637"/>
        <v>CAMA ELECTRICA ADULTOS</v>
      </c>
      <c r="C12502" s="6">
        <v>5746930</v>
      </c>
      <c r="D12502" s="5" t="s">
        <v>36</v>
      </c>
      <c r="E12502" s="5" t="str">
        <f t="shared" si="636"/>
        <v>ACTISALUD-PISO 9-GUSTAVO GOMEZ</v>
      </c>
      <c r="F12502" s="5"/>
      <c r="G12502" s="5"/>
    </row>
    <row r="12503" spans="1:7" ht="58.5" customHeight="1" x14ac:dyDescent="0.25">
      <c r="A12503" s="5" t="str">
        <f>"H0024377"</f>
        <v>H0024377</v>
      </c>
      <c r="B12503" s="5" t="str">
        <f t="shared" si="637"/>
        <v>CAMA ELECTRICA ADULTOS</v>
      </c>
      <c r="C12503" s="6">
        <v>5746930</v>
      </c>
      <c r="D12503" s="5" t="s">
        <v>36</v>
      </c>
      <c r="E12503" s="5" t="str">
        <f t="shared" si="636"/>
        <v>ACTISALUD-PISO 9-GUSTAVO GOMEZ</v>
      </c>
      <c r="F12503" s="5"/>
      <c r="G12503" s="5"/>
    </row>
    <row r="12504" spans="1:7" ht="58.5" customHeight="1" x14ac:dyDescent="0.25">
      <c r="A12504" s="5" t="str">
        <f>"H0024379"</f>
        <v>H0024379</v>
      </c>
      <c r="B12504" s="5" t="str">
        <f t="shared" si="637"/>
        <v>CAMA ELECTRICA ADULTOS</v>
      </c>
      <c r="C12504" s="6">
        <v>5746930</v>
      </c>
      <c r="D12504" s="5" t="s">
        <v>36</v>
      </c>
      <c r="E12504" s="5" t="str">
        <f t="shared" si="636"/>
        <v>ACTISALUD-PISO 9-GUSTAVO GOMEZ</v>
      </c>
      <c r="F12504" s="5"/>
      <c r="G12504" s="5"/>
    </row>
    <row r="12505" spans="1:7" ht="58.5" customHeight="1" x14ac:dyDescent="0.25">
      <c r="A12505" s="5" t="str">
        <f>"H0024496"</f>
        <v>H0024496</v>
      </c>
      <c r="B12505" s="5" t="str">
        <f t="shared" si="637"/>
        <v>CAMA ELECTRICA ADULTOS</v>
      </c>
      <c r="C12505" s="6">
        <v>5746930</v>
      </c>
      <c r="D12505" s="5" t="s">
        <v>36</v>
      </c>
      <c r="E12505" s="5" t="str">
        <f t="shared" si="636"/>
        <v>ACTISALUD-PISO 9-GUSTAVO GOMEZ</v>
      </c>
      <c r="F12505" s="5"/>
      <c r="G12505" s="5"/>
    </row>
    <row r="12506" spans="1:7" ht="58.5" customHeight="1" x14ac:dyDescent="0.25">
      <c r="A12506" s="5" t="str">
        <f>"H0024518"</f>
        <v>H0024518</v>
      </c>
      <c r="B1250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2506" s="6">
        <v>2600000</v>
      </c>
      <c r="D12506" s="5" t="s">
        <v>36</v>
      </c>
      <c r="E12506" s="5" t="str">
        <f t="shared" ref="E12506:E12569" si="638">"ACTISALUD-PISO 9-GUSTAVO GOMEZ"</f>
        <v>ACTISALUD-PISO 9-GUSTAVO GOMEZ</v>
      </c>
      <c r="F12506" s="5"/>
      <c r="G12506" s="5"/>
    </row>
    <row r="12507" spans="1:7" ht="58.5" customHeight="1" x14ac:dyDescent="0.25">
      <c r="A12507" s="5" t="str">
        <f>"H0024519"</f>
        <v>H0024519</v>
      </c>
      <c r="B1250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2507" s="6">
        <v>2600000</v>
      </c>
      <c r="D12507" s="5" t="s">
        <v>36</v>
      </c>
      <c r="E12507" s="5" t="str">
        <f t="shared" si="638"/>
        <v>ACTISALUD-PISO 9-GUSTAVO GOMEZ</v>
      </c>
      <c r="F12507" s="5"/>
      <c r="G12507" s="5"/>
    </row>
    <row r="12508" spans="1:7" ht="58.5" customHeight="1" x14ac:dyDescent="0.25">
      <c r="A12508" s="5" t="str">
        <f>"H0024534"</f>
        <v>H0024534</v>
      </c>
      <c r="B1250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2508" s="6">
        <v>2600000</v>
      </c>
      <c r="D12508" s="5" t="s">
        <v>36</v>
      </c>
      <c r="E12508" s="5" t="str">
        <f t="shared" si="638"/>
        <v>ACTISALUD-PISO 9-GUSTAVO GOMEZ</v>
      </c>
      <c r="F12508" s="5"/>
      <c r="G12508" s="5"/>
    </row>
    <row r="12509" spans="1:7" ht="58.5" customHeight="1" x14ac:dyDescent="0.25">
      <c r="A12509" s="5" t="str">
        <f>"H0024535"</f>
        <v>H0024535</v>
      </c>
      <c r="B1250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2509" s="6">
        <v>2600000</v>
      </c>
      <c r="D12509" s="5" t="s">
        <v>36</v>
      </c>
      <c r="E12509" s="5" t="str">
        <f t="shared" si="638"/>
        <v>ACTISALUD-PISO 9-GUSTAVO GOMEZ</v>
      </c>
      <c r="F12509" s="5"/>
      <c r="G12509" s="5"/>
    </row>
    <row r="12510" spans="1:7" ht="58.5" customHeight="1" x14ac:dyDescent="0.25">
      <c r="A12510" s="5" t="str">
        <f>"H0024646"</f>
        <v>H0024646</v>
      </c>
      <c r="B12510" s="5" t="str">
        <f>"SUCCIONADOR (DONACION)"</f>
        <v>SUCCIONADOR (DONACION)</v>
      </c>
      <c r="C12510" s="6">
        <v>406000</v>
      </c>
      <c r="D12510" s="5" t="s">
        <v>64</v>
      </c>
      <c r="E12510" s="5" t="str">
        <f t="shared" si="638"/>
        <v>ACTISALUD-PISO 9-GUSTAVO GOMEZ</v>
      </c>
      <c r="F12510" s="5"/>
      <c r="G12510" s="5"/>
    </row>
    <row r="12511" spans="1:7" ht="58.5" customHeight="1" x14ac:dyDescent="0.25">
      <c r="A12511" s="5" t="str">
        <f>"H0025080"</f>
        <v>H0025080</v>
      </c>
      <c r="B12511" s="5" t="s">
        <v>65</v>
      </c>
      <c r="C12511" s="6">
        <v>115394.48</v>
      </c>
      <c r="D12511" s="5" t="s">
        <v>10</v>
      </c>
      <c r="E12511" s="5" t="str">
        <f t="shared" si="638"/>
        <v>ACTISALUD-PISO 9-GUSTAVO GOMEZ</v>
      </c>
      <c r="F12511" s="5"/>
      <c r="G12511" s="5"/>
    </row>
    <row r="12512" spans="1:7" ht="58.5" customHeight="1" x14ac:dyDescent="0.25">
      <c r="A12512" s="5" t="str">
        <f>"H0025294"</f>
        <v>H0025294</v>
      </c>
      <c r="B12512" s="5" t="str">
        <f>"NEVERA DE 50 LITROS CONDENSADORA OCULTO"</f>
        <v>NEVERA DE 50 LITROS CONDENSADORA OCULTO</v>
      </c>
      <c r="C12512" s="6">
        <v>418951.4</v>
      </c>
      <c r="D12512" s="5" t="s">
        <v>10</v>
      </c>
      <c r="E12512" s="5" t="str">
        <f t="shared" si="638"/>
        <v>ACTISALUD-PISO 9-GUSTAVO GOMEZ</v>
      </c>
      <c r="F12512" s="5"/>
      <c r="G12512" s="5" t="str">
        <f>"CR-086"</f>
        <v>CR-086</v>
      </c>
    </row>
    <row r="12513" spans="1:7" ht="58.5" customHeight="1" x14ac:dyDescent="0.25">
      <c r="A12513" s="5" t="str">
        <f>"H0025379"</f>
        <v>H0025379</v>
      </c>
      <c r="B1251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2513" s="6">
        <v>312156</v>
      </c>
      <c r="D12513" s="5" t="s">
        <v>10</v>
      </c>
      <c r="E12513" s="5" t="str">
        <f t="shared" si="638"/>
        <v>ACTISALUD-PISO 9-GUSTAVO GOMEZ</v>
      </c>
      <c r="F12513" s="5"/>
      <c r="G12513" s="5"/>
    </row>
    <row r="12514" spans="1:7" ht="58.5" customHeight="1" x14ac:dyDescent="0.25">
      <c r="A12514" s="5" t="str">
        <f>"H0025436"</f>
        <v>H0025436</v>
      </c>
      <c r="B1251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2514" s="6">
        <v>312156</v>
      </c>
      <c r="D12514" s="5" t="s">
        <v>10</v>
      </c>
      <c r="E12514" s="5" t="str">
        <f t="shared" si="638"/>
        <v>ACTISALUD-PISO 9-GUSTAVO GOMEZ</v>
      </c>
      <c r="F12514" s="5"/>
      <c r="G12514" s="5"/>
    </row>
    <row r="12515" spans="1:7" ht="58.5" customHeight="1" x14ac:dyDescent="0.25">
      <c r="A12515" s="5" t="str">
        <f>"H0025499"</f>
        <v>H0025499</v>
      </c>
      <c r="B12515" s="5" t="str">
        <f>"SILLA ESCRITORIO VARIAS (Donación ACTISALUD)"</f>
        <v>SILLA ESCRITORIO VARIAS (Donación ACTISALUD)</v>
      </c>
      <c r="C12515" s="6">
        <v>113266.66</v>
      </c>
      <c r="D12515" s="5" t="s">
        <v>9</v>
      </c>
      <c r="E12515" s="5" t="str">
        <f t="shared" si="638"/>
        <v>ACTISALUD-PISO 9-GUSTAVO GOMEZ</v>
      </c>
      <c r="F12515" s="5"/>
      <c r="G12515" s="5"/>
    </row>
    <row r="12516" spans="1:7" ht="58.5" customHeight="1" x14ac:dyDescent="0.25">
      <c r="A12516" s="5" t="str">
        <f>"H0025552"</f>
        <v>H0025552</v>
      </c>
      <c r="B12516" s="5" t="str">
        <f t="shared" ref="B12516:B12524" si="639">"SILLA DE RUEDAS"</f>
        <v>SILLA DE RUEDAS</v>
      </c>
      <c r="C12516" s="6">
        <v>600000</v>
      </c>
      <c r="D12516" s="5" t="s">
        <v>149</v>
      </c>
      <c r="E12516" s="5" t="str">
        <f t="shared" si="638"/>
        <v>ACTISALUD-PISO 9-GUSTAVO GOMEZ</v>
      </c>
      <c r="F12516" s="5"/>
      <c r="G12516" s="5"/>
    </row>
    <row r="12517" spans="1:7" ht="58.5" customHeight="1" x14ac:dyDescent="0.25">
      <c r="A12517" s="5" t="str">
        <f>"H0025553"</f>
        <v>H0025553</v>
      </c>
      <c r="B12517" s="5" t="str">
        <f t="shared" si="639"/>
        <v>SILLA DE RUEDAS</v>
      </c>
      <c r="C12517" s="6">
        <v>600000</v>
      </c>
      <c r="D12517" s="5" t="s">
        <v>149</v>
      </c>
      <c r="E12517" s="5" t="str">
        <f t="shared" si="638"/>
        <v>ACTISALUD-PISO 9-GUSTAVO GOMEZ</v>
      </c>
      <c r="F12517" s="5"/>
      <c r="G12517" s="5"/>
    </row>
    <row r="12518" spans="1:7" ht="58.5" customHeight="1" x14ac:dyDescent="0.25">
      <c r="A12518" s="5" t="str">
        <f>"H0025960"</f>
        <v>H0025960</v>
      </c>
      <c r="B12518" s="5" t="str">
        <f t="shared" si="639"/>
        <v>SILLA DE RUEDAS</v>
      </c>
      <c r="C12518" s="6">
        <v>280000</v>
      </c>
      <c r="D12518" s="5" t="s">
        <v>77</v>
      </c>
      <c r="E12518" s="5" t="str">
        <f t="shared" si="638"/>
        <v>ACTISALUD-PISO 9-GUSTAVO GOMEZ</v>
      </c>
      <c r="F12518" s="5"/>
      <c r="G12518" s="5"/>
    </row>
    <row r="12519" spans="1:7" ht="58.5" customHeight="1" x14ac:dyDescent="0.25">
      <c r="A12519" s="5" t="str">
        <f>"H0025961"</f>
        <v>H0025961</v>
      </c>
      <c r="B12519" s="5" t="str">
        <f t="shared" si="639"/>
        <v>SILLA DE RUEDAS</v>
      </c>
      <c r="C12519" s="6">
        <v>280000</v>
      </c>
      <c r="D12519" s="5" t="s">
        <v>77</v>
      </c>
      <c r="E12519" s="5" t="str">
        <f t="shared" si="638"/>
        <v>ACTISALUD-PISO 9-GUSTAVO GOMEZ</v>
      </c>
      <c r="F12519" s="5"/>
      <c r="G12519" s="5"/>
    </row>
    <row r="12520" spans="1:7" ht="58.5" customHeight="1" x14ac:dyDescent="0.25">
      <c r="A12520" s="5" t="str">
        <f>"H0026027"</f>
        <v>H0026027</v>
      </c>
      <c r="B12520" s="5" t="str">
        <f t="shared" si="639"/>
        <v>SILLA DE RUEDAS</v>
      </c>
      <c r="C12520" s="6">
        <v>280000</v>
      </c>
      <c r="D12520" s="5" t="s">
        <v>77</v>
      </c>
      <c r="E12520" s="5" t="str">
        <f t="shared" si="638"/>
        <v>ACTISALUD-PISO 9-GUSTAVO GOMEZ</v>
      </c>
      <c r="F12520" s="5"/>
      <c r="G12520" s="5"/>
    </row>
    <row r="12521" spans="1:7" ht="58.5" customHeight="1" x14ac:dyDescent="0.25">
      <c r="A12521" s="5" t="str">
        <f>"H0026028"</f>
        <v>H0026028</v>
      </c>
      <c r="B12521" s="5" t="str">
        <f t="shared" si="639"/>
        <v>SILLA DE RUEDAS</v>
      </c>
      <c r="C12521" s="6">
        <v>280000</v>
      </c>
      <c r="D12521" s="5" t="s">
        <v>77</v>
      </c>
      <c r="E12521" s="5" t="str">
        <f t="shared" si="638"/>
        <v>ACTISALUD-PISO 9-GUSTAVO GOMEZ</v>
      </c>
      <c r="F12521" s="5"/>
      <c r="G12521" s="5"/>
    </row>
    <row r="12522" spans="1:7" ht="58.5" customHeight="1" x14ac:dyDescent="0.25">
      <c r="A12522" s="5" t="str">
        <f>"H0026038"</f>
        <v>H0026038</v>
      </c>
      <c r="B12522" s="5" t="str">
        <f t="shared" si="639"/>
        <v>SILLA DE RUEDAS</v>
      </c>
      <c r="C12522" s="6">
        <v>280000</v>
      </c>
      <c r="D12522" s="5" t="s">
        <v>77</v>
      </c>
      <c r="E12522" s="5" t="str">
        <f t="shared" si="638"/>
        <v>ACTISALUD-PISO 9-GUSTAVO GOMEZ</v>
      </c>
      <c r="F12522" s="5"/>
      <c r="G12522" s="5"/>
    </row>
    <row r="12523" spans="1:7" ht="58.5" customHeight="1" x14ac:dyDescent="0.25">
      <c r="A12523" s="5" t="str">
        <f>"H0026048"</f>
        <v>H0026048</v>
      </c>
      <c r="B12523" s="5" t="str">
        <f t="shared" si="639"/>
        <v>SILLA DE RUEDAS</v>
      </c>
      <c r="C12523" s="6">
        <v>280000</v>
      </c>
      <c r="D12523" s="5" t="s">
        <v>77</v>
      </c>
      <c r="E12523" s="5" t="str">
        <f t="shared" si="638"/>
        <v>ACTISALUD-PISO 9-GUSTAVO GOMEZ</v>
      </c>
      <c r="F12523" s="5"/>
      <c r="G12523" s="5"/>
    </row>
    <row r="12524" spans="1:7" ht="58.5" customHeight="1" x14ac:dyDescent="0.25">
      <c r="A12524" s="5" t="str">
        <f>"H0026053"</f>
        <v>H0026053</v>
      </c>
      <c r="B12524" s="5" t="str">
        <f t="shared" si="639"/>
        <v>SILLA DE RUEDAS</v>
      </c>
      <c r="C12524" s="6">
        <v>280000</v>
      </c>
      <c r="D12524" s="5" t="s">
        <v>77</v>
      </c>
      <c r="E12524" s="5" t="str">
        <f t="shared" si="638"/>
        <v>ACTISALUD-PISO 9-GUSTAVO GOMEZ</v>
      </c>
      <c r="F12524" s="5"/>
      <c r="G12524" s="5"/>
    </row>
    <row r="12525" spans="1:7" ht="58.5" customHeight="1" x14ac:dyDescent="0.25">
      <c r="A12525" s="5" t="str">
        <f>"H0026342"</f>
        <v>H0026342</v>
      </c>
      <c r="B12525" s="5" t="str">
        <f t="shared" ref="B12525:B12554" si="640">"UNIDAD DE LLAMADO DE ENFERMERIA PARA CAMA O BAÑO"</f>
        <v>UNIDAD DE LLAMADO DE ENFERMERIA PARA CAMA O BAÑO</v>
      </c>
      <c r="C12525" s="6">
        <v>131671.12</v>
      </c>
      <c r="D12525" s="5" t="s">
        <v>78</v>
      </c>
      <c r="E12525" s="5" t="str">
        <f t="shared" si="638"/>
        <v>ACTISALUD-PISO 9-GUSTAVO GOMEZ</v>
      </c>
      <c r="F12525" s="5"/>
      <c r="G12525" s="5"/>
    </row>
    <row r="12526" spans="1:7" ht="58.5" customHeight="1" x14ac:dyDescent="0.25">
      <c r="A12526" s="5" t="str">
        <f>"H0026343"</f>
        <v>H0026343</v>
      </c>
      <c r="B12526" s="5" t="str">
        <f t="shared" si="640"/>
        <v>UNIDAD DE LLAMADO DE ENFERMERIA PARA CAMA O BAÑO</v>
      </c>
      <c r="C12526" s="6">
        <v>131671.12</v>
      </c>
      <c r="D12526" s="5" t="s">
        <v>78</v>
      </c>
      <c r="E12526" s="5" t="str">
        <f t="shared" si="638"/>
        <v>ACTISALUD-PISO 9-GUSTAVO GOMEZ</v>
      </c>
      <c r="F12526" s="5"/>
      <c r="G12526" s="5"/>
    </row>
    <row r="12527" spans="1:7" ht="58.5" customHeight="1" x14ac:dyDescent="0.25">
      <c r="A12527" s="5" t="str">
        <f>"H0026344"</f>
        <v>H0026344</v>
      </c>
      <c r="B12527" s="5" t="str">
        <f t="shared" si="640"/>
        <v>UNIDAD DE LLAMADO DE ENFERMERIA PARA CAMA O BAÑO</v>
      </c>
      <c r="C12527" s="6">
        <v>131671.12</v>
      </c>
      <c r="D12527" s="5" t="s">
        <v>78</v>
      </c>
      <c r="E12527" s="5" t="str">
        <f t="shared" si="638"/>
        <v>ACTISALUD-PISO 9-GUSTAVO GOMEZ</v>
      </c>
      <c r="F12527" s="5"/>
      <c r="G12527" s="5"/>
    </row>
    <row r="12528" spans="1:7" ht="58.5" customHeight="1" x14ac:dyDescent="0.25">
      <c r="A12528" s="5" t="str">
        <f>"H0026345"</f>
        <v>H0026345</v>
      </c>
      <c r="B12528" s="5" t="str">
        <f t="shared" si="640"/>
        <v>UNIDAD DE LLAMADO DE ENFERMERIA PARA CAMA O BAÑO</v>
      </c>
      <c r="C12528" s="6">
        <v>131671.12</v>
      </c>
      <c r="D12528" s="5" t="s">
        <v>78</v>
      </c>
      <c r="E12528" s="5" t="str">
        <f t="shared" si="638"/>
        <v>ACTISALUD-PISO 9-GUSTAVO GOMEZ</v>
      </c>
      <c r="F12528" s="5"/>
      <c r="G12528" s="5"/>
    </row>
    <row r="12529" spans="1:7" ht="58.5" customHeight="1" x14ac:dyDescent="0.25">
      <c r="A12529" s="5" t="str">
        <f>"H0026346"</f>
        <v>H0026346</v>
      </c>
      <c r="B12529" s="5" t="str">
        <f t="shared" si="640"/>
        <v>UNIDAD DE LLAMADO DE ENFERMERIA PARA CAMA O BAÑO</v>
      </c>
      <c r="C12529" s="6">
        <v>131671.12</v>
      </c>
      <c r="D12529" s="5" t="s">
        <v>78</v>
      </c>
      <c r="E12529" s="5" t="str">
        <f t="shared" si="638"/>
        <v>ACTISALUD-PISO 9-GUSTAVO GOMEZ</v>
      </c>
      <c r="F12529" s="5"/>
      <c r="G12529" s="5"/>
    </row>
    <row r="12530" spans="1:7" ht="58.5" customHeight="1" x14ac:dyDescent="0.25">
      <c r="A12530" s="5" t="str">
        <f>"H0026347"</f>
        <v>H0026347</v>
      </c>
      <c r="B12530" s="5" t="str">
        <f t="shared" si="640"/>
        <v>UNIDAD DE LLAMADO DE ENFERMERIA PARA CAMA O BAÑO</v>
      </c>
      <c r="C12530" s="6">
        <v>131671.12</v>
      </c>
      <c r="D12530" s="5" t="s">
        <v>78</v>
      </c>
      <c r="E12530" s="5" t="str">
        <f t="shared" si="638"/>
        <v>ACTISALUD-PISO 9-GUSTAVO GOMEZ</v>
      </c>
      <c r="F12530" s="5"/>
      <c r="G12530" s="5"/>
    </row>
    <row r="12531" spans="1:7" ht="58.5" customHeight="1" x14ac:dyDescent="0.25">
      <c r="A12531" s="5" t="str">
        <f>"H0026348"</f>
        <v>H0026348</v>
      </c>
      <c r="B12531" s="5" t="str">
        <f t="shared" si="640"/>
        <v>UNIDAD DE LLAMADO DE ENFERMERIA PARA CAMA O BAÑO</v>
      </c>
      <c r="C12531" s="6">
        <v>131671.12</v>
      </c>
      <c r="D12531" s="5" t="s">
        <v>78</v>
      </c>
      <c r="E12531" s="5" t="str">
        <f t="shared" si="638"/>
        <v>ACTISALUD-PISO 9-GUSTAVO GOMEZ</v>
      </c>
      <c r="F12531" s="5"/>
      <c r="G12531" s="5"/>
    </row>
    <row r="12532" spans="1:7" ht="58.5" customHeight="1" x14ac:dyDescent="0.25">
      <c r="A12532" s="5" t="str">
        <f>"H0026349"</f>
        <v>H0026349</v>
      </c>
      <c r="B12532" s="5" t="str">
        <f t="shared" si="640"/>
        <v>UNIDAD DE LLAMADO DE ENFERMERIA PARA CAMA O BAÑO</v>
      </c>
      <c r="C12532" s="6">
        <v>131671.12</v>
      </c>
      <c r="D12532" s="5" t="s">
        <v>78</v>
      </c>
      <c r="E12532" s="5" t="str">
        <f t="shared" si="638"/>
        <v>ACTISALUD-PISO 9-GUSTAVO GOMEZ</v>
      </c>
      <c r="F12532" s="5"/>
      <c r="G12532" s="5"/>
    </row>
    <row r="12533" spans="1:7" ht="58.5" customHeight="1" x14ac:dyDescent="0.25">
      <c r="A12533" s="5" t="str">
        <f>"H0026350"</f>
        <v>H0026350</v>
      </c>
      <c r="B12533" s="5" t="str">
        <f t="shared" si="640"/>
        <v>UNIDAD DE LLAMADO DE ENFERMERIA PARA CAMA O BAÑO</v>
      </c>
      <c r="C12533" s="6">
        <v>131671.12</v>
      </c>
      <c r="D12533" s="5" t="s">
        <v>78</v>
      </c>
      <c r="E12533" s="5" t="str">
        <f t="shared" si="638"/>
        <v>ACTISALUD-PISO 9-GUSTAVO GOMEZ</v>
      </c>
      <c r="F12533" s="5"/>
      <c r="G12533" s="5"/>
    </row>
    <row r="12534" spans="1:7" ht="58.5" customHeight="1" x14ac:dyDescent="0.25">
      <c r="A12534" s="5" t="str">
        <f>"H0026351"</f>
        <v>H0026351</v>
      </c>
      <c r="B12534" s="5" t="str">
        <f t="shared" si="640"/>
        <v>UNIDAD DE LLAMADO DE ENFERMERIA PARA CAMA O BAÑO</v>
      </c>
      <c r="C12534" s="6">
        <v>131671.12</v>
      </c>
      <c r="D12534" s="5" t="s">
        <v>78</v>
      </c>
      <c r="E12534" s="5" t="str">
        <f t="shared" si="638"/>
        <v>ACTISALUD-PISO 9-GUSTAVO GOMEZ</v>
      </c>
      <c r="F12534" s="5"/>
      <c r="G12534" s="5"/>
    </row>
    <row r="12535" spans="1:7" ht="58.5" customHeight="1" x14ac:dyDescent="0.25">
      <c r="A12535" s="5" t="str">
        <f>"H0026352"</f>
        <v>H0026352</v>
      </c>
      <c r="B12535" s="5" t="str">
        <f t="shared" si="640"/>
        <v>UNIDAD DE LLAMADO DE ENFERMERIA PARA CAMA O BAÑO</v>
      </c>
      <c r="C12535" s="6">
        <v>131671.12</v>
      </c>
      <c r="D12535" s="5" t="s">
        <v>78</v>
      </c>
      <c r="E12535" s="5" t="str">
        <f t="shared" si="638"/>
        <v>ACTISALUD-PISO 9-GUSTAVO GOMEZ</v>
      </c>
      <c r="F12535" s="5"/>
      <c r="G12535" s="5"/>
    </row>
    <row r="12536" spans="1:7" ht="58.5" customHeight="1" x14ac:dyDescent="0.25">
      <c r="A12536" s="5" t="str">
        <f>"H0026353"</f>
        <v>H0026353</v>
      </c>
      <c r="B12536" s="5" t="str">
        <f t="shared" si="640"/>
        <v>UNIDAD DE LLAMADO DE ENFERMERIA PARA CAMA O BAÑO</v>
      </c>
      <c r="C12536" s="6">
        <v>131671.12</v>
      </c>
      <c r="D12536" s="5" t="s">
        <v>78</v>
      </c>
      <c r="E12536" s="5" t="str">
        <f t="shared" si="638"/>
        <v>ACTISALUD-PISO 9-GUSTAVO GOMEZ</v>
      </c>
      <c r="F12536" s="5"/>
      <c r="G12536" s="5"/>
    </row>
    <row r="12537" spans="1:7" ht="58.5" customHeight="1" x14ac:dyDescent="0.25">
      <c r="A12537" s="5" t="str">
        <f>"H0026354"</f>
        <v>H0026354</v>
      </c>
      <c r="B12537" s="5" t="str">
        <f t="shared" si="640"/>
        <v>UNIDAD DE LLAMADO DE ENFERMERIA PARA CAMA O BAÑO</v>
      </c>
      <c r="C12537" s="6">
        <v>131671.12</v>
      </c>
      <c r="D12537" s="5" t="s">
        <v>78</v>
      </c>
      <c r="E12537" s="5" t="str">
        <f t="shared" si="638"/>
        <v>ACTISALUD-PISO 9-GUSTAVO GOMEZ</v>
      </c>
      <c r="F12537" s="5"/>
      <c r="G12537" s="5"/>
    </row>
    <row r="12538" spans="1:7" ht="58.5" customHeight="1" x14ac:dyDescent="0.25">
      <c r="A12538" s="5" t="str">
        <f>"H0026355"</f>
        <v>H0026355</v>
      </c>
      <c r="B12538" s="5" t="str">
        <f t="shared" si="640"/>
        <v>UNIDAD DE LLAMADO DE ENFERMERIA PARA CAMA O BAÑO</v>
      </c>
      <c r="C12538" s="6">
        <v>131671.12</v>
      </c>
      <c r="D12538" s="5" t="s">
        <v>78</v>
      </c>
      <c r="E12538" s="5" t="str">
        <f t="shared" si="638"/>
        <v>ACTISALUD-PISO 9-GUSTAVO GOMEZ</v>
      </c>
      <c r="F12538" s="5"/>
      <c r="G12538" s="5"/>
    </row>
    <row r="12539" spans="1:7" ht="58.5" customHeight="1" x14ac:dyDescent="0.25">
      <c r="A12539" s="5" t="str">
        <f>"H0026356"</f>
        <v>H0026356</v>
      </c>
      <c r="B12539" s="5" t="str">
        <f t="shared" si="640"/>
        <v>UNIDAD DE LLAMADO DE ENFERMERIA PARA CAMA O BAÑO</v>
      </c>
      <c r="C12539" s="6">
        <v>131671.12</v>
      </c>
      <c r="D12539" s="5" t="s">
        <v>78</v>
      </c>
      <c r="E12539" s="5" t="str">
        <f t="shared" si="638"/>
        <v>ACTISALUD-PISO 9-GUSTAVO GOMEZ</v>
      </c>
      <c r="F12539" s="5"/>
      <c r="G12539" s="5"/>
    </row>
    <row r="12540" spans="1:7" ht="58.5" customHeight="1" x14ac:dyDescent="0.25">
      <c r="A12540" s="5" t="str">
        <f>"H0026357"</f>
        <v>H0026357</v>
      </c>
      <c r="B12540" s="5" t="str">
        <f t="shared" si="640"/>
        <v>UNIDAD DE LLAMADO DE ENFERMERIA PARA CAMA O BAÑO</v>
      </c>
      <c r="C12540" s="6">
        <v>131671.12</v>
      </c>
      <c r="D12540" s="5" t="s">
        <v>78</v>
      </c>
      <c r="E12540" s="5" t="str">
        <f t="shared" si="638"/>
        <v>ACTISALUD-PISO 9-GUSTAVO GOMEZ</v>
      </c>
      <c r="F12540" s="5"/>
      <c r="G12540" s="5"/>
    </row>
    <row r="12541" spans="1:7" ht="58.5" customHeight="1" x14ac:dyDescent="0.25">
      <c r="A12541" s="5" t="str">
        <f>"H0026358"</f>
        <v>H0026358</v>
      </c>
      <c r="B12541" s="5" t="str">
        <f t="shared" si="640"/>
        <v>UNIDAD DE LLAMADO DE ENFERMERIA PARA CAMA O BAÑO</v>
      </c>
      <c r="C12541" s="6">
        <v>131671.12</v>
      </c>
      <c r="D12541" s="5" t="s">
        <v>78</v>
      </c>
      <c r="E12541" s="5" t="str">
        <f t="shared" si="638"/>
        <v>ACTISALUD-PISO 9-GUSTAVO GOMEZ</v>
      </c>
      <c r="F12541" s="5"/>
      <c r="G12541" s="5"/>
    </row>
    <row r="12542" spans="1:7" ht="58.5" customHeight="1" x14ac:dyDescent="0.25">
      <c r="A12542" s="5" t="str">
        <f>"H0026359"</f>
        <v>H0026359</v>
      </c>
      <c r="B12542" s="5" t="str">
        <f t="shared" si="640"/>
        <v>UNIDAD DE LLAMADO DE ENFERMERIA PARA CAMA O BAÑO</v>
      </c>
      <c r="C12542" s="6">
        <v>131671.12</v>
      </c>
      <c r="D12542" s="5" t="s">
        <v>78</v>
      </c>
      <c r="E12542" s="5" t="str">
        <f t="shared" si="638"/>
        <v>ACTISALUD-PISO 9-GUSTAVO GOMEZ</v>
      </c>
      <c r="F12542" s="5"/>
      <c r="G12542" s="5"/>
    </row>
    <row r="12543" spans="1:7" ht="58.5" customHeight="1" x14ac:dyDescent="0.25">
      <c r="A12543" s="5" t="str">
        <f>"H0026360"</f>
        <v>H0026360</v>
      </c>
      <c r="B12543" s="5" t="str">
        <f t="shared" si="640"/>
        <v>UNIDAD DE LLAMADO DE ENFERMERIA PARA CAMA O BAÑO</v>
      </c>
      <c r="C12543" s="6">
        <v>131671.12</v>
      </c>
      <c r="D12543" s="5" t="s">
        <v>78</v>
      </c>
      <c r="E12543" s="5" t="str">
        <f t="shared" si="638"/>
        <v>ACTISALUD-PISO 9-GUSTAVO GOMEZ</v>
      </c>
      <c r="F12543" s="5"/>
      <c r="G12543" s="5"/>
    </row>
    <row r="12544" spans="1:7" ht="58.5" customHeight="1" x14ac:dyDescent="0.25">
      <c r="A12544" s="5" t="str">
        <f>"H0026361"</f>
        <v>H0026361</v>
      </c>
      <c r="B12544" s="5" t="str">
        <f t="shared" si="640"/>
        <v>UNIDAD DE LLAMADO DE ENFERMERIA PARA CAMA O BAÑO</v>
      </c>
      <c r="C12544" s="6">
        <v>131671.12</v>
      </c>
      <c r="D12544" s="5" t="s">
        <v>78</v>
      </c>
      <c r="E12544" s="5" t="str">
        <f t="shared" si="638"/>
        <v>ACTISALUD-PISO 9-GUSTAVO GOMEZ</v>
      </c>
      <c r="F12544" s="5"/>
      <c r="G12544" s="5"/>
    </row>
    <row r="12545" spans="1:7" ht="58.5" customHeight="1" x14ac:dyDescent="0.25">
      <c r="A12545" s="5" t="str">
        <f>"H0026362"</f>
        <v>H0026362</v>
      </c>
      <c r="B12545" s="5" t="str">
        <f t="shared" si="640"/>
        <v>UNIDAD DE LLAMADO DE ENFERMERIA PARA CAMA O BAÑO</v>
      </c>
      <c r="C12545" s="6">
        <v>131671.12</v>
      </c>
      <c r="D12545" s="5" t="s">
        <v>78</v>
      </c>
      <c r="E12545" s="5" t="str">
        <f t="shared" si="638"/>
        <v>ACTISALUD-PISO 9-GUSTAVO GOMEZ</v>
      </c>
      <c r="F12545" s="5"/>
      <c r="G12545" s="5"/>
    </row>
    <row r="12546" spans="1:7" ht="58.5" customHeight="1" x14ac:dyDescent="0.25">
      <c r="A12546" s="5" t="str">
        <f>"H0026363"</f>
        <v>H0026363</v>
      </c>
      <c r="B12546" s="5" t="str">
        <f t="shared" si="640"/>
        <v>UNIDAD DE LLAMADO DE ENFERMERIA PARA CAMA O BAÑO</v>
      </c>
      <c r="C12546" s="6">
        <v>131671.12</v>
      </c>
      <c r="D12546" s="5" t="s">
        <v>78</v>
      </c>
      <c r="E12546" s="5" t="str">
        <f t="shared" si="638"/>
        <v>ACTISALUD-PISO 9-GUSTAVO GOMEZ</v>
      </c>
      <c r="F12546" s="5"/>
      <c r="G12546" s="5"/>
    </row>
    <row r="12547" spans="1:7" ht="58.5" customHeight="1" x14ac:dyDescent="0.25">
      <c r="A12547" s="5" t="str">
        <f>"H0026364"</f>
        <v>H0026364</v>
      </c>
      <c r="B12547" s="5" t="str">
        <f t="shared" si="640"/>
        <v>UNIDAD DE LLAMADO DE ENFERMERIA PARA CAMA O BAÑO</v>
      </c>
      <c r="C12547" s="6">
        <v>131671.12</v>
      </c>
      <c r="D12547" s="5" t="s">
        <v>78</v>
      </c>
      <c r="E12547" s="5" t="str">
        <f t="shared" si="638"/>
        <v>ACTISALUD-PISO 9-GUSTAVO GOMEZ</v>
      </c>
      <c r="F12547" s="5"/>
      <c r="G12547" s="5"/>
    </row>
    <row r="12548" spans="1:7" ht="58.5" customHeight="1" x14ac:dyDescent="0.25">
      <c r="A12548" s="5" t="str">
        <f>"H0026365"</f>
        <v>H0026365</v>
      </c>
      <c r="B12548" s="5" t="str">
        <f t="shared" si="640"/>
        <v>UNIDAD DE LLAMADO DE ENFERMERIA PARA CAMA O BAÑO</v>
      </c>
      <c r="C12548" s="6">
        <v>131671.12</v>
      </c>
      <c r="D12548" s="5" t="s">
        <v>78</v>
      </c>
      <c r="E12548" s="5" t="str">
        <f t="shared" si="638"/>
        <v>ACTISALUD-PISO 9-GUSTAVO GOMEZ</v>
      </c>
      <c r="F12548" s="5"/>
      <c r="G12548" s="5"/>
    </row>
    <row r="12549" spans="1:7" ht="58.5" customHeight="1" x14ac:dyDescent="0.25">
      <c r="A12549" s="5" t="str">
        <f>"H0026366"</f>
        <v>H0026366</v>
      </c>
      <c r="B12549" s="5" t="str">
        <f t="shared" si="640"/>
        <v>UNIDAD DE LLAMADO DE ENFERMERIA PARA CAMA O BAÑO</v>
      </c>
      <c r="C12549" s="6">
        <v>131671.12</v>
      </c>
      <c r="D12549" s="5" t="s">
        <v>78</v>
      </c>
      <c r="E12549" s="5" t="str">
        <f t="shared" si="638"/>
        <v>ACTISALUD-PISO 9-GUSTAVO GOMEZ</v>
      </c>
      <c r="F12549" s="5"/>
      <c r="G12549" s="5"/>
    </row>
    <row r="12550" spans="1:7" ht="58.5" customHeight="1" x14ac:dyDescent="0.25">
      <c r="A12550" s="5" t="str">
        <f>"H0026367"</f>
        <v>H0026367</v>
      </c>
      <c r="B12550" s="5" t="str">
        <f t="shared" si="640"/>
        <v>UNIDAD DE LLAMADO DE ENFERMERIA PARA CAMA O BAÑO</v>
      </c>
      <c r="C12550" s="6">
        <v>131671.12</v>
      </c>
      <c r="D12550" s="5" t="s">
        <v>78</v>
      </c>
      <c r="E12550" s="5" t="str">
        <f t="shared" si="638"/>
        <v>ACTISALUD-PISO 9-GUSTAVO GOMEZ</v>
      </c>
      <c r="F12550" s="5"/>
      <c r="G12550" s="5"/>
    </row>
    <row r="12551" spans="1:7" ht="58.5" customHeight="1" x14ac:dyDescent="0.25">
      <c r="A12551" s="5" t="str">
        <f>"H0026368"</f>
        <v>H0026368</v>
      </c>
      <c r="B12551" s="5" t="str">
        <f t="shared" si="640"/>
        <v>UNIDAD DE LLAMADO DE ENFERMERIA PARA CAMA O BAÑO</v>
      </c>
      <c r="C12551" s="6">
        <v>131671.12</v>
      </c>
      <c r="D12551" s="5" t="s">
        <v>78</v>
      </c>
      <c r="E12551" s="5" t="str">
        <f t="shared" si="638"/>
        <v>ACTISALUD-PISO 9-GUSTAVO GOMEZ</v>
      </c>
      <c r="F12551" s="5"/>
      <c r="G12551" s="5"/>
    </row>
    <row r="12552" spans="1:7" ht="58.5" customHeight="1" x14ac:dyDescent="0.25">
      <c r="A12552" s="5" t="str">
        <f>"H0026369"</f>
        <v>H0026369</v>
      </c>
      <c r="B12552" s="5" t="str">
        <f t="shared" si="640"/>
        <v>UNIDAD DE LLAMADO DE ENFERMERIA PARA CAMA O BAÑO</v>
      </c>
      <c r="C12552" s="6">
        <v>131671.12</v>
      </c>
      <c r="D12552" s="5" t="s">
        <v>78</v>
      </c>
      <c r="E12552" s="5" t="str">
        <f t="shared" si="638"/>
        <v>ACTISALUD-PISO 9-GUSTAVO GOMEZ</v>
      </c>
      <c r="F12552" s="5"/>
      <c r="G12552" s="5"/>
    </row>
    <row r="12553" spans="1:7" ht="58.5" customHeight="1" x14ac:dyDescent="0.25">
      <c r="A12553" s="5" t="str">
        <f>"H0026370"</f>
        <v>H0026370</v>
      </c>
      <c r="B12553" s="5" t="str">
        <f t="shared" si="640"/>
        <v>UNIDAD DE LLAMADO DE ENFERMERIA PARA CAMA O BAÑO</v>
      </c>
      <c r="C12553" s="6">
        <v>131671.12</v>
      </c>
      <c r="D12553" s="5" t="s">
        <v>78</v>
      </c>
      <c r="E12553" s="5" t="str">
        <f t="shared" si="638"/>
        <v>ACTISALUD-PISO 9-GUSTAVO GOMEZ</v>
      </c>
      <c r="F12553" s="5"/>
      <c r="G12553" s="5"/>
    </row>
    <row r="12554" spans="1:7" ht="58.5" customHeight="1" x14ac:dyDescent="0.25">
      <c r="A12554" s="5" t="str">
        <f>"H0026371"</f>
        <v>H0026371</v>
      </c>
      <c r="B12554" s="5" t="str">
        <f t="shared" si="640"/>
        <v>UNIDAD DE LLAMADO DE ENFERMERIA PARA CAMA O BAÑO</v>
      </c>
      <c r="C12554" s="6">
        <v>131671.12</v>
      </c>
      <c r="D12554" s="5" t="s">
        <v>78</v>
      </c>
      <c r="E12554" s="5" t="str">
        <f t="shared" si="638"/>
        <v>ACTISALUD-PISO 9-GUSTAVO GOMEZ</v>
      </c>
      <c r="F12554" s="5"/>
      <c r="G12554" s="5"/>
    </row>
    <row r="12555" spans="1:7" ht="58.5" customHeight="1" x14ac:dyDescent="0.25">
      <c r="A12555" s="5" t="str">
        <f>"H0026723"</f>
        <v>H0026723</v>
      </c>
      <c r="B12555" s="5" t="str">
        <f t="shared" ref="B12555:B12562" si="641">"LAMPARA DE PASILLO DE LLAMADO DE ENFERMERIA"</f>
        <v>LAMPARA DE PASILLO DE LLAMADO DE ENFERMERIA</v>
      </c>
      <c r="C12555" s="6">
        <v>523510.75</v>
      </c>
      <c r="D12555" s="5" t="s">
        <v>78</v>
      </c>
      <c r="E12555" s="5" t="str">
        <f t="shared" si="638"/>
        <v>ACTISALUD-PISO 9-GUSTAVO GOMEZ</v>
      </c>
      <c r="F12555" s="5"/>
      <c r="G12555" s="5"/>
    </row>
    <row r="12556" spans="1:7" ht="58.5" customHeight="1" x14ac:dyDescent="0.25">
      <c r="A12556" s="5" t="str">
        <f>"H0026724"</f>
        <v>H0026724</v>
      </c>
      <c r="B12556" s="5" t="str">
        <f t="shared" si="641"/>
        <v>LAMPARA DE PASILLO DE LLAMADO DE ENFERMERIA</v>
      </c>
      <c r="C12556" s="6">
        <v>523510.75</v>
      </c>
      <c r="D12556" s="5" t="s">
        <v>78</v>
      </c>
      <c r="E12556" s="5" t="str">
        <f t="shared" si="638"/>
        <v>ACTISALUD-PISO 9-GUSTAVO GOMEZ</v>
      </c>
      <c r="F12556" s="5"/>
      <c r="G12556" s="5"/>
    </row>
    <row r="12557" spans="1:7" ht="58.5" customHeight="1" x14ac:dyDescent="0.25">
      <c r="A12557" s="5" t="str">
        <f>"H0026725"</f>
        <v>H0026725</v>
      </c>
      <c r="B12557" s="5" t="str">
        <f t="shared" si="641"/>
        <v>LAMPARA DE PASILLO DE LLAMADO DE ENFERMERIA</v>
      </c>
      <c r="C12557" s="6">
        <v>523510.75</v>
      </c>
      <c r="D12557" s="5" t="s">
        <v>78</v>
      </c>
      <c r="E12557" s="5" t="str">
        <f t="shared" si="638"/>
        <v>ACTISALUD-PISO 9-GUSTAVO GOMEZ</v>
      </c>
      <c r="F12557" s="5"/>
      <c r="G12557" s="5"/>
    </row>
    <row r="12558" spans="1:7" ht="58.5" customHeight="1" x14ac:dyDescent="0.25">
      <c r="A12558" s="5" t="str">
        <f>"H0026726"</f>
        <v>H0026726</v>
      </c>
      <c r="B12558" s="5" t="str">
        <f t="shared" si="641"/>
        <v>LAMPARA DE PASILLO DE LLAMADO DE ENFERMERIA</v>
      </c>
      <c r="C12558" s="6">
        <v>523510.75</v>
      </c>
      <c r="D12558" s="5" t="s">
        <v>78</v>
      </c>
      <c r="E12558" s="5" t="str">
        <f t="shared" si="638"/>
        <v>ACTISALUD-PISO 9-GUSTAVO GOMEZ</v>
      </c>
      <c r="F12558" s="5"/>
      <c r="G12558" s="5"/>
    </row>
    <row r="12559" spans="1:7" ht="58.5" customHeight="1" x14ac:dyDescent="0.25">
      <c r="A12559" s="5" t="str">
        <f>"H0026727"</f>
        <v>H0026727</v>
      </c>
      <c r="B12559" s="5" t="str">
        <f t="shared" si="641"/>
        <v>LAMPARA DE PASILLO DE LLAMADO DE ENFERMERIA</v>
      </c>
      <c r="C12559" s="6">
        <v>523510.75</v>
      </c>
      <c r="D12559" s="5" t="s">
        <v>78</v>
      </c>
      <c r="E12559" s="5" t="str">
        <f t="shared" si="638"/>
        <v>ACTISALUD-PISO 9-GUSTAVO GOMEZ</v>
      </c>
      <c r="F12559" s="5"/>
      <c r="G12559" s="5"/>
    </row>
    <row r="12560" spans="1:7" ht="58.5" customHeight="1" x14ac:dyDescent="0.25">
      <c r="A12560" s="5" t="str">
        <f>"H0026728"</f>
        <v>H0026728</v>
      </c>
      <c r="B12560" s="5" t="str">
        <f t="shared" si="641"/>
        <v>LAMPARA DE PASILLO DE LLAMADO DE ENFERMERIA</v>
      </c>
      <c r="C12560" s="6">
        <v>523510.75</v>
      </c>
      <c r="D12560" s="5" t="s">
        <v>78</v>
      </c>
      <c r="E12560" s="5" t="str">
        <f t="shared" si="638"/>
        <v>ACTISALUD-PISO 9-GUSTAVO GOMEZ</v>
      </c>
      <c r="F12560" s="5"/>
      <c r="G12560" s="5"/>
    </row>
    <row r="12561" spans="1:7" ht="58.5" customHeight="1" x14ac:dyDescent="0.25">
      <c r="A12561" s="5" t="str">
        <f>"H0026729"</f>
        <v>H0026729</v>
      </c>
      <c r="B12561" s="5" t="str">
        <f t="shared" si="641"/>
        <v>LAMPARA DE PASILLO DE LLAMADO DE ENFERMERIA</v>
      </c>
      <c r="C12561" s="6">
        <v>523510.75</v>
      </c>
      <c r="D12561" s="5" t="s">
        <v>78</v>
      </c>
      <c r="E12561" s="5" t="str">
        <f t="shared" si="638"/>
        <v>ACTISALUD-PISO 9-GUSTAVO GOMEZ</v>
      </c>
      <c r="F12561" s="5"/>
      <c r="G12561" s="5"/>
    </row>
    <row r="12562" spans="1:7" ht="58.5" customHeight="1" x14ac:dyDescent="0.25">
      <c r="A12562" s="5" t="str">
        <f>"H0026730"</f>
        <v>H0026730</v>
      </c>
      <c r="B12562" s="5" t="str">
        <f t="shared" si="641"/>
        <v>LAMPARA DE PASILLO DE LLAMADO DE ENFERMERIA</v>
      </c>
      <c r="C12562" s="6">
        <v>523510.75</v>
      </c>
      <c r="D12562" s="5" t="s">
        <v>78</v>
      </c>
      <c r="E12562" s="5" t="str">
        <f t="shared" si="638"/>
        <v>ACTISALUD-PISO 9-GUSTAVO GOMEZ</v>
      </c>
      <c r="F12562" s="5"/>
      <c r="G12562" s="5"/>
    </row>
    <row r="12563" spans="1:7" ht="58.5" customHeight="1" x14ac:dyDescent="0.25">
      <c r="A12563" s="5" t="str">
        <f>"H0026763"</f>
        <v>H0026763</v>
      </c>
      <c r="B12563" s="5" t="str">
        <f>"PANTALLA LLAMADO DE ENFERMERAS 2 FILAS (PANTALLA LED 40X20 cm)"</f>
        <v>PANTALLA LLAMADO DE ENFERMERAS 2 FILAS (PANTALLA LED 40X20 cm)</v>
      </c>
      <c r="C12563" s="6">
        <v>3965980.8</v>
      </c>
      <c r="D12563" s="5" t="s">
        <v>78</v>
      </c>
      <c r="E12563" s="5" t="str">
        <f t="shared" si="638"/>
        <v>ACTISALUD-PISO 9-GUSTAVO GOMEZ</v>
      </c>
      <c r="F12563" s="5"/>
      <c r="G12563" s="5"/>
    </row>
    <row r="12564" spans="1:7" ht="58.5" customHeight="1" x14ac:dyDescent="0.25">
      <c r="A12564" s="5" t="str">
        <f>"H0027199"</f>
        <v>H0027199</v>
      </c>
      <c r="B1256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2564" s="6">
        <v>2641800</v>
      </c>
      <c r="D12564" s="5" t="s">
        <v>38</v>
      </c>
      <c r="E12564" s="5" t="str">
        <f t="shared" si="638"/>
        <v>ACTISALUD-PISO 9-GUSTAVO GOMEZ</v>
      </c>
      <c r="F12564" s="5"/>
      <c r="G12564" s="5"/>
    </row>
    <row r="12565" spans="1:7" ht="58.5" customHeight="1" x14ac:dyDescent="0.25">
      <c r="A12565" s="5" t="str">
        <f>"H0027408"</f>
        <v>H0027408</v>
      </c>
      <c r="B12565" s="5" t="str">
        <f t="shared" ref="B12565:B12572" si="642">"LECTOR DE HUELLAS DIGITALES"</f>
        <v>LECTOR DE HUELLAS DIGITALES</v>
      </c>
      <c r="C12565" s="6">
        <v>234000.41</v>
      </c>
      <c r="D12565" s="5" t="s">
        <v>83</v>
      </c>
      <c r="E12565" s="5" t="str">
        <f t="shared" si="638"/>
        <v>ACTISALUD-PISO 9-GUSTAVO GOMEZ</v>
      </c>
      <c r="F12565" s="5"/>
      <c r="G12565" s="5"/>
    </row>
    <row r="12566" spans="1:7" ht="58.5" customHeight="1" x14ac:dyDescent="0.25">
      <c r="A12566" s="5" t="str">
        <f>"H0027409"</f>
        <v>H0027409</v>
      </c>
      <c r="B12566" s="5" t="str">
        <f t="shared" si="642"/>
        <v>LECTOR DE HUELLAS DIGITALES</v>
      </c>
      <c r="C12566" s="6">
        <v>234000.41</v>
      </c>
      <c r="D12566" s="5" t="s">
        <v>83</v>
      </c>
      <c r="E12566" s="5" t="str">
        <f t="shared" si="638"/>
        <v>ACTISALUD-PISO 9-GUSTAVO GOMEZ</v>
      </c>
      <c r="F12566" s="5"/>
      <c r="G12566" s="5"/>
    </row>
    <row r="12567" spans="1:7" ht="58.5" customHeight="1" x14ac:dyDescent="0.25">
      <c r="A12567" s="5" t="str">
        <f>"H0027410"</f>
        <v>H0027410</v>
      </c>
      <c r="B12567" s="5" t="str">
        <f t="shared" si="642"/>
        <v>LECTOR DE HUELLAS DIGITALES</v>
      </c>
      <c r="C12567" s="6">
        <v>234000.41</v>
      </c>
      <c r="D12567" s="5" t="s">
        <v>83</v>
      </c>
      <c r="E12567" s="5" t="str">
        <f t="shared" si="638"/>
        <v>ACTISALUD-PISO 9-GUSTAVO GOMEZ</v>
      </c>
      <c r="F12567" s="5"/>
      <c r="G12567" s="5"/>
    </row>
    <row r="12568" spans="1:7" ht="58.5" customHeight="1" x14ac:dyDescent="0.25">
      <c r="A12568" s="5" t="str">
        <f>"H0027411"</f>
        <v>H0027411</v>
      </c>
      <c r="B12568" s="5" t="str">
        <f t="shared" si="642"/>
        <v>LECTOR DE HUELLAS DIGITALES</v>
      </c>
      <c r="C12568" s="6">
        <v>234000.41</v>
      </c>
      <c r="D12568" s="5" t="s">
        <v>83</v>
      </c>
      <c r="E12568" s="5" t="str">
        <f t="shared" si="638"/>
        <v>ACTISALUD-PISO 9-GUSTAVO GOMEZ</v>
      </c>
      <c r="F12568" s="5"/>
      <c r="G12568" s="5"/>
    </row>
    <row r="12569" spans="1:7" ht="58.5" customHeight="1" x14ac:dyDescent="0.25">
      <c r="A12569" s="5" t="str">
        <f>"H0027414"</f>
        <v>H0027414</v>
      </c>
      <c r="B12569" s="5" t="str">
        <f t="shared" si="642"/>
        <v>LECTOR DE HUELLAS DIGITALES</v>
      </c>
      <c r="C12569" s="6">
        <v>234000.41</v>
      </c>
      <c r="D12569" s="5" t="s">
        <v>83</v>
      </c>
      <c r="E12569" s="5" t="str">
        <f t="shared" si="638"/>
        <v>ACTISALUD-PISO 9-GUSTAVO GOMEZ</v>
      </c>
      <c r="F12569" s="5"/>
      <c r="G12569" s="5"/>
    </row>
    <row r="12570" spans="1:7" ht="58.5" customHeight="1" x14ac:dyDescent="0.25">
      <c r="A12570" s="5" t="str">
        <f>"H0027585"</f>
        <v>H0027585</v>
      </c>
      <c r="B12570" s="5" t="str">
        <f t="shared" si="642"/>
        <v>LECTOR DE HUELLAS DIGITALES</v>
      </c>
      <c r="C12570" s="6">
        <v>234000.41</v>
      </c>
      <c r="D12570" s="5" t="s">
        <v>83</v>
      </c>
      <c r="E12570" s="5" t="str">
        <f t="shared" ref="E12570:E12633" si="643">"ACTISALUD-PISO 9-GUSTAVO GOMEZ"</f>
        <v>ACTISALUD-PISO 9-GUSTAVO GOMEZ</v>
      </c>
      <c r="F12570" s="5"/>
      <c r="G12570" s="5"/>
    </row>
    <row r="12571" spans="1:7" ht="58.5" customHeight="1" x14ac:dyDescent="0.25">
      <c r="A12571" s="5" t="str">
        <f>"H0027586"</f>
        <v>H0027586</v>
      </c>
      <c r="B12571" s="5" t="str">
        <f t="shared" si="642"/>
        <v>LECTOR DE HUELLAS DIGITALES</v>
      </c>
      <c r="C12571" s="6">
        <v>234000.41</v>
      </c>
      <c r="D12571" s="5" t="s">
        <v>83</v>
      </c>
      <c r="E12571" s="5" t="str">
        <f t="shared" si="643"/>
        <v>ACTISALUD-PISO 9-GUSTAVO GOMEZ</v>
      </c>
      <c r="F12571" s="5"/>
      <c r="G12571" s="5"/>
    </row>
    <row r="12572" spans="1:7" ht="58.5" customHeight="1" x14ac:dyDescent="0.25">
      <c r="A12572" s="5" t="str">
        <f>"H0027587"</f>
        <v>H0027587</v>
      </c>
      <c r="B12572" s="5" t="str">
        <f t="shared" si="642"/>
        <v>LECTOR DE HUELLAS DIGITALES</v>
      </c>
      <c r="C12572" s="6">
        <v>234000.41</v>
      </c>
      <c r="D12572" s="5" t="s">
        <v>83</v>
      </c>
      <c r="E12572" s="5" t="str">
        <f t="shared" si="643"/>
        <v>ACTISALUD-PISO 9-GUSTAVO GOMEZ</v>
      </c>
      <c r="F12572" s="5"/>
      <c r="G12572" s="5"/>
    </row>
    <row r="12573" spans="1:7" ht="58.5" customHeight="1" x14ac:dyDescent="0.25">
      <c r="A12573" s="5" t="str">
        <f>"H0027623"</f>
        <v>H0027623</v>
      </c>
      <c r="B1257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2573" s="6">
        <v>2580000</v>
      </c>
      <c r="D12573" s="5" t="s">
        <v>85</v>
      </c>
      <c r="E12573" s="5" t="str">
        <f t="shared" si="643"/>
        <v>ACTISALUD-PISO 9-GUSTAVO GOMEZ</v>
      </c>
      <c r="F12573" s="5"/>
      <c r="G12573" s="5"/>
    </row>
    <row r="12574" spans="1:7" ht="58.5" customHeight="1" x14ac:dyDescent="0.25">
      <c r="A12574" s="5" t="str">
        <f>"H0028605"</f>
        <v>H0028605</v>
      </c>
      <c r="B12574" s="5" t="str">
        <f>"MÓDULO WIRELESS (CON 1 SIRENA 45W Y BATERÍA)"</f>
        <v>MÓDULO WIRELESS (CON 1 SIRENA 45W Y BATERÍA)</v>
      </c>
      <c r="C12574" s="6">
        <v>728280</v>
      </c>
      <c r="D12574" s="5" t="s">
        <v>87</v>
      </c>
      <c r="E12574" s="5" t="str">
        <f t="shared" si="643"/>
        <v>ACTISALUD-PISO 9-GUSTAVO GOMEZ</v>
      </c>
      <c r="F12574" s="5"/>
      <c r="G12574" s="5"/>
    </row>
    <row r="12575" spans="1:7" ht="58.5" customHeight="1" x14ac:dyDescent="0.25">
      <c r="A12575" s="5" t="str">
        <f>"H0028617"</f>
        <v>H0028617</v>
      </c>
      <c r="B12575" s="5" t="str">
        <f>"BALIZA ROTATIVA WIRELESS LUZ EMERGENCIA"</f>
        <v>BALIZA ROTATIVA WIRELESS LUZ EMERGENCIA</v>
      </c>
      <c r="C12575" s="6">
        <v>238000</v>
      </c>
      <c r="D12575" s="5" t="s">
        <v>87</v>
      </c>
      <c r="E12575" s="5" t="str">
        <f t="shared" si="643"/>
        <v>ACTISALUD-PISO 9-GUSTAVO GOMEZ</v>
      </c>
      <c r="F12575" s="5"/>
      <c r="G12575" s="5"/>
    </row>
    <row r="12576" spans="1:7" ht="58.5" customHeight="1" x14ac:dyDescent="0.25">
      <c r="A12576" s="5" t="str">
        <f>"H0028635"</f>
        <v>H0028635</v>
      </c>
      <c r="B12576" s="5" t="str">
        <f>"BOTÓN DE EMERGENCIA PÁNICO SOS FIJO WIRELESS"</f>
        <v>BOTÓN DE EMERGENCIA PÁNICO SOS FIJO WIRELESS</v>
      </c>
      <c r="C12576" s="6">
        <v>297500</v>
      </c>
      <c r="D12576" s="5" t="s">
        <v>87</v>
      </c>
      <c r="E12576" s="5" t="str">
        <f t="shared" si="643"/>
        <v>ACTISALUD-PISO 9-GUSTAVO GOMEZ</v>
      </c>
      <c r="F12576" s="5"/>
      <c r="G12576" s="5"/>
    </row>
    <row r="12577" spans="1:7" ht="58.5" customHeight="1" x14ac:dyDescent="0.25">
      <c r="A12577" s="5" t="str">
        <f>"H0028636"</f>
        <v>H0028636</v>
      </c>
      <c r="B12577" s="5" t="str">
        <f>"BOTÓN DE EMERGENCIA PÁNICO SOS FIJO WIRELESS"</f>
        <v>BOTÓN DE EMERGENCIA PÁNICO SOS FIJO WIRELESS</v>
      </c>
      <c r="C12577" s="6">
        <v>297500</v>
      </c>
      <c r="D12577" s="5" t="s">
        <v>87</v>
      </c>
      <c r="E12577" s="5" t="str">
        <f t="shared" si="643"/>
        <v>ACTISALUD-PISO 9-GUSTAVO GOMEZ</v>
      </c>
      <c r="F12577" s="5"/>
      <c r="G12577" s="5"/>
    </row>
    <row r="12578" spans="1:7" ht="58.5" customHeight="1" x14ac:dyDescent="0.25">
      <c r="A12578" s="5" t="str">
        <f>"H0028637"</f>
        <v>H0028637</v>
      </c>
      <c r="B12578" s="5" t="str">
        <f>"BOTÓN DE EMERGENCIA PÁNICO SOS FIJO WIRELESS"</f>
        <v>BOTÓN DE EMERGENCIA PÁNICO SOS FIJO WIRELESS</v>
      </c>
      <c r="C12578" s="6">
        <v>297500</v>
      </c>
      <c r="D12578" s="5" t="s">
        <v>87</v>
      </c>
      <c r="E12578" s="5" t="str">
        <f t="shared" si="643"/>
        <v>ACTISALUD-PISO 9-GUSTAVO GOMEZ</v>
      </c>
      <c r="F12578" s="5"/>
      <c r="G12578" s="5"/>
    </row>
    <row r="12579" spans="1:7" ht="58.5" customHeight="1" x14ac:dyDescent="0.25">
      <c r="A12579" s="5" t="str">
        <f>"H0028668"</f>
        <v>H0028668</v>
      </c>
      <c r="B12579" s="5" t="str">
        <f>"BOTÓN DE EMERGENCIA PÁNICO SOS MÓVIL WIRELESS"</f>
        <v>BOTÓN DE EMERGENCIA PÁNICO SOS MÓVIL WIRELESS</v>
      </c>
      <c r="C12579" s="6">
        <v>47600</v>
      </c>
      <c r="D12579" s="5" t="s">
        <v>87</v>
      </c>
      <c r="E12579" s="5" t="str">
        <f t="shared" si="643"/>
        <v>ACTISALUD-PISO 9-GUSTAVO GOMEZ</v>
      </c>
      <c r="F12579" s="5"/>
      <c r="G12579" s="5"/>
    </row>
    <row r="12580" spans="1:7" ht="58.5" customHeight="1" x14ac:dyDescent="0.25">
      <c r="A12580" s="5" t="str">
        <f>"H0028669"</f>
        <v>H0028669</v>
      </c>
      <c r="B12580" s="5" t="str">
        <f>"BOTÓN DE EMERGENCIA PÁNICO SOS MÓVIL WIRELESS"</f>
        <v>BOTÓN DE EMERGENCIA PÁNICO SOS MÓVIL WIRELESS</v>
      </c>
      <c r="C12580" s="6">
        <v>47600</v>
      </c>
      <c r="D12580" s="5" t="s">
        <v>87</v>
      </c>
      <c r="E12580" s="5" t="str">
        <f t="shared" si="643"/>
        <v>ACTISALUD-PISO 9-GUSTAVO GOMEZ</v>
      </c>
      <c r="F12580" s="5"/>
      <c r="G12580" s="5"/>
    </row>
    <row r="12581" spans="1:7" ht="58.5" customHeight="1" x14ac:dyDescent="0.25">
      <c r="A12581" s="5" t="str">
        <f>"H0028699"</f>
        <v>H0028699</v>
      </c>
      <c r="B12581" s="5" t="str">
        <f>"LÁMPARA RECARGABLE DE EMERGENCIA 60 BOMBILLOS LED LUZ BLANCA"</f>
        <v>LÁMPARA RECARGABLE DE EMERGENCIA 60 BOMBILLOS LED LUZ BLANCA</v>
      </c>
      <c r="C12581" s="6">
        <v>255850</v>
      </c>
      <c r="D12581" s="5" t="s">
        <v>87</v>
      </c>
      <c r="E12581" s="5" t="str">
        <f t="shared" si="643"/>
        <v>ACTISALUD-PISO 9-GUSTAVO GOMEZ</v>
      </c>
      <c r="F12581" s="5"/>
      <c r="G12581" s="5"/>
    </row>
    <row r="12582" spans="1:7" ht="58.5" customHeight="1" x14ac:dyDescent="0.25">
      <c r="A12582" s="5" t="str">
        <f>"H0028700"</f>
        <v>H0028700</v>
      </c>
      <c r="B12582" s="5" t="str">
        <f>"LÁMPARA RECARGABLE DE EMERGENCIA 60 BOMBILLOS LED LUZ BLANCA"</f>
        <v>LÁMPARA RECARGABLE DE EMERGENCIA 60 BOMBILLOS LED LUZ BLANCA</v>
      </c>
      <c r="C12582" s="6">
        <v>255850</v>
      </c>
      <c r="D12582" s="5" t="s">
        <v>87</v>
      </c>
      <c r="E12582" s="5" t="str">
        <f t="shared" si="643"/>
        <v>ACTISALUD-PISO 9-GUSTAVO GOMEZ</v>
      </c>
      <c r="F12582" s="5"/>
      <c r="G12582" s="5"/>
    </row>
    <row r="12583" spans="1:7" ht="58.5" customHeight="1" x14ac:dyDescent="0.25">
      <c r="A12583" s="5" t="str">
        <f>"H0028701"</f>
        <v>H0028701</v>
      </c>
      <c r="B12583" s="5" t="str">
        <f>"LÁMPARA RECARGABLE DE EMERGENCIA 60 BOMBILLOS LED LUZ BLANCA"</f>
        <v>LÁMPARA RECARGABLE DE EMERGENCIA 60 BOMBILLOS LED LUZ BLANCA</v>
      </c>
      <c r="C12583" s="6">
        <v>255850</v>
      </c>
      <c r="D12583" s="5" t="s">
        <v>87</v>
      </c>
      <c r="E12583" s="5" t="str">
        <f t="shared" si="643"/>
        <v>ACTISALUD-PISO 9-GUSTAVO GOMEZ</v>
      </c>
      <c r="F12583" s="5"/>
      <c r="G12583" s="5"/>
    </row>
    <row r="12584" spans="1:7" ht="58.5" customHeight="1" x14ac:dyDescent="0.25">
      <c r="A12584" s="5" t="str">
        <f>"H0028702"</f>
        <v>H0028702</v>
      </c>
      <c r="B12584" s="5" t="str">
        <f>"LÁMPARA RECARGABLE DE EMERGENCIA 60 BOMBILLOS LED LUZ BLANCA"</f>
        <v>LÁMPARA RECARGABLE DE EMERGENCIA 60 BOMBILLOS LED LUZ BLANCA</v>
      </c>
      <c r="C12584" s="6">
        <v>255850</v>
      </c>
      <c r="D12584" s="5" t="s">
        <v>87</v>
      </c>
      <c r="E12584" s="5" t="str">
        <f t="shared" si="643"/>
        <v>ACTISALUD-PISO 9-GUSTAVO GOMEZ</v>
      </c>
      <c r="F12584" s="5"/>
      <c r="G12584" s="5"/>
    </row>
    <row r="12585" spans="1:7" ht="58.5" customHeight="1" x14ac:dyDescent="0.25">
      <c r="A12585" s="5" t="str">
        <f>"H0028898"</f>
        <v>H0028898</v>
      </c>
      <c r="B12585" s="5" t="str">
        <f>"SILLA HERGONOMICA CON SISTEMA HIDRAULICO"</f>
        <v>SILLA HERGONOMICA CON SISTEMA HIDRAULICO</v>
      </c>
      <c r="C12585" s="6">
        <v>174900</v>
      </c>
      <c r="D12585" s="5" t="s">
        <v>40</v>
      </c>
      <c r="E12585" s="5" t="str">
        <f t="shared" si="643"/>
        <v>ACTISALUD-PISO 9-GUSTAVO GOMEZ</v>
      </c>
      <c r="F12585" s="5"/>
      <c r="G12585" s="5"/>
    </row>
    <row r="12586" spans="1:7" ht="58.5" customHeight="1" x14ac:dyDescent="0.25">
      <c r="A12586" s="5" t="str">
        <f>"H0029058"</f>
        <v>H0029058</v>
      </c>
      <c r="B12586" s="5" t="str">
        <f>"SOPORTE PEDESTAL METALICO MONITOR FETAL"</f>
        <v>SOPORTE PEDESTAL METALICO MONITOR FETAL</v>
      </c>
      <c r="C12586" s="6">
        <v>730303</v>
      </c>
      <c r="D12586" s="5" t="s">
        <v>88</v>
      </c>
      <c r="E12586" s="5" t="str">
        <f t="shared" si="643"/>
        <v>ACTISALUD-PISO 9-GUSTAVO GOMEZ</v>
      </c>
      <c r="F12586" s="5"/>
      <c r="G12586" s="5"/>
    </row>
    <row r="12587" spans="1:7" ht="58.5" customHeight="1" x14ac:dyDescent="0.25">
      <c r="A12587" s="5" t="str">
        <f>"H0029689"</f>
        <v>H0029689</v>
      </c>
      <c r="B12587" s="5" t="s">
        <v>94</v>
      </c>
      <c r="C12587" s="6">
        <v>148999.9</v>
      </c>
      <c r="D12587" s="5" t="s">
        <v>93</v>
      </c>
      <c r="E12587" s="5" t="str">
        <f t="shared" si="643"/>
        <v>ACTISALUD-PISO 9-GUSTAVO GOMEZ</v>
      </c>
      <c r="F12587" s="5"/>
      <c r="G12587" s="5"/>
    </row>
    <row r="12588" spans="1:7" ht="58.5" customHeight="1" x14ac:dyDescent="0.25">
      <c r="A12588" s="5" t="str">
        <f>"H0029690"</f>
        <v>H0029690</v>
      </c>
      <c r="B12588" s="5" t="s">
        <v>94</v>
      </c>
      <c r="C12588" s="6">
        <v>148999.9</v>
      </c>
      <c r="D12588" s="5" t="s">
        <v>93</v>
      </c>
      <c r="E12588" s="5" t="str">
        <f t="shared" si="643"/>
        <v>ACTISALUD-PISO 9-GUSTAVO GOMEZ</v>
      </c>
      <c r="F12588" s="5"/>
      <c r="G12588" s="5"/>
    </row>
    <row r="12589" spans="1:7" ht="58.5" customHeight="1" x14ac:dyDescent="0.25">
      <c r="A12589" s="5" t="str">
        <f>"H0029691"</f>
        <v>H0029691</v>
      </c>
      <c r="B12589" s="5" t="s">
        <v>94</v>
      </c>
      <c r="C12589" s="6">
        <v>148999.9</v>
      </c>
      <c r="D12589" s="5" t="s">
        <v>93</v>
      </c>
      <c r="E12589" s="5" t="str">
        <f t="shared" si="643"/>
        <v>ACTISALUD-PISO 9-GUSTAVO GOMEZ</v>
      </c>
      <c r="F12589" s="5"/>
      <c r="G12589" s="5"/>
    </row>
    <row r="12590" spans="1:7" ht="58.5" customHeight="1" x14ac:dyDescent="0.25">
      <c r="A12590" s="5" t="str">
        <f>"H0029693"</f>
        <v>H0029693</v>
      </c>
      <c r="B12590" s="5" t="s">
        <v>94</v>
      </c>
      <c r="C12590" s="6">
        <v>148999.9</v>
      </c>
      <c r="D12590" s="5" t="s">
        <v>93</v>
      </c>
      <c r="E12590" s="5" t="str">
        <f t="shared" si="643"/>
        <v>ACTISALUD-PISO 9-GUSTAVO GOMEZ</v>
      </c>
      <c r="F12590" s="5"/>
      <c r="G12590" s="5"/>
    </row>
    <row r="12591" spans="1:7" ht="58.5" customHeight="1" x14ac:dyDescent="0.25">
      <c r="A12591" s="5" t="str">
        <f>"H0029694"</f>
        <v>H0029694</v>
      </c>
      <c r="B12591" s="5" t="s">
        <v>94</v>
      </c>
      <c r="C12591" s="6">
        <v>148999.9</v>
      </c>
      <c r="D12591" s="5" t="s">
        <v>93</v>
      </c>
      <c r="E12591" s="5" t="str">
        <f t="shared" si="643"/>
        <v>ACTISALUD-PISO 9-GUSTAVO GOMEZ</v>
      </c>
      <c r="F12591" s="5"/>
      <c r="G12591" s="5"/>
    </row>
    <row r="12592" spans="1:7" ht="58.5" customHeight="1" x14ac:dyDescent="0.25">
      <c r="A12592" s="5" t="str">
        <f>"H0029695"</f>
        <v>H0029695</v>
      </c>
      <c r="B12592" s="5" t="s">
        <v>94</v>
      </c>
      <c r="C12592" s="6">
        <v>148999.9</v>
      </c>
      <c r="D12592" s="5" t="s">
        <v>93</v>
      </c>
      <c r="E12592" s="5" t="str">
        <f t="shared" si="643"/>
        <v>ACTISALUD-PISO 9-GUSTAVO GOMEZ</v>
      </c>
      <c r="F12592" s="5"/>
      <c r="G12592" s="5"/>
    </row>
    <row r="12593" spans="1:7" ht="58.5" customHeight="1" x14ac:dyDescent="0.25">
      <c r="A12593" s="5" t="str">
        <f>"H0029696"</f>
        <v>H0029696</v>
      </c>
      <c r="B12593" s="5" t="s">
        <v>94</v>
      </c>
      <c r="C12593" s="6">
        <v>148999.9</v>
      </c>
      <c r="D12593" s="5" t="s">
        <v>93</v>
      </c>
      <c r="E12593" s="5" t="str">
        <f t="shared" si="643"/>
        <v>ACTISALUD-PISO 9-GUSTAVO GOMEZ</v>
      </c>
      <c r="F12593" s="5"/>
      <c r="G12593" s="5"/>
    </row>
    <row r="12594" spans="1:7" ht="58.5" customHeight="1" x14ac:dyDescent="0.25">
      <c r="A12594" s="5" t="str">
        <f>"H0029697"</f>
        <v>H0029697</v>
      </c>
      <c r="B12594" s="5" t="s">
        <v>94</v>
      </c>
      <c r="C12594" s="6">
        <v>148999.9</v>
      </c>
      <c r="D12594" s="5" t="s">
        <v>93</v>
      </c>
      <c r="E12594" s="5" t="str">
        <f t="shared" si="643"/>
        <v>ACTISALUD-PISO 9-GUSTAVO GOMEZ</v>
      </c>
      <c r="F12594" s="5"/>
      <c r="G12594" s="5"/>
    </row>
    <row r="12595" spans="1:7" ht="58.5" customHeight="1" x14ac:dyDescent="0.25">
      <c r="A12595" s="5" t="str">
        <f>"H0029698"</f>
        <v>H0029698</v>
      </c>
      <c r="B12595" s="5" t="s">
        <v>94</v>
      </c>
      <c r="C12595" s="6">
        <v>148999.9</v>
      </c>
      <c r="D12595" s="5" t="s">
        <v>93</v>
      </c>
      <c r="E12595" s="5" t="str">
        <f t="shared" si="643"/>
        <v>ACTISALUD-PISO 9-GUSTAVO GOMEZ</v>
      </c>
      <c r="F12595" s="5"/>
      <c r="G12595" s="5"/>
    </row>
    <row r="12596" spans="1:7" ht="58.5" customHeight="1" x14ac:dyDescent="0.25">
      <c r="A12596" s="5" t="str">
        <f>"H0030044"</f>
        <v>H0030044</v>
      </c>
      <c r="B12596" s="5" t="str">
        <f t="shared" ref="B12596:B12608" si="644">"SILLA RECLINOMATICA"</f>
        <v>SILLA RECLINOMATICA</v>
      </c>
      <c r="C12596" s="6">
        <v>1065050</v>
      </c>
      <c r="D12596" s="5" t="s">
        <v>97</v>
      </c>
      <c r="E12596" s="5" t="str">
        <f t="shared" si="643"/>
        <v>ACTISALUD-PISO 9-GUSTAVO GOMEZ</v>
      </c>
      <c r="F12596" s="5"/>
      <c r="G12596" s="5"/>
    </row>
    <row r="12597" spans="1:7" ht="58.5" customHeight="1" x14ac:dyDescent="0.25">
      <c r="A12597" s="5" t="str">
        <f>"H0030048"</f>
        <v>H0030048</v>
      </c>
      <c r="B12597" s="5" t="str">
        <f t="shared" si="644"/>
        <v>SILLA RECLINOMATICA</v>
      </c>
      <c r="C12597" s="6">
        <v>1065050</v>
      </c>
      <c r="D12597" s="5" t="s">
        <v>98</v>
      </c>
      <c r="E12597" s="5" t="str">
        <f t="shared" si="643"/>
        <v>ACTISALUD-PISO 9-GUSTAVO GOMEZ</v>
      </c>
      <c r="F12597" s="5"/>
      <c r="G12597" s="5"/>
    </row>
    <row r="12598" spans="1:7" ht="58.5" customHeight="1" x14ac:dyDescent="0.25">
      <c r="A12598" s="5" t="str">
        <f>"H0030049"</f>
        <v>H0030049</v>
      </c>
      <c r="B12598" s="5" t="str">
        <f t="shared" si="644"/>
        <v>SILLA RECLINOMATICA</v>
      </c>
      <c r="C12598" s="6">
        <v>1065050</v>
      </c>
      <c r="D12598" s="5" t="s">
        <v>98</v>
      </c>
      <c r="E12598" s="5" t="str">
        <f t="shared" si="643"/>
        <v>ACTISALUD-PISO 9-GUSTAVO GOMEZ</v>
      </c>
      <c r="F12598" s="5"/>
      <c r="G12598" s="5"/>
    </row>
    <row r="12599" spans="1:7" ht="58.5" customHeight="1" x14ac:dyDescent="0.25">
      <c r="A12599" s="5" t="str">
        <f>"H0030050"</f>
        <v>H0030050</v>
      </c>
      <c r="B12599" s="5" t="str">
        <f t="shared" si="644"/>
        <v>SILLA RECLINOMATICA</v>
      </c>
      <c r="C12599" s="6">
        <v>1065050</v>
      </c>
      <c r="D12599" s="5" t="s">
        <v>98</v>
      </c>
      <c r="E12599" s="5" t="str">
        <f t="shared" si="643"/>
        <v>ACTISALUD-PISO 9-GUSTAVO GOMEZ</v>
      </c>
      <c r="F12599" s="5"/>
      <c r="G12599" s="5"/>
    </row>
    <row r="12600" spans="1:7" ht="58.5" customHeight="1" x14ac:dyDescent="0.25">
      <c r="A12600" s="5" t="str">
        <f>"H0030051"</f>
        <v>H0030051</v>
      </c>
      <c r="B12600" s="5" t="str">
        <f t="shared" si="644"/>
        <v>SILLA RECLINOMATICA</v>
      </c>
      <c r="C12600" s="6">
        <v>1065050</v>
      </c>
      <c r="D12600" s="5" t="s">
        <v>98</v>
      </c>
      <c r="E12600" s="5" t="str">
        <f t="shared" si="643"/>
        <v>ACTISALUD-PISO 9-GUSTAVO GOMEZ</v>
      </c>
      <c r="F12600" s="5"/>
      <c r="G12600" s="5"/>
    </row>
    <row r="12601" spans="1:7" ht="58.5" customHeight="1" x14ac:dyDescent="0.25">
      <c r="A12601" s="5" t="str">
        <f>"H0030056"</f>
        <v>H0030056</v>
      </c>
      <c r="B12601" s="5" t="str">
        <f t="shared" si="644"/>
        <v>SILLA RECLINOMATICA</v>
      </c>
      <c r="C12601" s="6">
        <v>1065050</v>
      </c>
      <c r="D12601" s="5" t="s">
        <v>98</v>
      </c>
      <c r="E12601" s="5" t="str">
        <f t="shared" si="643"/>
        <v>ACTISALUD-PISO 9-GUSTAVO GOMEZ</v>
      </c>
      <c r="F12601" s="5"/>
      <c r="G12601" s="5"/>
    </row>
    <row r="12602" spans="1:7" ht="58.5" customHeight="1" x14ac:dyDescent="0.25">
      <c r="A12602" s="5" t="str">
        <f>"H0030065"</f>
        <v>H0030065</v>
      </c>
      <c r="B12602" s="5" t="str">
        <f t="shared" si="644"/>
        <v>SILLA RECLINOMATICA</v>
      </c>
      <c r="C12602" s="6">
        <v>1065050</v>
      </c>
      <c r="D12602" s="5" t="s">
        <v>98</v>
      </c>
      <c r="E12602" s="5" t="str">
        <f t="shared" si="643"/>
        <v>ACTISALUD-PISO 9-GUSTAVO GOMEZ</v>
      </c>
      <c r="F12602" s="5"/>
      <c r="G12602" s="5"/>
    </row>
    <row r="12603" spans="1:7" ht="58.5" customHeight="1" x14ac:dyDescent="0.25">
      <c r="A12603" s="5" t="str">
        <f>"H0030067"</f>
        <v>H0030067</v>
      </c>
      <c r="B12603" s="5" t="str">
        <f t="shared" si="644"/>
        <v>SILLA RECLINOMATICA</v>
      </c>
      <c r="C12603" s="6">
        <v>1065050</v>
      </c>
      <c r="D12603" s="5" t="s">
        <v>694</v>
      </c>
      <c r="E12603" s="5" t="str">
        <f t="shared" si="643"/>
        <v>ACTISALUD-PISO 9-GUSTAVO GOMEZ</v>
      </c>
      <c r="F12603" s="5"/>
      <c r="G12603" s="5"/>
    </row>
    <row r="12604" spans="1:7" ht="58.5" customHeight="1" x14ac:dyDescent="0.25">
      <c r="A12604" s="5" t="str">
        <f>"H0030069"</f>
        <v>H0030069</v>
      </c>
      <c r="B12604" s="5" t="str">
        <f t="shared" si="644"/>
        <v>SILLA RECLINOMATICA</v>
      </c>
      <c r="C12604" s="6">
        <v>1065050</v>
      </c>
      <c r="D12604" s="5" t="s">
        <v>98</v>
      </c>
      <c r="E12604" s="5" t="str">
        <f t="shared" si="643"/>
        <v>ACTISALUD-PISO 9-GUSTAVO GOMEZ</v>
      </c>
      <c r="F12604" s="5"/>
      <c r="G12604" s="5"/>
    </row>
    <row r="12605" spans="1:7" ht="58.5" customHeight="1" x14ac:dyDescent="0.25">
      <c r="A12605" s="5" t="str">
        <f>"H0030082"</f>
        <v>H0030082</v>
      </c>
      <c r="B12605" s="5" t="str">
        <f t="shared" si="644"/>
        <v>SILLA RECLINOMATICA</v>
      </c>
      <c r="C12605" s="6">
        <v>1065050</v>
      </c>
      <c r="D12605" s="5" t="s">
        <v>99</v>
      </c>
      <c r="E12605" s="5" t="str">
        <f t="shared" si="643"/>
        <v>ACTISALUD-PISO 9-GUSTAVO GOMEZ</v>
      </c>
      <c r="F12605" s="5"/>
      <c r="G12605" s="5"/>
    </row>
    <row r="12606" spans="1:7" ht="58.5" customHeight="1" x14ac:dyDescent="0.25">
      <c r="A12606" s="5" t="str">
        <f>"H0030085"</f>
        <v>H0030085</v>
      </c>
      <c r="B12606" s="5" t="str">
        <f t="shared" si="644"/>
        <v>SILLA RECLINOMATICA</v>
      </c>
      <c r="C12606" s="6">
        <v>1065050</v>
      </c>
      <c r="D12606" s="5" t="s">
        <v>99</v>
      </c>
      <c r="E12606" s="5" t="str">
        <f t="shared" si="643"/>
        <v>ACTISALUD-PISO 9-GUSTAVO GOMEZ</v>
      </c>
      <c r="F12606" s="5"/>
      <c r="G12606" s="5"/>
    </row>
    <row r="12607" spans="1:7" ht="58.5" customHeight="1" x14ac:dyDescent="0.25">
      <c r="A12607" s="5" t="str">
        <f>"H0030090"</f>
        <v>H0030090</v>
      </c>
      <c r="B12607" s="5" t="str">
        <f t="shared" si="644"/>
        <v>SILLA RECLINOMATICA</v>
      </c>
      <c r="C12607" s="6">
        <v>1065050</v>
      </c>
      <c r="D12607" s="5" t="s">
        <v>99</v>
      </c>
      <c r="E12607" s="5" t="str">
        <f t="shared" si="643"/>
        <v>ACTISALUD-PISO 9-GUSTAVO GOMEZ</v>
      </c>
      <c r="F12607" s="5"/>
      <c r="G12607" s="5"/>
    </row>
    <row r="12608" spans="1:7" ht="58.5" customHeight="1" x14ac:dyDescent="0.25">
      <c r="A12608" s="5" t="str">
        <f>"H0030093"</f>
        <v>H0030093</v>
      </c>
      <c r="B12608" s="5" t="str">
        <f t="shared" si="644"/>
        <v>SILLA RECLINOMATICA</v>
      </c>
      <c r="C12608" s="6">
        <v>1065050</v>
      </c>
      <c r="D12608" s="5" t="s">
        <v>99</v>
      </c>
      <c r="E12608" s="5" t="str">
        <f t="shared" si="643"/>
        <v>ACTISALUD-PISO 9-GUSTAVO GOMEZ</v>
      </c>
      <c r="F12608" s="5"/>
      <c r="G12608" s="5"/>
    </row>
    <row r="12609" spans="1:7" ht="58.5" customHeight="1" x14ac:dyDescent="0.25">
      <c r="A12609" s="5" t="str">
        <f>"H0031183"</f>
        <v>H0031183</v>
      </c>
      <c r="B12609"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2609" s="6">
        <v>773500</v>
      </c>
      <c r="D12609" s="5" t="s">
        <v>251</v>
      </c>
      <c r="E12609" s="5" t="str">
        <f t="shared" si="643"/>
        <v>ACTISALUD-PISO 9-GUSTAVO GOMEZ</v>
      </c>
      <c r="F12609" s="5"/>
      <c r="G12609" s="5"/>
    </row>
    <row r="12610" spans="1:7" ht="58.5" customHeight="1" x14ac:dyDescent="0.25">
      <c r="A12610" s="5" t="str">
        <f>"H0031184"</f>
        <v>H0031184</v>
      </c>
      <c r="B12610"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2610" s="6">
        <v>773500</v>
      </c>
      <c r="D12610" s="5" t="s">
        <v>251</v>
      </c>
      <c r="E12610" s="5" t="str">
        <f t="shared" si="643"/>
        <v>ACTISALUD-PISO 9-GUSTAVO GOMEZ</v>
      </c>
      <c r="F12610" s="5"/>
      <c r="G12610" s="5"/>
    </row>
    <row r="12611" spans="1:7" ht="58.5" customHeight="1" x14ac:dyDescent="0.25">
      <c r="A12611" s="5" t="str">
        <f>"H0031185"</f>
        <v>H0031185</v>
      </c>
      <c r="B12611"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2611" s="6">
        <v>773500</v>
      </c>
      <c r="D12611" s="5" t="s">
        <v>251</v>
      </c>
      <c r="E12611" s="5" t="str">
        <f t="shared" si="643"/>
        <v>ACTISALUD-PISO 9-GUSTAVO GOMEZ</v>
      </c>
      <c r="F12611" s="5"/>
      <c r="G12611" s="5"/>
    </row>
    <row r="12612" spans="1:7" ht="58.5" customHeight="1" x14ac:dyDescent="0.25">
      <c r="A12612" s="5" t="str">
        <f>"H0031243"</f>
        <v>H0031243</v>
      </c>
      <c r="B12612" s="5" t="str">
        <f>"MUEBLE DE 2 PUESTOS CON MEDIDAS DE 1,64 MTS"</f>
        <v>MUEBLE DE 2 PUESTOS CON MEDIDAS DE 1,64 MTS</v>
      </c>
      <c r="C12612" s="6">
        <v>700000</v>
      </c>
      <c r="D12612" s="5" t="s">
        <v>104</v>
      </c>
      <c r="E12612" s="5" t="str">
        <f t="shared" si="643"/>
        <v>ACTISALUD-PISO 9-GUSTAVO GOMEZ</v>
      </c>
      <c r="F12612" s="5"/>
      <c r="G12612" s="5"/>
    </row>
    <row r="12613" spans="1:7" ht="58.5" customHeight="1" x14ac:dyDescent="0.25">
      <c r="A12613" s="5" t="str">
        <f>"H0031251"</f>
        <v>H0031251</v>
      </c>
      <c r="B12613" s="5" t="str">
        <f>"MUEBLE DE 3 PUESTOS CON MEDIDAS DE 2,46 MTS"</f>
        <v>MUEBLE DE 3 PUESTOS CON MEDIDAS DE 2,46 MTS</v>
      </c>
      <c r="C12613" s="6">
        <v>1050000</v>
      </c>
      <c r="D12613" s="5" t="s">
        <v>104</v>
      </c>
      <c r="E12613" s="5" t="str">
        <f t="shared" si="643"/>
        <v>ACTISALUD-PISO 9-GUSTAVO GOMEZ</v>
      </c>
      <c r="F12613" s="5"/>
      <c r="G12613" s="5"/>
    </row>
    <row r="12614" spans="1:7" ht="58.5" customHeight="1" x14ac:dyDescent="0.25">
      <c r="A12614" s="5" t="str">
        <f>"H0031259"</f>
        <v>H0031259</v>
      </c>
      <c r="B12614" s="5" t="str">
        <f>"SOFA CON MEDIDAS DE 1,10 MTS"</f>
        <v>SOFA CON MEDIDAS DE 1,10 MTS</v>
      </c>
      <c r="C12614" s="6">
        <v>650000</v>
      </c>
      <c r="D12614" s="5" t="s">
        <v>104</v>
      </c>
      <c r="E12614" s="5" t="str">
        <f t="shared" si="643"/>
        <v>ACTISALUD-PISO 9-GUSTAVO GOMEZ</v>
      </c>
      <c r="F12614" s="5"/>
      <c r="G12614" s="5"/>
    </row>
    <row r="12615" spans="1:7" ht="58.5" customHeight="1" x14ac:dyDescent="0.25">
      <c r="A12615" s="5" t="str">
        <f>"H0031267"</f>
        <v>H0031267</v>
      </c>
      <c r="B12615" s="5" t="str">
        <f>"MESA DE CENTRO CON MEDIDAS DE 0,84 MTS X 0,54 MTS"</f>
        <v>MESA DE CENTRO CON MEDIDAS DE 0,84 MTS X 0,54 MTS</v>
      </c>
      <c r="C12615" s="6">
        <v>160000</v>
      </c>
      <c r="D12615" s="5" t="s">
        <v>104</v>
      </c>
      <c r="E12615" s="5" t="str">
        <f t="shared" si="643"/>
        <v>ACTISALUD-PISO 9-GUSTAVO GOMEZ</v>
      </c>
      <c r="F12615" s="5"/>
      <c r="G12615" s="5"/>
    </row>
    <row r="12616" spans="1:7" ht="58.5" customHeight="1" x14ac:dyDescent="0.25">
      <c r="A12616" s="5" t="str">
        <f>"H0031275"</f>
        <v>H0031275</v>
      </c>
      <c r="B12616" s="5" t="str">
        <f>"MUEBLE DE 5 PUESTOS CON MEDIDAS DE 3,87 MTS"</f>
        <v>MUEBLE DE 5 PUESTOS CON MEDIDAS DE 3,87 MTS</v>
      </c>
      <c r="C12616" s="6">
        <v>1400000</v>
      </c>
      <c r="D12616" s="5" t="s">
        <v>104</v>
      </c>
      <c r="E12616" s="5" t="str">
        <f t="shared" si="643"/>
        <v>ACTISALUD-PISO 9-GUSTAVO GOMEZ</v>
      </c>
      <c r="F12616" s="5"/>
      <c r="G12616" s="5"/>
    </row>
    <row r="12617" spans="1:7" ht="58.5" customHeight="1" x14ac:dyDescent="0.25">
      <c r="A12617" s="5" t="str">
        <f>"H0031283"</f>
        <v>H0031283</v>
      </c>
      <c r="B12617" s="5" t="str">
        <f>"SOFA CON MEDIDAS DE 1,65 MTS"</f>
        <v>SOFA CON MEDIDAS DE 1,65 MTS</v>
      </c>
      <c r="C12617" s="6">
        <v>700000</v>
      </c>
      <c r="D12617" s="5" t="s">
        <v>104</v>
      </c>
      <c r="E12617" s="5" t="str">
        <f t="shared" si="643"/>
        <v>ACTISALUD-PISO 9-GUSTAVO GOMEZ</v>
      </c>
      <c r="F12617" s="5"/>
      <c r="G12617" s="5"/>
    </row>
    <row r="12618" spans="1:7" ht="58.5" customHeight="1" x14ac:dyDescent="0.25">
      <c r="A12618" s="5" t="str">
        <f>"H0031291"</f>
        <v>H0031291</v>
      </c>
      <c r="B12618" s="5" t="str">
        <f>"SOFA DOBLE CON MEDIDAS DE 1,65 MTS"</f>
        <v>SOFA DOBLE CON MEDIDAS DE 1,65 MTS</v>
      </c>
      <c r="C12618" s="6">
        <v>910000</v>
      </c>
      <c r="D12618" s="5" t="s">
        <v>104</v>
      </c>
      <c r="E12618" s="5" t="str">
        <f t="shared" si="643"/>
        <v>ACTISALUD-PISO 9-GUSTAVO GOMEZ</v>
      </c>
      <c r="F12618" s="5"/>
      <c r="G12618" s="5"/>
    </row>
    <row r="12619" spans="1:7" ht="58.5" customHeight="1" x14ac:dyDescent="0.25">
      <c r="A12619" s="5" t="str">
        <f>"H0031299"</f>
        <v>H0031299</v>
      </c>
      <c r="B12619" s="5" t="str">
        <f>"MINILUNA CON MEDIDAS DE 1,26 MTS X 0,65 MTS"</f>
        <v>MINILUNA CON MEDIDAS DE 1,26 MTS X 0,65 MTS</v>
      </c>
      <c r="C12619" s="6">
        <v>120000</v>
      </c>
      <c r="D12619" s="5" t="s">
        <v>104</v>
      </c>
      <c r="E12619" s="5" t="str">
        <f t="shared" si="643"/>
        <v>ACTISALUD-PISO 9-GUSTAVO GOMEZ</v>
      </c>
      <c r="F12619" s="5"/>
      <c r="G12619" s="5"/>
    </row>
    <row r="12620" spans="1:7" ht="58.5" customHeight="1" x14ac:dyDescent="0.25">
      <c r="A12620" s="5" t="str">
        <f>"H0031307"</f>
        <v>H0031307</v>
      </c>
      <c r="B12620" s="5" t="str">
        <f>"PUFF GRANDE CON MEDIDAS DE 1,66 MTS X 1,26 MTS"</f>
        <v>PUFF GRANDE CON MEDIDAS DE 1,66 MTS X 1,26 MTS</v>
      </c>
      <c r="C12620" s="6">
        <v>290000</v>
      </c>
      <c r="D12620" s="5" t="s">
        <v>104</v>
      </c>
      <c r="E12620" s="5" t="str">
        <f t="shared" si="643"/>
        <v>ACTISALUD-PISO 9-GUSTAVO GOMEZ</v>
      </c>
      <c r="F12620" s="5"/>
      <c r="G12620" s="5"/>
    </row>
    <row r="12621" spans="1:7" ht="58.5" customHeight="1" x14ac:dyDescent="0.25">
      <c r="A12621" s="5" t="str">
        <f>"H0031543"</f>
        <v>H0031543</v>
      </c>
      <c r="B12621" s="5" t="s">
        <v>221</v>
      </c>
      <c r="C12621" s="6">
        <v>375382.64</v>
      </c>
      <c r="D12621" s="5" t="s">
        <v>16</v>
      </c>
      <c r="E12621" s="5" t="str">
        <f t="shared" si="643"/>
        <v>ACTISALUD-PISO 9-GUSTAVO GOMEZ</v>
      </c>
      <c r="F12621" s="5"/>
      <c r="G12621" s="5"/>
    </row>
    <row r="12622" spans="1:7" ht="58.5" customHeight="1" x14ac:dyDescent="0.25">
      <c r="A12622" s="5" t="str">
        <f>"H0031545"</f>
        <v>H0031545</v>
      </c>
      <c r="B12622" s="5" t="s">
        <v>221</v>
      </c>
      <c r="C12622" s="6">
        <v>375382.64</v>
      </c>
      <c r="D12622" s="5" t="s">
        <v>16</v>
      </c>
      <c r="E12622" s="5" t="str">
        <f t="shared" si="643"/>
        <v>ACTISALUD-PISO 9-GUSTAVO GOMEZ</v>
      </c>
      <c r="F12622" s="5"/>
      <c r="G12622" s="5"/>
    </row>
    <row r="12623" spans="1:7" ht="58.5" customHeight="1" x14ac:dyDescent="0.25">
      <c r="A12623" s="5" t="str">
        <f>"H0031547"</f>
        <v>H0031547</v>
      </c>
      <c r="B12623" s="5" t="s">
        <v>221</v>
      </c>
      <c r="C12623" s="6">
        <v>375382.64</v>
      </c>
      <c r="D12623" s="5" t="s">
        <v>16</v>
      </c>
      <c r="E12623" s="5" t="str">
        <f t="shared" si="643"/>
        <v>ACTISALUD-PISO 9-GUSTAVO GOMEZ</v>
      </c>
      <c r="F12623" s="5"/>
      <c r="G12623" s="5"/>
    </row>
    <row r="12624" spans="1:7" ht="58.5" customHeight="1" x14ac:dyDescent="0.25">
      <c r="A12624" s="5" t="str">
        <f>"H0031548"</f>
        <v>H0031548</v>
      </c>
      <c r="B12624" s="5" t="s">
        <v>221</v>
      </c>
      <c r="C12624" s="6">
        <v>375382.64</v>
      </c>
      <c r="D12624" s="5" t="s">
        <v>16</v>
      </c>
      <c r="E12624" s="5" t="str">
        <f t="shared" si="643"/>
        <v>ACTISALUD-PISO 9-GUSTAVO GOMEZ</v>
      </c>
      <c r="F12624" s="5"/>
      <c r="G12624" s="5"/>
    </row>
    <row r="12625" spans="1:7" ht="58.5" customHeight="1" x14ac:dyDescent="0.25">
      <c r="A12625" s="5" t="str">
        <f>"H0031551"</f>
        <v>H0031551</v>
      </c>
      <c r="B12625" s="5" t="s">
        <v>221</v>
      </c>
      <c r="C12625" s="6">
        <v>375382.64</v>
      </c>
      <c r="D12625" s="5" t="s">
        <v>16</v>
      </c>
      <c r="E12625" s="5" t="str">
        <f t="shared" si="643"/>
        <v>ACTISALUD-PISO 9-GUSTAVO GOMEZ</v>
      </c>
      <c r="F12625" s="5"/>
      <c r="G12625" s="5"/>
    </row>
    <row r="12626" spans="1:7" ht="58.5" customHeight="1" x14ac:dyDescent="0.25">
      <c r="A12626" s="5" t="str">
        <f>"H0031552"</f>
        <v>H0031552</v>
      </c>
      <c r="B12626" s="5" t="s">
        <v>221</v>
      </c>
      <c r="C12626" s="6">
        <v>375382.64</v>
      </c>
      <c r="D12626" s="5" t="s">
        <v>16</v>
      </c>
      <c r="E12626" s="5" t="str">
        <f t="shared" si="643"/>
        <v>ACTISALUD-PISO 9-GUSTAVO GOMEZ</v>
      </c>
      <c r="F12626" s="5"/>
      <c r="G12626" s="5"/>
    </row>
    <row r="12627" spans="1:7" ht="58.5" customHeight="1" x14ac:dyDescent="0.25">
      <c r="A12627" s="5" t="str">
        <f>"H0031553"</f>
        <v>H0031553</v>
      </c>
      <c r="B12627" s="5" t="s">
        <v>221</v>
      </c>
      <c r="C12627" s="6">
        <v>375382.64</v>
      </c>
      <c r="D12627" s="5" t="s">
        <v>16</v>
      </c>
      <c r="E12627" s="5" t="str">
        <f t="shared" si="643"/>
        <v>ACTISALUD-PISO 9-GUSTAVO GOMEZ</v>
      </c>
      <c r="F12627" s="5"/>
      <c r="G12627" s="5"/>
    </row>
    <row r="12628" spans="1:7" ht="58.5" customHeight="1" x14ac:dyDescent="0.25">
      <c r="A12628" s="5" t="str">
        <f>"H0031554"</f>
        <v>H0031554</v>
      </c>
      <c r="B12628" s="5" t="s">
        <v>221</v>
      </c>
      <c r="C12628" s="6">
        <v>375382.64</v>
      </c>
      <c r="D12628" s="5" t="s">
        <v>16</v>
      </c>
      <c r="E12628" s="5" t="str">
        <f t="shared" si="643"/>
        <v>ACTISALUD-PISO 9-GUSTAVO GOMEZ</v>
      </c>
      <c r="F12628" s="5"/>
      <c r="G12628" s="5"/>
    </row>
    <row r="12629" spans="1:7" ht="58.5" customHeight="1" x14ac:dyDescent="0.25">
      <c r="A12629" s="5" t="str">
        <f>"H0031557"</f>
        <v>H0031557</v>
      </c>
      <c r="B12629" s="5" t="s">
        <v>221</v>
      </c>
      <c r="C12629" s="6">
        <v>375382.64</v>
      </c>
      <c r="D12629" s="5" t="s">
        <v>16</v>
      </c>
      <c r="E12629" s="5" t="str">
        <f t="shared" si="643"/>
        <v>ACTISALUD-PISO 9-GUSTAVO GOMEZ</v>
      </c>
      <c r="F12629" s="5"/>
      <c r="G12629" s="5"/>
    </row>
    <row r="12630" spans="1:7" ht="58.5" customHeight="1" x14ac:dyDescent="0.25">
      <c r="A12630" s="5" t="str">
        <f>"H0031560"</f>
        <v>H0031560</v>
      </c>
      <c r="B12630" s="5" t="s">
        <v>221</v>
      </c>
      <c r="C12630" s="6">
        <v>375382.64</v>
      </c>
      <c r="D12630" s="5" t="s">
        <v>16</v>
      </c>
      <c r="E12630" s="5" t="str">
        <f t="shared" si="643"/>
        <v>ACTISALUD-PISO 9-GUSTAVO GOMEZ</v>
      </c>
      <c r="F12630" s="5"/>
      <c r="G12630" s="5"/>
    </row>
    <row r="12631" spans="1:7" ht="58.5" customHeight="1" x14ac:dyDescent="0.25">
      <c r="A12631" s="5" t="str">
        <f>"H0031565"</f>
        <v>H0031565</v>
      </c>
      <c r="B12631" s="5" t="s">
        <v>221</v>
      </c>
      <c r="C12631" s="6">
        <v>375382.64</v>
      </c>
      <c r="D12631" s="5" t="s">
        <v>16</v>
      </c>
      <c r="E12631" s="5" t="str">
        <f t="shared" si="643"/>
        <v>ACTISALUD-PISO 9-GUSTAVO GOMEZ</v>
      </c>
      <c r="F12631" s="5"/>
      <c r="G12631" s="5"/>
    </row>
    <row r="12632" spans="1:7" ht="58.5" customHeight="1" x14ac:dyDescent="0.25">
      <c r="A12632" s="5" t="str">
        <f>"H0031567"</f>
        <v>H0031567</v>
      </c>
      <c r="B12632" s="5" t="s">
        <v>221</v>
      </c>
      <c r="C12632" s="6">
        <v>375382.64</v>
      </c>
      <c r="D12632" s="5" t="s">
        <v>16</v>
      </c>
      <c r="E12632" s="5" t="str">
        <f t="shared" si="643"/>
        <v>ACTISALUD-PISO 9-GUSTAVO GOMEZ</v>
      </c>
      <c r="F12632" s="5"/>
      <c r="G12632" s="5"/>
    </row>
    <row r="12633" spans="1:7" ht="58.5" customHeight="1" x14ac:dyDescent="0.25">
      <c r="A12633" s="5" t="str">
        <f>"H0031568"</f>
        <v>H0031568</v>
      </c>
      <c r="B12633" s="5" t="s">
        <v>221</v>
      </c>
      <c r="C12633" s="6">
        <v>375382.64</v>
      </c>
      <c r="D12633" s="5" t="s">
        <v>16</v>
      </c>
      <c r="E12633" s="5" t="str">
        <f t="shared" si="643"/>
        <v>ACTISALUD-PISO 9-GUSTAVO GOMEZ</v>
      </c>
      <c r="F12633" s="5"/>
      <c r="G12633" s="5"/>
    </row>
    <row r="12634" spans="1:7" ht="58.5" customHeight="1" x14ac:dyDescent="0.25">
      <c r="A12634" s="5" t="str">
        <f>"H0031575"</f>
        <v>H0031575</v>
      </c>
      <c r="B12634" s="5" t="s">
        <v>221</v>
      </c>
      <c r="C12634" s="6">
        <v>375382.64</v>
      </c>
      <c r="D12634" s="5" t="s">
        <v>16</v>
      </c>
      <c r="E12634" s="5" t="str">
        <f t="shared" ref="E12634:E12697" si="645">"ACTISALUD-PISO 9-GUSTAVO GOMEZ"</f>
        <v>ACTISALUD-PISO 9-GUSTAVO GOMEZ</v>
      </c>
      <c r="F12634" s="5"/>
      <c r="G12634" s="5"/>
    </row>
    <row r="12635" spans="1:7" ht="58.5" customHeight="1" x14ac:dyDescent="0.25">
      <c r="A12635" s="5" t="str">
        <f>"H0031577"</f>
        <v>H0031577</v>
      </c>
      <c r="B12635" s="5" t="s">
        <v>221</v>
      </c>
      <c r="C12635" s="6">
        <v>375382.64</v>
      </c>
      <c r="D12635" s="5" t="s">
        <v>16</v>
      </c>
      <c r="E12635" s="5" t="str">
        <f t="shared" si="645"/>
        <v>ACTISALUD-PISO 9-GUSTAVO GOMEZ</v>
      </c>
      <c r="F12635" s="5"/>
      <c r="G12635" s="5"/>
    </row>
    <row r="12636" spans="1:7" ht="58.5" customHeight="1" x14ac:dyDescent="0.25">
      <c r="A12636" s="5" t="str">
        <f>"H0031579"</f>
        <v>H0031579</v>
      </c>
      <c r="B12636" s="5" t="s">
        <v>221</v>
      </c>
      <c r="C12636" s="6">
        <v>375382.64</v>
      </c>
      <c r="D12636" s="5" t="s">
        <v>16</v>
      </c>
      <c r="E12636" s="5" t="str">
        <f t="shared" si="645"/>
        <v>ACTISALUD-PISO 9-GUSTAVO GOMEZ</v>
      </c>
      <c r="F12636" s="5"/>
      <c r="G12636" s="5"/>
    </row>
    <row r="12637" spans="1:7" ht="58.5" customHeight="1" x14ac:dyDescent="0.25">
      <c r="A12637" s="5" t="str">
        <f>"H0031580"</f>
        <v>H0031580</v>
      </c>
      <c r="B12637" s="5" t="s">
        <v>221</v>
      </c>
      <c r="C12637" s="6">
        <v>375382.64</v>
      </c>
      <c r="D12637" s="5" t="s">
        <v>16</v>
      </c>
      <c r="E12637" s="5" t="str">
        <f t="shared" si="645"/>
        <v>ACTISALUD-PISO 9-GUSTAVO GOMEZ</v>
      </c>
      <c r="F12637" s="5"/>
      <c r="G12637" s="5"/>
    </row>
    <row r="12638" spans="1:7" ht="58.5" customHeight="1" x14ac:dyDescent="0.25">
      <c r="A12638" s="5" t="str">
        <f>"H0031582"</f>
        <v>H0031582</v>
      </c>
      <c r="B12638" s="5" t="s">
        <v>221</v>
      </c>
      <c r="C12638" s="6">
        <v>375382.64</v>
      </c>
      <c r="D12638" s="5" t="s">
        <v>16</v>
      </c>
      <c r="E12638" s="5" t="str">
        <f t="shared" si="645"/>
        <v>ACTISALUD-PISO 9-GUSTAVO GOMEZ</v>
      </c>
      <c r="F12638" s="5"/>
      <c r="G12638" s="5"/>
    </row>
    <row r="12639" spans="1:7" ht="58.5" customHeight="1" x14ac:dyDescent="0.25">
      <c r="A12639" s="5" t="str">
        <f>"H0031583"</f>
        <v>H0031583</v>
      </c>
      <c r="B12639" s="5" t="s">
        <v>221</v>
      </c>
      <c r="C12639" s="6">
        <v>375382.64</v>
      </c>
      <c r="D12639" s="5" t="s">
        <v>16</v>
      </c>
      <c r="E12639" s="5" t="str">
        <f t="shared" si="645"/>
        <v>ACTISALUD-PISO 9-GUSTAVO GOMEZ</v>
      </c>
      <c r="F12639" s="5"/>
      <c r="G12639" s="5"/>
    </row>
    <row r="12640" spans="1:7" ht="58.5" customHeight="1" x14ac:dyDescent="0.25">
      <c r="A12640" s="5" t="str">
        <f>"H0031584"</f>
        <v>H0031584</v>
      </c>
      <c r="B12640" s="5" t="s">
        <v>221</v>
      </c>
      <c r="C12640" s="6">
        <v>375382.64</v>
      </c>
      <c r="D12640" s="5" t="s">
        <v>16</v>
      </c>
      <c r="E12640" s="5" t="str">
        <f t="shared" si="645"/>
        <v>ACTISALUD-PISO 9-GUSTAVO GOMEZ</v>
      </c>
      <c r="F12640" s="5"/>
      <c r="G12640" s="5"/>
    </row>
    <row r="12641" spans="1:7" ht="58.5" customHeight="1" x14ac:dyDescent="0.25">
      <c r="A12641" s="5" t="str">
        <f>"H0031585"</f>
        <v>H0031585</v>
      </c>
      <c r="B12641" s="5" t="s">
        <v>221</v>
      </c>
      <c r="C12641" s="6">
        <v>375382.64</v>
      </c>
      <c r="D12641" s="5" t="s">
        <v>16</v>
      </c>
      <c r="E12641" s="5" t="str">
        <f t="shared" si="645"/>
        <v>ACTISALUD-PISO 9-GUSTAVO GOMEZ</v>
      </c>
      <c r="F12641" s="5"/>
      <c r="G12641" s="5"/>
    </row>
    <row r="12642" spans="1:7" ht="58.5" customHeight="1" x14ac:dyDescent="0.25">
      <c r="A12642" s="5" t="str">
        <f>"H0031687"</f>
        <v>H0031687</v>
      </c>
      <c r="B12642" s="5" t="str">
        <f>"MESA (CARRO) DE CURACIONES"</f>
        <v>MESA (CARRO) DE CURACIONES</v>
      </c>
      <c r="C12642" s="6">
        <v>190400</v>
      </c>
      <c r="D12642" s="5" t="s">
        <v>156</v>
      </c>
      <c r="E12642" s="5" t="str">
        <f t="shared" si="645"/>
        <v>ACTISALUD-PISO 9-GUSTAVO GOMEZ</v>
      </c>
      <c r="F12642" s="5"/>
      <c r="G12642" s="5"/>
    </row>
    <row r="12643" spans="1:7" ht="58.5" customHeight="1" x14ac:dyDescent="0.25">
      <c r="A12643" s="5" t="str">
        <f>"H0031697"</f>
        <v>H0031697</v>
      </c>
      <c r="B12643" s="5" t="str">
        <f>"MESA DE MAYO"</f>
        <v>MESA DE MAYO</v>
      </c>
      <c r="C12643" s="6">
        <v>380800</v>
      </c>
      <c r="D12643" s="5" t="s">
        <v>156</v>
      </c>
      <c r="E12643" s="5" t="str">
        <f t="shared" si="645"/>
        <v>ACTISALUD-PISO 9-GUSTAVO GOMEZ</v>
      </c>
      <c r="F12643" s="5"/>
      <c r="G12643" s="5"/>
    </row>
    <row r="12644" spans="1:7" ht="58.5" customHeight="1" x14ac:dyDescent="0.25">
      <c r="A12644" s="5" t="str">
        <f>"H0031726"</f>
        <v>H0031726</v>
      </c>
      <c r="B12644" s="5" t="str">
        <f>"BASE PARA MONITOR DE SIGNOS VITALES"</f>
        <v>BASE PARA MONITOR DE SIGNOS VITALES</v>
      </c>
      <c r="C12644" s="6">
        <v>809200</v>
      </c>
      <c r="D12644" s="5" t="s">
        <v>156</v>
      </c>
      <c r="E12644" s="5" t="str">
        <f t="shared" si="645"/>
        <v>ACTISALUD-PISO 9-GUSTAVO GOMEZ</v>
      </c>
      <c r="F12644" s="5"/>
      <c r="G12644" s="5"/>
    </row>
    <row r="12645" spans="1:7" ht="58.5" customHeight="1" x14ac:dyDescent="0.25">
      <c r="A12645" s="5" t="str">
        <f>"H0031801"</f>
        <v>H0031801</v>
      </c>
      <c r="B12645" s="5" t="str">
        <f>"Tandem metálico de 3 puestos para sala de espera tapizados en material lavable"</f>
        <v>Tandem metálico de 3 puestos para sala de espera tapizados en material lavable</v>
      </c>
      <c r="C12645" s="6">
        <v>550000.17000000004</v>
      </c>
      <c r="D12645" s="5" t="s">
        <v>43</v>
      </c>
      <c r="E12645" s="5" t="str">
        <f t="shared" si="645"/>
        <v>ACTISALUD-PISO 9-GUSTAVO GOMEZ</v>
      </c>
      <c r="F12645" s="5"/>
      <c r="G12645" s="5"/>
    </row>
    <row r="12646" spans="1:7" ht="58.5" customHeight="1" x14ac:dyDescent="0.25">
      <c r="A12646" s="5" t="str">
        <f>"H0031999"</f>
        <v>H0031999</v>
      </c>
      <c r="B12646" s="5" t="str">
        <f>"CARRO DE TRANSPORTE PARA ENFERMERIA RODABLE EN PLASTICO 80*42*96"</f>
        <v>CARRO DE TRANSPORTE PARA ENFERMERIA RODABLE EN PLASTICO 80*42*96</v>
      </c>
      <c r="C12646" s="6">
        <v>586551</v>
      </c>
      <c r="D12646" s="5" t="s">
        <v>109</v>
      </c>
      <c r="E12646" s="5" t="str">
        <f t="shared" si="645"/>
        <v>ACTISALUD-PISO 9-GUSTAVO GOMEZ</v>
      </c>
      <c r="F12646" s="5"/>
      <c r="G12646" s="5"/>
    </row>
    <row r="12647" spans="1:7" ht="58.5" customHeight="1" x14ac:dyDescent="0.25">
      <c r="A12647" s="5" t="str">
        <f>"H0032014"</f>
        <v>H0032014</v>
      </c>
      <c r="B12647" s="5" t="str">
        <f>"MESAAUXILIAR RODABLE DE ACERO INOXIDABLE 60*35*80"</f>
        <v>MESAAUXILIAR RODABLE DE ACERO INOXIDABLE 60*35*80</v>
      </c>
      <c r="C12647" s="6">
        <v>214438</v>
      </c>
      <c r="D12647" s="5" t="s">
        <v>109</v>
      </c>
      <c r="E12647" s="5" t="str">
        <f t="shared" si="645"/>
        <v>ACTISALUD-PISO 9-GUSTAVO GOMEZ</v>
      </c>
      <c r="F12647" s="5"/>
      <c r="G12647" s="5"/>
    </row>
    <row r="12648" spans="1:7" ht="58.5" customHeight="1" x14ac:dyDescent="0.25">
      <c r="A12648" s="5" t="str">
        <f>"H0032025"</f>
        <v>H0032025</v>
      </c>
      <c r="B12648" s="5" t="str">
        <f>"CUBETA EN ACERO INOXIDABLE SIN TAPA PARA EQUIPO DE RAQUIDEA 23*12 C20"</f>
        <v>CUBETA EN ACERO INOXIDABLE SIN TAPA PARA EQUIPO DE RAQUIDEA 23*12 C20</v>
      </c>
      <c r="C12648" s="6">
        <v>23562</v>
      </c>
      <c r="D12648" s="5" t="s">
        <v>109</v>
      </c>
      <c r="E12648" s="5" t="str">
        <f t="shared" si="645"/>
        <v>ACTISALUD-PISO 9-GUSTAVO GOMEZ</v>
      </c>
      <c r="F12648" s="5"/>
      <c r="G12648" s="5"/>
    </row>
    <row r="12649" spans="1:7" ht="58.5" customHeight="1" x14ac:dyDescent="0.25">
      <c r="A12649" s="5" t="str">
        <f>"H0032027"</f>
        <v>H0032027</v>
      </c>
      <c r="B12649" s="5" t="str">
        <f>"CUBETA EN ACERO INOXIDABLE SIN TAPA PARA EQUIPO DE RAQUIDEA 23*12 C20"</f>
        <v>CUBETA EN ACERO INOXIDABLE SIN TAPA PARA EQUIPO DE RAQUIDEA 23*12 C20</v>
      </c>
      <c r="C12649" s="6">
        <v>23562</v>
      </c>
      <c r="D12649" s="5" t="s">
        <v>109</v>
      </c>
      <c r="E12649" s="5" t="str">
        <f t="shared" si="645"/>
        <v>ACTISALUD-PISO 9-GUSTAVO GOMEZ</v>
      </c>
      <c r="F12649" s="5"/>
      <c r="G12649" s="5"/>
    </row>
    <row r="12650" spans="1:7" ht="58.5" customHeight="1" x14ac:dyDescent="0.25">
      <c r="A12650" s="5" t="str">
        <f>"H0032028"</f>
        <v>H0032028</v>
      </c>
      <c r="B12650" s="5" t="str">
        <f>"CUBETA EN ACERO INOXIDABLE SIN TAPA PARA EQUIPO DE RAQUIDEA 23*12 C20"</f>
        <v>CUBETA EN ACERO INOXIDABLE SIN TAPA PARA EQUIPO DE RAQUIDEA 23*12 C20</v>
      </c>
      <c r="C12650" s="6">
        <v>23562</v>
      </c>
      <c r="D12650" s="5" t="s">
        <v>109</v>
      </c>
      <c r="E12650" s="5" t="str">
        <f t="shared" si="645"/>
        <v>ACTISALUD-PISO 9-GUSTAVO GOMEZ</v>
      </c>
      <c r="F12650" s="5"/>
      <c r="G12650" s="5"/>
    </row>
    <row r="12651" spans="1:7" ht="58.5" customHeight="1" x14ac:dyDescent="0.25">
      <c r="A12651" s="5" t="str">
        <f>"H0032031"</f>
        <v>H0032031</v>
      </c>
      <c r="B12651" s="5" t="str">
        <f>"CUBETA EN ACERO INOXIDABLE SIN TAPA PARA EQUIPO DE RAQUIDEA 23*12 C20"</f>
        <v>CUBETA EN ACERO INOXIDABLE SIN TAPA PARA EQUIPO DE RAQUIDEA 23*12 C20</v>
      </c>
      <c r="C12651" s="6">
        <v>23562</v>
      </c>
      <c r="D12651" s="5" t="s">
        <v>109</v>
      </c>
      <c r="E12651" s="5" t="str">
        <f t="shared" si="645"/>
        <v>ACTISALUD-PISO 9-GUSTAVO GOMEZ</v>
      </c>
      <c r="F12651" s="5"/>
      <c r="G12651" s="5"/>
    </row>
    <row r="12652" spans="1:7" ht="58.5" customHeight="1" x14ac:dyDescent="0.25">
      <c r="A12652" s="5" t="str">
        <f>"H0032034"</f>
        <v>H0032034</v>
      </c>
      <c r="B12652" s="5" t="str">
        <f>"CUBETA EN ACERO INOXIDABLE SIN TAPA PARA EQUIPO DE RAQUIDEA 23*12 C20"</f>
        <v>CUBETA EN ACERO INOXIDABLE SIN TAPA PARA EQUIPO DE RAQUIDEA 23*12 C20</v>
      </c>
      <c r="C12652" s="6">
        <v>23562</v>
      </c>
      <c r="D12652" s="5" t="s">
        <v>109</v>
      </c>
      <c r="E12652" s="5" t="str">
        <f t="shared" si="645"/>
        <v>ACTISALUD-PISO 9-GUSTAVO GOMEZ</v>
      </c>
      <c r="F12652" s="5"/>
      <c r="G12652" s="5"/>
    </row>
    <row r="12653" spans="1:7" ht="58.5" customHeight="1" x14ac:dyDescent="0.25">
      <c r="A12653" s="5" t="str">
        <f>"H0032253"</f>
        <v>H0032253</v>
      </c>
      <c r="B12653" s="5" t="str">
        <f>"CAMA ELECTRICA ADULTOS"</f>
        <v>CAMA ELECTRICA ADULTOS</v>
      </c>
      <c r="C12653" s="6">
        <v>7745200</v>
      </c>
      <c r="D12653" s="5" t="s">
        <v>231</v>
      </c>
      <c r="E12653" s="5" t="str">
        <f t="shared" si="645"/>
        <v>ACTISALUD-PISO 9-GUSTAVO GOMEZ</v>
      </c>
      <c r="F12653" s="5"/>
      <c r="G12653" s="5"/>
    </row>
    <row r="12654" spans="1:7" ht="58.5" customHeight="1" x14ac:dyDescent="0.25">
      <c r="A12654" s="5" t="str">
        <f>"H0032254"</f>
        <v>H0032254</v>
      </c>
      <c r="B12654" s="5" t="str">
        <f>"CAMA ELECTRICA ADULTOS"</f>
        <v>CAMA ELECTRICA ADULTOS</v>
      </c>
      <c r="C12654" s="6">
        <v>7745200</v>
      </c>
      <c r="D12654" s="5" t="s">
        <v>231</v>
      </c>
      <c r="E12654" s="5" t="str">
        <f t="shared" si="645"/>
        <v>ACTISALUD-PISO 9-GUSTAVO GOMEZ</v>
      </c>
      <c r="F12654" s="5"/>
      <c r="G12654" s="5"/>
    </row>
    <row r="12655" spans="1:7" ht="58.5" customHeight="1" x14ac:dyDescent="0.25">
      <c r="A12655" s="5" t="str">
        <f>"H0032255"</f>
        <v>H0032255</v>
      </c>
      <c r="B12655" s="5" t="str">
        <f>"CAMA ELECTRICA ADULTOS"</f>
        <v>CAMA ELECTRICA ADULTOS</v>
      </c>
      <c r="C12655" s="6">
        <v>7745200</v>
      </c>
      <c r="D12655" s="5" t="s">
        <v>231</v>
      </c>
      <c r="E12655" s="5" t="str">
        <f t="shared" si="645"/>
        <v>ACTISALUD-PISO 9-GUSTAVO GOMEZ</v>
      </c>
      <c r="F12655" s="5"/>
      <c r="G12655" s="5"/>
    </row>
    <row r="12656" spans="1:7" ht="58.5" customHeight="1" x14ac:dyDescent="0.25">
      <c r="A12656" s="5" t="str">
        <f>"H0032256"</f>
        <v>H0032256</v>
      </c>
      <c r="B12656" s="5" t="str">
        <f>"CAMA ELECTRICA ADULTOS"</f>
        <v>CAMA ELECTRICA ADULTOS</v>
      </c>
      <c r="C12656" s="6">
        <v>7745200</v>
      </c>
      <c r="D12656" s="5" t="s">
        <v>231</v>
      </c>
      <c r="E12656" s="5" t="str">
        <f t="shared" si="645"/>
        <v>ACTISALUD-PISO 9-GUSTAVO GOMEZ</v>
      </c>
      <c r="F12656" s="5"/>
      <c r="G12656" s="5"/>
    </row>
    <row r="12657" spans="1:7" ht="58.5" customHeight="1" x14ac:dyDescent="0.25">
      <c r="A12657" s="5" t="str">
        <f>"H0032257"</f>
        <v>H0032257</v>
      </c>
      <c r="B12657" s="5" t="str">
        <f>"CAMA ELECTRICA ADULTOS"</f>
        <v>CAMA ELECTRICA ADULTOS</v>
      </c>
      <c r="C12657" s="6">
        <v>7745200</v>
      </c>
      <c r="D12657" s="5" t="s">
        <v>231</v>
      </c>
      <c r="E12657" s="5" t="str">
        <f t="shared" si="645"/>
        <v>ACTISALUD-PISO 9-GUSTAVO GOMEZ</v>
      </c>
      <c r="F12657" s="5"/>
      <c r="G12657" s="5"/>
    </row>
    <row r="12658" spans="1:7" ht="58.5" customHeight="1" x14ac:dyDescent="0.25">
      <c r="A12658" s="5" t="str">
        <f>"H0032368"</f>
        <v>H0032368</v>
      </c>
      <c r="B12658" s="5" t="str">
        <f>"EQUIPO DE ORGANO (DONACION)"</f>
        <v>EQUIPO DE ORGANO (DONACION)</v>
      </c>
      <c r="C12658" s="6">
        <v>862500</v>
      </c>
      <c r="D12658" s="5" t="s">
        <v>110</v>
      </c>
      <c r="E12658" s="5" t="str">
        <f t="shared" si="645"/>
        <v>ACTISALUD-PISO 9-GUSTAVO GOMEZ</v>
      </c>
      <c r="F12658" s="5"/>
      <c r="G12658" s="5"/>
    </row>
    <row r="12659" spans="1:7" ht="58.5" customHeight="1" x14ac:dyDescent="0.25">
      <c r="A12659" s="5" t="str">
        <f>"H0032373"</f>
        <v>H0032373</v>
      </c>
      <c r="B12659" s="5" t="str">
        <f>"EQUIPO DE ORGANO (DONACION)"</f>
        <v>EQUIPO DE ORGANO (DONACION)</v>
      </c>
      <c r="C12659" s="6">
        <v>862500</v>
      </c>
      <c r="D12659" s="5" t="s">
        <v>110</v>
      </c>
      <c r="E12659" s="5" t="str">
        <f t="shared" si="645"/>
        <v>ACTISALUD-PISO 9-GUSTAVO GOMEZ</v>
      </c>
      <c r="F12659" s="5"/>
      <c r="G12659" s="5"/>
    </row>
    <row r="12660" spans="1:7" ht="58.5" customHeight="1" x14ac:dyDescent="0.25">
      <c r="A12660" s="5" t="str">
        <f>"H0032374"</f>
        <v>H0032374</v>
      </c>
      <c r="B12660" s="5" t="str">
        <f>"CARRO DE PARO (DONACION)"</f>
        <v>CARRO DE PARO (DONACION)</v>
      </c>
      <c r="C12660" s="6">
        <v>2150000</v>
      </c>
      <c r="D12660" s="5" t="s">
        <v>110</v>
      </c>
      <c r="E12660" s="5" t="str">
        <f t="shared" si="645"/>
        <v>ACTISALUD-PISO 9-GUSTAVO GOMEZ</v>
      </c>
      <c r="F12660" s="5"/>
      <c r="G12660" s="5"/>
    </row>
    <row r="12661" spans="1:7" ht="58.5" customHeight="1" x14ac:dyDescent="0.25">
      <c r="A12661" s="5" t="str">
        <f>"H0032388"</f>
        <v>H0032388</v>
      </c>
      <c r="B12661" s="5" t="str">
        <f>"bala de oxigeno para carro de paro (DONACION)"</f>
        <v>bala de oxigeno para carro de paro (DONACION)</v>
      </c>
      <c r="C12661" s="6">
        <v>400000</v>
      </c>
      <c r="D12661" s="5" t="s">
        <v>110</v>
      </c>
      <c r="E12661" s="5" t="str">
        <f t="shared" si="645"/>
        <v>ACTISALUD-PISO 9-GUSTAVO GOMEZ</v>
      </c>
      <c r="F12661" s="5"/>
      <c r="G12661" s="5"/>
    </row>
    <row r="12662" spans="1:7" ht="58.5" customHeight="1" x14ac:dyDescent="0.25">
      <c r="A12662" s="5" t="str">
        <f>"H0032389"</f>
        <v>H0032389</v>
      </c>
      <c r="B12662" s="5" t="str">
        <f>"bala de oxigeno para carro de paro (DONACION)"</f>
        <v>bala de oxigeno para carro de paro (DONACION)</v>
      </c>
      <c r="C12662" s="6">
        <v>400000</v>
      </c>
      <c r="D12662" s="5" t="s">
        <v>110</v>
      </c>
      <c r="E12662" s="5" t="str">
        <f t="shared" si="645"/>
        <v>ACTISALUD-PISO 9-GUSTAVO GOMEZ</v>
      </c>
      <c r="F12662" s="5"/>
      <c r="G12662" s="5"/>
    </row>
    <row r="12663" spans="1:7" ht="58.5" customHeight="1" x14ac:dyDescent="0.25">
      <c r="A12663" s="5" t="str">
        <f>"H0032450"</f>
        <v>H0032450</v>
      </c>
      <c r="B12663" s="5" t="str">
        <f>"Escritorio lineal superficie en formica con archivador 3 gabetas (DONACION)"</f>
        <v>Escritorio lineal superficie en formica con archivador 3 gabetas (DONACION)</v>
      </c>
      <c r="C12663" s="6">
        <v>476000</v>
      </c>
      <c r="D12663" s="5" t="s">
        <v>502</v>
      </c>
      <c r="E12663" s="5" t="str">
        <f t="shared" si="645"/>
        <v>ACTISALUD-PISO 9-GUSTAVO GOMEZ</v>
      </c>
      <c r="F12663" s="5"/>
      <c r="G12663" s="5"/>
    </row>
    <row r="12664" spans="1:7" ht="58.5" customHeight="1" x14ac:dyDescent="0.25">
      <c r="A12664" s="5" t="str">
        <f>"H0032451"</f>
        <v>H0032451</v>
      </c>
      <c r="B12664" s="5" t="str">
        <f>"Escritorio lineal superficie en formica con archivador 3 gabetas (DONACION)"</f>
        <v>Escritorio lineal superficie en formica con archivador 3 gabetas (DONACION)</v>
      </c>
      <c r="C12664" s="6">
        <v>476000</v>
      </c>
      <c r="D12664" s="5" t="s">
        <v>502</v>
      </c>
      <c r="E12664" s="5" t="str">
        <f t="shared" si="645"/>
        <v>ACTISALUD-PISO 9-GUSTAVO GOMEZ</v>
      </c>
      <c r="F12664" s="5"/>
      <c r="G12664" s="5"/>
    </row>
    <row r="12665" spans="1:7" ht="58.5" customHeight="1" x14ac:dyDescent="0.25">
      <c r="A12665" s="5" t="str">
        <f>"H0032452"</f>
        <v>H0032452</v>
      </c>
      <c r="B12665" s="5" t="str">
        <f>"Escritorio lineal superficie en formica con archivador 3 gabetas (DONACION)"</f>
        <v>Escritorio lineal superficie en formica con archivador 3 gabetas (DONACION)</v>
      </c>
      <c r="C12665" s="6">
        <v>476000</v>
      </c>
      <c r="D12665" s="5" t="s">
        <v>502</v>
      </c>
      <c r="E12665" s="5" t="str">
        <f t="shared" si="645"/>
        <v>ACTISALUD-PISO 9-GUSTAVO GOMEZ</v>
      </c>
      <c r="F12665" s="5"/>
      <c r="G12665" s="5"/>
    </row>
    <row r="12666" spans="1:7" ht="58.5" customHeight="1" x14ac:dyDescent="0.25">
      <c r="A12666" s="5" t="str">
        <f>"H0032453"</f>
        <v>H0032453</v>
      </c>
      <c r="B12666" s="5" t="str">
        <f>"Escritorio lineal superficie en formica con archivador 3 gabetas (DONACION)"</f>
        <v>Escritorio lineal superficie en formica con archivador 3 gabetas (DONACION)</v>
      </c>
      <c r="C12666" s="6">
        <v>476000</v>
      </c>
      <c r="D12666" s="5" t="s">
        <v>502</v>
      </c>
      <c r="E12666" s="5" t="str">
        <f t="shared" si="645"/>
        <v>ACTISALUD-PISO 9-GUSTAVO GOMEZ</v>
      </c>
      <c r="F12666" s="5"/>
      <c r="G12666" s="5"/>
    </row>
    <row r="12667" spans="1:7" ht="58.5" customHeight="1" x14ac:dyDescent="0.25">
      <c r="A12667" s="5" t="str">
        <f>"H0032524"</f>
        <v>H0032524</v>
      </c>
      <c r="B12667" s="5" t="str">
        <f>"LAVAMANOS PORTATIL EN ACERO INOXIDABLE (DONACION)"</f>
        <v>LAVAMANOS PORTATIL EN ACERO INOXIDABLE (DONACION)</v>
      </c>
      <c r="C12667" s="6">
        <v>526900</v>
      </c>
      <c r="D12667" s="5" t="s">
        <v>112</v>
      </c>
      <c r="E12667" s="5" t="str">
        <f t="shared" si="645"/>
        <v>ACTISALUD-PISO 9-GUSTAVO GOMEZ</v>
      </c>
      <c r="F12667" s="5"/>
      <c r="G12667" s="5"/>
    </row>
    <row r="12668" spans="1:7" ht="58.5" customHeight="1" x14ac:dyDescent="0.25">
      <c r="A12668" s="5" t="str">
        <f>"H0032593"</f>
        <v>H0032593</v>
      </c>
      <c r="B12668" s="5" t="str">
        <f>"DESFIBRILADOR (DONACION)"</f>
        <v>DESFIBRILADOR (DONACION)</v>
      </c>
      <c r="C12668" s="6">
        <v>20000000</v>
      </c>
      <c r="D12668" s="5" t="s">
        <v>113</v>
      </c>
      <c r="E12668" s="5" t="str">
        <f t="shared" si="645"/>
        <v>ACTISALUD-PISO 9-GUSTAVO GOMEZ</v>
      </c>
      <c r="F12668" s="5"/>
      <c r="G12668" s="5"/>
    </row>
    <row r="12669" spans="1:7" ht="58.5" customHeight="1" x14ac:dyDescent="0.25">
      <c r="A12669" s="5" t="str">
        <f>"H0032607"</f>
        <v>H0032607</v>
      </c>
      <c r="B12669" s="5" t="str">
        <f>"CAMILLA DE TRANSPORTE Y RECUPERACION (DONACION)"</f>
        <v>CAMILLA DE TRANSPORTE Y RECUPERACION (DONACION)</v>
      </c>
      <c r="C12669" s="6">
        <v>814000</v>
      </c>
      <c r="D12669" s="5" t="s">
        <v>113</v>
      </c>
      <c r="E12669" s="5" t="str">
        <f t="shared" si="645"/>
        <v>ACTISALUD-PISO 9-GUSTAVO GOMEZ</v>
      </c>
      <c r="F12669" s="5"/>
      <c r="G12669" s="5"/>
    </row>
    <row r="12670" spans="1:7" ht="58.5" customHeight="1" x14ac:dyDescent="0.25">
      <c r="A12670" s="5" t="str">
        <f>"H0032625"</f>
        <v>H0032625</v>
      </c>
      <c r="B12670" s="5" t="str">
        <f>"LARINGO DE FIBRA OPTICA (DONACION)"</f>
        <v>LARINGO DE FIBRA OPTICA (DONACION)</v>
      </c>
      <c r="C12670" s="6">
        <v>1437000</v>
      </c>
      <c r="D12670" s="5" t="s">
        <v>113</v>
      </c>
      <c r="E12670" s="5" t="str">
        <f t="shared" si="645"/>
        <v>ACTISALUD-PISO 9-GUSTAVO GOMEZ</v>
      </c>
      <c r="F12670" s="5"/>
      <c r="G12670" s="5"/>
    </row>
    <row r="12671" spans="1:7" ht="58.5" customHeight="1" x14ac:dyDescent="0.25">
      <c r="A12671" s="5" t="str">
        <f>"H0032633"</f>
        <v>H0032633</v>
      </c>
      <c r="B12671" s="5" t="str">
        <f t="shared" ref="B12671:B12683" si="646">"AIRE ACONDCIONADO MARCA OLYMPO DE 24000 BTU.220 VOLTIOS.TECNOLOGIA INVERTER"</f>
        <v>AIRE ACONDCIONADO MARCA OLYMPO DE 24000 BTU.220 VOLTIOS.TECNOLOGIA INVERTER</v>
      </c>
      <c r="C12671" s="6">
        <v>3385716.57</v>
      </c>
      <c r="D12671" s="5" t="s">
        <v>115</v>
      </c>
      <c r="E12671" s="5" t="str">
        <f t="shared" si="645"/>
        <v>ACTISALUD-PISO 9-GUSTAVO GOMEZ</v>
      </c>
      <c r="F12671" s="5"/>
      <c r="G12671" s="5"/>
    </row>
    <row r="12672" spans="1:7" ht="58.5" customHeight="1" x14ac:dyDescent="0.25">
      <c r="A12672" s="5" t="str">
        <f>"H0032634"</f>
        <v>H0032634</v>
      </c>
      <c r="B12672" s="5" t="str">
        <f t="shared" si="646"/>
        <v>AIRE ACONDCIONADO MARCA OLYMPO DE 24000 BTU.220 VOLTIOS.TECNOLOGIA INVERTER</v>
      </c>
      <c r="C12672" s="6">
        <v>3385716.57</v>
      </c>
      <c r="D12672" s="5" t="s">
        <v>115</v>
      </c>
      <c r="E12672" s="5" t="str">
        <f t="shared" si="645"/>
        <v>ACTISALUD-PISO 9-GUSTAVO GOMEZ</v>
      </c>
      <c r="F12672" s="5"/>
      <c r="G12672" s="5"/>
    </row>
    <row r="12673" spans="1:7" ht="58.5" customHeight="1" x14ac:dyDescent="0.25">
      <c r="A12673" s="5" t="str">
        <f>"H0032635"</f>
        <v>H0032635</v>
      </c>
      <c r="B12673" s="5" t="str">
        <f t="shared" si="646"/>
        <v>AIRE ACONDCIONADO MARCA OLYMPO DE 24000 BTU.220 VOLTIOS.TECNOLOGIA INVERTER</v>
      </c>
      <c r="C12673" s="6">
        <v>3385716.57</v>
      </c>
      <c r="D12673" s="5" t="s">
        <v>115</v>
      </c>
      <c r="E12673" s="5" t="str">
        <f t="shared" si="645"/>
        <v>ACTISALUD-PISO 9-GUSTAVO GOMEZ</v>
      </c>
      <c r="F12673" s="5"/>
      <c r="G12673" s="5"/>
    </row>
    <row r="12674" spans="1:7" ht="58.5" customHeight="1" x14ac:dyDescent="0.25">
      <c r="A12674" s="5" t="str">
        <f>"H0032636"</f>
        <v>H0032636</v>
      </c>
      <c r="B12674" s="5" t="str">
        <f t="shared" si="646"/>
        <v>AIRE ACONDCIONADO MARCA OLYMPO DE 24000 BTU.220 VOLTIOS.TECNOLOGIA INVERTER</v>
      </c>
      <c r="C12674" s="6">
        <v>3385716.57</v>
      </c>
      <c r="D12674" s="5" t="s">
        <v>115</v>
      </c>
      <c r="E12674" s="5" t="str">
        <f t="shared" si="645"/>
        <v>ACTISALUD-PISO 9-GUSTAVO GOMEZ</v>
      </c>
      <c r="F12674" s="5"/>
      <c r="G12674" s="5"/>
    </row>
    <row r="12675" spans="1:7" ht="58.5" customHeight="1" x14ac:dyDescent="0.25">
      <c r="A12675" s="5" t="str">
        <f>"H0032637"</f>
        <v>H0032637</v>
      </c>
      <c r="B12675" s="5" t="str">
        <f t="shared" si="646"/>
        <v>AIRE ACONDCIONADO MARCA OLYMPO DE 24000 BTU.220 VOLTIOS.TECNOLOGIA INVERTER</v>
      </c>
      <c r="C12675" s="6">
        <v>3385716.57</v>
      </c>
      <c r="D12675" s="5" t="s">
        <v>115</v>
      </c>
      <c r="E12675" s="5" t="str">
        <f t="shared" si="645"/>
        <v>ACTISALUD-PISO 9-GUSTAVO GOMEZ</v>
      </c>
      <c r="F12675" s="5"/>
      <c r="G12675" s="5"/>
    </row>
    <row r="12676" spans="1:7" ht="58.5" customHeight="1" x14ac:dyDescent="0.25">
      <c r="A12676" s="5" t="str">
        <f>"H0032638"</f>
        <v>H0032638</v>
      </c>
      <c r="B12676" s="5" t="str">
        <f t="shared" si="646"/>
        <v>AIRE ACONDCIONADO MARCA OLYMPO DE 24000 BTU.220 VOLTIOS.TECNOLOGIA INVERTER</v>
      </c>
      <c r="C12676" s="6">
        <v>3385716.57</v>
      </c>
      <c r="D12676" s="5" t="s">
        <v>115</v>
      </c>
      <c r="E12676" s="5" t="str">
        <f t="shared" si="645"/>
        <v>ACTISALUD-PISO 9-GUSTAVO GOMEZ</v>
      </c>
      <c r="F12676" s="5"/>
      <c r="G12676" s="5"/>
    </row>
    <row r="12677" spans="1:7" ht="58.5" customHeight="1" x14ac:dyDescent="0.25">
      <c r="A12677" s="5" t="str">
        <f>"H0032639"</f>
        <v>H0032639</v>
      </c>
      <c r="B12677" s="5" t="str">
        <f t="shared" si="646"/>
        <v>AIRE ACONDCIONADO MARCA OLYMPO DE 24000 BTU.220 VOLTIOS.TECNOLOGIA INVERTER</v>
      </c>
      <c r="C12677" s="6">
        <v>3385716.57</v>
      </c>
      <c r="D12677" s="5" t="s">
        <v>115</v>
      </c>
      <c r="E12677" s="5" t="str">
        <f t="shared" si="645"/>
        <v>ACTISALUD-PISO 9-GUSTAVO GOMEZ</v>
      </c>
      <c r="F12677" s="5"/>
      <c r="G12677" s="5"/>
    </row>
    <row r="12678" spans="1:7" ht="58.5" customHeight="1" x14ac:dyDescent="0.25">
      <c r="A12678" s="5" t="str">
        <f>"H0032640"</f>
        <v>H0032640</v>
      </c>
      <c r="B12678" s="5" t="str">
        <f t="shared" si="646"/>
        <v>AIRE ACONDCIONADO MARCA OLYMPO DE 24000 BTU.220 VOLTIOS.TECNOLOGIA INVERTER</v>
      </c>
      <c r="C12678" s="6">
        <v>3385716.57</v>
      </c>
      <c r="D12678" s="5" t="s">
        <v>115</v>
      </c>
      <c r="E12678" s="5" t="str">
        <f t="shared" si="645"/>
        <v>ACTISALUD-PISO 9-GUSTAVO GOMEZ</v>
      </c>
      <c r="F12678" s="5"/>
      <c r="G12678" s="5"/>
    </row>
    <row r="12679" spans="1:7" ht="58.5" customHeight="1" x14ac:dyDescent="0.25">
      <c r="A12679" s="5" t="str">
        <f>"H0032641"</f>
        <v>H0032641</v>
      </c>
      <c r="B12679" s="5" t="str">
        <f t="shared" si="646"/>
        <v>AIRE ACONDCIONADO MARCA OLYMPO DE 24000 BTU.220 VOLTIOS.TECNOLOGIA INVERTER</v>
      </c>
      <c r="C12679" s="6">
        <v>3385716.57</v>
      </c>
      <c r="D12679" s="5" t="s">
        <v>115</v>
      </c>
      <c r="E12679" s="5" t="str">
        <f t="shared" si="645"/>
        <v>ACTISALUD-PISO 9-GUSTAVO GOMEZ</v>
      </c>
      <c r="F12679" s="5"/>
      <c r="G12679" s="5"/>
    </row>
    <row r="12680" spans="1:7" ht="58.5" customHeight="1" x14ac:dyDescent="0.25">
      <c r="A12680" s="5" t="str">
        <f>"H0032642"</f>
        <v>H0032642</v>
      </c>
      <c r="B12680" s="5" t="str">
        <f t="shared" si="646"/>
        <v>AIRE ACONDCIONADO MARCA OLYMPO DE 24000 BTU.220 VOLTIOS.TECNOLOGIA INVERTER</v>
      </c>
      <c r="C12680" s="6">
        <v>3385716.57</v>
      </c>
      <c r="D12680" s="5" t="s">
        <v>115</v>
      </c>
      <c r="E12680" s="5" t="str">
        <f t="shared" si="645"/>
        <v>ACTISALUD-PISO 9-GUSTAVO GOMEZ</v>
      </c>
      <c r="F12680" s="5"/>
      <c r="G12680" s="5"/>
    </row>
    <row r="12681" spans="1:7" ht="58.5" customHeight="1" x14ac:dyDescent="0.25">
      <c r="A12681" s="5" t="str">
        <f>"H0032643"</f>
        <v>H0032643</v>
      </c>
      <c r="B12681" s="5" t="str">
        <f t="shared" si="646"/>
        <v>AIRE ACONDCIONADO MARCA OLYMPO DE 24000 BTU.220 VOLTIOS.TECNOLOGIA INVERTER</v>
      </c>
      <c r="C12681" s="6">
        <v>3385716.57</v>
      </c>
      <c r="D12681" s="5" t="s">
        <v>115</v>
      </c>
      <c r="E12681" s="5" t="str">
        <f t="shared" si="645"/>
        <v>ACTISALUD-PISO 9-GUSTAVO GOMEZ</v>
      </c>
      <c r="F12681" s="5"/>
      <c r="G12681" s="5"/>
    </row>
    <row r="12682" spans="1:7" ht="58.5" customHeight="1" x14ac:dyDescent="0.25">
      <c r="A12682" s="5" t="str">
        <f>"H0032644"</f>
        <v>H0032644</v>
      </c>
      <c r="B12682" s="5" t="str">
        <f t="shared" si="646"/>
        <v>AIRE ACONDCIONADO MARCA OLYMPO DE 24000 BTU.220 VOLTIOS.TECNOLOGIA INVERTER</v>
      </c>
      <c r="C12682" s="6">
        <v>3385716.57</v>
      </c>
      <c r="D12682" s="5" t="s">
        <v>115</v>
      </c>
      <c r="E12682" s="5" t="str">
        <f t="shared" si="645"/>
        <v>ACTISALUD-PISO 9-GUSTAVO GOMEZ</v>
      </c>
      <c r="F12682" s="5"/>
      <c r="G12682" s="5"/>
    </row>
    <row r="12683" spans="1:7" ht="58.5" customHeight="1" x14ac:dyDescent="0.25">
      <c r="A12683" s="5" t="str">
        <f>"H0032645"</f>
        <v>H0032645</v>
      </c>
      <c r="B12683" s="5" t="str">
        <f t="shared" si="646"/>
        <v>AIRE ACONDCIONADO MARCA OLYMPO DE 24000 BTU.220 VOLTIOS.TECNOLOGIA INVERTER</v>
      </c>
      <c r="C12683" s="6">
        <v>3385716.57</v>
      </c>
      <c r="D12683" s="5" t="s">
        <v>115</v>
      </c>
      <c r="E12683" s="5" t="str">
        <f t="shared" si="645"/>
        <v>ACTISALUD-PISO 9-GUSTAVO GOMEZ</v>
      </c>
      <c r="F12683" s="5"/>
      <c r="G12683" s="5"/>
    </row>
    <row r="12684" spans="1:7" ht="58.5" customHeight="1" x14ac:dyDescent="0.25">
      <c r="A12684" s="5" t="str">
        <f>"H0032648"</f>
        <v>H0032648</v>
      </c>
      <c r="B12684" s="5" t="str">
        <f>"AIRE ACONDICIONADO TIPO MINISPLIT CAPACIDAD 12.000 BTU TECNOLOGIA INVERTER DUAL"</f>
        <v>AIRE ACONDICIONADO TIPO MINISPLIT CAPACIDAD 12.000 BTU TECNOLOGIA INVERTER DUAL</v>
      </c>
      <c r="C12684" s="6">
        <v>2058700</v>
      </c>
      <c r="D12684" s="5" t="s">
        <v>20</v>
      </c>
      <c r="E12684" s="5" t="str">
        <f t="shared" si="645"/>
        <v>ACTISALUD-PISO 9-GUSTAVO GOMEZ</v>
      </c>
      <c r="F12684" s="5"/>
      <c r="G12684" s="5"/>
    </row>
    <row r="12685" spans="1:7" ht="58.5" customHeight="1" x14ac:dyDescent="0.25">
      <c r="A12685" s="5" t="str">
        <f>"H0032861"</f>
        <v>H0032861</v>
      </c>
      <c r="B12685"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2685" s="6">
        <v>5604900</v>
      </c>
      <c r="D12685" s="5" t="s">
        <v>116</v>
      </c>
      <c r="E12685" s="5" t="str">
        <f t="shared" si="645"/>
        <v>ACTISALUD-PISO 9-GUSTAVO GOMEZ</v>
      </c>
      <c r="F12685" s="5"/>
      <c r="G12685" s="5"/>
    </row>
    <row r="12686" spans="1:7" ht="58.5" customHeight="1" x14ac:dyDescent="0.25">
      <c r="A12686" s="5" t="str">
        <f>"H0032889"</f>
        <v>H0032889</v>
      </c>
      <c r="B1268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2686" s="6">
        <v>4289950</v>
      </c>
      <c r="D12686" s="5" t="s">
        <v>117</v>
      </c>
      <c r="E12686" s="5" t="str">
        <f t="shared" si="645"/>
        <v>ACTISALUD-PISO 9-GUSTAVO GOMEZ</v>
      </c>
      <c r="F12686" s="5"/>
      <c r="G12686" s="5"/>
    </row>
    <row r="12687" spans="1:7" ht="58.5" customHeight="1" x14ac:dyDescent="0.25">
      <c r="A12687" s="5" t="str">
        <f>"H0032890"</f>
        <v>H0032890</v>
      </c>
      <c r="B1268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2687" s="6">
        <v>4289950</v>
      </c>
      <c r="D12687" s="5" t="s">
        <v>117</v>
      </c>
      <c r="E12687" s="5" t="str">
        <f t="shared" si="645"/>
        <v>ACTISALUD-PISO 9-GUSTAVO GOMEZ</v>
      </c>
      <c r="F12687" s="5"/>
      <c r="G12687" s="5"/>
    </row>
    <row r="12688" spans="1:7" ht="58.5" customHeight="1" x14ac:dyDescent="0.25">
      <c r="A12688" s="5" t="str">
        <f>"H0032902"</f>
        <v>H0032902</v>
      </c>
      <c r="B12688" s="5" t="str">
        <f t="shared" ref="B12688:B12701" si="647">"UNIDAD DE EXTRACCION CENTRIFUGA DE ALTA PRESION"</f>
        <v>UNIDAD DE EXTRACCION CENTRIFUGA DE ALTA PRESION</v>
      </c>
      <c r="C12688" s="6">
        <v>3852000</v>
      </c>
      <c r="D12688" s="5" t="s">
        <v>677</v>
      </c>
      <c r="E12688" s="5" t="str">
        <f t="shared" si="645"/>
        <v>ACTISALUD-PISO 9-GUSTAVO GOMEZ</v>
      </c>
      <c r="F12688" s="5"/>
      <c r="G12688" s="5"/>
    </row>
    <row r="12689" spans="1:7" ht="58.5" customHeight="1" x14ac:dyDescent="0.25">
      <c r="A12689" s="5" t="str">
        <f>"H0032903"</f>
        <v>H0032903</v>
      </c>
      <c r="B12689" s="5" t="str">
        <f t="shared" si="647"/>
        <v>UNIDAD DE EXTRACCION CENTRIFUGA DE ALTA PRESION</v>
      </c>
      <c r="C12689" s="6">
        <v>3852000</v>
      </c>
      <c r="D12689" s="5" t="s">
        <v>677</v>
      </c>
      <c r="E12689" s="5" t="str">
        <f t="shared" si="645"/>
        <v>ACTISALUD-PISO 9-GUSTAVO GOMEZ</v>
      </c>
      <c r="F12689" s="5"/>
      <c r="G12689" s="5"/>
    </row>
    <row r="12690" spans="1:7" ht="58.5" customHeight="1" x14ac:dyDescent="0.25">
      <c r="A12690" s="5" t="str">
        <f>"H0032904"</f>
        <v>H0032904</v>
      </c>
      <c r="B12690" s="5" t="str">
        <f t="shared" si="647"/>
        <v>UNIDAD DE EXTRACCION CENTRIFUGA DE ALTA PRESION</v>
      </c>
      <c r="C12690" s="6">
        <v>3852000</v>
      </c>
      <c r="D12690" s="5" t="s">
        <v>677</v>
      </c>
      <c r="E12690" s="5" t="str">
        <f t="shared" si="645"/>
        <v>ACTISALUD-PISO 9-GUSTAVO GOMEZ</v>
      </c>
      <c r="F12690" s="5"/>
      <c r="G12690" s="5"/>
    </row>
    <row r="12691" spans="1:7" ht="58.5" customHeight="1" x14ac:dyDescent="0.25">
      <c r="A12691" s="5" t="str">
        <f>"h0032905"</f>
        <v>h0032905</v>
      </c>
      <c r="B12691" s="5" t="str">
        <f t="shared" si="647"/>
        <v>UNIDAD DE EXTRACCION CENTRIFUGA DE ALTA PRESION</v>
      </c>
      <c r="C12691" s="6">
        <v>3852000</v>
      </c>
      <c r="D12691" s="5" t="s">
        <v>677</v>
      </c>
      <c r="E12691" s="5" t="str">
        <f t="shared" si="645"/>
        <v>ACTISALUD-PISO 9-GUSTAVO GOMEZ</v>
      </c>
      <c r="F12691" s="5"/>
      <c r="G12691" s="5"/>
    </row>
    <row r="12692" spans="1:7" ht="58.5" customHeight="1" x14ac:dyDescent="0.25">
      <c r="A12692" s="5" t="str">
        <f>"h0032906"</f>
        <v>h0032906</v>
      </c>
      <c r="B12692" s="5" t="str">
        <f t="shared" si="647"/>
        <v>UNIDAD DE EXTRACCION CENTRIFUGA DE ALTA PRESION</v>
      </c>
      <c r="C12692" s="6">
        <v>3852000</v>
      </c>
      <c r="D12692" s="5" t="s">
        <v>677</v>
      </c>
      <c r="E12692" s="5" t="str">
        <f t="shared" si="645"/>
        <v>ACTISALUD-PISO 9-GUSTAVO GOMEZ</v>
      </c>
      <c r="F12692" s="5"/>
      <c r="G12692" s="5"/>
    </row>
    <row r="12693" spans="1:7" ht="58.5" customHeight="1" x14ac:dyDescent="0.25">
      <c r="A12693" s="5" t="str">
        <f>"h0032907"</f>
        <v>h0032907</v>
      </c>
      <c r="B12693" s="5" t="str">
        <f t="shared" si="647"/>
        <v>UNIDAD DE EXTRACCION CENTRIFUGA DE ALTA PRESION</v>
      </c>
      <c r="C12693" s="6">
        <v>3852000</v>
      </c>
      <c r="D12693" s="5" t="s">
        <v>677</v>
      </c>
      <c r="E12693" s="5" t="str">
        <f t="shared" si="645"/>
        <v>ACTISALUD-PISO 9-GUSTAVO GOMEZ</v>
      </c>
      <c r="F12693" s="5"/>
      <c r="G12693" s="5"/>
    </row>
    <row r="12694" spans="1:7" ht="58.5" customHeight="1" x14ac:dyDescent="0.25">
      <c r="A12694" s="5" t="str">
        <f>"H0032908"</f>
        <v>H0032908</v>
      </c>
      <c r="B12694" s="5" t="str">
        <f t="shared" si="647"/>
        <v>UNIDAD DE EXTRACCION CENTRIFUGA DE ALTA PRESION</v>
      </c>
      <c r="C12694" s="6">
        <v>3852000</v>
      </c>
      <c r="D12694" s="5" t="s">
        <v>677</v>
      </c>
      <c r="E12694" s="5" t="str">
        <f t="shared" si="645"/>
        <v>ACTISALUD-PISO 9-GUSTAVO GOMEZ</v>
      </c>
      <c r="F12694" s="5"/>
      <c r="G12694" s="5"/>
    </row>
    <row r="12695" spans="1:7" ht="58.5" customHeight="1" x14ac:dyDescent="0.25">
      <c r="A12695" s="5" t="str">
        <f>"H0032909"</f>
        <v>H0032909</v>
      </c>
      <c r="B12695" s="5" t="str">
        <f t="shared" si="647"/>
        <v>UNIDAD DE EXTRACCION CENTRIFUGA DE ALTA PRESION</v>
      </c>
      <c r="C12695" s="6">
        <v>3852000</v>
      </c>
      <c r="D12695" s="5" t="s">
        <v>677</v>
      </c>
      <c r="E12695" s="5" t="str">
        <f t="shared" si="645"/>
        <v>ACTISALUD-PISO 9-GUSTAVO GOMEZ</v>
      </c>
      <c r="F12695" s="5"/>
      <c r="G12695" s="5"/>
    </row>
    <row r="12696" spans="1:7" ht="58.5" customHeight="1" x14ac:dyDescent="0.25">
      <c r="A12696" s="5" t="str">
        <f>"H0032910"</f>
        <v>H0032910</v>
      </c>
      <c r="B12696" s="5" t="str">
        <f t="shared" si="647"/>
        <v>UNIDAD DE EXTRACCION CENTRIFUGA DE ALTA PRESION</v>
      </c>
      <c r="C12696" s="6">
        <v>3852000</v>
      </c>
      <c r="D12696" s="5" t="s">
        <v>677</v>
      </c>
      <c r="E12696" s="5" t="str">
        <f t="shared" si="645"/>
        <v>ACTISALUD-PISO 9-GUSTAVO GOMEZ</v>
      </c>
      <c r="F12696" s="5"/>
      <c r="G12696" s="5"/>
    </row>
    <row r="12697" spans="1:7" ht="58.5" customHeight="1" x14ac:dyDescent="0.25">
      <c r="A12697" s="5" t="str">
        <f>"H0032911"</f>
        <v>H0032911</v>
      </c>
      <c r="B12697" s="5" t="str">
        <f t="shared" si="647"/>
        <v>UNIDAD DE EXTRACCION CENTRIFUGA DE ALTA PRESION</v>
      </c>
      <c r="C12697" s="6">
        <v>3852000</v>
      </c>
      <c r="D12697" s="5" t="s">
        <v>677</v>
      </c>
      <c r="E12697" s="5" t="str">
        <f t="shared" si="645"/>
        <v>ACTISALUD-PISO 9-GUSTAVO GOMEZ</v>
      </c>
      <c r="F12697" s="5"/>
      <c r="G12697" s="5"/>
    </row>
    <row r="12698" spans="1:7" ht="58.5" customHeight="1" x14ac:dyDescent="0.25">
      <c r="A12698" s="5" t="str">
        <f>"H0032912"</f>
        <v>H0032912</v>
      </c>
      <c r="B12698" s="5" t="str">
        <f t="shared" si="647"/>
        <v>UNIDAD DE EXTRACCION CENTRIFUGA DE ALTA PRESION</v>
      </c>
      <c r="C12698" s="6">
        <v>3852000</v>
      </c>
      <c r="D12698" s="5" t="s">
        <v>677</v>
      </c>
      <c r="E12698" s="5" t="str">
        <f t="shared" ref="E12698:E12761" si="648">"ACTISALUD-PISO 9-GUSTAVO GOMEZ"</f>
        <v>ACTISALUD-PISO 9-GUSTAVO GOMEZ</v>
      </c>
      <c r="F12698" s="5"/>
      <c r="G12698" s="5"/>
    </row>
    <row r="12699" spans="1:7" ht="58.5" customHeight="1" x14ac:dyDescent="0.25">
      <c r="A12699" s="5" t="str">
        <f>"H0032913"</f>
        <v>H0032913</v>
      </c>
      <c r="B12699" s="5" t="str">
        <f t="shared" si="647"/>
        <v>UNIDAD DE EXTRACCION CENTRIFUGA DE ALTA PRESION</v>
      </c>
      <c r="C12699" s="6">
        <v>3852000</v>
      </c>
      <c r="D12699" s="5" t="s">
        <v>677</v>
      </c>
      <c r="E12699" s="5" t="str">
        <f t="shared" si="648"/>
        <v>ACTISALUD-PISO 9-GUSTAVO GOMEZ</v>
      </c>
      <c r="F12699" s="5"/>
      <c r="G12699" s="5"/>
    </row>
    <row r="12700" spans="1:7" ht="58.5" customHeight="1" x14ac:dyDescent="0.25">
      <c r="A12700" s="5" t="str">
        <f>"H0032914"</f>
        <v>H0032914</v>
      </c>
      <c r="B12700" s="5" t="str">
        <f t="shared" si="647"/>
        <v>UNIDAD DE EXTRACCION CENTRIFUGA DE ALTA PRESION</v>
      </c>
      <c r="C12700" s="6">
        <v>3852000</v>
      </c>
      <c r="D12700" s="5" t="s">
        <v>677</v>
      </c>
      <c r="E12700" s="5" t="str">
        <f t="shared" si="648"/>
        <v>ACTISALUD-PISO 9-GUSTAVO GOMEZ</v>
      </c>
      <c r="F12700" s="5"/>
      <c r="G12700" s="5"/>
    </row>
    <row r="12701" spans="1:7" ht="58.5" customHeight="1" x14ac:dyDescent="0.25">
      <c r="A12701" s="5" t="str">
        <f>"H0032915"</f>
        <v>H0032915</v>
      </c>
      <c r="B12701" s="5" t="str">
        <f t="shared" si="647"/>
        <v>UNIDAD DE EXTRACCION CENTRIFUGA DE ALTA PRESION</v>
      </c>
      <c r="C12701" s="6">
        <v>3852000</v>
      </c>
      <c r="D12701" s="5" t="s">
        <v>677</v>
      </c>
      <c r="E12701" s="5" t="str">
        <f t="shared" si="648"/>
        <v>ACTISALUD-PISO 9-GUSTAVO GOMEZ</v>
      </c>
      <c r="F12701" s="5"/>
      <c r="G12701" s="5"/>
    </row>
    <row r="12702" spans="1:7" ht="58.5" customHeight="1" x14ac:dyDescent="0.25">
      <c r="A12702" s="5" t="str">
        <f>"H0032940"</f>
        <v>H0032940</v>
      </c>
      <c r="B12702" s="5" t="s">
        <v>196</v>
      </c>
      <c r="C12702" s="6">
        <v>1180480</v>
      </c>
      <c r="D12702" s="5" t="s">
        <v>677</v>
      </c>
      <c r="E12702" s="5" t="str">
        <f t="shared" si="648"/>
        <v>ACTISALUD-PISO 9-GUSTAVO GOMEZ</v>
      </c>
      <c r="F12702" s="5"/>
      <c r="G12702" s="5"/>
    </row>
    <row r="12703" spans="1:7" ht="58.5" customHeight="1" x14ac:dyDescent="0.25">
      <c r="A12703" s="5" t="str">
        <f>"H0032941"</f>
        <v>H0032941</v>
      </c>
      <c r="B12703" s="5" t="s">
        <v>196</v>
      </c>
      <c r="C12703" s="6">
        <v>1180480</v>
      </c>
      <c r="D12703" s="5" t="s">
        <v>677</v>
      </c>
      <c r="E12703" s="5" t="str">
        <f t="shared" si="648"/>
        <v>ACTISALUD-PISO 9-GUSTAVO GOMEZ</v>
      </c>
      <c r="F12703" s="5"/>
      <c r="G12703" s="5"/>
    </row>
    <row r="12704" spans="1:7" ht="58.5" customHeight="1" x14ac:dyDescent="0.25">
      <c r="A12704" s="5" t="str">
        <f>"H0032942"</f>
        <v>H0032942</v>
      </c>
      <c r="B12704" s="5" t="s">
        <v>196</v>
      </c>
      <c r="C12704" s="6">
        <v>1180480</v>
      </c>
      <c r="D12704" s="5" t="s">
        <v>677</v>
      </c>
      <c r="E12704" s="5" t="str">
        <f t="shared" si="648"/>
        <v>ACTISALUD-PISO 9-GUSTAVO GOMEZ</v>
      </c>
      <c r="F12704" s="5"/>
      <c r="G12704" s="5"/>
    </row>
    <row r="12705" spans="1:7" ht="58.5" customHeight="1" x14ac:dyDescent="0.25">
      <c r="A12705" s="5" t="str">
        <f>"H0032943"</f>
        <v>H0032943</v>
      </c>
      <c r="B12705" s="5" t="s">
        <v>196</v>
      </c>
      <c r="C12705" s="6">
        <v>1180480</v>
      </c>
      <c r="D12705" s="5" t="s">
        <v>677</v>
      </c>
      <c r="E12705" s="5" t="str">
        <f t="shared" si="648"/>
        <v>ACTISALUD-PISO 9-GUSTAVO GOMEZ</v>
      </c>
      <c r="F12705" s="5"/>
      <c r="G12705" s="5"/>
    </row>
    <row r="12706" spans="1:7" ht="58.5" customHeight="1" x14ac:dyDescent="0.25">
      <c r="A12706" s="5" t="str">
        <f>"H0032944"</f>
        <v>H0032944</v>
      </c>
      <c r="B12706" s="5" t="s">
        <v>196</v>
      </c>
      <c r="C12706" s="6">
        <v>1180480</v>
      </c>
      <c r="D12706" s="5" t="s">
        <v>677</v>
      </c>
      <c r="E12706" s="5" t="str">
        <f t="shared" si="648"/>
        <v>ACTISALUD-PISO 9-GUSTAVO GOMEZ</v>
      </c>
      <c r="F12706" s="5"/>
      <c r="G12706" s="5"/>
    </row>
    <row r="12707" spans="1:7" ht="58.5" customHeight="1" x14ac:dyDescent="0.25">
      <c r="A12707" s="5" t="str">
        <f>"H0032945"</f>
        <v>H0032945</v>
      </c>
      <c r="B12707" s="5" t="s">
        <v>196</v>
      </c>
      <c r="C12707" s="6">
        <v>1180480</v>
      </c>
      <c r="D12707" s="5" t="s">
        <v>677</v>
      </c>
      <c r="E12707" s="5" t="str">
        <f t="shared" si="648"/>
        <v>ACTISALUD-PISO 9-GUSTAVO GOMEZ</v>
      </c>
      <c r="F12707" s="5"/>
      <c r="G12707" s="5"/>
    </row>
    <row r="12708" spans="1:7" ht="58.5" customHeight="1" x14ac:dyDescent="0.25">
      <c r="A12708" s="5" t="str">
        <f>"H0032946"</f>
        <v>H0032946</v>
      </c>
      <c r="B12708" s="5" t="s">
        <v>196</v>
      </c>
      <c r="C12708" s="6">
        <v>1180480</v>
      </c>
      <c r="D12708" s="5" t="s">
        <v>677</v>
      </c>
      <c r="E12708" s="5" t="str">
        <f t="shared" si="648"/>
        <v>ACTISALUD-PISO 9-GUSTAVO GOMEZ</v>
      </c>
      <c r="F12708" s="5"/>
      <c r="G12708" s="5"/>
    </row>
    <row r="12709" spans="1:7" ht="58.5" customHeight="1" x14ac:dyDescent="0.25">
      <c r="A12709" s="5" t="str">
        <f>"H0032947"</f>
        <v>H0032947</v>
      </c>
      <c r="B12709" s="5" t="s">
        <v>196</v>
      </c>
      <c r="C12709" s="6">
        <v>1180480</v>
      </c>
      <c r="D12709" s="5" t="s">
        <v>677</v>
      </c>
      <c r="E12709" s="5" t="str">
        <f t="shared" si="648"/>
        <v>ACTISALUD-PISO 9-GUSTAVO GOMEZ</v>
      </c>
      <c r="F12709" s="5"/>
      <c r="G12709" s="5"/>
    </row>
    <row r="12710" spans="1:7" ht="58.5" customHeight="1" x14ac:dyDescent="0.25">
      <c r="A12710" s="5" t="str">
        <f>"H0032948"</f>
        <v>H0032948</v>
      </c>
      <c r="B12710" s="5" t="s">
        <v>196</v>
      </c>
      <c r="C12710" s="6">
        <v>1180480</v>
      </c>
      <c r="D12710" s="5" t="s">
        <v>677</v>
      </c>
      <c r="E12710" s="5" t="str">
        <f t="shared" si="648"/>
        <v>ACTISALUD-PISO 9-GUSTAVO GOMEZ</v>
      </c>
      <c r="F12710" s="5"/>
      <c r="G12710" s="5"/>
    </row>
    <row r="12711" spans="1:7" ht="58.5" customHeight="1" x14ac:dyDescent="0.25">
      <c r="A12711" s="5" t="str">
        <f>"H0032949"</f>
        <v>H0032949</v>
      </c>
      <c r="B12711" s="5" t="s">
        <v>196</v>
      </c>
      <c r="C12711" s="6">
        <v>1180480</v>
      </c>
      <c r="D12711" s="5" t="s">
        <v>677</v>
      </c>
      <c r="E12711" s="5" t="str">
        <f t="shared" si="648"/>
        <v>ACTISALUD-PISO 9-GUSTAVO GOMEZ</v>
      </c>
      <c r="F12711" s="5"/>
      <c r="G12711" s="5"/>
    </row>
    <row r="12712" spans="1:7" ht="58.5" customHeight="1" x14ac:dyDescent="0.25">
      <c r="A12712" s="5" t="str">
        <f>"H0032950"</f>
        <v>H0032950</v>
      </c>
      <c r="B12712" s="5" t="s">
        <v>196</v>
      </c>
      <c r="C12712" s="6">
        <v>1180480</v>
      </c>
      <c r="D12712" s="5" t="s">
        <v>677</v>
      </c>
      <c r="E12712" s="5" t="str">
        <f t="shared" si="648"/>
        <v>ACTISALUD-PISO 9-GUSTAVO GOMEZ</v>
      </c>
      <c r="F12712" s="5"/>
      <c r="G12712" s="5"/>
    </row>
    <row r="12713" spans="1:7" ht="58.5" customHeight="1" x14ac:dyDescent="0.25">
      <c r="A12713" s="5" t="str">
        <f>"H0032951"</f>
        <v>H0032951</v>
      </c>
      <c r="B12713" s="5" t="s">
        <v>196</v>
      </c>
      <c r="C12713" s="6">
        <v>1180480</v>
      </c>
      <c r="D12713" s="5" t="s">
        <v>677</v>
      </c>
      <c r="E12713" s="5" t="str">
        <f t="shared" si="648"/>
        <v>ACTISALUD-PISO 9-GUSTAVO GOMEZ</v>
      </c>
      <c r="F12713" s="5"/>
      <c r="G12713" s="5"/>
    </row>
    <row r="12714" spans="1:7" ht="58.5" customHeight="1" x14ac:dyDescent="0.25">
      <c r="A12714" s="5" t="str">
        <f>"H0032952"</f>
        <v>H0032952</v>
      </c>
      <c r="B12714" s="5" t="s">
        <v>196</v>
      </c>
      <c r="C12714" s="6">
        <v>1180480</v>
      </c>
      <c r="D12714" s="5" t="s">
        <v>677</v>
      </c>
      <c r="E12714" s="5" t="str">
        <f t="shared" si="648"/>
        <v>ACTISALUD-PISO 9-GUSTAVO GOMEZ</v>
      </c>
      <c r="F12714" s="5"/>
      <c r="G12714" s="5"/>
    </row>
    <row r="12715" spans="1:7" ht="58.5" customHeight="1" x14ac:dyDescent="0.25">
      <c r="A12715" s="5" t="str">
        <f>"H0032953"</f>
        <v>H0032953</v>
      </c>
      <c r="B12715" s="5" t="s">
        <v>196</v>
      </c>
      <c r="C12715" s="6">
        <v>1180480</v>
      </c>
      <c r="D12715" s="5" t="s">
        <v>677</v>
      </c>
      <c r="E12715" s="5" t="str">
        <f t="shared" si="648"/>
        <v>ACTISALUD-PISO 9-GUSTAVO GOMEZ</v>
      </c>
      <c r="F12715" s="5"/>
      <c r="G12715" s="5"/>
    </row>
    <row r="12716" spans="1:7" ht="58.5" customHeight="1" x14ac:dyDescent="0.25">
      <c r="A12716" s="5" t="str">
        <f>"H0033008"</f>
        <v>H0033008</v>
      </c>
      <c r="B12716" s="5" t="str">
        <f>"termometro infrarrojo (DONACION)"</f>
        <v>termometro infrarrojo (DONACION)</v>
      </c>
      <c r="C12716" s="6">
        <v>251100</v>
      </c>
      <c r="D12716" s="5" t="s">
        <v>503</v>
      </c>
      <c r="E12716" s="5" t="str">
        <f t="shared" si="648"/>
        <v>ACTISALUD-PISO 9-GUSTAVO GOMEZ</v>
      </c>
      <c r="F12716" s="5"/>
      <c r="G12716" s="5"/>
    </row>
    <row r="12717" spans="1:7" ht="58.5" customHeight="1" x14ac:dyDescent="0.25">
      <c r="A12717" s="5" t="str">
        <f>"h0033009"</f>
        <v>h0033009</v>
      </c>
      <c r="B12717" s="5" t="str">
        <f>"termometro infrarrojo (DONACION)"</f>
        <v>termometro infrarrojo (DONACION)</v>
      </c>
      <c r="C12717" s="6">
        <v>251100</v>
      </c>
      <c r="D12717" s="5" t="s">
        <v>503</v>
      </c>
      <c r="E12717" s="5" t="str">
        <f t="shared" si="648"/>
        <v>ACTISALUD-PISO 9-GUSTAVO GOMEZ</v>
      </c>
      <c r="F12717" s="5"/>
      <c r="G12717" s="5"/>
    </row>
    <row r="12718" spans="1:7" ht="58.5" customHeight="1" x14ac:dyDescent="0.25">
      <c r="A12718" s="5" t="str">
        <f>"H0033059"</f>
        <v>H0033059</v>
      </c>
      <c r="B12718" s="5" t="str">
        <f>"MONITOR DE SIGNOS VITALES"</f>
        <v>MONITOR DE SIGNOS VITALES</v>
      </c>
      <c r="C12718" s="6">
        <v>9470000</v>
      </c>
      <c r="D12718" s="5" t="s">
        <v>119</v>
      </c>
      <c r="E12718" s="5" t="str">
        <f t="shared" si="648"/>
        <v>ACTISALUD-PISO 9-GUSTAVO GOMEZ</v>
      </c>
      <c r="F12718" s="5"/>
      <c r="G12718" s="5"/>
    </row>
    <row r="12719" spans="1:7" ht="58.5" customHeight="1" x14ac:dyDescent="0.25">
      <c r="A12719" s="5" t="str">
        <f>"H0033066"</f>
        <v>H0033066</v>
      </c>
      <c r="B12719" s="5" t="str">
        <f>"MONITOR DE SIGNOS VITALES"</f>
        <v>MONITOR DE SIGNOS VITALES</v>
      </c>
      <c r="C12719" s="6">
        <v>9470000</v>
      </c>
      <c r="D12719" s="5" t="s">
        <v>119</v>
      </c>
      <c r="E12719" s="5" t="str">
        <f t="shared" si="648"/>
        <v>ACTISALUD-PISO 9-GUSTAVO GOMEZ</v>
      </c>
      <c r="F12719" s="5"/>
      <c r="G12719" s="5"/>
    </row>
    <row r="12720" spans="1:7" ht="58.5" customHeight="1" x14ac:dyDescent="0.25">
      <c r="A12720" s="5" t="str">
        <f>"H0033136"</f>
        <v>H0033136</v>
      </c>
      <c r="B12720" s="5" t="str">
        <f>"BOMBA DE NUTRICION. 1 mL/h a 600 mL/h. 1 mL/h a 5 mL/h incr. ± 7% a 125 mL/h. Cumple 60601-2-24."</f>
        <v>BOMBA DE NUTRICION. 1 mL/h a 600 mL/h. 1 mL/h a 5 mL/h incr. ± 7% a 125 mL/h. Cumple 60601-2-24.</v>
      </c>
      <c r="C12720" s="6">
        <v>3066667</v>
      </c>
      <c r="D12720" s="5" t="s">
        <v>119</v>
      </c>
      <c r="E12720" s="5" t="str">
        <f t="shared" si="648"/>
        <v>ACTISALUD-PISO 9-GUSTAVO GOMEZ</v>
      </c>
      <c r="F12720" s="5"/>
      <c r="G12720" s="5"/>
    </row>
    <row r="12721" spans="1:7" ht="58.5" customHeight="1" x14ac:dyDescent="0.25">
      <c r="A12721" s="5" t="str">
        <f>"H0033147"</f>
        <v>H0033147</v>
      </c>
      <c r="B12721" s="5" t="str">
        <f t="shared" ref="B12721:B12726" si="649">"BOMBA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2721" s="6">
        <v>2533333</v>
      </c>
      <c r="D12721" s="5" t="s">
        <v>157</v>
      </c>
      <c r="E12721" s="5" t="str">
        <f t="shared" si="648"/>
        <v>ACTISALUD-PISO 9-GUSTAVO GOMEZ</v>
      </c>
      <c r="F12721" s="5"/>
      <c r="G12721" s="5"/>
    </row>
    <row r="12722" spans="1:7" ht="58.5" customHeight="1" x14ac:dyDescent="0.25">
      <c r="A12722" s="5" t="str">
        <f>"H0033159"</f>
        <v>H0033159</v>
      </c>
      <c r="B12722" s="5" t="str">
        <f t="shared" si="649"/>
        <v>BOMBA DE INFUSION. Apilables.5 modos. 01-1200 ml/h. 0.1 ml incr. Compatible con set de infusión genérico. anti-bolo. Detección de aire. Alarmas visuales audibles. Bitacora 1.000 reg. Batería de litio</v>
      </c>
      <c r="C12722" s="6">
        <v>2533333</v>
      </c>
      <c r="D12722" s="5" t="s">
        <v>157</v>
      </c>
      <c r="E12722" s="5" t="str">
        <f t="shared" si="648"/>
        <v>ACTISALUD-PISO 9-GUSTAVO GOMEZ</v>
      </c>
      <c r="F12722" s="5"/>
      <c r="G12722" s="5"/>
    </row>
    <row r="12723" spans="1:7" ht="58.5" customHeight="1" x14ac:dyDescent="0.25">
      <c r="A12723" s="5" t="str">
        <f>"H0033174"</f>
        <v>H0033174</v>
      </c>
      <c r="B12723" s="5" t="str">
        <f t="shared" si="649"/>
        <v>BOMBA DE INFUSION. Apilables.5 modos. 01-1200 ml/h. 0.1 ml incr. Compatible con set de infusión genérico. anti-bolo. Detección de aire. Alarmas visuales audibles. Bitacora 1.000 reg. Batería de litio</v>
      </c>
      <c r="C12723" s="6">
        <v>2533333</v>
      </c>
      <c r="D12723" s="5" t="s">
        <v>157</v>
      </c>
      <c r="E12723" s="5" t="str">
        <f t="shared" si="648"/>
        <v>ACTISALUD-PISO 9-GUSTAVO GOMEZ</v>
      </c>
      <c r="F12723" s="5"/>
      <c r="G12723" s="5"/>
    </row>
    <row r="12724" spans="1:7" ht="58.5" customHeight="1" x14ac:dyDescent="0.25">
      <c r="A12724" s="5" t="str">
        <f>"H0033180"</f>
        <v>H0033180</v>
      </c>
      <c r="B12724" s="5" t="str">
        <f t="shared" si="649"/>
        <v>BOMBA DE INFUSION. Apilables.5 modos. 01-1200 ml/h. 0.1 ml incr. Compatible con set de infusión genérico. anti-bolo. Detección de aire. Alarmas visuales audibles. Bitacora 1.000 reg. Batería de litio</v>
      </c>
      <c r="C12724" s="6">
        <v>2533333</v>
      </c>
      <c r="D12724" s="5" t="s">
        <v>157</v>
      </c>
      <c r="E12724" s="5" t="str">
        <f t="shared" si="648"/>
        <v>ACTISALUD-PISO 9-GUSTAVO GOMEZ</v>
      </c>
      <c r="F12724" s="5"/>
      <c r="G12724" s="5"/>
    </row>
    <row r="12725" spans="1:7" ht="58.5" customHeight="1" x14ac:dyDescent="0.25">
      <c r="A12725" s="5" t="str">
        <f>"H0033191"</f>
        <v>H0033191</v>
      </c>
      <c r="B12725" s="5" t="str">
        <f t="shared" si="649"/>
        <v>BOMBA DE INFUSION. Apilables.5 modos. 01-1200 ml/h. 0.1 ml incr. Compatible con set de infusión genérico. anti-bolo. Detección de aire. Alarmas visuales audibles. Bitacora 1.000 reg. Batería de litio</v>
      </c>
      <c r="C12725" s="6">
        <v>2533333</v>
      </c>
      <c r="D12725" s="5" t="s">
        <v>157</v>
      </c>
      <c r="E12725" s="5" t="str">
        <f t="shared" si="648"/>
        <v>ACTISALUD-PISO 9-GUSTAVO GOMEZ</v>
      </c>
      <c r="F12725" s="5"/>
      <c r="G12725" s="5"/>
    </row>
    <row r="12726" spans="1:7" ht="58.5" customHeight="1" x14ac:dyDescent="0.25">
      <c r="A12726" s="5" t="str">
        <f>"H0033310"</f>
        <v>H0033310</v>
      </c>
      <c r="B12726" s="5" t="str">
        <f t="shared" si="649"/>
        <v>BOMBA DE INFUSION. Apilables.5 modos. 01-1200 ml/h. 0.1 ml incr. Compatible con set de infusión genérico. anti-bolo. Detección de aire. Alarmas visuales audibles. Bitacora 1.000 reg. Batería de litio</v>
      </c>
      <c r="C12726" s="6">
        <v>2533333</v>
      </c>
      <c r="D12726" s="5" t="s">
        <v>120</v>
      </c>
      <c r="E12726" s="5" t="str">
        <f t="shared" si="648"/>
        <v>ACTISALUD-PISO 9-GUSTAVO GOMEZ</v>
      </c>
      <c r="F12726" s="5"/>
      <c r="G12726" s="5"/>
    </row>
    <row r="12727" spans="1:7" ht="58.5" customHeight="1" x14ac:dyDescent="0.25">
      <c r="A12727" s="5" t="str">
        <f>"H0033433"</f>
        <v>H0033433</v>
      </c>
      <c r="B12727" s="5" t="str">
        <f>"BOMBA DE NUTRICION. 1 mL/h a 600 mL/h. 1 mL/h a 5 mL/h incr. ± 7% a 125 mL/h. Cumple 60601-2-24."</f>
        <v>BOMBA DE NUTRICION. 1 mL/h a 600 mL/h. 1 mL/h a 5 mL/h incr. ± 7% a 125 mL/h. Cumple 60601-2-24.</v>
      </c>
      <c r="C12727" s="6">
        <v>3066667</v>
      </c>
      <c r="D12727" s="5" t="s">
        <v>120</v>
      </c>
      <c r="E12727" s="5" t="str">
        <f t="shared" si="648"/>
        <v>ACTISALUD-PISO 9-GUSTAVO GOMEZ</v>
      </c>
      <c r="F12727" s="5"/>
      <c r="G12727" s="5"/>
    </row>
    <row r="12728" spans="1:7" ht="58.5" customHeight="1" x14ac:dyDescent="0.25">
      <c r="A12728" s="5" t="str">
        <f>"H0033436"</f>
        <v>H0033436</v>
      </c>
      <c r="B12728" s="5" t="str">
        <f>"BOMBA DE NUTRICION. 1 mL/h a 600 mL/h. 1 mL/h a 5 mL/h incr. ± 7% a 125 mL/h. Cumple 60601-2-24."</f>
        <v>BOMBA DE NUTRICION. 1 mL/h a 600 mL/h. 1 mL/h a 5 mL/h incr. ± 7% a 125 mL/h. Cumple 60601-2-24.</v>
      </c>
      <c r="C12728" s="6">
        <v>3066667</v>
      </c>
      <c r="D12728" s="5" t="s">
        <v>120</v>
      </c>
      <c r="E12728" s="5" t="str">
        <f t="shared" si="648"/>
        <v>ACTISALUD-PISO 9-GUSTAVO GOMEZ</v>
      </c>
      <c r="F12728" s="5"/>
      <c r="G12728" s="5"/>
    </row>
    <row r="12729" spans="1:7" ht="58.5" customHeight="1" x14ac:dyDescent="0.25">
      <c r="A12729" s="5" t="str">
        <f>"H0033480"</f>
        <v>H0033480</v>
      </c>
      <c r="B12729" s="5" t="str">
        <f t="shared" ref="B12729:B12740" si="650">"BOMBA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2729" s="6">
        <v>2533333</v>
      </c>
      <c r="D12729" s="5" t="s">
        <v>120</v>
      </c>
      <c r="E12729" s="5" t="str">
        <f t="shared" si="648"/>
        <v>ACTISALUD-PISO 9-GUSTAVO GOMEZ</v>
      </c>
      <c r="F12729" s="5"/>
      <c r="G12729" s="5"/>
    </row>
    <row r="12730" spans="1:7" ht="58.5" customHeight="1" x14ac:dyDescent="0.25">
      <c r="A12730" s="5" t="str">
        <f>"H0033492"</f>
        <v>H0033492</v>
      </c>
      <c r="B12730" s="5" t="str">
        <f t="shared" si="650"/>
        <v>BOMBA DE INFUSION. Apilables.5 modos. 01-1200 ml/h. 0.1 ml incr. Compatible con set de infusión genérico. anti-bolo. Detección de aire. Alarmas visuales audibles. Bitacora 1.000 reg. Batería de litio</v>
      </c>
      <c r="C12730" s="6">
        <v>2533333</v>
      </c>
      <c r="D12730" s="5" t="s">
        <v>120</v>
      </c>
      <c r="E12730" s="5" t="str">
        <f t="shared" si="648"/>
        <v>ACTISALUD-PISO 9-GUSTAVO GOMEZ</v>
      </c>
      <c r="F12730" s="5"/>
      <c r="G12730" s="5"/>
    </row>
    <row r="12731" spans="1:7" ht="58.5" customHeight="1" x14ac:dyDescent="0.25">
      <c r="A12731" s="5" t="str">
        <f>"H0033550"</f>
        <v>H0033550</v>
      </c>
      <c r="B12731" s="5" t="str">
        <f t="shared" si="650"/>
        <v>BOMBA DE INFUSION. Apilables.5 modos. 01-1200 ml/h. 0.1 ml incr. Compatible con set de infusión genérico. anti-bolo. Detección de aire. Alarmas visuales audibles. Bitacora 1.000 reg. Batería de litio</v>
      </c>
      <c r="C12731" s="6">
        <v>2533333</v>
      </c>
      <c r="D12731" s="5" t="s">
        <v>120</v>
      </c>
      <c r="E12731" s="5" t="str">
        <f t="shared" si="648"/>
        <v>ACTISALUD-PISO 9-GUSTAVO GOMEZ</v>
      </c>
      <c r="F12731" s="5"/>
      <c r="G12731" s="5"/>
    </row>
    <row r="12732" spans="1:7" ht="58.5" customHeight="1" x14ac:dyDescent="0.25">
      <c r="A12732" s="5" t="str">
        <f>"H0033552"</f>
        <v>H0033552</v>
      </c>
      <c r="B12732" s="5" t="str">
        <f t="shared" si="650"/>
        <v>BOMBA DE INFUSION. Apilables.5 modos. 01-1200 ml/h. 0.1 ml incr. Compatible con set de infusión genérico. anti-bolo. Detección de aire. Alarmas visuales audibles. Bitacora 1.000 reg. Batería de litio</v>
      </c>
      <c r="C12732" s="6">
        <v>2533333</v>
      </c>
      <c r="D12732" s="5" t="s">
        <v>120</v>
      </c>
      <c r="E12732" s="5" t="str">
        <f t="shared" si="648"/>
        <v>ACTISALUD-PISO 9-GUSTAVO GOMEZ</v>
      </c>
      <c r="F12732" s="5"/>
      <c r="G12732" s="5"/>
    </row>
    <row r="12733" spans="1:7" ht="58.5" customHeight="1" x14ac:dyDescent="0.25">
      <c r="A12733" s="5" t="str">
        <f>"H0033612"</f>
        <v>H0033612</v>
      </c>
      <c r="B12733" s="5" t="str">
        <f t="shared" si="650"/>
        <v>BOMBA DE INFUSION. Apilables.5 modos. 01-1200 ml/h. 0.1 ml incr. Compatible con set de infusión genérico. anti-bolo. Detección de aire. Alarmas visuales audibles. Bitacora 1.000 reg. Batería de litio</v>
      </c>
      <c r="C12733" s="6">
        <v>2533333</v>
      </c>
      <c r="D12733" s="5" t="s">
        <v>120</v>
      </c>
      <c r="E12733" s="5" t="str">
        <f t="shared" si="648"/>
        <v>ACTISALUD-PISO 9-GUSTAVO GOMEZ</v>
      </c>
      <c r="F12733" s="5"/>
      <c r="G12733" s="5"/>
    </row>
    <row r="12734" spans="1:7" ht="58.5" customHeight="1" x14ac:dyDescent="0.25">
      <c r="A12734" s="5" t="str">
        <f>"H0033719"</f>
        <v>H0033719</v>
      </c>
      <c r="B12734" s="5" t="str">
        <f t="shared" si="650"/>
        <v>BOMBA DE INFUSION. Apilables.5 modos. 01-1200 ml/h. 0.1 ml incr. Compatible con set de infusión genérico. anti-bolo. Detección de aire. Alarmas visuales audibles. Bitacora 1.000 reg. Batería de litio</v>
      </c>
      <c r="C12734" s="6">
        <v>2533333</v>
      </c>
      <c r="D12734" s="5" t="s">
        <v>121</v>
      </c>
      <c r="E12734" s="5" t="str">
        <f t="shared" si="648"/>
        <v>ACTISALUD-PISO 9-GUSTAVO GOMEZ</v>
      </c>
      <c r="F12734" s="5"/>
      <c r="G12734" s="5"/>
    </row>
    <row r="12735" spans="1:7" ht="58.5" customHeight="1" x14ac:dyDescent="0.25">
      <c r="A12735" s="5" t="str">
        <f>"H0033742"</f>
        <v>H0033742</v>
      </c>
      <c r="B12735" s="5" t="str">
        <f t="shared" si="650"/>
        <v>BOMBA DE INFUSION. Apilables.5 modos. 01-1200 ml/h. 0.1 ml incr. Compatible con set de infusión genérico. anti-bolo. Detección de aire. Alarmas visuales audibles. Bitacora 1.000 reg. Batería de litio</v>
      </c>
      <c r="C12735" s="6">
        <v>2533333</v>
      </c>
      <c r="D12735" s="5" t="s">
        <v>120</v>
      </c>
      <c r="E12735" s="5" t="str">
        <f t="shared" si="648"/>
        <v>ACTISALUD-PISO 9-GUSTAVO GOMEZ</v>
      </c>
      <c r="F12735" s="5"/>
      <c r="G12735" s="5"/>
    </row>
    <row r="12736" spans="1:7" ht="58.5" customHeight="1" x14ac:dyDescent="0.25">
      <c r="A12736" s="5" t="str">
        <f>"H0033750"</f>
        <v>H0033750</v>
      </c>
      <c r="B12736" s="5" t="str">
        <f t="shared" si="650"/>
        <v>BOMBA DE INFUSION. Apilables.5 modos. 01-1200 ml/h. 0.1 ml incr. Compatible con set de infusión genérico. anti-bolo. Detección de aire. Alarmas visuales audibles. Bitacora 1.000 reg. Batería de litio</v>
      </c>
      <c r="C12736" s="6">
        <v>2533333</v>
      </c>
      <c r="D12736" s="5" t="s">
        <v>120</v>
      </c>
      <c r="E12736" s="5" t="str">
        <f t="shared" si="648"/>
        <v>ACTISALUD-PISO 9-GUSTAVO GOMEZ</v>
      </c>
      <c r="F12736" s="5"/>
      <c r="G12736" s="5"/>
    </row>
    <row r="12737" spans="1:7" ht="58.5" customHeight="1" x14ac:dyDescent="0.25">
      <c r="A12737" s="5" t="str">
        <f>"H0033767"</f>
        <v>H0033767</v>
      </c>
      <c r="B12737" s="5" t="str">
        <f t="shared" si="650"/>
        <v>BOMBA DE INFUSION. Apilables.5 modos. 01-1200 ml/h. 0.1 ml incr. Compatible con set de infusión genérico. anti-bolo. Detección de aire. Alarmas visuales audibles. Bitacora 1.000 reg. Batería de litio</v>
      </c>
      <c r="C12737" s="6">
        <v>2533333</v>
      </c>
      <c r="D12737" s="5" t="s">
        <v>120</v>
      </c>
      <c r="E12737" s="5" t="str">
        <f t="shared" si="648"/>
        <v>ACTISALUD-PISO 9-GUSTAVO GOMEZ</v>
      </c>
      <c r="F12737" s="5"/>
      <c r="G12737" s="5"/>
    </row>
    <row r="12738" spans="1:7" ht="58.5" customHeight="1" x14ac:dyDescent="0.25">
      <c r="A12738" s="5" t="str">
        <f>"H0033798"</f>
        <v>H0033798</v>
      </c>
      <c r="B12738" s="5" t="str">
        <f t="shared" si="650"/>
        <v>BOMBA DE INFUSION. Apilables.5 modos. 01-1200 ml/h. 0.1 ml incr. Compatible con set de infusión genérico. anti-bolo. Detección de aire. Alarmas visuales audibles. Bitacora 1.000 reg. Batería de litio</v>
      </c>
      <c r="C12738" s="6">
        <v>2533333</v>
      </c>
      <c r="D12738" s="5" t="s">
        <v>120</v>
      </c>
      <c r="E12738" s="5" t="str">
        <f t="shared" si="648"/>
        <v>ACTISALUD-PISO 9-GUSTAVO GOMEZ</v>
      </c>
      <c r="F12738" s="5"/>
      <c r="G12738" s="5"/>
    </row>
    <row r="12739" spans="1:7" ht="58.5" customHeight="1" x14ac:dyDescent="0.25">
      <c r="A12739" s="5" t="str">
        <f>"H0033801"</f>
        <v>H0033801</v>
      </c>
      <c r="B12739" s="5" t="str">
        <f t="shared" si="650"/>
        <v>BOMBA DE INFUSION. Apilables.5 modos. 01-1200 ml/h. 0.1 ml incr. Compatible con set de infusión genérico. anti-bolo. Detección de aire. Alarmas visuales audibles. Bitacora 1.000 reg. Batería de litio</v>
      </c>
      <c r="C12739" s="6">
        <v>2533333</v>
      </c>
      <c r="D12739" s="5" t="s">
        <v>120</v>
      </c>
      <c r="E12739" s="5" t="str">
        <f t="shared" si="648"/>
        <v>ACTISALUD-PISO 9-GUSTAVO GOMEZ</v>
      </c>
      <c r="F12739" s="5"/>
      <c r="G12739" s="5"/>
    </row>
    <row r="12740" spans="1:7" ht="58.5" customHeight="1" x14ac:dyDescent="0.25">
      <c r="A12740" s="5" t="str">
        <f>"H0033824"</f>
        <v>H0033824</v>
      </c>
      <c r="B12740" s="5" t="str">
        <f t="shared" si="650"/>
        <v>BOMBA DE INFUSION. Apilables.5 modos. 01-1200 ml/h. 0.1 ml incr. Compatible con set de infusión genérico. anti-bolo. Detección de aire. Alarmas visuales audibles. Bitacora 1.000 reg. Batería de litio</v>
      </c>
      <c r="C12740" s="6">
        <v>2533333</v>
      </c>
      <c r="D12740" s="5" t="s">
        <v>120</v>
      </c>
      <c r="E12740" s="5" t="str">
        <f t="shared" si="648"/>
        <v>ACTISALUD-PISO 9-GUSTAVO GOMEZ</v>
      </c>
      <c r="F12740" s="5"/>
      <c r="G12740" s="5"/>
    </row>
    <row r="12741" spans="1:7" ht="58.5" customHeight="1" x14ac:dyDescent="0.25">
      <c r="A12741" s="5" t="str">
        <f>"H0033894"</f>
        <v>H0033894</v>
      </c>
      <c r="B12741" s="5" t="str">
        <f>"BOMBA DE NUTRICION. 1 mL/h a 600 mL/h. 1 mL/h a 5 mL/h incr. ± 7% a 125 mL/h. Cumple 60601-2-24."</f>
        <v>BOMBA DE NUTRICION. 1 mL/h a 600 mL/h. 1 mL/h a 5 mL/h incr. ± 7% a 125 mL/h. Cumple 60601-2-24.</v>
      </c>
      <c r="C12741" s="6">
        <v>3066667</v>
      </c>
      <c r="D12741" s="5" t="s">
        <v>120</v>
      </c>
      <c r="E12741" s="5" t="str">
        <f t="shared" si="648"/>
        <v>ACTISALUD-PISO 9-GUSTAVO GOMEZ</v>
      </c>
      <c r="F12741" s="5"/>
      <c r="G12741" s="5"/>
    </row>
    <row r="12742" spans="1:7" ht="58.5" customHeight="1" x14ac:dyDescent="0.25">
      <c r="A12742" s="5" t="str">
        <f>"H0033913"</f>
        <v>H0033913</v>
      </c>
      <c r="B12742" s="5" t="str">
        <f>"LECTOR DE HUELLAS DIGITALES"</f>
        <v>LECTOR DE HUELLAS DIGITALES</v>
      </c>
      <c r="C12742" s="6">
        <v>340340</v>
      </c>
      <c r="D12742" s="5" t="s">
        <v>119</v>
      </c>
      <c r="E12742" s="5" t="str">
        <f t="shared" si="648"/>
        <v>ACTISALUD-PISO 9-GUSTAVO GOMEZ</v>
      </c>
      <c r="F12742" s="5"/>
      <c r="G12742" s="5"/>
    </row>
    <row r="12743" spans="1:7" ht="58.5" customHeight="1" x14ac:dyDescent="0.25">
      <c r="A12743" s="5" t="str">
        <f>"H0033914"</f>
        <v>H0033914</v>
      </c>
      <c r="B12743" s="5" t="str">
        <f>"LECTOR DE HUELLAS DIGITALES"</f>
        <v>LECTOR DE HUELLAS DIGITALES</v>
      </c>
      <c r="C12743" s="6">
        <v>340340</v>
      </c>
      <c r="D12743" s="5" t="s">
        <v>119</v>
      </c>
      <c r="E12743" s="5" t="str">
        <f t="shared" si="648"/>
        <v>ACTISALUD-PISO 9-GUSTAVO GOMEZ</v>
      </c>
      <c r="F12743" s="5"/>
      <c r="G12743" s="5"/>
    </row>
    <row r="12744" spans="1:7" ht="58.5" customHeight="1" x14ac:dyDescent="0.25">
      <c r="A12744" s="5" t="str">
        <f>"H0033915"</f>
        <v>H0033915</v>
      </c>
      <c r="B12744" s="5" t="str">
        <f>"LECTOR DE HUELLAS DIGITALES"</f>
        <v>LECTOR DE HUELLAS DIGITALES</v>
      </c>
      <c r="C12744" s="6">
        <v>340340</v>
      </c>
      <c r="D12744" s="5" t="s">
        <v>119</v>
      </c>
      <c r="E12744" s="5" t="str">
        <f t="shared" si="648"/>
        <v>ACTISALUD-PISO 9-GUSTAVO GOMEZ</v>
      </c>
      <c r="F12744" s="5"/>
      <c r="G12744" s="5"/>
    </row>
    <row r="12745" spans="1:7" ht="58.5" customHeight="1" x14ac:dyDescent="0.25">
      <c r="A12745" s="5" t="str">
        <f>"H0033925"</f>
        <v>H0033925</v>
      </c>
      <c r="B12745" s="5" t="str">
        <f>"LECTOR DE HUELLAS DIGITALES"</f>
        <v>LECTOR DE HUELLAS DIGITALES</v>
      </c>
      <c r="C12745" s="6">
        <v>340340</v>
      </c>
      <c r="D12745" s="5" t="s">
        <v>119</v>
      </c>
      <c r="E12745" s="5" t="str">
        <f t="shared" si="648"/>
        <v>ACTISALUD-PISO 9-GUSTAVO GOMEZ</v>
      </c>
      <c r="F12745" s="5"/>
      <c r="G12745" s="5"/>
    </row>
    <row r="12746" spans="1:7" ht="58.5" customHeight="1" x14ac:dyDescent="0.25">
      <c r="A12746" s="5" t="str">
        <f>"H0034000"</f>
        <v>H0034000</v>
      </c>
      <c r="B12746" s="5" t="s">
        <v>329</v>
      </c>
      <c r="C12746" s="6">
        <v>258000</v>
      </c>
      <c r="D12746" s="5" t="s">
        <v>122</v>
      </c>
      <c r="E12746" s="5" t="str">
        <f t="shared" si="648"/>
        <v>ACTISALUD-PISO 9-GUSTAVO GOMEZ</v>
      </c>
      <c r="F12746" s="5"/>
      <c r="G12746" s="5"/>
    </row>
    <row r="12747" spans="1:7" ht="58.5" customHeight="1" x14ac:dyDescent="0.25">
      <c r="A12747" s="5" t="str">
        <f>"H0034001"</f>
        <v>H0034001</v>
      </c>
      <c r="B12747" s="5" t="s">
        <v>329</v>
      </c>
      <c r="C12747" s="6">
        <v>258000</v>
      </c>
      <c r="D12747" s="5" t="s">
        <v>122</v>
      </c>
      <c r="E12747" s="5" t="str">
        <f t="shared" si="648"/>
        <v>ACTISALUD-PISO 9-GUSTAVO GOMEZ</v>
      </c>
      <c r="F12747" s="5"/>
      <c r="G12747" s="5"/>
    </row>
    <row r="12748" spans="1:7" ht="58.5" customHeight="1" x14ac:dyDescent="0.25">
      <c r="A12748" s="5" t="str">
        <f>"H0034002"</f>
        <v>H0034002</v>
      </c>
      <c r="B12748" s="5" t="s">
        <v>329</v>
      </c>
      <c r="C12748" s="6">
        <v>258000</v>
      </c>
      <c r="D12748" s="5" t="s">
        <v>122</v>
      </c>
      <c r="E12748" s="5" t="str">
        <f t="shared" si="648"/>
        <v>ACTISALUD-PISO 9-GUSTAVO GOMEZ</v>
      </c>
      <c r="F12748" s="5"/>
      <c r="G12748" s="5"/>
    </row>
    <row r="12749" spans="1:7" ht="58.5" customHeight="1" x14ac:dyDescent="0.25">
      <c r="A12749" s="5" t="str">
        <f>"H0034003"</f>
        <v>H0034003</v>
      </c>
      <c r="B12749" s="5" t="s">
        <v>329</v>
      </c>
      <c r="C12749" s="6">
        <v>258000</v>
      </c>
      <c r="D12749" s="5" t="s">
        <v>122</v>
      </c>
      <c r="E12749" s="5" t="str">
        <f t="shared" si="648"/>
        <v>ACTISALUD-PISO 9-GUSTAVO GOMEZ</v>
      </c>
      <c r="F12749" s="5"/>
      <c r="G12749" s="5"/>
    </row>
    <row r="12750" spans="1:7" ht="58.5" customHeight="1" x14ac:dyDescent="0.25">
      <c r="A12750" s="5" t="str">
        <f>"H0034004"</f>
        <v>H0034004</v>
      </c>
      <c r="B12750" s="5" t="s">
        <v>329</v>
      </c>
      <c r="C12750" s="6">
        <v>258000</v>
      </c>
      <c r="D12750" s="5" t="s">
        <v>122</v>
      </c>
      <c r="E12750" s="5" t="str">
        <f t="shared" si="648"/>
        <v>ACTISALUD-PISO 9-GUSTAVO GOMEZ</v>
      </c>
      <c r="F12750" s="5"/>
      <c r="G12750" s="5"/>
    </row>
    <row r="12751" spans="1:7" ht="58.5" customHeight="1" x14ac:dyDescent="0.25">
      <c r="A12751" s="5" t="str">
        <f>"H0034005"</f>
        <v>H0034005</v>
      </c>
      <c r="B12751" s="5" t="s">
        <v>329</v>
      </c>
      <c r="C12751" s="6">
        <v>258000</v>
      </c>
      <c r="D12751" s="5" t="s">
        <v>122</v>
      </c>
      <c r="E12751" s="5" t="str">
        <f t="shared" si="648"/>
        <v>ACTISALUD-PISO 9-GUSTAVO GOMEZ</v>
      </c>
      <c r="F12751" s="5"/>
      <c r="G12751" s="5"/>
    </row>
    <row r="12752" spans="1:7" ht="58.5" customHeight="1" x14ac:dyDescent="0.25">
      <c r="A12752" s="5" t="str">
        <f>"H0034006"</f>
        <v>H0034006</v>
      </c>
      <c r="B12752" s="5" t="s">
        <v>329</v>
      </c>
      <c r="C12752" s="6">
        <v>258000</v>
      </c>
      <c r="D12752" s="5" t="s">
        <v>122</v>
      </c>
      <c r="E12752" s="5" t="str">
        <f t="shared" si="648"/>
        <v>ACTISALUD-PISO 9-GUSTAVO GOMEZ</v>
      </c>
      <c r="F12752" s="5"/>
      <c r="G12752" s="5"/>
    </row>
    <row r="12753" spans="1:7" ht="58.5" customHeight="1" x14ac:dyDescent="0.25">
      <c r="A12753" s="5" t="str">
        <f>"H0034007"</f>
        <v>H0034007</v>
      </c>
      <c r="B12753" s="5" t="s">
        <v>329</v>
      </c>
      <c r="C12753" s="6">
        <v>258000</v>
      </c>
      <c r="D12753" s="5" t="s">
        <v>122</v>
      </c>
      <c r="E12753" s="5" t="str">
        <f t="shared" si="648"/>
        <v>ACTISALUD-PISO 9-GUSTAVO GOMEZ</v>
      </c>
      <c r="F12753" s="5"/>
      <c r="G12753" s="5"/>
    </row>
    <row r="12754" spans="1:7" ht="58.5" customHeight="1" x14ac:dyDescent="0.25">
      <c r="A12754" s="5" t="str">
        <f>"H0034008"</f>
        <v>H0034008</v>
      </c>
      <c r="B12754" s="5" t="s">
        <v>329</v>
      </c>
      <c r="C12754" s="6">
        <v>258000</v>
      </c>
      <c r="D12754" s="5" t="s">
        <v>122</v>
      </c>
      <c r="E12754" s="5" t="str">
        <f t="shared" si="648"/>
        <v>ACTISALUD-PISO 9-GUSTAVO GOMEZ</v>
      </c>
      <c r="F12754" s="5"/>
      <c r="G12754" s="5"/>
    </row>
    <row r="12755" spans="1:7" ht="58.5" customHeight="1" x14ac:dyDescent="0.25">
      <c r="A12755" s="5" t="str">
        <f>"H0034009"</f>
        <v>H0034009</v>
      </c>
      <c r="B12755" s="5" t="s">
        <v>329</v>
      </c>
      <c r="C12755" s="6">
        <v>258000</v>
      </c>
      <c r="D12755" s="5" t="s">
        <v>122</v>
      </c>
      <c r="E12755" s="5" t="str">
        <f t="shared" si="648"/>
        <v>ACTISALUD-PISO 9-GUSTAVO GOMEZ</v>
      </c>
      <c r="F12755" s="5"/>
      <c r="G12755" s="5"/>
    </row>
    <row r="12756" spans="1:7" ht="58.5" customHeight="1" x14ac:dyDescent="0.25">
      <c r="A12756" s="5" t="str">
        <f>"H0034010"</f>
        <v>H0034010</v>
      </c>
      <c r="B12756" s="5" t="s">
        <v>329</v>
      </c>
      <c r="C12756" s="6">
        <v>258000</v>
      </c>
      <c r="D12756" s="5" t="s">
        <v>122</v>
      </c>
      <c r="E12756" s="5" t="str">
        <f t="shared" si="648"/>
        <v>ACTISALUD-PISO 9-GUSTAVO GOMEZ</v>
      </c>
      <c r="F12756" s="5"/>
      <c r="G12756" s="5"/>
    </row>
    <row r="12757" spans="1:7" ht="58.5" customHeight="1" x14ac:dyDescent="0.25">
      <c r="A12757" s="5" t="str">
        <f>"H0034011"</f>
        <v>H0034011</v>
      </c>
      <c r="B12757" s="5" t="s">
        <v>329</v>
      </c>
      <c r="C12757" s="6">
        <v>258000</v>
      </c>
      <c r="D12757" s="5" t="s">
        <v>122</v>
      </c>
      <c r="E12757" s="5" t="str">
        <f t="shared" si="648"/>
        <v>ACTISALUD-PISO 9-GUSTAVO GOMEZ</v>
      </c>
      <c r="F12757" s="5"/>
      <c r="G12757" s="5"/>
    </row>
    <row r="12758" spans="1:7" ht="58.5" customHeight="1" x14ac:dyDescent="0.25">
      <c r="A12758" s="5" t="str">
        <f>"H0034012"</f>
        <v>H0034012</v>
      </c>
      <c r="B12758" s="5" t="s">
        <v>329</v>
      </c>
      <c r="C12758" s="6">
        <v>258000</v>
      </c>
      <c r="D12758" s="5" t="s">
        <v>122</v>
      </c>
      <c r="E12758" s="5" t="str">
        <f t="shared" si="648"/>
        <v>ACTISALUD-PISO 9-GUSTAVO GOMEZ</v>
      </c>
      <c r="F12758" s="5"/>
      <c r="G12758" s="5"/>
    </row>
    <row r="12759" spans="1:7" ht="58.5" customHeight="1" x14ac:dyDescent="0.25">
      <c r="A12759" s="5" t="str">
        <f>"H0034013"</f>
        <v>H0034013</v>
      </c>
      <c r="B12759" s="5" t="s">
        <v>329</v>
      </c>
      <c r="C12759" s="6">
        <v>258000</v>
      </c>
      <c r="D12759" s="5" t="s">
        <v>122</v>
      </c>
      <c r="E12759" s="5" t="str">
        <f t="shared" si="648"/>
        <v>ACTISALUD-PISO 9-GUSTAVO GOMEZ</v>
      </c>
      <c r="F12759" s="5"/>
      <c r="G12759" s="5"/>
    </row>
    <row r="12760" spans="1:7" ht="58.5" customHeight="1" x14ac:dyDescent="0.25">
      <c r="A12760" s="5" t="str">
        <f>"H0034014"</f>
        <v>H0034014</v>
      </c>
      <c r="B12760" s="5" t="s">
        <v>329</v>
      </c>
      <c r="C12760" s="6">
        <v>258000</v>
      </c>
      <c r="D12760" s="5" t="s">
        <v>122</v>
      </c>
      <c r="E12760" s="5" t="str">
        <f t="shared" si="648"/>
        <v>ACTISALUD-PISO 9-GUSTAVO GOMEZ</v>
      </c>
      <c r="F12760" s="5"/>
      <c r="G12760" s="5"/>
    </row>
    <row r="12761" spans="1:7" ht="58.5" customHeight="1" x14ac:dyDescent="0.25">
      <c r="A12761" s="5" t="str">
        <f>"H0034015"</f>
        <v>H0034015</v>
      </c>
      <c r="B12761" s="5" t="s">
        <v>329</v>
      </c>
      <c r="C12761" s="6">
        <v>258000</v>
      </c>
      <c r="D12761" s="5" t="s">
        <v>122</v>
      </c>
      <c r="E12761" s="5" t="str">
        <f t="shared" si="648"/>
        <v>ACTISALUD-PISO 9-GUSTAVO GOMEZ</v>
      </c>
      <c r="F12761" s="5"/>
      <c r="G12761" s="5"/>
    </row>
    <row r="12762" spans="1:7" ht="58.5" customHeight="1" x14ac:dyDescent="0.25">
      <c r="A12762" s="5" t="str">
        <f>"H0034016"</f>
        <v>H0034016</v>
      </c>
      <c r="B12762" s="5" t="s">
        <v>329</v>
      </c>
      <c r="C12762" s="6">
        <v>258000</v>
      </c>
      <c r="D12762" s="5" t="s">
        <v>122</v>
      </c>
      <c r="E12762" s="5" t="str">
        <f t="shared" ref="E12762:E12825" si="651">"ACTISALUD-PISO 9-GUSTAVO GOMEZ"</f>
        <v>ACTISALUD-PISO 9-GUSTAVO GOMEZ</v>
      </c>
      <c r="F12762" s="5"/>
      <c r="G12762" s="5"/>
    </row>
    <row r="12763" spans="1:7" ht="58.5" customHeight="1" x14ac:dyDescent="0.25">
      <c r="A12763" s="5" t="str">
        <f>"H0034017"</f>
        <v>H0034017</v>
      </c>
      <c r="B12763" s="5" t="s">
        <v>329</v>
      </c>
      <c r="C12763" s="6">
        <v>258000</v>
      </c>
      <c r="D12763" s="5" t="s">
        <v>122</v>
      </c>
      <c r="E12763" s="5" t="str">
        <f t="shared" si="651"/>
        <v>ACTISALUD-PISO 9-GUSTAVO GOMEZ</v>
      </c>
      <c r="F12763" s="5"/>
      <c r="G12763" s="5"/>
    </row>
    <row r="12764" spans="1:7" ht="58.5" customHeight="1" x14ac:dyDescent="0.25">
      <c r="A12764" s="5" t="str">
        <f>"H0034018"</f>
        <v>H0034018</v>
      </c>
      <c r="B12764" s="5" t="s">
        <v>329</v>
      </c>
      <c r="C12764" s="6">
        <v>258000</v>
      </c>
      <c r="D12764" s="5" t="s">
        <v>122</v>
      </c>
      <c r="E12764" s="5" t="str">
        <f t="shared" si="651"/>
        <v>ACTISALUD-PISO 9-GUSTAVO GOMEZ</v>
      </c>
      <c r="F12764" s="5"/>
      <c r="G12764" s="5"/>
    </row>
    <row r="12765" spans="1:7" ht="58.5" customHeight="1" x14ac:dyDescent="0.25">
      <c r="A12765" s="5" t="str">
        <f>"H0034019"</f>
        <v>H0034019</v>
      </c>
      <c r="B12765" s="5" t="s">
        <v>329</v>
      </c>
      <c r="C12765" s="6">
        <v>258000</v>
      </c>
      <c r="D12765" s="5" t="s">
        <v>122</v>
      </c>
      <c r="E12765" s="5" t="str">
        <f t="shared" si="651"/>
        <v>ACTISALUD-PISO 9-GUSTAVO GOMEZ</v>
      </c>
      <c r="F12765" s="5"/>
      <c r="G12765" s="5"/>
    </row>
    <row r="12766" spans="1:7" ht="58.5" customHeight="1" x14ac:dyDescent="0.25">
      <c r="A12766" s="5" t="str">
        <f>"H0034020"</f>
        <v>H0034020</v>
      </c>
      <c r="B12766" s="5" t="s">
        <v>329</v>
      </c>
      <c r="C12766" s="6">
        <v>258000</v>
      </c>
      <c r="D12766" s="5" t="s">
        <v>122</v>
      </c>
      <c r="E12766" s="5" t="str">
        <f t="shared" si="651"/>
        <v>ACTISALUD-PISO 9-GUSTAVO GOMEZ</v>
      </c>
      <c r="F12766" s="5"/>
      <c r="G12766" s="5"/>
    </row>
    <row r="12767" spans="1:7" ht="58.5" customHeight="1" x14ac:dyDescent="0.25">
      <c r="A12767" s="5" t="str">
        <f>"H0034021"</f>
        <v>H0034021</v>
      </c>
      <c r="B12767" s="5" t="s">
        <v>329</v>
      </c>
      <c r="C12767" s="6">
        <v>258000</v>
      </c>
      <c r="D12767" s="5" t="s">
        <v>122</v>
      </c>
      <c r="E12767" s="5" t="str">
        <f t="shared" si="651"/>
        <v>ACTISALUD-PISO 9-GUSTAVO GOMEZ</v>
      </c>
      <c r="F12767" s="5"/>
      <c r="G12767" s="5"/>
    </row>
    <row r="12768" spans="1:7" ht="58.5" customHeight="1" x14ac:dyDescent="0.25">
      <c r="A12768" s="5" t="str">
        <f>"H0034022"</f>
        <v>H0034022</v>
      </c>
      <c r="B12768" s="5" t="s">
        <v>329</v>
      </c>
      <c r="C12768" s="6">
        <v>258000</v>
      </c>
      <c r="D12768" s="5" t="s">
        <v>695</v>
      </c>
      <c r="E12768" s="5" t="str">
        <f t="shared" si="651"/>
        <v>ACTISALUD-PISO 9-GUSTAVO GOMEZ</v>
      </c>
      <c r="F12768" s="5"/>
      <c r="G12768" s="5"/>
    </row>
    <row r="12769" spans="1:7" ht="58.5" customHeight="1" x14ac:dyDescent="0.25">
      <c r="A12769" s="5" t="str">
        <f>"H0034023"</f>
        <v>H0034023</v>
      </c>
      <c r="B12769" s="5" t="s">
        <v>329</v>
      </c>
      <c r="C12769" s="6">
        <v>258000</v>
      </c>
      <c r="D12769" s="5" t="s">
        <v>122</v>
      </c>
      <c r="E12769" s="5" t="str">
        <f t="shared" si="651"/>
        <v>ACTISALUD-PISO 9-GUSTAVO GOMEZ</v>
      </c>
      <c r="F12769" s="5"/>
      <c r="G12769" s="5"/>
    </row>
    <row r="12770" spans="1:7" ht="58.5" customHeight="1" x14ac:dyDescent="0.25">
      <c r="A12770" s="5" t="str">
        <f>"H0034040"</f>
        <v>H0034040</v>
      </c>
      <c r="B12770" s="5" t="s">
        <v>329</v>
      </c>
      <c r="C12770" s="6">
        <v>258000</v>
      </c>
      <c r="D12770" s="5" t="s">
        <v>122</v>
      </c>
      <c r="E12770" s="5" t="str">
        <f t="shared" si="651"/>
        <v>ACTISALUD-PISO 9-GUSTAVO GOMEZ</v>
      </c>
      <c r="F12770" s="5"/>
      <c r="G12770" s="5"/>
    </row>
    <row r="12771" spans="1:7" ht="58.5" customHeight="1" x14ac:dyDescent="0.25">
      <c r="A12771" s="5" t="str">
        <f>"H0034052"</f>
        <v>H0034052</v>
      </c>
      <c r="B12771" s="5" t="s">
        <v>329</v>
      </c>
      <c r="C12771" s="6">
        <v>258000</v>
      </c>
      <c r="D12771" s="5" t="s">
        <v>122</v>
      </c>
      <c r="E12771" s="5" t="str">
        <f t="shared" si="651"/>
        <v>ACTISALUD-PISO 9-GUSTAVO GOMEZ</v>
      </c>
      <c r="F12771" s="5"/>
      <c r="G12771" s="5"/>
    </row>
    <row r="12772" spans="1:7" ht="58.5" customHeight="1" x14ac:dyDescent="0.25">
      <c r="A12772" s="5" t="str">
        <f>"H0034355"</f>
        <v>H0034355</v>
      </c>
      <c r="B12772" s="5" t="str">
        <f>"INFUSOR DE LIQUIDOS. Soporta soluciones o bolsas de sangre. Capacidad 1000 mL. Manómetro escala mmHg. Pera bombeo"</f>
        <v>INFUSOR DE LIQUIDOS. Soporta soluciones o bolsas de sangre. Capacidad 1000 mL. Manómetro escala mmHg. Pera bombeo</v>
      </c>
      <c r="C12772" s="6">
        <v>343367</v>
      </c>
      <c r="D12772" s="5" t="s">
        <v>193</v>
      </c>
      <c r="E12772" s="5" t="str">
        <f t="shared" si="651"/>
        <v>ACTISALUD-PISO 9-GUSTAVO GOMEZ</v>
      </c>
      <c r="F12772" s="5"/>
      <c r="G12772" s="5"/>
    </row>
    <row r="12773" spans="1:7" ht="58.5" customHeight="1" x14ac:dyDescent="0.25">
      <c r="A12773" s="5" t="str">
        <f>"H0034369"</f>
        <v>H0034369</v>
      </c>
      <c r="B12773" s="5" t="str">
        <f>"INFUSOR DE LIQUIDOS. Soporta soluciones o bolsas de sangre. Capacidad 1000 mL. Manómetro escala mmHg. Pera bombeo"</f>
        <v>INFUSOR DE LIQUIDOS. Soporta soluciones o bolsas de sangre. Capacidad 1000 mL. Manómetro escala mmHg. Pera bombeo</v>
      </c>
      <c r="C12773" s="6">
        <v>343367</v>
      </c>
      <c r="D12773" s="5" t="s">
        <v>193</v>
      </c>
      <c r="E12773" s="5" t="str">
        <f t="shared" si="651"/>
        <v>ACTISALUD-PISO 9-GUSTAVO GOMEZ</v>
      </c>
      <c r="F12773" s="5"/>
      <c r="G12773" s="5"/>
    </row>
    <row r="12774" spans="1:7" ht="58.5" customHeight="1" x14ac:dyDescent="0.25">
      <c r="A12774" s="5" t="str">
        <f>"H0034651"</f>
        <v>H0034651</v>
      </c>
      <c r="B12774" s="5" t="str">
        <f>"bomba de infusion (DONACION)"</f>
        <v>bomba de infusion (DONACION)</v>
      </c>
      <c r="C12774" s="6">
        <v>7049854</v>
      </c>
      <c r="D12774" s="5" t="s">
        <v>124</v>
      </c>
      <c r="E12774" s="5" t="str">
        <f t="shared" si="651"/>
        <v>ACTISALUD-PISO 9-GUSTAVO GOMEZ</v>
      </c>
      <c r="F12774" s="5"/>
      <c r="G12774" s="5"/>
    </row>
    <row r="12775" spans="1:7" ht="58.5" customHeight="1" x14ac:dyDescent="0.25">
      <c r="A12775" s="5" t="str">
        <f>"H0034653"</f>
        <v>H0034653</v>
      </c>
      <c r="B12775" s="5" t="str">
        <f>"bomba de infusion (DONACION)"</f>
        <v>bomba de infusion (DONACION)</v>
      </c>
      <c r="C12775" s="6">
        <v>7049854</v>
      </c>
      <c r="D12775" s="5" t="s">
        <v>124</v>
      </c>
      <c r="E12775" s="5" t="str">
        <f t="shared" si="651"/>
        <v>ACTISALUD-PISO 9-GUSTAVO GOMEZ</v>
      </c>
      <c r="F12775" s="5"/>
      <c r="G12775" s="5"/>
    </row>
    <row r="12776" spans="1:7" ht="58.5" customHeight="1" x14ac:dyDescent="0.25">
      <c r="A12776" s="5" t="str">
        <f>"H0034696"</f>
        <v>H0034696</v>
      </c>
      <c r="B12776" s="5" t="str">
        <f>"BOMBA DE NUTRICION (DONACION)"</f>
        <v>BOMBA DE NUTRICION (DONACION)</v>
      </c>
      <c r="C12776" s="6">
        <v>5850000</v>
      </c>
      <c r="D12776" s="5" t="s">
        <v>124</v>
      </c>
      <c r="E12776" s="5" t="str">
        <f t="shared" si="651"/>
        <v>ACTISALUD-PISO 9-GUSTAVO GOMEZ</v>
      </c>
      <c r="F12776" s="5"/>
      <c r="G12776" s="5" t="str">
        <f>"ENTEROPORT PLUS"</f>
        <v>ENTEROPORT PLUS</v>
      </c>
    </row>
    <row r="12777" spans="1:7" ht="58.5" customHeight="1" x14ac:dyDescent="0.25">
      <c r="A12777" s="5" t="str">
        <f>"H0034726"</f>
        <v>H0034726</v>
      </c>
      <c r="B12777" s="5" t="str">
        <f>"BOMBA DE NUTRICION (DONACION)"</f>
        <v>BOMBA DE NUTRICION (DONACION)</v>
      </c>
      <c r="C12777" s="6">
        <v>5850000</v>
      </c>
      <c r="D12777" s="5" t="s">
        <v>124</v>
      </c>
      <c r="E12777" s="5" t="str">
        <f t="shared" si="651"/>
        <v>ACTISALUD-PISO 9-GUSTAVO GOMEZ</v>
      </c>
      <c r="F12777" s="5"/>
      <c r="G12777" s="5" t="str">
        <f>"ENTEROPORT PLUS"</f>
        <v>ENTEROPORT PLUS</v>
      </c>
    </row>
    <row r="12778" spans="1:7" ht="58.5" customHeight="1" x14ac:dyDescent="0.25">
      <c r="A12778" s="5" t="str">
        <f>"H0034788"</f>
        <v>H0034788</v>
      </c>
      <c r="B12778" s="5" t="str">
        <f>"CAMILLA DE TRANSPORTE Y RECUPERACION (DONACION)"</f>
        <v>CAMILLA DE TRANSPORTE Y RECUPERACION (DONACION)</v>
      </c>
      <c r="C12778" s="6">
        <v>1349600</v>
      </c>
      <c r="D12778" s="5" t="s">
        <v>123</v>
      </c>
      <c r="E12778" s="5" t="str">
        <f t="shared" si="651"/>
        <v>ACTISALUD-PISO 9-GUSTAVO GOMEZ</v>
      </c>
      <c r="F12778" s="5"/>
      <c r="G12778" s="5"/>
    </row>
    <row r="12779" spans="1:7" ht="58.5" customHeight="1" x14ac:dyDescent="0.25">
      <c r="A12779" s="5" t="str">
        <f>"H0034793"</f>
        <v>H0034793</v>
      </c>
      <c r="B12779" s="5" t="str">
        <f>"LARINGO DE FIBRA OPTICA (DONACION)"</f>
        <v>LARINGO DE FIBRA OPTICA (DONACION)</v>
      </c>
      <c r="C12779" s="6">
        <v>1905555</v>
      </c>
      <c r="D12779" s="5" t="s">
        <v>123</v>
      </c>
      <c r="E12779" s="5" t="str">
        <f t="shared" si="651"/>
        <v>ACTISALUD-PISO 9-GUSTAVO GOMEZ</v>
      </c>
      <c r="F12779" s="5"/>
      <c r="G12779" s="5"/>
    </row>
    <row r="12780" spans="1:7" ht="58.5" customHeight="1" x14ac:dyDescent="0.25">
      <c r="A12780" s="5" t="str">
        <f>"H0034816"</f>
        <v>H0034816</v>
      </c>
      <c r="B12780" s="5" t="str">
        <f>"Pistola para desinfección por niebla"</f>
        <v>Pistola para desinfección por niebla</v>
      </c>
      <c r="C12780" s="6">
        <v>425000</v>
      </c>
      <c r="D12780" s="5" t="s">
        <v>21</v>
      </c>
      <c r="E12780" s="5" t="str">
        <f t="shared" si="651"/>
        <v>ACTISALUD-PISO 9-GUSTAVO GOMEZ</v>
      </c>
      <c r="F12780" s="5"/>
      <c r="G12780" s="5"/>
    </row>
    <row r="12781" spans="1:7" ht="58.5" customHeight="1" x14ac:dyDescent="0.25">
      <c r="A12781" s="5" t="str">
        <f>"H0034825"</f>
        <v>H0034825</v>
      </c>
      <c r="B12781" s="5" t="str">
        <f>"Nebulizador para desinfección ultrasonido"</f>
        <v>Nebulizador para desinfección ultrasonido</v>
      </c>
      <c r="C12781" s="6">
        <v>2400000</v>
      </c>
      <c r="D12781" s="5" t="s">
        <v>21</v>
      </c>
      <c r="E12781" s="5" t="str">
        <f t="shared" si="651"/>
        <v>ACTISALUD-PISO 9-GUSTAVO GOMEZ</v>
      </c>
      <c r="F12781" s="5"/>
      <c r="G12781" s="5"/>
    </row>
    <row r="12782" spans="1:7" ht="58.5" customHeight="1" x14ac:dyDescent="0.25">
      <c r="A12782" s="5" t="str">
        <f>"H0035145"</f>
        <v>H0035145</v>
      </c>
      <c r="B12782" s="5" t="str">
        <f>"NEVERA DE 66 LTS"</f>
        <v>NEVERA DE 66 LTS</v>
      </c>
      <c r="C12782" s="6">
        <v>544999.71</v>
      </c>
      <c r="D12782" s="5" t="s">
        <v>25</v>
      </c>
      <c r="E12782" s="5" t="str">
        <f t="shared" si="651"/>
        <v>ACTISALUD-PISO 9-GUSTAVO GOMEZ</v>
      </c>
      <c r="F12782" s="5"/>
      <c r="G12782" s="5"/>
    </row>
    <row r="12783" spans="1:7" ht="58.5" customHeight="1" x14ac:dyDescent="0.25">
      <c r="A12783" s="5" t="str">
        <f>"H0035217"</f>
        <v>H0035217</v>
      </c>
      <c r="B12783" s="5" t="str">
        <f>"LECTOR DE HUELLAS DIGITALES"</f>
        <v>LECTOR DE HUELLAS DIGITALES</v>
      </c>
      <c r="C12783" s="6">
        <v>357666.4</v>
      </c>
      <c r="D12783" s="5" t="s">
        <v>126</v>
      </c>
      <c r="E12783" s="5" t="str">
        <f t="shared" si="651"/>
        <v>ACTISALUD-PISO 9-GUSTAVO GOMEZ</v>
      </c>
      <c r="F12783" s="5"/>
      <c r="G12783" s="5"/>
    </row>
    <row r="12784" spans="1:7" ht="58.5" customHeight="1" x14ac:dyDescent="0.25">
      <c r="A12784" s="5" t="str">
        <f>"H0035218"</f>
        <v>H0035218</v>
      </c>
      <c r="B12784" s="5" t="str">
        <f>"LECTOR DE HUELLAS DIGITALES"</f>
        <v>LECTOR DE HUELLAS DIGITALES</v>
      </c>
      <c r="C12784" s="6">
        <v>357666.4</v>
      </c>
      <c r="D12784" s="5" t="s">
        <v>126</v>
      </c>
      <c r="E12784" s="5" t="str">
        <f t="shared" si="651"/>
        <v>ACTISALUD-PISO 9-GUSTAVO GOMEZ</v>
      </c>
      <c r="F12784" s="5"/>
      <c r="G12784" s="5"/>
    </row>
    <row r="12785" spans="1:7" ht="58.5" customHeight="1" x14ac:dyDescent="0.25">
      <c r="A12785" s="5" t="str">
        <f>"H0035420"</f>
        <v>H0035420</v>
      </c>
      <c r="B12785" s="5" t="str">
        <f>"COMPUTADOR TODO EN UNO HP  200 G4 CORPORATIVO  21.5  Intel® Core™ i5-10210U 10ma generación), Disco Duro 1TB"</f>
        <v>COMPUTADOR TODO EN UNO HP  200 G4 CORPORATIVO  21.5  Intel® Core™ i5-10210U 10ma generación), Disco Duro 1TB</v>
      </c>
      <c r="C12785" s="6">
        <v>5343100</v>
      </c>
      <c r="D12785" s="5" t="s">
        <v>197</v>
      </c>
      <c r="E12785" s="5" t="str">
        <f t="shared" si="651"/>
        <v>ACTISALUD-PISO 9-GUSTAVO GOMEZ</v>
      </c>
      <c r="F12785" s="5"/>
      <c r="G12785" s="5"/>
    </row>
    <row r="12786" spans="1:7" ht="58.5" customHeight="1" x14ac:dyDescent="0.25">
      <c r="A12786" s="5" t="str">
        <f>"H0035473"</f>
        <v>H0035473</v>
      </c>
      <c r="B12786" s="5" t="str">
        <f>"CARRO PORTA HISTORIAS CLINICAS"</f>
        <v>CARRO PORTA HISTORIAS CLINICAS</v>
      </c>
      <c r="C12786" s="6">
        <v>758875.01</v>
      </c>
      <c r="D12786" s="5" t="s">
        <v>159</v>
      </c>
      <c r="E12786" s="5" t="str">
        <f t="shared" si="651"/>
        <v>ACTISALUD-PISO 9-GUSTAVO GOMEZ</v>
      </c>
      <c r="F12786" s="5"/>
      <c r="G12786" s="5"/>
    </row>
    <row r="12787" spans="1:7" ht="58.5" customHeight="1" x14ac:dyDescent="0.25">
      <c r="A12787" s="5" t="str">
        <f>"H0035805"</f>
        <v>H0035805</v>
      </c>
      <c r="B12787" s="5" t="str">
        <f t="shared" ref="B12787:B12793" si="652">"SILLA GERENTE NIZA MEC. BASCULANTE CON BRAZOS."</f>
        <v>SILLA GERENTE NIZA MEC. BASCULANTE CON BRAZOS.</v>
      </c>
      <c r="C12787" s="6">
        <v>640002.24</v>
      </c>
      <c r="D12787" s="5" t="s">
        <v>47</v>
      </c>
      <c r="E12787" s="5" t="str">
        <f t="shared" si="651"/>
        <v>ACTISALUD-PISO 9-GUSTAVO GOMEZ</v>
      </c>
      <c r="F12787" s="5"/>
      <c r="G12787" s="5"/>
    </row>
    <row r="12788" spans="1:7" ht="58.5" customHeight="1" x14ac:dyDescent="0.25">
      <c r="A12788" s="5" t="str">
        <f>"H0035806"</f>
        <v>H0035806</v>
      </c>
      <c r="B12788" s="5" t="str">
        <f t="shared" si="652"/>
        <v>SILLA GERENTE NIZA MEC. BASCULANTE CON BRAZOS.</v>
      </c>
      <c r="C12788" s="6">
        <v>640002.24</v>
      </c>
      <c r="D12788" s="5" t="s">
        <v>47</v>
      </c>
      <c r="E12788" s="5" t="str">
        <f t="shared" si="651"/>
        <v>ACTISALUD-PISO 9-GUSTAVO GOMEZ</v>
      </c>
      <c r="F12788" s="5"/>
      <c r="G12788" s="5"/>
    </row>
    <row r="12789" spans="1:7" ht="58.5" customHeight="1" x14ac:dyDescent="0.25">
      <c r="A12789" s="5" t="str">
        <f>"H0035811"</f>
        <v>H0035811</v>
      </c>
      <c r="B12789" s="5" t="str">
        <f t="shared" si="652"/>
        <v>SILLA GERENTE NIZA MEC. BASCULANTE CON BRAZOS.</v>
      </c>
      <c r="C12789" s="6">
        <v>640002.24</v>
      </c>
      <c r="D12789" s="5" t="s">
        <v>47</v>
      </c>
      <c r="E12789" s="5" t="str">
        <f t="shared" si="651"/>
        <v>ACTISALUD-PISO 9-GUSTAVO GOMEZ</v>
      </c>
      <c r="F12789" s="5"/>
      <c r="G12789" s="5"/>
    </row>
    <row r="12790" spans="1:7" ht="58.5" customHeight="1" x14ac:dyDescent="0.25">
      <c r="A12790" s="5" t="str">
        <f>"H0035812"</f>
        <v>H0035812</v>
      </c>
      <c r="B12790" s="5" t="str">
        <f t="shared" si="652"/>
        <v>SILLA GERENTE NIZA MEC. BASCULANTE CON BRAZOS.</v>
      </c>
      <c r="C12790" s="6">
        <v>640002.24</v>
      </c>
      <c r="D12790" s="5" t="s">
        <v>47</v>
      </c>
      <c r="E12790" s="5" t="str">
        <f t="shared" si="651"/>
        <v>ACTISALUD-PISO 9-GUSTAVO GOMEZ</v>
      </c>
      <c r="F12790" s="5"/>
      <c r="G12790" s="5"/>
    </row>
    <row r="12791" spans="1:7" ht="58.5" customHeight="1" x14ac:dyDescent="0.25">
      <c r="A12791" s="5" t="str">
        <f>"H0035813"</f>
        <v>H0035813</v>
      </c>
      <c r="B12791" s="5" t="str">
        <f t="shared" si="652"/>
        <v>SILLA GERENTE NIZA MEC. BASCULANTE CON BRAZOS.</v>
      </c>
      <c r="C12791" s="6">
        <v>640002.24</v>
      </c>
      <c r="D12791" s="5" t="s">
        <v>47</v>
      </c>
      <c r="E12791" s="5" t="str">
        <f t="shared" si="651"/>
        <v>ACTISALUD-PISO 9-GUSTAVO GOMEZ</v>
      </c>
      <c r="F12791" s="5"/>
      <c r="G12791" s="5"/>
    </row>
    <row r="12792" spans="1:7" ht="58.5" customHeight="1" x14ac:dyDescent="0.25">
      <c r="A12792" s="5" t="str">
        <f>"H0035814"</f>
        <v>H0035814</v>
      </c>
      <c r="B12792" s="5" t="str">
        <f t="shared" si="652"/>
        <v>SILLA GERENTE NIZA MEC. BASCULANTE CON BRAZOS.</v>
      </c>
      <c r="C12792" s="6">
        <v>640002.24</v>
      </c>
      <c r="D12792" s="5" t="s">
        <v>47</v>
      </c>
      <c r="E12792" s="5" t="str">
        <f t="shared" si="651"/>
        <v>ACTISALUD-PISO 9-GUSTAVO GOMEZ</v>
      </c>
      <c r="F12792" s="5"/>
      <c r="G12792" s="5"/>
    </row>
    <row r="12793" spans="1:7" ht="58.5" customHeight="1" x14ac:dyDescent="0.25">
      <c r="A12793" s="5" t="str">
        <f>"H0035815"</f>
        <v>H0035815</v>
      </c>
      <c r="B12793" s="5" t="str">
        <f t="shared" si="652"/>
        <v>SILLA GERENTE NIZA MEC. BASCULANTE CON BRAZOS.</v>
      </c>
      <c r="C12793" s="6">
        <v>640002.24</v>
      </c>
      <c r="D12793" s="5" t="s">
        <v>47</v>
      </c>
      <c r="E12793" s="5" t="str">
        <f t="shared" si="651"/>
        <v>ACTISALUD-PISO 9-GUSTAVO GOMEZ</v>
      </c>
      <c r="F12793" s="5"/>
      <c r="G12793" s="5"/>
    </row>
    <row r="12794" spans="1:7" ht="58.5" customHeight="1" x14ac:dyDescent="0.25">
      <c r="A12794" s="5" t="str">
        <f>"H0036633"</f>
        <v>H0036633</v>
      </c>
      <c r="B12794" s="5" t="str">
        <f t="shared" ref="B12794:B12805" si="653">"UNIDAD DE LLAMADO DE ENFERMERIA PARA BAÑO CON CORDON TIRADOR. RESISTENTE A SALPICADURAS DE AGUA Y LUZ INDICADORA DE PULSACIÓN"</f>
        <v>UNIDAD DE LLAMADO DE ENFERMERIA PARA BAÑO CON CORDON TIRADOR. RESISTENTE A SALPICADURAS DE AGUA Y LUZ INDICADORA DE PULSACIÓN</v>
      </c>
      <c r="C12794" s="6">
        <v>578500</v>
      </c>
      <c r="D12794" s="5" t="s">
        <v>200</v>
      </c>
      <c r="E12794" s="5" t="str">
        <f t="shared" si="651"/>
        <v>ACTISALUD-PISO 9-GUSTAVO GOMEZ</v>
      </c>
      <c r="F12794" s="5"/>
      <c r="G12794" s="5"/>
    </row>
    <row r="12795" spans="1:7" ht="58.5" customHeight="1" x14ac:dyDescent="0.25">
      <c r="A12795" s="5" t="str">
        <f>"H0036634"</f>
        <v>H0036634</v>
      </c>
      <c r="B12795" s="5" t="str">
        <f t="shared" si="653"/>
        <v>UNIDAD DE LLAMADO DE ENFERMERIA PARA BAÑO CON CORDON TIRADOR. RESISTENTE A SALPICADURAS DE AGUA Y LUZ INDICADORA DE PULSACIÓN</v>
      </c>
      <c r="C12795" s="6">
        <v>578500</v>
      </c>
      <c r="D12795" s="5" t="s">
        <v>200</v>
      </c>
      <c r="E12795" s="5" t="str">
        <f t="shared" si="651"/>
        <v>ACTISALUD-PISO 9-GUSTAVO GOMEZ</v>
      </c>
      <c r="F12795" s="5"/>
      <c r="G12795" s="5"/>
    </row>
    <row r="12796" spans="1:7" ht="58.5" customHeight="1" x14ac:dyDescent="0.25">
      <c r="A12796" s="5" t="str">
        <f>"H0036635"</f>
        <v>H0036635</v>
      </c>
      <c r="B12796" s="5" t="str">
        <f t="shared" si="653"/>
        <v>UNIDAD DE LLAMADO DE ENFERMERIA PARA BAÑO CON CORDON TIRADOR. RESISTENTE A SALPICADURAS DE AGUA Y LUZ INDICADORA DE PULSACIÓN</v>
      </c>
      <c r="C12796" s="6">
        <v>578500</v>
      </c>
      <c r="D12796" s="5" t="s">
        <v>200</v>
      </c>
      <c r="E12796" s="5" t="str">
        <f t="shared" si="651"/>
        <v>ACTISALUD-PISO 9-GUSTAVO GOMEZ</v>
      </c>
      <c r="F12796" s="5"/>
      <c r="G12796" s="5"/>
    </row>
    <row r="12797" spans="1:7" ht="58.5" customHeight="1" x14ac:dyDescent="0.25">
      <c r="A12797" s="5" t="str">
        <f>"H0036636"</f>
        <v>H0036636</v>
      </c>
      <c r="B12797" s="5" t="str">
        <f t="shared" si="653"/>
        <v>UNIDAD DE LLAMADO DE ENFERMERIA PARA BAÑO CON CORDON TIRADOR. RESISTENTE A SALPICADURAS DE AGUA Y LUZ INDICADORA DE PULSACIÓN</v>
      </c>
      <c r="C12797" s="6">
        <v>578500</v>
      </c>
      <c r="D12797" s="5" t="s">
        <v>200</v>
      </c>
      <c r="E12797" s="5" t="str">
        <f t="shared" si="651"/>
        <v>ACTISALUD-PISO 9-GUSTAVO GOMEZ</v>
      </c>
      <c r="F12797" s="5"/>
      <c r="G12797" s="5"/>
    </row>
    <row r="12798" spans="1:7" ht="58.5" customHeight="1" x14ac:dyDescent="0.25">
      <c r="A12798" s="5" t="str">
        <f>"H0036637"</f>
        <v>H0036637</v>
      </c>
      <c r="B12798" s="5" t="str">
        <f t="shared" si="653"/>
        <v>UNIDAD DE LLAMADO DE ENFERMERIA PARA BAÑO CON CORDON TIRADOR. RESISTENTE A SALPICADURAS DE AGUA Y LUZ INDICADORA DE PULSACIÓN</v>
      </c>
      <c r="C12798" s="6">
        <v>578500</v>
      </c>
      <c r="D12798" s="5" t="s">
        <v>200</v>
      </c>
      <c r="E12798" s="5" t="str">
        <f t="shared" si="651"/>
        <v>ACTISALUD-PISO 9-GUSTAVO GOMEZ</v>
      </c>
      <c r="F12798" s="5"/>
      <c r="G12798" s="5"/>
    </row>
    <row r="12799" spans="1:7" ht="58.5" customHeight="1" x14ac:dyDescent="0.25">
      <c r="A12799" s="5" t="str">
        <f>"H0036638"</f>
        <v>H0036638</v>
      </c>
      <c r="B12799" s="5" t="str">
        <f t="shared" si="653"/>
        <v>UNIDAD DE LLAMADO DE ENFERMERIA PARA BAÑO CON CORDON TIRADOR. RESISTENTE A SALPICADURAS DE AGUA Y LUZ INDICADORA DE PULSACIÓN</v>
      </c>
      <c r="C12799" s="6">
        <v>578500</v>
      </c>
      <c r="D12799" s="5" t="s">
        <v>200</v>
      </c>
      <c r="E12799" s="5" t="str">
        <f t="shared" si="651"/>
        <v>ACTISALUD-PISO 9-GUSTAVO GOMEZ</v>
      </c>
      <c r="F12799" s="5"/>
      <c r="G12799" s="5"/>
    </row>
    <row r="12800" spans="1:7" ht="58.5" customHeight="1" x14ac:dyDescent="0.25">
      <c r="A12800" s="5" t="str">
        <f>"H0036639"</f>
        <v>H0036639</v>
      </c>
      <c r="B12800" s="5" t="str">
        <f t="shared" si="653"/>
        <v>UNIDAD DE LLAMADO DE ENFERMERIA PARA BAÑO CON CORDON TIRADOR. RESISTENTE A SALPICADURAS DE AGUA Y LUZ INDICADORA DE PULSACIÓN</v>
      </c>
      <c r="C12800" s="6">
        <v>578500</v>
      </c>
      <c r="D12800" s="5" t="s">
        <v>200</v>
      </c>
      <c r="E12800" s="5" t="str">
        <f t="shared" si="651"/>
        <v>ACTISALUD-PISO 9-GUSTAVO GOMEZ</v>
      </c>
      <c r="F12800" s="5"/>
      <c r="G12800" s="5"/>
    </row>
    <row r="12801" spans="1:7" ht="58.5" customHeight="1" x14ac:dyDescent="0.25">
      <c r="A12801" s="5" t="str">
        <f>"H0036640"</f>
        <v>H0036640</v>
      </c>
      <c r="B12801" s="5" t="str">
        <f t="shared" si="653"/>
        <v>UNIDAD DE LLAMADO DE ENFERMERIA PARA BAÑO CON CORDON TIRADOR. RESISTENTE A SALPICADURAS DE AGUA Y LUZ INDICADORA DE PULSACIÓN</v>
      </c>
      <c r="C12801" s="6">
        <v>578500</v>
      </c>
      <c r="D12801" s="5" t="s">
        <v>200</v>
      </c>
      <c r="E12801" s="5" t="str">
        <f t="shared" si="651"/>
        <v>ACTISALUD-PISO 9-GUSTAVO GOMEZ</v>
      </c>
      <c r="F12801" s="5"/>
      <c r="G12801" s="5"/>
    </row>
    <row r="12802" spans="1:7" ht="58.5" customHeight="1" x14ac:dyDescent="0.25">
      <c r="A12802" s="5" t="str">
        <f>"H0036641"</f>
        <v>H0036641</v>
      </c>
      <c r="B12802" s="5" t="str">
        <f t="shared" si="653"/>
        <v>UNIDAD DE LLAMADO DE ENFERMERIA PARA BAÑO CON CORDON TIRADOR. RESISTENTE A SALPICADURAS DE AGUA Y LUZ INDICADORA DE PULSACIÓN</v>
      </c>
      <c r="C12802" s="6">
        <v>578500</v>
      </c>
      <c r="D12802" s="5" t="s">
        <v>200</v>
      </c>
      <c r="E12802" s="5" t="str">
        <f t="shared" si="651"/>
        <v>ACTISALUD-PISO 9-GUSTAVO GOMEZ</v>
      </c>
      <c r="F12802" s="5"/>
      <c r="G12802" s="5"/>
    </row>
    <row r="12803" spans="1:7" ht="58.5" customHeight="1" x14ac:dyDescent="0.25">
      <c r="A12803" s="5" t="str">
        <f>"H0036642"</f>
        <v>H0036642</v>
      </c>
      <c r="B12803" s="5" t="str">
        <f t="shared" si="653"/>
        <v>UNIDAD DE LLAMADO DE ENFERMERIA PARA BAÑO CON CORDON TIRADOR. RESISTENTE A SALPICADURAS DE AGUA Y LUZ INDICADORA DE PULSACIÓN</v>
      </c>
      <c r="C12803" s="6">
        <v>578500</v>
      </c>
      <c r="D12803" s="5" t="s">
        <v>200</v>
      </c>
      <c r="E12803" s="5" t="str">
        <f t="shared" si="651"/>
        <v>ACTISALUD-PISO 9-GUSTAVO GOMEZ</v>
      </c>
      <c r="F12803" s="5"/>
      <c r="G12803" s="5"/>
    </row>
    <row r="12804" spans="1:7" ht="58.5" customHeight="1" x14ac:dyDescent="0.25">
      <c r="A12804" s="5" t="str">
        <f>"H0036643"</f>
        <v>H0036643</v>
      </c>
      <c r="B12804" s="5" t="str">
        <f t="shared" si="653"/>
        <v>UNIDAD DE LLAMADO DE ENFERMERIA PARA BAÑO CON CORDON TIRADOR. RESISTENTE A SALPICADURAS DE AGUA Y LUZ INDICADORA DE PULSACIÓN</v>
      </c>
      <c r="C12804" s="6">
        <v>578500</v>
      </c>
      <c r="D12804" s="5" t="s">
        <v>200</v>
      </c>
      <c r="E12804" s="5" t="str">
        <f t="shared" si="651"/>
        <v>ACTISALUD-PISO 9-GUSTAVO GOMEZ</v>
      </c>
      <c r="F12804" s="5"/>
      <c r="G12804" s="5"/>
    </row>
    <row r="12805" spans="1:7" ht="58.5" customHeight="1" x14ac:dyDescent="0.25">
      <c r="A12805" s="5" t="str">
        <f>"H0036644"</f>
        <v>H0036644</v>
      </c>
      <c r="B12805" s="5" t="str">
        <f t="shared" si="653"/>
        <v>UNIDAD DE LLAMADO DE ENFERMERIA PARA BAÑO CON CORDON TIRADOR. RESISTENTE A SALPICADURAS DE AGUA Y LUZ INDICADORA DE PULSACIÓN</v>
      </c>
      <c r="C12805" s="6">
        <v>578500</v>
      </c>
      <c r="D12805" s="5" t="s">
        <v>200</v>
      </c>
      <c r="E12805" s="5" t="str">
        <f t="shared" si="651"/>
        <v>ACTISALUD-PISO 9-GUSTAVO GOMEZ</v>
      </c>
      <c r="F12805" s="5"/>
      <c r="G12805" s="5"/>
    </row>
    <row r="12806" spans="1:7" ht="58.5" customHeight="1" x14ac:dyDescent="0.25">
      <c r="A12806" s="5" t="str">
        <f>"H0036713"</f>
        <v>H0036713</v>
      </c>
      <c r="B12806" s="5" t="str">
        <f t="shared" ref="B12806:B12849" si="654">"UNIDAD DE LLAMADO DE ENFERMERIA PARA CAMA O BAÑO"</f>
        <v>UNIDAD DE LLAMADO DE ENFERMERIA PARA CAMA O BAÑO</v>
      </c>
      <c r="C12806" s="6">
        <v>643500</v>
      </c>
      <c r="D12806" s="5" t="s">
        <v>134</v>
      </c>
      <c r="E12806" s="5" t="str">
        <f t="shared" si="651"/>
        <v>ACTISALUD-PISO 9-GUSTAVO GOMEZ</v>
      </c>
      <c r="F12806" s="5"/>
      <c r="G12806" s="5"/>
    </row>
    <row r="12807" spans="1:7" ht="58.5" customHeight="1" x14ac:dyDescent="0.25">
      <c r="A12807" s="5" t="str">
        <f>"H0036714"</f>
        <v>H0036714</v>
      </c>
      <c r="B12807" s="5" t="str">
        <f t="shared" si="654"/>
        <v>UNIDAD DE LLAMADO DE ENFERMERIA PARA CAMA O BAÑO</v>
      </c>
      <c r="C12807" s="6">
        <v>643500</v>
      </c>
      <c r="D12807" s="5" t="s">
        <v>134</v>
      </c>
      <c r="E12807" s="5" t="str">
        <f t="shared" si="651"/>
        <v>ACTISALUD-PISO 9-GUSTAVO GOMEZ</v>
      </c>
      <c r="F12807" s="5"/>
      <c r="G12807" s="5"/>
    </row>
    <row r="12808" spans="1:7" ht="58.5" customHeight="1" x14ac:dyDescent="0.25">
      <c r="A12808" s="5" t="str">
        <f>"H0036715"</f>
        <v>H0036715</v>
      </c>
      <c r="B12808" s="5" t="str">
        <f t="shared" si="654"/>
        <v>UNIDAD DE LLAMADO DE ENFERMERIA PARA CAMA O BAÑO</v>
      </c>
      <c r="C12808" s="6">
        <v>643500</v>
      </c>
      <c r="D12808" s="5" t="s">
        <v>134</v>
      </c>
      <c r="E12808" s="5" t="str">
        <f t="shared" si="651"/>
        <v>ACTISALUD-PISO 9-GUSTAVO GOMEZ</v>
      </c>
      <c r="F12808" s="5"/>
      <c r="G12808" s="5"/>
    </row>
    <row r="12809" spans="1:7" ht="58.5" customHeight="1" x14ac:dyDescent="0.25">
      <c r="A12809" s="5" t="str">
        <f>"H0036716"</f>
        <v>H0036716</v>
      </c>
      <c r="B12809" s="5" t="str">
        <f t="shared" si="654"/>
        <v>UNIDAD DE LLAMADO DE ENFERMERIA PARA CAMA O BAÑO</v>
      </c>
      <c r="C12809" s="6">
        <v>643500</v>
      </c>
      <c r="D12809" s="5" t="s">
        <v>134</v>
      </c>
      <c r="E12809" s="5" t="str">
        <f t="shared" si="651"/>
        <v>ACTISALUD-PISO 9-GUSTAVO GOMEZ</v>
      </c>
      <c r="F12809" s="5"/>
      <c r="G12809" s="5"/>
    </row>
    <row r="12810" spans="1:7" ht="58.5" customHeight="1" x14ac:dyDescent="0.25">
      <c r="A12810" s="5" t="str">
        <f>"H0036717"</f>
        <v>H0036717</v>
      </c>
      <c r="B12810" s="5" t="str">
        <f t="shared" si="654"/>
        <v>UNIDAD DE LLAMADO DE ENFERMERIA PARA CAMA O BAÑO</v>
      </c>
      <c r="C12810" s="6">
        <v>643500</v>
      </c>
      <c r="D12810" s="5" t="s">
        <v>134</v>
      </c>
      <c r="E12810" s="5" t="str">
        <f t="shared" si="651"/>
        <v>ACTISALUD-PISO 9-GUSTAVO GOMEZ</v>
      </c>
      <c r="F12810" s="5"/>
      <c r="G12810" s="5"/>
    </row>
    <row r="12811" spans="1:7" ht="58.5" customHeight="1" x14ac:dyDescent="0.25">
      <c r="A12811" s="5" t="str">
        <f>"H0036718"</f>
        <v>H0036718</v>
      </c>
      <c r="B12811" s="5" t="str">
        <f t="shared" si="654"/>
        <v>UNIDAD DE LLAMADO DE ENFERMERIA PARA CAMA O BAÑO</v>
      </c>
      <c r="C12811" s="6">
        <v>643500</v>
      </c>
      <c r="D12811" s="5" t="s">
        <v>134</v>
      </c>
      <c r="E12811" s="5" t="str">
        <f t="shared" si="651"/>
        <v>ACTISALUD-PISO 9-GUSTAVO GOMEZ</v>
      </c>
      <c r="F12811" s="5"/>
      <c r="G12811" s="5"/>
    </row>
    <row r="12812" spans="1:7" ht="58.5" customHeight="1" x14ac:dyDescent="0.25">
      <c r="A12812" s="5" t="str">
        <f>"H0036719"</f>
        <v>H0036719</v>
      </c>
      <c r="B12812" s="5" t="str">
        <f t="shared" si="654"/>
        <v>UNIDAD DE LLAMADO DE ENFERMERIA PARA CAMA O BAÑO</v>
      </c>
      <c r="C12812" s="6">
        <v>643500</v>
      </c>
      <c r="D12812" s="5" t="s">
        <v>134</v>
      </c>
      <c r="E12812" s="5" t="str">
        <f t="shared" si="651"/>
        <v>ACTISALUD-PISO 9-GUSTAVO GOMEZ</v>
      </c>
      <c r="F12812" s="5"/>
      <c r="G12812" s="5"/>
    </row>
    <row r="12813" spans="1:7" ht="58.5" customHeight="1" x14ac:dyDescent="0.25">
      <c r="A12813" s="5" t="str">
        <f>"H0036720"</f>
        <v>H0036720</v>
      </c>
      <c r="B12813" s="5" t="str">
        <f t="shared" si="654"/>
        <v>UNIDAD DE LLAMADO DE ENFERMERIA PARA CAMA O BAÑO</v>
      </c>
      <c r="C12813" s="6">
        <v>643500</v>
      </c>
      <c r="D12813" s="5" t="s">
        <v>134</v>
      </c>
      <c r="E12813" s="5" t="str">
        <f t="shared" si="651"/>
        <v>ACTISALUD-PISO 9-GUSTAVO GOMEZ</v>
      </c>
      <c r="F12813" s="5"/>
      <c r="G12813" s="5"/>
    </row>
    <row r="12814" spans="1:7" ht="58.5" customHeight="1" x14ac:dyDescent="0.25">
      <c r="A12814" s="5" t="str">
        <f>"H0036721"</f>
        <v>H0036721</v>
      </c>
      <c r="B12814" s="5" t="str">
        <f t="shared" si="654"/>
        <v>UNIDAD DE LLAMADO DE ENFERMERIA PARA CAMA O BAÑO</v>
      </c>
      <c r="C12814" s="6">
        <v>643500</v>
      </c>
      <c r="D12814" s="5" t="s">
        <v>134</v>
      </c>
      <c r="E12814" s="5" t="str">
        <f t="shared" si="651"/>
        <v>ACTISALUD-PISO 9-GUSTAVO GOMEZ</v>
      </c>
      <c r="F12814" s="5"/>
      <c r="G12814" s="5"/>
    </row>
    <row r="12815" spans="1:7" ht="58.5" customHeight="1" x14ac:dyDescent="0.25">
      <c r="A12815" s="5" t="str">
        <f>"H0036722"</f>
        <v>H0036722</v>
      </c>
      <c r="B12815" s="5" t="str">
        <f t="shared" si="654"/>
        <v>UNIDAD DE LLAMADO DE ENFERMERIA PARA CAMA O BAÑO</v>
      </c>
      <c r="C12815" s="6">
        <v>643500</v>
      </c>
      <c r="D12815" s="5" t="s">
        <v>134</v>
      </c>
      <c r="E12815" s="5" t="str">
        <f t="shared" si="651"/>
        <v>ACTISALUD-PISO 9-GUSTAVO GOMEZ</v>
      </c>
      <c r="F12815" s="5"/>
      <c r="G12815" s="5"/>
    </row>
    <row r="12816" spans="1:7" ht="58.5" customHeight="1" x14ac:dyDescent="0.25">
      <c r="A12816" s="5" t="str">
        <f>"H0036723"</f>
        <v>H0036723</v>
      </c>
      <c r="B12816" s="5" t="str">
        <f t="shared" si="654"/>
        <v>UNIDAD DE LLAMADO DE ENFERMERIA PARA CAMA O BAÑO</v>
      </c>
      <c r="C12816" s="6">
        <v>643500</v>
      </c>
      <c r="D12816" s="5" t="s">
        <v>134</v>
      </c>
      <c r="E12816" s="5" t="str">
        <f t="shared" si="651"/>
        <v>ACTISALUD-PISO 9-GUSTAVO GOMEZ</v>
      </c>
      <c r="F12816" s="5"/>
      <c r="G12816" s="5"/>
    </row>
    <row r="12817" spans="1:7" ht="58.5" customHeight="1" x14ac:dyDescent="0.25">
      <c r="A12817" s="5" t="str">
        <f>"H0036724"</f>
        <v>H0036724</v>
      </c>
      <c r="B12817" s="5" t="str">
        <f t="shared" si="654"/>
        <v>UNIDAD DE LLAMADO DE ENFERMERIA PARA CAMA O BAÑO</v>
      </c>
      <c r="C12817" s="6">
        <v>643500</v>
      </c>
      <c r="D12817" s="5" t="s">
        <v>134</v>
      </c>
      <c r="E12817" s="5" t="str">
        <f t="shared" si="651"/>
        <v>ACTISALUD-PISO 9-GUSTAVO GOMEZ</v>
      </c>
      <c r="F12817" s="5"/>
      <c r="G12817" s="5"/>
    </row>
    <row r="12818" spans="1:7" ht="58.5" customHeight="1" x14ac:dyDescent="0.25">
      <c r="A12818" s="5" t="str">
        <f>"H0036725"</f>
        <v>H0036725</v>
      </c>
      <c r="B12818" s="5" t="str">
        <f t="shared" si="654"/>
        <v>UNIDAD DE LLAMADO DE ENFERMERIA PARA CAMA O BAÑO</v>
      </c>
      <c r="C12818" s="6">
        <v>643500</v>
      </c>
      <c r="D12818" s="5" t="s">
        <v>134</v>
      </c>
      <c r="E12818" s="5" t="str">
        <f t="shared" si="651"/>
        <v>ACTISALUD-PISO 9-GUSTAVO GOMEZ</v>
      </c>
      <c r="F12818" s="5"/>
      <c r="G12818" s="5"/>
    </row>
    <row r="12819" spans="1:7" ht="58.5" customHeight="1" x14ac:dyDescent="0.25">
      <c r="A12819" s="5" t="str">
        <f>"H0036726"</f>
        <v>H0036726</v>
      </c>
      <c r="B12819" s="5" t="str">
        <f t="shared" si="654"/>
        <v>UNIDAD DE LLAMADO DE ENFERMERIA PARA CAMA O BAÑO</v>
      </c>
      <c r="C12819" s="6">
        <v>643500</v>
      </c>
      <c r="D12819" s="5" t="s">
        <v>134</v>
      </c>
      <c r="E12819" s="5" t="str">
        <f t="shared" si="651"/>
        <v>ACTISALUD-PISO 9-GUSTAVO GOMEZ</v>
      </c>
      <c r="F12819" s="5"/>
      <c r="G12819" s="5"/>
    </row>
    <row r="12820" spans="1:7" ht="58.5" customHeight="1" x14ac:dyDescent="0.25">
      <c r="A12820" s="5" t="str">
        <f>"H0036727"</f>
        <v>H0036727</v>
      </c>
      <c r="B12820" s="5" t="str">
        <f t="shared" si="654"/>
        <v>UNIDAD DE LLAMADO DE ENFERMERIA PARA CAMA O BAÑO</v>
      </c>
      <c r="C12820" s="6">
        <v>643500</v>
      </c>
      <c r="D12820" s="5" t="s">
        <v>134</v>
      </c>
      <c r="E12820" s="5" t="str">
        <f t="shared" si="651"/>
        <v>ACTISALUD-PISO 9-GUSTAVO GOMEZ</v>
      </c>
      <c r="F12820" s="5"/>
      <c r="G12820" s="5"/>
    </row>
    <row r="12821" spans="1:7" ht="58.5" customHeight="1" x14ac:dyDescent="0.25">
      <c r="A12821" s="5" t="str">
        <f>"H0036728"</f>
        <v>H0036728</v>
      </c>
      <c r="B12821" s="5" t="str">
        <f t="shared" si="654"/>
        <v>UNIDAD DE LLAMADO DE ENFERMERIA PARA CAMA O BAÑO</v>
      </c>
      <c r="C12821" s="6">
        <v>643500</v>
      </c>
      <c r="D12821" s="5" t="s">
        <v>134</v>
      </c>
      <c r="E12821" s="5" t="str">
        <f t="shared" si="651"/>
        <v>ACTISALUD-PISO 9-GUSTAVO GOMEZ</v>
      </c>
      <c r="F12821" s="5"/>
      <c r="G12821" s="5"/>
    </row>
    <row r="12822" spans="1:7" ht="58.5" customHeight="1" x14ac:dyDescent="0.25">
      <c r="A12822" s="5" t="str">
        <f>"H0036729"</f>
        <v>H0036729</v>
      </c>
      <c r="B12822" s="5" t="str">
        <f t="shared" si="654"/>
        <v>UNIDAD DE LLAMADO DE ENFERMERIA PARA CAMA O BAÑO</v>
      </c>
      <c r="C12822" s="6">
        <v>643500</v>
      </c>
      <c r="D12822" s="5" t="s">
        <v>134</v>
      </c>
      <c r="E12822" s="5" t="str">
        <f t="shared" si="651"/>
        <v>ACTISALUD-PISO 9-GUSTAVO GOMEZ</v>
      </c>
      <c r="F12822" s="5"/>
      <c r="G12822" s="5"/>
    </row>
    <row r="12823" spans="1:7" ht="58.5" customHeight="1" x14ac:dyDescent="0.25">
      <c r="A12823" s="5" t="str">
        <f>"H0036730"</f>
        <v>H0036730</v>
      </c>
      <c r="B12823" s="5" t="str">
        <f t="shared" si="654"/>
        <v>UNIDAD DE LLAMADO DE ENFERMERIA PARA CAMA O BAÑO</v>
      </c>
      <c r="C12823" s="6">
        <v>643500</v>
      </c>
      <c r="D12823" s="5" t="s">
        <v>134</v>
      </c>
      <c r="E12823" s="5" t="str">
        <f t="shared" si="651"/>
        <v>ACTISALUD-PISO 9-GUSTAVO GOMEZ</v>
      </c>
      <c r="F12823" s="5"/>
      <c r="G12823" s="5"/>
    </row>
    <row r="12824" spans="1:7" ht="58.5" customHeight="1" x14ac:dyDescent="0.25">
      <c r="A12824" s="5" t="str">
        <f>"H0036731"</f>
        <v>H0036731</v>
      </c>
      <c r="B12824" s="5" t="str">
        <f t="shared" si="654"/>
        <v>UNIDAD DE LLAMADO DE ENFERMERIA PARA CAMA O BAÑO</v>
      </c>
      <c r="C12824" s="6">
        <v>643500</v>
      </c>
      <c r="D12824" s="5" t="s">
        <v>134</v>
      </c>
      <c r="E12824" s="5" t="str">
        <f t="shared" si="651"/>
        <v>ACTISALUD-PISO 9-GUSTAVO GOMEZ</v>
      </c>
      <c r="F12824" s="5"/>
      <c r="G12824" s="5"/>
    </row>
    <row r="12825" spans="1:7" ht="58.5" customHeight="1" x14ac:dyDescent="0.25">
      <c r="A12825" s="5" t="str">
        <f>"H0036732"</f>
        <v>H0036732</v>
      </c>
      <c r="B12825" s="5" t="str">
        <f t="shared" si="654"/>
        <v>UNIDAD DE LLAMADO DE ENFERMERIA PARA CAMA O BAÑO</v>
      </c>
      <c r="C12825" s="6">
        <v>643500</v>
      </c>
      <c r="D12825" s="5" t="s">
        <v>134</v>
      </c>
      <c r="E12825" s="5" t="str">
        <f t="shared" si="651"/>
        <v>ACTISALUD-PISO 9-GUSTAVO GOMEZ</v>
      </c>
      <c r="F12825" s="5"/>
      <c r="G12825" s="5"/>
    </row>
    <row r="12826" spans="1:7" ht="58.5" customHeight="1" x14ac:dyDescent="0.25">
      <c r="A12826" s="5" t="str">
        <f>"H0036733"</f>
        <v>H0036733</v>
      </c>
      <c r="B12826" s="5" t="str">
        <f t="shared" si="654"/>
        <v>UNIDAD DE LLAMADO DE ENFERMERIA PARA CAMA O BAÑO</v>
      </c>
      <c r="C12826" s="6">
        <v>643500</v>
      </c>
      <c r="D12826" s="5" t="s">
        <v>134</v>
      </c>
      <c r="E12826" s="5" t="str">
        <f t="shared" ref="E12826:E12868" si="655">"ACTISALUD-PISO 9-GUSTAVO GOMEZ"</f>
        <v>ACTISALUD-PISO 9-GUSTAVO GOMEZ</v>
      </c>
      <c r="F12826" s="5"/>
      <c r="G12826" s="5"/>
    </row>
    <row r="12827" spans="1:7" ht="58.5" customHeight="1" x14ac:dyDescent="0.25">
      <c r="A12827" s="5" t="str">
        <f>"H0036739"</f>
        <v>H0036739</v>
      </c>
      <c r="B12827" s="5" t="str">
        <f t="shared" si="654"/>
        <v>UNIDAD DE LLAMADO DE ENFERMERIA PARA CAMA O BAÑO</v>
      </c>
      <c r="C12827" s="6">
        <v>643500</v>
      </c>
      <c r="D12827" s="5" t="s">
        <v>134</v>
      </c>
      <c r="E12827" s="5" t="str">
        <f t="shared" si="655"/>
        <v>ACTISALUD-PISO 9-GUSTAVO GOMEZ</v>
      </c>
      <c r="F12827" s="5"/>
      <c r="G12827" s="5"/>
    </row>
    <row r="12828" spans="1:7" ht="58.5" customHeight="1" x14ac:dyDescent="0.25">
      <c r="A12828" s="5" t="str">
        <f>"H0036740"</f>
        <v>H0036740</v>
      </c>
      <c r="B12828" s="5" t="str">
        <f t="shared" si="654"/>
        <v>UNIDAD DE LLAMADO DE ENFERMERIA PARA CAMA O BAÑO</v>
      </c>
      <c r="C12828" s="6">
        <v>643500</v>
      </c>
      <c r="D12828" s="5" t="s">
        <v>134</v>
      </c>
      <c r="E12828" s="5" t="str">
        <f t="shared" si="655"/>
        <v>ACTISALUD-PISO 9-GUSTAVO GOMEZ</v>
      </c>
      <c r="F12828" s="5"/>
      <c r="G12828" s="5"/>
    </row>
    <row r="12829" spans="1:7" ht="58.5" customHeight="1" x14ac:dyDescent="0.25">
      <c r="A12829" s="5" t="str">
        <f>"H0036741"</f>
        <v>H0036741</v>
      </c>
      <c r="B12829" s="5" t="str">
        <f t="shared" si="654"/>
        <v>UNIDAD DE LLAMADO DE ENFERMERIA PARA CAMA O BAÑO</v>
      </c>
      <c r="C12829" s="6">
        <v>643500</v>
      </c>
      <c r="D12829" s="5" t="s">
        <v>134</v>
      </c>
      <c r="E12829" s="5" t="str">
        <f t="shared" si="655"/>
        <v>ACTISALUD-PISO 9-GUSTAVO GOMEZ</v>
      </c>
      <c r="F12829" s="5"/>
      <c r="G12829" s="5"/>
    </row>
    <row r="12830" spans="1:7" ht="58.5" customHeight="1" x14ac:dyDescent="0.25">
      <c r="A12830" s="5" t="str">
        <f>"H0036742"</f>
        <v>H0036742</v>
      </c>
      <c r="B12830" s="5" t="str">
        <f t="shared" si="654"/>
        <v>UNIDAD DE LLAMADO DE ENFERMERIA PARA CAMA O BAÑO</v>
      </c>
      <c r="C12830" s="6">
        <v>643500</v>
      </c>
      <c r="D12830" s="5" t="s">
        <v>134</v>
      </c>
      <c r="E12830" s="5" t="str">
        <f t="shared" si="655"/>
        <v>ACTISALUD-PISO 9-GUSTAVO GOMEZ</v>
      </c>
      <c r="F12830" s="5"/>
      <c r="G12830" s="5"/>
    </row>
    <row r="12831" spans="1:7" ht="58.5" customHeight="1" x14ac:dyDescent="0.25">
      <c r="A12831" s="5" t="str">
        <f>"H0036743"</f>
        <v>H0036743</v>
      </c>
      <c r="B12831" s="5" t="str">
        <f t="shared" si="654"/>
        <v>UNIDAD DE LLAMADO DE ENFERMERIA PARA CAMA O BAÑO</v>
      </c>
      <c r="C12831" s="6">
        <v>643500</v>
      </c>
      <c r="D12831" s="5" t="s">
        <v>134</v>
      </c>
      <c r="E12831" s="5" t="str">
        <f t="shared" si="655"/>
        <v>ACTISALUD-PISO 9-GUSTAVO GOMEZ</v>
      </c>
      <c r="F12831" s="5"/>
      <c r="G12831" s="5"/>
    </row>
    <row r="12832" spans="1:7" ht="58.5" customHeight="1" x14ac:dyDescent="0.25">
      <c r="A12832" s="5" t="str">
        <f>"H0036744"</f>
        <v>H0036744</v>
      </c>
      <c r="B12832" s="5" t="str">
        <f t="shared" si="654"/>
        <v>UNIDAD DE LLAMADO DE ENFERMERIA PARA CAMA O BAÑO</v>
      </c>
      <c r="C12832" s="6">
        <v>643500</v>
      </c>
      <c r="D12832" s="5" t="s">
        <v>134</v>
      </c>
      <c r="E12832" s="5" t="str">
        <f t="shared" si="655"/>
        <v>ACTISALUD-PISO 9-GUSTAVO GOMEZ</v>
      </c>
      <c r="F12832" s="5"/>
      <c r="G12832" s="5"/>
    </row>
    <row r="12833" spans="1:7" ht="58.5" customHeight="1" x14ac:dyDescent="0.25">
      <c r="A12833" s="5" t="str">
        <f>"H0036745"</f>
        <v>H0036745</v>
      </c>
      <c r="B12833" s="5" t="str">
        <f t="shared" si="654"/>
        <v>UNIDAD DE LLAMADO DE ENFERMERIA PARA CAMA O BAÑO</v>
      </c>
      <c r="C12833" s="6">
        <v>643500</v>
      </c>
      <c r="D12833" s="5" t="s">
        <v>134</v>
      </c>
      <c r="E12833" s="5" t="str">
        <f t="shared" si="655"/>
        <v>ACTISALUD-PISO 9-GUSTAVO GOMEZ</v>
      </c>
      <c r="F12833" s="5"/>
      <c r="G12833" s="5"/>
    </row>
    <row r="12834" spans="1:7" ht="58.5" customHeight="1" x14ac:dyDescent="0.25">
      <c r="A12834" s="5" t="str">
        <f>"H0036746"</f>
        <v>H0036746</v>
      </c>
      <c r="B12834" s="5" t="str">
        <f t="shared" si="654"/>
        <v>UNIDAD DE LLAMADO DE ENFERMERIA PARA CAMA O BAÑO</v>
      </c>
      <c r="C12834" s="6">
        <v>643500</v>
      </c>
      <c r="D12834" s="5" t="s">
        <v>134</v>
      </c>
      <c r="E12834" s="5" t="str">
        <f t="shared" si="655"/>
        <v>ACTISALUD-PISO 9-GUSTAVO GOMEZ</v>
      </c>
      <c r="F12834" s="5"/>
      <c r="G12834" s="5"/>
    </row>
    <row r="12835" spans="1:7" ht="58.5" customHeight="1" x14ac:dyDescent="0.25">
      <c r="A12835" s="5" t="str">
        <f>"H0036747"</f>
        <v>H0036747</v>
      </c>
      <c r="B12835" s="5" t="str">
        <f t="shared" si="654"/>
        <v>UNIDAD DE LLAMADO DE ENFERMERIA PARA CAMA O BAÑO</v>
      </c>
      <c r="C12835" s="6">
        <v>643500</v>
      </c>
      <c r="D12835" s="5" t="s">
        <v>134</v>
      </c>
      <c r="E12835" s="5" t="str">
        <f t="shared" si="655"/>
        <v>ACTISALUD-PISO 9-GUSTAVO GOMEZ</v>
      </c>
      <c r="F12835" s="5"/>
      <c r="G12835" s="5"/>
    </row>
    <row r="12836" spans="1:7" ht="58.5" customHeight="1" x14ac:dyDescent="0.25">
      <c r="A12836" s="5" t="str">
        <f>"H0036748"</f>
        <v>H0036748</v>
      </c>
      <c r="B12836" s="5" t="str">
        <f t="shared" si="654"/>
        <v>UNIDAD DE LLAMADO DE ENFERMERIA PARA CAMA O BAÑO</v>
      </c>
      <c r="C12836" s="6">
        <v>643500</v>
      </c>
      <c r="D12836" s="5" t="s">
        <v>134</v>
      </c>
      <c r="E12836" s="5" t="str">
        <f t="shared" si="655"/>
        <v>ACTISALUD-PISO 9-GUSTAVO GOMEZ</v>
      </c>
      <c r="F12836" s="5"/>
      <c r="G12836" s="5"/>
    </row>
    <row r="12837" spans="1:7" ht="58.5" customHeight="1" x14ac:dyDescent="0.25">
      <c r="A12837" s="5" t="str">
        <f>"H0036749"</f>
        <v>H0036749</v>
      </c>
      <c r="B12837" s="5" t="str">
        <f t="shared" si="654"/>
        <v>UNIDAD DE LLAMADO DE ENFERMERIA PARA CAMA O BAÑO</v>
      </c>
      <c r="C12837" s="6">
        <v>643500</v>
      </c>
      <c r="D12837" s="5" t="s">
        <v>134</v>
      </c>
      <c r="E12837" s="5" t="str">
        <f t="shared" si="655"/>
        <v>ACTISALUD-PISO 9-GUSTAVO GOMEZ</v>
      </c>
      <c r="F12837" s="5"/>
      <c r="G12837" s="5"/>
    </row>
    <row r="12838" spans="1:7" ht="58.5" customHeight="1" x14ac:dyDescent="0.25">
      <c r="A12838" s="5" t="str">
        <f>"H0036750"</f>
        <v>H0036750</v>
      </c>
      <c r="B12838" s="5" t="str">
        <f t="shared" si="654"/>
        <v>UNIDAD DE LLAMADO DE ENFERMERIA PARA CAMA O BAÑO</v>
      </c>
      <c r="C12838" s="6">
        <v>643500</v>
      </c>
      <c r="D12838" s="5" t="s">
        <v>134</v>
      </c>
      <c r="E12838" s="5" t="str">
        <f t="shared" si="655"/>
        <v>ACTISALUD-PISO 9-GUSTAVO GOMEZ</v>
      </c>
      <c r="F12838" s="5"/>
      <c r="G12838" s="5"/>
    </row>
    <row r="12839" spans="1:7" ht="58.5" customHeight="1" x14ac:dyDescent="0.25">
      <c r="A12839" s="5" t="str">
        <f>"H0036751"</f>
        <v>H0036751</v>
      </c>
      <c r="B12839" s="5" t="str">
        <f t="shared" si="654"/>
        <v>UNIDAD DE LLAMADO DE ENFERMERIA PARA CAMA O BAÑO</v>
      </c>
      <c r="C12839" s="6">
        <v>643500</v>
      </c>
      <c r="D12839" s="5" t="s">
        <v>134</v>
      </c>
      <c r="E12839" s="5" t="str">
        <f t="shared" si="655"/>
        <v>ACTISALUD-PISO 9-GUSTAVO GOMEZ</v>
      </c>
      <c r="F12839" s="5"/>
      <c r="G12839" s="5"/>
    </row>
    <row r="12840" spans="1:7" ht="58.5" customHeight="1" x14ac:dyDescent="0.25">
      <c r="A12840" s="5" t="str">
        <f>"H0036752"</f>
        <v>H0036752</v>
      </c>
      <c r="B12840" s="5" t="str">
        <f t="shared" si="654"/>
        <v>UNIDAD DE LLAMADO DE ENFERMERIA PARA CAMA O BAÑO</v>
      </c>
      <c r="C12840" s="6">
        <v>643500</v>
      </c>
      <c r="D12840" s="5" t="s">
        <v>134</v>
      </c>
      <c r="E12840" s="5" t="str">
        <f t="shared" si="655"/>
        <v>ACTISALUD-PISO 9-GUSTAVO GOMEZ</v>
      </c>
      <c r="F12840" s="5"/>
      <c r="G12840" s="5"/>
    </row>
    <row r="12841" spans="1:7" ht="58.5" customHeight="1" x14ac:dyDescent="0.25">
      <c r="A12841" s="5" t="str">
        <f>"H0036753"</f>
        <v>H0036753</v>
      </c>
      <c r="B12841" s="5" t="str">
        <f t="shared" si="654"/>
        <v>UNIDAD DE LLAMADO DE ENFERMERIA PARA CAMA O BAÑO</v>
      </c>
      <c r="C12841" s="6">
        <v>643500</v>
      </c>
      <c r="D12841" s="5" t="s">
        <v>134</v>
      </c>
      <c r="E12841" s="5" t="str">
        <f t="shared" si="655"/>
        <v>ACTISALUD-PISO 9-GUSTAVO GOMEZ</v>
      </c>
      <c r="F12841" s="5"/>
      <c r="G12841" s="5"/>
    </row>
    <row r="12842" spans="1:7" ht="58.5" customHeight="1" x14ac:dyDescent="0.25">
      <c r="A12842" s="5" t="str">
        <f>"H0036754"</f>
        <v>H0036754</v>
      </c>
      <c r="B12842" s="5" t="str">
        <f t="shared" si="654"/>
        <v>UNIDAD DE LLAMADO DE ENFERMERIA PARA CAMA O BAÑO</v>
      </c>
      <c r="C12842" s="6">
        <v>643500</v>
      </c>
      <c r="D12842" s="5" t="s">
        <v>134</v>
      </c>
      <c r="E12842" s="5" t="str">
        <f t="shared" si="655"/>
        <v>ACTISALUD-PISO 9-GUSTAVO GOMEZ</v>
      </c>
      <c r="F12842" s="5"/>
      <c r="G12842" s="5"/>
    </row>
    <row r="12843" spans="1:7" ht="58.5" customHeight="1" x14ac:dyDescent="0.25">
      <c r="A12843" s="5" t="str">
        <f>"H0036755"</f>
        <v>H0036755</v>
      </c>
      <c r="B12843" s="5" t="str">
        <f t="shared" si="654"/>
        <v>UNIDAD DE LLAMADO DE ENFERMERIA PARA CAMA O BAÑO</v>
      </c>
      <c r="C12843" s="6">
        <v>643500</v>
      </c>
      <c r="D12843" s="5" t="s">
        <v>134</v>
      </c>
      <c r="E12843" s="5" t="str">
        <f t="shared" si="655"/>
        <v>ACTISALUD-PISO 9-GUSTAVO GOMEZ</v>
      </c>
      <c r="F12843" s="5"/>
      <c r="G12843" s="5"/>
    </row>
    <row r="12844" spans="1:7" ht="58.5" customHeight="1" x14ac:dyDescent="0.25">
      <c r="A12844" s="5" t="str">
        <f>"H0036756"</f>
        <v>H0036756</v>
      </c>
      <c r="B12844" s="5" t="str">
        <f t="shared" si="654"/>
        <v>UNIDAD DE LLAMADO DE ENFERMERIA PARA CAMA O BAÑO</v>
      </c>
      <c r="C12844" s="6">
        <v>643500</v>
      </c>
      <c r="D12844" s="5" t="s">
        <v>134</v>
      </c>
      <c r="E12844" s="5" t="str">
        <f t="shared" si="655"/>
        <v>ACTISALUD-PISO 9-GUSTAVO GOMEZ</v>
      </c>
      <c r="F12844" s="5"/>
      <c r="G12844" s="5"/>
    </row>
    <row r="12845" spans="1:7" ht="58.5" customHeight="1" x14ac:dyDescent="0.25">
      <c r="A12845" s="5" t="str">
        <f>"H0036757"</f>
        <v>H0036757</v>
      </c>
      <c r="B12845" s="5" t="str">
        <f t="shared" si="654"/>
        <v>UNIDAD DE LLAMADO DE ENFERMERIA PARA CAMA O BAÑO</v>
      </c>
      <c r="C12845" s="6">
        <v>643500</v>
      </c>
      <c r="D12845" s="5" t="s">
        <v>134</v>
      </c>
      <c r="E12845" s="5" t="str">
        <f t="shared" si="655"/>
        <v>ACTISALUD-PISO 9-GUSTAVO GOMEZ</v>
      </c>
      <c r="F12845" s="5"/>
      <c r="G12845" s="5"/>
    </row>
    <row r="12846" spans="1:7" ht="58.5" customHeight="1" x14ac:dyDescent="0.25">
      <c r="A12846" s="5" t="str">
        <f>"H0036758"</f>
        <v>H0036758</v>
      </c>
      <c r="B12846" s="5" t="str">
        <f t="shared" si="654"/>
        <v>UNIDAD DE LLAMADO DE ENFERMERIA PARA CAMA O BAÑO</v>
      </c>
      <c r="C12846" s="6">
        <v>643500</v>
      </c>
      <c r="D12846" s="5" t="s">
        <v>134</v>
      </c>
      <c r="E12846" s="5" t="str">
        <f t="shared" si="655"/>
        <v>ACTISALUD-PISO 9-GUSTAVO GOMEZ</v>
      </c>
      <c r="F12846" s="5"/>
      <c r="G12846" s="5"/>
    </row>
    <row r="12847" spans="1:7" ht="58.5" customHeight="1" x14ac:dyDescent="0.25">
      <c r="A12847" s="5" t="str">
        <f>"H0036759"</f>
        <v>H0036759</v>
      </c>
      <c r="B12847" s="5" t="str">
        <f t="shared" si="654"/>
        <v>UNIDAD DE LLAMADO DE ENFERMERIA PARA CAMA O BAÑO</v>
      </c>
      <c r="C12847" s="6">
        <v>643500</v>
      </c>
      <c r="D12847" s="5" t="s">
        <v>134</v>
      </c>
      <c r="E12847" s="5" t="str">
        <f t="shared" si="655"/>
        <v>ACTISALUD-PISO 9-GUSTAVO GOMEZ</v>
      </c>
      <c r="F12847" s="5"/>
      <c r="G12847" s="5"/>
    </row>
    <row r="12848" spans="1:7" ht="58.5" customHeight="1" x14ac:dyDescent="0.25">
      <c r="A12848" s="5" t="str">
        <f>"H0036760"</f>
        <v>H0036760</v>
      </c>
      <c r="B12848" s="5" t="str">
        <f t="shared" si="654"/>
        <v>UNIDAD DE LLAMADO DE ENFERMERIA PARA CAMA O BAÑO</v>
      </c>
      <c r="C12848" s="6">
        <v>643500</v>
      </c>
      <c r="D12848" s="5" t="s">
        <v>134</v>
      </c>
      <c r="E12848" s="5" t="str">
        <f t="shared" si="655"/>
        <v>ACTISALUD-PISO 9-GUSTAVO GOMEZ</v>
      </c>
      <c r="F12848" s="5"/>
      <c r="G12848" s="5"/>
    </row>
    <row r="12849" spans="1:7" ht="58.5" customHeight="1" x14ac:dyDescent="0.25">
      <c r="A12849" s="5" t="str">
        <f>"H0036761"</f>
        <v>H0036761</v>
      </c>
      <c r="B12849" s="5" t="str">
        <f t="shared" si="654"/>
        <v>UNIDAD DE LLAMADO DE ENFERMERIA PARA CAMA O BAÑO</v>
      </c>
      <c r="C12849" s="6">
        <v>643500</v>
      </c>
      <c r="D12849" s="5" t="s">
        <v>134</v>
      </c>
      <c r="E12849" s="5" t="str">
        <f t="shared" si="655"/>
        <v>ACTISALUD-PISO 9-GUSTAVO GOMEZ</v>
      </c>
      <c r="F12849" s="5"/>
      <c r="G12849" s="5"/>
    </row>
    <row r="12850" spans="1:7" ht="58.5" customHeight="1" x14ac:dyDescent="0.25">
      <c r="A12850" s="5" t="str">
        <f>"H0036867"</f>
        <v>H0036867</v>
      </c>
      <c r="B12850" s="5" t="str">
        <f>"PANTALLA RECEPTORA DE LLAMADO DE ENFERMERIA"</f>
        <v>PANTALLA RECEPTORA DE LLAMADO DE ENFERMERIA</v>
      </c>
      <c r="C12850" s="6">
        <v>4895000</v>
      </c>
      <c r="D12850" s="5" t="s">
        <v>200</v>
      </c>
      <c r="E12850" s="5" t="str">
        <f t="shared" si="655"/>
        <v>ACTISALUD-PISO 9-GUSTAVO GOMEZ</v>
      </c>
      <c r="F12850" s="5"/>
      <c r="G12850" s="5"/>
    </row>
    <row r="12851" spans="1:7" ht="58.5" customHeight="1" x14ac:dyDescent="0.25">
      <c r="A12851" s="5" t="str">
        <f>"H0036868"</f>
        <v>H0036868</v>
      </c>
      <c r="B12851" s="5" t="str">
        <f>"PANTALLA RECEPTORA DE LLAMADO DE ENFERMERIA"</f>
        <v>PANTALLA RECEPTORA DE LLAMADO DE ENFERMERIA</v>
      </c>
      <c r="C12851" s="6">
        <v>4895000</v>
      </c>
      <c r="D12851" s="5" t="s">
        <v>200</v>
      </c>
      <c r="E12851" s="5" t="str">
        <f t="shared" si="655"/>
        <v>ACTISALUD-PISO 9-GUSTAVO GOMEZ</v>
      </c>
      <c r="F12851" s="5"/>
      <c r="G12851" s="5"/>
    </row>
    <row r="12852" spans="1:7" ht="58.5" customHeight="1" x14ac:dyDescent="0.25">
      <c r="A12852" s="5" t="str">
        <f>"H0037149"</f>
        <v>H0037149</v>
      </c>
      <c r="B12852" s="5" t="str">
        <f>"TALLIMETRO CAPACIDAD 20-205 CM (DONACION)"</f>
        <v>TALLIMETRO CAPACIDAD 20-205 CM (DONACION)</v>
      </c>
      <c r="C12852" s="6">
        <v>1254705.99</v>
      </c>
      <c r="D12852" s="5" t="s">
        <v>136</v>
      </c>
      <c r="E12852" s="5" t="str">
        <f t="shared" si="655"/>
        <v>ACTISALUD-PISO 9-GUSTAVO GOMEZ</v>
      </c>
      <c r="F12852" s="5"/>
      <c r="G12852" s="5"/>
    </row>
    <row r="12853" spans="1:7" ht="58.5" customHeight="1" x14ac:dyDescent="0.25">
      <c r="A12853" s="5" t="str">
        <f>"H0037167"</f>
        <v>H0037167</v>
      </c>
      <c r="B12853" s="5" t="str">
        <f>"BASCULA ADULTO"</f>
        <v>BASCULA ADULTO</v>
      </c>
      <c r="C12853" s="6">
        <v>3588385.98</v>
      </c>
      <c r="D12853" s="5" t="s">
        <v>136</v>
      </c>
      <c r="E12853" s="5" t="str">
        <f t="shared" si="655"/>
        <v>ACTISALUD-PISO 9-GUSTAVO GOMEZ</v>
      </c>
      <c r="F12853" s="5"/>
      <c r="G12853" s="5"/>
    </row>
    <row r="12854" spans="1:7" ht="58.5" customHeight="1" x14ac:dyDescent="0.25">
      <c r="A12854" s="5" t="str">
        <f>"H0037398"</f>
        <v>H0037398</v>
      </c>
      <c r="B12854" s="5" t="str">
        <f>"VENTILADOR DE PARED"</f>
        <v>VENTILADOR DE PARED</v>
      </c>
      <c r="C12854" s="6">
        <v>286671</v>
      </c>
      <c r="D12854" s="5" t="s">
        <v>138</v>
      </c>
      <c r="E12854" s="5" t="str">
        <f t="shared" si="655"/>
        <v>ACTISALUD-PISO 9-GUSTAVO GOMEZ</v>
      </c>
      <c r="F12854" s="5"/>
      <c r="G12854" s="5"/>
    </row>
    <row r="12855" spans="1:7" ht="58.5" customHeight="1" x14ac:dyDescent="0.25">
      <c r="A12855" s="5" t="str">
        <f>"H0037559"</f>
        <v>H0037559</v>
      </c>
      <c r="B12855" s="5" t="str">
        <f>"AIRE ACONDICIONADO INVERTER 220V MINI SPLIT - TENSION 220V - FUNCION ECO - CAPACIDAD REFRIGERACION 1350 - 1450 - CAPACIDAD 12.000 BTU."</f>
        <v>AIRE ACONDICIONADO INVERTER 220V MINI SPLIT - TENSION 220V - FUNCION ECO - CAPACIDAD REFRIGERACION 1350 - 1450 - CAPACIDAD 12.000 BTU.</v>
      </c>
      <c r="C12855" s="6">
        <v>3261552</v>
      </c>
      <c r="D12855" s="5" t="s">
        <v>545</v>
      </c>
      <c r="E12855" s="5" t="str">
        <f t="shared" si="655"/>
        <v>ACTISALUD-PISO 9-GUSTAVO GOMEZ</v>
      </c>
      <c r="F12855" s="5"/>
      <c r="G12855" s="5"/>
    </row>
    <row r="12856" spans="1:7" ht="58.5" customHeight="1" x14ac:dyDescent="0.25">
      <c r="A12856" s="5" t="str">
        <f>"H0037713"</f>
        <v>H0037713</v>
      </c>
      <c r="B12856" s="5" t="str">
        <f>"SILLA GERENTE NIZA MEC. BASCULANTE CON BRAZOS."</f>
        <v>SILLA GERENTE NIZA MEC. BASCULANTE CON BRAZOS.</v>
      </c>
      <c r="C12856" s="6">
        <v>710000.01</v>
      </c>
      <c r="D12856" s="5" t="s">
        <v>30</v>
      </c>
      <c r="E12856" s="5" t="str">
        <f t="shared" si="655"/>
        <v>ACTISALUD-PISO 9-GUSTAVO GOMEZ</v>
      </c>
      <c r="F12856" s="5"/>
      <c r="G12856" s="5"/>
    </row>
    <row r="12857" spans="1:7" ht="58.5" customHeight="1" x14ac:dyDescent="0.25">
      <c r="A12857" s="5" t="str">
        <f>"V000028"</f>
        <v>V000028</v>
      </c>
      <c r="B12857" s="5" t="str">
        <f t="shared" ref="B12857:B12868" si="656">"LAMPARA DE PASILLO DE LLAMADO DE ENFERMERIA"</f>
        <v>LAMPARA DE PASILLO DE LLAMADO DE ENFERMERIA</v>
      </c>
      <c r="C12857" s="6">
        <v>934000</v>
      </c>
      <c r="D12857" s="5" t="s">
        <v>205</v>
      </c>
      <c r="E12857" s="5" t="str">
        <f t="shared" si="655"/>
        <v>ACTISALUD-PISO 9-GUSTAVO GOMEZ</v>
      </c>
      <c r="F12857" s="5"/>
      <c r="G12857" s="5"/>
    </row>
    <row r="12858" spans="1:7" ht="58.5" customHeight="1" x14ac:dyDescent="0.25">
      <c r="A12858" s="5" t="str">
        <f>"V000029"</f>
        <v>V000029</v>
      </c>
      <c r="B12858" s="5" t="str">
        <f t="shared" si="656"/>
        <v>LAMPARA DE PASILLO DE LLAMADO DE ENFERMERIA</v>
      </c>
      <c r="C12858" s="6">
        <v>934000</v>
      </c>
      <c r="D12858" s="5" t="s">
        <v>205</v>
      </c>
      <c r="E12858" s="5" t="str">
        <f t="shared" si="655"/>
        <v>ACTISALUD-PISO 9-GUSTAVO GOMEZ</v>
      </c>
      <c r="F12858" s="5"/>
      <c r="G12858" s="5"/>
    </row>
    <row r="12859" spans="1:7" ht="58.5" customHeight="1" x14ac:dyDescent="0.25">
      <c r="A12859" s="5" t="str">
        <f>"V000030"</f>
        <v>V000030</v>
      </c>
      <c r="B12859" s="5" t="str">
        <f t="shared" si="656"/>
        <v>LAMPARA DE PASILLO DE LLAMADO DE ENFERMERIA</v>
      </c>
      <c r="C12859" s="6">
        <v>934000</v>
      </c>
      <c r="D12859" s="5" t="s">
        <v>205</v>
      </c>
      <c r="E12859" s="5" t="str">
        <f t="shared" si="655"/>
        <v>ACTISALUD-PISO 9-GUSTAVO GOMEZ</v>
      </c>
      <c r="F12859" s="5"/>
      <c r="G12859" s="5"/>
    </row>
    <row r="12860" spans="1:7" ht="58.5" customHeight="1" x14ac:dyDescent="0.25">
      <c r="A12860" s="5" t="str">
        <f>"V000031"</f>
        <v>V000031</v>
      </c>
      <c r="B12860" s="5" t="str">
        <f t="shared" si="656"/>
        <v>LAMPARA DE PASILLO DE LLAMADO DE ENFERMERIA</v>
      </c>
      <c r="C12860" s="6">
        <v>934000</v>
      </c>
      <c r="D12860" s="5" t="s">
        <v>205</v>
      </c>
      <c r="E12860" s="5" t="str">
        <f t="shared" si="655"/>
        <v>ACTISALUD-PISO 9-GUSTAVO GOMEZ</v>
      </c>
      <c r="F12860" s="5"/>
      <c r="G12860" s="5"/>
    </row>
    <row r="12861" spans="1:7" ht="58.5" customHeight="1" x14ac:dyDescent="0.25">
      <c r="A12861" s="5" t="str">
        <f>"V000032"</f>
        <v>V000032</v>
      </c>
      <c r="B12861" s="5" t="str">
        <f t="shared" si="656"/>
        <v>LAMPARA DE PASILLO DE LLAMADO DE ENFERMERIA</v>
      </c>
      <c r="C12861" s="6">
        <v>934000</v>
      </c>
      <c r="D12861" s="5" t="s">
        <v>205</v>
      </c>
      <c r="E12861" s="5" t="str">
        <f t="shared" si="655"/>
        <v>ACTISALUD-PISO 9-GUSTAVO GOMEZ</v>
      </c>
      <c r="F12861" s="5"/>
      <c r="G12861" s="5"/>
    </row>
    <row r="12862" spans="1:7" ht="58.5" customHeight="1" x14ac:dyDescent="0.25">
      <c r="A12862" s="5" t="str">
        <f>"V000033"</f>
        <v>V000033</v>
      </c>
      <c r="B12862" s="5" t="str">
        <f t="shared" si="656"/>
        <v>LAMPARA DE PASILLO DE LLAMADO DE ENFERMERIA</v>
      </c>
      <c r="C12862" s="6">
        <v>934000</v>
      </c>
      <c r="D12862" s="5" t="s">
        <v>205</v>
      </c>
      <c r="E12862" s="5" t="str">
        <f t="shared" si="655"/>
        <v>ACTISALUD-PISO 9-GUSTAVO GOMEZ</v>
      </c>
      <c r="F12862" s="5"/>
      <c r="G12862" s="5"/>
    </row>
    <row r="12863" spans="1:7" ht="58.5" customHeight="1" x14ac:dyDescent="0.25">
      <c r="A12863" s="5" t="str">
        <f>"V000034"</f>
        <v>V000034</v>
      </c>
      <c r="B12863" s="5" t="str">
        <f t="shared" si="656"/>
        <v>LAMPARA DE PASILLO DE LLAMADO DE ENFERMERIA</v>
      </c>
      <c r="C12863" s="6">
        <v>934000</v>
      </c>
      <c r="D12863" s="5" t="s">
        <v>205</v>
      </c>
      <c r="E12863" s="5" t="str">
        <f t="shared" si="655"/>
        <v>ACTISALUD-PISO 9-GUSTAVO GOMEZ</v>
      </c>
      <c r="F12863" s="5"/>
      <c r="G12863" s="5"/>
    </row>
    <row r="12864" spans="1:7" ht="58.5" customHeight="1" x14ac:dyDescent="0.25">
      <c r="A12864" s="5" t="str">
        <f>"V000035"</f>
        <v>V000035</v>
      </c>
      <c r="B12864" s="5" t="str">
        <f t="shared" si="656"/>
        <v>LAMPARA DE PASILLO DE LLAMADO DE ENFERMERIA</v>
      </c>
      <c r="C12864" s="6">
        <v>934000</v>
      </c>
      <c r="D12864" s="5" t="s">
        <v>205</v>
      </c>
      <c r="E12864" s="5" t="str">
        <f t="shared" si="655"/>
        <v>ACTISALUD-PISO 9-GUSTAVO GOMEZ</v>
      </c>
      <c r="F12864" s="5"/>
      <c r="G12864" s="5"/>
    </row>
    <row r="12865" spans="1:7" ht="58.5" customHeight="1" x14ac:dyDescent="0.25">
      <c r="A12865" s="5" t="str">
        <f>"V000036"</f>
        <v>V000036</v>
      </c>
      <c r="B12865" s="5" t="str">
        <f t="shared" si="656"/>
        <v>LAMPARA DE PASILLO DE LLAMADO DE ENFERMERIA</v>
      </c>
      <c r="C12865" s="6">
        <v>934000</v>
      </c>
      <c r="D12865" s="5" t="s">
        <v>205</v>
      </c>
      <c r="E12865" s="5" t="str">
        <f t="shared" si="655"/>
        <v>ACTISALUD-PISO 9-GUSTAVO GOMEZ</v>
      </c>
      <c r="F12865" s="5"/>
      <c r="G12865" s="5"/>
    </row>
    <row r="12866" spans="1:7" ht="58.5" customHeight="1" x14ac:dyDescent="0.25">
      <c r="A12866" s="5" t="str">
        <f>"V000037"</f>
        <v>V000037</v>
      </c>
      <c r="B12866" s="5" t="str">
        <f t="shared" si="656"/>
        <v>LAMPARA DE PASILLO DE LLAMADO DE ENFERMERIA</v>
      </c>
      <c r="C12866" s="6">
        <v>934000</v>
      </c>
      <c r="D12866" s="5" t="s">
        <v>205</v>
      </c>
      <c r="E12866" s="5" t="str">
        <f t="shared" si="655"/>
        <v>ACTISALUD-PISO 9-GUSTAVO GOMEZ</v>
      </c>
      <c r="F12866" s="5"/>
      <c r="G12866" s="5"/>
    </row>
    <row r="12867" spans="1:7" ht="58.5" customHeight="1" x14ac:dyDescent="0.25">
      <c r="A12867" s="5" t="str">
        <f>"V000038"</f>
        <v>V000038</v>
      </c>
      <c r="B12867" s="5" t="str">
        <f t="shared" si="656"/>
        <v>LAMPARA DE PASILLO DE LLAMADO DE ENFERMERIA</v>
      </c>
      <c r="C12867" s="6">
        <v>934000</v>
      </c>
      <c r="D12867" s="5" t="s">
        <v>205</v>
      </c>
      <c r="E12867" s="5" t="str">
        <f t="shared" si="655"/>
        <v>ACTISALUD-PISO 9-GUSTAVO GOMEZ</v>
      </c>
      <c r="F12867" s="5"/>
      <c r="G12867" s="5"/>
    </row>
    <row r="12868" spans="1:7" ht="58.5" customHeight="1" x14ac:dyDescent="0.25">
      <c r="A12868" s="5" t="str">
        <f>"V000039"</f>
        <v>V000039</v>
      </c>
      <c r="B12868" s="5" t="str">
        <f t="shared" si="656"/>
        <v>LAMPARA DE PASILLO DE LLAMADO DE ENFERMERIA</v>
      </c>
      <c r="C12868" s="6">
        <v>934000</v>
      </c>
      <c r="D12868" s="5" t="s">
        <v>205</v>
      </c>
      <c r="E12868" s="5" t="str">
        <f t="shared" si="655"/>
        <v>ACTISALUD-PISO 9-GUSTAVO GOMEZ</v>
      </c>
      <c r="F12868" s="5"/>
      <c r="G12868" s="5"/>
    </row>
    <row r="12869" spans="1:7" ht="58.5" customHeight="1" x14ac:dyDescent="0.25">
      <c r="A12869" s="5" t="str">
        <f>"H0000253"</f>
        <v>H0000253</v>
      </c>
      <c r="B12869" s="5" t="str">
        <f>"NEGATOSCOPIO"</f>
        <v>NEGATOSCOPIO</v>
      </c>
      <c r="C12869" s="6">
        <v>15208</v>
      </c>
      <c r="D12869" s="5"/>
      <c r="E12869" s="5" t="str">
        <f t="shared" ref="E12869:E12932" si="657">"ACTISALUD -NEUROCIRUGIA - GUSTAVO GOMEZ"</f>
        <v>ACTISALUD -NEUROCIRUGIA - GUSTAVO GOMEZ</v>
      </c>
      <c r="F12869" s="5" t="str">
        <f>"Descripcion: NEGATOSCOPIO DE 1 CUERPO Estado: Bueno Placa anterior: 000006010 Material: METALICA Y ACRILICO Color: GRIS Referencia:  Observacion:  Placa padre: Tipo adquisicion: Entidad"</f>
        <v>Descripcion: NEGATOSCOPIO DE 1 CUERPO Estado: Bueno Placa anterior: 000006010 Material: METALICA Y ACRILICO Color: GRIS Referencia:  Observacion:  Placa padre: Tipo adquisicion: Entidad</v>
      </c>
      <c r="G12869" s="5" t="str">
        <f>"1 CUERPO"</f>
        <v>1 CUERPO</v>
      </c>
    </row>
    <row r="12870" spans="1:7" ht="58.5" customHeight="1" x14ac:dyDescent="0.25">
      <c r="A12870" s="5" t="str">
        <f>"H0002014"</f>
        <v>H0002014</v>
      </c>
      <c r="B12870" s="5" t="str">
        <f>"CARRO DE PARO"</f>
        <v>CARRO DE PARO</v>
      </c>
      <c r="C12870" s="6">
        <v>1682000</v>
      </c>
      <c r="D12870" s="5"/>
      <c r="E12870" s="5" t="str">
        <f t="shared" si="657"/>
        <v>ACTISALUD -NEUROCIRUGIA - GUSTAVO GOMEZ</v>
      </c>
      <c r="F12870" s="5" t="str">
        <f>"Descripcion:CARRO DE PARO DE 4 GAVETAS CON BASE PARA MONITOR , CON RUEDAS Estado: Excelente Placa anterior: 000039048 Material: METALICA Y ACERO INOXIDABLE Color: CREMA Referencia:  Observacion: ESTAN GUARDADAS EN SALA DE MAQUINAS Placa padre:  Tipo adqui"&amp; "sicion : Entidad"</f>
        <v>Descripcion:CARRO DE PARO DE 4 GAVETAS CON BASE PARA MONITOR , CON RUEDAS Estado: Excelente Placa anterior: 000039048 Material: METALICA Y ACERO INOXIDABLE Color: CREMA Referencia:  Observacion: ESTAN GUARDADAS EN SALA DE MAQUINAS Placa padre:  Tipo adquisicion : Entidad</v>
      </c>
      <c r="G12870" s="5"/>
    </row>
    <row r="12871" spans="1:7" ht="58.5" customHeight="1" x14ac:dyDescent="0.25">
      <c r="A12871" s="5" t="str">
        <f>"H0002693"</f>
        <v>H0002693</v>
      </c>
      <c r="B12871" s="5" t="str">
        <f>"COMPUTADOR PORTATIL"</f>
        <v>COMPUTADOR PORTATIL</v>
      </c>
      <c r="C12871" s="6">
        <v>2250000</v>
      </c>
      <c r="D12871" s="5"/>
      <c r="E12871" s="5" t="str">
        <f t="shared" si="657"/>
        <v>ACTISALUD -NEUROCIRUGIA - GUSTAVO GOMEZ</v>
      </c>
      <c r="F12871" s="5" t="str">
        <f>"Descripcion:PC PORTATIL CON PROCESADOR 15 500gb DISCO DURO 4GB EN MEMORIA RAM Estado: Excelente Placa anterior: 000037048 Material: PASTA Color: NEGRO Referencia:  Observacion: PANTALLA DE 14 , PROCESADOR INTEL CORE i5 Placa padre:  Tipo adquisicion : Ent"&amp; "idad"</f>
        <v>Descripcion:PC PORTATIL CON PROCESADOR 15 500gb DISCO DURO 4GB EN MEMORIA RAM Estado: Excelente Placa anterior: 000037048 Material: PASTA Color: NEGRO Referencia:  Observacion: PANTALLA DE 14 , PROCESADOR INTEL CORE i5 Placa padre:  Tipo adquisicion : Entidad</v>
      </c>
      <c r="G12871" s="5" t="str">
        <f>"CB0505084E"</f>
        <v>CB0505084E</v>
      </c>
    </row>
    <row r="12872" spans="1:7" ht="58.5" customHeight="1" x14ac:dyDescent="0.25">
      <c r="A12872" s="5" t="str">
        <f>"H0002916"</f>
        <v>H0002916</v>
      </c>
      <c r="B12872" s="5" t="str">
        <f>"IMPRESORA LASER"</f>
        <v>IMPRESORA LASER</v>
      </c>
      <c r="C12872" s="6">
        <v>657102</v>
      </c>
      <c r="D12872" s="5" t="s">
        <v>240</v>
      </c>
      <c r="E12872" s="5" t="str">
        <f t="shared" si="657"/>
        <v>ACTISALUD -NEUROCIRUGIA - GUSTAVO GOMEZ</v>
      </c>
      <c r="F12872" s="5" t="str">
        <f>"Descripcion: IMPRESORA LASER EN BLANCO Y NEGRO CON CAPACIDAD DE IMPRESION A DOBLE CARA AUTOMATICA, COMPATIBLE CON WINDOWS XP Y WINDOWS 7 RECOMENDADA (HP1006) Estado: Bueno Placa anterior: 000030012 Material: PASTA Color: NEGRO Referencia:  Observacion:  P"&amp; "laca padre: Tipo adquisicion: Entidad"</f>
        <v>Descripcion: IMPRESORA LASER EN BLANCO Y NEGRO CON CAPACIDAD DE IMPRESION A DOBLE CARA AUTOMATICA, COMPATIBLE CON WINDOWS XP Y WINDOWS 7 RECOMENDADA (HP1006) Estado: Bueno Placa anterior: 000030012 Material: PASTA Color: NEGRO Referencia:  Observacion:  Placa padre: Tipo adquisicion: Entidad</v>
      </c>
      <c r="G12872" s="5" t="str">
        <f>"LASER JET P1606dn"</f>
        <v>LASER JET P1606dn</v>
      </c>
    </row>
    <row r="12873" spans="1:7" ht="58.5" customHeight="1" x14ac:dyDescent="0.25">
      <c r="A12873" s="5" t="str">
        <f>"H0002982"</f>
        <v>H0002982</v>
      </c>
      <c r="B12873" s="5" t="str">
        <f>"OXIMETRO"</f>
        <v>OXIMETRO</v>
      </c>
      <c r="C12873" s="6">
        <v>2565000</v>
      </c>
      <c r="D12873" s="5" t="s">
        <v>696</v>
      </c>
      <c r="E12873" s="5" t="str">
        <f t="shared" si="657"/>
        <v>ACTISALUD -NEUROCIRUGIA - GUSTAVO GOMEZ</v>
      </c>
      <c r="F12873" s="5" t="str">
        <f>"Descripcion: OXIMETRO DE PULSO MARCA KONICA MINOLTA MODELO PULSO X Estado: Excelente Placa anterior: 000029248 Material: PASTA Color: BLANCO Y AZUL Referencia:  Observacion:  Placa padre: Tipo adquisicion: Entidad"</f>
        <v>Descripcion: OXIMETRO DE PULSO MARCA KONICA MINOLTA MODELO PULSO X Estado: Excelente Placa anterior: 000029248 Material: PASTA Color: BLANCO Y AZUL Referencia:  Observacion:  Placa padre: Tipo adquisicion: Entidad</v>
      </c>
      <c r="G12873" s="5" t="str">
        <f>"PULSOX 2"</f>
        <v>PULSOX 2</v>
      </c>
    </row>
    <row r="12874" spans="1:7" ht="58.5" customHeight="1" x14ac:dyDescent="0.25">
      <c r="A12874" s="5" t="str">
        <f>"H0003471"</f>
        <v>H0003471</v>
      </c>
      <c r="B12874" s="5" t="str">
        <f>"ESTANTE METALICO 7 ENTREPAÑOS"</f>
        <v>ESTANTE METALICO 7 ENTREPAÑOS</v>
      </c>
      <c r="C12874" s="6">
        <v>29533.23</v>
      </c>
      <c r="D12874" s="5"/>
      <c r="E12874" s="5" t="str">
        <f t="shared" si="657"/>
        <v>ACTISALUD -NEUROCIRUGIA - GUSTAVO GOMEZ</v>
      </c>
      <c r="F12874" s="5" t="str">
        <f>"Descripcion: ESTANTERIA PARA HISTORIAS CLINICAS (ALTURA 2 METROS PANEL 90 CMS LARGO X 30 CMS ANCHO DISTANCIA ENTRE PANEL 30 CMS) Estado: Bueno Placa anterior: 000001803 Material: METALICO Color: GRIS Referencia:  Observacion:  Placa padre: Tipo adquisicio"&amp; "n: Entidad"</f>
        <v>Descripcion: ESTANTERIA PARA HISTORIAS CLINICAS (ALTURA 2 METROS PANEL 90 CMS LARGO X 30 CMS ANCHO DISTANCIA ENTRE PANEL 30 CMS) Estado: Bueno Placa anterior: 000001803 Material: METALICO Color: GRIS Referencia:  Observacion:  Placa padre: Tipo adquisicion: Entidad</v>
      </c>
      <c r="G12874" s="5"/>
    </row>
    <row r="12875" spans="1:7" ht="58.5" customHeight="1" x14ac:dyDescent="0.25">
      <c r="A12875" s="5" t="str">
        <f>"H0003472"</f>
        <v>H0003472</v>
      </c>
      <c r="B12875" s="5" t="str">
        <f>"ESTANTE METALICO 7 ENTREPAÑOS"</f>
        <v>ESTANTE METALICO 7 ENTREPAÑOS</v>
      </c>
      <c r="C12875" s="6">
        <v>29533.23</v>
      </c>
      <c r="D12875" s="5"/>
      <c r="E12875" s="5" t="str">
        <f t="shared" si="657"/>
        <v>ACTISALUD -NEUROCIRUGIA - GUSTAVO GOMEZ</v>
      </c>
      <c r="F12875" s="5" t="str">
        <f>"Descripcion: ESTANTERIA PARA HISTORIAS CLINICAS (ALTURA 2 METROS PANEL 90 CMS LARGO X 30 CMS ANCHO DISTANCIA ENTRE PANEL 30 CMS) Estado: Bueno Placa anterior: 000001780 Material: METALICO Color: GRIS Referencia:  Observacion:  Placa padre: Tipo adquisicio"&amp; "n: Entidad"</f>
        <v>Descripcion: ESTANTERIA PARA HISTORIAS CLINICAS (ALTURA 2 METROS PANEL 90 CMS LARGO X 30 CMS ANCHO DISTANCIA ENTRE PANEL 30 CMS) Estado: Bueno Placa anterior: 000001780 Material: METALICO Color: GRIS Referencia:  Observacion:  Placa padre: Tipo adquisicion: Entidad</v>
      </c>
      <c r="G12875" s="5"/>
    </row>
    <row r="12876" spans="1:7" ht="58.5" customHeight="1" x14ac:dyDescent="0.25">
      <c r="A12876" s="5" t="str">
        <f>"H0005069"</f>
        <v>H0005069</v>
      </c>
      <c r="B12876" s="5" t="str">
        <f>"MESA METALICA PARA COMPUTADOR"</f>
        <v>MESA METALICA PARA COMPUTADOR</v>
      </c>
      <c r="C12876" s="6">
        <v>707600</v>
      </c>
      <c r="D12876" s="5" t="s">
        <v>34</v>
      </c>
      <c r="E12876" s="5" t="str">
        <f t="shared" si="657"/>
        <v>ACTISALUD -NEUROCIRUGIA - GUSTAVO GOMEZ</v>
      </c>
      <c r="F12876" s="5" t="str">
        <f>"Descripcion: 3 GAVETAS Estado: Bueno Placa anterior: 000030387 Material: METALICO Color: NEGRO Referencia:  Observacion:  Placa padre: Tipo adquisicion: Entidad"</f>
        <v>Descripcion: 3 GAVETAS Estado: Bueno Placa anterior: 000030387 Material: METALICO Color: NEGRO Referencia:  Observacion:  Placa padre: Tipo adquisicion: Entidad</v>
      </c>
      <c r="G12876" s="5"/>
    </row>
    <row r="12877" spans="1:7" ht="58.5" customHeight="1" x14ac:dyDescent="0.25">
      <c r="A12877" s="5" t="str">
        <f>"H0008014"</f>
        <v>H0008014</v>
      </c>
      <c r="B12877" s="5" t="str">
        <f>"SILLON (SOFA)"</f>
        <v>SILLON (SOFA)</v>
      </c>
      <c r="C12877" s="6">
        <v>21400</v>
      </c>
      <c r="D12877" s="5"/>
      <c r="E12877" s="5" t="str">
        <f t="shared" si="657"/>
        <v>ACTISALUD -NEUROCIRUGIA - GUSTAVO GOMEZ</v>
      </c>
      <c r="F12877" s="5" t="str">
        <f>"Descripcion: SOFA LIZZY TAPIZADO EN NEGREO DE 3 CUERPOS Estado: Bueno Placa anterior: 000027404 Material: MADERA, TAPIZADO EN SEMICUERO Color: NEGRO Referencia:  Observacion:  Placa padre: Tipo adquisicion: Entidad"</f>
        <v>Descripcion: SOFA LIZZY TAPIZADO EN NEGREO DE 3 CUERPOS Estado: Bueno Placa anterior: 000027404 Material: MADERA, TAPIZADO EN SEMICUERO Color: NEGRO Referencia:  Observacion:  Placa padre: Tipo adquisicion: Entidad</v>
      </c>
      <c r="G12877" s="5"/>
    </row>
    <row r="12878" spans="1:7" ht="58.5" customHeight="1" x14ac:dyDescent="0.25">
      <c r="A12878" s="5" t="str">
        <f>"H0008016"</f>
        <v>H0008016</v>
      </c>
      <c r="B12878" s="5" t="str">
        <f>"SILLA INTERLOCUTORA (FIJA) SIN BRAZOS"</f>
        <v>SILLA INTERLOCUTORA (FIJA) SIN BRAZOS</v>
      </c>
      <c r="C12878" s="6">
        <v>153000</v>
      </c>
      <c r="D12878" s="5"/>
      <c r="E12878" s="5" t="str">
        <f t="shared" si="657"/>
        <v>ACTISALUD -NEUROCIRUGIA - GUSTAVO GOMEZ</v>
      </c>
      <c r="F12878" s="5" t="str">
        <f>"Descripcion: SILLA INTERLOCUTORA (FIJA) SIN BRAZOS COLOR MARRON Estado: Bueno Placa anterior: 000025426 Material: METALICO, TAPIZADO EN SEMICUERO Color: MARRON Referencia:  Observacion:  Placa padre: Tipo adquisicion: Entidad"</f>
        <v>Descripcion: SILLA INTERLOCUTORA (FIJA) SIN BRAZOS COLOR MARRON Estado: Bueno Placa anterior: 000025426 Material: METALICO, TAPIZADO EN SEMICUERO Color: MARRON Referencia:  Observacion:  Placa padre: Tipo adquisicion: Entidad</v>
      </c>
      <c r="G12878" s="5"/>
    </row>
    <row r="12879" spans="1:7" ht="58.5" customHeight="1" x14ac:dyDescent="0.25">
      <c r="A12879" s="5" t="str">
        <f>"H0008018"</f>
        <v>H0008018</v>
      </c>
      <c r="B12879" s="5" t="str">
        <f>"LOCKER DE 6 COMPARTIMIENTOS"</f>
        <v>LOCKER DE 6 COMPARTIMIENTOS</v>
      </c>
      <c r="C12879" s="6">
        <v>585988</v>
      </c>
      <c r="D12879" s="5" t="s">
        <v>60</v>
      </c>
      <c r="E12879" s="5" t="str">
        <f t="shared" si="657"/>
        <v>ACTISALUD -NEUROCIRUGIA - GUSTAVO GOMEZ</v>
      </c>
      <c r="F12879" s="5" t="str">
        <f>"Descripcion: LOCKER DE LAMINA CALIBRE 22 C/6 CASILLEROS, PORTACANDADO, MANIJA PROFUNDIZADA MEDIDAS 1.80X1.90 DE ANCHO X 35 DE FONDO DE PINTURA Estado: Bueno Placa anterior: 000029194 Material: METALICO Color: GRIS Referencia:  Observacion:  Placa padre: T"&amp; "ipo adquisicion: Entidad"</f>
        <v>Descripcion: LOCKER DE LAMINA CALIBRE 22 C/6 CASILLEROS, PORTACANDADO, MANIJA PROFUNDIZADA MEDIDAS 1.80X1.90 DE ANCHO X 35 DE FONDO DE PINTURA Estado: Bueno Placa anterior: 000029194 Material: METALICO Color: GRIS Referencia:  Observacion:  Placa padre: Tipo adquisicion: Entidad</v>
      </c>
      <c r="G12879" s="5"/>
    </row>
    <row r="12880" spans="1:7" ht="58.5" customHeight="1" x14ac:dyDescent="0.25">
      <c r="A12880" s="5" t="str">
        <f>"H0008020"</f>
        <v>H0008020</v>
      </c>
      <c r="B12880" s="5" t="str">
        <f>"BALANZA DIGITAL DE PISO CAPACIDAD150 KILOS"</f>
        <v>BALANZA DIGITAL DE PISO CAPACIDAD150 KILOS</v>
      </c>
      <c r="C12880" s="6">
        <v>1700000</v>
      </c>
      <c r="D12880" s="5" t="s">
        <v>63</v>
      </c>
      <c r="E12880" s="5" t="str">
        <f t="shared" si="657"/>
        <v>ACTISALUD -NEUROCIRUGIA - GUSTAVO GOMEZ</v>
      </c>
      <c r="F12880" s="5" t="str">
        <f>"Descripcion: Bascula de piso  plataforma sólida y antideslizante con capacidad aproximada mínimo 150 kilos, tipo médico. La graduación de las escalas para el peso deberá estar en libras y kilogramos, pantalla de visualización de los datos. DIGITAL Estado:"&amp; " Bueno Placa anterior: 000038003 Material: METALICO Color: BLANCO Referencia:  Observacion:  Placa padre: Tipo adquisicion: Entidad"</f>
        <v>Descripcion: Bascula de piso  plataforma sólida y antideslizante con capacidad aproximada mínimo 150 kilos, tipo médico. La graduación de las escalas para el peso deberá estar en libras y kilogramos, pantalla de visualización de los datos. DIGITAL Estado: Bueno Placa anterior: 000038003 Material: METALICO Color: BLANCO Referencia:  Observacion:  Placa padre: Tipo adquisicion: Entidad</v>
      </c>
      <c r="G12880" s="5" t="str">
        <f>"349 KLX"</f>
        <v>349 KLX</v>
      </c>
    </row>
    <row r="12881" spans="1:7" ht="58.5" customHeight="1" x14ac:dyDescent="0.25">
      <c r="A12881" s="5" t="str">
        <f>"H0008021"</f>
        <v>H0008021</v>
      </c>
      <c r="B12881" s="5" t="str">
        <f>"SILLA INTERLOCUTORA (FIJA) SIN BRAZOS"</f>
        <v>SILLA INTERLOCUTORA (FIJA) SIN BRAZOS</v>
      </c>
      <c r="C12881" s="6">
        <v>5905.26</v>
      </c>
      <c r="D12881" s="5"/>
      <c r="E12881" s="5" t="str">
        <f t="shared" si="657"/>
        <v>ACTISALUD -NEUROCIRUGIA - GUSTAVO GOMEZ</v>
      </c>
      <c r="F12881" s="5" t="str">
        <f>"Descripcion: SILLA FIJA TIPO A COLOR MARRON SIN BRAZOS Estado: Bueno Placa anterior: 000027440 Material: METALICO, TAPIZADO EN SEMICUERO Color: MARRON Referencia:  Observacion:  Placa padre: Tipo adquisicion: Entidad"</f>
        <v>Descripcion: SILLA FIJA TIPO A COLOR MARRON SIN BRAZOS Estado: Bueno Placa anterior: 000027440 Material: METALICO, TAPIZADO EN SEMICUERO Color: MARRON Referencia:  Observacion:  Placa padre: Tipo adquisicion: Entidad</v>
      </c>
      <c r="G12881" s="5"/>
    </row>
    <row r="12882" spans="1:7" ht="58.5" customHeight="1" x14ac:dyDescent="0.25">
      <c r="A12882" s="5" t="str">
        <f>"H0008023"</f>
        <v>H0008023</v>
      </c>
      <c r="B12882" s="5" t="str">
        <f>"SILLA INTERLOCUTORA (FIJA) SIN BRAZOS"</f>
        <v>SILLA INTERLOCUTORA (FIJA) SIN BRAZOS</v>
      </c>
      <c r="C12882" s="6">
        <v>5905.26</v>
      </c>
      <c r="D12882" s="5"/>
      <c r="E12882" s="5" t="str">
        <f t="shared" si="657"/>
        <v>ACTISALUD -NEUROCIRUGIA - GUSTAVO GOMEZ</v>
      </c>
      <c r="F12882" s="5" t="str">
        <f>"Descripcion: SILLA INTERLOCUTORA (FIJA) SIN BRAZOS COLOR MARRON Estado: Bueno Placa anterior: 000004950 Material: METALICO, TAPIZADO EN SEMICUERO Color: MARRON Referencia:  Observacion:  Placa padre: Tipo adquisicion: Entidad"</f>
        <v>Descripcion: SILLA INTERLOCUTORA (FIJA) SIN BRAZOS COLOR MARRON Estado: Bueno Placa anterior: 000004950 Material: METALICO, TAPIZADO EN SEMICUERO Color: MARRON Referencia:  Observacion:  Placa padre: Tipo adquisicion: Entidad</v>
      </c>
      <c r="G12882" s="5"/>
    </row>
    <row r="12883" spans="1:7" ht="58.5" customHeight="1" x14ac:dyDescent="0.25">
      <c r="A12883" s="5" t="str">
        <f>"H0008030"</f>
        <v>H0008030</v>
      </c>
      <c r="B12883" s="5" t="str">
        <f>"SILLA INTERLOCUTORA (FIJA) SIN BRAZOS"</f>
        <v>SILLA INTERLOCUTORA (FIJA) SIN BRAZOS</v>
      </c>
      <c r="C12883" s="6">
        <v>5610</v>
      </c>
      <c r="D12883" s="5"/>
      <c r="E12883" s="5" t="str">
        <f t="shared" si="657"/>
        <v>ACTISALUD -NEUROCIRUGIA - GUSTAVO GOMEZ</v>
      </c>
      <c r="F12883" s="5" t="str">
        <f>"Descripcion: SILLA FIJA SIN BRAZOS COLOR MARRON Estado: Bueno Placa anterior: 000008350 Material: METALICO, TAPIZADO EN SEMICUERO Color: MARRON Referencia:  Observacion:  Placa padre: Tipo adquisicion: Entidad"</f>
        <v>Descripcion: SILLA FIJA SIN BRAZOS COLOR MARRON Estado: Bueno Placa anterior: 000008350 Material: METALICO, TAPIZADO EN SEMICUERO Color: MARRON Referencia:  Observacion:  Placa padre: Tipo adquisicion: Entidad</v>
      </c>
      <c r="G12883" s="5"/>
    </row>
    <row r="12884" spans="1:7" ht="58.5" customHeight="1" x14ac:dyDescent="0.25">
      <c r="A12884" s="5" t="str">
        <f>"H0008031"</f>
        <v>H0008031</v>
      </c>
      <c r="B12884" s="5" t="str">
        <f>"MESA DE MADERA REDONDA"</f>
        <v>MESA DE MADERA REDONDA</v>
      </c>
      <c r="C12884" s="6">
        <v>42000</v>
      </c>
      <c r="D12884" s="5"/>
      <c r="E12884" s="5" t="str">
        <f t="shared" si="657"/>
        <v>ACTISALUD -NEUROCIRUGIA - GUSTAVO GOMEZ</v>
      </c>
      <c r="F12884" s="5" t="str">
        <f>"Descripcion: MESA DE MADERA REDONDA PEQUEÑA MEDIDAS: 70CM ALT. X50CM DIAMETRO Estado: Bueno Placa anterior: 000003301 Material: MADERA Color: MARRON Referencia:  Observacion:  Placa padre: Tipo adquisicion: Donacion"</f>
        <v>Descripcion: MESA DE MADERA REDONDA PEQUEÑA MEDIDAS: 70CM ALT. X50CM DIAMETRO Estado: Bueno Placa anterior: 000003301 Material: MADERA Color: MARRON Referencia:  Observacion:  Placa padre: Tipo adquisicion: Donacion</v>
      </c>
      <c r="G12884" s="5"/>
    </row>
    <row r="12885" spans="1:7" ht="58.5" customHeight="1" x14ac:dyDescent="0.25">
      <c r="A12885" s="5" t="str">
        <f>"H0008032"</f>
        <v>H0008032</v>
      </c>
      <c r="B12885" s="5" t="str">
        <f>"CARRO PARA TRANSPORTE BALA DE OXIGENO"</f>
        <v>CARRO PARA TRANSPORTE BALA DE OXIGENO</v>
      </c>
      <c r="C12885" s="6">
        <v>13256.97</v>
      </c>
      <c r="D12885" s="5"/>
      <c r="E12885" s="5" t="str">
        <f t="shared" si="657"/>
        <v>ACTISALUD -NEUROCIRUGIA - GUSTAVO GOMEZ</v>
      </c>
      <c r="F12885" s="5" t="str">
        <f>"Descripcion: CARRO PARA TRANSPORTE BALA DE OXIGENO Estado: Bueno Placa anterior: 000026828 Material: METALICO Color: CROMADO Referencia:  Observacion:  Placa padre: Tipo adquisicion: Entidad"</f>
        <v>Descripcion: CARRO PARA TRANSPORTE BALA DE OXIGENO Estado: Bueno Placa anterior: 000026828 Material: METALICO Color: CROMADO Referencia:  Observacion:  Placa padre: Tipo adquisicion: Entidad</v>
      </c>
      <c r="G12885" s="5"/>
    </row>
    <row r="12886" spans="1:7" ht="58.5" customHeight="1" x14ac:dyDescent="0.25">
      <c r="A12886" s="5" t="str">
        <f>"H0008038"</f>
        <v>H0008038</v>
      </c>
      <c r="B12886" s="5" t="str">
        <f>"LARINGOSCOPIO ADULTO"</f>
        <v>LARINGOSCOPIO ADULTO</v>
      </c>
      <c r="C12886" s="6">
        <v>1200000</v>
      </c>
      <c r="D12886" s="5"/>
      <c r="E12886" s="5" t="str">
        <f t="shared" si="657"/>
        <v>ACTISALUD -NEUROCIRUGIA - GUSTAVO GOMEZ</v>
      </c>
      <c r="F12886" s="5" t="str">
        <f>"Descripcion: LARINGOSCOPIO ADULTO  Estado: Bueno Placa anterior: 000027902 Material: ACERO INOXIDABLE Color: ESTUCHE COLOR NEGRO Referencia:  Observacion:  Placa padre: Tipo adquisicion: Entidad"</f>
        <v>Descripcion: LARINGOSCOPIO ADULTO  Estado: Bueno Placa anterior: 000027902 Material: ACERO INOXIDABLE Color: ESTUCHE COLOR NEGRO Referencia:  Observacion:  Placa padre: Tipo adquisicion: Entidad</v>
      </c>
      <c r="G12886" s="5"/>
    </row>
    <row r="12887" spans="1:7" ht="58.5" customHeight="1" x14ac:dyDescent="0.25">
      <c r="A12887" s="5" t="str">
        <f>"H0008039"</f>
        <v>H0008039</v>
      </c>
      <c r="B12887" s="5" t="str">
        <f>"MANOMETRO PARA OXIGENO"</f>
        <v>MANOMETRO PARA OXIGENO</v>
      </c>
      <c r="C12887" s="6">
        <v>59046.400000000001</v>
      </c>
      <c r="D12887" s="5"/>
      <c r="E12887" s="5" t="str">
        <f t="shared" si="657"/>
        <v>ACTISALUD -NEUROCIRUGIA - GUSTAVO GOMEZ</v>
      </c>
      <c r="F12887" s="5" t="str">
        <f>"Descripcion: MANOMETRO DOBLE DE BALA DE OXIGENO GRANDE Estado: Bueno Placa anterior: 000023101 Material: METALICO  Color:  Referencia:  Observacion:  Placa padre: Tipo adquisicion: Entidad"</f>
        <v>Descripcion: MANOMETRO DOBLE DE BALA DE OXIGENO GRANDE Estado: Bueno Placa anterior: 000023101 Material: METALICO  Color:  Referencia:  Observacion:  Placa padre: Tipo adquisicion: Entidad</v>
      </c>
      <c r="G12887" s="5"/>
    </row>
    <row r="12888" spans="1:7" ht="58.5" customHeight="1" x14ac:dyDescent="0.25">
      <c r="A12888" s="5" t="str">
        <f>"H0008045"</f>
        <v>H0008045</v>
      </c>
      <c r="B12888" s="5" t="str">
        <f t="shared" ref="B12888:B12893" si="658">"PATO (COPROLOGICO) MUJER"</f>
        <v>PATO (COPROLOGICO) MUJER</v>
      </c>
      <c r="C12888" s="6">
        <v>17913.86</v>
      </c>
      <c r="D12888" s="5"/>
      <c r="E12888" s="5" t="str">
        <f t="shared" si="657"/>
        <v>ACTISALUD -NEUROCIRUGIA - GUSTAVO GOMEZ</v>
      </c>
      <c r="F12888" s="5" t="str">
        <f>"Descripcion: PATO (COPROLOGICO) MUJER Estado: Bueno Placa anterior: 000003290 Material: ACERO INOXIDABLE Color:  Referencia:  Observacion: PLACA ANTERIOR NO ENCONTRADA 000004902 Placa padre: Tipo adquisicion: Entidad"</f>
        <v>Descripcion: PATO (COPROLOGICO) MUJER Estado: Bueno Placa anterior: 000003290 Material: ACERO INOXIDABLE Color:  Referencia:  Observacion: PLACA ANTERIOR NO ENCONTRADA 000004902 Placa padre: Tipo adquisicion: Entidad</v>
      </c>
      <c r="G12888" s="5"/>
    </row>
    <row r="12889" spans="1:7" ht="58.5" customHeight="1" x14ac:dyDescent="0.25">
      <c r="A12889" s="5" t="str">
        <f>"H0008046"</f>
        <v>H0008046</v>
      </c>
      <c r="B12889" s="5" t="str">
        <f t="shared" si="658"/>
        <v>PATO (COPROLOGICO) MUJER</v>
      </c>
      <c r="C12889" s="6">
        <v>17913.86</v>
      </c>
      <c r="D12889" s="5"/>
      <c r="E12889" s="5" t="str">
        <f t="shared" si="657"/>
        <v>ACTISALUD -NEUROCIRUGIA - GUSTAVO GOMEZ</v>
      </c>
      <c r="F12889" s="5" t="str">
        <f>"Descripcion: PATO (COPROLOGICO) MUJER Estado: Bueno Placa anterior: 000003906 Material: ACERO INOXIDABLE Color:  Referencia:  Observacion: PLACA ANTERIOR NO ENCONTRADA 000004901 Placa padre: Tipo adquisicion: Entidad"</f>
        <v>Descripcion: PATO (COPROLOGICO) MUJER Estado: Bueno Placa anterior: 000003906 Material: ACERO INOXIDABLE Color:  Referencia:  Observacion: PLACA ANTERIOR NO ENCONTRADA 000004901 Placa padre: Tipo adquisicion: Entidad</v>
      </c>
      <c r="G12889" s="5"/>
    </row>
    <row r="12890" spans="1:7" ht="58.5" customHeight="1" x14ac:dyDescent="0.25">
      <c r="A12890" s="5" t="str">
        <f>"H0008047"</f>
        <v>H0008047</v>
      </c>
      <c r="B12890" s="5" t="str">
        <f t="shared" si="658"/>
        <v>PATO (COPROLOGICO) MUJER</v>
      </c>
      <c r="C12890" s="6">
        <v>17913.86</v>
      </c>
      <c r="D12890" s="5"/>
      <c r="E12890" s="5" t="str">
        <f t="shared" si="657"/>
        <v>ACTISALUD -NEUROCIRUGIA - GUSTAVO GOMEZ</v>
      </c>
      <c r="F12890" s="5" t="str">
        <f>"Descripcion: PATO (COPROLOGICO) MUJER Estado: Bueno Placa anterior: 000003907 Material: ACERO INOXIDABLE Color:  Referencia:  Observacion: PLACA ANTERIOR NO ENCONTRADA 000004903 Placa padre: Tipo adquisicion: Entidad"</f>
        <v>Descripcion: PATO (COPROLOGICO) MUJER Estado: Bueno Placa anterior: 000003907 Material: ACERO INOXIDABLE Color:  Referencia:  Observacion: PLACA ANTERIOR NO ENCONTRADA 000004903 Placa padre: Tipo adquisicion: Entidad</v>
      </c>
      <c r="G12890" s="5"/>
    </row>
    <row r="12891" spans="1:7" ht="58.5" customHeight="1" x14ac:dyDescent="0.25">
      <c r="A12891" s="5" t="str">
        <f>"H0008048"</f>
        <v>H0008048</v>
      </c>
      <c r="B12891" s="5" t="str">
        <f t="shared" si="658"/>
        <v>PATO (COPROLOGICO) MUJER</v>
      </c>
      <c r="C12891" s="6">
        <v>17913.86</v>
      </c>
      <c r="D12891" s="5"/>
      <c r="E12891" s="5" t="str">
        <f t="shared" si="657"/>
        <v>ACTISALUD -NEUROCIRUGIA - GUSTAVO GOMEZ</v>
      </c>
      <c r="F12891" s="5" t="str">
        <f>"Descripcion: PATO (COPROLOGICO) MUJER Estado: Bueno Placa anterior: 000003288 Material: ACERO INOXIDABLE Color:  Referencia:  Observacion:  Placa padre: Tipo adquisicion: Entidad"</f>
        <v>Descripcion: PATO (COPROLOGICO) MUJER Estado: Bueno Placa anterior: 000003288 Material: ACERO INOXIDABLE Color:  Referencia:  Observacion:  Placa padre: Tipo adquisicion: Entidad</v>
      </c>
      <c r="G12891" s="5"/>
    </row>
    <row r="12892" spans="1:7" ht="58.5" customHeight="1" x14ac:dyDescent="0.25">
      <c r="A12892" s="5" t="str">
        <f>"H0008049"</f>
        <v>H0008049</v>
      </c>
      <c r="B12892" s="5" t="str">
        <f t="shared" si="658"/>
        <v>PATO (COPROLOGICO) MUJER</v>
      </c>
      <c r="C12892" s="6">
        <v>17913.86</v>
      </c>
      <c r="D12892" s="5"/>
      <c r="E12892" s="5" t="str">
        <f t="shared" si="657"/>
        <v>ACTISALUD -NEUROCIRUGIA - GUSTAVO GOMEZ</v>
      </c>
      <c r="F12892" s="5" t="str">
        <f>"Descripcion: PATO (COPROLOGICO) MUJER Estado: Bueno Placa anterior: 000003270 Material: ACERO INOXIDABLE Color:  Referencia:  Observacion:  Placa padre: Tipo adquisicion: Entidad"</f>
        <v>Descripcion: PATO (COPROLOGICO) MUJER Estado: Bueno Placa anterior: 000003270 Material: ACERO INOXIDABLE Color:  Referencia:  Observacion:  Placa padre: Tipo adquisicion: Entidad</v>
      </c>
      <c r="G12892" s="5"/>
    </row>
    <row r="12893" spans="1:7" ht="58.5" customHeight="1" x14ac:dyDescent="0.25">
      <c r="A12893" s="5" t="str">
        <f>"H0008050"</f>
        <v>H0008050</v>
      </c>
      <c r="B12893" s="5" t="str">
        <f t="shared" si="658"/>
        <v>PATO (COPROLOGICO) MUJER</v>
      </c>
      <c r="C12893" s="6">
        <v>25206.18</v>
      </c>
      <c r="D12893" s="5"/>
      <c r="E12893" s="5" t="str">
        <f t="shared" si="657"/>
        <v>ACTISALUD -NEUROCIRUGIA - GUSTAVO GOMEZ</v>
      </c>
      <c r="F12893" s="5" t="str">
        <f>"Descripcion: PATO (COPROLOGICO) MUJER Estado: Bueno Placa anterior: 000003723 Material: ACERO INOXIDABLE Color:  Referencia:  Observacion:  Placa padre: Tipo adquisicion: Entidad"</f>
        <v>Descripcion: PATO (COPROLOGICO) MUJER Estado: Bueno Placa anterior: 000003723 Material: ACERO INOXIDABLE Color:  Referencia:  Observacion:  Placa padre: Tipo adquisicion: Entidad</v>
      </c>
      <c r="G12893" s="5"/>
    </row>
    <row r="12894" spans="1:7" ht="58.5" customHeight="1" x14ac:dyDescent="0.25">
      <c r="A12894" s="5" t="str">
        <f>"H0008051"</f>
        <v>H0008051</v>
      </c>
      <c r="B12894" s="5" t="str">
        <f>"PATO (PISINGO) HOMBRE"</f>
        <v>PATO (PISINGO) HOMBRE</v>
      </c>
      <c r="C12894" s="6">
        <v>11033.66</v>
      </c>
      <c r="D12894" s="5"/>
      <c r="E12894" s="5" t="str">
        <f t="shared" si="657"/>
        <v>ACTISALUD -NEUROCIRUGIA - GUSTAVO GOMEZ</v>
      </c>
      <c r="F12894" s="5" t="str">
        <f>"Descripcion: PATO (PISINGO) HOMBRE Estado: Bueno Placa anterior: 000026590 Material: ACERO INOXIDABLE Color:  Referencia:  Observacion:  Placa padre: Tipo adquisicion: Entidad"</f>
        <v>Descripcion: PATO (PISINGO) HOMBRE Estado: Bueno Placa anterior: 000026590 Material: ACERO INOXIDABLE Color:  Referencia:  Observacion:  Placa padre: Tipo adquisicion: Entidad</v>
      </c>
      <c r="G12894" s="5"/>
    </row>
    <row r="12895" spans="1:7" ht="58.5" customHeight="1" x14ac:dyDescent="0.25">
      <c r="A12895" s="5" t="str">
        <f>"H0008052"</f>
        <v>H0008052</v>
      </c>
      <c r="B12895" s="5" t="str">
        <f>"PATO (PISINGO) HOMBRE"</f>
        <v>PATO (PISINGO) HOMBRE</v>
      </c>
      <c r="C12895" s="6">
        <v>71920</v>
      </c>
      <c r="D12895" s="5"/>
      <c r="E12895" s="5" t="str">
        <f t="shared" si="657"/>
        <v>ACTISALUD -NEUROCIRUGIA - GUSTAVO GOMEZ</v>
      </c>
      <c r="F12895" s="5" t="str">
        <f>"Descripcion: PATO (PISINGO) HOMBRE Estado: Bueno Placa anterior: 000024987 Material: ACERO INOXIDABLE Color:  Referencia:  Observacion:  Placa padre: Tipo adquisicion: Entidad"</f>
        <v>Descripcion: PATO (PISINGO) HOMBRE Estado: Bueno Placa anterior: 000024987 Material: ACERO INOXIDABLE Color:  Referencia:  Observacion:  Placa padre: Tipo adquisicion: Entidad</v>
      </c>
      <c r="G12895" s="5"/>
    </row>
    <row r="12896" spans="1:7" ht="58.5" customHeight="1" x14ac:dyDescent="0.25">
      <c r="A12896" s="5" t="str">
        <f>"H0008053"</f>
        <v>H0008053</v>
      </c>
      <c r="B12896" s="5" t="str">
        <f>"PATO (PISINGO) HOMBRE"</f>
        <v>PATO (PISINGO) HOMBRE</v>
      </c>
      <c r="C12896" s="6">
        <v>71920</v>
      </c>
      <c r="D12896" s="5"/>
      <c r="E12896" s="5" t="str">
        <f t="shared" si="657"/>
        <v>ACTISALUD -NEUROCIRUGIA - GUSTAVO GOMEZ</v>
      </c>
      <c r="F12896" s="5" t="str">
        <f>"Descripcion: PATO (PISINGO) HOMBRE Estado: Bueno Placa anterior: 000024985 Material: ACERO INOXIDABLE Color:  Referencia:  Observacion:  Placa padre: Tipo adquisicion: Entidad"</f>
        <v>Descripcion: PATO (PISINGO) HOMBRE Estado: Bueno Placa anterior: 000024985 Material: ACERO INOXIDABLE Color:  Referencia:  Observacion:  Placa padre: Tipo adquisicion: Entidad</v>
      </c>
      <c r="G12896" s="5"/>
    </row>
    <row r="12897" spans="1:7" ht="58.5" customHeight="1" x14ac:dyDescent="0.25">
      <c r="A12897" s="5" t="str">
        <f>"H0008054"</f>
        <v>H0008054</v>
      </c>
      <c r="B12897" s="5" t="str">
        <f>"PATO (PISINGO) HOMBRE"</f>
        <v>PATO (PISINGO) HOMBRE</v>
      </c>
      <c r="C12897" s="6">
        <v>71920</v>
      </c>
      <c r="D12897" s="5"/>
      <c r="E12897" s="5" t="str">
        <f t="shared" si="657"/>
        <v>ACTISALUD -NEUROCIRUGIA - GUSTAVO GOMEZ</v>
      </c>
      <c r="F12897" s="5" t="str">
        <f>"Descripcion: PATO (PISINGO) HOMBRE Estado: Bueno Placa anterior: 000024988 Material: ACERO INOXIDABLE Color:  Referencia:  Observacion:  Placa padre: Tipo adquisicion: Entidad"</f>
        <v>Descripcion: PATO (PISINGO) HOMBRE Estado: Bueno Placa anterior: 000024988 Material: ACERO INOXIDABLE Color:  Referencia:  Observacion:  Placa padre: Tipo adquisicion: Entidad</v>
      </c>
      <c r="G12897" s="5"/>
    </row>
    <row r="12898" spans="1:7" ht="58.5" customHeight="1" x14ac:dyDescent="0.25">
      <c r="A12898" s="5" t="str">
        <f>"H0008055"</f>
        <v>H0008055</v>
      </c>
      <c r="B12898" s="5" t="str">
        <f>"PATO (PISINGO) HOMBRE"</f>
        <v>PATO (PISINGO) HOMBRE</v>
      </c>
      <c r="C12898" s="6">
        <v>71920</v>
      </c>
      <c r="D12898" s="5"/>
      <c r="E12898" s="5" t="str">
        <f t="shared" si="657"/>
        <v>ACTISALUD -NEUROCIRUGIA - GUSTAVO GOMEZ</v>
      </c>
      <c r="F12898" s="5" t="str">
        <f>"Descripcion: PATO (PISINGO) HOMBRE Estado: Bueno Placa anterior: 000024986 Material: ACERO INOXIDABLE Color:  Referencia:  Observacion:  Placa padre: Tipo adquisicion: Entidad"</f>
        <v>Descripcion: PATO (PISINGO) HOMBRE Estado: Bueno Placa anterior: 000024986 Material: ACERO INOXIDABLE Color:  Referencia:  Observacion:  Placa padre: Tipo adquisicion: Entidad</v>
      </c>
      <c r="G12898" s="5"/>
    </row>
    <row r="12899" spans="1:7" ht="58.5" customHeight="1" x14ac:dyDescent="0.25">
      <c r="A12899" s="5" t="str">
        <f>"H0008058"</f>
        <v>H0008058</v>
      </c>
      <c r="B12899" s="5" t="str">
        <f>"RIÑONERA HOSPITALARIA EN ACERO INOXIDABLE"</f>
        <v>RIÑONERA HOSPITALARIA EN ACERO INOXIDABLE</v>
      </c>
      <c r="C12899" s="6">
        <v>1257.06</v>
      </c>
      <c r="D12899" s="5"/>
      <c r="E12899" s="5" t="str">
        <f t="shared" si="657"/>
        <v>ACTISALUD -NEUROCIRUGIA - GUSTAVO GOMEZ</v>
      </c>
      <c r="F12899" s="5" t="str">
        <f>"Descripcion: RIÑONERA HOSPITALARIA EN ACERO INOXIDABLE Estado: Bueno Placa anterior: 000021196 Material: ACERO INOXIDABLE Color:  Referencia:  Observacion:  Placa padre: Tipo adquisicion: Entidad"</f>
        <v>Descripcion: RIÑONERA HOSPITALARIA EN ACERO INOXIDABLE Estado: Bueno Placa anterior: 000021196 Material: ACERO INOXIDABLE Color:  Referencia:  Observacion:  Placa padre: Tipo adquisicion: Entidad</v>
      </c>
      <c r="G12899" s="5"/>
    </row>
    <row r="12900" spans="1:7" ht="58.5" customHeight="1" x14ac:dyDescent="0.25">
      <c r="A12900" s="5" t="str">
        <f>"H0008082"</f>
        <v>H0008082</v>
      </c>
      <c r="B12900" s="5" t="str">
        <f>"CARRO PORTA MATERIAL"</f>
        <v>CARRO PORTA MATERIAL</v>
      </c>
      <c r="C12900" s="6">
        <v>16300</v>
      </c>
      <c r="D12900" s="5"/>
      <c r="E12900" s="5" t="str">
        <f t="shared" si="657"/>
        <v>ACTISALUD -NEUROCIRUGIA - GUSTAVO GOMEZ</v>
      </c>
      <c r="F12900" s="5" t="str">
        <f>"Descripcion: CARRO PARA TRANSPORTE DE MATERIAL Estado: Bueno Placa anterior: 000021573 Material: METALICO Color: GRIS Referencia:  Observacion:  Placa padre: Tipo adquisicion: Entidad"</f>
        <v>Descripcion: CARRO PARA TRANSPORTE DE MATERIAL Estado: Bueno Placa anterior: 000021573 Material: METALICO Color: GRIS Referencia:  Observacion:  Placa padre: Tipo adquisicion: Entidad</v>
      </c>
      <c r="G12900" s="5"/>
    </row>
    <row r="12901" spans="1:7" ht="58.5" customHeight="1" x14ac:dyDescent="0.25">
      <c r="A12901" s="5" t="str">
        <f>"H0008084"</f>
        <v>H0008084</v>
      </c>
      <c r="B12901" s="5" t="str">
        <f>"SILLA TANDEM DE 3 PUESTOS"</f>
        <v>SILLA TANDEM DE 3 PUESTOS</v>
      </c>
      <c r="C12901" s="6">
        <v>15345</v>
      </c>
      <c r="D12901" s="5"/>
      <c r="E12901" s="5" t="str">
        <f t="shared" si="657"/>
        <v>ACTISALUD -NEUROCIRUGIA - GUSTAVO GOMEZ</v>
      </c>
      <c r="F12901" s="5" t="str">
        <f>"Descripcion: TANDEN DE 3 PUESTOS  Estado: Bueno Placa anterior: 000004939 Material: METALICO CON ASIENTOS PLASTICOS Color: VERDE Referencia:  Observacion:  Placa padre: Tipo adquisicion: Entidad"</f>
        <v>Descripcion: TANDEN DE 3 PUESTOS  Estado: Bueno Placa anterior: 000004939 Material: METALICO CON ASIENTOS PLASTICOS Color: VERDE Referencia:  Observacion:  Placa padre: Tipo adquisicion: Entidad</v>
      </c>
      <c r="G12901" s="5"/>
    </row>
    <row r="12902" spans="1:7" ht="58.5" customHeight="1" x14ac:dyDescent="0.25">
      <c r="A12902" s="5" t="str">
        <f>"H0008089"</f>
        <v>H0008089</v>
      </c>
      <c r="B12902" s="5" t="str">
        <f>"MESA DE NOCHE"</f>
        <v>MESA DE NOCHE</v>
      </c>
      <c r="C12902" s="6">
        <v>8389.33</v>
      </c>
      <c r="D12902" s="5"/>
      <c r="E12902" s="5" t="str">
        <f t="shared" si="657"/>
        <v>ACTISALUD -NEUROCIRUGIA - GUSTAVO GOMEZ</v>
      </c>
      <c r="F12902" s="5" t="str">
        <f>"Descripcion: MESA DE NOCHE METALICA 1 GAVETA,  1 ENTREPAÑO Y 1 PUERTA Estado: Bueno Placa anterior: 000027356 Material: METALICO Color: GRIS Referencia:  Observacion:  Placa padre: Tipo adquisicion: Entidad"</f>
        <v>Descripcion: MESA DE NOCHE METALICA 1 GAVETA,  1 ENTREPAÑO Y 1 PUERTA Estado: Bueno Placa anterior: 000027356 Material: METALICO Color: GRIS Referencia:  Observacion:  Placa padre: Tipo adquisicion: Entidad</v>
      </c>
      <c r="G12902" s="5"/>
    </row>
    <row r="12903" spans="1:7" ht="58.5" customHeight="1" x14ac:dyDescent="0.25">
      <c r="A12903" s="5" t="str">
        <f>"H0008100"</f>
        <v>H0008100</v>
      </c>
      <c r="B12903" s="5" t="str">
        <f>"DISPENSADOR DE AGUA"</f>
        <v>DISPENSADOR DE AGUA</v>
      </c>
      <c r="C12903" s="6">
        <v>730000</v>
      </c>
      <c r="D12903" s="5" t="s">
        <v>697</v>
      </c>
      <c r="E12903" s="5" t="str">
        <f t="shared" si="657"/>
        <v>ACTISALUD -NEUROCIRUGIA - GUSTAVO GOMEZ</v>
      </c>
      <c r="F12903" s="5" t="str">
        <f>"Descripcion: DISPENSADOR DE AGUA Estado: Bueno Placa anterior:  Material: PLASTICO Color: BLANCO Referencia:  Observacion:  Placa padre: Tipo adquisicion: Donacion"</f>
        <v>Descripcion: DISPENSADOR DE AGUA Estado: Bueno Placa anterior:  Material: PLASTICO Color: BLANCO Referencia:  Observacion:  Placa padre: Tipo adquisicion: Donacion</v>
      </c>
      <c r="G12903" s="5"/>
    </row>
    <row r="12904" spans="1:7" ht="58.5" customHeight="1" x14ac:dyDescent="0.25">
      <c r="A12904" s="5" t="str">
        <f>"H0008105"</f>
        <v>H0008105</v>
      </c>
      <c r="B12904" s="5" t="str">
        <f>"MESA PUENTE (ALIMENTACION) (INSTRUMENTAL)"</f>
        <v>MESA PUENTE (ALIMENTACION) (INSTRUMENTAL)</v>
      </c>
      <c r="C12904" s="6">
        <v>15000</v>
      </c>
      <c r="D12904" s="5"/>
      <c r="E12904" s="5" t="str">
        <f t="shared" si="657"/>
        <v>ACTISALUD -NEUROCIRUGIA - GUSTAVO GOMEZ</v>
      </c>
      <c r="F12904" s="5" t="str">
        <f>"Descripcion: MESA PUENTE PARA ALIMENTACION CON 2 SOPORTES Estado: Bueno Placa anterior: 000026892 Material: METALICO CON ACERO INOX. Color: GRIS  Referencia:  Observacion: PLACA ANTERIOR NO ENCONTRADA 000027363  AUTORIZADO CONCILIAR EN CRUCE GENERAL Placa"&amp; " padre: Tipo adquisicion: Entidad"</f>
        <v>Descripcion: MESA PUENTE PARA ALIMENTACION CON 2 SOPORTES Estado: Bueno Placa anterior: 000026892 Material: METALICO CON ACERO INOX. Color: GRIS  Referencia:  Observacion: PLACA ANTERIOR NO ENCONTRADA 000027363  AUTORIZADO CONCILIAR EN CRUCE GENERAL Placa padre: Tipo adquisicion: Entidad</v>
      </c>
      <c r="G12904" s="5"/>
    </row>
    <row r="12905" spans="1:7" ht="58.5" customHeight="1" x14ac:dyDescent="0.25">
      <c r="A12905" s="5" t="str">
        <f>"H0008109"</f>
        <v>H0008109</v>
      </c>
      <c r="B12905" s="5" t="str">
        <f>"MESA PUENTE (ALIMENTACION) (INSTRUMENTAL)"</f>
        <v>MESA PUENTE (ALIMENTACION) (INSTRUMENTAL)</v>
      </c>
      <c r="C12905" s="6">
        <v>15000</v>
      </c>
      <c r="D12905" s="5"/>
      <c r="E12905" s="5" t="str">
        <f t="shared" si="657"/>
        <v>ACTISALUD -NEUROCIRUGIA - GUSTAVO GOMEZ</v>
      </c>
      <c r="F12905" s="5" t="str">
        <f>"Descripcion: MESA PUENTE PARA ALIMENTACION CON 2 SOPORTES Estado: Bueno Placa anterior: 000026811 Material: METALICO CON ACERO INOX. Color: GRIS  Referencia:  Observacion:  Placa padre: Tipo adquisicion: Entidad"</f>
        <v>Descripcion: MESA PUENTE PARA ALIMENTACION CON 2 SOPORTES Estado: Bueno Placa anterior: 000026811 Material: METALICO CON ACERO INOX. Color: GRIS  Referencia:  Observacion:  Placa padre: Tipo adquisicion: Entidad</v>
      </c>
      <c r="G12905" s="5"/>
    </row>
    <row r="12906" spans="1:7" ht="58.5" customHeight="1" x14ac:dyDescent="0.25">
      <c r="A12906" s="5" t="str">
        <f>"H0008113"</f>
        <v>H0008113</v>
      </c>
      <c r="B12906" s="5" t="str">
        <f>"MESA PUENTE (ALIMENTACION) (INSTRUMENTAL)"</f>
        <v>MESA PUENTE (ALIMENTACION) (INSTRUMENTAL)</v>
      </c>
      <c r="C12906" s="6">
        <v>15000</v>
      </c>
      <c r="D12906" s="5"/>
      <c r="E12906" s="5" t="str">
        <f t="shared" si="657"/>
        <v>ACTISALUD -NEUROCIRUGIA - GUSTAVO GOMEZ</v>
      </c>
      <c r="F12906" s="5" t="str">
        <f>"Descripcion: MESA PUENTE PARA ALIMENTACION CON 2 SOPORTES Estado: Bueno Placa anterior: 000027240 Material: METALICO CON ACERO INOX. Color: GRIS  Referencia:  Observacion: PLACA ANTERIOR NO ENCONTRADA 000027367  AUTORIZADO CONCILIAR EN CRUCE GENERAL Placa"&amp; " padre: Tipo adquisicion: Entidad"</f>
        <v>Descripcion: MESA PUENTE PARA ALIMENTACION CON 2 SOPORTES Estado: Bueno Placa anterior: 000027240 Material: METALICO CON ACERO INOX. Color: GRIS  Referencia:  Observacion: PLACA ANTERIOR NO ENCONTRADA 000027367  AUTORIZADO CONCILIAR EN CRUCE GENERAL Placa padre: Tipo adquisicion: Entidad</v>
      </c>
      <c r="G12906" s="5"/>
    </row>
    <row r="12907" spans="1:7" ht="58.5" customHeight="1" x14ac:dyDescent="0.25">
      <c r="A12907" s="5" t="str">
        <f>"H0008116"</f>
        <v>H0008116</v>
      </c>
      <c r="B12907" s="5" t="str">
        <f>"MESA PUENTE (ALIMENTACION) (INSTRUMENTAL)"</f>
        <v>MESA PUENTE (ALIMENTACION) (INSTRUMENTAL)</v>
      </c>
      <c r="C12907" s="6">
        <v>15000</v>
      </c>
      <c r="D12907" s="5"/>
      <c r="E12907" s="5" t="str">
        <f t="shared" si="657"/>
        <v>ACTISALUD -NEUROCIRUGIA - GUSTAVO GOMEZ</v>
      </c>
      <c r="F12907" s="5" t="str">
        <f>"Descripcion: MESA PUENTE PARA ALIMENTACION CON 2 SOPORTES Estado: Bueno Placa anterior: 000026926 Material: METALICO CON ACERO INOX. Color: GRIS  Referencia:  Observacion: PLACA ANTERIOR NO ENCONTRADA 000027430  AUTORIZADO CONCILIAR EN CRUCE GENERAL Placa"&amp; " padre: Tipo adquisicion: Entidad"</f>
        <v>Descripcion: MESA PUENTE PARA ALIMENTACION CON 2 SOPORTES Estado: Bueno Placa anterior: 000026926 Material: METALICO CON ACERO INOX. Color: GRIS  Referencia:  Observacion: PLACA ANTERIOR NO ENCONTRADA 000027430  AUTORIZADO CONCILIAR EN CRUCE GENERAL Placa padre: Tipo adquisicion: Entidad</v>
      </c>
      <c r="G12907" s="5"/>
    </row>
    <row r="12908" spans="1:7" ht="58.5" customHeight="1" x14ac:dyDescent="0.25">
      <c r="A12908" s="5" t="str">
        <f>"H0008123"</f>
        <v>H0008123</v>
      </c>
      <c r="B12908" s="5" t="str">
        <f>"SILLA PLASTICA CON BRAZOS"</f>
        <v>SILLA PLASTICA CON BRAZOS</v>
      </c>
      <c r="C12908" s="6">
        <v>10440</v>
      </c>
      <c r="D12908" s="5"/>
      <c r="E12908" s="5" t="str">
        <f t="shared" si="657"/>
        <v>ACTISALUD -NEUROCIRUGIA - GUSTAVO GOMEZ</v>
      </c>
      <c r="F12908" s="5" t="str">
        <f>"Descripcion: SILLA PLASTICA CON BRAZOS Estado: Bueno Placa anterior: 000003784 Material: PLASTICO Color: BLANCO Referencia:  Observacion:  Placa padre: Tipo adquisicion: Entidad"</f>
        <v>Descripcion: SILLA PLASTICA CON BRAZOS Estado: Bueno Placa anterior: 000003784 Material: PLASTICO Color: BLANCO Referencia:  Observacion:  Placa padre: Tipo adquisicion: Entidad</v>
      </c>
      <c r="G12908" s="5"/>
    </row>
    <row r="12909" spans="1:7" ht="58.5" customHeight="1" x14ac:dyDescent="0.25">
      <c r="A12909" s="5" t="str">
        <f>"H0008125"</f>
        <v>H0008125</v>
      </c>
      <c r="B12909" s="5" t="str">
        <f>"VENTILADOR DE PARED"</f>
        <v>VENTILADOR DE PARED</v>
      </c>
      <c r="C12909" s="6">
        <v>72477.5</v>
      </c>
      <c r="D12909" s="5" t="s">
        <v>54</v>
      </c>
      <c r="E12909" s="5" t="str">
        <f t="shared" si="657"/>
        <v>ACTISALUD -NEUROCIRUGIA - GUSTAVO GOMEZ</v>
      </c>
      <c r="F12909" s="5" t="str">
        <f>"Descripcion: VENTILADOR DE PARED SAMURAI Estado: Bueno Placa anterior: 000037149 Material: PLASTICO Color: BLANCO CON GRIS Referencia:  Observacion:  Placa padre: Tipo adquisicion: Entidad"</f>
        <v>Descripcion: VENTILADOR DE PARED SAMURAI Estado: Bueno Placa anterior: 000037149 Material: PLASTICO Color: BLANCO CON GRIS Referencia:  Observacion:  Placa padre: Tipo adquisicion: Entidad</v>
      </c>
      <c r="G12909" s="5" t="str">
        <f>"TURBO SILENCE MAX"</f>
        <v>TURBO SILENCE MAX</v>
      </c>
    </row>
    <row r="12910" spans="1:7" ht="58.5" customHeight="1" x14ac:dyDescent="0.25">
      <c r="A12910" s="5" t="str">
        <f>"H0008129"</f>
        <v>H0008129</v>
      </c>
      <c r="B12910" s="5" t="str">
        <f>"MESA PUENTE (ALIMENTACION) (INSTRUMENTAL)"</f>
        <v>MESA PUENTE (ALIMENTACION) (INSTRUMENTAL)</v>
      </c>
      <c r="C12910" s="6">
        <v>15000</v>
      </c>
      <c r="D12910" s="5"/>
      <c r="E12910" s="5" t="str">
        <f t="shared" si="657"/>
        <v>ACTISALUD -NEUROCIRUGIA - GUSTAVO GOMEZ</v>
      </c>
      <c r="F12910" s="5" t="str">
        <f>"Descripcion: MESA PUENTE CON DOBLE SOPORTE Estado: Bueno Placa anterior: 000028145 Material: METALICO, ACERO INOX. Color: VERDE  Referencia:  Observacion:  Placa padre: Tipo adquisicion: Entidad"</f>
        <v>Descripcion: MESA PUENTE CON DOBLE SOPORTE Estado: Bueno Placa anterior: 000028145 Material: METALICO, ACERO INOX. Color: VERDE  Referencia:  Observacion:  Placa padre: Tipo adquisicion: Entidad</v>
      </c>
      <c r="G12910" s="5"/>
    </row>
    <row r="12911" spans="1:7" ht="58.5" customHeight="1" x14ac:dyDescent="0.25">
      <c r="A12911" s="5" t="str">
        <f>"H0008132"</f>
        <v>H0008132</v>
      </c>
      <c r="B12911" s="5" t="str">
        <f>"MESA PUENTE (ALIMENTACION) (INSTRUMENTAL)"</f>
        <v>MESA PUENTE (ALIMENTACION) (INSTRUMENTAL)</v>
      </c>
      <c r="C12911" s="6">
        <v>24640</v>
      </c>
      <c r="D12911" s="5"/>
      <c r="E12911" s="5" t="str">
        <f t="shared" si="657"/>
        <v>ACTISALUD -NEUROCIRUGIA - GUSTAVO GOMEZ</v>
      </c>
      <c r="F12911" s="5" t="str">
        <f>"Descripcion: MESA PUENTE CON DOBLE SOPORTE Estado: Bueno Placa anterior: 000027373 Material: METALICO, ACERO INOX Color: GRIS Referencia:  Observacion:  Placa padre: Tipo adquisicion: Entidad"</f>
        <v>Descripcion: MESA PUENTE CON DOBLE SOPORTE Estado: Bueno Placa anterior: 000027373 Material: METALICO, ACERO INOX Color: GRIS Referencia:  Observacion:  Placa padre: Tipo adquisicion: Entidad</v>
      </c>
      <c r="G12911" s="5"/>
    </row>
    <row r="12912" spans="1:7" ht="58.5" customHeight="1" x14ac:dyDescent="0.25">
      <c r="A12912" s="5" t="str">
        <f>"H0008136"</f>
        <v>H0008136</v>
      </c>
      <c r="B12912" s="5" t="str">
        <f>"SILLA PLASTICA CON BRAZOS"</f>
        <v>SILLA PLASTICA CON BRAZOS</v>
      </c>
      <c r="C12912" s="6">
        <v>10440</v>
      </c>
      <c r="D12912" s="5"/>
      <c r="E12912" s="5" t="str">
        <f t="shared" si="657"/>
        <v>ACTISALUD -NEUROCIRUGIA - GUSTAVO GOMEZ</v>
      </c>
      <c r="F12912" s="5" t="str">
        <f>"Descripcion: SILLA PLASTICA CON BRAZOS Estado: Bueno Placa anterior: 000003831 Material: PLASTICO Color: BLANCO Referencia:  Observacion:  Placa padre: Tipo adquisicion: Entidad"</f>
        <v>Descripcion: SILLA PLASTICA CON BRAZOS Estado: Bueno Placa anterior: 000003831 Material: PLASTICO Color: BLANCO Referencia:  Observacion:  Placa padre: Tipo adquisicion: Entidad</v>
      </c>
      <c r="G12912" s="5"/>
    </row>
    <row r="12913" spans="1:7" ht="58.5" customHeight="1" x14ac:dyDescent="0.25">
      <c r="A12913" s="5" t="str">
        <f>"H0008138"</f>
        <v>H0008138</v>
      </c>
      <c r="B12913" s="5" t="str">
        <f>"MESA PUENTE (ALIMENTACION) (INSTRUMENTAL)"</f>
        <v>MESA PUENTE (ALIMENTACION) (INSTRUMENTAL)</v>
      </c>
      <c r="C12913" s="6">
        <v>15000</v>
      </c>
      <c r="D12913" s="5"/>
      <c r="E12913" s="5" t="str">
        <f t="shared" si="657"/>
        <v>ACTISALUD -NEUROCIRUGIA - GUSTAVO GOMEZ</v>
      </c>
      <c r="F12913" s="5" t="str">
        <f>"Descripcion: MESA PUENTE CON DOBLE SOPORTE Estado: Bueno Placa anterior: 000027067 Material: METALICO, ACERO INOX Color: GRIS Referencia:  Observacion: PLACA ANTERIOR NO ENCONTRADA 000027408, AUTORIZADO CONCILIAR EN CRUCE GENERAL Placa padre: Tipo adquisi"&amp; "cion: Entidad"</f>
        <v>Descripcion: MESA PUENTE CON DOBLE SOPORTE Estado: Bueno Placa anterior: 000027067 Material: METALICO, ACERO INOX Color: GRIS Referencia:  Observacion: PLACA ANTERIOR NO ENCONTRADA 000027408, AUTORIZADO CONCILIAR EN CRUCE GENERAL Placa padre: Tipo adquisicion: Entidad</v>
      </c>
      <c r="G12913" s="5"/>
    </row>
    <row r="12914" spans="1:7" ht="58.5" customHeight="1" x14ac:dyDescent="0.25">
      <c r="A12914" s="5" t="str">
        <f>"H0008140"</f>
        <v>H0008140</v>
      </c>
      <c r="B12914" s="5" t="str">
        <f>"MESA DE NOCHE"</f>
        <v>MESA DE NOCHE</v>
      </c>
      <c r="C12914" s="6">
        <v>8389.33</v>
      </c>
      <c r="D12914" s="5"/>
      <c r="E12914" s="5" t="str">
        <f t="shared" si="657"/>
        <v>ACTISALUD -NEUROCIRUGIA - GUSTAVO GOMEZ</v>
      </c>
      <c r="F12914" s="5" t="str">
        <f>"Descripcion: MESA DE NOCHE Estado: Bueno Placa anterior: 000026902 Material: METALICO CON MESON EN FORMICA Color: GRIS CON MARRON Referencia:  Observacion:  Placa padre: Tipo adquisicion: Entidad"</f>
        <v>Descripcion: MESA DE NOCHE Estado: Bueno Placa anterior: 000026902 Material: METALICO CON MESON EN FORMICA Color: GRIS CON MARRON Referencia:  Observacion:  Placa padre: Tipo adquisicion: Entidad</v>
      </c>
      <c r="G12914" s="5"/>
    </row>
    <row r="12915" spans="1:7" ht="58.5" customHeight="1" x14ac:dyDescent="0.25">
      <c r="A12915" s="5" t="str">
        <f>"H0008143"</f>
        <v>H0008143</v>
      </c>
      <c r="B12915" s="5" t="str">
        <f>"MESA PUENTE (ALIMENTACION) (INSTRUMENTAL)"</f>
        <v>MESA PUENTE (ALIMENTACION) (INSTRUMENTAL)</v>
      </c>
      <c r="C12915" s="6">
        <v>24640</v>
      </c>
      <c r="D12915" s="5"/>
      <c r="E12915" s="5" t="str">
        <f t="shared" si="657"/>
        <v>ACTISALUD -NEUROCIRUGIA - GUSTAVO GOMEZ</v>
      </c>
      <c r="F12915" s="5" t="str">
        <f>"Descripcion: MESA PUENTE CON DOBLE SOPORTE Estado: Bueno Placa anterior: 000028146 Material: METALICO, ACERO INOX Color: VERDE Referencia:  Observacion:  Placa padre: Tipo adquisicion: Entidad"</f>
        <v>Descripcion: MESA PUENTE CON DOBLE SOPORTE Estado: Bueno Placa anterior: 000028146 Material: METALICO, ACERO INOX Color: VERDE Referencia:  Observacion:  Placa padre: Tipo adquisicion: Entidad</v>
      </c>
      <c r="G12915" s="5"/>
    </row>
    <row r="12916" spans="1:7" ht="58.5" customHeight="1" x14ac:dyDescent="0.25">
      <c r="A12916" s="5" t="str">
        <f>"H0008145"</f>
        <v>H0008145</v>
      </c>
      <c r="B12916" s="5" t="str">
        <f>"SILLA PLASTICA CON BRAZOS"</f>
        <v>SILLA PLASTICA CON BRAZOS</v>
      </c>
      <c r="C12916" s="6">
        <v>10440</v>
      </c>
      <c r="D12916" s="5"/>
      <c r="E12916" s="5" t="str">
        <f t="shared" si="657"/>
        <v>ACTISALUD -NEUROCIRUGIA - GUSTAVO GOMEZ</v>
      </c>
      <c r="F12916" s="5" t="str">
        <f>"Descripcion: SILLA PLASTICA CON BRAZOS Estado: Bueno Placa anterior: 000026510 Material: PLASTICO Color: BLANCO Referencia:  Observacion:  Placa padre: Tipo adquisicion: Entidad"</f>
        <v>Descripcion: SILLA PLASTICA CON BRAZOS Estado: Bueno Placa anterior: 000026510 Material: PLASTICO Color: BLANCO Referencia:  Observacion:  Placa padre: Tipo adquisicion: Entidad</v>
      </c>
      <c r="G12916" s="5"/>
    </row>
    <row r="12917" spans="1:7" ht="58.5" customHeight="1" x14ac:dyDescent="0.25">
      <c r="A12917" s="5" t="str">
        <f>"H0008150"</f>
        <v>H0008150</v>
      </c>
      <c r="B12917" s="5" t="str">
        <f>"MESA PUENTE (ALIMENTACION) (INSTRUMENTAL)"</f>
        <v>MESA PUENTE (ALIMENTACION) (INSTRUMENTAL)</v>
      </c>
      <c r="C12917" s="6">
        <v>15000</v>
      </c>
      <c r="D12917" s="5"/>
      <c r="E12917" s="5" t="str">
        <f t="shared" si="657"/>
        <v>ACTISALUD -NEUROCIRUGIA - GUSTAVO GOMEZ</v>
      </c>
      <c r="F12917" s="5" t="str">
        <f>"Descripcion: MESA PUENTE PARA ALIMENTACION CON DOBLE SOPORTE Estado: Bueno Placa anterior: 000026813 Material: METALICO, ACERO INOX Color: GRIS Referencia:  Observacion:  Placa padre: Tipo adquisicion: Entidad"</f>
        <v>Descripcion: MESA PUENTE PARA ALIMENTACION CON DOBLE SOPORTE Estado: Bueno Placa anterior: 000026813 Material: METALICO, ACERO INOX Color: GRIS Referencia:  Observacion:  Placa padre: Tipo adquisicion: Entidad</v>
      </c>
      <c r="G12917" s="5"/>
    </row>
    <row r="12918" spans="1:7" ht="58.5" customHeight="1" x14ac:dyDescent="0.25">
      <c r="A12918" s="5" t="str">
        <f>"H0008151"</f>
        <v>H0008151</v>
      </c>
      <c r="B12918" s="5" t="str">
        <f>"SILLA PLASTICA CON BRAZOS"</f>
        <v>SILLA PLASTICA CON BRAZOS</v>
      </c>
      <c r="C12918" s="6">
        <v>10440</v>
      </c>
      <c r="D12918" s="5"/>
      <c r="E12918" s="5" t="str">
        <f t="shared" si="657"/>
        <v>ACTISALUD -NEUROCIRUGIA - GUSTAVO GOMEZ</v>
      </c>
      <c r="F12918" s="5" t="str">
        <f>"Descripcion: SILLA PLASTICA CON BRAZOS Estado: Bueno Placa anterior: 000026618 Material: PLASTICO Color: BLANCO Referencia:  Observacion:  Placa padre: Tipo adquisicion: Entidad"</f>
        <v>Descripcion: SILLA PLASTICA CON BRAZOS Estado: Bueno Placa anterior: 000026618 Material: PLASTICO Color: BLANCO Referencia:  Observacion:  Placa padre: Tipo adquisicion: Entidad</v>
      </c>
      <c r="G12918" s="5"/>
    </row>
    <row r="12919" spans="1:7" ht="58.5" customHeight="1" x14ac:dyDescent="0.25">
      <c r="A12919" s="5" t="str">
        <f>"H0008154"</f>
        <v>H0008154</v>
      </c>
      <c r="B12919" s="5" t="str">
        <f>"MESA PUENTE (ALIMENTACION) (INSTRUMENTAL)"</f>
        <v>MESA PUENTE (ALIMENTACION) (INSTRUMENTAL)</v>
      </c>
      <c r="C12919" s="6">
        <v>15000</v>
      </c>
      <c r="D12919" s="5"/>
      <c r="E12919" s="5" t="str">
        <f t="shared" si="657"/>
        <v>ACTISALUD -NEUROCIRUGIA - GUSTAVO GOMEZ</v>
      </c>
      <c r="F12919" s="5" t="str">
        <f>"Descripcion: MESA PUENTE PARA ALIMENTACION CON DOBLE SOPORTE Estado: Bueno Placa anterior: 000026814 Material: METALICO, ACERO INOX Color: GRIS Referencia:  Observacion:  Placa padre: Tipo adquisicion: Entidad"</f>
        <v>Descripcion: MESA PUENTE PARA ALIMENTACION CON DOBLE SOPORTE Estado: Bueno Placa anterior: 000026814 Material: METALICO, ACERO INOX Color: GRIS Referencia:  Observacion:  Placa padre: Tipo adquisicion: Entidad</v>
      </c>
      <c r="G12919" s="5"/>
    </row>
    <row r="12920" spans="1:7" ht="58.5" customHeight="1" x14ac:dyDescent="0.25">
      <c r="A12920" s="5" t="str">
        <f>"H0008162"</f>
        <v>H0008162</v>
      </c>
      <c r="B12920" s="5" t="str">
        <f>"SILLA PLASTICA CON BRAZOS"</f>
        <v>SILLA PLASTICA CON BRAZOS</v>
      </c>
      <c r="C12920" s="6">
        <v>10440</v>
      </c>
      <c r="D12920" s="5"/>
      <c r="E12920" s="5" t="str">
        <f t="shared" si="657"/>
        <v>ACTISALUD -NEUROCIRUGIA - GUSTAVO GOMEZ</v>
      </c>
      <c r="F12920" s="5" t="str">
        <f>"Descripcion: SILLA PLASTICA CON BRAZOS Estado: Bueno Placa anterior: 000003767 Material: PLASTICO Color: BLANCO Referencia:  Observacion:  Placa padre: Tipo adquisicion: Entidad"</f>
        <v>Descripcion: SILLA PLASTICA CON BRAZOS Estado: Bueno Placa anterior: 000003767 Material: PLASTICO Color: BLANCO Referencia:  Observacion:  Placa padre: Tipo adquisicion: Entidad</v>
      </c>
      <c r="G12920" s="5"/>
    </row>
    <row r="12921" spans="1:7" ht="58.5" customHeight="1" x14ac:dyDescent="0.25">
      <c r="A12921" s="5" t="str">
        <f>"H0008170"</f>
        <v>H0008170</v>
      </c>
      <c r="B12921" s="5" t="str">
        <f>"SILLA PLASTICA CON BRAZOS"</f>
        <v>SILLA PLASTICA CON BRAZOS</v>
      </c>
      <c r="C12921" s="6">
        <v>10440</v>
      </c>
      <c r="D12921" s="5"/>
      <c r="E12921" s="5" t="str">
        <f t="shared" si="657"/>
        <v>ACTISALUD -NEUROCIRUGIA - GUSTAVO GOMEZ</v>
      </c>
      <c r="F12921" s="5" t="str">
        <f>"Descripcion: SILLA PLASTICA CON BRAZOS Estado: Bueno Placa anterior: 000021635 Material: PLASTICO Color: BLANCO Referencia:  Observacion:  Placa padre: Tipo adquisicion: Entidad"</f>
        <v>Descripcion: SILLA PLASTICA CON BRAZOS Estado: Bueno Placa anterior: 000021635 Material: PLASTICO Color: BLANCO Referencia:  Observacion:  Placa padre: Tipo adquisicion: Entidad</v>
      </c>
      <c r="G12921" s="5"/>
    </row>
    <row r="12922" spans="1:7" ht="58.5" customHeight="1" x14ac:dyDescent="0.25">
      <c r="A12922" s="5" t="str">
        <f>"H0008172"</f>
        <v>H0008172</v>
      </c>
      <c r="B12922" s="5" t="str">
        <f>"MESA PUENTE (ALIMENTACION) (INSTRUMENTAL)"</f>
        <v>MESA PUENTE (ALIMENTACION) (INSTRUMENTAL)</v>
      </c>
      <c r="C12922" s="6">
        <v>24640</v>
      </c>
      <c r="D12922" s="5"/>
      <c r="E12922" s="5" t="str">
        <f t="shared" si="657"/>
        <v>ACTISALUD -NEUROCIRUGIA - GUSTAVO GOMEZ</v>
      </c>
      <c r="F12922" s="5" t="str">
        <f>"Descripcion: MESA PUENTE PARA ALIMENTACION CON DOBLE SOPORTE Estado: Bueno Placa anterior: 000027376 Material: METALICO, ACERO INOX Color: VERDE Referencia:  Observacion:  Placa padre: Tipo adquisicion: Entidad"</f>
        <v>Descripcion: MESA PUENTE PARA ALIMENTACION CON DOBLE SOPORTE Estado: Bueno Placa anterior: 000027376 Material: METALICO, ACERO INOX Color: VERDE Referencia:  Observacion:  Placa padre: Tipo adquisicion: Entidad</v>
      </c>
      <c r="G12922" s="5"/>
    </row>
    <row r="12923" spans="1:7" ht="58.5" customHeight="1" x14ac:dyDescent="0.25">
      <c r="A12923" s="5" t="str">
        <f>"H0008180"</f>
        <v>H0008180</v>
      </c>
      <c r="B12923" s="5" t="str">
        <f>"MESA PUENTE (ALIMENTACION) (INSTRUMENTAL)"</f>
        <v>MESA PUENTE (ALIMENTACION) (INSTRUMENTAL)</v>
      </c>
      <c r="C12923" s="6">
        <v>15000</v>
      </c>
      <c r="D12923" s="5"/>
      <c r="E12923" s="5" t="str">
        <f t="shared" si="657"/>
        <v>ACTISALUD -NEUROCIRUGIA - GUSTAVO GOMEZ</v>
      </c>
      <c r="F12923" s="5" t="str">
        <f>"Descripcion: MESA PUENTE PARA ALIMENTACION CON DOBLE SOPORTE Estado: Bueno Placa anterior: 000026810 Material: METALICO, ACERO INOX Color: GRIS Referencia:  Observacion:  Placa padre: Tipo adquisicion: Entidad"</f>
        <v>Descripcion: MESA PUENTE PARA ALIMENTACION CON DOBLE SOPORTE Estado: Bueno Placa anterior: 000026810 Material: METALICO, ACERO INOX Color: GRIS Referencia:  Observacion:  Placa padre: Tipo adquisicion: Entidad</v>
      </c>
      <c r="G12923" s="5"/>
    </row>
    <row r="12924" spans="1:7" ht="58.5" customHeight="1" x14ac:dyDescent="0.25">
      <c r="A12924" s="5" t="str">
        <f>"H0008182"</f>
        <v>H0008182</v>
      </c>
      <c r="B12924" s="5" t="str">
        <f>"SILLA PLASTICA CON BRAZOS"</f>
        <v>SILLA PLASTICA CON BRAZOS</v>
      </c>
      <c r="C12924" s="6">
        <v>10440</v>
      </c>
      <c r="D12924" s="5"/>
      <c r="E12924" s="5" t="str">
        <f t="shared" si="657"/>
        <v>ACTISALUD -NEUROCIRUGIA - GUSTAVO GOMEZ</v>
      </c>
      <c r="F12924" s="5" t="str">
        <f>"Descripcion: SILLA PLASTICA CON BRAZOS Estado: Bueno Placa anterior: 000026519 Material: PLASTICO Color: BLANCO Referencia:  Observacion:  Placa padre: Tipo adquisicion: Entidad"</f>
        <v>Descripcion: SILLA PLASTICA CON BRAZOS Estado: Bueno Placa anterior: 000026519 Material: PLASTICO Color: BLANCO Referencia:  Observacion:  Placa padre: Tipo adquisicion: Entidad</v>
      </c>
      <c r="G12924" s="5"/>
    </row>
    <row r="12925" spans="1:7" ht="58.5" customHeight="1" x14ac:dyDescent="0.25">
      <c r="A12925" s="5" t="str">
        <f>"H0008188"</f>
        <v>H0008188</v>
      </c>
      <c r="B12925" s="5" t="str">
        <f>"MESA PUENTE (ALIMENTACION) (INSTRUMENTAL)"</f>
        <v>MESA PUENTE (ALIMENTACION) (INSTRUMENTAL)</v>
      </c>
      <c r="C12925" s="6">
        <v>15000</v>
      </c>
      <c r="D12925" s="5"/>
      <c r="E12925" s="5" t="str">
        <f t="shared" si="657"/>
        <v>ACTISALUD -NEUROCIRUGIA - GUSTAVO GOMEZ</v>
      </c>
      <c r="F12925" s="5" t="str">
        <f>"Descripcion: MESA PUENTE PARA ALIMENTACION CON DOBLE SOPORTE Estado: Bueno Placa anterior: 000026812 Material: METALICO, ACERO INOX Color: GRIS Referencia:  Observacion:  Placa padre: Tipo adquisicion: Entidad"</f>
        <v>Descripcion: MESA PUENTE PARA ALIMENTACION CON DOBLE SOPORTE Estado: Bueno Placa anterior: 000026812 Material: METALICO, ACERO INOX Color: GRIS Referencia:  Observacion:  Placa padre: Tipo adquisicion: Entidad</v>
      </c>
      <c r="G12925" s="5"/>
    </row>
    <row r="12926" spans="1:7" ht="58.5" customHeight="1" x14ac:dyDescent="0.25">
      <c r="A12926" s="5" t="str">
        <f>"H0008189"</f>
        <v>H0008189</v>
      </c>
      <c r="B12926" s="5" t="str">
        <f>"MESA PUENTE (ALIMENTACION) (INSTRUMENTAL)"</f>
        <v>MESA PUENTE (ALIMENTACION) (INSTRUMENTAL)</v>
      </c>
      <c r="C12926" s="6">
        <v>15000</v>
      </c>
      <c r="D12926" s="5"/>
      <c r="E12926" s="5" t="str">
        <f t="shared" si="657"/>
        <v>ACTISALUD -NEUROCIRUGIA - GUSTAVO GOMEZ</v>
      </c>
      <c r="F12926" s="5" t="str">
        <f>"Descripcion: MESA PUENTE PARA ALIMENTACION CON DOBLE SOPORTE Estado: Bueno Placa anterior: 000005610 Material: METALICO, ACERO INOX Color: GRIS Referencia:  Observacion: PLACA ANTERIOR NO ENCONTRADA 000027420  AUTORIZADO CONCILIAR EN CRUCE GENERAL Placa p"&amp; "adre: Tipo adquisicion: Entidad"</f>
        <v>Descripcion: MESA PUENTE PARA ALIMENTACION CON DOBLE SOPORTE Estado: Bueno Placa anterior: 000005610 Material: METALICO, ACERO INOX Color: GRIS Referencia:  Observacion: PLACA ANTERIOR NO ENCONTRADA 000027420  AUTORIZADO CONCILIAR EN CRUCE GENERAL Placa padre: Tipo adquisicion: Entidad</v>
      </c>
      <c r="G12926" s="5"/>
    </row>
    <row r="12927" spans="1:7" ht="58.5" customHeight="1" x14ac:dyDescent="0.25">
      <c r="A12927" s="5" t="str">
        <f>"H0008192"</f>
        <v>H0008192</v>
      </c>
      <c r="B12927" s="5" t="str">
        <f>"MESA PUENTE (ALIMENTACION) (INSTRUMENTAL)"</f>
        <v>MESA PUENTE (ALIMENTACION) (INSTRUMENTAL)</v>
      </c>
      <c r="C12927" s="6">
        <v>24126.86</v>
      </c>
      <c r="D12927" s="5"/>
      <c r="E12927" s="5" t="str">
        <f t="shared" si="657"/>
        <v>ACTISALUD -NEUROCIRUGIA - GUSTAVO GOMEZ</v>
      </c>
      <c r="F12927" s="5" t="str">
        <f>"Descripcion: MESA PUENTE PARA ALIMENTACION CON DOBLE SOPORTE Estado: Bueno Placa anterior: 000027386 Material: METALICO, ACERO INOX Color:  Referencia:  Observacion:  Placa padre: Tipo adquisicion: Entidad"</f>
        <v>Descripcion: MESA PUENTE PARA ALIMENTACION CON DOBLE SOPORTE Estado: Bueno Placa anterior: 000027386 Material: METALICO, ACERO INOX Color:  Referencia:  Observacion:  Placa padre: Tipo adquisicion: Entidad</v>
      </c>
      <c r="G12927" s="5"/>
    </row>
    <row r="12928" spans="1:7" ht="58.5" customHeight="1" x14ac:dyDescent="0.25">
      <c r="A12928" s="5" t="str">
        <f>"H0008194"</f>
        <v>H0008194</v>
      </c>
      <c r="B12928" s="5" t="str">
        <f>"SILLA PLASTICA CON BRAZOS"</f>
        <v>SILLA PLASTICA CON BRAZOS</v>
      </c>
      <c r="C12928" s="6">
        <v>12240.32</v>
      </c>
      <c r="D12928" s="5"/>
      <c r="E12928" s="5" t="str">
        <f t="shared" si="657"/>
        <v>ACTISALUD -NEUROCIRUGIA - GUSTAVO GOMEZ</v>
      </c>
      <c r="F12928" s="5" t="str">
        <f>"Descripcion: SILLA PLASTICA BLANCA CON BRAZOS Estado: Bueno Placa anterior: 000027369 Material: PLASTICO Color: BLANCO Referencia:  Observacion:  Placa padre: Tipo adquisicion: Entidad"</f>
        <v>Descripcion: SILLA PLASTICA BLANCA CON BRAZOS Estado: Bueno Placa anterior: 000027369 Material: PLASTICO Color: BLANCO Referencia:  Observacion:  Placa padre: Tipo adquisicion: Entidad</v>
      </c>
      <c r="G12928" s="5"/>
    </row>
    <row r="12929" spans="1:7" ht="58.5" customHeight="1" x14ac:dyDescent="0.25">
      <c r="A12929" s="5" t="str">
        <f>"H0008196"</f>
        <v>H0008196</v>
      </c>
      <c r="B12929" s="5" t="str">
        <f>"VENTILADOR DE PARED"</f>
        <v>VENTILADOR DE PARED</v>
      </c>
      <c r="C12929" s="6">
        <v>72477.5</v>
      </c>
      <c r="D12929" s="5" t="s">
        <v>54</v>
      </c>
      <c r="E12929" s="5" t="str">
        <f t="shared" si="657"/>
        <v>ACTISALUD -NEUROCIRUGIA - GUSTAVO GOMEZ</v>
      </c>
      <c r="F12929" s="5" t="str">
        <f>"Descripcion: VENTILADOR DE PARED SAMURAI Estado: Bueno Placa anterior: 000037141 Material: PLASTICO Color: BLANCO Referencia:  Observacion:  Placa padre: Tipo adquisicion: Entidad"</f>
        <v>Descripcion: VENTILADOR DE PARED SAMURAI Estado: Bueno Placa anterior: 000037141 Material: PLASTICO Color: BLANCO Referencia:  Observacion:  Placa padre: Tipo adquisicion: Entidad</v>
      </c>
      <c r="G12929" s="5"/>
    </row>
    <row r="12930" spans="1:7" ht="58.5" customHeight="1" x14ac:dyDescent="0.25">
      <c r="A12930" s="5" t="str">
        <f>"H0008197"</f>
        <v>H0008197</v>
      </c>
      <c r="B12930" s="5" t="str">
        <f>"VENTILADOR DE PARED"</f>
        <v>VENTILADOR DE PARED</v>
      </c>
      <c r="C12930" s="6">
        <v>72477.5</v>
      </c>
      <c r="D12930" s="5" t="s">
        <v>54</v>
      </c>
      <c r="E12930" s="5" t="str">
        <f t="shared" si="657"/>
        <v>ACTISALUD -NEUROCIRUGIA - GUSTAVO GOMEZ</v>
      </c>
      <c r="F12930" s="5" t="str">
        <f>"Descripcion: VENTILADOR DE PARED SAMURAI Estado: Bueno Placa anterior: 000037142 Material: PLASTICO Color: BLANCO Referencia:  Observacion:  Placa padre: Tipo adquisicion: Entidad"</f>
        <v>Descripcion: VENTILADOR DE PARED SAMURAI Estado: Bueno Placa anterior: 000037142 Material: PLASTICO Color: BLANCO Referencia:  Observacion:  Placa padre: Tipo adquisicion: Entidad</v>
      </c>
      <c r="G12930" s="5"/>
    </row>
    <row r="12931" spans="1:7" ht="58.5" customHeight="1" x14ac:dyDescent="0.25">
      <c r="A12931" s="5" t="str">
        <f>"H0008201"</f>
        <v>H0008201</v>
      </c>
      <c r="B12931" s="5" t="str">
        <f>"MESA PUENTE (ALIMENTACION) (INSTRUMENTAL)"</f>
        <v>MESA PUENTE (ALIMENTACION) (INSTRUMENTAL)</v>
      </c>
      <c r="C12931" s="6">
        <v>24126.86</v>
      </c>
      <c r="D12931" s="5"/>
      <c r="E12931" s="5" t="str">
        <f t="shared" si="657"/>
        <v>ACTISALUD -NEUROCIRUGIA - GUSTAVO GOMEZ</v>
      </c>
      <c r="F12931" s="5" t="str">
        <f>"Descripcion: MESA PUENTE PARA ALIMENTACION CON DOBLE SOPORTE Estado: Bueno Placa anterior: 000027380 Material: METALICO, ACERO INOX. Color: GRIS Referencia:  Observacion:  Placa padre: Tipo adquisicion: Entidad"</f>
        <v>Descripcion: MESA PUENTE PARA ALIMENTACION CON DOBLE SOPORTE Estado: Bueno Placa anterior: 000027380 Material: METALICO, ACERO INOX. Color: GRIS Referencia:  Observacion:  Placa padre: Tipo adquisicion: Entidad</v>
      </c>
      <c r="G12931" s="5"/>
    </row>
    <row r="12932" spans="1:7" ht="58.5" customHeight="1" x14ac:dyDescent="0.25">
      <c r="A12932" s="5" t="str">
        <f>"H0008203"</f>
        <v>H0008203</v>
      </c>
      <c r="B12932" s="5" t="str">
        <f>"SILLA PLASTICA CON BRAZOS"</f>
        <v>SILLA PLASTICA CON BRAZOS</v>
      </c>
      <c r="C12932" s="6">
        <v>12240.32</v>
      </c>
      <c r="D12932" s="5"/>
      <c r="E12932" s="5" t="str">
        <f t="shared" si="657"/>
        <v>ACTISALUD -NEUROCIRUGIA - GUSTAVO GOMEZ</v>
      </c>
      <c r="F12932" s="5" t="str">
        <f>"Descripcion: SILLA PLASTICA BLANCA CON BRAZOS Estado: Bueno Placa anterior: 000027398 Material: PLASTICO Color: BLANCO Referencia:  Observacion:  Placa padre: Tipo adquisicion: Entidad"</f>
        <v>Descripcion: SILLA PLASTICA BLANCA CON BRAZOS Estado: Bueno Placa anterior: 000027398 Material: PLASTICO Color: BLANCO Referencia:  Observacion:  Placa padre: Tipo adquisicion: Entidad</v>
      </c>
      <c r="G12932" s="5"/>
    </row>
    <row r="12933" spans="1:7" ht="58.5" customHeight="1" x14ac:dyDescent="0.25">
      <c r="A12933" s="5" t="str">
        <f>"H0008208"</f>
        <v>H0008208</v>
      </c>
      <c r="B12933" s="5" t="str">
        <f>"MESA PUENTE (ALIMENTACION) (INSTRUMENTAL)"</f>
        <v>MESA PUENTE (ALIMENTACION) (INSTRUMENTAL)</v>
      </c>
      <c r="C12933" s="6">
        <v>15000</v>
      </c>
      <c r="D12933" s="5"/>
      <c r="E12933" s="5" t="str">
        <f t="shared" ref="E12933:E12996" si="659">"ACTISALUD -NEUROCIRUGIA - GUSTAVO GOMEZ"</f>
        <v>ACTISALUD -NEUROCIRUGIA - GUSTAVO GOMEZ</v>
      </c>
      <c r="F12933" s="5" t="str">
        <f>"Descripcion: MESA PUENTE PARA ALIMENTACION CON DOBLE SOPORTE Estado: Bueno Placa anterior: 000028197 Material: METALICO, ACERO INOX. Color: GRIS Referencia:  Observacion:  Placa padre: Tipo adquisicion: Entidad"</f>
        <v>Descripcion: MESA PUENTE PARA ALIMENTACION CON DOBLE SOPORTE Estado: Bueno Placa anterior: 000028197 Material: METALICO, ACERO INOX. Color: GRIS Referencia:  Observacion:  Placa padre: Tipo adquisicion: Entidad</v>
      </c>
      <c r="G12933" s="5"/>
    </row>
    <row r="12934" spans="1:7" ht="58.5" customHeight="1" x14ac:dyDescent="0.25">
      <c r="A12934" s="5" t="str">
        <f>"H0008215"</f>
        <v>H0008215</v>
      </c>
      <c r="B12934" s="5" t="str">
        <f>"MESA PUENTE (ALIMENTACION) (INSTRUMENTAL)"</f>
        <v>MESA PUENTE (ALIMENTACION) (INSTRUMENTAL)</v>
      </c>
      <c r="C12934" s="6">
        <v>15000</v>
      </c>
      <c r="D12934" s="5"/>
      <c r="E12934" s="5" t="str">
        <f t="shared" si="659"/>
        <v>ACTISALUD -NEUROCIRUGIA - GUSTAVO GOMEZ</v>
      </c>
      <c r="F12934" s="5" t="str">
        <f>"Descripcion: MESA PUENTE PARA ALIMENTACION CON DOBLE SOPORTE Estado: Bueno Placa anterior: 000028144 Material: METALICO, ACERO INOX. Color: VERDE Referencia:  Observacion:  Placa padre: Tipo adquisicion: Entidad"</f>
        <v>Descripcion: MESA PUENTE PARA ALIMENTACION CON DOBLE SOPORTE Estado: Bueno Placa anterior: 000028144 Material: METALICO, ACERO INOX. Color: VERDE Referencia:  Observacion:  Placa padre: Tipo adquisicion: Entidad</v>
      </c>
      <c r="G12934" s="5"/>
    </row>
    <row r="12935" spans="1:7" ht="58.5" customHeight="1" x14ac:dyDescent="0.25">
      <c r="A12935" s="5" t="str">
        <f>"H0008218"</f>
        <v>H0008218</v>
      </c>
      <c r="B12935" s="5" t="str">
        <f>"MESA PUENTE (ALIMENTACION) (INSTRUMENTAL)"</f>
        <v>MESA PUENTE (ALIMENTACION) (INSTRUMENTAL)</v>
      </c>
      <c r="C12935" s="6">
        <v>15000</v>
      </c>
      <c r="D12935" s="5"/>
      <c r="E12935" s="5" t="str">
        <f t="shared" si="659"/>
        <v>ACTISALUD -NEUROCIRUGIA - GUSTAVO GOMEZ</v>
      </c>
      <c r="F12935" s="5" t="str">
        <f>"Descripcion: MESA PUENTE PARA ALIMENTACION CON DOBLE SOPORTE Estado: Bueno Placa anterior: 000028199 Material: METALICO, ACERO INOX. Color: GRIS Referencia:  Observacion:  Placa padre: Tipo adquisicion: Entidad"</f>
        <v>Descripcion: MESA PUENTE PARA ALIMENTACION CON DOBLE SOPORTE Estado: Bueno Placa anterior: 000028199 Material: METALICO, ACERO INOX. Color: GRIS Referencia:  Observacion:  Placa padre: Tipo adquisicion: Entidad</v>
      </c>
      <c r="G12935" s="5"/>
    </row>
    <row r="12936" spans="1:7" ht="58.5" customHeight="1" x14ac:dyDescent="0.25">
      <c r="A12936" s="5" t="str">
        <f>"H0008220"</f>
        <v>H0008220</v>
      </c>
      <c r="B12936" s="5" t="str">
        <f>"MESA PUENTE (ALIMENTACION) (INSTRUMENTAL)"</f>
        <v>MESA PUENTE (ALIMENTACION) (INSTRUMENTAL)</v>
      </c>
      <c r="C12936" s="6">
        <v>15000</v>
      </c>
      <c r="D12936" s="5"/>
      <c r="E12936" s="5" t="str">
        <f t="shared" si="659"/>
        <v>ACTISALUD -NEUROCIRUGIA - GUSTAVO GOMEZ</v>
      </c>
      <c r="F12936" s="5" t="str">
        <f>"Descripcion: MESA PUENTE PARA ALIMENTACION CON DOBLE SOPORTE Estado: Bueno Placa anterior: 000026889 Material: METALICO, ACERO INOX. Color: VERDE Referencia:  Observacion: PLACA ANTERIOR NO ENCONTRADA 000027387  AUTORIZADO CONCILIAR EN CRUCE GENERAL Placa"&amp; " padre: Tipo adquisicion: Entidad"</f>
        <v>Descripcion: MESA PUENTE PARA ALIMENTACION CON DOBLE SOPORTE Estado: Bueno Placa anterior: 000026889 Material: METALICO, ACERO INOX. Color: VERDE Referencia:  Observacion: PLACA ANTERIOR NO ENCONTRADA 000027387  AUTORIZADO CONCILIAR EN CRUCE GENERAL Placa padre: Tipo adquisicion: Entidad</v>
      </c>
      <c r="G12936" s="5"/>
    </row>
    <row r="12937" spans="1:7" ht="58.5" customHeight="1" x14ac:dyDescent="0.25">
      <c r="A12937" s="5" t="str">
        <f>"H0008221"</f>
        <v>H0008221</v>
      </c>
      <c r="B12937" s="5" t="str">
        <f>"VENTILADOR DE PARED"</f>
        <v>VENTILADOR DE PARED</v>
      </c>
      <c r="C12937" s="6">
        <v>72477.5</v>
      </c>
      <c r="D12937" s="5" t="s">
        <v>54</v>
      </c>
      <c r="E12937" s="5" t="str">
        <f t="shared" si="659"/>
        <v>ACTISALUD -NEUROCIRUGIA - GUSTAVO GOMEZ</v>
      </c>
      <c r="F12937" s="5" t="str">
        <f>"Descripcion: VENTILADOR DE PARED SAMURAI Estado: Bueno Placa anterior: 000037143 Material: PLASTICO Color: BLANCO Referencia:  Observacion:  Placa padre: Tipo adquisicion: Entidad"</f>
        <v>Descripcion: VENTILADOR DE PARED SAMURAI Estado: Bueno Placa anterior: 000037143 Material: PLASTICO Color: BLANCO Referencia:  Observacion:  Placa padre: Tipo adquisicion: Entidad</v>
      </c>
      <c r="G12937" s="5" t="str">
        <f>"TURBO SILENCE MAXX"</f>
        <v>TURBO SILENCE MAXX</v>
      </c>
    </row>
    <row r="12938" spans="1:7" ht="58.5" customHeight="1" x14ac:dyDescent="0.25">
      <c r="A12938" s="5" t="str">
        <f>"H0008222"</f>
        <v>H0008222</v>
      </c>
      <c r="B12938" s="5" t="str">
        <f>"VENTILADOR DE PARED"</f>
        <v>VENTILADOR DE PARED</v>
      </c>
      <c r="C12938" s="6">
        <v>72477.5</v>
      </c>
      <c r="D12938" s="5" t="s">
        <v>54</v>
      </c>
      <c r="E12938" s="5" t="str">
        <f t="shared" si="659"/>
        <v>ACTISALUD -NEUROCIRUGIA - GUSTAVO GOMEZ</v>
      </c>
      <c r="F12938" s="5" t="str">
        <f>"Descripcion: VENTILADOR DE PARED SAMURAI Estado: Bueno Placa anterior: 000037144 Material: PLASTICO Color: BLANCO Referencia:  Observacion:  Placa padre: Tipo adquisicion: Entidad"</f>
        <v>Descripcion: VENTILADOR DE PARED SAMURAI Estado: Bueno Placa anterior: 000037144 Material: PLASTICO Color: BLANCO Referencia:  Observacion:  Placa padre: Tipo adquisicion: Entidad</v>
      </c>
      <c r="G12938" s="5" t="str">
        <f>"TURBO SILENCE MAXX"</f>
        <v>TURBO SILENCE MAXX</v>
      </c>
    </row>
    <row r="12939" spans="1:7" ht="58.5" customHeight="1" x14ac:dyDescent="0.25">
      <c r="A12939" s="5" t="str">
        <f>"H0008228"</f>
        <v>H0008228</v>
      </c>
      <c r="B12939" s="5" t="str">
        <f>"MESA PUENTE (ALIMENTACION) (INSTRUMENTAL)"</f>
        <v>MESA PUENTE (ALIMENTACION) (INSTRUMENTAL)</v>
      </c>
      <c r="C12939" s="6">
        <v>15000</v>
      </c>
      <c r="D12939" s="5"/>
      <c r="E12939" s="5" t="str">
        <f t="shared" si="659"/>
        <v>ACTISALUD -NEUROCIRUGIA - GUSTAVO GOMEZ</v>
      </c>
      <c r="F12939" s="5" t="str">
        <f>"Descripcion: MESA PUENTE PARA ALIMENTACION Estado: Bueno Placa anterior: 000026909 Material: METALICO  Color: GRIS Referencia:  Observacion: PLACA ANTERIOR NO ENCONTRADA 000027424  AUTORIZADO CONCILIAR EN CRUCE GENERAL Placa padre: Tipo adquisicion: Entid"&amp; "ad"</f>
        <v>Descripcion: MESA PUENTE PARA ALIMENTACION Estado: Bueno Placa anterior: 000026909 Material: METALICO  Color: GRIS Referencia:  Observacion: PLACA ANTERIOR NO ENCONTRADA 000027424  AUTORIZADO CONCILIAR EN CRUCE GENERAL Placa padre: Tipo adquisicion: Entidad</v>
      </c>
      <c r="G12939" s="5"/>
    </row>
    <row r="12940" spans="1:7" ht="58.5" customHeight="1" x14ac:dyDescent="0.25">
      <c r="A12940" s="5" t="str">
        <f>"H0008229"</f>
        <v>H0008229</v>
      </c>
      <c r="B12940" s="5" t="str">
        <f>"SILLA PLASTICA CON BRAZOS"</f>
        <v>SILLA PLASTICA CON BRAZOS</v>
      </c>
      <c r="C12940" s="6">
        <v>10440</v>
      </c>
      <c r="D12940" s="5"/>
      <c r="E12940" s="5" t="str">
        <f t="shared" si="659"/>
        <v>ACTISALUD -NEUROCIRUGIA - GUSTAVO GOMEZ</v>
      </c>
      <c r="F12940" s="5" t="str">
        <f>"Descripcion: SILLA PLASTICA CON BRAZOS  Estado: Bueno Placa anterior: 000026561 Material: PLASTICO Color: BLANCO Referencia:  Observacion:  Placa padre: Tipo adquisicion: Entidad"</f>
        <v>Descripcion: SILLA PLASTICA CON BRAZOS  Estado: Bueno Placa anterior: 000026561 Material: PLASTICO Color: BLANCO Referencia:  Observacion:  Placa padre: Tipo adquisicion: Entidad</v>
      </c>
      <c r="G12940" s="5"/>
    </row>
    <row r="12941" spans="1:7" ht="58.5" customHeight="1" x14ac:dyDescent="0.25">
      <c r="A12941" s="5" t="str">
        <f>"H0008245"</f>
        <v>H0008245</v>
      </c>
      <c r="B12941" s="5" t="str">
        <f>"SILLA TANDEM DE 4 PUESTOS"</f>
        <v>SILLA TANDEM DE 4 PUESTOS</v>
      </c>
      <c r="C12941" s="6">
        <v>740000</v>
      </c>
      <c r="D12941" s="5" t="s">
        <v>529</v>
      </c>
      <c r="E12941" s="5" t="str">
        <f t="shared" si="659"/>
        <v>ACTISALUD -NEUROCIRUGIA - GUSTAVO GOMEZ</v>
      </c>
      <c r="F12941" s="5" t="str">
        <f>"Descripcion: SILLA TANDEM DE 4 PUESTOS (FALTA 1 SILLA) Estado: Regular Placa anterior:  Material: METALICO CON ASIENTOS EN PLASTICO Color: NEGRO CON BLANCO Referencia:  Observacion:  Placa padre: Tipo adquisicion: Entidad"</f>
        <v>Descripcion: SILLA TANDEM DE 4 PUESTOS (FALTA 1 SILLA) Estado: Regular Placa anterior:  Material: METALICO CON ASIENTOS EN PLASTICO Color: NEGRO CON BLANCO Referencia:  Observacion:  Placa padre: Tipo adquisicion: Entidad</v>
      </c>
      <c r="G12941" s="5"/>
    </row>
    <row r="12942" spans="1:7" ht="58.5" customHeight="1" x14ac:dyDescent="0.25">
      <c r="A12942" s="5" t="str">
        <f>"H0008248"</f>
        <v>H0008248</v>
      </c>
      <c r="B12942" s="5" t="str">
        <f>"GABINETE CONTRA INCENDIO"</f>
        <v>GABINETE CONTRA INCENDIO</v>
      </c>
      <c r="C12942" s="6">
        <v>171000</v>
      </c>
      <c r="D12942" s="5"/>
      <c r="E12942" s="5" t="str">
        <f t="shared" si="659"/>
        <v>ACTISALUD -NEUROCIRUGIA - GUSTAVO GOMEZ</v>
      </c>
      <c r="F12942" s="5" t="str">
        <f>"Descripcion: GABINETE CONTRA INCENDIO CONTIENE: EXTINTO AMARILLO,, MANGUERA, HACHA Estado: Bueno Placa anterior: 000019085 Material: METALICO Color: MARCO ROJO Referencia:  Observacion:  Placa padre: Tipo adquisicion: Entidad"</f>
        <v>Descripcion: GABINETE CONTRA INCENDIO CONTIENE: EXTINTO AMARILLO,, MANGUERA, HACHA Estado: Bueno Placa anterior: 000019085 Material: METALICO Color: MARCO ROJO Referencia:  Observacion:  Placa padre: Tipo adquisicion: Entidad</v>
      </c>
      <c r="G12942" s="5"/>
    </row>
    <row r="12943" spans="1:7" ht="58.5" customHeight="1" x14ac:dyDescent="0.25">
      <c r="A12943" s="5" t="str">
        <f>"H0008250"</f>
        <v>H0008250</v>
      </c>
      <c r="B12943" s="5" t="str">
        <f>"PATO (PISINGO) HOMBRE"</f>
        <v>PATO (PISINGO) HOMBRE</v>
      </c>
      <c r="C12943" s="6">
        <v>15612.17</v>
      </c>
      <c r="D12943" s="5"/>
      <c r="E12943" s="5" t="str">
        <f t="shared" si="659"/>
        <v>ACTISALUD -NEUROCIRUGIA - GUSTAVO GOMEZ</v>
      </c>
      <c r="F12943" s="5" t="str">
        <f>"Descripcion: PATO ORINAL - PISINGO Estado: Bueno Placa anterior: 000003902 Material: ACERO INOXIDABLE Color:  Referencia:  Observacion:  Placa padre: Tipo adquisicion: Entidad"</f>
        <v>Descripcion: PATO ORINAL - PISINGO Estado: Bueno Placa anterior: 000003902 Material: ACERO INOXIDABLE Color:  Referencia:  Observacion:  Placa padre: Tipo adquisicion: Entidad</v>
      </c>
      <c r="G12943" s="5"/>
    </row>
    <row r="12944" spans="1:7" ht="58.5" customHeight="1" x14ac:dyDescent="0.25">
      <c r="A12944" s="5" t="str">
        <f>"H0008251"</f>
        <v>H0008251</v>
      </c>
      <c r="B12944" s="5" t="str">
        <f>"PATO (COPROLOGICO) MUJER"</f>
        <v>PATO (COPROLOGICO) MUJER</v>
      </c>
      <c r="C12944" s="6">
        <v>43881.89</v>
      </c>
      <c r="D12944" s="5"/>
      <c r="E12944" s="5" t="str">
        <f t="shared" si="659"/>
        <v>ACTISALUD -NEUROCIRUGIA - GUSTAVO GOMEZ</v>
      </c>
      <c r="F12944" s="5" t="str">
        <f>"Descripcion: PATO COPROLOGICO Estado: Bueno Placa anterior: 000004905 Material: ACERO INOXIDABLE Color:  Referencia:  Observacion:  Placa padre: Tipo adquisicion: Entidad"</f>
        <v>Descripcion: PATO COPROLOGICO Estado: Bueno Placa anterior: 000004905 Material: ACERO INOXIDABLE Color:  Referencia:  Observacion:  Placa padre: Tipo adquisicion: Entidad</v>
      </c>
      <c r="G12944" s="5"/>
    </row>
    <row r="12945" spans="1:7" ht="58.5" customHeight="1" x14ac:dyDescent="0.25">
      <c r="A12945" s="5" t="str">
        <f>"H0008252"</f>
        <v>H0008252</v>
      </c>
      <c r="B12945" s="5" t="str">
        <f>"PATO (COPROLOGICO) MUJER"</f>
        <v>PATO (COPROLOGICO) MUJER</v>
      </c>
      <c r="C12945" s="6">
        <v>43881.89</v>
      </c>
      <c r="D12945" s="5"/>
      <c r="E12945" s="5" t="str">
        <f t="shared" si="659"/>
        <v>ACTISALUD -NEUROCIRUGIA - GUSTAVO GOMEZ</v>
      </c>
      <c r="F12945" s="5" t="str">
        <f>"Descripcion: PATO COPROLOGICO Estado: Bueno Placa anterior: 000005085 Material: ACERO INOXIDABLE Color:  Referencia:  Observacion:  Placa padre: Tipo adquisicion: Entidad"</f>
        <v>Descripcion: PATO COPROLOGICO Estado: Bueno Placa anterior: 000005085 Material: ACERO INOXIDABLE Color:  Referencia:  Observacion:  Placa padre: Tipo adquisicion: Entidad</v>
      </c>
      <c r="G12945" s="5"/>
    </row>
    <row r="12946" spans="1:7" ht="58.5" customHeight="1" x14ac:dyDescent="0.25">
      <c r="A12946" s="5" t="str">
        <f>"H0008253"</f>
        <v>H0008253</v>
      </c>
      <c r="B12946" s="5" t="str">
        <f>"PATO (COPROLOGICO) MUJER"</f>
        <v>PATO (COPROLOGICO) MUJER</v>
      </c>
      <c r="C12946" s="6">
        <v>47823</v>
      </c>
      <c r="D12946" s="5"/>
      <c r="E12946" s="5" t="str">
        <f t="shared" si="659"/>
        <v>ACTISALUD -NEUROCIRUGIA - GUSTAVO GOMEZ</v>
      </c>
      <c r="F12946" s="5" t="str">
        <f>"Descripcion: PATO COPROLOGICO Estado: Bueno Placa anterior: 000019812 Material: ACERO INOXIDABLE Color:  Referencia:  Observacion:  Placa padre: Tipo adquisicion: Entidad"</f>
        <v>Descripcion: PATO COPROLOGICO Estado: Bueno Placa anterior: 000019812 Material: ACERO INOXIDABLE Color:  Referencia:  Observacion:  Placa padre: Tipo adquisicion: Entidad</v>
      </c>
      <c r="G12946" s="5"/>
    </row>
    <row r="12947" spans="1:7" ht="58.5" customHeight="1" x14ac:dyDescent="0.25">
      <c r="A12947" s="5" t="str">
        <f>"H0008254"</f>
        <v>H0008254</v>
      </c>
      <c r="B12947" s="5" t="str">
        <f>"PATO (COPROLOGICO) MUJER"</f>
        <v>PATO (COPROLOGICO) MUJER</v>
      </c>
      <c r="C12947" s="6">
        <v>25206.18</v>
      </c>
      <c r="D12947" s="5"/>
      <c r="E12947" s="5" t="str">
        <f t="shared" si="659"/>
        <v>ACTISALUD -NEUROCIRUGIA - GUSTAVO GOMEZ</v>
      </c>
      <c r="F12947" s="5" t="str">
        <f>"Descripcion: PATO COPROLOGICO Estado: Bueno Placa anterior: 000003724 Material: ACERO INOXIDABLE Color:  Referencia:  Observacion:  Placa padre: Tipo adquisicion: Entidad"</f>
        <v>Descripcion: PATO COPROLOGICO Estado: Bueno Placa anterior: 000003724 Material: ACERO INOXIDABLE Color:  Referencia:  Observacion:  Placa padre: Tipo adquisicion: Entidad</v>
      </c>
      <c r="G12947" s="5"/>
    </row>
    <row r="12948" spans="1:7" ht="58.5" customHeight="1" x14ac:dyDescent="0.25">
      <c r="A12948" s="5" t="str">
        <f>"H0008255"</f>
        <v>H0008255</v>
      </c>
      <c r="B12948" s="5" t="str">
        <f>"PATO (COPROLOGICO) MUJER"</f>
        <v>PATO (COPROLOGICO) MUJER</v>
      </c>
      <c r="C12948" s="6">
        <v>25206.18</v>
      </c>
      <c r="D12948" s="5"/>
      <c r="E12948" s="5" t="str">
        <f t="shared" si="659"/>
        <v>ACTISALUD -NEUROCIRUGIA - GUSTAVO GOMEZ</v>
      </c>
      <c r="F12948" s="5" t="str">
        <f>"Descripcion: PATO COPROLOGICO Estado: Bueno Placa anterior: 000003725 Material: ACERO INOXIDABLE Color:  Referencia:  Observacion:  Placa padre: Tipo adquisicion: Entidad"</f>
        <v>Descripcion: PATO COPROLOGICO Estado: Bueno Placa anterior: 000003725 Material: ACERO INOXIDABLE Color:  Referencia:  Observacion:  Placa padre: Tipo adquisicion: Entidad</v>
      </c>
      <c r="G12948" s="5"/>
    </row>
    <row r="12949" spans="1:7" ht="58.5" customHeight="1" x14ac:dyDescent="0.25">
      <c r="A12949" s="5" t="str">
        <f>"H0008260"</f>
        <v>H0008260</v>
      </c>
      <c r="B12949" s="5" t="str">
        <f>"GABINETE CONTRA INCENDIO"</f>
        <v>GABINETE CONTRA INCENDIO</v>
      </c>
      <c r="C12949" s="6">
        <v>171000</v>
      </c>
      <c r="D12949" s="5"/>
      <c r="E12949" s="5" t="str">
        <f t="shared" si="659"/>
        <v>ACTISALUD -NEUROCIRUGIA - GUSTAVO GOMEZ</v>
      </c>
      <c r="F12949" s="5" t="str">
        <f>"Descripcion: GABINETE CONTRA INCENDIO CONTIENE: EXTINTOR ROJO,, MANGUERA, HACHA Estado: Bueno Placa anterior: 000019086 Material: METALICO Color: MARCO ROJO Referencia:  Observacion:  Placa padre: Tipo adquisicion: Entidad"</f>
        <v>Descripcion: GABINETE CONTRA INCENDIO CONTIENE: EXTINTOR ROJO,, MANGUERA, HACHA Estado: Bueno Placa anterior: 000019086 Material: METALICO Color: MARCO ROJO Referencia:  Observacion:  Placa padre: Tipo adquisicion: Entidad</v>
      </c>
      <c r="G12949" s="5"/>
    </row>
    <row r="12950" spans="1:7" ht="58.5" customHeight="1" x14ac:dyDescent="0.25">
      <c r="A12950" s="5" t="str">
        <f>"H0008261"</f>
        <v>H0008261</v>
      </c>
      <c r="B12950" s="5" t="str">
        <f>"CAMILLA DE TRASLADO CON BARANDAS"</f>
        <v>CAMILLA DE TRASLADO CON BARANDAS</v>
      </c>
      <c r="C12950" s="6">
        <v>1624000</v>
      </c>
      <c r="D12950" s="5"/>
      <c r="E12950" s="5" t="str">
        <f t="shared" si="659"/>
        <v>ACTISALUD -NEUROCIRUGIA - GUSTAVO GOMEZ</v>
      </c>
      <c r="F12950" s="5" t="str">
        <f>"Descripcion: CAMILLA DE TRASLADO CON BARANDAS Estado: Bueno Placa anterior: 000025208 Material: METALICO Color: BEIGE Referencia:  Observacion:  Placa padre: Tipo adquisicion: Entidad"</f>
        <v>Descripcion: CAMILLA DE TRASLADO CON BARANDAS Estado: Bueno Placa anterior: 000025208 Material: METALICO Color: BEIGE Referencia:  Observacion:  Placa padre: Tipo adquisicion: Entidad</v>
      </c>
      <c r="G12950" s="5"/>
    </row>
    <row r="12951" spans="1:7" ht="58.5" customHeight="1" x14ac:dyDescent="0.25">
      <c r="A12951" s="5" t="str">
        <f>"H0008262"</f>
        <v>H0008262</v>
      </c>
      <c r="B12951" s="5" t="str">
        <f>"NEBULIZADOR PORTATIL"</f>
        <v>NEBULIZADOR PORTATIL</v>
      </c>
      <c r="C12951" s="6">
        <v>1204197</v>
      </c>
      <c r="D12951" s="5" t="s">
        <v>55</v>
      </c>
      <c r="E12951" s="5" t="str">
        <f t="shared" si="659"/>
        <v>ACTISALUD -NEUROCIRUGIA - GUSTAVO GOMEZ</v>
      </c>
      <c r="F12951" s="5" t="str">
        <f>"Descripcion: NEBULIZADOR 1145 THOMAS INCLUYE: 6 KIT DE NEBULIZACION ADULTO Y 6 KIT DE NEBULIZACION PEDIATRICA Estado: Bueno Placa anterior: 000030327 Material: METALICO Color: GRIS  Referencia:  Observacion:  Placa padre: Tipo adquisicion: Donacion"</f>
        <v>Descripcion: NEBULIZADOR 1145 THOMAS INCLUYE: 6 KIT DE NEBULIZACION ADULTO Y 6 KIT DE NEBULIZACION PEDIATRICA Estado: Bueno Placa anterior: 000030327 Material: METALICO Color: GRIS  Referencia:  Observacion:  Placa padre: Tipo adquisicion: Donacion</v>
      </c>
      <c r="G12951" s="5" t="str">
        <f>"1445"</f>
        <v>1445</v>
      </c>
    </row>
    <row r="12952" spans="1:7" ht="58.5" customHeight="1" x14ac:dyDescent="0.25">
      <c r="A12952" s="5" t="str">
        <f>"H0008263"</f>
        <v>H0008263</v>
      </c>
      <c r="B12952" s="5" t="str">
        <f>"ASPIRADOR DE SECRECIONES"</f>
        <v>ASPIRADOR DE SECRECIONES</v>
      </c>
      <c r="C12952" s="6">
        <v>1447298</v>
      </c>
      <c r="D12952" s="5" t="s">
        <v>55</v>
      </c>
      <c r="E12952" s="5" t="str">
        <f t="shared" si="659"/>
        <v>ACTISALUD -NEUROCIRUGIA - GUSTAVO GOMEZ</v>
      </c>
      <c r="F12952" s="5" t="str">
        <f>"Descripcion: ASPIRADOR DE SECRECCIONES REF. 1630 61 THOMAS INCLUYE: Tres (3) Filtros, una (1) manguera Estado: Bueno Placa anterior: 000030321 Material: METALICO, PLASTICO Color: BEIGE CON GRIS Referencia:  Observacion:  Placa padre: Tipo adquisicion: Don"&amp; "acion"</f>
        <v>Descripcion: ASPIRADOR DE SECRECCIONES REF. 1630 61 THOMAS INCLUYE: Tres (3) Filtros, una (1) manguera Estado: Bueno Placa anterior: 000030321 Material: METALICO, PLASTICO Color: BEIGE CON GRIS Referencia:  Observacion:  Placa padre: Tipo adquisicion: Donacion</v>
      </c>
      <c r="G12952" s="5" t="str">
        <f>"1630GL"</f>
        <v>1630GL</v>
      </c>
    </row>
    <row r="12953" spans="1:7" ht="58.5" customHeight="1" x14ac:dyDescent="0.25">
      <c r="A12953" s="5" t="str">
        <f>"H0008265"</f>
        <v>H0008265</v>
      </c>
      <c r="B12953" s="5" t="str">
        <f>"SILLA PLASTICA CON BRAZOS"</f>
        <v>SILLA PLASTICA CON BRAZOS</v>
      </c>
      <c r="C12953" s="6">
        <v>10440</v>
      </c>
      <c r="D12953" s="5"/>
      <c r="E12953" s="5" t="str">
        <f t="shared" si="659"/>
        <v>ACTISALUD -NEUROCIRUGIA - GUSTAVO GOMEZ</v>
      </c>
      <c r="F12953" s="5" t="str">
        <f>"Descripcion: SILLAS PLASTICA CON BRAZOS Estado: Bueno Placa anterior: 000026571 Material: PLASTICO Color: AZUL Referencia:  Observacion: DONACION DE LAS ENFERMERAS DEL SERVICIO PISO 6 Placa padre: Tipo adquisicion: Donacion"</f>
        <v>Descripcion: SILLAS PLASTICA CON BRAZOS Estado: Bueno Placa anterior: 000026571 Material: PLASTICO Color: AZUL Referencia:  Observacion: DONACION DE LAS ENFERMERAS DEL SERVICIO PISO 6 Placa padre: Tipo adquisicion: Donacion</v>
      </c>
      <c r="G12953" s="5"/>
    </row>
    <row r="12954" spans="1:7" ht="58.5" customHeight="1" x14ac:dyDescent="0.25">
      <c r="A12954" s="5" t="str">
        <f>"H0008266"</f>
        <v>H0008266</v>
      </c>
      <c r="B12954" s="5" t="str">
        <f>"SILLA PLASTICA CON BRAZOS"</f>
        <v>SILLA PLASTICA CON BRAZOS</v>
      </c>
      <c r="C12954" s="6">
        <v>10440</v>
      </c>
      <c r="D12954" s="5"/>
      <c r="E12954" s="5" t="str">
        <f t="shared" si="659"/>
        <v>ACTISALUD -NEUROCIRUGIA - GUSTAVO GOMEZ</v>
      </c>
      <c r="F12954" s="5" t="str">
        <f>"Descripcion: SILLAS PLASTICA CON BRAZOS Estado: Bueno Placa anterior: 000003403 Material: PLASTICO Color: AZUL Referencia:  Observacion: DONACION DE LAS ENFERMERAS DEL SERVICIO PISO 6 Placa padre: Tipo adquisicion: Donacion"</f>
        <v>Descripcion: SILLAS PLASTICA CON BRAZOS Estado: Bueno Placa anterior: 000003403 Material: PLASTICO Color: AZUL Referencia:  Observacion: DONACION DE LAS ENFERMERAS DEL SERVICIO PISO 6 Placa padre: Tipo adquisicion: Donacion</v>
      </c>
      <c r="G12954" s="5"/>
    </row>
    <row r="12955" spans="1:7" ht="58.5" customHeight="1" x14ac:dyDescent="0.25">
      <c r="A12955" s="5" t="str">
        <f>"H0008275"</f>
        <v>H0008275</v>
      </c>
      <c r="B12955" s="5" t="str">
        <f>"BASE PARA MONITOR DE SIGNOS VITALES"</f>
        <v>BASE PARA MONITOR DE SIGNOS VITALES</v>
      </c>
      <c r="C12955" s="6">
        <v>859560</v>
      </c>
      <c r="D12955" s="5" t="s">
        <v>345</v>
      </c>
      <c r="E12955" s="5" t="str">
        <f t="shared" si="659"/>
        <v>ACTISALUD -NEUROCIRUGIA - GUSTAVO GOMEZ</v>
      </c>
      <c r="F12955" s="5" t="str">
        <f>"Descripcion: BASE RODANTE PARA MONITORES MCA W.A. CODIGO L2091 CON CANASTILLA Estado: Bueno Placa anterior: 000030027 Material: METALICO Color: BLANCO Referencia:  Observacion:  Placa padre: Tipo adquisicion: Entidad"</f>
        <v>Descripcion: BASE RODANTE PARA MONITORES MCA W.A. CODIGO L2091 CON CANASTILLA Estado: Bueno Placa anterior: 000030027 Material: METALICO Color: BLANCO Referencia:  Observacion:  Placa padre: Tipo adquisicion: Entidad</v>
      </c>
      <c r="G12955" s="5"/>
    </row>
    <row r="12956" spans="1:7" ht="58.5" customHeight="1" x14ac:dyDescent="0.25">
      <c r="A12956" s="5" t="str">
        <f>"H0008279"</f>
        <v>H0008279</v>
      </c>
      <c r="B12956" s="5" t="str">
        <f>"MESA METALICA"</f>
        <v>MESA METALICA</v>
      </c>
      <c r="C12956" s="6">
        <v>11880</v>
      </c>
      <c r="D12956" s="5"/>
      <c r="E12956" s="5" t="str">
        <f t="shared" si="659"/>
        <v>ACTISALUD -NEUROCIRUGIA - GUSTAVO GOMEZ</v>
      </c>
      <c r="F12956" s="5" t="str">
        <f>"Descripcion: MESA METALICA CON RODACHINES  1 ENTREPAÑO Estado: Bueno Placa anterior: 000003229 Material: METALICO, ACERO INOX Color: BEIGE Referencia:  Observacion:  Placa padre: Tipo adquisicion: Entidad"</f>
        <v>Descripcion: MESA METALICA CON RODACHINES  1 ENTREPAÑO Estado: Bueno Placa anterior: 000003229 Material: METALICO, ACERO INOX Color: BEIGE Referencia:  Observacion:  Placa padre: Tipo adquisicion: Entidad</v>
      </c>
      <c r="G12956" s="5"/>
    </row>
    <row r="12957" spans="1:7" ht="58.5" customHeight="1" x14ac:dyDescent="0.25">
      <c r="A12957" s="5" t="str">
        <f>"H0008317"</f>
        <v>H0008317</v>
      </c>
      <c r="B12957" s="5" t="str">
        <f>"OXIMETRO PORTATIL (SATURADOR PORTATIL)"</f>
        <v>OXIMETRO PORTATIL (SATURADOR PORTATIL)</v>
      </c>
      <c r="C12957" s="6">
        <v>1200000</v>
      </c>
      <c r="D12957" s="5"/>
      <c r="E12957" s="5" t="str">
        <f t="shared" si="659"/>
        <v>ACTISALUD -NEUROCIRUGIA - GUSTAVO GOMEZ</v>
      </c>
      <c r="F12957" s="5" t="str">
        <f>"Descripcion: OXIMETRO DE PULSO Estado: Bueno Placa anterior: 000027907 Material: PLASTICO Color: AZUL CON BLANCO Referencia:  Observacion:  Placa padre: Tipo adquisicion: Entidad"</f>
        <v>Descripcion: OXIMETRO DE PULSO Estado: Bueno Placa anterior: 000027907 Material: PLASTICO Color: AZUL CON BLANCO Referencia:  Observacion:  Placa padre: Tipo adquisicion: Entidad</v>
      </c>
      <c r="G12957" s="5" t="str">
        <f>"PM-50"</f>
        <v>PM-50</v>
      </c>
    </row>
    <row r="12958" spans="1:7" ht="58.5" customHeight="1" x14ac:dyDescent="0.25">
      <c r="A12958" s="5" t="str">
        <f>"H0008318"</f>
        <v>H0008318</v>
      </c>
      <c r="B12958" s="5" t="str">
        <f>"ESCRITORIO DE MADERA 3 GAVETAS"</f>
        <v>ESCRITORIO DE MADERA 3 GAVETAS</v>
      </c>
      <c r="C12958" s="6">
        <v>11881.45</v>
      </c>
      <c r="D12958" s="5"/>
      <c r="E12958" s="5" t="str">
        <f t="shared" si="659"/>
        <v>ACTISALUD -NEUROCIRUGIA - GUSTAVO GOMEZ</v>
      </c>
      <c r="F12958" s="5" t="str">
        <f>"Descripcion: ESCRITORIO DE MADERA 3 GAVETAS  PARA 2 PERSONAS MEDIDAS: 77X245X55CM Estado: Bueno Placa anterior: 000027439 Material: MADERA Color: WENGUE CON BLANCO Referencia:  Observacion:  Placa padre: Tipo adquisicion: Entidad"</f>
        <v>Descripcion: ESCRITORIO DE MADERA 3 GAVETAS  PARA 2 PERSONAS MEDIDAS: 77X245X55CM Estado: Bueno Placa anterior: 000027439 Material: MADERA Color: WENGUE CON BLANCO Referencia:  Observacion:  Placa padre: Tipo adquisicion: Entidad</v>
      </c>
      <c r="G12958" s="5"/>
    </row>
    <row r="12959" spans="1:7" ht="58.5" customHeight="1" x14ac:dyDescent="0.25">
      <c r="A12959" s="5" t="str">
        <f>"H0008321"</f>
        <v>H0008321</v>
      </c>
      <c r="B12959" s="5" t="str">
        <f>"OXIMETRO PORTATIL (SATURADOR PORTATIL)"</f>
        <v>OXIMETRO PORTATIL (SATURADOR PORTATIL)</v>
      </c>
      <c r="C12959" s="6">
        <v>1200000</v>
      </c>
      <c r="D12959" s="5"/>
      <c r="E12959" s="5" t="str">
        <f t="shared" si="659"/>
        <v>ACTISALUD -NEUROCIRUGIA - GUSTAVO GOMEZ</v>
      </c>
      <c r="F12959" s="5" t="str">
        <f>"Descripcion: OXIMETRO DE PULSO Estado: Bueno Placa anterior: 000027908 Material: PLASTICO Color: AZUL CON BLANCO Referencia:  Observacion:  Placa padre: Tipo adquisicion: Entidad"</f>
        <v>Descripcion: OXIMETRO DE PULSO Estado: Bueno Placa anterior: 000027908 Material: PLASTICO Color: AZUL CON BLANCO Referencia:  Observacion:  Placa padre: Tipo adquisicion: Entidad</v>
      </c>
      <c r="G12959" s="5" t="str">
        <f>"PM-50"</f>
        <v>PM-50</v>
      </c>
    </row>
    <row r="12960" spans="1:7" ht="58.5" customHeight="1" x14ac:dyDescent="0.25">
      <c r="A12960" s="5" t="str">
        <f>"H0008450"</f>
        <v>H0008450</v>
      </c>
      <c r="B12960" s="5" t="str">
        <f>"ESCALERILLA DE 2 PASOS"</f>
        <v>ESCALERILLA DE 2 PASOS</v>
      </c>
      <c r="C12960" s="6">
        <v>100000</v>
      </c>
      <c r="D12960" s="5" t="s">
        <v>49</v>
      </c>
      <c r="E12960" s="5" t="str">
        <f t="shared" si="659"/>
        <v>ACTISALUD -NEUROCIRUGIA - GUSTAVO GOMEZ</v>
      </c>
      <c r="F12960" s="5" t="str">
        <f>"Descripcion: ESCALERILLA DE DOS PASOS EN TUBO REDONDO Estado: Bueno Placa anterior: 000029895 Material: METALICO CON PASOS EN PLASTICO Color: BLANCO Referencia:  Observacion: PASAR A TOCOCIRUGIA Placa padre: Tipo adquisicion: Entidad"</f>
        <v>Descripcion: ESCALERILLA DE DOS PASOS EN TUBO REDONDO Estado: Bueno Placa anterior: 000029895 Material: METALICO CON PASOS EN PLASTICO Color: BLANCO Referencia:  Observacion: PASAR A TOCOCIRUGIA Placa padre: Tipo adquisicion: Entidad</v>
      </c>
      <c r="G12960" s="5"/>
    </row>
    <row r="12961" spans="1:7" ht="58.5" customHeight="1" x14ac:dyDescent="0.25">
      <c r="A12961" s="5" t="str">
        <f>"H0010475"</f>
        <v>H0010475</v>
      </c>
      <c r="B12961" s="5" t="str">
        <f>"CAMILLA DE TRASLADO DE 2 PLANOS"</f>
        <v>CAMILLA DE TRASLADO DE 2 PLANOS</v>
      </c>
      <c r="C12961" s="6">
        <v>38995</v>
      </c>
      <c r="D12961" s="5"/>
      <c r="E12961" s="5" t="str">
        <f t="shared" si="659"/>
        <v>ACTISALUD -NEUROCIRUGIA - GUSTAVO GOMEZ</v>
      </c>
      <c r="F12961" s="5" t="str">
        <f>"Descripcion: CAMILLA PARA TRASLADO DE 2 PLANOS Estado: Bueno Placa anterior: 000026688 Material: METALICO Color: BEIS Referencia:  Observacion:  Placa padre: Tipo adquisicion: Entidad"</f>
        <v>Descripcion: CAMILLA PARA TRASLADO DE 2 PLANOS Estado: Bueno Placa anterior: 000026688 Material: METALICO Color: BEIS Referencia:  Observacion:  Placa padre: Tipo adquisicion: Entidad</v>
      </c>
      <c r="G12961" s="5"/>
    </row>
    <row r="12962" spans="1:7" ht="58.5" customHeight="1" x14ac:dyDescent="0.25">
      <c r="A12962" s="5" t="str">
        <f>"H0010477"</f>
        <v>H0010477</v>
      </c>
      <c r="B12962" s="5" t="str">
        <f>"MESA (CARRO) DE CURACIONES"</f>
        <v>MESA (CARRO) DE CURACIONES</v>
      </c>
      <c r="C12962" s="6">
        <v>11880</v>
      </c>
      <c r="D12962" s="5"/>
      <c r="E12962" s="5" t="str">
        <f t="shared" si="659"/>
        <v>ACTISALUD -NEUROCIRUGIA - GUSTAVO GOMEZ</v>
      </c>
      <c r="F12962" s="5" t="str">
        <f>"Descripcion: CARRITO CURACIONES PLASTICO CON 5 COMPARTIMIENTOS Estado: Bueno Placa anterior: 000026661 Material: PLASTICO Color: BEIS Referencia:  Observacion:  Placa padre: Tipo adquisicion: Entidad"</f>
        <v>Descripcion: CARRITO CURACIONES PLASTICO CON 5 COMPARTIMIENTOS Estado: Bueno Placa anterior: 000026661 Material: PLASTICO Color: BEIS Referencia:  Observacion:  Placa padre: Tipo adquisicion: Entidad</v>
      </c>
      <c r="G12962" s="5"/>
    </row>
    <row r="12963" spans="1:7" ht="58.5" customHeight="1" x14ac:dyDescent="0.25">
      <c r="A12963" s="5" t="str">
        <f>"H0010478"</f>
        <v>H0010478</v>
      </c>
      <c r="B12963" s="5" t="str">
        <f>"LAMPARA CUELLO CISNE"</f>
        <v>LAMPARA CUELLO CISNE</v>
      </c>
      <c r="C12963" s="6">
        <v>5888.23</v>
      </c>
      <c r="D12963" s="5"/>
      <c r="E12963" s="5" t="str">
        <f t="shared" si="659"/>
        <v>ACTISALUD -NEUROCIRUGIA - GUSTAVO GOMEZ</v>
      </c>
      <c r="F12963" s="5" t="str">
        <f>"Descripcion: LAMPARA MOVIL SIN RODACHINES Estado: Bueno Placa anterior: 000016801 Material: METALICO Color: GRIS Referencia:  Observacion:  Placa padre: Tipo adquisicion: Entidad"</f>
        <v>Descripcion: LAMPARA MOVIL SIN RODACHINES Estado: Bueno Placa anterior: 000016801 Material: METALICO Color: GRIS Referencia:  Observacion:  Placa padre: Tipo adquisicion: Entidad</v>
      </c>
      <c r="G12963" s="5"/>
    </row>
    <row r="12964" spans="1:7" ht="58.5" customHeight="1" x14ac:dyDescent="0.25">
      <c r="A12964" s="5" t="str">
        <f>"H0010487"</f>
        <v>H0010487</v>
      </c>
      <c r="B12964" s="5" t="str">
        <f>"CUBETA DE ACERO INOXIDABLE CON TAPA PEQUEÑA"</f>
        <v>CUBETA DE ACERO INOXIDABLE CON TAPA PEQUEÑA</v>
      </c>
      <c r="C12964" s="6">
        <v>3719.54</v>
      </c>
      <c r="D12964" s="5"/>
      <c r="E12964" s="5" t="str">
        <f t="shared" si="659"/>
        <v>ACTISALUD -NEUROCIRUGIA - GUSTAVO GOMEZ</v>
      </c>
      <c r="F12964" s="5" t="str">
        <f>"Descripcion: CUBETA EN ACERO INOX.PEQUEÑA C/TAPA Estado: Bueno Placa anterior: 000004984 Material: ACERO INOXIDABLE Color: GRIS Referencia:  Observacion:  Placa padre: Tipo adquisicion: Entidad"</f>
        <v>Descripcion: CUBETA EN ACERO INOX.PEQUEÑA C/TAPA Estado: Bueno Placa anterior: 000004984 Material: ACERO INOXIDABLE Color: GRIS Referencia:  Observacion:  Placa padre: Tipo adquisicion: Entidad</v>
      </c>
      <c r="G12964" s="5"/>
    </row>
    <row r="12965" spans="1:7" ht="58.5" customHeight="1" x14ac:dyDescent="0.25">
      <c r="A12965" s="5" t="str">
        <f>"H0010488"</f>
        <v>H0010488</v>
      </c>
      <c r="B12965" s="5" t="str">
        <f>"CUBETA DE ACERO INOXIDABLE CON TAPA PEQUEÑA"</f>
        <v>CUBETA DE ACERO INOXIDABLE CON TAPA PEQUEÑA</v>
      </c>
      <c r="C12965" s="6">
        <v>3719.54</v>
      </c>
      <c r="D12965" s="5"/>
      <c r="E12965" s="5" t="str">
        <f t="shared" si="659"/>
        <v>ACTISALUD -NEUROCIRUGIA - GUSTAVO GOMEZ</v>
      </c>
      <c r="F12965" s="5" t="str">
        <f>"Descripcion: CUBETA EN ACERO INOX.PEQUEÑA C/TAPA Estado: Bueno Placa anterior: 000004985 Material: ACERO INOXIDABLE Color: GRIS Referencia:  Observacion:  Placa padre: Tipo adquisicion: Entidad"</f>
        <v>Descripcion: CUBETA EN ACERO INOX.PEQUEÑA C/TAPA Estado: Bueno Placa anterior: 000004985 Material: ACERO INOXIDABLE Color: GRIS Referencia:  Observacion:  Placa padre: Tipo adquisicion: Entidad</v>
      </c>
      <c r="G12965" s="5"/>
    </row>
    <row r="12966" spans="1:7" ht="58.5" customHeight="1" x14ac:dyDescent="0.25">
      <c r="A12966" s="5" t="str">
        <f>"H0010491"</f>
        <v>H0010491</v>
      </c>
      <c r="B12966" s="5" t="str">
        <f>"VENTILADOR DE PARED"</f>
        <v>VENTILADOR DE PARED</v>
      </c>
      <c r="C12966" s="6">
        <v>72477.5</v>
      </c>
      <c r="D12966" s="5" t="s">
        <v>54</v>
      </c>
      <c r="E12966" s="5" t="str">
        <f t="shared" si="659"/>
        <v>ACTISALUD -NEUROCIRUGIA - GUSTAVO GOMEZ</v>
      </c>
      <c r="F12966" s="5" t="str">
        <f>"Descripcion: VETILADOR Estado: Bueno Placa anterior: 000037146 Material: PLASTICO Color: BLANCO Referencia:  Observacion:  Placa padre: Tipo adquisicion: Entidad"</f>
        <v>Descripcion: VETILADOR Estado: Bueno Placa anterior: 000037146 Material: PLASTICO Color: BLANCO Referencia:  Observacion:  Placa padre: Tipo adquisicion: Entidad</v>
      </c>
      <c r="G12966" s="5" t="str">
        <f>"TURBO SILANCE"</f>
        <v>TURBO SILANCE</v>
      </c>
    </row>
    <row r="12967" spans="1:7" ht="58.5" customHeight="1" x14ac:dyDescent="0.25">
      <c r="A12967" s="5" t="str">
        <f>"H0011594"</f>
        <v>H0011594</v>
      </c>
      <c r="B12967" s="5" t="str">
        <f>"CAMA HOSPITALARIA 4 PLANOS CON BARANDA"</f>
        <v>CAMA HOSPITALARIA 4 PLANOS CON BARANDA</v>
      </c>
      <c r="C12967" s="6">
        <v>41726.67</v>
      </c>
      <c r="D12967" s="5"/>
      <c r="E12967" s="5" t="str">
        <f t="shared" si="659"/>
        <v>ACTISALUD -NEUROCIRUGIA - GUSTAVO GOMEZ</v>
      </c>
      <c r="F12967" s="5" t="str">
        <f>"Descripcion: CAMA HOSPITALARIA 4 PLANOS CON BARANDA Estado: Bueno Placa anterior: 000027533 Material: METALICO Color: BEIGE Referencia:  Observacion:  Placa padre: Tipo adquisicion: Entidad"</f>
        <v>Descripcion: CAMA HOSPITALARIA 4 PLANOS CON BARANDA Estado: Bueno Placa anterior: 000027533 Material: METALICO Color: BEIGE Referencia:  Observacion:  Placa padre: Tipo adquisicion: Entidad</v>
      </c>
      <c r="G12967" s="5"/>
    </row>
    <row r="12968" spans="1:7" ht="58.5" customHeight="1" x14ac:dyDescent="0.25">
      <c r="A12968" s="5" t="str">
        <f>"H0016007"</f>
        <v>H0016007</v>
      </c>
      <c r="B12968" s="5" t="str">
        <f>"AIRE ACONDICIONADO TIPO VENTANA 24000 BTU"</f>
        <v>AIRE ACONDICIONADO TIPO VENTANA 24000 BTU</v>
      </c>
      <c r="C12968" s="6">
        <v>1600800</v>
      </c>
      <c r="D12968" s="5"/>
      <c r="E12968" s="5" t="str">
        <f t="shared" si="659"/>
        <v>ACTISALUD -NEUROCIRUGIA - GUSTAVO GOMEZ</v>
      </c>
      <c r="F12968" s="5" t="str">
        <f>"Descripcion: AIRE ACONDICIONADO TIPO VENTANA 24.000BTU 220 V. LG Estado: Bueno Placa anterior: 000026376 Material: METALICO Color: BEIGE Referencia: GOLD Observacion:  Placa padre: Tipo adquisicion: Entidad"</f>
        <v>Descripcion: AIRE ACONDICIONADO TIPO VENTANA 24.000BTU 220 V. LG Estado: Bueno Placa anterior: 000026376 Material: METALICO Color: BEIGE Referencia: GOLD Observacion:  Placa padre: Tipo adquisicion: Entidad</v>
      </c>
      <c r="G12968" s="5" t="str">
        <f>"LWC243NSMM1"</f>
        <v>LWC243NSMM1</v>
      </c>
    </row>
    <row r="12969" spans="1:7" ht="58.5" customHeight="1" x14ac:dyDescent="0.25">
      <c r="A12969" s="5" t="str">
        <f>"H0016010"</f>
        <v>H0016010</v>
      </c>
      <c r="B12969" s="5" t="str">
        <f>"PERFORADORA GRANDE 2 HUECOS 70 HOJAS"</f>
        <v>PERFORADORA GRANDE 2 HUECOS 70 HOJAS</v>
      </c>
      <c r="C12969" s="6">
        <v>50328</v>
      </c>
      <c r="D12969" s="5"/>
      <c r="E12969" s="5" t="str">
        <f t="shared" si="659"/>
        <v>ACTISALUD -NEUROCIRUGIA - GUSTAVO GOMEZ</v>
      </c>
      <c r="F12969" s="5" t="str">
        <f>"Descripcion: PERFORADORA 2 HUECOS DE 35-40 HOJAS  Estado: Malo Placa anterior: 000004162 Material: METALICO Color: NEGRO Referencia:  Observacion:  Placa padre: Tipo adquisicion: Entidad"</f>
        <v>Descripcion: PERFORADORA 2 HUECOS DE 35-40 HOJAS  Estado: Malo Placa anterior: 000004162 Material: METALICO Color: NEGRO Referencia:  Observacion:  Placa padre: Tipo adquisicion: Entidad</v>
      </c>
      <c r="G12969" s="5"/>
    </row>
    <row r="12970" spans="1:7" ht="58.5" customHeight="1" x14ac:dyDescent="0.25">
      <c r="A12970" s="5" t="str">
        <f>"H0016017"</f>
        <v>H0016017</v>
      </c>
      <c r="B12970" s="5" t="str">
        <f>"COMPUTADOR TODO EN UNO"</f>
        <v>COMPUTADOR TODO EN UNO</v>
      </c>
      <c r="C12970" s="6">
        <v>2470000</v>
      </c>
      <c r="D12970" s="5" t="s">
        <v>6</v>
      </c>
      <c r="E12970" s="5" t="str">
        <f t="shared" si="659"/>
        <v>ACTISALUD -NEUROCIRUGIA - GUSTAVO GOMEZ</v>
      </c>
      <c r="F12970" s="5" t="str">
        <f>"Descripcion: COMPUTADOR TODO EN UNO MARCA LENOVO Estado: Bueno Placa anterior: 000037003 Material: PLASTICO Color: NEGRO Referencia:  Observacion:  Placa anterior:, Placa nueva=H0016016, Descripcion:MOUSE OPTICO, Serial:44PD013, Marca:LENOVO, Modelo:, Mat"&amp; "erial:PLASTICO, Color:NEGRO,   Referencia:, Placa anterior:, Placa nueva=H0016015, Descripcion:TECLADO, Serial:1S54Y94248259120E, Marca:LENOVO, Modelo:KU0225, Material:PLASTICO, Color:NEGRO,   Referencia: Placa padre: Tipo adquisicion: Entidad"</f>
        <v>Descripcion: COMPUTADOR TODO EN UNO MARCA LENOVO Estado: Bueno Placa anterior: 000037003 Material: PLASTICO Color: NEGRO Referencia:  Observacion:  Placa anterior:, Placa nueva=H0016016, Descripcion:MOUSE OPTICO, Serial:44PD013, Marca:LENOVO, Modelo:, Material:PLASTICO, Color:NEGRO,   Referencia:, Placa anterior:, Placa nueva=H0016015, Descripcion:TECLADO, Serial:1S54Y94248259120E, Marca:LENOVO, Modelo:KU0225, Material:PLASTICO, Color:NEGRO,   Referencia: Placa padre: Tipo adquisicion: Entidad</v>
      </c>
      <c r="G12970" s="5" t="str">
        <f>"THINKCENTRE"</f>
        <v>THINKCENTRE</v>
      </c>
    </row>
    <row r="12971" spans="1:7" ht="58.5" customHeight="1" x14ac:dyDescent="0.25">
      <c r="A12971" s="5" t="str">
        <f>"H0016019"</f>
        <v>H0016019</v>
      </c>
      <c r="B12971" s="5" t="str">
        <f>"SILLA ERGONOMICA TIPO GERENTE CON BRAZOS"</f>
        <v>SILLA ERGONOMICA TIPO GERENTE CON BRAZOS</v>
      </c>
      <c r="C12971" s="6">
        <v>380000</v>
      </c>
      <c r="D12971" s="5"/>
      <c r="E12971" s="5" t="str">
        <f t="shared" si="659"/>
        <v>ACTISALUD -NEUROCIRUGIA - GUSTAVO GOMEZ</v>
      </c>
      <c r="F12971" s="5" t="str">
        <f>"Descripcion: SILLA ERGONOMICA TIPO SECRETARIA CON BRAZOS Estado: Bueno Placa anterior: 000025428 Material: TAPIZADO EN TELA Color: NEGRO Referencia:  Observacion:  Placa padre: Tipo adquisicion: Entidad"</f>
        <v>Descripcion: SILLA ERGONOMICA TIPO SECRETARIA CON BRAZOS Estado: Bueno Placa anterior: 000025428 Material: TAPIZADO EN TELA Color: NEGRO Referencia:  Observacion:  Placa padre: Tipo adquisicion: Entidad</v>
      </c>
      <c r="G12971" s="5"/>
    </row>
    <row r="12972" spans="1:7" ht="58.5" customHeight="1" x14ac:dyDescent="0.25">
      <c r="A12972" s="5" t="str">
        <f>"H0016023"</f>
        <v>H0016023</v>
      </c>
      <c r="B12972" s="5" t="str">
        <f>"LOCKER DE 1 COMPARTIMIENTO"</f>
        <v>LOCKER DE 1 COMPARTIMIENTO</v>
      </c>
      <c r="C12972" s="6">
        <v>4378</v>
      </c>
      <c r="D12972" s="5"/>
      <c r="E12972" s="5" t="str">
        <f t="shared" si="659"/>
        <v>ACTISALUD -NEUROCIRUGIA - GUSTAVO GOMEZ</v>
      </c>
      <c r="F12972" s="5" t="str">
        <f>"Descripcion: LOCKER TIPO D (1 PUESTO) Estado: Bueno Placa anterior: 000002170 Material: METALICO Color: BEIGE Referencia:  Observacion:  Placa padre: Tipo adquisicion: Entidad"</f>
        <v>Descripcion: LOCKER TIPO D (1 PUESTO) Estado: Bueno Placa anterior: 000002170 Material: METALICO Color: BEIGE Referencia:  Observacion:  Placa padre: Tipo adquisicion: Entidad</v>
      </c>
      <c r="G12972" s="5"/>
    </row>
    <row r="12973" spans="1:7" ht="58.5" customHeight="1" x14ac:dyDescent="0.25">
      <c r="A12973" s="5" t="str">
        <f>"H0021997"</f>
        <v>H0021997</v>
      </c>
      <c r="B12973" s="5" t="str">
        <f>"SILLON (SOFA)"</f>
        <v>SILLON (SOFA)</v>
      </c>
      <c r="C12973" s="6">
        <v>21400</v>
      </c>
      <c r="D12973" s="5"/>
      <c r="E12973" s="5" t="str">
        <f t="shared" si="659"/>
        <v>ACTISALUD -NEUROCIRUGIA - GUSTAVO GOMEZ</v>
      </c>
      <c r="F12973" s="5" t="str">
        <f>"Descripcion: SOFA LIZZY Estado: Bueno Placa anterior: 000027423 Material: MADERA Color: NEGRO Referencia:  Observacion:  Placa padre: Tipo adquisicion: Entidad"</f>
        <v>Descripcion: SOFA LIZZY Estado: Bueno Placa anterior: 000027423 Material: MADERA Color: NEGRO Referencia:  Observacion:  Placa padre: Tipo adquisicion: Entidad</v>
      </c>
      <c r="G12973" s="5"/>
    </row>
    <row r="12974" spans="1:7" ht="58.5" customHeight="1" x14ac:dyDescent="0.25">
      <c r="A12974" s="5" t="str">
        <f>"H0021998"</f>
        <v>H0021998</v>
      </c>
      <c r="B12974" s="5" t="str">
        <f>"MULTITOMA – REGLETA ELECTRICA"</f>
        <v>MULTITOMA – REGLETA ELECTRICA</v>
      </c>
      <c r="C12974" s="6">
        <v>29234.5</v>
      </c>
      <c r="D12974" s="5"/>
      <c r="E12974" s="5" t="str">
        <f t="shared" si="659"/>
        <v>ACTISALUD -NEUROCIRUGIA - GUSTAVO GOMEZ</v>
      </c>
      <c r="F12974" s="5" t="str">
        <f>"Descripcion: MULTITOMA Estado: Bueno Placa anterior: 000016707 Material: METALICO Color: NEGRO Referencia:  Observacion:  Placa padre: Tipo adquisicion: Entidad"</f>
        <v>Descripcion: MULTITOMA Estado: Bueno Placa anterior: 000016707 Material: METALICO Color: NEGRO Referencia:  Observacion:  Placa padre: Tipo adquisicion: Entidad</v>
      </c>
      <c r="G12974" s="5"/>
    </row>
    <row r="12975" spans="1:7" ht="58.5" customHeight="1" x14ac:dyDescent="0.25">
      <c r="A12975" s="5" t="str">
        <f>"H0021999"</f>
        <v>H0021999</v>
      </c>
      <c r="B12975" s="5" t="str">
        <f>"MARTILLO PARA REFLEJOS"</f>
        <v>MARTILLO PARA REFLEJOS</v>
      </c>
      <c r="C12975" s="6">
        <v>7286.8</v>
      </c>
      <c r="D12975" s="5"/>
      <c r="E12975" s="5" t="str">
        <f t="shared" si="659"/>
        <v>ACTISALUD -NEUROCIRUGIA - GUSTAVO GOMEZ</v>
      </c>
      <c r="F12975" s="5" t="str">
        <f>"Descripcion: MARTILLO DE REFLEJOS Estado: Bueno Placa anterior: 000015006 Material: ACERO INOXIDABLE Color: PLATEADO Referencia:  Observacion:  Placa padre: Tipo adquisicion: Entidad"</f>
        <v>Descripcion: MARTILLO DE REFLEJOS Estado: Bueno Placa anterior: 000015006 Material: ACERO INOXIDABLE Color: PLATEADO Referencia:  Observacion:  Placa padre: Tipo adquisicion: Entidad</v>
      </c>
      <c r="G12975" s="5"/>
    </row>
    <row r="12976" spans="1:7" ht="58.5" customHeight="1" x14ac:dyDescent="0.25">
      <c r="A12976" s="5" t="str">
        <f>"H0022000"</f>
        <v>H0022000</v>
      </c>
      <c r="B12976" s="5" t="str">
        <f>"LIBROS DE SALUD PUBLICA"</f>
        <v>LIBROS DE SALUD PUBLICA</v>
      </c>
      <c r="C12976" s="6">
        <v>95000</v>
      </c>
      <c r="D12976" s="5"/>
      <c r="E12976" s="5" t="str">
        <f t="shared" si="659"/>
        <v>ACTISALUD -NEUROCIRUGIA - GUSTAVO GOMEZ</v>
      </c>
      <c r="F12976" s="5" t="str">
        <f>"Descripcion:  PROTOCOLO VIGILANCIA EN SALUD PUBLICA Estado: Bueno Placa anterior: 000023110 Material: PAPEL Color:  Referencia:  Observacion:  Placa padre: Tipo adquisicion: Donacion"</f>
        <v>Descripcion:  PROTOCOLO VIGILANCIA EN SALUD PUBLICA Estado: Bueno Placa anterior: 000023110 Material: PAPEL Color:  Referencia:  Observacion:  Placa padre: Tipo adquisicion: Donacion</v>
      </c>
      <c r="G12976" s="5"/>
    </row>
    <row r="12977" spans="1:7" ht="58.5" customHeight="1" x14ac:dyDescent="0.25">
      <c r="A12977" s="5" t="str">
        <f>"H0022273"</f>
        <v>H0022273</v>
      </c>
      <c r="B12977" s="5" t="str">
        <f>"DESFRIBILADOR"</f>
        <v>DESFRIBILADOR</v>
      </c>
      <c r="C12977" s="6">
        <v>16657600</v>
      </c>
      <c r="D12977" s="5" t="s">
        <v>698</v>
      </c>
      <c r="E12977" s="5" t="str">
        <f t="shared" si="659"/>
        <v>ACTISALUD -NEUROCIRUGIA - GUSTAVO GOMEZ</v>
      </c>
      <c r="F12977" s="5"/>
      <c r="G12977" s="5"/>
    </row>
    <row r="12978" spans="1:7" ht="58.5" customHeight="1" x14ac:dyDescent="0.25">
      <c r="A12978" s="5" t="str">
        <f>"H0022368"</f>
        <v>H0022368</v>
      </c>
      <c r="B12978" s="5" t="str">
        <f>"AIRE ACONDICIONADO 18000 BTU"</f>
        <v>AIRE ACONDICIONADO 18000 BTU</v>
      </c>
      <c r="C12978" s="6">
        <v>1987000</v>
      </c>
      <c r="D12978" s="5" t="s">
        <v>699</v>
      </c>
      <c r="E12978" s="5" t="str">
        <f t="shared" si="659"/>
        <v>ACTISALUD -NEUROCIRUGIA - GUSTAVO GOMEZ</v>
      </c>
      <c r="F12978" s="5"/>
      <c r="G12978" s="5" t="str">
        <f>"COND 511HAUJA5758"</f>
        <v>COND 511HAUJA5758</v>
      </c>
    </row>
    <row r="12979" spans="1:7" ht="58.5" customHeight="1" x14ac:dyDescent="0.25">
      <c r="A12979" s="5" t="str">
        <f>"H0022674"</f>
        <v>H0022674</v>
      </c>
      <c r="B12979" s="5" t="str">
        <f>"EQUIPO ORGANOS DE LOS SENTIDOS PORTATIL"</f>
        <v>EQUIPO ORGANOS DE LOS SENTIDOS PORTATIL</v>
      </c>
      <c r="C12979" s="6">
        <v>928000</v>
      </c>
      <c r="D12979" s="5" t="s">
        <v>382</v>
      </c>
      <c r="E12979" s="5" t="str">
        <f t="shared" si="659"/>
        <v>ACTISALUD -NEUROCIRUGIA - GUSTAVO GOMEZ</v>
      </c>
      <c r="F12979" s="5" t="str">
        <f>"Descripcion: EQUIPO DE ORGABIS DE LOS SENTIDOS Estado: Bueno Placa anterior:  Material: ACERO INOXIDABLE Color: PLATEADO Referencia: 98602 Observacion:  Placa padre: Tipo adquisicion: Entidad"</f>
        <v>Descripcion: EQUIPO DE ORGABIS DE LOS SENTIDOS Estado: Bueno Placa anterior:  Material: ACERO INOXIDABLE Color: PLATEADO Referencia: 98602 Observacion:  Placa padre: Tipo adquisicion: Entidad</v>
      </c>
      <c r="G12979" s="5" t="str">
        <f>"WELCH ALLYN"</f>
        <v>WELCH ALLYN</v>
      </c>
    </row>
    <row r="12980" spans="1:7" ht="58.5" customHeight="1" x14ac:dyDescent="0.25">
      <c r="A12980" s="5" t="str">
        <f>"H0024169"</f>
        <v>H0024169</v>
      </c>
      <c r="B12980" s="5" t="str">
        <f t="shared" ref="B12980:B13003" si="660">"CAMA ELECTRICA ADULTOS"</f>
        <v>CAMA ELECTRICA ADULTOS</v>
      </c>
      <c r="C12980" s="6">
        <v>5746930</v>
      </c>
      <c r="D12980" s="5" t="s">
        <v>36</v>
      </c>
      <c r="E12980" s="5" t="str">
        <f t="shared" si="659"/>
        <v>ACTISALUD -NEUROCIRUGIA - GUSTAVO GOMEZ</v>
      </c>
      <c r="F12980" s="5"/>
      <c r="G12980" s="5"/>
    </row>
    <row r="12981" spans="1:7" ht="58.5" customHeight="1" x14ac:dyDescent="0.25">
      <c r="A12981" s="5" t="str">
        <f>"H0024265"</f>
        <v>H0024265</v>
      </c>
      <c r="B12981" s="5" t="str">
        <f t="shared" si="660"/>
        <v>CAMA ELECTRICA ADULTOS</v>
      </c>
      <c r="C12981" s="6">
        <v>5746930</v>
      </c>
      <c r="D12981" s="5" t="s">
        <v>36</v>
      </c>
      <c r="E12981" s="5" t="str">
        <f t="shared" si="659"/>
        <v>ACTISALUD -NEUROCIRUGIA - GUSTAVO GOMEZ</v>
      </c>
      <c r="F12981" s="5"/>
      <c r="G12981" s="5"/>
    </row>
    <row r="12982" spans="1:7" ht="58.5" customHeight="1" x14ac:dyDescent="0.25">
      <c r="A12982" s="5" t="str">
        <f>"H0024266"</f>
        <v>H0024266</v>
      </c>
      <c r="B12982" s="5" t="str">
        <f t="shared" si="660"/>
        <v>CAMA ELECTRICA ADULTOS</v>
      </c>
      <c r="C12982" s="6">
        <v>5746930</v>
      </c>
      <c r="D12982" s="5" t="s">
        <v>36</v>
      </c>
      <c r="E12982" s="5" t="str">
        <f t="shared" si="659"/>
        <v>ACTISALUD -NEUROCIRUGIA - GUSTAVO GOMEZ</v>
      </c>
      <c r="F12982" s="5"/>
      <c r="G12982" s="5"/>
    </row>
    <row r="12983" spans="1:7" ht="58.5" customHeight="1" x14ac:dyDescent="0.25">
      <c r="A12983" s="5" t="str">
        <f>"H0024267"</f>
        <v>H0024267</v>
      </c>
      <c r="B12983" s="5" t="str">
        <f t="shared" si="660"/>
        <v>CAMA ELECTRICA ADULTOS</v>
      </c>
      <c r="C12983" s="6">
        <v>5746930</v>
      </c>
      <c r="D12983" s="5" t="s">
        <v>36</v>
      </c>
      <c r="E12983" s="5" t="str">
        <f t="shared" si="659"/>
        <v>ACTISALUD -NEUROCIRUGIA - GUSTAVO GOMEZ</v>
      </c>
      <c r="F12983" s="5"/>
      <c r="G12983" s="5"/>
    </row>
    <row r="12984" spans="1:7" ht="58.5" customHeight="1" x14ac:dyDescent="0.25">
      <c r="A12984" s="5" t="str">
        <f>"H0024268"</f>
        <v>H0024268</v>
      </c>
      <c r="B12984" s="5" t="str">
        <f t="shared" si="660"/>
        <v>CAMA ELECTRICA ADULTOS</v>
      </c>
      <c r="C12984" s="6">
        <v>5746930</v>
      </c>
      <c r="D12984" s="5" t="s">
        <v>36</v>
      </c>
      <c r="E12984" s="5" t="str">
        <f t="shared" si="659"/>
        <v>ACTISALUD -NEUROCIRUGIA - GUSTAVO GOMEZ</v>
      </c>
      <c r="F12984" s="5"/>
      <c r="G12984" s="5"/>
    </row>
    <row r="12985" spans="1:7" ht="58.5" customHeight="1" x14ac:dyDescent="0.25">
      <c r="A12985" s="5" t="str">
        <f>"H0024269"</f>
        <v>H0024269</v>
      </c>
      <c r="B12985" s="5" t="str">
        <f t="shared" si="660"/>
        <v>CAMA ELECTRICA ADULTOS</v>
      </c>
      <c r="C12985" s="6">
        <v>5746930</v>
      </c>
      <c r="D12985" s="5" t="s">
        <v>36</v>
      </c>
      <c r="E12985" s="5" t="str">
        <f t="shared" si="659"/>
        <v>ACTISALUD -NEUROCIRUGIA - GUSTAVO GOMEZ</v>
      </c>
      <c r="F12985" s="5"/>
      <c r="G12985" s="5"/>
    </row>
    <row r="12986" spans="1:7" ht="58.5" customHeight="1" x14ac:dyDescent="0.25">
      <c r="A12986" s="5" t="str">
        <f>"H0024270"</f>
        <v>H0024270</v>
      </c>
      <c r="B12986" s="5" t="str">
        <f t="shared" si="660"/>
        <v>CAMA ELECTRICA ADULTOS</v>
      </c>
      <c r="C12986" s="6">
        <v>5746930</v>
      </c>
      <c r="D12986" s="5" t="s">
        <v>36</v>
      </c>
      <c r="E12986" s="5" t="str">
        <f t="shared" si="659"/>
        <v>ACTISALUD -NEUROCIRUGIA - GUSTAVO GOMEZ</v>
      </c>
      <c r="F12986" s="5"/>
      <c r="G12986" s="5"/>
    </row>
    <row r="12987" spans="1:7" ht="58.5" customHeight="1" x14ac:dyDescent="0.25">
      <c r="A12987" s="5" t="str">
        <f>"H0024271"</f>
        <v>H0024271</v>
      </c>
      <c r="B12987" s="5" t="str">
        <f t="shared" si="660"/>
        <v>CAMA ELECTRICA ADULTOS</v>
      </c>
      <c r="C12987" s="6">
        <v>5746930</v>
      </c>
      <c r="D12987" s="5" t="s">
        <v>36</v>
      </c>
      <c r="E12987" s="5" t="str">
        <f t="shared" si="659"/>
        <v>ACTISALUD -NEUROCIRUGIA - GUSTAVO GOMEZ</v>
      </c>
      <c r="F12987" s="5"/>
      <c r="G12987" s="5"/>
    </row>
    <row r="12988" spans="1:7" ht="58.5" customHeight="1" x14ac:dyDescent="0.25">
      <c r="A12988" s="5" t="str">
        <f>"H0024272"</f>
        <v>H0024272</v>
      </c>
      <c r="B12988" s="5" t="str">
        <f t="shared" si="660"/>
        <v>CAMA ELECTRICA ADULTOS</v>
      </c>
      <c r="C12988" s="6">
        <v>5746930</v>
      </c>
      <c r="D12988" s="5" t="s">
        <v>36</v>
      </c>
      <c r="E12988" s="5" t="str">
        <f t="shared" si="659"/>
        <v>ACTISALUD -NEUROCIRUGIA - GUSTAVO GOMEZ</v>
      </c>
      <c r="F12988" s="5"/>
      <c r="G12988" s="5"/>
    </row>
    <row r="12989" spans="1:7" ht="58.5" customHeight="1" x14ac:dyDescent="0.25">
      <c r="A12989" s="5" t="str">
        <f>"H0024273"</f>
        <v>H0024273</v>
      </c>
      <c r="B12989" s="5" t="str">
        <f t="shared" si="660"/>
        <v>CAMA ELECTRICA ADULTOS</v>
      </c>
      <c r="C12989" s="6">
        <v>5746930</v>
      </c>
      <c r="D12989" s="5" t="s">
        <v>36</v>
      </c>
      <c r="E12989" s="5" t="str">
        <f t="shared" si="659"/>
        <v>ACTISALUD -NEUROCIRUGIA - GUSTAVO GOMEZ</v>
      </c>
      <c r="F12989" s="5"/>
      <c r="G12989" s="5"/>
    </row>
    <row r="12990" spans="1:7" ht="58.5" customHeight="1" x14ac:dyDescent="0.25">
      <c r="A12990" s="5" t="str">
        <f>"H0024274"</f>
        <v>H0024274</v>
      </c>
      <c r="B12990" s="5" t="str">
        <f t="shared" si="660"/>
        <v>CAMA ELECTRICA ADULTOS</v>
      </c>
      <c r="C12990" s="6">
        <v>5746930</v>
      </c>
      <c r="D12990" s="5" t="s">
        <v>36</v>
      </c>
      <c r="E12990" s="5" t="str">
        <f t="shared" si="659"/>
        <v>ACTISALUD -NEUROCIRUGIA - GUSTAVO GOMEZ</v>
      </c>
      <c r="F12990" s="5"/>
      <c r="G12990" s="5"/>
    </row>
    <row r="12991" spans="1:7" ht="58.5" customHeight="1" x14ac:dyDescent="0.25">
      <c r="A12991" s="5" t="str">
        <f>"H0024275"</f>
        <v>H0024275</v>
      </c>
      <c r="B12991" s="5" t="str">
        <f t="shared" si="660"/>
        <v>CAMA ELECTRICA ADULTOS</v>
      </c>
      <c r="C12991" s="6">
        <v>5746930</v>
      </c>
      <c r="D12991" s="5" t="s">
        <v>36</v>
      </c>
      <c r="E12991" s="5" t="str">
        <f t="shared" si="659"/>
        <v>ACTISALUD -NEUROCIRUGIA - GUSTAVO GOMEZ</v>
      </c>
      <c r="F12991" s="5"/>
      <c r="G12991" s="5"/>
    </row>
    <row r="12992" spans="1:7" ht="58.5" customHeight="1" x14ac:dyDescent="0.25">
      <c r="A12992" s="5" t="str">
        <f>"H0024276"</f>
        <v>H0024276</v>
      </c>
      <c r="B12992" s="5" t="str">
        <f t="shared" si="660"/>
        <v>CAMA ELECTRICA ADULTOS</v>
      </c>
      <c r="C12992" s="6">
        <v>5746930</v>
      </c>
      <c r="D12992" s="5" t="s">
        <v>36</v>
      </c>
      <c r="E12992" s="5" t="str">
        <f t="shared" si="659"/>
        <v>ACTISALUD -NEUROCIRUGIA - GUSTAVO GOMEZ</v>
      </c>
      <c r="F12992" s="5"/>
      <c r="G12992" s="5"/>
    </row>
    <row r="12993" spans="1:7" ht="58.5" customHeight="1" x14ac:dyDescent="0.25">
      <c r="A12993" s="5" t="str">
        <f>"H0024277"</f>
        <v>H0024277</v>
      </c>
      <c r="B12993" s="5" t="str">
        <f t="shared" si="660"/>
        <v>CAMA ELECTRICA ADULTOS</v>
      </c>
      <c r="C12993" s="6">
        <v>5746930</v>
      </c>
      <c r="D12993" s="5" t="s">
        <v>36</v>
      </c>
      <c r="E12993" s="5" t="str">
        <f t="shared" si="659"/>
        <v>ACTISALUD -NEUROCIRUGIA - GUSTAVO GOMEZ</v>
      </c>
      <c r="F12993" s="5"/>
      <c r="G12993" s="5"/>
    </row>
    <row r="12994" spans="1:7" ht="58.5" customHeight="1" x14ac:dyDescent="0.25">
      <c r="A12994" s="5" t="str">
        <f>"H0024278"</f>
        <v>H0024278</v>
      </c>
      <c r="B12994" s="5" t="str">
        <f t="shared" si="660"/>
        <v>CAMA ELECTRICA ADULTOS</v>
      </c>
      <c r="C12994" s="6">
        <v>5746930</v>
      </c>
      <c r="D12994" s="5" t="s">
        <v>36</v>
      </c>
      <c r="E12994" s="5" t="str">
        <f t="shared" si="659"/>
        <v>ACTISALUD -NEUROCIRUGIA - GUSTAVO GOMEZ</v>
      </c>
      <c r="F12994" s="5"/>
      <c r="G12994" s="5"/>
    </row>
    <row r="12995" spans="1:7" ht="58.5" customHeight="1" x14ac:dyDescent="0.25">
      <c r="A12995" s="5" t="str">
        <f>"H0024279"</f>
        <v>H0024279</v>
      </c>
      <c r="B12995" s="5" t="str">
        <f t="shared" si="660"/>
        <v>CAMA ELECTRICA ADULTOS</v>
      </c>
      <c r="C12995" s="6">
        <v>5746930</v>
      </c>
      <c r="D12995" s="5" t="s">
        <v>36</v>
      </c>
      <c r="E12995" s="5" t="str">
        <f t="shared" si="659"/>
        <v>ACTISALUD -NEUROCIRUGIA - GUSTAVO GOMEZ</v>
      </c>
      <c r="F12995" s="5"/>
      <c r="G12995" s="5"/>
    </row>
    <row r="12996" spans="1:7" ht="58.5" customHeight="1" x14ac:dyDescent="0.25">
      <c r="A12996" s="5" t="str">
        <f>"H0024280"</f>
        <v>H0024280</v>
      </c>
      <c r="B12996" s="5" t="str">
        <f t="shared" si="660"/>
        <v>CAMA ELECTRICA ADULTOS</v>
      </c>
      <c r="C12996" s="6">
        <v>5746930</v>
      </c>
      <c r="D12996" s="5" t="s">
        <v>36</v>
      </c>
      <c r="E12996" s="5" t="str">
        <f t="shared" si="659"/>
        <v>ACTISALUD -NEUROCIRUGIA - GUSTAVO GOMEZ</v>
      </c>
      <c r="F12996" s="5"/>
      <c r="G12996" s="5"/>
    </row>
    <row r="12997" spans="1:7" ht="58.5" customHeight="1" x14ac:dyDescent="0.25">
      <c r="A12997" s="5" t="str">
        <f>"H0024281"</f>
        <v>H0024281</v>
      </c>
      <c r="B12997" s="5" t="str">
        <f t="shared" si="660"/>
        <v>CAMA ELECTRICA ADULTOS</v>
      </c>
      <c r="C12997" s="6">
        <v>5746930</v>
      </c>
      <c r="D12997" s="5" t="s">
        <v>36</v>
      </c>
      <c r="E12997" s="5" t="str">
        <f t="shared" ref="E12997:E13060" si="661">"ACTISALUD -NEUROCIRUGIA - GUSTAVO GOMEZ"</f>
        <v>ACTISALUD -NEUROCIRUGIA - GUSTAVO GOMEZ</v>
      </c>
      <c r="F12997" s="5"/>
      <c r="G12997" s="5"/>
    </row>
    <row r="12998" spans="1:7" ht="58.5" customHeight="1" x14ac:dyDescent="0.25">
      <c r="A12998" s="5" t="str">
        <f>"H0024282"</f>
        <v>H0024282</v>
      </c>
      <c r="B12998" s="5" t="str">
        <f t="shared" si="660"/>
        <v>CAMA ELECTRICA ADULTOS</v>
      </c>
      <c r="C12998" s="6">
        <v>5746930</v>
      </c>
      <c r="D12998" s="5" t="s">
        <v>36</v>
      </c>
      <c r="E12998" s="5" t="str">
        <f t="shared" si="661"/>
        <v>ACTISALUD -NEUROCIRUGIA - GUSTAVO GOMEZ</v>
      </c>
      <c r="F12998" s="5"/>
      <c r="G12998" s="5"/>
    </row>
    <row r="12999" spans="1:7" ht="58.5" customHeight="1" x14ac:dyDescent="0.25">
      <c r="A12999" s="5" t="str">
        <f>"H0024284"</f>
        <v>H0024284</v>
      </c>
      <c r="B12999" s="5" t="str">
        <f t="shared" si="660"/>
        <v>CAMA ELECTRICA ADULTOS</v>
      </c>
      <c r="C12999" s="6">
        <v>5746930</v>
      </c>
      <c r="D12999" s="5" t="s">
        <v>36</v>
      </c>
      <c r="E12999" s="5" t="str">
        <f t="shared" si="661"/>
        <v>ACTISALUD -NEUROCIRUGIA - GUSTAVO GOMEZ</v>
      </c>
      <c r="F12999" s="5"/>
      <c r="G12999" s="5"/>
    </row>
    <row r="13000" spans="1:7" ht="58.5" customHeight="1" x14ac:dyDescent="0.25">
      <c r="A13000" s="5" t="str">
        <f>"H0024288"</f>
        <v>H0024288</v>
      </c>
      <c r="B13000" s="5" t="str">
        <f t="shared" si="660"/>
        <v>CAMA ELECTRICA ADULTOS</v>
      </c>
      <c r="C13000" s="6">
        <v>5746930</v>
      </c>
      <c r="D13000" s="5" t="s">
        <v>36</v>
      </c>
      <c r="E13000" s="5" t="str">
        <f t="shared" si="661"/>
        <v>ACTISALUD -NEUROCIRUGIA - GUSTAVO GOMEZ</v>
      </c>
      <c r="F13000" s="5"/>
      <c r="G13000" s="5"/>
    </row>
    <row r="13001" spans="1:7" ht="58.5" customHeight="1" x14ac:dyDescent="0.25">
      <c r="A13001" s="5" t="str">
        <f>"H0024330"</f>
        <v>H0024330</v>
      </c>
      <c r="B13001" s="5" t="str">
        <f t="shared" si="660"/>
        <v>CAMA ELECTRICA ADULTOS</v>
      </c>
      <c r="C13001" s="6">
        <v>5746930</v>
      </c>
      <c r="D13001" s="5" t="s">
        <v>36</v>
      </c>
      <c r="E13001" s="5" t="str">
        <f t="shared" si="661"/>
        <v>ACTISALUD -NEUROCIRUGIA - GUSTAVO GOMEZ</v>
      </c>
      <c r="F13001" s="5"/>
      <c r="G13001" s="5"/>
    </row>
    <row r="13002" spans="1:7" ht="58.5" customHeight="1" x14ac:dyDescent="0.25">
      <c r="A13002" s="5" t="str">
        <f>"H0024344"</f>
        <v>H0024344</v>
      </c>
      <c r="B13002" s="5" t="str">
        <f t="shared" si="660"/>
        <v>CAMA ELECTRICA ADULTOS</v>
      </c>
      <c r="C13002" s="6">
        <v>5746930</v>
      </c>
      <c r="D13002" s="5" t="s">
        <v>36</v>
      </c>
      <c r="E13002" s="5" t="str">
        <f t="shared" si="661"/>
        <v>ACTISALUD -NEUROCIRUGIA - GUSTAVO GOMEZ</v>
      </c>
      <c r="F13002" s="5"/>
      <c r="G13002" s="5"/>
    </row>
    <row r="13003" spans="1:7" ht="58.5" customHeight="1" x14ac:dyDescent="0.25">
      <c r="A13003" s="5" t="str">
        <f>"H0024347"</f>
        <v>H0024347</v>
      </c>
      <c r="B13003" s="5" t="str">
        <f t="shared" si="660"/>
        <v>CAMA ELECTRICA ADULTOS</v>
      </c>
      <c r="C13003" s="6">
        <v>5746930</v>
      </c>
      <c r="D13003" s="5" t="s">
        <v>36</v>
      </c>
      <c r="E13003" s="5" t="str">
        <f t="shared" si="661"/>
        <v>ACTISALUD -NEUROCIRUGIA - GUSTAVO GOMEZ</v>
      </c>
      <c r="F13003" s="5"/>
      <c r="G13003" s="5"/>
    </row>
    <row r="13004" spans="1:7" ht="58.5" customHeight="1" x14ac:dyDescent="0.25">
      <c r="A13004" s="5" t="str">
        <f>"H0024505"</f>
        <v>H0024505</v>
      </c>
      <c r="B13004"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004" s="6">
        <v>2600000</v>
      </c>
      <c r="D13004" s="5" t="s">
        <v>36</v>
      </c>
      <c r="E13004" s="5" t="str">
        <f t="shared" si="661"/>
        <v>ACTISALUD -NEUROCIRUGIA - GUSTAVO GOMEZ</v>
      </c>
      <c r="F13004" s="5"/>
      <c r="G13004" s="5"/>
    </row>
    <row r="13005" spans="1:7" ht="58.5" customHeight="1" x14ac:dyDescent="0.25">
      <c r="A13005" s="5" t="str">
        <f>"H0024506"</f>
        <v>H0024506</v>
      </c>
      <c r="B1300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005" s="6">
        <v>2600000</v>
      </c>
      <c r="D13005" s="5" t="s">
        <v>36</v>
      </c>
      <c r="E13005" s="5" t="str">
        <f t="shared" si="661"/>
        <v>ACTISALUD -NEUROCIRUGIA - GUSTAVO GOMEZ</v>
      </c>
      <c r="F13005" s="5"/>
      <c r="G13005" s="5"/>
    </row>
    <row r="13006" spans="1:7" ht="58.5" customHeight="1" x14ac:dyDescent="0.25">
      <c r="A13006" s="5" t="str">
        <f>"H0024514"</f>
        <v>H0024514</v>
      </c>
      <c r="B1300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006" s="6">
        <v>2600000</v>
      </c>
      <c r="D13006" s="5" t="s">
        <v>36</v>
      </c>
      <c r="E13006" s="5" t="str">
        <f t="shared" si="661"/>
        <v>ACTISALUD -NEUROCIRUGIA - GUSTAVO GOMEZ</v>
      </c>
      <c r="F13006" s="5"/>
      <c r="G13006" s="5"/>
    </row>
    <row r="13007" spans="1:7" ht="58.5" customHeight="1" x14ac:dyDescent="0.25">
      <c r="A13007" s="5" t="str">
        <f>"H0024515"</f>
        <v>H0024515</v>
      </c>
      <c r="B1300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007" s="6">
        <v>2600000</v>
      </c>
      <c r="D13007" s="5" t="s">
        <v>36</v>
      </c>
      <c r="E13007" s="5" t="str">
        <f t="shared" si="661"/>
        <v>ACTISALUD -NEUROCIRUGIA - GUSTAVO GOMEZ</v>
      </c>
      <c r="F13007" s="5"/>
      <c r="G13007" s="5"/>
    </row>
    <row r="13008" spans="1:7" ht="58.5" customHeight="1" x14ac:dyDescent="0.25">
      <c r="A13008" s="5" t="str">
        <f>"H0025051"</f>
        <v>H0025051</v>
      </c>
      <c r="B13008" s="5" t="str">
        <f t="shared" ref="B13008:B13017" si="662">"SILLA AUXILIAR FIJA"</f>
        <v>SILLA AUXILIAR FIJA</v>
      </c>
      <c r="C13008" s="6">
        <v>150000</v>
      </c>
      <c r="D13008" s="5" t="s">
        <v>578</v>
      </c>
      <c r="E13008" s="5" t="str">
        <f t="shared" si="661"/>
        <v>ACTISALUD -NEUROCIRUGIA - GUSTAVO GOMEZ</v>
      </c>
      <c r="F13008" s="5"/>
      <c r="G13008" s="5"/>
    </row>
    <row r="13009" spans="1:7" ht="58.5" customHeight="1" x14ac:dyDescent="0.25">
      <c r="A13009" s="5" t="str">
        <f>"H0025052"</f>
        <v>H0025052</v>
      </c>
      <c r="B13009" s="5" t="str">
        <f t="shared" si="662"/>
        <v>SILLA AUXILIAR FIJA</v>
      </c>
      <c r="C13009" s="6">
        <v>150000</v>
      </c>
      <c r="D13009" s="5" t="s">
        <v>578</v>
      </c>
      <c r="E13009" s="5" t="str">
        <f t="shared" si="661"/>
        <v>ACTISALUD -NEUROCIRUGIA - GUSTAVO GOMEZ</v>
      </c>
      <c r="F13009" s="5"/>
      <c r="G13009" s="5"/>
    </row>
    <row r="13010" spans="1:7" ht="58.5" customHeight="1" x14ac:dyDescent="0.25">
      <c r="A13010" s="5" t="str">
        <f>"H0025053"</f>
        <v>H0025053</v>
      </c>
      <c r="B13010" s="5" t="str">
        <f t="shared" si="662"/>
        <v>SILLA AUXILIAR FIJA</v>
      </c>
      <c r="C13010" s="6">
        <v>150000</v>
      </c>
      <c r="D13010" s="5" t="s">
        <v>578</v>
      </c>
      <c r="E13010" s="5" t="str">
        <f t="shared" si="661"/>
        <v>ACTISALUD -NEUROCIRUGIA - GUSTAVO GOMEZ</v>
      </c>
      <c r="F13010" s="5"/>
      <c r="G13010" s="5"/>
    </row>
    <row r="13011" spans="1:7" ht="58.5" customHeight="1" x14ac:dyDescent="0.25">
      <c r="A13011" s="5" t="str">
        <f>"H0025054"</f>
        <v>H0025054</v>
      </c>
      <c r="B13011" s="5" t="str">
        <f t="shared" si="662"/>
        <v>SILLA AUXILIAR FIJA</v>
      </c>
      <c r="C13011" s="6">
        <v>150000</v>
      </c>
      <c r="D13011" s="5" t="s">
        <v>578</v>
      </c>
      <c r="E13011" s="5" t="str">
        <f t="shared" si="661"/>
        <v>ACTISALUD -NEUROCIRUGIA - GUSTAVO GOMEZ</v>
      </c>
      <c r="F13011" s="5"/>
      <c r="G13011" s="5"/>
    </row>
    <row r="13012" spans="1:7" ht="58.5" customHeight="1" x14ac:dyDescent="0.25">
      <c r="A13012" s="5" t="str">
        <f>"H0025055"</f>
        <v>H0025055</v>
      </c>
      <c r="B13012" s="5" t="str">
        <f t="shared" si="662"/>
        <v>SILLA AUXILIAR FIJA</v>
      </c>
      <c r="C13012" s="6">
        <v>150000</v>
      </c>
      <c r="D13012" s="5" t="s">
        <v>578</v>
      </c>
      <c r="E13012" s="5" t="str">
        <f t="shared" si="661"/>
        <v>ACTISALUD -NEUROCIRUGIA - GUSTAVO GOMEZ</v>
      </c>
      <c r="F13012" s="5"/>
      <c r="G13012" s="5"/>
    </row>
    <row r="13013" spans="1:7" ht="58.5" customHeight="1" x14ac:dyDescent="0.25">
      <c r="A13013" s="5" t="str">
        <f>"H0025056"</f>
        <v>H0025056</v>
      </c>
      <c r="B13013" s="5" t="str">
        <f t="shared" si="662"/>
        <v>SILLA AUXILIAR FIJA</v>
      </c>
      <c r="C13013" s="6">
        <v>150000</v>
      </c>
      <c r="D13013" s="5" t="s">
        <v>578</v>
      </c>
      <c r="E13013" s="5" t="str">
        <f t="shared" si="661"/>
        <v>ACTISALUD -NEUROCIRUGIA - GUSTAVO GOMEZ</v>
      </c>
      <c r="F13013" s="5"/>
      <c r="G13013" s="5"/>
    </row>
    <row r="13014" spans="1:7" ht="58.5" customHeight="1" x14ac:dyDescent="0.25">
      <c r="A13014" s="5" t="str">
        <f>"H0025057"</f>
        <v>H0025057</v>
      </c>
      <c r="B13014" s="5" t="str">
        <f t="shared" si="662"/>
        <v>SILLA AUXILIAR FIJA</v>
      </c>
      <c r="C13014" s="6">
        <v>150000</v>
      </c>
      <c r="D13014" s="5" t="s">
        <v>578</v>
      </c>
      <c r="E13014" s="5" t="str">
        <f t="shared" si="661"/>
        <v>ACTISALUD -NEUROCIRUGIA - GUSTAVO GOMEZ</v>
      </c>
      <c r="F13014" s="5"/>
      <c r="G13014" s="5"/>
    </row>
    <row r="13015" spans="1:7" ht="58.5" customHeight="1" x14ac:dyDescent="0.25">
      <c r="A13015" s="5" t="str">
        <f>"H0025058"</f>
        <v>H0025058</v>
      </c>
      <c r="B13015" s="5" t="str">
        <f t="shared" si="662"/>
        <v>SILLA AUXILIAR FIJA</v>
      </c>
      <c r="C13015" s="6">
        <v>150000</v>
      </c>
      <c r="D13015" s="5" t="s">
        <v>578</v>
      </c>
      <c r="E13015" s="5" t="str">
        <f t="shared" si="661"/>
        <v>ACTISALUD -NEUROCIRUGIA - GUSTAVO GOMEZ</v>
      </c>
      <c r="F13015" s="5"/>
      <c r="G13015" s="5"/>
    </row>
    <row r="13016" spans="1:7" ht="58.5" customHeight="1" x14ac:dyDescent="0.25">
      <c r="A13016" s="5" t="str">
        <f>"H0025059"</f>
        <v>H0025059</v>
      </c>
      <c r="B13016" s="5" t="str">
        <f t="shared" si="662"/>
        <v>SILLA AUXILIAR FIJA</v>
      </c>
      <c r="C13016" s="6">
        <v>150000</v>
      </c>
      <c r="D13016" s="5" t="s">
        <v>578</v>
      </c>
      <c r="E13016" s="5" t="str">
        <f t="shared" si="661"/>
        <v>ACTISALUD -NEUROCIRUGIA - GUSTAVO GOMEZ</v>
      </c>
      <c r="F13016" s="5"/>
      <c r="G13016" s="5"/>
    </row>
    <row r="13017" spans="1:7" ht="58.5" customHeight="1" x14ac:dyDescent="0.25">
      <c r="A13017" s="5" t="str">
        <f>"H0025060"</f>
        <v>H0025060</v>
      </c>
      <c r="B13017" s="5" t="str">
        <f t="shared" si="662"/>
        <v>SILLA AUXILIAR FIJA</v>
      </c>
      <c r="C13017" s="6">
        <v>150000</v>
      </c>
      <c r="D13017" s="5" t="s">
        <v>578</v>
      </c>
      <c r="E13017" s="5" t="str">
        <f t="shared" si="661"/>
        <v>ACTISALUD -NEUROCIRUGIA - GUSTAVO GOMEZ</v>
      </c>
      <c r="F13017" s="5"/>
      <c r="G13017" s="5"/>
    </row>
    <row r="13018" spans="1:7" ht="58.5" customHeight="1" x14ac:dyDescent="0.25">
      <c r="A13018" s="5" t="str">
        <f>"H0025242"</f>
        <v>H0025242</v>
      </c>
      <c r="B13018" s="5" t="s">
        <v>65</v>
      </c>
      <c r="C13018" s="6">
        <v>115394.48</v>
      </c>
      <c r="D13018" s="5" t="s">
        <v>10</v>
      </c>
      <c r="E13018" s="5" t="str">
        <f t="shared" si="661"/>
        <v>ACTISALUD -NEUROCIRUGIA - GUSTAVO GOMEZ</v>
      </c>
      <c r="F13018" s="5"/>
      <c r="G13018" s="5"/>
    </row>
    <row r="13019" spans="1:7" ht="58.5" customHeight="1" x14ac:dyDescent="0.25">
      <c r="A13019" s="5" t="str">
        <f>"H0025244"</f>
        <v>H0025244</v>
      </c>
      <c r="B13019" s="5" t="s">
        <v>65</v>
      </c>
      <c r="C13019" s="6">
        <v>115394.48</v>
      </c>
      <c r="D13019" s="5" t="s">
        <v>10</v>
      </c>
      <c r="E13019" s="5" t="str">
        <f t="shared" si="661"/>
        <v>ACTISALUD -NEUROCIRUGIA - GUSTAVO GOMEZ</v>
      </c>
      <c r="F13019" s="5"/>
      <c r="G13019" s="5"/>
    </row>
    <row r="13020" spans="1:7" ht="58.5" customHeight="1" x14ac:dyDescent="0.25">
      <c r="A13020" s="5" t="str">
        <f>"H0025245"</f>
        <v>H0025245</v>
      </c>
      <c r="B13020" s="5" t="s">
        <v>65</v>
      </c>
      <c r="C13020" s="6">
        <v>115394.48</v>
      </c>
      <c r="D13020" s="5" t="s">
        <v>10</v>
      </c>
      <c r="E13020" s="5" t="str">
        <f t="shared" si="661"/>
        <v>ACTISALUD -NEUROCIRUGIA - GUSTAVO GOMEZ</v>
      </c>
      <c r="F13020" s="5"/>
      <c r="G13020" s="5"/>
    </row>
    <row r="13021" spans="1:7" ht="58.5" customHeight="1" x14ac:dyDescent="0.25">
      <c r="A13021" s="5" t="str">
        <f>"H0025246"</f>
        <v>H0025246</v>
      </c>
      <c r="B13021" s="5" t="s">
        <v>65</v>
      </c>
      <c r="C13021" s="6">
        <v>115394.48</v>
      </c>
      <c r="D13021" s="5" t="s">
        <v>10</v>
      </c>
      <c r="E13021" s="5" t="str">
        <f t="shared" si="661"/>
        <v>ACTISALUD -NEUROCIRUGIA - GUSTAVO GOMEZ</v>
      </c>
      <c r="F13021" s="5"/>
      <c r="G13021" s="5"/>
    </row>
    <row r="13022" spans="1:7" ht="58.5" customHeight="1" x14ac:dyDescent="0.25">
      <c r="A13022" s="5" t="str">
        <f>"H0025247"</f>
        <v>H0025247</v>
      </c>
      <c r="B13022" s="5" t="s">
        <v>65</v>
      </c>
      <c r="C13022" s="6">
        <v>115394.48</v>
      </c>
      <c r="D13022" s="5" t="s">
        <v>10</v>
      </c>
      <c r="E13022" s="5" t="str">
        <f t="shared" si="661"/>
        <v>ACTISALUD -NEUROCIRUGIA - GUSTAVO GOMEZ</v>
      </c>
      <c r="F13022" s="5"/>
      <c r="G13022" s="5"/>
    </row>
    <row r="13023" spans="1:7" ht="58.5" customHeight="1" x14ac:dyDescent="0.25">
      <c r="A13023" s="5" t="str">
        <f>"H0025299"</f>
        <v>H0025299</v>
      </c>
      <c r="B13023" s="5" t="str">
        <f>"NEVERA DE 50 LITROS CONDENSADORA OCULTO"</f>
        <v>NEVERA DE 50 LITROS CONDENSADORA OCULTO</v>
      </c>
      <c r="C13023" s="6">
        <v>418951.4</v>
      </c>
      <c r="D13023" s="5" t="s">
        <v>10</v>
      </c>
      <c r="E13023" s="5" t="str">
        <f t="shared" si="661"/>
        <v>ACTISALUD -NEUROCIRUGIA - GUSTAVO GOMEZ</v>
      </c>
      <c r="F13023" s="5"/>
      <c r="G13023" s="5"/>
    </row>
    <row r="13024" spans="1:7" ht="58.5" customHeight="1" x14ac:dyDescent="0.25">
      <c r="A13024" s="5" t="str">
        <f>"H0025409"</f>
        <v>H0025409</v>
      </c>
      <c r="B1302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024" s="6">
        <v>312156</v>
      </c>
      <c r="D13024" s="5" t="s">
        <v>10</v>
      </c>
      <c r="E13024" s="5" t="str">
        <f t="shared" si="661"/>
        <v>ACTISALUD -NEUROCIRUGIA - GUSTAVO GOMEZ</v>
      </c>
      <c r="F13024" s="5"/>
      <c r="G13024" s="5"/>
    </row>
    <row r="13025" spans="1:7" ht="58.5" customHeight="1" x14ac:dyDescent="0.25">
      <c r="A13025" s="5" t="str">
        <f>"H0025410"</f>
        <v>H0025410</v>
      </c>
      <c r="B1302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025" s="6">
        <v>312156</v>
      </c>
      <c r="D13025" s="5" t="s">
        <v>10</v>
      </c>
      <c r="E13025" s="5" t="str">
        <f t="shared" si="661"/>
        <v>ACTISALUD -NEUROCIRUGIA - GUSTAVO GOMEZ</v>
      </c>
      <c r="F13025" s="5"/>
      <c r="G13025" s="5"/>
    </row>
    <row r="13026" spans="1:7" ht="58.5" customHeight="1" x14ac:dyDescent="0.25">
      <c r="A13026" s="5" t="str">
        <f>"H0025745"</f>
        <v>H0025745</v>
      </c>
      <c r="B13026" s="5" t="str">
        <f>"MONITOR DE SIGNOS VITALES"</f>
        <v>MONITOR DE SIGNOS VITALES</v>
      </c>
      <c r="C13026" s="6">
        <v>3909779.6</v>
      </c>
      <c r="D13026" s="5" t="s">
        <v>241</v>
      </c>
      <c r="E13026" s="5" t="str">
        <f t="shared" si="661"/>
        <v>ACTISALUD -NEUROCIRUGIA - GUSTAVO GOMEZ</v>
      </c>
      <c r="F13026" s="5"/>
      <c r="G13026" s="5"/>
    </row>
    <row r="13027" spans="1:7" ht="58.5" customHeight="1" x14ac:dyDescent="0.25">
      <c r="A13027" s="5" t="str">
        <f>"H0025977"</f>
        <v>H0025977</v>
      </c>
      <c r="B13027" s="5" t="str">
        <f t="shared" ref="B13027:B13033" si="663">"SILLA DE RUEDAS"</f>
        <v>SILLA DE RUEDAS</v>
      </c>
      <c r="C13027" s="6">
        <v>280000</v>
      </c>
      <c r="D13027" s="5" t="s">
        <v>77</v>
      </c>
      <c r="E13027" s="5" t="str">
        <f t="shared" si="661"/>
        <v>ACTISALUD -NEUROCIRUGIA - GUSTAVO GOMEZ</v>
      </c>
      <c r="F13027" s="5"/>
      <c r="G13027" s="5"/>
    </row>
    <row r="13028" spans="1:7" ht="58.5" customHeight="1" x14ac:dyDescent="0.25">
      <c r="A13028" s="5" t="str">
        <f>"H0025978"</f>
        <v>H0025978</v>
      </c>
      <c r="B13028" s="5" t="str">
        <f t="shared" si="663"/>
        <v>SILLA DE RUEDAS</v>
      </c>
      <c r="C13028" s="6">
        <v>280000</v>
      </c>
      <c r="D13028" s="5" t="s">
        <v>77</v>
      </c>
      <c r="E13028" s="5" t="str">
        <f t="shared" si="661"/>
        <v>ACTISALUD -NEUROCIRUGIA - GUSTAVO GOMEZ</v>
      </c>
      <c r="F13028" s="5"/>
      <c r="G13028" s="5"/>
    </row>
    <row r="13029" spans="1:7" ht="58.5" customHeight="1" x14ac:dyDescent="0.25">
      <c r="A13029" s="5" t="str">
        <f>"H0025979"</f>
        <v>H0025979</v>
      </c>
      <c r="B13029" s="5" t="str">
        <f t="shared" si="663"/>
        <v>SILLA DE RUEDAS</v>
      </c>
      <c r="C13029" s="6">
        <v>280000</v>
      </c>
      <c r="D13029" s="5" t="s">
        <v>77</v>
      </c>
      <c r="E13029" s="5" t="str">
        <f t="shared" si="661"/>
        <v>ACTISALUD -NEUROCIRUGIA - GUSTAVO GOMEZ</v>
      </c>
      <c r="F13029" s="5"/>
      <c r="G13029" s="5"/>
    </row>
    <row r="13030" spans="1:7" ht="58.5" customHeight="1" x14ac:dyDescent="0.25">
      <c r="A13030" s="5" t="str">
        <f>"H0025980"</f>
        <v>H0025980</v>
      </c>
      <c r="B13030" s="5" t="str">
        <f t="shared" si="663"/>
        <v>SILLA DE RUEDAS</v>
      </c>
      <c r="C13030" s="6">
        <v>280000</v>
      </c>
      <c r="D13030" s="5" t="s">
        <v>77</v>
      </c>
      <c r="E13030" s="5" t="str">
        <f t="shared" si="661"/>
        <v>ACTISALUD -NEUROCIRUGIA - GUSTAVO GOMEZ</v>
      </c>
      <c r="F13030" s="5"/>
      <c r="G13030" s="5"/>
    </row>
    <row r="13031" spans="1:7" ht="58.5" customHeight="1" x14ac:dyDescent="0.25">
      <c r="A13031" s="5" t="str">
        <f>"H0025981"</f>
        <v>H0025981</v>
      </c>
      <c r="B13031" s="5" t="str">
        <f t="shared" si="663"/>
        <v>SILLA DE RUEDAS</v>
      </c>
      <c r="C13031" s="6">
        <v>280000</v>
      </c>
      <c r="D13031" s="5" t="s">
        <v>77</v>
      </c>
      <c r="E13031" s="5" t="str">
        <f t="shared" si="661"/>
        <v>ACTISALUD -NEUROCIRUGIA - GUSTAVO GOMEZ</v>
      </c>
      <c r="F13031" s="5"/>
      <c r="G13031" s="5"/>
    </row>
    <row r="13032" spans="1:7" ht="58.5" customHeight="1" x14ac:dyDescent="0.25">
      <c r="A13032" s="5" t="str">
        <f>"H0026040"</f>
        <v>H0026040</v>
      </c>
      <c r="B13032" s="5" t="str">
        <f t="shared" si="663"/>
        <v>SILLA DE RUEDAS</v>
      </c>
      <c r="C13032" s="6">
        <v>280000</v>
      </c>
      <c r="D13032" s="5" t="s">
        <v>77</v>
      </c>
      <c r="E13032" s="5" t="str">
        <f t="shared" si="661"/>
        <v>ACTISALUD -NEUROCIRUGIA - GUSTAVO GOMEZ</v>
      </c>
      <c r="F13032" s="5"/>
      <c r="G13032" s="5"/>
    </row>
    <row r="13033" spans="1:7" ht="58.5" customHeight="1" x14ac:dyDescent="0.25">
      <c r="A13033" s="5" t="str">
        <f>"H0026041"</f>
        <v>H0026041</v>
      </c>
      <c r="B13033" s="5" t="str">
        <f t="shared" si="663"/>
        <v>SILLA DE RUEDAS</v>
      </c>
      <c r="C13033" s="6">
        <v>280000</v>
      </c>
      <c r="D13033" s="5" t="s">
        <v>77</v>
      </c>
      <c r="E13033" s="5" t="str">
        <f t="shared" si="661"/>
        <v>ACTISALUD -NEUROCIRUGIA - GUSTAVO GOMEZ</v>
      </c>
      <c r="F13033" s="5"/>
      <c r="G13033" s="5"/>
    </row>
    <row r="13034" spans="1:7" ht="58.5" customHeight="1" x14ac:dyDescent="0.25">
      <c r="A13034" s="5" t="str">
        <f>"H0026850"</f>
        <v>H0026850</v>
      </c>
      <c r="B13034" s="5" t="str">
        <f t="shared" ref="B13034:B13040" si="664">"BOMBA DE INFUSION"</f>
        <v>BOMBA DE INFUSION</v>
      </c>
      <c r="C13034" s="6">
        <v>800000</v>
      </c>
      <c r="D13034" s="5" t="s">
        <v>79</v>
      </c>
      <c r="E13034" s="5" t="str">
        <f t="shared" si="661"/>
        <v>ACTISALUD -NEUROCIRUGIA - GUSTAVO GOMEZ</v>
      </c>
      <c r="F13034" s="5"/>
      <c r="G13034" s="5"/>
    </row>
    <row r="13035" spans="1:7" ht="58.5" customHeight="1" x14ac:dyDescent="0.25">
      <c r="A13035" s="5" t="str">
        <f>"H0026851"</f>
        <v>H0026851</v>
      </c>
      <c r="B13035" s="5" t="str">
        <f t="shared" si="664"/>
        <v>BOMBA DE INFUSION</v>
      </c>
      <c r="C13035" s="6">
        <v>800000</v>
      </c>
      <c r="D13035" s="5" t="s">
        <v>79</v>
      </c>
      <c r="E13035" s="5" t="str">
        <f t="shared" si="661"/>
        <v>ACTISALUD -NEUROCIRUGIA - GUSTAVO GOMEZ</v>
      </c>
      <c r="F13035" s="5"/>
      <c r="G13035" s="5"/>
    </row>
    <row r="13036" spans="1:7" ht="58.5" customHeight="1" x14ac:dyDescent="0.25">
      <c r="A13036" s="5" t="str">
        <f>"H0026853"</f>
        <v>H0026853</v>
      </c>
      <c r="B13036" s="5" t="str">
        <f t="shared" si="664"/>
        <v>BOMBA DE INFUSION</v>
      </c>
      <c r="C13036" s="6">
        <v>800000</v>
      </c>
      <c r="D13036" s="5" t="s">
        <v>79</v>
      </c>
      <c r="E13036" s="5" t="str">
        <f t="shared" si="661"/>
        <v>ACTISALUD -NEUROCIRUGIA - GUSTAVO GOMEZ</v>
      </c>
      <c r="F13036" s="5"/>
      <c r="G13036" s="5"/>
    </row>
    <row r="13037" spans="1:7" ht="58.5" customHeight="1" x14ac:dyDescent="0.25">
      <c r="A13037" s="5" t="str">
        <f>"H0026864"</f>
        <v>H0026864</v>
      </c>
      <c r="B13037" s="5" t="str">
        <f t="shared" si="664"/>
        <v>BOMBA DE INFUSION</v>
      </c>
      <c r="C13037" s="6">
        <v>800000</v>
      </c>
      <c r="D13037" s="5" t="s">
        <v>79</v>
      </c>
      <c r="E13037" s="5" t="str">
        <f t="shared" si="661"/>
        <v>ACTISALUD -NEUROCIRUGIA - GUSTAVO GOMEZ</v>
      </c>
      <c r="F13037" s="5"/>
      <c r="G13037" s="5"/>
    </row>
    <row r="13038" spans="1:7" ht="58.5" customHeight="1" x14ac:dyDescent="0.25">
      <c r="A13038" s="5" t="str">
        <f>"H0026865"</f>
        <v>H0026865</v>
      </c>
      <c r="B13038" s="5" t="str">
        <f t="shared" si="664"/>
        <v>BOMBA DE INFUSION</v>
      </c>
      <c r="C13038" s="6">
        <v>800000</v>
      </c>
      <c r="D13038" s="5" t="s">
        <v>79</v>
      </c>
      <c r="E13038" s="5" t="str">
        <f t="shared" si="661"/>
        <v>ACTISALUD -NEUROCIRUGIA - GUSTAVO GOMEZ</v>
      </c>
      <c r="F13038" s="5"/>
      <c r="G13038" s="5"/>
    </row>
    <row r="13039" spans="1:7" ht="58.5" customHeight="1" x14ac:dyDescent="0.25">
      <c r="A13039" s="5" t="str">
        <f>"H0026867"</f>
        <v>H0026867</v>
      </c>
      <c r="B13039" s="5" t="str">
        <f t="shared" si="664"/>
        <v>BOMBA DE INFUSION</v>
      </c>
      <c r="C13039" s="6">
        <v>800000</v>
      </c>
      <c r="D13039" s="5" t="s">
        <v>79</v>
      </c>
      <c r="E13039" s="5" t="str">
        <f t="shared" si="661"/>
        <v>ACTISALUD -NEUROCIRUGIA - GUSTAVO GOMEZ</v>
      </c>
      <c r="F13039" s="5"/>
      <c r="G13039" s="5"/>
    </row>
    <row r="13040" spans="1:7" ht="58.5" customHeight="1" x14ac:dyDescent="0.25">
      <c r="A13040" s="5" t="str">
        <f>"H0026869"</f>
        <v>H0026869</v>
      </c>
      <c r="B13040" s="5" t="str">
        <f t="shared" si="664"/>
        <v>BOMBA DE INFUSION</v>
      </c>
      <c r="C13040" s="6">
        <v>800000</v>
      </c>
      <c r="D13040" s="5" t="s">
        <v>79</v>
      </c>
      <c r="E13040" s="5" t="str">
        <f t="shared" si="661"/>
        <v>ACTISALUD -NEUROCIRUGIA - GUSTAVO GOMEZ</v>
      </c>
      <c r="F13040" s="5"/>
      <c r="G13040" s="5"/>
    </row>
    <row r="13041" spans="1:7" ht="58.5" customHeight="1" x14ac:dyDescent="0.25">
      <c r="A13041" s="5" t="str">
        <f>"H0027020"</f>
        <v>H0027020</v>
      </c>
      <c r="B13041" s="5" t="s">
        <v>700</v>
      </c>
      <c r="C13041" s="6">
        <v>1199900</v>
      </c>
      <c r="D13041" s="5" t="s">
        <v>459</v>
      </c>
      <c r="E13041" s="5" t="str">
        <f t="shared" si="661"/>
        <v>ACTISALUD -NEUROCIRUGIA - GUSTAVO GOMEZ</v>
      </c>
      <c r="F13041" s="5"/>
      <c r="G13041" s="5"/>
    </row>
    <row r="13042" spans="1:7" ht="58.5" customHeight="1" x14ac:dyDescent="0.25">
      <c r="A13042" s="5" t="str">
        <f>"H0027188"</f>
        <v>H0027188</v>
      </c>
      <c r="B1304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3042" s="6">
        <v>2641800</v>
      </c>
      <c r="D13042" s="5" t="s">
        <v>38</v>
      </c>
      <c r="E13042" s="5" t="str">
        <f t="shared" si="661"/>
        <v>ACTISALUD -NEUROCIRUGIA - GUSTAVO GOMEZ</v>
      </c>
      <c r="F13042" s="5"/>
      <c r="G13042" s="5"/>
    </row>
    <row r="13043" spans="1:7" ht="58.5" customHeight="1" x14ac:dyDescent="0.25">
      <c r="A13043" s="5" t="str">
        <f>"H0027189"</f>
        <v>H0027189</v>
      </c>
      <c r="B1304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3043" s="6">
        <v>2641800</v>
      </c>
      <c r="D13043" s="5" t="s">
        <v>38</v>
      </c>
      <c r="E13043" s="5" t="str">
        <f t="shared" si="661"/>
        <v>ACTISALUD -NEUROCIRUGIA - GUSTAVO GOMEZ</v>
      </c>
      <c r="F13043" s="5"/>
      <c r="G13043" s="5"/>
    </row>
    <row r="13044" spans="1:7" ht="58.5" customHeight="1" x14ac:dyDescent="0.25">
      <c r="A13044" s="5" t="str">
        <f>"H0027435"</f>
        <v>H0027435</v>
      </c>
      <c r="B13044" s="5" t="str">
        <f>"LECTOR DE HUELLAS DIGITALES"</f>
        <v>LECTOR DE HUELLAS DIGITALES</v>
      </c>
      <c r="C13044" s="6">
        <v>234000.41</v>
      </c>
      <c r="D13044" s="5" t="s">
        <v>83</v>
      </c>
      <c r="E13044" s="5" t="str">
        <f t="shared" si="661"/>
        <v>ACTISALUD -NEUROCIRUGIA - GUSTAVO GOMEZ</v>
      </c>
      <c r="F13044" s="5"/>
      <c r="G13044" s="5"/>
    </row>
    <row r="13045" spans="1:7" ht="58.5" customHeight="1" x14ac:dyDescent="0.25">
      <c r="A13045" s="5" t="str">
        <f>"H0027436"</f>
        <v>H0027436</v>
      </c>
      <c r="B13045" s="5" t="str">
        <f>"LECTOR DE HUELLAS DIGITALES"</f>
        <v>LECTOR DE HUELLAS DIGITALES</v>
      </c>
      <c r="C13045" s="6">
        <v>234000.41</v>
      </c>
      <c r="D13045" s="5" t="s">
        <v>83</v>
      </c>
      <c r="E13045" s="5" t="str">
        <f t="shared" si="661"/>
        <v>ACTISALUD -NEUROCIRUGIA - GUSTAVO GOMEZ</v>
      </c>
      <c r="F13045" s="5"/>
      <c r="G13045" s="5"/>
    </row>
    <row r="13046" spans="1:7" ht="58.5" customHeight="1" x14ac:dyDescent="0.25">
      <c r="A13046" s="5" t="str">
        <f>"H0027437"</f>
        <v>H0027437</v>
      </c>
      <c r="B13046" s="5" t="str">
        <f>"LECTOR DE HUELLAS DIGITALES"</f>
        <v>LECTOR DE HUELLAS DIGITALES</v>
      </c>
      <c r="C13046" s="6">
        <v>234000.41</v>
      </c>
      <c r="D13046" s="5" t="s">
        <v>83</v>
      </c>
      <c r="E13046" s="5" t="str">
        <f t="shared" si="661"/>
        <v>ACTISALUD -NEUROCIRUGIA - GUSTAVO GOMEZ</v>
      </c>
      <c r="F13046" s="5"/>
      <c r="G13046" s="5"/>
    </row>
    <row r="13047" spans="1:7" ht="58.5" customHeight="1" x14ac:dyDescent="0.25">
      <c r="A13047" s="5" t="str">
        <f>"H0027438"</f>
        <v>H0027438</v>
      </c>
      <c r="B13047" s="5" t="str">
        <f>"LECTOR DE HUELLAS DIGITALES"</f>
        <v>LECTOR DE HUELLAS DIGITALES</v>
      </c>
      <c r="C13047" s="6">
        <v>234000.41</v>
      </c>
      <c r="D13047" s="5" t="s">
        <v>83</v>
      </c>
      <c r="E13047" s="5" t="str">
        <f t="shared" si="661"/>
        <v>ACTISALUD -NEUROCIRUGIA - GUSTAVO GOMEZ</v>
      </c>
      <c r="F13047" s="5"/>
      <c r="G13047" s="5"/>
    </row>
    <row r="13048" spans="1:7" ht="58.5" customHeight="1" x14ac:dyDescent="0.25">
      <c r="A13048" s="5" t="str">
        <f>"H0027442"</f>
        <v>H0027442</v>
      </c>
      <c r="B13048" s="5" t="str">
        <f>"LECTOR DE HUELLAS DIGITALES"</f>
        <v>LECTOR DE HUELLAS DIGITALES</v>
      </c>
      <c r="C13048" s="6">
        <v>234000.41</v>
      </c>
      <c r="D13048" s="5" t="s">
        <v>83</v>
      </c>
      <c r="E13048" s="5" t="str">
        <f t="shared" si="661"/>
        <v>ACTISALUD -NEUROCIRUGIA - GUSTAVO GOMEZ</v>
      </c>
      <c r="F13048" s="5"/>
      <c r="G13048" s="5"/>
    </row>
    <row r="13049" spans="1:7" ht="58.5" customHeight="1" x14ac:dyDescent="0.25">
      <c r="A13049" s="5" t="str">
        <f>"H0028608"</f>
        <v>H0028608</v>
      </c>
      <c r="B13049" s="5" t="str">
        <f>"MÓDULO WIRELESS (CON 1 SIRENA 45W Y BATERÍA)"</f>
        <v>MÓDULO WIRELESS (CON 1 SIRENA 45W Y BATERÍA)</v>
      </c>
      <c r="C13049" s="6">
        <v>728280</v>
      </c>
      <c r="D13049" s="5" t="s">
        <v>87</v>
      </c>
      <c r="E13049" s="5" t="str">
        <f t="shared" si="661"/>
        <v>ACTISALUD -NEUROCIRUGIA - GUSTAVO GOMEZ</v>
      </c>
      <c r="F13049" s="5"/>
      <c r="G13049" s="5"/>
    </row>
    <row r="13050" spans="1:7" ht="58.5" customHeight="1" x14ac:dyDescent="0.25">
      <c r="A13050" s="5" t="str">
        <f>"H0028620"</f>
        <v>H0028620</v>
      </c>
      <c r="B13050" s="5" t="str">
        <f>"BALIZA ROTATIVA WIRELESS LUZ EMERGENCIA"</f>
        <v>BALIZA ROTATIVA WIRELESS LUZ EMERGENCIA</v>
      </c>
      <c r="C13050" s="6">
        <v>238000</v>
      </c>
      <c r="D13050" s="5" t="s">
        <v>701</v>
      </c>
      <c r="E13050" s="5" t="str">
        <f t="shared" si="661"/>
        <v>ACTISALUD -NEUROCIRUGIA - GUSTAVO GOMEZ</v>
      </c>
      <c r="F13050" s="5"/>
      <c r="G13050" s="5"/>
    </row>
    <row r="13051" spans="1:7" ht="58.5" customHeight="1" x14ac:dyDescent="0.25">
      <c r="A13051" s="5" t="str">
        <f>"H0028644"</f>
        <v>H0028644</v>
      </c>
      <c r="B13051" s="5" t="str">
        <f>"BOTÓN DE EMERGENCIA PÁNICO SOS FIJO WIRELESS"</f>
        <v>BOTÓN DE EMERGENCIA PÁNICO SOS FIJO WIRELESS</v>
      </c>
      <c r="C13051" s="6">
        <v>297500</v>
      </c>
      <c r="D13051" s="5" t="s">
        <v>87</v>
      </c>
      <c r="E13051" s="5" t="str">
        <f t="shared" si="661"/>
        <v>ACTISALUD -NEUROCIRUGIA - GUSTAVO GOMEZ</v>
      </c>
      <c r="F13051" s="5"/>
      <c r="G13051" s="5"/>
    </row>
    <row r="13052" spans="1:7" ht="58.5" customHeight="1" x14ac:dyDescent="0.25">
      <c r="A13052" s="5" t="str">
        <f>"H0028645"</f>
        <v>H0028645</v>
      </c>
      <c r="B13052" s="5" t="str">
        <f>"BOTÓN DE EMERGENCIA PÁNICO SOS FIJO WIRELESS"</f>
        <v>BOTÓN DE EMERGENCIA PÁNICO SOS FIJO WIRELESS</v>
      </c>
      <c r="C13052" s="6">
        <v>297500</v>
      </c>
      <c r="D13052" s="5" t="s">
        <v>87</v>
      </c>
      <c r="E13052" s="5" t="str">
        <f t="shared" si="661"/>
        <v>ACTISALUD -NEUROCIRUGIA - GUSTAVO GOMEZ</v>
      </c>
      <c r="F13052" s="5"/>
      <c r="G13052" s="5"/>
    </row>
    <row r="13053" spans="1:7" ht="58.5" customHeight="1" x14ac:dyDescent="0.25">
      <c r="A13053" s="5" t="str">
        <f>"H0028646"</f>
        <v>H0028646</v>
      </c>
      <c r="B13053" s="5" t="str">
        <f>"BOTÓN DE EMERGENCIA PÁNICO SOS FIJO WIRELESS"</f>
        <v>BOTÓN DE EMERGENCIA PÁNICO SOS FIJO WIRELESS</v>
      </c>
      <c r="C13053" s="6">
        <v>297500</v>
      </c>
      <c r="D13053" s="5" t="s">
        <v>87</v>
      </c>
      <c r="E13053" s="5" t="str">
        <f t="shared" si="661"/>
        <v>ACTISALUD -NEUROCIRUGIA - GUSTAVO GOMEZ</v>
      </c>
      <c r="F13053" s="5"/>
      <c r="G13053" s="5"/>
    </row>
    <row r="13054" spans="1:7" ht="58.5" customHeight="1" x14ac:dyDescent="0.25">
      <c r="A13054" s="5" t="str">
        <f>"H0028674"</f>
        <v>H0028674</v>
      </c>
      <c r="B13054" s="5" t="str">
        <f>"BOTÓN DE EMERGENCIA PÁNICO SOS MÓVIL WIRELESS"</f>
        <v>BOTÓN DE EMERGENCIA PÁNICO SOS MÓVIL WIRELESS</v>
      </c>
      <c r="C13054" s="6">
        <v>47600</v>
      </c>
      <c r="D13054" s="5" t="s">
        <v>87</v>
      </c>
      <c r="E13054" s="5" t="str">
        <f t="shared" si="661"/>
        <v>ACTISALUD -NEUROCIRUGIA - GUSTAVO GOMEZ</v>
      </c>
      <c r="F13054" s="5"/>
      <c r="G13054" s="5"/>
    </row>
    <row r="13055" spans="1:7" ht="58.5" customHeight="1" x14ac:dyDescent="0.25">
      <c r="A13055" s="5" t="str">
        <f>"H0028675"</f>
        <v>H0028675</v>
      </c>
      <c r="B13055" s="5" t="str">
        <f>"BOTÓN DE EMERGENCIA PÁNICO SOS MÓVIL WIRELESS"</f>
        <v>BOTÓN DE EMERGENCIA PÁNICO SOS MÓVIL WIRELESS</v>
      </c>
      <c r="C13055" s="6">
        <v>47600</v>
      </c>
      <c r="D13055" s="5" t="s">
        <v>87</v>
      </c>
      <c r="E13055" s="5" t="str">
        <f t="shared" si="661"/>
        <v>ACTISALUD -NEUROCIRUGIA - GUSTAVO GOMEZ</v>
      </c>
      <c r="F13055" s="5"/>
      <c r="G13055" s="5"/>
    </row>
    <row r="13056" spans="1:7" ht="58.5" customHeight="1" x14ac:dyDescent="0.25">
      <c r="A13056" s="5" t="str">
        <f>"H0028711"</f>
        <v>H0028711</v>
      </c>
      <c r="B13056" s="5" t="str">
        <f>"LÁMPARA RECARGABLE DE EMERGENCIA 60 BOMBILLOS LED LUZ BLANCA"</f>
        <v>LÁMPARA RECARGABLE DE EMERGENCIA 60 BOMBILLOS LED LUZ BLANCA</v>
      </c>
      <c r="C13056" s="6">
        <v>255850</v>
      </c>
      <c r="D13056" s="5" t="s">
        <v>87</v>
      </c>
      <c r="E13056" s="5" t="str">
        <f t="shared" si="661"/>
        <v>ACTISALUD -NEUROCIRUGIA - GUSTAVO GOMEZ</v>
      </c>
      <c r="F13056" s="5"/>
      <c r="G13056" s="5"/>
    </row>
    <row r="13057" spans="1:7" ht="58.5" customHeight="1" x14ac:dyDescent="0.25">
      <c r="A13057" s="5" t="str">
        <f>"H0028712"</f>
        <v>H0028712</v>
      </c>
      <c r="B13057" s="5" t="str">
        <f>"LÁMPARA RECARGABLE DE EMERGENCIA 60 BOMBILLOS LED LUZ BLANCA"</f>
        <v>LÁMPARA RECARGABLE DE EMERGENCIA 60 BOMBILLOS LED LUZ BLANCA</v>
      </c>
      <c r="C13057" s="6">
        <v>255850</v>
      </c>
      <c r="D13057" s="5" t="s">
        <v>87</v>
      </c>
      <c r="E13057" s="5" t="str">
        <f t="shared" si="661"/>
        <v>ACTISALUD -NEUROCIRUGIA - GUSTAVO GOMEZ</v>
      </c>
      <c r="F13057" s="5"/>
      <c r="G13057" s="5"/>
    </row>
    <row r="13058" spans="1:7" ht="58.5" customHeight="1" x14ac:dyDescent="0.25">
      <c r="A13058" s="5" t="str">
        <f>"H0028713"</f>
        <v>H0028713</v>
      </c>
      <c r="B13058" s="5" t="str">
        <f>"LÁMPARA RECARGABLE DE EMERGENCIA 60 BOMBILLOS LED LUZ BLANCA"</f>
        <v>LÁMPARA RECARGABLE DE EMERGENCIA 60 BOMBILLOS LED LUZ BLANCA</v>
      </c>
      <c r="C13058" s="6">
        <v>255850</v>
      </c>
      <c r="D13058" s="5" t="s">
        <v>87</v>
      </c>
      <c r="E13058" s="5" t="str">
        <f t="shared" si="661"/>
        <v>ACTISALUD -NEUROCIRUGIA - GUSTAVO GOMEZ</v>
      </c>
      <c r="F13058" s="5"/>
      <c r="G13058" s="5"/>
    </row>
    <row r="13059" spans="1:7" ht="58.5" customHeight="1" x14ac:dyDescent="0.25">
      <c r="A13059" s="5" t="str">
        <f>"H0028714"</f>
        <v>H0028714</v>
      </c>
      <c r="B13059" s="5" t="str">
        <f>"LÁMPARA RECARGABLE DE EMERGENCIA 60 BOMBILLOS LED LUZ BLANCA"</f>
        <v>LÁMPARA RECARGABLE DE EMERGENCIA 60 BOMBILLOS LED LUZ BLANCA</v>
      </c>
      <c r="C13059" s="6">
        <v>255850</v>
      </c>
      <c r="D13059" s="5" t="s">
        <v>87</v>
      </c>
      <c r="E13059" s="5" t="str">
        <f t="shared" si="661"/>
        <v>ACTISALUD -NEUROCIRUGIA - GUSTAVO GOMEZ</v>
      </c>
      <c r="F13059" s="5"/>
      <c r="G13059" s="5"/>
    </row>
    <row r="13060" spans="1:7" ht="58.5" customHeight="1" x14ac:dyDescent="0.25">
      <c r="A13060" s="5" t="str">
        <f>"H0028846"</f>
        <v>H0028846</v>
      </c>
      <c r="B13060" s="5" t="str">
        <f>"SILLA HERGONOMICA CON SISTEMA HIDRAULICO"</f>
        <v>SILLA HERGONOMICA CON SISTEMA HIDRAULICO</v>
      </c>
      <c r="C13060" s="6">
        <v>174900</v>
      </c>
      <c r="D13060" s="5" t="s">
        <v>40</v>
      </c>
      <c r="E13060" s="5" t="str">
        <f t="shared" si="661"/>
        <v>ACTISALUD -NEUROCIRUGIA - GUSTAVO GOMEZ</v>
      </c>
      <c r="F13060" s="5"/>
      <c r="G13060" s="5"/>
    </row>
    <row r="13061" spans="1:7" ht="58.5" customHeight="1" x14ac:dyDescent="0.25">
      <c r="A13061" s="5" t="str">
        <f>"H0028850"</f>
        <v>H0028850</v>
      </c>
      <c r="B13061" s="5" t="str">
        <f>"SILLA HERGONOMICA CON SISTEMA HIDRAULICO"</f>
        <v>SILLA HERGONOMICA CON SISTEMA HIDRAULICO</v>
      </c>
      <c r="C13061" s="6">
        <v>174900</v>
      </c>
      <c r="D13061" s="5" t="s">
        <v>40</v>
      </c>
      <c r="E13061" s="5" t="str">
        <f t="shared" ref="E13061:E13124" si="665">"ACTISALUD -NEUROCIRUGIA - GUSTAVO GOMEZ"</f>
        <v>ACTISALUD -NEUROCIRUGIA - GUSTAVO GOMEZ</v>
      </c>
      <c r="F13061" s="5"/>
      <c r="G13061" s="5"/>
    </row>
    <row r="13062" spans="1:7" ht="58.5" customHeight="1" x14ac:dyDescent="0.25">
      <c r="A13062" s="5" t="str">
        <f>"H0029455"</f>
        <v>H0029455</v>
      </c>
      <c r="B13062" s="5" t="str">
        <f>"COLUMNA PARA CIRUGIA DIDACTICA"</f>
        <v>COLUMNA PARA CIRUGIA DIDACTICA</v>
      </c>
      <c r="C13062" s="6">
        <v>500000</v>
      </c>
      <c r="D13062" s="5" t="s">
        <v>702</v>
      </c>
      <c r="E13062" s="5" t="str">
        <f t="shared" si="665"/>
        <v>ACTISALUD -NEUROCIRUGIA - GUSTAVO GOMEZ</v>
      </c>
      <c r="F13062" s="5"/>
      <c r="G13062" s="5"/>
    </row>
    <row r="13063" spans="1:7" ht="58.5" customHeight="1" x14ac:dyDescent="0.25">
      <c r="A13063" s="5" t="str">
        <f>"H0029708"</f>
        <v>H0029708</v>
      </c>
      <c r="B13063" s="5" t="s">
        <v>94</v>
      </c>
      <c r="C13063" s="6">
        <v>148999.9</v>
      </c>
      <c r="D13063" s="5" t="s">
        <v>93</v>
      </c>
      <c r="E13063" s="5" t="str">
        <f t="shared" si="665"/>
        <v>ACTISALUD -NEUROCIRUGIA - GUSTAVO GOMEZ</v>
      </c>
      <c r="F13063" s="5"/>
      <c r="G13063" s="5"/>
    </row>
    <row r="13064" spans="1:7" ht="58.5" customHeight="1" x14ac:dyDescent="0.25">
      <c r="A13064" s="5" t="str">
        <f>"H0029714"</f>
        <v>H0029714</v>
      </c>
      <c r="B13064" s="5" t="s">
        <v>94</v>
      </c>
      <c r="C13064" s="6">
        <v>148999.9</v>
      </c>
      <c r="D13064" s="5" t="s">
        <v>93</v>
      </c>
      <c r="E13064" s="5" t="str">
        <f t="shared" si="665"/>
        <v>ACTISALUD -NEUROCIRUGIA - GUSTAVO GOMEZ</v>
      </c>
      <c r="F13064" s="5"/>
      <c r="G13064" s="5"/>
    </row>
    <row r="13065" spans="1:7" ht="58.5" customHeight="1" x14ac:dyDescent="0.25">
      <c r="A13065" s="5" t="str">
        <f>"H0029747"</f>
        <v>H0029747</v>
      </c>
      <c r="B13065" s="5" t="s">
        <v>94</v>
      </c>
      <c r="C13065" s="6">
        <v>148999.9</v>
      </c>
      <c r="D13065" s="5" t="s">
        <v>93</v>
      </c>
      <c r="E13065" s="5" t="str">
        <f t="shared" si="665"/>
        <v>ACTISALUD -NEUROCIRUGIA - GUSTAVO GOMEZ</v>
      </c>
      <c r="F13065" s="5"/>
      <c r="G13065" s="5"/>
    </row>
    <row r="13066" spans="1:7" ht="58.5" customHeight="1" x14ac:dyDescent="0.25">
      <c r="A13066" s="5" t="str">
        <f>"H0029748"</f>
        <v>H0029748</v>
      </c>
      <c r="B13066" s="5" t="s">
        <v>94</v>
      </c>
      <c r="C13066" s="6">
        <v>148999.9</v>
      </c>
      <c r="D13066" s="5" t="s">
        <v>93</v>
      </c>
      <c r="E13066" s="5" t="str">
        <f t="shared" si="665"/>
        <v>ACTISALUD -NEUROCIRUGIA - GUSTAVO GOMEZ</v>
      </c>
      <c r="F13066" s="5"/>
      <c r="G13066" s="5"/>
    </row>
    <row r="13067" spans="1:7" ht="58.5" customHeight="1" x14ac:dyDescent="0.25">
      <c r="A13067" s="5" t="str">
        <f>"H0029749"</f>
        <v>H0029749</v>
      </c>
      <c r="B13067" s="5" t="s">
        <v>94</v>
      </c>
      <c r="C13067" s="6">
        <v>148999.9</v>
      </c>
      <c r="D13067" s="5" t="s">
        <v>93</v>
      </c>
      <c r="E13067" s="5" t="str">
        <f t="shared" si="665"/>
        <v>ACTISALUD -NEUROCIRUGIA - GUSTAVO GOMEZ</v>
      </c>
      <c r="F13067" s="5"/>
      <c r="G13067" s="5"/>
    </row>
    <row r="13068" spans="1:7" ht="58.5" customHeight="1" x14ac:dyDescent="0.25">
      <c r="A13068" s="5" t="str">
        <f>"H0029750"</f>
        <v>H0029750</v>
      </c>
      <c r="B13068" s="5" t="s">
        <v>94</v>
      </c>
      <c r="C13068" s="6">
        <v>148999.9</v>
      </c>
      <c r="D13068" s="5" t="s">
        <v>93</v>
      </c>
      <c r="E13068" s="5" t="str">
        <f t="shared" si="665"/>
        <v>ACTISALUD -NEUROCIRUGIA - GUSTAVO GOMEZ</v>
      </c>
      <c r="F13068" s="5"/>
      <c r="G13068" s="5"/>
    </row>
    <row r="13069" spans="1:7" ht="58.5" customHeight="1" x14ac:dyDescent="0.25">
      <c r="A13069" s="5" t="str">
        <f>"H0029751"</f>
        <v>H0029751</v>
      </c>
      <c r="B13069" s="5" t="s">
        <v>94</v>
      </c>
      <c r="C13069" s="6">
        <v>148999.9</v>
      </c>
      <c r="D13069" s="5" t="s">
        <v>93</v>
      </c>
      <c r="E13069" s="5" t="str">
        <f t="shared" si="665"/>
        <v>ACTISALUD -NEUROCIRUGIA - GUSTAVO GOMEZ</v>
      </c>
      <c r="F13069" s="5"/>
      <c r="G13069" s="5"/>
    </row>
    <row r="13070" spans="1:7" ht="58.5" customHeight="1" x14ac:dyDescent="0.25">
      <c r="A13070" s="5" t="str">
        <f>"H0029801"</f>
        <v>H0029801</v>
      </c>
      <c r="B1307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3070" s="6">
        <v>252399.97</v>
      </c>
      <c r="D13070" s="5" t="s">
        <v>189</v>
      </c>
      <c r="E13070" s="5" t="str">
        <f t="shared" si="665"/>
        <v>ACTISALUD -NEUROCIRUGIA - GUSTAVO GOMEZ</v>
      </c>
      <c r="F13070" s="5"/>
      <c r="G13070" s="5"/>
    </row>
    <row r="13071" spans="1:7" ht="58.5" customHeight="1" x14ac:dyDescent="0.25">
      <c r="A13071" s="5" t="str">
        <f>"H0030019"</f>
        <v>H0030019</v>
      </c>
      <c r="B13071" s="5" t="str">
        <f t="shared" ref="B13071:B13091" si="666">"SILLA RECLINOMATICA"</f>
        <v>SILLA RECLINOMATICA</v>
      </c>
      <c r="C13071" s="6">
        <v>1065050</v>
      </c>
      <c r="D13071" s="5" t="s">
        <v>97</v>
      </c>
      <c r="E13071" s="5" t="str">
        <f t="shared" si="665"/>
        <v>ACTISALUD -NEUROCIRUGIA - GUSTAVO GOMEZ</v>
      </c>
      <c r="F13071" s="5"/>
      <c r="G13071" s="5"/>
    </row>
    <row r="13072" spans="1:7" ht="58.5" customHeight="1" x14ac:dyDescent="0.25">
      <c r="A13072" s="5" t="str">
        <f>"H0030020"</f>
        <v>H0030020</v>
      </c>
      <c r="B13072" s="5" t="str">
        <f t="shared" si="666"/>
        <v>SILLA RECLINOMATICA</v>
      </c>
      <c r="C13072" s="6">
        <v>1065050</v>
      </c>
      <c r="D13072" s="5" t="s">
        <v>97</v>
      </c>
      <c r="E13072" s="5" t="str">
        <f t="shared" si="665"/>
        <v>ACTISALUD -NEUROCIRUGIA - GUSTAVO GOMEZ</v>
      </c>
      <c r="F13072" s="5"/>
      <c r="G13072" s="5"/>
    </row>
    <row r="13073" spans="1:7" ht="58.5" customHeight="1" x14ac:dyDescent="0.25">
      <c r="A13073" s="5" t="str">
        <f>"H0030021"</f>
        <v>H0030021</v>
      </c>
      <c r="B13073" s="5" t="str">
        <f t="shared" si="666"/>
        <v>SILLA RECLINOMATICA</v>
      </c>
      <c r="C13073" s="6">
        <v>1065050</v>
      </c>
      <c r="D13073" s="5" t="s">
        <v>97</v>
      </c>
      <c r="E13073" s="5" t="str">
        <f t="shared" si="665"/>
        <v>ACTISALUD -NEUROCIRUGIA - GUSTAVO GOMEZ</v>
      </c>
      <c r="F13073" s="5"/>
      <c r="G13073" s="5"/>
    </row>
    <row r="13074" spans="1:7" ht="58.5" customHeight="1" x14ac:dyDescent="0.25">
      <c r="A13074" s="5" t="str">
        <f>"H0030025"</f>
        <v>H0030025</v>
      </c>
      <c r="B13074" s="5" t="str">
        <f t="shared" si="666"/>
        <v>SILLA RECLINOMATICA</v>
      </c>
      <c r="C13074" s="6">
        <v>1065050</v>
      </c>
      <c r="D13074" s="5" t="s">
        <v>97</v>
      </c>
      <c r="E13074" s="5" t="str">
        <f t="shared" si="665"/>
        <v>ACTISALUD -NEUROCIRUGIA - GUSTAVO GOMEZ</v>
      </c>
      <c r="F13074" s="5"/>
      <c r="G13074" s="5"/>
    </row>
    <row r="13075" spans="1:7" ht="58.5" customHeight="1" x14ac:dyDescent="0.25">
      <c r="A13075" s="5" t="str">
        <f>"H0030027"</f>
        <v>H0030027</v>
      </c>
      <c r="B13075" s="5" t="str">
        <f t="shared" si="666"/>
        <v>SILLA RECLINOMATICA</v>
      </c>
      <c r="C13075" s="6">
        <v>1065050</v>
      </c>
      <c r="D13075" s="5" t="s">
        <v>97</v>
      </c>
      <c r="E13075" s="5" t="str">
        <f t="shared" si="665"/>
        <v>ACTISALUD -NEUROCIRUGIA - GUSTAVO GOMEZ</v>
      </c>
      <c r="F13075" s="5"/>
      <c r="G13075" s="5"/>
    </row>
    <row r="13076" spans="1:7" ht="58.5" customHeight="1" x14ac:dyDescent="0.25">
      <c r="A13076" s="5" t="str">
        <f>"H0030028"</f>
        <v>H0030028</v>
      </c>
      <c r="B13076" s="5" t="str">
        <f t="shared" si="666"/>
        <v>SILLA RECLINOMATICA</v>
      </c>
      <c r="C13076" s="6">
        <v>1065050</v>
      </c>
      <c r="D13076" s="5" t="s">
        <v>97</v>
      </c>
      <c r="E13076" s="5" t="str">
        <f t="shared" si="665"/>
        <v>ACTISALUD -NEUROCIRUGIA - GUSTAVO GOMEZ</v>
      </c>
      <c r="F13076" s="5"/>
      <c r="G13076" s="5"/>
    </row>
    <row r="13077" spans="1:7" ht="58.5" customHeight="1" x14ac:dyDescent="0.25">
      <c r="A13077" s="5" t="str">
        <f>"H0030029"</f>
        <v>H0030029</v>
      </c>
      <c r="B13077" s="5" t="str">
        <f t="shared" si="666"/>
        <v>SILLA RECLINOMATICA</v>
      </c>
      <c r="C13077" s="6">
        <v>1065050</v>
      </c>
      <c r="D13077" s="5" t="s">
        <v>97</v>
      </c>
      <c r="E13077" s="5" t="str">
        <f t="shared" si="665"/>
        <v>ACTISALUD -NEUROCIRUGIA - GUSTAVO GOMEZ</v>
      </c>
      <c r="F13077" s="5"/>
      <c r="G13077" s="5"/>
    </row>
    <row r="13078" spans="1:7" ht="58.5" customHeight="1" x14ac:dyDescent="0.25">
      <c r="A13078" s="5" t="str">
        <f>"H0030030"</f>
        <v>H0030030</v>
      </c>
      <c r="B13078" s="5" t="str">
        <f t="shared" si="666"/>
        <v>SILLA RECLINOMATICA</v>
      </c>
      <c r="C13078" s="6">
        <v>1065050</v>
      </c>
      <c r="D13078" s="5" t="s">
        <v>97</v>
      </c>
      <c r="E13078" s="5" t="str">
        <f t="shared" si="665"/>
        <v>ACTISALUD -NEUROCIRUGIA - GUSTAVO GOMEZ</v>
      </c>
      <c r="F13078" s="5"/>
      <c r="G13078" s="5"/>
    </row>
    <row r="13079" spans="1:7" ht="58.5" customHeight="1" x14ac:dyDescent="0.25">
      <c r="A13079" s="5" t="str">
        <f>"H0030031"</f>
        <v>H0030031</v>
      </c>
      <c r="B13079" s="5" t="str">
        <f t="shared" si="666"/>
        <v>SILLA RECLINOMATICA</v>
      </c>
      <c r="C13079" s="6">
        <v>1065050</v>
      </c>
      <c r="D13079" s="5" t="s">
        <v>97</v>
      </c>
      <c r="E13079" s="5" t="str">
        <f t="shared" si="665"/>
        <v>ACTISALUD -NEUROCIRUGIA - GUSTAVO GOMEZ</v>
      </c>
      <c r="F13079" s="5"/>
      <c r="G13079" s="5"/>
    </row>
    <row r="13080" spans="1:7" ht="58.5" customHeight="1" x14ac:dyDescent="0.25">
      <c r="A13080" s="5" t="str">
        <f>"H0030032"</f>
        <v>H0030032</v>
      </c>
      <c r="B13080" s="5" t="str">
        <f t="shared" si="666"/>
        <v>SILLA RECLINOMATICA</v>
      </c>
      <c r="C13080" s="6">
        <v>1065050</v>
      </c>
      <c r="D13080" s="5" t="s">
        <v>97</v>
      </c>
      <c r="E13080" s="5" t="str">
        <f t="shared" si="665"/>
        <v>ACTISALUD -NEUROCIRUGIA - GUSTAVO GOMEZ</v>
      </c>
      <c r="F13080" s="5"/>
      <c r="G13080" s="5"/>
    </row>
    <row r="13081" spans="1:7" ht="58.5" customHeight="1" x14ac:dyDescent="0.25">
      <c r="A13081" s="5" t="str">
        <f>"H0030035"</f>
        <v>H0030035</v>
      </c>
      <c r="B13081" s="5" t="str">
        <f t="shared" si="666"/>
        <v>SILLA RECLINOMATICA</v>
      </c>
      <c r="C13081" s="6">
        <v>1065050</v>
      </c>
      <c r="D13081" s="5" t="s">
        <v>97</v>
      </c>
      <c r="E13081" s="5" t="str">
        <f t="shared" si="665"/>
        <v>ACTISALUD -NEUROCIRUGIA - GUSTAVO GOMEZ</v>
      </c>
      <c r="F13081" s="5"/>
      <c r="G13081" s="5"/>
    </row>
    <row r="13082" spans="1:7" ht="58.5" customHeight="1" x14ac:dyDescent="0.25">
      <c r="A13082" s="5" t="str">
        <f>"H0030036"</f>
        <v>H0030036</v>
      </c>
      <c r="B13082" s="5" t="str">
        <f t="shared" si="666"/>
        <v>SILLA RECLINOMATICA</v>
      </c>
      <c r="C13082" s="6">
        <v>1065050</v>
      </c>
      <c r="D13082" s="5" t="s">
        <v>97</v>
      </c>
      <c r="E13082" s="5" t="str">
        <f t="shared" si="665"/>
        <v>ACTISALUD -NEUROCIRUGIA - GUSTAVO GOMEZ</v>
      </c>
      <c r="F13082" s="5"/>
      <c r="G13082" s="5"/>
    </row>
    <row r="13083" spans="1:7" ht="58.5" customHeight="1" x14ac:dyDescent="0.25">
      <c r="A13083" s="5" t="str">
        <f>"H0030039"</f>
        <v>H0030039</v>
      </c>
      <c r="B13083" s="5" t="str">
        <f t="shared" si="666"/>
        <v>SILLA RECLINOMATICA</v>
      </c>
      <c r="C13083" s="6">
        <v>1065050</v>
      </c>
      <c r="D13083" s="5" t="s">
        <v>97</v>
      </c>
      <c r="E13083" s="5" t="str">
        <f t="shared" si="665"/>
        <v>ACTISALUD -NEUROCIRUGIA - GUSTAVO GOMEZ</v>
      </c>
      <c r="F13083" s="5"/>
      <c r="G13083" s="5"/>
    </row>
    <row r="13084" spans="1:7" ht="58.5" customHeight="1" x14ac:dyDescent="0.25">
      <c r="A13084" s="5" t="str">
        <f>"H0030053"</f>
        <v>H0030053</v>
      </c>
      <c r="B13084" s="5" t="str">
        <f t="shared" si="666"/>
        <v>SILLA RECLINOMATICA</v>
      </c>
      <c r="C13084" s="6">
        <v>1065050</v>
      </c>
      <c r="D13084" s="5" t="s">
        <v>694</v>
      </c>
      <c r="E13084" s="5" t="str">
        <f t="shared" si="665"/>
        <v>ACTISALUD -NEUROCIRUGIA - GUSTAVO GOMEZ</v>
      </c>
      <c r="F13084" s="5"/>
      <c r="G13084" s="5"/>
    </row>
    <row r="13085" spans="1:7" ht="58.5" customHeight="1" x14ac:dyDescent="0.25">
      <c r="A13085" s="5" t="str">
        <f>"H0030088"</f>
        <v>H0030088</v>
      </c>
      <c r="B13085" s="5" t="str">
        <f t="shared" si="666"/>
        <v>SILLA RECLINOMATICA</v>
      </c>
      <c r="C13085" s="6">
        <v>1065050</v>
      </c>
      <c r="D13085" s="5" t="s">
        <v>99</v>
      </c>
      <c r="E13085" s="5" t="str">
        <f t="shared" si="665"/>
        <v>ACTISALUD -NEUROCIRUGIA - GUSTAVO GOMEZ</v>
      </c>
      <c r="F13085" s="5"/>
      <c r="G13085" s="5"/>
    </row>
    <row r="13086" spans="1:7" ht="58.5" customHeight="1" x14ac:dyDescent="0.25">
      <c r="A13086" s="5" t="str">
        <f>"H0030120"</f>
        <v>H0030120</v>
      </c>
      <c r="B13086" s="5" t="str">
        <f t="shared" si="666"/>
        <v>SILLA RECLINOMATICA</v>
      </c>
      <c r="C13086" s="6">
        <v>1065050</v>
      </c>
      <c r="D13086" s="5" t="s">
        <v>100</v>
      </c>
      <c r="E13086" s="5" t="str">
        <f t="shared" si="665"/>
        <v>ACTISALUD -NEUROCIRUGIA - GUSTAVO GOMEZ</v>
      </c>
      <c r="F13086" s="5"/>
      <c r="G13086" s="5"/>
    </row>
    <row r="13087" spans="1:7" ht="58.5" customHeight="1" x14ac:dyDescent="0.25">
      <c r="A13087" s="5" t="str">
        <f>"H0030144"</f>
        <v>H0030144</v>
      </c>
      <c r="B13087" s="5" t="str">
        <f t="shared" si="666"/>
        <v>SILLA RECLINOMATICA</v>
      </c>
      <c r="C13087" s="6">
        <v>1065050</v>
      </c>
      <c r="D13087" s="5" t="s">
        <v>100</v>
      </c>
      <c r="E13087" s="5" t="str">
        <f t="shared" si="665"/>
        <v>ACTISALUD -NEUROCIRUGIA - GUSTAVO GOMEZ</v>
      </c>
      <c r="F13087" s="5"/>
      <c r="G13087" s="5"/>
    </row>
    <row r="13088" spans="1:7" ht="58.5" customHeight="1" x14ac:dyDescent="0.25">
      <c r="A13088" s="5" t="str">
        <f>"H0030238"</f>
        <v>H0030238</v>
      </c>
      <c r="B13088" s="5" t="str">
        <f t="shared" si="666"/>
        <v>SILLA RECLINOMATICA</v>
      </c>
      <c r="C13088" s="6">
        <v>1065050</v>
      </c>
      <c r="D13088" s="5" t="s">
        <v>154</v>
      </c>
      <c r="E13088" s="5" t="str">
        <f t="shared" si="665"/>
        <v>ACTISALUD -NEUROCIRUGIA - GUSTAVO GOMEZ</v>
      </c>
      <c r="F13088" s="5"/>
      <c r="G13088" s="5"/>
    </row>
    <row r="13089" spans="1:7" ht="58.5" customHeight="1" x14ac:dyDescent="0.25">
      <c r="A13089" s="5" t="str">
        <f>"H0030243"</f>
        <v>H0030243</v>
      </c>
      <c r="B13089" s="5" t="str">
        <f t="shared" si="666"/>
        <v>SILLA RECLINOMATICA</v>
      </c>
      <c r="C13089" s="6">
        <v>1065050</v>
      </c>
      <c r="D13089" s="5" t="s">
        <v>154</v>
      </c>
      <c r="E13089" s="5" t="str">
        <f t="shared" si="665"/>
        <v>ACTISALUD -NEUROCIRUGIA - GUSTAVO GOMEZ</v>
      </c>
      <c r="F13089" s="5"/>
      <c r="G13089" s="5"/>
    </row>
    <row r="13090" spans="1:7" ht="58.5" customHeight="1" x14ac:dyDescent="0.25">
      <c r="A13090" s="5" t="str">
        <f>"H0030245"</f>
        <v>H0030245</v>
      </c>
      <c r="B13090" s="5" t="str">
        <f t="shared" si="666"/>
        <v>SILLA RECLINOMATICA</v>
      </c>
      <c r="C13090" s="6">
        <v>1065050</v>
      </c>
      <c r="D13090" s="5" t="s">
        <v>154</v>
      </c>
      <c r="E13090" s="5" t="str">
        <f t="shared" si="665"/>
        <v>ACTISALUD -NEUROCIRUGIA - GUSTAVO GOMEZ</v>
      </c>
      <c r="F13090" s="5"/>
      <c r="G13090" s="5"/>
    </row>
    <row r="13091" spans="1:7" ht="58.5" customHeight="1" x14ac:dyDescent="0.25">
      <c r="A13091" s="5" t="str">
        <f>"H0030246"</f>
        <v>H0030246</v>
      </c>
      <c r="B13091" s="5" t="str">
        <f t="shared" si="666"/>
        <v>SILLA RECLINOMATICA</v>
      </c>
      <c r="C13091" s="6">
        <v>1065050</v>
      </c>
      <c r="D13091" s="5" t="s">
        <v>154</v>
      </c>
      <c r="E13091" s="5" t="str">
        <f t="shared" si="665"/>
        <v>ACTISALUD -NEUROCIRUGIA - GUSTAVO GOMEZ</v>
      </c>
      <c r="F13091" s="5"/>
      <c r="G13091" s="5"/>
    </row>
    <row r="13092" spans="1:7" ht="58.5" customHeight="1" x14ac:dyDescent="0.25">
      <c r="A13092" s="5" t="str">
        <f>"H0030321"</f>
        <v>H0030321</v>
      </c>
      <c r="B13092" s="5" t="str">
        <f>"PANTALLA RECEPTORA DE LLAMADO DE ENFERMERIA"</f>
        <v>PANTALLA RECEPTORA DE LLAMADO DE ENFERMERIA</v>
      </c>
      <c r="C13092" s="6">
        <v>1670041.22</v>
      </c>
      <c r="D13092" s="5" t="s">
        <v>155</v>
      </c>
      <c r="E13092" s="5" t="str">
        <f t="shared" si="665"/>
        <v>ACTISALUD -NEUROCIRUGIA - GUSTAVO GOMEZ</v>
      </c>
      <c r="F13092" s="5"/>
      <c r="G13092" s="5"/>
    </row>
    <row r="13093" spans="1:7" ht="58.5" customHeight="1" x14ac:dyDescent="0.25">
      <c r="A13093" s="5" t="str">
        <f>"H0030350"</f>
        <v>H0030350</v>
      </c>
      <c r="B13093" s="5" t="str">
        <f>"UNIDAD DE LLAMADO DE ENFERMERIA PARA BAÑO CON CORDON TIRADOR. RESISTENTE A SALPICADURAS DE AGUA Y LUZ INDICADORA DE PULSACIÓN"</f>
        <v>UNIDAD DE LLAMADO DE ENFERMERIA PARA BAÑO CON CORDON TIRADOR. RESISTENTE A SALPICADURAS DE AGUA Y LUZ INDICADORA DE PULSACIÓN</v>
      </c>
      <c r="C13093" s="6">
        <v>205537.98</v>
      </c>
      <c r="D13093" s="5" t="s">
        <v>155</v>
      </c>
      <c r="E13093" s="5" t="str">
        <f t="shared" si="665"/>
        <v>ACTISALUD -NEUROCIRUGIA - GUSTAVO GOMEZ</v>
      </c>
      <c r="F13093" s="5"/>
      <c r="G13093" s="5"/>
    </row>
    <row r="13094" spans="1:7" ht="58.5" customHeight="1" x14ac:dyDescent="0.25">
      <c r="A13094" s="5" t="str">
        <f>"H0030468"</f>
        <v>H0030468</v>
      </c>
      <c r="B13094" s="5" t="str">
        <f t="shared" ref="B13094:B13115" si="667">"UNIDAD DE LLAMADO DE ENFERMERIA PARA CAMA O BAÑO"</f>
        <v>UNIDAD DE LLAMADO DE ENFERMERIA PARA CAMA O BAÑO</v>
      </c>
      <c r="C13094" s="6">
        <v>207719.26</v>
      </c>
      <c r="D13094" s="5" t="s">
        <v>155</v>
      </c>
      <c r="E13094" s="5" t="str">
        <f t="shared" si="665"/>
        <v>ACTISALUD -NEUROCIRUGIA - GUSTAVO GOMEZ</v>
      </c>
      <c r="F13094" s="5"/>
      <c r="G13094" s="5"/>
    </row>
    <row r="13095" spans="1:7" ht="58.5" customHeight="1" x14ac:dyDescent="0.25">
      <c r="A13095" s="5" t="str">
        <f>"H0030469"</f>
        <v>H0030469</v>
      </c>
      <c r="B13095" s="5" t="str">
        <f t="shared" si="667"/>
        <v>UNIDAD DE LLAMADO DE ENFERMERIA PARA CAMA O BAÑO</v>
      </c>
      <c r="C13095" s="6">
        <v>207719.26</v>
      </c>
      <c r="D13095" s="5" t="s">
        <v>155</v>
      </c>
      <c r="E13095" s="5" t="str">
        <f t="shared" si="665"/>
        <v>ACTISALUD -NEUROCIRUGIA - GUSTAVO GOMEZ</v>
      </c>
      <c r="F13095" s="5"/>
      <c r="G13095" s="5"/>
    </row>
    <row r="13096" spans="1:7" ht="58.5" customHeight="1" x14ac:dyDescent="0.25">
      <c r="A13096" s="5" t="str">
        <f>"H0030470"</f>
        <v>H0030470</v>
      </c>
      <c r="B13096" s="5" t="str">
        <f t="shared" si="667"/>
        <v>UNIDAD DE LLAMADO DE ENFERMERIA PARA CAMA O BAÑO</v>
      </c>
      <c r="C13096" s="6">
        <v>207719.26</v>
      </c>
      <c r="D13096" s="5" t="s">
        <v>155</v>
      </c>
      <c r="E13096" s="5" t="str">
        <f t="shared" si="665"/>
        <v>ACTISALUD -NEUROCIRUGIA - GUSTAVO GOMEZ</v>
      </c>
      <c r="F13096" s="5"/>
      <c r="G13096" s="5"/>
    </row>
    <row r="13097" spans="1:7" ht="58.5" customHeight="1" x14ac:dyDescent="0.25">
      <c r="A13097" s="5" t="str">
        <f>"H0030471"</f>
        <v>H0030471</v>
      </c>
      <c r="B13097" s="5" t="str">
        <f t="shared" si="667"/>
        <v>UNIDAD DE LLAMADO DE ENFERMERIA PARA CAMA O BAÑO</v>
      </c>
      <c r="C13097" s="6">
        <v>207719.26</v>
      </c>
      <c r="D13097" s="5" t="s">
        <v>155</v>
      </c>
      <c r="E13097" s="5" t="str">
        <f t="shared" si="665"/>
        <v>ACTISALUD -NEUROCIRUGIA - GUSTAVO GOMEZ</v>
      </c>
      <c r="F13097" s="5"/>
      <c r="G13097" s="5"/>
    </row>
    <row r="13098" spans="1:7" ht="58.5" customHeight="1" x14ac:dyDescent="0.25">
      <c r="A13098" s="5" t="str">
        <f>"H0030472"</f>
        <v>H0030472</v>
      </c>
      <c r="B13098" s="5" t="str">
        <f t="shared" si="667"/>
        <v>UNIDAD DE LLAMADO DE ENFERMERIA PARA CAMA O BAÑO</v>
      </c>
      <c r="C13098" s="6">
        <v>207719.26</v>
      </c>
      <c r="D13098" s="5" t="s">
        <v>155</v>
      </c>
      <c r="E13098" s="5" t="str">
        <f t="shared" si="665"/>
        <v>ACTISALUD -NEUROCIRUGIA - GUSTAVO GOMEZ</v>
      </c>
      <c r="F13098" s="5"/>
      <c r="G13098" s="5"/>
    </row>
    <row r="13099" spans="1:7" ht="58.5" customHeight="1" x14ac:dyDescent="0.25">
      <c r="A13099" s="5" t="str">
        <f>"H0030473"</f>
        <v>H0030473</v>
      </c>
      <c r="B13099" s="5" t="str">
        <f t="shared" si="667"/>
        <v>UNIDAD DE LLAMADO DE ENFERMERIA PARA CAMA O BAÑO</v>
      </c>
      <c r="C13099" s="6">
        <v>207719.26</v>
      </c>
      <c r="D13099" s="5" t="s">
        <v>155</v>
      </c>
      <c r="E13099" s="5" t="str">
        <f t="shared" si="665"/>
        <v>ACTISALUD -NEUROCIRUGIA - GUSTAVO GOMEZ</v>
      </c>
      <c r="F13099" s="5"/>
      <c r="G13099" s="5"/>
    </row>
    <row r="13100" spans="1:7" ht="58.5" customHeight="1" x14ac:dyDescent="0.25">
      <c r="A13100" s="5" t="str">
        <f>"H0030474"</f>
        <v>H0030474</v>
      </c>
      <c r="B13100" s="5" t="str">
        <f t="shared" si="667"/>
        <v>UNIDAD DE LLAMADO DE ENFERMERIA PARA CAMA O BAÑO</v>
      </c>
      <c r="C13100" s="6">
        <v>207719.26</v>
      </c>
      <c r="D13100" s="5" t="s">
        <v>155</v>
      </c>
      <c r="E13100" s="5" t="str">
        <f t="shared" si="665"/>
        <v>ACTISALUD -NEUROCIRUGIA - GUSTAVO GOMEZ</v>
      </c>
      <c r="F13100" s="5"/>
      <c r="G13100" s="5"/>
    </row>
    <row r="13101" spans="1:7" ht="58.5" customHeight="1" x14ac:dyDescent="0.25">
      <c r="A13101" s="5" t="str">
        <f>"H0030475"</f>
        <v>H0030475</v>
      </c>
      <c r="B13101" s="5" t="str">
        <f t="shared" si="667"/>
        <v>UNIDAD DE LLAMADO DE ENFERMERIA PARA CAMA O BAÑO</v>
      </c>
      <c r="C13101" s="6">
        <v>207719.26</v>
      </c>
      <c r="D13101" s="5" t="s">
        <v>155</v>
      </c>
      <c r="E13101" s="5" t="str">
        <f t="shared" si="665"/>
        <v>ACTISALUD -NEUROCIRUGIA - GUSTAVO GOMEZ</v>
      </c>
      <c r="F13101" s="5"/>
      <c r="G13101" s="5"/>
    </row>
    <row r="13102" spans="1:7" ht="58.5" customHeight="1" x14ac:dyDescent="0.25">
      <c r="A13102" s="5" t="str">
        <f>"H0030476"</f>
        <v>H0030476</v>
      </c>
      <c r="B13102" s="5" t="str">
        <f t="shared" si="667"/>
        <v>UNIDAD DE LLAMADO DE ENFERMERIA PARA CAMA O BAÑO</v>
      </c>
      <c r="C13102" s="6">
        <v>207719.26</v>
      </c>
      <c r="D13102" s="5" t="s">
        <v>155</v>
      </c>
      <c r="E13102" s="5" t="str">
        <f t="shared" si="665"/>
        <v>ACTISALUD -NEUROCIRUGIA - GUSTAVO GOMEZ</v>
      </c>
      <c r="F13102" s="5"/>
      <c r="G13102" s="5"/>
    </row>
    <row r="13103" spans="1:7" ht="58.5" customHeight="1" x14ac:dyDescent="0.25">
      <c r="A13103" s="5" t="str">
        <f>"H0030477"</f>
        <v>H0030477</v>
      </c>
      <c r="B13103" s="5" t="str">
        <f t="shared" si="667"/>
        <v>UNIDAD DE LLAMADO DE ENFERMERIA PARA CAMA O BAÑO</v>
      </c>
      <c r="C13103" s="6">
        <v>207719.26</v>
      </c>
      <c r="D13103" s="5" t="s">
        <v>155</v>
      </c>
      <c r="E13103" s="5" t="str">
        <f t="shared" si="665"/>
        <v>ACTISALUD -NEUROCIRUGIA - GUSTAVO GOMEZ</v>
      </c>
      <c r="F13103" s="5"/>
      <c r="G13103" s="5"/>
    </row>
    <row r="13104" spans="1:7" ht="58.5" customHeight="1" x14ac:dyDescent="0.25">
      <c r="A13104" s="5" t="str">
        <f>"H0030478"</f>
        <v>H0030478</v>
      </c>
      <c r="B13104" s="5" t="str">
        <f t="shared" si="667"/>
        <v>UNIDAD DE LLAMADO DE ENFERMERIA PARA CAMA O BAÑO</v>
      </c>
      <c r="C13104" s="6">
        <v>207719.26</v>
      </c>
      <c r="D13104" s="5" t="s">
        <v>155</v>
      </c>
      <c r="E13104" s="5" t="str">
        <f t="shared" si="665"/>
        <v>ACTISALUD -NEUROCIRUGIA - GUSTAVO GOMEZ</v>
      </c>
      <c r="F13104" s="5"/>
      <c r="G13104" s="5"/>
    </row>
    <row r="13105" spans="1:7" ht="58.5" customHeight="1" x14ac:dyDescent="0.25">
      <c r="A13105" s="5" t="str">
        <f>"H0030479"</f>
        <v>H0030479</v>
      </c>
      <c r="B13105" s="5" t="str">
        <f t="shared" si="667"/>
        <v>UNIDAD DE LLAMADO DE ENFERMERIA PARA CAMA O BAÑO</v>
      </c>
      <c r="C13105" s="6">
        <v>207719.26</v>
      </c>
      <c r="D13105" s="5" t="s">
        <v>155</v>
      </c>
      <c r="E13105" s="5" t="str">
        <f t="shared" si="665"/>
        <v>ACTISALUD -NEUROCIRUGIA - GUSTAVO GOMEZ</v>
      </c>
      <c r="F13105" s="5"/>
      <c r="G13105" s="5"/>
    </row>
    <row r="13106" spans="1:7" ht="58.5" customHeight="1" x14ac:dyDescent="0.25">
      <c r="A13106" s="5" t="str">
        <f>"H0030480"</f>
        <v>H0030480</v>
      </c>
      <c r="B13106" s="5" t="str">
        <f t="shared" si="667"/>
        <v>UNIDAD DE LLAMADO DE ENFERMERIA PARA CAMA O BAÑO</v>
      </c>
      <c r="C13106" s="6">
        <v>207719.26</v>
      </c>
      <c r="D13106" s="5" t="s">
        <v>155</v>
      </c>
      <c r="E13106" s="5" t="str">
        <f t="shared" si="665"/>
        <v>ACTISALUD -NEUROCIRUGIA - GUSTAVO GOMEZ</v>
      </c>
      <c r="F13106" s="5"/>
      <c r="G13106" s="5"/>
    </row>
    <row r="13107" spans="1:7" ht="58.5" customHeight="1" x14ac:dyDescent="0.25">
      <c r="A13107" s="5" t="str">
        <f>"H0030481"</f>
        <v>H0030481</v>
      </c>
      <c r="B13107" s="5" t="str">
        <f t="shared" si="667"/>
        <v>UNIDAD DE LLAMADO DE ENFERMERIA PARA CAMA O BAÑO</v>
      </c>
      <c r="C13107" s="6">
        <v>207719.26</v>
      </c>
      <c r="D13107" s="5" t="s">
        <v>155</v>
      </c>
      <c r="E13107" s="5" t="str">
        <f t="shared" si="665"/>
        <v>ACTISALUD -NEUROCIRUGIA - GUSTAVO GOMEZ</v>
      </c>
      <c r="F13107" s="5"/>
      <c r="G13107" s="5"/>
    </row>
    <row r="13108" spans="1:7" ht="58.5" customHeight="1" x14ac:dyDescent="0.25">
      <c r="A13108" s="5" t="str">
        <f>"H0030482"</f>
        <v>H0030482</v>
      </c>
      <c r="B13108" s="5" t="str">
        <f t="shared" si="667"/>
        <v>UNIDAD DE LLAMADO DE ENFERMERIA PARA CAMA O BAÑO</v>
      </c>
      <c r="C13108" s="6">
        <v>207719.26</v>
      </c>
      <c r="D13108" s="5" t="s">
        <v>155</v>
      </c>
      <c r="E13108" s="5" t="str">
        <f t="shared" si="665"/>
        <v>ACTISALUD -NEUROCIRUGIA - GUSTAVO GOMEZ</v>
      </c>
      <c r="F13108" s="5"/>
      <c r="G13108" s="5"/>
    </row>
    <row r="13109" spans="1:7" ht="58.5" customHeight="1" x14ac:dyDescent="0.25">
      <c r="A13109" s="5" t="str">
        <f>"H0030483"</f>
        <v>H0030483</v>
      </c>
      <c r="B13109" s="5" t="str">
        <f t="shared" si="667"/>
        <v>UNIDAD DE LLAMADO DE ENFERMERIA PARA CAMA O BAÑO</v>
      </c>
      <c r="C13109" s="6">
        <v>207719.26</v>
      </c>
      <c r="D13109" s="5" t="s">
        <v>155</v>
      </c>
      <c r="E13109" s="5" t="str">
        <f t="shared" si="665"/>
        <v>ACTISALUD -NEUROCIRUGIA - GUSTAVO GOMEZ</v>
      </c>
      <c r="F13109" s="5"/>
      <c r="G13109" s="5"/>
    </row>
    <row r="13110" spans="1:7" ht="58.5" customHeight="1" x14ac:dyDescent="0.25">
      <c r="A13110" s="5" t="str">
        <f>"H0030484"</f>
        <v>H0030484</v>
      </c>
      <c r="B13110" s="5" t="str">
        <f t="shared" si="667"/>
        <v>UNIDAD DE LLAMADO DE ENFERMERIA PARA CAMA O BAÑO</v>
      </c>
      <c r="C13110" s="6">
        <v>207719.26</v>
      </c>
      <c r="D13110" s="5" t="s">
        <v>155</v>
      </c>
      <c r="E13110" s="5" t="str">
        <f t="shared" si="665"/>
        <v>ACTISALUD -NEUROCIRUGIA - GUSTAVO GOMEZ</v>
      </c>
      <c r="F13110" s="5"/>
      <c r="G13110" s="5"/>
    </row>
    <row r="13111" spans="1:7" ht="58.5" customHeight="1" x14ac:dyDescent="0.25">
      <c r="A13111" s="5" t="str">
        <f>"H0030485"</f>
        <v>H0030485</v>
      </c>
      <c r="B13111" s="5" t="str">
        <f t="shared" si="667"/>
        <v>UNIDAD DE LLAMADO DE ENFERMERIA PARA CAMA O BAÑO</v>
      </c>
      <c r="C13111" s="6">
        <v>207719.26</v>
      </c>
      <c r="D13111" s="5" t="s">
        <v>155</v>
      </c>
      <c r="E13111" s="5" t="str">
        <f t="shared" si="665"/>
        <v>ACTISALUD -NEUROCIRUGIA - GUSTAVO GOMEZ</v>
      </c>
      <c r="F13111" s="5"/>
      <c r="G13111" s="5"/>
    </row>
    <row r="13112" spans="1:7" ht="58.5" customHeight="1" x14ac:dyDescent="0.25">
      <c r="A13112" s="5" t="str">
        <f>"H0030486"</f>
        <v>H0030486</v>
      </c>
      <c r="B13112" s="5" t="str">
        <f t="shared" si="667"/>
        <v>UNIDAD DE LLAMADO DE ENFERMERIA PARA CAMA O BAÑO</v>
      </c>
      <c r="C13112" s="6">
        <v>207719.26</v>
      </c>
      <c r="D13112" s="5" t="s">
        <v>155</v>
      </c>
      <c r="E13112" s="5" t="str">
        <f t="shared" si="665"/>
        <v>ACTISALUD -NEUROCIRUGIA - GUSTAVO GOMEZ</v>
      </c>
      <c r="F13112" s="5"/>
      <c r="G13112" s="5"/>
    </row>
    <row r="13113" spans="1:7" ht="58.5" customHeight="1" x14ac:dyDescent="0.25">
      <c r="A13113" s="5" t="str">
        <f>"H0030487"</f>
        <v>H0030487</v>
      </c>
      <c r="B13113" s="5" t="str">
        <f t="shared" si="667"/>
        <v>UNIDAD DE LLAMADO DE ENFERMERIA PARA CAMA O BAÑO</v>
      </c>
      <c r="C13113" s="6">
        <v>207719.26</v>
      </c>
      <c r="D13113" s="5" t="s">
        <v>155</v>
      </c>
      <c r="E13113" s="5" t="str">
        <f t="shared" si="665"/>
        <v>ACTISALUD -NEUROCIRUGIA - GUSTAVO GOMEZ</v>
      </c>
      <c r="F13113" s="5"/>
      <c r="G13113" s="5"/>
    </row>
    <row r="13114" spans="1:7" ht="58.5" customHeight="1" x14ac:dyDescent="0.25">
      <c r="A13114" s="5" t="str">
        <f>"H0030488"</f>
        <v>H0030488</v>
      </c>
      <c r="B13114" s="5" t="str">
        <f t="shared" si="667"/>
        <v>UNIDAD DE LLAMADO DE ENFERMERIA PARA CAMA O BAÑO</v>
      </c>
      <c r="C13114" s="6">
        <v>207719.26</v>
      </c>
      <c r="D13114" s="5" t="s">
        <v>155</v>
      </c>
      <c r="E13114" s="5" t="str">
        <f t="shared" si="665"/>
        <v>ACTISALUD -NEUROCIRUGIA - GUSTAVO GOMEZ</v>
      </c>
      <c r="F13114" s="5"/>
      <c r="G13114" s="5"/>
    </row>
    <row r="13115" spans="1:7" ht="58.5" customHeight="1" x14ac:dyDescent="0.25">
      <c r="A13115" s="5" t="str">
        <f>"H0030489"</f>
        <v>H0030489</v>
      </c>
      <c r="B13115" s="5" t="str">
        <f t="shared" si="667"/>
        <v>UNIDAD DE LLAMADO DE ENFERMERIA PARA CAMA O BAÑO</v>
      </c>
      <c r="C13115" s="6">
        <v>207719.26</v>
      </c>
      <c r="D13115" s="5" t="s">
        <v>155</v>
      </c>
      <c r="E13115" s="5" t="str">
        <f t="shared" si="665"/>
        <v>ACTISALUD -NEUROCIRUGIA - GUSTAVO GOMEZ</v>
      </c>
      <c r="F13115" s="5"/>
      <c r="G13115" s="5"/>
    </row>
    <row r="13116" spans="1:7" ht="58.5" customHeight="1" x14ac:dyDescent="0.25">
      <c r="A13116" s="5" t="str">
        <f>"H0031187"</f>
        <v>H0031187</v>
      </c>
      <c r="B13116"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3116" s="6">
        <v>773500</v>
      </c>
      <c r="D13116" s="5" t="s">
        <v>251</v>
      </c>
      <c r="E13116" s="5" t="str">
        <f t="shared" si="665"/>
        <v>ACTISALUD -NEUROCIRUGIA - GUSTAVO GOMEZ</v>
      </c>
      <c r="F13116" s="5"/>
      <c r="G13116" s="5"/>
    </row>
    <row r="13117" spans="1:7" ht="58.5" customHeight="1" x14ac:dyDescent="0.25">
      <c r="A13117" s="5" t="str">
        <f>"H0031246"</f>
        <v>H0031246</v>
      </c>
      <c r="B13117" s="5" t="str">
        <f>"MUEBLE DE 2 PUESTOS CON MEDIDAS DE 1,64 MTS"</f>
        <v>MUEBLE DE 2 PUESTOS CON MEDIDAS DE 1,64 MTS</v>
      </c>
      <c r="C13117" s="6">
        <v>700000</v>
      </c>
      <c r="D13117" s="5" t="s">
        <v>703</v>
      </c>
      <c r="E13117" s="5" t="str">
        <f t="shared" si="665"/>
        <v>ACTISALUD -NEUROCIRUGIA - GUSTAVO GOMEZ</v>
      </c>
      <c r="F13117" s="5"/>
      <c r="G13117" s="5"/>
    </row>
    <row r="13118" spans="1:7" ht="58.5" customHeight="1" x14ac:dyDescent="0.25">
      <c r="A13118" s="5" t="str">
        <f>"H0031254"</f>
        <v>H0031254</v>
      </c>
      <c r="B13118" s="5" t="str">
        <f>"MUEBLE DE 3 PUESTOS CON MEDIDAS DE 2,46 MTS"</f>
        <v>MUEBLE DE 3 PUESTOS CON MEDIDAS DE 2,46 MTS</v>
      </c>
      <c r="C13118" s="6">
        <v>1050000</v>
      </c>
      <c r="D13118" s="5" t="s">
        <v>104</v>
      </c>
      <c r="E13118" s="5" t="str">
        <f t="shared" si="665"/>
        <v>ACTISALUD -NEUROCIRUGIA - GUSTAVO GOMEZ</v>
      </c>
      <c r="F13118" s="5"/>
      <c r="G13118" s="5"/>
    </row>
    <row r="13119" spans="1:7" ht="58.5" customHeight="1" x14ac:dyDescent="0.25">
      <c r="A13119" s="5" t="str">
        <f>"H0031262"</f>
        <v>H0031262</v>
      </c>
      <c r="B13119" s="5" t="str">
        <f>"SOFA CON MEDIDAS DE 1,10 MTS"</f>
        <v>SOFA CON MEDIDAS DE 1,10 MTS</v>
      </c>
      <c r="C13119" s="6">
        <v>650000</v>
      </c>
      <c r="D13119" s="5" t="s">
        <v>104</v>
      </c>
      <c r="E13119" s="5" t="str">
        <f t="shared" si="665"/>
        <v>ACTISALUD -NEUROCIRUGIA - GUSTAVO GOMEZ</v>
      </c>
      <c r="F13119" s="5"/>
      <c r="G13119" s="5"/>
    </row>
    <row r="13120" spans="1:7" ht="58.5" customHeight="1" x14ac:dyDescent="0.25">
      <c r="A13120" s="5" t="str">
        <f>"H0031270"</f>
        <v>H0031270</v>
      </c>
      <c r="B13120" s="5" t="str">
        <f>"MESA DE CENTRO CON MEDIDAS DE 0,84 MTS X 0,54 MTS"</f>
        <v>MESA DE CENTRO CON MEDIDAS DE 0,84 MTS X 0,54 MTS</v>
      </c>
      <c r="C13120" s="6">
        <v>160000</v>
      </c>
      <c r="D13120" s="5" t="s">
        <v>104</v>
      </c>
      <c r="E13120" s="5" t="str">
        <f t="shared" si="665"/>
        <v>ACTISALUD -NEUROCIRUGIA - GUSTAVO GOMEZ</v>
      </c>
      <c r="F13120" s="5"/>
      <c r="G13120" s="5"/>
    </row>
    <row r="13121" spans="1:7" ht="58.5" customHeight="1" x14ac:dyDescent="0.25">
      <c r="A13121" s="5" t="str">
        <f>"H0031278"</f>
        <v>H0031278</v>
      </c>
      <c r="B13121" s="5" t="str">
        <f>"MUEBLE DE 5 PUESTOS CON MEDIDAS DE 3,87 MTS"</f>
        <v>MUEBLE DE 5 PUESTOS CON MEDIDAS DE 3,87 MTS</v>
      </c>
      <c r="C13121" s="6">
        <v>1400000</v>
      </c>
      <c r="D13121" s="5" t="s">
        <v>104</v>
      </c>
      <c r="E13121" s="5" t="str">
        <f t="shared" si="665"/>
        <v>ACTISALUD -NEUROCIRUGIA - GUSTAVO GOMEZ</v>
      </c>
      <c r="F13121" s="5"/>
      <c r="G13121" s="5"/>
    </row>
    <row r="13122" spans="1:7" ht="58.5" customHeight="1" x14ac:dyDescent="0.25">
      <c r="A13122" s="5" t="str">
        <f>"H0031286"</f>
        <v>H0031286</v>
      </c>
      <c r="B13122" s="5" t="str">
        <f>"SOFA CON MEDIDAS DE 1,65 MTS"</f>
        <v>SOFA CON MEDIDAS DE 1,65 MTS</v>
      </c>
      <c r="C13122" s="6">
        <v>700000</v>
      </c>
      <c r="D13122" s="5" t="s">
        <v>104</v>
      </c>
      <c r="E13122" s="5" t="str">
        <f t="shared" si="665"/>
        <v>ACTISALUD -NEUROCIRUGIA - GUSTAVO GOMEZ</v>
      </c>
      <c r="F13122" s="5"/>
      <c r="G13122" s="5"/>
    </row>
    <row r="13123" spans="1:7" ht="58.5" customHeight="1" x14ac:dyDescent="0.25">
      <c r="A13123" s="5" t="str">
        <f>"H0031294"</f>
        <v>H0031294</v>
      </c>
      <c r="B13123" s="5" t="str">
        <f>"SOFA DOBLE CON MEDIDAS DE 1,65 MTS"</f>
        <v>SOFA DOBLE CON MEDIDAS DE 1,65 MTS</v>
      </c>
      <c r="C13123" s="6">
        <v>910000</v>
      </c>
      <c r="D13123" s="5" t="s">
        <v>104</v>
      </c>
      <c r="E13123" s="5" t="str">
        <f t="shared" si="665"/>
        <v>ACTISALUD -NEUROCIRUGIA - GUSTAVO GOMEZ</v>
      </c>
      <c r="F13123" s="5"/>
      <c r="G13123" s="5"/>
    </row>
    <row r="13124" spans="1:7" ht="58.5" customHeight="1" x14ac:dyDescent="0.25">
      <c r="A13124" s="5" t="str">
        <f>"H0031302"</f>
        <v>H0031302</v>
      </c>
      <c r="B13124" s="5" t="str">
        <f>"MINILUNA CON MEDIDAS DE 1,26 MTS X 0,65 MTS"</f>
        <v>MINILUNA CON MEDIDAS DE 1,26 MTS X 0,65 MTS</v>
      </c>
      <c r="C13124" s="6">
        <v>120000</v>
      </c>
      <c r="D13124" s="5" t="s">
        <v>104</v>
      </c>
      <c r="E13124" s="5" t="str">
        <f t="shared" si="665"/>
        <v>ACTISALUD -NEUROCIRUGIA - GUSTAVO GOMEZ</v>
      </c>
      <c r="F13124" s="5"/>
      <c r="G13124" s="5"/>
    </row>
    <row r="13125" spans="1:7" ht="58.5" customHeight="1" x14ac:dyDescent="0.25">
      <c r="A13125" s="5" t="str">
        <f>"H0031310"</f>
        <v>H0031310</v>
      </c>
      <c r="B13125" s="5" t="str">
        <f>"PUFF GRANDE CON MEDIDAS DE 1,66 MTS X 1,26 MTS"</f>
        <v>PUFF GRANDE CON MEDIDAS DE 1,66 MTS X 1,26 MTS</v>
      </c>
      <c r="C13125" s="6">
        <v>290000</v>
      </c>
      <c r="D13125" s="5" t="s">
        <v>104</v>
      </c>
      <c r="E13125" s="5" t="str">
        <f t="shared" ref="E13125:E13188" si="668">"ACTISALUD -NEUROCIRUGIA - GUSTAVO GOMEZ"</f>
        <v>ACTISALUD -NEUROCIRUGIA - GUSTAVO GOMEZ</v>
      </c>
      <c r="F13125" s="5"/>
      <c r="G13125" s="5"/>
    </row>
    <row r="13126" spans="1:7" ht="58.5" customHeight="1" x14ac:dyDescent="0.25">
      <c r="A13126" s="5" t="str">
        <f>"H0031796"</f>
        <v>H0031796</v>
      </c>
      <c r="B13126" s="5" t="str">
        <f>"Tandem metálico de 3 puestos para sala de espera tapizados en material lavable"</f>
        <v>Tandem metálico de 3 puestos para sala de espera tapizados en material lavable</v>
      </c>
      <c r="C13126" s="6">
        <v>550000.17000000004</v>
      </c>
      <c r="D13126" s="5" t="s">
        <v>43</v>
      </c>
      <c r="E13126" s="5" t="str">
        <f t="shared" si="668"/>
        <v>ACTISALUD -NEUROCIRUGIA - GUSTAVO GOMEZ</v>
      </c>
      <c r="F13126" s="5"/>
      <c r="G13126" s="5"/>
    </row>
    <row r="13127" spans="1:7" ht="58.5" customHeight="1" x14ac:dyDescent="0.25">
      <c r="A13127" s="5" t="str">
        <f>"H0032213"</f>
        <v>H0032213</v>
      </c>
      <c r="B13127" s="5" t="str">
        <f>"CUBETA PEQUEÑA EN ACERO INOXIDABLE SIN TAPA PARA ASEPSIA REDONDA 10*5 C20"</f>
        <v>CUBETA PEQUEÑA EN ACERO INOXIDABLE SIN TAPA PARA ASEPSIA REDONDA 10*5 C20</v>
      </c>
      <c r="C13127" s="6">
        <v>30642.5</v>
      </c>
      <c r="D13127" s="5" t="s">
        <v>483</v>
      </c>
      <c r="E13127" s="5" t="str">
        <f t="shared" si="668"/>
        <v>ACTISALUD -NEUROCIRUGIA - GUSTAVO GOMEZ</v>
      </c>
      <c r="F13127" s="5"/>
      <c r="G13127" s="5"/>
    </row>
    <row r="13128" spans="1:7" ht="58.5" customHeight="1" x14ac:dyDescent="0.25">
      <c r="A13128" s="5" t="str">
        <f>"H0032214"</f>
        <v>H0032214</v>
      </c>
      <c r="B13128" s="5" t="str">
        <f>"CUBETA PEQUEÑA EN ACERO INOXIDABLE SIN TAPA PARA ASEPSIA REDONDA 10*5 C20"</f>
        <v>CUBETA PEQUEÑA EN ACERO INOXIDABLE SIN TAPA PARA ASEPSIA REDONDA 10*5 C20</v>
      </c>
      <c r="C13128" s="6">
        <v>30642.5</v>
      </c>
      <c r="D13128" s="5" t="s">
        <v>483</v>
      </c>
      <c r="E13128" s="5" t="str">
        <f t="shared" si="668"/>
        <v>ACTISALUD -NEUROCIRUGIA - GUSTAVO GOMEZ</v>
      </c>
      <c r="F13128" s="5"/>
      <c r="G13128" s="5"/>
    </row>
    <row r="13129" spans="1:7" ht="58.5" customHeight="1" x14ac:dyDescent="0.25">
      <c r="A13129" s="5" t="str">
        <f>"H0032597"</f>
        <v>H0032597</v>
      </c>
      <c r="B13129" s="5" t="str">
        <f>"ELECTROCARDIOGRAFO (DONACION)"</f>
        <v>ELECTROCARDIOGRAFO (DONACION)</v>
      </c>
      <c r="C13129" s="6">
        <v>4640000</v>
      </c>
      <c r="D13129" s="5" t="s">
        <v>113</v>
      </c>
      <c r="E13129" s="5" t="str">
        <f t="shared" si="668"/>
        <v>ACTISALUD -NEUROCIRUGIA - GUSTAVO GOMEZ</v>
      </c>
      <c r="F13129" s="5"/>
      <c r="G13129" s="5"/>
    </row>
    <row r="13130" spans="1:7" ht="58.5" customHeight="1" x14ac:dyDescent="0.25">
      <c r="A13130" s="5" t="str">
        <f>"H0032608"</f>
        <v>H0032608</v>
      </c>
      <c r="B13130" s="5" t="str">
        <f>"CAMILLA DE TRANSPORTE Y RECUPERACION (DONACION)"</f>
        <v>CAMILLA DE TRANSPORTE Y RECUPERACION (DONACION)</v>
      </c>
      <c r="C13130" s="6">
        <v>814000</v>
      </c>
      <c r="D13130" s="5" t="s">
        <v>113</v>
      </c>
      <c r="E13130" s="5" t="str">
        <f t="shared" si="668"/>
        <v>ACTISALUD -NEUROCIRUGIA - GUSTAVO GOMEZ</v>
      </c>
      <c r="F13130" s="5"/>
      <c r="G13130" s="5"/>
    </row>
    <row r="13131" spans="1:7" ht="58.5" customHeight="1" x14ac:dyDescent="0.25">
      <c r="A13131" s="5" t="str">
        <f>"H0032655"</f>
        <v>H0032655</v>
      </c>
      <c r="B13131" s="5" t="str">
        <f>"CAMILLA DE TRANSPORTE Y RECUPERACION (DONACION)"</f>
        <v>CAMILLA DE TRANSPORTE Y RECUPERACION (DONACION)</v>
      </c>
      <c r="C13131" s="6">
        <v>814000</v>
      </c>
      <c r="D13131" s="5" t="s">
        <v>115</v>
      </c>
      <c r="E13131" s="5" t="str">
        <f t="shared" si="668"/>
        <v>ACTISALUD -NEUROCIRUGIA - GUSTAVO GOMEZ</v>
      </c>
      <c r="F13131" s="5"/>
      <c r="G13131" s="5"/>
    </row>
    <row r="13132" spans="1:7" ht="58.5" customHeight="1" x14ac:dyDescent="0.25">
      <c r="A13132" s="5" t="str">
        <f>"H0032656"</f>
        <v>H0032656</v>
      </c>
      <c r="B13132" s="5" t="str">
        <f>"CAMILLA DE TRANSPORTE Y RECUPERACION (DONACION)"</f>
        <v>CAMILLA DE TRANSPORTE Y RECUPERACION (DONACION)</v>
      </c>
      <c r="C13132" s="6">
        <v>814000</v>
      </c>
      <c r="D13132" s="5" t="s">
        <v>115</v>
      </c>
      <c r="E13132" s="5" t="str">
        <f t="shared" si="668"/>
        <v>ACTISALUD -NEUROCIRUGIA - GUSTAVO GOMEZ</v>
      </c>
      <c r="F13132" s="5"/>
      <c r="G13132" s="5"/>
    </row>
    <row r="13133" spans="1:7" ht="58.5" customHeight="1" x14ac:dyDescent="0.25">
      <c r="A13133" s="5" t="str">
        <f>"H0033024"</f>
        <v>H0033024</v>
      </c>
      <c r="B13133" s="5" t="str">
        <f t="shared" ref="B13133:B13138" si="669">"CAMA HOSPITALARIA (DONACION)"</f>
        <v>CAMA HOSPITALARIA (DONACION)</v>
      </c>
      <c r="C13133" s="6">
        <v>482786</v>
      </c>
      <c r="D13133" s="5" t="s">
        <v>503</v>
      </c>
      <c r="E13133" s="5" t="str">
        <f t="shared" si="668"/>
        <v>ACTISALUD -NEUROCIRUGIA - GUSTAVO GOMEZ</v>
      </c>
      <c r="F13133" s="5"/>
      <c r="G13133" s="5"/>
    </row>
    <row r="13134" spans="1:7" ht="58.5" customHeight="1" x14ac:dyDescent="0.25">
      <c r="A13134" s="5" t="str">
        <f>"H0033025"</f>
        <v>H0033025</v>
      </c>
      <c r="B13134" s="5" t="str">
        <f t="shared" si="669"/>
        <v>CAMA HOSPITALARIA (DONACION)</v>
      </c>
      <c r="C13134" s="6">
        <v>482786</v>
      </c>
      <c r="D13134" s="5" t="s">
        <v>503</v>
      </c>
      <c r="E13134" s="5" t="str">
        <f t="shared" si="668"/>
        <v>ACTISALUD -NEUROCIRUGIA - GUSTAVO GOMEZ</v>
      </c>
      <c r="F13134" s="5"/>
      <c r="G13134" s="5"/>
    </row>
    <row r="13135" spans="1:7" ht="58.5" customHeight="1" x14ac:dyDescent="0.25">
      <c r="A13135" s="5" t="str">
        <f>"H0033026"</f>
        <v>H0033026</v>
      </c>
      <c r="B13135" s="5" t="str">
        <f t="shared" si="669"/>
        <v>CAMA HOSPITALARIA (DONACION)</v>
      </c>
      <c r="C13135" s="6">
        <v>482786</v>
      </c>
      <c r="D13135" s="5" t="s">
        <v>503</v>
      </c>
      <c r="E13135" s="5" t="str">
        <f t="shared" si="668"/>
        <v>ACTISALUD -NEUROCIRUGIA - GUSTAVO GOMEZ</v>
      </c>
      <c r="F13135" s="5"/>
      <c r="G13135" s="5"/>
    </row>
    <row r="13136" spans="1:7" ht="58.5" customHeight="1" x14ac:dyDescent="0.25">
      <c r="A13136" s="5" t="str">
        <f>"H0033027"</f>
        <v>H0033027</v>
      </c>
      <c r="B13136" s="5" t="str">
        <f t="shared" si="669"/>
        <v>CAMA HOSPITALARIA (DONACION)</v>
      </c>
      <c r="C13136" s="6">
        <v>482786</v>
      </c>
      <c r="D13136" s="5" t="s">
        <v>503</v>
      </c>
      <c r="E13136" s="5" t="str">
        <f t="shared" si="668"/>
        <v>ACTISALUD -NEUROCIRUGIA - GUSTAVO GOMEZ</v>
      </c>
      <c r="F13136" s="5"/>
      <c r="G13136" s="5"/>
    </row>
    <row r="13137" spans="1:7" ht="58.5" customHeight="1" x14ac:dyDescent="0.25">
      <c r="A13137" s="5" t="str">
        <f>"H0033028"</f>
        <v>H0033028</v>
      </c>
      <c r="B13137" s="5" t="str">
        <f t="shared" si="669"/>
        <v>CAMA HOSPITALARIA (DONACION)</v>
      </c>
      <c r="C13137" s="6">
        <v>482786</v>
      </c>
      <c r="D13137" s="5" t="s">
        <v>503</v>
      </c>
      <c r="E13137" s="5" t="str">
        <f t="shared" si="668"/>
        <v>ACTISALUD -NEUROCIRUGIA - GUSTAVO GOMEZ</v>
      </c>
      <c r="F13137" s="5"/>
      <c r="G13137" s="5"/>
    </row>
    <row r="13138" spans="1:7" ht="58.5" customHeight="1" x14ac:dyDescent="0.25">
      <c r="A13138" s="5" t="str">
        <f>"H0033029"</f>
        <v>H0033029</v>
      </c>
      <c r="B13138" s="5" t="str">
        <f t="shared" si="669"/>
        <v>CAMA HOSPITALARIA (DONACION)</v>
      </c>
      <c r="C13138" s="6">
        <v>482786</v>
      </c>
      <c r="D13138" s="5" t="s">
        <v>503</v>
      </c>
      <c r="E13138" s="5" t="str">
        <f t="shared" si="668"/>
        <v>ACTISALUD -NEUROCIRUGIA - GUSTAVO GOMEZ</v>
      </c>
      <c r="F13138" s="5"/>
      <c r="G13138" s="5"/>
    </row>
    <row r="13139" spans="1:7" ht="58.5" customHeight="1" x14ac:dyDescent="0.25">
      <c r="A13139" s="5" t="str">
        <f>"H0033037"</f>
        <v>H0033037</v>
      </c>
      <c r="B13139" s="5" t="str">
        <f>"MONITOR DE SIGNOS VITALES"</f>
        <v>MONITOR DE SIGNOS VITALES</v>
      </c>
      <c r="C13139" s="6">
        <v>9470000</v>
      </c>
      <c r="D13139" s="5" t="s">
        <v>119</v>
      </c>
      <c r="E13139" s="5" t="str">
        <f t="shared" si="668"/>
        <v>ACTISALUD -NEUROCIRUGIA - GUSTAVO GOMEZ</v>
      </c>
      <c r="F13139" s="5"/>
      <c r="G13139" s="5"/>
    </row>
    <row r="13140" spans="1:7" ht="58.5" customHeight="1" x14ac:dyDescent="0.25">
      <c r="A13140" s="5" t="str">
        <f>"H0033106"</f>
        <v>H0033106</v>
      </c>
      <c r="B13140" s="5" t="str">
        <f>"MONITOR DE SIGNOS VITALES"</f>
        <v>MONITOR DE SIGNOS VITALES</v>
      </c>
      <c r="C13140" s="6">
        <v>9470000</v>
      </c>
      <c r="D13140" s="5" t="s">
        <v>119</v>
      </c>
      <c r="E13140" s="5" t="str">
        <f t="shared" si="668"/>
        <v>ACTISALUD -NEUROCIRUGIA - GUSTAVO GOMEZ</v>
      </c>
      <c r="F13140" s="5"/>
      <c r="G13140" s="5"/>
    </row>
    <row r="13141" spans="1:7" ht="58.5" customHeight="1" x14ac:dyDescent="0.25">
      <c r="A13141" s="5" t="str">
        <f>"H0033947"</f>
        <v>H0033947</v>
      </c>
      <c r="B13141" s="5" t="str">
        <f>"LECTOR DE HUELLAS DIGITALES"</f>
        <v>LECTOR DE HUELLAS DIGITALES</v>
      </c>
      <c r="C13141" s="6">
        <v>340340</v>
      </c>
      <c r="D13141" s="5" t="s">
        <v>119</v>
      </c>
      <c r="E13141" s="5" t="str">
        <f t="shared" si="668"/>
        <v>ACTISALUD -NEUROCIRUGIA - GUSTAVO GOMEZ</v>
      </c>
      <c r="F13141" s="5"/>
      <c r="G13141" s="5"/>
    </row>
    <row r="13142" spans="1:7" ht="58.5" customHeight="1" x14ac:dyDescent="0.25">
      <c r="A13142" s="5" t="str">
        <f>"H0034092"</f>
        <v>H0034092</v>
      </c>
      <c r="B1314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3142" s="6">
        <v>5604900</v>
      </c>
      <c r="D13142" s="5" t="s">
        <v>192</v>
      </c>
      <c r="E13142" s="5" t="str">
        <f t="shared" si="668"/>
        <v>ACTISALUD -NEUROCIRUGIA - GUSTAVO GOMEZ</v>
      </c>
      <c r="F13142" s="5"/>
      <c r="G13142" s="5"/>
    </row>
    <row r="13143" spans="1:7" ht="58.5" customHeight="1" x14ac:dyDescent="0.25">
      <c r="A13143" s="5" t="str">
        <f>"H0034096"</f>
        <v>H0034096</v>
      </c>
      <c r="B13143"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3143" s="6">
        <v>5604900</v>
      </c>
      <c r="D13143" s="5" t="s">
        <v>192</v>
      </c>
      <c r="E13143" s="5" t="str">
        <f t="shared" si="668"/>
        <v>ACTISALUD -NEUROCIRUGIA - GUSTAVO GOMEZ</v>
      </c>
      <c r="F13143" s="5"/>
      <c r="G13143" s="5"/>
    </row>
    <row r="13144" spans="1:7" ht="58.5" customHeight="1" x14ac:dyDescent="0.25">
      <c r="A13144" s="5" t="str">
        <f>"H0034732"</f>
        <v>H0034732</v>
      </c>
      <c r="B13144" s="5" t="str">
        <f>"BOMBA DE NUTRICION (DONACION)"</f>
        <v>BOMBA DE NUTRICION (DONACION)</v>
      </c>
      <c r="C13144" s="6">
        <v>5850000</v>
      </c>
      <c r="D13144" s="5" t="s">
        <v>124</v>
      </c>
      <c r="E13144" s="5" t="str">
        <f t="shared" si="668"/>
        <v>ACTISALUD -NEUROCIRUGIA - GUSTAVO GOMEZ</v>
      </c>
      <c r="F13144" s="5"/>
      <c r="G13144" s="5" t="str">
        <f>"ENTEROPORT PLUS"</f>
        <v>ENTEROPORT PLUS</v>
      </c>
    </row>
    <row r="13145" spans="1:7" ht="58.5" customHeight="1" x14ac:dyDescent="0.25">
      <c r="A13145" s="5" t="str">
        <f>"H0035137"</f>
        <v>H0035137</v>
      </c>
      <c r="B13145" s="5" t="str">
        <f>"NEVERA DE 66 LTS"</f>
        <v>NEVERA DE 66 LTS</v>
      </c>
      <c r="C13145" s="6">
        <v>545000</v>
      </c>
      <c r="D13145" s="5" t="s">
        <v>25</v>
      </c>
      <c r="E13145" s="5" t="str">
        <f t="shared" si="668"/>
        <v>ACTISALUD -NEUROCIRUGIA - GUSTAVO GOMEZ</v>
      </c>
      <c r="F13145" s="5"/>
      <c r="G13145" s="5"/>
    </row>
    <row r="13146" spans="1:7" ht="58.5" customHeight="1" x14ac:dyDescent="0.25">
      <c r="A13146" s="5" t="str">
        <f>"H0035138"</f>
        <v>H0035138</v>
      </c>
      <c r="B13146" s="5" t="str">
        <f>"CALENTADOR ELECTRICO DE AGUA"</f>
        <v>CALENTADOR ELECTRICO DE AGUA</v>
      </c>
      <c r="C13146" s="6">
        <v>2421145</v>
      </c>
      <c r="D13146" s="5" t="s">
        <v>124</v>
      </c>
      <c r="E13146" s="5" t="str">
        <f t="shared" si="668"/>
        <v>ACTISALUD -NEUROCIRUGIA - GUSTAVO GOMEZ</v>
      </c>
      <c r="F13146" s="5"/>
      <c r="G13146" s="5"/>
    </row>
    <row r="13147" spans="1:7" ht="58.5" customHeight="1" x14ac:dyDescent="0.25">
      <c r="A13147" s="5" t="str">
        <f>"H0035267"</f>
        <v>H0035267</v>
      </c>
      <c r="B13147" s="5" t="str">
        <f t="shared" ref="B13147:B13157" si="670">"CAMA HOSPITALARIA (DONACION)"</f>
        <v>CAMA HOSPITALARIA (DONACION)</v>
      </c>
      <c r="C13147" s="6">
        <v>40540500</v>
      </c>
      <c r="D13147" s="5" t="s">
        <v>279</v>
      </c>
      <c r="E13147" s="5" t="str">
        <f t="shared" si="668"/>
        <v>ACTISALUD -NEUROCIRUGIA - GUSTAVO GOMEZ</v>
      </c>
      <c r="F13147" s="5"/>
      <c r="G13147" s="5"/>
    </row>
    <row r="13148" spans="1:7" ht="58.5" customHeight="1" x14ac:dyDescent="0.25">
      <c r="A13148" s="5" t="str">
        <f>"H0035268"</f>
        <v>H0035268</v>
      </c>
      <c r="B13148" s="5" t="str">
        <f t="shared" si="670"/>
        <v>CAMA HOSPITALARIA (DONACION)</v>
      </c>
      <c r="C13148" s="6">
        <v>40540500</v>
      </c>
      <c r="D13148" s="5" t="s">
        <v>279</v>
      </c>
      <c r="E13148" s="5" t="str">
        <f t="shared" si="668"/>
        <v>ACTISALUD -NEUROCIRUGIA - GUSTAVO GOMEZ</v>
      </c>
      <c r="F13148" s="5"/>
      <c r="G13148" s="5"/>
    </row>
    <row r="13149" spans="1:7" ht="58.5" customHeight="1" x14ac:dyDescent="0.25">
      <c r="A13149" s="5" t="str">
        <f>"H0035269"</f>
        <v>H0035269</v>
      </c>
      <c r="B13149" s="5" t="str">
        <f t="shared" si="670"/>
        <v>CAMA HOSPITALARIA (DONACION)</v>
      </c>
      <c r="C13149" s="6">
        <v>40540500</v>
      </c>
      <c r="D13149" s="5" t="s">
        <v>279</v>
      </c>
      <c r="E13149" s="5" t="str">
        <f t="shared" si="668"/>
        <v>ACTISALUD -NEUROCIRUGIA - GUSTAVO GOMEZ</v>
      </c>
      <c r="F13149" s="5"/>
      <c r="G13149" s="5"/>
    </row>
    <row r="13150" spans="1:7" ht="58.5" customHeight="1" x14ac:dyDescent="0.25">
      <c r="A13150" s="5" t="str">
        <f>"H0035270"</f>
        <v>H0035270</v>
      </c>
      <c r="B13150" s="5" t="str">
        <f t="shared" si="670"/>
        <v>CAMA HOSPITALARIA (DONACION)</v>
      </c>
      <c r="C13150" s="6">
        <v>40540500</v>
      </c>
      <c r="D13150" s="5" t="s">
        <v>279</v>
      </c>
      <c r="E13150" s="5" t="str">
        <f t="shared" si="668"/>
        <v>ACTISALUD -NEUROCIRUGIA - GUSTAVO GOMEZ</v>
      </c>
      <c r="F13150" s="5"/>
      <c r="G13150" s="5"/>
    </row>
    <row r="13151" spans="1:7" ht="58.5" customHeight="1" x14ac:dyDescent="0.25">
      <c r="A13151" s="5" t="str">
        <f>"H0035271"</f>
        <v>H0035271</v>
      </c>
      <c r="B13151" s="5" t="str">
        <f t="shared" si="670"/>
        <v>CAMA HOSPITALARIA (DONACION)</v>
      </c>
      <c r="C13151" s="6">
        <v>40540500</v>
      </c>
      <c r="D13151" s="5" t="s">
        <v>279</v>
      </c>
      <c r="E13151" s="5" t="str">
        <f t="shared" si="668"/>
        <v>ACTISALUD -NEUROCIRUGIA - GUSTAVO GOMEZ</v>
      </c>
      <c r="F13151" s="5"/>
      <c r="G13151" s="5"/>
    </row>
    <row r="13152" spans="1:7" ht="58.5" customHeight="1" x14ac:dyDescent="0.25">
      <c r="A13152" s="5" t="str">
        <f>"H0035273"</f>
        <v>H0035273</v>
      </c>
      <c r="B13152" s="5" t="str">
        <f t="shared" si="670"/>
        <v>CAMA HOSPITALARIA (DONACION)</v>
      </c>
      <c r="C13152" s="6">
        <v>40540500</v>
      </c>
      <c r="D13152" s="5" t="s">
        <v>279</v>
      </c>
      <c r="E13152" s="5" t="str">
        <f t="shared" si="668"/>
        <v>ACTISALUD -NEUROCIRUGIA - GUSTAVO GOMEZ</v>
      </c>
      <c r="F13152" s="5"/>
      <c r="G13152" s="5"/>
    </row>
    <row r="13153" spans="1:7" ht="58.5" customHeight="1" x14ac:dyDescent="0.25">
      <c r="A13153" s="5" t="str">
        <f>"H0035274"</f>
        <v>H0035274</v>
      </c>
      <c r="B13153" s="5" t="str">
        <f t="shared" si="670"/>
        <v>CAMA HOSPITALARIA (DONACION)</v>
      </c>
      <c r="C13153" s="6">
        <v>40540500</v>
      </c>
      <c r="D13153" s="5" t="s">
        <v>279</v>
      </c>
      <c r="E13153" s="5" t="str">
        <f t="shared" si="668"/>
        <v>ACTISALUD -NEUROCIRUGIA - GUSTAVO GOMEZ</v>
      </c>
      <c r="F13153" s="5"/>
      <c r="G13153" s="5"/>
    </row>
    <row r="13154" spans="1:7" ht="58.5" customHeight="1" x14ac:dyDescent="0.25">
      <c r="A13154" s="5" t="str">
        <f>"H0035275"</f>
        <v>H0035275</v>
      </c>
      <c r="B13154" s="5" t="str">
        <f t="shared" si="670"/>
        <v>CAMA HOSPITALARIA (DONACION)</v>
      </c>
      <c r="C13154" s="6">
        <v>40540500</v>
      </c>
      <c r="D13154" s="5" t="s">
        <v>279</v>
      </c>
      <c r="E13154" s="5" t="str">
        <f t="shared" si="668"/>
        <v>ACTISALUD -NEUROCIRUGIA - GUSTAVO GOMEZ</v>
      </c>
      <c r="F13154" s="5"/>
      <c r="G13154" s="5"/>
    </row>
    <row r="13155" spans="1:7" ht="58.5" customHeight="1" x14ac:dyDescent="0.25">
      <c r="A13155" s="5" t="str">
        <f>"H0035276"</f>
        <v>H0035276</v>
      </c>
      <c r="B13155" s="5" t="str">
        <f t="shared" si="670"/>
        <v>CAMA HOSPITALARIA (DONACION)</v>
      </c>
      <c r="C13155" s="6">
        <v>40540500</v>
      </c>
      <c r="D13155" s="5" t="s">
        <v>279</v>
      </c>
      <c r="E13155" s="5" t="str">
        <f t="shared" si="668"/>
        <v>ACTISALUD -NEUROCIRUGIA - GUSTAVO GOMEZ</v>
      </c>
      <c r="F13155" s="5"/>
      <c r="G13155" s="5"/>
    </row>
    <row r="13156" spans="1:7" ht="58.5" customHeight="1" x14ac:dyDescent="0.25">
      <c r="A13156" s="5" t="str">
        <f>"H0035277"</f>
        <v>H0035277</v>
      </c>
      <c r="B13156" s="5" t="str">
        <f t="shared" si="670"/>
        <v>CAMA HOSPITALARIA (DONACION)</v>
      </c>
      <c r="C13156" s="6">
        <v>40540500</v>
      </c>
      <c r="D13156" s="5" t="s">
        <v>279</v>
      </c>
      <c r="E13156" s="5" t="str">
        <f t="shared" si="668"/>
        <v>ACTISALUD -NEUROCIRUGIA - GUSTAVO GOMEZ</v>
      </c>
      <c r="F13156" s="5"/>
      <c r="G13156" s="5"/>
    </row>
    <row r="13157" spans="1:7" ht="58.5" customHeight="1" x14ac:dyDescent="0.25">
      <c r="A13157" s="5" t="str">
        <f>"H0035278"</f>
        <v>H0035278</v>
      </c>
      <c r="B13157" s="5" t="str">
        <f t="shared" si="670"/>
        <v>CAMA HOSPITALARIA (DONACION)</v>
      </c>
      <c r="C13157" s="6">
        <v>40540500</v>
      </c>
      <c r="D13157" s="5" t="s">
        <v>279</v>
      </c>
      <c r="E13157" s="5" t="str">
        <f t="shared" si="668"/>
        <v>ACTISALUD -NEUROCIRUGIA - GUSTAVO GOMEZ</v>
      </c>
      <c r="F13157" s="5"/>
      <c r="G13157" s="5"/>
    </row>
    <row r="13158" spans="1:7" ht="58.5" customHeight="1" x14ac:dyDescent="0.25">
      <c r="A13158" s="5" t="str">
        <f>"H0035342"</f>
        <v>H0035342</v>
      </c>
      <c r="B13158" s="5" t="s">
        <v>128</v>
      </c>
      <c r="C13158" s="6">
        <v>5462100</v>
      </c>
      <c r="D13158" s="5" t="s">
        <v>127</v>
      </c>
      <c r="E13158" s="5" t="str">
        <f t="shared" si="668"/>
        <v>ACTISALUD -NEUROCIRUGIA - GUSTAVO GOMEZ</v>
      </c>
      <c r="F13158" s="5"/>
      <c r="G13158" s="5"/>
    </row>
    <row r="13159" spans="1:7" ht="58.5" customHeight="1" x14ac:dyDescent="0.25">
      <c r="A13159" s="5" t="str">
        <f>"H0035581"</f>
        <v>H0035581</v>
      </c>
      <c r="B13159" s="5" t="str">
        <f>"CAMA HOSPITALARIA (DONACION)"</f>
        <v>CAMA HOSPITALARIA (DONACION)</v>
      </c>
      <c r="C13159" s="6">
        <v>7594755</v>
      </c>
      <c r="D13159" s="5" t="s">
        <v>493</v>
      </c>
      <c r="E13159" s="5" t="str">
        <f t="shared" si="668"/>
        <v>ACTISALUD -NEUROCIRUGIA - GUSTAVO GOMEZ</v>
      </c>
      <c r="F13159" s="5"/>
      <c r="G13159" s="5" t="str">
        <f>"lynix"</f>
        <v>lynix</v>
      </c>
    </row>
    <row r="13160" spans="1:7" ht="58.5" customHeight="1" x14ac:dyDescent="0.25">
      <c r="A13160" s="5" t="str">
        <f>"H0035583"</f>
        <v>H0035583</v>
      </c>
      <c r="B13160" s="5" t="str">
        <f>"CAMA HOSPITALARIA (DONACION)"</f>
        <v>CAMA HOSPITALARIA (DONACION)</v>
      </c>
      <c r="C13160" s="6">
        <v>7594755</v>
      </c>
      <c r="D13160" s="5" t="s">
        <v>493</v>
      </c>
      <c r="E13160" s="5" t="str">
        <f t="shared" si="668"/>
        <v>ACTISALUD -NEUROCIRUGIA - GUSTAVO GOMEZ</v>
      </c>
      <c r="F13160" s="5"/>
      <c r="G13160" s="5" t="str">
        <f>"lynix"</f>
        <v>lynix</v>
      </c>
    </row>
    <row r="13161" spans="1:7" ht="58.5" customHeight="1" x14ac:dyDescent="0.25">
      <c r="A13161" s="5" t="str">
        <f>"H0035587"</f>
        <v>H0035587</v>
      </c>
      <c r="B13161" s="5" t="str">
        <f>"CAMA HOSPITALARIA (DONACION)"</f>
        <v>CAMA HOSPITALARIA (DONACION)</v>
      </c>
      <c r="C13161" s="6">
        <v>7594755</v>
      </c>
      <c r="D13161" s="5" t="s">
        <v>493</v>
      </c>
      <c r="E13161" s="5" t="str">
        <f t="shared" si="668"/>
        <v>ACTISALUD -NEUROCIRUGIA - GUSTAVO GOMEZ</v>
      </c>
      <c r="F13161" s="5"/>
      <c r="G13161" s="5" t="str">
        <f>"lynix"</f>
        <v>lynix</v>
      </c>
    </row>
    <row r="13162" spans="1:7" ht="58.5" customHeight="1" x14ac:dyDescent="0.25">
      <c r="A13162" s="5" t="str">
        <f>"H0035588"</f>
        <v>H0035588</v>
      </c>
      <c r="B13162" s="5" t="str">
        <f>"CAMA HOSPITALARIA (DONACION)"</f>
        <v>CAMA HOSPITALARIA (DONACION)</v>
      </c>
      <c r="C13162" s="6">
        <v>7594755</v>
      </c>
      <c r="D13162" s="5" t="s">
        <v>493</v>
      </c>
      <c r="E13162" s="5" t="str">
        <f t="shared" si="668"/>
        <v>ACTISALUD -NEUROCIRUGIA - GUSTAVO GOMEZ</v>
      </c>
      <c r="F13162" s="5"/>
      <c r="G13162" s="5" t="str">
        <f>"lynix"</f>
        <v>lynix</v>
      </c>
    </row>
    <row r="13163" spans="1:7" ht="58.5" customHeight="1" x14ac:dyDescent="0.25">
      <c r="A13163" s="5" t="str">
        <f>"H0035590"</f>
        <v>H0035590</v>
      </c>
      <c r="B13163" s="5" t="str">
        <f>"CAMA HOSPITALARIA (DONACION)"</f>
        <v>CAMA HOSPITALARIA (DONACION)</v>
      </c>
      <c r="C13163" s="6">
        <v>7594755</v>
      </c>
      <c r="D13163" s="5" t="s">
        <v>493</v>
      </c>
      <c r="E13163" s="5" t="str">
        <f t="shared" si="668"/>
        <v>ACTISALUD -NEUROCIRUGIA - GUSTAVO GOMEZ</v>
      </c>
      <c r="F13163" s="5"/>
      <c r="G13163" s="5" t="str">
        <f>"lynix"</f>
        <v>lynix</v>
      </c>
    </row>
    <row r="13164" spans="1:7" ht="58.5" customHeight="1" x14ac:dyDescent="0.25">
      <c r="A13164" s="5" t="str">
        <f>"H0035801"</f>
        <v>H0035801</v>
      </c>
      <c r="B13164" s="5" t="str">
        <f>"SILLA GERENTE NIZA MEC. BASCULANTE CON BRAZOS."</f>
        <v>SILLA GERENTE NIZA MEC. BASCULANTE CON BRAZOS.</v>
      </c>
      <c r="C13164" s="6">
        <v>640002.24</v>
      </c>
      <c r="D13164" s="5" t="s">
        <v>47</v>
      </c>
      <c r="E13164" s="5" t="str">
        <f t="shared" si="668"/>
        <v>ACTISALUD -NEUROCIRUGIA - GUSTAVO GOMEZ</v>
      </c>
      <c r="F13164" s="5"/>
      <c r="G13164" s="5"/>
    </row>
    <row r="13165" spans="1:7" ht="58.5" customHeight="1" x14ac:dyDescent="0.25">
      <c r="A13165" s="5" t="str">
        <f>"H0035836"</f>
        <v>H0035836</v>
      </c>
      <c r="B13165" s="5" t="str">
        <f>"SILLA GERENTE NIZA MEC. BASCULANTE CON BRAZOS."</f>
        <v>SILLA GERENTE NIZA MEC. BASCULANTE CON BRAZOS.</v>
      </c>
      <c r="C13165" s="6">
        <v>639999.86</v>
      </c>
      <c r="D13165" s="5" t="s">
        <v>47</v>
      </c>
      <c r="E13165" s="5" t="str">
        <f t="shared" si="668"/>
        <v>ACTISALUD -NEUROCIRUGIA - GUSTAVO GOMEZ</v>
      </c>
      <c r="F13165" s="5"/>
      <c r="G13165" s="5"/>
    </row>
    <row r="13166" spans="1:7" ht="58.5" customHeight="1" x14ac:dyDescent="0.25">
      <c r="A13166" s="5" t="str">
        <f>"H0035837"</f>
        <v>H0035837</v>
      </c>
      <c r="B13166" s="5" t="str">
        <f>"SILLA GERENTE NIZA MEC. BASCULANTE CON BRAZOS."</f>
        <v>SILLA GERENTE NIZA MEC. BASCULANTE CON BRAZOS.</v>
      </c>
      <c r="C13166" s="6">
        <v>639999.86</v>
      </c>
      <c r="D13166" s="5" t="s">
        <v>47</v>
      </c>
      <c r="E13166" s="5" t="str">
        <f t="shared" si="668"/>
        <v>ACTISALUD -NEUROCIRUGIA - GUSTAVO GOMEZ</v>
      </c>
      <c r="F13166" s="5"/>
      <c r="G13166" s="5"/>
    </row>
    <row r="13167" spans="1:7" ht="58.5" customHeight="1" x14ac:dyDescent="0.25">
      <c r="A13167" s="5" t="str">
        <f>"H0035838"</f>
        <v>H0035838</v>
      </c>
      <c r="B13167" s="5" t="str">
        <f>"SILLA GERENTE NIZA MEC. BASCULANTE CON BRAZOS."</f>
        <v>SILLA GERENTE NIZA MEC. BASCULANTE CON BRAZOS.</v>
      </c>
      <c r="C13167" s="6">
        <v>639999.86</v>
      </c>
      <c r="D13167" s="5" t="s">
        <v>47</v>
      </c>
      <c r="E13167" s="5" t="str">
        <f t="shared" si="668"/>
        <v>ACTISALUD -NEUROCIRUGIA - GUSTAVO GOMEZ</v>
      </c>
      <c r="F13167" s="5"/>
      <c r="G13167" s="5"/>
    </row>
    <row r="13168" spans="1:7" ht="58.5" customHeight="1" x14ac:dyDescent="0.25">
      <c r="A13168" s="5" t="str">
        <f>"H0035839"</f>
        <v>H0035839</v>
      </c>
      <c r="B13168" s="5" t="str">
        <f>"SILLA GERENTE NIZA MEC. BASCULANTE CON BRAZOS."</f>
        <v>SILLA GERENTE NIZA MEC. BASCULANTE CON BRAZOS.</v>
      </c>
      <c r="C13168" s="6">
        <v>639999.86</v>
      </c>
      <c r="D13168" s="5" t="s">
        <v>47</v>
      </c>
      <c r="E13168" s="5" t="str">
        <f t="shared" si="668"/>
        <v>ACTISALUD -NEUROCIRUGIA - GUSTAVO GOMEZ</v>
      </c>
      <c r="F13168" s="5"/>
      <c r="G13168" s="5"/>
    </row>
    <row r="13169" spans="1:7" ht="58.5" customHeight="1" x14ac:dyDescent="0.25">
      <c r="A13169" s="5" t="str">
        <f>"H0036339"</f>
        <v>H0036339</v>
      </c>
      <c r="B13169" s="5" t="str">
        <f t="shared" ref="B13169:B13178" si="671">"VENTILADOR DE PARED"</f>
        <v>VENTILADOR DE PARED</v>
      </c>
      <c r="C13169" s="6">
        <v>295260</v>
      </c>
      <c r="D13169" s="5" t="s">
        <v>131</v>
      </c>
      <c r="E13169" s="5" t="str">
        <f t="shared" si="668"/>
        <v>ACTISALUD -NEUROCIRUGIA - GUSTAVO GOMEZ</v>
      </c>
      <c r="F13169" s="5"/>
      <c r="G13169" s="5"/>
    </row>
    <row r="13170" spans="1:7" ht="58.5" customHeight="1" x14ac:dyDescent="0.25">
      <c r="A13170" s="5" t="str">
        <f>"H0036340"</f>
        <v>H0036340</v>
      </c>
      <c r="B13170" s="5" t="str">
        <f t="shared" si="671"/>
        <v>VENTILADOR DE PARED</v>
      </c>
      <c r="C13170" s="6">
        <v>295260</v>
      </c>
      <c r="D13170" s="5" t="s">
        <v>131</v>
      </c>
      <c r="E13170" s="5" t="str">
        <f t="shared" si="668"/>
        <v>ACTISALUD -NEUROCIRUGIA - GUSTAVO GOMEZ</v>
      </c>
      <c r="F13170" s="5"/>
      <c r="G13170" s="5"/>
    </row>
    <row r="13171" spans="1:7" ht="58.5" customHeight="1" x14ac:dyDescent="0.25">
      <c r="A13171" s="5" t="str">
        <f>"H0036341"</f>
        <v>H0036341</v>
      </c>
      <c r="B13171" s="5" t="str">
        <f t="shared" si="671"/>
        <v>VENTILADOR DE PARED</v>
      </c>
      <c r="C13171" s="6">
        <v>295260</v>
      </c>
      <c r="D13171" s="5" t="s">
        <v>131</v>
      </c>
      <c r="E13171" s="5" t="str">
        <f t="shared" si="668"/>
        <v>ACTISALUD -NEUROCIRUGIA - GUSTAVO GOMEZ</v>
      </c>
      <c r="F13171" s="5"/>
      <c r="G13171" s="5"/>
    </row>
    <row r="13172" spans="1:7" ht="58.5" customHeight="1" x14ac:dyDescent="0.25">
      <c r="A13172" s="5" t="str">
        <f>"H0036342"</f>
        <v>H0036342</v>
      </c>
      <c r="B13172" s="5" t="str">
        <f t="shared" si="671"/>
        <v>VENTILADOR DE PARED</v>
      </c>
      <c r="C13172" s="6">
        <v>295260</v>
      </c>
      <c r="D13172" s="5" t="s">
        <v>131</v>
      </c>
      <c r="E13172" s="5" t="str">
        <f t="shared" si="668"/>
        <v>ACTISALUD -NEUROCIRUGIA - GUSTAVO GOMEZ</v>
      </c>
      <c r="F13172" s="5"/>
      <c r="G13172" s="5"/>
    </row>
    <row r="13173" spans="1:7" ht="58.5" customHeight="1" x14ac:dyDescent="0.25">
      <c r="A13173" s="5" t="str">
        <f>"H0036343"</f>
        <v>H0036343</v>
      </c>
      <c r="B13173" s="5" t="str">
        <f t="shared" si="671"/>
        <v>VENTILADOR DE PARED</v>
      </c>
      <c r="C13173" s="6">
        <v>295260</v>
      </c>
      <c r="D13173" s="5" t="s">
        <v>131</v>
      </c>
      <c r="E13173" s="5" t="str">
        <f t="shared" si="668"/>
        <v>ACTISALUD -NEUROCIRUGIA - GUSTAVO GOMEZ</v>
      </c>
      <c r="F13173" s="5"/>
      <c r="G13173" s="5"/>
    </row>
    <row r="13174" spans="1:7" ht="58.5" customHeight="1" x14ac:dyDescent="0.25">
      <c r="A13174" s="5" t="str">
        <f>"H0036344"</f>
        <v>H0036344</v>
      </c>
      <c r="B13174" s="5" t="str">
        <f t="shared" si="671"/>
        <v>VENTILADOR DE PARED</v>
      </c>
      <c r="C13174" s="6">
        <v>295260</v>
      </c>
      <c r="D13174" s="5" t="s">
        <v>131</v>
      </c>
      <c r="E13174" s="5" t="str">
        <f t="shared" si="668"/>
        <v>ACTISALUD -NEUROCIRUGIA - GUSTAVO GOMEZ</v>
      </c>
      <c r="F13174" s="5"/>
      <c r="G13174" s="5"/>
    </row>
    <row r="13175" spans="1:7" ht="58.5" customHeight="1" x14ac:dyDescent="0.25">
      <c r="A13175" s="5" t="str">
        <f>"H0036345"</f>
        <v>H0036345</v>
      </c>
      <c r="B13175" s="5" t="str">
        <f t="shared" si="671"/>
        <v>VENTILADOR DE PARED</v>
      </c>
      <c r="C13175" s="6">
        <v>295260</v>
      </c>
      <c r="D13175" s="5" t="s">
        <v>131</v>
      </c>
      <c r="E13175" s="5" t="str">
        <f t="shared" si="668"/>
        <v>ACTISALUD -NEUROCIRUGIA - GUSTAVO GOMEZ</v>
      </c>
      <c r="F13175" s="5"/>
      <c r="G13175" s="5"/>
    </row>
    <row r="13176" spans="1:7" ht="58.5" customHeight="1" x14ac:dyDescent="0.25">
      <c r="A13176" s="5" t="str">
        <f>"H0036346"</f>
        <v>H0036346</v>
      </c>
      <c r="B13176" s="5" t="str">
        <f t="shared" si="671"/>
        <v>VENTILADOR DE PARED</v>
      </c>
      <c r="C13176" s="6">
        <v>295260</v>
      </c>
      <c r="D13176" s="5" t="s">
        <v>131</v>
      </c>
      <c r="E13176" s="5" t="str">
        <f t="shared" si="668"/>
        <v>ACTISALUD -NEUROCIRUGIA - GUSTAVO GOMEZ</v>
      </c>
      <c r="F13176" s="5"/>
      <c r="G13176" s="5"/>
    </row>
    <row r="13177" spans="1:7" ht="58.5" customHeight="1" x14ac:dyDescent="0.25">
      <c r="A13177" s="5" t="str">
        <f>"H0036347"</f>
        <v>H0036347</v>
      </c>
      <c r="B13177" s="5" t="str">
        <f t="shared" si="671"/>
        <v>VENTILADOR DE PARED</v>
      </c>
      <c r="C13177" s="6">
        <v>295260</v>
      </c>
      <c r="D13177" s="5" t="s">
        <v>131</v>
      </c>
      <c r="E13177" s="5" t="str">
        <f t="shared" si="668"/>
        <v>ACTISALUD -NEUROCIRUGIA - GUSTAVO GOMEZ</v>
      </c>
      <c r="F13177" s="5"/>
      <c r="G13177" s="5"/>
    </row>
    <row r="13178" spans="1:7" ht="58.5" customHeight="1" x14ac:dyDescent="0.25">
      <c r="A13178" s="5" t="str">
        <f>"H0036348"</f>
        <v>H0036348</v>
      </c>
      <c r="B13178" s="5" t="str">
        <f t="shared" si="671"/>
        <v>VENTILADOR DE PARED</v>
      </c>
      <c r="C13178" s="6">
        <v>295260</v>
      </c>
      <c r="D13178" s="5" t="s">
        <v>131</v>
      </c>
      <c r="E13178" s="5" t="str">
        <f t="shared" si="668"/>
        <v>ACTISALUD -NEUROCIRUGIA - GUSTAVO GOMEZ</v>
      </c>
      <c r="F13178" s="5"/>
      <c r="G13178" s="5"/>
    </row>
    <row r="13179" spans="1:7" ht="58.5" customHeight="1" x14ac:dyDescent="0.25">
      <c r="A13179" s="5" t="str">
        <f>"H0036503"</f>
        <v>H0036503</v>
      </c>
      <c r="B13179" s="5" t="str">
        <f>"ASPIRADOR DE SECRECIONES"</f>
        <v>ASPIRADOR DE SECRECIONES</v>
      </c>
      <c r="C13179" s="6">
        <v>645000</v>
      </c>
      <c r="D13179" s="5" t="s">
        <v>132</v>
      </c>
      <c r="E13179" s="5" t="str">
        <f t="shared" si="668"/>
        <v>ACTISALUD -NEUROCIRUGIA - GUSTAVO GOMEZ</v>
      </c>
      <c r="F13179" s="5"/>
      <c r="G13179" s="5"/>
    </row>
    <row r="13180" spans="1:7" ht="58.5" customHeight="1" x14ac:dyDescent="0.25">
      <c r="A13180" s="5" t="str">
        <f>"H0036602"</f>
        <v>H0036602</v>
      </c>
      <c r="B13180" s="5" t="str">
        <f>"MONITOR DE PACIENTES (DONACION)"</f>
        <v>MONITOR DE PACIENTES (DONACION)</v>
      </c>
      <c r="C13180" s="6">
        <v>4450000</v>
      </c>
      <c r="D13180" s="5" t="s">
        <v>134</v>
      </c>
      <c r="E13180" s="5" t="str">
        <f t="shared" si="668"/>
        <v>ACTISALUD -NEUROCIRUGIA - GUSTAVO GOMEZ</v>
      </c>
      <c r="F13180" s="5"/>
      <c r="G13180" s="5"/>
    </row>
    <row r="13181" spans="1:7" ht="58.5" customHeight="1" x14ac:dyDescent="0.25">
      <c r="A13181" s="5" t="str">
        <f>"H0036618"</f>
        <v>H0036618</v>
      </c>
      <c r="B13181" s="5" t="str">
        <f>"DISCADOR AMPLIFICADOR DE SEÑAL DE 500 METROS"</f>
        <v>DISCADOR AMPLIFICADOR DE SEÑAL DE 500 METROS</v>
      </c>
      <c r="C13181" s="6">
        <v>3523000</v>
      </c>
      <c r="D13181" s="5" t="s">
        <v>200</v>
      </c>
      <c r="E13181" s="5" t="str">
        <f t="shared" si="668"/>
        <v>ACTISALUD -NEUROCIRUGIA - GUSTAVO GOMEZ</v>
      </c>
      <c r="F13181" s="5"/>
      <c r="G13181" s="5"/>
    </row>
    <row r="13182" spans="1:7" ht="58.5" customHeight="1" x14ac:dyDescent="0.25">
      <c r="A13182" s="5" t="str">
        <f>"H0036627"</f>
        <v>H0036627</v>
      </c>
      <c r="B13182" s="5" t="str">
        <f t="shared" ref="B13182:B13187" si="672">"UNIDAD DE LLAMADO DE ENFERMERIA PARA BAÑO CON CORDON TIRADOR. RESISTENTE A SALPICADURAS DE AGUA Y LUZ INDICADORA DE PULSACIÓN"</f>
        <v>UNIDAD DE LLAMADO DE ENFERMERIA PARA BAÑO CON CORDON TIRADOR. RESISTENTE A SALPICADURAS DE AGUA Y LUZ INDICADORA DE PULSACIÓN</v>
      </c>
      <c r="C13182" s="6">
        <v>578500</v>
      </c>
      <c r="D13182" s="5" t="s">
        <v>200</v>
      </c>
      <c r="E13182" s="5" t="str">
        <f t="shared" si="668"/>
        <v>ACTISALUD -NEUROCIRUGIA - GUSTAVO GOMEZ</v>
      </c>
      <c r="F13182" s="5"/>
      <c r="G13182" s="5"/>
    </row>
    <row r="13183" spans="1:7" ht="58.5" customHeight="1" x14ac:dyDescent="0.25">
      <c r="A13183" s="5" t="str">
        <f>"H0036628"</f>
        <v>H0036628</v>
      </c>
      <c r="B13183" s="5" t="str">
        <f t="shared" si="672"/>
        <v>UNIDAD DE LLAMADO DE ENFERMERIA PARA BAÑO CON CORDON TIRADOR. RESISTENTE A SALPICADURAS DE AGUA Y LUZ INDICADORA DE PULSACIÓN</v>
      </c>
      <c r="C13183" s="6">
        <v>578500</v>
      </c>
      <c r="D13183" s="5" t="s">
        <v>200</v>
      </c>
      <c r="E13183" s="5" t="str">
        <f t="shared" si="668"/>
        <v>ACTISALUD -NEUROCIRUGIA - GUSTAVO GOMEZ</v>
      </c>
      <c r="F13183" s="5"/>
      <c r="G13183" s="5"/>
    </row>
    <row r="13184" spans="1:7" ht="58.5" customHeight="1" x14ac:dyDescent="0.25">
      <c r="A13184" s="5" t="str">
        <f>"H0036629"</f>
        <v>H0036629</v>
      </c>
      <c r="B13184" s="5" t="str">
        <f t="shared" si="672"/>
        <v>UNIDAD DE LLAMADO DE ENFERMERIA PARA BAÑO CON CORDON TIRADOR. RESISTENTE A SALPICADURAS DE AGUA Y LUZ INDICADORA DE PULSACIÓN</v>
      </c>
      <c r="C13184" s="6">
        <v>578500</v>
      </c>
      <c r="D13184" s="5" t="s">
        <v>200</v>
      </c>
      <c r="E13184" s="5" t="str">
        <f t="shared" si="668"/>
        <v>ACTISALUD -NEUROCIRUGIA - GUSTAVO GOMEZ</v>
      </c>
      <c r="F13184" s="5"/>
      <c r="G13184" s="5"/>
    </row>
    <row r="13185" spans="1:7" ht="58.5" customHeight="1" x14ac:dyDescent="0.25">
      <c r="A13185" s="5" t="str">
        <f>"H0036630"</f>
        <v>H0036630</v>
      </c>
      <c r="B13185" s="5" t="str">
        <f t="shared" si="672"/>
        <v>UNIDAD DE LLAMADO DE ENFERMERIA PARA BAÑO CON CORDON TIRADOR. RESISTENTE A SALPICADURAS DE AGUA Y LUZ INDICADORA DE PULSACIÓN</v>
      </c>
      <c r="C13185" s="6">
        <v>578500</v>
      </c>
      <c r="D13185" s="5" t="s">
        <v>200</v>
      </c>
      <c r="E13185" s="5" t="str">
        <f t="shared" si="668"/>
        <v>ACTISALUD -NEUROCIRUGIA - GUSTAVO GOMEZ</v>
      </c>
      <c r="F13185" s="5"/>
      <c r="G13185" s="5"/>
    </row>
    <row r="13186" spans="1:7" ht="58.5" customHeight="1" x14ac:dyDescent="0.25">
      <c r="A13186" s="5" t="str">
        <f>"H0036631"</f>
        <v>H0036631</v>
      </c>
      <c r="B13186" s="5" t="str">
        <f t="shared" si="672"/>
        <v>UNIDAD DE LLAMADO DE ENFERMERIA PARA BAÑO CON CORDON TIRADOR. RESISTENTE A SALPICADURAS DE AGUA Y LUZ INDICADORA DE PULSACIÓN</v>
      </c>
      <c r="C13186" s="6">
        <v>578500</v>
      </c>
      <c r="D13186" s="5" t="s">
        <v>200</v>
      </c>
      <c r="E13186" s="5" t="str">
        <f t="shared" si="668"/>
        <v>ACTISALUD -NEUROCIRUGIA - GUSTAVO GOMEZ</v>
      </c>
      <c r="F13186" s="5"/>
      <c r="G13186" s="5"/>
    </row>
    <row r="13187" spans="1:7" ht="58.5" customHeight="1" x14ac:dyDescent="0.25">
      <c r="A13187" s="5" t="str">
        <f>"H0036632"</f>
        <v>H0036632</v>
      </c>
      <c r="B13187" s="5" t="str">
        <f t="shared" si="672"/>
        <v>UNIDAD DE LLAMADO DE ENFERMERIA PARA BAÑO CON CORDON TIRADOR. RESISTENTE A SALPICADURAS DE AGUA Y LUZ INDICADORA DE PULSACIÓN</v>
      </c>
      <c r="C13187" s="6">
        <v>578500</v>
      </c>
      <c r="D13187" s="5" t="s">
        <v>200</v>
      </c>
      <c r="E13187" s="5" t="str">
        <f t="shared" si="668"/>
        <v>ACTISALUD -NEUROCIRUGIA - GUSTAVO GOMEZ</v>
      </c>
      <c r="F13187" s="5"/>
      <c r="G13187" s="5"/>
    </row>
    <row r="13188" spans="1:7" ht="58.5" customHeight="1" x14ac:dyDescent="0.25">
      <c r="A13188" s="5" t="str">
        <f>"H0036692"</f>
        <v>H0036692</v>
      </c>
      <c r="B13188" s="5" t="str">
        <f t="shared" ref="B13188:B13208" si="673">"UNIDAD DE LLAMADO DE ENFERMERIA PARA CAMA O BAÑO"</f>
        <v>UNIDAD DE LLAMADO DE ENFERMERIA PARA CAMA O BAÑO</v>
      </c>
      <c r="C13188" s="6">
        <v>643500</v>
      </c>
      <c r="D13188" s="5" t="s">
        <v>134</v>
      </c>
      <c r="E13188" s="5" t="str">
        <f t="shared" si="668"/>
        <v>ACTISALUD -NEUROCIRUGIA - GUSTAVO GOMEZ</v>
      </c>
      <c r="F13188" s="5"/>
      <c r="G13188" s="5"/>
    </row>
    <row r="13189" spans="1:7" ht="58.5" customHeight="1" x14ac:dyDescent="0.25">
      <c r="A13189" s="5" t="str">
        <f>"H0036693"</f>
        <v>H0036693</v>
      </c>
      <c r="B13189" s="5" t="str">
        <f t="shared" si="673"/>
        <v>UNIDAD DE LLAMADO DE ENFERMERIA PARA CAMA O BAÑO</v>
      </c>
      <c r="C13189" s="6">
        <v>643500</v>
      </c>
      <c r="D13189" s="5" t="s">
        <v>134</v>
      </c>
      <c r="E13189" s="5" t="str">
        <f t="shared" ref="E13189:E13226" si="674">"ACTISALUD -NEUROCIRUGIA - GUSTAVO GOMEZ"</f>
        <v>ACTISALUD -NEUROCIRUGIA - GUSTAVO GOMEZ</v>
      </c>
      <c r="F13189" s="5"/>
      <c r="G13189" s="5"/>
    </row>
    <row r="13190" spans="1:7" ht="58.5" customHeight="1" x14ac:dyDescent="0.25">
      <c r="A13190" s="5" t="str">
        <f>"H0036694"</f>
        <v>H0036694</v>
      </c>
      <c r="B13190" s="5" t="str">
        <f t="shared" si="673"/>
        <v>UNIDAD DE LLAMADO DE ENFERMERIA PARA CAMA O BAÑO</v>
      </c>
      <c r="C13190" s="6">
        <v>643500</v>
      </c>
      <c r="D13190" s="5" t="s">
        <v>134</v>
      </c>
      <c r="E13190" s="5" t="str">
        <f t="shared" si="674"/>
        <v>ACTISALUD -NEUROCIRUGIA - GUSTAVO GOMEZ</v>
      </c>
      <c r="F13190" s="5"/>
      <c r="G13190" s="5"/>
    </row>
    <row r="13191" spans="1:7" ht="58.5" customHeight="1" x14ac:dyDescent="0.25">
      <c r="A13191" s="5" t="str">
        <f>"H0036695"</f>
        <v>H0036695</v>
      </c>
      <c r="B13191" s="5" t="str">
        <f t="shared" si="673"/>
        <v>UNIDAD DE LLAMADO DE ENFERMERIA PARA CAMA O BAÑO</v>
      </c>
      <c r="C13191" s="6">
        <v>643500</v>
      </c>
      <c r="D13191" s="5" t="s">
        <v>134</v>
      </c>
      <c r="E13191" s="5" t="str">
        <f t="shared" si="674"/>
        <v>ACTISALUD -NEUROCIRUGIA - GUSTAVO GOMEZ</v>
      </c>
      <c r="F13191" s="5"/>
      <c r="G13191" s="5"/>
    </row>
    <row r="13192" spans="1:7" ht="58.5" customHeight="1" x14ac:dyDescent="0.25">
      <c r="A13192" s="5" t="str">
        <f>"H0036696"</f>
        <v>H0036696</v>
      </c>
      <c r="B13192" s="5" t="str">
        <f t="shared" si="673"/>
        <v>UNIDAD DE LLAMADO DE ENFERMERIA PARA CAMA O BAÑO</v>
      </c>
      <c r="C13192" s="6">
        <v>643500</v>
      </c>
      <c r="D13192" s="5" t="s">
        <v>134</v>
      </c>
      <c r="E13192" s="5" t="str">
        <f t="shared" si="674"/>
        <v>ACTISALUD -NEUROCIRUGIA - GUSTAVO GOMEZ</v>
      </c>
      <c r="F13192" s="5"/>
      <c r="G13192" s="5"/>
    </row>
    <row r="13193" spans="1:7" ht="58.5" customHeight="1" x14ac:dyDescent="0.25">
      <c r="A13193" s="5" t="str">
        <f>"H0036697"</f>
        <v>H0036697</v>
      </c>
      <c r="B13193" s="5" t="str">
        <f t="shared" si="673"/>
        <v>UNIDAD DE LLAMADO DE ENFERMERIA PARA CAMA O BAÑO</v>
      </c>
      <c r="C13193" s="6">
        <v>643500</v>
      </c>
      <c r="D13193" s="5" t="s">
        <v>704</v>
      </c>
      <c r="E13193" s="5" t="str">
        <f t="shared" si="674"/>
        <v>ACTISALUD -NEUROCIRUGIA - GUSTAVO GOMEZ</v>
      </c>
      <c r="F13193" s="5"/>
      <c r="G13193" s="5"/>
    </row>
    <row r="13194" spans="1:7" ht="58.5" customHeight="1" x14ac:dyDescent="0.25">
      <c r="A13194" s="5" t="str">
        <f>"H0036698"</f>
        <v>H0036698</v>
      </c>
      <c r="B13194" s="5" t="str">
        <f t="shared" si="673"/>
        <v>UNIDAD DE LLAMADO DE ENFERMERIA PARA CAMA O BAÑO</v>
      </c>
      <c r="C13194" s="6">
        <v>643500</v>
      </c>
      <c r="D13194" s="5" t="s">
        <v>134</v>
      </c>
      <c r="E13194" s="5" t="str">
        <f t="shared" si="674"/>
        <v>ACTISALUD -NEUROCIRUGIA - GUSTAVO GOMEZ</v>
      </c>
      <c r="F13194" s="5"/>
      <c r="G13194" s="5"/>
    </row>
    <row r="13195" spans="1:7" ht="58.5" customHeight="1" x14ac:dyDescent="0.25">
      <c r="A13195" s="5" t="str">
        <f>"H0036699"</f>
        <v>H0036699</v>
      </c>
      <c r="B13195" s="5" t="str">
        <f t="shared" si="673"/>
        <v>UNIDAD DE LLAMADO DE ENFERMERIA PARA CAMA O BAÑO</v>
      </c>
      <c r="C13195" s="6">
        <v>643500</v>
      </c>
      <c r="D13195" s="5" t="s">
        <v>134</v>
      </c>
      <c r="E13195" s="5" t="str">
        <f t="shared" si="674"/>
        <v>ACTISALUD -NEUROCIRUGIA - GUSTAVO GOMEZ</v>
      </c>
      <c r="F13195" s="5"/>
      <c r="G13195" s="5"/>
    </row>
    <row r="13196" spans="1:7" ht="58.5" customHeight="1" x14ac:dyDescent="0.25">
      <c r="A13196" s="5" t="str">
        <f>"H0036700"</f>
        <v>H0036700</v>
      </c>
      <c r="B13196" s="5" t="str">
        <f t="shared" si="673"/>
        <v>UNIDAD DE LLAMADO DE ENFERMERIA PARA CAMA O BAÑO</v>
      </c>
      <c r="C13196" s="6">
        <v>643500</v>
      </c>
      <c r="D13196" s="5" t="s">
        <v>134</v>
      </c>
      <c r="E13196" s="5" t="str">
        <f t="shared" si="674"/>
        <v>ACTISALUD -NEUROCIRUGIA - GUSTAVO GOMEZ</v>
      </c>
      <c r="F13196" s="5"/>
      <c r="G13196" s="5"/>
    </row>
    <row r="13197" spans="1:7" ht="58.5" customHeight="1" x14ac:dyDescent="0.25">
      <c r="A13197" s="5" t="str">
        <f>"H0036701"</f>
        <v>H0036701</v>
      </c>
      <c r="B13197" s="5" t="str">
        <f t="shared" si="673"/>
        <v>UNIDAD DE LLAMADO DE ENFERMERIA PARA CAMA O BAÑO</v>
      </c>
      <c r="C13197" s="6">
        <v>643500</v>
      </c>
      <c r="D13197" s="5" t="s">
        <v>134</v>
      </c>
      <c r="E13197" s="5" t="str">
        <f t="shared" si="674"/>
        <v>ACTISALUD -NEUROCIRUGIA - GUSTAVO GOMEZ</v>
      </c>
      <c r="F13197" s="5"/>
      <c r="G13197" s="5"/>
    </row>
    <row r="13198" spans="1:7" ht="58.5" customHeight="1" x14ac:dyDescent="0.25">
      <c r="A13198" s="5" t="str">
        <f>"H0036702"</f>
        <v>H0036702</v>
      </c>
      <c r="B13198" s="5" t="str">
        <f t="shared" si="673"/>
        <v>UNIDAD DE LLAMADO DE ENFERMERIA PARA CAMA O BAÑO</v>
      </c>
      <c r="C13198" s="6">
        <v>643500</v>
      </c>
      <c r="D13198" s="5" t="s">
        <v>134</v>
      </c>
      <c r="E13198" s="5" t="str">
        <f t="shared" si="674"/>
        <v>ACTISALUD -NEUROCIRUGIA - GUSTAVO GOMEZ</v>
      </c>
      <c r="F13198" s="5"/>
      <c r="G13198" s="5"/>
    </row>
    <row r="13199" spans="1:7" ht="58.5" customHeight="1" x14ac:dyDescent="0.25">
      <c r="A13199" s="5" t="str">
        <f>"H0036703"</f>
        <v>H0036703</v>
      </c>
      <c r="B13199" s="5" t="str">
        <f t="shared" si="673"/>
        <v>UNIDAD DE LLAMADO DE ENFERMERIA PARA CAMA O BAÑO</v>
      </c>
      <c r="C13199" s="6">
        <v>643500</v>
      </c>
      <c r="D13199" s="5" t="s">
        <v>134</v>
      </c>
      <c r="E13199" s="5" t="str">
        <f t="shared" si="674"/>
        <v>ACTISALUD -NEUROCIRUGIA - GUSTAVO GOMEZ</v>
      </c>
      <c r="F13199" s="5"/>
      <c r="G13199" s="5"/>
    </row>
    <row r="13200" spans="1:7" ht="58.5" customHeight="1" x14ac:dyDescent="0.25">
      <c r="A13200" s="5" t="str">
        <f>"H0036704"</f>
        <v>H0036704</v>
      </c>
      <c r="B13200" s="5" t="str">
        <f t="shared" si="673"/>
        <v>UNIDAD DE LLAMADO DE ENFERMERIA PARA CAMA O BAÑO</v>
      </c>
      <c r="C13200" s="6">
        <v>643500</v>
      </c>
      <c r="D13200" s="5" t="s">
        <v>134</v>
      </c>
      <c r="E13200" s="5" t="str">
        <f t="shared" si="674"/>
        <v>ACTISALUD -NEUROCIRUGIA - GUSTAVO GOMEZ</v>
      </c>
      <c r="F13200" s="5"/>
      <c r="G13200" s="5"/>
    </row>
    <row r="13201" spans="1:7" ht="58.5" customHeight="1" x14ac:dyDescent="0.25">
      <c r="A13201" s="5" t="str">
        <f>"H0036705"</f>
        <v>H0036705</v>
      </c>
      <c r="B13201" s="5" t="str">
        <f t="shared" si="673"/>
        <v>UNIDAD DE LLAMADO DE ENFERMERIA PARA CAMA O BAÑO</v>
      </c>
      <c r="C13201" s="6">
        <v>643500</v>
      </c>
      <c r="D13201" s="5" t="s">
        <v>134</v>
      </c>
      <c r="E13201" s="5" t="str">
        <f t="shared" si="674"/>
        <v>ACTISALUD -NEUROCIRUGIA - GUSTAVO GOMEZ</v>
      </c>
      <c r="F13201" s="5"/>
      <c r="G13201" s="5"/>
    </row>
    <row r="13202" spans="1:7" ht="58.5" customHeight="1" x14ac:dyDescent="0.25">
      <c r="A13202" s="5" t="str">
        <f>"H0036706"</f>
        <v>H0036706</v>
      </c>
      <c r="B13202" s="5" t="str">
        <f t="shared" si="673"/>
        <v>UNIDAD DE LLAMADO DE ENFERMERIA PARA CAMA O BAÑO</v>
      </c>
      <c r="C13202" s="6">
        <v>643500</v>
      </c>
      <c r="D13202" s="5" t="s">
        <v>134</v>
      </c>
      <c r="E13202" s="5" t="str">
        <f t="shared" si="674"/>
        <v>ACTISALUD -NEUROCIRUGIA - GUSTAVO GOMEZ</v>
      </c>
      <c r="F13202" s="5"/>
      <c r="G13202" s="5"/>
    </row>
    <row r="13203" spans="1:7" ht="58.5" customHeight="1" x14ac:dyDescent="0.25">
      <c r="A13203" s="5" t="str">
        <f>"H0036707"</f>
        <v>H0036707</v>
      </c>
      <c r="B13203" s="5" t="str">
        <f t="shared" si="673"/>
        <v>UNIDAD DE LLAMADO DE ENFERMERIA PARA CAMA O BAÑO</v>
      </c>
      <c r="C13203" s="6">
        <v>643500</v>
      </c>
      <c r="D13203" s="5" t="s">
        <v>134</v>
      </c>
      <c r="E13203" s="5" t="str">
        <f t="shared" si="674"/>
        <v>ACTISALUD -NEUROCIRUGIA - GUSTAVO GOMEZ</v>
      </c>
      <c r="F13203" s="5"/>
      <c r="G13203" s="5"/>
    </row>
    <row r="13204" spans="1:7" ht="58.5" customHeight="1" x14ac:dyDescent="0.25">
      <c r="A13204" s="5" t="str">
        <f>"H0036708"</f>
        <v>H0036708</v>
      </c>
      <c r="B13204" s="5" t="str">
        <f t="shared" si="673"/>
        <v>UNIDAD DE LLAMADO DE ENFERMERIA PARA CAMA O BAÑO</v>
      </c>
      <c r="C13204" s="6">
        <v>643500</v>
      </c>
      <c r="D13204" s="5" t="s">
        <v>134</v>
      </c>
      <c r="E13204" s="5" t="str">
        <f t="shared" si="674"/>
        <v>ACTISALUD -NEUROCIRUGIA - GUSTAVO GOMEZ</v>
      </c>
      <c r="F13204" s="5"/>
      <c r="G13204" s="5"/>
    </row>
    <row r="13205" spans="1:7" ht="58.5" customHeight="1" x14ac:dyDescent="0.25">
      <c r="A13205" s="5" t="str">
        <f>"H0036709"</f>
        <v>H0036709</v>
      </c>
      <c r="B13205" s="5" t="str">
        <f t="shared" si="673"/>
        <v>UNIDAD DE LLAMADO DE ENFERMERIA PARA CAMA O BAÑO</v>
      </c>
      <c r="C13205" s="6">
        <v>643500</v>
      </c>
      <c r="D13205" s="5" t="s">
        <v>134</v>
      </c>
      <c r="E13205" s="5" t="str">
        <f t="shared" si="674"/>
        <v>ACTISALUD -NEUROCIRUGIA - GUSTAVO GOMEZ</v>
      </c>
      <c r="F13205" s="5"/>
      <c r="G13205" s="5"/>
    </row>
    <row r="13206" spans="1:7" ht="58.5" customHeight="1" x14ac:dyDescent="0.25">
      <c r="A13206" s="5" t="str">
        <f>"H0036710"</f>
        <v>H0036710</v>
      </c>
      <c r="B13206" s="5" t="str">
        <f t="shared" si="673"/>
        <v>UNIDAD DE LLAMADO DE ENFERMERIA PARA CAMA O BAÑO</v>
      </c>
      <c r="C13206" s="6">
        <v>643500</v>
      </c>
      <c r="D13206" s="5" t="s">
        <v>134</v>
      </c>
      <c r="E13206" s="5" t="str">
        <f t="shared" si="674"/>
        <v>ACTISALUD -NEUROCIRUGIA - GUSTAVO GOMEZ</v>
      </c>
      <c r="F13206" s="5"/>
      <c r="G13206" s="5"/>
    </row>
    <row r="13207" spans="1:7" ht="58.5" customHeight="1" x14ac:dyDescent="0.25">
      <c r="A13207" s="5" t="str">
        <f>"H0036711"</f>
        <v>H0036711</v>
      </c>
      <c r="B13207" s="5" t="str">
        <f t="shared" si="673"/>
        <v>UNIDAD DE LLAMADO DE ENFERMERIA PARA CAMA O BAÑO</v>
      </c>
      <c r="C13207" s="6">
        <v>643500</v>
      </c>
      <c r="D13207" s="5" t="s">
        <v>134</v>
      </c>
      <c r="E13207" s="5" t="str">
        <f t="shared" si="674"/>
        <v>ACTISALUD -NEUROCIRUGIA - GUSTAVO GOMEZ</v>
      </c>
      <c r="F13207" s="5"/>
      <c r="G13207" s="5"/>
    </row>
    <row r="13208" spans="1:7" ht="58.5" customHeight="1" x14ac:dyDescent="0.25">
      <c r="A13208" s="5" t="str">
        <f>"H0036712"</f>
        <v>H0036712</v>
      </c>
      <c r="B13208" s="5" t="str">
        <f t="shared" si="673"/>
        <v>UNIDAD DE LLAMADO DE ENFERMERIA PARA CAMA O BAÑO</v>
      </c>
      <c r="C13208" s="6">
        <v>643500</v>
      </c>
      <c r="D13208" s="5" t="s">
        <v>134</v>
      </c>
      <c r="E13208" s="5" t="str">
        <f t="shared" si="674"/>
        <v>ACTISALUD -NEUROCIRUGIA - GUSTAVO GOMEZ</v>
      </c>
      <c r="F13208" s="5"/>
      <c r="G13208" s="5"/>
    </row>
    <row r="13209" spans="1:7" ht="58.5" customHeight="1" x14ac:dyDescent="0.25">
      <c r="A13209" s="5" t="str">
        <f>"H0036866"</f>
        <v>H0036866</v>
      </c>
      <c r="B13209" s="5" t="str">
        <f>"PANTALLA RECEPTORA DE LLAMADO DE ENFERMERIA"</f>
        <v>PANTALLA RECEPTORA DE LLAMADO DE ENFERMERIA</v>
      </c>
      <c r="C13209" s="6">
        <v>4895000</v>
      </c>
      <c r="D13209" s="5" t="s">
        <v>200</v>
      </c>
      <c r="E13209" s="5" t="str">
        <f t="shared" si="674"/>
        <v>ACTISALUD -NEUROCIRUGIA - GUSTAVO GOMEZ</v>
      </c>
      <c r="F13209" s="5"/>
      <c r="G13209" s="5"/>
    </row>
    <row r="13210" spans="1:7" ht="58.5" customHeight="1" x14ac:dyDescent="0.25">
      <c r="A13210" s="5" t="str">
        <f>"H0037117"</f>
        <v>H0037117</v>
      </c>
      <c r="B13210" s="5" t="str">
        <f>"TALLIMETRO CAPACIDAD 20-205 CM (DONACION)"</f>
        <v>TALLIMETRO CAPACIDAD 20-205 CM (DONACION)</v>
      </c>
      <c r="C13210" s="6">
        <v>1254705.99</v>
      </c>
      <c r="D13210" s="5" t="s">
        <v>136</v>
      </c>
      <c r="E13210" s="5" t="str">
        <f t="shared" si="674"/>
        <v>ACTISALUD -NEUROCIRUGIA - GUSTAVO GOMEZ</v>
      </c>
      <c r="F13210" s="5"/>
      <c r="G13210" s="5"/>
    </row>
    <row r="13211" spans="1:7" ht="58.5" customHeight="1" x14ac:dyDescent="0.25">
      <c r="A13211" s="5" t="str">
        <f>"H0037185"</f>
        <v>H0037185</v>
      </c>
      <c r="B13211" s="5" t="str">
        <f>"BASCULA: Capacidad: 200 kg, División: 100 g &lt; 150 kg &gt; 200 g, Dimensiones (AxAxP):321 x 61 x 362 mm, Peso: 4,1 kg"</f>
        <v>BASCULA: Capacidad: 200 kg, División: 100 g &lt; 150 kg &gt; 200 g, Dimensiones (AxAxP):321 x 61 x 362 mm, Peso: 4,1 kg</v>
      </c>
      <c r="C13211" s="6">
        <v>3588386.01</v>
      </c>
      <c r="D13211" s="5" t="s">
        <v>160</v>
      </c>
      <c r="E13211" s="5" t="str">
        <f t="shared" si="674"/>
        <v>ACTISALUD -NEUROCIRUGIA - GUSTAVO GOMEZ</v>
      </c>
      <c r="F13211" s="5"/>
      <c r="G13211" s="5"/>
    </row>
    <row r="13212" spans="1:7" ht="58.5" customHeight="1" x14ac:dyDescent="0.25">
      <c r="A13212" s="5" t="str">
        <f>"H0037481"</f>
        <v>H0037481</v>
      </c>
      <c r="B13212" s="5" t="str">
        <f>"VENTILADOR DE PARED"</f>
        <v>VENTILADOR DE PARED</v>
      </c>
      <c r="C13212" s="6">
        <v>286671</v>
      </c>
      <c r="D13212" s="5" t="s">
        <v>139</v>
      </c>
      <c r="E13212" s="5" t="str">
        <f t="shared" si="674"/>
        <v>ACTISALUD -NEUROCIRUGIA - GUSTAVO GOMEZ</v>
      </c>
      <c r="F13212" s="5"/>
      <c r="G13212" s="5"/>
    </row>
    <row r="13213" spans="1:7" ht="58.5" customHeight="1" x14ac:dyDescent="0.25">
      <c r="A13213" s="5" t="str">
        <f>"H0037507"</f>
        <v>H0037507</v>
      </c>
      <c r="B13213" s="5" t="str">
        <f>"VENTILADOR DE PARED"</f>
        <v>VENTILADOR DE PARED</v>
      </c>
      <c r="C13213" s="6">
        <v>286671</v>
      </c>
      <c r="D13213" s="5" t="s">
        <v>139</v>
      </c>
      <c r="E13213" s="5" t="str">
        <f t="shared" si="674"/>
        <v>ACTISALUD -NEUROCIRUGIA - GUSTAVO GOMEZ</v>
      </c>
      <c r="F13213" s="5"/>
      <c r="G13213" s="5"/>
    </row>
    <row r="13214" spans="1:7" ht="58.5" customHeight="1" x14ac:dyDescent="0.25">
      <c r="A13214" s="5" t="str">
        <f>"H0037508"</f>
        <v>H0037508</v>
      </c>
      <c r="B13214" s="5" t="str">
        <f>"VENTILADOR DE PARED"</f>
        <v>VENTILADOR DE PARED</v>
      </c>
      <c r="C13214" s="6">
        <v>286671</v>
      </c>
      <c r="D13214" s="5" t="s">
        <v>139</v>
      </c>
      <c r="E13214" s="5" t="str">
        <f t="shared" si="674"/>
        <v>ACTISALUD -NEUROCIRUGIA - GUSTAVO GOMEZ</v>
      </c>
      <c r="F13214" s="5"/>
      <c r="G13214" s="5"/>
    </row>
    <row r="13215" spans="1:7" ht="58.5" customHeight="1" x14ac:dyDescent="0.25">
      <c r="A13215" s="5" t="str">
        <f>"H0037523"</f>
        <v>H0037523</v>
      </c>
      <c r="B13215" s="5" t="str">
        <f>"VENTILADOR DE PARED"</f>
        <v>VENTILADOR DE PARED</v>
      </c>
      <c r="C13215" s="6">
        <v>286671</v>
      </c>
      <c r="D13215" s="5" t="s">
        <v>139</v>
      </c>
      <c r="E13215" s="5" t="str">
        <f t="shared" si="674"/>
        <v>ACTISALUD -NEUROCIRUGIA - GUSTAVO GOMEZ</v>
      </c>
      <c r="F13215" s="5"/>
      <c r="G13215" s="5"/>
    </row>
    <row r="13216" spans="1:7" ht="58.5" customHeight="1" x14ac:dyDescent="0.25">
      <c r="A13216" s="5" t="str">
        <f>"H0037556"</f>
        <v>H0037556</v>
      </c>
      <c r="B13216" s="5" t="str">
        <f>"VENTILADOR DE PEDESTAL"</f>
        <v>VENTILADOR DE PEDESTAL</v>
      </c>
      <c r="C13216" s="6">
        <v>305000.55</v>
      </c>
      <c r="D13216" s="5" t="s">
        <v>140</v>
      </c>
      <c r="E13216" s="5" t="str">
        <f t="shared" si="674"/>
        <v>ACTISALUD -NEUROCIRUGIA - GUSTAVO GOMEZ</v>
      </c>
      <c r="F13216" s="5"/>
      <c r="G13216" s="5"/>
    </row>
    <row r="13217" spans="1:7" ht="58.5" customHeight="1" x14ac:dyDescent="0.25">
      <c r="A13217" s="5" t="str">
        <f>"H0037600"</f>
        <v>H0037600</v>
      </c>
      <c r="B13217" s="5" t="str">
        <f>"VENTILADOR PEDESTAL SAMURAI (CODIGO DONACION)"</f>
        <v>VENTILADOR PEDESTAL SAMURAI (CODIGO DONACION)</v>
      </c>
      <c r="C13217" s="6">
        <v>210000</v>
      </c>
      <c r="D13217" s="5" t="s">
        <v>141</v>
      </c>
      <c r="E13217" s="5" t="str">
        <f t="shared" si="674"/>
        <v>ACTISALUD -NEUROCIRUGIA - GUSTAVO GOMEZ</v>
      </c>
      <c r="F13217" s="5"/>
      <c r="G13217" s="5"/>
    </row>
    <row r="13218" spans="1:7" ht="58.5" customHeight="1" x14ac:dyDescent="0.25">
      <c r="A13218" s="5" t="str">
        <f>"H0037601"</f>
        <v>H0037601</v>
      </c>
      <c r="B13218" s="5" t="str">
        <f>"VENTILADOR PEDESTAL SAMURAI (CODIGO DONACION)"</f>
        <v>VENTILADOR PEDESTAL SAMURAI (CODIGO DONACION)</v>
      </c>
      <c r="C13218" s="6">
        <v>210000</v>
      </c>
      <c r="D13218" s="5" t="s">
        <v>141</v>
      </c>
      <c r="E13218" s="5" t="str">
        <f t="shared" si="674"/>
        <v>ACTISALUD -NEUROCIRUGIA - GUSTAVO GOMEZ</v>
      </c>
      <c r="F13218" s="5"/>
      <c r="G13218" s="5"/>
    </row>
    <row r="13219" spans="1:7" ht="58.5" customHeight="1" x14ac:dyDescent="0.25">
      <c r="A13219" s="5" t="str">
        <f>"H0037784"</f>
        <v>H0037784</v>
      </c>
      <c r="B13219" s="5" t="str">
        <f>"SILLA GERENTE NIZA MEC. BASCULANTE CON BRAZOS."</f>
        <v>SILLA GERENTE NIZA MEC. BASCULANTE CON BRAZOS.</v>
      </c>
      <c r="C13219" s="6">
        <v>710000.01</v>
      </c>
      <c r="D13219" s="5" t="s">
        <v>30</v>
      </c>
      <c r="E13219" s="5" t="str">
        <f t="shared" si="674"/>
        <v>ACTISALUD -NEUROCIRUGIA - GUSTAVO GOMEZ</v>
      </c>
      <c r="F13219" s="5"/>
      <c r="G13219" s="5"/>
    </row>
    <row r="13220" spans="1:7" ht="58.5" customHeight="1" x14ac:dyDescent="0.25">
      <c r="A13220" s="5" t="str">
        <f>"H0037785"</f>
        <v>H0037785</v>
      </c>
      <c r="B13220" s="5" t="str">
        <f>"SILLA GERENTE NIZA MEC. BASCULANTE CON BRAZOS."</f>
        <v>SILLA GERENTE NIZA MEC. BASCULANTE CON BRAZOS.</v>
      </c>
      <c r="C13220" s="6">
        <v>710000.01</v>
      </c>
      <c r="D13220" s="5" t="s">
        <v>30</v>
      </c>
      <c r="E13220" s="5" t="str">
        <f t="shared" si="674"/>
        <v>ACTISALUD -NEUROCIRUGIA - GUSTAVO GOMEZ</v>
      </c>
      <c r="F13220" s="5"/>
      <c r="G13220" s="5"/>
    </row>
    <row r="13221" spans="1:7" ht="58.5" customHeight="1" x14ac:dyDescent="0.25">
      <c r="A13221" s="5" t="str">
        <f>"V000022"</f>
        <v>V000022</v>
      </c>
      <c r="B13221" s="5" t="str">
        <f t="shared" ref="B13221:B13226" si="675">"LAMPARA DE PASILLO DE LLAMADO DE ENFERMERIA"</f>
        <v>LAMPARA DE PASILLO DE LLAMADO DE ENFERMERIA</v>
      </c>
      <c r="C13221" s="6">
        <v>934000</v>
      </c>
      <c r="D13221" s="5" t="s">
        <v>205</v>
      </c>
      <c r="E13221" s="5" t="str">
        <f t="shared" si="674"/>
        <v>ACTISALUD -NEUROCIRUGIA - GUSTAVO GOMEZ</v>
      </c>
      <c r="F13221" s="5"/>
      <c r="G13221" s="5"/>
    </row>
    <row r="13222" spans="1:7" ht="58.5" customHeight="1" x14ac:dyDescent="0.25">
      <c r="A13222" s="5" t="str">
        <f>"V000023"</f>
        <v>V000023</v>
      </c>
      <c r="B13222" s="5" t="str">
        <f t="shared" si="675"/>
        <v>LAMPARA DE PASILLO DE LLAMADO DE ENFERMERIA</v>
      </c>
      <c r="C13222" s="6">
        <v>934000</v>
      </c>
      <c r="D13222" s="5" t="s">
        <v>205</v>
      </c>
      <c r="E13222" s="5" t="str">
        <f t="shared" si="674"/>
        <v>ACTISALUD -NEUROCIRUGIA - GUSTAVO GOMEZ</v>
      </c>
      <c r="F13222" s="5"/>
      <c r="G13222" s="5"/>
    </row>
    <row r="13223" spans="1:7" ht="58.5" customHeight="1" x14ac:dyDescent="0.25">
      <c r="A13223" s="5" t="str">
        <f>"V000024"</f>
        <v>V000024</v>
      </c>
      <c r="B13223" s="5" t="str">
        <f t="shared" si="675"/>
        <v>LAMPARA DE PASILLO DE LLAMADO DE ENFERMERIA</v>
      </c>
      <c r="C13223" s="6">
        <v>934000</v>
      </c>
      <c r="D13223" s="5" t="s">
        <v>205</v>
      </c>
      <c r="E13223" s="5" t="str">
        <f t="shared" si="674"/>
        <v>ACTISALUD -NEUROCIRUGIA - GUSTAVO GOMEZ</v>
      </c>
      <c r="F13223" s="5"/>
      <c r="G13223" s="5"/>
    </row>
    <row r="13224" spans="1:7" ht="58.5" customHeight="1" x14ac:dyDescent="0.25">
      <c r="A13224" s="5" t="str">
        <f>"V000025"</f>
        <v>V000025</v>
      </c>
      <c r="B13224" s="5" t="str">
        <f t="shared" si="675"/>
        <v>LAMPARA DE PASILLO DE LLAMADO DE ENFERMERIA</v>
      </c>
      <c r="C13224" s="6">
        <v>934000</v>
      </c>
      <c r="D13224" s="5" t="s">
        <v>205</v>
      </c>
      <c r="E13224" s="5" t="str">
        <f t="shared" si="674"/>
        <v>ACTISALUD -NEUROCIRUGIA - GUSTAVO GOMEZ</v>
      </c>
      <c r="F13224" s="5"/>
      <c r="G13224" s="5"/>
    </row>
    <row r="13225" spans="1:7" ht="58.5" customHeight="1" x14ac:dyDescent="0.25">
      <c r="A13225" s="5" t="str">
        <f>"V000026"</f>
        <v>V000026</v>
      </c>
      <c r="B13225" s="5" t="str">
        <f t="shared" si="675"/>
        <v>LAMPARA DE PASILLO DE LLAMADO DE ENFERMERIA</v>
      </c>
      <c r="C13225" s="6">
        <v>934000</v>
      </c>
      <c r="D13225" s="5" t="s">
        <v>205</v>
      </c>
      <c r="E13225" s="5" t="str">
        <f t="shared" si="674"/>
        <v>ACTISALUD -NEUROCIRUGIA - GUSTAVO GOMEZ</v>
      </c>
      <c r="F13225" s="5"/>
      <c r="G13225" s="5"/>
    </row>
    <row r="13226" spans="1:7" ht="58.5" customHeight="1" x14ac:dyDescent="0.25">
      <c r="A13226" s="5" t="str">
        <f>"V000027"</f>
        <v>V000027</v>
      </c>
      <c r="B13226" s="5" t="str">
        <f t="shared" si="675"/>
        <v>LAMPARA DE PASILLO DE LLAMADO DE ENFERMERIA</v>
      </c>
      <c r="C13226" s="6">
        <v>934000</v>
      </c>
      <c r="D13226" s="5" t="s">
        <v>205</v>
      </c>
      <c r="E13226" s="5" t="str">
        <f t="shared" si="674"/>
        <v>ACTISALUD -NEUROCIRUGIA - GUSTAVO GOMEZ</v>
      </c>
      <c r="F13226" s="5"/>
      <c r="G13226" s="5"/>
    </row>
    <row r="13227" spans="1:7" ht="58.5" customHeight="1" x14ac:dyDescent="0.25">
      <c r="A13227" s="5" t="str">
        <f>"H0000453"</f>
        <v>H0000453</v>
      </c>
      <c r="B13227" s="5" t="str">
        <f>"ATRIL PORTASUERO MOVIL"</f>
        <v>ATRIL PORTASUERO MOVIL</v>
      </c>
      <c r="C13227" s="6">
        <v>5331.43</v>
      </c>
      <c r="D13227" s="5"/>
      <c r="E13227" s="5" t="str">
        <f t="shared" ref="E13227:E13233" si="676">"ONCOLOGIA-GLORIA NANCY JAIMES"</f>
        <v>ONCOLOGIA-GLORIA NANCY JAIMES</v>
      </c>
      <c r="F13227" s="5" t="str">
        <f>"Descripcion: ATRIL 184 CM Estado: Bueno Placa anterior: 000006036 Material: ACERO Color: PLATA Referencia:  Observacion:  Placa padre: Tipo adquisicion: Entidad"</f>
        <v>Descripcion: ATRIL 184 CM Estado: Bueno Placa anterior: 000006036 Material: ACERO Color: PLATA Referencia:  Observacion:  Placa padre: Tipo adquisicion: Entidad</v>
      </c>
      <c r="G13227" s="5"/>
    </row>
    <row r="13228" spans="1:7" ht="58.5" customHeight="1" x14ac:dyDescent="0.25">
      <c r="A13228" s="5" t="str">
        <f>"H0000464"</f>
        <v>H0000464</v>
      </c>
      <c r="B13228" s="5" t="str">
        <f>"AIRE ACONDICIONADO TIPO SPLIT 12000 BTU"</f>
        <v>AIRE ACONDICIONADO TIPO SPLIT 12000 BTU</v>
      </c>
      <c r="C13228" s="6">
        <v>1836280</v>
      </c>
      <c r="D13228" s="5" t="s">
        <v>52</v>
      </c>
      <c r="E13228" s="5" t="str">
        <f t="shared" si="676"/>
        <v>ONCOLOGIA-GLORIA NANCY JAIMES</v>
      </c>
      <c r="F13228" s="5" t="str">
        <f>"Descripcion: AIRE ACODICIONADO BTU 12000 Estado: Bueno Placa anterior: 000036383 Material: PASTA Color: BLANCO Referencia:  Observacion:  Placa padre: Tipo adquisicion: Entidad"</f>
        <v>Descripcion: AIRE ACODICIONADO BTU 12000 Estado: Bueno Placa anterior: 000036383 Material: PASTA Color: BLANCO Referencia:  Observacion:  Placa padre: Tipo adquisicion: Entidad</v>
      </c>
      <c r="G13228" s="5" t="str">
        <f>"VM12CEN B3"</f>
        <v>VM12CEN B3</v>
      </c>
    </row>
    <row r="13229" spans="1:7" ht="58.5" customHeight="1" x14ac:dyDescent="0.25">
      <c r="A13229" s="5" t="str">
        <f>"H0000499"</f>
        <v>H0000499</v>
      </c>
      <c r="B13229" s="5" t="str">
        <f>"SILLA PLASTICA CON BRAZOS"</f>
        <v>SILLA PLASTICA CON BRAZOS</v>
      </c>
      <c r="C13229" s="6">
        <v>14000</v>
      </c>
      <c r="D13229" s="5"/>
      <c r="E13229" s="5" t="str">
        <f t="shared" si="676"/>
        <v>ONCOLOGIA-GLORIA NANCY JAIMES</v>
      </c>
      <c r="F13229" s="5" t="str">
        <f>"Descripcion: SILLA PLASTICA BLANCA Estado: Bueno Placa anterior: 000006024 Material: PLASTICA Color: BLANCA Referencia:  Observacion:  Placa padre: Tipo adquisicion: Entidad"</f>
        <v>Descripcion: SILLA PLASTICA BLANCA Estado: Bueno Placa anterior: 000006024 Material: PLASTICA Color: BLANCA Referencia:  Observacion:  Placa padre: Tipo adquisicion: Entidad</v>
      </c>
      <c r="G13229" s="5"/>
    </row>
    <row r="13230" spans="1:7" ht="58.5" customHeight="1" x14ac:dyDescent="0.25">
      <c r="A13230" s="5" t="str">
        <f>"H0020662"</f>
        <v>H0020662</v>
      </c>
      <c r="B13230" s="5" t="str">
        <f>"SILLA TANDEM DE 3 PUESTOS"</f>
        <v>SILLA TANDEM DE 3 PUESTOS</v>
      </c>
      <c r="C13230" s="6">
        <v>10780</v>
      </c>
      <c r="D13230" s="5"/>
      <c r="E13230" s="5" t="str">
        <f t="shared" si="676"/>
        <v>ONCOLOGIA-GLORIA NANCY JAIMES</v>
      </c>
      <c r="F13230" s="5" t="str">
        <f>"Descripcion: . Estado: Bueno Placa anterior: 000009483 Material: PASTA Color: BLANCO Referencia:  Observacion:  Placa padre: Tipo adquisicion: Entidad"</f>
        <v>Descripcion: . Estado: Bueno Placa anterior: 000009483 Material: PASTA Color: BLANCO Referencia:  Observacion:  Placa padre: Tipo adquisicion: Entidad</v>
      </c>
      <c r="G13230" s="5"/>
    </row>
    <row r="13231" spans="1:7" ht="58.5" customHeight="1" x14ac:dyDescent="0.25">
      <c r="A13231" s="5" t="str">
        <f>"H0020663"</f>
        <v>H0020663</v>
      </c>
      <c r="B13231" s="5" t="str">
        <f>"SILLA TANDEM DE 3 PUESTOS"</f>
        <v>SILLA TANDEM DE 3 PUESTOS</v>
      </c>
      <c r="C13231" s="6">
        <v>10780</v>
      </c>
      <c r="D13231" s="5"/>
      <c r="E13231" s="5" t="str">
        <f t="shared" si="676"/>
        <v>ONCOLOGIA-GLORIA NANCY JAIMES</v>
      </c>
      <c r="F13231" s="5" t="str">
        <f>"Descripcion: . Estado: Bueno Placa anterior: 000009484 Material: PASTA Color: BLANCO Referencia:  Observacion:  Placa padre: Tipo adquisicion: Entidad"</f>
        <v>Descripcion: . Estado: Bueno Placa anterior: 000009484 Material: PASTA Color: BLANCO Referencia:  Observacion:  Placa padre: Tipo adquisicion: Entidad</v>
      </c>
      <c r="G13231" s="5"/>
    </row>
    <row r="13232" spans="1:7" ht="58.5" customHeight="1" x14ac:dyDescent="0.25">
      <c r="A13232" s="5" t="str">
        <f>"H0020664"</f>
        <v>H0020664</v>
      </c>
      <c r="B13232" s="5" t="str">
        <f>"SILLA TANDEM DE 3 PUESTOS"</f>
        <v>SILLA TANDEM DE 3 PUESTOS</v>
      </c>
      <c r="C13232" s="6">
        <v>10780</v>
      </c>
      <c r="D13232" s="5"/>
      <c r="E13232" s="5" t="str">
        <f t="shared" si="676"/>
        <v>ONCOLOGIA-GLORIA NANCY JAIMES</v>
      </c>
      <c r="F13232" s="5" t="str">
        <f>"Descripcion: . Estado: Bueno Placa anterior: 000009485 Material: PASTA Color: BLANCO Referencia:  Observacion:  Placa padre: Tipo adquisicion: Entidad"</f>
        <v>Descripcion: . Estado: Bueno Placa anterior: 000009485 Material: PASTA Color: BLANCO Referencia:  Observacion:  Placa padre: Tipo adquisicion: Entidad</v>
      </c>
      <c r="G13232" s="5"/>
    </row>
    <row r="13233" spans="1:7" ht="58.5" customHeight="1" x14ac:dyDescent="0.25">
      <c r="A13233" s="5" t="str">
        <f>"H0020665"</f>
        <v>H0020665</v>
      </c>
      <c r="B13233" s="5" t="str">
        <f>"SILLA TANDEM DE 3 PUESTOS"</f>
        <v>SILLA TANDEM DE 3 PUESTOS</v>
      </c>
      <c r="C13233" s="6">
        <v>10780</v>
      </c>
      <c r="D13233" s="5"/>
      <c r="E13233" s="5" t="str">
        <f t="shared" si="676"/>
        <v>ONCOLOGIA-GLORIA NANCY JAIMES</v>
      </c>
      <c r="F13233" s="5" t="str">
        <f>"Descripcion: . Estado: Bueno Placa anterior: 000009482 Material: PASTA Color: BLANCO Referencia:  Observacion:  Placa padre: Tipo adquisicion: Entidad"</f>
        <v>Descripcion: . Estado: Bueno Placa anterior: 000009482 Material: PASTA Color: BLANCO Referencia:  Observacion:  Placa padre: Tipo adquisicion: Entidad</v>
      </c>
      <c r="G13233" s="5"/>
    </row>
    <row r="13234" spans="1:7" ht="58.5" customHeight="1" x14ac:dyDescent="0.25">
      <c r="A13234" s="5" t="str">
        <f>"B0000249"</f>
        <v>B0000249</v>
      </c>
      <c r="B13234" s="5" t="str">
        <f>"EQUIPO ORGANOS DE LOS SENTIDOS PORTATIL"</f>
        <v>EQUIPO ORGANOS DE LOS SENTIDOS PORTATIL</v>
      </c>
      <c r="C13234" s="6">
        <v>928000</v>
      </c>
      <c r="D13234" s="5"/>
      <c r="E13234" s="5" t="str">
        <f t="shared" ref="E13234:E13265" si="677">"QUIMIOTERAPIA - ONCOLOGICA PISO 4°"</f>
        <v>QUIMIOTERAPIA - ONCOLOGICA PISO 4°</v>
      </c>
      <c r="F13234" s="5" t="str">
        <f>"Descripcion:EQUIPO ORGANO DE LOS SENTIDOS, 2 PIEZAS OTOSCOPIO Y OFTALMOSCOPIO Estado: Excelente Placa anterior: 000039073 Material: PASTA Y CAUCHO Color: NEGRO Referencia:  Observacion:  Placa padre:  Tipo adquisicion : Entidad"</f>
        <v>Descripcion:EQUIPO ORGANO DE LOS SENTIDOS, 2 PIEZAS OTOSCOPIO Y OFTALMOSCOPIO Estado: Excelente Placa anterior: 000039073 Material: PASTA Y CAUCHO Color: NEGRO Referencia:  Observacion:  Placa padre:  Tipo adquisicion : Entidad</v>
      </c>
      <c r="G13234" s="5" t="str">
        <f>"92871-BLK"</f>
        <v>92871-BLK</v>
      </c>
    </row>
    <row r="13235" spans="1:7" ht="58.5" customHeight="1" x14ac:dyDescent="0.25">
      <c r="A13235" s="5" t="str">
        <f>"H0000202"</f>
        <v>H0000202</v>
      </c>
      <c r="B13235" s="5" t="str">
        <f>"ARCHIVADOR METALICO 3 GAVETAS"</f>
        <v>ARCHIVADOR METALICO 3 GAVETAS</v>
      </c>
      <c r="C13235" s="6">
        <v>11351.33</v>
      </c>
      <c r="D13235" s="5"/>
      <c r="E13235" s="5" t="str">
        <f t="shared" si="677"/>
        <v>QUIMIOTERAPIA - ONCOLOGICA PISO 4°</v>
      </c>
      <c r="F13235" s="5" t="str">
        <f>"Descripcion: ARCHIVADOR METALICO (3 GAVETAS) MEDIDAS ALTO=103; ANCHO= 45; FONDO=68 Estado: Bueno Placa anterior: 000006908 Material: METAL Color: GRIS Referencia:  Observacion:  Placa padre: Tipo adquisicion: Entidad"</f>
        <v>Descripcion: ARCHIVADOR METALICO (3 GAVETAS) MEDIDAS ALTO=103; ANCHO= 45; FONDO=68 Estado: Bueno Placa anterior: 000006908 Material: METAL Color: GRIS Referencia:  Observacion:  Placa padre: Tipo adquisicion: Entidad</v>
      </c>
      <c r="G13235" s="5"/>
    </row>
    <row r="13236" spans="1:7" ht="58.5" customHeight="1" x14ac:dyDescent="0.25">
      <c r="A13236" s="5" t="str">
        <f>"H0000212"</f>
        <v>H0000212</v>
      </c>
      <c r="B13236" s="5" t="str">
        <f>"IMPRESORA LASER"</f>
        <v>IMPRESORA LASER</v>
      </c>
      <c r="C13236" s="6">
        <v>657102</v>
      </c>
      <c r="D13236" s="5" t="s">
        <v>240</v>
      </c>
      <c r="E13236" s="5" t="str">
        <f t="shared" si="677"/>
        <v>QUIMIOTERAPIA - ONCOLOGICA PISO 4°</v>
      </c>
      <c r="F13236" s="5" t="str">
        <f>"Descripcion: IMPRESORA LASERJET HP  Estado: Bueno Placa anterior: 000030013 Material: PASTA Color: NEGRO Referencia:  Observacion:  Placa padre: Tipo adquisicion: Entidad"</f>
        <v>Descripcion: IMPRESORA LASERJET HP  Estado: Bueno Placa anterior: 000030013 Material: PASTA Color: NEGRO Referencia:  Observacion:  Placa padre: Tipo adquisicion: Entidad</v>
      </c>
      <c r="G13236" s="5" t="str">
        <f>"P1606tn"</f>
        <v>P1606tn</v>
      </c>
    </row>
    <row r="13237" spans="1:7" ht="58.5" customHeight="1" x14ac:dyDescent="0.25">
      <c r="A13237" s="5" t="str">
        <f>"H0000431"</f>
        <v>H0000431</v>
      </c>
      <c r="B13237" s="5" t="str">
        <f>"SILLA PLASTICA CON BRAZOS"</f>
        <v>SILLA PLASTICA CON BRAZOS</v>
      </c>
      <c r="C13237" s="6">
        <v>14000</v>
      </c>
      <c r="D13237" s="5"/>
      <c r="E13237" s="5" t="str">
        <f t="shared" si="677"/>
        <v>QUIMIOTERAPIA - ONCOLOGICA PISO 4°</v>
      </c>
      <c r="F13237" s="5" t="str">
        <f>"Descripcion: SILLA PLASTICA BLANCA CON BRAZO Estado: Bueno Placa anterior: 000006025 Material: PLASTICA Color: BLANCO Referencia:  Observacion:  Placa padre: Tipo adquisicion: Entidad"</f>
        <v>Descripcion: SILLA PLASTICA BLANCA CON BRAZO Estado: Bueno Placa anterior: 000006025 Material: PLASTICA Color: BLANCO Referencia:  Observacion:  Placa padre: Tipo adquisicion: Entidad</v>
      </c>
      <c r="G13237" s="5"/>
    </row>
    <row r="13238" spans="1:7" ht="58.5" customHeight="1" x14ac:dyDescent="0.25">
      <c r="A13238" s="5" t="str">
        <f>"H0000436"</f>
        <v>H0000436</v>
      </c>
      <c r="B13238" s="5" t="str">
        <f>"VITRINA DE 2 CUERPOS"</f>
        <v>VITRINA DE 2 CUERPOS</v>
      </c>
      <c r="C13238" s="6">
        <v>82575</v>
      </c>
      <c r="D13238" s="5"/>
      <c r="E13238" s="5" t="str">
        <f t="shared" si="677"/>
        <v>QUIMIOTERAPIA - ONCOLOGICA PISO 4°</v>
      </c>
      <c r="F13238" s="5" t="str">
        <f>"Descripcion: BIBLIOTECA METALICA  DE DOS PUERTAS MARCO METALICO Y VIDRIO DE 170X120X38,5 CM Estado: Bueno Placa anterior: 000009400 Material: METAL Y VIDRIO Color: VERDE Referencia:  Observacion:  Placa padre: Tipo adquisicion: Entidad"</f>
        <v>Descripcion: BIBLIOTECA METALICA  DE DOS PUERTAS MARCO METALICO Y VIDRIO DE 170X120X38,5 CM Estado: Bueno Placa anterior: 000009400 Material: METAL Y VIDRIO Color: VERDE Referencia:  Observacion:  Placa padre: Tipo adquisicion: Entidad</v>
      </c>
      <c r="G13238" s="5"/>
    </row>
    <row r="13239" spans="1:7" ht="58.5" customHeight="1" x14ac:dyDescent="0.25">
      <c r="A13239" s="5" t="str">
        <f>"H0000449"</f>
        <v>H0000449</v>
      </c>
      <c r="B13239" s="5" t="str">
        <f>"BUTACO GIRATORIO SIN RUEDAS"</f>
        <v>BUTACO GIRATORIO SIN RUEDAS</v>
      </c>
      <c r="C13239" s="6">
        <v>8932</v>
      </c>
      <c r="D13239" s="5"/>
      <c r="E13239" s="5" t="str">
        <f t="shared" si="677"/>
        <v>QUIMIOTERAPIA - ONCOLOGICA PISO 4°</v>
      </c>
      <c r="F13239" s="5" t="str">
        <f>"Descripcion: BUTACO GIRATORIO SIN ESPALDAR TAPIZADO SINTETICO Estado: Bueno Placa anterior: 000009444 Material: METALICO Color: BEIS Referencia:  Observacion:  Placa padre: Tipo adquisicion: Entidad"</f>
        <v>Descripcion: BUTACO GIRATORIO SIN ESPALDAR TAPIZADO SINTETICO Estado: Bueno Placa anterior: 000009444 Material: METALICO Color: BEIS Referencia:  Observacion:  Placa padre: Tipo adquisicion: Entidad</v>
      </c>
      <c r="G13239" s="5"/>
    </row>
    <row r="13240" spans="1:7" ht="58.5" customHeight="1" x14ac:dyDescent="0.25">
      <c r="A13240" s="5" t="str">
        <f>"H0000452"</f>
        <v>H0000452</v>
      </c>
      <c r="B13240" s="5" t="str">
        <f>"ATRIL PORTASUERO MOVIL"</f>
        <v>ATRIL PORTASUERO MOVIL</v>
      </c>
      <c r="C13240" s="6">
        <v>5331.43</v>
      </c>
      <c r="D13240" s="5"/>
      <c r="E13240" s="5" t="str">
        <f t="shared" si="677"/>
        <v>QUIMIOTERAPIA - ONCOLOGICA PISO 4°</v>
      </c>
      <c r="F13240" s="5" t="str">
        <f>"Descripcion: ATRIL 184 CM Estado: Bueno Placa anterior: 000006035 Material: ACERO Color: PLATA Referencia:  Observacion:  Placa padre: Tipo adquisicion: Entidad"</f>
        <v>Descripcion: ATRIL 184 CM Estado: Bueno Placa anterior: 000006035 Material: ACERO Color: PLATA Referencia:  Observacion:  Placa padre: Tipo adquisicion: Entidad</v>
      </c>
      <c r="G13240" s="5"/>
    </row>
    <row r="13241" spans="1:7" ht="58.5" customHeight="1" x14ac:dyDescent="0.25">
      <c r="A13241" s="5" t="str">
        <f>"H0000454"</f>
        <v>H0000454</v>
      </c>
      <c r="B13241" s="5" t="str">
        <f>"ATRIL PORTASUERO MOVIL"</f>
        <v>ATRIL PORTASUERO MOVIL</v>
      </c>
      <c r="C13241" s="6">
        <v>5331.43</v>
      </c>
      <c r="D13241" s="5"/>
      <c r="E13241" s="5" t="str">
        <f t="shared" si="677"/>
        <v>QUIMIOTERAPIA - ONCOLOGICA PISO 4°</v>
      </c>
      <c r="F13241" s="5" t="str">
        <f>"Descripcion: ATRIL Estado: Bueno Placa anterior: 000006034 Material: ACERO Color: PLATA Referencia:  Observacion:  Placa padre: Tipo adquisicion: Entidad"</f>
        <v>Descripcion: ATRIL Estado: Bueno Placa anterior: 000006034 Material: ACERO Color: PLATA Referencia:  Observacion:  Placa padre: Tipo adquisicion: Entidad</v>
      </c>
      <c r="G13241" s="5"/>
    </row>
    <row r="13242" spans="1:7" ht="58.5" customHeight="1" x14ac:dyDescent="0.25">
      <c r="A13242" s="5" t="str">
        <f>"H0000463"</f>
        <v>H0000463</v>
      </c>
      <c r="B13242" s="5" t="str">
        <f>"SILLA DE RUEDAS"</f>
        <v>SILLA DE RUEDAS</v>
      </c>
      <c r="C13242" s="6">
        <v>650000</v>
      </c>
      <c r="D13242" s="5"/>
      <c r="E13242" s="5" t="str">
        <f t="shared" si="677"/>
        <v>QUIMIOTERAPIA - ONCOLOGICA PISO 4°</v>
      </c>
      <c r="F13242" s="5" t="str">
        <f>"Descripcion: SILLA DE RUEDAS TAPIZADA CUERINA AZUL Estado: Bueno Placa anterior: 000026194 Material: METAL Color: PLATA AZUL Referencia:  Observacion: AUTORIZADO CONCILIAR EN CRUCE GENERAL Placa padre: Tipo adquisicion: Entidad"</f>
        <v>Descripcion: SILLA DE RUEDAS TAPIZADA CUERINA AZUL Estado: Bueno Placa anterior: 000026194 Material: METAL Color: PLATA AZUL Referencia:  Observacion: AUTORIZADO CONCILIAR EN CRUCE GENERAL Placa padre: Tipo adquisicion: Entidad</v>
      </c>
      <c r="G13242" s="5"/>
    </row>
    <row r="13243" spans="1:7" ht="58.5" customHeight="1" x14ac:dyDescent="0.25">
      <c r="A13243" s="5" t="str">
        <f>"H0000469"</f>
        <v>H0000469</v>
      </c>
      <c r="B13243" s="5" t="str">
        <f>"LOCKER DE 3 COMPARTIMIENTOS"</f>
        <v>LOCKER DE 3 COMPARTIMIENTOS</v>
      </c>
      <c r="C13243" s="6">
        <v>26685.85</v>
      </c>
      <c r="D13243" s="5"/>
      <c r="E13243" s="5" t="str">
        <f t="shared" si="677"/>
        <v>QUIMIOTERAPIA - ONCOLOGICA PISO 4°</v>
      </c>
      <c r="F13243" s="5" t="str">
        <f>"Descripcion: LOCKER TIPO B (3 PUESTOS) 71X40,5X50 CM Estado: Bueno Placa anterior: 000006056 Material: METAL Color: GRIS Referencia:  Observacion:  Placa padre: Tipo adquisicion: Entidad"</f>
        <v>Descripcion: LOCKER TIPO B (3 PUESTOS) 71X40,5X50 CM Estado: Bueno Placa anterior: 000006056 Material: METAL Color: GRIS Referencia:  Observacion:  Placa padre: Tipo adquisicion: Entidad</v>
      </c>
      <c r="G13243" s="5"/>
    </row>
    <row r="13244" spans="1:7" ht="58.5" customHeight="1" x14ac:dyDescent="0.25">
      <c r="A13244" s="5" t="str">
        <f>"H0000475"</f>
        <v>H0000475</v>
      </c>
      <c r="B13244" s="5" t="str">
        <f>"ATRIL PORTASUERO MOVIL"</f>
        <v>ATRIL PORTASUERO MOVIL</v>
      </c>
      <c r="C13244" s="6">
        <v>5373.19</v>
      </c>
      <c r="D13244" s="5"/>
      <c r="E13244" s="5" t="str">
        <f t="shared" si="677"/>
        <v>QUIMIOTERAPIA - ONCOLOGICA PISO 4°</v>
      </c>
      <c r="F13244" s="5" t="str">
        <f>"Descripcion: ATRIL DE 184 CM CON RODACHINES Estado: Bueno Placa anterior: 000022240 Material: ACERO Color: PLATA Referencia:  Observacion:  Placa padre: Tipo adquisicion: Entidad"</f>
        <v>Descripcion: ATRIL DE 184 CM CON RODACHINES Estado: Bueno Placa anterior: 000022240 Material: ACERO Color: PLATA Referencia:  Observacion:  Placa padre: Tipo adquisicion: Entidad</v>
      </c>
      <c r="G13244" s="5"/>
    </row>
    <row r="13245" spans="1:7" ht="58.5" customHeight="1" x14ac:dyDescent="0.25">
      <c r="A13245" s="5" t="str">
        <f>"H0000476"</f>
        <v>H0000476</v>
      </c>
      <c r="B13245" s="5" t="str">
        <f>"ATRIL PORTASUERO MOVIL"</f>
        <v>ATRIL PORTASUERO MOVIL</v>
      </c>
      <c r="C13245" s="6">
        <v>5331.43</v>
      </c>
      <c r="D13245" s="5"/>
      <c r="E13245" s="5" t="str">
        <f t="shared" si="677"/>
        <v>QUIMIOTERAPIA - ONCOLOGICA PISO 4°</v>
      </c>
      <c r="F13245" s="5" t="str">
        <f>"Descripcion: ATRIL DE 184 CM CON RODACHINES Estado: Bueno Placa anterior: 000006037 Material: ACERO Color: PLATA Referencia:  Observacion:  Placa padre: Tipo adquisicion: Entidad"</f>
        <v>Descripcion: ATRIL DE 184 CM CON RODACHINES Estado: Bueno Placa anterior: 000006037 Material: ACERO Color: PLATA Referencia:  Observacion:  Placa padre: Tipo adquisicion: Entidad</v>
      </c>
      <c r="G13245" s="5"/>
    </row>
    <row r="13246" spans="1:7" ht="58.5" customHeight="1" x14ac:dyDescent="0.25">
      <c r="A13246" s="5" t="str">
        <f>"H0000477"</f>
        <v>H0000477</v>
      </c>
      <c r="B13246" s="5" t="str">
        <f>"ATRIL PORTASUERO MOVIL"</f>
        <v>ATRIL PORTASUERO MOVIL</v>
      </c>
      <c r="C13246" s="6">
        <v>5331.43</v>
      </c>
      <c r="D13246" s="5"/>
      <c r="E13246" s="5" t="str">
        <f t="shared" si="677"/>
        <v>QUIMIOTERAPIA - ONCOLOGICA PISO 4°</v>
      </c>
      <c r="F13246" s="5" t="str">
        <f>"Descripcion: ATRIL DE 184 CM CON RODACHINES Estado: Bueno Placa anterior: 000006038 Material: ACERO Color: PLATA Referencia:  Observacion:  Placa padre: Tipo adquisicion: Entidad"</f>
        <v>Descripcion: ATRIL DE 184 CM CON RODACHINES Estado: Bueno Placa anterior: 000006038 Material: ACERO Color: PLATA Referencia:  Observacion:  Placa padre: Tipo adquisicion: Entidad</v>
      </c>
      <c r="G13246" s="5"/>
    </row>
    <row r="13247" spans="1:7" ht="58.5" customHeight="1" x14ac:dyDescent="0.25">
      <c r="A13247" s="5" t="str">
        <f>"H0000480"</f>
        <v>H0000480</v>
      </c>
      <c r="B13247" s="5" t="str">
        <f>"ESCALERILLA DE 2 PASOS"</f>
        <v>ESCALERILLA DE 2 PASOS</v>
      </c>
      <c r="C13247" s="6">
        <v>4826.25</v>
      </c>
      <c r="D13247" s="5"/>
      <c r="E13247" s="5" t="str">
        <f t="shared" si="677"/>
        <v>QUIMIOTERAPIA - ONCOLOGICA PISO 4°</v>
      </c>
      <c r="F13247" s="5" t="str">
        <f>"Descripcion: ESCALERA DE DOS PASOS Estado: Bueno Placa anterior: 000006054 Material: METAL Y MADERA Color: GRIS Referencia:  Observacion:  Placa padre: Tipo adquisicion: Entidad"</f>
        <v>Descripcion: ESCALERA DE DOS PASOS Estado: Bueno Placa anterior: 000006054 Material: METAL Y MADERA Color: GRIS Referencia:  Observacion:  Placa padre: Tipo adquisicion: Entidad</v>
      </c>
      <c r="G13247" s="5"/>
    </row>
    <row r="13248" spans="1:7" ht="58.5" customHeight="1" x14ac:dyDescent="0.25">
      <c r="A13248" s="5" t="str">
        <f>"H0000486"</f>
        <v>H0000486</v>
      </c>
      <c r="B13248" s="5" t="str">
        <f>"VITRINA DE 1 CUERPO"</f>
        <v>VITRINA DE 1 CUERPO</v>
      </c>
      <c r="C13248" s="6">
        <v>20208.78</v>
      </c>
      <c r="D13248" s="5"/>
      <c r="E13248" s="5" t="str">
        <f t="shared" si="677"/>
        <v>QUIMIOTERAPIA - ONCOLOGICA PISO 4°</v>
      </c>
      <c r="F13248" s="5" t="str">
        <f>"Descripcion: VITRINA DE UN CUERPO PUERTA DE MARCO METALICO Y VIDRIO LISO Y DOS ENTREPAÑOS PARA TRES COMPARTIMIENTOS EN VIDRIO Estado: Bueno Placa anterior: 000006053 Material: METAL Color: VERDE Referencia:  Observacion:  Placa padre: Tipo adquisicion: En"&amp; "tidad"</f>
        <v>Descripcion: VITRINA DE UN CUERPO PUERTA DE MARCO METALICO Y VIDRIO LISO Y DOS ENTREPAÑOS PARA TRES COMPARTIMIENTOS EN VIDRIO Estado: Bueno Placa anterior: 000006053 Material: METAL Color: VERDE Referencia:  Observacion:  Placa padre: Tipo adquisicion: Entidad</v>
      </c>
      <c r="G13248" s="5"/>
    </row>
    <row r="13249" spans="1:7" ht="58.5" customHeight="1" x14ac:dyDescent="0.25">
      <c r="A13249" s="5" t="str">
        <f>"H0000494"</f>
        <v>H0000494</v>
      </c>
      <c r="B13249" s="5" t="str">
        <f>"SILLA PLASTICA CON BRAZOS"</f>
        <v>SILLA PLASTICA CON BRAZOS</v>
      </c>
      <c r="C13249" s="6">
        <v>14000</v>
      </c>
      <c r="D13249" s="5"/>
      <c r="E13249" s="5" t="str">
        <f t="shared" si="677"/>
        <v>QUIMIOTERAPIA - ONCOLOGICA PISO 4°</v>
      </c>
      <c r="F13249" s="5" t="str">
        <f>"Descripcion: SILLA PLASTICA BLANCA Estado: Bueno Placa anterior: 000006022 Material: PLASTICA Color: BLANCA Referencia:  Observacion:  Placa padre: Tipo adquisicion: Entidad"</f>
        <v>Descripcion: SILLA PLASTICA BLANCA Estado: Bueno Placa anterior: 000006022 Material: PLASTICA Color: BLANCA Referencia:  Observacion:  Placa padre: Tipo adquisicion: Entidad</v>
      </c>
      <c r="G13249" s="5"/>
    </row>
    <row r="13250" spans="1:7" ht="58.5" customHeight="1" x14ac:dyDescent="0.25">
      <c r="A13250" s="5" t="str">
        <f>"H0000496"</f>
        <v>H0000496</v>
      </c>
      <c r="B13250" s="5" t="str">
        <f>"SILLA PLASTICA CON BRAZOS"</f>
        <v>SILLA PLASTICA CON BRAZOS</v>
      </c>
      <c r="C13250" s="6">
        <v>14000</v>
      </c>
      <c r="D13250" s="5"/>
      <c r="E13250" s="5" t="str">
        <f t="shared" si="677"/>
        <v>QUIMIOTERAPIA - ONCOLOGICA PISO 4°</v>
      </c>
      <c r="F13250" s="5" t="str">
        <f>"Descripcion: SILLA PLASTICA BLANCA Estado: Bueno Placa anterior: 000006023 Material: PLASTICA Color: BLANCA Referencia:  Observacion:  Placa padre: Tipo adquisicion: Entidad"</f>
        <v>Descripcion: SILLA PLASTICA BLANCA Estado: Bueno Placa anterior: 000006023 Material: PLASTICA Color: BLANCA Referencia:  Observacion:  Placa padre: Tipo adquisicion: Entidad</v>
      </c>
      <c r="G13250" s="5"/>
    </row>
    <row r="13251" spans="1:7" ht="58.5" customHeight="1" x14ac:dyDescent="0.25">
      <c r="A13251" s="5" t="str">
        <f>"H0000669"</f>
        <v>H0000669</v>
      </c>
      <c r="B13251" s="5" t="str">
        <f>"MESA (CARRO) DE CURACIONES"</f>
        <v>MESA (CARRO) DE CURACIONES</v>
      </c>
      <c r="C13251" s="6">
        <v>18975</v>
      </c>
      <c r="D13251" s="5"/>
      <c r="E13251" s="5" t="str">
        <f t="shared" si="677"/>
        <v>QUIMIOTERAPIA - ONCOLOGICA PISO 4°</v>
      </c>
      <c r="F13251" s="5" t="str">
        <f>"Descripcion: 72X53X41 Estado: Excelente Placa anterior: 000004806 Material: METALICO Color: BLANCO Referencia:  Observacion:  Placa padre: Tipo adquisicion: Entidad"</f>
        <v>Descripcion: 72X53X41 Estado: Excelente Placa anterior: 000004806 Material: METALICO Color: BLANCO Referencia:  Observacion:  Placa padre: Tipo adquisicion: Entidad</v>
      </c>
      <c r="G13251" s="5"/>
    </row>
    <row r="13252" spans="1:7" ht="58.5" customHeight="1" x14ac:dyDescent="0.25">
      <c r="A13252" s="5" t="str">
        <f>"H0002015"</f>
        <v>H0002015</v>
      </c>
      <c r="B13252" s="5" t="str">
        <f>"CARRO DE PARO"</f>
        <v>CARRO DE PARO</v>
      </c>
      <c r="C13252" s="6">
        <v>1682000</v>
      </c>
      <c r="D13252" s="5"/>
      <c r="E13252" s="5" t="str">
        <f t="shared" si="677"/>
        <v>QUIMIOTERAPIA - ONCOLOGICA PISO 4°</v>
      </c>
      <c r="F13252" s="5" t="str">
        <f>"Descripcion:CARRO DE PARO DE 4 GAVETAS CON BASE PARA MONITOR , CON RUEDAS Estado: Excelente Placa anterior: 000039049 Material: METALICA Y ACERO INOXIDABLE Color: CREMA Referencia:  Observacion: ESTAN GUARDADAS EN SAL DE MAQUINAS Placa padre:  Tipo adquis"&amp; "icion : Entidad"</f>
        <v>Descripcion:CARRO DE PARO DE 4 GAVETAS CON BASE PARA MONITOR , CON RUEDAS Estado: Excelente Placa anterior: 000039049 Material: METALICA Y ACERO INOXIDABLE Color: CREMA Referencia:  Observacion: ESTAN GUARDADAS EN SAL DE MAQUINAS Placa padre:  Tipo adquisicion : Entidad</v>
      </c>
      <c r="G13252" s="5"/>
    </row>
    <row r="13253" spans="1:7" ht="58.5" customHeight="1" x14ac:dyDescent="0.25">
      <c r="A13253" s="5" t="str">
        <f>"H0002434"</f>
        <v>H0002434</v>
      </c>
      <c r="B13253" s="5" t="str">
        <f>"COMPUTADOR TODO EN UNO"</f>
        <v>COMPUTADOR TODO EN UNO</v>
      </c>
      <c r="C13253" s="6">
        <v>2470000</v>
      </c>
      <c r="D13253" s="5"/>
      <c r="E13253" s="5" t="str">
        <f t="shared" si="677"/>
        <v>QUIMIOTERAPIA - ONCOLOGICA PISO 4°</v>
      </c>
      <c r="F13253" s="5" t="str">
        <f>"Descripcion:EQUIPO DE COMPUTO TODO EN UNO CON PROCESADOR INTEL i5 Estado: Excelente Placa anterior: 000037291 Material: PASTA Color: NEGRO Referencia: 10BDFDLS Observacion:  Placa anterior:, Placa nueva=H0002436, Descripcion:MOUSE USB  3 BOTONES, Serial:4"&amp; "4PE652, Marca:LENOVO, Modelo:45J4889, Material:PASTA, Color:NEGRO,   Referencia:, Placa anterior:, Placa nueva=H0002435, Descripcion:TECLADO USB LENOVO, Serial:8259512, Marca:LENOVO, Modelo:KU-0225, Material:PASTA, Color:NEGRO,   Referencia:54Y9424 Placa "&amp; "padre:  Tipo adquisicion : Entidad"</f>
        <v>Descripcion:EQUIPO DE COMPUTO TODO EN UNO CON PROCESADOR INTEL i5 Estado: Excelente Placa anterior: 000037291 Material: PASTA Color: NEGRO Referencia: 10BDFDLS Observacion:  Placa anterior:, Placa nueva=H0002436, Descripcion:MOUSE USB  3 BOTONES, Serial:44PE652, Marca:LENOVO, Modelo:45J4889, Material:PASTA, Color:NEGRO,   Referencia:, Placa anterior:, Placa nueva=H0002435, Descripcion:TECLADO USB LENOVO, Serial:8259512, Marca:LENOVO, Modelo:KU-0225, Material:PASTA, Color:NEGRO,   Referencia:54Y9424 Placa padre:  Tipo adquisicion : Entidad</v>
      </c>
      <c r="G13253" s="5" t="str">
        <f>"00FDLS"</f>
        <v>00FDLS</v>
      </c>
    </row>
    <row r="13254" spans="1:7" ht="58.5" customHeight="1" x14ac:dyDescent="0.25">
      <c r="A13254" s="5" t="str">
        <f>"H0002756"</f>
        <v>H0002756</v>
      </c>
      <c r="B13254" s="5" t="str">
        <f>"MESA EN ACERO INOXIDABLE"</f>
        <v>MESA EN ACERO INOXIDABLE</v>
      </c>
      <c r="C13254" s="6">
        <v>250000</v>
      </c>
      <c r="D13254" s="5"/>
      <c r="E13254" s="5" t="str">
        <f t="shared" si="677"/>
        <v>QUIMIOTERAPIA - ONCOLOGICA PISO 4°</v>
      </c>
      <c r="F13254" s="5" t="str">
        <f>"Descripcion:MESA AUXILIAR RODANTE EN ACERO INOXIDABLE Estado: Excelente Placa anterior: 000037821 Material: ACERO INOX. Color: PLATEADO Referencia:  Observacion:  Placa padre:  Tipo adquisicion : Entidad"</f>
        <v>Descripcion:MESA AUXILIAR RODANTE EN ACERO INOXIDABLE Estado: Excelente Placa anterior: 000037821 Material: ACERO INOX. Color: PLATEADO Referencia:  Observacion:  Placa padre:  Tipo adquisicion : Entidad</v>
      </c>
      <c r="G13254" s="5"/>
    </row>
    <row r="13255" spans="1:7" ht="58.5" customHeight="1" x14ac:dyDescent="0.25">
      <c r="A13255" s="5" t="str">
        <f>"H0004115"</f>
        <v>H0004115</v>
      </c>
      <c r="B13255" s="5" t="str">
        <f>"NEGATOSCOPIO"</f>
        <v>NEGATOSCOPIO</v>
      </c>
      <c r="C13255" s="6">
        <v>83306</v>
      </c>
      <c r="D13255" s="5"/>
      <c r="E13255" s="5" t="str">
        <f t="shared" si="677"/>
        <v>QUIMIOTERAPIA - ONCOLOGICA PISO 4°</v>
      </c>
      <c r="F13255" s="5" t="str">
        <f>"Descripcion: DE DOS CUERPOS MIDE 47X76X10,5 CM Estado: Bueno Placa anterior: 000008681 Material: METAL Color: BLANCO Referencia:  Observacion: FUNCIONARIO AUTORIZA SE CONCILIE CON PLACA 000008681  Placa padre: Tipo adquisicion: Entidad"</f>
        <v>Descripcion: DE DOS CUERPOS MIDE 47X76X10,5 CM Estado: Bueno Placa anterior: 000008681 Material: METAL Color: BLANCO Referencia:  Observacion: FUNCIONARIO AUTORIZA SE CONCILIE CON PLACA 000008681  Placa padre: Tipo adquisicion: Entidad</v>
      </c>
      <c r="G13255" s="5"/>
    </row>
    <row r="13256" spans="1:7" ht="58.5" customHeight="1" x14ac:dyDescent="0.25">
      <c r="A13256" s="5" t="str">
        <f>"H0005549"</f>
        <v>H0005549</v>
      </c>
      <c r="B13256" s="5" t="str">
        <f>"CAMILLA FIJA (TIPO DIVAN)"</f>
        <v>CAMILLA FIJA (TIPO DIVAN)</v>
      </c>
      <c r="C13256" s="6">
        <v>23320</v>
      </c>
      <c r="D13256" s="5"/>
      <c r="E13256" s="5" t="str">
        <f t="shared" si="677"/>
        <v>QUIMIOTERAPIA - ONCOLOGICA PISO 4°</v>
      </c>
      <c r="F13256" s="5" t="str">
        <f>"Descripcion:CAMILLA FIJADIMENSIONES: 76X198X78 CM Estado: Bueno Placa anterior: 000008426 Material: METALICAS Y CUERINA Color: BEIS Y NEGRO Referencia:  Observacion: CAMILLA CON RUEDACHINEES Placa padre:  Tipo adquisicion : Entidad"</f>
        <v>Descripcion:CAMILLA FIJADIMENSIONES: 76X198X78 CM Estado: Bueno Placa anterior: 000008426 Material: METALICAS Y CUERINA Color: BEIS Y NEGRO Referencia:  Observacion: CAMILLA CON RUEDACHINEES Placa padre:  Tipo adquisicion : Entidad</v>
      </c>
      <c r="G13256" s="5"/>
    </row>
    <row r="13257" spans="1:7" ht="58.5" customHeight="1" x14ac:dyDescent="0.25">
      <c r="A13257" s="5" t="str">
        <f>"H0008115"</f>
        <v>H0008115</v>
      </c>
      <c r="B13257" s="5" t="str">
        <f>"ESCALERILLA DE 2 PASOS"</f>
        <v>ESCALERILLA DE 2 PASOS</v>
      </c>
      <c r="C13257" s="6">
        <v>100000</v>
      </c>
      <c r="D13257" s="5" t="s">
        <v>49</v>
      </c>
      <c r="E13257" s="5" t="str">
        <f t="shared" si="677"/>
        <v>QUIMIOTERAPIA - ONCOLOGICA PISO 4°</v>
      </c>
      <c r="F13257" s="5" t="str">
        <f>"Descripcion: ESCALERILLA DE DOS PASO EN TUBO REDONDO Estado: Bueno Placa anterior: 000029940 Material: METALICO CON PASOS EN MADERA Color: BLANCO Referencia:  Observacion:  Placa padre: Tipo adquisicion: Entidad"</f>
        <v>Descripcion: ESCALERILLA DE DOS PASO EN TUBO REDONDO Estado: Bueno Placa anterior: 000029940 Material: METALICO CON PASOS EN MADERA Color: BLANCO Referencia:  Observacion:  Placa padre: Tipo adquisicion: Entidad</v>
      </c>
      <c r="G13257" s="5"/>
    </row>
    <row r="13258" spans="1:7" ht="58.5" customHeight="1" x14ac:dyDescent="0.25">
      <c r="A13258" s="5" t="str">
        <f>"H0008771"</f>
        <v>H0008771</v>
      </c>
      <c r="B13258" s="5" t="str">
        <f>"DESFRIBILADOR"</f>
        <v>DESFRIBILADOR</v>
      </c>
      <c r="C13258" s="6">
        <v>14539017</v>
      </c>
      <c r="D13258" s="5" t="s">
        <v>497</v>
      </c>
      <c r="E13258" s="5" t="str">
        <f t="shared" si="677"/>
        <v>QUIMIOTERAPIA - ONCOLOGICA PISO 4°</v>
      </c>
      <c r="F13258" s="5" t="str">
        <f>"Descripcion: DESFIBRILADOR MONITOR DE ONDA BIFASICA CON MONITOREO MULTIPARAMETRICO. CON RANGO DE DESCARGA MAXIMA ENTRE 200J A 270J O SPERIOR. Para desfibrilacion manual y modo semiautomatico (modo DEA), cardioversion y monitoreo continuo integrado. Con sl"&amp; "elector de n Estado: Bueno Placa anterior: 000036492 Material: PLASTICO Color: GRIS Referencia:  Observacion:  Placa padre: Tipo adquisicion: Donacion"</f>
        <v>Descripcion: DESFIBRILADOR MONITOR DE ONDA BIFASICA CON MONITOREO MULTIPARAMETRICO. CON RANGO DE DESCARGA MAXIMA ENTRE 200J A 270J O SPERIOR. Para desfibrilacion manual y modo semiautomatico (modo DEA), cardioversion y monitoreo continuo integrado. Con slelector de n Estado: Bueno Placa anterior: 000036492 Material: PLASTICO Color: GRIS Referencia:  Observacion:  Placa padre: Tipo adquisicion: Donacion</v>
      </c>
      <c r="G13258" s="5" t="str">
        <f>"BENEHEART D3"</f>
        <v>BENEHEART D3</v>
      </c>
    </row>
    <row r="13259" spans="1:7" ht="58.5" customHeight="1" x14ac:dyDescent="0.25">
      <c r="A13259" s="5" t="str">
        <f>"H0008986"</f>
        <v>H0008986</v>
      </c>
      <c r="B13259" s="5" t="str">
        <f>"LOCKER DE 6 COMPARTIMIENTOS"</f>
        <v>LOCKER DE 6 COMPARTIMIENTOS</v>
      </c>
      <c r="C13259" s="6">
        <v>585988</v>
      </c>
      <c r="D13259" s="5" t="s">
        <v>60</v>
      </c>
      <c r="E13259" s="5" t="str">
        <f t="shared" si="677"/>
        <v>QUIMIOTERAPIA - ONCOLOGICA PISO 4°</v>
      </c>
      <c r="F13259" s="5" t="str">
        <f>"Descripcion: LOCKER DE LAMINA CALIBRE 22 C/6 CASILLEROS, PORTACANDADO, MANIJA PROFUNDIZADA MEDIDAS 1.80X1.90 DE ANCHO X 35 DE FONDO DE PINTURA Estado: Bueno Placa anterior: 000029197 Material: METALICO Color: GRIS Referencia:  Observacion:  Placa padre: T"&amp; "ipo adquisicion: Entidad"</f>
        <v>Descripcion: LOCKER DE LAMINA CALIBRE 22 C/6 CASILLEROS, PORTACANDADO, MANIJA PROFUNDIZADA MEDIDAS 1.80X1.90 DE ANCHO X 35 DE FONDO DE PINTURA Estado: Bueno Placa anterior: 000029197 Material: METALICO Color: GRIS Referencia:  Observacion:  Placa padre: Tipo adquisicion: Entidad</v>
      </c>
      <c r="G13259" s="5"/>
    </row>
    <row r="13260" spans="1:7" ht="58.5" customHeight="1" x14ac:dyDescent="0.25">
      <c r="A13260" s="5" t="str">
        <f>"H0009710"</f>
        <v>H0009710</v>
      </c>
      <c r="B13260" s="5" t="str">
        <f>"COMPUTADOR TODO EN UNO"</f>
        <v>COMPUTADOR TODO EN UNO</v>
      </c>
      <c r="C13260" s="6">
        <v>2470000</v>
      </c>
      <c r="D13260" s="5" t="s">
        <v>684</v>
      </c>
      <c r="E13260" s="5" t="str">
        <f t="shared" si="677"/>
        <v>QUIMIOTERAPIA - ONCOLOGICA PISO 4°</v>
      </c>
      <c r="F13260" s="5" t="str">
        <f>"Descripcion: EQUIPO DE COMPUTO TODO EN UNO CON PROCESADOR INTEL i5 Estado: Bueno Placa anterior: 000037259 Material: PASTA Color: NEGRO Referencia:  Observacion:  Placa anterior:, Placa nueva=H0009711, Descripcion:TECLADO USB, Serial:8259086, Marca:LENOVO"&amp; ", Modelo:KU-0225, Material:PASTA, Color:NEGRO,   Referencia:, Placa anterior:, Placa nueva=H0009712, Descripcion:MOUSE USB DE 3 BOTONES, Serial:44PD020, Marca:LENOVO, Modelo:SM50F76959, Material:PASTA, Color:NEGRO,   Referencia: Placa padre: Tipo adquisic"&amp; "ion: Entidad"</f>
        <v>Descripcion: EQUIPO DE COMPUTO TODO EN UNO CON PROCESADOR INTEL i5 Estado: Bueno Placa anterior: 000037259 Material: PASTA Color: NEGRO Referencia:  Observacion:  Placa anterior:, Placa nueva=H0009711, Descripcion:TECLADO USB, Serial:8259086, Marca:LENOVO, Modelo:KU-0225, Material:PASTA, Color:NEGRO,   Referencia:, Placa anterior:, Placa nueva=H0009712, Descripcion:MOUSE USB DE 3 BOTONES, Serial:44PD020, Marca:LENOVO, Modelo:SM50F76959, Material:PASTA, Color:NEGRO,   Referencia: Placa padre: Tipo adquisicion: Entidad</v>
      </c>
      <c r="G13260" s="5"/>
    </row>
    <row r="13261" spans="1:7" ht="58.5" customHeight="1" x14ac:dyDescent="0.25">
      <c r="A13261" s="5" t="str">
        <f>"H0009737"</f>
        <v>H0009737</v>
      </c>
      <c r="B13261" s="5" t="str">
        <f>"SILLA GIRATORIA CON BRAZOS RODACHINES (NO ERGONOMICA)"</f>
        <v>SILLA GIRATORIA CON BRAZOS RODACHINES (NO ERGONOMICA)</v>
      </c>
      <c r="C13261" s="6">
        <v>493000</v>
      </c>
      <c r="D13261" s="5"/>
      <c r="E13261" s="5" t="str">
        <f t="shared" si="677"/>
        <v>QUIMIOTERAPIA - ONCOLOGICA PISO 4°</v>
      </c>
      <c r="F13261" s="5" t="str">
        <f>"Descripcion: SILLA GIRATORIA CON BRAZOS  Estado: Bueno Placa anterior: 000026359 Material: PASTA Y PAÑO Color: NEGRO Y AZUL Referencia:  Observacion: EL BIEN TIENE PLACA ANTERIOR 000035852  SILLA GIRATORIA EJECUTIVA CON RODACHINES Y APOYA BRAZOS   Placa p"&amp; "adre: Tipo adquisicion: Entidad"</f>
        <v>Descripcion: SILLA GIRATORIA CON BRAZOS  Estado: Bueno Placa anterior: 000026359 Material: PASTA Y PAÑO Color: NEGRO Y AZUL Referencia:  Observacion: EL BIEN TIENE PLACA ANTERIOR 000035852  SILLA GIRATORIA EJECUTIVA CON RODACHINES Y APOYA BRAZOS   Placa padre: Tipo adquisicion: Entidad</v>
      </c>
      <c r="G13261" s="5"/>
    </row>
    <row r="13262" spans="1:7" ht="58.5" customHeight="1" x14ac:dyDescent="0.25">
      <c r="A13262" s="5" t="str">
        <f>"H0010681"</f>
        <v>H0010681</v>
      </c>
      <c r="B13262" s="5" t="str">
        <f>"SILLA GIRATORIA CON BRAZOS FIJA (NO ERGONOMICA)"</f>
        <v>SILLA GIRATORIA CON BRAZOS FIJA (NO ERGONOMICA)</v>
      </c>
      <c r="C13262" s="6">
        <v>493000</v>
      </c>
      <c r="D13262" s="5"/>
      <c r="E13262" s="5" t="str">
        <f t="shared" si="677"/>
        <v>QUIMIOTERAPIA - ONCOLOGICA PISO 4°</v>
      </c>
      <c r="F13262" s="5" t="str">
        <f>"Descripcion: SILLA GIRATORIA CON BRAZOS  (NO ERGONOMICA) Estado: Regular Placa anterior: 000026360 Material: PASTA Color: AZUL CON NEGRO Referencia:  Observacion: LA PLACA # 000028543 NO APARECE EN EL SISTEMA, EL BIEN TIENE PLACA ANTERIOR 000028543, AUTOR"&amp; "IZADO CONCILIAR EN CRUCE GENERAL Placa padre: Tipo adquisicion: Entidad"</f>
        <v>Descripcion: SILLA GIRATORIA CON BRAZOS  (NO ERGONOMICA) Estado: Regular Placa anterior: 000026360 Material: PASTA Color: AZUL CON NEGRO Referencia:  Observacion: LA PLACA # 000028543 NO APARECE EN EL SISTEMA, EL BIEN TIENE PLACA ANTERIOR 000028543, AUTORIZADO CONCILIAR EN CRUCE GENERAL Placa padre: Tipo adquisicion: Entidad</v>
      </c>
      <c r="G13262" s="5"/>
    </row>
    <row r="13263" spans="1:7" ht="58.5" customHeight="1" x14ac:dyDescent="0.25">
      <c r="A13263" s="5" t="str">
        <f>"H0011053"</f>
        <v>H0011053</v>
      </c>
      <c r="B13263" s="5" t="str">
        <f t="shared" ref="B13263:B13268" si="678">"SILLA INTERLOCUTORA (FIJA) SIN BRAZOS"</f>
        <v>SILLA INTERLOCUTORA (FIJA) SIN BRAZOS</v>
      </c>
      <c r="C13263" s="6">
        <v>11235.46</v>
      </c>
      <c r="D13263" s="5"/>
      <c r="E13263" s="5" t="str">
        <f t="shared" si="677"/>
        <v>QUIMIOTERAPIA - ONCOLOGICA PISO 4°</v>
      </c>
      <c r="F13263" s="5" t="str">
        <f>"Descripcion: TAPIZADA EN PAÑO VINOTINTO Estado: Bueno Placa anterior: 000004601 Material: METALICO Color: VINOTINTO Referencia:  Observacion:  Placa padre: Tipo adquisicion: Donacion"</f>
        <v>Descripcion: TAPIZADA EN PAÑO VINOTINTO Estado: Bueno Placa anterior: 000004601 Material: METALICO Color: VINOTINTO Referencia:  Observacion:  Placa padre: Tipo adquisicion: Donacion</v>
      </c>
      <c r="G13263" s="5"/>
    </row>
    <row r="13264" spans="1:7" ht="58.5" customHeight="1" x14ac:dyDescent="0.25">
      <c r="A13264" s="5" t="str">
        <f>"H0011054"</f>
        <v>H0011054</v>
      </c>
      <c r="B13264" s="5" t="str">
        <f t="shared" si="678"/>
        <v>SILLA INTERLOCUTORA (FIJA) SIN BRAZOS</v>
      </c>
      <c r="C13264" s="6">
        <v>5610</v>
      </c>
      <c r="D13264" s="5"/>
      <c r="E13264" s="5" t="str">
        <f t="shared" si="677"/>
        <v>QUIMIOTERAPIA - ONCOLOGICA PISO 4°</v>
      </c>
      <c r="F13264" s="5" t="str">
        <f>"Descripcion: TAPIZADA EN PAÑO VINOTINTO Estado: Bueno Placa anterior: 000004394 Material: METALICO Color: VINOTINTO Referencia:  Observacion:  Placa padre: Tipo adquisicion: Donacion"</f>
        <v>Descripcion: TAPIZADA EN PAÑO VINOTINTO Estado: Bueno Placa anterior: 000004394 Material: METALICO Color: VINOTINTO Referencia:  Observacion:  Placa padre: Tipo adquisicion: Donacion</v>
      </c>
      <c r="G13264" s="5"/>
    </row>
    <row r="13265" spans="1:7" ht="58.5" customHeight="1" x14ac:dyDescent="0.25">
      <c r="A13265" s="5" t="str">
        <f>"H0011055"</f>
        <v>H0011055</v>
      </c>
      <c r="B13265" s="5" t="str">
        <f t="shared" si="678"/>
        <v>SILLA INTERLOCUTORA (FIJA) SIN BRAZOS</v>
      </c>
      <c r="C13265" s="6">
        <v>11235.46</v>
      </c>
      <c r="D13265" s="5"/>
      <c r="E13265" s="5" t="str">
        <f t="shared" si="677"/>
        <v>QUIMIOTERAPIA - ONCOLOGICA PISO 4°</v>
      </c>
      <c r="F13265" s="5" t="str">
        <f>"Descripcion: TAPIZADA EN PAÑO VINOTINTO Estado: Bueno Placa anterior: 000004591 Material: METALICO Color: VINOTINTO Referencia:  Observacion:  Placa padre: Tipo adquisicion: Donacion"</f>
        <v>Descripcion: TAPIZADA EN PAÑO VINOTINTO Estado: Bueno Placa anterior: 000004591 Material: METALICO Color: VINOTINTO Referencia:  Observacion:  Placa padre: Tipo adquisicion: Donacion</v>
      </c>
      <c r="G13265" s="5"/>
    </row>
    <row r="13266" spans="1:7" ht="58.5" customHeight="1" x14ac:dyDescent="0.25">
      <c r="A13266" s="5" t="str">
        <f>"H0011057"</f>
        <v>H0011057</v>
      </c>
      <c r="B13266" s="5" t="str">
        <f t="shared" si="678"/>
        <v>SILLA INTERLOCUTORA (FIJA) SIN BRAZOS</v>
      </c>
      <c r="C13266" s="6">
        <v>11235.46</v>
      </c>
      <c r="D13266" s="5"/>
      <c r="E13266" s="5" t="str">
        <f t="shared" ref="E13266:E13297" si="679">"QUIMIOTERAPIA - ONCOLOGICA PISO 4°"</f>
        <v>QUIMIOTERAPIA - ONCOLOGICA PISO 4°</v>
      </c>
      <c r="F13266" s="5" t="str">
        <f>"Descripcion: TAPIZADA EN PAÑO VINOTINTO Estado: Bueno Placa anterior: 000004141 Material: METALICO Color: VINOTINTO Referencia:  Observacion:  Placa padre: Tipo adquisicion: Donacion"</f>
        <v>Descripcion: TAPIZADA EN PAÑO VINOTINTO Estado: Bueno Placa anterior: 000004141 Material: METALICO Color: VINOTINTO Referencia:  Observacion:  Placa padre: Tipo adquisicion: Donacion</v>
      </c>
      <c r="G13266" s="5"/>
    </row>
    <row r="13267" spans="1:7" ht="58.5" customHeight="1" x14ac:dyDescent="0.25">
      <c r="A13267" s="5" t="str">
        <f>"H0011058"</f>
        <v>H0011058</v>
      </c>
      <c r="B13267" s="5" t="str">
        <f t="shared" si="678"/>
        <v>SILLA INTERLOCUTORA (FIJA) SIN BRAZOS</v>
      </c>
      <c r="C13267" s="6">
        <v>11235.46</v>
      </c>
      <c r="D13267" s="5"/>
      <c r="E13267" s="5" t="str">
        <f t="shared" si="679"/>
        <v>QUIMIOTERAPIA - ONCOLOGICA PISO 4°</v>
      </c>
      <c r="F13267" s="5" t="str">
        <f>"Descripcion: TAPIZADA EN PAÑO VINOTINTO Estado: Bueno Placa anterior: 000004514 Material: METALICO Color: VINOTINTO Referencia:  Observacion:  Placa padre: Tipo adquisicion: Donacion"</f>
        <v>Descripcion: TAPIZADA EN PAÑO VINOTINTO Estado: Bueno Placa anterior: 000004514 Material: METALICO Color: VINOTINTO Referencia:  Observacion:  Placa padre: Tipo adquisicion: Donacion</v>
      </c>
      <c r="G13267" s="5"/>
    </row>
    <row r="13268" spans="1:7" ht="58.5" customHeight="1" x14ac:dyDescent="0.25">
      <c r="A13268" s="5" t="str">
        <f>"H0011062"</f>
        <v>H0011062</v>
      </c>
      <c r="B13268" s="5" t="str">
        <f t="shared" si="678"/>
        <v>SILLA INTERLOCUTORA (FIJA) SIN BRAZOS</v>
      </c>
      <c r="C13268" s="6">
        <v>11235.46</v>
      </c>
      <c r="D13268" s="5"/>
      <c r="E13268" s="5" t="str">
        <f t="shared" si="679"/>
        <v>QUIMIOTERAPIA - ONCOLOGICA PISO 4°</v>
      </c>
      <c r="F13268" s="5" t="str">
        <f>"Descripcion: TAPIZADA EN PAÑO VINOTINTO Estado: Bueno Placa anterior: 000021606 Material: METALICO Color: VINOTINTO Referencia:  Observacion:  Placa padre: Tipo adquisicion: Donacion"</f>
        <v>Descripcion: TAPIZADA EN PAÑO VINOTINTO Estado: Bueno Placa anterior: 000021606 Material: METALICO Color: VINOTINTO Referencia:  Observacion:  Placa padre: Tipo adquisicion: Donacion</v>
      </c>
      <c r="G13268" s="5"/>
    </row>
    <row r="13269" spans="1:7" ht="58.5" customHeight="1" x14ac:dyDescent="0.25">
      <c r="A13269" s="5" t="str">
        <f>"H0011803"</f>
        <v>H0011803</v>
      </c>
      <c r="B13269" s="5" t="str">
        <f>"VITRINA DE 2 CUERPOS"</f>
        <v>VITRINA DE 2 CUERPOS</v>
      </c>
      <c r="C13269" s="6">
        <v>55463.58</v>
      </c>
      <c r="D13269" s="5"/>
      <c r="E13269" s="5" t="str">
        <f t="shared" si="679"/>
        <v>QUIMIOTERAPIA - ONCOLOGICA PISO 4°</v>
      </c>
      <c r="F13269" s="5" t="str">
        <f>"Descripcion: VITRINA DE 2 CUERPOS Estado: Bueno Placa anterior: 000014785 Material: METALICA Color: GRIS Referencia:  Observacion:  Placa padre: Tipo adquisicion: Entidad"</f>
        <v>Descripcion: VITRINA DE 2 CUERPOS Estado: Bueno Placa anterior: 000014785 Material: METALICA Color: GRIS Referencia:  Observacion:  Placa padre: Tipo adquisicion: Entidad</v>
      </c>
      <c r="G13269" s="5"/>
    </row>
    <row r="13270" spans="1:7" ht="58.5" customHeight="1" x14ac:dyDescent="0.25">
      <c r="A13270" s="5" t="str">
        <f>"H0012584"</f>
        <v>H0012584</v>
      </c>
      <c r="B13270" s="5" t="str">
        <f>"AIRE ACONDICIONADO TIPO SPLIT 24000 BTU"</f>
        <v>AIRE ACONDICIONADO TIPO SPLIT 24000 BTU</v>
      </c>
      <c r="C13270" s="6">
        <v>1650000</v>
      </c>
      <c r="D13270" s="5" t="s">
        <v>705</v>
      </c>
      <c r="E13270" s="5" t="str">
        <f t="shared" si="679"/>
        <v>QUIMIOTERAPIA - ONCOLOGICA PISO 4°</v>
      </c>
      <c r="F13270" s="5" t="str">
        <f>"Descripcion: AIREA ACONDICIONADO DE 24.000 BTU TIPO MINI SPLIT MARCA LG Estado: Bueno Placa anterior: 000029242 Material: PLASTICO Color: BLANCO Referencia:  Observacion:  Placa padre: Tipo adquisicion: Entidad"</f>
        <v>Descripcion: AIREA ACONDICIONADO DE 24.000 BTU TIPO MINI SPLIT MARCA LG Estado: Bueno Placa anterior: 000029242 Material: PLASTICO Color: BLANCO Referencia:  Observacion:  Placa padre: Tipo adquisicion: Entidad</v>
      </c>
      <c r="G13270" s="5" t="str">
        <f>"8J242CD"</f>
        <v>8J242CD</v>
      </c>
    </row>
    <row r="13271" spans="1:7" ht="58.5" customHeight="1" x14ac:dyDescent="0.25">
      <c r="A13271" s="5" t="str">
        <f>"H0015868"</f>
        <v>H0015868</v>
      </c>
      <c r="B13271" s="5" t="str">
        <f>"MESA PUENTE (ALIMENTACION) (INSTRUMENTAL)"</f>
        <v>MESA PUENTE (ALIMENTACION) (INSTRUMENTAL)</v>
      </c>
      <c r="C13271" s="6">
        <v>300000</v>
      </c>
      <c r="D13271" s="5"/>
      <c r="E13271" s="5" t="str">
        <f t="shared" si="679"/>
        <v>QUIMIOTERAPIA - ONCOLOGICA PISO 4°</v>
      </c>
      <c r="F13271" s="5" t="str">
        <f>"Descripcion:MESA PUENTES (MAYO) Estado: Excelente Placa anterior: 000037891 Material: METAL Y FORMICA Color: BEIGE Y MADERA Referencia:  Observacion:  Placa padre:  Tipo adquisicion : Entidad"</f>
        <v>Descripcion:MESA PUENTES (MAYO) Estado: Excelente Placa anterior: 000037891 Material: METAL Y FORMICA Color: BEIGE Y MADERA Referencia:  Observacion:  Placa padre:  Tipo adquisicion : Entidad</v>
      </c>
      <c r="G13271" s="5" t="str">
        <f>"7821"</f>
        <v>7821</v>
      </c>
    </row>
    <row r="13272" spans="1:7" ht="58.5" customHeight="1" x14ac:dyDescent="0.25">
      <c r="A13272" s="5" t="str">
        <f>"H0016188"</f>
        <v>H0016188</v>
      </c>
      <c r="B13272" s="5" t="str">
        <f>"MUEBLE (ARCHIVADOR) AEREO (GABINETE DE PARED)"</f>
        <v>MUEBLE (ARCHIVADOR) AEREO (GABINETE DE PARED)</v>
      </c>
      <c r="C13272" s="6">
        <v>600000</v>
      </c>
      <c r="D13272" s="5"/>
      <c r="E13272" s="5" t="str">
        <f t="shared" si="679"/>
        <v>QUIMIOTERAPIA - ONCOLOGICA PISO 4°</v>
      </c>
      <c r="F13272" s="5" t="str">
        <f>"Descripcion:ARCHIVADOR 2X1 EN MODF. FORMICA Y CHAPA DE SEGURIDAD Estado: Bueno Placa anterior: 000033113 Material: MADERA Color: BEIGE CLARO Referencia:  Observacion:  Placa padre:  Tipo adquisicion : Entidad"</f>
        <v>Descripcion:ARCHIVADOR 2X1 EN MODF. FORMICA Y CHAPA DE SEGURIDAD Estado: Bueno Placa anterior: 000033113 Material: MADERA Color: BEIGE CLARO Referencia:  Observacion:  Placa padre:  Tipo adquisicion : Entidad</v>
      </c>
      <c r="G13272" s="5"/>
    </row>
    <row r="13273" spans="1:7" ht="58.5" customHeight="1" x14ac:dyDescent="0.25">
      <c r="A13273" s="5" t="str">
        <f>"H0016369"</f>
        <v>H0016369</v>
      </c>
      <c r="B13273" s="5" t="str">
        <f>"MESA (SUPERFICIE) MODULAR"</f>
        <v>MESA (SUPERFICIE) MODULAR</v>
      </c>
      <c r="C13273" s="6">
        <v>103649.60000000001</v>
      </c>
      <c r="D13273" s="5"/>
      <c r="E13273" s="5" t="str">
        <f t="shared" si="679"/>
        <v>QUIMIOTERAPIA - ONCOLOGICA PISO 4°</v>
      </c>
      <c r="F13273" s="5" t="str">
        <f>"Descripcion: MESA PARA IMPRESORA Estado: Bueno Placa anterior: 000001490 Material: FORMICA Color: SUPERFICIE FORMICA BEIGS Y BASE NEGRO Referencia:  Observacion:  Placa padre: Tipo adquisicion: Entidad"</f>
        <v>Descripcion: MESA PARA IMPRESORA Estado: Bueno Placa anterior: 000001490 Material: FORMICA Color: SUPERFICIE FORMICA BEIGS Y BASE NEGRO Referencia:  Observacion:  Placa padre: Tipo adquisicion: Entidad</v>
      </c>
      <c r="G13273" s="5"/>
    </row>
    <row r="13274" spans="1:7" ht="58.5" customHeight="1" x14ac:dyDescent="0.25">
      <c r="A13274" s="5" t="str">
        <f>"H0016950"</f>
        <v>H0016950</v>
      </c>
      <c r="B13274" s="5" t="str">
        <f>"RIÑONERA HOSPITALARIA EN ACERO INOXIDABLE"</f>
        <v>RIÑONERA HOSPITALARIA EN ACERO INOXIDABLE</v>
      </c>
      <c r="C13274" s="6">
        <v>2163.9299999999998</v>
      </c>
      <c r="D13274" s="5"/>
      <c r="E13274" s="5" t="str">
        <f t="shared" si="679"/>
        <v>QUIMIOTERAPIA - ONCOLOGICA PISO 4°</v>
      </c>
      <c r="F13274" s="5" t="str">
        <f>"Descripcion:RIÑONERA Estado: Bueno Placa anterior: 000004685 Material: ACERO INOXIDABLE Color: PLATEADO     Referencia:  Observacion: AUTORIZADO CONCILIAR EN CRUCE GENERAL Placa padre:  Tipo adquisicion : Entidad"</f>
        <v>Descripcion:RIÑONERA Estado: Bueno Placa anterior: 000004685 Material: ACERO INOXIDABLE Color: PLATEADO     Referencia:  Observacion: AUTORIZADO CONCILIAR EN CRUCE GENERAL Placa padre:  Tipo adquisicion : Entidad</v>
      </c>
      <c r="G13274" s="5"/>
    </row>
    <row r="13275" spans="1:7" ht="58.5" customHeight="1" x14ac:dyDescent="0.25">
      <c r="A13275" s="5" t="str">
        <f>"H0016952"</f>
        <v>H0016952</v>
      </c>
      <c r="B13275" s="5" t="str">
        <f>"RIÑONERA HOSPITALARIA EN ACERO INOXIDABLE"</f>
        <v>RIÑONERA HOSPITALARIA EN ACERO INOXIDABLE</v>
      </c>
      <c r="C13275" s="6">
        <v>3636.63</v>
      </c>
      <c r="D13275" s="5"/>
      <c r="E13275" s="5" t="str">
        <f t="shared" si="679"/>
        <v>QUIMIOTERAPIA - ONCOLOGICA PISO 4°</v>
      </c>
      <c r="F13275" s="5" t="str">
        <f>"Descripcion:RIÑONERA Estado: Bueno Placa anterior: 000009317 Material: ACERO INOXIDABLE Color: PLATEADO     Referencia:  Observacion: EL BIEN TIENE PLACA ANTERIOR  000007555  AUTORIZADO CONCILIAR EN CRUCE GENERAL Placa padre:  Tipo adquisicion : Entidad"</f>
        <v>Descripcion:RIÑONERA Estado: Bueno Placa anterior: 000009317 Material: ACERO INOXIDABLE Color: PLATEADO     Referencia:  Observacion: EL BIEN TIENE PLACA ANTERIOR  000007555  AUTORIZADO CONCILIAR EN CRUCE GENERAL Placa padre:  Tipo adquisicion : Entidad</v>
      </c>
      <c r="G13275" s="5"/>
    </row>
    <row r="13276" spans="1:7" ht="58.5" customHeight="1" x14ac:dyDescent="0.25">
      <c r="A13276" s="5" t="str">
        <f>"H0016953"</f>
        <v>H0016953</v>
      </c>
      <c r="B13276" s="5" t="str">
        <f>"RIÑONERA HOSPITALARIA EN ACERO INOXIDABLE"</f>
        <v>RIÑONERA HOSPITALARIA EN ACERO INOXIDABLE</v>
      </c>
      <c r="C13276" s="6">
        <v>2163.9299999999998</v>
      </c>
      <c r="D13276" s="5"/>
      <c r="E13276" s="5" t="str">
        <f t="shared" si="679"/>
        <v>QUIMIOTERAPIA - ONCOLOGICA PISO 4°</v>
      </c>
      <c r="F13276" s="5" t="str">
        <f>"Descripcion:RIÑONERA Estado: Bueno Placa anterior: 000004655 Material: ACERO INOXIDABLE Color: PLATEADO     Referencia:  Observacion: AUTORIZADO CONCILIAR EN CRUCE GENERAL Placa padre:  Tipo adquisicion : Entidad"</f>
        <v>Descripcion:RIÑONERA Estado: Bueno Placa anterior: 000004655 Material: ACERO INOXIDABLE Color: PLATEADO     Referencia:  Observacion: AUTORIZADO CONCILIAR EN CRUCE GENERAL Placa padre:  Tipo adquisicion : Entidad</v>
      </c>
      <c r="G13276" s="5"/>
    </row>
    <row r="13277" spans="1:7" ht="58.5" customHeight="1" x14ac:dyDescent="0.25">
      <c r="A13277" s="5" t="str">
        <f>"H0016954"</f>
        <v>H0016954</v>
      </c>
      <c r="B13277" s="5" t="str">
        <f>"RIÑONERA HOSPITALARIA EN ACERO INOXIDABLE"</f>
        <v>RIÑONERA HOSPITALARIA EN ACERO INOXIDABLE</v>
      </c>
      <c r="C13277" s="6">
        <v>2163.9299999999998</v>
      </c>
      <c r="D13277" s="5"/>
      <c r="E13277" s="5" t="str">
        <f t="shared" si="679"/>
        <v>QUIMIOTERAPIA - ONCOLOGICA PISO 4°</v>
      </c>
      <c r="F13277" s="5" t="str">
        <f>"Descripcion:RIÑONERA Estado: Bueno Placa anterior: 000004821 Material: ACERO INOXIDABLE Color: PLATEADO     Referencia:  Observacion: AUTORIZADO CONCILIAR EN CRUCE GENERAL Placa padre:  Tipo adquisicion : Entidad"</f>
        <v>Descripcion:RIÑONERA Estado: Bueno Placa anterior: 000004821 Material: ACERO INOXIDABLE Color: PLATEADO     Referencia:  Observacion: AUTORIZADO CONCILIAR EN CRUCE GENERAL Placa padre:  Tipo adquisicion : Entidad</v>
      </c>
      <c r="G13277" s="5"/>
    </row>
    <row r="13278" spans="1:7" ht="58.5" customHeight="1" x14ac:dyDescent="0.25">
      <c r="A13278" s="5" t="str">
        <f>"H0016955"</f>
        <v>H0016955</v>
      </c>
      <c r="B13278" s="5" t="str">
        <f>"RIÑONERA HOSPITALARIA EN ACERO INOXIDABLE"</f>
        <v>RIÑONERA HOSPITALARIA EN ACERO INOXIDABLE</v>
      </c>
      <c r="C13278" s="6">
        <v>2163.9299999999998</v>
      </c>
      <c r="D13278" s="5"/>
      <c r="E13278" s="5" t="str">
        <f t="shared" si="679"/>
        <v>QUIMIOTERAPIA - ONCOLOGICA PISO 4°</v>
      </c>
      <c r="F13278" s="5" t="str">
        <f>"Descripcion:RIÑONERA Estado: Bueno Placa anterior: 000004034 Material: ACERO INOXIDABLE Color: PLATEADO     Referencia:  Observacion: AUTORIZADO CONCILIAR EN CRUCE GENERAL Placa padre:  Tipo adquisicion : Entidad"</f>
        <v>Descripcion:RIÑONERA Estado: Bueno Placa anterior: 000004034 Material: ACERO INOXIDABLE Color: PLATEADO     Referencia:  Observacion: AUTORIZADO CONCILIAR EN CRUCE GENERAL Placa padre:  Tipo adquisicion : Entidad</v>
      </c>
      <c r="G13278" s="5"/>
    </row>
    <row r="13279" spans="1:7" ht="58.5" customHeight="1" x14ac:dyDescent="0.25">
      <c r="A13279" s="5" t="str">
        <f>"H0020627"</f>
        <v>H0020627</v>
      </c>
      <c r="B13279" s="5" t="str">
        <f>"BIOMBO METALICO DE 3 CUERPOS"</f>
        <v>BIOMBO METALICO DE 3 CUERPOS</v>
      </c>
      <c r="C13279" s="6">
        <v>9240</v>
      </c>
      <c r="D13279" s="5"/>
      <c r="E13279" s="5" t="str">
        <f t="shared" si="679"/>
        <v>QUIMIOTERAPIA - ONCOLOGICA PISO 4°</v>
      </c>
      <c r="F13279" s="5" t="str">
        <f>"Descripcion: BIOMBO TIPO B (3 CUERPOS)TELA COLOR VERDE Estado: Bueno Placa anterior: 000009335 Material: METALICO Color: BEIGE Referencia:  Observacion:  Placa padre: Tipo adquisicion: Entidad"</f>
        <v>Descripcion: BIOMBO TIPO B (3 CUERPOS)TELA COLOR VERDE Estado: Bueno Placa anterior: 000009335 Material: METALICO Color: BEIGE Referencia:  Observacion:  Placa padre: Tipo adquisicion: Entidad</v>
      </c>
      <c r="G13279" s="5"/>
    </row>
    <row r="13280" spans="1:7" ht="58.5" customHeight="1" x14ac:dyDescent="0.25">
      <c r="A13280" s="5" t="str">
        <f>"H0021342"</f>
        <v>H0021342</v>
      </c>
      <c r="B13280" s="5" t="str">
        <f>"CAMILLA FIJA"</f>
        <v>CAMILLA FIJA</v>
      </c>
      <c r="C13280" s="6">
        <v>133045</v>
      </c>
      <c r="D13280" s="5"/>
      <c r="E13280" s="5" t="str">
        <f t="shared" si="679"/>
        <v>QUIMIOTERAPIA - ONCOLOGICA PISO 4°</v>
      </c>
      <c r="F13280" s="5" t="str">
        <f>"Descripcion:CAMILLA PARA EXAMEN Estado: Inservible Placa anterior: 000008788 Material:  Color: GRIS Referencia:  Observacion:  Placa padre:  Tipo adquisicion : Entidad"</f>
        <v>Descripcion:CAMILLA PARA EXAMEN Estado: Inservible Placa anterior: 000008788 Material:  Color: GRIS Referencia:  Observacion:  Placa padre:  Tipo adquisicion : Entidad</v>
      </c>
      <c r="G13280" s="5"/>
    </row>
    <row r="13281" spans="1:7" ht="58.5" customHeight="1" x14ac:dyDescent="0.25">
      <c r="A13281" s="5" t="str">
        <f>"H0021465"</f>
        <v>H0021465</v>
      </c>
      <c r="B13281" s="5" t="str">
        <f>"PLANTA DOMESTICA A BASE DE OZONO"</f>
        <v>PLANTA DOMESTICA A BASE DE OZONO</v>
      </c>
      <c r="C13281" s="6">
        <v>275000</v>
      </c>
      <c r="D13281" s="5" t="s">
        <v>62</v>
      </c>
      <c r="E13281" s="5" t="str">
        <f t="shared" si="679"/>
        <v>QUIMIOTERAPIA - ONCOLOGICA PISO 4°</v>
      </c>
      <c r="F13281" s="5"/>
      <c r="G13281" s="5"/>
    </row>
    <row r="13282" spans="1:7" ht="58.5" customHeight="1" x14ac:dyDescent="0.25">
      <c r="A13282" s="5" t="str">
        <f>"H0021638"</f>
        <v>H0021638</v>
      </c>
      <c r="B13282" s="5" t="str">
        <f>"BIOMBO METALICO DE 3 CUERPOS"</f>
        <v>BIOMBO METALICO DE 3 CUERPOS</v>
      </c>
      <c r="C13282" s="6">
        <v>307400</v>
      </c>
      <c r="D13282" s="5" t="s">
        <v>166</v>
      </c>
      <c r="E13282" s="5" t="str">
        <f t="shared" si="679"/>
        <v>QUIMIOTERAPIA - ONCOLOGICA PISO 4°</v>
      </c>
      <c r="F13282" s="5" t="str">
        <f>"Descripcion:BIOMBO DE 3 CUERPOS Estado: Regular Placa anterior: 000031484 Material: METALICO Color: BEIGE Referencia:  Observacion: AUTORIZADO CONCILIAR EN CRUCE GENERAL Placa padre:  Tipo adquisicion : Entidad"</f>
        <v>Descripcion:BIOMBO DE 3 CUERPOS Estado: Regular Placa anterior: 000031484 Material: METALICO Color: BEIGE Referencia:  Observacion: AUTORIZADO CONCILIAR EN CRUCE GENERAL Placa padre:  Tipo adquisicion : Entidad</v>
      </c>
      <c r="G13282" s="5"/>
    </row>
    <row r="13283" spans="1:7" ht="58.5" customHeight="1" x14ac:dyDescent="0.25">
      <c r="A13283" s="5" t="str">
        <f>"H0022409"</f>
        <v>H0022409</v>
      </c>
      <c r="B13283" s="5" t="str">
        <f>"AIRE ACONDICIONADO DE 36000 BTU PISO TECHO"</f>
        <v>AIRE ACONDICIONADO DE 36000 BTU PISO TECHO</v>
      </c>
      <c r="C13283" s="6">
        <v>4036800</v>
      </c>
      <c r="D13283" s="5" t="s">
        <v>706</v>
      </c>
      <c r="E13283" s="5" t="str">
        <f t="shared" si="679"/>
        <v>QUIMIOTERAPIA - ONCOLOGICA PISO 4°</v>
      </c>
      <c r="F13283" s="5" t="str">
        <f>"SERIAL   MIC-20823-90002"</f>
        <v>SERIAL   MIC-20823-90002</v>
      </c>
      <c r="G13283" s="5" t="str">
        <f>"MCS-102036-CCU216A"</f>
        <v>MCS-102036-CCU216A</v>
      </c>
    </row>
    <row r="13284" spans="1:7" ht="58.5" customHeight="1" x14ac:dyDescent="0.25">
      <c r="A13284" s="5" t="str">
        <f>"H0022411"</f>
        <v>H0022411</v>
      </c>
      <c r="B13284" s="5" t="str">
        <f>"AIRE ACONDICIONADO 18000 BTU"</f>
        <v>AIRE ACONDICIONADO 18000 BTU</v>
      </c>
      <c r="C13284" s="6">
        <v>2079999.5</v>
      </c>
      <c r="D13284" s="5" t="s">
        <v>706</v>
      </c>
      <c r="E13284" s="5" t="str">
        <f t="shared" si="679"/>
        <v>QUIMIOTERAPIA - ONCOLOGICA PISO 4°</v>
      </c>
      <c r="F13284" s="5" t="str">
        <f>"SERIAL  ODLWPAEH600253"</f>
        <v>SERIAL  ODLWPAEH600253</v>
      </c>
      <c r="G13284" s="5" t="str">
        <f>"AR18JVSSCWKN"</f>
        <v>AR18JVSSCWKN</v>
      </c>
    </row>
    <row r="13285" spans="1:7" ht="58.5" customHeight="1" x14ac:dyDescent="0.25">
      <c r="A13285" s="5" t="str">
        <f>"H0022412"</f>
        <v>H0022412</v>
      </c>
      <c r="B13285" s="5" t="str">
        <f>"AIRE ACONDICIONADO 18000 BTU"</f>
        <v>AIRE ACONDICIONADO 18000 BTU</v>
      </c>
      <c r="C13285" s="6">
        <v>2079999.5</v>
      </c>
      <c r="D13285" s="5" t="s">
        <v>706</v>
      </c>
      <c r="E13285" s="5" t="str">
        <f t="shared" si="679"/>
        <v>QUIMIOTERAPIA - ONCOLOGICA PISO 4°</v>
      </c>
      <c r="F13285" s="5" t="str">
        <f>"SERIAL CONDESADORA  0DLWPAEH600087"</f>
        <v>SERIAL CONDESADORA  0DLWPAEH600087</v>
      </c>
      <c r="G13285" s="5" t="str">
        <f>"AR18JVSSCWKX"</f>
        <v>AR18JVSSCWKX</v>
      </c>
    </row>
    <row r="13286" spans="1:7" ht="58.5" customHeight="1" x14ac:dyDescent="0.25">
      <c r="A13286" s="5" t="str">
        <f>"H0022413"</f>
        <v>H0022413</v>
      </c>
      <c r="B13286" s="5" t="str">
        <f>"AIRE ACONDICIONADO 18000 BTU"</f>
        <v>AIRE ACONDICIONADO 18000 BTU</v>
      </c>
      <c r="C13286" s="6">
        <v>2079999.5</v>
      </c>
      <c r="D13286" s="5" t="s">
        <v>706</v>
      </c>
      <c r="E13286" s="5" t="str">
        <f t="shared" si="679"/>
        <v>QUIMIOTERAPIA - ONCOLOGICA PISO 4°</v>
      </c>
      <c r="F13286" s="5" t="str">
        <f>"SERIAL  CONDESADORA  0DLWPAEH600189"</f>
        <v>SERIAL  CONDESADORA  0DLWPAEH600189</v>
      </c>
      <c r="G13286" s="5" t="str">
        <f>"AR18JVSSCWKN"</f>
        <v>AR18JVSSCWKN</v>
      </c>
    </row>
    <row r="13287" spans="1:7" ht="58.5" customHeight="1" x14ac:dyDescent="0.25">
      <c r="A13287" s="5" t="str">
        <f>"H0022414"</f>
        <v>H0022414</v>
      </c>
      <c r="B13287" s="5" t="str">
        <f>"AIRE ACONDICIONADO 18000 BTU"</f>
        <v>AIRE ACONDICIONADO 18000 BTU</v>
      </c>
      <c r="C13287" s="6">
        <v>2079999.5</v>
      </c>
      <c r="D13287" s="5" t="s">
        <v>706</v>
      </c>
      <c r="E13287" s="5" t="str">
        <f t="shared" si="679"/>
        <v>QUIMIOTERAPIA - ONCOLOGICA PISO 4°</v>
      </c>
      <c r="F13287" s="5" t="str">
        <f>"SERIAL CONDESADORA  ODLWPADH600098"</f>
        <v>SERIAL CONDESADORA  ODLWPADH600098</v>
      </c>
      <c r="G13287" s="5" t="str">
        <f>"AR18JVSSCWKN"</f>
        <v>AR18JVSSCWKN</v>
      </c>
    </row>
    <row r="13288" spans="1:7" ht="58.5" customHeight="1" x14ac:dyDescent="0.25">
      <c r="A13288" s="5" t="str">
        <f>"H0022417"</f>
        <v>H0022417</v>
      </c>
      <c r="B13288" s="5" t="str">
        <f>"MARTILLO DE REFLEJOS"</f>
        <v>MARTILLO DE REFLEJOS</v>
      </c>
      <c r="C13288" s="6">
        <v>18505.48</v>
      </c>
      <c r="D13288" s="5" t="s">
        <v>455</v>
      </c>
      <c r="E13288" s="5" t="str">
        <f t="shared" si="679"/>
        <v>QUIMIOTERAPIA - ONCOLOGICA PISO 4°</v>
      </c>
      <c r="F13288" s="5"/>
      <c r="G13288" s="5"/>
    </row>
    <row r="13289" spans="1:7" ht="58.5" customHeight="1" x14ac:dyDescent="0.25">
      <c r="A13289" s="5" t="str">
        <f>"H0022418"</f>
        <v>H0022418</v>
      </c>
      <c r="B13289" s="5" t="str">
        <f>"MARTILLO DE REFLEJOS"</f>
        <v>MARTILLO DE REFLEJOS</v>
      </c>
      <c r="C13289" s="6">
        <v>18505.48</v>
      </c>
      <c r="D13289" s="5" t="s">
        <v>455</v>
      </c>
      <c r="E13289" s="5" t="str">
        <f t="shared" si="679"/>
        <v>QUIMIOTERAPIA - ONCOLOGICA PISO 4°</v>
      </c>
      <c r="F13289" s="5"/>
      <c r="G13289" s="5"/>
    </row>
    <row r="13290" spans="1:7" ht="58.5" customHeight="1" x14ac:dyDescent="0.25">
      <c r="A13290" s="5" t="str">
        <f>"H0022440"</f>
        <v>H0022440</v>
      </c>
      <c r="B13290" s="5" t="str">
        <f>"KIT TERMOMETRO + FONENDOSCOPIO PEDIATRICO"</f>
        <v>KIT TERMOMETRO + FONENDOSCOPIO PEDIATRICO</v>
      </c>
      <c r="C13290" s="6">
        <v>81200</v>
      </c>
      <c r="D13290" s="5" t="s">
        <v>455</v>
      </c>
      <c r="E13290" s="5" t="str">
        <f t="shared" si="679"/>
        <v>QUIMIOTERAPIA - ONCOLOGICA PISO 4°</v>
      </c>
      <c r="F13290" s="5"/>
      <c r="G13290" s="5"/>
    </row>
    <row r="13291" spans="1:7" ht="58.5" customHeight="1" x14ac:dyDescent="0.25">
      <c r="A13291" s="5" t="str">
        <f>"H0024148"</f>
        <v>H0024148</v>
      </c>
      <c r="B13291" s="5" t="str">
        <f>"EXTINTORES 3700 grs DE AGENTE LIMPIO"</f>
        <v>EXTINTORES 3700 grs DE AGENTE LIMPIO</v>
      </c>
      <c r="C13291" s="6">
        <v>330000.01</v>
      </c>
      <c r="D13291" s="5" t="s">
        <v>458</v>
      </c>
      <c r="E13291" s="5" t="str">
        <f t="shared" si="679"/>
        <v>QUIMIOTERAPIA - ONCOLOGICA PISO 4°</v>
      </c>
      <c r="F13291" s="5"/>
      <c r="G13291" s="5"/>
    </row>
    <row r="13292" spans="1:7" ht="58.5" customHeight="1" x14ac:dyDescent="0.25">
      <c r="A13292" s="5" t="str">
        <f>"H0024155"</f>
        <v>H0024155</v>
      </c>
      <c r="B13292" s="5" t="str">
        <f>"EXTINTORES 3700 grs DE AGENTE LIMPIO"</f>
        <v>EXTINTORES 3700 grs DE AGENTE LIMPIO</v>
      </c>
      <c r="C13292" s="6">
        <v>330000.01</v>
      </c>
      <c r="D13292" s="5" t="s">
        <v>458</v>
      </c>
      <c r="E13292" s="5" t="str">
        <f t="shared" si="679"/>
        <v>QUIMIOTERAPIA - ONCOLOGICA PISO 4°</v>
      </c>
      <c r="F13292" s="5"/>
      <c r="G13292" s="5"/>
    </row>
    <row r="13293" spans="1:7" ht="58.5" customHeight="1" x14ac:dyDescent="0.25">
      <c r="A13293" s="5" t="str">
        <f>"H0024302"</f>
        <v>H0024302</v>
      </c>
      <c r="B13293" s="5" t="str">
        <f>"SILLA TANDEM DE 4 PUESTOS"</f>
        <v>SILLA TANDEM DE 4 PUESTOS</v>
      </c>
      <c r="C13293" s="6">
        <v>747040</v>
      </c>
      <c r="D13293" s="5" t="s">
        <v>64</v>
      </c>
      <c r="E13293" s="5" t="str">
        <f t="shared" si="679"/>
        <v>QUIMIOTERAPIA - ONCOLOGICA PISO 4°</v>
      </c>
      <c r="F13293" s="5"/>
      <c r="G13293" s="5"/>
    </row>
    <row r="13294" spans="1:7" ht="58.5" customHeight="1" x14ac:dyDescent="0.25">
      <c r="A13294" s="5" t="str">
        <f>"H0024303"</f>
        <v>H0024303</v>
      </c>
      <c r="B13294" s="5" t="str">
        <f>"SILLA TANDEM DE 4 PUESTOS"</f>
        <v>SILLA TANDEM DE 4 PUESTOS</v>
      </c>
      <c r="C13294" s="6">
        <v>747040</v>
      </c>
      <c r="D13294" s="5" t="s">
        <v>64</v>
      </c>
      <c r="E13294" s="5" t="str">
        <f t="shared" si="679"/>
        <v>QUIMIOTERAPIA - ONCOLOGICA PISO 4°</v>
      </c>
      <c r="F13294" s="5"/>
      <c r="G13294" s="5"/>
    </row>
    <row r="13295" spans="1:7" ht="58.5" customHeight="1" x14ac:dyDescent="0.25">
      <c r="A13295" s="5" t="str">
        <f>"H0024971"</f>
        <v>H0024971</v>
      </c>
      <c r="B13295" s="5" t="str">
        <f>"SILLA TANDEM DE 4 PUESTOS"</f>
        <v>SILLA TANDEM DE 4 PUESTOS</v>
      </c>
      <c r="C13295" s="6">
        <v>747040</v>
      </c>
      <c r="D13295" s="5" t="s">
        <v>644</v>
      </c>
      <c r="E13295" s="5" t="str">
        <f t="shared" si="679"/>
        <v>QUIMIOTERAPIA - ONCOLOGICA PISO 4°</v>
      </c>
      <c r="F13295" s="5"/>
      <c r="G13295" s="5"/>
    </row>
    <row r="13296" spans="1:7" ht="58.5" customHeight="1" x14ac:dyDescent="0.25">
      <c r="A13296" s="5" t="str">
        <f>"H0024972"</f>
        <v>H0024972</v>
      </c>
      <c r="B13296" s="5" t="str">
        <f>"SILLA TANDEM DE 4 PUESTOS"</f>
        <v>SILLA TANDEM DE 4 PUESTOS</v>
      </c>
      <c r="C13296" s="6">
        <v>747040</v>
      </c>
      <c r="D13296" s="5" t="s">
        <v>644</v>
      </c>
      <c r="E13296" s="5" t="str">
        <f t="shared" si="679"/>
        <v>QUIMIOTERAPIA - ONCOLOGICA PISO 4°</v>
      </c>
      <c r="F13296" s="5"/>
      <c r="G13296" s="5"/>
    </row>
    <row r="13297" spans="1:7" ht="58.5" customHeight="1" x14ac:dyDescent="0.25">
      <c r="A13297" s="5" t="str">
        <f>"H0025536"</f>
        <v>H0025536</v>
      </c>
      <c r="B13297" s="5" t="str">
        <f>"SILLAS AVI/T FORRADAS EN CORDOBÁN COLOR NARANJA"</f>
        <v>SILLAS AVI/T FORRADAS EN CORDOBÁN COLOR NARANJA</v>
      </c>
      <c r="C13297" s="6">
        <v>154700</v>
      </c>
      <c r="D13297" s="5" t="s">
        <v>66</v>
      </c>
      <c r="E13297" s="5" t="str">
        <f t="shared" si="679"/>
        <v>QUIMIOTERAPIA - ONCOLOGICA PISO 4°</v>
      </c>
      <c r="F13297" s="5"/>
      <c r="G13297" s="5"/>
    </row>
    <row r="13298" spans="1:7" ht="58.5" customHeight="1" x14ac:dyDescent="0.25">
      <c r="A13298" s="5" t="str">
        <f>"H0025649"</f>
        <v>H0025649</v>
      </c>
      <c r="B13298" s="5" t="str">
        <f>"TENSIOMETRO ANEROIDE DE PEDESTAL (PIE) PARA ADULTO"</f>
        <v>TENSIOMETRO ANEROIDE DE PEDESTAL (PIE) PARA ADULTO</v>
      </c>
      <c r="C13298" s="6">
        <v>538352.5</v>
      </c>
      <c r="D13298" s="5" t="s">
        <v>525</v>
      </c>
      <c r="E13298" s="5" t="str">
        <f t="shared" ref="E13298:E13329" si="680">"QUIMIOTERAPIA - ONCOLOGICA PISO 4°"</f>
        <v>QUIMIOTERAPIA - ONCOLOGICA PISO 4°</v>
      </c>
      <c r="F13298" s="5"/>
      <c r="G13298" s="5"/>
    </row>
    <row r="13299" spans="1:7" ht="58.5" customHeight="1" x14ac:dyDescent="0.25">
      <c r="A13299" s="5" t="str">
        <f>"H0025650"</f>
        <v>H0025650</v>
      </c>
      <c r="B13299" s="5" t="str">
        <f>"TENSIOMETRO ANEROIDE DE PEDESTAL (PIE) PARA ADULTO"</f>
        <v>TENSIOMETRO ANEROIDE DE PEDESTAL (PIE) PARA ADULTO</v>
      </c>
      <c r="C13299" s="6">
        <v>538352.5</v>
      </c>
      <c r="D13299" s="5" t="s">
        <v>707</v>
      </c>
      <c r="E13299" s="5" t="str">
        <f t="shared" si="680"/>
        <v>QUIMIOTERAPIA - ONCOLOGICA PISO 4°</v>
      </c>
      <c r="F13299" s="5"/>
      <c r="G13299" s="5"/>
    </row>
    <row r="13300" spans="1:7" ht="58.5" customHeight="1" x14ac:dyDescent="0.25">
      <c r="A13300" s="5" t="str">
        <f>"H0025769"</f>
        <v>H0025769</v>
      </c>
      <c r="B13300" s="5" t="str">
        <f>"SP NEVERA NO FROST CHALLENGER 232 LTS sin ACR 3129"</f>
        <v>SP NEVERA NO FROST CHALLENGER 232 LTS sin ACR 3129</v>
      </c>
      <c r="C13300" s="6">
        <v>820000</v>
      </c>
      <c r="D13300" s="5" t="s">
        <v>708</v>
      </c>
      <c r="E13300" s="5" t="str">
        <f t="shared" si="680"/>
        <v>QUIMIOTERAPIA - ONCOLOGICA PISO 4°</v>
      </c>
      <c r="F13300" s="5"/>
      <c r="G13300" s="5"/>
    </row>
    <row r="13301" spans="1:7" ht="58.5" customHeight="1" x14ac:dyDescent="0.25">
      <c r="A13301" s="5" t="str">
        <f>"H0026044"</f>
        <v>H0026044</v>
      </c>
      <c r="B13301" s="5" t="str">
        <f>"SILLA DE RUEDAS"</f>
        <v>SILLA DE RUEDAS</v>
      </c>
      <c r="C13301" s="6">
        <v>280000</v>
      </c>
      <c r="D13301" s="5" t="s">
        <v>77</v>
      </c>
      <c r="E13301" s="5" t="str">
        <f t="shared" si="680"/>
        <v>QUIMIOTERAPIA - ONCOLOGICA PISO 4°</v>
      </c>
      <c r="F13301" s="5"/>
      <c r="G13301" s="5"/>
    </row>
    <row r="13302" spans="1:7" ht="58.5" customHeight="1" x14ac:dyDescent="0.25">
      <c r="A13302" s="5" t="str">
        <f>"H0026802"</f>
        <v>H0026802</v>
      </c>
      <c r="B13302"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3302" s="6">
        <v>3296300</v>
      </c>
      <c r="D13302" s="5" t="s">
        <v>37</v>
      </c>
      <c r="E13302" s="5" t="str">
        <f t="shared" si="680"/>
        <v>QUIMIOTERAPIA - ONCOLOGICA PISO 4°</v>
      </c>
      <c r="F13302" s="5"/>
      <c r="G13302" s="5"/>
    </row>
    <row r="13303" spans="1:7" ht="58.5" customHeight="1" x14ac:dyDescent="0.25">
      <c r="A13303" s="5" t="str">
        <f>"H0027076"</f>
        <v>H0027076</v>
      </c>
      <c r="B13303" s="5" t="str">
        <f>"BOMBA DE INFUSION"</f>
        <v>BOMBA DE INFUSION</v>
      </c>
      <c r="C13303" s="6">
        <v>1200000</v>
      </c>
      <c r="D13303" s="5" t="s">
        <v>81</v>
      </c>
      <c r="E13303" s="5" t="str">
        <f t="shared" si="680"/>
        <v>QUIMIOTERAPIA - ONCOLOGICA PISO 4°</v>
      </c>
      <c r="F13303" s="5"/>
      <c r="G13303" s="5"/>
    </row>
    <row r="13304" spans="1:7" ht="58.5" customHeight="1" x14ac:dyDescent="0.25">
      <c r="A13304" s="5" t="str">
        <f>"H0028650"</f>
        <v>H0028650</v>
      </c>
      <c r="B13304" s="5" t="str">
        <f>"BOTÓN DE EMERGENCIA PÁNICO SOS FIJO WIRELESS"</f>
        <v>BOTÓN DE EMERGENCIA PÁNICO SOS FIJO WIRELESS</v>
      </c>
      <c r="C13304" s="6">
        <v>297500</v>
      </c>
      <c r="D13304" s="5" t="s">
        <v>87</v>
      </c>
      <c r="E13304" s="5" t="str">
        <f t="shared" si="680"/>
        <v>QUIMIOTERAPIA - ONCOLOGICA PISO 4°</v>
      </c>
      <c r="F13304" s="5"/>
      <c r="G13304" s="5"/>
    </row>
    <row r="13305" spans="1:7" ht="58.5" customHeight="1" x14ac:dyDescent="0.25">
      <c r="A13305" s="5" t="str">
        <f>"H0028721"</f>
        <v>H0028721</v>
      </c>
      <c r="B13305" s="5" t="str">
        <f>"LÁMPARA RECARGABLE DE EMERGENCIA 60 BOMBILLOS LED LUZ BLANCA"</f>
        <v>LÁMPARA RECARGABLE DE EMERGENCIA 60 BOMBILLOS LED LUZ BLANCA</v>
      </c>
      <c r="C13305" s="6">
        <v>255850</v>
      </c>
      <c r="D13305" s="5" t="s">
        <v>87</v>
      </c>
      <c r="E13305" s="5" t="str">
        <f t="shared" si="680"/>
        <v>QUIMIOTERAPIA - ONCOLOGICA PISO 4°</v>
      </c>
      <c r="F13305" s="5"/>
      <c r="G13305" s="5"/>
    </row>
    <row r="13306" spans="1:7" ht="58.5" customHeight="1" x14ac:dyDescent="0.25">
      <c r="A13306" s="5" t="str">
        <f>"H0028722"</f>
        <v>H0028722</v>
      </c>
      <c r="B13306" s="5" t="str">
        <f>"LÁMPARA RECARGABLE DE EMERGENCIA 60 BOMBILLOS LED LUZ BLANCA"</f>
        <v>LÁMPARA RECARGABLE DE EMERGENCIA 60 BOMBILLOS LED LUZ BLANCA</v>
      </c>
      <c r="C13306" s="6">
        <v>255850</v>
      </c>
      <c r="D13306" s="5" t="s">
        <v>87</v>
      </c>
      <c r="E13306" s="5" t="str">
        <f t="shared" si="680"/>
        <v>QUIMIOTERAPIA - ONCOLOGICA PISO 4°</v>
      </c>
      <c r="F13306" s="5"/>
      <c r="G13306" s="5"/>
    </row>
    <row r="13307" spans="1:7" ht="58.5" customHeight="1" x14ac:dyDescent="0.25">
      <c r="A13307" s="5" t="str">
        <f>"H0029206"</f>
        <v>H0029206</v>
      </c>
      <c r="B13307" s="5" t="str">
        <f>"CAMILLA FIJA (TIPO DIVAN)"</f>
        <v>CAMILLA FIJA (TIPO DIVAN)</v>
      </c>
      <c r="C13307" s="6">
        <v>238000</v>
      </c>
      <c r="D13307" s="5" t="s">
        <v>613</v>
      </c>
      <c r="E13307" s="5" t="str">
        <f t="shared" si="680"/>
        <v>QUIMIOTERAPIA - ONCOLOGICA PISO 4°</v>
      </c>
      <c r="F13307" s="5"/>
      <c r="G13307" s="5"/>
    </row>
    <row r="13308" spans="1:7" ht="58.5" customHeight="1" x14ac:dyDescent="0.25">
      <c r="A13308" s="5" t="str">
        <f>"H0030018"</f>
        <v>H0030018</v>
      </c>
      <c r="B13308" s="5" t="str">
        <f>"SILLA MULTIPROPOSITO LOS PINOS CON UPS"</f>
        <v>SILLA MULTIPROPOSITO LOS PINOS CON UPS</v>
      </c>
      <c r="C13308" s="6">
        <v>3000000</v>
      </c>
      <c r="D13308" s="5" t="s">
        <v>227</v>
      </c>
      <c r="E13308" s="5" t="str">
        <f t="shared" si="680"/>
        <v>QUIMIOTERAPIA - ONCOLOGICA PISO 4°</v>
      </c>
      <c r="F13308" s="5"/>
      <c r="G13308" s="5"/>
    </row>
    <row r="13309" spans="1:7" ht="58.5" customHeight="1" x14ac:dyDescent="0.25">
      <c r="A13309" s="5" t="str">
        <f>"H0031794"</f>
        <v>H0031794</v>
      </c>
      <c r="B13309" s="5" t="str">
        <f>"LOCKER DE 12 PUERTAS 1.39X1.66X0.35 MELAMINA RH COLOR BLANCO INCLUYE CERRADURAY MANIJA POR CASILLERO"</f>
        <v>LOCKER DE 12 PUERTAS 1.39X1.66X0.35 MELAMINA RH COLOR BLANCO INCLUYE CERRADURAY MANIJA POR CASILLERO</v>
      </c>
      <c r="C13309" s="6">
        <v>1450000</v>
      </c>
      <c r="D13309" s="5" t="s">
        <v>253</v>
      </c>
      <c r="E13309" s="5" t="str">
        <f t="shared" si="680"/>
        <v>QUIMIOTERAPIA - ONCOLOGICA PISO 4°</v>
      </c>
      <c r="F13309" s="5"/>
      <c r="G13309" s="5"/>
    </row>
    <row r="13310" spans="1:7" ht="58.5" customHeight="1" x14ac:dyDescent="0.25">
      <c r="A13310" s="5" t="str">
        <f>"H0031958"</f>
        <v>H0031958</v>
      </c>
      <c r="B13310" s="5" t="str">
        <f>"BOMBA DE INFUSION"</f>
        <v>BOMBA DE INFUSION</v>
      </c>
      <c r="C13310" s="6">
        <v>1900000</v>
      </c>
      <c r="D13310" s="5" t="s">
        <v>107</v>
      </c>
      <c r="E13310" s="5" t="str">
        <f t="shared" si="680"/>
        <v>QUIMIOTERAPIA - ONCOLOGICA PISO 4°</v>
      </c>
      <c r="F13310" s="5"/>
      <c r="G13310" s="5"/>
    </row>
    <row r="13311" spans="1:7" ht="58.5" customHeight="1" x14ac:dyDescent="0.25">
      <c r="A13311" s="5" t="str">
        <f>"H0031981"</f>
        <v>H0031981</v>
      </c>
      <c r="B13311" s="5" t="str">
        <f>"BOMBA DE INFUSION"</f>
        <v>BOMBA DE INFUSION</v>
      </c>
      <c r="C13311" s="6">
        <v>1900000</v>
      </c>
      <c r="D13311" s="5" t="s">
        <v>107</v>
      </c>
      <c r="E13311" s="5" t="str">
        <f t="shared" si="680"/>
        <v>QUIMIOTERAPIA - ONCOLOGICA PISO 4°</v>
      </c>
      <c r="F13311" s="5"/>
      <c r="G13311" s="5"/>
    </row>
    <row r="13312" spans="1:7" ht="58.5" customHeight="1" x14ac:dyDescent="0.25">
      <c r="A13312" s="5" t="str">
        <f>"H0031982"</f>
        <v>H0031982</v>
      </c>
      <c r="B13312" s="5" t="str">
        <f>"BOMBA DE INFUSION"</f>
        <v>BOMBA DE INFUSION</v>
      </c>
      <c r="C13312" s="6">
        <v>1900000</v>
      </c>
      <c r="D13312" s="5" t="s">
        <v>107</v>
      </c>
      <c r="E13312" s="5" t="str">
        <f t="shared" si="680"/>
        <v>QUIMIOTERAPIA - ONCOLOGICA PISO 4°</v>
      </c>
      <c r="F13312" s="5"/>
      <c r="G13312" s="5"/>
    </row>
    <row r="13313" spans="1:7" ht="58.5" customHeight="1" x14ac:dyDescent="0.25">
      <c r="A13313" s="5" t="str">
        <f>"H0031984"</f>
        <v>H0031984</v>
      </c>
      <c r="B13313" s="5" t="str">
        <f>"BOMBA DE INFUSION"</f>
        <v>BOMBA DE INFUSION</v>
      </c>
      <c r="C13313" s="6">
        <v>1900000</v>
      </c>
      <c r="D13313" s="5" t="s">
        <v>107</v>
      </c>
      <c r="E13313" s="5" t="str">
        <f t="shared" si="680"/>
        <v>QUIMIOTERAPIA - ONCOLOGICA PISO 4°</v>
      </c>
      <c r="F13313" s="5"/>
      <c r="G13313" s="5"/>
    </row>
    <row r="13314" spans="1:7" ht="58.5" customHeight="1" x14ac:dyDescent="0.25">
      <c r="A13314" s="5" t="str">
        <f>"H0032273"</f>
        <v>H0032273</v>
      </c>
      <c r="B13314"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13314" s="6">
        <v>901008.5</v>
      </c>
      <c r="D13314" s="5" t="s">
        <v>413</v>
      </c>
      <c r="E13314" s="5" t="str">
        <f t="shared" si="680"/>
        <v>QUIMIOTERAPIA - ONCOLOGICA PISO 4°</v>
      </c>
      <c r="F13314" s="5"/>
      <c r="G13314" s="5"/>
    </row>
    <row r="13315" spans="1:7" ht="58.5" customHeight="1" x14ac:dyDescent="0.25">
      <c r="A13315" s="5" t="str">
        <f>"H0032287"</f>
        <v>H0032287</v>
      </c>
      <c r="B13315" s="5" t="str">
        <f>"Escritorio lineal superficie en formica con archivador 3 gabetas (DONACION)"</f>
        <v>Escritorio lineal superficie en formica con archivador 3 gabetas (DONACION)</v>
      </c>
      <c r="C13315" s="6">
        <v>400000</v>
      </c>
      <c r="D13315" s="5" t="s">
        <v>45</v>
      </c>
      <c r="E13315" s="5" t="str">
        <f t="shared" si="680"/>
        <v>QUIMIOTERAPIA - ONCOLOGICA PISO 4°</v>
      </c>
      <c r="F13315" s="5"/>
      <c r="G13315" s="5"/>
    </row>
    <row r="13316" spans="1:7" ht="58.5" customHeight="1" x14ac:dyDescent="0.25">
      <c r="A13316" s="5" t="str">
        <f>"H0032327"</f>
        <v>H0032327</v>
      </c>
      <c r="B13316" s="5" t="str">
        <f>"SOPORTE PEDESTAL MONITOR"</f>
        <v>SOPORTE PEDESTAL MONITOR</v>
      </c>
      <c r="C13316" s="6">
        <v>1140020</v>
      </c>
      <c r="D13316" s="5" t="s">
        <v>232</v>
      </c>
      <c r="E13316" s="5" t="str">
        <f t="shared" si="680"/>
        <v>QUIMIOTERAPIA - ONCOLOGICA PISO 4°</v>
      </c>
      <c r="F13316" s="5"/>
      <c r="G13316" s="5"/>
    </row>
    <row r="13317" spans="1:7" ht="58.5" customHeight="1" x14ac:dyDescent="0.25">
      <c r="A13317" s="5" t="str">
        <f>"H0032330"</f>
        <v>H0032330</v>
      </c>
      <c r="B13317" s="5" t="str">
        <f>"SOPORTE PEDESTAL MONITOR"</f>
        <v>SOPORTE PEDESTAL MONITOR</v>
      </c>
      <c r="C13317" s="6">
        <v>1140020</v>
      </c>
      <c r="D13317" s="5" t="s">
        <v>232</v>
      </c>
      <c r="E13317" s="5" t="str">
        <f t="shared" si="680"/>
        <v>QUIMIOTERAPIA - ONCOLOGICA PISO 4°</v>
      </c>
      <c r="F13317" s="5"/>
      <c r="G13317" s="5"/>
    </row>
    <row r="13318" spans="1:7" ht="58.5" customHeight="1" x14ac:dyDescent="0.25">
      <c r="A13318" s="5" t="str">
        <f>"H0032400"</f>
        <v>H0032400</v>
      </c>
      <c r="B13318" s="5" t="str">
        <f>"silla multiproposito (DONACION)"</f>
        <v>silla multiproposito (DONACION)</v>
      </c>
      <c r="C13318" s="6">
        <v>5981376</v>
      </c>
      <c r="D13318" s="5" t="s">
        <v>110</v>
      </c>
      <c r="E13318" s="5" t="str">
        <f t="shared" si="680"/>
        <v>QUIMIOTERAPIA - ONCOLOGICA PISO 4°</v>
      </c>
      <c r="F13318" s="5"/>
      <c r="G13318" s="5"/>
    </row>
    <row r="13319" spans="1:7" ht="58.5" customHeight="1" x14ac:dyDescent="0.25">
      <c r="A13319" s="5" t="str">
        <f>"H0032401"</f>
        <v>H0032401</v>
      </c>
      <c r="B13319" s="5" t="str">
        <f>"silla multiproposito (DONACION)"</f>
        <v>silla multiproposito (DONACION)</v>
      </c>
      <c r="C13319" s="6">
        <v>5981376</v>
      </c>
      <c r="D13319" s="5" t="s">
        <v>110</v>
      </c>
      <c r="E13319" s="5" t="str">
        <f t="shared" si="680"/>
        <v>QUIMIOTERAPIA - ONCOLOGICA PISO 4°</v>
      </c>
      <c r="F13319" s="5"/>
      <c r="G13319" s="5"/>
    </row>
    <row r="13320" spans="1:7" ht="58.5" customHeight="1" x14ac:dyDescent="0.25">
      <c r="A13320" s="5" t="str">
        <f>"H0032408"</f>
        <v>H0032408</v>
      </c>
      <c r="B13320" s="5" t="str">
        <f>"silla multiproposito (DONACION)"</f>
        <v>silla multiproposito (DONACION)</v>
      </c>
      <c r="C13320" s="6">
        <v>5981376</v>
      </c>
      <c r="D13320" s="5" t="s">
        <v>110</v>
      </c>
      <c r="E13320" s="5" t="str">
        <f t="shared" si="680"/>
        <v>QUIMIOTERAPIA - ONCOLOGICA PISO 4°</v>
      </c>
      <c r="F13320" s="5"/>
      <c r="G13320" s="5"/>
    </row>
    <row r="13321" spans="1:7" ht="58.5" customHeight="1" x14ac:dyDescent="0.25">
      <c r="A13321" s="5" t="str">
        <f>"H0032575"</f>
        <v>H0032575</v>
      </c>
      <c r="B13321" s="5" t="str">
        <f>"bomba de infusion (DONACION)"</f>
        <v>bomba de infusion (DONACION)</v>
      </c>
      <c r="C13321" s="6">
        <v>4860000</v>
      </c>
      <c r="D13321" s="5" t="s">
        <v>113</v>
      </c>
      <c r="E13321" s="5" t="str">
        <f t="shared" si="680"/>
        <v>QUIMIOTERAPIA - ONCOLOGICA PISO 4°</v>
      </c>
      <c r="F13321" s="5"/>
      <c r="G13321" s="5"/>
    </row>
    <row r="13322" spans="1:7" ht="58.5" customHeight="1" x14ac:dyDescent="0.25">
      <c r="A13322" s="5" t="str">
        <f>"H0032665"</f>
        <v>H0032665</v>
      </c>
      <c r="B13322" s="5" t="str">
        <f>"CAMILLA DE TRANSPORTE Y RECUPERACION (DONACION)"</f>
        <v>CAMILLA DE TRANSPORTE Y RECUPERACION (DONACION)</v>
      </c>
      <c r="C13322" s="6">
        <v>814000</v>
      </c>
      <c r="D13322" s="5" t="s">
        <v>115</v>
      </c>
      <c r="E13322" s="5" t="str">
        <f t="shared" si="680"/>
        <v>QUIMIOTERAPIA - ONCOLOGICA PISO 4°</v>
      </c>
      <c r="F13322" s="5"/>
      <c r="G13322" s="5"/>
    </row>
    <row r="13323" spans="1:7" ht="58.5" customHeight="1" x14ac:dyDescent="0.25">
      <c r="A13323" s="5" t="str">
        <f>"H0033050"</f>
        <v>H0033050</v>
      </c>
      <c r="B13323" s="5" t="str">
        <f>"MONITOR DE SIGNOS VITALES"</f>
        <v>MONITOR DE SIGNOS VITALES</v>
      </c>
      <c r="C13323" s="6">
        <v>9470000</v>
      </c>
      <c r="D13323" s="5" t="s">
        <v>119</v>
      </c>
      <c r="E13323" s="5" t="str">
        <f t="shared" si="680"/>
        <v>QUIMIOTERAPIA - ONCOLOGICA PISO 4°</v>
      </c>
      <c r="F13323" s="5"/>
      <c r="G13323" s="5"/>
    </row>
    <row r="13324" spans="1:7" ht="58.5" customHeight="1" x14ac:dyDescent="0.25">
      <c r="A13324" s="5" t="str">
        <f>"H0033056"</f>
        <v>H0033056</v>
      </c>
      <c r="B13324" s="5" t="str">
        <f>"MONITOR DE SIGNOS VITALES"</f>
        <v>MONITOR DE SIGNOS VITALES</v>
      </c>
      <c r="C13324" s="6">
        <v>9470000</v>
      </c>
      <c r="D13324" s="5" t="s">
        <v>119</v>
      </c>
      <c r="E13324" s="5" t="str">
        <f t="shared" si="680"/>
        <v>QUIMIOTERAPIA - ONCOLOGICA PISO 4°</v>
      </c>
      <c r="F13324" s="5"/>
      <c r="G13324" s="5"/>
    </row>
    <row r="13325" spans="1:7" ht="58.5" customHeight="1" x14ac:dyDescent="0.25">
      <c r="A13325" s="5" t="str">
        <f>"H0033309"</f>
        <v>H0033309</v>
      </c>
      <c r="B13325" s="5" t="str">
        <f t="shared" ref="B13325:B13334" si="681">"BOMBA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3325" s="6">
        <v>2533333</v>
      </c>
      <c r="D13325" s="5" t="s">
        <v>120</v>
      </c>
      <c r="E13325" s="5" t="str">
        <f t="shared" si="680"/>
        <v>QUIMIOTERAPIA - ONCOLOGICA PISO 4°</v>
      </c>
      <c r="F13325" s="5"/>
      <c r="G13325" s="5"/>
    </row>
    <row r="13326" spans="1:7" ht="58.5" customHeight="1" x14ac:dyDescent="0.25">
      <c r="A13326" s="5" t="str">
        <f>"H0033322"</f>
        <v>H0033322</v>
      </c>
      <c r="B13326" s="5" t="str">
        <f t="shared" si="681"/>
        <v>BOMBA DE INFUSION. Apilables.5 modos. 01-1200 ml/h. 0.1 ml incr. Compatible con set de infusión genérico. anti-bolo. Detección de aire. Alarmas visuales audibles. Bitacora 1.000 reg. Batería de litio</v>
      </c>
      <c r="C13326" s="6">
        <v>2533333</v>
      </c>
      <c r="D13326" s="5" t="s">
        <v>120</v>
      </c>
      <c r="E13326" s="5" t="str">
        <f t="shared" si="680"/>
        <v>QUIMIOTERAPIA - ONCOLOGICA PISO 4°</v>
      </c>
      <c r="F13326" s="5"/>
      <c r="G13326" s="5"/>
    </row>
    <row r="13327" spans="1:7" ht="58.5" customHeight="1" x14ac:dyDescent="0.25">
      <c r="A13327" s="5" t="str">
        <f>"H0033323"</f>
        <v>H0033323</v>
      </c>
      <c r="B13327" s="5" t="str">
        <f t="shared" si="681"/>
        <v>BOMBA DE INFUSION. Apilables.5 modos. 01-1200 ml/h. 0.1 ml incr. Compatible con set de infusión genérico. anti-bolo. Detección de aire. Alarmas visuales audibles. Bitacora 1.000 reg. Batería de litio</v>
      </c>
      <c r="C13327" s="6">
        <v>2533333</v>
      </c>
      <c r="D13327" s="5" t="s">
        <v>120</v>
      </c>
      <c r="E13327" s="5" t="str">
        <f t="shared" si="680"/>
        <v>QUIMIOTERAPIA - ONCOLOGICA PISO 4°</v>
      </c>
      <c r="F13327" s="5"/>
      <c r="G13327" s="5"/>
    </row>
    <row r="13328" spans="1:7" ht="58.5" customHeight="1" x14ac:dyDescent="0.25">
      <c r="A13328" s="5" t="str">
        <f>"H0033481"</f>
        <v>H0033481</v>
      </c>
      <c r="B13328" s="5" t="str">
        <f t="shared" si="681"/>
        <v>BOMBA DE INFUSION. Apilables.5 modos. 01-1200 ml/h. 0.1 ml incr. Compatible con set de infusión genérico. anti-bolo. Detección de aire. Alarmas visuales audibles. Bitacora 1.000 reg. Batería de litio</v>
      </c>
      <c r="C13328" s="6">
        <v>2533333</v>
      </c>
      <c r="D13328" s="5" t="s">
        <v>120</v>
      </c>
      <c r="E13328" s="5" t="str">
        <f t="shared" si="680"/>
        <v>QUIMIOTERAPIA - ONCOLOGICA PISO 4°</v>
      </c>
      <c r="F13328" s="5"/>
      <c r="G13328" s="5"/>
    </row>
    <row r="13329" spans="1:7" ht="58.5" customHeight="1" x14ac:dyDescent="0.25">
      <c r="A13329" s="5" t="str">
        <f>"H0033524"</f>
        <v>H0033524</v>
      </c>
      <c r="B13329" s="5" t="str">
        <f t="shared" si="681"/>
        <v>BOMBA DE INFUSION. Apilables.5 modos. 01-1200 ml/h. 0.1 ml incr. Compatible con set de infusión genérico. anti-bolo. Detección de aire. Alarmas visuales audibles. Bitacora 1.000 reg. Batería de litio</v>
      </c>
      <c r="C13329" s="6">
        <v>2533333</v>
      </c>
      <c r="D13329" s="5" t="s">
        <v>120</v>
      </c>
      <c r="E13329" s="5" t="str">
        <f t="shared" si="680"/>
        <v>QUIMIOTERAPIA - ONCOLOGICA PISO 4°</v>
      </c>
      <c r="F13329" s="5"/>
      <c r="G13329" s="5"/>
    </row>
    <row r="13330" spans="1:7" ht="58.5" customHeight="1" x14ac:dyDescent="0.25">
      <c r="A13330" s="5" t="str">
        <f>"H0033588"</f>
        <v>H0033588</v>
      </c>
      <c r="B13330" s="5" t="str">
        <f t="shared" si="681"/>
        <v>BOMBA DE INFUSION. Apilables.5 modos. 01-1200 ml/h. 0.1 ml incr. Compatible con set de infusión genérico. anti-bolo. Detección de aire. Alarmas visuales audibles. Bitacora 1.000 reg. Batería de litio</v>
      </c>
      <c r="C13330" s="6">
        <v>2533333</v>
      </c>
      <c r="D13330" s="5" t="s">
        <v>120</v>
      </c>
      <c r="E13330" s="5" t="str">
        <f t="shared" ref="E13330:E13361" si="682">"QUIMIOTERAPIA - ONCOLOGICA PISO 4°"</f>
        <v>QUIMIOTERAPIA - ONCOLOGICA PISO 4°</v>
      </c>
      <c r="F13330" s="5"/>
      <c r="G13330" s="5"/>
    </row>
    <row r="13331" spans="1:7" ht="58.5" customHeight="1" x14ac:dyDescent="0.25">
      <c r="A13331" s="5" t="str">
        <f>"H0033603"</f>
        <v>H0033603</v>
      </c>
      <c r="B13331" s="5" t="str">
        <f t="shared" si="681"/>
        <v>BOMBA DE INFUSION. Apilables.5 modos. 01-1200 ml/h. 0.1 ml incr. Compatible con set de infusión genérico. anti-bolo. Detección de aire. Alarmas visuales audibles. Bitacora 1.000 reg. Batería de litio</v>
      </c>
      <c r="C13331" s="6">
        <v>2533333</v>
      </c>
      <c r="D13331" s="5" t="s">
        <v>120</v>
      </c>
      <c r="E13331" s="5" t="str">
        <f t="shared" si="682"/>
        <v>QUIMIOTERAPIA - ONCOLOGICA PISO 4°</v>
      </c>
      <c r="F13331" s="5"/>
      <c r="G13331" s="5"/>
    </row>
    <row r="13332" spans="1:7" ht="58.5" customHeight="1" x14ac:dyDescent="0.25">
      <c r="A13332" s="5" t="str">
        <f>"H0033632"</f>
        <v>H0033632</v>
      </c>
      <c r="B13332" s="5" t="str">
        <f t="shared" si="681"/>
        <v>BOMBA DE INFUSION. Apilables.5 modos. 01-1200 ml/h. 0.1 ml incr. Compatible con set de infusión genérico. anti-bolo. Detección de aire. Alarmas visuales audibles. Bitacora 1.000 reg. Batería de litio</v>
      </c>
      <c r="C13332" s="6">
        <v>2533333</v>
      </c>
      <c r="D13332" s="5" t="s">
        <v>120</v>
      </c>
      <c r="E13332" s="5" t="str">
        <f t="shared" si="682"/>
        <v>QUIMIOTERAPIA - ONCOLOGICA PISO 4°</v>
      </c>
      <c r="F13332" s="5"/>
      <c r="G13332" s="5"/>
    </row>
    <row r="13333" spans="1:7" ht="58.5" customHeight="1" x14ac:dyDescent="0.25">
      <c r="A13333" s="5" t="str">
        <f>"H0033723"</f>
        <v>H0033723</v>
      </c>
      <c r="B13333" s="5" t="str">
        <f t="shared" si="681"/>
        <v>BOMBA DE INFUSION. Apilables.5 modos. 01-1200 ml/h. 0.1 ml incr. Compatible con set de infusión genérico. anti-bolo. Detección de aire. Alarmas visuales audibles. Bitacora 1.000 reg. Batería de litio</v>
      </c>
      <c r="C13333" s="6">
        <v>2533333</v>
      </c>
      <c r="D13333" s="5" t="s">
        <v>120</v>
      </c>
      <c r="E13333" s="5" t="str">
        <f t="shared" si="682"/>
        <v>QUIMIOTERAPIA - ONCOLOGICA PISO 4°</v>
      </c>
      <c r="F13333" s="5"/>
      <c r="G13333" s="5"/>
    </row>
    <row r="13334" spans="1:7" ht="58.5" customHeight="1" x14ac:dyDescent="0.25">
      <c r="A13334" s="5" t="str">
        <f>"H0033733"</f>
        <v>H0033733</v>
      </c>
      <c r="B13334" s="5" t="str">
        <f t="shared" si="681"/>
        <v>BOMBA DE INFUSION. Apilables.5 modos. 01-1200 ml/h. 0.1 ml incr. Compatible con set de infusión genérico. anti-bolo. Detección de aire. Alarmas visuales audibles. Bitacora 1.000 reg. Batería de litio</v>
      </c>
      <c r="C13334" s="6">
        <v>2533333</v>
      </c>
      <c r="D13334" s="5" t="s">
        <v>120</v>
      </c>
      <c r="E13334" s="5" t="str">
        <f t="shared" si="682"/>
        <v>QUIMIOTERAPIA - ONCOLOGICA PISO 4°</v>
      </c>
      <c r="F13334" s="5"/>
      <c r="G13334" s="5"/>
    </row>
    <row r="13335" spans="1:7" ht="58.5" customHeight="1" x14ac:dyDescent="0.25">
      <c r="A13335" s="5" t="str">
        <f>"H0033935"</f>
        <v>H0033935</v>
      </c>
      <c r="B13335" s="5" t="str">
        <f>"LECTOR DE HUELLAS DIGITALES"</f>
        <v>LECTOR DE HUELLAS DIGITALES</v>
      </c>
      <c r="C13335" s="6">
        <v>340340</v>
      </c>
      <c r="D13335" s="5" t="s">
        <v>119</v>
      </c>
      <c r="E13335" s="5" t="str">
        <f t="shared" si="682"/>
        <v>QUIMIOTERAPIA - ONCOLOGICA PISO 4°</v>
      </c>
      <c r="F13335" s="5"/>
      <c r="G13335" s="5"/>
    </row>
    <row r="13336" spans="1:7" ht="58.5" customHeight="1" x14ac:dyDescent="0.25">
      <c r="A13336" s="5" t="str">
        <f>"H0033936"</f>
        <v>H0033936</v>
      </c>
      <c r="B13336" s="5" t="str">
        <f>"LECTOR DE HUELLAS DIGITALES"</f>
        <v>LECTOR DE HUELLAS DIGITALES</v>
      </c>
      <c r="C13336" s="6">
        <v>340340</v>
      </c>
      <c r="D13336" s="5" t="s">
        <v>119</v>
      </c>
      <c r="E13336" s="5" t="str">
        <f t="shared" si="682"/>
        <v>QUIMIOTERAPIA - ONCOLOGICA PISO 4°</v>
      </c>
      <c r="F13336" s="5"/>
      <c r="G13336" s="5"/>
    </row>
    <row r="13337" spans="1:7" ht="58.5" customHeight="1" x14ac:dyDescent="0.25">
      <c r="A13337" s="5" t="str">
        <f>"H0033937"</f>
        <v>H0033937</v>
      </c>
      <c r="B13337" s="5" t="str">
        <f>"LECTOR DE HUELLAS DIGITALES"</f>
        <v>LECTOR DE HUELLAS DIGITALES</v>
      </c>
      <c r="C13337" s="6">
        <v>340340</v>
      </c>
      <c r="D13337" s="5" t="s">
        <v>119</v>
      </c>
      <c r="E13337" s="5" t="str">
        <f t="shared" si="682"/>
        <v>QUIMIOTERAPIA - ONCOLOGICA PISO 4°</v>
      </c>
      <c r="F13337" s="5"/>
      <c r="G13337" s="5"/>
    </row>
    <row r="13338" spans="1:7" ht="58.5" customHeight="1" x14ac:dyDescent="0.25">
      <c r="A13338" s="5" t="str">
        <f>"H0034123"</f>
        <v>H0034123</v>
      </c>
      <c r="B13338" s="5" t="str">
        <f>"DISPENSADOR DE AGUA (Donación )"</f>
        <v>DISPENSADOR DE AGUA (Donación )</v>
      </c>
      <c r="C13338" s="6">
        <v>300000</v>
      </c>
      <c r="D13338" s="5" t="s">
        <v>505</v>
      </c>
      <c r="E13338" s="5" t="str">
        <f t="shared" si="682"/>
        <v>QUIMIOTERAPIA - ONCOLOGICA PISO 4°</v>
      </c>
      <c r="F13338" s="5"/>
      <c r="G13338" s="5"/>
    </row>
    <row r="13339" spans="1:7" ht="58.5" customHeight="1" x14ac:dyDescent="0.25">
      <c r="A13339" s="5" t="str">
        <f>"H0034147"</f>
        <v>H0034147</v>
      </c>
      <c r="B13339" s="5" t="str">
        <f>"termometro infrarrojo (DONACION)"</f>
        <v>termometro infrarrojo (DONACION)</v>
      </c>
      <c r="C13339" s="6">
        <v>150000</v>
      </c>
      <c r="D13339" s="5" t="s">
        <v>489</v>
      </c>
      <c r="E13339" s="5" t="str">
        <f t="shared" si="682"/>
        <v>QUIMIOTERAPIA - ONCOLOGICA PISO 4°</v>
      </c>
      <c r="F13339" s="5"/>
      <c r="G13339" s="5"/>
    </row>
    <row r="13340" spans="1:7" ht="58.5" customHeight="1" x14ac:dyDescent="0.25">
      <c r="A13340" s="5" t="str">
        <f>"H0034149"</f>
        <v>H0034149</v>
      </c>
      <c r="B13340" s="5" t="str">
        <f>"termometro infrarrojo (DONACION)"</f>
        <v>termometro infrarrojo (DONACION)</v>
      </c>
      <c r="C13340" s="6">
        <v>150000</v>
      </c>
      <c r="D13340" s="5" t="s">
        <v>489</v>
      </c>
      <c r="E13340" s="5" t="str">
        <f t="shared" si="682"/>
        <v>QUIMIOTERAPIA - ONCOLOGICA PISO 4°</v>
      </c>
      <c r="F13340" s="5"/>
      <c r="G13340" s="5"/>
    </row>
    <row r="13341" spans="1:7" ht="58.5" customHeight="1" x14ac:dyDescent="0.25">
      <c r="A13341" s="5" t="str">
        <f>"H0034641"</f>
        <v>H0034641</v>
      </c>
      <c r="B13341" s="5" t="str">
        <f t="shared" ref="B13341:B13347" si="683">"bomba de infusion (DONACION)"</f>
        <v>bomba de infusion (DONACION)</v>
      </c>
      <c r="C13341" s="6">
        <v>7049854</v>
      </c>
      <c r="D13341" s="5" t="s">
        <v>124</v>
      </c>
      <c r="E13341" s="5" t="str">
        <f t="shared" si="682"/>
        <v>QUIMIOTERAPIA - ONCOLOGICA PISO 4°</v>
      </c>
      <c r="F13341" s="5"/>
      <c r="G13341" s="5"/>
    </row>
    <row r="13342" spans="1:7" ht="58.5" customHeight="1" x14ac:dyDescent="0.25">
      <c r="A13342" s="5" t="str">
        <f>"h0034644"</f>
        <v>h0034644</v>
      </c>
      <c r="B13342" s="5" t="str">
        <f t="shared" si="683"/>
        <v>bomba de infusion (DONACION)</v>
      </c>
      <c r="C13342" s="6">
        <v>7049854</v>
      </c>
      <c r="D13342" s="5" t="s">
        <v>124</v>
      </c>
      <c r="E13342" s="5" t="str">
        <f t="shared" si="682"/>
        <v>QUIMIOTERAPIA - ONCOLOGICA PISO 4°</v>
      </c>
      <c r="F13342" s="5"/>
      <c r="G13342" s="5"/>
    </row>
    <row r="13343" spans="1:7" ht="58.5" customHeight="1" x14ac:dyDescent="0.25">
      <c r="A13343" s="5" t="str">
        <f>"H0034648"</f>
        <v>H0034648</v>
      </c>
      <c r="B13343" s="5" t="str">
        <f t="shared" si="683"/>
        <v>bomba de infusion (DONACION)</v>
      </c>
      <c r="C13343" s="6">
        <v>7049854</v>
      </c>
      <c r="D13343" s="5" t="s">
        <v>124</v>
      </c>
      <c r="E13343" s="5" t="str">
        <f t="shared" si="682"/>
        <v>QUIMIOTERAPIA - ONCOLOGICA PISO 4°</v>
      </c>
      <c r="F13343" s="5"/>
      <c r="G13343" s="5"/>
    </row>
    <row r="13344" spans="1:7" ht="58.5" customHeight="1" x14ac:dyDescent="0.25">
      <c r="A13344" s="5" t="str">
        <f>"H0034652"</f>
        <v>H0034652</v>
      </c>
      <c r="B13344" s="5" t="str">
        <f t="shared" si="683"/>
        <v>bomba de infusion (DONACION)</v>
      </c>
      <c r="C13344" s="6">
        <v>7049854</v>
      </c>
      <c r="D13344" s="5" t="s">
        <v>124</v>
      </c>
      <c r="E13344" s="5" t="str">
        <f t="shared" si="682"/>
        <v>QUIMIOTERAPIA - ONCOLOGICA PISO 4°</v>
      </c>
      <c r="F13344" s="5"/>
      <c r="G13344" s="5"/>
    </row>
    <row r="13345" spans="1:7" ht="58.5" customHeight="1" x14ac:dyDescent="0.25">
      <c r="A13345" s="5" t="str">
        <f>"H0034656"</f>
        <v>H0034656</v>
      </c>
      <c r="B13345" s="5" t="str">
        <f t="shared" si="683"/>
        <v>bomba de infusion (DONACION)</v>
      </c>
      <c r="C13345" s="6">
        <v>7049854</v>
      </c>
      <c r="D13345" s="5" t="s">
        <v>124</v>
      </c>
      <c r="E13345" s="5" t="str">
        <f t="shared" si="682"/>
        <v>QUIMIOTERAPIA - ONCOLOGICA PISO 4°</v>
      </c>
      <c r="F13345" s="5"/>
      <c r="G13345" s="5"/>
    </row>
    <row r="13346" spans="1:7" ht="58.5" customHeight="1" x14ac:dyDescent="0.25">
      <c r="A13346" s="5" t="str">
        <f>"H0034657"</f>
        <v>H0034657</v>
      </c>
      <c r="B13346" s="5" t="str">
        <f t="shared" si="683"/>
        <v>bomba de infusion (DONACION)</v>
      </c>
      <c r="C13346" s="6">
        <v>7049854</v>
      </c>
      <c r="D13346" s="5" t="s">
        <v>124</v>
      </c>
      <c r="E13346" s="5" t="str">
        <f t="shared" si="682"/>
        <v>QUIMIOTERAPIA - ONCOLOGICA PISO 4°</v>
      </c>
      <c r="F13346" s="5"/>
      <c r="G13346" s="5"/>
    </row>
    <row r="13347" spans="1:7" ht="58.5" customHeight="1" x14ac:dyDescent="0.25">
      <c r="A13347" s="5" t="str">
        <f>"H0034659"</f>
        <v>H0034659</v>
      </c>
      <c r="B13347" s="5" t="str">
        <f t="shared" si="683"/>
        <v>bomba de infusion (DONACION)</v>
      </c>
      <c r="C13347" s="6">
        <v>7049854</v>
      </c>
      <c r="D13347" s="5" t="s">
        <v>124</v>
      </c>
      <c r="E13347" s="5" t="str">
        <f t="shared" si="682"/>
        <v>QUIMIOTERAPIA - ONCOLOGICA PISO 4°</v>
      </c>
      <c r="F13347" s="5"/>
      <c r="G13347" s="5"/>
    </row>
    <row r="13348" spans="1:7" ht="58.5" customHeight="1" x14ac:dyDescent="0.25">
      <c r="A13348" s="5" t="str">
        <f>"H0035033"</f>
        <v>H0035033</v>
      </c>
      <c r="B1334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3348" s="6">
        <v>5289550</v>
      </c>
      <c r="D13348" s="5" t="s">
        <v>22</v>
      </c>
      <c r="E13348" s="5" t="str">
        <f t="shared" si="682"/>
        <v>QUIMIOTERAPIA - ONCOLOGICA PISO 4°</v>
      </c>
      <c r="F13348" s="5"/>
      <c r="G13348" s="5"/>
    </row>
    <row r="13349" spans="1:7" ht="58.5" customHeight="1" x14ac:dyDescent="0.25">
      <c r="A13349" s="5" t="str">
        <f>"H0035321"</f>
        <v>H0035321</v>
      </c>
      <c r="B13349" s="5" t="s">
        <v>128</v>
      </c>
      <c r="C13349" s="6">
        <v>5462100</v>
      </c>
      <c r="D13349" s="5" t="s">
        <v>127</v>
      </c>
      <c r="E13349" s="5" t="str">
        <f t="shared" si="682"/>
        <v>QUIMIOTERAPIA - ONCOLOGICA PISO 4°</v>
      </c>
      <c r="F13349" s="5"/>
      <c r="G13349" s="5" t="str">
        <f>"202G4AIO"</f>
        <v>202G4AIO</v>
      </c>
    </row>
    <row r="13350" spans="1:7" ht="58.5" customHeight="1" x14ac:dyDescent="0.25">
      <c r="A13350" s="5" t="str">
        <f>"H0035322"</f>
        <v>H0035322</v>
      </c>
      <c r="B13350" s="5" t="s">
        <v>128</v>
      </c>
      <c r="C13350" s="6">
        <v>5462100</v>
      </c>
      <c r="D13350" s="5" t="s">
        <v>127</v>
      </c>
      <c r="E13350" s="5" t="str">
        <f t="shared" si="682"/>
        <v>QUIMIOTERAPIA - ONCOLOGICA PISO 4°</v>
      </c>
      <c r="F13350" s="5"/>
      <c r="G13350" s="5" t="str">
        <f>"202G4AIO"</f>
        <v>202G4AIO</v>
      </c>
    </row>
    <row r="13351" spans="1:7" ht="58.5" customHeight="1" x14ac:dyDescent="0.25">
      <c r="A13351" s="5" t="str">
        <f>"H0035343"</f>
        <v>H0035343</v>
      </c>
      <c r="B13351" s="5" t="s">
        <v>128</v>
      </c>
      <c r="C13351" s="6">
        <v>5462100</v>
      </c>
      <c r="D13351" s="5" t="s">
        <v>127</v>
      </c>
      <c r="E13351" s="5" t="str">
        <f t="shared" si="682"/>
        <v>QUIMIOTERAPIA - ONCOLOGICA PISO 4°</v>
      </c>
      <c r="F13351" s="5"/>
      <c r="G13351" s="5"/>
    </row>
    <row r="13352" spans="1:7" ht="58.5" customHeight="1" x14ac:dyDescent="0.25">
      <c r="A13352" s="5" t="str">
        <f>"H0035344"</f>
        <v>H0035344</v>
      </c>
      <c r="B13352" s="5" t="s">
        <v>128</v>
      </c>
      <c r="C13352" s="6">
        <v>5462100</v>
      </c>
      <c r="D13352" s="5" t="s">
        <v>127</v>
      </c>
      <c r="E13352" s="5" t="str">
        <f t="shared" si="682"/>
        <v>QUIMIOTERAPIA - ONCOLOGICA PISO 4°</v>
      </c>
      <c r="F13352" s="5"/>
      <c r="G13352" s="5"/>
    </row>
    <row r="13353" spans="1:7" ht="58.5" customHeight="1" x14ac:dyDescent="0.25">
      <c r="A13353" s="5" t="str">
        <f>"H0035345"</f>
        <v>H0035345</v>
      </c>
      <c r="B13353" s="5" t="s">
        <v>128</v>
      </c>
      <c r="C13353" s="6">
        <v>5462100</v>
      </c>
      <c r="D13353" s="5" t="s">
        <v>127</v>
      </c>
      <c r="E13353" s="5" t="str">
        <f t="shared" si="682"/>
        <v>QUIMIOTERAPIA - ONCOLOGICA PISO 4°</v>
      </c>
      <c r="F13353" s="5"/>
      <c r="G13353" s="5"/>
    </row>
    <row r="13354" spans="1:7" ht="58.5" customHeight="1" x14ac:dyDescent="0.25">
      <c r="A13354" s="5" t="str">
        <f>"H0035480"</f>
        <v>H0035480</v>
      </c>
      <c r="B13354" s="5" t="str">
        <f>"ESCALERILLA DE 2 PASOS"</f>
        <v>ESCALERILLA DE 2 PASOS</v>
      </c>
      <c r="C13354" s="6">
        <v>94999.93</v>
      </c>
      <c r="D13354" s="5" t="s">
        <v>159</v>
      </c>
      <c r="E13354" s="5" t="str">
        <f t="shared" si="682"/>
        <v>QUIMIOTERAPIA - ONCOLOGICA PISO 4°</v>
      </c>
      <c r="F13354" s="5"/>
      <c r="G13354" s="5"/>
    </row>
    <row r="13355" spans="1:7" ht="58.5" customHeight="1" x14ac:dyDescent="0.25">
      <c r="A13355" s="5" t="str">
        <f>"H0035518"</f>
        <v>H0035518</v>
      </c>
      <c r="B13355" s="5" t="str">
        <f>"NEGATOSCOPIO"</f>
        <v>NEGATOSCOPIO</v>
      </c>
      <c r="C13355" s="6">
        <v>332000.09999999998</v>
      </c>
      <c r="D13355" s="5" t="s">
        <v>159</v>
      </c>
      <c r="E13355" s="5" t="str">
        <f t="shared" si="682"/>
        <v>QUIMIOTERAPIA - ONCOLOGICA PISO 4°</v>
      </c>
      <c r="F13355" s="5"/>
      <c r="G13355" s="5"/>
    </row>
    <row r="13356" spans="1:7" ht="58.5" customHeight="1" x14ac:dyDescent="0.25">
      <c r="A13356" s="5" t="str">
        <f>"H0035519"</f>
        <v>H0035519</v>
      </c>
      <c r="B13356" s="5" t="str">
        <f>"NEGATOSCOPIO"</f>
        <v>NEGATOSCOPIO</v>
      </c>
      <c r="C13356" s="6">
        <v>332000.09999999998</v>
      </c>
      <c r="D13356" s="5" t="s">
        <v>159</v>
      </c>
      <c r="E13356" s="5" t="str">
        <f t="shared" si="682"/>
        <v>QUIMIOTERAPIA - ONCOLOGICA PISO 4°</v>
      </c>
      <c r="F13356" s="5"/>
      <c r="G13356" s="5"/>
    </row>
    <row r="13357" spans="1:7" ht="58.5" customHeight="1" x14ac:dyDescent="0.25">
      <c r="A13357" s="5" t="str">
        <f>"H0035522"</f>
        <v>H0035522</v>
      </c>
      <c r="B13357" s="5" t="str">
        <f>"MESA DE JUNTAS REDONDA, SUPERFICIE EN MADERA AGLOMERADA ENCHAPADA EN GENERICA CON BORDES EN PVC ESTRUCTURA EN METÁLICA EN TUBO OVAL EN ACABADO DE PINTURA ELECTROESTÁTICA EN POLVO DIMENSIONES: 0,80 DIÁMETRO X 0,74 MTS DE ALTO"</f>
        <v>MESA DE JUNTAS REDONDA, SUPERFICIE EN MADERA AGLOMERADA ENCHAPADA EN GENERICA CON BORDES EN PVC ESTRUCTURA EN METÁLICA EN TUBO OVAL EN ACABADO DE PINTURA ELECTROESTÁTICA EN POLVO DIMENSIONES: 0,80 DIÁMETRO X 0,74 MTS DE ALTO</v>
      </c>
      <c r="C13357" s="6">
        <v>2264666.5099999998</v>
      </c>
      <c r="D13357" s="5" t="s">
        <v>159</v>
      </c>
      <c r="E13357" s="5" t="str">
        <f t="shared" si="682"/>
        <v>QUIMIOTERAPIA - ONCOLOGICA PISO 4°</v>
      </c>
      <c r="F13357" s="5"/>
      <c r="G13357" s="5"/>
    </row>
    <row r="13358" spans="1:7" ht="58.5" customHeight="1" x14ac:dyDescent="0.25">
      <c r="A13358" s="5" t="str">
        <f>"H0035523"</f>
        <v>H0035523</v>
      </c>
      <c r="B13358" s="5" t="str">
        <f>"ARCHIVADOR METALICO 3 GAVETAS"</f>
        <v>ARCHIVADOR METALICO 3 GAVETAS</v>
      </c>
      <c r="C13358" s="6">
        <v>695000.11</v>
      </c>
      <c r="D13358" s="5" t="s">
        <v>159</v>
      </c>
      <c r="E13358" s="5" t="str">
        <f t="shared" si="682"/>
        <v>QUIMIOTERAPIA - ONCOLOGICA PISO 4°</v>
      </c>
      <c r="F13358" s="5"/>
      <c r="G13358" s="5"/>
    </row>
    <row r="13359" spans="1:7" ht="58.5" customHeight="1" x14ac:dyDescent="0.25">
      <c r="A13359" s="5" t="str">
        <f>"H0035524"</f>
        <v>H0035524</v>
      </c>
      <c r="B13359" s="5" t="str">
        <f>"ARCHIVADOR METALICO 3 GAVETAS"</f>
        <v>ARCHIVADOR METALICO 3 GAVETAS</v>
      </c>
      <c r="C13359" s="6">
        <v>695000.11</v>
      </c>
      <c r="D13359" s="5" t="s">
        <v>159</v>
      </c>
      <c r="E13359" s="5" t="str">
        <f t="shared" si="682"/>
        <v>QUIMIOTERAPIA - ONCOLOGICA PISO 4°</v>
      </c>
      <c r="F13359" s="5"/>
      <c r="G13359" s="5"/>
    </row>
    <row r="13360" spans="1:7" ht="58.5" customHeight="1" x14ac:dyDescent="0.25">
      <c r="A13360" s="5" t="str">
        <f>"H0035525"</f>
        <v>H0035525</v>
      </c>
      <c r="B13360" s="5" t="str">
        <f>"ESCALERILLA DE 2 PASOS"</f>
        <v>ESCALERILLA DE 2 PASOS</v>
      </c>
      <c r="C13360" s="6">
        <v>94999.93</v>
      </c>
      <c r="D13360" s="5" t="s">
        <v>159</v>
      </c>
      <c r="E13360" s="5" t="str">
        <f t="shared" si="682"/>
        <v>QUIMIOTERAPIA - ONCOLOGICA PISO 4°</v>
      </c>
      <c r="F13360" s="5"/>
      <c r="G13360" s="5"/>
    </row>
    <row r="13361" spans="1:7" ht="58.5" customHeight="1" x14ac:dyDescent="0.25">
      <c r="A13361" s="5" t="str">
        <f>"H0035526"</f>
        <v>H0035526</v>
      </c>
      <c r="B13361" s="5" t="str">
        <f>"ESCALERILLA DE 2 PASOS"</f>
        <v>ESCALERILLA DE 2 PASOS</v>
      </c>
      <c r="C13361" s="6">
        <v>94999.93</v>
      </c>
      <c r="D13361" s="5" t="s">
        <v>159</v>
      </c>
      <c r="E13361" s="5" t="str">
        <f t="shared" si="682"/>
        <v>QUIMIOTERAPIA - ONCOLOGICA PISO 4°</v>
      </c>
      <c r="F13361" s="5"/>
      <c r="G13361" s="5"/>
    </row>
    <row r="13362" spans="1:7" ht="58.5" customHeight="1" x14ac:dyDescent="0.25">
      <c r="A13362" s="5" t="str">
        <f>"H0035527"</f>
        <v>H0035527</v>
      </c>
      <c r="B13362" s="5" t="str">
        <f>"ESCRITORIO METALICO 3 GAVETAS"</f>
        <v>ESCRITORIO METALICO 3 GAVETAS</v>
      </c>
      <c r="C13362" s="6">
        <v>833000</v>
      </c>
      <c r="D13362" s="5" t="s">
        <v>159</v>
      </c>
      <c r="E13362" s="5" t="str">
        <f t="shared" ref="E13362:E13391" si="684">"QUIMIOTERAPIA - ONCOLOGICA PISO 4°"</f>
        <v>QUIMIOTERAPIA - ONCOLOGICA PISO 4°</v>
      </c>
      <c r="F13362" s="5"/>
      <c r="G13362" s="5"/>
    </row>
    <row r="13363" spans="1:7" ht="58.5" customHeight="1" x14ac:dyDescent="0.25">
      <c r="A13363" s="5" t="str">
        <f>"H0035528"</f>
        <v>H0035528</v>
      </c>
      <c r="B13363" s="5" t="str">
        <f>"ESCRITORIO METALICO 3 GAVETAS"</f>
        <v>ESCRITORIO METALICO 3 GAVETAS</v>
      </c>
      <c r="C13363" s="6">
        <v>833000</v>
      </c>
      <c r="D13363" s="5" t="s">
        <v>159</v>
      </c>
      <c r="E13363" s="5" t="str">
        <f t="shared" si="684"/>
        <v>QUIMIOTERAPIA - ONCOLOGICA PISO 4°</v>
      </c>
      <c r="F13363" s="5"/>
      <c r="G13363" s="5"/>
    </row>
    <row r="13364" spans="1:7" ht="58.5" customHeight="1" x14ac:dyDescent="0.25">
      <c r="A13364" s="5" t="str">
        <f>"H0035529"</f>
        <v>H0035529</v>
      </c>
      <c r="B13364" s="5" t="str">
        <f>"ESCRITORIO METALICO 3 GAVETAS"</f>
        <v>ESCRITORIO METALICO 3 GAVETAS</v>
      </c>
      <c r="C13364" s="6">
        <v>833000</v>
      </c>
      <c r="D13364" s="5" t="s">
        <v>159</v>
      </c>
      <c r="E13364" s="5" t="str">
        <f t="shared" si="684"/>
        <v>QUIMIOTERAPIA - ONCOLOGICA PISO 4°</v>
      </c>
      <c r="F13364" s="5"/>
      <c r="G13364" s="5"/>
    </row>
    <row r="13365" spans="1:7" ht="58.5" customHeight="1" x14ac:dyDescent="0.25">
      <c r="A13365" s="5" t="str">
        <f>"h0035531"</f>
        <v>h0035531</v>
      </c>
      <c r="B13365" s="5" t="str">
        <f>"CARRO PARA TRANSPORTE BALA DE OXIGENO"</f>
        <v>CARRO PARA TRANSPORTE BALA DE OXIGENO</v>
      </c>
      <c r="C13365" s="6">
        <v>152000.09</v>
      </c>
      <c r="D13365" s="5" t="s">
        <v>159</v>
      </c>
      <c r="E13365" s="5" t="str">
        <f t="shared" si="684"/>
        <v>QUIMIOTERAPIA - ONCOLOGICA PISO 4°</v>
      </c>
      <c r="F13365" s="5"/>
      <c r="G13365" s="5"/>
    </row>
    <row r="13366" spans="1:7" ht="58.5" customHeight="1" x14ac:dyDescent="0.25">
      <c r="A13366" s="5" t="str">
        <f>"H0035532"</f>
        <v>H0035532</v>
      </c>
      <c r="B13366" s="5" t="str">
        <f>"ATRIL PORTASUERO MOVIL"</f>
        <v>ATRIL PORTASUERO MOVIL</v>
      </c>
      <c r="C13366" s="6">
        <v>150000.01999999999</v>
      </c>
      <c r="D13366" s="5" t="s">
        <v>159</v>
      </c>
      <c r="E13366" s="5" t="str">
        <f t="shared" si="684"/>
        <v>QUIMIOTERAPIA - ONCOLOGICA PISO 4°</v>
      </c>
      <c r="F13366" s="5"/>
      <c r="G13366" s="5"/>
    </row>
    <row r="13367" spans="1:7" ht="58.5" customHeight="1" x14ac:dyDescent="0.25">
      <c r="A13367" s="5" t="str">
        <f>"H0035533"</f>
        <v>H0035533</v>
      </c>
      <c r="B13367" s="5" t="str">
        <f>"ATRIL PORTASUERO MOVIL"</f>
        <v>ATRIL PORTASUERO MOVIL</v>
      </c>
      <c r="C13367" s="6">
        <v>150000.01999999999</v>
      </c>
      <c r="D13367" s="5" t="s">
        <v>159</v>
      </c>
      <c r="E13367" s="5" t="str">
        <f t="shared" si="684"/>
        <v>QUIMIOTERAPIA - ONCOLOGICA PISO 4°</v>
      </c>
      <c r="F13367" s="5"/>
      <c r="G13367" s="5"/>
    </row>
    <row r="13368" spans="1:7" ht="58.5" customHeight="1" x14ac:dyDescent="0.25">
      <c r="A13368" s="5" t="str">
        <f>"H0035534"</f>
        <v>H0035534</v>
      </c>
      <c r="B13368" s="5" t="str">
        <f>"ATRIL PORTASUERO MOVIL"</f>
        <v>ATRIL PORTASUERO MOVIL</v>
      </c>
      <c r="C13368" s="6">
        <v>150000.01999999999</v>
      </c>
      <c r="D13368" s="5" t="s">
        <v>159</v>
      </c>
      <c r="E13368" s="5" t="str">
        <f t="shared" si="684"/>
        <v>QUIMIOTERAPIA - ONCOLOGICA PISO 4°</v>
      </c>
      <c r="F13368" s="5"/>
      <c r="G13368" s="5"/>
    </row>
    <row r="13369" spans="1:7" ht="58.5" customHeight="1" x14ac:dyDescent="0.25">
      <c r="A13369" s="5" t="str">
        <f>"H0035535"</f>
        <v>H0035535</v>
      </c>
      <c r="B13369" s="5" t="str">
        <f>"ATRIL PORTASUERO MOVIL"</f>
        <v>ATRIL PORTASUERO MOVIL</v>
      </c>
      <c r="C13369" s="6">
        <v>150000.01999999999</v>
      </c>
      <c r="D13369" s="5" t="s">
        <v>159</v>
      </c>
      <c r="E13369" s="5" t="str">
        <f t="shared" si="684"/>
        <v>QUIMIOTERAPIA - ONCOLOGICA PISO 4°</v>
      </c>
      <c r="F13369" s="5"/>
      <c r="G13369" s="5"/>
    </row>
    <row r="13370" spans="1:7" ht="58.5" customHeight="1" x14ac:dyDescent="0.25">
      <c r="A13370" s="5" t="str">
        <f>"H0035536"</f>
        <v>H0035536</v>
      </c>
      <c r="B13370" s="5" t="str">
        <f>"ATRIL PORTASUERO MOVIL"</f>
        <v>ATRIL PORTASUERO MOVIL</v>
      </c>
      <c r="C13370" s="6">
        <v>150000.01999999999</v>
      </c>
      <c r="D13370" s="5" t="s">
        <v>159</v>
      </c>
      <c r="E13370" s="5" t="str">
        <f t="shared" si="684"/>
        <v>QUIMIOTERAPIA - ONCOLOGICA PISO 4°</v>
      </c>
      <c r="F13370" s="5"/>
      <c r="G13370" s="5"/>
    </row>
    <row r="13371" spans="1:7" ht="58.5" customHeight="1" x14ac:dyDescent="0.25">
      <c r="A13371" s="5" t="str">
        <f>"H0035537"</f>
        <v>H0035537</v>
      </c>
      <c r="B13371" s="5" t="str">
        <f>"MESA DE MAYO"</f>
        <v>MESA DE MAYO</v>
      </c>
      <c r="C13371" s="6">
        <v>421875.06</v>
      </c>
      <c r="D13371" s="5" t="s">
        <v>159</v>
      </c>
      <c r="E13371" s="5" t="str">
        <f t="shared" si="684"/>
        <v>QUIMIOTERAPIA - ONCOLOGICA PISO 4°</v>
      </c>
      <c r="F13371" s="5"/>
      <c r="G13371" s="5"/>
    </row>
    <row r="13372" spans="1:7" ht="58.5" customHeight="1" x14ac:dyDescent="0.25">
      <c r="A13372" s="5" t="str">
        <f>"H0035538"</f>
        <v>H0035538</v>
      </c>
      <c r="B13372" s="5" t="str">
        <f>"MESA DE MAYO"</f>
        <v>MESA DE MAYO</v>
      </c>
      <c r="C13372" s="6">
        <v>421875.06</v>
      </c>
      <c r="D13372" s="5" t="s">
        <v>159</v>
      </c>
      <c r="E13372" s="5" t="str">
        <f t="shared" si="684"/>
        <v>QUIMIOTERAPIA - ONCOLOGICA PISO 4°</v>
      </c>
      <c r="F13372" s="5"/>
      <c r="G13372" s="5"/>
    </row>
    <row r="13373" spans="1:7" ht="58.5" customHeight="1" x14ac:dyDescent="0.25">
      <c r="A13373" s="5" t="str">
        <f>"H0035848"</f>
        <v>H0035848</v>
      </c>
      <c r="B13373" s="5" t="str">
        <f t="shared" ref="B13373:B13378" si="685">"SILLA GERENTE NIZA MEC. BASCULANTE CON BRAZOS."</f>
        <v>SILLA GERENTE NIZA MEC. BASCULANTE CON BRAZOS.</v>
      </c>
      <c r="C13373" s="6">
        <v>639999.86</v>
      </c>
      <c r="D13373" s="5" t="s">
        <v>47</v>
      </c>
      <c r="E13373" s="5" t="str">
        <f t="shared" si="684"/>
        <v>QUIMIOTERAPIA - ONCOLOGICA PISO 4°</v>
      </c>
      <c r="F13373" s="5"/>
      <c r="G13373" s="5"/>
    </row>
    <row r="13374" spans="1:7" ht="58.5" customHeight="1" x14ac:dyDescent="0.25">
      <c r="A13374" s="5" t="str">
        <f>"H0035849"</f>
        <v>H0035849</v>
      </c>
      <c r="B13374" s="5" t="str">
        <f t="shared" si="685"/>
        <v>SILLA GERENTE NIZA MEC. BASCULANTE CON BRAZOS.</v>
      </c>
      <c r="C13374" s="6">
        <v>639999.86</v>
      </c>
      <c r="D13374" s="5" t="s">
        <v>47</v>
      </c>
      <c r="E13374" s="5" t="str">
        <f t="shared" si="684"/>
        <v>QUIMIOTERAPIA - ONCOLOGICA PISO 4°</v>
      </c>
      <c r="F13374" s="5"/>
      <c r="G13374" s="5"/>
    </row>
    <row r="13375" spans="1:7" ht="58.5" customHeight="1" x14ac:dyDescent="0.25">
      <c r="A13375" s="5" t="str">
        <f>"H0035853"</f>
        <v>H0035853</v>
      </c>
      <c r="B13375" s="5" t="str">
        <f t="shared" si="685"/>
        <v>SILLA GERENTE NIZA MEC. BASCULANTE CON BRAZOS.</v>
      </c>
      <c r="C13375" s="6">
        <v>639999.86</v>
      </c>
      <c r="D13375" s="5" t="s">
        <v>47</v>
      </c>
      <c r="E13375" s="5" t="str">
        <f t="shared" si="684"/>
        <v>QUIMIOTERAPIA - ONCOLOGICA PISO 4°</v>
      </c>
      <c r="F13375" s="5"/>
      <c r="G13375" s="5"/>
    </row>
    <row r="13376" spans="1:7" ht="58.5" customHeight="1" x14ac:dyDescent="0.25">
      <c r="A13376" s="5" t="str">
        <f>"H0035854"</f>
        <v>H0035854</v>
      </c>
      <c r="B13376" s="5" t="str">
        <f t="shared" si="685"/>
        <v>SILLA GERENTE NIZA MEC. BASCULANTE CON BRAZOS.</v>
      </c>
      <c r="C13376" s="6">
        <v>639999.86</v>
      </c>
      <c r="D13376" s="5" t="s">
        <v>47</v>
      </c>
      <c r="E13376" s="5" t="str">
        <f t="shared" si="684"/>
        <v>QUIMIOTERAPIA - ONCOLOGICA PISO 4°</v>
      </c>
      <c r="F13376" s="5"/>
      <c r="G13376" s="5"/>
    </row>
    <row r="13377" spans="1:7" ht="58.5" customHeight="1" x14ac:dyDescent="0.25">
      <c r="A13377" s="5" t="str">
        <f>"H0035855"</f>
        <v>H0035855</v>
      </c>
      <c r="B13377" s="5" t="str">
        <f t="shared" si="685"/>
        <v>SILLA GERENTE NIZA MEC. BASCULANTE CON BRAZOS.</v>
      </c>
      <c r="C13377" s="6">
        <v>639999.86</v>
      </c>
      <c r="D13377" s="5" t="s">
        <v>47</v>
      </c>
      <c r="E13377" s="5" t="str">
        <f t="shared" si="684"/>
        <v>QUIMIOTERAPIA - ONCOLOGICA PISO 4°</v>
      </c>
      <c r="F13377" s="5"/>
      <c r="G13377" s="5"/>
    </row>
    <row r="13378" spans="1:7" ht="58.5" customHeight="1" x14ac:dyDescent="0.25">
      <c r="A13378" s="5" t="str">
        <f>"H0035856"</f>
        <v>H0035856</v>
      </c>
      <c r="B13378" s="5" t="str">
        <f t="shared" si="685"/>
        <v>SILLA GERENTE NIZA MEC. BASCULANTE CON BRAZOS.</v>
      </c>
      <c r="C13378" s="6">
        <v>639999.86</v>
      </c>
      <c r="D13378" s="5" t="s">
        <v>47</v>
      </c>
      <c r="E13378" s="5" t="str">
        <f t="shared" si="684"/>
        <v>QUIMIOTERAPIA - ONCOLOGICA PISO 4°</v>
      </c>
      <c r="F13378" s="5"/>
      <c r="G13378" s="5"/>
    </row>
    <row r="13379" spans="1:7" ht="58.5" customHeight="1" x14ac:dyDescent="0.25">
      <c r="A13379" s="5" t="str">
        <f>"H0036412"</f>
        <v>H0036412</v>
      </c>
      <c r="B13379" s="5" t="str">
        <f>"VENTILADOR DE PARED"</f>
        <v>VENTILADOR DE PARED</v>
      </c>
      <c r="C13379" s="6">
        <v>295260</v>
      </c>
      <c r="D13379" s="5" t="s">
        <v>131</v>
      </c>
      <c r="E13379" s="5" t="str">
        <f t="shared" si="684"/>
        <v>QUIMIOTERAPIA - ONCOLOGICA PISO 4°</v>
      </c>
      <c r="F13379" s="5"/>
      <c r="G13379" s="5"/>
    </row>
    <row r="13380" spans="1:7" ht="58.5" customHeight="1" x14ac:dyDescent="0.25">
      <c r="A13380" s="5" t="str">
        <f>"H0036481"</f>
        <v>H0036481</v>
      </c>
      <c r="B13380" s="5" t="str">
        <f>"EQUIPO DE ORGANOS PORTATIL"</f>
        <v>EQUIPO DE ORGANOS PORTATIL</v>
      </c>
      <c r="C13380" s="6">
        <v>900000</v>
      </c>
      <c r="D13380" s="5" t="s">
        <v>616</v>
      </c>
      <c r="E13380" s="5" t="str">
        <f t="shared" si="684"/>
        <v>QUIMIOTERAPIA - ONCOLOGICA PISO 4°</v>
      </c>
      <c r="F13380" s="5"/>
      <c r="G13380" s="5"/>
    </row>
    <row r="13381" spans="1:7" ht="58.5" customHeight="1" x14ac:dyDescent="0.25">
      <c r="A13381" s="5" t="str">
        <f>"H0036498"</f>
        <v>H0036498</v>
      </c>
      <c r="B13381" s="5" t="str">
        <f>"ASPIRADOR DE SECRECIONES"</f>
        <v>ASPIRADOR DE SECRECIONES</v>
      </c>
      <c r="C13381" s="6">
        <v>645000</v>
      </c>
      <c r="D13381" s="5" t="s">
        <v>132</v>
      </c>
      <c r="E13381" s="5" t="str">
        <f t="shared" si="684"/>
        <v>QUIMIOTERAPIA - ONCOLOGICA PISO 4°</v>
      </c>
      <c r="F13381" s="5"/>
      <c r="G13381" s="5"/>
    </row>
    <row r="13382" spans="1:7" ht="58.5" customHeight="1" x14ac:dyDescent="0.25">
      <c r="A13382" s="5" t="str">
        <f>"H0036573"</f>
        <v>H0036573</v>
      </c>
      <c r="B13382" s="5" t="str">
        <f>"ESCANER DE ALTA VELOCIDAD 35 PPM"</f>
        <v>ESCANER DE ALTA VELOCIDAD 35 PPM</v>
      </c>
      <c r="C13382" s="6">
        <v>2401636.36</v>
      </c>
      <c r="D13382" s="5" t="s">
        <v>199</v>
      </c>
      <c r="E13382" s="5" t="str">
        <f t="shared" si="684"/>
        <v>QUIMIOTERAPIA - ONCOLOGICA PISO 4°</v>
      </c>
      <c r="F13382" s="5"/>
      <c r="G13382" s="5"/>
    </row>
    <row r="13383" spans="1:7" ht="58.5" customHeight="1" x14ac:dyDescent="0.25">
      <c r="A13383" s="5" t="str">
        <f>"H0036881"</f>
        <v>H0036881</v>
      </c>
      <c r="B13383" s="5" t="str">
        <f>"COMPUTADOR TODO EN UNO  LENOVO CON PROCESADOR INTEL CORE I5-10400T MEMORIA RAM 8GB DDR4 CON DISCO DURO 256GB SSD M.2"</f>
        <v>COMPUTADOR TODO EN UNO  LENOVO CON PROCESADOR INTEL CORE I5-10400T MEMORIA RAM 8GB DDR4 CON DISCO DURO 256GB SSD M.2</v>
      </c>
      <c r="C13383" s="6">
        <v>6307000</v>
      </c>
      <c r="D13383" s="5" t="s">
        <v>135</v>
      </c>
      <c r="E13383" s="5" t="str">
        <f t="shared" si="684"/>
        <v>QUIMIOTERAPIA - ONCOLOGICA PISO 4°</v>
      </c>
      <c r="F13383" s="5"/>
      <c r="G13383" s="5" t="str">
        <f>"V50A"</f>
        <v>V50A</v>
      </c>
    </row>
    <row r="13384" spans="1:7" ht="58.5" customHeight="1" x14ac:dyDescent="0.25">
      <c r="A13384" s="5" t="str">
        <f>"H0037135"</f>
        <v>H0037135</v>
      </c>
      <c r="B13384" s="5" t="str">
        <f>"TALLIMETRO CAPACIDAD 20-205 CM (DONACION)"</f>
        <v>TALLIMETRO CAPACIDAD 20-205 CM (DONACION)</v>
      </c>
      <c r="C13384" s="6">
        <v>1254705.99</v>
      </c>
      <c r="D13384" s="5" t="s">
        <v>136</v>
      </c>
      <c r="E13384" s="5" t="str">
        <f t="shared" si="684"/>
        <v>QUIMIOTERAPIA - ONCOLOGICA PISO 4°</v>
      </c>
      <c r="F13384" s="5"/>
      <c r="G13384" s="5"/>
    </row>
    <row r="13385" spans="1:7" ht="58.5" customHeight="1" x14ac:dyDescent="0.25">
      <c r="A13385" s="5" t="str">
        <f>"H0037136"</f>
        <v>H0037136</v>
      </c>
      <c r="B13385" s="5" t="str">
        <f>"TALLIMETRO CAPACIDAD 20-205 CM (DONACION)"</f>
        <v>TALLIMETRO CAPACIDAD 20-205 CM (DONACION)</v>
      </c>
      <c r="C13385" s="6">
        <v>1254705.99</v>
      </c>
      <c r="D13385" s="5" t="s">
        <v>136</v>
      </c>
      <c r="E13385" s="5" t="str">
        <f t="shared" si="684"/>
        <v>QUIMIOTERAPIA - ONCOLOGICA PISO 4°</v>
      </c>
      <c r="F13385" s="5"/>
      <c r="G13385" s="5"/>
    </row>
    <row r="13386" spans="1:7" ht="58.5" customHeight="1" x14ac:dyDescent="0.25">
      <c r="A13386" s="5" t="str">
        <f>"H0037202"</f>
        <v>H0037202</v>
      </c>
      <c r="B13386" s="5" t="str">
        <f>"BASCULA: Capacidad: 200 kg, División: 100 g &lt; 150 kg &gt; 200 g, Dimensiones (AxAxP):321 x 61 x 362 mm, Peso: 4,1 kg"</f>
        <v>BASCULA: Capacidad: 200 kg, División: 100 g &lt; 150 kg &gt; 200 g, Dimensiones (AxAxP):321 x 61 x 362 mm, Peso: 4,1 kg</v>
      </c>
      <c r="C13386" s="6">
        <v>3588386.01</v>
      </c>
      <c r="D13386" s="5" t="s">
        <v>160</v>
      </c>
      <c r="E13386" s="5" t="str">
        <f t="shared" si="684"/>
        <v>QUIMIOTERAPIA - ONCOLOGICA PISO 4°</v>
      </c>
      <c r="F13386" s="5"/>
      <c r="G13386" s="5"/>
    </row>
    <row r="13387" spans="1:7" ht="58.5" customHeight="1" x14ac:dyDescent="0.25">
      <c r="A13387" s="5" t="str">
        <f>"H0037449"</f>
        <v>H0037449</v>
      </c>
      <c r="B13387" s="5" t="str">
        <f>"AIRE ACONDICIONADO TIPO MINISPLIT CAPACIDAD 24.000 BTU TECNOLOGIA INVERTER DUAL"</f>
        <v>AIRE ACONDICIONADO TIPO MINISPLIT CAPACIDAD 24.000 BTU TECNOLOGIA INVERTER DUAL</v>
      </c>
      <c r="C13387" s="6">
        <v>5848909.5300000003</v>
      </c>
      <c r="D13387" s="5" t="s">
        <v>202</v>
      </c>
      <c r="E13387" s="5" t="str">
        <f t="shared" si="684"/>
        <v>QUIMIOTERAPIA - ONCOLOGICA PISO 4°</v>
      </c>
      <c r="F13387" s="5"/>
      <c r="G13387" s="5"/>
    </row>
    <row r="13388" spans="1:7" ht="58.5" customHeight="1" x14ac:dyDescent="0.25">
      <c r="A13388" s="5" t="str">
        <f>"H0037598"</f>
        <v>H0037598</v>
      </c>
      <c r="B13388" s="5" t="str">
        <f>"VENTILADOR PEDESTAL SAMURAI (CODIGO DONACION)"</f>
        <v>VENTILADOR PEDESTAL SAMURAI (CODIGO DONACION)</v>
      </c>
      <c r="C13388" s="6">
        <v>210000</v>
      </c>
      <c r="D13388" s="5" t="s">
        <v>141</v>
      </c>
      <c r="E13388" s="5" t="str">
        <f t="shared" si="684"/>
        <v>QUIMIOTERAPIA - ONCOLOGICA PISO 4°</v>
      </c>
      <c r="F13388" s="5"/>
      <c r="G13388" s="5"/>
    </row>
    <row r="13389" spans="1:7" ht="58.5" customHeight="1" x14ac:dyDescent="0.25">
      <c r="A13389" s="5" t="str">
        <f>"H0037816"</f>
        <v>H0037816</v>
      </c>
      <c r="B13389" s="5" t="str">
        <f>"SILLA GERENTE NIZA MEC. BASCULANTE CON BRAZOS."</f>
        <v>SILLA GERENTE NIZA MEC. BASCULANTE CON BRAZOS.</v>
      </c>
      <c r="C13389" s="6">
        <v>710000.01</v>
      </c>
      <c r="D13389" s="5" t="s">
        <v>30</v>
      </c>
      <c r="E13389" s="5" t="str">
        <f t="shared" si="684"/>
        <v>QUIMIOTERAPIA - ONCOLOGICA PISO 4°</v>
      </c>
      <c r="F13389" s="5"/>
      <c r="G13389" s="5"/>
    </row>
    <row r="13390" spans="1:7" ht="58.5" customHeight="1" x14ac:dyDescent="0.25">
      <c r="A13390" s="5" t="str">
        <f>"H0037817"</f>
        <v>H0037817</v>
      </c>
      <c r="B13390" s="5" t="str">
        <f>"SILLA GERENTE NIZA MEC. BASCULANTE CON BRAZOS."</f>
        <v>SILLA GERENTE NIZA MEC. BASCULANTE CON BRAZOS.</v>
      </c>
      <c r="C13390" s="6">
        <v>710000.01</v>
      </c>
      <c r="D13390" s="5" t="s">
        <v>30</v>
      </c>
      <c r="E13390" s="5" t="str">
        <f t="shared" si="684"/>
        <v>QUIMIOTERAPIA - ONCOLOGICA PISO 4°</v>
      </c>
      <c r="F13390" s="5"/>
      <c r="G13390" s="5"/>
    </row>
    <row r="13391" spans="1:7" ht="58.5" customHeight="1" x14ac:dyDescent="0.25">
      <c r="A13391" s="5" t="str">
        <f>"H0037818"</f>
        <v>H0037818</v>
      </c>
      <c r="B13391" s="5" t="str">
        <f>"SILLA GERENTE NIZA MEC. BASCULANTE CON BRAZOS."</f>
        <v>SILLA GERENTE NIZA MEC. BASCULANTE CON BRAZOS.</v>
      </c>
      <c r="C13391" s="6">
        <v>710000.01</v>
      </c>
      <c r="D13391" s="5" t="s">
        <v>30</v>
      </c>
      <c r="E13391" s="5" t="str">
        <f t="shared" si="684"/>
        <v>QUIMIOTERAPIA - ONCOLOGICA PISO 4°</v>
      </c>
      <c r="F13391" s="5"/>
      <c r="G13391" s="5"/>
    </row>
    <row r="13392" spans="1:7" ht="58.5" customHeight="1" x14ac:dyDescent="0.25">
      <c r="A13392" s="5" t="str">
        <f>"H0000467"</f>
        <v>H0000467</v>
      </c>
      <c r="B13392" s="5" t="str">
        <f>"MESA (CARRO) DE CURACIONES"</f>
        <v>MESA (CARRO) DE CURACIONES</v>
      </c>
      <c r="C13392" s="6">
        <v>18975</v>
      </c>
      <c r="D13392" s="5"/>
      <c r="E13392" s="5" t="str">
        <f t="shared" ref="E13392:E13413" si="686">"CONSULTORIO 1 Y 2 CONSULTA EXT. PISO 4-YESSICA OCHOA JAIMES"</f>
        <v>CONSULTORIO 1 Y 2 CONSULTA EXT. PISO 4-YESSICA OCHOA JAIMES</v>
      </c>
      <c r="F13392" s="5" t="str">
        <f>"Descripcion: MESA AUXILIAR TIPO CARRO C/BARANDAS Y RODACHINES Estado: Bueno Placa anterior: 000006066 Material: METALICA Color: CAFE Referencia:  Observacion:  Placa padre: Tipo adquisicion: Entidad"</f>
        <v>Descripcion: MESA AUXILIAR TIPO CARRO C/BARANDAS Y RODACHINES Estado: Bueno Placa anterior: 000006066 Material: METALICA Color: CAFE Referencia:  Observacion:  Placa padre: Tipo adquisicion: Entidad</v>
      </c>
      <c r="G13392" s="5"/>
    </row>
    <row r="13393" spans="1:7" ht="58.5" customHeight="1" x14ac:dyDescent="0.25">
      <c r="A13393" s="5" t="str">
        <f>"H0000481"</f>
        <v>H0000481</v>
      </c>
      <c r="B13393" s="5" t="str">
        <f>"ESCALERILLA DE 2 PASOS"</f>
        <v>ESCALERILLA DE 2 PASOS</v>
      </c>
      <c r="C13393" s="6">
        <v>4826.25</v>
      </c>
      <c r="D13393" s="5"/>
      <c r="E13393" s="5" t="str">
        <f t="shared" si="686"/>
        <v>CONSULTORIO 1 Y 2 CONSULTA EXT. PISO 4-YESSICA OCHOA JAIMES</v>
      </c>
      <c r="F13393" s="5" t="str">
        <f>"Descripcion: ESCALERA DE DOS PASOS Estado: Malo Placa anterior: 000006055 Material: METAL Y MADERA Color: GRIS Referencia:  Observacion:  Placa padre: Tipo adquisicion: Entidad"</f>
        <v>Descripcion: ESCALERA DE DOS PASOS Estado: Malo Placa anterior: 000006055 Material: METAL Y MADERA Color: GRIS Referencia:  Observacion:  Placa padre: Tipo adquisicion: Entidad</v>
      </c>
      <c r="G13393" s="5"/>
    </row>
    <row r="13394" spans="1:7" ht="58.5" customHeight="1" x14ac:dyDescent="0.25">
      <c r="A13394" s="5" t="str">
        <f>"H0000495"</f>
        <v>H0000495</v>
      </c>
      <c r="B13394" s="5" t="str">
        <f>"SILLA PLASTICA CON BRAZOS"</f>
        <v>SILLA PLASTICA CON BRAZOS</v>
      </c>
      <c r="C13394" s="6">
        <v>14000</v>
      </c>
      <c r="D13394" s="5"/>
      <c r="E13394" s="5" t="str">
        <f t="shared" si="686"/>
        <v>CONSULTORIO 1 Y 2 CONSULTA EXT. PISO 4-YESSICA OCHOA JAIMES</v>
      </c>
      <c r="F13394" s="5" t="str">
        <f>"Descripcion: SILLA PLASTICA BLANCA Estado: Bueno Placa anterior: 000006021 Material: PLASTICA Color: BLANCA Referencia:  Observacion:  Placa padre: Tipo adquisicion: Entidad"</f>
        <v>Descripcion: SILLA PLASTICA BLANCA Estado: Bueno Placa anterior: 000006021 Material: PLASTICA Color: BLANCA Referencia:  Observacion:  Placa padre: Tipo adquisicion: Entidad</v>
      </c>
      <c r="G13394" s="5"/>
    </row>
    <row r="13395" spans="1:7" ht="58.5" customHeight="1" x14ac:dyDescent="0.25">
      <c r="A13395" s="5" t="str">
        <f>"H0000497"</f>
        <v>H0000497</v>
      </c>
      <c r="B13395" s="5" t="str">
        <f>"SILLA PLASTICA CON BRAZOS"</f>
        <v>SILLA PLASTICA CON BRAZOS</v>
      </c>
      <c r="C13395" s="6">
        <v>14000</v>
      </c>
      <c r="D13395" s="5"/>
      <c r="E13395" s="5" t="str">
        <f t="shared" si="686"/>
        <v>CONSULTORIO 1 Y 2 CONSULTA EXT. PISO 4-YESSICA OCHOA JAIMES</v>
      </c>
      <c r="F13395" s="5" t="str">
        <f>"Descripcion: SILLA PLASTICA BLANCA Estado: Bueno Placa anterior: 000006020 Material: PLASTICA Color: BLANCA Referencia:  Observacion:  Placa padre: Tipo adquisicion: Entidad"</f>
        <v>Descripcion: SILLA PLASTICA BLANCA Estado: Bueno Placa anterior: 000006020 Material: PLASTICA Color: BLANCA Referencia:  Observacion:  Placa padre: Tipo adquisicion: Entidad</v>
      </c>
      <c r="G13395" s="5"/>
    </row>
    <row r="13396" spans="1:7" ht="58.5" customHeight="1" x14ac:dyDescent="0.25">
      <c r="A13396" s="5" t="str">
        <f>"H0000498"</f>
        <v>H0000498</v>
      </c>
      <c r="B13396" s="5" t="str">
        <f>"SILLA PLASTICA CON BRAZOS"</f>
        <v>SILLA PLASTICA CON BRAZOS</v>
      </c>
      <c r="C13396" s="6">
        <v>14000</v>
      </c>
      <c r="D13396" s="5"/>
      <c r="E13396" s="5" t="str">
        <f t="shared" si="686"/>
        <v>CONSULTORIO 1 Y 2 CONSULTA EXT. PISO 4-YESSICA OCHOA JAIMES</v>
      </c>
      <c r="F13396" s="5" t="str">
        <f>"Descripcion: SILLA PLASTICA BLANCA Estado: Bueno Placa anterior: 000006019 Material: PLASTICA Color: BLANCA Referencia:  Observacion:  Placa padre: Tipo adquisicion: Entidad"</f>
        <v>Descripcion: SILLA PLASTICA BLANCA Estado: Bueno Placa anterior: 000006019 Material: PLASTICA Color: BLANCA Referencia:  Observacion:  Placa padre: Tipo adquisicion: Entidad</v>
      </c>
      <c r="G13396" s="5"/>
    </row>
    <row r="13397" spans="1:7" ht="58.5" customHeight="1" x14ac:dyDescent="0.25">
      <c r="A13397" s="5" t="str">
        <f>"H0000831"</f>
        <v>H0000831</v>
      </c>
      <c r="B13397" s="5" t="str">
        <f>"ESCRITORIO METALICO 3 GAVETAS"</f>
        <v>ESCRITORIO METALICO 3 GAVETAS</v>
      </c>
      <c r="C13397" s="6">
        <v>16526.189999999999</v>
      </c>
      <c r="D13397" s="5"/>
      <c r="E13397" s="5" t="str">
        <f t="shared" si="686"/>
        <v>CONSULTORIO 1 Y 2 CONSULTA EXT. PISO 4-YESSICA OCHOA JAIMES</v>
      </c>
      <c r="F13397" s="5" t="str">
        <f>"Descripcion: ESCRITORIO DE 3 GAVETAS, BASE METALICA, MESON FORMICA COLOR MADERA OSCURO. 75.5X100X45CM Estado: Bueno Placa anterior: 000026830 Material: BASE METALICA CON MESON EN FORMICA Color: GRIS CON MARRON Referencia:  Observacion:  Placa padre: Tipo "&amp; "adquisicion: Entidad"</f>
        <v>Descripcion: ESCRITORIO DE 3 GAVETAS, BASE METALICA, MESON FORMICA COLOR MADERA OSCURO. 75.5X100X45CM Estado: Bueno Placa anterior: 000026830 Material: BASE METALICA CON MESON EN FORMICA Color: GRIS CON MARRON Referencia:  Observacion:  Placa padre: Tipo adquisicion: Entidad</v>
      </c>
      <c r="G13397" s="5"/>
    </row>
    <row r="13398" spans="1:7" ht="58.5" customHeight="1" x14ac:dyDescent="0.25">
      <c r="A13398" s="5" t="str">
        <f>"H0002485"</f>
        <v>H0002485</v>
      </c>
      <c r="B13398" s="5" t="str">
        <f>"COMPUTADOR TODO EN UNO"</f>
        <v>COMPUTADOR TODO EN UNO</v>
      </c>
      <c r="C13398" s="6">
        <v>2470000</v>
      </c>
      <c r="D13398" s="5"/>
      <c r="E13398" s="5" t="str">
        <f t="shared" si="686"/>
        <v>CONSULTORIO 1 Y 2 CONSULTA EXT. PISO 4-YESSICA OCHOA JAIMES</v>
      </c>
      <c r="F13398" s="5" t="str">
        <f>"Descripcion:EQUIPO DE COMPUTO TODO EN UNO CON PROCESADOR INTEL i5 Estado: Excelente Placa anterior: 000037278 Material: PASTA Color: NEGRO Referencia: 10BDFDLS Observacion:  Placa anterior:, Placa nueva=H0002486, Descripcion:TECLADO USB LENOVO, Serial:825"&amp; "8481, Marca:LENOVO, Modelo:KU-0225, Material:PASTA, Color:NEGRO,   Referencia:54Y9424, Placa anterior:, Placa nueva=H0002487, Descripcion:MOUSE USB  3 BOTONES, Serial:44PE371, Marca:LENOVO, Modelo:45J4889, Material:PASTA, Color:NEGRO,   Referencia: Placa "&amp; "padre:  Tipo adquisicion : Entidad"</f>
        <v>Descripcion:EQUIPO DE COMPUTO TODO EN UNO CON PROCESADOR INTEL i5 Estado: Excelente Placa anterior: 000037278 Material: PASTA Color: NEGRO Referencia: 10BDFDLS Observacion:  Placa anterior:, Placa nueva=H0002486, Descripcion:TECLADO USB LENOVO, Serial:8258481, Marca:LENOVO, Modelo:KU-0225, Material:PASTA, Color:NEGRO,   Referencia:54Y9424, Placa anterior:, Placa nueva=H0002487, Descripcion:MOUSE USB  3 BOTONES, Serial:44PE371, Marca:LENOVO, Modelo:45J4889, Material:PASTA, Color:NEGRO,   Referencia: Placa padre:  Tipo adquisicion : Entidad</v>
      </c>
      <c r="G13398" s="5" t="str">
        <f>"00FDLS"</f>
        <v>00FDLS</v>
      </c>
    </row>
    <row r="13399" spans="1:7" ht="58.5" customHeight="1" x14ac:dyDescent="0.25">
      <c r="A13399" s="5" t="str">
        <f>"H0003101"</f>
        <v>H0003101</v>
      </c>
      <c r="B13399" s="5" t="str">
        <f>"ESTANTE METALICO 7 ENTREPAÑOS"</f>
        <v>ESTANTE METALICO 7 ENTREPAÑOS</v>
      </c>
      <c r="C13399" s="6">
        <v>29533.23</v>
      </c>
      <c r="D13399" s="5"/>
      <c r="E13399" s="5" t="str">
        <f t="shared" si="686"/>
        <v>CONSULTORIO 1 Y 2 CONSULTA EXT. PISO 4-YESSICA OCHOA JAIMES</v>
      </c>
      <c r="F13399" s="5" t="str">
        <f>"Descripcion: 200x90x30 Estado: Bueno Placa anterior: 000001901 Material: METALICO Color: GRIS Referencia:  Observacion:  Placa padre: Tipo adquisicion: Entidad"</f>
        <v>Descripcion: 200x90x30 Estado: Bueno Placa anterior: 000001901 Material: METALICO Color: GRIS Referencia:  Observacion:  Placa padre: Tipo adquisicion: Entidad</v>
      </c>
      <c r="G13399" s="5"/>
    </row>
    <row r="13400" spans="1:7" ht="58.5" customHeight="1" x14ac:dyDescent="0.25">
      <c r="A13400" s="5" t="str">
        <f>"H0003232"</f>
        <v>H0003232</v>
      </c>
      <c r="B13400" s="5" t="str">
        <f>"ESTANTE METALICO 7 ENTREPAÑOS"</f>
        <v>ESTANTE METALICO 7 ENTREPAÑOS</v>
      </c>
      <c r="C13400" s="6">
        <v>8840.07</v>
      </c>
      <c r="D13400" s="5"/>
      <c r="E13400" s="5" t="str">
        <f t="shared" si="686"/>
        <v>CONSULTORIO 1 Y 2 CONSULTA EXT. PISO 4-YESSICA OCHOA JAIMES</v>
      </c>
      <c r="F13400" s="5" t="str">
        <f>"Descripcion: ESTANTES METALICOS DE 90-30-2.00H 7 BANDEJAS INCLUYE AMARRES ENTRE ESTANTES Y TENSORES CALIBRE DEL PARAL 16 Y DE LA BANDEJA 22 PARAL CON SISTEMA DE UÑA, PINTURA ELECTROSTATICA EN POLVO HORNEABLE Estado: Bueno Placa anterior: 000002325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000002325 Material: METALICO Color: GRIS Referencia:  Observacion:  Placa padre: Tipo adquisicion: Entidad</v>
      </c>
      <c r="G13400" s="5"/>
    </row>
    <row r="13401" spans="1:7" ht="58.5" customHeight="1" x14ac:dyDescent="0.25">
      <c r="A13401" s="5" t="str">
        <f>"H0003285"</f>
        <v>H0003285</v>
      </c>
      <c r="B13401" s="5" t="str">
        <f>"ESTANTE METALICO 7 ENTREPAÑOS"</f>
        <v>ESTANTE METALICO 7 ENTREPAÑOS</v>
      </c>
      <c r="C13401" s="6">
        <v>29533.23</v>
      </c>
      <c r="D13401" s="5"/>
      <c r="E13401" s="5" t="str">
        <f t="shared" si="686"/>
        <v>CONSULTORIO 1 Y 2 CONSULTA EXT. PISO 4-YESSICA OCHOA JAIMES</v>
      </c>
      <c r="F13401" s="5" t="str">
        <f>"Descripcion: 200x90x30 Estado: Bueno Placa anterior: 000001645 Material: METALICO Color: GRIS Referencia:  Observacion:  Placa padre: Tipo adquisicion: Entidad"</f>
        <v>Descripcion: 200x90x30 Estado: Bueno Placa anterior: 000001645 Material: METALICO Color: GRIS Referencia:  Observacion:  Placa padre: Tipo adquisicion: Entidad</v>
      </c>
      <c r="G13401" s="5"/>
    </row>
    <row r="13402" spans="1:7" ht="58.5" customHeight="1" x14ac:dyDescent="0.25">
      <c r="A13402" s="5" t="str">
        <f>"H0005546"</f>
        <v>H0005546</v>
      </c>
      <c r="B13402" s="5" t="str">
        <f>"CAMILLA FIJA (TIPO DIVAN)"</f>
        <v>CAMILLA FIJA (TIPO DIVAN)</v>
      </c>
      <c r="C13402" s="6">
        <v>23320</v>
      </c>
      <c r="D13402" s="5"/>
      <c r="E13402" s="5" t="str">
        <f t="shared" si="686"/>
        <v>CONSULTORIO 1 Y 2 CONSULTA EXT. PISO 4-YESSICA OCHOA JAIMES</v>
      </c>
      <c r="F13402" s="5" t="str">
        <f>"Descripcion:CAMILLA TUBULAR, COLCHON ADERIDO A LA PARTE METALICA, DIM: 80X180X55 CM Estado: Bueno Placa anterior: 000008366 Material: METALICAS Y CUERINA Color: GRIS Y NEGRO Referencia:  Observacion:  Placa padre:  Tipo adquisicion : Entidad"</f>
        <v>Descripcion:CAMILLA TUBULAR, COLCHON ADERIDO A LA PARTE METALICA, DIM: 80X180X55 CM Estado: Bueno Placa anterior: 000008366 Material: METALICAS Y CUERINA Color: GRIS Y NEGRO Referencia:  Observacion:  Placa padre:  Tipo adquisicion : Entidad</v>
      </c>
      <c r="G13402" s="5"/>
    </row>
    <row r="13403" spans="1:7" ht="58.5" customHeight="1" x14ac:dyDescent="0.25">
      <c r="A13403" s="5" t="str">
        <f>"H0022209"</f>
        <v>H0022209</v>
      </c>
      <c r="B1340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3403" s="6">
        <v>241999.99</v>
      </c>
      <c r="D13403" s="5" t="s">
        <v>499</v>
      </c>
      <c r="E13403" s="5" t="str">
        <f t="shared" si="686"/>
        <v>CONSULTORIO 1 Y 2 CONSULTA EXT. PISO 4-YESSICA OCHOA JAIMES</v>
      </c>
      <c r="F13403" s="5"/>
      <c r="G13403" s="5"/>
    </row>
    <row r="13404" spans="1:7" ht="58.5" customHeight="1" x14ac:dyDescent="0.25">
      <c r="A13404" s="5" t="str">
        <f>"H0024638"</f>
        <v>H0024638</v>
      </c>
      <c r="B13404" s="5" t="str">
        <f>"SILLA FIJA LÍNEA AVI/T, ESPLADAR Y ASIENTO EN ESPUMA DE ALTA DENSIDAD, TAPIZADA EN CORDOBAN."</f>
        <v>SILLA FIJA LÍNEA AVI/T, ESPLADAR Y ASIENTO EN ESPUMA DE ALTA DENSIDAD, TAPIZADA EN CORDOBAN.</v>
      </c>
      <c r="C13404" s="6">
        <v>121800</v>
      </c>
      <c r="D13404" s="5" t="s">
        <v>36</v>
      </c>
      <c r="E13404" s="5" t="str">
        <f t="shared" si="686"/>
        <v>CONSULTORIO 1 Y 2 CONSULTA EXT. PISO 4-YESSICA OCHOA JAIMES</v>
      </c>
      <c r="F13404" s="5"/>
      <c r="G13404" s="5"/>
    </row>
    <row r="13405" spans="1:7" ht="58.5" customHeight="1" x14ac:dyDescent="0.25">
      <c r="A13405" s="5" t="str">
        <f>"H0024639"</f>
        <v>H0024639</v>
      </c>
      <c r="B13405" s="5" t="str">
        <f>"SILLA FIJA LÍNEA AVI/T, ESPLADAR Y ASIENTO EN ESPUMA DE ALTA DENSIDAD, TAPIZADA EN CORDOBAN."</f>
        <v>SILLA FIJA LÍNEA AVI/T, ESPLADAR Y ASIENTO EN ESPUMA DE ALTA DENSIDAD, TAPIZADA EN CORDOBAN.</v>
      </c>
      <c r="C13405" s="6">
        <v>121800</v>
      </c>
      <c r="D13405" s="5" t="s">
        <v>709</v>
      </c>
      <c r="E13405" s="5" t="str">
        <f t="shared" si="686"/>
        <v>CONSULTORIO 1 Y 2 CONSULTA EXT. PISO 4-YESSICA OCHOA JAIMES</v>
      </c>
      <c r="F13405" s="5"/>
      <c r="G13405" s="5"/>
    </row>
    <row r="13406" spans="1:7" ht="58.5" customHeight="1" x14ac:dyDescent="0.25">
      <c r="A13406" s="5" t="str">
        <f>"H0024640"</f>
        <v>H0024640</v>
      </c>
      <c r="B13406" s="5" t="str">
        <f>"SILLA FIJA LÍNEA AVI/T, ESPLADAR Y ASIENTO EN ESPUMA DE ALTA DENSIDAD, TAPIZADA EN CORDOBAN."</f>
        <v>SILLA FIJA LÍNEA AVI/T, ESPLADAR Y ASIENTO EN ESPUMA DE ALTA DENSIDAD, TAPIZADA EN CORDOBAN.</v>
      </c>
      <c r="C13406" s="6">
        <v>121800</v>
      </c>
      <c r="D13406" s="5" t="s">
        <v>36</v>
      </c>
      <c r="E13406" s="5" t="str">
        <f t="shared" si="686"/>
        <v>CONSULTORIO 1 Y 2 CONSULTA EXT. PISO 4-YESSICA OCHOA JAIMES</v>
      </c>
      <c r="F13406" s="5"/>
      <c r="G13406" s="5"/>
    </row>
    <row r="13407" spans="1:7" ht="58.5" customHeight="1" x14ac:dyDescent="0.25">
      <c r="A13407" s="5" t="str">
        <f>"H0024641"</f>
        <v>H0024641</v>
      </c>
      <c r="B13407" s="5" t="str">
        <f>"SILLA FIJA LÍNEA AVI/T, ESPLADAR Y ASIENTO EN ESPUMA DE ALTA DENSIDAD, TAPIZADA EN CORDOBAN."</f>
        <v>SILLA FIJA LÍNEA AVI/T, ESPLADAR Y ASIENTO EN ESPUMA DE ALTA DENSIDAD, TAPIZADA EN CORDOBAN.</v>
      </c>
      <c r="C13407" s="6">
        <v>121800</v>
      </c>
      <c r="D13407" s="5" t="s">
        <v>36</v>
      </c>
      <c r="E13407" s="5" t="str">
        <f t="shared" si="686"/>
        <v>CONSULTORIO 1 Y 2 CONSULTA EXT. PISO 4-YESSICA OCHOA JAIMES</v>
      </c>
      <c r="F13407" s="5"/>
      <c r="G13407" s="5"/>
    </row>
    <row r="13408" spans="1:7" ht="58.5" customHeight="1" x14ac:dyDescent="0.25">
      <c r="A13408" s="5" t="str">
        <f>"H0024986"</f>
        <v>H0024986</v>
      </c>
      <c r="B13408" s="5" t="str">
        <f>"MUEBLE EXTERNO MESA EN MADERA MELAMINA"</f>
        <v>MUEBLE EXTERNO MESA EN MADERA MELAMINA</v>
      </c>
      <c r="C13408" s="6">
        <v>580000</v>
      </c>
      <c r="D13408" s="5" t="s">
        <v>578</v>
      </c>
      <c r="E13408" s="5" t="str">
        <f t="shared" si="686"/>
        <v>CONSULTORIO 1 Y 2 CONSULTA EXT. PISO 4-YESSICA OCHOA JAIMES</v>
      </c>
      <c r="F13408" s="5"/>
      <c r="G13408" s="5"/>
    </row>
    <row r="13409" spans="1:7" ht="58.5" customHeight="1" x14ac:dyDescent="0.25">
      <c r="A13409" s="5" t="str">
        <f>"H0025061"</f>
        <v>H0025061</v>
      </c>
      <c r="B13409"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13409" s="6">
        <v>742400</v>
      </c>
      <c r="D13409" s="5" t="s">
        <v>578</v>
      </c>
      <c r="E13409" s="5" t="str">
        <f t="shared" si="686"/>
        <v>CONSULTORIO 1 Y 2 CONSULTA EXT. PISO 4-YESSICA OCHOA JAIMES</v>
      </c>
      <c r="F13409" s="5"/>
      <c r="G13409" s="5"/>
    </row>
    <row r="13410" spans="1:7" ht="58.5" customHeight="1" x14ac:dyDescent="0.25">
      <c r="A13410" s="5" t="str">
        <f>"H0025063"</f>
        <v>H0025063</v>
      </c>
      <c r="B13410" s="5" t="s">
        <v>710</v>
      </c>
      <c r="C13410" s="6">
        <v>2929000</v>
      </c>
      <c r="D13410" s="5" t="s">
        <v>578</v>
      </c>
      <c r="E13410" s="5" t="str">
        <f t="shared" si="686"/>
        <v>CONSULTORIO 1 Y 2 CONSULTA EXT. PISO 4-YESSICA OCHOA JAIMES</v>
      </c>
      <c r="F13410" s="5"/>
      <c r="G13410" s="5"/>
    </row>
    <row r="13411" spans="1:7" ht="58.5" customHeight="1" x14ac:dyDescent="0.25">
      <c r="A13411" s="5" t="str">
        <f>"H0025369"</f>
        <v>H0025369</v>
      </c>
      <c r="B1341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411" s="6">
        <v>312156</v>
      </c>
      <c r="D13411" s="5" t="s">
        <v>10</v>
      </c>
      <c r="E13411" s="5" t="str">
        <f t="shared" si="686"/>
        <v>CONSULTORIO 1 Y 2 CONSULTA EXT. PISO 4-YESSICA OCHOA JAIMES</v>
      </c>
      <c r="F13411" s="5"/>
      <c r="G13411" s="5"/>
    </row>
    <row r="13412" spans="1:7" ht="58.5" customHeight="1" x14ac:dyDescent="0.25">
      <c r="A13412" s="5" t="str">
        <f>"H0029463"</f>
        <v>H0029463</v>
      </c>
      <c r="B13412" s="5" t="str">
        <f>"LECTOR DE HUELLAS DIGITALES"</f>
        <v>LECTOR DE HUELLAS DIGITALES</v>
      </c>
      <c r="C13412" s="6">
        <v>309400</v>
      </c>
      <c r="D13412" s="5" t="s">
        <v>14</v>
      </c>
      <c r="E13412" s="5" t="str">
        <f t="shared" si="686"/>
        <v>CONSULTORIO 1 Y 2 CONSULTA EXT. PISO 4-YESSICA OCHOA JAIMES</v>
      </c>
      <c r="F13412" s="5"/>
      <c r="G13412" s="5"/>
    </row>
    <row r="13413" spans="1:7" ht="58.5" customHeight="1" x14ac:dyDescent="0.25">
      <c r="A13413" s="5" t="str">
        <f>"H0029464"</f>
        <v>H0029464</v>
      </c>
      <c r="B13413" s="5" t="str">
        <f>"LECTOR DE HUELLAS DIGITALES"</f>
        <v>LECTOR DE HUELLAS DIGITALES</v>
      </c>
      <c r="C13413" s="6">
        <v>309400</v>
      </c>
      <c r="D13413" s="5" t="s">
        <v>14</v>
      </c>
      <c r="E13413" s="5" t="str">
        <f t="shared" si="686"/>
        <v>CONSULTORIO 1 Y 2 CONSULTA EXT. PISO 4-YESSICA OCHOA JAIMES</v>
      </c>
      <c r="F13413" s="5"/>
      <c r="G13413" s="5"/>
    </row>
    <row r="13414" spans="1:7" ht="58.5" customHeight="1" x14ac:dyDescent="0.25">
      <c r="A13414" s="5" t="str">
        <f>"B0000239"</f>
        <v>B0000239</v>
      </c>
      <c r="B13414" s="5" t="str">
        <f>"EQUIPO ORGANOS DE LOS SENTIDOS PORTATIL"</f>
        <v>EQUIPO ORGANOS DE LOS SENTIDOS PORTATIL</v>
      </c>
      <c r="C13414" s="6">
        <v>928000</v>
      </c>
      <c r="D13414" s="5"/>
      <c r="E13414" s="5" t="str">
        <f t="shared" ref="E13414:E13445" si="687">"CONSULTORIO 1y2-CONSULTA EXTERNA"</f>
        <v>CONSULTORIO 1y2-CONSULTA EXTERNA</v>
      </c>
      <c r="F13414" s="5" t="str">
        <f>"Descripcion:EQUIPO ORGANO DE LOS SENTIDOS, 2 PIEZAS OTOSCOPIO Y OFTALMOSCOPIO Estado: Excelente Placa anterior: 000039065 Material: PASTA Y CAUCHO Color: NEGRO Referencia:  Observacion:  Placa padre:  Tipo adquisicion : Entidad"</f>
        <v>Descripcion:EQUIPO ORGANO DE LOS SENTIDOS, 2 PIEZAS OTOSCOPIO Y OFTALMOSCOPIO Estado: Excelente Placa anterior: 000039065 Material: PASTA Y CAUCHO Color: NEGRO Referencia:  Observacion:  Placa padre:  Tipo adquisicion : Entidad</v>
      </c>
      <c r="G13414" s="5" t="str">
        <f>"92871-BLK"</f>
        <v>92871-BLK</v>
      </c>
    </row>
    <row r="13415" spans="1:7" ht="58.5" customHeight="1" x14ac:dyDescent="0.25">
      <c r="A13415" s="5" t="str">
        <f>"B0000251"</f>
        <v>B0000251</v>
      </c>
      <c r="B13415" s="5" t="str">
        <f>"EQUIPO ORGANOS DE LOS SENTIDOS PORTATIL"</f>
        <v>EQUIPO ORGANOS DE LOS SENTIDOS PORTATIL</v>
      </c>
      <c r="C13415" s="6">
        <v>928000</v>
      </c>
      <c r="D13415" s="5"/>
      <c r="E13415" s="5" t="str">
        <f t="shared" si="687"/>
        <v>CONSULTORIO 1y2-CONSULTA EXTERNA</v>
      </c>
      <c r="F13415" s="5" t="str">
        <f>"Descripcion:EQUIPO ORGANO DE LOS SENTIDOS, 2 PIEZAS OTOSCOPIO Y OFTALMOSCOPIO Estado: Excelente Placa anterior: 000039075 Material: PASTA Y CAUCHO Color: NEGRO Referencia:  Observacion:  Placa padre:  Tipo adquisicion : Entidad"</f>
        <v>Descripcion:EQUIPO ORGANO DE LOS SENTIDOS, 2 PIEZAS OTOSCOPIO Y OFTALMOSCOPIO Estado: Excelente Placa anterior: 000039075 Material: PASTA Y CAUCHO Color: NEGRO Referencia:  Observacion:  Placa padre:  Tipo adquisicion : Entidad</v>
      </c>
      <c r="G13415" s="5" t="str">
        <f>"92871-BLK"</f>
        <v>92871-BLK</v>
      </c>
    </row>
    <row r="13416" spans="1:7" ht="58.5" customHeight="1" x14ac:dyDescent="0.25">
      <c r="A13416" s="5" t="str">
        <f>"B0000803"</f>
        <v>B0000803</v>
      </c>
      <c r="B13416" s="5" t="str">
        <f>"TIJERA RETIRO DE SUTURA"</f>
        <v>TIJERA RETIRO DE SUTURA</v>
      </c>
      <c r="C13416" s="6">
        <v>12634.56</v>
      </c>
      <c r="D13416" s="5"/>
      <c r="E13416" s="5" t="str">
        <f t="shared" si="687"/>
        <v>CONSULTORIO 1y2-CONSULTA EXTERNA</v>
      </c>
      <c r="F13416" s="5" t="str">
        <f>"Descripcion: TIJERA DE RETIRAR PUNTOS Estado: Bueno Placa anterior: 000006563 Material: ACERO INOXIDABLE Color:  Referencia:  Observacion:  Placa padre: Tipo adquisicion: Entidad"</f>
        <v>Descripcion: TIJERA DE RETIRAR PUNTOS Estado: Bueno Placa anterior: 000006563 Material: ACERO INOXIDABLE Color:  Referencia:  Observacion:  Placa padre: Tipo adquisicion: Entidad</v>
      </c>
      <c r="G13416" s="5"/>
    </row>
    <row r="13417" spans="1:7" ht="58.5" customHeight="1" x14ac:dyDescent="0.25">
      <c r="A13417" s="5" t="str">
        <f>"B0000804"</f>
        <v>B0000804</v>
      </c>
      <c r="B13417" s="5" t="str">
        <f>"PINZA MOSQUITO CURVA 12 CM"</f>
        <v>PINZA MOSQUITO CURVA 12 CM</v>
      </c>
      <c r="C13417" s="6">
        <v>4951.55</v>
      </c>
      <c r="D13417" s="5"/>
      <c r="E13417" s="5" t="str">
        <f t="shared" si="687"/>
        <v>CONSULTORIO 1y2-CONSULTA EXTERNA</v>
      </c>
      <c r="F13417" s="5" t="str">
        <f>"Descripcion: PINZA MOSQUITO RECTA Estado: Bueno Placa anterior: 000006559 Material: ACERO INOXIDABLE Color:  Referencia:  Observacion:  Placa padre: Tipo adquisicion: Entidad"</f>
        <v>Descripcion: PINZA MOSQUITO RECTA Estado: Bueno Placa anterior: 000006559 Material: ACERO INOXIDABLE Color:  Referencia:  Observacion:  Placa padre: Tipo adquisicion: Entidad</v>
      </c>
      <c r="G13417" s="5"/>
    </row>
    <row r="13418" spans="1:7" ht="58.5" customHeight="1" x14ac:dyDescent="0.25">
      <c r="A13418" s="5" t="str">
        <f>"H0000633"</f>
        <v>H0000633</v>
      </c>
      <c r="B13418" s="5" t="str">
        <f>"BALANZA ANALOGA DE PISO (PESO) SIN TALLIMETRO"</f>
        <v>BALANZA ANALOGA DE PISO (PESO) SIN TALLIMETRO</v>
      </c>
      <c r="C13418" s="6">
        <v>217500</v>
      </c>
      <c r="D13418" s="5"/>
      <c r="E13418" s="5" t="str">
        <f t="shared" si="687"/>
        <v>CONSULTORIO 1y2-CONSULTA EXTERNA</v>
      </c>
      <c r="F13418" s="5" t="str">
        <f>"Descripcion: BANLANZA PROFESIONAL 160 KG BASE Y PLATAFORMA DE ACERO PARA TRABAJO PESADO, PLATAFORMA TESTURIZADA, DESLIZANTE, PLATAFORMA EXTRAGRANDE Estado: Bueno Placa anterior: 000029393 Material: METALICO Color: BLANCO Referencia:  Observacion:  Placa p"&amp; "adre: Tipo adquisicion: Entidad"</f>
        <v>Descripcion: BANLANZA PROFESIONAL 160 KG BASE Y PLATAFORMA DE ACERO PARA TRABAJO PESADO, PLATAFORMA TESTURIZADA, DESLIZANTE, PLATAFORMA EXTRAGRANDE Estado: Bueno Placa anterior: 000029393 Material: METALICO Color: BLANCO Referencia:  Observacion:  Placa padre: Tipo adquisicion: Entidad</v>
      </c>
      <c r="G13418" s="5"/>
    </row>
    <row r="13419" spans="1:7" ht="58.5" customHeight="1" x14ac:dyDescent="0.25">
      <c r="A13419" s="5" t="str">
        <f>"H0000636"</f>
        <v>H0000636</v>
      </c>
      <c r="B13419" s="5" t="str">
        <f>"TELEFONO DE SOBREMESA"</f>
        <v>TELEFONO DE SOBREMESA</v>
      </c>
      <c r="C13419" s="6">
        <v>9759.56</v>
      </c>
      <c r="D13419" s="5"/>
      <c r="E13419" s="5" t="str">
        <f t="shared" si="687"/>
        <v>CONSULTORIO 1y2-CONSULTA EXTERNA</v>
      </c>
      <c r="F13419" s="5" t="str">
        <f>"Descripcion: TELEFONO DIAL Estado: Bueno Placa anterior: 000004748 Material: PLASTICO Color: BEIGE Referencia: R1C Observacion:  Placa padre: Tipo adquisicion: Entidad"</f>
        <v>Descripcion: TELEFONO DIAL Estado: Bueno Placa anterior: 000004748 Material: PLASTICO Color: BEIGE Referencia: R1C Observacion:  Placa padre: Tipo adquisicion: Entidad</v>
      </c>
      <c r="G13419" s="5" t="str">
        <f>"DIAVOX"</f>
        <v>DIAVOX</v>
      </c>
    </row>
    <row r="13420" spans="1:7" ht="58.5" customHeight="1" x14ac:dyDescent="0.25">
      <c r="A13420" s="5" t="str">
        <f>"H0000639"</f>
        <v>H0000639</v>
      </c>
      <c r="B13420" s="5" t="str">
        <f>"MESA (CARRO) DE CURACIONES"</f>
        <v>MESA (CARRO) DE CURACIONES</v>
      </c>
      <c r="C13420" s="6">
        <v>6952</v>
      </c>
      <c r="D13420" s="5"/>
      <c r="E13420" s="5" t="str">
        <f t="shared" si="687"/>
        <v>CONSULTORIO 1y2-CONSULTA EXTERNA</v>
      </c>
      <c r="F13420" s="5" t="str">
        <f>"Descripcion: MESA AUXILIAR TIPO CARRO C/BARANDAS Y RODACHINES, 1 SUPERFICIE EN ACERO INOXIDABLE 75X55X42 Estado: Bueno Placa anterior: 000005890 Material: METALICO Color: VERDE AZULADO Referencia:  Observacion: OXIDADA Placa padre: Tipo adquisicion: Entid"&amp; "ad"</f>
        <v>Descripcion: MESA AUXILIAR TIPO CARRO C/BARANDAS Y RODACHINES, 1 SUPERFICIE EN ACERO INOXIDABLE 75X55X42 Estado: Bueno Placa anterior: 000005890 Material: METALICO Color: VERDE AZULADO Referencia:  Observacion: OXIDADA Placa padre: Tipo adquisicion: Entidad</v>
      </c>
      <c r="G13420" s="5"/>
    </row>
    <row r="13421" spans="1:7" ht="58.5" customHeight="1" x14ac:dyDescent="0.25">
      <c r="A13421" s="5" t="str">
        <f>"H0000640"</f>
        <v>H0000640</v>
      </c>
      <c r="B13421" s="5" t="str">
        <f>"VENTILADOR DE PARED"</f>
        <v>VENTILADOR DE PARED</v>
      </c>
      <c r="C13421" s="6">
        <v>28222.400000000001</v>
      </c>
      <c r="D13421" s="5"/>
      <c r="E13421" s="5" t="str">
        <f t="shared" si="687"/>
        <v>CONSULTORIO 1y2-CONSULTA EXTERNA</v>
      </c>
      <c r="F13421" s="5" t="str">
        <f>"Descripcion: VENTILADOR DE PARED TRES VELOCIDADES Estado: Inservible Placa anterior: 000004743 Material: PLASTICO Color: BLANCO Referencia: INCELT Observacion: LA FUNCIONARIA MANIFESTO VENTILADOR COMO DAÑADO Placa padre: Tipo adquisicion: Entidad"</f>
        <v>Descripcion: VENTILADOR DE PARED TRES VELOCIDADES Estado: Inservible Placa anterior: 000004743 Material: PLASTICO Color: BLANCO Referencia: INCELT Observacion: LA FUNCIONARIA MANIFESTO VENTILADOR COMO DAÑADO Placa padre: Tipo adquisicion: Entidad</v>
      </c>
      <c r="G13421" s="5" t="str">
        <f>"WOA-16"</f>
        <v>WOA-16</v>
      </c>
    </row>
    <row r="13422" spans="1:7" ht="58.5" customHeight="1" x14ac:dyDescent="0.25">
      <c r="A13422" s="5" t="str">
        <f>"H0000641"</f>
        <v>H0000641</v>
      </c>
      <c r="B13422" s="5" t="str">
        <f>"ESCALERILLA DE 2 PASOS"</f>
        <v>ESCALERILLA DE 2 PASOS</v>
      </c>
      <c r="C13422" s="6">
        <v>100000</v>
      </c>
      <c r="D13422" s="5" t="s">
        <v>49</v>
      </c>
      <c r="E13422" s="5" t="str">
        <f t="shared" si="687"/>
        <v>CONSULTORIO 1y2-CONSULTA EXTERNA</v>
      </c>
      <c r="F13422" s="5" t="str">
        <f>"Descripcion: ESCALERILLA PASOS EN MADERA COLOR NEGRO Estado: Bueno Placa anterior: 000029964 Material: METALICO Color: GRIS Referencia:  Observacion: PLACA ANTERIOR 000005165, BASE METALICA OXIDADA Placa padre: Tipo adquisicion: Entidad"</f>
        <v>Descripcion: ESCALERILLA PASOS EN MADERA COLOR NEGRO Estado: Bueno Placa anterior: 000029964 Material: METALICO Color: GRIS Referencia:  Observacion: PLACA ANTERIOR 000005165, BASE METALICA OXIDADA Placa padre: Tipo adquisicion: Entidad</v>
      </c>
      <c r="G13422" s="5"/>
    </row>
    <row r="13423" spans="1:7" ht="58.5" customHeight="1" x14ac:dyDescent="0.25">
      <c r="A13423" s="5" t="str">
        <f>"H0000642"</f>
        <v>H0000642</v>
      </c>
      <c r="B13423" s="5" t="str">
        <f>"CAMILLA FIJA (TIPO DIVAN)"</f>
        <v>CAMILLA FIJA (TIPO DIVAN)</v>
      </c>
      <c r="C13423" s="6">
        <v>245647</v>
      </c>
      <c r="D13423" s="5" t="s">
        <v>642</v>
      </c>
      <c r="E13423" s="5" t="str">
        <f t="shared" si="687"/>
        <v>CONSULTORIO 1y2-CONSULTA EXTERNA</v>
      </c>
      <c r="F13423" s="5" t="str">
        <f>"Descripcion: CAMILLA FIJA CON COLCHONETA ADHERIDA TAPIZADA EN CUERO COLOR NEGRO 62X183X55 Estado: Bueno Placa anterior: 000036301 Material: METALICO Color: GRIS Referencia:  Observacion:  Placa padre: Tipo adquisicion: Entidad"</f>
        <v>Descripcion: CAMILLA FIJA CON COLCHONETA ADHERIDA TAPIZADA EN CUERO COLOR NEGRO 62X183X55 Estado: Bueno Placa anterior: 000036301 Material: METALICO Color: GRIS Referencia:  Observacion:  Placa padre: Tipo adquisicion: Entidad</v>
      </c>
      <c r="G13423" s="5"/>
    </row>
    <row r="13424" spans="1:7" ht="58.5" customHeight="1" x14ac:dyDescent="0.25">
      <c r="A13424" s="5" t="str">
        <f>"H0000645"</f>
        <v>H0000645</v>
      </c>
      <c r="B13424" s="5" t="str">
        <f>"SILLA INTERLOCUTORA (FIJA) SIN BRAZOS"</f>
        <v>SILLA INTERLOCUTORA (FIJA) SIN BRAZOS</v>
      </c>
      <c r="C13424" s="6">
        <v>7480</v>
      </c>
      <c r="D13424" s="5"/>
      <c r="E13424" s="5" t="str">
        <f t="shared" si="687"/>
        <v>CONSULTORIO 1y2-CONSULTA EXTERNA</v>
      </c>
      <c r="F13424" s="5" t="str">
        <f>"Descripcion: SILLA FIJA TAPIZADA EN CUERO COLOR MARRON Estado: Bueno Placa anterior: 000009373 Material: METALICA Color: MARRON Referencia:  Observacion: EL BIEN TIENE PLACA ANTERIOR   000025364  AUTORIZADO CONCILIAR EN CRUCE GENERAL Placa padre: Tipo adq"&amp; "uisicion: Entidad"</f>
        <v>Descripcion: SILLA FIJA TAPIZADA EN CUERO COLOR MARRON Estado: Bueno Placa anterior: 000009373 Material: METALICA Color: MARRON Referencia:  Observacion: EL BIEN TIENE PLACA ANTERIOR   000025364  AUTORIZADO CONCILIAR EN CRUCE GENERAL Placa padre: Tipo adquisicion: Entidad</v>
      </c>
      <c r="G13424" s="5"/>
    </row>
    <row r="13425" spans="1:7" ht="58.5" customHeight="1" x14ac:dyDescent="0.25">
      <c r="A13425" s="5" t="str">
        <f>"H0000646"</f>
        <v>H0000646</v>
      </c>
      <c r="B13425" s="5" t="str">
        <f>"MESA DE NOCHE"</f>
        <v>MESA DE NOCHE</v>
      </c>
      <c r="C13425" s="6">
        <v>8389.33</v>
      </c>
      <c r="D13425" s="5"/>
      <c r="E13425" s="5" t="str">
        <f t="shared" si="687"/>
        <v>CONSULTORIO 1y2-CONSULTA EXTERNA</v>
      </c>
      <c r="F13425" s="5" t="str">
        <f>"Descripcion: MESA METALICA, SUPERFICIE EN MADEFLEX, 1 GAVETA, 1 PUERTA 80X50X41 Estado: Bueno Placa anterior: 000019641 Material: METALICO Color: GRIS Referencia:  Observacion: FUE TRANSLADADO A MANTENIMIENTO Placa padre: Tipo adquisicion: Entidad"</f>
        <v>Descripcion: MESA METALICA, SUPERFICIE EN MADEFLEX, 1 GAVETA, 1 PUERTA 80X50X41 Estado: Bueno Placa anterior: 000019641 Material: METALICO Color: GRIS Referencia:  Observacion: FUE TRANSLADADO A MANTENIMIENTO Placa padre: Tipo adquisicion: Entidad</v>
      </c>
      <c r="G13425" s="5"/>
    </row>
    <row r="13426" spans="1:7" ht="58.5" customHeight="1" x14ac:dyDescent="0.25">
      <c r="A13426" s="5" t="str">
        <f>"H0000648"</f>
        <v>H0000648</v>
      </c>
      <c r="B13426" s="5" t="str">
        <f>"CUBETA DE ACERO INOXIDABLE CON TAPA MEDIANA"</f>
        <v>CUBETA DE ACERO INOXIDABLE CON TAPA MEDIANA</v>
      </c>
      <c r="C13426" s="6">
        <v>5815</v>
      </c>
      <c r="D13426" s="5"/>
      <c r="E13426" s="5" t="str">
        <f t="shared" si="687"/>
        <v>CONSULTORIO 1y2-CONSULTA EXTERNA</v>
      </c>
      <c r="F13426" s="5" t="str">
        <f>"Descripcion: POTE CON TAPA ALTXDIAM 10X15, ESMALTADO Estado: Bueno Placa anterior: 000005788 Material: METALICO Color: BLANCO Referencia:  Observacion:  Placa padre: Tipo adquisicion: Entidad"</f>
        <v>Descripcion: POTE CON TAPA ALTXDIAM 10X15, ESMALTADO Estado: Bueno Placa anterior: 000005788 Material: METALICO Color: BLANCO Referencia:  Observacion:  Placa padre: Tipo adquisicion: Entidad</v>
      </c>
      <c r="G13426" s="5"/>
    </row>
    <row r="13427" spans="1:7" ht="58.5" customHeight="1" x14ac:dyDescent="0.25">
      <c r="A13427" s="5" t="str">
        <f>"H0000651"</f>
        <v>H0000651</v>
      </c>
      <c r="B13427" s="5" t="str">
        <f>"MONITOR LCD"</f>
        <v>MONITOR LCD</v>
      </c>
      <c r="C13427" s="6">
        <v>760000</v>
      </c>
      <c r="D13427" s="5"/>
      <c r="E13427" s="5" t="str">
        <f t="shared" si="687"/>
        <v>CONSULTORIO 1y2-CONSULTA EXTERNA</v>
      </c>
      <c r="F13427" s="5" t="str">
        <f>"Descripcion: MONITOR LCD DE 17 PULGADAS Estado: Bueno Placa anterior: 000029285 Material: PLASTICO Color: NEGRO Referencia: FLATRON W1742S-PF Observacion:  Placa padre: H0000650Tipo adquisicion: Entidad"</f>
        <v>Descripcion: MONITOR LCD DE 17 PULGADAS Estado: Bueno Placa anterior: 000029285 Material: PLASTICO Color: NEGRO Referencia: FLATRON W1742S-PF Observacion:  Placa padre: H0000650Tipo adquisicion: Entidad</v>
      </c>
      <c r="G13427" s="5" t="str">
        <f>"W1742ST"</f>
        <v>W1742ST</v>
      </c>
    </row>
    <row r="13428" spans="1:7" ht="58.5" customHeight="1" x14ac:dyDescent="0.25">
      <c r="A13428" s="5" t="str">
        <f>"H0000656"</f>
        <v>H0000656</v>
      </c>
      <c r="B13428" s="5" t="str">
        <f>"SILLA INTERLOCUTORA (FIJA) SIN BRAZOS"</f>
        <v>SILLA INTERLOCUTORA (FIJA) SIN BRAZOS</v>
      </c>
      <c r="C13428" s="6">
        <v>6949.64</v>
      </c>
      <c r="D13428" s="5"/>
      <c r="E13428" s="5" t="str">
        <f t="shared" si="687"/>
        <v>CONSULTORIO 1y2-CONSULTA EXTERNA</v>
      </c>
      <c r="F13428" s="5" t="str">
        <f>"Descripcion: SILLA FIJA TAPIZADA EN CUERO COLOR MARRON Estado: Bueno Placa anterior: 000004752 Material: METALICO Color: MARRON Referencia:  Observacion:  Placa padre: Tipo adquisicion: Entidad"</f>
        <v>Descripcion: SILLA FIJA TAPIZADA EN CUERO COLOR MARRON Estado: Bueno Placa anterior: 000004752 Material: METALICO Color: MARRON Referencia:  Observacion:  Placa padre: Tipo adquisicion: Entidad</v>
      </c>
      <c r="G13428" s="5"/>
    </row>
    <row r="13429" spans="1:7" ht="58.5" customHeight="1" x14ac:dyDescent="0.25">
      <c r="A13429" s="5" t="str">
        <f>"H0000657"</f>
        <v>H0000657</v>
      </c>
      <c r="B13429" s="5" t="str">
        <f>"NEGATOSCOPIO"</f>
        <v>NEGATOSCOPIO</v>
      </c>
      <c r="C13429" s="6">
        <v>15208.75</v>
      </c>
      <c r="D13429" s="5"/>
      <c r="E13429" s="5" t="str">
        <f t="shared" si="687"/>
        <v>CONSULTORIO 1y2-CONSULTA EXTERNA</v>
      </c>
      <c r="F13429" s="5" t="str">
        <f>"Descripcion: 2 CUERPOS 46X75X16 Estado: Bueno Placa anterior: 000004739 Material: METALICO Color: GRIS Referencia:  Observacion:  Placa padre: Tipo adquisicion: Entidad"</f>
        <v>Descripcion: 2 CUERPOS 46X75X16 Estado: Bueno Placa anterior: 000004739 Material: METALICO Color: GRIS Referencia:  Observacion:  Placa padre: Tipo adquisicion: Entidad</v>
      </c>
      <c r="G13429" s="5"/>
    </row>
    <row r="13430" spans="1:7" ht="58.5" customHeight="1" x14ac:dyDescent="0.25">
      <c r="A13430" s="5" t="str">
        <f>"H0000844"</f>
        <v>H0000844</v>
      </c>
      <c r="B13430" s="5" t="str">
        <f>"SILLA INTERLOCUTORA (FIJA) SIN BRAZOS"</f>
        <v>SILLA INTERLOCUTORA (FIJA) SIN BRAZOS</v>
      </c>
      <c r="C13430" s="6">
        <v>9679.7000000000007</v>
      </c>
      <c r="D13430" s="5"/>
      <c r="E13430" s="5" t="str">
        <f t="shared" si="687"/>
        <v>CONSULTORIO 1y2-CONSULTA EXTERNA</v>
      </c>
      <c r="F13430" s="5" t="str">
        <f>"Descripcion: SILLA FIJA TIPO A COLOR MARRON Estado: Regular Placa anterior: 000025364 Material: METALICA CON TAAPIZADO EN SEMICUERO Color: MARRON Referencia:  Observacion:  Placa padre: Tipo adquisicion: Entidad"</f>
        <v>Descripcion: SILLA FIJA TIPO A COLOR MARRON Estado: Regular Placa anterior: 000025364 Material: METALICA CON TAAPIZADO EN SEMICUERO Color: MARRON Referencia:  Observacion:  Placa padre: Tipo adquisicion: Entidad</v>
      </c>
      <c r="G13430" s="5"/>
    </row>
    <row r="13431" spans="1:7" ht="58.5" customHeight="1" x14ac:dyDescent="0.25">
      <c r="A13431" s="5" t="str">
        <f>"H0000846"</f>
        <v>H0000846</v>
      </c>
      <c r="B13431" s="5" t="str">
        <f>"SILLA INTERLOCUTORA (FIJA) SIN BRAZOS"</f>
        <v>SILLA INTERLOCUTORA (FIJA) SIN BRAZOS</v>
      </c>
      <c r="C13431" s="6">
        <v>6949.69</v>
      </c>
      <c r="D13431" s="5"/>
      <c r="E13431" s="5" t="str">
        <f t="shared" si="687"/>
        <v>CONSULTORIO 1y2-CONSULTA EXTERNA</v>
      </c>
      <c r="F13431" s="5" t="str">
        <f>"Descripcion: SILLA FIJA TIPO A COLOR GRIS Estado: Bueno Placa anterior: 000027456 Material: METALICA CON TAPIZADO EN SEMICUERO Color: GRIS Referencia:  Observacion:  Placa padre: Tipo adquisicion: Entidad"</f>
        <v>Descripcion: SILLA FIJA TIPO A COLOR GRIS Estado: Bueno Placa anterior: 000027456 Material: METALICA CON TAPIZADO EN SEMICUERO Color: GRIS Referencia:  Observacion:  Placa padre: Tipo adquisicion: Entidad</v>
      </c>
      <c r="G13431" s="5"/>
    </row>
    <row r="13432" spans="1:7" ht="58.5" customHeight="1" x14ac:dyDescent="0.25">
      <c r="A13432" s="5" t="str">
        <f>"H0000848"</f>
        <v>H0000848</v>
      </c>
      <c r="B13432" s="5" t="str">
        <f>"NEGATOSCOPIO"</f>
        <v>NEGATOSCOPIO</v>
      </c>
      <c r="C13432" s="6">
        <v>15208.75</v>
      </c>
      <c r="D13432" s="5"/>
      <c r="E13432" s="5" t="str">
        <f t="shared" si="687"/>
        <v>CONSULTORIO 1y2-CONSULTA EXTERNA</v>
      </c>
      <c r="F13432" s="5" t="str">
        <f>"Descripcion: NEGATOSCOPIO DOBLE Estado: Bueno Placa anterior: 000004717 Material:  Color: VERDE CON ACRILICO BLANCO Referencia:  Observacion:  Placa padre: Tipo adquisicion: Entidad"</f>
        <v>Descripcion: NEGATOSCOPIO DOBLE Estado: Bueno Placa anterior: 000004717 Material:  Color: VERDE CON ACRILICO BLANCO Referencia:  Observacion:  Placa padre: Tipo adquisicion: Entidad</v>
      </c>
      <c r="G13432" s="5" t="str">
        <f>"2 CUERPOS"</f>
        <v>2 CUERPOS</v>
      </c>
    </row>
    <row r="13433" spans="1:7" ht="58.5" customHeight="1" x14ac:dyDescent="0.25">
      <c r="A13433" s="5" t="str">
        <f>"H0000849"</f>
        <v>H0000849</v>
      </c>
      <c r="B13433" s="5" t="str">
        <f>"BUTACO GIRATORIO SIN RUEDAS"</f>
        <v>BUTACO GIRATORIO SIN RUEDAS</v>
      </c>
      <c r="C13433" s="6">
        <v>7240</v>
      </c>
      <c r="D13433" s="5"/>
      <c r="E13433" s="5" t="str">
        <f t="shared" si="687"/>
        <v>CONSULTORIO 1y2-CONSULTA EXTERNA</v>
      </c>
      <c r="F13433" s="5" t="str">
        <f>"Descripcion: BUTACO GIRATORIO SIN ESPALDAR Estado: Bueno Placa anterior: 000004747 Material: METALICO CON TAPIZADO NEGRO Color:  BEIGE CON NEGRO Referencia:  Observacion:  Placa padre: Tipo adquisicion: Entidad"</f>
        <v>Descripcion: BUTACO GIRATORIO SIN ESPALDAR Estado: Bueno Placa anterior: 000004747 Material: METALICO CON TAPIZADO NEGRO Color:  BEIGE CON NEGRO Referencia:  Observacion:  Placa padre: Tipo adquisicion: Entidad</v>
      </c>
      <c r="G13433" s="5"/>
    </row>
    <row r="13434" spans="1:7" ht="58.5" customHeight="1" x14ac:dyDescent="0.25">
      <c r="A13434" s="5" t="str">
        <f>"H0000850"</f>
        <v>H0000850</v>
      </c>
      <c r="B13434" s="5" t="str">
        <f>"VENTILADOR DE PARED"</f>
        <v>VENTILADOR DE PARED</v>
      </c>
      <c r="C13434" s="6">
        <v>9414.52</v>
      </c>
      <c r="D13434" s="5"/>
      <c r="E13434" s="5" t="str">
        <f t="shared" si="687"/>
        <v>CONSULTORIO 1y2-CONSULTA EXTERNA</v>
      </c>
      <c r="F13434" s="5" t="str">
        <f>"Descripcion: VENTILADOR DE PARED MARCA CORPISAN Estado: Bueno Placa anterior: 000005842 Material: PLASTICO CON REJILLA METALICA Color: BEIGE CON MARRON Referencia:  Observacion:  Placa padre: Tipo adquisicion: Entidad"</f>
        <v>Descripcion: VENTILADOR DE PARED MARCA CORPISAN Estado: Bueno Placa anterior: 000005842 Material: PLASTICO CON REJILLA METALICA Color: BEIGE CON MARRON Referencia:  Observacion:  Placa padre: Tipo adquisicion: Entidad</v>
      </c>
      <c r="G13434" s="5"/>
    </row>
    <row r="13435" spans="1:7" ht="58.5" customHeight="1" x14ac:dyDescent="0.25">
      <c r="A13435" s="5" t="str">
        <f>"H0000851"</f>
        <v>H0000851</v>
      </c>
      <c r="B13435" s="5" t="str">
        <f>"CUBETA DE ACERO INOXIDABLE CON TAPA MEDIANA"</f>
        <v>CUBETA DE ACERO INOXIDABLE CON TAPA MEDIANA</v>
      </c>
      <c r="C13435" s="6">
        <v>5815.6</v>
      </c>
      <c r="D13435" s="5"/>
      <c r="E13435" s="5" t="str">
        <f t="shared" si="687"/>
        <v>CONSULTORIO 1y2-CONSULTA EXTERNA</v>
      </c>
      <c r="F13435" s="5" t="str">
        <f>"Descripcion: CUBETA EN ACERO INOX.MEDIANA CON TAPA Estado: Bueno Placa anterior: 000004730 Material: ACERO INOXIDABLE Color: ACERO INOX Referencia:  Observacion:  Placa padre: Tipo adquisicion: Entidad"</f>
        <v>Descripcion: CUBETA EN ACERO INOX.MEDIANA CON TAPA Estado: Bueno Placa anterior: 000004730 Material: ACERO INOXIDABLE Color: ACERO INOX Referencia:  Observacion:  Placa padre: Tipo adquisicion: Entidad</v>
      </c>
      <c r="G13435" s="5"/>
    </row>
    <row r="13436" spans="1:7" ht="58.5" customHeight="1" x14ac:dyDescent="0.25">
      <c r="A13436" s="5" t="str">
        <f>"H0000852"</f>
        <v>H0000852</v>
      </c>
      <c r="B13436" s="5" t="str">
        <f>"CAMILLA GINECOLOGICA CON ESTRIBOS"</f>
        <v>CAMILLA GINECOLOGICA CON ESTRIBOS</v>
      </c>
      <c r="C13436" s="6">
        <v>133045</v>
      </c>
      <c r="D13436" s="5"/>
      <c r="E13436" s="5" t="str">
        <f t="shared" si="687"/>
        <v>CONSULTORIO 1y2-CONSULTA EXTERNA</v>
      </c>
      <c r="F13436" s="5" t="str">
        <f>"Descripcion: CAMILLA DE EXAMEN GINECOLOGICA SIN ESTRIBOS Estado: Bueno Placa anterior: 000004732 Material: METALICA Color: GRIS Referencia:  Observacion:  Placa padre: Tipo adquisicion: Entidad"</f>
        <v>Descripcion: CAMILLA DE EXAMEN GINECOLOGICA SIN ESTRIBOS Estado: Bueno Placa anterior: 000004732 Material: METALICA Color: GRIS Referencia:  Observacion:  Placa padre: Tipo adquisicion: Entidad</v>
      </c>
      <c r="G13436" s="5"/>
    </row>
    <row r="13437" spans="1:7" ht="58.5" customHeight="1" x14ac:dyDescent="0.25">
      <c r="A13437" s="5" t="str">
        <f>"H0000853"</f>
        <v>H0000853</v>
      </c>
      <c r="B13437" s="5" t="str">
        <f>"ESCALERILLA DE 2 PASOS"</f>
        <v>ESCALERILLA DE 2 PASOS</v>
      </c>
      <c r="C13437" s="6">
        <v>8462.5</v>
      </c>
      <c r="D13437" s="5"/>
      <c r="E13437" s="5" t="str">
        <f t="shared" si="687"/>
        <v>CONSULTORIO 1y2-CONSULTA EXTERNA</v>
      </c>
      <c r="F13437" s="5" t="str">
        <f>"Descripcion: ESCALA TIPO B (2 PASOS) Estado: Bueno Placa anterior: 000005165 Material: METALICA CON PASOS EN MADERA Color: GRIS  Referencia:  Observacion: FUE TRANSLADADO A MANTENIMIENTO Placa padre: Tipo adquisicion: Entidad"</f>
        <v>Descripcion: ESCALA TIPO B (2 PASOS) Estado: Bueno Placa anterior: 000005165 Material: METALICA CON PASOS EN MADERA Color: GRIS  Referencia:  Observacion: FUE TRANSLADADO A MANTENIMIENTO Placa padre: Tipo adquisicion: Entidad</v>
      </c>
      <c r="G13437" s="5"/>
    </row>
    <row r="13438" spans="1:7" ht="58.5" customHeight="1" x14ac:dyDescent="0.25">
      <c r="A13438" s="5" t="str">
        <f>"H0000854"</f>
        <v>H0000854</v>
      </c>
      <c r="B13438" s="5" t="str">
        <f>"VITRINA DE 1 CUERPO"</f>
        <v>VITRINA DE 1 CUERPO</v>
      </c>
      <c r="C13438" s="6">
        <v>20208.78</v>
      </c>
      <c r="D13438" s="5"/>
      <c r="E13438" s="5" t="str">
        <f t="shared" si="687"/>
        <v>CONSULTORIO 1y2-CONSULTA EXTERNA</v>
      </c>
      <c r="F13438" s="5" t="str">
        <f>"Descripcion: VITRINA METALICA CON 2 PUERTAS Y UNA GAVETA Estado: Bueno Placa anterior: 000004720 Material: METALICA  Color: GRIS Referencia:  Observacion:  Placa padre: Tipo adquisicion: Entidad"</f>
        <v>Descripcion: VITRINA METALICA CON 2 PUERTAS Y UNA GAVETA Estado: Bueno Placa anterior: 000004720 Material: METALICA  Color: GRIS Referencia:  Observacion:  Placa padre: Tipo adquisicion: Entidad</v>
      </c>
      <c r="G13438" s="5"/>
    </row>
    <row r="13439" spans="1:7" ht="58.5" customHeight="1" x14ac:dyDescent="0.25">
      <c r="A13439" s="5" t="str">
        <f>"H0000855"</f>
        <v>H0000855</v>
      </c>
      <c r="B13439" s="5" t="str">
        <f>"MESA DE MAYO"</f>
        <v>MESA DE MAYO</v>
      </c>
      <c r="C13439" s="6">
        <v>13530</v>
      </c>
      <c r="D13439" s="5"/>
      <c r="E13439" s="5" t="str">
        <f t="shared" si="687"/>
        <v>CONSULTORIO 1y2-CONSULTA EXTERNA</v>
      </c>
      <c r="F13439" s="5" t="str">
        <f>"Descripcion: MESA MAYO METALICA  (FALTA PINTURA) Estado: Regular Placa anterior: 000004724 Material: METALICA Color: GRIS Referencia:  Observacion: TIENE OXIDO EN LAS PATAS, FUE TRANSLADADO A MANTENIMIENTO Placa padre: Tipo adquisicion: Entidad"</f>
        <v>Descripcion: MESA MAYO METALICA  (FALTA PINTURA) Estado: Regular Placa anterior: 000004724 Material: METALICA Color: GRIS Referencia:  Observacion: TIENE OXIDO EN LAS PATAS, FUE TRANSLADADO A MANTENIMIENTO Placa padre: Tipo adquisicion: Entidad</v>
      </c>
      <c r="G13439" s="5"/>
    </row>
    <row r="13440" spans="1:7" ht="58.5" customHeight="1" x14ac:dyDescent="0.25">
      <c r="A13440" s="5" t="str">
        <f>"H0000856"</f>
        <v>H0000856</v>
      </c>
      <c r="B13440" s="5" t="str">
        <f>"SIERRA PARA CORTE DE YESO"</f>
        <v>SIERRA PARA CORTE DE YESO</v>
      </c>
      <c r="C13440" s="6">
        <v>4292000</v>
      </c>
      <c r="D13440" s="5"/>
      <c r="E13440" s="5" t="str">
        <f t="shared" si="687"/>
        <v>CONSULTORIO 1y2-CONSULTA EXTERNA</v>
      </c>
      <c r="F13440" s="5" t="str">
        <f>"Descripcion: SIERRA OSCILANTE PARA CORTAR YESO 110W CON DOS DISCOS DE 2 Y 21/2 Y DOS LLAVES. 42-0351 Estado: Bueno Placa anterior: 000025739 Material:  Color: NEGRO CON PLATEADO Referencia:  Observacion:  Placa padre: Tipo adquisicion: Entidad"</f>
        <v>Descripcion: SIERRA OSCILANTE PARA CORTAR YESO 110W CON DOS DISCOS DE 2 Y 21/2 Y DOS LLAVES. 42-0351 Estado: Bueno Placa anterior: 000025739 Material:  Color: NEGRO CON PLATEADO Referencia:  Observacion:  Placa padre: Tipo adquisicion: Entidad</v>
      </c>
      <c r="G13440" s="5" t="str">
        <f>"180 E"</f>
        <v>180 E</v>
      </c>
    </row>
    <row r="13441" spans="1:7" ht="58.5" customHeight="1" x14ac:dyDescent="0.25">
      <c r="A13441" s="5" t="str">
        <f>"H0000858"</f>
        <v>H0000858</v>
      </c>
      <c r="B13441" s="5" t="str">
        <f>"POTE (TARRO) ACERO INXODABLE CON TAPA GRANDE"</f>
        <v>POTE (TARRO) ACERO INXODABLE CON TAPA GRANDE</v>
      </c>
      <c r="C13441" s="6">
        <v>7405.74</v>
      </c>
      <c r="D13441" s="5"/>
      <c r="E13441" s="5" t="str">
        <f t="shared" si="687"/>
        <v>CONSULTORIO 1y2-CONSULTA EXTERNA</v>
      </c>
      <c r="F13441" s="5" t="str">
        <f>"Descripcion: TARRO EN ACERO INOXIDABLE GRANDE Estado: Bueno Placa anterior: 000004729 Material: ACERO INOXIDABLE Color:  Referencia:  Observacion:  Placa padre: Tipo adquisicion: Entidad"</f>
        <v>Descripcion: TARRO EN ACERO INOXIDABLE GRANDE Estado: Bueno Placa anterior: 000004729 Material: ACERO INOXIDABLE Color:  Referencia:  Observacion:  Placa padre: Tipo adquisicion: Entidad</v>
      </c>
      <c r="G13441" s="5"/>
    </row>
    <row r="13442" spans="1:7" ht="58.5" customHeight="1" x14ac:dyDescent="0.25">
      <c r="A13442" s="5" t="str">
        <f>"H0000859"</f>
        <v>H0000859</v>
      </c>
      <c r="B13442" s="5" t="str">
        <f>"POTE (TARRO) ACERO INXODABLE CON TAPA PEQUEÑO"</f>
        <v>POTE (TARRO) ACERO INXODABLE CON TAPA PEQUEÑO</v>
      </c>
      <c r="C13442" s="6">
        <v>7405.74</v>
      </c>
      <c r="D13442" s="5"/>
      <c r="E13442" s="5" t="str">
        <f t="shared" si="687"/>
        <v>CONSULTORIO 1y2-CONSULTA EXTERNA</v>
      </c>
      <c r="F13442" s="5" t="str">
        <f>"Descripcion: TARRO EN ACERO INOXIDABLE PEQUEÑO Estado: Bueno Placa anterior: 000004728 Material: ACERO INOXIDABLE Color:  Referencia:  Observacion:  Placa padre: Tipo adquisicion: Entidad"</f>
        <v>Descripcion: TARRO EN ACERO INOXIDABLE PEQUEÑO Estado: Bueno Placa anterior: 000004728 Material: ACERO INOXIDABLE Color:  Referencia:  Observacion:  Placa padre: Tipo adquisicion: Entidad</v>
      </c>
      <c r="G13442" s="5"/>
    </row>
    <row r="13443" spans="1:7" ht="58.5" customHeight="1" x14ac:dyDescent="0.25">
      <c r="A13443" s="5" t="str">
        <f>"H0000861"</f>
        <v>H0000861</v>
      </c>
      <c r="B13443" s="5" t="str">
        <f>"CUBETA DE ACERO INOXIDABLE CON TAPA PEQUEÑA"</f>
        <v>CUBETA DE ACERO INOXIDABLE CON TAPA PEQUEÑA</v>
      </c>
      <c r="C13443" s="6">
        <v>5815.6</v>
      </c>
      <c r="D13443" s="5"/>
      <c r="E13443" s="5" t="str">
        <f t="shared" si="687"/>
        <v>CONSULTORIO 1y2-CONSULTA EXTERNA</v>
      </c>
      <c r="F13443" s="5" t="str">
        <f>"Descripcion: CUBETA EN ACERO INOX.PEQUEÑA NO HAY TAPA Estado: Bueno Placa anterior: 000005884 Material: ACERO INOXIDABLE Color:  Referencia:  Observacion:  Placa padre: Tipo adquisicion: Entidad"</f>
        <v>Descripcion: CUBETA EN ACERO INOX.PEQUEÑA NO HAY TAPA Estado: Bueno Placa anterior: 000005884 Material: ACERO INOXIDABLE Color:  Referencia:  Observacion:  Placa padre: Tipo adquisicion: Entidad</v>
      </c>
      <c r="G13443" s="5"/>
    </row>
    <row r="13444" spans="1:7" ht="58.5" customHeight="1" x14ac:dyDescent="0.25">
      <c r="A13444" s="5" t="str">
        <f>"H0000862"</f>
        <v>H0000862</v>
      </c>
      <c r="B13444" s="5" t="str">
        <f>"TIJERA PARA YESOS"</f>
        <v>TIJERA PARA YESOS</v>
      </c>
      <c r="C13444" s="6">
        <v>760</v>
      </c>
      <c r="D13444" s="5"/>
      <c r="E13444" s="5" t="str">
        <f t="shared" si="687"/>
        <v>CONSULTORIO 1y2-CONSULTA EXTERNA</v>
      </c>
      <c r="F13444" s="5" t="str">
        <f>"Descripcion: TIJERA CURVA Estado: Bueno Placa anterior: 000006562 Material: METALICA Color: MANGO ROJO Referencia:  Observacion:  Placa padre: Tipo adquisicion: Entidad"</f>
        <v>Descripcion: TIJERA CURVA Estado: Bueno Placa anterior: 000006562 Material: METALICA Color: MANGO ROJO Referencia:  Observacion:  Placa padre: Tipo adquisicion: Entidad</v>
      </c>
      <c r="G13444" s="5"/>
    </row>
    <row r="13445" spans="1:7" ht="58.5" customHeight="1" x14ac:dyDescent="0.25">
      <c r="A13445" s="5" t="str">
        <f>"H0000863"</f>
        <v>H0000863</v>
      </c>
      <c r="B13445" s="5" t="str">
        <f>"TIJERA PARA YESOS"</f>
        <v>TIJERA PARA YESOS</v>
      </c>
      <c r="C13445" s="6">
        <v>49469</v>
      </c>
      <c r="D13445" s="5"/>
      <c r="E13445" s="5" t="str">
        <f t="shared" si="687"/>
        <v>CONSULTORIO 1y2-CONSULTA EXTERNA</v>
      </c>
      <c r="F13445" s="5" t="str">
        <f>"Descripcion: TIJERA SMARCH (INST.ABRE YESOS) Estado: Bueno Placa anterior: 000006550 Material: ACERO INOXIDABLE Color:  Referencia:  Observacion:  Placa padre: Tipo adquisicion: Entidad"</f>
        <v>Descripcion: TIJERA SMARCH (INST.ABRE YESOS) Estado: Bueno Placa anterior: 000006550 Material: ACERO INOXIDABLE Color:  Referencia:  Observacion:  Placa padre: Tipo adquisicion: Entidad</v>
      </c>
      <c r="G13445" s="5"/>
    </row>
    <row r="13446" spans="1:7" ht="58.5" customHeight="1" x14ac:dyDescent="0.25">
      <c r="A13446" s="5" t="str">
        <f>"H0000864"</f>
        <v>H0000864</v>
      </c>
      <c r="B13446" s="5" t="str">
        <f>"TIJERA HERCULES PARA YESO"</f>
        <v>TIJERA HERCULES PARA YESO</v>
      </c>
      <c r="C13446" s="6">
        <v>49469</v>
      </c>
      <c r="D13446" s="5"/>
      <c r="E13446" s="5" t="str">
        <f t="shared" ref="E13446:E13464" si="688">"CONSULTORIO 1y2-CONSULTA EXTERNA"</f>
        <v>CONSULTORIO 1y2-CONSULTA EXTERNA</v>
      </c>
      <c r="F13446" s="5" t="str">
        <f>"Descripcion: TIJERA HERCULES (EQUIPO ABRE YESOS) Estado: Bueno Placa anterior: 000005764 Material: ACERO INOXIDABLE Color:  Referencia:  Observacion:  Placa padre: Tipo adquisicion: Entidad"</f>
        <v>Descripcion: TIJERA HERCULES (EQUIPO ABRE YESOS) Estado: Bueno Placa anterior: 000005764 Material: ACERO INOXIDABLE Color:  Referencia:  Observacion:  Placa padre: Tipo adquisicion: Entidad</v>
      </c>
      <c r="G13446" s="5"/>
    </row>
    <row r="13447" spans="1:7" ht="58.5" customHeight="1" x14ac:dyDescent="0.25">
      <c r="A13447" s="5" t="str">
        <f>"H0000865"</f>
        <v>H0000865</v>
      </c>
      <c r="B13447" s="5" t="str">
        <f>"SEPARADOR STILLE PARA YESO"</f>
        <v>SEPARADOR STILLE PARA YESO</v>
      </c>
      <c r="C13447" s="6">
        <v>49469</v>
      </c>
      <c r="D13447" s="5"/>
      <c r="E13447" s="5" t="str">
        <f t="shared" si="688"/>
        <v>CONSULTORIO 1y2-CONSULTA EXTERNA</v>
      </c>
      <c r="F13447" s="5" t="str">
        <f>"Descripcion: SEPARADOR STILLE (INST.ABRE YESOS) Estado: Bueno Placa anterior: 000005765 Material: ACERO INOXIDABLE Color:  Referencia:  Observacion:  Placa padre: Tipo adquisicion: Entidad"</f>
        <v>Descripcion: SEPARADOR STILLE (INST.ABRE YESOS) Estado: Bueno Placa anterior: 000005765 Material: ACERO INOXIDABLE Color:  Referencia:  Observacion:  Placa padre: Tipo adquisicion: Entidad</v>
      </c>
      <c r="G13447" s="5"/>
    </row>
    <row r="13448" spans="1:7" ht="58.5" customHeight="1" x14ac:dyDescent="0.25">
      <c r="A13448" s="5" t="str">
        <f>"H0000866"</f>
        <v>H0000866</v>
      </c>
      <c r="B13448" s="5" t="str">
        <f>"MARTILLO PARA REFLEJOS"</f>
        <v>MARTILLO PARA REFLEJOS</v>
      </c>
      <c r="C13448" s="6">
        <v>1922.51</v>
      </c>
      <c r="D13448" s="5"/>
      <c r="E13448" s="5" t="str">
        <f t="shared" si="688"/>
        <v>CONSULTORIO 1y2-CONSULTA EXTERNA</v>
      </c>
      <c r="F13448" s="5" t="str">
        <f>"Descripcion: MARTILLO DE REFLEJOS Estado: Bueno Placa anterior: 000006552 Material:  Color: NARANJA Referencia:  Observacion:  Placa padre: Tipo adquisicion: Entidad"</f>
        <v>Descripcion: MARTILLO DE REFLEJOS Estado: Bueno Placa anterior: 000006552 Material:  Color: NARANJA Referencia:  Observacion:  Placa padre: Tipo adquisicion: Entidad</v>
      </c>
      <c r="G13448" s="5"/>
    </row>
    <row r="13449" spans="1:7" ht="58.5" customHeight="1" x14ac:dyDescent="0.25">
      <c r="A13449" s="5" t="str">
        <f>"H0002068"</f>
        <v>H0002068</v>
      </c>
      <c r="B13449" s="5" t="str">
        <f>"BALANZA DIGITAL DE PISO (PESO) CON TALLIMETRO"</f>
        <v>BALANZA DIGITAL DE PISO (PESO) CON TALLIMETRO</v>
      </c>
      <c r="C13449" s="6">
        <v>2030000</v>
      </c>
      <c r="D13449" s="5"/>
      <c r="E13449" s="5" t="str">
        <f t="shared" si="688"/>
        <v>CONSULTORIO 1y2-CONSULTA EXTERNA</v>
      </c>
      <c r="F13449" s="5" t="str">
        <f>"Descripcion:BASCULA CON TALLIMETRO DIGITAL Estado: Excelente Placa anterior: 000039044 Material: PASTA Color: BLANCO Referencia:  Observacion:  Placa padre:  Tipo adquisicion : Entidad"</f>
        <v>Descripcion:BASCULA CON TALLIMETRO DIGITAL Estado: Excelente Placa anterior: 000039044 Material: PASTA Color: BLANCO Referencia:  Observacion:  Placa padre:  Tipo adquisicion : Entidad</v>
      </c>
      <c r="G13449" s="5" t="str">
        <f>"H-150-10-5"</f>
        <v>H-150-10-5</v>
      </c>
    </row>
    <row r="13450" spans="1:7" ht="58.5" customHeight="1" x14ac:dyDescent="0.25">
      <c r="A13450" s="5" t="str">
        <f>"H0002757"</f>
        <v>H0002757</v>
      </c>
      <c r="B13450" s="5" t="str">
        <f>"MESA EN ACERO INOXIDABLE"</f>
        <v>MESA EN ACERO INOXIDABLE</v>
      </c>
      <c r="C13450" s="6">
        <v>250000</v>
      </c>
      <c r="D13450" s="5"/>
      <c r="E13450" s="5" t="str">
        <f t="shared" si="688"/>
        <v>CONSULTORIO 1y2-CONSULTA EXTERNA</v>
      </c>
      <c r="F13450" s="5" t="str">
        <f>"Descripcion:MESA AUXILIAR RODANTE EN ACERO INOXIDABLE Estado: Excelente Placa anterior: 000037822 Material: ACERO INOX.  Color: PLATEADO Referencia:  Observacion:  Placa padre:  Tipo adquisicion : Entidad"</f>
        <v>Descripcion:MESA AUXILIAR RODANTE EN ACERO INOXIDABLE Estado: Excelente Placa anterior: 000037822 Material: ACERO INOX.  Color: PLATEADO Referencia:  Observacion:  Placa padre:  Tipo adquisicion : Entidad</v>
      </c>
      <c r="G13450" s="5"/>
    </row>
    <row r="13451" spans="1:7" ht="58.5" customHeight="1" x14ac:dyDescent="0.25">
      <c r="A13451" s="5" t="str">
        <f>"H0005119"</f>
        <v>H0005119</v>
      </c>
      <c r="B13451" s="5" t="str">
        <f>"MESA DE MADERA PARA COMPUTADOR"</f>
        <v>MESA DE MADERA PARA COMPUTADOR</v>
      </c>
      <c r="C13451" s="6">
        <v>194717.6</v>
      </c>
      <c r="D13451" s="5"/>
      <c r="E13451" s="5" t="str">
        <f t="shared" si="688"/>
        <v>CONSULTORIO 1y2-CONSULTA EXTERNA</v>
      </c>
      <c r="F13451" s="5" t="str">
        <f>"Descripcion:MESA PARA COMPUTADOR CON CHAPA Estado: Bueno Placa anterior: 000001482 Material: MADERA Color: BEIGE Referencia:  Observacion:  Placa padre:  Tipo adquisicion : Entidad"</f>
        <v>Descripcion:MESA PARA COMPUTADOR CON CHAPA Estado: Bueno Placa anterior: 000001482 Material: MADERA Color: BEIGE Referencia:  Observacion:  Placa padre:  Tipo adquisicion : Entidad</v>
      </c>
      <c r="G13451" s="5"/>
    </row>
    <row r="13452" spans="1:7" ht="58.5" customHeight="1" x14ac:dyDescent="0.25">
      <c r="A13452" s="5" t="str">
        <f>"H0016957"</f>
        <v>H0016957</v>
      </c>
      <c r="B13452" s="5" t="str">
        <f>"RIÑONERA HOSPITALARIA EN ACERO INOXIDABLE"</f>
        <v>RIÑONERA HOSPITALARIA EN ACERO INOXIDABLE</v>
      </c>
      <c r="C13452" s="6">
        <v>2103.23</v>
      </c>
      <c r="D13452" s="5"/>
      <c r="E13452" s="5" t="str">
        <f t="shared" si="688"/>
        <v>CONSULTORIO 1y2-CONSULTA EXTERNA</v>
      </c>
      <c r="F13452" s="5" t="str">
        <f>"Descripcion:RIÑONERA PEQUEÑA Estado: Bueno Placa anterior: 000007978 Material: ACERO INOXIDABLE Color: PLATEADO     Referencia:  Observacion: AUTORIZADO CONCILIAR EN CRUCE GENERAL Placa padre:  Tipo adquisicion : Entidad"</f>
        <v>Descripcion:RIÑONERA PEQUEÑA Estado: Bueno Placa anterior: 000007978 Material: ACERO INOXIDABLE Color: PLATEADO     Referencia:  Observacion: AUTORIZADO CONCILIAR EN CRUCE GENERAL Placa padre:  Tipo adquisicion : Entidad</v>
      </c>
      <c r="G13452" s="5"/>
    </row>
    <row r="13453" spans="1:7" ht="58.5" customHeight="1" x14ac:dyDescent="0.25">
      <c r="A13453" s="5" t="str">
        <f>"H0017020"</f>
        <v>H0017020</v>
      </c>
      <c r="B13453" s="5" t="str">
        <f>"BANDEJA DE ACERO INOXIDABLE MEDIANA"</f>
        <v>BANDEJA DE ACERO INOXIDABLE MEDIANA</v>
      </c>
      <c r="C13453" s="6">
        <v>14616</v>
      </c>
      <c r="D13453" s="5"/>
      <c r="E13453" s="5" t="str">
        <f t="shared" si="688"/>
        <v>CONSULTORIO 1y2-CONSULTA EXTERNA</v>
      </c>
      <c r="F13453" s="5" t="str">
        <f>"Descripcion:BANDEJA EN ACERO INOXIDABLE, 32 ANCHO X 20 FONDO Estado: Bueno Placa anterior: 000004237 Material: ACERO INOXIDABLE Color: PLATEADO Referencia:  Observacion:  Placa padre:  Tipo adquisicion : Entidad"</f>
        <v>Descripcion:BANDEJA EN ACERO INOXIDABLE, 32 ANCHO X 20 FONDO Estado: Bueno Placa anterior: 000004237 Material: ACERO INOXIDABLE Color: PLATEADO Referencia:  Observacion:  Placa padre:  Tipo adquisicion : Entidad</v>
      </c>
      <c r="G13453" s="5"/>
    </row>
    <row r="13454" spans="1:7" ht="58.5" customHeight="1" x14ac:dyDescent="0.25">
      <c r="A13454" s="5" t="str">
        <f>"H0017178"</f>
        <v>H0017178</v>
      </c>
      <c r="B13454" s="5" t="str">
        <f>"POTE (TARRO) ACERO INXODABLE CON TAPA GRANDE"</f>
        <v>POTE (TARRO) ACERO INXODABLE CON TAPA GRANDE</v>
      </c>
      <c r="C13454" s="6">
        <v>75400</v>
      </c>
      <c r="D13454" s="5"/>
      <c r="E13454" s="5" t="str">
        <f t="shared" si="688"/>
        <v>CONSULTORIO 1y2-CONSULTA EXTERNA</v>
      </c>
      <c r="F13454" s="5" t="str">
        <f>"Descripcion:TARRO CON TAPA EN ACERO INOX. 25 CM ALTO, DIAM. 12 CM Estado: Excelente Placa anterior: 000033254 Material: ACERO INOX. Color: PLATEADO Referencia:  Observacion:  Placa padre:  Tipo adquisicion : Entidad"</f>
        <v>Descripcion:TARRO CON TAPA EN ACERO INOX. 25 CM ALTO, DIAM. 12 CM Estado: Excelente Placa anterior: 000033254 Material: ACERO INOX. Color: PLATEADO Referencia:  Observacion:  Placa padre:  Tipo adquisicion : Entidad</v>
      </c>
      <c r="G13454" s="5"/>
    </row>
    <row r="13455" spans="1:7" ht="58.5" customHeight="1" x14ac:dyDescent="0.25">
      <c r="A13455" s="5" t="str">
        <f>"H0022361"</f>
        <v>H0022361</v>
      </c>
      <c r="B13455" s="5" t="str">
        <f>"NEGATOSCOPIO METALICO DE UN CUERPO"</f>
        <v>NEGATOSCOPIO METALICO DE UN CUERPO</v>
      </c>
      <c r="C13455" s="6">
        <v>213379.28</v>
      </c>
      <c r="D13455" s="5" t="s">
        <v>711</v>
      </c>
      <c r="E13455" s="5" t="str">
        <f t="shared" si="688"/>
        <v>CONSULTORIO 1y2-CONSULTA EXTERNA</v>
      </c>
      <c r="F13455" s="5"/>
      <c r="G13455" s="5"/>
    </row>
    <row r="13456" spans="1:7" ht="58.5" customHeight="1" x14ac:dyDescent="0.25">
      <c r="A13456" s="5" t="str">
        <f>"H0022415"</f>
        <v>H0022415</v>
      </c>
      <c r="B13456" s="5" t="str">
        <f>"MARTILLO DE REFLEJOS"</f>
        <v>MARTILLO DE REFLEJOS</v>
      </c>
      <c r="C13456" s="6">
        <v>18505.48</v>
      </c>
      <c r="D13456" s="5" t="s">
        <v>455</v>
      </c>
      <c r="E13456" s="5" t="str">
        <f t="shared" si="688"/>
        <v>CONSULTORIO 1y2-CONSULTA EXTERNA</v>
      </c>
      <c r="F13456" s="5"/>
      <c r="G13456" s="5"/>
    </row>
    <row r="13457" spans="1:7" ht="58.5" customHeight="1" x14ac:dyDescent="0.25">
      <c r="A13457" s="5" t="str">
        <f>"H0024569"</f>
        <v>H0024569</v>
      </c>
      <c r="B1345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457" s="6">
        <v>2600000</v>
      </c>
      <c r="D13457" s="5" t="s">
        <v>36</v>
      </c>
      <c r="E13457" s="5" t="str">
        <f t="shared" si="688"/>
        <v>CONSULTORIO 1y2-CONSULTA EXTERNA</v>
      </c>
      <c r="F13457" s="5"/>
      <c r="G13457" s="5"/>
    </row>
    <row r="13458" spans="1:7" ht="58.5" customHeight="1" x14ac:dyDescent="0.25">
      <c r="A13458" s="5" t="str">
        <f>"H0025305"</f>
        <v>H0025305</v>
      </c>
      <c r="B1345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458" s="6">
        <v>312156</v>
      </c>
      <c r="D13458" s="5" t="s">
        <v>10</v>
      </c>
      <c r="E13458" s="5" t="str">
        <f t="shared" si="688"/>
        <v>CONSULTORIO 1y2-CONSULTA EXTERNA</v>
      </c>
      <c r="F13458" s="5"/>
      <c r="G13458" s="5" t="str">
        <f>"GXP1628"</f>
        <v>GXP1628</v>
      </c>
    </row>
    <row r="13459" spans="1:7" ht="58.5" customHeight="1" x14ac:dyDescent="0.25">
      <c r="A13459" s="5" t="str">
        <f>"H0025392"</f>
        <v>H0025392</v>
      </c>
      <c r="B1345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459" s="6">
        <v>312156</v>
      </c>
      <c r="D13459" s="5" t="s">
        <v>10</v>
      </c>
      <c r="E13459" s="5" t="str">
        <f t="shared" si="688"/>
        <v>CONSULTORIO 1y2-CONSULTA EXTERNA</v>
      </c>
      <c r="F13459" s="5"/>
      <c r="G13459" s="5"/>
    </row>
    <row r="13460" spans="1:7" ht="58.5" customHeight="1" x14ac:dyDescent="0.25">
      <c r="A13460" s="5" t="str">
        <f>"H0027523"</f>
        <v>H0027523</v>
      </c>
      <c r="B13460" s="5" t="str">
        <f>"LECTOR DE HUELLAS DIGITALES"</f>
        <v>LECTOR DE HUELLAS DIGITALES</v>
      </c>
      <c r="C13460" s="6">
        <v>234000.41</v>
      </c>
      <c r="D13460" s="5" t="s">
        <v>83</v>
      </c>
      <c r="E13460" s="5" t="str">
        <f t="shared" si="688"/>
        <v>CONSULTORIO 1y2-CONSULTA EXTERNA</v>
      </c>
      <c r="F13460" s="5"/>
      <c r="G13460" s="5"/>
    </row>
    <row r="13461" spans="1:7" ht="58.5" customHeight="1" x14ac:dyDescent="0.25">
      <c r="A13461" s="5" t="str">
        <f>"H0027524"</f>
        <v>H0027524</v>
      </c>
      <c r="B13461" s="5" t="str">
        <f>"LECTOR DE HUELLAS DIGITALES"</f>
        <v>LECTOR DE HUELLAS DIGITALES</v>
      </c>
      <c r="C13461" s="6">
        <v>234000.41</v>
      </c>
      <c r="D13461" s="5" t="s">
        <v>83</v>
      </c>
      <c r="E13461" s="5" t="str">
        <f t="shared" si="688"/>
        <v>CONSULTORIO 1y2-CONSULTA EXTERNA</v>
      </c>
      <c r="F13461" s="5"/>
      <c r="G13461" s="5"/>
    </row>
    <row r="13462" spans="1:7" ht="58.5" customHeight="1" x14ac:dyDescent="0.25">
      <c r="A13462" s="5" t="str">
        <f>"H0037120"</f>
        <v>H0037120</v>
      </c>
      <c r="B13462" s="5" t="str">
        <f>"TALLIMETRO CAPACIDAD 20-205 CM (DONACION)"</f>
        <v>TALLIMETRO CAPACIDAD 20-205 CM (DONACION)</v>
      </c>
      <c r="C13462" s="6">
        <v>1254705.99</v>
      </c>
      <c r="D13462" s="5" t="s">
        <v>136</v>
      </c>
      <c r="E13462" s="5" t="str">
        <f t="shared" si="688"/>
        <v>CONSULTORIO 1y2-CONSULTA EXTERNA</v>
      </c>
      <c r="F13462" s="5"/>
      <c r="G13462" s="5"/>
    </row>
    <row r="13463" spans="1:7" ht="58.5" customHeight="1" x14ac:dyDescent="0.25">
      <c r="A13463" s="5" t="str">
        <f>"H0037121"</f>
        <v>H0037121</v>
      </c>
      <c r="B13463" s="5" t="str">
        <f>"TALLIMETRO CAPACIDAD 20-205 CM (DONACION)"</f>
        <v>TALLIMETRO CAPACIDAD 20-205 CM (DONACION)</v>
      </c>
      <c r="C13463" s="6">
        <v>1254705.99</v>
      </c>
      <c r="D13463" s="5" t="s">
        <v>136</v>
      </c>
      <c r="E13463" s="5" t="str">
        <f t="shared" si="688"/>
        <v>CONSULTORIO 1y2-CONSULTA EXTERNA</v>
      </c>
      <c r="F13463" s="5"/>
      <c r="G13463" s="5"/>
    </row>
    <row r="13464" spans="1:7" ht="58.5" customHeight="1" x14ac:dyDescent="0.25">
      <c r="A13464" s="5" t="str">
        <f>"H0037188"</f>
        <v>H0037188</v>
      </c>
      <c r="B13464" s="5" t="str">
        <f>"BASCULA: Capacidad: 200 kg, División: 100 g &lt; 150 kg &gt; 200 g, Dimensiones (AxAxP):321 x 61 x 362 mm, Peso: 4,1 kg"</f>
        <v>BASCULA: Capacidad: 200 kg, División: 100 g &lt; 150 kg &gt; 200 g, Dimensiones (AxAxP):321 x 61 x 362 mm, Peso: 4,1 kg</v>
      </c>
      <c r="C13464" s="6">
        <v>3588386.01</v>
      </c>
      <c r="D13464" s="5" t="s">
        <v>160</v>
      </c>
      <c r="E13464" s="5" t="str">
        <f t="shared" si="688"/>
        <v>CONSULTORIO 1y2-CONSULTA EXTERNA</v>
      </c>
      <c r="F13464" s="5"/>
      <c r="G13464" s="5"/>
    </row>
    <row r="13465" spans="1:7" ht="58.5" customHeight="1" x14ac:dyDescent="0.25">
      <c r="A13465" s="5" t="str">
        <f>"B0000240"</f>
        <v>B0000240</v>
      </c>
      <c r="B13465" s="5" t="str">
        <f>"EQUIPO ORGANOS DE LOS SENTIDOS PORTATIL"</f>
        <v>EQUIPO ORGANOS DE LOS SENTIDOS PORTATIL</v>
      </c>
      <c r="C13465" s="6">
        <v>928000</v>
      </c>
      <c r="D13465" s="5"/>
      <c r="E13465" s="5" t="str">
        <f t="shared" ref="E13465:E13496" si="689">"CONSULTORIO 3-CONSULTA EXTERNA"</f>
        <v>CONSULTORIO 3-CONSULTA EXTERNA</v>
      </c>
      <c r="F13465" s="5" t="str">
        <f>"Descripcion:EQUIPO ORGANO DE LOS SENTIDOS, 2 PIEZAS OTOSCOPIO Y OFTALMOSCOPIO Estado: Excelente Placa anterior: 000039066 Material: PASTA Y CAUCHO Color: NEGRO Referencia:  Observacion:  Placa padre:  Tipo adquisicion : Entidad"</f>
        <v>Descripcion:EQUIPO ORGANO DE LOS SENTIDOS, 2 PIEZAS OTOSCOPIO Y OFTALMOSCOPIO Estado: Excelente Placa anterior: 000039066 Material: PASTA Y CAUCHO Color: NEGRO Referencia:  Observacion:  Placa padre:  Tipo adquisicion : Entidad</v>
      </c>
      <c r="G13465" s="5" t="str">
        <f>"92871-BLK"</f>
        <v>92871-BLK</v>
      </c>
    </row>
    <row r="13466" spans="1:7" ht="58.5" customHeight="1" x14ac:dyDescent="0.25">
      <c r="A13466" s="5" t="str">
        <f>"B0000402"</f>
        <v>B0000402</v>
      </c>
      <c r="B13466" s="5" t="str">
        <f>"KIT DIAPASON"</f>
        <v>KIT DIAPASON</v>
      </c>
      <c r="C13466" s="6">
        <v>35776.5</v>
      </c>
      <c r="D13466" s="5"/>
      <c r="E13466" s="5" t="str">
        <f t="shared" si="689"/>
        <v>CONSULTORIO 3-CONSULTA EXTERNA</v>
      </c>
      <c r="F13466" s="5" t="str">
        <f>"Descripcion: KIT QUE CONSTA DE 5 PIEZAS Estado: Bueno Placa anterior: 000006133 Material: ACERO Color: PLATA Referencia:  Observacion:  Placa padre: Tipo adquisicion: Entidad"</f>
        <v>Descripcion: KIT QUE CONSTA DE 5 PIEZAS Estado: Bueno Placa anterior: 000006133 Material: ACERO Color: PLATA Referencia:  Observacion:  Placa padre: Tipo adquisicion: Entidad</v>
      </c>
      <c r="G13466" s="5" t="str">
        <f>"HPFAU"</f>
        <v>HPFAU</v>
      </c>
    </row>
    <row r="13467" spans="1:7" ht="58.5" customHeight="1" x14ac:dyDescent="0.25">
      <c r="A13467" s="5" t="str">
        <f>"B0000403"</f>
        <v>B0000403</v>
      </c>
      <c r="B13467" s="5" t="str">
        <f>"ESPECULO NASAL"</f>
        <v>ESPECULO NASAL</v>
      </c>
      <c r="C13467" s="6">
        <v>17786.169999999998</v>
      </c>
      <c r="D13467" s="5"/>
      <c r="E13467" s="5" t="str">
        <f t="shared" si="689"/>
        <v>CONSULTORIO 3-CONSULTA EXTERNA</v>
      </c>
      <c r="F13467" s="5" t="str">
        <f>"Descripcion: . Estado: Bueno Placa anterior: 000006566 Material: ACERO INOXIDABLE Color: PLATEADO Referencia:  Observacion:  Placa padre: Tipo adquisicion: Entidad"</f>
        <v>Descripcion: . Estado: Bueno Placa anterior: 000006566 Material: ACERO INOXIDABLE Color: PLATEADO Referencia:  Observacion:  Placa padre: Tipo adquisicion: Entidad</v>
      </c>
      <c r="G13467" s="5"/>
    </row>
    <row r="13468" spans="1:7" ht="58.5" customHeight="1" x14ac:dyDescent="0.25">
      <c r="A13468" s="5" t="str">
        <f>"B0000426"</f>
        <v>B0000426</v>
      </c>
      <c r="B13468" s="5" t="str">
        <f>"ESPECULO NASAL"</f>
        <v>ESPECULO NASAL</v>
      </c>
      <c r="C13468" s="6">
        <v>17786.169999999998</v>
      </c>
      <c r="D13468" s="5"/>
      <c r="E13468" s="5" t="str">
        <f t="shared" si="689"/>
        <v>CONSULTORIO 3-CONSULTA EXTERNA</v>
      </c>
      <c r="F13468" s="5" t="str">
        <f>"Descripcion: ACERO INOXIDABLE Estado: Bueno Placa anterior: 000006568 Material: ACERO Color: PLATA Referencia:  Observacion:  Placa padre: Tipo adquisicion: Entidad"</f>
        <v>Descripcion: ACERO INOXIDABLE Estado: Bueno Placa anterior: 000006568 Material: ACERO Color: PLATA Referencia:  Observacion:  Placa padre: Tipo adquisicion: Entidad</v>
      </c>
      <c r="G13468" s="5"/>
    </row>
    <row r="13469" spans="1:7" ht="58.5" customHeight="1" x14ac:dyDescent="0.25">
      <c r="A13469" s="5" t="str">
        <f>"B0000434"</f>
        <v>B0000434</v>
      </c>
      <c r="B13469" s="5" t="str">
        <f t="shared" ref="B13469:B13475" si="690">"ESPECULO DE OIDO"</f>
        <v>ESPECULO DE OIDO</v>
      </c>
      <c r="C13469" s="6">
        <v>10016.64</v>
      </c>
      <c r="D13469" s="5"/>
      <c r="E13469" s="5" t="str">
        <f t="shared" si="689"/>
        <v>CONSULTORIO 3-CONSULTA EXTERNA</v>
      </c>
      <c r="F13469" s="5" t="str">
        <f>"Descripcion: ESPECULO DE OIDO, ACABADO TIPO ESPEJO. ACERO INOXIDABLE Estado: Bueno Placa anterior: 000006577 Material: ACERO  Color: PLATA Referencia:  Observacion:  Placa padre: Tipo adquisicion: Entidad"</f>
        <v>Descripcion: ESPECULO DE OIDO, ACABADO TIPO ESPEJO. ACERO INOXIDABLE Estado: Bueno Placa anterior: 000006577 Material: ACERO  Color: PLATA Referencia:  Observacion:  Placa padre: Tipo adquisicion: Entidad</v>
      </c>
      <c r="G13469" s="5"/>
    </row>
    <row r="13470" spans="1:7" ht="58.5" customHeight="1" x14ac:dyDescent="0.25">
      <c r="A13470" s="5" t="str">
        <f>"B0000435"</f>
        <v>B0000435</v>
      </c>
      <c r="B13470" s="5" t="str">
        <f t="shared" si="690"/>
        <v>ESPECULO DE OIDO</v>
      </c>
      <c r="C13470" s="6">
        <v>10016.64</v>
      </c>
      <c r="D13470" s="5"/>
      <c r="E13470" s="5" t="str">
        <f t="shared" si="689"/>
        <v>CONSULTORIO 3-CONSULTA EXTERNA</v>
      </c>
      <c r="F13470" s="5" t="str">
        <f>"Descripcion: ESPECULO DE OIDO, ACABADO TIPO ESPEJO. ACERO INOXIDABLE Estado: Bueno Placa anterior: 000006576 Material: ACERO Color: PLATA Referencia:  Observacion:  Placa padre: Tipo adquisicion: Entidad"</f>
        <v>Descripcion: ESPECULO DE OIDO, ACABADO TIPO ESPEJO. ACERO INOXIDABLE Estado: Bueno Placa anterior: 000006576 Material: ACERO Color: PLATA Referencia:  Observacion:  Placa padre: Tipo adquisicion: Entidad</v>
      </c>
      <c r="G13470" s="5"/>
    </row>
    <row r="13471" spans="1:7" ht="58.5" customHeight="1" x14ac:dyDescent="0.25">
      <c r="A13471" s="5" t="str">
        <f>"B0000436"</f>
        <v>B0000436</v>
      </c>
      <c r="B13471" s="5" t="str">
        <f t="shared" si="690"/>
        <v>ESPECULO DE OIDO</v>
      </c>
      <c r="C13471" s="6">
        <v>10016.64</v>
      </c>
      <c r="D13471" s="5"/>
      <c r="E13471" s="5" t="str">
        <f t="shared" si="689"/>
        <v>CONSULTORIO 3-CONSULTA EXTERNA</v>
      </c>
      <c r="F13471" s="5" t="str">
        <f>"Descripcion: ESPECULO DE OIDO, ACABADO TIPO ESPEJO. ACERO INOXIDABLE Estado: Bueno Placa anterior: 000006575 Material: ACERO Color: PLATA Referencia:  Observacion:  Placa padre: Tipo adquisicion: Entidad"</f>
        <v>Descripcion: ESPECULO DE OIDO, ACABADO TIPO ESPEJO. ACERO INOXIDABLE Estado: Bueno Placa anterior: 000006575 Material: ACERO Color: PLATA Referencia:  Observacion:  Placa padre: Tipo adquisicion: Entidad</v>
      </c>
      <c r="G13471" s="5"/>
    </row>
    <row r="13472" spans="1:7" ht="58.5" customHeight="1" x14ac:dyDescent="0.25">
      <c r="A13472" s="5" t="str">
        <f>"B0000437"</f>
        <v>B0000437</v>
      </c>
      <c r="B13472" s="5" t="str">
        <f t="shared" si="690"/>
        <v>ESPECULO DE OIDO</v>
      </c>
      <c r="C13472" s="6">
        <v>10016.64</v>
      </c>
      <c r="D13472" s="5"/>
      <c r="E13472" s="5" t="str">
        <f t="shared" si="689"/>
        <v>CONSULTORIO 3-CONSULTA EXTERNA</v>
      </c>
      <c r="F13472" s="5" t="str">
        <f>"Descripcion: ESPECULO DE OIDO, ACABADO TIPO ESPEJO. ACERO INOXIDABLE Estado: Bueno Placa anterior: 000006574 Material: ACERO Color: PLATA Referencia:  Observacion:  Placa padre: Tipo adquisicion: Entidad"</f>
        <v>Descripcion: ESPECULO DE OIDO, ACABADO TIPO ESPEJO. ACERO INOXIDABLE Estado: Bueno Placa anterior: 000006574 Material: ACERO Color: PLATA Referencia:  Observacion:  Placa padre: Tipo adquisicion: Entidad</v>
      </c>
      <c r="G13472" s="5"/>
    </row>
    <row r="13473" spans="1:7" ht="58.5" customHeight="1" x14ac:dyDescent="0.25">
      <c r="A13473" s="5" t="str">
        <f>"B0000438"</f>
        <v>B0000438</v>
      </c>
      <c r="B13473" s="5" t="str">
        <f t="shared" si="690"/>
        <v>ESPECULO DE OIDO</v>
      </c>
      <c r="C13473" s="6">
        <v>10016.64</v>
      </c>
      <c r="D13473" s="5"/>
      <c r="E13473" s="5" t="str">
        <f t="shared" si="689"/>
        <v>CONSULTORIO 3-CONSULTA EXTERNA</v>
      </c>
      <c r="F13473" s="5" t="str">
        <f>"Descripcion: ESPECULO DE OIDO, ACABADO TIPO ESPEJO. ACERO INOXIDABLE Estado: Bueno Placa anterior: 000006571 Material: ACERO Color: PLATA Referencia:  Observacion:  Placa padre: Tipo adquisicion: Entidad"</f>
        <v>Descripcion: ESPECULO DE OIDO, ACABADO TIPO ESPEJO. ACERO INOXIDABLE Estado: Bueno Placa anterior: 000006571 Material: ACERO Color: PLATA Referencia:  Observacion:  Placa padre: Tipo adquisicion: Entidad</v>
      </c>
      <c r="G13473" s="5"/>
    </row>
    <row r="13474" spans="1:7" ht="58.5" customHeight="1" x14ac:dyDescent="0.25">
      <c r="A13474" s="5" t="str">
        <f>"B0000439"</f>
        <v>B0000439</v>
      </c>
      <c r="B13474" s="5" t="str">
        <f t="shared" si="690"/>
        <v>ESPECULO DE OIDO</v>
      </c>
      <c r="C13474" s="6">
        <v>10016.64</v>
      </c>
      <c r="D13474" s="5"/>
      <c r="E13474" s="5" t="str">
        <f t="shared" si="689"/>
        <v>CONSULTORIO 3-CONSULTA EXTERNA</v>
      </c>
      <c r="F13474" s="5" t="str">
        <f>"Descripcion: ESPECULO DE OIDO, ACABADO TIPO ESPEJO. ACERO INOXIDABLE Estado: Bueno Placa anterior: 000006572 Material: ACERO Color: PLATA Referencia:  Observacion:  Placa padre: Tipo adquisicion: Entidad"</f>
        <v>Descripcion: ESPECULO DE OIDO, ACABADO TIPO ESPEJO. ACERO INOXIDABLE Estado: Bueno Placa anterior: 000006572 Material: ACERO Color: PLATA Referencia:  Observacion:  Placa padre: Tipo adquisicion: Entidad</v>
      </c>
      <c r="G13474" s="5"/>
    </row>
    <row r="13475" spans="1:7" ht="58.5" customHeight="1" x14ac:dyDescent="0.25">
      <c r="A13475" s="5" t="str">
        <f>"B0000440"</f>
        <v>B0000440</v>
      </c>
      <c r="B13475" s="5" t="str">
        <f t="shared" si="690"/>
        <v>ESPECULO DE OIDO</v>
      </c>
      <c r="C13475" s="6">
        <v>10016.64</v>
      </c>
      <c r="D13475" s="5"/>
      <c r="E13475" s="5" t="str">
        <f t="shared" si="689"/>
        <v>CONSULTORIO 3-CONSULTA EXTERNA</v>
      </c>
      <c r="F13475" s="5" t="str">
        <f>"Descripcion: ESPECULO DE OIDO, ACABADO TIPO ESPEJO. ACERO INOXIDABLE Estado: Bueno Placa anterior: 000006580 Material: ACERO Color: PLATA Referencia:  Observacion:  Placa padre: Tipo adquisicion: Entidad"</f>
        <v>Descripcion: ESPECULO DE OIDO, ACABADO TIPO ESPEJO. ACERO INOXIDABLE Estado: Bueno Placa anterior: 000006580 Material: ACERO Color: PLATA Referencia:  Observacion:  Placa padre: Tipo adquisicion: Entidad</v>
      </c>
      <c r="G13475" s="5"/>
    </row>
    <row r="13476" spans="1:7" ht="58.5" customHeight="1" x14ac:dyDescent="0.25">
      <c r="A13476" s="5" t="str">
        <f>"B0000442"</f>
        <v>B0000442</v>
      </c>
      <c r="B13476" s="5" t="str">
        <f>"PINZA BAYONETA"</f>
        <v>PINZA BAYONETA</v>
      </c>
      <c r="C13476" s="6">
        <v>1800</v>
      </c>
      <c r="D13476" s="5"/>
      <c r="E13476" s="5" t="str">
        <f t="shared" si="689"/>
        <v>CONSULTORIO 3-CONSULTA EXTERNA</v>
      </c>
      <c r="F13476" s="5" t="str">
        <f>"Descripcion: PINZA BAYONETA CUERPO EN ACERO INOXIDABLE Estado: Bueno Placa anterior: 000006596 Material: ACERO Color: PLATA Referencia:  Observacion:  Placa padre: Tipo adquisicion: Entidad"</f>
        <v>Descripcion: PINZA BAYONETA CUERPO EN ACERO INOXIDABLE Estado: Bueno Placa anterior: 000006596 Material: ACERO Color: PLATA Referencia:  Observacion:  Placa padre: Tipo adquisicion: Entidad</v>
      </c>
      <c r="G13476" s="5"/>
    </row>
    <row r="13477" spans="1:7" ht="58.5" customHeight="1" x14ac:dyDescent="0.25">
      <c r="A13477" s="5" t="str">
        <f>"B0000444"</f>
        <v>B0000444</v>
      </c>
      <c r="B13477" s="5" t="str">
        <f>"TIJERA RETIRO DE SUTURA"</f>
        <v>TIJERA RETIRO DE SUTURA</v>
      </c>
      <c r="C13477" s="6">
        <v>12634.87</v>
      </c>
      <c r="D13477" s="5"/>
      <c r="E13477" s="5" t="str">
        <f t="shared" si="689"/>
        <v>CONSULTORIO 3-CONSULTA EXTERNA</v>
      </c>
      <c r="F13477" s="5" t="str">
        <f>"Descripcion: TIJERA PEQUEÑA, CUERPO EN ACERO INOXIDABLE Estado: Bueno Placa anterior: 000006603 Material: ACERO Color: PLATA Referencia:  Observacion:  Placa padre: Tipo adquisicion: Entidad"</f>
        <v>Descripcion: TIJERA PEQUEÑA, CUERPO EN ACERO INOXIDABLE Estado: Bueno Placa anterior: 000006603 Material: ACERO Color: PLATA Referencia:  Observacion:  Placa padre: Tipo adquisicion: Entidad</v>
      </c>
      <c r="G13477" s="5"/>
    </row>
    <row r="13478" spans="1:7" ht="58.5" customHeight="1" x14ac:dyDescent="0.25">
      <c r="A13478" s="5" t="str">
        <f>"B0000446"</f>
        <v>B0000446</v>
      </c>
      <c r="B13478" s="5" t="str">
        <f t="shared" ref="B13478:B13487" si="691">"ESPEJO BUCAL - LARINGEO"</f>
        <v>ESPEJO BUCAL - LARINGEO</v>
      </c>
      <c r="C13478" s="6">
        <v>7917</v>
      </c>
      <c r="D13478" s="5"/>
      <c r="E13478" s="5" t="str">
        <f t="shared" si="689"/>
        <v>CONSULTORIO 3-CONSULTA EXTERNA</v>
      </c>
      <c r="F13478" s="5" t="str">
        <f>"Descripcion: ESPEJO LARINGEO, CUERPO EN ACERO INOXIDABLE Y EN LA PUNTA UN ESPEJO REDONDO Estado: Malo Placa anterior: 000006590 Material: ACERO Color: PLATA Referencia:  Observacion: LA FUNCIONARIA INFORMA QUE ESTAN DAÑADO Placa padre: Tipo adquisicion: E"&amp; "ntidad"</f>
        <v>Descripcion: ESPEJO LARINGEO, CUERPO EN ACERO INOXIDABLE Y EN LA PUNTA UN ESPEJO REDONDO Estado: Malo Placa anterior: 000006590 Material: ACERO Color: PLATA Referencia:  Observacion: LA FUNCIONARIA INFORMA QUE ESTAN DAÑADO Placa padre: Tipo adquisicion: Entidad</v>
      </c>
      <c r="G13478" s="5"/>
    </row>
    <row r="13479" spans="1:7" ht="58.5" customHeight="1" x14ac:dyDescent="0.25">
      <c r="A13479" s="5" t="str">
        <f>"B0000447"</f>
        <v>B0000447</v>
      </c>
      <c r="B13479" s="5" t="str">
        <f t="shared" si="691"/>
        <v>ESPEJO BUCAL - LARINGEO</v>
      </c>
      <c r="C13479" s="6">
        <v>7917</v>
      </c>
      <c r="D13479" s="5"/>
      <c r="E13479" s="5" t="str">
        <f t="shared" si="689"/>
        <v>CONSULTORIO 3-CONSULTA EXTERNA</v>
      </c>
      <c r="F13479" s="5" t="str">
        <f>"Descripcion: ESPEJO LARIGEO, CUERPO EN ACERO INOXIDABLE Y EN LA PUNTA UN ESPEJO REDONDE Estado: Malo Placa anterior: 000006584 Material: ACERO Color: PLATA Referencia:  Observacion: LA FUNCIONARIA INFORMA QUE ESTAN DAÑADO Placa padre: Tipo adquisicion: En"&amp; "tidad"</f>
        <v>Descripcion: ESPEJO LARIGEO, CUERPO EN ACERO INOXIDABLE Y EN LA PUNTA UN ESPEJO REDONDE Estado: Malo Placa anterior: 000006584 Material: ACERO Color: PLATA Referencia:  Observacion: LA FUNCIONARIA INFORMA QUE ESTAN DAÑADO Placa padre: Tipo adquisicion: Entidad</v>
      </c>
      <c r="G13479" s="5"/>
    </row>
    <row r="13480" spans="1:7" ht="58.5" customHeight="1" x14ac:dyDescent="0.25">
      <c r="A13480" s="5" t="str">
        <f>"B0000448"</f>
        <v>B0000448</v>
      </c>
      <c r="B13480" s="5" t="str">
        <f t="shared" si="691"/>
        <v>ESPEJO BUCAL - LARINGEO</v>
      </c>
      <c r="C13480" s="6">
        <v>7917</v>
      </c>
      <c r="D13480" s="5"/>
      <c r="E13480" s="5" t="str">
        <f t="shared" si="689"/>
        <v>CONSULTORIO 3-CONSULTA EXTERNA</v>
      </c>
      <c r="F13480" s="5" t="str">
        <f>"Descripcion: ESPEJO LARIGEO, CUERPO EN ACERO INOXIDABLE Y EN LA PUNTA UN ESPEJO REDONDE Estado: Malo Placa anterior: 000006582 Material: ACERO Color: PLATA Referencia:  Observacion: LA FUNCIONARIA INFORMA QUE ESTA DAÑADO Placa padre: Tipo adquisicion: Ent"&amp; "idad"</f>
        <v>Descripcion: ESPEJO LARIGEO, CUERPO EN ACERO INOXIDABLE Y EN LA PUNTA UN ESPEJO REDONDE Estado: Malo Placa anterior: 000006582 Material: ACERO Color: PLATA Referencia:  Observacion: LA FUNCIONARIA INFORMA QUE ESTA DAÑADO Placa padre: Tipo adquisicion: Entidad</v>
      </c>
      <c r="G13480" s="5"/>
    </row>
    <row r="13481" spans="1:7" ht="58.5" customHeight="1" x14ac:dyDescent="0.25">
      <c r="A13481" s="5" t="str">
        <f>"B0000449"</f>
        <v>B0000449</v>
      </c>
      <c r="B13481" s="5" t="str">
        <f t="shared" si="691"/>
        <v>ESPEJO BUCAL - LARINGEO</v>
      </c>
      <c r="C13481" s="6">
        <v>7917</v>
      </c>
      <c r="D13481" s="5"/>
      <c r="E13481" s="5" t="str">
        <f t="shared" si="689"/>
        <v>CONSULTORIO 3-CONSULTA EXTERNA</v>
      </c>
      <c r="F13481" s="5" t="str">
        <f>"Descripcion: ESPEJO LARIGEO, CUERPO EN ACERO INOXIDABLE Y EN LA PUNTA UN ESPEJO REDONDE Estado: Bueno Placa anterior: 000006581 Material: ACERO Color: PLATA Referencia:  Observacion:  Placa padre: Tipo adquisicion: Entidad"</f>
        <v>Descripcion: ESPEJO LARIGEO, CUERPO EN ACERO INOXIDABLE Y EN LA PUNTA UN ESPEJO REDONDE Estado: Bueno Placa anterior: 000006581 Material: ACERO Color: PLATA Referencia:  Observacion:  Placa padre: Tipo adquisicion: Entidad</v>
      </c>
      <c r="G13481" s="5"/>
    </row>
    <row r="13482" spans="1:7" ht="58.5" customHeight="1" x14ac:dyDescent="0.25">
      <c r="A13482" s="5" t="str">
        <f>"B0000450"</f>
        <v>B0000450</v>
      </c>
      <c r="B13482" s="5" t="str">
        <f t="shared" si="691"/>
        <v>ESPEJO BUCAL - LARINGEO</v>
      </c>
      <c r="C13482" s="6">
        <v>7917</v>
      </c>
      <c r="D13482" s="5"/>
      <c r="E13482" s="5" t="str">
        <f t="shared" si="689"/>
        <v>CONSULTORIO 3-CONSULTA EXTERNA</v>
      </c>
      <c r="F13482" s="5" t="str">
        <f>"Descripcion: ESPEJO LARIGEO, CUERPO EN ACERO INOXIDABLE Y EN LA PUNTA UN ESPEJO REDONDE Estado: Bueno Placa anterior: 000006583 Material: ACERO Color: PLATA Referencia:  Observacion:  Placa padre: Tipo adquisicion: Entidad"</f>
        <v>Descripcion: ESPEJO LARIGEO, CUERPO EN ACERO INOXIDABLE Y EN LA PUNTA UN ESPEJO REDONDE Estado: Bueno Placa anterior: 000006583 Material: ACERO Color: PLATA Referencia:  Observacion:  Placa padre: Tipo adquisicion: Entidad</v>
      </c>
      <c r="G13482" s="5"/>
    </row>
    <row r="13483" spans="1:7" ht="58.5" customHeight="1" x14ac:dyDescent="0.25">
      <c r="A13483" s="5" t="str">
        <f>"B0000451"</f>
        <v>B0000451</v>
      </c>
      <c r="B13483" s="5" t="str">
        <f t="shared" si="691"/>
        <v>ESPEJO BUCAL - LARINGEO</v>
      </c>
      <c r="C13483" s="6">
        <v>7917</v>
      </c>
      <c r="D13483" s="5"/>
      <c r="E13483" s="5" t="str">
        <f t="shared" si="689"/>
        <v>CONSULTORIO 3-CONSULTA EXTERNA</v>
      </c>
      <c r="F13483" s="5" t="str">
        <f>"Descripcion: ESPEJO LARIGEO, CUERPO EN ACERO INOXIDABLE Y EN LA PUNTA UN ESPEJO REDONDE Estado: Bueno Placa anterior: 000006585 Material: ACERO Color: PLATA Referencia:  Observacion:  Placa padre: Tipo adquisicion: Entidad"</f>
        <v>Descripcion: ESPEJO LARIGEO, CUERPO EN ACERO INOXIDABLE Y EN LA PUNTA UN ESPEJO REDONDE Estado: Bueno Placa anterior: 000006585 Material: ACERO Color: PLATA Referencia:  Observacion:  Placa padre: Tipo adquisicion: Entidad</v>
      </c>
      <c r="G13483" s="5"/>
    </row>
    <row r="13484" spans="1:7" ht="58.5" customHeight="1" x14ac:dyDescent="0.25">
      <c r="A13484" s="5" t="str">
        <f>"B0000452"</f>
        <v>B0000452</v>
      </c>
      <c r="B13484" s="5" t="str">
        <f t="shared" si="691"/>
        <v>ESPEJO BUCAL - LARINGEO</v>
      </c>
      <c r="C13484" s="6">
        <v>7917</v>
      </c>
      <c r="D13484" s="5"/>
      <c r="E13484" s="5" t="str">
        <f t="shared" si="689"/>
        <v>CONSULTORIO 3-CONSULTA EXTERNA</v>
      </c>
      <c r="F13484" s="5" t="str">
        <f>"Descripcion: ESPEJO LARIGEO, CUERPO EN ACERO INOXIDABLE Y EN LA PUNTA UN ESPEJO REDONDE Estado: Bueno Placa anterior: 000006587 Material: ACERO Color: PLATA Referencia:  Observacion:  Placa padre: Tipo adquisicion: Entidad"</f>
        <v>Descripcion: ESPEJO LARIGEO, CUERPO EN ACERO INOXIDABLE Y EN LA PUNTA UN ESPEJO REDONDE Estado: Bueno Placa anterior: 000006587 Material: ACERO Color: PLATA Referencia:  Observacion:  Placa padre: Tipo adquisicion: Entidad</v>
      </c>
      <c r="G13484" s="5"/>
    </row>
    <row r="13485" spans="1:7" ht="58.5" customHeight="1" x14ac:dyDescent="0.25">
      <c r="A13485" s="5" t="str">
        <f>"B0000453"</f>
        <v>B0000453</v>
      </c>
      <c r="B13485" s="5" t="str">
        <f t="shared" si="691"/>
        <v>ESPEJO BUCAL - LARINGEO</v>
      </c>
      <c r="C13485" s="6">
        <v>7917</v>
      </c>
      <c r="D13485" s="5"/>
      <c r="E13485" s="5" t="str">
        <f t="shared" si="689"/>
        <v>CONSULTORIO 3-CONSULTA EXTERNA</v>
      </c>
      <c r="F13485" s="5" t="str">
        <f>"Descripcion: ESPEJO LARIGEO, CUERPO EN ACERO INOXIDABLE Y EN LA PUNTA UN ESPEJO REDONDE Estado: Bueno Placa anterior: 000006586 Material: ACERO Color: PLATA Referencia:  Observacion:  Placa padre: Tipo adquisicion: Entidad"</f>
        <v>Descripcion: ESPEJO LARIGEO, CUERPO EN ACERO INOXIDABLE Y EN LA PUNTA UN ESPEJO REDONDE Estado: Bueno Placa anterior: 000006586 Material: ACERO Color: PLATA Referencia:  Observacion:  Placa padre: Tipo adquisicion: Entidad</v>
      </c>
      <c r="G13485" s="5"/>
    </row>
    <row r="13486" spans="1:7" ht="58.5" customHeight="1" x14ac:dyDescent="0.25">
      <c r="A13486" s="5" t="str">
        <f>"B0000454"</f>
        <v>B0000454</v>
      </c>
      <c r="B13486" s="5" t="str">
        <f t="shared" si="691"/>
        <v>ESPEJO BUCAL - LARINGEO</v>
      </c>
      <c r="C13486" s="6">
        <v>7917</v>
      </c>
      <c r="D13486" s="5"/>
      <c r="E13486" s="5" t="str">
        <f t="shared" si="689"/>
        <v>CONSULTORIO 3-CONSULTA EXTERNA</v>
      </c>
      <c r="F13486" s="5" t="str">
        <f>"Descripcion: ESPEJO LARIGEO, CUERPO EN ACERO INOXIDABLE Y EN LA PUNTA UN ESPEJO REDONDE Estado: Bueno Placa anterior: 000006588 Material: ACERO Color: PLATA Referencia:  Observacion:  Placa padre: Tipo adquisicion: Entidad"</f>
        <v>Descripcion: ESPEJO LARIGEO, CUERPO EN ACERO INOXIDABLE Y EN LA PUNTA UN ESPEJO REDONDE Estado: Bueno Placa anterior: 000006588 Material: ACERO Color: PLATA Referencia:  Observacion:  Placa padre: Tipo adquisicion: Entidad</v>
      </c>
      <c r="G13486" s="5"/>
    </row>
    <row r="13487" spans="1:7" ht="58.5" customHeight="1" x14ac:dyDescent="0.25">
      <c r="A13487" s="5" t="str">
        <f>"B0000455"</f>
        <v>B0000455</v>
      </c>
      <c r="B13487" s="5" t="str">
        <f t="shared" si="691"/>
        <v>ESPEJO BUCAL - LARINGEO</v>
      </c>
      <c r="C13487" s="6">
        <v>7917</v>
      </c>
      <c r="D13487" s="5"/>
      <c r="E13487" s="5" t="str">
        <f t="shared" si="689"/>
        <v>CONSULTORIO 3-CONSULTA EXTERNA</v>
      </c>
      <c r="F13487" s="5" t="str">
        <f>"Descripcion: ESPEJO LARIGEO, CUERPO EN ACERO INOXIDABLE Y EN LA PUNTA UN ESPEJO REDONDE Estado: Bueno Placa anterior: 000006589 Material: ACERO Color: PLATA Referencia:  Observacion:  Placa padre: Tipo adquisicion: Entidad"</f>
        <v>Descripcion: ESPEJO LARIGEO, CUERPO EN ACERO INOXIDABLE Y EN LA PUNTA UN ESPEJO REDONDE Estado: Bueno Placa anterior: 000006589 Material: ACERO Color: PLATA Referencia:  Observacion:  Placa padre: Tipo adquisicion: Entidad</v>
      </c>
      <c r="G13487" s="5"/>
    </row>
    <row r="13488" spans="1:7" ht="58.5" customHeight="1" x14ac:dyDescent="0.25">
      <c r="A13488" s="5" t="str">
        <f>"B0000465"</f>
        <v>B0000465</v>
      </c>
      <c r="B13488" s="5" t="str">
        <f>"PINZA KELLY CURVA 16 CM"</f>
        <v>PINZA KELLY CURVA 16 CM</v>
      </c>
      <c r="C13488" s="6">
        <v>1938.98</v>
      </c>
      <c r="D13488" s="5"/>
      <c r="E13488" s="5" t="str">
        <f t="shared" si="689"/>
        <v>CONSULTORIO 3-CONSULTA EXTERNA</v>
      </c>
      <c r="F13488" s="5" t="str">
        <f>"Descripcion: CUERPO EN ACERO INOXIDABLE CURVO Estado: Bueno Placa anterior: 000006600 Material: ACERO Color: PLATA Referencia:  Observacion:  Placa padre: Tipo adquisicion: Entidad"</f>
        <v>Descripcion: CUERPO EN ACERO INOXIDABLE CURVO Estado: Bueno Placa anterior: 000006600 Material: ACERO Color: PLATA Referencia:  Observacion:  Placa padre: Tipo adquisicion: Entidad</v>
      </c>
      <c r="G13488" s="5"/>
    </row>
    <row r="13489" spans="1:7" ht="58.5" customHeight="1" x14ac:dyDescent="0.25">
      <c r="A13489" s="5" t="str">
        <f>"B0005282"</f>
        <v>B0005282</v>
      </c>
      <c r="B13489" s="5" t="str">
        <f>"CURETA"</f>
        <v>CURETA</v>
      </c>
      <c r="C13489" s="6">
        <v>69400</v>
      </c>
      <c r="D13489" s="5"/>
      <c r="E13489" s="5" t="str">
        <f t="shared" si="689"/>
        <v>CONSULTORIO 3-CONSULTA EXTERNA</v>
      </c>
      <c r="F13489" s="5" t="str">
        <f>"Descripcion: CURETAS Estado: Bueno Placa anterior: 000004771 Material: ACERO INOXIDABLE Color: PLATEADO Referencia:  Observacion:  Placa padre: Tipo adquisicion: Entidad"</f>
        <v>Descripcion: CURETAS Estado: Bueno Placa anterior: 000004771 Material: ACERO INOXIDABLE Color: PLATEADO Referencia:  Observacion:  Placa padre: Tipo adquisicion: Entidad</v>
      </c>
      <c r="G13489" s="5"/>
    </row>
    <row r="13490" spans="1:7" ht="58.5" customHeight="1" x14ac:dyDescent="0.25">
      <c r="A13490" s="5" t="str">
        <f>"B0005283"</f>
        <v>B0005283</v>
      </c>
      <c r="B13490" s="5" t="str">
        <f>"ESPECULO NASAL"</f>
        <v>ESPECULO NASAL</v>
      </c>
      <c r="C13490" s="6">
        <v>17786.169999999998</v>
      </c>
      <c r="D13490" s="5"/>
      <c r="E13490" s="5" t="str">
        <f t="shared" si="689"/>
        <v>CONSULTORIO 3-CONSULTA EXTERNA</v>
      </c>
      <c r="F13490" s="5" t="str">
        <f>"Descripcion: ESPECULO NASAL Estado: Bueno Placa anterior: 000006570 Material: ACERO INOXIDABLE Color: PLATEADO Referencia:  Observacion:  Placa padre: Tipo adquisicion: Entidad"</f>
        <v>Descripcion: ESPECULO NASAL Estado: Bueno Placa anterior: 000006570 Material: ACERO INOXIDABLE Color: PLATEADO Referencia:  Observacion:  Placa padre: Tipo adquisicion: Entidad</v>
      </c>
      <c r="G13490" s="5"/>
    </row>
    <row r="13491" spans="1:7" ht="58.5" customHeight="1" x14ac:dyDescent="0.25">
      <c r="A13491" s="5" t="str">
        <f>"B0005285"</f>
        <v>B0005285</v>
      </c>
      <c r="B13491" s="5" t="str">
        <f>"ESPECULO DE OIDO"</f>
        <v>ESPECULO DE OIDO</v>
      </c>
      <c r="C13491" s="6">
        <v>10016.64</v>
      </c>
      <c r="D13491" s="5"/>
      <c r="E13491" s="5" t="str">
        <f t="shared" si="689"/>
        <v>CONSULTORIO 3-CONSULTA EXTERNA</v>
      </c>
      <c r="F13491" s="5" t="str">
        <f>"Descripcion: ESPECULO OTICO VARIOS TAMAÑOS Estado: Bueno Placa anterior: 000006573 Material: ACERO INOXIDABLE Color: PLATEADO Referencia:  Observacion:  Placa padre: Tipo adquisicion: Entidad"</f>
        <v>Descripcion: ESPECULO OTICO VARIOS TAMAÑOS Estado: Bueno Placa anterior: 000006573 Material: ACERO INOXIDABLE Color: PLATEADO Referencia:  Observacion:  Placa padre: Tipo adquisicion: Entidad</v>
      </c>
      <c r="G13491" s="5"/>
    </row>
    <row r="13492" spans="1:7" ht="58.5" customHeight="1" x14ac:dyDescent="0.25">
      <c r="A13492" s="5" t="str">
        <f>"B0005293"</f>
        <v>B0005293</v>
      </c>
      <c r="B13492" s="5" t="str">
        <f>"ESPECULO DE OIDO"</f>
        <v>ESPECULO DE OIDO</v>
      </c>
      <c r="C13492" s="6">
        <v>10016.64</v>
      </c>
      <c r="D13492" s="5"/>
      <c r="E13492" s="5" t="str">
        <f t="shared" si="689"/>
        <v>CONSULTORIO 3-CONSULTA EXTERNA</v>
      </c>
      <c r="F13492" s="5" t="str">
        <f>"Descripcion: ESPECULO OTICO VARIOS TAMAÑOS Estado: Bueno Placa anterior: 000006578 Material: ACERO INOXIDABLE Color: PLATEADO Referencia:  Observacion:  Placa padre: Tipo adquisicion: Entidad"</f>
        <v>Descripcion: ESPECULO OTICO VARIOS TAMAÑOS Estado: Bueno Placa anterior: 000006578 Material: ACERO INOXIDABLE Color: PLATEADO Referencia:  Observacion:  Placa padre: Tipo adquisicion: Entidad</v>
      </c>
      <c r="G13492" s="5"/>
    </row>
    <row r="13493" spans="1:7" ht="58.5" customHeight="1" x14ac:dyDescent="0.25">
      <c r="A13493" s="5" t="str">
        <f>"B0005294"</f>
        <v>B0005294</v>
      </c>
      <c r="B13493" s="5" t="str">
        <f>"ESPECULO DE OIDO"</f>
        <v>ESPECULO DE OIDO</v>
      </c>
      <c r="C13493" s="6">
        <v>10016.64</v>
      </c>
      <c r="D13493" s="5"/>
      <c r="E13493" s="5" t="str">
        <f t="shared" si="689"/>
        <v>CONSULTORIO 3-CONSULTA EXTERNA</v>
      </c>
      <c r="F13493" s="5" t="str">
        <f>"Descripcion: ESPECULO OTICO VARIOS TAMAÑOS Estado: Bueno Placa anterior: 000006579 Material: ACERO INOXIDABLE Color: PLATEADO Referencia:  Observacion:  Placa padre: Tipo adquisicion: Entidad"</f>
        <v>Descripcion: ESPECULO OTICO VARIOS TAMAÑOS Estado: Bueno Placa anterior: 000006579 Material: ACERO INOXIDABLE Color: PLATEADO Referencia:  Observacion:  Placa padre: Tipo adquisicion: Entidad</v>
      </c>
      <c r="G13493" s="5"/>
    </row>
    <row r="13494" spans="1:7" ht="58.5" customHeight="1" x14ac:dyDescent="0.25">
      <c r="A13494" s="5" t="str">
        <f>"B0005295"</f>
        <v>B0005295</v>
      </c>
      <c r="B13494" s="5" t="str">
        <f>"PINZA ADSON"</f>
        <v>PINZA ADSON</v>
      </c>
      <c r="C13494" s="6">
        <v>3465</v>
      </c>
      <c r="D13494" s="5"/>
      <c r="E13494" s="5" t="str">
        <f t="shared" si="689"/>
        <v>CONSULTORIO 3-CONSULTA EXTERNA</v>
      </c>
      <c r="F13494" s="5" t="str">
        <f>"Descripcion: PINZA ADSON CURVA Estado: Bueno Placa anterior: 000006592 Material: ACERO INOXIDABLE Color: PLATEADO Referencia:  Observacion:  Placa padre: Tipo adquisicion: Entidad"</f>
        <v>Descripcion: PINZA ADSON CURVA Estado: Bueno Placa anterior: 000006592 Material: ACERO INOXIDABLE Color: PLATEADO Referencia:  Observacion:  Placa padre: Tipo adquisicion: Entidad</v>
      </c>
      <c r="G13494" s="5"/>
    </row>
    <row r="13495" spans="1:7" ht="58.5" customHeight="1" x14ac:dyDescent="0.25">
      <c r="A13495" s="5" t="str">
        <f>"B0005296"</f>
        <v>B0005296</v>
      </c>
      <c r="B13495" s="5" t="str">
        <f>"PINZA ADSON"</f>
        <v>PINZA ADSON</v>
      </c>
      <c r="C13495" s="6">
        <v>1540</v>
      </c>
      <c r="D13495" s="5"/>
      <c r="E13495" s="5" t="str">
        <f t="shared" si="689"/>
        <v>CONSULTORIO 3-CONSULTA EXTERNA</v>
      </c>
      <c r="F13495" s="5" t="str">
        <f>"Descripcion: PINZA ADSON SIN GARRA Estado: Bueno Placa anterior: 000006593 Material: ACERO INOXIDABLE Color: PLATEADO Referencia:  Observacion: SIN GARRA Placa padre: Tipo adquisicion: Entidad"</f>
        <v>Descripcion: PINZA ADSON SIN GARRA Estado: Bueno Placa anterior: 000006593 Material: ACERO INOXIDABLE Color: PLATEADO Referencia:  Observacion: SIN GARRA Placa padre: Tipo adquisicion: Entidad</v>
      </c>
      <c r="G13495" s="5"/>
    </row>
    <row r="13496" spans="1:7" ht="58.5" customHeight="1" x14ac:dyDescent="0.25">
      <c r="A13496" s="5" t="str">
        <f>"B0005297"</f>
        <v>B0005297</v>
      </c>
      <c r="B13496" s="5" t="str">
        <f>"PINZA ADSON"</f>
        <v>PINZA ADSON</v>
      </c>
      <c r="C13496" s="6">
        <v>1540</v>
      </c>
      <c r="D13496" s="5"/>
      <c r="E13496" s="5" t="str">
        <f t="shared" si="689"/>
        <v>CONSULTORIO 3-CONSULTA EXTERNA</v>
      </c>
      <c r="F13496" s="5" t="str">
        <f>"Descripcion: PINZA ADSON SIN GARRA Estado: Bueno Placa anterior: 000006594 Material: ACERO INOXIDABLE Color: PLATEADO Referencia:  Observacion: SIN GARRA Placa padre: Tipo adquisicion: Entidad"</f>
        <v>Descripcion: PINZA ADSON SIN GARRA Estado: Bueno Placa anterior: 000006594 Material: ACERO INOXIDABLE Color: PLATEADO Referencia:  Observacion: SIN GARRA Placa padre: Tipo adquisicion: Entidad</v>
      </c>
      <c r="G13496" s="5"/>
    </row>
    <row r="13497" spans="1:7" ht="58.5" customHeight="1" x14ac:dyDescent="0.25">
      <c r="A13497" s="5" t="str">
        <f>"B0005298"</f>
        <v>B0005298</v>
      </c>
      <c r="B13497" s="5" t="str">
        <f>"PINZA ADSON"</f>
        <v>PINZA ADSON</v>
      </c>
      <c r="C13497" s="6">
        <v>1540</v>
      </c>
      <c r="D13497" s="5"/>
      <c r="E13497" s="5" t="str">
        <f t="shared" ref="E13497:E13526" si="692">"CONSULTORIO 3-CONSULTA EXTERNA"</f>
        <v>CONSULTORIO 3-CONSULTA EXTERNA</v>
      </c>
      <c r="F13497" s="5" t="str">
        <f>"Descripcion: PINZA ADSON SIN GARRA Estado: Bueno Placa anterior: 000006595 Material: ACERO INOXIDABLE Color: PLATEADO Referencia:  Observacion: SIN GARRA Placa padre: Tipo adquisicion: Entidad"</f>
        <v>Descripcion: PINZA ADSON SIN GARRA Estado: Bueno Placa anterior: 000006595 Material: ACERO INOXIDABLE Color: PLATEADO Referencia:  Observacion: SIN GARRA Placa padre: Tipo adquisicion: Entidad</v>
      </c>
      <c r="G13497" s="5"/>
    </row>
    <row r="13498" spans="1:7" ht="58.5" customHeight="1" x14ac:dyDescent="0.25">
      <c r="A13498" s="5" t="str">
        <f>"B0005299"</f>
        <v>B0005299</v>
      </c>
      <c r="B13498" s="5" t="str">
        <f>"PINZA BAYONETA"</f>
        <v>PINZA BAYONETA</v>
      </c>
      <c r="C13498" s="6">
        <v>1800</v>
      </c>
      <c r="D13498" s="5"/>
      <c r="E13498" s="5" t="str">
        <f t="shared" si="692"/>
        <v>CONSULTORIO 3-CONSULTA EXTERNA</v>
      </c>
      <c r="F13498" s="5" t="str">
        <f>"Descripcion: PINZA BAYONETA Estado: Bueno Placa anterior: 000006597 Material: ACERO INOXIDABLE Color: PLATEADO Referencia:  Observacion:  Placa padre: Tipo adquisicion: Entidad"</f>
        <v>Descripcion: PINZA BAYONETA Estado: Bueno Placa anterior: 000006597 Material: ACERO INOXIDABLE Color: PLATEADO Referencia:  Observacion:  Placa padre: Tipo adquisicion: Entidad</v>
      </c>
      <c r="G13498" s="5"/>
    </row>
    <row r="13499" spans="1:7" ht="58.5" customHeight="1" x14ac:dyDescent="0.25">
      <c r="A13499" s="5" t="str">
        <f>"B0005300"</f>
        <v>B0005300</v>
      </c>
      <c r="B13499" s="5" t="str">
        <f>"PINZA HARTMAN PARA CUERPO EXTRAÑO DE 16 CM"</f>
        <v>PINZA HARTMAN PARA CUERPO EXTRAÑO DE 16 CM</v>
      </c>
      <c r="C13499" s="6">
        <v>8500</v>
      </c>
      <c r="D13499" s="5"/>
      <c r="E13499" s="5" t="str">
        <f t="shared" si="692"/>
        <v>CONSULTORIO 3-CONSULTA EXTERNA</v>
      </c>
      <c r="F13499" s="5" t="str">
        <f>"Descripcion: PINZA DE HARTMAN CURVA GRANDE Estado: Bueno Placa anterior: 000006605 Material: ACERO INOXIDABLE Color: PLATEADO Referencia:  Observacion:  Placa padre: Tipo adquisicion: Entidad"</f>
        <v>Descripcion: PINZA DE HARTMAN CURVA GRANDE Estado: Bueno Placa anterior: 000006605 Material: ACERO INOXIDABLE Color: PLATEADO Referencia:  Observacion:  Placa padre: Tipo adquisicion: Entidad</v>
      </c>
      <c r="G13499" s="5"/>
    </row>
    <row r="13500" spans="1:7" ht="58.5" customHeight="1" x14ac:dyDescent="0.25">
      <c r="A13500" s="5" t="str">
        <f>"B0005301"</f>
        <v>B0005301</v>
      </c>
      <c r="B13500" s="5" t="str">
        <f>"PINZA DE DISECCION CON GARRA MEDIANA 25 CM"</f>
        <v>PINZA DE DISECCION CON GARRA MEDIANA 25 CM</v>
      </c>
      <c r="C13500" s="6">
        <v>9792.56</v>
      </c>
      <c r="D13500" s="5"/>
      <c r="E13500" s="5" t="str">
        <f t="shared" si="692"/>
        <v>CONSULTORIO 3-CONSULTA EXTERNA</v>
      </c>
      <c r="F13500" s="5" t="str">
        <f>"Descripcion: PINZA DISECCION CON GARRA Estado: Bueno Placa anterior: 000006599 Material: ACERO INOXIDABLE Color: PLATEADO Referencia:  Observacion:  Placa padre: Tipo adquisicion: Entidad"</f>
        <v>Descripcion: PINZA DISECCION CON GARRA Estado: Bueno Placa anterior: 000006599 Material: ACERO INOXIDABLE Color: PLATEADO Referencia:  Observacion:  Placa padre: Tipo adquisicion: Entidad</v>
      </c>
      <c r="G13500" s="5"/>
    </row>
    <row r="13501" spans="1:7" ht="58.5" customHeight="1" x14ac:dyDescent="0.25">
      <c r="A13501" s="5" t="str">
        <f>"B0005302"</f>
        <v>B0005302</v>
      </c>
      <c r="B13501" s="5" t="str">
        <f>"PINZA MOSQUITO CURVA 12 CM"</f>
        <v>PINZA MOSQUITO CURVA 12 CM</v>
      </c>
      <c r="C13501" s="6">
        <v>39720.14</v>
      </c>
      <c r="D13501" s="5"/>
      <c r="E13501" s="5" t="str">
        <f t="shared" si="692"/>
        <v>CONSULTORIO 3-CONSULTA EXTERNA</v>
      </c>
      <c r="F13501" s="5" t="str">
        <f>"Descripcion: PINZA MOSQUITO CURVA Estado: Bueno Placa anterior: 000006601 Material: ACERO INOXIDABLE Color: PLATEADO Referencia:  Observacion:  Placa padre: Tipo adquisicion: Entidad"</f>
        <v>Descripcion: PINZA MOSQUITO CURVA Estado: Bueno Placa anterior: 000006601 Material: ACERO INOXIDABLE Color: PLATEADO Referencia:  Observacion:  Placa padre: Tipo adquisicion: Entidad</v>
      </c>
      <c r="G13501" s="5"/>
    </row>
    <row r="13502" spans="1:7" ht="58.5" customHeight="1" x14ac:dyDescent="0.25">
      <c r="A13502" s="5" t="str">
        <f>"B0005303"</f>
        <v>B0005303</v>
      </c>
      <c r="B13502" s="5" t="str">
        <f>"TIJERA PARA CORNEA CONJUNTIVA"</f>
        <v>TIJERA PARA CORNEA CONJUNTIVA</v>
      </c>
      <c r="C13502" s="6">
        <v>950</v>
      </c>
      <c r="D13502" s="5"/>
      <c r="E13502" s="5" t="str">
        <f t="shared" si="692"/>
        <v>CONSULTORIO 3-CONSULTA EXTERNA</v>
      </c>
      <c r="F13502" s="5" t="str">
        <f>"Descripcion: TIJERA PARA CORNEA-CONJUNTIVA Estado: Bueno Placa anterior: 000006602 Material: ACERO INOXIDABLE Color: PLATEADO Referencia:  Observacion:  Placa padre: Tipo adquisicion: Entidad"</f>
        <v>Descripcion: TIJERA PARA CORNEA-CONJUNTIVA Estado: Bueno Placa anterior: 000006602 Material: ACERO INOXIDABLE Color: PLATEADO Referencia:  Observacion:  Placa padre: Tipo adquisicion: Entidad</v>
      </c>
      <c r="G13502" s="5"/>
    </row>
    <row r="13503" spans="1:7" ht="58.5" customHeight="1" x14ac:dyDescent="0.25">
      <c r="A13503" s="5" t="str">
        <f>"H0000401"</f>
        <v>H0000401</v>
      </c>
      <c r="B13503" s="5" t="str">
        <f>"ESCRITORIO METALICO 3 GAVETAS"</f>
        <v>ESCRITORIO METALICO 3 GAVETAS</v>
      </c>
      <c r="C13503" s="6">
        <v>16526.29</v>
      </c>
      <c r="D13503" s="5"/>
      <c r="E13503" s="5" t="str">
        <f t="shared" si="692"/>
        <v>CONSULTORIO 3-CONSULTA EXTERNA</v>
      </c>
      <c r="F13503" s="5" t="str">
        <f>"Descripcion: ESCRITORIO DE 3 GAVETAS, DIMENSIONES: 75X100X45 CM Estado: Bueno Placa anterior: 000004760 Material: METALICO CON TAPA METALICA CUBIERTA DE FORMICA Color: GRIS Referencia:  Observacion: FUE TRANSLADADO A CONSULTORIO 4 Placa padre: Tipo adquis"&amp; "icion: Entidad"</f>
        <v>Descripcion: ESCRITORIO DE 3 GAVETAS, DIMENSIONES: 75X100X45 CM Estado: Bueno Placa anterior: 000004760 Material: METALICO CON TAPA METALICA CUBIERTA DE FORMICA Color: GRIS Referencia:  Observacion: FUE TRANSLADADO A CONSULTORIO 4 Placa padre: Tipo adquisicion: Entidad</v>
      </c>
      <c r="G13503" s="5"/>
    </row>
    <row r="13504" spans="1:7" ht="58.5" customHeight="1" x14ac:dyDescent="0.25">
      <c r="A13504" s="5" t="str">
        <f>"H0000402"</f>
        <v>H0000402</v>
      </c>
      <c r="B13504" s="5" t="str">
        <f>"TELEFONO DE SOBREMESA"</f>
        <v>TELEFONO DE SOBREMESA</v>
      </c>
      <c r="C13504" s="6">
        <v>9149.33</v>
      </c>
      <c r="D13504" s="5"/>
      <c r="E13504" s="5" t="str">
        <f t="shared" si="692"/>
        <v>CONSULTORIO 3-CONSULTA EXTERNA</v>
      </c>
      <c r="F13504" s="5" t="str">
        <f>"Descripcion: TELEFONO DIAL (CON MARCACIÓN DE DISCO) Estado: Bueno Placa anterior: 000004764 Material: PASTA DURA DE POLIPROPILENO Color: NEGRO CON BEIS Referencia: DIAVOX Observacion:  Placa padre: Tipo adquisicion: Entidad"</f>
        <v>Descripcion: TELEFONO DIAL (CON MARCACIÓN DE DISCO) Estado: Bueno Placa anterior: 000004764 Material: PASTA DURA DE POLIPROPILENO Color: NEGRO CON BEIS Referencia: DIAVOX Observacion:  Placa padre: Tipo adquisicion: Entidad</v>
      </c>
      <c r="G13504" s="5" t="str">
        <f>"AÑO 83"</f>
        <v>AÑO 83</v>
      </c>
    </row>
    <row r="13505" spans="1:7" ht="58.5" customHeight="1" x14ac:dyDescent="0.25">
      <c r="A13505" s="5" t="str">
        <f>"H0000403"</f>
        <v>H0000403</v>
      </c>
      <c r="B13505" s="5" t="str">
        <f>"MESA DE NOCHE"</f>
        <v>MESA DE NOCHE</v>
      </c>
      <c r="C13505" s="6">
        <v>327586</v>
      </c>
      <c r="D13505" s="5"/>
      <c r="E13505" s="5" t="str">
        <f t="shared" si="692"/>
        <v>CONSULTORIO 3-CONSULTA EXTERNA</v>
      </c>
      <c r="F13505" s="5" t="str">
        <f>"Descripcion: UNA GAVETA, UN COMPARTIMIENTO Y UN CAJON. DIMENSIONES: 81X50X40 CM Estado: Bueno Placa anterior: 000033042 Material: METALICO CON CUBIERTA DE FORMICA EN LA PARTE SUPERIOR DE LA MESA Color: GRIS Referencia:  Observacion: EL BIEN TIENE PLACA AN"&amp; "TERIOR   000002462, AUTORIZADO CONCILIAR EN CRUCE GENERAL Placa padre: Tipo adquisicion: Entidad"</f>
        <v>Descripcion: UNA GAVETA, UN COMPARTIMIENTO Y UN CAJON. DIMENSIONES: 81X50X40 CM Estado: Bueno Placa anterior: 000033042 Material: METALICO CON CUBIERTA DE FORMICA EN LA PARTE SUPERIOR DE LA MESA Color: GRIS Referencia:  Observacion: EL BIEN TIENE PLACA ANTERIOR   000002462, AUTORIZADO CONCILIAR EN CRUCE GENERAL Placa padre: Tipo adquisicion: Entidad</v>
      </c>
      <c r="G13505" s="5"/>
    </row>
    <row r="13506" spans="1:7" ht="58.5" customHeight="1" x14ac:dyDescent="0.25">
      <c r="A13506" s="5" t="str">
        <f>"H0000406"</f>
        <v>H0000406</v>
      </c>
      <c r="B13506" s="5" t="str">
        <f>"CAMILLA GINECOLOGICA CON ESTRIBOS"</f>
        <v>CAMILLA GINECOLOGICA CON ESTRIBOS</v>
      </c>
      <c r="C13506" s="6">
        <v>133045</v>
      </c>
      <c r="D13506" s="5"/>
      <c r="E13506" s="5" t="str">
        <f t="shared" si="692"/>
        <v>CONSULTORIO 3-CONSULTA EXTERNA</v>
      </c>
      <c r="F13506" s="5" t="str">
        <f>"Descripcion: MESA DE EXAMEN GINECOLOGICA - BASE GRUESA METALICA CON TOMA DUPLEX DE CORRIENTE, DIMENSIONES: 77X110X56 CM, CON CAMILLA DE MADERA RECUBIERTA EN CUERINA DIMENSIONES:  8X180X55CM, RECLINAVE EN LA CABEZERA Y ESCUALIZABLE EN LA PARTE DE LOS PIEZ "&amp; "Estado: Bueno Placa anterior: 000005947 Material: METALIACA, MADERA Y CUERINA Color: GRIS CON NEGRO Referencia:  Observacion: NO TIENE ESTRIBOS PARA POSA PIES Placa padre: Tipo adquisicion: Entidad"</f>
        <v>Descripcion: MESA DE EXAMEN GINECOLOGICA - BASE GRUESA METALICA CON TOMA DUPLEX DE CORRIENTE, DIMENSIONES: 77X110X56 CM, CON CAMILLA DE MADERA RECUBIERTA EN CUERINA DIMENSIONES:  8X180X55CM, RECLINAVE EN LA CABEZERA Y ESCUALIZABLE EN LA PARTE DE LOS PIEZ Estado: Bueno Placa anterior: 000005947 Material: METALIACA, MADERA Y CUERINA Color: GRIS CON NEGRO Referencia:  Observacion: NO TIENE ESTRIBOS PARA POSA PIES Placa padre: Tipo adquisicion: Entidad</v>
      </c>
      <c r="G13506" s="5"/>
    </row>
    <row r="13507" spans="1:7" ht="58.5" customHeight="1" x14ac:dyDescent="0.25">
      <c r="A13507" s="5" t="str">
        <f>"H0000408"</f>
        <v>H0000408</v>
      </c>
      <c r="B13507" s="5" t="str">
        <f>"ESCALERILLA DE 2 PASOS"</f>
        <v>ESCALERILLA DE 2 PASOS</v>
      </c>
      <c r="C13507" s="6">
        <v>4826.25</v>
      </c>
      <c r="D13507" s="5"/>
      <c r="E13507" s="5" t="str">
        <f t="shared" si="692"/>
        <v>CONSULTORIO 3-CONSULTA EXTERNA</v>
      </c>
      <c r="F13507" s="5" t="str">
        <f>"Descripcion: ESCALERA CON DIMENSIONES DE: 48,5X44X40 CM  Estado: Bueno Placa anterior: 000004765 Material: METALICO Y MADERA Color: GRIS Y NEGRO Referencia:  Observacion: PRESENTA UN DETERIORO EN LA PINTURA, FUE TRANSLADADO A MANTENIMIENTO Placa padre: Ti"&amp; "po adquisicion: Entidad"</f>
        <v>Descripcion: ESCALERA CON DIMENSIONES DE: 48,5X44X40 CM  Estado: Bueno Placa anterior: 000004765 Material: METALICO Y MADERA Color: GRIS Y NEGRO Referencia:  Observacion: PRESENTA UN DETERIORO EN LA PINTURA, FUE TRANSLADADO A MANTENIMIENTO Placa padre: Tipo adquisicion: Entidad</v>
      </c>
      <c r="G13507" s="5"/>
    </row>
    <row r="13508" spans="1:7" ht="58.5" customHeight="1" x14ac:dyDescent="0.25">
      <c r="A13508" s="5" t="str">
        <f>"H0000410"</f>
        <v>H0000410</v>
      </c>
      <c r="B13508" s="5" t="str">
        <f>"VITRINA DE 1 CUERPO"</f>
        <v>VITRINA DE 1 CUERPO</v>
      </c>
      <c r="C13508" s="6">
        <v>20208.330000000002</v>
      </c>
      <c r="D13508" s="5"/>
      <c r="E13508" s="5" t="str">
        <f t="shared" si="692"/>
        <v>CONSULTORIO 3-CONSULTA EXTERNA</v>
      </c>
      <c r="F13508" s="5" t="str">
        <f>"Descripcion: VITRINA DE UN CUERPO, COMPARTIMIENTO SUPERIOR DOS ENTREPAÑO EN VIDRIO PARA 3 ESPACIOS, PUERTA EN VIDRIO, UNA GAVETA Y UN CAJON EN LA PARTE INFERIOR.DIMENSIONES DE LA VITRINA: 170X50X30 CM Estado: Bueno Placa anterior: 000004766 Material: META"&amp; "LICA Y VIDRIO Color: GRIS Referencia:  Observacion:  Placa padre: Tipo adquisicion: Entidad"</f>
        <v>Descripcion: VITRINA DE UN CUERPO, COMPARTIMIENTO SUPERIOR DOS ENTREPAÑO EN VIDRIO PARA 3 ESPACIOS, PUERTA EN VIDRIO, UNA GAVETA Y UN CAJON EN LA PARTE INFERIOR.DIMENSIONES DE LA VITRINA: 170X50X30 CM Estado: Bueno Placa anterior: 000004766 Material: METALICA Y VIDRIO Color: GRIS Referencia:  Observacion:  Placa padre: Tipo adquisicion: Entidad</v>
      </c>
      <c r="G13508" s="5"/>
    </row>
    <row r="13509" spans="1:7" ht="58.5" customHeight="1" x14ac:dyDescent="0.25">
      <c r="A13509" s="5" t="str">
        <f>"H0000412"</f>
        <v>H0000412</v>
      </c>
      <c r="B13509" s="5" t="str">
        <f>"COMPUTADOR DE MESA"</f>
        <v>COMPUTADOR DE MESA</v>
      </c>
      <c r="C13509" s="6">
        <v>1807000</v>
      </c>
      <c r="D13509" s="5"/>
      <c r="E13509" s="5" t="str">
        <f t="shared" si="692"/>
        <v>CONSULTORIO 3-CONSULTA EXTERNA</v>
      </c>
      <c r="F13509" s="5" t="str">
        <f>"Descripcion: CPU CON UNIDAD OECD ROM, PUERTOS USO,SALIDA MULTIMEDIA Estado: Bueno Placa anterior: 000026331 Material: METALICA Color: NEGRO Referencia:  Observacion: AUTORIZADO CRUZAR POR SISTEMAS Placa anterior:, Placa nueva=H0000413, Descripcion:., Seri"&amp; "al:X812824-002, Marca:MICROSOFT, Modelo:1113, Material:PASTA, Color:NEGRO,   Referencia:., Placa anterior:, Placa nueva=H0000415, Descripcion:43X17cm, Serial:SN7668205292532, Marca:MICROSOFT, Modelo:RT2300, Material:PASTA, Color:NEGRO,   Referencia:., Pla"&amp; "ca anterior:, Placa nueva=H0000414, Descripcion:DE 17PULGADAS, Serial:VNA4DOV, Marca:LENOVO, Modelo:THINKVISION, Material:PASTA, Color:NEGRO,   Referencia:. Placa padre: Tipo adquisicion: Entidad"</f>
        <v>Descripcion: CPU CON UNIDAD OECD ROM, PUERTOS USO,SALIDA MULTIMEDIA Estado: Bueno Placa anterior: 000026331 Material: METALICA Color: NEGRO Referencia:  Observacion: AUTORIZADO CRUZAR POR SISTEMAS Placa anterior:, Placa nueva=H0000413, Descripcion:., Serial:X812824-002, Marca:MICROSOFT, Modelo:1113, Material:PASTA, Color:NEGRO,   Referencia:., Placa anterior:, Placa nueva=H0000415, Descripcion:43X17cm, Serial:SN7668205292532, Marca:MICROSOFT, Modelo:RT2300, Material:PASTA, Color:NEGRO,   Referencia:., Placa anterior:, Placa nueva=H0000414, Descripcion:DE 17PULGADAS, Serial:VNA4DOV, Marca:LENOVO, Modelo:THINKVISION, Material:PASTA, Color:NEGRO,   Referencia:. Placa padre: Tipo adquisicion: Entidad</v>
      </c>
      <c r="G13509" s="5"/>
    </row>
    <row r="13510" spans="1:7" ht="58.5" customHeight="1" x14ac:dyDescent="0.25">
      <c r="A13510" s="5" t="str">
        <f>"H0000424"</f>
        <v>H0000424</v>
      </c>
      <c r="B13510" s="5" t="str">
        <f>"AIRE ACONDICIONADO TIPO SPLIT 12000 BTU"</f>
        <v>AIRE ACONDICIONADO TIPO SPLIT 12000 BTU</v>
      </c>
      <c r="C13510" s="6">
        <v>1836280</v>
      </c>
      <c r="D13510" s="5" t="s">
        <v>52</v>
      </c>
      <c r="E13510" s="5" t="str">
        <f t="shared" si="692"/>
        <v>CONSULTORIO 3-CONSULTA EXTERNA</v>
      </c>
      <c r="F13510" s="5" t="str">
        <f>"Descripcion: AIRE ACODICIONADO BTU 12000 Estado: Bueno Placa anterior: 000036382 Material: PASTA Color: BLANCO Referencia:  Observacion:  Placa padre: Tipo adquisicion: Entidad"</f>
        <v>Descripcion: AIRE ACODICIONADO BTU 12000 Estado: Bueno Placa anterior: 000036382 Material: PASTA Color: BLANCO Referencia:  Observacion:  Placa padre: Tipo adquisicion: Entidad</v>
      </c>
      <c r="G13510" s="5" t="str">
        <f>"VM122CEN B3"</f>
        <v>VM122CEN B3</v>
      </c>
    </row>
    <row r="13511" spans="1:7" ht="58.5" customHeight="1" x14ac:dyDescent="0.25">
      <c r="A13511" s="5" t="str">
        <f>"H0000426"</f>
        <v>H0000426</v>
      </c>
      <c r="B13511" s="5" t="str">
        <f>"SILLA OFTALMOLOGICA - OTORRINO"</f>
        <v>SILLA OFTALMOLOGICA - OTORRINO</v>
      </c>
      <c r="C13511" s="6">
        <v>208800</v>
      </c>
      <c r="D13511" s="5"/>
      <c r="E13511" s="5" t="str">
        <f t="shared" si="692"/>
        <v>CONSULTORIO 3-CONSULTA EXTERNA</v>
      </c>
      <c r="F13511" s="5" t="str">
        <f>"Descripcion: SILLA PARA EXAMEN DE OTORRINO Y OFTALMOLOGICA Estado: Bueno Placa anterior: 000026686 Material: METALICA CON CUERINA Color: NEGRO Referencia:  Observacion:  Placa padre: Tipo adquisicion: Entidad"</f>
        <v>Descripcion: SILLA PARA EXAMEN DE OTORRINO Y OFTALMOLOGICA Estado: Bueno Placa anterior: 000026686 Material: METALICA CON CUERINA Color: NEGRO Referencia:  Observacion:  Placa padre: Tipo adquisicion: Entidad</v>
      </c>
      <c r="G13511" s="5" t="str">
        <f>"PAT. STUHL 3/05"</f>
        <v>PAT. STUHL 3/05</v>
      </c>
    </row>
    <row r="13512" spans="1:7" ht="58.5" customHeight="1" x14ac:dyDescent="0.25">
      <c r="A13512" s="5" t="str">
        <f>"H0000500"</f>
        <v>H0000500</v>
      </c>
      <c r="B13512" s="5" t="str">
        <f>"UNIDAD PARA OTORRINOLARINGOLOGÍA"</f>
        <v>UNIDAD PARA OTORRINOLARINGOLOGÍA</v>
      </c>
      <c r="C13512" s="6">
        <v>1191602.79</v>
      </c>
      <c r="D13512" s="5"/>
      <c r="E13512" s="5" t="str">
        <f t="shared" si="692"/>
        <v>CONSULTORIO 3-CONSULTA EXTERNA</v>
      </c>
      <c r="F13512" s="5" t="str">
        <f>"Descripcion: UNIDAD DE TRATAMIENTO DE OTORRINOLARINGOLOGIA CONSTA DE : Estado: Bueno Placa anterior: 000004772 Material: METALICO Color: GRIS Referencia:  Observacion:  Placa padre: Tipo adquisicion: Entidad"</f>
        <v>Descripcion: UNIDAD DE TRATAMIENTO DE OTORRINOLARINGOLOGIA CONSTA DE : Estado: Bueno Placa anterior: 000004772 Material: METALICO Color: GRIS Referencia:  Observacion:  Placa padre: Tipo adquisicion: Entidad</v>
      </c>
      <c r="G13512" s="5" t="str">
        <f>"PRACTICA 2"</f>
        <v>PRACTICA 2</v>
      </c>
    </row>
    <row r="13513" spans="1:7" ht="58.5" customHeight="1" x14ac:dyDescent="0.25">
      <c r="A13513" s="5" t="str">
        <f>"H0000505"</f>
        <v>H0000505</v>
      </c>
      <c r="B13513" s="5" t="str">
        <f>"RIÑONERA HOSPITALARIA EN ACERO INOXIDABLE"</f>
        <v>RIÑONERA HOSPITALARIA EN ACERO INOXIDABLE</v>
      </c>
      <c r="C13513" s="6">
        <v>2300.0100000000002</v>
      </c>
      <c r="D13513" s="5"/>
      <c r="E13513" s="5" t="str">
        <f t="shared" si="692"/>
        <v>CONSULTORIO 3-CONSULTA EXTERNA</v>
      </c>
      <c r="F13513" s="5" t="str">
        <f>"Descripcion: ROÑONERA PEQUEÑA; LARGO: 17,5 CM, ANCHO: 10 CM Y ALTO: 4 Estado: Bueno Placa anterior: 000004777 Material: ACERO  Color: PLATA Referencia:  Observacion:  Placa padre: Tipo adquisicion: Entidad"</f>
        <v>Descripcion: ROÑONERA PEQUEÑA; LARGO: 17,5 CM, ANCHO: 10 CM Y ALTO: 4 Estado: Bueno Placa anterior: 000004777 Material: ACERO  Color: PLATA Referencia:  Observacion:  Placa padre: Tipo adquisicion: Entidad</v>
      </c>
      <c r="G13513" s="5"/>
    </row>
    <row r="13514" spans="1:7" ht="58.5" customHeight="1" x14ac:dyDescent="0.25">
      <c r="A13514" s="5" t="str">
        <f>"H0000506"</f>
        <v>H0000506</v>
      </c>
      <c r="B13514" s="5" t="str">
        <f>"RIÑONERA HOSPITALARIA EN ACERO INOXIDABLE"</f>
        <v>RIÑONERA HOSPITALARIA EN ACERO INOXIDABLE</v>
      </c>
      <c r="C13514" s="6">
        <v>3783.04</v>
      </c>
      <c r="D13514" s="5"/>
      <c r="E13514" s="5" t="str">
        <f t="shared" si="692"/>
        <v>CONSULTORIO 3-CONSULTA EXTERNA</v>
      </c>
      <c r="F13514" s="5" t="str">
        <f>"Descripcion: RIÑONERA MEDIANA; LARGO 25 CM, ANCHO 11 CM Y ALTO 4 CM Estado: Bueno Placa anterior: 000019867 Material: ACERO Color: PLATA Referencia:  Observacion:  Placa padre: Tipo adquisicion: Entidad"</f>
        <v>Descripcion: RIÑONERA MEDIANA; LARGO 25 CM, ANCHO 11 CM Y ALTO 4 CM Estado: Bueno Placa anterior: 000019867 Material: ACERO Color: PLATA Referencia:  Observacion:  Placa padre: Tipo adquisicion: Entidad</v>
      </c>
      <c r="G13514" s="5"/>
    </row>
    <row r="13515" spans="1:7" ht="58.5" customHeight="1" x14ac:dyDescent="0.25">
      <c r="A13515" s="5" t="str">
        <f>"H0000508"</f>
        <v>H0000508</v>
      </c>
      <c r="B13515" s="5" t="str">
        <f>"CUBETA DE ACERO INOXIDABLE CON TAPA PEQUEÑA"</f>
        <v>CUBETA DE ACERO INOXIDABLE CON TAPA PEQUEÑA</v>
      </c>
      <c r="C13515" s="6">
        <v>3719.54</v>
      </c>
      <c r="D13515" s="5"/>
      <c r="E13515" s="5" t="str">
        <f t="shared" si="692"/>
        <v>CONSULTORIO 3-CONSULTA EXTERNA</v>
      </c>
      <c r="F13515" s="5" t="str">
        <f>"Descripcion: CUBETA EN ACERO INOX.PEQUEÑA C/TAPA Estado: Bueno Placa anterior: 000005150 Material: ACERO Color: PLATA Referencia:  Observacion:  Placa padre: Tipo adquisicion: Entidad"</f>
        <v>Descripcion: CUBETA EN ACERO INOX.PEQUEÑA C/TAPA Estado: Bueno Placa anterior: 000005150 Material: ACERO Color: PLATA Referencia:  Observacion:  Placa padre: Tipo adquisicion: Entidad</v>
      </c>
      <c r="G13515" s="5"/>
    </row>
    <row r="13516" spans="1:7" ht="58.5" customHeight="1" x14ac:dyDescent="0.25">
      <c r="A13516" s="5" t="str">
        <f>"H0000509"</f>
        <v>H0000509</v>
      </c>
      <c r="B13516" s="5" t="str">
        <f>"CUBETA DE ACERO INOXIDABLE CON TAPA PEQUEÑA"</f>
        <v>CUBETA DE ACERO INOXIDABLE CON TAPA PEQUEÑA</v>
      </c>
      <c r="C13516" s="6">
        <v>5815.6</v>
      </c>
      <c r="D13516" s="5"/>
      <c r="E13516" s="5" t="str">
        <f t="shared" si="692"/>
        <v>CONSULTORIO 3-CONSULTA EXTERNA</v>
      </c>
      <c r="F13516" s="5" t="str">
        <f>"Descripcion: CUBETA EN ACERO INOX.PEQUEÑA C/TAPA Estado: Bueno Placa anterior: 000004776 Material: ACERO Color: PLATA Referencia:  Observacion:  Placa padre: Tipo adquisicion: Entidad"</f>
        <v>Descripcion: CUBETA EN ACERO INOX.PEQUEÑA C/TAPA Estado: Bueno Placa anterior: 000004776 Material: ACERO Color: PLATA Referencia:  Observacion:  Placa padre: Tipo adquisicion: Entidad</v>
      </c>
      <c r="G13516" s="5"/>
    </row>
    <row r="13517" spans="1:7" ht="58.5" customHeight="1" x14ac:dyDescent="0.25">
      <c r="A13517" s="5" t="str">
        <f>"H0000510"</f>
        <v>H0000510</v>
      </c>
      <c r="B13517" s="5" t="str">
        <f>"BANDEJA DE ACERO INOXIDABLE GRANDE"</f>
        <v>BANDEJA DE ACERO INOXIDABLE GRANDE</v>
      </c>
      <c r="C13517" s="6">
        <v>3819.2</v>
      </c>
      <c r="D13517" s="5"/>
      <c r="E13517" s="5" t="str">
        <f t="shared" si="692"/>
        <v>CONSULTORIO 3-CONSULTA EXTERNA</v>
      </c>
      <c r="F13517" s="5" t="str">
        <f>"Descripcion: CUBETA NIQUELADA MEDIANA Y PEQUEÑA Estado: Bueno Placa anterior: 000004774 Material: ACERO Color: PLATA Referencia:  Observacion:  Placa padre: Tipo adquisicion: Entidad"</f>
        <v>Descripcion: CUBETA NIQUELADA MEDIANA Y PEQUEÑA Estado: Bueno Placa anterior: 000004774 Material: ACERO Color: PLATA Referencia:  Observacion:  Placa padre: Tipo adquisicion: Entidad</v>
      </c>
      <c r="G13517" s="5"/>
    </row>
    <row r="13518" spans="1:7" ht="58.5" customHeight="1" x14ac:dyDescent="0.25">
      <c r="A13518" s="5" t="str">
        <f>"H0000511"</f>
        <v>H0000511</v>
      </c>
      <c r="B13518" s="5" t="str">
        <f>"BANDEJA DE ACERO INOXIDABLE GRANDE"</f>
        <v>BANDEJA DE ACERO INOXIDABLE GRANDE</v>
      </c>
      <c r="C13518" s="6">
        <v>3819.2</v>
      </c>
      <c r="D13518" s="5"/>
      <c r="E13518" s="5" t="str">
        <f t="shared" si="692"/>
        <v>CONSULTORIO 3-CONSULTA EXTERNA</v>
      </c>
      <c r="F13518" s="5" t="str">
        <f>"Descripcion: CUBETA NIQUELADA MEDIANA Y PEQUEÑA Estado: Bueno Placa anterior: 000004773 Material: ACERO Color: PLATA Referencia:  Observacion:  Placa padre: Tipo adquisicion: Entidad"</f>
        <v>Descripcion: CUBETA NIQUELADA MEDIANA Y PEQUEÑA Estado: Bueno Placa anterior: 000004773 Material: ACERO Color: PLATA Referencia:  Observacion:  Placa padre: Tipo adquisicion: Entidad</v>
      </c>
      <c r="G13518" s="5"/>
    </row>
    <row r="13519" spans="1:7" ht="58.5" customHeight="1" x14ac:dyDescent="0.25">
      <c r="A13519" s="5" t="str">
        <f>"H0000512"</f>
        <v>H0000512</v>
      </c>
      <c r="B13519" s="5" t="str">
        <f>"BANDEJA DE ACERO INOXIDABLE GRANDE"</f>
        <v>BANDEJA DE ACERO INOXIDABLE GRANDE</v>
      </c>
      <c r="C13519" s="6">
        <v>3819.2</v>
      </c>
      <c r="D13519" s="5"/>
      <c r="E13519" s="5" t="str">
        <f t="shared" si="692"/>
        <v>CONSULTORIO 3-CONSULTA EXTERNA</v>
      </c>
      <c r="F13519" s="5" t="str">
        <f>"Descripcion: CUBETA NIQUELADA MEDIANA Y PEQUEÑA Estado: Bueno Placa anterior: 000004775 Material: ACERO Color: PLATA Referencia:  Observacion:  Placa padre: Tipo adquisicion: Entidad"</f>
        <v>Descripcion: CUBETA NIQUELADA MEDIANA Y PEQUEÑA Estado: Bueno Placa anterior: 000004775 Material: ACERO Color: PLATA Referencia:  Observacion:  Placa padre: Tipo adquisicion: Entidad</v>
      </c>
      <c r="G13519" s="5"/>
    </row>
    <row r="13520" spans="1:7" ht="58.5" customHeight="1" x14ac:dyDescent="0.25">
      <c r="A13520" s="5" t="str">
        <f>"H0002022"</f>
        <v>H0002022</v>
      </c>
      <c r="B13520" s="5" t="str">
        <f>"TENSIOMETRO ANEROIDE DE PARED ADULTO"</f>
        <v>TENSIOMETRO ANEROIDE DE PARED ADULTO</v>
      </c>
      <c r="C13520" s="6">
        <v>464000</v>
      </c>
      <c r="D13520" s="5"/>
      <c r="E13520" s="5" t="str">
        <f t="shared" si="692"/>
        <v>CONSULTORIO 3-CONSULTA EXTERNA</v>
      </c>
      <c r="F13520" s="5" t="str">
        <f>"Descripcion:TENSIOMETRO ADULTO DE PARED, CON BRAZALETE COLOR NEGRO Estado: Excelente Placa anterior: 000039079 Material: PASTA Color: AZUL Y GRIS Referencia:  Observacion:  Placa padre:  Tipo adquisicion : Entidad"</f>
        <v>Descripcion:TENSIOMETRO ADULTO DE PARED, CON BRAZALETE COLOR NEGRO Estado: Excelente Placa anterior: 000039079 Material: PASTA Color: AZUL Y GRIS Referencia:  Observacion:  Placa padre:  Tipo adquisicion : Entidad</v>
      </c>
      <c r="G13520" s="5" t="str">
        <f>"BIG BEN ROUND 1459"</f>
        <v>BIG BEN ROUND 1459</v>
      </c>
    </row>
    <row r="13521" spans="1:7" ht="58.5" customHeight="1" x14ac:dyDescent="0.25">
      <c r="A13521" s="5" t="str">
        <f>"H0022291"</f>
        <v>H0022291</v>
      </c>
      <c r="B13521" s="5" t="str">
        <f>"MONITOR DE SIGNOS VITALES"</f>
        <v>MONITOR DE SIGNOS VITALES</v>
      </c>
      <c r="C13521" s="6">
        <v>4756000</v>
      </c>
      <c r="D13521" s="5" t="s">
        <v>262</v>
      </c>
      <c r="E13521" s="5" t="str">
        <f t="shared" si="692"/>
        <v>CONSULTORIO 3-CONSULTA EXTERNA</v>
      </c>
      <c r="F13521" s="5"/>
      <c r="G13521" s="5" t="str">
        <f>"M50"</f>
        <v>M50</v>
      </c>
    </row>
    <row r="13522" spans="1:7" ht="58.5" customHeight="1" x14ac:dyDescent="0.25">
      <c r="A13522" s="5" t="str">
        <f>"H0024571"</f>
        <v>H0024571</v>
      </c>
      <c r="B1352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522" s="6">
        <v>2600000</v>
      </c>
      <c r="D13522" s="5" t="s">
        <v>36</v>
      </c>
      <c r="E13522" s="5" t="str">
        <f t="shared" si="692"/>
        <v>CONSULTORIO 3-CONSULTA EXTERNA</v>
      </c>
      <c r="F13522" s="5"/>
      <c r="G13522" s="5"/>
    </row>
    <row r="13523" spans="1:7" ht="58.5" customHeight="1" x14ac:dyDescent="0.25">
      <c r="A13523" s="5" t="str">
        <f>"H0024581"</f>
        <v>H0024581</v>
      </c>
      <c r="B1352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523" s="6">
        <v>2600000</v>
      </c>
      <c r="D13523" s="5" t="s">
        <v>36</v>
      </c>
      <c r="E13523" s="5" t="str">
        <f t="shared" si="692"/>
        <v>CONSULTORIO 3-CONSULTA EXTERNA</v>
      </c>
      <c r="F13523" s="5"/>
      <c r="G13523" s="5"/>
    </row>
    <row r="13524" spans="1:7" ht="58.5" customHeight="1" x14ac:dyDescent="0.25">
      <c r="A13524" s="5" t="str">
        <f>"H0025396"</f>
        <v>H0025396</v>
      </c>
      <c r="B1352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524" s="6">
        <v>312156</v>
      </c>
      <c r="D13524" s="5" t="s">
        <v>10</v>
      </c>
      <c r="E13524" s="5" t="str">
        <f t="shared" si="692"/>
        <v>CONSULTORIO 3-CONSULTA EXTERNA</v>
      </c>
      <c r="F13524" s="5"/>
      <c r="G13524" s="5"/>
    </row>
    <row r="13525" spans="1:7" ht="58.5" customHeight="1" x14ac:dyDescent="0.25">
      <c r="A13525" s="5" t="str">
        <f>"H0027525"</f>
        <v>H0027525</v>
      </c>
      <c r="B13525" s="5" t="str">
        <f>"LECTOR DE HUELLAS DIGITALES"</f>
        <v>LECTOR DE HUELLAS DIGITALES</v>
      </c>
      <c r="C13525" s="6">
        <v>234000.41</v>
      </c>
      <c r="D13525" s="5" t="s">
        <v>354</v>
      </c>
      <c r="E13525" s="5" t="str">
        <f t="shared" si="692"/>
        <v>CONSULTORIO 3-CONSULTA EXTERNA</v>
      </c>
      <c r="F13525" s="5"/>
      <c r="G13525" s="5"/>
    </row>
    <row r="13526" spans="1:7" ht="58.5" customHeight="1" x14ac:dyDescent="0.25">
      <c r="A13526" s="5" t="str">
        <f>"H0037122"</f>
        <v>H0037122</v>
      </c>
      <c r="B13526" s="5" t="str">
        <f>"TALLIMETRO CAPACIDAD 20-205 CM (DONACION)"</f>
        <v>TALLIMETRO CAPACIDAD 20-205 CM (DONACION)</v>
      </c>
      <c r="C13526" s="6">
        <v>1254705.99</v>
      </c>
      <c r="D13526" s="5" t="s">
        <v>136</v>
      </c>
      <c r="E13526" s="5" t="str">
        <f t="shared" si="692"/>
        <v>CONSULTORIO 3-CONSULTA EXTERNA</v>
      </c>
      <c r="F13526" s="5"/>
      <c r="G13526" s="5"/>
    </row>
    <row r="13527" spans="1:7" ht="58.5" customHeight="1" x14ac:dyDescent="0.25">
      <c r="A13527" s="5" t="str">
        <f>"B0005304"</f>
        <v>B0005304</v>
      </c>
      <c r="B13527" s="5" t="str">
        <f>"LENTE OFT. BINOCULAR"</f>
        <v>LENTE OFT. BINOCULAR</v>
      </c>
      <c r="C13527" s="6">
        <v>216600</v>
      </c>
      <c r="D13527" s="5"/>
      <c r="E13527" s="5" t="str">
        <f t="shared" ref="E13527:E13558" si="693">"CONSULTORIO 4-CONSULTA EXTERNA"</f>
        <v>CONSULTORIO 4-CONSULTA EXTERNA</v>
      </c>
      <c r="F13527" s="5" t="str">
        <f>"Descripcion: LENTE OFT.BINOCULAR IND.+90 D REF.NIKON +90 DIOPTRIAS Estado: Bueno Placa anterior: 000007095 Material: VIDRIO Y PLASTICO Color: NEGRO Referencia:  Observacion:  Placa padre: Tipo adquisicion: Entidad"</f>
        <v>Descripcion: LENTE OFT.BINOCULAR IND.+90 D REF.NIKON +90 DIOPTRIAS Estado: Bueno Placa anterior: 000007095 Material: VIDRIO Y PLASTICO Color: NEGRO Referencia:  Observacion:  Placa padre: Tipo adquisicion: Entidad</v>
      </c>
      <c r="G13527" s="5"/>
    </row>
    <row r="13528" spans="1:7" ht="58.5" customHeight="1" x14ac:dyDescent="0.25">
      <c r="A13528" s="5" t="str">
        <f>"H0000245"</f>
        <v>H0000245</v>
      </c>
      <c r="B13528" s="5" t="str">
        <f>"SILLA INTERLOCUTORA (FIJA) SIN BRAZOS"</f>
        <v>SILLA INTERLOCUTORA (FIJA) SIN BRAZOS</v>
      </c>
      <c r="C13528" s="6">
        <v>5610</v>
      </c>
      <c r="D13528" s="5"/>
      <c r="E13528" s="5" t="str">
        <f t="shared" si="693"/>
        <v>CONSULTORIO 4-CONSULTA EXTERNA</v>
      </c>
      <c r="F13528" s="5" t="str">
        <f>"Descripcion: SILLA INTERLOCUTORA SIN BRAZOS Estado: Bueno Placa anterior: 000027473 Material: BASE METALICA Y TAPIZADO EN CUERINA Color: MARRON Referencia:  Observacion:  Placa padre: Tipo adquisicion: Entidad"</f>
        <v>Descripcion: SILLA INTERLOCUTORA SIN BRAZOS Estado: Bueno Placa anterior: 000027473 Material: BASE METALICA Y TAPIZADO EN CUERINA Color: MARRON Referencia:  Observacion:  Placa padre: Tipo adquisicion: Entidad</v>
      </c>
      <c r="G13528" s="5"/>
    </row>
    <row r="13529" spans="1:7" ht="58.5" customHeight="1" x14ac:dyDescent="0.25">
      <c r="A13529" s="5" t="str">
        <f>"H0002024"</f>
        <v>H0002024</v>
      </c>
      <c r="B13529" s="5" t="str">
        <f>"TENSIOMETRO ANEROIDE DE PARED ADULTO"</f>
        <v>TENSIOMETRO ANEROIDE DE PARED ADULTO</v>
      </c>
      <c r="C13529" s="6">
        <v>464000</v>
      </c>
      <c r="D13529" s="5"/>
      <c r="E13529" s="5" t="str">
        <f t="shared" si="693"/>
        <v>CONSULTORIO 4-CONSULTA EXTERNA</v>
      </c>
      <c r="F13529" s="5" t="str">
        <f>"Descripcion:TENSIOMETRO ADULTO DE PARED, CON BRAZALETE COLOR NEGRO Estado: Excelente Placa anterior: 000039080 Material: PASTA Color: AZUL Y GRIS Referencia:  Observacion:  Placa padre:  Tipo adquisicion : Entidad"</f>
        <v>Descripcion:TENSIOMETRO ADULTO DE PARED, CON BRAZALETE COLOR NEGRO Estado: Excelente Placa anterior: 000039080 Material: PASTA Color: AZUL Y GRIS Referencia:  Observacion:  Placa padre:  Tipo adquisicion : Entidad</v>
      </c>
      <c r="G13529" s="5" t="str">
        <f>"BIG BEN ROUND1459"</f>
        <v>BIG BEN ROUND1459</v>
      </c>
    </row>
    <row r="13530" spans="1:7" ht="58.5" customHeight="1" x14ac:dyDescent="0.25">
      <c r="A13530" s="5" t="str">
        <f>"H0002458"</f>
        <v>H0002458</v>
      </c>
      <c r="B13530" s="5" t="str">
        <f>"COMPUTADOR TODO EN UNO"</f>
        <v>COMPUTADOR TODO EN UNO</v>
      </c>
      <c r="C13530" s="6">
        <v>2470000</v>
      </c>
      <c r="D13530" s="5"/>
      <c r="E13530" s="5" t="str">
        <f t="shared" si="693"/>
        <v>CONSULTORIO 4-CONSULTA EXTERNA</v>
      </c>
      <c r="F13530" s="5" t="str">
        <f>"Descripcion:EQUIPO DE COMPUTO TODO EN UNO CON PROCESADOR INTEL i5 Estado: Excelente Placa anterior: 000037270 Material: PASTA Color: NEGRO Referencia: 10BDFDLS Observacion:  Placa anterior:, Placa nueva=H0002459, Descripcion:TECLADO USB LENOVO, Serial:825"&amp; "8921, Marca:LENOVO, Modelo:KU-0225, Material:PASTA, Color:NEGRO,   Referencia:54Y9424, Placa anterior:, Placa nueva=H0002460, Descripcion:MOUSE USB  3 BOTONES, Serial:44MG059, Marca:LENOVO, Modelo:45J4889, Material:PASTA, Color:NEGRO,   Referencia: Placa "&amp; "padre:  Tipo adquisicion : Entidad"</f>
        <v>Descripcion:EQUIPO DE COMPUTO TODO EN UNO CON PROCESADOR INTEL i5 Estado: Excelente Placa anterior: 000037270 Material: PASTA Color: NEGRO Referencia: 10BDFDLS Observacion:  Placa anterior:, Placa nueva=H0002459, Descripcion:TECLADO USB LENOVO, Serial:8258921, Marca:LENOVO, Modelo:KU-0225, Material:PASTA, Color:NEGRO,   Referencia:54Y9424, Placa anterior:, Placa nueva=H0002460, Descripcion:MOUSE USB  3 BOTONES, Serial:44MG059, Marca:LENOVO, Modelo:45J4889, Material:PASTA, Color:NEGRO,   Referencia: Placa padre:  Tipo adquisicion : Entidad</v>
      </c>
      <c r="G13530" s="5" t="str">
        <f>"00FDLS"</f>
        <v>00FDLS</v>
      </c>
    </row>
    <row r="13531" spans="1:7" ht="58.5" customHeight="1" x14ac:dyDescent="0.25">
      <c r="A13531" s="5" t="str">
        <f>"H0004254"</f>
        <v>H0004254</v>
      </c>
      <c r="B13531" s="5" t="str">
        <f>"NEVERA 3 PIES (84LT)"</f>
        <v>NEVERA 3 PIES (84LT)</v>
      </c>
      <c r="C13531" s="6">
        <v>452400</v>
      </c>
      <c r="D13531" s="5"/>
      <c r="E13531" s="5" t="str">
        <f t="shared" si="693"/>
        <v>CONSULTORIO 4-CONSULTA EXTERNA</v>
      </c>
      <c r="F13531" s="5" t="str">
        <f>"Descripcion: REFRIGERADORA SAMSUNG SG-12BCSWCN Estado: Regular Placa anterior: 000022619 Material: METAL Color: BLANCO Referencia:  Observacion: OXIDADA Placa padre: Tipo adquisicion: Entidad"</f>
        <v>Descripcion: REFRIGERADORA SAMSUNG SG-12BCSWCN Estado: Regular Placa anterior: 000022619 Material: METAL Color: BLANCO Referencia:  Observacion: OXIDADA Placa padre: Tipo adquisicion: Entidad</v>
      </c>
      <c r="G13531" s="5"/>
    </row>
    <row r="13532" spans="1:7" ht="58.5" customHeight="1" x14ac:dyDescent="0.25">
      <c r="A13532" s="5" t="str">
        <f>"H0005202"</f>
        <v>H0005202</v>
      </c>
      <c r="B13532" s="5" t="str">
        <f>"UNIDAD OFTALMOLOGICA"</f>
        <v>UNIDAD OFTALMOLOGICA</v>
      </c>
      <c r="C13532" s="6">
        <v>6538717.9900000002</v>
      </c>
      <c r="D13532" s="5"/>
      <c r="E13532" s="5" t="str">
        <f t="shared" si="693"/>
        <v>CONSULTORIO 4-CONSULTA EXTERNA</v>
      </c>
      <c r="F13532" s="5" t="str">
        <f>"Descripcion: UNIDAD OFTALMOLOGICA COMPLETA CON SILLON HIDRAULICOPLACA INVENTARIO HUEM 012259302ESTA DAÑADO, LO UNICO QUE SIRVE EL PROYECTOR Estado: Inservible Placa anterior: 000004812 Material: METALICO Color: GRIS Referencia: 68535 Observacion:  Placa p"&amp; "adre: Tipo adquisicion: Entidad"</f>
        <v>Descripcion: UNIDAD OFTALMOLOGICA COMPLETA CON SILLON HIDRAULICOPLACA INVENTARIO HUEM 012259302ESTA DAÑADO, LO UNICO QUE SIRVE EL PROYECTOR Estado: Inservible Placa anterior: 000004812 Material: METALICO Color: GRIS Referencia: 68535 Observacion:  Placa padre: Tipo adquisicion: Entidad</v>
      </c>
      <c r="G13532" s="5" t="str">
        <f>"RODAMAT"</f>
        <v>RODAMAT</v>
      </c>
    </row>
    <row r="13533" spans="1:7" ht="58.5" customHeight="1" x14ac:dyDescent="0.25">
      <c r="A13533" s="5" t="str">
        <f>"H0005205"</f>
        <v>H0005205</v>
      </c>
      <c r="B13533" s="5" t="str">
        <f>"ESTABILIZADOR  PARA COMPUTADOR"</f>
        <v>ESTABILIZADOR  PARA COMPUTADOR</v>
      </c>
      <c r="C13533" s="6">
        <v>76325.039999999994</v>
      </c>
      <c r="D13533" s="5"/>
      <c r="E13533" s="5" t="str">
        <f t="shared" si="693"/>
        <v>CONSULTORIO 4-CONSULTA EXTERNA</v>
      </c>
      <c r="F13533" s="5" t="str">
        <f>"Descripcion: ESTABILIZADOR DE VOLTAJE1500 VA Estado: Regular Placa anterior: 000008461 Material: METALICO Color: BEIGE Referencia:  Observacion:  Placa padre: Tipo adquisicion: Entidad"</f>
        <v>Descripcion: ESTABILIZADOR DE VOLTAJE1500 VA Estado: Regular Placa anterior: 000008461 Material: METALICO Color: BEIGE Referencia:  Observacion:  Placa padre: Tipo adquisicion: Entidad</v>
      </c>
      <c r="G13533" s="5"/>
    </row>
    <row r="13534" spans="1:7" ht="58.5" customHeight="1" x14ac:dyDescent="0.25">
      <c r="A13534" s="5" t="str">
        <f>"H0005208"</f>
        <v>H0005208</v>
      </c>
      <c r="B13534" s="5" t="str">
        <f>"BUTACO GIRATORIO SIN RUEDAS"</f>
        <v>BUTACO GIRATORIO SIN RUEDAS</v>
      </c>
      <c r="C13534" s="6">
        <v>7240</v>
      </c>
      <c r="D13534" s="5"/>
      <c r="E13534" s="5" t="str">
        <f t="shared" si="693"/>
        <v>CONSULTORIO 4-CONSULTA EXTERNA</v>
      </c>
      <c r="F13534" s="5" t="str">
        <f>"Descripcion: . Estado: Bueno Placa anterior: 000004784 Material: METALICO Color: BEIGE Referencia:  Observacion:  Placa padre: Tipo adquisicion: Entidad"</f>
        <v>Descripcion: . Estado: Bueno Placa anterior: 000004784 Material: METALICO Color: BEIGE Referencia:  Observacion:  Placa padre: Tipo adquisicion: Entidad</v>
      </c>
      <c r="G13534" s="5"/>
    </row>
    <row r="13535" spans="1:7" ht="58.5" customHeight="1" x14ac:dyDescent="0.25">
      <c r="A13535" s="5" t="str">
        <f>"H0005209"</f>
        <v>H0005209</v>
      </c>
      <c r="B13535" s="5" t="str">
        <f>"MESA (CARRO) DE CURACIONES"</f>
        <v>MESA (CARRO) DE CURACIONES</v>
      </c>
      <c r="C13535" s="6">
        <v>18975</v>
      </c>
      <c r="D13535" s="5"/>
      <c r="E13535" s="5" t="str">
        <f t="shared" si="693"/>
        <v>CONSULTORIO 4-CONSULTA EXTERNA</v>
      </c>
      <c r="F13535" s="5" t="str">
        <f>"Descripcion: . Estado: Bueno Placa anterior: 000004792 Material: METALICO Color: BEIGE Referencia:  Observacion:  Placa padre: Tipo adquisicion: Entidad"</f>
        <v>Descripcion: . Estado: Bueno Placa anterior: 000004792 Material: METALICO Color: BEIGE Referencia:  Observacion:  Placa padre: Tipo adquisicion: Entidad</v>
      </c>
      <c r="G13535" s="5"/>
    </row>
    <row r="13536" spans="1:7" ht="58.5" customHeight="1" x14ac:dyDescent="0.25">
      <c r="A13536" s="5" t="str">
        <f>"H0005210"</f>
        <v>H0005210</v>
      </c>
      <c r="B13536" s="5" t="str">
        <f>"BUTACO GIRATORIO SIN RUEDAS"</f>
        <v>BUTACO GIRATORIO SIN RUEDAS</v>
      </c>
      <c r="C13536" s="6">
        <v>7240</v>
      </c>
      <c r="D13536" s="5"/>
      <c r="E13536" s="5" t="str">
        <f t="shared" si="693"/>
        <v>CONSULTORIO 4-CONSULTA EXTERNA</v>
      </c>
      <c r="F13536" s="5" t="str">
        <f>"Descripcion: . Estado: Bueno Placa anterior: 000004783 Material: METALICO Color: BEIGE Referencia:  Observacion:  Placa padre: Tipo adquisicion: Entidad"</f>
        <v>Descripcion: . Estado: Bueno Placa anterior: 000004783 Material: METALICO Color: BEIGE Referencia:  Observacion:  Placa padre: Tipo adquisicion: Entidad</v>
      </c>
      <c r="G13536" s="5"/>
    </row>
    <row r="13537" spans="1:7" ht="58.5" customHeight="1" x14ac:dyDescent="0.25">
      <c r="A13537" s="5" t="str">
        <f>"H0005211"</f>
        <v>H0005211</v>
      </c>
      <c r="B13537" s="5" t="str">
        <f>"LAMPARA DE HENDIDURA TIPO ZEISS"</f>
        <v>LAMPARA DE HENDIDURA TIPO ZEISS</v>
      </c>
      <c r="C13537" s="6">
        <v>14419310</v>
      </c>
      <c r="D13537" s="5"/>
      <c r="E13537" s="5" t="str">
        <f t="shared" si="693"/>
        <v>CONSULTORIO 4-CONSULTA EXTERNA</v>
      </c>
      <c r="F13537" s="5" t="str">
        <f>"Descripcion: LAMPARA DE HENDIDURA TIPO T ZEISS MCA. NIDEK MODELO SL-1800RODACHINESMANUAL Estado: Bueno Placa anterior: 000024968 Material: METALICO Color: BEIGE Referencia:  Observacion:  Placa padre: Tipo adquisicion: Entidad"</f>
        <v>Descripcion: LAMPARA DE HENDIDURA TIPO T ZEISS MCA. NIDEK MODELO SL-1800RODACHINESMANUAL Estado: Bueno Placa anterior: 000024968 Material: METALICO Color: BEIGE Referencia:  Observacion:  Placa padre: Tipo adquisicion: Entidad</v>
      </c>
      <c r="G13537" s="5" t="str">
        <f>"TIPO T"</f>
        <v>TIPO T</v>
      </c>
    </row>
    <row r="13538" spans="1:7" ht="58.5" customHeight="1" x14ac:dyDescent="0.25">
      <c r="A13538" s="5" t="str">
        <f>"H0005220"</f>
        <v>H0005220</v>
      </c>
      <c r="B13538" s="5" t="str">
        <f>"IMPRESORA LASER"</f>
        <v>IMPRESORA LASER</v>
      </c>
      <c r="C13538" s="6">
        <v>2400000</v>
      </c>
      <c r="D13538" s="5"/>
      <c r="E13538" s="5" t="str">
        <f t="shared" si="693"/>
        <v>CONSULTORIO 4-CONSULTA EXTERNA</v>
      </c>
      <c r="F13538" s="5" t="str">
        <f>"Descripcion: IMPRESORA LASER MARCA HP REF. P3005 DN BLANCO Y NEGRO Estado: Bueno Placa anterior: 000028845 Material: PLASTICO Color: GRIS Referencia:  Observacion: EL SERIAL REAL ES CNG1T00536 Placa padre: Tipo adquisicion: Entidad"</f>
        <v>Descripcion: IMPRESORA LASER MARCA HP REF. P3005 DN BLANCO Y NEGRO Estado: Bueno Placa anterior: 000028845 Material: PLASTICO Color: GRIS Referencia:  Observacion: EL SERIAL REAL ES CNG1T00536 Placa padre: Tipo adquisicion: Entidad</v>
      </c>
      <c r="G13538" s="5" t="str">
        <f>"Q7815A"</f>
        <v>Q7815A</v>
      </c>
    </row>
    <row r="13539" spans="1:7" ht="58.5" customHeight="1" x14ac:dyDescent="0.25">
      <c r="A13539" s="5" t="str">
        <f>"H0005223"</f>
        <v>H0005223</v>
      </c>
      <c r="B13539" s="5" t="str">
        <f>"VITRINA DE 1 CUERPO"</f>
        <v>VITRINA DE 1 CUERPO</v>
      </c>
      <c r="C13539" s="6">
        <v>20208</v>
      </c>
      <c r="D13539" s="5"/>
      <c r="E13539" s="5" t="str">
        <f t="shared" si="693"/>
        <v>CONSULTORIO 4-CONSULTA EXTERNA</v>
      </c>
      <c r="F13539" s="5" t="str">
        <f>"Descripcion: . Estado: Bueno Placa anterior: 000004791 Material: METALICO Color: GRIS Referencia:  Observacion:  Placa padre: Tipo adquisicion: Entidad"</f>
        <v>Descripcion: . Estado: Bueno Placa anterior: 000004791 Material: METALICO Color: GRIS Referencia:  Observacion:  Placa padre: Tipo adquisicion: Entidad</v>
      </c>
      <c r="G13539" s="5"/>
    </row>
    <row r="13540" spans="1:7" ht="58.5" customHeight="1" x14ac:dyDescent="0.25">
      <c r="A13540" s="5" t="str">
        <f>"H0005224"</f>
        <v>H0005224</v>
      </c>
      <c r="B13540" s="5" t="str">
        <f>"ESCRITORIO DE MADERA 2 GAVETAS"</f>
        <v>ESCRITORIO DE MADERA 2 GAVETAS</v>
      </c>
      <c r="C13540" s="6">
        <v>16526.189999999999</v>
      </c>
      <c r="D13540" s="5"/>
      <c r="E13540" s="5" t="str">
        <f t="shared" si="693"/>
        <v>CONSULTORIO 4-CONSULTA EXTERNA</v>
      </c>
      <c r="F13540" s="5" t="str">
        <f>"Descripcion: 73X123X57 Estado: Bueno Placa anterior: 000005896 Material: MADERA Color:  Referencia:  Observacion:  Placa padre: Tipo adquisicion: Entidad"</f>
        <v>Descripcion: 73X123X57 Estado: Bueno Placa anterior: 000005896 Material: MADERA Color:  Referencia:  Observacion:  Placa padre: Tipo adquisicion: Entidad</v>
      </c>
      <c r="G13540" s="5"/>
    </row>
    <row r="13541" spans="1:7" ht="58.5" customHeight="1" x14ac:dyDescent="0.25">
      <c r="A13541" s="5" t="str">
        <f>"H0005229"</f>
        <v>H0005229</v>
      </c>
      <c r="B13541" s="5" t="str">
        <f>"SILLA INTERLOCUTORA (FIJA) SIN BRAZOS"</f>
        <v>SILLA INTERLOCUTORA (FIJA) SIN BRAZOS</v>
      </c>
      <c r="C13541" s="6">
        <v>9679.7000000000007</v>
      </c>
      <c r="D13541" s="5"/>
      <c r="E13541" s="5" t="str">
        <f t="shared" si="693"/>
        <v>CONSULTORIO 4-CONSULTA EXTERNA</v>
      </c>
      <c r="F13541" s="5" t="str">
        <f>"Descripcion: TAPIZADA EN CUERO MARRON Estado: Bueno Placa anterior: 000018575 Material: METALICO Color: MARRON Referencia:  Observacion: 000008873 NO TRAE INFORMACION  SILLA FIJA TIPO A COLOR MARRON   Placa padre: Tipo adquisicion: Entidad"</f>
        <v>Descripcion: TAPIZADA EN CUERO MARRON Estado: Bueno Placa anterior: 000018575 Material: METALICO Color: MARRON Referencia:  Observacion: 000008873 NO TRAE INFORMACION  SILLA FIJA TIPO A COLOR MARRON   Placa padre: Tipo adquisicion: Entidad</v>
      </c>
      <c r="G13541" s="5"/>
    </row>
    <row r="13542" spans="1:7" ht="58.5" customHeight="1" x14ac:dyDescent="0.25">
      <c r="A13542" s="5" t="str">
        <f>"H0005230"</f>
        <v>H0005230</v>
      </c>
      <c r="B13542" s="5" t="str">
        <f>"SILLA INTERLOCUTORA (FIJA) SIN BRAZOS"</f>
        <v>SILLA INTERLOCUTORA (FIJA) SIN BRAZOS</v>
      </c>
      <c r="C13542" s="6">
        <v>6949.69</v>
      </c>
      <c r="D13542" s="5"/>
      <c r="E13542" s="5" t="str">
        <f t="shared" si="693"/>
        <v>CONSULTORIO 4-CONSULTA EXTERNA</v>
      </c>
      <c r="F13542" s="5" t="str">
        <f>"Descripcion: TAPIZADA EN CUERO NEGRO Estado: Bueno Placa anterior: 000005941 Material: METALICO Color: NEGRO Referencia:  Observacion:  Placa padre: Tipo adquisicion: Entidad"</f>
        <v>Descripcion: TAPIZADA EN CUERO NEGRO Estado: Bueno Placa anterior: 000005941 Material: METALICO Color: NEGRO Referencia:  Observacion:  Placa padre: Tipo adquisicion: Entidad</v>
      </c>
      <c r="G13542" s="5"/>
    </row>
    <row r="13543" spans="1:7" ht="58.5" customHeight="1" x14ac:dyDescent="0.25">
      <c r="A13543" s="5" t="str">
        <f>"H0005231"</f>
        <v>H0005231</v>
      </c>
      <c r="B13543" s="5" t="str">
        <f>"MESA (CARRO) DE CURACIONES"</f>
        <v>MESA (CARRO) DE CURACIONES</v>
      </c>
      <c r="C13543" s="6">
        <v>18975</v>
      </c>
      <c r="D13543" s="5"/>
      <c r="E13543" s="5" t="str">
        <f t="shared" si="693"/>
        <v>CONSULTORIO 4-CONSULTA EXTERNA</v>
      </c>
      <c r="F13543" s="5" t="str">
        <f>"Descripcion: MESA AUXILIAR TIPO CARRO C/BARANDAS Y RODACHINES Estado: Bueno Placa anterior: 000004789 Material: METALICO Color: GRIS Referencia:  Observacion:  Placa padre: Tipo adquisicion: Entidad"</f>
        <v>Descripcion: MESA AUXILIAR TIPO CARRO C/BARANDAS Y RODACHINES Estado: Bueno Placa anterior: 000004789 Material: METALICO Color: GRIS Referencia:  Observacion:  Placa padre: Tipo adquisicion: Entidad</v>
      </c>
      <c r="G13543" s="5"/>
    </row>
    <row r="13544" spans="1:7" ht="58.5" customHeight="1" x14ac:dyDescent="0.25">
      <c r="A13544" s="5" t="str">
        <f>"H0005236"</f>
        <v>H0005236</v>
      </c>
      <c r="B13544" s="5" t="str">
        <f>"PRISMA SUELTO DE 50DP (DIOPTRIAS)"</f>
        <v>PRISMA SUELTO DE 50DP (DIOPTRIAS)</v>
      </c>
      <c r="C13544" s="6">
        <v>59819.71</v>
      </c>
      <c r="D13544" s="5"/>
      <c r="E13544" s="5" t="str">
        <f t="shared" si="693"/>
        <v>CONSULTORIO 4-CONSULTA EXTERNA</v>
      </c>
      <c r="F13544" s="5" t="str">
        <f>"Descripcion: PRISMA SUELTO Y 50 DIOPTRIAS CON ESTUCHE23 PIEZAS  Estado: Bueno Placa anterior: 000004810 Material: VIDRIO Color:  Referencia:  Observacion:  Placa padre: Tipo adquisicion: Entidad"</f>
        <v>Descripcion: PRISMA SUELTO Y 50 DIOPTRIAS CON ESTUCHE23 PIEZAS  Estado: Bueno Placa anterior: 000004810 Material: VIDRIO Color:  Referencia:  Observacion:  Placa padre: Tipo adquisicion: Entidad</v>
      </c>
      <c r="G13544" s="5"/>
    </row>
    <row r="13545" spans="1:7" ht="58.5" customHeight="1" x14ac:dyDescent="0.25">
      <c r="A13545" s="5" t="str">
        <f>"H0005237"</f>
        <v>H0005237</v>
      </c>
      <c r="B13545" s="5" t="str">
        <f>"PRISMAS SUELTOS CON ESTUCHE"</f>
        <v>PRISMAS SUELTOS CON ESTUCHE</v>
      </c>
      <c r="C13545" s="6">
        <v>262200</v>
      </c>
      <c r="D13545" s="5"/>
      <c r="E13545" s="5" t="str">
        <f t="shared" si="693"/>
        <v>CONSULTORIO 4-CONSULTA EXTERNA</v>
      </c>
      <c r="F13545" s="5" t="str">
        <f>"Descripcion: PRISMA SUELTO CAJA X 23 REF.LUNEAU FRANCE S-22 LB Estado: Bueno Placa anterior: 000004811 Material: VIDRIO Color:  Referencia:  Observacion:  Placa padre: Tipo adquisicion: Entidad"</f>
        <v>Descripcion: PRISMA SUELTO CAJA X 23 REF.LUNEAU FRANCE S-22 LB Estado: Bueno Placa anterior: 000004811 Material: VIDRIO Color:  Referencia:  Observacion:  Placa padre: Tipo adquisicion: Entidad</v>
      </c>
      <c r="G13545" s="5"/>
    </row>
    <row r="13546" spans="1:7" ht="58.5" customHeight="1" x14ac:dyDescent="0.25">
      <c r="A13546" s="5" t="str">
        <f>"H0005238"</f>
        <v>H0005238</v>
      </c>
      <c r="B13546" s="5" t="str">
        <f>"BANDEJA ESMALTADA PEQUEÑA"</f>
        <v>BANDEJA ESMALTADA PEQUEÑA</v>
      </c>
      <c r="C13546" s="6">
        <v>5815.6</v>
      </c>
      <c r="D13546" s="5"/>
      <c r="E13546" s="5" t="str">
        <f t="shared" si="693"/>
        <v>CONSULTORIO 4-CONSULTA EXTERNA</v>
      </c>
      <c r="F13546" s="5" t="str">
        <f>"Descripcion: CON TAPA Estado: Regular Placa anterior: 000004800 Material: METALICO Color: BLANCO Referencia:  Observacion:  Placa padre: Tipo adquisicion: Entidad"</f>
        <v>Descripcion: CON TAPA Estado: Regular Placa anterior: 000004800 Material: METALICO Color: BLANCO Referencia:  Observacion:  Placa padre: Tipo adquisicion: Entidad</v>
      </c>
      <c r="G13546" s="5"/>
    </row>
    <row r="13547" spans="1:7" ht="58.5" customHeight="1" x14ac:dyDescent="0.25">
      <c r="A13547" s="5" t="str">
        <f>"H0005240"</f>
        <v>H0005240</v>
      </c>
      <c r="B13547" s="5" t="str">
        <f>"CUBETA DE ACERO INOXIDABLE CON TAPA MEDIANA"</f>
        <v>CUBETA DE ACERO INOXIDABLE CON TAPA MEDIANA</v>
      </c>
      <c r="C13547" s="6">
        <v>3819</v>
      </c>
      <c r="D13547" s="5"/>
      <c r="E13547" s="5" t="str">
        <f t="shared" si="693"/>
        <v>CONSULTORIO 4-CONSULTA EXTERNA</v>
      </c>
      <c r="F13547" s="5" t="str">
        <f>"Descripcion: CON TAPA ACERO Estado: Regular Placa anterior: 000004799 Material: ACERO INOXIDABLE Color:  Referencia:  Observacion:  Placa padre: Tipo adquisicion: Entidad"</f>
        <v>Descripcion: CON TAPA ACERO Estado: Regular Placa anterior: 000004799 Material: ACERO INOXIDABLE Color:  Referencia:  Observacion:  Placa padre: Tipo adquisicion: Entidad</v>
      </c>
      <c r="G13547" s="5"/>
    </row>
    <row r="13548" spans="1:7" ht="58.5" customHeight="1" x14ac:dyDescent="0.25">
      <c r="A13548" s="5" t="str">
        <f>"H0005241"</f>
        <v>H0005241</v>
      </c>
      <c r="B13548" s="5" t="str">
        <f>"CUBETA DE ACERO INOXIDABLE CON TAPA GRANDE"</f>
        <v>CUBETA DE ACERO INOXIDABLE CON TAPA GRANDE</v>
      </c>
      <c r="C13548" s="6">
        <v>5815.6</v>
      </c>
      <c r="D13548" s="5"/>
      <c r="E13548" s="5" t="str">
        <f t="shared" si="693"/>
        <v>CONSULTORIO 4-CONSULTA EXTERNA</v>
      </c>
      <c r="F13548" s="5" t="str">
        <f>"Descripcion: CON TAPA ACERO Estado: Regular Placa anterior: 000005793 Material: ACERO INOXIDABLE Color:  Referencia:  Observacion:  Placa padre: Tipo adquisicion: Entidad"</f>
        <v>Descripcion: CON TAPA ACERO Estado: Regular Placa anterior: 000005793 Material: ACERO INOXIDABLE Color:  Referencia:  Observacion:  Placa padre: Tipo adquisicion: Entidad</v>
      </c>
      <c r="G13548" s="5"/>
    </row>
    <row r="13549" spans="1:7" ht="58.5" customHeight="1" x14ac:dyDescent="0.25">
      <c r="A13549" s="5" t="str">
        <f>"H0006720"</f>
        <v>H0006720</v>
      </c>
      <c r="B13549" s="5" t="str">
        <f>"ESCALERILLA DE 2 PASOS"</f>
        <v>ESCALERILLA DE 2 PASOS</v>
      </c>
      <c r="C13549" s="6">
        <v>120000</v>
      </c>
      <c r="D13549" s="5"/>
      <c r="E13549" s="5" t="str">
        <f t="shared" si="693"/>
        <v>CONSULTORIO 4-CONSULTA EXTERNA</v>
      </c>
      <c r="F13549" s="5" t="str">
        <f>"Descripcion:ESCALERILLA DE DOS PASOS Estado: Excelente Placa anterior: 000037814 Material: METAL Y PASOS EN MADERA Color: BLANCO Y NEGRO Referencia:  Observacion:  Placa padre:  Tipo adquisicion : Entidad"</f>
        <v>Descripcion:ESCALERILLA DE DOS PASOS Estado: Excelente Placa anterior: 000037814 Material: METAL Y PASOS EN MADERA Color: BLANCO Y NEGRO Referencia:  Observacion:  Placa padre:  Tipo adquisicion : Entidad</v>
      </c>
      <c r="G13549" s="5"/>
    </row>
    <row r="13550" spans="1:7" ht="58.5" customHeight="1" x14ac:dyDescent="0.25">
      <c r="A13550" s="5" t="str">
        <f>"H0009036"</f>
        <v>H0009036</v>
      </c>
      <c r="B13550" s="5" t="str">
        <f>"EQUIPO DVD R"</f>
        <v>EQUIPO DVD R</v>
      </c>
      <c r="C13550" s="6">
        <v>210000</v>
      </c>
      <c r="D13550" s="5"/>
      <c r="E13550" s="5" t="str">
        <f t="shared" si="693"/>
        <v>CONSULTORIO 4-CONSULTA EXTERNA</v>
      </c>
      <c r="F13550" s="5" t="str">
        <f>"Descripcion:REPRODUCTOR DE DVD Estado: Excelente Placa anterior: 000033399 Material: METALICO Color: NEGRO Referencia:  Observacion:  Placa padre:  Tipo adquisicion : Entidad"</f>
        <v>Descripcion:REPRODUCTOR DE DVD Estado: Excelente Placa anterior: 000033399 Material: METALICO Color: NEGRO Referencia:  Observacion:  Placa padre:  Tipo adquisicion : Entidad</v>
      </c>
      <c r="G13550" s="5" t="str">
        <f>"DVD-P191"</f>
        <v>DVD-P191</v>
      </c>
    </row>
    <row r="13551" spans="1:7" ht="58.5" customHeight="1" x14ac:dyDescent="0.25">
      <c r="A13551" s="5" t="str">
        <f>"H0017878"</f>
        <v>H0017878</v>
      </c>
      <c r="B13551" s="5" t="str">
        <f>"SILLA INTERLOCUTORA (FIJA) SIN BRAZOS"</f>
        <v>SILLA INTERLOCUTORA (FIJA) SIN BRAZOS</v>
      </c>
      <c r="C13551" s="6">
        <v>9487.5</v>
      </c>
      <c r="D13551" s="5"/>
      <c r="E13551" s="5" t="str">
        <f t="shared" si="693"/>
        <v>CONSULTORIO 4-CONSULTA EXTERNA</v>
      </c>
      <c r="F13551" s="5" t="str">
        <f>"Descripcion:SILLA FIJA TIPO A COLOR MARRON TAPIZADA EN CUERINA Estado: Regular Placa anterior: 000009679 Material: METALICO Y CUERINA Color: GRIS Y MARRON Referencia:  Observacion: PRESENTA DAÑO EN EL TAPIZADO Y EN LA ESTRUCTURA Placa padre:  Tipo adquisi"&amp; "cion : Entidad"</f>
        <v>Descripcion:SILLA FIJA TIPO A COLOR MARRON TAPIZADA EN CUERINA Estado: Regular Placa anterior: 000009679 Material: METALICO Y CUERINA Color: GRIS Y MARRON Referencia:  Observacion: PRESENTA DAÑO EN EL TAPIZADO Y EN LA ESTRUCTURA Placa padre:  Tipo adquisicion : Entidad</v>
      </c>
      <c r="G13551" s="5"/>
    </row>
    <row r="13552" spans="1:7" ht="58.5" customHeight="1" x14ac:dyDescent="0.25">
      <c r="A13552" s="5" t="str">
        <f>"H0017897"</f>
        <v>H0017897</v>
      </c>
      <c r="B13552" s="5" t="str">
        <f>"BUTACO GIRATORIO SIN RUEDAS"</f>
        <v>BUTACO GIRATORIO SIN RUEDAS</v>
      </c>
      <c r="C13552" s="6">
        <v>15786.95</v>
      </c>
      <c r="D13552" s="5"/>
      <c r="E13552" s="5" t="str">
        <f t="shared" si="693"/>
        <v>CONSULTORIO 4-CONSULTA EXTERNA</v>
      </c>
      <c r="F13552" s="5" t="str">
        <f>"Descripcion:BUTACO GIRATORIO SIN RUEDAS Estado: Malo Placa anterior: 000011948 Material: METAL Color: GRIS Referencia:  Observacion: EL BIEN TIENE PLACA ANTERIOR  000008943  AUTORIZADO CONCILIAR EN CRUCE GENERAL Placa padre:  Tipo adquisicion : Entidad"</f>
        <v>Descripcion:BUTACO GIRATORIO SIN RUEDAS Estado: Malo Placa anterior: 000011948 Material: METAL Color: GRIS Referencia:  Observacion: EL BIEN TIENE PLACA ANTERIOR  000008943  AUTORIZADO CONCILIAR EN CRUCE GENERAL Placa padre:  Tipo adquisicion : Entidad</v>
      </c>
      <c r="G13552" s="5"/>
    </row>
    <row r="13553" spans="1:7" ht="58.5" customHeight="1" x14ac:dyDescent="0.25">
      <c r="A13553" s="5" t="str">
        <f>"H0018201"</f>
        <v>H0018201</v>
      </c>
      <c r="B13553" s="5" t="str">
        <f>"SILLA TANDEM DE 4 PUESTOS"</f>
        <v>SILLA TANDEM DE 4 PUESTOS</v>
      </c>
      <c r="C13553" s="6">
        <v>200000</v>
      </c>
      <c r="D13553" s="5"/>
      <c r="E13553" s="5" t="str">
        <f t="shared" si="693"/>
        <v>CONSULTORIO 4-CONSULTA EXTERNA</v>
      </c>
      <c r="F13553" s="5" t="str">
        <f>"Descripcion:TANDEM DE 4 PUESTOS Estado: Excelente Placa anterior: 000030556 Material: METAL, PASTA Y PAÑO Color: NEGRO Y ROJO Referencia:  Observacion:  Placa padre:  Tipo adquisicion : Donacion"</f>
        <v>Descripcion:TANDEM DE 4 PUESTOS Estado: Excelente Placa anterior: 000030556 Material: METAL, PASTA Y PAÑO Color: NEGRO Y ROJO Referencia:  Observacion:  Placa padre:  Tipo adquisicion : Donacion</v>
      </c>
      <c r="G13553" s="5"/>
    </row>
    <row r="13554" spans="1:7" ht="58.5" customHeight="1" x14ac:dyDescent="0.25">
      <c r="A13554" s="5" t="str">
        <f>"H0018206"</f>
        <v>H0018206</v>
      </c>
      <c r="B13554" s="5" t="str">
        <f>"SILLA TANDEM DE 4 PUESTOS"</f>
        <v>SILLA TANDEM DE 4 PUESTOS</v>
      </c>
      <c r="C13554" s="6">
        <v>200000</v>
      </c>
      <c r="D13554" s="5"/>
      <c r="E13554" s="5" t="str">
        <f t="shared" si="693"/>
        <v>CONSULTORIO 4-CONSULTA EXTERNA</v>
      </c>
      <c r="F13554" s="5" t="str">
        <f>"Descripcion:TANDEM DE 4 PUESTOS Estado: Excelente Placa anterior: 000030553 Material: METAL, PASTA Y PAÑO Color: NEGRO Y ROJO Referencia:  Observacion:  Placa padre:  Tipo adquisicion : Donacion"</f>
        <v>Descripcion:TANDEM DE 4 PUESTOS Estado: Excelente Placa anterior: 000030553 Material: METAL, PASTA Y PAÑO Color: NEGRO Y ROJO Referencia:  Observacion:  Placa padre:  Tipo adquisicion : Donacion</v>
      </c>
      <c r="G13554" s="5"/>
    </row>
    <row r="13555" spans="1:7" ht="58.5" customHeight="1" x14ac:dyDescent="0.25">
      <c r="A13555" s="5" t="str">
        <f>"H0018211"</f>
        <v>H0018211</v>
      </c>
      <c r="B13555" s="5" t="str">
        <f>"SILLA INTERLOCUTORA (FIJA) SIN BRAZOS"</f>
        <v>SILLA INTERLOCUTORA (FIJA) SIN BRAZOS</v>
      </c>
      <c r="C13555" s="6">
        <v>7665.58</v>
      </c>
      <c r="D13555" s="5"/>
      <c r="E13555" s="5" t="str">
        <f t="shared" si="693"/>
        <v>CONSULTORIO 4-CONSULTA EXTERNA</v>
      </c>
      <c r="F13555" s="5" t="str">
        <f>"Descripcion:SILLA INTERLOCUTORA FIJA SIN BRAZOS Estado: Bueno Placa anterior: 000025783 Material: METAL Y CUERINA Color: GRIS Y MARRON Referencia:  Observacion:  Placa padre:  Tipo adquisicion : Entidad"</f>
        <v>Descripcion:SILLA INTERLOCUTORA FIJA SIN BRAZOS Estado: Bueno Placa anterior: 000025783 Material: METAL Y CUERINA Color: GRIS Y MARRON Referencia:  Observacion:  Placa padre:  Tipo adquisicion : Entidad</v>
      </c>
      <c r="G13555" s="5"/>
    </row>
    <row r="13556" spans="1:7" ht="58.5" customHeight="1" x14ac:dyDescent="0.25">
      <c r="A13556" s="5" t="str">
        <f>"H0018476"</f>
        <v>H0018476</v>
      </c>
      <c r="B13556" s="5" t="str">
        <f>"VITRINA DE 2 CUERPOS"</f>
        <v>VITRINA DE 2 CUERPOS</v>
      </c>
      <c r="C13556" s="6">
        <v>125000</v>
      </c>
      <c r="D13556" s="5"/>
      <c r="E13556" s="5" t="str">
        <f t="shared" si="693"/>
        <v>CONSULTORIO 4-CONSULTA EXTERNA</v>
      </c>
      <c r="F13556" s="5" t="str">
        <f>"Descripcion: VITRINA METALICA TIPO B ( DOS CUERPOS) Estado: Bueno Placa anterior: 000012575 Material: METALICO, VIDRIO Color: GRIS Referencia:  Observacion:  Placa padre: Tipo adquisicion: Entidad"</f>
        <v>Descripcion: VITRINA METALICA TIPO B ( DOS CUERPOS) Estado: Bueno Placa anterior: 000012575 Material: METALICO, VIDRIO Color: GRIS Referencia:  Observacion:  Placa padre: Tipo adquisicion: Entidad</v>
      </c>
      <c r="G13556" s="5"/>
    </row>
    <row r="13557" spans="1:7" ht="58.5" customHeight="1" x14ac:dyDescent="0.25">
      <c r="A13557" s="5" t="str">
        <f>"H0021449"</f>
        <v>H0021449</v>
      </c>
      <c r="B13557" s="5" t="str">
        <f>"LENTE DE 3 ESPEJOS"</f>
        <v>LENTE DE 3 ESPEJOS</v>
      </c>
      <c r="C13557" s="6">
        <v>1218000</v>
      </c>
      <c r="D13557" s="5" t="s">
        <v>61</v>
      </c>
      <c r="E13557" s="5" t="str">
        <f t="shared" si="693"/>
        <v>CONSULTORIO 4-CONSULTA EXTERNA</v>
      </c>
      <c r="F13557" s="5"/>
      <c r="G13557" s="5"/>
    </row>
    <row r="13558" spans="1:7" ht="58.5" customHeight="1" x14ac:dyDescent="0.25">
      <c r="A13558" s="5" t="str">
        <f>"H0021451"</f>
        <v>H0021451</v>
      </c>
      <c r="B13558" s="5" t="str">
        <f>"LENTE OCULAR DE  90D"</f>
        <v>LENTE OCULAR DE  90D</v>
      </c>
      <c r="C13558" s="6">
        <v>841000</v>
      </c>
      <c r="D13558" s="5" t="s">
        <v>61</v>
      </c>
      <c r="E13558" s="5" t="str">
        <f t="shared" si="693"/>
        <v>CONSULTORIO 4-CONSULTA EXTERNA</v>
      </c>
      <c r="F13558" s="5"/>
      <c r="G13558" s="5"/>
    </row>
    <row r="13559" spans="1:7" ht="58.5" customHeight="1" x14ac:dyDescent="0.25">
      <c r="A13559" s="5" t="str">
        <f>"H0021452"</f>
        <v>H0021452</v>
      </c>
      <c r="B13559" s="5" t="str">
        <f>"LENTE OCULAR DE 20D"</f>
        <v>LENTE OCULAR DE 20D</v>
      </c>
      <c r="C13559" s="6">
        <v>841000</v>
      </c>
      <c r="D13559" s="5" t="s">
        <v>61</v>
      </c>
      <c r="E13559" s="5" t="str">
        <f t="shared" ref="E13559:E13593" si="694">"CONSULTORIO 4-CONSULTA EXTERNA"</f>
        <v>CONSULTORIO 4-CONSULTA EXTERNA</v>
      </c>
      <c r="F13559" s="5"/>
      <c r="G13559" s="5"/>
    </row>
    <row r="13560" spans="1:7" ht="58.5" customHeight="1" x14ac:dyDescent="0.25">
      <c r="A13560" s="5" t="str">
        <f>"H0021615"</f>
        <v>H0021615</v>
      </c>
      <c r="B13560" s="5" t="str">
        <f>"SILLA ERGONOMICA TIPO SECRETARIA SIN BRAZOS"</f>
        <v>SILLA ERGONOMICA TIPO SECRETARIA SIN BRAZOS</v>
      </c>
      <c r="C13560" s="6">
        <v>211120</v>
      </c>
      <c r="D13560" s="5"/>
      <c r="E13560" s="5" t="str">
        <f t="shared" si="694"/>
        <v>CONSULTORIO 4-CONSULTA EXTERNA</v>
      </c>
      <c r="F13560" s="5" t="str">
        <f>"Descripcion:SILLA ERGONOMICA AT 02 (TA-TELA VINILICA SECRETARIAL) Estado: Regular Placa anterior: 000025289 Material: CUERO Color: NEGRO Referencia:  Observacion:  Placa padre:  Tipo adquisicion : Entidad"</f>
        <v>Descripcion:SILLA ERGONOMICA AT 02 (TA-TELA VINILICA SECRETARIAL) Estado: Regular Placa anterior: 000025289 Material: CUERO Color: NEGRO Referencia:  Observacion:  Placa padre:  Tipo adquisicion : Entidad</v>
      </c>
      <c r="G13560" s="5"/>
    </row>
    <row r="13561" spans="1:7" ht="58.5" customHeight="1" x14ac:dyDescent="0.25">
      <c r="A13561" s="5" t="str">
        <f>"H0022305"</f>
        <v>H0022305</v>
      </c>
      <c r="B13561" s="5" t="str">
        <f>"BEFLAROSTATO BARRAQUER 3CM"</f>
        <v>BEFLAROSTATO BARRAQUER 3CM</v>
      </c>
      <c r="C13561" s="6">
        <v>97440</v>
      </c>
      <c r="D13561" s="5" t="s">
        <v>393</v>
      </c>
      <c r="E13561" s="5" t="str">
        <f t="shared" si="694"/>
        <v>CONSULTORIO 4-CONSULTA EXTERNA</v>
      </c>
      <c r="F13561" s="5"/>
      <c r="G13561" s="5"/>
    </row>
    <row r="13562" spans="1:7" ht="58.5" customHeight="1" x14ac:dyDescent="0.25">
      <c r="A13562" s="5" t="str">
        <f>"H0022306"</f>
        <v>H0022306</v>
      </c>
      <c r="B13562" s="5" t="str">
        <f>"BLEFAROSTATO PARA ADULTOS"</f>
        <v>BLEFAROSTATO PARA ADULTOS</v>
      </c>
      <c r="C13562" s="6">
        <v>55680</v>
      </c>
      <c r="D13562" s="5" t="s">
        <v>393</v>
      </c>
      <c r="E13562" s="5" t="str">
        <f t="shared" si="694"/>
        <v>CONSULTORIO 4-CONSULTA EXTERNA</v>
      </c>
      <c r="F13562" s="5"/>
      <c r="G13562" s="5"/>
    </row>
    <row r="13563" spans="1:7" ht="58.5" customHeight="1" x14ac:dyDescent="0.25">
      <c r="A13563" s="5" t="str">
        <f>"H0022307"</f>
        <v>H0022307</v>
      </c>
      <c r="B13563" s="5" t="str">
        <f>"BLEFAROSTATO PARA NIÑOS"</f>
        <v>BLEFAROSTATO PARA NIÑOS</v>
      </c>
      <c r="C13563" s="6">
        <v>55680</v>
      </c>
      <c r="D13563" s="5" t="s">
        <v>393</v>
      </c>
      <c r="E13563" s="5" t="str">
        <f t="shared" si="694"/>
        <v>CONSULTORIO 4-CONSULTA EXTERNA</v>
      </c>
      <c r="F13563" s="5"/>
      <c r="G13563" s="5"/>
    </row>
    <row r="13564" spans="1:7" ht="58.5" customHeight="1" x14ac:dyDescent="0.25">
      <c r="A13564" s="5" t="str">
        <f>"H0022308"</f>
        <v>H0022308</v>
      </c>
      <c r="B13564" s="5" t="str">
        <f>"BLEFAROSTATO PARA NEONATOS"</f>
        <v>BLEFAROSTATO PARA NEONATOS</v>
      </c>
      <c r="C13564" s="6">
        <v>55680</v>
      </c>
      <c r="D13564" s="5" t="s">
        <v>393</v>
      </c>
      <c r="E13564" s="5" t="str">
        <f t="shared" si="694"/>
        <v>CONSULTORIO 4-CONSULTA EXTERNA</v>
      </c>
      <c r="F13564" s="5"/>
      <c r="G13564" s="5"/>
    </row>
    <row r="13565" spans="1:7" ht="58.5" customHeight="1" x14ac:dyDescent="0.25">
      <c r="A13565" s="5" t="str">
        <f>"H0022309"</f>
        <v>H0022309</v>
      </c>
      <c r="B13565" s="5" t="str">
        <f>"PINZA RELOJERO"</f>
        <v>PINZA RELOJERO</v>
      </c>
      <c r="C13565" s="6">
        <v>80040</v>
      </c>
      <c r="D13565" s="5" t="s">
        <v>393</v>
      </c>
      <c r="E13565" s="5" t="str">
        <f t="shared" si="694"/>
        <v>CONSULTORIO 4-CONSULTA EXTERNA</v>
      </c>
      <c r="F13565" s="5"/>
      <c r="G13565" s="5"/>
    </row>
    <row r="13566" spans="1:7" ht="58.5" customHeight="1" x14ac:dyDescent="0.25">
      <c r="A13566" s="5" t="str">
        <f>"H0022310"</f>
        <v>H0022310</v>
      </c>
      <c r="B13566" s="5" t="str">
        <f>"PINZA 0.12 mm"</f>
        <v>PINZA 0.12 mm</v>
      </c>
      <c r="C13566" s="6">
        <v>539400</v>
      </c>
      <c r="D13566" s="5" t="s">
        <v>395</v>
      </c>
      <c r="E13566" s="5" t="str">
        <f t="shared" si="694"/>
        <v>CONSULTORIO 4-CONSULTA EXTERNA</v>
      </c>
      <c r="F13566" s="5"/>
      <c r="G13566" s="5"/>
    </row>
    <row r="13567" spans="1:7" ht="58.5" customHeight="1" x14ac:dyDescent="0.25">
      <c r="A13567" s="5" t="str">
        <f>"H0022311"</f>
        <v>H0022311</v>
      </c>
      <c r="B13567" s="5" t="str">
        <f>"PINZA RELOJERO"</f>
        <v>PINZA RELOJERO</v>
      </c>
      <c r="C13567" s="6">
        <v>80040</v>
      </c>
      <c r="D13567" s="5" t="s">
        <v>393</v>
      </c>
      <c r="E13567" s="5" t="str">
        <f t="shared" si="694"/>
        <v>CONSULTORIO 4-CONSULTA EXTERNA</v>
      </c>
      <c r="F13567" s="5"/>
      <c r="G13567" s="5"/>
    </row>
    <row r="13568" spans="1:7" ht="58.5" customHeight="1" x14ac:dyDescent="0.25">
      <c r="A13568" s="5" t="str">
        <f>"H0022312"</f>
        <v>H0022312</v>
      </c>
      <c r="B13568" s="5" t="str">
        <f>"PINZA RELOJERO"</f>
        <v>PINZA RELOJERO</v>
      </c>
      <c r="C13568" s="6">
        <v>80040</v>
      </c>
      <c r="D13568" s="5" t="s">
        <v>395</v>
      </c>
      <c r="E13568" s="5" t="str">
        <f t="shared" si="694"/>
        <v>CONSULTORIO 4-CONSULTA EXTERNA</v>
      </c>
      <c r="F13568" s="5"/>
      <c r="G13568" s="5"/>
    </row>
    <row r="13569" spans="1:7" ht="58.5" customHeight="1" x14ac:dyDescent="0.25">
      <c r="A13569" s="5" t="str">
        <f>"H0022313"</f>
        <v>H0022313</v>
      </c>
      <c r="B13569" s="5" t="str">
        <f>"TIJERA DE CONJUNTIVA"</f>
        <v>TIJERA DE CONJUNTIVA</v>
      </c>
      <c r="C13569" s="6">
        <v>501120</v>
      </c>
      <c r="D13569" s="5" t="s">
        <v>393</v>
      </c>
      <c r="E13569" s="5" t="str">
        <f t="shared" si="694"/>
        <v>CONSULTORIO 4-CONSULTA EXTERNA</v>
      </c>
      <c r="F13569" s="5"/>
      <c r="G13569" s="5"/>
    </row>
    <row r="13570" spans="1:7" ht="58.5" customHeight="1" x14ac:dyDescent="0.25">
      <c r="A13570" s="5" t="str">
        <f>"H0022333"</f>
        <v>H0022333</v>
      </c>
      <c r="B13570" s="5" t="str">
        <f>"LAMPARA DE HENDIDURA"</f>
        <v>LAMPARA DE HENDIDURA</v>
      </c>
      <c r="C13570" s="6">
        <v>22937600</v>
      </c>
      <c r="D13570" s="5" t="s">
        <v>712</v>
      </c>
      <c r="E13570" s="5" t="str">
        <f t="shared" si="694"/>
        <v>CONSULTORIO 4-CONSULTA EXTERNA</v>
      </c>
      <c r="F13570" s="5"/>
      <c r="G13570" s="5" t="str">
        <f>"SL-D2"</f>
        <v>SL-D2</v>
      </c>
    </row>
    <row r="13571" spans="1:7" ht="58.5" customHeight="1" x14ac:dyDescent="0.25">
      <c r="A13571" s="5" t="str">
        <f>"H0022335"</f>
        <v>H0022335</v>
      </c>
      <c r="B13571" s="5" t="str">
        <f>"MESA ELECTRICA"</f>
        <v>MESA ELECTRICA</v>
      </c>
      <c r="C13571" s="6">
        <v>2897400</v>
      </c>
      <c r="D13571" s="5" t="s">
        <v>712</v>
      </c>
      <c r="E13571" s="5" t="str">
        <f t="shared" si="694"/>
        <v>CONSULTORIO 4-CONSULTA EXTERNA</v>
      </c>
      <c r="F13571" s="5"/>
      <c r="G13571" s="5" t="str">
        <f>"AIT-16"</f>
        <v>AIT-16</v>
      </c>
    </row>
    <row r="13572" spans="1:7" ht="58.5" customHeight="1" x14ac:dyDescent="0.25">
      <c r="A13572" s="5" t="str">
        <f>"H0022336"</f>
        <v>H0022336</v>
      </c>
      <c r="B13572" s="5" t="str">
        <f>"TONOMETRO DE APLANACIÓN"</f>
        <v>TONOMETRO DE APLANACIÓN</v>
      </c>
      <c r="C13572" s="6">
        <v>7038900</v>
      </c>
      <c r="D13572" s="5" t="s">
        <v>713</v>
      </c>
      <c r="E13572" s="5" t="str">
        <f t="shared" si="694"/>
        <v>CONSULTORIO 4-CONSULTA EXTERNA</v>
      </c>
      <c r="F13572" s="5"/>
      <c r="G13572" s="5" t="str">
        <f>"R-900"</f>
        <v>R-900</v>
      </c>
    </row>
    <row r="13573" spans="1:7" ht="58.5" customHeight="1" x14ac:dyDescent="0.25">
      <c r="A13573" s="5" t="str">
        <f>"H0022363"</f>
        <v>H0022363</v>
      </c>
      <c r="B13573" s="5" t="str">
        <f>"BLEFAROSTATO COLIBRI BARRAQUER EN ALAMBRE PREMATURO"</f>
        <v>BLEFAROSTATO COLIBRI BARRAQUER EN ALAMBRE PREMATURO</v>
      </c>
      <c r="C13573" s="6">
        <v>69600</v>
      </c>
      <c r="D13573" s="5" t="s">
        <v>714</v>
      </c>
      <c r="E13573" s="5" t="str">
        <f t="shared" si="694"/>
        <v>CONSULTORIO 4-CONSULTA EXTERNA</v>
      </c>
      <c r="F13573" s="5"/>
      <c r="G13573" s="5"/>
    </row>
    <row r="13574" spans="1:7" ht="58.5" customHeight="1" x14ac:dyDescent="0.25">
      <c r="A13574" s="5" t="str">
        <f>"H0022680"</f>
        <v>H0022680</v>
      </c>
      <c r="B13574" s="5" t="str">
        <f>"LENTE ABRAHAM PARA LASER"</f>
        <v>LENTE ABRAHAM PARA LASER</v>
      </c>
      <c r="C13574" s="6">
        <v>155100</v>
      </c>
      <c r="D13574" s="5"/>
      <c r="E13574" s="5" t="str">
        <f t="shared" si="694"/>
        <v>CONSULTORIO 4-CONSULTA EXTERNA</v>
      </c>
      <c r="F13574" s="5" t="str">
        <f>"Descripcion: LENTE ABRAHAM PARA LASER Estado: Bueno Placa anterior: 000007085 Material: VIDRIO Y PLASTICO Color: NEGRO Referencia:  Observacion:  Placa padre: Tipo adquisicion: Entidad"</f>
        <v>Descripcion: LENTE ABRAHAM PARA LASER Estado: Bueno Placa anterior: 000007085 Material: VIDRIO Y PLASTICO Color: NEGRO Referencia:  Observacion:  Placa padre: Tipo adquisicion: Entidad</v>
      </c>
      <c r="G13574" s="5"/>
    </row>
    <row r="13575" spans="1:7" ht="58.5" customHeight="1" x14ac:dyDescent="0.25">
      <c r="A13575" s="5" t="str">
        <f>"H0022681"</f>
        <v>H0022681</v>
      </c>
      <c r="B13575" s="5" t="str">
        <f>"LENTE OFT. BINOCULAR"</f>
        <v>LENTE OFT. BINOCULAR</v>
      </c>
      <c r="C13575" s="6">
        <v>205200</v>
      </c>
      <c r="D13575" s="5"/>
      <c r="E13575" s="5" t="str">
        <f t="shared" si="694"/>
        <v>CONSULTORIO 4-CONSULTA EXTERNA</v>
      </c>
      <c r="F13575" s="5" t="str">
        <f>"Descripcion: LENTE OFT.BINOCULAR IND +20 D REF.NIKON + 20 D Estado: Bueno Placa anterior: 000007094 Material: VIDRIO Y PLASTICO Color: NEGRO Referencia:  Observacion:  Placa padre: Tipo adquisicion: Entidad"</f>
        <v>Descripcion: LENTE OFT.BINOCULAR IND +20 D REF.NIKON + 20 D Estado: Bueno Placa anterior: 000007094 Material: VIDRIO Y PLASTICO Color: NEGRO Referencia:  Observacion:  Placa padre: Tipo adquisicion: Entidad</v>
      </c>
      <c r="G13575" s="5"/>
    </row>
    <row r="13576" spans="1:7" ht="58.5" customHeight="1" x14ac:dyDescent="0.25">
      <c r="A13576" s="5" t="str">
        <f>"H0024579"</f>
        <v>H0024579</v>
      </c>
      <c r="B1357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576" s="6">
        <v>2600000</v>
      </c>
      <c r="D13576" s="5" t="s">
        <v>36</v>
      </c>
      <c r="E13576" s="5" t="str">
        <f t="shared" si="694"/>
        <v>CONSULTORIO 4-CONSULTA EXTERNA</v>
      </c>
      <c r="F13576" s="5"/>
      <c r="G13576" s="5"/>
    </row>
    <row r="13577" spans="1:7" ht="58.5" customHeight="1" x14ac:dyDescent="0.25">
      <c r="A13577" s="5" t="str">
        <f>"H0024629"</f>
        <v>H0024629</v>
      </c>
      <c r="B13577"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13577" s="6">
        <v>121800</v>
      </c>
      <c r="D13577" s="5" t="s">
        <v>36</v>
      </c>
      <c r="E13577" s="5" t="str">
        <f t="shared" si="694"/>
        <v>CONSULTORIO 4-CONSULTA EXTERNA</v>
      </c>
      <c r="F13577" s="5"/>
      <c r="G13577" s="5"/>
    </row>
    <row r="13578" spans="1:7" ht="58.5" customHeight="1" x14ac:dyDescent="0.25">
      <c r="A13578" s="5" t="str">
        <f>"H0024630"</f>
        <v>H0024630</v>
      </c>
      <c r="B13578"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13578" s="6">
        <v>121800</v>
      </c>
      <c r="D13578" s="5" t="s">
        <v>715</v>
      </c>
      <c r="E13578" s="5" t="str">
        <f t="shared" si="694"/>
        <v>CONSULTORIO 4-CONSULTA EXTERNA</v>
      </c>
      <c r="F13578" s="5"/>
      <c r="G13578" s="5"/>
    </row>
    <row r="13579" spans="1:7" ht="58.5" customHeight="1" x14ac:dyDescent="0.25">
      <c r="A13579" s="5" t="str">
        <f>"H0025374"</f>
        <v>H0025374</v>
      </c>
      <c r="B1357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579" s="6">
        <v>312156</v>
      </c>
      <c r="D13579" s="5" t="s">
        <v>10</v>
      </c>
      <c r="E13579" s="5" t="str">
        <f t="shared" si="694"/>
        <v>CONSULTORIO 4-CONSULTA EXTERNA</v>
      </c>
      <c r="F13579" s="5"/>
      <c r="G13579" s="5"/>
    </row>
    <row r="13580" spans="1:7" ht="58.5" customHeight="1" x14ac:dyDescent="0.25">
      <c r="A13580" s="5" t="str">
        <f>"H0025677"</f>
        <v>H0025677</v>
      </c>
      <c r="B13580" s="5" t="str">
        <f>"NEGATOSCOPIO"</f>
        <v>NEGATOSCOPIO</v>
      </c>
      <c r="C13580" s="6">
        <v>160437</v>
      </c>
      <c r="D13580" s="5" t="s">
        <v>72</v>
      </c>
      <c r="E13580" s="5" t="str">
        <f t="shared" si="694"/>
        <v>CONSULTORIO 4-CONSULTA EXTERNA</v>
      </c>
      <c r="F13580" s="5"/>
      <c r="G13580" s="5"/>
    </row>
    <row r="13581" spans="1:7" ht="58.5" customHeight="1" x14ac:dyDescent="0.25">
      <c r="A13581" s="5" t="str">
        <f>"H0025761"</f>
        <v>H0025761</v>
      </c>
      <c r="B13581" s="5" t="str">
        <f>"PROYECTOR DE OPTOPTIPOS"</f>
        <v>PROYECTOR DE OPTOPTIPOS</v>
      </c>
      <c r="C13581" s="6">
        <v>6069000</v>
      </c>
      <c r="D13581" s="5" t="s">
        <v>716</v>
      </c>
      <c r="E13581" s="5" t="str">
        <f t="shared" si="694"/>
        <v>CONSULTORIO 4-CONSULTA EXTERNA</v>
      </c>
      <c r="F13581" s="5"/>
      <c r="G13581" s="5"/>
    </row>
    <row r="13582" spans="1:7" ht="58.5" customHeight="1" x14ac:dyDescent="0.25">
      <c r="A13582" s="5" t="str">
        <f>"H0027526"</f>
        <v>H0027526</v>
      </c>
      <c r="B13582" s="5" t="str">
        <f>"LECTOR DE HUELLAS DIGITALES"</f>
        <v>LECTOR DE HUELLAS DIGITALES</v>
      </c>
      <c r="C13582" s="6">
        <v>234000.41</v>
      </c>
      <c r="D13582" s="5" t="s">
        <v>83</v>
      </c>
      <c r="E13582" s="5" t="str">
        <f t="shared" si="694"/>
        <v>CONSULTORIO 4-CONSULTA EXTERNA</v>
      </c>
      <c r="F13582" s="5"/>
      <c r="G13582" s="5"/>
    </row>
    <row r="13583" spans="1:7" ht="58.5" customHeight="1" x14ac:dyDescent="0.25">
      <c r="A13583" s="5" t="str">
        <f>"H0028962"</f>
        <v>H0028962</v>
      </c>
      <c r="B13583" s="5" t="str">
        <f>"SILLA HERGONOMICA CON SISTEMA HIDRAULICO"</f>
        <v>SILLA HERGONOMICA CON SISTEMA HIDRAULICO</v>
      </c>
      <c r="C13583" s="6">
        <v>174900</v>
      </c>
      <c r="D13583" s="5" t="s">
        <v>40</v>
      </c>
      <c r="E13583" s="5" t="str">
        <f t="shared" si="694"/>
        <v>CONSULTORIO 4-CONSULTA EXTERNA</v>
      </c>
      <c r="F13583" s="5"/>
      <c r="G13583" s="5"/>
    </row>
    <row r="13584" spans="1:7" ht="58.5" customHeight="1" x14ac:dyDescent="0.25">
      <c r="A13584" s="5" t="str">
        <f>"H0028963"</f>
        <v>H0028963</v>
      </c>
      <c r="B13584" s="5" t="str">
        <f>"SILLA HERGONOMICA CON SISTEMA HIDRAULICO"</f>
        <v>SILLA HERGONOMICA CON SISTEMA HIDRAULICO</v>
      </c>
      <c r="C13584" s="6">
        <v>174900</v>
      </c>
      <c r="D13584" s="5" t="s">
        <v>40</v>
      </c>
      <c r="E13584" s="5" t="str">
        <f t="shared" si="694"/>
        <v>CONSULTORIO 4-CONSULTA EXTERNA</v>
      </c>
      <c r="F13584" s="5"/>
      <c r="G13584" s="5"/>
    </row>
    <row r="13585" spans="1:7" ht="58.5" customHeight="1" x14ac:dyDescent="0.25">
      <c r="A13585" s="5" t="str">
        <f>"H0030214"</f>
        <v>H0030214</v>
      </c>
      <c r="B13585" s="5" t="str">
        <f>"CAMPIMETRO MODELO FDT MARCA ZEISS"</f>
        <v>CAMPIMETRO MODELO FDT MARCA ZEISS</v>
      </c>
      <c r="C13585" s="6">
        <v>26520000</v>
      </c>
      <c r="D13585" s="5" t="s">
        <v>717</v>
      </c>
      <c r="E13585" s="5" t="str">
        <f t="shared" si="694"/>
        <v>CONSULTORIO 4-CONSULTA EXTERNA</v>
      </c>
      <c r="F13585" s="5"/>
      <c r="G13585" s="5" t="str">
        <f>"710"</f>
        <v>710</v>
      </c>
    </row>
    <row r="13586" spans="1:7" ht="58.5" customHeight="1" x14ac:dyDescent="0.25">
      <c r="A13586" s="5" t="str">
        <f>"H0032899"</f>
        <v>H0032899</v>
      </c>
      <c r="B13586" s="5" t="str">
        <f>"EQUIPO RETCAM OFTAMOLOGICO (DONACION)"</f>
        <v>EQUIPO RETCAM OFTAMOLOGICO (DONACION)</v>
      </c>
      <c r="C13586" s="6">
        <v>379225892.89999998</v>
      </c>
      <c r="D13586" s="5" t="s">
        <v>718</v>
      </c>
      <c r="E13586" s="5" t="str">
        <f t="shared" si="694"/>
        <v>CONSULTORIO 4-CONSULTA EXTERNA</v>
      </c>
      <c r="F13586" s="5"/>
      <c r="G13586" s="5"/>
    </row>
    <row r="13587" spans="1:7" ht="58.5" customHeight="1" x14ac:dyDescent="0.25">
      <c r="A13587" s="5" t="str">
        <f>"H0034085"</f>
        <v>H0034085</v>
      </c>
      <c r="B13587" s="5" t="str">
        <f>"OFTALMO-OTOSCOPIO (DONACION)"</f>
        <v>OFTALMO-OTOSCOPIO (DONACION)</v>
      </c>
      <c r="C13587" s="6">
        <v>850000</v>
      </c>
      <c r="D13587" s="5" t="s">
        <v>330</v>
      </c>
      <c r="E13587" s="5" t="str">
        <f t="shared" si="694"/>
        <v>CONSULTORIO 4-CONSULTA EXTERNA</v>
      </c>
      <c r="F13587" s="5"/>
      <c r="G13587" s="5"/>
    </row>
    <row r="13588" spans="1:7" ht="58.5" customHeight="1" x14ac:dyDescent="0.25">
      <c r="A13588" s="5" t="str">
        <f>"H0036970"</f>
        <v>H0036970</v>
      </c>
      <c r="B13588" s="5" t="str">
        <f>"OFTALMOSCOPIO INDIRECTO INALAMBRICO VANTAGE. Datos de entrada: 100-240V - 50/60Hz"</f>
        <v>OFTALMOSCOPIO INDIRECTO INALAMBRICO VANTAGE. Datos de entrada: 100-240V - 50/60Hz</v>
      </c>
      <c r="C13588" s="6">
        <v>43692311.57</v>
      </c>
      <c r="D13588" s="5" t="s">
        <v>719</v>
      </c>
      <c r="E13588" s="5" t="str">
        <f t="shared" si="694"/>
        <v>CONSULTORIO 4-CONSULTA EXTERNA</v>
      </c>
      <c r="F13588" s="5"/>
      <c r="G13588" s="5"/>
    </row>
    <row r="13589" spans="1:7" ht="58.5" customHeight="1" x14ac:dyDescent="0.25">
      <c r="A13589" s="5" t="str">
        <f>"H0037123"</f>
        <v>H0037123</v>
      </c>
      <c r="B13589" s="5" t="str">
        <f>"TALLIMETRO CAPACIDAD 20-205 CM (DONACION)"</f>
        <v>TALLIMETRO CAPACIDAD 20-205 CM (DONACION)</v>
      </c>
      <c r="C13589" s="6">
        <v>1254705.99</v>
      </c>
      <c r="D13589" s="5" t="s">
        <v>136</v>
      </c>
      <c r="E13589" s="5" t="str">
        <f t="shared" si="694"/>
        <v>CONSULTORIO 4-CONSULTA EXTERNA</v>
      </c>
      <c r="F13589" s="5"/>
      <c r="G13589" s="5"/>
    </row>
    <row r="13590" spans="1:7" ht="58.5" customHeight="1" x14ac:dyDescent="0.25">
      <c r="A13590" s="5" t="str">
        <f>"H0037139"</f>
        <v>H0037139</v>
      </c>
      <c r="B13590" s="5" t="str">
        <f>"TALLIMETRO CAPACIDAD 20-205 CM (DONACION)"</f>
        <v>TALLIMETRO CAPACIDAD 20-205 CM (DONACION)</v>
      </c>
      <c r="C13590" s="6">
        <v>1254705.99</v>
      </c>
      <c r="D13590" s="5" t="s">
        <v>136</v>
      </c>
      <c r="E13590" s="5" t="str">
        <f t="shared" si="694"/>
        <v>CONSULTORIO 4-CONSULTA EXTERNA</v>
      </c>
      <c r="F13590" s="5"/>
      <c r="G13590" s="5"/>
    </row>
    <row r="13591" spans="1:7" ht="58.5" customHeight="1" x14ac:dyDescent="0.25">
      <c r="A13591" s="5" t="str">
        <f>"H0037189"</f>
        <v>H0037189</v>
      </c>
      <c r="B13591" s="5" t="str">
        <f>"BASCULA: Capacidad: 200 kg, División: 100 g &lt; 150 kg &gt; 200 g, Dimensiones (AxAxP):321 x 61 x 362 mm, Peso: 4,1 kg"</f>
        <v>BASCULA: Capacidad: 200 kg, División: 100 g &lt; 150 kg &gt; 200 g, Dimensiones (AxAxP):321 x 61 x 362 mm, Peso: 4,1 kg</v>
      </c>
      <c r="C13591" s="6">
        <v>3588386.01</v>
      </c>
      <c r="D13591" s="5" t="s">
        <v>160</v>
      </c>
      <c r="E13591" s="5" t="str">
        <f t="shared" si="694"/>
        <v>CONSULTORIO 4-CONSULTA EXTERNA</v>
      </c>
      <c r="F13591" s="5"/>
      <c r="G13591" s="5"/>
    </row>
    <row r="13592" spans="1:7" ht="58.5" customHeight="1" x14ac:dyDescent="0.25">
      <c r="A13592" s="5" t="str">
        <f>"H0037206"</f>
        <v>H0037206</v>
      </c>
      <c r="B13592" s="5" t="str">
        <f>"BASCULA: Capacidad: 200 kg, División: 100 g &lt; 150 kg &gt; 200 g, Dimensiones (AxAxP):321 x 61 x 362 mm, Peso: 4,1 kg"</f>
        <v>BASCULA: Capacidad: 200 kg, División: 100 g &lt; 150 kg &gt; 200 g, Dimensiones (AxAxP):321 x 61 x 362 mm, Peso: 4,1 kg</v>
      </c>
      <c r="C13592" s="6">
        <v>3588386.01</v>
      </c>
      <c r="D13592" s="5" t="s">
        <v>160</v>
      </c>
      <c r="E13592" s="5" t="str">
        <f t="shared" si="694"/>
        <v>CONSULTORIO 4-CONSULTA EXTERNA</v>
      </c>
      <c r="F13592" s="5"/>
      <c r="G13592" s="5"/>
    </row>
    <row r="13593" spans="1:7" ht="58.5" customHeight="1" x14ac:dyDescent="0.25">
      <c r="A13593" s="5" t="str">
        <f>"H0037562"</f>
        <v>H0037562</v>
      </c>
      <c r="B13593" s="5" t="str">
        <f>"EQUIPO REGLA BIOMETRICA"</f>
        <v>EQUIPO REGLA BIOMETRICA</v>
      </c>
      <c r="C13593" s="6">
        <v>463867950</v>
      </c>
      <c r="D13593" s="5" t="s">
        <v>720</v>
      </c>
      <c r="E13593" s="5" t="str">
        <f t="shared" si="694"/>
        <v>CONSULTORIO 4-CONSULTA EXTERNA</v>
      </c>
      <c r="F13593" s="5"/>
      <c r="G13593" s="5"/>
    </row>
    <row r="13594" spans="1:7" ht="58.5" customHeight="1" x14ac:dyDescent="0.25">
      <c r="A13594" s="5" t="str">
        <f>"H0000296"</f>
        <v>H0000296</v>
      </c>
      <c r="B13594" s="5" t="str">
        <f>"ESCRITORIO METALICO 3 GAVETAS"</f>
        <v>ESCRITORIO METALICO 3 GAVETAS</v>
      </c>
      <c r="C13594" s="6">
        <v>16526.189999999999</v>
      </c>
      <c r="D13594" s="5"/>
      <c r="E13594" s="5" t="str">
        <f t="shared" ref="E13594:E13603" si="695">"CONSULTORIO 5-CONSULTA EXTERNA"</f>
        <v>CONSULTORIO 5-CONSULTA EXTERNA</v>
      </c>
      <c r="F13594" s="5" t="str">
        <f>"Descripcion: ESCRITORIO METALICO 3 GAVETAS Estado: Bueno Placa anterior: 000005874 Material: METAL Y SUPERFICIE EN FORMICA Color: BEIGE Y MADERA Referencia:  Observacion:  Placa padre: Tipo adquisicion: Entidad"</f>
        <v>Descripcion: ESCRITORIO METALICO 3 GAVETAS Estado: Bueno Placa anterior: 000005874 Material: METAL Y SUPERFICIE EN FORMICA Color: BEIGE Y MADERA Referencia:  Observacion:  Placa padre: Tipo adquisicion: Entidad</v>
      </c>
      <c r="G13594" s="5"/>
    </row>
    <row r="13595" spans="1:7" ht="58.5" customHeight="1" x14ac:dyDescent="0.25">
      <c r="A13595" s="5" t="str">
        <f>"H0000302"</f>
        <v>H0000302</v>
      </c>
      <c r="B13595" s="5" t="str">
        <f>"IMPRESORA LASER"</f>
        <v>IMPRESORA LASER</v>
      </c>
      <c r="C13595" s="6">
        <v>2400000</v>
      </c>
      <c r="D13595" s="5"/>
      <c r="E13595" s="5" t="str">
        <f t="shared" si="695"/>
        <v>CONSULTORIO 5-CONSULTA EXTERNA</v>
      </c>
      <c r="F13595" s="5" t="str">
        <f>"Descripcion: IMPRESORA LASER MARCA HP REF. P3005 DN GRIS Estado: Bueno Placa anterior: 000028827 Material: PASTA Color: GRIS Referencia: PU7815A Observacion:  Placa padre: Tipo adquisicion: Entidad"</f>
        <v>Descripcion: IMPRESORA LASER MARCA HP REF. P3005 DN GRIS Estado: Bueno Placa anterior: 000028827 Material: PASTA Color: GRIS Referencia: PU7815A Observacion:  Placa padre: Tipo adquisicion: Entidad</v>
      </c>
      <c r="G13595" s="5" t="str">
        <f>"P3005DN"</f>
        <v>P3005DN</v>
      </c>
    </row>
    <row r="13596" spans="1:7" ht="58.5" customHeight="1" x14ac:dyDescent="0.25">
      <c r="A13596" s="5" t="str">
        <f>"H0000309"</f>
        <v>H0000309</v>
      </c>
      <c r="B13596" s="5" t="str">
        <f>"ESCRITORIO METALICO 3 GAVETAS"</f>
        <v>ESCRITORIO METALICO 3 GAVETAS</v>
      </c>
      <c r="C13596" s="6">
        <v>16526.25</v>
      </c>
      <c r="D13596" s="5"/>
      <c r="E13596" s="5" t="str">
        <f t="shared" si="695"/>
        <v>CONSULTORIO 5-CONSULTA EXTERNA</v>
      </c>
      <c r="F13596" s="5" t="str">
        <f>"Descripcion: ESCRITORIO METALICO 3 GAVETAS Estado: Bueno Placa anterior: 000005836 Material: METAL Y FORMICA Color: GRIS Y MADERA Referencia:  Observacion:  Placa padre: Tipo adquisicion: Entidad"</f>
        <v>Descripcion: ESCRITORIO METALICO 3 GAVETAS Estado: Bueno Placa anterior: 000005836 Material: METAL Y FORMICA Color: GRIS Y MADERA Referencia:  Observacion:  Placa padre: Tipo adquisicion: Entidad</v>
      </c>
      <c r="G13596" s="5"/>
    </row>
    <row r="13597" spans="1:7" ht="58.5" customHeight="1" x14ac:dyDescent="0.25">
      <c r="A13597" s="5" t="str">
        <f>"H0000313"</f>
        <v>H0000313</v>
      </c>
      <c r="B13597" s="5" t="str">
        <f>"TENSIOMETRO ANEROIDE DE PARED ADULTO"</f>
        <v>TENSIOMETRO ANEROIDE DE PARED ADULTO</v>
      </c>
      <c r="C13597" s="6">
        <v>31179.22</v>
      </c>
      <c r="D13597" s="5"/>
      <c r="E13597" s="5" t="str">
        <f t="shared" si="695"/>
        <v>CONSULTORIO 5-CONSULTA EXTERNA</v>
      </c>
      <c r="F13597" s="5" t="str">
        <f>"Descripcion: TENSIOMETRO DE PARED Estado: Bueno Placa anterior: 000020117 Material: PASTA Color: GRIS Y NEGRO Referencia:  Observacion: AUTORIZADO CONCILIAR EN CRUCE GENERAL Placa padre: Tipo adquisicion: Entidad"</f>
        <v>Descripcion: TENSIOMETRO DE PARED Estado: Bueno Placa anterior: 000020117 Material: PASTA Color: GRIS Y NEGRO Referencia:  Observacion: AUTORIZADO CONCILIAR EN CRUCE GENERAL Placa padre: Tipo adquisicion: Entidad</v>
      </c>
      <c r="G13597" s="5"/>
    </row>
    <row r="13598" spans="1:7" ht="58.5" customHeight="1" x14ac:dyDescent="0.25">
      <c r="A13598" s="5" t="str">
        <f>"H0024608"</f>
        <v>H0024608</v>
      </c>
      <c r="B1359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598" s="6">
        <v>2600000</v>
      </c>
      <c r="D13598" s="5" t="s">
        <v>36</v>
      </c>
      <c r="E13598" s="5" t="str">
        <f t="shared" si="695"/>
        <v>CONSULTORIO 5-CONSULTA EXTERNA</v>
      </c>
      <c r="F13598" s="5"/>
      <c r="G13598" s="5"/>
    </row>
    <row r="13599" spans="1:7" ht="58.5" customHeight="1" x14ac:dyDescent="0.25">
      <c r="A13599" s="5" t="str">
        <f>"H0027527"</f>
        <v>H0027527</v>
      </c>
      <c r="B13599" s="5" t="str">
        <f>"LECTOR DE HUELLAS DIGITALES"</f>
        <v>LECTOR DE HUELLAS DIGITALES</v>
      </c>
      <c r="C13599" s="6">
        <v>234000.41</v>
      </c>
      <c r="D13599" s="5" t="s">
        <v>83</v>
      </c>
      <c r="E13599" s="5" t="str">
        <f t="shared" si="695"/>
        <v>CONSULTORIO 5-CONSULTA EXTERNA</v>
      </c>
      <c r="F13599" s="5"/>
      <c r="G13599" s="5"/>
    </row>
    <row r="13600" spans="1:7" ht="58.5" customHeight="1" x14ac:dyDescent="0.25">
      <c r="A13600" s="5" t="str">
        <f>"H0027528"</f>
        <v>H0027528</v>
      </c>
      <c r="B13600" s="5" t="str">
        <f>"LECTOR DE HUELLAS DIGITALES"</f>
        <v>LECTOR DE HUELLAS DIGITALES</v>
      </c>
      <c r="C13600" s="6">
        <v>234000.41</v>
      </c>
      <c r="D13600" s="5" t="s">
        <v>83</v>
      </c>
      <c r="E13600" s="5" t="str">
        <f t="shared" si="695"/>
        <v>CONSULTORIO 5-CONSULTA EXTERNA</v>
      </c>
      <c r="F13600" s="5"/>
      <c r="G13600" s="5"/>
    </row>
    <row r="13601" spans="1:7" ht="58.5" customHeight="1" x14ac:dyDescent="0.25">
      <c r="A13601" s="5" t="str">
        <f>"H0028964"</f>
        <v>H0028964</v>
      </c>
      <c r="B13601" s="5" t="str">
        <f>"SILLA HERGONOMICA CON SISTEMA HIDRAULICO"</f>
        <v>SILLA HERGONOMICA CON SISTEMA HIDRAULICO</v>
      </c>
      <c r="C13601" s="6">
        <v>174900</v>
      </c>
      <c r="D13601" s="5" t="s">
        <v>40</v>
      </c>
      <c r="E13601" s="5" t="str">
        <f t="shared" si="695"/>
        <v>CONSULTORIO 5-CONSULTA EXTERNA</v>
      </c>
      <c r="F13601" s="5"/>
      <c r="G13601" s="5"/>
    </row>
    <row r="13602" spans="1:7" ht="58.5" customHeight="1" x14ac:dyDescent="0.25">
      <c r="A13602" s="5" t="str">
        <f>"H0031458"</f>
        <v>H0031458</v>
      </c>
      <c r="B1360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3602" s="6">
        <v>3209500</v>
      </c>
      <c r="D13602" s="5" t="s">
        <v>16</v>
      </c>
      <c r="E13602" s="5" t="str">
        <f t="shared" si="695"/>
        <v>CONSULTORIO 5-CONSULTA EXTERNA</v>
      </c>
      <c r="F13602" s="5"/>
      <c r="G13602" s="5"/>
    </row>
    <row r="13603" spans="1:7" ht="58.5" customHeight="1" x14ac:dyDescent="0.25">
      <c r="A13603" s="5" t="str">
        <f>"H0037190"</f>
        <v>H0037190</v>
      </c>
      <c r="B13603" s="5" t="str">
        <f>"BASCULA: Capacidad: 200 kg, División: 100 g &lt; 150 kg &gt; 200 g, Dimensiones (AxAxP):321 x 61 x 362 mm, Peso: 4,1 kg"</f>
        <v>BASCULA: Capacidad: 200 kg, División: 100 g &lt; 150 kg &gt; 200 g, Dimensiones (AxAxP):321 x 61 x 362 mm, Peso: 4,1 kg</v>
      </c>
      <c r="C13603" s="6">
        <v>3588386.01</v>
      </c>
      <c r="D13603" s="5" t="s">
        <v>160</v>
      </c>
      <c r="E13603" s="5" t="str">
        <f t="shared" si="695"/>
        <v>CONSULTORIO 5-CONSULTA EXTERNA</v>
      </c>
      <c r="F13603" s="5"/>
      <c r="G13603" s="5"/>
    </row>
    <row r="13604" spans="1:7" ht="58.5" customHeight="1" x14ac:dyDescent="0.25">
      <c r="A13604" s="5" t="str">
        <f>"B0000246"</f>
        <v>B0000246</v>
      </c>
      <c r="B13604" s="5" t="str">
        <f>"EQUIPO ORGANOS DE LOS SENTIDOS PORTATIL"</f>
        <v>EQUIPO ORGANOS DE LOS SENTIDOS PORTATIL</v>
      </c>
      <c r="C13604" s="6">
        <v>928000</v>
      </c>
      <c r="D13604" s="5"/>
      <c r="E13604" s="5" t="str">
        <f t="shared" ref="E13604:E13635" si="696">"CONSULTORIO 6-CONSULTA EXTERNA"</f>
        <v>CONSULTORIO 6-CONSULTA EXTERNA</v>
      </c>
      <c r="F13604" s="5" t="str">
        <f>"Descripcion:EQUIPO ORGANO DE LOS SENTIDOS, 2 PIEZAS OTOSCOPIO Y OFTALMOSCOPIO Estado: Excelente Placa anterior: 000039061 Material: PASTA Y CAUCHO Color: NEGRO Referencia:  Observacion:  Placa padre:  Tipo adquisicion : Entidad"</f>
        <v>Descripcion:EQUIPO ORGANO DE LOS SENTIDOS, 2 PIEZAS OTOSCOPIO Y OFTALMOSCOPIO Estado: Excelente Placa anterior: 000039061 Material: PASTA Y CAUCHO Color: NEGRO Referencia:  Observacion:  Placa padre:  Tipo adquisicion : Entidad</v>
      </c>
      <c r="G13604" s="5" t="str">
        <f>"92871-BLK"</f>
        <v>92871-BLK</v>
      </c>
    </row>
    <row r="13605" spans="1:7" ht="58.5" customHeight="1" x14ac:dyDescent="0.25">
      <c r="A13605" s="5" t="str">
        <f>"B0000601"</f>
        <v>B0000601</v>
      </c>
      <c r="B13605" s="5" t="str">
        <f>"PINZA PARA BIOPSIA - CANULA"</f>
        <v>PINZA PARA BIOPSIA - CANULA</v>
      </c>
      <c r="C13605" s="6">
        <v>247767</v>
      </c>
      <c r="D13605" s="5"/>
      <c r="E13605" s="5" t="str">
        <f t="shared" si="696"/>
        <v>CONSULTORIO 6-CONSULTA EXTERNA</v>
      </c>
      <c r="F13605" s="5" t="str">
        <f>"Descripcion: PINZA SACABOCAS PARA BIOPSIA Estado: Excelente Placa anterior: 000006540 Material:  ACERO INOXIDABLE Color:  Referencia:  Observacion:  Placa padre: Tipo adquisicion: Entidad"</f>
        <v>Descripcion: PINZA SACABOCAS PARA BIOPSIA Estado: Excelente Placa anterior: 000006540 Material:  ACERO INOXIDABLE Color:  Referencia:  Observacion:  Placa padre: Tipo adquisicion: Entidad</v>
      </c>
      <c r="G13605" s="5"/>
    </row>
    <row r="13606" spans="1:7" ht="58.5" customHeight="1" x14ac:dyDescent="0.25">
      <c r="A13606" s="5" t="str">
        <f>"B0000602"</f>
        <v>B0000602</v>
      </c>
      <c r="B13606" s="5" t="str">
        <f>"PINZA PARA BIOPSIA - CANULA"</f>
        <v>PINZA PARA BIOPSIA - CANULA</v>
      </c>
      <c r="C13606" s="6">
        <v>247767</v>
      </c>
      <c r="D13606" s="5"/>
      <c r="E13606" s="5" t="str">
        <f t="shared" si="696"/>
        <v>CONSULTORIO 6-CONSULTA EXTERNA</v>
      </c>
      <c r="F13606" s="5" t="str">
        <f>"Descripcion: PINZA SACABOCAS PARA BIOPSIA Estado: Excelente Placa anterior: 000006541 Material:  ACERO INOXIDABLE Color:  Referencia:  Observacion:  Placa padre: Tipo adquisicion: Entidad"</f>
        <v>Descripcion: PINZA SACABOCAS PARA BIOPSIA Estado: Excelente Placa anterior: 000006541 Material:  ACERO INOXIDABLE Color:  Referencia:  Observacion:  Placa padre: Tipo adquisicion: Entidad</v>
      </c>
      <c r="G13606" s="5"/>
    </row>
    <row r="13607" spans="1:7" ht="58.5" customHeight="1" x14ac:dyDescent="0.25">
      <c r="A13607" s="5" t="str">
        <f>"B0000603"</f>
        <v>B0000603</v>
      </c>
      <c r="B13607" s="5" t="str">
        <f>"PINZA DE CURACION"</f>
        <v>PINZA DE CURACION</v>
      </c>
      <c r="C13607" s="6">
        <v>32816</v>
      </c>
      <c r="D13607" s="5"/>
      <c r="E13607" s="5" t="str">
        <f t="shared" si="696"/>
        <v>CONSULTORIO 6-CONSULTA EXTERNA</v>
      </c>
      <c r="F13607" s="5" t="str">
        <f>"Descripcion: PINZA BOZEMAN PARA CURACIONES Estado: Excelente Placa anterior: 000006503 Material:  ACERO INOXIDABLE Color:  Referencia:  Observacion:  Placa padre: Tipo adquisicion: Entidad"</f>
        <v>Descripcion: PINZA BOZEMAN PARA CURACIONES Estado: Excelente Placa anterior: 000006503 Material:  ACERO INOXIDABLE Color:  Referencia:  Observacion:  Placa padre: Tipo adquisicion: Entidad</v>
      </c>
      <c r="G13607" s="5"/>
    </row>
    <row r="13608" spans="1:7" ht="58.5" customHeight="1" x14ac:dyDescent="0.25">
      <c r="A13608" s="5" t="str">
        <f>"B0000604"</f>
        <v>B0000604</v>
      </c>
      <c r="B13608" s="5" t="str">
        <f>"PINZA DE CURACION"</f>
        <v>PINZA DE CURACION</v>
      </c>
      <c r="C13608" s="6">
        <v>32816</v>
      </c>
      <c r="D13608" s="5"/>
      <c r="E13608" s="5" t="str">
        <f t="shared" si="696"/>
        <v>CONSULTORIO 6-CONSULTA EXTERNA</v>
      </c>
      <c r="F13608" s="5" t="str">
        <f>"Descripcion: PINZA BOZEMAN PARA CURACIONES Estado: Excelente Placa anterior: 000006504 Material: ACERO INOXIDABLE Color:  Referencia:  Observacion:  Placa padre: Tipo adquisicion: Entidad"</f>
        <v>Descripcion: PINZA BOZEMAN PARA CURACIONES Estado: Excelente Placa anterior: 000006504 Material: ACERO INOXIDABLE Color:  Referencia:  Observacion:  Placa padre: Tipo adquisicion: Entidad</v>
      </c>
      <c r="G13608" s="5"/>
    </row>
    <row r="13609" spans="1:7" ht="58.5" customHeight="1" x14ac:dyDescent="0.25">
      <c r="A13609" s="5" t="str">
        <f>"B0000605"</f>
        <v>B0000605</v>
      </c>
      <c r="B13609" s="5" t="str">
        <f>"PINZA DE CURACION"</f>
        <v>PINZA DE CURACION</v>
      </c>
      <c r="C13609" s="6">
        <v>32816</v>
      </c>
      <c r="D13609" s="5"/>
      <c r="E13609" s="5" t="str">
        <f t="shared" si="696"/>
        <v>CONSULTORIO 6-CONSULTA EXTERNA</v>
      </c>
      <c r="F13609" s="5" t="str">
        <f>"Descripcion: PINZA BOZEMAN PARA CURACIONES Estado: Excelente Placa anterior: 000006505 Material: ACERO INOXIDABLE Color:  Referencia:  Observacion:  Placa padre: Tipo adquisicion: Entidad"</f>
        <v>Descripcion: PINZA BOZEMAN PARA CURACIONES Estado: Excelente Placa anterior: 000006505 Material: ACERO INOXIDABLE Color:  Referencia:  Observacion:  Placa padre: Tipo adquisicion: Entidad</v>
      </c>
      <c r="G13609" s="5"/>
    </row>
    <row r="13610" spans="1:7" ht="58.5" customHeight="1" x14ac:dyDescent="0.25">
      <c r="A13610" s="5" t="str">
        <f>"B0000606"</f>
        <v>B0000606</v>
      </c>
      <c r="B13610" s="5" t="str">
        <f>"PINZA CUELLO UTERINO"</f>
        <v>PINZA CUELLO UTERINO</v>
      </c>
      <c r="C13610" s="6">
        <v>26587</v>
      </c>
      <c r="D13610" s="5"/>
      <c r="E13610" s="5" t="str">
        <f t="shared" si="696"/>
        <v>CONSULTORIO 6-CONSULTA EXTERNA</v>
      </c>
      <c r="F13610" s="5" t="str">
        <f>"Descripcion: PINZA CUELLO UTERINO SCHOEDER O TENACULO Estado: Excelente Placa anterior: 000006532 Material: ACERO INOXIDABLE Color:  Referencia:  Observacion:  Placa padre: Tipo adquisicion: Entidad"</f>
        <v>Descripcion: PINZA CUELLO UTERINO SCHOEDER O TENACULO Estado: Excelente Placa anterior: 000006532 Material: ACERO INOXIDABLE Color:  Referencia:  Observacion:  Placa padre: Tipo adquisicion: Entidad</v>
      </c>
      <c r="G13610" s="5"/>
    </row>
    <row r="13611" spans="1:7" ht="58.5" customHeight="1" x14ac:dyDescent="0.25">
      <c r="A13611" s="5" t="str">
        <f>"B0000607"</f>
        <v>B0000607</v>
      </c>
      <c r="B13611" s="5" t="str">
        <f>"PINZA CUELLO UTERINO"</f>
        <v>PINZA CUELLO UTERINO</v>
      </c>
      <c r="C13611" s="6">
        <v>26587</v>
      </c>
      <c r="D13611" s="5"/>
      <c r="E13611" s="5" t="str">
        <f t="shared" si="696"/>
        <v>CONSULTORIO 6-CONSULTA EXTERNA</v>
      </c>
      <c r="F13611" s="5" t="str">
        <f>"Descripcion: PINZA CUELLO UTERINO SCHOEDER O TENACULO Estado: Excelente Placa anterior: 000006533 Material:  ACERO INOXIDABLE Color:  Referencia:  Observacion:  Placa padre: Tipo adquisicion: Entidad"</f>
        <v>Descripcion: PINZA CUELLO UTERINO SCHOEDER O TENACULO Estado: Excelente Placa anterior: 000006533 Material:  ACERO INOXIDABLE Color:  Referencia:  Observacion:  Placa padre: Tipo adquisicion: Entidad</v>
      </c>
      <c r="G13611" s="5"/>
    </row>
    <row r="13612" spans="1:7" ht="58.5" customHeight="1" x14ac:dyDescent="0.25">
      <c r="A13612" s="5" t="str">
        <f>"B0000608"</f>
        <v>B0000608</v>
      </c>
      <c r="B13612" s="5" t="str">
        <f>"PINZA CUELLO UTERINO"</f>
        <v>PINZA CUELLO UTERINO</v>
      </c>
      <c r="C13612" s="6">
        <v>26587</v>
      </c>
      <c r="D13612" s="5"/>
      <c r="E13612" s="5" t="str">
        <f t="shared" si="696"/>
        <v>CONSULTORIO 6-CONSULTA EXTERNA</v>
      </c>
      <c r="F13612" s="5" t="str">
        <f>"Descripcion: PINZA CUELLO UTERINO SCHOEDER O TENACULO Estado: Excelente Placa anterior: 000006534 Material:  ACERO INOXIDABLE Color:  Referencia:  Observacion:  Placa padre: Tipo adquisicion: Entidad"</f>
        <v>Descripcion: PINZA CUELLO UTERINO SCHOEDER O TENACULO Estado: Excelente Placa anterior: 000006534 Material:  ACERO INOXIDABLE Color:  Referencia:  Observacion:  Placa padre: Tipo adquisicion: Entidad</v>
      </c>
      <c r="G13612" s="5"/>
    </row>
    <row r="13613" spans="1:7" ht="58.5" customHeight="1" x14ac:dyDescent="0.25">
      <c r="A13613" s="5" t="str">
        <f>"B0000609"</f>
        <v>B0000609</v>
      </c>
      <c r="B13613" s="5" t="str">
        <f>"TIJERA MAYO RECTA"</f>
        <v>TIJERA MAYO RECTA</v>
      </c>
      <c r="C13613" s="6">
        <v>13395</v>
      </c>
      <c r="D13613" s="5"/>
      <c r="E13613" s="5" t="str">
        <f t="shared" si="696"/>
        <v>CONSULTORIO 6-CONSULTA EXTERNA</v>
      </c>
      <c r="F13613" s="5" t="str">
        <f>"Descripcion: TIJERA DE MAYO RECTA Estado: Excelente Placa anterior: 000006546 Material: ACERO INOXIDABLE Color:  Referencia: MILTEX 5-128 Observacion:  Placa padre: Tipo adquisicion: Entidad"</f>
        <v>Descripcion: TIJERA DE MAYO RECTA Estado: Excelente Placa anterior: 000006546 Material: ACERO INOXIDABLE Color:  Referencia: MILTEX 5-128 Observacion:  Placa padre: Tipo adquisicion: Entidad</v>
      </c>
      <c r="G13613" s="5"/>
    </row>
    <row r="13614" spans="1:7" ht="58.5" customHeight="1" x14ac:dyDescent="0.25">
      <c r="A13614" s="5" t="str">
        <f>"B0000612"</f>
        <v>B0000612</v>
      </c>
      <c r="B13614" s="5" t="str">
        <f>"CURETA GINECOLOGICA"</f>
        <v>CURETA GINECOLOGICA</v>
      </c>
      <c r="C13614" s="6">
        <v>18487</v>
      </c>
      <c r="D13614" s="5"/>
      <c r="E13614" s="5" t="str">
        <f t="shared" si="696"/>
        <v>CONSULTORIO 6-CONSULTA EXTERNA</v>
      </c>
      <c r="F13614" s="5" t="str">
        <f>"Descripcion: CURETA ASPIRADORA P/BIOPSIA UTERINA DE NAVK Estado: Excelente Placa anterior: 000006418 Material: ACERO INOXIDABLE Color:  Referencia:  Observacion:  Placa padre: Tipo adquisicion: Entidad"</f>
        <v>Descripcion: CURETA ASPIRADORA P/BIOPSIA UTERINA DE NAVK Estado: Excelente Placa anterior: 000006418 Material: ACERO INOXIDABLE Color:  Referencia:  Observacion:  Placa padre: Tipo adquisicion: Entidad</v>
      </c>
      <c r="G13614" s="5"/>
    </row>
    <row r="13615" spans="1:7" ht="58.5" customHeight="1" x14ac:dyDescent="0.25">
      <c r="A13615" s="5" t="str">
        <f>"B0000613"</f>
        <v>B0000613</v>
      </c>
      <c r="B13615" s="5" t="str">
        <f>"CURETA GINECOLOGICA"</f>
        <v>CURETA GINECOLOGICA</v>
      </c>
      <c r="C13615" s="6">
        <v>18487</v>
      </c>
      <c r="D13615" s="5"/>
      <c r="E13615" s="5" t="str">
        <f t="shared" si="696"/>
        <v>CONSULTORIO 6-CONSULTA EXTERNA</v>
      </c>
      <c r="F13615" s="5" t="str">
        <f>"Descripcion: CURETA ASPIRADORA P/BIOPSIA UTERINA DE NAVK Estado: Excelente Placa anterior: 000006419 Material: ACERO INOXIDABLE Color:  Referencia:  Observacion:  Placa padre: Tipo adquisicion: Entidad"</f>
        <v>Descripcion: CURETA ASPIRADORA P/BIOPSIA UTERINA DE NAVK Estado: Excelente Placa anterior: 000006419 Material: ACERO INOXIDABLE Color:  Referencia:  Observacion:  Placa padre: Tipo adquisicion: Entidad</v>
      </c>
      <c r="G13615" s="5"/>
    </row>
    <row r="13616" spans="1:7" ht="58.5" customHeight="1" x14ac:dyDescent="0.25">
      <c r="A13616" s="5" t="str">
        <f>"B0005305"</f>
        <v>B0005305</v>
      </c>
      <c r="B13616" s="5" t="str">
        <f>"ESPECULO VAGINAL TALLA L (ENDOCERVICAL)"</f>
        <v>ESPECULO VAGINAL TALLA L (ENDOCERVICAL)</v>
      </c>
      <c r="C13616" s="6">
        <v>114240</v>
      </c>
      <c r="D13616" s="5"/>
      <c r="E13616" s="5" t="str">
        <f t="shared" si="696"/>
        <v>CONSULTORIO 6-CONSULTA EXTERNA</v>
      </c>
      <c r="F13616" s="5" t="str">
        <f>"Descripcion: ESPECULO ENDOCERVICAL EURO MOD.66-436 Estado: Bueno Placa anterior: 000006489 Material: ACERO INOXIDABLE Color: PLATEADO Referencia:  Observacion:  Placa padre: Tipo adquisicion: Entidad"</f>
        <v>Descripcion: ESPECULO ENDOCERVICAL EURO MOD.66-436 Estado: Bueno Placa anterior: 000006489 Material: ACERO INOXIDABLE Color: PLATEADO Referencia:  Observacion:  Placa padre: Tipo adquisicion: Entidad</v>
      </c>
      <c r="G13616" s="5"/>
    </row>
    <row r="13617" spans="1:7" ht="58.5" customHeight="1" x14ac:dyDescent="0.25">
      <c r="A13617" s="5" t="str">
        <f>"B0005306"</f>
        <v>B0005306</v>
      </c>
      <c r="B13617" s="5" t="str">
        <f>"MESA (CARRO) DE CURACIONES"</f>
        <v>MESA (CARRO) DE CURACIONES</v>
      </c>
      <c r="C13617" s="6">
        <v>6952</v>
      </c>
      <c r="D13617" s="5"/>
      <c r="E13617" s="5" t="str">
        <f t="shared" si="696"/>
        <v>CONSULTORIO 6-CONSULTA EXTERNA</v>
      </c>
      <c r="F13617" s="5" t="str">
        <f>"Descripcion: MESA AUXILIAR TIPO CARRO C/BARANDAS Y RODACHINES Estado: Bueno Placa anterior: 000005883 Material: ACERO INOXIDABLE Color: PLATEADO Referencia:  Observacion:  Placa padre: Tipo adquisicion: Entidad"</f>
        <v>Descripcion: MESA AUXILIAR TIPO CARRO C/BARANDAS Y RODACHINES Estado: Bueno Placa anterior: 000005883 Material: ACERO INOXIDABLE Color: PLATEADO Referencia:  Observacion:  Placa padre: Tipo adquisicion: Entidad</v>
      </c>
      <c r="G13617" s="5"/>
    </row>
    <row r="13618" spans="1:7" ht="58.5" customHeight="1" x14ac:dyDescent="0.25">
      <c r="A13618" s="5" t="str">
        <f>"B0005307"</f>
        <v>B0005307</v>
      </c>
      <c r="B13618" s="5" t="str">
        <f>"PINZA DE CURACION"</f>
        <v>PINZA DE CURACION</v>
      </c>
      <c r="C13618" s="6">
        <v>32816</v>
      </c>
      <c r="D13618" s="5"/>
      <c r="E13618" s="5" t="str">
        <f t="shared" si="696"/>
        <v>CONSULTORIO 6-CONSULTA EXTERNA</v>
      </c>
      <c r="F13618" s="5" t="str">
        <f>"Descripcion: PINZA BOZEMAN PARA CURACIONES Estado: Bueno Placa anterior: 000006506 Material: ACERO INOXIDABLE Color: PLATEADO Referencia:  Observacion:  Placa padre: Tipo adquisicion: Entidad"</f>
        <v>Descripcion: PINZA BOZEMAN PARA CURACIONES Estado: Bueno Placa anterior: 000006506 Material: ACERO INOXIDABLE Color: PLATEADO Referencia:  Observacion:  Placa padre: Tipo adquisicion: Entidad</v>
      </c>
      <c r="G13618" s="5"/>
    </row>
    <row r="13619" spans="1:7" ht="58.5" customHeight="1" x14ac:dyDescent="0.25">
      <c r="A13619" s="5" t="str">
        <f>"B0005308"</f>
        <v>B0005308</v>
      </c>
      <c r="B13619" s="5" t="str">
        <f>"PINZA DE CURACION"</f>
        <v>PINZA DE CURACION</v>
      </c>
      <c r="C13619" s="6">
        <v>32816</v>
      </c>
      <c r="D13619" s="5"/>
      <c r="E13619" s="5" t="str">
        <f t="shared" si="696"/>
        <v>CONSULTORIO 6-CONSULTA EXTERNA</v>
      </c>
      <c r="F13619" s="5" t="str">
        <f>"Descripcion: PINZA BOZEMAN PARA CURACIONES Estado: Bueno Placa anterior: 000006507 Material: ACERO INOXIDABLE Color: PLATEADO Referencia:  Observacion: SE ENCUENTRA CONSULTORIO 18 Placa padre: Tipo adquisicion: Entidad"</f>
        <v>Descripcion: PINZA BOZEMAN PARA CURACIONES Estado: Bueno Placa anterior: 000006507 Material: ACERO INOXIDABLE Color: PLATEADO Referencia:  Observacion: SE ENCUENTRA CONSULTORIO 18 Placa padre: Tipo adquisicion: Entidad</v>
      </c>
      <c r="G13619" s="5"/>
    </row>
    <row r="13620" spans="1:7" ht="58.5" customHeight="1" x14ac:dyDescent="0.25">
      <c r="A13620" s="5" t="str">
        <f>"H0000660"</f>
        <v>H0000660</v>
      </c>
      <c r="B13620" s="5" t="str">
        <f>"POTE (TARRO) ACERO INXODABLE CON TAPA MEDIANO"</f>
        <v>POTE (TARRO) ACERO INXODABLE CON TAPA MEDIANO</v>
      </c>
      <c r="C13620" s="6">
        <v>6080.56</v>
      </c>
      <c r="D13620" s="5"/>
      <c r="E13620" s="5" t="str">
        <f t="shared" si="696"/>
        <v>CONSULTORIO 6-CONSULTA EXTERNA</v>
      </c>
      <c r="F13620" s="5" t="str">
        <f>"Descripcion: ALTXDIAM 15X12 Estado: Excelente Placa anterior: 000005169 Material: ACERO INOXIDABLE Color:  Referencia:  Observacion:  Placa padre: Tipo adquisicion: Entidad"</f>
        <v>Descripcion: ALTXDIAM 15X12 Estado: Excelente Placa anterior: 000005169 Material: ACERO INOXIDABLE Color:  Referencia:  Observacion:  Placa padre: Tipo adquisicion: Entidad</v>
      </c>
      <c r="G13620" s="5"/>
    </row>
    <row r="13621" spans="1:7" ht="58.5" customHeight="1" x14ac:dyDescent="0.25">
      <c r="A13621" s="5" t="str">
        <f>"H0000661"</f>
        <v>H0000661</v>
      </c>
      <c r="B13621" s="5" t="str">
        <f>"POTE (TARRO) ACERO INXODABLE CON TAPA MEDIANO"</f>
        <v>POTE (TARRO) ACERO INXODABLE CON TAPA MEDIANO</v>
      </c>
      <c r="C13621" s="6">
        <v>6080.56</v>
      </c>
      <c r="D13621" s="5"/>
      <c r="E13621" s="5" t="str">
        <f t="shared" si="696"/>
        <v>CONSULTORIO 6-CONSULTA EXTERNA</v>
      </c>
      <c r="F13621" s="5" t="str">
        <f>"Descripcion: ALTXDIAM 15X10 Estado: Excelente Placa anterior: 000005168 Material: ACERO INOXIDABLE Color:  Referencia:  Observacion:  Placa padre: Tipo adquisicion: Entidad"</f>
        <v>Descripcion: ALTXDIAM 15X10 Estado: Excelente Placa anterior: 000005168 Material: ACERO INOXIDABLE Color:  Referencia:  Observacion:  Placa padre: Tipo adquisicion: Entidad</v>
      </c>
      <c r="G13621" s="5"/>
    </row>
    <row r="13622" spans="1:7" ht="58.5" customHeight="1" x14ac:dyDescent="0.25">
      <c r="A13622" s="5" t="str">
        <f>"H0000663"</f>
        <v>H0000663</v>
      </c>
      <c r="B13622" s="5" t="str">
        <f>"POTE (TARRO) ACERO INXODABLE CON TAPA MEDIANO"</f>
        <v>POTE (TARRO) ACERO INXODABLE CON TAPA MEDIANO</v>
      </c>
      <c r="C13622" s="6">
        <v>6080.56</v>
      </c>
      <c r="D13622" s="5"/>
      <c r="E13622" s="5" t="str">
        <f t="shared" si="696"/>
        <v>CONSULTORIO 6-CONSULTA EXTERNA</v>
      </c>
      <c r="F13622" s="5" t="str">
        <f>"Descripcion: ALTXDIAM 20X12 Estado: Excelente Placa anterior: 000005170 Material:  ACERO INOXIDABLE Color:  Referencia:  Observacion:  Placa padre: Tipo adquisicion: Entidad"</f>
        <v>Descripcion: ALTXDIAM 20X12 Estado: Excelente Placa anterior: 000005170 Material:  ACERO INOXIDABLE Color:  Referencia:  Observacion:  Placa padre: Tipo adquisicion: Entidad</v>
      </c>
      <c r="G13622" s="5"/>
    </row>
    <row r="13623" spans="1:7" ht="58.5" customHeight="1" x14ac:dyDescent="0.25">
      <c r="A13623" s="5" t="str">
        <f>"H0000664"</f>
        <v>H0000664</v>
      </c>
      <c r="B13623" s="5" t="str">
        <f>"POTE (TARRO) ACERO INXODABLE CON TAPA MEDIANO"</f>
        <v>POTE (TARRO) ACERO INXODABLE CON TAPA MEDIANO</v>
      </c>
      <c r="C13623" s="6">
        <v>7405.69</v>
      </c>
      <c r="D13623" s="5"/>
      <c r="E13623" s="5" t="str">
        <f t="shared" si="696"/>
        <v>CONSULTORIO 6-CONSULTA EXTERNA</v>
      </c>
      <c r="F13623" s="5" t="str">
        <f>"Descripcion: ALTXDIAM 6X10 Estado: Excelente Placa anterior: 000005811 Material: ACERO INOXIDABLE Color:  Referencia:  Observacion:  Placa padre: Tipo adquisicion: Entidad"</f>
        <v>Descripcion: ALTXDIAM 6X10 Estado: Excelente Placa anterior: 000005811 Material: ACERO INOXIDABLE Color:  Referencia:  Observacion:  Placa padre: Tipo adquisicion: Entidad</v>
      </c>
      <c r="G13623" s="5"/>
    </row>
    <row r="13624" spans="1:7" ht="58.5" customHeight="1" x14ac:dyDescent="0.25">
      <c r="A13624" s="5" t="str">
        <f>"H0000665"</f>
        <v>H0000665</v>
      </c>
      <c r="B13624" s="5" t="str">
        <f>"CUBETA DE ACERO INOXIDABLE CON TAPA MEDIANA"</f>
        <v>CUBETA DE ACERO INOXIDABLE CON TAPA MEDIANA</v>
      </c>
      <c r="C13624" s="6">
        <v>10010</v>
      </c>
      <c r="D13624" s="5"/>
      <c r="E13624" s="5" t="str">
        <f t="shared" si="696"/>
        <v>CONSULTORIO 6-CONSULTA EXTERNA</v>
      </c>
      <c r="F13624" s="5" t="str">
        <f>"Descripcion: CON TAPA 4X33 Estado: Excelente Placa anterior: 000005147 Material: ACERO INOXIDABLE Color:  Referencia:  Observacion:  Placa padre: Tipo adquisicion: Entidad"</f>
        <v>Descripcion: CON TAPA 4X33 Estado: Excelente Placa anterior: 000005147 Material: ACERO INOXIDABLE Color:  Referencia:  Observacion:  Placa padre: Tipo adquisicion: Entidad</v>
      </c>
      <c r="G13624" s="5"/>
    </row>
    <row r="13625" spans="1:7" ht="58.5" customHeight="1" x14ac:dyDescent="0.25">
      <c r="A13625" s="5" t="str">
        <f>"H0000667"</f>
        <v>H0000667</v>
      </c>
      <c r="B13625" s="5" t="str">
        <f>"CUBETA DE ACERO INOXIDABLE CON TAPA GRANDE"</f>
        <v>CUBETA DE ACERO INOXIDABLE CON TAPA GRANDE</v>
      </c>
      <c r="C13625" s="6">
        <v>16500</v>
      </c>
      <c r="D13625" s="5"/>
      <c r="E13625" s="5" t="str">
        <f t="shared" si="696"/>
        <v>CONSULTORIO 6-CONSULTA EXTERNA</v>
      </c>
      <c r="F13625" s="5" t="str">
        <f>"Descripcion: CON TAPA 5X46 Estado: Excelente Placa anterior: 000005146 Material: ACERO INOXIDABLE Color:  Referencia:  Observacion:  Placa padre: Tipo adquisicion: Entidad"</f>
        <v>Descripcion: CON TAPA 5X46 Estado: Excelente Placa anterior: 000005146 Material: ACERO INOXIDABLE Color:  Referencia:  Observacion:  Placa padre: Tipo adquisicion: Entidad</v>
      </c>
      <c r="G13625" s="5"/>
    </row>
    <row r="13626" spans="1:7" ht="58.5" customHeight="1" x14ac:dyDescent="0.25">
      <c r="A13626" s="5" t="str">
        <f>"H0000668"</f>
        <v>H0000668</v>
      </c>
      <c r="B13626" s="5" t="str">
        <f>"TELEVISOR LCD 32"</f>
        <v>TELEVISOR LCD 32</v>
      </c>
      <c r="C13626" s="6">
        <v>1045000</v>
      </c>
      <c r="D13626" s="5" t="s">
        <v>521</v>
      </c>
      <c r="E13626" s="5" t="str">
        <f t="shared" si="696"/>
        <v>CONSULTORIO 6-CONSULTA EXTERNA</v>
      </c>
      <c r="F13626" s="5" t="str">
        <f>"Descripcion: TELEVISOR Estado: Excelente Placa anterior: 000038158 Material: PLASTICO Color: NEGRO Referencia: LED TV-4000 Observacion:  Placa padre: Tipo adquisicion: Entidad"</f>
        <v>Descripcion: TELEVISOR Estado: Excelente Placa anterior: 000038158 Material: PLASTICO Color: NEGRO Referencia: LED TV-4000 Observacion:  Placa padre: Tipo adquisicion: Entidad</v>
      </c>
      <c r="G13626" s="5" t="str">
        <f>"UN32J4000AKXZL"</f>
        <v>UN32J4000AKXZL</v>
      </c>
    </row>
    <row r="13627" spans="1:7" ht="58.5" customHeight="1" x14ac:dyDescent="0.25">
      <c r="A13627" s="5" t="str">
        <f>"H0000670"</f>
        <v>H0000670</v>
      </c>
      <c r="B13627" s="5" t="str">
        <f>"RIÑONERA HOSPITALARIA EN ACERO INOXIDABLE"</f>
        <v>RIÑONERA HOSPITALARIA EN ACERO INOXIDABLE</v>
      </c>
      <c r="C13627" s="6">
        <v>1876.45</v>
      </c>
      <c r="D13627" s="5"/>
      <c r="E13627" s="5" t="str">
        <f t="shared" si="696"/>
        <v>CONSULTORIO 6-CONSULTA EXTERNA</v>
      </c>
      <c r="F13627" s="5" t="str">
        <f>"Descripcion: . Estado: Excelente Placa anterior: 000005825 Material: ACERO INOXIDABLE Color:  Referencia:  Observacion: EL BIEN TIENE PLACA ANTERIOR   000005825 Placa padre: Tipo adquisicion: Entidad"</f>
        <v>Descripcion: . Estado: Excelente Placa anterior: 000005825 Material: ACERO INOXIDABLE Color:  Referencia:  Observacion: EL BIEN TIENE PLACA ANTERIOR   000005825 Placa padre: Tipo adquisicion: Entidad</v>
      </c>
      <c r="G13627" s="5"/>
    </row>
    <row r="13628" spans="1:7" ht="58.5" customHeight="1" x14ac:dyDescent="0.25">
      <c r="A13628" s="5" t="str">
        <f>"H0000671"</f>
        <v>H0000671</v>
      </c>
      <c r="B13628" s="5" t="str">
        <f>"JARRA EN ACERO INOXIDABLE MEDIANA"</f>
        <v>JARRA EN ACERO INOXIDABLE MEDIANA</v>
      </c>
      <c r="C13628" s="6">
        <v>4275</v>
      </c>
      <c r="D13628" s="5"/>
      <c r="E13628" s="5" t="str">
        <f t="shared" si="696"/>
        <v>CONSULTORIO 6-CONSULTA EXTERNA</v>
      </c>
      <c r="F13628" s="5" t="str">
        <f>"Descripcion: JARRA NIQUELADA MEDIANA Estado: Excelente Placa anterior: 000005166 Material: ACERO INOXIDABLE Color:  Referencia:  Observacion:  Placa padre: Tipo adquisicion: Entidad"</f>
        <v>Descripcion: JARRA NIQUELADA MEDIANA Estado: Excelente Placa anterior: 000005166 Material: ACERO INOXIDABLE Color:  Referencia:  Observacion:  Placa padre: Tipo adquisicion: Entidad</v>
      </c>
      <c r="G13628" s="5"/>
    </row>
    <row r="13629" spans="1:7" ht="58.5" customHeight="1" x14ac:dyDescent="0.25">
      <c r="A13629" s="5" t="str">
        <f>"H0000672"</f>
        <v>H0000672</v>
      </c>
      <c r="B13629" s="5" t="str">
        <f>"ESCALERILLA DE 2 PASOS"</f>
        <v>ESCALERILLA DE 2 PASOS</v>
      </c>
      <c r="C13629" s="6">
        <v>4826.4799999999996</v>
      </c>
      <c r="D13629" s="5"/>
      <c r="E13629" s="5" t="str">
        <f t="shared" si="696"/>
        <v>CONSULTORIO 6-CONSULTA EXTERNA</v>
      </c>
      <c r="F13629" s="5" t="str">
        <f>"Descripcion: BASE NIQUELADA Estado: Excelente Placa anterior: 000005771 Material: PLASTICO Color: BLANCO Referencia:  Observacion:  Placa padre: Tipo adquisicion: Entidad"</f>
        <v>Descripcion: BASE NIQUELADA Estado: Excelente Placa anterior: 000005771 Material: PLASTICO Color: BLANCO Referencia:  Observacion:  Placa padre: Tipo adquisicion: Entidad</v>
      </c>
      <c r="G13629" s="5"/>
    </row>
    <row r="13630" spans="1:7" ht="58.5" customHeight="1" x14ac:dyDescent="0.25">
      <c r="A13630" s="5" t="str">
        <f>"H0000673"</f>
        <v>H0000673</v>
      </c>
      <c r="B13630" s="5" t="str">
        <f>"CAMILLA GINECOLOGICA CON ESTRIBOS"</f>
        <v>CAMILLA GINECOLOGICA CON ESTRIBOS</v>
      </c>
      <c r="C13630" s="6">
        <v>51700</v>
      </c>
      <c r="D13630" s="5"/>
      <c r="E13630" s="5" t="str">
        <f t="shared" si="696"/>
        <v>CONSULTORIO 6-CONSULTA EXTERNA</v>
      </c>
      <c r="F13630" s="5" t="str">
        <f>"Descripcion: 69X45X47 CON TOMA CORRIENTE Estado: Excelente Placa anterior: 000006239 Material: ACERO INOXIDABLE Color: VERDE AZULADO Referencia:  Observacion:  Placa padre: Tipo adquisicion: Entidad"</f>
        <v>Descripcion: 69X45X47 CON TOMA CORRIENTE Estado: Excelente Placa anterior: 000006239 Material: ACERO INOXIDABLE Color: VERDE AZULADO Referencia:  Observacion:  Placa padre: Tipo adquisicion: Entidad</v>
      </c>
      <c r="G13630" s="5"/>
    </row>
    <row r="13631" spans="1:7" ht="58.5" customHeight="1" x14ac:dyDescent="0.25">
      <c r="A13631" s="5" t="str">
        <f>"H0000674"</f>
        <v>H0000674</v>
      </c>
      <c r="B13631" s="5" t="str">
        <f>"COLPOSCOPIO"</f>
        <v>COLPOSCOPIO</v>
      </c>
      <c r="C13631" s="6">
        <v>5950000</v>
      </c>
      <c r="D13631" s="5"/>
      <c r="E13631" s="5" t="str">
        <f t="shared" si="696"/>
        <v>CONSULTORIO 6-CONSULTA EXTERNA</v>
      </c>
      <c r="F13631" s="5" t="str">
        <f>"Descripcion: COLPOSCOPIO LEISEGENG MOD.1D-3 CON BRAZOS Estado: Excelente Placa anterior: 000005143 Material: ACERO INOXIDABLE Color: BEIGE Referencia: 27640 Observacion:  Placa padre: Tipo adquisicion: Entidad"</f>
        <v>Descripcion: COLPOSCOPIO LEISEGENG MOD.1D-3 CON BRAZOS Estado: Excelente Placa anterior: 000005143 Material: ACERO INOXIDABLE Color: BEIGE Referencia: 27640 Observacion:  Placa padre: Tipo adquisicion: Entidad</v>
      </c>
      <c r="G13631" s="5" t="str">
        <f>"103"</f>
        <v>103</v>
      </c>
    </row>
    <row r="13632" spans="1:7" ht="58.5" customHeight="1" x14ac:dyDescent="0.25">
      <c r="A13632" s="5" t="str">
        <f>"H0000675"</f>
        <v>H0000675</v>
      </c>
      <c r="B13632" s="5" t="str">
        <f>"LAMPARA CUELLO CISNE"</f>
        <v>LAMPARA CUELLO CISNE</v>
      </c>
      <c r="C13632" s="6">
        <v>32423.77</v>
      </c>
      <c r="D13632" s="5"/>
      <c r="E13632" s="5" t="str">
        <f t="shared" si="696"/>
        <v>CONSULTORIO 6-CONSULTA EXTERNA</v>
      </c>
      <c r="F13632" s="5" t="str">
        <f>"Descripcion: GRADUABLE Estado: Excelente Placa anterior: 000019449 Material: ACERO INOXIDABLE Color:  Referencia:  Observacion: ALGO OXIDADA, AUTORIZADO CONCILIAR EN CRUCE GENERAL Placa padre: Tipo adquisicion: Entidad"</f>
        <v>Descripcion: GRADUABLE Estado: Excelente Placa anterior: 000019449 Material: ACERO INOXIDABLE Color:  Referencia:  Observacion: ALGO OXIDADA, AUTORIZADO CONCILIAR EN CRUCE GENERAL Placa padre: Tipo adquisicion: Entidad</v>
      </c>
      <c r="G13632" s="5"/>
    </row>
    <row r="13633" spans="1:7" ht="58.5" customHeight="1" x14ac:dyDescent="0.25">
      <c r="A13633" s="5" t="str">
        <f>"H0000676"</f>
        <v>H0000676</v>
      </c>
      <c r="B13633" s="5" t="str">
        <f>"BUTACO GIRATORIO SIN RUEDAS"</f>
        <v>BUTACO GIRATORIO SIN RUEDAS</v>
      </c>
      <c r="C13633" s="6">
        <v>7240</v>
      </c>
      <c r="D13633" s="5"/>
      <c r="E13633" s="5" t="str">
        <f t="shared" si="696"/>
        <v>CONSULTORIO 6-CONSULTA EXTERNA</v>
      </c>
      <c r="F13633" s="5" t="str">
        <f>"Descripcion: GRADUABLE Estado: Excelente Placa anterior: 000004781 Material: ACERO INOXIDABLE Color: GRIS Referencia:  Observacion:  Placa padre: Tipo adquisicion: Entidad"</f>
        <v>Descripcion: GRADUABLE Estado: Excelente Placa anterior: 000004781 Material: ACERO INOXIDABLE Color: GRIS Referencia:  Observacion:  Placa padre: Tipo adquisicion: Entidad</v>
      </c>
      <c r="G13633" s="5"/>
    </row>
    <row r="13634" spans="1:7" ht="58.5" customHeight="1" x14ac:dyDescent="0.25">
      <c r="A13634" s="5" t="str">
        <f>"H0000679"</f>
        <v>H0000679</v>
      </c>
      <c r="B13634" s="5" t="str">
        <f>"CRIOCAUTERIO"</f>
        <v>CRIOCAUTERIO</v>
      </c>
      <c r="C13634" s="6">
        <v>2262400</v>
      </c>
      <c r="D13634" s="5"/>
      <c r="E13634" s="5" t="str">
        <f t="shared" si="696"/>
        <v>CONSULTORIO 6-CONSULTA EXTERNA</v>
      </c>
      <c r="F13634" s="5" t="str">
        <f>"Descripcion: CRIOCAUTERIO LEISENGENG PUNTAS DE PLATA Estado: Excelente Placa anterior: 000005144 Material: METALICO Color: BEIGE Referencia: 110510 Observacion: FUE TRASLADADO A MANTENIMIENTO POR  LA ING. DIANA  Placa padre: Tipo adquisicion: Entidad"</f>
        <v>Descripcion: CRIOCAUTERIO LEISENGENG PUNTAS DE PLATA Estado: Excelente Placa anterior: 000005144 Material: METALICO Color: BEIGE Referencia: 110510 Observacion: FUE TRASLADADO A MANTENIMIENTO POR  LA ING. DIANA  Placa padre: Tipo adquisicion: Entidad</v>
      </c>
      <c r="G13634" s="5" t="str">
        <f>"LM - 900"</f>
        <v>LM - 900</v>
      </c>
    </row>
    <row r="13635" spans="1:7" ht="58.5" customHeight="1" x14ac:dyDescent="0.25">
      <c r="A13635" s="5" t="str">
        <f>"H0000681"</f>
        <v>H0000681</v>
      </c>
      <c r="B13635" s="5" t="str">
        <f>"BALANZA ANALOGA DE PISO (PESO) CON TALLIMETRO"</f>
        <v>BALANZA ANALOGA DE PISO (PESO) CON TALLIMETRO</v>
      </c>
      <c r="C13635" s="6">
        <v>93285</v>
      </c>
      <c r="D13635" s="5"/>
      <c r="E13635" s="5" t="str">
        <f t="shared" si="696"/>
        <v>CONSULTORIO 6-CONSULTA EXTERNA</v>
      </c>
      <c r="F13635" s="5" t="str">
        <f>"Descripcion: MAX 150 KG, 200 CM Estado: Excelente Placa anterior: 000005829 Material: METALICO Color: BEIGE Referencia:  Observacion: RETIRADA POR ALMACEN Placa padre: Tipo adquisicion: Entidad"</f>
        <v>Descripcion: MAX 150 KG, 200 CM Estado: Excelente Placa anterior: 000005829 Material: METALICO Color: BEIGE Referencia:  Observacion: RETIRADA POR ALMACEN Placa padre: Tipo adquisicion: Entidad</v>
      </c>
      <c r="G13635" s="5"/>
    </row>
    <row r="13636" spans="1:7" ht="58.5" customHeight="1" x14ac:dyDescent="0.25">
      <c r="A13636" s="5" t="str">
        <f>"H0000682"</f>
        <v>H0000682</v>
      </c>
      <c r="B13636" s="5" t="str">
        <f>"TENSIOMETRO ANEROIDE DE PARED ADULTO"</f>
        <v>TENSIOMETRO ANEROIDE DE PARED ADULTO</v>
      </c>
      <c r="C13636" s="6">
        <v>31179.22</v>
      </c>
      <c r="D13636" s="5"/>
      <c r="E13636" s="5" t="str">
        <f t="shared" ref="E13636:E13652" si="697">"CONSULTORIO 6-CONSULTA EXTERNA"</f>
        <v>CONSULTORIO 6-CONSULTA EXTERNA</v>
      </c>
      <c r="F13636" s="5" t="str">
        <f>"Descripcion: . Estado: Excelente Placa anterior: 000020115 Material: METALICO Color: NEGRO Referencia:  Observacion: AUTORIZADO CONCILIAR EN CRUCE GENERAL Placa padre: Tipo adquisicion: Entidad"</f>
        <v>Descripcion: . Estado: Excelente Placa anterior: 000020115 Material: METALICO Color: NEGRO Referencia:  Observacion: AUTORIZADO CONCILIAR EN CRUCE GENERAL Placa padre: Tipo adquisicion: Entidad</v>
      </c>
      <c r="G13636" s="5" t="str">
        <f>"CE0297"</f>
        <v>CE0297</v>
      </c>
    </row>
    <row r="13637" spans="1:7" ht="58.5" customHeight="1" x14ac:dyDescent="0.25">
      <c r="A13637" s="5" t="str">
        <f>"H0000684"</f>
        <v>H0000684</v>
      </c>
      <c r="B13637" s="5" t="str">
        <f>"SILLA INTERLOCUTORA (FIJA) SIN BRAZOS"</f>
        <v>SILLA INTERLOCUTORA (FIJA) SIN BRAZOS</v>
      </c>
      <c r="C13637" s="6">
        <v>6949.69</v>
      </c>
      <c r="D13637" s="5"/>
      <c r="E13637" s="5" t="str">
        <f t="shared" si="697"/>
        <v>CONSULTORIO 6-CONSULTA EXTERNA</v>
      </c>
      <c r="F13637" s="5" t="str">
        <f>"Descripcion: TAPIZADA EN CUERO COLOR NEGRO, BASE METALICA Estado: Excelente Placa anterior: 000005976 Material: METALICO Color: NEGRO Referencia:  Observacion:  Placa padre: Tipo adquisicion: Entidad"</f>
        <v>Descripcion: TAPIZADA EN CUERO COLOR NEGRO, BASE METALICA Estado: Excelente Placa anterior: 000005976 Material: METALICO Color: NEGRO Referencia:  Observacion:  Placa padre: Tipo adquisicion: Entidad</v>
      </c>
      <c r="G13637" s="5"/>
    </row>
    <row r="13638" spans="1:7" ht="58.5" customHeight="1" x14ac:dyDescent="0.25">
      <c r="A13638" s="5" t="str">
        <f>"H0000688"</f>
        <v>H0000688</v>
      </c>
      <c r="B13638" s="5" t="str">
        <f>"UNIDAD ININTERRUMPIDA DE POTENCIA (UPS) 2.2KW"</f>
        <v>UNIDAD ININTERRUMPIDA DE POTENCIA (UPS) 2.2KW</v>
      </c>
      <c r="C13638" s="6">
        <v>375576</v>
      </c>
      <c r="D13638" s="5" t="s">
        <v>521</v>
      </c>
      <c r="E13638" s="5" t="str">
        <f t="shared" si="697"/>
        <v>CONSULTORIO 6-CONSULTA EXTERNA</v>
      </c>
      <c r="F13638" s="5" t="str">
        <f>"Descripcion: Sistema de alimentación initemrrumpida UPS,Software de monitoreo via RS232, opcional SNMP.Manejo de la UPS via puerto serial bateria sellada de plomo-Acido,libre de mantenimiento.Sistema avanzado de control de bateria.Capacidad minima de 2200"&amp; "VA/1200W ENTR Estado: Excelente Placa anterior: 000038160 Material: METALICO Color: NEGRO Referencia:  Observacion:  Placa padre: Tipo adquisicion: Entidad"</f>
        <v>Descripcion: Sistema de alimentación initemrrumpida UPS,Software de monitoreo via RS232, opcional SNMP.Manejo de la UPS via puerto serial bateria sellada de plomo-Acido,libre de mantenimiento.Sistema avanzado de control de bateria.Capacidad minima de 2200VA/1200W ENTR Estado: Excelente Placa anterior: 000038160 Material: METALICO Color: NEGRO Referencia:  Observacion:  Placa padre: Tipo adquisicion: Entidad</v>
      </c>
      <c r="G13638" s="5" t="str">
        <f>"ST-U2200"</f>
        <v>ST-U2200</v>
      </c>
    </row>
    <row r="13639" spans="1:7" ht="58.5" customHeight="1" x14ac:dyDescent="0.25">
      <c r="A13639" s="5" t="str">
        <f>"H0000689"</f>
        <v>H0000689</v>
      </c>
      <c r="B13639" s="5" t="str">
        <f>"COMPUTADOR DE MESA"</f>
        <v>COMPUTADOR DE MESA</v>
      </c>
      <c r="C13639" s="6">
        <v>3863222</v>
      </c>
      <c r="D13639" s="5" t="s">
        <v>521</v>
      </c>
      <c r="E13639" s="5" t="str">
        <f t="shared" si="697"/>
        <v>CONSULTORIO 6-CONSULTA EXTERNA</v>
      </c>
      <c r="F13639" s="5" t="str">
        <f>"Descripcion: CPU HORIZONTAL PC windows 7, memoria de 4 GB de DDR3 1600 Mhz.con tarjeta de video para dos o mas pantallas.Disco duro SATA de 500 GB 7200 RPM de 3.5.Controlador Intel SATA integrado.Unidad de 8x delgada (DVD+/-RW)Altavoz externo.cabl Estado:"&amp; " Excelente Placa anterior: 000038150 Material: METALICO Color: NEGRO Referencia: PRODESK Observacion:  Placa anterior:, Placa nueva=H0000691, Descripcion:., Serial:672646-163, Marca:HP, Modelo:KB57P, Material:PLASTICO, Color:NEGRO,   Referencia:BDMEP0AHH8"&amp; "T0I1 , Placa anterior:, Placa nueva=H0000690, Descripcion:18,5 PULGADAS, Serial:768404-010, Marca:HP, Modelo:L4S23A, Material:PLASTICO, Color:NEGRO,   Referencia:BTT111, Placa anterior:, Placa nueva=H0000692, Descripcion:MOUSE OPTICO, Serial:672651-001, M"&amp; "arca:HP, Modelo:MOFYKO, Material:PLASTICO, Color:NEGRO,   Referencia:FCMHF0AHD8IF62 Placa padre: Tipo adquisicion: Entidad"</f>
        <v>Descripcion: CPU HORIZONTAL PC windows 7, memoria de 4 GB de DDR3 1600 Mhz.con tarjeta de video para dos o mas pantallas.Disco duro SATA de 500 GB 7200 RPM de 3.5.Controlador Intel SATA integrado.Unidad de 8x delgada (DVD+/-RW)Altavoz externo.cabl Estado: Excelente Placa anterior: 000038150 Material: METALICO Color: NEGRO Referencia: PRODESK Observacion:  Placa anterior:, Placa nueva=H0000691, Descripcion:., Serial:672646-163, Marca:HP, Modelo:KB57P, Material:PLASTICO, Color:NEGRO,   Referencia:BDMEP0AHH8T0I1 , Placa anterior:, Placa nueva=H0000690, Descripcion:18,5 PULGADAS, Serial:768404-010, Marca:HP, Modelo:L4S23A, Material:PLASTICO, Color:NEGRO,   Referencia:BTT111, Placa anterior:, Placa nueva=H0000692, Descripcion:MOUSE OPTICO, Serial:672651-001, Marca:HP, Modelo:MOFYKO, Material:PLASTICO, Color:NEGRO,   Referencia:FCMHF0AHD8IF62 Placa padre: Tipo adquisicion: Entidad</v>
      </c>
      <c r="G13639" s="5" t="str">
        <f>"DESKTOP 600"</f>
        <v>DESKTOP 600</v>
      </c>
    </row>
    <row r="13640" spans="1:7" ht="58.5" customHeight="1" x14ac:dyDescent="0.25">
      <c r="A13640" s="5" t="str">
        <f>"H0000693"</f>
        <v>H0000693</v>
      </c>
      <c r="B13640" s="5" t="str">
        <f>"MESA METALICA PARA COMPUTADOR"</f>
        <v>MESA METALICA PARA COMPUTADOR</v>
      </c>
      <c r="C13640" s="6">
        <v>100108</v>
      </c>
      <c r="D13640" s="5"/>
      <c r="E13640" s="5" t="str">
        <f t="shared" si="697"/>
        <v>CONSULTORIO 6-CONSULTA EXTERNA</v>
      </c>
      <c r="F13640" s="5" t="str">
        <f>"Descripcion: SUPERFICIE EN FORMICA, CON PORTATECLADO 73X140X58 Estado: Excelente Placa anterior: 000023699 Material: METALICO Color: GRIS Referencia:  Observacion:  Placa padre: Tipo adquisicion: Entidad"</f>
        <v>Descripcion: SUPERFICIE EN FORMICA, CON PORTATECLADO 73X140X58 Estado: Excelente Placa anterior: 000023699 Material: METALICO Color: GRIS Referencia:  Observacion:  Placa padre: Tipo adquisicion: Entidad</v>
      </c>
      <c r="G13640" s="5"/>
    </row>
    <row r="13641" spans="1:7" ht="58.5" customHeight="1" x14ac:dyDescent="0.25">
      <c r="A13641" s="5" t="str">
        <f>"H0000696"</f>
        <v>H0000696</v>
      </c>
      <c r="B13641" s="5" t="str">
        <f>"VITRINA DE 1 CUERPO"</f>
        <v>VITRINA DE 1 CUERPO</v>
      </c>
      <c r="C13641" s="6">
        <v>20208</v>
      </c>
      <c r="D13641" s="5"/>
      <c r="E13641" s="5" t="str">
        <f t="shared" si="697"/>
        <v>CONSULTORIO 6-CONSULTA EXTERNA</v>
      </c>
      <c r="F13641" s="5" t="str">
        <f>"Descripcion: 1 PUERTA METALICA CON VIDRIO1 PUERTA METALICA1 GAVETA METALICA170X50X30 Estado: Bueno Placa anterior: 000005872 Material: METALICO Color: BEIGE Referencia:  Observacion: 1 PUERTA SIN CHAPA Placa padre: Tipo adquisicion: Entidad"</f>
        <v>Descripcion: 1 PUERTA METALICA CON VIDRIO1 PUERTA METALICA1 GAVETA METALICA170X50X30 Estado: Bueno Placa anterior: 000005872 Material: METALICO Color: BEIGE Referencia:  Observacion: 1 PUERTA SIN CHAPA Placa padre: Tipo adquisicion: Entidad</v>
      </c>
      <c r="G13641" s="5"/>
    </row>
    <row r="13642" spans="1:7" ht="58.5" customHeight="1" x14ac:dyDescent="0.25">
      <c r="A13642" s="5" t="str">
        <f>"H0000699"</f>
        <v>H0000699</v>
      </c>
      <c r="B13642" s="5" t="str">
        <f>"ESCANER DE DOCUMENTOS"</f>
        <v>ESCANER DE DOCUMENTOS</v>
      </c>
      <c r="C13642" s="6">
        <v>362178</v>
      </c>
      <c r="D13642" s="5" t="s">
        <v>521</v>
      </c>
      <c r="E13642" s="5" t="str">
        <f t="shared" si="697"/>
        <v>CONSULTORIO 6-CONSULTA EXTERNA</v>
      </c>
      <c r="F13642" s="5" t="str">
        <f>"Descripcion: Escaner con tecnologia de escaneado CIS, para una, tipo de escanaeado cama plana y escaneo a color.compatibilidad con SO, windows 7 y superior.velocidad de escaneado:fotografia de color 10x15 cm a archivo, de 21 hasta 25 segundos para escaneo"&amp; " de una sola  Estado: Bueno Placa anterior: 000038164 Material: PLASTICO Color: NEGRO Referencia: K10402 Observacion: KJKX88155 Placa padre: Tipo adquisicion: Entidad"</f>
        <v>Descripcion: Escaner con tecnologia de escaneado CIS, para una, tipo de escanaeado cama plana y escaneo a color.compatibilidad con SO, windows 7 y superior.velocidad de escaneado:fotografia de color 10x15 cm a archivo, de 21 hasta 25 segundos para escaneo de una sola  Estado: Bueno Placa anterior: 000038164 Material: PLASTICO Color: NEGRO Referencia: K10402 Observacion: KJKX88155 Placa padre: Tipo adquisicion: Entidad</v>
      </c>
      <c r="G13642" s="5" t="str">
        <f>"LIDE 120"</f>
        <v>LIDE 120</v>
      </c>
    </row>
    <row r="13643" spans="1:7" ht="58.5" customHeight="1" x14ac:dyDescent="0.25">
      <c r="A13643" s="5" t="str">
        <f>"H0002066"</f>
        <v>H0002066</v>
      </c>
      <c r="B13643" s="5" t="str">
        <f>"BALANZA DIGITAL DE PISO (PESO) CON TALLIMETRO"</f>
        <v>BALANZA DIGITAL DE PISO (PESO) CON TALLIMETRO</v>
      </c>
      <c r="C13643" s="6">
        <v>2030000</v>
      </c>
      <c r="D13643" s="5"/>
      <c r="E13643" s="5" t="str">
        <f t="shared" si="697"/>
        <v>CONSULTORIO 6-CONSULTA EXTERNA</v>
      </c>
      <c r="F13643" s="5" t="str">
        <f>"Descripcion:BASCULAS CON TALLIMETRO DIGITAL Estado: Excelente Placa anterior: 000039042 Material: PASTA Color: BLANCO Referencia:  Observacion:  Placa padre:  Tipo adquisicion : Entidad"</f>
        <v>Descripcion:BASCULAS CON TALLIMETRO DIGITAL Estado: Excelente Placa anterior: 000039042 Material: PASTA Color: BLANCO Referencia:  Observacion:  Placa padre:  Tipo adquisicion : Entidad</v>
      </c>
      <c r="G13643" s="5" t="str">
        <f>"H-150-10-5"</f>
        <v>H-150-10-5</v>
      </c>
    </row>
    <row r="13644" spans="1:7" ht="58.5" customHeight="1" x14ac:dyDescent="0.25">
      <c r="A13644" s="5" t="str">
        <f>"H0020997"</f>
        <v>H0020997</v>
      </c>
      <c r="B13644" s="5" t="str">
        <f>"DOPPLER FETAL REF: SRF618E   MARCA SUNRAY"</f>
        <v>DOPPLER FETAL REF: SRF618E   MARCA SUNRAY</v>
      </c>
      <c r="C13644" s="6">
        <v>510400</v>
      </c>
      <c r="D13644" s="5" t="s">
        <v>148</v>
      </c>
      <c r="E13644" s="5" t="str">
        <f t="shared" si="697"/>
        <v>CONSULTORIO 6-CONSULTA EXTERNA</v>
      </c>
      <c r="F13644" s="5"/>
      <c r="G13644" s="5"/>
    </row>
    <row r="13645" spans="1:7" ht="58.5" customHeight="1" x14ac:dyDescent="0.25">
      <c r="A13645" s="5" t="str">
        <f>"H0022359"</f>
        <v>H0022359</v>
      </c>
      <c r="B13645" s="5" t="str">
        <f>"NEGATOSCOPIO METALICO DE UN CUERPO"</f>
        <v>NEGATOSCOPIO METALICO DE UN CUERPO</v>
      </c>
      <c r="C13645" s="6">
        <v>213379.28</v>
      </c>
      <c r="D13645" s="5" t="s">
        <v>721</v>
      </c>
      <c r="E13645" s="5" t="str">
        <f t="shared" si="697"/>
        <v>CONSULTORIO 6-CONSULTA EXTERNA</v>
      </c>
      <c r="F13645" s="5"/>
      <c r="G13645" s="5"/>
    </row>
    <row r="13646" spans="1:7" ht="58.5" customHeight="1" x14ac:dyDescent="0.25">
      <c r="A13646" s="5" t="str">
        <f>"H0024996"</f>
        <v>H0024996</v>
      </c>
      <c r="B13646" s="5" t="str">
        <f>"INFANTOMETRO"</f>
        <v>INFANTOMETRO</v>
      </c>
      <c r="C13646" s="6">
        <v>72964</v>
      </c>
      <c r="D13646" s="5" t="s">
        <v>578</v>
      </c>
      <c r="E13646" s="5" t="str">
        <f t="shared" si="697"/>
        <v>CONSULTORIO 6-CONSULTA EXTERNA</v>
      </c>
      <c r="F13646" s="5"/>
      <c r="G13646" s="5"/>
    </row>
    <row r="13647" spans="1:7" ht="58.5" customHeight="1" x14ac:dyDescent="0.25">
      <c r="A13647" s="5" t="str">
        <f>"H0025386"</f>
        <v>H0025386</v>
      </c>
      <c r="B1364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647" s="6">
        <v>312156</v>
      </c>
      <c r="D13647" s="5" t="s">
        <v>10</v>
      </c>
      <c r="E13647" s="5" t="str">
        <f t="shared" si="697"/>
        <v>CONSULTORIO 6-CONSULTA EXTERNA</v>
      </c>
      <c r="F13647" s="5"/>
      <c r="G13647" s="5"/>
    </row>
    <row r="13648" spans="1:7" ht="58.5" customHeight="1" x14ac:dyDescent="0.25">
      <c r="A13648" s="5" t="str">
        <f>"H0027143"</f>
        <v>H0027143</v>
      </c>
      <c r="B13648" s="5" t="str">
        <f>"MONITOR DE SIGNOS VITALES"</f>
        <v>MONITOR DE SIGNOS VITALES</v>
      </c>
      <c r="C13648" s="6">
        <v>3680000.05</v>
      </c>
      <c r="D13648" s="5" t="s">
        <v>82</v>
      </c>
      <c r="E13648" s="5" t="str">
        <f t="shared" si="697"/>
        <v>CONSULTORIO 6-CONSULTA EXTERNA</v>
      </c>
      <c r="F13648" s="5"/>
      <c r="G13648" s="5" t="str">
        <f>"IM12"</f>
        <v>IM12</v>
      </c>
    </row>
    <row r="13649" spans="1:7" ht="58.5" customHeight="1" x14ac:dyDescent="0.25">
      <c r="A13649" s="5" t="str">
        <f>"H0027529"</f>
        <v>H0027529</v>
      </c>
      <c r="B13649" s="5" t="str">
        <f>"LECTOR DE HUELLAS DIGITALES"</f>
        <v>LECTOR DE HUELLAS DIGITALES</v>
      </c>
      <c r="C13649" s="6">
        <v>234000.41</v>
      </c>
      <c r="D13649" s="5" t="s">
        <v>83</v>
      </c>
      <c r="E13649" s="5" t="str">
        <f t="shared" si="697"/>
        <v>CONSULTORIO 6-CONSULTA EXTERNA</v>
      </c>
      <c r="F13649" s="5"/>
      <c r="G13649" s="5"/>
    </row>
    <row r="13650" spans="1:7" ht="58.5" customHeight="1" x14ac:dyDescent="0.25">
      <c r="A13650" s="5" t="str">
        <f>"H0028565"</f>
        <v>H0028565</v>
      </c>
      <c r="B13650" s="5" t="str">
        <f>"DIVAN GINECOLOGICO CON CABINETE"</f>
        <v>DIVAN GINECOLOGICO CON CABINETE</v>
      </c>
      <c r="C13650" s="6">
        <v>3248700</v>
      </c>
      <c r="D13650" s="5" t="s">
        <v>270</v>
      </c>
      <c r="E13650" s="5" t="str">
        <f t="shared" si="697"/>
        <v>CONSULTORIO 6-CONSULTA EXTERNA</v>
      </c>
      <c r="F13650" s="5"/>
      <c r="G13650" s="5"/>
    </row>
    <row r="13651" spans="1:7" ht="58.5" customHeight="1" x14ac:dyDescent="0.25">
      <c r="A13651" s="5" t="str">
        <f>"H0037124"</f>
        <v>H0037124</v>
      </c>
      <c r="B13651" s="5" t="str">
        <f>"TALLIMETRO CAPACIDAD 20-205 CM (DONACION)"</f>
        <v>TALLIMETRO CAPACIDAD 20-205 CM (DONACION)</v>
      </c>
      <c r="C13651" s="6">
        <v>1254705.99</v>
      </c>
      <c r="D13651" s="5" t="s">
        <v>136</v>
      </c>
      <c r="E13651" s="5" t="str">
        <f t="shared" si="697"/>
        <v>CONSULTORIO 6-CONSULTA EXTERNA</v>
      </c>
      <c r="F13651" s="5"/>
      <c r="G13651" s="5"/>
    </row>
    <row r="13652" spans="1:7" ht="58.5" customHeight="1" x14ac:dyDescent="0.25">
      <c r="A13652" s="5" t="str">
        <f>"H0037191"</f>
        <v>H0037191</v>
      </c>
      <c r="B13652" s="5" t="str">
        <f>"BASCULA: Capacidad: 200 kg, División: 100 g &lt; 150 kg &gt; 200 g, Dimensiones (AxAxP):321 x 61 x 362 mm, Peso: 4,1 kg"</f>
        <v>BASCULA: Capacidad: 200 kg, División: 100 g &lt; 150 kg &gt; 200 g, Dimensiones (AxAxP):321 x 61 x 362 mm, Peso: 4,1 kg</v>
      </c>
      <c r="C13652" s="6">
        <v>3588386.01</v>
      </c>
      <c r="D13652" s="5" t="s">
        <v>160</v>
      </c>
      <c r="E13652" s="5" t="str">
        <f t="shared" si="697"/>
        <v>CONSULTORIO 6-CONSULTA EXTERNA</v>
      </c>
      <c r="F13652" s="5"/>
      <c r="G13652" s="5"/>
    </row>
    <row r="13653" spans="1:7" ht="58.5" customHeight="1" x14ac:dyDescent="0.25">
      <c r="A13653" s="5" t="str">
        <f>"B0000805"</f>
        <v>B0000805</v>
      </c>
      <c r="B13653" s="5" t="str">
        <f>"PINZA DE DISECCION SIN GARRA LARGA 25 CM"</f>
        <v>PINZA DE DISECCION SIN GARRA LARGA 25 CM</v>
      </c>
      <c r="C13653" s="6">
        <v>1588.35</v>
      </c>
      <c r="D13653" s="5"/>
      <c r="E13653" s="5" t="str">
        <f t="shared" ref="E13653:E13684" si="698">"CONSULTORIO 7 Y 8-CONSULTA EXTERNA"</f>
        <v>CONSULTORIO 7 Y 8-CONSULTA EXTERNA</v>
      </c>
      <c r="F13653" s="5" t="str">
        <f>"Descripcion: PINZA DE DISECCIÓN SIN GARRA  Estado: Bueno Placa anterior: 000006652 Material: ACERO INOXIDABLE Color:  Referencia:  Observacion:  Placa padre: Tipo adquisicion: Entidad"</f>
        <v>Descripcion: PINZA DE DISECCIÓN SIN GARRA  Estado: Bueno Placa anterior: 000006652 Material: ACERO INOXIDABLE Color:  Referencia:  Observacion:  Placa padre: Tipo adquisicion: Entidad</v>
      </c>
      <c r="G13653" s="5"/>
    </row>
    <row r="13654" spans="1:7" ht="58.5" customHeight="1" x14ac:dyDescent="0.25">
      <c r="A13654" s="5" t="str">
        <f>"B0000806"</f>
        <v>B0000806</v>
      </c>
      <c r="B13654" s="5" t="str">
        <f>"MANGO PARA BISTURI #4"</f>
        <v>MANGO PARA BISTURI #4</v>
      </c>
      <c r="C13654" s="6">
        <v>2628.57</v>
      </c>
      <c r="D13654" s="5"/>
      <c r="E13654" s="5" t="str">
        <f t="shared" si="698"/>
        <v>CONSULTORIO 7 Y 8-CONSULTA EXTERNA</v>
      </c>
      <c r="F13654" s="5" t="str">
        <f>"Descripcion: MANGO PARA VISTURI Estado: Bueno Placa anterior: 000019294 Material: ACERO INOXIDABLE Color:  Referencia:  Observacion: AUTORIZADO CONCILIAR EN CRUCE GENERAL Placa padre: Tipo adquisicion: Entidad"</f>
        <v>Descripcion: MANGO PARA VISTURI Estado: Bueno Placa anterior: 000019294 Material: ACERO INOXIDABLE Color:  Referencia:  Observacion: AUTORIZADO CONCILIAR EN CRUCE GENERAL Placa padre: Tipo adquisicion: Entidad</v>
      </c>
      <c r="G13654" s="5"/>
    </row>
    <row r="13655" spans="1:7" ht="58.5" customHeight="1" x14ac:dyDescent="0.25">
      <c r="A13655" s="5" t="str">
        <f>"B0000807"</f>
        <v>B0000807</v>
      </c>
      <c r="B13655" s="5" t="str">
        <f>"PORTAGUJAS (PINZA)"</f>
        <v>PORTAGUJAS (PINZA)</v>
      </c>
      <c r="C13655" s="6">
        <v>1588.35</v>
      </c>
      <c r="D13655" s="5"/>
      <c r="E13655" s="5" t="str">
        <f t="shared" si="698"/>
        <v>CONSULTORIO 7 Y 8-CONSULTA EXTERNA</v>
      </c>
      <c r="F13655" s="5" t="str">
        <f>"Descripcion: PINZA PORTAAGUJAS Estado: Bueno Placa anterior: 000006654 Material: ACERO INOXIDABLE Color:  Referencia:  Observacion:  Placa padre: Tipo adquisicion: Entidad"</f>
        <v>Descripcion: PINZA PORTAAGUJAS Estado: Bueno Placa anterior: 000006654 Material: ACERO INOXIDABLE Color:  Referencia:  Observacion:  Placa padre: Tipo adquisicion: Entidad</v>
      </c>
      <c r="G13655" s="5"/>
    </row>
    <row r="13656" spans="1:7" ht="58.5" customHeight="1" x14ac:dyDescent="0.25">
      <c r="A13656" s="5" t="str">
        <f>"B0000808"</f>
        <v>B0000808</v>
      </c>
      <c r="B13656" s="5" t="str">
        <f>"PINZA KELLY RECTA 16 CM"</f>
        <v>PINZA KELLY RECTA 16 CM</v>
      </c>
      <c r="C13656" s="6">
        <v>1588.35</v>
      </c>
      <c r="D13656" s="5"/>
      <c r="E13656" s="5" t="str">
        <f t="shared" si="698"/>
        <v>CONSULTORIO 7 Y 8-CONSULTA EXTERNA</v>
      </c>
      <c r="F13656" s="5" t="str">
        <f>"Descripcion: PINZA KELLY RECTA Estado: Bueno Placa anterior: 000006655 Material:  ACERO INOXIDABLE Color:  Referencia:  Observacion:  Placa padre: Tipo adquisicion: Entidad"</f>
        <v>Descripcion: PINZA KELLY RECTA Estado: Bueno Placa anterior: 000006655 Material:  ACERO INOXIDABLE Color:  Referencia:  Observacion:  Placa padre: Tipo adquisicion: Entidad</v>
      </c>
      <c r="G13656" s="5"/>
    </row>
    <row r="13657" spans="1:7" ht="58.5" customHeight="1" x14ac:dyDescent="0.25">
      <c r="A13657" s="5" t="str">
        <f>"B0000809"</f>
        <v>B0000809</v>
      </c>
      <c r="B13657" s="5" t="str">
        <f>"TIJERA  DE METZEMBAUM CURVA"</f>
        <v>TIJERA  DE METZEMBAUM CURVA</v>
      </c>
      <c r="C13657" s="6">
        <v>51560.61</v>
      </c>
      <c r="D13657" s="5"/>
      <c r="E13657" s="5" t="str">
        <f t="shared" si="698"/>
        <v>CONSULTORIO 7 Y 8-CONSULTA EXTERNA</v>
      </c>
      <c r="F13657" s="5" t="str">
        <f>"Descripcion: TIJERA PARA PROCEDIMIENTOS CURVA Estado: Bueno Placa anterior: 000018831 Material: ACERO INOXIDABLE Color:  Referencia:  Observacion: AUTORIZADO CONCILIAR EN CRUCE GENERAL Placa padre: Tipo adquisicion: Entidad"</f>
        <v>Descripcion: TIJERA PARA PROCEDIMIENTOS CURVA Estado: Bueno Placa anterior: 000018831 Material: ACERO INOXIDABLE Color:  Referencia:  Observacion: AUTORIZADO CONCILIAR EN CRUCE GENERAL Placa padre: Tipo adquisicion: Entidad</v>
      </c>
      <c r="G13657" s="5"/>
    </row>
    <row r="13658" spans="1:7" ht="58.5" customHeight="1" x14ac:dyDescent="0.25">
      <c r="A13658" s="5" t="str">
        <f>"B0005309"</f>
        <v>B0005309</v>
      </c>
      <c r="B13658" s="5" t="str">
        <f>"ESPECULO VAGINAL TALLA M (ENDOCERVICAL)"</f>
        <v>ESPECULO VAGINAL TALLA M (ENDOCERVICAL)</v>
      </c>
      <c r="C13658" s="6">
        <v>3322.32</v>
      </c>
      <c r="D13658" s="5"/>
      <c r="E13658" s="5" t="str">
        <f t="shared" si="698"/>
        <v>CONSULTORIO 7 Y 8-CONSULTA EXTERNA</v>
      </c>
      <c r="F13658" s="5" t="str">
        <f>"Descripcion: ESPECULO VAGINAL Estado: Bueno Placa anterior: 000006647 Material: ACERO INOXIDABLE Color: PLATEADO Referencia:  Observacion: SE ENCUENTRA EN EL CONSULTORIO 18 Placa padre: Tipo adquisicion: Entidad"</f>
        <v>Descripcion: ESPECULO VAGINAL Estado: Bueno Placa anterior: 000006647 Material: ACERO INOXIDABLE Color: PLATEADO Referencia:  Observacion: SE ENCUENTRA EN EL CONSULTORIO 18 Placa padre: Tipo adquisicion: Entidad</v>
      </c>
      <c r="G13658" s="5"/>
    </row>
    <row r="13659" spans="1:7" ht="58.5" customHeight="1" x14ac:dyDescent="0.25">
      <c r="A13659" s="5" t="str">
        <f>"B0005310"</f>
        <v>B0005310</v>
      </c>
      <c r="B13659" s="5" t="str">
        <f>"ESPECULO VAGINAL TALLA M (ENDOCERVICAL)"</f>
        <v>ESPECULO VAGINAL TALLA M (ENDOCERVICAL)</v>
      </c>
      <c r="C13659" s="6">
        <v>3222.26</v>
      </c>
      <c r="D13659" s="5"/>
      <c r="E13659" s="5" t="str">
        <f t="shared" si="698"/>
        <v>CONSULTORIO 7 Y 8-CONSULTA EXTERNA</v>
      </c>
      <c r="F13659" s="5" t="str">
        <f>"Descripcion: ESPECULO VAGINAL Estado: Bueno Placa anterior: 000009802 Material: ACERO INOXIDABLE Color: PLATEADO Referencia:  Observacion: SE ENCUENTRA EN EL CONSULTORIO 18 Placa padre: Tipo adquisicion: Entidad"</f>
        <v>Descripcion: ESPECULO VAGINAL Estado: Bueno Placa anterior: 000009802 Material: ACERO INOXIDABLE Color: PLATEADO Referencia:  Observacion: SE ENCUENTRA EN EL CONSULTORIO 18 Placa padre: Tipo adquisicion: Entidad</v>
      </c>
      <c r="G13659" s="5"/>
    </row>
    <row r="13660" spans="1:7" ht="58.5" customHeight="1" x14ac:dyDescent="0.25">
      <c r="A13660" s="5" t="str">
        <f>"B0005311"</f>
        <v>B0005311</v>
      </c>
      <c r="B13660" s="5" t="str">
        <f>"ESPECULO VAGINAL TALLA M (ENDOCERVICAL)"</f>
        <v>ESPECULO VAGINAL TALLA M (ENDOCERVICAL)</v>
      </c>
      <c r="C13660" s="6">
        <v>3222.26</v>
      </c>
      <c r="D13660" s="5"/>
      <c r="E13660" s="5" t="str">
        <f t="shared" si="698"/>
        <v>CONSULTORIO 7 Y 8-CONSULTA EXTERNA</v>
      </c>
      <c r="F13660" s="5" t="str">
        <f>"Descripcion: ESPECULO VAGINAL Estado: Bueno Placa anterior: 000009803 Material: ACERO INOXIDABLE Color: PLATEADO Referencia:  Observacion: SE ENCUENTRA EN EL CONSULTORIO 18 Placa padre: Tipo adquisicion: Entidad"</f>
        <v>Descripcion: ESPECULO VAGINAL Estado: Bueno Placa anterior: 000009803 Material: ACERO INOXIDABLE Color: PLATEADO Referencia:  Observacion: SE ENCUENTRA EN EL CONSULTORIO 18 Placa padre: Tipo adquisicion: Entidad</v>
      </c>
      <c r="G13660" s="5"/>
    </row>
    <row r="13661" spans="1:7" ht="58.5" customHeight="1" x14ac:dyDescent="0.25">
      <c r="A13661" s="5" t="str">
        <f>"B0005312"</f>
        <v>B0005312</v>
      </c>
      <c r="B13661" s="5" t="str">
        <f>"ESPECULO VAGINAL TALLA M (ENDOCERVICAL)"</f>
        <v>ESPECULO VAGINAL TALLA M (ENDOCERVICAL)</v>
      </c>
      <c r="C13661" s="6">
        <v>3322.32</v>
      </c>
      <c r="D13661" s="5"/>
      <c r="E13661" s="5" t="str">
        <f t="shared" si="698"/>
        <v>CONSULTORIO 7 Y 8-CONSULTA EXTERNA</v>
      </c>
      <c r="F13661" s="5" t="str">
        <f>"Descripcion: ESPECULO VAGINAL Estado: Bueno Placa anterior: 000006646 Material: ACERO INOXIDABLE Color: PLATEADO Referencia:  Observacion: SE ENCUENTRA EN EL CONSULTORIO 18 Placa padre: Tipo adquisicion: Entidad"</f>
        <v>Descripcion: ESPECULO VAGINAL Estado: Bueno Placa anterior: 000006646 Material: ACERO INOXIDABLE Color: PLATEADO Referencia:  Observacion: SE ENCUENTRA EN EL CONSULTORIO 18 Placa padre: Tipo adquisicion: Entidad</v>
      </c>
      <c r="G13661" s="5"/>
    </row>
    <row r="13662" spans="1:7" ht="58.5" customHeight="1" x14ac:dyDescent="0.25">
      <c r="A13662" s="5" t="str">
        <f>"B0005313"</f>
        <v>B0005313</v>
      </c>
      <c r="B13662" s="5" t="str">
        <f>"ESPECULO VAGINAL TALLA M (ENDOCERVICAL)"</f>
        <v>ESPECULO VAGINAL TALLA M (ENDOCERVICAL)</v>
      </c>
      <c r="C13662" s="6">
        <v>3322.32</v>
      </c>
      <c r="D13662" s="5"/>
      <c r="E13662" s="5" t="str">
        <f t="shared" si="698"/>
        <v>CONSULTORIO 7 Y 8-CONSULTA EXTERNA</v>
      </c>
      <c r="F13662" s="5" t="str">
        <f>"Descripcion: ESPECULO VAGINAL Estado: Bueno Placa anterior: 000006645 Material: ACERO INOXIDABLE Color: PLATEADO Referencia:  Observacion: SE ENCUENTRA EN EL CONSULTORIO 18 Placa padre: Tipo adquisicion: Entidad"</f>
        <v>Descripcion: ESPECULO VAGINAL Estado: Bueno Placa anterior: 000006645 Material: ACERO INOXIDABLE Color: PLATEADO Referencia:  Observacion: SE ENCUENTRA EN EL CONSULTORIO 18 Placa padre: Tipo adquisicion: Entidad</v>
      </c>
      <c r="G13662" s="5"/>
    </row>
    <row r="13663" spans="1:7" ht="58.5" customHeight="1" x14ac:dyDescent="0.25">
      <c r="A13663" s="5" t="str">
        <f>"B0005314"</f>
        <v>B0005314</v>
      </c>
      <c r="B13663" s="5" t="str">
        <f>"PINZA DE CURACION"</f>
        <v>PINZA DE CURACION</v>
      </c>
      <c r="C13663" s="6">
        <v>926.66</v>
      </c>
      <c r="D13663" s="5"/>
      <c r="E13663" s="5" t="str">
        <f t="shared" si="698"/>
        <v>CONSULTORIO 7 Y 8-CONSULTA EXTERNA</v>
      </c>
      <c r="F13663" s="5" t="str">
        <f>"Descripcion: PINZA BOZEMAN PARA CURACIONES Estado: Bueno Placa anterior: 000006663 Material: ACERO INOXIDABLE Color: PLATEADO Referencia:  Observacion: SE ENCUENTRA EN EL CONSULTORIO 18 Placa padre: Tipo adquisicion: Entidad"</f>
        <v>Descripcion: PINZA BOZEMAN PARA CURACIONES Estado: Bueno Placa anterior: 000006663 Material: ACERO INOXIDABLE Color: PLATEADO Referencia:  Observacion: SE ENCUENTRA EN EL CONSULTORIO 18 Placa padre: Tipo adquisicion: Entidad</v>
      </c>
      <c r="G13663" s="5"/>
    </row>
    <row r="13664" spans="1:7" ht="58.5" customHeight="1" x14ac:dyDescent="0.25">
      <c r="A13664" s="5" t="str">
        <f>"B0005315"</f>
        <v>B0005315</v>
      </c>
      <c r="B13664" s="5" t="str">
        <f>"PINZA DE CURACION"</f>
        <v>PINZA DE CURACION</v>
      </c>
      <c r="C13664" s="6">
        <v>926.66</v>
      </c>
      <c r="D13664" s="5"/>
      <c r="E13664" s="5" t="str">
        <f t="shared" si="698"/>
        <v>CONSULTORIO 7 Y 8-CONSULTA EXTERNA</v>
      </c>
      <c r="F13664" s="5" t="str">
        <f>"Descripcion: PINZA BOZEMAN PARA CURACIONES Estado: Bueno Placa anterior: 000006660 Material: ACERO INOXIDABLE Color: PLATEADO Referencia:  Observacion: SE ENCUENTRA EN EL CONSULTORIO 18 Placa padre: Tipo adquisicion: Entidad"</f>
        <v>Descripcion: PINZA BOZEMAN PARA CURACIONES Estado: Bueno Placa anterior: 000006660 Material: ACERO INOXIDABLE Color: PLATEADO Referencia:  Observacion: SE ENCUENTRA EN EL CONSULTORIO 18 Placa padre: Tipo adquisicion: Entidad</v>
      </c>
      <c r="G13664" s="5"/>
    </row>
    <row r="13665" spans="1:7" ht="58.5" customHeight="1" x14ac:dyDescent="0.25">
      <c r="A13665" s="5" t="str">
        <f>"H0000878"</f>
        <v>H0000878</v>
      </c>
      <c r="B13665" s="5" t="str">
        <f>"IMPRESORA LASER"</f>
        <v>IMPRESORA LASER</v>
      </c>
      <c r="C13665" s="6">
        <v>657102</v>
      </c>
      <c r="D13665" s="5" t="s">
        <v>240</v>
      </c>
      <c r="E13665" s="5" t="str">
        <f t="shared" si="698"/>
        <v>CONSULTORIO 7 Y 8-CONSULTA EXTERNA</v>
      </c>
      <c r="F13665" s="5" t="str">
        <f>"Descripcion: IMPRESORA LASER EN BLANCO Y NEGRO CON CAPACIDAD DE IMPRESION A DOBLE CARA AUTOMATICA, COMPATIBLE CON WINDOWS XP Y WINDOWS 7 RECOMENDADA (HP1006) Estado: Bueno Placa anterior: 000030017 Material:  Color: NEGRO Referencia:  Observacion:  Placa "&amp; "padre: Tipo adquisicion: Entidad"</f>
        <v>Descripcion: IMPRESORA LASER EN BLANCO Y NEGRO CON CAPACIDAD DE IMPRESION A DOBLE CARA AUTOMATICA, COMPATIBLE CON WINDOWS XP Y WINDOWS 7 RECOMENDADA (HP1006) Estado: Bueno Placa anterior: 000030017 Material:  Color: NEGRO Referencia:  Observacion:  Placa padre: Tipo adquisicion: Entidad</v>
      </c>
      <c r="G13665" s="5" t="str">
        <f>"HP LASERJET P160DN"</f>
        <v>HP LASERJET P160DN</v>
      </c>
    </row>
    <row r="13666" spans="1:7" ht="58.5" customHeight="1" x14ac:dyDescent="0.25">
      <c r="A13666" s="5" t="str">
        <f>"H0000879"</f>
        <v>H0000879</v>
      </c>
      <c r="B13666" s="5" t="str">
        <f>"SILLA INTERLOCUTORA (FIJA) SIN BRAZOS"</f>
        <v>SILLA INTERLOCUTORA (FIJA) SIN BRAZOS</v>
      </c>
      <c r="C13666" s="6">
        <v>6949.64</v>
      </c>
      <c r="D13666" s="5"/>
      <c r="E13666" s="5" t="str">
        <f t="shared" si="698"/>
        <v>CONSULTORIO 7 Y 8-CONSULTA EXTERNA</v>
      </c>
      <c r="F13666" s="5" t="str">
        <f>"Descripcion: SILLA FIJA TIPO A COLOR GRIS Estado: Bueno Placa anterior: 000005807 Material: METALICA CON TAPIZADO EN SEMICUERO Color: GRIS Referencia:  Observacion:  Placa padre: Tipo adquisicion: Entidad"</f>
        <v>Descripcion: SILLA FIJA TIPO A COLOR GRIS Estado: Bueno Placa anterior: 000005807 Material: METALICA CON TAPIZADO EN SEMICUERO Color: GRIS Referencia:  Observacion:  Placa padre: Tipo adquisicion: Entidad</v>
      </c>
      <c r="G13666" s="5"/>
    </row>
    <row r="13667" spans="1:7" ht="58.5" customHeight="1" x14ac:dyDescent="0.25">
      <c r="A13667" s="5" t="str">
        <f>"H0000880"</f>
        <v>H0000880</v>
      </c>
      <c r="B13667" s="5" t="str">
        <f>"SILLA INTERLOCUTORA (FIJA) SIN BRAZOS"</f>
        <v>SILLA INTERLOCUTORA (FIJA) SIN BRAZOS</v>
      </c>
      <c r="C13667" s="6">
        <v>6949.64</v>
      </c>
      <c r="D13667" s="5"/>
      <c r="E13667" s="5" t="str">
        <f t="shared" si="698"/>
        <v>CONSULTORIO 7 Y 8-CONSULTA EXTERNA</v>
      </c>
      <c r="F13667" s="5" t="str">
        <f>"Descripcion: SILLA FIJA TIPO A COLOR GRIS Estado: Bueno Placa anterior: 000005808 Material:  METALICA CON TAPIZADO EN SEMICUERO Color: GRIS Referencia:  Observacion:  Placa padre: Tipo adquisicion: Entidad"</f>
        <v>Descripcion: SILLA FIJA TIPO A COLOR GRIS Estado: Bueno Placa anterior: 000005808 Material:  METALICA CON TAPIZADO EN SEMICUERO Color: GRIS Referencia:  Observacion:  Placa padre: Tipo adquisicion: Entidad</v>
      </c>
      <c r="G13667" s="5"/>
    </row>
    <row r="13668" spans="1:7" ht="58.5" customHeight="1" x14ac:dyDescent="0.25">
      <c r="A13668" s="5" t="str">
        <f>"H0000887"</f>
        <v>H0000887</v>
      </c>
      <c r="B13668" s="5" t="str">
        <f>"ESCALERILLA DE 2 PASOS"</f>
        <v>ESCALERILLA DE 2 PASOS</v>
      </c>
      <c r="C13668" s="6">
        <v>4886.87</v>
      </c>
      <c r="D13668" s="5"/>
      <c r="E13668" s="5" t="str">
        <f t="shared" si="698"/>
        <v>CONSULTORIO 7 Y 8-CONSULTA EXTERNA</v>
      </c>
      <c r="F13668" s="5" t="str">
        <f>"Descripcion: ESCALERA TIPO B (2 PASOS) Estado: Bueno Placa anterior: 000004740 Material: METALICA  Color: GRIS Referencia:  Observacion:  Placa padre: Tipo adquisicion: Entidad"</f>
        <v>Descripcion: ESCALERA TIPO B (2 PASOS) Estado: Bueno Placa anterior: 000004740 Material: METALICA  Color: GRIS Referencia:  Observacion:  Placa padre: Tipo adquisicion: Entidad</v>
      </c>
      <c r="G13668" s="5"/>
    </row>
    <row r="13669" spans="1:7" ht="58.5" customHeight="1" x14ac:dyDescent="0.25">
      <c r="A13669" s="5" t="str">
        <f>"H0000888"</f>
        <v>H0000888</v>
      </c>
      <c r="B13669" s="5" t="str">
        <f>"LAMPARA CUELLO CISNE"</f>
        <v>LAMPARA CUELLO CISNE</v>
      </c>
      <c r="C13669" s="6">
        <v>12778.25</v>
      </c>
      <c r="D13669" s="5"/>
      <c r="E13669" s="5" t="str">
        <f t="shared" si="698"/>
        <v>CONSULTORIO 7 Y 8-CONSULTA EXTERNA</v>
      </c>
      <c r="F13669" s="5" t="str">
        <f>"Descripcion: LAMPARA CUELLO DE CISNE Estado: Bueno Placa anterior: 000004725 Material: CROMADO Color:  Referencia:  Observacion:  Placa padre: Tipo adquisicion: Entidad"</f>
        <v>Descripcion: LAMPARA CUELLO DE CISNE Estado: Bueno Placa anterior: 000004725 Material: CROMADO Color:  Referencia:  Observacion:  Placa padre: Tipo adquisicion: Entidad</v>
      </c>
      <c r="G13669" s="5"/>
    </row>
    <row r="13670" spans="1:7" ht="58.5" customHeight="1" x14ac:dyDescent="0.25">
      <c r="A13670" s="5" t="str">
        <f>"H0000890"</f>
        <v>H0000890</v>
      </c>
      <c r="B13670" s="5" t="str">
        <f>"BIOMBO METALICO DE 2 CUERPOS"</f>
        <v>BIOMBO METALICO DE 2 CUERPOS</v>
      </c>
      <c r="C13670" s="6">
        <v>6900</v>
      </c>
      <c r="D13670" s="5"/>
      <c r="E13670" s="5" t="str">
        <f t="shared" si="698"/>
        <v>CONSULTORIO 7 Y 8-CONSULTA EXTERNA</v>
      </c>
      <c r="F13670" s="5" t="str">
        <f>"Descripcion: BIOMBO DE 2 CUERPOS Estado: Bueno Placa anterior: 000005798 Material: METALICO Color: BEIGE Referencia:  Observacion: Se encuentra en consultorio 18 Placa padre: Tipo adquisicion: Entidad"</f>
        <v>Descripcion: BIOMBO DE 2 CUERPOS Estado: Bueno Placa anterior: 000005798 Material: METALICO Color: BEIGE Referencia:  Observacion: Se encuentra en consultorio 18 Placa padre: Tipo adquisicion: Entidad</v>
      </c>
      <c r="G13670" s="5"/>
    </row>
    <row r="13671" spans="1:7" ht="58.5" customHeight="1" x14ac:dyDescent="0.25">
      <c r="A13671" s="5" t="str">
        <f>"H0000892"</f>
        <v>H0000892</v>
      </c>
      <c r="B13671" s="5" t="str">
        <f>"VITRINA DE 1 CUERPO"</f>
        <v>VITRINA DE 1 CUERPO</v>
      </c>
      <c r="C13671" s="6">
        <v>20208.75</v>
      </c>
      <c r="D13671" s="5"/>
      <c r="E13671" s="5" t="str">
        <f t="shared" si="698"/>
        <v>CONSULTORIO 7 Y 8-CONSULTA EXTERNA</v>
      </c>
      <c r="F13671" s="5" t="str">
        <f>"Descripcion: VITRINA DE UN CUERPO, 2 PUERTAS 1 GAVETA Estado: Bueno Placa anterior: 000005835 Material: METALICO Color: GRIS CLARO Referencia:  Observacion:  Placa padre: Tipo adquisicion: Entidad"</f>
        <v>Descripcion: VITRINA DE UN CUERPO, 2 PUERTAS 1 GAVETA Estado: Bueno Placa anterior: 000005835 Material: METALICO Color: GRIS CLARO Referencia:  Observacion:  Placa padre: Tipo adquisicion: Entidad</v>
      </c>
      <c r="G13671" s="5"/>
    </row>
    <row r="13672" spans="1:7" ht="58.5" customHeight="1" x14ac:dyDescent="0.25">
      <c r="A13672" s="5" t="str">
        <f>"H0000893"</f>
        <v>H0000893</v>
      </c>
      <c r="B13672" s="5" t="str">
        <f>"CUBETA DE ACERO INOXIDABLE CON TAPA GRANDE"</f>
        <v>CUBETA DE ACERO INOXIDABLE CON TAPA GRANDE</v>
      </c>
      <c r="C13672" s="6">
        <v>5815.6</v>
      </c>
      <c r="D13672" s="5"/>
      <c r="E13672" s="5" t="str">
        <f t="shared" si="698"/>
        <v>CONSULTORIO 7 Y 8-CONSULTA EXTERNA</v>
      </c>
      <c r="F13672" s="5" t="str">
        <f>"Descripcion: CUBETA EN ACERO INOX.GRANDE CON TAPA Estado: Bueno Placa anterior: 000005792 Material: ACERO INOXIDABLE Color:  Referencia:  Observacion:  Placa padre: Tipo adquisicion: Entidad"</f>
        <v>Descripcion: CUBETA EN ACERO INOX.GRANDE CON TAPA Estado: Bueno Placa anterior: 000005792 Material: ACERO INOXIDABLE Color:  Referencia:  Observacion:  Placa padre: Tipo adquisicion: Entidad</v>
      </c>
      <c r="G13672" s="5"/>
    </row>
    <row r="13673" spans="1:7" ht="58.5" customHeight="1" x14ac:dyDescent="0.25">
      <c r="A13673" s="5" t="str">
        <f>"H0000894"</f>
        <v>H0000894</v>
      </c>
      <c r="B13673" s="5" t="str">
        <f>"POTE (TARRO) ACERO INXODABLE CON TAPA MEDIANO"</f>
        <v>POTE (TARRO) ACERO INXODABLE CON TAPA MEDIANO</v>
      </c>
      <c r="C13673" s="6">
        <v>7405.69</v>
      </c>
      <c r="D13673" s="5"/>
      <c r="E13673" s="5" t="str">
        <f t="shared" si="698"/>
        <v>CONSULTORIO 7 Y 8-CONSULTA EXTERNA</v>
      </c>
      <c r="F13673" s="5" t="str">
        <f>"Descripcion: TARRO EN ACERO INOXIDABLE MEDIANO CON TAPA Estado: Bueno Placa anterior: 000005796 Material: ACERO INOXIDABLE Color:  Referencia:  Observacion:  Placa padre: Tipo adquisicion: Entidad"</f>
        <v>Descripcion: TARRO EN ACERO INOXIDABLE MEDIANO CON TAPA Estado: Bueno Placa anterior: 000005796 Material: ACERO INOXIDABLE Color:  Referencia:  Observacion:  Placa padre: Tipo adquisicion: Entidad</v>
      </c>
      <c r="G13673" s="5"/>
    </row>
    <row r="13674" spans="1:7" ht="58.5" customHeight="1" x14ac:dyDescent="0.25">
      <c r="A13674" s="5" t="str">
        <f>"H0000895"</f>
        <v>H0000895</v>
      </c>
      <c r="B13674" s="5" t="str">
        <f>"MESA (CARRO) DE CURACIONES"</f>
        <v>MESA (CARRO) DE CURACIONES</v>
      </c>
      <c r="C13674" s="6">
        <v>6670</v>
      </c>
      <c r="D13674" s="5"/>
      <c r="E13674" s="5" t="str">
        <f t="shared" si="698"/>
        <v>CONSULTORIO 7 Y 8-CONSULTA EXTERNA</v>
      </c>
      <c r="F13674" s="5" t="str">
        <f>"Descripcion: MESA CON RODACHINES METALICA Estado: Bueno Placa anterior: 000005797 Material: METALICA Color: BEIGE Referencia:  Observacion:  Placa padre: Tipo adquisicion: Entidad"</f>
        <v>Descripcion: MESA CON RODACHINES METALICA Estado: Bueno Placa anterior: 000005797 Material: METALICA Color: BEIGE Referencia:  Observacion:  Placa padre: Tipo adquisicion: Entidad</v>
      </c>
      <c r="G13674" s="5"/>
    </row>
    <row r="13675" spans="1:7" ht="58.5" customHeight="1" x14ac:dyDescent="0.25">
      <c r="A13675" s="5" t="str">
        <f>"H0000897"</f>
        <v>H0000897</v>
      </c>
      <c r="B13675" s="5" t="str">
        <f>"TENSIOMETRO ANEROIDE DE PARED ADULTO"</f>
        <v>TENSIOMETRO ANEROIDE DE PARED ADULTO</v>
      </c>
      <c r="C13675" s="6">
        <v>464000</v>
      </c>
      <c r="D13675" s="5"/>
      <c r="E13675" s="5" t="str">
        <f t="shared" si="698"/>
        <v>CONSULTORIO 7 Y 8-CONSULTA EXTERNA</v>
      </c>
      <c r="F13675" s="5" t="str">
        <f>"Descripcion: TENSIOMETRO ADULTO DE PARED Estado: Excelente Placa anterior: 000039077 Material: PLASTICO Color: BLANCO Referencia:  Observacion:  Placa padre: Tipo adquisicion: Entidad"</f>
        <v>Descripcion: TENSIOMETRO ADULTO DE PARED Estado: Excelente Placa anterior: 000039077 Material: PLASTICO Color: BLANCO Referencia:  Observacion:  Placa padre: Tipo adquisicion: Entidad</v>
      </c>
      <c r="G13675" s="5" t="str">
        <f>"BIG BEN ROUND"</f>
        <v>BIG BEN ROUND</v>
      </c>
    </row>
    <row r="13676" spans="1:7" ht="58.5" customHeight="1" x14ac:dyDescent="0.25">
      <c r="A13676" s="5" t="str">
        <f>"H0000898"</f>
        <v>H0000898</v>
      </c>
      <c r="B13676" s="5" t="str">
        <f>"EQUIPO ORGANOS DE LOS SENTIDOS PORTATIL"</f>
        <v>EQUIPO ORGANOS DE LOS SENTIDOS PORTATIL</v>
      </c>
      <c r="C13676" s="6">
        <v>928000</v>
      </c>
      <c r="D13676" s="5" t="s">
        <v>382</v>
      </c>
      <c r="E13676" s="5" t="str">
        <f t="shared" si="698"/>
        <v>CONSULTORIO 7 Y 8-CONSULTA EXTERNA</v>
      </c>
      <c r="F13676" s="5" t="str">
        <f>"Descripcion: EQUIPO ORGANO DE LOS SENTIDOS (2 PIEZAS) CON ESTUCHE Estado: Excelente Placa anterior: 000039059 Material:  Color: NEGRO Referencia:  Observacion:  Placa padre: Tipo adquisicion: Entidad"</f>
        <v>Descripcion: EQUIPO ORGANO DE LOS SENTIDOS (2 PIEZAS) CON ESTUCHE Estado: Excelente Placa anterior: 000039059 Material:  Color: NEGRO Referencia:  Observacion:  Placa padre: Tipo adquisicion: Entidad</v>
      </c>
      <c r="G13676" s="5"/>
    </row>
    <row r="13677" spans="1:7" ht="58.5" customHeight="1" x14ac:dyDescent="0.25">
      <c r="A13677" s="5" t="str">
        <f>"H0000906"</f>
        <v>H0000906</v>
      </c>
      <c r="B13677" s="5" t="str">
        <f>"IMPRESORA LASER"</f>
        <v>IMPRESORA LASER</v>
      </c>
      <c r="C13677" s="6">
        <v>2470000</v>
      </c>
      <c r="D13677" s="5"/>
      <c r="E13677" s="5" t="str">
        <f t="shared" si="698"/>
        <v>CONSULTORIO 7 Y 8-CONSULTA EXTERNA</v>
      </c>
      <c r="F13677" s="5" t="str">
        <f>"Descripcion: IMPRESORA MARCA HP LASERJET 3015 DN: Monocromatica, Laser der ed, 40 PPM, PCL, Ethernet GARANTIA 1 AÑO Estado: Regular Placa anterior: 000029213 Material:  Color: BLANCO CON NEGRO Referencia:  Observacion:  Placa padre: Tipo adquisicion: Enti"&amp; "dad"</f>
        <v>Descripcion: IMPRESORA MARCA HP LASERJET 3015 DN: Monocromatica, Laser der ed, 40 PPM, PCL, Ethernet GARANTIA 1 AÑO Estado: Regular Placa anterior: 000029213 Material:  Color: BLANCO CON NEGRO Referencia:  Observacion:  Placa padre: Tipo adquisicion: Entidad</v>
      </c>
      <c r="G13677" s="5" t="str">
        <f>"LASERJET P3015"</f>
        <v>LASERJET P3015</v>
      </c>
    </row>
    <row r="13678" spans="1:7" ht="58.5" customHeight="1" x14ac:dyDescent="0.25">
      <c r="A13678" s="5" t="str">
        <f>"H0000908"</f>
        <v>H0000908</v>
      </c>
      <c r="B13678" s="5" t="str">
        <f>"NEGATOSCOPIO"</f>
        <v>NEGATOSCOPIO</v>
      </c>
      <c r="C13678" s="6">
        <v>242440</v>
      </c>
      <c r="D13678" s="5"/>
      <c r="E13678" s="5" t="str">
        <f t="shared" si="698"/>
        <v>CONSULTORIO 7 Y 8-CONSULTA EXTERNA</v>
      </c>
      <c r="F13678" s="5" t="str">
        <f>"Descripcion: NEGATOSCOPIO DE DOS CUERPOS Estado: Bueno Placa anterior: 000030552 Material: PLASTICO Color: VERDE CON ACRILICO Referencia:  Observacion: AUTORIZADO CONCILIAR EN CRUCE GENERAL Placa padre: Tipo adquisicion: Entidad"</f>
        <v>Descripcion: NEGATOSCOPIO DE DOS CUERPOS Estado: Bueno Placa anterior: 000030552 Material: PLASTICO Color: VERDE CON ACRILICO Referencia:  Observacion: AUTORIZADO CONCILIAR EN CRUCE GENERAL Placa padre: Tipo adquisicion: Entidad</v>
      </c>
      <c r="G13678" s="5"/>
    </row>
    <row r="13679" spans="1:7" ht="58.5" customHeight="1" x14ac:dyDescent="0.25">
      <c r="A13679" s="5" t="str">
        <f>"H0000912"</f>
        <v>H0000912</v>
      </c>
      <c r="B13679" s="5" t="str">
        <f>"ESCRITORIO DE MADERA 2 GAVETAS"</f>
        <v>ESCRITORIO DE MADERA 2 GAVETAS</v>
      </c>
      <c r="C13679" s="6">
        <v>16107.67</v>
      </c>
      <c r="D13679" s="5"/>
      <c r="E13679" s="5" t="str">
        <f t="shared" si="698"/>
        <v>CONSULTORIO 7 Y 8-CONSULTA EXTERNA</v>
      </c>
      <c r="F13679" s="5" t="str">
        <f>"Descripcion: ESCRITORIO EN MADERA MEDIDAS 77.5X120X50CM Estado: Bueno Placa anterior: 000008680 Material: MADERA  Color: MARRON  Referencia:  Observacion: DONACION DEL DR JUAN ARTURO SAN JUAN Placa padre: Tipo adquisicion: Donacion"</f>
        <v>Descripcion: ESCRITORIO EN MADERA MEDIDAS 77.5X120X50CM Estado: Bueno Placa anterior: 000008680 Material: MADERA  Color: MARRON  Referencia:  Observacion: DONACION DEL DR JUAN ARTURO SAN JUAN Placa padre: Tipo adquisicion: Donacion</v>
      </c>
      <c r="G13679" s="5"/>
    </row>
    <row r="13680" spans="1:7" ht="58.5" customHeight="1" x14ac:dyDescent="0.25">
      <c r="A13680" s="5" t="str">
        <f>"H0000914"</f>
        <v>H0000914</v>
      </c>
      <c r="B13680" s="5" t="str">
        <f>"SILLA INTERLOCUTORA (FIJA) SIN BRAZOS"</f>
        <v>SILLA INTERLOCUTORA (FIJA) SIN BRAZOS</v>
      </c>
      <c r="C13680" s="6">
        <v>7480</v>
      </c>
      <c r="D13680" s="5"/>
      <c r="E13680" s="5" t="str">
        <f t="shared" si="698"/>
        <v>CONSULTORIO 7 Y 8-CONSULTA EXTERNA</v>
      </c>
      <c r="F13680" s="5" t="str">
        <f>"Descripcion: SILLA FIJA TIPO A COLOR MARRON Estado: Bueno Placa anterior: 000012007 Material: METALICA CON TAPIZADO EN SEMICUERO Color: MARRON Referencia:  Observacion:  Placa padre: Tipo adquisicion: Entidad"</f>
        <v>Descripcion: SILLA FIJA TIPO A COLOR MARRON Estado: Bueno Placa anterior: 000012007 Material: METALICA CON TAPIZADO EN SEMICUERO Color: MARRON Referencia:  Observacion:  Placa padre: Tipo adquisicion: Entidad</v>
      </c>
      <c r="G13680" s="5"/>
    </row>
    <row r="13681" spans="1:7" ht="58.5" customHeight="1" x14ac:dyDescent="0.25">
      <c r="A13681" s="5" t="str">
        <f>"H0000915"</f>
        <v>H0000915</v>
      </c>
      <c r="B13681" s="5" t="str">
        <f>"EQUIPO ORGANOS DE LOS SENTIDOS PORTATIL"</f>
        <v>EQUIPO ORGANOS DE LOS SENTIDOS PORTATIL</v>
      </c>
      <c r="C13681" s="6">
        <v>928000</v>
      </c>
      <c r="D13681" s="5" t="s">
        <v>382</v>
      </c>
      <c r="E13681" s="5" t="str">
        <f t="shared" si="698"/>
        <v>CONSULTORIO 7 Y 8-CONSULTA EXTERNA</v>
      </c>
      <c r="F13681" s="5" t="str">
        <f>"Descripcion: EQUIPO ORGANO DE LOS SENTIDOS PORTATIL CON ESTUCHE Estado: Excelente Placa anterior: 000039060 Material:  Color: NEGRO Referencia:  Observacion:  Placa padre: Tipo adquisicion: Entidad"</f>
        <v>Descripcion: EQUIPO ORGANO DE LOS SENTIDOS PORTATIL CON ESTUCHE Estado: Excelente Placa anterior: 000039060 Material:  Color: NEGRO Referencia:  Observacion:  Placa padre: Tipo adquisicion: Entidad</v>
      </c>
      <c r="G13681" s="5"/>
    </row>
    <row r="13682" spans="1:7" ht="58.5" customHeight="1" x14ac:dyDescent="0.25">
      <c r="A13682" s="5" t="str">
        <f>"H0000917"</f>
        <v>H0000917</v>
      </c>
      <c r="B13682" s="5" t="str">
        <f>"VITRINA DE 1 CUERPO"</f>
        <v>VITRINA DE 1 CUERPO</v>
      </c>
      <c r="C13682" s="6">
        <v>20208</v>
      </c>
      <c r="D13682" s="5"/>
      <c r="E13682" s="5" t="str">
        <f t="shared" si="698"/>
        <v>CONSULTORIO 7 Y 8-CONSULTA EXTERNA</v>
      </c>
      <c r="F13682" s="5" t="str">
        <f>"Descripcion: VITRINA TIPO A DE UN CUERPO, 2 PUERTAS 1 GAVETA. METALICA. MEDIADAS: 50 X 150 X 30 CM Estado: Bueno Placa anterior: 000005915 Material: METALICO Color: GRIS Referencia:  Observacion:  Placa padre: Tipo adquisicion: Entidad"</f>
        <v>Descripcion: VITRINA TIPO A DE UN CUERPO, 2 PUERTAS 1 GAVETA. METALICA. MEDIADAS: 50 X 150 X 30 CM Estado: Bueno Placa anterior: 000005915 Material: METALICO Color: GRIS Referencia:  Observacion:  Placa padre: Tipo adquisicion: Entidad</v>
      </c>
      <c r="G13682" s="5"/>
    </row>
    <row r="13683" spans="1:7" ht="58.5" customHeight="1" x14ac:dyDescent="0.25">
      <c r="A13683" s="5" t="str">
        <f>"H0000918"</f>
        <v>H0000918</v>
      </c>
      <c r="B13683" s="5" t="str">
        <f>"TENSIOMETRO ANEROIDE DE MANO ADULTO"</f>
        <v>TENSIOMETRO ANEROIDE DE MANO ADULTO</v>
      </c>
      <c r="C13683" s="6">
        <v>46603.26</v>
      </c>
      <c r="D13683" s="5"/>
      <c r="E13683" s="5" t="str">
        <f t="shared" si="698"/>
        <v>CONSULTORIO 7 Y 8-CONSULTA EXTERNA</v>
      </c>
      <c r="F13683" s="5" t="str">
        <f>"Descripcion: TENSIOMETRO DE PEDESTAL CON RODACHINES Estado: Bueno Placa anterior: 000005834 Material: METALICO Color: CROMADO Referencia:  Observacion:  Placa padre: Tipo adquisicion: Entidad"</f>
        <v>Descripcion: TENSIOMETRO DE PEDESTAL CON RODACHINES Estado: Bueno Placa anterior: 000005834 Material: METALICO Color: CROMADO Referencia:  Observacion:  Placa padre: Tipo adquisicion: Entidad</v>
      </c>
      <c r="G13683" s="5" t="str">
        <f>"CE-0297"</f>
        <v>CE-0297</v>
      </c>
    </row>
    <row r="13684" spans="1:7" ht="58.5" customHeight="1" x14ac:dyDescent="0.25">
      <c r="A13684" s="5" t="str">
        <f>"H0000919"</f>
        <v>H0000919</v>
      </c>
      <c r="B13684" s="5" t="str">
        <f>"MESA DE NOCHE"</f>
        <v>MESA DE NOCHE</v>
      </c>
      <c r="C13684" s="6">
        <v>327586</v>
      </c>
      <c r="D13684" s="5"/>
      <c r="E13684" s="5" t="str">
        <f t="shared" si="698"/>
        <v>CONSULTORIO 7 Y 8-CONSULTA EXTERNA</v>
      </c>
      <c r="F13684" s="5" t="str">
        <f>"Descripcion: MESA METALICA CON UNA GAVETA Y UNA PUERTA Estado: Regular Placa anterior: 000033016 Material: METALICO Color: GRIS Referencia:  Observacion: AUTORIZADO CONCILIAR EN CRUCE GENERAL Placa padre: Tipo adquisicion: Entidad"</f>
        <v>Descripcion: MESA METALICA CON UNA GAVETA Y UNA PUERTA Estado: Regular Placa anterior: 000033016 Material: METALICO Color: GRIS Referencia:  Observacion: AUTORIZADO CONCILIAR EN CRUCE GENERAL Placa padre: Tipo adquisicion: Entidad</v>
      </c>
      <c r="G13684" s="5"/>
    </row>
    <row r="13685" spans="1:7" ht="58.5" customHeight="1" x14ac:dyDescent="0.25">
      <c r="A13685" s="5" t="str">
        <f>"H0000920"</f>
        <v>H0000920</v>
      </c>
      <c r="B13685" s="5" t="str">
        <f>"BIOMBO METALICO DE 2 CUERPOS"</f>
        <v>BIOMBO METALICO DE 2 CUERPOS</v>
      </c>
      <c r="C13685" s="6">
        <v>6820</v>
      </c>
      <c r="D13685" s="5"/>
      <c r="E13685" s="5" t="str">
        <f t="shared" ref="E13685:E13713" si="699">"CONSULTORIO 7 Y 8-CONSULTA EXTERNA"</f>
        <v>CONSULTORIO 7 Y 8-CONSULTA EXTERNA</v>
      </c>
      <c r="F13685" s="5" t="str">
        <f>"Descripcion: BIOMBO DE 2 CUERPOS Estado: Bueno Placa anterior: 000006865 Material: METALICO Color: GRIS Referencia:  Observacion: FUE TRASLADADO A MANTENIMIENTO Placa padre: Tipo adquisicion: Entidad"</f>
        <v>Descripcion: BIOMBO DE 2 CUERPOS Estado: Bueno Placa anterior: 000006865 Material: METALICO Color: GRIS Referencia:  Observacion: FUE TRASLADADO A MANTENIMIENTO Placa padre: Tipo adquisicion: Entidad</v>
      </c>
      <c r="G13685" s="5"/>
    </row>
    <row r="13686" spans="1:7" ht="58.5" customHeight="1" x14ac:dyDescent="0.25">
      <c r="A13686" s="5" t="str">
        <f>"H0000922"</f>
        <v>H0000922</v>
      </c>
      <c r="B13686" s="5" t="str">
        <f>"CAMILLA DE TRASLADO DE 2 PLANOS"</f>
        <v>CAMILLA DE TRASLADO DE 2 PLANOS</v>
      </c>
      <c r="C13686" s="6">
        <v>1780000</v>
      </c>
      <c r="D13686" s="5" t="s">
        <v>63</v>
      </c>
      <c r="E13686" s="5" t="str">
        <f t="shared" si="699"/>
        <v>CONSULTORIO 7 Y 8-CONSULTA EXTERNA</v>
      </c>
      <c r="F13686" s="5" t="str">
        <f>"Descripcion: CAMILLA MECANICA DOS PLANOS Estado: Bueno Placa anterior: 000037781 Material: METALICA Color: BEIGE Referencia:  Observacion:  Placa padre: Tipo adquisicion: Entidad"</f>
        <v>Descripcion: CAMILLA MECANICA DOS PLANOS Estado: Bueno Placa anterior: 000037781 Material: METALICA Color: BEIGE Referencia:  Observacion:  Placa padre: Tipo adquisicion: Entidad</v>
      </c>
      <c r="G13686" s="5"/>
    </row>
    <row r="13687" spans="1:7" ht="58.5" customHeight="1" x14ac:dyDescent="0.25">
      <c r="A13687" s="5" t="str">
        <f>"H0000925"</f>
        <v>H0000925</v>
      </c>
      <c r="B13687" s="5" t="str">
        <f>"ESCALERILLA DE 2 PASOS"</f>
        <v>ESCALERILLA DE 2 PASOS</v>
      </c>
      <c r="C13687" s="6">
        <v>4886.87</v>
      </c>
      <c r="D13687" s="5"/>
      <c r="E13687" s="5" t="str">
        <f t="shared" si="699"/>
        <v>CONSULTORIO 7 Y 8-CONSULTA EXTERNA</v>
      </c>
      <c r="F13687" s="5" t="str">
        <f>"Descripcion: ESCALERA DE 2 PASOS METALICA CON PASOS EN PLASTICO Estado: Bueno Placa anterior: 000004741 Material: MADERA  Color: BEIGE Referencia:  Observacion:  Placa padre: Tipo adquisicion: Entidad"</f>
        <v>Descripcion: ESCALERA DE 2 PASOS METALICA CON PASOS EN PLASTICO Estado: Bueno Placa anterior: 000004741 Material: MADERA  Color: BEIGE Referencia:  Observacion:  Placa padre: Tipo adquisicion: Entidad</v>
      </c>
      <c r="G13687" s="5"/>
    </row>
    <row r="13688" spans="1:7" ht="58.5" customHeight="1" x14ac:dyDescent="0.25">
      <c r="A13688" s="5" t="str">
        <f>"H0000926"</f>
        <v>H0000926</v>
      </c>
      <c r="B13688" s="5" t="str">
        <f>"TENSIOMETRO ANEROIDE DE PARED ADULTO"</f>
        <v>TENSIOMETRO ANEROIDE DE PARED ADULTO</v>
      </c>
      <c r="C13688" s="6">
        <v>146490</v>
      </c>
      <c r="D13688" s="5"/>
      <c r="E13688" s="5" t="str">
        <f t="shared" si="699"/>
        <v>CONSULTORIO 7 Y 8-CONSULTA EXTERNA</v>
      </c>
      <c r="F13688" s="5" t="str">
        <f>"Descripcion: TENSIOMETRO DE PARED  ADULTO Estado: Bueno Placa anterior: 000018515 Material: PLASTICO Color: NEGRO Referencia:  Observacion: AUTORIZADO CONCILIAR EN CRUCE GENERAL Placa padre: Tipo adquisicion: Entidad"</f>
        <v>Descripcion: TENSIOMETRO DE PARED  ADULTO Estado: Bueno Placa anterior: 000018515 Material: PLASTICO Color: NEGRO Referencia:  Observacion: AUTORIZADO CONCILIAR EN CRUCE GENERAL Placa padre: Tipo adquisicion: Entidad</v>
      </c>
      <c r="G13688" s="5"/>
    </row>
    <row r="13689" spans="1:7" ht="58.5" customHeight="1" x14ac:dyDescent="0.25">
      <c r="A13689" s="5" t="str">
        <f>"H0000931"</f>
        <v>H0000931</v>
      </c>
      <c r="B13689" s="5" t="str">
        <f>"RIÑONERA HOSPITALARIA EN ACERO INOXIDABLE"</f>
        <v>RIÑONERA HOSPITALARIA EN ACERO INOXIDABLE</v>
      </c>
      <c r="C13689" s="6">
        <v>15723.87</v>
      </c>
      <c r="D13689" s="5"/>
      <c r="E13689" s="5" t="str">
        <f t="shared" si="699"/>
        <v>CONSULTORIO 7 Y 8-CONSULTA EXTERNA</v>
      </c>
      <c r="F13689" s="5" t="str">
        <f>"Descripcion: RIÑONERA ACERO INOXIDABLE Estado: Excelente Placa anterior: 000005180 Material: ACERO INOXIDABLE Color:  Referencia:  Observacion: SE ENCUENTRA EN EL CONSULTORIO 8 Placa padre: Tipo adquisicion: Entidad"</f>
        <v>Descripcion: RIÑONERA ACERO INOXIDABLE Estado: Excelente Placa anterior: 000005180 Material: ACERO INOXIDABLE Color:  Referencia:  Observacion: SE ENCUENTRA EN EL CONSULTORIO 8 Placa padre: Tipo adquisicion: Entidad</v>
      </c>
      <c r="G13689" s="5"/>
    </row>
    <row r="13690" spans="1:7" ht="58.5" customHeight="1" x14ac:dyDescent="0.25">
      <c r="A13690" s="5" t="str">
        <f>"H0000932"</f>
        <v>H0000932</v>
      </c>
      <c r="B13690" s="5" t="str">
        <f>"MESA (CARRO) DE CURACIONES"</f>
        <v>MESA (CARRO) DE CURACIONES</v>
      </c>
      <c r="C13690" s="6">
        <v>49170</v>
      </c>
      <c r="D13690" s="5"/>
      <c r="E13690" s="5" t="str">
        <f t="shared" si="699"/>
        <v>CONSULTORIO 7 Y 8-CONSULTA EXTERNA</v>
      </c>
      <c r="F13690" s="5" t="str">
        <f>"Descripcion: MESA AUXILIAR TIPO CARRO C/BARANDAS Y RODACHINES Estado: Bueno Placa anterior: 000006870 Material:  Color:  Referencia:  Observacion:  Placa padre: Tipo adquisicion: Entidad"</f>
        <v>Descripcion: MESA AUXILIAR TIPO CARRO C/BARANDAS Y RODACHINES Estado: Bueno Placa anterior: 000006870 Material:  Color:  Referencia:  Observacion:  Placa padre: Tipo adquisicion: Entidad</v>
      </c>
      <c r="G13690" s="5"/>
    </row>
    <row r="13691" spans="1:7" ht="58.5" customHeight="1" x14ac:dyDescent="0.25">
      <c r="A13691" s="5" t="str">
        <f>"H0000933"</f>
        <v>H0000933</v>
      </c>
      <c r="B13691" s="5" t="str">
        <f>"CUBETA DE ACERO INOXIDABLE CON TAPA MEDIANA"</f>
        <v>CUBETA DE ACERO INOXIDABLE CON TAPA MEDIANA</v>
      </c>
      <c r="C13691" s="6">
        <v>5815.6</v>
      </c>
      <c r="D13691" s="5"/>
      <c r="E13691" s="5" t="str">
        <f t="shared" si="699"/>
        <v>CONSULTORIO 7 Y 8-CONSULTA EXTERNA</v>
      </c>
      <c r="F13691" s="5" t="str">
        <f>"Descripcion: CUBETA EN ACERO INOX.MEDIANA CON TAPA Estado: Bueno Placa anterior: 000005794 Material:  Color:  Referencia:  Observacion: SE ENCUENTRA EN EL CONSULTORIO 18 Placa padre: Tipo adquisicion: Entidad"</f>
        <v>Descripcion: CUBETA EN ACERO INOX.MEDIANA CON TAPA Estado: Bueno Placa anterior: 000005794 Material:  Color:  Referencia:  Observacion: SE ENCUENTRA EN EL CONSULTORIO 18 Placa padre: Tipo adquisicion: Entidad</v>
      </c>
      <c r="G13691" s="5"/>
    </row>
    <row r="13692" spans="1:7" ht="58.5" customHeight="1" x14ac:dyDescent="0.25">
      <c r="A13692" s="5" t="str">
        <f>"H0000934"</f>
        <v>H0000934</v>
      </c>
      <c r="B13692" s="5" t="str">
        <f>"PLATON NIQUELADO – INOXIDABLE"</f>
        <v>PLATON NIQUELADO – INOXIDABLE</v>
      </c>
      <c r="C13692" s="6">
        <v>2023.22</v>
      </c>
      <c r="D13692" s="5"/>
      <c r="E13692" s="5" t="str">
        <f t="shared" si="699"/>
        <v>CONSULTORIO 7 Y 8-CONSULTA EXTERNA</v>
      </c>
      <c r="F13692" s="5" t="str">
        <f>"Descripcion: PLATON DE CURACION REDONDO Estado: Bueno Placa anterior: 000005158 Material: ACERO INOXIDABLE Color:  Referencia:  Observacion: SE ENCUENTRA EN EL CONSULTORIO 18 Placa padre: Tipo adquisicion: Entidad"</f>
        <v>Descripcion: PLATON DE CURACION REDONDO Estado: Bueno Placa anterior: 000005158 Material: ACERO INOXIDABLE Color:  Referencia:  Observacion: SE ENCUENTRA EN EL CONSULTORIO 18 Placa padre: Tipo adquisicion: Entidad</v>
      </c>
      <c r="G13692" s="5"/>
    </row>
    <row r="13693" spans="1:7" ht="58.5" customHeight="1" x14ac:dyDescent="0.25">
      <c r="A13693" s="5" t="str">
        <f>"H0000935"</f>
        <v>H0000935</v>
      </c>
      <c r="B13693" s="5" t="str">
        <f>"ESCALERILLA DE 2 PASOS"</f>
        <v>ESCALERILLA DE 2 PASOS</v>
      </c>
      <c r="C13693" s="6">
        <v>4455</v>
      </c>
      <c r="D13693" s="5"/>
      <c r="E13693" s="5" t="str">
        <f t="shared" si="699"/>
        <v>CONSULTORIO 7 Y 8-CONSULTA EXTERNA</v>
      </c>
      <c r="F13693" s="5" t="str">
        <f>"Descripcion: ESCALERA DE 2 PASOS  Estado: Malo Placa anterior: 000005605 Material:  Color: GRIS Referencia:  Observacion: AUTORIZADO CONCILIAR EN CRUCE GENERAL Placa padre: Tipo adquisicion: Entidad"</f>
        <v>Descripcion: ESCALERA DE 2 PASOS  Estado: Malo Placa anterior: 000005605 Material:  Color: GRIS Referencia:  Observacion: AUTORIZADO CONCILIAR EN CRUCE GENERAL Placa padre: Tipo adquisicion: Entidad</v>
      </c>
      <c r="G13693" s="5"/>
    </row>
    <row r="13694" spans="1:7" ht="58.5" customHeight="1" x14ac:dyDescent="0.25">
      <c r="A13694" s="5" t="str">
        <f>"H0018625"</f>
        <v>H0018625</v>
      </c>
      <c r="B13694" s="5" t="str">
        <f>"ECOGRAFO"</f>
        <v>ECOGRAFO</v>
      </c>
      <c r="C13694" s="6">
        <v>3000000</v>
      </c>
      <c r="D13694" s="5" t="s">
        <v>687</v>
      </c>
      <c r="E13694" s="5" t="str">
        <f t="shared" si="699"/>
        <v>CONSULTORIO 7 Y 8-CONSULTA EXTERNA</v>
      </c>
      <c r="F13694" s="5" t="str">
        <f>"Descripcion: ECOGRAFO PHILLIPS  Estado: Bueno Placa anterior:  Material: PASTA Color: BEIGE Referencia: 989605375631 Observacion: EL BIEN TIENE PLACA ANTERIOR  000028719 Placa anterior:000033092, Placa nueva=H0018626, Descripcion:PLACA ANTERIOR 000033092 "&amp; "TRAE INFORMACION DE ECOGRAFO,MARCA LANDWIND,MOD. C-40,S/N C107E008640T13UK, Serial:172379, Marca:SONY, Modelo:UP-897MD, Material:PASTA, Color:BEIGE,Referencia: Placa padre: Tipo adquisicion: Entidad"</f>
        <v>Descripcion: ECOGRAFO PHILLIPS  Estado: Bueno Placa anterior:  Material: PASTA Color: BEIGE Referencia: 989605375631 Observacion: EL BIEN TIENE PLACA ANTERIOR  000028719 Placa anterior:000033092, Placa nueva=H0018626, Descripcion:PLACA ANTERIOR 000033092 TRAE INFORMACION DE ECOGRAFO,MARCA LANDWIND,MOD. C-40,S/N C107E008640T13UK, Serial:172379, Marca:SONY, Modelo:UP-897MD, Material:PASTA, Color:BEIGE,Referencia: Placa padre: Tipo adquisicion: Entidad</v>
      </c>
      <c r="G13694" s="5" t="str">
        <f>"HD9"</f>
        <v>HD9</v>
      </c>
    </row>
    <row r="13695" spans="1:7" ht="58.5" customHeight="1" x14ac:dyDescent="0.25">
      <c r="A13695" s="5" t="str">
        <f>"H0024572"</f>
        <v>H0024572</v>
      </c>
      <c r="B1369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695" s="6">
        <v>2600000</v>
      </c>
      <c r="D13695" s="5" t="s">
        <v>36</v>
      </c>
      <c r="E13695" s="5" t="str">
        <f t="shared" si="699"/>
        <v>CONSULTORIO 7 Y 8-CONSULTA EXTERNA</v>
      </c>
      <c r="F13695" s="5"/>
      <c r="G13695" s="5"/>
    </row>
    <row r="13696" spans="1:7" ht="58.5" customHeight="1" x14ac:dyDescent="0.25">
      <c r="A13696" s="5" t="str">
        <f>"H0025387"</f>
        <v>H0025387</v>
      </c>
      <c r="B1369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696" s="6">
        <v>312156</v>
      </c>
      <c r="D13696" s="5" t="s">
        <v>10</v>
      </c>
      <c r="E13696" s="5" t="str">
        <f t="shared" si="699"/>
        <v>CONSULTORIO 7 Y 8-CONSULTA EXTERNA</v>
      </c>
      <c r="F13696" s="5"/>
      <c r="G13696" s="5"/>
    </row>
    <row r="13697" spans="1:7" ht="58.5" customHeight="1" x14ac:dyDescent="0.25">
      <c r="A13697" s="5" t="str">
        <f>"H0025700"</f>
        <v>H0025700</v>
      </c>
      <c r="B13697" s="5" t="str">
        <f>"UNIDAD ININTERRUMPIDA DE POTENCIA (UPS) 2.2KW"</f>
        <v>UNIDAD ININTERRUMPIDA DE POTENCIA (UPS) 2.2KW</v>
      </c>
      <c r="C13697" s="6">
        <v>2869965</v>
      </c>
      <c r="D13697" s="5" t="s">
        <v>593</v>
      </c>
      <c r="E13697" s="5" t="str">
        <f t="shared" si="699"/>
        <v>CONSULTORIO 7 Y 8-CONSULTA EXTERNA</v>
      </c>
      <c r="F13697" s="5"/>
      <c r="G13697" s="5"/>
    </row>
    <row r="13698" spans="1:7" ht="58.5" customHeight="1" x14ac:dyDescent="0.25">
      <c r="A13698" s="5" t="str">
        <f>"H0025926"</f>
        <v>H0025926</v>
      </c>
      <c r="B13698" s="5" t="str">
        <f>"DOPPLER VASCULAR PORTATIL"</f>
        <v>DOPPLER VASCULAR PORTATIL</v>
      </c>
      <c r="C13698" s="6">
        <v>3981740</v>
      </c>
      <c r="D13698" s="5" t="s">
        <v>722</v>
      </c>
      <c r="E13698" s="5" t="str">
        <f t="shared" si="699"/>
        <v>CONSULTORIO 7 Y 8-CONSULTA EXTERNA</v>
      </c>
      <c r="F13698" s="5"/>
      <c r="G13698" s="5"/>
    </row>
    <row r="13699" spans="1:7" ht="58.5" customHeight="1" x14ac:dyDescent="0.25">
      <c r="A13699" s="5" t="str">
        <f>"H0025927"</f>
        <v>H0025927</v>
      </c>
      <c r="B13699" s="5" t="str">
        <f>"DOPPLER VASCULAR PARA 30 FORMAS DE ONDA"</f>
        <v>DOPPLER VASCULAR PARA 30 FORMAS DE ONDA</v>
      </c>
      <c r="C13699" s="6">
        <v>7513660</v>
      </c>
      <c r="D13699" s="5" t="s">
        <v>722</v>
      </c>
      <c r="E13699" s="5" t="str">
        <f t="shared" si="699"/>
        <v>CONSULTORIO 7 Y 8-CONSULTA EXTERNA</v>
      </c>
      <c r="F13699" s="5"/>
      <c r="G13699" s="5" t="str">
        <f>"SMARTIDOP 45,"</f>
        <v>SMARTIDOP 45,</v>
      </c>
    </row>
    <row r="13700" spans="1:7" ht="58.5" customHeight="1" x14ac:dyDescent="0.25">
      <c r="A13700" s="5" t="str">
        <f>"H0025928"</f>
        <v>H0025928</v>
      </c>
      <c r="B13700" s="5" t="str">
        <f>"DOPPLER VASCULAR"</f>
        <v>DOPPLER VASCULAR</v>
      </c>
      <c r="C13700" s="6">
        <v>5474000</v>
      </c>
      <c r="D13700" s="5" t="s">
        <v>722</v>
      </c>
      <c r="E13700" s="5" t="str">
        <f t="shared" si="699"/>
        <v>CONSULTORIO 7 Y 8-CONSULTA EXTERNA</v>
      </c>
      <c r="F13700" s="5"/>
      <c r="G13700" s="5" t="str">
        <f>"SMARTDOP 30EX"</f>
        <v>SMARTDOP 30EX</v>
      </c>
    </row>
    <row r="13701" spans="1:7" ht="58.5" customHeight="1" x14ac:dyDescent="0.25">
      <c r="A13701" s="5" t="str">
        <f>"H0027530"</f>
        <v>H0027530</v>
      </c>
      <c r="B13701" s="5" t="str">
        <f>"LECTOR DE HUELLAS DIGITALES"</f>
        <v>LECTOR DE HUELLAS DIGITALES</v>
      </c>
      <c r="C13701" s="6">
        <v>234000.41</v>
      </c>
      <c r="D13701" s="5" t="s">
        <v>83</v>
      </c>
      <c r="E13701" s="5" t="str">
        <f t="shared" si="699"/>
        <v>CONSULTORIO 7 Y 8-CONSULTA EXTERNA</v>
      </c>
      <c r="F13701" s="5"/>
      <c r="G13701" s="5"/>
    </row>
    <row r="13702" spans="1:7" ht="58.5" customHeight="1" x14ac:dyDescent="0.25">
      <c r="A13702" s="5" t="str">
        <f>"H0027531"</f>
        <v>H0027531</v>
      </c>
      <c r="B13702" s="5" t="str">
        <f>"LECTOR DE HUELLAS DIGITALES"</f>
        <v>LECTOR DE HUELLAS DIGITALES</v>
      </c>
      <c r="C13702" s="6">
        <v>234000.41</v>
      </c>
      <c r="D13702" s="5" t="s">
        <v>83</v>
      </c>
      <c r="E13702" s="5" t="str">
        <f t="shared" si="699"/>
        <v>CONSULTORIO 7 Y 8-CONSULTA EXTERNA</v>
      </c>
      <c r="F13702" s="5"/>
      <c r="G13702" s="5"/>
    </row>
    <row r="13703" spans="1:7" ht="58.5" customHeight="1" x14ac:dyDescent="0.25">
      <c r="A13703" s="5" t="str">
        <f>"H0027532"</f>
        <v>H0027532</v>
      </c>
      <c r="B13703" s="5" t="str">
        <f>"LECTOR DE HUELLAS DIGITALES"</f>
        <v>LECTOR DE HUELLAS DIGITALES</v>
      </c>
      <c r="C13703" s="6">
        <v>234000.41</v>
      </c>
      <c r="D13703" s="5" t="s">
        <v>354</v>
      </c>
      <c r="E13703" s="5" t="str">
        <f t="shared" si="699"/>
        <v>CONSULTORIO 7 Y 8-CONSULTA EXTERNA</v>
      </c>
      <c r="F13703" s="5"/>
      <c r="G13703" s="5"/>
    </row>
    <row r="13704" spans="1:7" ht="58.5" customHeight="1" x14ac:dyDescent="0.25">
      <c r="A13704" s="5" t="str">
        <f>"H0028966"</f>
        <v>H0028966</v>
      </c>
      <c r="B13704" s="5" t="str">
        <f>"SILLA HERGONOMICA CON SISTEMA HIDRAULICO"</f>
        <v>SILLA HERGONOMICA CON SISTEMA HIDRAULICO</v>
      </c>
      <c r="C13704" s="6">
        <v>174900</v>
      </c>
      <c r="D13704" s="5" t="s">
        <v>40</v>
      </c>
      <c r="E13704" s="5" t="str">
        <f t="shared" si="699"/>
        <v>CONSULTORIO 7 Y 8-CONSULTA EXTERNA</v>
      </c>
      <c r="F13704" s="5"/>
      <c r="G13704" s="5"/>
    </row>
    <row r="13705" spans="1:7" ht="58.5" customHeight="1" x14ac:dyDescent="0.25">
      <c r="A13705" s="5" t="str">
        <f>"H0028967"</f>
        <v>H0028967</v>
      </c>
      <c r="B13705" s="5" t="str">
        <f>"SILLA HERGONOMICA CON SISTEMA HIDRAULICO"</f>
        <v>SILLA HERGONOMICA CON SISTEMA HIDRAULICO</v>
      </c>
      <c r="C13705" s="6">
        <v>174900</v>
      </c>
      <c r="D13705" s="5" t="s">
        <v>40</v>
      </c>
      <c r="E13705" s="5" t="str">
        <f t="shared" si="699"/>
        <v>CONSULTORIO 7 Y 8-CONSULTA EXTERNA</v>
      </c>
      <c r="F13705" s="5"/>
      <c r="G13705" s="5"/>
    </row>
    <row r="13706" spans="1:7" ht="58.5" customHeight="1" x14ac:dyDescent="0.25">
      <c r="A13706" s="5" t="str">
        <f>"H0035258"</f>
        <v>H0035258</v>
      </c>
      <c r="B13706" s="5" t="str">
        <f>"MONITOR DE SIGNOS VITALES (DONACION)"</f>
        <v>MONITOR DE SIGNOS VITALES (DONACION)</v>
      </c>
      <c r="C13706" s="6">
        <v>11471250</v>
      </c>
      <c r="D13706" s="5" t="s">
        <v>279</v>
      </c>
      <c r="E13706" s="5" t="str">
        <f t="shared" si="699"/>
        <v>CONSULTORIO 7 Y 8-CONSULTA EXTERNA</v>
      </c>
      <c r="F13706" s="5"/>
      <c r="G13706" s="5"/>
    </row>
    <row r="13707" spans="1:7" ht="58.5" customHeight="1" x14ac:dyDescent="0.25">
      <c r="A13707" s="5" t="str">
        <f>"H0036558"</f>
        <v>H0036558</v>
      </c>
      <c r="B13707" s="5" t="str">
        <f>"Ultrasonido Portátil: Gestos Inteligentes, Pantalla táctil  “Touch Screen”, capacidad de conexión remota “uConnet”, Estación Multifuncional, disco duro de estado sólido"</f>
        <v>Ultrasonido Portátil: Gestos Inteligentes, Pantalla táctil  “Touch Screen”, capacidad de conexión remota “uConnet”, Estación Multifuncional, disco duro de estado sólido</v>
      </c>
      <c r="C13707" s="6">
        <v>172406000</v>
      </c>
      <c r="D13707" s="5" t="s">
        <v>723</v>
      </c>
      <c r="E13707" s="5" t="str">
        <f t="shared" si="699"/>
        <v>CONSULTORIO 7 Y 8-CONSULTA EXTERNA</v>
      </c>
      <c r="F13707" s="5"/>
      <c r="G13707" s="5"/>
    </row>
    <row r="13708" spans="1:7" ht="58.5" customHeight="1" x14ac:dyDescent="0.25">
      <c r="A13708" s="5" t="str">
        <f>"H0037092"</f>
        <v>H0037092</v>
      </c>
      <c r="B13708" s="5" t="str">
        <f>"INFANTOMETRO"</f>
        <v>INFANTOMETRO</v>
      </c>
      <c r="C13708" s="6">
        <v>1191337.03</v>
      </c>
      <c r="D13708" s="5" t="s">
        <v>136</v>
      </c>
      <c r="E13708" s="5" t="str">
        <f t="shared" si="699"/>
        <v>CONSULTORIO 7 Y 8-CONSULTA EXTERNA</v>
      </c>
      <c r="F13708" s="5"/>
      <c r="G13708" s="5"/>
    </row>
    <row r="13709" spans="1:7" ht="58.5" customHeight="1" x14ac:dyDescent="0.25">
      <c r="A13709" s="5" t="str">
        <f>"H0037103"</f>
        <v>H0037103</v>
      </c>
      <c r="B13709" s="5" t="str">
        <f>"BASCULA PESA BEBE MARCA SECA MODELO 374"</f>
        <v>BASCULA PESA BEBE MARCA SECA MODELO 374</v>
      </c>
      <c r="C13709" s="6">
        <v>3971069.02</v>
      </c>
      <c r="D13709" s="5" t="s">
        <v>136</v>
      </c>
      <c r="E13709" s="5" t="str">
        <f t="shared" si="699"/>
        <v>CONSULTORIO 7 Y 8-CONSULTA EXTERNA</v>
      </c>
      <c r="F13709" s="5"/>
      <c r="G13709" s="5"/>
    </row>
    <row r="13710" spans="1:7" ht="58.5" customHeight="1" x14ac:dyDescent="0.25">
      <c r="A13710" s="5" t="str">
        <f>"H0037125"</f>
        <v>H0037125</v>
      </c>
      <c r="B13710" s="5" t="str">
        <f>"TALLIMETRO CAPACIDAD 20-205 CM (DONACION)"</f>
        <v>TALLIMETRO CAPACIDAD 20-205 CM (DONACION)</v>
      </c>
      <c r="C13710" s="6">
        <v>1254705.99</v>
      </c>
      <c r="D13710" s="5" t="s">
        <v>136</v>
      </c>
      <c r="E13710" s="5" t="str">
        <f t="shared" si="699"/>
        <v>CONSULTORIO 7 Y 8-CONSULTA EXTERNA</v>
      </c>
      <c r="F13710" s="5"/>
      <c r="G13710" s="5"/>
    </row>
    <row r="13711" spans="1:7" ht="58.5" customHeight="1" x14ac:dyDescent="0.25">
      <c r="A13711" s="5" t="str">
        <f>"H0037126"</f>
        <v>H0037126</v>
      </c>
      <c r="B13711" s="5" t="str">
        <f>"TALLIMETRO CAPACIDAD 20-205 CM (DONACION)"</f>
        <v>TALLIMETRO CAPACIDAD 20-205 CM (DONACION)</v>
      </c>
      <c r="C13711" s="6">
        <v>1254705.99</v>
      </c>
      <c r="D13711" s="5" t="s">
        <v>136</v>
      </c>
      <c r="E13711" s="5" t="str">
        <f t="shared" si="699"/>
        <v>CONSULTORIO 7 Y 8-CONSULTA EXTERNA</v>
      </c>
      <c r="F13711" s="5"/>
      <c r="G13711" s="5"/>
    </row>
    <row r="13712" spans="1:7" ht="58.5" customHeight="1" x14ac:dyDescent="0.25">
      <c r="A13712" s="5" t="str">
        <f>"H0037192"</f>
        <v>H0037192</v>
      </c>
      <c r="B13712" s="5" t="str">
        <f>"BASCULA: Capacidad: 200 kg, División: 100 g &lt; 150 kg &gt; 200 g, Dimensiones (AxAxP):321 x 61 x 362 mm, Peso: 4,1 kg"</f>
        <v>BASCULA: Capacidad: 200 kg, División: 100 g &lt; 150 kg &gt; 200 g, Dimensiones (AxAxP):321 x 61 x 362 mm, Peso: 4,1 kg</v>
      </c>
      <c r="C13712" s="6">
        <v>3588386.01</v>
      </c>
      <c r="D13712" s="5" t="s">
        <v>160</v>
      </c>
      <c r="E13712" s="5" t="str">
        <f t="shared" si="699"/>
        <v>CONSULTORIO 7 Y 8-CONSULTA EXTERNA</v>
      </c>
      <c r="F13712" s="5"/>
      <c r="G13712" s="5"/>
    </row>
    <row r="13713" spans="1:7" ht="58.5" customHeight="1" x14ac:dyDescent="0.25">
      <c r="A13713" s="5" t="str">
        <f>"H0037193"</f>
        <v>H0037193</v>
      </c>
      <c r="B13713" s="5" t="str">
        <f>"BASCULA: Capacidad: 200 kg, División: 100 g &lt; 150 kg &gt; 200 g, Dimensiones (AxAxP):321 x 61 x 362 mm, Peso: 4,1 kg"</f>
        <v>BASCULA: Capacidad: 200 kg, División: 100 g &lt; 150 kg &gt; 200 g, Dimensiones (AxAxP):321 x 61 x 362 mm, Peso: 4,1 kg</v>
      </c>
      <c r="C13713" s="6">
        <v>3588386.01</v>
      </c>
      <c r="D13713" s="5" t="s">
        <v>160</v>
      </c>
      <c r="E13713" s="5" t="str">
        <f t="shared" si="699"/>
        <v>CONSULTORIO 7 Y 8-CONSULTA EXTERNA</v>
      </c>
      <c r="F13713" s="5"/>
      <c r="G13713" s="5"/>
    </row>
    <row r="13714" spans="1:7" ht="58.5" customHeight="1" x14ac:dyDescent="0.25">
      <c r="A13714" s="5" t="str">
        <f>"H0000716"</f>
        <v>H0000716</v>
      </c>
      <c r="B13714" s="5" t="str">
        <f>"CARRO DE PARO"</f>
        <v>CARRO DE PARO</v>
      </c>
      <c r="C13714" s="6">
        <v>1380400</v>
      </c>
      <c r="D13714" s="5" t="s">
        <v>724</v>
      </c>
      <c r="E13714" s="5" t="str">
        <f>"CONSULTORIO 10-CONSULTA EXTERNA"</f>
        <v>CONSULTORIO 10-CONSULTA EXTERNA</v>
      </c>
      <c r="F13714" s="5" t="str">
        <f>"Descripcion: 4 GAVETASRODACHINES87x77x97 Estado: Excelente Placa anterior: 000036881 Material: METALICO Color: BLANCO Referencia:  Observacion:  Placa padre: Tipo adquisicion: Entidad"</f>
        <v>Descripcion: 4 GAVETASRODACHINES87x77x97 Estado: Excelente Placa anterior: 000036881 Material: METALICO Color: BLANCO Referencia:  Observacion:  Placa padre: Tipo adquisicion: Entidad</v>
      </c>
      <c r="G13714" s="5"/>
    </row>
    <row r="13715" spans="1:7" ht="58.5" customHeight="1" x14ac:dyDescent="0.25">
      <c r="A13715" s="5" t="str">
        <f>"H0012309"</f>
        <v>H0012309</v>
      </c>
      <c r="B13715" s="5" t="str">
        <f>"DESFRIBILADOR"</f>
        <v>DESFRIBILADOR</v>
      </c>
      <c r="C13715" s="6">
        <v>15154157</v>
      </c>
      <c r="D13715" s="5" t="s">
        <v>725</v>
      </c>
      <c r="E13715" s="5" t="str">
        <f>"CONSULTORIO 10-CONSULTA EXTERNA"</f>
        <v>CONSULTORIO 10-CONSULTA EXTERNA</v>
      </c>
      <c r="F13715" s="5" t="str">
        <f>"Descripcion: DESFIBRILADOR DISPLAY CON ALTO CONTRASTE, CON TRES (3) CANALES DE ECG CON OPCION DE SELECIONAR LAS REQUERIDAS; MARCAPASOS TRANSTORAXIAL (NIP); TIEMPOD E CARGA INFERIOR A 6 SEGUNDOS CON CARGA A 200JULIOS; SELECCION DE MODO ASYNCRON Y SYNC; ALA"&amp; "RMAS VISIBLE Estado: Bueno Placa anterior: 000029251 Material: PASTA Color: BEIGE Y GRIS OSCURO Referencia:  Observacion:  Placa padre: Tipo adquisicion: Donacion"</f>
        <v>Descripcion: DESFIBRILADOR DISPLAY CON ALTO CONTRASTE, CON TRES (3) CANALES DE ECG CON OPCION DE SELECIONAR LAS REQUERIDAS; MARCAPASOS TRANSTORAXIAL (NIP); TIEMPOD E CARGA INFERIOR A 6 SEGUNDOS CON CARGA A 200JULIOS; SELECCION DE MODO ASYNCRON Y SYNC; ALARMAS VISIBLE Estado: Bueno Placa anterior: 000029251 Material: PASTA Color: BEIGE Y GRIS OSCURO Referencia:  Observacion:  Placa padre: Tipo adquisicion: Donacion</v>
      </c>
      <c r="G13715" s="5" t="str">
        <f>"TEC5531E"</f>
        <v>TEC5531E</v>
      </c>
    </row>
    <row r="13716" spans="1:7" ht="58.5" customHeight="1" x14ac:dyDescent="0.25">
      <c r="A13716" s="5" t="str">
        <f>"H0025394"</f>
        <v>H0025394</v>
      </c>
      <c r="B1371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716" s="6">
        <v>312156</v>
      </c>
      <c r="D13716" s="5" t="s">
        <v>10</v>
      </c>
      <c r="E13716" s="5" t="str">
        <f>"CONSULTORIO 10-CONSULTA EXTERNA"</f>
        <v>CONSULTORIO 10-CONSULTA EXTERNA</v>
      </c>
      <c r="F13716" s="5"/>
      <c r="G13716" s="5"/>
    </row>
    <row r="13717" spans="1:7" ht="58.5" customHeight="1" x14ac:dyDescent="0.25">
      <c r="A13717" s="5" t="str">
        <f>"H0027533"</f>
        <v>H0027533</v>
      </c>
      <c r="B13717" s="5" t="str">
        <f>"LECTOR DE HUELLAS DIGITALES"</f>
        <v>LECTOR DE HUELLAS DIGITALES</v>
      </c>
      <c r="C13717" s="6">
        <v>234000.41</v>
      </c>
      <c r="D13717" s="5" t="s">
        <v>83</v>
      </c>
      <c r="E13717" s="5" t="str">
        <f>"CONSULTORIO 10-CONSULTA EXTERNA"</f>
        <v>CONSULTORIO 10-CONSULTA EXTERNA</v>
      </c>
      <c r="F13717" s="5"/>
      <c r="G13717" s="5"/>
    </row>
    <row r="13718" spans="1:7" ht="58.5" customHeight="1" x14ac:dyDescent="0.25">
      <c r="A13718" s="5" t="str">
        <f>"H0027534"</f>
        <v>H0027534</v>
      </c>
      <c r="B13718" s="5" t="str">
        <f>"LECTOR DE HUELLAS DIGITALES"</f>
        <v>LECTOR DE HUELLAS DIGITALES</v>
      </c>
      <c r="C13718" s="6">
        <v>234000.41</v>
      </c>
      <c r="D13718" s="5" t="s">
        <v>83</v>
      </c>
      <c r="E13718" s="5" t="str">
        <f>"CONSULTORIO 10-CONSULTA EXTERNA"</f>
        <v>CONSULTORIO 10-CONSULTA EXTERNA</v>
      </c>
      <c r="F13718" s="5"/>
      <c r="G13718" s="5"/>
    </row>
    <row r="13719" spans="1:7" ht="58.5" customHeight="1" x14ac:dyDescent="0.25">
      <c r="A13719" s="5" t="str">
        <f>"H0000067"</f>
        <v>H0000067</v>
      </c>
      <c r="B13719" s="5" t="str">
        <f>"CARRO DE TRANSPORTE BIOMEDICA"</f>
        <v>CARRO DE TRANSPORTE BIOMEDICA</v>
      </c>
      <c r="C13719" s="6">
        <v>4570075</v>
      </c>
      <c r="D13719" s="5" t="s">
        <v>521</v>
      </c>
      <c r="E13719" s="5" t="str">
        <f t="shared" ref="E13719:E13755" si="700">"CONSULTORIO 11-CONSULTA EXTERNA"</f>
        <v>CONSULTORIO 11-CONSULTA EXTERNA</v>
      </c>
      <c r="F13719" s="5" t="str">
        <f>"Descripcion: CARRO DE TRANSPORTE METALICO PARA EQUIPOS BIOMEDICOS PARA LAS ACTIVIDADES DE TELECONSULTA; BANDEJA METALICA PARA SOPORTE DE EQUIPO DE COMPUTO, UPS Y PANTALLAS. Estado: Excelente Placa anterior: 000038145 Material: METALICO Color: BLANCO CON A"&amp; "ZUL Referencia:  Observacion:  Placa padre: Tipo adquisicion: Entidad"</f>
        <v>Descripcion: CARRO DE TRANSPORTE METALICO PARA EQUIPOS BIOMEDICOS PARA LAS ACTIVIDADES DE TELECONSULTA; BANDEJA METALICA PARA SOPORTE DE EQUIPO DE COMPUTO, UPS Y PANTALLAS. Estado: Excelente Placa anterior: 000038145 Material: METALICO Color: BLANCO CON AZUL Referencia:  Observacion:  Placa padre: Tipo adquisicion: Entidad</v>
      </c>
      <c r="G13719" s="5"/>
    </row>
    <row r="13720" spans="1:7" ht="58.5" customHeight="1" x14ac:dyDescent="0.25">
      <c r="A13720" s="5" t="str">
        <f>"H0000068"</f>
        <v>H0000068</v>
      </c>
      <c r="B13720" s="5" t="str">
        <f>"TELEVISOR LED 32"</f>
        <v>TELEVISOR LED 32</v>
      </c>
      <c r="C13720" s="6">
        <v>1045000</v>
      </c>
      <c r="D13720" s="5" t="s">
        <v>521</v>
      </c>
      <c r="E13720" s="5" t="str">
        <f t="shared" si="700"/>
        <v>CONSULTORIO 11-CONSULTA EXTERNA</v>
      </c>
      <c r="F13720" s="5" t="str">
        <f>"Descripcion: TELEVISOR DE 32  SAMSUNG PANTALLA LED Estado: Excelente Placa anterior: 000038156 Material:  Color: NEGRO Referencia:  Observacion:  Placa padre: Tipo adquisicion: Entidad"</f>
        <v>Descripcion: TELEVISOR DE 32  SAMSUNG PANTALLA LED Estado: Excelente Placa anterior: 000038156 Material:  Color: NEGRO Referencia:  Observacion:  Placa padre: Tipo adquisicion: Entidad</v>
      </c>
      <c r="G13720" s="5" t="str">
        <f>"LED TV-4000"</f>
        <v>LED TV-4000</v>
      </c>
    </row>
    <row r="13721" spans="1:7" ht="58.5" customHeight="1" x14ac:dyDescent="0.25">
      <c r="A13721" s="5" t="str">
        <f>"H0000069"</f>
        <v>H0000069</v>
      </c>
      <c r="B13721" s="5" t="str">
        <f>"MONITOR LED"</f>
        <v>MONITOR LED</v>
      </c>
      <c r="C13721" s="6">
        <v>532257</v>
      </c>
      <c r="D13721" s="5" t="s">
        <v>521</v>
      </c>
      <c r="E13721" s="5" t="str">
        <f t="shared" si="700"/>
        <v>CONSULTORIO 11-CONSULTA EXTERNA</v>
      </c>
      <c r="F13721" s="5" t="str">
        <f>"Descripcion: MONITOR LED  22”  Estado: Excelente Placa anterior: 000038154 Material:  Color: NEGRO Referencia:  Observacion:  Placa padre: H0000076Tipo adquisicion: Entidad"</f>
        <v>Descripcion: MONITOR LED  22”  Estado: Excelente Placa anterior: 000038154 Material:  Color: NEGRO Referencia:  Observacion:  Placa padre: H0000076Tipo adquisicion: Entidad</v>
      </c>
      <c r="G13721" s="5" t="str">
        <f>"CINEMA SCREEN"</f>
        <v>CINEMA SCREEN</v>
      </c>
    </row>
    <row r="13722" spans="1:7" ht="58.5" customHeight="1" x14ac:dyDescent="0.25">
      <c r="A13722" s="5" t="str">
        <f>"H0000070"</f>
        <v>H0000070</v>
      </c>
      <c r="B13722" s="5" t="str">
        <f>"MONITOR LED"</f>
        <v>MONITOR LED</v>
      </c>
      <c r="C13722" s="6">
        <v>532257</v>
      </c>
      <c r="D13722" s="5" t="s">
        <v>521</v>
      </c>
      <c r="E13722" s="5" t="str">
        <f t="shared" si="700"/>
        <v>CONSULTORIO 11-CONSULTA EXTERNA</v>
      </c>
      <c r="F13722" s="5" t="str">
        <f>"Descripcion: MONITOR LED 22” Estado: Excelente Placa anterior: 000038153 Material:  Color: NEGRO Referencia:  Observacion:  Placa padre: H0000076Tipo adquisicion: Entidad"</f>
        <v>Descripcion: MONITOR LED 22” Estado: Excelente Placa anterior: 000038153 Material:  Color: NEGRO Referencia:  Observacion:  Placa padre: H0000076Tipo adquisicion: Entidad</v>
      </c>
      <c r="G13722" s="5" t="str">
        <f>"CINEMA SCREN"</f>
        <v>CINEMA SCREN</v>
      </c>
    </row>
    <row r="13723" spans="1:7" ht="58.5" customHeight="1" x14ac:dyDescent="0.25">
      <c r="A13723" s="5" t="str">
        <f>"H0000071"</f>
        <v>H0000071</v>
      </c>
      <c r="B13723" s="5" t="str">
        <f>"MONITOR DE PRESION NO INVASIVA"</f>
        <v>MONITOR DE PRESION NO INVASIVA</v>
      </c>
      <c r="C13723" s="6">
        <v>6980951</v>
      </c>
      <c r="D13723" s="5" t="s">
        <v>521</v>
      </c>
      <c r="E13723" s="5" t="str">
        <f t="shared" si="700"/>
        <v>CONSULTORIO 11-CONSULTA EXTERNA</v>
      </c>
      <c r="F13723" s="5" t="str">
        <f>"Descripcion: MONITOR MULTIPARAMETROS CON PRESIÓN ARTERIAL NO INVASIVA Estado: Excelente Placa anterior: 000038149 Material:  Color: BLANCO Referencia:  Observacion:  Placa padre: Tipo adquisicion: Entidad"</f>
        <v>Descripcion: MONITOR MULTIPARAMETROS CON PRESIÓN ARTERIAL NO INVASIVA Estado: Excelente Placa anterior: 000038149 Material:  Color: BLANCO Referencia:  Observacion:  Placa padre: Tipo adquisicion: Entidad</v>
      </c>
      <c r="G13723" s="5" t="str">
        <f>"IMEC8"</f>
        <v>IMEC8</v>
      </c>
    </row>
    <row r="13724" spans="1:7" ht="58.5" customHeight="1" x14ac:dyDescent="0.25">
      <c r="A13724" s="5" t="str">
        <f>"H0000072"</f>
        <v>H0000072</v>
      </c>
      <c r="B13724" s="5" t="str">
        <f>"ESCANER DE DOCUMENTOS"</f>
        <v>ESCANER DE DOCUMENTOS</v>
      </c>
      <c r="C13724" s="6">
        <v>362178</v>
      </c>
      <c r="D13724" s="5" t="s">
        <v>521</v>
      </c>
      <c r="E13724" s="5" t="str">
        <f t="shared" si="700"/>
        <v>CONSULTORIO 11-CONSULTA EXTERNA</v>
      </c>
      <c r="F13724" s="5" t="str">
        <f>"Descripcion: ESCANER DE DOCUMENTOS, TECNOLOGIA CIS Estado: Excelente Placa anterior: 000038163 Material:  Color: NEGRO Referencia:  Observacion:  Placa padre: Tipo adquisicion: Entidad"</f>
        <v>Descripcion: ESCANER DE DOCUMENTOS, TECNOLOGIA CIS Estado: Excelente Placa anterior: 000038163 Material:  Color: NEGRO Referencia:  Observacion:  Placa padre: Tipo adquisicion: Entidad</v>
      </c>
      <c r="G13724" s="5" t="str">
        <f>"LIDE 120"</f>
        <v>LIDE 120</v>
      </c>
    </row>
    <row r="13725" spans="1:7" ht="58.5" customHeight="1" x14ac:dyDescent="0.25">
      <c r="A13725" s="5" t="str">
        <f>"H0000075"</f>
        <v>H0000075</v>
      </c>
      <c r="B13725" s="5" t="str">
        <f>"MULTIFUNCIONAL DE TINTA"</f>
        <v>MULTIFUNCIONAL DE TINTA</v>
      </c>
      <c r="C13725" s="6">
        <v>362178</v>
      </c>
      <c r="D13725" s="5" t="s">
        <v>521</v>
      </c>
      <c r="E13725" s="5" t="str">
        <f t="shared" si="700"/>
        <v>CONSULTORIO 11-CONSULTA EXTERNA</v>
      </c>
      <c r="F13725" s="5" t="str">
        <f>"Descripcion: IMPRESORA HP DESKJET INK ADVANTAGE 2545 Estado: Excelente Placa anterior: 000038166 Material:  Color: BLANCO Referencia:  Observacion:  Placa padre: Tipo adquisicion: Entidad"</f>
        <v>Descripcion: IMPRESORA HP DESKJET INK ADVANTAGE 2545 Estado: Excelente Placa anterior: 000038166 Material:  Color: BLANCO Referencia:  Observacion:  Placa padre: Tipo adquisicion: Entidad</v>
      </c>
      <c r="G13725" s="5" t="str">
        <f>"DESKJET2545"</f>
        <v>DESKJET2545</v>
      </c>
    </row>
    <row r="13726" spans="1:7" ht="58.5" customHeight="1" x14ac:dyDescent="0.25">
      <c r="A13726" s="5" t="str">
        <f>"H0000076"</f>
        <v>H0000076</v>
      </c>
      <c r="B13726" s="5" t="str">
        <f>"COMPUTADOR DE MESA"</f>
        <v>COMPUTADOR DE MESA</v>
      </c>
      <c r="C13726" s="6">
        <v>3863222</v>
      </c>
      <c r="D13726" s="5" t="s">
        <v>521</v>
      </c>
      <c r="E13726" s="5" t="str">
        <f t="shared" si="700"/>
        <v>CONSULTORIO 11-CONSULTA EXTERNA</v>
      </c>
      <c r="F13726" s="5" t="str">
        <f>"Descripcion: CPU MULTIMEDIA CON SISTEMA OPERATIVO DE WINDOWS 7, MEMORIA DE 4 GB DE DDR3 1600 MHZ.CON TARJETA DE VIDEO PARA DOS O MAS PANTALLAS.DISCO DURO SATA DE 500 GB 7200 RPM DE 3.5.CONTROLADOR INTEL SATA INTEGRADO.UNIDAD DE 8X DELGADA (DVD+/-RW) ALTAV"&amp; "OZ EXTERNO. Estado: Excelente Placa anterior: 000038151 Material:  Color: NEGRO Referencia:  Observacion:  Placa anterior:, Placa nueva=H0000074, Descripcion:MOUSE OPTICO , Serial:672651-001, Marca:HP, Modelo:, Material:, Color:NEGRO,   Referencia:, Placa"&amp; " anterior:, Placa nueva=H0000073, Descripcion:TECLADO, Serial:672646-163, Marca:HP, Modelo:PS2, Material:, Color:NEGRO,   Referencia:, Placa anterior:000038153, Placa nueva=H0000070, Descripcion:MONITOR LED 22”, Serial:504NTZN3M365, Marca:LG, Modelo:CINEM"&amp; "A SCREN, Material:, Color:NEGRO,   Referencia:, Placa anterior:000038154, Placa nueva=H0000069, Descripcion:MONITOR LED  22” , Serial:507NTBK5R997, Marca:LG, Modelo:CINEMA SCREEN, Material:, Color:NEGRO,   Referencia: Placa padre: Tipo adquisicion: Entida"&amp; "d"</f>
        <v>Descripcion: CPU MULTIMEDIA CON SISTEMA OPERATIVO DE WINDOWS 7, MEMORIA DE 4 GB DE DDR3 1600 MHZ.CON TARJETA DE VIDEO PARA DOS O MAS PANTALLAS.DISCO DURO SATA DE 500 GB 7200 RPM DE 3.5.CONTROLADOR INTEL SATA INTEGRADO.UNIDAD DE 8X DELGADA (DVD+/-RW) ALTAVOZ EXTERNO. Estado: Excelente Placa anterior: 000038151 Material:  Color: NEGRO Referencia:  Observacion:  Placa anterior:, Placa nueva=H0000074, Descripcion:MOUSE OPTICO , Serial:672651-001, Marca:HP, Modelo:, Material:, Color:NEGRO,   Referencia:, Placa anterior:, Placa nueva=H0000073, Descripcion:TECLADO, Serial:672646-163, Marca:HP, Modelo:PS2, Material:, Color:NEGRO,   Referencia:, Placa anterior:000038153, Placa nueva=H0000070, Descripcion:MONITOR LED 22”, Serial:504NTZN3M365, Marca:LG, Modelo:CINEMA SCREN, Material:, Color:NEGRO,   Referencia:, Placa anterior:000038154, Placa nueva=H0000069, Descripcion:MONITOR LED  22” , Serial:507NTBK5R997, Marca:LG, Modelo:CINEMA SCREEN, Material:, Color:NEGRO,   Referencia: Placa padre: Tipo adquisicion: Entidad</v>
      </c>
      <c r="G13726" s="5"/>
    </row>
    <row r="13727" spans="1:7" ht="58.5" customHeight="1" x14ac:dyDescent="0.25">
      <c r="A13727" s="5" t="str">
        <f>"H0000079"</f>
        <v>H0000079</v>
      </c>
      <c r="B13727" s="5" t="str">
        <f>"MESA (CARRO) DE CURACIONES"</f>
        <v>MESA (CARRO) DE CURACIONES</v>
      </c>
      <c r="C13727" s="6">
        <v>6952</v>
      </c>
      <c r="D13727" s="5"/>
      <c r="E13727" s="5" t="str">
        <f t="shared" si="700"/>
        <v>CONSULTORIO 11-CONSULTA EXTERNA</v>
      </c>
      <c r="F13727" s="5" t="str">
        <f>"Descripcion: MESA AUXILIAR TIPO CARRO C/BARANDAS Y RODACHINES Estado: Bueno Placa anterior: 000005772 Material: METALICO Color: BEIGE Referencia:  Observacion:  Placa padre: Tipo adquisicion: Entidad"</f>
        <v>Descripcion: MESA AUXILIAR TIPO CARRO C/BARANDAS Y RODACHINES Estado: Bueno Placa anterior: 000005772 Material: METALICO Color: BEIGE Referencia:  Observacion:  Placa padre: Tipo adquisicion: Entidad</v>
      </c>
      <c r="G13727" s="5"/>
    </row>
    <row r="13728" spans="1:7" ht="58.5" customHeight="1" x14ac:dyDescent="0.25">
      <c r="A13728" s="5" t="str">
        <f>"H0000080"</f>
        <v>H0000080</v>
      </c>
      <c r="B13728" s="5" t="str">
        <f>"POTE (TARRO) ACERO INXODABLE CON TAPA MEDIANO"</f>
        <v>POTE (TARRO) ACERO INXODABLE CON TAPA MEDIANO</v>
      </c>
      <c r="C13728" s="6">
        <v>8784.7999999999993</v>
      </c>
      <c r="D13728" s="5"/>
      <c r="E13728" s="5" t="str">
        <f t="shared" si="700"/>
        <v>CONSULTORIO 11-CONSULTA EXTERNA</v>
      </c>
      <c r="F13728" s="5" t="str">
        <f>"Descripcion: TARRO ACERO INOXIDABLE MEDIANO Estado: Bueno Placa anterior: 000009407 Material: ACERO INOXIDABLE Color:  Referencia:  Observacion:  Placa padre: Tipo adquisicion: Entidad"</f>
        <v>Descripcion: TARRO ACERO INOXIDABLE MEDIANO Estado: Bueno Placa anterior: 000009407 Material: ACERO INOXIDABLE Color:  Referencia:  Observacion:  Placa padre: Tipo adquisicion: Entidad</v>
      </c>
      <c r="G13728" s="5"/>
    </row>
    <row r="13729" spans="1:7" ht="58.5" customHeight="1" x14ac:dyDescent="0.25">
      <c r="A13729" s="5" t="str">
        <f>"H0000081"</f>
        <v>H0000081</v>
      </c>
      <c r="B13729" s="5" t="str">
        <f>"POTE (TARRO) ACERO INXODABLE CON TAPA MEDIANO"</f>
        <v>POTE (TARRO) ACERO INXODABLE CON TAPA MEDIANO</v>
      </c>
      <c r="C13729" s="6">
        <v>8784.7999999999993</v>
      </c>
      <c r="D13729" s="5"/>
      <c r="E13729" s="5" t="str">
        <f t="shared" si="700"/>
        <v>CONSULTORIO 11-CONSULTA EXTERNA</v>
      </c>
      <c r="F13729" s="5" t="str">
        <f>"Descripcion: TARRO ACERO INOXIDABLE MEDIANO Estado: Bueno Placa anterior: 000009405 Material: ACERO INOXIDABLE  Color:  Referencia:  Observacion:  Placa padre: Tipo adquisicion: Entidad"</f>
        <v>Descripcion: TARRO ACERO INOXIDABLE MEDIANO Estado: Bueno Placa anterior: 000009405 Material: ACERO INOXIDABLE  Color:  Referencia:  Observacion:  Placa padre: Tipo adquisicion: Entidad</v>
      </c>
      <c r="G13729" s="5"/>
    </row>
    <row r="13730" spans="1:7" ht="58.5" customHeight="1" x14ac:dyDescent="0.25">
      <c r="A13730" s="5" t="str">
        <f>"H0000082"</f>
        <v>H0000082</v>
      </c>
      <c r="B13730" s="5" t="str">
        <f>"ESCALERILLA DE 2 PASOS"</f>
        <v>ESCALERILLA DE 2 PASOS</v>
      </c>
      <c r="C13730" s="6">
        <v>4826</v>
      </c>
      <c r="D13730" s="5"/>
      <c r="E13730" s="5" t="str">
        <f t="shared" si="700"/>
        <v>CONSULTORIO 11-CONSULTA EXTERNA</v>
      </c>
      <c r="F13730" s="5" t="str">
        <f>"Descripcion: ESCALA 2 PASOS (1 PASO NECESITA SER RECUBIERTO) Estado: Bueno Placa anterior: 000005904 Material: METALICO CON PASOS EN MADERA Color: NEGRO Referencia:  Observacion:  Placa padre: Tipo adquisicion: Entidad"</f>
        <v>Descripcion: ESCALA 2 PASOS (1 PASO NECESITA SER RECUBIERTO) Estado: Bueno Placa anterior: 000005904 Material: METALICO CON PASOS EN MADERA Color: NEGRO Referencia:  Observacion:  Placa padre: Tipo adquisicion: Entidad</v>
      </c>
      <c r="G13730" s="5"/>
    </row>
    <row r="13731" spans="1:7" ht="58.5" customHeight="1" x14ac:dyDescent="0.25">
      <c r="A13731" s="5" t="str">
        <f>"H0000083"</f>
        <v>H0000083</v>
      </c>
      <c r="B13731" s="5" t="str">
        <f>"TENSIOMETRO ANEROIDE DE PARED ADULTO"</f>
        <v>TENSIOMETRO ANEROIDE DE PARED ADULTO</v>
      </c>
      <c r="C13731" s="6">
        <v>31179.22</v>
      </c>
      <c r="D13731" s="5"/>
      <c r="E13731" s="5" t="str">
        <f t="shared" si="700"/>
        <v>CONSULTORIO 11-CONSULTA EXTERNA</v>
      </c>
      <c r="F13731" s="5" t="str">
        <f>"Descripcion: TENSIOMETRO DE PARED  Estado: Bueno Placa anterior: 000020116 Material:  Color: NEGRO Referencia:  Observacion: AUTORIZADO CONCILIAR EN CRUCE GENERAL Placa padre: Tipo adquisicion: Entidad"</f>
        <v>Descripcion: TENSIOMETRO DE PARED  Estado: Bueno Placa anterior: 000020116 Material:  Color: NEGRO Referencia:  Observacion: AUTORIZADO CONCILIAR EN CRUCE GENERAL Placa padre: Tipo adquisicion: Entidad</v>
      </c>
      <c r="G13731" s="5"/>
    </row>
    <row r="13732" spans="1:7" ht="58.5" customHeight="1" x14ac:dyDescent="0.25">
      <c r="A13732" s="5" t="str">
        <f>"H0000084"</f>
        <v>H0000084</v>
      </c>
      <c r="B13732" s="5" t="str">
        <f>"CAMILLA FIJA (TIPO DIVAN)"</f>
        <v>CAMILLA FIJA (TIPO DIVAN)</v>
      </c>
      <c r="C13732" s="6">
        <v>245647</v>
      </c>
      <c r="D13732" s="5" t="s">
        <v>642</v>
      </c>
      <c r="E13732" s="5" t="str">
        <f t="shared" si="700"/>
        <v>CONSULTORIO 11-CONSULTA EXTERNA</v>
      </c>
      <c r="F13732" s="5" t="str">
        <f>"Descripcion: CAMILLA FIJA Estado: Bueno Placa anterior: 000036300 Material:  Color: BLANCA Referencia:  Observacion:  Placa padre: Tipo adquisicion: Entidad"</f>
        <v>Descripcion: CAMILLA FIJA Estado: Bueno Placa anterior: 000036300 Material:  Color: BLANCA Referencia:  Observacion:  Placa padre: Tipo adquisicion: Entidad</v>
      </c>
      <c r="G13732" s="5"/>
    </row>
    <row r="13733" spans="1:7" ht="58.5" customHeight="1" x14ac:dyDescent="0.25">
      <c r="A13733" s="5" t="str">
        <f>"H0000085"</f>
        <v>H0000085</v>
      </c>
      <c r="B13733" s="5" t="str">
        <f>"CAMARA WEB"</f>
        <v>CAMARA WEB</v>
      </c>
      <c r="C13733" s="6">
        <v>325499</v>
      </c>
      <c r="D13733" s="5"/>
      <c r="E13733" s="5" t="str">
        <f t="shared" si="700"/>
        <v>CONSULTORIO 11-CONSULTA EXTERNA</v>
      </c>
      <c r="F13733" s="5" t="str">
        <f>"Descripcion: CAMARA WEB HD Estado: Excelente Placa anterior: 000038165 Material:  Color: NEGRA Referencia:  Observacion:  Placa padre: Tipo adquisicion: Entidad"</f>
        <v>Descripcion: CAMARA WEB HD Estado: Excelente Placa anterior: 000038165 Material:  Color: NEGRA Referencia:  Observacion:  Placa padre: Tipo adquisicion: Entidad</v>
      </c>
      <c r="G13733" s="5" t="str">
        <f>"HD-3000"</f>
        <v>HD-3000</v>
      </c>
    </row>
    <row r="13734" spans="1:7" ht="58.5" customHeight="1" x14ac:dyDescent="0.25">
      <c r="A13734" s="5" t="str">
        <f>"H0000086"</f>
        <v>H0000086</v>
      </c>
      <c r="B13734" s="5" t="str">
        <f>"DIADEMA AUDIFONOS"</f>
        <v>DIADEMA AUDIFONOS</v>
      </c>
      <c r="C13734" s="6">
        <v>171717</v>
      </c>
      <c r="D13734" s="5"/>
      <c r="E13734" s="5" t="str">
        <f t="shared" si="700"/>
        <v>CONSULTORIO 11-CONSULTA EXTERNA</v>
      </c>
      <c r="F13734" s="5" t="str">
        <f>"Descripcion: DIADEMA CON AUDIFONO Y MICROFONO Estado: Bueno Placa anterior: 000038167 Material:  Color: LILA CON NEGRO Referencia:  Observacion:  Placa padre: Tipo adquisicion: Entidad"</f>
        <v>Descripcion: DIADEMA CON AUDIFONO Y MICROFONO Estado: Bueno Placa anterior: 000038167 Material:  Color: LILA CON NEGRO Referencia:  Observacion:  Placa padre: Tipo adquisicion: Entidad</v>
      </c>
      <c r="G13734" s="5" t="str">
        <f>"HS-04S"</f>
        <v>HS-04S</v>
      </c>
    </row>
    <row r="13735" spans="1:7" ht="58.5" customHeight="1" x14ac:dyDescent="0.25">
      <c r="A13735" s="5" t="str">
        <f>"H0000087"</f>
        <v>H0000087</v>
      </c>
      <c r="B13735" s="5" t="str">
        <f>"NEGATOSCOPIO"</f>
        <v>NEGATOSCOPIO</v>
      </c>
      <c r="C13735" s="6">
        <v>15208.56</v>
      </c>
      <c r="D13735" s="5"/>
      <c r="E13735" s="5" t="str">
        <f t="shared" si="700"/>
        <v>CONSULTORIO 11-CONSULTA EXTERNA</v>
      </c>
      <c r="F13735" s="5" t="str">
        <f>"Descripcion: NEGATOSCOPIO DE 1 CUERPO Estado: Bueno Placa anterior: 000005769 Material: PLASTICO Color: NEGRO CON ACRILICO Referencia:  Observacion:  Placa padre: Tipo adquisicion: Entidad"</f>
        <v>Descripcion: NEGATOSCOPIO DE 1 CUERPO Estado: Bueno Placa anterior: 000005769 Material: PLASTICO Color: NEGRO CON ACRILICO Referencia:  Observacion:  Placa padre: Tipo adquisicion: Entidad</v>
      </c>
      <c r="G13735" s="5"/>
    </row>
    <row r="13736" spans="1:7" ht="58.5" customHeight="1" x14ac:dyDescent="0.25">
      <c r="A13736" s="5" t="str">
        <f>"H0000091"</f>
        <v>H0000091</v>
      </c>
      <c r="B13736" s="5" t="str">
        <f>"SILLA INTERLOCUTORA (FIJA) SIN BRAZOS"</f>
        <v>SILLA INTERLOCUTORA (FIJA) SIN BRAZOS</v>
      </c>
      <c r="C13736" s="6">
        <v>5905.26</v>
      </c>
      <c r="D13736" s="5"/>
      <c r="E13736" s="5" t="str">
        <f t="shared" si="700"/>
        <v>CONSULTORIO 11-CONSULTA EXTERNA</v>
      </c>
      <c r="F13736" s="5" t="str">
        <f>"Descripcion: SILLA FIJA TIPO A COLOR MARRON Estado: Bueno Placa anterior: 000005162 Material: TAPIZADO SEMICUERO Color: MARRON Referencia:  Observacion:  Placa padre: Tipo adquisicion: Entidad"</f>
        <v>Descripcion: SILLA FIJA TIPO A COLOR MARRON Estado: Bueno Placa anterior: 000005162 Material: TAPIZADO SEMICUERO Color: MARRON Referencia:  Observacion:  Placa padre: Tipo adquisicion: Entidad</v>
      </c>
      <c r="G13736" s="5"/>
    </row>
    <row r="13737" spans="1:7" ht="58.5" customHeight="1" x14ac:dyDescent="0.25">
      <c r="A13737" s="5" t="str">
        <f>"H0000093"</f>
        <v>H0000093</v>
      </c>
      <c r="B13737" s="5" t="str">
        <f>"FONENDOSCOPIO (ESTETOSCOPIO) PARA ADULTO"</f>
        <v>FONENDOSCOPIO (ESTETOSCOPIO) PARA ADULTO</v>
      </c>
      <c r="C13737" s="6">
        <v>2655587</v>
      </c>
      <c r="D13737" s="5" t="s">
        <v>521</v>
      </c>
      <c r="E13737" s="5" t="str">
        <f t="shared" si="700"/>
        <v>CONSULTORIO 11-CONSULTA EXTERNA</v>
      </c>
      <c r="F13737" s="5" t="str">
        <f>"Descripcion: ESTETOSCOPIO DIGITAL TECLADO DE 5 BOTONES Y PANTALLA LCD PARA VISUALIZACIÓN DE COMANDOS. Estado: Excelente Placa anterior: 000038148 Material:  Color: NEGRO Referencia:  Observacion:  Placa padre: Tipo adquisicion: Entidad"</f>
        <v>Descripcion: ESTETOSCOPIO DIGITAL TECLADO DE 5 BOTONES Y PANTALLA LCD PARA VISUALIZACIÓN DE COMANDOS. Estado: Excelente Placa anterior: 000038148 Material:  Color: NEGRO Referencia:  Observacion:  Placa padre: Tipo adquisicion: Entidad</v>
      </c>
      <c r="G13737" s="5" t="str">
        <f>"3200"</f>
        <v>3200</v>
      </c>
    </row>
    <row r="13738" spans="1:7" ht="58.5" customHeight="1" x14ac:dyDescent="0.25">
      <c r="A13738" s="5" t="str">
        <f>"H0000094"</f>
        <v>H0000094</v>
      </c>
      <c r="B13738" s="5" t="str">
        <f>"FONENDOSCOPIO (ESTETOSCOPIO) PEDIATRICO"</f>
        <v>FONENDOSCOPIO (ESTETOSCOPIO) PEDIATRICO</v>
      </c>
      <c r="C13738" s="6">
        <v>22407.5</v>
      </c>
      <c r="D13738" s="5"/>
      <c r="E13738" s="5" t="str">
        <f t="shared" si="700"/>
        <v>CONSULTORIO 11-CONSULTA EXTERNA</v>
      </c>
      <c r="F13738" s="5" t="str">
        <f>"Descripcion: FONENDOSCOPIO Estado: Bueno Placa anterior: 000006061 Material:  Color: NEGRO Referencia:  Observacion:  Placa padre: Tipo adquisicion: Entidad"</f>
        <v>Descripcion: FONENDOSCOPIO Estado: Bueno Placa anterior: 000006061 Material:  Color: NEGRO Referencia:  Observacion:  Placa padre: Tipo adquisicion: Entidad</v>
      </c>
      <c r="G13738" s="5"/>
    </row>
    <row r="13739" spans="1:7" ht="58.5" customHeight="1" x14ac:dyDescent="0.25">
      <c r="A13739" s="5" t="str">
        <f>"H0000097"</f>
        <v>H0000097</v>
      </c>
      <c r="B13739" s="5" t="str">
        <f>"OTOSCOPIO"</f>
        <v>OTOSCOPIO</v>
      </c>
      <c r="C13739" s="6">
        <v>3205754</v>
      </c>
      <c r="D13739" s="5" t="s">
        <v>521</v>
      </c>
      <c r="E13739" s="5" t="str">
        <f t="shared" si="700"/>
        <v>CONSULTORIO 11-CONSULTA EXTERNA</v>
      </c>
      <c r="F13739" s="5" t="str">
        <f>"Descripcion: OTOSCOPIO DIGITAL Estado: Excelente Placa anterior: 000038147 Material:  Color: NEGRO Referencia:  Observacion:  Placa padre: Tipo adquisicion: Entidad"</f>
        <v>Descripcion: OTOSCOPIO DIGITAL Estado: Excelente Placa anterior: 000038147 Material:  Color: NEGRO Referencia:  Observacion:  Placa padre: Tipo adquisicion: Entidad</v>
      </c>
      <c r="G13739" s="5" t="str">
        <f>"DE550"</f>
        <v>DE550</v>
      </c>
    </row>
    <row r="13740" spans="1:7" ht="58.5" customHeight="1" x14ac:dyDescent="0.25">
      <c r="A13740" s="5" t="str">
        <f>"H0000099"</f>
        <v>H0000099</v>
      </c>
      <c r="B13740" s="5" t="str">
        <f>"DERMATOSCOPIO DIGITAL"</f>
        <v>DERMATOSCOPIO DIGITAL</v>
      </c>
      <c r="C13740" s="6">
        <v>3205754</v>
      </c>
      <c r="D13740" s="5" t="s">
        <v>521</v>
      </c>
      <c r="E13740" s="5" t="str">
        <f t="shared" si="700"/>
        <v>CONSULTORIO 11-CONSULTA EXTERNA</v>
      </c>
      <c r="F13740" s="5" t="str">
        <f>"Descripcion: DERMATOCOSPIO DIGITAL Estado: Excelente Placa anterior: 000038146 Material:  Color: NEGRO Referencia:  Observacion:  Placa padre: Tipo adquisicion: Entidad"</f>
        <v>Descripcion: DERMATOCOSPIO DIGITAL Estado: Excelente Placa anterior: 000038146 Material:  Color: NEGRO Referencia:  Observacion:  Placa padre: Tipo adquisicion: Entidad</v>
      </c>
      <c r="G13740" s="5" t="str">
        <f>"DE350"</f>
        <v>DE350</v>
      </c>
    </row>
    <row r="13741" spans="1:7" ht="58.5" customHeight="1" x14ac:dyDescent="0.25">
      <c r="A13741" s="5" t="str">
        <f>"H0000242"</f>
        <v>H0000242</v>
      </c>
      <c r="B13741" s="5" t="str">
        <f>"VITRINA DE 1 CUERPO"</f>
        <v>VITRINA DE 1 CUERPO</v>
      </c>
      <c r="C13741" s="6">
        <v>20200</v>
      </c>
      <c r="D13741" s="5"/>
      <c r="E13741" s="5" t="str">
        <f t="shared" si="700"/>
        <v>CONSULTORIO 11-CONSULTA EXTERNA</v>
      </c>
      <c r="F13741" s="5" t="str">
        <f>"Descripcion: VITRINA TIPO A DE UNCUERPO DE ANCHO: 50CM X ALTO 150CM X FONDO 30CM 2 GAVETAS Estado: Bueno Placa anterior: 000005983 Material: METALICA Color: GRIS Referencia:  Observacion:  Placa padre: Tipo adquisicion: Entidad"</f>
        <v>Descripcion: VITRINA TIPO A DE UNCUERPO DE ANCHO: 50CM X ALTO 150CM X FONDO 30CM 2 GAVETAS Estado: Bueno Placa anterior: 000005983 Material: METALICA Color: GRIS Referencia:  Observacion:  Placa padre: Tipo adquisicion: Entidad</v>
      </c>
      <c r="G13741" s="5"/>
    </row>
    <row r="13742" spans="1:7" ht="58.5" customHeight="1" x14ac:dyDescent="0.25">
      <c r="A13742" s="5" t="str">
        <f>"H0000885"</f>
        <v>H0000885</v>
      </c>
      <c r="B13742" s="5" t="str">
        <f>"VENTILADOR DE PEDESTAL"</f>
        <v>VENTILADOR DE PEDESTAL</v>
      </c>
      <c r="C13742" s="6">
        <v>28500</v>
      </c>
      <c r="D13742" s="5"/>
      <c r="E13742" s="5" t="str">
        <f t="shared" si="700"/>
        <v>CONSULTORIO 11-CONSULTA EXTERNA</v>
      </c>
      <c r="F13742" s="5" t="str">
        <f>"Descripcion: VENTILADOR DE PIE MCA SAMURAI Estado: Bueno Placa anterior: 000005870 Material: PLASTICO Color: BLANCO Referencia:  Observacion:  Placa padre: Tipo adquisicion: Entidad"</f>
        <v>Descripcion: VENTILADOR DE PIE MCA SAMURAI Estado: Bueno Placa anterior: 000005870 Material: PLASTICO Color: BLANCO Referencia:  Observacion:  Placa padre: Tipo adquisicion: Entidad</v>
      </c>
      <c r="G13742" s="5"/>
    </row>
    <row r="13743" spans="1:7" ht="58.5" customHeight="1" x14ac:dyDescent="0.25">
      <c r="A13743" s="5" t="str">
        <f>"H0000937"</f>
        <v>H0000937</v>
      </c>
      <c r="B13743" s="5" t="str">
        <f>"COMPUTADOR TODO EN UNO"</f>
        <v>COMPUTADOR TODO EN UNO</v>
      </c>
      <c r="C13743" s="6">
        <v>2470000</v>
      </c>
      <c r="D13743" s="5" t="s">
        <v>6</v>
      </c>
      <c r="E13743" s="5" t="str">
        <f t="shared" si="700"/>
        <v>CONSULTORIO 11-CONSULTA EXTERNA</v>
      </c>
      <c r="F13743" s="5" t="str">
        <f>"Descripcion: EQUIPO DE COMPUTO TODO EN UNO CON PROCESADOR INTEL i5 MONITOR 19  Estado: Excelente Placa anterior: 000036970 Material:  Color: NEGRO Referencia:  Observacion:  Placa anterior:, Placa nueva=H0000939, Descripcion:TECLADO, Serial:8259050, Marca"&amp; ":LENOVO, Modelo:, Material:, Color:NEGRO,   Referencia:, Placa anterior:, Placa nueva=H0000940, Descripcion:MOUSE OPTICO , Serial:SM50F76959, Marca:LENOVO, Modelo:, Material:, Color:NEGRO,   Referencia:, Placa anterior:, Placa nueva=H0000941, Descripcion:"&amp; "ESTABILIZADOR (REGULADOR) DE ENERGIA 1000W, Serial:, Marca:ARTELECTRO, Modelo:, Material:, Color:NEGRO,   Referencia: Placa padre: Tipo adquisicion: Entidad"</f>
        <v>Descripcion: EQUIPO DE COMPUTO TODO EN UNO CON PROCESADOR INTEL i5 MONITOR 19  Estado: Excelente Placa anterior: 000036970 Material:  Color: NEGRO Referencia:  Observacion:  Placa anterior:, Placa nueva=H0000939, Descripcion:TECLADO, Serial:8259050, Marca:LENOVO, Modelo:, Material:, Color:NEGRO,   Referencia:, Placa anterior:, Placa nueva=H0000940, Descripcion:MOUSE OPTICO , Serial:SM50F76959, Marca:LENOVO, Modelo:, Material:, Color:NEGRO,   Referencia:, Placa anterior:, Placa nueva=H0000941, Descripcion:ESTABILIZADOR (REGULADOR) DE ENERGIA 1000W, Serial:, Marca:ARTELECTRO, Modelo:, Material:, Color:NEGRO,   Referencia: Placa padre: Tipo adquisicion: Entidad</v>
      </c>
      <c r="G13743" s="5"/>
    </row>
    <row r="13744" spans="1:7" ht="58.5" customHeight="1" x14ac:dyDescent="0.25">
      <c r="A13744" s="5" t="str">
        <f>"H0000942"</f>
        <v>H0000942</v>
      </c>
      <c r="B13744" s="5" t="str">
        <f>"IMPRESORA LASER"</f>
        <v>IMPRESORA LASER</v>
      </c>
      <c r="C13744" s="6">
        <v>2470000</v>
      </c>
      <c r="D13744" s="5"/>
      <c r="E13744" s="5" t="str">
        <f t="shared" si="700"/>
        <v>CONSULTORIO 11-CONSULTA EXTERNA</v>
      </c>
      <c r="F13744" s="5" t="str">
        <f>"Descripcion: IMPRESORA MARCA LASERJET MONOCROMATICA, LASER DE RED, 40 PPM, PCL ETHERNET Estado: Bueno Placa anterior: 000029103 Material:  Color: BLANCO CON NEGRO Referencia:  Observacion:  Placa padre: Tipo adquisicion: Entidad"</f>
        <v>Descripcion: IMPRESORA MARCA LASERJET MONOCROMATICA, LASER DE RED, 40 PPM, PCL ETHERNET Estado: Bueno Placa anterior: 000029103 Material:  Color: BLANCO CON NEGRO Referencia:  Observacion:  Placa padre: Tipo adquisicion: Entidad</v>
      </c>
      <c r="G13744" s="5" t="str">
        <f>"LASERJET P3015"</f>
        <v>LASERJET P3015</v>
      </c>
    </row>
    <row r="13745" spans="1:7" ht="58.5" customHeight="1" x14ac:dyDescent="0.25">
      <c r="A13745" s="5" t="str">
        <f>"H0002058"</f>
        <v>H0002058</v>
      </c>
      <c r="B13745" s="5" t="str">
        <f>"BALANZA DIGITAL DE PISO (PESO) CON TALLIMETRO"</f>
        <v>BALANZA DIGITAL DE PISO (PESO) CON TALLIMETRO</v>
      </c>
      <c r="C13745" s="6">
        <v>2030000</v>
      </c>
      <c r="D13745" s="5"/>
      <c r="E13745" s="5" t="str">
        <f t="shared" si="700"/>
        <v>CONSULTORIO 11-CONSULTA EXTERNA</v>
      </c>
      <c r="F13745" s="5" t="str">
        <f>"Descripcion:BASCULAS CON TALIMETRO DIGITAL Estado: Excelente Placa anterior: 000039034 Material: PASTA Color: BLANCO Referencia:  Observacion:  Placa padre:  Tipo adquisicion : Entidad"</f>
        <v>Descripcion:BASCULAS CON TALIMETRO DIGITAL Estado: Excelente Placa anterior: 000039034 Material: PASTA Color: BLANCO Referencia:  Observacion:  Placa padre:  Tipo adquisicion : Entidad</v>
      </c>
      <c r="G13745" s="5" t="str">
        <f>"H150105"</f>
        <v>H150105</v>
      </c>
    </row>
    <row r="13746" spans="1:7" ht="58.5" customHeight="1" x14ac:dyDescent="0.25">
      <c r="A13746" s="5" t="str">
        <f>"H0002306"</f>
        <v>H0002306</v>
      </c>
      <c r="B13746" s="5" t="str">
        <f>"PESO PARA BEBE DIGITAL SIN TALLIMETRO"</f>
        <v>PESO PARA BEBE DIGITAL SIN TALLIMETRO</v>
      </c>
      <c r="C13746" s="6">
        <v>1429120</v>
      </c>
      <c r="D13746" s="5"/>
      <c r="E13746" s="5" t="str">
        <f t="shared" si="700"/>
        <v>CONSULTORIO 11-CONSULTA EXTERNA</v>
      </c>
      <c r="F13746" s="5" t="str">
        <f>"Descripcion:PESA BEBE ELECTRONICO REF.522KL Estado: Excelente Placa anterior: 000037197 Material: PASTA Color: BASE GRIS CLARO Y NEGRO, BANDEJA GRIS OSCURO Referencia:  Observacion:  Placa padre:  Tipo adquisicion : Entidad"</f>
        <v>Descripcion:PESA BEBE ELECTRONICO REF.522KL Estado: Excelente Placa anterior: 000037197 Material: PASTA Color: BASE GRIS CLARO Y NEGRO, BANDEJA GRIS OSCURO Referencia:  Observacion:  Placa padre:  Tipo adquisicion : Entidad</v>
      </c>
      <c r="G13746" s="5" t="str">
        <f>"522KLWA"</f>
        <v>522KLWA</v>
      </c>
    </row>
    <row r="13747" spans="1:7" ht="58.5" customHeight="1" x14ac:dyDescent="0.25">
      <c r="A13747" s="5" t="str">
        <f>"H0022375"</f>
        <v>H0022375</v>
      </c>
      <c r="B13747" s="5" t="str">
        <f>"ELECTROCARDIOGRAFO DIGITAL"</f>
        <v>ELECTROCARDIOGRAFO DIGITAL</v>
      </c>
      <c r="C13747" s="6">
        <v>9791035</v>
      </c>
      <c r="D13747" s="5" t="s">
        <v>350</v>
      </c>
      <c r="E13747" s="5" t="str">
        <f t="shared" si="700"/>
        <v>CONSULTORIO 11-CONSULTA EXTERNA</v>
      </c>
      <c r="F13747" s="5"/>
      <c r="G13747" s="5" t="str">
        <f>"NICROTELBT"</f>
        <v>NICROTELBT</v>
      </c>
    </row>
    <row r="13748" spans="1:7" ht="58.5" customHeight="1" x14ac:dyDescent="0.25">
      <c r="A13748" s="5" t="str">
        <f>"H0022376"</f>
        <v>H0022376</v>
      </c>
      <c r="B13748" s="5" t="str">
        <f>"PRESUROMETRO"</f>
        <v>PRESUROMETRO</v>
      </c>
      <c r="C13748" s="6">
        <v>10391234</v>
      </c>
      <c r="D13748" s="5" t="s">
        <v>350</v>
      </c>
      <c r="E13748" s="5" t="str">
        <f t="shared" si="700"/>
        <v>CONSULTORIO 11-CONSULTA EXTERNA</v>
      </c>
      <c r="F13748" s="5"/>
      <c r="G13748" s="5"/>
    </row>
    <row r="13749" spans="1:7" ht="58.5" customHeight="1" x14ac:dyDescent="0.25">
      <c r="A13749" s="5" t="str">
        <f>"H0022377"</f>
        <v>H0022377</v>
      </c>
      <c r="B13749" s="5" t="str">
        <f>"HOLTER DE RITMO"</f>
        <v>HOLTER DE RITMO</v>
      </c>
      <c r="C13749" s="6">
        <v>11636833</v>
      </c>
      <c r="D13749" s="5" t="s">
        <v>350</v>
      </c>
      <c r="E13749" s="5" t="str">
        <f t="shared" si="700"/>
        <v>CONSULTORIO 11-CONSULTA EXTERNA</v>
      </c>
      <c r="F13749" s="5"/>
      <c r="G13749" s="5" t="str">
        <f>"CLICK"</f>
        <v>CLICK</v>
      </c>
    </row>
    <row r="13750" spans="1:7" ht="58.5" customHeight="1" x14ac:dyDescent="0.25">
      <c r="A13750" s="5" t="str">
        <f>"H0022433"</f>
        <v>H0022433</v>
      </c>
      <c r="B13750" s="5" t="str">
        <f>"TERMOMETRO + FONENDOSCOPIO ADULTO"</f>
        <v>TERMOMETRO + FONENDOSCOPIO ADULTO</v>
      </c>
      <c r="C13750" s="6">
        <v>104400</v>
      </c>
      <c r="D13750" s="5" t="s">
        <v>455</v>
      </c>
      <c r="E13750" s="5" t="str">
        <f t="shared" si="700"/>
        <v>CONSULTORIO 11-CONSULTA EXTERNA</v>
      </c>
      <c r="F13750" s="5"/>
      <c r="G13750" s="5"/>
    </row>
    <row r="13751" spans="1:7" ht="58.5" customHeight="1" x14ac:dyDescent="0.25">
      <c r="A13751" s="5" t="str">
        <f>"H0022434"</f>
        <v>H0022434</v>
      </c>
      <c r="B13751" s="5" t="str">
        <f>"TERMOMETRO + FONENDOSCOPIO ADULTO"</f>
        <v>TERMOMETRO + FONENDOSCOPIO ADULTO</v>
      </c>
      <c r="C13751" s="6">
        <v>104400</v>
      </c>
      <c r="D13751" s="5" t="s">
        <v>455</v>
      </c>
      <c r="E13751" s="5" t="str">
        <f t="shared" si="700"/>
        <v>CONSULTORIO 11-CONSULTA EXTERNA</v>
      </c>
      <c r="F13751" s="5"/>
      <c r="G13751" s="5"/>
    </row>
    <row r="13752" spans="1:7" ht="58.5" customHeight="1" x14ac:dyDescent="0.25">
      <c r="A13752" s="5" t="str">
        <f>"H0025313"</f>
        <v>H0025313</v>
      </c>
      <c r="B1375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752" s="6">
        <v>312156</v>
      </c>
      <c r="D13752" s="5" t="s">
        <v>10</v>
      </c>
      <c r="E13752" s="5" t="str">
        <f t="shared" si="700"/>
        <v>CONSULTORIO 11-CONSULTA EXTERNA</v>
      </c>
      <c r="F13752" s="5"/>
      <c r="G13752" s="5"/>
    </row>
    <row r="13753" spans="1:7" ht="58.5" customHeight="1" x14ac:dyDescent="0.25">
      <c r="A13753" s="5" t="str">
        <f>"H0031411"</f>
        <v>H0031411</v>
      </c>
      <c r="B13753"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13753" s="6">
        <v>1939700</v>
      </c>
      <c r="D13753" s="5" t="s">
        <v>473</v>
      </c>
      <c r="E13753" s="5" t="str">
        <f t="shared" si="700"/>
        <v>CONSULTORIO 11-CONSULTA EXTERNA</v>
      </c>
      <c r="F13753" s="5"/>
      <c r="G13753" s="5"/>
    </row>
    <row r="13754" spans="1:7" ht="58.5" customHeight="1" x14ac:dyDescent="0.25">
      <c r="A13754" s="5" t="str">
        <f>"H0037128"</f>
        <v>H0037128</v>
      </c>
      <c r="B13754" s="5" t="str">
        <f>"TALLIMETRO CAPACIDAD 20-205 CM (DONACION)"</f>
        <v>TALLIMETRO CAPACIDAD 20-205 CM (DONACION)</v>
      </c>
      <c r="C13754" s="6">
        <v>1254705.99</v>
      </c>
      <c r="D13754" s="5" t="s">
        <v>136</v>
      </c>
      <c r="E13754" s="5" t="str">
        <f t="shared" si="700"/>
        <v>CONSULTORIO 11-CONSULTA EXTERNA</v>
      </c>
      <c r="F13754" s="5"/>
      <c r="G13754" s="5"/>
    </row>
    <row r="13755" spans="1:7" ht="58.5" customHeight="1" x14ac:dyDescent="0.25">
      <c r="A13755" s="5" t="str">
        <f>"H0037195"</f>
        <v>H0037195</v>
      </c>
      <c r="B13755" s="5" t="str">
        <f>"BASCULA: Capacidad: 200 kg, División: 100 g &lt; 150 kg &gt; 200 g, Dimensiones (AxAxP):321 x 61 x 362 mm, Peso: 4,1 kg"</f>
        <v>BASCULA: Capacidad: 200 kg, División: 100 g &lt; 150 kg &gt; 200 g, Dimensiones (AxAxP):321 x 61 x 362 mm, Peso: 4,1 kg</v>
      </c>
      <c r="C13755" s="6">
        <v>3588386.01</v>
      </c>
      <c r="D13755" s="5" t="s">
        <v>160</v>
      </c>
      <c r="E13755" s="5" t="str">
        <f t="shared" si="700"/>
        <v>CONSULTORIO 11-CONSULTA EXTERNA</v>
      </c>
      <c r="F13755" s="5"/>
      <c r="G13755" s="5"/>
    </row>
    <row r="13756" spans="1:7" ht="58.5" customHeight="1" x14ac:dyDescent="0.25">
      <c r="A13756" s="5" t="str">
        <f>"B0000614"</f>
        <v>B0000614</v>
      </c>
      <c r="B13756" s="5" t="str">
        <f>"MANGO PARA BISTURI #4"</f>
        <v>MANGO PARA BISTURI #4</v>
      </c>
      <c r="C13756" s="6">
        <v>2628.57</v>
      </c>
      <c r="D13756" s="5"/>
      <c r="E13756" s="5" t="str">
        <f t="shared" ref="E13756:E13787" si="701">"CONSULTORIO 12-CONSULTA EXTERNA"</f>
        <v>CONSULTORIO 12-CONSULTA EXTERNA</v>
      </c>
      <c r="F13756" s="5" t="str">
        <f>"Descripcion: PEQUEÑO Estado: Bueno Placa anterior: 000019299 Material: ACERO INOXIDABLE Color:  Referencia:  Observacion: AUTORIZADO CONCILIAR EN CRUCE GENERAL Placa padre: Tipo adquisicion: Entidad"</f>
        <v>Descripcion: PEQUEÑO Estado: Bueno Placa anterior: 000019299 Material: ACERO INOXIDABLE Color:  Referencia:  Observacion: AUTORIZADO CONCILIAR EN CRUCE GENERAL Placa padre: Tipo adquisicion: Entidad</v>
      </c>
      <c r="G13756" s="5"/>
    </row>
    <row r="13757" spans="1:7" ht="58.5" customHeight="1" x14ac:dyDescent="0.25">
      <c r="A13757" s="5" t="str">
        <f>"B0000628"</f>
        <v>B0000628</v>
      </c>
      <c r="B13757" s="5" t="str">
        <f>"MANGO PARA BISTURI #4"</f>
        <v>MANGO PARA BISTURI #4</v>
      </c>
      <c r="C13757" s="6">
        <v>2628.57</v>
      </c>
      <c r="D13757" s="5"/>
      <c r="E13757" s="5" t="str">
        <f t="shared" si="701"/>
        <v>CONSULTORIO 12-CONSULTA EXTERNA</v>
      </c>
      <c r="F13757" s="5" t="str">
        <f>"Descripcion: PEQUEÑO Estado: Bueno Placa anterior: 000019296 Material: ACERO INOXIDABLE Color:  Referencia:  Observacion: AUTORIZADO CONCILIAR EN CRUCE GENERAL Placa padre: Tipo adquisicion: Entidad"</f>
        <v>Descripcion: PEQUEÑO Estado: Bueno Placa anterior: 000019296 Material: ACERO INOXIDABLE Color:  Referencia:  Observacion: AUTORIZADO CONCILIAR EN CRUCE GENERAL Placa padre: Tipo adquisicion: Entidad</v>
      </c>
      <c r="G13757" s="5"/>
    </row>
    <row r="13758" spans="1:7" ht="58.5" customHeight="1" x14ac:dyDescent="0.25">
      <c r="A13758" s="5" t="str">
        <f>"B0000629"</f>
        <v>B0000629</v>
      </c>
      <c r="B13758" s="5" t="str">
        <f>"MANGO PARA BISTURI #4"</f>
        <v>MANGO PARA BISTURI #4</v>
      </c>
      <c r="C13758" s="6">
        <v>2628.57</v>
      </c>
      <c r="D13758" s="5"/>
      <c r="E13758" s="5" t="str">
        <f t="shared" si="701"/>
        <v>CONSULTORIO 12-CONSULTA EXTERNA</v>
      </c>
      <c r="F13758" s="5" t="str">
        <f>"Descripcion: PEQUEÑO Estado: Bueno Placa anterior: 000019295 Material: ACERO INOXIDABLE Color:  Referencia:  Observacion: AUTORIZADO CONCILIAR EN CRUCE GENERAL Placa padre: Tipo adquisicion: Entidad"</f>
        <v>Descripcion: PEQUEÑO Estado: Bueno Placa anterior: 000019295 Material: ACERO INOXIDABLE Color:  Referencia:  Observacion: AUTORIZADO CONCILIAR EN CRUCE GENERAL Placa padre: Tipo adquisicion: Entidad</v>
      </c>
      <c r="G13758" s="5"/>
    </row>
    <row r="13759" spans="1:7" ht="58.5" customHeight="1" x14ac:dyDescent="0.25">
      <c r="A13759" s="5" t="str">
        <f>"B0000630"</f>
        <v>B0000630</v>
      </c>
      <c r="B13759" s="5" t="str">
        <f>"MANGO PARA BISTURI #4"</f>
        <v>MANGO PARA BISTURI #4</v>
      </c>
      <c r="C13759" s="6">
        <v>2628.57</v>
      </c>
      <c r="D13759" s="5"/>
      <c r="E13759" s="5" t="str">
        <f t="shared" si="701"/>
        <v>CONSULTORIO 12-CONSULTA EXTERNA</v>
      </c>
      <c r="F13759" s="5" t="str">
        <f>"Descripcion: PEQUEÑO Estado: Bueno Placa anterior: 000019300 Material: ACERO INOXIDABLE Color:  Referencia:  Observacion: AUTORIZADO CONCILIAR EN CRUCE GENERAL Placa padre: Tipo adquisicion: Entidad"</f>
        <v>Descripcion: PEQUEÑO Estado: Bueno Placa anterior: 000019300 Material: ACERO INOXIDABLE Color:  Referencia:  Observacion: AUTORIZADO CONCILIAR EN CRUCE GENERAL Placa padre: Tipo adquisicion: Entidad</v>
      </c>
      <c r="G13759" s="5"/>
    </row>
    <row r="13760" spans="1:7" ht="58.5" customHeight="1" x14ac:dyDescent="0.25">
      <c r="A13760" s="5" t="str">
        <f>"B0000631"</f>
        <v>B0000631</v>
      </c>
      <c r="B13760" s="5" t="str">
        <f>"MANGO PARA BISTURI #4"</f>
        <v>MANGO PARA BISTURI #4</v>
      </c>
      <c r="C13760" s="6">
        <v>2628.57</v>
      </c>
      <c r="D13760" s="5"/>
      <c r="E13760" s="5" t="str">
        <f t="shared" si="701"/>
        <v>CONSULTORIO 12-CONSULTA EXTERNA</v>
      </c>
      <c r="F13760" s="5" t="str">
        <f>"Descripcion: #3 Estado: Bueno Placa anterior: 000019298 Material: ACERO INOXIDABLE Color:  Referencia:  Observacion: AUTORIZADO CONCILIAR EN CRUCE GENERAL Placa padre: Tipo adquisicion: Entidad"</f>
        <v>Descripcion: #3 Estado: Bueno Placa anterior: 000019298 Material: ACERO INOXIDABLE Color:  Referencia:  Observacion: AUTORIZADO CONCILIAR EN CRUCE GENERAL Placa padre: Tipo adquisicion: Entidad</v>
      </c>
      <c r="G13760" s="5"/>
    </row>
    <row r="13761" spans="1:7" ht="58.5" customHeight="1" x14ac:dyDescent="0.25">
      <c r="A13761" s="5" t="str">
        <f>"B0000654"</f>
        <v>B0000654</v>
      </c>
      <c r="B13761" s="5" t="str">
        <f>"PINZA KELLY CURVA 16 CM"</f>
        <v>PINZA KELLY CURVA 16 CM</v>
      </c>
      <c r="C13761" s="6">
        <v>5283</v>
      </c>
      <c r="D13761" s="5"/>
      <c r="E13761" s="5" t="str">
        <f t="shared" si="701"/>
        <v>CONSULTORIO 12-CONSULTA EXTERNA</v>
      </c>
      <c r="F13761" s="5" t="str">
        <f>"Descripcion: . Estado: Bueno Placa anterior: 000006683 Material: ACERO INOXIDABLE Color:  Referencia:  Observacion:  Placa padre: Tipo adquisicion: Entidad"</f>
        <v>Descripcion: . Estado: Bueno Placa anterior: 000006683 Material: ACERO INOXIDABLE Color:  Referencia:  Observacion:  Placa padre: Tipo adquisicion: Entidad</v>
      </c>
      <c r="G13761" s="5"/>
    </row>
    <row r="13762" spans="1:7" ht="58.5" customHeight="1" x14ac:dyDescent="0.25">
      <c r="A13762" s="5" t="str">
        <f>"B0000660"</f>
        <v>B0000660</v>
      </c>
      <c r="B13762" s="5" t="str">
        <f>"PINZA DE DISECCION CON GARRA MEDIANA 25 CM"</f>
        <v>PINZA DE DISECCION CON GARRA MEDIANA 25 CM</v>
      </c>
      <c r="C13762" s="6">
        <v>930</v>
      </c>
      <c r="D13762" s="5"/>
      <c r="E13762" s="5" t="str">
        <f t="shared" si="701"/>
        <v>CONSULTORIO 12-CONSULTA EXTERNA</v>
      </c>
      <c r="F13762" s="5" t="str">
        <f>"Descripcion: . Estado: Bueno Placa anterior: 000006680 Material: ACERO INOXIDABLE Color:  Referencia:  Observacion:  Placa padre: Tipo adquisicion: Entidad"</f>
        <v>Descripcion: . Estado: Bueno Placa anterior: 000006680 Material: ACERO INOXIDABLE Color:  Referencia:  Observacion:  Placa padre: Tipo adquisicion: Entidad</v>
      </c>
      <c r="G13762" s="5"/>
    </row>
    <row r="13763" spans="1:7" ht="58.5" customHeight="1" x14ac:dyDescent="0.25">
      <c r="A13763" s="5" t="str">
        <f>"B0000705"</f>
        <v>B0000705</v>
      </c>
      <c r="B13763" s="5" t="str">
        <f>"TIJERA MAYO RECTA"</f>
        <v>TIJERA MAYO RECTA</v>
      </c>
      <c r="C13763" s="6">
        <v>16200</v>
      </c>
      <c r="D13763" s="5"/>
      <c r="E13763" s="5" t="str">
        <f t="shared" si="701"/>
        <v>CONSULTORIO 12-CONSULTA EXTERNA</v>
      </c>
      <c r="F13763" s="5" t="str">
        <f>"Descripcion: GRANDE Estado: Bueno Placa anterior: 000006688 Material:  ACERO INOXIDABLE Color:  Referencia:  Observacion:  Placa padre: Tipo adquisicion: Entidad"</f>
        <v>Descripcion: GRANDE Estado: Bueno Placa anterior: 000006688 Material:  ACERO INOXIDABLE Color:  Referencia:  Observacion:  Placa padre: Tipo adquisicion: Entidad</v>
      </c>
      <c r="G13763" s="5"/>
    </row>
    <row r="13764" spans="1:7" ht="58.5" customHeight="1" x14ac:dyDescent="0.25">
      <c r="A13764" s="5" t="str">
        <f>"B0005316"</f>
        <v>B0005316</v>
      </c>
      <c r="B13764" s="5" t="str">
        <f>"PINZA ROCHESTER CURVA 25 CM"</f>
        <v>PINZA ROCHESTER CURVA 25 CM</v>
      </c>
      <c r="C13764" s="6">
        <v>2781</v>
      </c>
      <c r="D13764" s="5"/>
      <c r="E13764" s="5" t="str">
        <f t="shared" si="701"/>
        <v>CONSULTORIO 12-CONSULTA EXTERNA</v>
      </c>
      <c r="F13764" s="5" t="str">
        <f>"Descripcion: PINZA ROCHESTER RECTA Estado: Bueno Placa anterior: 000006685 Material: ACERO INOXIDABLE Color: PLATEADO Referencia:  Observacion:  Placa padre: Tipo adquisicion: Entidad"</f>
        <v>Descripcion: PINZA ROCHESTER RECTA Estado: Bueno Placa anterior: 000006685 Material: ACERO INOXIDABLE Color: PLATEADO Referencia:  Observacion:  Placa padre: Tipo adquisicion: Entidad</v>
      </c>
      <c r="G13764" s="5"/>
    </row>
    <row r="13765" spans="1:7" ht="58.5" customHeight="1" x14ac:dyDescent="0.25">
      <c r="A13765" s="5" t="str">
        <f>"B0005574"</f>
        <v>B0005574</v>
      </c>
      <c r="B13765" s="5" t="str">
        <f>"CURETA DOBLE"</f>
        <v>CURETA DOBLE</v>
      </c>
      <c r="C13765" s="6">
        <v>7148.24</v>
      </c>
      <c r="D13765" s="5"/>
      <c r="E13765" s="5" t="str">
        <f t="shared" si="701"/>
        <v>CONSULTORIO 12-CONSULTA EXTERNA</v>
      </c>
      <c r="F13765" s="5" t="str">
        <f>"Descripcion: CURETA DE LUCAS DOBLE Estado: Bueno Placa anterior: 000006940 Material: ACERO INOXIDABLE Color: PLATEADO Referencia:  Observacion:  Placa padre: Tipo adquisicion: Entidad"</f>
        <v>Descripcion: CURETA DE LUCAS DOBLE Estado: Bueno Placa anterior: 000006940 Material: ACERO INOXIDABLE Color: PLATEADO Referencia:  Observacion:  Placa padre: Tipo adquisicion: Entidad</v>
      </c>
      <c r="G13765" s="5"/>
    </row>
    <row r="13766" spans="1:7" ht="58.5" customHeight="1" x14ac:dyDescent="0.25">
      <c r="A13766" s="5" t="str">
        <f>"B0005575"</f>
        <v>B0005575</v>
      </c>
      <c r="B13766" s="5" t="str">
        <f>"CURETA DOBLE"</f>
        <v>CURETA DOBLE</v>
      </c>
      <c r="C13766" s="6">
        <v>7148.24</v>
      </c>
      <c r="D13766" s="5"/>
      <c r="E13766" s="5" t="str">
        <f t="shared" si="701"/>
        <v>CONSULTORIO 12-CONSULTA EXTERNA</v>
      </c>
      <c r="F13766" s="5" t="str">
        <f>"Descripcion: CURETA DE LUCAS DOBLE Estado: Bueno Placa anterior: 000006939 Material: ACERO INOXIDABLE Color: PLATEADO Referencia:  Observacion:  Placa padre: Tipo adquisicion: Entidad"</f>
        <v>Descripcion: CURETA DE LUCAS DOBLE Estado: Bueno Placa anterior: 000006939 Material: ACERO INOXIDABLE Color: PLATEADO Referencia:  Observacion:  Placa padre: Tipo adquisicion: Entidad</v>
      </c>
      <c r="G13766" s="5"/>
    </row>
    <row r="13767" spans="1:7" ht="58.5" customHeight="1" x14ac:dyDescent="0.25">
      <c r="A13767" s="5" t="str">
        <f>"B0005576"</f>
        <v>B0005576</v>
      </c>
      <c r="B13767" s="5" t="str">
        <f>"CURETA DOBLE"</f>
        <v>CURETA DOBLE</v>
      </c>
      <c r="C13767" s="6">
        <v>7148.24</v>
      </c>
      <c r="D13767" s="5"/>
      <c r="E13767" s="5" t="str">
        <f t="shared" si="701"/>
        <v>CONSULTORIO 12-CONSULTA EXTERNA</v>
      </c>
      <c r="F13767" s="5" t="str">
        <f>"Descripcion: CURETA DE LUCAS DOBLE Estado: Bueno Placa anterior: 000006938 Material: ACERO INOXIDABLE Color: PLATEADO Referencia:  Observacion:  Placa padre: Tipo adquisicion: Entidad"</f>
        <v>Descripcion: CURETA DE LUCAS DOBLE Estado: Bueno Placa anterior: 000006938 Material: ACERO INOXIDABLE Color: PLATEADO Referencia:  Observacion:  Placa padre: Tipo adquisicion: Entidad</v>
      </c>
      <c r="G13767" s="5"/>
    </row>
    <row r="13768" spans="1:7" ht="58.5" customHeight="1" x14ac:dyDescent="0.25">
      <c r="A13768" s="5" t="str">
        <f>"B0005577"</f>
        <v>B0005577</v>
      </c>
      <c r="B13768" s="5" t="str">
        <f>"CURETA DOBLE"</f>
        <v>CURETA DOBLE</v>
      </c>
      <c r="C13768" s="6">
        <v>7148.24</v>
      </c>
      <c r="D13768" s="5"/>
      <c r="E13768" s="5" t="str">
        <f t="shared" si="701"/>
        <v>CONSULTORIO 12-CONSULTA EXTERNA</v>
      </c>
      <c r="F13768" s="5" t="str">
        <f>"Descripcion: CURETA DE LUCAS DOBLE Estado: Bueno Placa anterior: 000006937 Material: ACERO INOXIDABLE Color: PLATEADO Referencia:  Observacion:  Placa padre: Tipo adquisicion: Entidad"</f>
        <v>Descripcion: CURETA DE LUCAS DOBLE Estado: Bueno Placa anterior: 000006937 Material: ACERO INOXIDABLE Color: PLATEADO Referencia:  Observacion:  Placa padre: Tipo adquisicion: Entidad</v>
      </c>
      <c r="G13768" s="5"/>
    </row>
    <row r="13769" spans="1:7" ht="58.5" customHeight="1" x14ac:dyDescent="0.25">
      <c r="A13769" s="5" t="str">
        <f>"B0005578"</f>
        <v>B0005578</v>
      </c>
      <c r="B13769" s="5" t="str">
        <f>"DENTIMETRO"</f>
        <v>DENTIMETRO</v>
      </c>
      <c r="C13769" s="6">
        <v>1824.5</v>
      </c>
      <c r="D13769" s="5"/>
      <c r="E13769" s="5" t="str">
        <f t="shared" si="701"/>
        <v>CONSULTORIO 12-CONSULTA EXTERNA</v>
      </c>
      <c r="F13769" s="5" t="str">
        <f>"Descripcion: DENTIMETRO METALICO Estado: Bueno Placa anterior: 000006943 Material: ACERO INOXIDABLE Color: PLATEADO Referencia:  Observacion:  Placa padre: Tipo adquisicion: Entidad"</f>
        <v>Descripcion: DENTIMETRO METALICO Estado: Bueno Placa anterior: 000006943 Material: ACERO INOXIDABLE Color: PLATEADO Referencia:  Observacion:  Placa padre: Tipo adquisicion: Entidad</v>
      </c>
      <c r="G13769" s="5"/>
    </row>
    <row r="13770" spans="1:7" ht="58.5" customHeight="1" x14ac:dyDescent="0.25">
      <c r="A13770" s="5" t="str">
        <f>"B0005579"</f>
        <v>B0005579</v>
      </c>
      <c r="B13770" s="5" t="str">
        <f>"ELECTROCAUTERIZADOR"</f>
        <v>ELECTROCAUTERIZADOR</v>
      </c>
      <c r="C13770" s="6">
        <v>1809600</v>
      </c>
      <c r="D13770" s="5"/>
      <c r="E13770" s="5" t="str">
        <f t="shared" si="701"/>
        <v>CONSULTORIO 12-CONSULTA EXTERNA</v>
      </c>
      <c r="F13770" s="5" t="str">
        <f>"Descripcion: ELECTROCAUTERIO MCA. SKY MOD. SUPERFRECAITOR Estado: Bueno Placa anterior: 000024624 Material: ACERO INOXIDABLE Color: PLATEADO Referencia:  Observacion:  Placa padre: Tipo adquisicion: Entidad"</f>
        <v>Descripcion: ELECTROCAUTERIO MCA. SKY MOD. SUPERFRECAITOR Estado: Bueno Placa anterior: 000024624 Material: ACERO INOXIDABLE Color: PLATEADO Referencia:  Observacion:  Placa padre: Tipo adquisicion: Entidad</v>
      </c>
      <c r="G13770" s="5"/>
    </row>
    <row r="13771" spans="1:7" ht="58.5" customHeight="1" x14ac:dyDescent="0.25">
      <c r="A13771" s="5" t="str">
        <f>"B0005580"</f>
        <v>B0005580</v>
      </c>
      <c r="B13771" s="5" t="str">
        <f>"ELEVADOR ANGULADO"</f>
        <v>ELEVADOR ANGULADO</v>
      </c>
      <c r="C13771" s="6">
        <v>52440</v>
      </c>
      <c r="D13771" s="5"/>
      <c r="E13771" s="5" t="str">
        <f t="shared" si="701"/>
        <v>CONSULTORIO 12-CONSULTA EXTERNA</v>
      </c>
      <c r="F13771" s="5" t="str">
        <f>"Descripcion: ELEVADOR ANGULADO DERECHO IZQ.AESCULAP Estado: Bueno Placa anterior: 000006948 Material: ACERO INOXIDABLE Color: PLATEADO Referencia:  Observacion:  Placa padre: Tipo adquisicion: Entidad"</f>
        <v>Descripcion: ELEVADOR ANGULADO DERECHO IZQ.AESCULAP Estado: Bueno Placa anterior: 000006948 Material: ACERO INOXIDABLE Color: PLATEADO Referencia:  Observacion:  Placa padre: Tipo adquisicion: Entidad</v>
      </c>
      <c r="G13771" s="5"/>
    </row>
    <row r="13772" spans="1:7" ht="58.5" customHeight="1" x14ac:dyDescent="0.25">
      <c r="A13772" s="5" t="str">
        <f>"B0005581"</f>
        <v>B0005581</v>
      </c>
      <c r="B13772" s="5" t="str">
        <f>"ELEVADOR ANGULADO"</f>
        <v>ELEVADOR ANGULADO</v>
      </c>
      <c r="C13772" s="6">
        <v>52440</v>
      </c>
      <c r="D13772" s="5"/>
      <c r="E13772" s="5" t="str">
        <f t="shared" si="701"/>
        <v>CONSULTORIO 12-CONSULTA EXTERNA</v>
      </c>
      <c r="F13772" s="5" t="str">
        <f>"Descripcion: ELEVADOR ANGULADO DERECHO IZQ.AESCULAP Estado: Bueno Placa anterior: 000006949 Material: ACERO INOXIDABLE Color: PLATEADO Referencia:  Observacion:  Placa padre: Tipo adquisicion: Entidad"</f>
        <v>Descripcion: ELEVADOR ANGULADO DERECHO IZQ.AESCULAP Estado: Bueno Placa anterior: 000006949 Material: ACERO INOXIDABLE Color: PLATEADO Referencia:  Observacion:  Placa padre: Tipo adquisicion: Entidad</v>
      </c>
      <c r="G13772" s="5"/>
    </row>
    <row r="13773" spans="1:7" ht="58.5" customHeight="1" x14ac:dyDescent="0.25">
      <c r="A13773" s="5" t="str">
        <f>"B0005582"</f>
        <v>B0005582</v>
      </c>
      <c r="B13773" s="5" t="str">
        <f>"ELEVADOR RECTO ACANALADO"</f>
        <v>ELEVADOR RECTO ACANALADO</v>
      </c>
      <c r="C13773" s="6">
        <v>90048</v>
      </c>
      <c r="D13773" s="5"/>
      <c r="E13773" s="5" t="str">
        <f t="shared" si="701"/>
        <v>CONSULTORIO 12-CONSULTA EXTERNA</v>
      </c>
      <c r="F13773" s="5" t="str">
        <f>"Descripcion: ELEVADOR DE RAICES RECTO ACANALADO DELGADO AESCULAP Estado: Bueno Placa anterior: 000006955 Material: ACERO INOXIDABLE Color: PLATEADO Referencia:  Observacion:  Placa padre: Tipo adquisicion: Entidad"</f>
        <v>Descripcion: ELEVADOR DE RAICES RECTO ACANALADO DELGADO AESCULAP Estado: Bueno Placa anterior: 000006955 Material: ACERO INOXIDABLE Color: PLATEADO Referencia:  Observacion:  Placa padre: Tipo adquisicion: Entidad</v>
      </c>
      <c r="G13773" s="5"/>
    </row>
    <row r="13774" spans="1:7" ht="58.5" customHeight="1" x14ac:dyDescent="0.25">
      <c r="A13774" s="5" t="str">
        <f>"B0005583"</f>
        <v>B0005583</v>
      </c>
      <c r="B13774" s="5" t="str">
        <f>"ELEVADOR RECTO ACANALADO"</f>
        <v>ELEVADOR RECTO ACANALADO</v>
      </c>
      <c r="C13774" s="6">
        <v>90048</v>
      </c>
      <c r="D13774" s="5"/>
      <c r="E13774" s="5" t="str">
        <f t="shared" si="701"/>
        <v>CONSULTORIO 12-CONSULTA EXTERNA</v>
      </c>
      <c r="F13774" s="5" t="str">
        <f>"Descripcion: ELEVADOR DE RAICES RECTO ACANALADO DELGADO AESCULAP Estado: Bueno Placa anterior: 000006954 Material: ACERO INOXIDABLE Color: PLATEADO Referencia:  Observacion:  Placa padre: Tipo adquisicion: Entidad"</f>
        <v>Descripcion: ELEVADOR DE RAICES RECTO ACANALADO DELGADO AESCULAP Estado: Bueno Placa anterior: 000006954 Material: ACERO INOXIDABLE Color: PLATEADO Referencia:  Observacion:  Placa padre: Tipo adquisicion: Entidad</v>
      </c>
      <c r="G13774" s="5"/>
    </row>
    <row r="13775" spans="1:7" ht="58.5" customHeight="1" x14ac:dyDescent="0.25">
      <c r="A13775" s="5" t="str">
        <f>"B0005584"</f>
        <v>B0005584</v>
      </c>
      <c r="B13775" s="5" t="str">
        <f>"ELEVADOR RECTO ACANALADO"</f>
        <v>ELEVADOR RECTO ACANALADO</v>
      </c>
      <c r="C13775" s="6">
        <v>90048</v>
      </c>
      <c r="D13775" s="5"/>
      <c r="E13775" s="5" t="str">
        <f t="shared" si="701"/>
        <v>CONSULTORIO 12-CONSULTA EXTERNA</v>
      </c>
      <c r="F13775" s="5" t="str">
        <f>"Descripcion: ELEVADOR DE RAICES RECTO ACANALADO DELGADO AESCULAP Estado: Bueno Placa anterior: 000006953 Material: ACERO INOXIDABLE Color: PLATEADO Referencia:  Observacion:  Placa padre: Tipo adquisicion: Entidad"</f>
        <v>Descripcion: ELEVADOR DE RAICES RECTO ACANALADO DELGADO AESCULAP Estado: Bueno Placa anterior: 000006953 Material: ACERO INOXIDABLE Color: PLATEADO Referencia:  Observacion:  Placa padre: Tipo adquisicion: Entidad</v>
      </c>
      <c r="G13775" s="5"/>
    </row>
    <row r="13776" spans="1:7" ht="58.5" customHeight="1" x14ac:dyDescent="0.25">
      <c r="A13776" s="5" t="str">
        <f>"B0005585"</f>
        <v>B0005585</v>
      </c>
      <c r="B13776" s="5" t="str">
        <f>"ELEVADOR RECTO ACANALADO"</f>
        <v>ELEVADOR RECTO ACANALADO</v>
      </c>
      <c r="C13776" s="6">
        <v>90048</v>
      </c>
      <c r="D13776" s="5"/>
      <c r="E13776" s="5" t="str">
        <f t="shared" si="701"/>
        <v>CONSULTORIO 12-CONSULTA EXTERNA</v>
      </c>
      <c r="F13776" s="5" t="str">
        <f>"Descripcion: ELEVADOR DE RAICES RECTO ACANALADO DELGADO AESCULAP Estado: Bueno Placa anterior: 000006952 Material: ACERO INOXIDABLE Color:  Referencia:  Observacion:  Placa padre: Tipo adquisicion: Entidad"</f>
        <v>Descripcion: ELEVADOR DE RAICES RECTO ACANALADO DELGADO AESCULAP Estado: Bueno Placa anterior: 000006952 Material: ACERO INOXIDABLE Color:  Referencia:  Observacion:  Placa padre: Tipo adquisicion: Entidad</v>
      </c>
      <c r="G13776" s="5"/>
    </row>
    <row r="13777" spans="1:7" ht="58.5" customHeight="1" x14ac:dyDescent="0.25">
      <c r="A13777" s="5" t="str">
        <f>"B0005586"</f>
        <v>B0005586</v>
      </c>
      <c r="B13777" s="5" t="str">
        <f t="shared" ref="B13777:B13782" si="702">"ELEVADOR FREER DOBLE HOJA"</f>
        <v>ELEVADOR FREER DOBLE HOJA</v>
      </c>
      <c r="C13777" s="6">
        <v>66310</v>
      </c>
      <c r="D13777" s="5"/>
      <c r="E13777" s="5" t="str">
        <f t="shared" si="701"/>
        <v>CONSULTORIO 12-CONSULTA EXTERNA</v>
      </c>
      <c r="F13777" s="5" t="str">
        <f>"Descripcion: ELEVADOR FREER DOBLE HOJA AFILADA Y ROMA 5 mm DE ANCHO 17.80 CM Estado: Bueno Placa anterior: 000024623 Material: ACERO INOXIDABLE Color: PLATEADO Referencia:  Observacion:  Placa padre: Tipo adquisicion: Entidad"</f>
        <v>Descripcion: ELEVADOR FREER DOBLE HOJA AFILADA Y ROMA 5 mm DE ANCHO 17.80 CM Estado: Bueno Placa anterior: 000024623 Material: ACERO INOXIDABLE Color: PLATEADO Referencia:  Observacion:  Placa padre: Tipo adquisicion: Entidad</v>
      </c>
      <c r="G13777" s="5"/>
    </row>
    <row r="13778" spans="1:7" ht="58.5" customHeight="1" x14ac:dyDescent="0.25">
      <c r="A13778" s="5" t="str">
        <f>"B0005587"</f>
        <v>B0005587</v>
      </c>
      <c r="B13778" s="5" t="str">
        <f t="shared" si="702"/>
        <v>ELEVADOR FREER DOBLE HOJA</v>
      </c>
      <c r="C13778" s="6">
        <v>66310</v>
      </c>
      <c r="D13778" s="5"/>
      <c r="E13778" s="5" t="str">
        <f t="shared" si="701"/>
        <v>CONSULTORIO 12-CONSULTA EXTERNA</v>
      </c>
      <c r="F13778" s="5" t="str">
        <f>"Descripcion: ELEVADOR FREER DOBLE HOJA AFILADA Y ROMA 5 mm DE ANCHO 17.80 CM Estado: Bueno Placa anterior: 000024622 Material: ACERO INOXIDABLE Color: PLATEADO Referencia:  Observacion:  Placa padre: Tipo adquisicion: Entidad"</f>
        <v>Descripcion: ELEVADOR FREER DOBLE HOJA AFILADA Y ROMA 5 mm DE ANCHO 17.80 CM Estado: Bueno Placa anterior: 000024622 Material: ACERO INOXIDABLE Color: PLATEADO Referencia:  Observacion:  Placa padre: Tipo adquisicion: Entidad</v>
      </c>
      <c r="G13778" s="5"/>
    </row>
    <row r="13779" spans="1:7" ht="58.5" customHeight="1" x14ac:dyDescent="0.25">
      <c r="A13779" s="5" t="str">
        <f>"B0005588"</f>
        <v>B0005588</v>
      </c>
      <c r="B13779" s="5" t="str">
        <f t="shared" si="702"/>
        <v>ELEVADOR FREER DOBLE HOJA</v>
      </c>
      <c r="C13779" s="6">
        <v>66310</v>
      </c>
      <c r="D13779" s="5"/>
      <c r="E13779" s="5" t="str">
        <f t="shared" si="701"/>
        <v>CONSULTORIO 12-CONSULTA EXTERNA</v>
      </c>
      <c r="F13779" s="5" t="str">
        <f>"Descripcion: ELEVADOR FREER DOBLE HOJA AFILADA Y ROMA 5 mm DE ANCHO 17.80 CM Estado: Bueno Placa anterior: 000024621 Material: ACERO INOXIDABLE Color: PLATEADO Referencia:  Observacion:  Placa padre: Tipo adquisicion: Entidad"</f>
        <v>Descripcion: ELEVADOR FREER DOBLE HOJA AFILADA Y ROMA 5 mm DE ANCHO 17.80 CM Estado: Bueno Placa anterior: 000024621 Material: ACERO INOXIDABLE Color: PLATEADO Referencia:  Observacion:  Placa padre: Tipo adquisicion: Entidad</v>
      </c>
      <c r="G13779" s="5"/>
    </row>
    <row r="13780" spans="1:7" ht="58.5" customHeight="1" x14ac:dyDescent="0.25">
      <c r="A13780" s="5" t="str">
        <f>"B0005589"</f>
        <v>B0005589</v>
      </c>
      <c r="B13780" s="5" t="str">
        <f t="shared" si="702"/>
        <v>ELEVADOR FREER DOBLE HOJA</v>
      </c>
      <c r="C13780" s="6">
        <v>66310</v>
      </c>
      <c r="D13780" s="5"/>
      <c r="E13780" s="5" t="str">
        <f t="shared" si="701"/>
        <v>CONSULTORIO 12-CONSULTA EXTERNA</v>
      </c>
      <c r="F13780" s="5" t="str">
        <f>"Descripcion: ELEVADOR FREER DOBLE HOJA AFILADA Y ROMA 5 mm DE ANCHO 17.80 CM Estado: Bueno Placa anterior: 000024620 Material: ACERO INOXIDABLE Color: PLATEADO Referencia:  Observacion:  Placa padre: Tipo adquisicion: Entidad"</f>
        <v>Descripcion: ELEVADOR FREER DOBLE HOJA AFILADA Y ROMA 5 mm DE ANCHO 17.80 CM Estado: Bueno Placa anterior: 000024620 Material: ACERO INOXIDABLE Color: PLATEADO Referencia:  Observacion:  Placa padre: Tipo adquisicion: Entidad</v>
      </c>
      <c r="G13780" s="5"/>
    </row>
    <row r="13781" spans="1:7" ht="58.5" customHeight="1" x14ac:dyDescent="0.25">
      <c r="A13781" s="5" t="str">
        <f>"B0005590"</f>
        <v>B0005590</v>
      </c>
      <c r="B13781" s="5" t="str">
        <f t="shared" si="702"/>
        <v>ELEVADOR FREER DOBLE HOJA</v>
      </c>
      <c r="C13781" s="6">
        <v>66310</v>
      </c>
      <c r="D13781" s="5"/>
      <c r="E13781" s="5" t="str">
        <f t="shared" si="701"/>
        <v>CONSULTORIO 12-CONSULTA EXTERNA</v>
      </c>
      <c r="F13781" s="5" t="str">
        <f>"Descripcion: ELEVADOR FREER DOBLE HOJA AFILADA Y ROMA 5 mm DE ANCHO 17.80 CM Estado: Bueno Placa anterior: 000024619 Material: ACERO INOXIDABLE Color: PLATEADO Referencia:  Observacion:  Placa padre: Tipo adquisicion: Entidad"</f>
        <v>Descripcion: ELEVADOR FREER DOBLE HOJA AFILADA Y ROMA 5 mm DE ANCHO 17.80 CM Estado: Bueno Placa anterior: 000024619 Material: ACERO INOXIDABLE Color: PLATEADO Referencia:  Observacion:  Placa padre: Tipo adquisicion: Entidad</v>
      </c>
      <c r="G13781" s="5"/>
    </row>
    <row r="13782" spans="1:7" ht="58.5" customHeight="1" x14ac:dyDescent="0.25">
      <c r="A13782" s="5" t="str">
        <f>"B0005591"</f>
        <v>B0005591</v>
      </c>
      <c r="B13782" s="5" t="str">
        <f t="shared" si="702"/>
        <v>ELEVADOR FREER DOBLE HOJA</v>
      </c>
      <c r="C13782" s="6">
        <v>66310</v>
      </c>
      <c r="D13782" s="5"/>
      <c r="E13782" s="5" t="str">
        <f t="shared" si="701"/>
        <v>CONSULTORIO 12-CONSULTA EXTERNA</v>
      </c>
      <c r="F13782" s="5" t="str">
        <f>"Descripcion: ELEVADOR FREER DOBLE HOJA AFILADA Y ROMA 5 mm DE ANCHO 17.80 CM Estado: Bueno Placa anterior: 000024618 Material: ACERO INOXIDABLE Color: PLATEADO Referencia:  Observacion:  Placa padre: Tipo adquisicion: Entidad"</f>
        <v>Descripcion: ELEVADOR FREER DOBLE HOJA AFILADA Y ROMA 5 mm DE ANCHO 17.80 CM Estado: Bueno Placa anterior: 000024618 Material: ACERO INOXIDABLE Color: PLATEADO Referencia:  Observacion:  Placa padre: Tipo adquisicion: Entidad</v>
      </c>
      <c r="G13782" s="5"/>
    </row>
    <row r="13783" spans="1:7" ht="58.5" customHeight="1" x14ac:dyDescent="0.25">
      <c r="A13783" s="5" t="str">
        <f>"B0005592"</f>
        <v>B0005592</v>
      </c>
      <c r="B13783" s="5" t="str">
        <f>"ELEVADOR PARA RAICES UÑA GATO"</f>
        <v>ELEVADOR PARA RAICES UÑA GATO</v>
      </c>
      <c r="C13783" s="6">
        <v>30016</v>
      </c>
      <c r="D13783" s="5"/>
      <c r="E13783" s="5" t="str">
        <f t="shared" si="701"/>
        <v>CONSULTORIO 12-CONSULTA EXTERNA</v>
      </c>
      <c r="F13783" s="5" t="str">
        <f>"Descripcion: ELEVADOR PARA RAICES IZQ. UNA GATO DL 225 AESCULAP Estado: Bueno Placa anterior: 000006950 Material: ACERO INOXIDABLE Color:  Referencia:  Observacion:  Placa padre: Tipo adquisicion: Entidad"</f>
        <v>Descripcion: ELEVADOR PARA RAICES IZQ. UNA GATO DL 225 AESCULAP Estado: Bueno Placa anterior: 000006950 Material: ACERO INOXIDABLE Color:  Referencia:  Observacion:  Placa padre: Tipo adquisicion: Entidad</v>
      </c>
      <c r="G13783" s="5"/>
    </row>
    <row r="13784" spans="1:7" ht="58.5" customHeight="1" x14ac:dyDescent="0.25">
      <c r="A13784" s="5" t="str">
        <f>"B0005593"</f>
        <v>B0005593</v>
      </c>
      <c r="B13784" s="5" t="str">
        <f>"ELEVADOR PARA RAICES UÑA GATO"</f>
        <v>ELEVADOR PARA RAICES UÑA GATO</v>
      </c>
      <c r="C13784" s="6">
        <v>30016</v>
      </c>
      <c r="D13784" s="5"/>
      <c r="E13784" s="5" t="str">
        <f t="shared" si="701"/>
        <v>CONSULTORIO 12-CONSULTA EXTERNA</v>
      </c>
      <c r="F13784" s="5" t="str">
        <f>"Descripcion: ELEVADOR PARA RAICES IZQ. UNA GATO DL 225 AESCULAP Estado: Bueno Placa anterior: 000006951 Material: ACERO INOXIDABLE Color: PLATEADO Referencia:  Observacion:  Placa padre: Tipo adquisicion: Entidad"</f>
        <v>Descripcion: ELEVADOR PARA RAICES IZQ. UNA GATO DL 225 AESCULAP Estado: Bueno Placa anterior: 000006951 Material: ACERO INOXIDABLE Color: PLATEADO Referencia:  Observacion:  Placa padre: Tipo adquisicion: Entidad</v>
      </c>
      <c r="G13784" s="5"/>
    </row>
    <row r="13785" spans="1:7" ht="58.5" customHeight="1" x14ac:dyDescent="0.25">
      <c r="A13785" s="5" t="str">
        <f>"B0005594"</f>
        <v>B0005594</v>
      </c>
      <c r="B13785" s="5" t="str">
        <f>"EMPACADOR DE AMALGAMA"</f>
        <v>EMPACADOR DE AMALGAMA</v>
      </c>
      <c r="C13785" s="6">
        <v>17328</v>
      </c>
      <c r="D13785" s="5"/>
      <c r="E13785" s="5" t="str">
        <f t="shared" si="701"/>
        <v>CONSULTORIO 12-CONSULTA EXTERNA</v>
      </c>
      <c r="F13785" s="5" t="str">
        <f>"Descripcion: EMPACADOR DE AMALGAMA SENCILLO AESCULAP Estado: Bueno Placa anterior: 000006957 Material: ACERO INOXIDABLE Color: PLATEADO Referencia:  Observacion:  Placa padre: Tipo adquisicion: Entidad"</f>
        <v>Descripcion: EMPACADOR DE AMALGAMA SENCILLO AESCULAP Estado: Bueno Placa anterior: 000006957 Material: ACERO INOXIDABLE Color: PLATEADO Referencia:  Observacion:  Placa padre: Tipo adquisicion: Entidad</v>
      </c>
      <c r="G13785" s="5"/>
    </row>
    <row r="13786" spans="1:7" ht="58.5" customHeight="1" x14ac:dyDescent="0.25">
      <c r="A13786" s="5" t="str">
        <f>"B0005595"</f>
        <v>B0005595</v>
      </c>
      <c r="B13786" s="5" t="str">
        <f>"ESPATULA PARA CEMENTO"</f>
        <v>ESPATULA PARA CEMENTO</v>
      </c>
      <c r="C13786" s="6">
        <v>3005.5</v>
      </c>
      <c r="D13786" s="5"/>
      <c r="E13786" s="5" t="str">
        <f t="shared" si="701"/>
        <v>CONSULTORIO 12-CONSULTA EXTERNA</v>
      </c>
      <c r="F13786" s="5" t="str">
        <f>"Descripcion: ESPATULA PARA CEMENTO Estado: Bueno Placa anterior: 000006968 Material: ACERO INOXIDABLE Color: PLATEADO Referencia:  Observacion:  Placa padre: Tipo adquisicion: Entidad"</f>
        <v>Descripcion: ESPATULA PARA CEMENTO Estado: Bueno Placa anterior: 000006968 Material: ACERO INOXIDABLE Color: PLATEADO Referencia:  Observacion:  Placa padre: Tipo adquisicion: Entidad</v>
      </c>
      <c r="G13786" s="5"/>
    </row>
    <row r="13787" spans="1:7" ht="58.5" customHeight="1" x14ac:dyDescent="0.25">
      <c r="A13787" s="5" t="str">
        <f>"B0005596"</f>
        <v>B0005596</v>
      </c>
      <c r="B13787" s="5" t="str">
        <f>"ESPATULA PARA CEMENTO"</f>
        <v>ESPATULA PARA CEMENTO</v>
      </c>
      <c r="C13787" s="6">
        <v>3005.5</v>
      </c>
      <c r="D13787" s="5"/>
      <c r="E13787" s="5" t="str">
        <f t="shared" si="701"/>
        <v>CONSULTORIO 12-CONSULTA EXTERNA</v>
      </c>
      <c r="F13787" s="5" t="str">
        <f>"Descripcion: ESPATULA PARA CEMENTO Estado: Bueno Placa anterior: 000006967 Material: ACERO INOXIDABLE Color: PLATEADO Referencia:  Observacion:  Placa padre: Tipo adquisicion: Entidad"</f>
        <v>Descripcion: ESPATULA PARA CEMENTO Estado: Bueno Placa anterior: 000006967 Material: ACERO INOXIDABLE Color: PLATEADO Referencia:  Observacion:  Placa padre: Tipo adquisicion: Entidad</v>
      </c>
      <c r="G13787" s="5"/>
    </row>
    <row r="13788" spans="1:7" ht="58.5" customHeight="1" x14ac:dyDescent="0.25">
      <c r="A13788" s="5" t="str">
        <f>"B0005597"</f>
        <v>B0005597</v>
      </c>
      <c r="B13788" s="5" t="str">
        <f>"ESPATULA PARA CEMENTO"</f>
        <v>ESPATULA PARA CEMENTO</v>
      </c>
      <c r="C13788" s="6">
        <v>3005.5</v>
      </c>
      <c r="D13788" s="5"/>
      <c r="E13788" s="5" t="str">
        <f t="shared" ref="E13788:E13819" si="703">"CONSULTORIO 12-CONSULTA EXTERNA"</f>
        <v>CONSULTORIO 12-CONSULTA EXTERNA</v>
      </c>
      <c r="F13788" s="5" t="str">
        <f>"Descripcion: ESPATULA PARA CEMENTO Estado: Bueno Placa anterior: 000006966 Material: ACERO INOXIDABLE Color: PLATEADO Referencia:  Observacion:  Placa padre: Tipo adquisicion: Entidad"</f>
        <v>Descripcion: ESPATULA PARA CEMENTO Estado: Bueno Placa anterior: 000006966 Material: ACERO INOXIDABLE Color: PLATEADO Referencia:  Observacion:  Placa padre: Tipo adquisicion: Entidad</v>
      </c>
      <c r="G13788" s="5"/>
    </row>
    <row r="13789" spans="1:7" ht="58.5" customHeight="1" x14ac:dyDescent="0.25">
      <c r="A13789" s="5" t="str">
        <f>"B0005598"</f>
        <v>B0005598</v>
      </c>
      <c r="B13789" s="5" t="str">
        <f>"ESPEJO BUCAL CON MANGO"</f>
        <v>ESPEJO BUCAL CON MANGO</v>
      </c>
      <c r="C13789" s="6">
        <v>4332</v>
      </c>
      <c r="D13789" s="5"/>
      <c r="E13789" s="5" t="str">
        <f t="shared" si="703"/>
        <v>CONSULTORIO 12-CONSULTA EXTERNA</v>
      </c>
      <c r="F13789" s="5" t="str">
        <f>"Descripcion: ESPEJO BUCAL CON MANGO MAILLEFER Estado: Bueno Placa anterior: 000006980 Material: ACERO INOXIDABLE Color: PLATEADO Referencia:  Observacion:  Placa padre: Tipo adquisicion: Entidad"</f>
        <v>Descripcion: ESPEJO BUCAL CON MANGO MAILLEFER Estado: Bueno Placa anterior: 000006980 Material: ACERO INOXIDABLE Color: PLATEADO Referencia:  Observacion:  Placa padre: Tipo adquisicion: Entidad</v>
      </c>
      <c r="G13789" s="5"/>
    </row>
    <row r="13790" spans="1:7" ht="58.5" customHeight="1" x14ac:dyDescent="0.25">
      <c r="A13790" s="5" t="str">
        <f>"B0005599"</f>
        <v>B0005599</v>
      </c>
      <c r="B13790" s="5" t="str">
        <f>"ESPEJO BUCAL CON MANGO"</f>
        <v>ESPEJO BUCAL CON MANGO</v>
      </c>
      <c r="C13790" s="6">
        <v>4332</v>
      </c>
      <c r="D13790" s="5"/>
      <c r="E13790" s="5" t="str">
        <f t="shared" si="703"/>
        <v>CONSULTORIO 12-CONSULTA EXTERNA</v>
      </c>
      <c r="F13790" s="5" t="str">
        <f>"Descripcion: ESPEJO BUCAL CON MANGO MAILLEFER Estado: Bueno Placa anterior: 000006979 Material: ACERO INOXIDABLE Color: PLATEADO Referencia:  Observacion:  Placa padre: Tipo adquisicion: Entidad"</f>
        <v>Descripcion: ESPEJO BUCAL CON MANGO MAILLEFER Estado: Bueno Placa anterior: 000006979 Material: ACERO INOXIDABLE Color: PLATEADO Referencia:  Observacion:  Placa padre: Tipo adquisicion: Entidad</v>
      </c>
      <c r="G13790" s="5"/>
    </row>
    <row r="13791" spans="1:7" ht="58.5" customHeight="1" x14ac:dyDescent="0.25">
      <c r="A13791" s="5" t="str">
        <f>"B0005600"</f>
        <v>B0005600</v>
      </c>
      <c r="B13791" s="5" t="str">
        <f>"EXPLORADOR DOBLE"</f>
        <v>EXPLORADOR DOBLE</v>
      </c>
      <c r="C13791" s="6">
        <v>2616.42</v>
      </c>
      <c r="D13791" s="5"/>
      <c r="E13791" s="5" t="str">
        <f t="shared" si="703"/>
        <v>CONSULTORIO 12-CONSULTA EXTERNA</v>
      </c>
      <c r="F13791" s="5" t="str">
        <f>"Descripcion: EXPLORADOR DOBLE EXTREMO Estado: Bueno Placa anterior: 000006984 Material: ACERO INOXIDABLE Color: PLATEADO Referencia:  Observacion:  Placa padre: Tipo adquisicion: Entidad"</f>
        <v>Descripcion: EXPLORADOR DOBLE EXTREMO Estado: Bueno Placa anterior: 000006984 Material: ACERO INOXIDABLE Color: PLATEADO Referencia:  Observacion:  Placa padre: Tipo adquisicion: Entidad</v>
      </c>
      <c r="G13791" s="5"/>
    </row>
    <row r="13792" spans="1:7" ht="58.5" customHeight="1" x14ac:dyDescent="0.25">
      <c r="A13792" s="5" t="str">
        <f>"B0005601"</f>
        <v>B0005601</v>
      </c>
      <c r="B13792" s="5" t="str">
        <f>"FORCEPS 16"</f>
        <v>FORCEPS 16</v>
      </c>
      <c r="C13792" s="6">
        <v>118560</v>
      </c>
      <c r="D13792" s="5"/>
      <c r="E13792" s="5" t="str">
        <f t="shared" si="703"/>
        <v>CONSULTORIO 12-CONSULTA EXTERNA</v>
      </c>
      <c r="F13792" s="5" t="str">
        <f>"Descripcion: FORCEPS #16 AESCULAP Estado: Bueno Placa anterior: 000007002 Material: ACERO INOXIDABLE Color: PLATEADO Referencia:  Observacion:  Placa padre: Tipo adquisicion: Entidad"</f>
        <v>Descripcion: FORCEPS #16 AESCULAP Estado: Bueno Placa anterior: 000007002 Material: ACERO INOXIDABLE Color: PLATEADO Referencia:  Observacion:  Placa padre: Tipo adquisicion: Entidad</v>
      </c>
      <c r="G13792" s="5"/>
    </row>
    <row r="13793" spans="1:7" ht="58.5" customHeight="1" x14ac:dyDescent="0.25">
      <c r="A13793" s="5" t="str">
        <f>"B0005602"</f>
        <v>B0005602</v>
      </c>
      <c r="B13793" s="5" t="str">
        <f>"FORCEPS 16"</f>
        <v>FORCEPS 16</v>
      </c>
      <c r="C13793" s="6">
        <v>118560</v>
      </c>
      <c r="D13793" s="5"/>
      <c r="E13793" s="5" t="str">
        <f t="shared" si="703"/>
        <v>CONSULTORIO 12-CONSULTA EXTERNA</v>
      </c>
      <c r="F13793" s="5" t="str">
        <f>"Descripcion: FORCEPS #16 AESCULAP Estado: Bueno Placa anterior: 000007001 Material: ACERO INOXIDABLE Color: PLATEADO Referencia:  Observacion:  Placa padre: Tipo adquisicion: Entidad"</f>
        <v>Descripcion: FORCEPS #16 AESCULAP Estado: Bueno Placa anterior: 000007001 Material: ACERO INOXIDABLE Color: PLATEADO Referencia:  Observacion:  Placa padre: Tipo adquisicion: Entidad</v>
      </c>
      <c r="G13793" s="5"/>
    </row>
    <row r="13794" spans="1:7" ht="58.5" customHeight="1" x14ac:dyDescent="0.25">
      <c r="A13794" s="5" t="str">
        <f>"B0005603"</f>
        <v>B0005603</v>
      </c>
      <c r="B13794" s="5" t="str">
        <f>"FORCEPS 65"</f>
        <v>FORCEPS 65</v>
      </c>
      <c r="C13794" s="6">
        <v>450984</v>
      </c>
      <c r="D13794" s="5"/>
      <c r="E13794" s="5" t="str">
        <f t="shared" si="703"/>
        <v>CONSULTORIO 12-CONSULTA EXTERNA</v>
      </c>
      <c r="F13794" s="5" t="str">
        <f>"Descripcion: FORCEPS #65 150 (2) Y 151 (2) AESCULAP Estado: Bueno Placa anterior: 000007007 Material: ACERO INOXIDABLE Color: PLATEADO Referencia:  Observacion:  Placa padre: Tipo adquisicion: Entidad"</f>
        <v>Descripcion: FORCEPS #65 150 (2) Y 151 (2) AESCULAP Estado: Bueno Placa anterior: 000007007 Material: ACERO INOXIDABLE Color: PLATEADO Referencia:  Observacion:  Placa padre: Tipo adquisicion: Entidad</v>
      </c>
      <c r="G13794" s="5"/>
    </row>
    <row r="13795" spans="1:7" ht="58.5" customHeight="1" x14ac:dyDescent="0.25">
      <c r="A13795" s="5" t="str">
        <f>"B0005604"</f>
        <v>B0005604</v>
      </c>
      <c r="B13795" s="5" t="str">
        <f>"FORCEPS 65"</f>
        <v>FORCEPS 65</v>
      </c>
      <c r="C13795" s="6">
        <v>450984</v>
      </c>
      <c r="D13795" s="5"/>
      <c r="E13795" s="5" t="str">
        <f t="shared" si="703"/>
        <v>CONSULTORIO 12-CONSULTA EXTERNA</v>
      </c>
      <c r="F13795" s="5" t="str">
        <f>"Descripcion: FORCEPS #65 150 (2) Y 151 (2) AESCULAP Estado: Bueno Placa anterior: 000007006 Material: ACERO INOXIDABLE Color: PLATEADO Referencia:  Observacion:  Placa padre: Tipo adquisicion: Entidad"</f>
        <v>Descripcion: FORCEPS #65 150 (2) Y 151 (2) AESCULAP Estado: Bueno Placa anterior: 000007006 Material: ACERO INOXIDABLE Color: PLATEADO Referencia:  Observacion:  Placa padre: Tipo adquisicion: Entidad</v>
      </c>
      <c r="G13795" s="5"/>
    </row>
    <row r="13796" spans="1:7" ht="58.5" customHeight="1" x14ac:dyDescent="0.25">
      <c r="A13796" s="5" t="str">
        <f>"B0005605"</f>
        <v>B0005605</v>
      </c>
      <c r="B13796" s="5" t="str">
        <f>"FORCEPS 65"</f>
        <v>FORCEPS 65</v>
      </c>
      <c r="C13796" s="6">
        <v>450984</v>
      </c>
      <c r="D13796" s="5"/>
      <c r="E13796" s="5" t="str">
        <f t="shared" si="703"/>
        <v>CONSULTORIO 12-CONSULTA EXTERNA</v>
      </c>
      <c r="F13796" s="5" t="str">
        <f>"Descripcion: FORCEPS #65 150 (2) Y 151 (2) AESCULAP Estado: Bueno Placa anterior: 000007005 Material: ACERO INOXIDABLE Color: PLATEADO Referencia:  Observacion:  Placa padre: Tipo adquisicion: Entidad"</f>
        <v>Descripcion: FORCEPS #65 150 (2) Y 151 (2) AESCULAP Estado: Bueno Placa anterior: 000007005 Material: ACERO INOXIDABLE Color: PLATEADO Referencia:  Observacion:  Placa padre: Tipo adquisicion: Entidad</v>
      </c>
      <c r="G13796" s="5"/>
    </row>
    <row r="13797" spans="1:7" ht="58.5" customHeight="1" x14ac:dyDescent="0.25">
      <c r="A13797" s="5" t="str">
        <f>"B0005606"</f>
        <v>B0005606</v>
      </c>
      <c r="B13797" s="5" t="str">
        <f>"FORCEPS 65"</f>
        <v>FORCEPS 65</v>
      </c>
      <c r="C13797" s="6">
        <v>450984</v>
      </c>
      <c r="D13797" s="5"/>
      <c r="E13797" s="5" t="str">
        <f t="shared" si="703"/>
        <v>CONSULTORIO 12-CONSULTA EXTERNA</v>
      </c>
      <c r="F13797" s="5" t="str">
        <f>"Descripcion: FORCEPS #65 150 (2) Y 151 (2) AESCULAP Estado: Bueno Placa anterior: 000007004 Material: ACERO INOXIDABLE Color: PLATEADO Referencia:  Observacion:  Placa padre: Tipo adquisicion: Entidad"</f>
        <v>Descripcion: FORCEPS #65 150 (2) Y 151 (2) AESCULAP Estado: Bueno Placa anterior: 000007004 Material: ACERO INOXIDABLE Color: PLATEADO Referencia:  Observacion:  Placa padre: Tipo adquisicion: Entidad</v>
      </c>
      <c r="G13797" s="5"/>
    </row>
    <row r="13798" spans="1:7" ht="58.5" customHeight="1" x14ac:dyDescent="0.25">
      <c r="A13798" s="5" t="str">
        <f>"B0005607"</f>
        <v>B0005607</v>
      </c>
      <c r="B13798" s="5" t="str">
        <f>"JERINGA CARPULE"</f>
        <v>JERINGA CARPULE</v>
      </c>
      <c r="C13798" s="6">
        <v>12868.65</v>
      </c>
      <c r="D13798" s="5"/>
      <c r="E13798" s="5" t="str">
        <f t="shared" si="703"/>
        <v>CONSULTORIO 12-CONSULTA EXTERNA</v>
      </c>
      <c r="F13798" s="5" t="str">
        <f>"Descripcion: JERINGA CARPULE Estado: Bueno Placa anterior: 000007021 Material: ACERO INOXIDABLE Color: PLATEADO Referencia:  Observacion:  Placa padre: Tipo adquisicion: Entidad"</f>
        <v>Descripcion: JERINGA CARPULE Estado: Bueno Placa anterior: 000007021 Material: ACERO INOXIDABLE Color: PLATEADO Referencia:  Observacion:  Placa padre: Tipo adquisicion: Entidad</v>
      </c>
      <c r="G13798" s="5"/>
    </row>
    <row r="13799" spans="1:7" ht="58.5" customHeight="1" x14ac:dyDescent="0.25">
      <c r="A13799" s="5" t="str">
        <f>"B0005608"</f>
        <v>B0005608</v>
      </c>
      <c r="B13799" s="5" t="str">
        <f>"JERINGA CARPULE"</f>
        <v>JERINGA CARPULE</v>
      </c>
      <c r="C13799" s="6">
        <v>12868.65</v>
      </c>
      <c r="D13799" s="5"/>
      <c r="E13799" s="5" t="str">
        <f t="shared" si="703"/>
        <v>CONSULTORIO 12-CONSULTA EXTERNA</v>
      </c>
      <c r="F13799" s="5" t="str">
        <f>"Descripcion: JERINGA CARPULE Estado: Bueno Placa anterior: 000007020 Material: ACERO INOXIDABLE Color: PLATEADO Referencia:  Observacion:  Placa padre: Tipo adquisicion: Entidad"</f>
        <v>Descripcion: JERINGA CARPULE Estado: Bueno Placa anterior: 000007020 Material: ACERO INOXIDABLE Color: PLATEADO Referencia:  Observacion:  Placa padre: Tipo adquisicion: Entidad</v>
      </c>
      <c r="G13799" s="5"/>
    </row>
    <row r="13800" spans="1:7" ht="58.5" customHeight="1" x14ac:dyDescent="0.25">
      <c r="A13800" s="5" t="str">
        <f>"B0005609"</f>
        <v>B0005609</v>
      </c>
      <c r="B13800" s="5" t="str">
        <f>"JERINGA CARPULE"</f>
        <v>JERINGA CARPULE</v>
      </c>
      <c r="C13800" s="6">
        <v>12868.65</v>
      </c>
      <c r="D13800" s="5"/>
      <c r="E13800" s="5" t="str">
        <f t="shared" si="703"/>
        <v>CONSULTORIO 12-CONSULTA EXTERNA</v>
      </c>
      <c r="F13800" s="5" t="str">
        <f>"Descripcion: JERINGA CARPULE Estado: Bueno Placa anterior: 000007019 Material: ACERO INOXIDABLE Color: PLATEADO Referencia:  Observacion:  Placa padre: Tipo adquisicion: Entidad"</f>
        <v>Descripcion: JERINGA CARPULE Estado: Bueno Placa anterior: 000007019 Material: ACERO INOXIDABLE Color: PLATEADO Referencia:  Observacion:  Placa padre: Tipo adquisicion: Entidad</v>
      </c>
      <c r="G13800" s="5"/>
    </row>
    <row r="13801" spans="1:7" ht="58.5" customHeight="1" x14ac:dyDescent="0.25">
      <c r="A13801" s="5" t="str">
        <f>"B0005610"</f>
        <v>B0005610</v>
      </c>
      <c r="B13801" s="5" t="str">
        <f>"LIMA PARA HUESO"</f>
        <v>LIMA PARA HUESO</v>
      </c>
      <c r="C13801" s="6">
        <v>21583</v>
      </c>
      <c r="D13801" s="5"/>
      <c r="E13801" s="5" t="str">
        <f t="shared" si="703"/>
        <v>CONSULTORIO 12-CONSULTA EXTERNA</v>
      </c>
      <c r="F13801" s="5" t="str">
        <f>"Descripcion: LIMA PARA HUESO Estado: Bueno Placa anterior: 000007026 Material: ACERO INOXIDABLE Color: PLATEADO Referencia:  Observacion:  Placa padre: Tipo adquisicion: Entidad"</f>
        <v>Descripcion: LIMA PARA HUESO Estado: Bueno Placa anterior: 000007026 Material: ACERO INOXIDABLE Color: PLATEADO Referencia:  Observacion:  Placa padre: Tipo adquisicion: Entidad</v>
      </c>
      <c r="G13801" s="5"/>
    </row>
    <row r="13802" spans="1:7" ht="58.5" customHeight="1" x14ac:dyDescent="0.25">
      <c r="A13802" s="5" t="str">
        <f>"B0005611"</f>
        <v>B0005611</v>
      </c>
      <c r="B13802" s="5" t="str">
        <f>"LIMA PARA HUESO"</f>
        <v>LIMA PARA HUESO</v>
      </c>
      <c r="C13802" s="6">
        <v>21583</v>
      </c>
      <c r="D13802" s="5"/>
      <c r="E13802" s="5" t="str">
        <f t="shared" si="703"/>
        <v>CONSULTORIO 12-CONSULTA EXTERNA</v>
      </c>
      <c r="F13802" s="5" t="str">
        <f>"Descripcion: LIMA PARA HUESO Estado: Bueno Placa anterior: 000007025 Material: ACERO INOXIDABLE Color: PLATEADO Referencia:  Observacion:  Placa padre: Tipo adquisicion: Entidad"</f>
        <v>Descripcion: LIMA PARA HUESO Estado: Bueno Placa anterior: 000007025 Material: ACERO INOXIDABLE Color: PLATEADO Referencia:  Observacion:  Placa padre: Tipo adquisicion: Entidad</v>
      </c>
      <c r="G13802" s="5"/>
    </row>
    <row r="13803" spans="1:7" ht="58.5" customHeight="1" x14ac:dyDescent="0.25">
      <c r="A13803" s="5" t="str">
        <f>"B0005612"</f>
        <v>B0005612</v>
      </c>
      <c r="B13803" s="5" t="str">
        <f>"LIMA PARA HUESO"</f>
        <v>LIMA PARA HUESO</v>
      </c>
      <c r="C13803" s="6">
        <v>21583</v>
      </c>
      <c r="D13803" s="5"/>
      <c r="E13803" s="5" t="str">
        <f t="shared" si="703"/>
        <v>CONSULTORIO 12-CONSULTA EXTERNA</v>
      </c>
      <c r="F13803" s="5" t="str">
        <f>"Descripcion: LIMA PARA HUESO Estado: Bueno Placa anterior: 000007024 Material: ACERO INOXIDABLE Color: PLATEADO Referencia:  Observacion:  Placa padre: Tipo adquisicion: Entidad"</f>
        <v>Descripcion: LIMA PARA HUESO Estado: Bueno Placa anterior: 000007024 Material: ACERO INOXIDABLE Color: PLATEADO Referencia:  Observacion:  Placa padre: Tipo adquisicion: Entidad</v>
      </c>
      <c r="G13803" s="5"/>
    </row>
    <row r="13804" spans="1:7" ht="58.5" customHeight="1" x14ac:dyDescent="0.25">
      <c r="A13804" s="5" t="str">
        <f>"B0005613"</f>
        <v>B0005613</v>
      </c>
      <c r="B13804" s="5" t="str">
        <f>"LIMA PARA HUESO"</f>
        <v>LIMA PARA HUESO</v>
      </c>
      <c r="C13804" s="6">
        <v>21583</v>
      </c>
      <c r="D13804" s="5"/>
      <c r="E13804" s="5" t="str">
        <f t="shared" si="703"/>
        <v>CONSULTORIO 12-CONSULTA EXTERNA</v>
      </c>
      <c r="F13804" s="5" t="str">
        <f>"Descripcion: LIMA PARA HUESO Estado: Bueno Placa anterior: 000007023 Material: ACERO INOXIDABLE Color: PLATEADO Referencia:  Observacion:  Placa padre: Tipo adquisicion: Entidad"</f>
        <v>Descripcion: LIMA PARA HUESO Estado: Bueno Placa anterior: 000007023 Material: ACERO INOXIDABLE Color: PLATEADO Referencia:  Observacion:  Placa padre: Tipo adquisicion: Entidad</v>
      </c>
      <c r="G13804" s="5"/>
    </row>
    <row r="13805" spans="1:7" ht="58.5" customHeight="1" x14ac:dyDescent="0.25">
      <c r="A13805" s="5" t="str">
        <f>"B0005614"</f>
        <v>B0005614</v>
      </c>
      <c r="B13805" s="5" t="str">
        <f t="shared" ref="B13805:B13811" si="704">"MANGO PARA BISTURI #4"</f>
        <v>MANGO PARA BISTURI #4</v>
      </c>
      <c r="C13805" s="6">
        <v>9205.5</v>
      </c>
      <c r="D13805" s="5"/>
      <c r="E13805" s="5" t="str">
        <f t="shared" si="703"/>
        <v>CONSULTORIO 12-CONSULTA EXTERNA</v>
      </c>
      <c r="F13805" s="5" t="str">
        <f>"Descripcion: MANGO PARA BISTURI #3 AESCULAP Estado: Bueno Placa anterior: 000007027 Material: ACERO INOXIDABLE Color: PLATEADO Referencia:  Observacion:  Placa padre: Tipo adquisicion: Entidad"</f>
        <v>Descripcion: MANGO PARA BISTURI #3 AESCULAP Estado: Bueno Placa anterior: 000007027 Material: ACERO INOXIDABLE Color: PLATEADO Referencia:  Observacion:  Placa padre: Tipo adquisicion: Entidad</v>
      </c>
      <c r="G13805" s="5"/>
    </row>
    <row r="13806" spans="1:7" ht="58.5" customHeight="1" x14ac:dyDescent="0.25">
      <c r="A13806" s="5" t="str">
        <f>"B0005615"</f>
        <v>B0005615</v>
      </c>
      <c r="B13806" s="5" t="str">
        <f t="shared" si="704"/>
        <v>MANGO PARA BISTURI #4</v>
      </c>
      <c r="C13806" s="6">
        <v>9205.5</v>
      </c>
      <c r="D13806" s="5"/>
      <c r="E13806" s="5" t="str">
        <f t="shared" si="703"/>
        <v>CONSULTORIO 12-CONSULTA EXTERNA</v>
      </c>
      <c r="F13806" s="5" t="str">
        <f>"Descripcion: MANGO PARA BISTURI #3 AESCULAP Estado: Bueno Placa anterior: 000007029 Material: ACERO INOXIDABLE Color: PLATEADO Referencia:  Observacion:  Placa padre: Tipo adquisicion: Entidad"</f>
        <v>Descripcion: MANGO PARA BISTURI #3 AESCULAP Estado: Bueno Placa anterior: 000007029 Material: ACERO INOXIDABLE Color: PLATEADO Referencia:  Observacion:  Placa padre: Tipo adquisicion: Entidad</v>
      </c>
      <c r="G13806" s="5"/>
    </row>
    <row r="13807" spans="1:7" ht="58.5" customHeight="1" x14ac:dyDescent="0.25">
      <c r="A13807" s="5" t="str">
        <f>"B0005616"</f>
        <v>B0005616</v>
      </c>
      <c r="B13807" s="5" t="str">
        <f t="shared" si="704"/>
        <v>MANGO PARA BISTURI #4</v>
      </c>
      <c r="C13807" s="6">
        <v>9205.5</v>
      </c>
      <c r="D13807" s="5"/>
      <c r="E13807" s="5" t="str">
        <f t="shared" si="703"/>
        <v>CONSULTORIO 12-CONSULTA EXTERNA</v>
      </c>
      <c r="F13807" s="5" t="str">
        <f>"Descripcion: MANGO PARA BISTURI #3 AESCULAP Estado: Bueno Placa anterior: 000007028 Material: ACERO INOXIDABLE Color: PLATEADO Referencia:  Observacion:  Placa padre: Tipo adquisicion: Entidad"</f>
        <v>Descripcion: MANGO PARA BISTURI #3 AESCULAP Estado: Bueno Placa anterior: 000007028 Material: ACERO INOXIDABLE Color: PLATEADO Referencia:  Observacion:  Placa padre: Tipo adquisicion: Entidad</v>
      </c>
      <c r="G13807" s="5"/>
    </row>
    <row r="13808" spans="1:7" ht="58.5" customHeight="1" x14ac:dyDescent="0.25">
      <c r="A13808" s="5" t="str">
        <f>"B0005617"</f>
        <v>B0005617</v>
      </c>
      <c r="B13808" s="5" t="str">
        <f t="shared" si="704"/>
        <v>MANGO PARA BISTURI #4</v>
      </c>
      <c r="C13808" s="6">
        <v>12658</v>
      </c>
      <c r="D13808" s="5"/>
      <c r="E13808" s="5" t="str">
        <f t="shared" si="703"/>
        <v>CONSULTORIO 12-CONSULTA EXTERNA</v>
      </c>
      <c r="F13808" s="5" t="str">
        <f>"Descripcion: MANGO PARA BISTURI PEQUEÑO Estado: Bueno Placa anterior: 000024627 Material: ACERO INOXIDABLE Color: PLATEADO Referencia:  Observacion:  Placa padre: Tipo adquisicion: Entidad"</f>
        <v>Descripcion: MANGO PARA BISTURI PEQUEÑO Estado: Bueno Placa anterior: 000024627 Material: ACERO INOXIDABLE Color: PLATEADO Referencia:  Observacion:  Placa padre: Tipo adquisicion: Entidad</v>
      </c>
      <c r="G13808" s="5"/>
    </row>
    <row r="13809" spans="1:7" ht="58.5" customHeight="1" x14ac:dyDescent="0.25">
      <c r="A13809" s="5" t="str">
        <f>"B0005618"</f>
        <v>B0005618</v>
      </c>
      <c r="B13809" s="5" t="str">
        <f t="shared" si="704"/>
        <v>MANGO PARA BISTURI #4</v>
      </c>
      <c r="C13809" s="6">
        <v>12658</v>
      </c>
      <c r="D13809" s="5"/>
      <c r="E13809" s="5" t="str">
        <f t="shared" si="703"/>
        <v>CONSULTORIO 12-CONSULTA EXTERNA</v>
      </c>
      <c r="F13809" s="5" t="str">
        <f>"Descripcion: MANGO PARA BISTURI PEQUEÑO Estado: Bueno Placa anterior: 000024626 Material: ACERO INOXIDABLE Color: PLATEADO Referencia:  Observacion:  Placa padre: Tipo adquisicion: Entidad"</f>
        <v>Descripcion: MANGO PARA BISTURI PEQUEÑO Estado: Bueno Placa anterior: 000024626 Material: ACERO INOXIDABLE Color: PLATEADO Referencia:  Observacion:  Placa padre: Tipo adquisicion: Entidad</v>
      </c>
      <c r="G13809" s="5"/>
    </row>
    <row r="13810" spans="1:7" ht="58.5" customHeight="1" x14ac:dyDescent="0.25">
      <c r="A13810" s="5" t="str">
        <f>"B0005619"</f>
        <v>B0005619</v>
      </c>
      <c r="B13810" s="5" t="str">
        <f t="shared" si="704"/>
        <v>MANGO PARA BISTURI #4</v>
      </c>
      <c r="C13810" s="6">
        <v>12658</v>
      </c>
      <c r="D13810" s="5"/>
      <c r="E13810" s="5" t="str">
        <f t="shared" si="703"/>
        <v>CONSULTORIO 12-CONSULTA EXTERNA</v>
      </c>
      <c r="F13810" s="5" t="str">
        <f>"Descripcion: MANGO PARA BISTURI PEQUEÑO Estado: Bueno Placa anterior: 000024625 Material: ACERO INOXIDABLE Color: PLATEADO Referencia:  Observacion:  Placa padre: Tipo adquisicion: Entidad"</f>
        <v>Descripcion: MANGO PARA BISTURI PEQUEÑO Estado: Bueno Placa anterior: 000024625 Material: ACERO INOXIDABLE Color: PLATEADO Referencia:  Observacion:  Placa padre: Tipo adquisicion: Entidad</v>
      </c>
      <c r="G13810" s="5"/>
    </row>
    <row r="13811" spans="1:7" ht="58.5" customHeight="1" x14ac:dyDescent="0.25">
      <c r="A13811" s="5" t="str">
        <f>"B0005620"</f>
        <v>B0005620</v>
      </c>
      <c r="B13811" s="5" t="str">
        <f t="shared" si="704"/>
        <v>MANGO PARA BISTURI #4</v>
      </c>
      <c r="C13811" s="6">
        <v>12658</v>
      </c>
      <c r="D13811" s="5"/>
      <c r="E13811" s="5" t="str">
        <f t="shared" si="703"/>
        <v>CONSULTORIO 12-CONSULTA EXTERNA</v>
      </c>
      <c r="F13811" s="5" t="str">
        <f>"Descripcion: MANGO PARA BISTURI PEQUEÑO Estado: Bueno Placa anterior: 000024628 Material: ACERO INOXIDABLE Color: PLATEADO Referencia:  Observacion:  Placa padre: Tipo adquisicion: Entidad"</f>
        <v>Descripcion: MANGO PARA BISTURI PEQUEÑO Estado: Bueno Placa anterior: 000024628 Material: ACERO INOXIDABLE Color: PLATEADO Referencia:  Observacion:  Placa padre: Tipo adquisicion: Entidad</v>
      </c>
      <c r="G13811" s="5"/>
    </row>
    <row r="13812" spans="1:7" ht="58.5" customHeight="1" x14ac:dyDescent="0.25">
      <c r="A13812" s="5" t="str">
        <f>"B0005621"</f>
        <v>B0005621</v>
      </c>
      <c r="B13812" s="5" t="str">
        <f t="shared" ref="B13812:B13818" si="705">"PINZA ADSON"</f>
        <v>PINZA ADSON</v>
      </c>
      <c r="C13812" s="6">
        <v>25761</v>
      </c>
      <c r="D13812" s="5"/>
      <c r="E13812" s="5" t="str">
        <f t="shared" si="703"/>
        <v>CONSULTORIO 12-CONSULTA EXTERNA</v>
      </c>
      <c r="F13812" s="5" t="str">
        <f>"Descripcion: PINZA ADSON CON DIENTES PEQUEÑA 12 CM Estado: Bueno Placa anterior: 000024581 Material: ACERO INOXIDABLE Color: PLATEADO Referencia:  Observacion:  Placa padre: Tipo adquisicion: Entidad"</f>
        <v>Descripcion: PINZA ADSON CON DIENTES PEQUEÑA 12 CM Estado: Bueno Placa anterior: 000024581 Material: ACERO INOXIDABLE Color: PLATEADO Referencia:  Observacion:  Placa padre: Tipo adquisicion: Entidad</v>
      </c>
      <c r="G13812" s="5"/>
    </row>
    <row r="13813" spans="1:7" ht="58.5" customHeight="1" x14ac:dyDescent="0.25">
      <c r="A13813" s="5" t="str">
        <f>"B0005622"</f>
        <v>B0005622</v>
      </c>
      <c r="B13813" s="5" t="str">
        <f t="shared" si="705"/>
        <v>PINZA ADSON</v>
      </c>
      <c r="C13813" s="6">
        <v>25761</v>
      </c>
      <c r="D13813" s="5"/>
      <c r="E13813" s="5" t="str">
        <f t="shared" si="703"/>
        <v>CONSULTORIO 12-CONSULTA EXTERNA</v>
      </c>
      <c r="F13813" s="5" t="str">
        <f>"Descripcion: PINZA DE ADSON PEQUEÑA 12 CM Estado: Bueno Placa anterior: 000024572 Material: ACERO INOXIDABLE Color: PLATEADO Referencia:  Observacion:  Placa padre: Tipo adquisicion: Entidad"</f>
        <v>Descripcion: PINZA DE ADSON PEQUEÑA 12 CM Estado: Bueno Placa anterior: 000024572 Material: ACERO INOXIDABLE Color: PLATEADO Referencia:  Observacion:  Placa padre: Tipo adquisicion: Entidad</v>
      </c>
      <c r="G13813" s="5"/>
    </row>
    <row r="13814" spans="1:7" ht="58.5" customHeight="1" x14ac:dyDescent="0.25">
      <c r="A13814" s="5" t="str">
        <f>"B0005623"</f>
        <v>B0005623</v>
      </c>
      <c r="B13814" s="5" t="str">
        <f t="shared" si="705"/>
        <v>PINZA ADSON</v>
      </c>
      <c r="C13814" s="6">
        <v>25761</v>
      </c>
      <c r="D13814" s="5"/>
      <c r="E13814" s="5" t="str">
        <f t="shared" si="703"/>
        <v>CONSULTORIO 12-CONSULTA EXTERNA</v>
      </c>
      <c r="F13814" s="5" t="str">
        <f>"Descripcion: PINZA DE ADSON PEQUEÑA 12 CM Estado: Bueno Placa anterior: 000024575 Material: ACERO INOXIDABLE Color: PLATEADO Referencia:  Observacion:  Placa padre: Tipo adquisicion: Entidad"</f>
        <v>Descripcion: PINZA DE ADSON PEQUEÑA 12 CM Estado: Bueno Placa anterior: 000024575 Material: ACERO INOXIDABLE Color: PLATEADO Referencia:  Observacion:  Placa padre: Tipo adquisicion: Entidad</v>
      </c>
      <c r="G13814" s="5"/>
    </row>
    <row r="13815" spans="1:7" ht="58.5" customHeight="1" x14ac:dyDescent="0.25">
      <c r="A13815" s="5" t="str">
        <f>"B0005624"</f>
        <v>B0005624</v>
      </c>
      <c r="B13815" s="5" t="str">
        <f t="shared" si="705"/>
        <v>PINZA ADSON</v>
      </c>
      <c r="C13815" s="6">
        <v>25761</v>
      </c>
      <c r="D13815" s="5"/>
      <c r="E13815" s="5" t="str">
        <f t="shared" si="703"/>
        <v>CONSULTORIO 12-CONSULTA EXTERNA</v>
      </c>
      <c r="F13815" s="5" t="str">
        <f>"Descripcion: PINZA DE ADSON PEQUEÑA 12 CM Estado: Bueno Placa anterior: 000024574 Material: ACERO INOXIDABLE Color: PLATEADO Referencia:  Observacion:  Placa padre: Tipo adquisicion: Entidad"</f>
        <v>Descripcion: PINZA DE ADSON PEQUEÑA 12 CM Estado: Bueno Placa anterior: 000024574 Material: ACERO INOXIDABLE Color: PLATEADO Referencia:  Observacion:  Placa padre: Tipo adquisicion: Entidad</v>
      </c>
      <c r="G13815" s="5"/>
    </row>
    <row r="13816" spans="1:7" ht="58.5" customHeight="1" x14ac:dyDescent="0.25">
      <c r="A13816" s="5" t="str">
        <f>"B0005625"</f>
        <v>B0005625</v>
      </c>
      <c r="B13816" s="5" t="str">
        <f t="shared" si="705"/>
        <v>PINZA ADSON</v>
      </c>
      <c r="C13816" s="6">
        <v>25761</v>
      </c>
      <c r="D13816" s="5"/>
      <c r="E13816" s="5" t="str">
        <f t="shared" si="703"/>
        <v>CONSULTORIO 12-CONSULTA EXTERNA</v>
      </c>
      <c r="F13816" s="5" t="str">
        <f>"Descripcion: PINZA DE ADSON PEQUEÑA 12 CM Estado: Bueno Placa anterior: 000024573 Material: ACERO INOXIDABLE Color: PLATEADO Referencia:  Observacion:  Placa padre: Tipo adquisicion: Entidad"</f>
        <v>Descripcion: PINZA DE ADSON PEQUEÑA 12 CM Estado: Bueno Placa anterior: 000024573 Material: ACERO INOXIDABLE Color: PLATEADO Referencia:  Observacion:  Placa padre: Tipo adquisicion: Entidad</v>
      </c>
      <c r="G13816" s="5"/>
    </row>
    <row r="13817" spans="1:7" ht="58.5" customHeight="1" x14ac:dyDescent="0.25">
      <c r="A13817" s="5" t="str">
        <f>"B0005626"</f>
        <v>B0005626</v>
      </c>
      <c r="B13817" s="5" t="str">
        <f t="shared" si="705"/>
        <v>PINZA ADSON</v>
      </c>
      <c r="C13817" s="6">
        <v>25761</v>
      </c>
      <c r="D13817" s="5"/>
      <c r="E13817" s="5" t="str">
        <f t="shared" si="703"/>
        <v>CONSULTORIO 12-CONSULTA EXTERNA</v>
      </c>
      <c r="F13817" s="5" t="str">
        <f>"Descripcion: PINZA DE ADSON PEQUEÑA 12 CM Estado: Bueno Placa anterior: 000024571 Material: ACERO INOXIDABLE Color: PLATEADO Referencia:  Observacion:  Placa padre: Tipo adquisicion: Entidad"</f>
        <v>Descripcion: PINZA DE ADSON PEQUEÑA 12 CM Estado: Bueno Placa anterior: 000024571 Material: ACERO INOXIDABLE Color: PLATEADO Referencia:  Observacion:  Placa padre: Tipo adquisicion: Entidad</v>
      </c>
      <c r="G13817" s="5"/>
    </row>
    <row r="13818" spans="1:7" ht="58.5" customHeight="1" x14ac:dyDescent="0.25">
      <c r="A13818" s="5" t="str">
        <f>"B0005627"</f>
        <v>B0005627</v>
      </c>
      <c r="B13818" s="5" t="str">
        <f t="shared" si="705"/>
        <v>PINZA ADSON</v>
      </c>
      <c r="C13818" s="6">
        <v>25761</v>
      </c>
      <c r="D13818" s="5"/>
      <c r="E13818" s="5" t="str">
        <f t="shared" si="703"/>
        <v>CONSULTORIO 12-CONSULTA EXTERNA</v>
      </c>
      <c r="F13818" s="5" t="str">
        <f>"Descripcion: PINZA DE ADSON PEQUEÑA 12 CM Estado: Bueno Placa anterior: 000024570 Material: ACERO INOXIDABLE Color: PLATEADO Referencia:  Observacion:  Placa padre: Tipo adquisicion: Entidad"</f>
        <v>Descripcion: PINZA DE ADSON PEQUEÑA 12 CM Estado: Bueno Placa anterior: 000024570 Material: ACERO INOXIDABLE Color: PLATEADO Referencia:  Observacion:  Placa padre: Tipo adquisicion: Entidad</v>
      </c>
      <c r="G13818" s="5"/>
    </row>
    <row r="13819" spans="1:7" ht="58.5" customHeight="1" x14ac:dyDescent="0.25">
      <c r="A13819" s="5" t="str">
        <f>"B0005628"</f>
        <v>B0005628</v>
      </c>
      <c r="B13819" s="5" t="str">
        <f>"PINZA ALGODONERA"</f>
        <v>PINZA ALGODONERA</v>
      </c>
      <c r="C13819" s="6">
        <v>5358.2</v>
      </c>
      <c r="D13819" s="5"/>
      <c r="E13819" s="5" t="str">
        <f t="shared" si="703"/>
        <v>CONSULTORIO 12-CONSULTA EXTERNA</v>
      </c>
      <c r="F13819" s="5" t="str">
        <f>"Descripcion: PINZA ALGODONERA Estado: Bueno Placa anterior: 000007438 Material: ACERO INOXIDABLE Color: PLATEADO Referencia:  Observacion:  Placa padre: Tipo adquisicion: Entidad"</f>
        <v>Descripcion: PINZA ALGODONERA Estado: Bueno Placa anterior: 000007438 Material: ACERO INOXIDABLE Color: PLATEADO Referencia:  Observacion:  Placa padre: Tipo adquisicion: Entidad</v>
      </c>
      <c r="G13819" s="5"/>
    </row>
    <row r="13820" spans="1:7" ht="58.5" customHeight="1" x14ac:dyDescent="0.25">
      <c r="A13820" s="5" t="str">
        <f>"B0005629"</f>
        <v>B0005629</v>
      </c>
      <c r="B13820" s="5" t="str">
        <f t="shared" ref="B13820:B13825" si="706">"PINZA CURVA PEQUEÑA 14 CM"</f>
        <v>PINZA CURVA PEQUEÑA 14 CM</v>
      </c>
      <c r="C13820" s="6">
        <v>42462</v>
      </c>
      <c r="D13820" s="5"/>
      <c r="E13820" s="5" t="str">
        <f t="shared" ref="E13820:E13851" si="707">"CONSULTORIO 12-CONSULTA EXTERNA"</f>
        <v>CONSULTORIO 12-CONSULTA EXTERNA</v>
      </c>
      <c r="F13820" s="5" t="str">
        <f>"Descripcion: PINZA CURVA PEQUEÑA 14 CM Estado: Bueno Placa anterior: 000024603 Material: ACERO INOXIDABLE Color: PLATEADO Referencia:  Observacion:  Placa padre: Tipo adquisicion: Entidad"</f>
        <v>Descripcion: PINZA CURVA PEQUEÑA 14 CM Estado: Bueno Placa anterior: 000024603 Material: ACERO INOXIDABLE Color: PLATEADO Referencia:  Observacion:  Placa padre: Tipo adquisicion: Entidad</v>
      </c>
      <c r="G13820" s="5"/>
    </row>
    <row r="13821" spans="1:7" ht="58.5" customHeight="1" x14ac:dyDescent="0.25">
      <c r="A13821" s="5" t="str">
        <f>"B0005630"</f>
        <v>B0005630</v>
      </c>
      <c r="B13821" s="5" t="str">
        <f t="shared" si="706"/>
        <v>PINZA CURVA PEQUEÑA 14 CM</v>
      </c>
      <c r="C13821" s="6">
        <v>42462</v>
      </c>
      <c r="D13821" s="5"/>
      <c r="E13821" s="5" t="str">
        <f t="shared" si="707"/>
        <v>CONSULTORIO 12-CONSULTA EXTERNA</v>
      </c>
      <c r="F13821" s="5" t="str">
        <f>"Descripcion: PINZA CURVA PEQUEÑA 14 CM Estado: Bueno Placa anterior: 000024605 Material: ACERO INOXIDABLE Color: PLATEADO Referencia:  Observacion:  Placa padre: Tipo adquisicion: Entidad"</f>
        <v>Descripcion: PINZA CURVA PEQUEÑA 14 CM Estado: Bueno Placa anterior: 000024605 Material: ACERO INOXIDABLE Color: PLATEADO Referencia:  Observacion:  Placa padre: Tipo adquisicion: Entidad</v>
      </c>
      <c r="G13821" s="5"/>
    </row>
    <row r="13822" spans="1:7" ht="58.5" customHeight="1" x14ac:dyDescent="0.25">
      <c r="A13822" s="5" t="str">
        <f>"B0005631"</f>
        <v>B0005631</v>
      </c>
      <c r="B13822" s="5" t="str">
        <f t="shared" si="706"/>
        <v>PINZA CURVA PEQUEÑA 14 CM</v>
      </c>
      <c r="C13822" s="6">
        <v>42462</v>
      </c>
      <c r="D13822" s="5"/>
      <c r="E13822" s="5" t="str">
        <f t="shared" si="707"/>
        <v>CONSULTORIO 12-CONSULTA EXTERNA</v>
      </c>
      <c r="F13822" s="5" t="str">
        <f>"Descripcion: PINZA CURVA PEQUEÑA 14 CM Estado: Bueno Placa anterior: 000024604 Material: ACERO INOXIDABLE Color: PLATEADO Referencia:  Observacion:  Placa padre: Tipo adquisicion: Entidad"</f>
        <v>Descripcion: PINZA CURVA PEQUEÑA 14 CM Estado: Bueno Placa anterior: 000024604 Material: ACERO INOXIDABLE Color: PLATEADO Referencia:  Observacion:  Placa padre: Tipo adquisicion: Entidad</v>
      </c>
      <c r="G13822" s="5"/>
    </row>
    <row r="13823" spans="1:7" ht="58.5" customHeight="1" x14ac:dyDescent="0.25">
      <c r="A13823" s="5" t="str">
        <f>"B0005632"</f>
        <v>B0005632</v>
      </c>
      <c r="B13823" s="5" t="str">
        <f t="shared" si="706"/>
        <v>PINZA CURVA PEQUEÑA 14 CM</v>
      </c>
      <c r="C13823" s="6">
        <v>42462</v>
      </c>
      <c r="D13823" s="5"/>
      <c r="E13823" s="5" t="str">
        <f t="shared" si="707"/>
        <v>CONSULTORIO 12-CONSULTA EXTERNA</v>
      </c>
      <c r="F13823" s="5" t="str">
        <f>"Descripcion: PINZA CURVA PEQUEÑA 14 CM Estado: Bueno Placa anterior: 000024602 Material: ACERO INOXIDABLE Color: PLATEADO Referencia:  Observacion:  Placa padre: Tipo adquisicion: Entidad"</f>
        <v>Descripcion: PINZA CURVA PEQUEÑA 14 CM Estado: Bueno Placa anterior: 000024602 Material: ACERO INOXIDABLE Color: PLATEADO Referencia:  Observacion:  Placa padre: Tipo adquisicion: Entidad</v>
      </c>
      <c r="G13823" s="5"/>
    </row>
    <row r="13824" spans="1:7" ht="58.5" customHeight="1" x14ac:dyDescent="0.25">
      <c r="A13824" s="5" t="str">
        <f>"B0005633"</f>
        <v>B0005633</v>
      </c>
      <c r="B13824" s="5" t="str">
        <f t="shared" si="706"/>
        <v>PINZA CURVA PEQUEÑA 14 CM</v>
      </c>
      <c r="C13824" s="6">
        <v>42462</v>
      </c>
      <c r="D13824" s="5"/>
      <c r="E13824" s="5" t="str">
        <f t="shared" si="707"/>
        <v>CONSULTORIO 12-CONSULTA EXTERNA</v>
      </c>
      <c r="F13824" s="5" t="str">
        <f>"Descripcion: PINZA CURVA PEQUEÑA 14 CM Estado: Bueno Placa anterior: 000024601 Material: ACERO INOXIDABLE Color: PLATEADO Referencia:  Observacion:  Placa padre: Tipo adquisicion: Entidad"</f>
        <v>Descripcion: PINZA CURVA PEQUEÑA 14 CM Estado: Bueno Placa anterior: 000024601 Material: ACERO INOXIDABLE Color: PLATEADO Referencia:  Observacion:  Placa padre: Tipo adquisicion: Entidad</v>
      </c>
      <c r="G13824" s="5"/>
    </row>
    <row r="13825" spans="1:7" ht="58.5" customHeight="1" x14ac:dyDescent="0.25">
      <c r="A13825" s="5" t="str">
        <f>"B0005634"</f>
        <v>B0005634</v>
      </c>
      <c r="B13825" s="5" t="str">
        <f t="shared" si="706"/>
        <v>PINZA CURVA PEQUEÑA 14 CM</v>
      </c>
      <c r="C13825" s="6">
        <v>42462</v>
      </c>
      <c r="D13825" s="5"/>
      <c r="E13825" s="5" t="str">
        <f t="shared" si="707"/>
        <v>CONSULTORIO 12-CONSULTA EXTERNA</v>
      </c>
      <c r="F13825" s="5" t="str">
        <f>"Descripcion: PINZA CURVA PEQUEÑA 14 CM Estado: Bueno Placa anterior: 000024600 Material: ACERO INOXIDABLE Color: PLATEADO Referencia:  Observacion:  Placa padre: Tipo adquisicion: Entidad"</f>
        <v>Descripcion: PINZA CURVA PEQUEÑA 14 CM Estado: Bueno Placa anterior: 000024600 Material: ACERO INOXIDABLE Color: PLATEADO Referencia:  Observacion:  Placa padre: Tipo adquisicion: Entidad</v>
      </c>
      <c r="G13825" s="5"/>
    </row>
    <row r="13826" spans="1:7" ht="58.5" customHeight="1" x14ac:dyDescent="0.25">
      <c r="A13826" s="5" t="str">
        <f>"B0005635"</f>
        <v>B0005635</v>
      </c>
      <c r="B13826" s="5" t="str">
        <f>"PINZA DE DISECCION CON GARRA MEDIANA 25 CM"</f>
        <v>PINZA DE DISECCION CON GARRA MEDIANA 25 CM</v>
      </c>
      <c r="C13826" s="6">
        <v>289.17</v>
      </c>
      <c r="D13826" s="5"/>
      <c r="E13826" s="5" t="str">
        <f t="shared" si="707"/>
        <v>CONSULTORIO 12-CONSULTA EXTERNA</v>
      </c>
      <c r="F13826" s="5" t="str">
        <f>"Descripcion: PINZA DISECCION CON GARRA Estado: Bueno Placa anterior: 000007035 Material: ACERO INOXIDABLE Color: PLATEADO Referencia:  Observacion:  Placa padre: Tipo adquisicion: Entidad"</f>
        <v>Descripcion: PINZA DISECCION CON GARRA Estado: Bueno Placa anterior: 000007035 Material: ACERO INOXIDABLE Color: PLATEADO Referencia:  Observacion:  Placa padre: Tipo adquisicion: Entidad</v>
      </c>
      <c r="G13826" s="5"/>
    </row>
    <row r="13827" spans="1:7" ht="58.5" customHeight="1" x14ac:dyDescent="0.25">
      <c r="A13827" s="5" t="str">
        <f>"B0005636"</f>
        <v>B0005636</v>
      </c>
      <c r="B13827" s="5" t="str">
        <f>"PINZA DE DISECCION CON GARRA MEDIANA 25 CM"</f>
        <v>PINZA DE DISECCION CON GARRA MEDIANA 25 CM</v>
      </c>
      <c r="C13827" s="6">
        <v>289.17</v>
      </c>
      <c r="D13827" s="5"/>
      <c r="E13827" s="5" t="str">
        <f t="shared" si="707"/>
        <v>CONSULTORIO 12-CONSULTA EXTERNA</v>
      </c>
      <c r="F13827" s="5" t="str">
        <f>"Descripcion: PINZA DISECCION CON GARRA Estado: Bueno Placa anterior: 000007034 Material: ACERO INOXIDABLE Color: PLATEADO Referencia:  Observacion:  Placa padre: Tipo adquisicion: Entidad"</f>
        <v>Descripcion: PINZA DISECCION CON GARRA Estado: Bueno Placa anterior: 000007034 Material: ACERO INOXIDABLE Color: PLATEADO Referencia:  Observacion:  Placa padre: Tipo adquisicion: Entidad</v>
      </c>
      <c r="G13827" s="5"/>
    </row>
    <row r="13828" spans="1:7" ht="58.5" customHeight="1" x14ac:dyDescent="0.25">
      <c r="A13828" s="5" t="str">
        <f>"B0005637"</f>
        <v>B0005637</v>
      </c>
      <c r="B13828" s="5" t="str">
        <f>"PINZA GUBIA"</f>
        <v>PINZA GUBIA</v>
      </c>
      <c r="C13828" s="6">
        <v>5250</v>
      </c>
      <c r="D13828" s="5"/>
      <c r="E13828" s="5" t="str">
        <f t="shared" si="707"/>
        <v>CONSULTORIO 12-CONSULTA EXTERNA</v>
      </c>
      <c r="F13828" s="5" t="str">
        <f>"Descripcion: PINZA GUBIA Estado: Bueno Placa anterior: 000007067 Material: ACERO INOXIDABLE Color:  Referencia:  Observacion:  Placa padre: Tipo adquisicion: Entidad"</f>
        <v>Descripcion: PINZA GUBIA Estado: Bueno Placa anterior: 000007067 Material: ACERO INOXIDABLE Color:  Referencia:  Observacion:  Placa padre: Tipo adquisicion: Entidad</v>
      </c>
      <c r="G13828" s="5"/>
    </row>
    <row r="13829" spans="1:7" ht="58.5" customHeight="1" x14ac:dyDescent="0.25">
      <c r="A13829" s="5" t="str">
        <f>"B0005638"</f>
        <v>B0005638</v>
      </c>
      <c r="B13829" s="5" t="str">
        <f>"PINZA KELLY CURVA 16 CM"</f>
        <v>PINZA KELLY CURVA 16 CM</v>
      </c>
      <c r="C13829" s="6">
        <v>23535.75</v>
      </c>
      <c r="D13829" s="5"/>
      <c r="E13829" s="5" t="str">
        <f t="shared" si="707"/>
        <v>CONSULTORIO 12-CONSULTA EXTERNA</v>
      </c>
      <c r="F13829" s="5" t="str">
        <f>"Descripcion: PINZA KELLY CURVA Estado: Bueno Placa anterior: 000014550 Material: ACERO INOXIDABLE Color: PLATEADO Referencia:  Observacion:  Placa padre: Tipo adquisicion: Entidad"</f>
        <v>Descripcion: PINZA KELLY CURVA Estado: Bueno Placa anterior: 000014550 Material: ACERO INOXIDABLE Color: PLATEADO Referencia:  Observacion:  Placa padre: Tipo adquisicion: Entidad</v>
      </c>
      <c r="G13829" s="5"/>
    </row>
    <row r="13830" spans="1:7" ht="58.5" customHeight="1" x14ac:dyDescent="0.25">
      <c r="A13830" s="5" t="str">
        <f>"B0005639"</f>
        <v>B0005639</v>
      </c>
      <c r="B13830" s="5" t="str">
        <f>"PINZA KELLY CURVA 16 CM"</f>
        <v>PINZA KELLY CURVA 16 CM</v>
      </c>
      <c r="C13830" s="6">
        <v>23535.75</v>
      </c>
      <c r="D13830" s="5"/>
      <c r="E13830" s="5" t="str">
        <f t="shared" si="707"/>
        <v>CONSULTORIO 12-CONSULTA EXTERNA</v>
      </c>
      <c r="F13830" s="5" t="str">
        <f>"Descripcion: PINZA KELLY CURVA Estado: Bueno Placa anterior: 000014549 Material: ACERO INOXIDABLE Color: PLATEADO Referencia:  Observacion:  Placa padre: Tipo adquisicion: Entidad"</f>
        <v>Descripcion: PINZA KELLY CURVA Estado: Bueno Placa anterior: 000014549 Material: ACERO INOXIDABLE Color: PLATEADO Referencia:  Observacion:  Placa padre: Tipo adquisicion: Entidad</v>
      </c>
      <c r="G13830" s="5"/>
    </row>
    <row r="13831" spans="1:7" ht="58.5" customHeight="1" x14ac:dyDescent="0.25">
      <c r="A13831" s="5" t="str">
        <f>"B0005640"</f>
        <v>B0005640</v>
      </c>
      <c r="B13831" s="5" t="str">
        <f t="shared" ref="B13831:B13849" si="708">"PINZA MOSQUITO CURVA 12 CM"</f>
        <v>PINZA MOSQUITO CURVA 12 CM</v>
      </c>
      <c r="C13831" s="6">
        <v>16500</v>
      </c>
      <c r="D13831" s="5"/>
      <c r="E13831" s="5" t="str">
        <f t="shared" si="707"/>
        <v>CONSULTORIO 12-CONSULTA EXTERNA</v>
      </c>
      <c r="F13831" s="5" t="str">
        <f>"Descripcion: PINZA MOSQUITO BABY Estado: Bueno Placa anterior: 000015025 Material: ACERO INOXIDABLE Color: PLATEADO Referencia:  Observacion:  Placa padre: Tipo adquisicion: Entidad"</f>
        <v>Descripcion: PINZA MOSQUITO BABY Estado: Bueno Placa anterior: 000015025 Material: ACERO INOXIDABLE Color: PLATEADO Referencia:  Observacion:  Placa padre: Tipo adquisicion: Entidad</v>
      </c>
      <c r="G13831" s="5"/>
    </row>
    <row r="13832" spans="1:7" ht="58.5" customHeight="1" x14ac:dyDescent="0.25">
      <c r="A13832" s="5" t="str">
        <f>"B0005641"</f>
        <v>B0005641</v>
      </c>
      <c r="B13832" s="5" t="str">
        <f t="shared" si="708"/>
        <v>PINZA MOSQUITO CURVA 12 CM</v>
      </c>
      <c r="C13832" s="6">
        <v>918.53</v>
      </c>
      <c r="D13832" s="5"/>
      <c r="E13832" s="5" t="str">
        <f t="shared" si="707"/>
        <v>CONSULTORIO 12-CONSULTA EXTERNA</v>
      </c>
      <c r="F13832" s="5" t="str">
        <f>"Descripcion: PINZA MOSQUITO CURVA Estado: Bueno Placa anterior: 000007038 Material: ACERO INOXIDABLE Color: PLATEADO Referencia:  Observacion:  Placa padre: Tipo adquisicion: Entidad"</f>
        <v>Descripcion: PINZA MOSQUITO CURVA Estado: Bueno Placa anterior: 000007038 Material: ACERO INOXIDABLE Color: PLATEADO Referencia:  Observacion:  Placa padre: Tipo adquisicion: Entidad</v>
      </c>
      <c r="G13832" s="5"/>
    </row>
    <row r="13833" spans="1:7" ht="58.5" customHeight="1" x14ac:dyDescent="0.25">
      <c r="A13833" s="5" t="str">
        <f>"B0005642"</f>
        <v>B0005642</v>
      </c>
      <c r="B13833" s="5" t="str">
        <f t="shared" si="708"/>
        <v>PINZA MOSQUITO CURVA 12 CM</v>
      </c>
      <c r="C13833" s="6">
        <v>918.53</v>
      </c>
      <c r="D13833" s="5"/>
      <c r="E13833" s="5" t="str">
        <f t="shared" si="707"/>
        <v>CONSULTORIO 12-CONSULTA EXTERNA</v>
      </c>
      <c r="F13833" s="5" t="str">
        <f>"Descripcion: PINZA MOSQUITO CURVA Estado: Bueno Placa anterior: 000007037 Material: ACERO INOXIDABLE Color: PLATEADO Referencia:  Observacion:  Placa padre: Tipo adquisicion: Entidad"</f>
        <v>Descripcion: PINZA MOSQUITO CURVA Estado: Bueno Placa anterior: 000007037 Material: ACERO INOXIDABLE Color: PLATEADO Referencia:  Observacion:  Placa padre: Tipo adquisicion: Entidad</v>
      </c>
      <c r="G13833" s="5"/>
    </row>
    <row r="13834" spans="1:7" ht="58.5" customHeight="1" x14ac:dyDescent="0.25">
      <c r="A13834" s="5" t="str">
        <f>"B0005643"</f>
        <v>B0005643</v>
      </c>
      <c r="B13834" s="5" t="str">
        <f t="shared" si="708"/>
        <v>PINZA MOSQUITO CURVA 12 CM</v>
      </c>
      <c r="C13834" s="6">
        <v>42462</v>
      </c>
      <c r="D13834" s="5"/>
      <c r="E13834" s="5" t="str">
        <f t="shared" si="707"/>
        <v>CONSULTORIO 12-CONSULTA EXTERNA</v>
      </c>
      <c r="F13834" s="5" t="str">
        <f>"Descripcion: PINZA MOSQUITO CURVA PEQUEÑA Estado: Bueno Placa anterior: 000024591 Material: ACERO INOXIDABLE Color: PLATEADO Referencia:  Observacion:  Placa padre: Tipo adquisicion: Entidad"</f>
        <v>Descripcion: PINZA MOSQUITO CURVA PEQUEÑA Estado: Bueno Placa anterior: 000024591 Material: ACERO INOXIDABLE Color: PLATEADO Referencia:  Observacion:  Placa padre: Tipo adquisicion: Entidad</v>
      </c>
      <c r="G13834" s="5"/>
    </row>
    <row r="13835" spans="1:7" ht="58.5" customHeight="1" x14ac:dyDescent="0.25">
      <c r="A13835" s="5" t="str">
        <f>"B0005644"</f>
        <v>B0005644</v>
      </c>
      <c r="B13835" s="5" t="str">
        <f t="shared" si="708"/>
        <v>PINZA MOSQUITO CURVA 12 CM</v>
      </c>
      <c r="C13835" s="6">
        <v>42462</v>
      </c>
      <c r="D13835" s="5"/>
      <c r="E13835" s="5" t="str">
        <f t="shared" si="707"/>
        <v>CONSULTORIO 12-CONSULTA EXTERNA</v>
      </c>
      <c r="F13835" s="5" t="str">
        <f>"Descripcion: PINZA MOSQUITO CURVA PEQUEÑA Estado: Bueno Placa anterior: 000024593 Material: ACERO INOXIDABLE Color: PLATEADO Referencia:  Observacion:  Placa padre: Tipo adquisicion: Entidad"</f>
        <v>Descripcion: PINZA MOSQUITO CURVA PEQUEÑA Estado: Bueno Placa anterior: 000024593 Material: ACERO INOXIDABLE Color: PLATEADO Referencia:  Observacion:  Placa padre: Tipo adquisicion: Entidad</v>
      </c>
      <c r="G13835" s="5"/>
    </row>
    <row r="13836" spans="1:7" ht="58.5" customHeight="1" x14ac:dyDescent="0.25">
      <c r="A13836" s="5" t="str">
        <f>"B0005645"</f>
        <v>B0005645</v>
      </c>
      <c r="B13836" s="5" t="str">
        <f t="shared" si="708"/>
        <v>PINZA MOSQUITO CURVA 12 CM</v>
      </c>
      <c r="C13836" s="6">
        <v>42462</v>
      </c>
      <c r="D13836" s="5"/>
      <c r="E13836" s="5" t="str">
        <f t="shared" si="707"/>
        <v>CONSULTORIO 12-CONSULTA EXTERNA</v>
      </c>
      <c r="F13836" s="5" t="str">
        <f>"Descripcion: PINZA MOSQUITO CURVA PEQUEÑA Estado: Bueno Placa anterior: 000024592 Material: ACERO INOXIDABLE Color: PLATEADO Referencia:  Observacion:  Placa padre: Tipo adquisicion: Entidad"</f>
        <v>Descripcion: PINZA MOSQUITO CURVA PEQUEÑA Estado: Bueno Placa anterior: 000024592 Material: ACERO INOXIDABLE Color: PLATEADO Referencia:  Observacion:  Placa padre: Tipo adquisicion: Entidad</v>
      </c>
      <c r="G13836" s="5"/>
    </row>
    <row r="13837" spans="1:7" ht="58.5" customHeight="1" x14ac:dyDescent="0.25">
      <c r="A13837" s="5" t="str">
        <f>"B0005646"</f>
        <v>B0005646</v>
      </c>
      <c r="B13837" s="5" t="str">
        <f t="shared" si="708"/>
        <v>PINZA MOSQUITO CURVA 12 CM</v>
      </c>
      <c r="C13837" s="6">
        <v>42462</v>
      </c>
      <c r="D13837" s="5"/>
      <c r="E13837" s="5" t="str">
        <f t="shared" si="707"/>
        <v>CONSULTORIO 12-CONSULTA EXTERNA</v>
      </c>
      <c r="F13837" s="5" t="str">
        <f>"Descripcion: PINZA MOSQUITO CURVA PEQUEÑA Estado: Bueno Placa anterior: 000024590 Material: ACERO INOXIDABLE  Color: PLATEADO Referencia:  Observacion:  Placa padre: Tipo adquisicion: Entidad"</f>
        <v>Descripcion: PINZA MOSQUITO CURVA PEQUEÑA Estado: Bueno Placa anterior: 000024590 Material: ACERO INOXIDABLE  Color: PLATEADO Referencia:  Observacion:  Placa padre: Tipo adquisicion: Entidad</v>
      </c>
      <c r="G13837" s="5"/>
    </row>
    <row r="13838" spans="1:7" ht="58.5" customHeight="1" x14ac:dyDescent="0.25">
      <c r="A13838" s="5" t="str">
        <f>"B0005647"</f>
        <v>B0005647</v>
      </c>
      <c r="B13838" s="5" t="str">
        <f t="shared" si="708"/>
        <v>PINZA MOSQUITO CURVA 12 CM</v>
      </c>
      <c r="C13838" s="6">
        <v>42462</v>
      </c>
      <c r="D13838" s="5"/>
      <c r="E13838" s="5" t="str">
        <f t="shared" si="707"/>
        <v>CONSULTORIO 12-CONSULTA EXTERNA</v>
      </c>
      <c r="F13838" s="5" t="str">
        <f>"Descripcion: PINZA MOSQUITO CURVA PEQUEÑA Estado: Bueno Placa anterior: 000024589 Material: ACERO INOXIDABLE Color: PLATEADO Referencia:  Observacion:  Placa padre: Tipo adquisicion: Entidad"</f>
        <v>Descripcion: PINZA MOSQUITO CURVA PEQUEÑA Estado: Bueno Placa anterior: 000024589 Material: ACERO INOXIDABLE Color: PLATEADO Referencia:  Observacion:  Placa padre: Tipo adquisicion: Entidad</v>
      </c>
      <c r="G13838" s="5"/>
    </row>
    <row r="13839" spans="1:7" ht="58.5" customHeight="1" x14ac:dyDescent="0.25">
      <c r="A13839" s="5" t="str">
        <f>"B0005648"</f>
        <v>B0005648</v>
      </c>
      <c r="B13839" s="5" t="str">
        <f t="shared" si="708"/>
        <v>PINZA MOSQUITO CURVA 12 CM</v>
      </c>
      <c r="C13839" s="6">
        <v>42462</v>
      </c>
      <c r="D13839" s="5"/>
      <c r="E13839" s="5" t="str">
        <f t="shared" si="707"/>
        <v>CONSULTORIO 12-CONSULTA EXTERNA</v>
      </c>
      <c r="F13839" s="5" t="str">
        <f>"Descripcion: PINZA MOSQUITO CURVA PEQUEÑA Estado: Bueno Placa anterior: 000024588 Material: ACERO INOXIDABLE Color: PLATEADO Referencia:  Observacion:  Placa padre: Tipo adquisicion: Entidad"</f>
        <v>Descripcion: PINZA MOSQUITO CURVA PEQUEÑA Estado: Bueno Placa anterior: 000024588 Material: ACERO INOXIDABLE Color: PLATEADO Referencia:  Observacion:  Placa padre: Tipo adquisicion: Entidad</v>
      </c>
      <c r="G13839" s="5"/>
    </row>
    <row r="13840" spans="1:7" ht="58.5" customHeight="1" x14ac:dyDescent="0.25">
      <c r="A13840" s="5" t="str">
        <f>"B0005649"</f>
        <v>B0005649</v>
      </c>
      <c r="B13840" s="5" t="str">
        <f t="shared" si="708"/>
        <v>PINZA MOSQUITO CURVA 12 CM</v>
      </c>
      <c r="C13840" s="6">
        <v>15599.94</v>
      </c>
      <c r="D13840" s="5"/>
      <c r="E13840" s="5" t="str">
        <f t="shared" si="707"/>
        <v>CONSULTORIO 12-CONSULTA EXTERNA</v>
      </c>
      <c r="F13840" s="5" t="str">
        <f>"Descripcion: PINZA MOSQUITO RECTA Estado: Bueno Placa anterior: 000023366 Material: ACERO INOXIDABLE Color: PLATEADO Referencia:  Observacion:  Placa padre: Tipo adquisicion: Entidad"</f>
        <v>Descripcion: PINZA MOSQUITO RECTA Estado: Bueno Placa anterior: 000023366 Material: ACERO INOXIDABLE Color: PLATEADO Referencia:  Observacion:  Placa padre: Tipo adquisicion: Entidad</v>
      </c>
      <c r="G13840" s="5"/>
    </row>
    <row r="13841" spans="1:7" ht="58.5" customHeight="1" x14ac:dyDescent="0.25">
      <c r="A13841" s="5" t="str">
        <f>"B0005650"</f>
        <v>B0005650</v>
      </c>
      <c r="B13841" s="5" t="str">
        <f t="shared" si="708"/>
        <v>PINZA MOSQUITO CURVA 12 CM</v>
      </c>
      <c r="C13841" s="6">
        <v>8968.5</v>
      </c>
      <c r="D13841" s="5"/>
      <c r="E13841" s="5" t="str">
        <f t="shared" si="707"/>
        <v>CONSULTORIO 12-CONSULTA EXTERNA</v>
      </c>
      <c r="F13841" s="5" t="str">
        <f>"Descripcion: PINZA MOSQUITO RECTA Estado: Bueno Placa anterior: 000007036 Material: ACERO INOXIDABLE Color: PLATEADO Referencia:  Observacion:  Placa padre: Tipo adquisicion: Entidad"</f>
        <v>Descripcion: PINZA MOSQUITO RECTA Estado: Bueno Placa anterior: 000007036 Material: ACERO INOXIDABLE Color: PLATEADO Referencia:  Observacion:  Placa padre: Tipo adquisicion: Entidad</v>
      </c>
      <c r="G13841" s="5"/>
    </row>
    <row r="13842" spans="1:7" ht="58.5" customHeight="1" x14ac:dyDescent="0.25">
      <c r="A13842" s="5" t="str">
        <f>"B0005651"</f>
        <v>B0005651</v>
      </c>
      <c r="B13842" s="5" t="str">
        <f t="shared" si="708"/>
        <v>PINZA MOSQUITO CURVA 12 CM</v>
      </c>
      <c r="C13842" s="6">
        <v>29335.88</v>
      </c>
      <c r="D13842" s="5"/>
      <c r="E13842" s="5" t="str">
        <f t="shared" si="707"/>
        <v>CONSULTORIO 12-CONSULTA EXTERNA</v>
      </c>
      <c r="F13842" s="5" t="str">
        <f>"Descripcion: PINZA MOSQUITO RECTA Estado: Bueno Placa anterior: 000014508 Material: ACERO INOXIDABLE Color: PLATEADO Referencia:  Observacion:  Placa padre: Tipo adquisicion: Entidad"</f>
        <v>Descripcion: PINZA MOSQUITO RECTA Estado: Bueno Placa anterior: 000014508 Material: ACERO INOXIDABLE Color: PLATEADO Referencia:  Observacion:  Placa padre: Tipo adquisicion: Entidad</v>
      </c>
      <c r="G13842" s="5"/>
    </row>
    <row r="13843" spans="1:7" ht="58.5" customHeight="1" x14ac:dyDescent="0.25">
      <c r="A13843" s="5" t="str">
        <f>"B0005652"</f>
        <v>B0005652</v>
      </c>
      <c r="B13843" s="5" t="str">
        <f t="shared" si="708"/>
        <v>PINZA MOSQUITO CURVA 12 CM</v>
      </c>
      <c r="C13843" s="6">
        <v>29335.88</v>
      </c>
      <c r="D13843" s="5"/>
      <c r="E13843" s="5" t="str">
        <f t="shared" si="707"/>
        <v>CONSULTORIO 12-CONSULTA EXTERNA</v>
      </c>
      <c r="F13843" s="5" t="str">
        <f>"Descripcion: PINZA MOSQUITO RECTA Estado: Bueno Placa anterior: 000014507 Material: ACERO INOXIDABLE Color: PLATEADO Referencia:  Observacion:  Placa padre: Tipo adquisicion: Entidad"</f>
        <v>Descripcion: PINZA MOSQUITO RECTA Estado: Bueno Placa anterior: 000014507 Material: ACERO INOXIDABLE Color: PLATEADO Referencia:  Observacion:  Placa padre: Tipo adquisicion: Entidad</v>
      </c>
      <c r="G13843" s="5"/>
    </row>
    <row r="13844" spans="1:7" ht="58.5" customHeight="1" x14ac:dyDescent="0.25">
      <c r="A13844" s="5" t="str">
        <f>"B0005653"</f>
        <v>B0005653</v>
      </c>
      <c r="B13844" s="5" t="str">
        <f t="shared" si="708"/>
        <v>PINZA MOSQUITO CURVA 12 CM</v>
      </c>
      <c r="C13844" s="6">
        <v>42462</v>
      </c>
      <c r="D13844" s="5"/>
      <c r="E13844" s="5" t="str">
        <f t="shared" si="707"/>
        <v>CONSULTORIO 12-CONSULTA EXTERNA</v>
      </c>
      <c r="F13844" s="5" t="str">
        <f>"Descripcion: PINZA MOSQUITO RECTA PEQUEÑA Estado: Bueno Placa anterior: 000024582 Material: ACERO INOXIDABLE Color: PLATEADO Referencia:  Observacion:  Placa padre: Tipo adquisicion: Entidad"</f>
        <v>Descripcion: PINZA MOSQUITO RECTA PEQUEÑA Estado: Bueno Placa anterior: 000024582 Material: ACERO INOXIDABLE Color: PLATEADO Referencia:  Observacion:  Placa padre: Tipo adquisicion: Entidad</v>
      </c>
      <c r="G13844" s="5"/>
    </row>
    <row r="13845" spans="1:7" ht="58.5" customHeight="1" x14ac:dyDescent="0.25">
      <c r="A13845" s="5" t="str">
        <f>"B0005654"</f>
        <v>B0005654</v>
      </c>
      <c r="B13845" s="5" t="str">
        <f t="shared" si="708"/>
        <v>PINZA MOSQUITO CURVA 12 CM</v>
      </c>
      <c r="C13845" s="6">
        <v>42462</v>
      </c>
      <c r="D13845" s="5"/>
      <c r="E13845" s="5" t="str">
        <f t="shared" si="707"/>
        <v>CONSULTORIO 12-CONSULTA EXTERNA</v>
      </c>
      <c r="F13845" s="5" t="str">
        <f>"Descripcion: PINZA MOSQUITO RECTA PEQUEÑA Estado: Bueno Placa anterior: 000024587 Material: ACERO INOXIDABLE Color: PLATEADO Referencia:  Observacion:  Placa padre: Tipo adquisicion: Entidad"</f>
        <v>Descripcion: PINZA MOSQUITO RECTA PEQUEÑA Estado: Bueno Placa anterior: 000024587 Material: ACERO INOXIDABLE Color: PLATEADO Referencia:  Observacion:  Placa padre: Tipo adquisicion: Entidad</v>
      </c>
      <c r="G13845" s="5"/>
    </row>
    <row r="13846" spans="1:7" ht="58.5" customHeight="1" x14ac:dyDescent="0.25">
      <c r="A13846" s="5" t="str">
        <f>"B0005655"</f>
        <v>B0005655</v>
      </c>
      <c r="B13846" s="5" t="str">
        <f t="shared" si="708"/>
        <v>PINZA MOSQUITO CURVA 12 CM</v>
      </c>
      <c r="C13846" s="6">
        <v>42462</v>
      </c>
      <c r="D13846" s="5"/>
      <c r="E13846" s="5" t="str">
        <f t="shared" si="707"/>
        <v>CONSULTORIO 12-CONSULTA EXTERNA</v>
      </c>
      <c r="F13846" s="5" t="str">
        <f>"Descripcion: PINZA MOSQUITO RECTA PEQUEÑA Estado: Bueno Placa anterior: 000024586 Material: ACERO INOXIDABLE Color: PLATEADO Referencia:  Observacion:  Placa padre: Tipo adquisicion: Entidad"</f>
        <v>Descripcion: PINZA MOSQUITO RECTA PEQUEÑA Estado: Bueno Placa anterior: 000024586 Material: ACERO INOXIDABLE Color: PLATEADO Referencia:  Observacion:  Placa padre: Tipo adquisicion: Entidad</v>
      </c>
      <c r="G13846" s="5"/>
    </row>
    <row r="13847" spans="1:7" ht="58.5" customHeight="1" x14ac:dyDescent="0.25">
      <c r="A13847" s="5" t="str">
        <f>"B0005656"</f>
        <v>B0005656</v>
      </c>
      <c r="B13847" s="5" t="str">
        <f t="shared" si="708"/>
        <v>PINZA MOSQUITO CURVA 12 CM</v>
      </c>
      <c r="C13847" s="6">
        <v>42462</v>
      </c>
      <c r="D13847" s="5"/>
      <c r="E13847" s="5" t="str">
        <f t="shared" si="707"/>
        <v>CONSULTORIO 12-CONSULTA EXTERNA</v>
      </c>
      <c r="F13847" s="5" t="str">
        <f>"Descripcion: PINZA MOSQUITO RECTA PEQUEÑA Estado: Bueno Placa anterior: 000024585 Material: ACERO INOXIDABLE Color: PLATEADO Referencia:  Observacion:  Placa padre: Tipo adquisicion: Entidad"</f>
        <v>Descripcion: PINZA MOSQUITO RECTA PEQUEÑA Estado: Bueno Placa anterior: 000024585 Material: ACERO INOXIDABLE Color: PLATEADO Referencia:  Observacion:  Placa padre: Tipo adquisicion: Entidad</v>
      </c>
      <c r="G13847" s="5"/>
    </row>
    <row r="13848" spans="1:7" ht="58.5" customHeight="1" x14ac:dyDescent="0.25">
      <c r="A13848" s="5" t="str">
        <f>"B0005657"</f>
        <v>B0005657</v>
      </c>
      <c r="B13848" s="5" t="str">
        <f t="shared" si="708"/>
        <v>PINZA MOSQUITO CURVA 12 CM</v>
      </c>
      <c r="C13848" s="6">
        <v>42462</v>
      </c>
      <c r="D13848" s="5"/>
      <c r="E13848" s="5" t="str">
        <f t="shared" si="707"/>
        <v>CONSULTORIO 12-CONSULTA EXTERNA</v>
      </c>
      <c r="F13848" s="5" t="str">
        <f>"Descripcion: PINZA MOSQUITO RECTA PEQUEÑA Estado: Bueno Placa anterior: 000024584 Material: ACERO INOXIDABLE Color: PLATEADO Referencia:  Observacion:  Placa padre: Tipo adquisicion: Entidad"</f>
        <v>Descripcion: PINZA MOSQUITO RECTA PEQUEÑA Estado: Bueno Placa anterior: 000024584 Material: ACERO INOXIDABLE Color: PLATEADO Referencia:  Observacion:  Placa padre: Tipo adquisicion: Entidad</v>
      </c>
      <c r="G13848" s="5"/>
    </row>
    <row r="13849" spans="1:7" ht="58.5" customHeight="1" x14ac:dyDescent="0.25">
      <c r="A13849" s="5" t="str">
        <f>"B0005658"</f>
        <v>B0005658</v>
      </c>
      <c r="B13849" s="5" t="str">
        <f t="shared" si="708"/>
        <v>PINZA MOSQUITO CURVA 12 CM</v>
      </c>
      <c r="C13849" s="6">
        <v>42462</v>
      </c>
      <c r="D13849" s="5"/>
      <c r="E13849" s="5" t="str">
        <f t="shared" si="707"/>
        <v>CONSULTORIO 12-CONSULTA EXTERNA</v>
      </c>
      <c r="F13849" s="5" t="str">
        <f>"Descripcion: PINZA MOSQUITO RECTA PEQUEÑA Estado: Bueno Placa anterior: 000024583 Material: ACERO INOXIDABLE Color: PLATEADO Referencia:  Observacion:  Placa padre: Tipo adquisicion: Entidad"</f>
        <v>Descripcion: PINZA MOSQUITO RECTA PEQUEÑA Estado: Bueno Placa anterior: 000024583 Material: ACERO INOXIDABLE Color: PLATEADO Referencia:  Observacion:  Placa padre: Tipo adquisicion: Entidad</v>
      </c>
      <c r="G13849" s="5"/>
    </row>
    <row r="13850" spans="1:7" ht="58.5" customHeight="1" x14ac:dyDescent="0.25">
      <c r="A13850" s="5" t="str">
        <f>"B0005659"</f>
        <v>B0005659</v>
      </c>
      <c r="B13850" s="5" t="str">
        <f>"PINZA PARA SACAR INSTRUMENTAL"</f>
        <v>PINZA PARA SACAR INSTRUMENTAL</v>
      </c>
      <c r="C13850" s="6">
        <v>13882</v>
      </c>
      <c r="D13850" s="5"/>
      <c r="E13850" s="5" t="str">
        <f t="shared" si="707"/>
        <v>CONSULTORIO 12-CONSULTA EXTERNA</v>
      </c>
      <c r="F13850" s="5" t="str">
        <f>"Descripcion: PINZA PARA SACAR INSTRUMENTAL Estado: Bueno Placa anterior: 000007040 Material: ACERO INOXIDABLE Color: PLATEADO Referencia:  Observacion:  Placa padre: Tipo adquisicion: Entidad"</f>
        <v>Descripcion: PINZA PARA SACAR INSTRUMENTAL Estado: Bueno Placa anterior: 000007040 Material: ACERO INOXIDABLE Color: PLATEADO Referencia:  Observacion:  Placa padre: Tipo adquisicion: Entidad</v>
      </c>
      <c r="G13850" s="5"/>
    </row>
    <row r="13851" spans="1:7" ht="58.5" customHeight="1" x14ac:dyDescent="0.25">
      <c r="A13851" s="5" t="str">
        <f>"B0005660"</f>
        <v>B0005660</v>
      </c>
      <c r="B13851" s="5" t="str">
        <f t="shared" ref="B13851:B13856" si="709">"PINZA KELLY RECTA 16 CM"</f>
        <v>PINZA KELLY RECTA 16 CM</v>
      </c>
      <c r="C13851" s="6">
        <v>42462</v>
      </c>
      <c r="D13851" s="5"/>
      <c r="E13851" s="5" t="str">
        <f t="shared" si="707"/>
        <v>CONSULTORIO 12-CONSULTA EXTERNA</v>
      </c>
      <c r="F13851" s="5" t="str">
        <f>"Descripcion: PINZA RECTA PEQUEÑA 14 CM Estado: Bueno Placa anterior: 000024599 Material: ACERO INOXIDABLE Color: PLATEADO Referencia:  Observacion:  Placa padre: Tipo adquisicion: Entidad"</f>
        <v>Descripcion: PINZA RECTA PEQUEÑA 14 CM Estado: Bueno Placa anterior: 000024599 Material: ACERO INOXIDABLE Color: PLATEADO Referencia:  Observacion:  Placa padre: Tipo adquisicion: Entidad</v>
      </c>
      <c r="G13851" s="5"/>
    </row>
    <row r="13852" spans="1:7" ht="58.5" customHeight="1" x14ac:dyDescent="0.25">
      <c r="A13852" s="5" t="str">
        <f>"B0005661"</f>
        <v>B0005661</v>
      </c>
      <c r="B13852" s="5" t="str">
        <f t="shared" si="709"/>
        <v>PINZA KELLY RECTA 16 CM</v>
      </c>
      <c r="C13852" s="6">
        <v>42462</v>
      </c>
      <c r="D13852" s="5"/>
      <c r="E13852" s="5" t="str">
        <f t="shared" ref="E13852:E13883" si="710">"CONSULTORIO 12-CONSULTA EXTERNA"</f>
        <v>CONSULTORIO 12-CONSULTA EXTERNA</v>
      </c>
      <c r="F13852" s="5" t="str">
        <f>"Descripcion: PINZA RECTA PEQUEÑA 14 CM Estado: Bueno Placa anterior: 000024598 Material: ACERO INOXIDABLE Color: PLATEADO Referencia:  Observacion:  Placa padre: Tipo adquisicion: Entidad"</f>
        <v>Descripcion: PINZA RECTA PEQUEÑA 14 CM Estado: Bueno Placa anterior: 000024598 Material: ACERO INOXIDABLE Color: PLATEADO Referencia:  Observacion:  Placa padre: Tipo adquisicion: Entidad</v>
      </c>
      <c r="G13852" s="5"/>
    </row>
    <row r="13853" spans="1:7" ht="58.5" customHeight="1" x14ac:dyDescent="0.25">
      <c r="A13853" s="5" t="str">
        <f>"B0005662"</f>
        <v>B0005662</v>
      </c>
      <c r="B13853" s="5" t="str">
        <f t="shared" si="709"/>
        <v>PINZA KELLY RECTA 16 CM</v>
      </c>
      <c r="C13853" s="6">
        <v>42462</v>
      </c>
      <c r="D13853" s="5"/>
      <c r="E13853" s="5" t="str">
        <f t="shared" si="710"/>
        <v>CONSULTORIO 12-CONSULTA EXTERNA</v>
      </c>
      <c r="F13853" s="5" t="str">
        <f>"Descripcion: PINZA RECTA PEQUEÑA 14 CM Estado: Bueno Placa anterior: 000024596 Material: ACERO INOXIDABLE Color: PLATEADO Referencia:  Observacion:  Placa padre: Tipo adquisicion: Entidad"</f>
        <v>Descripcion: PINZA RECTA PEQUEÑA 14 CM Estado: Bueno Placa anterior: 000024596 Material: ACERO INOXIDABLE Color: PLATEADO Referencia:  Observacion:  Placa padre: Tipo adquisicion: Entidad</v>
      </c>
      <c r="G13853" s="5"/>
    </row>
    <row r="13854" spans="1:7" ht="58.5" customHeight="1" x14ac:dyDescent="0.25">
      <c r="A13854" s="5" t="str">
        <f>"B0005663"</f>
        <v>B0005663</v>
      </c>
      <c r="B13854" s="5" t="str">
        <f t="shared" si="709"/>
        <v>PINZA KELLY RECTA 16 CM</v>
      </c>
      <c r="C13854" s="6">
        <v>42462</v>
      </c>
      <c r="D13854" s="5"/>
      <c r="E13854" s="5" t="str">
        <f t="shared" si="710"/>
        <v>CONSULTORIO 12-CONSULTA EXTERNA</v>
      </c>
      <c r="F13854" s="5" t="str">
        <f>"Descripcion: PINZA RECTA PEQUEÑA 14 CM Estado: Bueno Placa anterior: 000024594 Material: ACERO INOXIDABLE Color: PLATEADO Referencia:  Observacion:  Placa padre: Tipo adquisicion: Entidad"</f>
        <v>Descripcion: PINZA RECTA PEQUEÑA 14 CM Estado: Bueno Placa anterior: 000024594 Material: ACERO INOXIDABLE Color: PLATEADO Referencia:  Observacion:  Placa padre: Tipo adquisicion: Entidad</v>
      </c>
      <c r="G13854" s="5"/>
    </row>
    <row r="13855" spans="1:7" ht="58.5" customHeight="1" x14ac:dyDescent="0.25">
      <c r="A13855" s="5" t="str">
        <f>"B0005664"</f>
        <v>B0005664</v>
      </c>
      <c r="B13855" s="5" t="str">
        <f t="shared" si="709"/>
        <v>PINZA KELLY RECTA 16 CM</v>
      </c>
      <c r="C13855" s="6">
        <v>42462</v>
      </c>
      <c r="D13855" s="5"/>
      <c r="E13855" s="5" t="str">
        <f t="shared" si="710"/>
        <v>CONSULTORIO 12-CONSULTA EXTERNA</v>
      </c>
      <c r="F13855" s="5" t="str">
        <f>"Descripcion: PINZA RECTA PEQUEÑA 14 CM Estado: Bueno Placa anterior: 000024597 Material: ACERO INOXIDABLE Color: PLATEADO Referencia:  Observacion:  Placa padre: Tipo adquisicion: Entidad"</f>
        <v>Descripcion: PINZA RECTA PEQUEÑA 14 CM Estado: Bueno Placa anterior: 000024597 Material: ACERO INOXIDABLE Color: PLATEADO Referencia:  Observacion:  Placa padre: Tipo adquisicion: Entidad</v>
      </c>
      <c r="G13855" s="5"/>
    </row>
    <row r="13856" spans="1:7" ht="58.5" customHeight="1" x14ac:dyDescent="0.25">
      <c r="A13856" s="5" t="str">
        <f>"B0005665"</f>
        <v>B0005665</v>
      </c>
      <c r="B13856" s="5" t="str">
        <f t="shared" si="709"/>
        <v>PINZA KELLY RECTA 16 CM</v>
      </c>
      <c r="C13856" s="6">
        <v>42462</v>
      </c>
      <c r="D13856" s="5"/>
      <c r="E13856" s="5" t="str">
        <f t="shared" si="710"/>
        <v>CONSULTORIO 12-CONSULTA EXTERNA</v>
      </c>
      <c r="F13856" s="5" t="str">
        <f>"Descripcion: PINZA RECTA PEQUEÑA 14 CM Estado: Bueno Placa anterior: 000024595 Material: ACERO INOXIDABLE Color: PLATEADO Referencia:  Observacion:  Placa padre: Tipo adquisicion: Entidad"</f>
        <v>Descripcion: PINZA RECTA PEQUEÑA 14 CM Estado: Bueno Placa anterior: 000024595 Material: ACERO INOXIDABLE Color: PLATEADO Referencia:  Observacion:  Placa padre: Tipo adquisicion: Entidad</v>
      </c>
      <c r="G13856" s="5"/>
    </row>
    <row r="13857" spans="1:7" ht="58.5" customHeight="1" x14ac:dyDescent="0.25">
      <c r="A13857" s="5" t="str">
        <f>"B0005666"</f>
        <v>B0005666</v>
      </c>
      <c r="B13857" s="5" t="str">
        <f t="shared" ref="B13857:B13862" si="711">"PORTAGUJAS (PINZA)"</f>
        <v>PORTAGUJAS (PINZA)</v>
      </c>
      <c r="C13857" s="6">
        <v>382.07</v>
      </c>
      <c r="D13857" s="5"/>
      <c r="E13857" s="5" t="str">
        <f t="shared" si="710"/>
        <v>CONSULTORIO 12-CONSULTA EXTERNA</v>
      </c>
      <c r="F13857" s="5" t="str">
        <f>"Descripcion: PORTA AGUJA Estado: Bueno Placa anterior: 000007065 Material: ACERO INOXIDABLE Color: PLATEADO Referencia:  Observacion:  Placa padre: Tipo adquisicion: Entidad"</f>
        <v>Descripcion: PORTA AGUJA Estado: Bueno Placa anterior: 000007065 Material: ACERO INOXIDABLE Color: PLATEADO Referencia:  Observacion:  Placa padre: Tipo adquisicion: Entidad</v>
      </c>
      <c r="G13857" s="5"/>
    </row>
    <row r="13858" spans="1:7" ht="58.5" customHeight="1" x14ac:dyDescent="0.25">
      <c r="A13858" s="5" t="str">
        <f>"B0005667"</f>
        <v>B0005667</v>
      </c>
      <c r="B13858" s="5" t="str">
        <f t="shared" si="711"/>
        <v>PORTAGUJAS (PINZA)</v>
      </c>
      <c r="C13858" s="6">
        <v>382.07</v>
      </c>
      <c r="D13858" s="5"/>
      <c r="E13858" s="5" t="str">
        <f t="shared" si="710"/>
        <v>CONSULTORIO 12-CONSULTA EXTERNA</v>
      </c>
      <c r="F13858" s="5" t="str">
        <f>"Descripcion: PORTA AGUJA Estado: Bueno Placa anterior: 000007066 Material: ACERO INOXIDABLE Color: PLATEADO Referencia:  Observacion:  Placa padre: Tipo adquisicion: Entidad"</f>
        <v>Descripcion: PORTA AGUJA Estado: Bueno Placa anterior: 000007066 Material: ACERO INOXIDABLE Color: PLATEADO Referencia:  Observacion:  Placa padre: Tipo adquisicion: Entidad</v>
      </c>
      <c r="G13858" s="5"/>
    </row>
    <row r="13859" spans="1:7" ht="58.5" customHeight="1" x14ac:dyDescent="0.25">
      <c r="A13859" s="5" t="str">
        <f>"B0005668"</f>
        <v>B0005668</v>
      </c>
      <c r="B13859" s="5" t="str">
        <f t="shared" si="711"/>
        <v>PORTAGUJAS (PINZA)</v>
      </c>
      <c r="C13859" s="6">
        <v>62283</v>
      </c>
      <c r="D13859" s="5"/>
      <c r="E13859" s="5" t="str">
        <f t="shared" si="710"/>
        <v>CONSULTORIO 12-CONSULTA EXTERNA</v>
      </c>
      <c r="F13859" s="5" t="str">
        <f>"Descripcion: PORTA AGUJA PEQUEÑA 12 CM Estado: Bueno Placa anterior: 000024566 Material: ACERO INOXIDABLE Color: PLATEADO Referencia:  Observacion:  Placa padre: Tipo adquisicion: Entidad"</f>
        <v>Descripcion: PORTA AGUJA PEQUEÑA 12 CM Estado: Bueno Placa anterior: 000024566 Material: ACERO INOXIDABLE Color: PLATEADO Referencia:  Observacion:  Placa padre: Tipo adquisicion: Entidad</v>
      </c>
      <c r="G13859" s="5"/>
    </row>
    <row r="13860" spans="1:7" ht="58.5" customHeight="1" x14ac:dyDescent="0.25">
      <c r="A13860" s="5" t="str">
        <f>"B0005669"</f>
        <v>B0005669</v>
      </c>
      <c r="B13860" s="5" t="str">
        <f t="shared" si="711"/>
        <v>PORTAGUJAS (PINZA)</v>
      </c>
      <c r="C13860" s="6">
        <v>62283</v>
      </c>
      <c r="D13860" s="5"/>
      <c r="E13860" s="5" t="str">
        <f t="shared" si="710"/>
        <v>CONSULTORIO 12-CONSULTA EXTERNA</v>
      </c>
      <c r="F13860" s="5" t="str">
        <f>"Descripcion: PORTA AGUJA PEQUEÑA 12 CM Estado: Bueno Placa anterior: 000024569 Material: ACERO INOXIDABLE Color: PLATEADO Referencia:  Observacion:  Placa padre: Tipo adquisicion: Entidad"</f>
        <v>Descripcion: PORTA AGUJA PEQUEÑA 12 CM Estado: Bueno Placa anterior: 000024569 Material: ACERO INOXIDABLE Color: PLATEADO Referencia:  Observacion:  Placa padre: Tipo adquisicion: Entidad</v>
      </c>
      <c r="G13860" s="5"/>
    </row>
    <row r="13861" spans="1:7" ht="58.5" customHeight="1" x14ac:dyDescent="0.25">
      <c r="A13861" s="5" t="str">
        <f>"B0005670"</f>
        <v>B0005670</v>
      </c>
      <c r="B13861" s="5" t="str">
        <f t="shared" si="711"/>
        <v>PORTAGUJAS (PINZA)</v>
      </c>
      <c r="C13861" s="6">
        <v>62283</v>
      </c>
      <c r="D13861" s="5"/>
      <c r="E13861" s="5" t="str">
        <f t="shared" si="710"/>
        <v>CONSULTORIO 12-CONSULTA EXTERNA</v>
      </c>
      <c r="F13861" s="5" t="str">
        <f>"Descripcion: PORTA AGUJA PEQUEÑA 12 CM Estado: Bueno Placa anterior: 000024568 Material: ACERO INOXIDABLE Color: PLATEADO Referencia:  Observacion:  Placa padre: Tipo adquisicion: Entidad"</f>
        <v>Descripcion: PORTA AGUJA PEQUEÑA 12 CM Estado: Bueno Placa anterior: 000024568 Material: ACERO INOXIDABLE Color: PLATEADO Referencia:  Observacion:  Placa padre: Tipo adquisicion: Entidad</v>
      </c>
      <c r="G13861" s="5"/>
    </row>
    <row r="13862" spans="1:7" ht="58.5" customHeight="1" x14ac:dyDescent="0.25">
      <c r="A13862" s="5" t="str">
        <f>"B0005671"</f>
        <v>B0005671</v>
      </c>
      <c r="B13862" s="5" t="str">
        <f t="shared" si="711"/>
        <v>PORTAGUJAS (PINZA)</v>
      </c>
      <c r="C13862" s="6">
        <v>62283</v>
      </c>
      <c r="D13862" s="5"/>
      <c r="E13862" s="5" t="str">
        <f t="shared" si="710"/>
        <v>CONSULTORIO 12-CONSULTA EXTERNA</v>
      </c>
      <c r="F13862" s="5" t="str">
        <f>"Descripcion: PORTA AGUJA PEQUEÑA 12 CM Estado: Bueno Placa anterior: 000024567 Material: ACERO INOXIDABLE Color: PLATEADO Referencia:  Observacion:  Placa padre: Tipo adquisicion: Entidad"</f>
        <v>Descripcion: PORTA AGUJA PEQUEÑA 12 CM Estado: Bueno Placa anterior: 000024567 Material: ACERO INOXIDABLE Color: PLATEADO Referencia:  Observacion:  Placa padre: Tipo adquisicion: Entidad</v>
      </c>
      <c r="G13862" s="5"/>
    </row>
    <row r="13863" spans="1:7" ht="58.5" customHeight="1" x14ac:dyDescent="0.25">
      <c r="A13863" s="5" t="str">
        <f>"B0005672"</f>
        <v>B0005672</v>
      </c>
      <c r="B13863" s="5" t="str">
        <f t="shared" ref="B13863:B13868" si="712">"PUNZON DE BIOPSIA"</f>
        <v>PUNZON DE BIOPSIA</v>
      </c>
      <c r="C13863" s="6">
        <v>238069</v>
      </c>
      <c r="D13863" s="5"/>
      <c r="E13863" s="5" t="str">
        <f t="shared" si="710"/>
        <v>CONSULTORIO 12-CONSULTA EXTERNA</v>
      </c>
      <c r="F13863" s="5" t="str">
        <f>"Descripcion: PUNCH PARA BIOPSIA 4, 5, 6 CM Estado: Bueno Placa anterior: 000024615 Material: ACERO INOXIDABLE Color: PLATEADO Referencia:  Observacion:  Placa padre: Tipo adquisicion: Entidad"</f>
        <v>Descripcion: PUNCH PARA BIOPSIA 4, 5, 6 CM Estado: Bueno Placa anterior: 000024615 Material: ACERO INOXIDABLE Color: PLATEADO Referencia:  Observacion:  Placa padre: Tipo adquisicion: Entidad</v>
      </c>
      <c r="G13863" s="5"/>
    </row>
    <row r="13864" spans="1:7" ht="58.5" customHeight="1" x14ac:dyDescent="0.25">
      <c r="A13864" s="5" t="str">
        <f>"B0005673"</f>
        <v>B0005673</v>
      </c>
      <c r="B13864" s="5" t="str">
        <f t="shared" si="712"/>
        <v>PUNZON DE BIOPSIA</v>
      </c>
      <c r="C13864" s="6">
        <v>238069</v>
      </c>
      <c r="D13864" s="5"/>
      <c r="E13864" s="5" t="str">
        <f t="shared" si="710"/>
        <v>CONSULTORIO 12-CONSULTA EXTERNA</v>
      </c>
      <c r="F13864" s="5" t="str">
        <f>"Descripcion: PUNCH PARA BIOPSIA 4, 5, 6 CM Estado: Bueno Placa anterior: 000024614 Material: ACERO INOXIDABLE Color: PLATEADO Referencia:  Observacion:  Placa padre: Tipo adquisicion: Entidad"</f>
        <v>Descripcion: PUNCH PARA BIOPSIA 4, 5, 6 CM Estado: Bueno Placa anterior: 000024614 Material: ACERO INOXIDABLE Color: PLATEADO Referencia:  Observacion:  Placa padre: Tipo adquisicion: Entidad</v>
      </c>
      <c r="G13864" s="5"/>
    </row>
    <row r="13865" spans="1:7" ht="58.5" customHeight="1" x14ac:dyDescent="0.25">
      <c r="A13865" s="5" t="str">
        <f>"B0005674"</f>
        <v>B0005674</v>
      </c>
      <c r="B13865" s="5" t="str">
        <f t="shared" si="712"/>
        <v>PUNZON DE BIOPSIA</v>
      </c>
      <c r="C13865" s="6">
        <v>238069</v>
      </c>
      <c r="D13865" s="5"/>
      <c r="E13865" s="5" t="str">
        <f t="shared" si="710"/>
        <v>CONSULTORIO 12-CONSULTA EXTERNA</v>
      </c>
      <c r="F13865" s="5" t="str">
        <f>"Descripcion: PUNCH PARA BIOPSIA 4, 5, 6 CM Estado: Bueno Placa anterior: 000024613 Material: ACERO INOXIDABLE Color: PLATEADO Referencia:  Observacion:  Placa padre: Tipo adquisicion: Entidad"</f>
        <v>Descripcion: PUNCH PARA BIOPSIA 4, 5, 6 CM Estado: Bueno Placa anterior: 000024613 Material: ACERO INOXIDABLE Color: PLATEADO Referencia:  Observacion:  Placa padre: Tipo adquisicion: Entidad</v>
      </c>
      <c r="G13865" s="5"/>
    </row>
    <row r="13866" spans="1:7" ht="58.5" customHeight="1" x14ac:dyDescent="0.25">
      <c r="A13866" s="5" t="str">
        <f>"B0005675"</f>
        <v>B0005675</v>
      </c>
      <c r="B13866" s="5" t="str">
        <f t="shared" si="712"/>
        <v>PUNZON DE BIOPSIA</v>
      </c>
      <c r="C13866" s="6">
        <v>238069</v>
      </c>
      <c r="D13866" s="5"/>
      <c r="E13866" s="5" t="str">
        <f t="shared" si="710"/>
        <v>CONSULTORIO 12-CONSULTA EXTERNA</v>
      </c>
      <c r="F13866" s="5" t="str">
        <f>"Descripcion: PUNCH PARA BIOPSIA 4, 5, 6 CM Estado: Bueno Placa anterior: 000024612 Material: ACERO INOXIDABLE Color: PLATEADO Referencia:  Observacion:  Placa padre: Tipo adquisicion: Entidad"</f>
        <v>Descripcion: PUNCH PARA BIOPSIA 4, 5, 6 CM Estado: Bueno Placa anterior: 000024612 Material: ACERO INOXIDABLE Color: PLATEADO Referencia:  Observacion:  Placa padre: Tipo adquisicion: Entidad</v>
      </c>
      <c r="G13866" s="5"/>
    </row>
    <row r="13867" spans="1:7" ht="58.5" customHeight="1" x14ac:dyDescent="0.25">
      <c r="A13867" s="5" t="str">
        <f>"B0005676"</f>
        <v>B0005676</v>
      </c>
      <c r="B13867" s="5" t="str">
        <f t="shared" si="712"/>
        <v>PUNZON DE BIOPSIA</v>
      </c>
      <c r="C13867" s="6">
        <v>238069</v>
      </c>
      <c r="D13867" s="5"/>
      <c r="E13867" s="5" t="str">
        <f t="shared" si="710"/>
        <v>CONSULTORIO 12-CONSULTA EXTERNA</v>
      </c>
      <c r="F13867" s="5" t="str">
        <f>"Descripcion: PUNCH PARA BIOPSIA 4, 5, 6 CM Estado: Bueno Placa anterior: 000024617 Material: ACERO INOXIDABLE Color: PLATEADO Referencia:  Observacion:  Placa padre: Tipo adquisicion: Entidad"</f>
        <v>Descripcion: PUNCH PARA BIOPSIA 4, 5, 6 CM Estado: Bueno Placa anterior: 000024617 Material: ACERO INOXIDABLE Color: PLATEADO Referencia:  Observacion:  Placa padre: Tipo adquisicion: Entidad</v>
      </c>
      <c r="G13867" s="5"/>
    </row>
    <row r="13868" spans="1:7" ht="58.5" customHeight="1" x14ac:dyDescent="0.25">
      <c r="A13868" s="5" t="str">
        <f>"B0005677"</f>
        <v>B0005677</v>
      </c>
      <c r="B13868" s="5" t="str">
        <f t="shared" si="712"/>
        <v>PUNZON DE BIOPSIA</v>
      </c>
      <c r="C13868" s="6">
        <v>238069</v>
      </c>
      <c r="D13868" s="5"/>
      <c r="E13868" s="5" t="str">
        <f t="shared" si="710"/>
        <v>CONSULTORIO 12-CONSULTA EXTERNA</v>
      </c>
      <c r="F13868" s="5" t="str">
        <f>"Descripcion: PUNCH PARA BIOPSIA 4, 5, 6 CM Estado: Bueno Placa anterior: 000024616 Material: ACERO INOXIDABLE Color: PLATEADO Referencia:  Observacion:  Placa padre: Tipo adquisicion: Entidad"</f>
        <v>Descripcion: PUNCH PARA BIOPSIA 4, 5, 6 CM Estado: Bueno Placa anterior: 000024616 Material: ACERO INOXIDABLE Color: PLATEADO Referencia:  Observacion:  Placa padre: Tipo adquisicion: Entidad</v>
      </c>
      <c r="G13868" s="5"/>
    </row>
    <row r="13869" spans="1:7" ht="58.5" customHeight="1" x14ac:dyDescent="0.25">
      <c r="A13869" s="5" t="str">
        <f>"B0005678"</f>
        <v>B0005678</v>
      </c>
      <c r="B13869" s="5" t="str">
        <f>"POTE (TARRO) ACERO INXODABLE CON TAPA MEDIANO"</f>
        <v>POTE (TARRO) ACERO INXODABLE CON TAPA MEDIANO</v>
      </c>
      <c r="C13869" s="6">
        <v>7198</v>
      </c>
      <c r="D13869" s="5"/>
      <c r="E13869" s="5" t="str">
        <f t="shared" si="710"/>
        <v>CONSULTORIO 12-CONSULTA EXTERNA</v>
      </c>
      <c r="F13869" s="5" t="str">
        <f>"Descripcion: TARRO METALICO ALGODONERO Estado: Bueno Placa anterior: 000006856 Material: ACERO INOXIDABLE Color: PLATEADO Referencia:  Observacion:  Placa padre: Tipo adquisicion: Entidad"</f>
        <v>Descripcion: TARRO METALICO ALGODONERO Estado: Bueno Placa anterior: 000006856 Material: ACERO INOXIDABLE Color: PLATEADO Referencia:  Observacion:  Placa padre: Tipo adquisicion: Entidad</v>
      </c>
      <c r="G13869" s="5"/>
    </row>
    <row r="13870" spans="1:7" ht="58.5" customHeight="1" x14ac:dyDescent="0.25">
      <c r="A13870" s="5" t="str">
        <f>"B0005679"</f>
        <v>B0005679</v>
      </c>
      <c r="B13870" s="5" t="str">
        <f>"TIJERA RETIRO DE SUTURA"</f>
        <v>TIJERA RETIRO DE SUTURA</v>
      </c>
      <c r="C13870" s="6">
        <v>15498.92</v>
      </c>
      <c r="D13870" s="5"/>
      <c r="E13870" s="5" t="str">
        <f t="shared" si="710"/>
        <v>CONSULTORIO 12-CONSULTA EXTERNA</v>
      </c>
      <c r="F13870" s="5" t="str">
        <f>"Descripcion: TIJERA DE RETIRAR PUNTOS Estado: Bueno Placa anterior: 000023365 Material: ACERO INOXIDABLE Color: PLATEADO Referencia:  Observacion:  Placa padre: Tipo adquisicion: Entidad"</f>
        <v>Descripcion: TIJERA DE RETIRAR PUNTOS Estado: Bueno Placa anterior: 000023365 Material: ACERO INOXIDABLE Color: PLATEADO Referencia:  Observacion:  Placa padre: Tipo adquisicion: Entidad</v>
      </c>
      <c r="G13870" s="5"/>
    </row>
    <row r="13871" spans="1:7" ht="58.5" customHeight="1" x14ac:dyDescent="0.25">
      <c r="A13871" s="5" t="str">
        <f>"B0005680"</f>
        <v>B0005680</v>
      </c>
      <c r="B13871" s="5" t="str">
        <f>"TIJERA RETIRO DE SUTURA"</f>
        <v>TIJERA RETIRO DE SUTURA</v>
      </c>
      <c r="C13871" s="6">
        <v>15498.92</v>
      </c>
      <c r="D13871" s="5"/>
      <c r="E13871" s="5" t="str">
        <f t="shared" si="710"/>
        <v>CONSULTORIO 12-CONSULTA EXTERNA</v>
      </c>
      <c r="F13871" s="5" t="str">
        <f>"Descripcion: TIJERA DE RETIRAR PUNTOS Estado: Bueno Placa anterior: 000023364 Material: ACERO INOXIDABLE Color: PLATEADO Referencia:  Observacion:  Placa padre: Tipo adquisicion: Entidad"</f>
        <v>Descripcion: TIJERA DE RETIRAR PUNTOS Estado: Bueno Placa anterior: 000023364 Material: ACERO INOXIDABLE Color: PLATEADO Referencia:  Observacion:  Placa padre: Tipo adquisicion: Entidad</v>
      </c>
      <c r="G13871" s="5"/>
    </row>
    <row r="13872" spans="1:7" ht="58.5" customHeight="1" x14ac:dyDescent="0.25">
      <c r="A13872" s="5" t="str">
        <f>"B0005681"</f>
        <v>B0005681</v>
      </c>
      <c r="B13872" s="5" t="str">
        <f>"TIJERA PARA GINGIVECTOMIA"</f>
        <v>TIJERA PARA GINGIVECTOMIA</v>
      </c>
      <c r="C13872" s="6">
        <v>54945</v>
      </c>
      <c r="D13872" s="5"/>
      <c r="E13872" s="5" t="str">
        <f t="shared" si="710"/>
        <v>CONSULTORIO 12-CONSULTA EXTERNA</v>
      </c>
      <c r="F13872" s="5" t="str">
        <f>"Descripcion: TIJERA PARA CIRUGIA GINGIVECTOMIA CURVA AESCULAP Estado: Bueno Placa anterior: 000007063 Material: ACERO INOXIDABLE Color: PLATEADO Referencia:  Observacion:  Placa padre: Tipo adquisicion: Entidad"</f>
        <v>Descripcion: TIJERA PARA CIRUGIA GINGIVECTOMIA CURVA AESCULAP Estado: Bueno Placa anterior: 000007063 Material: ACERO INOXIDABLE Color: PLATEADO Referencia:  Observacion:  Placa padre: Tipo adquisicion: Entidad</v>
      </c>
      <c r="G13872" s="5"/>
    </row>
    <row r="13873" spans="1:7" ht="58.5" customHeight="1" x14ac:dyDescent="0.25">
      <c r="A13873" s="5" t="str">
        <f>"B0005682"</f>
        <v>B0005682</v>
      </c>
      <c r="B13873" s="5" t="str">
        <f>"TIJERA PARA GINGIVECTOMIA"</f>
        <v>TIJERA PARA GINGIVECTOMIA</v>
      </c>
      <c r="C13873" s="6">
        <v>54945</v>
      </c>
      <c r="D13873" s="5"/>
      <c r="E13873" s="5" t="str">
        <f t="shared" si="710"/>
        <v>CONSULTORIO 12-CONSULTA EXTERNA</v>
      </c>
      <c r="F13873" s="5" t="str">
        <f>"Descripcion: TIJERA PARA CIRUGIA GINGIVECTOMIA CURVA AESCULAP Estado: Bueno Placa anterior: 000007062 Material: ACERO INOXIDABLE Color: PLATEADO Referencia:  Observacion:  Placa padre: Tipo adquisicion: Entidad"</f>
        <v>Descripcion: TIJERA PARA CIRUGIA GINGIVECTOMIA CURVA AESCULAP Estado: Bueno Placa anterior: 000007062 Material: ACERO INOXIDABLE Color: PLATEADO Referencia:  Observacion:  Placa padre: Tipo adquisicion: Entidad</v>
      </c>
      <c r="G13873" s="5"/>
    </row>
    <row r="13874" spans="1:7" ht="58.5" customHeight="1" x14ac:dyDescent="0.25">
      <c r="A13874" s="5" t="str">
        <f>"B0005683"</f>
        <v>B0005683</v>
      </c>
      <c r="B13874" s="5" t="str">
        <f>"TIJERA PARA PUNTO PEQUEÑA 9 CM"</f>
        <v>TIJERA PARA PUNTO PEQUEÑA 9 CM</v>
      </c>
      <c r="C13874" s="6">
        <v>57824</v>
      </c>
      <c r="D13874" s="5"/>
      <c r="E13874" s="5" t="str">
        <f t="shared" si="710"/>
        <v>CONSULTORIO 12-CONSULTA EXTERNA</v>
      </c>
      <c r="F13874" s="5" t="str">
        <f>"Descripcion: TIJERA PARA PUNTO PEQUEÑA 9 CM Estado: Bueno Placa anterior: 000024563 Material: ACERO INOXIDABLE Color: PLATEADO Referencia:  Observacion:  Placa padre: Tipo adquisicion: Entidad"</f>
        <v>Descripcion: TIJERA PARA PUNTO PEQUEÑA 9 CM Estado: Bueno Placa anterior: 000024563 Material: ACERO INOXIDABLE Color: PLATEADO Referencia:  Observacion:  Placa padre: Tipo adquisicion: Entidad</v>
      </c>
      <c r="G13874" s="5"/>
    </row>
    <row r="13875" spans="1:7" ht="58.5" customHeight="1" x14ac:dyDescent="0.25">
      <c r="A13875" s="5" t="str">
        <f>"B0005684"</f>
        <v>B0005684</v>
      </c>
      <c r="B13875" s="5" t="str">
        <f>"TIJERA PARA PUNTO PEQUEÑA 9 CM"</f>
        <v>TIJERA PARA PUNTO PEQUEÑA 9 CM</v>
      </c>
      <c r="C13875" s="6">
        <v>57824</v>
      </c>
      <c r="D13875" s="5"/>
      <c r="E13875" s="5" t="str">
        <f t="shared" si="710"/>
        <v>CONSULTORIO 12-CONSULTA EXTERNA</v>
      </c>
      <c r="F13875" s="5" t="str">
        <f>"Descripcion: TIJERA PARA PUNTO PEQUEÑA 9 CM Estado: Bueno Placa anterior: 000024562 Material: ACERO INOXIDABLE Color: PLATEADO Referencia:  Observacion:  Placa padre: Tipo adquisicion: Entidad"</f>
        <v>Descripcion: TIJERA PARA PUNTO PEQUEÑA 9 CM Estado: Bueno Placa anterior: 000024562 Material: ACERO INOXIDABLE Color: PLATEADO Referencia:  Observacion:  Placa padre: Tipo adquisicion: Entidad</v>
      </c>
      <c r="G13875" s="5"/>
    </row>
    <row r="13876" spans="1:7" ht="58.5" customHeight="1" x14ac:dyDescent="0.25">
      <c r="A13876" s="5" t="str">
        <f>"B0005685"</f>
        <v>B0005685</v>
      </c>
      <c r="B13876" s="5" t="str">
        <f t="shared" ref="B13876:B13883" si="713">"TIJERA"</f>
        <v>TIJERA</v>
      </c>
      <c r="C13876" s="6">
        <v>48043</v>
      </c>
      <c r="D13876" s="5"/>
      <c r="E13876" s="5" t="str">
        <f t="shared" si="710"/>
        <v>CONSULTORIO 12-CONSULTA EXTERNA</v>
      </c>
      <c r="F13876" s="5" t="str">
        <f>"Descripcion: TIJERA PUNTA CURVA PEQUEÑA 9 CM Estado: Bueno Placa anterior: 000024554 Material: ACERO INOXIDABLE Color: PLATEADO Referencia:  Observacion:  Placa padre: Tipo adquisicion: Entidad"</f>
        <v>Descripcion: TIJERA PUNTA CURVA PEQUEÑA 9 CM Estado: Bueno Placa anterior: 000024554 Material: ACERO INOXIDABLE Color: PLATEADO Referencia:  Observacion:  Placa padre: Tipo adquisicion: Entidad</v>
      </c>
      <c r="G13876" s="5"/>
    </row>
    <row r="13877" spans="1:7" ht="58.5" customHeight="1" x14ac:dyDescent="0.25">
      <c r="A13877" s="5" t="str">
        <f>"B0005686"</f>
        <v>B0005686</v>
      </c>
      <c r="B13877" s="5" t="str">
        <f t="shared" si="713"/>
        <v>TIJERA</v>
      </c>
      <c r="C13877" s="6">
        <v>48043</v>
      </c>
      <c r="D13877" s="5"/>
      <c r="E13877" s="5" t="str">
        <f t="shared" si="710"/>
        <v>CONSULTORIO 12-CONSULTA EXTERNA</v>
      </c>
      <c r="F13877" s="5" t="str">
        <f>"Descripcion: TIJERA PUNTA CURVA PEQUEÑA 9 CM Estado: Bueno Placa anterior: 000024557 Material: ACERO INOXIDABLE Color: PLATEADO Referencia:  Observacion:  Placa padre: Tipo adquisicion: Entidad"</f>
        <v>Descripcion: TIJERA PUNTA CURVA PEQUEÑA 9 CM Estado: Bueno Placa anterior: 000024557 Material: ACERO INOXIDABLE Color: PLATEADO Referencia:  Observacion:  Placa padre: Tipo adquisicion: Entidad</v>
      </c>
      <c r="G13877" s="5"/>
    </row>
    <row r="13878" spans="1:7" ht="58.5" customHeight="1" x14ac:dyDescent="0.25">
      <c r="A13878" s="5" t="str">
        <f>"B0005687"</f>
        <v>B0005687</v>
      </c>
      <c r="B13878" s="5" t="str">
        <f t="shared" si="713"/>
        <v>TIJERA</v>
      </c>
      <c r="C13878" s="6">
        <v>48043</v>
      </c>
      <c r="D13878" s="5"/>
      <c r="E13878" s="5" t="str">
        <f t="shared" si="710"/>
        <v>CONSULTORIO 12-CONSULTA EXTERNA</v>
      </c>
      <c r="F13878" s="5" t="str">
        <f>"Descripcion: TIJERA PUNTA CURVA PEQUEÑA 9 CM Estado: Bueno Placa anterior: 000024556 Material: ACERO INOXIDABLE Color: PLATEADO Referencia:  Observacion:  Placa padre: Tipo adquisicion: Entidad"</f>
        <v>Descripcion: TIJERA PUNTA CURVA PEQUEÑA 9 CM Estado: Bueno Placa anterior: 000024556 Material: ACERO INOXIDABLE Color: PLATEADO Referencia:  Observacion:  Placa padre: Tipo adquisicion: Entidad</v>
      </c>
      <c r="G13878" s="5"/>
    </row>
    <row r="13879" spans="1:7" ht="58.5" customHeight="1" x14ac:dyDescent="0.25">
      <c r="A13879" s="5" t="str">
        <f>"B0005688"</f>
        <v>B0005688</v>
      </c>
      <c r="B13879" s="5" t="str">
        <f t="shared" si="713"/>
        <v>TIJERA</v>
      </c>
      <c r="C13879" s="6">
        <v>48043</v>
      </c>
      <c r="D13879" s="5"/>
      <c r="E13879" s="5" t="str">
        <f t="shared" si="710"/>
        <v>CONSULTORIO 12-CONSULTA EXTERNA</v>
      </c>
      <c r="F13879" s="5" t="str">
        <f>"Descripcion: TIJERA PUNTA CURVA PEQUEÑA 9 CM Estado: Bueno Placa anterior: 000024555 Material: ACERO INOXIDABLE Color: PLATEADO Referencia:  Observacion:  Placa padre: Tipo adquisicion: Entidad"</f>
        <v>Descripcion: TIJERA PUNTA CURVA PEQUEÑA 9 CM Estado: Bueno Placa anterior: 000024555 Material: ACERO INOXIDABLE Color: PLATEADO Referencia:  Observacion:  Placa padre: Tipo adquisicion: Entidad</v>
      </c>
      <c r="G13879" s="5"/>
    </row>
    <row r="13880" spans="1:7" ht="58.5" customHeight="1" x14ac:dyDescent="0.25">
      <c r="A13880" s="5" t="str">
        <f>"B0005689"</f>
        <v>B0005689</v>
      </c>
      <c r="B13880" s="5" t="str">
        <f t="shared" si="713"/>
        <v>TIJERA</v>
      </c>
      <c r="C13880" s="6">
        <v>48043</v>
      </c>
      <c r="D13880" s="5"/>
      <c r="E13880" s="5" t="str">
        <f t="shared" si="710"/>
        <v>CONSULTORIO 12-CONSULTA EXTERNA</v>
      </c>
      <c r="F13880" s="5" t="str">
        <f>"Descripcion: TIJERA PUNTA CURVA PEQUEÑA 9 CM Estado: Bueno Placa anterior: 000024553 Material: ACERO INOXIDABLE Color: PLATEADO Referencia:  Observacion:  Placa padre: Tipo adquisicion: Entidad"</f>
        <v>Descripcion: TIJERA PUNTA CURVA PEQUEÑA 9 CM Estado: Bueno Placa anterior: 000024553 Material: ACERO INOXIDABLE Color: PLATEADO Referencia:  Observacion:  Placa padre: Tipo adquisicion: Entidad</v>
      </c>
      <c r="G13880" s="5"/>
    </row>
    <row r="13881" spans="1:7" ht="58.5" customHeight="1" x14ac:dyDescent="0.25">
      <c r="A13881" s="5" t="str">
        <f>"B0005690"</f>
        <v>B0005690</v>
      </c>
      <c r="B13881" s="5" t="str">
        <f t="shared" si="713"/>
        <v>TIJERA</v>
      </c>
      <c r="C13881" s="6">
        <v>48043</v>
      </c>
      <c r="D13881" s="5"/>
      <c r="E13881" s="5" t="str">
        <f t="shared" si="710"/>
        <v>CONSULTORIO 12-CONSULTA EXTERNA</v>
      </c>
      <c r="F13881" s="5" t="str">
        <f>"Descripcion: TIJERA PUNTA RECTA PEQUEÑA 9 CM Estado: Bueno Placa anterior: 000024551 Material: ACERO INOXIDABLE Color: PLATEADO Referencia:  Observacion:  Placa padre: Tipo adquisicion: Entidad"</f>
        <v>Descripcion: TIJERA PUNTA RECTA PEQUEÑA 9 CM Estado: Bueno Placa anterior: 000024551 Material: ACERO INOXIDABLE Color: PLATEADO Referencia:  Observacion:  Placa padre: Tipo adquisicion: Entidad</v>
      </c>
      <c r="G13881" s="5"/>
    </row>
    <row r="13882" spans="1:7" ht="58.5" customHeight="1" x14ac:dyDescent="0.25">
      <c r="A13882" s="5" t="str">
        <f>"B0005691"</f>
        <v>B0005691</v>
      </c>
      <c r="B13882" s="5" t="str">
        <f t="shared" si="713"/>
        <v>TIJERA</v>
      </c>
      <c r="C13882" s="6">
        <v>48043</v>
      </c>
      <c r="D13882" s="5"/>
      <c r="E13882" s="5" t="str">
        <f t="shared" si="710"/>
        <v>CONSULTORIO 12-CONSULTA EXTERNA</v>
      </c>
      <c r="F13882" s="5" t="str">
        <f>"Descripcion: TIJERA PUNTA RECTA PEQUEÑA 9 CM Estado: Bueno Placa anterior: 000024550 Material: ACERO INOXIDABLE Color: PLATEADO Referencia:  Observacion:  Placa padre: Tipo adquisicion: Entidad"</f>
        <v>Descripcion: TIJERA PUNTA RECTA PEQUEÑA 9 CM Estado: Bueno Placa anterior: 000024550 Material: ACERO INOXIDABLE Color: PLATEADO Referencia:  Observacion:  Placa padre: Tipo adquisicion: Entidad</v>
      </c>
      <c r="G13882" s="5"/>
    </row>
    <row r="13883" spans="1:7" ht="58.5" customHeight="1" x14ac:dyDescent="0.25">
      <c r="A13883" s="5" t="str">
        <f>"B0005692"</f>
        <v>B0005692</v>
      </c>
      <c r="B13883" s="5" t="str">
        <f t="shared" si="713"/>
        <v>TIJERA</v>
      </c>
      <c r="C13883" s="6">
        <v>48043</v>
      </c>
      <c r="D13883" s="5"/>
      <c r="E13883" s="5" t="str">
        <f t="shared" si="710"/>
        <v>CONSULTORIO 12-CONSULTA EXTERNA</v>
      </c>
      <c r="F13883" s="5" t="str">
        <f>"Descripcion: TIJERA PUNTA RECTA PEQUEÑA 9 CM Estado: Bueno Placa anterior: 000024549 Material: ACERO INOXIDABLE Color: PLATEADO Referencia:  Observacion:  Placa padre: Tipo adquisicion: Entidad"</f>
        <v>Descripcion: TIJERA PUNTA RECTA PEQUEÑA 9 CM Estado: Bueno Placa anterior: 000024549 Material: ACERO INOXIDABLE Color: PLATEADO Referencia:  Observacion:  Placa padre: Tipo adquisicion: Entidad</v>
      </c>
      <c r="G13883" s="5"/>
    </row>
    <row r="13884" spans="1:7" ht="58.5" customHeight="1" x14ac:dyDescent="0.25">
      <c r="A13884" s="5" t="str">
        <f>"H0000701"</f>
        <v>H0000701</v>
      </c>
      <c r="B13884" s="5" t="str">
        <f>"POTE (TARRO) ACERO INXODABLE CON TAPA MEDIANO"</f>
        <v>POTE (TARRO) ACERO INXODABLE CON TAPA MEDIANO</v>
      </c>
      <c r="C13884" s="6">
        <v>7405.16</v>
      </c>
      <c r="D13884" s="5"/>
      <c r="E13884" s="5" t="str">
        <f t="shared" ref="E13884:E13903" si="714">"CONSULTORIO 12-CONSULTA EXTERNA"</f>
        <v>CONSULTORIO 12-CONSULTA EXTERNA</v>
      </c>
      <c r="F13884" s="5" t="str">
        <f>"Descripcion: ALTXDIAM 15X10 Estado: Bueno Placa anterior: 000005885 Material: ACERO INOXIDABLE Color:  Referencia:  Observacion:  Placa padre: Tipo adquisicion: Entidad"</f>
        <v>Descripcion: ALTXDIAM 15X10 Estado: Bueno Placa anterior: 000005885 Material: ACERO INOXIDABLE Color:  Referencia:  Observacion:  Placa padre: Tipo adquisicion: Entidad</v>
      </c>
      <c r="G13884" s="5"/>
    </row>
    <row r="13885" spans="1:7" ht="58.5" customHeight="1" x14ac:dyDescent="0.25">
      <c r="A13885" s="5" t="str">
        <f>"H0000703"</f>
        <v>H0000703</v>
      </c>
      <c r="B13885" s="5" t="str">
        <f>"VITRINA DE 1 CUERPO"</f>
        <v>VITRINA DE 1 CUERPO</v>
      </c>
      <c r="C13885" s="6">
        <v>20208</v>
      </c>
      <c r="D13885" s="5"/>
      <c r="E13885" s="5" t="str">
        <f t="shared" si="714"/>
        <v>CONSULTORIO 12-CONSULTA EXTERNA</v>
      </c>
      <c r="F13885" s="5" t="str">
        <f>"Descripcion: 169X50X301 PUERTA METALICA CON VIDRIO Y CHAPA1 GAVETA1 PUERTA METALICA Estado: Bueno Placa anterior: 000005894 Material: METALICA Color: GRIS CLARO Referencia:  Observacion: OXIDADA Placa padre: Tipo adquisicion: Entidad"</f>
        <v>Descripcion: 169X50X301 PUERTA METALICA CON VIDRIO Y CHAPA1 GAVETA1 PUERTA METALICA Estado: Bueno Placa anterior: 000005894 Material: METALICA Color: GRIS CLARO Referencia:  Observacion: OXIDADA Placa padre: Tipo adquisicion: Entidad</v>
      </c>
      <c r="G13885" s="5"/>
    </row>
    <row r="13886" spans="1:7" ht="58.5" customHeight="1" x14ac:dyDescent="0.25">
      <c r="A13886" s="5" t="str">
        <f>"H0000707"</f>
        <v>H0000707</v>
      </c>
      <c r="B13886" s="5" t="str">
        <f>"SILLA INTERLOCUTORA (FIJA) SIN BRAZOS"</f>
        <v>SILLA INTERLOCUTORA (FIJA) SIN BRAZOS</v>
      </c>
      <c r="C13886" s="6">
        <v>9679.7000000000007</v>
      </c>
      <c r="D13886" s="5"/>
      <c r="E13886" s="5" t="str">
        <f t="shared" si="714"/>
        <v>CONSULTORIO 12-CONSULTA EXTERNA</v>
      </c>
      <c r="F13886" s="5" t="str">
        <f>"Descripcion: TAPIZADA EN CUERO COLOR MARRON Estado: Bueno Placa anterior: 000025365 Material: METALICO Color: MARRON Referencia:  Observacion:  Placa padre: Tipo adquisicion: Entidad"</f>
        <v>Descripcion: TAPIZADA EN CUERO COLOR MARRON Estado: Bueno Placa anterior: 000025365 Material: METALICO Color: MARRON Referencia:  Observacion:  Placa padre: Tipo adquisicion: Entidad</v>
      </c>
      <c r="G13886" s="5"/>
    </row>
    <row r="13887" spans="1:7" ht="58.5" customHeight="1" x14ac:dyDescent="0.25">
      <c r="A13887" s="5" t="str">
        <f>"H0000708"</f>
        <v>H0000708</v>
      </c>
      <c r="B13887" s="5" t="str">
        <f>"IMPRESORA LASER"</f>
        <v>IMPRESORA LASER</v>
      </c>
      <c r="C13887" s="6">
        <v>2470000</v>
      </c>
      <c r="D13887" s="5"/>
      <c r="E13887" s="5" t="str">
        <f t="shared" si="714"/>
        <v>CONSULTORIO 12-CONSULTA EXTERNA</v>
      </c>
      <c r="F13887" s="5" t="str">
        <f>"Descripcion: IMPRESORA MARCA LASERJET MONOCROMATICA, LASER DE RED, 40 PPM, PCL ETHERNET Estado: Bueno Placa anterior: 000029104 Material: PLASTICO Color: GRIS Referencia:  Observacion:  Placa padre: Tipo adquisicion: Entidad"</f>
        <v>Descripcion: IMPRESORA MARCA LASERJET MONOCROMATICA, LASER DE RED, 40 PPM, PCL ETHERNET Estado: Bueno Placa anterior: 000029104 Material: PLASTICO Color: GRIS Referencia:  Observacion:  Placa padre: Tipo adquisicion: Entidad</v>
      </c>
      <c r="G13887" s="5" t="str">
        <f>"HP LASERJET P3015"</f>
        <v>HP LASERJET P3015</v>
      </c>
    </row>
    <row r="13888" spans="1:7" ht="58.5" customHeight="1" x14ac:dyDescent="0.25">
      <c r="A13888" s="5" t="str">
        <f>"H0000709"</f>
        <v>H0000709</v>
      </c>
      <c r="B13888" s="5" t="str">
        <f>"MESA METALICA AUXILIAR 2 GAVETAS"</f>
        <v>MESA METALICA AUXILIAR 2 GAVETAS</v>
      </c>
      <c r="C13888" s="6">
        <v>19745</v>
      </c>
      <c r="D13888" s="5"/>
      <c r="E13888" s="5" t="str">
        <f t="shared" si="714"/>
        <v>CONSULTORIO 12-CONSULTA EXTERNA</v>
      </c>
      <c r="F13888" s="5" t="str">
        <f>"Descripcion: MESA METALICA TRES GAVETASSUPERFICIE EN MADEFLEX Estado: Bueno Placa anterior: 000006841 Material: METALICO Color: GRIS CLARO Referencia:  Observacion: SE ENCUENTRA EN EL CONSULTORIO 5  AUTORIZADO CONCILIAR EN CRUCE GENERAL Placa padre: Tipo "&amp; "adquisicion: Entidad"</f>
        <v>Descripcion: MESA METALICA TRES GAVETASSUPERFICIE EN MADEFLEX Estado: Bueno Placa anterior: 000006841 Material: METALICO Color: GRIS CLARO Referencia:  Observacion: SE ENCUENTRA EN EL CONSULTORIO 5  AUTORIZADO CONCILIAR EN CRUCE GENERAL Placa padre: Tipo adquisicion: Entidad</v>
      </c>
      <c r="G13888" s="5"/>
    </row>
    <row r="13889" spans="1:7" ht="58.5" customHeight="1" x14ac:dyDescent="0.25">
      <c r="A13889" s="5" t="str">
        <f>"H0000718"</f>
        <v>H0000718</v>
      </c>
      <c r="B13889" s="5" t="str">
        <f>"SILLA INTERLOCUTORA (FIJA) SIN BRAZOS"</f>
        <v>SILLA INTERLOCUTORA (FIJA) SIN BRAZOS</v>
      </c>
      <c r="C13889" s="6">
        <v>11000</v>
      </c>
      <c r="D13889" s="5"/>
      <c r="E13889" s="5" t="str">
        <f t="shared" si="714"/>
        <v>CONSULTORIO 12-CONSULTA EXTERNA</v>
      </c>
      <c r="F13889" s="5" t="str">
        <f>"Descripcion: TAPIZADA EN CUERO COLOR NEGRO Estado: Bueno Placa anterior: 000012101 Material: METALICO Color: NEGRO Referencia:  Observacion:  Placa padre: Tipo adquisicion: Entidad"</f>
        <v>Descripcion: TAPIZADA EN CUERO COLOR NEGRO Estado: Bueno Placa anterior: 000012101 Material: METALICO Color: NEGRO Referencia:  Observacion:  Placa padre: Tipo adquisicion: Entidad</v>
      </c>
      <c r="G13889" s="5"/>
    </row>
    <row r="13890" spans="1:7" ht="58.5" customHeight="1" x14ac:dyDescent="0.25">
      <c r="A13890" s="5" t="str">
        <f>"H0000719"</f>
        <v>H0000719</v>
      </c>
      <c r="B13890" s="5" t="str">
        <f>"SILLA INTERLOCUTORA (FIJA) SIN BRAZOS"</f>
        <v>SILLA INTERLOCUTORA (FIJA) SIN BRAZOS</v>
      </c>
      <c r="C13890" s="6">
        <v>10900</v>
      </c>
      <c r="D13890" s="5"/>
      <c r="E13890" s="5" t="str">
        <f t="shared" si="714"/>
        <v>CONSULTORIO 12-CONSULTA EXTERNA</v>
      </c>
      <c r="F13890" s="5" t="str">
        <f>"Descripcion: TAPIZADA EN CUERO COLOR NEGRO Estado: Bueno Placa anterior: 000027451 Material: METALICO Color: NEGRO Referencia:  Observacion:  Placa padre: Tipo adquisicion: Entidad"</f>
        <v>Descripcion: TAPIZADA EN CUERO COLOR NEGRO Estado: Bueno Placa anterior: 000027451 Material: METALICO Color: NEGRO Referencia:  Observacion:  Placa padre: Tipo adquisicion: Entidad</v>
      </c>
      <c r="G13890" s="5"/>
    </row>
    <row r="13891" spans="1:7" ht="58.5" customHeight="1" x14ac:dyDescent="0.25">
      <c r="A13891" s="5" t="str">
        <f>"H0000722"</f>
        <v>H0000722</v>
      </c>
      <c r="B13891" s="5" t="str">
        <f>"POTE (TARRO) ACERO INXODABLE CON TAPA MEDIANO"</f>
        <v>POTE (TARRO) ACERO INXODABLE CON TAPA MEDIANO</v>
      </c>
      <c r="C13891" s="6">
        <v>7198</v>
      </c>
      <c r="D13891" s="5"/>
      <c r="E13891" s="5" t="str">
        <f t="shared" si="714"/>
        <v>CONSULTORIO 12-CONSULTA EXTERNA</v>
      </c>
      <c r="F13891" s="5" t="str">
        <f>"Descripcion: ALTXDIAM 15X10 Estado: Bueno Placa anterior: 000006857 Material: METALICO Color: ACERO INOXIDABLE Referencia:  Observacion:  Placa padre: Tipo adquisicion: Entidad"</f>
        <v>Descripcion: ALTXDIAM 15X10 Estado: Bueno Placa anterior: 000006857 Material: METALICO Color: ACERO INOXIDABLE Referencia:  Observacion:  Placa padre: Tipo adquisicion: Entidad</v>
      </c>
      <c r="G13891" s="5"/>
    </row>
    <row r="13892" spans="1:7" ht="58.5" customHeight="1" x14ac:dyDescent="0.25">
      <c r="A13892" s="5" t="str">
        <f>"H0000725"</f>
        <v>H0000725</v>
      </c>
      <c r="B13892" s="5" t="str">
        <f>"MESA (CARRO) DE CURACIONES"</f>
        <v>MESA (CARRO) DE CURACIONES</v>
      </c>
      <c r="C13892" s="6">
        <v>6952</v>
      </c>
      <c r="D13892" s="5"/>
      <c r="E13892" s="5" t="str">
        <f t="shared" si="714"/>
        <v>CONSULTORIO 12-CONSULTA EXTERNA</v>
      </c>
      <c r="F13892" s="5" t="str">
        <f>"Descripcion: 68X55X42 RODACHINES Estado: Bueno Placa anterior: 000005902 Material: ACERO INOXIDABLE Color:  Referencia:  Observacion: SE ENCUENTRA EN EL CONSULTORIO 18 Placa padre: Tipo adquisicion: Entidad"</f>
        <v>Descripcion: 68X55X42 RODACHINES Estado: Bueno Placa anterior: 000005902 Material: ACERO INOXIDABLE Color:  Referencia:  Observacion: SE ENCUENTRA EN EL CONSULTORIO 18 Placa padre: Tipo adquisicion: Entidad</v>
      </c>
      <c r="G13892" s="5"/>
    </row>
    <row r="13893" spans="1:7" ht="58.5" customHeight="1" x14ac:dyDescent="0.25">
      <c r="A13893" s="5" t="str">
        <f>"H0000730"</f>
        <v>H0000730</v>
      </c>
      <c r="B13893" s="5" t="str">
        <f>"SILLA GIRATORIA SIN BRAZOS CON RODACHINES"</f>
        <v>SILLA GIRATORIA SIN BRAZOS CON RODACHINES</v>
      </c>
      <c r="C13893" s="6">
        <v>16500</v>
      </c>
      <c r="D13893" s="5"/>
      <c r="E13893" s="5" t="str">
        <f t="shared" si="714"/>
        <v>CONSULTORIO 12-CONSULTA EXTERNA</v>
      </c>
      <c r="F13893" s="5" t="str">
        <f>"Descripcion: CON ESPALDAR, TAPIZADA EN CUERO COLOR MARRON, CON REPOSAPIES, GRADUABLE Estado: Bueno Placa anterior: 000009700 Material: METALICA Color: MARRON Referencia:  Observacion: AUTORIZADO CONCILIAR EN CRUCE GENERAL Placa padre: H0000729Tipo adquisi"&amp; "cion: Entidad"</f>
        <v>Descripcion: CON ESPALDAR, TAPIZADA EN CUERO COLOR MARRON, CON REPOSAPIES, GRADUABLE Estado: Bueno Placa anterior: 000009700 Material: METALICA Color: MARRON Referencia:  Observacion: AUTORIZADO CONCILIAR EN CRUCE GENERAL Placa padre: H0000729Tipo adquisicion: Entidad</v>
      </c>
      <c r="G13893" s="5"/>
    </row>
    <row r="13894" spans="1:7" ht="58.5" customHeight="1" x14ac:dyDescent="0.25">
      <c r="A13894" s="5" t="str">
        <f>"H0000731"</f>
        <v>H0000731</v>
      </c>
      <c r="B13894" s="5" t="str">
        <f>"SILLA GIRATORIA SIN BRAZOS CON RODACHINES"</f>
        <v>SILLA GIRATORIA SIN BRAZOS CON RODACHINES</v>
      </c>
      <c r="C13894" s="6">
        <v>16500</v>
      </c>
      <c r="D13894" s="5"/>
      <c r="E13894" s="5" t="str">
        <f t="shared" si="714"/>
        <v>CONSULTORIO 12-CONSULTA EXTERNA</v>
      </c>
      <c r="F13894" s="5" t="str">
        <f>"Descripcion: CON ESPALDAR, TAPIZADA EN CUERO COLOR MARRON, CON REPOSAPIES, GRADUABLE Estado: Bueno Placa anterior: 000009699 Material: METALICA Color: MARRON Referencia:  Observacion: SE ENCUENTRA EN EL CONSULTORIO 14  AUTORIZADO CONCILIAR EN CRUCE GENERA"&amp; "L Placa padre: H0000729Tipo adquisicion: Entidad"</f>
        <v>Descripcion: CON ESPALDAR, TAPIZADA EN CUERO COLOR MARRON, CON REPOSAPIES, GRADUABLE Estado: Bueno Placa anterior: 000009699 Material: METALICA Color: MARRON Referencia:  Observacion: SE ENCUENTRA EN EL CONSULTORIO 14  AUTORIZADO CONCILIAR EN CRUCE GENERAL Placa padre: H0000729Tipo adquisicion: Entidad</v>
      </c>
      <c r="G13894" s="5"/>
    </row>
    <row r="13895" spans="1:7" ht="58.5" customHeight="1" x14ac:dyDescent="0.25">
      <c r="A13895" s="5" t="str">
        <f>"H0000734"</f>
        <v>H0000734</v>
      </c>
      <c r="B13895" s="5" t="str">
        <f>"CUBETA DE ACERO INOXIDABLE CON TAPA MEDIANA"</f>
        <v>CUBETA DE ACERO INOXIDABLE CON TAPA MEDIANA</v>
      </c>
      <c r="C13895" s="6">
        <v>10010</v>
      </c>
      <c r="D13895" s="5"/>
      <c r="E13895" s="5" t="str">
        <f t="shared" si="714"/>
        <v>CONSULTORIO 12-CONSULTA EXTERNA</v>
      </c>
      <c r="F13895" s="5" t="str">
        <f>"Descripcion: CON TAPA, ALXDIAM 34X5 Estado: Bueno Placa anterior: 000005149 Material: ACERO INOXIDABLE Color:  Referencia:  Observacion: PERTENECE AL CONSULTORIO 6 Placa padre: Tipo adquisicion: Entidad"</f>
        <v>Descripcion: CON TAPA, ALXDIAM 34X5 Estado: Bueno Placa anterior: 000005149 Material: ACERO INOXIDABLE Color:  Referencia:  Observacion: PERTENECE AL CONSULTORIO 6 Placa padre: Tipo adquisicion: Entidad</v>
      </c>
      <c r="G13895" s="5"/>
    </row>
    <row r="13896" spans="1:7" ht="58.5" customHeight="1" x14ac:dyDescent="0.25">
      <c r="A13896" s="5" t="str">
        <f>"H0000736"</f>
        <v>H0000736</v>
      </c>
      <c r="B13896" s="5" t="str">
        <f>"SILLA GIRATORIA SIN BRAZOS CON RODACHINES"</f>
        <v>SILLA GIRATORIA SIN BRAZOS CON RODACHINES</v>
      </c>
      <c r="C13896" s="6">
        <v>16500</v>
      </c>
      <c r="D13896" s="5"/>
      <c r="E13896" s="5" t="str">
        <f t="shared" si="714"/>
        <v>CONSULTORIO 12-CONSULTA EXTERNA</v>
      </c>
      <c r="F13896" s="5" t="str">
        <f>"Descripcion: CON ESPALDAR, TAPIZADA EN CUERO COLOR MARRON, CON REPOSAPIES, GRADUABLE Estado: Bueno Placa anterior: 000009701 Material: METALICO Color: MARRON Referencia:  Observacion: SE ENCUENTRA EN EL CONSULTORIO 3  AUTORIZADO CONCILIAR EN CRUCE GENERAL"&amp; " Placa padre: H0000729Tipo adquisicion: Entidad"</f>
        <v>Descripcion: CON ESPALDAR, TAPIZADA EN CUERO COLOR MARRON, CON REPOSAPIES, GRADUABLE Estado: Bueno Placa anterior: 000009701 Material: METALICO Color: MARRON Referencia:  Observacion: SE ENCUENTRA EN EL CONSULTORIO 3  AUTORIZADO CONCILIAR EN CRUCE GENERAL Placa padre: H0000729Tipo adquisicion: Entidad</v>
      </c>
      <c r="G13896" s="5"/>
    </row>
    <row r="13897" spans="1:7" ht="58.5" customHeight="1" x14ac:dyDescent="0.25">
      <c r="A13897" s="5" t="str">
        <f>"H0000737"</f>
        <v>H0000737</v>
      </c>
      <c r="B13897" s="5" t="str">
        <f>"AIRE ACONDICIONADO TIPO SPLIT 12000 BTU"</f>
        <v>AIRE ACONDICIONADO TIPO SPLIT 12000 BTU</v>
      </c>
      <c r="C13897" s="6">
        <v>1836280</v>
      </c>
      <c r="D13897" s="5" t="s">
        <v>52</v>
      </c>
      <c r="E13897" s="5" t="str">
        <f t="shared" si="714"/>
        <v>CONSULTORIO 12-CONSULTA EXTERNA</v>
      </c>
      <c r="F13897" s="5" t="str">
        <f>"Descripcion: INVERTER V Estado: Regular Placa anterior: 000036389 Material: PLASTICO Color: BLANCO Referencia:  Observacion:  Placa padre: Tipo adquisicion: Entidad"</f>
        <v>Descripcion: INVERTER V Estado: Regular Placa anterior: 000036389 Material: PLASTICO Color: BLANCO Referencia:  Observacion:  Placa padre: Tipo adquisicion: Entidad</v>
      </c>
      <c r="G13897" s="5" t="str">
        <f>"VM12CEN B3"</f>
        <v>VM12CEN B3</v>
      </c>
    </row>
    <row r="13898" spans="1:7" ht="58.5" customHeight="1" x14ac:dyDescent="0.25">
      <c r="A13898" s="5" t="str">
        <f>"H0021972"</f>
        <v>H0021972</v>
      </c>
      <c r="B13898" s="5" t="str">
        <f>"RIÑONERA HOSPITALARIA EN ACERO INOXIDABLE"</f>
        <v>RIÑONERA HOSPITALARIA EN ACERO INOXIDABLE</v>
      </c>
      <c r="C13898" s="6">
        <v>2500</v>
      </c>
      <c r="D13898" s="5"/>
      <c r="E13898" s="5" t="str">
        <f t="shared" si="714"/>
        <v>CONSULTORIO 12-CONSULTA EXTERNA</v>
      </c>
      <c r="F13898" s="5" t="str">
        <f>"Descripcion: RIÑONERA PEQUEÑA Estado: Bueno Placa anterior: 000005906 Material: ACERO INOXIDABLE Color: PLATEADO Referencia:  Observacion:  Placa padre: Tipo adquisicion: Entidad"</f>
        <v>Descripcion: RIÑONERA PEQUEÑA Estado: Bueno Placa anterior: 000005906 Material: ACERO INOXIDABLE Color: PLATEADO Referencia:  Observacion:  Placa padre: Tipo adquisicion: Entidad</v>
      </c>
      <c r="G13898" s="5"/>
    </row>
    <row r="13899" spans="1:7" ht="58.5" customHeight="1" x14ac:dyDescent="0.25">
      <c r="A13899" s="5" t="str">
        <f>"H0024597"</f>
        <v>H0024597</v>
      </c>
      <c r="B1389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899" s="6">
        <v>2600000</v>
      </c>
      <c r="D13899" s="5" t="s">
        <v>36</v>
      </c>
      <c r="E13899" s="5" t="str">
        <f t="shared" si="714"/>
        <v>CONSULTORIO 12-CONSULTA EXTERNA</v>
      </c>
      <c r="F13899" s="5"/>
      <c r="G13899" s="5"/>
    </row>
    <row r="13900" spans="1:7" ht="58.5" customHeight="1" x14ac:dyDescent="0.25">
      <c r="A13900" s="5" t="str">
        <f>"H0025314"</f>
        <v>H0025314</v>
      </c>
      <c r="B1390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00" s="6">
        <v>312156</v>
      </c>
      <c r="D13900" s="5" t="s">
        <v>10</v>
      </c>
      <c r="E13900" s="5" t="str">
        <f t="shared" si="714"/>
        <v>CONSULTORIO 12-CONSULTA EXTERNA</v>
      </c>
      <c r="F13900" s="5"/>
      <c r="G13900" s="5"/>
    </row>
    <row r="13901" spans="1:7" ht="58.5" customHeight="1" x14ac:dyDescent="0.25">
      <c r="A13901" s="5" t="str">
        <f>"H0027535"</f>
        <v>H0027535</v>
      </c>
      <c r="B13901" s="5" t="str">
        <f>"LECTOR DE HUELLAS DIGITALES"</f>
        <v>LECTOR DE HUELLAS DIGITALES</v>
      </c>
      <c r="C13901" s="6">
        <v>234000.41</v>
      </c>
      <c r="D13901" s="5" t="s">
        <v>83</v>
      </c>
      <c r="E13901" s="5" t="str">
        <f t="shared" si="714"/>
        <v>CONSULTORIO 12-CONSULTA EXTERNA</v>
      </c>
      <c r="F13901" s="5"/>
      <c r="G13901" s="5"/>
    </row>
    <row r="13902" spans="1:7" ht="58.5" customHeight="1" x14ac:dyDescent="0.25">
      <c r="A13902" s="5" t="str">
        <f>"H0037129"</f>
        <v>H0037129</v>
      </c>
      <c r="B13902" s="5" t="str">
        <f>"TALLIMETRO CAPACIDAD 20-205 CM (DONACION)"</f>
        <v>TALLIMETRO CAPACIDAD 20-205 CM (DONACION)</v>
      </c>
      <c r="C13902" s="6">
        <v>1254705.99</v>
      </c>
      <c r="D13902" s="5" t="s">
        <v>136</v>
      </c>
      <c r="E13902" s="5" t="str">
        <f t="shared" si="714"/>
        <v>CONSULTORIO 12-CONSULTA EXTERNA</v>
      </c>
      <c r="F13902" s="5"/>
      <c r="G13902" s="5"/>
    </row>
    <row r="13903" spans="1:7" ht="58.5" customHeight="1" x14ac:dyDescent="0.25">
      <c r="A13903" s="5" t="str">
        <f>"H0037196"</f>
        <v>H0037196</v>
      </c>
      <c r="B13903" s="5" t="str">
        <f>"BASCULA: Capacidad: 200 kg, División: 100 g &lt; 150 kg &gt; 200 g, Dimensiones (AxAxP):321 x 61 x 362 mm, Peso: 4,1 kg"</f>
        <v>BASCULA: Capacidad: 200 kg, División: 100 g &lt; 150 kg &gt; 200 g, Dimensiones (AxAxP):321 x 61 x 362 mm, Peso: 4,1 kg</v>
      </c>
      <c r="C13903" s="6">
        <v>3588386.01</v>
      </c>
      <c r="D13903" s="5" t="s">
        <v>160</v>
      </c>
      <c r="E13903" s="5" t="str">
        <f t="shared" si="714"/>
        <v>CONSULTORIO 12-CONSULTA EXTERNA</v>
      </c>
      <c r="F13903" s="5"/>
      <c r="G13903" s="5"/>
    </row>
    <row r="13904" spans="1:7" ht="58.5" customHeight="1" x14ac:dyDescent="0.25">
      <c r="A13904" s="5" t="str">
        <f>"B0000800"</f>
        <v>B0000800</v>
      </c>
      <c r="B13904" s="5" t="str">
        <f>"PINZA KELLY RECTA 16 CM"</f>
        <v>PINZA KELLY RECTA 16 CM</v>
      </c>
      <c r="C13904" s="6">
        <v>2560</v>
      </c>
      <c r="D13904" s="5"/>
      <c r="E13904" s="5" t="str">
        <f t="shared" ref="E13904:E13930" si="715">"CONSULTORIO 13-CONSULTA EXTERNA"</f>
        <v>CONSULTORIO 13-CONSULTA EXTERNA</v>
      </c>
      <c r="F13904" s="5" t="str">
        <f>"Descripcion: PINZA KELLY RECTA Estado: Bueno Placa anterior: 000006681 Material: ACERO INOXIDABLE Color: ACERO INOX. Referencia:  Observacion:  Placa padre: Tipo adquisicion: Entidad"</f>
        <v>Descripcion: PINZA KELLY RECTA Estado: Bueno Placa anterior: 000006681 Material: ACERO INOXIDABLE Color: ACERO INOX. Referencia:  Observacion:  Placa padre: Tipo adquisicion: Entidad</v>
      </c>
      <c r="G13904" s="5"/>
    </row>
    <row r="13905" spans="1:7" ht="58.5" customHeight="1" x14ac:dyDescent="0.25">
      <c r="A13905" s="5" t="str">
        <f>"B0000801"</f>
        <v>B0000801</v>
      </c>
      <c r="B13905" s="5" t="str">
        <f>"TIJERA RETIRO DE SUTURA"</f>
        <v>TIJERA RETIRO DE SUTURA</v>
      </c>
      <c r="C13905" s="6">
        <v>12700</v>
      </c>
      <c r="D13905" s="5"/>
      <c r="E13905" s="5" t="str">
        <f t="shared" si="715"/>
        <v>CONSULTORIO 13-CONSULTA EXTERNA</v>
      </c>
      <c r="F13905" s="5" t="str">
        <f>"Descripcion: TIJERA DE RETIRAR PUNTOS Estado: Bueno Placa anterior: 000006689 Material: ACERO INOXIDABLE Color: ACERO INOX. Referencia:  Observacion:  Placa padre: Tipo adquisicion: Entidad"</f>
        <v>Descripcion: TIJERA DE RETIRAR PUNTOS Estado: Bueno Placa anterior: 000006689 Material: ACERO INOXIDABLE Color: ACERO INOX. Referencia:  Observacion:  Placa padre: Tipo adquisicion: Entidad</v>
      </c>
      <c r="G13905" s="5"/>
    </row>
    <row r="13906" spans="1:7" ht="58.5" customHeight="1" x14ac:dyDescent="0.25">
      <c r="A13906" s="5" t="str">
        <f>"B0000802"</f>
        <v>B0000802</v>
      </c>
      <c r="B13906" s="5" t="str">
        <f>"TIJERA  DE METZEMBAUM CURVA"</f>
        <v>TIJERA  DE METZEMBAUM CURVA</v>
      </c>
      <c r="C13906" s="6">
        <v>2750</v>
      </c>
      <c r="D13906" s="5"/>
      <c r="E13906" s="5" t="str">
        <f t="shared" si="715"/>
        <v>CONSULTORIO 13-CONSULTA EXTERNA</v>
      </c>
      <c r="F13906" s="5" t="str">
        <f>"Descripcion: TIJERA DE TEJIDO Estado: Bueno Placa anterior: 000006690 Material: ACERO INOXIDABLE Color: ACERO INOX. Referencia:  Observacion:  Placa padre: Tipo adquisicion: Entidad"</f>
        <v>Descripcion: TIJERA DE TEJIDO Estado: Bueno Placa anterior: 000006690 Material: ACERO INOXIDABLE Color: ACERO INOX. Referencia:  Observacion:  Placa padre: Tipo adquisicion: Entidad</v>
      </c>
      <c r="G13906" s="5"/>
    </row>
    <row r="13907" spans="1:7" ht="58.5" customHeight="1" x14ac:dyDescent="0.25">
      <c r="A13907" s="5" t="str">
        <f>"H0000806"</f>
        <v>H0000806</v>
      </c>
      <c r="B13907" s="5" t="str">
        <f>"MESA METALICA PARA COMPUTADOR"</f>
        <v>MESA METALICA PARA COMPUTADOR</v>
      </c>
      <c r="C13907" s="6">
        <v>6952</v>
      </c>
      <c r="D13907" s="5"/>
      <c r="E13907" s="5" t="str">
        <f t="shared" si="715"/>
        <v>CONSULTORIO 13-CONSULTA EXTERNA</v>
      </c>
      <c r="F13907" s="5" t="str">
        <f>"Descripcion: MESA TIPO H (MECANOGRAFA CON ALA) CUBRIMIENTO EN FORMICA COLOR MADERA CLARO BASE METALICA CON PORTA TECLADO MEDIDAS: 74.5X150X60 CM.  PORTA CPU 40X20CM Estado: Bueno Placa anterior: 000005928 Material: BASE METALICA, CUBRIMIENTO DE MESA EN FO"&amp; "RMICA COLOR MADERA CLARO Color: BASE COLOR GRIS Y MESON MADERA CLARO Referencia:  Observacion:  Placa padre: Tipo adquisicion: Entidad"</f>
        <v>Descripcion: MESA TIPO H (MECANOGRAFA CON ALA) CUBRIMIENTO EN FORMICA COLOR MADERA CLARO BASE METALICA CON PORTA TECLADO MEDIDAS: 74.5X150X60 CM.  PORTA CPU 40X20CM Estado: Bueno Placa anterior: 000005928 Material: BASE METALICA, CUBRIMIENTO DE MESA EN FORMICA COLOR MADERA CLARO Color: BASE COLOR GRIS Y MESON MADERA CLARO Referencia:  Observacion:  Placa padre: Tipo adquisicion: Entidad</v>
      </c>
      <c r="G13907" s="5"/>
    </row>
    <row r="13908" spans="1:7" ht="58.5" customHeight="1" x14ac:dyDescent="0.25">
      <c r="A13908" s="5" t="str">
        <f>"H0000807"</f>
        <v>H0000807</v>
      </c>
      <c r="B13908" s="5" t="str">
        <f>"ESTABILIZADOR (REGULADOR) DE ENERGIA 1KW"</f>
        <v>ESTABILIZADOR (REGULADOR) DE ENERGIA 1KW</v>
      </c>
      <c r="C13908" s="6">
        <v>1740000</v>
      </c>
      <c r="D13908" s="5"/>
      <c r="E13908" s="5" t="str">
        <f t="shared" si="715"/>
        <v>CONSULTORIO 13-CONSULTA EXTERNA</v>
      </c>
      <c r="F13908" s="5" t="str">
        <f>"Descripcion: ESTABILIZADOR MARCA NEW LINE Estado: Bueno Placa anterior: 000005937 Material:  Color: NEGRO Referencia:  Observacion:  Placa padre: H0000801Tipo adquisicion: Entidad"</f>
        <v>Descripcion: ESTABILIZADOR MARCA NEW LINE Estado: Bueno Placa anterior: 000005937 Material:  Color: NEGRO Referencia:  Observacion:  Placa padre: H0000801Tipo adquisicion: Entidad</v>
      </c>
      <c r="G13908" s="5"/>
    </row>
    <row r="13909" spans="1:7" ht="58.5" customHeight="1" x14ac:dyDescent="0.25">
      <c r="A13909" s="5" t="str">
        <f>"H0000808"</f>
        <v>H0000808</v>
      </c>
      <c r="B13909" s="5" t="str">
        <f>"SILLA INTERLOCUTORA (FIJA) SIN BRAZOS"</f>
        <v>SILLA INTERLOCUTORA (FIJA) SIN BRAZOS</v>
      </c>
      <c r="C13909" s="6">
        <v>6949.64</v>
      </c>
      <c r="D13909" s="5"/>
      <c r="E13909" s="5" t="str">
        <f t="shared" si="715"/>
        <v>CONSULTORIO 13-CONSULTA EXTERNA</v>
      </c>
      <c r="F13909" s="5" t="str">
        <f>"Descripcion: SILLA FIJA TIPO A COLOR GRIS Estado: Bueno Placa anterior: 000027443 Material: TAPIZADO Color: GRIS Referencia:  Observacion:  Placa padre: Tipo adquisicion: Entidad"</f>
        <v>Descripcion: SILLA FIJA TIPO A COLOR GRIS Estado: Bueno Placa anterior: 000027443 Material: TAPIZADO Color: GRIS Referencia:  Observacion:  Placa padre: Tipo adquisicion: Entidad</v>
      </c>
      <c r="G13909" s="5"/>
    </row>
    <row r="13910" spans="1:7" ht="58.5" customHeight="1" x14ac:dyDescent="0.25">
      <c r="A13910" s="5" t="str">
        <f>"H0000809"</f>
        <v>H0000809</v>
      </c>
      <c r="B13910" s="5" t="str">
        <f>"SILLA INTERLOCUTORA (FIJA) SIN BRAZOS"</f>
        <v>SILLA INTERLOCUTORA (FIJA) SIN BRAZOS</v>
      </c>
      <c r="C13910" s="6">
        <v>6949.69</v>
      </c>
      <c r="D13910" s="5"/>
      <c r="E13910" s="5" t="str">
        <f t="shared" si="715"/>
        <v>CONSULTORIO 13-CONSULTA EXTERNA</v>
      </c>
      <c r="F13910" s="5" t="str">
        <f>"Descripcion: SILLA FIJA TIPO A COLOR GRIS Estado: Bueno Placa anterior: 000027453 Material: TAPIZADO Color: GRIS Referencia:  Observacion:  Placa padre: Tipo adquisicion: Entidad"</f>
        <v>Descripcion: SILLA FIJA TIPO A COLOR GRIS Estado: Bueno Placa anterior: 000027453 Material: TAPIZADO Color: GRIS Referencia:  Observacion:  Placa padre: Tipo adquisicion: Entidad</v>
      </c>
      <c r="G13910" s="5"/>
    </row>
    <row r="13911" spans="1:7" ht="58.5" customHeight="1" x14ac:dyDescent="0.25">
      <c r="A13911" s="5" t="str">
        <f>"H0000810"</f>
        <v>H0000810</v>
      </c>
      <c r="B13911" s="5" t="str">
        <f>"SILLA INTERLOCUTORA (FIJA) SIN BRAZOS"</f>
        <v>SILLA INTERLOCUTORA (FIJA) SIN BRAZOS</v>
      </c>
      <c r="C13911" s="6">
        <v>9679.7000000000007</v>
      </c>
      <c r="D13911" s="5"/>
      <c r="E13911" s="5" t="str">
        <f t="shared" si="715"/>
        <v>CONSULTORIO 13-CONSULTA EXTERNA</v>
      </c>
      <c r="F13911" s="5" t="str">
        <f>"Descripcion: SILLA FIJA TIPO A COLOR GRIS Estado: Bueno Placa anterior: 000025363 Material: TAPIZADO Color: GRIS Referencia:  Observacion:  Placa padre: Tipo adquisicion: Entidad"</f>
        <v>Descripcion: SILLA FIJA TIPO A COLOR GRIS Estado: Bueno Placa anterior: 000025363 Material: TAPIZADO Color: GRIS Referencia:  Observacion:  Placa padre: Tipo adquisicion: Entidad</v>
      </c>
      <c r="G13911" s="5"/>
    </row>
    <row r="13912" spans="1:7" ht="58.5" customHeight="1" x14ac:dyDescent="0.25">
      <c r="A13912" s="5" t="str">
        <f>"H0000814"</f>
        <v>H0000814</v>
      </c>
      <c r="B13912" s="5" t="str">
        <f>"ESCALERILLA DE 2 PASOS"</f>
        <v>ESCALERILLA DE 2 PASOS</v>
      </c>
      <c r="C13912" s="6">
        <v>4826</v>
      </c>
      <c r="D13912" s="5"/>
      <c r="E13912" s="5" t="str">
        <f t="shared" si="715"/>
        <v>CONSULTORIO 13-CONSULTA EXTERNA</v>
      </c>
      <c r="F13912" s="5" t="str">
        <f>"Descripcion: ESCALERA TIPO B (2 PASOS) Estado: Bueno Placa anterior: 000005927 Material: METALICA Color: BEIGE Referencia:  Observacion: POASOS EN MADERA Placa padre: Tipo adquisicion: Entidad"</f>
        <v>Descripcion: ESCALERA TIPO B (2 PASOS) Estado: Bueno Placa anterior: 000005927 Material: METALICA Color: BEIGE Referencia:  Observacion: POASOS EN MADERA Placa padre: Tipo adquisicion: Entidad</v>
      </c>
      <c r="G13912" s="5"/>
    </row>
    <row r="13913" spans="1:7" ht="58.5" customHeight="1" x14ac:dyDescent="0.25">
      <c r="A13913" s="5" t="str">
        <f>"H0000815"</f>
        <v>H0000815</v>
      </c>
      <c r="B13913" s="5" t="str">
        <f>"CAMILLA FIJA (TIPO DIVAN)"</f>
        <v>CAMILLA FIJA (TIPO DIVAN)</v>
      </c>
      <c r="C13913" s="6">
        <v>303600</v>
      </c>
      <c r="D13913" s="5"/>
      <c r="E13913" s="5" t="str">
        <f t="shared" si="715"/>
        <v>CONSULTORIO 13-CONSULTA EXTERNA</v>
      </c>
      <c r="F13913" s="5" t="str">
        <f>"Descripcion: CAMILLA FIJA METÁLICA CON COLCHONETA ADHERIDA COLOR MARRÓN EN SEMICUERO DE 72X180X55 CM. Estado: Bueno Placa anterior: 000033225 Material: BESE METALICA Color: CAFE CLARO Referencia:  Observacion: AUTORIZADO CONCILIAR EN CRUCE GENERAL Placa p"&amp; "adre: Tipo adquisicion: Entidad"</f>
        <v>Descripcion: CAMILLA FIJA METÁLICA CON COLCHONETA ADHERIDA COLOR MARRÓN EN SEMICUERO DE 72X180X55 CM. Estado: Bueno Placa anterior: 000033225 Material: BESE METALICA Color: CAFE CLARO Referencia:  Observacion: AUTORIZADO CONCILIAR EN CRUCE GENERAL Placa padre: Tipo adquisicion: Entidad</v>
      </c>
      <c r="G13913" s="5"/>
    </row>
    <row r="13914" spans="1:7" ht="58.5" customHeight="1" x14ac:dyDescent="0.25">
      <c r="A13914" s="5" t="str">
        <f>"H0000818"</f>
        <v>H0000818</v>
      </c>
      <c r="B13914" s="5" t="str">
        <f>"NEGATOSCOPIO"</f>
        <v>NEGATOSCOPIO</v>
      </c>
      <c r="C13914" s="6">
        <v>15208</v>
      </c>
      <c r="D13914" s="5"/>
      <c r="E13914" s="5" t="str">
        <f t="shared" si="715"/>
        <v>CONSULTORIO 13-CONSULTA EXTERNA</v>
      </c>
      <c r="F13914" s="5" t="str">
        <f>"Descripcion: NEGATOSCOPIO DE 1 CUERPO Estado: Bueno Placa anterior: 000005924 Material: METALICO CON ACRILICO Color: BEIGE Referencia:  Observacion:  Placa padre: Tipo adquisicion: Entidad"</f>
        <v>Descripcion: NEGATOSCOPIO DE 1 CUERPO Estado: Bueno Placa anterior: 000005924 Material: METALICO CON ACRILICO Color: BEIGE Referencia:  Observacion:  Placa padre: Tipo adquisicion: Entidad</v>
      </c>
      <c r="G13914" s="5" t="str">
        <f>"1 CUERPO"</f>
        <v>1 CUERPO</v>
      </c>
    </row>
    <row r="13915" spans="1:7" ht="58.5" customHeight="1" x14ac:dyDescent="0.25">
      <c r="A13915" s="5" t="str">
        <f>"H0000819"</f>
        <v>H0000819</v>
      </c>
      <c r="B13915" s="5" t="str">
        <f>"MESA (CARRO) DE CURACIONES"</f>
        <v>MESA (CARRO) DE CURACIONES</v>
      </c>
      <c r="C13915" s="6">
        <v>18975</v>
      </c>
      <c r="D13915" s="5"/>
      <c r="E13915" s="5" t="str">
        <f t="shared" si="715"/>
        <v>CONSULTORIO 13-CONSULTA EXTERNA</v>
      </c>
      <c r="F13915" s="5" t="str">
        <f>"Descripcion: MESA METALICA CON RODACHINES BASE EN ACERO INOXIDABLE, MEDIDAS: 85X51X34CM Estado: Bueno Placa anterior: 000005160 Material: BASE METALICA CON MESA EN ACERO INOXIDABLE Color: BEIGE Referencia:  Observacion:  Placa padre: Tipo adquisicion: Ent"&amp; "idad"</f>
        <v>Descripcion: MESA METALICA CON RODACHINES BASE EN ACERO INOXIDABLE, MEDIDAS: 85X51X34CM Estado: Bueno Placa anterior: 000005160 Material: BASE METALICA CON MESA EN ACERO INOXIDABLE Color: BEIGE Referencia:  Observacion:  Placa padre: Tipo adquisicion: Entidad</v>
      </c>
      <c r="G13915" s="5" t="str">
        <f>"1 ENTREPAÑO"</f>
        <v>1 ENTREPAÑO</v>
      </c>
    </row>
    <row r="13916" spans="1:7" ht="58.5" customHeight="1" x14ac:dyDescent="0.25">
      <c r="A13916" s="5" t="str">
        <f>"H0000820"</f>
        <v>H0000820</v>
      </c>
      <c r="B13916" s="5" t="str">
        <f>"POTE (TARRO) ACERO INXODABLE CON TAPA MEDIANO"</f>
        <v>POTE (TARRO) ACERO INXODABLE CON TAPA MEDIANO</v>
      </c>
      <c r="C13916" s="6">
        <v>4500</v>
      </c>
      <c r="D13916" s="5"/>
      <c r="E13916" s="5" t="str">
        <f t="shared" si="715"/>
        <v>CONSULTORIO 13-CONSULTA EXTERNA</v>
      </c>
      <c r="F13916" s="5" t="str">
        <f>"Descripcion: TARRO NIQUELADO Estado: Bueno Placa anterior: 000005933 Material: ACERO INOXIDABLE Color: ACERO Referencia:  Observacion:  Placa padre: Tipo adquisicion: Entidad"</f>
        <v>Descripcion: TARRO NIQUELADO Estado: Bueno Placa anterior: 000005933 Material: ACERO INOXIDABLE Color: ACERO Referencia:  Observacion:  Placa padre: Tipo adquisicion: Entidad</v>
      </c>
      <c r="G13916" s="5"/>
    </row>
    <row r="13917" spans="1:7" ht="58.5" customHeight="1" x14ac:dyDescent="0.25">
      <c r="A13917" s="5" t="str">
        <f>"H0000822"</f>
        <v>H0000822</v>
      </c>
      <c r="B13917" s="5" t="str">
        <f>"CUBETA DE ACERO INOXIDABLE CON TAPA PEQUEÑA"</f>
        <v>CUBETA DE ACERO INOXIDABLE CON TAPA PEQUEÑA</v>
      </c>
      <c r="C13917" s="6">
        <v>5815.6</v>
      </c>
      <c r="D13917" s="5"/>
      <c r="E13917" s="5" t="str">
        <f t="shared" si="715"/>
        <v>CONSULTORIO 13-CONSULTA EXTERNA</v>
      </c>
      <c r="F13917" s="5" t="str">
        <f>"Descripcion: CUBETA EN ACERO INOX.PEQUEÑA C/TAPA Estado: Bueno Placa anterior: 000005931 Material: METALICO Color: ACERO INOX. Referencia:  Observacion:  Placa padre: Tipo adquisicion: Entidad"</f>
        <v>Descripcion: CUBETA EN ACERO INOX.PEQUEÑA C/TAPA Estado: Bueno Placa anterior: 000005931 Material: METALICO Color: ACERO INOX. Referencia:  Observacion:  Placa padre: Tipo adquisicion: Entidad</v>
      </c>
      <c r="G13917" s="5" t="str">
        <f>"CON TAPA"</f>
        <v>CON TAPA</v>
      </c>
    </row>
    <row r="13918" spans="1:7" ht="58.5" customHeight="1" x14ac:dyDescent="0.25">
      <c r="A13918" s="5" t="str">
        <f>"H0000829"</f>
        <v>H0000829</v>
      </c>
      <c r="B13918" s="5" t="str">
        <f>"MESA (SUPERFICIE) MODULAR"</f>
        <v>MESA (SUPERFICIE) MODULAR</v>
      </c>
      <c r="C13918" s="6">
        <v>77520</v>
      </c>
      <c r="D13918" s="5"/>
      <c r="E13918" s="5" t="str">
        <f t="shared" si="715"/>
        <v>CONSULTORIO 13-CONSULTA EXTERNA</v>
      </c>
      <c r="F13918" s="5" t="str">
        <f>"Descripcion: MESA PARA IMPRESORA EN MADERA CON 1 ENTREPAÑO. MEDIDAS: 74X60X60 Estado: Bueno Placa anterior: 000005853 Material: MADERA, CON CUBRIMIENTO EN FORMICA Color: NEGRO CON BEIGE Referencia:  Observacion:  Placa padre: Tipo adquisicion: Entidad"</f>
        <v>Descripcion: MESA PARA IMPRESORA EN MADERA CON 1 ENTREPAÑO. MEDIDAS: 74X60X60 Estado: Bueno Placa anterior: 000005853 Material: MADERA, CON CUBRIMIENTO EN FORMICA Color: NEGRO CON BEIGE Referencia:  Observacion:  Placa padre: Tipo adquisicion: Entidad</v>
      </c>
      <c r="G13918" s="5"/>
    </row>
    <row r="13919" spans="1:7" ht="58.5" customHeight="1" x14ac:dyDescent="0.25">
      <c r="A13919" s="5" t="str">
        <f>"H0000832"</f>
        <v>H0000832</v>
      </c>
      <c r="B13919" s="5" t="str">
        <f>"SILLA INTERLOCUTORA (FIJA) SIN BRAZOS"</f>
        <v>SILLA INTERLOCUTORA (FIJA) SIN BRAZOS</v>
      </c>
      <c r="C13919" s="6">
        <v>6949.69</v>
      </c>
      <c r="D13919" s="5"/>
      <c r="E13919" s="5" t="str">
        <f t="shared" si="715"/>
        <v>CONSULTORIO 13-CONSULTA EXTERNA</v>
      </c>
      <c r="F13919" s="5" t="str">
        <f>"Descripcion: SILLA FIJA TIPO A COLOR GRIS TAPIZADA Estado: Bueno Placa anterior: 000005920 Material: MATALICA TAPIZADA EN SEMICUERO Color: GRIS Referencia:  Observacion:  Placa padre: Tipo adquisicion: Entidad"</f>
        <v>Descripcion: SILLA FIJA TIPO A COLOR GRIS TAPIZADA Estado: Bueno Placa anterior: 000005920 Material: MATALICA TAPIZADA EN SEMICUERO Color: GRIS Referencia:  Observacion:  Placa padre: Tipo adquisicion: Entidad</v>
      </c>
      <c r="G13919" s="5"/>
    </row>
    <row r="13920" spans="1:7" ht="58.5" customHeight="1" x14ac:dyDescent="0.25">
      <c r="A13920" s="5" t="str">
        <f>"H0000833"</f>
        <v>H0000833</v>
      </c>
      <c r="B13920" s="5" t="str">
        <f>"MESA DE MADERA"</f>
        <v>MESA DE MADERA</v>
      </c>
      <c r="C13920" s="6">
        <v>15200</v>
      </c>
      <c r="D13920" s="5"/>
      <c r="E13920" s="5" t="str">
        <f t="shared" si="715"/>
        <v>CONSULTORIO 13-CONSULTA EXTERNA</v>
      </c>
      <c r="F13920" s="5" t="str">
        <f>"Descripcion: MESA DE MADERA ESCALONADA TELEFONERA Estado: Bueno Placa anterior: 000005972 Material: MADERA Color: GRIS Referencia:  Observacion:  Placa padre: Tipo adquisicion: Entidad"</f>
        <v>Descripcion: MESA DE MADERA ESCALONADA TELEFONERA Estado: Bueno Placa anterior: 000005972 Material: MADERA Color: GRIS Referencia:  Observacion:  Placa padre: Tipo adquisicion: Entidad</v>
      </c>
      <c r="G13920" s="5"/>
    </row>
    <row r="13921" spans="1:7" ht="58.5" customHeight="1" x14ac:dyDescent="0.25">
      <c r="A13921" s="5" t="str">
        <f>"H0000835"</f>
        <v>H0000835</v>
      </c>
      <c r="B13921" s="5" t="str">
        <f>"SILLA INTERLOCUTORA (FIJA) SIN BRAZOS"</f>
        <v>SILLA INTERLOCUTORA (FIJA) SIN BRAZOS</v>
      </c>
      <c r="C13921" s="6">
        <v>6969.84</v>
      </c>
      <c r="D13921" s="5"/>
      <c r="E13921" s="5" t="str">
        <f t="shared" si="715"/>
        <v>CONSULTORIO 13-CONSULTA EXTERNA</v>
      </c>
      <c r="F13921" s="5" t="str">
        <f>"Descripcion: SILLA FIJA TIPO A COLOR NEGRO Estado: Bueno Placa anterior: 000004722 Material: ESTRUCTURA METALICA TAPIZADA EN SEMICUERO Color: NEGRO Referencia:  Observacion:  Placa padre: Tipo adquisicion: Entidad"</f>
        <v>Descripcion: SILLA FIJA TIPO A COLOR NEGRO Estado: Bueno Placa anterior: 000004722 Material: ESTRUCTURA METALICA TAPIZADA EN SEMICUERO Color: NEGRO Referencia:  Observacion:  Placa padre: Tipo adquisicion: Entidad</v>
      </c>
      <c r="G13921" s="5"/>
    </row>
    <row r="13922" spans="1:7" ht="58.5" customHeight="1" x14ac:dyDescent="0.25">
      <c r="A13922" s="5" t="str">
        <f>"H0002030"</f>
        <v>H0002030</v>
      </c>
      <c r="B13922" s="5" t="str">
        <f>"TENSIOMETRO ANEROIDE DE PARED ADULTO"</f>
        <v>TENSIOMETRO ANEROIDE DE PARED ADULTO</v>
      </c>
      <c r="C13922" s="6">
        <v>464000</v>
      </c>
      <c r="D13922" s="5"/>
      <c r="E13922" s="5" t="str">
        <f t="shared" si="715"/>
        <v>CONSULTORIO 13-CONSULTA EXTERNA</v>
      </c>
      <c r="F13922" s="5" t="str">
        <f>"Descripcion:TENSIOMETRO ADULTO DE PARED, CON BRAZALETE COLOR NEGRO Estado: Excelente Placa anterior: 000039086 Material: PASTA Color: AZUL Y GRIS Referencia:  Observacion:  Placa padre:  Tipo adquisicion : Entidad"</f>
        <v>Descripcion:TENSIOMETRO ADULTO DE PARED, CON BRAZALETE COLOR NEGRO Estado: Excelente Placa anterior: 000039086 Material: PASTA Color: AZUL Y GRIS Referencia:  Observacion:  Placa padre:  Tipo adquisicion : Entidad</v>
      </c>
      <c r="G13922" s="5" t="str">
        <f>"BIG BEN ROUND 1450"</f>
        <v>BIG BEN ROUND 1450</v>
      </c>
    </row>
    <row r="13923" spans="1:7" ht="58.5" customHeight="1" x14ac:dyDescent="0.25">
      <c r="A13923" s="5" t="str">
        <f>"H0002065"</f>
        <v>H0002065</v>
      </c>
      <c r="B13923" s="5" t="str">
        <f>"BALANZA DIGITAL DE PISO (PESO) CON TALLIMETRO"</f>
        <v>BALANZA DIGITAL DE PISO (PESO) CON TALLIMETRO</v>
      </c>
      <c r="C13923" s="6">
        <v>2030000</v>
      </c>
      <c r="D13923" s="5"/>
      <c r="E13923" s="5" t="str">
        <f t="shared" si="715"/>
        <v>CONSULTORIO 13-CONSULTA EXTERNA</v>
      </c>
      <c r="F13923" s="5" t="str">
        <f>"Descripcion:BASCULAS CON TALIMETRO DIGITAL Estado: Excelente Placa anterior: 000039041 Material: PASTA Color: BLANCO Referencia:  Observacion:  Placa padre:  Tipo adquisicion : Entidad"</f>
        <v>Descripcion:BASCULAS CON TALIMETRO DIGITAL Estado: Excelente Placa anterior: 000039041 Material: PASTA Color: BLANCO Referencia:  Observacion:  Placa padre:  Tipo adquisicion : Entidad</v>
      </c>
      <c r="G13923" s="5" t="str">
        <f>"H-150-10-5"</f>
        <v>H-150-10-5</v>
      </c>
    </row>
    <row r="13924" spans="1:7" ht="58.5" customHeight="1" x14ac:dyDescent="0.25">
      <c r="A13924" s="5" t="str">
        <f>"H0022438"</f>
        <v>H0022438</v>
      </c>
      <c r="B13924" s="5" t="str">
        <f>"KIT TERMOMETRO + FONENDOSCOPIO PEDIATRICO"</f>
        <v>KIT TERMOMETRO + FONENDOSCOPIO PEDIATRICO</v>
      </c>
      <c r="C13924" s="6">
        <v>81200</v>
      </c>
      <c r="D13924" s="5" t="s">
        <v>455</v>
      </c>
      <c r="E13924" s="5" t="str">
        <f t="shared" si="715"/>
        <v>CONSULTORIO 13-CONSULTA EXTERNA</v>
      </c>
      <c r="F13924" s="5"/>
      <c r="G13924" s="5"/>
    </row>
    <row r="13925" spans="1:7" ht="58.5" customHeight="1" x14ac:dyDescent="0.25">
      <c r="A13925" s="5" t="str">
        <f>"H0024592"</f>
        <v>H0024592</v>
      </c>
      <c r="B1392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925" s="6">
        <v>2600000</v>
      </c>
      <c r="D13925" s="5" t="s">
        <v>36</v>
      </c>
      <c r="E13925" s="5" t="str">
        <f t="shared" si="715"/>
        <v>CONSULTORIO 13-CONSULTA EXTERNA</v>
      </c>
      <c r="F13925" s="5"/>
      <c r="G13925" s="5"/>
    </row>
    <row r="13926" spans="1:7" ht="58.5" customHeight="1" x14ac:dyDescent="0.25">
      <c r="A13926" s="5" t="str">
        <f>"H0025414"</f>
        <v>H0025414</v>
      </c>
      <c r="B1392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26" s="6">
        <v>312156</v>
      </c>
      <c r="D13926" s="5" t="s">
        <v>10</v>
      </c>
      <c r="E13926" s="5" t="str">
        <f t="shared" si="715"/>
        <v>CONSULTORIO 13-CONSULTA EXTERNA</v>
      </c>
      <c r="F13926" s="5"/>
      <c r="G13926" s="5"/>
    </row>
    <row r="13927" spans="1:7" ht="58.5" customHeight="1" x14ac:dyDescent="0.25">
      <c r="A13927" s="5" t="str">
        <f>"H0027536"</f>
        <v>H0027536</v>
      </c>
      <c r="B13927" s="5" t="str">
        <f>"LECTOR DE HUELLAS DIGITALES"</f>
        <v>LECTOR DE HUELLAS DIGITALES</v>
      </c>
      <c r="C13927" s="6">
        <v>234000.41</v>
      </c>
      <c r="D13927" s="5" t="s">
        <v>83</v>
      </c>
      <c r="E13927" s="5" t="str">
        <f t="shared" si="715"/>
        <v>CONSULTORIO 13-CONSULTA EXTERNA</v>
      </c>
      <c r="F13927" s="5"/>
      <c r="G13927" s="5"/>
    </row>
    <row r="13928" spans="1:7" ht="58.5" customHeight="1" x14ac:dyDescent="0.25">
      <c r="A13928" s="5" t="str">
        <f>"H0031406"</f>
        <v>H0031406</v>
      </c>
      <c r="B13928" s="5" t="str">
        <f>"UPS Online 2 KVA Monofásica de 5 Minutos. 110 Vac in 50-60 Hz NEMA 5-20P. 4 Salidas 110 Vac NEMA 5-15R. Display. Alarmas. Tarjeta de Red SNMP."</f>
        <v>UPS Online 2 KVA Monofásica de 5 Minutos. 110 Vac in 50-60 Hz NEMA 5-20P. 4 Salidas 110 Vac NEMA 5-15R. Display. Alarmas. Tarjeta de Red SNMP.</v>
      </c>
      <c r="C13928" s="6">
        <v>1939700</v>
      </c>
      <c r="D13928" s="5" t="s">
        <v>473</v>
      </c>
      <c r="E13928" s="5" t="str">
        <f t="shared" si="715"/>
        <v>CONSULTORIO 13-CONSULTA EXTERNA</v>
      </c>
      <c r="F13928" s="5"/>
      <c r="G13928" s="5"/>
    </row>
    <row r="13929" spans="1:7" ht="58.5" customHeight="1" x14ac:dyDescent="0.25">
      <c r="A13929" s="5" t="str">
        <f>"H0037130"</f>
        <v>H0037130</v>
      </c>
      <c r="B13929" s="5" t="str">
        <f>"TALLIMETRO CAPACIDAD 20-205 CM (DONACION)"</f>
        <v>TALLIMETRO CAPACIDAD 20-205 CM (DONACION)</v>
      </c>
      <c r="C13929" s="6">
        <v>1254705.99</v>
      </c>
      <c r="D13929" s="5" t="s">
        <v>136</v>
      </c>
      <c r="E13929" s="5" t="str">
        <f t="shared" si="715"/>
        <v>CONSULTORIO 13-CONSULTA EXTERNA</v>
      </c>
      <c r="F13929" s="5"/>
      <c r="G13929" s="5"/>
    </row>
    <row r="13930" spans="1:7" ht="58.5" customHeight="1" x14ac:dyDescent="0.25">
      <c r="A13930" s="5" t="str">
        <f>"H0037197"</f>
        <v>H0037197</v>
      </c>
      <c r="B13930" s="5" t="str">
        <f>"BASCULA: Capacidad: 200 kg, División: 100 g &lt; 150 kg &gt; 200 g, Dimensiones (AxAxP):321 x 61 x 362 mm, Peso: 4,1 kg"</f>
        <v>BASCULA: Capacidad: 200 kg, División: 100 g &lt; 150 kg &gt; 200 g, Dimensiones (AxAxP):321 x 61 x 362 mm, Peso: 4,1 kg</v>
      </c>
      <c r="C13930" s="6">
        <v>3588386.01</v>
      </c>
      <c r="D13930" s="5" t="s">
        <v>160</v>
      </c>
      <c r="E13930" s="5" t="str">
        <f t="shared" si="715"/>
        <v>CONSULTORIO 13-CONSULTA EXTERNA</v>
      </c>
      <c r="F13930" s="5"/>
      <c r="G13930" s="5"/>
    </row>
    <row r="13931" spans="1:7" ht="58.5" customHeight="1" x14ac:dyDescent="0.25">
      <c r="A13931" s="5" t="str">
        <f>"B0000243"</f>
        <v>B0000243</v>
      </c>
      <c r="B13931" s="5" t="str">
        <f>"EQUIPO ORGANOS DE LOS SENTIDOS PORTATIL"</f>
        <v>EQUIPO ORGANOS DE LOS SENTIDOS PORTATIL</v>
      </c>
      <c r="C13931" s="6">
        <v>928000</v>
      </c>
      <c r="D13931" s="5"/>
      <c r="E13931" s="5" t="str">
        <f t="shared" ref="E13931:E13959" si="716">"CONSULTORIO 14-CONSULTA EXTERNA"</f>
        <v>CONSULTORIO 14-CONSULTA EXTERNA</v>
      </c>
      <c r="F13931" s="5" t="str">
        <f>"Descripcion:EQUIPO ORGANO DE LOS SENTIDOS, 2 PIEZAS OTOSCOPIO Y OFTALMOSCOPIO Estado: Excelente Placa anterior: 000039068 Material: PASTA Y CAUCHO Color: NEGRO Referencia:  Observacion:  Placa padre:  Tipo adquisicion : Entidad"</f>
        <v>Descripcion:EQUIPO ORGANO DE LOS SENTIDOS, 2 PIEZAS OTOSCOPIO Y OFTALMOSCOPIO Estado: Excelente Placa anterior: 000039068 Material: PASTA Y CAUCHO Color: NEGRO Referencia:  Observacion:  Placa padre:  Tipo adquisicion : Entidad</v>
      </c>
      <c r="G13931" s="5" t="str">
        <f>"92871-BLK"</f>
        <v>92871-BLK</v>
      </c>
    </row>
    <row r="13932" spans="1:7" ht="58.5" customHeight="1" x14ac:dyDescent="0.25">
      <c r="A13932" s="5" t="str">
        <f>"B0000250"</f>
        <v>B0000250</v>
      </c>
      <c r="B13932" s="5" t="str">
        <f>"EQUIPO ORGANOS DE LOS SENTIDOS PORTATIL"</f>
        <v>EQUIPO ORGANOS DE LOS SENTIDOS PORTATIL</v>
      </c>
      <c r="C13932" s="6">
        <v>928000</v>
      </c>
      <c r="D13932" s="5"/>
      <c r="E13932" s="5" t="str">
        <f t="shared" si="716"/>
        <v>CONSULTORIO 14-CONSULTA EXTERNA</v>
      </c>
      <c r="F13932" s="5" t="str">
        <f>"Descripcion:EQUIPO ORGANO DE LOS SENTIDOS, 2 PIEZAS OTOSCOPIO Y OFTALMOSCOPIO Estado: Excelente Placa anterior: 000039074 Material: PASTA Y CAUCHO Color: NEGRO Referencia:  Observacion:  Placa padre:  Tipo adquisicion : Entidad"</f>
        <v>Descripcion:EQUIPO ORGANO DE LOS SENTIDOS, 2 PIEZAS OTOSCOPIO Y OFTALMOSCOPIO Estado: Excelente Placa anterior: 000039074 Material: PASTA Y CAUCHO Color: NEGRO Referencia:  Observacion:  Placa padre:  Tipo adquisicion : Entidad</v>
      </c>
      <c r="G13932" s="5" t="str">
        <f>"92871-BLK"</f>
        <v>92871-BLK</v>
      </c>
    </row>
    <row r="13933" spans="1:7" ht="58.5" customHeight="1" x14ac:dyDescent="0.25">
      <c r="A13933" s="5" t="str">
        <f>"B0005489"</f>
        <v>B0005489</v>
      </c>
      <c r="B13933" s="5" t="str">
        <f>"EQUIPO ORGANOS DE LOS SENTIDOS PORTATIL"</f>
        <v>EQUIPO ORGANOS DE LOS SENTIDOS PORTATIL</v>
      </c>
      <c r="C13933" s="6">
        <v>111761.11</v>
      </c>
      <c r="D13933" s="5"/>
      <c r="E13933" s="5" t="str">
        <f t="shared" si="716"/>
        <v>CONSULTORIO 14-CONSULTA EXTERNA</v>
      </c>
      <c r="F13933" s="5" t="str">
        <f>"Descripcion: EQUIPO DE ORGANOS DE LOS SENTIDOS Estado: Bueno Placa anterior: 000006135 Material: ACERO INOXIDABLE Color: PLATEADO Referencia:  Observacion: AUTORIZADO CONCILIAR EN CRUCE GENERAL Placa padre: Tipo adquisicion: Entidad"</f>
        <v>Descripcion: EQUIPO DE ORGANOS DE LOS SENTIDOS Estado: Bueno Placa anterior: 000006135 Material: ACERO INOXIDABLE Color: PLATEADO Referencia:  Observacion: AUTORIZADO CONCILIAR EN CRUCE GENERAL Placa padre: Tipo adquisicion: Entidad</v>
      </c>
      <c r="G13933" s="5"/>
    </row>
    <row r="13934" spans="1:7" ht="58.5" customHeight="1" x14ac:dyDescent="0.25">
      <c r="A13934" s="5" t="str">
        <f>"H0000602"</f>
        <v>H0000602</v>
      </c>
      <c r="B13934" s="5" t="str">
        <f>"CAMILLA FIJA (TIPO DIVAN)"</f>
        <v>CAMILLA FIJA (TIPO DIVAN)</v>
      </c>
      <c r="C13934" s="6">
        <v>245647</v>
      </c>
      <c r="D13934" s="5" t="s">
        <v>642</v>
      </c>
      <c r="E13934" s="5" t="str">
        <f t="shared" si="716"/>
        <v>CONSULTORIO 14-CONSULTA EXTERNA</v>
      </c>
      <c r="F13934" s="5" t="str">
        <f>"Descripcion: CAMILLA FIJA 66X80X56 CON COLCHON NEGRO ADHERIDO  Estado: Bueno Placa anterior: 000036299 Material: METALICO, CUERO Color: BLANCO Referencia:  Observacion:  Placa padre: Tipo adquisicion: Entidad"</f>
        <v>Descripcion: CAMILLA FIJA 66X80X56 CON COLCHON NEGRO ADHERIDO  Estado: Bueno Placa anterior: 000036299 Material: METALICO, CUERO Color: BLANCO Referencia:  Observacion:  Placa padre: Tipo adquisicion: Entidad</v>
      </c>
      <c r="G13934" s="5"/>
    </row>
    <row r="13935" spans="1:7" ht="58.5" customHeight="1" x14ac:dyDescent="0.25">
      <c r="A13935" s="5" t="str">
        <f>"H0000603"</f>
        <v>H0000603</v>
      </c>
      <c r="B13935" s="5" t="str">
        <f>"ESCALERILLA DE 2 PASOS"</f>
        <v>ESCALERILLA DE 2 PASOS</v>
      </c>
      <c r="C13935" s="6">
        <v>4826</v>
      </c>
      <c r="D13935" s="5"/>
      <c r="E13935" s="5" t="str">
        <f t="shared" si="716"/>
        <v>CONSULTORIO 14-CONSULTA EXTERNA</v>
      </c>
      <c r="F13935" s="5" t="str">
        <f>"Descripcion: ESCALA TIPO B (2 PASOS) Estado: Bueno Placa anterior: 000005946 Material: METALICO Color: GRIS Referencia:  Observacion:  Placa padre: Tipo adquisicion: Entidad"</f>
        <v>Descripcion: ESCALA TIPO B (2 PASOS) Estado: Bueno Placa anterior: 000005946 Material: METALICO Color: GRIS Referencia:  Observacion:  Placa padre: Tipo adquisicion: Entidad</v>
      </c>
      <c r="G13935" s="5"/>
    </row>
    <row r="13936" spans="1:7" ht="58.5" customHeight="1" x14ac:dyDescent="0.25">
      <c r="A13936" s="5" t="str">
        <f>"H0000605"</f>
        <v>H0000605</v>
      </c>
      <c r="B13936" s="5" t="str">
        <f>"SILLA INTERLOCUTORA (FIJA) SIN BRAZOS"</f>
        <v>SILLA INTERLOCUTORA (FIJA) SIN BRAZOS</v>
      </c>
      <c r="C13936" s="6">
        <v>6949.69</v>
      </c>
      <c r="D13936" s="5"/>
      <c r="E13936" s="5" t="str">
        <f t="shared" si="716"/>
        <v>CONSULTORIO 14-CONSULTA EXTERNA</v>
      </c>
      <c r="F13936" s="5" t="str">
        <f>"Descripcion: SILLA FIJA SIN BRAZOS TAPIZADA EN CUERO COLOR MARRON Estado: Bueno Placa anterior: 000027449 Material: METALICO, CUERO Color: GRIS MARRON Referencia:  Observacion:  Placa padre: Tipo adquisicion: Entidad"</f>
        <v>Descripcion: SILLA FIJA SIN BRAZOS TAPIZADA EN CUERO COLOR MARRON Estado: Bueno Placa anterior: 000027449 Material: METALICO, CUERO Color: GRIS MARRON Referencia:  Observacion:  Placa padre: Tipo adquisicion: Entidad</v>
      </c>
      <c r="G13936" s="5"/>
    </row>
    <row r="13937" spans="1:7" ht="58.5" customHeight="1" x14ac:dyDescent="0.25">
      <c r="A13937" s="5" t="str">
        <f>"H0000606"</f>
        <v>H0000606</v>
      </c>
      <c r="B13937" s="5" t="str">
        <f>"SILLA INTERLOCUTORA (FIJA) SIN BRAZOS"</f>
        <v>SILLA INTERLOCUTORA (FIJA) SIN BRAZOS</v>
      </c>
      <c r="C13937" s="6">
        <v>6949.69</v>
      </c>
      <c r="D13937" s="5"/>
      <c r="E13937" s="5" t="str">
        <f t="shared" si="716"/>
        <v>CONSULTORIO 14-CONSULTA EXTERNA</v>
      </c>
      <c r="F13937" s="5" t="str">
        <f>"Descripcion: SILLA FIJA SIN BRAZOS TAPIZADA EN CUERO COLOR MARRON Estado: Bueno Placa anterior: 000027446 Material: METALICO, CUERO Color: GRIS, MARRON Referencia:  Observacion: ASIENTO PARTIDO Placa padre: Tipo adquisicion: Entidad"</f>
        <v>Descripcion: SILLA FIJA SIN BRAZOS TAPIZADA EN CUERO COLOR MARRON Estado: Bueno Placa anterior: 000027446 Material: METALICO, CUERO Color: GRIS, MARRON Referencia:  Observacion: ASIENTO PARTIDO Placa padre: Tipo adquisicion: Entidad</v>
      </c>
      <c r="G13937" s="5"/>
    </row>
    <row r="13938" spans="1:7" ht="58.5" customHeight="1" x14ac:dyDescent="0.25">
      <c r="A13938" s="5" t="str">
        <f>"H0000612"</f>
        <v>H0000612</v>
      </c>
      <c r="B13938" s="5" t="str">
        <f>"IMPRESORA LASER"</f>
        <v>IMPRESORA LASER</v>
      </c>
      <c r="C13938" s="6">
        <v>2400000</v>
      </c>
      <c r="D13938" s="5"/>
      <c r="E13938" s="5" t="str">
        <f t="shared" si="716"/>
        <v>CONSULTORIO 14-CONSULTA EXTERNA</v>
      </c>
      <c r="F13938" s="5" t="str">
        <f>"Descripcion: IMPRESORA LASER MARCA HP REF. P3005 DN Estado: Bueno Placa anterior: 000028844 Material: PLASTICO Color: GRIS Referencia: Q7815A Observacion:  Placa padre: Tipo adquisicion: Entidad"</f>
        <v>Descripcion: IMPRESORA LASER MARCA HP REF. P3005 DN Estado: Bueno Placa anterior: 000028844 Material: PLASTICO Color: GRIS Referencia: Q7815A Observacion:  Placa padre: Tipo adquisicion: Entidad</v>
      </c>
      <c r="G13938" s="5" t="str">
        <f>"HPLASERJET P3005DN"</f>
        <v>HPLASERJET P3005DN</v>
      </c>
    </row>
    <row r="13939" spans="1:7" ht="58.5" customHeight="1" x14ac:dyDescent="0.25">
      <c r="A13939" s="5" t="str">
        <f>"H0000616"</f>
        <v>H0000616</v>
      </c>
      <c r="B13939" s="5" t="str">
        <f>"NEGATOSCOPIO"</f>
        <v>NEGATOSCOPIO</v>
      </c>
      <c r="C13939" s="6">
        <v>15208</v>
      </c>
      <c r="D13939" s="5"/>
      <c r="E13939" s="5" t="str">
        <f t="shared" si="716"/>
        <v>CONSULTORIO 14-CONSULTA EXTERNA</v>
      </c>
      <c r="F13939" s="5" t="str">
        <f>"Descripcion: NEGATOSCOPIO DE 1 CUERPO Estado: Bueno Placa anterior: 000005948 Material: METALICO Color: NEGRO Referencia:  Observacion:  Placa padre: Tipo adquisicion: Entidad"</f>
        <v>Descripcion: NEGATOSCOPIO DE 1 CUERPO Estado: Bueno Placa anterior: 000005948 Material: METALICO Color: NEGRO Referencia:  Observacion:  Placa padre: Tipo adquisicion: Entidad</v>
      </c>
      <c r="G13939" s="5" t="str">
        <f>"1 CUERPO"</f>
        <v>1 CUERPO</v>
      </c>
    </row>
    <row r="13940" spans="1:7" ht="58.5" customHeight="1" x14ac:dyDescent="0.25">
      <c r="A13940" s="5" t="str">
        <f>"H0000620"</f>
        <v>H0000620</v>
      </c>
      <c r="B13940" s="5" t="str">
        <f>"TENSIOMETRO ANEROIDE DE MANO PEDIATRICO"</f>
        <v>TENSIOMETRO ANEROIDE DE MANO PEDIATRICO</v>
      </c>
      <c r="C13940" s="6">
        <v>33173</v>
      </c>
      <c r="D13940" s="5"/>
      <c r="E13940" s="5" t="str">
        <f t="shared" si="716"/>
        <v>CONSULTORIO 14-CONSULTA EXTERNA</v>
      </c>
      <c r="F13940" s="5" t="str">
        <f>"Descripcion: ESTUCHE NEGRO CON CIERRE, TENSIOMETRO CON BRAZALETE Estado: Bueno Placa anterior: 000006686 Material:  Color: NEGRO Referencia:  Observacion:  Placa padre: Tipo adquisicion: Entidad"</f>
        <v>Descripcion: ESTUCHE NEGRO CON CIERRE, TENSIOMETRO CON BRAZALETE Estado: Bueno Placa anterior: 000006686 Material:  Color: NEGRO Referencia:  Observacion:  Placa padre: Tipo adquisicion: Entidad</v>
      </c>
      <c r="G13940" s="5"/>
    </row>
    <row r="13941" spans="1:7" ht="58.5" customHeight="1" x14ac:dyDescent="0.25">
      <c r="A13941" s="5" t="str">
        <f>"H0000621"</f>
        <v>H0000621</v>
      </c>
      <c r="B13941" s="5" t="str">
        <f>"POTE (TARRO) ACERO INXODABLE CON TAPA MEDIANO"</f>
        <v>POTE (TARRO) ACERO INXODABLE CON TAPA MEDIANO</v>
      </c>
      <c r="C13941" s="6">
        <v>6080.56</v>
      </c>
      <c r="D13941" s="5"/>
      <c r="E13941" s="5" t="str">
        <f t="shared" si="716"/>
        <v>CONSULTORIO 14-CONSULTA EXTERNA</v>
      </c>
      <c r="F13941" s="5" t="str">
        <f>"Descripcion: TARRO CON TAPA, ALXDIAM 15X10 Estado: Bueno Placa anterior: 000005172 Material: ACERO INOXIDABLE Color:  Referencia:  Observacion:  Placa padre: Tipo adquisicion: Entidad"</f>
        <v>Descripcion: TARRO CON TAPA, ALXDIAM 15X10 Estado: Bueno Placa anterior: 000005172 Material: ACERO INOXIDABLE Color:  Referencia:  Observacion:  Placa padre: Tipo adquisicion: Entidad</v>
      </c>
      <c r="G13941" s="5"/>
    </row>
    <row r="13942" spans="1:7" ht="58.5" customHeight="1" x14ac:dyDescent="0.25">
      <c r="A13942" s="5" t="str">
        <f>"H0000721"</f>
        <v>H0000721</v>
      </c>
      <c r="B13942" s="5" t="str">
        <f>"NEGATOSCOPIO"</f>
        <v>NEGATOSCOPIO</v>
      </c>
      <c r="C13942" s="6">
        <v>15208</v>
      </c>
      <c r="D13942" s="5"/>
      <c r="E13942" s="5" t="str">
        <f t="shared" si="716"/>
        <v>CONSULTORIO 14-CONSULTA EXTERNA</v>
      </c>
      <c r="F13942" s="5" t="str">
        <f>"Descripcion: DE 1 CUERPO Estado: Bueno Placa anterior: 000005888 Material: METALICO Color: GRIS Referencia:  Observacion:  Placa padre: Tipo adquisicion: Entidad"</f>
        <v>Descripcion: DE 1 CUERPO Estado: Bueno Placa anterior: 000005888 Material: METALICO Color: GRIS Referencia:  Observacion:  Placa padre: Tipo adquisicion: Entidad</v>
      </c>
      <c r="G13942" s="5"/>
    </row>
    <row r="13943" spans="1:7" ht="58.5" customHeight="1" x14ac:dyDescent="0.25">
      <c r="A13943" s="5" t="str">
        <f>"H0000724"</f>
        <v>H0000724</v>
      </c>
      <c r="B13943" s="5" t="str">
        <f>"ASPIRADOR DE SECRECIONES"</f>
        <v>ASPIRADOR DE SECRECIONES</v>
      </c>
      <c r="C13943" s="6">
        <v>1447298</v>
      </c>
      <c r="D13943" s="5" t="s">
        <v>55</v>
      </c>
      <c r="E13943" s="5" t="str">
        <f t="shared" si="716"/>
        <v>CONSULTORIO 14-CONSULTA EXTERNA</v>
      </c>
      <c r="F13943" s="5" t="str">
        <f>"Descripcion: Tres (3) Filtros, una (1) manguera Estado: Excelente Placa anterior: 000030319 Material:  Color: BLANCO Referencia:  Observacion:  Placa padre: Tipo adquisicion: Entidad"</f>
        <v>Descripcion: Tres (3) Filtros, una (1) manguera Estado: Excelente Placa anterior: 000030319 Material:  Color: BLANCO Referencia:  Observacion:  Placa padre: Tipo adquisicion: Entidad</v>
      </c>
      <c r="G13943" s="5" t="str">
        <f>"163061"</f>
        <v>163061</v>
      </c>
    </row>
    <row r="13944" spans="1:7" ht="58.5" customHeight="1" x14ac:dyDescent="0.25">
      <c r="A13944" s="5" t="str">
        <f>"H0000728"</f>
        <v>H0000728</v>
      </c>
      <c r="B13944" s="5" t="str">
        <f>"ELECTROCAUTERIZADOR"</f>
        <v>ELECTROCAUTERIZADOR</v>
      </c>
      <c r="C13944" s="6">
        <v>5895000</v>
      </c>
      <c r="D13944" s="5"/>
      <c r="E13944" s="5" t="str">
        <f t="shared" si="716"/>
        <v>CONSULTORIO 14-CONSULTA EXTERNA</v>
      </c>
      <c r="F13944" s="5" t="str">
        <f>"Descripcion: 1 PERILLA GIRATORIA DE COLOR ROJO Estado: Bueno Placa anterior: 000007084 Material: METALICO Color: GRIS Referencia:  Observacion: EL BIEN TIENE PLACA ANTERIOR  0000026687 Placa padre: Tipo adquisicion: Entidad"</f>
        <v>Descripcion: 1 PERILLA GIRATORIA DE COLOR ROJO Estado: Bueno Placa anterior: 000007084 Material: METALICO Color: GRIS Referencia:  Observacion: EL BIEN TIENE PLACA ANTERIOR  0000026687 Placa padre: Tipo adquisicion: Entidad</v>
      </c>
      <c r="G13944" s="5"/>
    </row>
    <row r="13945" spans="1:7" ht="58.5" customHeight="1" x14ac:dyDescent="0.25">
      <c r="A13945" s="5" t="str">
        <f>"H0000732"</f>
        <v>H0000732</v>
      </c>
      <c r="B13945" s="5" t="str">
        <f>"LAMPARA CUELLO CISNE"</f>
        <v>LAMPARA CUELLO CISNE</v>
      </c>
      <c r="C13945" s="6">
        <v>12778</v>
      </c>
      <c r="D13945" s="5"/>
      <c r="E13945" s="5" t="str">
        <f t="shared" si="716"/>
        <v>CONSULTORIO 14-CONSULTA EXTERNA</v>
      </c>
      <c r="F13945" s="5" t="str">
        <f>"Descripcion: GRADUABLE, 4 PATAS Estado: Bueno Placa anterior: 000005889 Material: ACERO INOXIDABLE Color:  Referencia:  Observacion:  Placa padre: Tipo adquisicion: Entidad"</f>
        <v>Descripcion: GRADUABLE, 4 PATAS Estado: Bueno Placa anterior: 000005889 Material: ACERO INOXIDABLE Color:  Referencia:  Observacion:  Placa padre: Tipo adquisicion: Entidad</v>
      </c>
      <c r="G13945" s="5"/>
    </row>
    <row r="13946" spans="1:7" ht="58.5" customHeight="1" x14ac:dyDescent="0.25">
      <c r="A13946" s="5" t="str">
        <f>"H0000738"</f>
        <v>H0000738</v>
      </c>
      <c r="B13946" s="5" t="str">
        <f>"KIT DIAPASON"</f>
        <v>KIT DIAPASON</v>
      </c>
      <c r="C13946" s="6">
        <v>35736.6</v>
      </c>
      <c r="D13946" s="5"/>
      <c r="E13946" s="5" t="str">
        <f t="shared" si="716"/>
        <v>CONSULTORIO 14-CONSULTA EXTERNA</v>
      </c>
      <c r="F13946" s="5" t="str">
        <f>"Descripcion: 5 PIEZAS  ESTUCHE CON CIERRE COLOR NEGRO Estado: Excelente Placa anterior: 000006134 Material: METALICO Color: NEGRO Referencia:  Observacion:  Placa padre: Tipo adquisicion: Entidad"</f>
        <v>Descripcion: 5 PIEZAS  ESTUCHE CON CIERRE COLOR NEGRO Estado: Excelente Placa anterior: 000006134 Material: METALICO Color: NEGRO Referencia:  Observacion:  Placa padre: Tipo adquisicion: Entidad</v>
      </c>
      <c r="G13946" s="5"/>
    </row>
    <row r="13947" spans="1:7" ht="58.5" customHeight="1" x14ac:dyDescent="0.25">
      <c r="A13947" s="5" t="str">
        <f>"H0000816"</f>
        <v>H0000816</v>
      </c>
      <c r="B13947" s="5" t="str">
        <f>"TENSIOMETRO ANEROIDE DE MANO ADULTO"</f>
        <v>TENSIOMETRO ANEROIDE DE MANO ADULTO</v>
      </c>
      <c r="C13947" s="6">
        <v>46000</v>
      </c>
      <c r="D13947" s="5"/>
      <c r="E13947" s="5" t="str">
        <f t="shared" si="716"/>
        <v>CONSULTORIO 14-CONSULTA EXTERNA</v>
      </c>
      <c r="F13947" s="5" t="str">
        <f>"Descripcion: TENSIOMETRO RODABLE Estado: Bueno Placa anterior: 000005887 Material: METALICO Color: PLATEADO Referencia:  Observacion: SE ENCUENTRA EN EL CONSULTORIO 18 Placa padre: Tipo adquisicion: Entidad"</f>
        <v>Descripcion: TENSIOMETRO RODABLE Estado: Bueno Placa anterior: 000005887 Material: METALICO Color: PLATEADO Referencia:  Observacion: SE ENCUENTRA EN EL CONSULTORIO 18 Placa padre: Tipo adquisicion: Entidad</v>
      </c>
      <c r="G13947" s="5"/>
    </row>
    <row r="13948" spans="1:7" ht="58.5" customHeight="1" x14ac:dyDescent="0.25">
      <c r="A13948" s="5" t="str">
        <f>"H0002028"</f>
        <v>H0002028</v>
      </c>
      <c r="B13948" s="5" t="str">
        <f>"TENSIOMETRO ANEROIDE DE PARED ADULTO"</f>
        <v>TENSIOMETRO ANEROIDE DE PARED ADULTO</v>
      </c>
      <c r="C13948" s="6">
        <v>464000</v>
      </c>
      <c r="D13948" s="5"/>
      <c r="E13948" s="5" t="str">
        <f t="shared" si="716"/>
        <v>CONSULTORIO 14-CONSULTA EXTERNA</v>
      </c>
      <c r="F13948" s="5" t="str">
        <f>"Descripcion:TENSIOMETRO ADULTO DE PARED, CON BRAZALETE COLOR NEGRO Estado: Excelente Placa anterior: 000039084 Material: PASTA Color: AZUL Y GRIS Referencia:  Observacion:  Placa padre:  Tipo adquisicion : Entidad"</f>
        <v>Descripcion:TENSIOMETRO ADULTO DE PARED, CON BRAZALETE COLOR NEGRO Estado: Excelente Placa anterior: 000039084 Material: PASTA Color: AZUL Y GRIS Referencia:  Observacion:  Placa padre:  Tipo adquisicion : Entidad</v>
      </c>
      <c r="G13948" s="5" t="str">
        <f>"BIG BEN ROUND 1450"</f>
        <v>BIG BEN ROUND 1450</v>
      </c>
    </row>
    <row r="13949" spans="1:7" ht="58.5" customHeight="1" x14ac:dyDescent="0.25">
      <c r="A13949" s="5" t="str">
        <f>"H0002029"</f>
        <v>H0002029</v>
      </c>
      <c r="B13949" s="5" t="str">
        <f>"TENSIOMETRO ANEROIDE DE PARED ADULTO"</f>
        <v>TENSIOMETRO ANEROIDE DE PARED ADULTO</v>
      </c>
      <c r="C13949" s="6">
        <v>464000</v>
      </c>
      <c r="D13949" s="5"/>
      <c r="E13949" s="5" t="str">
        <f t="shared" si="716"/>
        <v>CONSULTORIO 14-CONSULTA EXTERNA</v>
      </c>
      <c r="F13949" s="5" t="str">
        <f>"Descripcion:TENSIOMETRO ADULTO DE PARED, CON BRAZALETE COLOR NEGRO Estado: Excelente Placa anterior: 000039085 Material: PASTA Color: AZUL Y GRIS Referencia:  Observacion:  Placa padre:  Tipo adquisicion : Entidad"</f>
        <v>Descripcion:TENSIOMETRO ADULTO DE PARED, CON BRAZALETE COLOR NEGRO Estado: Excelente Placa anterior: 000039085 Material: PASTA Color: AZUL Y GRIS Referencia:  Observacion:  Placa padre:  Tipo adquisicion : Entidad</v>
      </c>
      <c r="G13949" s="5" t="str">
        <f>"BIG BEN ROUND 1450"</f>
        <v>BIG BEN ROUND 1450</v>
      </c>
    </row>
    <row r="13950" spans="1:7" ht="58.5" customHeight="1" x14ac:dyDescent="0.25">
      <c r="A13950" s="5" t="str">
        <f>"H0002069"</f>
        <v>H0002069</v>
      </c>
      <c r="B13950" s="5" t="str">
        <f>"BALANZA DIGITAL DE PISO (PESO) CON TALLIMETRO"</f>
        <v>BALANZA DIGITAL DE PISO (PESO) CON TALLIMETRO</v>
      </c>
      <c r="C13950" s="6">
        <v>2030000</v>
      </c>
      <c r="D13950" s="5"/>
      <c r="E13950" s="5" t="str">
        <f t="shared" si="716"/>
        <v>CONSULTORIO 14-CONSULTA EXTERNA</v>
      </c>
      <c r="F13950" s="5" t="str">
        <f>"Descripcion:BASCULA CON TALLIMETRO DIGITAL Estado: Excelente Placa anterior: 000039045 Material: PASTA Color: BLANCO Referencia:  Observacion:  Placa padre:  Tipo adquisicion : Entidad"</f>
        <v>Descripcion:BASCULA CON TALLIMETRO DIGITAL Estado: Excelente Placa anterior: 000039045 Material: PASTA Color: BLANCO Referencia:  Observacion:  Placa padre:  Tipo adquisicion : Entidad</v>
      </c>
      <c r="G13950" s="5" t="str">
        <f>"H-150-10-5"</f>
        <v>H-150-10-5</v>
      </c>
    </row>
    <row r="13951" spans="1:7" ht="58.5" customHeight="1" x14ac:dyDescent="0.25">
      <c r="A13951" s="5" t="str">
        <f>"H0022268"</f>
        <v>H0022268</v>
      </c>
      <c r="B13951" s="5" t="str">
        <f>"UNIDAD ODONTOLOGICA"</f>
        <v>UNIDAD ODONTOLOGICA</v>
      </c>
      <c r="C13951" s="6">
        <v>12180000</v>
      </c>
      <c r="D13951" s="5" t="s">
        <v>61</v>
      </c>
      <c r="E13951" s="5" t="str">
        <f t="shared" si="716"/>
        <v>CONSULTORIO 14-CONSULTA EXTERNA</v>
      </c>
      <c r="F13951" s="5"/>
      <c r="G13951" s="5"/>
    </row>
    <row r="13952" spans="1:7" ht="58.5" customHeight="1" x14ac:dyDescent="0.25">
      <c r="A13952" s="5" t="str">
        <f>"H0022439"</f>
        <v>H0022439</v>
      </c>
      <c r="B13952" s="5" t="str">
        <f>"KIT TERMOMETRO + FONENDOSCOPIO PEDIATRICO"</f>
        <v>KIT TERMOMETRO + FONENDOSCOPIO PEDIATRICO</v>
      </c>
      <c r="C13952" s="6">
        <v>81200</v>
      </c>
      <c r="D13952" s="5" t="s">
        <v>455</v>
      </c>
      <c r="E13952" s="5" t="str">
        <f t="shared" si="716"/>
        <v>CONSULTORIO 14-CONSULTA EXTERNA</v>
      </c>
      <c r="F13952" s="5"/>
      <c r="G13952" s="5"/>
    </row>
    <row r="13953" spans="1:7" ht="58.5" customHeight="1" x14ac:dyDescent="0.25">
      <c r="A13953" s="5" t="str">
        <f>"H0024593"</f>
        <v>H0024593</v>
      </c>
      <c r="B13953"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3953" s="6">
        <v>2600000</v>
      </c>
      <c r="D13953" s="5" t="s">
        <v>36</v>
      </c>
      <c r="E13953" s="5" t="str">
        <f t="shared" si="716"/>
        <v>CONSULTORIO 14-CONSULTA EXTERNA</v>
      </c>
      <c r="F13953" s="5"/>
      <c r="G13953" s="5"/>
    </row>
    <row r="13954" spans="1:7" ht="58.5" customHeight="1" x14ac:dyDescent="0.25">
      <c r="A13954" s="5" t="str">
        <f>"H0025315"</f>
        <v>H0025315</v>
      </c>
      <c r="B1395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54" s="6">
        <v>312156</v>
      </c>
      <c r="D13954" s="5" t="s">
        <v>10</v>
      </c>
      <c r="E13954" s="5" t="str">
        <f t="shared" si="716"/>
        <v>CONSULTORIO 14-CONSULTA EXTERNA</v>
      </c>
      <c r="F13954" s="5"/>
      <c r="G13954" s="5"/>
    </row>
    <row r="13955" spans="1:7" ht="58.5" customHeight="1" x14ac:dyDescent="0.25">
      <c r="A13955" s="5" t="str">
        <f>"H0027537"</f>
        <v>H0027537</v>
      </c>
      <c r="B13955" s="5" t="str">
        <f>"LECTOR DE HUELLAS DIGITALES"</f>
        <v>LECTOR DE HUELLAS DIGITALES</v>
      </c>
      <c r="C13955" s="6">
        <v>234000.41</v>
      </c>
      <c r="D13955" s="5" t="s">
        <v>83</v>
      </c>
      <c r="E13955" s="5" t="str">
        <f t="shared" si="716"/>
        <v>CONSULTORIO 14-CONSULTA EXTERNA</v>
      </c>
      <c r="F13955" s="5"/>
      <c r="G13955" s="5"/>
    </row>
    <row r="13956" spans="1:7" ht="58.5" customHeight="1" x14ac:dyDescent="0.25">
      <c r="A13956" s="5" t="str">
        <f>"H0037093"</f>
        <v>H0037093</v>
      </c>
      <c r="B13956" s="5" t="str">
        <f>"INFANTOMETRO"</f>
        <v>INFANTOMETRO</v>
      </c>
      <c r="C13956" s="6">
        <v>1191337.03</v>
      </c>
      <c r="D13956" s="5" t="s">
        <v>136</v>
      </c>
      <c r="E13956" s="5" t="str">
        <f t="shared" si="716"/>
        <v>CONSULTORIO 14-CONSULTA EXTERNA</v>
      </c>
      <c r="F13956" s="5"/>
      <c r="G13956" s="5"/>
    </row>
    <row r="13957" spans="1:7" ht="58.5" customHeight="1" x14ac:dyDescent="0.25">
      <c r="A13957" s="5" t="str">
        <f>"H0037104"</f>
        <v>H0037104</v>
      </c>
      <c r="B13957" s="5" t="str">
        <f>"BASCULA PESA BEBE MARCA SECA MODELO 374"</f>
        <v>BASCULA PESA BEBE MARCA SECA MODELO 374</v>
      </c>
      <c r="C13957" s="6">
        <v>3971069.02</v>
      </c>
      <c r="D13957" s="5" t="s">
        <v>136</v>
      </c>
      <c r="E13957" s="5" t="str">
        <f t="shared" si="716"/>
        <v>CONSULTORIO 14-CONSULTA EXTERNA</v>
      </c>
      <c r="F13957" s="5"/>
      <c r="G13957" s="5"/>
    </row>
    <row r="13958" spans="1:7" ht="58.5" customHeight="1" x14ac:dyDescent="0.25">
      <c r="A13958" s="5" t="str">
        <f>"H0037131"</f>
        <v>H0037131</v>
      </c>
      <c r="B13958" s="5" t="str">
        <f>"TALLIMETRO CAPACIDAD 20-205 CM (DONACION)"</f>
        <v>TALLIMETRO CAPACIDAD 20-205 CM (DONACION)</v>
      </c>
      <c r="C13958" s="6">
        <v>1254705.99</v>
      </c>
      <c r="D13958" s="5" t="s">
        <v>136</v>
      </c>
      <c r="E13958" s="5" t="str">
        <f t="shared" si="716"/>
        <v>CONSULTORIO 14-CONSULTA EXTERNA</v>
      </c>
      <c r="F13958" s="5"/>
      <c r="G13958" s="5"/>
    </row>
    <row r="13959" spans="1:7" ht="58.5" customHeight="1" x14ac:dyDescent="0.25">
      <c r="A13959" s="5" t="str">
        <f>"H0037198"</f>
        <v>H0037198</v>
      </c>
      <c r="B13959" s="5" t="str">
        <f>"BASCULA: Capacidad: 200 kg, División: 100 g &lt; 150 kg &gt; 200 g, Dimensiones (AxAxP):321 x 61 x 362 mm, Peso: 4,1 kg"</f>
        <v>BASCULA: Capacidad: 200 kg, División: 100 g &lt; 150 kg &gt; 200 g, Dimensiones (AxAxP):321 x 61 x 362 mm, Peso: 4,1 kg</v>
      </c>
      <c r="C13959" s="6">
        <v>3588386.01</v>
      </c>
      <c r="D13959" s="5" t="s">
        <v>160</v>
      </c>
      <c r="E13959" s="5" t="str">
        <f t="shared" si="716"/>
        <v>CONSULTORIO 14-CONSULTA EXTERNA</v>
      </c>
      <c r="F13959" s="5"/>
      <c r="G13959" s="5"/>
    </row>
    <row r="13960" spans="1:7" ht="58.5" customHeight="1" x14ac:dyDescent="0.25">
      <c r="A13960" s="5" t="str">
        <f>"B0000404"</f>
        <v>B0000404</v>
      </c>
      <c r="B13960" s="5" t="str">
        <f t="shared" ref="B13960:B13966" si="717">"TIJERA RETIRO DE SUTURA"</f>
        <v>TIJERA RETIRO DE SUTURA</v>
      </c>
      <c r="C13960" s="6">
        <v>108344</v>
      </c>
      <c r="D13960" s="5"/>
      <c r="E13960" s="5" t="str">
        <f t="shared" ref="E13960:E14000" si="718">"CONSULTORIO 15-CONSULTA EXTERNA"</f>
        <v>CONSULTORIO 15-CONSULTA EXTERNA</v>
      </c>
      <c r="F13960" s="5" t="str">
        <f>"Descripcion: TIJERA  RECTA DE RETIRO DE SUTURA  Estado: Bueno Placa anterior: 000025643 Material: ACERO Color: PLATA Referencia:  Observacion:  Placa padre: Tipo adquisicion: Entidad"</f>
        <v>Descripcion: TIJERA  RECTA DE RETIRO DE SUTURA  Estado: Bueno Placa anterior: 000025643 Material: ACERO Color: PLATA Referencia:  Observacion:  Placa padre: Tipo adquisicion: Entidad</v>
      </c>
      <c r="G13960" s="5"/>
    </row>
    <row r="13961" spans="1:7" ht="58.5" customHeight="1" x14ac:dyDescent="0.25">
      <c r="A13961" s="5" t="str">
        <f>"B0000405"</f>
        <v>B0000405</v>
      </c>
      <c r="B13961" s="5" t="str">
        <f t="shared" si="717"/>
        <v>TIJERA RETIRO DE SUTURA</v>
      </c>
      <c r="C13961" s="6">
        <v>108344</v>
      </c>
      <c r="D13961" s="5"/>
      <c r="E13961" s="5" t="str">
        <f t="shared" si="718"/>
        <v>CONSULTORIO 15-CONSULTA EXTERNA</v>
      </c>
      <c r="F13961" s="5" t="str">
        <f>"Descripcion: TIJERA RECTA DE RETIRO DE SUTURA  Estado: Bueno Placa anterior: 000025644 Material: ACERO Color: PLATA Referencia:  Observacion:  Placa padre: Tipo adquisicion: Entidad"</f>
        <v>Descripcion: TIJERA RECTA DE RETIRO DE SUTURA  Estado: Bueno Placa anterior: 000025644 Material: ACERO Color: PLATA Referencia:  Observacion:  Placa padre: Tipo adquisicion: Entidad</v>
      </c>
      <c r="G13961" s="5"/>
    </row>
    <row r="13962" spans="1:7" ht="58.5" customHeight="1" x14ac:dyDescent="0.25">
      <c r="A13962" s="5" t="str">
        <f>"B0000406"</f>
        <v>B0000406</v>
      </c>
      <c r="B13962" s="5" t="str">
        <f t="shared" si="717"/>
        <v>TIJERA RETIRO DE SUTURA</v>
      </c>
      <c r="C13962" s="6">
        <v>90480</v>
      </c>
      <c r="D13962" s="5"/>
      <c r="E13962" s="5" t="str">
        <f t="shared" si="718"/>
        <v>CONSULTORIO 15-CONSULTA EXTERNA</v>
      </c>
      <c r="F13962" s="5" t="str">
        <f>"Descripcion: TIJERA RECTA DE RETIRO DE SUTURA  Estado: Bueno Placa anterior: 000025646 Material: ACERO Color: PLATA Referencia:  Observacion:  Placa padre: Tipo adquisicion: Entidad"</f>
        <v>Descripcion: TIJERA RECTA DE RETIRO DE SUTURA  Estado: Bueno Placa anterior: 000025646 Material: ACERO Color: PLATA Referencia:  Observacion:  Placa padre: Tipo adquisicion: Entidad</v>
      </c>
      <c r="G13962" s="5"/>
    </row>
    <row r="13963" spans="1:7" ht="58.5" customHeight="1" x14ac:dyDescent="0.25">
      <c r="A13963" s="5" t="str">
        <f>"B0000407"</f>
        <v>B0000407</v>
      </c>
      <c r="B13963" s="5" t="str">
        <f t="shared" si="717"/>
        <v>TIJERA RETIRO DE SUTURA</v>
      </c>
      <c r="C13963" s="6">
        <v>90480</v>
      </c>
      <c r="D13963" s="5"/>
      <c r="E13963" s="5" t="str">
        <f t="shared" si="718"/>
        <v>CONSULTORIO 15-CONSULTA EXTERNA</v>
      </c>
      <c r="F13963" s="5" t="str">
        <f>"Descripcion: TIJERA RECTA DE RETIRO DE SUTURA  Estado: Bueno Placa anterior: 000025647 Material: ACERO Color: PLATA Referencia:  Observacion:  Placa padre: Tipo adquisicion: Entidad"</f>
        <v>Descripcion: TIJERA RECTA DE RETIRO DE SUTURA  Estado: Bueno Placa anterior: 000025647 Material: ACERO Color: PLATA Referencia:  Observacion:  Placa padre: Tipo adquisicion: Entidad</v>
      </c>
      <c r="G13963" s="5"/>
    </row>
    <row r="13964" spans="1:7" ht="58.5" customHeight="1" x14ac:dyDescent="0.25">
      <c r="A13964" s="5" t="str">
        <f>"B0000408"</f>
        <v>B0000408</v>
      </c>
      <c r="B13964" s="5" t="str">
        <f t="shared" si="717"/>
        <v>TIJERA RETIRO DE SUTURA</v>
      </c>
      <c r="C13964" s="6">
        <v>90480</v>
      </c>
      <c r="D13964" s="5"/>
      <c r="E13964" s="5" t="str">
        <f t="shared" si="718"/>
        <v>CONSULTORIO 15-CONSULTA EXTERNA</v>
      </c>
      <c r="F13964" s="5" t="str">
        <f>"Descripcion: TIJERA RECTA DE RETIRO DE SUTURA  Estado: Bueno Placa anterior: 000025645 Material: ACERO Color: PLATA Referencia:  Observacion:  Placa padre: Tipo adquisicion: Entidad"</f>
        <v>Descripcion: TIJERA RECTA DE RETIRO DE SUTURA  Estado: Bueno Placa anterior: 000025645 Material: ACERO Color: PLATA Referencia:  Observacion:  Placa padre: Tipo adquisicion: Entidad</v>
      </c>
      <c r="G13964" s="5"/>
    </row>
    <row r="13965" spans="1:7" ht="58.5" customHeight="1" x14ac:dyDescent="0.25">
      <c r="A13965" s="5" t="str">
        <f>"B0000409"</f>
        <v>B0000409</v>
      </c>
      <c r="B13965" s="5" t="str">
        <f t="shared" si="717"/>
        <v>TIJERA RETIRO DE SUTURA</v>
      </c>
      <c r="C13965" s="6">
        <v>99412</v>
      </c>
      <c r="D13965" s="5"/>
      <c r="E13965" s="5" t="str">
        <f t="shared" si="718"/>
        <v>CONSULTORIO 15-CONSULTA EXTERNA</v>
      </c>
      <c r="F13965" s="5" t="str">
        <f>"Descripcion: TIJERA RECTA DE RETIRO DE SUTURA  Estado: Bueno Placa anterior: 000025650 Material: ACERO Color: PLATA Referencia:  Observacion:  Placa padre: Tipo adquisicion: Entidad"</f>
        <v>Descripcion: TIJERA RECTA DE RETIRO DE SUTURA  Estado: Bueno Placa anterior: 000025650 Material: ACERO Color: PLATA Referencia:  Observacion:  Placa padre: Tipo adquisicion: Entidad</v>
      </c>
      <c r="G13965" s="5"/>
    </row>
    <row r="13966" spans="1:7" ht="58.5" customHeight="1" x14ac:dyDescent="0.25">
      <c r="A13966" s="5" t="str">
        <f>"B0000410"</f>
        <v>B0000410</v>
      </c>
      <c r="B13966" s="5" t="str">
        <f t="shared" si="717"/>
        <v>TIJERA RETIRO DE SUTURA</v>
      </c>
      <c r="C13966" s="6">
        <v>99412</v>
      </c>
      <c r="D13966" s="5"/>
      <c r="E13966" s="5" t="str">
        <f t="shared" si="718"/>
        <v>CONSULTORIO 15-CONSULTA EXTERNA</v>
      </c>
      <c r="F13966" s="5" t="str">
        <f>"Descripcion: TIJERA RECTA DE RETIRO DE SUTURA  Estado: Bueno Placa anterior: 000025651 Material: ACERO Color: PLATA Referencia:  Observacion:  Placa padre: Tipo adquisicion: Entidad"</f>
        <v>Descripcion: TIJERA RECTA DE RETIRO DE SUTURA  Estado: Bueno Placa anterior: 000025651 Material: ACERO Color: PLATA Referencia:  Observacion:  Placa padre: Tipo adquisicion: Entidad</v>
      </c>
      <c r="G13966" s="5"/>
    </row>
    <row r="13967" spans="1:7" ht="58.5" customHeight="1" x14ac:dyDescent="0.25">
      <c r="A13967" s="5" t="str">
        <f>"B0000411"</f>
        <v>B0000411</v>
      </c>
      <c r="B13967" s="5" t="str">
        <f t="shared" ref="B13967:B13973" si="719">"PINZA MOSQUITO CURVA 12 CM"</f>
        <v>PINZA MOSQUITO CURVA 12 CM</v>
      </c>
      <c r="C13967" s="6">
        <v>62060</v>
      </c>
      <c r="D13967" s="5"/>
      <c r="E13967" s="5" t="str">
        <f t="shared" si="718"/>
        <v>CONSULTORIO 15-CONSULTA EXTERNA</v>
      </c>
      <c r="F13967" s="5" t="str">
        <f>"Descripcion: PINZA MOSQUITO CURVA Estado: Bueno Placa anterior: 000025656 Material: ACERO Color: PLATA Referencia:  Observacion:  Placa padre: Tipo adquisicion: Entidad"</f>
        <v>Descripcion: PINZA MOSQUITO CURVA Estado: Bueno Placa anterior: 000025656 Material: ACERO Color: PLATA Referencia:  Observacion:  Placa padre: Tipo adquisicion: Entidad</v>
      </c>
      <c r="G13967" s="5"/>
    </row>
    <row r="13968" spans="1:7" ht="58.5" customHeight="1" x14ac:dyDescent="0.25">
      <c r="A13968" s="5" t="str">
        <f>"B0000412"</f>
        <v>B0000412</v>
      </c>
      <c r="B13968" s="5" t="str">
        <f t="shared" si="719"/>
        <v>PINZA MOSQUITO CURVA 12 CM</v>
      </c>
      <c r="C13968" s="6">
        <v>62060</v>
      </c>
      <c r="D13968" s="5"/>
      <c r="E13968" s="5" t="str">
        <f t="shared" si="718"/>
        <v>CONSULTORIO 15-CONSULTA EXTERNA</v>
      </c>
      <c r="F13968" s="5" t="str">
        <f>"Descripcion: PINZA MOSQUITO CURVA Estado: Bueno Placa anterior: 000025657 Material: ACERO Color:  Referencia:  Observacion:  Placa padre: Tipo adquisicion: Entidad"</f>
        <v>Descripcion: PINZA MOSQUITO CURVA Estado: Bueno Placa anterior: 000025657 Material: ACERO Color:  Referencia:  Observacion:  Placa padre: Tipo adquisicion: Entidad</v>
      </c>
      <c r="G13968" s="5"/>
    </row>
    <row r="13969" spans="1:7" ht="58.5" customHeight="1" x14ac:dyDescent="0.25">
      <c r="A13969" s="5" t="str">
        <f>"B0000413"</f>
        <v>B0000413</v>
      </c>
      <c r="B13969" s="5" t="str">
        <f t="shared" si="719"/>
        <v>PINZA MOSQUITO CURVA 12 CM</v>
      </c>
      <c r="C13969" s="6">
        <v>83752</v>
      </c>
      <c r="D13969" s="5"/>
      <c r="E13969" s="5" t="str">
        <f t="shared" si="718"/>
        <v>CONSULTORIO 15-CONSULTA EXTERNA</v>
      </c>
      <c r="F13969" s="5" t="str">
        <f>"Descripcion: PINZA MOSQUITO RECTA Estado: Bueno Placa anterior: 000025682 Material: ACERO Color: PLATA Referencia:  Observacion:  Placa padre: Tipo adquisicion: Entidad"</f>
        <v>Descripcion: PINZA MOSQUITO RECTA Estado: Bueno Placa anterior: 000025682 Material: ACERO Color: PLATA Referencia:  Observacion:  Placa padre: Tipo adquisicion: Entidad</v>
      </c>
      <c r="G13969" s="5"/>
    </row>
    <row r="13970" spans="1:7" ht="58.5" customHeight="1" x14ac:dyDescent="0.25">
      <c r="A13970" s="5" t="str">
        <f>"B0000414"</f>
        <v>B0000414</v>
      </c>
      <c r="B13970" s="5" t="str">
        <f t="shared" si="719"/>
        <v>PINZA MOSQUITO CURVA 12 CM</v>
      </c>
      <c r="C13970" s="6">
        <v>59160</v>
      </c>
      <c r="D13970" s="5"/>
      <c r="E13970" s="5" t="str">
        <f t="shared" si="718"/>
        <v>CONSULTORIO 15-CONSULTA EXTERNA</v>
      </c>
      <c r="F13970" s="5" t="str">
        <f>"Descripcion: PINZA MOSQUITO RECTA Estado: Bueno Placa anterior: 000025658 Material: ACERO Color: PLATA Referencia:  Observacion:  Placa padre: Tipo adquisicion: Entidad"</f>
        <v>Descripcion: PINZA MOSQUITO RECTA Estado: Bueno Placa anterior: 000025658 Material: ACERO Color: PLATA Referencia:  Observacion:  Placa padre: Tipo adquisicion: Entidad</v>
      </c>
      <c r="G13970" s="5"/>
    </row>
    <row r="13971" spans="1:7" ht="58.5" customHeight="1" x14ac:dyDescent="0.25">
      <c r="A13971" s="5" t="str">
        <f>"B0000415"</f>
        <v>B0000415</v>
      </c>
      <c r="B13971" s="5" t="str">
        <f t="shared" si="719"/>
        <v>PINZA MOSQUITO CURVA 12 CM</v>
      </c>
      <c r="C13971" s="6">
        <v>59160</v>
      </c>
      <c r="D13971" s="5"/>
      <c r="E13971" s="5" t="str">
        <f t="shared" si="718"/>
        <v>CONSULTORIO 15-CONSULTA EXTERNA</v>
      </c>
      <c r="F13971" s="5" t="str">
        <f>"Descripcion: PINZA MOSQUITO RECTA Estado: Bueno Placa anterior: 000025659 Material: ACERO Color: PLATA Referencia:  Observacion:  Placa padre: Tipo adquisicion: Entidad"</f>
        <v>Descripcion: PINZA MOSQUITO RECTA Estado: Bueno Placa anterior: 000025659 Material: ACERO Color: PLATA Referencia:  Observacion:  Placa padre: Tipo adquisicion: Entidad</v>
      </c>
      <c r="G13971" s="5"/>
    </row>
    <row r="13972" spans="1:7" ht="58.5" customHeight="1" x14ac:dyDescent="0.25">
      <c r="A13972" s="5" t="str">
        <f>"B0000416"</f>
        <v>B0000416</v>
      </c>
      <c r="B13972" s="5" t="str">
        <f t="shared" si="719"/>
        <v>PINZA MOSQUITO CURVA 12 CM</v>
      </c>
      <c r="C13972" s="6">
        <v>59160</v>
      </c>
      <c r="D13972" s="5"/>
      <c r="E13972" s="5" t="str">
        <f t="shared" si="718"/>
        <v>CONSULTORIO 15-CONSULTA EXTERNA</v>
      </c>
      <c r="F13972" s="5" t="str">
        <f>"Descripcion: PINZA MOSQUITO RECTA Estado: Bueno Placa anterior: 000025660 Material: ACERO Color: PLATA Referencia:  Observacion:  Placa padre: Tipo adquisicion: Entidad"</f>
        <v>Descripcion: PINZA MOSQUITO RECTA Estado: Bueno Placa anterior: 000025660 Material: ACERO Color: PLATA Referencia:  Observacion:  Placa padre: Tipo adquisicion: Entidad</v>
      </c>
      <c r="G13972" s="5"/>
    </row>
    <row r="13973" spans="1:7" ht="58.5" customHeight="1" x14ac:dyDescent="0.25">
      <c r="A13973" s="5" t="str">
        <f>"B0000417"</f>
        <v>B0000417</v>
      </c>
      <c r="B13973" s="5" t="str">
        <f t="shared" si="719"/>
        <v>PINZA MOSQUITO CURVA 12 CM</v>
      </c>
      <c r="C13973" s="6">
        <v>59160</v>
      </c>
      <c r="D13973" s="5"/>
      <c r="E13973" s="5" t="str">
        <f t="shared" si="718"/>
        <v>CONSULTORIO 15-CONSULTA EXTERNA</v>
      </c>
      <c r="F13973" s="5" t="str">
        <f>"Descripcion: PINZA MOSQUITO RECTA Estado: Bueno Placa anterior: 000025662 Material: ACERO Color: PLATA Referencia:  Observacion:  Placa padre: Tipo adquisicion: Entidad"</f>
        <v>Descripcion: PINZA MOSQUITO RECTA Estado: Bueno Placa anterior: 000025662 Material: ACERO Color: PLATA Referencia:  Observacion:  Placa padre: Tipo adquisicion: Entidad</v>
      </c>
      <c r="G13973" s="5"/>
    </row>
    <row r="13974" spans="1:7" ht="58.5" customHeight="1" x14ac:dyDescent="0.25">
      <c r="A13974" s="5" t="str">
        <f>"B0000418"</f>
        <v>B0000418</v>
      </c>
      <c r="B13974" s="5" t="str">
        <f>"PINZA KELLY RECTA 16 CM"</f>
        <v>PINZA KELLY RECTA 16 CM</v>
      </c>
      <c r="C13974" s="6">
        <v>61248</v>
      </c>
      <c r="D13974" s="5"/>
      <c r="E13974" s="5" t="str">
        <f t="shared" si="718"/>
        <v>CONSULTORIO 15-CONSULTA EXTERNA</v>
      </c>
      <c r="F13974" s="5" t="str">
        <f>"Descripcion: . Estado: Bueno Placa anterior: 000025668 Material: ACERO Color: PLATA Referencia:  Observacion:  Placa padre: Tipo adquisicion: Entidad"</f>
        <v>Descripcion: . Estado: Bueno Placa anterior: 000025668 Material: ACERO Color: PLATA Referencia:  Observacion:  Placa padre: Tipo adquisicion: Entidad</v>
      </c>
      <c r="G13974" s="5"/>
    </row>
    <row r="13975" spans="1:7" ht="58.5" customHeight="1" x14ac:dyDescent="0.25">
      <c r="A13975" s="5" t="str">
        <f>"B0000419"</f>
        <v>B0000419</v>
      </c>
      <c r="B13975" s="5" t="str">
        <f>"PINZA KELLY RECTA 16 CM"</f>
        <v>PINZA KELLY RECTA 16 CM</v>
      </c>
      <c r="C13975" s="6">
        <v>61248</v>
      </c>
      <c r="D13975" s="5"/>
      <c r="E13975" s="5" t="str">
        <f t="shared" si="718"/>
        <v>CONSULTORIO 15-CONSULTA EXTERNA</v>
      </c>
      <c r="F13975" s="5" t="str">
        <f>"Descripcion: .. Estado: Bueno Placa anterior: 000025669 Material: ACERO Color: PLATA Referencia:  Observacion:  Placa padre: Tipo adquisicion: Entidad"</f>
        <v>Descripcion: .. Estado: Bueno Placa anterior: 000025669 Material: ACERO Color: PLATA Referencia:  Observacion:  Placa padre: Tipo adquisicion: Entidad</v>
      </c>
      <c r="G13975" s="5"/>
    </row>
    <row r="13976" spans="1:7" ht="58.5" customHeight="1" x14ac:dyDescent="0.25">
      <c r="A13976" s="5" t="str">
        <f>"B0000421"</f>
        <v>B0000421</v>
      </c>
      <c r="B13976" s="5" t="str">
        <f>"TIJERA MAYO RECTA"</f>
        <v>TIJERA MAYO RECTA</v>
      </c>
      <c r="C13976" s="6">
        <v>99412</v>
      </c>
      <c r="D13976" s="5"/>
      <c r="E13976" s="5" t="str">
        <f t="shared" si="718"/>
        <v>CONSULTORIO 15-CONSULTA EXTERNA</v>
      </c>
      <c r="F13976" s="5" t="str">
        <f>"Descripcion: TIJERA RECTA Estado: Bueno Placa anterior: 000025649 Material: ACERO Color: PLATA Referencia:  Observacion:  Placa padre: Tipo adquisicion: Entidad"</f>
        <v>Descripcion: TIJERA RECTA Estado: Bueno Placa anterior: 000025649 Material: ACERO Color: PLATA Referencia:  Observacion:  Placa padre: Tipo adquisicion: Entidad</v>
      </c>
      <c r="G13976" s="5"/>
    </row>
    <row r="13977" spans="1:7" ht="58.5" customHeight="1" x14ac:dyDescent="0.25">
      <c r="A13977" s="5" t="str">
        <f>"B0000422"</f>
        <v>B0000422</v>
      </c>
      <c r="B13977" s="5" t="str">
        <f>"TIJERA MAYO RECTA"</f>
        <v>TIJERA MAYO RECTA</v>
      </c>
      <c r="C13977" s="6">
        <v>99412</v>
      </c>
      <c r="D13977" s="5"/>
      <c r="E13977" s="5" t="str">
        <f t="shared" si="718"/>
        <v>CONSULTORIO 15-CONSULTA EXTERNA</v>
      </c>
      <c r="F13977" s="5" t="str">
        <f>"Descripcion: TIJERA RECTA Estado: Bueno Placa anterior: 000025652 Material: ACERO Color: PLATA Referencia:  Observacion:  Placa padre: Tipo adquisicion: Entidad"</f>
        <v>Descripcion: TIJERA RECTA Estado: Bueno Placa anterior: 000025652 Material: ACERO Color: PLATA Referencia:  Observacion:  Placa padre: Tipo adquisicion: Entidad</v>
      </c>
      <c r="G13977" s="5"/>
    </row>
    <row r="13978" spans="1:7" ht="58.5" customHeight="1" x14ac:dyDescent="0.25">
      <c r="A13978" s="5" t="str">
        <f>"B0000423"</f>
        <v>B0000423</v>
      </c>
      <c r="B13978" s="5" t="str">
        <f>"TIJERA MAYO CURVA"</f>
        <v>TIJERA MAYO CURVA</v>
      </c>
      <c r="C13978" s="6">
        <v>760</v>
      </c>
      <c r="D13978" s="5"/>
      <c r="E13978" s="5" t="str">
        <f t="shared" si="718"/>
        <v>CONSULTORIO 15-CONSULTA EXTERNA</v>
      </c>
      <c r="F13978" s="5" t="str">
        <f>"Descripcion: TIJERA CURVA Estado: Bueno Placa anterior: 000006687 Material: ACERO Color: PLATA Referencia:  Observacion:  Placa padre: Tipo adquisicion: Entidad"</f>
        <v>Descripcion: TIJERA CURVA Estado: Bueno Placa anterior: 000006687 Material: ACERO Color: PLATA Referencia:  Observacion:  Placa padre: Tipo adquisicion: Entidad</v>
      </c>
      <c r="G13978" s="5"/>
    </row>
    <row r="13979" spans="1:7" ht="58.5" customHeight="1" x14ac:dyDescent="0.25">
      <c r="A13979" s="5" t="str">
        <f>"B0000424"</f>
        <v>B0000424</v>
      </c>
      <c r="B13979" s="5" t="str">
        <f>"TIJERA MAYO CURVA"</f>
        <v>TIJERA MAYO CURVA</v>
      </c>
      <c r="C13979" s="6">
        <v>110084</v>
      </c>
      <c r="D13979" s="5"/>
      <c r="E13979" s="5" t="str">
        <f t="shared" si="718"/>
        <v>CONSULTORIO 15-CONSULTA EXTERNA</v>
      </c>
      <c r="F13979" s="5" t="str">
        <f>"Descripcion: TIJERA CURVA Estado: Bueno Placa anterior: 000025655 Material: ACERO Color: PLATA Referencia:  Observacion:  Placa padre: Tipo adquisicion: Entidad"</f>
        <v>Descripcion: TIJERA CURVA Estado: Bueno Placa anterior: 000025655 Material: ACERO Color: PLATA Referencia:  Observacion:  Placa padre: Tipo adquisicion: Entidad</v>
      </c>
      <c r="G13979" s="5"/>
    </row>
    <row r="13980" spans="1:7" ht="58.5" customHeight="1" x14ac:dyDescent="0.25">
      <c r="A13980" s="5" t="str">
        <f>"B0005347"</f>
        <v>B0005347</v>
      </c>
      <c r="B13980" s="5" t="str">
        <f>"PINZA MOSQUITO CURVA 12 CM"</f>
        <v>PINZA MOSQUITO CURVA 12 CM</v>
      </c>
      <c r="C13980" s="6">
        <v>59160</v>
      </c>
      <c r="D13980" s="5"/>
      <c r="E13980" s="5" t="str">
        <f t="shared" si="718"/>
        <v>CONSULTORIO 15-CONSULTA EXTERNA</v>
      </c>
      <c r="F13980" s="5" t="str">
        <f>"Descripcion: PINZA MOSQUITO RECTA 5 MILTEX 7-2 Estado: Bueno Placa anterior: 000025663 Material: ACERO INOXIDABLE Color: PLATEADO Referencia:  Observacion:  Placa padre: Tipo adquisicion: Entidad"</f>
        <v>Descripcion: PINZA MOSQUITO RECTA 5 MILTEX 7-2 Estado: Bueno Placa anterior: 000025663 Material: ACERO INOXIDABLE Color: PLATEADO Referencia:  Observacion:  Placa padre: Tipo adquisicion: Entidad</v>
      </c>
      <c r="G13980" s="5"/>
    </row>
    <row r="13981" spans="1:7" ht="58.5" customHeight="1" x14ac:dyDescent="0.25">
      <c r="A13981" s="5" t="str">
        <f>"B0005348"</f>
        <v>B0005348</v>
      </c>
      <c r="B13981" s="5" t="str">
        <f>"PINZA MOSQUITO CURVA 12 CM"</f>
        <v>PINZA MOSQUITO CURVA 12 CM</v>
      </c>
      <c r="C13981" s="6">
        <v>59160</v>
      </c>
      <c r="D13981" s="5"/>
      <c r="E13981" s="5" t="str">
        <f t="shared" si="718"/>
        <v>CONSULTORIO 15-CONSULTA EXTERNA</v>
      </c>
      <c r="F13981" s="5" t="str">
        <f>"Descripcion: PINZA MOSQUITO RECTA 5 MILTEX 7-2 Estado: Bueno Placa anterior: 000025661 Material: ACERO INOXIDABLE Color: PLATEADO Referencia:  Observacion:  Placa padre: Tipo adquisicion: Entidad"</f>
        <v>Descripcion: PINZA MOSQUITO RECTA 5 MILTEX 7-2 Estado: Bueno Placa anterior: 000025661 Material: ACERO INOXIDABLE Color: PLATEADO Referencia:  Observacion:  Placa padre: Tipo adquisicion: Entidad</v>
      </c>
      <c r="G13981" s="5"/>
    </row>
    <row r="13982" spans="1:7" ht="58.5" customHeight="1" x14ac:dyDescent="0.25">
      <c r="A13982" s="5" t="str">
        <f>"B0005352"</f>
        <v>B0005352</v>
      </c>
      <c r="B13982" s="5" t="str">
        <f>"TIJERA RETIRO DE SUTURA"</f>
        <v>TIJERA RETIRO DE SUTURA</v>
      </c>
      <c r="C13982" s="6">
        <v>99412</v>
      </c>
      <c r="D13982" s="5"/>
      <c r="E13982" s="5" t="str">
        <f t="shared" si="718"/>
        <v>CONSULTORIO 15-CONSULTA EXTERNA</v>
      </c>
      <c r="F13982" s="5" t="str">
        <f>"Descripcion: TIJERA PARA PUNTOS LITTAUER 4 1/2 MILTEX 9-102 Estado: Bueno Placa anterior: 000025653 Material: ACERO INOXIDABLE Color: PLATEADO Referencia:  Observacion:  Placa padre: Tipo adquisicion: Entidad"</f>
        <v>Descripcion: TIJERA PARA PUNTOS LITTAUER 4 1/2 MILTEX 9-102 Estado: Bueno Placa anterior: 000025653 Material: ACERO INOXIDABLE Color: PLATEADO Referencia:  Observacion:  Placa padre: Tipo adquisicion: Entidad</v>
      </c>
      <c r="G13982" s="5"/>
    </row>
    <row r="13983" spans="1:7" ht="58.5" customHeight="1" x14ac:dyDescent="0.25">
      <c r="A13983" s="5" t="str">
        <f>"H0000513"</f>
        <v>H0000513</v>
      </c>
      <c r="B13983" s="5" t="str">
        <f>"ESCALERILLA DE 2 PASOS"</f>
        <v>ESCALERILLA DE 2 PASOS</v>
      </c>
      <c r="C13983" s="6">
        <v>4886.87</v>
      </c>
      <c r="D13983" s="5"/>
      <c r="E13983" s="5" t="str">
        <f t="shared" si="718"/>
        <v>CONSULTORIO 15-CONSULTA EXTERNA</v>
      </c>
      <c r="F13983" s="5" t="str">
        <f>"Descripcion: ESCALA TIPO B (2 PASOS) Estado: Bueno Placa anterior: 000004733 Material: METAL MADERA Color: VERDE Referencia:  Observacion:  Placa padre: Tipo adquisicion: Entidad"</f>
        <v>Descripcion: ESCALA TIPO B (2 PASOS) Estado: Bueno Placa anterior: 000004733 Material: METAL MADERA Color: VERDE Referencia:  Observacion:  Placa padre: Tipo adquisicion: Entidad</v>
      </c>
      <c r="G13983" s="5"/>
    </row>
    <row r="13984" spans="1:7" ht="58.5" customHeight="1" x14ac:dyDescent="0.25">
      <c r="A13984" s="5" t="str">
        <f>"H0000514"</f>
        <v>H0000514</v>
      </c>
      <c r="B13984" s="5" t="str">
        <f>"RIÑONERA HOSPITALARIA EN ACERO INOXIDABLE"</f>
        <v>RIÑONERA HOSPITALARIA EN ACERO INOXIDABLE</v>
      </c>
      <c r="C13984" s="6">
        <v>29000</v>
      </c>
      <c r="D13984" s="5"/>
      <c r="E13984" s="5" t="str">
        <f t="shared" si="718"/>
        <v>CONSULTORIO 15-CONSULTA EXTERNA</v>
      </c>
      <c r="F13984" s="5" t="str">
        <f>"Descripcion: RIÑONERA EN ACERO INOXIDABLE DE 23 CMS DE LARGO Estado: Bueno Placa anterior: 000025665 Material: ACERO Color: PLATA Referencia:  Observacion:  Placa padre: Tipo adquisicion: Entidad"</f>
        <v>Descripcion: RIÑONERA EN ACERO INOXIDABLE DE 23 CMS DE LARGO Estado: Bueno Placa anterior: 000025665 Material: ACERO Color: PLATA Referencia:  Observacion:  Placa padre: Tipo adquisicion: Entidad</v>
      </c>
      <c r="G13984" s="5"/>
    </row>
    <row r="13985" spans="1:7" ht="58.5" customHeight="1" x14ac:dyDescent="0.25">
      <c r="A13985" s="5" t="str">
        <f>"H0000515"</f>
        <v>H0000515</v>
      </c>
      <c r="B13985" s="5" t="str">
        <f>"PLATON NIQUELADO – INOXIDABLE"</f>
        <v>PLATON NIQUELADO – INOXIDABLE</v>
      </c>
      <c r="C13985" s="6">
        <v>54520</v>
      </c>
      <c r="D13985" s="5"/>
      <c r="E13985" s="5" t="str">
        <f t="shared" si="718"/>
        <v>CONSULTORIO 15-CONSULTA EXTERNA</v>
      </c>
      <c r="F13985" s="5" t="str">
        <f>"Descripcion: PLATON EN ACERO INOX. DE 25X 5 1/2 CMS Estado: Bueno Placa anterior: 000025667 Material: ACERO Color: PLATA Referencia:  Observacion:  Placa padre: Tipo adquisicion: Entidad"</f>
        <v>Descripcion: PLATON EN ACERO INOX. DE 25X 5 1/2 CMS Estado: Bueno Placa anterior: 000025667 Material: ACERO Color: PLATA Referencia:  Observacion:  Placa padre: Tipo adquisicion: Entidad</v>
      </c>
      <c r="G13985" s="5"/>
    </row>
    <row r="13986" spans="1:7" ht="58.5" customHeight="1" x14ac:dyDescent="0.25">
      <c r="A13986" s="5" t="str">
        <f>"H0000516"</f>
        <v>H0000516</v>
      </c>
      <c r="B13986" s="5" t="str">
        <f>"CAMILLA DE TRASLADO CON BARANDAS"</f>
        <v>CAMILLA DE TRASLADO CON BARANDAS</v>
      </c>
      <c r="C13986" s="6">
        <v>11872786</v>
      </c>
      <c r="D13986" s="5" t="s">
        <v>446</v>
      </c>
      <c r="E13986" s="5" t="str">
        <f t="shared" si="718"/>
        <v>CONSULTORIO 15-CONSULTA EXTERNA</v>
      </c>
      <c r="F13986" s="5" t="str">
        <f>"Descripcion: CAMILLA PARA TRASPORTAR PACIENTES CON BARANDA CON RODACHINES  TIENE COLCHONETA MIDE 82X165X77 CM Estado: Bueno Placa anterior: 000030275 Material: METAL Color: BLANCA Referencia:  Observacion:  Placa padre: Tipo adquisicion: Entidad"</f>
        <v>Descripcion: CAMILLA PARA TRASPORTAR PACIENTES CON BARANDA CON RODACHINES  TIENE COLCHONETA MIDE 82X165X77 CM Estado: Bueno Placa anterior: 000030275 Material: METAL Color: BLANCA Referencia:  Observacion:  Placa padre: Tipo adquisicion: Entidad</v>
      </c>
      <c r="G13986" s="5"/>
    </row>
    <row r="13987" spans="1:7" ht="58.5" customHeight="1" x14ac:dyDescent="0.25">
      <c r="A13987" s="5" t="str">
        <f>"H0000519"</f>
        <v>H0000519</v>
      </c>
      <c r="B13987" s="5" t="str">
        <f>"SILLA INTERLOCUTORA (FIJA) SIN BRAZOS"</f>
        <v>SILLA INTERLOCUTORA (FIJA) SIN BRAZOS</v>
      </c>
      <c r="C13987" s="6">
        <v>6949.69</v>
      </c>
      <c r="D13987" s="5"/>
      <c r="E13987" s="5" t="str">
        <f t="shared" si="718"/>
        <v>CONSULTORIO 15-CONSULTA EXTERNA</v>
      </c>
      <c r="F13987" s="5" t="str">
        <f>"Descripcion: SILLA FIJA TIPO A COLOR MARRON TAPIZADA EN SISNTETICO Estado: Bueno Placa anterior: 000021158 Material: METAL Y MADERA Color: GRIS Y MARRON Referencia:  Observacion:  Placa padre: Tipo adquisicion: Entidad"</f>
        <v>Descripcion: SILLA FIJA TIPO A COLOR MARRON TAPIZADA EN SISNTETICO Estado: Bueno Placa anterior: 000021158 Material: METAL Y MADERA Color: GRIS Y MARRON Referencia:  Observacion:  Placa padre: Tipo adquisicion: Entidad</v>
      </c>
      <c r="G13987" s="5"/>
    </row>
    <row r="13988" spans="1:7" ht="58.5" customHeight="1" x14ac:dyDescent="0.25">
      <c r="A13988" s="5" t="str">
        <f>"H0000520"</f>
        <v>H0000520</v>
      </c>
      <c r="B13988" s="5" t="str">
        <f>"MESA (CARRO) DE CURACIONES"</f>
        <v>MESA (CARRO) DE CURACIONES</v>
      </c>
      <c r="C13988" s="6">
        <v>27000</v>
      </c>
      <c r="D13988" s="5"/>
      <c r="E13988" s="5" t="str">
        <f t="shared" si="718"/>
        <v>CONSULTORIO 15-CONSULTA EXTERNA</v>
      </c>
      <c r="F13988" s="5" t="str">
        <f>"Descripcion: MESA CARRO DE CURACIONES DE DOS COMPARTIMIENTOS  EN LA PARTE SUPERIOR TIENE ARANDELA DE FORMA RECTA Y EN LA PARTE INFERIOR DE FORMA CIRCULAR  MIDE 75X80X50 CM Estado: Bueno Placa anterior: 000009398 Material: METALICA Color: BEIS Referencia: "&amp; " Observacion:  Placa padre: Tipo adquisicion: Entidad"</f>
        <v>Descripcion: MESA CARRO DE CURACIONES DE DOS COMPARTIMIENTOS  EN LA PARTE SUPERIOR TIENE ARANDELA DE FORMA RECTA Y EN LA PARTE INFERIOR DE FORMA CIRCULAR  MIDE 75X80X50 CM Estado: Bueno Placa anterior: 000009398 Material: METALICA Color: BEIS Referencia:  Observacion:  Placa padre: Tipo adquisicion: Entidad</v>
      </c>
      <c r="G13988" s="5"/>
    </row>
    <row r="13989" spans="1:7" ht="58.5" customHeight="1" x14ac:dyDescent="0.25">
      <c r="A13989" s="5" t="str">
        <f>"H0000523"</f>
        <v>H0000523</v>
      </c>
      <c r="B13989" s="5" t="str">
        <f>"SILLA INTERLOCUTORA (FIJA) SIN BRAZOS"</f>
        <v>SILLA INTERLOCUTORA (FIJA) SIN BRAZOS</v>
      </c>
      <c r="C13989" s="6">
        <v>6949.69</v>
      </c>
      <c r="D13989" s="5"/>
      <c r="E13989" s="5" t="str">
        <f t="shared" si="718"/>
        <v>CONSULTORIO 15-CONSULTA EXTERNA</v>
      </c>
      <c r="F13989" s="5" t="str">
        <f>"Descripcion: TAPIZADA EN SINTETICO NEGRO Estado: Bueno Placa anterior: 000005963 Material: METAL Y MADERA Color: GRIS Y NEGRO Referencia:  Observacion:  Placa padre: Tipo adquisicion: Entidad"</f>
        <v>Descripcion: TAPIZADA EN SINTETICO NEGRO Estado: Bueno Placa anterior: 000005963 Material: METAL Y MADERA Color: GRIS Y NEGRO Referencia:  Observacion:  Placa padre: Tipo adquisicion: Entidad</v>
      </c>
      <c r="G13989" s="5"/>
    </row>
    <row r="13990" spans="1:7" ht="58.5" customHeight="1" x14ac:dyDescent="0.25">
      <c r="A13990" s="5" t="str">
        <f>"H0000526"</f>
        <v>H0000526</v>
      </c>
      <c r="B13990" s="5" t="str">
        <f>"VITRINA DE 1 CUERPO"</f>
        <v>VITRINA DE 1 CUERPO</v>
      </c>
      <c r="C13990" s="6">
        <v>18700</v>
      </c>
      <c r="D13990" s="5"/>
      <c r="E13990" s="5" t="str">
        <f t="shared" si="718"/>
        <v>CONSULTORIO 15-CONSULTA EXTERNA</v>
      </c>
      <c r="F13990" s="5" t="str">
        <f>"Descripcion: VITRINA DE 1 SOLO CUERPO PUERTA MARCO METÁLICO CON VIDRIO LISO Y 1 GAVETA MIDE 133X50X40 Estado: Bueno Placa anterior: 000009430 Material: METAL Color: CREMA Referencia:  Observacion:  Placa padre: Tipo adquisicion: Entidad"</f>
        <v>Descripcion: VITRINA DE 1 SOLO CUERPO PUERTA MARCO METÁLICO CON VIDRIO LISO Y 1 GAVETA MIDE 133X50X40 Estado: Bueno Placa anterior: 000009430 Material: METAL Color: CREMA Referencia:  Observacion:  Placa padre: Tipo adquisicion: Entidad</v>
      </c>
      <c r="G13990" s="5"/>
    </row>
    <row r="13991" spans="1:7" ht="58.5" customHeight="1" x14ac:dyDescent="0.25">
      <c r="A13991" s="5" t="str">
        <f>"H0000528"</f>
        <v>H0000528</v>
      </c>
      <c r="B13991" s="5" t="str">
        <f>"VITRINA DE 2 CUERPOS"</f>
        <v>VITRINA DE 2 CUERPOS</v>
      </c>
      <c r="C13991" s="6">
        <v>75021.399999999994</v>
      </c>
      <c r="D13991" s="5"/>
      <c r="E13991" s="5" t="str">
        <f t="shared" si="718"/>
        <v>CONSULTORIO 15-CONSULTA EXTERNA</v>
      </c>
      <c r="F13991" s="5" t="str">
        <f>"Descripcion: VITRINA DE 2 CUERPOS DE 160X120X41 CON 4 COMPARTIMIENTOS EN VIDRIO PUERTA MARCO METALICO Y VIDRIO , DOS GAVETAS Y 2 CAJONES Estado: Bueno Placa anterior: 000006091 Material: METAL Color: GRIS Referencia:  Observacion:  Placa padre: Tipo adqui"&amp; "sicion: Entidad"</f>
        <v>Descripcion: VITRINA DE 2 CUERPOS DE 160X120X41 CON 4 COMPARTIMIENTOS EN VIDRIO PUERTA MARCO METALICO Y VIDRIO , DOS GAVETAS Y 2 CAJONES Estado: Bueno Placa anterior: 000006091 Material: METAL Color: GRIS Referencia:  Observacion:  Placa padre: Tipo adquisicion: Entidad</v>
      </c>
      <c r="G13991" s="5"/>
    </row>
    <row r="13992" spans="1:7" ht="58.5" customHeight="1" x14ac:dyDescent="0.25">
      <c r="A13992" s="5" t="str">
        <f>"H0000530"</f>
        <v>H0000530</v>
      </c>
      <c r="B13992" s="5" t="str">
        <f>"MESA METALICA PARA COMPUTADOR"</f>
        <v>MESA METALICA PARA COMPUTADOR</v>
      </c>
      <c r="C13992" s="6">
        <v>6952</v>
      </c>
      <c r="D13992" s="5"/>
      <c r="E13992" s="5" t="str">
        <f t="shared" si="718"/>
        <v>CONSULTORIO 15-CONSULTA EXTERNA</v>
      </c>
      <c r="F13992" s="5" t="str">
        <f>"Descripcion: 75X146X58 CM TIENE SALIDA PARA TECLADO Estado: Bueno Placa anterior: 000005854 Material: METAL Y FORMICA Color: MIEL Referencia:  Observacion: EL FUNCIONARIO AUTORIZADA QUE SE CONCILIE CON PLACA 000005854 Placa padre: Tipo adquisicion: Entida"&amp; "d"</f>
        <v>Descripcion: 75X146X58 CM TIENE SALIDA PARA TECLADO Estado: Bueno Placa anterior: 000005854 Material: METAL Y FORMICA Color: MIEL Referencia:  Observacion: EL FUNCIONARIO AUTORIZADA QUE SE CONCILIE CON PLACA 000005854 Placa padre: Tipo adquisicion: Entidad</v>
      </c>
      <c r="G13992" s="5"/>
    </row>
    <row r="13993" spans="1:7" ht="58.5" customHeight="1" x14ac:dyDescent="0.25">
      <c r="A13993" s="5" t="str">
        <f>"H0000531"</f>
        <v>H0000531</v>
      </c>
      <c r="B13993" s="5" t="str">
        <f>"IMPRESORA LASER"</f>
        <v>IMPRESORA LASER</v>
      </c>
      <c r="C13993" s="6">
        <v>657102</v>
      </c>
      <c r="D13993" s="5" t="s">
        <v>240</v>
      </c>
      <c r="E13993" s="5" t="str">
        <f t="shared" si="718"/>
        <v>CONSULTORIO 15-CONSULTA EXTERNA</v>
      </c>
      <c r="F13993" s="5" t="str">
        <f>"Descripcion: IMPRESORA LASER EN BLANCO Y NEGRO CON CAPACIDAD DE IMPRESION A DOBLE CARA AUTOMATICA, COMPATIBLE CON WINDOWS XP Y WINDOWS 7 RECOMENDADA (HP1006) Estado: Bueno Placa anterior: 000030015 Material: PASTA Color: NEGRA Referencia:  Observacion:  P"&amp; "laca padre: Tipo adquisicion: Entidad"</f>
        <v>Descripcion: IMPRESORA LASER EN BLANCO Y NEGRO CON CAPACIDAD DE IMPRESION A DOBLE CARA AUTOMATICA, COMPATIBLE CON WINDOWS XP Y WINDOWS 7 RECOMENDADA (HP1006) Estado: Bueno Placa anterior: 000030015 Material: PASTA Color: NEGRA Referencia:  Observacion:  Placa padre: Tipo adquisicion: Entidad</v>
      </c>
      <c r="G13993" s="5" t="str">
        <f>"LASERJET P160GDN"</f>
        <v>LASERJET P160GDN</v>
      </c>
    </row>
    <row r="13994" spans="1:7" ht="58.5" customHeight="1" x14ac:dyDescent="0.25">
      <c r="A13994" s="5" t="str">
        <f>"H0000533"</f>
        <v>H0000533</v>
      </c>
      <c r="B13994" s="5" t="str">
        <f>"COMPUTADOR DE MESA"</f>
        <v>COMPUTADOR DE MESA</v>
      </c>
      <c r="C13994" s="6">
        <v>2750000</v>
      </c>
      <c r="D13994" s="5"/>
      <c r="E13994" s="5" t="str">
        <f t="shared" si="718"/>
        <v>CONSULTORIO 15-CONSULTA EXTERNA</v>
      </c>
      <c r="F13994" s="5" t="str">
        <f>"Descripcion: COMPUTADOR PROCESADOR: INTEL CORE 2 DUO, DISCO DURO DE 250 GB, MEMORIA 2 GB, DVD+/ RW LIGHSCRIBE, LECTOR DE TARJETAS 16 EN 1, 8 USB, 2 PS/2, RJ45, VGA, 10/100/100, TECLADO, MOUSE OPTICO, MONITOR LCVD DE 17 DE LA MISMA MARCA CPU GARANTIA 1 AÑO"&amp; " Estado: Bueno Placa anterior: 000029078 Material: METAL Color: NEGRO Referencia: 157269E15MJYW779 Observacion:  Placa anterior:, Placa nueva=H0000535, Descripcion:TECLADO PARA MONITOR CON PUERTO USB, Serial:0121339, Marca:LENOVO, Modelo:SK-8825, Material"&amp; ":PASTA, Color:NEGRO,   Referencia:, Placa anterior:, Placa nueva=H0000534, Descripcion:MONITOR LCD DE 17 PULGADAS, Serial:VNA4D74, Marca:LEVOVO, Modelo:THINKVISION, Material:PASTA, Color:NEGRO,   Referencia:, Placa anterior:, Placa nueva=H0000536, Descrip"&amp; "cion:MOUSE OPTICO USB 3 BOTONES, Serial:44X9841-119, Marca:LENOVO, Modelo:, Material:PASTA, Color:NEGRO,   Referencia: Placa padre: Tipo adquisicion: Entidad"</f>
        <v>Descripcion: COMPUTADOR PROCESADOR: INTEL CORE 2 DUO, DISCO DURO DE 250 GB, MEMORIA 2 GB, DVD+/ RW LIGHSCRIBE, LECTOR DE TARJETAS 16 EN 1, 8 USB, 2 PS/2, RJ45, VGA, 10/100/100, TECLADO, MOUSE OPTICO, MONITOR LCVD DE 17 DE LA MISMA MARCA CPU GARANTIA 1 AÑO Estado: Bueno Placa anterior: 000029078 Material: METAL Color: NEGRO Referencia: 157269E15MJYW779 Observacion:  Placa anterior:, Placa nueva=H0000535, Descripcion:TECLADO PARA MONITOR CON PUERTO USB, Serial:0121339, Marca:LENOVO, Modelo:SK-8825, Material:PASTA, Color:NEGRO,   Referencia:, Placa anterior:, Placa nueva=H0000534, Descripcion:MONITOR LCD DE 17 PULGADAS, Serial:VNA4D74, Marca:LEVOVO, Modelo:THINKVISION, Material:PASTA, Color:NEGRO,   Referencia:, Placa anterior:, Placa nueva=H0000536, Descripcion:MOUSE OPTICO USB 3 BOTONES, Serial:44X9841-119, Marca:LENOVO, Modelo:, Material:PASTA, Color:NEGRO,   Referencia: Placa padre: Tipo adquisicion: Entidad</v>
      </c>
      <c r="G13994" s="5" t="str">
        <f>"THINKCENTER"</f>
        <v>THINKCENTER</v>
      </c>
    </row>
    <row r="13995" spans="1:7" ht="58.5" customHeight="1" x14ac:dyDescent="0.25">
      <c r="A13995" s="5" t="str">
        <f>"H0021973"</f>
        <v>H0021973</v>
      </c>
      <c r="B13995" s="5" t="str">
        <f>"CUBETA DE ACERO INOXIDABLE CON TAPA MEDIANA"</f>
        <v>CUBETA DE ACERO INOXIDABLE CON TAPA MEDIANA</v>
      </c>
      <c r="C13995" s="6">
        <v>98600</v>
      </c>
      <c r="D13995" s="5"/>
      <c r="E13995" s="5" t="str">
        <f t="shared" si="718"/>
        <v>CONSULTORIO 15-CONSULTA EXTERNA</v>
      </c>
      <c r="F13995" s="5" t="str">
        <f>"Descripcion: CUBETA CON TAPA EN ACERO INOXIDABLE DE 33 X 16.8 X 4 Estado: Bueno Placa anterior: 000025666 Material: ACERO INOXIDABLE Color: PLATEADO Referencia:  Observacion:  Placa padre: Tipo adquisicion: Entidad"</f>
        <v>Descripcion: CUBETA CON TAPA EN ACERO INOXIDABLE DE 33 X 16.8 X 4 Estado: Bueno Placa anterior: 000025666 Material: ACERO INOXIDABLE Color: PLATEADO Referencia:  Observacion:  Placa padre: Tipo adquisicion: Entidad</v>
      </c>
      <c r="G13995" s="5"/>
    </row>
    <row r="13996" spans="1:7" ht="58.5" customHeight="1" x14ac:dyDescent="0.25">
      <c r="A13996" s="5" t="str">
        <f>"H0025395"</f>
        <v>H0025395</v>
      </c>
      <c r="B1399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3996" s="6">
        <v>312156</v>
      </c>
      <c r="D13996" s="5" t="s">
        <v>10</v>
      </c>
      <c r="E13996" s="5" t="str">
        <f t="shared" si="718"/>
        <v>CONSULTORIO 15-CONSULTA EXTERNA</v>
      </c>
      <c r="F13996" s="5"/>
      <c r="G13996" s="5"/>
    </row>
    <row r="13997" spans="1:7" ht="58.5" customHeight="1" x14ac:dyDescent="0.25">
      <c r="A13997" s="5" t="str">
        <f>"H0027194"</f>
        <v>H0027194</v>
      </c>
      <c r="B1399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3997" s="6">
        <v>2641800</v>
      </c>
      <c r="D13997" s="5" t="s">
        <v>38</v>
      </c>
      <c r="E13997" s="5" t="str">
        <f t="shared" si="718"/>
        <v>CONSULTORIO 15-CONSULTA EXTERNA</v>
      </c>
      <c r="F13997" s="5"/>
      <c r="G13997" s="5"/>
    </row>
    <row r="13998" spans="1:7" ht="58.5" customHeight="1" x14ac:dyDescent="0.25">
      <c r="A13998" s="5" t="str">
        <f>"H0027538"</f>
        <v>H0027538</v>
      </c>
      <c r="B13998" s="5" t="str">
        <f>"LECTOR DE HUELLAS DIGITALES"</f>
        <v>LECTOR DE HUELLAS DIGITALES</v>
      </c>
      <c r="C13998" s="6">
        <v>234000.41</v>
      </c>
      <c r="D13998" s="5" t="s">
        <v>83</v>
      </c>
      <c r="E13998" s="5" t="str">
        <f t="shared" si="718"/>
        <v>CONSULTORIO 15-CONSULTA EXTERNA</v>
      </c>
      <c r="F13998" s="5"/>
      <c r="G13998" s="5"/>
    </row>
    <row r="13999" spans="1:7" ht="58.5" customHeight="1" x14ac:dyDescent="0.25">
      <c r="A13999" s="5" t="str">
        <f>"H0037132"</f>
        <v>H0037132</v>
      </c>
      <c r="B13999" s="5" t="str">
        <f>"TALLIMETRO CAPACIDAD 20-205 CM (DONACION)"</f>
        <v>TALLIMETRO CAPACIDAD 20-205 CM (DONACION)</v>
      </c>
      <c r="C13999" s="6">
        <v>1254705.99</v>
      </c>
      <c r="D13999" s="5" t="s">
        <v>136</v>
      </c>
      <c r="E13999" s="5" t="str">
        <f t="shared" si="718"/>
        <v>CONSULTORIO 15-CONSULTA EXTERNA</v>
      </c>
      <c r="F13999" s="5"/>
      <c r="G13999" s="5"/>
    </row>
    <row r="14000" spans="1:7" ht="58.5" customHeight="1" x14ac:dyDescent="0.25">
      <c r="A14000" s="5" t="str">
        <f>"H0037199"</f>
        <v>H0037199</v>
      </c>
      <c r="B14000" s="5" t="str">
        <f>"BASCULA: Capacidad: 200 kg, División: 100 g &lt; 150 kg &gt; 200 g, Dimensiones (AxAxP):321 x 61 x 362 mm, Peso: 4,1 kg"</f>
        <v>BASCULA: Capacidad: 200 kg, División: 100 g &lt; 150 kg &gt; 200 g, Dimensiones (AxAxP):321 x 61 x 362 mm, Peso: 4,1 kg</v>
      </c>
      <c r="C14000" s="6">
        <v>3588386.01</v>
      </c>
      <c r="D14000" s="5" t="s">
        <v>160</v>
      </c>
      <c r="E14000" s="5" t="str">
        <f t="shared" si="718"/>
        <v>CONSULTORIO 15-CONSULTA EXTERNA</v>
      </c>
      <c r="F14000" s="5"/>
      <c r="G14000" s="5"/>
    </row>
    <row r="14001" spans="1:7" ht="58.5" customHeight="1" x14ac:dyDescent="0.25">
      <c r="A14001" s="5" t="str">
        <f>"B0000241"</f>
        <v>B0000241</v>
      </c>
      <c r="B14001" s="5" t="str">
        <f>"EQUIPO ORGANOS DE LOS SENTIDOS PORTATIL"</f>
        <v>EQUIPO ORGANOS DE LOS SENTIDOS PORTATIL</v>
      </c>
      <c r="C14001" s="6">
        <v>928000</v>
      </c>
      <c r="D14001" s="5"/>
      <c r="E14001" s="5" t="str">
        <f t="shared" ref="E14001:E14018" si="720">"CONSULTORIO 16-CONSULTA EXTERNA"</f>
        <v>CONSULTORIO 16-CONSULTA EXTERNA</v>
      </c>
      <c r="F14001" s="5" t="str">
        <f>"Descripcion:EQUIPO ORGANO DE LOS SENTIDOS, 2 PIEZAS OTOSCOPIO Y OFTALMOSCOPIO Estado: Excelente Placa anterior: 000039058 Material: PASTA Y CAUCHO Color: NEGRO Referencia:  Observacion:  Placa padre:  Tipo adquisicion : Entidad"</f>
        <v>Descripcion:EQUIPO ORGANO DE LOS SENTIDOS, 2 PIEZAS OTOSCOPIO Y OFTALMOSCOPIO Estado: Excelente Placa anterior: 000039058 Material: PASTA Y CAUCHO Color: NEGRO Referencia:  Observacion:  Placa padre:  Tipo adquisicion : Entidad</v>
      </c>
      <c r="G14001" s="5" t="str">
        <f>"92871-BLK"</f>
        <v>92871-BLK</v>
      </c>
    </row>
    <row r="14002" spans="1:7" ht="58.5" customHeight="1" x14ac:dyDescent="0.25">
      <c r="A14002" s="5" t="str">
        <f>"H0000271"</f>
        <v>H0000271</v>
      </c>
      <c r="B14002" s="5" t="str">
        <f>"SILLA INTERLOCUTORA (FIJA) SIN BRAZOS"</f>
        <v>SILLA INTERLOCUTORA (FIJA) SIN BRAZOS</v>
      </c>
      <c r="C14002" s="6">
        <v>6949.64</v>
      </c>
      <c r="D14002" s="5"/>
      <c r="E14002" s="5" t="str">
        <f t="shared" si="720"/>
        <v>CONSULTORIO 16-CONSULTA EXTERNA</v>
      </c>
      <c r="F14002" s="5" t="str">
        <f>"Descripcion: SILLA FIJA TIPO A COLOR MARRON Estado: Bueno Placa anterior: 000006144 Material: METAL Y TAPIZADO EN CUERINA Color: GRIS Y MARRON Referencia:  Observacion:  Placa padre: Tipo adquisicion: Entidad"</f>
        <v>Descripcion: SILLA FIJA TIPO A COLOR MARRON Estado: Bueno Placa anterior: 000006144 Material: METAL Y TAPIZADO EN CUERINA Color: GRIS Y MARRON Referencia:  Observacion:  Placa padre: Tipo adquisicion: Entidad</v>
      </c>
      <c r="G14002" s="5"/>
    </row>
    <row r="14003" spans="1:7" ht="58.5" customHeight="1" x14ac:dyDescent="0.25">
      <c r="A14003" s="5" t="str">
        <f>"H0000272"</f>
        <v>H0000272</v>
      </c>
      <c r="B14003" s="5" t="str">
        <f>"MESA (CARRO) DE CURACIONES"</f>
        <v>MESA (CARRO) DE CURACIONES</v>
      </c>
      <c r="C14003" s="6">
        <v>18975</v>
      </c>
      <c r="D14003" s="5"/>
      <c r="E14003" s="5" t="str">
        <f t="shared" si="720"/>
        <v>CONSULTORIO 16-CONSULTA EXTERNA</v>
      </c>
      <c r="F14003" s="5" t="str">
        <f>"Descripcion: CARRO DE CURACIONES C/BARANDAS Y RODACHINES Estado: Bueno Placa anterior: 000006005 Material: METAL Y BANDEJA EN ACERO Color: GRIS Referencia:  Observacion:  Placa padre: Tipo adquisicion: Entidad"</f>
        <v>Descripcion: CARRO DE CURACIONES C/BARANDAS Y RODACHINES Estado: Bueno Placa anterior: 000006005 Material: METAL Y BANDEJA EN ACERO Color: GRIS Referencia:  Observacion:  Placa padre: Tipo adquisicion: Entidad</v>
      </c>
      <c r="G14003" s="5"/>
    </row>
    <row r="14004" spans="1:7" ht="58.5" customHeight="1" x14ac:dyDescent="0.25">
      <c r="A14004" s="5" t="str">
        <f>"H0000274"</f>
        <v>H0000274</v>
      </c>
      <c r="B14004" s="5" t="str">
        <f>"VITRINA DE 1 CUERPO"</f>
        <v>VITRINA DE 1 CUERPO</v>
      </c>
      <c r="C14004" s="6">
        <v>20208</v>
      </c>
      <c r="D14004" s="5"/>
      <c r="E14004" s="5" t="str">
        <f t="shared" si="720"/>
        <v>CONSULTORIO 16-CONSULTA EXTERNA</v>
      </c>
      <c r="F14004" s="5" t="str">
        <f>"Descripcion: VITRINA DE 1 UNCUERPO, ANCHO 50 X ALTO 170 X FONDO 30 CM Estado: Bueno Placa anterior: 000005993 Material: METAL  Color: GRIS Referencia:  Observacion:  Placa padre: Tipo adquisicion: Entidad"</f>
        <v>Descripcion: VITRINA DE 1 UNCUERPO, ANCHO 50 X ALTO 170 X FONDO 30 CM Estado: Bueno Placa anterior: 000005993 Material: METAL  Color: GRIS Referencia:  Observacion:  Placa padre: Tipo adquisicion: Entidad</v>
      </c>
      <c r="G14004" s="5"/>
    </row>
    <row r="14005" spans="1:7" ht="58.5" customHeight="1" x14ac:dyDescent="0.25">
      <c r="A14005" s="5" t="str">
        <f>"H0000278"</f>
        <v>H0000278</v>
      </c>
      <c r="B14005" s="5" t="str">
        <f>"TENSIOMETRO ANEROIDE DE MANO ADULTO"</f>
        <v>TENSIOMETRO ANEROIDE DE MANO ADULTO</v>
      </c>
      <c r="C14005" s="6">
        <v>46603</v>
      </c>
      <c r="D14005" s="5"/>
      <c r="E14005" s="5" t="str">
        <f t="shared" si="720"/>
        <v>CONSULTORIO 16-CONSULTA EXTERNA</v>
      </c>
      <c r="F14005" s="5" t="str">
        <f>"Descripcion: TENSIOMETRO RODABLE, BASE METALICA Estado: Bueno Placa anterior: 000006004 Material: METAL  Y PASTA Color: GRIS Referencia:  Observacion:  Placa padre: Tipo adquisicion: Entidad"</f>
        <v>Descripcion: TENSIOMETRO RODABLE, BASE METALICA Estado: Bueno Placa anterior: 000006004 Material: METAL  Y PASTA Color: GRIS Referencia:  Observacion:  Placa padre: Tipo adquisicion: Entidad</v>
      </c>
      <c r="G14005" s="5" t="str">
        <f>"PEDESTAL"</f>
        <v>PEDESTAL</v>
      </c>
    </row>
    <row r="14006" spans="1:7" ht="58.5" customHeight="1" x14ac:dyDescent="0.25">
      <c r="A14006" s="5" t="str">
        <f>"H0000280"</f>
        <v>H0000280</v>
      </c>
      <c r="B14006" s="5" t="str">
        <f>"IMPRESORA LASER"</f>
        <v>IMPRESORA LASER</v>
      </c>
      <c r="C14006" s="6">
        <v>2400000</v>
      </c>
      <c r="D14006" s="5"/>
      <c r="E14006" s="5" t="str">
        <f t="shared" si="720"/>
        <v>CONSULTORIO 16-CONSULTA EXTERNA</v>
      </c>
      <c r="F14006" s="5" t="str">
        <f>"Descripcion: IMPRESORA LASER MARCA HP REF. P3005 DN  Estado: Bueno Placa anterior: 000028843 Material: PASTA Color: BLANCO Y GRIS Referencia: Q7815A Observacion:  Placa padre: Tipo adquisicion: Entidad"</f>
        <v>Descripcion: IMPRESORA LASER MARCA HP REF. P3005 DN  Estado: Bueno Placa anterior: 000028843 Material: PASTA Color: BLANCO Y GRIS Referencia: Q7815A Observacion:  Placa padre: Tipo adquisicion: Entidad</v>
      </c>
      <c r="G14006" s="5"/>
    </row>
    <row r="14007" spans="1:7" ht="58.5" customHeight="1" x14ac:dyDescent="0.25">
      <c r="A14007" s="5" t="str">
        <f>"H0000289"</f>
        <v>H0000289</v>
      </c>
      <c r="B14007" s="5" t="str">
        <f>"SILLA INTERLOCUTORA (FIJA) SIN BRAZOS"</f>
        <v>SILLA INTERLOCUTORA (FIJA) SIN BRAZOS</v>
      </c>
      <c r="C14007" s="6">
        <v>6949.69</v>
      </c>
      <c r="D14007" s="5"/>
      <c r="E14007" s="5" t="str">
        <f t="shared" si="720"/>
        <v>CONSULTORIO 16-CONSULTA EXTERNA</v>
      </c>
      <c r="F14007" s="5" t="str">
        <f>"Descripcion: SILLA INTERLOCUTORA FIJA SIN BRAZOS Estado: Bueno Placa anterior: 000005977 Material: TUBO REDONDO Y TAPIZADO EN CUERINA Color: GRIS Y NEGRO Referencia:  Observacion:  Placa padre: Tipo adquisicion: Entidad"</f>
        <v>Descripcion: SILLA INTERLOCUTORA FIJA SIN BRAZOS Estado: Bueno Placa anterior: 000005977 Material: TUBO REDONDO Y TAPIZADO EN CUERINA Color: GRIS Y NEGRO Referencia:  Observacion:  Placa padre: Tipo adquisicion: Entidad</v>
      </c>
      <c r="G14007" s="5"/>
    </row>
    <row r="14008" spans="1:7" ht="58.5" customHeight="1" x14ac:dyDescent="0.25">
      <c r="A14008" s="5" t="str">
        <f>"H0000291"</f>
        <v>H0000291</v>
      </c>
      <c r="B14008" s="5" t="str">
        <f>"CAMILLA GINECOLOGICA SIN ESTRIBOS"</f>
        <v>CAMILLA GINECOLOGICA SIN ESTRIBOS</v>
      </c>
      <c r="C14008" s="6">
        <v>133045</v>
      </c>
      <c r="D14008" s="5"/>
      <c r="E14008" s="5" t="str">
        <f t="shared" si="720"/>
        <v>CONSULTORIO 16-CONSULTA EXTERNA</v>
      </c>
      <c r="F14008" s="5" t="str">
        <f>"Descripcion: CAMILLA GINECOLOGICA SIN ESTRIBOS Estado: Bueno Placa anterior: 000005985 Material: METAL Y SUPERFICIE EN CUERINA Color: GRIS Y NEGRO Referencia:  Observacion:  Placa padre: Tipo adquisicion: Entidad"</f>
        <v>Descripcion: CAMILLA GINECOLOGICA SIN ESTRIBOS Estado: Bueno Placa anterior: 000005985 Material: METAL Y SUPERFICIE EN CUERINA Color: GRIS Y NEGRO Referencia:  Observacion:  Placa padre: Tipo adquisicion: Entidad</v>
      </c>
      <c r="G14008" s="5"/>
    </row>
    <row r="14009" spans="1:7" ht="58.5" customHeight="1" x14ac:dyDescent="0.25">
      <c r="A14009" s="5" t="str">
        <f>"H0000292"</f>
        <v>H0000292</v>
      </c>
      <c r="B14009" s="5" t="str">
        <f>"ESCALERILLA DE 2 PASOS"</f>
        <v>ESCALERILLA DE 2 PASOS</v>
      </c>
      <c r="C14009" s="6">
        <v>4826</v>
      </c>
      <c r="D14009" s="5"/>
      <c r="E14009" s="5" t="str">
        <f t="shared" si="720"/>
        <v>CONSULTORIO 16-CONSULTA EXTERNA</v>
      </c>
      <c r="F14009" s="5" t="str">
        <f>"Descripcion: ESCALERA DE DOS PASOS Estado: Bueno Placa anterior: 000005984 Material: TUBO REDONDO Y PASOS EN MADERA Color: GRIS Referencia:  Observacion:  Placa padre: Tipo adquisicion: Entidad"</f>
        <v>Descripcion: ESCALERA DE DOS PASOS Estado: Bueno Placa anterior: 000005984 Material: TUBO REDONDO Y PASOS EN MADERA Color: GRIS Referencia:  Observacion:  Placa padre: Tipo adquisicion: Entidad</v>
      </c>
      <c r="G14009" s="5"/>
    </row>
    <row r="14010" spans="1:7" ht="58.5" customHeight="1" x14ac:dyDescent="0.25">
      <c r="A14010" s="5" t="str">
        <f>"H0000293"</f>
        <v>H0000293</v>
      </c>
      <c r="B14010" s="5" t="str">
        <f>"TENSIOMETRO ANEROIDE DE PARED ADULTO"</f>
        <v>TENSIOMETRO ANEROIDE DE PARED ADULTO</v>
      </c>
      <c r="C14010" s="6">
        <v>16837.13</v>
      </c>
      <c r="D14010" s="5"/>
      <c r="E14010" s="5" t="str">
        <f t="shared" si="720"/>
        <v>CONSULTORIO 16-CONSULTA EXTERNA</v>
      </c>
      <c r="F14010" s="5" t="str">
        <f>"Descripcion: TENSIOMETRO DE PARED - ADULTOS Estado: Bueno Placa anterior: 000019710 Material: PASTA Color: GRIS CON NEGRO Referencia:  Observacion: AUTORIZADO CONCILIAR EN CRUCE GENERAL Placa padre: Tipo adquisicion: Entidad"</f>
        <v>Descripcion: TENSIOMETRO DE PARED - ADULTOS Estado: Bueno Placa anterior: 000019710 Material: PASTA Color: GRIS CON NEGRO Referencia:  Observacion: AUTORIZADO CONCILIAR EN CRUCE GENERAL Placa padre: Tipo adquisicion: Entidad</v>
      </c>
      <c r="G14010" s="5"/>
    </row>
    <row r="14011" spans="1:7" ht="58.5" customHeight="1" x14ac:dyDescent="0.25">
      <c r="A14011" s="5" t="str">
        <f>"H0000295"</f>
        <v>H0000295</v>
      </c>
      <c r="B14011" s="5" t="str">
        <f>"NEGATOSCOPIO"</f>
        <v>NEGATOSCOPIO</v>
      </c>
      <c r="C14011" s="6">
        <v>15208</v>
      </c>
      <c r="D14011" s="5"/>
      <c r="E14011" s="5" t="str">
        <f t="shared" si="720"/>
        <v>CONSULTORIO 16-CONSULTA EXTERNA</v>
      </c>
      <c r="F14011" s="5" t="str">
        <f>"Descripcion: NEGATOSCOPIO DE 1 CUERPO Estado: Bueno Placa anterior: 000005991 Material: METAL Y LAMINA EN ACRILICO Color: BEIGE Referencia:  Observacion:  Placa padre: Tipo adquisicion: Entidad"</f>
        <v>Descripcion: NEGATOSCOPIO DE 1 CUERPO Estado: Bueno Placa anterior: 000005991 Material: METAL Y LAMINA EN ACRILICO Color: BEIGE Referencia:  Observacion:  Placa padre: Tipo adquisicion: Entidad</v>
      </c>
      <c r="G14011" s="5" t="str">
        <f>"1 CUERPO"</f>
        <v>1 CUERPO</v>
      </c>
    </row>
    <row r="14012" spans="1:7" ht="58.5" customHeight="1" x14ac:dyDescent="0.25">
      <c r="A14012" s="5" t="str">
        <f>"H0002023"</f>
        <v>H0002023</v>
      </c>
      <c r="B14012" s="5" t="str">
        <f>"TENSIOMETRO ANEROIDE DE PARED ADULTO"</f>
        <v>TENSIOMETRO ANEROIDE DE PARED ADULTO</v>
      </c>
      <c r="C14012" s="6">
        <v>464000</v>
      </c>
      <c r="D14012" s="5"/>
      <c r="E14012" s="5" t="str">
        <f t="shared" si="720"/>
        <v>CONSULTORIO 16-CONSULTA EXTERNA</v>
      </c>
      <c r="F14012" s="5" t="str">
        <f>"Descripcion:TENSIOMETRO ADULTO DE PARED, CON BRAZALETE COLOR NEGRO Estado: Excelente Placa anterior: 000039078 Material: PASTA Color: AZUL Y GRIS Referencia:  Observacion:  Placa padre:  Tipo adquisicion : Entidad"</f>
        <v>Descripcion:TENSIOMETRO ADULTO DE PARED, CON BRAZALETE COLOR NEGRO Estado: Excelente Placa anterior: 000039078 Material: PASTA Color: AZUL Y GRIS Referencia:  Observacion:  Placa padre:  Tipo adquisicion : Entidad</v>
      </c>
      <c r="G14012" s="5" t="str">
        <f>"BIG BEN ROUND1459"</f>
        <v>BIG BEN ROUND1459</v>
      </c>
    </row>
    <row r="14013" spans="1:7" ht="58.5" customHeight="1" x14ac:dyDescent="0.25">
      <c r="A14013" s="5" t="str">
        <f>"H0009014"</f>
        <v>H0009014</v>
      </c>
      <c r="B14013" s="5" t="str">
        <f>"EQUIPO ORGANOS DE LOS SENTIDOS PORTATIL"</f>
        <v>EQUIPO ORGANOS DE LOS SENTIDOS PORTATIL</v>
      </c>
      <c r="C14013" s="6">
        <v>928000</v>
      </c>
      <c r="D14013" s="5" t="s">
        <v>382</v>
      </c>
      <c r="E14013" s="5" t="str">
        <f t="shared" si="720"/>
        <v>CONSULTORIO 16-CONSULTA EXTERNA</v>
      </c>
      <c r="F14013" s="5" t="str">
        <f>"Descripcion:EQUIPO ORGANO DE LOS SENTIDOS - ESTUCHE NEGRO - PIEZAS EN ACERO Y PASTA NOTA: ESTUCHE INCOMPLETO Estado: Malo Placa anterior: 000039062 Material: ACERO Y PASTA Color: NEGRO Y PLATEADO Referencia:  Observacion:  Placa padre:  Tipo adquisicion :"&amp; " Entidad"</f>
        <v>Descripcion:EQUIPO ORGANO DE LOS SENTIDOS - ESTUCHE NEGRO - PIEZAS EN ACERO Y PASTA NOTA: ESTUCHE INCOMPLETO Estado: Malo Placa anterior: 000039062 Material: ACERO Y PASTA Color: NEGRO Y PLATEADO Referencia:  Observacion:  Placa padre:  Tipo adquisicion : Entidad</v>
      </c>
      <c r="G14013" s="5"/>
    </row>
    <row r="14014" spans="1:7" ht="58.5" customHeight="1" x14ac:dyDescent="0.25">
      <c r="A14014" s="5" t="str">
        <f>"H0019868"</f>
        <v>H0019868</v>
      </c>
      <c r="B14014" s="5" t="str">
        <f>"EQUIPO ORGANOS DE LOS SENTIDOS PORTATIL"</f>
        <v>EQUIPO ORGANOS DE LOS SENTIDOS PORTATIL</v>
      </c>
      <c r="C14014" s="6">
        <v>928000</v>
      </c>
      <c r="D14014" s="5"/>
      <c r="E14014" s="5" t="str">
        <f t="shared" si="720"/>
        <v>CONSULTORIO 16-CONSULTA EXTERNA</v>
      </c>
      <c r="F14014" s="5" t="str">
        <f>"Descripcion:EQUIPO ORGANO DE LOS SENTIDOS, 2 PIEZAS OTOSCOPIO Y OFTALMOSCOPIO Estado: Excelente Placa anterior: 000039063 Material: PASTA Y CAUCHO Color: NEGRO Referencia:  Observacion:  Placa padre:  Tipo adquisicion : Entidad"</f>
        <v>Descripcion:EQUIPO ORGANO DE LOS SENTIDOS, 2 PIEZAS OTOSCOPIO Y OFTALMOSCOPIO Estado: Excelente Placa anterior: 000039063 Material: PASTA Y CAUCHO Color: NEGRO Referencia:  Observacion:  Placa padre:  Tipo adquisicion : Entidad</v>
      </c>
      <c r="G14014" s="5" t="str">
        <f>"92871-BLK"</f>
        <v>92871-BLK</v>
      </c>
    </row>
    <row r="14015" spans="1:7" ht="58.5" customHeight="1" x14ac:dyDescent="0.25">
      <c r="A14015" s="5" t="str">
        <f>"H0025316"</f>
        <v>H0025316</v>
      </c>
      <c r="B1401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015" s="6">
        <v>312156</v>
      </c>
      <c r="D14015" s="5" t="s">
        <v>10</v>
      </c>
      <c r="E14015" s="5" t="str">
        <f t="shared" si="720"/>
        <v>CONSULTORIO 16-CONSULTA EXTERNA</v>
      </c>
      <c r="F14015" s="5"/>
      <c r="G14015" s="5"/>
    </row>
    <row r="14016" spans="1:7" ht="58.5" customHeight="1" x14ac:dyDescent="0.25">
      <c r="A14016" s="5" t="str">
        <f>"H0027357"</f>
        <v>H0027357</v>
      </c>
      <c r="B1401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016" s="6">
        <v>2641800</v>
      </c>
      <c r="D14016" s="5" t="s">
        <v>83</v>
      </c>
      <c r="E14016" s="5" t="str">
        <f t="shared" si="720"/>
        <v>CONSULTORIO 16-CONSULTA EXTERNA</v>
      </c>
      <c r="F14016" s="5"/>
      <c r="G14016" s="5"/>
    </row>
    <row r="14017" spans="1:7" ht="58.5" customHeight="1" x14ac:dyDescent="0.25">
      <c r="A14017" s="5" t="str">
        <f>"H0027539"</f>
        <v>H0027539</v>
      </c>
      <c r="B14017" s="5" t="str">
        <f>"LECTOR DE HUELLAS DIGITALES"</f>
        <v>LECTOR DE HUELLAS DIGITALES</v>
      </c>
      <c r="C14017" s="6">
        <v>234000.41</v>
      </c>
      <c r="D14017" s="5" t="s">
        <v>83</v>
      </c>
      <c r="E14017" s="5" t="str">
        <f t="shared" si="720"/>
        <v>CONSULTORIO 16-CONSULTA EXTERNA</v>
      </c>
      <c r="F14017" s="5"/>
      <c r="G14017" s="5"/>
    </row>
    <row r="14018" spans="1:7" ht="58.5" customHeight="1" x14ac:dyDescent="0.25">
      <c r="A14018" s="5" t="str">
        <f>"H0034627"</f>
        <v>H0034627</v>
      </c>
      <c r="B14018" s="5" t="str">
        <f>"COMPRESOR COPELAND  MODELO : ZP83KCE-TFD-522 / 3/440V) USAR UNICAMENTE  R-410"</f>
        <v>COMPRESOR COPELAND  MODELO : ZP83KCE-TFD-522 / 3/440V) USAR UNICAMENTE  R-410</v>
      </c>
      <c r="C14018" s="6">
        <v>8625000.1600000001</v>
      </c>
      <c r="D14018" s="5" t="s">
        <v>367</v>
      </c>
      <c r="E14018" s="5" t="str">
        <f t="shared" si="720"/>
        <v>CONSULTORIO 16-CONSULTA EXTERNA</v>
      </c>
      <c r="F14018" s="5"/>
      <c r="G14018" s="5"/>
    </row>
    <row r="14019" spans="1:7" ht="58.5" customHeight="1" x14ac:dyDescent="0.25">
      <c r="A14019" s="5" t="str">
        <f>"B0000247"</f>
        <v>B0000247</v>
      </c>
      <c r="B14019" s="5" t="str">
        <f>"EQUIPO ORGANOS DE LOS SENTIDOS PORTATIL"</f>
        <v>EQUIPO ORGANOS DE LOS SENTIDOS PORTATIL</v>
      </c>
      <c r="C14019" s="6">
        <v>928000</v>
      </c>
      <c r="D14019" s="5"/>
      <c r="E14019" s="5" t="str">
        <f t="shared" ref="E14019:E14043" si="721">"CONSULTORIO 17-CONSULTA EXTERNA"</f>
        <v>CONSULTORIO 17-CONSULTA EXTERNA</v>
      </c>
      <c r="F14019" s="5" t="str">
        <f>"Descripcion:EQUIPO ORGANO DE LOS SENTIDOS, 2 PIEZAS OTOSCOPIO Y OFTALMOSCOPIO Estado: Excelente Placa anterior: 000039070 Material: PASTA Y CAUCHO Color: NEGRO Referencia:  Observacion:  Placa padre:  Tipo adquisicion : Entidad"</f>
        <v>Descripcion:EQUIPO ORGANO DE LOS SENTIDOS, 2 PIEZAS OTOSCOPIO Y OFTALMOSCOPIO Estado: Excelente Placa anterior: 000039070 Material: PASTA Y CAUCHO Color: NEGRO Referencia:  Observacion:  Placa padre:  Tipo adquisicion : Entidad</v>
      </c>
      <c r="G14019" s="5" t="str">
        <f>"92871-BLK"</f>
        <v>92871-BLK</v>
      </c>
    </row>
    <row r="14020" spans="1:7" ht="58.5" customHeight="1" x14ac:dyDescent="0.25">
      <c r="A14020" s="5" t="str">
        <f>"B0005357"</f>
        <v>B0005357</v>
      </c>
      <c r="B14020" s="5" t="str">
        <f>"FONENDOSCOPIO (ESTETOSCOPIO) PARA ADULTO"</f>
        <v>FONENDOSCOPIO (ESTETOSCOPIO) PARA ADULTO</v>
      </c>
      <c r="C14020" s="6">
        <v>172500</v>
      </c>
      <c r="D14020" s="5"/>
      <c r="E14020" s="5" t="str">
        <f t="shared" si="721"/>
        <v>CONSULTORIO 17-CONSULTA EXTERNA</v>
      </c>
      <c r="F14020" s="5" t="str">
        <f>"Descripcion: FONENDOSCOPIO LITMAN Estado: Bueno Placa anterior: 000006700 Material: ACERO INOXIDABLE Color: PLATEADO Referencia:  Observacion:  Placa padre: Tipo adquisicion: Entidad"</f>
        <v>Descripcion: FONENDOSCOPIO LITMAN Estado: Bueno Placa anterior: 000006700 Material: ACERO INOXIDABLE Color: PLATEADO Referencia:  Observacion:  Placa padre: Tipo adquisicion: Entidad</v>
      </c>
      <c r="G14020" s="5"/>
    </row>
    <row r="14021" spans="1:7" ht="58.5" customHeight="1" x14ac:dyDescent="0.25">
      <c r="A14021" s="5" t="str">
        <f>"H0000241"</f>
        <v>H0000241</v>
      </c>
      <c r="B14021" s="5" t="str">
        <f>"BASCULA ADULTO"</f>
        <v>BASCULA ADULTO</v>
      </c>
      <c r="C14021" s="6">
        <v>93285</v>
      </c>
      <c r="D14021" s="5"/>
      <c r="E14021" s="5" t="str">
        <f t="shared" si="721"/>
        <v>CONSULTORIO 17-CONSULTA EXTERNA</v>
      </c>
      <c r="F14021" s="5" t="str">
        <f>"Descripcion: BASCULA PARA ADULTO Estado: Bueno Placa anterior: 000006003 Material: METALICO Color: BEIGE Referencia:  Observacion:  Placa padre: Tipo adquisicion: Entidad"</f>
        <v>Descripcion: BASCULA PARA ADULTO Estado: Bueno Placa anterior: 000006003 Material: METALICO Color: BEIGE Referencia:  Observacion:  Placa padre: Tipo adquisicion: Entidad</v>
      </c>
      <c r="G14021" s="5"/>
    </row>
    <row r="14022" spans="1:7" ht="58.5" customHeight="1" x14ac:dyDescent="0.25">
      <c r="A14022" s="5" t="str">
        <f>"H0000246"</f>
        <v>H0000246</v>
      </c>
      <c r="B14022" s="5" t="str">
        <f>"SILLA INTERLOCUTORA (FIJA) SIN BRAZOS"</f>
        <v>SILLA INTERLOCUTORA (FIJA) SIN BRAZOS</v>
      </c>
      <c r="C14022" s="6">
        <v>6949.89</v>
      </c>
      <c r="D14022" s="5"/>
      <c r="E14022" s="5" t="str">
        <f t="shared" si="721"/>
        <v>CONSULTORIO 17-CONSULTA EXTERNA</v>
      </c>
      <c r="F14022" s="5" t="str">
        <f>"Descripcion: SILLA INTERLOCUTORA SIN BRAZOS Estado: Bueno Placa anterior: 000006148 Material: BASE METALICA Y TAPIZADO EN CUERINA Color: MARON Referencia:  Observacion:  Placa padre: Tipo adquisicion: Entidad"</f>
        <v>Descripcion: SILLA INTERLOCUTORA SIN BRAZOS Estado: Bueno Placa anterior: 000006148 Material: BASE METALICA Y TAPIZADO EN CUERINA Color: MARON Referencia:  Observacion:  Placa padre: Tipo adquisicion: Entidad</v>
      </c>
      <c r="G14022" s="5"/>
    </row>
    <row r="14023" spans="1:7" ht="58.5" customHeight="1" x14ac:dyDescent="0.25">
      <c r="A14023" s="5" t="str">
        <f>"H0000247"</f>
        <v>H0000247</v>
      </c>
      <c r="B14023" s="5" t="str">
        <f>"SILLA INTERLOCUTORA (FIJA) SIN BRAZOS"</f>
        <v>SILLA INTERLOCUTORA (FIJA) SIN BRAZOS</v>
      </c>
      <c r="C14023" s="6">
        <v>6949.64</v>
      </c>
      <c r="D14023" s="5"/>
      <c r="E14023" s="5" t="str">
        <f t="shared" si="721"/>
        <v>CONSULTORIO 17-CONSULTA EXTERNA</v>
      </c>
      <c r="F14023" s="5" t="str">
        <f>"Descripcion: SILLA INTERLOCUTORA (FIJA) SIN BRAZOS  Estado: Bueno Placa anterior: 000005998 Material: BASE METALICA Y TAPIZADO EN CUERINA Color: MARRON Referencia:  Observacion: SE ENCUENTRA EN EL CONSULTORIO 16 Placa padre: Tipo adquisicion: Entidad"</f>
        <v>Descripcion: SILLA INTERLOCUTORA (FIJA) SIN BRAZOS  Estado: Bueno Placa anterior: 000005998 Material: BASE METALICA Y TAPIZADO EN CUERINA Color: MARRON Referencia:  Observacion: SE ENCUENTRA EN EL CONSULTORIO 16 Placa padre: Tipo adquisicion: Entidad</v>
      </c>
      <c r="G14023" s="5"/>
    </row>
    <row r="14024" spans="1:7" ht="58.5" customHeight="1" x14ac:dyDescent="0.25">
      <c r="A14024" s="5" t="str">
        <f>"H0000248"</f>
        <v>H0000248</v>
      </c>
      <c r="B14024" s="5" t="str">
        <f>"SILLA INTERLOCUTORA (FIJA) SIN BRAZOS"</f>
        <v>SILLA INTERLOCUTORA (FIJA) SIN BRAZOS</v>
      </c>
      <c r="C14024" s="6">
        <v>5610</v>
      </c>
      <c r="D14024" s="5"/>
      <c r="E14024" s="5" t="str">
        <f t="shared" si="721"/>
        <v>CONSULTORIO 17-CONSULTA EXTERNA</v>
      </c>
      <c r="F14024" s="5" t="str">
        <f>"Descripcion: SILLA INTERLOCUTORA(FIJA) SIN BRAZOS Estado: Bueno Placa anterior: 000008329 Material: BASE METALICA Y TAPIZADO EN CUERINA Color: NEGRO Referencia:  Observacion:  Placa padre: Tipo adquisicion: Entidad"</f>
        <v>Descripcion: SILLA INTERLOCUTORA(FIJA) SIN BRAZOS Estado: Bueno Placa anterior: 000008329 Material: BASE METALICA Y TAPIZADO EN CUERINA Color: NEGRO Referencia:  Observacion:  Placa padre: Tipo adquisicion: Entidad</v>
      </c>
      <c r="G14024" s="5"/>
    </row>
    <row r="14025" spans="1:7" ht="58.5" customHeight="1" x14ac:dyDescent="0.25">
      <c r="A14025" s="5" t="str">
        <f>"H0000249"</f>
        <v>H0000249</v>
      </c>
      <c r="B14025" s="5" t="str">
        <f>"LOCKER DE 2 COMPARTIMIENTOS"</f>
        <v>LOCKER DE 2 COMPARTIMIENTOS</v>
      </c>
      <c r="C14025" s="6">
        <v>17000</v>
      </c>
      <c r="D14025" s="5"/>
      <c r="E14025" s="5" t="str">
        <f t="shared" si="721"/>
        <v>CONSULTORIO 17-CONSULTA EXTERNA</v>
      </c>
      <c r="F14025" s="5" t="str">
        <f>"Descripcion: LOCKER DE 2 COMPARTIMIENTOS (2 PUESTOS) MEDIDAS ALTO: 185 CM; ANCHO: 31.5 CM FONDO; 29,5 CM Estado: Regular Placa anterior: 000005909 Material: METALICO Color: GRIS Referencia:  Observacion: PUERTA DEL PRIMER COMPARTIMIENTO SE ENCUENTRA ARRUG"&amp; "ADA, NO CIERRA COMPLETAMENTE Placa padre: Tipo adquisicion: Entidad"</f>
        <v>Descripcion: LOCKER DE 2 COMPARTIMIENTOS (2 PUESTOS) MEDIDAS ALTO: 185 CM; ANCHO: 31.5 CM FONDO; 29,5 CM Estado: Regular Placa anterior: 000005909 Material: METALICO Color: GRIS Referencia:  Observacion: PUERTA DEL PRIMER COMPARTIMIENTO SE ENCUENTRA ARRUGADA, NO CIERRA COMPLETAMENTE Placa padre: Tipo adquisicion: Entidad</v>
      </c>
      <c r="G14025" s="5"/>
    </row>
    <row r="14026" spans="1:7" ht="58.5" customHeight="1" x14ac:dyDescent="0.25">
      <c r="A14026" s="5" t="str">
        <f>"H0000250"</f>
        <v>H0000250</v>
      </c>
      <c r="B14026" s="5" t="str">
        <f>"MESA DE NOCHE"</f>
        <v>MESA DE NOCHE</v>
      </c>
      <c r="C14026" s="6">
        <v>8389.33</v>
      </c>
      <c r="D14026" s="5"/>
      <c r="E14026" s="5" t="str">
        <f t="shared" si="721"/>
        <v>CONSULTORIO 17-CONSULTA EXTERNA</v>
      </c>
      <c r="F14026" s="5" t="str">
        <f>"Descripcion: MESA METALICA DE 2 GAVETAS CON SUPERFICIE EN FORMICA COLOR MADERA Estado: Bueno Placa anterior: 000005992 Material: BASE METALICA Y SUPERCIE EN FORMICA Color: GRIS  Referencia:  Observacion: TIENE PARTES OXIDADAS Placa padre: Tipo adquisicion"&amp; ": Entidad"</f>
        <v>Descripcion: MESA METALICA DE 2 GAVETAS CON SUPERFICIE EN FORMICA COLOR MADERA Estado: Bueno Placa anterior: 000005992 Material: BASE METALICA Y SUPERCIE EN FORMICA Color: GRIS  Referencia:  Observacion: TIENE PARTES OXIDADAS Placa padre: Tipo adquisicion: Entidad</v>
      </c>
      <c r="G14026" s="5"/>
    </row>
    <row r="14027" spans="1:7" ht="58.5" customHeight="1" x14ac:dyDescent="0.25">
      <c r="A14027" s="5" t="str">
        <f>"H0000252"</f>
        <v>H0000252</v>
      </c>
      <c r="B14027" s="5" t="str">
        <f>"TELEVISOR LCD 32"</f>
        <v>TELEVISOR LCD 32</v>
      </c>
      <c r="C14027" s="6">
        <v>1045000</v>
      </c>
      <c r="D14027" s="5" t="s">
        <v>521</v>
      </c>
      <c r="E14027" s="5" t="str">
        <f t="shared" si="721"/>
        <v>CONSULTORIO 17-CONSULTA EXTERNA</v>
      </c>
      <c r="F14027" s="5" t="str">
        <f>"Descripcion: TELEVISOR DE 32 Estado: Bueno Placa anterior: 000038157 Material: PASTA Color: NEGRO Referencia:  Observacion:  Placa padre: Tipo adquisicion: Entidad"</f>
        <v>Descripcion: TELEVISOR DE 32 Estado: Bueno Placa anterior: 000038157 Material: PASTA Color: NEGRO Referencia:  Observacion:  Placa padre: Tipo adquisicion: Entidad</v>
      </c>
      <c r="G14027" s="5" t="str">
        <f>"UN32J4000AKXZL"</f>
        <v>UN32J4000AKXZL</v>
      </c>
    </row>
    <row r="14028" spans="1:7" ht="58.5" customHeight="1" x14ac:dyDescent="0.25">
      <c r="A14028" s="5" t="str">
        <f>"H0000255"</f>
        <v>H0000255</v>
      </c>
      <c r="B14028" s="5" t="str">
        <f>"COMPUTADOR DE MESA"</f>
        <v>COMPUTADOR DE MESA</v>
      </c>
      <c r="C14028" s="6">
        <v>3863222</v>
      </c>
      <c r="D14028" s="5" t="s">
        <v>521</v>
      </c>
      <c r="E14028" s="5" t="str">
        <f t="shared" si="721"/>
        <v>CONSULTORIO 17-CONSULTA EXTERNA</v>
      </c>
      <c r="F14028" s="5" t="str">
        <f>"Descripcion: COMPUTADOR CPU HPPRODESK Estado: Bueno Placa anterior: 000038152 Material: PASTA Color: NEGRO Referencia:  Observacion:  Placa anterior:, Placa nueva=H0000258, Descripcion:MOUSE HP PS2 - 3 BOTONES CON SENSOR OPTICO, Serial:FCMHF0AHD8IF6B, Mar"&amp; "ca:HP, Modelo:MOFYKO, Material:PASTA, Color:NEGRO,   Referencia:, Placa anterior:, Placa nueva=H0000256, Descripcion:MONITOR LCD HP 18 , Serial:3CQ503401X, Marca:HP, Modelo:V193B, Material:PASTA, Color:NEGRO,   Referencia:, Placa anterior:, Placa nueva=H0"&amp; "000257, Descripcion:TECLADO HP PS2, Serial:BDMEP0AHH8S01R, Marca:HP, Modelo:KB57P, Material:PASTA, Color:NEGRO,   Referencia: Placa padre: Tipo adquisicion: Entidad"</f>
        <v>Descripcion: COMPUTADOR CPU HPPRODESK Estado: Bueno Placa anterior: 000038152 Material: PASTA Color: NEGRO Referencia:  Observacion:  Placa anterior:, Placa nueva=H0000258, Descripcion:MOUSE HP PS2 - 3 BOTONES CON SENSOR OPTICO, Serial:FCMHF0AHD8IF6B, Marca:HP, Modelo:MOFYKO, Material:PASTA, Color:NEGRO,   Referencia:, Placa anterior:, Placa nueva=H0000256, Descripcion:MONITOR LCD HP 18 , Serial:3CQ503401X, Marca:HP, Modelo:V193B, Material:PASTA, Color:NEGRO,   Referencia:, Placa anterior:, Placa nueva=H0000257, Descripcion:TECLADO HP PS2, Serial:BDMEP0AHH8S01R, Marca:HP, Modelo:KB57P, Material:PASTA, Color:NEGRO,   Referencia: Placa padre: Tipo adquisicion: Entidad</v>
      </c>
      <c r="G14028" s="5" t="str">
        <f>"PRODESK"</f>
        <v>PRODESK</v>
      </c>
    </row>
    <row r="14029" spans="1:7" ht="58.5" customHeight="1" x14ac:dyDescent="0.25">
      <c r="A14029" s="5" t="str">
        <f>"H0000259"</f>
        <v>H0000259</v>
      </c>
      <c r="B14029" s="5" t="str">
        <f>"UNIDAD ININTERRUMPIDA DE POTENCIA (UPS) 2.2KW"</f>
        <v>UNIDAD ININTERRUMPIDA DE POTENCIA (UPS) 2.2KW</v>
      </c>
      <c r="C14029" s="6">
        <v>375576</v>
      </c>
      <c r="D14029" s="5" t="s">
        <v>521</v>
      </c>
      <c r="E14029" s="5" t="str">
        <f t="shared" si="721"/>
        <v>CONSULTORIO 17-CONSULTA EXTERNA</v>
      </c>
      <c r="F14029" s="5" t="str">
        <f>"Descripcion: UPS STARTEC 2.2 KW Estado: Bueno Placa anterior: 000038159 Material: PASTA Color: NEGRO Referencia:  Observacion:  Placa padre: Tipo adquisicion: Entidad"</f>
        <v>Descripcion: UPS STARTEC 2.2 KW Estado: Bueno Placa anterior: 000038159 Material: PASTA Color: NEGRO Referencia:  Observacion:  Placa padre: Tipo adquisicion: Entidad</v>
      </c>
      <c r="G14029" s="5" t="str">
        <f>"ST-U2200"</f>
        <v>ST-U2200</v>
      </c>
    </row>
    <row r="14030" spans="1:7" ht="58.5" customHeight="1" x14ac:dyDescent="0.25">
      <c r="A14030" s="5" t="str">
        <f>"H0000260"</f>
        <v>H0000260</v>
      </c>
      <c r="B14030" s="5" t="str">
        <f>"MESA (CARRO) DE CURACIONES"</f>
        <v>MESA (CARRO) DE CURACIONES</v>
      </c>
      <c r="C14030" s="6">
        <v>6952</v>
      </c>
      <c r="D14030" s="5"/>
      <c r="E14030" s="5" t="str">
        <f t="shared" si="721"/>
        <v>CONSULTORIO 17-CONSULTA EXTERNA</v>
      </c>
      <c r="F14030" s="5" t="str">
        <f>"Descripcion: MESA (CARRO) DE CURACIONES C/BARANDAS Y RODACHINES  Estado: Bueno Placa anterior: 000005986 Material: METALICA Color: GRIS Referencia:  Observacion:  Placa padre: Tipo adquisicion: Entidad"</f>
        <v>Descripcion: MESA (CARRO) DE CURACIONES C/BARANDAS Y RODACHINES  Estado: Bueno Placa anterior: 000005986 Material: METALICA Color: GRIS Referencia:  Observacion:  Placa padre: Tipo adquisicion: Entidad</v>
      </c>
      <c r="G14030" s="5"/>
    </row>
    <row r="14031" spans="1:7" ht="58.5" customHeight="1" x14ac:dyDescent="0.25">
      <c r="A14031" s="5" t="str">
        <f>"H0000261"</f>
        <v>H0000261</v>
      </c>
      <c r="B14031" s="5" t="str">
        <f>"POTE (TARRO) ACERO INXODABLE CON TAPA MEDIANO"</f>
        <v>POTE (TARRO) ACERO INXODABLE CON TAPA MEDIANO</v>
      </c>
      <c r="C14031" s="6">
        <v>7405</v>
      </c>
      <c r="D14031" s="5"/>
      <c r="E14031" s="5" t="str">
        <f t="shared" si="721"/>
        <v>CONSULTORIO 17-CONSULTA EXTERNA</v>
      </c>
      <c r="F14031" s="5" t="str">
        <f>"Descripcion: TARRO NIQUELADO CON TAPA Estado: Bueno Placa anterior: 000006006 Material: ACERO INOXIDABLE Color: PLATEADO Referencia:  Observacion:  Placa padre: Tipo adquisicion: Entidad"</f>
        <v>Descripcion: TARRO NIQUELADO CON TAPA Estado: Bueno Placa anterior: 000006006 Material: ACERO INOXIDABLE Color: PLATEADO Referencia:  Observacion:  Placa padre: Tipo adquisicion: Entidad</v>
      </c>
      <c r="G14031" s="5"/>
    </row>
    <row r="14032" spans="1:7" ht="58.5" customHeight="1" x14ac:dyDescent="0.25">
      <c r="A14032" s="5" t="str">
        <f>"H0000262"</f>
        <v>H0000262</v>
      </c>
      <c r="B14032" s="5" t="str">
        <f>"POTE (TARRO) ACERO INXODABLE CON TAPA MEDIANO"</f>
        <v>POTE (TARRO) ACERO INXODABLE CON TAPA MEDIANO</v>
      </c>
      <c r="C14032" s="6">
        <v>7405</v>
      </c>
      <c r="D14032" s="5"/>
      <c r="E14032" s="5" t="str">
        <f t="shared" si="721"/>
        <v>CONSULTORIO 17-CONSULTA EXTERNA</v>
      </c>
      <c r="F14032" s="5" t="str">
        <f>"Descripcion: TARRO NIQUELADO CON TAPA Estado: Bueno Placa anterior: 000005987 Material: ACERO INOXIDABLE Color: PLATEADO Referencia:  Observacion:  Placa padre: Tipo adquisicion: Entidad"</f>
        <v>Descripcion: TARRO NIQUELADO CON TAPA Estado: Bueno Placa anterior: 000005987 Material: ACERO INOXIDABLE Color: PLATEADO Referencia:  Observacion:  Placa padre: Tipo adquisicion: Entidad</v>
      </c>
      <c r="G14032" s="5"/>
    </row>
    <row r="14033" spans="1:7" ht="58.5" customHeight="1" x14ac:dyDescent="0.25">
      <c r="A14033" s="5" t="str">
        <f>"H0000263"</f>
        <v>H0000263</v>
      </c>
      <c r="B14033" s="5" t="str">
        <f>"CUBETA DE ACERO INOXIDABLE CON TAPA MEDIANA"</f>
        <v>CUBETA DE ACERO INOXIDABLE CON TAPA MEDIANA</v>
      </c>
      <c r="C14033" s="6">
        <v>10010</v>
      </c>
      <c r="D14033" s="5"/>
      <c r="E14033" s="5" t="str">
        <f t="shared" si="721"/>
        <v>CONSULTORIO 17-CONSULTA EXTERNA</v>
      </c>
      <c r="F14033" s="5" t="str">
        <f>"Descripcion: CUBETA EN ACERO INOX.MEDIANA CON TAPA Estado: Bueno Placa anterior: 000004988 Material: ACERO INOXIDABLE Color: PLATEADO Referencia:  Observacion:  Placa padre: Tipo adquisicion: Entidad"</f>
        <v>Descripcion: CUBETA EN ACERO INOX.MEDIANA CON TAPA Estado: Bueno Placa anterior: 000004988 Material: ACERO INOXIDABLE Color: PLATEADO Referencia:  Observacion:  Placa padre: Tipo adquisicion: Entidad</v>
      </c>
      <c r="G14033" s="5"/>
    </row>
    <row r="14034" spans="1:7" ht="58.5" customHeight="1" x14ac:dyDescent="0.25">
      <c r="A14034" s="5" t="str">
        <f>"H0000265"</f>
        <v>H0000265</v>
      </c>
      <c r="B14034" s="5" t="str">
        <f>"CAMILLA GINECOLOGICA CON ESTRIBOS"</f>
        <v>CAMILLA GINECOLOGICA CON ESTRIBOS</v>
      </c>
      <c r="C14034" s="6">
        <v>133045</v>
      </c>
      <c r="D14034" s="5"/>
      <c r="E14034" s="5" t="str">
        <f t="shared" si="721"/>
        <v>CONSULTORIO 17-CONSULTA EXTERNA</v>
      </c>
      <c r="F14034" s="5" t="str">
        <f>"Descripcion: CAMILLA GINECOLOGICA  Estado: Bueno Placa anterior: 000006009 Material: BASE METALICA Y SUPERFICIE EN CUERO Color: GRIS Y NEGRO Referencia:  Observacion: NO TIENE ESTRIBOS Placa anterior:000005994, Placa nueva=H0000266, Descripcion:BUTACO GIR"&amp; "ATORIO SIN RUEDAS, Serial:, Marca:, Modelo:, Material:BASE METALICA Y SUPERFICIE EN CUERO, Color:GRIS Y NEGRO,   Referencia: Placa padre: Tipo adquisicion: Entidad"</f>
        <v>Descripcion: CAMILLA GINECOLOGICA  Estado: Bueno Placa anterior: 000006009 Material: BASE METALICA Y SUPERFICIE EN CUERO Color: GRIS Y NEGRO Referencia:  Observacion: NO TIENE ESTRIBOS Placa anterior:000005994, Placa nueva=H0000266, Descripcion:BUTACO GIRATORIO SIN RUEDAS, Serial:, Marca:, Modelo:, Material:BASE METALICA Y SUPERFICIE EN CUERO, Color:GRIS Y NEGRO,   Referencia: Placa padre: Tipo adquisicion: Entidad</v>
      </c>
      <c r="G14034" s="5"/>
    </row>
    <row r="14035" spans="1:7" ht="58.5" customHeight="1" x14ac:dyDescent="0.25">
      <c r="A14035" s="5" t="str">
        <f>"H0000266"</f>
        <v>H0000266</v>
      </c>
      <c r="B14035" s="5" t="str">
        <f>"BUTACO GIRATORIO SIN RUEDAS"</f>
        <v>BUTACO GIRATORIO SIN RUEDAS</v>
      </c>
      <c r="C14035" s="6">
        <v>7240</v>
      </c>
      <c r="D14035" s="5"/>
      <c r="E14035" s="5" t="str">
        <f t="shared" si="721"/>
        <v>CONSULTORIO 17-CONSULTA EXTERNA</v>
      </c>
      <c r="F14035" s="5" t="str">
        <f>"Descripcion: BUTACO GIRATORIO SIN RUEDAS Estado: Bueno Placa anterior: 000005994 Material: BASE METALICA Y SUPERFICIE EN CUERO Color: GRIS Y NEGRO Referencia:  Observacion:  Placa padre: H0000265Tipo adquisicion: Entidad"</f>
        <v>Descripcion: BUTACO GIRATORIO SIN RUEDAS Estado: Bueno Placa anterior: 000005994 Material: BASE METALICA Y SUPERFICIE EN CUERO Color: GRIS Y NEGRO Referencia:  Observacion:  Placa padre: H0000265Tipo adquisicion: Entidad</v>
      </c>
      <c r="G14035" s="5"/>
    </row>
    <row r="14036" spans="1:7" ht="58.5" customHeight="1" x14ac:dyDescent="0.25">
      <c r="A14036" s="5" t="str">
        <f>"H0000268"</f>
        <v>H0000268</v>
      </c>
      <c r="B14036" s="5" t="str">
        <f>"ESCALERILLA DE 2 PASOS"</f>
        <v>ESCALERILLA DE 2 PASOS</v>
      </c>
      <c r="C14036" s="6">
        <v>4826</v>
      </c>
      <c r="D14036" s="5"/>
      <c r="E14036" s="5" t="str">
        <f t="shared" si="721"/>
        <v>CONSULTORIO 17-CONSULTA EXTERNA</v>
      </c>
      <c r="F14036" s="5" t="str">
        <f>"Descripcion: ESCALA TIPO B (2 PASOS) Estado: Bueno Placa anterior: 000006008 Material: BASE METALICA Y SUPERFICIE EN CUERO Color: GRIS Y NEGRO Referencia:  Observacion:  Placa padre: Tipo adquisicion: Entidad"</f>
        <v>Descripcion: ESCALA TIPO B (2 PASOS) Estado: Bueno Placa anterior: 000006008 Material: BASE METALICA Y SUPERFICIE EN CUERO Color: GRIS Y NEGRO Referencia:  Observacion:  Placa padre: Tipo adquisicion: Entidad</v>
      </c>
      <c r="G14036" s="5"/>
    </row>
    <row r="14037" spans="1:7" ht="58.5" customHeight="1" x14ac:dyDescent="0.25">
      <c r="A14037" s="5" t="str">
        <f>"H0000269"</f>
        <v>H0000269</v>
      </c>
      <c r="B14037" s="5" t="str">
        <f>"ESCANER DE DOCUMENTOS"</f>
        <v>ESCANER DE DOCUMENTOS</v>
      </c>
      <c r="C14037" s="6">
        <v>362178</v>
      </c>
      <c r="D14037" s="5" t="s">
        <v>521</v>
      </c>
      <c r="E14037" s="5" t="str">
        <f t="shared" si="721"/>
        <v>CONSULTORIO 17-CONSULTA EXTERNA</v>
      </c>
      <c r="F14037" s="5" t="str">
        <f>"Descripcion: SCANER CANON  Estado: Bueno Placa anterior: 000038162 Material: PASTA Y VIDRIO Color: NEGRO Referencia:  Observacion:  Placa padre: Tipo adquisicion: Entidad"</f>
        <v>Descripcion: SCANER CANON  Estado: Bueno Placa anterior: 000038162 Material: PASTA Y VIDRIO Color: NEGRO Referencia:  Observacion:  Placa padre: Tipo adquisicion: Entidad</v>
      </c>
      <c r="G14037" s="5" t="str">
        <f>"LIDE 120"</f>
        <v>LIDE 120</v>
      </c>
    </row>
    <row r="14038" spans="1:7" ht="58.5" customHeight="1" x14ac:dyDescent="0.25">
      <c r="A14038" s="5" t="str">
        <f>"H0000354"</f>
        <v>H0000354</v>
      </c>
      <c r="B14038" s="5" t="str">
        <f>"NEGATOSCOPIO"</f>
        <v>NEGATOSCOPIO</v>
      </c>
      <c r="C14038" s="6">
        <v>51373.33</v>
      </c>
      <c r="D14038" s="5"/>
      <c r="E14038" s="5" t="str">
        <f t="shared" si="721"/>
        <v>CONSULTORIO 17-CONSULTA EXTERNA</v>
      </c>
      <c r="F14038" s="5" t="str">
        <f>"Descripcion: NEGATOSCOPIO DE UN CUERPO Estado: Bueno Placa anterior: 000019755 Material: METAL Y ACRILICO Color: VERDE Referencia:  Observacion: AUTORIZADO CONCILIAR EN CRUCE GENERAL Placa padre: Tipo adquisicion: Entidad"</f>
        <v>Descripcion: NEGATOSCOPIO DE UN CUERPO Estado: Bueno Placa anterior: 000019755 Material: METAL Y ACRILICO Color: VERDE Referencia:  Observacion: AUTORIZADO CONCILIAR EN CRUCE GENERAL Placa padre: Tipo adquisicion: Entidad</v>
      </c>
      <c r="G14038" s="5"/>
    </row>
    <row r="14039" spans="1:7" ht="58.5" customHeight="1" x14ac:dyDescent="0.25">
      <c r="A14039" s="5" t="str">
        <f>"H0002025"</f>
        <v>H0002025</v>
      </c>
      <c r="B14039" s="5" t="str">
        <f>"TENSIOMETRO ANEROIDE DE PARED ADULTO"</f>
        <v>TENSIOMETRO ANEROIDE DE PARED ADULTO</v>
      </c>
      <c r="C14039" s="6">
        <v>464000</v>
      </c>
      <c r="D14039" s="5"/>
      <c r="E14039" s="5" t="str">
        <f t="shared" si="721"/>
        <v>CONSULTORIO 17-CONSULTA EXTERNA</v>
      </c>
      <c r="F14039" s="5" t="str">
        <f>"Descripcion:TENSIOMETRO ADULTO DE PARED, CON BRAZALETE COLOR NEGRO Estado: Excelente Placa anterior: 000039081 Material: PASTA Color: AZUL Y GRIS Referencia:  Observacion:  Placa padre:  Tipo adquisicion : Entidad"</f>
        <v>Descripcion:TENSIOMETRO ADULTO DE PARED, CON BRAZALETE COLOR NEGRO Estado: Excelente Placa anterior: 000039081 Material: PASTA Color: AZUL Y GRIS Referencia:  Observacion:  Placa padre:  Tipo adquisicion : Entidad</v>
      </c>
      <c r="G14039" s="5" t="str">
        <f>"BIG BEN ROUND 1459"</f>
        <v>BIG BEN ROUND 1459</v>
      </c>
    </row>
    <row r="14040" spans="1:7" ht="58.5" customHeight="1" x14ac:dyDescent="0.25">
      <c r="A14040" s="5" t="str">
        <f>"H0022432"</f>
        <v>H0022432</v>
      </c>
      <c r="B14040" s="5" t="str">
        <f>"TERMOMETRO + FONENDOSCOPIO ADULTO"</f>
        <v>TERMOMETRO + FONENDOSCOPIO ADULTO</v>
      </c>
      <c r="C14040" s="6">
        <v>104400</v>
      </c>
      <c r="D14040" s="5" t="s">
        <v>455</v>
      </c>
      <c r="E14040" s="5" t="str">
        <f t="shared" si="721"/>
        <v>CONSULTORIO 17-CONSULTA EXTERNA</v>
      </c>
      <c r="F14040" s="5"/>
      <c r="G14040" s="5"/>
    </row>
    <row r="14041" spans="1:7" ht="58.5" customHeight="1" x14ac:dyDescent="0.25">
      <c r="A14041" s="5" t="str">
        <f>"H0025391"</f>
        <v>H0025391</v>
      </c>
      <c r="B1404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041" s="6">
        <v>312156</v>
      </c>
      <c r="D14041" s="5" t="s">
        <v>10</v>
      </c>
      <c r="E14041" s="5" t="str">
        <f t="shared" si="721"/>
        <v>CONSULTORIO 17-CONSULTA EXTERNA</v>
      </c>
      <c r="F14041" s="5"/>
      <c r="G14041" s="5"/>
    </row>
    <row r="14042" spans="1:7" ht="58.5" customHeight="1" x14ac:dyDescent="0.25">
      <c r="A14042" s="5" t="str">
        <f>"H0027540"</f>
        <v>H0027540</v>
      </c>
      <c r="B14042" s="5" t="str">
        <f>"LECTOR DE HUELLAS DIGITALES"</f>
        <v>LECTOR DE HUELLAS DIGITALES</v>
      </c>
      <c r="C14042" s="6">
        <v>234000.41</v>
      </c>
      <c r="D14042" s="5" t="s">
        <v>83</v>
      </c>
      <c r="E14042" s="5" t="str">
        <f t="shared" si="721"/>
        <v>CONSULTORIO 17-CONSULTA EXTERNA</v>
      </c>
      <c r="F14042" s="5"/>
      <c r="G14042" s="5"/>
    </row>
    <row r="14043" spans="1:7" ht="58.5" customHeight="1" x14ac:dyDescent="0.25">
      <c r="A14043" s="5" t="str">
        <f>"H0029762"</f>
        <v>H0029762</v>
      </c>
      <c r="B14043" s="5" t="s">
        <v>94</v>
      </c>
      <c r="C14043" s="6">
        <v>148999.9</v>
      </c>
      <c r="D14043" s="5" t="s">
        <v>93</v>
      </c>
      <c r="E14043" s="5" t="str">
        <f t="shared" si="721"/>
        <v>CONSULTORIO 17-CONSULTA EXTERNA</v>
      </c>
      <c r="F14043" s="5"/>
      <c r="G14043" s="5"/>
    </row>
    <row r="14044" spans="1:7" ht="58.5" customHeight="1" x14ac:dyDescent="0.25">
      <c r="A14044" s="5" t="str">
        <f>"B0000201"</f>
        <v>B0000201</v>
      </c>
      <c r="B14044" s="5" t="str">
        <f>"TIJERA MAYO RECTA"</f>
        <v>TIJERA MAYO RECTA</v>
      </c>
      <c r="C14044" s="6">
        <v>13395</v>
      </c>
      <c r="D14044" s="5"/>
      <c r="E14044" s="5" t="str">
        <f t="shared" ref="E14044:E14075" si="722">"COORDINACION CONSULTA EXTERNA"</f>
        <v>COORDINACION CONSULTA EXTERNA</v>
      </c>
      <c r="F14044" s="5" t="str">
        <f>"Descripcion: TIJERA MAYO RECTA Estado: Inservible Placa anterior: 000006547 Material: METALICO Color: PLATEADO Referencia:  Observacion:  Placa padre: Tipo adquisicion: Entidad"</f>
        <v>Descripcion: TIJERA MAYO RECTA Estado: Inservible Placa anterior: 000006547 Material: METALICO Color: PLATEADO Referencia:  Observacion:  Placa padre: Tipo adquisicion: Entidad</v>
      </c>
      <c r="G14044" s="5"/>
    </row>
    <row r="14045" spans="1:7" ht="58.5" customHeight="1" x14ac:dyDescent="0.25">
      <c r="A14045" s="5" t="str">
        <f>"B0000202"</f>
        <v>B0000202</v>
      </c>
      <c r="B14045" s="5" t="str">
        <f>"PINZA CORAZON (COLLIN)"</f>
        <v>PINZA CORAZON (COLLIN)</v>
      </c>
      <c r="C14045" s="6">
        <v>1538.33</v>
      </c>
      <c r="D14045" s="5"/>
      <c r="E14045" s="5" t="str">
        <f t="shared" si="722"/>
        <v>COORDINACION CONSULTA EXTERNA</v>
      </c>
      <c r="F14045" s="5" t="str">
        <f>"Descripcion: PINZA CORAZON Estado: Bueno Placa anterior: 000006554 Material: METALICO Color: PLATEADO Referencia:  Observacion:  Placa padre: Tipo adquisicion: Entidad"</f>
        <v>Descripcion: PINZA CORAZON Estado: Bueno Placa anterior: 000006554 Material: METALICO Color: PLATEADO Referencia:  Observacion:  Placa padre: Tipo adquisicion: Entidad</v>
      </c>
      <c r="G14045" s="5"/>
    </row>
    <row r="14046" spans="1:7" ht="58.5" customHeight="1" x14ac:dyDescent="0.25">
      <c r="A14046" s="5" t="str">
        <f>"B0000203"</f>
        <v>B0000203</v>
      </c>
      <c r="B14046" s="5" t="str">
        <f>"PINZA CORAZON (COLLIN)"</f>
        <v>PINZA CORAZON (COLLIN)</v>
      </c>
      <c r="C14046" s="6">
        <v>1588.35</v>
      </c>
      <c r="D14046" s="5"/>
      <c r="E14046" s="5" t="str">
        <f t="shared" si="722"/>
        <v>COORDINACION CONSULTA EXTERNA</v>
      </c>
      <c r="F14046" s="5" t="str">
        <f>"Descripcion: PINZA CORAZON Estado: Bueno Placa anterior: 000006656 Material: METALICO Color: PLATEADO Referencia:  Observacion:  Placa padre: Tipo adquisicion: Entidad"</f>
        <v>Descripcion: PINZA CORAZON Estado: Bueno Placa anterior: 000006656 Material: METALICO Color: PLATEADO Referencia:  Observacion:  Placa padre: Tipo adquisicion: Entidad</v>
      </c>
      <c r="G14046" s="5"/>
    </row>
    <row r="14047" spans="1:7" ht="58.5" customHeight="1" x14ac:dyDescent="0.25">
      <c r="A14047" s="5" t="str">
        <f>"B0000204"</f>
        <v>B0000204</v>
      </c>
      <c r="B14047" s="5" t="str">
        <f>"PINZA CORAZON (COLLIN)"</f>
        <v>PINZA CORAZON (COLLIN)</v>
      </c>
      <c r="C14047" s="6">
        <v>1588.15</v>
      </c>
      <c r="D14047" s="5"/>
      <c r="E14047" s="5" t="str">
        <f t="shared" si="722"/>
        <v>COORDINACION CONSULTA EXTERNA</v>
      </c>
      <c r="F14047" s="5" t="str">
        <f>"Descripcion: PINZA CORAZON Estado: Bueno Placa anterior: 000006598 Material: METALICO Color: PLATEADO Referencia:  Observacion:  Placa padre: Tipo adquisicion: Entidad"</f>
        <v>Descripcion: PINZA CORAZON Estado: Bueno Placa anterior: 000006598 Material: METALICO Color: PLATEADO Referencia:  Observacion:  Placa padre: Tipo adquisicion: Entidad</v>
      </c>
      <c r="G14047" s="5"/>
    </row>
    <row r="14048" spans="1:7" ht="58.5" customHeight="1" x14ac:dyDescent="0.25">
      <c r="A14048" s="5" t="str">
        <f>"B0000205"</f>
        <v>B0000205</v>
      </c>
      <c r="B14048" s="5" t="str">
        <f>"PINZA ROCHESTER CURVA 25 CM"</f>
        <v>PINZA ROCHESTER CURVA 25 CM</v>
      </c>
      <c r="C14048" s="6">
        <v>217.5</v>
      </c>
      <c r="D14048" s="5"/>
      <c r="E14048" s="5" t="str">
        <f t="shared" si="722"/>
        <v>COORDINACION CONSULTA EXTERNA</v>
      </c>
      <c r="F14048" s="5" t="str">
        <f>"Descripcion: PINZA ROCHESTER RECTA Estado: Bueno Placa anterior: 000006561 Material: METALICO Color: PLATEADO Referencia:  Observacion:  Placa padre: Tipo adquisicion: Entidad"</f>
        <v>Descripcion: PINZA ROCHESTER RECTA Estado: Bueno Placa anterior: 000006561 Material: METALICO Color: PLATEADO Referencia:  Observacion:  Placa padre: Tipo adquisicion: Entidad</v>
      </c>
      <c r="G14048" s="5"/>
    </row>
    <row r="14049" spans="1:7" ht="58.5" customHeight="1" x14ac:dyDescent="0.25">
      <c r="A14049" s="5" t="str">
        <f>"B0000206"</f>
        <v>B0000206</v>
      </c>
      <c r="B14049" s="5" t="str">
        <f>"PORTAGUJAS (PINZA)"</f>
        <v>PORTAGUJAS (PINZA)</v>
      </c>
      <c r="C14049" s="6">
        <v>600</v>
      </c>
      <c r="D14049" s="5"/>
      <c r="E14049" s="5" t="str">
        <f t="shared" si="722"/>
        <v>COORDINACION CONSULTA EXTERNA</v>
      </c>
      <c r="F14049" s="5" t="str">
        <f>"Descripcion: PORTAGUJAS (PINZA) Estado: Inservible Placa anterior: 000006553 Material: METALICO Color: PLATEADO Referencia:  Observacion: SE ENCUENTRA DAÑADO Placa padre: Tipo adquisicion: Entidad"</f>
        <v>Descripcion: PORTAGUJAS (PINZA) Estado: Inservible Placa anterior: 000006553 Material: METALICO Color: PLATEADO Referencia:  Observacion: SE ENCUENTRA DAÑADO Placa padre: Tipo adquisicion: Entidad</v>
      </c>
      <c r="G14049" s="5"/>
    </row>
    <row r="14050" spans="1:7" ht="58.5" customHeight="1" x14ac:dyDescent="0.25">
      <c r="A14050" s="5" t="str">
        <f>"H0000001"</f>
        <v>H0000001</v>
      </c>
      <c r="B14050" s="5" t="str">
        <f>"MESA METALICA"</f>
        <v>MESA METALICA</v>
      </c>
      <c r="C14050" s="6">
        <v>7500</v>
      </c>
      <c r="D14050" s="5"/>
      <c r="E14050" s="5" t="str">
        <f t="shared" si="722"/>
        <v>COORDINACION CONSULTA EXTERNA</v>
      </c>
      <c r="F14050" s="5" t="str">
        <f>"Descripcion: MESA CIRCULAR CON MESON EN FORMICA Y BASE METALICA  Estado: Bueno Placa anterior: 000012012 Material: BASE METALICA CON MESON EN FORMICA Color: MARRON Referencia:  Observacion:  Placa padre: Tipo adquisicion: Entidad"</f>
        <v>Descripcion: MESA CIRCULAR CON MESON EN FORMICA Y BASE METALICA  Estado: Bueno Placa anterior: 000012012 Material: BASE METALICA CON MESON EN FORMICA Color: MARRON Referencia:  Observacion:  Placa padre: Tipo adquisicion: Entidad</v>
      </c>
      <c r="G14050" s="5"/>
    </row>
    <row r="14051" spans="1:7" ht="58.5" customHeight="1" x14ac:dyDescent="0.25">
      <c r="A14051" s="5" t="str">
        <f>"H0000003"</f>
        <v>H0000003</v>
      </c>
      <c r="B14051" s="5" t="str">
        <f>"SILLA TANDEM DE 3 PUESTOS"</f>
        <v>SILLA TANDEM DE 3 PUESTOS</v>
      </c>
      <c r="C14051" s="6">
        <v>388600</v>
      </c>
      <c r="D14051" s="5"/>
      <c r="E14051" s="5" t="str">
        <f t="shared" si="722"/>
        <v>COORDINACION CONSULTA EXTERNA</v>
      </c>
      <c r="F14051" s="5" t="str">
        <f>"Descripcion: TANDEM 3 PUESTOS Estado: Bueno Placa anterior: 000024847 Material: PASTA Color: NEGRO Referencia:  Observacion:  Placa padre: Tipo adquisicion: Entidad"</f>
        <v>Descripcion: TANDEM 3 PUESTOS Estado: Bueno Placa anterior: 000024847 Material: PASTA Color: NEGRO Referencia:  Observacion:  Placa padre: Tipo adquisicion: Entidad</v>
      </c>
      <c r="G14051" s="5"/>
    </row>
    <row r="14052" spans="1:7" ht="58.5" customHeight="1" x14ac:dyDescent="0.25">
      <c r="A14052" s="5" t="str">
        <f>"H0000137"</f>
        <v>H0000137</v>
      </c>
      <c r="B14052" s="5" t="str">
        <f>"DIGITURNO"</f>
        <v>DIGITURNO</v>
      </c>
      <c r="C14052" s="6">
        <v>7514000</v>
      </c>
      <c r="D14052" s="5"/>
      <c r="E14052" s="5" t="str">
        <f t="shared" si="722"/>
        <v>COORDINACION CONSULTA EXTERNA</v>
      </c>
      <c r="F14052" s="5" t="str">
        <f>"Descripcion: DISPENSADOR ELECTRONICO TIQUETES (NO FUNCIONA) Estado: Inservible Placa anterior: 000026379 Material: MADERA Color: GRIS Referencia:  Observacion:  Placa padre: Tipo adquisicion: Entidad"</f>
        <v>Descripcion: DISPENSADOR ELECTRONICO TIQUETES (NO FUNCIONA) Estado: Inservible Placa anterior: 000026379 Material: MADERA Color: GRIS Referencia:  Observacion:  Placa padre: Tipo adquisicion: Entidad</v>
      </c>
      <c r="G14052" s="5"/>
    </row>
    <row r="14053" spans="1:7" ht="58.5" customHeight="1" x14ac:dyDescent="0.25">
      <c r="A14053" s="5" t="str">
        <f>"H0000138"</f>
        <v>H0000138</v>
      </c>
      <c r="B14053" s="5" t="str">
        <f>"ESCRITORIO METALICO 3 GAVETAS"</f>
        <v>ESCRITORIO METALICO 3 GAVETAS</v>
      </c>
      <c r="C14053" s="6">
        <v>16526.189999999999</v>
      </c>
      <c r="D14053" s="5"/>
      <c r="E14053" s="5" t="str">
        <f t="shared" si="722"/>
        <v>COORDINACION CONSULTA EXTERNA</v>
      </c>
      <c r="F14053" s="5" t="str">
        <f>"Descripcion: ESCRITORIO METALICO 3 GAVETAS  Estado: Bueno Placa anterior: 000005959 Material: METALICO CON MESON EN FORMICA Color: GRIS CON MADERA OSCURO Referencia:  Observacion:  Placa padre: Tipo adquisicion: Entidad"</f>
        <v>Descripcion: ESCRITORIO METALICO 3 GAVETAS  Estado: Bueno Placa anterior: 000005959 Material: METALICO CON MESON EN FORMICA Color: GRIS CON MADERA OSCURO Referencia:  Observacion:  Placa padre: Tipo adquisicion: Entidad</v>
      </c>
      <c r="G14053" s="5"/>
    </row>
    <row r="14054" spans="1:7" ht="58.5" customHeight="1" x14ac:dyDescent="0.25">
      <c r="A14054" s="5" t="str">
        <f>"H0000141"</f>
        <v>H0000141</v>
      </c>
      <c r="B14054" s="5" t="str">
        <f>"PUESTO DE TRABAJO CON 3 GAVETAS"</f>
        <v>PUESTO DE TRABAJO CON 3 GAVETAS</v>
      </c>
      <c r="C14054" s="6">
        <v>16526.189999999999</v>
      </c>
      <c r="D14054" s="5"/>
      <c r="E14054" s="5" t="str">
        <f t="shared" si="722"/>
        <v>COORDINACION CONSULTA EXTERNA</v>
      </c>
      <c r="F14054" s="5" t="str">
        <f>"Descripcion: PUESTO DE TRABAJO TIPO RECEPCION ESTILO MODULAR EN FORMICA Y VIDRIO. MEDIDAS 160X180X135CM Estado: Bueno Placa anterior: 000005973 Material: FORMICA Y VIDRIO Color: BLANCO CON VERDE CLARO Referencia:  Observacion:  Placa padre: Tipo adquisici"&amp; "on: Entidad"</f>
        <v>Descripcion: PUESTO DE TRABAJO TIPO RECEPCION ESTILO MODULAR EN FORMICA Y VIDRIO. MEDIDAS 160X180X135CM Estado: Bueno Placa anterior: 000005973 Material: FORMICA Y VIDRIO Color: BLANCO CON VERDE CLARO Referencia:  Observacion:  Placa padre: Tipo adquisicion: Entidad</v>
      </c>
      <c r="G14054" s="5"/>
    </row>
    <row r="14055" spans="1:7" ht="58.5" customHeight="1" x14ac:dyDescent="0.25">
      <c r="A14055" s="5" t="str">
        <f>"H0000142"</f>
        <v>H0000142</v>
      </c>
      <c r="B14055" s="5" t="str">
        <f>"VENTILADOR DE PARED"</f>
        <v>VENTILADOR DE PARED</v>
      </c>
      <c r="C14055" s="6">
        <v>95000</v>
      </c>
      <c r="D14055" s="5" t="s">
        <v>726</v>
      </c>
      <c r="E14055" s="5" t="str">
        <f t="shared" si="722"/>
        <v>COORDINACION CONSULTA EXTERNA</v>
      </c>
      <c r="F14055" s="5" t="str">
        <f>"Descripcion: VENTILADOR DE PARED SAMURAI (NO FUNCIONA Estado: Malo Placa anterior: 000036597 Material: PLASTICO Color: BLANCO Referencia:  Observacion: AUTORIZADO CONCILIAR EN CRUCE GENERAL Placa padre: Tipo adquisicion: Entidad"</f>
        <v>Descripcion: VENTILADOR DE PARED SAMURAI (NO FUNCIONA Estado: Malo Placa anterior: 000036597 Material: PLASTICO Color: BLANCO Referencia:  Observacion: AUTORIZADO CONCILIAR EN CRUCE GENERAL Placa padre: Tipo adquisicion: Entidad</v>
      </c>
      <c r="G14055" s="5" t="str">
        <f>"NEW MAX AIR"</f>
        <v>NEW MAX AIR</v>
      </c>
    </row>
    <row r="14056" spans="1:7" ht="58.5" customHeight="1" x14ac:dyDescent="0.25">
      <c r="A14056" s="5" t="str">
        <f>"H0000143"</f>
        <v>H0000143</v>
      </c>
      <c r="B14056" s="5" t="str">
        <f>"TELEVISOR LCD 42''"</f>
        <v>TELEVISOR LCD 42''</v>
      </c>
      <c r="C14056" s="6">
        <v>5568000</v>
      </c>
      <c r="D14056" s="5"/>
      <c r="E14056" s="5" t="str">
        <f t="shared" si="722"/>
        <v>COORDINACION CONSULTA EXTERNA</v>
      </c>
      <c r="F14056" s="5" t="str">
        <f>"Descripcion: TELEVISOR DE 42 LCD MARCA LG (FALTA CABLE DE ENERGIA) Estado: Bueno Placa anterior: 000026276 Material:  Color: NEGRO Referencia:  Observacion:  Placa padre: Tipo adquisicion: Entidad"</f>
        <v>Descripcion: TELEVISOR DE 42 LCD MARCA LG (FALTA CABLE DE ENERGIA) Estado: Bueno Placa anterior: 000026276 Material:  Color: NEGRO Referencia:  Observacion:  Placa padre: Tipo adquisicion: Entidad</v>
      </c>
      <c r="G14056" s="5" t="str">
        <f>"42LG30R-MA"</f>
        <v>42LG30R-MA</v>
      </c>
    </row>
    <row r="14057" spans="1:7" ht="58.5" customHeight="1" x14ac:dyDescent="0.25">
      <c r="A14057" s="5" t="str">
        <f>"H0000145"</f>
        <v>H0000145</v>
      </c>
      <c r="B14057" s="5" t="str">
        <f>"TELEVISOR LCD 42''"</f>
        <v>TELEVISOR LCD 42''</v>
      </c>
      <c r="C14057" s="6">
        <v>5568000</v>
      </c>
      <c r="D14057" s="5"/>
      <c r="E14057" s="5" t="str">
        <f t="shared" si="722"/>
        <v>COORDINACION CONSULTA EXTERNA</v>
      </c>
      <c r="F14057" s="5" t="str">
        <f>"Descripcion: TELEVISOR DE 42 LCD MARCA LG Estado: Bueno Placa anterior: 000026275 Material:  Color: NEGRO Referencia:  Observacion:  Placa padre: Tipo adquisicion: Entidad"</f>
        <v>Descripcion: TELEVISOR DE 42 LCD MARCA LG Estado: Bueno Placa anterior: 000026275 Material:  Color: NEGRO Referencia:  Observacion:  Placa padre: Tipo adquisicion: Entidad</v>
      </c>
      <c r="G14057" s="5" t="str">
        <f>"42LG30R-MA"</f>
        <v>42LG30R-MA</v>
      </c>
    </row>
    <row r="14058" spans="1:7" ht="58.5" customHeight="1" x14ac:dyDescent="0.25">
      <c r="A14058" s="5" t="str">
        <f>"H0000149"</f>
        <v>H0000149</v>
      </c>
      <c r="B14058" s="5" t="str">
        <f>"CAMARA DE VIDEOVIGILANCIA"</f>
        <v>CAMARA DE VIDEOVIGILANCIA</v>
      </c>
      <c r="C14058" s="6">
        <v>371000</v>
      </c>
      <c r="D14058" s="5" t="s">
        <v>213</v>
      </c>
      <c r="E14058" s="5" t="str">
        <f t="shared" si="722"/>
        <v>COORDINACION CONSULTA EXTERNA</v>
      </c>
      <c r="F14058" s="5" t="str">
        <f>"Descripcion: CAMARA IP TIPO DOMO 2 MPX LENTE DE 2.8 mm PoE 1/3 (WI-FI) Estado: Bueno Placa anterior: 000038225 Material:  Color: BLANCO CON NEGRO Referencia:  Observacion:  Placa padre: Tipo adquisicion: Entidad"</f>
        <v>Descripcion: CAMARA IP TIPO DOMO 2 MPX LENTE DE 2.8 mm PoE 1/3 (WI-FI) Estado: Bueno Placa anterior: 000038225 Material:  Color: BLANCO CON NEGRO Referencia:  Observacion:  Placa padre: Tipo adquisicion: Entidad</v>
      </c>
      <c r="G14058" s="5"/>
    </row>
    <row r="14059" spans="1:7" ht="58.5" customHeight="1" x14ac:dyDescent="0.25">
      <c r="A14059" s="5" t="str">
        <f>"H0000150"</f>
        <v>H0000150</v>
      </c>
      <c r="B14059" s="5" t="str">
        <f>"CAMARA DE VIDEOVIGILANCIA"</f>
        <v>CAMARA DE VIDEOVIGILANCIA</v>
      </c>
      <c r="C14059" s="6">
        <v>371000</v>
      </c>
      <c r="D14059" s="5" t="s">
        <v>213</v>
      </c>
      <c r="E14059" s="5" t="str">
        <f t="shared" si="722"/>
        <v>COORDINACION CONSULTA EXTERNA</v>
      </c>
      <c r="F14059" s="5" t="str">
        <f>"Descripcion: CAMARA IP TIPO DOMO 2 MPX LENTE DE 2.8 mm PoE 1/3 (WI-FI) Estado: Bueno Placa anterior: 000038224 Material:  Color: BLANCO CON NEGRO Referencia:  Observacion:  Placa padre: Tipo adquisicion: Entidad"</f>
        <v>Descripcion: CAMARA IP TIPO DOMO 2 MPX LENTE DE 2.8 mm PoE 1/3 (WI-FI) Estado: Bueno Placa anterior: 000038224 Material:  Color: BLANCO CON NEGRO Referencia:  Observacion:  Placa padre: Tipo adquisicion: Entidad</v>
      </c>
      <c r="G14059" s="5"/>
    </row>
    <row r="14060" spans="1:7" ht="58.5" customHeight="1" x14ac:dyDescent="0.25">
      <c r="A14060" s="5" t="str">
        <f>"H0000151"</f>
        <v>H0000151</v>
      </c>
      <c r="B14060" s="5" t="str">
        <f>"CAMARA DE VIDEOVIGILANCIA"</f>
        <v>CAMARA DE VIDEOVIGILANCIA</v>
      </c>
      <c r="C14060" s="6">
        <v>371000</v>
      </c>
      <c r="D14060" s="5" t="s">
        <v>213</v>
      </c>
      <c r="E14060" s="5" t="str">
        <f t="shared" si="722"/>
        <v>COORDINACION CONSULTA EXTERNA</v>
      </c>
      <c r="F14060" s="5" t="str">
        <f>"Descripcion: CAMARA IP TIPO DOMO 2 MPX LENTE DE 2.8 mm PoE 1/3 (WI-FI) Estado: Bueno Placa anterior: 000038228 Material:  Color: BLANCO Y NEGRO Referencia:  Observacion:  Placa padre: Tipo adquisicion: Entidad"</f>
        <v>Descripcion: CAMARA IP TIPO DOMO 2 MPX LENTE DE 2.8 mm PoE 1/3 (WI-FI) Estado: Bueno Placa anterior: 000038228 Material:  Color: BLANCO Y NEGRO Referencia:  Observacion:  Placa padre: Tipo adquisicion: Entidad</v>
      </c>
      <c r="G14060" s="5"/>
    </row>
    <row r="14061" spans="1:7" ht="58.5" customHeight="1" x14ac:dyDescent="0.25">
      <c r="A14061" s="5" t="str">
        <f>"H0000152"</f>
        <v>H0000152</v>
      </c>
      <c r="B14061" s="5" t="str">
        <f>"GABINETE CONTRA INCENDIO"</f>
        <v>GABINETE CONTRA INCENDIO</v>
      </c>
      <c r="C14061" s="6">
        <v>171000</v>
      </c>
      <c r="D14061" s="5"/>
      <c r="E14061" s="5" t="str">
        <f t="shared" si="722"/>
        <v>COORDINACION CONSULTA EXTERNA</v>
      </c>
      <c r="F14061" s="5" t="str">
        <f>"Descripcion: GABINETE CONTRA INCENDIO, CONTENIDO: 1 MANGUERA, 1 HACHA Y 1 EXTINTOR MULTIPROPOSITO Estado: Bueno Placa anterior: 000019071 Material:  Color: GRIS CON ROJO Referencia:  Observacion:  Placa padre: Tipo adquisicion: Entidad"</f>
        <v>Descripcion: GABINETE CONTRA INCENDIO, CONTENIDO: 1 MANGUERA, 1 HACHA Y 1 EXTINTOR MULTIPROPOSITO Estado: Bueno Placa anterior: 000019071 Material:  Color: GRIS CON ROJO Referencia:  Observacion:  Placa padre: Tipo adquisicion: Entidad</v>
      </c>
      <c r="G14061" s="5"/>
    </row>
    <row r="14062" spans="1:7" ht="58.5" customHeight="1" x14ac:dyDescent="0.25">
      <c r="A14062" s="5" t="str">
        <f>"H0000157"</f>
        <v>H0000157</v>
      </c>
      <c r="B14062" s="5" t="str">
        <f>"CAMILLA DE TRASLADO SIN BARANDAS"</f>
        <v>CAMILLA DE TRASLADO SIN BARANDAS</v>
      </c>
      <c r="C14062" s="6">
        <v>245647</v>
      </c>
      <c r="D14062" s="5" t="s">
        <v>642</v>
      </c>
      <c r="E14062" s="5" t="str">
        <f t="shared" si="722"/>
        <v>COORDINACION CONSULTA EXTERNA</v>
      </c>
      <c r="F14062" s="5" t="str">
        <f>"Descripcion: CAMILLA DE TRASLADO SIN BARANDAS  Estado: Bueno Placa anterior: 000036302 Material: METALICO Color: BEIGE Referencia:  Observacion:  Placa padre: Tipo adquisicion: Entidad"</f>
        <v>Descripcion: CAMILLA DE TRASLADO SIN BARANDAS  Estado: Bueno Placa anterior: 000036302 Material: METALICO Color: BEIGE Referencia:  Observacion:  Placa padre: Tipo adquisicion: Entidad</v>
      </c>
      <c r="G14062" s="5"/>
    </row>
    <row r="14063" spans="1:7" ht="58.5" customHeight="1" x14ac:dyDescent="0.25">
      <c r="A14063" s="5" t="str">
        <f>"H0000201"</f>
        <v>H0000201</v>
      </c>
      <c r="B14063" s="5" t="str">
        <f>"VITRINA DE 2 CUERPOS"</f>
        <v>VITRINA DE 2 CUERPOS</v>
      </c>
      <c r="C14063" s="6">
        <v>11935</v>
      </c>
      <c r="D14063" s="5"/>
      <c r="E14063" s="5" t="str">
        <f t="shared" si="722"/>
        <v>COORDINACION CONSULTA EXTERNA</v>
      </c>
      <c r="F14063" s="5" t="str">
        <f>"Descripcion: BIBLIOTECA METALICA 2 CUERPOS 3 ENTREPAÑOS PUERTAS CORREDIZAS Estado: Regular Placa anterior: 000005818 Material: METALICO CON PUERTAS DE VIDRIO Color: GRIS Referencia:  Observacion: LAS PUERTAS PRESENTAR PROBLEMAS AL CORRERLAS Placa padre: T"&amp; "ipo adquisicion: Entidad"</f>
        <v>Descripcion: BIBLIOTECA METALICA 2 CUERPOS 3 ENTREPAÑOS PUERTAS CORREDIZAS Estado: Regular Placa anterior: 000005818 Material: METALICO CON PUERTAS DE VIDRIO Color: GRIS Referencia:  Observacion: LAS PUERTAS PRESENTAR PROBLEMAS AL CORRERLAS Placa padre: Tipo adquisicion: Entidad</v>
      </c>
      <c r="G14063" s="5"/>
    </row>
    <row r="14064" spans="1:7" ht="58.5" customHeight="1" x14ac:dyDescent="0.25">
      <c r="A14064" s="5" t="str">
        <f>"H0000206"</f>
        <v>H0000206</v>
      </c>
      <c r="B14064" s="5" t="str">
        <f>"IMPRESORA LASER"</f>
        <v>IMPRESORA LASER</v>
      </c>
      <c r="C14064" s="6">
        <v>2400000</v>
      </c>
      <c r="D14064" s="5"/>
      <c r="E14064" s="5" t="str">
        <f t="shared" si="722"/>
        <v>COORDINACION CONSULTA EXTERNA</v>
      </c>
      <c r="F14064" s="5" t="str">
        <f>"Descripcion: IMPRESORA HP LASERJET  Estado: Malo Placa anterior: 000028847 Material: PASTA Color: GRIS Referencia:  Observacion: NO ESTA EN USO PERTENECE AL CONSULTORIO 2 Placa padre: Tipo adquisicion: Entidad"</f>
        <v>Descripcion: IMPRESORA HP LASERJET  Estado: Malo Placa anterior: 000028847 Material: PASTA Color: GRIS Referencia:  Observacion: NO ESTA EN USO PERTENECE AL CONSULTORIO 2 Placa padre: Tipo adquisicion: Entidad</v>
      </c>
      <c r="G14064" s="5" t="str">
        <f>"P3005DN"</f>
        <v>P3005DN</v>
      </c>
    </row>
    <row r="14065" spans="1:7" ht="58.5" customHeight="1" x14ac:dyDescent="0.25">
      <c r="A14065" s="5" t="str">
        <f>"H0000214"</f>
        <v>H0000214</v>
      </c>
      <c r="B14065" s="5" t="str">
        <f>"ESTABILIZADOR  PARA COMPUTADOR"</f>
        <v>ESTABILIZADOR  PARA COMPUTADOR</v>
      </c>
      <c r="C14065" s="6">
        <v>78500</v>
      </c>
      <c r="D14065" s="5"/>
      <c r="E14065" s="5" t="str">
        <f t="shared" si="722"/>
        <v>COORDINACION CONSULTA EXTERNA</v>
      </c>
      <c r="F14065" s="5" t="str">
        <f>"Descripcion: ESTABILIZADOR DE VOLTAGE MAGON 2000 PCR PARA 4 TOMAS Estado: Bueno Placa anterior: 000009308 Material: METALICO Color: CREMA Referencia:  Observacion:  Placa padre: Tipo adquisicion: Entidad"</f>
        <v>Descripcion: ESTABILIZADOR DE VOLTAGE MAGON 2000 PCR PARA 4 TOMAS Estado: Bueno Placa anterior: 000009308 Material: METALICO Color: CREMA Referencia:  Observacion:  Placa padre: Tipo adquisicion: Entidad</v>
      </c>
      <c r="G14065" s="5"/>
    </row>
    <row r="14066" spans="1:7" ht="58.5" customHeight="1" x14ac:dyDescent="0.25">
      <c r="A14066" s="5" t="str">
        <f>"H0000216"</f>
        <v>H0000216</v>
      </c>
      <c r="B14066" s="5" t="str">
        <f>"SILLA INTERLOCUTORA (FIJA) SIN BRAZOS"</f>
        <v>SILLA INTERLOCUTORA (FIJA) SIN BRAZOS</v>
      </c>
      <c r="C14066" s="6">
        <v>6949.64</v>
      </c>
      <c r="D14066" s="5"/>
      <c r="E14066" s="5" t="str">
        <f t="shared" si="722"/>
        <v>COORDINACION CONSULTA EXTERNA</v>
      </c>
      <c r="F14066" s="5" t="str">
        <f>"Descripcion: SILLA INTERLOCUTORA SIN BRAZOS Estado: Bueno Placa anterior: 000012009 Material: BASE METALICO, ESPALDAR EN PASTA, Y ASIENTO TAPIZADO EN CUERINA Color: NEGRO Referencia:  Observacion:  Placa padre: Tipo adquisicion: Entidad"</f>
        <v>Descripcion: SILLA INTERLOCUTORA SIN BRAZOS Estado: Bueno Placa anterior: 000012009 Material: BASE METALICO, ESPALDAR EN PASTA, Y ASIENTO TAPIZADO EN CUERINA Color: NEGRO Referencia:  Observacion:  Placa padre: Tipo adquisicion: Entidad</v>
      </c>
      <c r="G14066" s="5"/>
    </row>
    <row r="14067" spans="1:7" ht="58.5" customHeight="1" x14ac:dyDescent="0.25">
      <c r="A14067" s="5" t="str">
        <f>"H0000225"</f>
        <v>H0000225</v>
      </c>
      <c r="B14067" s="5" t="str">
        <f>"VITRINA DE 2 CUERPOS"</f>
        <v>VITRINA DE 2 CUERPOS</v>
      </c>
      <c r="C14067" s="6">
        <v>75021.399999999994</v>
      </c>
      <c r="D14067" s="5"/>
      <c r="E14067" s="5" t="str">
        <f t="shared" si="722"/>
        <v>COORDINACION CONSULTA EXTERNA</v>
      </c>
      <c r="F14067" s="5" t="str">
        <f>"Descripcion: VITRINA DE 2 CUERPOS METALICA  GRIS CON 2 PUERTAS DE VIDRIO Estado: Bueno Placa anterior: 000005843 Material: METAL Y VIDRIO Color: GRIS Referencia:  Observacion:  Placa padre: Tipo adquisicion: Entidad"</f>
        <v>Descripcion: VITRINA DE 2 CUERPOS METALICA  GRIS CON 2 PUERTAS DE VIDRIO Estado: Bueno Placa anterior: 000005843 Material: METAL Y VIDRIO Color: GRIS Referencia:  Observacion:  Placa padre: Tipo adquisicion: Entidad</v>
      </c>
      <c r="G14067" s="5"/>
    </row>
    <row r="14068" spans="1:7" ht="58.5" customHeight="1" x14ac:dyDescent="0.25">
      <c r="A14068" s="5" t="str">
        <f>"H0000236"</f>
        <v>H0000236</v>
      </c>
      <c r="B14068" s="5" t="str">
        <f>"EQUIPO DVD R/W"</f>
        <v>EQUIPO DVD R/W</v>
      </c>
      <c r="C14068" s="6">
        <v>276080</v>
      </c>
      <c r="D14068" s="5"/>
      <c r="E14068" s="5" t="str">
        <f t="shared" si="722"/>
        <v>COORDINACION CONSULTA EXTERNA</v>
      </c>
      <c r="F14068" s="5" t="str">
        <f>"Descripcion: EQUIPO DVD R/W LG Estado: Bueno Placa anterior: 000026277 Material: PASTA Color: NEGRO Referencia:  Observacion: TIENE CONTROL Placa padre: Tipo adquisicion: Entidad"</f>
        <v>Descripcion: EQUIPO DVD R/W LG Estado: Bueno Placa anterior: 000026277 Material: PASTA Color: NEGRO Referencia:  Observacion: TIENE CONTROL Placa padre: Tipo adquisicion: Entidad</v>
      </c>
      <c r="G14068" s="5" t="str">
        <f>"DV350"</f>
        <v>DV350</v>
      </c>
    </row>
    <row r="14069" spans="1:7" ht="58.5" customHeight="1" x14ac:dyDescent="0.25">
      <c r="A14069" s="5" t="str">
        <f>"H0000409"</f>
        <v>H0000409</v>
      </c>
      <c r="B14069" s="5" t="str">
        <f>"BALANZA ANALOGA DE PISO (PESO) CON TALLIMETRO"</f>
        <v>BALANZA ANALOGA DE PISO (PESO) CON TALLIMETRO</v>
      </c>
      <c r="C14069" s="6">
        <v>93285</v>
      </c>
      <c r="D14069" s="5"/>
      <c r="E14069" s="5" t="str">
        <f t="shared" si="722"/>
        <v>COORDINACION CONSULTA EXTERNA</v>
      </c>
      <c r="F14069" s="5" t="str">
        <f>"Descripcion: BASCULA PARA ADULTO CON PLATAFORMA Y TALLIMETRO. CAPACIDAD MAX DE PESAJE 150 KILOS.ALTURA MAXIMA DE MEDICIÓN 216 CM. Estado: Bueno Placa anterior: 000005901 Material: METALICA Color: BEIS Y NEGRO Referencia:  Observacion: ALMACEN ENTREGO ESTA"&amp; " BALANZA CON PLACA NUEVA H0002062  Y PLACA VIEJA 000039038 Placa padre: Tipo adquisicion: Entidad"</f>
        <v>Descripcion: BASCULA PARA ADULTO CON PLATAFORMA Y TALLIMETRO. CAPACIDAD MAX DE PESAJE 150 KILOS.ALTURA MAXIMA DE MEDICIÓN 216 CM. Estado: Bueno Placa anterior: 000005901 Material: METALICA Color: BEIS Y NEGRO Referencia:  Observacion: ALMACEN ENTREGO ESTA BALANZA CON PLACA NUEVA H0002062  Y PLACA VIEJA 000039038 Placa padre: Tipo adquisicion: Entidad</v>
      </c>
      <c r="G14069" s="5"/>
    </row>
    <row r="14070" spans="1:7" ht="58.5" customHeight="1" x14ac:dyDescent="0.25">
      <c r="A14070" s="5" t="str">
        <f>"H0000443"</f>
        <v>H0000443</v>
      </c>
      <c r="B14070" s="5" t="str">
        <f>"MESA METALICA PARA COMPUTADOR"</f>
        <v>MESA METALICA PARA COMPUTADOR</v>
      </c>
      <c r="C14070" s="6">
        <v>100108</v>
      </c>
      <c r="D14070" s="5"/>
      <c r="E14070" s="5" t="str">
        <f t="shared" si="722"/>
        <v>COORDINACION CONSULTA EXTERNA</v>
      </c>
      <c r="F14070" s="5" t="str">
        <f>"Descripcion: MESA EN FORMICA PARA COMPUTADOR BASE METALICA  DE 73X89X59,5 CM Estado: Bueno Placa anterior: 000023704 Material: METAL Color: NEGRO Y MIEL Referencia:  Observacion:  Placa padre: Tipo adquisicion: Entidad"</f>
        <v>Descripcion: MESA EN FORMICA PARA COMPUTADOR BASE METALICA  DE 73X89X59,5 CM Estado: Bueno Placa anterior: 000023704 Material: METAL Color: NEGRO Y MIEL Referencia:  Observacion:  Placa padre: Tipo adquisicion: Entidad</v>
      </c>
      <c r="G14070" s="5"/>
    </row>
    <row r="14071" spans="1:7" ht="58.5" customHeight="1" x14ac:dyDescent="0.25">
      <c r="A14071" s="5" t="str">
        <f>"H0000662"</f>
        <v>H0000662</v>
      </c>
      <c r="B14071" s="5" t="str">
        <f>"POTE (TARRO) ACERO INXODABLE CON TAPA MEDIANO"</f>
        <v>POTE (TARRO) ACERO INXODABLE CON TAPA MEDIANO</v>
      </c>
      <c r="C14071" s="6">
        <v>6080.56</v>
      </c>
      <c r="D14071" s="5"/>
      <c r="E14071" s="5" t="str">
        <f t="shared" si="722"/>
        <v>COORDINACION CONSULTA EXTERNA</v>
      </c>
      <c r="F14071" s="5" t="str">
        <f>"Descripcion: ALTXDIAM 15X10 Estado: Excelente Placa anterior: 000005167 Material: ACERO INOXIDABLE Color:  Referencia:  Observacion:  Placa padre: Tipo adquisicion: Entidad"</f>
        <v>Descripcion: ALTXDIAM 15X10 Estado: Excelente Placa anterior: 000005167 Material: ACERO INOXIDABLE Color:  Referencia:  Observacion:  Placa padre: Tipo adquisicion: Entidad</v>
      </c>
      <c r="G14071" s="5"/>
    </row>
    <row r="14072" spans="1:7" ht="58.5" customHeight="1" x14ac:dyDescent="0.25">
      <c r="A14072" s="5" t="str">
        <f>"H0000685"</f>
        <v>H0000685</v>
      </c>
      <c r="B14072" s="5" t="str">
        <f>"VENTILADOR DE PARED"</f>
        <v>VENTILADOR DE PARED</v>
      </c>
      <c r="C14072" s="6">
        <v>9414.32</v>
      </c>
      <c r="D14072" s="5"/>
      <c r="E14072" s="5" t="str">
        <f t="shared" si="722"/>
        <v>COORDINACION CONSULTA EXTERNA</v>
      </c>
      <c r="F14072" s="5" t="str">
        <f>"Descripcion: ALETAS PLASTICAS EN COLOR MARRON, REJILLA METALICA, BASE PLASTICA EN COLOR BEIGE, TRES VELOCIDADES Estado: Excelente Placa anterior: 000005869 Material: PLASTICO Color: MARRON Referencia: 01200-32 Observacion:  Placa padre: Tipo adquisicion: "&amp; "Entidad"</f>
        <v>Descripcion: ALETAS PLASTICAS EN COLOR MARRON, REJILLA METALICA, BASE PLASTICA EN COLOR BEIGE, TRES VELOCIDADES Estado: Excelente Placa anterior: 000005869 Material: PLASTICO Color: MARRON Referencia: 01200-32 Observacion:  Placa padre: Tipo adquisicion: Entidad</v>
      </c>
      <c r="G14072" s="5" t="str">
        <f>"KW501"</f>
        <v>KW501</v>
      </c>
    </row>
    <row r="14073" spans="1:7" ht="58.5" customHeight="1" x14ac:dyDescent="0.25">
      <c r="A14073" s="5" t="str">
        <f>"H0000824"</f>
        <v>H0000824</v>
      </c>
      <c r="B14073" s="5" t="str">
        <f>"RIÑONERA HOSPITALARIA EN ACERO INOXIDABLE"</f>
        <v>RIÑONERA HOSPITALARIA EN ACERO INOXIDABLE</v>
      </c>
      <c r="C14073" s="6">
        <v>2500</v>
      </c>
      <c r="D14073" s="5"/>
      <c r="E14073" s="5" t="str">
        <f t="shared" si="722"/>
        <v>COORDINACION CONSULTA EXTERNA</v>
      </c>
      <c r="F14073" s="5" t="str">
        <f>"Descripcion: RIÑONERA NIQUELADA Estado: Bueno Placa anterior: 000005930 Material: METALICO Color: ACERO INOX. Referencia:  Observacion:  Placa padre: Tipo adquisicion: Entidad"</f>
        <v>Descripcion: RIÑONERA NIQUELADA Estado: Bueno Placa anterior: 000005930 Material: METALICO Color: ACERO INOX. Referencia:  Observacion:  Placa padre: Tipo adquisicion: Entidad</v>
      </c>
      <c r="G14073" s="5"/>
    </row>
    <row r="14074" spans="1:7" ht="58.5" customHeight="1" x14ac:dyDescent="0.25">
      <c r="A14074" s="5" t="str">
        <f>"H0000847"</f>
        <v>H0000847</v>
      </c>
      <c r="B14074" s="5" t="str">
        <f>"SILLA INTERLOCUTORA (FIJA) SIN BRAZOS"</f>
        <v>SILLA INTERLOCUTORA (FIJA) SIN BRAZOS</v>
      </c>
      <c r="C14074" s="6">
        <v>6969.84</v>
      </c>
      <c r="D14074" s="5"/>
      <c r="E14074" s="5" t="str">
        <f t="shared" si="722"/>
        <v>COORDINACION CONSULTA EXTERNA</v>
      </c>
      <c r="F14074" s="5" t="str">
        <f>"Descripcion: SILLA FIJA TIPO A COLOR MARRON Estado: Bueno Placa anterior: 000004721 Material: METALICA CON TAPIZADO EN SEMICUERO Color: MARRON Referencia:  Observacion:  Placa padre: Tipo adquisicion: Entidad"</f>
        <v>Descripcion: SILLA FIJA TIPO A COLOR MARRON Estado: Bueno Placa anterior: 000004721 Material: METALICA CON TAPIZADO EN SEMICUERO Color: MARRON Referencia:  Observacion:  Placa padre: Tipo adquisicion: Entidad</v>
      </c>
      <c r="G14074" s="5"/>
    </row>
    <row r="14075" spans="1:7" ht="58.5" customHeight="1" x14ac:dyDescent="0.25">
      <c r="A14075" s="5" t="str">
        <f>"H0001986"</f>
        <v>H0001986</v>
      </c>
      <c r="B14075" s="5" t="str">
        <f>"AIRE ACONDICIONADO TIPO SPLIT 24000 BTU"</f>
        <v>AIRE ACONDICIONADO TIPO SPLIT 24000 BTU</v>
      </c>
      <c r="C14075" s="6">
        <v>2441379</v>
      </c>
      <c r="D14075" s="5" t="s">
        <v>521</v>
      </c>
      <c r="E14075" s="5" t="str">
        <f t="shared" si="722"/>
        <v>COORDINACION CONSULTA EXTERNA</v>
      </c>
      <c r="F14075" s="5" t="str">
        <f>"Descripcion: aire acondicionado 24000 BTU inverter V Estado: Bueno Placa anterior: 000038143 Material: PLASTICO Color: BLANCO Referencia:  Observacion:  Placa padre: Tipo adquisicion: Entidad"</f>
        <v>Descripcion: aire acondicionado 24000 BTU inverter V Estado: Bueno Placa anterior: 000038143 Material: PLASTICO Color: BLANCO Referencia:  Observacion:  Placa padre: Tipo adquisicion: Entidad</v>
      </c>
      <c r="G14075" s="5" t="str">
        <f>"INVERTER V - VM242CE NC2"</f>
        <v>INVERTER V - VM242CE NC2</v>
      </c>
    </row>
    <row r="14076" spans="1:7" ht="58.5" customHeight="1" x14ac:dyDescent="0.25">
      <c r="A14076" s="5" t="str">
        <f>"H0002114"</f>
        <v>H0002114</v>
      </c>
      <c r="B14076" s="5" t="str">
        <f>"CAMARA DE VIDEOVIGILANCIA"</f>
        <v>CAMARA DE VIDEOVIGILANCIA</v>
      </c>
      <c r="C14076" s="6">
        <v>441700</v>
      </c>
      <c r="D14076" s="5"/>
      <c r="E14076" s="5" t="str">
        <f t="shared" ref="E14076:E14107" si="723">"COORDINACION CONSULTA EXTERNA"</f>
        <v>COORDINACION CONSULTA EXTERNA</v>
      </c>
      <c r="F14076" s="5" t="str">
        <f>"Descripcion:CAMARA IP TIPO DOMO 3 MPX LENTE DE 2.8 mm PoE 1/3 Estado: Excelente Placa anterior: 000038184 Material: PASTA Y ACRILICO Color: BLANCO Referencia:  Observacion:  Placa padre:  Tipo adquisicion : Entidad"</f>
        <v>Descripcion:CAMARA IP TIPO DOMO 3 MPX LENTE DE 2.8 mm PoE 1/3 Estado: Excelente Placa anterior: 000038184 Material: PASTA Y ACRILICO Color: BLANCO Referencia:  Observacion:  Placa padre:  Tipo adquisicion : Entidad</v>
      </c>
      <c r="G14076" s="5" t="str">
        <f>"DS-2ED2132F-1"</f>
        <v>DS-2ED2132F-1</v>
      </c>
    </row>
    <row r="14077" spans="1:7" ht="58.5" customHeight="1" x14ac:dyDescent="0.25">
      <c r="A14077" s="5" t="str">
        <f>"H0002670"</f>
        <v>H0002670</v>
      </c>
      <c r="B14077" s="5" t="str">
        <f>"ENRUTADOR (ROUTER) INALAMBRICO (ACCES POINT)"</f>
        <v>ENRUTADOR (ROUTER) INALAMBRICO (ACCES POINT)</v>
      </c>
      <c r="C14077" s="6">
        <v>323640</v>
      </c>
      <c r="D14077" s="5"/>
      <c r="E14077" s="5" t="str">
        <f t="shared" si="723"/>
        <v>COORDINACION CONSULTA EXTERNA</v>
      </c>
      <c r="F14077" s="5" t="str">
        <f>"Descripcion:INDOOR ACCESS POINT, 3 ANTENAS DE COLOR GRIS, CABLE DE RED, CARGADOR Estado: Excelente Placa anterior: 000037071 Material: PASTA Color: BLANCO Y GRIS Referencia:  Observacion:  Placa padre:  Tipo adquisicion : Entidad"</f>
        <v>Descripcion:INDOOR ACCESS POINT, 3 ANTENAS DE COLOR GRIS, CABLE DE RED, CARGADOR Estado: Excelente Placa anterior: 000037071 Material: PASTA Color: BLANCO Y GRIS Referencia:  Observacion:  Placa padre:  Tipo adquisicion : Entidad</v>
      </c>
      <c r="G14077" s="5" t="str">
        <f>"TL-WA901ND"</f>
        <v>TL-WA901ND</v>
      </c>
    </row>
    <row r="14078" spans="1:7" ht="58.5" customHeight="1" x14ac:dyDescent="0.25">
      <c r="A14078" s="5" t="str">
        <f>"H0003607"</f>
        <v>H0003607</v>
      </c>
      <c r="B14078" s="5" t="str">
        <f>"MESA METALICA AUXILIAR"</f>
        <v>MESA METALICA AUXILIAR</v>
      </c>
      <c r="C14078" s="6">
        <v>12758.33</v>
      </c>
      <c r="D14078" s="5"/>
      <c r="E14078" s="5" t="str">
        <f t="shared" si="723"/>
        <v>COORDINACION CONSULTA EXTERNA</v>
      </c>
      <c r="F14078" s="5" t="str">
        <f>"Descripcion: MESA CUADRADA TIPO J (75 X 75 X 70 CMS) Estado: Bueno Placa anterior: 000001688 Material: METALICO Color: BEIGE GRIS Referencia:  Observacion:  Placa padre: Tipo adquisicion: Entidad"</f>
        <v>Descripcion: MESA CUADRADA TIPO J (75 X 75 X 70 CMS) Estado: Bueno Placa anterior: 000001688 Material: METALICO Color: BEIGE GRIS Referencia:  Observacion:  Placa padre: Tipo adquisicion: Entidad</v>
      </c>
      <c r="G14078" s="5"/>
    </row>
    <row r="14079" spans="1:7" ht="58.5" customHeight="1" x14ac:dyDescent="0.25">
      <c r="A14079" s="5" t="str">
        <f>"H0004391"</f>
        <v>H0004391</v>
      </c>
      <c r="B14079" s="5" t="str">
        <f>"MESA METALICA AUXILIAR 2 GAVETAS"</f>
        <v>MESA METALICA AUXILIAR 2 GAVETAS</v>
      </c>
      <c r="C14079" s="6">
        <v>7333.52</v>
      </c>
      <c r="D14079" s="5"/>
      <c r="E14079" s="5" t="str">
        <f t="shared" si="723"/>
        <v>COORDINACION CONSULTA EXTERNA</v>
      </c>
      <c r="F14079" s="5" t="str">
        <f>"Descripcion: MIDE 76X120X60 CM Estado: Bueno Placa anterior: 000000246 Material: METAL Color: BEIS Y MARRON Referencia:  Observacion:  Placa padre: Tipo adquisicion: Entidad"</f>
        <v>Descripcion: MIDE 76X120X60 CM Estado: Bueno Placa anterior: 000000246 Material: METAL Color: BEIS Y MARRON Referencia:  Observacion:  Placa padre: Tipo adquisicion: Entidad</v>
      </c>
      <c r="G14079" s="5"/>
    </row>
    <row r="14080" spans="1:7" ht="58.5" customHeight="1" x14ac:dyDescent="0.25">
      <c r="A14080" s="5" t="str">
        <f>"H0005543"</f>
        <v>H0005543</v>
      </c>
      <c r="B14080" s="5" t="str">
        <f>"CAMILLA FIJA (TIPO DIVAN)"</f>
        <v>CAMILLA FIJA (TIPO DIVAN)</v>
      </c>
      <c r="C14080" s="6">
        <v>23320</v>
      </c>
      <c r="D14080" s="5"/>
      <c r="E14080" s="5" t="str">
        <f t="shared" si="723"/>
        <v>COORDINACION CONSULTA EXTERNA</v>
      </c>
      <c r="F14080" s="5" t="str">
        <f>"Descripcion:CAMILLA CUADRADA, COLCHON ADERIDO A LA PARTE METALICA, DIM: 84X180X70 CM Estado: Bueno Placa anterior: 000008364 Material: METALICAS Y CUERINA Color: GRIS Y MARRON Referencia:  Observacion:  Placa padre:  Tipo adquisicion : Entidad"</f>
        <v>Descripcion:CAMILLA CUADRADA, COLCHON ADERIDO A LA PARTE METALICA, DIM: 84X180X70 CM Estado: Bueno Placa anterior: 000008364 Material: METALICAS Y CUERINA Color: GRIS Y MARRON Referencia:  Observacion:  Placa padre:  Tipo adquisicion : Entidad</v>
      </c>
      <c r="G14080" s="5"/>
    </row>
    <row r="14081" spans="1:7" ht="58.5" customHeight="1" x14ac:dyDescent="0.25">
      <c r="A14081" s="5" t="str">
        <f>"H0005554"</f>
        <v>H0005554</v>
      </c>
      <c r="B14081" s="5" t="str">
        <f>"ESCALERILLA DE 2 PASOS"</f>
        <v>ESCALERILLA DE 2 PASOS</v>
      </c>
      <c r="C14081" s="6">
        <v>4455</v>
      </c>
      <c r="D14081" s="5"/>
      <c r="E14081" s="5" t="str">
        <f t="shared" si="723"/>
        <v>COORDINACION CONSULTA EXTERNA</v>
      </c>
      <c r="F14081" s="5" t="str">
        <f>"Descripcion:ESCALA TIPO B (2 PASOS) Estado: Bueno Placa anterior: 000008381 Material: METALICO Y FORMICA Color: GRIS Y NEGRO Referencia:  Observacion:  Placa padre:  Tipo adquisicion : Entidad"</f>
        <v>Descripcion:ESCALA TIPO B (2 PASOS) Estado: Bueno Placa anterior: 000008381 Material: METALICO Y FORMICA Color: GRIS Y NEGRO Referencia:  Observacion:  Placa padre:  Tipo adquisicion : Entidad</v>
      </c>
      <c r="G14081" s="5"/>
    </row>
    <row r="14082" spans="1:7" ht="58.5" customHeight="1" x14ac:dyDescent="0.25">
      <c r="A14082" s="5" t="str">
        <f>"H0012366"</f>
        <v>H0012366</v>
      </c>
      <c r="B14082" s="5" t="str">
        <f>"MESA METALICA"</f>
        <v>MESA METALICA</v>
      </c>
      <c r="C14082" s="6">
        <v>37276</v>
      </c>
      <c r="D14082" s="5"/>
      <c r="E14082" s="5" t="str">
        <f t="shared" si="723"/>
        <v>COORDINACION CONSULTA EXTERNA</v>
      </c>
      <c r="F14082" s="5" t="str">
        <f>"Descripcion: MESA METALICA Estado: Bueno Placa anterior: 000027707 Material: METAL Color: BEIGE Y PLATEADO Referencia:  Observacion: EL BIEN TIENE PLACA 00025975 FUNCIONARIO AUTORIZA SE CONCILIE CON PLACA 000027707 Placa padre: Tipo adquisicion: Entidad"</f>
        <v>Descripcion: MESA METALICA Estado: Bueno Placa anterior: 000027707 Material: METAL Color: BEIGE Y PLATEADO Referencia:  Observacion: EL BIEN TIENE PLACA 00025975 FUNCIONARIO AUTORIZA SE CONCILIE CON PLACA 000027707 Placa padre: Tipo adquisicion: Entidad</v>
      </c>
      <c r="G14082" s="5"/>
    </row>
    <row r="14083" spans="1:7" ht="58.5" customHeight="1" x14ac:dyDescent="0.25">
      <c r="A14083" s="5" t="str">
        <f>"H0015978"</f>
        <v>H0015978</v>
      </c>
      <c r="B14083" s="5" t="str">
        <f>"ESTANTE METALICO 6 ENTREPAÑOS"</f>
        <v>ESTANTE METALICO 6 ENTREPAÑOS</v>
      </c>
      <c r="C14083" s="6">
        <v>8840.07</v>
      </c>
      <c r="D14083" s="5"/>
      <c r="E14083" s="5" t="str">
        <f t="shared" si="723"/>
        <v>COORDINACION CONSULTA EXTERNA</v>
      </c>
      <c r="F14083" s="5" t="str">
        <f>"Descripcion: ESTANTE METALICO 6 ENTREPAÑOS Estado: Bueno Placa anterior: 000002342 Material: METALICO Color: GRIS Referencia:  Observacion:  Placa padre: Tipo adquisicion: Entidad"</f>
        <v>Descripcion: ESTANTE METALICO 6 ENTREPAÑOS Estado: Bueno Placa anterior: 000002342 Material: METALICO Color: GRIS Referencia:  Observacion:  Placa padre: Tipo adquisicion: Entidad</v>
      </c>
      <c r="G14083" s="5"/>
    </row>
    <row r="14084" spans="1:7" ht="58.5" customHeight="1" x14ac:dyDescent="0.25">
      <c r="A14084" s="5" t="str">
        <f>"H0016367"</f>
        <v>H0016367</v>
      </c>
      <c r="B14084" s="5" t="str">
        <f>"MULTIMUEBLE ENCHAPADO EN FORMICA"</f>
        <v>MULTIMUEBLE ENCHAPADO EN FORMICA</v>
      </c>
      <c r="C14084" s="6">
        <v>600000</v>
      </c>
      <c r="D14084" s="5"/>
      <c r="E14084" s="5" t="str">
        <f t="shared" si="723"/>
        <v>COORDINACION CONSULTA EXTERNA</v>
      </c>
      <c r="F14084" s="5" t="str">
        <f>"Descripcion: MUEBLE ARCHIVO AZ VERTICALES Estado: Bueno Placa anterior: 000033459 Material: MADEFLEX Color:  BEIGS Y MARCO EN NEGRO Referencia:  Observacion: MUEBLE CON 3 ENTREPAÑOS Y DOS COMPARTIMIENTOS Placa padre: Tipo adquisicion: Entidad"</f>
        <v>Descripcion: MUEBLE ARCHIVO AZ VERTICALES Estado: Bueno Placa anterior: 000033459 Material: MADEFLEX Color:  BEIGS Y MARCO EN NEGRO Referencia:  Observacion: MUEBLE CON 3 ENTREPAÑOS Y DOS COMPARTIMIENTOS Placa padre: Tipo adquisicion: Entidad</v>
      </c>
      <c r="G14084" s="5"/>
    </row>
    <row r="14085" spans="1:7" ht="58.5" customHeight="1" x14ac:dyDescent="0.25">
      <c r="A14085" s="5" t="str">
        <f>"H0016585"</f>
        <v>H0016585</v>
      </c>
      <c r="B14085" s="5" t="str">
        <f>"ARCHIVADOR DE MADERA 3 GAVETAS"</f>
        <v>ARCHIVADOR DE MADERA 3 GAVETAS</v>
      </c>
      <c r="C14085" s="6">
        <v>107880</v>
      </c>
      <c r="D14085" s="5"/>
      <c r="E14085" s="5" t="str">
        <f t="shared" si="723"/>
        <v>COORDINACION CONSULTA EXTERNA</v>
      </c>
      <c r="F14085" s="5" t="str">
        <f>"Descripcion:ARCHIVADOR DE 3 GAVETAS EN MADERA Estado: Bueno Placa anterior: 000002169 Material: MADERA Color: MARRON CLARO CON LACA Referencia:  Observacion:  Placa padre:  Tipo adquisicion : Entidad"</f>
        <v>Descripcion:ARCHIVADOR DE 3 GAVETAS EN MADERA Estado: Bueno Placa anterior: 000002169 Material: MADERA Color: MARRON CLARO CON LACA Referencia:  Observacion:  Placa padre:  Tipo adquisicion : Entidad</v>
      </c>
      <c r="G14085" s="5"/>
    </row>
    <row r="14086" spans="1:7" ht="58.5" customHeight="1" x14ac:dyDescent="0.25">
      <c r="A14086" s="5" t="str">
        <f>"H0017098"</f>
        <v>H0017098</v>
      </c>
      <c r="B14086" s="5" t="str">
        <f>"BANDEJA DE ACERO INOXIDABLE MEDIANA"</f>
        <v>BANDEJA DE ACERO INOXIDABLE MEDIANA</v>
      </c>
      <c r="C14086" s="6">
        <v>14616</v>
      </c>
      <c r="D14086" s="5"/>
      <c r="E14086" s="5" t="str">
        <f t="shared" si="723"/>
        <v>COORDINACION CONSULTA EXTERNA</v>
      </c>
      <c r="F14086" s="5" t="str">
        <f>"Descripcion:BANDEJA EN ACERO INOXIDABLE 22X32 CMS Estado: Excelente Placa anterior: 000004234 Material: ACERO INOXIDABLE Color: PLATEADO     Referencia:  Observacion:  Placa padre:  Tipo adquisicion : Entidad"</f>
        <v>Descripcion:BANDEJA EN ACERO INOXIDABLE 22X32 CMS Estado: Excelente Placa anterior: 000004234 Material: ACERO INOXIDABLE Color: PLATEADO     Referencia:  Observacion:  Placa padre:  Tipo adquisicion : Entidad</v>
      </c>
      <c r="G14086" s="5"/>
    </row>
    <row r="14087" spans="1:7" ht="58.5" customHeight="1" x14ac:dyDescent="0.25">
      <c r="A14087" s="5" t="str">
        <f>"H0017126"</f>
        <v>H0017126</v>
      </c>
      <c r="B14087" s="5" t="str">
        <f>"BANDEJA DE ACERO INOXIDABLE MEDIANA"</f>
        <v>BANDEJA DE ACERO INOXIDABLE MEDIANA</v>
      </c>
      <c r="C14087" s="6">
        <v>14616</v>
      </c>
      <c r="D14087" s="5"/>
      <c r="E14087" s="5" t="str">
        <f t="shared" si="723"/>
        <v>COORDINACION CONSULTA EXTERNA</v>
      </c>
      <c r="F14087" s="5" t="str">
        <f>"Descripcion:BANDEJA EN ACERO INOXIDABLE 22X32 CMS Estado: Excelente Placa anterior: 000004231 Material: ACERO INOXIDABLE Color: PLATEADO Referencia:  Observacion:  Placa padre:  Tipo adquisicion : Entidad"</f>
        <v>Descripcion:BANDEJA EN ACERO INOXIDABLE 22X32 CMS Estado: Excelente Placa anterior: 000004231 Material: ACERO INOXIDABLE Color: PLATEADO Referencia:  Observacion:  Placa padre:  Tipo adquisicion : Entidad</v>
      </c>
      <c r="G14087" s="5"/>
    </row>
    <row r="14088" spans="1:7" ht="58.5" customHeight="1" x14ac:dyDescent="0.25">
      <c r="A14088" s="5" t="str">
        <f>"H0017127"</f>
        <v>H0017127</v>
      </c>
      <c r="B14088" s="5" t="str">
        <f>"BANDEJA DE ACERO INOXIDABLE MEDIANA"</f>
        <v>BANDEJA DE ACERO INOXIDABLE MEDIANA</v>
      </c>
      <c r="C14088" s="6">
        <v>14616</v>
      </c>
      <c r="D14088" s="5"/>
      <c r="E14088" s="5" t="str">
        <f t="shared" si="723"/>
        <v>COORDINACION CONSULTA EXTERNA</v>
      </c>
      <c r="F14088" s="5" t="str">
        <f>"Descripcion:BANDEJA EN ACERO INOXIDABLE 22X32 CMS Estado: Excelente Placa anterior: 000004232 Material: ACERO INOXIDABLE Color: PLATEADO Referencia:  Observacion:  Placa padre:  Tipo adquisicion : Entidad"</f>
        <v>Descripcion:BANDEJA EN ACERO INOXIDABLE 22X32 CMS Estado: Excelente Placa anterior: 000004232 Material: ACERO INOXIDABLE Color: PLATEADO Referencia:  Observacion:  Placa padre:  Tipo adquisicion : Entidad</v>
      </c>
      <c r="G14088" s="5"/>
    </row>
    <row r="14089" spans="1:7" ht="58.5" customHeight="1" x14ac:dyDescent="0.25">
      <c r="A14089" s="5" t="str">
        <f>"H0017177"</f>
        <v>H0017177</v>
      </c>
      <c r="B14089" s="5" t="str">
        <f>"POTE (TARRO) ACERO INXODABLE CON TAPA GRANDE"</f>
        <v>POTE (TARRO) ACERO INXODABLE CON TAPA GRANDE</v>
      </c>
      <c r="C14089" s="6">
        <v>75400</v>
      </c>
      <c r="D14089" s="5"/>
      <c r="E14089" s="5" t="str">
        <f t="shared" si="723"/>
        <v>COORDINACION CONSULTA EXTERNA</v>
      </c>
      <c r="F14089" s="5" t="str">
        <f>"Descripcion:TARRO CON TAPA EN ACERO INOX. 25 CM ALTO, DIAM. 12 CM Estado: Excelente Placa anterior: 000033255 Material: ACERO INOX. Color: PLATEADO Referencia:  Observacion:  Placa padre:  Tipo adquisicion : Entidad"</f>
        <v>Descripcion:TARRO CON TAPA EN ACERO INOX. 25 CM ALTO, DIAM. 12 CM Estado: Excelente Placa anterior: 000033255 Material: ACERO INOX. Color: PLATEADO Referencia:  Observacion:  Placa padre:  Tipo adquisicion : Entidad</v>
      </c>
      <c r="G14089" s="5"/>
    </row>
    <row r="14090" spans="1:7" ht="58.5" customHeight="1" x14ac:dyDescent="0.25">
      <c r="A14090" s="5" t="str">
        <f>"H0018033"</f>
        <v>H0018033</v>
      </c>
      <c r="B14090" s="5" t="str">
        <f>"ESTANTE METALICO 6 ENTREPAÑOS"</f>
        <v>ESTANTE METALICO 6 ENTREPAÑOS</v>
      </c>
      <c r="C14090" s="6">
        <v>17880.72</v>
      </c>
      <c r="D14090" s="5"/>
      <c r="E14090" s="5" t="str">
        <f t="shared" si="723"/>
        <v>COORDINACION CONSULTA EXTERNA</v>
      </c>
      <c r="F14090" s="5" t="str">
        <f>"Descripcion: ESTANTE METALICO DE 6 ENTREPAÑOS Estado: Bueno Placa anterior: 000009122 Material: METALICO Color: GRIS Referencia:  Observacion:  Placa padre: Tipo adquisicion: Entidad"</f>
        <v>Descripcion: ESTANTE METALICO DE 6 ENTREPAÑOS Estado: Bueno Placa anterior: 000009122 Material: METALICO Color: GRIS Referencia:  Observacion:  Placa padre: Tipo adquisicion: Entidad</v>
      </c>
      <c r="G14090" s="5"/>
    </row>
    <row r="14091" spans="1:7" ht="58.5" customHeight="1" x14ac:dyDescent="0.25">
      <c r="A14091" s="5" t="str">
        <f>"H0018426"</f>
        <v>H0018426</v>
      </c>
      <c r="B14091" s="5" t="str">
        <f>"MESA METALICA"</f>
        <v>MESA METALICA</v>
      </c>
      <c r="C14091" s="6">
        <v>8635</v>
      </c>
      <c r="D14091" s="5"/>
      <c r="E14091" s="5" t="str">
        <f t="shared" si="723"/>
        <v>COORDINACION CONSULTA EXTERNA</v>
      </c>
      <c r="F14091" s="5" t="str">
        <f>"Descripcion: MESA CUADRADA TIPO J (75 X 75 CMS) Estado: Bueno Placa anterior: 000014736 Material: METALICO CON MESON EN FORMICA Color: GRIS CON MADERA OSCURO Referencia:  Observacion:  Placa padre: Tipo adquisicion: Entidad"</f>
        <v>Descripcion: MESA CUADRADA TIPO J (75 X 75 CMS) Estado: Bueno Placa anterior: 000014736 Material: METALICO CON MESON EN FORMICA Color: GRIS CON MADERA OSCURO Referencia:  Observacion:  Placa padre: Tipo adquisicion: Entidad</v>
      </c>
      <c r="G14091" s="5"/>
    </row>
    <row r="14092" spans="1:7" ht="58.5" customHeight="1" x14ac:dyDescent="0.25">
      <c r="A14092" s="5" t="str">
        <f>"H0019859"</f>
        <v>H0019859</v>
      </c>
      <c r="B14092" s="5" t="str">
        <f>"MESA DE NOCHE"</f>
        <v>MESA DE NOCHE</v>
      </c>
      <c r="C14092" s="6">
        <v>8389.33</v>
      </c>
      <c r="D14092" s="5"/>
      <c r="E14092" s="5" t="str">
        <f t="shared" si="723"/>
        <v>COORDINACION CONSULTA EXTERNA</v>
      </c>
      <c r="F14092" s="5" t="str">
        <f>"Descripcion: MESA DE NOCHE Estado: Bueno Placa anterior: 000003776 Material: METALICA Color: GRIS Referencia:  Observacion:  Placa padre: Tipo adquisicion: Entidad"</f>
        <v>Descripcion: MESA DE NOCHE Estado: Bueno Placa anterior: 000003776 Material: METALICA Color: GRIS Referencia:  Observacion:  Placa padre: Tipo adquisicion: Entidad</v>
      </c>
      <c r="G14092" s="5"/>
    </row>
    <row r="14093" spans="1:7" ht="58.5" customHeight="1" x14ac:dyDescent="0.25">
      <c r="A14093" s="5" t="str">
        <f>"H0020698"</f>
        <v>H0020698</v>
      </c>
      <c r="B14093" s="5" t="str">
        <f>"CONDENSDORA (AIRE ACONDICIONADO)"</f>
        <v>CONDENSDORA (AIRE ACONDICIONADO)</v>
      </c>
      <c r="C14093" s="6">
        <v>234863.98</v>
      </c>
      <c r="D14093" s="5"/>
      <c r="E14093" s="5" t="str">
        <f t="shared" si="723"/>
        <v>COORDINACION CONSULTA EXTERNA</v>
      </c>
      <c r="F14093" s="5" t="str">
        <f>"Descripcion:CONDESADORA  DEL AIRE ACONDICIONADO DE LOS CONSULTORIOS 6 Y 7 CONSULTA EXTERNA&lt;br /&gt; Estado: Inservible Placa anterior: 000005789 Material: METALICO Color: GRIS Referencia:  Observacion: AUTORIZADO CONCILIAR EN CRUCE GENERAL   Placa padre:  Ti"&amp; "po adquisicion : Entidad"</f>
        <v>Descripcion:CONDESADORA  DEL AIRE ACONDICIONADO DE LOS CONSULTORIOS 6 Y 7 CONSULTA EXTERNA&lt;br /&gt; Estado: Inservible Placa anterior: 000005789 Material: METALICO Color: GRIS Referencia:  Observacion: AUTORIZADO CONCILIAR EN CRUCE GENERAL   Placa padre:  Tipo adquisicion : Entidad</v>
      </c>
      <c r="G14093" s="5"/>
    </row>
    <row r="14094" spans="1:7" ht="58.5" customHeight="1" x14ac:dyDescent="0.25">
      <c r="A14094" s="5" t="str">
        <f>"H0020706"</f>
        <v>H0020706</v>
      </c>
      <c r="B14094" s="5" t="str">
        <f>"MANEJADORA (AIRE ACONDICIONADO)"</f>
        <v>MANEJADORA (AIRE ACONDICIONADO)</v>
      </c>
      <c r="C14094" s="6">
        <v>10286000</v>
      </c>
      <c r="D14094" s="5"/>
      <c r="E14094" s="5" t="str">
        <f t="shared" si="723"/>
        <v>COORDINACION CONSULTA EXTERNA</v>
      </c>
      <c r="F14094" s="5" t="str">
        <f>"Descripcion:MANEJADORA DEL AIRE ACONDICIONADOCONTROL DE MANDO Estado: Bueno Placa anterior:  Material: METALICO Color: GRIS Referencia:  Observacion:  Placa padre:  Tipo adquisicion : Entidad"</f>
        <v>Descripcion:MANEJADORA DEL AIRE ACONDICIONADOCONTROL DE MANDO Estado: Bueno Placa anterior:  Material: METALICO Color: GRIS Referencia:  Observacion:  Placa padre:  Tipo adquisicion : Entidad</v>
      </c>
      <c r="G14094" s="5" t="str">
        <f>"ECA22V"</f>
        <v>ECA22V</v>
      </c>
    </row>
    <row r="14095" spans="1:7" ht="58.5" customHeight="1" x14ac:dyDescent="0.25">
      <c r="A14095" s="5" t="str">
        <f>"H0020708"</f>
        <v>H0020708</v>
      </c>
      <c r="B14095" s="5" t="str">
        <f>"CONDENSDORA (AIRE ACONDICIONADO)"</f>
        <v>CONDENSDORA (AIRE ACONDICIONADO)</v>
      </c>
      <c r="C14095" s="6">
        <v>234863.96</v>
      </c>
      <c r="D14095" s="5"/>
      <c r="E14095" s="5" t="str">
        <f t="shared" si="723"/>
        <v>COORDINACION CONSULTA EXTERNA</v>
      </c>
      <c r="F14095" s="5" t="str">
        <f>"Descripcion:CONDESADORA  DEL AIRE ACONDICIONADO DEL CONSULTORIO 19 CONSULTA EXTERNA&lt;br /&gt; Estado: Bueno Placa anterior: 000006076 Material: METALICO Color: GRIS Referencia:  Observacion: AUTORIZADO CONCILIAR EN CRUCE GENERAL Placa padre:  Tipo adquisicion"&amp; " : Entidad"</f>
        <v>Descripcion:CONDESADORA  DEL AIRE ACONDICIONADO DEL CONSULTORIO 19 CONSULTA EXTERNA&lt;br /&gt; Estado: Bueno Placa anterior: 000006076 Material: METALICO Color: GRIS Referencia:  Observacion: AUTORIZADO CONCILIAR EN CRUCE GENERAL Placa padre:  Tipo adquisicion : Entidad</v>
      </c>
      <c r="G14095" s="5" t="str">
        <f>"NAC060AKA1"</f>
        <v>NAC060AKA1</v>
      </c>
    </row>
    <row r="14096" spans="1:7" ht="58.5" customHeight="1" x14ac:dyDescent="0.25">
      <c r="A14096" s="5" t="str">
        <f>"H0021454"</f>
        <v>H0021454</v>
      </c>
      <c r="B14096" s="5" t="str">
        <f>"AIRE ACONDICIONADO DE 36000 BTU PISO TECHO"</f>
        <v>AIRE ACONDICIONADO DE 36000 BTU PISO TECHO</v>
      </c>
      <c r="C14096" s="6">
        <v>3480000</v>
      </c>
      <c r="D14096" s="5" t="s">
        <v>727</v>
      </c>
      <c r="E14096" s="5" t="str">
        <f t="shared" si="723"/>
        <v>COORDINACION CONSULTA EXTERNA</v>
      </c>
      <c r="F14096" s="5" t="str">
        <f>"SERIAL CONDESADORA   MIC  23186 -  12D23"</f>
        <v>SERIAL CONDESADORA   MIC  23186 -  12D23</v>
      </c>
      <c r="G14096" s="5"/>
    </row>
    <row r="14097" spans="1:7" ht="58.5" customHeight="1" x14ac:dyDescent="0.25">
      <c r="A14097" s="5" t="str">
        <f>"H0022416"</f>
        <v>H0022416</v>
      </c>
      <c r="B14097" s="5" t="str">
        <f>"MARTILLO DE REFLEJOS"</f>
        <v>MARTILLO DE REFLEJOS</v>
      </c>
      <c r="C14097" s="6">
        <v>18505.48</v>
      </c>
      <c r="D14097" s="5" t="s">
        <v>455</v>
      </c>
      <c r="E14097" s="5" t="str">
        <f t="shared" si="723"/>
        <v>COORDINACION CONSULTA EXTERNA</v>
      </c>
      <c r="F14097" s="5"/>
      <c r="G14097" s="5"/>
    </row>
    <row r="14098" spans="1:7" ht="58.5" customHeight="1" x14ac:dyDescent="0.25">
      <c r="A14098" s="5" t="str">
        <f>"H0022419"</f>
        <v>H0022419</v>
      </c>
      <c r="B14098" s="5" t="str">
        <f>"MARTILLO DE REFLEJOS"</f>
        <v>MARTILLO DE REFLEJOS</v>
      </c>
      <c r="C14098" s="6">
        <v>18505.48</v>
      </c>
      <c r="D14098" s="5" t="s">
        <v>455</v>
      </c>
      <c r="E14098" s="5" t="str">
        <f t="shared" si="723"/>
        <v>COORDINACION CONSULTA EXTERNA</v>
      </c>
      <c r="F14098" s="5"/>
      <c r="G14098" s="5"/>
    </row>
    <row r="14099" spans="1:7" ht="58.5" customHeight="1" x14ac:dyDescent="0.25">
      <c r="A14099" s="5" t="str">
        <f>"H0022420"</f>
        <v>H0022420</v>
      </c>
      <c r="B14099" s="5" t="str">
        <f>"MARTILLO DE REFLEJOS"</f>
        <v>MARTILLO DE REFLEJOS</v>
      </c>
      <c r="C14099" s="6">
        <v>18505.48</v>
      </c>
      <c r="D14099" s="5" t="s">
        <v>455</v>
      </c>
      <c r="E14099" s="5" t="str">
        <f t="shared" si="723"/>
        <v>COORDINACION CONSULTA EXTERNA</v>
      </c>
      <c r="F14099" s="5"/>
      <c r="G14099" s="5"/>
    </row>
    <row r="14100" spans="1:7" ht="58.5" customHeight="1" x14ac:dyDescent="0.25">
      <c r="A14100" s="5" t="str">
        <f>"H0022441"</f>
        <v>H0022441</v>
      </c>
      <c r="B14100" s="5" t="str">
        <f>"KIT TERMOMETRO + FONENDOSCOPIO PEDIATRICO"</f>
        <v>KIT TERMOMETRO + FONENDOSCOPIO PEDIATRICO</v>
      </c>
      <c r="C14100" s="6">
        <v>81200</v>
      </c>
      <c r="D14100" s="5" t="s">
        <v>455</v>
      </c>
      <c r="E14100" s="5" t="str">
        <f t="shared" si="723"/>
        <v>COORDINACION CONSULTA EXTERNA</v>
      </c>
      <c r="F14100" s="5"/>
      <c r="G14100" s="5"/>
    </row>
    <row r="14101" spans="1:7" ht="58.5" customHeight="1" x14ac:dyDescent="0.25">
      <c r="A14101" s="5" t="str">
        <f>"H0024099"</f>
        <v>H0024099</v>
      </c>
      <c r="B14101" s="5" t="str">
        <f>"CAMILLA PARA TRANSPORTE DE PACIENTE MODE"</f>
        <v>CAMILLA PARA TRANSPORTE DE PACIENTE MODE</v>
      </c>
      <c r="C14101" s="6">
        <v>1070680</v>
      </c>
      <c r="D14101" s="5"/>
      <c r="E14101" s="5" t="str">
        <f t="shared" si="723"/>
        <v>COORDINACION CONSULTA EXTERNA</v>
      </c>
      <c r="F14101" s="5" t="str">
        <f>"Descripcion:CAMILLA DE TRASNSPORTE HOSPITALARIA CON: BARANDA ALTO 90 CMS LARGO CMS. ANCHO 70CMS Baranda en tubo redsondo de 1 1/2 bandeja interior, tendido superior en 2 planos en lamina CR Sistema de Articulaciòn manual en varilla de 1/2 y resorte Barand"&amp; "a Cromadas  Estado: Malo Placa anterior: 000025758 Material: METALICA Color:  Referencia:  Observacion: PASAR A ELEMENTOS PARA DAR DE BAJA Placa padre:  Tipo adquisicion : Entidad"</f>
        <v>Descripcion:CAMILLA DE TRASNSPORTE HOSPITALARIA CON: BARANDA ALTO 90 CMS LARGO CMS. ANCHO 70CMS Baranda en tubo redsondo de 1 1/2 bandeja interior, tendido superior en 2 planos en lamina CR Sistema de Articulaciòn manual en varilla de 1/2 y resorte Baranda Cromadas  Estado: Malo Placa anterior: 000025758 Material: METALICA Color:  Referencia:  Observacion: PASAR A ELEMENTOS PARA DAR DE BAJA Placa padre:  Tipo adquisicion : Entidad</v>
      </c>
      <c r="G14101" s="5"/>
    </row>
    <row r="14102" spans="1:7" ht="58.5" customHeight="1" x14ac:dyDescent="0.25">
      <c r="A14102" s="5" t="str">
        <f>"H0024197"</f>
        <v>H0024197</v>
      </c>
      <c r="B14102" s="5" t="str">
        <f>"AVISO TIPO CAJA CON LONA TRASLUCIDA FULL COLOR DE 6 mts DE LARGO POR 80 mts DE ALTO PARA CONSULTA EXTERNA"</f>
        <v>AVISO TIPO CAJA CON LONA TRASLUCIDA FULL COLOR DE 6 mts DE LARGO POR 80 mts DE ALTO PARA CONSULTA EXTERNA</v>
      </c>
      <c r="C14102" s="6">
        <v>1670400</v>
      </c>
      <c r="D14102" s="5" t="s">
        <v>728</v>
      </c>
      <c r="E14102" s="5" t="str">
        <f t="shared" si="723"/>
        <v>COORDINACION CONSULTA EXTERNA</v>
      </c>
      <c r="F14102" s="5"/>
      <c r="G14102" s="5"/>
    </row>
    <row r="14103" spans="1:7" ht="58.5" customHeight="1" x14ac:dyDescent="0.25">
      <c r="A14103" s="5" t="str">
        <f>"H0025034"</f>
        <v>H0025034</v>
      </c>
      <c r="B14103" s="5" t="str">
        <f>"UPS 300 VA"</f>
        <v>UPS 300 VA</v>
      </c>
      <c r="C14103" s="6">
        <v>350000</v>
      </c>
      <c r="D14103" s="5" t="s">
        <v>10</v>
      </c>
      <c r="E14103" s="5" t="str">
        <f t="shared" si="723"/>
        <v>COORDINACION CONSULTA EXTERNA</v>
      </c>
      <c r="F14103" s="5"/>
      <c r="G14103" s="5"/>
    </row>
    <row r="14104" spans="1:7" ht="58.5" customHeight="1" x14ac:dyDescent="0.25">
      <c r="A14104" s="5" t="str">
        <f>"H0025363"</f>
        <v>H0025363</v>
      </c>
      <c r="B1410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104" s="6">
        <v>312156</v>
      </c>
      <c r="D14104" s="5" t="s">
        <v>10</v>
      </c>
      <c r="E14104" s="5" t="str">
        <f t="shared" si="723"/>
        <v>COORDINACION CONSULTA EXTERNA</v>
      </c>
      <c r="F14104" s="5"/>
      <c r="G14104" s="5"/>
    </row>
    <row r="14105" spans="1:7" ht="58.5" customHeight="1" x14ac:dyDescent="0.25">
      <c r="A14105" s="5" t="str">
        <f>"H0025367"</f>
        <v>H0025367</v>
      </c>
      <c r="B1410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105" s="6">
        <v>312156</v>
      </c>
      <c r="D14105" s="5" t="s">
        <v>10</v>
      </c>
      <c r="E14105" s="5" t="str">
        <f t="shared" si="723"/>
        <v>COORDINACION CONSULTA EXTERNA</v>
      </c>
      <c r="F14105" s="5"/>
      <c r="G14105" s="5"/>
    </row>
    <row r="14106" spans="1:7" ht="58.5" customHeight="1" x14ac:dyDescent="0.25">
      <c r="A14106" s="5" t="str">
        <f>"H0025368"</f>
        <v>H0025368</v>
      </c>
      <c r="B1410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106" s="6">
        <v>312156</v>
      </c>
      <c r="D14106" s="5" t="s">
        <v>10</v>
      </c>
      <c r="E14106" s="5" t="str">
        <f t="shared" si="723"/>
        <v>COORDINACION CONSULTA EXTERNA</v>
      </c>
      <c r="F14106" s="5"/>
      <c r="G14106" s="5"/>
    </row>
    <row r="14107" spans="1:7" ht="58.5" customHeight="1" x14ac:dyDescent="0.25">
      <c r="A14107" s="5" t="str">
        <f>"H0025401"</f>
        <v>H0025401</v>
      </c>
      <c r="B1410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107" s="6">
        <v>312156</v>
      </c>
      <c r="D14107" s="5" t="s">
        <v>10</v>
      </c>
      <c r="E14107" s="5" t="str">
        <f t="shared" si="723"/>
        <v>COORDINACION CONSULTA EXTERNA</v>
      </c>
      <c r="F14107" s="5"/>
      <c r="G14107" s="5"/>
    </row>
    <row r="14108" spans="1:7" ht="58.5" customHeight="1" x14ac:dyDescent="0.25">
      <c r="A14108" s="5" t="str">
        <f>"H0025987"</f>
        <v>H0025987</v>
      </c>
      <c r="B14108" s="5" t="str">
        <f>"SILLA DE RUEDAS"</f>
        <v>SILLA DE RUEDAS</v>
      </c>
      <c r="C14108" s="6">
        <v>280000</v>
      </c>
      <c r="D14108" s="5" t="s">
        <v>77</v>
      </c>
      <c r="E14108" s="5" t="str">
        <f t="shared" ref="E14108:E14139" si="724">"COORDINACION CONSULTA EXTERNA"</f>
        <v>COORDINACION CONSULTA EXTERNA</v>
      </c>
      <c r="F14108" s="5"/>
      <c r="G14108" s="5"/>
    </row>
    <row r="14109" spans="1:7" ht="58.5" customHeight="1" x14ac:dyDescent="0.25">
      <c r="A14109" s="5" t="str">
        <f>"H0026035"</f>
        <v>H0026035</v>
      </c>
      <c r="B14109" s="5" t="str">
        <f>"SILLA DE RUEDAS"</f>
        <v>SILLA DE RUEDAS</v>
      </c>
      <c r="C14109" s="6">
        <v>280000</v>
      </c>
      <c r="D14109" s="5" t="s">
        <v>77</v>
      </c>
      <c r="E14109" s="5" t="str">
        <f t="shared" si="724"/>
        <v>COORDINACION CONSULTA EXTERNA</v>
      </c>
      <c r="F14109" s="5"/>
      <c r="G14109" s="5"/>
    </row>
    <row r="14110" spans="1:7" ht="58.5" customHeight="1" x14ac:dyDescent="0.25">
      <c r="A14110" s="5" t="str">
        <f>"H0026046"</f>
        <v>H0026046</v>
      </c>
      <c r="B14110" s="5" t="str">
        <f>"SILLA DE RUEDAS"</f>
        <v>SILLA DE RUEDAS</v>
      </c>
      <c r="C14110" s="6">
        <v>280000</v>
      </c>
      <c r="D14110" s="5" t="s">
        <v>77</v>
      </c>
      <c r="E14110" s="5" t="str">
        <f t="shared" si="724"/>
        <v>COORDINACION CONSULTA EXTERNA</v>
      </c>
      <c r="F14110" s="5"/>
      <c r="G14110" s="5"/>
    </row>
    <row r="14111" spans="1:7" ht="58.5" customHeight="1" x14ac:dyDescent="0.25">
      <c r="A14111" s="5" t="str">
        <f>"H0026047"</f>
        <v>H0026047</v>
      </c>
      <c r="B14111" s="5" t="str">
        <f>"SILLA DE RUEDAS"</f>
        <v>SILLA DE RUEDAS</v>
      </c>
      <c r="C14111" s="6">
        <v>280000</v>
      </c>
      <c r="D14111" s="5" t="s">
        <v>77</v>
      </c>
      <c r="E14111" s="5" t="str">
        <f t="shared" si="724"/>
        <v>COORDINACION CONSULTA EXTERNA</v>
      </c>
      <c r="F14111" s="5"/>
      <c r="G14111" s="5"/>
    </row>
    <row r="14112" spans="1:7" ht="58.5" customHeight="1" x14ac:dyDescent="0.25">
      <c r="A14112" s="5" t="str">
        <f>"H0026792"</f>
        <v>H0026792</v>
      </c>
      <c r="B14112"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112" s="6">
        <v>3296300</v>
      </c>
      <c r="D14112" s="5" t="s">
        <v>37</v>
      </c>
      <c r="E14112" s="5" t="str">
        <f t="shared" si="724"/>
        <v>COORDINACION CONSULTA EXTERNA</v>
      </c>
      <c r="F14112" s="5"/>
      <c r="G14112" s="5"/>
    </row>
    <row r="14113" spans="1:7" ht="58.5" customHeight="1" x14ac:dyDescent="0.25">
      <c r="A14113" s="5" t="str">
        <f>"H0027128"</f>
        <v>H0027128</v>
      </c>
      <c r="B14113" s="5" t="str">
        <f>"SOPORTE DE PARED (BRAZO) PARA MONITOR DE SIGNOS VITALES CON ALTURA VARIABLE Y ORGANIZADOR DE CABLES"</f>
        <v>SOPORTE DE PARED (BRAZO) PARA MONITOR DE SIGNOS VITALES CON ALTURA VARIABLE Y ORGANIZADOR DE CABLES</v>
      </c>
      <c r="C14113" s="6">
        <v>702100</v>
      </c>
      <c r="D14113" s="5" t="s">
        <v>81</v>
      </c>
      <c r="E14113" s="5" t="str">
        <f t="shared" si="724"/>
        <v>COORDINACION CONSULTA EXTERNA</v>
      </c>
      <c r="F14113" s="5"/>
      <c r="G14113" s="5"/>
    </row>
    <row r="14114" spans="1:7" ht="58.5" customHeight="1" x14ac:dyDescent="0.25">
      <c r="A14114" s="5" t="str">
        <f>"H0027174"</f>
        <v>H0027174</v>
      </c>
      <c r="B1411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114" s="6">
        <v>2641800</v>
      </c>
      <c r="D14114" s="5" t="s">
        <v>38</v>
      </c>
      <c r="E14114" s="5" t="str">
        <f t="shared" si="724"/>
        <v>COORDINACION CONSULTA EXTERNA</v>
      </c>
      <c r="F14114" s="5"/>
      <c r="G14114" s="5"/>
    </row>
    <row r="14115" spans="1:7" ht="58.5" customHeight="1" x14ac:dyDescent="0.25">
      <c r="A14115" s="5" t="str">
        <f>"H0027195"</f>
        <v>H0027195</v>
      </c>
      <c r="B1411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115" s="6">
        <v>2641800</v>
      </c>
      <c r="D14115" s="5" t="s">
        <v>38</v>
      </c>
      <c r="E14115" s="5" t="str">
        <f t="shared" si="724"/>
        <v>COORDINACION CONSULTA EXTERNA</v>
      </c>
      <c r="F14115" s="5"/>
      <c r="G14115" s="5"/>
    </row>
    <row r="14116" spans="1:7" ht="58.5" customHeight="1" x14ac:dyDescent="0.25">
      <c r="A14116" s="5" t="str">
        <f>"H0028388"</f>
        <v>H0028388</v>
      </c>
      <c r="B14116" s="5" t="s">
        <v>729</v>
      </c>
      <c r="C14116" s="6">
        <v>10829000</v>
      </c>
      <c r="D14116" s="5" t="s">
        <v>152</v>
      </c>
      <c r="E14116" s="5" t="str">
        <f t="shared" si="724"/>
        <v>COORDINACION CONSULTA EXTERNA</v>
      </c>
      <c r="F14116" s="5"/>
      <c r="G14116" s="5"/>
    </row>
    <row r="14117" spans="1:7" ht="58.5" customHeight="1" x14ac:dyDescent="0.25">
      <c r="A14117" s="5" t="str">
        <f>"H0028389"</f>
        <v>H0028389</v>
      </c>
      <c r="B14117" s="5" t="s">
        <v>729</v>
      </c>
      <c r="C14117" s="6">
        <v>10829000</v>
      </c>
      <c r="D14117" s="5" t="s">
        <v>152</v>
      </c>
      <c r="E14117" s="5" t="str">
        <f t="shared" si="724"/>
        <v>COORDINACION CONSULTA EXTERNA</v>
      </c>
      <c r="F14117" s="5"/>
      <c r="G14117" s="5"/>
    </row>
    <row r="14118" spans="1:7" ht="58.5" customHeight="1" x14ac:dyDescent="0.25">
      <c r="A14118" s="5" t="str">
        <f>"H0028390"</f>
        <v>H0028390</v>
      </c>
      <c r="B14118" s="5" t="s">
        <v>730</v>
      </c>
      <c r="C14118" s="6">
        <v>4036480</v>
      </c>
      <c r="D14118" s="5" t="s">
        <v>152</v>
      </c>
      <c r="E14118" s="5" t="str">
        <f t="shared" si="724"/>
        <v>COORDINACION CONSULTA EXTERNA</v>
      </c>
      <c r="F14118" s="5"/>
      <c r="G14118" s="5"/>
    </row>
    <row r="14119" spans="1:7" ht="58.5" customHeight="1" x14ac:dyDescent="0.25">
      <c r="A14119" s="5" t="str">
        <f>"H0028391"</f>
        <v>H0028391</v>
      </c>
      <c r="B14119" s="5" t="s">
        <v>730</v>
      </c>
      <c r="C14119" s="6">
        <v>4036480</v>
      </c>
      <c r="D14119" s="5" t="s">
        <v>152</v>
      </c>
      <c r="E14119" s="5" t="str">
        <f t="shared" si="724"/>
        <v>COORDINACION CONSULTA EXTERNA</v>
      </c>
      <c r="F14119" s="5"/>
      <c r="G14119" s="5"/>
    </row>
    <row r="14120" spans="1:7" ht="58.5" customHeight="1" x14ac:dyDescent="0.25">
      <c r="A14120" s="5" t="str">
        <f>"H0028392"</f>
        <v>H0028392</v>
      </c>
      <c r="B14120" s="5" t="s">
        <v>730</v>
      </c>
      <c r="C14120" s="6">
        <v>4036480</v>
      </c>
      <c r="D14120" s="5" t="s">
        <v>152</v>
      </c>
      <c r="E14120" s="5" t="str">
        <f t="shared" si="724"/>
        <v>COORDINACION CONSULTA EXTERNA</v>
      </c>
      <c r="F14120" s="5"/>
      <c r="G14120" s="5"/>
    </row>
    <row r="14121" spans="1:7" ht="58.5" customHeight="1" x14ac:dyDescent="0.25">
      <c r="A14121" s="5" t="str">
        <f>"H0028976"</f>
        <v>H0028976</v>
      </c>
      <c r="B14121" s="5" t="str">
        <f>"SILLA HERGONOMICA CON SISTEMA HIDRAULICO"</f>
        <v>SILLA HERGONOMICA CON SISTEMA HIDRAULICO</v>
      </c>
      <c r="C14121" s="6">
        <v>174900</v>
      </c>
      <c r="D14121" s="5" t="s">
        <v>40</v>
      </c>
      <c r="E14121" s="5" t="str">
        <f t="shared" si="724"/>
        <v>COORDINACION CONSULTA EXTERNA</v>
      </c>
      <c r="F14121" s="5"/>
      <c r="G14121" s="5"/>
    </row>
    <row r="14122" spans="1:7" ht="58.5" customHeight="1" x14ac:dyDescent="0.25">
      <c r="A14122" s="5" t="str">
        <f>"H0028979"</f>
        <v>H0028979</v>
      </c>
      <c r="B14122" s="5" t="str">
        <f>"SILLA HERGONOMICA CON SISTEMA HIDRAULICO"</f>
        <v>SILLA HERGONOMICA CON SISTEMA HIDRAULICO</v>
      </c>
      <c r="C14122" s="6">
        <v>174900</v>
      </c>
      <c r="D14122" s="5" t="s">
        <v>40</v>
      </c>
      <c r="E14122" s="5" t="str">
        <f t="shared" si="724"/>
        <v>COORDINACION CONSULTA EXTERNA</v>
      </c>
      <c r="F14122" s="5"/>
      <c r="G14122" s="5"/>
    </row>
    <row r="14123" spans="1:7" ht="58.5" customHeight="1" x14ac:dyDescent="0.25">
      <c r="A14123" s="5" t="str">
        <f>"H0029764"</f>
        <v>H0029764</v>
      </c>
      <c r="B14123" s="5" t="s">
        <v>94</v>
      </c>
      <c r="C14123" s="6">
        <v>148999.9</v>
      </c>
      <c r="D14123" s="5" t="s">
        <v>93</v>
      </c>
      <c r="E14123" s="5" t="str">
        <f t="shared" si="724"/>
        <v>COORDINACION CONSULTA EXTERNA</v>
      </c>
      <c r="F14123" s="5"/>
      <c r="G14123" s="5"/>
    </row>
    <row r="14124" spans="1:7" ht="58.5" customHeight="1" x14ac:dyDescent="0.25">
      <c r="A14124" s="5" t="str">
        <f>"H0029788"</f>
        <v>H0029788</v>
      </c>
      <c r="B14124" s="5" t="s">
        <v>96</v>
      </c>
      <c r="C14124" s="6">
        <v>169000.22</v>
      </c>
      <c r="D14124" s="5" t="s">
        <v>93</v>
      </c>
      <c r="E14124" s="5" t="str">
        <f t="shared" si="724"/>
        <v>COORDINACION CONSULTA EXTERNA</v>
      </c>
      <c r="F14124" s="5"/>
      <c r="G14124" s="5"/>
    </row>
    <row r="14125" spans="1:7" ht="58.5" customHeight="1" x14ac:dyDescent="0.25">
      <c r="A14125" s="5" t="str">
        <f>"H0029870"</f>
        <v>H0029870</v>
      </c>
      <c r="B14125" s="5" t="str">
        <f>"CARTELERA EN ACRILICO CRISTAL 4mm, CON BASE MDF DE 12mm INSTALADA CON DILATADORES EN ACERO"</f>
        <v>CARTELERA EN ACRILICO CRISTAL 4mm, CON BASE MDF DE 12mm INSTALADA CON DILATADORES EN ACERO</v>
      </c>
      <c r="C14125" s="6">
        <v>750000</v>
      </c>
      <c r="D14125" s="5" t="s">
        <v>225</v>
      </c>
      <c r="E14125" s="5" t="str">
        <f t="shared" si="724"/>
        <v>COORDINACION CONSULTA EXTERNA</v>
      </c>
      <c r="F14125" s="5"/>
      <c r="G14125" s="5"/>
    </row>
    <row r="14126" spans="1:7" ht="58.5" customHeight="1" x14ac:dyDescent="0.25">
      <c r="A14126" s="5" t="str">
        <f>"H0029871"</f>
        <v>H0029871</v>
      </c>
      <c r="B14126" s="5" t="str">
        <f>"CARTELERA EN ACRILICO CRISTAL 4mm, CON BASE MDF DE 12mm INSTALADA CON DILATADORES EN ACERO"</f>
        <v>CARTELERA EN ACRILICO CRISTAL 4mm, CON BASE MDF DE 12mm INSTALADA CON DILATADORES EN ACERO</v>
      </c>
      <c r="C14126" s="6">
        <v>750000</v>
      </c>
      <c r="D14126" s="5" t="s">
        <v>225</v>
      </c>
      <c r="E14126" s="5" t="str">
        <f t="shared" si="724"/>
        <v>COORDINACION CONSULTA EXTERNA</v>
      </c>
      <c r="F14126" s="5"/>
      <c r="G14126" s="5"/>
    </row>
    <row r="14127" spans="1:7" ht="58.5" customHeight="1" x14ac:dyDescent="0.25">
      <c r="A14127" s="5" t="str">
        <f>"H0030309"</f>
        <v>H0030309</v>
      </c>
      <c r="B14127" s="5" t="str">
        <f>"LAMPARA DE PASILLO DE LLAMADO DE ENFERMERIA"</f>
        <v>LAMPARA DE PASILLO DE LLAMADO DE ENFERMERIA</v>
      </c>
      <c r="C14127" s="6">
        <v>497740.11</v>
      </c>
      <c r="D14127" s="5" t="s">
        <v>155</v>
      </c>
      <c r="E14127" s="5" t="str">
        <f t="shared" si="724"/>
        <v>COORDINACION CONSULTA EXTERNA</v>
      </c>
      <c r="F14127" s="5"/>
      <c r="G14127" s="5"/>
    </row>
    <row r="14128" spans="1:7" ht="58.5" customHeight="1" x14ac:dyDescent="0.25">
      <c r="A14128" s="5" t="str">
        <f>"H0030314"</f>
        <v>H0030314</v>
      </c>
      <c r="B14128" s="5" t="str">
        <f>"LAMPARA DE PASILLO DE LLAMADO DE ENFERMERIA"</f>
        <v>LAMPARA DE PASILLO DE LLAMADO DE ENFERMERIA</v>
      </c>
      <c r="C14128" s="6">
        <v>497740.11</v>
      </c>
      <c r="D14128" s="5" t="s">
        <v>155</v>
      </c>
      <c r="E14128" s="5" t="str">
        <f t="shared" si="724"/>
        <v>COORDINACION CONSULTA EXTERNA</v>
      </c>
      <c r="F14128" s="5"/>
      <c r="G14128" s="5"/>
    </row>
    <row r="14129" spans="1:7" ht="58.5" customHeight="1" x14ac:dyDescent="0.25">
      <c r="A14129" s="5" t="str">
        <f>"H0030351"</f>
        <v>H0030351</v>
      </c>
      <c r="B14129" s="5" t="str">
        <f>"UNIDAD DE LLAMADO DE ENFERMERIA PARA BAÑO CON CORDON TIRADOR. RESISTENTE A SALPICADURAS DE AGUA Y LUZ INDICADORA DE PULSACIÓN"</f>
        <v>UNIDAD DE LLAMADO DE ENFERMERIA PARA BAÑO CON CORDON TIRADOR. RESISTENTE A SALPICADURAS DE AGUA Y LUZ INDICADORA DE PULSACIÓN</v>
      </c>
      <c r="C14129" s="6">
        <v>205537.98</v>
      </c>
      <c r="D14129" s="5" t="s">
        <v>155</v>
      </c>
      <c r="E14129" s="5" t="str">
        <f t="shared" si="724"/>
        <v>COORDINACION CONSULTA EXTERNA</v>
      </c>
      <c r="F14129" s="5"/>
      <c r="G14129" s="5"/>
    </row>
    <row r="14130" spans="1:7" ht="58.5" customHeight="1" x14ac:dyDescent="0.25">
      <c r="A14130" s="5" t="str">
        <f>"H0030352"</f>
        <v>H0030352</v>
      </c>
      <c r="B14130" s="5" t="str">
        <f>"UNIDAD DE LLAMADO DE ENFERMERIA PARA BAÑO CON CORDON TIRADOR. RESISTENTE A SALPICADURAS DE AGUA Y LUZ INDICADORA DE PULSACIÓN"</f>
        <v>UNIDAD DE LLAMADO DE ENFERMERIA PARA BAÑO CON CORDON TIRADOR. RESISTENTE A SALPICADURAS DE AGUA Y LUZ INDICADORA DE PULSACIÓN</v>
      </c>
      <c r="C14130" s="6">
        <v>205537.98</v>
      </c>
      <c r="D14130" s="5" t="s">
        <v>155</v>
      </c>
      <c r="E14130" s="5" t="str">
        <f t="shared" si="724"/>
        <v>COORDINACION CONSULTA EXTERNA</v>
      </c>
      <c r="F14130" s="5"/>
      <c r="G14130" s="5"/>
    </row>
    <row r="14131" spans="1:7" ht="58.5" customHeight="1" x14ac:dyDescent="0.25">
      <c r="A14131" s="5" t="str">
        <f>"H0031616"</f>
        <v>H0031616</v>
      </c>
      <c r="B14131" s="5" t="str">
        <f>"MUEBLE DE RECEPCION Y FACTURACION. MATERIAL MELAMINA RH MEDIDAS PARTE EXTERIOR 9.90 MTS *1 MT PARTE INTERIOR LARGO 9.9 MTS FONDO 0.6 MTS ALTO 0.75 MTS"</f>
        <v>MUEBLE DE RECEPCION Y FACTURACION. MATERIAL MELAMINA RH MEDIDAS PARTE EXTERIOR 9.90 MTS *1 MT PARTE INTERIOR LARGO 9.9 MTS FONDO 0.6 MTS ALTO 0.75 MTS</v>
      </c>
      <c r="C14131" s="6">
        <v>10400000</v>
      </c>
      <c r="D14131" s="5" t="s">
        <v>42</v>
      </c>
      <c r="E14131" s="5" t="str">
        <f t="shared" si="724"/>
        <v>COORDINACION CONSULTA EXTERNA</v>
      </c>
      <c r="F14131" s="5"/>
      <c r="G14131" s="5"/>
    </row>
    <row r="14132" spans="1:7" ht="58.5" customHeight="1" x14ac:dyDescent="0.25">
      <c r="A14132" s="5" t="str">
        <f>"H0032901"</f>
        <v>H0032901</v>
      </c>
      <c r="B14132" s="5" t="str">
        <f>"UPS INTERACTIVA 2000 VA MICRONET"</f>
        <v>UPS INTERACTIVA 2000 VA MICRONET</v>
      </c>
      <c r="C14132" s="6">
        <v>654500</v>
      </c>
      <c r="D14132" s="5" t="s">
        <v>731</v>
      </c>
      <c r="E14132" s="5" t="str">
        <f t="shared" si="724"/>
        <v>COORDINACION CONSULTA EXTERNA</v>
      </c>
      <c r="F14132" s="5"/>
      <c r="G14132" s="5"/>
    </row>
    <row r="14133" spans="1:7" ht="58.5" customHeight="1" x14ac:dyDescent="0.25">
      <c r="A14133" s="5" t="str">
        <f>"H0032989"</f>
        <v>H0032989</v>
      </c>
      <c r="B14133" s="5" t="str">
        <f t="shared" ref="B14133:B14138" si="725">"termometro infrarrojo (DONACION)"</f>
        <v>termometro infrarrojo (DONACION)</v>
      </c>
      <c r="C14133" s="6">
        <v>251100</v>
      </c>
      <c r="D14133" s="5" t="s">
        <v>503</v>
      </c>
      <c r="E14133" s="5" t="str">
        <f t="shared" si="724"/>
        <v>COORDINACION CONSULTA EXTERNA</v>
      </c>
      <c r="F14133" s="5"/>
      <c r="G14133" s="5"/>
    </row>
    <row r="14134" spans="1:7" ht="58.5" customHeight="1" x14ac:dyDescent="0.25">
      <c r="A14134" s="5" t="str">
        <f>"H0032991"</f>
        <v>H0032991</v>
      </c>
      <c r="B14134" s="5" t="str">
        <f t="shared" si="725"/>
        <v>termometro infrarrojo (DONACION)</v>
      </c>
      <c r="C14134" s="6">
        <v>251100</v>
      </c>
      <c r="D14134" s="5" t="s">
        <v>503</v>
      </c>
      <c r="E14134" s="5" t="str">
        <f t="shared" si="724"/>
        <v>COORDINACION CONSULTA EXTERNA</v>
      </c>
      <c r="F14134" s="5"/>
      <c r="G14134" s="5"/>
    </row>
    <row r="14135" spans="1:7" ht="58.5" customHeight="1" x14ac:dyDescent="0.25">
      <c r="A14135" s="5" t="str">
        <f>"H0032992"</f>
        <v>H0032992</v>
      </c>
      <c r="B14135" s="5" t="str">
        <f t="shared" si="725"/>
        <v>termometro infrarrojo (DONACION)</v>
      </c>
      <c r="C14135" s="6">
        <v>251100</v>
      </c>
      <c r="D14135" s="5" t="s">
        <v>503</v>
      </c>
      <c r="E14135" s="5" t="str">
        <f t="shared" si="724"/>
        <v>COORDINACION CONSULTA EXTERNA</v>
      </c>
      <c r="F14135" s="5"/>
      <c r="G14135" s="5"/>
    </row>
    <row r="14136" spans="1:7" ht="58.5" customHeight="1" x14ac:dyDescent="0.25">
      <c r="A14136" s="5" t="str">
        <f>"H0032995"</f>
        <v>H0032995</v>
      </c>
      <c r="B14136" s="5" t="str">
        <f t="shared" si="725"/>
        <v>termometro infrarrojo (DONACION)</v>
      </c>
      <c r="C14136" s="6">
        <v>251100</v>
      </c>
      <c r="D14136" s="5" t="s">
        <v>503</v>
      </c>
      <c r="E14136" s="5" t="str">
        <f t="shared" si="724"/>
        <v>COORDINACION CONSULTA EXTERNA</v>
      </c>
      <c r="F14136" s="5"/>
      <c r="G14136" s="5"/>
    </row>
    <row r="14137" spans="1:7" ht="58.5" customHeight="1" x14ac:dyDescent="0.25">
      <c r="A14137" s="5" t="str">
        <f>"H0032996"</f>
        <v>H0032996</v>
      </c>
      <c r="B14137" s="5" t="str">
        <f t="shared" si="725"/>
        <v>termometro infrarrojo (DONACION)</v>
      </c>
      <c r="C14137" s="6">
        <v>251100</v>
      </c>
      <c r="D14137" s="5" t="s">
        <v>503</v>
      </c>
      <c r="E14137" s="5" t="str">
        <f t="shared" si="724"/>
        <v>COORDINACION CONSULTA EXTERNA</v>
      </c>
      <c r="F14137" s="5"/>
      <c r="G14137" s="5"/>
    </row>
    <row r="14138" spans="1:7" ht="58.5" customHeight="1" x14ac:dyDescent="0.25">
      <c r="A14138" s="5" t="str">
        <f>"H0033004"</f>
        <v>H0033004</v>
      </c>
      <c r="B14138" s="5" t="str">
        <f t="shared" si="725"/>
        <v>termometro infrarrojo (DONACION)</v>
      </c>
      <c r="C14138" s="6">
        <v>251100</v>
      </c>
      <c r="D14138" s="5" t="s">
        <v>503</v>
      </c>
      <c r="E14138" s="5" t="str">
        <f t="shared" si="724"/>
        <v>COORDINACION CONSULTA EXTERNA</v>
      </c>
      <c r="F14138" s="5"/>
      <c r="G14138" s="5"/>
    </row>
    <row r="14139" spans="1:7" ht="58.5" customHeight="1" x14ac:dyDescent="0.25">
      <c r="A14139" s="5" t="str">
        <f>"H0033030"</f>
        <v>H0033030</v>
      </c>
      <c r="B14139" s="5" t="str">
        <f>"FONENDOSCOPIO (ESTETOSCOPIO) PARA ADULTO"</f>
        <v>FONENDOSCOPIO (ESTETOSCOPIO) PARA ADULTO</v>
      </c>
      <c r="C14139" s="6">
        <v>316000</v>
      </c>
      <c r="D14139" s="5" t="s">
        <v>503</v>
      </c>
      <c r="E14139" s="5" t="str">
        <f t="shared" si="724"/>
        <v>COORDINACION CONSULTA EXTERNA</v>
      </c>
      <c r="F14139" s="5"/>
      <c r="G14139" s="5"/>
    </row>
    <row r="14140" spans="1:7" ht="58.5" customHeight="1" x14ac:dyDescent="0.25">
      <c r="A14140" s="5" t="str">
        <f>"H0033031"</f>
        <v>H0033031</v>
      </c>
      <c r="B14140" s="5" t="str">
        <f>"FONENDOSCOPIO (ESTETOSCOPIO) PARA ADULTO"</f>
        <v>FONENDOSCOPIO (ESTETOSCOPIO) PARA ADULTO</v>
      </c>
      <c r="C14140" s="6">
        <v>316000</v>
      </c>
      <c r="D14140" s="5" t="s">
        <v>503</v>
      </c>
      <c r="E14140" s="5" t="str">
        <f t="shared" ref="E14140:E14173" si="726">"COORDINACION CONSULTA EXTERNA"</f>
        <v>COORDINACION CONSULTA EXTERNA</v>
      </c>
      <c r="F14140" s="5"/>
      <c r="G14140" s="5"/>
    </row>
    <row r="14141" spans="1:7" ht="58.5" customHeight="1" x14ac:dyDescent="0.25">
      <c r="A14141" s="5" t="str">
        <f>"h0033032"</f>
        <v>h0033032</v>
      </c>
      <c r="B14141" s="5" t="str">
        <f>"FONENDOSCOPIO (ESTETOSCOPIO) PARA ADULTO"</f>
        <v>FONENDOSCOPIO (ESTETOSCOPIO) PARA ADULTO</v>
      </c>
      <c r="C14141" s="6">
        <v>316000</v>
      </c>
      <c r="D14141" s="5" t="s">
        <v>503</v>
      </c>
      <c r="E14141" s="5" t="str">
        <f t="shared" si="726"/>
        <v>COORDINACION CONSULTA EXTERNA</v>
      </c>
      <c r="F14141" s="5"/>
      <c r="G14141" s="5"/>
    </row>
    <row r="14142" spans="1:7" ht="58.5" customHeight="1" x14ac:dyDescent="0.25">
      <c r="A14142" s="5" t="str">
        <f>"h0033033"</f>
        <v>h0033033</v>
      </c>
      <c r="B14142" s="5" t="str">
        <f>"FONENDOSCOPIO (ESTETOSCOPIO) PARA ADULTO"</f>
        <v>FONENDOSCOPIO (ESTETOSCOPIO) PARA ADULTO</v>
      </c>
      <c r="C14142" s="6">
        <v>316000</v>
      </c>
      <c r="D14142" s="5" t="s">
        <v>503</v>
      </c>
      <c r="E14142" s="5" t="str">
        <f t="shared" si="726"/>
        <v>COORDINACION CONSULTA EXTERNA</v>
      </c>
      <c r="F14142" s="5"/>
      <c r="G14142" s="5"/>
    </row>
    <row r="14143" spans="1:7" ht="58.5" customHeight="1" x14ac:dyDescent="0.25">
      <c r="A14143" s="5" t="str">
        <f>"h0033034"</f>
        <v>h0033034</v>
      </c>
      <c r="B14143" s="5" t="str">
        <f>"FONENDOSCOPIO (ESTETOSCOPIO) PARA ADULTO"</f>
        <v>FONENDOSCOPIO (ESTETOSCOPIO) PARA ADULTO</v>
      </c>
      <c r="C14143" s="6">
        <v>316000</v>
      </c>
      <c r="D14143" s="5" t="s">
        <v>503</v>
      </c>
      <c r="E14143" s="5" t="str">
        <f t="shared" si="726"/>
        <v>COORDINACION CONSULTA EXTERNA</v>
      </c>
      <c r="F14143" s="5"/>
      <c r="G14143" s="5"/>
    </row>
    <row r="14144" spans="1:7" ht="58.5" customHeight="1" x14ac:dyDescent="0.25">
      <c r="A14144" s="5" t="str">
        <f>"H0034044"</f>
        <v>H0034044</v>
      </c>
      <c r="B14144" s="5" t="s">
        <v>329</v>
      </c>
      <c r="C14144" s="6">
        <v>258000</v>
      </c>
      <c r="D14144" s="5" t="s">
        <v>122</v>
      </c>
      <c r="E14144" s="5" t="str">
        <f t="shared" si="726"/>
        <v>COORDINACION CONSULTA EXTERNA</v>
      </c>
      <c r="F14144" s="5"/>
      <c r="G14144" s="5"/>
    </row>
    <row r="14145" spans="1:7" ht="58.5" customHeight="1" x14ac:dyDescent="0.25">
      <c r="A14145" s="5" t="str">
        <f>"H0034228"</f>
        <v>H0034228</v>
      </c>
      <c r="B14145" s="5" t="str">
        <f>"Audiómetro Clínico MAICO MA 42"</f>
        <v>Audiómetro Clínico MAICO MA 42</v>
      </c>
      <c r="C14145" s="6">
        <v>40222000</v>
      </c>
      <c r="D14145" s="5" t="s">
        <v>732</v>
      </c>
      <c r="E14145" s="5" t="str">
        <f t="shared" si="726"/>
        <v>COORDINACION CONSULTA EXTERNA</v>
      </c>
      <c r="F14145" s="5"/>
      <c r="G14145" s="5"/>
    </row>
    <row r="14146" spans="1:7" ht="58.5" customHeight="1" x14ac:dyDescent="0.25">
      <c r="A14146" s="5" t="str">
        <f>"H0034458"</f>
        <v>H0034458</v>
      </c>
      <c r="B14146" s="5" t="str">
        <f>"Cabina Sonoamortiguada 1.20x1.20x2.00"</f>
        <v>Cabina Sonoamortiguada 1.20x1.20x2.00</v>
      </c>
      <c r="C14146" s="6">
        <v>23800000</v>
      </c>
      <c r="D14146" s="5" t="s">
        <v>732</v>
      </c>
      <c r="E14146" s="5" t="str">
        <f t="shared" si="726"/>
        <v>COORDINACION CONSULTA EXTERNA</v>
      </c>
      <c r="F14146" s="5"/>
      <c r="G14146" s="5"/>
    </row>
    <row r="14147" spans="1:7" ht="58.5" customHeight="1" x14ac:dyDescent="0.25">
      <c r="A14147" s="5" t="str">
        <f>"H0034860"</f>
        <v>H0034860</v>
      </c>
      <c r="B14147" s="5" t="str">
        <f>"COMPUTADOR TODO EN UNO"</f>
        <v>COMPUTADOR TODO EN UNO</v>
      </c>
      <c r="C14147" s="6">
        <v>5291396.9000000004</v>
      </c>
      <c r="D14147" s="5" t="s">
        <v>24</v>
      </c>
      <c r="E14147" s="5" t="str">
        <f t="shared" si="726"/>
        <v>COORDINACION CONSULTA EXTERNA</v>
      </c>
      <c r="F14147" s="5"/>
      <c r="G14147" s="5"/>
    </row>
    <row r="14148" spans="1:7" ht="58.5" customHeight="1" x14ac:dyDescent="0.25">
      <c r="A14148" s="5" t="str">
        <f>"H0035036"</f>
        <v>H0035036</v>
      </c>
      <c r="B1414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4148" s="6">
        <v>5289550</v>
      </c>
      <c r="D14148" s="5" t="s">
        <v>22</v>
      </c>
      <c r="E14148" s="5" t="str">
        <f t="shared" si="726"/>
        <v>COORDINACION CONSULTA EXTERNA</v>
      </c>
      <c r="F14148" s="5"/>
      <c r="G14148" s="5"/>
    </row>
    <row r="14149" spans="1:7" ht="58.5" customHeight="1" x14ac:dyDescent="0.25">
      <c r="A14149" s="5" t="str">
        <f>"H0035272"</f>
        <v>H0035272</v>
      </c>
      <c r="B14149" s="5" t="str">
        <f>"CAMA HOSPITALARIA (DONACION)"</f>
        <v>CAMA HOSPITALARIA (DONACION)</v>
      </c>
      <c r="C14149" s="6">
        <v>40540500</v>
      </c>
      <c r="D14149" s="5" t="s">
        <v>279</v>
      </c>
      <c r="E14149" s="5" t="str">
        <f t="shared" si="726"/>
        <v>COORDINACION CONSULTA EXTERNA</v>
      </c>
      <c r="F14149" s="5"/>
      <c r="G14149" s="5"/>
    </row>
    <row r="14150" spans="1:7" ht="58.5" customHeight="1" x14ac:dyDescent="0.25">
      <c r="A14150" s="5" t="str">
        <f>"H0035692"</f>
        <v>H0035692</v>
      </c>
      <c r="B14150" s="5" t="str">
        <f>"SILLA GERENTE NIZA MEC. BASCULANTE CON BRAZOS."</f>
        <v>SILLA GERENTE NIZA MEC. BASCULANTE CON BRAZOS.</v>
      </c>
      <c r="C14150" s="6">
        <v>639999.86</v>
      </c>
      <c r="D14150" s="5" t="s">
        <v>235</v>
      </c>
      <c r="E14150" s="5" t="str">
        <f t="shared" si="726"/>
        <v>COORDINACION CONSULTA EXTERNA</v>
      </c>
      <c r="F14150" s="5"/>
      <c r="G14150" s="5"/>
    </row>
    <row r="14151" spans="1:7" ht="58.5" customHeight="1" x14ac:dyDescent="0.25">
      <c r="A14151" s="5" t="str">
        <f>"H0035695"</f>
        <v>H0035695</v>
      </c>
      <c r="B14151" s="5" t="str">
        <f>"SILLA GERENTE NIZA MEC. BASCULANTE CON BRAZOS."</f>
        <v>SILLA GERENTE NIZA MEC. BASCULANTE CON BRAZOS.</v>
      </c>
      <c r="C14151" s="6">
        <v>639999.86</v>
      </c>
      <c r="D14151" s="5" t="s">
        <v>235</v>
      </c>
      <c r="E14151" s="5" t="str">
        <f t="shared" si="726"/>
        <v>COORDINACION CONSULTA EXTERNA</v>
      </c>
      <c r="F14151" s="5"/>
      <c r="G14151" s="5"/>
    </row>
    <row r="14152" spans="1:7" ht="58.5" customHeight="1" x14ac:dyDescent="0.25">
      <c r="A14152" s="5" t="str">
        <f>"H0036430"</f>
        <v>H0036430</v>
      </c>
      <c r="B14152" s="5" t="str">
        <f>"VENTILADOR DE PARED"</f>
        <v>VENTILADOR DE PARED</v>
      </c>
      <c r="C14152" s="6">
        <v>295260</v>
      </c>
      <c r="D14152" s="5" t="s">
        <v>131</v>
      </c>
      <c r="E14152" s="5" t="str">
        <f t="shared" si="726"/>
        <v>COORDINACION CONSULTA EXTERNA</v>
      </c>
      <c r="F14152" s="5"/>
      <c r="G14152" s="5"/>
    </row>
    <row r="14153" spans="1:7" ht="58.5" customHeight="1" x14ac:dyDescent="0.25">
      <c r="A14153" s="5" t="str">
        <f>"H0036433"</f>
        <v>H0036433</v>
      </c>
      <c r="B14153" s="5" t="str">
        <f>"VENTILADOR DE PARED"</f>
        <v>VENTILADOR DE PARED</v>
      </c>
      <c r="C14153" s="6">
        <v>295260</v>
      </c>
      <c r="D14153" s="5" t="s">
        <v>131</v>
      </c>
      <c r="E14153" s="5" t="str">
        <f t="shared" si="726"/>
        <v>COORDINACION CONSULTA EXTERNA</v>
      </c>
      <c r="F14153" s="5"/>
      <c r="G14153" s="5"/>
    </row>
    <row r="14154" spans="1:7" ht="58.5" customHeight="1" x14ac:dyDescent="0.25">
      <c r="A14154" s="5" t="str">
        <f>"H0036434"</f>
        <v>H0036434</v>
      </c>
      <c r="B14154" s="5" t="str">
        <f>"VENTILADOR DE PARED"</f>
        <v>VENTILADOR DE PARED</v>
      </c>
      <c r="C14154" s="6">
        <v>295260</v>
      </c>
      <c r="D14154" s="5" t="s">
        <v>131</v>
      </c>
      <c r="E14154" s="5" t="str">
        <f t="shared" si="726"/>
        <v>COORDINACION CONSULTA EXTERNA</v>
      </c>
      <c r="F14154" s="5"/>
      <c r="G14154" s="5"/>
    </row>
    <row r="14155" spans="1:7" ht="58.5" customHeight="1" x14ac:dyDescent="0.25">
      <c r="A14155" s="5" t="str">
        <f>"H0036438"</f>
        <v>H0036438</v>
      </c>
      <c r="B14155" s="5" t="str">
        <f>"VENTILADOR DE PARED"</f>
        <v>VENTILADOR DE PARED</v>
      </c>
      <c r="C14155" s="6">
        <v>295260</v>
      </c>
      <c r="D14155" s="5" t="s">
        <v>131</v>
      </c>
      <c r="E14155" s="5" t="str">
        <f t="shared" si="726"/>
        <v>COORDINACION CONSULTA EXTERNA</v>
      </c>
      <c r="F14155" s="5"/>
      <c r="G14155" s="5"/>
    </row>
    <row r="14156" spans="1:7" ht="58.5" customHeight="1" x14ac:dyDescent="0.25">
      <c r="A14156" s="5" t="str">
        <f>"H0036477"</f>
        <v>H0036477</v>
      </c>
      <c r="B14156" s="5" t="str">
        <f>"EQUIPO DE ORGANOS PORTATIL"</f>
        <v>EQUIPO DE ORGANOS PORTATIL</v>
      </c>
      <c r="C14156" s="6">
        <v>900000</v>
      </c>
      <c r="D14156" s="5" t="s">
        <v>616</v>
      </c>
      <c r="E14156" s="5" t="str">
        <f t="shared" si="726"/>
        <v>COORDINACION CONSULTA EXTERNA</v>
      </c>
      <c r="F14156" s="5"/>
      <c r="G14156" s="5"/>
    </row>
    <row r="14157" spans="1:7" ht="58.5" customHeight="1" x14ac:dyDescent="0.25">
      <c r="A14157" s="5" t="str">
        <f>"H0036478"</f>
        <v>H0036478</v>
      </c>
      <c r="B14157" s="5" t="str">
        <f>"EQUIPO DE ORGANOS PORTATIL"</f>
        <v>EQUIPO DE ORGANOS PORTATIL</v>
      </c>
      <c r="C14157" s="6">
        <v>900000</v>
      </c>
      <c r="D14157" s="5" t="s">
        <v>616</v>
      </c>
      <c r="E14157" s="5" t="str">
        <f t="shared" si="726"/>
        <v>COORDINACION CONSULTA EXTERNA</v>
      </c>
      <c r="F14157" s="5"/>
      <c r="G14157" s="5"/>
    </row>
    <row r="14158" spans="1:7" ht="58.5" customHeight="1" x14ac:dyDescent="0.25">
      <c r="A14158" s="5" t="str">
        <f>"H0036483"</f>
        <v>H0036483</v>
      </c>
      <c r="B14158" s="5" t="str">
        <f>"BASCULA"</f>
        <v>BASCULA</v>
      </c>
      <c r="C14158" s="6">
        <v>980000</v>
      </c>
      <c r="D14158" s="5" t="s">
        <v>616</v>
      </c>
      <c r="E14158" s="5" t="str">
        <f t="shared" si="726"/>
        <v>COORDINACION CONSULTA EXTERNA</v>
      </c>
      <c r="F14158" s="5"/>
      <c r="G14158" s="5"/>
    </row>
    <row r="14159" spans="1:7" ht="58.5" customHeight="1" x14ac:dyDescent="0.25">
      <c r="A14159" s="5" t="str">
        <f>"H0037397"</f>
        <v>H0037397</v>
      </c>
      <c r="B14159" s="5" t="str">
        <f>"VENTILADOR DE PARED"</f>
        <v>VENTILADOR DE PARED</v>
      </c>
      <c r="C14159" s="6">
        <v>286671</v>
      </c>
      <c r="D14159" s="5" t="s">
        <v>138</v>
      </c>
      <c r="E14159" s="5" t="str">
        <f t="shared" si="726"/>
        <v>COORDINACION CONSULTA EXTERNA</v>
      </c>
      <c r="F14159" s="5"/>
      <c r="G14159" s="5"/>
    </row>
    <row r="14160" spans="1:7" ht="58.5" customHeight="1" x14ac:dyDescent="0.25">
      <c r="A14160" s="5" t="str">
        <f>"H0038020"</f>
        <v>H0038020</v>
      </c>
      <c r="B14160" s="5" t="str">
        <f t="shared" ref="B14160:B14172" si="727">"SILLA GERENTE NIZA MEC. BASCULANTE CON BRAZOS."</f>
        <v>SILLA GERENTE NIZA MEC. BASCULANTE CON BRAZOS.</v>
      </c>
      <c r="C14160" s="6">
        <v>710000.01</v>
      </c>
      <c r="D14160" s="5" t="s">
        <v>30</v>
      </c>
      <c r="E14160" s="5" t="str">
        <f t="shared" si="726"/>
        <v>COORDINACION CONSULTA EXTERNA</v>
      </c>
      <c r="F14160" s="5"/>
      <c r="G14160" s="5"/>
    </row>
    <row r="14161" spans="1:7" ht="58.5" customHeight="1" x14ac:dyDescent="0.25">
      <c r="A14161" s="5" t="str">
        <f>"H0038021"</f>
        <v>H0038021</v>
      </c>
      <c r="B14161" s="5" t="str">
        <f t="shared" si="727"/>
        <v>SILLA GERENTE NIZA MEC. BASCULANTE CON BRAZOS.</v>
      </c>
      <c r="C14161" s="6">
        <v>710000.01</v>
      </c>
      <c r="D14161" s="5" t="s">
        <v>30</v>
      </c>
      <c r="E14161" s="5" t="str">
        <f t="shared" si="726"/>
        <v>COORDINACION CONSULTA EXTERNA</v>
      </c>
      <c r="F14161" s="5"/>
      <c r="G14161" s="5"/>
    </row>
    <row r="14162" spans="1:7" ht="58.5" customHeight="1" x14ac:dyDescent="0.25">
      <c r="A14162" s="5" t="str">
        <f>"H0038022"</f>
        <v>H0038022</v>
      </c>
      <c r="B14162" s="5" t="str">
        <f t="shared" si="727"/>
        <v>SILLA GERENTE NIZA MEC. BASCULANTE CON BRAZOS.</v>
      </c>
      <c r="C14162" s="6">
        <v>710000.01</v>
      </c>
      <c r="D14162" s="5" t="s">
        <v>30</v>
      </c>
      <c r="E14162" s="5" t="str">
        <f t="shared" si="726"/>
        <v>COORDINACION CONSULTA EXTERNA</v>
      </c>
      <c r="F14162" s="5"/>
      <c r="G14162" s="5"/>
    </row>
    <row r="14163" spans="1:7" ht="58.5" customHeight="1" x14ac:dyDescent="0.25">
      <c r="A14163" s="5" t="str">
        <f>"H0038023"</f>
        <v>H0038023</v>
      </c>
      <c r="B14163" s="5" t="str">
        <f t="shared" si="727"/>
        <v>SILLA GERENTE NIZA MEC. BASCULANTE CON BRAZOS.</v>
      </c>
      <c r="C14163" s="6">
        <v>710000.01</v>
      </c>
      <c r="D14163" s="5" t="s">
        <v>30</v>
      </c>
      <c r="E14163" s="5" t="str">
        <f t="shared" si="726"/>
        <v>COORDINACION CONSULTA EXTERNA</v>
      </c>
      <c r="F14163" s="5"/>
      <c r="G14163" s="5"/>
    </row>
    <row r="14164" spans="1:7" ht="58.5" customHeight="1" x14ac:dyDescent="0.25">
      <c r="A14164" s="5" t="str">
        <f>"H0038024"</f>
        <v>H0038024</v>
      </c>
      <c r="B14164" s="5" t="str">
        <f t="shared" si="727"/>
        <v>SILLA GERENTE NIZA MEC. BASCULANTE CON BRAZOS.</v>
      </c>
      <c r="C14164" s="6">
        <v>710000.01</v>
      </c>
      <c r="D14164" s="5" t="s">
        <v>30</v>
      </c>
      <c r="E14164" s="5" t="str">
        <f t="shared" si="726"/>
        <v>COORDINACION CONSULTA EXTERNA</v>
      </c>
      <c r="F14164" s="5"/>
      <c r="G14164" s="5"/>
    </row>
    <row r="14165" spans="1:7" ht="58.5" customHeight="1" x14ac:dyDescent="0.25">
      <c r="A14165" s="5" t="str">
        <f>"H0038025"</f>
        <v>H0038025</v>
      </c>
      <c r="B14165" s="5" t="str">
        <f t="shared" si="727"/>
        <v>SILLA GERENTE NIZA MEC. BASCULANTE CON BRAZOS.</v>
      </c>
      <c r="C14165" s="6">
        <v>710000.01</v>
      </c>
      <c r="D14165" s="5" t="s">
        <v>30</v>
      </c>
      <c r="E14165" s="5" t="str">
        <f t="shared" si="726"/>
        <v>COORDINACION CONSULTA EXTERNA</v>
      </c>
      <c r="F14165" s="5"/>
      <c r="G14165" s="5"/>
    </row>
    <row r="14166" spans="1:7" ht="58.5" customHeight="1" x14ac:dyDescent="0.25">
      <c r="A14166" s="5" t="str">
        <f>"H0038026"</f>
        <v>H0038026</v>
      </c>
      <c r="B14166" s="5" t="str">
        <f t="shared" si="727"/>
        <v>SILLA GERENTE NIZA MEC. BASCULANTE CON BRAZOS.</v>
      </c>
      <c r="C14166" s="6">
        <v>710000.01</v>
      </c>
      <c r="D14166" s="5" t="s">
        <v>30</v>
      </c>
      <c r="E14166" s="5" t="str">
        <f t="shared" si="726"/>
        <v>COORDINACION CONSULTA EXTERNA</v>
      </c>
      <c r="F14166" s="5"/>
      <c r="G14166" s="5"/>
    </row>
    <row r="14167" spans="1:7" ht="58.5" customHeight="1" x14ac:dyDescent="0.25">
      <c r="A14167" s="5" t="str">
        <f>"H0038027"</f>
        <v>H0038027</v>
      </c>
      <c r="B14167" s="5" t="str">
        <f t="shared" si="727"/>
        <v>SILLA GERENTE NIZA MEC. BASCULANTE CON BRAZOS.</v>
      </c>
      <c r="C14167" s="6">
        <v>710000.01</v>
      </c>
      <c r="D14167" s="5" t="s">
        <v>30</v>
      </c>
      <c r="E14167" s="5" t="str">
        <f t="shared" si="726"/>
        <v>COORDINACION CONSULTA EXTERNA</v>
      </c>
      <c r="F14167" s="5"/>
      <c r="G14167" s="5"/>
    </row>
    <row r="14168" spans="1:7" ht="58.5" customHeight="1" x14ac:dyDescent="0.25">
      <c r="A14168" s="5" t="str">
        <f>"H0038028"</f>
        <v>H0038028</v>
      </c>
      <c r="B14168" s="5" t="str">
        <f t="shared" si="727"/>
        <v>SILLA GERENTE NIZA MEC. BASCULANTE CON BRAZOS.</v>
      </c>
      <c r="C14168" s="6">
        <v>710000.01</v>
      </c>
      <c r="D14168" s="5" t="s">
        <v>30</v>
      </c>
      <c r="E14168" s="5" t="str">
        <f t="shared" si="726"/>
        <v>COORDINACION CONSULTA EXTERNA</v>
      </c>
      <c r="F14168" s="5"/>
      <c r="G14168" s="5"/>
    </row>
    <row r="14169" spans="1:7" ht="58.5" customHeight="1" x14ac:dyDescent="0.25">
      <c r="A14169" s="5" t="str">
        <f>"H0038029"</f>
        <v>H0038029</v>
      </c>
      <c r="B14169" s="5" t="str">
        <f t="shared" si="727"/>
        <v>SILLA GERENTE NIZA MEC. BASCULANTE CON BRAZOS.</v>
      </c>
      <c r="C14169" s="6">
        <v>710000.01</v>
      </c>
      <c r="D14169" s="5" t="s">
        <v>30</v>
      </c>
      <c r="E14169" s="5" t="str">
        <f t="shared" si="726"/>
        <v>COORDINACION CONSULTA EXTERNA</v>
      </c>
      <c r="F14169" s="5"/>
      <c r="G14169" s="5"/>
    </row>
    <row r="14170" spans="1:7" ht="58.5" customHeight="1" x14ac:dyDescent="0.25">
      <c r="A14170" s="5" t="str">
        <f>"H0038030"</f>
        <v>H0038030</v>
      </c>
      <c r="B14170" s="5" t="str">
        <f t="shared" si="727"/>
        <v>SILLA GERENTE NIZA MEC. BASCULANTE CON BRAZOS.</v>
      </c>
      <c r="C14170" s="6">
        <v>710000.01</v>
      </c>
      <c r="D14170" s="5" t="s">
        <v>30</v>
      </c>
      <c r="E14170" s="5" t="str">
        <f t="shared" si="726"/>
        <v>COORDINACION CONSULTA EXTERNA</v>
      </c>
      <c r="F14170" s="5"/>
      <c r="G14170" s="5"/>
    </row>
    <row r="14171" spans="1:7" ht="58.5" customHeight="1" x14ac:dyDescent="0.25">
      <c r="A14171" s="5" t="str">
        <f>"H0038031"</f>
        <v>H0038031</v>
      </c>
      <c r="B14171" s="5" t="str">
        <f t="shared" si="727"/>
        <v>SILLA GERENTE NIZA MEC. BASCULANTE CON BRAZOS.</v>
      </c>
      <c r="C14171" s="6">
        <v>710000.01</v>
      </c>
      <c r="D14171" s="5" t="s">
        <v>30</v>
      </c>
      <c r="E14171" s="5" t="str">
        <f t="shared" si="726"/>
        <v>COORDINACION CONSULTA EXTERNA</v>
      </c>
      <c r="F14171" s="5"/>
      <c r="G14171" s="5"/>
    </row>
    <row r="14172" spans="1:7" ht="58.5" customHeight="1" x14ac:dyDescent="0.25">
      <c r="A14172" s="5" t="str">
        <f>"H0038032"</f>
        <v>H0038032</v>
      </c>
      <c r="B14172" s="5" t="str">
        <f t="shared" si="727"/>
        <v>SILLA GERENTE NIZA MEC. BASCULANTE CON BRAZOS.</v>
      </c>
      <c r="C14172" s="6">
        <v>710000.01</v>
      </c>
      <c r="D14172" s="5" t="s">
        <v>30</v>
      </c>
      <c r="E14172" s="5" t="str">
        <f t="shared" si="726"/>
        <v>COORDINACION CONSULTA EXTERNA</v>
      </c>
      <c r="F14172" s="5"/>
      <c r="G14172" s="5"/>
    </row>
    <row r="14173" spans="1:7" ht="58.5" customHeight="1" x14ac:dyDescent="0.25">
      <c r="A14173" s="5" t="str">
        <f>"H0038111"</f>
        <v>H0038111</v>
      </c>
      <c r="B14173" s="5" t="str">
        <f>"COLPOSCOPIO"</f>
        <v>COLPOSCOPIO</v>
      </c>
      <c r="C14173" s="6">
        <v>364120046</v>
      </c>
      <c r="D14173" s="5" t="s">
        <v>733</v>
      </c>
      <c r="E14173" s="5" t="str">
        <f t="shared" si="726"/>
        <v>COORDINACION CONSULTA EXTERNA</v>
      </c>
      <c r="F14173" s="5"/>
      <c r="G14173" s="5"/>
    </row>
    <row r="14174" spans="1:7" ht="58.5" customHeight="1" x14ac:dyDescent="0.25">
      <c r="A14174" s="5" t="str">
        <f>"B0005478"</f>
        <v>B0005478</v>
      </c>
      <c r="B14174" s="5" t="str">
        <f>"PINZA DE TRASLADO (TRANSFERENCIA)"</f>
        <v>PINZA DE TRASLADO (TRANSFERENCIA)</v>
      </c>
      <c r="C14174" s="6">
        <v>16124</v>
      </c>
      <c r="D14174" s="5"/>
      <c r="E14174" s="5" t="str">
        <f t="shared" ref="E14174:E14237" si="728">"ACTISALUD- PISO 10-ALA A"</f>
        <v>ACTISALUD- PISO 10-ALA A</v>
      </c>
      <c r="F14174" s="5" t="str">
        <f>"Descripcion: PINZA DE TRANFERENCIA Estado: Bueno Placa anterior: 000014560 Material: ACERO INOXIDABLE Color: PLATEADO Referencia:  Observacion:  Placa padre: Tipo adquisicion: Entidad"</f>
        <v>Descripcion: PINZA DE TRANFERENCIA Estado: Bueno Placa anterior: 000014560 Material: ACERO INOXIDABLE Color: PLATEADO Referencia:  Observacion:  Placa padre: Tipo adquisicion: Entidad</v>
      </c>
      <c r="G14174" s="5"/>
    </row>
    <row r="14175" spans="1:7" ht="58.5" customHeight="1" x14ac:dyDescent="0.25">
      <c r="A14175" s="5" t="str">
        <f>"H0000307"</f>
        <v>H0000307</v>
      </c>
      <c r="B14175" s="5" t="str">
        <f>"NEVERA DE 66 LTS"</f>
        <v>NEVERA DE 66 LTS</v>
      </c>
      <c r="C14175" s="6">
        <v>249500</v>
      </c>
      <c r="D14175" s="5"/>
      <c r="E14175" s="5" t="str">
        <f t="shared" si="728"/>
        <v>ACTISALUD- PISO 10-ALA A</v>
      </c>
      <c r="F14175" s="5" t="str">
        <f>"Descripcion: NEVERA MCA PHILIPS ESTANDAR Estado: Bueno Placa anterior: 000006782 Material: METALICA Color: CREMA Referencia:  Observacion:  Placa padre: Tipo adquisicion: Entidad"</f>
        <v>Descripcion: NEVERA MCA PHILIPS ESTANDAR Estado: Bueno Placa anterior: 000006782 Material: METALICA Color: CREMA Referencia:  Observacion:  Placa padre: Tipo adquisicion: Entidad</v>
      </c>
      <c r="G14175" s="5"/>
    </row>
    <row r="14176" spans="1:7" ht="58.5" customHeight="1" x14ac:dyDescent="0.25">
      <c r="A14176" s="5" t="str">
        <f>"H0001158"</f>
        <v>H0001158</v>
      </c>
      <c r="B14176" s="5" t="str">
        <f>"SILLA RECLINOMATICA"</f>
        <v>SILLA RECLINOMATICA</v>
      </c>
      <c r="C14176" s="6">
        <v>1220000</v>
      </c>
      <c r="D14176" s="5" t="s">
        <v>63</v>
      </c>
      <c r="E14176" s="5" t="str">
        <f t="shared" si="728"/>
        <v>ACTISALUD- PISO 10-ALA A</v>
      </c>
      <c r="F14176" s="5" t="str">
        <f>"Descripcion: SILLON RECLINATORIO PARA VISITANTE Estado: Excelente Placa anterior: 000037981 Material: TAPIZADO Color: AZUL OSCURO Referencia:  Observacion:  Placa padre: Tipo adquisicion: Entidad"</f>
        <v>Descripcion: SILLON RECLINATORIO PARA VISITANTE Estado: Excelente Placa anterior: 000037981 Material: TAPIZADO Color: AZUL OSCURO Referencia:  Observacion:  Placa padre: Tipo adquisicion: Entidad</v>
      </c>
      <c r="G14176" s="5"/>
    </row>
    <row r="14177" spans="1:7" ht="58.5" customHeight="1" x14ac:dyDescent="0.25">
      <c r="A14177" s="5" t="str">
        <f>"H0001729"</f>
        <v>H0001729</v>
      </c>
      <c r="B14177" s="5" t="str">
        <f>"ESCALERILLA DE 2 PASOS"</f>
        <v>ESCALERILLA DE 2 PASOS</v>
      </c>
      <c r="C14177" s="6">
        <v>100000</v>
      </c>
      <c r="D14177" s="5" t="s">
        <v>49</v>
      </c>
      <c r="E14177" s="5" t="str">
        <f t="shared" si="728"/>
        <v>ACTISALUD- PISO 10-ALA A</v>
      </c>
      <c r="F14177" s="5" t="str">
        <f>"Descripcion: ESCALERILLA DE DOS PASOS EN TUBO REDONDO Estado: Bueno Placa anterior: 000029913 Material: METALICO CON PASOS EN PLASTICO Color: BLANCO Referencia:  Observacion:  Placa padre: Tipo adquisicion: Entidad"</f>
        <v>Descripcion: ESCALERILLA DE DOS PASOS EN TUBO REDONDO Estado: Bueno Placa anterior: 000029913 Material: METALICO CON PASOS EN PLASTICO Color: BLANCO Referencia:  Observacion:  Placa padre: Tipo adquisicion: Entidad</v>
      </c>
      <c r="G14177" s="5"/>
    </row>
    <row r="14178" spans="1:7" ht="58.5" customHeight="1" x14ac:dyDescent="0.25">
      <c r="A14178" s="5" t="str">
        <f>"H0002674"</f>
        <v>H0002674</v>
      </c>
      <c r="B14178" s="5" t="str">
        <f>"ENRUTADOR (ROUTER) INALAMBRICO (ACCES POINT)"</f>
        <v>ENRUTADOR (ROUTER) INALAMBRICO (ACCES POINT)</v>
      </c>
      <c r="C14178" s="6">
        <v>323640</v>
      </c>
      <c r="D14178" s="5"/>
      <c r="E14178" s="5" t="str">
        <f t="shared" si="728"/>
        <v>ACTISALUD- PISO 10-ALA A</v>
      </c>
      <c r="F14178" s="5" t="str">
        <f>"Descripcion:INDOOR ACCESS POINT, 3 ANTENAS DE COLOR GRIS, CABLE DE RED, CARGADOR Estado: Excelente Placa anterior: 000037075 Material: PASTA Color: BLANCO Y GRIS Referencia:  Observacion:  Placa padre:  Tipo adquisicion : Entidad"</f>
        <v>Descripcion:INDOOR ACCESS POINT, 3 ANTENAS DE COLOR GRIS, CABLE DE RED, CARGADOR Estado: Excelente Placa anterior: 000037075 Material: PASTA Color: BLANCO Y GRIS Referencia:  Observacion:  Placa padre:  Tipo adquisicion : Entidad</v>
      </c>
      <c r="G14178" s="5" t="str">
        <f>"TL-WA901ND"</f>
        <v>TL-WA901ND</v>
      </c>
    </row>
    <row r="14179" spans="1:7" ht="58.5" customHeight="1" x14ac:dyDescent="0.25">
      <c r="A14179" s="5" t="str">
        <f>"H0002754"</f>
        <v>H0002754</v>
      </c>
      <c r="B14179" s="5" t="str">
        <f>"SILLA DE RUEDAS"</f>
        <v>SILLA DE RUEDAS</v>
      </c>
      <c r="C14179" s="6">
        <v>510000</v>
      </c>
      <c r="D14179" s="5"/>
      <c r="E14179" s="5" t="str">
        <f t="shared" si="728"/>
        <v>ACTISALUD- PISO 10-ALA A</v>
      </c>
      <c r="F14179" s="5" t="str">
        <f>"Descripcion:SILLA DE RUEDA ADULTO ESTANDAR CON BRAZOS Y DESCANSAPIES DESMONTABLES CON MARCO PLEGABLE CALIBRE 18 DE 7/8 Estado: Excelente Placa anterior: 000037982 Material: METAL Y ASIENTO EN CUERINA Color: PLATEADO Y NEGRO Referencia:  Observacion:  Plac"&amp; "a padre:  Tipo adquisicion : Entidad"</f>
        <v>Descripcion:SILLA DE RUEDA ADULTO ESTANDAR CON BRAZOS Y DESCANSAPIES DESMONTABLES CON MARCO PLEGABLE CALIBRE 18 DE 7/8 Estado: Excelente Placa anterior: 000037982 Material: METAL Y ASIENTO EN CUERINA Color: PLATEADO Y NEGRO Referencia:  Observacion:  Placa padre:  Tipo adquisicion : Entidad</v>
      </c>
      <c r="G14179" s="5"/>
    </row>
    <row r="14180" spans="1:7" ht="58.5" customHeight="1" x14ac:dyDescent="0.25">
      <c r="A14180" s="5" t="str">
        <f>"H0004401"</f>
        <v>H0004401</v>
      </c>
      <c r="B14180" s="5" t="str">
        <f>"NEVERA 3 PIES (84LT)"</f>
        <v>NEVERA 3 PIES (84LT)</v>
      </c>
      <c r="C14180" s="6">
        <v>452400</v>
      </c>
      <c r="D14180" s="5"/>
      <c r="E14180" s="5" t="str">
        <f t="shared" si="728"/>
        <v>ACTISALUD- PISO 10-ALA A</v>
      </c>
      <c r="F14180" s="5" t="str">
        <f>"Descripcion: REFRIGERADORA SAMSUNG SG-12BCSWCN Estado: Bueno Placa anterior: 000022621 Material: METAL Color: BLANCA Referencia:  Observacion:  Placa padre: Tipo adquisicion: Entidad"</f>
        <v>Descripcion: REFRIGERADORA SAMSUNG SG-12BCSWCN Estado: Bueno Placa anterior: 000022621 Material: METAL Color: BLANCA Referencia:  Observacion:  Placa padre: Tipo adquisicion: Entidad</v>
      </c>
      <c r="G14180" s="5" t="str">
        <f>"0466"</f>
        <v>0466</v>
      </c>
    </row>
    <row r="14181" spans="1:7" ht="58.5" customHeight="1" x14ac:dyDescent="0.25">
      <c r="A14181" s="5" t="str">
        <f>"H0004428"</f>
        <v>H0004428</v>
      </c>
      <c r="B14181" s="5" t="str">
        <f>"CARTELERA"</f>
        <v>CARTELERA</v>
      </c>
      <c r="C14181" s="6">
        <v>15200</v>
      </c>
      <c r="D14181" s="5"/>
      <c r="E14181" s="5" t="str">
        <f t="shared" si="728"/>
        <v>ACTISALUD- PISO 10-ALA A</v>
      </c>
      <c r="F14181" s="5" t="str">
        <f>"Descripcion: CARTELERA EN MADERA MIDE 121X 121 CM Estado: Bueno Placa anterior: 000000671 Material: BORDE EN MADERA Y CUERPO EN CARTON Color: VERDE Y MARRON Referencia:  Observacion:  Placa padre: Tipo adquisicion: Entidad"</f>
        <v>Descripcion: CARTELERA EN MADERA MIDE 121X 121 CM Estado: Bueno Placa anterior: 000000671 Material: BORDE EN MADERA Y CUERPO EN CARTON Color: VERDE Y MARRON Referencia:  Observacion:  Placa padre: Tipo adquisicion: Entidad</v>
      </c>
      <c r="G14181" s="5"/>
    </row>
    <row r="14182" spans="1:7" ht="58.5" customHeight="1" x14ac:dyDescent="0.25">
      <c r="A14182" s="5" t="str">
        <f>"H0004437"</f>
        <v>H0004437</v>
      </c>
      <c r="B14182" s="5" t="str">
        <f>"SILLON (SOFA)"</f>
        <v>SILLON (SOFA)</v>
      </c>
      <c r="C14182" s="6">
        <v>3879999.59</v>
      </c>
      <c r="D14182" s="5"/>
      <c r="E14182" s="5" t="str">
        <f t="shared" si="728"/>
        <v>ACTISALUD- PISO 10-ALA A</v>
      </c>
      <c r="F14182" s="5" t="str">
        <f>"Descripcion: JUEGO DE SALA C0MPUESTO POR 1 SOFA DE 3 PUESTOS TAPIZADO EN CUERO.2 POLTRONAS DE UN PUESTO TAPIZADAS EN CUERO. 1 MESA DE SALA TAPA DE MADERA DE 90X90 Estado: Malo Placa anterior: 000022679 Material: MADERA Y CUERRO Color: AZUL Referencia:  Ob"&amp; "servacion:  Placa anterior:, Placa nueva=H0004439, Descripcion:POLTRONA, Serial:, Marca:, Modelo:, Material:MADERA Y CUERO, Color:AZUL,   Referencia:, Placa anterior:, Placa nueva=H0004440, Descripcion:MESA DEL JUEGO DE SALA ES PEQUEÑA, Serial:, Marca:, M"&amp; "odelo:, Material:MADERA, Color:MARRON,   Referencia:, Placa anterior:, Placa nueva=H0004438, Descripcion:POLTRONA, Serial:, Marca:, Modelo:, Material:MADERA Y CUERO, Color:AZUL,   Referencia: Placa padre: Tipo adquisicion: Entidad"</f>
        <v>Descripcion: JUEGO DE SALA C0MPUESTO POR 1 SOFA DE 3 PUESTOS TAPIZADO EN CUERO.2 POLTRONAS DE UN PUESTO TAPIZADAS EN CUERO. 1 MESA DE SALA TAPA DE MADERA DE 90X90 Estado: Malo Placa anterior: 000022679 Material: MADERA Y CUERRO Color: AZUL Referencia:  Observacion:  Placa anterior:, Placa nueva=H0004439, Descripcion:POLTRONA, Serial:, Marca:, Modelo:, Material:MADERA Y CUERO, Color:AZUL,   Referencia:, Placa anterior:, Placa nueva=H0004440, Descripcion:MESA DEL JUEGO DE SALA ES PEQUEÑA, Serial:, Marca:, Modelo:, Material:MADERA, Color:MARRON,   Referencia:, Placa anterior:, Placa nueva=H0004438, Descripcion:POLTRONA, Serial:, Marca:, Modelo:, Material:MADERA Y CUERO, Color:AZUL,   Referencia: Placa padre: Tipo adquisicion: Entidad</v>
      </c>
      <c r="G14182" s="5"/>
    </row>
    <row r="14183" spans="1:7" ht="58.5" customHeight="1" x14ac:dyDescent="0.25">
      <c r="A14183" s="5" t="str">
        <f>"H0004441"</f>
        <v>H0004441</v>
      </c>
      <c r="B14183" s="5" t="str">
        <f>"SILLON (SOFA)"</f>
        <v>SILLON (SOFA)</v>
      </c>
      <c r="C14183" s="6">
        <v>580000</v>
      </c>
      <c r="D14183" s="5"/>
      <c r="E14183" s="5" t="str">
        <f t="shared" si="728"/>
        <v>ACTISALUD- PISO 10-ALA A</v>
      </c>
      <c r="F14183" s="5" t="str">
        <f>"Descripcion: JUEGO DE SALA CAPRI (SOFA Y 2 POLTRONAS) TAPIZADO EN PAÑO Estado: Regular Placa anterior: 000022677 Material: MADERA Color: AZUL CLARO Referencia:  Observacion:  Placa anterior:, Placa nueva=H0004443, Descripcion:TAPIZADA EN PAÑO, Serial:, Ma"&amp; "rca:, Modelo:, Material:MADERA, Color:AZUL CLARO,   Referencia:, Placa anterior:, Placa nueva=H0004444, Descripcion:TAPIZADA EN PAÑO, Serial:, Marca:, Modelo:, Material:MADERA, Color:AZUL CLARO,   Referencia: Placa padre: Tipo adquisicion: Entidad"</f>
        <v>Descripcion: JUEGO DE SALA CAPRI (SOFA Y 2 POLTRONAS) TAPIZADO EN PAÑO Estado: Regular Placa anterior: 000022677 Material: MADERA Color: AZUL CLARO Referencia:  Observacion:  Placa anterior:, Placa nueva=H0004443, Descripcion:TAPIZADA EN PAÑO, Serial:, Marca:, Modelo:, Material:MADERA, Color:AZUL CLARO,   Referencia:, Placa anterior:, Placa nueva=H0004444, Descripcion:TAPIZADA EN PAÑO, Serial:, Marca:, Modelo:, Material:MADERA, Color:AZUL CLARO,   Referencia: Placa padre: Tipo adquisicion: Entidad</v>
      </c>
      <c r="G14183" s="5"/>
    </row>
    <row r="14184" spans="1:7" ht="58.5" customHeight="1" x14ac:dyDescent="0.25">
      <c r="A14184" s="5" t="str">
        <f>"H0004448"</f>
        <v>H0004448</v>
      </c>
      <c r="B14184" s="5" t="str">
        <f>"CUADRO DECORATIVO"</f>
        <v>CUADRO DECORATIVO</v>
      </c>
      <c r="C14184" s="6">
        <v>904500</v>
      </c>
      <c r="D14184" s="5"/>
      <c r="E14184" s="5" t="str">
        <f t="shared" si="728"/>
        <v>ACTISALUD- PISO 10-ALA A</v>
      </c>
      <c r="F14184" s="5" t="str">
        <f>"Descripcion: CUADRO TITULADO PASION DE CARNAVALES MIDE 104 X 145 Estado: Bueno Placa anterior: 000022752 Material: MADERA Color: MARRON Referencia:  Observacion:  Placa padre: Tipo adquisicion: Entidad"</f>
        <v>Descripcion: CUADRO TITULADO PASION DE CARNAVALES MIDE 104 X 145 Estado: Bueno Placa anterior: 000022752 Material: MADERA Color: MARRON Referencia:  Observacion:  Placa padre: Tipo adquisicion: Entidad</v>
      </c>
      <c r="G14184" s="5"/>
    </row>
    <row r="14185" spans="1:7" ht="58.5" customHeight="1" x14ac:dyDescent="0.25">
      <c r="A14185" s="5" t="str">
        <f>"H0004453"</f>
        <v>H0004453</v>
      </c>
      <c r="B14185" s="5" t="str">
        <f>"GABINETE CONTRA INCENDIO"</f>
        <v>GABINETE CONTRA INCENDIO</v>
      </c>
      <c r="C14185" s="6">
        <v>171000</v>
      </c>
      <c r="D14185" s="5"/>
      <c r="E14185" s="5" t="str">
        <f t="shared" si="728"/>
        <v>ACTISALUD- PISO 10-ALA A</v>
      </c>
      <c r="F14185" s="5" t="str">
        <f>"Descripcion: EQUIPO CONTRA INCENDIO CONTIENE EXTINTOR DE 10 LIBRAS, HACHA Y MANGERA Estado: Bueno Placa anterior: 000019078 Material: METAL Y VIDRIO Color: ROJO Referencia:  Observacion:  Placa padre: Tipo adquisicion: Entidad"</f>
        <v>Descripcion: EQUIPO CONTRA INCENDIO CONTIENE EXTINTOR DE 10 LIBRAS, HACHA Y MANGERA Estado: Bueno Placa anterior: 000019078 Material: METAL Y VIDRIO Color: ROJO Referencia:  Observacion:  Placa padre: Tipo adquisicion: Entidad</v>
      </c>
      <c r="G14185" s="5"/>
    </row>
    <row r="14186" spans="1:7" ht="58.5" customHeight="1" x14ac:dyDescent="0.25">
      <c r="A14186" s="5" t="str">
        <f>"H0004454"</f>
        <v>H0004454</v>
      </c>
      <c r="B14186" s="5" t="str">
        <f>"SILLA TANDEM DE 4 PUESTOS"</f>
        <v>SILLA TANDEM DE 4 PUESTOS</v>
      </c>
      <c r="C14186" s="6">
        <v>219820</v>
      </c>
      <c r="D14186" s="5"/>
      <c r="E14186" s="5" t="str">
        <f t="shared" si="728"/>
        <v>ACTISALUD- PISO 10-ALA A</v>
      </c>
      <c r="F14186" s="5" t="str">
        <f>"Descripcion: . Estado: Bueno Placa anterior: 000022577 Material: METAL Y PASTA Color: NEGRA Referencia:  Observacion:  Placa padre: Tipo adquisicion: Entidad"</f>
        <v>Descripcion: . Estado: Bueno Placa anterior: 000022577 Material: METAL Y PASTA Color: NEGRA Referencia:  Observacion:  Placa padre: Tipo adquisicion: Entidad</v>
      </c>
      <c r="G14186" s="5"/>
    </row>
    <row r="14187" spans="1:7" ht="58.5" customHeight="1" x14ac:dyDescent="0.25">
      <c r="A14187" s="5" t="str">
        <f>"H0004460"</f>
        <v>H0004460</v>
      </c>
      <c r="B14187" s="5" t="str">
        <f>"SILLON (SOFA)"</f>
        <v>SILLON (SOFA)</v>
      </c>
      <c r="C14187" s="6">
        <v>2530000.48</v>
      </c>
      <c r="D14187" s="5"/>
      <c r="E14187" s="5" t="str">
        <f t="shared" si="728"/>
        <v>ACTISALUD- PISO 10-ALA A</v>
      </c>
      <c r="F14187" s="5" t="str">
        <f>"Descripcion: JUEGO DE SALA COMPUESTO POR: 1 SOFA DE 2 PUESTOS CON MESA AUXILIAR INCORPORADA CON PATAS METALICAS, 2 POFS EN BASE DE MADERA, 1 MESA DE CENTRO TAPA DE MADERA 1X1 TAPIZADO EN TELA Estado: Regular Placa anterior: 000022678 Material: MADERA Colo"&amp; "r: MARRON Y GRIS Referencia:  Observacion:  Placa anterior:, Placa nueva=H0004235, Descripcion:CON BASE DE MADERA MIDE 43*65*65 CM, Serial:, Marca:, Modelo:, Material:MADERA Y ESPUMA, Color:MARRON,   Referencia:, Placa anterior:, Placa nueva=H0004236, Des"&amp; "cripcion:CON BASE DE MADERA MIDE 43*65*65 CM, Serial:, Marca:, Modelo:, Material:MADERA Y ESPUMA, Color:MARRRON,   Referencia: Placa padre: Tipo adquisicion: Entidad"</f>
        <v>Descripcion: JUEGO DE SALA COMPUESTO POR: 1 SOFA DE 2 PUESTOS CON MESA AUXILIAR INCORPORADA CON PATAS METALICAS, 2 POFS EN BASE DE MADERA, 1 MESA DE CENTRO TAPA DE MADERA 1X1 TAPIZADO EN TELA Estado: Regular Placa anterior: 000022678 Material: MADERA Color: MARRON Y GRIS Referencia:  Observacion:  Placa anterior:, Placa nueva=H0004235, Descripcion:CON BASE DE MADERA MIDE 43*65*65 CM, Serial:, Marca:, Modelo:, Material:MADERA Y ESPUMA, Color:MARRON,   Referencia:, Placa anterior:, Placa nueva=H0004236, Descripcion:CON BASE DE MADERA MIDE 43*65*65 CM, Serial:, Marca:, Modelo:, Material:MADERA Y ESPUMA, Color:MARRRON,   Referencia: Placa padre: Tipo adquisicion: Entidad</v>
      </c>
      <c r="G14187" s="5"/>
    </row>
    <row r="14188" spans="1:7" ht="58.5" customHeight="1" x14ac:dyDescent="0.25">
      <c r="A14188" s="5" t="str">
        <f>"H0004560"</f>
        <v>H0004560</v>
      </c>
      <c r="B14188" s="5" t="str">
        <f>"SILLA RECLINOMATICA"</f>
        <v>SILLA RECLINOMATICA</v>
      </c>
      <c r="C14188" s="6">
        <v>1220000</v>
      </c>
      <c r="D14188" s="5" t="s">
        <v>63</v>
      </c>
      <c r="E14188" s="5" t="str">
        <f t="shared" si="728"/>
        <v>ACTISALUD- PISO 10-ALA A</v>
      </c>
      <c r="F14188" s="5" t="str">
        <f>"Descripcion: SILLA RECLINABLE TAPIZADO EN SISTETICO Estado: Bueno Placa anterior: 000037976 Material: SINTETICO Y MADERA Color: AZUL OSCURO Referencia:  Observacion:  Placa padre: Tipo adquisicion: Entidad"</f>
        <v>Descripcion: SILLA RECLINABLE TAPIZADO EN SISTETICO Estado: Bueno Placa anterior: 000037976 Material: SINTETICO Y MADERA Color: AZUL OSCURO Referencia:  Observacion:  Placa padre: Tipo adquisicion: Entidad</v>
      </c>
      <c r="G14188" s="5"/>
    </row>
    <row r="14189" spans="1:7" ht="58.5" customHeight="1" x14ac:dyDescent="0.25">
      <c r="A14189" s="5" t="str">
        <f>"H0004561"</f>
        <v>H0004561</v>
      </c>
      <c r="B14189" s="5" t="str">
        <f>"SILLA RECLINOMATICA"</f>
        <v>SILLA RECLINOMATICA</v>
      </c>
      <c r="C14189" s="6">
        <v>1220000</v>
      </c>
      <c r="D14189" s="5" t="s">
        <v>63</v>
      </c>
      <c r="E14189" s="5" t="str">
        <f t="shared" si="728"/>
        <v>ACTISALUD- PISO 10-ALA A</v>
      </c>
      <c r="F14189" s="5" t="str">
        <f>"Descripcion: SILLA RECLINABLE TAPIZADO EN SISTETICO Estado: Bueno Placa anterior: 000037975 Material: SINTETICO Y MADERA Color: AZUL OSCURO Referencia:  Observacion:  Placa padre: Tipo adquisicion: Entidad"</f>
        <v>Descripcion: SILLA RECLINABLE TAPIZADO EN SISTETICO Estado: Bueno Placa anterior: 000037975 Material: SINTETICO Y MADERA Color: AZUL OSCURO Referencia:  Observacion:  Placa padre: Tipo adquisicion: Entidad</v>
      </c>
      <c r="G14189" s="5"/>
    </row>
    <row r="14190" spans="1:7" ht="58.5" customHeight="1" x14ac:dyDescent="0.25">
      <c r="A14190" s="5" t="str">
        <f>"H0004562"</f>
        <v>H0004562</v>
      </c>
      <c r="B14190" s="5" t="str">
        <f>"MESA PUENTE (ALIMENTACION) (INSTRUMENTAL)"</f>
        <v>MESA PUENTE (ALIMENTACION) (INSTRUMENTAL)</v>
      </c>
      <c r="C14190" s="6">
        <v>300000</v>
      </c>
      <c r="D14190" s="5" t="s">
        <v>63</v>
      </c>
      <c r="E14190" s="5" t="str">
        <f t="shared" si="728"/>
        <v>ACTISALUD- PISO 10-ALA A</v>
      </c>
      <c r="F14190" s="5" t="str">
        <f>"Descripcion: MESA PUENTES MESA REGULABLE Estado: Bueno Placa anterior: 000037871 Material: METAL Y FORMICA Y ACERO Color: MARRON Y PLATAY BEIS Referencia:  Observacion:  Placa padre: Tipo adquisicion: Entidad"</f>
        <v>Descripcion: MESA PUENTES MESA REGULABLE Estado: Bueno Placa anterior: 000037871 Material: METAL Y FORMICA Y ACERO Color: MARRON Y PLATAY BEIS Referencia:  Observacion:  Placa padre: Tipo adquisicion: Entidad</v>
      </c>
      <c r="G14190" s="5"/>
    </row>
    <row r="14191" spans="1:7" ht="58.5" customHeight="1" x14ac:dyDescent="0.25">
      <c r="A14191" s="5" t="str">
        <f>"H0004563"</f>
        <v>H0004563</v>
      </c>
      <c r="B14191" s="5" t="str">
        <f>"MESA PUENTE (ALIMENTACION) (INSTRUMENTAL)"</f>
        <v>MESA PUENTE (ALIMENTACION) (INSTRUMENTAL)</v>
      </c>
      <c r="C14191" s="6">
        <v>300000</v>
      </c>
      <c r="D14191" s="5" t="s">
        <v>63</v>
      </c>
      <c r="E14191" s="5" t="str">
        <f t="shared" si="728"/>
        <v>ACTISALUD- PISO 10-ALA A</v>
      </c>
      <c r="F14191" s="5" t="str">
        <f>"Descripcion: MESA PUENTES Estado: Bueno Placa anterior: 000037872 Material: METAL Y FORMICA Y ACERO Color: MARRON Y PLATA Y ACERO Referencia:  Observacion:  Placa padre: Tipo adquisicion: Entidad"</f>
        <v>Descripcion: MESA PUENTES Estado: Bueno Placa anterior: 000037872 Material: METAL Y FORMICA Y ACERO Color: MARRON Y PLATA Y ACERO Referencia:  Observacion:  Placa padre: Tipo adquisicion: Entidad</v>
      </c>
      <c r="G14191" s="5"/>
    </row>
    <row r="14192" spans="1:7" ht="58.5" customHeight="1" x14ac:dyDescent="0.25">
      <c r="A14192" s="5" t="str">
        <f>"H0004564"</f>
        <v>H0004564</v>
      </c>
      <c r="B14192" s="5" t="str">
        <f>"ATRIL PORTASUERO MOVIL"</f>
        <v>ATRIL PORTASUERO MOVIL</v>
      </c>
      <c r="C14192" s="6">
        <v>210000</v>
      </c>
      <c r="D14192" s="5" t="s">
        <v>50</v>
      </c>
      <c r="E14192" s="5" t="str">
        <f t="shared" si="728"/>
        <v>ACTISALUD- PISO 10-ALA A</v>
      </c>
      <c r="F14192" s="5" t="str">
        <f>"Descripcion: ATRIL EN ACERO INOXIDABLE QUIRURGICO ANTIMAGNETICO Estado: Regular Placa anterior: 000029713 Material: ACERO Color: PLATA Referencia:  Observacion:  Placa padre: Tipo adquisicion: Entidad"</f>
        <v>Descripcion: ATRIL EN ACERO INOXIDABLE QUIRURGICO ANTIMAGNETICO Estado: Regular Placa anterior: 000029713 Material: ACERO Color: PLATA Referencia:  Observacion:  Placa padre: Tipo adquisicion: Entidad</v>
      </c>
      <c r="G14192" s="5"/>
    </row>
    <row r="14193" spans="1:7" ht="58.5" customHeight="1" x14ac:dyDescent="0.25">
      <c r="A14193" s="5" t="str">
        <f>"H0004570"</f>
        <v>H0004570</v>
      </c>
      <c r="B14193" s="5" t="str">
        <f>"MESA DE NOCHE"</f>
        <v>MESA DE NOCHE</v>
      </c>
      <c r="C14193" s="6">
        <v>350000</v>
      </c>
      <c r="D14193" s="5" t="s">
        <v>63</v>
      </c>
      <c r="E14193" s="5" t="str">
        <f t="shared" si="728"/>
        <v>ACTISALUD- PISO 10-ALA A</v>
      </c>
      <c r="F14193" s="5" t="str">
        <f>"Descripcion: MESA DE NOCHE MIDE 75X50,5X40 CM Estado: Bueno Placa anterior: 000037832 Material: METAL Y FORMICA Color: BEIS Y MARRON Referencia:  Observacion:  Placa padre: Tipo adquisicion: Entidad"</f>
        <v>Descripcion: MESA DE NOCHE MIDE 75X50,5X40 CM Estado: Bueno Placa anterior: 000037832 Material: METAL Y FORMICA Color: BEIS Y MARRON Referencia:  Observacion:  Placa padre: Tipo adquisicion: Entidad</v>
      </c>
      <c r="G14193" s="5"/>
    </row>
    <row r="14194" spans="1:7" ht="58.5" customHeight="1" x14ac:dyDescent="0.25">
      <c r="A14194" s="5" t="str">
        <f>"H0004571"</f>
        <v>H0004571</v>
      </c>
      <c r="B14194" s="5" t="str">
        <f>"MESA DE NOCHE"</f>
        <v>MESA DE NOCHE</v>
      </c>
      <c r="C14194" s="6">
        <v>350000</v>
      </c>
      <c r="D14194" s="5" t="s">
        <v>63</v>
      </c>
      <c r="E14194" s="5" t="str">
        <f t="shared" si="728"/>
        <v>ACTISALUD- PISO 10-ALA A</v>
      </c>
      <c r="F14194" s="5" t="str">
        <f>"Descripcion: MESA DE NOCHE MIDE 75X50,5X40 CM CON DOS CAJONES Estado: Excelente Placa anterior: 000037834 Material: METAL Y FORMICA Color: BEIS Y ,MARRON Referencia:  Observacion:  Placa padre: Tipo adquisicion: Entidad"</f>
        <v>Descripcion: MESA DE NOCHE MIDE 75X50,5X40 CM CON DOS CAJONES Estado: Excelente Placa anterior: 000037834 Material: METAL Y FORMICA Color: BEIS Y ,MARRON Referencia:  Observacion:  Placa padre: Tipo adquisicion: Entidad</v>
      </c>
      <c r="G14194" s="5"/>
    </row>
    <row r="14195" spans="1:7" ht="58.5" customHeight="1" x14ac:dyDescent="0.25">
      <c r="A14195" s="5" t="str">
        <f>"H0004573"</f>
        <v>H0004573</v>
      </c>
      <c r="B14195" s="5" t="str">
        <f>"AIRE ACONDICIONADO TIPO SPLIT 12000 BTU"</f>
        <v>AIRE ACONDICIONADO TIPO SPLIT 12000 BTU</v>
      </c>
      <c r="C14195" s="6">
        <v>1836280</v>
      </c>
      <c r="D14195" s="5" t="s">
        <v>146</v>
      </c>
      <c r="E14195" s="5" t="str">
        <f t="shared" si="728"/>
        <v>ACTISALUD- PISO 10-ALA A</v>
      </c>
      <c r="F14195" s="5" t="str">
        <f>"Descripcion: AIRE ACONDICIONADO CAPACIDAD 12.000 BTU Equipo tipo mini split consola de lujo con control remoto y uso refrigerante ecologico Sistema inverter Debe incluir display para ser monitoreado por sistema central Estado: Bueno Placa anterior: 000036"&amp; "334 Material: PASTA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000036334 Material: PASTA Color: BLANCO Referencia:  Observacion:  Placa padre: Tipo adquisicion: Entidad</v>
      </c>
      <c r="G14195" s="5" t="str">
        <f>"VM122CEN B3"</f>
        <v>VM122CEN B3</v>
      </c>
    </row>
    <row r="14196" spans="1:7" ht="58.5" customHeight="1" x14ac:dyDescent="0.25">
      <c r="A14196" s="5" t="str">
        <f>"H0004574"</f>
        <v>H0004574</v>
      </c>
      <c r="B14196" s="5" t="str">
        <f>"ESCALERILLA DE 2 PASOS"</f>
        <v>ESCALERILLA DE 2 PASOS</v>
      </c>
      <c r="C14196" s="6">
        <v>120000</v>
      </c>
      <c r="D14196" s="5" t="s">
        <v>63</v>
      </c>
      <c r="E14196" s="5" t="str">
        <f t="shared" si="728"/>
        <v>ACTISALUD- PISO 10-ALA A</v>
      </c>
      <c r="F14196" s="5" t="str">
        <f>"Descripcion: ESCALERILLA DE DOS PASOS CON TAPIZAGE EN CAUCHO Estado: Bueno Placa anterior: 000037797 Material: METAL Y MADERA Color: NEGRO Y BEIS Referencia:  Observacion:  Placa padre: Tipo adquisicion: Entidad"</f>
        <v>Descripcion: ESCALERILLA DE DOS PASOS CON TAPIZAGE EN CAUCHO Estado: Bueno Placa anterior: 000037797 Material: METAL Y MADERA Color: NEGRO Y BEIS Referencia:  Observacion:  Placa padre: Tipo adquisicion: Entidad</v>
      </c>
      <c r="G14196" s="5"/>
    </row>
    <row r="14197" spans="1:7" ht="58.5" customHeight="1" x14ac:dyDescent="0.25">
      <c r="A14197" s="5" t="str">
        <f>"H0004575"</f>
        <v>H0004575</v>
      </c>
      <c r="B14197" s="5" t="str">
        <f>"ESCALERILLA DE 2 PASOS"</f>
        <v>ESCALERILLA DE 2 PASOS</v>
      </c>
      <c r="C14197" s="6">
        <v>120000</v>
      </c>
      <c r="D14197" s="5" t="s">
        <v>63</v>
      </c>
      <c r="E14197" s="5" t="str">
        <f t="shared" si="728"/>
        <v>ACTISALUD- PISO 10-ALA A</v>
      </c>
      <c r="F14197" s="5" t="str">
        <f>"Descripcion: ESCALERILLA DE DOS PASOS CON TAPIZAGE EN CAUCHO Estado: Bueno Placa anterior: 000037797 Material: METAL Y MADERA Color: NEGRO Y BEIS Referencia:  Observacion:  Placa padre: Tipo adquisicion: Entidad"</f>
        <v>Descripcion: ESCALERILLA DE DOS PASOS CON TAPIZAGE EN CAUCHO Estado: Bueno Placa anterior: 000037797 Material: METAL Y MADERA Color: NEGRO Y BEIS Referencia:  Observacion:  Placa padre: Tipo adquisicion: Entidad</v>
      </c>
      <c r="G14197" s="5"/>
    </row>
    <row r="14198" spans="1:7" ht="58.5" customHeight="1" x14ac:dyDescent="0.25">
      <c r="A14198" s="5" t="str">
        <f>"H0004576"</f>
        <v>H0004576</v>
      </c>
      <c r="B14198" s="5" t="str">
        <f>"SILLA PLASTICA CON BRAZOS"</f>
        <v>SILLA PLASTICA CON BRAZOS</v>
      </c>
      <c r="C14198" s="6">
        <v>12240.32</v>
      </c>
      <c r="D14198" s="5"/>
      <c r="E14198" s="5" t="str">
        <f t="shared" si="728"/>
        <v>ACTISALUD- PISO 10-ALA A</v>
      </c>
      <c r="F14198" s="5" t="str">
        <f>"Descripcion: SILLA PLASTICA BLANCA Estado: Bueno Placa anterior: 000003344 Material: PASTA Color: BLANCO Referencia:  Observacion:  Placa padre: Tipo adquisicion: Entidad"</f>
        <v>Descripcion: SILLA PLASTICA BLANCA Estado: Bueno Placa anterior: 000003344 Material: PASTA Color: BLANCO Referencia:  Observacion:  Placa padre: Tipo adquisicion: Entidad</v>
      </c>
      <c r="G14198" s="5"/>
    </row>
    <row r="14199" spans="1:7" ht="58.5" customHeight="1" x14ac:dyDescent="0.25">
      <c r="A14199" s="5" t="str">
        <f>"H0004577"</f>
        <v>H0004577</v>
      </c>
      <c r="B14199" s="5" t="str">
        <f>"PATO (PISINGO) HOMBRE"</f>
        <v>PATO (PISINGO) HOMBRE</v>
      </c>
      <c r="C14199" s="6">
        <v>71920</v>
      </c>
      <c r="D14199" s="5"/>
      <c r="E14199" s="5" t="str">
        <f t="shared" si="728"/>
        <v>ACTISALUD- PISO 10-ALA A</v>
      </c>
      <c r="F14199" s="5" t="str">
        <f>"Descripcion: . Estado: Bueno Placa anterior: 000024978 Material: ACERO Color: PLATA Referencia:  Observacion:  Placa padre: Tipo adquisicion: Entidad"</f>
        <v>Descripcion: . Estado: Bueno Placa anterior: 000024978 Material: ACERO Color: PLATA Referencia:  Observacion:  Placa padre: Tipo adquisicion: Entidad</v>
      </c>
      <c r="G14199" s="5"/>
    </row>
    <row r="14200" spans="1:7" ht="58.5" customHeight="1" x14ac:dyDescent="0.25">
      <c r="A14200" s="5" t="str">
        <f>"H0004578"</f>
        <v>H0004578</v>
      </c>
      <c r="B14200" s="5" t="str">
        <f>"SILLA RECLINOMATICA"</f>
        <v>SILLA RECLINOMATICA</v>
      </c>
      <c r="C14200" s="6">
        <v>1220000</v>
      </c>
      <c r="D14200" s="5" t="s">
        <v>63</v>
      </c>
      <c r="E14200" s="5" t="str">
        <f t="shared" si="728"/>
        <v>ACTISALUD- PISO 10-ALA A</v>
      </c>
      <c r="F14200" s="5" t="str">
        <f>"Descripcion: SILLA RECLINOMATI PARA LA VISITA TAPIZADA EN SINTETICO Estado: Bueno Placa anterior: 000037970 Material: SINTETICO Y MADERA Color: AZUL OSCURO Referencia:  Observacion:  Placa padre: Tipo adquisicion: Entidad"</f>
        <v>Descripcion: SILLA RECLINOMATI PARA LA VISITA TAPIZADA EN SINTETICO Estado: Bueno Placa anterior: 000037970 Material: SINTETICO Y MADERA Color: AZUL OSCURO Referencia:  Observacion:  Placa padre: Tipo adquisicion: Entidad</v>
      </c>
      <c r="G14200" s="5"/>
    </row>
    <row r="14201" spans="1:7" ht="58.5" customHeight="1" x14ac:dyDescent="0.25">
      <c r="A14201" s="5" t="str">
        <f>"H0004579"</f>
        <v>H0004579</v>
      </c>
      <c r="B14201" s="5" t="str">
        <f>"SILLA RECLINOMATICA"</f>
        <v>SILLA RECLINOMATICA</v>
      </c>
      <c r="C14201" s="6">
        <v>1220000</v>
      </c>
      <c r="D14201" s="5" t="s">
        <v>63</v>
      </c>
      <c r="E14201" s="5" t="str">
        <f t="shared" si="728"/>
        <v>ACTISALUD- PISO 10-ALA A</v>
      </c>
      <c r="F14201" s="5" t="str">
        <f>"Descripcion: SILLA RECLINOMATI PARA LA VISITA TAPIZADA EN SINTETICO Estado: Bueno Placa anterior: 000037969 Material: SINTETICO Y MADERA Color: AZUL OSCURO Referencia:  Observacion:  Placa padre: Tipo adquisicion: Entidad"</f>
        <v>Descripcion: SILLA RECLINOMATI PARA LA VISITA TAPIZADA EN SINTETICO Estado: Bueno Placa anterior: 000037969 Material: SINTETICO Y MADERA Color: AZUL OSCURO Referencia:  Observacion:  Placa padre: Tipo adquisicion: Entidad</v>
      </c>
      <c r="G14201" s="5"/>
    </row>
    <row r="14202" spans="1:7" ht="58.5" customHeight="1" x14ac:dyDescent="0.25">
      <c r="A14202" s="5" t="str">
        <f>"H0004580"</f>
        <v>H0004580</v>
      </c>
      <c r="B14202" s="5" t="str">
        <f>"ATRIL PORTASUERO MOVIL"</f>
        <v>ATRIL PORTASUERO MOVIL</v>
      </c>
      <c r="C14202" s="6">
        <v>210000</v>
      </c>
      <c r="D14202" s="5" t="s">
        <v>50</v>
      </c>
      <c r="E14202" s="5" t="str">
        <f t="shared" si="728"/>
        <v>ACTISALUD- PISO 10-ALA A</v>
      </c>
      <c r="F14202" s="5" t="str">
        <f>"Descripcion: ATRIL EN ACERO INOXIDABLE QUIRURGICO ANTIMAGNETICO CON RODACHINES Estado: Bueno Placa anterior: 000029707 Material: ACERO Color: PLATA Referencia:  Observacion:  Placa padre: Tipo adquisicion: Entidad"</f>
        <v>Descripcion: ATRIL EN ACERO INOXIDABLE QUIRURGICO ANTIMAGNETICO CON RODACHINES Estado: Bueno Placa anterior: 000029707 Material: ACERO Color: PLATA Referencia:  Observacion:  Placa padre: Tipo adquisicion: Entidad</v>
      </c>
      <c r="G14202" s="5"/>
    </row>
    <row r="14203" spans="1:7" ht="58.5" customHeight="1" x14ac:dyDescent="0.25">
      <c r="A14203" s="5" t="str">
        <f>"H0004582"</f>
        <v>H0004582</v>
      </c>
      <c r="B14203" s="5" t="str">
        <f>"MESA DE NOCHE"</f>
        <v>MESA DE NOCHE</v>
      </c>
      <c r="C14203" s="6">
        <v>350000</v>
      </c>
      <c r="D14203" s="5" t="s">
        <v>63</v>
      </c>
      <c r="E14203" s="5" t="str">
        <f t="shared" si="728"/>
        <v>ACTISALUD- PISO 10-ALA A</v>
      </c>
      <c r="F14203" s="5" t="str">
        <f>"Descripcion: MESA DE NOCHE MIDE 70X50X45 CM Estado: Bueno Placa anterior: 000037835 Material: METAL Y MADERA Color: MARRON Y BEIS Referencia:  Observacion:  Placa padre: Tipo adquisicion: Entidad"</f>
        <v>Descripcion: MESA DE NOCHE MIDE 70X50X45 CM Estado: Bueno Placa anterior: 000037835 Material: METAL Y MADERA Color: MARRON Y BEIS Referencia:  Observacion:  Placa padre: Tipo adquisicion: Entidad</v>
      </c>
      <c r="G14203" s="5"/>
    </row>
    <row r="14204" spans="1:7" ht="58.5" customHeight="1" x14ac:dyDescent="0.25">
      <c r="A14204" s="5" t="str">
        <f>"H0004583"</f>
        <v>H0004583</v>
      </c>
      <c r="B14204" s="5" t="str">
        <f>"MESA DE NOCHE"</f>
        <v>MESA DE NOCHE</v>
      </c>
      <c r="C14204" s="6">
        <v>350000</v>
      </c>
      <c r="D14204" s="5" t="s">
        <v>63</v>
      </c>
      <c r="E14204" s="5" t="str">
        <f t="shared" si="728"/>
        <v>ACTISALUD- PISO 10-ALA A</v>
      </c>
      <c r="F14204" s="5" t="str">
        <f>"Descripcion: MESA DE NOCHE MIDE 70X50X45 CMESTA DESBALANCEADA Estado: Regular Placa anterior: 000037833 Material: METAL Y MADERA Color: MARRON Y BEIS Referencia:  Observacion:  Placa padre: Tipo adquisicion: Entidad"</f>
        <v>Descripcion: MESA DE NOCHE MIDE 70X50X45 CMESTA DESBALANCEADA Estado: Regular Placa anterior: 000037833 Material: METAL Y MADERA Color: MARRON Y BEIS Referencia:  Observacion:  Placa padre: Tipo adquisicion: Entidad</v>
      </c>
      <c r="G14204" s="5"/>
    </row>
    <row r="14205" spans="1:7" ht="58.5" customHeight="1" x14ac:dyDescent="0.25">
      <c r="A14205" s="5" t="str">
        <f>"H0004587"</f>
        <v>H0004587</v>
      </c>
      <c r="B14205" s="5" t="str">
        <f>"MESA PUENTE (ALIMENTACION) (INSTRUMENTAL)"</f>
        <v>MESA PUENTE (ALIMENTACION) (INSTRUMENTAL)</v>
      </c>
      <c r="C14205" s="6">
        <v>300000</v>
      </c>
      <c r="D14205" s="5" t="s">
        <v>63</v>
      </c>
      <c r="E14205" s="5" t="str">
        <f t="shared" si="728"/>
        <v>ACTISALUD- PISO 10-ALA A</v>
      </c>
      <c r="F14205" s="5" t="str">
        <f>"Descripcion: MESA PUENTES REGULABLE Estado: Bueno Placa anterior: 000037873 Material: METAL Y FORMICA Color: BEIS Y MARRON Y PLATA Referencia:  Observacion:  Placa padre: Tipo adquisicion: Entidad"</f>
        <v>Descripcion: MESA PUENTES REGULABLE Estado: Bueno Placa anterior: 000037873 Material: METAL Y FORMICA Color: BEIS Y MARRON Y PLATA Referencia:  Observacion:  Placa padre: Tipo adquisicion: Entidad</v>
      </c>
      <c r="G14205" s="5"/>
    </row>
    <row r="14206" spans="1:7" ht="58.5" customHeight="1" x14ac:dyDescent="0.25">
      <c r="A14206" s="5" t="str">
        <f>"H0004589"</f>
        <v>H0004589</v>
      </c>
      <c r="B14206" s="5" t="str">
        <f>"MESA PUENTE (ALIMENTACION) (INSTRUMENTAL)"</f>
        <v>MESA PUENTE (ALIMENTACION) (INSTRUMENTAL)</v>
      </c>
      <c r="C14206" s="6">
        <v>300000</v>
      </c>
      <c r="D14206" s="5" t="s">
        <v>63</v>
      </c>
      <c r="E14206" s="5" t="str">
        <f t="shared" si="728"/>
        <v>ACTISALUD- PISO 10-ALA A</v>
      </c>
      <c r="F14206" s="5" t="str">
        <f>"Descripcion: MESA PUENTES REGULABRLE CON DESPERFECTO EN LAS RUEDAS Estado: Bueno Placa anterior: 000037874 Material: METALICA Y FORMICA Color: BEIS Y PLATA Y MARRON Referencia:  Observacion:  Placa padre: Tipo adquisicion: Entidad"</f>
        <v>Descripcion: MESA PUENTES REGULABRLE CON DESPERFECTO EN LAS RUEDAS Estado: Bueno Placa anterior: 000037874 Material: METALICA Y FORMICA Color: BEIS Y PLATA Y MARRON Referencia:  Observacion:  Placa padre: Tipo adquisicion: Entidad</v>
      </c>
      <c r="G14206" s="5"/>
    </row>
    <row r="14207" spans="1:7" ht="58.5" customHeight="1" x14ac:dyDescent="0.25">
      <c r="A14207" s="5" t="str">
        <f>"H0004590"</f>
        <v>H0004590</v>
      </c>
      <c r="B14207" s="5" t="str">
        <f>"ESCALERILLA DE 2 PASOS"</f>
        <v>ESCALERILLA DE 2 PASOS</v>
      </c>
      <c r="C14207" s="6">
        <v>120000</v>
      </c>
      <c r="D14207" s="5" t="s">
        <v>63</v>
      </c>
      <c r="E14207" s="5" t="str">
        <f t="shared" si="728"/>
        <v>ACTISALUD- PISO 10-ALA A</v>
      </c>
      <c r="F14207" s="5" t="str">
        <f>"Descripcion: ESCALERILLA DE DOS PASOS CON CAUCHO Estado: Bueno Placa anterior: 000037800 Material: METAL Y MADERA Color: BEIS Y NEGRO Referencia:  Observacion:  Placa padre: Tipo adquisicion: Entidad"</f>
        <v>Descripcion: ESCALERILLA DE DOS PASOS CON CAUCHO Estado: Bueno Placa anterior: 000037800 Material: METAL Y MADERA Color: BEIS Y NEGRO Referencia:  Observacion:  Placa padre: Tipo adquisicion: Entidad</v>
      </c>
      <c r="G14207" s="5"/>
    </row>
    <row r="14208" spans="1:7" ht="58.5" customHeight="1" x14ac:dyDescent="0.25">
      <c r="A14208" s="5" t="str">
        <f>"H0004591"</f>
        <v>H0004591</v>
      </c>
      <c r="B14208" s="5" t="str">
        <f>"ESCALERILLA DE 2 PASOS"</f>
        <v>ESCALERILLA DE 2 PASOS</v>
      </c>
      <c r="C14208" s="6">
        <v>120000</v>
      </c>
      <c r="D14208" s="5" t="s">
        <v>63</v>
      </c>
      <c r="E14208" s="5" t="str">
        <f t="shared" si="728"/>
        <v>ACTISALUD- PISO 10-ALA A</v>
      </c>
      <c r="F14208" s="5" t="str">
        <f>"Descripcion: ESCALERILLA DE DOS PASOS Estado: Bueno Placa anterior: 000037799 Material: METAL Y MADERA  Color: BEIS Y NEGRO Referencia:  Observacion:  Placa padre: Tipo adquisicion: Entidad"</f>
        <v>Descripcion: ESCALERILLA DE DOS PASOS Estado: Bueno Placa anterior: 000037799 Material: METAL Y MADERA  Color: BEIS Y NEGRO Referencia:  Observacion:  Placa padre: Tipo adquisicion: Entidad</v>
      </c>
      <c r="G14208" s="5"/>
    </row>
    <row r="14209" spans="1:7" ht="58.5" customHeight="1" x14ac:dyDescent="0.25">
      <c r="A14209" s="5" t="str">
        <f>"H0004592"</f>
        <v>H0004592</v>
      </c>
      <c r="B14209" s="5" t="str">
        <f>"AIRE ACONDICIONADO TIPO SPLIT 12000 BTU"</f>
        <v>AIRE ACONDICIONADO TIPO SPLIT 12000 BTU</v>
      </c>
      <c r="C14209" s="6">
        <v>1836280</v>
      </c>
      <c r="D14209" s="5" t="s">
        <v>146</v>
      </c>
      <c r="E14209" s="5" t="str">
        <f t="shared" si="728"/>
        <v>ACTISALUD- PISO 10-ALA A</v>
      </c>
      <c r="F14209" s="5" t="str">
        <f>"Descripcion: AIRE ACONDICIONADO CAPACIDAD 12.000 BTU Equipo tipo mini split consola de lujo con control remoto y uso refrigerante ecologico Sistema inverter Debe incluir display para ser monitoreado por sistema central Estado: Bueno Placa anterior: 000036"&amp; "335 Material: PASTA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000036335 Material: PASTA Color: BLANCO Referencia:  Observacion:  Placa padre: Tipo adquisicion: Entidad</v>
      </c>
      <c r="G14209" s="5" t="str">
        <f>"VM122CEN B3"</f>
        <v>VM122CEN B3</v>
      </c>
    </row>
    <row r="14210" spans="1:7" ht="58.5" customHeight="1" x14ac:dyDescent="0.25">
      <c r="A14210" s="5" t="str">
        <f>"H0004593"</f>
        <v>H0004593</v>
      </c>
      <c r="B14210" s="5" t="str">
        <f>"SILLA RECLINOMATICA"</f>
        <v>SILLA RECLINOMATICA</v>
      </c>
      <c r="C14210" s="6">
        <v>1220000</v>
      </c>
      <c r="D14210" s="5" t="s">
        <v>63</v>
      </c>
      <c r="E14210" s="5" t="str">
        <f t="shared" si="728"/>
        <v>ACTISALUD- PISO 10-ALA A</v>
      </c>
      <c r="F14210" s="5" t="str">
        <f>"Descripcion: RECLINABLETAPIZADA EN SINTETICO Estado: Bueno Placa anterior: 000037967 Material: MADERA Y SINTETICO Color: AZUL Referencia:  Observacion:  Placa padre: Tipo adquisicion: Entidad"</f>
        <v>Descripcion: RECLINABLETAPIZADA EN SINTETICO Estado: Bueno Placa anterior: 000037967 Material: MADERA Y SINTETICO Color: AZUL Referencia:  Observacion:  Placa padre: Tipo adquisicion: Entidad</v>
      </c>
      <c r="G14210" s="5"/>
    </row>
    <row r="14211" spans="1:7" ht="58.5" customHeight="1" x14ac:dyDescent="0.25">
      <c r="A14211" s="5" t="str">
        <f>"H0004594"</f>
        <v>H0004594</v>
      </c>
      <c r="B14211" s="5" t="str">
        <f>"SILLA RECLINOMATICA"</f>
        <v>SILLA RECLINOMATICA</v>
      </c>
      <c r="C14211" s="6">
        <v>1220000</v>
      </c>
      <c r="D14211" s="5" t="s">
        <v>63</v>
      </c>
      <c r="E14211" s="5" t="str">
        <f t="shared" si="728"/>
        <v>ACTISALUD- PISO 10-ALA A</v>
      </c>
      <c r="F14211" s="5" t="str">
        <f>"Descripcion: RECLINABLETAPIZADA EN SINTETICO Estado: Bueno Placa anterior: 000037968 Material: MADERA Y SINTETICO Color: AZUL Referencia:  Observacion:  Placa padre: Tipo adquisicion: Entidad"</f>
        <v>Descripcion: RECLINABLETAPIZADA EN SINTETICO Estado: Bueno Placa anterior: 000037968 Material: MADERA Y SINTETICO Color: AZUL Referencia:  Observacion:  Placa padre: Tipo adquisicion: Entidad</v>
      </c>
      <c r="G14211" s="5"/>
    </row>
    <row r="14212" spans="1:7" ht="58.5" customHeight="1" x14ac:dyDescent="0.25">
      <c r="A14212" s="5" t="str">
        <f>"H0004600"</f>
        <v>H0004600</v>
      </c>
      <c r="B14212" s="5" t="str">
        <f>"MESA PUENTE (ALIMENTACION) (INSTRUMENTAL)"</f>
        <v>MESA PUENTE (ALIMENTACION) (INSTRUMENTAL)</v>
      </c>
      <c r="C14212" s="6">
        <v>300000</v>
      </c>
      <c r="D14212" s="5" t="s">
        <v>63</v>
      </c>
      <c r="E14212" s="5" t="str">
        <f t="shared" si="728"/>
        <v>ACTISALUD- PISO 10-ALA A</v>
      </c>
      <c r="F14212" s="5" t="str">
        <f>"Descripcion: MESA PUENTES REGULABLE Estado: Bueno Placa anterior: 000037869 Material: METAL Y FORMICA Color: MARRON Y BEIS Referencia:  Observacion:  Placa padre: Tipo adquisicion: Entidad"</f>
        <v>Descripcion: MESA PUENTES REGULABLE Estado: Bueno Placa anterior: 000037869 Material: METAL Y FORMICA Color: MARRON Y BEIS Referencia:  Observacion:  Placa padre: Tipo adquisicion: Entidad</v>
      </c>
      <c r="G14212" s="5"/>
    </row>
    <row r="14213" spans="1:7" ht="58.5" customHeight="1" x14ac:dyDescent="0.25">
      <c r="A14213" s="5" t="str">
        <f>"H0004601"</f>
        <v>H0004601</v>
      </c>
      <c r="B14213" s="5" t="str">
        <f>"MESA DE NOCHE"</f>
        <v>MESA DE NOCHE</v>
      </c>
      <c r="C14213" s="6">
        <v>350000</v>
      </c>
      <c r="D14213" s="5" t="s">
        <v>63</v>
      </c>
      <c r="E14213" s="5" t="str">
        <f t="shared" si="728"/>
        <v>ACTISALUD- PISO 10-ALA A</v>
      </c>
      <c r="F14213" s="5" t="str">
        <f>"Descripcion: MESA DE NOCHE DOS CAJONES Estado: Bueno Placa anterior: 000037831 Material: METAL Color: MARRON Y BEIS Referencia:  Observacion:  Placa padre: Tipo adquisicion: Entidad"</f>
        <v>Descripcion: MESA DE NOCHE DOS CAJONES Estado: Bueno Placa anterior: 000037831 Material: METAL Color: MARRON Y BEIS Referencia:  Observacion:  Placa padre: Tipo adquisicion: Entidad</v>
      </c>
      <c r="G14213" s="5"/>
    </row>
    <row r="14214" spans="1:7" ht="58.5" customHeight="1" x14ac:dyDescent="0.25">
      <c r="A14214" s="5" t="str">
        <f>"H0004604"</f>
        <v>H0004604</v>
      </c>
      <c r="B14214" s="5" t="str">
        <f>"ESCALERILLA DE 2 PASOS"</f>
        <v>ESCALERILLA DE 2 PASOS</v>
      </c>
      <c r="C14214" s="6">
        <v>120000</v>
      </c>
      <c r="D14214" s="5" t="s">
        <v>63</v>
      </c>
      <c r="E14214" s="5" t="str">
        <f t="shared" si="728"/>
        <v>ACTISALUD- PISO 10-ALA A</v>
      </c>
      <c r="F14214" s="5" t="str">
        <f>"Descripcion: ESCALERILLA DE DOS PASOS TAPIZADO EN CAUCHO Estado: Bueno Placa anterior: 000037796 Material: METAL Y MADERA Color: BEIS Y NEGRO Referencia:  Observacion:  Placa padre: Tipo adquisicion: Entidad"</f>
        <v>Descripcion: ESCALERILLA DE DOS PASOS TAPIZADO EN CAUCHO Estado: Bueno Placa anterior: 000037796 Material: METAL Y MADERA Color: BEIS Y NEGRO Referencia:  Observacion:  Placa padre: Tipo adquisicion: Entidad</v>
      </c>
      <c r="G14214" s="5"/>
    </row>
    <row r="14215" spans="1:7" ht="58.5" customHeight="1" x14ac:dyDescent="0.25">
      <c r="A14215" s="5" t="str">
        <f>"H0004605"</f>
        <v>H0004605</v>
      </c>
      <c r="B14215" s="5" t="str">
        <f>"AIRE ACONDICIONADO TIPO SPLIT 12000 BTU"</f>
        <v>AIRE ACONDICIONADO TIPO SPLIT 12000 BTU</v>
      </c>
      <c r="C14215" s="6">
        <v>1836280</v>
      </c>
      <c r="D14215" s="5" t="s">
        <v>146</v>
      </c>
      <c r="E14215" s="5" t="str">
        <f t="shared" si="728"/>
        <v>ACTISALUD- PISO 10-ALA A</v>
      </c>
      <c r="F14215" s="5" t="str">
        <f>"Descripcion: AIRE ACONDICIONADO CAPACIDAD 12.000 BTU Equipo tipo mini split consola de lujo con control remoto y uso refrigerante ecologico Sistema inverter Debe incluir display para ser monitoreado por sistema central Estado: Bueno Placa anterior: 000036"&amp; "336 Material: PASTA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000036336 Material: PASTA Color: BLANCO Referencia:  Observacion:  Placa padre: Tipo adquisicion: Entidad</v>
      </c>
      <c r="G14215" s="5" t="str">
        <f>"VM122CEN B3"</f>
        <v>VM122CEN B3</v>
      </c>
    </row>
    <row r="14216" spans="1:7" ht="58.5" customHeight="1" x14ac:dyDescent="0.25">
      <c r="A14216" s="5" t="str">
        <f>"H0004606"</f>
        <v>H0004606</v>
      </c>
      <c r="B14216" s="5" t="str">
        <f>"SILLA PLASTICA CON BRAZOS"</f>
        <v>SILLA PLASTICA CON BRAZOS</v>
      </c>
      <c r="C14216" s="6">
        <v>10440</v>
      </c>
      <c r="D14216" s="5"/>
      <c r="E14216" s="5" t="str">
        <f t="shared" si="728"/>
        <v>ACTISALUD- PISO 10-ALA A</v>
      </c>
      <c r="F14216" s="5" t="str">
        <f>"Descripcion: . Estado: Bueno Placa anterior: 000006364 Material: PASTA Color: BLANCO Referencia:  Observacion:  Placa padre: Tipo adquisicion: Entidad"</f>
        <v>Descripcion: . Estado: Bueno Placa anterior: 000006364 Material: PASTA Color: BLANCO Referencia:  Observacion:  Placa padre: Tipo adquisicion: Entidad</v>
      </c>
      <c r="G14216" s="5"/>
    </row>
    <row r="14217" spans="1:7" ht="58.5" customHeight="1" x14ac:dyDescent="0.25">
      <c r="A14217" s="5" t="str">
        <f>"H0004612"</f>
        <v>H0004612</v>
      </c>
      <c r="B14217" s="5" t="str">
        <f>"MESA DE NOCHE"</f>
        <v>MESA DE NOCHE</v>
      </c>
      <c r="C14217" s="6">
        <v>350000</v>
      </c>
      <c r="D14217" s="5" t="s">
        <v>63</v>
      </c>
      <c r="E14217" s="5" t="str">
        <f t="shared" si="728"/>
        <v>ACTISALUD- PISO 10-ALA A</v>
      </c>
      <c r="F14217" s="5" t="str">
        <f>"Descripcion: MESA DE NOCHE MIDE 70X50X45 CM Estado: Bueno Placa anterior: 000037828 Material: METAL  Color: BEIS Referencia:  Observacion:  Placa padre: Tipo adquisicion: Entidad"</f>
        <v>Descripcion: MESA DE NOCHE MIDE 70X50X45 CM Estado: Bueno Placa anterior: 000037828 Material: METAL  Color: BEIS Referencia:  Observacion:  Placa padre: Tipo adquisicion: Entidad</v>
      </c>
      <c r="G14217" s="5"/>
    </row>
    <row r="14218" spans="1:7" ht="58.5" customHeight="1" x14ac:dyDescent="0.25">
      <c r="A14218" s="5" t="str">
        <f>"H0004613"</f>
        <v>H0004613</v>
      </c>
      <c r="B14218" s="5" t="str">
        <f>"MESA DE NOCHE"</f>
        <v>MESA DE NOCHE</v>
      </c>
      <c r="C14218" s="6">
        <v>350000</v>
      </c>
      <c r="D14218" s="5" t="s">
        <v>63</v>
      </c>
      <c r="E14218" s="5" t="str">
        <f t="shared" si="728"/>
        <v>ACTISALUD- PISO 10-ALA A</v>
      </c>
      <c r="F14218" s="5" t="str">
        <f>"Descripcion: MESA DE NOCHE MIDE 70X50X45 CM Estado: Bueno Placa anterior: 000037829 Material: METAL Color: BEIS Referencia:  Observacion:  Placa padre: Tipo adquisicion: Entidad"</f>
        <v>Descripcion: MESA DE NOCHE MIDE 70X50X45 CM Estado: Bueno Placa anterior: 000037829 Material: METAL Color: BEIS Referencia:  Observacion:  Placa padre: Tipo adquisicion: Entidad</v>
      </c>
      <c r="G14218" s="5"/>
    </row>
    <row r="14219" spans="1:7" ht="58.5" customHeight="1" x14ac:dyDescent="0.25">
      <c r="A14219" s="5" t="str">
        <f>"H0004614"</f>
        <v>H0004614</v>
      </c>
      <c r="B14219" s="5" t="str">
        <f>"MESA PUENTE (ALIMENTACION) (INSTRUMENTAL)"</f>
        <v>MESA PUENTE (ALIMENTACION) (INSTRUMENTAL)</v>
      </c>
      <c r="C14219" s="6">
        <v>300000</v>
      </c>
      <c r="D14219" s="5" t="s">
        <v>63</v>
      </c>
      <c r="E14219" s="5" t="str">
        <f t="shared" si="728"/>
        <v>ACTISALUD- PISO 10-ALA A</v>
      </c>
      <c r="F14219" s="5" t="str">
        <f>"Descripcion: MESA PUENTES REGULABLE Estado: Bueno Placa anterior: 000037867 Material: METAL Color: BEIS PLATA MARRON Referencia:  Observacion:  Placa padre: Tipo adquisicion: Entidad"</f>
        <v>Descripcion: MESA PUENTES REGULABLE Estado: Bueno Placa anterior: 000037867 Material: METAL Color: BEIS PLATA MARRON Referencia:  Observacion:  Placa padre: Tipo adquisicion: Entidad</v>
      </c>
      <c r="G14219" s="5"/>
    </row>
    <row r="14220" spans="1:7" ht="58.5" customHeight="1" x14ac:dyDescent="0.25">
      <c r="A14220" s="5" t="str">
        <f>"H0004615"</f>
        <v>H0004615</v>
      </c>
      <c r="B14220" s="5" t="str">
        <f>"MESA PUENTE (ALIMENTACION) (INSTRUMENTAL)"</f>
        <v>MESA PUENTE (ALIMENTACION) (INSTRUMENTAL)</v>
      </c>
      <c r="C14220" s="6">
        <v>300000</v>
      </c>
      <c r="D14220" s="5" t="s">
        <v>63</v>
      </c>
      <c r="E14220" s="5" t="str">
        <f t="shared" si="728"/>
        <v>ACTISALUD- PISO 10-ALA A</v>
      </c>
      <c r="F14220" s="5" t="str">
        <f>"Descripcion: MESA PUENTES REGULABLE Estado: Bueno Placa anterior: 000037868 Material: METAL Color: BEIS PLATA MADERA Referencia:  Observacion:  Placa padre: Tipo adquisicion: Entidad"</f>
        <v>Descripcion: MESA PUENTES REGULABLE Estado: Bueno Placa anterior: 000037868 Material: METAL Color: BEIS PLATA MADERA Referencia:  Observacion:  Placa padre: Tipo adquisicion: Entidad</v>
      </c>
      <c r="G14220" s="5"/>
    </row>
    <row r="14221" spans="1:7" ht="58.5" customHeight="1" x14ac:dyDescent="0.25">
      <c r="A14221" s="5" t="str">
        <f>"H0004616"</f>
        <v>H0004616</v>
      </c>
      <c r="B14221" s="5" t="str">
        <f>"SILLA RECLINOMATICA"</f>
        <v>SILLA RECLINOMATICA</v>
      </c>
      <c r="C14221" s="6">
        <v>1220000</v>
      </c>
      <c r="D14221" s="5" t="s">
        <v>63</v>
      </c>
      <c r="E14221" s="5" t="str">
        <f t="shared" si="728"/>
        <v>ACTISALUD- PISO 10-ALA A</v>
      </c>
      <c r="F14221"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000037965 Material: SINTETICO MADERA Color: AZUL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000037965 Material: SINTETICO MADERA Color: AZUL Referencia:  Observacion:  Placa padre: Tipo adquisicion: Entidad</v>
      </c>
      <c r="G14221" s="5"/>
    </row>
    <row r="14222" spans="1:7" ht="58.5" customHeight="1" x14ac:dyDescent="0.25">
      <c r="A14222" s="5" t="str">
        <f>"H0004617"</f>
        <v>H0004617</v>
      </c>
      <c r="B14222" s="5" t="str">
        <f>"ESCALERILLA DE 2 PASOS"</f>
        <v>ESCALERILLA DE 2 PASOS</v>
      </c>
      <c r="C14222" s="6">
        <v>120000</v>
      </c>
      <c r="D14222" s="5" t="s">
        <v>63</v>
      </c>
      <c r="E14222" s="5" t="str">
        <f t="shared" si="728"/>
        <v>ACTISALUD- PISO 10-ALA A</v>
      </c>
      <c r="F14222" s="5" t="str">
        <f>"Descripcion: ESCALERILLA DE DOS PASOS CON CAUCHO Estado: Bueno Placa anterior: 000037793 Material: METAL MADERA Color: BEIS Y NEGRA Referencia:  Observacion:  Placa padre: Tipo adquisicion: Entidad"</f>
        <v>Descripcion: ESCALERILLA DE DOS PASOS CON CAUCHO Estado: Bueno Placa anterior: 000037793 Material: METAL MADERA Color: BEIS Y NEGRA Referencia:  Observacion:  Placa padre: Tipo adquisicion: Entidad</v>
      </c>
      <c r="G14222" s="5"/>
    </row>
    <row r="14223" spans="1:7" ht="58.5" customHeight="1" x14ac:dyDescent="0.25">
      <c r="A14223" s="5" t="str">
        <f>"H0004618"</f>
        <v>H0004618</v>
      </c>
      <c r="B14223" s="5" t="str">
        <f>"ESCALERILLA DE 2 PASOS"</f>
        <v>ESCALERILLA DE 2 PASOS</v>
      </c>
      <c r="C14223" s="6">
        <v>120000</v>
      </c>
      <c r="D14223" s="5" t="s">
        <v>63</v>
      </c>
      <c r="E14223" s="5" t="str">
        <f t="shared" si="728"/>
        <v>ACTISALUD- PISO 10-ALA A</v>
      </c>
      <c r="F14223" s="5" t="str">
        <f>"Descripcion: ESCALERILLA DE DOS PASOS CON CAUCHO Estado: Bueno Placa anterior: 000037806 Material: METAL Y MADERA Color: BEIS Y NEGRO Referencia:  Observacion: EL BIEN TIENE PLACA ANTERIOR  000003794 Placa padre: Tipo adquisicion: Entidad"</f>
        <v>Descripcion: ESCALERILLA DE DOS PASOS CON CAUCHO Estado: Bueno Placa anterior: 000037806 Material: METAL Y MADERA Color: BEIS Y NEGRO Referencia:  Observacion: EL BIEN TIENE PLACA ANTERIOR  000003794 Placa padre: Tipo adquisicion: Entidad</v>
      </c>
      <c r="G14223" s="5"/>
    </row>
    <row r="14224" spans="1:7" ht="58.5" customHeight="1" x14ac:dyDescent="0.25">
      <c r="A14224" s="5" t="str">
        <f>"H0004619"</f>
        <v>H0004619</v>
      </c>
      <c r="B14224" s="5" t="str">
        <f>"PATO (COPROLOGICO) MUJER"</f>
        <v>PATO (COPROLOGICO) MUJER</v>
      </c>
      <c r="C14224" s="6">
        <v>111940</v>
      </c>
      <c r="D14224" s="5"/>
      <c r="E14224" s="5" t="str">
        <f t="shared" si="728"/>
        <v>ACTISALUD- PISO 10-ALA A</v>
      </c>
      <c r="F14224" s="5" t="str">
        <f>"Descripcion: . Estado: Bueno Placa anterior: 000025128 Material: ACERO Color: PLATA Referencia:  Observacion:  Placa padre: Tipo adquisicion: Entidad"</f>
        <v>Descripcion: . Estado: Bueno Placa anterior: 000025128 Material: ACERO Color: PLATA Referencia:  Observacion:  Placa padre: Tipo adquisicion: Entidad</v>
      </c>
      <c r="G14224" s="5"/>
    </row>
    <row r="14225" spans="1:7" ht="58.5" customHeight="1" x14ac:dyDescent="0.25">
      <c r="A14225" s="5" t="str">
        <f>"H0004620"</f>
        <v>H0004620</v>
      </c>
      <c r="B14225" s="5" t="str">
        <f>"PATO (COPROLOGICO) MUJER"</f>
        <v>PATO (COPROLOGICO) MUJER</v>
      </c>
      <c r="C14225" s="6">
        <v>111940</v>
      </c>
      <c r="D14225" s="5"/>
      <c r="E14225" s="5" t="str">
        <f t="shared" si="728"/>
        <v>ACTISALUD- PISO 10-ALA A</v>
      </c>
      <c r="F14225" s="5" t="str">
        <f>"Descripcion: . Estado: Bueno Placa anterior: 000025118 Material: ACERO Color: PLATA Referencia:  Observacion:  Placa padre: Tipo adquisicion: Entidad"</f>
        <v>Descripcion: . Estado: Bueno Placa anterior: 000025118 Material: ACERO Color: PLATA Referencia:  Observacion:  Placa padre: Tipo adquisicion: Entidad</v>
      </c>
      <c r="G14225" s="5"/>
    </row>
    <row r="14226" spans="1:7" ht="58.5" customHeight="1" x14ac:dyDescent="0.25">
      <c r="A14226" s="5" t="str">
        <f>"H0004621"</f>
        <v>H0004621</v>
      </c>
      <c r="B14226" s="5" t="str">
        <f>"PATO (PISINGO) HOMBRE"</f>
        <v>PATO (PISINGO) HOMBRE</v>
      </c>
      <c r="C14226" s="6">
        <v>71920</v>
      </c>
      <c r="D14226" s="5"/>
      <c r="E14226" s="5" t="str">
        <f t="shared" si="728"/>
        <v>ACTISALUD- PISO 10-ALA A</v>
      </c>
      <c r="F14226" s="5" t="str">
        <f>"Descripcion: . Estado: Bueno Placa anterior: 000024979 Material: ACERO Color: PLATA Referencia:  Observacion:  Placa padre: Tipo adquisicion: Entidad"</f>
        <v>Descripcion: . Estado: Bueno Placa anterior: 000024979 Material: ACERO Color: PLATA Referencia:  Observacion:  Placa padre: Tipo adquisicion: Entidad</v>
      </c>
      <c r="G14226" s="5"/>
    </row>
    <row r="14227" spans="1:7" ht="58.5" customHeight="1" x14ac:dyDescent="0.25">
      <c r="A14227" s="5" t="str">
        <f>"H0004622"</f>
        <v>H0004622</v>
      </c>
      <c r="B14227" s="5" t="str">
        <f>"AIRE ACONDICIONADO TIPO SPLIT 12000 BTU"</f>
        <v>AIRE ACONDICIONADO TIPO SPLIT 12000 BTU</v>
      </c>
      <c r="C14227" s="6">
        <v>1836280</v>
      </c>
      <c r="D14227" s="5" t="s">
        <v>146</v>
      </c>
      <c r="E14227" s="5" t="str">
        <f t="shared" si="728"/>
        <v>ACTISALUD- PISO 10-ALA A</v>
      </c>
      <c r="F14227" s="5" t="str">
        <f>"Descripcion: AIRE ACONDICIONADO CAPACIDAD 12.000 BTU Equipo tipo mini split consola de lujo con control remoto y uso refrigerante ecologico Sistema inverter Debe incluir display para ser monitoreado por sistema central Estado: Bueno Placa anterior: 000036"&amp; "337 Material:  Color: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000036337 Material:  Color:  Referencia:  Observacion:  Placa padre: Tipo adquisicion: Entidad</v>
      </c>
      <c r="G14227" s="5" t="str">
        <f>"VM122CEN B3"</f>
        <v>VM122CEN B3</v>
      </c>
    </row>
    <row r="14228" spans="1:7" ht="58.5" customHeight="1" x14ac:dyDescent="0.25">
      <c r="A14228" s="5" t="str">
        <f>"H0004623"</f>
        <v>H0004623</v>
      </c>
      <c r="B14228" s="5" t="str">
        <f>"TELEVISOR TRC 20"</f>
        <v>TELEVISOR TRC 20</v>
      </c>
      <c r="C14228" s="6">
        <v>445000</v>
      </c>
      <c r="D14228" s="5"/>
      <c r="E14228" s="5" t="str">
        <f t="shared" si="728"/>
        <v>ACTISALUD- PISO 10-ALA A</v>
      </c>
      <c r="F14228" s="5" t="str">
        <f>"Descripcion: TELEVISOR A COLOR DE 20 P. MARCA LG. REF: CP-20J52/20CB 20 Estado: Bueno Placa anterior: 000022624 Material: PASTA Color: GRIS Y PLATA Referencia:  Observacion:  Placa padre: Tipo adquisicion: Entidad"</f>
        <v>Descripcion: TELEVISOR A COLOR DE 20 P. MARCA LG. REF: CP-20J52/20CB 20 Estado: Bueno Placa anterior: 000022624 Material: PASTA Color: GRIS Y PLATA Referencia:  Observacion:  Placa padre: Tipo adquisicion: Entidad</v>
      </c>
      <c r="G14228" s="5" t="str">
        <f>"306 RM 23081"</f>
        <v>306 RM 23081</v>
      </c>
    </row>
    <row r="14229" spans="1:7" ht="58.5" customHeight="1" x14ac:dyDescent="0.25">
      <c r="A14229" s="5" t="str">
        <f>"H0004626"</f>
        <v>H0004626</v>
      </c>
      <c r="B14229" s="5" t="str">
        <f>"ATRIL PORTASUERO MOVIL"</f>
        <v>ATRIL PORTASUERO MOVIL</v>
      </c>
      <c r="C14229" s="6">
        <v>210000</v>
      </c>
      <c r="D14229" s="5" t="s">
        <v>50</v>
      </c>
      <c r="E14229" s="5" t="str">
        <f t="shared" si="728"/>
        <v>ACTISALUD- PISO 10-ALA A</v>
      </c>
      <c r="F14229" s="5" t="str">
        <f>"Descripcion: ATRIL EN ACERO INOXIDABLE QUIRURGICO ANTIMAGNETICO Estado: Bueno Placa anterior: 000029709 Material: METAL Color: PLATA Referencia:  Observacion:  Placa padre: Tipo adquisicion: Entidad"</f>
        <v>Descripcion: ATRIL EN ACERO INOXIDABLE QUIRURGICO ANTIMAGNETICO Estado: Bueno Placa anterior: 000029709 Material: METAL Color: PLATA Referencia:  Observacion:  Placa padre: Tipo adquisicion: Entidad</v>
      </c>
      <c r="G14229" s="5"/>
    </row>
    <row r="14230" spans="1:7" ht="58.5" customHeight="1" x14ac:dyDescent="0.25">
      <c r="A14230" s="5" t="str">
        <f>"H0004628"</f>
        <v>H0004628</v>
      </c>
      <c r="B14230" s="5" t="str">
        <f>"SILLA PLASTICA CON BRAZOS"</f>
        <v>SILLA PLASTICA CON BRAZOS</v>
      </c>
      <c r="C14230" s="6">
        <v>10440</v>
      </c>
      <c r="D14230" s="5"/>
      <c r="E14230" s="5" t="str">
        <f t="shared" si="728"/>
        <v>ACTISALUD- PISO 10-ALA A</v>
      </c>
      <c r="F14230" s="5" t="str">
        <f>"Descripcion: . Estado: Bueno Placa anterior: 000006361 Material: PASTA Color: BLANCA Referencia:  Observacion:  Placa padre: Tipo adquisicion: Entidad"</f>
        <v>Descripcion: . Estado: Bueno Placa anterior: 000006361 Material: PASTA Color: BLANCA Referencia:  Observacion:  Placa padre: Tipo adquisicion: Entidad</v>
      </c>
      <c r="G14230" s="5"/>
    </row>
    <row r="14231" spans="1:7" ht="58.5" customHeight="1" x14ac:dyDescent="0.25">
      <c r="A14231" s="5" t="str">
        <f>"H0005706"</f>
        <v>H0005706</v>
      </c>
      <c r="B14231" s="5" t="str">
        <f>"GABINETE CONTRA INCENDIO"</f>
        <v>GABINETE CONTRA INCENDIO</v>
      </c>
      <c r="C14231" s="6">
        <v>171000</v>
      </c>
      <c r="D14231" s="5"/>
      <c r="E14231" s="5" t="str">
        <f t="shared" si="728"/>
        <v>ACTISALUD- PISO 10-ALA A</v>
      </c>
      <c r="F14231" s="5" t="str">
        <f>"Descripcion: ESTINTOR ROJO DE 10 LIBRAS MANGUERA Y HACHA Estado: Bueno Placa anterior: 000019070 Material: METAL Y VIDRIO Color: ROJO Referencia:  Observacion:  Placa padre: Tipo adquisicion: Entidad"</f>
        <v>Descripcion: ESTINTOR ROJO DE 10 LIBRAS MANGUERA Y HACHA Estado: Bueno Placa anterior: 000019070 Material: METAL Y VIDRIO Color: ROJO Referencia:  Observacion:  Placa padre: Tipo adquisicion: Entidad</v>
      </c>
      <c r="G14231" s="5"/>
    </row>
    <row r="14232" spans="1:7" ht="58.5" customHeight="1" x14ac:dyDescent="0.25">
      <c r="A14232" s="5" t="str">
        <f>"H0005716"</f>
        <v>H0005716</v>
      </c>
      <c r="B14232" s="5" t="str">
        <f>"CAMILLA DE TRASLADO CON BARANDAS"</f>
        <v>CAMILLA DE TRASLADO CON BARANDAS</v>
      </c>
      <c r="C14232" s="6">
        <v>1845000</v>
      </c>
      <c r="D14232" s="5" t="s">
        <v>239</v>
      </c>
      <c r="E14232" s="5" t="str">
        <f t="shared" si="728"/>
        <v>ACTISALUD- PISO 10-ALA A</v>
      </c>
      <c r="F14232" s="5" t="str">
        <f>"Descripcion: . Estado: Bueno Placa anterior: 000029072 Material: METAL  Color: BEIS Referencia:  Observacion:  Placa padre: Tipo adquisicion: Entidad"</f>
        <v>Descripcion: . Estado: Bueno Placa anterior: 000029072 Material: METAL  Color: BEIS Referencia:  Observacion:  Placa padre: Tipo adquisicion: Entidad</v>
      </c>
      <c r="G14232" s="5"/>
    </row>
    <row r="14233" spans="1:7" ht="58.5" customHeight="1" x14ac:dyDescent="0.25">
      <c r="A14233" s="5" t="str">
        <f>"H0005717"</f>
        <v>H0005717</v>
      </c>
      <c r="B14233" s="5" t="str">
        <f>"CAMILLA DE TRASLADO CON BARANDAS"</f>
        <v>CAMILLA DE TRASLADO CON BARANDAS</v>
      </c>
      <c r="C14233" s="6">
        <v>31017.14</v>
      </c>
      <c r="D14233" s="5"/>
      <c r="E14233" s="5" t="str">
        <f t="shared" si="728"/>
        <v>ACTISALUD- PISO 10-ALA A</v>
      </c>
      <c r="F14233" s="5" t="str">
        <f>"Descripcion: CON COLCHONETA GRIS Estado: Bueno Placa anterior: 000027999 Material: METAL  Color: BEIS Referencia:  Observacion:  Placa padre: Tipo adquisicion: Entidad"</f>
        <v>Descripcion: CON COLCHONETA GRIS Estado: Bueno Placa anterior: 000027999 Material: METAL  Color: BEIS Referencia:  Observacion:  Placa padre: Tipo adquisicion: Entidad</v>
      </c>
      <c r="G14233" s="5"/>
    </row>
    <row r="14234" spans="1:7" ht="58.5" customHeight="1" x14ac:dyDescent="0.25">
      <c r="A14234" s="5" t="str">
        <f>"H0005719"</f>
        <v>H0005719</v>
      </c>
      <c r="B14234" s="5" t="str">
        <f>"GABINETE CONTRA INCENDIO"</f>
        <v>GABINETE CONTRA INCENDIO</v>
      </c>
      <c r="C14234" s="6">
        <v>171000</v>
      </c>
      <c r="D14234" s="5"/>
      <c r="E14234" s="5" t="str">
        <f t="shared" si="728"/>
        <v>ACTISALUD- PISO 10-ALA A</v>
      </c>
      <c r="F14234" s="5" t="str">
        <f>"Descripcion: ESTINTOR AMARILLO DE 10 LIBRAS MANGUERA Y HACHA Estado: Bueno Placa anterior: 000019081 Material: METAL Y VIDRIO Color: ROJO Referencia:  Observacion:  Placa padre: Tipo adquisicion: Entidad"</f>
        <v>Descripcion: ESTINTOR AMARILLO DE 10 LIBRAS MANGUERA Y HACHA Estado: Bueno Placa anterior: 000019081 Material: METAL Y VIDRIO Color: ROJO Referencia:  Observacion:  Placa padre: Tipo adquisicion: Entidad</v>
      </c>
      <c r="G14234" s="5"/>
    </row>
    <row r="14235" spans="1:7" ht="58.5" customHeight="1" x14ac:dyDescent="0.25">
      <c r="A14235" s="5" t="str">
        <f>"H0005756"</f>
        <v>H0005756</v>
      </c>
      <c r="B14235" s="5" t="str">
        <f>"BANDEJA DE ACERO INOXIDABLE MEDIANA"</f>
        <v>BANDEJA DE ACERO INOXIDABLE MEDIANA</v>
      </c>
      <c r="C14235" s="6">
        <v>14616</v>
      </c>
      <c r="D14235" s="5"/>
      <c r="E14235" s="5" t="str">
        <f t="shared" si="728"/>
        <v>ACTISALUD- PISO 10-ALA A</v>
      </c>
      <c r="F14235" s="5" t="str">
        <f>"Descripcion: BANDEJA EN ACERO INOXIDABLE 22X32 CMS Estado: Bueno Placa anterior: 000007769 Material: ACERO INOXIDABLE Color: PLATEADO Referencia:  Observacion:  Placa padre: Tipo adquisicion: Entidad"</f>
        <v>Descripcion: BANDEJA EN ACERO INOXIDABLE 22X32 CMS Estado: Bueno Placa anterior: 000007769 Material: ACERO INOXIDABLE Color: PLATEADO Referencia:  Observacion:  Placa padre: Tipo adquisicion: Entidad</v>
      </c>
      <c r="G14235" s="5"/>
    </row>
    <row r="14236" spans="1:7" ht="58.5" customHeight="1" x14ac:dyDescent="0.25">
      <c r="A14236" s="5" t="str">
        <f>"H0005758"</f>
        <v>H0005758</v>
      </c>
      <c r="B14236" s="5" t="str">
        <f>"BANDEJA DE ACERO INOXIDABLE GRANDE"</f>
        <v>BANDEJA DE ACERO INOXIDABLE GRANDE</v>
      </c>
      <c r="C14236" s="6">
        <v>23118.799999999999</v>
      </c>
      <c r="D14236" s="5"/>
      <c r="E14236" s="5" t="str">
        <f t="shared" si="728"/>
        <v>ACTISALUD- PISO 10-ALA A</v>
      </c>
      <c r="F14236" s="5" t="str">
        <f>"Descripcion: BANDEJA EN ACERO INOXIDABLE GRANDE 28X27 CM Estado: Bueno Placa anterior: 000004225 Material: ACERO INOXIDABLE Color: PLATEADO Referencia:  Observacion:  Placa padre: Tipo adquisicion: Entidad"</f>
        <v>Descripcion: BANDEJA EN ACERO INOXIDABLE GRANDE 28X27 CM Estado: Bueno Placa anterior: 000004225 Material: ACERO INOXIDABLE Color: PLATEADO Referencia:  Observacion:  Placa padre: Tipo adquisicion: Entidad</v>
      </c>
      <c r="G14236" s="5"/>
    </row>
    <row r="14237" spans="1:7" ht="58.5" customHeight="1" x14ac:dyDescent="0.25">
      <c r="A14237" s="5" t="str">
        <f>"H0005759"</f>
        <v>H0005759</v>
      </c>
      <c r="B14237" s="5" t="str">
        <f>"BANDEJA DE ACERO INOXIDABLE GRANDE"</f>
        <v>BANDEJA DE ACERO INOXIDABLE GRANDE</v>
      </c>
      <c r="C14237" s="6">
        <v>23118.799999999999</v>
      </c>
      <c r="D14237" s="5"/>
      <c r="E14237" s="5" t="str">
        <f t="shared" si="728"/>
        <v>ACTISALUD- PISO 10-ALA A</v>
      </c>
      <c r="F14237" s="5" t="str">
        <f>"Descripcion: BANDEJA EN ACERO INOXIDABLE GRANDE 52X37 CM Estado: Bueno Placa anterior: 000004224 Material: ACERO INOXIDABLE Color: PLATEADO Referencia:  Observacion:  Placa padre: Tipo adquisicion: Entidad"</f>
        <v>Descripcion: BANDEJA EN ACERO INOXIDABLE GRANDE 52X37 CM Estado: Bueno Placa anterior: 000004224 Material: ACERO INOXIDABLE Color: PLATEADO Referencia:  Observacion:  Placa padre: Tipo adquisicion: Entidad</v>
      </c>
      <c r="G14237" s="5"/>
    </row>
    <row r="14238" spans="1:7" ht="58.5" customHeight="1" x14ac:dyDescent="0.25">
      <c r="A14238" s="5" t="str">
        <f>"H0005760"</f>
        <v>H0005760</v>
      </c>
      <c r="B14238" s="5" t="str">
        <f>"POTE (TARRO) ACERO INXODABLE CON TAPA MEDIANO"</f>
        <v>POTE (TARRO) ACERO INXODABLE CON TAPA MEDIANO</v>
      </c>
      <c r="C14238" s="6">
        <v>6080.56</v>
      </c>
      <c r="D14238" s="5"/>
      <c r="E14238" s="5" t="str">
        <f t="shared" ref="E14238:E14301" si="729">"ACTISALUD- PISO 10-ALA A"</f>
        <v>ACTISALUD- PISO 10-ALA A</v>
      </c>
      <c r="F14238" s="5" t="str">
        <f>"Descripcion: DIAMETRO 11,6X20 CM Estado: Bueno Placa anterior: 000016693 Material: ACERO INOXIDABLE Color: PLATEADO Referencia:  Observacion: EL BIEN TIENE PLACA ANTERIOR 000004212 Placa padre: Tipo adquisicion: Entidad"</f>
        <v>Descripcion: DIAMETRO 11,6X20 CM Estado: Bueno Placa anterior: 000016693 Material: ACERO INOXIDABLE Color: PLATEADO Referencia:  Observacion: EL BIEN TIENE PLACA ANTERIOR 000004212 Placa padre: Tipo adquisicion: Entidad</v>
      </c>
      <c r="G14238" s="5"/>
    </row>
    <row r="14239" spans="1:7" ht="58.5" customHeight="1" x14ac:dyDescent="0.25">
      <c r="A14239" s="5" t="str">
        <f>"H0005762"</f>
        <v>H0005762</v>
      </c>
      <c r="B14239" s="5" t="str">
        <f>"NEVERA 3 PIES (84LT)"</f>
        <v>NEVERA 3 PIES (84LT)</v>
      </c>
      <c r="C14239" s="6">
        <v>452400</v>
      </c>
      <c r="D14239" s="5"/>
      <c r="E14239" s="5" t="str">
        <f t="shared" si="729"/>
        <v>ACTISALUD- PISO 10-ALA A</v>
      </c>
      <c r="F14239" s="5" t="str">
        <f>"Descripcion: REFRIGERADORA SAMSUNG SG-12BCSWCN Estado: Bueno Placa anterior: 000022611 Material: METALICA Color: BLANCO Referencia:  Observacion:  Placa padre: Tipo adquisicion: Entidad"</f>
        <v>Descripcion: REFRIGERADORA SAMSUNG SG-12BCSWCN Estado: Bueno Placa anterior: 000022611 Material: METALICA Color: BLANCO Referencia:  Observacion:  Placa padre: Tipo adquisicion: Entidad</v>
      </c>
      <c r="G14239" s="5" t="str">
        <f>"SG12BCSWCN/SCL"</f>
        <v>SG12BCSWCN/SCL</v>
      </c>
    </row>
    <row r="14240" spans="1:7" ht="58.5" customHeight="1" x14ac:dyDescent="0.25">
      <c r="A14240" s="5" t="str">
        <f>"H0005768"</f>
        <v>H0005768</v>
      </c>
      <c r="B14240" s="5" t="str">
        <f>"PATO (COPROLOGICO) MUJER"</f>
        <v>PATO (COPROLOGICO) MUJER</v>
      </c>
      <c r="C14240" s="6">
        <v>111940</v>
      </c>
      <c r="D14240" s="5"/>
      <c r="E14240" s="5" t="str">
        <f t="shared" si="729"/>
        <v>ACTISALUD- PISO 10-ALA A</v>
      </c>
      <c r="F14240" s="5" t="str">
        <f>"Descripcion: PATO  Estado: Bueno Placa anterior: 000025119 Material: ACERO INOXIDABLE Color: PLATEADO Referencia:  Observacion:  Placa padre: Tipo adquisicion: Entidad"</f>
        <v>Descripcion: PATO  Estado: Bueno Placa anterior: 000025119 Material: ACERO INOXIDABLE Color: PLATEADO Referencia:  Observacion:  Placa padre: Tipo adquisicion: Entidad</v>
      </c>
      <c r="G14240" s="5"/>
    </row>
    <row r="14241" spans="1:7" ht="58.5" customHeight="1" x14ac:dyDescent="0.25">
      <c r="A14241" s="5" t="str">
        <f>"H0005769"</f>
        <v>H0005769</v>
      </c>
      <c r="B14241" s="5" t="str">
        <f>"PATO (COPROLOGICO) MUJER"</f>
        <v>PATO (COPROLOGICO) MUJER</v>
      </c>
      <c r="C14241" s="6">
        <v>111940</v>
      </c>
      <c r="D14241" s="5"/>
      <c r="E14241" s="5" t="str">
        <f t="shared" si="729"/>
        <v>ACTISALUD- PISO 10-ALA A</v>
      </c>
      <c r="F14241" s="5" t="str">
        <f>"Descripcion: PATO  Estado: Bueno Placa anterior: 000025120 Material: ACERO INOXIDABLE Color: PLATEADO Referencia:  Observacion:  Placa padre: Tipo adquisicion: Entidad"</f>
        <v>Descripcion: PATO  Estado: Bueno Placa anterior: 000025120 Material: ACERO INOXIDABLE Color: PLATEADO Referencia:  Observacion:  Placa padre: Tipo adquisicion: Entidad</v>
      </c>
      <c r="G14241" s="5"/>
    </row>
    <row r="14242" spans="1:7" ht="58.5" customHeight="1" x14ac:dyDescent="0.25">
      <c r="A14242" s="5" t="str">
        <f>"H0005770"</f>
        <v>H0005770</v>
      </c>
      <c r="B14242" s="5" t="str">
        <f>"PATO (COPROLOGICO) MUJER"</f>
        <v>PATO (COPROLOGICO) MUJER</v>
      </c>
      <c r="C14242" s="6">
        <v>111940</v>
      </c>
      <c r="D14242" s="5"/>
      <c r="E14242" s="5" t="str">
        <f t="shared" si="729"/>
        <v>ACTISALUD- PISO 10-ALA A</v>
      </c>
      <c r="F14242" s="5" t="str">
        <f>"Descripcion: PATO  Estado: Bueno Placa anterior: 000025121 Material: ACERO INOXIDABLE Color: PLATEADO Referencia:  Observacion:  Placa padre: Tipo adquisicion: Entidad"</f>
        <v>Descripcion: PATO  Estado: Bueno Placa anterior: 000025121 Material: ACERO INOXIDABLE Color: PLATEADO Referencia:  Observacion:  Placa padre: Tipo adquisicion: Entidad</v>
      </c>
      <c r="G14242" s="5"/>
    </row>
    <row r="14243" spans="1:7" ht="58.5" customHeight="1" x14ac:dyDescent="0.25">
      <c r="A14243" s="5" t="str">
        <f>"H0005771"</f>
        <v>H0005771</v>
      </c>
      <c r="B14243" s="5" t="str">
        <f>"PATO (PISINGO) HOMBRE"</f>
        <v>PATO (PISINGO) HOMBRE</v>
      </c>
      <c r="C14243" s="6">
        <v>71920</v>
      </c>
      <c r="D14243" s="5"/>
      <c r="E14243" s="5" t="str">
        <f t="shared" si="729"/>
        <v>ACTISALUD- PISO 10-ALA A</v>
      </c>
      <c r="F14243" s="5" t="str">
        <f>"Descripcion: PATO PISINGO Estado: Bueno Placa anterior: 000024980 Material: ACERO INOXIDABLE Color: PLATEADO Referencia:  Observacion:  Placa padre: Tipo adquisicion: Entidad"</f>
        <v>Descripcion: PATO PISINGO Estado: Bueno Placa anterior: 000024980 Material: ACERO INOXIDABLE Color: PLATEADO Referencia:  Observacion:  Placa padre: Tipo adquisicion: Entidad</v>
      </c>
      <c r="G14243" s="5"/>
    </row>
    <row r="14244" spans="1:7" ht="58.5" customHeight="1" x14ac:dyDescent="0.25">
      <c r="A14244" s="5" t="str">
        <f>"H0005772"</f>
        <v>H0005772</v>
      </c>
      <c r="B14244" s="5" t="str">
        <f>"PATO (PISINGO) HOMBRE"</f>
        <v>PATO (PISINGO) HOMBRE</v>
      </c>
      <c r="C14244" s="6">
        <v>71920</v>
      </c>
      <c r="D14244" s="5"/>
      <c r="E14244" s="5" t="str">
        <f t="shared" si="729"/>
        <v>ACTISALUD- PISO 10-ALA A</v>
      </c>
      <c r="F14244" s="5" t="str">
        <f>"Descripcion: PATO PISINGO Estado: Bueno Placa anterior: 000024981 Material: ACERO INOXIDABLE Color: PLATEADO Referencia:  Observacion:  Placa padre: Tipo adquisicion: Entidad"</f>
        <v>Descripcion: PATO PISINGO Estado: Bueno Placa anterior: 000024981 Material: ACERO INOXIDABLE Color: PLATEADO Referencia:  Observacion:  Placa padre: Tipo adquisicion: Entidad</v>
      </c>
      <c r="G14244" s="5"/>
    </row>
    <row r="14245" spans="1:7" ht="58.5" customHeight="1" x14ac:dyDescent="0.25">
      <c r="A14245" s="5" t="str">
        <f>"H0005812"</f>
        <v>H0005812</v>
      </c>
      <c r="B14245" s="5" t="str">
        <f t="shared" ref="B14245:B14250" si="730">"PATO (COPROLOGICO) MUJER"</f>
        <v>PATO (COPROLOGICO) MUJER</v>
      </c>
      <c r="C14245" s="6">
        <v>111940</v>
      </c>
      <c r="D14245" s="5"/>
      <c r="E14245" s="5" t="str">
        <f t="shared" si="729"/>
        <v>ACTISALUD- PISO 10-ALA A</v>
      </c>
      <c r="F14245" s="5" t="str">
        <f>"Descripcion: PATO COPROLOGICO  Estado: Bueno Placa anterior: 000025122 Material: ACERO INOXIDABLE Color: PLATEADO Referencia:  Observacion:  Placa padre: Tipo adquisicion: Entidad"</f>
        <v>Descripcion: PATO COPROLOGICO  Estado: Bueno Placa anterior: 000025122 Material: ACERO INOXIDABLE Color: PLATEADO Referencia:  Observacion:  Placa padre: Tipo adquisicion: Entidad</v>
      </c>
      <c r="G14245" s="5"/>
    </row>
    <row r="14246" spans="1:7" ht="58.5" customHeight="1" x14ac:dyDescent="0.25">
      <c r="A14246" s="5" t="str">
        <f>"H0005813"</f>
        <v>H0005813</v>
      </c>
      <c r="B14246" s="5" t="str">
        <f t="shared" si="730"/>
        <v>PATO (COPROLOGICO) MUJER</v>
      </c>
      <c r="C14246" s="6">
        <v>111940</v>
      </c>
      <c r="D14246" s="5"/>
      <c r="E14246" s="5" t="str">
        <f t="shared" si="729"/>
        <v>ACTISALUD- PISO 10-ALA A</v>
      </c>
      <c r="F14246" s="5" t="str">
        <f>"Descripcion: PATO COPROLOGICO  Estado: Bueno Placa anterior: 000025123 Material: ACERO INOXIDABLE Color: PLATEADO Referencia:  Observacion:  Placa padre: Tipo adquisicion: Entidad"</f>
        <v>Descripcion: PATO COPROLOGICO  Estado: Bueno Placa anterior: 000025123 Material: ACERO INOXIDABLE Color: PLATEADO Referencia:  Observacion:  Placa padre: Tipo adquisicion: Entidad</v>
      </c>
      <c r="G14246" s="5"/>
    </row>
    <row r="14247" spans="1:7" ht="58.5" customHeight="1" x14ac:dyDescent="0.25">
      <c r="A14247" s="5" t="str">
        <f>"H0005814"</f>
        <v>H0005814</v>
      </c>
      <c r="B14247" s="5" t="str">
        <f t="shared" si="730"/>
        <v>PATO (COPROLOGICO) MUJER</v>
      </c>
      <c r="C14247" s="6">
        <v>111940</v>
      </c>
      <c r="D14247" s="5"/>
      <c r="E14247" s="5" t="str">
        <f t="shared" si="729"/>
        <v>ACTISALUD- PISO 10-ALA A</v>
      </c>
      <c r="F14247" s="5" t="str">
        <f>"Descripcion: PATO COPROLOGICO  Estado: Bueno Placa anterior: 000025124 Material: ACERO INOXIDABLE Color: PLATEADO Referencia:  Observacion:  Placa padre: Tipo adquisicion: Entidad"</f>
        <v>Descripcion: PATO COPROLOGICO  Estado: Bueno Placa anterior: 000025124 Material: ACERO INOXIDABLE Color: PLATEADO Referencia:  Observacion:  Placa padre: Tipo adquisicion: Entidad</v>
      </c>
      <c r="G14247" s="5"/>
    </row>
    <row r="14248" spans="1:7" ht="58.5" customHeight="1" x14ac:dyDescent="0.25">
      <c r="A14248" s="5" t="str">
        <f>"H0005815"</f>
        <v>H0005815</v>
      </c>
      <c r="B14248" s="5" t="str">
        <f t="shared" si="730"/>
        <v>PATO (COPROLOGICO) MUJER</v>
      </c>
      <c r="C14248" s="6">
        <v>111940</v>
      </c>
      <c r="D14248" s="5"/>
      <c r="E14248" s="5" t="str">
        <f t="shared" si="729"/>
        <v>ACTISALUD- PISO 10-ALA A</v>
      </c>
      <c r="F14248" s="5" t="str">
        <f>"Descripcion: PATO COPROLOGICO  Estado: Bueno Placa anterior: 000025126 Material: ACERO INOXIDABLE Color: PLATEADO Referencia:  Observacion:  Placa padre: Tipo adquisicion: Entidad"</f>
        <v>Descripcion: PATO COPROLOGICO  Estado: Bueno Placa anterior: 000025126 Material: ACERO INOXIDABLE Color: PLATEADO Referencia:  Observacion:  Placa padre: Tipo adquisicion: Entidad</v>
      </c>
      <c r="G14248" s="5"/>
    </row>
    <row r="14249" spans="1:7" ht="58.5" customHeight="1" x14ac:dyDescent="0.25">
      <c r="A14249" s="5" t="str">
        <f>"H0005816"</f>
        <v>H0005816</v>
      </c>
      <c r="B14249" s="5" t="str">
        <f t="shared" si="730"/>
        <v>PATO (COPROLOGICO) MUJER</v>
      </c>
      <c r="C14249" s="6">
        <v>111940</v>
      </c>
      <c r="D14249" s="5"/>
      <c r="E14249" s="5" t="str">
        <f t="shared" si="729"/>
        <v>ACTISALUD- PISO 10-ALA A</v>
      </c>
      <c r="F14249" s="5" t="str">
        <f>"Descripcion: PATO COPROLOGICO  Estado: Bueno Placa anterior: 000025127 Material: ACERO INOXIDABLE Color: PLATEADO Referencia:  Observacion:  Placa padre: Tipo adquisicion: Entidad"</f>
        <v>Descripcion: PATO COPROLOGICO  Estado: Bueno Placa anterior: 000025127 Material: ACERO INOXIDABLE Color: PLATEADO Referencia:  Observacion:  Placa padre: Tipo adquisicion: Entidad</v>
      </c>
      <c r="G14249" s="5"/>
    </row>
    <row r="14250" spans="1:7" ht="58.5" customHeight="1" x14ac:dyDescent="0.25">
      <c r="A14250" s="5" t="str">
        <f>"H0005817"</f>
        <v>H0005817</v>
      </c>
      <c r="B14250" s="5" t="str">
        <f t="shared" si="730"/>
        <v>PATO (COPROLOGICO) MUJER</v>
      </c>
      <c r="C14250" s="6">
        <v>111940</v>
      </c>
      <c r="D14250" s="5"/>
      <c r="E14250" s="5" t="str">
        <f t="shared" si="729"/>
        <v>ACTISALUD- PISO 10-ALA A</v>
      </c>
      <c r="F14250" s="5" t="str">
        <f>"Descripcion: PATO COPROLOGICO  Estado: Bueno Placa anterior: 000025125 Material: ACERO INOXIDABLE Color: PLATEADO Referencia:  Observacion:  Placa padre: Tipo adquisicion: Entidad"</f>
        <v>Descripcion: PATO COPROLOGICO  Estado: Bueno Placa anterior: 000025125 Material: ACERO INOXIDABLE Color: PLATEADO Referencia:  Observacion:  Placa padre: Tipo adquisicion: Entidad</v>
      </c>
      <c r="G14250" s="5"/>
    </row>
    <row r="14251" spans="1:7" ht="58.5" customHeight="1" x14ac:dyDescent="0.25">
      <c r="A14251" s="5" t="str">
        <f>"H0005943"</f>
        <v>H0005943</v>
      </c>
      <c r="B14251" s="5" t="str">
        <f>"NEVERA DE 66 LTS"</f>
        <v>NEVERA DE 66 LTS</v>
      </c>
      <c r="C14251" s="6">
        <v>1475000</v>
      </c>
      <c r="D14251" s="5"/>
      <c r="E14251" s="5" t="str">
        <f t="shared" si="729"/>
        <v>ACTISALUD- PISO 10-ALA A</v>
      </c>
      <c r="F14251" s="5" t="str">
        <f>"Descripcion: NEVERA VITRINA VERTICAL HACEB REF. RVC7 Estado: Bueno Placa anterior: 000025915 Material: METALICO CON VIDRIO Color: BLANCO Referencia:  Observacion:  Placa padre: Tipo adquisicion: Entidad"</f>
        <v>Descripcion: NEVERA VITRINA VERTICAL HACEB REF. RVC7 Estado: Bueno Placa anterior: 000025915 Material: METALICO CON VIDRIO Color: BLANCO Referencia:  Observacion:  Placa padre: Tipo adquisicion: Entidad</v>
      </c>
      <c r="G14251" s="5" t="str">
        <f>"RUC-7NAL"</f>
        <v>RUC-7NAL</v>
      </c>
    </row>
    <row r="14252" spans="1:7" ht="58.5" customHeight="1" x14ac:dyDescent="0.25">
      <c r="A14252" s="5" t="str">
        <f>"H0006769"</f>
        <v>H0006769</v>
      </c>
      <c r="B14252" s="5" t="str">
        <f>"ATRIL PORTASUERO MOVIL"</f>
        <v>ATRIL PORTASUERO MOVIL</v>
      </c>
      <c r="C14252" s="6">
        <v>210000</v>
      </c>
      <c r="D14252" s="5" t="s">
        <v>50</v>
      </c>
      <c r="E14252" s="5" t="str">
        <f t="shared" si="729"/>
        <v>ACTISALUD- PISO 10-ALA A</v>
      </c>
      <c r="F14252" s="5" t="str">
        <f>"Descripcion: ATRIL CON RODACHINES Estado: Bueno Placa anterior: 000029706 Material: ACERO INOXIDABLE Color: PLATEADO Referencia:  Observacion:  Placa padre: Tipo adquisicion: Entidad"</f>
        <v>Descripcion: ATRIL CON RODACHINES Estado: Bueno Placa anterior: 000029706 Material: ACERO INOXIDABLE Color: PLATEADO Referencia:  Observacion:  Placa padre: Tipo adquisicion: Entidad</v>
      </c>
      <c r="G14252" s="5"/>
    </row>
    <row r="14253" spans="1:7" ht="58.5" customHeight="1" x14ac:dyDescent="0.25">
      <c r="A14253" s="5" t="str">
        <f>"H0006770"</f>
        <v>H0006770</v>
      </c>
      <c r="B14253" s="5" t="str">
        <f>"ESCALERILLA DE 2 PASOS"</f>
        <v>ESCALERILLA DE 2 PASOS</v>
      </c>
      <c r="C14253" s="6">
        <v>4455</v>
      </c>
      <c r="D14253" s="5"/>
      <c r="E14253" s="5" t="str">
        <f t="shared" si="729"/>
        <v>ACTISALUD- PISO 10-ALA A</v>
      </c>
      <c r="F14253" s="5" t="str">
        <f>"Descripcion: ESCALERA PARA SUBIR A LAS CAMILLA Estado: Regular Placa anterior: 000005604 Material: METALICO Y MADERA Color: BEIS Y NEGRA Referencia:  Observacion: AUTORIZADO CONCILIAR EN CRUCE GENERAL Placa padre: Tipo adquisicion: Entidad"</f>
        <v>Descripcion: ESCALERA PARA SUBIR A LAS CAMILLA Estado: Regular Placa anterior: 000005604 Material: METALICO Y MADERA Color: BEIS Y NEGRA Referencia:  Observacion: AUTORIZADO CONCILIAR EN CRUCE GENERAL Placa padre: Tipo adquisicion: Entidad</v>
      </c>
      <c r="G14253" s="5"/>
    </row>
    <row r="14254" spans="1:7" ht="58.5" customHeight="1" x14ac:dyDescent="0.25">
      <c r="A14254" s="5" t="str">
        <f>"H0006771"</f>
        <v>H0006771</v>
      </c>
      <c r="B14254" s="5" t="str">
        <f>"MESA PUENTE (ALIMENTACION) (INSTRUMENTAL)"</f>
        <v>MESA PUENTE (ALIMENTACION) (INSTRUMENTAL)</v>
      </c>
      <c r="C14254" s="6">
        <v>300000</v>
      </c>
      <c r="D14254" s="5" t="s">
        <v>63</v>
      </c>
      <c r="E14254" s="5" t="str">
        <f t="shared" si="729"/>
        <v>ACTISALUD- PISO 10-ALA A</v>
      </c>
      <c r="F14254" s="5" t="str">
        <f>"Descripcion: MESA PUENTES. CON CUBIERTA EN FORMICA Estado: Bueno Placa anterior: 000037880 Material: METALICO Y FORMICA Color: GRIS Y MARRON Referencia:  Observacion:  Placa padre: Tipo adquisicion: Entidad"</f>
        <v>Descripcion: MESA PUENTES. CON CUBIERTA EN FORMICA Estado: Bueno Placa anterior: 000037880 Material: METALICO Y FORMICA Color: GRIS Y MARRON Referencia:  Observacion:  Placa padre: Tipo adquisicion: Entidad</v>
      </c>
      <c r="G14254" s="5"/>
    </row>
    <row r="14255" spans="1:7" ht="58.5" customHeight="1" x14ac:dyDescent="0.25">
      <c r="A14255" s="5" t="str">
        <f>"H0006772"</f>
        <v>H0006772</v>
      </c>
      <c r="B14255" s="5" t="str">
        <f>"MESA DE NOCHE"</f>
        <v>MESA DE NOCHE</v>
      </c>
      <c r="C14255" s="6">
        <v>350000</v>
      </c>
      <c r="D14255" s="5" t="s">
        <v>63</v>
      </c>
      <c r="E14255" s="5" t="str">
        <f t="shared" si="729"/>
        <v>ACTISALUD- PISO 10-ALA A</v>
      </c>
      <c r="F14255" s="5" t="str">
        <f>"Descripcion: MESA DE NOCHE, CON CUBIERTA EN FORMICA, DOS GAVETAS Estado: Bueno Placa anterior: 000037844 Material: METALICO Y FORMICA Color: BEIS Y MARRON Referencia:  Observacion:  Placa padre: Tipo adquisicion: Entidad"</f>
        <v>Descripcion: MESA DE NOCHE, CON CUBIERTA EN FORMICA, DOS GAVETAS Estado: Bueno Placa anterior: 000037844 Material: METALICO Y FORMICA Color: BEIS Y MARRON Referencia:  Observacion:  Placa padre: Tipo adquisicion: Entidad</v>
      </c>
      <c r="G14255" s="5"/>
    </row>
    <row r="14256" spans="1:7" ht="58.5" customHeight="1" x14ac:dyDescent="0.25">
      <c r="A14256" s="5" t="str">
        <f>"H0006773"</f>
        <v>H0006773</v>
      </c>
      <c r="B14256" s="5" t="str">
        <f>"TELEVISOR TRC 20"</f>
        <v>TELEVISOR TRC 20</v>
      </c>
      <c r="C14256" s="6">
        <v>445000</v>
      </c>
      <c r="D14256" s="5"/>
      <c r="E14256" s="5" t="str">
        <f t="shared" si="729"/>
        <v>ACTISALUD- PISO 10-ALA A</v>
      </c>
      <c r="F14256" s="5" t="str">
        <f>"Descripcion: TELEVISOR A COLOR DE 20 P. MARCA LG. REF: CP-20J52/20CB 20 Estado: Bueno Placa anterior: 000022627 Material: PLASTICO DE POLIPROPILENO Color: GRIS Referencia:  Observacion:  Placa padre: Tipo adquisicion: Entidad"</f>
        <v>Descripcion: TELEVISOR A COLOR DE 20 P. MARCA LG. REF: CP-20J52/20CB 20 Estado: Bueno Placa anterior: 000022627 Material: PLASTICO DE POLIPROPILENO Color: GRIS Referencia:  Observacion:  Placa padre: Tipo adquisicion: Entidad</v>
      </c>
      <c r="G14256" s="5" t="str">
        <f>"RP-20CCB20A"</f>
        <v>RP-20CCB20A</v>
      </c>
    </row>
    <row r="14257" spans="1:7" ht="58.5" customHeight="1" x14ac:dyDescent="0.25">
      <c r="A14257" s="5" t="str">
        <f>"H0006775"</f>
        <v>H0006775</v>
      </c>
      <c r="B14257" s="5" t="str">
        <f>"ATRIL PORTASUERO MOVIL"</f>
        <v>ATRIL PORTASUERO MOVIL</v>
      </c>
      <c r="C14257" s="6">
        <v>210000</v>
      </c>
      <c r="D14257" s="5" t="s">
        <v>50</v>
      </c>
      <c r="E14257" s="5" t="str">
        <f t="shared" si="729"/>
        <v>ACTISALUD- PISO 10-ALA A</v>
      </c>
      <c r="F14257" s="5" t="str">
        <f>"Descripcion: ATRIL CON RODACHINES Estado: Bueno Placa anterior: 000029710 Material: ACERO INOXIDABLE Color: PLATEADO Referencia:  Observacion:  Placa padre: Tipo adquisicion: Entidad"</f>
        <v>Descripcion: ATRIL CON RODACHINES Estado: Bueno Placa anterior: 000029710 Material: ACERO INOXIDABLE Color: PLATEADO Referencia:  Observacion:  Placa padre: Tipo adquisicion: Entidad</v>
      </c>
      <c r="G14257" s="5"/>
    </row>
    <row r="14258" spans="1:7" ht="58.5" customHeight="1" x14ac:dyDescent="0.25">
      <c r="A14258" s="5" t="str">
        <f>"H0006777"</f>
        <v>H0006777</v>
      </c>
      <c r="B14258" s="5" t="str">
        <f>"AIRE ACONDICIONADO TIPO SPLIT 12000 BTU"</f>
        <v>AIRE ACONDICIONADO TIPO SPLIT 12000 BTU</v>
      </c>
      <c r="C14258" s="6">
        <v>1836280</v>
      </c>
      <c r="D14258" s="5" t="s">
        <v>146</v>
      </c>
      <c r="E14258" s="5" t="str">
        <f t="shared" si="729"/>
        <v>ACTISALUD- PISO 10-ALA A</v>
      </c>
      <c r="F14258" s="5" t="str">
        <f>"Descripcion: AIRE ACONDICIONADO CAPACIDAD 12.000 BTU Equipo tipo mini split consola de lujo con control remoto y uso refrigerante ecologico Sistema inverter Debe incluir display para ser monitoreado por sistema central Estado: Bueno Placa anterior: 000036"&amp; "327 Material: PLASTICO DE POLIPROPILENO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000036327 Material: PLASTICO DE POLIPROPILENO Color: BLANCO Referencia:  Observacion:  Placa padre: Tipo adquisicion: Entidad</v>
      </c>
      <c r="G14258" s="5" t="str">
        <f>"VM122CEN B3"</f>
        <v>VM122CEN B3</v>
      </c>
    </row>
    <row r="14259" spans="1:7" ht="58.5" customHeight="1" x14ac:dyDescent="0.25">
      <c r="A14259" s="5" t="str">
        <f>"H0006778"</f>
        <v>H0006778</v>
      </c>
      <c r="B14259" s="5" t="str">
        <f>"PATO (PISINGO) HOMBRE"</f>
        <v>PATO (PISINGO) HOMBRE</v>
      </c>
      <c r="C14259" s="6">
        <v>71920</v>
      </c>
      <c r="D14259" s="5"/>
      <c r="E14259" s="5" t="str">
        <f t="shared" si="729"/>
        <v>ACTISALUD- PISO 10-ALA A</v>
      </c>
      <c r="F14259" s="5" t="str">
        <f>"Descripcion: PATO Estado: Bueno Placa anterior: 000024982 Material: ACERO INOXIDABLE Color: PLATEADO Referencia:  Observacion:  Placa padre: Tipo adquisicion: Entidad"</f>
        <v>Descripcion: PATO Estado: Bueno Placa anterior: 000024982 Material: ACERO INOXIDABLE Color: PLATEADO Referencia:  Observacion:  Placa padre: Tipo adquisicion: Entidad</v>
      </c>
      <c r="G14259" s="5"/>
    </row>
    <row r="14260" spans="1:7" ht="58.5" customHeight="1" x14ac:dyDescent="0.25">
      <c r="A14260" s="5" t="str">
        <f>"H0006782"</f>
        <v>H0006782</v>
      </c>
      <c r="B14260" s="5" t="str">
        <f>"MESA DE NOCHE"</f>
        <v>MESA DE NOCHE</v>
      </c>
      <c r="C14260" s="6">
        <v>350000</v>
      </c>
      <c r="D14260" s="5" t="s">
        <v>63</v>
      </c>
      <c r="E14260" s="5" t="str">
        <f t="shared" si="729"/>
        <v>ACTISALUD- PISO 10-ALA A</v>
      </c>
      <c r="F14260" s="5" t="str">
        <f>"Descripcion: MESA DE NOCHE Estado: Bueno Placa anterior: 000037837 Material: METALICO Y FORMICA Color: BEIS Y MARRON Referencia:  Observacion: DOS GAVETAS, CUBIERTA EN FORMICA Placa padre: Tipo adquisicion: Entidad"</f>
        <v>Descripcion: MESA DE NOCHE Estado: Bueno Placa anterior: 000037837 Material: METALICO Y FORMICA Color: BEIS Y MARRON Referencia:  Observacion: DOS GAVETAS, CUBIERTA EN FORMICA Placa padre: Tipo adquisicion: Entidad</v>
      </c>
      <c r="G14260" s="5"/>
    </row>
    <row r="14261" spans="1:7" ht="58.5" customHeight="1" x14ac:dyDescent="0.25">
      <c r="A14261" s="5" t="str">
        <f>"H0006783"</f>
        <v>H0006783</v>
      </c>
      <c r="B14261" s="5" t="str">
        <f>"TELEVISOR TRC 20"</f>
        <v>TELEVISOR TRC 20</v>
      </c>
      <c r="C14261" s="6">
        <v>445000</v>
      </c>
      <c r="D14261" s="5"/>
      <c r="E14261" s="5" t="str">
        <f t="shared" si="729"/>
        <v>ACTISALUD- PISO 10-ALA A</v>
      </c>
      <c r="F14261" s="5" t="str">
        <f>"Descripcion: TELEVISOR A COLOR DE 20 P. MARCA LG. REF: CP-20J52/20CB 20 Estado: Bueno Placa anterior: 000022629 Material: PLASTICO EN POLIPROPILENO Color: GRIS Referencia:  Observacion:  Placa padre: Tipo adquisicion: Entidad"</f>
        <v>Descripcion: TELEVISOR A COLOR DE 20 P. MARCA LG. REF: CP-20J52/20CB 20 Estado: Bueno Placa anterior: 000022629 Material: PLASTICO EN POLIPROPILENO Color: GRIS Referencia:  Observacion:  Placa padre: Tipo adquisicion: Entidad</v>
      </c>
      <c r="G14261" s="5" t="str">
        <f>"RP-20CB20A"</f>
        <v>RP-20CB20A</v>
      </c>
    </row>
    <row r="14262" spans="1:7" ht="58.5" customHeight="1" x14ac:dyDescent="0.25">
      <c r="A14262" s="5" t="str">
        <f>"H0006790"</f>
        <v>H0006790</v>
      </c>
      <c r="B14262" s="5" t="str">
        <f>"MESA PUENTE (ALIMENTACION) (INSTRUMENTAL)"</f>
        <v>MESA PUENTE (ALIMENTACION) (INSTRUMENTAL)</v>
      </c>
      <c r="C14262" s="6">
        <v>300000</v>
      </c>
      <c r="D14262" s="5" t="s">
        <v>63</v>
      </c>
      <c r="E14262" s="5" t="str">
        <f t="shared" si="729"/>
        <v>ACTISALUD- PISO 10-ALA A</v>
      </c>
      <c r="F14262" s="5" t="str">
        <f>"Descripcion: MESA PUENTES Estado: Bueno Placa anterior: 000037879 Material: METALICA Y FORMICA Color: BEIS Y MARRON Referencia:  Observacion:  Placa padre: Tipo adquisicion: Entidad"</f>
        <v>Descripcion: MESA PUENTES Estado: Bueno Placa anterior: 000037879 Material: METALICA Y FORMICA Color: BEIS Y MARRON Referencia:  Observacion:  Placa padre: Tipo adquisicion: Entidad</v>
      </c>
      <c r="G14262" s="5"/>
    </row>
    <row r="14263" spans="1:7" ht="58.5" customHeight="1" x14ac:dyDescent="0.25">
      <c r="A14263" s="5" t="str">
        <f>"H0006797"</f>
        <v>H0006797</v>
      </c>
      <c r="B14263" s="5" t="str">
        <f>"SILLA RECLINOMATICA"</f>
        <v>SILLA RECLINOMATICA</v>
      </c>
      <c r="C14263" s="6">
        <v>1220000</v>
      </c>
      <c r="D14263" s="5" t="s">
        <v>63</v>
      </c>
      <c r="E14263" s="5" t="str">
        <f t="shared" si="729"/>
        <v>ACTISALUD- PISO 10-ALA A</v>
      </c>
      <c r="F14263"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000037979 Material: METALICA Y CUERINA Color: GRIS Referencia:  Observacion: CON TAPIZADO SINTETICO EN CUERINA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000037979 Material: METALICA Y CUERINA Color: GRIS Referencia:  Observacion: CON TAPIZADO SINTETICO EN CUERINA Placa padre: Tipo adquisicion: Entidad</v>
      </c>
      <c r="G14263" s="5"/>
    </row>
    <row r="14264" spans="1:7" ht="58.5" customHeight="1" x14ac:dyDescent="0.25">
      <c r="A14264" s="5" t="str">
        <f>"H0006800"</f>
        <v>H0006800</v>
      </c>
      <c r="B14264" s="5" t="str">
        <f>"ATRIL PORTASUERO MOVIL"</f>
        <v>ATRIL PORTASUERO MOVIL</v>
      </c>
      <c r="C14264" s="6">
        <v>210000</v>
      </c>
      <c r="D14264" s="5" t="s">
        <v>50</v>
      </c>
      <c r="E14264" s="5" t="str">
        <f t="shared" si="729"/>
        <v>ACTISALUD- PISO 10-ALA A</v>
      </c>
      <c r="F14264" s="5" t="str">
        <f>"Descripcion: ATRIL EN ACERO INOXIDABLE QUIRURGICO ANTIMAGNETICO Estado: Bueno Placa anterior: 000029711 Material: ACERO INOXIDABLE Color: PLATEADO Referencia:  Observacion: CON RODACHINES Placa padre: Tipo adquisicion: Entidad"</f>
        <v>Descripcion: ATRIL EN ACERO INOXIDABLE QUIRURGICO ANTIMAGNETICO Estado: Bueno Placa anterior: 000029711 Material: ACERO INOXIDABLE Color: PLATEADO Referencia:  Observacion: CON RODACHINES Placa padre: Tipo adquisicion: Entidad</v>
      </c>
      <c r="G14264" s="5"/>
    </row>
    <row r="14265" spans="1:7" ht="58.5" customHeight="1" x14ac:dyDescent="0.25">
      <c r="A14265" s="5" t="str">
        <f>"H0006801"</f>
        <v>H0006801</v>
      </c>
      <c r="B14265" s="5" t="str">
        <f>"MESA PUENTE (ALIMENTACION) (INSTRUMENTAL)"</f>
        <v>MESA PUENTE (ALIMENTACION) (INSTRUMENTAL)</v>
      </c>
      <c r="C14265" s="6">
        <v>300000</v>
      </c>
      <c r="D14265" s="5" t="s">
        <v>63</v>
      </c>
      <c r="E14265" s="5" t="str">
        <f t="shared" si="729"/>
        <v>ACTISALUD- PISO 10-ALA A</v>
      </c>
      <c r="F14265" s="5" t="str">
        <f>"Descripcion: MESA PUENTES Estado: Bueno Placa anterior: 000037885 Material: METALICO Y FORMICA Color: BEIS Y MARRON Referencia:  Observacion: EL BIEN TIENE PLACA ANTERIOR 000037885  Placa padre: Tipo adquisicion: Entidad"</f>
        <v>Descripcion: MESA PUENTES Estado: Bueno Placa anterior: 000037885 Material: METALICO Y FORMICA Color: BEIS Y MARRON Referencia:  Observacion: EL BIEN TIENE PLACA ANTERIOR 000037885  Placa padre: Tipo adquisicion: Entidad</v>
      </c>
      <c r="G14265" s="5"/>
    </row>
    <row r="14266" spans="1:7" ht="58.5" customHeight="1" x14ac:dyDescent="0.25">
      <c r="A14266" s="5" t="str">
        <f>"H0006803"</f>
        <v>H0006803</v>
      </c>
      <c r="B14266" s="5" t="str">
        <f>"MESA DE NOCHE"</f>
        <v>MESA DE NOCHE</v>
      </c>
      <c r="C14266" s="6">
        <v>350000</v>
      </c>
      <c r="D14266" s="5" t="s">
        <v>63</v>
      </c>
      <c r="E14266" s="5" t="str">
        <f t="shared" si="729"/>
        <v>ACTISALUD- PISO 10-ALA A</v>
      </c>
      <c r="F14266" s="5" t="str">
        <f>"Descripcion: MESA DE NOCHE. DOS GAVETAS, CUBIERTA DE FORMICA Estado: Bueno Placa anterior: 000037846 Material: METALICO Y FORMICA Color: BEIS Y MARRON Referencia:  Observacion:  Placa padre: Tipo adquisicion: Entidad"</f>
        <v>Descripcion: MESA DE NOCHE. DOS GAVETAS, CUBIERTA DE FORMICA Estado: Bueno Placa anterior: 000037846 Material: METALICO Y FORMICA Color: BEIS Y MARRON Referencia:  Observacion:  Placa padre: Tipo adquisicion: Entidad</v>
      </c>
      <c r="G14266" s="5"/>
    </row>
    <row r="14267" spans="1:7" ht="58.5" customHeight="1" x14ac:dyDescent="0.25">
      <c r="A14267" s="5" t="str">
        <f>"H0006806"</f>
        <v>H0006806</v>
      </c>
      <c r="B14267" s="5" t="str">
        <f>"AIRE ACONDICIONADO TIPO SPLIT 12000 BTU"</f>
        <v>AIRE ACONDICIONADO TIPO SPLIT 12000 BTU</v>
      </c>
      <c r="C14267" s="6">
        <v>1836280</v>
      </c>
      <c r="D14267" s="5" t="s">
        <v>146</v>
      </c>
      <c r="E14267" s="5" t="str">
        <f t="shared" si="729"/>
        <v>ACTISALUD- PISO 10-ALA A</v>
      </c>
      <c r="F14267" s="5" t="str">
        <f>"Descripcion: AIRE ACONDICIONADO CAPACIDAD 12.000 BTU Equipo tipo mini split consola de lujo con control remoto y uso refrigerante ecologico Sistema inverter Debe incluir display para ser monitoreado por sistema central Estado: Bueno Placa anterior: 000036"&amp; "329 Material: PLASTICO Color: BLANCO Referencia: INVERTER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000036329 Material: PLASTICO Color: BLANCO Referencia: INVERTER Observacion:  Placa padre: Tipo adquisicion: Entidad</v>
      </c>
      <c r="G14267" s="5" t="str">
        <f>"VM122CEN B3"</f>
        <v>VM122CEN B3</v>
      </c>
    </row>
    <row r="14268" spans="1:7" ht="58.5" customHeight="1" x14ac:dyDescent="0.25">
      <c r="A14268" s="5" t="str">
        <f>"H0006808"</f>
        <v>H0006808</v>
      </c>
      <c r="B14268" s="5" t="str">
        <f>"PATO (PISINGO) HOMBRE"</f>
        <v>PATO (PISINGO) HOMBRE</v>
      </c>
      <c r="C14268" s="6">
        <v>71920</v>
      </c>
      <c r="D14268" s="5"/>
      <c r="E14268" s="5" t="str">
        <f t="shared" si="729"/>
        <v>ACTISALUD- PISO 10-ALA A</v>
      </c>
      <c r="F14268" s="5" t="str">
        <f>"Descripcion: PATO PISINGO  Estado: Bueno Placa anterior: 000024983 Material: ACERO INOXIDABLE Color: PLATEADO Referencia:  Observacion:  Placa padre: Tipo adquisicion: Entidad"</f>
        <v>Descripcion: PATO PISINGO  Estado: Bueno Placa anterior: 000024983 Material: ACERO INOXIDABLE Color: PLATEADO Referencia:  Observacion:  Placa padre: Tipo adquisicion: Entidad</v>
      </c>
      <c r="G14268" s="5"/>
    </row>
    <row r="14269" spans="1:7" ht="58.5" customHeight="1" x14ac:dyDescent="0.25">
      <c r="A14269" s="5" t="str">
        <f>"H0006810"</f>
        <v>H0006810</v>
      </c>
      <c r="B14269" s="5" t="str">
        <f>"MESA DE NOCHE"</f>
        <v>MESA DE NOCHE</v>
      </c>
      <c r="C14269" s="6">
        <v>350000</v>
      </c>
      <c r="D14269" s="5" t="s">
        <v>63</v>
      </c>
      <c r="E14269" s="5" t="str">
        <f t="shared" si="729"/>
        <v>ACTISALUD- PISO 10-ALA A</v>
      </c>
      <c r="F14269" s="5" t="str">
        <f>"Descripcion: MESA DE NOCHE, DOS GAVETAS CON CUBIERTA EN FORMICA Estado: Bueno Placa anterior: 000037845 Material: METALICA Y FORMICA Color: BEIS Y MARRON Referencia:  Observacion:  Placa padre: Tipo adquisicion: Entidad"</f>
        <v>Descripcion: MESA DE NOCHE, DOS GAVETAS CON CUBIERTA EN FORMICA Estado: Bueno Placa anterior: 000037845 Material: METALICA Y FORMICA Color: BEIS Y MARRON Referencia:  Observacion:  Placa padre: Tipo adquisicion: Entidad</v>
      </c>
      <c r="G14269" s="5"/>
    </row>
    <row r="14270" spans="1:7" ht="58.5" customHeight="1" x14ac:dyDescent="0.25">
      <c r="A14270" s="5" t="str">
        <f>"H0006811"</f>
        <v>H0006811</v>
      </c>
      <c r="B14270" s="5" t="str">
        <f>"AIRE ACONDICIONADO TIPO SPLIT 12000 BTU"</f>
        <v>AIRE ACONDICIONADO TIPO SPLIT 12000 BTU</v>
      </c>
      <c r="C14270" s="6">
        <v>1836280</v>
      </c>
      <c r="D14270" s="5" t="s">
        <v>146</v>
      </c>
      <c r="E14270" s="5" t="str">
        <f t="shared" si="729"/>
        <v>ACTISALUD- PISO 10-ALA A</v>
      </c>
      <c r="F14270" s="5" t="str">
        <f>"Descripcion: AIRE ACONDICIONADO CAPACIDAD 12.000 BTU Equipo tipo mini split consola de lujo con control remoto y uso refrigerante ecologico Sistema inverter Debe incluir display para ser monitoreado por sistema central Estado: Bueno Placa anterior: 000036"&amp; "328 Material: PLASTICO EN POLIPROPILENO Color: BLANCO Referencia:  Observacion: AIRE DE 11000 BTU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000036328 Material: PLASTICO EN POLIPROPILENO Color: BLANCO Referencia:  Observacion: AIRE DE 11000 BTU Placa padre: Tipo adquisicion: Entidad</v>
      </c>
      <c r="G14270" s="5" t="str">
        <f>"VM122CEN B3"</f>
        <v>VM122CEN B3</v>
      </c>
    </row>
    <row r="14271" spans="1:7" ht="58.5" customHeight="1" x14ac:dyDescent="0.25">
      <c r="A14271" s="5" t="str">
        <f>"H0006814"</f>
        <v>H0006814</v>
      </c>
      <c r="B14271" s="5" t="str">
        <f>"MESA PUENTE (ALIMENTACION) (INSTRUMENTAL)"</f>
        <v>MESA PUENTE (ALIMENTACION) (INSTRUMENTAL)</v>
      </c>
      <c r="C14271" s="6">
        <v>300000</v>
      </c>
      <c r="D14271" s="5" t="s">
        <v>63</v>
      </c>
      <c r="E14271" s="5" t="str">
        <f t="shared" si="729"/>
        <v>ACTISALUD- PISO 10-ALA A</v>
      </c>
      <c r="F14271" s="5" t="str">
        <f>"Descripcion: MESA PUENTE Estado: Bueno Placa anterior: 000037884 Material: METALICO Color: GRIS Referencia:  Observacion: BUEN ESTADO Placa padre: Tipo adquisicion: Entidad"</f>
        <v>Descripcion: MESA PUENTE Estado: Bueno Placa anterior: 000037884 Material: METALICO Color: GRIS Referencia:  Observacion: BUEN ESTADO Placa padre: Tipo adquisicion: Entidad</v>
      </c>
      <c r="G14271" s="5"/>
    </row>
    <row r="14272" spans="1:7" ht="58.5" customHeight="1" x14ac:dyDescent="0.25">
      <c r="A14272" s="5" t="str">
        <f>"H0006815"</f>
        <v>H0006815</v>
      </c>
      <c r="B14272" s="5" t="str">
        <f>"MESA DE NOCHE"</f>
        <v>MESA DE NOCHE</v>
      </c>
      <c r="C14272" s="6">
        <v>350000</v>
      </c>
      <c r="D14272" s="5" t="s">
        <v>63</v>
      </c>
      <c r="E14272" s="5" t="str">
        <f t="shared" si="729"/>
        <v>ACTISALUD- PISO 10-ALA A</v>
      </c>
      <c r="F14272" s="5" t="str">
        <f>"Descripcion: MESA DE NOCHE DE DOS GAVETAS Estado: Bueno Placa anterior: 000037841 Material: METALICA Color: GRIS Referencia:  Observacion: BUEN ESTADO Placa padre: Tipo adquisicion: Entidad"</f>
        <v>Descripcion: MESA DE NOCHE DE DOS GAVETAS Estado: Bueno Placa anterior: 000037841 Material: METALICA Color: GRIS Referencia:  Observacion: BUEN ESTADO Placa padre: Tipo adquisicion: Entidad</v>
      </c>
      <c r="G14272" s="5"/>
    </row>
    <row r="14273" spans="1:7" ht="58.5" customHeight="1" x14ac:dyDescent="0.25">
      <c r="A14273" s="5" t="str">
        <f>"H0006824"</f>
        <v>H0006824</v>
      </c>
      <c r="B14273" s="5" t="str">
        <f>"MESA PUENTE (ALIMENTACION) (INSTRUMENTAL)"</f>
        <v>MESA PUENTE (ALIMENTACION) (INSTRUMENTAL)</v>
      </c>
      <c r="C14273" s="6">
        <v>300000</v>
      </c>
      <c r="D14273" s="5" t="s">
        <v>63</v>
      </c>
      <c r="E14273" s="5" t="str">
        <f t="shared" si="729"/>
        <v>ACTISALUD- PISO 10-ALA A</v>
      </c>
      <c r="F14273" s="5" t="str">
        <f>"Descripcion: MESA PUENTES Estado: Bueno Placa anterior: 000037882 Material: METALICO Color: GRIS Referencia:  Observacion: BUEN ESTADO Placa padre: Tipo adquisicion: Entidad"</f>
        <v>Descripcion: MESA PUENTES Estado: Bueno Placa anterior: 000037882 Material: METALICO Color: GRIS Referencia:  Observacion: BUEN ESTADO Placa padre: Tipo adquisicion: Entidad</v>
      </c>
      <c r="G14273" s="5"/>
    </row>
    <row r="14274" spans="1:7" ht="58.5" customHeight="1" x14ac:dyDescent="0.25">
      <c r="A14274" s="5" t="str">
        <f>"H0006825"</f>
        <v>H0006825</v>
      </c>
      <c r="B14274" s="5" t="str">
        <f>"MESA DE NOCHE"</f>
        <v>MESA DE NOCHE</v>
      </c>
      <c r="C14274" s="6">
        <v>350000</v>
      </c>
      <c r="D14274" s="5" t="s">
        <v>63</v>
      </c>
      <c r="E14274" s="5" t="str">
        <f t="shared" si="729"/>
        <v>ACTISALUD- PISO 10-ALA A</v>
      </c>
      <c r="F14274" s="5" t="str">
        <f>"Descripcion: MESA DE NOCHE Estado: Bueno Placa anterior: 000037842 Material: MATALICO Color: GRIS Referencia:  Observacion: BUEN ESTADO Placa padre: Tipo adquisicion: Entidad"</f>
        <v>Descripcion: MESA DE NOCHE Estado: Bueno Placa anterior: 000037842 Material: MATALICO Color: GRIS Referencia:  Observacion: BUEN ESTADO Placa padre: Tipo adquisicion: Entidad</v>
      </c>
      <c r="G14274" s="5"/>
    </row>
    <row r="14275" spans="1:7" ht="58.5" customHeight="1" x14ac:dyDescent="0.25">
      <c r="A14275" s="5" t="str">
        <f>"H0006826"</f>
        <v>H0006826</v>
      </c>
      <c r="B14275" s="5" t="str">
        <f>"TELEVISOR TRC 20"</f>
        <v>TELEVISOR TRC 20</v>
      </c>
      <c r="C14275" s="6">
        <v>445000</v>
      </c>
      <c r="D14275" s="5"/>
      <c r="E14275" s="5" t="str">
        <f t="shared" si="729"/>
        <v>ACTISALUD- PISO 10-ALA A</v>
      </c>
      <c r="F14275" s="5" t="str">
        <f>"Descripcion: TELEVISOR A COLOR DE 20 P. MARCA LG. REF: CP-20J52/20CB 20 Estado: Bueno Placa anterior: 000022626 Material: PASTA Color: GRIS  Referencia:  Observacion: BUEN ESTADO Placa padre: Tipo adquisicion: Entidad"</f>
        <v>Descripcion: TELEVISOR A COLOR DE 20 P. MARCA LG. REF: CP-20J52/20CB 20 Estado: Bueno Placa anterior: 000022626 Material: PASTA Color: GRIS  Referencia:  Observacion: BUEN ESTADO Placa padre: Tipo adquisicion: Entidad</v>
      </c>
      <c r="G14275" s="5"/>
    </row>
    <row r="14276" spans="1:7" ht="58.5" customHeight="1" x14ac:dyDescent="0.25">
      <c r="A14276" s="5" t="str">
        <f>"H0006828"</f>
        <v>H0006828</v>
      </c>
      <c r="B14276" s="5" t="str">
        <f>"AIRE ACONDICIONADO TIPO SPLIT 12000 BTU"</f>
        <v>AIRE ACONDICIONADO TIPO SPLIT 12000 BTU</v>
      </c>
      <c r="C14276" s="6">
        <v>1836280</v>
      </c>
      <c r="D14276" s="5" t="s">
        <v>146</v>
      </c>
      <c r="E14276" s="5" t="str">
        <f t="shared" si="729"/>
        <v>ACTISALUD- PISO 10-ALA A</v>
      </c>
      <c r="F14276" s="5" t="str">
        <f>"Descripcion: AIRE ACONDICIONADO CAPACIDAD 12.000 BTU Equipo tipo mini split consola de lujo con control remoto y uso refrigerante ecologico Sistema inverter Debe incluir display para ser monitoreado por sistema central Estado: Bueno Placa anterior: 000036"&amp; "330 Material: PASTA Color: BLANCO Referencia:  Observacion: BUEN ESTADO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000036330 Material: PASTA Color: BLANCO Referencia:  Observacion: BUEN ESTADO Placa padre: Tipo adquisicion: Entidad</v>
      </c>
      <c r="G14276" s="5" t="str">
        <f>"VM122CEN B3"</f>
        <v>VM122CEN B3</v>
      </c>
    </row>
    <row r="14277" spans="1:7" ht="58.5" customHeight="1" x14ac:dyDescent="0.25">
      <c r="A14277" s="5" t="str">
        <f>"H0006829"</f>
        <v>H0006829</v>
      </c>
      <c r="B14277" s="5" t="str">
        <f>"PATO (PISINGO) HOMBRE"</f>
        <v>PATO (PISINGO) HOMBRE</v>
      </c>
      <c r="C14277" s="6">
        <v>71920</v>
      </c>
      <c r="D14277" s="5"/>
      <c r="E14277" s="5" t="str">
        <f t="shared" si="729"/>
        <v>ACTISALUD- PISO 10-ALA A</v>
      </c>
      <c r="F14277" s="5" t="str">
        <f>"Descripcion: PISINGO Estado: Bueno Placa anterior: 000024984 Material: ACERO Color: PLATEADO Referencia:  Observacion: BUEN ESTADO Placa padre: Tipo adquisicion: Entidad"</f>
        <v>Descripcion: PISINGO Estado: Bueno Placa anterior: 000024984 Material: ACERO Color: PLATEADO Referencia:  Observacion: BUEN ESTADO Placa padre: Tipo adquisicion: Entidad</v>
      </c>
      <c r="G14277" s="5"/>
    </row>
    <row r="14278" spans="1:7" ht="58.5" customHeight="1" x14ac:dyDescent="0.25">
      <c r="A14278" s="5" t="str">
        <f>"H0006835"</f>
        <v>H0006835</v>
      </c>
      <c r="B14278" s="5" t="str">
        <f>"MESA DE MAYO"</f>
        <v>MESA DE MAYO</v>
      </c>
      <c r="C14278" s="6">
        <v>300000</v>
      </c>
      <c r="D14278" s="5" t="s">
        <v>63</v>
      </c>
      <c r="E14278" s="5" t="str">
        <f t="shared" si="729"/>
        <v>ACTISALUD- PISO 10-ALA A</v>
      </c>
      <c r="F14278" s="5" t="str">
        <f>"Descripcion: MESA DE MAYO CON CUBIERTA EN FORMICA Estado: Bueno Placa anterior: 000037881 Material: METALICO Y FORMICA Color: GRIS Y MARRON Referencia:  Observacion:  Placa padre: Tipo adquisicion: Entidad"</f>
        <v>Descripcion: MESA DE MAYO CON CUBIERTA EN FORMICA Estado: Bueno Placa anterior: 000037881 Material: METALICO Y FORMICA Color: GRIS Y MARRON Referencia:  Observacion:  Placa padre: Tipo adquisicion: Entidad</v>
      </c>
      <c r="G14278" s="5"/>
    </row>
    <row r="14279" spans="1:7" ht="58.5" customHeight="1" x14ac:dyDescent="0.25">
      <c r="A14279" s="5" t="str">
        <f>"H0006842"</f>
        <v>H0006842</v>
      </c>
      <c r="B14279" s="5" t="str">
        <f>"MESA DE NOCHE"</f>
        <v>MESA DE NOCHE</v>
      </c>
      <c r="C14279" s="6">
        <v>350000</v>
      </c>
      <c r="D14279" s="5" t="s">
        <v>63</v>
      </c>
      <c r="E14279" s="5" t="str">
        <f t="shared" si="729"/>
        <v>ACTISALUD- PISO 10-ALA A</v>
      </c>
      <c r="F14279" s="5" t="str">
        <f>"Descripcion: MESA DE NOCHE CON CUBIERTA EN FORMICA Estado: Bueno Placa anterior: 000037843 Material: METALICO Y FORMICA Color: BEIS Y MARRON Referencia:  Observacion:  Placa padre: Tipo adquisicion: Entidad"</f>
        <v>Descripcion: MESA DE NOCHE CON CUBIERTA EN FORMICA Estado: Bueno Placa anterior: 000037843 Material: METALICO Y FORMICA Color: BEIS Y MARRON Referencia:  Observacion:  Placa padre: Tipo adquisicion: Entidad</v>
      </c>
      <c r="G14279" s="5"/>
    </row>
    <row r="14280" spans="1:7" ht="58.5" customHeight="1" x14ac:dyDescent="0.25">
      <c r="A14280" s="5" t="str">
        <f>"H0006843"</f>
        <v>H0006843</v>
      </c>
      <c r="B14280" s="5" t="str">
        <f>"MESA PUENTE (ALIMENTACION) (INSTRUMENTAL)"</f>
        <v>MESA PUENTE (ALIMENTACION) (INSTRUMENTAL)</v>
      </c>
      <c r="C14280" s="6">
        <v>300000</v>
      </c>
      <c r="D14280" s="5" t="s">
        <v>63</v>
      </c>
      <c r="E14280" s="5" t="str">
        <f t="shared" si="729"/>
        <v>ACTISALUD- PISO 10-ALA A</v>
      </c>
      <c r="F14280" s="5" t="str">
        <f>"Descripcion: MESA DE MAYO CON CUBIERTA EN FORMICA Estado: Bueno Placa anterior: 000037883 Material: METALICO Y FORMICA Color: BEIS Y MARRON Referencia:  Observacion: EL BIEN TIENE PLACA ANTERIOR 000033833  FUNCIONARIO AUTORIZA SE CONCILIE CON PLACA 000037"&amp; "883    Placa padre: Tipo adquisicion: Entidad"</f>
        <v>Descripcion: MESA DE MAYO CON CUBIERTA EN FORMICA Estado: Bueno Placa anterior: 000037883 Material: METALICO Y FORMICA Color: BEIS Y MARRON Referencia:  Observacion: EL BIEN TIENE PLACA ANTERIOR 000033833  FUNCIONARIO AUTORIZA SE CONCILIE CON PLACA 000037883    Placa padre: Tipo adquisicion: Entidad</v>
      </c>
      <c r="G14280" s="5"/>
    </row>
    <row r="14281" spans="1:7" ht="58.5" customHeight="1" x14ac:dyDescent="0.25">
      <c r="A14281" s="5" t="str">
        <f>"H0006844"</f>
        <v>H0006844</v>
      </c>
      <c r="B14281" s="5" t="str">
        <f>"MESA DE NOCHE"</f>
        <v>MESA DE NOCHE</v>
      </c>
      <c r="C14281" s="6">
        <v>350000</v>
      </c>
      <c r="D14281" s="5" t="s">
        <v>63</v>
      </c>
      <c r="E14281" s="5" t="str">
        <f t="shared" si="729"/>
        <v>ACTISALUD- PISO 10-ALA A</v>
      </c>
      <c r="F14281" s="5" t="str">
        <f>"Descripcion: MESA DE NOCHE CON CUBIERTA EN FORMICA Estado: Bueno Placa anterior: 000037847 Material: METALICO Y FORMICA Color: BEIS Y MARRON Referencia:  Observacion:  Placa padre: Tipo adquisicion: Entidad"</f>
        <v>Descripcion: MESA DE NOCHE CON CUBIERTA EN FORMICA Estado: Bueno Placa anterior: 000037847 Material: METALICO Y FORMICA Color: BEIS Y MARRON Referencia:  Observacion:  Placa padre: Tipo adquisicion: Entidad</v>
      </c>
      <c r="G14281" s="5"/>
    </row>
    <row r="14282" spans="1:7" ht="58.5" customHeight="1" x14ac:dyDescent="0.25">
      <c r="A14282" s="5" t="str">
        <f>"H0006845"</f>
        <v>H0006845</v>
      </c>
      <c r="B14282" s="5" t="str">
        <f>"TELEVISOR TRC 20"</f>
        <v>TELEVISOR TRC 20</v>
      </c>
      <c r="C14282" s="6">
        <v>445000</v>
      </c>
      <c r="D14282" s="5"/>
      <c r="E14282" s="5" t="str">
        <f t="shared" si="729"/>
        <v>ACTISALUD- PISO 10-ALA A</v>
      </c>
      <c r="F14282" s="5" t="str">
        <f>"Descripcion: TELEVISOR A COLOR DE 20 P. MARCA LG. REF: CP-20J52/20CB 20 Estado: Bueno Placa anterior: 000022631 Material: PASTA Color: GRIS Referencia:  Observacion:  Placa padre: Tipo adquisicion: Entidad"</f>
        <v>Descripcion: TELEVISOR A COLOR DE 20 P. MARCA LG. REF: CP-20J52/20CB 20 Estado: Bueno Placa anterior: 000022631 Material: PASTA Color: GRIS Referencia:  Observacion:  Placa padre: Tipo adquisicion: Entidad</v>
      </c>
      <c r="G14282" s="5" t="str">
        <f>"RP-20CB20A"</f>
        <v>RP-20CB20A</v>
      </c>
    </row>
    <row r="14283" spans="1:7" ht="58.5" customHeight="1" x14ac:dyDescent="0.25">
      <c r="A14283" s="5" t="str">
        <f>"H0006846"</f>
        <v>H0006846</v>
      </c>
      <c r="B14283" s="5" t="str">
        <f>"AIRE ACONDICIONADO TIPO SPLIT 12000 BTU"</f>
        <v>AIRE ACONDICIONADO TIPO SPLIT 12000 BTU</v>
      </c>
      <c r="C14283" s="6">
        <v>1836280</v>
      </c>
      <c r="D14283" s="5" t="s">
        <v>146</v>
      </c>
      <c r="E14283" s="5" t="str">
        <f t="shared" si="729"/>
        <v>ACTISALUD- PISO 10-ALA A</v>
      </c>
      <c r="F14283" s="5" t="str">
        <f>"Descripcion: AIRE ACONDICIONADO CAPACIDAD 12.000 BTU Equipo tipo mini split consola de lujo con control remoto y uso refrigerante ecologico Sistema inverter Debe incluir display para ser monitoreado por sistema central Estado: Bueno Placa anterior: 000036"&amp; "331 Material: PASTA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000036331 Material: PASTA Color: BLANCO Referencia:  Observacion:  Placa padre: Tipo adquisicion: Entidad</v>
      </c>
      <c r="G14283" s="5" t="str">
        <f>"VM122CE NB3"</f>
        <v>VM122CE NB3</v>
      </c>
    </row>
    <row r="14284" spans="1:7" ht="58.5" customHeight="1" x14ac:dyDescent="0.25">
      <c r="A14284" s="5" t="str">
        <f>"H0006907"</f>
        <v>H0006907</v>
      </c>
      <c r="B14284" s="5" t="str">
        <f>"MESA DE NOCHE"</f>
        <v>MESA DE NOCHE</v>
      </c>
      <c r="C14284" s="6">
        <v>350000</v>
      </c>
      <c r="D14284" s="5" t="s">
        <v>63</v>
      </c>
      <c r="E14284" s="5" t="str">
        <f t="shared" si="729"/>
        <v>ACTISALUD- PISO 10-ALA A</v>
      </c>
      <c r="F14284" s="5" t="str">
        <f>"Descripcion:  MESA DE NOCHE EN BUEN ESTADO  CON LAS SIGUIENTES MEDIDAS 75*51*41 Estado: Bueno Placa anterior: 000037838 Material: METAL CON CUBIERTA FORMICA  Color: GRIS Referencia:  Observacion: MESA DE NOCHE EN BUEN ESTADO. Placa padre: Tipo adquisicion"&amp; ": Entidad"</f>
        <v>Descripcion:  MESA DE NOCHE EN BUEN ESTADO  CON LAS SIGUIENTES MEDIDAS 75*51*41 Estado: Bueno Placa anterior: 000037838 Material: METAL CON CUBIERTA FORMICA  Color: GRIS Referencia:  Observacion: MESA DE NOCHE EN BUEN ESTADO. Placa padre: Tipo adquisicion: Entidad</v>
      </c>
      <c r="G14284" s="5"/>
    </row>
    <row r="14285" spans="1:7" ht="58.5" customHeight="1" x14ac:dyDescent="0.25">
      <c r="A14285" s="5" t="str">
        <f>"H0006909"</f>
        <v>H0006909</v>
      </c>
      <c r="B14285" s="5" t="str">
        <f>"MESA PUENTE (ALIMENTACION) (INSTRUMENTAL)"</f>
        <v>MESA PUENTE (ALIMENTACION) (INSTRUMENTAL)</v>
      </c>
      <c r="C14285" s="6">
        <v>300000</v>
      </c>
      <c r="D14285" s="5" t="s">
        <v>63</v>
      </c>
      <c r="E14285" s="5" t="str">
        <f t="shared" si="729"/>
        <v>ACTISALUD- PISO 10-ALA A</v>
      </c>
      <c r="F14285" s="5" t="str">
        <f>"Descripcion: MESA PUENTES Estado: Bueno Placa anterior: 000037877 Material: METAL Color: GRIS Referencia:  Observacion: MESA PUENTE EN BUEN ESTADO Y FUNCIONAMIENTO EN LA HABITACION, DE RUEDAS. Placa padre: Tipo adquisicion: Entidad"</f>
        <v>Descripcion: MESA PUENTES Estado: Bueno Placa anterior: 000037877 Material: METAL Color: GRIS Referencia:  Observacion: MESA PUENTE EN BUEN ESTADO Y FUNCIONAMIENTO EN LA HABITACION, DE RUEDAS. Placa padre: Tipo adquisicion: Entidad</v>
      </c>
      <c r="G14285" s="5"/>
    </row>
    <row r="14286" spans="1:7" ht="58.5" customHeight="1" x14ac:dyDescent="0.25">
      <c r="A14286" s="5" t="str">
        <f>"H0006913"</f>
        <v>H0006913</v>
      </c>
      <c r="B14286" s="5" t="str">
        <f>"SILLA RECLINOMATICA"</f>
        <v>SILLA RECLINOMATICA</v>
      </c>
      <c r="C14286" s="6">
        <v>1220000</v>
      </c>
      <c r="D14286" s="5" t="s">
        <v>63</v>
      </c>
      <c r="E14286" s="5" t="str">
        <f t="shared" si="729"/>
        <v>ACTISALUD- PISO 10-ALA A</v>
      </c>
      <c r="F1428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000037973 Material:  Color: AZUL Referencia:  Observacion: SOFA EN BUEN ESTADO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000037973 Material:  Color: AZUL Referencia:  Observacion: SOFA EN BUEN ESTADO  Placa padre: Tipo adquisicion: Entidad</v>
      </c>
      <c r="G14286" s="5"/>
    </row>
    <row r="14287" spans="1:7" ht="58.5" customHeight="1" x14ac:dyDescent="0.25">
      <c r="A14287" s="5" t="str">
        <f>"H0006914"</f>
        <v>H0006914</v>
      </c>
      <c r="B14287" s="5" t="str">
        <f>"ESCALERILLA DE 2 PASOS"</f>
        <v>ESCALERILLA DE 2 PASOS</v>
      </c>
      <c r="C14287" s="6">
        <v>120000</v>
      </c>
      <c r="D14287" s="5" t="s">
        <v>63</v>
      </c>
      <c r="E14287" s="5" t="str">
        <f t="shared" si="729"/>
        <v>ACTISALUD- PISO 10-ALA A</v>
      </c>
      <c r="F14287" s="5" t="str">
        <f>"Descripcion: ESCALERILLA DE DOS PASOS Estado: Bueno Placa anterior: 000037802 Material: METAL Color: GRIS CON NEGRO Referencia:  Observacion: ESCALERILLA DE DOS PASOS Y CON TUVO DELGADO, METAL Y CON COLOR NEGRO. Placa padre: Tipo adquisicion: Entidad"</f>
        <v>Descripcion: ESCALERILLA DE DOS PASOS Estado: Bueno Placa anterior: 000037802 Material: METAL Color: GRIS CON NEGRO Referencia:  Observacion: ESCALERILLA DE DOS PASOS Y CON TUVO DELGADO, METAL Y CON COLOR NEGRO. Placa padre: Tipo adquisicion: Entidad</v>
      </c>
      <c r="G14287" s="5"/>
    </row>
    <row r="14288" spans="1:7" ht="58.5" customHeight="1" x14ac:dyDescent="0.25">
      <c r="A14288" s="5" t="str">
        <f>"H0006917"</f>
        <v>H0006917</v>
      </c>
      <c r="B14288" s="5" t="str">
        <f>"ESCALERILLA DE 2 PASOS"</f>
        <v>ESCALERILLA DE 2 PASOS</v>
      </c>
      <c r="C14288" s="6">
        <v>120000</v>
      </c>
      <c r="D14288" s="5" t="s">
        <v>63</v>
      </c>
      <c r="E14288" s="5" t="str">
        <f t="shared" si="729"/>
        <v>ACTISALUD- PISO 10-ALA A</v>
      </c>
      <c r="F14288" s="5" t="str">
        <f>"Descripcion: ESCALERILLA DE DOS PASOS Estado: Bueno Placa anterior: 000037803 Material: METAL Color: NEGROS CON GRIS CLARO  Referencia:  Observacion: ESCALERILLA 2 PASOS EN BUEN ESTADO Y BUEN FUNCIONAMIENTO PROPORCIONADO Placa padre: Tipo adquisicion: Ent"&amp; "idad"</f>
        <v>Descripcion: ESCALERILLA DE DOS PASOS Estado: Bueno Placa anterior: 000037803 Material: METAL Color: NEGROS CON GRIS CLARO  Referencia:  Observacion: ESCALERILLA 2 PASOS EN BUEN ESTADO Y BUEN FUNCIONAMIENTO PROPORCIONADO Placa padre: Tipo adquisicion: Entidad</v>
      </c>
      <c r="G14288" s="5"/>
    </row>
    <row r="14289" spans="1:7" ht="58.5" customHeight="1" x14ac:dyDescent="0.25">
      <c r="A14289" s="5" t="str">
        <f>"H0006918"</f>
        <v>H0006918</v>
      </c>
      <c r="B14289" s="5" t="str">
        <f>"AIRE ACONDICIONADO TIPO SPLIT 12000 BTU"</f>
        <v>AIRE ACONDICIONADO TIPO SPLIT 12000 BTU</v>
      </c>
      <c r="C14289" s="6">
        <v>1836280</v>
      </c>
      <c r="D14289" s="5" t="s">
        <v>146</v>
      </c>
      <c r="E14289" s="5" t="str">
        <f t="shared" si="729"/>
        <v>ACTISALUD- PISO 10-ALA A</v>
      </c>
      <c r="F14289" s="5" t="str">
        <f>"Descripcion: AIRE ACONDICIONADO CAPACIDAD 12.000 BTU Equipo tipo mini split consola de lujo con control remoto y uso refrigerante ecologico Sistema inverter Debe incluir display para ser monitoreado por sistema central Estado: Bueno Placa anterior: 000036"&amp; "332 Material:  Color: BLANCOEN Referencia:  Observacion: EN BUEN ESTADO Y FUNCIONAMIENTO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000036332 Material:  Color: BLANCOEN Referencia:  Observacion: EN BUEN ESTADO Y FUNCIONAMIENTO Placa padre: Tipo adquisicion: Entidad</v>
      </c>
      <c r="G14289" s="5" t="str">
        <f>"VM122CEN B3"</f>
        <v>VM122CEN B3</v>
      </c>
    </row>
    <row r="14290" spans="1:7" ht="58.5" customHeight="1" x14ac:dyDescent="0.25">
      <c r="A14290" s="5" t="str">
        <f>"H0006919"</f>
        <v>H0006919</v>
      </c>
      <c r="B14290" s="5" t="str">
        <f>"TELEVISOR TRC 20"</f>
        <v>TELEVISOR TRC 20</v>
      </c>
      <c r="C14290" s="6">
        <v>445000</v>
      </c>
      <c r="D14290" s="5"/>
      <c r="E14290" s="5" t="str">
        <f t="shared" si="729"/>
        <v>ACTISALUD- PISO 10-ALA A</v>
      </c>
      <c r="F14290" s="5" t="str">
        <f>"Descripcion: TELEVISOR A COLOR DE 20 P. MARCA LG. REF: CP-20J52/20CB 20 Estado: Bueno Placa anterior: 000022625 Material: PASTA Color: GRIS Referencia:  Observacion: TELEVISOR LG EN BUEN ESTADO  Placa padre: Tipo adquisicion: Entidad"</f>
        <v>Descripcion: TELEVISOR A COLOR DE 20 P. MARCA LG. REF: CP-20J52/20CB 20 Estado: Bueno Placa anterior: 000022625 Material: PASTA Color: GRIS Referencia:  Observacion: TELEVISOR LG EN BUEN ESTADO  Placa padre: Tipo adquisicion: Entidad</v>
      </c>
      <c r="G14290" s="5" t="str">
        <f>"RP-20CB20A"</f>
        <v>RP-20CB20A</v>
      </c>
    </row>
    <row r="14291" spans="1:7" ht="58.5" customHeight="1" x14ac:dyDescent="0.25">
      <c r="A14291" s="5" t="str">
        <f>"H0006920"</f>
        <v>H0006920</v>
      </c>
      <c r="B14291" s="5" t="str">
        <f>"MESA DE NOCHE"</f>
        <v>MESA DE NOCHE</v>
      </c>
      <c r="C14291" s="6">
        <v>350000</v>
      </c>
      <c r="D14291" s="5" t="s">
        <v>63</v>
      </c>
      <c r="E14291" s="5" t="str">
        <f t="shared" si="729"/>
        <v>ACTISALUD- PISO 10-ALA A</v>
      </c>
      <c r="F14291" s="5" t="str">
        <f>"Descripcion: MESA DE NOCHE Estado: Bueno Placa anterior: 000037839 Material: METALICA- FORMICA Color: GRIS CON MARRON  Referencia:  Observacion: MESA DE NOCHE EN BUEN ESTADO MATERIAL METALICA FORMICA  Placa padre: Tipo adquisicion: Entidad"</f>
        <v>Descripcion: MESA DE NOCHE Estado: Bueno Placa anterior: 000037839 Material: METALICA- FORMICA Color: GRIS CON MARRON  Referencia:  Observacion: MESA DE NOCHE EN BUEN ESTADO MATERIAL METALICA FORMICA  Placa padre: Tipo adquisicion: Entidad</v>
      </c>
      <c r="G14291" s="5"/>
    </row>
    <row r="14292" spans="1:7" ht="58.5" customHeight="1" x14ac:dyDescent="0.25">
      <c r="A14292" s="5" t="str">
        <f>"H0006921"</f>
        <v>H0006921</v>
      </c>
      <c r="B14292" s="5" t="str">
        <f>"MESA PUENTE (ALIMENTACION) (INSTRUMENTAL)"</f>
        <v>MESA PUENTE (ALIMENTACION) (INSTRUMENTAL)</v>
      </c>
      <c r="C14292" s="6">
        <v>300000</v>
      </c>
      <c r="D14292" s="5" t="s">
        <v>63</v>
      </c>
      <c r="E14292" s="5" t="str">
        <f t="shared" si="729"/>
        <v>ACTISALUD- PISO 10-ALA A</v>
      </c>
      <c r="F14292" s="5" t="str">
        <f>"Descripcion: MESA PUENTES Estado: Bueno Placa anterior: 000037878 Material: METAL Color: GRIS CON MARRON CLARO Referencia:  Observacion: MESA PUENTE BUEN ESTADO  Placa padre: Tipo adquisicion: Entidad"</f>
        <v>Descripcion: MESA PUENTES Estado: Bueno Placa anterior: 000037878 Material: METAL Color: GRIS CON MARRON CLARO Referencia:  Observacion: MESA PUENTE BUEN ESTADO  Placa padre: Tipo adquisicion: Entidad</v>
      </c>
      <c r="G14292" s="5"/>
    </row>
    <row r="14293" spans="1:7" ht="58.5" customHeight="1" x14ac:dyDescent="0.25">
      <c r="A14293" s="5" t="str">
        <f>"H0006927"</f>
        <v>H0006927</v>
      </c>
      <c r="B14293" s="5" t="str">
        <f>"MESA PUENTE (ALIMENTACION) (INSTRUMENTAL)"</f>
        <v>MESA PUENTE (ALIMENTACION) (INSTRUMENTAL)</v>
      </c>
      <c r="C14293" s="6">
        <v>300000</v>
      </c>
      <c r="D14293" s="5" t="s">
        <v>63</v>
      </c>
      <c r="E14293" s="5" t="str">
        <f t="shared" si="729"/>
        <v>ACTISALUD- PISO 10-ALA A</v>
      </c>
      <c r="F14293" s="5" t="str">
        <f>"Descripcion: MESA PUENTES Estado: Bueno Placa anterior: 000037875 Material: METAL, CON MADERA Color: GRIS CON MARRON Referencia:  Observacion: MESA PUENTE EN BUEN ESTADO,  Placa padre: Tipo adquisicion: Entidad"</f>
        <v>Descripcion: MESA PUENTES Estado: Bueno Placa anterior: 000037875 Material: METAL, CON MADERA Color: GRIS CON MARRON Referencia:  Observacion: MESA PUENTE EN BUEN ESTADO,  Placa padre: Tipo adquisicion: Entidad</v>
      </c>
      <c r="G14293" s="5"/>
    </row>
    <row r="14294" spans="1:7" ht="58.5" customHeight="1" x14ac:dyDescent="0.25">
      <c r="A14294" s="5" t="str">
        <f>"H0006940"</f>
        <v>H0006940</v>
      </c>
      <c r="B14294" s="5" t="str">
        <f>"AIRE ACONDICIONADO TIPO SPLIT 12000 BTU"</f>
        <v>AIRE ACONDICIONADO TIPO SPLIT 12000 BTU</v>
      </c>
      <c r="C14294" s="6">
        <v>1836280</v>
      </c>
      <c r="D14294" s="5" t="s">
        <v>146</v>
      </c>
      <c r="E14294" s="5" t="str">
        <f t="shared" si="729"/>
        <v>ACTISALUD- PISO 10-ALA A</v>
      </c>
      <c r="F14294" s="5" t="str">
        <f>"Descripcion: AIRE ACONDICIONADO CAPACIDAD 12.000 BTU Equipo tipo mini split consola de lujo con control remoto y uso refrigerante ecologico Sistema inverter Debe incluir display para ser monitoreado por sistema central Estado: Bueno Placa anterior: 000036"&amp; "333 Material: PASTA Color: BLANCO Referencia: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000036333 Material: PASTA Color: BLANCO Referencia:  Observacion:  Placa padre: Tipo adquisicion: Entidad</v>
      </c>
      <c r="G14294" s="5" t="str">
        <f>"VM122CEN B3"</f>
        <v>VM122CEN B3</v>
      </c>
    </row>
    <row r="14295" spans="1:7" ht="58.5" customHeight="1" x14ac:dyDescent="0.25">
      <c r="A14295" s="5" t="str">
        <f>"H0008998"</f>
        <v>H0008998</v>
      </c>
      <c r="B14295" s="5" t="str">
        <f>"LOCKER DE 6 COMPARTIMIENTOS"</f>
        <v>LOCKER DE 6 COMPARTIMIENTOS</v>
      </c>
      <c r="C14295" s="6">
        <v>585988</v>
      </c>
      <c r="D14295" s="5" t="s">
        <v>60</v>
      </c>
      <c r="E14295" s="5" t="str">
        <f t="shared" si="729"/>
        <v>ACTISALUD- PISO 10-ALA A</v>
      </c>
      <c r="F14295" s="5" t="str">
        <f>"Descripcion: LOCKER DE LAMINA CALIBRE 22 C/6 CASILLEROS, PORTACANDADO, MANIJA PROFUNDIZADA MEDIDAS 1.80X1.90 DE ANCHO X 35 DE FONDO DE PINTURA Estado: Bueno Placa anterior: 000029188 Material: METALICO Color: GRIS Referencia:  Observacion:  Placa padre: T"&amp; "ipo adquisicion: Entidad"</f>
        <v>Descripcion: LOCKER DE LAMINA CALIBRE 22 C/6 CASILLEROS, PORTACANDADO, MANIJA PROFUNDIZADA MEDIDAS 1.80X1.90 DE ANCHO X 35 DE FONDO DE PINTURA Estado: Bueno Placa anterior: 000029188 Material: METALICO Color: GRIS Referencia:  Observacion:  Placa padre: Tipo adquisicion: Entidad</v>
      </c>
      <c r="G14295" s="5"/>
    </row>
    <row r="14296" spans="1:7" ht="58.5" customHeight="1" x14ac:dyDescent="0.25">
      <c r="A14296" s="5" t="str">
        <f>"H0009999"</f>
        <v>H0009999</v>
      </c>
      <c r="B14296" s="5" t="str">
        <f>"COMPUTADOR TODO EN UNO"</f>
        <v>COMPUTADOR TODO EN UNO</v>
      </c>
      <c r="C14296" s="6">
        <v>2470000</v>
      </c>
      <c r="D14296" s="5" t="s">
        <v>6</v>
      </c>
      <c r="E14296" s="5" t="str">
        <f t="shared" si="729"/>
        <v>ACTISALUD- PISO 10-ALA A</v>
      </c>
      <c r="F14296" s="5" t="str">
        <f>"Descripcion: EQUIPO DE COMPUTO TODO EN UNO CON PROCESADOR INTEL i5 Estado: Bueno Placa anterior: 000036976 Material: PASTA Color: NEGRO Referencia: 10BD-00FDLS Observacion:  Placa padre: Tipo adquisicion: Entidad"</f>
        <v>Descripcion: EQUIPO DE COMPUTO TODO EN UNO CON PROCESADOR INTEL i5 Estado: Bueno Placa anterior: 000036976 Material: PASTA Color: NEGRO Referencia: 10BD-00FDLS Observacion:  Placa padre: Tipo adquisicion: Entidad</v>
      </c>
      <c r="G14296" s="5"/>
    </row>
    <row r="14297" spans="1:7" ht="58.5" customHeight="1" x14ac:dyDescent="0.25">
      <c r="A14297" s="5" t="str">
        <f>"H0011240"</f>
        <v>H0011240</v>
      </c>
      <c r="B14297" s="5" t="str">
        <f>"AIRE ACONDICIONADO TIPO SPLIT 12000 BTU"</f>
        <v>AIRE ACONDICIONADO TIPO SPLIT 12000 BTU</v>
      </c>
      <c r="C14297" s="6">
        <v>1836280</v>
      </c>
      <c r="D14297" s="5" t="s">
        <v>146</v>
      </c>
      <c r="E14297" s="5" t="str">
        <f t="shared" si="729"/>
        <v>ACTISALUD- PISO 10-ALA A</v>
      </c>
      <c r="F14297" s="5" t="str">
        <f>"Descripcion: AIRE ACONDICIONADO CAPACIDAD 12.000 BTU Equipo tipo mini split consola de lujo con control remoto y uso refrigerante ecologico Sistema inverter Debe incluir display para ser monitoreado por sistema central Estado: Bueno Placa anterior: 000036"&amp; "362 Material: PASTA Color: BLANCO Referencia: BSNQ122B4W3 Observacion:  Placa padre: Tipo adquisicion: Entidad"</f>
        <v>Descripcion: AIRE ACONDICIONADO CAPACIDAD 12.000 BTU Equipo tipo mini split consola de lujo con control remoto y uso refrigerante ecologico Sistema inverter Debe incluir display para ser monitoreado por sistema central Estado: Bueno Placa anterior: 000036362 Material: PASTA Color: BLANCO Referencia: BSNQ122B4W3 Observacion:  Placa padre: Tipo adquisicion: Entidad</v>
      </c>
      <c r="G14297" s="5" t="str">
        <f>"VM122CENB3"</f>
        <v>VM122CENB3</v>
      </c>
    </row>
    <row r="14298" spans="1:7" ht="58.5" customHeight="1" x14ac:dyDescent="0.25">
      <c r="A14298" s="5" t="str">
        <f>"H0011822"</f>
        <v>H0011822</v>
      </c>
      <c r="B14298" s="5" t="str">
        <f>"LOCKER DE 9 COMPARTIMIENTOS"</f>
        <v>LOCKER DE 9 COMPARTIMIENTOS</v>
      </c>
      <c r="C14298" s="6">
        <v>680000</v>
      </c>
      <c r="D14298" s="5"/>
      <c r="E14298" s="5" t="str">
        <f t="shared" si="729"/>
        <v>ACTISALUD- PISO 10-ALA A</v>
      </c>
      <c r="F14298" s="5" t="str">
        <f>"Descripcion: LOKER METALICO DE 3 CUERPOS, CON 9 CASILLEROS Estado: Bueno Placa anterior: 000033397 Material: METALICO Color: GRIS Referencia:  Observacion: BUEN ESTADO Placa padre: Tipo adquisicion: Entidad"</f>
        <v>Descripcion: LOKER METALICO DE 3 CUERPOS, CON 9 CASILLEROS Estado: Bueno Placa anterior: 000033397 Material: METALICO Color: GRIS Referencia:  Observacion: BUEN ESTADO Placa padre: Tipo adquisicion: Entidad</v>
      </c>
      <c r="G14298" s="5"/>
    </row>
    <row r="14299" spans="1:7" ht="58.5" customHeight="1" x14ac:dyDescent="0.25">
      <c r="A14299" s="5" t="str">
        <f>"H0015883"</f>
        <v>H0015883</v>
      </c>
      <c r="B14299" s="5" t="str">
        <f>"ESCALERILLA DE 2 PASOS"</f>
        <v>ESCALERILLA DE 2 PASOS</v>
      </c>
      <c r="C14299" s="6">
        <v>120000</v>
      </c>
      <c r="D14299" s="5"/>
      <c r="E14299" s="5" t="str">
        <f t="shared" si="729"/>
        <v>ACTISALUD- PISO 10-ALA A</v>
      </c>
      <c r="F14299" s="5" t="str">
        <f>"Descripcion:ESCALERILLA DE DOS PASOS Estado: Excelente Placa anterior: 000037811 Material: METAL Y MADERA Color: BLANCO Y NEGRO Referencia:  Observacion:  Placa padre:  Tipo adquisicion : Entidad"</f>
        <v>Descripcion:ESCALERILLA DE DOS PASOS Estado: Excelente Placa anterior: 000037811 Material: METAL Y MADERA Color: BLANCO Y NEGRO Referencia:  Observacion:  Placa padre:  Tipo adquisicion : Entidad</v>
      </c>
      <c r="G14299" s="5" t="str">
        <f>"7565"</f>
        <v>7565</v>
      </c>
    </row>
    <row r="14300" spans="1:7" ht="58.5" customHeight="1" x14ac:dyDescent="0.25">
      <c r="A14300" s="5" t="str">
        <f>"H0015884"</f>
        <v>H0015884</v>
      </c>
      <c r="B14300" s="5" t="str">
        <f>"ESCALERILLA DE 2 PASOS"</f>
        <v>ESCALERILLA DE 2 PASOS</v>
      </c>
      <c r="C14300" s="6">
        <v>120000</v>
      </c>
      <c r="D14300" s="5"/>
      <c r="E14300" s="5" t="str">
        <f t="shared" si="729"/>
        <v>ACTISALUD- PISO 10-ALA A</v>
      </c>
      <c r="F14300" s="5" t="str">
        <f>"Descripcion:ESCALERILLA DE DOS PASOS Estado: Excelente Placa anterior: 000037810 Material: METAL Y MADERA Color: BLANCO Y NEGRO Referencia:  Observacion:  Placa padre:  Tipo adquisicion : Entidad"</f>
        <v>Descripcion:ESCALERILLA DE DOS PASOS Estado: Excelente Placa anterior: 000037810 Material: METAL Y MADERA Color: BLANCO Y NEGRO Referencia:  Observacion:  Placa padre:  Tipo adquisicion : Entidad</v>
      </c>
      <c r="G14300" s="5" t="str">
        <f>"7565"</f>
        <v>7565</v>
      </c>
    </row>
    <row r="14301" spans="1:7" ht="58.5" customHeight="1" x14ac:dyDescent="0.25">
      <c r="A14301" s="5" t="str">
        <f>"H0015885"</f>
        <v>H0015885</v>
      </c>
      <c r="B14301" s="5" t="str">
        <f>"ESCALERILLA DE 2 PASOS"</f>
        <v>ESCALERILLA DE 2 PASOS</v>
      </c>
      <c r="C14301" s="6">
        <v>120000</v>
      </c>
      <c r="D14301" s="5"/>
      <c r="E14301" s="5" t="str">
        <f t="shared" si="729"/>
        <v>ACTISALUD- PISO 10-ALA A</v>
      </c>
      <c r="F14301" s="5" t="str">
        <f>"Descripcion:ESCALERILLA DE DOS PASOS Estado: Excelente Placa anterior: 000037809 Material: METAL Y MADERA Color: BLANCO Y NEGRO Referencia:  Observacion:  Placa padre:  Tipo adquisicion : Entidad"</f>
        <v>Descripcion:ESCALERILLA DE DOS PASOS Estado: Excelente Placa anterior: 000037809 Material: METAL Y MADERA Color: BLANCO Y NEGRO Referencia:  Observacion:  Placa padre:  Tipo adquisicion : Entidad</v>
      </c>
      <c r="G14301" s="5" t="str">
        <f>"7565"</f>
        <v>7565</v>
      </c>
    </row>
    <row r="14302" spans="1:7" ht="58.5" customHeight="1" x14ac:dyDescent="0.25">
      <c r="A14302" s="5" t="str">
        <f>"H0018724"</f>
        <v>H0018724</v>
      </c>
      <c r="B14302" s="5" t="str">
        <f>"NEVERA 8 PIES (226LT)"</f>
        <v>NEVERA 8 PIES (226LT)</v>
      </c>
      <c r="C14302" s="6">
        <v>249500</v>
      </c>
      <c r="D14302" s="5"/>
      <c r="E14302" s="5" t="str">
        <f t="shared" ref="E14302:E14365" si="731">"ACTISALUD- PISO 10-ALA A"</f>
        <v>ACTISALUD- PISO 10-ALA A</v>
      </c>
      <c r="F14302" s="5" t="str">
        <f>"Descripcion:NEVERA PHILIPS DE 8 PIES Estado: Bueno Placa anterior: 000000613 Material: METALICO Color: BEIGE Referencia:  Observacion:  Placa padre:  Tipo adquisicion : Entidad"</f>
        <v>Descripcion:NEVERA PHILIPS DE 8 PIES Estado: Bueno Placa anterior: 000000613 Material: METALICO Color: BEIGE Referencia:  Observacion:  Placa padre:  Tipo adquisicion : Entidad</v>
      </c>
      <c r="G14302" s="5"/>
    </row>
    <row r="14303" spans="1:7" ht="58.5" customHeight="1" x14ac:dyDescent="0.25">
      <c r="A14303" s="5" t="str">
        <f>"H0018733"</f>
        <v>H0018733</v>
      </c>
      <c r="B14303" s="5" t="str">
        <f>"PUESTO DE TRABAJO EN L CON 3 GAVETAS"</f>
        <v>PUESTO DE TRABAJO EN L CON 3 GAVETAS</v>
      </c>
      <c r="C14303" s="6">
        <v>58000</v>
      </c>
      <c r="D14303" s="5" t="s">
        <v>285</v>
      </c>
      <c r="E14303" s="5" t="str">
        <f t="shared" si="731"/>
        <v>ACTISALUD- PISO 10-ALA A</v>
      </c>
      <c r="F14303" s="5" t="str">
        <f>"Descripcion:PEDESTALES METALICOSPUESTO DE TRABAJO EN L CON 3 GABETAS Estado: Bueno Placa anterior: 000030144 Material: METALICO Color: GRIS CON MARRON Referencia:  Observacion:  Placa padre:  Tipo adquisicion : Entidad"</f>
        <v>Descripcion:PEDESTALES METALICOSPUESTO DE TRABAJO EN L CON 3 GABETAS Estado: Bueno Placa anterior: 000030144 Material: METALICO Color: GRIS CON MARRON Referencia:  Observacion:  Placa padre:  Tipo adquisicion : Entidad</v>
      </c>
      <c r="G14303" s="5"/>
    </row>
    <row r="14304" spans="1:7" ht="58.5" customHeight="1" x14ac:dyDescent="0.25">
      <c r="A14304" s="5" t="str">
        <f>"H0019265"</f>
        <v>H0019265</v>
      </c>
      <c r="B14304" s="5" t="str">
        <f>"CAMILLA DE TRASLADO CON BARANDAS"</f>
        <v>CAMILLA DE TRASLADO CON BARANDAS</v>
      </c>
      <c r="C14304" s="6">
        <v>754000</v>
      </c>
      <c r="D14304" s="5"/>
      <c r="E14304" s="5" t="str">
        <f t="shared" si="731"/>
        <v>ACTISALUD- PISO 10-ALA A</v>
      </c>
      <c r="F14304" s="5" t="str">
        <f>"Descripcion: CAMILLA DE RECUPERACION CON LEVANTE Y BARANDAS EN ACERO INOXIDABLE-ATRIL PORTA SUEROS-RUEDAS DE 5 CON FRENOS Estado: Bueno Placa anterior: 000024645 Material: METALICO Color: BEIGE Referencia:  Observacion:  Placa padre: Tipo adquisicion: Ent"&amp; "idad"</f>
        <v>Descripcion: CAMILLA DE RECUPERACION CON LEVANTE Y BARANDAS EN ACERO INOXIDABLE-ATRIL PORTA SUEROS-RUEDAS DE 5 CON FRENOS Estado: Bueno Placa anterior: 000024645 Material: METALICO Color: BEIGE Referencia:  Observacion:  Placa padre: Tipo adquisicion: Entidad</v>
      </c>
      <c r="G14304" s="5"/>
    </row>
    <row r="14305" spans="1:7" ht="58.5" customHeight="1" x14ac:dyDescent="0.25">
      <c r="A14305" s="5" t="str">
        <f>"H0021199"</f>
        <v>H0021199</v>
      </c>
      <c r="B14305" s="5" t="str">
        <f>"ESCRITORIOS LINEAL SUPERFICIE ENCHAPADA"</f>
        <v>ESCRITORIOS LINEAL SUPERFICIE ENCHAPADA</v>
      </c>
      <c r="C14305" s="6">
        <v>58000</v>
      </c>
      <c r="D14305" s="5" t="s">
        <v>285</v>
      </c>
      <c r="E14305" s="5" t="str">
        <f t="shared" si="731"/>
        <v>ACTISALUD- PISO 10-ALA A</v>
      </c>
      <c r="F14305" s="5" t="str">
        <f>"Descripcion:PEDESTALES METALICOS Estado: Bueno Placa anterior: 000030145 Material: MADERA, FORMICA Y BASE METALICA Color: BEIGE Referencia:  Observacion: SE INTEGRA CON PLACAS 000030143 Y 000030139, CONFORMAN UNA SUPERFICIE DE TRABAJO Placa padre:  Tipo a"&amp; "dquisicion : Entidad"</f>
        <v>Descripcion:PEDESTALES METALICOS Estado: Bueno Placa anterior: 000030145 Material: MADERA, FORMICA Y BASE METALICA Color: BEIGE Referencia:  Observacion: SE INTEGRA CON PLACAS 000030143 Y 000030139, CONFORMAN UNA SUPERFICIE DE TRABAJO Placa padre:  Tipo adquisicion : Entidad</v>
      </c>
      <c r="G14305" s="5"/>
    </row>
    <row r="14306" spans="1:7" ht="58.5" customHeight="1" x14ac:dyDescent="0.25">
      <c r="A14306" s="5" t="str">
        <f>"H0021467"</f>
        <v>H0021467</v>
      </c>
      <c r="B14306" s="5" t="str">
        <f>"PLANTA DOMESTICA A BASE DE OZONO"</f>
        <v>PLANTA DOMESTICA A BASE DE OZONO</v>
      </c>
      <c r="C14306" s="6">
        <v>275000</v>
      </c>
      <c r="D14306" s="5" t="s">
        <v>62</v>
      </c>
      <c r="E14306" s="5" t="str">
        <f t="shared" si="731"/>
        <v>ACTISALUD- PISO 10-ALA A</v>
      </c>
      <c r="F14306" s="5"/>
      <c r="G14306" s="5"/>
    </row>
    <row r="14307" spans="1:7" ht="58.5" customHeight="1" x14ac:dyDescent="0.25">
      <c r="A14307" s="5" t="str">
        <f>"H0022640"</f>
        <v>H0022640</v>
      </c>
      <c r="B14307" s="5" t="str">
        <f>"CAMA HOSPITALARIA 4 PLANOS CON BARANDA"</f>
        <v>CAMA HOSPITALARIA 4 PLANOS CON BARANDA</v>
      </c>
      <c r="C14307" s="6">
        <v>2509480</v>
      </c>
      <c r="D14307" s="5"/>
      <c r="E14307" s="5" t="str">
        <f t="shared" si="731"/>
        <v>ACTISALUD- PISO 10-ALA A</v>
      </c>
      <c r="F14307" s="5" t="str">
        <f>"Descripcion: CAMA HOSPITALARIA HOSPITECH MOD. 134-45 Estado: Bueno Placa anterior: 000033370 Material: METALICA Color: BEIGE Referencia:  Observacion:  Placa padre: Tipo adquisicion: Entidad"</f>
        <v>Descripcion: CAMA HOSPITALARIA HOSPITECH MOD. 134-45 Estado: Bueno Placa anterior: 000033370 Material: METALICA Color: BEIGE Referencia:  Observacion:  Placa padre: Tipo adquisicion: Entidad</v>
      </c>
      <c r="G14307" s="5"/>
    </row>
    <row r="14308" spans="1:7" ht="58.5" customHeight="1" x14ac:dyDescent="0.25">
      <c r="A14308" s="5" t="str">
        <f>"H0022726"</f>
        <v>H0022726</v>
      </c>
      <c r="B14308" s="5" t="str">
        <f>"SILLA DE RUEDAS"</f>
        <v>SILLA DE RUEDAS</v>
      </c>
      <c r="C14308" s="6">
        <v>650000</v>
      </c>
      <c r="D14308" s="5"/>
      <c r="E14308" s="5" t="str">
        <f t="shared" si="731"/>
        <v>ACTISALUD- PISO 10-ALA A</v>
      </c>
      <c r="F14308" s="5" t="str">
        <f>"Descripcion: SILLA DE RUEDA ADULTO ESTANDAR CON BRAZOS Y DESCANSAPIES DESMONTABLES CON MARCO PLEGABLE CALIBRE 18 DE 7/8 Estado: Regular Placa anterior: 000026204 Material: METALICA Color: PLATEADO Y NEGRO Referencia:  Observacion:  Placa padre: Tipo adqui"&amp; "sicion: Entidad"</f>
        <v>Descripcion: SILLA DE RUEDA ADULTO ESTANDAR CON BRAZOS Y DESCANSAPIES DESMONTABLES CON MARCO PLEGABLE CALIBRE 18 DE 7/8 Estado: Regular Placa anterior: 000026204 Material: METALICA Color: PLATEADO Y NEGRO Referencia:  Observacion:  Placa padre: Tipo adquisicion: Entidad</v>
      </c>
      <c r="G14308" s="5"/>
    </row>
    <row r="14309" spans="1:7" ht="58.5" customHeight="1" x14ac:dyDescent="0.25">
      <c r="A14309" s="5" t="str">
        <f>"H0024160"</f>
        <v>H0024160</v>
      </c>
      <c r="B14309" s="5" t="str">
        <f t="shared" ref="B14309:B14319" si="732">"CAMA ELECTRICA ADULTOS"</f>
        <v>CAMA ELECTRICA ADULTOS</v>
      </c>
      <c r="C14309" s="6">
        <v>5746930</v>
      </c>
      <c r="D14309" s="5" t="s">
        <v>734</v>
      </c>
      <c r="E14309" s="5" t="str">
        <f t="shared" si="731"/>
        <v>ACTISALUD- PISO 10-ALA A</v>
      </c>
      <c r="F14309" s="5"/>
      <c r="G14309" s="5"/>
    </row>
    <row r="14310" spans="1:7" ht="58.5" customHeight="1" x14ac:dyDescent="0.25">
      <c r="A14310" s="5" t="str">
        <f>"H0024161"</f>
        <v>H0024161</v>
      </c>
      <c r="B14310" s="5" t="str">
        <f t="shared" si="732"/>
        <v>CAMA ELECTRICA ADULTOS</v>
      </c>
      <c r="C14310" s="6">
        <v>5746930</v>
      </c>
      <c r="D14310" s="5" t="s">
        <v>36</v>
      </c>
      <c r="E14310" s="5" t="str">
        <f t="shared" si="731"/>
        <v>ACTISALUD- PISO 10-ALA A</v>
      </c>
      <c r="F14310" s="5"/>
      <c r="G14310" s="5"/>
    </row>
    <row r="14311" spans="1:7" ht="58.5" customHeight="1" x14ac:dyDescent="0.25">
      <c r="A14311" s="5" t="str">
        <f>"H0024162"</f>
        <v>H0024162</v>
      </c>
      <c r="B14311" s="5" t="str">
        <f t="shared" si="732"/>
        <v>CAMA ELECTRICA ADULTOS</v>
      </c>
      <c r="C14311" s="6">
        <v>5746930</v>
      </c>
      <c r="D14311" s="5" t="s">
        <v>36</v>
      </c>
      <c r="E14311" s="5" t="str">
        <f t="shared" si="731"/>
        <v>ACTISALUD- PISO 10-ALA A</v>
      </c>
      <c r="F14311" s="5"/>
      <c r="G14311" s="5"/>
    </row>
    <row r="14312" spans="1:7" ht="58.5" customHeight="1" x14ac:dyDescent="0.25">
      <c r="A14312" s="5" t="str">
        <f>"H0024164"</f>
        <v>H0024164</v>
      </c>
      <c r="B14312" s="5" t="str">
        <f t="shared" si="732"/>
        <v>CAMA ELECTRICA ADULTOS</v>
      </c>
      <c r="C14312" s="6">
        <v>5746930</v>
      </c>
      <c r="D14312" s="5" t="s">
        <v>36</v>
      </c>
      <c r="E14312" s="5" t="str">
        <f t="shared" si="731"/>
        <v>ACTISALUD- PISO 10-ALA A</v>
      </c>
      <c r="F14312" s="5"/>
      <c r="G14312" s="5"/>
    </row>
    <row r="14313" spans="1:7" ht="58.5" customHeight="1" x14ac:dyDescent="0.25">
      <c r="A14313" s="5" t="str">
        <f>"H0024165"</f>
        <v>H0024165</v>
      </c>
      <c r="B14313" s="5" t="str">
        <f t="shared" si="732"/>
        <v>CAMA ELECTRICA ADULTOS</v>
      </c>
      <c r="C14313" s="6">
        <v>5746930</v>
      </c>
      <c r="D14313" s="5" t="s">
        <v>36</v>
      </c>
      <c r="E14313" s="5" t="str">
        <f t="shared" si="731"/>
        <v>ACTISALUD- PISO 10-ALA A</v>
      </c>
      <c r="F14313" s="5"/>
      <c r="G14313" s="5"/>
    </row>
    <row r="14314" spans="1:7" ht="58.5" customHeight="1" x14ac:dyDescent="0.25">
      <c r="A14314" s="5" t="str">
        <f>"H0024166"</f>
        <v>H0024166</v>
      </c>
      <c r="B14314" s="5" t="str">
        <f t="shared" si="732"/>
        <v>CAMA ELECTRICA ADULTOS</v>
      </c>
      <c r="C14314" s="6">
        <v>5746930</v>
      </c>
      <c r="D14314" s="5" t="s">
        <v>36</v>
      </c>
      <c r="E14314" s="5" t="str">
        <f t="shared" si="731"/>
        <v>ACTISALUD- PISO 10-ALA A</v>
      </c>
      <c r="F14314" s="5"/>
      <c r="G14314" s="5"/>
    </row>
    <row r="14315" spans="1:7" ht="58.5" customHeight="1" x14ac:dyDescent="0.25">
      <c r="A14315" s="5" t="str">
        <f>"H0024167"</f>
        <v>H0024167</v>
      </c>
      <c r="B14315" s="5" t="str">
        <f t="shared" si="732"/>
        <v>CAMA ELECTRICA ADULTOS</v>
      </c>
      <c r="C14315" s="6">
        <v>5746930</v>
      </c>
      <c r="D14315" s="5" t="s">
        <v>36</v>
      </c>
      <c r="E14315" s="5" t="str">
        <f t="shared" si="731"/>
        <v>ACTISALUD- PISO 10-ALA A</v>
      </c>
      <c r="F14315" s="5"/>
      <c r="G14315" s="5"/>
    </row>
    <row r="14316" spans="1:7" ht="58.5" customHeight="1" x14ac:dyDescent="0.25">
      <c r="A14316" s="5" t="str">
        <f>"H0024170"</f>
        <v>H0024170</v>
      </c>
      <c r="B14316" s="5" t="str">
        <f t="shared" si="732"/>
        <v>CAMA ELECTRICA ADULTOS</v>
      </c>
      <c r="C14316" s="6">
        <v>5746930</v>
      </c>
      <c r="D14316" s="5" t="s">
        <v>734</v>
      </c>
      <c r="E14316" s="5" t="str">
        <f t="shared" si="731"/>
        <v>ACTISALUD- PISO 10-ALA A</v>
      </c>
      <c r="F14316" s="5"/>
      <c r="G14316" s="5"/>
    </row>
    <row r="14317" spans="1:7" ht="58.5" customHeight="1" x14ac:dyDescent="0.25">
      <c r="A14317" s="5" t="str">
        <f>"H0024171"</f>
        <v>H0024171</v>
      </c>
      <c r="B14317" s="5" t="str">
        <f t="shared" si="732"/>
        <v>CAMA ELECTRICA ADULTOS</v>
      </c>
      <c r="C14317" s="6">
        <v>5746930</v>
      </c>
      <c r="D14317" s="5" t="s">
        <v>36</v>
      </c>
      <c r="E14317" s="5" t="str">
        <f t="shared" si="731"/>
        <v>ACTISALUD- PISO 10-ALA A</v>
      </c>
      <c r="F14317" s="5"/>
      <c r="G14317" s="5"/>
    </row>
    <row r="14318" spans="1:7" ht="58.5" customHeight="1" x14ac:dyDescent="0.25">
      <c r="A14318" s="5" t="str">
        <f>"H0024172"</f>
        <v>H0024172</v>
      </c>
      <c r="B14318" s="5" t="str">
        <f t="shared" si="732"/>
        <v>CAMA ELECTRICA ADULTOS</v>
      </c>
      <c r="C14318" s="6">
        <v>5746930</v>
      </c>
      <c r="D14318" s="5" t="s">
        <v>36</v>
      </c>
      <c r="E14318" s="5" t="str">
        <f t="shared" si="731"/>
        <v>ACTISALUD- PISO 10-ALA A</v>
      </c>
      <c r="F14318" s="5"/>
      <c r="G14318" s="5"/>
    </row>
    <row r="14319" spans="1:7" ht="58.5" customHeight="1" x14ac:dyDescent="0.25">
      <c r="A14319" s="5" t="str">
        <f>"H0024173"</f>
        <v>H0024173</v>
      </c>
      <c r="B14319" s="5" t="str">
        <f t="shared" si="732"/>
        <v>CAMA ELECTRICA ADULTOS</v>
      </c>
      <c r="C14319" s="6">
        <v>5746930</v>
      </c>
      <c r="D14319" s="5" t="s">
        <v>36</v>
      </c>
      <c r="E14319" s="5" t="str">
        <f t="shared" si="731"/>
        <v>ACTISALUD- PISO 10-ALA A</v>
      </c>
      <c r="F14319" s="5"/>
      <c r="G14319" s="5"/>
    </row>
    <row r="14320" spans="1:7" ht="58.5" customHeight="1" x14ac:dyDescent="0.25">
      <c r="A14320" s="5" t="str">
        <f>"H0024209"</f>
        <v>H0024209</v>
      </c>
      <c r="B14320" s="5" t="str">
        <f>"PANTALLA LLAMADO DE ENFERMERAS 2 FILAS (PANTALLA LED 40X20 cm)"</f>
        <v>PANTALLA LLAMADO DE ENFERMERAS 2 FILAS (PANTALLA LED 40X20 cm)</v>
      </c>
      <c r="C14320" s="6">
        <v>4100000</v>
      </c>
      <c r="D14320" s="5" t="s">
        <v>36</v>
      </c>
      <c r="E14320" s="5" t="str">
        <f t="shared" si="731"/>
        <v>ACTISALUD- PISO 10-ALA A</v>
      </c>
      <c r="F14320" s="5"/>
      <c r="G14320" s="5"/>
    </row>
    <row r="14321" spans="1:7" ht="58.5" customHeight="1" x14ac:dyDescent="0.25">
      <c r="A14321" s="5" t="str">
        <f>"H0024285"</f>
        <v>H0024285</v>
      </c>
      <c r="B14321" s="5" t="str">
        <f t="shared" ref="B14321:B14334" si="733">"CAMA ELECTRICA ADULTOS"</f>
        <v>CAMA ELECTRICA ADULTOS</v>
      </c>
      <c r="C14321" s="6">
        <v>5746930</v>
      </c>
      <c r="D14321" s="5" t="s">
        <v>36</v>
      </c>
      <c r="E14321" s="5" t="str">
        <f t="shared" si="731"/>
        <v>ACTISALUD- PISO 10-ALA A</v>
      </c>
      <c r="F14321" s="5"/>
      <c r="G14321" s="5"/>
    </row>
    <row r="14322" spans="1:7" ht="58.5" customHeight="1" x14ac:dyDescent="0.25">
      <c r="A14322" s="5" t="str">
        <f>"H0024286"</f>
        <v>H0024286</v>
      </c>
      <c r="B14322" s="5" t="str">
        <f t="shared" si="733"/>
        <v>CAMA ELECTRICA ADULTOS</v>
      </c>
      <c r="C14322" s="6">
        <v>5746930</v>
      </c>
      <c r="D14322" s="5" t="s">
        <v>36</v>
      </c>
      <c r="E14322" s="5" t="str">
        <f t="shared" si="731"/>
        <v>ACTISALUD- PISO 10-ALA A</v>
      </c>
      <c r="F14322" s="5"/>
      <c r="G14322" s="5"/>
    </row>
    <row r="14323" spans="1:7" ht="58.5" customHeight="1" x14ac:dyDescent="0.25">
      <c r="A14323" s="5" t="str">
        <f>"H0024287"</f>
        <v>H0024287</v>
      </c>
      <c r="B14323" s="5" t="str">
        <f t="shared" si="733"/>
        <v>CAMA ELECTRICA ADULTOS</v>
      </c>
      <c r="C14323" s="6">
        <v>5746930</v>
      </c>
      <c r="D14323" s="5" t="s">
        <v>36</v>
      </c>
      <c r="E14323" s="5" t="str">
        <f t="shared" si="731"/>
        <v>ACTISALUD- PISO 10-ALA A</v>
      </c>
      <c r="F14323" s="5"/>
      <c r="G14323" s="5"/>
    </row>
    <row r="14324" spans="1:7" ht="58.5" customHeight="1" x14ac:dyDescent="0.25">
      <c r="A14324" s="5" t="str">
        <f>"H0024289"</f>
        <v>H0024289</v>
      </c>
      <c r="B14324" s="5" t="str">
        <f t="shared" si="733"/>
        <v>CAMA ELECTRICA ADULTOS</v>
      </c>
      <c r="C14324" s="6">
        <v>5746930</v>
      </c>
      <c r="D14324" s="5" t="s">
        <v>36</v>
      </c>
      <c r="E14324" s="5" t="str">
        <f t="shared" si="731"/>
        <v>ACTISALUD- PISO 10-ALA A</v>
      </c>
      <c r="F14324" s="5"/>
      <c r="G14324" s="5"/>
    </row>
    <row r="14325" spans="1:7" ht="58.5" customHeight="1" x14ac:dyDescent="0.25">
      <c r="A14325" s="5" t="str">
        <f>"H0024290"</f>
        <v>H0024290</v>
      </c>
      <c r="B14325" s="5" t="str">
        <f t="shared" si="733"/>
        <v>CAMA ELECTRICA ADULTOS</v>
      </c>
      <c r="C14325" s="6">
        <v>5746930</v>
      </c>
      <c r="D14325" s="5" t="s">
        <v>36</v>
      </c>
      <c r="E14325" s="5" t="str">
        <f t="shared" si="731"/>
        <v>ACTISALUD- PISO 10-ALA A</v>
      </c>
      <c r="F14325" s="5"/>
      <c r="G14325" s="5"/>
    </row>
    <row r="14326" spans="1:7" ht="58.5" customHeight="1" x14ac:dyDescent="0.25">
      <c r="A14326" s="5" t="str">
        <f>"H0024291"</f>
        <v>H0024291</v>
      </c>
      <c r="B14326" s="5" t="str">
        <f t="shared" si="733"/>
        <v>CAMA ELECTRICA ADULTOS</v>
      </c>
      <c r="C14326" s="6">
        <v>5746930</v>
      </c>
      <c r="D14326" s="5" t="s">
        <v>36</v>
      </c>
      <c r="E14326" s="5" t="str">
        <f t="shared" si="731"/>
        <v>ACTISALUD- PISO 10-ALA A</v>
      </c>
      <c r="F14326" s="5"/>
      <c r="G14326" s="5"/>
    </row>
    <row r="14327" spans="1:7" ht="58.5" customHeight="1" x14ac:dyDescent="0.25">
      <c r="A14327" s="5" t="str">
        <f>"H0024292"</f>
        <v>H0024292</v>
      </c>
      <c r="B14327" s="5" t="str">
        <f t="shared" si="733"/>
        <v>CAMA ELECTRICA ADULTOS</v>
      </c>
      <c r="C14327" s="6">
        <v>5746930</v>
      </c>
      <c r="D14327" s="5" t="s">
        <v>36</v>
      </c>
      <c r="E14327" s="5" t="str">
        <f t="shared" si="731"/>
        <v>ACTISALUD- PISO 10-ALA A</v>
      </c>
      <c r="F14327" s="5"/>
      <c r="G14327" s="5"/>
    </row>
    <row r="14328" spans="1:7" ht="58.5" customHeight="1" x14ac:dyDescent="0.25">
      <c r="A14328" s="5" t="str">
        <f>"H0024293"</f>
        <v>H0024293</v>
      </c>
      <c r="B14328" s="5" t="str">
        <f t="shared" si="733"/>
        <v>CAMA ELECTRICA ADULTOS</v>
      </c>
      <c r="C14328" s="6">
        <v>5746930</v>
      </c>
      <c r="D14328" s="5" t="s">
        <v>36</v>
      </c>
      <c r="E14328" s="5" t="str">
        <f t="shared" si="731"/>
        <v>ACTISALUD- PISO 10-ALA A</v>
      </c>
      <c r="F14328" s="5"/>
      <c r="G14328" s="5"/>
    </row>
    <row r="14329" spans="1:7" ht="58.5" customHeight="1" x14ac:dyDescent="0.25">
      <c r="A14329" s="5" t="str">
        <f>"H0024294"</f>
        <v>H0024294</v>
      </c>
      <c r="B14329" s="5" t="str">
        <f t="shared" si="733"/>
        <v>CAMA ELECTRICA ADULTOS</v>
      </c>
      <c r="C14329" s="6">
        <v>5746930</v>
      </c>
      <c r="D14329" s="5" t="s">
        <v>36</v>
      </c>
      <c r="E14329" s="5" t="str">
        <f t="shared" si="731"/>
        <v>ACTISALUD- PISO 10-ALA A</v>
      </c>
      <c r="F14329" s="5"/>
      <c r="G14329" s="5"/>
    </row>
    <row r="14330" spans="1:7" ht="58.5" customHeight="1" x14ac:dyDescent="0.25">
      <c r="A14330" s="5" t="str">
        <f>"H0024295"</f>
        <v>H0024295</v>
      </c>
      <c r="B14330" s="5" t="str">
        <f t="shared" si="733"/>
        <v>CAMA ELECTRICA ADULTOS</v>
      </c>
      <c r="C14330" s="6">
        <v>5746930</v>
      </c>
      <c r="D14330" s="5" t="s">
        <v>36</v>
      </c>
      <c r="E14330" s="5" t="str">
        <f t="shared" si="731"/>
        <v>ACTISALUD- PISO 10-ALA A</v>
      </c>
      <c r="F14330" s="5"/>
      <c r="G14330" s="5"/>
    </row>
    <row r="14331" spans="1:7" ht="58.5" customHeight="1" x14ac:dyDescent="0.25">
      <c r="A14331" s="5" t="str">
        <f>"H0024296"</f>
        <v>H0024296</v>
      </c>
      <c r="B14331" s="5" t="str">
        <f t="shared" si="733"/>
        <v>CAMA ELECTRICA ADULTOS</v>
      </c>
      <c r="C14331" s="6">
        <v>5746930</v>
      </c>
      <c r="D14331" s="5" t="s">
        <v>36</v>
      </c>
      <c r="E14331" s="5" t="str">
        <f t="shared" si="731"/>
        <v>ACTISALUD- PISO 10-ALA A</v>
      </c>
      <c r="F14331" s="5"/>
      <c r="G14331" s="5"/>
    </row>
    <row r="14332" spans="1:7" ht="58.5" customHeight="1" x14ac:dyDescent="0.25">
      <c r="A14332" s="5" t="str">
        <f>"H0024297"</f>
        <v>H0024297</v>
      </c>
      <c r="B14332" s="5" t="str">
        <f t="shared" si="733"/>
        <v>CAMA ELECTRICA ADULTOS</v>
      </c>
      <c r="C14332" s="6">
        <v>5746930</v>
      </c>
      <c r="D14332" s="5" t="s">
        <v>36</v>
      </c>
      <c r="E14332" s="5" t="str">
        <f t="shared" si="731"/>
        <v>ACTISALUD- PISO 10-ALA A</v>
      </c>
      <c r="F14332" s="5"/>
      <c r="G14332" s="5"/>
    </row>
    <row r="14333" spans="1:7" ht="58.5" customHeight="1" x14ac:dyDescent="0.25">
      <c r="A14333" s="5" t="str">
        <f>"H0024298"</f>
        <v>H0024298</v>
      </c>
      <c r="B14333" s="5" t="str">
        <f t="shared" si="733"/>
        <v>CAMA ELECTRICA ADULTOS</v>
      </c>
      <c r="C14333" s="6">
        <v>5746930</v>
      </c>
      <c r="D14333" s="5" t="s">
        <v>36</v>
      </c>
      <c r="E14333" s="5" t="str">
        <f t="shared" si="731"/>
        <v>ACTISALUD- PISO 10-ALA A</v>
      </c>
      <c r="F14333" s="5"/>
      <c r="G14333" s="5"/>
    </row>
    <row r="14334" spans="1:7" ht="58.5" customHeight="1" x14ac:dyDescent="0.25">
      <c r="A14334" s="5" t="str">
        <f>"H0024314"</f>
        <v>H0024314</v>
      </c>
      <c r="B14334" s="5" t="str">
        <f t="shared" si="733"/>
        <v>CAMA ELECTRICA ADULTOS</v>
      </c>
      <c r="C14334" s="6">
        <v>5746930</v>
      </c>
      <c r="D14334" s="5" t="s">
        <v>36</v>
      </c>
      <c r="E14334" s="5" t="str">
        <f t="shared" si="731"/>
        <v>ACTISALUD- PISO 10-ALA A</v>
      </c>
      <c r="F14334" s="5"/>
      <c r="G14334" s="5"/>
    </row>
    <row r="14335" spans="1:7" ht="58.5" customHeight="1" x14ac:dyDescent="0.25">
      <c r="A14335" s="5" t="str">
        <f>"H0024333"</f>
        <v>H0024333</v>
      </c>
      <c r="B14335" s="5" t="str">
        <f>"CAMA BARIATRICA"</f>
        <v>CAMA BARIATRICA</v>
      </c>
      <c r="C14335" s="6">
        <v>13178528</v>
      </c>
      <c r="D14335" s="5" t="s">
        <v>36</v>
      </c>
      <c r="E14335" s="5" t="str">
        <f t="shared" si="731"/>
        <v>ACTISALUD- PISO 10-ALA A</v>
      </c>
      <c r="F14335" s="5"/>
      <c r="G14335" s="5"/>
    </row>
    <row r="14336" spans="1:7" ht="58.5" customHeight="1" x14ac:dyDescent="0.25">
      <c r="A14336" s="5" t="str">
        <f>"H0024461"</f>
        <v>H0024461</v>
      </c>
      <c r="B14336" s="5" t="str">
        <f>"SILLA DE RUEDAS BARIATRICA"</f>
        <v>SILLA DE RUEDAS BARIATRICA</v>
      </c>
      <c r="C14336" s="6">
        <v>1200800</v>
      </c>
      <c r="D14336" s="5" t="s">
        <v>36</v>
      </c>
      <c r="E14336" s="5" t="str">
        <f t="shared" si="731"/>
        <v>ACTISALUD- PISO 10-ALA A</v>
      </c>
      <c r="F14336" s="5"/>
      <c r="G14336" s="5"/>
    </row>
    <row r="14337" spans="1:7" ht="58.5" customHeight="1" x14ac:dyDescent="0.25">
      <c r="A14337" s="5" t="str">
        <f>"H0024532"</f>
        <v>H0024532</v>
      </c>
      <c r="B1433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4337" s="6">
        <v>2600000</v>
      </c>
      <c r="D14337" s="5" t="s">
        <v>36</v>
      </c>
      <c r="E14337" s="5" t="str">
        <f t="shared" si="731"/>
        <v>ACTISALUD- PISO 10-ALA A</v>
      </c>
      <c r="F14337" s="5"/>
      <c r="G14337" s="5"/>
    </row>
    <row r="14338" spans="1:7" ht="58.5" customHeight="1" x14ac:dyDescent="0.25">
      <c r="A14338" s="5" t="str">
        <f>"H0024540"</f>
        <v>H0024540</v>
      </c>
      <c r="B1433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4338" s="6">
        <v>2600000</v>
      </c>
      <c r="D14338" s="5" t="s">
        <v>36</v>
      </c>
      <c r="E14338" s="5" t="str">
        <f t="shared" si="731"/>
        <v>ACTISALUD- PISO 10-ALA A</v>
      </c>
      <c r="F14338" s="5"/>
      <c r="G14338" s="5"/>
    </row>
    <row r="14339" spans="1:7" ht="58.5" customHeight="1" x14ac:dyDescent="0.25">
      <c r="A14339" s="5" t="str">
        <f>"H0024586"</f>
        <v>H0024586</v>
      </c>
      <c r="B1433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4339" s="6">
        <v>2600000</v>
      </c>
      <c r="D14339" s="5" t="s">
        <v>36</v>
      </c>
      <c r="E14339" s="5" t="str">
        <f t="shared" si="731"/>
        <v>ACTISALUD- PISO 10-ALA A</v>
      </c>
      <c r="F14339" s="5"/>
      <c r="G14339" s="5"/>
    </row>
    <row r="14340" spans="1:7" ht="58.5" customHeight="1" x14ac:dyDescent="0.25">
      <c r="A14340" s="5" t="str">
        <f>"H0024614"</f>
        <v>H0024614</v>
      </c>
      <c r="B14340"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14340" s="6">
        <v>2050000</v>
      </c>
      <c r="D14340" s="5" t="s">
        <v>36</v>
      </c>
      <c r="E14340" s="5" t="str">
        <f t="shared" si="731"/>
        <v>ACTISALUD- PISO 10-ALA A</v>
      </c>
      <c r="F14340" s="5"/>
      <c r="G14340" s="5"/>
    </row>
    <row r="14341" spans="1:7" ht="58.5" customHeight="1" x14ac:dyDescent="0.25">
      <c r="A14341" s="5" t="str">
        <f>"H0024622"</f>
        <v>H0024622</v>
      </c>
      <c r="B14341"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14341" s="6">
        <v>2050000</v>
      </c>
      <c r="D14341" s="5" t="s">
        <v>36</v>
      </c>
      <c r="E14341" s="5" t="str">
        <f t="shared" si="731"/>
        <v>ACTISALUD- PISO 10-ALA A</v>
      </c>
      <c r="F14341" s="5"/>
      <c r="G14341" s="5"/>
    </row>
    <row r="14342" spans="1:7" ht="58.5" customHeight="1" x14ac:dyDescent="0.25">
      <c r="A14342" s="5" t="str">
        <f>"H0025169"</f>
        <v>H0025169</v>
      </c>
      <c r="B14342" s="5" t="s">
        <v>65</v>
      </c>
      <c r="C14342" s="6">
        <v>115394.48</v>
      </c>
      <c r="D14342" s="5" t="s">
        <v>10</v>
      </c>
      <c r="E14342" s="5" t="str">
        <f t="shared" si="731"/>
        <v>ACTISALUD- PISO 10-ALA A</v>
      </c>
      <c r="F14342" s="5"/>
      <c r="G14342" s="5"/>
    </row>
    <row r="14343" spans="1:7" ht="58.5" customHeight="1" x14ac:dyDescent="0.25">
      <c r="A14343" s="5" t="str">
        <f>"H0025208"</f>
        <v>H0025208</v>
      </c>
      <c r="B14343" s="5" t="s">
        <v>65</v>
      </c>
      <c r="C14343" s="6">
        <v>115394.48</v>
      </c>
      <c r="D14343" s="5" t="s">
        <v>10</v>
      </c>
      <c r="E14343" s="5" t="str">
        <f t="shared" si="731"/>
        <v>ACTISALUD- PISO 10-ALA A</v>
      </c>
      <c r="F14343" s="5"/>
      <c r="G14343" s="5"/>
    </row>
    <row r="14344" spans="1:7" ht="58.5" customHeight="1" x14ac:dyDescent="0.25">
      <c r="A14344" s="5" t="str">
        <f>"H0025370"</f>
        <v>H0025370</v>
      </c>
      <c r="B1434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344" s="6">
        <v>312156</v>
      </c>
      <c r="D14344" s="5" t="s">
        <v>10</v>
      </c>
      <c r="E14344" s="5" t="str">
        <f t="shared" si="731"/>
        <v>ACTISALUD- PISO 10-ALA A</v>
      </c>
      <c r="F14344" s="5"/>
      <c r="G14344" s="5"/>
    </row>
    <row r="14345" spans="1:7" ht="58.5" customHeight="1" x14ac:dyDescent="0.25">
      <c r="A14345" s="5" t="str">
        <f>"H0025910"</f>
        <v>H0025910</v>
      </c>
      <c r="B14345" s="5" t="str">
        <f>"COMPUTADOR TODO EN UNO LENOVO"</f>
        <v>COMPUTADOR TODO EN UNO LENOVO</v>
      </c>
      <c r="C14345" s="6">
        <v>3270230</v>
      </c>
      <c r="D14345" s="5" t="s">
        <v>242</v>
      </c>
      <c r="E14345" s="5" t="str">
        <f t="shared" si="731"/>
        <v>ACTISALUD- PISO 10-ALA A</v>
      </c>
      <c r="F14345" s="5"/>
      <c r="G14345" s="5"/>
    </row>
    <row r="14346" spans="1:7" ht="58.5" customHeight="1" x14ac:dyDescent="0.25">
      <c r="A14346" s="5" t="str">
        <f>"H0026004"</f>
        <v>H0026004</v>
      </c>
      <c r="B14346" s="5" t="str">
        <f>"SILLA DE RUEDAS"</f>
        <v>SILLA DE RUEDAS</v>
      </c>
      <c r="C14346" s="6">
        <v>280000</v>
      </c>
      <c r="D14346" s="5" t="s">
        <v>77</v>
      </c>
      <c r="E14346" s="5" t="str">
        <f t="shared" si="731"/>
        <v>ACTISALUD- PISO 10-ALA A</v>
      </c>
      <c r="F14346" s="5"/>
      <c r="G14346" s="5"/>
    </row>
    <row r="14347" spans="1:7" ht="58.5" customHeight="1" x14ac:dyDescent="0.25">
      <c r="A14347" s="5" t="str">
        <f>"H0026034"</f>
        <v>H0026034</v>
      </c>
      <c r="B14347" s="5" t="str">
        <f>"SILLA DE RUEDAS"</f>
        <v>SILLA DE RUEDAS</v>
      </c>
      <c r="C14347" s="6">
        <v>280000</v>
      </c>
      <c r="D14347" s="5" t="s">
        <v>77</v>
      </c>
      <c r="E14347" s="5" t="str">
        <f t="shared" si="731"/>
        <v>ACTISALUD- PISO 10-ALA A</v>
      </c>
      <c r="F14347" s="5"/>
      <c r="G14347" s="5"/>
    </row>
    <row r="14348" spans="1:7" ht="58.5" customHeight="1" x14ac:dyDescent="0.25">
      <c r="A14348" s="5" t="str">
        <f>"H0026039"</f>
        <v>H0026039</v>
      </c>
      <c r="B14348" s="5" t="str">
        <f>"SILLA DE RUEDAS"</f>
        <v>SILLA DE RUEDAS</v>
      </c>
      <c r="C14348" s="6">
        <v>280000</v>
      </c>
      <c r="D14348" s="5" t="s">
        <v>77</v>
      </c>
      <c r="E14348" s="5" t="str">
        <f t="shared" si="731"/>
        <v>ACTISALUD- PISO 10-ALA A</v>
      </c>
      <c r="F14348" s="5"/>
      <c r="G14348" s="5"/>
    </row>
    <row r="14349" spans="1:7" ht="58.5" customHeight="1" x14ac:dyDescent="0.25">
      <c r="A14349" s="5" t="str">
        <f>"H0026052"</f>
        <v>H0026052</v>
      </c>
      <c r="B14349" s="5" t="str">
        <f>"SILLA DE RUEDAS"</f>
        <v>SILLA DE RUEDAS</v>
      </c>
      <c r="C14349" s="6">
        <v>280000</v>
      </c>
      <c r="D14349" s="5" t="s">
        <v>77</v>
      </c>
      <c r="E14349" s="5" t="str">
        <f t="shared" si="731"/>
        <v>ACTISALUD- PISO 10-ALA A</v>
      </c>
      <c r="F14349" s="5"/>
      <c r="G14349" s="5"/>
    </row>
    <row r="14350" spans="1:7" ht="58.5" customHeight="1" x14ac:dyDescent="0.25">
      <c r="A14350" s="5" t="str">
        <f>"H0026054"</f>
        <v>H0026054</v>
      </c>
      <c r="B14350" s="5" t="str">
        <f>"SILLA DE RUEDAS"</f>
        <v>SILLA DE RUEDAS</v>
      </c>
      <c r="C14350" s="6">
        <v>280000</v>
      </c>
      <c r="D14350" s="5" t="s">
        <v>77</v>
      </c>
      <c r="E14350" s="5" t="str">
        <f t="shared" si="731"/>
        <v>ACTISALUD- PISO 10-ALA A</v>
      </c>
      <c r="F14350" s="5"/>
      <c r="G14350" s="5"/>
    </row>
    <row r="14351" spans="1:7" ht="58.5" customHeight="1" x14ac:dyDescent="0.25">
      <c r="A14351" s="5" t="str">
        <f>"H0026871"</f>
        <v>H0026871</v>
      </c>
      <c r="B14351" s="5" t="str">
        <f>"BOMBA DE INFUSION"</f>
        <v>BOMBA DE INFUSION</v>
      </c>
      <c r="C14351" s="6">
        <v>800000</v>
      </c>
      <c r="D14351" s="5" t="s">
        <v>79</v>
      </c>
      <c r="E14351" s="5" t="str">
        <f t="shared" si="731"/>
        <v>ACTISALUD- PISO 10-ALA A</v>
      </c>
      <c r="F14351" s="5"/>
      <c r="G14351" s="5"/>
    </row>
    <row r="14352" spans="1:7" ht="58.5" customHeight="1" x14ac:dyDescent="0.25">
      <c r="A14352" s="5" t="str">
        <f>"H0027056"</f>
        <v>H0027056</v>
      </c>
      <c r="B14352" s="5" t="str">
        <f>"BOMBA DE INFUSION"</f>
        <v>BOMBA DE INFUSION</v>
      </c>
      <c r="C14352" s="6">
        <v>1200000</v>
      </c>
      <c r="D14352" s="5" t="s">
        <v>81</v>
      </c>
      <c r="E14352" s="5" t="str">
        <f t="shared" si="731"/>
        <v>ACTISALUD- PISO 10-ALA A</v>
      </c>
      <c r="F14352" s="5"/>
      <c r="G14352" s="5"/>
    </row>
    <row r="14353" spans="1:7" ht="58.5" customHeight="1" x14ac:dyDescent="0.25">
      <c r="A14353" s="5" t="str">
        <f>"H0027276"</f>
        <v>H0027276</v>
      </c>
      <c r="B1435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4353" s="6">
        <v>2641800</v>
      </c>
      <c r="D14353" s="5" t="s">
        <v>38</v>
      </c>
      <c r="E14353" s="5" t="str">
        <f t="shared" si="731"/>
        <v>ACTISALUD- PISO 10-ALA A</v>
      </c>
      <c r="F14353" s="5"/>
      <c r="G14353" s="5"/>
    </row>
    <row r="14354" spans="1:7" ht="58.5" customHeight="1" x14ac:dyDescent="0.25">
      <c r="A14354" s="5" t="str">
        <f>"H0027329"</f>
        <v>H0027329</v>
      </c>
      <c r="B14354" s="5" t="str">
        <f>"ELECTROCARDIOGRAFO"</f>
        <v>ELECTROCARDIOGRAFO</v>
      </c>
      <c r="C14354" s="6">
        <v>3011295</v>
      </c>
      <c r="D14354" s="5" t="s">
        <v>355</v>
      </c>
      <c r="E14354" s="5" t="str">
        <f t="shared" si="731"/>
        <v>ACTISALUD- PISO 10-ALA A</v>
      </c>
      <c r="F14354" s="5"/>
      <c r="G14354" s="5" t="str">
        <f>"BeneHeart R3"</f>
        <v>BeneHeart R3</v>
      </c>
    </row>
    <row r="14355" spans="1:7" ht="58.5" customHeight="1" x14ac:dyDescent="0.25">
      <c r="A14355" s="5" t="str">
        <f>"H0027365"</f>
        <v>H0027365</v>
      </c>
      <c r="B14355" s="5" t="str">
        <f t="shared" ref="B14355:B14360" si="734">"LECTOR DE HUELLAS DIGITALES"</f>
        <v>LECTOR DE HUELLAS DIGITALES</v>
      </c>
      <c r="C14355" s="6">
        <v>234000.41</v>
      </c>
      <c r="D14355" s="5" t="s">
        <v>83</v>
      </c>
      <c r="E14355" s="5" t="str">
        <f t="shared" si="731"/>
        <v>ACTISALUD- PISO 10-ALA A</v>
      </c>
      <c r="F14355" s="5"/>
      <c r="G14355" s="5"/>
    </row>
    <row r="14356" spans="1:7" ht="58.5" customHeight="1" x14ac:dyDescent="0.25">
      <c r="A14356" s="5" t="str">
        <f>"H0027373"</f>
        <v>H0027373</v>
      </c>
      <c r="B14356" s="5" t="str">
        <f t="shared" si="734"/>
        <v>LECTOR DE HUELLAS DIGITALES</v>
      </c>
      <c r="C14356" s="6">
        <v>234000.41</v>
      </c>
      <c r="D14356" s="5" t="s">
        <v>83</v>
      </c>
      <c r="E14356" s="5" t="str">
        <f t="shared" si="731"/>
        <v>ACTISALUD- PISO 10-ALA A</v>
      </c>
      <c r="F14356" s="5"/>
      <c r="G14356" s="5"/>
    </row>
    <row r="14357" spans="1:7" ht="58.5" customHeight="1" x14ac:dyDescent="0.25">
      <c r="A14357" s="5" t="str">
        <f>"H0027374"</f>
        <v>H0027374</v>
      </c>
      <c r="B14357" s="5" t="str">
        <f t="shared" si="734"/>
        <v>LECTOR DE HUELLAS DIGITALES</v>
      </c>
      <c r="C14357" s="6">
        <v>234000.41</v>
      </c>
      <c r="D14357" s="5" t="s">
        <v>83</v>
      </c>
      <c r="E14357" s="5" t="str">
        <f t="shared" si="731"/>
        <v>ACTISALUD- PISO 10-ALA A</v>
      </c>
      <c r="F14357" s="5"/>
      <c r="G14357" s="5"/>
    </row>
    <row r="14358" spans="1:7" ht="58.5" customHeight="1" x14ac:dyDescent="0.25">
      <c r="A14358" s="5" t="str">
        <f>"H0027375"</f>
        <v>H0027375</v>
      </c>
      <c r="B14358" s="5" t="str">
        <f t="shared" si="734"/>
        <v>LECTOR DE HUELLAS DIGITALES</v>
      </c>
      <c r="C14358" s="6">
        <v>234000.41</v>
      </c>
      <c r="D14358" s="5" t="s">
        <v>83</v>
      </c>
      <c r="E14358" s="5" t="str">
        <f t="shared" si="731"/>
        <v>ACTISALUD- PISO 10-ALA A</v>
      </c>
      <c r="F14358" s="5"/>
      <c r="G14358" s="5"/>
    </row>
    <row r="14359" spans="1:7" ht="58.5" customHeight="1" x14ac:dyDescent="0.25">
      <c r="A14359" s="5" t="str">
        <f>"H0027433"</f>
        <v>H0027433</v>
      </c>
      <c r="B14359" s="5" t="str">
        <f t="shared" si="734"/>
        <v>LECTOR DE HUELLAS DIGITALES</v>
      </c>
      <c r="C14359" s="6">
        <v>234000.41</v>
      </c>
      <c r="D14359" s="5" t="s">
        <v>83</v>
      </c>
      <c r="E14359" s="5" t="str">
        <f t="shared" si="731"/>
        <v>ACTISALUD- PISO 10-ALA A</v>
      </c>
      <c r="F14359" s="5"/>
      <c r="G14359" s="5"/>
    </row>
    <row r="14360" spans="1:7" ht="58.5" customHeight="1" x14ac:dyDescent="0.25">
      <c r="A14360" s="5" t="str">
        <f>"H0027550"</f>
        <v>H0027550</v>
      </c>
      <c r="B14360" s="5" t="str">
        <f t="shared" si="734"/>
        <v>LECTOR DE HUELLAS DIGITALES</v>
      </c>
      <c r="C14360" s="6">
        <v>234000.41</v>
      </c>
      <c r="D14360" s="5" t="s">
        <v>83</v>
      </c>
      <c r="E14360" s="5" t="str">
        <f t="shared" si="731"/>
        <v>ACTISALUD- PISO 10-ALA A</v>
      </c>
      <c r="F14360" s="5"/>
      <c r="G14360" s="5"/>
    </row>
    <row r="14361" spans="1:7" ht="58.5" customHeight="1" x14ac:dyDescent="0.25">
      <c r="A14361" s="5" t="str">
        <f>"H0028367"</f>
        <v>H0028367</v>
      </c>
      <c r="B14361" s="5" t="str">
        <f>"ELECTROCARDIOGRAFO"</f>
        <v>ELECTROCARDIOGRAFO</v>
      </c>
      <c r="C14361" s="6">
        <v>3011295000</v>
      </c>
      <c r="D14361" s="5" t="s">
        <v>464</v>
      </c>
      <c r="E14361" s="5" t="str">
        <f t="shared" si="731"/>
        <v>ACTISALUD- PISO 10-ALA A</v>
      </c>
      <c r="F14361" s="5"/>
      <c r="G14361" s="5" t="str">
        <f>"BENEHEART R3"</f>
        <v>BENEHEART R3</v>
      </c>
    </row>
    <row r="14362" spans="1:7" ht="58.5" customHeight="1" x14ac:dyDescent="0.25">
      <c r="A14362" s="5" t="str">
        <f>"H0028435"</f>
        <v>H0028435</v>
      </c>
      <c r="B14362" s="5" t="str">
        <f>"SILLA RECLINOMATICA"</f>
        <v>SILLA RECLINOMATICA</v>
      </c>
      <c r="C14362" s="6">
        <v>900000</v>
      </c>
      <c r="D14362" s="5" t="s">
        <v>246</v>
      </c>
      <c r="E14362" s="5" t="str">
        <f t="shared" si="731"/>
        <v>ACTISALUD- PISO 10-ALA A</v>
      </c>
      <c r="F14362" s="5"/>
      <c r="G14362" s="5"/>
    </row>
    <row r="14363" spans="1:7" ht="58.5" customHeight="1" x14ac:dyDescent="0.25">
      <c r="A14363" s="5" t="str">
        <f>"H0028438"</f>
        <v>H0028438</v>
      </c>
      <c r="B14363" s="5" t="str">
        <f>"SILLA RECLINOMATICA"</f>
        <v>SILLA RECLINOMATICA</v>
      </c>
      <c r="C14363" s="6">
        <v>900000</v>
      </c>
      <c r="D14363" s="5" t="s">
        <v>246</v>
      </c>
      <c r="E14363" s="5" t="str">
        <f t="shared" si="731"/>
        <v>ACTISALUD- PISO 10-ALA A</v>
      </c>
      <c r="F14363" s="5"/>
      <c r="G14363" s="5"/>
    </row>
    <row r="14364" spans="1:7" ht="58.5" customHeight="1" x14ac:dyDescent="0.25">
      <c r="A14364" s="5" t="str">
        <f>"H0028865"</f>
        <v>H0028865</v>
      </c>
      <c r="B14364" s="5" t="str">
        <f>"SILLA HERGONOMICA CON SISTEMA HIDRAULICO"</f>
        <v>SILLA HERGONOMICA CON SISTEMA HIDRAULICO</v>
      </c>
      <c r="C14364" s="6">
        <v>174900</v>
      </c>
      <c r="D14364" s="5" t="s">
        <v>40</v>
      </c>
      <c r="E14364" s="5" t="str">
        <f t="shared" si="731"/>
        <v>ACTISALUD- PISO 10-ALA A</v>
      </c>
      <c r="F14364" s="5"/>
      <c r="G14364" s="5"/>
    </row>
    <row r="14365" spans="1:7" ht="58.5" customHeight="1" x14ac:dyDescent="0.25">
      <c r="A14365" s="5" t="str">
        <f>"H0028902"</f>
        <v>H0028902</v>
      </c>
      <c r="B14365" s="5" t="str">
        <f>"SILLA HERGONOMICA CON SISTEMA HIDRAULICO"</f>
        <v>SILLA HERGONOMICA CON SISTEMA HIDRAULICO</v>
      </c>
      <c r="C14365" s="6">
        <v>174900</v>
      </c>
      <c r="D14365" s="5" t="s">
        <v>40</v>
      </c>
      <c r="E14365" s="5" t="str">
        <f t="shared" si="731"/>
        <v>ACTISALUD- PISO 10-ALA A</v>
      </c>
      <c r="F14365" s="5"/>
      <c r="G14365" s="5"/>
    </row>
    <row r="14366" spans="1:7" ht="58.5" customHeight="1" x14ac:dyDescent="0.25">
      <c r="A14366" s="5" t="str">
        <f>"H0028914"</f>
        <v>H0028914</v>
      </c>
      <c r="B14366" s="5" t="str">
        <f>"SILLA HERGONOMICA CON SISTEMA HIDRAULICO"</f>
        <v>SILLA HERGONOMICA CON SISTEMA HIDRAULICO</v>
      </c>
      <c r="C14366" s="6">
        <v>174900</v>
      </c>
      <c r="D14366" s="5" t="s">
        <v>40</v>
      </c>
      <c r="E14366" s="5" t="str">
        <f t="shared" ref="E14366:E14429" si="735">"ACTISALUD- PISO 10-ALA A"</f>
        <v>ACTISALUD- PISO 10-ALA A</v>
      </c>
      <c r="F14366" s="5"/>
      <c r="G14366" s="5"/>
    </row>
    <row r="14367" spans="1:7" ht="58.5" customHeight="1" x14ac:dyDescent="0.25">
      <c r="A14367" s="5" t="str">
        <f>"H0028918"</f>
        <v>H0028918</v>
      </c>
      <c r="B14367" s="5" t="str">
        <f>"SILLA HERGONOMICA CON SISTEMA HIDRAULICO"</f>
        <v>SILLA HERGONOMICA CON SISTEMA HIDRAULICO</v>
      </c>
      <c r="C14367" s="6">
        <v>174900</v>
      </c>
      <c r="D14367" s="5" t="s">
        <v>40</v>
      </c>
      <c r="E14367" s="5" t="str">
        <f t="shared" si="735"/>
        <v>ACTISALUD- PISO 10-ALA A</v>
      </c>
      <c r="F14367" s="5"/>
      <c r="G14367" s="5"/>
    </row>
    <row r="14368" spans="1:7" ht="58.5" customHeight="1" x14ac:dyDescent="0.25">
      <c r="A14368" s="5" t="str">
        <f>"H0029193"</f>
        <v>H0029193</v>
      </c>
      <c r="B14368" s="5" t="str">
        <f>"MONITOR DE SIGNOS VITALES"</f>
        <v>MONITOR DE SIGNOS VITALES</v>
      </c>
      <c r="C14368" s="6">
        <v>5950000</v>
      </c>
      <c r="D14368" s="5" t="s">
        <v>13</v>
      </c>
      <c r="E14368" s="5" t="str">
        <f t="shared" si="735"/>
        <v>ACTISALUD- PISO 10-ALA A</v>
      </c>
      <c r="F14368" s="5"/>
      <c r="G14368" s="5"/>
    </row>
    <row r="14369" spans="1:7" ht="58.5" customHeight="1" x14ac:dyDescent="0.25">
      <c r="A14369" s="5" t="str">
        <f>"H0029214"</f>
        <v>H0029214</v>
      </c>
      <c r="B14369" s="5" t="str">
        <f>"CARRO DE TRANSPORTE UNIVERSAL PARA ELECTROBISTURI/ ELECTROCARDIOGRAFO"</f>
        <v>CARRO DE TRANSPORTE UNIVERSAL PARA ELECTROBISTURI/ ELECTROCARDIOGRAFO</v>
      </c>
      <c r="C14369" s="6">
        <v>902500.83</v>
      </c>
      <c r="D14369" s="5" t="s">
        <v>223</v>
      </c>
      <c r="E14369" s="5" t="str">
        <f t="shared" si="735"/>
        <v>ACTISALUD- PISO 10-ALA A</v>
      </c>
      <c r="F14369" s="5"/>
      <c r="G14369" s="5"/>
    </row>
    <row r="14370" spans="1:7" ht="58.5" customHeight="1" x14ac:dyDescent="0.25">
      <c r="A14370" s="5" t="str">
        <f>"H0029480"</f>
        <v>H0029480</v>
      </c>
      <c r="B14370" s="5" t="str">
        <f>"LECTOR DE HUELLAS DIGITALES"</f>
        <v>LECTOR DE HUELLAS DIGITALES</v>
      </c>
      <c r="C14370" s="6">
        <v>309400</v>
      </c>
      <c r="D14370" s="5" t="s">
        <v>14</v>
      </c>
      <c r="E14370" s="5" t="str">
        <f t="shared" si="735"/>
        <v>ACTISALUD- PISO 10-ALA A</v>
      </c>
      <c r="F14370" s="5"/>
      <c r="G14370" s="5"/>
    </row>
    <row r="14371" spans="1:7" ht="58.5" customHeight="1" x14ac:dyDescent="0.25">
      <c r="A14371" s="5" t="str">
        <f>"H0029506"</f>
        <v>H0029506</v>
      </c>
      <c r="B1437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371" s="6">
        <v>257040</v>
      </c>
      <c r="D14371" s="5" t="s">
        <v>14</v>
      </c>
      <c r="E14371" s="5" t="str">
        <f t="shared" si="735"/>
        <v>ACTISALUD- PISO 10-ALA A</v>
      </c>
      <c r="F14371" s="5"/>
      <c r="G14371" s="5"/>
    </row>
    <row r="14372" spans="1:7" ht="58.5" customHeight="1" x14ac:dyDescent="0.25">
      <c r="A14372" s="5" t="str">
        <f>"H0029510"</f>
        <v>H0029510</v>
      </c>
      <c r="B1437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4372" s="6">
        <v>257040</v>
      </c>
      <c r="D14372" s="5" t="s">
        <v>14</v>
      </c>
      <c r="E14372" s="5" t="str">
        <f t="shared" si="735"/>
        <v>ACTISALUD- PISO 10-ALA A</v>
      </c>
      <c r="F14372" s="5"/>
      <c r="G14372" s="5"/>
    </row>
    <row r="14373" spans="1:7" ht="58.5" customHeight="1" x14ac:dyDescent="0.25">
      <c r="A14373" s="5" t="str">
        <f>"H0029527"</f>
        <v>H0029527</v>
      </c>
      <c r="B14373" s="5" t="str">
        <f>"MONITOR LED"</f>
        <v>MONITOR LED</v>
      </c>
      <c r="C14373" s="6">
        <v>283220</v>
      </c>
      <c r="D14373" s="5" t="s">
        <v>14</v>
      </c>
      <c r="E14373" s="5" t="str">
        <f t="shared" si="735"/>
        <v>ACTISALUD- PISO 10-ALA A</v>
      </c>
      <c r="F14373" s="5"/>
      <c r="G14373" s="5"/>
    </row>
    <row r="14374" spans="1:7" ht="58.5" customHeight="1" x14ac:dyDescent="0.25">
      <c r="A14374" s="5" t="str">
        <f>"H0029767"</f>
        <v>H0029767</v>
      </c>
      <c r="B14374" s="5" t="s">
        <v>96</v>
      </c>
      <c r="C14374" s="6">
        <v>169000.22</v>
      </c>
      <c r="D14374" s="5" t="s">
        <v>93</v>
      </c>
      <c r="E14374" s="5" t="str">
        <f t="shared" si="735"/>
        <v>ACTISALUD- PISO 10-ALA A</v>
      </c>
      <c r="F14374" s="5"/>
      <c r="G14374" s="5"/>
    </row>
    <row r="14375" spans="1:7" ht="58.5" customHeight="1" x14ac:dyDescent="0.25">
      <c r="A14375" s="5" t="str">
        <f>"H0029778"</f>
        <v>H0029778</v>
      </c>
      <c r="B14375" s="5" t="s">
        <v>96</v>
      </c>
      <c r="C14375" s="6">
        <v>169000.22</v>
      </c>
      <c r="D14375" s="5" t="s">
        <v>93</v>
      </c>
      <c r="E14375" s="5" t="str">
        <f t="shared" si="735"/>
        <v>ACTISALUD- PISO 10-ALA A</v>
      </c>
      <c r="F14375" s="5"/>
      <c r="G14375" s="5"/>
    </row>
    <row r="14376" spans="1:7" ht="58.5" customHeight="1" x14ac:dyDescent="0.25">
      <c r="A14376" s="5" t="str">
        <f>"H0030010"</f>
        <v>H0030010</v>
      </c>
      <c r="B14376" s="5" t="str">
        <f>"MONITOR DE SIGNOS VITALES EDAN IM50"</f>
        <v>MONITOR DE SIGNOS VITALES EDAN IM50</v>
      </c>
      <c r="C14376" s="6">
        <v>3160000</v>
      </c>
      <c r="D14376" s="5" t="s">
        <v>227</v>
      </c>
      <c r="E14376" s="5" t="str">
        <f t="shared" si="735"/>
        <v>ACTISALUD- PISO 10-ALA A</v>
      </c>
      <c r="F14376" s="5"/>
      <c r="G14376" s="5" t="str">
        <f>"IM-50"</f>
        <v>IM-50</v>
      </c>
    </row>
    <row r="14377" spans="1:7" ht="58.5" customHeight="1" x14ac:dyDescent="0.25">
      <c r="A14377" s="5" t="str">
        <f>"H0030060"</f>
        <v>H0030060</v>
      </c>
      <c r="B14377" s="5" t="str">
        <f>"SILLA RECLINOMATICA"</f>
        <v>SILLA RECLINOMATICA</v>
      </c>
      <c r="C14377" s="6">
        <v>1065050</v>
      </c>
      <c r="D14377" s="5" t="s">
        <v>98</v>
      </c>
      <c r="E14377" s="5" t="str">
        <f t="shared" si="735"/>
        <v>ACTISALUD- PISO 10-ALA A</v>
      </c>
      <c r="F14377" s="5"/>
      <c r="G14377" s="5"/>
    </row>
    <row r="14378" spans="1:7" ht="58.5" customHeight="1" x14ac:dyDescent="0.25">
      <c r="A14378" s="5" t="str">
        <f>"H0030271"</f>
        <v>H0030271</v>
      </c>
      <c r="B14378" s="5" t="str">
        <f t="shared" ref="B14378:B14390" si="736">"LAMPARA DE PASILLO DE LLAMADO DE ENFERMERIA"</f>
        <v>LAMPARA DE PASILLO DE LLAMADO DE ENFERMERIA</v>
      </c>
      <c r="C14378" s="6">
        <v>497740.11</v>
      </c>
      <c r="D14378" s="5" t="s">
        <v>155</v>
      </c>
      <c r="E14378" s="5" t="str">
        <f t="shared" si="735"/>
        <v>ACTISALUD- PISO 10-ALA A</v>
      </c>
      <c r="F14378" s="5"/>
      <c r="G14378" s="5" t="str">
        <f t="shared" ref="G14378:G14390" si="737">"MMC-N131"</f>
        <v>MMC-N131</v>
      </c>
    </row>
    <row r="14379" spans="1:7" ht="58.5" customHeight="1" x14ac:dyDescent="0.25">
      <c r="A14379" s="5" t="str">
        <f>"H0030272"</f>
        <v>H0030272</v>
      </c>
      <c r="B14379" s="5" t="str">
        <f t="shared" si="736"/>
        <v>LAMPARA DE PASILLO DE LLAMADO DE ENFERMERIA</v>
      </c>
      <c r="C14379" s="6">
        <v>497740.11</v>
      </c>
      <c r="D14379" s="5" t="s">
        <v>155</v>
      </c>
      <c r="E14379" s="5" t="str">
        <f t="shared" si="735"/>
        <v>ACTISALUD- PISO 10-ALA A</v>
      </c>
      <c r="F14379" s="5"/>
      <c r="G14379" s="5" t="str">
        <f t="shared" si="737"/>
        <v>MMC-N131</v>
      </c>
    </row>
    <row r="14380" spans="1:7" ht="58.5" customHeight="1" x14ac:dyDescent="0.25">
      <c r="A14380" s="5" t="str">
        <f>"H0030273"</f>
        <v>H0030273</v>
      </c>
      <c r="B14380" s="5" t="str">
        <f t="shared" si="736"/>
        <v>LAMPARA DE PASILLO DE LLAMADO DE ENFERMERIA</v>
      </c>
      <c r="C14380" s="6">
        <v>497740.11</v>
      </c>
      <c r="D14380" s="5" t="s">
        <v>155</v>
      </c>
      <c r="E14380" s="5" t="str">
        <f t="shared" si="735"/>
        <v>ACTISALUD- PISO 10-ALA A</v>
      </c>
      <c r="F14380" s="5"/>
      <c r="G14380" s="5" t="str">
        <f t="shared" si="737"/>
        <v>MMC-N131</v>
      </c>
    </row>
    <row r="14381" spans="1:7" ht="58.5" customHeight="1" x14ac:dyDescent="0.25">
      <c r="A14381" s="5" t="str">
        <f>"H0030274"</f>
        <v>H0030274</v>
      </c>
      <c r="B14381" s="5" t="str">
        <f t="shared" si="736"/>
        <v>LAMPARA DE PASILLO DE LLAMADO DE ENFERMERIA</v>
      </c>
      <c r="C14381" s="6">
        <v>497740.11</v>
      </c>
      <c r="D14381" s="5" t="s">
        <v>155</v>
      </c>
      <c r="E14381" s="5" t="str">
        <f t="shared" si="735"/>
        <v>ACTISALUD- PISO 10-ALA A</v>
      </c>
      <c r="F14381" s="5"/>
      <c r="G14381" s="5" t="str">
        <f t="shared" si="737"/>
        <v>MMC-N131</v>
      </c>
    </row>
    <row r="14382" spans="1:7" ht="58.5" customHeight="1" x14ac:dyDescent="0.25">
      <c r="A14382" s="5" t="str">
        <f>"H0030275"</f>
        <v>H0030275</v>
      </c>
      <c r="B14382" s="5" t="str">
        <f t="shared" si="736"/>
        <v>LAMPARA DE PASILLO DE LLAMADO DE ENFERMERIA</v>
      </c>
      <c r="C14382" s="6">
        <v>497740.11</v>
      </c>
      <c r="D14382" s="5" t="s">
        <v>155</v>
      </c>
      <c r="E14382" s="5" t="str">
        <f t="shared" si="735"/>
        <v>ACTISALUD- PISO 10-ALA A</v>
      </c>
      <c r="F14382" s="5"/>
      <c r="G14382" s="5" t="str">
        <f t="shared" si="737"/>
        <v>MMC-N131</v>
      </c>
    </row>
    <row r="14383" spans="1:7" ht="58.5" customHeight="1" x14ac:dyDescent="0.25">
      <c r="A14383" s="5" t="str">
        <f>"H0030276"</f>
        <v>H0030276</v>
      </c>
      <c r="B14383" s="5" t="str">
        <f t="shared" si="736"/>
        <v>LAMPARA DE PASILLO DE LLAMADO DE ENFERMERIA</v>
      </c>
      <c r="C14383" s="6">
        <v>497740.11</v>
      </c>
      <c r="D14383" s="5" t="s">
        <v>155</v>
      </c>
      <c r="E14383" s="5" t="str">
        <f t="shared" si="735"/>
        <v>ACTISALUD- PISO 10-ALA A</v>
      </c>
      <c r="F14383" s="5"/>
      <c r="G14383" s="5" t="str">
        <f t="shared" si="737"/>
        <v>MMC-N131</v>
      </c>
    </row>
    <row r="14384" spans="1:7" ht="58.5" customHeight="1" x14ac:dyDescent="0.25">
      <c r="A14384" s="5" t="str">
        <f>"H0030277"</f>
        <v>H0030277</v>
      </c>
      <c r="B14384" s="5" t="str">
        <f t="shared" si="736"/>
        <v>LAMPARA DE PASILLO DE LLAMADO DE ENFERMERIA</v>
      </c>
      <c r="C14384" s="6">
        <v>497740.11</v>
      </c>
      <c r="D14384" s="5" t="s">
        <v>155</v>
      </c>
      <c r="E14384" s="5" t="str">
        <f t="shared" si="735"/>
        <v>ACTISALUD- PISO 10-ALA A</v>
      </c>
      <c r="F14384" s="5"/>
      <c r="G14384" s="5" t="str">
        <f t="shared" si="737"/>
        <v>MMC-N131</v>
      </c>
    </row>
    <row r="14385" spans="1:7" ht="58.5" customHeight="1" x14ac:dyDescent="0.25">
      <c r="A14385" s="5" t="str">
        <f>"H0030278"</f>
        <v>H0030278</v>
      </c>
      <c r="B14385" s="5" t="str">
        <f t="shared" si="736"/>
        <v>LAMPARA DE PASILLO DE LLAMADO DE ENFERMERIA</v>
      </c>
      <c r="C14385" s="6">
        <v>497740.11</v>
      </c>
      <c r="D14385" s="5" t="s">
        <v>155</v>
      </c>
      <c r="E14385" s="5" t="str">
        <f t="shared" si="735"/>
        <v>ACTISALUD- PISO 10-ALA A</v>
      </c>
      <c r="F14385" s="5"/>
      <c r="G14385" s="5" t="str">
        <f t="shared" si="737"/>
        <v>MMC-N131</v>
      </c>
    </row>
    <row r="14386" spans="1:7" ht="58.5" customHeight="1" x14ac:dyDescent="0.25">
      <c r="A14386" s="5" t="str">
        <f>"H0030279"</f>
        <v>H0030279</v>
      </c>
      <c r="B14386" s="5" t="str">
        <f t="shared" si="736"/>
        <v>LAMPARA DE PASILLO DE LLAMADO DE ENFERMERIA</v>
      </c>
      <c r="C14386" s="6">
        <v>497740.11</v>
      </c>
      <c r="D14386" s="5" t="s">
        <v>155</v>
      </c>
      <c r="E14386" s="5" t="str">
        <f t="shared" si="735"/>
        <v>ACTISALUD- PISO 10-ALA A</v>
      </c>
      <c r="F14386" s="5"/>
      <c r="G14386" s="5" t="str">
        <f t="shared" si="737"/>
        <v>MMC-N131</v>
      </c>
    </row>
    <row r="14387" spans="1:7" ht="58.5" customHeight="1" x14ac:dyDescent="0.25">
      <c r="A14387" s="5" t="str">
        <f>"H0030280"</f>
        <v>H0030280</v>
      </c>
      <c r="B14387" s="5" t="str">
        <f t="shared" si="736"/>
        <v>LAMPARA DE PASILLO DE LLAMADO DE ENFERMERIA</v>
      </c>
      <c r="C14387" s="6">
        <v>497740.11</v>
      </c>
      <c r="D14387" s="5" t="s">
        <v>155</v>
      </c>
      <c r="E14387" s="5" t="str">
        <f t="shared" si="735"/>
        <v>ACTISALUD- PISO 10-ALA A</v>
      </c>
      <c r="F14387" s="5"/>
      <c r="G14387" s="5" t="str">
        <f t="shared" si="737"/>
        <v>MMC-N131</v>
      </c>
    </row>
    <row r="14388" spans="1:7" ht="58.5" customHeight="1" x14ac:dyDescent="0.25">
      <c r="A14388" s="5" t="str">
        <f>"H0030281"</f>
        <v>H0030281</v>
      </c>
      <c r="B14388" s="5" t="str">
        <f t="shared" si="736"/>
        <v>LAMPARA DE PASILLO DE LLAMADO DE ENFERMERIA</v>
      </c>
      <c r="C14388" s="6">
        <v>497740.11</v>
      </c>
      <c r="D14388" s="5" t="s">
        <v>155</v>
      </c>
      <c r="E14388" s="5" t="str">
        <f t="shared" si="735"/>
        <v>ACTISALUD- PISO 10-ALA A</v>
      </c>
      <c r="F14388" s="5"/>
      <c r="G14388" s="5" t="str">
        <f t="shared" si="737"/>
        <v>MMC-N131</v>
      </c>
    </row>
    <row r="14389" spans="1:7" ht="58.5" customHeight="1" x14ac:dyDescent="0.25">
      <c r="A14389" s="5" t="str">
        <f>"H0030282"</f>
        <v>H0030282</v>
      </c>
      <c r="B14389" s="5" t="str">
        <f t="shared" si="736"/>
        <v>LAMPARA DE PASILLO DE LLAMADO DE ENFERMERIA</v>
      </c>
      <c r="C14389" s="6">
        <v>497740.11</v>
      </c>
      <c r="D14389" s="5" t="s">
        <v>155</v>
      </c>
      <c r="E14389" s="5" t="str">
        <f t="shared" si="735"/>
        <v>ACTISALUD- PISO 10-ALA A</v>
      </c>
      <c r="F14389" s="5"/>
      <c r="G14389" s="5" t="str">
        <f t="shared" si="737"/>
        <v>MMC-N131</v>
      </c>
    </row>
    <row r="14390" spans="1:7" ht="58.5" customHeight="1" x14ac:dyDescent="0.25">
      <c r="A14390" s="5" t="str">
        <f>"H0030283"</f>
        <v>H0030283</v>
      </c>
      <c r="B14390" s="5" t="str">
        <f t="shared" si="736"/>
        <v>LAMPARA DE PASILLO DE LLAMADO DE ENFERMERIA</v>
      </c>
      <c r="C14390" s="6">
        <v>497740.11</v>
      </c>
      <c r="D14390" s="5" t="s">
        <v>155</v>
      </c>
      <c r="E14390" s="5" t="str">
        <f t="shared" si="735"/>
        <v>ACTISALUD- PISO 10-ALA A</v>
      </c>
      <c r="F14390" s="5"/>
      <c r="G14390" s="5" t="str">
        <f t="shared" si="737"/>
        <v>MMC-N131</v>
      </c>
    </row>
    <row r="14391" spans="1:7" ht="58.5" customHeight="1" x14ac:dyDescent="0.25">
      <c r="A14391" s="5" t="str">
        <f>"H0030323"</f>
        <v>H0030323</v>
      </c>
      <c r="B14391" s="5" t="str">
        <f>"PANTALLA RECEPTORA DE LLAMADO DE ENFERMERIA"</f>
        <v>PANTALLA RECEPTORA DE LLAMADO DE ENFERMERIA</v>
      </c>
      <c r="C14391" s="6">
        <v>1670041.22</v>
      </c>
      <c r="D14391" s="5" t="s">
        <v>155</v>
      </c>
      <c r="E14391" s="5" t="str">
        <f t="shared" si="735"/>
        <v>ACTISALUD- PISO 10-ALA A</v>
      </c>
      <c r="F14391" s="5"/>
      <c r="G14391" s="5"/>
    </row>
    <row r="14392" spans="1:7" ht="58.5" customHeight="1" x14ac:dyDescent="0.25">
      <c r="A14392" s="5" t="str">
        <f>"H0030324"</f>
        <v>H0030324</v>
      </c>
      <c r="B14392" s="5" t="str">
        <f>"SOFTWARE Y KIT DE CONEXIÓN PARA CONFIGURAR PANTALLA LED Y LUZ DE PASILLO DE LLAMADO DE ENFERMERÍA"</f>
        <v>SOFTWARE Y KIT DE CONEXIÓN PARA CONFIGURAR PANTALLA LED Y LUZ DE PASILLO DE LLAMADO DE ENFERMERÍA</v>
      </c>
      <c r="C14392" s="6">
        <v>2423510</v>
      </c>
      <c r="D14392" s="5" t="s">
        <v>155</v>
      </c>
      <c r="E14392" s="5" t="str">
        <f t="shared" si="735"/>
        <v>ACTISALUD- PISO 10-ALA A</v>
      </c>
      <c r="F14392" s="5"/>
      <c r="G14392" s="5" t="str">
        <f>"MMC-2611TA"</f>
        <v>MMC-2611TA</v>
      </c>
    </row>
    <row r="14393" spans="1:7" ht="58.5" customHeight="1" x14ac:dyDescent="0.25">
      <c r="A14393" s="5" t="str">
        <f>"H0030326"</f>
        <v>H0030326</v>
      </c>
      <c r="B14393" s="5" t="str">
        <f t="shared" ref="B14393:B14405" si="738">"UNIDAD DE LLAMADO DE ENFERMERIA PARA BAÑO CON CORDON TIRADOR. RESISTENTE A SALPICADURAS DE AGUA Y LUZ INDICADORA DE PULSACIÓN"</f>
        <v>UNIDAD DE LLAMADO DE ENFERMERIA PARA BAÑO CON CORDON TIRADOR. RESISTENTE A SALPICADURAS DE AGUA Y LUZ INDICADORA DE PULSACIÓN</v>
      </c>
      <c r="C14393" s="6">
        <v>205537.98</v>
      </c>
      <c r="D14393" s="5" t="s">
        <v>155</v>
      </c>
      <c r="E14393" s="5" t="str">
        <f t="shared" si="735"/>
        <v>ACTISALUD- PISO 10-ALA A</v>
      </c>
      <c r="F14393" s="5"/>
      <c r="G14393" s="5" t="str">
        <f t="shared" ref="G14393:G14405" si="739">"MMC-2810LL"</f>
        <v>MMC-2810LL</v>
      </c>
    </row>
    <row r="14394" spans="1:7" ht="58.5" customHeight="1" x14ac:dyDescent="0.25">
      <c r="A14394" s="5" t="str">
        <f>"H0030327"</f>
        <v>H0030327</v>
      </c>
      <c r="B14394" s="5" t="str">
        <f t="shared" si="738"/>
        <v>UNIDAD DE LLAMADO DE ENFERMERIA PARA BAÑO CON CORDON TIRADOR. RESISTENTE A SALPICADURAS DE AGUA Y LUZ INDICADORA DE PULSACIÓN</v>
      </c>
      <c r="C14394" s="6">
        <v>205537.98</v>
      </c>
      <c r="D14394" s="5" t="s">
        <v>155</v>
      </c>
      <c r="E14394" s="5" t="str">
        <f t="shared" si="735"/>
        <v>ACTISALUD- PISO 10-ALA A</v>
      </c>
      <c r="F14394" s="5"/>
      <c r="G14394" s="5" t="str">
        <f t="shared" si="739"/>
        <v>MMC-2810LL</v>
      </c>
    </row>
    <row r="14395" spans="1:7" ht="58.5" customHeight="1" x14ac:dyDescent="0.25">
      <c r="A14395" s="5" t="str">
        <f>"H0030328"</f>
        <v>H0030328</v>
      </c>
      <c r="B14395" s="5" t="str">
        <f t="shared" si="738"/>
        <v>UNIDAD DE LLAMADO DE ENFERMERIA PARA BAÑO CON CORDON TIRADOR. RESISTENTE A SALPICADURAS DE AGUA Y LUZ INDICADORA DE PULSACIÓN</v>
      </c>
      <c r="C14395" s="6">
        <v>205537.98</v>
      </c>
      <c r="D14395" s="5" t="s">
        <v>155</v>
      </c>
      <c r="E14395" s="5" t="str">
        <f t="shared" si="735"/>
        <v>ACTISALUD- PISO 10-ALA A</v>
      </c>
      <c r="F14395" s="5"/>
      <c r="G14395" s="5" t="str">
        <f t="shared" si="739"/>
        <v>MMC-2810LL</v>
      </c>
    </row>
    <row r="14396" spans="1:7" ht="58.5" customHeight="1" x14ac:dyDescent="0.25">
      <c r="A14396" s="5" t="str">
        <f>"H0030329"</f>
        <v>H0030329</v>
      </c>
      <c r="B14396" s="5" t="str">
        <f t="shared" si="738"/>
        <v>UNIDAD DE LLAMADO DE ENFERMERIA PARA BAÑO CON CORDON TIRADOR. RESISTENTE A SALPICADURAS DE AGUA Y LUZ INDICADORA DE PULSACIÓN</v>
      </c>
      <c r="C14396" s="6">
        <v>205537.98</v>
      </c>
      <c r="D14396" s="5" t="s">
        <v>155</v>
      </c>
      <c r="E14396" s="5" t="str">
        <f t="shared" si="735"/>
        <v>ACTISALUD- PISO 10-ALA A</v>
      </c>
      <c r="F14396" s="5"/>
      <c r="G14396" s="5" t="str">
        <f t="shared" si="739"/>
        <v>MMC-2810LL</v>
      </c>
    </row>
    <row r="14397" spans="1:7" ht="58.5" customHeight="1" x14ac:dyDescent="0.25">
      <c r="A14397" s="5" t="str">
        <f>"H0030330"</f>
        <v>H0030330</v>
      </c>
      <c r="B14397" s="5" t="str">
        <f t="shared" si="738"/>
        <v>UNIDAD DE LLAMADO DE ENFERMERIA PARA BAÑO CON CORDON TIRADOR. RESISTENTE A SALPICADURAS DE AGUA Y LUZ INDICADORA DE PULSACIÓN</v>
      </c>
      <c r="C14397" s="6">
        <v>205537.98</v>
      </c>
      <c r="D14397" s="5" t="s">
        <v>155</v>
      </c>
      <c r="E14397" s="5" t="str">
        <f t="shared" si="735"/>
        <v>ACTISALUD- PISO 10-ALA A</v>
      </c>
      <c r="F14397" s="5"/>
      <c r="G14397" s="5" t="str">
        <f t="shared" si="739"/>
        <v>MMC-2810LL</v>
      </c>
    </row>
    <row r="14398" spans="1:7" ht="58.5" customHeight="1" x14ac:dyDescent="0.25">
      <c r="A14398" s="5" t="str">
        <f>"H0030331"</f>
        <v>H0030331</v>
      </c>
      <c r="B14398" s="5" t="str">
        <f t="shared" si="738"/>
        <v>UNIDAD DE LLAMADO DE ENFERMERIA PARA BAÑO CON CORDON TIRADOR. RESISTENTE A SALPICADURAS DE AGUA Y LUZ INDICADORA DE PULSACIÓN</v>
      </c>
      <c r="C14398" s="6">
        <v>205537.98</v>
      </c>
      <c r="D14398" s="5" t="s">
        <v>155</v>
      </c>
      <c r="E14398" s="5" t="str">
        <f t="shared" si="735"/>
        <v>ACTISALUD- PISO 10-ALA A</v>
      </c>
      <c r="F14398" s="5"/>
      <c r="G14398" s="5" t="str">
        <f t="shared" si="739"/>
        <v>MMC-2810LL</v>
      </c>
    </row>
    <row r="14399" spans="1:7" ht="58.5" customHeight="1" x14ac:dyDescent="0.25">
      <c r="A14399" s="5" t="str">
        <f>"H0030332"</f>
        <v>H0030332</v>
      </c>
      <c r="B14399" s="5" t="str">
        <f t="shared" si="738"/>
        <v>UNIDAD DE LLAMADO DE ENFERMERIA PARA BAÑO CON CORDON TIRADOR. RESISTENTE A SALPICADURAS DE AGUA Y LUZ INDICADORA DE PULSACIÓN</v>
      </c>
      <c r="C14399" s="6">
        <v>205537.98</v>
      </c>
      <c r="D14399" s="5" t="s">
        <v>155</v>
      </c>
      <c r="E14399" s="5" t="str">
        <f t="shared" si="735"/>
        <v>ACTISALUD- PISO 10-ALA A</v>
      </c>
      <c r="F14399" s="5"/>
      <c r="G14399" s="5" t="str">
        <f t="shared" si="739"/>
        <v>MMC-2810LL</v>
      </c>
    </row>
    <row r="14400" spans="1:7" ht="58.5" customHeight="1" x14ac:dyDescent="0.25">
      <c r="A14400" s="5" t="str">
        <f>"H0030333"</f>
        <v>H0030333</v>
      </c>
      <c r="B14400" s="5" t="str">
        <f t="shared" si="738"/>
        <v>UNIDAD DE LLAMADO DE ENFERMERIA PARA BAÑO CON CORDON TIRADOR. RESISTENTE A SALPICADURAS DE AGUA Y LUZ INDICADORA DE PULSACIÓN</v>
      </c>
      <c r="C14400" s="6">
        <v>205537.98</v>
      </c>
      <c r="D14400" s="5" t="s">
        <v>155</v>
      </c>
      <c r="E14400" s="5" t="str">
        <f t="shared" si="735"/>
        <v>ACTISALUD- PISO 10-ALA A</v>
      </c>
      <c r="F14400" s="5"/>
      <c r="G14400" s="5" t="str">
        <f t="shared" si="739"/>
        <v>MMC-2810LL</v>
      </c>
    </row>
    <row r="14401" spans="1:7" ht="58.5" customHeight="1" x14ac:dyDescent="0.25">
      <c r="A14401" s="5" t="str">
        <f>"H0030334"</f>
        <v>H0030334</v>
      </c>
      <c r="B14401" s="5" t="str">
        <f t="shared" si="738"/>
        <v>UNIDAD DE LLAMADO DE ENFERMERIA PARA BAÑO CON CORDON TIRADOR. RESISTENTE A SALPICADURAS DE AGUA Y LUZ INDICADORA DE PULSACIÓN</v>
      </c>
      <c r="C14401" s="6">
        <v>205537.98</v>
      </c>
      <c r="D14401" s="5" t="s">
        <v>155</v>
      </c>
      <c r="E14401" s="5" t="str">
        <f t="shared" si="735"/>
        <v>ACTISALUD- PISO 10-ALA A</v>
      </c>
      <c r="F14401" s="5"/>
      <c r="G14401" s="5" t="str">
        <f t="shared" si="739"/>
        <v>MMC-2810LL</v>
      </c>
    </row>
    <row r="14402" spans="1:7" ht="58.5" customHeight="1" x14ac:dyDescent="0.25">
      <c r="A14402" s="5" t="str">
        <f>"H0030335"</f>
        <v>H0030335</v>
      </c>
      <c r="B14402" s="5" t="str">
        <f t="shared" si="738"/>
        <v>UNIDAD DE LLAMADO DE ENFERMERIA PARA BAÑO CON CORDON TIRADOR. RESISTENTE A SALPICADURAS DE AGUA Y LUZ INDICADORA DE PULSACIÓN</v>
      </c>
      <c r="C14402" s="6">
        <v>205537.98</v>
      </c>
      <c r="D14402" s="5" t="s">
        <v>155</v>
      </c>
      <c r="E14402" s="5" t="str">
        <f t="shared" si="735"/>
        <v>ACTISALUD- PISO 10-ALA A</v>
      </c>
      <c r="F14402" s="5"/>
      <c r="G14402" s="5" t="str">
        <f t="shared" si="739"/>
        <v>MMC-2810LL</v>
      </c>
    </row>
    <row r="14403" spans="1:7" ht="58.5" customHeight="1" x14ac:dyDescent="0.25">
      <c r="A14403" s="5" t="str">
        <f>"H0030336"</f>
        <v>H0030336</v>
      </c>
      <c r="B14403" s="5" t="str">
        <f t="shared" si="738"/>
        <v>UNIDAD DE LLAMADO DE ENFERMERIA PARA BAÑO CON CORDON TIRADOR. RESISTENTE A SALPICADURAS DE AGUA Y LUZ INDICADORA DE PULSACIÓN</v>
      </c>
      <c r="C14403" s="6">
        <v>205537.98</v>
      </c>
      <c r="D14403" s="5" t="s">
        <v>155</v>
      </c>
      <c r="E14403" s="5" t="str">
        <f t="shared" si="735"/>
        <v>ACTISALUD- PISO 10-ALA A</v>
      </c>
      <c r="F14403" s="5"/>
      <c r="G14403" s="5" t="str">
        <f t="shared" si="739"/>
        <v>MMC-2810LL</v>
      </c>
    </row>
    <row r="14404" spans="1:7" ht="58.5" customHeight="1" x14ac:dyDescent="0.25">
      <c r="A14404" s="5" t="str">
        <f>"H0030337"</f>
        <v>H0030337</v>
      </c>
      <c r="B14404" s="5" t="str">
        <f t="shared" si="738"/>
        <v>UNIDAD DE LLAMADO DE ENFERMERIA PARA BAÑO CON CORDON TIRADOR. RESISTENTE A SALPICADURAS DE AGUA Y LUZ INDICADORA DE PULSACIÓN</v>
      </c>
      <c r="C14404" s="6">
        <v>205537.98</v>
      </c>
      <c r="D14404" s="5" t="s">
        <v>155</v>
      </c>
      <c r="E14404" s="5" t="str">
        <f t="shared" si="735"/>
        <v>ACTISALUD- PISO 10-ALA A</v>
      </c>
      <c r="F14404" s="5"/>
      <c r="G14404" s="5" t="str">
        <f t="shared" si="739"/>
        <v>MMC-2810LL</v>
      </c>
    </row>
    <row r="14405" spans="1:7" ht="58.5" customHeight="1" x14ac:dyDescent="0.25">
      <c r="A14405" s="5" t="str">
        <f>"H0030338"</f>
        <v>H0030338</v>
      </c>
      <c r="B14405" s="5" t="str">
        <f t="shared" si="738"/>
        <v>UNIDAD DE LLAMADO DE ENFERMERIA PARA BAÑO CON CORDON TIRADOR. RESISTENTE A SALPICADURAS DE AGUA Y LUZ INDICADORA DE PULSACIÓN</v>
      </c>
      <c r="C14405" s="6">
        <v>205537.98</v>
      </c>
      <c r="D14405" s="5" t="s">
        <v>155</v>
      </c>
      <c r="E14405" s="5" t="str">
        <f t="shared" si="735"/>
        <v>ACTISALUD- PISO 10-ALA A</v>
      </c>
      <c r="F14405" s="5"/>
      <c r="G14405" s="5" t="str">
        <f t="shared" si="739"/>
        <v>MMC-2810LL</v>
      </c>
    </row>
    <row r="14406" spans="1:7" ht="58.5" customHeight="1" x14ac:dyDescent="0.25">
      <c r="A14406" s="5" t="str">
        <f>"H0030380"</f>
        <v>H0030380</v>
      </c>
      <c r="B14406" s="5" t="str">
        <f t="shared" ref="B14406:B14418" si="740">"UNIDAD DE LLAMADO DE ENFERMERIA PARA CAMA O BAÑO"</f>
        <v>UNIDAD DE LLAMADO DE ENFERMERIA PARA CAMA O BAÑO</v>
      </c>
      <c r="C14406" s="6">
        <v>207719.26</v>
      </c>
      <c r="D14406" s="5" t="s">
        <v>155</v>
      </c>
      <c r="E14406" s="5" t="str">
        <f t="shared" si="735"/>
        <v>ACTISALUD- PISO 10-ALA A</v>
      </c>
      <c r="F14406" s="5"/>
      <c r="G14406" s="5" t="str">
        <f t="shared" ref="G14406:G14418" si="741">"MMC-2610E2"</f>
        <v>MMC-2610E2</v>
      </c>
    </row>
    <row r="14407" spans="1:7" ht="58.5" customHeight="1" x14ac:dyDescent="0.25">
      <c r="A14407" s="5" t="str">
        <f>"H0030381"</f>
        <v>H0030381</v>
      </c>
      <c r="B14407" s="5" t="str">
        <f t="shared" si="740"/>
        <v>UNIDAD DE LLAMADO DE ENFERMERIA PARA CAMA O BAÑO</v>
      </c>
      <c r="C14407" s="6">
        <v>207719.26</v>
      </c>
      <c r="D14407" s="5" t="s">
        <v>155</v>
      </c>
      <c r="E14407" s="5" t="str">
        <f t="shared" si="735"/>
        <v>ACTISALUD- PISO 10-ALA A</v>
      </c>
      <c r="F14407" s="5"/>
      <c r="G14407" s="5" t="str">
        <f t="shared" si="741"/>
        <v>MMC-2610E2</v>
      </c>
    </row>
    <row r="14408" spans="1:7" ht="58.5" customHeight="1" x14ac:dyDescent="0.25">
      <c r="A14408" s="5" t="str">
        <f>"H0030382"</f>
        <v>H0030382</v>
      </c>
      <c r="B14408" s="5" t="str">
        <f t="shared" si="740"/>
        <v>UNIDAD DE LLAMADO DE ENFERMERIA PARA CAMA O BAÑO</v>
      </c>
      <c r="C14408" s="6">
        <v>207719.26</v>
      </c>
      <c r="D14408" s="5" t="s">
        <v>155</v>
      </c>
      <c r="E14408" s="5" t="str">
        <f t="shared" si="735"/>
        <v>ACTISALUD- PISO 10-ALA A</v>
      </c>
      <c r="F14408" s="5"/>
      <c r="G14408" s="5" t="str">
        <f t="shared" si="741"/>
        <v>MMC-2610E2</v>
      </c>
    </row>
    <row r="14409" spans="1:7" ht="58.5" customHeight="1" x14ac:dyDescent="0.25">
      <c r="A14409" s="5" t="str">
        <f>"H0030383"</f>
        <v>H0030383</v>
      </c>
      <c r="B14409" s="5" t="str">
        <f t="shared" si="740"/>
        <v>UNIDAD DE LLAMADO DE ENFERMERIA PARA CAMA O BAÑO</v>
      </c>
      <c r="C14409" s="6">
        <v>207719.26</v>
      </c>
      <c r="D14409" s="5" t="s">
        <v>155</v>
      </c>
      <c r="E14409" s="5" t="str">
        <f t="shared" si="735"/>
        <v>ACTISALUD- PISO 10-ALA A</v>
      </c>
      <c r="F14409" s="5"/>
      <c r="G14409" s="5" t="str">
        <f t="shared" si="741"/>
        <v>MMC-2610E2</v>
      </c>
    </row>
    <row r="14410" spans="1:7" ht="58.5" customHeight="1" x14ac:dyDescent="0.25">
      <c r="A14410" s="5" t="str">
        <f>"H0030384"</f>
        <v>H0030384</v>
      </c>
      <c r="B14410" s="5" t="str">
        <f t="shared" si="740"/>
        <v>UNIDAD DE LLAMADO DE ENFERMERIA PARA CAMA O BAÑO</v>
      </c>
      <c r="C14410" s="6">
        <v>207719.26</v>
      </c>
      <c r="D14410" s="5" t="s">
        <v>155</v>
      </c>
      <c r="E14410" s="5" t="str">
        <f t="shared" si="735"/>
        <v>ACTISALUD- PISO 10-ALA A</v>
      </c>
      <c r="F14410" s="5"/>
      <c r="G14410" s="5" t="str">
        <f t="shared" si="741"/>
        <v>MMC-2610E2</v>
      </c>
    </row>
    <row r="14411" spans="1:7" ht="58.5" customHeight="1" x14ac:dyDescent="0.25">
      <c r="A14411" s="5" t="str">
        <f>"H0030385"</f>
        <v>H0030385</v>
      </c>
      <c r="B14411" s="5" t="str">
        <f t="shared" si="740"/>
        <v>UNIDAD DE LLAMADO DE ENFERMERIA PARA CAMA O BAÑO</v>
      </c>
      <c r="C14411" s="6">
        <v>207719.26</v>
      </c>
      <c r="D14411" s="5" t="s">
        <v>155</v>
      </c>
      <c r="E14411" s="5" t="str">
        <f t="shared" si="735"/>
        <v>ACTISALUD- PISO 10-ALA A</v>
      </c>
      <c r="F14411" s="5"/>
      <c r="G14411" s="5" t="str">
        <f t="shared" si="741"/>
        <v>MMC-2610E2</v>
      </c>
    </row>
    <row r="14412" spans="1:7" ht="58.5" customHeight="1" x14ac:dyDescent="0.25">
      <c r="A14412" s="5" t="str">
        <f>"H0030386"</f>
        <v>H0030386</v>
      </c>
      <c r="B14412" s="5" t="str">
        <f t="shared" si="740"/>
        <v>UNIDAD DE LLAMADO DE ENFERMERIA PARA CAMA O BAÑO</v>
      </c>
      <c r="C14412" s="6">
        <v>207719.26</v>
      </c>
      <c r="D14412" s="5" t="s">
        <v>155</v>
      </c>
      <c r="E14412" s="5" t="str">
        <f t="shared" si="735"/>
        <v>ACTISALUD- PISO 10-ALA A</v>
      </c>
      <c r="F14412" s="5"/>
      <c r="G14412" s="5" t="str">
        <f t="shared" si="741"/>
        <v>MMC-2610E2</v>
      </c>
    </row>
    <row r="14413" spans="1:7" ht="58.5" customHeight="1" x14ac:dyDescent="0.25">
      <c r="A14413" s="5" t="str">
        <f>"H0030387"</f>
        <v>H0030387</v>
      </c>
      <c r="B14413" s="5" t="str">
        <f t="shared" si="740"/>
        <v>UNIDAD DE LLAMADO DE ENFERMERIA PARA CAMA O BAÑO</v>
      </c>
      <c r="C14413" s="6">
        <v>207719.26</v>
      </c>
      <c r="D14413" s="5" t="s">
        <v>155</v>
      </c>
      <c r="E14413" s="5" t="str">
        <f t="shared" si="735"/>
        <v>ACTISALUD- PISO 10-ALA A</v>
      </c>
      <c r="F14413" s="5"/>
      <c r="G14413" s="5" t="str">
        <f t="shared" si="741"/>
        <v>MMC-2610E2</v>
      </c>
    </row>
    <row r="14414" spans="1:7" ht="58.5" customHeight="1" x14ac:dyDescent="0.25">
      <c r="A14414" s="5" t="str">
        <f>"H0030388"</f>
        <v>H0030388</v>
      </c>
      <c r="B14414" s="5" t="str">
        <f t="shared" si="740"/>
        <v>UNIDAD DE LLAMADO DE ENFERMERIA PARA CAMA O BAÑO</v>
      </c>
      <c r="C14414" s="6">
        <v>207719.26</v>
      </c>
      <c r="D14414" s="5" t="s">
        <v>155</v>
      </c>
      <c r="E14414" s="5" t="str">
        <f t="shared" si="735"/>
        <v>ACTISALUD- PISO 10-ALA A</v>
      </c>
      <c r="F14414" s="5"/>
      <c r="G14414" s="5" t="str">
        <f t="shared" si="741"/>
        <v>MMC-2610E2</v>
      </c>
    </row>
    <row r="14415" spans="1:7" ht="58.5" customHeight="1" x14ac:dyDescent="0.25">
      <c r="A14415" s="5" t="str">
        <f>"H0030389"</f>
        <v>H0030389</v>
      </c>
      <c r="B14415" s="5" t="str">
        <f t="shared" si="740"/>
        <v>UNIDAD DE LLAMADO DE ENFERMERIA PARA CAMA O BAÑO</v>
      </c>
      <c r="C14415" s="6">
        <v>207719.26</v>
      </c>
      <c r="D14415" s="5" t="s">
        <v>155</v>
      </c>
      <c r="E14415" s="5" t="str">
        <f t="shared" si="735"/>
        <v>ACTISALUD- PISO 10-ALA A</v>
      </c>
      <c r="F14415" s="5"/>
      <c r="G14415" s="5" t="str">
        <f t="shared" si="741"/>
        <v>MMC-2610E2</v>
      </c>
    </row>
    <row r="14416" spans="1:7" ht="58.5" customHeight="1" x14ac:dyDescent="0.25">
      <c r="A14416" s="5" t="str">
        <f>"H0030390"</f>
        <v>H0030390</v>
      </c>
      <c r="B14416" s="5" t="str">
        <f t="shared" si="740"/>
        <v>UNIDAD DE LLAMADO DE ENFERMERIA PARA CAMA O BAÑO</v>
      </c>
      <c r="C14416" s="6">
        <v>207719.26</v>
      </c>
      <c r="D14416" s="5" t="s">
        <v>155</v>
      </c>
      <c r="E14416" s="5" t="str">
        <f t="shared" si="735"/>
        <v>ACTISALUD- PISO 10-ALA A</v>
      </c>
      <c r="F14416" s="5"/>
      <c r="G14416" s="5" t="str">
        <f t="shared" si="741"/>
        <v>MMC-2610E2</v>
      </c>
    </row>
    <row r="14417" spans="1:7" ht="58.5" customHeight="1" x14ac:dyDescent="0.25">
      <c r="A14417" s="5" t="str">
        <f>"H0030391"</f>
        <v>H0030391</v>
      </c>
      <c r="B14417" s="5" t="str">
        <f t="shared" si="740"/>
        <v>UNIDAD DE LLAMADO DE ENFERMERIA PARA CAMA O BAÑO</v>
      </c>
      <c r="C14417" s="6">
        <v>207719.26</v>
      </c>
      <c r="D14417" s="5" t="s">
        <v>155</v>
      </c>
      <c r="E14417" s="5" t="str">
        <f t="shared" si="735"/>
        <v>ACTISALUD- PISO 10-ALA A</v>
      </c>
      <c r="F14417" s="5"/>
      <c r="G14417" s="5" t="str">
        <f t="shared" si="741"/>
        <v>MMC-2610E2</v>
      </c>
    </row>
    <row r="14418" spans="1:7" ht="58.5" customHeight="1" x14ac:dyDescent="0.25">
      <c r="A14418" s="5" t="str">
        <f>"H0030392"</f>
        <v>H0030392</v>
      </c>
      <c r="B14418" s="5" t="str">
        <f t="shared" si="740"/>
        <v>UNIDAD DE LLAMADO DE ENFERMERIA PARA CAMA O BAÑO</v>
      </c>
      <c r="C14418" s="6">
        <v>207719.26</v>
      </c>
      <c r="D14418" s="5" t="s">
        <v>155</v>
      </c>
      <c r="E14418" s="5" t="str">
        <f t="shared" si="735"/>
        <v>ACTISALUD- PISO 10-ALA A</v>
      </c>
      <c r="F14418" s="5"/>
      <c r="G14418" s="5" t="str">
        <f t="shared" si="741"/>
        <v>MMC-2610E2</v>
      </c>
    </row>
    <row r="14419" spans="1:7" ht="58.5" customHeight="1" x14ac:dyDescent="0.25">
      <c r="A14419" s="5" t="str">
        <f>"H0031242"</f>
        <v>H0031242</v>
      </c>
      <c r="B14419" s="5" t="str">
        <f>"MUEBLE DE 2 PUESTOS CON MEDIDAS DE 1,64 MTS"</f>
        <v>MUEBLE DE 2 PUESTOS CON MEDIDAS DE 1,64 MTS</v>
      </c>
      <c r="C14419" s="6">
        <v>700000</v>
      </c>
      <c r="D14419" s="5" t="s">
        <v>104</v>
      </c>
      <c r="E14419" s="5" t="str">
        <f t="shared" si="735"/>
        <v>ACTISALUD- PISO 10-ALA A</v>
      </c>
      <c r="F14419" s="5"/>
      <c r="G14419" s="5"/>
    </row>
    <row r="14420" spans="1:7" ht="58.5" customHeight="1" x14ac:dyDescent="0.25">
      <c r="A14420" s="5" t="str">
        <f>"H0031250"</f>
        <v>H0031250</v>
      </c>
      <c r="B14420" s="5" t="str">
        <f>"MUEBLE DE 3 PUESTOS CON MEDIDAS DE 2,46 MTS"</f>
        <v>MUEBLE DE 3 PUESTOS CON MEDIDAS DE 2,46 MTS</v>
      </c>
      <c r="C14420" s="6">
        <v>1050000</v>
      </c>
      <c r="D14420" s="5" t="s">
        <v>104</v>
      </c>
      <c r="E14420" s="5" t="str">
        <f t="shared" si="735"/>
        <v>ACTISALUD- PISO 10-ALA A</v>
      </c>
      <c r="F14420" s="5"/>
      <c r="G14420" s="5"/>
    </row>
    <row r="14421" spans="1:7" ht="58.5" customHeight="1" x14ac:dyDescent="0.25">
      <c r="A14421" s="5" t="str">
        <f>"H0031258"</f>
        <v>H0031258</v>
      </c>
      <c r="B14421" s="5" t="str">
        <f>"SOFA CON MEDIDAS DE 1,10 MTS"</f>
        <v>SOFA CON MEDIDAS DE 1,10 MTS</v>
      </c>
      <c r="C14421" s="6">
        <v>650000</v>
      </c>
      <c r="D14421" s="5" t="s">
        <v>104</v>
      </c>
      <c r="E14421" s="5" t="str">
        <f t="shared" si="735"/>
        <v>ACTISALUD- PISO 10-ALA A</v>
      </c>
      <c r="F14421" s="5"/>
      <c r="G14421" s="5"/>
    </row>
    <row r="14422" spans="1:7" ht="58.5" customHeight="1" x14ac:dyDescent="0.25">
      <c r="A14422" s="5" t="str">
        <f>"H0031266"</f>
        <v>H0031266</v>
      </c>
      <c r="B14422" s="5" t="str">
        <f>"MESA DE CENTRO CON MEDIDAS DE 0,84 MTS X 0,54 MTS"</f>
        <v>MESA DE CENTRO CON MEDIDAS DE 0,84 MTS X 0,54 MTS</v>
      </c>
      <c r="C14422" s="6">
        <v>160000</v>
      </c>
      <c r="D14422" s="5" t="s">
        <v>104</v>
      </c>
      <c r="E14422" s="5" t="str">
        <f t="shared" si="735"/>
        <v>ACTISALUD- PISO 10-ALA A</v>
      </c>
      <c r="F14422" s="5"/>
      <c r="G14422" s="5"/>
    </row>
    <row r="14423" spans="1:7" ht="58.5" customHeight="1" x14ac:dyDescent="0.25">
      <c r="A14423" s="5" t="str">
        <f>"H0031274"</f>
        <v>H0031274</v>
      </c>
      <c r="B14423" s="5" t="str">
        <f>"MUEBLE DE 5 PUESTOS CON MEDIDAS DE 3,87 MTS"</f>
        <v>MUEBLE DE 5 PUESTOS CON MEDIDAS DE 3,87 MTS</v>
      </c>
      <c r="C14423" s="6">
        <v>1400000</v>
      </c>
      <c r="D14423" s="5" t="s">
        <v>104</v>
      </c>
      <c r="E14423" s="5" t="str">
        <f t="shared" si="735"/>
        <v>ACTISALUD- PISO 10-ALA A</v>
      </c>
      <c r="F14423" s="5"/>
      <c r="G14423" s="5"/>
    </row>
    <row r="14424" spans="1:7" ht="58.5" customHeight="1" x14ac:dyDescent="0.25">
      <c r="A14424" s="5" t="str">
        <f>"H0031290"</f>
        <v>H0031290</v>
      </c>
      <c r="B14424" s="5" t="str">
        <f>"SOFA DOBLE CON MEDIDAS DE 1,65 MTS"</f>
        <v>SOFA DOBLE CON MEDIDAS DE 1,65 MTS</v>
      </c>
      <c r="C14424" s="6">
        <v>910000</v>
      </c>
      <c r="D14424" s="5" t="s">
        <v>104</v>
      </c>
      <c r="E14424" s="5" t="str">
        <f t="shared" si="735"/>
        <v>ACTISALUD- PISO 10-ALA A</v>
      </c>
      <c r="F14424" s="5"/>
      <c r="G14424" s="5"/>
    </row>
    <row r="14425" spans="1:7" ht="58.5" customHeight="1" x14ac:dyDescent="0.25">
      <c r="A14425" s="5" t="str">
        <f>"H0031298"</f>
        <v>H0031298</v>
      </c>
      <c r="B14425" s="5" t="str">
        <f>"MINILUNA CON MEDIDAS DE 1,26 MTS X 0,65 MTS"</f>
        <v>MINILUNA CON MEDIDAS DE 1,26 MTS X 0,65 MTS</v>
      </c>
      <c r="C14425" s="6">
        <v>120000</v>
      </c>
      <c r="D14425" s="5" t="s">
        <v>104</v>
      </c>
      <c r="E14425" s="5" t="str">
        <f t="shared" si="735"/>
        <v>ACTISALUD- PISO 10-ALA A</v>
      </c>
      <c r="F14425" s="5"/>
      <c r="G14425" s="5"/>
    </row>
    <row r="14426" spans="1:7" ht="58.5" customHeight="1" x14ac:dyDescent="0.25">
      <c r="A14426" s="5" t="str">
        <f>"H0031306"</f>
        <v>H0031306</v>
      </c>
      <c r="B14426" s="5" t="str">
        <f>"PUFF GRANDE CON MEDIDAS DE 1,66 MTS X 1,26 MTS"</f>
        <v>PUFF GRANDE CON MEDIDAS DE 1,66 MTS X 1,26 MTS</v>
      </c>
      <c r="C14426" s="6">
        <v>290000</v>
      </c>
      <c r="D14426" s="5" t="s">
        <v>104</v>
      </c>
      <c r="E14426" s="5" t="str">
        <f t="shared" si="735"/>
        <v>ACTISALUD- PISO 10-ALA A</v>
      </c>
      <c r="F14426" s="5"/>
      <c r="G14426" s="5"/>
    </row>
    <row r="14427" spans="1:7" ht="58.5" customHeight="1" x14ac:dyDescent="0.25">
      <c r="A14427" s="5" t="str">
        <f>"H0031542"</f>
        <v>H0031542</v>
      </c>
      <c r="B14427" s="5" t="s">
        <v>221</v>
      </c>
      <c r="C14427" s="6">
        <v>375382.64</v>
      </c>
      <c r="D14427" s="5" t="s">
        <v>16</v>
      </c>
      <c r="E14427" s="5" t="str">
        <f t="shared" si="735"/>
        <v>ACTISALUD- PISO 10-ALA A</v>
      </c>
      <c r="F14427" s="5"/>
      <c r="G14427" s="5"/>
    </row>
    <row r="14428" spans="1:7" ht="58.5" customHeight="1" x14ac:dyDescent="0.25">
      <c r="A14428" s="5" t="str">
        <f>"H0031544"</f>
        <v>H0031544</v>
      </c>
      <c r="B14428" s="5" t="s">
        <v>221</v>
      </c>
      <c r="C14428" s="6">
        <v>375382.64</v>
      </c>
      <c r="D14428" s="5" t="s">
        <v>16</v>
      </c>
      <c r="E14428" s="5" t="str">
        <f t="shared" si="735"/>
        <v>ACTISALUD- PISO 10-ALA A</v>
      </c>
      <c r="F14428" s="5"/>
      <c r="G14428" s="5"/>
    </row>
    <row r="14429" spans="1:7" ht="58.5" customHeight="1" x14ac:dyDescent="0.25">
      <c r="A14429" s="5" t="str">
        <f>"H0031546"</f>
        <v>H0031546</v>
      </c>
      <c r="B14429" s="5" t="s">
        <v>221</v>
      </c>
      <c r="C14429" s="6">
        <v>375382.64</v>
      </c>
      <c r="D14429" s="5" t="s">
        <v>16</v>
      </c>
      <c r="E14429" s="5" t="str">
        <f t="shared" si="735"/>
        <v>ACTISALUD- PISO 10-ALA A</v>
      </c>
      <c r="F14429" s="5"/>
      <c r="G14429" s="5"/>
    </row>
    <row r="14430" spans="1:7" ht="58.5" customHeight="1" x14ac:dyDescent="0.25">
      <c r="A14430" s="5" t="str">
        <f>"H0031549"</f>
        <v>H0031549</v>
      </c>
      <c r="B14430" s="5" t="s">
        <v>221</v>
      </c>
      <c r="C14430" s="6">
        <v>375382.64</v>
      </c>
      <c r="D14430" s="5" t="s">
        <v>16</v>
      </c>
      <c r="E14430" s="5" t="str">
        <f t="shared" ref="E14430:E14493" si="742">"ACTISALUD- PISO 10-ALA A"</f>
        <v>ACTISALUD- PISO 10-ALA A</v>
      </c>
      <c r="F14430" s="5"/>
      <c r="G14430" s="5"/>
    </row>
    <row r="14431" spans="1:7" ht="58.5" customHeight="1" x14ac:dyDescent="0.25">
      <c r="A14431" s="5" t="str">
        <f>"H0031550"</f>
        <v>H0031550</v>
      </c>
      <c r="B14431" s="5" t="s">
        <v>221</v>
      </c>
      <c r="C14431" s="6">
        <v>375382.64</v>
      </c>
      <c r="D14431" s="5" t="s">
        <v>16</v>
      </c>
      <c r="E14431" s="5" t="str">
        <f t="shared" si="742"/>
        <v>ACTISALUD- PISO 10-ALA A</v>
      </c>
      <c r="F14431" s="5"/>
      <c r="G14431" s="5"/>
    </row>
    <row r="14432" spans="1:7" ht="58.5" customHeight="1" x14ac:dyDescent="0.25">
      <c r="A14432" s="5" t="str">
        <f>"H0031555"</f>
        <v>H0031555</v>
      </c>
      <c r="B14432" s="5" t="s">
        <v>221</v>
      </c>
      <c r="C14432" s="6">
        <v>375382.64</v>
      </c>
      <c r="D14432" s="5" t="s">
        <v>16</v>
      </c>
      <c r="E14432" s="5" t="str">
        <f t="shared" si="742"/>
        <v>ACTISALUD- PISO 10-ALA A</v>
      </c>
      <c r="F14432" s="5"/>
      <c r="G14432" s="5"/>
    </row>
    <row r="14433" spans="1:7" ht="58.5" customHeight="1" x14ac:dyDescent="0.25">
      <c r="A14433" s="5" t="str">
        <f>"H0031556"</f>
        <v>H0031556</v>
      </c>
      <c r="B14433" s="5" t="s">
        <v>221</v>
      </c>
      <c r="C14433" s="6">
        <v>375382.64</v>
      </c>
      <c r="D14433" s="5" t="s">
        <v>16</v>
      </c>
      <c r="E14433" s="5" t="str">
        <f t="shared" si="742"/>
        <v>ACTISALUD- PISO 10-ALA A</v>
      </c>
      <c r="F14433" s="5"/>
      <c r="G14433" s="5"/>
    </row>
    <row r="14434" spans="1:7" ht="58.5" customHeight="1" x14ac:dyDescent="0.25">
      <c r="A14434" s="5" t="str">
        <f>"H0031558"</f>
        <v>H0031558</v>
      </c>
      <c r="B14434" s="5" t="s">
        <v>221</v>
      </c>
      <c r="C14434" s="6">
        <v>375382.64</v>
      </c>
      <c r="D14434" s="5" t="s">
        <v>16</v>
      </c>
      <c r="E14434" s="5" t="str">
        <f t="shared" si="742"/>
        <v>ACTISALUD- PISO 10-ALA A</v>
      </c>
      <c r="F14434" s="5"/>
      <c r="G14434" s="5"/>
    </row>
    <row r="14435" spans="1:7" ht="58.5" customHeight="1" x14ac:dyDescent="0.25">
      <c r="A14435" s="5" t="str">
        <f>"H0031559"</f>
        <v>H0031559</v>
      </c>
      <c r="B14435" s="5" t="s">
        <v>221</v>
      </c>
      <c r="C14435" s="6">
        <v>375382.64</v>
      </c>
      <c r="D14435" s="5" t="s">
        <v>16</v>
      </c>
      <c r="E14435" s="5" t="str">
        <f t="shared" si="742"/>
        <v>ACTISALUD- PISO 10-ALA A</v>
      </c>
      <c r="F14435" s="5"/>
      <c r="G14435" s="5"/>
    </row>
    <row r="14436" spans="1:7" ht="58.5" customHeight="1" x14ac:dyDescent="0.25">
      <c r="A14436" s="5" t="str">
        <f>"H0031561"</f>
        <v>H0031561</v>
      </c>
      <c r="B14436" s="5" t="s">
        <v>221</v>
      </c>
      <c r="C14436" s="6">
        <v>375382.64</v>
      </c>
      <c r="D14436" s="5" t="s">
        <v>16</v>
      </c>
      <c r="E14436" s="5" t="str">
        <f t="shared" si="742"/>
        <v>ACTISALUD- PISO 10-ALA A</v>
      </c>
      <c r="F14436" s="5"/>
      <c r="G14436" s="5"/>
    </row>
    <row r="14437" spans="1:7" ht="58.5" customHeight="1" x14ac:dyDescent="0.25">
      <c r="A14437" s="5" t="str">
        <f>"H0031562"</f>
        <v>H0031562</v>
      </c>
      <c r="B14437" s="5" t="s">
        <v>221</v>
      </c>
      <c r="C14437" s="6">
        <v>375382.64</v>
      </c>
      <c r="D14437" s="5" t="s">
        <v>16</v>
      </c>
      <c r="E14437" s="5" t="str">
        <f t="shared" si="742"/>
        <v>ACTISALUD- PISO 10-ALA A</v>
      </c>
      <c r="F14437" s="5"/>
      <c r="G14437" s="5"/>
    </row>
    <row r="14438" spans="1:7" ht="58.5" customHeight="1" x14ac:dyDescent="0.25">
      <c r="A14438" s="5" t="str">
        <f>"H0031563"</f>
        <v>H0031563</v>
      </c>
      <c r="B14438" s="5" t="s">
        <v>221</v>
      </c>
      <c r="C14438" s="6">
        <v>375382.64</v>
      </c>
      <c r="D14438" s="5" t="s">
        <v>16</v>
      </c>
      <c r="E14438" s="5" t="str">
        <f t="shared" si="742"/>
        <v>ACTISALUD- PISO 10-ALA A</v>
      </c>
      <c r="F14438" s="5"/>
      <c r="G14438" s="5"/>
    </row>
    <row r="14439" spans="1:7" ht="58.5" customHeight="1" x14ac:dyDescent="0.25">
      <c r="A14439" s="5" t="str">
        <f>"H0031564"</f>
        <v>H0031564</v>
      </c>
      <c r="B14439" s="5" t="s">
        <v>221</v>
      </c>
      <c r="C14439" s="6">
        <v>375382.64</v>
      </c>
      <c r="D14439" s="5" t="s">
        <v>16</v>
      </c>
      <c r="E14439" s="5" t="str">
        <f t="shared" si="742"/>
        <v>ACTISALUD- PISO 10-ALA A</v>
      </c>
      <c r="F14439" s="5"/>
      <c r="G14439" s="5"/>
    </row>
    <row r="14440" spans="1:7" ht="58.5" customHeight="1" x14ac:dyDescent="0.25">
      <c r="A14440" s="5" t="str">
        <f>"H0031566"</f>
        <v>H0031566</v>
      </c>
      <c r="B14440" s="5" t="s">
        <v>221</v>
      </c>
      <c r="C14440" s="6">
        <v>375382.64</v>
      </c>
      <c r="D14440" s="5" t="s">
        <v>16</v>
      </c>
      <c r="E14440" s="5" t="str">
        <f t="shared" si="742"/>
        <v>ACTISALUD- PISO 10-ALA A</v>
      </c>
      <c r="F14440" s="5"/>
      <c r="G14440" s="5"/>
    </row>
    <row r="14441" spans="1:7" ht="58.5" customHeight="1" x14ac:dyDescent="0.25">
      <c r="A14441" s="5" t="str">
        <f>"H0031569"</f>
        <v>H0031569</v>
      </c>
      <c r="B14441" s="5" t="s">
        <v>221</v>
      </c>
      <c r="C14441" s="6">
        <v>375382.64</v>
      </c>
      <c r="D14441" s="5" t="s">
        <v>16</v>
      </c>
      <c r="E14441" s="5" t="str">
        <f t="shared" si="742"/>
        <v>ACTISALUD- PISO 10-ALA A</v>
      </c>
      <c r="F14441" s="5"/>
      <c r="G14441" s="5"/>
    </row>
    <row r="14442" spans="1:7" ht="58.5" customHeight="1" x14ac:dyDescent="0.25">
      <c r="A14442" s="5" t="str">
        <f>"H0031570"</f>
        <v>H0031570</v>
      </c>
      <c r="B14442" s="5" t="s">
        <v>221</v>
      </c>
      <c r="C14442" s="6">
        <v>375382.64</v>
      </c>
      <c r="D14442" s="5" t="s">
        <v>16</v>
      </c>
      <c r="E14442" s="5" t="str">
        <f t="shared" si="742"/>
        <v>ACTISALUD- PISO 10-ALA A</v>
      </c>
      <c r="F14442" s="5"/>
      <c r="G14442" s="5"/>
    </row>
    <row r="14443" spans="1:7" ht="58.5" customHeight="1" x14ac:dyDescent="0.25">
      <c r="A14443" s="5" t="str">
        <f>"H0031571"</f>
        <v>H0031571</v>
      </c>
      <c r="B14443" s="5" t="s">
        <v>221</v>
      </c>
      <c r="C14443" s="6">
        <v>375382.64</v>
      </c>
      <c r="D14443" s="5" t="s">
        <v>16</v>
      </c>
      <c r="E14443" s="5" t="str">
        <f t="shared" si="742"/>
        <v>ACTISALUD- PISO 10-ALA A</v>
      </c>
      <c r="F14443" s="5"/>
      <c r="G14443" s="5"/>
    </row>
    <row r="14444" spans="1:7" ht="58.5" customHeight="1" x14ac:dyDescent="0.25">
      <c r="A14444" s="5" t="str">
        <f>"H0031572"</f>
        <v>H0031572</v>
      </c>
      <c r="B14444" s="5" t="s">
        <v>221</v>
      </c>
      <c r="C14444" s="6">
        <v>375382.64</v>
      </c>
      <c r="D14444" s="5" t="s">
        <v>16</v>
      </c>
      <c r="E14444" s="5" t="str">
        <f t="shared" si="742"/>
        <v>ACTISALUD- PISO 10-ALA A</v>
      </c>
      <c r="F14444" s="5"/>
      <c r="G14444" s="5"/>
    </row>
    <row r="14445" spans="1:7" ht="58.5" customHeight="1" x14ac:dyDescent="0.25">
      <c r="A14445" s="5" t="str">
        <f>"H0031573"</f>
        <v>H0031573</v>
      </c>
      <c r="B14445" s="5" t="s">
        <v>221</v>
      </c>
      <c r="C14445" s="6">
        <v>375382.64</v>
      </c>
      <c r="D14445" s="5" t="s">
        <v>16</v>
      </c>
      <c r="E14445" s="5" t="str">
        <f t="shared" si="742"/>
        <v>ACTISALUD- PISO 10-ALA A</v>
      </c>
      <c r="F14445" s="5"/>
      <c r="G14445" s="5"/>
    </row>
    <row r="14446" spans="1:7" ht="58.5" customHeight="1" x14ac:dyDescent="0.25">
      <c r="A14446" s="5" t="str">
        <f>"H0031574"</f>
        <v>H0031574</v>
      </c>
      <c r="B14446" s="5" t="s">
        <v>221</v>
      </c>
      <c r="C14446" s="6">
        <v>375382.64</v>
      </c>
      <c r="D14446" s="5" t="s">
        <v>16</v>
      </c>
      <c r="E14446" s="5" t="str">
        <f t="shared" si="742"/>
        <v>ACTISALUD- PISO 10-ALA A</v>
      </c>
      <c r="F14446" s="5"/>
      <c r="G14446" s="5"/>
    </row>
    <row r="14447" spans="1:7" ht="58.5" customHeight="1" x14ac:dyDescent="0.25">
      <c r="A14447" s="5" t="str">
        <f>"H0031576"</f>
        <v>H0031576</v>
      </c>
      <c r="B14447" s="5" t="s">
        <v>221</v>
      </c>
      <c r="C14447" s="6">
        <v>375382.64</v>
      </c>
      <c r="D14447" s="5" t="s">
        <v>16</v>
      </c>
      <c r="E14447" s="5" t="str">
        <f t="shared" si="742"/>
        <v>ACTISALUD- PISO 10-ALA A</v>
      </c>
      <c r="F14447" s="5"/>
      <c r="G14447" s="5"/>
    </row>
    <row r="14448" spans="1:7" ht="58.5" customHeight="1" x14ac:dyDescent="0.25">
      <c r="A14448" s="5" t="str">
        <f>"H0031578"</f>
        <v>H0031578</v>
      </c>
      <c r="B14448" s="5" t="s">
        <v>221</v>
      </c>
      <c r="C14448" s="6">
        <v>375382.64</v>
      </c>
      <c r="D14448" s="5" t="s">
        <v>16</v>
      </c>
      <c r="E14448" s="5" t="str">
        <f t="shared" si="742"/>
        <v>ACTISALUD- PISO 10-ALA A</v>
      </c>
      <c r="F14448" s="5"/>
      <c r="G14448" s="5"/>
    </row>
    <row r="14449" spans="1:7" ht="58.5" customHeight="1" x14ac:dyDescent="0.25">
      <c r="A14449" s="5" t="str">
        <f>"H0031581"</f>
        <v>H0031581</v>
      </c>
      <c r="B14449" s="5" t="s">
        <v>221</v>
      </c>
      <c r="C14449" s="6">
        <v>375382.64</v>
      </c>
      <c r="D14449" s="5" t="s">
        <v>16</v>
      </c>
      <c r="E14449" s="5" t="str">
        <f t="shared" si="742"/>
        <v>ACTISALUD- PISO 10-ALA A</v>
      </c>
      <c r="F14449" s="5"/>
      <c r="G14449" s="5"/>
    </row>
    <row r="14450" spans="1:7" ht="58.5" customHeight="1" x14ac:dyDescent="0.25">
      <c r="A14450" s="5" t="str">
        <f>"H0031650"</f>
        <v>H0031650</v>
      </c>
      <c r="B14450" s="5" t="str">
        <f>"SUCCIONADOR (ASPIRADOR) DE FLUIDOS QUIRURGICO"</f>
        <v>SUCCIONADOR (ASPIRADOR) DE FLUIDOS QUIRURGICO</v>
      </c>
      <c r="C14450" s="6">
        <v>3841379.6</v>
      </c>
      <c r="D14450" s="5" t="s">
        <v>317</v>
      </c>
      <c r="E14450" s="5" t="str">
        <f t="shared" si="742"/>
        <v>ACTISALUD- PISO 10-ALA A</v>
      </c>
      <c r="F14450" s="5"/>
      <c r="G14450" s="5"/>
    </row>
    <row r="14451" spans="1:7" ht="58.5" customHeight="1" x14ac:dyDescent="0.25">
      <c r="A14451" s="5" t="str">
        <f>"H0031686"</f>
        <v>H0031686</v>
      </c>
      <c r="B14451" s="5" t="str">
        <f>"MESA (CARRO) DE CURACIONES"</f>
        <v>MESA (CARRO) DE CURACIONES</v>
      </c>
      <c r="C14451" s="6">
        <v>190400</v>
      </c>
      <c r="D14451" s="5" t="s">
        <v>156</v>
      </c>
      <c r="E14451" s="5" t="str">
        <f t="shared" si="742"/>
        <v>ACTISALUD- PISO 10-ALA A</v>
      </c>
      <c r="F14451" s="5"/>
      <c r="G14451" s="5"/>
    </row>
    <row r="14452" spans="1:7" ht="58.5" customHeight="1" x14ac:dyDescent="0.25">
      <c r="A14452" s="5" t="str">
        <f>"H0031689"</f>
        <v>H0031689</v>
      </c>
      <c r="B14452" s="5" t="str">
        <f>"MESA (CARRO) DE CURACIONES"</f>
        <v>MESA (CARRO) DE CURACIONES</v>
      </c>
      <c r="C14452" s="6">
        <v>190400</v>
      </c>
      <c r="D14452" s="5" t="s">
        <v>156</v>
      </c>
      <c r="E14452" s="5" t="str">
        <f t="shared" si="742"/>
        <v>ACTISALUD- PISO 10-ALA A</v>
      </c>
      <c r="F14452" s="5"/>
      <c r="G14452" s="5"/>
    </row>
    <row r="14453" spans="1:7" ht="58.5" customHeight="1" x14ac:dyDescent="0.25">
      <c r="A14453" s="5" t="str">
        <f>"H0031698"</f>
        <v>H0031698</v>
      </c>
      <c r="B14453" s="5" t="str">
        <f>"MESA DE MAYO"</f>
        <v>MESA DE MAYO</v>
      </c>
      <c r="C14453" s="6">
        <v>380800</v>
      </c>
      <c r="D14453" s="5" t="s">
        <v>156</v>
      </c>
      <c r="E14453" s="5" t="str">
        <f t="shared" si="742"/>
        <v>ACTISALUD- PISO 10-ALA A</v>
      </c>
      <c r="F14453" s="5"/>
      <c r="G14453" s="5"/>
    </row>
    <row r="14454" spans="1:7" ht="58.5" customHeight="1" x14ac:dyDescent="0.25">
      <c r="A14454" s="5" t="str">
        <f>"H0031960"</f>
        <v>H0031960</v>
      </c>
      <c r="B14454" s="5" t="str">
        <f>"BOMBA DE INFUSION"</f>
        <v>BOMBA DE INFUSION</v>
      </c>
      <c r="C14454" s="6">
        <v>1900000</v>
      </c>
      <c r="D14454" s="5" t="s">
        <v>107</v>
      </c>
      <c r="E14454" s="5" t="str">
        <f t="shared" si="742"/>
        <v>ACTISALUD- PISO 10-ALA A</v>
      </c>
      <c r="F14454" s="5"/>
      <c r="G14454" s="5"/>
    </row>
    <row r="14455" spans="1:7" ht="58.5" customHeight="1" x14ac:dyDescent="0.25">
      <c r="A14455" s="5" t="str">
        <f>"H0031968"</f>
        <v>H0031968</v>
      </c>
      <c r="B14455" s="5" t="str">
        <f>"BOMBA DE INFUSION"</f>
        <v>BOMBA DE INFUSION</v>
      </c>
      <c r="C14455" s="6">
        <v>1900000</v>
      </c>
      <c r="D14455" s="5" t="s">
        <v>107</v>
      </c>
      <c r="E14455" s="5" t="str">
        <f t="shared" si="742"/>
        <v>ACTISALUD- PISO 10-ALA A</v>
      </c>
      <c r="F14455" s="5"/>
      <c r="G14455" s="5"/>
    </row>
    <row r="14456" spans="1:7" ht="58.5" customHeight="1" x14ac:dyDescent="0.25">
      <c r="A14456" s="5" t="str">
        <f>"H0031985"</f>
        <v>H0031985</v>
      </c>
      <c r="B14456" s="5" t="str">
        <f>"BOMBA DE INFUSION"</f>
        <v>BOMBA DE INFUSION</v>
      </c>
      <c r="C14456" s="6">
        <v>1900000</v>
      </c>
      <c r="D14456" s="5" t="s">
        <v>107</v>
      </c>
      <c r="E14456" s="5" t="str">
        <f t="shared" si="742"/>
        <v>ACTISALUD- PISO 10-ALA A</v>
      </c>
      <c r="F14456" s="5"/>
      <c r="G14456" s="5"/>
    </row>
    <row r="14457" spans="1:7" ht="58.5" customHeight="1" x14ac:dyDescent="0.25">
      <c r="A14457" s="5" t="str">
        <f>"H0032006"</f>
        <v>H0032006</v>
      </c>
      <c r="B14457" s="5" t="str">
        <f>"CARRO DE TRANSPORTE PARA INSTRUMENTAL ESTERIL RODABLE EN PLASTICO 103*50*98"</f>
        <v>CARRO DE TRANSPORTE PARA INSTRUMENTAL ESTERIL RODABLE EN PLASTICO 103*50*98</v>
      </c>
      <c r="C14457" s="6">
        <v>685797</v>
      </c>
      <c r="D14457" s="5" t="s">
        <v>109</v>
      </c>
      <c r="E14457" s="5" t="str">
        <f t="shared" si="742"/>
        <v>ACTISALUD- PISO 10-ALA A</v>
      </c>
      <c r="F14457" s="5"/>
      <c r="G14457" s="5"/>
    </row>
    <row r="14458" spans="1:7" ht="58.5" customHeight="1" x14ac:dyDescent="0.25">
      <c r="A14458" s="5" t="str">
        <f>"H0032011"</f>
        <v>H0032011</v>
      </c>
      <c r="B14458" s="5" t="str">
        <f>"MESAAUXILIAR RODABLE DE ACERO INOXIDABLE 60*35*80"</f>
        <v>MESAAUXILIAR RODABLE DE ACERO INOXIDABLE 60*35*80</v>
      </c>
      <c r="C14458" s="6">
        <v>214438</v>
      </c>
      <c r="D14458" s="5" t="s">
        <v>109</v>
      </c>
      <c r="E14458" s="5" t="str">
        <f t="shared" si="742"/>
        <v>ACTISALUD- PISO 10-ALA A</v>
      </c>
      <c r="F14458" s="5"/>
      <c r="G14458" s="5"/>
    </row>
    <row r="14459" spans="1:7" ht="58.5" customHeight="1" x14ac:dyDescent="0.25">
      <c r="A14459" s="5" t="str">
        <f>"H0032013"</f>
        <v>H0032013</v>
      </c>
      <c r="B14459" s="5" t="str">
        <f>"MESAAUXILIAR RODABLE DE ACERO INOXIDABLE 60*35*80"</f>
        <v>MESAAUXILIAR RODABLE DE ACERO INOXIDABLE 60*35*80</v>
      </c>
      <c r="C14459" s="6">
        <v>214438</v>
      </c>
      <c r="D14459" s="5" t="s">
        <v>109</v>
      </c>
      <c r="E14459" s="5" t="str">
        <f t="shared" si="742"/>
        <v>ACTISALUD- PISO 10-ALA A</v>
      </c>
      <c r="F14459" s="5"/>
      <c r="G14459" s="5"/>
    </row>
    <row r="14460" spans="1:7" ht="58.5" customHeight="1" x14ac:dyDescent="0.25">
      <c r="A14460" s="5" t="str">
        <f>"H0032165"</f>
        <v>H0032165</v>
      </c>
      <c r="B14460" s="5" t="str">
        <f>"medidor de llenado-control de presion para balon neumotaponador (donacion )"</f>
        <v>medidor de llenado-control de presion para balon neumotaponador (donacion )</v>
      </c>
      <c r="C14460" s="6">
        <v>1870139</v>
      </c>
      <c r="D14460" s="5" t="s">
        <v>483</v>
      </c>
      <c r="E14460" s="5" t="str">
        <f t="shared" si="742"/>
        <v>ACTISALUD- PISO 10-ALA A</v>
      </c>
      <c r="F14460" s="5"/>
      <c r="G14460" s="5"/>
    </row>
    <row r="14461" spans="1:7" ht="58.5" customHeight="1" x14ac:dyDescent="0.25">
      <c r="A14461" s="5" t="str">
        <f>"H0032239"</f>
        <v>H0032239</v>
      </c>
      <c r="B14461" s="5" t="str">
        <f>"CAMA ELECTRICA ADULTOS"</f>
        <v>CAMA ELECTRICA ADULTOS</v>
      </c>
      <c r="C14461" s="6">
        <v>7745200</v>
      </c>
      <c r="D14461" s="5" t="s">
        <v>231</v>
      </c>
      <c r="E14461" s="5" t="str">
        <f t="shared" si="742"/>
        <v>ACTISALUD- PISO 10-ALA A</v>
      </c>
      <c r="F14461" s="5"/>
      <c r="G14461" s="5"/>
    </row>
    <row r="14462" spans="1:7" ht="58.5" customHeight="1" x14ac:dyDescent="0.25">
      <c r="A14462" s="5" t="str">
        <f>"H0032290"</f>
        <v>H0032290</v>
      </c>
      <c r="B14462" s="5" t="str">
        <f>"Escritorio lineal superficie en formica con archivador 3 gabetas (DONACION)"</f>
        <v>Escritorio lineal superficie en formica con archivador 3 gabetas (DONACION)</v>
      </c>
      <c r="C14462" s="6">
        <v>400000</v>
      </c>
      <c r="D14462" s="5" t="s">
        <v>45</v>
      </c>
      <c r="E14462" s="5" t="str">
        <f t="shared" si="742"/>
        <v>ACTISALUD- PISO 10-ALA A</v>
      </c>
      <c r="F14462" s="5"/>
      <c r="G14462" s="5"/>
    </row>
    <row r="14463" spans="1:7" ht="58.5" customHeight="1" x14ac:dyDescent="0.25">
      <c r="A14463" s="5" t="str">
        <f>"H0032329"</f>
        <v>H0032329</v>
      </c>
      <c r="B14463" s="5" t="str">
        <f>"SOPORTE PEDESTAL MONITOR"</f>
        <v>SOPORTE PEDESTAL MONITOR</v>
      </c>
      <c r="C14463" s="6">
        <v>1140020</v>
      </c>
      <c r="D14463" s="5" t="s">
        <v>232</v>
      </c>
      <c r="E14463" s="5" t="str">
        <f t="shared" si="742"/>
        <v>ACTISALUD- PISO 10-ALA A</v>
      </c>
      <c r="F14463" s="5"/>
      <c r="G14463" s="5"/>
    </row>
    <row r="14464" spans="1:7" ht="58.5" customHeight="1" x14ac:dyDescent="0.25">
      <c r="A14464" s="5" t="str">
        <f>"H0032332"</f>
        <v>H0032332</v>
      </c>
      <c r="B14464" s="5" t="str">
        <f>"SOPORTE PEDESTAL MONITOR"</f>
        <v>SOPORTE PEDESTAL MONITOR</v>
      </c>
      <c r="C14464" s="6">
        <v>1140020</v>
      </c>
      <c r="D14464" s="5" t="s">
        <v>232</v>
      </c>
      <c r="E14464" s="5" t="str">
        <f t="shared" si="742"/>
        <v>ACTISALUD- PISO 10-ALA A</v>
      </c>
      <c r="F14464" s="5"/>
      <c r="G14464" s="5"/>
    </row>
    <row r="14465" spans="1:7" ht="58.5" customHeight="1" x14ac:dyDescent="0.25">
      <c r="A14465" s="5" t="str">
        <f>"H0032335"</f>
        <v>H0032335</v>
      </c>
      <c r="B14465" s="5" t="str">
        <f>"SOPORTE PEDESTAL MONITOR"</f>
        <v>SOPORTE PEDESTAL MONITOR</v>
      </c>
      <c r="C14465" s="6">
        <v>1140020</v>
      </c>
      <c r="D14465" s="5" t="s">
        <v>232</v>
      </c>
      <c r="E14465" s="5" t="str">
        <f t="shared" si="742"/>
        <v>ACTISALUD- PISO 10-ALA A</v>
      </c>
      <c r="F14465" s="5"/>
      <c r="G14465" s="5"/>
    </row>
    <row r="14466" spans="1:7" ht="58.5" customHeight="1" x14ac:dyDescent="0.25">
      <c r="A14466" s="5" t="str">
        <f>"H0032356"</f>
        <v>H0032356</v>
      </c>
      <c r="B14466" s="5" t="str">
        <f>"DESFIBRILADOR (DONACION)"</f>
        <v>DESFIBRILADOR (DONACION)</v>
      </c>
      <c r="C14466" s="6">
        <v>15000000</v>
      </c>
      <c r="D14466" s="5" t="s">
        <v>254</v>
      </c>
      <c r="E14466" s="5" t="str">
        <f t="shared" si="742"/>
        <v>ACTISALUD- PISO 10-ALA A</v>
      </c>
      <c r="F14466" s="5"/>
      <c r="G14466" s="5" t="str">
        <f>"BENEHEARTD3"</f>
        <v>BENEHEARTD3</v>
      </c>
    </row>
    <row r="14467" spans="1:7" ht="58.5" customHeight="1" x14ac:dyDescent="0.25">
      <c r="A14467" s="5" t="str">
        <f>"H0032384"</f>
        <v>H0032384</v>
      </c>
      <c r="B14467" s="5" t="str">
        <f>"succionador (DONACION)"</f>
        <v>succionador (DONACION)</v>
      </c>
      <c r="C14467" s="6">
        <v>649750</v>
      </c>
      <c r="D14467" s="5" t="s">
        <v>110</v>
      </c>
      <c r="E14467" s="5" t="str">
        <f t="shared" si="742"/>
        <v>ACTISALUD- PISO 10-ALA A</v>
      </c>
      <c r="F14467" s="5"/>
      <c r="G14467" s="5"/>
    </row>
    <row r="14468" spans="1:7" ht="58.5" customHeight="1" x14ac:dyDescent="0.25">
      <c r="A14468" s="5" t="str">
        <f>"H0032385"</f>
        <v>H0032385</v>
      </c>
      <c r="B14468" s="5" t="str">
        <f>"succionador (DONACION)"</f>
        <v>succionador (DONACION)</v>
      </c>
      <c r="C14468" s="6">
        <v>649750</v>
      </c>
      <c r="D14468" s="5" t="s">
        <v>110</v>
      </c>
      <c r="E14468" s="5" t="str">
        <f t="shared" si="742"/>
        <v>ACTISALUD- PISO 10-ALA A</v>
      </c>
      <c r="F14468" s="5"/>
      <c r="G14468" s="5"/>
    </row>
    <row r="14469" spans="1:7" ht="58.5" customHeight="1" x14ac:dyDescent="0.25">
      <c r="A14469" s="5" t="str">
        <f>"H0032414"</f>
        <v>H0032414</v>
      </c>
      <c r="B14469" s="5" t="str">
        <f>"biombo de dos cuerpos (DONACION)"</f>
        <v>biombo de dos cuerpos (DONACION)</v>
      </c>
      <c r="C14469" s="6">
        <v>325000</v>
      </c>
      <c r="D14469" s="5" t="s">
        <v>111</v>
      </c>
      <c r="E14469" s="5" t="str">
        <f t="shared" si="742"/>
        <v>ACTISALUD- PISO 10-ALA A</v>
      </c>
      <c r="F14469" s="5"/>
      <c r="G14469" s="5"/>
    </row>
    <row r="14470" spans="1:7" ht="58.5" customHeight="1" x14ac:dyDescent="0.25">
      <c r="A14470" s="5" t="str">
        <f>"H0032415"</f>
        <v>H0032415</v>
      </c>
      <c r="B14470" s="5" t="str">
        <f>"biombo de dos cuerpos (DONACION)"</f>
        <v>biombo de dos cuerpos (DONACION)</v>
      </c>
      <c r="C14470" s="6">
        <v>325000</v>
      </c>
      <c r="D14470" s="5" t="s">
        <v>111</v>
      </c>
      <c r="E14470" s="5" t="str">
        <f t="shared" si="742"/>
        <v>ACTISALUD- PISO 10-ALA A</v>
      </c>
      <c r="F14470" s="5"/>
      <c r="G14470" s="5"/>
    </row>
    <row r="14471" spans="1:7" ht="58.5" customHeight="1" x14ac:dyDescent="0.25">
      <c r="A14471" s="5" t="str">
        <f>"H0032521"</f>
        <v>H0032521</v>
      </c>
      <c r="B14471" s="5" t="str">
        <f>"CELULAR HUAWEI Y9 PRIME (DONACION)"</f>
        <v>CELULAR HUAWEI Y9 PRIME (DONACION)</v>
      </c>
      <c r="C14471" s="6">
        <v>729900</v>
      </c>
      <c r="D14471" s="5" t="s">
        <v>112</v>
      </c>
      <c r="E14471" s="5" t="str">
        <f t="shared" si="742"/>
        <v>ACTISALUD- PISO 10-ALA A</v>
      </c>
      <c r="F14471" s="5"/>
      <c r="G14471" s="5"/>
    </row>
    <row r="14472" spans="1:7" ht="58.5" customHeight="1" x14ac:dyDescent="0.25">
      <c r="A14472" s="5" t="str">
        <f>"H0032522"</f>
        <v>H0032522</v>
      </c>
      <c r="B14472" s="5" t="str">
        <f>"LAVAMANOS PORTATIL EN ACERO INOXIDABLE (DONACION)"</f>
        <v>LAVAMANOS PORTATIL EN ACERO INOXIDABLE (DONACION)</v>
      </c>
      <c r="C14472" s="6">
        <v>526900</v>
      </c>
      <c r="D14472" s="5" t="s">
        <v>112</v>
      </c>
      <c r="E14472" s="5" t="str">
        <f t="shared" si="742"/>
        <v>ACTISALUD- PISO 10-ALA A</v>
      </c>
      <c r="F14472" s="5"/>
      <c r="G14472" s="5"/>
    </row>
    <row r="14473" spans="1:7" ht="58.5" customHeight="1" x14ac:dyDescent="0.25">
      <c r="A14473" s="5" t="str">
        <f>"H0032541"</f>
        <v>H0032541</v>
      </c>
      <c r="B14473" s="5" t="str">
        <f>"bomba de infusion (DONACION)"</f>
        <v>bomba de infusion (DONACION)</v>
      </c>
      <c r="C14473" s="6">
        <v>4860000</v>
      </c>
      <c r="D14473" s="5" t="s">
        <v>113</v>
      </c>
      <c r="E14473" s="5" t="str">
        <f t="shared" si="742"/>
        <v>ACTISALUD- PISO 10-ALA A</v>
      </c>
      <c r="F14473" s="5"/>
      <c r="G14473" s="5"/>
    </row>
    <row r="14474" spans="1:7" ht="58.5" customHeight="1" x14ac:dyDescent="0.25">
      <c r="A14474" s="5" t="str">
        <f>"H0032542"</f>
        <v>H0032542</v>
      </c>
      <c r="B14474" s="5" t="str">
        <f>"bomba de infusion (DONACION)"</f>
        <v>bomba de infusion (DONACION)</v>
      </c>
      <c r="C14474" s="6">
        <v>4860000</v>
      </c>
      <c r="D14474" s="5" t="s">
        <v>113</v>
      </c>
      <c r="E14474" s="5" t="str">
        <f t="shared" si="742"/>
        <v>ACTISALUD- PISO 10-ALA A</v>
      </c>
      <c r="F14474" s="5"/>
      <c r="G14474" s="5"/>
    </row>
    <row r="14475" spans="1:7" ht="58.5" customHeight="1" x14ac:dyDescent="0.25">
      <c r="A14475" s="5" t="str">
        <f>"H0032546"</f>
        <v>H0032546</v>
      </c>
      <c r="B14475" s="5" t="str">
        <f>"bomba de infusion (DONACION)"</f>
        <v>bomba de infusion (DONACION)</v>
      </c>
      <c r="C14475" s="6">
        <v>4860000</v>
      </c>
      <c r="D14475" s="5" t="s">
        <v>113</v>
      </c>
      <c r="E14475" s="5" t="str">
        <f t="shared" si="742"/>
        <v>ACTISALUD- PISO 10-ALA A</v>
      </c>
      <c r="F14475" s="5"/>
      <c r="G14475" s="5"/>
    </row>
    <row r="14476" spans="1:7" ht="58.5" customHeight="1" x14ac:dyDescent="0.25">
      <c r="A14476" s="5" t="str">
        <f>"H0032916"</f>
        <v>H0032916</v>
      </c>
      <c r="B14476" s="5" t="str">
        <f t="shared" ref="B14476:B14487" si="743">"UNIDAD DE EXTRACCION CENTRIFUGA DE ALTA PRESION"</f>
        <v>UNIDAD DE EXTRACCION CENTRIFUGA DE ALTA PRESION</v>
      </c>
      <c r="C14476" s="6">
        <v>3852000</v>
      </c>
      <c r="D14476" s="5" t="s">
        <v>677</v>
      </c>
      <c r="E14476" s="5" t="str">
        <f t="shared" si="742"/>
        <v>ACTISALUD- PISO 10-ALA A</v>
      </c>
      <c r="F14476" s="5"/>
      <c r="G14476" s="5"/>
    </row>
    <row r="14477" spans="1:7" ht="58.5" customHeight="1" x14ac:dyDescent="0.25">
      <c r="A14477" s="5" t="str">
        <f>"H0032917"</f>
        <v>H0032917</v>
      </c>
      <c r="B14477" s="5" t="str">
        <f t="shared" si="743"/>
        <v>UNIDAD DE EXTRACCION CENTRIFUGA DE ALTA PRESION</v>
      </c>
      <c r="C14477" s="6">
        <v>3852000</v>
      </c>
      <c r="D14477" s="5" t="s">
        <v>677</v>
      </c>
      <c r="E14477" s="5" t="str">
        <f t="shared" si="742"/>
        <v>ACTISALUD- PISO 10-ALA A</v>
      </c>
      <c r="F14477" s="5"/>
      <c r="G14477" s="5"/>
    </row>
    <row r="14478" spans="1:7" ht="58.5" customHeight="1" x14ac:dyDescent="0.25">
      <c r="A14478" s="5" t="str">
        <f>"H0032918"</f>
        <v>H0032918</v>
      </c>
      <c r="B14478" s="5" t="str">
        <f t="shared" si="743"/>
        <v>UNIDAD DE EXTRACCION CENTRIFUGA DE ALTA PRESION</v>
      </c>
      <c r="C14478" s="6">
        <v>3852000</v>
      </c>
      <c r="D14478" s="5" t="s">
        <v>677</v>
      </c>
      <c r="E14478" s="5" t="str">
        <f t="shared" si="742"/>
        <v>ACTISALUD- PISO 10-ALA A</v>
      </c>
      <c r="F14478" s="5"/>
      <c r="G14478" s="5"/>
    </row>
    <row r="14479" spans="1:7" ht="58.5" customHeight="1" x14ac:dyDescent="0.25">
      <c r="A14479" s="5" t="str">
        <f>"H0032919"</f>
        <v>H0032919</v>
      </c>
      <c r="B14479" s="5" t="str">
        <f t="shared" si="743"/>
        <v>UNIDAD DE EXTRACCION CENTRIFUGA DE ALTA PRESION</v>
      </c>
      <c r="C14479" s="6">
        <v>3852000</v>
      </c>
      <c r="D14479" s="5" t="s">
        <v>677</v>
      </c>
      <c r="E14479" s="5" t="str">
        <f t="shared" si="742"/>
        <v>ACTISALUD- PISO 10-ALA A</v>
      </c>
      <c r="F14479" s="5"/>
      <c r="G14479" s="5"/>
    </row>
    <row r="14480" spans="1:7" ht="58.5" customHeight="1" x14ac:dyDescent="0.25">
      <c r="A14480" s="5" t="str">
        <f>"H0032920"</f>
        <v>H0032920</v>
      </c>
      <c r="B14480" s="5" t="str">
        <f t="shared" si="743"/>
        <v>UNIDAD DE EXTRACCION CENTRIFUGA DE ALTA PRESION</v>
      </c>
      <c r="C14480" s="6">
        <v>3852000</v>
      </c>
      <c r="D14480" s="5" t="s">
        <v>677</v>
      </c>
      <c r="E14480" s="5" t="str">
        <f t="shared" si="742"/>
        <v>ACTISALUD- PISO 10-ALA A</v>
      </c>
      <c r="F14480" s="5"/>
      <c r="G14480" s="5"/>
    </row>
    <row r="14481" spans="1:7" ht="58.5" customHeight="1" x14ac:dyDescent="0.25">
      <c r="A14481" s="5" t="str">
        <f>"H0032921"</f>
        <v>H0032921</v>
      </c>
      <c r="B14481" s="5" t="str">
        <f t="shared" si="743"/>
        <v>UNIDAD DE EXTRACCION CENTRIFUGA DE ALTA PRESION</v>
      </c>
      <c r="C14481" s="6">
        <v>3852000</v>
      </c>
      <c r="D14481" s="5" t="s">
        <v>677</v>
      </c>
      <c r="E14481" s="5" t="str">
        <f t="shared" si="742"/>
        <v>ACTISALUD- PISO 10-ALA A</v>
      </c>
      <c r="F14481" s="5"/>
      <c r="G14481" s="5"/>
    </row>
    <row r="14482" spans="1:7" ht="58.5" customHeight="1" x14ac:dyDescent="0.25">
      <c r="A14482" s="5" t="str">
        <f>"H0032922"</f>
        <v>H0032922</v>
      </c>
      <c r="B14482" s="5" t="str">
        <f t="shared" si="743"/>
        <v>UNIDAD DE EXTRACCION CENTRIFUGA DE ALTA PRESION</v>
      </c>
      <c r="C14482" s="6">
        <v>3852000</v>
      </c>
      <c r="D14482" s="5" t="s">
        <v>677</v>
      </c>
      <c r="E14482" s="5" t="str">
        <f t="shared" si="742"/>
        <v>ACTISALUD- PISO 10-ALA A</v>
      </c>
      <c r="F14482" s="5"/>
      <c r="G14482" s="5"/>
    </row>
    <row r="14483" spans="1:7" ht="58.5" customHeight="1" x14ac:dyDescent="0.25">
      <c r="A14483" s="5" t="str">
        <f>"H0032923"</f>
        <v>H0032923</v>
      </c>
      <c r="B14483" s="5" t="str">
        <f t="shared" si="743"/>
        <v>UNIDAD DE EXTRACCION CENTRIFUGA DE ALTA PRESION</v>
      </c>
      <c r="C14483" s="6">
        <v>3852000</v>
      </c>
      <c r="D14483" s="5" t="s">
        <v>677</v>
      </c>
      <c r="E14483" s="5" t="str">
        <f t="shared" si="742"/>
        <v>ACTISALUD- PISO 10-ALA A</v>
      </c>
      <c r="F14483" s="5"/>
      <c r="G14483" s="5"/>
    </row>
    <row r="14484" spans="1:7" ht="58.5" customHeight="1" x14ac:dyDescent="0.25">
      <c r="A14484" s="5" t="str">
        <f>"H0032924"</f>
        <v>H0032924</v>
      </c>
      <c r="B14484" s="5" t="str">
        <f t="shared" si="743"/>
        <v>UNIDAD DE EXTRACCION CENTRIFUGA DE ALTA PRESION</v>
      </c>
      <c r="C14484" s="6">
        <v>3852000</v>
      </c>
      <c r="D14484" s="5" t="s">
        <v>677</v>
      </c>
      <c r="E14484" s="5" t="str">
        <f t="shared" si="742"/>
        <v>ACTISALUD- PISO 10-ALA A</v>
      </c>
      <c r="F14484" s="5"/>
      <c r="G14484" s="5"/>
    </row>
    <row r="14485" spans="1:7" ht="58.5" customHeight="1" x14ac:dyDescent="0.25">
      <c r="A14485" s="5" t="str">
        <f>"H0032925"</f>
        <v>H0032925</v>
      </c>
      <c r="B14485" s="5" t="str">
        <f t="shared" si="743"/>
        <v>UNIDAD DE EXTRACCION CENTRIFUGA DE ALTA PRESION</v>
      </c>
      <c r="C14485" s="6">
        <v>3852000</v>
      </c>
      <c r="D14485" s="5" t="s">
        <v>677</v>
      </c>
      <c r="E14485" s="5" t="str">
        <f t="shared" si="742"/>
        <v>ACTISALUD- PISO 10-ALA A</v>
      </c>
      <c r="F14485" s="5"/>
      <c r="G14485" s="5"/>
    </row>
    <row r="14486" spans="1:7" ht="58.5" customHeight="1" x14ac:dyDescent="0.25">
      <c r="A14486" s="5" t="str">
        <f>"H0032926"</f>
        <v>H0032926</v>
      </c>
      <c r="B14486" s="5" t="str">
        <f t="shared" si="743"/>
        <v>UNIDAD DE EXTRACCION CENTRIFUGA DE ALTA PRESION</v>
      </c>
      <c r="C14486" s="6">
        <v>3852000</v>
      </c>
      <c r="D14486" s="5" t="s">
        <v>677</v>
      </c>
      <c r="E14486" s="5" t="str">
        <f t="shared" si="742"/>
        <v>ACTISALUD- PISO 10-ALA A</v>
      </c>
      <c r="F14486" s="5"/>
      <c r="G14486" s="5"/>
    </row>
    <row r="14487" spans="1:7" ht="58.5" customHeight="1" x14ac:dyDescent="0.25">
      <c r="A14487" s="5" t="str">
        <f>"H0032927"</f>
        <v>H0032927</v>
      </c>
      <c r="B14487" s="5" t="str">
        <f t="shared" si="743"/>
        <v>UNIDAD DE EXTRACCION CENTRIFUGA DE ALTA PRESION</v>
      </c>
      <c r="C14487" s="6">
        <v>3852000</v>
      </c>
      <c r="D14487" s="5" t="s">
        <v>677</v>
      </c>
      <c r="E14487" s="5" t="str">
        <f t="shared" si="742"/>
        <v>ACTISALUD- PISO 10-ALA A</v>
      </c>
      <c r="F14487" s="5"/>
      <c r="G14487" s="5"/>
    </row>
    <row r="14488" spans="1:7" ht="58.5" customHeight="1" x14ac:dyDescent="0.25">
      <c r="A14488" s="5" t="str">
        <f>"H0032954"</f>
        <v>H0032954</v>
      </c>
      <c r="B14488" s="5" t="s">
        <v>196</v>
      </c>
      <c r="C14488" s="6">
        <v>1180480</v>
      </c>
      <c r="D14488" s="5" t="s">
        <v>677</v>
      </c>
      <c r="E14488" s="5" t="str">
        <f t="shared" si="742"/>
        <v>ACTISALUD- PISO 10-ALA A</v>
      </c>
      <c r="F14488" s="5"/>
      <c r="G14488" s="5"/>
    </row>
    <row r="14489" spans="1:7" ht="58.5" customHeight="1" x14ac:dyDescent="0.25">
      <c r="A14489" s="5" t="str">
        <f>"H0032955"</f>
        <v>H0032955</v>
      </c>
      <c r="B14489" s="5" t="s">
        <v>196</v>
      </c>
      <c r="C14489" s="6">
        <v>1180480</v>
      </c>
      <c r="D14489" s="5" t="s">
        <v>677</v>
      </c>
      <c r="E14489" s="5" t="str">
        <f t="shared" si="742"/>
        <v>ACTISALUD- PISO 10-ALA A</v>
      </c>
      <c r="F14489" s="5"/>
      <c r="G14489" s="5"/>
    </row>
    <row r="14490" spans="1:7" ht="58.5" customHeight="1" x14ac:dyDescent="0.25">
      <c r="A14490" s="5" t="str">
        <f>"H0032956"</f>
        <v>H0032956</v>
      </c>
      <c r="B14490" s="5" t="s">
        <v>196</v>
      </c>
      <c r="C14490" s="6">
        <v>1180480</v>
      </c>
      <c r="D14490" s="5" t="s">
        <v>677</v>
      </c>
      <c r="E14490" s="5" t="str">
        <f t="shared" si="742"/>
        <v>ACTISALUD- PISO 10-ALA A</v>
      </c>
      <c r="F14490" s="5"/>
      <c r="G14490" s="5"/>
    </row>
    <row r="14491" spans="1:7" ht="58.5" customHeight="1" x14ac:dyDescent="0.25">
      <c r="A14491" s="5" t="str">
        <f>"H0032957"</f>
        <v>H0032957</v>
      </c>
      <c r="B14491" s="5" t="s">
        <v>196</v>
      </c>
      <c r="C14491" s="6">
        <v>1180480</v>
      </c>
      <c r="D14491" s="5" t="s">
        <v>677</v>
      </c>
      <c r="E14491" s="5" t="str">
        <f t="shared" si="742"/>
        <v>ACTISALUD- PISO 10-ALA A</v>
      </c>
      <c r="F14491" s="5"/>
      <c r="G14491" s="5"/>
    </row>
    <row r="14492" spans="1:7" ht="58.5" customHeight="1" x14ac:dyDescent="0.25">
      <c r="A14492" s="5" t="str">
        <f>"H0032958"</f>
        <v>H0032958</v>
      </c>
      <c r="B14492" s="5" t="s">
        <v>196</v>
      </c>
      <c r="C14492" s="6">
        <v>1180480</v>
      </c>
      <c r="D14492" s="5" t="s">
        <v>677</v>
      </c>
      <c r="E14492" s="5" t="str">
        <f t="shared" si="742"/>
        <v>ACTISALUD- PISO 10-ALA A</v>
      </c>
      <c r="F14492" s="5"/>
      <c r="G14492" s="5"/>
    </row>
    <row r="14493" spans="1:7" ht="58.5" customHeight="1" x14ac:dyDescent="0.25">
      <c r="A14493" s="5" t="str">
        <f>"H0032959"</f>
        <v>H0032959</v>
      </c>
      <c r="B14493" s="5" t="s">
        <v>196</v>
      </c>
      <c r="C14493" s="6">
        <v>1180480</v>
      </c>
      <c r="D14493" s="5" t="s">
        <v>677</v>
      </c>
      <c r="E14493" s="5" t="str">
        <f t="shared" si="742"/>
        <v>ACTISALUD- PISO 10-ALA A</v>
      </c>
      <c r="F14493" s="5"/>
      <c r="G14493" s="5"/>
    </row>
    <row r="14494" spans="1:7" ht="58.5" customHeight="1" x14ac:dyDescent="0.25">
      <c r="A14494" s="5" t="str">
        <f>"H0032960"</f>
        <v>H0032960</v>
      </c>
      <c r="B14494" s="5" t="s">
        <v>196</v>
      </c>
      <c r="C14494" s="6">
        <v>1180480</v>
      </c>
      <c r="D14494" s="5" t="s">
        <v>677</v>
      </c>
      <c r="E14494" s="5" t="str">
        <f t="shared" ref="E14494:E14557" si="744">"ACTISALUD- PISO 10-ALA A"</f>
        <v>ACTISALUD- PISO 10-ALA A</v>
      </c>
      <c r="F14494" s="5"/>
      <c r="G14494" s="5"/>
    </row>
    <row r="14495" spans="1:7" ht="58.5" customHeight="1" x14ac:dyDescent="0.25">
      <c r="A14495" s="5" t="str">
        <f>"H0032961"</f>
        <v>H0032961</v>
      </c>
      <c r="B14495" s="5" t="s">
        <v>196</v>
      </c>
      <c r="C14495" s="6">
        <v>1180480</v>
      </c>
      <c r="D14495" s="5" t="s">
        <v>677</v>
      </c>
      <c r="E14495" s="5" t="str">
        <f t="shared" si="744"/>
        <v>ACTISALUD- PISO 10-ALA A</v>
      </c>
      <c r="F14495" s="5"/>
      <c r="G14495" s="5"/>
    </row>
    <row r="14496" spans="1:7" ht="58.5" customHeight="1" x14ac:dyDescent="0.25">
      <c r="A14496" s="5" t="str">
        <f>"H0032962"</f>
        <v>H0032962</v>
      </c>
      <c r="B14496" s="5" t="s">
        <v>196</v>
      </c>
      <c r="C14496" s="6">
        <v>1180480</v>
      </c>
      <c r="D14496" s="5" t="s">
        <v>677</v>
      </c>
      <c r="E14496" s="5" t="str">
        <f t="shared" si="744"/>
        <v>ACTISALUD- PISO 10-ALA A</v>
      </c>
      <c r="F14496" s="5"/>
      <c r="G14496" s="5"/>
    </row>
    <row r="14497" spans="1:7" ht="58.5" customHeight="1" x14ac:dyDescent="0.25">
      <c r="A14497" s="5" t="str">
        <f>"H0032963"</f>
        <v>H0032963</v>
      </c>
      <c r="B14497" s="5" t="s">
        <v>196</v>
      </c>
      <c r="C14497" s="6">
        <v>1180480</v>
      </c>
      <c r="D14497" s="5" t="s">
        <v>677</v>
      </c>
      <c r="E14497" s="5" t="str">
        <f t="shared" si="744"/>
        <v>ACTISALUD- PISO 10-ALA A</v>
      </c>
      <c r="F14497" s="5"/>
      <c r="G14497" s="5"/>
    </row>
    <row r="14498" spans="1:7" ht="58.5" customHeight="1" x14ac:dyDescent="0.25">
      <c r="A14498" s="5" t="str">
        <f>"H0032964"</f>
        <v>H0032964</v>
      </c>
      <c r="B14498" s="5" t="s">
        <v>196</v>
      </c>
      <c r="C14498" s="6">
        <v>1180480</v>
      </c>
      <c r="D14498" s="5" t="s">
        <v>677</v>
      </c>
      <c r="E14498" s="5" t="str">
        <f t="shared" si="744"/>
        <v>ACTISALUD- PISO 10-ALA A</v>
      </c>
      <c r="F14498" s="5"/>
      <c r="G14498" s="5"/>
    </row>
    <row r="14499" spans="1:7" ht="58.5" customHeight="1" x14ac:dyDescent="0.25">
      <c r="A14499" s="5" t="str">
        <f>"H0032965"</f>
        <v>H0032965</v>
      </c>
      <c r="B14499" s="5" t="s">
        <v>196</v>
      </c>
      <c r="C14499" s="6">
        <v>1180480</v>
      </c>
      <c r="D14499" s="5" t="s">
        <v>677</v>
      </c>
      <c r="E14499" s="5" t="str">
        <f t="shared" si="744"/>
        <v>ACTISALUD- PISO 10-ALA A</v>
      </c>
      <c r="F14499" s="5"/>
      <c r="G14499" s="5"/>
    </row>
    <row r="14500" spans="1:7" ht="58.5" customHeight="1" x14ac:dyDescent="0.25">
      <c r="A14500" s="5" t="str">
        <f>"H0033018"</f>
        <v>H0033018</v>
      </c>
      <c r="B14500" s="5" t="str">
        <f>"LARINGO DE FIBRA OPTICA (DONACION)"</f>
        <v>LARINGO DE FIBRA OPTICA (DONACION)</v>
      </c>
      <c r="C14500" s="6">
        <v>318536</v>
      </c>
      <c r="D14500" s="5" t="s">
        <v>503</v>
      </c>
      <c r="E14500" s="5" t="str">
        <f t="shared" si="744"/>
        <v>ACTISALUD- PISO 10-ALA A</v>
      </c>
      <c r="F14500" s="5"/>
      <c r="G14500" s="5"/>
    </row>
    <row r="14501" spans="1:7" ht="58.5" customHeight="1" x14ac:dyDescent="0.25">
      <c r="A14501" s="5" t="str">
        <f>"H0033019"</f>
        <v>H0033019</v>
      </c>
      <c r="B14501" s="5" t="str">
        <f>"LARINGO DE FIBRA OPTICA (DONACION)"</f>
        <v>LARINGO DE FIBRA OPTICA (DONACION)</v>
      </c>
      <c r="C14501" s="6">
        <v>318536</v>
      </c>
      <c r="D14501" s="5" t="s">
        <v>503</v>
      </c>
      <c r="E14501" s="5" t="str">
        <f t="shared" si="744"/>
        <v>ACTISALUD- PISO 10-ALA A</v>
      </c>
      <c r="F14501" s="5"/>
      <c r="G14501" s="5"/>
    </row>
    <row r="14502" spans="1:7" ht="58.5" customHeight="1" x14ac:dyDescent="0.25">
      <c r="A14502" s="5" t="str">
        <f>"H0033064"</f>
        <v>H0033064</v>
      </c>
      <c r="B14502" s="5" t="str">
        <f>"MONITOR DE SIGNOS VITALES"</f>
        <v>MONITOR DE SIGNOS VITALES</v>
      </c>
      <c r="C14502" s="6">
        <v>9470000</v>
      </c>
      <c r="D14502" s="5" t="s">
        <v>119</v>
      </c>
      <c r="E14502" s="5" t="str">
        <f t="shared" si="744"/>
        <v>ACTISALUD- PISO 10-ALA A</v>
      </c>
      <c r="F14502" s="5"/>
      <c r="G14502" s="5"/>
    </row>
    <row r="14503" spans="1:7" ht="58.5" customHeight="1" x14ac:dyDescent="0.25">
      <c r="A14503" s="5" t="str">
        <f>"H0033091"</f>
        <v>H0033091</v>
      </c>
      <c r="B14503" s="5" t="str">
        <f>"MONITOR DE SIGNOS VITALES"</f>
        <v>MONITOR DE SIGNOS VITALES</v>
      </c>
      <c r="C14503" s="6">
        <v>9470000</v>
      </c>
      <c r="D14503" s="5" t="s">
        <v>119</v>
      </c>
      <c r="E14503" s="5" t="str">
        <f t="shared" si="744"/>
        <v>ACTISALUD- PISO 10-ALA A</v>
      </c>
      <c r="F14503" s="5"/>
      <c r="G14503" s="5"/>
    </row>
    <row r="14504" spans="1:7" ht="58.5" customHeight="1" x14ac:dyDescent="0.25">
      <c r="A14504" s="5" t="str">
        <f>"H0033124"</f>
        <v>H0033124</v>
      </c>
      <c r="B14504"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4504" s="6">
        <v>2533333</v>
      </c>
      <c r="D14504" s="5" t="s">
        <v>157</v>
      </c>
      <c r="E14504" s="5" t="str">
        <f t="shared" si="744"/>
        <v>ACTISALUD- PISO 10-ALA A</v>
      </c>
      <c r="F14504" s="5"/>
      <c r="G14504" s="5"/>
    </row>
    <row r="14505" spans="1:7" ht="58.5" customHeight="1" x14ac:dyDescent="0.25">
      <c r="A14505" s="5" t="str">
        <f>"H0033185"</f>
        <v>H0033185</v>
      </c>
      <c r="B14505"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4505" s="6">
        <v>2533333</v>
      </c>
      <c r="D14505" s="5" t="s">
        <v>157</v>
      </c>
      <c r="E14505" s="5" t="str">
        <f t="shared" si="744"/>
        <v>ACTISALUD- PISO 10-ALA A</v>
      </c>
      <c r="F14505" s="5"/>
      <c r="G14505" s="5"/>
    </row>
    <row r="14506" spans="1:7" ht="58.5" customHeight="1" x14ac:dyDescent="0.25">
      <c r="A14506" s="5" t="str">
        <f>"H0033262"</f>
        <v>H0033262</v>
      </c>
      <c r="B14506" s="5" t="str">
        <f>"EQUIPO DE ORGANOS PORTATIL. Batería Recargable. Luz LED blanca y fría. Oftalmoscopio mínimo 5 lentes de apertura. otoscopio con lente de lupa. Estuche protector"</f>
        <v>EQUIPO DE ORGANOS PORTATIL. Batería Recargable. Luz LED blanca y fría. Oftalmoscopio mínimo 5 lentes de apertura. otoscopio con lente de lupa. Estuche protector</v>
      </c>
      <c r="C14506" s="6">
        <v>1170000</v>
      </c>
      <c r="D14506" s="5" t="s">
        <v>119</v>
      </c>
      <c r="E14506" s="5" t="str">
        <f t="shared" si="744"/>
        <v>ACTISALUD- PISO 10-ALA A</v>
      </c>
      <c r="F14506" s="5"/>
      <c r="G14506" s="5"/>
    </row>
    <row r="14507" spans="1:7" ht="58.5" customHeight="1" x14ac:dyDescent="0.25">
      <c r="A14507" s="5" t="str">
        <f>"H0033301"</f>
        <v>H0033301</v>
      </c>
      <c r="B14507" s="5" t="str">
        <f t="shared" ref="B14507:B14521" si="745">"BOMBA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4507" s="6">
        <v>2533333</v>
      </c>
      <c r="D14507" s="5" t="s">
        <v>120</v>
      </c>
      <c r="E14507" s="5" t="str">
        <f t="shared" si="744"/>
        <v>ACTISALUD- PISO 10-ALA A</v>
      </c>
      <c r="F14507" s="5"/>
      <c r="G14507" s="5"/>
    </row>
    <row r="14508" spans="1:7" ht="58.5" customHeight="1" x14ac:dyDescent="0.25">
      <c r="A14508" s="5" t="str">
        <f>"H0033321"</f>
        <v>H0033321</v>
      </c>
      <c r="B14508" s="5" t="str">
        <f t="shared" si="745"/>
        <v>BOMBA DE INFUSION. Apilables.5 modos. 01-1200 ml/h. 0.1 ml incr. Compatible con set de infusión genérico. anti-bolo. Detección de aire. Alarmas visuales audibles. Bitacora 1.000 reg. Batería de litio</v>
      </c>
      <c r="C14508" s="6">
        <v>2533333</v>
      </c>
      <c r="D14508" s="5" t="s">
        <v>120</v>
      </c>
      <c r="E14508" s="5" t="str">
        <f t="shared" si="744"/>
        <v>ACTISALUD- PISO 10-ALA A</v>
      </c>
      <c r="F14508" s="5"/>
      <c r="G14508" s="5"/>
    </row>
    <row r="14509" spans="1:7" ht="58.5" customHeight="1" x14ac:dyDescent="0.25">
      <c r="A14509" s="5" t="str">
        <f>"H0033502"</f>
        <v>H0033502</v>
      </c>
      <c r="B14509" s="5" t="str">
        <f t="shared" si="745"/>
        <v>BOMBA DE INFUSION. Apilables.5 modos. 01-1200 ml/h. 0.1 ml incr. Compatible con set de infusión genérico. anti-bolo. Detección de aire. Alarmas visuales audibles. Bitacora 1.000 reg. Batería de litio</v>
      </c>
      <c r="C14509" s="6">
        <v>2533333</v>
      </c>
      <c r="D14509" s="5" t="s">
        <v>120</v>
      </c>
      <c r="E14509" s="5" t="str">
        <f t="shared" si="744"/>
        <v>ACTISALUD- PISO 10-ALA A</v>
      </c>
      <c r="F14509" s="5"/>
      <c r="G14509" s="5"/>
    </row>
    <row r="14510" spans="1:7" ht="58.5" customHeight="1" x14ac:dyDescent="0.25">
      <c r="A14510" s="5" t="str">
        <f>"H0033507"</f>
        <v>H0033507</v>
      </c>
      <c r="B14510" s="5" t="str">
        <f t="shared" si="745"/>
        <v>BOMBA DE INFUSION. Apilables.5 modos. 01-1200 ml/h. 0.1 ml incr. Compatible con set de infusión genérico. anti-bolo. Detección de aire. Alarmas visuales audibles. Bitacora 1.000 reg. Batería de litio</v>
      </c>
      <c r="C14510" s="6">
        <v>2533333</v>
      </c>
      <c r="D14510" s="5" t="s">
        <v>120</v>
      </c>
      <c r="E14510" s="5" t="str">
        <f t="shared" si="744"/>
        <v>ACTISALUD- PISO 10-ALA A</v>
      </c>
      <c r="F14510" s="5"/>
      <c r="G14510" s="5"/>
    </row>
    <row r="14511" spans="1:7" ht="58.5" customHeight="1" x14ac:dyDescent="0.25">
      <c r="A14511" s="5" t="str">
        <f>"H0033518"</f>
        <v>H0033518</v>
      </c>
      <c r="B14511" s="5" t="str">
        <f t="shared" si="745"/>
        <v>BOMBA DE INFUSION. Apilables.5 modos. 01-1200 ml/h. 0.1 ml incr. Compatible con set de infusión genérico. anti-bolo. Detección de aire. Alarmas visuales audibles. Bitacora 1.000 reg. Batería de litio</v>
      </c>
      <c r="C14511" s="6">
        <v>2533333</v>
      </c>
      <c r="D14511" s="5" t="s">
        <v>120</v>
      </c>
      <c r="E14511" s="5" t="str">
        <f t="shared" si="744"/>
        <v>ACTISALUD- PISO 10-ALA A</v>
      </c>
      <c r="F14511" s="5"/>
      <c r="G14511" s="5"/>
    </row>
    <row r="14512" spans="1:7" ht="58.5" customHeight="1" x14ac:dyDescent="0.25">
      <c r="A14512" s="5" t="str">
        <f>"H0033532"</f>
        <v>H0033532</v>
      </c>
      <c r="B14512" s="5" t="str">
        <f t="shared" si="745"/>
        <v>BOMBA DE INFUSION. Apilables.5 modos. 01-1200 ml/h. 0.1 ml incr. Compatible con set de infusión genérico. anti-bolo. Detección de aire. Alarmas visuales audibles. Bitacora 1.000 reg. Batería de litio</v>
      </c>
      <c r="C14512" s="6">
        <v>2533333</v>
      </c>
      <c r="D14512" s="5" t="s">
        <v>120</v>
      </c>
      <c r="E14512" s="5" t="str">
        <f t="shared" si="744"/>
        <v>ACTISALUD- PISO 10-ALA A</v>
      </c>
      <c r="F14512" s="5"/>
      <c r="G14512" s="5"/>
    </row>
    <row r="14513" spans="1:7" ht="58.5" customHeight="1" x14ac:dyDescent="0.25">
      <c r="A14513" s="5" t="str">
        <f>"H0033582"</f>
        <v>H0033582</v>
      </c>
      <c r="B14513" s="5" t="str">
        <f t="shared" si="745"/>
        <v>BOMBA DE INFUSION. Apilables.5 modos. 01-1200 ml/h. 0.1 ml incr. Compatible con set de infusión genérico. anti-bolo. Detección de aire. Alarmas visuales audibles. Bitacora 1.000 reg. Batería de litio</v>
      </c>
      <c r="C14513" s="6">
        <v>2533333</v>
      </c>
      <c r="D14513" s="5" t="s">
        <v>120</v>
      </c>
      <c r="E14513" s="5" t="str">
        <f t="shared" si="744"/>
        <v>ACTISALUD- PISO 10-ALA A</v>
      </c>
      <c r="F14513" s="5"/>
      <c r="G14513" s="5"/>
    </row>
    <row r="14514" spans="1:7" ht="58.5" customHeight="1" x14ac:dyDescent="0.25">
      <c r="A14514" s="5" t="str">
        <f>"H0033600"</f>
        <v>H0033600</v>
      </c>
      <c r="B14514" s="5" t="str">
        <f t="shared" si="745"/>
        <v>BOMBA DE INFUSION. Apilables.5 modos. 01-1200 ml/h. 0.1 ml incr. Compatible con set de infusión genérico. anti-bolo. Detección de aire. Alarmas visuales audibles. Bitacora 1.000 reg. Batería de litio</v>
      </c>
      <c r="C14514" s="6">
        <v>2533333</v>
      </c>
      <c r="D14514" s="5" t="s">
        <v>120</v>
      </c>
      <c r="E14514" s="5" t="str">
        <f t="shared" si="744"/>
        <v>ACTISALUD- PISO 10-ALA A</v>
      </c>
      <c r="F14514" s="5"/>
      <c r="G14514" s="5"/>
    </row>
    <row r="14515" spans="1:7" ht="58.5" customHeight="1" x14ac:dyDescent="0.25">
      <c r="A14515" s="5" t="str">
        <f>"H0033651"</f>
        <v>H0033651</v>
      </c>
      <c r="B14515" s="5" t="str">
        <f t="shared" si="745"/>
        <v>BOMBA DE INFUSION. Apilables.5 modos. 01-1200 ml/h. 0.1 ml incr. Compatible con set de infusión genérico. anti-bolo. Detección de aire. Alarmas visuales audibles. Bitacora 1.000 reg. Batería de litio</v>
      </c>
      <c r="C14515" s="6">
        <v>2533333</v>
      </c>
      <c r="D14515" s="5" t="s">
        <v>120</v>
      </c>
      <c r="E14515" s="5" t="str">
        <f t="shared" si="744"/>
        <v>ACTISALUD- PISO 10-ALA A</v>
      </c>
      <c r="F14515" s="5"/>
      <c r="G14515" s="5"/>
    </row>
    <row r="14516" spans="1:7" ht="58.5" customHeight="1" x14ac:dyDescent="0.25">
      <c r="A14516" s="5" t="str">
        <f>"H0033679"</f>
        <v>H0033679</v>
      </c>
      <c r="B14516" s="5" t="str">
        <f t="shared" si="745"/>
        <v>BOMBA DE INFUSION. Apilables.5 modos. 01-1200 ml/h. 0.1 ml incr. Compatible con set de infusión genérico. anti-bolo. Detección de aire. Alarmas visuales audibles. Bitacora 1.000 reg. Batería de litio</v>
      </c>
      <c r="C14516" s="6">
        <v>2533333</v>
      </c>
      <c r="D14516" s="5" t="s">
        <v>120</v>
      </c>
      <c r="E14516" s="5" t="str">
        <f t="shared" si="744"/>
        <v>ACTISALUD- PISO 10-ALA A</v>
      </c>
      <c r="F14516" s="5"/>
      <c r="G14516" s="5"/>
    </row>
    <row r="14517" spans="1:7" ht="58.5" customHeight="1" x14ac:dyDescent="0.25">
      <c r="A14517" s="5" t="str">
        <f>"H0033711"</f>
        <v>H0033711</v>
      </c>
      <c r="B14517" s="5" t="str">
        <f t="shared" si="745"/>
        <v>BOMBA DE INFUSION. Apilables.5 modos. 01-1200 ml/h. 0.1 ml incr. Compatible con set de infusión genérico. anti-bolo. Detección de aire. Alarmas visuales audibles. Bitacora 1.000 reg. Batería de litio</v>
      </c>
      <c r="C14517" s="6">
        <v>2533333</v>
      </c>
      <c r="D14517" s="5" t="s">
        <v>120</v>
      </c>
      <c r="E14517" s="5" t="str">
        <f t="shared" si="744"/>
        <v>ACTISALUD- PISO 10-ALA A</v>
      </c>
      <c r="F14517" s="5"/>
      <c r="G14517" s="5"/>
    </row>
    <row r="14518" spans="1:7" ht="58.5" customHeight="1" x14ac:dyDescent="0.25">
      <c r="A14518" s="5" t="str">
        <f>"H0033717"</f>
        <v>H0033717</v>
      </c>
      <c r="B14518" s="5" t="str">
        <f t="shared" si="745"/>
        <v>BOMBA DE INFUSION. Apilables.5 modos. 01-1200 ml/h. 0.1 ml incr. Compatible con set de infusión genérico. anti-bolo. Detección de aire. Alarmas visuales audibles. Bitacora 1.000 reg. Batería de litio</v>
      </c>
      <c r="C14518" s="6">
        <v>2533333</v>
      </c>
      <c r="D14518" s="5" t="s">
        <v>120</v>
      </c>
      <c r="E14518" s="5" t="str">
        <f t="shared" si="744"/>
        <v>ACTISALUD- PISO 10-ALA A</v>
      </c>
      <c r="F14518" s="5"/>
      <c r="G14518" s="5"/>
    </row>
    <row r="14519" spans="1:7" ht="58.5" customHeight="1" x14ac:dyDescent="0.25">
      <c r="A14519" s="5" t="str">
        <f>"H0033725"</f>
        <v>H0033725</v>
      </c>
      <c r="B14519" s="5" t="str">
        <f t="shared" si="745"/>
        <v>BOMBA DE INFUSION. Apilables.5 modos. 01-1200 ml/h. 0.1 ml incr. Compatible con set de infusión genérico. anti-bolo. Detección de aire. Alarmas visuales audibles. Bitacora 1.000 reg. Batería de litio</v>
      </c>
      <c r="C14519" s="6">
        <v>2533333</v>
      </c>
      <c r="D14519" s="5" t="s">
        <v>120</v>
      </c>
      <c r="E14519" s="5" t="str">
        <f t="shared" si="744"/>
        <v>ACTISALUD- PISO 10-ALA A</v>
      </c>
      <c r="F14519" s="5"/>
      <c r="G14519" s="5"/>
    </row>
    <row r="14520" spans="1:7" ht="58.5" customHeight="1" x14ac:dyDescent="0.25">
      <c r="A14520" s="5" t="str">
        <f>"H0033731"</f>
        <v>H0033731</v>
      </c>
      <c r="B14520" s="5" t="str">
        <f t="shared" si="745"/>
        <v>BOMBA DE INFUSION. Apilables.5 modos. 01-1200 ml/h. 0.1 ml incr. Compatible con set de infusión genérico. anti-bolo. Detección de aire. Alarmas visuales audibles. Bitacora 1.000 reg. Batería de litio</v>
      </c>
      <c r="C14520" s="6">
        <v>2533333</v>
      </c>
      <c r="D14520" s="5" t="s">
        <v>120</v>
      </c>
      <c r="E14520" s="5" t="str">
        <f t="shared" si="744"/>
        <v>ACTISALUD- PISO 10-ALA A</v>
      </c>
      <c r="F14520" s="5"/>
      <c r="G14520" s="5"/>
    </row>
    <row r="14521" spans="1:7" ht="58.5" customHeight="1" x14ac:dyDescent="0.25">
      <c r="A14521" s="5" t="str">
        <f>"H0033789"</f>
        <v>H0033789</v>
      </c>
      <c r="B14521" s="5" t="str">
        <f t="shared" si="745"/>
        <v>BOMBA DE INFUSION. Apilables.5 modos. 01-1200 ml/h. 0.1 ml incr. Compatible con set de infusión genérico. anti-bolo. Detección de aire. Alarmas visuales audibles. Bitacora 1.000 reg. Batería de litio</v>
      </c>
      <c r="C14521" s="6">
        <v>2533333</v>
      </c>
      <c r="D14521" s="5" t="s">
        <v>120</v>
      </c>
      <c r="E14521" s="5" t="str">
        <f t="shared" si="744"/>
        <v>ACTISALUD- PISO 10-ALA A</v>
      </c>
      <c r="F14521" s="5"/>
      <c r="G14521" s="5"/>
    </row>
    <row r="14522" spans="1:7" ht="58.5" customHeight="1" x14ac:dyDescent="0.25">
      <c r="A14522" s="5" t="str">
        <f>"H0033910"</f>
        <v>H0033910</v>
      </c>
      <c r="B14522" s="5" t="str">
        <f>"LECTOR DE HUELLAS DIGITALES"</f>
        <v>LECTOR DE HUELLAS DIGITALES</v>
      </c>
      <c r="C14522" s="6">
        <v>340340</v>
      </c>
      <c r="D14522" s="5" t="s">
        <v>119</v>
      </c>
      <c r="E14522" s="5" t="str">
        <f t="shared" si="744"/>
        <v>ACTISALUD- PISO 10-ALA A</v>
      </c>
      <c r="F14522" s="5"/>
      <c r="G14522" s="5"/>
    </row>
    <row r="14523" spans="1:7" ht="58.5" customHeight="1" x14ac:dyDescent="0.25">
      <c r="A14523" s="5" t="str">
        <f>"H0033911"</f>
        <v>H0033911</v>
      </c>
      <c r="B14523" s="5" t="str">
        <f>"LECTOR DE HUELLAS DIGITALES"</f>
        <v>LECTOR DE HUELLAS DIGITALES</v>
      </c>
      <c r="C14523" s="6">
        <v>340340</v>
      </c>
      <c r="D14523" s="5" t="s">
        <v>119</v>
      </c>
      <c r="E14523" s="5" t="str">
        <f t="shared" si="744"/>
        <v>ACTISALUD- PISO 10-ALA A</v>
      </c>
      <c r="F14523" s="5"/>
      <c r="G14523" s="5"/>
    </row>
    <row r="14524" spans="1:7" ht="58.5" customHeight="1" x14ac:dyDescent="0.25">
      <c r="A14524" s="5" t="str">
        <f>"H0033946"</f>
        <v>H0033946</v>
      </c>
      <c r="B14524" s="5" t="str">
        <f>"LECTOR DE HUELLAS DIGITALES"</f>
        <v>LECTOR DE HUELLAS DIGITALES</v>
      </c>
      <c r="C14524" s="6">
        <v>340340</v>
      </c>
      <c r="D14524" s="5" t="s">
        <v>119</v>
      </c>
      <c r="E14524" s="5" t="str">
        <f t="shared" si="744"/>
        <v>ACTISALUD- PISO 10-ALA A</v>
      </c>
      <c r="F14524" s="5"/>
      <c r="G14524" s="5"/>
    </row>
    <row r="14525" spans="1:7" ht="58.5" customHeight="1" x14ac:dyDescent="0.25">
      <c r="A14525" s="5" t="str">
        <f>"H0033960"</f>
        <v>H0033960</v>
      </c>
      <c r="B14525" s="5" t="s">
        <v>329</v>
      </c>
      <c r="C14525" s="6">
        <v>258000</v>
      </c>
      <c r="D14525" s="5" t="s">
        <v>122</v>
      </c>
      <c r="E14525" s="5" t="str">
        <f t="shared" si="744"/>
        <v>ACTISALUD- PISO 10-ALA A</v>
      </c>
      <c r="F14525" s="5"/>
      <c r="G14525" s="5"/>
    </row>
    <row r="14526" spans="1:7" ht="58.5" customHeight="1" x14ac:dyDescent="0.25">
      <c r="A14526" s="5" t="str">
        <f>"H0033961"</f>
        <v>H0033961</v>
      </c>
      <c r="B14526" s="5" t="s">
        <v>329</v>
      </c>
      <c r="C14526" s="6">
        <v>258000</v>
      </c>
      <c r="D14526" s="5" t="s">
        <v>122</v>
      </c>
      <c r="E14526" s="5" t="str">
        <f t="shared" si="744"/>
        <v>ACTISALUD- PISO 10-ALA A</v>
      </c>
      <c r="F14526" s="5"/>
      <c r="G14526" s="5"/>
    </row>
    <row r="14527" spans="1:7" ht="58.5" customHeight="1" x14ac:dyDescent="0.25">
      <c r="A14527" s="5" t="str">
        <f>"H0033962"</f>
        <v>H0033962</v>
      </c>
      <c r="B14527" s="5" t="s">
        <v>329</v>
      </c>
      <c r="C14527" s="6">
        <v>258000</v>
      </c>
      <c r="D14527" s="5" t="s">
        <v>122</v>
      </c>
      <c r="E14527" s="5" t="str">
        <f t="shared" si="744"/>
        <v>ACTISALUD- PISO 10-ALA A</v>
      </c>
      <c r="F14527" s="5"/>
      <c r="G14527" s="5"/>
    </row>
    <row r="14528" spans="1:7" ht="58.5" customHeight="1" x14ac:dyDescent="0.25">
      <c r="A14528" s="5" t="str">
        <f>"H0033963"</f>
        <v>H0033963</v>
      </c>
      <c r="B14528" s="5" t="s">
        <v>329</v>
      </c>
      <c r="C14528" s="6">
        <v>258000</v>
      </c>
      <c r="D14528" s="5" t="s">
        <v>122</v>
      </c>
      <c r="E14528" s="5" t="str">
        <f t="shared" si="744"/>
        <v>ACTISALUD- PISO 10-ALA A</v>
      </c>
      <c r="F14528" s="5"/>
      <c r="G14528" s="5"/>
    </row>
    <row r="14529" spans="1:7" ht="58.5" customHeight="1" x14ac:dyDescent="0.25">
      <c r="A14529" s="5" t="str">
        <f>"H0033964"</f>
        <v>H0033964</v>
      </c>
      <c r="B14529" s="5" t="s">
        <v>329</v>
      </c>
      <c r="C14529" s="6">
        <v>258000</v>
      </c>
      <c r="D14529" s="5" t="s">
        <v>122</v>
      </c>
      <c r="E14529" s="5" t="str">
        <f t="shared" si="744"/>
        <v>ACTISALUD- PISO 10-ALA A</v>
      </c>
      <c r="F14529" s="5"/>
      <c r="G14529" s="5"/>
    </row>
    <row r="14530" spans="1:7" ht="58.5" customHeight="1" x14ac:dyDescent="0.25">
      <c r="A14530" s="5" t="str">
        <f>"H0033965"</f>
        <v>H0033965</v>
      </c>
      <c r="B14530" s="5" t="s">
        <v>329</v>
      </c>
      <c r="C14530" s="6">
        <v>258000</v>
      </c>
      <c r="D14530" s="5" t="s">
        <v>122</v>
      </c>
      <c r="E14530" s="5" t="str">
        <f t="shared" si="744"/>
        <v>ACTISALUD- PISO 10-ALA A</v>
      </c>
      <c r="F14530" s="5"/>
      <c r="G14530" s="5"/>
    </row>
    <row r="14531" spans="1:7" ht="58.5" customHeight="1" x14ac:dyDescent="0.25">
      <c r="A14531" s="5" t="str">
        <f>"H0033966"</f>
        <v>H0033966</v>
      </c>
      <c r="B14531" s="5" t="s">
        <v>329</v>
      </c>
      <c r="C14531" s="6">
        <v>258000</v>
      </c>
      <c r="D14531" s="5" t="s">
        <v>122</v>
      </c>
      <c r="E14531" s="5" t="str">
        <f t="shared" si="744"/>
        <v>ACTISALUD- PISO 10-ALA A</v>
      </c>
      <c r="F14531" s="5"/>
      <c r="G14531" s="5"/>
    </row>
    <row r="14532" spans="1:7" ht="58.5" customHeight="1" x14ac:dyDescent="0.25">
      <c r="A14532" s="5" t="str">
        <f>"H0033967"</f>
        <v>H0033967</v>
      </c>
      <c r="B14532" s="5" t="s">
        <v>329</v>
      </c>
      <c r="C14532" s="6">
        <v>258000</v>
      </c>
      <c r="D14532" s="5" t="s">
        <v>122</v>
      </c>
      <c r="E14532" s="5" t="str">
        <f t="shared" si="744"/>
        <v>ACTISALUD- PISO 10-ALA A</v>
      </c>
      <c r="F14532" s="5"/>
      <c r="G14532" s="5"/>
    </row>
    <row r="14533" spans="1:7" ht="58.5" customHeight="1" x14ac:dyDescent="0.25">
      <c r="A14533" s="5" t="str">
        <f>"H0033968"</f>
        <v>H0033968</v>
      </c>
      <c r="B14533" s="5" t="s">
        <v>329</v>
      </c>
      <c r="C14533" s="6">
        <v>258000</v>
      </c>
      <c r="D14533" s="5" t="s">
        <v>122</v>
      </c>
      <c r="E14533" s="5" t="str">
        <f t="shared" si="744"/>
        <v>ACTISALUD- PISO 10-ALA A</v>
      </c>
      <c r="F14533" s="5"/>
      <c r="G14533" s="5"/>
    </row>
    <row r="14534" spans="1:7" ht="58.5" customHeight="1" x14ac:dyDescent="0.25">
      <c r="A14534" s="5" t="str">
        <f>"H0033969"</f>
        <v>H0033969</v>
      </c>
      <c r="B14534" s="5" t="s">
        <v>329</v>
      </c>
      <c r="C14534" s="6">
        <v>258000</v>
      </c>
      <c r="D14534" s="5" t="s">
        <v>122</v>
      </c>
      <c r="E14534" s="5" t="str">
        <f t="shared" si="744"/>
        <v>ACTISALUD- PISO 10-ALA A</v>
      </c>
      <c r="F14534" s="5"/>
      <c r="G14534" s="5"/>
    </row>
    <row r="14535" spans="1:7" ht="58.5" customHeight="1" x14ac:dyDescent="0.25">
      <c r="A14535" s="5" t="str">
        <f>"H0033970"</f>
        <v>H0033970</v>
      </c>
      <c r="B14535" s="5" t="s">
        <v>329</v>
      </c>
      <c r="C14535" s="6">
        <v>258000</v>
      </c>
      <c r="D14535" s="5" t="s">
        <v>122</v>
      </c>
      <c r="E14535" s="5" t="str">
        <f t="shared" si="744"/>
        <v>ACTISALUD- PISO 10-ALA A</v>
      </c>
      <c r="F14535" s="5"/>
      <c r="G14535" s="5"/>
    </row>
    <row r="14536" spans="1:7" ht="58.5" customHeight="1" x14ac:dyDescent="0.25">
      <c r="A14536" s="5" t="str">
        <f>"H0033971"</f>
        <v>H0033971</v>
      </c>
      <c r="B14536" s="5" t="s">
        <v>329</v>
      </c>
      <c r="C14536" s="6">
        <v>258000</v>
      </c>
      <c r="D14536" s="5" t="s">
        <v>122</v>
      </c>
      <c r="E14536" s="5" t="str">
        <f t="shared" si="744"/>
        <v>ACTISALUD- PISO 10-ALA A</v>
      </c>
      <c r="F14536" s="5"/>
      <c r="G14536" s="5"/>
    </row>
    <row r="14537" spans="1:7" ht="58.5" customHeight="1" x14ac:dyDescent="0.25">
      <c r="A14537" s="5" t="str">
        <f>"H0033972"</f>
        <v>H0033972</v>
      </c>
      <c r="B14537" s="5" t="s">
        <v>329</v>
      </c>
      <c r="C14537" s="6">
        <v>258000</v>
      </c>
      <c r="D14537" s="5" t="s">
        <v>122</v>
      </c>
      <c r="E14537" s="5" t="str">
        <f t="shared" si="744"/>
        <v>ACTISALUD- PISO 10-ALA A</v>
      </c>
      <c r="F14537" s="5"/>
      <c r="G14537" s="5"/>
    </row>
    <row r="14538" spans="1:7" ht="58.5" customHeight="1" x14ac:dyDescent="0.25">
      <c r="A14538" s="5" t="str">
        <f>"H0033973"</f>
        <v>H0033973</v>
      </c>
      <c r="B14538" s="5" t="s">
        <v>329</v>
      </c>
      <c r="C14538" s="6">
        <v>258000</v>
      </c>
      <c r="D14538" s="5" t="s">
        <v>122</v>
      </c>
      <c r="E14538" s="5" t="str">
        <f t="shared" si="744"/>
        <v>ACTISALUD- PISO 10-ALA A</v>
      </c>
      <c r="F14538" s="5"/>
      <c r="G14538" s="5"/>
    </row>
    <row r="14539" spans="1:7" ht="58.5" customHeight="1" x14ac:dyDescent="0.25">
      <c r="A14539" s="5" t="str">
        <f>"H0033974"</f>
        <v>H0033974</v>
      </c>
      <c r="B14539" s="5" t="s">
        <v>329</v>
      </c>
      <c r="C14539" s="6">
        <v>258000</v>
      </c>
      <c r="D14539" s="5" t="s">
        <v>122</v>
      </c>
      <c r="E14539" s="5" t="str">
        <f t="shared" si="744"/>
        <v>ACTISALUD- PISO 10-ALA A</v>
      </c>
      <c r="F14539" s="5"/>
      <c r="G14539" s="5"/>
    </row>
    <row r="14540" spans="1:7" ht="58.5" customHeight="1" x14ac:dyDescent="0.25">
      <c r="A14540" s="5" t="str">
        <f>"H0033975"</f>
        <v>H0033975</v>
      </c>
      <c r="B14540" s="5" t="s">
        <v>329</v>
      </c>
      <c r="C14540" s="6">
        <v>258000</v>
      </c>
      <c r="D14540" s="5" t="s">
        <v>122</v>
      </c>
      <c r="E14540" s="5" t="str">
        <f t="shared" si="744"/>
        <v>ACTISALUD- PISO 10-ALA A</v>
      </c>
      <c r="F14540" s="5"/>
      <c r="G14540" s="5"/>
    </row>
    <row r="14541" spans="1:7" ht="58.5" customHeight="1" x14ac:dyDescent="0.25">
      <c r="A14541" s="5" t="str">
        <f>"H0033976"</f>
        <v>H0033976</v>
      </c>
      <c r="B14541" s="5" t="s">
        <v>329</v>
      </c>
      <c r="C14541" s="6">
        <v>258000</v>
      </c>
      <c r="D14541" s="5" t="s">
        <v>122</v>
      </c>
      <c r="E14541" s="5" t="str">
        <f t="shared" si="744"/>
        <v>ACTISALUD- PISO 10-ALA A</v>
      </c>
      <c r="F14541" s="5"/>
      <c r="G14541" s="5"/>
    </row>
    <row r="14542" spans="1:7" ht="58.5" customHeight="1" x14ac:dyDescent="0.25">
      <c r="A14542" s="5" t="str">
        <f>"H0033977"</f>
        <v>H0033977</v>
      </c>
      <c r="B14542" s="5" t="s">
        <v>329</v>
      </c>
      <c r="C14542" s="6">
        <v>258000</v>
      </c>
      <c r="D14542" s="5" t="s">
        <v>122</v>
      </c>
      <c r="E14542" s="5" t="str">
        <f t="shared" si="744"/>
        <v>ACTISALUD- PISO 10-ALA A</v>
      </c>
      <c r="F14542" s="5"/>
      <c r="G14542" s="5"/>
    </row>
    <row r="14543" spans="1:7" ht="58.5" customHeight="1" x14ac:dyDescent="0.25">
      <c r="A14543" s="5" t="str">
        <f>"H0033978"</f>
        <v>H0033978</v>
      </c>
      <c r="B14543" s="5" t="s">
        <v>329</v>
      </c>
      <c r="C14543" s="6">
        <v>258000</v>
      </c>
      <c r="D14543" s="5" t="s">
        <v>122</v>
      </c>
      <c r="E14543" s="5" t="str">
        <f t="shared" si="744"/>
        <v>ACTISALUD- PISO 10-ALA A</v>
      </c>
      <c r="F14543" s="5"/>
      <c r="G14543" s="5"/>
    </row>
    <row r="14544" spans="1:7" ht="58.5" customHeight="1" x14ac:dyDescent="0.25">
      <c r="A14544" s="5" t="str">
        <f>"H0033979"</f>
        <v>H0033979</v>
      </c>
      <c r="B14544" s="5" t="s">
        <v>329</v>
      </c>
      <c r="C14544" s="6">
        <v>258000</v>
      </c>
      <c r="D14544" s="5" t="s">
        <v>122</v>
      </c>
      <c r="E14544" s="5" t="str">
        <f t="shared" si="744"/>
        <v>ACTISALUD- PISO 10-ALA A</v>
      </c>
      <c r="F14544" s="5"/>
      <c r="G14544" s="5"/>
    </row>
    <row r="14545" spans="1:7" ht="58.5" customHeight="1" x14ac:dyDescent="0.25">
      <c r="A14545" s="5" t="str">
        <f>"H0034041"</f>
        <v>H0034041</v>
      </c>
      <c r="B14545" s="5" t="s">
        <v>329</v>
      </c>
      <c r="C14545" s="6">
        <v>258000</v>
      </c>
      <c r="D14545" s="5" t="s">
        <v>122</v>
      </c>
      <c r="E14545" s="5" t="str">
        <f t="shared" si="744"/>
        <v>ACTISALUD- PISO 10-ALA A</v>
      </c>
      <c r="F14545" s="5"/>
      <c r="G14545" s="5"/>
    </row>
    <row r="14546" spans="1:7" ht="58.5" customHeight="1" x14ac:dyDescent="0.25">
      <c r="A14546" s="5" t="str">
        <f>"H0034042"</f>
        <v>H0034042</v>
      </c>
      <c r="B14546" s="5" t="s">
        <v>329</v>
      </c>
      <c r="C14546" s="6">
        <v>258000</v>
      </c>
      <c r="D14546" s="5" t="s">
        <v>122</v>
      </c>
      <c r="E14546" s="5" t="str">
        <f t="shared" si="744"/>
        <v>ACTISALUD- PISO 10-ALA A</v>
      </c>
      <c r="F14546" s="5"/>
      <c r="G14546" s="5"/>
    </row>
    <row r="14547" spans="1:7" ht="58.5" customHeight="1" x14ac:dyDescent="0.25">
      <c r="A14547" s="5" t="str">
        <f>"H0034163"</f>
        <v>H0034163</v>
      </c>
      <c r="B14547" s="5" t="str">
        <f>"termometro infrarrojo (DONACION)"</f>
        <v>termometro infrarrojo (DONACION)</v>
      </c>
      <c r="C14547" s="6">
        <v>150000</v>
      </c>
      <c r="D14547" s="5" t="s">
        <v>489</v>
      </c>
      <c r="E14547" s="5" t="str">
        <f t="shared" si="744"/>
        <v>ACTISALUD- PISO 10-ALA A</v>
      </c>
      <c r="F14547" s="5"/>
      <c r="G14547" s="5"/>
    </row>
    <row r="14548" spans="1:7" ht="58.5" customHeight="1" x14ac:dyDescent="0.25">
      <c r="A14548" s="5" t="str">
        <f>"H0034599"</f>
        <v>H0034599</v>
      </c>
      <c r="B14548" s="5" t="str">
        <f>"BALANZA (PESO) DIGITAL (GRAMERA)"</f>
        <v>BALANZA (PESO) DIGITAL (GRAMERA)</v>
      </c>
      <c r="C14548" s="6">
        <v>120000.01</v>
      </c>
      <c r="D14548" s="5" t="s">
        <v>234</v>
      </c>
      <c r="E14548" s="5" t="str">
        <f t="shared" si="744"/>
        <v>ACTISALUD- PISO 10-ALA A</v>
      </c>
      <c r="F14548" s="5"/>
      <c r="G14548" s="5"/>
    </row>
    <row r="14549" spans="1:7" ht="58.5" customHeight="1" x14ac:dyDescent="0.25">
      <c r="A14549" s="5" t="str">
        <f>"H0034693"</f>
        <v>H0034693</v>
      </c>
      <c r="B14549" s="5" t="str">
        <f t="shared" ref="B14549:B14554" si="746">"BOMBA DE NUTRICION (DONACION)"</f>
        <v>BOMBA DE NUTRICION (DONACION)</v>
      </c>
      <c r="C14549" s="6">
        <v>5850000</v>
      </c>
      <c r="D14549" s="5" t="s">
        <v>124</v>
      </c>
      <c r="E14549" s="5" t="str">
        <f t="shared" si="744"/>
        <v>ACTISALUD- PISO 10-ALA A</v>
      </c>
      <c r="F14549" s="5"/>
      <c r="G14549" s="5" t="str">
        <f t="shared" ref="G14549:G14554" si="747">"ENTEROPORT PLUS"</f>
        <v>ENTEROPORT PLUS</v>
      </c>
    </row>
    <row r="14550" spans="1:7" ht="58.5" customHeight="1" x14ac:dyDescent="0.25">
      <c r="A14550" s="5" t="str">
        <f>"H0034694"</f>
        <v>H0034694</v>
      </c>
      <c r="B14550" s="5" t="str">
        <f t="shared" si="746"/>
        <v>BOMBA DE NUTRICION (DONACION)</v>
      </c>
      <c r="C14550" s="6">
        <v>5850000</v>
      </c>
      <c r="D14550" s="5" t="s">
        <v>124</v>
      </c>
      <c r="E14550" s="5" t="str">
        <f t="shared" si="744"/>
        <v>ACTISALUD- PISO 10-ALA A</v>
      </c>
      <c r="F14550" s="5"/>
      <c r="G14550" s="5" t="str">
        <f t="shared" si="747"/>
        <v>ENTEROPORT PLUS</v>
      </c>
    </row>
    <row r="14551" spans="1:7" ht="58.5" customHeight="1" x14ac:dyDescent="0.25">
      <c r="A14551" s="5" t="str">
        <f>"H0034697"</f>
        <v>H0034697</v>
      </c>
      <c r="B14551" s="5" t="str">
        <f t="shared" si="746"/>
        <v>BOMBA DE NUTRICION (DONACION)</v>
      </c>
      <c r="C14551" s="6">
        <v>5850000</v>
      </c>
      <c r="D14551" s="5" t="s">
        <v>124</v>
      </c>
      <c r="E14551" s="5" t="str">
        <f t="shared" si="744"/>
        <v>ACTISALUD- PISO 10-ALA A</v>
      </c>
      <c r="F14551" s="5"/>
      <c r="G14551" s="5" t="str">
        <f t="shared" si="747"/>
        <v>ENTEROPORT PLUS</v>
      </c>
    </row>
    <row r="14552" spans="1:7" ht="58.5" customHeight="1" x14ac:dyDescent="0.25">
      <c r="A14552" s="5" t="str">
        <f>"H0034706"</f>
        <v>H0034706</v>
      </c>
      <c r="B14552" s="5" t="str">
        <f t="shared" si="746"/>
        <v>BOMBA DE NUTRICION (DONACION)</v>
      </c>
      <c r="C14552" s="6">
        <v>5850000</v>
      </c>
      <c r="D14552" s="5" t="s">
        <v>124</v>
      </c>
      <c r="E14552" s="5" t="str">
        <f t="shared" si="744"/>
        <v>ACTISALUD- PISO 10-ALA A</v>
      </c>
      <c r="F14552" s="5"/>
      <c r="G14552" s="5" t="str">
        <f t="shared" si="747"/>
        <v>ENTEROPORT PLUS</v>
      </c>
    </row>
    <row r="14553" spans="1:7" ht="58.5" customHeight="1" x14ac:dyDescent="0.25">
      <c r="A14553" s="5" t="str">
        <f>"H0034711"</f>
        <v>H0034711</v>
      </c>
      <c r="B14553" s="5" t="str">
        <f t="shared" si="746"/>
        <v>BOMBA DE NUTRICION (DONACION)</v>
      </c>
      <c r="C14553" s="6">
        <v>5850000</v>
      </c>
      <c r="D14553" s="5" t="s">
        <v>124</v>
      </c>
      <c r="E14553" s="5" t="str">
        <f t="shared" si="744"/>
        <v>ACTISALUD- PISO 10-ALA A</v>
      </c>
      <c r="F14553" s="5"/>
      <c r="G14553" s="5" t="str">
        <f t="shared" si="747"/>
        <v>ENTEROPORT PLUS</v>
      </c>
    </row>
    <row r="14554" spans="1:7" ht="58.5" customHeight="1" x14ac:dyDescent="0.25">
      <c r="A14554" s="5" t="str">
        <f>"H0034712"</f>
        <v>H0034712</v>
      </c>
      <c r="B14554" s="5" t="str">
        <f t="shared" si="746"/>
        <v>BOMBA DE NUTRICION (DONACION)</v>
      </c>
      <c r="C14554" s="6">
        <v>5850000</v>
      </c>
      <c r="D14554" s="5" t="s">
        <v>124</v>
      </c>
      <c r="E14554" s="5" t="str">
        <f t="shared" si="744"/>
        <v>ACTISALUD- PISO 10-ALA A</v>
      </c>
      <c r="F14554" s="5"/>
      <c r="G14554" s="5" t="str">
        <f t="shared" si="747"/>
        <v>ENTEROPORT PLUS</v>
      </c>
    </row>
    <row r="14555" spans="1:7" ht="58.5" customHeight="1" x14ac:dyDescent="0.25">
      <c r="A14555" s="5" t="str">
        <f>"H0034992"</f>
        <v>H0034992</v>
      </c>
      <c r="B14555" s="5" t="s">
        <v>277</v>
      </c>
      <c r="C14555" s="6">
        <v>1044820</v>
      </c>
      <c r="D14555" s="5" t="s">
        <v>22</v>
      </c>
      <c r="E14555" s="5" t="str">
        <f t="shared" si="744"/>
        <v>ACTISALUD- PISO 10-ALA A</v>
      </c>
      <c r="F14555" s="5"/>
      <c r="G14555" s="5"/>
    </row>
    <row r="14556" spans="1:7" ht="58.5" customHeight="1" x14ac:dyDescent="0.25">
      <c r="A14556" s="5" t="str">
        <f>"H0034993"</f>
        <v>H0034993</v>
      </c>
      <c r="B14556" s="5" t="s">
        <v>277</v>
      </c>
      <c r="C14556" s="6">
        <v>1044820</v>
      </c>
      <c r="D14556" s="5" t="s">
        <v>22</v>
      </c>
      <c r="E14556" s="5" t="str">
        <f t="shared" si="744"/>
        <v>ACTISALUD- PISO 10-ALA A</v>
      </c>
      <c r="F14556" s="5"/>
      <c r="G14556" s="5"/>
    </row>
    <row r="14557" spans="1:7" ht="58.5" customHeight="1" x14ac:dyDescent="0.25">
      <c r="A14557" s="5" t="str">
        <f>"H0034994"</f>
        <v>H0034994</v>
      </c>
      <c r="B14557" s="5" t="s">
        <v>277</v>
      </c>
      <c r="C14557" s="6">
        <v>1044820</v>
      </c>
      <c r="D14557" s="5" t="s">
        <v>22</v>
      </c>
      <c r="E14557" s="5" t="str">
        <f t="shared" si="744"/>
        <v>ACTISALUD- PISO 10-ALA A</v>
      </c>
      <c r="F14557" s="5"/>
      <c r="G14557" s="5"/>
    </row>
    <row r="14558" spans="1:7" ht="58.5" customHeight="1" x14ac:dyDescent="0.25">
      <c r="A14558" s="5" t="str">
        <f>"H0034995"</f>
        <v>H0034995</v>
      </c>
      <c r="B14558" s="5" t="s">
        <v>277</v>
      </c>
      <c r="C14558" s="6">
        <v>1044820</v>
      </c>
      <c r="D14558" s="5" t="s">
        <v>22</v>
      </c>
      <c r="E14558" s="5" t="str">
        <f t="shared" ref="E14558:E14603" si="748">"ACTISALUD- PISO 10-ALA A"</f>
        <v>ACTISALUD- PISO 10-ALA A</v>
      </c>
      <c r="F14558" s="5"/>
      <c r="G14558" s="5"/>
    </row>
    <row r="14559" spans="1:7" ht="58.5" customHeight="1" x14ac:dyDescent="0.25">
      <c r="A14559" s="5" t="str">
        <f>"H0034996"</f>
        <v>H0034996</v>
      </c>
      <c r="B14559" s="5" t="s">
        <v>277</v>
      </c>
      <c r="C14559" s="6">
        <v>1044820</v>
      </c>
      <c r="D14559" s="5" t="s">
        <v>22</v>
      </c>
      <c r="E14559" s="5" t="str">
        <f t="shared" si="748"/>
        <v>ACTISALUD- PISO 10-ALA A</v>
      </c>
      <c r="F14559" s="5"/>
      <c r="G14559" s="5"/>
    </row>
    <row r="14560" spans="1:7" ht="58.5" customHeight="1" x14ac:dyDescent="0.25">
      <c r="A14560" s="5" t="str">
        <f>"H0035220"</f>
        <v>H0035220</v>
      </c>
      <c r="B14560" s="5" t="str">
        <f>"LECTOR DE HUELLAS DIGITALES"</f>
        <v>LECTOR DE HUELLAS DIGITALES</v>
      </c>
      <c r="C14560" s="6">
        <v>357666.4</v>
      </c>
      <c r="D14560" s="5" t="s">
        <v>126</v>
      </c>
      <c r="E14560" s="5" t="str">
        <f t="shared" si="748"/>
        <v>ACTISALUD- PISO 10-ALA A</v>
      </c>
      <c r="F14560" s="5"/>
      <c r="G14560" s="5"/>
    </row>
    <row r="14561" spans="1:7" ht="58.5" customHeight="1" x14ac:dyDescent="0.25">
      <c r="A14561" s="5" t="str">
        <f>"H0035397"</f>
        <v>H0035397</v>
      </c>
      <c r="B14561" s="5" t="str">
        <f>"MONITOR DE SIGNOS VITALES (DONACION)"</f>
        <v>MONITOR DE SIGNOS VITALES (DONACION)</v>
      </c>
      <c r="C14561" s="6">
        <v>11471250</v>
      </c>
      <c r="D14561" s="5" t="s">
        <v>129</v>
      </c>
      <c r="E14561" s="5" t="str">
        <f t="shared" si="748"/>
        <v>ACTISALUD- PISO 10-ALA A</v>
      </c>
      <c r="F14561" s="5"/>
      <c r="G14561" s="5" t="str">
        <f>"PM200M"</f>
        <v>PM200M</v>
      </c>
    </row>
    <row r="14562" spans="1:7" ht="58.5" customHeight="1" x14ac:dyDescent="0.25">
      <c r="A14562" s="5" t="str">
        <f>"H0035458"</f>
        <v>H0035458</v>
      </c>
      <c r="B14562" s="5" t="str">
        <f>"CAMA HOSPITALARIA (DONACION)"</f>
        <v>CAMA HOSPITALARIA (DONACION)</v>
      </c>
      <c r="C14562" s="6">
        <v>7594755</v>
      </c>
      <c r="D14562" s="5" t="s">
        <v>130</v>
      </c>
      <c r="E14562" s="5" t="str">
        <f t="shared" si="748"/>
        <v>ACTISALUD- PISO 10-ALA A</v>
      </c>
      <c r="F14562" s="5"/>
      <c r="G14562" s="5"/>
    </row>
    <row r="14563" spans="1:7" ht="58.5" customHeight="1" x14ac:dyDescent="0.25">
      <c r="A14563" s="5" t="str">
        <f>"H0035465"</f>
        <v>H0035465</v>
      </c>
      <c r="B14563" s="5" t="str">
        <f>"CAMA HOSPITALARIA (DONACION)"</f>
        <v>CAMA HOSPITALARIA (DONACION)</v>
      </c>
      <c r="C14563" s="6">
        <v>7594755</v>
      </c>
      <c r="D14563" s="5" t="s">
        <v>130</v>
      </c>
      <c r="E14563" s="5" t="str">
        <f t="shared" si="748"/>
        <v>ACTISALUD- PISO 10-ALA A</v>
      </c>
      <c r="F14563" s="5"/>
      <c r="G14563" s="5"/>
    </row>
    <row r="14564" spans="1:7" ht="58.5" customHeight="1" x14ac:dyDescent="0.25">
      <c r="A14564" s="5" t="str">
        <f>"H0035666"</f>
        <v>H0035666</v>
      </c>
      <c r="B14564" s="5" t="str">
        <f>"VENTILADOR DE PARED"</f>
        <v>VENTILADOR DE PARED</v>
      </c>
      <c r="C14564" s="6">
        <v>295260</v>
      </c>
      <c r="D14564" s="5" t="s">
        <v>131</v>
      </c>
      <c r="E14564" s="5" t="str">
        <f t="shared" si="748"/>
        <v>ACTISALUD- PISO 10-ALA A</v>
      </c>
      <c r="F14564" s="5"/>
      <c r="G14564" s="5"/>
    </row>
    <row r="14565" spans="1:7" ht="58.5" customHeight="1" x14ac:dyDescent="0.25">
      <c r="A14565" s="5" t="str">
        <f>"H0035795"</f>
        <v>H0035795</v>
      </c>
      <c r="B14565" s="5" t="str">
        <f>"SILLA GERENTE NIZA MEC. BASCULANTE CON BRAZOS."</f>
        <v>SILLA GERENTE NIZA MEC. BASCULANTE CON BRAZOS.</v>
      </c>
      <c r="C14565" s="6">
        <v>640002.24</v>
      </c>
      <c r="D14565" s="5" t="s">
        <v>47</v>
      </c>
      <c r="E14565" s="5" t="str">
        <f t="shared" si="748"/>
        <v>ACTISALUD- PISO 10-ALA A</v>
      </c>
      <c r="F14565" s="5"/>
      <c r="G14565" s="5"/>
    </row>
    <row r="14566" spans="1:7" ht="58.5" customHeight="1" x14ac:dyDescent="0.25">
      <c r="A14566" s="5" t="str">
        <f>"H0035796"</f>
        <v>H0035796</v>
      </c>
      <c r="B14566" s="5" t="str">
        <f>"SILLA GERENTE NIZA MEC. BASCULANTE CON BRAZOS."</f>
        <v>SILLA GERENTE NIZA MEC. BASCULANTE CON BRAZOS.</v>
      </c>
      <c r="C14566" s="6">
        <v>640002.24</v>
      </c>
      <c r="D14566" s="5" t="s">
        <v>47</v>
      </c>
      <c r="E14566" s="5" t="str">
        <f t="shared" si="748"/>
        <v>ACTISALUD- PISO 10-ALA A</v>
      </c>
      <c r="F14566" s="5"/>
      <c r="G14566" s="5"/>
    </row>
    <row r="14567" spans="1:7" ht="58.5" customHeight="1" x14ac:dyDescent="0.25">
      <c r="A14567" s="5" t="str">
        <f>"H0035797"</f>
        <v>H0035797</v>
      </c>
      <c r="B14567" s="5" t="str">
        <f>"SILLA GERENTE NIZA MEC. BASCULANTE CON BRAZOS."</f>
        <v>SILLA GERENTE NIZA MEC. BASCULANTE CON BRAZOS.</v>
      </c>
      <c r="C14567" s="6">
        <v>640002.24</v>
      </c>
      <c r="D14567" s="5" t="s">
        <v>47</v>
      </c>
      <c r="E14567" s="5" t="str">
        <f t="shared" si="748"/>
        <v>ACTISALUD- PISO 10-ALA A</v>
      </c>
      <c r="F14567" s="5"/>
      <c r="G14567" s="5"/>
    </row>
    <row r="14568" spans="1:7" ht="58.5" customHeight="1" x14ac:dyDescent="0.25">
      <c r="A14568" s="5" t="str">
        <f>"H0035798"</f>
        <v>H0035798</v>
      </c>
      <c r="B14568" s="5" t="str">
        <f>"SILLA GERENTE NIZA MEC. BASCULANTE CON BRAZOS."</f>
        <v>SILLA GERENTE NIZA MEC. BASCULANTE CON BRAZOS.</v>
      </c>
      <c r="C14568" s="6">
        <v>640002.24</v>
      </c>
      <c r="D14568" s="5" t="s">
        <v>47</v>
      </c>
      <c r="E14568" s="5" t="str">
        <f t="shared" si="748"/>
        <v>ACTISALUD- PISO 10-ALA A</v>
      </c>
      <c r="F14568" s="5"/>
      <c r="G14568" s="5"/>
    </row>
    <row r="14569" spans="1:7" ht="58.5" customHeight="1" x14ac:dyDescent="0.25">
      <c r="A14569" s="5" t="str">
        <f>"H0035800"</f>
        <v>H0035800</v>
      </c>
      <c r="B14569" s="5" t="str">
        <f>"SILLA GERENTE NIZA MEC. BASCULANTE CON BRAZOS."</f>
        <v>SILLA GERENTE NIZA MEC. BASCULANTE CON BRAZOS.</v>
      </c>
      <c r="C14569" s="6">
        <v>640002.24</v>
      </c>
      <c r="D14569" s="5" t="s">
        <v>47</v>
      </c>
      <c r="E14569" s="5" t="str">
        <f t="shared" si="748"/>
        <v>ACTISALUD- PISO 10-ALA A</v>
      </c>
      <c r="F14569" s="5"/>
      <c r="G14569" s="5"/>
    </row>
    <row r="14570" spans="1:7" ht="58.5" customHeight="1" x14ac:dyDescent="0.25">
      <c r="A14570" s="5" t="str">
        <f>"H0036810"</f>
        <v>H0036810</v>
      </c>
      <c r="B14570" s="5" t="str">
        <f>"TELEVISOR (DONACION)"</f>
        <v>TELEVISOR (DONACION)</v>
      </c>
      <c r="C14570" s="6">
        <v>1000000</v>
      </c>
      <c r="D14570" s="5" t="s">
        <v>543</v>
      </c>
      <c r="E14570" s="5" t="str">
        <f t="shared" si="748"/>
        <v>ACTISALUD- PISO 10-ALA A</v>
      </c>
      <c r="F14570" s="5"/>
      <c r="G14570" s="5"/>
    </row>
    <row r="14571" spans="1:7" ht="58.5" customHeight="1" x14ac:dyDescent="0.25">
      <c r="A14571" s="5" t="str">
        <f>"H0036869"</f>
        <v>H0036869</v>
      </c>
      <c r="B14571" s="5" t="str">
        <f>"PANTALLA RECEPTORA DE LLAMADO DE ENFERMERIA"</f>
        <v>PANTALLA RECEPTORA DE LLAMADO DE ENFERMERIA</v>
      </c>
      <c r="C14571" s="6">
        <v>4895000</v>
      </c>
      <c r="D14571" s="5" t="s">
        <v>200</v>
      </c>
      <c r="E14571" s="5" t="str">
        <f t="shared" si="748"/>
        <v>ACTISALUD- PISO 10-ALA A</v>
      </c>
      <c r="F14571" s="5"/>
      <c r="G14571" s="5"/>
    </row>
    <row r="14572" spans="1:7" ht="58.5" customHeight="1" x14ac:dyDescent="0.25">
      <c r="A14572" s="5" t="str">
        <f>"H0037137"</f>
        <v>H0037137</v>
      </c>
      <c r="B14572" s="5" t="str">
        <f>"TALLIMETRO CAPACIDAD 20-205 CM (DONACION)"</f>
        <v>TALLIMETRO CAPACIDAD 20-205 CM (DONACION)</v>
      </c>
      <c r="C14572" s="6">
        <v>1254705.99</v>
      </c>
      <c r="D14572" s="5" t="s">
        <v>136</v>
      </c>
      <c r="E14572" s="5" t="str">
        <f t="shared" si="748"/>
        <v>ACTISALUD- PISO 10-ALA A</v>
      </c>
      <c r="F14572" s="5"/>
      <c r="G14572" s="5"/>
    </row>
    <row r="14573" spans="1:7" ht="58.5" customHeight="1" x14ac:dyDescent="0.25">
      <c r="A14573" s="5" t="str">
        <f>"H0037204"</f>
        <v>H0037204</v>
      </c>
      <c r="B14573" s="5" t="str">
        <f>"BASCULA: Capacidad: 200 kg, División: 100 g &lt; 150 kg &gt; 200 g, Dimensiones (AxAxP):321 x 61 x 362 mm, Peso: 4,1 kg"</f>
        <v>BASCULA: Capacidad: 200 kg, División: 100 g &lt; 150 kg &gt; 200 g, Dimensiones (AxAxP):321 x 61 x 362 mm, Peso: 4,1 kg</v>
      </c>
      <c r="C14573" s="6">
        <v>3588386.01</v>
      </c>
      <c r="D14573" s="5" t="s">
        <v>160</v>
      </c>
      <c r="E14573" s="5" t="str">
        <f t="shared" si="748"/>
        <v>ACTISALUD- PISO 10-ALA A</v>
      </c>
      <c r="F14573" s="5"/>
      <c r="G14573" s="5"/>
    </row>
    <row r="14574" spans="1:7" ht="58.5" customHeight="1" x14ac:dyDescent="0.25">
      <c r="A14574" s="5" t="str">
        <f>"H0037293"</f>
        <v>H0037293</v>
      </c>
      <c r="B14574" s="5" t="str">
        <f>"LECTOR DE HUELLAS DIGITALES"</f>
        <v>LECTOR DE HUELLAS DIGITALES</v>
      </c>
      <c r="C14574" s="6">
        <v>580000</v>
      </c>
      <c r="D14574" s="5" t="s">
        <v>137</v>
      </c>
      <c r="E14574" s="5" t="str">
        <f t="shared" si="748"/>
        <v>ACTISALUD- PISO 10-ALA A</v>
      </c>
      <c r="F14574" s="5"/>
      <c r="G14574" s="5"/>
    </row>
    <row r="14575" spans="1:7" ht="58.5" customHeight="1" x14ac:dyDescent="0.25">
      <c r="A14575" s="5" t="str">
        <f>"H0037298"</f>
        <v>H0037298</v>
      </c>
      <c r="B14575" s="5" t="str">
        <f>"LECTOR DE HUELLAS DIGITALES"</f>
        <v>LECTOR DE HUELLAS DIGITALES</v>
      </c>
      <c r="C14575" s="6">
        <v>580000</v>
      </c>
      <c r="D14575" s="5" t="s">
        <v>137</v>
      </c>
      <c r="E14575" s="5" t="str">
        <f t="shared" si="748"/>
        <v>ACTISALUD- PISO 10-ALA A</v>
      </c>
      <c r="F14575" s="5"/>
      <c r="G14575" s="5"/>
    </row>
    <row r="14576" spans="1:7" ht="58.5" customHeight="1" x14ac:dyDescent="0.25">
      <c r="A14576" s="5" t="str">
        <f>"H0037710"</f>
        <v>H0037710</v>
      </c>
      <c r="B14576" s="5" t="str">
        <f>"SILLA GERENTE NIZA MEC. BASCULANTE CON BRAZOS."</f>
        <v>SILLA GERENTE NIZA MEC. BASCULANTE CON BRAZOS.</v>
      </c>
      <c r="C14576" s="6">
        <v>710000.01</v>
      </c>
      <c r="D14576" s="5" t="s">
        <v>30</v>
      </c>
      <c r="E14576" s="5" t="str">
        <f t="shared" si="748"/>
        <v>ACTISALUD- PISO 10-ALA A</v>
      </c>
      <c r="F14576" s="5"/>
      <c r="G14576" s="5"/>
    </row>
    <row r="14577" spans="1:7" ht="58.5" customHeight="1" x14ac:dyDescent="0.25">
      <c r="A14577" s="5" t="str">
        <f>"H0037711"</f>
        <v>H0037711</v>
      </c>
      <c r="B14577" s="5" t="str">
        <f>"SILLA GERENTE NIZA MEC. BASCULANTE CON BRAZOS."</f>
        <v>SILLA GERENTE NIZA MEC. BASCULANTE CON BRAZOS.</v>
      </c>
      <c r="C14577" s="6">
        <v>710000.01</v>
      </c>
      <c r="D14577" s="5" t="s">
        <v>30</v>
      </c>
      <c r="E14577" s="5" t="str">
        <f t="shared" si="748"/>
        <v>ACTISALUD- PISO 10-ALA A</v>
      </c>
      <c r="F14577" s="5"/>
      <c r="G14577" s="5"/>
    </row>
    <row r="14578" spans="1:7" ht="58.5" customHeight="1" x14ac:dyDescent="0.25">
      <c r="A14578" s="5" t="str">
        <f>"H0037712"</f>
        <v>H0037712</v>
      </c>
      <c r="B14578" s="5" t="str">
        <f>"SILLA GERENTE NIZA MEC. BASCULANTE CON BRAZOS."</f>
        <v>SILLA GERENTE NIZA MEC. BASCULANTE CON BRAZOS.</v>
      </c>
      <c r="C14578" s="6">
        <v>710000.01</v>
      </c>
      <c r="D14578" s="5" t="s">
        <v>30</v>
      </c>
      <c r="E14578" s="5" t="str">
        <f t="shared" si="748"/>
        <v>ACTISALUD- PISO 10-ALA A</v>
      </c>
      <c r="F14578" s="5"/>
      <c r="G14578" s="5"/>
    </row>
    <row r="14579" spans="1:7" ht="58.5" customHeight="1" x14ac:dyDescent="0.25">
      <c r="A14579" s="5" t="str">
        <f>"H0038095"</f>
        <v>H0038095</v>
      </c>
      <c r="B14579" s="5" t="str">
        <f>"SILLA CAJERO KOPI SIN RUEDAS"</f>
        <v>SILLA CAJERO KOPI SIN RUEDAS</v>
      </c>
      <c r="C14579" s="6">
        <v>490000</v>
      </c>
      <c r="D14579" s="5" t="s">
        <v>30</v>
      </c>
      <c r="E14579" s="5" t="str">
        <f t="shared" si="748"/>
        <v>ACTISALUD- PISO 10-ALA A</v>
      </c>
      <c r="F14579" s="5"/>
      <c r="G14579" s="5"/>
    </row>
    <row r="14580" spans="1:7" ht="58.5" customHeight="1" x14ac:dyDescent="0.25">
      <c r="A14580" s="5" t="str">
        <f>"H0038313"</f>
        <v>H0038313</v>
      </c>
      <c r="B14580" s="5" t="str">
        <f t="shared" ref="B14580:B14595" si="749">"UNIDAD DE LLAMADO DE ENFERMERIA PARA CAMA O BAÑO"</f>
        <v>UNIDAD DE LLAMADO DE ENFERMERIA PARA CAMA O BAÑO</v>
      </c>
      <c r="C14580" s="6">
        <v>532900</v>
      </c>
      <c r="D14580" s="5" t="s">
        <v>143</v>
      </c>
      <c r="E14580" s="5" t="str">
        <f t="shared" si="748"/>
        <v>ACTISALUD- PISO 10-ALA A</v>
      </c>
      <c r="F14580" s="5"/>
      <c r="G14580" s="5"/>
    </row>
    <row r="14581" spans="1:7" ht="58.5" customHeight="1" x14ac:dyDescent="0.25">
      <c r="A14581" s="5" t="str">
        <f>"H0038314"</f>
        <v>H0038314</v>
      </c>
      <c r="B14581" s="5" t="str">
        <f t="shared" si="749"/>
        <v>UNIDAD DE LLAMADO DE ENFERMERIA PARA CAMA O BAÑO</v>
      </c>
      <c r="C14581" s="6">
        <v>532900</v>
      </c>
      <c r="D14581" s="5" t="s">
        <v>143</v>
      </c>
      <c r="E14581" s="5" t="str">
        <f t="shared" si="748"/>
        <v>ACTISALUD- PISO 10-ALA A</v>
      </c>
      <c r="F14581" s="5"/>
      <c r="G14581" s="5"/>
    </row>
    <row r="14582" spans="1:7" ht="58.5" customHeight="1" x14ac:dyDescent="0.25">
      <c r="A14582" s="5" t="str">
        <f>"H0038315"</f>
        <v>H0038315</v>
      </c>
      <c r="B14582" s="5" t="str">
        <f t="shared" si="749"/>
        <v>UNIDAD DE LLAMADO DE ENFERMERIA PARA CAMA O BAÑO</v>
      </c>
      <c r="C14582" s="6">
        <v>532900</v>
      </c>
      <c r="D14582" s="5" t="s">
        <v>143</v>
      </c>
      <c r="E14582" s="5" t="str">
        <f t="shared" si="748"/>
        <v>ACTISALUD- PISO 10-ALA A</v>
      </c>
      <c r="F14582" s="5"/>
      <c r="G14582" s="5"/>
    </row>
    <row r="14583" spans="1:7" ht="58.5" customHeight="1" x14ac:dyDescent="0.25">
      <c r="A14583" s="5" t="str">
        <f>"H0038316"</f>
        <v>H0038316</v>
      </c>
      <c r="B14583" s="5" t="str">
        <f t="shared" si="749"/>
        <v>UNIDAD DE LLAMADO DE ENFERMERIA PARA CAMA O BAÑO</v>
      </c>
      <c r="C14583" s="6">
        <v>532900</v>
      </c>
      <c r="D14583" s="5" t="s">
        <v>143</v>
      </c>
      <c r="E14583" s="5" t="str">
        <f t="shared" si="748"/>
        <v>ACTISALUD- PISO 10-ALA A</v>
      </c>
      <c r="F14583" s="5"/>
      <c r="G14583" s="5"/>
    </row>
    <row r="14584" spans="1:7" ht="58.5" customHeight="1" x14ac:dyDescent="0.25">
      <c r="A14584" s="5" t="str">
        <f>"H0038317"</f>
        <v>H0038317</v>
      </c>
      <c r="B14584" s="5" t="str">
        <f t="shared" si="749"/>
        <v>UNIDAD DE LLAMADO DE ENFERMERIA PARA CAMA O BAÑO</v>
      </c>
      <c r="C14584" s="6">
        <v>532900</v>
      </c>
      <c r="D14584" s="5" t="s">
        <v>143</v>
      </c>
      <c r="E14584" s="5" t="str">
        <f t="shared" si="748"/>
        <v>ACTISALUD- PISO 10-ALA A</v>
      </c>
      <c r="F14584" s="5"/>
      <c r="G14584" s="5"/>
    </row>
    <row r="14585" spans="1:7" ht="58.5" customHeight="1" x14ac:dyDescent="0.25">
      <c r="A14585" s="5" t="str">
        <f>"H0038318"</f>
        <v>H0038318</v>
      </c>
      <c r="B14585" s="5" t="str">
        <f t="shared" si="749"/>
        <v>UNIDAD DE LLAMADO DE ENFERMERIA PARA CAMA O BAÑO</v>
      </c>
      <c r="C14585" s="6">
        <v>532900</v>
      </c>
      <c r="D14585" s="5" t="s">
        <v>143</v>
      </c>
      <c r="E14585" s="5" t="str">
        <f t="shared" si="748"/>
        <v>ACTISALUD- PISO 10-ALA A</v>
      </c>
      <c r="F14585" s="5"/>
      <c r="G14585" s="5"/>
    </row>
    <row r="14586" spans="1:7" ht="58.5" customHeight="1" x14ac:dyDescent="0.25">
      <c r="A14586" s="5" t="str">
        <f>"H0038436"</f>
        <v>H0038436</v>
      </c>
      <c r="B14586" s="5" t="str">
        <f t="shared" si="749"/>
        <v>UNIDAD DE LLAMADO DE ENFERMERIA PARA CAMA O BAÑO</v>
      </c>
      <c r="C14586" s="6">
        <v>532900</v>
      </c>
      <c r="D14586" s="5" t="s">
        <v>143</v>
      </c>
      <c r="E14586" s="5" t="str">
        <f t="shared" si="748"/>
        <v>ACTISALUD- PISO 10-ALA A</v>
      </c>
      <c r="F14586" s="5"/>
      <c r="G14586" s="5"/>
    </row>
    <row r="14587" spans="1:7" ht="58.5" customHeight="1" x14ac:dyDescent="0.25">
      <c r="A14587" s="5" t="str">
        <f>"H0038437"</f>
        <v>H0038437</v>
      </c>
      <c r="B14587" s="5" t="str">
        <f t="shared" si="749"/>
        <v>UNIDAD DE LLAMADO DE ENFERMERIA PARA CAMA O BAÑO</v>
      </c>
      <c r="C14587" s="6">
        <v>532900</v>
      </c>
      <c r="D14587" s="5" t="s">
        <v>143</v>
      </c>
      <c r="E14587" s="5" t="str">
        <f t="shared" si="748"/>
        <v>ACTISALUD- PISO 10-ALA A</v>
      </c>
      <c r="F14587" s="5"/>
      <c r="G14587" s="5"/>
    </row>
    <row r="14588" spans="1:7" ht="58.5" customHeight="1" x14ac:dyDescent="0.25">
      <c r="A14588" s="5" t="str">
        <f>"H0038438"</f>
        <v>H0038438</v>
      </c>
      <c r="B14588" s="5" t="str">
        <f t="shared" si="749"/>
        <v>UNIDAD DE LLAMADO DE ENFERMERIA PARA CAMA O BAÑO</v>
      </c>
      <c r="C14588" s="6">
        <v>532900</v>
      </c>
      <c r="D14588" s="5" t="s">
        <v>143</v>
      </c>
      <c r="E14588" s="5" t="str">
        <f t="shared" si="748"/>
        <v>ACTISALUD- PISO 10-ALA A</v>
      </c>
      <c r="F14588" s="5"/>
      <c r="G14588" s="5"/>
    </row>
    <row r="14589" spans="1:7" ht="58.5" customHeight="1" x14ac:dyDescent="0.25">
      <c r="A14589" s="5" t="str">
        <f>"H0038439"</f>
        <v>H0038439</v>
      </c>
      <c r="B14589" s="5" t="str">
        <f t="shared" si="749"/>
        <v>UNIDAD DE LLAMADO DE ENFERMERIA PARA CAMA O BAÑO</v>
      </c>
      <c r="C14589" s="6">
        <v>532900</v>
      </c>
      <c r="D14589" s="5" t="s">
        <v>143</v>
      </c>
      <c r="E14589" s="5" t="str">
        <f t="shared" si="748"/>
        <v>ACTISALUD- PISO 10-ALA A</v>
      </c>
      <c r="F14589" s="5"/>
      <c r="G14589" s="5"/>
    </row>
    <row r="14590" spans="1:7" ht="58.5" customHeight="1" x14ac:dyDescent="0.25">
      <c r="A14590" s="5" t="str">
        <f>"H0038440"</f>
        <v>H0038440</v>
      </c>
      <c r="B14590" s="5" t="str">
        <f t="shared" si="749"/>
        <v>UNIDAD DE LLAMADO DE ENFERMERIA PARA CAMA O BAÑO</v>
      </c>
      <c r="C14590" s="6">
        <v>532900</v>
      </c>
      <c r="D14590" s="5" t="s">
        <v>143</v>
      </c>
      <c r="E14590" s="5" t="str">
        <f t="shared" si="748"/>
        <v>ACTISALUD- PISO 10-ALA A</v>
      </c>
      <c r="F14590" s="5"/>
      <c r="G14590" s="5"/>
    </row>
    <row r="14591" spans="1:7" ht="58.5" customHeight="1" x14ac:dyDescent="0.25">
      <c r="A14591" s="5" t="str">
        <f>"H0038441"</f>
        <v>H0038441</v>
      </c>
      <c r="B14591" s="5" t="str">
        <f t="shared" si="749"/>
        <v>UNIDAD DE LLAMADO DE ENFERMERIA PARA CAMA O BAÑO</v>
      </c>
      <c r="C14591" s="6">
        <v>532900</v>
      </c>
      <c r="D14591" s="5" t="s">
        <v>143</v>
      </c>
      <c r="E14591" s="5" t="str">
        <f t="shared" si="748"/>
        <v>ACTISALUD- PISO 10-ALA A</v>
      </c>
      <c r="F14591" s="5"/>
      <c r="G14591" s="5"/>
    </row>
    <row r="14592" spans="1:7" ht="58.5" customHeight="1" x14ac:dyDescent="0.25">
      <c r="A14592" s="5" t="str">
        <f>"H0038442"</f>
        <v>H0038442</v>
      </c>
      <c r="B14592" s="5" t="str">
        <f t="shared" si="749"/>
        <v>UNIDAD DE LLAMADO DE ENFERMERIA PARA CAMA O BAÑO</v>
      </c>
      <c r="C14592" s="6">
        <v>532900</v>
      </c>
      <c r="D14592" s="5" t="s">
        <v>143</v>
      </c>
      <c r="E14592" s="5" t="str">
        <f t="shared" si="748"/>
        <v>ACTISALUD- PISO 10-ALA A</v>
      </c>
      <c r="F14592" s="5"/>
      <c r="G14592" s="5"/>
    </row>
    <row r="14593" spans="1:7" ht="58.5" customHeight="1" x14ac:dyDescent="0.25">
      <c r="A14593" s="5" t="str">
        <f>"H0038443"</f>
        <v>H0038443</v>
      </c>
      <c r="B14593" s="5" t="str">
        <f t="shared" si="749"/>
        <v>UNIDAD DE LLAMADO DE ENFERMERIA PARA CAMA O BAÑO</v>
      </c>
      <c r="C14593" s="6">
        <v>532900</v>
      </c>
      <c r="D14593" s="5" t="s">
        <v>143</v>
      </c>
      <c r="E14593" s="5" t="str">
        <f t="shared" si="748"/>
        <v>ACTISALUD- PISO 10-ALA A</v>
      </c>
      <c r="F14593" s="5"/>
      <c r="G14593" s="5"/>
    </row>
    <row r="14594" spans="1:7" ht="58.5" customHeight="1" x14ac:dyDescent="0.25">
      <c r="A14594" s="5" t="str">
        <f>"H0038444"</f>
        <v>H0038444</v>
      </c>
      <c r="B14594" s="5" t="str">
        <f t="shared" si="749"/>
        <v>UNIDAD DE LLAMADO DE ENFERMERIA PARA CAMA O BAÑO</v>
      </c>
      <c r="C14594" s="6">
        <v>532900</v>
      </c>
      <c r="D14594" s="5" t="s">
        <v>143</v>
      </c>
      <c r="E14594" s="5" t="str">
        <f t="shared" si="748"/>
        <v>ACTISALUD- PISO 10-ALA A</v>
      </c>
      <c r="F14594" s="5"/>
      <c r="G14594" s="5"/>
    </row>
    <row r="14595" spans="1:7" ht="58.5" customHeight="1" x14ac:dyDescent="0.25">
      <c r="A14595" s="5" t="str">
        <f>"H0038445"</f>
        <v>H0038445</v>
      </c>
      <c r="B14595" s="5" t="str">
        <f t="shared" si="749"/>
        <v>UNIDAD DE LLAMADO DE ENFERMERIA PARA CAMA O BAÑO</v>
      </c>
      <c r="C14595" s="6">
        <v>532900</v>
      </c>
      <c r="D14595" s="5" t="s">
        <v>143</v>
      </c>
      <c r="E14595" s="5" t="str">
        <f t="shared" si="748"/>
        <v>ACTISALUD- PISO 10-ALA A</v>
      </c>
      <c r="F14595" s="5"/>
      <c r="G14595" s="5"/>
    </row>
    <row r="14596" spans="1:7" ht="58.5" customHeight="1" x14ac:dyDescent="0.25">
      <c r="A14596" s="5" t="str">
        <f>"H0038614"</f>
        <v>H0038614</v>
      </c>
      <c r="B14596" s="5" t="str">
        <f t="shared" ref="B14596:B14601" si="750">"LAMPARA DE PASILLO DE LLAMADO DE ENFERMERIA"</f>
        <v>LAMPARA DE PASILLO DE LLAMADO DE ENFERMERIA</v>
      </c>
      <c r="C14596" s="6">
        <v>854790</v>
      </c>
      <c r="D14596" s="5" t="s">
        <v>143</v>
      </c>
      <c r="E14596" s="5" t="str">
        <f t="shared" si="748"/>
        <v>ACTISALUD- PISO 10-ALA A</v>
      </c>
      <c r="F14596" s="5"/>
      <c r="G14596" s="5"/>
    </row>
    <row r="14597" spans="1:7" ht="58.5" customHeight="1" x14ac:dyDescent="0.25">
      <c r="A14597" s="5" t="str">
        <f>"H0038615"</f>
        <v>H0038615</v>
      </c>
      <c r="B14597" s="5" t="str">
        <f t="shared" si="750"/>
        <v>LAMPARA DE PASILLO DE LLAMADO DE ENFERMERIA</v>
      </c>
      <c r="C14597" s="6">
        <v>854790</v>
      </c>
      <c r="D14597" s="5" t="s">
        <v>143</v>
      </c>
      <c r="E14597" s="5" t="str">
        <f t="shared" si="748"/>
        <v>ACTISALUD- PISO 10-ALA A</v>
      </c>
      <c r="F14597" s="5"/>
      <c r="G14597" s="5"/>
    </row>
    <row r="14598" spans="1:7" ht="58.5" customHeight="1" x14ac:dyDescent="0.25">
      <c r="A14598" s="5" t="str">
        <f>"H0038616"</f>
        <v>H0038616</v>
      </c>
      <c r="B14598" s="5" t="str">
        <f t="shared" si="750"/>
        <v>LAMPARA DE PASILLO DE LLAMADO DE ENFERMERIA</v>
      </c>
      <c r="C14598" s="6">
        <v>854790</v>
      </c>
      <c r="D14598" s="5" t="s">
        <v>143</v>
      </c>
      <c r="E14598" s="5" t="str">
        <f t="shared" si="748"/>
        <v>ACTISALUD- PISO 10-ALA A</v>
      </c>
      <c r="F14598" s="5"/>
      <c r="G14598" s="5"/>
    </row>
    <row r="14599" spans="1:7" ht="58.5" customHeight="1" x14ac:dyDescent="0.25">
      <c r="A14599" s="5" t="str">
        <f>"H0038617"</f>
        <v>H0038617</v>
      </c>
      <c r="B14599" s="5" t="str">
        <f t="shared" si="750"/>
        <v>LAMPARA DE PASILLO DE LLAMADO DE ENFERMERIA</v>
      </c>
      <c r="C14599" s="6">
        <v>854790</v>
      </c>
      <c r="D14599" s="5" t="s">
        <v>143</v>
      </c>
      <c r="E14599" s="5" t="str">
        <f t="shared" si="748"/>
        <v>ACTISALUD- PISO 10-ALA A</v>
      </c>
      <c r="F14599" s="5"/>
      <c r="G14599" s="5"/>
    </row>
    <row r="14600" spans="1:7" ht="58.5" customHeight="1" x14ac:dyDescent="0.25">
      <c r="A14600" s="5" t="str">
        <f>"H0038618"</f>
        <v>H0038618</v>
      </c>
      <c r="B14600" s="5" t="str">
        <f t="shared" si="750"/>
        <v>LAMPARA DE PASILLO DE LLAMADO DE ENFERMERIA</v>
      </c>
      <c r="C14600" s="6">
        <v>854790</v>
      </c>
      <c r="D14600" s="5" t="s">
        <v>143</v>
      </c>
      <c r="E14600" s="5" t="str">
        <f t="shared" si="748"/>
        <v>ACTISALUD- PISO 10-ALA A</v>
      </c>
      <c r="F14600" s="5"/>
      <c r="G14600" s="5"/>
    </row>
    <row r="14601" spans="1:7" ht="58.5" customHeight="1" x14ac:dyDescent="0.25">
      <c r="A14601" s="5" t="str">
        <f>"H0038619"</f>
        <v>H0038619</v>
      </c>
      <c r="B14601" s="5" t="str">
        <f t="shared" si="750"/>
        <v>LAMPARA DE PASILLO DE LLAMADO DE ENFERMERIA</v>
      </c>
      <c r="C14601" s="6">
        <v>854790</v>
      </c>
      <c r="D14601" s="5" t="s">
        <v>143</v>
      </c>
      <c r="E14601" s="5" t="str">
        <f t="shared" si="748"/>
        <v>ACTISALUD- PISO 10-ALA A</v>
      </c>
      <c r="F14601" s="5"/>
      <c r="G14601" s="5"/>
    </row>
    <row r="14602" spans="1:7" ht="58.5" customHeight="1" x14ac:dyDescent="0.25">
      <c r="A14602" s="5" t="str">
        <f>"H0038650"</f>
        <v>H0038650</v>
      </c>
      <c r="B14602" s="5" t="str">
        <f>"CARRO PORTA HISTORIAS CLINICAS"</f>
        <v>CARRO PORTA HISTORIAS CLINICAS</v>
      </c>
      <c r="C14602" s="6">
        <v>1393000.07</v>
      </c>
      <c r="D14602" s="5" t="s">
        <v>145</v>
      </c>
      <c r="E14602" s="5" t="str">
        <f t="shared" si="748"/>
        <v>ACTISALUD- PISO 10-ALA A</v>
      </c>
      <c r="F14602" s="5"/>
      <c r="G14602" s="5"/>
    </row>
    <row r="14603" spans="1:7" ht="58.5" customHeight="1" x14ac:dyDescent="0.25">
      <c r="A14603" s="5" t="str">
        <f>"H021487"</f>
        <v>H021487</v>
      </c>
      <c r="B14603" s="5" t="str">
        <f>"CAMA HOSPITALARIA 4 PLANOS CON BARANDA"</f>
        <v>CAMA HOSPITALARIA 4 PLANOS CON BARANDA</v>
      </c>
      <c r="C14603" s="6">
        <v>5700000</v>
      </c>
      <c r="D14603" s="5" t="s">
        <v>63</v>
      </c>
      <c r="E14603" s="5" t="str">
        <f t="shared" si="748"/>
        <v>ACTISALUD- PISO 10-ALA A</v>
      </c>
      <c r="F14603" s="5" t="str">
        <f>"Descripcion: CAMA METALICA LEVANTECAMA ELECTRICA DOMETAL Estado: Bueno Placa anterior: 000037748 Material: METALICA Color: BEIGE Referencia:  Observacion:  Placa padre: Tipo adquisicion: Entidad"</f>
        <v>Descripcion: CAMA METALICA LEVANTECAMA ELECTRICA DOMETAL Estado: Bueno Placa anterior: 000037748 Material: METALICA Color: BEIGE Referencia:  Observacion:  Placa padre: Tipo adquisicion: Entidad</v>
      </c>
      <c r="G14603" s="5"/>
    </row>
    <row r="14604" spans="1:7" ht="58.5" customHeight="1" x14ac:dyDescent="0.25">
      <c r="A14604" s="5" t="str">
        <f>"B0000283"</f>
        <v>B0000283</v>
      </c>
      <c r="B14604" s="5" t="str">
        <f>"PINZA MOSQUITO CURVA 12 CM"</f>
        <v>PINZA MOSQUITO CURVA 12 CM</v>
      </c>
      <c r="C14604" s="6">
        <v>29335.88</v>
      </c>
      <c r="D14604" s="5"/>
      <c r="E14604" s="5" t="str">
        <f t="shared" ref="E14604:E14667" si="751">"ACTISALUD-ALA B-PISO 10"</f>
        <v>ACTISALUD-ALA B-PISO 10</v>
      </c>
      <c r="F14604" s="5" t="str">
        <f>"Descripcion: RECTA Estado: Bueno Placa anterior: 000014506 Material: ACERO Color: PLATA Referencia:  Observacion:  Placa padre: Tipo adquisicion: Entidad"</f>
        <v>Descripcion: RECTA Estado: Bueno Placa anterior: 000014506 Material: ACERO Color: PLATA Referencia:  Observacion:  Placa padre: Tipo adquisicion: Entidad</v>
      </c>
      <c r="G14604" s="5"/>
    </row>
    <row r="14605" spans="1:7" ht="58.5" customHeight="1" x14ac:dyDescent="0.25">
      <c r="A14605" s="5" t="str">
        <f>"B0000289"</f>
        <v>B0000289</v>
      </c>
      <c r="B14605" s="5" t="str">
        <f>"PINZA ROCHESTER CURVA 25 CM"</f>
        <v>PINZA ROCHESTER CURVA 25 CM</v>
      </c>
      <c r="C14605" s="6">
        <v>8497.74</v>
      </c>
      <c r="D14605" s="5"/>
      <c r="E14605" s="5" t="str">
        <f t="shared" si="751"/>
        <v>ACTISALUD-ALA B-PISO 10</v>
      </c>
      <c r="F14605" s="5" t="str">
        <f>"Descripcion: CURVA Estado: Bueno Placa anterior: 000014951 Material: ACERO Color: PLATA Referencia:  Observacion:  Placa padre: Tipo adquisicion: Entidad"</f>
        <v>Descripcion: CURVA Estado: Bueno Placa anterior: 000014951 Material: ACERO Color: PLATA Referencia:  Observacion:  Placa padre: Tipo adquisicion: Entidad</v>
      </c>
      <c r="G14605" s="5"/>
    </row>
    <row r="14606" spans="1:7" ht="58.5" customHeight="1" x14ac:dyDescent="0.25">
      <c r="A14606" s="5" t="str">
        <f>"B0000301"</f>
        <v>B0000301</v>
      </c>
      <c r="B14606" s="5" t="str">
        <f>"PINZA ALGODONERA"</f>
        <v>PINZA ALGODONERA</v>
      </c>
      <c r="C14606" s="6">
        <v>600</v>
      </c>
      <c r="D14606" s="5"/>
      <c r="E14606" s="5" t="str">
        <f t="shared" si="751"/>
        <v>ACTISALUD-ALA B-PISO 10</v>
      </c>
      <c r="F14606" s="5" t="str">
        <f>"Descripcion: , Estado: Bueno Placa anterior: 000014495 Material: ACERO Color: PLATA Referencia:  Observacion:  Placa padre: Tipo adquisicion: Entidad"</f>
        <v>Descripcion: , Estado: Bueno Placa anterior: 000014495 Material: ACERO Color: PLATA Referencia:  Observacion:  Placa padre: Tipo adquisicion: Entidad</v>
      </c>
      <c r="G14606" s="5"/>
    </row>
    <row r="14607" spans="1:7" ht="58.5" customHeight="1" x14ac:dyDescent="0.25">
      <c r="A14607" s="5" t="str">
        <f>"B0000313"</f>
        <v>B0000313</v>
      </c>
      <c r="B14607" s="5" t="str">
        <f>"BALA OXIGENO"</f>
        <v>BALA OXIGENO</v>
      </c>
      <c r="C14607" s="6">
        <v>870000</v>
      </c>
      <c r="D14607" s="5"/>
      <c r="E14607" s="5" t="str">
        <f t="shared" si="751"/>
        <v>ACTISALUD-ALA B-PISO 10</v>
      </c>
      <c r="F14607" s="5" t="str">
        <f>"Descripcion: PEQUEÑA PORTATIL Estado: Bueno Placa anterior: 000023183 Material: METAL Color: BLANCA Referencia:  Observacion:  Placa padre: Tipo adquisicion: Entidad"</f>
        <v>Descripcion: PEQUEÑA PORTATIL Estado: Bueno Placa anterior: 000023183 Material: METAL Color: BLANCA Referencia:  Observacion:  Placa padre: Tipo adquisicion: Entidad</v>
      </c>
      <c r="G14607" s="5"/>
    </row>
    <row r="14608" spans="1:7" ht="58.5" customHeight="1" x14ac:dyDescent="0.25">
      <c r="A14608" s="5" t="str">
        <f>"B0000471"</f>
        <v>B0000471</v>
      </c>
      <c r="B14608" s="5" t="str">
        <f>"FONENDOSCOPIO (ESTETOSCOPIO) PARA ADULTO"</f>
        <v>FONENDOSCOPIO (ESTETOSCOPIO) PARA ADULTO</v>
      </c>
      <c r="C14608" s="6">
        <v>335472</v>
      </c>
      <c r="D14608" s="5"/>
      <c r="E14608" s="5" t="str">
        <f t="shared" si="751"/>
        <v>ACTISALUD-ALA B-PISO 10</v>
      </c>
      <c r="F14608" s="5" t="str">
        <f>"Descripcion: FONENDOSCOPIO DE DOS SERVICIOS, COLOR NEGRO USO ADULTO O NIÑOS Estado: Bueno Placa anterior: 000030036 Material: ACERO Color: PLATA Y NEGRO Referencia:  Observacion:  Placa padre: Tipo adquisicion: Entidad"</f>
        <v>Descripcion: FONENDOSCOPIO DE DOS SERVICIOS, COLOR NEGRO USO ADULTO O NIÑOS Estado: Bueno Placa anterior: 000030036 Material: ACERO Color: PLATA Y NEGRO Referencia:  Observacion:  Placa padre: Tipo adquisicion: Entidad</v>
      </c>
      <c r="G14608" s="5"/>
    </row>
    <row r="14609" spans="1:7" ht="58.5" customHeight="1" x14ac:dyDescent="0.25">
      <c r="A14609" s="5" t="str">
        <f>"H0002690"</f>
        <v>H0002690</v>
      </c>
      <c r="B14609" s="5" t="str">
        <f>"COMPUTADOR PORTATIL"</f>
        <v>COMPUTADOR PORTATIL</v>
      </c>
      <c r="C14609" s="6">
        <v>2250000</v>
      </c>
      <c r="D14609" s="5"/>
      <c r="E14609" s="5" t="str">
        <f t="shared" si="751"/>
        <v>ACTISALUD-ALA B-PISO 10</v>
      </c>
      <c r="F14609" s="5" t="str">
        <f>"Descripcion:PC PORTATIL CON PROCESADOR 15 500gb DISCO DURO 4GB EN MEMORIA RAM Estado: Excelente Placa anterior: 000037045 Material: PASTA Color: NEGRO Referencia:  Observacion: PANTALLA DE 14 , PROCESADOR INTEL CORE i5 Placa padre:  Tipo adquisicion : Ent"&amp; "idad"</f>
        <v>Descripcion:PC PORTATIL CON PROCESADOR 15 500gb DISCO DURO 4GB EN MEMORIA RAM Estado: Excelente Placa anterior: 000037045 Material: PASTA Color: NEGRO Referencia:  Observacion: PANTALLA DE 14 , PROCESADOR INTEL CORE i5 Placa padre:  Tipo adquisicion : Entidad</v>
      </c>
      <c r="G14609" s="5" t="str">
        <f>"CB0505084E"</f>
        <v>CB0505084E</v>
      </c>
    </row>
    <row r="14610" spans="1:7" ht="58.5" customHeight="1" x14ac:dyDescent="0.25">
      <c r="A14610" s="5" t="str">
        <f>"H0002750"</f>
        <v>H0002750</v>
      </c>
      <c r="B14610" s="5" t="str">
        <f>"CAMA DESCANSO (SOFACAMA)"</f>
        <v>CAMA DESCANSO (SOFACAMA)</v>
      </c>
      <c r="C14610" s="6">
        <v>1220000</v>
      </c>
      <c r="D14610" s="5"/>
      <c r="E14610" s="5" t="str">
        <f t="shared" si="751"/>
        <v>ACTISALUD-ALA B-PISO 10</v>
      </c>
      <c r="F14610" s="5" t="str">
        <f>"Descripcion:SOFA CAMA SOFA CAMA Estado: Excelente Placa anterior: 000037986 Material: METAL Y MADERA Color: BEIGE Y MADERA Referencia:  Observacion: ESTA UBICADO EN EL PASILLO BOD. 1 Placa padre:  Tipo adquisicion : Entidad"</f>
        <v>Descripcion:SOFA CAMA SOFA CAMA Estado: Excelente Placa anterior: 000037986 Material: METAL Y MADERA Color: BEIGE Y MADERA Referencia:  Observacion: ESTA UBICADO EN EL PASILLO BOD. 1 Placa padre:  Tipo adquisicion : Entidad</v>
      </c>
      <c r="G14610" s="5"/>
    </row>
    <row r="14611" spans="1:7" ht="58.5" customHeight="1" x14ac:dyDescent="0.25">
      <c r="A14611" s="5" t="str">
        <f>"H0002755"</f>
        <v>H0002755</v>
      </c>
      <c r="B14611" s="5" t="str">
        <f>"SILLA DE RUEDAS"</f>
        <v>SILLA DE RUEDAS</v>
      </c>
      <c r="C14611" s="6">
        <v>510000</v>
      </c>
      <c r="D14611" s="5"/>
      <c r="E14611" s="5" t="str">
        <f t="shared" si="751"/>
        <v>ACTISALUD-ALA B-PISO 10</v>
      </c>
      <c r="F14611" s="5" t="str">
        <f>"Descripcion:SILLA DE RUEDA ADULTO ESTANDAR CON BRAZOS Y DESCANSAPIES DESMONTABLES CON MARCO PLEGABLE CALIBRE 18 DE 7/8 Estado: Excelente Placa anterior: 000037983 Material: METAL Y ASIENTO EN CUERINA Color: PLATEADO Y NEGRO Referencia:  Observacion:  Plac"&amp; "a padre:  Tipo adquisicion : Entidad"</f>
        <v>Descripcion:SILLA DE RUEDA ADULTO ESTANDAR CON BRAZOS Y DESCANSAPIES DESMONTABLES CON MARCO PLEGABLE CALIBRE 18 DE 7/8 Estado: Excelente Placa anterior: 000037983 Material: METAL Y ASIENTO EN CUERINA Color: PLATEADO Y NEGRO Referencia:  Observacion:  Placa padre:  Tipo adquisicion : Entidad</v>
      </c>
      <c r="G14611" s="5"/>
    </row>
    <row r="14612" spans="1:7" ht="58.5" customHeight="1" x14ac:dyDescent="0.25">
      <c r="A14612" s="5" t="str">
        <f>"H0004230"</f>
        <v>H0004230</v>
      </c>
      <c r="B14612" s="5" t="str">
        <f>"SILLA PLASTICA CON BRAZOS"</f>
        <v>SILLA PLASTICA CON BRAZOS</v>
      </c>
      <c r="C14612" s="6">
        <v>10440</v>
      </c>
      <c r="D14612" s="5"/>
      <c r="E14612" s="5" t="str">
        <f t="shared" si="751"/>
        <v>ACTISALUD-ALA B-PISO 10</v>
      </c>
      <c r="F14612" s="5" t="str">
        <f>"Descripcion: . Estado: Bueno Placa anterior: 000006259 Material: PLASTICA Color: BLANCA Referencia:  Observacion:  Placa padre: Tipo adquisicion: Entidad"</f>
        <v>Descripcion: . Estado: Bueno Placa anterior: 000006259 Material: PLASTICA Color: BLANCA Referencia:  Observacion:  Placa padre: Tipo adquisicion: Entidad</v>
      </c>
      <c r="G14612" s="5"/>
    </row>
    <row r="14613" spans="1:7" ht="58.5" customHeight="1" x14ac:dyDescent="0.25">
      <c r="A14613" s="5" t="str">
        <f>"H0004231"</f>
        <v>H0004231</v>
      </c>
      <c r="B14613" s="5" t="str">
        <f>"SILLA PLASTICA CON BRAZOS"</f>
        <v>SILLA PLASTICA CON BRAZOS</v>
      </c>
      <c r="C14613" s="6">
        <v>10440</v>
      </c>
      <c r="D14613" s="5"/>
      <c r="E14613" s="5" t="str">
        <f t="shared" si="751"/>
        <v>ACTISALUD-ALA B-PISO 10</v>
      </c>
      <c r="F14613" s="5" t="str">
        <f>"Descripcion: . Estado: Bueno Placa anterior: 000006275 Material: PLASTICA Color: BLANCA Referencia:  Observacion:  Placa padre: Tipo adquisicion: Entidad"</f>
        <v>Descripcion: . Estado: Bueno Placa anterior: 000006275 Material: PLASTICA Color: BLANCA Referencia:  Observacion:  Placa padre: Tipo adquisicion: Entidad</v>
      </c>
      <c r="G14613" s="5"/>
    </row>
    <row r="14614" spans="1:7" ht="58.5" customHeight="1" x14ac:dyDescent="0.25">
      <c r="A14614" s="5" t="str">
        <f>"H0004232"</f>
        <v>H0004232</v>
      </c>
      <c r="B14614" s="5" t="str">
        <f>"SILLA PLASTICA CON BRAZOS"</f>
        <v>SILLA PLASTICA CON BRAZOS</v>
      </c>
      <c r="C14614" s="6">
        <v>10440</v>
      </c>
      <c r="D14614" s="5"/>
      <c r="E14614" s="5" t="str">
        <f t="shared" si="751"/>
        <v>ACTISALUD-ALA B-PISO 10</v>
      </c>
      <c r="F14614" s="5" t="str">
        <f>"Descripcion: . Estado: Bueno Placa anterior: 000006276 Material: PLASTICA Color: BLANCA Referencia:  Observacion:  Placa padre: Tipo adquisicion: Entidad"</f>
        <v>Descripcion: . Estado: Bueno Placa anterior: 000006276 Material: PLASTICA Color: BLANCA Referencia:  Observacion:  Placa padre: Tipo adquisicion: Entidad</v>
      </c>
      <c r="G14614" s="5"/>
    </row>
    <row r="14615" spans="1:7" ht="58.5" customHeight="1" x14ac:dyDescent="0.25">
      <c r="A14615" s="5" t="str">
        <f>"H0004233"</f>
        <v>H0004233</v>
      </c>
      <c r="B14615" s="5" t="str">
        <f>"SILLA PLASTICA CON BRAZOS"</f>
        <v>SILLA PLASTICA CON BRAZOS</v>
      </c>
      <c r="C14615" s="6">
        <v>10440</v>
      </c>
      <c r="D14615" s="5"/>
      <c r="E14615" s="5" t="str">
        <f t="shared" si="751"/>
        <v>ACTISALUD-ALA B-PISO 10</v>
      </c>
      <c r="F14615" s="5" t="str">
        <f>"Descripcion: . Estado: Bueno Placa anterior: 000006355 Material: PLASTICA Color: BLANCA Referencia:  Observacion:  Placa padre: Tipo adquisicion: Entidad"</f>
        <v>Descripcion: . Estado: Bueno Placa anterior: 000006355 Material: PLASTICA Color: BLANCA Referencia:  Observacion:  Placa padre: Tipo adquisicion: Entidad</v>
      </c>
      <c r="G14615" s="5"/>
    </row>
    <row r="14616" spans="1:7" ht="58.5" customHeight="1" x14ac:dyDescent="0.25">
      <c r="A14616" s="5" t="str">
        <f>"H0004234"</f>
        <v>H0004234</v>
      </c>
      <c r="B14616" s="5" t="str">
        <f>"SILLA PLASTICA CON BRAZOS"</f>
        <v>SILLA PLASTICA CON BRAZOS</v>
      </c>
      <c r="C14616" s="6">
        <v>10440</v>
      </c>
      <c r="D14616" s="5"/>
      <c r="E14616" s="5" t="str">
        <f t="shared" si="751"/>
        <v>ACTISALUD-ALA B-PISO 10</v>
      </c>
      <c r="F14616" s="5" t="str">
        <f>"Descripcion: . Estado: Bueno Placa anterior: 000006356 Material: PLASTICA Color: BLANCA Referencia:  Observacion:  Placa padre: Tipo adquisicion: Entidad"</f>
        <v>Descripcion: . Estado: Bueno Placa anterior: 000006356 Material: PLASTICA Color: BLANCA Referencia:  Observacion:  Placa padre: Tipo adquisicion: Entidad</v>
      </c>
      <c r="G14616" s="5"/>
    </row>
    <row r="14617" spans="1:7" ht="58.5" customHeight="1" x14ac:dyDescent="0.25">
      <c r="A14617" s="5" t="str">
        <f>"H0004244"</f>
        <v>H0004244</v>
      </c>
      <c r="B14617" s="5" t="str">
        <f>"ESTABILIZADOR (REGULADOR) DE ENERGIA 1KW"</f>
        <v>ESTABILIZADOR (REGULADOR) DE ENERGIA 1KW</v>
      </c>
      <c r="C14617" s="6">
        <v>92157.82</v>
      </c>
      <c r="D14617" s="5"/>
      <c r="E14617" s="5" t="str">
        <f t="shared" si="751"/>
        <v>ACTISALUD-ALA B-PISO 10</v>
      </c>
      <c r="F14617" s="5" t="str">
        <f>"Descripcion: DE 8 AMPERIOS Y 4 CONECTORES Estado: Bueno Placa anterior: 000031255 Material: METALICO Color: BLANCO Referencia:  Observacion: ESTABILIZADOR MCA POWER TRONIC   Placa padre: Tipo adquisicion: Entidad"</f>
        <v>Descripcion: DE 8 AMPERIOS Y 4 CONECTORES Estado: Bueno Placa anterior: 000031255 Material: METALICO Color: BLANCO Referencia:  Observacion: ESTABILIZADOR MCA POWER TRONIC   Placa padre: Tipo adquisicion: Entidad</v>
      </c>
      <c r="G14617" s="5" t="str">
        <f>"578486"</f>
        <v>578486</v>
      </c>
    </row>
    <row r="14618" spans="1:7" ht="58.5" customHeight="1" x14ac:dyDescent="0.25">
      <c r="A14618" s="5" t="str">
        <f>"H0004257"</f>
        <v>H0004257</v>
      </c>
      <c r="B14618" s="5" t="str">
        <f>"MESA DE NOCHE"</f>
        <v>MESA DE NOCHE</v>
      </c>
      <c r="C14618" s="6">
        <v>249182</v>
      </c>
      <c r="D14618" s="5"/>
      <c r="E14618" s="5" t="str">
        <f t="shared" si="751"/>
        <v>ACTISALUD-ALA B-PISO 10</v>
      </c>
      <c r="F14618" s="5" t="str">
        <f>"Descripcion: NOCHERO EN MADERA, DOS GAVETAS, COLOR MACORE MEDIDA 0.50MTS. DE ANCHO 0.45MTS DE FONDO Y 0.70 MTS. ALTO Estado: Bueno Placa anterior: 000022685 Material: MADERA Color: MARRON Referencia:  Observacion:  Placa padre: Tipo adquisicion: Entidad"</f>
        <v>Descripcion: NOCHERO EN MADERA, DOS GAVETAS, COLOR MACORE MEDIDA 0.50MTS. DE ANCHO 0.45MTS DE FONDO Y 0.70 MTS. ALTO Estado: Bueno Placa anterior: 000022685 Material: MADERA Color: MARRON Referencia:  Observacion:  Placa padre: Tipo adquisicion: Entidad</v>
      </c>
      <c r="G14618" s="5"/>
    </row>
    <row r="14619" spans="1:7" ht="58.5" customHeight="1" x14ac:dyDescent="0.25">
      <c r="A14619" s="5" t="str">
        <f>"H0004259"</f>
        <v>H0004259</v>
      </c>
      <c r="B14619" s="5" t="str">
        <f>"PATO (COPROLOGICO) MUJER"</f>
        <v>PATO (COPROLOGICO) MUJER</v>
      </c>
      <c r="C14619" s="6">
        <v>111940</v>
      </c>
      <c r="D14619" s="5"/>
      <c r="E14619" s="5" t="str">
        <f t="shared" si="751"/>
        <v>ACTISALUD-ALA B-PISO 10</v>
      </c>
      <c r="F14619" s="5" t="str">
        <f>"Descripcion: PATO COPROPLOGICO Estado: Bueno Placa anterior: 000025129 Material: ACERO INOXIDABLE Color: PLATEADO Referencia:  Observacion:  Placa padre: Tipo adquisicion: Entidad"</f>
        <v>Descripcion: PATO COPROPLOGICO Estado: Bueno Placa anterior: 000025129 Material: ACERO INOXIDABLE Color: PLATEADO Referencia:  Observacion:  Placa padre: Tipo adquisicion: Entidad</v>
      </c>
      <c r="G14619" s="5"/>
    </row>
    <row r="14620" spans="1:7" ht="58.5" customHeight="1" x14ac:dyDescent="0.25">
      <c r="A14620" s="5" t="str">
        <f>"H0004261"</f>
        <v>H0004261</v>
      </c>
      <c r="B14620" s="5" t="str">
        <f>"PATO (PISINGO) HOMBRE"</f>
        <v>PATO (PISINGO) HOMBRE</v>
      </c>
      <c r="C14620" s="6">
        <v>71920</v>
      </c>
      <c r="D14620" s="5"/>
      <c r="E14620" s="5" t="str">
        <f t="shared" si="751"/>
        <v>ACTISALUD-ALA B-PISO 10</v>
      </c>
      <c r="F14620" s="5" t="str">
        <f>"Descripcion: PISINGO PARA ORINAR Estado: Bueno Placa anterior: 000024969 Material: ACERO INOXIDABLE Color: PLATEADO Referencia:  Observacion:  Placa padre: Tipo adquisicion: Entidad"</f>
        <v>Descripcion: PISINGO PARA ORINAR Estado: Bueno Placa anterior: 000024969 Material: ACERO INOXIDABLE Color: PLATEADO Referencia:  Observacion:  Placa padre: Tipo adquisicion: Entidad</v>
      </c>
      <c r="G14620" s="5"/>
    </row>
    <row r="14621" spans="1:7" ht="58.5" customHeight="1" x14ac:dyDescent="0.25">
      <c r="A14621" s="5" t="str">
        <f>"H0004263"</f>
        <v>H0004263</v>
      </c>
      <c r="B14621" s="5" t="str">
        <f>"ESCALERILLA DE 2 PASOS"</f>
        <v>ESCALERILLA DE 2 PASOS</v>
      </c>
      <c r="C14621" s="6">
        <v>120000</v>
      </c>
      <c r="D14621" s="5" t="s">
        <v>63</v>
      </c>
      <c r="E14621" s="5" t="str">
        <f t="shared" si="751"/>
        <v>ACTISALUD-ALA B-PISO 10</v>
      </c>
      <c r="F14621" s="5" t="str">
        <f>"Descripcion: ESCALERA PARA SUBIRSE A LA CAMA O CAMILLAS Estado: Regular Placa anterior: 000037794 Material: METALICA Y MADERA Color: BEIS  Referencia:  Observacion:  Placa padre: Tipo adquisicion: Entidad"</f>
        <v>Descripcion: ESCALERA PARA SUBIRSE A LA CAMA O CAMILLAS Estado: Regular Placa anterior: 000037794 Material: METALICA Y MADERA Color: BEIS  Referencia:  Observacion:  Placa padre: Tipo adquisicion: Entidad</v>
      </c>
      <c r="G14621" s="5"/>
    </row>
    <row r="14622" spans="1:7" ht="58.5" customHeight="1" x14ac:dyDescent="0.25">
      <c r="A14622" s="5" t="str">
        <f>"H0004264"</f>
        <v>H0004264</v>
      </c>
      <c r="B14622" s="5" t="str">
        <f>"PATO (COPROLOGICO) MUJER"</f>
        <v>PATO (COPROLOGICO) MUJER</v>
      </c>
      <c r="C14622" s="6">
        <v>111940</v>
      </c>
      <c r="D14622" s="5"/>
      <c r="E14622" s="5" t="str">
        <f t="shared" si="751"/>
        <v>ACTISALUD-ALA B-PISO 10</v>
      </c>
      <c r="F14622" s="5" t="str">
        <f>"Descripcion: PATO COPROPLOGIACO Estado: Bueno Placa anterior: 000025130 Material: ACERO INOXIDABLE Color: PLATEADO Referencia:  Observacion:  Placa padre: Tipo adquisicion: Entidad"</f>
        <v>Descripcion: PATO COPROPLOGIACO Estado: Bueno Placa anterior: 000025130 Material: ACERO INOXIDABLE Color: PLATEADO Referencia:  Observacion:  Placa padre: Tipo adquisicion: Entidad</v>
      </c>
      <c r="G14622" s="5"/>
    </row>
    <row r="14623" spans="1:7" ht="58.5" customHeight="1" x14ac:dyDescent="0.25">
      <c r="A14623" s="5" t="str">
        <f>"H0004265"</f>
        <v>H0004265</v>
      </c>
      <c r="B14623" s="5" t="str">
        <f>"PATO (PISINGO) HOMBRE"</f>
        <v>PATO (PISINGO) HOMBRE</v>
      </c>
      <c r="C14623" s="6">
        <v>71920</v>
      </c>
      <c r="D14623" s="5"/>
      <c r="E14623" s="5" t="str">
        <f t="shared" si="751"/>
        <v>ACTISALUD-ALA B-PISO 10</v>
      </c>
      <c r="F14623" s="5" t="str">
        <f>"Descripcion: ARTEFACTO PARA ORINAR Estado: Bueno Placa anterior: 000024970 Material: ACERO INOXIDABLE Color: PLATEADO Referencia:  Observacion:  Placa padre: Tipo adquisicion: Entidad"</f>
        <v>Descripcion: ARTEFACTO PARA ORINAR Estado: Bueno Placa anterior: 000024970 Material: ACERO INOXIDABLE Color: PLATEADO Referencia:  Observacion:  Placa padre: Tipo adquisicion: Entidad</v>
      </c>
      <c r="G14623" s="5"/>
    </row>
    <row r="14624" spans="1:7" ht="58.5" customHeight="1" x14ac:dyDescent="0.25">
      <c r="A14624" s="5" t="str">
        <f>"H0004273"</f>
        <v>H0004273</v>
      </c>
      <c r="B14624" s="5" t="str">
        <f>"AIRE ACONDICIONADO TIPO VENTANA 12000 BTU"</f>
        <v>AIRE ACONDICIONADO TIPO VENTANA 12000 BTU</v>
      </c>
      <c r="C14624" s="6">
        <v>880000</v>
      </c>
      <c r="D14624" s="5"/>
      <c r="E14624" s="5" t="str">
        <f t="shared" si="751"/>
        <v>ACTISALUD-ALA B-PISO 10</v>
      </c>
      <c r="F14624" s="5" t="str">
        <f>"Descripcion: AIRE ACONDICIONADO DE VENTANA  ES DE 12000 BTU Estado: Bueno Placa anterior: 000022604 Material: METAL Color: BLANCO Referencia:  Observacion:  Placa padre: Tipo adquisicion: Entidad"</f>
        <v>Descripcion: AIRE ACONDICIONADO DE VENTANA  ES DE 12000 BTU Estado: Bueno Placa anterior: 000022604 Material: METAL Color: BLANCO Referencia:  Observacion:  Placa padre: Tipo adquisicion: Entidad</v>
      </c>
      <c r="G14624" s="5"/>
    </row>
    <row r="14625" spans="1:7" ht="58.5" customHeight="1" x14ac:dyDescent="0.25">
      <c r="A14625" s="5" t="str">
        <f>"H0004274"</f>
        <v>H0004274</v>
      </c>
      <c r="B14625" s="5" t="str">
        <f>"RIÑONERA HOSPITALARIA EN ACERO INOXIDABLE"</f>
        <v>RIÑONERA HOSPITALARIA EN ACERO INOXIDABLE</v>
      </c>
      <c r="C14625" s="6">
        <v>17400</v>
      </c>
      <c r="D14625" s="5"/>
      <c r="E14625" s="5" t="str">
        <f t="shared" si="751"/>
        <v>ACTISALUD-ALA B-PISO 10</v>
      </c>
      <c r="F14625" s="5" t="str">
        <f>"Descripcion: MEDIANA DE 24X11,5X4,5 CM Estado: Bueno Placa anterior: 000025116 Material: ACERO Color: PLATA Referencia:  Observacion:  Placa padre: Tipo adquisicion: Entidad"</f>
        <v>Descripcion: MEDIANA DE 24X11,5X4,5 CM Estado: Bueno Placa anterior: 000025116 Material: ACERO Color: PLATA Referencia:  Observacion:  Placa padre: Tipo adquisicion: Entidad</v>
      </c>
      <c r="G14625" s="5"/>
    </row>
    <row r="14626" spans="1:7" ht="58.5" customHeight="1" x14ac:dyDescent="0.25">
      <c r="A14626" s="5" t="str">
        <f>"H0004275"</f>
        <v>H0004275</v>
      </c>
      <c r="B14626" s="5" t="str">
        <f>"PATO (PISINGO) HOMBRE"</f>
        <v>PATO (PISINGO) HOMBRE</v>
      </c>
      <c r="C14626" s="6">
        <v>71920</v>
      </c>
      <c r="D14626" s="5"/>
      <c r="E14626" s="5" t="str">
        <f t="shared" si="751"/>
        <v>ACTISALUD-ALA B-PISO 10</v>
      </c>
      <c r="F14626" s="5" t="str">
        <f>"Descripcion: EN ACERO INOXIDABLE Estado: Bueno Placa anterior: 000024971 Material: ACERO Color: PLATA Referencia:  Observacion:  Placa padre: Tipo adquisicion: Entidad"</f>
        <v>Descripcion: EN ACERO INOXIDABLE Estado: Bueno Placa anterior: 000024971 Material: ACERO Color: PLATA Referencia:  Observacion:  Placa padre: Tipo adquisicion: Entidad</v>
      </c>
      <c r="G14626" s="5"/>
    </row>
    <row r="14627" spans="1:7" ht="58.5" customHeight="1" x14ac:dyDescent="0.25">
      <c r="A14627" s="5" t="str">
        <f>"H0004276"</f>
        <v>H0004276</v>
      </c>
      <c r="B14627" s="5" t="str">
        <f>"PATO (COPROLOGICO) MUJER"</f>
        <v>PATO (COPROLOGICO) MUJER</v>
      </c>
      <c r="C14627" s="6">
        <v>111940</v>
      </c>
      <c r="D14627" s="5"/>
      <c r="E14627" s="5" t="str">
        <f t="shared" si="751"/>
        <v>ACTISALUD-ALA B-PISO 10</v>
      </c>
      <c r="F14627" s="5" t="str">
        <f>"Descripcion: INOXIDABLE Estado: Bueno Placa anterior: 000025131 Material: ACERO Color: PLATA Referencia:  Observacion:  Placa padre: Tipo adquisicion: Entidad"</f>
        <v>Descripcion: INOXIDABLE Estado: Bueno Placa anterior: 000025131 Material: ACERO Color: PLATA Referencia:  Observacion:  Placa padre: Tipo adquisicion: Entidad</v>
      </c>
      <c r="G14627" s="5"/>
    </row>
    <row r="14628" spans="1:7" ht="58.5" customHeight="1" x14ac:dyDescent="0.25">
      <c r="A14628" s="5" t="str">
        <f>"H0004277"</f>
        <v>H0004277</v>
      </c>
      <c r="B14628" s="5" t="str">
        <f>"TELEVISOR TRC 20"</f>
        <v>TELEVISOR TRC 20</v>
      </c>
      <c r="C14628" s="6">
        <v>445000</v>
      </c>
      <c r="D14628" s="5"/>
      <c r="E14628" s="5" t="str">
        <f t="shared" si="751"/>
        <v>ACTISALUD-ALA B-PISO 10</v>
      </c>
      <c r="F14628" s="5" t="str">
        <f>"Descripcion: TELEVISOR A COLOR DE 20 P. MARCA LG. REF: CP-20J52/20CB 20 Estado: Bueno Placa anterior: 000022641 Material: PASTA Color: NEGRO Y PLATA Referencia:  Observacion:  Placa padre: Tipo adquisicion: Entidad"</f>
        <v>Descripcion: TELEVISOR A COLOR DE 20 P. MARCA LG. REF: CP-20J52/20CB 20 Estado: Bueno Placa anterior: 000022641 Material: PASTA Color: NEGRO Y PLATA Referencia:  Observacion:  Placa padre: Tipo adquisicion: Entidad</v>
      </c>
      <c r="G14628" s="5" t="str">
        <f>"RP-20CB20A"</f>
        <v>RP-20CB20A</v>
      </c>
    </row>
    <row r="14629" spans="1:7" ht="58.5" customHeight="1" x14ac:dyDescent="0.25">
      <c r="A14629" s="5" t="str">
        <f>"H0004282"</f>
        <v>H0004282</v>
      </c>
      <c r="B14629" s="5" t="str">
        <f>"AIRE ACONDICIONADO TIPO VENTANA 12000 BTU"</f>
        <v>AIRE ACONDICIONADO TIPO VENTANA 12000 BTU</v>
      </c>
      <c r="C14629" s="6">
        <v>880000</v>
      </c>
      <c r="D14629" s="5"/>
      <c r="E14629" s="5" t="str">
        <f t="shared" si="751"/>
        <v>ACTISALUD-ALA B-PISO 10</v>
      </c>
      <c r="F14629" s="5" t="str">
        <f>"Descripcion: AIRE ACONDICIONADO DE VENTANA 12000 BTU Estado: Regular Placa anterior: 000022601 Material: METAL Color: BLANCO Referencia: 22, 390 G Observacion:  Placa padre: Tipo adquisicion: Entidad"</f>
        <v>Descripcion: AIRE ACONDICIONADO DE VENTANA 12000 BTU Estado: Regular Placa anterior: 000022601 Material: METAL Color: BLANCO Referencia: 22, 390 G Observacion:  Placa padre: Tipo adquisicion: Entidad</v>
      </c>
      <c r="G14629" s="5" t="str">
        <f>"LWC123CSMK1"</f>
        <v>LWC123CSMK1</v>
      </c>
    </row>
    <row r="14630" spans="1:7" ht="58.5" customHeight="1" x14ac:dyDescent="0.25">
      <c r="A14630" s="5" t="str">
        <f>"H0004285"</f>
        <v>H0004285</v>
      </c>
      <c r="B14630" s="5" t="str">
        <f>"PATO (PISINGO) HOMBRE"</f>
        <v>PATO (PISINGO) HOMBRE</v>
      </c>
      <c r="C14630" s="6">
        <v>71920</v>
      </c>
      <c r="D14630" s="5"/>
      <c r="E14630" s="5" t="str">
        <f t="shared" si="751"/>
        <v>ACTISALUD-ALA B-PISO 10</v>
      </c>
      <c r="F14630" s="5" t="str">
        <f>"Descripcion: . Estado: Regular Placa anterior: 000024972 Material: ACERO Color: PLATA Referencia:  Observacion:  Placa padre: Tipo adquisicion: Entidad"</f>
        <v>Descripcion: . Estado: Regular Placa anterior: 000024972 Material: ACERO Color: PLATA Referencia:  Observacion:  Placa padre: Tipo adquisicion: Entidad</v>
      </c>
      <c r="G14630" s="5"/>
    </row>
    <row r="14631" spans="1:7" ht="58.5" customHeight="1" x14ac:dyDescent="0.25">
      <c r="A14631" s="5" t="str">
        <f>"H0004286"</f>
        <v>H0004286</v>
      </c>
      <c r="B14631" s="5" t="str">
        <f>"PATO (PISINGO) HOMBRE"</f>
        <v>PATO (PISINGO) HOMBRE</v>
      </c>
      <c r="C14631" s="6">
        <v>71920</v>
      </c>
      <c r="D14631" s="5"/>
      <c r="E14631" s="5" t="str">
        <f t="shared" si="751"/>
        <v>ACTISALUD-ALA B-PISO 10</v>
      </c>
      <c r="F14631" s="5" t="str">
        <f>"Descripcion: . Estado: Bueno Placa anterior: 000024973 Material: ACERO Color: PLATA Referencia:  Observacion:  Placa padre: Tipo adquisicion: Entidad"</f>
        <v>Descripcion: . Estado: Bueno Placa anterior: 000024973 Material: ACERO Color: PLATA Referencia:  Observacion:  Placa padre: Tipo adquisicion: Entidad</v>
      </c>
      <c r="G14631" s="5"/>
    </row>
    <row r="14632" spans="1:7" ht="58.5" customHeight="1" x14ac:dyDescent="0.25">
      <c r="A14632" s="5" t="str">
        <f>"H0004287"</f>
        <v>H0004287</v>
      </c>
      <c r="B14632" s="5" t="str">
        <f>"PATO (COPROLOGICO) MUJER"</f>
        <v>PATO (COPROLOGICO) MUJER</v>
      </c>
      <c r="C14632" s="6">
        <v>111940</v>
      </c>
      <c r="D14632" s="5"/>
      <c r="E14632" s="5" t="str">
        <f t="shared" si="751"/>
        <v>ACTISALUD-ALA B-PISO 10</v>
      </c>
      <c r="F14632" s="5" t="str">
        <f>"Descripcion: . Estado: Bueno Placa anterior: 000025132 Material: ACERO Color: PLATA Referencia:  Observacion:  Placa padre: Tipo adquisicion: Entidad"</f>
        <v>Descripcion: . Estado: Bueno Placa anterior: 000025132 Material: ACERO Color: PLATA Referencia:  Observacion:  Placa padre: Tipo adquisicion: Entidad</v>
      </c>
      <c r="G14632" s="5"/>
    </row>
    <row r="14633" spans="1:7" ht="58.5" customHeight="1" x14ac:dyDescent="0.25">
      <c r="A14633" s="5" t="str">
        <f>"H0004288"</f>
        <v>H0004288</v>
      </c>
      <c r="B14633" s="5" t="str">
        <f>"SILLA PLASTICA CON BRAZOS"</f>
        <v>SILLA PLASTICA CON BRAZOS</v>
      </c>
      <c r="C14633" s="6">
        <v>10440</v>
      </c>
      <c r="D14633" s="5"/>
      <c r="E14633" s="5" t="str">
        <f t="shared" si="751"/>
        <v>ACTISALUD-ALA B-PISO 10</v>
      </c>
      <c r="F14633" s="5" t="str">
        <f>"Descripcion: . Estado: Bueno Placa anterior: 000006357 Material: PASTA Color: BLANCA Referencia:  Observacion:  Placa padre: Tipo adquisicion: Entidad"</f>
        <v>Descripcion: . Estado: Bueno Placa anterior: 000006357 Material: PASTA Color: BLANCA Referencia:  Observacion:  Placa padre: Tipo adquisicion: Entidad</v>
      </c>
      <c r="G14633" s="5"/>
    </row>
    <row r="14634" spans="1:7" ht="58.5" customHeight="1" x14ac:dyDescent="0.25">
      <c r="A14634" s="5" t="str">
        <f>"H0004289"</f>
        <v>H0004289</v>
      </c>
      <c r="B14634" s="5" t="str">
        <f>"SILLA PLASTICA CON BRAZOS"</f>
        <v>SILLA PLASTICA CON BRAZOS</v>
      </c>
      <c r="C14634" s="6">
        <v>10440</v>
      </c>
      <c r="D14634" s="5"/>
      <c r="E14634" s="5" t="str">
        <f t="shared" si="751"/>
        <v>ACTISALUD-ALA B-PISO 10</v>
      </c>
      <c r="F14634" s="5" t="str">
        <f>"Descripcion: . Estado: Bueno Placa anterior: 000006358 Material: PASTA Color: BLANCA Referencia:  Observacion:  Placa padre: Tipo adquisicion: Entidad"</f>
        <v>Descripcion: . Estado: Bueno Placa anterior: 000006358 Material: PASTA Color: BLANCA Referencia:  Observacion:  Placa padre: Tipo adquisicion: Entidad</v>
      </c>
      <c r="G14634" s="5"/>
    </row>
    <row r="14635" spans="1:7" ht="58.5" customHeight="1" x14ac:dyDescent="0.25">
      <c r="A14635" s="5" t="str">
        <f>"H0004293"</f>
        <v>H0004293</v>
      </c>
      <c r="B14635" s="5" t="str">
        <f>"ATRIL PORTASUERO MOVIL"</f>
        <v>ATRIL PORTASUERO MOVIL</v>
      </c>
      <c r="C14635" s="6">
        <v>210000</v>
      </c>
      <c r="D14635" s="5" t="s">
        <v>50</v>
      </c>
      <c r="E14635" s="5" t="str">
        <f t="shared" si="751"/>
        <v>ACTISALUD-ALA B-PISO 10</v>
      </c>
      <c r="F14635" s="5" t="str">
        <f>"Descripcion: ATRIL Estado: Regular Placa anterior: 000029716 Material: METAL Color: PLATA Referencia:  Observacion:  Placa padre: Tipo adquisicion: Entidad"</f>
        <v>Descripcion: ATRIL Estado: Regular Placa anterior: 000029716 Material: METAL Color: PLATA Referencia:  Observacion:  Placa padre: Tipo adquisicion: Entidad</v>
      </c>
      <c r="G14635" s="5"/>
    </row>
    <row r="14636" spans="1:7" ht="58.5" customHeight="1" x14ac:dyDescent="0.25">
      <c r="A14636" s="5" t="str">
        <f>"H0004296"</f>
        <v>H0004296</v>
      </c>
      <c r="B14636" s="5" t="str">
        <f>"MESA PUENTE (ALIMENTACION) (INSTRUMENTAL)"</f>
        <v>MESA PUENTE (ALIMENTACION) (INSTRUMENTAL)</v>
      </c>
      <c r="C14636" s="6">
        <v>210000</v>
      </c>
      <c r="D14636" s="5"/>
      <c r="E14636" s="5" t="str">
        <f t="shared" si="751"/>
        <v>ACTISALUD-ALA B-PISO 10</v>
      </c>
      <c r="F14636" s="5" t="str">
        <f>"Descripcion: MESA PUENTE FIJA EN TUBO METALICO CALIBRE 18, TOTALMENTE CROMADA ALTURA 1.05 MTS Estado: Regular Placa anterior: 000023424 Material: METAL Y FORMICA Color: PLATA Y MARRON Referencia:  Observacion:  Placa padre: Tipo adquisicion: Entidad"</f>
        <v>Descripcion: MESA PUENTE FIJA EN TUBO METALICO CALIBRE 18, TOTALMENTE CROMADA ALTURA 1.05 MTS Estado: Regular Placa anterior: 000023424 Material: METAL Y FORMICA Color: PLATA Y MARRON Referencia:  Observacion:  Placa padre: Tipo adquisicion: Entidad</v>
      </c>
      <c r="G14636" s="5"/>
    </row>
    <row r="14637" spans="1:7" ht="58.5" customHeight="1" x14ac:dyDescent="0.25">
      <c r="A14637" s="5" t="str">
        <f>"H0004297"</f>
        <v>H0004297</v>
      </c>
      <c r="B14637" s="5" t="str">
        <f>"AIRE ACONDICIONADO TIPO VENTANA 12000 BTU"</f>
        <v>AIRE ACONDICIONADO TIPO VENTANA 12000 BTU</v>
      </c>
      <c r="C14637" s="6">
        <v>880000</v>
      </c>
      <c r="D14637" s="5"/>
      <c r="E14637" s="5" t="str">
        <f t="shared" si="751"/>
        <v>ACTISALUD-ALA B-PISO 10</v>
      </c>
      <c r="F14637" s="5" t="str">
        <f>"Descripcion: AIRE ACONDICIONADO DE VENTANA CON CONTROL REMOTO LG.LSG-123 CSK1 OSCILACION AUTOMATICA Estado: Bueno Placa anterior: 000022597 Material: METAL Color: BLANCO Referencia:  Observacion:  Placa padre: Tipo adquisicion: Entidad"</f>
        <v>Descripcion: AIRE ACONDICIONADO DE VENTANA CON CONTROL REMOTO LG.LSG-123 CSK1 OSCILACION AUTOMATICA Estado: Bueno Placa anterior: 000022597 Material: METAL Color: BLANCO Referencia:  Observacion:  Placa padre: Tipo adquisicion: Entidad</v>
      </c>
      <c r="G14637" s="5" t="str">
        <f>"LWC123CSMK1"</f>
        <v>LWC123CSMK1</v>
      </c>
    </row>
    <row r="14638" spans="1:7" ht="58.5" customHeight="1" x14ac:dyDescent="0.25">
      <c r="A14638" s="5" t="str">
        <f>"H0004301"</f>
        <v>H0004301</v>
      </c>
      <c r="B14638" s="5" t="str">
        <f>"TELEVISOR TRC 20"</f>
        <v>TELEVISOR TRC 20</v>
      </c>
      <c r="C14638" s="6">
        <v>445000</v>
      </c>
      <c r="D14638" s="5"/>
      <c r="E14638" s="5" t="str">
        <f t="shared" si="751"/>
        <v>ACTISALUD-ALA B-PISO 10</v>
      </c>
      <c r="F14638" s="5" t="str">
        <f>"Descripcion: TELEVISOR A COLOR DE 20 P. MARCA LG. REF: CP-20J52/20CB 20 Estado: Bueno Placa anterior: 000022639 Material: PASTA Color: NEGRO Referencia:  Observacion:  Placa padre: Tipo adquisicion: Entidad"</f>
        <v>Descripcion: TELEVISOR A COLOR DE 20 P. MARCA LG. REF: CP-20J52/20CB 20 Estado: Bueno Placa anterior: 000022639 Material: PASTA Color: NEGRO Referencia:  Observacion:  Placa padre: Tipo adquisicion: Entidad</v>
      </c>
      <c r="G14638" s="5" t="str">
        <f>"RP-20CB20A"</f>
        <v>RP-20CB20A</v>
      </c>
    </row>
    <row r="14639" spans="1:7" ht="58.5" customHeight="1" x14ac:dyDescent="0.25">
      <c r="A14639" s="5" t="str">
        <f>"H0004302"</f>
        <v>H0004302</v>
      </c>
      <c r="B14639" s="5" t="str">
        <f>"PATO (COPROLOGICO) MUJER"</f>
        <v>PATO (COPROLOGICO) MUJER</v>
      </c>
      <c r="C14639" s="6">
        <v>111940</v>
      </c>
      <c r="D14639" s="5"/>
      <c r="E14639" s="5" t="str">
        <f t="shared" si="751"/>
        <v>ACTISALUD-ALA B-PISO 10</v>
      </c>
      <c r="F14639" s="5" t="str">
        <f>"Descripcion: . Estado: Bueno Placa anterior: 000025133 Material: ACERO Color: PLATA Referencia:  Observacion:  Placa padre: Tipo adquisicion: Entidad"</f>
        <v>Descripcion: . Estado: Bueno Placa anterior: 000025133 Material: ACERO Color: PLATA Referencia:  Observacion:  Placa padre: Tipo adquisicion: Entidad</v>
      </c>
      <c r="G14639" s="5"/>
    </row>
    <row r="14640" spans="1:7" ht="58.5" customHeight="1" x14ac:dyDescent="0.25">
      <c r="A14640" s="5" t="str">
        <f>"H0004303"</f>
        <v>H0004303</v>
      </c>
      <c r="B14640" s="5" t="str">
        <f>"PATO (PISINGO) HOMBRE"</f>
        <v>PATO (PISINGO) HOMBRE</v>
      </c>
      <c r="C14640" s="6">
        <v>71920</v>
      </c>
      <c r="D14640" s="5"/>
      <c r="E14640" s="5" t="str">
        <f t="shared" si="751"/>
        <v>ACTISALUD-ALA B-PISO 10</v>
      </c>
      <c r="F14640" s="5" t="str">
        <f>"Descripcion: . Estado: Bueno Placa anterior: 000024974 Material: ACERO Color: PLATA Referencia:  Observacion:  Placa padre: Tipo adquisicion: Entidad"</f>
        <v>Descripcion: . Estado: Bueno Placa anterior: 000024974 Material: ACERO Color: PLATA Referencia:  Observacion:  Placa padre: Tipo adquisicion: Entidad</v>
      </c>
      <c r="G14640" s="5"/>
    </row>
    <row r="14641" spans="1:7" ht="58.5" customHeight="1" x14ac:dyDescent="0.25">
      <c r="A14641" s="5" t="str">
        <f>"H0004305"</f>
        <v>H0004305</v>
      </c>
      <c r="B14641" s="5" t="str">
        <f>"SILLA PLASTICA CON BRAZOS"</f>
        <v>SILLA PLASTICA CON BRAZOS</v>
      </c>
      <c r="C14641" s="6">
        <v>10440</v>
      </c>
      <c r="D14641" s="5"/>
      <c r="E14641" s="5" t="str">
        <f t="shared" si="751"/>
        <v>ACTISALUD-ALA B-PISO 10</v>
      </c>
      <c r="F14641" s="5" t="str">
        <f>"Descripcion: . Estado: Bueno Placa anterior: 000006359 Material: PASTA Color: BLANCO Referencia:  Observacion:  Placa padre: Tipo adquisicion: Entidad"</f>
        <v>Descripcion: . Estado: Bueno Placa anterior: 000006359 Material: PASTA Color: BLANCO Referencia:  Observacion:  Placa padre: Tipo adquisicion: Entidad</v>
      </c>
      <c r="G14641" s="5"/>
    </row>
    <row r="14642" spans="1:7" ht="58.5" customHeight="1" x14ac:dyDescent="0.25">
      <c r="A14642" s="5" t="str">
        <f>"H0004306"</f>
        <v>H0004306</v>
      </c>
      <c r="B14642" s="5" t="str">
        <f>"MESA DE NOCHE"</f>
        <v>MESA DE NOCHE</v>
      </c>
      <c r="C14642" s="6">
        <v>249182</v>
      </c>
      <c r="D14642" s="5"/>
      <c r="E14642" s="5" t="str">
        <f t="shared" si="751"/>
        <v>ACTISALUD-ALA B-PISO 10</v>
      </c>
      <c r="F14642" s="5" t="str">
        <f>"Descripcion: NOCHERO EN MADERA COLOR MACORE MEDIDA 0.50MTS. DE ANCHO 0.45MTS DE FONDO Y 0.70 MTS. ALTO Estado: Bueno Placa anterior: 000022692 Material: MADERA Color: MARRON Referencia:  Observacion:  Placa padre: Tipo adquisicion: Entidad"</f>
        <v>Descripcion: NOCHERO EN MADERA COLOR MACORE MEDIDA 0.50MTS. DE ANCHO 0.45MTS DE FONDO Y 0.70 MTS. ALTO Estado: Bueno Placa anterior: 000022692 Material: MADERA Color: MARRON Referencia:  Observacion:  Placa padre: Tipo adquisicion: Entidad</v>
      </c>
      <c r="G14642" s="5"/>
    </row>
    <row r="14643" spans="1:7" ht="58.5" customHeight="1" x14ac:dyDescent="0.25">
      <c r="A14643" s="5" t="str">
        <f>"H0004308"</f>
        <v>H0004308</v>
      </c>
      <c r="B14643" s="5" t="str">
        <f>"AIRE ACONDICIONADO TIPO VENTANA 12000 BTU"</f>
        <v>AIRE ACONDICIONADO TIPO VENTANA 12000 BTU</v>
      </c>
      <c r="C14643" s="6">
        <v>1354999</v>
      </c>
      <c r="D14643" s="5"/>
      <c r="E14643" s="5" t="str">
        <f t="shared" si="751"/>
        <v>ACTISALUD-ALA B-PISO 10</v>
      </c>
      <c r="F14643" s="5" t="str">
        <f>"Descripcion: 12000 BTU Estado: Bueno Placa anterior: 000024880 Material: METALICO Color: BLANCO Referencia:  Observacion: AUTORIZADO CONCILIAR EN CRUCE GENERAL Placa padre: Tipo adquisicion: Entidad"</f>
        <v>Descripcion: 12000 BTU Estado: Bueno Placa anterior: 000024880 Material: METALICO Color: BLANCO Referencia:  Observacion: AUTORIZADO CONCILIAR EN CRUCE GENERAL Placa padre: Tipo adquisicion: Entidad</v>
      </c>
      <c r="G14643" s="5" t="str">
        <f>"LWC123CSMK1"</f>
        <v>LWC123CSMK1</v>
      </c>
    </row>
    <row r="14644" spans="1:7" ht="58.5" customHeight="1" x14ac:dyDescent="0.25">
      <c r="A14644" s="5" t="str">
        <f>"H0004315"</f>
        <v>H0004315</v>
      </c>
      <c r="B14644" s="5" t="str">
        <f>"SILLA PLASTICA CON BRAZOS"</f>
        <v>SILLA PLASTICA CON BRAZOS</v>
      </c>
      <c r="C14644" s="6">
        <v>10440</v>
      </c>
      <c r="D14644" s="5"/>
      <c r="E14644" s="5" t="str">
        <f t="shared" si="751"/>
        <v>ACTISALUD-ALA B-PISO 10</v>
      </c>
      <c r="F14644" s="5" t="str">
        <f>"Descripcion: . Estado: Bueno Placa anterior: 000006360 Material: PASTA Color: BLANCA Referencia:  Observacion:  Placa padre: Tipo adquisicion: Entidad"</f>
        <v>Descripcion: . Estado: Bueno Placa anterior: 000006360 Material: PASTA Color: BLANCA Referencia:  Observacion:  Placa padre: Tipo adquisicion: Entidad</v>
      </c>
      <c r="G14644" s="5"/>
    </row>
    <row r="14645" spans="1:7" ht="58.5" customHeight="1" x14ac:dyDescent="0.25">
      <c r="A14645" s="5" t="str">
        <f>"H0004316"</f>
        <v>H0004316</v>
      </c>
      <c r="B14645" s="5" t="str">
        <f>"PATO (COPROLOGICO) MUJER"</f>
        <v>PATO (COPROLOGICO) MUJER</v>
      </c>
      <c r="C14645" s="6">
        <v>111940</v>
      </c>
      <c r="D14645" s="5"/>
      <c r="E14645" s="5" t="str">
        <f t="shared" si="751"/>
        <v>ACTISALUD-ALA B-PISO 10</v>
      </c>
      <c r="F14645" s="5" t="str">
        <f>"Descripcion: COOPROLOGICO Estado: Bueno Placa anterior: 000025134 Material: ACERO Color: PLATA Referencia:  Observacion:  Placa padre: Tipo adquisicion: Entidad"</f>
        <v>Descripcion: COOPROLOGICO Estado: Bueno Placa anterior: 000025134 Material: ACERO Color: PLATA Referencia:  Observacion:  Placa padre: Tipo adquisicion: Entidad</v>
      </c>
      <c r="G14645" s="5"/>
    </row>
    <row r="14646" spans="1:7" ht="58.5" customHeight="1" x14ac:dyDescent="0.25">
      <c r="A14646" s="5" t="str">
        <f>"H0004318"</f>
        <v>H0004318</v>
      </c>
      <c r="B14646" s="5" t="str">
        <f>"TELEVISOR TRC 20"</f>
        <v>TELEVISOR TRC 20</v>
      </c>
      <c r="C14646" s="6">
        <v>445000</v>
      </c>
      <c r="D14646" s="5"/>
      <c r="E14646" s="5" t="str">
        <f t="shared" si="751"/>
        <v>ACTISALUD-ALA B-PISO 10</v>
      </c>
      <c r="F14646" s="5" t="str">
        <f>"Descripcion: TELEVISOR A COLOR DE 20 P. MARCA LG. REF: CP-20J52/20CB 20 Estado: Bueno Placa anterior: 000022643 Material: PASTA Color: NEGRO Y PLATA Referencia:  Observacion:  Placa padre: Tipo adquisicion: Entidad"</f>
        <v>Descripcion: TELEVISOR A COLOR DE 20 P. MARCA LG. REF: CP-20J52/20CB 20 Estado: Bueno Placa anterior: 000022643 Material: PASTA Color: NEGRO Y PLATA Referencia:  Observacion:  Placa padre: Tipo adquisicion: Entidad</v>
      </c>
      <c r="G14646" s="5"/>
    </row>
    <row r="14647" spans="1:7" ht="58.5" customHeight="1" x14ac:dyDescent="0.25">
      <c r="A14647" s="5" t="str">
        <f>"H0004319"</f>
        <v>H0004319</v>
      </c>
      <c r="B14647" s="5" t="str">
        <f>"MESA DE NOCHE"</f>
        <v>MESA DE NOCHE</v>
      </c>
      <c r="C14647" s="6">
        <v>249182</v>
      </c>
      <c r="D14647" s="5"/>
      <c r="E14647" s="5" t="str">
        <f t="shared" si="751"/>
        <v>ACTISALUD-ALA B-PISO 10</v>
      </c>
      <c r="F14647" s="5" t="str">
        <f>"Descripcion: NOCHERO EN MADERA COLOR MACORE MEDIDA 0.50MTS. DE ANCHO 0.45MTS DE FONDO Y 0.70 MTS. ALTO Estado: Bueno Placa anterior: 000022693 Material: MADERA Color: MARRON Referencia:  Observacion:  Placa padre: Tipo adquisicion: Entidad"</f>
        <v>Descripcion: NOCHERO EN MADERA COLOR MACORE MEDIDA 0.50MTS. DE ANCHO 0.45MTS DE FONDO Y 0.70 MTS. ALTO Estado: Bueno Placa anterior: 000022693 Material: MADERA Color: MARRON Referencia:  Observacion:  Placa padre: Tipo adquisicion: Entidad</v>
      </c>
      <c r="G14647" s="5"/>
    </row>
    <row r="14648" spans="1:7" ht="58.5" customHeight="1" x14ac:dyDescent="0.25">
      <c r="A14648" s="5" t="str">
        <f>"H0004320"</f>
        <v>H0004320</v>
      </c>
      <c r="B14648" s="5" t="str">
        <f>"MESA PUENTE (ALIMENTACION) (INSTRUMENTAL)"</f>
        <v>MESA PUENTE (ALIMENTACION) (INSTRUMENTAL)</v>
      </c>
      <c r="C14648" s="6">
        <v>24640</v>
      </c>
      <c r="D14648" s="5"/>
      <c r="E14648" s="5" t="str">
        <f t="shared" si="751"/>
        <v>ACTISALUD-ALA B-PISO 10</v>
      </c>
      <c r="F14648" s="5" t="str">
        <f>"Descripcion: MESA PUENTE DE BASE GRADUABLE Y MIDE 79X36 CM Estado: Regular Placa anterior: 000015786 Material: METAL Color: PLATA Referencia:  Observacion:  Placa padre: Tipo adquisicion: Entidad"</f>
        <v>Descripcion: MESA PUENTE DE BASE GRADUABLE Y MIDE 79X36 CM Estado: Regular Placa anterior: 000015786 Material: METAL Color: PLATA Referencia:  Observacion:  Placa padre: Tipo adquisicion: Entidad</v>
      </c>
      <c r="G14648" s="5"/>
    </row>
    <row r="14649" spans="1:7" ht="58.5" customHeight="1" x14ac:dyDescent="0.25">
      <c r="A14649" s="5" t="str">
        <f>"H0004321"</f>
        <v>H0004321</v>
      </c>
      <c r="B14649" s="5" t="str">
        <f>"AIRE ACONDICIONADO TIPO VENTANA 12000 BTU"</f>
        <v>AIRE ACONDICIONADO TIPO VENTANA 12000 BTU</v>
      </c>
      <c r="C14649" s="6">
        <v>880000</v>
      </c>
      <c r="D14649" s="5"/>
      <c r="E14649" s="5" t="str">
        <f t="shared" si="751"/>
        <v>ACTISALUD-ALA B-PISO 10</v>
      </c>
      <c r="F14649" s="5" t="str">
        <f>"Descripcion: AIRE ACONDICIONADO DE VENTANA  LG.LSG-123 CSK1 OSCILACION AUTOMATICA Estado: Malo Placa anterior: 000022588 Material: METAL Color: BEIS Referencia:  Observacion:  Placa padre: Tipo adquisicion: Entidad"</f>
        <v>Descripcion: AIRE ACONDICIONADO DE VENTANA  LG.LSG-123 CSK1 OSCILACION AUTOMATICA Estado: Malo Placa anterior: 000022588 Material: METAL Color: BEIS Referencia:  Observacion:  Placa padre: Tipo adquisicion: Entidad</v>
      </c>
      <c r="G14649" s="5" t="str">
        <f>"LWC123CSMK1"</f>
        <v>LWC123CSMK1</v>
      </c>
    </row>
    <row r="14650" spans="1:7" ht="58.5" customHeight="1" x14ac:dyDescent="0.25">
      <c r="A14650" s="5" t="str">
        <f>"H0004324"</f>
        <v>H0004324</v>
      </c>
      <c r="B14650" s="5" t="str">
        <f>"MESA DE NOCHE"</f>
        <v>MESA DE NOCHE</v>
      </c>
      <c r="C14650" s="6">
        <v>249182</v>
      </c>
      <c r="D14650" s="5"/>
      <c r="E14650" s="5" t="str">
        <f t="shared" si="751"/>
        <v>ACTISALUD-ALA B-PISO 10</v>
      </c>
      <c r="F14650" s="5" t="str">
        <f>"Descripcion: . Estado: Regular Placa anterior: 000022690 Material: MADERA Color: MARRON Referencia:  Observacion:  Placa padre: Tipo adquisicion: Entidad"</f>
        <v>Descripcion: . Estado: Regular Placa anterior: 000022690 Material: MADERA Color: MARRON Referencia:  Observacion:  Placa padre: Tipo adquisicion: Entidad</v>
      </c>
      <c r="G14650" s="5"/>
    </row>
    <row r="14651" spans="1:7" ht="58.5" customHeight="1" x14ac:dyDescent="0.25">
      <c r="A14651" s="5" t="str">
        <f>"H0004326"</f>
        <v>H0004326</v>
      </c>
      <c r="B14651" s="5" t="str">
        <f>"ATRIL PORTASUERO MOVIL"</f>
        <v>ATRIL PORTASUERO MOVIL</v>
      </c>
      <c r="C14651" s="6">
        <v>210000</v>
      </c>
      <c r="D14651" s="5" t="s">
        <v>50</v>
      </c>
      <c r="E14651" s="5" t="str">
        <f t="shared" si="751"/>
        <v>ACTISALUD-ALA B-PISO 10</v>
      </c>
      <c r="F14651" s="5" t="str">
        <f>"Descripcion: ATRIL QUIRURGICO ANTIMAGNETICO Estado: Regular Placa anterior: 000029708 Material: METAL Color: PLATA Referencia:  Observacion:  Placa padre: Tipo adquisicion: Entidad"</f>
        <v>Descripcion: ATRIL QUIRURGICO ANTIMAGNETICO Estado: Regular Placa anterior: 000029708 Material: METAL Color: PLATA Referencia:  Observacion:  Placa padre: Tipo adquisicion: Entidad</v>
      </c>
      <c r="G14651" s="5"/>
    </row>
    <row r="14652" spans="1:7" ht="58.5" customHeight="1" x14ac:dyDescent="0.25">
      <c r="A14652" s="5" t="str">
        <f>"H0004328"</f>
        <v>H0004328</v>
      </c>
      <c r="B14652" s="5" t="str">
        <f>"PATO (COPROLOGICO) MUJER"</f>
        <v>PATO (COPROLOGICO) MUJER</v>
      </c>
      <c r="C14652" s="6">
        <v>111940</v>
      </c>
      <c r="D14652" s="5"/>
      <c r="E14652" s="5" t="str">
        <f t="shared" si="751"/>
        <v>ACTISALUD-ALA B-PISO 10</v>
      </c>
      <c r="F14652" s="5" t="str">
        <f>"Descripcion: COOCROLOGICO Estado: Bueno Placa anterior: 000025135 Material: ACERO Color: PLATA Referencia:  Observacion:  Placa padre: Tipo adquisicion: Entidad"</f>
        <v>Descripcion: COOCROLOGICO Estado: Bueno Placa anterior: 000025135 Material: ACERO Color: PLATA Referencia:  Observacion:  Placa padre: Tipo adquisicion: Entidad</v>
      </c>
      <c r="G14652" s="5"/>
    </row>
    <row r="14653" spans="1:7" ht="58.5" customHeight="1" x14ac:dyDescent="0.25">
      <c r="A14653" s="5" t="str">
        <f>"H0004329"</f>
        <v>H0004329</v>
      </c>
      <c r="B14653" s="5" t="str">
        <f>"PATO (PISINGO) HOMBRE"</f>
        <v>PATO (PISINGO) HOMBRE</v>
      </c>
      <c r="C14653" s="6">
        <v>71920</v>
      </c>
      <c r="D14653" s="5"/>
      <c r="E14653" s="5" t="str">
        <f t="shared" si="751"/>
        <v>ACTISALUD-ALA B-PISO 10</v>
      </c>
      <c r="F14653" s="5" t="str">
        <f>"Descripcion: , Estado: Bueno Placa anterior: 000024977 Material: ACERO Color: PLATA Referencia:  Observacion:  Placa padre: Tipo adquisicion: Entidad"</f>
        <v>Descripcion: , Estado: Bueno Placa anterior: 000024977 Material: ACERO Color: PLATA Referencia:  Observacion:  Placa padre: Tipo adquisicion: Entidad</v>
      </c>
      <c r="G14653" s="5"/>
    </row>
    <row r="14654" spans="1:7" ht="58.5" customHeight="1" x14ac:dyDescent="0.25">
      <c r="A14654" s="5" t="str">
        <f>"H0004330"</f>
        <v>H0004330</v>
      </c>
      <c r="B14654" s="5" t="str">
        <f>"SILLA PLASTICA SIN BRAZOS"</f>
        <v>SILLA PLASTICA SIN BRAZOS</v>
      </c>
      <c r="C14654" s="6">
        <v>10440</v>
      </c>
      <c r="D14654" s="5"/>
      <c r="E14654" s="5" t="str">
        <f t="shared" si="751"/>
        <v>ACTISALUD-ALA B-PISO 10</v>
      </c>
      <c r="F14654" s="5" t="str">
        <f>"Descripcion: . Estado: Bueno Placa anterior: 000006362 Material: PASTA Color: BLANCO Referencia:  Observacion:  Placa padre: Tipo adquisicion: Entidad"</f>
        <v>Descripcion: . Estado: Bueno Placa anterior: 000006362 Material: PASTA Color: BLANCO Referencia:  Observacion:  Placa padre: Tipo adquisicion: Entidad</v>
      </c>
      <c r="G14654" s="5"/>
    </row>
    <row r="14655" spans="1:7" ht="58.5" customHeight="1" x14ac:dyDescent="0.25">
      <c r="A14655" s="5" t="str">
        <f>"H0004332"</f>
        <v>H0004332</v>
      </c>
      <c r="B14655" s="5" t="str">
        <f>"SILLA PLASTICA CON BRAZOS"</f>
        <v>SILLA PLASTICA CON BRAZOS</v>
      </c>
      <c r="C14655" s="6">
        <v>10440</v>
      </c>
      <c r="D14655" s="5"/>
      <c r="E14655" s="5" t="str">
        <f t="shared" si="751"/>
        <v>ACTISALUD-ALA B-PISO 10</v>
      </c>
      <c r="F14655" s="5" t="str">
        <f>"Descripcion: . Estado: Bueno Placa anterior: 000006363 Material: PASTA Color: BLANCA Referencia:  Observacion:  Placa padre: Tipo adquisicion: Entidad"</f>
        <v>Descripcion: . Estado: Bueno Placa anterior: 000006363 Material: PASTA Color: BLANCA Referencia:  Observacion:  Placa padre: Tipo adquisicion: Entidad</v>
      </c>
      <c r="G14655" s="5"/>
    </row>
    <row r="14656" spans="1:7" ht="58.5" customHeight="1" x14ac:dyDescent="0.25">
      <c r="A14656" s="5" t="str">
        <f>"H0004334"</f>
        <v>H0004334</v>
      </c>
      <c r="B14656" s="5" t="str">
        <f>"MESA DE NOCHE"</f>
        <v>MESA DE NOCHE</v>
      </c>
      <c r="C14656" s="6">
        <v>249182</v>
      </c>
      <c r="D14656" s="5"/>
      <c r="E14656" s="5" t="str">
        <f t="shared" si="751"/>
        <v>ACTISALUD-ALA B-PISO 10</v>
      </c>
      <c r="F14656" s="5" t="str">
        <f>"Descripcion: NOCHERO EN MADERA COLOR MACORE MEDIDA 0.50MTS. DE ANCHO 0.45MTS DE FONDO Y 0.70 MTS. ALTO Estado: Regular Placa anterior: 000022683 Material: MADERA Color: MARRON Referencia:  Observacion:  Placa padre: Tipo adquisicion: Entidad"</f>
        <v>Descripcion: NOCHERO EN MADERA COLOR MACORE MEDIDA 0.50MTS. DE ANCHO 0.45MTS DE FONDO Y 0.70 MTS. ALTO Estado: Regular Placa anterior: 000022683 Material: MADERA Color: MARRON Referencia:  Observacion:  Placa padre: Tipo adquisicion: Entidad</v>
      </c>
      <c r="G14656" s="5"/>
    </row>
    <row r="14657" spans="1:7" ht="58.5" customHeight="1" x14ac:dyDescent="0.25">
      <c r="A14657" s="5" t="str">
        <f>"H0004337"</f>
        <v>H0004337</v>
      </c>
      <c r="B14657" s="5" t="str">
        <f>"CAMA DESCANSO (SOFACAMA)"</f>
        <v>CAMA DESCANSO (SOFACAMA)</v>
      </c>
      <c r="C14657" s="6">
        <v>73150</v>
      </c>
      <c r="D14657" s="5"/>
      <c r="E14657" s="5" t="str">
        <f t="shared" si="751"/>
        <v>ACTISALUD-ALA B-PISO 10</v>
      </c>
      <c r="F14657" s="5" t="str">
        <f>"Descripcion: SOFA CAMA MIDE 28X215X 69 CM LA PARTE SUPERIOR  Estado: Regular Placa anterior: 000015802 Material: MADERA Color: MARRON Referencia:  Observacion:  Placa padre: Tipo adquisicion: Entidad"</f>
        <v>Descripcion: SOFA CAMA MIDE 28X215X 69 CM LA PARTE SUPERIOR  Estado: Regular Placa anterior: 000015802 Material: MADERA Color: MARRON Referencia:  Observacion:  Placa padre: Tipo adquisicion: Entidad</v>
      </c>
      <c r="G14657" s="5"/>
    </row>
    <row r="14658" spans="1:7" ht="58.5" customHeight="1" x14ac:dyDescent="0.25">
      <c r="A14658" s="5" t="str">
        <f>"H0004338"</f>
        <v>H0004338</v>
      </c>
      <c r="B14658" s="5" t="str">
        <f>"AIRE ACONDICIONADO TIPO VENTANA 12000 BTU"</f>
        <v>AIRE ACONDICIONADO TIPO VENTANA 12000 BTU</v>
      </c>
      <c r="C14658" s="6">
        <v>880000</v>
      </c>
      <c r="D14658" s="5"/>
      <c r="E14658" s="5" t="str">
        <f t="shared" si="751"/>
        <v>ACTISALUD-ALA B-PISO 10</v>
      </c>
      <c r="F14658" s="5" t="str">
        <f>"Descripcion: AIRE ACONDICIONADO DE VENTANA CON CONTROL REMOTO LG.LSG-123 CSK1 OSCILACION AUTOMATICA Estado: Bueno Placa anterior: 000022584 Material: METAL Color: BLANCO Referencia:  Observacion:  Placa padre: Tipo adquisicion: Entidad"</f>
        <v>Descripcion: AIRE ACONDICIONADO DE VENTANA CON CONTROL REMOTO LG.LSG-123 CSK1 OSCILACION AUTOMATICA Estado: Bueno Placa anterior: 000022584 Material: METAL Color: BLANCO Referencia:  Observacion:  Placa padre: Tipo adquisicion: Entidad</v>
      </c>
      <c r="G14658" s="5" t="str">
        <f>"LWC123CSMK1"</f>
        <v>LWC123CSMK1</v>
      </c>
    </row>
    <row r="14659" spans="1:7" ht="58.5" customHeight="1" x14ac:dyDescent="0.25">
      <c r="A14659" s="5" t="str">
        <f>"H0004339"</f>
        <v>H0004339</v>
      </c>
      <c r="B14659" s="5" t="str">
        <f>"TELEVISOR TRC 20"</f>
        <v>TELEVISOR TRC 20</v>
      </c>
      <c r="C14659" s="6">
        <v>445000</v>
      </c>
      <c r="D14659" s="5"/>
      <c r="E14659" s="5" t="str">
        <f t="shared" si="751"/>
        <v>ACTISALUD-ALA B-PISO 10</v>
      </c>
      <c r="F14659" s="5" t="str">
        <f>"Descripcion: TELEVISOR A COLOR DE 20 P. MARCA LG. REF: CP-20J52/20CB 20 Estado: Bueno Placa anterior: 000022635 Material: PASTA Color: NEGRO Y GRIS Referencia: RP-20CB20A Observacion:  Placa padre: Tipo adquisicion: Entidad"</f>
        <v>Descripcion: TELEVISOR A COLOR DE 20 P. MARCA LG. REF: CP-20J52/20CB 20 Estado: Bueno Placa anterior: 000022635 Material: PASTA Color: NEGRO Y GRIS Referencia: RP-20CB20A Observacion:  Placa padre: Tipo adquisicion: Entidad</v>
      </c>
      <c r="G14659" s="5" t="str">
        <f>"LG"</f>
        <v>LG</v>
      </c>
    </row>
    <row r="14660" spans="1:7" ht="58.5" customHeight="1" x14ac:dyDescent="0.25">
      <c r="A14660" s="5" t="str">
        <f>"H0004340"</f>
        <v>H0004340</v>
      </c>
      <c r="B14660" s="5" t="str">
        <f>"MESA PUENTE (ALIMENTACION) (INSTRUMENTAL)"</f>
        <v>MESA PUENTE (ALIMENTACION) (INSTRUMENTAL)</v>
      </c>
      <c r="C14660" s="6">
        <v>210000</v>
      </c>
      <c r="D14660" s="5"/>
      <c r="E14660" s="5" t="str">
        <f t="shared" si="751"/>
        <v>ACTISALUD-ALA B-PISO 10</v>
      </c>
      <c r="F14660" s="5" t="str">
        <f>"Descripcion: MESA PUENTE FIJA EN TUBO METALICO CALIBRE 18, TOTALMENTE CROMADA ALTURA 1.05 MTS Estado: Regular Placa anterior: 000023426 Material: METAL Color: PLATA Referencia:  Observacion:  Placa padre: Tipo adquisicion: Entidad"</f>
        <v>Descripcion: MESA PUENTE FIJA EN TUBO METALICO CALIBRE 18, TOTALMENTE CROMADA ALTURA 1.05 MTS Estado: Regular Placa anterior: 000023426 Material: METAL Color: PLATA Referencia:  Observacion:  Placa padre: Tipo adquisicion: Entidad</v>
      </c>
      <c r="G14660" s="5"/>
    </row>
    <row r="14661" spans="1:7" ht="58.5" customHeight="1" x14ac:dyDescent="0.25">
      <c r="A14661" s="5" t="str">
        <f>"H0004346"</f>
        <v>H0004346</v>
      </c>
      <c r="B14661" s="5" t="str">
        <f>"SILLA PLASTICA CON BRAZOS"</f>
        <v>SILLA PLASTICA CON BRAZOS</v>
      </c>
      <c r="C14661" s="6">
        <v>10440</v>
      </c>
      <c r="D14661" s="5"/>
      <c r="E14661" s="5" t="str">
        <f t="shared" si="751"/>
        <v>ACTISALUD-ALA B-PISO 10</v>
      </c>
      <c r="F14661" s="5" t="str">
        <f>"Descripcion: . Estado: Bueno Placa anterior: 000006258 Material: PASTA Color: BLANCO Referencia:  Observacion:  Placa padre: Tipo adquisicion: Entidad"</f>
        <v>Descripcion: . Estado: Bueno Placa anterior: 000006258 Material: PASTA Color: BLANCO Referencia:  Observacion:  Placa padre: Tipo adquisicion: Entidad</v>
      </c>
      <c r="G14661" s="5"/>
    </row>
    <row r="14662" spans="1:7" ht="58.5" customHeight="1" x14ac:dyDescent="0.25">
      <c r="A14662" s="5" t="str">
        <f>"H0004347"</f>
        <v>H0004347</v>
      </c>
      <c r="B14662" s="5" t="str">
        <f>"PATO (COPROLOGICO) MUJER"</f>
        <v>PATO (COPROLOGICO) MUJER</v>
      </c>
      <c r="C14662" s="6">
        <v>111940</v>
      </c>
      <c r="D14662" s="5"/>
      <c r="E14662" s="5" t="str">
        <f t="shared" si="751"/>
        <v>ACTISALUD-ALA B-PISO 10</v>
      </c>
      <c r="F14662" s="5" t="str">
        <f>"Descripcion: COOPROLOGICO Estado: Bueno Placa anterior: 000025136 Material: ACERO Color: PLATA Referencia:  Observacion:  Placa padre: Tipo adquisicion: Entidad"</f>
        <v>Descripcion: COOPROLOGICO Estado: Bueno Placa anterior: 000025136 Material: ACERO Color: PLATA Referencia:  Observacion:  Placa padre: Tipo adquisicion: Entidad</v>
      </c>
      <c r="G14662" s="5"/>
    </row>
    <row r="14663" spans="1:7" ht="58.5" customHeight="1" x14ac:dyDescent="0.25">
      <c r="A14663" s="5" t="str">
        <f>"H0004390"</f>
        <v>H0004390</v>
      </c>
      <c r="B14663" s="5" t="str">
        <f>"CUADRO DECORATIVO"</f>
        <v>CUADRO DECORATIVO</v>
      </c>
      <c r="C14663" s="6">
        <v>904500</v>
      </c>
      <c r="D14663" s="5"/>
      <c r="E14663" s="5" t="str">
        <f t="shared" si="751"/>
        <v>ACTISALUD-ALA B-PISO 10</v>
      </c>
      <c r="F14663" s="5" t="str">
        <f>"Descripcion: CUADRO TITULADO PASION DE CARNAVALES Estado: Bueno Placa anterior: 000022753 Material: MADERA Color: MARRON Referencia:  Observacion: MARCO EN MAL ESTADO LIENSO BUENO Placa padre: Tipo adquisicion: Entidad"</f>
        <v>Descripcion: CUADRO TITULADO PASION DE CARNAVALES Estado: Bueno Placa anterior: 000022753 Material: MADERA Color: MARRON Referencia:  Observacion: MARCO EN MAL ESTADO LIENSO BUENO Placa padre: Tipo adquisicion: Entidad</v>
      </c>
      <c r="G14663" s="5"/>
    </row>
    <row r="14664" spans="1:7" ht="58.5" customHeight="1" x14ac:dyDescent="0.25">
      <c r="A14664" s="5" t="str">
        <f>"H0004400"</f>
        <v>H0004400</v>
      </c>
      <c r="B14664" s="5" t="str">
        <f>"MUEBLE (ARCHIVADOR) AEREO (GABINETE DE PARED)"</f>
        <v>MUEBLE (ARCHIVADOR) AEREO (GABINETE DE PARED)</v>
      </c>
      <c r="C14664" s="6">
        <v>12856.86</v>
      </c>
      <c r="D14664" s="5"/>
      <c r="E14664" s="5" t="str">
        <f t="shared" si="751"/>
        <v>ACTISALUD-ALA B-PISO 10</v>
      </c>
      <c r="F14664" s="5" t="str">
        <f>"Descripcion: GABINETE METALICO DE PARED DE DOS CUERPOS CON 2 ENTREPAÑOS DOS PUERTAS CORREDIZAS MIDE 50 X160 X 40 CM Estado: Bueno Placa anterior: 000009083 Material: METAL Color: GRIS Referencia:  Observacion:  Placa padre: Tipo adquisicion: Entidad"</f>
        <v>Descripcion: GABINETE METALICO DE PARED DE DOS CUERPOS CON 2 ENTREPAÑOS DOS PUERTAS CORREDIZAS MIDE 50 X160 X 40 CM Estado: Bueno Placa anterior: 000009083 Material: METAL Color: GRIS Referencia:  Observacion:  Placa padre: Tipo adquisicion: Entidad</v>
      </c>
      <c r="G14664" s="5"/>
    </row>
    <row r="14665" spans="1:7" ht="58.5" customHeight="1" x14ac:dyDescent="0.25">
      <c r="A14665" s="5" t="str">
        <f>"H0004403"</f>
        <v>H0004403</v>
      </c>
      <c r="B14665" s="5" t="str">
        <f>"MUEBLE (ARCHIVADOR) AEREO (GABINETE DE PARED)"</f>
        <v>MUEBLE (ARCHIVADOR) AEREO (GABINETE DE PARED)</v>
      </c>
      <c r="C14665" s="6">
        <v>12856.86</v>
      </c>
      <c r="D14665" s="5"/>
      <c r="E14665" s="5" t="str">
        <f t="shared" si="751"/>
        <v>ACTISALUD-ALA B-PISO 10</v>
      </c>
      <c r="F14665" s="5" t="str">
        <f>"Descripcion: GABINETE METALICO DE PARED MIDE 50X160X40 CMTIENE DOS PUERTA Y DOS ENTREPAÑOS Estado: Bueno Placa anterior: 000009084 Material: METAL Color: GRIS Referencia:  Observacion:  Placa padre: Tipo adquisicion: Entidad"</f>
        <v>Descripcion: GABINETE METALICO DE PARED MIDE 50X160X40 CMTIENE DOS PUERTA Y DOS ENTREPAÑOS Estado: Bueno Placa anterior: 000009084 Material: METAL Color: GRIS Referencia:  Observacion:  Placa padre: Tipo adquisicion: Entidad</v>
      </c>
      <c r="G14665" s="5"/>
    </row>
    <row r="14666" spans="1:7" ht="58.5" customHeight="1" x14ac:dyDescent="0.25">
      <c r="A14666" s="5" t="str">
        <f>"H0004404"</f>
        <v>H0004404</v>
      </c>
      <c r="B14666" s="5" t="str">
        <f>"LOCKER DE 4 COMPARTIMIENTOS"</f>
        <v>LOCKER DE 4 COMPARTIMIENTOS</v>
      </c>
      <c r="C14666" s="6">
        <v>585800</v>
      </c>
      <c r="D14666" s="5"/>
      <c r="E14666" s="5" t="str">
        <f t="shared" si="751"/>
        <v>ACTISALUD-ALA B-PISO 10</v>
      </c>
      <c r="F14666" s="5" t="str">
        <f>"Descripcion: LOCKER DE 4 COMPARTIMIENTOS LAMINA 23 COLOR GRIS CON PORTACANDADO 1.70 MIDE 180X71X35 CM Estado: Bueno Placa anterior: 000026363 Material: METAL Color: GRIS Referencia:  Observacion:  Placa padre: Tipo adquisicion: Entidad"</f>
        <v>Descripcion: LOCKER DE 4 COMPARTIMIENTOS LAMINA 23 COLOR GRIS CON PORTACANDADO 1.70 MIDE 180X71X35 CM Estado: Bueno Placa anterior: 000026363 Material: METAL Color: GRIS Referencia:  Observacion:  Placa padre: Tipo adquisicion: Entidad</v>
      </c>
      <c r="G14666" s="5"/>
    </row>
    <row r="14667" spans="1:7" ht="58.5" customHeight="1" x14ac:dyDescent="0.25">
      <c r="A14667" s="5" t="str">
        <f>"H0004405"</f>
        <v>H0004405</v>
      </c>
      <c r="B14667" s="5" t="str">
        <f>"MUEBLE (ARCHIVADOR) AEREO (GABINETE DE PARED)"</f>
        <v>MUEBLE (ARCHIVADOR) AEREO (GABINETE DE PARED)</v>
      </c>
      <c r="C14667" s="6">
        <v>12856.86</v>
      </c>
      <c r="D14667" s="5"/>
      <c r="E14667" s="5" t="str">
        <f t="shared" si="751"/>
        <v>ACTISALUD-ALA B-PISO 10</v>
      </c>
      <c r="F14667" s="5" t="str">
        <f>"Descripcion: GABINETE METALICO DE PARED MIDE 50X160X40 CM Estado: Bueno Placa anterior: 000009087 Material: METAL Color: GRIS Referencia:  Observacion:  Placa padre: Tipo adquisicion: Entidad"</f>
        <v>Descripcion: GABINETE METALICO DE PARED MIDE 50X160X40 CM Estado: Bueno Placa anterior: 000009087 Material: METAL Color: GRIS Referencia:  Observacion:  Placa padre: Tipo adquisicion: Entidad</v>
      </c>
      <c r="G14667" s="5"/>
    </row>
    <row r="14668" spans="1:7" ht="58.5" customHeight="1" x14ac:dyDescent="0.25">
      <c r="A14668" s="5" t="str">
        <f>"H0004406"</f>
        <v>H0004406</v>
      </c>
      <c r="B14668" s="5" t="str">
        <f>"MESA PUENTE (ALIMENTACION) (INSTRUMENTAL)"</f>
        <v>MESA PUENTE (ALIMENTACION) (INSTRUMENTAL)</v>
      </c>
      <c r="C14668" s="6">
        <v>210000</v>
      </c>
      <c r="D14668" s="5"/>
      <c r="E14668" s="5" t="str">
        <f t="shared" ref="E14668:E14731" si="752">"ACTISALUD-ALA B-PISO 10"</f>
        <v>ACTISALUD-ALA B-PISO 10</v>
      </c>
      <c r="F14668" s="5" t="str">
        <f>"Descripcion: MIDE 85X55,5X43,5 CM CON RODACHINES Estado: Bueno Placa anterior: 000027274 Material: METAL Color: GRIS Referencia:  Observacion:  Placa padre: Tipo adquisicion: Entidad"</f>
        <v>Descripcion: MIDE 85X55,5X43,5 CM CON RODACHINES Estado: Bueno Placa anterior: 000027274 Material: METAL Color: GRIS Referencia:  Observacion:  Placa padre: Tipo adquisicion: Entidad</v>
      </c>
      <c r="G14668" s="5"/>
    </row>
    <row r="14669" spans="1:7" ht="58.5" customHeight="1" x14ac:dyDescent="0.25">
      <c r="A14669" s="5" t="str">
        <f>"H0004410"</f>
        <v>H0004410</v>
      </c>
      <c r="B14669" s="5" t="str">
        <f>"EQUIPO DE ORGANOS PORTATIL"</f>
        <v>EQUIPO DE ORGANOS PORTATIL</v>
      </c>
      <c r="C14669" s="6">
        <v>111761.61</v>
      </c>
      <c r="D14669" s="5"/>
      <c r="E14669" s="5" t="str">
        <f t="shared" si="752"/>
        <v>ACTISALUD-ALA B-PISO 10</v>
      </c>
      <c r="F14669" s="5" t="str">
        <f>"Descripcion: ESTUCHE NEGRO Y 5 PIEZAS Estado: Excelente Placa anterior: 000025209 Material: ACERO Y PASTA Color: BEIS Y PLATA Referencia:  Observacion:  Placa padre: Tipo adquisicion: Entidad"</f>
        <v>Descripcion: ESTUCHE NEGRO Y 5 PIEZAS Estado: Excelente Placa anterior: 000025209 Material: ACERO Y PASTA Color: BEIS Y PLATA Referencia:  Observacion:  Placa padre: Tipo adquisicion: Entidad</v>
      </c>
      <c r="G14669" s="5" t="str">
        <f>"98602"</f>
        <v>98602</v>
      </c>
    </row>
    <row r="14670" spans="1:7" ht="58.5" customHeight="1" x14ac:dyDescent="0.25">
      <c r="A14670" s="5" t="str">
        <f>"H0005612"</f>
        <v>H0005612</v>
      </c>
      <c r="B14670" s="5" t="str">
        <f>"TELEVISOR TRC 20"</f>
        <v>TELEVISOR TRC 20</v>
      </c>
      <c r="C14670" s="6">
        <v>445000</v>
      </c>
      <c r="D14670" s="5"/>
      <c r="E14670" s="5" t="str">
        <f t="shared" si="752"/>
        <v>ACTISALUD-ALA B-PISO 10</v>
      </c>
      <c r="F14670" s="5" t="str">
        <f>"Descripcion: TELEVISOR A COLOR DE 20 P. MARCA LG. REF: CP-20J52/20CB 20 Estado: Malo Placa anterior: 000022646 Material: PLASTICO Color: GRIS Referencia:  Observacion: SE CONECTO Y NO ENCIEDE Placa padre: Tipo adquisicion: Entidad"</f>
        <v>Descripcion: TELEVISOR A COLOR DE 20 P. MARCA LG. REF: CP-20J52/20CB 20 Estado: Malo Placa anterior: 000022646 Material: PLASTICO Color: GRIS Referencia:  Observacion: SE CONECTO Y NO ENCIEDE Placa padre: Tipo adquisicion: Entidad</v>
      </c>
      <c r="G14670" s="5" t="str">
        <f>"RP-20CB20A"</f>
        <v>RP-20CB20A</v>
      </c>
    </row>
    <row r="14671" spans="1:7" ht="58.5" customHeight="1" x14ac:dyDescent="0.25">
      <c r="A14671" s="5" t="str">
        <f>"H0005614"</f>
        <v>H0005614</v>
      </c>
      <c r="B14671" s="5" t="str">
        <f>"MESA DE NOCHE"</f>
        <v>MESA DE NOCHE</v>
      </c>
      <c r="C14671" s="6">
        <v>249182</v>
      </c>
      <c r="D14671" s="5"/>
      <c r="E14671" s="5" t="str">
        <f t="shared" si="752"/>
        <v>ACTISALUD-ALA B-PISO 10</v>
      </c>
      <c r="F14671" s="5" t="str">
        <f>"Descripcion: NOCHERO EN MADERA COLOR MACORE MEDIDA 0.50MTS. DE ANCHO 0.45MTS DE FONDO Y 0.70 MTS. ALTO Estado: Bueno Placa anterior: 000022694 Material: MADERA Color: MARRON Referencia:  Observacion:  Placa padre: Tipo adquisicion: Entidad"</f>
        <v>Descripcion: NOCHERO EN MADERA COLOR MACORE MEDIDA 0.50MTS. DE ANCHO 0.45MTS DE FONDO Y 0.70 MTS. ALTO Estado: Bueno Placa anterior: 000022694 Material: MADERA Color: MARRON Referencia:  Observacion:  Placa padre: Tipo adquisicion: Entidad</v>
      </c>
      <c r="G14671" s="5"/>
    </row>
    <row r="14672" spans="1:7" ht="58.5" customHeight="1" x14ac:dyDescent="0.25">
      <c r="A14672" s="5" t="str">
        <f>"H0005615"</f>
        <v>H0005615</v>
      </c>
      <c r="B14672" s="5" t="str">
        <f>"AIRE ACONDICIONADO TIPO VENTANA 12000 BTU"</f>
        <v>AIRE ACONDICIONADO TIPO VENTANA 12000 BTU</v>
      </c>
      <c r="C14672" s="6">
        <v>880000</v>
      </c>
      <c r="D14672" s="5"/>
      <c r="E14672" s="5" t="str">
        <f t="shared" si="752"/>
        <v>ACTISALUD-ALA B-PISO 10</v>
      </c>
      <c r="F14672" s="5" t="str">
        <f>"Descripcion: AIRE ACONDICIONADO DE VETNANA DE 12.000 BTU CON CONTROL REMOTO Estado: Bueno Placa anterior: 000022598 Material: PLASTICO EN POLIPROPILENO Color: GRIS Referencia: GOLD Observacion: EL AIRE PRESENTA LA PLACA No 000022598 Placa padre: Tipo adqu"&amp; "isicion: Entidad"</f>
        <v>Descripcion: AIRE ACONDICIONADO DE VETNANA DE 12.000 BTU CON CONTROL REMOTO Estado: Bueno Placa anterior: 000022598 Material: PLASTICO EN POLIPROPILENO Color: GRIS Referencia: GOLD Observacion: EL AIRE PRESENTA LA PLACA No 000022598 Placa padre: Tipo adquisicion: Entidad</v>
      </c>
      <c r="G14672" s="5" t="str">
        <f>"LWC123CSMK1"</f>
        <v>LWC123CSMK1</v>
      </c>
    </row>
    <row r="14673" spans="1:7" ht="58.5" customHeight="1" x14ac:dyDescent="0.25">
      <c r="A14673" s="5" t="str">
        <f>"H0005617"</f>
        <v>H0005617</v>
      </c>
      <c r="B14673" s="5" t="str">
        <f>"SILLA PLASTICA CON BRAZOS"</f>
        <v>SILLA PLASTICA CON BRAZOS</v>
      </c>
      <c r="C14673" s="6">
        <v>10440</v>
      </c>
      <c r="D14673" s="5"/>
      <c r="E14673" s="5" t="str">
        <f t="shared" si="752"/>
        <v>ACTISALUD-ALA B-PISO 10</v>
      </c>
      <c r="F14673" s="5" t="str">
        <f>"Descripcion: CON BRAZOS Estado: Bueno Placa anterior: 000021585 Material: PLASTICO DE POLIPROPILENO Color: VERDE Referencia:  Observacion:  Placa padre: Tipo adquisicion: Entidad"</f>
        <v>Descripcion: CON BRAZOS Estado: Bueno Placa anterior: 000021585 Material: PLASTICO DE POLIPROPILENO Color: VERDE Referencia:  Observacion:  Placa padre: Tipo adquisicion: Entidad</v>
      </c>
      <c r="G14673" s="5"/>
    </row>
    <row r="14674" spans="1:7" ht="58.5" customHeight="1" x14ac:dyDescent="0.25">
      <c r="A14674" s="5" t="str">
        <f>"H0005619"</f>
        <v>H0005619</v>
      </c>
      <c r="B14674" s="5" t="str">
        <f>"ATRIL PORTASUERO MOVIL"</f>
        <v>ATRIL PORTASUERO MOVIL</v>
      </c>
      <c r="C14674" s="6">
        <v>210000</v>
      </c>
      <c r="D14674" s="5" t="s">
        <v>50</v>
      </c>
      <c r="E14674" s="5" t="str">
        <f t="shared" si="752"/>
        <v>ACTISALUD-ALA B-PISO 10</v>
      </c>
      <c r="F14674" s="5" t="str">
        <f>"Descripcion: ATRIL EN ACERO INOXIDABLE QUIRURGICO ANTIMAGNETICO, CON RUEDA CHINES Estado: Bueno Placa anterior: 000029705 Material: ACERO INOXIDABLE Color: PLATEADO Referencia:  Observacion:  Placa padre: Tipo adquisicion: Entidad"</f>
        <v>Descripcion: ATRIL EN ACERO INOXIDABLE QUIRURGICO ANTIMAGNETICO, CON RUEDA CHINES Estado: Bueno Placa anterior: 000029705 Material: ACERO INOXIDABLE Color: PLATEADO Referencia:  Observacion:  Placa padre: Tipo adquisicion: Entidad</v>
      </c>
      <c r="G14674" s="5"/>
    </row>
    <row r="14675" spans="1:7" ht="58.5" customHeight="1" x14ac:dyDescent="0.25">
      <c r="A14675" s="5" t="str">
        <f>"H0005622"</f>
        <v>H0005622</v>
      </c>
      <c r="B14675" s="5" t="str">
        <f>"TELEVISOR TRC 20"</f>
        <v>TELEVISOR TRC 20</v>
      </c>
      <c r="C14675" s="6">
        <v>445000</v>
      </c>
      <c r="D14675" s="5"/>
      <c r="E14675" s="5" t="str">
        <f t="shared" si="752"/>
        <v>ACTISALUD-ALA B-PISO 10</v>
      </c>
      <c r="F14675" s="5" t="str">
        <f>"Descripcion: TELEVISOR A COLOR DE 20 P. MARCA LG. REF: CP-20J52/20CB 20 Estado: Regular Placa anterior: 000022628 Material: PASTA Color: GRIS Referencia:  Observacion: TELEVISOR DE MESA Placa padre: Tipo adquisicion: Entidad"</f>
        <v>Descripcion: TELEVISOR A COLOR DE 20 P. MARCA LG. REF: CP-20J52/20CB 20 Estado: Regular Placa anterior: 000022628 Material: PASTA Color: GRIS Referencia:  Observacion: TELEVISOR DE MESA Placa padre: Tipo adquisicion: Entidad</v>
      </c>
      <c r="G14675" s="5" t="str">
        <f>"RP-20CB20A"</f>
        <v>RP-20CB20A</v>
      </c>
    </row>
    <row r="14676" spans="1:7" ht="58.5" customHeight="1" x14ac:dyDescent="0.25">
      <c r="A14676" s="5" t="str">
        <f>"H0005623"</f>
        <v>H0005623</v>
      </c>
      <c r="B14676" s="5" t="str">
        <f>"MESA DE NOCHE"</f>
        <v>MESA DE NOCHE</v>
      </c>
      <c r="C14676" s="6">
        <v>249182</v>
      </c>
      <c r="D14676" s="5"/>
      <c r="E14676" s="5" t="str">
        <f t="shared" si="752"/>
        <v>ACTISALUD-ALA B-PISO 10</v>
      </c>
      <c r="F14676" s="5" t="str">
        <f>"Descripcion: NOCHERO EN MADERA COLOR MACORE MEDIDA 0.50MTS. DE ANCHO 0.45MTS DE FONDO Y 0.70 MTS. ALTO Estado: Regular Placa anterior: 000022689 Material: MADERA Color: MIEL Referencia:  Observacion:  Placa padre: Tipo adquisicion: Entidad"</f>
        <v>Descripcion: NOCHERO EN MADERA COLOR MACORE MEDIDA 0.50MTS. DE ANCHO 0.45MTS DE FONDO Y 0.70 MTS. ALTO Estado: Regular Placa anterior: 000022689 Material: MADERA Color: MIEL Referencia:  Observacion:  Placa padre: Tipo adquisicion: Entidad</v>
      </c>
      <c r="G14676" s="5"/>
    </row>
    <row r="14677" spans="1:7" ht="58.5" customHeight="1" x14ac:dyDescent="0.25">
      <c r="A14677" s="5" t="str">
        <f>"H0005624"</f>
        <v>H0005624</v>
      </c>
      <c r="B14677" s="5" t="str">
        <f>"MESA PUENTE (ALIMENTACION) (INSTRUMENTAL)"</f>
        <v>MESA PUENTE (ALIMENTACION) (INSTRUMENTAL)</v>
      </c>
      <c r="C14677" s="6">
        <v>15000</v>
      </c>
      <c r="D14677" s="5"/>
      <c r="E14677" s="5" t="str">
        <f t="shared" si="752"/>
        <v>ACTISALUD-ALA B-PISO 10</v>
      </c>
      <c r="F14677" s="5" t="str">
        <f>"Descripcion: MESA PUENTE CON FORMICA DE MADERA EN LA SUPERFICIE Estado: Regular Placa anterior: 000027074 Material: METALICA Y FORMICA Color: GRIS Y MIEL Referencia:  Observacion: EL BIEN TIENE PLACA ANTERIOR 000023422  AUTORIZADO CONCILIAR EN CRUCE GENER"&amp; "AL Placa padre: Tipo adquisicion: Entidad"</f>
        <v>Descripcion: MESA PUENTE CON FORMICA DE MADERA EN LA SUPERFICIE Estado: Regular Placa anterior: 000027074 Material: METALICA Y FORMICA Color: GRIS Y MIEL Referencia:  Observacion: EL BIEN TIENE PLACA ANTERIOR 000023422  AUTORIZADO CONCILIAR EN CRUCE GENERAL Placa padre: Tipo adquisicion: Entidad</v>
      </c>
      <c r="G14677" s="5"/>
    </row>
    <row r="14678" spans="1:7" ht="58.5" customHeight="1" x14ac:dyDescent="0.25">
      <c r="A14678" s="5" t="str">
        <f>"H0005627"</f>
        <v>H0005627</v>
      </c>
      <c r="B14678" s="5" t="str">
        <f>"AIRE ACONDICIONADO TIPO VENTANA 12000 BTU"</f>
        <v>AIRE ACONDICIONADO TIPO VENTANA 12000 BTU</v>
      </c>
      <c r="C14678" s="6">
        <v>880000</v>
      </c>
      <c r="D14678" s="5"/>
      <c r="E14678" s="5" t="str">
        <f t="shared" si="752"/>
        <v>ACTISALUD-ALA B-PISO 10</v>
      </c>
      <c r="F14678" s="5" t="str">
        <f>"Descripcion: AIRE ACONDICIONADO DE VENTANA CON CONTROL REMOTO LG.LSG-123 CSK1 OSCILACION AUTOMATICA. BTU: 12000 Estado: Regular Placa anterior: 000022608 Material: PASTA Color: GRIS Referencia:  Observacion:  Placa padre: Tipo adquisicion: Entidad"</f>
        <v>Descripcion: AIRE ACONDICIONADO DE VENTANA CON CONTROL REMOTO LG.LSG-123 CSK1 OSCILACION AUTOMATICA. BTU: 12000 Estado: Regular Placa anterior: 000022608 Material: PASTA Color: GRIS Referencia:  Observacion:  Placa padre: Tipo adquisicion: Entidad</v>
      </c>
      <c r="G14678" s="5" t="str">
        <f>"LWC123CSMK1"</f>
        <v>LWC123CSMK1</v>
      </c>
    </row>
    <row r="14679" spans="1:7" ht="58.5" customHeight="1" x14ac:dyDescent="0.25">
      <c r="A14679" s="5" t="str">
        <f>"H0005631"</f>
        <v>H0005631</v>
      </c>
      <c r="B14679" s="5" t="str">
        <f>"ATRIL PORTASUERO MOVIL"</f>
        <v>ATRIL PORTASUERO MOVIL</v>
      </c>
      <c r="C14679" s="6">
        <v>210000</v>
      </c>
      <c r="D14679" s="5" t="s">
        <v>50</v>
      </c>
      <c r="E14679" s="5" t="str">
        <f t="shared" si="752"/>
        <v>ACTISALUD-ALA B-PISO 10</v>
      </c>
      <c r="F14679" s="5" t="str">
        <f>"Descripcion: ATRIL EN ACERO INOXIDABLE QUIRURGICO ANTIMAGNETICO. CON RUEDACHINES Estado: Bueno Placa anterior: 000029715 Material: ACERO INOXIDABLE Color: PLATEADO Referencia:  Observacion:  Placa padre: Tipo adquisicion: Entidad"</f>
        <v>Descripcion: ATRIL EN ACERO INOXIDABLE QUIRURGICO ANTIMAGNETICO. CON RUEDACHINES Estado: Bueno Placa anterior: 000029715 Material: ACERO INOXIDABLE Color: PLATEADO Referencia:  Observacion:  Placa padre: Tipo adquisicion: Entidad</v>
      </c>
      <c r="G14679" s="5"/>
    </row>
    <row r="14680" spans="1:7" ht="58.5" customHeight="1" x14ac:dyDescent="0.25">
      <c r="A14680" s="5" t="str">
        <f>"H0005636"</f>
        <v>H0005636</v>
      </c>
      <c r="B14680" s="5" t="str">
        <f>"MESA DE NOCHE"</f>
        <v>MESA DE NOCHE</v>
      </c>
      <c r="C14680" s="6">
        <v>249182</v>
      </c>
      <c r="D14680" s="5"/>
      <c r="E14680" s="5" t="str">
        <f t="shared" si="752"/>
        <v>ACTISALUD-ALA B-PISO 10</v>
      </c>
      <c r="F14680" s="5" t="str">
        <f>"Descripcion: NOCHERO EN MADERA COLOR MACORE MEDIDA 0.50MTS. DE ANCHO 0.45MTS DE FONDO Y 0.70 MTS. ALTO Estado: Bueno Placa anterior: 000022682 Material: MADERA Color: MIEL Referencia:  Observacion:  Placa padre: Tipo adquisicion: Entidad"</f>
        <v>Descripcion: NOCHERO EN MADERA COLOR MACORE MEDIDA 0.50MTS. DE ANCHO 0.45MTS DE FONDO Y 0.70 MTS. ALTO Estado: Bueno Placa anterior: 000022682 Material: MADERA Color: MIEL Referencia:  Observacion:  Placa padre: Tipo adquisicion: Entidad</v>
      </c>
      <c r="G14680" s="5"/>
    </row>
    <row r="14681" spans="1:7" ht="58.5" customHeight="1" x14ac:dyDescent="0.25">
      <c r="A14681" s="5" t="str">
        <f>"H0005637"</f>
        <v>H0005637</v>
      </c>
      <c r="B14681" s="5" t="str">
        <f>"ATRIL PORTASUERO MOVIL"</f>
        <v>ATRIL PORTASUERO MOVIL</v>
      </c>
      <c r="C14681" s="6">
        <v>210000</v>
      </c>
      <c r="D14681" s="5" t="s">
        <v>50</v>
      </c>
      <c r="E14681" s="5" t="str">
        <f t="shared" si="752"/>
        <v>ACTISALUD-ALA B-PISO 10</v>
      </c>
      <c r="F14681" s="5" t="str">
        <f>"Descripcion: ATRIL EN ACERO INOXIDABLE QUIRURGICO ANTIMAGNETICO CON RODACHINES Estado: Bueno Placa anterior: 000029714 Material: ACERO INOXIDABLE Color: PLATEADO Referencia:  Observacion:  Placa padre: Tipo adquisicion: Entidad"</f>
        <v>Descripcion: ATRIL EN ACERO INOXIDABLE QUIRURGICO ANTIMAGNETICO CON RODACHINES Estado: Bueno Placa anterior: 000029714 Material: ACERO INOXIDABLE Color: PLATEADO Referencia:  Observacion:  Placa padre: Tipo adquisicion: Entidad</v>
      </c>
      <c r="G14681" s="5"/>
    </row>
    <row r="14682" spans="1:7" ht="58.5" customHeight="1" x14ac:dyDescent="0.25">
      <c r="A14682" s="5" t="str">
        <f>"H0005640"</f>
        <v>H0005640</v>
      </c>
      <c r="B14682" s="5" t="str">
        <f>"AIRE ACONDICIONADO TIPO VENTANA 12000 BTU"</f>
        <v>AIRE ACONDICIONADO TIPO VENTANA 12000 BTU</v>
      </c>
      <c r="C14682" s="6">
        <v>880000</v>
      </c>
      <c r="D14682" s="5"/>
      <c r="E14682" s="5" t="str">
        <f t="shared" si="752"/>
        <v>ACTISALUD-ALA B-PISO 10</v>
      </c>
      <c r="F14682" s="5" t="str">
        <f>"Descripcion: AIRE ACONDICIONADO DE VENTANA CON CONTROL REMOTO LG.LSG-123 CSK1 OSCILACION AUTOMATICA 12000 BTU Estado: Bueno Placa anterior: 000022603 Material: PASTA Y METALICO Color: GRIS Referencia: GOLD Observacion: SERIAL BORROSO: PUEDE SER 807TAXT02."&amp; " FALTA OTROS DIGITOS Placa padre: Tipo adquisicion: Entidad"</f>
        <v>Descripcion: AIRE ACONDICIONADO DE VENTANA CON CONTROL REMOTO LG.LSG-123 CSK1 OSCILACION AUTOMATICA 12000 BTU Estado: Bueno Placa anterior: 000022603 Material: PASTA Y METALICO Color: GRIS Referencia: GOLD Observacion: SERIAL BORROSO: PUEDE SER 807TAXT02. FALTA OTROS DIGITOS Placa padre: Tipo adquisicion: Entidad</v>
      </c>
      <c r="G14682" s="5" t="str">
        <f>"LWC123CSMK1"</f>
        <v>LWC123CSMK1</v>
      </c>
    </row>
    <row r="14683" spans="1:7" ht="58.5" customHeight="1" x14ac:dyDescent="0.25">
      <c r="A14683" s="5" t="str">
        <f>"H0005646"</f>
        <v>H0005646</v>
      </c>
      <c r="B14683" s="5" t="str">
        <f>"ESCALERILLA DE 2 PASOS"</f>
        <v>ESCALERILLA DE 2 PASOS</v>
      </c>
      <c r="C14683" s="6">
        <v>4455</v>
      </c>
      <c r="D14683" s="5"/>
      <c r="E14683" s="5" t="str">
        <f t="shared" si="752"/>
        <v>ACTISALUD-ALA B-PISO 10</v>
      </c>
      <c r="F14683" s="5" t="str">
        <f>"Descripcion: ESCALERA DE DOS PASOS Estado: Malo Placa anterior: 000005622 Material: METALICA Y MADERA Color: BEIS Y NEGRA Referencia:  Observacion: AUTORIZADO CONCILIAR EN CRUCE GENERAL Placa padre: Tipo adquisicion: Entidad"</f>
        <v>Descripcion: ESCALERA DE DOS PASOS Estado: Malo Placa anterior: 000005622 Material: METALICA Y MADERA Color: BEIS Y NEGRA Referencia:  Observacion: AUTORIZADO CONCILIAR EN CRUCE GENERAL Placa padre: Tipo adquisicion: Entidad</v>
      </c>
      <c r="G14683" s="5"/>
    </row>
    <row r="14684" spans="1:7" ht="58.5" customHeight="1" x14ac:dyDescent="0.25">
      <c r="A14684" s="5" t="str">
        <f>"H0005652"</f>
        <v>H0005652</v>
      </c>
      <c r="B14684" s="5" t="str">
        <f>"CAMA DESCANSO (SOFACAMA)"</f>
        <v>CAMA DESCANSO (SOFACAMA)</v>
      </c>
      <c r="C14684" s="6">
        <v>73150</v>
      </c>
      <c r="D14684" s="5"/>
      <c r="E14684" s="5" t="str">
        <f t="shared" si="752"/>
        <v>ACTISALUD-ALA B-PISO 10</v>
      </c>
      <c r="F14684" s="5" t="str">
        <f>"Descripcion: SOFA CAMA. DIMENSIONES: 56X215X73 CM Estado: Malo Placa anterior: 000015096 Material: MADERA Y ESPUMA Color: MARRON Referencia:  Observacion: LA ESÙMA DEL COLCHONETA ESTA SIN TAPIZADO Y ROTA. SOFA PARA ACOMPAÑANTE Y VISITA Placa padre: Tipo a"&amp; "dquisicion: Entidad"</f>
        <v>Descripcion: SOFA CAMA. DIMENSIONES: 56X215X73 CM Estado: Malo Placa anterior: 000015096 Material: MADERA Y ESPUMA Color: MARRON Referencia:  Observacion: LA ESÙMA DEL COLCHONETA ESTA SIN TAPIZADO Y ROTA. SOFA PARA ACOMPAÑANTE Y VISITA Placa padre: Tipo adquisicion: Entidad</v>
      </c>
      <c r="G14684" s="5"/>
    </row>
    <row r="14685" spans="1:7" ht="58.5" customHeight="1" x14ac:dyDescent="0.25">
      <c r="A14685" s="5" t="str">
        <f>"H0005653"</f>
        <v>H0005653</v>
      </c>
      <c r="B14685" s="5" t="str">
        <f>"AIRE ACONDICIONADO TIPO VENTANA 12000 BTU"</f>
        <v>AIRE ACONDICIONADO TIPO VENTANA 12000 BTU</v>
      </c>
      <c r="C14685" s="6">
        <v>880000</v>
      </c>
      <c r="D14685" s="5"/>
      <c r="E14685" s="5" t="str">
        <f t="shared" si="752"/>
        <v>ACTISALUD-ALA B-PISO 10</v>
      </c>
      <c r="F14685" s="5" t="str">
        <f>"Descripcion: AIRE ACONDICIONADO TIPO VENTANA 12000 BTU Estado: Bueno Placa anterior: 000022587 Material: METALICO Y PASTA Color: GRIS Referencia: GOLD Observacion: NO SE LE APRECIO EL SERIAL ETIQUETA DESPRENDIDA Placa padre: Tipo adquisicion: Entidad"</f>
        <v>Descripcion: AIRE ACONDICIONADO TIPO VENTANA 12000 BTU Estado: Bueno Placa anterior: 000022587 Material: METALICO Y PASTA Color: GRIS Referencia: GOLD Observacion: NO SE LE APRECIO EL SERIAL ETIQUETA DESPRENDIDA Placa padre: Tipo adquisicion: Entidad</v>
      </c>
      <c r="G14685" s="5" t="str">
        <f>"W122CM SCA"</f>
        <v>W122CM SCA</v>
      </c>
    </row>
    <row r="14686" spans="1:7" ht="58.5" customHeight="1" x14ac:dyDescent="0.25">
      <c r="A14686" s="5" t="str">
        <f>"H0005656"</f>
        <v>H0005656</v>
      </c>
      <c r="B14686" s="5" t="str">
        <f>"MESA PUENTE (ALIMENTACION) (INSTRUMENTAL)"</f>
        <v>MESA PUENTE (ALIMENTACION) (INSTRUMENTAL)</v>
      </c>
      <c r="C14686" s="6">
        <v>210000</v>
      </c>
      <c r="D14686" s="5"/>
      <c r="E14686" s="5" t="str">
        <f t="shared" si="752"/>
        <v>ACTISALUD-ALA B-PISO 10</v>
      </c>
      <c r="F14686" s="5" t="str">
        <f>"Descripcion: MESA CON CUBIERTA EN FORMICA. DIMENSIONES: 99X90X40 CM Estado: Regular Placa anterior: 000027272 Material: METALICO Y FORMICA Color: GRIS Y MIEL Referencia:  Observacion:  Placa padre: Tipo adquisicion: Entidad"</f>
        <v>Descripcion: MESA CON CUBIERTA EN FORMICA. DIMENSIONES: 99X90X40 CM Estado: Regular Placa anterior: 000027272 Material: METALICO Y FORMICA Color: GRIS Y MIEL Referencia:  Observacion:  Placa padre: Tipo adquisicion: Entidad</v>
      </c>
      <c r="G14686" s="5"/>
    </row>
    <row r="14687" spans="1:7" ht="58.5" customHeight="1" x14ac:dyDescent="0.25">
      <c r="A14687" s="5" t="str">
        <f>"H0005659"</f>
        <v>H0005659</v>
      </c>
      <c r="B14687" s="5" t="str">
        <f>"MESA PUENTE (ALIMENTACION) (INSTRUMENTAL)"</f>
        <v>MESA PUENTE (ALIMENTACION) (INSTRUMENTAL)</v>
      </c>
      <c r="C14687" s="6">
        <v>210000</v>
      </c>
      <c r="D14687" s="5"/>
      <c r="E14687" s="5" t="str">
        <f t="shared" si="752"/>
        <v>ACTISALUD-ALA B-PISO 10</v>
      </c>
      <c r="F14687" s="5" t="str">
        <f>"Descripcion: MESA PUENTE PARA ALIMENTACION DIM: 102X80X36 CM, CON CUBIERTA DE FORMICA  Estado: Regular Placa anterior: 000023437 Material: METALICA Y FORMICA Color: GRIS Y MARRON Referencia:  Observacion:  Placa padre: Tipo adquisicion: Entidad"</f>
        <v>Descripcion: MESA PUENTE PARA ALIMENTACION DIM: 102X80X36 CM, CON CUBIERTA DE FORMICA  Estado: Regular Placa anterior: 000023437 Material: METALICA Y FORMICA Color: GRIS Y MARRON Referencia:  Observacion:  Placa padre: Tipo adquisicion: Entidad</v>
      </c>
      <c r="G14687" s="5"/>
    </row>
    <row r="14688" spans="1:7" ht="58.5" customHeight="1" x14ac:dyDescent="0.25">
      <c r="A14688" s="5" t="str">
        <f>"H0005660"</f>
        <v>H0005660</v>
      </c>
      <c r="B14688" s="5" t="str">
        <f>"MESA DE NOCHE"</f>
        <v>MESA DE NOCHE</v>
      </c>
      <c r="C14688" s="6">
        <v>249182</v>
      </c>
      <c r="D14688" s="5"/>
      <c r="E14688" s="5" t="str">
        <f t="shared" si="752"/>
        <v>ACTISALUD-ALA B-PISO 10</v>
      </c>
      <c r="F14688" s="5" t="str">
        <f>"Descripcion: MESA DE NOCHE EN MADERA, DOS GAVETAS. DIMENSIONES: 74X50X44 CM Estado: Regular Placa anterior: 000022695 Material: MADERA Color: MARRON Referencia:  Observacion:  Placa padre: Tipo adquisicion: Entidad"</f>
        <v>Descripcion: MESA DE NOCHE EN MADERA, DOS GAVETAS. DIMENSIONES: 74X50X44 CM Estado: Regular Placa anterior: 000022695 Material: MADERA Color: MARRON Referencia:  Observacion:  Placa padre: Tipo adquisicion: Entidad</v>
      </c>
      <c r="G14688" s="5"/>
    </row>
    <row r="14689" spans="1:7" ht="58.5" customHeight="1" x14ac:dyDescent="0.25">
      <c r="A14689" s="5" t="str">
        <f>"H0005722"</f>
        <v>H0005722</v>
      </c>
      <c r="B14689" s="5" t="str">
        <f>"ESCALERILLA DE 2 PASOS"</f>
        <v>ESCALERILLA DE 2 PASOS</v>
      </c>
      <c r="C14689" s="6">
        <v>4455</v>
      </c>
      <c r="D14689" s="5"/>
      <c r="E14689" s="5" t="str">
        <f t="shared" si="752"/>
        <v>ACTISALUD-ALA B-PISO 10</v>
      </c>
      <c r="F14689" s="5" t="str">
        <f>"Descripcion: ESCALERA DE DOS PASOS    Estado: Malo Placa anterior: 000026895 Material: METALICA Y MADERA  Color: BEIS Y NEGRA Referencia:  Observacion: AUTORIZADO CONCILIAR EN CRUCE GENERAL Placa padre: Tipo adquisicion: Entidad"</f>
        <v>Descripcion: ESCALERA DE DOS PASOS    Estado: Malo Placa anterior: 000026895 Material: METALICA Y MADERA  Color: BEIS Y NEGRA Referencia:  Observacion: AUTORIZADO CONCILIAR EN CRUCE GENERAL Placa padre: Tipo adquisicion: Entidad</v>
      </c>
      <c r="G14689" s="5"/>
    </row>
    <row r="14690" spans="1:7" ht="58.5" customHeight="1" x14ac:dyDescent="0.25">
      <c r="A14690" s="5" t="str">
        <f>"H0005723"</f>
        <v>H0005723</v>
      </c>
      <c r="B14690" s="5" t="str">
        <f>"ESCALERILLA DE 2 PASOS"</f>
        <v>ESCALERILLA DE 2 PASOS</v>
      </c>
      <c r="C14690" s="6">
        <v>4455</v>
      </c>
      <c r="D14690" s="5"/>
      <c r="E14690" s="5" t="str">
        <f t="shared" si="752"/>
        <v>ACTISALUD-ALA B-PISO 10</v>
      </c>
      <c r="F14690" s="5" t="str">
        <f>"Descripcion: ESCALERA DE DOS PASOS    Estado: Malo Placa anterior: 000005432 Material: METALICA Y MADERA  Color: BEIS Y NEGRA Referencia:  Observacion: AUTORIZADO CONCILIAR EN CRUCE GENERAL Placa padre: Tipo adquisicion: Entidad"</f>
        <v>Descripcion: ESCALERA DE DOS PASOS    Estado: Malo Placa anterior: 000005432 Material: METALICA Y MADERA  Color: BEIS Y NEGRA Referencia:  Observacion: AUTORIZADO CONCILIAR EN CRUCE GENERAL Placa padre: Tipo adquisicion: Entidad</v>
      </c>
      <c r="G14690" s="5"/>
    </row>
    <row r="14691" spans="1:7" ht="58.5" customHeight="1" x14ac:dyDescent="0.25">
      <c r="A14691" s="5" t="str">
        <f>"H0006716"</f>
        <v>H0006716</v>
      </c>
      <c r="B14691" s="5" t="str">
        <f>"ESCALERILLA DE 2 PASOS"</f>
        <v>ESCALERILLA DE 2 PASOS</v>
      </c>
      <c r="C14691" s="6">
        <v>120000</v>
      </c>
      <c r="D14691" s="5"/>
      <c r="E14691" s="5" t="str">
        <f t="shared" si="752"/>
        <v>ACTISALUD-ALA B-PISO 10</v>
      </c>
      <c r="F14691" s="5" t="str">
        <f>"Descripcion:ESCALERILLA DE DOS PASOS Estado: Excelente Placa anterior: 000037817 Material: METAL Y PASOS EN MADERA Color: BLANCO Y NEGRO Referencia:  Observacion:  Placa padre:  Tipo adquisicion : Entidad"</f>
        <v>Descripcion:ESCALERILLA DE DOS PASOS Estado: Excelente Placa anterior: 000037817 Material: METAL Y PASOS EN MADERA Color: BLANCO Y NEGRO Referencia:  Observacion:  Placa padre:  Tipo adquisicion : Entidad</v>
      </c>
      <c r="G14691" s="5"/>
    </row>
    <row r="14692" spans="1:7" ht="58.5" customHeight="1" x14ac:dyDescent="0.25">
      <c r="A14692" s="5" t="str">
        <f>"H0006719"</f>
        <v>H0006719</v>
      </c>
      <c r="B14692" s="5" t="str">
        <f>"ESCALERILLA DE 2 PASOS"</f>
        <v>ESCALERILLA DE 2 PASOS</v>
      </c>
      <c r="C14692" s="6">
        <v>120000</v>
      </c>
      <c r="D14692" s="5"/>
      <c r="E14692" s="5" t="str">
        <f t="shared" si="752"/>
        <v>ACTISALUD-ALA B-PISO 10</v>
      </c>
      <c r="F14692" s="5" t="str">
        <f>"Descripcion:ESCALERILLA DE DOS PASOS Estado: Excelente Placa anterior: 000037815 Material: METAL Y PASOS EN MADERA Color: BLANCO Y NEGRO Referencia:  Observacion:  Placa padre:  Tipo adquisicion : Entidad"</f>
        <v>Descripcion:ESCALERILLA DE DOS PASOS Estado: Excelente Placa anterior: 000037815 Material: METAL Y PASOS EN MADERA Color: BLANCO Y NEGRO Referencia:  Observacion:  Placa padre:  Tipo adquisicion : Entidad</v>
      </c>
      <c r="G14692" s="5"/>
    </row>
    <row r="14693" spans="1:7" ht="58.5" customHeight="1" x14ac:dyDescent="0.25">
      <c r="A14693" s="5" t="str">
        <f>"H0006729"</f>
        <v>H0006729</v>
      </c>
      <c r="B14693" s="5" t="str">
        <f>"ESCALERILLA DE 2 PASOS"</f>
        <v>ESCALERILLA DE 2 PASOS</v>
      </c>
      <c r="C14693" s="6">
        <v>120000</v>
      </c>
      <c r="D14693" s="5"/>
      <c r="E14693" s="5" t="str">
        <f t="shared" si="752"/>
        <v>ACTISALUD-ALA B-PISO 10</v>
      </c>
      <c r="F14693" s="5" t="str">
        <f>"Descripcion:ESCALERILLA DE DOS PASOS Estado: Excelente Placa anterior: 000037812 Material: METAL Y PASOS EN MADERA Color: BLANCO Y NEGRO Referencia:  Observacion:  Placa padre:  Tipo adquisicion : Entidad"</f>
        <v>Descripcion:ESCALERILLA DE DOS PASOS Estado: Excelente Placa anterior: 000037812 Material: METAL Y PASOS EN MADERA Color: BLANCO Y NEGRO Referencia:  Observacion:  Placa padre:  Tipo adquisicion : Entidad</v>
      </c>
      <c r="G14693" s="5"/>
    </row>
    <row r="14694" spans="1:7" ht="58.5" customHeight="1" x14ac:dyDescent="0.25">
      <c r="A14694" s="5" t="str">
        <f>"H0006818"</f>
        <v>H0006818</v>
      </c>
      <c r="B14694" s="5" t="str">
        <f>"SILLA RECLINOMATICA"</f>
        <v>SILLA RECLINOMATICA</v>
      </c>
      <c r="C14694" s="6">
        <v>1220000</v>
      </c>
      <c r="D14694" s="5" t="s">
        <v>63</v>
      </c>
      <c r="E14694" s="5" t="str">
        <f t="shared" si="752"/>
        <v>ACTISALUD-ALA B-PISO 10</v>
      </c>
      <c r="F14694"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Excelente Placa anterior: 000037964 Material: CUERO Color: AZUL Referencia:  Observacion: BUEN ESTADO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Excelente Placa anterior: 000037964 Material: CUERO Color: AZUL Referencia:  Observacion: BUEN ESTADO Placa padre: Tipo adquisicion: Entidad</v>
      </c>
      <c r="G14694" s="5"/>
    </row>
    <row r="14695" spans="1:7" ht="58.5" customHeight="1" x14ac:dyDescent="0.25">
      <c r="A14695" s="5" t="str">
        <f>"H0006929"</f>
        <v>H0006929</v>
      </c>
      <c r="B14695" s="5" t="str">
        <f>"ESCALERILLA DE 2 PASOS"</f>
        <v>ESCALERILLA DE 2 PASOS</v>
      </c>
      <c r="C14695" s="6">
        <v>120000</v>
      </c>
      <c r="D14695" s="5" t="s">
        <v>63</v>
      </c>
      <c r="E14695" s="5" t="str">
        <f t="shared" si="752"/>
        <v>ACTISALUD-ALA B-PISO 10</v>
      </c>
      <c r="F14695" s="5" t="str">
        <f>"Descripcion: ESCALERILLA DE DOS PASOS Estado: Bueno Placa anterior: 000037804 Material: METALICO Color:  Referencia:  Observacion:  Placa padre: Tipo adquisicion: Entidad"</f>
        <v>Descripcion: ESCALERILLA DE DOS PASOS Estado: Bueno Placa anterior: 000037804 Material: METALICO Color:  Referencia:  Observacion:  Placa padre: Tipo adquisicion: Entidad</v>
      </c>
      <c r="G14695" s="5"/>
    </row>
    <row r="14696" spans="1:7" ht="58.5" customHeight="1" x14ac:dyDescent="0.25">
      <c r="A14696" s="5" t="str">
        <f>"H0006930"</f>
        <v>H0006930</v>
      </c>
      <c r="B14696" s="5" t="str">
        <f>"SILLA RECLINOMATICA"</f>
        <v>SILLA RECLINOMATICA</v>
      </c>
      <c r="C14696" s="6">
        <v>1220000</v>
      </c>
      <c r="D14696" s="5" t="s">
        <v>63</v>
      </c>
      <c r="E14696" s="5" t="str">
        <f t="shared" si="752"/>
        <v>ACTISALUD-ALA B-PISO 10</v>
      </c>
      <c r="F14696"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000037977 Material: PLASTICO Color: AZUL OSCURO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000037977 Material: PLASTICO Color: AZUL OSCURO Referencia:  Observacion:  Placa padre: Tipo adquisicion: Entidad</v>
      </c>
      <c r="G14696" s="5"/>
    </row>
    <row r="14697" spans="1:7" ht="58.5" customHeight="1" x14ac:dyDescent="0.25">
      <c r="A14697" s="5" t="str">
        <f>"H0006932"</f>
        <v>H0006932</v>
      </c>
      <c r="B14697" s="5" t="str">
        <f>"ESCALERILLA DE 2 PASOS"</f>
        <v>ESCALERILLA DE 2 PASOS</v>
      </c>
      <c r="C14697" s="6">
        <v>120000</v>
      </c>
      <c r="D14697" s="5" t="s">
        <v>63</v>
      </c>
      <c r="E14697" s="5" t="str">
        <f t="shared" si="752"/>
        <v>ACTISALUD-ALA B-PISO 10</v>
      </c>
      <c r="F14697" s="5" t="str">
        <f>"Descripcion: ESCALERILLA DE DOS PASOS Estado: Bueno Placa anterior: 000037801 Material: METALICO Color:  Referencia:  Observacion:  Placa padre: Tipo adquisicion: Entidad"</f>
        <v>Descripcion: ESCALERILLA DE DOS PASOS Estado: Bueno Placa anterior: 000037801 Material: METALICO Color:  Referencia:  Observacion:  Placa padre: Tipo adquisicion: Entidad</v>
      </c>
      <c r="G14697" s="5"/>
    </row>
    <row r="14698" spans="1:7" ht="58.5" customHeight="1" x14ac:dyDescent="0.25">
      <c r="A14698" s="5" t="str">
        <f>"H0006935"</f>
        <v>H0006935</v>
      </c>
      <c r="B14698" s="5" t="str">
        <f>"MESA DE NOCHE"</f>
        <v>MESA DE NOCHE</v>
      </c>
      <c r="C14698" s="6">
        <v>350000</v>
      </c>
      <c r="D14698" s="5" t="s">
        <v>63</v>
      </c>
      <c r="E14698" s="5" t="str">
        <f t="shared" si="752"/>
        <v>ACTISALUD-ALA B-PISO 10</v>
      </c>
      <c r="F14698" s="5" t="str">
        <f>"Descripcion: MESA DE NOCHE Estado: Bueno Placa anterior: 000037840 Material: ACERO INOXIDABLE Color:  Referencia:  Observacion:  Placa padre: Tipo adquisicion: Entidad"</f>
        <v>Descripcion: MESA DE NOCHE Estado: Bueno Placa anterior: 000037840 Material: ACERO INOXIDABLE Color:  Referencia:  Observacion:  Placa padre: Tipo adquisicion: Entidad</v>
      </c>
      <c r="G14698" s="5"/>
    </row>
    <row r="14699" spans="1:7" ht="58.5" customHeight="1" x14ac:dyDescent="0.25">
      <c r="A14699" s="5" t="str">
        <f>"H0006936"</f>
        <v>H0006936</v>
      </c>
      <c r="B14699" s="5" t="str">
        <f>"SILLA RECLINOMATICA"</f>
        <v>SILLA RECLINOMATICA</v>
      </c>
      <c r="C14699" s="6">
        <v>1220000</v>
      </c>
      <c r="D14699" s="5" t="s">
        <v>63</v>
      </c>
      <c r="E14699" s="5" t="str">
        <f t="shared" si="752"/>
        <v>ACTISALUD-ALA B-PISO 10</v>
      </c>
      <c r="F14699" s="5" t="str">
        <f>"Descripcion: SILLA RECLINOMATICA DE ACOMPAÑANTE Sistema mecánico con reclinación en el espaldar, marco estructural en acero, de pantorrilla, desplazamiento hacia atrás elaborado en material lavable de fácil limpieza, con mesa y portavaso. Con un ancho de "&amp; "máximo 70 cm Estado: Bueno Placa anterior: 000037974 Material: MADERA Y PLASTICO Color: AZUL OSCURO Referencia:  Observacion:  Placa padre: Tipo adquisicion: Entidad"</f>
        <v>Descripcion: SILLA RECLINOMATICA DE ACOMPAÑANTE Sistema mecánico con reclinación en el espaldar, marco estructural en acero, de pantorrilla, desplazamiento hacia atrás elaborado en material lavable de fácil limpieza, con mesa y portavaso. Con un ancho de máximo 70 cm Estado: Bueno Placa anterior: 000037974 Material: MADERA Y PLASTICO Color: AZUL OSCURO Referencia:  Observacion:  Placa padre: Tipo adquisicion: Entidad</v>
      </c>
      <c r="G14699" s="5"/>
    </row>
    <row r="14700" spans="1:7" ht="58.5" customHeight="1" x14ac:dyDescent="0.25">
      <c r="A14700" s="5" t="str">
        <f>"H0006937"</f>
        <v>H0006937</v>
      </c>
      <c r="B14700" s="5" t="str">
        <f>"MESA PUENTE (ALIMENTACION) (INSTRUMENTAL)"</f>
        <v>MESA PUENTE (ALIMENTACION) (INSTRUMENTAL)</v>
      </c>
      <c r="C14700" s="6">
        <v>300000</v>
      </c>
      <c r="D14700" s="5" t="s">
        <v>63</v>
      </c>
      <c r="E14700" s="5" t="str">
        <f t="shared" si="752"/>
        <v>ACTISALUD-ALA B-PISO 10</v>
      </c>
      <c r="F14700" s="5" t="str">
        <f>"Descripcion: MESA PUENTES Estado: Bueno Placa anterior: 000037876 Material: METALICO Y FORMICA Color:  Referencia:  Observacion:  Placa padre: Tipo adquisicion: Entidad"</f>
        <v>Descripcion: MESA PUENTES Estado: Bueno Placa anterior: 000037876 Material: METALICO Y FORMICA Color:  Referencia:  Observacion:  Placa padre: Tipo adquisicion: Entidad</v>
      </c>
      <c r="G14700" s="5"/>
    </row>
    <row r="14701" spans="1:7" ht="58.5" customHeight="1" x14ac:dyDescent="0.25">
      <c r="A14701" s="5" t="str">
        <f>"H0006938"</f>
        <v>H0006938</v>
      </c>
      <c r="B14701" s="5" t="str">
        <f>"MESA DE NOCHE"</f>
        <v>MESA DE NOCHE</v>
      </c>
      <c r="C14701" s="6">
        <v>350000</v>
      </c>
      <c r="D14701" s="5" t="s">
        <v>63</v>
      </c>
      <c r="E14701" s="5" t="str">
        <f t="shared" si="752"/>
        <v>ACTISALUD-ALA B-PISO 10</v>
      </c>
      <c r="F14701" s="5" t="str">
        <f>"Descripcion: MESA DE NOCHE Estado: Bueno Placa anterior: 000037836 Material: ACERO INOXIDABLE Color:  Referencia:  Observacion:  Placa padre: Tipo adquisicion: Entidad"</f>
        <v>Descripcion: MESA DE NOCHE Estado: Bueno Placa anterior: 000037836 Material: ACERO INOXIDABLE Color:  Referencia:  Observacion:  Placa padre: Tipo adquisicion: Entidad</v>
      </c>
      <c r="G14701" s="5"/>
    </row>
    <row r="14702" spans="1:7" ht="58.5" customHeight="1" x14ac:dyDescent="0.25">
      <c r="A14702" s="5" t="str">
        <f>"H0006955"</f>
        <v>H0006955</v>
      </c>
      <c r="B14702" s="5" t="str">
        <f>"MESA DE NOCHE"</f>
        <v>MESA DE NOCHE</v>
      </c>
      <c r="C14702" s="6">
        <v>249182</v>
      </c>
      <c r="D14702" s="5"/>
      <c r="E14702" s="5" t="str">
        <f t="shared" si="752"/>
        <v>ACTISALUD-ALA B-PISO 10</v>
      </c>
      <c r="F14702" s="5" t="str">
        <f>"Descripcion: MESA DE NOCHE CON TRES GABETAS. DIMENSIONES: 65X50X52 CM. CON RODACHINES Estado: Bueno Placa anterior: 000022696 Material: FORMICA Color: NEGRO Y BLANCO Referencia:  Observacion:  Placa padre: Tipo adquisicion: Entidad"</f>
        <v>Descripcion: MESA DE NOCHE CON TRES GABETAS. DIMENSIONES: 65X50X52 CM. CON RODACHINES Estado: Bueno Placa anterior: 000022696 Material: FORMICA Color: NEGRO Y BLANCO Referencia:  Observacion:  Placa padre: Tipo adquisicion: Entidad</v>
      </c>
      <c r="G14702" s="5"/>
    </row>
    <row r="14703" spans="1:7" ht="58.5" customHeight="1" x14ac:dyDescent="0.25">
      <c r="A14703" s="5" t="str">
        <f>"H0006956"</f>
        <v>H0006956</v>
      </c>
      <c r="B14703" s="5" t="str">
        <f>"CAMILLA DE TRASLADO DE 2 PLANOS"</f>
        <v>CAMILLA DE TRASLADO DE 2 PLANOS</v>
      </c>
      <c r="C14703" s="6">
        <v>1845000</v>
      </c>
      <c r="D14703" s="5" t="s">
        <v>239</v>
      </c>
      <c r="E14703" s="5" t="str">
        <f t="shared" si="752"/>
        <v>ACTISALUD-ALA B-PISO 10</v>
      </c>
      <c r="F14703" s="5" t="str">
        <f>"Descripcion: CAMILLA CON BARANDAS DE DOS PLANOS PARA TRASLADOS CON COLCHONETA Estado: Bueno Placa anterior: 000029071 Material: METALICA Color: BLANCA Referencia:  Observacion:  Placa padre: Tipo adquisicion: Entidad"</f>
        <v>Descripcion: CAMILLA CON BARANDAS DE DOS PLANOS PARA TRASLADOS CON COLCHONETA Estado: Bueno Placa anterior: 000029071 Material: METALICA Color: BLANCA Referencia:  Observacion:  Placa padre: Tipo adquisicion: Entidad</v>
      </c>
      <c r="G14703" s="5"/>
    </row>
    <row r="14704" spans="1:7" ht="58.5" customHeight="1" x14ac:dyDescent="0.25">
      <c r="A14704" s="5" t="str">
        <f>"H0006966"</f>
        <v>H0006966</v>
      </c>
      <c r="B14704" s="5" t="str">
        <f>"BANDEJA DE ACERO INOXIDABLE MEDIANA"</f>
        <v>BANDEJA DE ACERO INOXIDABLE MEDIANA</v>
      </c>
      <c r="C14704" s="6">
        <v>23118.799999999999</v>
      </c>
      <c r="D14704" s="5"/>
      <c r="E14704" s="5" t="str">
        <f t="shared" si="752"/>
        <v>ACTISALUD-ALA B-PISO 10</v>
      </c>
      <c r="F14704" s="5" t="str">
        <f>"Descripcion: BANDEJA. DIMENSIONES: 33X23 CM      Estado: Bueno Placa anterior: 000004223 Material: ACERO INOXIDABLE Color: PLATEADO Referencia:  Observacion:  Placa padre: Tipo adquisicion: Entidad"</f>
        <v>Descripcion: BANDEJA. DIMENSIONES: 33X23 CM      Estado: Bueno Placa anterior: 000004223 Material: ACERO INOXIDABLE Color: PLATEADO Referencia:  Observacion:  Placa padre: Tipo adquisicion: Entidad</v>
      </c>
      <c r="G14704" s="5"/>
    </row>
    <row r="14705" spans="1:7" ht="58.5" customHeight="1" x14ac:dyDescent="0.25">
      <c r="A14705" s="5" t="str">
        <f>"H0006967"</f>
        <v>H0006967</v>
      </c>
      <c r="B14705" s="5" t="str">
        <f>"POTE (TARRO) ACERO INXODABLE CON TAPA PEQUEÑO"</f>
        <v>POTE (TARRO) ACERO INXODABLE CON TAPA PEQUEÑO</v>
      </c>
      <c r="C14705" s="6">
        <v>10312.86</v>
      </c>
      <c r="D14705" s="5"/>
      <c r="E14705" s="5" t="str">
        <f t="shared" si="752"/>
        <v>ACTISALUD-ALA B-PISO 10</v>
      </c>
      <c r="F14705" s="5" t="str">
        <f>"Descripcion: POTE PARA BAJA LENGUA DIAMETRO 12 CM Y ALTURA DE 20 CM   Estado: Bueno Placa anterior: 000007735 Material: ACERO INOXIDABLE Color: PLATEADO Referencia:  Observacion:  Placa padre: Tipo adquisicion: Entidad"</f>
        <v>Descripcion: POTE PARA BAJA LENGUA DIAMETRO 12 CM Y ALTURA DE 20 CM   Estado: Bueno Placa anterior: 000007735 Material: ACERO INOXIDABLE Color: PLATEADO Referencia:  Observacion:  Placa padre: Tipo adquisicion: Entidad</v>
      </c>
      <c r="G14705" s="5"/>
    </row>
    <row r="14706" spans="1:7" ht="58.5" customHeight="1" x14ac:dyDescent="0.25">
      <c r="A14706" s="5" t="str">
        <f>"H0006969"</f>
        <v>H0006969</v>
      </c>
      <c r="B14706" s="5" t="str">
        <f>"MESA DE MAYO"</f>
        <v>MESA DE MAYO</v>
      </c>
      <c r="C14706" s="6">
        <v>24640</v>
      </c>
      <c r="D14706" s="5"/>
      <c r="E14706" s="5" t="str">
        <f t="shared" si="752"/>
        <v>ACTISALUD-ALA B-PISO 10</v>
      </c>
      <c r="F14706" s="5" t="str">
        <f>"Descripcion: MESA DE MAYO Estado: Regular Placa anterior: 000015839 Material: METALICO Y FORMICA Color: GRIS Y BAGE Referencia:  Observacion:  Placa padre: Tipo adquisicion: Entidad"</f>
        <v>Descripcion: MESA DE MAYO Estado: Regular Placa anterior: 000015839 Material: METALICO Y FORMICA Color: GRIS Y BAGE Referencia:  Observacion:  Placa padre: Tipo adquisicion: Entidad</v>
      </c>
      <c r="G14706" s="5"/>
    </row>
    <row r="14707" spans="1:7" ht="58.5" customHeight="1" x14ac:dyDescent="0.25">
      <c r="A14707" s="5" t="str">
        <f>"H0006973"</f>
        <v>H0006973</v>
      </c>
      <c r="B14707" s="5" t="str">
        <f>"SILLA DE RUEDAS"</f>
        <v>SILLA DE RUEDAS</v>
      </c>
      <c r="C14707" s="6">
        <v>650000</v>
      </c>
      <c r="D14707" s="5"/>
      <c r="E14707" s="5" t="str">
        <f t="shared" si="752"/>
        <v>ACTISALUD-ALA B-PISO 10</v>
      </c>
      <c r="F14707" s="5" t="str">
        <f>"Descripcion: SILLA DE RUEDAS CON ESPALDAR Y ACIENTO EN CUERINA Estado: Regular Placa anterior: 000026206 Material: METALICO Y CUERINA Color: GRIS Referencia:  Observacion:  Placa padre: Tipo adquisicion: Entidad"</f>
        <v>Descripcion: SILLA DE RUEDAS CON ESPALDAR Y ACIENTO EN CUERINA Estado: Regular Placa anterior: 000026206 Material: METALICO Y CUERINA Color: GRIS Referencia:  Observacion:  Placa padre: Tipo adquisicion: Entidad</v>
      </c>
      <c r="G14707" s="5"/>
    </row>
    <row r="14708" spans="1:7" ht="58.5" customHeight="1" x14ac:dyDescent="0.25">
      <c r="A14708" s="5" t="str">
        <f>"H0008832"</f>
        <v>H0008832</v>
      </c>
      <c r="B14708" s="5" t="str">
        <f>"CARRO DE PARO"</f>
        <v>CARRO DE PARO</v>
      </c>
      <c r="C14708" s="6">
        <v>760000</v>
      </c>
      <c r="D14708" s="5"/>
      <c r="E14708" s="5" t="str">
        <f t="shared" si="752"/>
        <v>ACTISALUD-ALA B-PISO 10</v>
      </c>
      <c r="F14708" s="5" t="str">
        <f>"Descripcion: CARRO DE PARO Estado: Bueno Placa anterior: 000033239 Material: METALICO Color: BEIGE Referencia:  Observacion:  Placa padre: Tipo adquisicion: Entidad"</f>
        <v>Descripcion: CARRO DE PARO Estado: Bueno Placa anterior: 000033239 Material: METALICO Color: BEIGE Referencia:  Observacion:  Placa padre: Tipo adquisicion: Entidad</v>
      </c>
      <c r="G14708" s="5"/>
    </row>
    <row r="14709" spans="1:7" ht="58.5" customHeight="1" x14ac:dyDescent="0.25">
      <c r="A14709" s="5" t="str">
        <f>"H0015864"</f>
        <v>H0015864</v>
      </c>
      <c r="B14709" s="5" t="str">
        <f t="shared" ref="B14709:B14714" si="753">"MESA PUENTE (ALIMENTACION) (INSTRUMENTAL)"</f>
        <v>MESA PUENTE (ALIMENTACION) (INSTRUMENTAL)</v>
      </c>
      <c r="C14709" s="6">
        <v>300000</v>
      </c>
      <c r="D14709" s="5"/>
      <c r="E14709" s="5" t="str">
        <f t="shared" si="752"/>
        <v>ACTISALUD-ALA B-PISO 10</v>
      </c>
      <c r="F14709" s="5" t="str">
        <f>"Descripcion:MESA PUENTES (MAYO) Estado: Excelente Placa anterior: 000037887 Material: METAL Y FORMICA Color: BEIGE Y MADERA Referencia:  Observacion:  Placa padre:  Tipo adquisicion : Entidad"</f>
        <v>Descripcion:MESA PUENTES (MAYO) Estado: Excelente Placa anterior: 000037887 Material: METAL Y FORMICA Color: BEIGE Y MADERA Referencia:  Observacion:  Placa padre:  Tipo adquisicion : Entidad</v>
      </c>
      <c r="G14709" s="5" t="str">
        <f t="shared" ref="G14709:G14714" si="754">"7821"</f>
        <v>7821</v>
      </c>
    </row>
    <row r="14710" spans="1:7" ht="58.5" customHeight="1" x14ac:dyDescent="0.25">
      <c r="A14710" s="5" t="str">
        <f>"H0015865"</f>
        <v>H0015865</v>
      </c>
      <c r="B14710" s="5" t="str">
        <f t="shared" si="753"/>
        <v>MESA PUENTE (ALIMENTACION) (INSTRUMENTAL)</v>
      </c>
      <c r="C14710" s="6">
        <v>300000</v>
      </c>
      <c r="D14710" s="5"/>
      <c r="E14710" s="5" t="str">
        <f t="shared" si="752"/>
        <v>ACTISALUD-ALA B-PISO 10</v>
      </c>
      <c r="F14710" s="5" t="str">
        <f>"Descripcion:MESA PUENTES (MAYO) Estado: Excelente Placa anterior: 000037888 Material: METAL Y FORMICA Color: BEIGE Y MADERA Referencia:  Observacion:  Placa padre:  Tipo adquisicion : Entidad"</f>
        <v>Descripcion:MESA PUENTES (MAYO) Estado: Excelente Placa anterior: 000037888 Material: METAL Y FORMICA Color: BEIGE Y MADERA Referencia:  Observacion:  Placa padre:  Tipo adquisicion : Entidad</v>
      </c>
      <c r="G14710" s="5" t="str">
        <f t="shared" si="754"/>
        <v>7821</v>
      </c>
    </row>
    <row r="14711" spans="1:7" ht="58.5" customHeight="1" x14ac:dyDescent="0.25">
      <c r="A14711" s="5" t="str">
        <f>"H0015866"</f>
        <v>H0015866</v>
      </c>
      <c r="B14711" s="5" t="str">
        <f t="shared" si="753"/>
        <v>MESA PUENTE (ALIMENTACION) (INSTRUMENTAL)</v>
      </c>
      <c r="C14711" s="6">
        <v>300000</v>
      </c>
      <c r="D14711" s="5"/>
      <c r="E14711" s="5" t="str">
        <f t="shared" si="752"/>
        <v>ACTISALUD-ALA B-PISO 10</v>
      </c>
      <c r="F14711" s="5" t="str">
        <f>"Descripcion:MESA PUENTES (MAYO) Estado: Excelente Placa anterior: 000037889 Material: METAL Y FORMICA Color: BEIGE Y MADERA Referencia:  Observacion:  Placa padre:  Tipo adquisicion : Entidad"</f>
        <v>Descripcion:MESA PUENTES (MAYO) Estado: Excelente Placa anterior: 000037889 Material: METAL Y FORMICA Color: BEIGE Y MADERA Referencia:  Observacion:  Placa padre:  Tipo adquisicion : Entidad</v>
      </c>
      <c r="G14711" s="5" t="str">
        <f t="shared" si="754"/>
        <v>7821</v>
      </c>
    </row>
    <row r="14712" spans="1:7" ht="58.5" customHeight="1" x14ac:dyDescent="0.25">
      <c r="A14712" s="5" t="str">
        <f>"H0015867"</f>
        <v>H0015867</v>
      </c>
      <c r="B14712" s="5" t="str">
        <f t="shared" si="753"/>
        <v>MESA PUENTE (ALIMENTACION) (INSTRUMENTAL)</v>
      </c>
      <c r="C14712" s="6">
        <v>300000</v>
      </c>
      <c r="D14712" s="5"/>
      <c r="E14712" s="5" t="str">
        <f t="shared" si="752"/>
        <v>ACTISALUD-ALA B-PISO 10</v>
      </c>
      <c r="F14712" s="5" t="str">
        <f>"Descripcion:MESA PUENTES (MAYO) Estado: Excelente Placa anterior: 000037890 Material: METAL Y FORMICA Color: BEIGE Y MADERA Referencia:  Observacion:  Placa padre:  Tipo adquisicion : Entidad"</f>
        <v>Descripcion:MESA PUENTES (MAYO) Estado: Excelente Placa anterior: 000037890 Material: METAL Y FORMICA Color: BEIGE Y MADERA Referencia:  Observacion:  Placa padre:  Tipo adquisicion : Entidad</v>
      </c>
      <c r="G14712" s="5" t="str">
        <f t="shared" si="754"/>
        <v>7821</v>
      </c>
    </row>
    <row r="14713" spans="1:7" ht="58.5" customHeight="1" x14ac:dyDescent="0.25">
      <c r="A14713" s="5" t="str">
        <f>"H0015869"</f>
        <v>H0015869</v>
      </c>
      <c r="B14713" s="5" t="str">
        <f t="shared" si="753"/>
        <v>MESA PUENTE (ALIMENTACION) (INSTRUMENTAL)</v>
      </c>
      <c r="C14713" s="6">
        <v>300000</v>
      </c>
      <c r="D14713" s="5"/>
      <c r="E14713" s="5" t="str">
        <f t="shared" si="752"/>
        <v>ACTISALUD-ALA B-PISO 10</v>
      </c>
      <c r="F14713" s="5" t="str">
        <f>"Descripcion:MESA PUENTES (MAYO) Estado: Excelente Placa anterior: 000037892 Material: METAL Y FORMICA Color: BEIGE Y MADERA Referencia:  Observacion:  Placa padre:  Tipo adquisicion : Entidad"</f>
        <v>Descripcion:MESA PUENTES (MAYO) Estado: Excelente Placa anterior: 000037892 Material: METAL Y FORMICA Color: BEIGE Y MADERA Referencia:  Observacion:  Placa padre:  Tipo adquisicion : Entidad</v>
      </c>
      <c r="G14713" s="5" t="str">
        <f t="shared" si="754"/>
        <v>7821</v>
      </c>
    </row>
    <row r="14714" spans="1:7" ht="58.5" customHeight="1" x14ac:dyDescent="0.25">
      <c r="A14714" s="5" t="str">
        <f>"H0015870"</f>
        <v>H0015870</v>
      </c>
      <c r="B14714" s="5" t="str">
        <f t="shared" si="753"/>
        <v>MESA PUENTE (ALIMENTACION) (INSTRUMENTAL)</v>
      </c>
      <c r="C14714" s="6">
        <v>300000</v>
      </c>
      <c r="D14714" s="5"/>
      <c r="E14714" s="5" t="str">
        <f t="shared" si="752"/>
        <v>ACTISALUD-ALA B-PISO 10</v>
      </c>
      <c r="F14714" s="5" t="str">
        <f>"Descripcion:MESA PUENTES (MAYO) Estado: Excelente Placa anterior: 000037893 Material: METAL Y FORMICA Color: BEIGE Y MADERA Referencia:  Observacion:  Placa padre:  Tipo adquisicion : Entidad"</f>
        <v>Descripcion:MESA PUENTES (MAYO) Estado: Excelente Placa anterior: 000037893 Material: METAL Y FORMICA Color: BEIGE Y MADERA Referencia:  Observacion:  Placa padre:  Tipo adquisicion : Entidad</v>
      </c>
      <c r="G14714" s="5" t="str">
        <f t="shared" si="754"/>
        <v>7821</v>
      </c>
    </row>
    <row r="14715" spans="1:7" ht="58.5" customHeight="1" x14ac:dyDescent="0.25">
      <c r="A14715" s="5" t="str">
        <f>"H0015872"</f>
        <v>H0015872</v>
      </c>
      <c r="B14715" s="5" t="str">
        <f t="shared" ref="B14715:B14720" si="755">"MESA DE NOCHE"</f>
        <v>MESA DE NOCHE</v>
      </c>
      <c r="C14715" s="6">
        <v>350000</v>
      </c>
      <c r="D14715" s="5"/>
      <c r="E14715" s="5" t="str">
        <f t="shared" si="752"/>
        <v>ACTISALUD-ALA B-PISO 10</v>
      </c>
      <c r="F14715" s="5" t="str">
        <f>"Descripcion:MESA DE NOCHE Estado: Excelente Placa anterior: 000037849 Material: METAL Y FORMICA Color: BEIGE Y MADERA Referencia:  Observacion:  Placa padre:  Tipo adquisicion : Entidad"</f>
        <v>Descripcion:MESA DE NOCHE Estado: Excelente Placa anterior: 000037849 Material: METAL Y FORMICA Color: BEIGE Y MADERA Referencia:  Observacion:  Placa padre:  Tipo adquisicion : Entidad</v>
      </c>
      <c r="G14715" s="5" t="str">
        <f>"7425"</f>
        <v>7425</v>
      </c>
    </row>
    <row r="14716" spans="1:7" ht="58.5" customHeight="1" x14ac:dyDescent="0.25">
      <c r="A14716" s="5" t="str">
        <f>"H0015874"</f>
        <v>H0015874</v>
      </c>
      <c r="B14716" s="5" t="str">
        <f t="shared" si="755"/>
        <v>MESA DE NOCHE</v>
      </c>
      <c r="C14716" s="6">
        <v>350000</v>
      </c>
      <c r="D14716" s="5"/>
      <c r="E14716" s="5" t="str">
        <f t="shared" si="752"/>
        <v>ACTISALUD-ALA B-PISO 10</v>
      </c>
      <c r="F14716" s="5" t="str">
        <f>"Descripcion:MESA DE NOCHE Estado: Excelente Placa anterior: 000037850 Material: METAL Y FORMICA Color: BEIGE Y MADERA Referencia:  Observacion:  Placa padre:  Tipo adquisicion : Entidad"</f>
        <v>Descripcion:MESA DE NOCHE Estado: Excelente Placa anterior: 000037850 Material: METAL Y FORMICA Color: BEIGE Y MADERA Referencia:  Observacion:  Placa padre:  Tipo adquisicion : Entidad</v>
      </c>
      <c r="G14716" s="5" t="str">
        <f>"7425"</f>
        <v>7425</v>
      </c>
    </row>
    <row r="14717" spans="1:7" ht="58.5" customHeight="1" x14ac:dyDescent="0.25">
      <c r="A14717" s="5" t="str">
        <f>"H0015876"</f>
        <v>H0015876</v>
      </c>
      <c r="B14717" s="5" t="str">
        <f t="shared" si="755"/>
        <v>MESA DE NOCHE</v>
      </c>
      <c r="C14717" s="6">
        <v>350000</v>
      </c>
      <c r="D14717" s="5"/>
      <c r="E14717" s="5" t="str">
        <f t="shared" si="752"/>
        <v>ACTISALUD-ALA B-PISO 10</v>
      </c>
      <c r="F14717" s="5" t="str">
        <f>"Descripcion:MESA DE NOCHE 2 GAVETAS Estado: Excelente Placa anterior: 000037852 Material: METAL Y FORMICA Color: BEIGE Y MADERA Referencia:  Observacion:  Placa padre:  Tipo adquisicion : Entidad"</f>
        <v>Descripcion:MESA DE NOCHE 2 GAVETAS Estado: Excelente Placa anterior: 000037852 Material: METAL Y FORMICA Color: BEIGE Y MADERA Referencia:  Observacion:  Placa padre:  Tipo adquisicion : Entidad</v>
      </c>
      <c r="G14717" s="5" t="str">
        <f>"7417"</f>
        <v>7417</v>
      </c>
    </row>
    <row r="14718" spans="1:7" ht="58.5" customHeight="1" x14ac:dyDescent="0.25">
      <c r="A14718" s="5" t="str">
        <f>"H0015878"</f>
        <v>H0015878</v>
      </c>
      <c r="B14718" s="5" t="str">
        <f t="shared" si="755"/>
        <v>MESA DE NOCHE</v>
      </c>
      <c r="C14718" s="6">
        <v>350000</v>
      </c>
      <c r="D14718" s="5"/>
      <c r="E14718" s="5" t="str">
        <f t="shared" si="752"/>
        <v>ACTISALUD-ALA B-PISO 10</v>
      </c>
      <c r="F14718" s="5" t="str">
        <f>"Descripcion:MESA DE NOCHE 2 GAVETAS Estado: Excelente Placa anterior: 000037854 Material: METAL Y FORMICA Color: BEIGE Y MADERA Referencia:  Observacion:  Placa padre:  Tipo adquisicion : Entidad"</f>
        <v>Descripcion:MESA DE NOCHE 2 GAVETAS Estado: Excelente Placa anterior: 000037854 Material: METAL Y FORMICA Color: BEIGE Y MADERA Referencia:  Observacion:  Placa padre:  Tipo adquisicion : Entidad</v>
      </c>
      <c r="G14718" s="5" t="str">
        <f>"7417"</f>
        <v>7417</v>
      </c>
    </row>
    <row r="14719" spans="1:7" ht="58.5" customHeight="1" x14ac:dyDescent="0.25">
      <c r="A14719" s="5" t="str">
        <f>"H0015880"</f>
        <v>H0015880</v>
      </c>
      <c r="B14719" s="5" t="str">
        <f t="shared" si="755"/>
        <v>MESA DE NOCHE</v>
      </c>
      <c r="C14719" s="6">
        <v>350000</v>
      </c>
      <c r="D14719" s="5"/>
      <c r="E14719" s="5" t="str">
        <f t="shared" si="752"/>
        <v>ACTISALUD-ALA B-PISO 10</v>
      </c>
      <c r="F14719" s="5" t="str">
        <f>"Descripcion:MESA DE NOCHE 2 GAVETAS Estado: Excelente Placa anterior: 000037856 Material: METAL Y FORMICA Color: BEIGE Y MADERA Referencia:  Observacion:  Placa padre:  Tipo adquisicion : Entidad"</f>
        <v>Descripcion:MESA DE NOCHE 2 GAVETAS Estado: Excelente Placa anterior: 000037856 Material: METAL Y FORMICA Color: BEIGE Y MADERA Referencia:  Observacion:  Placa padre:  Tipo adquisicion : Entidad</v>
      </c>
      <c r="G14719" s="5" t="str">
        <f>"7417"</f>
        <v>7417</v>
      </c>
    </row>
    <row r="14720" spans="1:7" ht="58.5" customHeight="1" x14ac:dyDescent="0.25">
      <c r="A14720" s="5" t="str">
        <f>"H0015881"</f>
        <v>H0015881</v>
      </c>
      <c r="B14720" s="5" t="str">
        <f t="shared" si="755"/>
        <v>MESA DE NOCHE</v>
      </c>
      <c r="C14720" s="6">
        <v>350000</v>
      </c>
      <c r="D14720" s="5"/>
      <c r="E14720" s="5" t="str">
        <f t="shared" si="752"/>
        <v>ACTISALUD-ALA B-PISO 10</v>
      </c>
      <c r="F14720" s="5" t="str">
        <f>"Descripcion:MESA DE NOCHE 2 GAVETAS Estado: Excelente Placa anterior: 000037857 Material: METAL Y FORMICA Color: BEIGE Y MADERA Referencia:  Observacion:  Placa padre:  Tipo adquisicion : Entidad"</f>
        <v>Descripcion:MESA DE NOCHE 2 GAVETAS Estado: Excelente Placa anterior: 000037857 Material: METAL Y FORMICA Color: BEIGE Y MADERA Referencia:  Observacion:  Placa padre:  Tipo adquisicion : Entidad</v>
      </c>
      <c r="G14720" s="5" t="str">
        <f>"7417"</f>
        <v>7417</v>
      </c>
    </row>
    <row r="14721" spans="1:7" ht="58.5" customHeight="1" x14ac:dyDescent="0.25">
      <c r="A14721" s="5" t="str">
        <f>"H0019255"</f>
        <v>H0019255</v>
      </c>
      <c r="B14721" s="5" t="str">
        <f>"ARCHIVADOR METALICO 3 GAVETAS"</f>
        <v>ARCHIVADOR METALICO 3 GAVETAS</v>
      </c>
      <c r="C14721" s="6">
        <v>37408.5</v>
      </c>
      <c r="D14721" s="5"/>
      <c r="E14721" s="5" t="str">
        <f t="shared" si="752"/>
        <v>ACTISALUD-ALA B-PISO 10</v>
      </c>
      <c r="F14721" s="5" t="str">
        <f>"Descripcion: ARCHIVADOR METALICO 3 GAVETAS Estado: Bueno Placa anterior: 000000852 Material: METALICO Color: GRIS Referencia:  Observacion: EL BIEN TIENE PLACA ANTERIOR  000001388, AUTORIZADO CONCILIAR EN CRUCE GENERAL Placa padre: Tipo adquisicion: Entid"&amp; "ad"</f>
        <v>Descripcion: ARCHIVADOR METALICO 3 GAVETAS Estado: Bueno Placa anterior: 000000852 Material: METALICO Color: GRIS Referencia:  Observacion: EL BIEN TIENE PLACA ANTERIOR  000001388, AUTORIZADO CONCILIAR EN CRUCE GENERAL Placa padre: Tipo adquisicion: Entidad</v>
      </c>
      <c r="G14721" s="5"/>
    </row>
    <row r="14722" spans="1:7" ht="58.5" customHeight="1" x14ac:dyDescent="0.25">
      <c r="A14722" s="5" t="str">
        <f>"H0024256"</f>
        <v>H0024256</v>
      </c>
      <c r="B14722" s="5" t="str">
        <f t="shared" ref="B14722:B14727" si="756">"CAMA ELECTRICA ADULTOS"</f>
        <v>CAMA ELECTRICA ADULTOS</v>
      </c>
      <c r="C14722" s="6">
        <v>5746930</v>
      </c>
      <c r="D14722" s="5" t="s">
        <v>36</v>
      </c>
      <c r="E14722" s="5" t="str">
        <f t="shared" si="752"/>
        <v>ACTISALUD-ALA B-PISO 10</v>
      </c>
      <c r="F14722" s="5"/>
      <c r="G14722" s="5"/>
    </row>
    <row r="14723" spans="1:7" ht="58.5" customHeight="1" x14ac:dyDescent="0.25">
      <c r="A14723" s="5" t="str">
        <f>"H0024263"</f>
        <v>H0024263</v>
      </c>
      <c r="B14723" s="5" t="str">
        <f t="shared" si="756"/>
        <v>CAMA ELECTRICA ADULTOS</v>
      </c>
      <c r="C14723" s="6">
        <v>5746930</v>
      </c>
      <c r="D14723" s="5" t="s">
        <v>36</v>
      </c>
      <c r="E14723" s="5" t="str">
        <f t="shared" si="752"/>
        <v>ACTISALUD-ALA B-PISO 10</v>
      </c>
      <c r="F14723" s="5"/>
      <c r="G14723" s="5"/>
    </row>
    <row r="14724" spans="1:7" ht="58.5" customHeight="1" x14ac:dyDescent="0.25">
      <c r="A14724" s="5" t="str">
        <f>"H0024283"</f>
        <v>H0024283</v>
      </c>
      <c r="B14724" s="5" t="str">
        <f t="shared" si="756"/>
        <v>CAMA ELECTRICA ADULTOS</v>
      </c>
      <c r="C14724" s="6">
        <v>5746930</v>
      </c>
      <c r="D14724" s="5" t="s">
        <v>36</v>
      </c>
      <c r="E14724" s="5" t="str">
        <f t="shared" si="752"/>
        <v>ACTISALUD-ALA B-PISO 10</v>
      </c>
      <c r="F14724" s="5"/>
      <c r="G14724" s="5"/>
    </row>
    <row r="14725" spans="1:7" ht="58.5" customHeight="1" x14ac:dyDescent="0.25">
      <c r="A14725" s="5" t="str">
        <f>"H0024323"</f>
        <v>H0024323</v>
      </c>
      <c r="B14725" s="5" t="str">
        <f t="shared" si="756"/>
        <v>CAMA ELECTRICA ADULTOS</v>
      </c>
      <c r="C14725" s="6">
        <v>5746930</v>
      </c>
      <c r="D14725" s="5" t="s">
        <v>36</v>
      </c>
      <c r="E14725" s="5" t="str">
        <f t="shared" si="752"/>
        <v>ACTISALUD-ALA B-PISO 10</v>
      </c>
      <c r="F14725" s="5"/>
      <c r="G14725" s="5"/>
    </row>
    <row r="14726" spans="1:7" ht="58.5" customHeight="1" x14ac:dyDescent="0.25">
      <c r="A14726" s="5" t="str">
        <f>"H0024341"</f>
        <v>H0024341</v>
      </c>
      <c r="B14726" s="5" t="str">
        <f t="shared" si="756"/>
        <v>CAMA ELECTRICA ADULTOS</v>
      </c>
      <c r="C14726" s="6">
        <v>5746930</v>
      </c>
      <c r="D14726" s="5" t="s">
        <v>36</v>
      </c>
      <c r="E14726" s="5" t="str">
        <f t="shared" si="752"/>
        <v>ACTISALUD-ALA B-PISO 10</v>
      </c>
      <c r="F14726" s="5"/>
      <c r="G14726" s="5"/>
    </row>
    <row r="14727" spans="1:7" ht="58.5" customHeight="1" x14ac:dyDescent="0.25">
      <c r="A14727" s="5" t="str">
        <f>"H0024383"</f>
        <v>H0024383</v>
      </c>
      <c r="B14727" s="5" t="str">
        <f t="shared" si="756"/>
        <v>CAMA ELECTRICA ADULTOS</v>
      </c>
      <c r="C14727" s="6">
        <v>5746930</v>
      </c>
      <c r="D14727" s="5" t="s">
        <v>36</v>
      </c>
      <c r="E14727" s="5" t="str">
        <f t="shared" si="752"/>
        <v>ACTISALUD-ALA B-PISO 10</v>
      </c>
      <c r="F14727" s="5"/>
      <c r="G14727" s="5"/>
    </row>
    <row r="14728" spans="1:7" ht="58.5" customHeight="1" x14ac:dyDescent="0.25">
      <c r="A14728" s="5" t="str">
        <f>"H0026029"</f>
        <v>H0026029</v>
      </c>
      <c r="B14728" s="5" t="str">
        <f>"SILLA DE RUEDAS"</f>
        <v>SILLA DE RUEDAS</v>
      </c>
      <c r="C14728" s="6">
        <v>280000</v>
      </c>
      <c r="D14728" s="5" t="s">
        <v>77</v>
      </c>
      <c r="E14728" s="5" t="str">
        <f t="shared" si="752"/>
        <v>ACTISALUD-ALA B-PISO 10</v>
      </c>
      <c r="F14728" s="5"/>
      <c r="G14728" s="5"/>
    </row>
    <row r="14729" spans="1:7" ht="58.5" customHeight="1" x14ac:dyDescent="0.25">
      <c r="A14729" s="5" t="str">
        <f>"H0027377"</f>
        <v>H0027377</v>
      </c>
      <c r="B14729" s="5" t="str">
        <f>"LECTOR DE HUELLAS DIGITALES"</f>
        <v>LECTOR DE HUELLAS DIGITALES</v>
      </c>
      <c r="C14729" s="6">
        <v>234000.41</v>
      </c>
      <c r="D14729" s="5" t="s">
        <v>354</v>
      </c>
      <c r="E14729" s="5" t="str">
        <f t="shared" si="752"/>
        <v>ACTISALUD-ALA B-PISO 10</v>
      </c>
      <c r="F14729" s="5"/>
      <c r="G14729" s="5"/>
    </row>
    <row r="14730" spans="1:7" ht="58.5" customHeight="1" x14ac:dyDescent="0.25">
      <c r="A14730" s="5" t="str">
        <f>"H0027580"</f>
        <v>H0027580</v>
      </c>
      <c r="B14730" s="5" t="str">
        <f>"LECTOR DE HUELLAS DIGITALES"</f>
        <v>LECTOR DE HUELLAS DIGITALES</v>
      </c>
      <c r="C14730" s="6">
        <v>234000.41</v>
      </c>
      <c r="D14730" s="5" t="s">
        <v>83</v>
      </c>
      <c r="E14730" s="5" t="str">
        <f t="shared" si="752"/>
        <v>ACTISALUD-ALA B-PISO 10</v>
      </c>
      <c r="F14730" s="5"/>
      <c r="G14730" s="5"/>
    </row>
    <row r="14731" spans="1:7" ht="58.5" customHeight="1" x14ac:dyDescent="0.25">
      <c r="A14731" s="5" t="str">
        <f>"H0028374"</f>
        <v>H0028374</v>
      </c>
      <c r="B14731" s="5" t="str">
        <f>"MESA PARA ELECTROCARDIOGRAFO"</f>
        <v>MESA PARA ELECTROCARDIOGRAFO</v>
      </c>
      <c r="C14731" s="6">
        <v>469000</v>
      </c>
      <c r="D14731" s="5" t="s">
        <v>409</v>
      </c>
      <c r="E14731" s="5" t="str">
        <f t="shared" si="752"/>
        <v>ACTISALUD-ALA B-PISO 10</v>
      </c>
      <c r="F14731" s="5"/>
      <c r="G14731" s="5"/>
    </row>
    <row r="14732" spans="1:7" ht="58.5" customHeight="1" x14ac:dyDescent="0.25">
      <c r="A14732" s="5" t="str">
        <f>"H0028420"</f>
        <v>H0028420</v>
      </c>
      <c r="B14732" s="5" t="str">
        <f>"SILLA RECLINOMATICA"</f>
        <v>SILLA RECLINOMATICA</v>
      </c>
      <c r="C14732" s="6">
        <v>900000</v>
      </c>
      <c r="D14732" s="5" t="s">
        <v>245</v>
      </c>
      <c r="E14732" s="5" t="str">
        <f t="shared" ref="E14732:E14795" si="757">"ACTISALUD-ALA B-PISO 10"</f>
        <v>ACTISALUD-ALA B-PISO 10</v>
      </c>
      <c r="F14732" s="5"/>
      <c r="G14732" s="5"/>
    </row>
    <row r="14733" spans="1:7" ht="58.5" customHeight="1" x14ac:dyDescent="0.25">
      <c r="A14733" s="5" t="str">
        <f>"H0028421"</f>
        <v>H0028421</v>
      </c>
      <c r="B14733" s="5" t="str">
        <f>"SILLA RECLINOMATICA"</f>
        <v>SILLA RECLINOMATICA</v>
      </c>
      <c r="C14733" s="6">
        <v>900000</v>
      </c>
      <c r="D14733" s="5" t="s">
        <v>245</v>
      </c>
      <c r="E14733" s="5" t="str">
        <f t="shared" si="757"/>
        <v>ACTISALUD-ALA B-PISO 10</v>
      </c>
      <c r="F14733" s="5"/>
      <c r="G14733" s="5"/>
    </row>
    <row r="14734" spans="1:7" ht="58.5" customHeight="1" x14ac:dyDescent="0.25">
      <c r="A14734" s="5" t="str">
        <f>"H0028423"</f>
        <v>H0028423</v>
      </c>
      <c r="B14734" s="5" t="str">
        <f>"SILLA RECLINOMATICA"</f>
        <v>SILLA RECLINOMATICA</v>
      </c>
      <c r="C14734" s="6">
        <v>900000</v>
      </c>
      <c r="D14734" s="5" t="s">
        <v>245</v>
      </c>
      <c r="E14734" s="5" t="str">
        <f t="shared" si="757"/>
        <v>ACTISALUD-ALA B-PISO 10</v>
      </c>
      <c r="F14734" s="5"/>
      <c r="G14734" s="5"/>
    </row>
    <row r="14735" spans="1:7" ht="58.5" customHeight="1" x14ac:dyDescent="0.25">
      <c r="A14735" s="5" t="str">
        <f>"H0028424"</f>
        <v>H0028424</v>
      </c>
      <c r="B14735" s="5" t="str">
        <f>"SILLA RECLINOMATICA"</f>
        <v>SILLA RECLINOMATICA</v>
      </c>
      <c r="C14735" s="6">
        <v>900000</v>
      </c>
      <c r="D14735" s="5" t="s">
        <v>245</v>
      </c>
      <c r="E14735" s="5" t="str">
        <f t="shared" si="757"/>
        <v>ACTISALUD-ALA B-PISO 10</v>
      </c>
      <c r="F14735" s="5"/>
      <c r="G14735" s="5"/>
    </row>
    <row r="14736" spans="1:7" ht="58.5" customHeight="1" x14ac:dyDescent="0.25">
      <c r="A14736" s="5" t="str">
        <f>"H0028427"</f>
        <v>H0028427</v>
      </c>
      <c r="B14736" s="5" t="str">
        <f>"SILLA RECLINOMATICA"</f>
        <v>SILLA RECLINOMATICA</v>
      </c>
      <c r="C14736" s="6">
        <v>900000</v>
      </c>
      <c r="D14736" s="5" t="s">
        <v>245</v>
      </c>
      <c r="E14736" s="5" t="str">
        <f t="shared" si="757"/>
        <v>ACTISALUD-ALA B-PISO 10</v>
      </c>
      <c r="F14736" s="5"/>
      <c r="G14736" s="5"/>
    </row>
    <row r="14737" spans="1:7" ht="58.5" customHeight="1" x14ac:dyDescent="0.25">
      <c r="A14737" s="5" t="str">
        <f>"H0028604"</f>
        <v>H0028604</v>
      </c>
      <c r="B14737" s="5" t="str">
        <f>"MÓDULO WIRELESS (CON 1 SIRENA 45W Y BATERÍA)"</f>
        <v>MÓDULO WIRELESS (CON 1 SIRENA 45W Y BATERÍA)</v>
      </c>
      <c r="C14737" s="6">
        <v>728280</v>
      </c>
      <c r="D14737" s="5" t="s">
        <v>87</v>
      </c>
      <c r="E14737" s="5" t="str">
        <f t="shared" si="757"/>
        <v>ACTISALUD-ALA B-PISO 10</v>
      </c>
      <c r="F14737" s="5"/>
      <c r="G14737" s="5"/>
    </row>
    <row r="14738" spans="1:7" ht="58.5" customHeight="1" x14ac:dyDescent="0.25">
      <c r="A14738" s="5" t="str">
        <f>"H0028616"</f>
        <v>H0028616</v>
      </c>
      <c r="B14738" s="5" t="str">
        <f>"BALIZA ROTATIVA WIRELESS LUZ EMERGENCIA"</f>
        <v>BALIZA ROTATIVA WIRELESS LUZ EMERGENCIA</v>
      </c>
      <c r="C14738" s="6">
        <v>238000</v>
      </c>
      <c r="D14738" s="5" t="s">
        <v>87</v>
      </c>
      <c r="E14738" s="5" t="str">
        <f t="shared" si="757"/>
        <v>ACTISALUD-ALA B-PISO 10</v>
      </c>
      <c r="F14738" s="5"/>
      <c r="G14738" s="5"/>
    </row>
    <row r="14739" spans="1:7" ht="58.5" customHeight="1" x14ac:dyDescent="0.25">
      <c r="A14739" s="5" t="str">
        <f>"H0028632"</f>
        <v>H0028632</v>
      </c>
      <c r="B14739" s="5" t="str">
        <f>"BOTÓN DE EMERGENCIA PÁNICO SOS FIJO WIRELESS"</f>
        <v>BOTÓN DE EMERGENCIA PÁNICO SOS FIJO WIRELESS</v>
      </c>
      <c r="C14739" s="6">
        <v>297500</v>
      </c>
      <c r="D14739" s="5" t="s">
        <v>87</v>
      </c>
      <c r="E14739" s="5" t="str">
        <f t="shared" si="757"/>
        <v>ACTISALUD-ALA B-PISO 10</v>
      </c>
      <c r="F14739" s="5"/>
      <c r="G14739" s="5"/>
    </row>
    <row r="14740" spans="1:7" ht="58.5" customHeight="1" x14ac:dyDescent="0.25">
      <c r="A14740" s="5" t="str">
        <f>"H0028633"</f>
        <v>H0028633</v>
      </c>
      <c r="B14740" s="5" t="str">
        <f>"BOTÓN DE EMERGENCIA PÁNICO SOS FIJO WIRELESS"</f>
        <v>BOTÓN DE EMERGENCIA PÁNICO SOS FIJO WIRELESS</v>
      </c>
      <c r="C14740" s="6">
        <v>297500</v>
      </c>
      <c r="D14740" s="5" t="s">
        <v>87</v>
      </c>
      <c r="E14740" s="5" t="str">
        <f t="shared" si="757"/>
        <v>ACTISALUD-ALA B-PISO 10</v>
      </c>
      <c r="F14740" s="5"/>
      <c r="G14740" s="5"/>
    </row>
    <row r="14741" spans="1:7" ht="58.5" customHeight="1" x14ac:dyDescent="0.25">
      <c r="A14741" s="5" t="str">
        <f>"H0028634"</f>
        <v>H0028634</v>
      </c>
      <c r="B14741" s="5" t="str">
        <f>"BOTÓN DE EMERGENCIA PÁNICO SOS FIJO WIRELESS"</f>
        <v>BOTÓN DE EMERGENCIA PÁNICO SOS FIJO WIRELESS</v>
      </c>
      <c r="C14741" s="6">
        <v>297500</v>
      </c>
      <c r="D14741" s="5" t="s">
        <v>87</v>
      </c>
      <c r="E14741" s="5" t="str">
        <f t="shared" si="757"/>
        <v>ACTISALUD-ALA B-PISO 10</v>
      </c>
      <c r="F14741" s="5"/>
      <c r="G14741" s="5"/>
    </row>
    <row r="14742" spans="1:7" ht="58.5" customHeight="1" x14ac:dyDescent="0.25">
      <c r="A14742" s="5" t="str">
        <f>"H0028666"</f>
        <v>H0028666</v>
      </c>
      <c r="B14742" s="5" t="str">
        <f>"BOTÓN DE EMERGENCIA PÁNICO SOS MÓVIL WIRELESS"</f>
        <v>BOTÓN DE EMERGENCIA PÁNICO SOS MÓVIL WIRELESS</v>
      </c>
      <c r="C14742" s="6">
        <v>47600</v>
      </c>
      <c r="D14742" s="5" t="s">
        <v>87</v>
      </c>
      <c r="E14742" s="5" t="str">
        <f t="shared" si="757"/>
        <v>ACTISALUD-ALA B-PISO 10</v>
      </c>
      <c r="F14742" s="5"/>
      <c r="G14742" s="5"/>
    </row>
    <row r="14743" spans="1:7" ht="58.5" customHeight="1" x14ac:dyDescent="0.25">
      <c r="A14743" s="5" t="str">
        <f>"H0028667"</f>
        <v>H0028667</v>
      </c>
      <c r="B14743" s="5" t="str">
        <f>"BOTÓN DE EMERGENCIA PÁNICO SOS MÓVIL WIRELESS"</f>
        <v>BOTÓN DE EMERGENCIA PÁNICO SOS MÓVIL WIRELESS</v>
      </c>
      <c r="C14743" s="6">
        <v>47600</v>
      </c>
      <c r="D14743" s="5" t="s">
        <v>87</v>
      </c>
      <c r="E14743" s="5" t="str">
        <f t="shared" si="757"/>
        <v>ACTISALUD-ALA B-PISO 10</v>
      </c>
      <c r="F14743" s="5"/>
      <c r="G14743" s="5"/>
    </row>
    <row r="14744" spans="1:7" ht="58.5" customHeight="1" x14ac:dyDescent="0.25">
      <c r="A14744" s="5" t="str">
        <f>"H0028695"</f>
        <v>H0028695</v>
      </c>
      <c r="B14744" s="5" t="str">
        <f>"LÁMPARA RECARGABLE DE EMERGENCIA 60 BOMBILLOS LED LUZ BLANCA"</f>
        <v>LÁMPARA RECARGABLE DE EMERGENCIA 60 BOMBILLOS LED LUZ BLANCA</v>
      </c>
      <c r="C14744" s="6">
        <v>255850</v>
      </c>
      <c r="D14744" s="5" t="s">
        <v>87</v>
      </c>
      <c r="E14744" s="5" t="str">
        <f t="shared" si="757"/>
        <v>ACTISALUD-ALA B-PISO 10</v>
      </c>
      <c r="F14744" s="5"/>
      <c r="G14744" s="5"/>
    </row>
    <row r="14745" spans="1:7" ht="58.5" customHeight="1" x14ac:dyDescent="0.25">
      <c r="A14745" s="5" t="str">
        <f>"H0028696"</f>
        <v>H0028696</v>
      </c>
      <c r="B14745" s="5" t="str">
        <f>"LÁMPARA RECARGABLE DE EMERGENCIA 60 BOMBILLOS LED LUZ BLANCA"</f>
        <v>LÁMPARA RECARGABLE DE EMERGENCIA 60 BOMBILLOS LED LUZ BLANCA</v>
      </c>
      <c r="C14745" s="6">
        <v>255850</v>
      </c>
      <c r="D14745" s="5" t="s">
        <v>87</v>
      </c>
      <c r="E14745" s="5" t="str">
        <f t="shared" si="757"/>
        <v>ACTISALUD-ALA B-PISO 10</v>
      </c>
      <c r="F14745" s="5"/>
      <c r="G14745" s="5"/>
    </row>
    <row r="14746" spans="1:7" ht="58.5" customHeight="1" x14ac:dyDescent="0.25">
      <c r="A14746" s="5" t="str">
        <f>"H0028697"</f>
        <v>H0028697</v>
      </c>
      <c r="B14746" s="5" t="str">
        <f>"LÁMPARA RECARGABLE DE EMERGENCIA 60 BOMBILLOS LED LUZ BLANCA"</f>
        <v>LÁMPARA RECARGABLE DE EMERGENCIA 60 BOMBILLOS LED LUZ BLANCA</v>
      </c>
      <c r="C14746" s="6">
        <v>255850</v>
      </c>
      <c r="D14746" s="5" t="s">
        <v>87</v>
      </c>
      <c r="E14746" s="5" t="str">
        <f t="shared" si="757"/>
        <v>ACTISALUD-ALA B-PISO 10</v>
      </c>
      <c r="F14746" s="5"/>
      <c r="G14746" s="5"/>
    </row>
    <row r="14747" spans="1:7" ht="58.5" customHeight="1" x14ac:dyDescent="0.25">
      <c r="A14747" s="5" t="str">
        <f>"H0028698"</f>
        <v>H0028698</v>
      </c>
      <c r="B14747" s="5" t="str">
        <f>"LÁMPARA RECARGABLE DE EMERGENCIA 60 BOMBILLOS LED LUZ BLANCA"</f>
        <v>LÁMPARA RECARGABLE DE EMERGENCIA 60 BOMBILLOS LED LUZ BLANCA</v>
      </c>
      <c r="C14747" s="6">
        <v>255850</v>
      </c>
      <c r="D14747" s="5" t="s">
        <v>87</v>
      </c>
      <c r="E14747" s="5" t="str">
        <f t="shared" si="757"/>
        <v>ACTISALUD-ALA B-PISO 10</v>
      </c>
      <c r="F14747" s="5"/>
      <c r="G14747" s="5"/>
    </row>
    <row r="14748" spans="1:7" ht="58.5" customHeight="1" x14ac:dyDescent="0.25">
      <c r="A14748" s="5" t="str">
        <f>"H0029233"</f>
        <v>H0029233</v>
      </c>
      <c r="B14748" s="5" t="str">
        <f>"CAMA ELECTRICA ADULTOS"</f>
        <v>CAMA ELECTRICA ADULTOS</v>
      </c>
      <c r="C14748" s="6">
        <v>6384962.8600000003</v>
      </c>
      <c r="D14748" s="5" t="s">
        <v>249</v>
      </c>
      <c r="E14748" s="5" t="str">
        <f t="shared" si="757"/>
        <v>ACTISALUD-ALA B-PISO 10</v>
      </c>
      <c r="F14748" s="5"/>
      <c r="G14748" s="5"/>
    </row>
    <row r="14749" spans="1:7" ht="58.5" customHeight="1" x14ac:dyDescent="0.25">
      <c r="A14749" s="5" t="str">
        <f>"H0029662"</f>
        <v>H0029662</v>
      </c>
      <c r="B14749" s="5" t="s">
        <v>94</v>
      </c>
      <c r="C14749" s="6">
        <v>148999.9</v>
      </c>
      <c r="D14749" s="5" t="s">
        <v>93</v>
      </c>
      <c r="E14749" s="5" t="str">
        <f t="shared" si="757"/>
        <v>ACTISALUD-ALA B-PISO 10</v>
      </c>
      <c r="F14749" s="5"/>
      <c r="G14749" s="5"/>
    </row>
    <row r="14750" spans="1:7" ht="58.5" customHeight="1" x14ac:dyDescent="0.25">
      <c r="A14750" s="5" t="str">
        <f>"H0029683"</f>
        <v>H0029683</v>
      </c>
      <c r="B14750" s="5" t="s">
        <v>94</v>
      </c>
      <c r="C14750" s="6">
        <v>148999.9</v>
      </c>
      <c r="D14750" s="5" t="s">
        <v>93</v>
      </c>
      <c r="E14750" s="5" t="str">
        <f t="shared" si="757"/>
        <v>ACTISALUD-ALA B-PISO 10</v>
      </c>
      <c r="F14750" s="5"/>
      <c r="G14750" s="5"/>
    </row>
    <row r="14751" spans="1:7" ht="58.5" customHeight="1" x14ac:dyDescent="0.25">
      <c r="A14751" s="5" t="str">
        <f>"H0029684"</f>
        <v>H0029684</v>
      </c>
      <c r="B14751" s="5" t="s">
        <v>94</v>
      </c>
      <c r="C14751" s="6">
        <v>148999.9</v>
      </c>
      <c r="D14751" s="5" t="s">
        <v>93</v>
      </c>
      <c r="E14751" s="5" t="str">
        <f t="shared" si="757"/>
        <v>ACTISALUD-ALA B-PISO 10</v>
      </c>
      <c r="F14751" s="5"/>
      <c r="G14751" s="5"/>
    </row>
    <row r="14752" spans="1:7" ht="58.5" customHeight="1" x14ac:dyDescent="0.25">
      <c r="A14752" s="5" t="str">
        <f>"H0029685"</f>
        <v>H0029685</v>
      </c>
      <c r="B14752" s="5" t="s">
        <v>94</v>
      </c>
      <c r="C14752" s="6">
        <v>148999.9</v>
      </c>
      <c r="D14752" s="5" t="s">
        <v>93</v>
      </c>
      <c r="E14752" s="5" t="str">
        <f t="shared" si="757"/>
        <v>ACTISALUD-ALA B-PISO 10</v>
      </c>
      <c r="F14752" s="5"/>
      <c r="G14752" s="5"/>
    </row>
    <row r="14753" spans="1:7" ht="58.5" customHeight="1" x14ac:dyDescent="0.25">
      <c r="A14753" s="5" t="str">
        <f>"H0029686"</f>
        <v>H0029686</v>
      </c>
      <c r="B14753" s="5" t="s">
        <v>94</v>
      </c>
      <c r="C14753" s="6">
        <v>148999.9</v>
      </c>
      <c r="D14753" s="5" t="s">
        <v>93</v>
      </c>
      <c r="E14753" s="5" t="str">
        <f t="shared" si="757"/>
        <v>ACTISALUD-ALA B-PISO 10</v>
      </c>
      <c r="F14753" s="5"/>
      <c r="G14753" s="5"/>
    </row>
    <row r="14754" spans="1:7" ht="58.5" customHeight="1" x14ac:dyDescent="0.25">
      <c r="A14754" s="5" t="str">
        <f>"H0029687"</f>
        <v>H0029687</v>
      </c>
      <c r="B14754" s="5" t="s">
        <v>94</v>
      </c>
      <c r="C14754" s="6">
        <v>148999.9</v>
      </c>
      <c r="D14754" s="5" t="s">
        <v>93</v>
      </c>
      <c r="E14754" s="5" t="str">
        <f t="shared" si="757"/>
        <v>ACTISALUD-ALA B-PISO 10</v>
      </c>
      <c r="F14754" s="5"/>
      <c r="G14754" s="5"/>
    </row>
    <row r="14755" spans="1:7" ht="58.5" customHeight="1" x14ac:dyDescent="0.25">
      <c r="A14755" s="5" t="str">
        <f>"H0029766"</f>
        <v>H0029766</v>
      </c>
      <c r="B14755" s="5" t="s">
        <v>96</v>
      </c>
      <c r="C14755" s="6">
        <v>169000.22</v>
      </c>
      <c r="D14755" s="5" t="s">
        <v>93</v>
      </c>
      <c r="E14755" s="5" t="str">
        <f t="shared" si="757"/>
        <v>ACTISALUD-ALA B-PISO 10</v>
      </c>
      <c r="F14755" s="5"/>
      <c r="G14755" s="5"/>
    </row>
    <row r="14756" spans="1:7" ht="58.5" customHeight="1" x14ac:dyDescent="0.25">
      <c r="A14756" s="5" t="str">
        <f>"H0029769"</f>
        <v>H0029769</v>
      </c>
      <c r="B14756" s="5" t="s">
        <v>96</v>
      </c>
      <c r="C14756" s="6">
        <v>169000.22</v>
      </c>
      <c r="D14756" s="5" t="s">
        <v>93</v>
      </c>
      <c r="E14756" s="5" t="str">
        <f t="shared" si="757"/>
        <v>ACTISALUD-ALA B-PISO 10</v>
      </c>
      <c r="F14756" s="5"/>
      <c r="G14756" s="5"/>
    </row>
    <row r="14757" spans="1:7" ht="58.5" customHeight="1" x14ac:dyDescent="0.25">
      <c r="A14757" s="5" t="str">
        <f>"H0029818"</f>
        <v>H0029818</v>
      </c>
      <c r="B14757" s="5" t="str">
        <f t="shared" ref="B14757:B14769" si="758">"AIRE ACONDICIONADO DE 12.000 BTU INVERTER"</f>
        <v>AIRE ACONDICIONADO DE 12.000 BTU INVERTER</v>
      </c>
      <c r="C14757" s="6">
        <v>2299999.85</v>
      </c>
      <c r="D14757" s="5" t="s">
        <v>565</v>
      </c>
      <c r="E14757" s="5" t="str">
        <f t="shared" si="757"/>
        <v>ACTISALUD-ALA B-PISO 10</v>
      </c>
      <c r="F14757" s="5"/>
      <c r="G14757" s="5" t="str">
        <f>"3B91440000645"</f>
        <v>3B91440000645</v>
      </c>
    </row>
    <row r="14758" spans="1:7" ht="58.5" customHeight="1" x14ac:dyDescent="0.25">
      <c r="A14758" s="5" t="str">
        <f>"H0029819"</f>
        <v>H0029819</v>
      </c>
      <c r="B14758" s="5" t="str">
        <f t="shared" si="758"/>
        <v>AIRE ACONDICIONADO DE 12.000 BTU INVERTER</v>
      </c>
      <c r="C14758" s="6">
        <v>2299999.85</v>
      </c>
      <c r="D14758" s="5" t="s">
        <v>565</v>
      </c>
      <c r="E14758" s="5" t="str">
        <f t="shared" si="757"/>
        <v>ACTISALUD-ALA B-PISO 10</v>
      </c>
      <c r="F14758" s="5"/>
      <c r="G14758" s="5" t="str">
        <f>"3B9144000673"</f>
        <v>3B9144000673</v>
      </c>
    </row>
    <row r="14759" spans="1:7" ht="58.5" customHeight="1" x14ac:dyDescent="0.25">
      <c r="A14759" s="5" t="str">
        <f>"H0029820"</f>
        <v>H0029820</v>
      </c>
      <c r="B14759" s="5" t="str">
        <f t="shared" si="758"/>
        <v>AIRE ACONDICIONADO DE 12.000 BTU INVERTER</v>
      </c>
      <c r="C14759" s="6">
        <v>2299999.85</v>
      </c>
      <c r="D14759" s="5" t="s">
        <v>565</v>
      </c>
      <c r="E14759" s="5" t="str">
        <f t="shared" si="757"/>
        <v>ACTISALUD-ALA B-PISO 10</v>
      </c>
      <c r="F14759" s="5"/>
      <c r="G14759" s="5" t="str">
        <f>"3B91440000573"</f>
        <v>3B91440000573</v>
      </c>
    </row>
    <row r="14760" spans="1:7" ht="58.5" customHeight="1" x14ac:dyDescent="0.25">
      <c r="A14760" s="5" t="str">
        <f>"H0029821"</f>
        <v>H0029821</v>
      </c>
      <c r="B14760" s="5" t="str">
        <f t="shared" si="758"/>
        <v>AIRE ACONDICIONADO DE 12.000 BTU INVERTER</v>
      </c>
      <c r="C14760" s="6">
        <v>2299999.85</v>
      </c>
      <c r="D14760" s="5" t="s">
        <v>565</v>
      </c>
      <c r="E14760" s="5" t="str">
        <f t="shared" si="757"/>
        <v>ACTISALUD-ALA B-PISO 10</v>
      </c>
      <c r="F14760" s="5"/>
      <c r="G14760" s="5" t="str">
        <f>"3B91440000662"</f>
        <v>3B91440000662</v>
      </c>
    </row>
    <row r="14761" spans="1:7" ht="58.5" customHeight="1" x14ac:dyDescent="0.25">
      <c r="A14761" s="5" t="str">
        <f>"H0029822"</f>
        <v>H0029822</v>
      </c>
      <c r="B14761" s="5" t="str">
        <f t="shared" si="758"/>
        <v>AIRE ACONDICIONADO DE 12.000 BTU INVERTER</v>
      </c>
      <c r="C14761" s="6">
        <v>2299999.85</v>
      </c>
      <c r="D14761" s="5" t="s">
        <v>565</v>
      </c>
      <c r="E14761" s="5" t="str">
        <f t="shared" si="757"/>
        <v>ACTISALUD-ALA B-PISO 10</v>
      </c>
      <c r="F14761" s="5"/>
      <c r="G14761" s="5" t="str">
        <f>"3B91440000670"</f>
        <v>3B91440000670</v>
      </c>
    </row>
    <row r="14762" spans="1:7" ht="58.5" customHeight="1" x14ac:dyDescent="0.25">
      <c r="A14762" s="5" t="str">
        <f>"H0029823"</f>
        <v>H0029823</v>
      </c>
      <c r="B14762" s="5" t="str">
        <f t="shared" si="758"/>
        <v>AIRE ACONDICIONADO DE 12.000 BTU INVERTER</v>
      </c>
      <c r="C14762" s="6">
        <v>2299999.85</v>
      </c>
      <c r="D14762" s="5" t="s">
        <v>565</v>
      </c>
      <c r="E14762" s="5" t="str">
        <f t="shared" si="757"/>
        <v>ACTISALUD-ALA B-PISO 10</v>
      </c>
      <c r="F14762" s="5"/>
      <c r="G14762" s="5"/>
    </row>
    <row r="14763" spans="1:7" ht="58.5" customHeight="1" x14ac:dyDescent="0.25">
      <c r="A14763" s="5" t="str">
        <f>"H0029824"</f>
        <v>H0029824</v>
      </c>
      <c r="B14763" s="5" t="str">
        <f t="shared" si="758"/>
        <v>AIRE ACONDICIONADO DE 12.000 BTU INVERTER</v>
      </c>
      <c r="C14763" s="6">
        <v>2299999.85</v>
      </c>
      <c r="D14763" s="5" t="s">
        <v>565</v>
      </c>
      <c r="E14763" s="5" t="str">
        <f t="shared" si="757"/>
        <v>ACTISALUD-ALA B-PISO 10</v>
      </c>
      <c r="F14763" s="5"/>
      <c r="G14763" s="5" t="str">
        <f>"3B91440000629"</f>
        <v>3B91440000629</v>
      </c>
    </row>
    <row r="14764" spans="1:7" ht="58.5" customHeight="1" x14ac:dyDescent="0.25">
      <c r="A14764" s="5" t="str">
        <f>"H0029825"</f>
        <v>H0029825</v>
      </c>
      <c r="B14764" s="5" t="str">
        <f t="shared" si="758"/>
        <v>AIRE ACONDICIONADO DE 12.000 BTU INVERTER</v>
      </c>
      <c r="C14764" s="6">
        <v>2299999.85</v>
      </c>
      <c r="D14764" s="5" t="s">
        <v>565</v>
      </c>
      <c r="E14764" s="5" t="str">
        <f t="shared" si="757"/>
        <v>ACTISALUD-ALA B-PISO 10</v>
      </c>
      <c r="F14764" s="5"/>
      <c r="G14764" s="5"/>
    </row>
    <row r="14765" spans="1:7" ht="58.5" customHeight="1" x14ac:dyDescent="0.25">
      <c r="A14765" s="5" t="str">
        <f>"H0029826"</f>
        <v>H0029826</v>
      </c>
      <c r="B14765" s="5" t="str">
        <f t="shared" si="758"/>
        <v>AIRE ACONDICIONADO DE 12.000 BTU INVERTER</v>
      </c>
      <c r="C14765" s="6">
        <v>2299999.85</v>
      </c>
      <c r="D14765" s="5" t="s">
        <v>565</v>
      </c>
      <c r="E14765" s="5" t="str">
        <f t="shared" si="757"/>
        <v>ACTISALUD-ALA B-PISO 10</v>
      </c>
      <c r="F14765" s="5"/>
      <c r="G14765" s="5" t="str">
        <f>"3B91440000672"</f>
        <v>3B91440000672</v>
      </c>
    </row>
    <row r="14766" spans="1:7" ht="58.5" customHeight="1" x14ac:dyDescent="0.25">
      <c r="A14766" s="5" t="str">
        <f>"H0029827"</f>
        <v>H0029827</v>
      </c>
      <c r="B14766" s="5" t="str">
        <f t="shared" si="758"/>
        <v>AIRE ACONDICIONADO DE 12.000 BTU INVERTER</v>
      </c>
      <c r="C14766" s="6">
        <v>2299999.85</v>
      </c>
      <c r="D14766" s="5" t="s">
        <v>565</v>
      </c>
      <c r="E14766" s="5" t="str">
        <f t="shared" si="757"/>
        <v>ACTISALUD-ALA B-PISO 10</v>
      </c>
      <c r="F14766" s="5"/>
      <c r="G14766" s="5" t="str">
        <f>"3B91440000585"</f>
        <v>3B91440000585</v>
      </c>
    </row>
    <row r="14767" spans="1:7" ht="58.5" customHeight="1" x14ac:dyDescent="0.25">
      <c r="A14767" s="5" t="str">
        <f>"H0029828"</f>
        <v>H0029828</v>
      </c>
      <c r="B14767" s="5" t="str">
        <f t="shared" si="758"/>
        <v>AIRE ACONDICIONADO DE 12.000 BTU INVERTER</v>
      </c>
      <c r="C14767" s="6">
        <v>2299999.85</v>
      </c>
      <c r="D14767" s="5" t="s">
        <v>565</v>
      </c>
      <c r="E14767" s="5" t="str">
        <f t="shared" si="757"/>
        <v>ACTISALUD-ALA B-PISO 10</v>
      </c>
      <c r="F14767" s="5"/>
      <c r="G14767" s="5" t="str">
        <f>"3B91440000648"</f>
        <v>3B91440000648</v>
      </c>
    </row>
    <row r="14768" spans="1:7" ht="58.5" customHeight="1" x14ac:dyDescent="0.25">
      <c r="A14768" s="5" t="str">
        <f>"H0029829"</f>
        <v>H0029829</v>
      </c>
      <c r="B14768" s="5" t="str">
        <f t="shared" si="758"/>
        <v>AIRE ACONDICIONADO DE 12.000 BTU INVERTER</v>
      </c>
      <c r="C14768" s="6">
        <v>2299999.85</v>
      </c>
      <c r="D14768" s="5" t="s">
        <v>565</v>
      </c>
      <c r="E14768" s="5" t="str">
        <f t="shared" si="757"/>
        <v>ACTISALUD-ALA B-PISO 10</v>
      </c>
      <c r="F14768" s="5"/>
      <c r="G14768" s="5" t="str">
        <f>"3B91440000576"</f>
        <v>3B91440000576</v>
      </c>
    </row>
    <row r="14769" spans="1:7" ht="58.5" customHeight="1" x14ac:dyDescent="0.25">
      <c r="A14769" s="5" t="str">
        <f>"H0029830"</f>
        <v>H0029830</v>
      </c>
      <c r="B14769" s="5" t="str">
        <f t="shared" si="758"/>
        <v>AIRE ACONDICIONADO DE 12.000 BTU INVERTER</v>
      </c>
      <c r="C14769" s="6">
        <v>2299999.85</v>
      </c>
      <c r="D14769" s="5" t="s">
        <v>565</v>
      </c>
      <c r="E14769" s="5" t="str">
        <f t="shared" si="757"/>
        <v>ACTISALUD-ALA B-PISO 10</v>
      </c>
      <c r="F14769" s="5"/>
      <c r="G14769" s="5" t="str">
        <f>"3B91440000639"</f>
        <v>3B91440000639</v>
      </c>
    </row>
    <row r="14770" spans="1:7" ht="58.5" customHeight="1" x14ac:dyDescent="0.25">
      <c r="A14770" s="5" t="str">
        <f>"H0030072"</f>
        <v>H0030072</v>
      </c>
      <c r="B14770" s="5" t="str">
        <f>"SILLA RECLINOMATICA"</f>
        <v>SILLA RECLINOMATICA</v>
      </c>
      <c r="C14770" s="6">
        <v>1065050</v>
      </c>
      <c r="D14770" s="5" t="s">
        <v>98</v>
      </c>
      <c r="E14770" s="5" t="str">
        <f t="shared" si="757"/>
        <v>ACTISALUD-ALA B-PISO 10</v>
      </c>
      <c r="F14770" s="5"/>
      <c r="G14770" s="5"/>
    </row>
    <row r="14771" spans="1:7" ht="58.5" customHeight="1" x14ac:dyDescent="0.25">
      <c r="A14771" s="5" t="str">
        <f>"H0030073"</f>
        <v>H0030073</v>
      </c>
      <c r="B14771" s="5" t="str">
        <f>"SILLA RECLINOMATICA"</f>
        <v>SILLA RECLINOMATICA</v>
      </c>
      <c r="C14771" s="6">
        <v>1065050</v>
      </c>
      <c r="D14771" s="5" t="s">
        <v>98</v>
      </c>
      <c r="E14771" s="5" t="str">
        <f t="shared" si="757"/>
        <v>ACTISALUD-ALA B-PISO 10</v>
      </c>
      <c r="F14771" s="5"/>
      <c r="G14771" s="5"/>
    </row>
    <row r="14772" spans="1:7" ht="58.5" customHeight="1" x14ac:dyDescent="0.25">
      <c r="A14772" s="5" t="str">
        <f>"H0030076"</f>
        <v>H0030076</v>
      </c>
      <c r="B14772" s="5" t="str">
        <f>"SILLA RECLINOMATICA"</f>
        <v>SILLA RECLINOMATICA</v>
      </c>
      <c r="C14772" s="6">
        <v>1065050</v>
      </c>
      <c r="D14772" s="5" t="s">
        <v>98</v>
      </c>
      <c r="E14772" s="5" t="str">
        <f t="shared" si="757"/>
        <v>ACTISALUD-ALA B-PISO 10</v>
      </c>
      <c r="F14772" s="5"/>
      <c r="G14772" s="5"/>
    </row>
    <row r="14773" spans="1:7" ht="58.5" customHeight="1" x14ac:dyDescent="0.25">
      <c r="A14773" s="5" t="str">
        <f>"H0030078"</f>
        <v>H0030078</v>
      </c>
      <c r="B14773" s="5" t="str">
        <f>"SILLA RECLINOMATICA"</f>
        <v>SILLA RECLINOMATICA</v>
      </c>
      <c r="C14773" s="6">
        <v>1065050</v>
      </c>
      <c r="D14773" s="5" t="s">
        <v>98</v>
      </c>
      <c r="E14773" s="5" t="str">
        <f t="shared" si="757"/>
        <v>ACTISALUD-ALA B-PISO 10</v>
      </c>
      <c r="F14773" s="5"/>
      <c r="G14773" s="5"/>
    </row>
    <row r="14774" spans="1:7" ht="58.5" customHeight="1" x14ac:dyDescent="0.25">
      <c r="A14774" s="5" t="str">
        <f>"H0030143"</f>
        <v>H0030143</v>
      </c>
      <c r="B14774" s="5" t="str">
        <f>"SILLA RECLINOMATICA"</f>
        <v>SILLA RECLINOMATICA</v>
      </c>
      <c r="C14774" s="6">
        <v>1065050</v>
      </c>
      <c r="D14774" s="5" t="s">
        <v>100</v>
      </c>
      <c r="E14774" s="5" t="str">
        <f t="shared" si="757"/>
        <v>ACTISALUD-ALA B-PISO 10</v>
      </c>
      <c r="F14774" s="5"/>
      <c r="G14774" s="5"/>
    </row>
    <row r="14775" spans="1:7" ht="58.5" customHeight="1" x14ac:dyDescent="0.25">
      <c r="A14775" s="5" t="str">
        <f>"H0031586"</f>
        <v>H0031586</v>
      </c>
      <c r="B14775" s="5" t="s">
        <v>221</v>
      </c>
      <c r="C14775" s="6">
        <v>375382.64</v>
      </c>
      <c r="D14775" s="5" t="s">
        <v>16</v>
      </c>
      <c r="E14775" s="5" t="str">
        <f t="shared" si="757"/>
        <v>ACTISALUD-ALA B-PISO 10</v>
      </c>
      <c r="F14775" s="5"/>
      <c r="G14775" s="5"/>
    </row>
    <row r="14776" spans="1:7" ht="58.5" customHeight="1" x14ac:dyDescent="0.25">
      <c r="A14776" s="5" t="str">
        <f>"H0031587"</f>
        <v>H0031587</v>
      </c>
      <c r="B14776" s="5" t="s">
        <v>221</v>
      </c>
      <c r="C14776" s="6">
        <v>375382.64</v>
      </c>
      <c r="D14776" s="5" t="s">
        <v>16</v>
      </c>
      <c r="E14776" s="5" t="str">
        <f t="shared" si="757"/>
        <v>ACTISALUD-ALA B-PISO 10</v>
      </c>
      <c r="F14776" s="5"/>
      <c r="G14776" s="5"/>
    </row>
    <row r="14777" spans="1:7" ht="58.5" customHeight="1" x14ac:dyDescent="0.25">
      <c r="A14777" s="5" t="str">
        <f>"H0031588"</f>
        <v>H0031588</v>
      </c>
      <c r="B14777" s="5" t="s">
        <v>221</v>
      </c>
      <c r="C14777" s="6">
        <v>375382.64</v>
      </c>
      <c r="D14777" s="5" t="s">
        <v>16</v>
      </c>
      <c r="E14777" s="5" t="str">
        <f t="shared" si="757"/>
        <v>ACTISALUD-ALA B-PISO 10</v>
      </c>
      <c r="F14777" s="5"/>
      <c r="G14777" s="5"/>
    </row>
    <row r="14778" spans="1:7" ht="58.5" customHeight="1" x14ac:dyDescent="0.25">
      <c r="A14778" s="5" t="str">
        <f>"H0031793"</f>
        <v>H0031793</v>
      </c>
      <c r="B14778" s="5" t="str">
        <f>"LOCKER DE 12 PUERTAS 1.39X1.66X0.35 MELAMINA RH COLOR BLANCO INCLUYE CERRADURAY MANIJA POR CASILLERO"</f>
        <v>LOCKER DE 12 PUERTAS 1.39X1.66X0.35 MELAMINA RH COLOR BLANCO INCLUYE CERRADURAY MANIJA POR CASILLERO</v>
      </c>
      <c r="C14778" s="6">
        <v>1450000</v>
      </c>
      <c r="D14778" s="5" t="s">
        <v>735</v>
      </c>
      <c r="E14778" s="5" t="str">
        <f t="shared" si="757"/>
        <v>ACTISALUD-ALA B-PISO 10</v>
      </c>
      <c r="F14778" s="5"/>
      <c r="G14778" s="5"/>
    </row>
    <row r="14779" spans="1:7" ht="58.5" customHeight="1" x14ac:dyDescent="0.25">
      <c r="A14779" s="5" t="str">
        <f>"H0032224"</f>
        <v>H0032224</v>
      </c>
      <c r="B14779" s="5" t="str">
        <f t="shared" ref="B14779:B14784" si="759">"CAMA ELECTRICA ADULTOS"</f>
        <v>CAMA ELECTRICA ADULTOS</v>
      </c>
      <c r="C14779" s="6">
        <v>7745200</v>
      </c>
      <c r="D14779" s="5" t="s">
        <v>231</v>
      </c>
      <c r="E14779" s="5" t="str">
        <f t="shared" si="757"/>
        <v>ACTISALUD-ALA B-PISO 10</v>
      </c>
      <c r="F14779" s="5"/>
      <c r="G14779" s="5"/>
    </row>
    <row r="14780" spans="1:7" ht="58.5" customHeight="1" x14ac:dyDescent="0.25">
      <c r="A14780" s="5" t="str">
        <f>"H0032243"</f>
        <v>H0032243</v>
      </c>
      <c r="B14780" s="5" t="str">
        <f t="shared" si="759"/>
        <v>CAMA ELECTRICA ADULTOS</v>
      </c>
      <c r="C14780" s="6">
        <v>7745200</v>
      </c>
      <c r="D14780" s="5" t="s">
        <v>231</v>
      </c>
      <c r="E14780" s="5" t="str">
        <f t="shared" si="757"/>
        <v>ACTISALUD-ALA B-PISO 10</v>
      </c>
      <c r="F14780" s="5"/>
      <c r="G14780" s="5"/>
    </row>
    <row r="14781" spans="1:7" ht="58.5" customHeight="1" x14ac:dyDescent="0.25">
      <c r="A14781" s="5" t="str">
        <f>"H0032247"</f>
        <v>H0032247</v>
      </c>
      <c r="B14781" s="5" t="str">
        <f t="shared" si="759"/>
        <v>CAMA ELECTRICA ADULTOS</v>
      </c>
      <c r="C14781" s="6">
        <v>7745200</v>
      </c>
      <c r="D14781" s="5" t="s">
        <v>231</v>
      </c>
      <c r="E14781" s="5" t="str">
        <f t="shared" si="757"/>
        <v>ACTISALUD-ALA B-PISO 10</v>
      </c>
      <c r="F14781" s="5"/>
      <c r="G14781" s="5"/>
    </row>
    <row r="14782" spans="1:7" ht="58.5" customHeight="1" x14ac:dyDescent="0.25">
      <c r="A14782" s="5" t="str">
        <f>"H0032249"</f>
        <v>H0032249</v>
      </c>
      <c r="B14782" s="5" t="str">
        <f t="shared" si="759"/>
        <v>CAMA ELECTRICA ADULTOS</v>
      </c>
      <c r="C14782" s="6">
        <v>7745200</v>
      </c>
      <c r="D14782" s="5" t="s">
        <v>231</v>
      </c>
      <c r="E14782" s="5" t="str">
        <f t="shared" si="757"/>
        <v>ACTISALUD-ALA B-PISO 10</v>
      </c>
      <c r="F14782" s="5"/>
      <c r="G14782" s="5"/>
    </row>
    <row r="14783" spans="1:7" ht="58.5" customHeight="1" x14ac:dyDescent="0.25">
      <c r="A14783" s="5" t="str">
        <f>"H0032250"</f>
        <v>H0032250</v>
      </c>
      <c r="B14783" s="5" t="str">
        <f t="shared" si="759"/>
        <v>CAMA ELECTRICA ADULTOS</v>
      </c>
      <c r="C14783" s="6">
        <v>7745200</v>
      </c>
      <c r="D14783" s="5" t="s">
        <v>231</v>
      </c>
      <c r="E14783" s="5" t="str">
        <f t="shared" si="757"/>
        <v>ACTISALUD-ALA B-PISO 10</v>
      </c>
      <c r="F14783" s="5"/>
      <c r="G14783" s="5"/>
    </row>
    <row r="14784" spans="1:7" ht="58.5" customHeight="1" x14ac:dyDescent="0.25">
      <c r="A14784" s="5" t="str">
        <f>"H0032251"</f>
        <v>H0032251</v>
      </c>
      <c r="B14784" s="5" t="str">
        <f t="shared" si="759"/>
        <v>CAMA ELECTRICA ADULTOS</v>
      </c>
      <c r="C14784" s="6">
        <v>7745200</v>
      </c>
      <c r="D14784" s="5" t="s">
        <v>231</v>
      </c>
      <c r="E14784" s="5" t="str">
        <f t="shared" si="757"/>
        <v>ACTISALUD-ALA B-PISO 10</v>
      </c>
      <c r="F14784" s="5"/>
      <c r="G14784" s="5"/>
    </row>
    <row r="14785" spans="1:7" ht="58.5" customHeight="1" x14ac:dyDescent="0.25">
      <c r="A14785" s="5" t="str">
        <f>"H0032928"</f>
        <v>H0032928</v>
      </c>
      <c r="B14785" s="5" t="str">
        <f t="shared" ref="B14785:B14796" si="760">"UNIDAD DE EXTRACCION CENTRIFUGA DE ALTA PRESION"</f>
        <v>UNIDAD DE EXTRACCION CENTRIFUGA DE ALTA PRESION</v>
      </c>
      <c r="C14785" s="6">
        <v>3852000</v>
      </c>
      <c r="D14785" s="5" t="s">
        <v>677</v>
      </c>
      <c r="E14785" s="5" t="str">
        <f t="shared" si="757"/>
        <v>ACTISALUD-ALA B-PISO 10</v>
      </c>
      <c r="F14785" s="5"/>
      <c r="G14785" s="5"/>
    </row>
    <row r="14786" spans="1:7" ht="58.5" customHeight="1" x14ac:dyDescent="0.25">
      <c r="A14786" s="5" t="str">
        <f>"H0032929"</f>
        <v>H0032929</v>
      </c>
      <c r="B14786" s="5" t="str">
        <f t="shared" si="760"/>
        <v>UNIDAD DE EXTRACCION CENTRIFUGA DE ALTA PRESION</v>
      </c>
      <c r="C14786" s="6">
        <v>3852000</v>
      </c>
      <c r="D14786" s="5" t="s">
        <v>677</v>
      </c>
      <c r="E14786" s="5" t="str">
        <f t="shared" si="757"/>
        <v>ACTISALUD-ALA B-PISO 10</v>
      </c>
      <c r="F14786" s="5"/>
      <c r="G14786" s="5"/>
    </row>
    <row r="14787" spans="1:7" ht="58.5" customHeight="1" x14ac:dyDescent="0.25">
      <c r="A14787" s="5" t="str">
        <f>"H0032930"</f>
        <v>H0032930</v>
      </c>
      <c r="B14787" s="5" t="str">
        <f t="shared" si="760"/>
        <v>UNIDAD DE EXTRACCION CENTRIFUGA DE ALTA PRESION</v>
      </c>
      <c r="C14787" s="6">
        <v>3852000</v>
      </c>
      <c r="D14787" s="5" t="s">
        <v>736</v>
      </c>
      <c r="E14787" s="5" t="str">
        <f t="shared" si="757"/>
        <v>ACTISALUD-ALA B-PISO 10</v>
      </c>
      <c r="F14787" s="5"/>
      <c r="G14787" s="5"/>
    </row>
    <row r="14788" spans="1:7" ht="58.5" customHeight="1" x14ac:dyDescent="0.25">
      <c r="A14788" s="5" t="str">
        <f>"H0032931"</f>
        <v>H0032931</v>
      </c>
      <c r="B14788" s="5" t="str">
        <f t="shared" si="760"/>
        <v>UNIDAD DE EXTRACCION CENTRIFUGA DE ALTA PRESION</v>
      </c>
      <c r="C14788" s="6">
        <v>3852000</v>
      </c>
      <c r="D14788" s="5" t="s">
        <v>677</v>
      </c>
      <c r="E14788" s="5" t="str">
        <f t="shared" si="757"/>
        <v>ACTISALUD-ALA B-PISO 10</v>
      </c>
      <c r="F14788" s="5"/>
      <c r="G14788" s="5"/>
    </row>
    <row r="14789" spans="1:7" ht="58.5" customHeight="1" x14ac:dyDescent="0.25">
      <c r="A14789" s="5" t="str">
        <f>"H0032932"</f>
        <v>H0032932</v>
      </c>
      <c r="B14789" s="5" t="str">
        <f t="shared" si="760"/>
        <v>UNIDAD DE EXTRACCION CENTRIFUGA DE ALTA PRESION</v>
      </c>
      <c r="C14789" s="6">
        <v>3852000</v>
      </c>
      <c r="D14789" s="5" t="s">
        <v>677</v>
      </c>
      <c r="E14789" s="5" t="str">
        <f t="shared" si="757"/>
        <v>ACTISALUD-ALA B-PISO 10</v>
      </c>
      <c r="F14789" s="5"/>
      <c r="G14789" s="5"/>
    </row>
    <row r="14790" spans="1:7" ht="58.5" customHeight="1" x14ac:dyDescent="0.25">
      <c r="A14790" s="5" t="str">
        <f>"H0032933"</f>
        <v>H0032933</v>
      </c>
      <c r="B14790" s="5" t="str">
        <f t="shared" si="760"/>
        <v>UNIDAD DE EXTRACCION CENTRIFUGA DE ALTA PRESION</v>
      </c>
      <c r="C14790" s="6">
        <v>3852000</v>
      </c>
      <c r="D14790" s="5" t="s">
        <v>677</v>
      </c>
      <c r="E14790" s="5" t="str">
        <f t="shared" si="757"/>
        <v>ACTISALUD-ALA B-PISO 10</v>
      </c>
      <c r="F14790" s="5"/>
      <c r="G14790" s="5"/>
    </row>
    <row r="14791" spans="1:7" ht="58.5" customHeight="1" x14ac:dyDescent="0.25">
      <c r="A14791" s="5" t="str">
        <f>"H0032934"</f>
        <v>H0032934</v>
      </c>
      <c r="B14791" s="5" t="str">
        <f t="shared" si="760"/>
        <v>UNIDAD DE EXTRACCION CENTRIFUGA DE ALTA PRESION</v>
      </c>
      <c r="C14791" s="6">
        <v>3852000</v>
      </c>
      <c r="D14791" s="5" t="s">
        <v>677</v>
      </c>
      <c r="E14791" s="5" t="str">
        <f t="shared" si="757"/>
        <v>ACTISALUD-ALA B-PISO 10</v>
      </c>
      <c r="F14791" s="5"/>
      <c r="G14791" s="5"/>
    </row>
    <row r="14792" spans="1:7" ht="58.5" customHeight="1" x14ac:dyDescent="0.25">
      <c r="A14792" s="5" t="str">
        <f>"H0032935"</f>
        <v>H0032935</v>
      </c>
      <c r="B14792" s="5" t="str">
        <f t="shared" si="760"/>
        <v>UNIDAD DE EXTRACCION CENTRIFUGA DE ALTA PRESION</v>
      </c>
      <c r="C14792" s="6">
        <v>3852000</v>
      </c>
      <c r="D14792" s="5" t="s">
        <v>677</v>
      </c>
      <c r="E14792" s="5" t="str">
        <f t="shared" si="757"/>
        <v>ACTISALUD-ALA B-PISO 10</v>
      </c>
      <c r="F14792" s="5"/>
      <c r="G14792" s="5"/>
    </row>
    <row r="14793" spans="1:7" ht="58.5" customHeight="1" x14ac:dyDescent="0.25">
      <c r="A14793" s="5" t="str">
        <f>"H0032936"</f>
        <v>H0032936</v>
      </c>
      <c r="B14793" s="5" t="str">
        <f t="shared" si="760"/>
        <v>UNIDAD DE EXTRACCION CENTRIFUGA DE ALTA PRESION</v>
      </c>
      <c r="C14793" s="6">
        <v>3852000</v>
      </c>
      <c r="D14793" s="5" t="s">
        <v>677</v>
      </c>
      <c r="E14793" s="5" t="str">
        <f t="shared" si="757"/>
        <v>ACTISALUD-ALA B-PISO 10</v>
      </c>
      <c r="F14793" s="5"/>
      <c r="G14793" s="5"/>
    </row>
    <row r="14794" spans="1:7" ht="58.5" customHeight="1" x14ac:dyDescent="0.25">
      <c r="A14794" s="5" t="str">
        <f>"H0032937"</f>
        <v>H0032937</v>
      </c>
      <c r="B14794" s="5" t="str">
        <f t="shared" si="760"/>
        <v>UNIDAD DE EXTRACCION CENTRIFUGA DE ALTA PRESION</v>
      </c>
      <c r="C14794" s="6">
        <v>3852000</v>
      </c>
      <c r="D14794" s="5" t="s">
        <v>677</v>
      </c>
      <c r="E14794" s="5" t="str">
        <f t="shared" si="757"/>
        <v>ACTISALUD-ALA B-PISO 10</v>
      </c>
      <c r="F14794" s="5"/>
      <c r="G14794" s="5"/>
    </row>
    <row r="14795" spans="1:7" ht="58.5" customHeight="1" x14ac:dyDescent="0.25">
      <c r="A14795" s="5" t="str">
        <f>"H0032938"</f>
        <v>H0032938</v>
      </c>
      <c r="B14795" s="5" t="str">
        <f t="shared" si="760"/>
        <v>UNIDAD DE EXTRACCION CENTRIFUGA DE ALTA PRESION</v>
      </c>
      <c r="C14795" s="6">
        <v>3852000</v>
      </c>
      <c r="D14795" s="5" t="s">
        <v>677</v>
      </c>
      <c r="E14795" s="5" t="str">
        <f t="shared" si="757"/>
        <v>ACTISALUD-ALA B-PISO 10</v>
      </c>
      <c r="F14795" s="5"/>
      <c r="G14795" s="5"/>
    </row>
    <row r="14796" spans="1:7" ht="58.5" customHeight="1" x14ac:dyDescent="0.25">
      <c r="A14796" s="5" t="str">
        <f>"H0032939"</f>
        <v>H0032939</v>
      </c>
      <c r="B14796" s="5" t="str">
        <f t="shared" si="760"/>
        <v>UNIDAD DE EXTRACCION CENTRIFUGA DE ALTA PRESION</v>
      </c>
      <c r="C14796" s="6">
        <v>3852000</v>
      </c>
      <c r="D14796" s="5" t="s">
        <v>677</v>
      </c>
      <c r="E14796" s="5" t="str">
        <f t="shared" ref="E14796:E14859" si="761">"ACTISALUD-ALA B-PISO 10"</f>
        <v>ACTISALUD-ALA B-PISO 10</v>
      </c>
      <c r="F14796" s="5"/>
      <c r="G14796" s="5"/>
    </row>
    <row r="14797" spans="1:7" ht="58.5" customHeight="1" x14ac:dyDescent="0.25">
      <c r="A14797" s="5" t="str">
        <f>"H0032966"</f>
        <v>H0032966</v>
      </c>
      <c r="B14797" s="5" t="s">
        <v>196</v>
      </c>
      <c r="C14797" s="6">
        <v>1180480</v>
      </c>
      <c r="D14797" s="5" t="s">
        <v>677</v>
      </c>
      <c r="E14797" s="5" t="str">
        <f t="shared" si="761"/>
        <v>ACTISALUD-ALA B-PISO 10</v>
      </c>
      <c r="F14797" s="5"/>
      <c r="G14797" s="5"/>
    </row>
    <row r="14798" spans="1:7" ht="58.5" customHeight="1" x14ac:dyDescent="0.25">
      <c r="A14798" s="5" t="str">
        <f>"H0032967"</f>
        <v>H0032967</v>
      </c>
      <c r="B14798" s="5" t="s">
        <v>196</v>
      </c>
      <c r="C14798" s="6">
        <v>1180480</v>
      </c>
      <c r="D14798" s="5" t="s">
        <v>677</v>
      </c>
      <c r="E14798" s="5" t="str">
        <f t="shared" si="761"/>
        <v>ACTISALUD-ALA B-PISO 10</v>
      </c>
      <c r="F14798" s="5"/>
      <c r="G14798" s="5"/>
    </row>
    <row r="14799" spans="1:7" ht="58.5" customHeight="1" x14ac:dyDescent="0.25">
      <c r="A14799" s="5" t="str">
        <f>"H0032968"</f>
        <v>H0032968</v>
      </c>
      <c r="B14799" s="5" t="s">
        <v>196</v>
      </c>
      <c r="C14799" s="6">
        <v>1180480</v>
      </c>
      <c r="D14799" s="5" t="s">
        <v>677</v>
      </c>
      <c r="E14799" s="5" t="str">
        <f t="shared" si="761"/>
        <v>ACTISALUD-ALA B-PISO 10</v>
      </c>
      <c r="F14799" s="5"/>
      <c r="G14799" s="5"/>
    </row>
    <row r="14800" spans="1:7" ht="58.5" customHeight="1" x14ac:dyDescent="0.25">
      <c r="A14800" s="5" t="str">
        <f>"H0032969"</f>
        <v>H0032969</v>
      </c>
      <c r="B14800" s="5" t="s">
        <v>196</v>
      </c>
      <c r="C14800" s="6">
        <v>1180480</v>
      </c>
      <c r="D14800" s="5" t="s">
        <v>677</v>
      </c>
      <c r="E14800" s="5" t="str">
        <f t="shared" si="761"/>
        <v>ACTISALUD-ALA B-PISO 10</v>
      </c>
      <c r="F14800" s="5"/>
      <c r="G14800" s="5"/>
    </row>
    <row r="14801" spans="1:7" ht="58.5" customHeight="1" x14ac:dyDescent="0.25">
      <c r="A14801" s="5" t="str">
        <f>"H0032970"</f>
        <v>H0032970</v>
      </c>
      <c r="B14801" s="5" t="s">
        <v>196</v>
      </c>
      <c r="C14801" s="6">
        <v>1180480</v>
      </c>
      <c r="D14801" s="5" t="s">
        <v>677</v>
      </c>
      <c r="E14801" s="5" t="str">
        <f t="shared" si="761"/>
        <v>ACTISALUD-ALA B-PISO 10</v>
      </c>
      <c r="F14801" s="5"/>
      <c r="G14801" s="5"/>
    </row>
    <row r="14802" spans="1:7" ht="58.5" customHeight="1" x14ac:dyDescent="0.25">
      <c r="A14802" s="5" t="str">
        <f>"H0032971"</f>
        <v>H0032971</v>
      </c>
      <c r="B14802" s="5" t="s">
        <v>196</v>
      </c>
      <c r="C14802" s="6">
        <v>1180480</v>
      </c>
      <c r="D14802" s="5" t="s">
        <v>677</v>
      </c>
      <c r="E14802" s="5" t="str">
        <f t="shared" si="761"/>
        <v>ACTISALUD-ALA B-PISO 10</v>
      </c>
      <c r="F14802" s="5"/>
      <c r="G14802" s="5"/>
    </row>
    <row r="14803" spans="1:7" ht="58.5" customHeight="1" x14ac:dyDescent="0.25">
      <c r="A14803" s="5" t="str">
        <f>"H0032972"</f>
        <v>H0032972</v>
      </c>
      <c r="B14803" s="5" t="s">
        <v>196</v>
      </c>
      <c r="C14803" s="6">
        <v>1180480</v>
      </c>
      <c r="D14803" s="5" t="s">
        <v>677</v>
      </c>
      <c r="E14803" s="5" t="str">
        <f t="shared" si="761"/>
        <v>ACTISALUD-ALA B-PISO 10</v>
      </c>
      <c r="F14803" s="5"/>
      <c r="G14803" s="5"/>
    </row>
    <row r="14804" spans="1:7" ht="58.5" customHeight="1" x14ac:dyDescent="0.25">
      <c r="A14804" s="5" t="str">
        <f>"H0032973"</f>
        <v>H0032973</v>
      </c>
      <c r="B14804" s="5" t="s">
        <v>196</v>
      </c>
      <c r="C14804" s="6">
        <v>1180480</v>
      </c>
      <c r="D14804" s="5" t="s">
        <v>677</v>
      </c>
      <c r="E14804" s="5" t="str">
        <f t="shared" si="761"/>
        <v>ACTISALUD-ALA B-PISO 10</v>
      </c>
      <c r="F14804" s="5"/>
      <c r="G14804" s="5"/>
    </row>
    <row r="14805" spans="1:7" ht="58.5" customHeight="1" x14ac:dyDescent="0.25">
      <c r="A14805" s="5" t="str">
        <f>"H0032974"</f>
        <v>H0032974</v>
      </c>
      <c r="B14805" s="5" t="s">
        <v>196</v>
      </c>
      <c r="C14805" s="6">
        <v>1180480</v>
      </c>
      <c r="D14805" s="5" t="s">
        <v>677</v>
      </c>
      <c r="E14805" s="5" t="str">
        <f t="shared" si="761"/>
        <v>ACTISALUD-ALA B-PISO 10</v>
      </c>
      <c r="F14805" s="5"/>
      <c r="G14805" s="5"/>
    </row>
    <row r="14806" spans="1:7" ht="58.5" customHeight="1" x14ac:dyDescent="0.25">
      <c r="A14806" s="5" t="str">
        <f>"H0032975"</f>
        <v>H0032975</v>
      </c>
      <c r="B14806" s="5" t="s">
        <v>196</v>
      </c>
      <c r="C14806" s="6">
        <v>1180480</v>
      </c>
      <c r="D14806" s="5" t="s">
        <v>677</v>
      </c>
      <c r="E14806" s="5" t="str">
        <f t="shared" si="761"/>
        <v>ACTISALUD-ALA B-PISO 10</v>
      </c>
      <c r="F14806" s="5"/>
      <c r="G14806" s="5"/>
    </row>
    <row r="14807" spans="1:7" ht="58.5" customHeight="1" x14ac:dyDescent="0.25">
      <c r="A14807" s="5" t="str">
        <f>"H0032976"</f>
        <v>H0032976</v>
      </c>
      <c r="B14807" s="5" t="s">
        <v>196</v>
      </c>
      <c r="C14807" s="6">
        <v>1180480</v>
      </c>
      <c r="D14807" s="5" t="s">
        <v>677</v>
      </c>
      <c r="E14807" s="5" t="str">
        <f t="shared" si="761"/>
        <v>ACTISALUD-ALA B-PISO 10</v>
      </c>
      <c r="F14807" s="5"/>
      <c r="G14807" s="5"/>
    </row>
    <row r="14808" spans="1:7" ht="58.5" customHeight="1" x14ac:dyDescent="0.25">
      <c r="A14808" s="5" t="str">
        <f>"H0032977"</f>
        <v>H0032977</v>
      </c>
      <c r="B14808" s="5" t="s">
        <v>196</v>
      </c>
      <c r="C14808" s="6">
        <v>1180480</v>
      </c>
      <c r="D14808" s="5" t="s">
        <v>677</v>
      </c>
      <c r="E14808" s="5" t="str">
        <f t="shared" si="761"/>
        <v>ACTISALUD-ALA B-PISO 10</v>
      </c>
      <c r="F14808" s="5"/>
      <c r="G14808" s="5"/>
    </row>
    <row r="14809" spans="1:7" ht="58.5" customHeight="1" x14ac:dyDescent="0.25">
      <c r="A14809" s="5" t="str">
        <f>"H0035226"</f>
        <v>H0035226</v>
      </c>
      <c r="B14809" s="5" t="str">
        <f>"LECTOR DE HUELLAS DIGITALES"</f>
        <v>LECTOR DE HUELLAS DIGITALES</v>
      </c>
      <c r="C14809" s="6">
        <v>357666.4</v>
      </c>
      <c r="D14809" s="5" t="s">
        <v>126</v>
      </c>
      <c r="E14809" s="5" t="str">
        <f t="shared" si="761"/>
        <v>ACTISALUD-ALA B-PISO 10</v>
      </c>
      <c r="F14809" s="5"/>
      <c r="G14809" s="5"/>
    </row>
    <row r="14810" spans="1:7" ht="58.5" customHeight="1" x14ac:dyDescent="0.25">
      <c r="A14810" s="5" t="str">
        <f>"H0036645"</f>
        <v>H0036645</v>
      </c>
      <c r="B14810" s="5" t="str">
        <f t="shared" ref="B14810:B14822" si="762">"UNIDAD DE LLAMADO DE ENFERMERIA PARA BAÑO CON CORDON TIRADOR. RESISTENTE A SALPICADURAS DE AGUA Y LUZ INDICADORA DE PULSACIÓN"</f>
        <v>UNIDAD DE LLAMADO DE ENFERMERIA PARA BAÑO CON CORDON TIRADOR. RESISTENTE A SALPICADURAS DE AGUA Y LUZ INDICADORA DE PULSACIÓN</v>
      </c>
      <c r="C14810" s="6">
        <v>578500</v>
      </c>
      <c r="D14810" s="5" t="s">
        <v>200</v>
      </c>
      <c r="E14810" s="5" t="str">
        <f t="shared" si="761"/>
        <v>ACTISALUD-ALA B-PISO 10</v>
      </c>
      <c r="F14810" s="5"/>
      <c r="G14810" s="5"/>
    </row>
    <row r="14811" spans="1:7" ht="58.5" customHeight="1" x14ac:dyDescent="0.25">
      <c r="A14811" s="5" t="str">
        <f>"H0036646"</f>
        <v>H0036646</v>
      </c>
      <c r="B14811" s="5" t="str">
        <f t="shared" si="762"/>
        <v>UNIDAD DE LLAMADO DE ENFERMERIA PARA BAÑO CON CORDON TIRADOR. RESISTENTE A SALPICADURAS DE AGUA Y LUZ INDICADORA DE PULSACIÓN</v>
      </c>
      <c r="C14811" s="6">
        <v>578500</v>
      </c>
      <c r="D14811" s="5" t="s">
        <v>200</v>
      </c>
      <c r="E14811" s="5" t="str">
        <f t="shared" si="761"/>
        <v>ACTISALUD-ALA B-PISO 10</v>
      </c>
      <c r="F14811" s="5"/>
      <c r="G14811" s="5"/>
    </row>
    <row r="14812" spans="1:7" ht="58.5" customHeight="1" x14ac:dyDescent="0.25">
      <c r="A14812" s="5" t="str">
        <f>"H0036647"</f>
        <v>H0036647</v>
      </c>
      <c r="B14812" s="5" t="str">
        <f t="shared" si="762"/>
        <v>UNIDAD DE LLAMADO DE ENFERMERIA PARA BAÑO CON CORDON TIRADOR. RESISTENTE A SALPICADURAS DE AGUA Y LUZ INDICADORA DE PULSACIÓN</v>
      </c>
      <c r="C14812" s="6">
        <v>578500</v>
      </c>
      <c r="D14812" s="5" t="s">
        <v>200</v>
      </c>
      <c r="E14812" s="5" t="str">
        <f t="shared" si="761"/>
        <v>ACTISALUD-ALA B-PISO 10</v>
      </c>
      <c r="F14812" s="5"/>
      <c r="G14812" s="5"/>
    </row>
    <row r="14813" spans="1:7" ht="58.5" customHeight="1" x14ac:dyDescent="0.25">
      <c r="A14813" s="5" t="str">
        <f>"H0036648"</f>
        <v>H0036648</v>
      </c>
      <c r="B14813" s="5" t="str">
        <f t="shared" si="762"/>
        <v>UNIDAD DE LLAMADO DE ENFERMERIA PARA BAÑO CON CORDON TIRADOR. RESISTENTE A SALPICADURAS DE AGUA Y LUZ INDICADORA DE PULSACIÓN</v>
      </c>
      <c r="C14813" s="6">
        <v>578500</v>
      </c>
      <c r="D14813" s="5" t="s">
        <v>200</v>
      </c>
      <c r="E14813" s="5" t="str">
        <f t="shared" si="761"/>
        <v>ACTISALUD-ALA B-PISO 10</v>
      </c>
      <c r="F14813" s="5"/>
      <c r="G14813" s="5"/>
    </row>
    <row r="14814" spans="1:7" ht="58.5" customHeight="1" x14ac:dyDescent="0.25">
      <c r="A14814" s="5" t="str">
        <f>"H0036649"</f>
        <v>H0036649</v>
      </c>
      <c r="B14814" s="5" t="str">
        <f t="shared" si="762"/>
        <v>UNIDAD DE LLAMADO DE ENFERMERIA PARA BAÑO CON CORDON TIRADOR. RESISTENTE A SALPICADURAS DE AGUA Y LUZ INDICADORA DE PULSACIÓN</v>
      </c>
      <c r="C14814" s="6">
        <v>578500</v>
      </c>
      <c r="D14814" s="5" t="s">
        <v>200</v>
      </c>
      <c r="E14814" s="5" t="str">
        <f t="shared" si="761"/>
        <v>ACTISALUD-ALA B-PISO 10</v>
      </c>
      <c r="F14814" s="5"/>
      <c r="G14814" s="5"/>
    </row>
    <row r="14815" spans="1:7" ht="58.5" customHeight="1" x14ac:dyDescent="0.25">
      <c r="A14815" s="5" t="str">
        <f>"H0036650"</f>
        <v>H0036650</v>
      </c>
      <c r="B14815" s="5" t="str">
        <f t="shared" si="762"/>
        <v>UNIDAD DE LLAMADO DE ENFERMERIA PARA BAÑO CON CORDON TIRADOR. RESISTENTE A SALPICADURAS DE AGUA Y LUZ INDICADORA DE PULSACIÓN</v>
      </c>
      <c r="C14815" s="6">
        <v>578500</v>
      </c>
      <c r="D14815" s="5" t="s">
        <v>200</v>
      </c>
      <c r="E14815" s="5" t="str">
        <f t="shared" si="761"/>
        <v>ACTISALUD-ALA B-PISO 10</v>
      </c>
      <c r="F14815" s="5"/>
      <c r="G14815" s="5"/>
    </row>
    <row r="14816" spans="1:7" ht="58.5" customHeight="1" x14ac:dyDescent="0.25">
      <c r="A14816" s="5" t="str">
        <f>"H0036651"</f>
        <v>H0036651</v>
      </c>
      <c r="B14816" s="5" t="str">
        <f t="shared" si="762"/>
        <v>UNIDAD DE LLAMADO DE ENFERMERIA PARA BAÑO CON CORDON TIRADOR. RESISTENTE A SALPICADURAS DE AGUA Y LUZ INDICADORA DE PULSACIÓN</v>
      </c>
      <c r="C14816" s="6">
        <v>578500</v>
      </c>
      <c r="D14816" s="5" t="s">
        <v>200</v>
      </c>
      <c r="E14816" s="5" t="str">
        <f t="shared" si="761"/>
        <v>ACTISALUD-ALA B-PISO 10</v>
      </c>
      <c r="F14816" s="5"/>
      <c r="G14816" s="5"/>
    </row>
    <row r="14817" spans="1:7" ht="58.5" customHeight="1" x14ac:dyDescent="0.25">
      <c r="A14817" s="5" t="str">
        <f>"H0036652"</f>
        <v>H0036652</v>
      </c>
      <c r="B14817" s="5" t="str">
        <f t="shared" si="762"/>
        <v>UNIDAD DE LLAMADO DE ENFERMERIA PARA BAÑO CON CORDON TIRADOR. RESISTENTE A SALPICADURAS DE AGUA Y LUZ INDICADORA DE PULSACIÓN</v>
      </c>
      <c r="C14817" s="6">
        <v>578500</v>
      </c>
      <c r="D14817" s="5" t="s">
        <v>200</v>
      </c>
      <c r="E14817" s="5" t="str">
        <f t="shared" si="761"/>
        <v>ACTISALUD-ALA B-PISO 10</v>
      </c>
      <c r="F14817" s="5"/>
      <c r="G14817" s="5"/>
    </row>
    <row r="14818" spans="1:7" ht="58.5" customHeight="1" x14ac:dyDescent="0.25">
      <c r="A14818" s="5" t="str">
        <f>"H0036653"</f>
        <v>H0036653</v>
      </c>
      <c r="B14818" s="5" t="str">
        <f t="shared" si="762"/>
        <v>UNIDAD DE LLAMADO DE ENFERMERIA PARA BAÑO CON CORDON TIRADOR. RESISTENTE A SALPICADURAS DE AGUA Y LUZ INDICADORA DE PULSACIÓN</v>
      </c>
      <c r="C14818" s="6">
        <v>578500</v>
      </c>
      <c r="D14818" s="5" t="s">
        <v>200</v>
      </c>
      <c r="E14818" s="5" t="str">
        <f t="shared" si="761"/>
        <v>ACTISALUD-ALA B-PISO 10</v>
      </c>
      <c r="F14818" s="5"/>
      <c r="G14818" s="5"/>
    </row>
    <row r="14819" spans="1:7" ht="58.5" customHeight="1" x14ac:dyDescent="0.25">
      <c r="A14819" s="5" t="str">
        <f>"H0036654"</f>
        <v>H0036654</v>
      </c>
      <c r="B14819" s="5" t="str">
        <f t="shared" si="762"/>
        <v>UNIDAD DE LLAMADO DE ENFERMERIA PARA BAÑO CON CORDON TIRADOR. RESISTENTE A SALPICADURAS DE AGUA Y LUZ INDICADORA DE PULSACIÓN</v>
      </c>
      <c r="C14819" s="6">
        <v>578500</v>
      </c>
      <c r="D14819" s="5" t="s">
        <v>200</v>
      </c>
      <c r="E14819" s="5" t="str">
        <f t="shared" si="761"/>
        <v>ACTISALUD-ALA B-PISO 10</v>
      </c>
      <c r="F14819" s="5"/>
      <c r="G14819" s="5"/>
    </row>
    <row r="14820" spans="1:7" ht="58.5" customHeight="1" x14ac:dyDescent="0.25">
      <c r="A14820" s="5" t="str">
        <f>"H0036655"</f>
        <v>H0036655</v>
      </c>
      <c r="B14820" s="5" t="str">
        <f t="shared" si="762"/>
        <v>UNIDAD DE LLAMADO DE ENFERMERIA PARA BAÑO CON CORDON TIRADOR. RESISTENTE A SALPICADURAS DE AGUA Y LUZ INDICADORA DE PULSACIÓN</v>
      </c>
      <c r="C14820" s="6">
        <v>578500</v>
      </c>
      <c r="D14820" s="5" t="s">
        <v>200</v>
      </c>
      <c r="E14820" s="5" t="str">
        <f t="shared" si="761"/>
        <v>ACTISALUD-ALA B-PISO 10</v>
      </c>
      <c r="F14820" s="5"/>
      <c r="G14820" s="5"/>
    </row>
    <row r="14821" spans="1:7" ht="58.5" customHeight="1" x14ac:dyDescent="0.25">
      <c r="A14821" s="5" t="str">
        <f>"H0036656"</f>
        <v>H0036656</v>
      </c>
      <c r="B14821" s="5" t="str">
        <f t="shared" si="762"/>
        <v>UNIDAD DE LLAMADO DE ENFERMERIA PARA BAÑO CON CORDON TIRADOR. RESISTENTE A SALPICADURAS DE AGUA Y LUZ INDICADORA DE PULSACIÓN</v>
      </c>
      <c r="C14821" s="6">
        <v>578500</v>
      </c>
      <c r="D14821" s="5" t="s">
        <v>200</v>
      </c>
      <c r="E14821" s="5" t="str">
        <f t="shared" si="761"/>
        <v>ACTISALUD-ALA B-PISO 10</v>
      </c>
      <c r="F14821" s="5"/>
      <c r="G14821" s="5"/>
    </row>
    <row r="14822" spans="1:7" ht="58.5" customHeight="1" x14ac:dyDescent="0.25">
      <c r="A14822" s="5" t="str">
        <f>"H0036659"</f>
        <v>H0036659</v>
      </c>
      <c r="B14822" s="5" t="str">
        <f t="shared" si="762"/>
        <v>UNIDAD DE LLAMADO DE ENFERMERIA PARA BAÑO CON CORDON TIRADOR. RESISTENTE A SALPICADURAS DE AGUA Y LUZ INDICADORA DE PULSACIÓN</v>
      </c>
      <c r="C14822" s="6">
        <v>578500</v>
      </c>
      <c r="D14822" s="5" t="s">
        <v>200</v>
      </c>
      <c r="E14822" s="5" t="str">
        <f t="shared" si="761"/>
        <v>ACTISALUD-ALA B-PISO 10</v>
      </c>
      <c r="F14822" s="5"/>
      <c r="G14822" s="5"/>
    </row>
    <row r="14823" spans="1:7" ht="58.5" customHeight="1" x14ac:dyDescent="0.25">
      <c r="A14823" s="5" t="str">
        <f>"H0036762"</f>
        <v>H0036762</v>
      </c>
      <c r="B14823" s="5" t="str">
        <f t="shared" ref="B14823:B14846" si="763">"UNIDAD DE LLAMADO DE ENFERMERIA PARA CAMA O BAÑO"</f>
        <v>UNIDAD DE LLAMADO DE ENFERMERIA PARA CAMA O BAÑO</v>
      </c>
      <c r="C14823" s="6">
        <v>643500</v>
      </c>
      <c r="D14823" s="5" t="s">
        <v>134</v>
      </c>
      <c r="E14823" s="5" t="str">
        <f t="shared" si="761"/>
        <v>ACTISALUD-ALA B-PISO 10</v>
      </c>
      <c r="F14823" s="5"/>
      <c r="G14823" s="5"/>
    </row>
    <row r="14824" spans="1:7" ht="58.5" customHeight="1" x14ac:dyDescent="0.25">
      <c r="A14824" s="5" t="str">
        <f>"H0036763"</f>
        <v>H0036763</v>
      </c>
      <c r="B14824" s="5" t="str">
        <f t="shared" si="763"/>
        <v>UNIDAD DE LLAMADO DE ENFERMERIA PARA CAMA O BAÑO</v>
      </c>
      <c r="C14824" s="6">
        <v>643500</v>
      </c>
      <c r="D14824" s="5" t="s">
        <v>134</v>
      </c>
      <c r="E14824" s="5" t="str">
        <f t="shared" si="761"/>
        <v>ACTISALUD-ALA B-PISO 10</v>
      </c>
      <c r="F14824" s="5"/>
      <c r="G14824" s="5"/>
    </row>
    <row r="14825" spans="1:7" ht="58.5" customHeight="1" x14ac:dyDescent="0.25">
      <c r="A14825" s="5" t="str">
        <f>"H0036764"</f>
        <v>H0036764</v>
      </c>
      <c r="B14825" s="5" t="str">
        <f t="shared" si="763"/>
        <v>UNIDAD DE LLAMADO DE ENFERMERIA PARA CAMA O BAÑO</v>
      </c>
      <c r="C14825" s="6">
        <v>643500</v>
      </c>
      <c r="D14825" s="5" t="s">
        <v>134</v>
      </c>
      <c r="E14825" s="5" t="str">
        <f t="shared" si="761"/>
        <v>ACTISALUD-ALA B-PISO 10</v>
      </c>
      <c r="F14825" s="5"/>
      <c r="G14825" s="5"/>
    </row>
    <row r="14826" spans="1:7" ht="58.5" customHeight="1" x14ac:dyDescent="0.25">
      <c r="A14826" s="5" t="str">
        <f>"H0036765"</f>
        <v>H0036765</v>
      </c>
      <c r="B14826" s="5" t="str">
        <f t="shared" si="763"/>
        <v>UNIDAD DE LLAMADO DE ENFERMERIA PARA CAMA O BAÑO</v>
      </c>
      <c r="C14826" s="6">
        <v>643500</v>
      </c>
      <c r="D14826" s="5" t="s">
        <v>134</v>
      </c>
      <c r="E14826" s="5" t="str">
        <f t="shared" si="761"/>
        <v>ACTISALUD-ALA B-PISO 10</v>
      </c>
      <c r="F14826" s="5"/>
      <c r="G14826" s="5"/>
    </row>
    <row r="14827" spans="1:7" ht="58.5" customHeight="1" x14ac:dyDescent="0.25">
      <c r="A14827" s="5" t="str">
        <f>"H0036766"</f>
        <v>H0036766</v>
      </c>
      <c r="B14827" s="5" t="str">
        <f t="shared" si="763"/>
        <v>UNIDAD DE LLAMADO DE ENFERMERIA PARA CAMA O BAÑO</v>
      </c>
      <c r="C14827" s="6">
        <v>643500</v>
      </c>
      <c r="D14827" s="5" t="s">
        <v>134</v>
      </c>
      <c r="E14827" s="5" t="str">
        <f t="shared" si="761"/>
        <v>ACTISALUD-ALA B-PISO 10</v>
      </c>
      <c r="F14827" s="5"/>
      <c r="G14827" s="5"/>
    </row>
    <row r="14828" spans="1:7" ht="58.5" customHeight="1" x14ac:dyDescent="0.25">
      <c r="A14828" s="5" t="str">
        <f>"H0036767"</f>
        <v>H0036767</v>
      </c>
      <c r="B14828" s="5" t="str">
        <f t="shared" si="763"/>
        <v>UNIDAD DE LLAMADO DE ENFERMERIA PARA CAMA O BAÑO</v>
      </c>
      <c r="C14828" s="6">
        <v>643500</v>
      </c>
      <c r="D14828" s="5" t="s">
        <v>134</v>
      </c>
      <c r="E14828" s="5" t="str">
        <f t="shared" si="761"/>
        <v>ACTISALUD-ALA B-PISO 10</v>
      </c>
      <c r="F14828" s="5"/>
      <c r="G14828" s="5"/>
    </row>
    <row r="14829" spans="1:7" ht="58.5" customHeight="1" x14ac:dyDescent="0.25">
      <c r="A14829" s="5" t="str">
        <f>"H0036768"</f>
        <v>H0036768</v>
      </c>
      <c r="B14829" s="5" t="str">
        <f t="shared" si="763"/>
        <v>UNIDAD DE LLAMADO DE ENFERMERIA PARA CAMA O BAÑO</v>
      </c>
      <c r="C14829" s="6">
        <v>643500</v>
      </c>
      <c r="D14829" s="5" t="s">
        <v>134</v>
      </c>
      <c r="E14829" s="5" t="str">
        <f t="shared" si="761"/>
        <v>ACTISALUD-ALA B-PISO 10</v>
      </c>
      <c r="F14829" s="5"/>
      <c r="G14829" s="5"/>
    </row>
    <row r="14830" spans="1:7" ht="58.5" customHeight="1" x14ac:dyDescent="0.25">
      <c r="A14830" s="5" t="str">
        <f>"H0036769"</f>
        <v>H0036769</v>
      </c>
      <c r="B14830" s="5" t="str">
        <f t="shared" si="763"/>
        <v>UNIDAD DE LLAMADO DE ENFERMERIA PARA CAMA O BAÑO</v>
      </c>
      <c r="C14830" s="6">
        <v>643500</v>
      </c>
      <c r="D14830" s="5" t="s">
        <v>134</v>
      </c>
      <c r="E14830" s="5" t="str">
        <f t="shared" si="761"/>
        <v>ACTISALUD-ALA B-PISO 10</v>
      </c>
      <c r="F14830" s="5"/>
      <c r="G14830" s="5"/>
    </row>
    <row r="14831" spans="1:7" ht="58.5" customHeight="1" x14ac:dyDescent="0.25">
      <c r="A14831" s="5" t="str">
        <f>"H0036770"</f>
        <v>H0036770</v>
      </c>
      <c r="B14831" s="5" t="str">
        <f t="shared" si="763"/>
        <v>UNIDAD DE LLAMADO DE ENFERMERIA PARA CAMA O BAÑO</v>
      </c>
      <c r="C14831" s="6">
        <v>643500</v>
      </c>
      <c r="D14831" s="5" t="s">
        <v>134</v>
      </c>
      <c r="E14831" s="5" t="str">
        <f t="shared" si="761"/>
        <v>ACTISALUD-ALA B-PISO 10</v>
      </c>
      <c r="F14831" s="5"/>
      <c r="G14831" s="5"/>
    </row>
    <row r="14832" spans="1:7" ht="58.5" customHeight="1" x14ac:dyDescent="0.25">
      <c r="A14832" s="5" t="str">
        <f>"H0036771"</f>
        <v>H0036771</v>
      </c>
      <c r="B14832" s="5" t="str">
        <f t="shared" si="763"/>
        <v>UNIDAD DE LLAMADO DE ENFERMERIA PARA CAMA O BAÑO</v>
      </c>
      <c r="C14832" s="6">
        <v>643500</v>
      </c>
      <c r="D14832" s="5" t="s">
        <v>134</v>
      </c>
      <c r="E14832" s="5" t="str">
        <f t="shared" si="761"/>
        <v>ACTISALUD-ALA B-PISO 10</v>
      </c>
      <c r="F14832" s="5"/>
      <c r="G14832" s="5"/>
    </row>
    <row r="14833" spans="1:7" ht="58.5" customHeight="1" x14ac:dyDescent="0.25">
      <c r="A14833" s="5" t="str">
        <f>"H0036772"</f>
        <v>H0036772</v>
      </c>
      <c r="B14833" s="5" t="str">
        <f t="shared" si="763"/>
        <v>UNIDAD DE LLAMADO DE ENFERMERIA PARA CAMA O BAÑO</v>
      </c>
      <c r="C14833" s="6">
        <v>643500</v>
      </c>
      <c r="D14833" s="5" t="s">
        <v>134</v>
      </c>
      <c r="E14833" s="5" t="str">
        <f t="shared" si="761"/>
        <v>ACTISALUD-ALA B-PISO 10</v>
      </c>
      <c r="F14833" s="5"/>
      <c r="G14833" s="5"/>
    </row>
    <row r="14834" spans="1:7" ht="58.5" customHeight="1" x14ac:dyDescent="0.25">
      <c r="A14834" s="5" t="str">
        <f>"H0036773"</f>
        <v>H0036773</v>
      </c>
      <c r="B14834" s="5" t="str">
        <f t="shared" si="763"/>
        <v>UNIDAD DE LLAMADO DE ENFERMERIA PARA CAMA O BAÑO</v>
      </c>
      <c r="C14834" s="6">
        <v>643500</v>
      </c>
      <c r="D14834" s="5" t="s">
        <v>134</v>
      </c>
      <c r="E14834" s="5" t="str">
        <f t="shared" si="761"/>
        <v>ACTISALUD-ALA B-PISO 10</v>
      </c>
      <c r="F14834" s="5"/>
      <c r="G14834" s="5"/>
    </row>
    <row r="14835" spans="1:7" ht="58.5" customHeight="1" x14ac:dyDescent="0.25">
      <c r="A14835" s="5" t="str">
        <f>"H0036774"</f>
        <v>H0036774</v>
      </c>
      <c r="B14835" s="5" t="str">
        <f t="shared" si="763"/>
        <v>UNIDAD DE LLAMADO DE ENFERMERIA PARA CAMA O BAÑO</v>
      </c>
      <c r="C14835" s="6">
        <v>643500</v>
      </c>
      <c r="D14835" s="5" t="s">
        <v>134</v>
      </c>
      <c r="E14835" s="5" t="str">
        <f t="shared" si="761"/>
        <v>ACTISALUD-ALA B-PISO 10</v>
      </c>
      <c r="F14835" s="5"/>
      <c r="G14835" s="5"/>
    </row>
    <row r="14836" spans="1:7" ht="58.5" customHeight="1" x14ac:dyDescent="0.25">
      <c r="A14836" s="5" t="str">
        <f>"H0036775"</f>
        <v>H0036775</v>
      </c>
      <c r="B14836" s="5" t="str">
        <f t="shared" si="763"/>
        <v>UNIDAD DE LLAMADO DE ENFERMERIA PARA CAMA O BAÑO</v>
      </c>
      <c r="C14836" s="6">
        <v>643500</v>
      </c>
      <c r="D14836" s="5" t="s">
        <v>134</v>
      </c>
      <c r="E14836" s="5" t="str">
        <f t="shared" si="761"/>
        <v>ACTISALUD-ALA B-PISO 10</v>
      </c>
      <c r="F14836" s="5"/>
      <c r="G14836" s="5"/>
    </row>
    <row r="14837" spans="1:7" ht="58.5" customHeight="1" x14ac:dyDescent="0.25">
      <c r="A14837" s="5" t="str">
        <f>"H0036776"</f>
        <v>H0036776</v>
      </c>
      <c r="B14837" s="5" t="str">
        <f t="shared" si="763"/>
        <v>UNIDAD DE LLAMADO DE ENFERMERIA PARA CAMA O BAÑO</v>
      </c>
      <c r="C14837" s="6">
        <v>643500</v>
      </c>
      <c r="D14837" s="5" t="s">
        <v>134</v>
      </c>
      <c r="E14837" s="5" t="str">
        <f t="shared" si="761"/>
        <v>ACTISALUD-ALA B-PISO 10</v>
      </c>
      <c r="F14837" s="5"/>
      <c r="G14837" s="5"/>
    </row>
    <row r="14838" spans="1:7" ht="58.5" customHeight="1" x14ac:dyDescent="0.25">
      <c r="A14838" s="5" t="str">
        <f>"H0036777"</f>
        <v>H0036777</v>
      </c>
      <c r="B14838" s="5" t="str">
        <f t="shared" si="763"/>
        <v>UNIDAD DE LLAMADO DE ENFERMERIA PARA CAMA O BAÑO</v>
      </c>
      <c r="C14838" s="6">
        <v>643500</v>
      </c>
      <c r="D14838" s="5" t="s">
        <v>134</v>
      </c>
      <c r="E14838" s="5" t="str">
        <f t="shared" si="761"/>
        <v>ACTISALUD-ALA B-PISO 10</v>
      </c>
      <c r="F14838" s="5"/>
      <c r="G14838" s="5"/>
    </row>
    <row r="14839" spans="1:7" ht="58.5" customHeight="1" x14ac:dyDescent="0.25">
      <c r="A14839" s="5" t="str">
        <f>"H0036778"</f>
        <v>H0036778</v>
      </c>
      <c r="B14839" s="5" t="str">
        <f t="shared" si="763"/>
        <v>UNIDAD DE LLAMADO DE ENFERMERIA PARA CAMA O BAÑO</v>
      </c>
      <c r="C14839" s="6">
        <v>643500</v>
      </c>
      <c r="D14839" s="5" t="s">
        <v>134</v>
      </c>
      <c r="E14839" s="5" t="str">
        <f t="shared" si="761"/>
        <v>ACTISALUD-ALA B-PISO 10</v>
      </c>
      <c r="F14839" s="5"/>
      <c r="G14839" s="5"/>
    </row>
    <row r="14840" spans="1:7" ht="58.5" customHeight="1" x14ac:dyDescent="0.25">
      <c r="A14840" s="5" t="str">
        <f>"H0036779"</f>
        <v>H0036779</v>
      </c>
      <c r="B14840" s="5" t="str">
        <f t="shared" si="763"/>
        <v>UNIDAD DE LLAMADO DE ENFERMERIA PARA CAMA O BAÑO</v>
      </c>
      <c r="C14840" s="6">
        <v>643500</v>
      </c>
      <c r="D14840" s="5" t="s">
        <v>134</v>
      </c>
      <c r="E14840" s="5" t="str">
        <f t="shared" si="761"/>
        <v>ACTISALUD-ALA B-PISO 10</v>
      </c>
      <c r="F14840" s="5"/>
      <c r="G14840" s="5"/>
    </row>
    <row r="14841" spans="1:7" ht="58.5" customHeight="1" x14ac:dyDescent="0.25">
      <c r="A14841" s="5" t="str">
        <f>"H0036780"</f>
        <v>H0036780</v>
      </c>
      <c r="B14841" s="5" t="str">
        <f t="shared" si="763"/>
        <v>UNIDAD DE LLAMADO DE ENFERMERIA PARA CAMA O BAÑO</v>
      </c>
      <c r="C14841" s="6">
        <v>643500</v>
      </c>
      <c r="D14841" s="5" t="s">
        <v>134</v>
      </c>
      <c r="E14841" s="5" t="str">
        <f t="shared" si="761"/>
        <v>ACTISALUD-ALA B-PISO 10</v>
      </c>
      <c r="F14841" s="5"/>
      <c r="G14841" s="5"/>
    </row>
    <row r="14842" spans="1:7" ht="58.5" customHeight="1" x14ac:dyDescent="0.25">
      <c r="A14842" s="5" t="str">
        <f>"H0036781"</f>
        <v>H0036781</v>
      </c>
      <c r="B14842" s="5" t="str">
        <f t="shared" si="763"/>
        <v>UNIDAD DE LLAMADO DE ENFERMERIA PARA CAMA O BAÑO</v>
      </c>
      <c r="C14842" s="6">
        <v>643500</v>
      </c>
      <c r="D14842" s="5" t="s">
        <v>134</v>
      </c>
      <c r="E14842" s="5" t="str">
        <f t="shared" si="761"/>
        <v>ACTISALUD-ALA B-PISO 10</v>
      </c>
      <c r="F14842" s="5"/>
      <c r="G14842" s="5"/>
    </row>
    <row r="14843" spans="1:7" ht="58.5" customHeight="1" x14ac:dyDescent="0.25">
      <c r="A14843" s="5" t="str">
        <f>"H0036782"</f>
        <v>H0036782</v>
      </c>
      <c r="B14843" s="5" t="str">
        <f t="shared" si="763"/>
        <v>UNIDAD DE LLAMADO DE ENFERMERIA PARA CAMA O BAÑO</v>
      </c>
      <c r="C14843" s="6">
        <v>643500</v>
      </c>
      <c r="D14843" s="5" t="s">
        <v>134</v>
      </c>
      <c r="E14843" s="5" t="str">
        <f t="shared" si="761"/>
        <v>ACTISALUD-ALA B-PISO 10</v>
      </c>
      <c r="F14843" s="5"/>
      <c r="G14843" s="5"/>
    </row>
    <row r="14844" spans="1:7" ht="58.5" customHeight="1" x14ac:dyDescent="0.25">
      <c r="A14844" s="5" t="str">
        <f>"H0036783"</f>
        <v>H0036783</v>
      </c>
      <c r="B14844" s="5" t="str">
        <f t="shared" si="763"/>
        <v>UNIDAD DE LLAMADO DE ENFERMERIA PARA CAMA O BAÑO</v>
      </c>
      <c r="C14844" s="6">
        <v>643500</v>
      </c>
      <c r="D14844" s="5" t="s">
        <v>134</v>
      </c>
      <c r="E14844" s="5" t="str">
        <f t="shared" si="761"/>
        <v>ACTISALUD-ALA B-PISO 10</v>
      </c>
      <c r="F14844" s="5"/>
      <c r="G14844" s="5"/>
    </row>
    <row r="14845" spans="1:7" ht="58.5" customHeight="1" x14ac:dyDescent="0.25">
      <c r="A14845" s="5" t="str">
        <f>"H0036784"</f>
        <v>H0036784</v>
      </c>
      <c r="B14845" s="5" t="str">
        <f t="shared" si="763"/>
        <v>UNIDAD DE LLAMADO DE ENFERMERIA PARA CAMA O BAÑO</v>
      </c>
      <c r="C14845" s="6">
        <v>643500</v>
      </c>
      <c r="D14845" s="5" t="s">
        <v>134</v>
      </c>
      <c r="E14845" s="5" t="str">
        <f t="shared" si="761"/>
        <v>ACTISALUD-ALA B-PISO 10</v>
      </c>
      <c r="F14845" s="5"/>
      <c r="G14845" s="5"/>
    </row>
    <row r="14846" spans="1:7" ht="58.5" customHeight="1" x14ac:dyDescent="0.25">
      <c r="A14846" s="5" t="str">
        <f>"H0036785"</f>
        <v>H0036785</v>
      </c>
      <c r="B14846" s="5" t="str">
        <f t="shared" si="763"/>
        <v>UNIDAD DE LLAMADO DE ENFERMERIA PARA CAMA O BAÑO</v>
      </c>
      <c r="C14846" s="6">
        <v>643500</v>
      </c>
      <c r="D14846" s="5" t="s">
        <v>134</v>
      </c>
      <c r="E14846" s="5" t="str">
        <f t="shared" si="761"/>
        <v>ACTISALUD-ALA B-PISO 10</v>
      </c>
      <c r="F14846" s="5"/>
      <c r="G14846" s="5"/>
    </row>
    <row r="14847" spans="1:7" ht="58.5" customHeight="1" x14ac:dyDescent="0.25">
      <c r="A14847" s="5" t="str">
        <f>"H0037510"</f>
        <v>H0037510</v>
      </c>
      <c r="B14847" s="5" t="str">
        <f>"VENTILADOR DE PARED"</f>
        <v>VENTILADOR DE PARED</v>
      </c>
      <c r="C14847" s="6">
        <v>286671</v>
      </c>
      <c r="D14847" s="5" t="s">
        <v>139</v>
      </c>
      <c r="E14847" s="5" t="str">
        <f t="shared" si="761"/>
        <v>ACTISALUD-ALA B-PISO 10</v>
      </c>
      <c r="F14847" s="5"/>
      <c r="G14847" s="5"/>
    </row>
    <row r="14848" spans="1:7" ht="58.5" customHeight="1" x14ac:dyDescent="0.25">
      <c r="A14848" s="5" t="str">
        <f>"H0037706"</f>
        <v>H0037706</v>
      </c>
      <c r="B14848" s="5" t="str">
        <f>"SILLA GERENTE NIZA MEC. BASCULANTE CON BRAZOS."</f>
        <v>SILLA GERENTE NIZA MEC. BASCULANTE CON BRAZOS.</v>
      </c>
      <c r="C14848" s="6">
        <v>710000.01</v>
      </c>
      <c r="D14848" s="5" t="s">
        <v>30</v>
      </c>
      <c r="E14848" s="5" t="str">
        <f t="shared" si="761"/>
        <v>ACTISALUD-ALA B-PISO 10</v>
      </c>
      <c r="F14848" s="5"/>
      <c r="G14848" s="5"/>
    </row>
    <row r="14849" spans="1:7" ht="58.5" customHeight="1" x14ac:dyDescent="0.25">
      <c r="A14849" s="5" t="str">
        <f>"H0037707"</f>
        <v>H0037707</v>
      </c>
      <c r="B14849" s="5" t="str">
        <f>"SILLA GERENTE NIZA MEC. BASCULANTE CON BRAZOS."</f>
        <v>SILLA GERENTE NIZA MEC. BASCULANTE CON BRAZOS.</v>
      </c>
      <c r="C14849" s="6">
        <v>710000.01</v>
      </c>
      <c r="D14849" s="5" t="s">
        <v>30</v>
      </c>
      <c r="E14849" s="5" t="str">
        <f t="shared" si="761"/>
        <v>ACTISALUD-ALA B-PISO 10</v>
      </c>
      <c r="F14849" s="5"/>
      <c r="G14849" s="5"/>
    </row>
    <row r="14850" spans="1:7" ht="58.5" customHeight="1" x14ac:dyDescent="0.25">
      <c r="A14850" s="5" t="str">
        <f>"H0037708"</f>
        <v>H0037708</v>
      </c>
      <c r="B14850" s="5" t="str">
        <f>"SILLA GERENTE NIZA MEC. BASCULANTE CON BRAZOS."</f>
        <v>SILLA GERENTE NIZA MEC. BASCULANTE CON BRAZOS.</v>
      </c>
      <c r="C14850" s="6">
        <v>710000.01</v>
      </c>
      <c r="D14850" s="5" t="s">
        <v>30</v>
      </c>
      <c r="E14850" s="5" t="str">
        <f t="shared" si="761"/>
        <v>ACTISALUD-ALA B-PISO 10</v>
      </c>
      <c r="F14850" s="5"/>
      <c r="G14850" s="5"/>
    </row>
    <row r="14851" spans="1:7" ht="58.5" customHeight="1" x14ac:dyDescent="0.25">
      <c r="A14851" s="5" t="str">
        <f>"H0037709"</f>
        <v>H0037709</v>
      </c>
      <c r="B14851" s="5" t="str">
        <f>"SILLA GERENTE NIZA MEC. BASCULANTE CON BRAZOS."</f>
        <v>SILLA GERENTE NIZA MEC. BASCULANTE CON BRAZOS.</v>
      </c>
      <c r="C14851" s="6">
        <v>710000.01</v>
      </c>
      <c r="D14851" s="5" t="s">
        <v>30</v>
      </c>
      <c r="E14851" s="5" t="str">
        <f t="shared" si="761"/>
        <v>ACTISALUD-ALA B-PISO 10</v>
      </c>
      <c r="F14851" s="5"/>
      <c r="G14851" s="5"/>
    </row>
    <row r="14852" spans="1:7" ht="58.5" customHeight="1" x14ac:dyDescent="0.25">
      <c r="A14852" s="5" t="str">
        <f>"H0038283"</f>
        <v>H0038283</v>
      </c>
      <c r="B14852" s="5" t="str">
        <f>"UNIDAD DE LLAMADO DE ENFERMERIA PARA BAÑO CON CORDON TIRADOR. RESISTENTE A SALPICADURAS DE AGUA Y LUZ INDICADORA DE PULSACIÓN"</f>
        <v>UNIDAD DE LLAMADO DE ENFERMERIA PARA BAÑO CON CORDON TIRADOR. RESISTENTE A SALPICADURAS DE AGUA Y LUZ INDICADORA DE PULSACIÓN</v>
      </c>
      <c r="C14852" s="6">
        <v>529400</v>
      </c>
      <c r="D14852" s="5" t="s">
        <v>143</v>
      </c>
      <c r="E14852" s="5" t="str">
        <f t="shared" si="761"/>
        <v>ACTISALUD-ALA B-PISO 10</v>
      </c>
      <c r="F14852" s="5"/>
      <c r="G14852" s="5"/>
    </row>
    <row r="14853" spans="1:7" ht="58.5" customHeight="1" x14ac:dyDescent="0.25">
      <c r="A14853" s="5" t="str">
        <f>"H0038284"</f>
        <v>H0038284</v>
      </c>
      <c r="B14853" s="5" t="str">
        <f>"UNIDAD DE LLAMADO DE ENFERMERIA PARA BAÑO CON CORDON TIRADOR. RESISTENTE A SALPICADURAS DE AGUA Y LUZ INDICADORA DE PULSACIÓN"</f>
        <v>UNIDAD DE LLAMADO DE ENFERMERIA PARA BAÑO CON CORDON TIRADOR. RESISTENTE A SALPICADURAS DE AGUA Y LUZ INDICADORA DE PULSACIÓN</v>
      </c>
      <c r="C14853" s="6">
        <v>529400</v>
      </c>
      <c r="D14853" s="5" t="s">
        <v>143</v>
      </c>
      <c r="E14853" s="5" t="str">
        <f t="shared" si="761"/>
        <v>ACTISALUD-ALA B-PISO 10</v>
      </c>
      <c r="F14853" s="5"/>
      <c r="G14853" s="5"/>
    </row>
    <row r="14854" spans="1:7" ht="58.5" customHeight="1" x14ac:dyDescent="0.25">
      <c r="A14854" s="5" t="str">
        <f>"H0038319"</f>
        <v>H0038319</v>
      </c>
      <c r="B14854" s="5" t="str">
        <f t="shared" ref="B14854:B14866" si="764">"UNIDAD DE LLAMADO DE ENFERMERIA PARA CAMA O BAÑO"</f>
        <v>UNIDAD DE LLAMADO DE ENFERMERIA PARA CAMA O BAÑO</v>
      </c>
      <c r="C14854" s="6">
        <v>532900</v>
      </c>
      <c r="D14854" s="5" t="s">
        <v>143</v>
      </c>
      <c r="E14854" s="5" t="str">
        <f t="shared" si="761"/>
        <v>ACTISALUD-ALA B-PISO 10</v>
      </c>
      <c r="F14854" s="5"/>
      <c r="G14854" s="5"/>
    </row>
    <row r="14855" spans="1:7" ht="58.5" customHeight="1" x14ac:dyDescent="0.25">
      <c r="A14855" s="5" t="str">
        <f>"H0038320"</f>
        <v>H0038320</v>
      </c>
      <c r="B14855" s="5" t="str">
        <f t="shared" si="764"/>
        <v>UNIDAD DE LLAMADO DE ENFERMERIA PARA CAMA O BAÑO</v>
      </c>
      <c r="C14855" s="6">
        <v>532900</v>
      </c>
      <c r="D14855" s="5" t="s">
        <v>143</v>
      </c>
      <c r="E14855" s="5" t="str">
        <f t="shared" si="761"/>
        <v>ACTISALUD-ALA B-PISO 10</v>
      </c>
      <c r="F14855" s="5"/>
      <c r="G14855" s="5"/>
    </row>
    <row r="14856" spans="1:7" ht="58.5" customHeight="1" x14ac:dyDescent="0.25">
      <c r="A14856" s="5" t="str">
        <f>"H0038321"</f>
        <v>H0038321</v>
      </c>
      <c r="B14856" s="5" t="str">
        <f t="shared" si="764"/>
        <v>UNIDAD DE LLAMADO DE ENFERMERIA PARA CAMA O BAÑO</v>
      </c>
      <c r="C14856" s="6">
        <v>532900</v>
      </c>
      <c r="D14856" s="5" t="s">
        <v>143</v>
      </c>
      <c r="E14856" s="5" t="str">
        <f t="shared" si="761"/>
        <v>ACTISALUD-ALA B-PISO 10</v>
      </c>
      <c r="F14856" s="5"/>
      <c r="G14856" s="5"/>
    </row>
    <row r="14857" spans="1:7" ht="58.5" customHeight="1" x14ac:dyDescent="0.25">
      <c r="A14857" s="5" t="str">
        <f>"H0038530"</f>
        <v>H0038530</v>
      </c>
      <c r="B14857" s="5" t="str">
        <f t="shared" si="764"/>
        <v>UNIDAD DE LLAMADO DE ENFERMERIA PARA CAMA O BAÑO</v>
      </c>
      <c r="C14857" s="6">
        <v>532900</v>
      </c>
      <c r="D14857" s="5" t="s">
        <v>143</v>
      </c>
      <c r="E14857" s="5" t="str">
        <f t="shared" si="761"/>
        <v>ACTISALUD-ALA B-PISO 10</v>
      </c>
      <c r="F14857" s="5"/>
      <c r="G14857" s="5"/>
    </row>
    <row r="14858" spans="1:7" ht="58.5" customHeight="1" x14ac:dyDescent="0.25">
      <c r="A14858" s="5" t="str">
        <f>"H0038531"</f>
        <v>H0038531</v>
      </c>
      <c r="B14858" s="5" t="str">
        <f t="shared" si="764"/>
        <v>UNIDAD DE LLAMADO DE ENFERMERIA PARA CAMA O BAÑO</v>
      </c>
      <c r="C14858" s="6">
        <v>532900</v>
      </c>
      <c r="D14858" s="5" t="s">
        <v>143</v>
      </c>
      <c r="E14858" s="5" t="str">
        <f t="shared" si="761"/>
        <v>ACTISALUD-ALA B-PISO 10</v>
      </c>
      <c r="F14858" s="5"/>
      <c r="G14858" s="5"/>
    </row>
    <row r="14859" spans="1:7" ht="58.5" customHeight="1" x14ac:dyDescent="0.25">
      <c r="A14859" s="5" t="str">
        <f>"H0038532"</f>
        <v>H0038532</v>
      </c>
      <c r="B14859" s="5" t="str">
        <f t="shared" si="764"/>
        <v>UNIDAD DE LLAMADO DE ENFERMERIA PARA CAMA O BAÑO</v>
      </c>
      <c r="C14859" s="6">
        <v>532900</v>
      </c>
      <c r="D14859" s="5" t="s">
        <v>143</v>
      </c>
      <c r="E14859" s="5" t="str">
        <f t="shared" si="761"/>
        <v>ACTISALUD-ALA B-PISO 10</v>
      </c>
      <c r="F14859" s="5"/>
      <c r="G14859" s="5"/>
    </row>
    <row r="14860" spans="1:7" ht="58.5" customHeight="1" x14ac:dyDescent="0.25">
      <c r="A14860" s="5" t="str">
        <f>"H0038533"</f>
        <v>H0038533</v>
      </c>
      <c r="B14860" s="5" t="str">
        <f t="shared" si="764"/>
        <v>UNIDAD DE LLAMADO DE ENFERMERIA PARA CAMA O BAÑO</v>
      </c>
      <c r="C14860" s="6">
        <v>532900</v>
      </c>
      <c r="D14860" s="5" t="s">
        <v>143</v>
      </c>
      <c r="E14860" s="5" t="str">
        <f t="shared" ref="E14860:E14885" si="765">"ACTISALUD-ALA B-PISO 10"</f>
        <v>ACTISALUD-ALA B-PISO 10</v>
      </c>
      <c r="F14860" s="5"/>
      <c r="G14860" s="5"/>
    </row>
    <row r="14861" spans="1:7" ht="58.5" customHeight="1" x14ac:dyDescent="0.25">
      <c r="A14861" s="5" t="str">
        <f>"H0038534"</f>
        <v>H0038534</v>
      </c>
      <c r="B14861" s="5" t="str">
        <f t="shared" si="764"/>
        <v>UNIDAD DE LLAMADO DE ENFERMERIA PARA CAMA O BAÑO</v>
      </c>
      <c r="C14861" s="6">
        <v>532900</v>
      </c>
      <c r="D14861" s="5" t="s">
        <v>143</v>
      </c>
      <c r="E14861" s="5" t="str">
        <f t="shared" si="765"/>
        <v>ACTISALUD-ALA B-PISO 10</v>
      </c>
      <c r="F14861" s="5"/>
      <c r="G14861" s="5"/>
    </row>
    <row r="14862" spans="1:7" ht="58.5" customHeight="1" x14ac:dyDescent="0.25">
      <c r="A14862" s="5" t="str">
        <f>"H0038535"</f>
        <v>H0038535</v>
      </c>
      <c r="B14862" s="5" t="str">
        <f t="shared" si="764"/>
        <v>UNIDAD DE LLAMADO DE ENFERMERIA PARA CAMA O BAÑO</v>
      </c>
      <c r="C14862" s="6">
        <v>532900</v>
      </c>
      <c r="D14862" s="5" t="s">
        <v>143</v>
      </c>
      <c r="E14862" s="5" t="str">
        <f t="shared" si="765"/>
        <v>ACTISALUD-ALA B-PISO 10</v>
      </c>
      <c r="F14862" s="5"/>
      <c r="G14862" s="5"/>
    </row>
    <row r="14863" spans="1:7" ht="58.5" customHeight="1" x14ac:dyDescent="0.25">
      <c r="A14863" s="5" t="str">
        <f>"H0038536"</f>
        <v>H0038536</v>
      </c>
      <c r="B14863" s="5" t="str">
        <f t="shared" si="764"/>
        <v>UNIDAD DE LLAMADO DE ENFERMERIA PARA CAMA O BAÑO</v>
      </c>
      <c r="C14863" s="6">
        <v>532900</v>
      </c>
      <c r="D14863" s="5" t="s">
        <v>143</v>
      </c>
      <c r="E14863" s="5" t="str">
        <f t="shared" si="765"/>
        <v>ACTISALUD-ALA B-PISO 10</v>
      </c>
      <c r="F14863" s="5"/>
      <c r="G14863" s="5"/>
    </row>
    <row r="14864" spans="1:7" ht="58.5" customHeight="1" x14ac:dyDescent="0.25">
      <c r="A14864" s="5" t="str">
        <f>"H0038537"</f>
        <v>H0038537</v>
      </c>
      <c r="B14864" s="5" t="str">
        <f t="shared" si="764"/>
        <v>UNIDAD DE LLAMADO DE ENFERMERIA PARA CAMA O BAÑO</v>
      </c>
      <c r="C14864" s="6">
        <v>532900</v>
      </c>
      <c r="D14864" s="5" t="s">
        <v>143</v>
      </c>
      <c r="E14864" s="5" t="str">
        <f t="shared" si="765"/>
        <v>ACTISALUD-ALA B-PISO 10</v>
      </c>
      <c r="F14864" s="5"/>
      <c r="G14864" s="5"/>
    </row>
    <row r="14865" spans="1:7" ht="58.5" customHeight="1" x14ac:dyDescent="0.25">
      <c r="A14865" s="5" t="str">
        <f>"H0038538"</f>
        <v>H0038538</v>
      </c>
      <c r="B14865" s="5" t="str">
        <f t="shared" si="764"/>
        <v>UNIDAD DE LLAMADO DE ENFERMERIA PARA CAMA O BAÑO</v>
      </c>
      <c r="C14865" s="6">
        <v>532900</v>
      </c>
      <c r="D14865" s="5" t="s">
        <v>143</v>
      </c>
      <c r="E14865" s="5" t="str">
        <f t="shared" si="765"/>
        <v>ACTISALUD-ALA B-PISO 10</v>
      </c>
      <c r="F14865" s="5"/>
      <c r="G14865" s="5"/>
    </row>
    <row r="14866" spans="1:7" ht="58.5" customHeight="1" x14ac:dyDescent="0.25">
      <c r="A14866" s="5" t="str">
        <f>"H0038539"</f>
        <v>H0038539</v>
      </c>
      <c r="B14866" s="5" t="str">
        <f t="shared" si="764"/>
        <v>UNIDAD DE LLAMADO DE ENFERMERIA PARA CAMA O BAÑO</v>
      </c>
      <c r="C14866" s="6">
        <v>532900</v>
      </c>
      <c r="D14866" s="5" t="s">
        <v>143</v>
      </c>
      <c r="E14866" s="5" t="str">
        <f t="shared" si="765"/>
        <v>ACTISALUD-ALA B-PISO 10</v>
      </c>
      <c r="F14866" s="5"/>
      <c r="G14866" s="5"/>
    </row>
    <row r="14867" spans="1:7" ht="58.5" customHeight="1" x14ac:dyDescent="0.25">
      <c r="A14867" s="5" t="str">
        <f>"H0038620"</f>
        <v>H0038620</v>
      </c>
      <c r="B14867" s="5" t="str">
        <f>"LAMPARA DE PASILLO DE LLAMADO DE ENFERMERIA"</f>
        <v>LAMPARA DE PASILLO DE LLAMADO DE ENFERMERIA</v>
      </c>
      <c r="C14867" s="6">
        <v>854790</v>
      </c>
      <c r="D14867" s="5" t="s">
        <v>143</v>
      </c>
      <c r="E14867" s="5" t="str">
        <f t="shared" si="765"/>
        <v>ACTISALUD-ALA B-PISO 10</v>
      </c>
      <c r="F14867" s="5"/>
      <c r="G14867" s="5"/>
    </row>
    <row r="14868" spans="1:7" ht="58.5" customHeight="1" x14ac:dyDescent="0.25">
      <c r="A14868" s="5" t="str">
        <f>"H0038621"</f>
        <v>H0038621</v>
      </c>
      <c r="B14868" s="5" t="str">
        <f>"LAMPARA DE PASILLO DE LLAMADO DE ENFERMERIA"</f>
        <v>LAMPARA DE PASILLO DE LLAMADO DE ENFERMERIA</v>
      </c>
      <c r="C14868" s="6">
        <v>854790</v>
      </c>
      <c r="D14868" s="5" t="s">
        <v>143</v>
      </c>
      <c r="E14868" s="5" t="str">
        <f t="shared" si="765"/>
        <v>ACTISALUD-ALA B-PISO 10</v>
      </c>
      <c r="F14868" s="5"/>
      <c r="G14868" s="5"/>
    </row>
    <row r="14869" spans="1:7" ht="58.5" customHeight="1" x14ac:dyDescent="0.25">
      <c r="A14869" s="5" t="str">
        <f>"H0038622"</f>
        <v>H0038622</v>
      </c>
      <c r="B14869" s="5" t="str">
        <f>"LAMPARA DE PASILLO DE LLAMADO DE ENFERMERIA"</f>
        <v>LAMPARA DE PASILLO DE LLAMADO DE ENFERMERIA</v>
      </c>
      <c r="C14869" s="6">
        <v>854790</v>
      </c>
      <c r="D14869" s="5" t="s">
        <v>143</v>
      </c>
      <c r="E14869" s="5" t="str">
        <f t="shared" si="765"/>
        <v>ACTISALUD-ALA B-PISO 10</v>
      </c>
      <c r="F14869" s="5"/>
      <c r="G14869" s="5"/>
    </row>
    <row r="14870" spans="1:7" ht="58.5" customHeight="1" x14ac:dyDescent="0.25">
      <c r="A14870" s="5" t="str">
        <f>"H0038623"</f>
        <v>H0038623</v>
      </c>
      <c r="B14870" s="5" t="str">
        <f>"LAMPARA DE PASILLO DE LLAMADO DE ENFERMERIA"</f>
        <v>LAMPARA DE PASILLO DE LLAMADO DE ENFERMERIA</v>
      </c>
      <c r="C14870" s="6">
        <v>854790</v>
      </c>
      <c r="D14870" s="5" t="s">
        <v>143</v>
      </c>
      <c r="E14870" s="5" t="str">
        <f t="shared" si="765"/>
        <v>ACTISALUD-ALA B-PISO 10</v>
      </c>
      <c r="F14870" s="5"/>
      <c r="G14870" s="5"/>
    </row>
    <row r="14871" spans="1:7" ht="58.5" customHeight="1" x14ac:dyDescent="0.25">
      <c r="A14871" s="5" t="str">
        <f>"H0038624"</f>
        <v>H0038624</v>
      </c>
      <c r="B14871" s="5" t="str">
        <f>"LAMPARA DE PASILLO DE LLAMADO DE ENFERMERIA"</f>
        <v>LAMPARA DE PASILLO DE LLAMADO DE ENFERMERIA</v>
      </c>
      <c r="C14871" s="6">
        <v>854790</v>
      </c>
      <c r="D14871" s="5" t="s">
        <v>143</v>
      </c>
      <c r="E14871" s="5" t="str">
        <f t="shared" si="765"/>
        <v>ACTISALUD-ALA B-PISO 10</v>
      </c>
      <c r="F14871" s="5"/>
      <c r="G14871" s="5"/>
    </row>
    <row r="14872" spans="1:7" ht="58.5" customHeight="1" x14ac:dyDescent="0.25">
      <c r="A14872" s="5" t="str">
        <f>"H0038651"</f>
        <v>H0038651</v>
      </c>
      <c r="B14872" s="5" t="str">
        <f>"CARRO PORTA HISTORIAS CLINICAS"</f>
        <v>CARRO PORTA HISTORIAS CLINICAS</v>
      </c>
      <c r="C14872" s="6">
        <v>1393000.07</v>
      </c>
      <c r="D14872" s="5" t="s">
        <v>145</v>
      </c>
      <c r="E14872" s="5" t="str">
        <f t="shared" si="765"/>
        <v>ACTISALUD-ALA B-PISO 10</v>
      </c>
      <c r="F14872" s="5"/>
      <c r="G14872" s="5"/>
    </row>
    <row r="14873" spans="1:7" ht="58.5" customHeight="1" x14ac:dyDescent="0.25">
      <c r="A14873" s="5" t="str">
        <f>"V000040"</f>
        <v>V000040</v>
      </c>
      <c r="B14873" s="5" t="str">
        <f t="shared" ref="B14873:B14885" si="766">"LAMPARA DE PASILLO DE LLAMADO DE ENFERMERIA"</f>
        <v>LAMPARA DE PASILLO DE LLAMADO DE ENFERMERIA</v>
      </c>
      <c r="C14873" s="6">
        <v>934000</v>
      </c>
      <c r="D14873" s="5" t="s">
        <v>205</v>
      </c>
      <c r="E14873" s="5" t="str">
        <f t="shared" si="765"/>
        <v>ACTISALUD-ALA B-PISO 10</v>
      </c>
      <c r="F14873" s="5"/>
      <c r="G14873" s="5"/>
    </row>
    <row r="14874" spans="1:7" ht="58.5" customHeight="1" x14ac:dyDescent="0.25">
      <c r="A14874" s="5" t="str">
        <f>"V000041"</f>
        <v>V000041</v>
      </c>
      <c r="B14874" s="5" t="str">
        <f t="shared" si="766"/>
        <v>LAMPARA DE PASILLO DE LLAMADO DE ENFERMERIA</v>
      </c>
      <c r="C14874" s="6">
        <v>934000</v>
      </c>
      <c r="D14874" s="5" t="s">
        <v>205</v>
      </c>
      <c r="E14874" s="5" t="str">
        <f t="shared" si="765"/>
        <v>ACTISALUD-ALA B-PISO 10</v>
      </c>
      <c r="F14874" s="5"/>
      <c r="G14874" s="5"/>
    </row>
    <row r="14875" spans="1:7" ht="58.5" customHeight="1" x14ac:dyDescent="0.25">
      <c r="A14875" s="5" t="str">
        <f>"V000042"</f>
        <v>V000042</v>
      </c>
      <c r="B14875" s="5" t="str">
        <f t="shared" si="766"/>
        <v>LAMPARA DE PASILLO DE LLAMADO DE ENFERMERIA</v>
      </c>
      <c r="C14875" s="6">
        <v>934000</v>
      </c>
      <c r="D14875" s="5" t="s">
        <v>205</v>
      </c>
      <c r="E14875" s="5" t="str">
        <f t="shared" si="765"/>
        <v>ACTISALUD-ALA B-PISO 10</v>
      </c>
      <c r="F14875" s="5"/>
      <c r="G14875" s="5"/>
    </row>
    <row r="14876" spans="1:7" ht="58.5" customHeight="1" x14ac:dyDescent="0.25">
      <c r="A14876" s="5" t="str">
        <f>"V000043"</f>
        <v>V000043</v>
      </c>
      <c r="B14876" s="5" t="str">
        <f t="shared" si="766"/>
        <v>LAMPARA DE PASILLO DE LLAMADO DE ENFERMERIA</v>
      </c>
      <c r="C14876" s="6">
        <v>934000</v>
      </c>
      <c r="D14876" s="5" t="s">
        <v>205</v>
      </c>
      <c r="E14876" s="5" t="str">
        <f t="shared" si="765"/>
        <v>ACTISALUD-ALA B-PISO 10</v>
      </c>
      <c r="F14876" s="5"/>
      <c r="G14876" s="5"/>
    </row>
    <row r="14877" spans="1:7" ht="58.5" customHeight="1" x14ac:dyDescent="0.25">
      <c r="A14877" s="5" t="str">
        <f>"V000044"</f>
        <v>V000044</v>
      </c>
      <c r="B14877" s="5" t="str">
        <f t="shared" si="766"/>
        <v>LAMPARA DE PASILLO DE LLAMADO DE ENFERMERIA</v>
      </c>
      <c r="C14877" s="6">
        <v>934000</v>
      </c>
      <c r="D14877" s="5" t="s">
        <v>205</v>
      </c>
      <c r="E14877" s="5" t="str">
        <f t="shared" si="765"/>
        <v>ACTISALUD-ALA B-PISO 10</v>
      </c>
      <c r="F14877" s="5"/>
      <c r="G14877" s="5"/>
    </row>
    <row r="14878" spans="1:7" ht="58.5" customHeight="1" x14ac:dyDescent="0.25">
      <c r="A14878" s="5" t="str">
        <f>"V000045"</f>
        <v>V000045</v>
      </c>
      <c r="B14878" s="5" t="str">
        <f t="shared" si="766"/>
        <v>LAMPARA DE PASILLO DE LLAMADO DE ENFERMERIA</v>
      </c>
      <c r="C14878" s="6">
        <v>934000</v>
      </c>
      <c r="D14878" s="5" t="s">
        <v>205</v>
      </c>
      <c r="E14878" s="5" t="str">
        <f t="shared" si="765"/>
        <v>ACTISALUD-ALA B-PISO 10</v>
      </c>
      <c r="F14878" s="5"/>
      <c r="G14878" s="5"/>
    </row>
    <row r="14879" spans="1:7" ht="58.5" customHeight="1" x14ac:dyDescent="0.25">
      <c r="A14879" s="5" t="str">
        <f>"V000046"</f>
        <v>V000046</v>
      </c>
      <c r="B14879" s="5" t="str">
        <f t="shared" si="766"/>
        <v>LAMPARA DE PASILLO DE LLAMADO DE ENFERMERIA</v>
      </c>
      <c r="C14879" s="6">
        <v>934000</v>
      </c>
      <c r="D14879" s="5" t="s">
        <v>205</v>
      </c>
      <c r="E14879" s="5" t="str">
        <f t="shared" si="765"/>
        <v>ACTISALUD-ALA B-PISO 10</v>
      </c>
      <c r="F14879" s="5"/>
      <c r="G14879" s="5"/>
    </row>
    <row r="14880" spans="1:7" ht="58.5" customHeight="1" x14ac:dyDescent="0.25">
      <c r="A14880" s="5" t="str">
        <f>"V000047"</f>
        <v>V000047</v>
      </c>
      <c r="B14880" s="5" t="str">
        <f t="shared" si="766"/>
        <v>LAMPARA DE PASILLO DE LLAMADO DE ENFERMERIA</v>
      </c>
      <c r="C14880" s="6">
        <v>934000</v>
      </c>
      <c r="D14880" s="5" t="s">
        <v>205</v>
      </c>
      <c r="E14880" s="5" t="str">
        <f t="shared" si="765"/>
        <v>ACTISALUD-ALA B-PISO 10</v>
      </c>
      <c r="F14880" s="5"/>
      <c r="G14880" s="5"/>
    </row>
    <row r="14881" spans="1:7" ht="58.5" customHeight="1" x14ac:dyDescent="0.25">
      <c r="A14881" s="5" t="str">
        <f>"V000048"</f>
        <v>V000048</v>
      </c>
      <c r="B14881" s="5" t="str">
        <f t="shared" si="766"/>
        <v>LAMPARA DE PASILLO DE LLAMADO DE ENFERMERIA</v>
      </c>
      <c r="C14881" s="6">
        <v>934000</v>
      </c>
      <c r="D14881" s="5" t="s">
        <v>205</v>
      </c>
      <c r="E14881" s="5" t="str">
        <f t="shared" si="765"/>
        <v>ACTISALUD-ALA B-PISO 10</v>
      </c>
      <c r="F14881" s="5"/>
      <c r="G14881" s="5"/>
    </row>
    <row r="14882" spans="1:7" ht="58.5" customHeight="1" x14ac:dyDescent="0.25">
      <c r="A14882" s="5" t="str">
        <f>"V000049"</f>
        <v>V000049</v>
      </c>
      <c r="B14882" s="5" t="str">
        <f t="shared" si="766"/>
        <v>LAMPARA DE PASILLO DE LLAMADO DE ENFERMERIA</v>
      </c>
      <c r="C14882" s="6">
        <v>934000</v>
      </c>
      <c r="D14882" s="5" t="s">
        <v>205</v>
      </c>
      <c r="E14882" s="5" t="str">
        <f t="shared" si="765"/>
        <v>ACTISALUD-ALA B-PISO 10</v>
      </c>
      <c r="F14882" s="5"/>
      <c r="G14882" s="5"/>
    </row>
    <row r="14883" spans="1:7" ht="58.5" customHeight="1" x14ac:dyDescent="0.25">
      <c r="A14883" s="5" t="str">
        <f>"V000050"</f>
        <v>V000050</v>
      </c>
      <c r="B14883" s="5" t="str">
        <f t="shared" si="766"/>
        <v>LAMPARA DE PASILLO DE LLAMADO DE ENFERMERIA</v>
      </c>
      <c r="C14883" s="6">
        <v>934000</v>
      </c>
      <c r="D14883" s="5" t="s">
        <v>205</v>
      </c>
      <c r="E14883" s="5" t="str">
        <f t="shared" si="765"/>
        <v>ACTISALUD-ALA B-PISO 10</v>
      </c>
      <c r="F14883" s="5"/>
      <c r="G14883" s="5"/>
    </row>
    <row r="14884" spans="1:7" ht="58.5" customHeight="1" x14ac:dyDescent="0.25">
      <c r="A14884" s="5" t="str">
        <f>"V000051"</f>
        <v>V000051</v>
      </c>
      <c r="B14884" s="5" t="str">
        <f t="shared" si="766"/>
        <v>LAMPARA DE PASILLO DE LLAMADO DE ENFERMERIA</v>
      </c>
      <c r="C14884" s="6">
        <v>934000</v>
      </c>
      <c r="D14884" s="5" t="s">
        <v>205</v>
      </c>
      <c r="E14884" s="5" t="str">
        <f t="shared" si="765"/>
        <v>ACTISALUD-ALA B-PISO 10</v>
      </c>
      <c r="F14884" s="5"/>
      <c r="G14884" s="5"/>
    </row>
    <row r="14885" spans="1:7" ht="58.5" customHeight="1" x14ac:dyDescent="0.25">
      <c r="A14885" s="5" t="str">
        <f>"V000052"</f>
        <v>V000052</v>
      </c>
      <c r="B14885" s="5" t="str">
        <f t="shared" si="766"/>
        <v>LAMPARA DE PASILLO DE LLAMADO DE ENFERMERIA</v>
      </c>
      <c r="C14885" s="6">
        <v>934000</v>
      </c>
      <c r="D14885" s="5" t="s">
        <v>205</v>
      </c>
      <c r="E14885" s="5" t="str">
        <f t="shared" si="765"/>
        <v>ACTISALUD-ALA B-PISO 10</v>
      </c>
      <c r="F14885" s="5"/>
      <c r="G14885" s="5"/>
    </row>
    <row r="14886" spans="1:7" ht="58.5" customHeight="1" x14ac:dyDescent="0.25">
      <c r="A14886" s="5" t="str">
        <f>"H0001618"</f>
        <v>H0001618</v>
      </c>
      <c r="B14886" s="5" t="str">
        <f>"ESCALERILLA DE 2 PASOS"</f>
        <v>ESCALERILLA DE 2 PASOS</v>
      </c>
      <c r="C14886" s="6">
        <v>100000</v>
      </c>
      <c r="D14886" s="5" t="s">
        <v>49</v>
      </c>
      <c r="E14886" s="5" t="str">
        <f t="shared" ref="E14886:E14949" si="767">"ACTISALUD-PISO 12 ALA A-EDGAR NARVAEZ"</f>
        <v>ACTISALUD-PISO 12 ALA A-EDGAR NARVAEZ</v>
      </c>
      <c r="F14886" s="5" t="str">
        <f>"Descripcion:   ESCALERA DE DOS PASOS Estado: Bueno Placa anterior: 000029907 Material: METALICO CON PASOS EN PLASTICO Color: BLANCO Referencia:  Observacion:  Placa padre: Tipo adquisicion: Entidad"</f>
        <v>Descripcion:   ESCALERA DE DOS PASOS Estado: Bueno Placa anterior: 000029907 Material: METALICO CON PASOS EN PLASTICO Color: BLANCO Referencia:  Observacion:  Placa padre: Tipo adquisicion: Entidad</v>
      </c>
      <c r="G14886" s="5"/>
    </row>
    <row r="14887" spans="1:7" ht="58.5" customHeight="1" x14ac:dyDescent="0.25">
      <c r="A14887" s="5" t="str">
        <f>"H0001622"</f>
        <v>H0001622</v>
      </c>
      <c r="B14887" s="5" t="str">
        <f>"CAMA HOSPITALARIA 4 PLANOS CON BARANDA"</f>
        <v>CAMA HOSPITALARIA 4 PLANOS CON BARANDA</v>
      </c>
      <c r="C14887" s="6">
        <v>2509480</v>
      </c>
      <c r="D14887" s="5"/>
      <c r="E14887" s="5" t="str">
        <f t="shared" si="767"/>
        <v>ACTISALUD-PISO 12 ALA A-EDGAR NARVAEZ</v>
      </c>
      <c r="F14887" s="5" t="str">
        <f>"Descripcion: CAMA HOSPITALARIA 4 PLANOS CON BARANDA Estado: Bueno Placa anterior: 000033387 Material: METALICO Color: GRIS Referencia:  Observacion: PLACA ANTERIOR NO ENCONTRADA 28584 AUTORIZADO CONCILIAR EN CRUCE GENERAL Placa padre: Tipo adquisicion: En"&amp; "tidad"</f>
        <v>Descripcion: CAMA HOSPITALARIA 4 PLANOS CON BARANDA Estado: Bueno Placa anterior: 000033387 Material: METALICO Color: GRIS Referencia:  Observacion: PLACA ANTERIOR NO ENCONTRADA 28584 AUTORIZADO CONCILIAR EN CRUCE GENERAL Placa padre: Tipo adquisicion: Entidad</v>
      </c>
      <c r="G14887" s="5"/>
    </row>
    <row r="14888" spans="1:7" ht="58.5" customHeight="1" x14ac:dyDescent="0.25">
      <c r="A14888" s="5" t="str">
        <f>"H0001627"</f>
        <v>H0001627</v>
      </c>
      <c r="B14888" s="5" t="str">
        <f>"CAMA HOSPITALARIA 4 PLANOS CON BARANDA"</f>
        <v>CAMA HOSPITALARIA 4 PLANOS CON BARANDA</v>
      </c>
      <c r="C14888" s="6">
        <v>2509480</v>
      </c>
      <c r="D14888" s="5"/>
      <c r="E14888" s="5" t="str">
        <f t="shared" si="767"/>
        <v>ACTISALUD-PISO 12 ALA A-EDGAR NARVAEZ</v>
      </c>
      <c r="F14888" s="5" t="str">
        <f>"Descripcion: CAMA HOSPITALARIA 4 PLANOS CON BARANDA Estado: Excelente Placa anterior: 000033376 Material: METALICA Color: BEIGE Referencia:  Observacion: PLACA ANTERIOR NO ENCONTRADA 33721 Placa padre: Tipo adquisicion: Entidad"</f>
        <v>Descripcion: CAMA HOSPITALARIA 4 PLANOS CON BARANDA Estado: Excelente Placa anterior: 000033376 Material: METALICA Color: BEIGE Referencia:  Observacion: PLACA ANTERIOR NO ENCONTRADA 33721 Placa padre: Tipo adquisicion: Entidad</v>
      </c>
      <c r="G14888" s="5"/>
    </row>
    <row r="14889" spans="1:7" ht="58.5" customHeight="1" x14ac:dyDescent="0.25">
      <c r="A14889" s="5" t="str">
        <f>"H0001630"</f>
        <v>H0001630</v>
      </c>
      <c r="B14889" s="5" t="str">
        <f>"SILLA PLASTICA CON BRAZOS"</f>
        <v>SILLA PLASTICA CON BRAZOS</v>
      </c>
      <c r="C14889" s="6">
        <v>12240.32</v>
      </c>
      <c r="D14889" s="5"/>
      <c r="E14889" s="5" t="str">
        <f t="shared" si="767"/>
        <v>ACTISALUD-PISO 12 ALA A-EDGAR NARVAEZ</v>
      </c>
      <c r="F14889" s="5" t="str">
        <f>"Descripcion:    SILLA PLASTICA CON BRAZOS Estado: Bueno Placa anterior: 000004088 Material: PLASTICO Color: BLANCO Referencia:  Observacion:  Placa padre: Tipo adquisicion: Entidad"</f>
        <v>Descripcion:    SILLA PLASTICA CON BRAZOS Estado: Bueno Placa anterior: 000004088 Material: PLASTICO Color: BLANCO Referencia:  Observacion:  Placa padre: Tipo adquisicion: Entidad</v>
      </c>
      <c r="G14889" s="5"/>
    </row>
    <row r="14890" spans="1:7" ht="58.5" customHeight="1" x14ac:dyDescent="0.25">
      <c r="A14890" s="5" t="str">
        <f>"H0001639"</f>
        <v>H0001639</v>
      </c>
      <c r="B14890" s="5" t="str">
        <f>"ESCALERILLA DE 2 PASOS"</f>
        <v>ESCALERILLA DE 2 PASOS</v>
      </c>
      <c r="C14890" s="6">
        <v>100000</v>
      </c>
      <c r="D14890" s="5" t="s">
        <v>49</v>
      </c>
      <c r="E14890" s="5" t="str">
        <f t="shared" si="767"/>
        <v>ACTISALUD-PISO 12 ALA A-EDGAR NARVAEZ</v>
      </c>
      <c r="F14890" s="5" t="str">
        <f>"Descripcion: ESCALERA DE DOS PASOS Estado: Bueno Placa anterior: 000029920 Material: METALICA CON PASOS EN MADERA Color: BLANCO Referencia:  Observacion:  Placa padre: Tipo adquisicion: Entidad"</f>
        <v>Descripcion: ESCALERA DE DOS PASOS Estado: Bueno Placa anterior: 000029920 Material: METALICA CON PASOS EN MADERA Color: BLANCO Referencia:  Observacion:  Placa padre: Tipo adquisicion: Entidad</v>
      </c>
      <c r="G14890" s="5"/>
    </row>
    <row r="14891" spans="1:7" ht="58.5" customHeight="1" x14ac:dyDescent="0.25">
      <c r="A14891" s="5" t="str">
        <f>"H0001647"</f>
        <v>H0001647</v>
      </c>
      <c r="B14891" s="5" t="str">
        <f>"CAMA HOSPITALARIA 4 PLANOS CON BARANDA"</f>
        <v>CAMA HOSPITALARIA 4 PLANOS CON BARANDA</v>
      </c>
      <c r="C14891" s="6">
        <v>43240.639999999999</v>
      </c>
      <c r="D14891" s="5"/>
      <c r="E14891" s="5" t="str">
        <f t="shared" si="767"/>
        <v>ACTISALUD-PISO 12 ALA A-EDGAR NARVAEZ</v>
      </c>
      <c r="F14891" s="5" t="str">
        <f>"Descripcion:    CAMA HOSPITALARIA 4 PLANOS CON BARANDA Estado: Bueno Placa anterior: 000028608 Material: METALICO Color: BEIGE Referencia:  Observacion: PLACA ANTERIOR NO ENCONTRADA 33379 Placa padre: Tipo adquisicion: Entidad"</f>
        <v>Descripcion:    CAMA HOSPITALARIA 4 PLANOS CON BARANDA Estado: Bueno Placa anterior: 000028608 Material: METALICO Color: BEIGE Referencia:  Observacion: PLACA ANTERIOR NO ENCONTRADA 33379 Placa padre: Tipo adquisicion: Entidad</v>
      </c>
      <c r="G14891" s="5"/>
    </row>
    <row r="14892" spans="1:7" ht="58.5" customHeight="1" x14ac:dyDescent="0.25">
      <c r="A14892" s="5" t="str">
        <f>"H0001708"</f>
        <v>H0001708</v>
      </c>
      <c r="B14892" s="5" t="str">
        <f>"ESCALERILLA DE 2 PASOS"</f>
        <v>ESCALERILLA DE 2 PASOS</v>
      </c>
      <c r="C14892" s="6">
        <v>100000</v>
      </c>
      <c r="D14892" s="5" t="s">
        <v>49</v>
      </c>
      <c r="E14892" s="5" t="str">
        <f t="shared" si="767"/>
        <v>ACTISALUD-PISO 12 ALA A-EDGAR NARVAEZ</v>
      </c>
      <c r="F14892" s="5" t="str">
        <f>"Descripcion: ESCALERA DE DOS PASOS Estado: Bueno Placa anterior: 000029919 Material: METALICO CON PASOS EN MADERA Color: BLANCO Referencia:  Observacion:  Placa padre: Tipo adquisicion: Entidad"</f>
        <v>Descripcion: ESCALERA DE DOS PASOS Estado: Bueno Placa anterior: 000029919 Material: METALICO CON PASOS EN MADERA Color: BLANCO Referencia:  Observacion:  Placa padre: Tipo adquisicion: Entidad</v>
      </c>
      <c r="G14892" s="5"/>
    </row>
    <row r="14893" spans="1:7" ht="58.5" customHeight="1" x14ac:dyDescent="0.25">
      <c r="A14893" s="5" t="str">
        <f>"H0001747"</f>
        <v>H0001747</v>
      </c>
      <c r="B14893" s="5" t="str">
        <f>"DESFRIBILADOR"</f>
        <v>DESFRIBILADOR</v>
      </c>
      <c r="C14893" s="6">
        <v>14539017</v>
      </c>
      <c r="D14893" s="5" t="s">
        <v>497</v>
      </c>
      <c r="E14893" s="5" t="str">
        <f t="shared" si="767"/>
        <v>ACTISALUD-PISO 12 ALA A-EDGAR NARVAEZ</v>
      </c>
      <c r="F14893" s="5" t="str">
        <f>"Descripcion: DESFIBRILADOR MONITOR DE ONDA BIFASICA CON MONITOREO MULTIPARAMETRICO. CON RANGO DE DESCARGA MAXIMA ENTRE 200J A 270J Estado: Bueno Placa anterior: 000036491 Material:  Color: GRIS CON BLANCO Referencia:  Observacion:  Placa padre: Tipo adqui"&amp; "sicion: Donacion"</f>
        <v>Descripcion: DESFIBRILADOR MONITOR DE ONDA BIFASICA CON MONITOREO MULTIPARAMETRICO. CON RANGO DE DESCARGA MAXIMA ENTRE 200J A 270J Estado: Bueno Placa anterior: 000036491 Material:  Color: GRIS CON BLANCO Referencia:  Observacion:  Placa padre: Tipo adquisicion: Donacion</v>
      </c>
      <c r="G14893" s="5" t="str">
        <f>"BENEHEART D3"</f>
        <v>BENEHEART D3</v>
      </c>
    </row>
    <row r="14894" spans="1:7" ht="58.5" customHeight="1" x14ac:dyDescent="0.25">
      <c r="A14894" s="5" t="str">
        <f>"H0001748"</f>
        <v>H0001748</v>
      </c>
      <c r="B14894" s="5" t="str">
        <f>"FONENDOSCOPIO (ESTETOSCOPIO) DE 2 SERVICIOS"</f>
        <v>FONENDOSCOPIO (ESTETOSCOPIO) DE 2 SERVICIOS</v>
      </c>
      <c r="C14894" s="6">
        <v>40099.5</v>
      </c>
      <c r="D14894" s="5"/>
      <c r="E14894" s="5" t="str">
        <f t="shared" si="767"/>
        <v>ACTISALUD-PISO 12 ALA A-EDGAR NARVAEZ</v>
      </c>
      <c r="F14894" s="5" t="str">
        <f>"Descripcion: FONENDOSCOPIO (ESTETOSCOPIO) DE 2 SERVICIOS Estado: Bueno Placa anterior: 000006445 Material:  Color: NEGRO Referencia:  Observacion:  Placa padre: Tipo adquisicion: Entidad"</f>
        <v>Descripcion: FONENDOSCOPIO (ESTETOSCOPIO) DE 2 SERVICIOS Estado: Bueno Placa anterior: 000006445 Material:  Color: NEGRO Referencia:  Observacion:  Placa padre: Tipo adquisicion: Entidad</v>
      </c>
      <c r="G14894" s="5"/>
    </row>
    <row r="14895" spans="1:7" ht="58.5" customHeight="1" x14ac:dyDescent="0.25">
      <c r="A14895" s="5" t="str">
        <f>"H0001751"</f>
        <v>H0001751</v>
      </c>
      <c r="B14895" s="5" t="str">
        <f>"CARRO DE PARO"</f>
        <v>CARRO DE PARO</v>
      </c>
      <c r="C14895" s="6">
        <v>2200000</v>
      </c>
      <c r="D14895" s="5"/>
      <c r="E14895" s="5" t="str">
        <f t="shared" si="767"/>
        <v>ACTISALUD-PISO 12 ALA A-EDGAR NARVAEZ</v>
      </c>
      <c r="F14895" s="5" t="str">
        <f>"Descripcion: CARRO DE PARO  CON RUEDAS, MEDIDAS:102X70X47CM Estado: Bueno Placa anterior: 000033174 Material:  Color: BEIGE Referencia: 181-34 Observacion:  Placa padre: Tipo adquisicion: Entidad"</f>
        <v>Descripcion: CARRO DE PARO  CON RUEDAS, MEDIDAS:102X70X47CM Estado: Bueno Placa anterior: 000033174 Material:  Color: BEIGE Referencia: 181-34 Observacion:  Placa padre: Tipo adquisicion: Entidad</v>
      </c>
      <c r="G14895" s="5"/>
    </row>
    <row r="14896" spans="1:7" ht="58.5" customHeight="1" x14ac:dyDescent="0.25">
      <c r="A14896" s="5" t="str">
        <f>"H0001768"</f>
        <v>H0001768</v>
      </c>
      <c r="B14896" s="5" t="str">
        <f>"ESCALERILLA DE 2 PASOS"</f>
        <v>ESCALERILLA DE 2 PASOS</v>
      </c>
      <c r="C14896" s="6">
        <v>4070</v>
      </c>
      <c r="D14896" s="5"/>
      <c r="E14896" s="5" t="str">
        <f t="shared" si="767"/>
        <v>ACTISALUD-PISO 12 ALA A-EDGAR NARVAEZ</v>
      </c>
      <c r="F14896" s="5" t="str">
        <f>"Descripcion: ESCALERA DE DOS PASOS Estado: Bueno Placa anterior: 000027569 Material: METALICO CON PASOS EN PLASTICO Color: BLANCO Referencia:  Observacion: ESCALA TIPO B (2 PASOS) Placa padre: Tipo adquisicion: Entidad"</f>
        <v>Descripcion: ESCALERA DE DOS PASOS Estado: Bueno Placa anterior: 000027569 Material: METALICO CON PASOS EN PLASTICO Color: BLANCO Referencia:  Observacion: ESCALA TIPO B (2 PASOS) Placa padre: Tipo adquisicion: Entidad</v>
      </c>
      <c r="G14896" s="5"/>
    </row>
    <row r="14897" spans="1:7" ht="58.5" customHeight="1" x14ac:dyDescent="0.25">
      <c r="A14897" s="5" t="str">
        <f>"H0001780"</f>
        <v>H0001780</v>
      </c>
      <c r="B14897" s="5" t="str">
        <f>"ARCHIVADOR DE MADERA 3 GAVETAS"</f>
        <v>ARCHIVADOR DE MADERA 3 GAVETAS</v>
      </c>
      <c r="C14897" s="6">
        <v>28328.560000000001</v>
      </c>
      <c r="D14897" s="5"/>
      <c r="E14897" s="5" t="str">
        <f t="shared" si="767"/>
        <v>ACTISALUD-PISO 12 ALA A-EDGAR NARVAEZ</v>
      </c>
      <c r="F14897" s="5" t="str">
        <f>"Descripcion: ARCHIVADOR DE MADERA 3 GAVETAS MEDIDAS: 65X50X52 Estado: Bueno Placa anterior: 000004574 Material: MADERA  Color: BLANCO CON MARRON Referencia:  Observacion:  Placa padre: Tipo adquisicion: Entidad"</f>
        <v>Descripcion: ARCHIVADOR DE MADERA 3 GAVETAS MEDIDAS: 65X50X52 Estado: Bueno Placa anterior: 000004574 Material: MADERA  Color: BLANCO CON MARRON Referencia:  Observacion:  Placa padre: Tipo adquisicion: Entidad</v>
      </c>
      <c r="G14897" s="5"/>
    </row>
    <row r="14898" spans="1:7" ht="58.5" customHeight="1" x14ac:dyDescent="0.25">
      <c r="A14898" s="5" t="str">
        <f>"H0001792"</f>
        <v>H0001792</v>
      </c>
      <c r="B14898" s="5" t="str">
        <f>"ESCRITORIO METALICO DE 6 GAVETAS"</f>
        <v>ESCRITORIO METALICO DE 6 GAVETAS</v>
      </c>
      <c r="C14898" s="6">
        <v>61522.5</v>
      </c>
      <c r="D14898" s="5"/>
      <c r="E14898" s="5" t="str">
        <f t="shared" si="767"/>
        <v>ACTISALUD-PISO 12 ALA A-EDGAR NARVAEZ</v>
      </c>
      <c r="F14898" s="5" t="str">
        <f>"Descripcion: ESCRITORIO DE 3 GAVETAS Estado: Bueno Placa anterior: 000000232 Material: METALICO CON MESON EN FORMICA Color: GRIS CON MADERA OSCURO Referencia:  Observacion: ESCRITORIO METALICO 6 GAVETAS CON MESON EN FORMICA MEDIDAS:74X160X73CM Placa padre"&amp; ": Tipo adquisicion: Entidad"</f>
        <v>Descripcion: ESCRITORIO DE 3 GAVETAS Estado: Bueno Placa anterior: 000000232 Material: METALICO CON MESON EN FORMICA Color: GRIS CON MADERA OSCURO Referencia:  Observacion: ESCRITORIO METALICO 6 GAVETAS CON MESON EN FORMICA MEDIDAS:74X160X73CM Placa padre: Tipo adquisicion: Entidad</v>
      </c>
      <c r="G14898" s="5"/>
    </row>
    <row r="14899" spans="1:7" ht="58.5" customHeight="1" x14ac:dyDescent="0.25">
      <c r="A14899" s="5" t="str">
        <f>"H0001842"</f>
        <v>H0001842</v>
      </c>
      <c r="B14899" s="5" t="str">
        <f>"DIVISION (PANEL) MODULAR"</f>
        <v>DIVISION (PANEL) MODULAR</v>
      </c>
      <c r="C14899" s="6">
        <v>980000</v>
      </c>
      <c r="D14899" s="5" t="s">
        <v>3</v>
      </c>
      <c r="E14899" s="5" t="str">
        <f t="shared" si="767"/>
        <v>ACTISALUD-PISO 12 ALA A-EDGAR NARVAEZ</v>
      </c>
      <c r="F14899" s="5" t="str">
        <f>"Descripcion:DIVISION PUERTA CORREDIZA STAR DE ENFERMERIA . MEDIDAS: 214X88.5CM Estado: Bueno Placa anterior:  Material: ALUMNIO Y VIDRIO Color: GRIS Referencia:  Observacion:  Placa padre:  Tipo adquisicion : Entidad"</f>
        <v>Descripcion:DIVISION PUERTA CORREDIZA STAR DE ENFERMERIA . MEDIDAS: 214X88.5CM Estado: Bueno Placa anterior:  Material: ALUMNIO Y VIDRIO Color: GRIS Referencia:  Observacion:  Placa padre:  Tipo adquisicion : Entidad</v>
      </c>
      <c r="G14899" s="5"/>
    </row>
    <row r="14900" spans="1:7" ht="58.5" customHeight="1" x14ac:dyDescent="0.25">
      <c r="A14900" s="5" t="str">
        <f>"H0001843"</f>
        <v>H0001843</v>
      </c>
      <c r="B14900" s="5" t="str">
        <f>"MUEBLE (ARCHIVADOR) AEREO (GABINETE DE PARED)"</f>
        <v>MUEBLE (ARCHIVADOR) AEREO (GABINETE DE PARED)</v>
      </c>
      <c r="C14900" s="6">
        <v>600000</v>
      </c>
      <c r="D14900" s="5"/>
      <c r="E14900" s="5" t="str">
        <f t="shared" si="767"/>
        <v>ACTISALUD-PISO 12 ALA A-EDGAR NARVAEZ</v>
      </c>
      <c r="F14900" s="5" t="str">
        <f>"Descripcion:ARCHIVADOR AEREO DE DOS CUERPOS Estado: Bueno Placa anterior: 000033115 Material: MADERA EN FORMICA Color: WENGUE Y BLANCO Referencia:  Observacion:  Placa padre:  Tipo adquisicion : Entidad"</f>
        <v>Descripcion:ARCHIVADOR AEREO DE DOS CUERPOS Estado: Bueno Placa anterior: 000033115 Material: MADERA EN FORMICA Color: WENGUE Y BLANCO Referencia:  Observacion:  Placa padre:  Tipo adquisicion : Entidad</v>
      </c>
      <c r="G14900" s="5"/>
    </row>
    <row r="14901" spans="1:7" ht="58.5" customHeight="1" x14ac:dyDescent="0.25">
      <c r="A14901" s="5" t="str">
        <f>"H0001847"</f>
        <v>H0001847</v>
      </c>
      <c r="B14901" s="5" t="str">
        <f>"MESA PUENTE (ALIMENTACION) (INSTRUMENTAL)"</f>
        <v>MESA PUENTE (ALIMENTACION) (INSTRUMENTAL)</v>
      </c>
      <c r="C14901" s="6">
        <v>180000</v>
      </c>
      <c r="D14901" s="5" t="s">
        <v>63</v>
      </c>
      <c r="E14901" s="5" t="str">
        <f t="shared" si="767"/>
        <v>ACTISALUD-PISO 12 ALA A-EDGAR NARVAEZ</v>
      </c>
      <c r="F14901" s="5" t="str">
        <f>"Descripcion:MESA PUENTE (DONACION ESTIPULADA EN EL CONTRATO 190/2015) Estado: Excelente Placa anterior: 000036911 Material: METALICA CON MESON EN FORMICA Color: BEIGE CON MADERA CLARO Referencia:  Observacion:  Placa padre:  Tipo adquisicion : Donacion"</f>
        <v>Descripcion:MESA PUENTE (DONACION ESTIPULADA EN EL CONTRATO 190/2015) Estado: Excelente Placa anterior: 000036911 Material: METALICA CON MESON EN FORMICA Color: BEIGE CON MADERA CLARO Referencia:  Observacion:  Placa padre:  Tipo adquisicion : Donacion</v>
      </c>
      <c r="G14901" s="5"/>
    </row>
    <row r="14902" spans="1:7" ht="58.5" customHeight="1" x14ac:dyDescent="0.25">
      <c r="A14902" s="5" t="str">
        <f>"H0001848"</f>
        <v>H0001848</v>
      </c>
      <c r="B14902" s="5" t="str">
        <f>"MESA (CARRO) DE CURACIONES"</f>
        <v>MESA (CARRO) DE CURACIONES</v>
      </c>
      <c r="C14902" s="6">
        <v>300000</v>
      </c>
      <c r="D14902" s="5" t="s">
        <v>147</v>
      </c>
      <c r="E14902" s="5" t="str">
        <f t="shared" si="767"/>
        <v>ACTISALUD-PISO 12 ALA A-EDGAR NARVAEZ</v>
      </c>
      <c r="F14902" s="5" t="str">
        <f>"Descripcion:MESA AUXILIARCARRO DE CURACIONES METALICO Estado: Excelente Placa anterior: 000037625 Material: METALICA CON UN ENTREPAÑO EN ACERO INOX. Color: BLANCA Referencia:  Observacion:  Placa padre:  Tipo adquisicion : Donacion"</f>
        <v>Descripcion:MESA AUXILIARCARRO DE CURACIONES METALICO Estado: Excelente Placa anterior: 000037625 Material: METALICA CON UN ENTREPAÑO EN ACERO INOX. Color: BLANCA Referencia:  Observacion:  Placa padre:  Tipo adquisicion : Donacion</v>
      </c>
      <c r="G14902" s="5"/>
    </row>
    <row r="14903" spans="1:7" ht="58.5" customHeight="1" x14ac:dyDescent="0.25">
      <c r="A14903" s="5" t="str">
        <f>"H0001849"</f>
        <v>H0001849</v>
      </c>
      <c r="B14903" s="5" t="str">
        <f>"MESA DE NOCHE"</f>
        <v>MESA DE NOCHE</v>
      </c>
      <c r="C14903" s="6">
        <v>310000</v>
      </c>
      <c r="D14903" s="5" t="s">
        <v>63</v>
      </c>
      <c r="E14903" s="5" t="str">
        <f t="shared" si="767"/>
        <v>ACTISALUD-PISO 12 ALA A-EDGAR NARVAEZ</v>
      </c>
      <c r="F14903" s="5" t="str">
        <f>"Descripcion:MESA DE NOCHE (DONACION ESTIPULADA EN EL CONTRATO 190/2015) Estado: Excelente Placa anterior: 000037104 Material: METALICA CON MESON EN FORMICA Color: BEIGE CON MADERA CLARO Referencia:  Observacion:  Placa padre:  Tipo adquisicion : Donacion"</f>
        <v>Descripcion:MESA DE NOCHE (DONACION ESTIPULADA EN EL CONTRATO 190/2015) Estado: Excelente Placa anterior: 000037104 Material: METALICA CON MESON EN FORMICA Color: BEIGE CON MADERA CLARO Referencia:  Observacion:  Placa padre:  Tipo adquisicion : Donacion</v>
      </c>
      <c r="G14903" s="5"/>
    </row>
    <row r="14904" spans="1:7" ht="58.5" customHeight="1" x14ac:dyDescent="0.25">
      <c r="A14904" s="5" t="str">
        <f>"H0001852"</f>
        <v>H0001852</v>
      </c>
      <c r="B14904" s="5" t="str">
        <f>"PATO (COPROLOGICO) MUJER"</f>
        <v>PATO (COPROLOGICO) MUJER</v>
      </c>
      <c r="C14904" s="6">
        <v>121914</v>
      </c>
      <c r="D14904" s="5"/>
      <c r="E14904" s="5" t="str">
        <f t="shared" si="767"/>
        <v>ACTISALUD-PISO 12 ALA A-EDGAR NARVAEZ</v>
      </c>
      <c r="F14904" s="5" t="str">
        <f>"Descripcion:PATO (COPROLOGICO) MUJER Estado: Excelente Placa anterior: 000037617 Material: ACERO INOXIDABLE Color:  Referencia:  Observacion: AUTORIZADO CONCILIAR EN CRUCE GENERAL Placa padre:  Tipo adquisicion : Entidad"</f>
        <v>Descripcion:PATO (COPROLOGICO) MUJER Estado: Excelente Placa anterior: 000037617 Material: ACERO INOXIDABLE Color:  Referencia:  Observacion: AUTORIZADO CONCILIAR EN CRUCE GENERAL Placa padre:  Tipo adquisicion : Entidad</v>
      </c>
      <c r="G14904" s="5"/>
    </row>
    <row r="14905" spans="1:7" ht="58.5" customHeight="1" x14ac:dyDescent="0.25">
      <c r="A14905" s="5" t="str">
        <f>"H0001853"</f>
        <v>H0001853</v>
      </c>
      <c r="B14905" s="5" t="str">
        <f>"RIÑONERA HOSPITALARIA EN ACERO INOXIDABLE"</f>
        <v>RIÑONERA HOSPITALARIA EN ACERO INOXIDABLE</v>
      </c>
      <c r="C14905" s="6">
        <v>28160</v>
      </c>
      <c r="D14905" s="5"/>
      <c r="E14905" s="5" t="str">
        <f t="shared" si="767"/>
        <v>ACTISALUD-PISO 12 ALA A-EDGAR NARVAEZ</v>
      </c>
      <c r="F14905" s="5" t="str">
        <f>"Descripcion:RIÑONERA HOSPITALARIA EN ACERO INOXIDABLE Estado: Excelente Placa anterior: 000037615 Material: ACERO INOXIDABLE Color:  Referencia:  Observacion: AUTORIZADO CONCILIAR EN CRUCE GENERAL Placa padre:  Tipo adquisicion : Entidad"</f>
        <v>Descripcion:RIÑONERA HOSPITALARIA EN ACERO INOXIDABLE Estado: Excelente Placa anterior: 000037615 Material: ACERO INOXIDABLE Color:  Referencia:  Observacion: AUTORIZADO CONCILIAR EN CRUCE GENERAL Placa padre:  Tipo adquisicion : Entidad</v>
      </c>
      <c r="G14905" s="5"/>
    </row>
    <row r="14906" spans="1:7" ht="58.5" customHeight="1" x14ac:dyDescent="0.25">
      <c r="A14906" s="5" t="str">
        <f>"H0001855"</f>
        <v>H0001855</v>
      </c>
      <c r="B14906" s="5" t="str">
        <f>"AIRE ACONDICIONADO TIPO SPLIT 12000 BTU"</f>
        <v>AIRE ACONDICIONADO TIPO SPLIT 12000 BTU</v>
      </c>
      <c r="C14906" s="6">
        <v>1836280</v>
      </c>
      <c r="D14906" s="5" t="s">
        <v>146</v>
      </c>
      <c r="E14906" s="5" t="str">
        <f t="shared" si="767"/>
        <v>ACTISALUD-PISO 12 ALA A-EDGAR NARVAEZ</v>
      </c>
      <c r="F14906" s="5" t="str">
        <f>"Descripcion:AIRE ACONDICIONADO CAPACIDAD 12.000 BTU Equipo tipo mini split consola de lujo con control remoto y uso refrigerante ecologico Sistema inverter Debe incluir display para ser monitoreado por sistema central Estado: Excelente Placa anterior: 000"&amp; "036359 Material: LG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Excelente Placa anterior: 000036359 Material: LG Color: BLANCO Referencia:  Observacion:  Placa padre:  Tipo adquisicion : Entidad</v>
      </c>
      <c r="G14906" s="5"/>
    </row>
    <row r="14907" spans="1:7" ht="58.5" customHeight="1" x14ac:dyDescent="0.25">
      <c r="A14907" s="5" t="str">
        <f>"H0001856"</f>
        <v>H0001856</v>
      </c>
      <c r="B14907" s="5" t="str">
        <f>"DIVISION (PANEL) MODULAR"</f>
        <v>DIVISION (PANEL) MODULAR</v>
      </c>
      <c r="C14907" s="6">
        <v>980000</v>
      </c>
      <c r="D14907" s="5" t="s">
        <v>3</v>
      </c>
      <c r="E14907" s="5" t="str">
        <f t="shared" si="767"/>
        <v>ACTISALUD-PISO 12 ALA A-EDGAR NARVAEZ</v>
      </c>
      <c r="F14907" s="5" t="str">
        <f>"Descripcion:DIVISION MODULAR PUERTA CORREDIZA MEDIDAS: 220X233CM Estado: Excelente Placa anterior:  Material: METALICA CON VIDRIO Color: GRIS Referencia:  Observacion:  Placa padre:  Tipo adquisicion : Entidad"</f>
        <v>Descripcion:DIVISION MODULAR PUERTA CORREDIZA MEDIDAS: 220X233CM Estado: Excelente Placa anterior:  Material: METALICA CON VIDRIO Color: GRIS Referencia:  Observacion:  Placa padre:  Tipo adquisicion : Entidad</v>
      </c>
      <c r="G14907" s="5"/>
    </row>
    <row r="14908" spans="1:7" ht="58.5" customHeight="1" x14ac:dyDescent="0.25">
      <c r="A14908" s="5" t="str">
        <f>"H0001858"</f>
        <v>H0001858</v>
      </c>
      <c r="B14908" s="5" t="str">
        <f>"MESA PUENTE (ALIMENTACION) (INSTRUMENTAL)"</f>
        <v>MESA PUENTE (ALIMENTACION) (INSTRUMENTAL)</v>
      </c>
      <c r="C14908" s="6">
        <v>180000</v>
      </c>
      <c r="D14908" s="5" t="s">
        <v>63</v>
      </c>
      <c r="E14908" s="5" t="str">
        <f t="shared" si="767"/>
        <v>ACTISALUD-PISO 12 ALA A-EDGAR NARVAEZ</v>
      </c>
      <c r="F14908" s="5" t="str">
        <f>"Descripcion:MESA PUENTE (DONACION ESTIPULADA EN EL CONTRATO 190/2015) Estado: Excelente Placa anterior: 000037190 Material: METALICO CON MESON EN FORMICA Color: BEIGE CON MADERA CLARO Referencia:  Observacion:  Placa padre:  Tipo adquisicion : Donacion"</f>
        <v>Descripcion:MESA PUENTE (DONACION ESTIPULADA EN EL CONTRATO 190/2015) Estado: Excelente Placa anterior: 000037190 Material: METALICO CON MESON EN FORMICA Color: BEIGE CON MADERA CLARO Referencia:  Observacion:  Placa padre:  Tipo adquisicion : Donacion</v>
      </c>
      <c r="G14908" s="5"/>
    </row>
    <row r="14909" spans="1:7" ht="58.5" customHeight="1" x14ac:dyDescent="0.25">
      <c r="A14909" s="5" t="str">
        <f>"H0001860"</f>
        <v>H0001860</v>
      </c>
      <c r="B14909" s="5" t="str">
        <f>"MESA DE NOCHE"</f>
        <v>MESA DE NOCHE</v>
      </c>
      <c r="C14909" s="6">
        <v>310000</v>
      </c>
      <c r="D14909" s="5" t="s">
        <v>63</v>
      </c>
      <c r="E14909" s="5" t="str">
        <f t="shared" si="767"/>
        <v>ACTISALUD-PISO 12 ALA A-EDGAR NARVAEZ</v>
      </c>
      <c r="F14909" s="5" t="str">
        <f>"Descripcion:MESA DE NOCHE (DONACION ESTIPULADA EN EL CONTRATO 190/2015) Estado: Excelente Placa anterior: 000037057 Material: METALICO CON MESON EN FORMICA Color: BEIGE CON MADERA CLARO Referencia:  Observacion:  Placa padre:  Tipo adquisicion : Donacion"</f>
        <v>Descripcion:MESA DE NOCHE (DONACION ESTIPULADA EN EL CONTRATO 190/2015) Estado: Excelente Placa anterior: 000037057 Material: METALICO CON MESON EN FORMICA Color: BEIGE CON MADERA CLARO Referencia:  Observacion:  Placa padre:  Tipo adquisicion : Donacion</v>
      </c>
      <c r="G14909" s="5"/>
    </row>
    <row r="14910" spans="1:7" ht="58.5" customHeight="1" x14ac:dyDescent="0.25">
      <c r="A14910" s="5" t="str">
        <f>"H0001861"</f>
        <v>H0001861</v>
      </c>
      <c r="B14910" s="5" t="str">
        <f>"ESCALERILLA DE 2 PASOS"</f>
        <v>ESCALERILLA DE 2 PASOS</v>
      </c>
      <c r="C14910" s="6">
        <v>60000</v>
      </c>
      <c r="D14910" s="5" t="s">
        <v>63</v>
      </c>
      <c r="E14910" s="5" t="str">
        <f t="shared" si="767"/>
        <v>ACTISALUD-PISO 12 ALA A-EDGAR NARVAEZ</v>
      </c>
      <c r="F14910" s="5" t="str">
        <f>"Descripcion:ESCALERILLAS (DONACION ESTIPULADA EN EL CONTRATO 190/2015 IMPORTADORA MEDICA LOS ANDES) Estado: Excelente Placa anterior: 000037184 Material: METALICA CON PASOS EN MADERA Color: NEGRO Referencia:  Observacion:  Placa padre:  Tipo adquisicion :"&amp; " Donacion"</f>
        <v>Descripcion:ESCALERILLAS (DONACION ESTIPULADA EN EL CONTRATO 190/2015 IMPORTADORA MEDICA LOS ANDES) Estado: Excelente Placa anterior: 000037184 Material: METALICA CON PASOS EN MADERA Color: NEGRO Referencia:  Observacion:  Placa padre:  Tipo adquisicion : Donacion</v>
      </c>
      <c r="G14910" s="5"/>
    </row>
    <row r="14911" spans="1:7" ht="58.5" customHeight="1" x14ac:dyDescent="0.25">
      <c r="A14911" s="5" t="str">
        <f>"H0001863"</f>
        <v>H0001863</v>
      </c>
      <c r="B14911" s="5" t="str">
        <f>"PATO (COPROLOGICO) MUJER"</f>
        <v>PATO (COPROLOGICO) MUJER</v>
      </c>
      <c r="C14911" s="6">
        <v>121914</v>
      </c>
      <c r="D14911" s="5"/>
      <c r="E14911" s="5" t="str">
        <f t="shared" si="767"/>
        <v>ACTISALUD-PISO 12 ALA A-EDGAR NARVAEZ</v>
      </c>
      <c r="F14911" s="5" t="str">
        <f>"Descripcion:PATO (COPROLOGICO) MUJER Estado: Excelente Placa anterior: 000037619 Material: ACERO INOXIDABLE Color:  Referencia:  Observacion: AUTORIZADO CONCILIAR EN CRUCE GENERAL Placa padre:  Tipo adquisicion : Entidad"</f>
        <v>Descripcion:PATO (COPROLOGICO) MUJER Estado: Excelente Placa anterior: 000037619 Material: ACERO INOXIDABLE Color:  Referencia:  Observacion: AUTORIZADO CONCILIAR EN CRUCE GENERAL Placa padre:  Tipo adquisicion : Entidad</v>
      </c>
      <c r="G14911" s="5"/>
    </row>
    <row r="14912" spans="1:7" ht="58.5" customHeight="1" x14ac:dyDescent="0.25">
      <c r="A14912" s="5" t="str">
        <f>"H0001864"</f>
        <v>H0001864</v>
      </c>
      <c r="B14912" s="5" t="str">
        <f>"RIÑONERA HOSPITALARIA EN ACERO INOXIDABLE"</f>
        <v>RIÑONERA HOSPITALARIA EN ACERO INOXIDABLE</v>
      </c>
      <c r="C14912" s="6">
        <v>28160</v>
      </c>
      <c r="D14912" s="5"/>
      <c r="E14912" s="5" t="str">
        <f t="shared" si="767"/>
        <v>ACTISALUD-PISO 12 ALA A-EDGAR NARVAEZ</v>
      </c>
      <c r="F14912" s="5" t="str">
        <f>"Descripcion:RIÑONERA HOSPITALARIA EN ACERO INOXIDABLE Estado: Excelente Placa anterior: 000037616 Material: ACERO INOXIDABLE Color:  Referencia:  Observacion: AUTORIZADO CONCILIAR EN CRUCE GENERAL Placa padre:  Tipo adquisicion : Entidad"</f>
        <v>Descripcion:RIÑONERA HOSPITALARIA EN ACERO INOXIDABLE Estado: Excelente Placa anterior: 000037616 Material: ACERO INOXIDABLE Color:  Referencia:  Observacion: AUTORIZADO CONCILIAR EN CRUCE GENERAL Placa padre:  Tipo adquisicion : Entidad</v>
      </c>
      <c r="G14912" s="5"/>
    </row>
    <row r="14913" spans="1:7" ht="58.5" customHeight="1" x14ac:dyDescent="0.25">
      <c r="A14913" s="5" t="str">
        <f>"H0001865"</f>
        <v>H0001865</v>
      </c>
      <c r="B14913" s="5" t="str">
        <f>"PATO (PISINGO) HOMBRE"</f>
        <v>PATO (PISINGO) HOMBRE</v>
      </c>
      <c r="C14913" s="6">
        <v>76840</v>
      </c>
      <c r="D14913" s="5"/>
      <c r="E14913" s="5" t="str">
        <f t="shared" si="767"/>
        <v>ACTISALUD-PISO 12 ALA A-EDGAR NARVAEZ</v>
      </c>
      <c r="F14913" s="5" t="str">
        <f>"Descripcion:PATO (PISINGO) HOMBRE Estado: Excelente Placa anterior: 000037612 Material: ACERO INOXIDABLE Color:  Referencia:  Observacion:  Placa padre:  Tipo adquisicion : Entidad"</f>
        <v>Descripcion:PATO (PISINGO) HOMBRE Estado: Excelente Placa anterior: 000037612 Material: ACERO INOXIDABLE Color:  Referencia:  Observacion:  Placa padre:  Tipo adquisicion : Entidad</v>
      </c>
      <c r="G14913" s="5"/>
    </row>
    <row r="14914" spans="1:7" ht="58.5" customHeight="1" x14ac:dyDescent="0.25">
      <c r="A14914" s="5" t="str">
        <f>"H0001866"</f>
        <v>H0001866</v>
      </c>
      <c r="B14914" s="5" t="str">
        <f>"AIRE ACONDICIONADO TIPO SPLIT 12000 BTU"</f>
        <v>AIRE ACONDICIONADO TIPO SPLIT 12000 BTU</v>
      </c>
      <c r="C14914" s="6">
        <v>1836280</v>
      </c>
      <c r="D14914" s="5" t="s">
        <v>146</v>
      </c>
      <c r="E14914" s="5" t="str">
        <f t="shared" si="767"/>
        <v>ACTISALUD-PISO 12 ALA A-EDGAR NARVAEZ</v>
      </c>
      <c r="F14914" s="5" t="str">
        <f>"Descripcion:AIRE ACONDICIONADO CAPACIDAD 12.000 BTU Equipo tipo mini split consola de lujo con control remoto y uso refrigerante ecologico Sistema inverter Debe incluir display para ser monitoreado por sistema central Estado: Excelente Placa anterior: 000"&amp; "036358 Material: PLASTICO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Excelente Placa anterior: 000036358 Material: PLASTICO  Color: BLANCO  Referencia:  Observacion:  Placa padre:  Tipo adquisicion : Entidad</v>
      </c>
      <c r="G14914" s="5" t="str">
        <f>"INVERTER V"</f>
        <v>INVERTER V</v>
      </c>
    </row>
    <row r="14915" spans="1:7" ht="58.5" customHeight="1" x14ac:dyDescent="0.25">
      <c r="A14915" s="5" t="str">
        <f>"H0001867"</f>
        <v>H0001867</v>
      </c>
      <c r="B14915" s="5" t="str">
        <f>"DIVISION (PANEL) MODULAR"</f>
        <v>DIVISION (PANEL) MODULAR</v>
      </c>
      <c r="C14915" s="6">
        <v>980000</v>
      </c>
      <c r="D14915" s="5" t="s">
        <v>3</v>
      </c>
      <c r="E14915" s="5" t="str">
        <f t="shared" si="767"/>
        <v>ACTISALUD-PISO 12 ALA A-EDGAR NARVAEZ</v>
      </c>
      <c r="F14915" s="5" t="str">
        <f>"Descripcion:DIVISION MODULAR PUERTA CORREDIZA MEDIDAS: 220X233CM Estado: Excelente Placa anterior:  Material: ALUMINIO Y VIDRIO Color: GRIS Referencia:  Observacion:  Placa padre:  Tipo adquisicion : Entidad"</f>
        <v>Descripcion:DIVISION MODULAR PUERTA CORREDIZA MEDIDAS: 220X233CM Estado: Excelente Placa anterior:  Material: ALUMINIO Y VIDRIO Color: GRIS Referencia:  Observacion:  Placa padre:  Tipo adquisicion : Entidad</v>
      </c>
      <c r="G14915" s="5"/>
    </row>
    <row r="14916" spans="1:7" ht="58.5" customHeight="1" x14ac:dyDescent="0.25">
      <c r="A14916" s="5" t="str">
        <f>"H0001872"</f>
        <v>H0001872</v>
      </c>
      <c r="B14916" s="5" t="str">
        <f>"MESA (CARRO) DE CURACIONES"</f>
        <v>MESA (CARRO) DE CURACIONES</v>
      </c>
      <c r="C14916" s="6">
        <v>300000</v>
      </c>
      <c r="D14916" s="5" t="s">
        <v>147</v>
      </c>
      <c r="E14916" s="5" t="str">
        <f t="shared" si="767"/>
        <v>ACTISALUD-PISO 12 ALA A-EDGAR NARVAEZ</v>
      </c>
      <c r="F14916" s="5" t="str">
        <f>"Descripcion:MESA AUXILIARCARRO DE CURACIONES Estado: Excelente Placa anterior: 000037624 Material: METALICA CON UN ENTREPAÑO EN ACERO INOX. Color: BLANCO Referencia:  Observacion:  Placa padre:  Tipo adquisicion : Donacion"</f>
        <v>Descripcion:MESA AUXILIARCARRO DE CURACIONES Estado: Excelente Placa anterior: 000037624 Material: METALICA CON UN ENTREPAÑO EN ACERO INOX. Color: BLANCO Referencia:  Observacion:  Placa padre:  Tipo adquisicion : Donacion</v>
      </c>
      <c r="G14916" s="5"/>
    </row>
    <row r="14917" spans="1:7" ht="58.5" customHeight="1" x14ac:dyDescent="0.25">
      <c r="A14917" s="5" t="str">
        <f>"H0001873"</f>
        <v>H0001873</v>
      </c>
      <c r="B14917" s="5" t="str">
        <f>"MESA DE NOCHE"</f>
        <v>MESA DE NOCHE</v>
      </c>
      <c r="C14917" s="6">
        <v>310000</v>
      </c>
      <c r="D14917" s="5" t="s">
        <v>63</v>
      </c>
      <c r="E14917" s="5" t="str">
        <f t="shared" si="767"/>
        <v>ACTISALUD-PISO 12 ALA A-EDGAR NARVAEZ</v>
      </c>
      <c r="F14917" s="5" t="str">
        <f>"Descripcion:MESA DE NOCHE (DONACION ESTIPULADA EN EL CONTRATO 190/2015) Estado: Excelente Placa anterior: 000037237 Material: METALICA CON MESON EN FORMICA Color: BEIGE CON MADERA CLARO Referencia:  Observacion:  Placa padre:  Tipo adquisicion : Donacion"</f>
        <v>Descripcion:MESA DE NOCHE (DONACION ESTIPULADA EN EL CONTRATO 190/2015) Estado: Excelente Placa anterior: 000037237 Material: METALICA CON MESON EN FORMICA Color: BEIGE CON MADERA CLARO Referencia:  Observacion:  Placa padre:  Tipo adquisicion : Donacion</v>
      </c>
      <c r="G14917" s="5"/>
    </row>
    <row r="14918" spans="1:7" ht="58.5" customHeight="1" x14ac:dyDescent="0.25">
      <c r="A14918" s="5" t="str">
        <f>"H0001876"</f>
        <v>H0001876</v>
      </c>
      <c r="B14918" s="5" t="str">
        <f>"PATO (COPROLOGICO) MUJER"</f>
        <v>PATO (COPROLOGICO) MUJER</v>
      </c>
      <c r="C14918" s="6">
        <v>121914</v>
      </c>
      <c r="D14918" s="5"/>
      <c r="E14918" s="5" t="str">
        <f t="shared" si="767"/>
        <v>ACTISALUD-PISO 12 ALA A-EDGAR NARVAEZ</v>
      </c>
      <c r="F14918" s="5" t="str">
        <f>"Descripcion:PATO (COPROLOGICO) MUJER Estado: Excelente Placa anterior: 000037620 Material: ACERO INOXIDABLE Color:  Referencia:  Observacion: AUTORIZADO CONCILIAR EN CRUCE GENERAL Placa padre:  Tipo adquisicion : Entidad"</f>
        <v>Descripcion:PATO (COPROLOGICO) MUJER Estado: Excelente Placa anterior: 000037620 Material: ACERO INOXIDABLE Color:  Referencia:  Observacion: AUTORIZADO CONCILIAR EN CRUCE GENERAL Placa padre:  Tipo adquisicion : Entidad</v>
      </c>
      <c r="G14918" s="5"/>
    </row>
    <row r="14919" spans="1:7" ht="58.5" customHeight="1" x14ac:dyDescent="0.25">
      <c r="A14919" s="5" t="str">
        <f>"H0001877"</f>
        <v>H0001877</v>
      </c>
      <c r="B14919" s="5" t="str">
        <f>"RIÑONERA HOSPITALARIA EN ACERO INOXIDABLE"</f>
        <v>RIÑONERA HOSPITALARIA EN ACERO INOXIDABLE</v>
      </c>
      <c r="C14919" s="6">
        <v>28160</v>
      </c>
      <c r="D14919" s="5"/>
      <c r="E14919" s="5" t="str">
        <f t="shared" si="767"/>
        <v>ACTISALUD-PISO 12 ALA A-EDGAR NARVAEZ</v>
      </c>
      <c r="F14919" s="5" t="str">
        <f>"Descripcion:RIÑONERA HOSPITALARIA EN ACERO INOXIDABLE Estado: Excelente Placa anterior: 000037613 Material: ACERO INOXIDABLE Color:  Referencia:  Observacion: AUTORIZADO CONCILIAR EN CRUCE GENERAL Placa padre:  Tipo adquisicion : Entidad"</f>
        <v>Descripcion:RIÑONERA HOSPITALARIA EN ACERO INOXIDABLE Estado: Excelente Placa anterior: 000037613 Material: ACERO INOXIDABLE Color:  Referencia:  Observacion: AUTORIZADO CONCILIAR EN CRUCE GENERAL Placa padre:  Tipo adquisicion : Entidad</v>
      </c>
      <c r="G14919" s="5"/>
    </row>
    <row r="14920" spans="1:7" ht="58.5" customHeight="1" x14ac:dyDescent="0.25">
      <c r="A14920" s="5" t="str">
        <f>"H0001878"</f>
        <v>H0001878</v>
      </c>
      <c r="B14920" s="5" t="str">
        <f>"PATO (PISINGO) HOMBRE"</f>
        <v>PATO (PISINGO) HOMBRE</v>
      </c>
      <c r="C14920" s="6">
        <v>76840</v>
      </c>
      <c r="D14920" s="5"/>
      <c r="E14920" s="5" t="str">
        <f t="shared" si="767"/>
        <v>ACTISALUD-PISO 12 ALA A-EDGAR NARVAEZ</v>
      </c>
      <c r="F14920" s="5" t="str">
        <f>"Descripcion:PATO (PISINGO) HOMBRE Estado: Excelente Placa anterior: 000037611 Material: ACERO INOXIDABLE Color:  Referencia:  Observacion: PATO PISINGO   Placa padre:  Tipo adquisicion : Entidad"</f>
        <v>Descripcion:PATO (PISINGO) HOMBRE Estado: Excelente Placa anterior: 000037611 Material: ACERO INOXIDABLE Color:  Referencia:  Observacion: PATO PISINGO   Placa padre:  Tipo adquisicion : Entidad</v>
      </c>
      <c r="G14920" s="5"/>
    </row>
    <row r="14921" spans="1:7" ht="58.5" customHeight="1" x14ac:dyDescent="0.25">
      <c r="A14921" s="5" t="str">
        <f>"H0001879"</f>
        <v>H0001879</v>
      </c>
      <c r="B14921" s="5" t="str">
        <f>"AIRE ACONDICIONADO TIPO SPLIT 12000 BTU"</f>
        <v>AIRE ACONDICIONADO TIPO SPLIT 12000 BTU</v>
      </c>
      <c r="C14921" s="6">
        <v>1836280</v>
      </c>
      <c r="D14921" s="5" t="s">
        <v>146</v>
      </c>
      <c r="E14921" s="5" t="str">
        <f t="shared" si="767"/>
        <v>ACTISALUD-PISO 12 ALA A-EDGAR NARVAEZ</v>
      </c>
      <c r="F14921" s="5" t="str">
        <f>"Descripcion:AIRE ACONDICIONADO CAPACIDAD 12.000 BTU Equipo tipo mini split consola de lujo con control remoto y uso refrigerante ecologico Sistema inverter Debe incluir display para ser monitoreado por sistema central Estado: Excelente Placa anterior: 000"&amp; "036357 Material: PLASTICO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Excelente Placa anterior: 000036357 Material: PLASTICO Color: BLANCO Referencia:  Observacion:  Placa padre:  Tipo adquisicion : Entidad</v>
      </c>
      <c r="G14921" s="5" t="str">
        <f>"INVERTER V"</f>
        <v>INVERTER V</v>
      </c>
    </row>
    <row r="14922" spans="1:7" ht="58.5" customHeight="1" x14ac:dyDescent="0.25">
      <c r="A14922" s="5" t="str">
        <f>"H0001880"</f>
        <v>H0001880</v>
      </c>
      <c r="B14922" s="5" t="str">
        <f>"DIVISION (PANEL) MODULAR"</f>
        <v>DIVISION (PANEL) MODULAR</v>
      </c>
      <c r="C14922" s="6">
        <v>980000</v>
      </c>
      <c r="D14922" s="5" t="s">
        <v>3</v>
      </c>
      <c r="E14922" s="5" t="str">
        <f t="shared" si="767"/>
        <v>ACTISALUD-PISO 12 ALA A-EDGAR NARVAEZ</v>
      </c>
      <c r="F14922" s="5" t="str">
        <f>"Descripcion:DIVISION MODULAR PUERTA CORREDIZA MEDIDAS: 220X233CM Estado: Excelente Placa anterior:  Material: ALUMINIO Y VIDRIO Color: GRIS Referencia:  Observacion:  Placa padre:  Tipo adquisicion : Entidad"</f>
        <v>Descripcion:DIVISION MODULAR PUERTA CORREDIZA MEDIDAS: 220X233CM Estado: Excelente Placa anterior:  Material: ALUMINIO Y VIDRIO Color: GRIS Referencia:  Observacion:  Placa padre:  Tipo adquisicion : Entidad</v>
      </c>
      <c r="G14922" s="5"/>
    </row>
    <row r="14923" spans="1:7" ht="58.5" customHeight="1" x14ac:dyDescent="0.25">
      <c r="A14923" s="5" t="str">
        <f>"H0001882"</f>
        <v>H0001882</v>
      </c>
      <c r="B14923" s="5" t="str">
        <f>"GABINETE CONTRA INCENDIO"</f>
        <v>GABINETE CONTRA INCENDIO</v>
      </c>
      <c r="C14923" s="6">
        <v>171000</v>
      </c>
      <c r="D14923" s="5"/>
      <c r="E14923" s="5" t="str">
        <f t="shared" si="767"/>
        <v>ACTISALUD-PISO 12 ALA A-EDGAR NARVAEZ</v>
      </c>
      <c r="F14923" s="5" t="str">
        <f>"Descripcion:GABINETE CONTRA INCENDIO. CONTIENE: EXTINTOR AMARILLO ABC, MANGUERA Y HACHA. Estado: Bueno Placa anterior: 000019074 Material: METALICO CON VIDRIO Color: ROJO Referencia:  Observacion:  Placa padre:  Tipo adquisicion : Entidad"</f>
        <v>Descripcion:GABINETE CONTRA INCENDIO. CONTIENE: EXTINTOR AMARILLO ABC, MANGUERA Y HACHA. Estado: Bueno Placa anterior: 000019074 Material: METALICO CON VIDRIO Color: ROJO Referencia:  Observacion:  Placa padre:  Tipo adquisicion : Entidad</v>
      </c>
      <c r="G14923" s="5"/>
    </row>
    <row r="14924" spans="1:7" ht="58.5" customHeight="1" x14ac:dyDescent="0.25">
      <c r="A14924" s="5" t="str">
        <f>"H0001885"</f>
        <v>H0001885</v>
      </c>
      <c r="B14924" s="5" t="str">
        <f>"CAMA HOSPITALARIA ELECTRICA"</f>
        <v>CAMA HOSPITALARIA ELECTRICA</v>
      </c>
      <c r="C14924" s="6">
        <v>7110800</v>
      </c>
      <c r="D14924" s="5" t="s">
        <v>445</v>
      </c>
      <c r="E14924" s="5" t="str">
        <f t="shared" si="767"/>
        <v>ACTISALUD-PISO 12 ALA A-EDGAR NARVAEZ</v>
      </c>
      <c r="F14924" s="5" t="str">
        <f>"Descripcion:CAMA ELECTRICA FABRICADA EN TUBERIA DE ACERO, ESQUINAS REDONDEADAS O CON PROTECTORES PLASTICOS, SISTEMA ANTIATRAPAMIENTO, TENDIDO DE CUATRO PLANOS, ATRIL PORTASUEROS, CON RUEDAS CON SISTEMA DE FRENOS, BARANDAS DE SEGURIDAD-INCLUYE COLCHON HOSP"&amp; "ITALARIO AN Estado: Excelente Placa anterior: 000037581 Material: METALICO Color: BEIGE Referencia:  Observacion:  Placa padre:  Tipo adquisicion : Entidad"</f>
        <v>Descripcion:CAMA ELECTRICA FABRICADA EN TUBERIA DE ACERO, ESQUINAS REDONDEADAS O CON PROTECTORES PLASTICOS, SISTEMA ANTIATRAPAMIENTO, TENDIDO DE CUATRO PLANOS, ATRIL PORTASUEROS, CON RUEDAS CON SISTEMA DE FRENOS, BARANDAS DE SEGURIDAD-INCLUYE COLCHON HOSPITALARIO AN Estado: Excelente Placa anterior: 000037581 Material: METALICO Color: BEIGE Referencia:  Observacion:  Placa padre:  Tipo adquisicion : Entidad</v>
      </c>
      <c r="G14924" s="5"/>
    </row>
    <row r="14925" spans="1:7" ht="58.5" customHeight="1" x14ac:dyDescent="0.25">
      <c r="A14925" s="5" t="str">
        <f>"H0001887"</f>
        <v>H0001887</v>
      </c>
      <c r="B14925" s="5" t="str">
        <f>"ESCALERILLA DE 2 PASOS"</f>
        <v>ESCALERILLA DE 2 PASOS</v>
      </c>
      <c r="C14925" s="6">
        <v>60000</v>
      </c>
      <c r="D14925" s="5" t="s">
        <v>63</v>
      </c>
      <c r="E14925" s="5" t="str">
        <f t="shared" si="767"/>
        <v>ACTISALUD-PISO 12 ALA A-EDGAR NARVAEZ</v>
      </c>
      <c r="F14925" s="5" t="str">
        <f>"Descripcion:ESCALERILLAS (DONACION ESTIPULADA EN EL CONTRATO 190/2015 IMPORTADORA MEDICA LOS ANDES) Estado: Excelente Placa anterior: 000037256 Material: METALICO CON PASOS EN MADERA  Color: NEGRO Referencia:  Observacion:  Placa padre:  Tipo adquisicion "&amp; ": Donacion"</f>
        <v>Descripcion:ESCALERILLAS (DONACION ESTIPULADA EN EL CONTRATO 190/2015 IMPORTADORA MEDICA LOS ANDES) Estado: Excelente Placa anterior: 000037256 Material: METALICO CON PASOS EN MADERA  Color: NEGRO Referencia:  Observacion:  Placa padre:  Tipo adquisicion : Donacion</v>
      </c>
      <c r="G14925" s="5"/>
    </row>
    <row r="14926" spans="1:7" ht="58.5" customHeight="1" x14ac:dyDescent="0.25">
      <c r="A14926" s="5" t="str">
        <f>"H0001888"</f>
        <v>H0001888</v>
      </c>
      <c r="B14926" s="5" t="str">
        <f>"MESA DE NOCHE"</f>
        <v>MESA DE NOCHE</v>
      </c>
      <c r="C14926" s="6">
        <v>310000</v>
      </c>
      <c r="D14926" s="5" t="s">
        <v>63</v>
      </c>
      <c r="E14926" s="5" t="str">
        <f t="shared" si="767"/>
        <v>ACTISALUD-PISO 12 ALA A-EDGAR NARVAEZ</v>
      </c>
      <c r="F14926" s="5" t="str">
        <f>"Descripcion:MESA DE NOCHE (DONACION ESTIPULADA EN EL CONTRATO 190/2015) Estado: Excelente Placa anterior: 000037239 Material: METALICO CON MESON EN FORMICA Color: BEIGE CON MADERA CLARO Referencia:  Observacion:  Placa padre:  Tipo adquisicion : Donacion"</f>
        <v>Descripcion:MESA DE NOCHE (DONACION ESTIPULADA EN EL CONTRATO 190/2015) Estado: Excelente Placa anterior: 000037239 Material: METALICO CON MESON EN FORMICA Color: BEIGE CON MADERA CLARO Referencia:  Observacion:  Placa padre:  Tipo adquisicion : Donacion</v>
      </c>
      <c r="G14926" s="5"/>
    </row>
    <row r="14927" spans="1:7" ht="58.5" customHeight="1" x14ac:dyDescent="0.25">
      <c r="A14927" s="5" t="str">
        <f>"H0001889"</f>
        <v>H0001889</v>
      </c>
      <c r="B14927" s="5" t="str">
        <f>"PATO (COPROLOGICO) MUJER"</f>
        <v>PATO (COPROLOGICO) MUJER</v>
      </c>
      <c r="C14927" s="6">
        <v>121914</v>
      </c>
      <c r="D14927" s="5"/>
      <c r="E14927" s="5" t="str">
        <f t="shared" si="767"/>
        <v>ACTISALUD-PISO 12 ALA A-EDGAR NARVAEZ</v>
      </c>
      <c r="F14927" s="5" t="str">
        <f>"Descripcion:PATO COPROLOGICO Estado: Excelente Placa anterior: 000037618 Material: ACERO INOXIDABLE Color:  Referencia:  Observacion:  Placa padre:  Tipo adquisicion : Donacion"</f>
        <v>Descripcion:PATO COPROLOGICO Estado: Excelente Placa anterior: 000037618 Material: ACERO INOXIDABLE Color:  Referencia:  Observacion:  Placa padre:  Tipo adquisicion : Donacion</v>
      </c>
      <c r="G14927" s="5"/>
    </row>
    <row r="14928" spans="1:7" ht="58.5" customHeight="1" x14ac:dyDescent="0.25">
      <c r="A14928" s="5" t="str">
        <f>"H0001890"</f>
        <v>H0001890</v>
      </c>
      <c r="B14928" s="5" t="str">
        <f>"RIÑONERA HOSPITALARIA EN ACERO INOXIDABLE"</f>
        <v>RIÑONERA HOSPITALARIA EN ACERO INOXIDABLE</v>
      </c>
      <c r="C14928" s="6">
        <v>28160</v>
      </c>
      <c r="D14928" s="5"/>
      <c r="E14928" s="5" t="str">
        <f t="shared" si="767"/>
        <v>ACTISALUD-PISO 12 ALA A-EDGAR NARVAEZ</v>
      </c>
      <c r="F14928" s="5" t="str">
        <f>"Descripcion:RIÑONERA Estado: Excelente Placa anterior: 000037614 Material: ACERO INOXIDABLE Color:  Referencia:  Observacion:  Placa padre:  Tipo adquisicion : Donacion"</f>
        <v>Descripcion:RIÑONERA Estado: Excelente Placa anterior: 000037614 Material: ACERO INOXIDABLE Color:  Referencia:  Observacion:  Placa padre:  Tipo adquisicion : Donacion</v>
      </c>
      <c r="G14928" s="5"/>
    </row>
    <row r="14929" spans="1:7" ht="58.5" customHeight="1" x14ac:dyDescent="0.25">
      <c r="A14929" s="5" t="str">
        <f>"H0001891"</f>
        <v>H0001891</v>
      </c>
      <c r="B14929" s="5" t="str">
        <f>"PATO (PISINGO) HOMBRE"</f>
        <v>PATO (PISINGO) HOMBRE</v>
      </c>
      <c r="C14929" s="6">
        <v>76840</v>
      </c>
      <c r="D14929" s="5"/>
      <c r="E14929" s="5" t="str">
        <f t="shared" si="767"/>
        <v>ACTISALUD-PISO 12 ALA A-EDGAR NARVAEZ</v>
      </c>
      <c r="F14929" s="5" t="str">
        <f>"Descripcion:PATO PISINGO Estado: Excelente Placa anterior: 000037610 Material: ACERO INOXIDABLE Color:  Referencia:  Observacion:  Placa padre:  Tipo adquisicion : Donacion"</f>
        <v>Descripcion:PATO PISINGO Estado: Excelente Placa anterior: 000037610 Material: ACERO INOXIDABLE Color:  Referencia:  Observacion:  Placa padre:  Tipo adquisicion : Donacion</v>
      </c>
      <c r="G14929" s="5"/>
    </row>
    <row r="14930" spans="1:7" ht="58.5" customHeight="1" x14ac:dyDescent="0.25">
      <c r="A14930" s="5" t="str">
        <f>"H0001892"</f>
        <v>H0001892</v>
      </c>
      <c r="B14930" s="5" t="str">
        <f>"AIRE ACONDICIONADO TIPO SPLIT 12000 BTU"</f>
        <v>AIRE ACONDICIONADO TIPO SPLIT 12000 BTU</v>
      </c>
      <c r="C14930" s="6">
        <v>1836280</v>
      </c>
      <c r="D14930" s="5" t="s">
        <v>146</v>
      </c>
      <c r="E14930" s="5" t="str">
        <f t="shared" si="767"/>
        <v>ACTISALUD-PISO 12 ALA A-EDGAR NARVAEZ</v>
      </c>
      <c r="F14930" s="5" t="str">
        <f>"Descripcion:AIRE ACONDICIONADO CAPACIDAD 12.000 BTU Equipo tipo mini split consola de lujo con control remoto y uso refrigerante ecologico Sistema inverter Debe incluir display para ser monitoreado por sistema central Estado: Excelente Placa anterior: 000"&amp; "036356 Material: PLASTICO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Excelente Placa anterior: 000036356 Material: PLASTICO Color: BLANCO Referencia:  Observacion:  Placa padre:  Tipo adquisicion : Entidad</v>
      </c>
      <c r="G14930" s="5" t="str">
        <f>"INVERTER V"</f>
        <v>INVERTER V</v>
      </c>
    </row>
    <row r="14931" spans="1:7" ht="58.5" customHeight="1" x14ac:dyDescent="0.25">
      <c r="A14931" s="5" t="str">
        <f>"H0001894"</f>
        <v>H0001894</v>
      </c>
      <c r="B14931" s="5" t="str">
        <f>"DIVISION (PANEL) MODULAR"</f>
        <v>DIVISION (PANEL) MODULAR</v>
      </c>
      <c r="C14931" s="6">
        <v>980000</v>
      </c>
      <c r="D14931" s="5" t="s">
        <v>3</v>
      </c>
      <c r="E14931" s="5" t="str">
        <f t="shared" si="767"/>
        <v>ACTISALUD-PISO 12 ALA A-EDGAR NARVAEZ</v>
      </c>
      <c r="F14931" s="5" t="str">
        <f>"Descripcion:DIVISION MODULAR PUERTA CORREDIZA MEDIDAS: 220X233CM Estado: Excelente Placa anterior:  Material: METALICO CON VIDRIO Color: GRIS Referencia:  Observacion:  Placa padre:  Tipo adquisicion : Entidad"</f>
        <v>Descripcion:DIVISION MODULAR PUERTA CORREDIZA MEDIDAS: 220X233CM Estado: Excelente Placa anterior:  Material: METALICO CON VIDRIO Color: GRIS Referencia:  Observacion:  Placa padre:  Tipo adquisicion : Entidad</v>
      </c>
      <c r="G14931" s="5"/>
    </row>
    <row r="14932" spans="1:7" ht="58.5" customHeight="1" x14ac:dyDescent="0.25">
      <c r="A14932" s="5" t="str">
        <f>"H0001895"</f>
        <v>H0001895</v>
      </c>
      <c r="B14932" s="5" t="str">
        <f>"AIRE ACONDICIONADO TIPO SPLIT 12000 BTU"</f>
        <v>AIRE ACONDICIONADO TIPO SPLIT 12000 BTU</v>
      </c>
      <c r="C14932" s="6">
        <v>1836280</v>
      </c>
      <c r="D14932" s="5" t="s">
        <v>146</v>
      </c>
      <c r="E14932" s="5" t="str">
        <f t="shared" si="767"/>
        <v>ACTISALUD-PISO 12 ALA A-EDGAR NARVAEZ</v>
      </c>
      <c r="F14932" s="5" t="str">
        <f>"Descripcion:AIRE ACONDICIONADO CAPACIDAD 12.000 BTU Equipo tipo mini split consola de lujo con control remoto y uso refrigerante ecologico Sistema inverter Debe incluir display para ser monitoreado por sistema central Estado: Bueno Placa anterior: 0000363"&amp; "55 Material: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000036355 Material:  Color: BLANCO Referencia:  Observacion:  Placa padre:  Tipo adquisicion : Entidad</v>
      </c>
      <c r="G14932" s="5" t="str">
        <f>"INVERTER"</f>
        <v>INVERTER</v>
      </c>
    </row>
    <row r="14933" spans="1:7" ht="58.5" customHeight="1" x14ac:dyDescent="0.25">
      <c r="A14933" s="5" t="str">
        <f>"H0001897"</f>
        <v>H0001897</v>
      </c>
      <c r="B14933" s="5" t="str">
        <f>"DIVISION (PANEL) MODULAR"</f>
        <v>DIVISION (PANEL) MODULAR</v>
      </c>
      <c r="C14933" s="6">
        <v>980000</v>
      </c>
      <c r="D14933" s="5" t="s">
        <v>3</v>
      </c>
      <c r="E14933" s="5" t="str">
        <f t="shared" si="767"/>
        <v>ACTISALUD-PISO 12 ALA A-EDGAR NARVAEZ</v>
      </c>
      <c r="F14933" s="5" t="str">
        <f>"Descripcion:DIVISION MODULAR PUERTA CORREDIZA MEDIDAS: 220X233CM Estado: Excelente Placa anterior:  Material: METALICA CON VIDRIO Color: GRIS Referencia:  Observacion:  Placa padre:  Tipo adquisicion : Entidad"</f>
        <v>Descripcion:DIVISION MODULAR PUERTA CORREDIZA MEDIDAS: 220X233CM Estado: Excelente Placa anterior:  Material: METALICA CON VIDRIO Color: GRIS Referencia:  Observacion:  Placa padre:  Tipo adquisicion : Entidad</v>
      </c>
      <c r="G14933" s="5"/>
    </row>
    <row r="14934" spans="1:7" ht="58.5" customHeight="1" x14ac:dyDescent="0.25">
      <c r="A14934" s="5" t="str">
        <f>"H0001898"</f>
        <v>H0001898</v>
      </c>
      <c r="B14934" s="5" t="str">
        <f>"AIRE ACONDICIONADO TIPO SPLIT 12000 BTU"</f>
        <v>AIRE ACONDICIONADO TIPO SPLIT 12000 BTU</v>
      </c>
      <c r="C14934" s="6">
        <v>1836280</v>
      </c>
      <c r="D14934" s="5" t="s">
        <v>146</v>
      </c>
      <c r="E14934" s="5" t="str">
        <f t="shared" si="767"/>
        <v>ACTISALUD-PISO 12 ALA A-EDGAR NARVAEZ</v>
      </c>
      <c r="F14934" s="5" t="str">
        <f>"Descripcion:AIRE ACONDICIONADO CAPACIDAD 12.000 BTU Equipo tipo mini split consola de lujo con control remoto y uso refrigerante ecologico Sistema inverter Debe incluir display para ser monitoreado por sistema central Estado: Bueno Placa anterior: 0000363"&amp; "54 Material: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000036354 Material:  Color: BLANCO Referencia:  Observacion:  Placa padre:  Tipo adquisicion : Entidad</v>
      </c>
      <c r="G14934" s="5" t="str">
        <f>"INVERTER"</f>
        <v>INVERTER</v>
      </c>
    </row>
    <row r="14935" spans="1:7" ht="58.5" customHeight="1" x14ac:dyDescent="0.25">
      <c r="A14935" s="5" t="str">
        <f>"H0001900"</f>
        <v>H0001900</v>
      </c>
      <c r="B14935" s="5" t="str">
        <f>"DIVISION (PANEL) MODULAR"</f>
        <v>DIVISION (PANEL) MODULAR</v>
      </c>
      <c r="C14935" s="6">
        <v>980000</v>
      </c>
      <c r="D14935" s="5" t="s">
        <v>3</v>
      </c>
      <c r="E14935" s="5" t="str">
        <f t="shared" si="767"/>
        <v>ACTISALUD-PISO 12 ALA A-EDGAR NARVAEZ</v>
      </c>
      <c r="F14935" s="5" t="str">
        <f>"Descripcion:DIVISION MODULAR PUERTA CORREDIZA MEDIDAS: 220X233CM Estado: Excelente Placa anterior:  Material: METALICO CON VIDRIO Color: GRIS Referencia:  Observacion:  Placa padre:  Tipo adquisicion : Entidad"</f>
        <v>Descripcion:DIVISION MODULAR PUERTA CORREDIZA MEDIDAS: 220X233CM Estado: Excelente Placa anterior:  Material: METALICO CON VIDRIO Color: GRIS Referencia:  Observacion:  Placa padre:  Tipo adquisicion : Entidad</v>
      </c>
      <c r="G14935" s="5"/>
    </row>
    <row r="14936" spans="1:7" ht="58.5" customHeight="1" x14ac:dyDescent="0.25">
      <c r="A14936" s="5" t="str">
        <f>"H0001902"</f>
        <v>H0001902</v>
      </c>
      <c r="B14936" s="5" t="str">
        <f>"AIRE ACONDICIONADO TIPO SPLIT 12000 BTU"</f>
        <v>AIRE ACONDICIONADO TIPO SPLIT 12000 BTU</v>
      </c>
      <c r="C14936" s="6">
        <v>1836280</v>
      </c>
      <c r="D14936" s="5" t="s">
        <v>146</v>
      </c>
      <c r="E14936" s="5" t="str">
        <f t="shared" si="767"/>
        <v>ACTISALUD-PISO 12 ALA A-EDGAR NARVAEZ</v>
      </c>
      <c r="F14936" s="5" t="str">
        <f>"Descripcion:AIRE ACONDICIONADO CAPACIDAD 12.000 BTU Equipo tipo mini split consola de lujo con control remoto y uso refrigerante ecologico Sistema inverter Debe incluir display para ser monitoreado por sistema central Estado: Bueno Placa anterior: 0000363"&amp; "53 Material: METALICO Color: GRIS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000036353 Material: METALICO Color: GRIS Referencia:  Observacion:  Placa padre:  Tipo adquisicion : Entidad</v>
      </c>
      <c r="G14936" s="5" t="str">
        <f>"INVERTER"</f>
        <v>INVERTER</v>
      </c>
    </row>
    <row r="14937" spans="1:7" ht="58.5" customHeight="1" x14ac:dyDescent="0.25">
      <c r="A14937" s="5" t="str">
        <f>"H0001904"</f>
        <v>H0001904</v>
      </c>
      <c r="B14937" s="5" t="str">
        <f>"DIVISION (PANEL) MODULAR"</f>
        <v>DIVISION (PANEL) MODULAR</v>
      </c>
      <c r="C14937" s="6">
        <v>980000</v>
      </c>
      <c r="D14937" s="5" t="s">
        <v>3</v>
      </c>
      <c r="E14937" s="5" t="str">
        <f t="shared" si="767"/>
        <v>ACTISALUD-PISO 12 ALA A-EDGAR NARVAEZ</v>
      </c>
      <c r="F14937" s="5" t="str">
        <f>"Descripcion:DIVISION MODULAR PUERTA CORREDIZA MEDIDAS: 220X233CM Estado: Excelente Placa anterior:  Material: METALICO CON VIDRIO Color: GRIS Referencia:  Observacion:  Placa padre:  Tipo adquisicion : Entidad"</f>
        <v>Descripcion:DIVISION MODULAR PUERTA CORREDIZA MEDIDAS: 220X233CM Estado: Excelente Placa anterior:  Material: METALICO CON VIDRIO Color: GRIS Referencia:  Observacion:  Placa padre:  Tipo adquisicion : Entidad</v>
      </c>
      <c r="G14937" s="5"/>
    </row>
    <row r="14938" spans="1:7" ht="58.5" customHeight="1" x14ac:dyDescent="0.25">
      <c r="A14938" s="5" t="str">
        <f>"H0001905"</f>
        <v>H0001905</v>
      </c>
      <c r="B14938" s="5" t="str">
        <f>"AIRE ACONDICIONADO TIPO SPLIT 12000 BTU"</f>
        <v>AIRE ACONDICIONADO TIPO SPLIT 12000 BTU</v>
      </c>
      <c r="C14938" s="6">
        <v>1836280</v>
      </c>
      <c r="D14938" s="5" t="s">
        <v>146</v>
      </c>
      <c r="E14938" s="5" t="str">
        <f t="shared" si="767"/>
        <v>ACTISALUD-PISO 12 ALA A-EDGAR NARVAEZ</v>
      </c>
      <c r="F14938" s="5" t="str">
        <f>"Descripcion:AIRE ACONDICIONADO CAPACIDAD 12.000 BTU Equipo tipo mini split consola de lujo con control remoto y uso refrigerante ecologico Sistema inverter Debe incluir display para ser monitoreado por sistema central Estado: Bueno Placa anterior: 0000363"&amp; "52 Material: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000036352 Material:  Color: BLANCO Referencia:  Observacion:  Placa padre:  Tipo adquisicion : Entidad</v>
      </c>
      <c r="G14938" s="5" t="str">
        <f>"INVERTER"</f>
        <v>INVERTER</v>
      </c>
    </row>
    <row r="14939" spans="1:7" ht="58.5" customHeight="1" x14ac:dyDescent="0.25">
      <c r="A14939" s="5" t="str">
        <f>"H0001908"</f>
        <v>H0001908</v>
      </c>
      <c r="B14939" s="5" t="str">
        <f>"DIVISION (PANEL) MODULAR"</f>
        <v>DIVISION (PANEL) MODULAR</v>
      </c>
      <c r="C14939" s="6">
        <v>980000</v>
      </c>
      <c r="D14939" s="5" t="s">
        <v>3</v>
      </c>
      <c r="E14939" s="5" t="str">
        <f t="shared" si="767"/>
        <v>ACTISALUD-PISO 12 ALA A-EDGAR NARVAEZ</v>
      </c>
      <c r="F14939" s="5" t="str">
        <f>"Descripcion:DIVISION MODULAR PUERTA CORREDIZA MEDIDAS: 220X233CM Estado: Excelente Placa anterior:  Material: METALICA CON VIDRIO Color: GRIS Referencia:  Observacion:  Placa padre:  Tipo adquisicion : Entidad"</f>
        <v>Descripcion:DIVISION MODULAR PUERTA CORREDIZA MEDIDAS: 220X233CM Estado: Excelente Placa anterior:  Material: METALICA CON VIDRIO Color: GRIS Referencia:  Observacion:  Placa padre:  Tipo adquisicion : Entidad</v>
      </c>
      <c r="G14939" s="5"/>
    </row>
    <row r="14940" spans="1:7" ht="58.5" customHeight="1" x14ac:dyDescent="0.25">
      <c r="A14940" s="5" t="str">
        <f>"H0001909"</f>
        <v>H0001909</v>
      </c>
      <c r="B14940" s="5" t="str">
        <f>"AIRE ACONDICIONADO TIPO SPLIT 12000 BTU"</f>
        <v>AIRE ACONDICIONADO TIPO SPLIT 12000 BTU</v>
      </c>
      <c r="C14940" s="6">
        <v>1836280</v>
      </c>
      <c r="D14940" s="5" t="s">
        <v>146</v>
      </c>
      <c r="E14940" s="5" t="str">
        <f t="shared" si="767"/>
        <v>ACTISALUD-PISO 12 ALA A-EDGAR NARVAEZ</v>
      </c>
      <c r="F14940" s="5" t="str">
        <f>"Descripcion:AIRE ACONDICIONADO CAPACIDAD 12.000 BTU Equipo tipo mini split consola de lujo con control remoto y uso refrigerante ecologico Sistema inverter Debe incluir display para ser monitoreado por sistema central Estado: Bueno Placa anterior: 0000363"&amp; "51 Material: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000036351 Material:  Color: BLANCO Referencia:  Observacion:  Placa padre:  Tipo adquisicion : Entidad</v>
      </c>
      <c r="G14940" s="5" t="str">
        <f>"INVERTER"</f>
        <v>INVERTER</v>
      </c>
    </row>
    <row r="14941" spans="1:7" ht="58.5" customHeight="1" x14ac:dyDescent="0.25">
      <c r="A14941" s="5" t="str">
        <f>"H0001911"</f>
        <v>H0001911</v>
      </c>
      <c r="B14941" s="5" t="str">
        <f>"DIVISION (PANEL) MODULAR"</f>
        <v>DIVISION (PANEL) MODULAR</v>
      </c>
      <c r="C14941" s="6">
        <v>980000</v>
      </c>
      <c r="D14941" s="5" t="s">
        <v>3</v>
      </c>
      <c r="E14941" s="5" t="str">
        <f t="shared" si="767"/>
        <v>ACTISALUD-PISO 12 ALA A-EDGAR NARVAEZ</v>
      </c>
      <c r="F14941" s="5" t="str">
        <f>"Descripcion:DIVISION MODULAR PUERTA CORREDIZA MEDIDAS: 220X233CM&lt;br /&gt; Estado: Bueno Placa anterior:  Material: METALICO CON VIDRIO Color: GRIS Referencia:  Observacion:  Placa padre:  Tipo adquisicion : Entidad"</f>
        <v>Descripcion:DIVISION MODULAR PUERTA CORREDIZA MEDIDAS: 220X233CM&lt;br /&gt; Estado: Bueno Placa anterior:  Material: METALICO CON VIDRIO Color: GRIS Referencia:  Observacion:  Placa padre:  Tipo adquisicion : Entidad</v>
      </c>
      <c r="G14941" s="5"/>
    </row>
    <row r="14942" spans="1:7" ht="58.5" customHeight="1" x14ac:dyDescent="0.25">
      <c r="A14942" s="5" t="str">
        <f>"H0001912"</f>
        <v>H0001912</v>
      </c>
      <c r="B14942" s="5" t="str">
        <f>"AIRE ACONDICIONADO TIPO SPLIT 12000 BTU"</f>
        <v>AIRE ACONDICIONADO TIPO SPLIT 12000 BTU</v>
      </c>
      <c r="C14942" s="6">
        <v>1836280</v>
      </c>
      <c r="D14942" s="5" t="s">
        <v>146</v>
      </c>
      <c r="E14942" s="5" t="str">
        <f t="shared" si="767"/>
        <v>ACTISALUD-PISO 12 ALA A-EDGAR NARVAEZ</v>
      </c>
      <c r="F14942" s="5" t="str">
        <f>"Descripcion:AIRE ACONDICIONADO CAPACIDAD 12.000 BTU Equipo tipo mini split consola de lujo con control remoto y uso refrigerante ecologico Sistema inverter Debe incluir display para ser monitoreado por sistema central Estado: Bueno Placa anterior: 0000363"&amp; "50 Material: PLASTICO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000036350 Material: PLASTICO Color: BLANCO Referencia:  Observacion:  Placa padre:  Tipo adquisicion : Entidad</v>
      </c>
      <c r="G14942" s="5" t="str">
        <f>"INVERTER V"</f>
        <v>INVERTER V</v>
      </c>
    </row>
    <row r="14943" spans="1:7" ht="58.5" customHeight="1" x14ac:dyDescent="0.25">
      <c r="A14943" s="5" t="str">
        <f>"H0001916"</f>
        <v>H0001916</v>
      </c>
      <c r="B14943" s="5" t="str">
        <f>"AIRE ACONDICIONADO TIPO SPLIT 12000 BTU"</f>
        <v>AIRE ACONDICIONADO TIPO SPLIT 12000 BTU</v>
      </c>
      <c r="C14943" s="6">
        <v>1836280</v>
      </c>
      <c r="D14943" s="5" t="s">
        <v>146</v>
      </c>
      <c r="E14943" s="5" t="str">
        <f t="shared" si="767"/>
        <v>ACTISALUD-PISO 12 ALA A-EDGAR NARVAEZ</v>
      </c>
      <c r="F14943" s="5" t="str">
        <f>"Descripcion:AIRE ACONDICIONADO CAPACIDAD 12.000 BTU Equipo tipo mini split consola de lujo con control remoto y uso refrigerante ecologico Sistema inverter Debe incluir display para ser monitoreado por sistema central Estado: Bueno Placa anterior: 0000363"&amp; "49 Material:  Color: BLANCO Referencia: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000036349 Material:  Color: BLANCO Referencia:  Observacion:  Placa padre:  Tipo adquisicion : Entidad</v>
      </c>
      <c r="G14943" s="5" t="str">
        <f>"INVERTER"</f>
        <v>INVERTER</v>
      </c>
    </row>
    <row r="14944" spans="1:7" ht="58.5" customHeight="1" x14ac:dyDescent="0.25">
      <c r="A14944" s="5" t="str">
        <f>"H0001918"</f>
        <v>H0001918</v>
      </c>
      <c r="B14944" s="5" t="str">
        <f>"DIVISION (PANEL) MODULAR"</f>
        <v>DIVISION (PANEL) MODULAR</v>
      </c>
      <c r="C14944" s="6">
        <v>980000</v>
      </c>
      <c r="D14944" s="5" t="s">
        <v>3</v>
      </c>
      <c r="E14944" s="5" t="str">
        <f t="shared" si="767"/>
        <v>ACTISALUD-PISO 12 ALA A-EDGAR NARVAEZ</v>
      </c>
      <c r="F14944" s="5" t="str">
        <f>"Descripcion:DIVISION MODULAR PUERTA CORREDIZA MEDIDAS: 220X233CM Estado: Bueno Placa anterior:  Material: METALICO Y VIDRIO Color: GRIS Referencia:  Observacion:  Placa padre:  Tipo adquisicion : Entidad"</f>
        <v>Descripcion:DIVISION MODULAR PUERTA CORREDIZA MEDIDAS: 220X233CM Estado: Bueno Placa anterior:  Material: METALICO Y VIDRIO Color: GRIS Referencia:  Observacion:  Placa padre:  Tipo adquisicion : Entidad</v>
      </c>
      <c r="G14944" s="5"/>
    </row>
    <row r="14945" spans="1:7" ht="58.5" customHeight="1" x14ac:dyDescent="0.25">
      <c r="A14945" s="5" t="str">
        <f>"H0004247"</f>
        <v>H0004247</v>
      </c>
      <c r="B14945" s="5" t="str">
        <f>"ARCHIVADOR METALICO 3 GAVETAS"</f>
        <v>ARCHIVADOR METALICO 3 GAVETAS</v>
      </c>
      <c r="C14945" s="6">
        <v>36047</v>
      </c>
      <c r="D14945" s="5"/>
      <c r="E14945" s="5" t="str">
        <f t="shared" si="767"/>
        <v>ACTISALUD-PISO 12 ALA A-EDGAR NARVAEZ</v>
      </c>
      <c r="F14945" s="5" t="str">
        <f>"Descripcion: ARCHIVADOR TIPO B (3 GAVETAS) MIDEE 103*45*67,5 CM Estado: Regular Placa anterior: 000008323 Material: METALICO Color: GRIS Referencia:  Observacion: MALO DE PINTURA Placa padre: Tipo adquisicion: Entidad"</f>
        <v>Descripcion: ARCHIVADOR TIPO B (3 GAVETAS) MIDEE 103*45*67,5 CM Estado: Regular Placa anterior: 000008323 Material: METALICO Color: GRIS Referencia:  Observacion: MALO DE PINTURA Placa padre: Tipo adquisicion: Entidad</v>
      </c>
      <c r="G14945" s="5"/>
    </row>
    <row r="14946" spans="1:7" ht="58.5" customHeight="1" x14ac:dyDescent="0.25">
      <c r="A14946" s="5" t="str">
        <f>"H0004458"</f>
        <v>H0004458</v>
      </c>
      <c r="B14946" s="5" t="str">
        <f>"NEVERA 3 PIES (84LT)"</f>
        <v>NEVERA 3 PIES (84LT)</v>
      </c>
      <c r="C14946" s="6">
        <v>452400</v>
      </c>
      <c r="D14946" s="5"/>
      <c r="E14946" s="5" t="str">
        <f t="shared" si="767"/>
        <v>ACTISALUD-PISO 12 ALA A-EDGAR NARVAEZ</v>
      </c>
      <c r="F14946" s="5" t="str">
        <f>"Descripcion: REFRIGERADORA SAMSUNG SG-12BCSWCN Estado: Bueno Placa anterior: 000022612 Material: METAL Color: BLANCO Referencia:  Observacion:  Placa padre: Tipo adquisicion: Entidad"</f>
        <v>Descripcion: REFRIGERADORA SAMSUNG SG-12BCSWCN Estado: Bueno Placa anterior: 000022612 Material: METAL Color: BLANCO Referencia:  Observacion:  Placa padre: Tipo adquisicion: Entidad</v>
      </c>
      <c r="G14946" s="5" t="str">
        <f>"SG12BCSWCN"</f>
        <v>SG12BCSWCN</v>
      </c>
    </row>
    <row r="14947" spans="1:7" ht="58.5" customHeight="1" x14ac:dyDescent="0.25">
      <c r="A14947" s="5" t="str">
        <f>"H0004610"</f>
        <v>H0004610</v>
      </c>
      <c r="B14947" s="5" t="str">
        <f>"CAMA HOSPITALARIA 4 PLANOS CON BARANDA"</f>
        <v>CAMA HOSPITALARIA 4 PLANOS CON BARANDA</v>
      </c>
      <c r="C14947" s="6">
        <v>2100000</v>
      </c>
      <c r="D14947" s="5" t="s">
        <v>63</v>
      </c>
      <c r="E14947" s="5" t="str">
        <f t="shared" si="767"/>
        <v>ACTISALUD-PISO 12 ALA A-EDGAR NARVAEZ</v>
      </c>
      <c r="F14947" s="5" t="str">
        <f>"Descripcion: CAMA HOSPITALARIACON PASTA EN CABEZARA Y PIES Estado: Bueno Placa anterior: 000037723 Material: METSAL Y PASTA Color: BEIS Referencia:  Observacion:  Placa padre: Tipo adquisicion: Entidad"</f>
        <v>Descripcion: CAMA HOSPITALARIACON PASTA EN CABEZARA Y PIES Estado: Bueno Placa anterior: 000037723 Material: METSAL Y PASTA Color: BEIS Referencia:  Observacion:  Placa padre: Tipo adquisicion: Entidad</v>
      </c>
      <c r="G14947" s="5"/>
    </row>
    <row r="14948" spans="1:7" ht="58.5" customHeight="1" x14ac:dyDescent="0.25">
      <c r="A14948" s="5" t="str">
        <f>"H0004719"</f>
        <v>H0004719</v>
      </c>
      <c r="B14948" s="5" t="str">
        <f>"ATRIL PORTASUERO MOVIL"</f>
        <v>ATRIL PORTASUERO MOVIL</v>
      </c>
      <c r="C14948" s="6">
        <v>210000</v>
      </c>
      <c r="D14948" s="5" t="s">
        <v>50</v>
      </c>
      <c r="E14948" s="5" t="str">
        <f t="shared" si="767"/>
        <v>ACTISALUD-PISO 12 ALA A-EDGAR NARVAEZ</v>
      </c>
      <c r="F14948" s="5" t="str">
        <f>"Descripcion: CON RODACHINES Estado: Bueno Placa anterior: 000029673 Material: METAL Color: PLATA Referencia:  Observacion:  Placa padre: Tipo adquisicion: Entidad"</f>
        <v>Descripcion: CON RODACHINES Estado: Bueno Placa anterior: 000029673 Material: METAL Color: PLATA Referencia:  Observacion:  Placa padre: Tipo adquisicion: Entidad</v>
      </c>
      <c r="G14948" s="5"/>
    </row>
    <row r="14949" spans="1:7" ht="58.5" customHeight="1" x14ac:dyDescent="0.25">
      <c r="A14949" s="5" t="str">
        <f>"H0004725"</f>
        <v>H0004725</v>
      </c>
      <c r="B14949" s="5" t="str">
        <f>"MESA PUENTE (ALIMENTACION) (INSTRUMENTAL)"</f>
        <v>MESA PUENTE (ALIMENTACION) (INSTRUMENTAL)</v>
      </c>
      <c r="C14949" s="6">
        <v>15000</v>
      </c>
      <c r="D14949" s="5"/>
      <c r="E14949" s="5" t="str">
        <f t="shared" si="767"/>
        <v>ACTISALUD-PISO 12 ALA A-EDGAR NARVAEZ</v>
      </c>
      <c r="F14949" s="5" t="str">
        <f>"Descripcion: REGULABLE Y SUPERFICIE SUPERIOR DE ACERO Estado: Regular Placa anterior: 000026596 Material: METAL Y ACERO Color: PLATA Y BEIS Referencia:  Observacion:  Placa padre: Tipo adquisicion: Entidad"</f>
        <v>Descripcion: REGULABLE Y SUPERFICIE SUPERIOR DE ACERO Estado: Regular Placa anterior: 000026596 Material: METAL Y ACERO Color: PLATA Y BEIS Referencia:  Observacion:  Placa padre: Tipo adquisicion: Entidad</v>
      </c>
      <c r="G14949" s="5"/>
    </row>
    <row r="14950" spans="1:7" ht="58.5" customHeight="1" x14ac:dyDescent="0.25">
      <c r="A14950" s="5" t="str">
        <f>"H0004969"</f>
        <v>H0004969</v>
      </c>
      <c r="B14950" s="5" t="str">
        <f>"ESCALERILLA DE 2 PASOS"</f>
        <v>ESCALERILLA DE 2 PASOS</v>
      </c>
      <c r="C14950" s="6">
        <v>100000</v>
      </c>
      <c r="D14950" s="5" t="s">
        <v>49</v>
      </c>
      <c r="E14950" s="5" t="str">
        <f t="shared" ref="E14950:E15013" si="768">"ACTISALUD-PISO 12 ALA A-EDGAR NARVAEZ"</f>
        <v>ACTISALUD-PISO 12 ALA A-EDGAR NARVAEZ</v>
      </c>
      <c r="F14950" s="5" t="str">
        <f>"Descripcion: ESCALERILLA DE DOS PASO EN TUBO REDONDO Estado: Regular Placa anterior: 000029931 Material: METALICO Color: BLANCO Referencia:  Observacion:  Placa padre: Tipo adquisicion: Entidad"</f>
        <v>Descripcion: ESCALERILLA DE DOS PASO EN TUBO REDONDO Estado: Regular Placa anterior: 000029931 Material: METALICO Color: BLANCO Referencia:  Observacion:  Placa padre: Tipo adquisicion: Entidad</v>
      </c>
      <c r="G14950" s="5"/>
    </row>
    <row r="14951" spans="1:7" ht="58.5" customHeight="1" x14ac:dyDescent="0.25">
      <c r="A14951" s="5" t="str">
        <f>"H0005610"</f>
        <v>H0005610</v>
      </c>
      <c r="B14951" s="5" t="str">
        <f>"VENTILADOR DE PARED"</f>
        <v>VENTILADOR DE PARED</v>
      </c>
      <c r="C14951" s="6">
        <v>13109.88</v>
      </c>
      <c r="D14951" s="5"/>
      <c r="E14951" s="5" t="str">
        <f t="shared" si="768"/>
        <v>ACTISALUD-PISO 12 ALA A-EDGAR NARVAEZ</v>
      </c>
      <c r="F14951" s="5" t="str">
        <f>"Descripcion:VENTILADOR DE PARED Estado: Bueno Placa anterior: 000008292 Material: PLASTICO Color: BLANCO Referencia:  Observacion:  Placa padre:  Tipo adquisicion : Entidad"</f>
        <v>Descripcion:VENTILADOR DE PARED Estado: Bueno Placa anterior: 000008292 Material: PLASTICO Color: BLANCO Referencia:  Observacion:  Placa padre:  Tipo adquisicion : Entidad</v>
      </c>
      <c r="G14951" s="5"/>
    </row>
    <row r="14952" spans="1:7" ht="58.5" customHeight="1" x14ac:dyDescent="0.25">
      <c r="A14952" s="5" t="str">
        <f>"H0005657"</f>
        <v>H0005657</v>
      </c>
      <c r="B14952" s="5" t="str">
        <f>"TELEVISOR TRC 20"</f>
        <v>TELEVISOR TRC 20</v>
      </c>
      <c r="C14952" s="6">
        <v>445000</v>
      </c>
      <c r="D14952" s="5"/>
      <c r="E14952" s="5" t="str">
        <f t="shared" si="768"/>
        <v>ACTISALUD-PISO 12 ALA A-EDGAR NARVAEZ</v>
      </c>
      <c r="F14952" s="5" t="str">
        <f>"Descripcion: TELEVISOR A COLOR DE 20 P. MARCA LG. REF: CP-20J52/20CB 20 Estado: Bueno Placa anterior: 000022644 Material: PASTA Color: GRIS Referencia:  Observacion:  Placa padre: Tipo adquisicion: Entidad"</f>
        <v>Descripcion: TELEVISOR A COLOR DE 20 P. MARCA LG. REF: CP-20J52/20CB 20 Estado: Bueno Placa anterior: 000022644 Material: PASTA Color: GRIS Referencia:  Observacion:  Placa padre: Tipo adquisicion: Entidad</v>
      </c>
      <c r="G14952" s="5" t="str">
        <f>"RP-20CB20A"</f>
        <v>RP-20CB20A</v>
      </c>
    </row>
    <row r="14953" spans="1:7" ht="58.5" customHeight="1" x14ac:dyDescent="0.25">
      <c r="A14953" s="5" t="str">
        <f>"H0008717"</f>
        <v>H0008717</v>
      </c>
      <c r="B14953" s="5" t="str">
        <f>"SILLA PLASTICA CON BRAZOS"</f>
        <v>SILLA PLASTICA CON BRAZOS</v>
      </c>
      <c r="C14953" s="6">
        <v>12240.32</v>
      </c>
      <c r="D14953" s="5"/>
      <c r="E14953" s="5" t="str">
        <f t="shared" si="768"/>
        <v>ACTISALUD-PISO 12 ALA A-EDGAR NARVAEZ</v>
      </c>
      <c r="F14953" s="5" t="str">
        <f>"Descripcion: SILLA PLASTICA BLANCA Estado: Bueno Placa anterior: 000004536 Material: PLASTICO Color: BLANCO Referencia:  Observacion:  Placa padre: Tipo adquisicion: Entidad"</f>
        <v>Descripcion: SILLA PLASTICA BLANCA Estado: Bueno Placa anterior: 000004536 Material: PLASTICO Color: BLANCO Referencia:  Observacion:  Placa padre: Tipo adquisicion: Entidad</v>
      </c>
      <c r="G14953" s="5"/>
    </row>
    <row r="14954" spans="1:7" ht="58.5" customHeight="1" x14ac:dyDescent="0.25">
      <c r="A14954" s="5" t="str">
        <f>"H0010395"</f>
        <v>H0010395</v>
      </c>
      <c r="B14954" s="5" t="str">
        <f>"CAMA HOSPITALARIA 2 PLANOS"</f>
        <v>CAMA HOSPITALARIA 2 PLANOS</v>
      </c>
      <c r="C14954" s="6">
        <v>2100000</v>
      </c>
      <c r="D14954" s="5" t="s">
        <v>63</v>
      </c>
      <c r="E14954" s="5" t="str">
        <f t="shared" si="768"/>
        <v>ACTISALUD-PISO 12 ALA A-EDGAR NARVAEZ</v>
      </c>
      <c r="F14954" s="5" t="str">
        <f>"Descripcion: CAMILLA FIJA Estado: Bueno Placa anterior: 000037719 Material: METALICA Color: BEIS Referencia:  Observacion:  Placa padre: Tipo adquisicion: Entidad"</f>
        <v>Descripcion: CAMILLA FIJA Estado: Bueno Placa anterior: 000037719 Material: METALICA Color: BEIS Referencia:  Observacion:  Placa padre: Tipo adquisicion: Entidad</v>
      </c>
      <c r="G14954" s="5"/>
    </row>
    <row r="14955" spans="1:7" ht="58.5" customHeight="1" x14ac:dyDescent="0.25">
      <c r="A14955" s="5" t="str">
        <f>"H0010846"</f>
        <v>H0010846</v>
      </c>
      <c r="B14955" s="5" t="str">
        <f>"MESA METALICA"</f>
        <v>MESA METALICA</v>
      </c>
      <c r="C14955" s="6">
        <v>7800</v>
      </c>
      <c r="D14955" s="5"/>
      <c r="E14955" s="5" t="str">
        <f t="shared" si="768"/>
        <v>ACTISALUD-PISO 12 ALA A-EDGAR NARVAEZ</v>
      </c>
      <c r="F14955" s="5" t="str">
        <f>"Descripcion: MESA METALICA AUXILIAR CON MESON EN FORMICA Estado: Bueno Placa anterior: 000004643 Material: METALICO Color: GRIS CON MARRON Referencia:  Observacion: PLACA ANTERIOR NO ENCONTRADA 000014993 AUTORIZADO CONCILIAR EN CRUCE GENERAL Placa padre: "&amp; "Tipo adquisicion: Entidad"</f>
        <v>Descripcion: MESA METALICA AUXILIAR CON MESON EN FORMICA Estado: Bueno Placa anterior: 000004643 Material: METALICO Color: GRIS CON MARRON Referencia:  Observacion: PLACA ANTERIOR NO ENCONTRADA 000014993 AUTORIZADO CONCILIAR EN CRUCE GENERAL Placa padre: Tipo adquisicion: Entidad</v>
      </c>
      <c r="G14955" s="5"/>
    </row>
    <row r="14956" spans="1:7" ht="58.5" customHeight="1" x14ac:dyDescent="0.25">
      <c r="A14956" s="5" t="str">
        <f>"H0017011"</f>
        <v>H0017011</v>
      </c>
      <c r="B14956" s="5" t="str">
        <f>"PLATON NIQUELADO – INOXIDABLE"</f>
        <v>PLATON NIQUELADO – INOXIDABLE</v>
      </c>
      <c r="C14956" s="6">
        <v>2023.22</v>
      </c>
      <c r="D14956" s="5"/>
      <c r="E14956" s="5" t="str">
        <f t="shared" si="768"/>
        <v>ACTISALUD-PISO 12 ALA A-EDGAR NARVAEZ</v>
      </c>
      <c r="F14956" s="5" t="str">
        <f>"Descripcion:PLATON EN ACERO INOXIDABLE MEDIANO Estado: Bueno Placa anterior: 000008747 Material: ACERO INOXIDABLE Color: PLATEADO Referencia:  Observacion: AUTORIZADO CONCILIAR EN CRUCE GENERAL Placa padre:  Tipo adquisicion : Entidad"</f>
        <v>Descripcion:PLATON EN ACERO INOXIDABLE MEDIANO Estado: Bueno Placa anterior: 000008747 Material: ACERO INOXIDABLE Color: PLATEADO Referencia:  Observacion: AUTORIZADO CONCILIAR EN CRUCE GENERAL Placa padre:  Tipo adquisicion : Entidad</v>
      </c>
      <c r="G14956" s="5"/>
    </row>
    <row r="14957" spans="1:7" ht="58.5" customHeight="1" x14ac:dyDescent="0.25">
      <c r="A14957" s="5" t="str">
        <f>"H0017012"</f>
        <v>H0017012</v>
      </c>
      <c r="B14957" s="5" t="str">
        <f>"PLATON NIQUELADO – INOXIDABLE"</f>
        <v>PLATON NIQUELADO – INOXIDABLE</v>
      </c>
      <c r="C14957" s="6">
        <v>10184.530000000001</v>
      </c>
      <c r="D14957" s="5"/>
      <c r="E14957" s="5" t="str">
        <f t="shared" si="768"/>
        <v>ACTISALUD-PISO 12 ALA A-EDGAR NARVAEZ</v>
      </c>
      <c r="F14957" s="5" t="str">
        <f>"Descripcion:PLATON EN ALUMINIO MEDIANO Estado: Bueno Placa anterior: 000005754 Material: ACERO INOXIDABLE Color: PLATEADO Referencia:  Observacion: AUTORIZADO CONCILIAR EN CRUCE GENERAL Placa padre:  Tipo adquisicion : Entidad"</f>
        <v>Descripcion:PLATON EN ALUMINIO MEDIANO Estado: Bueno Placa anterior: 000005754 Material: ACERO INOXIDABLE Color: PLATEADO Referencia:  Observacion: AUTORIZADO CONCILIAR EN CRUCE GENERAL Placa padre:  Tipo adquisicion : Entidad</v>
      </c>
      <c r="G14957" s="5"/>
    </row>
    <row r="14958" spans="1:7" ht="58.5" customHeight="1" x14ac:dyDescent="0.25">
      <c r="A14958" s="5" t="str">
        <f>"H0017013"</f>
        <v>H0017013</v>
      </c>
      <c r="B14958" s="5" t="str">
        <f>"PLATON NIQUELADO – INOXIDABLE"</f>
        <v>PLATON NIQUELADO – INOXIDABLE</v>
      </c>
      <c r="C14958" s="6">
        <v>10104</v>
      </c>
      <c r="D14958" s="5"/>
      <c r="E14958" s="5" t="str">
        <f t="shared" si="768"/>
        <v>ACTISALUD-PISO 12 ALA A-EDGAR NARVAEZ</v>
      </c>
      <c r="F14958" s="5" t="str">
        <f>"Descripcion:PLATON EN ALUMINIO MEDIANO Estado: Bueno Placa anterior: 000022376 Material: ACERO INOXIDABLE Color: PLATEADO Referencia:  Observacion: AUTORIZADO CONCILIAR EN CRUCE GENERAL Placa padre:  Tipo adquisicion : Entidad"</f>
        <v>Descripcion:PLATON EN ALUMINIO MEDIANO Estado: Bueno Placa anterior: 000022376 Material: ACERO INOXIDABLE Color: PLATEADO Referencia:  Observacion: AUTORIZADO CONCILIAR EN CRUCE GENERAL Placa padre:  Tipo adquisicion : Entidad</v>
      </c>
      <c r="G14958" s="5"/>
    </row>
    <row r="14959" spans="1:7" ht="58.5" customHeight="1" x14ac:dyDescent="0.25">
      <c r="A14959" s="5" t="str">
        <f>"H0017019"</f>
        <v>H0017019</v>
      </c>
      <c r="B14959" s="5" t="str">
        <f>"BANDEJA DE ACERO INOXIDABLE MEDIANA"</f>
        <v>BANDEJA DE ACERO INOXIDABLE MEDIANA</v>
      </c>
      <c r="C14959" s="6">
        <v>14616</v>
      </c>
      <c r="D14959" s="5"/>
      <c r="E14959" s="5" t="str">
        <f t="shared" si="768"/>
        <v>ACTISALUD-PISO 12 ALA A-EDGAR NARVAEZ</v>
      </c>
      <c r="F14959" s="5" t="str">
        <f>"Descripcion:BANDEJA EN ACERO INOXIDABLE, 35 CM ANCHO X 18 FONDO Estado: Bueno Placa anterior: 000004252 Material: ACERO INOXIDABLE Color: PLATEADO Referencia:  Observacion:  Placa padre:  Tipo adquisicion : Entidad"</f>
        <v>Descripcion:BANDEJA EN ACERO INOXIDABLE, 35 CM ANCHO X 18 FONDO Estado: Bueno Placa anterior: 000004252 Material: ACERO INOXIDABLE Color: PLATEADO Referencia:  Observacion:  Placa padre:  Tipo adquisicion : Entidad</v>
      </c>
      <c r="G14959" s="5"/>
    </row>
    <row r="14960" spans="1:7" ht="58.5" customHeight="1" x14ac:dyDescent="0.25">
      <c r="A14960" s="5" t="str">
        <f>"H0018992"</f>
        <v>H0018992</v>
      </c>
      <c r="B14960" s="5" t="str">
        <f>"TENSIOMETRO ANEROIDE DE MANO ADULTO"</f>
        <v>TENSIOMETRO ANEROIDE DE MANO ADULTO</v>
      </c>
      <c r="C14960" s="6">
        <v>98600</v>
      </c>
      <c r="D14960" s="5"/>
      <c r="E14960" s="5" t="str">
        <f t="shared" si="768"/>
        <v>ACTISALUD-PISO 12 ALA A-EDGAR NARVAEZ</v>
      </c>
      <c r="F14960" s="5" t="str">
        <f>"Descripcion: TENSIOMETRO Estado: Bueno Placa anterior: 000014950 Material:  Color: NEGRO Y MORADO Referencia:  Observacion:  Placa padre: Tipo adquisicion: Entidad"</f>
        <v>Descripcion: TENSIOMETRO Estado: Bueno Placa anterior: 000014950 Material:  Color: NEGRO Y MORADO Referencia:  Observacion:  Placa padre: Tipo adquisicion: Entidad</v>
      </c>
      <c r="G14960" s="5"/>
    </row>
    <row r="14961" spans="1:7" ht="58.5" customHeight="1" x14ac:dyDescent="0.25">
      <c r="A14961" s="5" t="str">
        <f>"H0019861"</f>
        <v>H0019861</v>
      </c>
      <c r="B14961" s="5" t="str">
        <f>"SILLA INTERLOCUTORA (FIJA) SIN BRAZOS"</f>
        <v>SILLA INTERLOCUTORA (FIJA) SIN BRAZOS</v>
      </c>
      <c r="C14961" s="6">
        <v>5965.88</v>
      </c>
      <c r="D14961" s="5"/>
      <c r="E14961" s="5" t="str">
        <f t="shared" si="768"/>
        <v>ACTISALUD-PISO 12 ALA A-EDGAR NARVAEZ</v>
      </c>
      <c r="F14961" s="5" t="str">
        <f>"Descripcion: SILLA FIJA SIN BRAZOS  Estado: Bueno Placa anterior: 000003610 Material: METALICO Y CUERO Color: GRIS Y MARRON Referencia:  Observacion: EL BIEN TIENE PLACA ANTERIOR  000003210 Placa padre: Tipo adquisicion: Entidad"</f>
        <v>Descripcion: SILLA FIJA SIN BRAZOS  Estado: Bueno Placa anterior: 000003610 Material: METALICO Y CUERO Color: GRIS Y MARRON Referencia:  Observacion: EL BIEN TIENE PLACA ANTERIOR  000003210 Placa padre: Tipo adquisicion: Entidad</v>
      </c>
      <c r="G14961" s="5"/>
    </row>
    <row r="14962" spans="1:7" ht="58.5" customHeight="1" x14ac:dyDescent="0.25">
      <c r="A14962" s="5" t="str">
        <f>"H0024339"</f>
        <v>H0024339</v>
      </c>
      <c r="B14962" s="5" t="str">
        <f t="shared" ref="B14962:B14967" si="769">"CAMA ELECTRICA ADULTOS"</f>
        <v>CAMA ELECTRICA ADULTOS</v>
      </c>
      <c r="C14962" s="6">
        <v>5746930</v>
      </c>
      <c r="D14962" s="5" t="s">
        <v>36</v>
      </c>
      <c r="E14962" s="5" t="str">
        <f t="shared" si="768"/>
        <v>ACTISALUD-PISO 12 ALA A-EDGAR NARVAEZ</v>
      </c>
      <c r="F14962" s="5"/>
      <c r="G14962" s="5"/>
    </row>
    <row r="14963" spans="1:7" ht="58.5" customHeight="1" x14ac:dyDescent="0.25">
      <c r="A14963" s="5" t="str">
        <f>"H0024346"</f>
        <v>H0024346</v>
      </c>
      <c r="B14963" s="5" t="str">
        <f t="shared" si="769"/>
        <v>CAMA ELECTRICA ADULTOS</v>
      </c>
      <c r="C14963" s="6">
        <v>5746930</v>
      </c>
      <c r="D14963" s="5" t="s">
        <v>36</v>
      </c>
      <c r="E14963" s="5" t="str">
        <f t="shared" si="768"/>
        <v>ACTISALUD-PISO 12 ALA A-EDGAR NARVAEZ</v>
      </c>
      <c r="F14963" s="5"/>
      <c r="G14963" s="5"/>
    </row>
    <row r="14964" spans="1:7" ht="58.5" customHeight="1" x14ac:dyDescent="0.25">
      <c r="A14964" s="5" t="str">
        <f>"H0024350"</f>
        <v>H0024350</v>
      </c>
      <c r="B14964" s="5" t="str">
        <f t="shared" si="769"/>
        <v>CAMA ELECTRICA ADULTOS</v>
      </c>
      <c r="C14964" s="6">
        <v>5746930</v>
      </c>
      <c r="D14964" s="5" t="s">
        <v>36</v>
      </c>
      <c r="E14964" s="5" t="str">
        <f t="shared" si="768"/>
        <v>ACTISALUD-PISO 12 ALA A-EDGAR NARVAEZ</v>
      </c>
      <c r="F14964" s="5"/>
      <c r="G14964" s="5"/>
    </row>
    <row r="14965" spans="1:7" ht="58.5" customHeight="1" x14ac:dyDescent="0.25">
      <c r="A14965" s="5" t="str">
        <f>"H0024354"</f>
        <v>H0024354</v>
      </c>
      <c r="B14965" s="5" t="str">
        <f t="shared" si="769"/>
        <v>CAMA ELECTRICA ADULTOS</v>
      </c>
      <c r="C14965" s="6">
        <v>5746930</v>
      </c>
      <c r="D14965" s="5" t="s">
        <v>36</v>
      </c>
      <c r="E14965" s="5" t="str">
        <f t="shared" si="768"/>
        <v>ACTISALUD-PISO 12 ALA A-EDGAR NARVAEZ</v>
      </c>
      <c r="F14965" s="5"/>
      <c r="G14965" s="5"/>
    </row>
    <row r="14966" spans="1:7" ht="58.5" customHeight="1" x14ac:dyDescent="0.25">
      <c r="A14966" s="5" t="str">
        <f>"H0024386"</f>
        <v>H0024386</v>
      </c>
      <c r="B14966" s="5" t="str">
        <f t="shared" si="769"/>
        <v>CAMA ELECTRICA ADULTOS</v>
      </c>
      <c r="C14966" s="6">
        <v>5746930</v>
      </c>
      <c r="D14966" s="5" t="s">
        <v>36</v>
      </c>
      <c r="E14966" s="5" t="str">
        <f t="shared" si="768"/>
        <v>ACTISALUD-PISO 12 ALA A-EDGAR NARVAEZ</v>
      </c>
      <c r="F14966" s="5"/>
      <c r="G14966" s="5"/>
    </row>
    <row r="14967" spans="1:7" ht="58.5" customHeight="1" x14ac:dyDescent="0.25">
      <c r="A14967" s="5" t="str">
        <f>"H0024393"</f>
        <v>H0024393</v>
      </c>
      <c r="B14967" s="5" t="str">
        <f t="shared" si="769"/>
        <v>CAMA ELECTRICA ADULTOS</v>
      </c>
      <c r="C14967" s="6">
        <v>5746930</v>
      </c>
      <c r="D14967" s="5" t="s">
        <v>36</v>
      </c>
      <c r="E14967" s="5" t="str">
        <f t="shared" si="768"/>
        <v>ACTISALUD-PISO 12 ALA A-EDGAR NARVAEZ</v>
      </c>
      <c r="F14967" s="5"/>
      <c r="G14967" s="5"/>
    </row>
    <row r="14968" spans="1:7" ht="58.5" customHeight="1" x14ac:dyDescent="0.25">
      <c r="A14968" s="5" t="str">
        <f>"H0026000"</f>
        <v>H0026000</v>
      </c>
      <c r="B14968" s="5" t="str">
        <f>"SILLA DE RUEDAS"</f>
        <v>SILLA DE RUEDAS</v>
      </c>
      <c r="C14968" s="6">
        <v>280000</v>
      </c>
      <c r="D14968" s="5" t="s">
        <v>77</v>
      </c>
      <c r="E14968" s="5" t="str">
        <f t="shared" si="768"/>
        <v>ACTISALUD-PISO 12 ALA A-EDGAR NARVAEZ</v>
      </c>
      <c r="F14968" s="5"/>
      <c r="G14968" s="5"/>
    </row>
    <row r="14969" spans="1:7" ht="58.5" customHeight="1" x14ac:dyDescent="0.25">
      <c r="A14969" s="5" t="str">
        <f>"H0027149"</f>
        <v>H0027149</v>
      </c>
      <c r="B14969" s="5" t="str">
        <f>"MONITOR DE SIGNOS VITALES"</f>
        <v>MONITOR DE SIGNOS VITALES</v>
      </c>
      <c r="C14969" s="6">
        <v>3680000.05</v>
      </c>
      <c r="D14969" s="5" t="s">
        <v>82</v>
      </c>
      <c r="E14969" s="5" t="str">
        <f t="shared" si="768"/>
        <v>ACTISALUD-PISO 12 ALA A-EDGAR NARVAEZ</v>
      </c>
      <c r="F14969" s="5"/>
      <c r="G14969" s="5" t="str">
        <f>"IM12"</f>
        <v>IM12</v>
      </c>
    </row>
    <row r="14970" spans="1:7" ht="58.5" customHeight="1" x14ac:dyDescent="0.25">
      <c r="A14970" s="5" t="str">
        <f>"H0027299"</f>
        <v>H0027299</v>
      </c>
      <c r="B14970" s="5" t="str">
        <f>"BASE PARA MONITOR DE SIGNOS VITALES"</f>
        <v>BASE PARA MONITOR DE SIGNOS VITALES</v>
      </c>
      <c r="C14970" s="6">
        <v>809200</v>
      </c>
      <c r="D14970" s="5" t="s">
        <v>269</v>
      </c>
      <c r="E14970" s="5" t="str">
        <f t="shared" si="768"/>
        <v>ACTISALUD-PISO 12 ALA A-EDGAR NARVAEZ</v>
      </c>
      <c r="F14970" s="5"/>
      <c r="G14970" s="5"/>
    </row>
    <row r="14971" spans="1:7" ht="58.5" customHeight="1" x14ac:dyDescent="0.25">
      <c r="A14971" s="5" t="str">
        <f>"H0027376"</f>
        <v>H0027376</v>
      </c>
      <c r="B14971" s="5" t="str">
        <f>"LECTOR DE HUELLAS DIGITALES"</f>
        <v>LECTOR DE HUELLAS DIGITALES</v>
      </c>
      <c r="C14971" s="6">
        <v>234000.41</v>
      </c>
      <c r="D14971" s="5" t="s">
        <v>83</v>
      </c>
      <c r="E14971" s="5" t="str">
        <f t="shared" si="768"/>
        <v>ACTISALUD-PISO 12 ALA A-EDGAR NARVAEZ</v>
      </c>
      <c r="F14971" s="5"/>
      <c r="G14971" s="5"/>
    </row>
    <row r="14972" spans="1:7" ht="58.5" customHeight="1" x14ac:dyDescent="0.25">
      <c r="A14972" s="5" t="str">
        <f>"H0027396"</f>
        <v>H0027396</v>
      </c>
      <c r="B14972" s="5" t="str">
        <f>"CAMILLA RECUPERACIÓN NEUMATICO PLATO SUP PINTADO SALA RECUPERACIÓN"</f>
        <v>CAMILLA RECUPERACIÓN NEUMATICO PLATO SUP PINTADO SALA RECUPERACIÓN</v>
      </c>
      <c r="C14972" s="6">
        <v>2046917</v>
      </c>
      <c r="D14972" s="5" t="s">
        <v>84</v>
      </c>
      <c r="E14972" s="5" t="str">
        <f t="shared" si="768"/>
        <v>ACTISALUD-PISO 12 ALA A-EDGAR NARVAEZ</v>
      </c>
      <c r="F14972" s="5"/>
      <c r="G14972" s="5"/>
    </row>
    <row r="14973" spans="1:7" ht="58.5" customHeight="1" x14ac:dyDescent="0.25">
      <c r="A14973" s="5" t="str">
        <f>"H0027403"</f>
        <v>H0027403</v>
      </c>
      <c r="B14973" s="5" t="str">
        <f>"ELECTROCARDIOGRAFO"</f>
        <v>ELECTROCARDIOGRAFO</v>
      </c>
      <c r="C14973" s="6">
        <v>3011295</v>
      </c>
      <c r="D14973" s="5" t="s">
        <v>355</v>
      </c>
      <c r="E14973" s="5" t="str">
        <f t="shared" si="768"/>
        <v>ACTISALUD-PISO 12 ALA A-EDGAR NARVAEZ</v>
      </c>
      <c r="F14973" s="5"/>
      <c r="G14973" s="5" t="str">
        <f>"BENEHEART R3"</f>
        <v>BENEHEART R3</v>
      </c>
    </row>
    <row r="14974" spans="1:7" ht="58.5" customHeight="1" x14ac:dyDescent="0.25">
      <c r="A14974" s="5" t="str">
        <f>"H0027420"</f>
        <v>H0027420</v>
      </c>
      <c r="B14974" s="5" t="str">
        <f>"LECTOR DE HUELLAS DIGITALES"</f>
        <v>LECTOR DE HUELLAS DIGITALES</v>
      </c>
      <c r="C14974" s="6">
        <v>234000.41</v>
      </c>
      <c r="D14974" s="5" t="s">
        <v>83</v>
      </c>
      <c r="E14974" s="5" t="str">
        <f t="shared" si="768"/>
        <v>ACTISALUD-PISO 12 ALA A-EDGAR NARVAEZ</v>
      </c>
      <c r="F14974" s="5"/>
      <c r="G14974" s="5"/>
    </row>
    <row r="14975" spans="1:7" ht="58.5" customHeight="1" x14ac:dyDescent="0.25">
      <c r="A14975" s="5" t="str">
        <f>"H0028428"</f>
        <v>H0028428</v>
      </c>
      <c r="B14975" s="5" t="str">
        <f t="shared" ref="B14975:B14981" si="770">"SILLA RECLINOMATICA"</f>
        <v>SILLA RECLINOMATICA</v>
      </c>
      <c r="C14975" s="6">
        <v>900000</v>
      </c>
      <c r="D14975" s="5" t="s">
        <v>245</v>
      </c>
      <c r="E14975" s="5" t="str">
        <f t="shared" si="768"/>
        <v>ACTISALUD-PISO 12 ALA A-EDGAR NARVAEZ</v>
      </c>
      <c r="F14975" s="5"/>
      <c r="G14975" s="5"/>
    </row>
    <row r="14976" spans="1:7" ht="58.5" customHeight="1" x14ac:dyDescent="0.25">
      <c r="A14976" s="5" t="str">
        <f>"H0028430"</f>
        <v>H0028430</v>
      </c>
      <c r="B14976" s="5" t="str">
        <f t="shared" si="770"/>
        <v>SILLA RECLINOMATICA</v>
      </c>
      <c r="C14976" s="6">
        <v>900000</v>
      </c>
      <c r="D14976" s="5" t="s">
        <v>246</v>
      </c>
      <c r="E14976" s="5" t="str">
        <f t="shared" si="768"/>
        <v>ACTISALUD-PISO 12 ALA A-EDGAR NARVAEZ</v>
      </c>
      <c r="F14976" s="5"/>
      <c r="G14976" s="5"/>
    </row>
    <row r="14977" spans="1:7" ht="58.5" customHeight="1" x14ac:dyDescent="0.25">
      <c r="A14977" s="5" t="str">
        <f>"H0028431"</f>
        <v>H0028431</v>
      </c>
      <c r="B14977" s="5" t="str">
        <f t="shared" si="770"/>
        <v>SILLA RECLINOMATICA</v>
      </c>
      <c r="C14977" s="6">
        <v>900000</v>
      </c>
      <c r="D14977" s="5" t="s">
        <v>737</v>
      </c>
      <c r="E14977" s="5" t="str">
        <f t="shared" si="768"/>
        <v>ACTISALUD-PISO 12 ALA A-EDGAR NARVAEZ</v>
      </c>
      <c r="F14977" s="5"/>
      <c r="G14977" s="5"/>
    </row>
    <row r="14978" spans="1:7" ht="58.5" customHeight="1" x14ac:dyDescent="0.25">
      <c r="A14978" s="5" t="str">
        <f>"H0028432"</f>
        <v>H0028432</v>
      </c>
      <c r="B14978" s="5" t="str">
        <f t="shared" si="770"/>
        <v>SILLA RECLINOMATICA</v>
      </c>
      <c r="C14978" s="6">
        <v>900000</v>
      </c>
      <c r="D14978" s="5" t="s">
        <v>246</v>
      </c>
      <c r="E14978" s="5" t="str">
        <f t="shared" si="768"/>
        <v>ACTISALUD-PISO 12 ALA A-EDGAR NARVAEZ</v>
      </c>
      <c r="F14978" s="5"/>
      <c r="G14978" s="5"/>
    </row>
    <row r="14979" spans="1:7" ht="58.5" customHeight="1" x14ac:dyDescent="0.25">
      <c r="A14979" s="5" t="str">
        <f>"H0028434"</f>
        <v>H0028434</v>
      </c>
      <c r="B14979" s="5" t="str">
        <f t="shared" si="770"/>
        <v>SILLA RECLINOMATICA</v>
      </c>
      <c r="C14979" s="6">
        <v>900000</v>
      </c>
      <c r="D14979" s="5" t="s">
        <v>246</v>
      </c>
      <c r="E14979" s="5" t="str">
        <f t="shared" si="768"/>
        <v>ACTISALUD-PISO 12 ALA A-EDGAR NARVAEZ</v>
      </c>
      <c r="F14979" s="5"/>
      <c r="G14979" s="5"/>
    </row>
    <row r="14980" spans="1:7" ht="58.5" customHeight="1" x14ac:dyDescent="0.25">
      <c r="A14980" s="5" t="str">
        <f>"H0028436"</f>
        <v>H0028436</v>
      </c>
      <c r="B14980" s="5" t="str">
        <f t="shared" si="770"/>
        <v>SILLA RECLINOMATICA</v>
      </c>
      <c r="C14980" s="6">
        <v>900000</v>
      </c>
      <c r="D14980" s="5" t="s">
        <v>246</v>
      </c>
      <c r="E14980" s="5" t="str">
        <f t="shared" si="768"/>
        <v>ACTISALUD-PISO 12 ALA A-EDGAR NARVAEZ</v>
      </c>
      <c r="F14980" s="5"/>
      <c r="G14980" s="5"/>
    </row>
    <row r="14981" spans="1:7" ht="58.5" customHeight="1" x14ac:dyDescent="0.25">
      <c r="A14981" s="5" t="str">
        <f>"H0028437"</f>
        <v>H0028437</v>
      </c>
      <c r="B14981" s="5" t="str">
        <f t="shared" si="770"/>
        <v>SILLA RECLINOMATICA</v>
      </c>
      <c r="C14981" s="6">
        <v>900000</v>
      </c>
      <c r="D14981" s="5" t="s">
        <v>246</v>
      </c>
      <c r="E14981" s="5" t="str">
        <f t="shared" si="768"/>
        <v>ACTISALUD-PISO 12 ALA A-EDGAR NARVAEZ</v>
      </c>
      <c r="F14981" s="5"/>
      <c r="G14981" s="5"/>
    </row>
    <row r="14982" spans="1:7" ht="58.5" customHeight="1" x14ac:dyDescent="0.25">
      <c r="A14982" s="5" t="str">
        <f>"H0028481"</f>
        <v>H0028481</v>
      </c>
      <c r="B14982" s="5" t="str">
        <f>"MESA PUENTE (ALIMENTACION) (INSTRUMENTAL)"</f>
        <v>MESA PUENTE (ALIMENTACION) (INSTRUMENTAL)</v>
      </c>
      <c r="C14982" s="6">
        <v>297500</v>
      </c>
      <c r="D14982" s="5" t="s">
        <v>188</v>
      </c>
      <c r="E14982" s="5" t="str">
        <f t="shared" si="768"/>
        <v>ACTISALUD-PISO 12 ALA A-EDGAR NARVAEZ</v>
      </c>
      <c r="F14982" s="5"/>
      <c r="G14982" s="5"/>
    </row>
    <row r="14983" spans="1:7" ht="58.5" customHeight="1" x14ac:dyDescent="0.25">
      <c r="A14983" s="5" t="str">
        <f>"H0028485"</f>
        <v>H0028485</v>
      </c>
      <c r="B14983" s="5" t="str">
        <f>"MESA PUENTE (ALIMENTACION) (INSTRUMENTAL)"</f>
        <v>MESA PUENTE (ALIMENTACION) (INSTRUMENTAL)</v>
      </c>
      <c r="C14983" s="6">
        <v>297500</v>
      </c>
      <c r="D14983" s="5" t="s">
        <v>188</v>
      </c>
      <c r="E14983" s="5" t="str">
        <f t="shared" si="768"/>
        <v>ACTISALUD-PISO 12 ALA A-EDGAR NARVAEZ</v>
      </c>
      <c r="F14983" s="5"/>
      <c r="G14983" s="5"/>
    </row>
    <row r="14984" spans="1:7" ht="58.5" customHeight="1" x14ac:dyDescent="0.25">
      <c r="A14984" s="5" t="str">
        <f>"H0028487"</f>
        <v>H0028487</v>
      </c>
      <c r="B14984" s="5" t="str">
        <f>"MESA PUENTE (ALIMENTACION) (INSTRUMENTAL)"</f>
        <v>MESA PUENTE (ALIMENTACION) (INSTRUMENTAL)</v>
      </c>
      <c r="C14984" s="6">
        <v>297500</v>
      </c>
      <c r="D14984" s="5" t="s">
        <v>188</v>
      </c>
      <c r="E14984" s="5" t="str">
        <f t="shared" si="768"/>
        <v>ACTISALUD-PISO 12 ALA A-EDGAR NARVAEZ</v>
      </c>
      <c r="F14984" s="5"/>
      <c r="G14984" s="5"/>
    </row>
    <row r="14985" spans="1:7" ht="58.5" customHeight="1" x14ac:dyDescent="0.25">
      <c r="A14985" s="5" t="str">
        <f>"H0028490"</f>
        <v>H0028490</v>
      </c>
      <c r="B14985" s="5" t="str">
        <f>"MESA PUENTE (ALIMENTACION) (INSTRUMENTAL)"</f>
        <v>MESA PUENTE (ALIMENTACION) (INSTRUMENTAL)</v>
      </c>
      <c r="C14985" s="6">
        <v>297500</v>
      </c>
      <c r="D14985" s="5" t="s">
        <v>188</v>
      </c>
      <c r="E14985" s="5" t="str">
        <f t="shared" si="768"/>
        <v>ACTISALUD-PISO 12 ALA A-EDGAR NARVAEZ</v>
      </c>
      <c r="F14985" s="5"/>
      <c r="G14985" s="5"/>
    </row>
    <row r="14986" spans="1:7" ht="58.5" customHeight="1" x14ac:dyDescent="0.25">
      <c r="A14986" s="5" t="str">
        <f>"H0028492"</f>
        <v>H0028492</v>
      </c>
      <c r="B14986" s="5" t="str">
        <f t="shared" ref="B14986:B15001" si="771">"PATO CORPOLOGICO ADULTO ACERO INOX"</f>
        <v>PATO CORPOLOGICO ADULTO ACERO INOX</v>
      </c>
      <c r="C14986" s="6">
        <v>130900</v>
      </c>
      <c r="D14986" s="5" t="s">
        <v>188</v>
      </c>
      <c r="E14986" s="5" t="str">
        <f t="shared" si="768"/>
        <v>ACTISALUD-PISO 12 ALA A-EDGAR NARVAEZ</v>
      </c>
      <c r="F14986" s="5"/>
      <c r="G14986" s="5"/>
    </row>
    <row r="14987" spans="1:7" ht="58.5" customHeight="1" x14ac:dyDescent="0.25">
      <c r="A14987" s="5" t="str">
        <f>"H0028493"</f>
        <v>H0028493</v>
      </c>
      <c r="B14987" s="5" t="str">
        <f t="shared" si="771"/>
        <v>PATO CORPOLOGICO ADULTO ACERO INOX</v>
      </c>
      <c r="C14987" s="6">
        <v>130900</v>
      </c>
      <c r="D14987" s="5" t="s">
        <v>188</v>
      </c>
      <c r="E14987" s="5" t="str">
        <f t="shared" si="768"/>
        <v>ACTISALUD-PISO 12 ALA A-EDGAR NARVAEZ</v>
      </c>
      <c r="F14987" s="5"/>
      <c r="G14987" s="5"/>
    </row>
    <row r="14988" spans="1:7" ht="58.5" customHeight="1" x14ac:dyDescent="0.25">
      <c r="A14988" s="5" t="str">
        <f>"H0028494"</f>
        <v>H0028494</v>
      </c>
      <c r="B14988" s="5" t="str">
        <f t="shared" si="771"/>
        <v>PATO CORPOLOGICO ADULTO ACERO INOX</v>
      </c>
      <c r="C14988" s="6">
        <v>130900</v>
      </c>
      <c r="D14988" s="5" t="s">
        <v>188</v>
      </c>
      <c r="E14988" s="5" t="str">
        <f t="shared" si="768"/>
        <v>ACTISALUD-PISO 12 ALA A-EDGAR NARVAEZ</v>
      </c>
      <c r="F14988" s="5"/>
      <c r="G14988" s="5"/>
    </row>
    <row r="14989" spans="1:7" ht="58.5" customHeight="1" x14ac:dyDescent="0.25">
      <c r="A14989" s="5" t="str">
        <f>"H0028495"</f>
        <v>H0028495</v>
      </c>
      <c r="B14989" s="5" t="str">
        <f t="shared" si="771"/>
        <v>PATO CORPOLOGICO ADULTO ACERO INOX</v>
      </c>
      <c r="C14989" s="6">
        <v>130900</v>
      </c>
      <c r="D14989" s="5" t="s">
        <v>188</v>
      </c>
      <c r="E14989" s="5" t="str">
        <f t="shared" si="768"/>
        <v>ACTISALUD-PISO 12 ALA A-EDGAR NARVAEZ</v>
      </c>
      <c r="F14989" s="5"/>
      <c r="G14989" s="5"/>
    </row>
    <row r="14990" spans="1:7" ht="58.5" customHeight="1" x14ac:dyDescent="0.25">
      <c r="A14990" s="5" t="str">
        <f>"H0028496"</f>
        <v>H0028496</v>
      </c>
      <c r="B14990" s="5" t="str">
        <f t="shared" si="771"/>
        <v>PATO CORPOLOGICO ADULTO ACERO INOX</v>
      </c>
      <c r="C14990" s="6">
        <v>130900</v>
      </c>
      <c r="D14990" s="5" t="s">
        <v>188</v>
      </c>
      <c r="E14990" s="5" t="str">
        <f t="shared" si="768"/>
        <v>ACTISALUD-PISO 12 ALA A-EDGAR NARVAEZ</v>
      </c>
      <c r="F14990" s="5"/>
      <c r="G14990" s="5"/>
    </row>
    <row r="14991" spans="1:7" ht="58.5" customHeight="1" x14ac:dyDescent="0.25">
      <c r="A14991" s="5" t="str">
        <f>"H0028497"</f>
        <v>H0028497</v>
      </c>
      <c r="B14991" s="5" t="str">
        <f t="shared" si="771"/>
        <v>PATO CORPOLOGICO ADULTO ACERO INOX</v>
      </c>
      <c r="C14991" s="6">
        <v>130900</v>
      </c>
      <c r="D14991" s="5" t="s">
        <v>188</v>
      </c>
      <c r="E14991" s="5" t="str">
        <f t="shared" si="768"/>
        <v>ACTISALUD-PISO 12 ALA A-EDGAR NARVAEZ</v>
      </c>
      <c r="F14991" s="5"/>
      <c r="G14991" s="5"/>
    </row>
    <row r="14992" spans="1:7" ht="58.5" customHeight="1" x14ac:dyDescent="0.25">
      <c r="A14992" s="5" t="str">
        <f>"H0028498"</f>
        <v>H0028498</v>
      </c>
      <c r="B14992" s="5" t="str">
        <f t="shared" si="771"/>
        <v>PATO CORPOLOGICO ADULTO ACERO INOX</v>
      </c>
      <c r="C14992" s="6">
        <v>130900</v>
      </c>
      <c r="D14992" s="5" t="s">
        <v>188</v>
      </c>
      <c r="E14992" s="5" t="str">
        <f t="shared" si="768"/>
        <v>ACTISALUD-PISO 12 ALA A-EDGAR NARVAEZ</v>
      </c>
      <c r="F14992" s="5"/>
      <c r="G14992" s="5"/>
    </row>
    <row r="14993" spans="1:7" ht="58.5" customHeight="1" x14ac:dyDescent="0.25">
      <c r="A14993" s="5" t="str">
        <f>"H0028499"</f>
        <v>H0028499</v>
      </c>
      <c r="B14993" s="5" t="str">
        <f t="shared" si="771"/>
        <v>PATO CORPOLOGICO ADULTO ACERO INOX</v>
      </c>
      <c r="C14993" s="6">
        <v>130900</v>
      </c>
      <c r="D14993" s="5" t="s">
        <v>188</v>
      </c>
      <c r="E14993" s="5" t="str">
        <f t="shared" si="768"/>
        <v>ACTISALUD-PISO 12 ALA A-EDGAR NARVAEZ</v>
      </c>
      <c r="F14993" s="5"/>
      <c r="G14993" s="5"/>
    </row>
    <row r="14994" spans="1:7" ht="58.5" customHeight="1" x14ac:dyDescent="0.25">
      <c r="A14994" s="5" t="str">
        <f>"H0028500"</f>
        <v>H0028500</v>
      </c>
      <c r="B14994" s="5" t="str">
        <f t="shared" si="771"/>
        <v>PATO CORPOLOGICO ADULTO ACERO INOX</v>
      </c>
      <c r="C14994" s="6">
        <v>130900</v>
      </c>
      <c r="D14994" s="5" t="s">
        <v>188</v>
      </c>
      <c r="E14994" s="5" t="str">
        <f t="shared" si="768"/>
        <v>ACTISALUD-PISO 12 ALA A-EDGAR NARVAEZ</v>
      </c>
      <c r="F14994" s="5"/>
      <c r="G14994" s="5"/>
    </row>
    <row r="14995" spans="1:7" ht="58.5" customHeight="1" x14ac:dyDescent="0.25">
      <c r="A14995" s="5" t="str">
        <f>"H0028501"</f>
        <v>H0028501</v>
      </c>
      <c r="B14995" s="5" t="str">
        <f t="shared" si="771"/>
        <v>PATO CORPOLOGICO ADULTO ACERO INOX</v>
      </c>
      <c r="C14995" s="6">
        <v>130900</v>
      </c>
      <c r="D14995" s="5" t="s">
        <v>188</v>
      </c>
      <c r="E14995" s="5" t="str">
        <f t="shared" si="768"/>
        <v>ACTISALUD-PISO 12 ALA A-EDGAR NARVAEZ</v>
      </c>
      <c r="F14995" s="5"/>
      <c r="G14995" s="5"/>
    </row>
    <row r="14996" spans="1:7" ht="58.5" customHeight="1" x14ac:dyDescent="0.25">
      <c r="A14996" s="5" t="str">
        <f>"H0028502"</f>
        <v>H0028502</v>
      </c>
      <c r="B14996" s="5" t="str">
        <f t="shared" si="771"/>
        <v>PATO CORPOLOGICO ADULTO ACERO INOX</v>
      </c>
      <c r="C14996" s="6">
        <v>130900</v>
      </c>
      <c r="D14996" s="5" t="s">
        <v>188</v>
      </c>
      <c r="E14996" s="5" t="str">
        <f t="shared" si="768"/>
        <v>ACTISALUD-PISO 12 ALA A-EDGAR NARVAEZ</v>
      </c>
      <c r="F14996" s="5"/>
      <c r="G14996" s="5"/>
    </row>
    <row r="14997" spans="1:7" ht="58.5" customHeight="1" x14ac:dyDescent="0.25">
      <c r="A14997" s="5" t="str">
        <f>"H0028503"</f>
        <v>H0028503</v>
      </c>
      <c r="B14997" s="5" t="str">
        <f t="shared" si="771"/>
        <v>PATO CORPOLOGICO ADULTO ACERO INOX</v>
      </c>
      <c r="C14997" s="6">
        <v>130900</v>
      </c>
      <c r="D14997" s="5" t="s">
        <v>188</v>
      </c>
      <c r="E14997" s="5" t="str">
        <f t="shared" si="768"/>
        <v>ACTISALUD-PISO 12 ALA A-EDGAR NARVAEZ</v>
      </c>
      <c r="F14997" s="5"/>
      <c r="G14997" s="5"/>
    </row>
    <row r="14998" spans="1:7" ht="58.5" customHeight="1" x14ac:dyDescent="0.25">
      <c r="A14998" s="5" t="str">
        <f>"H0028504"</f>
        <v>H0028504</v>
      </c>
      <c r="B14998" s="5" t="str">
        <f t="shared" si="771"/>
        <v>PATO CORPOLOGICO ADULTO ACERO INOX</v>
      </c>
      <c r="C14998" s="6">
        <v>130900</v>
      </c>
      <c r="D14998" s="5" t="s">
        <v>188</v>
      </c>
      <c r="E14998" s="5" t="str">
        <f t="shared" si="768"/>
        <v>ACTISALUD-PISO 12 ALA A-EDGAR NARVAEZ</v>
      </c>
      <c r="F14998" s="5"/>
      <c r="G14998" s="5"/>
    </row>
    <row r="14999" spans="1:7" ht="58.5" customHeight="1" x14ac:dyDescent="0.25">
      <c r="A14999" s="5" t="str">
        <f>"H0028505"</f>
        <v>H0028505</v>
      </c>
      <c r="B14999" s="5" t="str">
        <f t="shared" si="771"/>
        <v>PATO CORPOLOGICO ADULTO ACERO INOX</v>
      </c>
      <c r="C14999" s="6">
        <v>130900</v>
      </c>
      <c r="D14999" s="5" t="s">
        <v>188</v>
      </c>
      <c r="E14999" s="5" t="str">
        <f t="shared" si="768"/>
        <v>ACTISALUD-PISO 12 ALA A-EDGAR NARVAEZ</v>
      </c>
      <c r="F14999" s="5"/>
      <c r="G14999" s="5"/>
    </row>
    <row r="15000" spans="1:7" ht="58.5" customHeight="1" x14ac:dyDescent="0.25">
      <c r="A15000" s="5" t="str">
        <f>"H0028506"</f>
        <v>H0028506</v>
      </c>
      <c r="B15000" s="5" t="str">
        <f t="shared" si="771"/>
        <v>PATO CORPOLOGICO ADULTO ACERO INOX</v>
      </c>
      <c r="C15000" s="6">
        <v>130900</v>
      </c>
      <c r="D15000" s="5" t="s">
        <v>188</v>
      </c>
      <c r="E15000" s="5" t="str">
        <f t="shared" si="768"/>
        <v>ACTISALUD-PISO 12 ALA A-EDGAR NARVAEZ</v>
      </c>
      <c r="F15000" s="5"/>
      <c r="G15000" s="5"/>
    </row>
    <row r="15001" spans="1:7" ht="58.5" customHeight="1" x14ac:dyDescent="0.25">
      <c r="A15001" s="5" t="str">
        <f>"H0028507"</f>
        <v>H0028507</v>
      </c>
      <c r="B15001" s="5" t="str">
        <f t="shared" si="771"/>
        <v>PATO CORPOLOGICO ADULTO ACERO INOX</v>
      </c>
      <c r="C15001" s="6">
        <v>130900</v>
      </c>
      <c r="D15001" s="5" t="s">
        <v>188</v>
      </c>
      <c r="E15001" s="5" t="str">
        <f t="shared" si="768"/>
        <v>ACTISALUD-PISO 12 ALA A-EDGAR NARVAEZ</v>
      </c>
      <c r="F15001" s="5"/>
      <c r="G15001" s="5"/>
    </row>
    <row r="15002" spans="1:7" ht="58.5" customHeight="1" x14ac:dyDescent="0.25">
      <c r="A15002" s="5" t="str">
        <f>"H0028508"</f>
        <v>H0028508</v>
      </c>
      <c r="B15002" s="5" t="str">
        <f t="shared" ref="B15002:B15007" si="772">"CUBETA CON TAPA 35X18X4 ACERO INOX"</f>
        <v>CUBETA CON TAPA 35X18X4 ACERO INOX</v>
      </c>
      <c r="C15002" s="6">
        <v>77350</v>
      </c>
      <c r="D15002" s="5" t="s">
        <v>188</v>
      </c>
      <c r="E15002" s="5" t="str">
        <f t="shared" si="768"/>
        <v>ACTISALUD-PISO 12 ALA A-EDGAR NARVAEZ</v>
      </c>
      <c r="F15002" s="5"/>
      <c r="G15002" s="5"/>
    </row>
    <row r="15003" spans="1:7" ht="58.5" customHeight="1" x14ac:dyDescent="0.25">
      <c r="A15003" s="5" t="str">
        <f>"H0028509"</f>
        <v>H0028509</v>
      </c>
      <c r="B15003" s="5" t="str">
        <f t="shared" si="772"/>
        <v>CUBETA CON TAPA 35X18X4 ACERO INOX</v>
      </c>
      <c r="C15003" s="6">
        <v>77350</v>
      </c>
      <c r="D15003" s="5" t="s">
        <v>188</v>
      </c>
      <c r="E15003" s="5" t="str">
        <f t="shared" si="768"/>
        <v>ACTISALUD-PISO 12 ALA A-EDGAR NARVAEZ</v>
      </c>
      <c r="F15003" s="5"/>
      <c r="G15003" s="5"/>
    </row>
    <row r="15004" spans="1:7" ht="58.5" customHeight="1" x14ac:dyDescent="0.25">
      <c r="A15004" s="5" t="str">
        <f>"H0028510"</f>
        <v>H0028510</v>
      </c>
      <c r="B15004" s="5" t="str">
        <f t="shared" si="772"/>
        <v>CUBETA CON TAPA 35X18X4 ACERO INOX</v>
      </c>
      <c r="C15004" s="6">
        <v>77350</v>
      </c>
      <c r="D15004" s="5" t="s">
        <v>188</v>
      </c>
      <c r="E15004" s="5" t="str">
        <f t="shared" si="768"/>
        <v>ACTISALUD-PISO 12 ALA A-EDGAR NARVAEZ</v>
      </c>
      <c r="F15004" s="5"/>
      <c r="G15004" s="5"/>
    </row>
    <row r="15005" spans="1:7" ht="58.5" customHeight="1" x14ac:dyDescent="0.25">
      <c r="A15005" s="5" t="str">
        <f>"H0028511"</f>
        <v>H0028511</v>
      </c>
      <c r="B15005" s="5" t="str">
        <f t="shared" si="772"/>
        <v>CUBETA CON TAPA 35X18X4 ACERO INOX</v>
      </c>
      <c r="C15005" s="6">
        <v>77350</v>
      </c>
      <c r="D15005" s="5" t="s">
        <v>188</v>
      </c>
      <c r="E15005" s="5" t="str">
        <f t="shared" si="768"/>
        <v>ACTISALUD-PISO 12 ALA A-EDGAR NARVAEZ</v>
      </c>
      <c r="F15005" s="5"/>
      <c r="G15005" s="5"/>
    </row>
    <row r="15006" spans="1:7" ht="58.5" customHeight="1" x14ac:dyDescent="0.25">
      <c r="A15006" s="5" t="str">
        <f>"H0028512"</f>
        <v>H0028512</v>
      </c>
      <c r="B15006" s="5" t="str">
        <f t="shared" si="772"/>
        <v>CUBETA CON TAPA 35X18X4 ACERO INOX</v>
      </c>
      <c r="C15006" s="6">
        <v>77350</v>
      </c>
      <c r="D15006" s="5" t="s">
        <v>188</v>
      </c>
      <c r="E15006" s="5" t="str">
        <f t="shared" si="768"/>
        <v>ACTISALUD-PISO 12 ALA A-EDGAR NARVAEZ</v>
      </c>
      <c r="F15006" s="5"/>
      <c r="G15006" s="5"/>
    </row>
    <row r="15007" spans="1:7" ht="58.5" customHeight="1" x14ac:dyDescent="0.25">
      <c r="A15007" s="5" t="str">
        <f>"H0028513"</f>
        <v>H0028513</v>
      </c>
      <c r="B15007" s="5" t="str">
        <f t="shared" si="772"/>
        <v>CUBETA CON TAPA 35X18X4 ACERO INOX</v>
      </c>
      <c r="C15007" s="6">
        <v>77350</v>
      </c>
      <c r="D15007" s="5" t="s">
        <v>188</v>
      </c>
      <c r="E15007" s="5" t="str">
        <f t="shared" si="768"/>
        <v>ACTISALUD-PISO 12 ALA A-EDGAR NARVAEZ</v>
      </c>
      <c r="F15007" s="5"/>
      <c r="G15007" s="5"/>
    </row>
    <row r="15008" spans="1:7" ht="58.5" customHeight="1" x14ac:dyDescent="0.25">
      <c r="A15008" s="5" t="str">
        <f>"H0028514"</f>
        <v>H0028514</v>
      </c>
      <c r="B15008" s="5" t="str">
        <f>"CUBETA CON TAPA 36X26X4 ACERO INOX"</f>
        <v>CUBETA CON TAPA 36X26X4 ACERO INOX</v>
      </c>
      <c r="C15008" s="6">
        <v>130900</v>
      </c>
      <c r="D15008" s="5" t="s">
        <v>188</v>
      </c>
      <c r="E15008" s="5" t="str">
        <f t="shared" si="768"/>
        <v>ACTISALUD-PISO 12 ALA A-EDGAR NARVAEZ</v>
      </c>
      <c r="F15008" s="5"/>
      <c r="G15008" s="5"/>
    </row>
    <row r="15009" spans="1:7" ht="58.5" customHeight="1" x14ac:dyDescent="0.25">
      <c r="A15009" s="5" t="str">
        <f>"H0028515"</f>
        <v>H0028515</v>
      </c>
      <c r="B15009" s="5" t="str">
        <f>"CUBETA CON TAPA 36X26X4 ACERO INOX"</f>
        <v>CUBETA CON TAPA 36X26X4 ACERO INOX</v>
      </c>
      <c r="C15009" s="6">
        <v>130900</v>
      </c>
      <c r="D15009" s="5" t="s">
        <v>188</v>
      </c>
      <c r="E15009" s="5" t="str">
        <f t="shared" si="768"/>
        <v>ACTISALUD-PISO 12 ALA A-EDGAR NARVAEZ</v>
      </c>
      <c r="F15009" s="5"/>
      <c r="G15009" s="5"/>
    </row>
    <row r="15010" spans="1:7" ht="58.5" customHeight="1" x14ac:dyDescent="0.25">
      <c r="A15010" s="5" t="str">
        <f>"H0028516"</f>
        <v>H0028516</v>
      </c>
      <c r="B15010" s="5" t="str">
        <f t="shared" ref="B15010:B15024" si="773">"RIÑONERA GRANDE 28X12 ACERO INOX"</f>
        <v>RIÑONERA GRANDE 28X12 ACERO INOX</v>
      </c>
      <c r="C15010" s="6">
        <v>29750</v>
      </c>
      <c r="D15010" s="5" t="s">
        <v>188</v>
      </c>
      <c r="E15010" s="5" t="str">
        <f t="shared" si="768"/>
        <v>ACTISALUD-PISO 12 ALA A-EDGAR NARVAEZ</v>
      </c>
      <c r="F15010" s="5"/>
      <c r="G15010" s="5"/>
    </row>
    <row r="15011" spans="1:7" ht="58.5" customHeight="1" x14ac:dyDescent="0.25">
      <c r="A15011" s="5" t="str">
        <f>"H0028517"</f>
        <v>H0028517</v>
      </c>
      <c r="B15011" s="5" t="str">
        <f t="shared" si="773"/>
        <v>RIÑONERA GRANDE 28X12 ACERO INOX</v>
      </c>
      <c r="C15011" s="6">
        <v>29750</v>
      </c>
      <c r="D15011" s="5" t="s">
        <v>188</v>
      </c>
      <c r="E15011" s="5" t="str">
        <f t="shared" si="768"/>
        <v>ACTISALUD-PISO 12 ALA A-EDGAR NARVAEZ</v>
      </c>
      <c r="F15011" s="5"/>
      <c r="G15011" s="5"/>
    </row>
    <row r="15012" spans="1:7" ht="58.5" customHeight="1" x14ac:dyDescent="0.25">
      <c r="A15012" s="5" t="str">
        <f>"H0028518"</f>
        <v>H0028518</v>
      </c>
      <c r="B15012" s="5" t="str">
        <f t="shared" si="773"/>
        <v>RIÑONERA GRANDE 28X12 ACERO INOX</v>
      </c>
      <c r="C15012" s="6">
        <v>29750</v>
      </c>
      <c r="D15012" s="5" t="s">
        <v>188</v>
      </c>
      <c r="E15012" s="5" t="str">
        <f t="shared" si="768"/>
        <v>ACTISALUD-PISO 12 ALA A-EDGAR NARVAEZ</v>
      </c>
      <c r="F15012" s="5"/>
      <c r="G15012" s="5"/>
    </row>
    <row r="15013" spans="1:7" ht="58.5" customHeight="1" x14ac:dyDescent="0.25">
      <c r="A15013" s="5" t="str">
        <f>"H0028519"</f>
        <v>H0028519</v>
      </c>
      <c r="B15013" s="5" t="str">
        <f t="shared" si="773"/>
        <v>RIÑONERA GRANDE 28X12 ACERO INOX</v>
      </c>
      <c r="C15013" s="6">
        <v>29750</v>
      </c>
      <c r="D15013" s="5" t="s">
        <v>188</v>
      </c>
      <c r="E15013" s="5" t="str">
        <f t="shared" si="768"/>
        <v>ACTISALUD-PISO 12 ALA A-EDGAR NARVAEZ</v>
      </c>
      <c r="F15013" s="5"/>
      <c r="G15013" s="5"/>
    </row>
    <row r="15014" spans="1:7" ht="58.5" customHeight="1" x14ac:dyDescent="0.25">
      <c r="A15014" s="5" t="str">
        <f>"H0028520"</f>
        <v>H0028520</v>
      </c>
      <c r="B15014" s="5" t="str">
        <f t="shared" si="773"/>
        <v>RIÑONERA GRANDE 28X12 ACERO INOX</v>
      </c>
      <c r="C15014" s="6">
        <v>29750</v>
      </c>
      <c r="D15014" s="5" t="s">
        <v>188</v>
      </c>
      <c r="E15014" s="5" t="str">
        <f t="shared" ref="E15014:E15077" si="774">"ACTISALUD-PISO 12 ALA A-EDGAR NARVAEZ"</f>
        <v>ACTISALUD-PISO 12 ALA A-EDGAR NARVAEZ</v>
      </c>
      <c r="F15014" s="5"/>
      <c r="G15014" s="5"/>
    </row>
    <row r="15015" spans="1:7" ht="58.5" customHeight="1" x14ac:dyDescent="0.25">
      <c r="A15015" s="5" t="str">
        <f>"H0028521"</f>
        <v>H0028521</v>
      </c>
      <c r="B15015" s="5" t="str">
        <f t="shared" si="773"/>
        <v>RIÑONERA GRANDE 28X12 ACERO INOX</v>
      </c>
      <c r="C15015" s="6">
        <v>29750</v>
      </c>
      <c r="D15015" s="5" t="s">
        <v>188</v>
      </c>
      <c r="E15015" s="5" t="str">
        <f t="shared" si="774"/>
        <v>ACTISALUD-PISO 12 ALA A-EDGAR NARVAEZ</v>
      </c>
      <c r="F15015" s="5"/>
      <c r="G15015" s="5"/>
    </row>
    <row r="15016" spans="1:7" ht="58.5" customHeight="1" x14ac:dyDescent="0.25">
      <c r="A15016" s="5" t="str">
        <f>"H0028523"</f>
        <v>H0028523</v>
      </c>
      <c r="B15016" s="5" t="str">
        <f t="shared" si="773"/>
        <v>RIÑONERA GRANDE 28X12 ACERO INOX</v>
      </c>
      <c r="C15016" s="6">
        <v>29750</v>
      </c>
      <c r="D15016" s="5" t="s">
        <v>188</v>
      </c>
      <c r="E15016" s="5" t="str">
        <f t="shared" si="774"/>
        <v>ACTISALUD-PISO 12 ALA A-EDGAR NARVAEZ</v>
      </c>
      <c r="F15016" s="5"/>
      <c r="G15016" s="5"/>
    </row>
    <row r="15017" spans="1:7" ht="58.5" customHeight="1" x14ac:dyDescent="0.25">
      <c r="A15017" s="5" t="str">
        <f>"H0028524"</f>
        <v>H0028524</v>
      </c>
      <c r="B15017" s="5" t="str">
        <f t="shared" si="773"/>
        <v>RIÑONERA GRANDE 28X12 ACERO INOX</v>
      </c>
      <c r="C15017" s="6">
        <v>29750</v>
      </c>
      <c r="D15017" s="5" t="s">
        <v>188</v>
      </c>
      <c r="E15017" s="5" t="str">
        <f t="shared" si="774"/>
        <v>ACTISALUD-PISO 12 ALA A-EDGAR NARVAEZ</v>
      </c>
      <c r="F15017" s="5"/>
      <c r="G15017" s="5"/>
    </row>
    <row r="15018" spans="1:7" ht="58.5" customHeight="1" x14ac:dyDescent="0.25">
      <c r="A15018" s="5" t="str">
        <f>"H0028525"</f>
        <v>H0028525</v>
      </c>
      <c r="B15018" s="5" t="str">
        <f t="shared" si="773"/>
        <v>RIÑONERA GRANDE 28X12 ACERO INOX</v>
      </c>
      <c r="C15018" s="6">
        <v>29750</v>
      </c>
      <c r="D15018" s="5" t="s">
        <v>188</v>
      </c>
      <c r="E15018" s="5" t="str">
        <f t="shared" si="774"/>
        <v>ACTISALUD-PISO 12 ALA A-EDGAR NARVAEZ</v>
      </c>
      <c r="F15018" s="5"/>
      <c r="G15018" s="5"/>
    </row>
    <row r="15019" spans="1:7" ht="58.5" customHeight="1" x14ac:dyDescent="0.25">
      <c r="A15019" s="5" t="str">
        <f>"H0028526"</f>
        <v>H0028526</v>
      </c>
      <c r="B15019" s="5" t="str">
        <f t="shared" si="773"/>
        <v>RIÑONERA GRANDE 28X12 ACERO INOX</v>
      </c>
      <c r="C15019" s="6">
        <v>29750</v>
      </c>
      <c r="D15019" s="5" t="s">
        <v>188</v>
      </c>
      <c r="E15019" s="5" t="str">
        <f t="shared" si="774"/>
        <v>ACTISALUD-PISO 12 ALA A-EDGAR NARVAEZ</v>
      </c>
      <c r="F15019" s="5"/>
      <c r="G15019" s="5"/>
    </row>
    <row r="15020" spans="1:7" ht="58.5" customHeight="1" x14ac:dyDescent="0.25">
      <c r="A15020" s="5" t="str">
        <f>"H0028527"</f>
        <v>H0028527</v>
      </c>
      <c r="B15020" s="5" t="str">
        <f t="shared" si="773"/>
        <v>RIÑONERA GRANDE 28X12 ACERO INOX</v>
      </c>
      <c r="C15020" s="6">
        <v>29750</v>
      </c>
      <c r="D15020" s="5" t="s">
        <v>188</v>
      </c>
      <c r="E15020" s="5" t="str">
        <f t="shared" si="774"/>
        <v>ACTISALUD-PISO 12 ALA A-EDGAR NARVAEZ</v>
      </c>
      <c r="F15020" s="5"/>
      <c r="G15020" s="5"/>
    </row>
    <row r="15021" spans="1:7" ht="58.5" customHeight="1" x14ac:dyDescent="0.25">
      <c r="A15021" s="5" t="str">
        <f>"H0028528"</f>
        <v>H0028528</v>
      </c>
      <c r="B15021" s="5" t="str">
        <f t="shared" si="773"/>
        <v>RIÑONERA GRANDE 28X12 ACERO INOX</v>
      </c>
      <c r="C15021" s="6">
        <v>29750</v>
      </c>
      <c r="D15021" s="5" t="s">
        <v>188</v>
      </c>
      <c r="E15021" s="5" t="str">
        <f t="shared" si="774"/>
        <v>ACTISALUD-PISO 12 ALA A-EDGAR NARVAEZ</v>
      </c>
      <c r="F15021" s="5"/>
      <c r="G15021" s="5"/>
    </row>
    <row r="15022" spans="1:7" ht="58.5" customHeight="1" x14ac:dyDescent="0.25">
      <c r="A15022" s="5" t="str">
        <f>"H0028529"</f>
        <v>H0028529</v>
      </c>
      <c r="B15022" s="5" t="str">
        <f t="shared" si="773"/>
        <v>RIÑONERA GRANDE 28X12 ACERO INOX</v>
      </c>
      <c r="C15022" s="6">
        <v>29750</v>
      </c>
      <c r="D15022" s="5" t="s">
        <v>188</v>
      </c>
      <c r="E15022" s="5" t="str">
        <f t="shared" si="774"/>
        <v>ACTISALUD-PISO 12 ALA A-EDGAR NARVAEZ</v>
      </c>
      <c r="F15022" s="5"/>
      <c r="G15022" s="5"/>
    </row>
    <row r="15023" spans="1:7" ht="58.5" customHeight="1" x14ac:dyDescent="0.25">
      <c r="A15023" s="5" t="str">
        <f>"H0028530"</f>
        <v>H0028530</v>
      </c>
      <c r="B15023" s="5" t="str">
        <f t="shared" si="773"/>
        <v>RIÑONERA GRANDE 28X12 ACERO INOX</v>
      </c>
      <c r="C15023" s="6">
        <v>29750</v>
      </c>
      <c r="D15023" s="5" t="s">
        <v>188</v>
      </c>
      <c r="E15023" s="5" t="str">
        <f t="shared" si="774"/>
        <v>ACTISALUD-PISO 12 ALA A-EDGAR NARVAEZ</v>
      </c>
      <c r="F15023" s="5"/>
      <c r="G15023" s="5"/>
    </row>
    <row r="15024" spans="1:7" ht="58.5" customHeight="1" x14ac:dyDescent="0.25">
      <c r="A15024" s="5" t="str">
        <f>"H0028531"</f>
        <v>H0028531</v>
      </c>
      <c r="B15024" s="5" t="str">
        <f t="shared" si="773"/>
        <v>RIÑONERA GRANDE 28X12 ACERO INOX</v>
      </c>
      <c r="C15024" s="6">
        <v>29750</v>
      </c>
      <c r="D15024" s="5" t="s">
        <v>188</v>
      </c>
      <c r="E15024" s="5" t="str">
        <f t="shared" si="774"/>
        <v>ACTISALUD-PISO 12 ALA A-EDGAR NARVAEZ</v>
      </c>
      <c r="F15024" s="5"/>
      <c r="G15024" s="5"/>
    </row>
    <row r="15025" spans="1:7" ht="58.5" customHeight="1" x14ac:dyDescent="0.25">
      <c r="A15025" s="5" t="str">
        <f>"H0028532"</f>
        <v>H0028532</v>
      </c>
      <c r="B15025" s="5" t="str">
        <f t="shared" ref="B15025:B15030" si="775">"TARRO ALGODONERO 10X16 ACERO INOX 1 LITRO"</f>
        <v>TARRO ALGODONERO 10X16 ACERO INOX 1 LITRO</v>
      </c>
      <c r="C15025" s="6">
        <v>14280</v>
      </c>
      <c r="D15025" s="5" t="s">
        <v>188</v>
      </c>
      <c r="E15025" s="5" t="str">
        <f t="shared" si="774"/>
        <v>ACTISALUD-PISO 12 ALA A-EDGAR NARVAEZ</v>
      </c>
      <c r="F15025" s="5"/>
      <c r="G15025" s="5"/>
    </row>
    <row r="15026" spans="1:7" ht="58.5" customHeight="1" x14ac:dyDescent="0.25">
      <c r="A15026" s="5" t="str">
        <f>"H0028533"</f>
        <v>H0028533</v>
      </c>
      <c r="B15026" s="5" t="str">
        <f t="shared" si="775"/>
        <v>TARRO ALGODONERO 10X16 ACERO INOX 1 LITRO</v>
      </c>
      <c r="C15026" s="6">
        <v>14280</v>
      </c>
      <c r="D15026" s="5" t="s">
        <v>188</v>
      </c>
      <c r="E15026" s="5" t="str">
        <f t="shared" si="774"/>
        <v>ACTISALUD-PISO 12 ALA A-EDGAR NARVAEZ</v>
      </c>
      <c r="F15026" s="5"/>
      <c r="G15026" s="5"/>
    </row>
    <row r="15027" spans="1:7" ht="58.5" customHeight="1" x14ac:dyDescent="0.25">
      <c r="A15027" s="5" t="str">
        <f>"H0028534"</f>
        <v>H0028534</v>
      </c>
      <c r="B15027" s="5" t="str">
        <f t="shared" si="775"/>
        <v>TARRO ALGODONERO 10X16 ACERO INOX 1 LITRO</v>
      </c>
      <c r="C15027" s="6">
        <v>14280</v>
      </c>
      <c r="D15027" s="5" t="s">
        <v>188</v>
      </c>
      <c r="E15027" s="5" t="str">
        <f t="shared" si="774"/>
        <v>ACTISALUD-PISO 12 ALA A-EDGAR NARVAEZ</v>
      </c>
      <c r="F15027" s="5"/>
      <c r="G15027" s="5"/>
    </row>
    <row r="15028" spans="1:7" ht="58.5" customHeight="1" x14ac:dyDescent="0.25">
      <c r="A15028" s="5" t="str">
        <f>"H0028535"</f>
        <v>H0028535</v>
      </c>
      <c r="B15028" s="5" t="str">
        <f t="shared" si="775"/>
        <v>TARRO ALGODONERO 10X16 ACERO INOX 1 LITRO</v>
      </c>
      <c r="C15028" s="6">
        <v>14280</v>
      </c>
      <c r="D15028" s="5" t="s">
        <v>188</v>
      </c>
      <c r="E15028" s="5" t="str">
        <f t="shared" si="774"/>
        <v>ACTISALUD-PISO 12 ALA A-EDGAR NARVAEZ</v>
      </c>
      <c r="F15028" s="5"/>
      <c r="G15028" s="5"/>
    </row>
    <row r="15029" spans="1:7" ht="58.5" customHeight="1" x14ac:dyDescent="0.25">
      <c r="A15029" s="5" t="str">
        <f>"H0028536"</f>
        <v>H0028536</v>
      </c>
      <c r="B15029" s="5" t="str">
        <f t="shared" si="775"/>
        <v>TARRO ALGODONERO 10X16 ACERO INOX 1 LITRO</v>
      </c>
      <c r="C15029" s="6">
        <v>14280</v>
      </c>
      <c r="D15029" s="5" t="s">
        <v>188</v>
      </c>
      <c r="E15029" s="5" t="str">
        <f t="shared" si="774"/>
        <v>ACTISALUD-PISO 12 ALA A-EDGAR NARVAEZ</v>
      </c>
      <c r="F15029" s="5"/>
      <c r="G15029" s="5"/>
    </row>
    <row r="15030" spans="1:7" ht="58.5" customHeight="1" x14ac:dyDescent="0.25">
      <c r="A15030" s="5" t="str">
        <f>"H0028537"</f>
        <v>H0028537</v>
      </c>
      <c r="B15030" s="5" t="str">
        <f t="shared" si="775"/>
        <v>TARRO ALGODONERO 10X16 ACERO INOX 1 LITRO</v>
      </c>
      <c r="C15030" s="6">
        <v>14280</v>
      </c>
      <c r="D15030" s="5" t="s">
        <v>188</v>
      </c>
      <c r="E15030" s="5" t="str">
        <f t="shared" si="774"/>
        <v>ACTISALUD-PISO 12 ALA A-EDGAR NARVAEZ</v>
      </c>
      <c r="F15030" s="5"/>
      <c r="G15030" s="5"/>
    </row>
    <row r="15031" spans="1:7" ht="58.5" customHeight="1" x14ac:dyDescent="0.25">
      <c r="A15031" s="5" t="str">
        <f>"H0028594"</f>
        <v>H0028594</v>
      </c>
      <c r="B15031" s="5" t="str">
        <f>"MESA METALICA PARA COMPUTADOR"</f>
        <v>MESA METALICA PARA COMPUTADOR</v>
      </c>
      <c r="C15031" s="6">
        <v>447261.5</v>
      </c>
      <c r="D15031" s="5" t="s">
        <v>248</v>
      </c>
      <c r="E15031" s="5" t="str">
        <f t="shared" si="774"/>
        <v>ACTISALUD-PISO 12 ALA A-EDGAR NARVAEZ</v>
      </c>
      <c r="F15031" s="5"/>
      <c r="G15031" s="5"/>
    </row>
    <row r="15032" spans="1:7" ht="58.5" customHeight="1" x14ac:dyDescent="0.25">
      <c r="A15032" s="5" t="str">
        <f>"H0028602"</f>
        <v>H0028602</v>
      </c>
      <c r="B15032" s="5" t="str">
        <f>"MÓDULO WIRELESS (CON 1 SIRENA 45W Y BATERÍA)"</f>
        <v>MÓDULO WIRELESS (CON 1 SIRENA 45W Y BATERÍA)</v>
      </c>
      <c r="C15032" s="6">
        <v>728280</v>
      </c>
      <c r="D15032" s="5" t="s">
        <v>87</v>
      </c>
      <c r="E15032" s="5" t="str">
        <f t="shared" si="774"/>
        <v>ACTISALUD-PISO 12 ALA A-EDGAR NARVAEZ</v>
      </c>
      <c r="F15032" s="5"/>
      <c r="G15032" s="5"/>
    </row>
    <row r="15033" spans="1:7" ht="58.5" customHeight="1" x14ac:dyDescent="0.25">
      <c r="A15033" s="5" t="str">
        <f>"H0028614"</f>
        <v>H0028614</v>
      </c>
      <c r="B15033" s="5" t="str">
        <f>"BALIZA ROTATIVA WIRELESS LUZ EMERGENCIA"</f>
        <v>BALIZA ROTATIVA WIRELESS LUZ EMERGENCIA</v>
      </c>
      <c r="C15033" s="6">
        <v>238000</v>
      </c>
      <c r="D15033" s="5" t="s">
        <v>87</v>
      </c>
      <c r="E15033" s="5" t="str">
        <f t="shared" si="774"/>
        <v>ACTISALUD-PISO 12 ALA A-EDGAR NARVAEZ</v>
      </c>
      <c r="F15033" s="5"/>
      <c r="G15033" s="5"/>
    </row>
    <row r="15034" spans="1:7" ht="58.5" customHeight="1" x14ac:dyDescent="0.25">
      <c r="A15034" s="5" t="str">
        <f>"H0028626"</f>
        <v>H0028626</v>
      </c>
      <c r="B15034" s="5" t="str">
        <f>"BOTÓN DE EMERGENCIA PÁNICO SOS FIJO WIRELESS"</f>
        <v>BOTÓN DE EMERGENCIA PÁNICO SOS FIJO WIRELESS</v>
      </c>
      <c r="C15034" s="6">
        <v>297500</v>
      </c>
      <c r="D15034" s="5" t="s">
        <v>87</v>
      </c>
      <c r="E15034" s="5" t="str">
        <f t="shared" si="774"/>
        <v>ACTISALUD-PISO 12 ALA A-EDGAR NARVAEZ</v>
      </c>
      <c r="F15034" s="5"/>
      <c r="G15034" s="5"/>
    </row>
    <row r="15035" spans="1:7" ht="58.5" customHeight="1" x14ac:dyDescent="0.25">
      <c r="A15035" s="5" t="str">
        <f>"H0028627"</f>
        <v>H0028627</v>
      </c>
      <c r="B15035" s="5" t="str">
        <f>"BOTÓN DE EMERGENCIA PÁNICO SOS FIJO WIRELESS"</f>
        <v>BOTÓN DE EMERGENCIA PÁNICO SOS FIJO WIRELESS</v>
      </c>
      <c r="C15035" s="6">
        <v>297500</v>
      </c>
      <c r="D15035" s="5" t="s">
        <v>87</v>
      </c>
      <c r="E15035" s="5" t="str">
        <f t="shared" si="774"/>
        <v>ACTISALUD-PISO 12 ALA A-EDGAR NARVAEZ</v>
      </c>
      <c r="F15035" s="5"/>
      <c r="G15035" s="5"/>
    </row>
    <row r="15036" spans="1:7" ht="58.5" customHeight="1" x14ac:dyDescent="0.25">
      <c r="A15036" s="5" t="str">
        <f>"H0028628"</f>
        <v>H0028628</v>
      </c>
      <c r="B15036" s="5" t="str">
        <f>"BOTÓN DE EMERGENCIA PÁNICO SOS FIJO WIRELESS"</f>
        <v>BOTÓN DE EMERGENCIA PÁNICO SOS FIJO WIRELESS</v>
      </c>
      <c r="C15036" s="6">
        <v>297500</v>
      </c>
      <c r="D15036" s="5" t="s">
        <v>87</v>
      </c>
      <c r="E15036" s="5" t="str">
        <f t="shared" si="774"/>
        <v>ACTISALUD-PISO 12 ALA A-EDGAR NARVAEZ</v>
      </c>
      <c r="F15036" s="5"/>
      <c r="G15036" s="5"/>
    </row>
    <row r="15037" spans="1:7" ht="58.5" customHeight="1" x14ac:dyDescent="0.25">
      <c r="A15037" s="5" t="str">
        <f>"H0028662"</f>
        <v>H0028662</v>
      </c>
      <c r="B15037" s="5" t="str">
        <f>"BOTÓN DE EMERGENCIA PÁNICO SOS MÓVIL WIRELESS"</f>
        <v>BOTÓN DE EMERGENCIA PÁNICO SOS MÓVIL WIRELESS</v>
      </c>
      <c r="C15037" s="6">
        <v>47600</v>
      </c>
      <c r="D15037" s="5" t="s">
        <v>87</v>
      </c>
      <c r="E15037" s="5" t="str">
        <f t="shared" si="774"/>
        <v>ACTISALUD-PISO 12 ALA A-EDGAR NARVAEZ</v>
      </c>
      <c r="F15037" s="5"/>
      <c r="G15037" s="5"/>
    </row>
    <row r="15038" spans="1:7" ht="58.5" customHeight="1" x14ac:dyDescent="0.25">
      <c r="A15038" s="5" t="str">
        <f>"H0028663"</f>
        <v>H0028663</v>
      </c>
      <c r="B15038" s="5" t="str">
        <f>"BOTÓN DE EMERGENCIA PÁNICO SOS MÓVIL WIRELESS"</f>
        <v>BOTÓN DE EMERGENCIA PÁNICO SOS MÓVIL WIRELESS</v>
      </c>
      <c r="C15038" s="6">
        <v>47600</v>
      </c>
      <c r="D15038" s="5" t="s">
        <v>87</v>
      </c>
      <c r="E15038" s="5" t="str">
        <f t="shared" si="774"/>
        <v>ACTISALUD-PISO 12 ALA A-EDGAR NARVAEZ</v>
      </c>
      <c r="F15038" s="5"/>
      <c r="G15038" s="5"/>
    </row>
    <row r="15039" spans="1:7" ht="58.5" customHeight="1" x14ac:dyDescent="0.25">
      <c r="A15039" s="5" t="str">
        <f>"H0028687"</f>
        <v>H0028687</v>
      </c>
      <c r="B15039" s="5" t="str">
        <f>"LÁMPARA RECARGABLE DE EMERGENCIA 60 BOMBILLOS LED LUZ BLANCA"</f>
        <v>LÁMPARA RECARGABLE DE EMERGENCIA 60 BOMBILLOS LED LUZ BLANCA</v>
      </c>
      <c r="C15039" s="6">
        <v>255850</v>
      </c>
      <c r="D15039" s="5" t="s">
        <v>701</v>
      </c>
      <c r="E15039" s="5" t="str">
        <f t="shared" si="774"/>
        <v>ACTISALUD-PISO 12 ALA A-EDGAR NARVAEZ</v>
      </c>
      <c r="F15039" s="5"/>
      <c r="G15039" s="5"/>
    </row>
    <row r="15040" spans="1:7" ht="58.5" customHeight="1" x14ac:dyDescent="0.25">
      <c r="A15040" s="5" t="str">
        <f>"H0028688"</f>
        <v>H0028688</v>
      </c>
      <c r="B15040" s="5" t="str">
        <f>"LÁMPARA RECARGABLE DE EMERGENCIA 60 BOMBILLOS LED LUZ BLANCA"</f>
        <v>LÁMPARA RECARGABLE DE EMERGENCIA 60 BOMBILLOS LED LUZ BLANCA</v>
      </c>
      <c r="C15040" s="6">
        <v>255850</v>
      </c>
      <c r="D15040" s="5" t="s">
        <v>87</v>
      </c>
      <c r="E15040" s="5" t="str">
        <f t="shared" si="774"/>
        <v>ACTISALUD-PISO 12 ALA A-EDGAR NARVAEZ</v>
      </c>
      <c r="F15040" s="5"/>
      <c r="G15040" s="5"/>
    </row>
    <row r="15041" spans="1:7" ht="58.5" customHeight="1" x14ac:dyDescent="0.25">
      <c r="A15041" s="5" t="str">
        <f>"H0028740"</f>
        <v>H0028740</v>
      </c>
      <c r="B15041" s="5" t="str">
        <f>"VENTILADOR DE PEDESTAL"</f>
        <v>VENTILADOR DE PEDESTAL</v>
      </c>
      <c r="C15041" s="6">
        <v>99899.96</v>
      </c>
      <c r="D15041" s="5" t="s">
        <v>39</v>
      </c>
      <c r="E15041" s="5" t="str">
        <f t="shared" si="774"/>
        <v>ACTISALUD-PISO 12 ALA A-EDGAR NARVAEZ</v>
      </c>
      <c r="F15041" s="5"/>
      <c r="G15041" s="5"/>
    </row>
    <row r="15042" spans="1:7" ht="58.5" customHeight="1" x14ac:dyDescent="0.25">
      <c r="A15042" s="5" t="str">
        <f>"H0028747"</f>
        <v>H0028747</v>
      </c>
      <c r="B15042" s="5" t="str">
        <f>"VENTILADOR DE PEDESTAL"</f>
        <v>VENTILADOR DE PEDESTAL</v>
      </c>
      <c r="C15042" s="6">
        <v>99899.96</v>
      </c>
      <c r="D15042" s="5" t="s">
        <v>39</v>
      </c>
      <c r="E15042" s="5" t="str">
        <f t="shared" si="774"/>
        <v>ACTISALUD-PISO 12 ALA A-EDGAR NARVAEZ</v>
      </c>
      <c r="F15042" s="5"/>
      <c r="G15042" s="5"/>
    </row>
    <row r="15043" spans="1:7" ht="58.5" customHeight="1" x14ac:dyDescent="0.25">
      <c r="A15043" s="5" t="str">
        <f>"H0028748"</f>
        <v>H0028748</v>
      </c>
      <c r="B15043" s="5" t="str">
        <f>"NEVERA MINI BAR DE 93 LT"</f>
        <v>NEVERA MINI BAR DE 93 LT</v>
      </c>
      <c r="C15043" s="6">
        <v>479900.02</v>
      </c>
      <c r="D15043" s="5" t="s">
        <v>39</v>
      </c>
      <c r="E15043" s="5" t="str">
        <f t="shared" si="774"/>
        <v>ACTISALUD-PISO 12 ALA A-EDGAR NARVAEZ</v>
      </c>
      <c r="F15043" s="5"/>
      <c r="G15043" s="5"/>
    </row>
    <row r="15044" spans="1:7" ht="58.5" customHeight="1" x14ac:dyDescent="0.25">
      <c r="A15044" s="5" t="str">
        <f>"H0028755"</f>
        <v>H0028755</v>
      </c>
      <c r="B15044" s="5" t="str">
        <f t="shared" ref="B15044:B15049" si="776">"SILLA HERGONOMICA CON SISTEMA HIDRAULICO"</f>
        <v>SILLA HERGONOMICA CON SISTEMA HIDRAULICO</v>
      </c>
      <c r="C15044" s="6">
        <v>174900</v>
      </c>
      <c r="D15044" s="5" t="s">
        <v>39</v>
      </c>
      <c r="E15044" s="5" t="str">
        <f t="shared" si="774"/>
        <v>ACTISALUD-PISO 12 ALA A-EDGAR NARVAEZ</v>
      </c>
      <c r="F15044" s="5"/>
      <c r="G15044" s="5"/>
    </row>
    <row r="15045" spans="1:7" ht="58.5" customHeight="1" x14ac:dyDescent="0.25">
      <c r="A15045" s="5" t="str">
        <f>"H0028757"</f>
        <v>H0028757</v>
      </c>
      <c r="B15045" s="5" t="str">
        <f t="shared" si="776"/>
        <v>SILLA HERGONOMICA CON SISTEMA HIDRAULICO</v>
      </c>
      <c r="C15045" s="6">
        <v>174900</v>
      </c>
      <c r="D15045" s="5" t="s">
        <v>39</v>
      </c>
      <c r="E15045" s="5" t="str">
        <f t="shared" si="774"/>
        <v>ACTISALUD-PISO 12 ALA A-EDGAR NARVAEZ</v>
      </c>
      <c r="F15045" s="5"/>
      <c r="G15045" s="5"/>
    </row>
    <row r="15046" spans="1:7" ht="58.5" customHeight="1" x14ac:dyDescent="0.25">
      <c r="A15046" s="5" t="str">
        <f>"H0028883"</f>
        <v>H0028883</v>
      </c>
      <c r="B15046" s="5" t="str">
        <f t="shared" si="776"/>
        <v>SILLA HERGONOMICA CON SISTEMA HIDRAULICO</v>
      </c>
      <c r="C15046" s="6">
        <v>174900</v>
      </c>
      <c r="D15046" s="5" t="s">
        <v>40</v>
      </c>
      <c r="E15046" s="5" t="str">
        <f t="shared" si="774"/>
        <v>ACTISALUD-PISO 12 ALA A-EDGAR NARVAEZ</v>
      </c>
      <c r="F15046" s="5"/>
      <c r="G15046" s="5"/>
    </row>
    <row r="15047" spans="1:7" ht="58.5" customHeight="1" x14ac:dyDescent="0.25">
      <c r="A15047" s="5" t="str">
        <f>"H0028886"</f>
        <v>H0028886</v>
      </c>
      <c r="B15047" s="5" t="str">
        <f t="shared" si="776"/>
        <v>SILLA HERGONOMICA CON SISTEMA HIDRAULICO</v>
      </c>
      <c r="C15047" s="6">
        <v>174900</v>
      </c>
      <c r="D15047" s="5" t="s">
        <v>40</v>
      </c>
      <c r="E15047" s="5" t="str">
        <f t="shared" si="774"/>
        <v>ACTISALUD-PISO 12 ALA A-EDGAR NARVAEZ</v>
      </c>
      <c r="F15047" s="5"/>
      <c r="G15047" s="5"/>
    </row>
    <row r="15048" spans="1:7" ht="58.5" customHeight="1" x14ac:dyDescent="0.25">
      <c r="A15048" s="5" t="str">
        <f>"H0028920"</f>
        <v>H0028920</v>
      </c>
      <c r="B15048" s="5" t="str">
        <f t="shared" si="776"/>
        <v>SILLA HERGONOMICA CON SISTEMA HIDRAULICO</v>
      </c>
      <c r="C15048" s="6">
        <v>174900</v>
      </c>
      <c r="D15048" s="5" t="s">
        <v>40</v>
      </c>
      <c r="E15048" s="5" t="str">
        <f t="shared" si="774"/>
        <v>ACTISALUD-PISO 12 ALA A-EDGAR NARVAEZ</v>
      </c>
      <c r="F15048" s="5"/>
      <c r="G15048" s="5"/>
    </row>
    <row r="15049" spans="1:7" ht="58.5" customHeight="1" x14ac:dyDescent="0.25">
      <c r="A15049" s="5" t="str">
        <f>"H0029343"</f>
        <v>H0029343</v>
      </c>
      <c r="B15049" s="5" t="str">
        <f t="shared" si="776"/>
        <v>SILLA HERGONOMICA CON SISTEMA HIDRAULICO</v>
      </c>
      <c r="C15049" s="6">
        <v>174900</v>
      </c>
      <c r="D15049" s="5" t="s">
        <v>89</v>
      </c>
      <c r="E15049" s="5" t="str">
        <f t="shared" si="774"/>
        <v>ACTISALUD-PISO 12 ALA A-EDGAR NARVAEZ</v>
      </c>
      <c r="F15049" s="5"/>
      <c r="G15049" s="5"/>
    </row>
    <row r="15050" spans="1:7" ht="58.5" customHeight="1" x14ac:dyDescent="0.25">
      <c r="A15050" s="5" t="str">
        <f>"H0029509"</f>
        <v>H0029509</v>
      </c>
      <c r="B1505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5050" s="6">
        <v>257040</v>
      </c>
      <c r="D15050" s="5" t="s">
        <v>738</v>
      </c>
      <c r="E15050" s="5" t="str">
        <f t="shared" si="774"/>
        <v>ACTISALUD-PISO 12 ALA A-EDGAR NARVAEZ</v>
      </c>
      <c r="F15050" s="5"/>
      <c r="G15050" s="5"/>
    </row>
    <row r="15051" spans="1:7" ht="58.5" customHeight="1" x14ac:dyDescent="0.25">
      <c r="A15051" s="5" t="str">
        <f>"H0029706"</f>
        <v>H0029706</v>
      </c>
      <c r="B15051" s="5" t="s">
        <v>94</v>
      </c>
      <c r="C15051" s="6">
        <v>148999.9</v>
      </c>
      <c r="D15051" s="5" t="s">
        <v>93</v>
      </c>
      <c r="E15051" s="5" t="str">
        <f t="shared" si="774"/>
        <v>ACTISALUD-PISO 12 ALA A-EDGAR NARVAEZ</v>
      </c>
      <c r="F15051" s="5"/>
      <c r="G15051" s="5"/>
    </row>
    <row r="15052" spans="1:7" ht="58.5" customHeight="1" x14ac:dyDescent="0.25">
      <c r="A15052" s="5" t="str">
        <f>"H0030022"</f>
        <v>H0030022</v>
      </c>
      <c r="B15052" s="5" t="str">
        <f t="shared" ref="B15052:B15064" si="777">"SILLA RECLINOMATICA"</f>
        <v>SILLA RECLINOMATICA</v>
      </c>
      <c r="C15052" s="6">
        <v>1065050</v>
      </c>
      <c r="D15052" s="5" t="s">
        <v>97</v>
      </c>
      <c r="E15052" s="5" t="str">
        <f t="shared" si="774"/>
        <v>ACTISALUD-PISO 12 ALA A-EDGAR NARVAEZ</v>
      </c>
      <c r="F15052" s="5"/>
      <c r="G15052" s="5"/>
    </row>
    <row r="15053" spans="1:7" ht="58.5" customHeight="1" x14ac:dyDescent="0.25">
      <c r="A15053" s="5" t="str">
        <f>"H0030057"</f>
        <v>H0030057</v>
      </c>
      <c r="B15053" s="5" t="str">
        <f t="shared" si="777"/>
        <v>SILLA RECLINOMATICA</v>
      </c>
      <c r="C15053" s="6">
        <v>1065050</v>
      </c>
      <c r="D15053" s="5" t="s">
        <v>98</v>
      </c>
      <c r="E15053" s="5" t="str">
        <f t="shared" si="774"/>
        <v>ACTISALUD-PISO 12 ALA A-EDGAR NARVAEZ</v>
      </c>
      <c r="F15053" s="5"/>
      <c r="G15053" s="5"/>
    </row>
    <row r="15054" spans="1:7" ht="58.5" customHeight="1" x14ac:dyDescent="0.25">
      <c r="A15054" s="5" t="str">
        <f>"H0030126"</f>
        <v>H0030126</v>
      </c>
      <c r="B15054" s="5" t="str">
        <f t="shared" si="777"/>
        <v>SILLA RECLINOMATICA</v>
      </c>
      <c r="C15054" s="6">
        <v>1065050</v>
      </c>
      <c r="D15054" s="5" t="s">
        <v>100</v>
      </c>
      <c r="E15054" s="5" t="str">
        <f t="shared" si="774"/>
        <v>ACTISALUD-PISO 12 ALA A-EDGAR NARVAEZ</v>
      </c>
      <c r="F15054" s="5"/>
      <c r="G15054" s="5"/>
    </row>
    <row r="15055" spans="1:7" ht="58.5" customHeight="1" x14ac:dyDescent="0.25">
      <c r="A15055" s="5" t="str">
        <f>"H0030128"</f>
        <v>H0030128</v>
      </c>
      <c r="B15055" s="5" t="str">
        <f t="shared" si="777"/>
        <v>SILLA RECLINOMATICA</v>
      </c>
      <c r="C15055" s="6">
        <v>1065050</v>
      </c>
      <c r="D15055" s="5" t="s">
        <v>100</v>
      </c>
      <c r="E15055" s="5" t="str">
        <f t="shared" si="774"/>
        <v>ACTISALUD-PISO 12 ALA A-EDGAR NARVAEZ</v>
      </c>
      <c r="F15055" s="5"/>
      <c r="G15055" s="5"/>
    </row>
    <row r="15056" spans="1:7" ht="58.5" customHeight="1" x14ac:dyDescent="0.25">
      <c r="A15056" s="5" t="str">
        <f>"H0030189"</f>
        <v>H0030189</v>
      </c>
      <c r="B15056" s="5" t="str">
        <f t="shared" si="777"/>
        <v>SILLA RECLINOMATICA</v>
      </c>
      <c r="C15056" s="6">
        <v>1065050</v>
      </c>
      <c r="D15056" s="5" t="s">
        <v>101</v>
      </c>
      <c r="E15056" s="5" t="str">
        <f t="shared" si="774"/>
        <v>ACTISALUD-PISO 12 ALA A-EDGAR NARVAEZ</v>
      </c>
      <c r="F15056" s="5"/>
      <c r="G15056" s="5"/>
    </row>
    <row r="15057" spans="1:7" ht="58.5" customHeight="1" x14ac:dyDescent="0.25">
      <c r="A15057" s="5" t="str">
        <f>"H0030200"</f>
        <v>H0030200</v>
      </c>
      <c r="B15057" s="5" t="str">
        <f t="shared" si="777"/>
        <v>SILLA RECLINOMATICA</v>
      </c>
      <c r="C15057" s="6">
        <v>1065050</v>
      </c>
      <c r="D15057" s="5" t="s">
        <v>101</v>
      </c>
      <c r="E15057" s="5" t="str">
        <f t="shared" si="774"/>
        <v>ACTISALUD-PISO 12 ALA A-EDGAR NARVAEZ</v>
      </c>
      <c r="F15057" s="5"/>
      <c r="G15057" s="5"/>
    </row>
    <row r="15058" spans="1:7" ht="58.5" customHeight="1" x14ac:dyDescent="0.25">
      <c r="A15058" s="5" t="str">
        <f>"H0030201"</f>
        <v>H0030201</v>
      </c>
      <c r="B15058" s="5" t="str">
        <f t="shared" si="777"/>
        <v>SILLA RECLINOMATICA</v>
      </c>
      <c r="C15058" s="6">
        <v>1065050</v>
      </c>
      <c r="D15058" s="5" t="s">
        <v>101</v>
      </c>
      <c r="E15058" s="5" t="str">
        <f t="shared" si="774"/>
        <v>ACTISALUD-PISO 12 ALA A-EDGAR NARVAEZ</v>
      </c>
      <c r="F15058" s="5"/>
      <c r="G15058" s="5"/>
    </row>
    <row r="15059" spans="1:7" ht="58.5" customHeight="1" x14ac:dyDescent="0.25">
      <c r="A15059" s="5" t="str">
        <f>"H0030239"</f>
        <v>H0030239</v>
      </c>
      <c r="B15059" s="5" t="str">
        <f t="shared" si="777"/>
        <v>SILLA RECLINOMATICA</v>
      </c>
      <c r="C15059" s="6">
        <v>1065050</v>
      </c>
      <c r="D15059" s="5" t="s">
        <v>154</v>
      </c>
      <c r="E15059" s="5" t="str">
        <f t="shared" si="774"/>
        <v>ACTISALUD-PISO 12 ALA A-EDGAR NARVAEZ</v>
      </c>
      <c r="F15059" s="5"/>
      <c r="G15059" s="5"/>
    </row>
    <row r="15060" spans="1:7" ht="58.5" customHeight="1" x14ac:dyDescent="0.25">
      <c r="A15060" s="5" t="str">
        <f>"H0030240"</f>
        <v>H0030240</v>
      </c>
      <c r="B15060" s="5" t="str">
        <f t="shared" si="777"/>
        <v>SILLA RECLINOMATICA</v>
      </c>
      <c r="C15060" s="6">
        <v>1065050</v>
      </c>
      <c r="D15060" s="5" t="s">
        <v>154</v>
      </c>
      <c r="E15060" s="5" t="str">
        <f t="shared" si="774"/>
        <v>ACTISALUD-PISO 12 ALA A-EDGAR NARVAEZ</v>
      </c>
      <c r="F15060" s="5"/>
      <c r="G15060" s="5"/>
    </row>
    <row r="15061" spans="1:7" ht="58.5" customHeight="1" x14ac:dyDescent="0.25">
      <c r="A15061" s="5" t="str">
        <f>"H0030253"</f>
        <v>H0030253</v>
      </c>
      <c r="B15061" s="5" t="str">
        <f t="shared" si="777"/>
        <v>SILLA RECLINOMATICA</v>
      </c>
      <c r="C15061" s="6">
        <v>1065050</v>
      </c>
      <c r="D15061" s="5" t="s">
        <v>154</v>
      </c>
      <c r="E15061" s="5" t="str">
        <f t="shared" si="774"/>
        <v>ACTISALUD-PISO 12 ALA A-EDGAR NARVAEZ</v>
      </c>
      <c r="F15061" s="5"/>
      <c r="G15061" s="5"/>
    </row>
    <row r="15062" spans="1:7" ht="58.5" customHeight="1" x14ac:dyDescent="0.25">
      <c r="A15062" s="5" t="str">
        <f>"H0030254"</f>
        <v>H0030254</v>
      </c>
      <c r="B15062" s="5" t="str">
        <f t="shared" si="777"/>
        <v>SILLA RECLINOMATICA</v>
      </c>
      <c r="C15062" s="6">
        <v>1065050</v>
      </c>
      <c r="D15062" s="5" t="s">
        <v>154</v>
      </c>
      <c r="E15062" s="5" t="str">
        <f t="shared" si="774"/>
        <v>ACTISALUD-PISO 12 ALA A-EDGAR NARVAEZ</v>
      </c>
      <c r="F15062" s="5"/>
      <c r="G15062" s="5"/>
    </row>
    <row r="15063" spans="1:7" ht="58.5" customHeight="1" x14ac:dyDescent="0.25">
      <c r="A15063" s="5" t="str">
        <f>"H0030258"</f>
        <v>H0030258</v>
      </c>
      <c r="B15063" s="5" t="str">
        <f t="shared" si="777"/>
        <v>SILLA RECLINOMATICA</v>
      </c>
      <c r="C15063" s="6">
        <v>1065050</v>
      </c>
      <c r="D15063" s="5" t="s">
        <v>154</v>
      </c>
      <c r="E15063" s="5" t="str">
        <f t="shared" si="774"/>
        <v>ACTISALUD-PISO 12 ALA A-EDGAR NARVAEZ</v>
      </c>
      <c r="F15063" s="5"/>
      <c r="G15063" s="5"/>
    </row>
    <row r="15064" spans="1:7" ht="58.5" customHeight="1" x14ac:dyDescent="0.25">
      <c r="A15064" s="5" t="str">
        <f>"H0030260"</f>
        <v>H0030260</v>
      </c>
      <c r="B15064" s="5" t="str">
        <f t="shared" si="777"/>
        <v>SILLA RECLINOMATICA</v>
      </c>
      <c r="C15064" s="6">
        <v>1065050</v>
      </c>
      <c r="D15064" s="5" t="s">
        <v>154</v>
      </c>
      <c r="E15064" s="5" t="str">
        <f t="shared" si="774"/>
        <v>ACTISALUD-PISO 12 ALA A-EDGAR NARVAEZ</v>
      </c>
      <c r="F15064" s="5"/>
      <c r="G15064" s="5"/>
    </row>
    <row r="15065" spans="1:7" ht="58.5" customHeight="1" x14ac:dyDescent="0.25">
      <c r="A15065" s="5" t="str">
        <f>"H0031240"</f>
        <v>H0031240</v>
      </c>
      <c r="B15065" s="5" t="str">
        <f>"MUEBLE DE 2 PUESTOS CON MEDIDAS DE 1,64 MTS"</f>
        <v>MUEBLE DE 2 PUESTOS CON MEDIDAS DE 1,64 MTS</v>
      </c>
      <c r="C15065" s="6">
        <v>700000</v>
      </c>
      <c r="D15065" s="5" t="s">
        <v>104</v>
      </c>
      <c r="E15065" s="5" t="str">
        <f t="shared" si="774"/>
        <v>ACTISALUD-PISO 12 ALA A-EDGAR NARVAEZ</v>
      </c>
      <c r="F15065" s="5"/>
      <c r="G15065" s="5"/>
    </row>
    <row r="15066" spans="1:7" ht="58.5" customHeight="1" x14ac:dyDescent="0.25">
      <c r="A15066" s="5" t="str">
        <f>"H0031248"</f>
        <v>H0031248</v>
      </c>
      <c r="B15066" s="5" t="str">
        <f>"MUEBLE DE 3 PUESTOS CON MEDIDAS DE 2,46 MTS"</f>
        <v>MUEBLE DE 3 PUESTOS CON MEDIDAS DE 2,46 MTS</v>
      </c>
      <c r="C15066" s="6">
        <v>1050000</v>
      </c>
      <c r="D15066" s="5" t="s">
        <v>104</v>
      </c>
      <c r="E15066" s="5" t="str">
        <f t="shared" si="774"/>
        <v>ACTISALUD-PISO 12 ALA A-EDGAR NARVAEZ</v>
      </c>
      <c r="F15066" s="5"/>
      <c r="G15066" s="5"/>
    </row>
    <row r="15067" spans="1:7" ht="58.5" customHeight="1" x14ac:dyDescent="0.25">
      <c r="A15067" s="5" t="str">
        <f>"H0031256"</f>
        <v>H0031256</v>
      </c>
      <c r="B15067" s="5" t="str">
        <f>"SOFA CON MEDIDAS DE 1,10 MTS"</f>
        <v>SOFA CON MEDIDAS DE 1,10 MTS</v>
      </c>
      <c r="C15067" s="6">
        <v>650000</v>
      </c>
      <c r="D15067" s="5" t="s">
        <v>104</v>
      </c>
      <c r="E15067" s="5" t="str">
        <f t="shared" si="774"/>
        <v>ACTISALUD-PISO 12 ALA A-EDGAR NARVAEZ</v>
      </c>
      <c r="F15067" s="5"/>
      <c r="G15067" s="5"/>
    </row>
    <row r="15068" spans="1:7" ht="58.5" customHeight="1" x14ac:dyDescent="0.25">
      <c r="A15068" s="5" t="str">
        <f>"H0031260"</f>
        <v>H0031260</v>
      </c>
      <c r="B15068" s="5" t="str">
        <f>"SOFA CON MEDIDAS DE 1,10 MTS"</f>
        <v>SOFA CON MEDIDAS DE 1,10 MTS</v>
      </c>
      <c r="C15068" s="6">
        <v>650000</v>
      </c>
      <c r="D15068" s="5" t="s">
        <v>104</v>
      </c>
      <c r="E15068" s="5" t="str">
        <f t="shared" si="774"/>
        <v>ACTISALUD-PISO 12 ALA A-EDGAR NARVAEZ</v>
      </c>
      <c r="F15068" s="5"/>
      <c r="G15068" s="5"/>
    </row>
    <row r="15069" spans="1:7" ht="58.5" customHeight="1" x14ac:dyDescent="0.25">
      <c r="A15069" s="5" t="str">
        <f>"H0031264"</f>
        <v>H0031264</v>
      </c>
      <c r="B15069" s="5" t="str">
        <f>"MESA DE CENTRO CON MEDIDAS DE 0,84 MTS X 0,54 MTS"</f>
        <v>MESA DE CENTRO CON MEDIDAS DE 0,84 MTS X 0,54 MTS</v>
      </c>
      <c r="C15069" s="6">
        <v>160000</v>
      </c>
      <c r="D15069" s="5" t="s">
        <v>104</v>
      </c>
      <c r="E15069" s="5" t="str">
        <f t="shared" si="774"/>
        <v>ACTISALUD-PISO 12 ALA A-EDGAR NARVAEZ</v>
      </c>
      <c r="F15069" s="5"/>
      <c r="G15069" s="5"/>
    </row>
    <row r="15070" spans="1:7" ht="58.5" customHeight="1" x14ac:dyDescent="0.25">
      <c r="A15070" s="5" t="str">
        <f>"H0031268"</f>
        <v>H0031268</v>
      </c>
      <c r="B15070" s="5" t="str">
        <f>"MESA DE CENTRO CON MEDIDAS DE 0,84 MTS X 0,54 MTS"</f>
        <v>MESA DE CENTRO CON MEDIDAS DE 0,84 MTS X 0,54 MTS</v>
      </c>
      <c r="C15070" s="6">
        <v>160000</v>
      </c>
      <c r="D15070" s="5" t="s">
        <v>104</v>
      </c>
      <c r="E15070" s="5" t="str">
        <f t="shared" si="774"/>
        <v>ACTISALUD-PISO 12 ALA A-EDGAR NARVAEZ</v>
      </c>
      <c r="F15070" s="5"/>
      <c r="G15070" s="5"/>
    </row>
    <row r="15071" spans="1:7" ht="58.5" customHeight="1" x14ac:dyDescent="0.25">
      <c r="A15071" s="5" t="str">
        <f>"H0031272"</f>
        <v>H0031272</v>
      </c>
      <c r="B15071" s="5" t="str">
        <f>"MUEBLE DE 5 PUESTOS CON MEDIDAS DE 3,87 MTS"</f>
        <v>MUEBLE DE 5 PUESTOS CON MEDIDAS DE 3,87 MTS</v>
      </c>
      <c r="C15071" s="6">
        <v>1400000</v>
      </c>
      <c r="D15071" s="5" t="s">
        <v>104</v>
      </c>
      <c r="E15071" s="5" t="str">
        <f t="shared" si="774"/>
        <v>ACTISALUD-PISO 12 ALA A-EDGAR NARVAEZ</v>
      </c>
      <c r="F15071" s="5"/>
      <c r="G15071" s="5"/>
    </row>
    <row r="15072" spans="1:7" ht="58.5" customHeight="1" x14ac:dyDescent="0.25">
      <c r="A15072" s="5" t="str">
        <f>"H0031280"</f>
        <v>H0031280</v>
      </c>
      <c r="B15072" s="5" t="str">
        <f>"SOFA CON MEDIDAS DE 1,65 MTS"</f>
        <v>SOFA CON MEDIDAS DE 1,65 MTS</v>
      </c>
      <c r="C15072" s="6">
        <v>700000</v>
      </c>
      <c r="D15072" s="5" t="s">
        <v>104</v>
      </c>
      <c r="E15072" s="5" t="str">
        <f t="shared" si="774"/>
        <v>ACTISALUD-PISO 12 ALA A-EDGAR NARVAEZ</v>
      </c>
      <c r="F15072" s="5"/>
      <c r="G15072" s="5"/>
    </row>
    <row r="15073" spans="1:7" ht="58.5" customHeight="1" x14ac:dyDescent="0.25">
      <c r="A15073" s="5" t="str">
        <f>"H0031282"</f>
        <v>H0031282</v>
      </c>
      <c r="B15073" s="5" t="str">
        <f>"SOFA CON MEDIDAS DE 1,65 MTS"</f>
        <v>SOFA CON MEDIDAS DE 1,65 MTS</v>
      </c>
      <c r="C15073" s="6">
        <v>700000</v>
      </c>
      <c r="D15073" s="5" t="s">
        <v>104</v>
      </c>
      <c r="E15073" s="5" t="str">
        <f t="shared" si="774"/>
        <v>ACTISALUD-PISO 12 ALA A-EDGAR NARVAEZ</v>
      </c>
      <c r="F15073" s="5"/>
      <c r="G15073" s="5"/>
    </row>
    <row r="15074" spans="1:7" ht="58.5" customHeight="1" x14ac:dyDescent="0.25">
      <c r="A15074" s="5" t="str">
        <f>"H0031284"</f>
        <v>H0031284</v>
      </c>
      <c r="B15074" s="5" t="str">
        <f>"SOFA CON MEDIDAS DE 1,65 MTS"</f>
        <v>SOFA CON MEDIDAS DE 1,65 MTS</v>
      </c>
      <c r="C15074" s="6">
        <v>700000</v>
      </c>
      <c r="D15074" s="5" t="s">
        <v>104</v>
      </c>
      <c r="E15074" s="5" t="str">
        <f t="shared" si="774"/>
        <v>ACTISALUD-PISO 12 ALA A-EDGAR NARVAEZ</v>
      </c>
      <c r="F15074" s="5"/>
      <c r="G15074" s="5"/>
    </row>
    <row r="15075" spans="1:7" ht="58.5" customHeight="1" x14ac:dyDescent="0.25">
      <c r="A15075" s="5" t="str">
        <f>"H0031288"</f>
        <v>H0031288</v>
      </c>
      <c r="B15075" s="5" t="str">
        <f>"SOFA DOBLE CON MEDIDAS DE 1,65 MTS"</f>
        <v>SOFA DOBLE CON MEDIDAS DE 1,65 MTS</v>
      </c>
      <c r="C15075" s="6">
        <v>910000</v>
      </c>
      <c r="D15075" s="5" t="s">
        <v>104</v>
      </c>
      <c r="E15075" s="5" t="str">
        <f t="shared" si="774"/>
        <v>ACTISALUD-PISO 12 ALA A-EDGAR NARVAEZ</v>
      </c>
      <c r="F15075" s="5"/>
      <c r="G15075" s="5"/>
    </row>
    <row r="15076" spans="1:7" ht="58.5" customHeight="1" x14ac:dyDescent="0.25">
      <c r="A15076" s="5" t="str">
        <f>"H0031296"</f>
        <v>H0031296</v>
      </c>
      <c r="B15076" s="5" t="str">
        <f>"MINILUNA CON MEDIDAS DE 1,26 MTS X 0,65 MTS"</f>
        <v>MINILUNA CON MEDIDAS DE 1,26 MTS X 0,65 MTS</v>
      </c>
      <c r="C15076" s="6">
        <v>120000</v>
      </c>
      <c r="D15076" s="5" t="s">
        <v>104</v>
      </c>
      <c r="E15076" s="5" t="str">
        <f t="shared" si="774"/>
        <v>ACTISALUD-PISO 12 ALA A-EDGAR NARVAEZ</v>
      </c>
      <c r="F15076" s="5"/>
      <c r="G15076" s="5"/>
    </row>
    <row r="15077" spans="1:7" ht="58.5" customHeight="1" x14ac:dyDescent="0.25">
      <c r="A15077" s="5" t="str">
        <f>"H0031356"</f>
        <v>H0031356</v>
      </c>
      <c r="B15077" s="5" t="str">
        <f>"SILLA RECLINOMATICA"</f>
        <v>SILLA RECLINOMATICA</v>
      </c>
      <c r="C15077" s="6">
        <v>1065050</v>
      </c>
      <c r="D15077" s="5" t="s">
        <v>106</v>
      </c>
      <c r="E15077" s="5" t="str">
        <f t="shared" si="774"/>
        <v>ACTISALUD-PISO 12 ALA A-EDGAR NARVAEZ</v>
      </c>
      <c r="F15077" s="5"/>
      <c r="G15077" s="5"/>
    </row>
    <row r="15078" spans="1:7" ht="58.5" customHeight="1" x14ac:dyDescent="0.25">
      <c r="A15078" s="5" t="str">
        <f>"H0031791"</f>
        <v>H0031791</v>
      </c>
      <c r="B15078" s="5" t="str">
        <f>"LOCKER DE 12 PUERTAS 1.39X1.66X0.35 MELAMINA RH COLOR BLANCO INCLUYE CERRADURAY MANIJA POR CASILLERO"</f>
        <v>LOCKER DE 12 PUERTAS 1.39X1.66X0.35 MELAMINA RH COLOR BLANCO INCLUYE CERRADURAY MANIJA POR CASILLERO</v>
      </c>
      <c r="C15078" s="6">
        <v>1450000</v>
      </c>
      <c r="D15078" s="5" t="s">
        <v>253</v>
      </c>
      <c r="E15078" s="5" t="str">
        <f t="shared" ref="E15078:E15141" si="778">"ACTISALUD-PISO 12 ALA A-EDGAR NARVAEZ"</f>
        <v>ACTISALUD-PISO 12 ALA A-EDGAR NARVAEZ</v>
      </c>
      <c r="F15078" s="5"/>
      <c r="G15078" s="5"/>
    </row>
    <row r="15079" spans="1:7" ht="58.5" customHeight="1" x14ac:dyDescent="0.25">
      <c r="A15079" s="5" t="str">
        <f>"H0032001"</f>
        <v>H0032001</v>
      </c>
      <c r="B15079" s="5" t="str">
        <f>"CARRO DE TRANSPORTE PARA ENFERMERIA RODABLE EN PLASTICO 80*42*96"</f>
        <v>CARRO DE TRANSPORTE PARA ENFERMERIA RODABLE EN PLASTICO 80*42*96</v>
      </c>
      <c r="C15079" s="6">
        <v>586551</v>
      </c>
      <c r="D15079" s="5" t="s">
        <v>109</v>
      </c>
      <c r="E15079" s="5" t="str">
        <f t="shared" si="778"/>
        <v>ACTISALUD-PISO 12 ALA A-EDGAR NARVAEZ</v>
      </c>
      <c r="F15079" s="5"/>
      <c r="G15079" s="5"/>
    </row>
    <row r="15080" spans="1:7" ht="58.5" customHeight="1" x14ac:dyDescent="0.25">
      <c r="A15080" s="5" t="str">
        <f>"H0032012"</f>
        <v>H0032012</v>
      </c>
      <c r="B15080" s="5" t="str">
        <f>"MESAAUXILIAR RODABLE DE ACERO INOXIDABLE 60*35*80"</f>
        <v>MESAAUXILIAR RODABLE DE ACERO INOXIDABLE 60*35*80</v>
      </c>
      <c r="C15080" s="6">
        <v>214438</v>
      </c>
      <c r="D15080" s="5" t="s">
        <v>109</v>
      </c>
      <c r="E15080" s="5" t="str">
        <f t="shared" si="778"/>
        <v>ACTISALUD-PISO 12 ALA A-EDGAR NARVAEZ</v>
      </c>
      <c r="F15080" s="5"/>
      <c r="G15080" s="5"/>
    </row>
    <row r="15081" spans="1:7" ht="58.5" customHeight="1" x14ac:dyDescent="0.25">
      <c r="A15081" s="5" t="str">
        <f>"H0032862"</f>
        <v>H0032862</v>
      </c>
      <c r="B1508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5081" s="6">
        <v>5604900</v>
      </c>
      <c r="D15081" s="5" t="s">
        <v>116</v>
      </c>
      <c r="E15081" s="5" t="str">
        <f t="shared" si="778"/>
        <v>ACTISALUD-PISO 12 ALA A-EDGAR NARVAEZ</v>
      </c>
      <c r="F15081" s="5"/>
      <c r="G15081" s="5"/>
    </row>
    <row r="15082" spans="1:7" ht="58.5" customHeight="1" x14ac:dyDescent="0.25">
      <c r="A15082" s="5" t="str">
        <f>"H0032876"</f>
        <v>H0032876</v>
      </c>
      <c r="B1508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082" s="6">
        <v>4289950</v>
      </c>
      <c r="D15082" s="5" t="s">
        <v>117</v>
      </c>
      <c r="E15082" s="5" t="str">
        <f t="shared" si="778"/>
        <v>ACTISALUD-PISO 12 ALA A-EDGAR NARVAEZ</v>
      </c>
      <c r="F15082" s="5"/>
      <c r="G15082" s="5"/>
    </row>
    <row r="15083" spans="1:7" ht="58.5" customHeight="1" x14ac:dyDescent="0.25">
      <c r="A15083" s="5" t="str">
        <f>"H0032879"</f>
        <v>H0032879</v>
      </c>
      <c r="B1508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083" s="6">
        <v>4289950</v>
      </c>
      <c r="D15083" s="5" t="s">
        <v>117</v>
      </c>
      <c r="E15083" s="5" t="str">
        <f t="shared" si="778"/>
        <v>ACTISALUD-PISO 12 ALA A-EDGAR NARVAEZ</v>
      </c>
      <c r="F15083" s="5"/>
      <c r="G15083" s="5"/>
    </row>
    <row r="15084" spans="1:7" ht="58.5" customHeight="1" x14ac:dyDescent="0.25">
      <c r="A15084" s="5" t="str">
        <f>"h0032880"</f>
        <v>h0032880</v>
      </c>
      <c r="B15084"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084" s="6">
        <v>4289950</v>
      </c>
      <c r="D15084" s="5" t="s">
        <v>117</v>
      </c>
      <c r="E15084" s="5" t="str">
        <f t="shared" si="778"/>
        <v>ACTISALUD-PISO 12 ALA A-EDGAR NARVAEZ</v>
      </c>
      <c r="F15084" s="5"/>
      <c r="G15084" s="5"/>
    </row>
    <row r="15085" spans="1:7" ht="58.5" customHeight="1" x14ac:dyDescent="0.25">
      <c r="A15085" s="5" t="str">
        <f>"H0032881"</f>
        <v>H0032881</v>
      </c>
      <c r="B1508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085" s="6">
        <v>4289950</v>
      </c>
      <c r="D15085" s="5" t="s">
        <v>117</v>
      </c>
      <c r="E15085" s="5" t="str">
        <f t="shared" si="778"/>
        <v>ACTISALUD-PISO 12 ALA A-EDGAR NARVAEZ</v>
      </c>
      <c r="F15085" s="5"/>
      <c r="G15085" s="5"/>
    </row>
    <row r="15086" spans="1:7" ht="58.5" customHeight="1" x14ac:dyDescent="0.25">
      <c r="A15086" s="5" t="str">
        <f>"H0033092"</f>
        <v>H0033092</v>
      </c>
      <c r="B15086" s="5" t="str">
        <f>"MONITOR DE SIGNOS VITALES"</f>
        <v>MONITOR DE SIGNOS VITALES</v>
      </c>
      <c r="C15086" s="6">
        <v>9470000</v>
      </c>
      <c r="D15086" s="5" t="s">
        <v>119</v>
      </c>
      <c r="E15086" s="5" t="str">
        <f t="shared" si="778"/>
        <v>ACTISALUD-PISO 12 ALA A-EDGAR NARVAEZ</v>
      </c>
      <c r="F15086" s="5"/>
      <c r="G15086" s="5"/>
    </row>
    <row r="15087" spans="1:7" ht="58.5" customHeight="1" x14ac:dyDescent="0.25">
      <c r="A15087" s="5" t="str">
        <f>"H0033099"</f>
        <v>H0033099</v>
      </c>
      <c r="B15087" s="5" t="str">
        <f>"MONITOR DE SIGNOS VITALES"</f>
        <v>MONITOR DE SIGNOS VITALES</v>
      </c>
      <c r="C15087" s="6">
        <v>9470000</v>
      </c>
      <c r="D15087" s="5" t="s">
        <v>119</v>
      </c>
      <c r="E15087" s="5" t="str">
        <f t="shared" si="778"/>
        <v>ACTISALUD-PISO 12 ALA A-EDGAR NARVAEZ</v>
      </c>
      <c r="F15087" s="5"/>
      <c r="G15087" s="5"/>
    </row>
    <row r="15088" spans="1:7" ht="58.5" customHeight="1" x14ac:dyDescent="0.25">
      <c r="A15088" s="5" t="str">
        <f>"H0033127"</f>
        <v>H0033127</v>
      </c>
      <c r="B15088" s="5" t="str">
        <f>"BOMBA DE NUTRICION. 1 mL/h a 600 mL/h. 1 mL/h a 5 mL/h incr. ± 7% a 125 mL/h. Cumple 60601-2-24."</f>
        <v>BOMBA DE NUTRICION. 1 mL/h a 600 mL/h. 1 mL/h a 5 mL/h incr. ± 7% a 125 mL/h. Cumple 60601-2-24.</v>
      </c>
      <c r="C15088" s="6">
        <v>3066667</v>
      </c>
      <c r="D15088" s="5" t="s">
        <v>119</v>
      </c>
      <c r="E15088" s="5" t="str">
        <f t="shared" si="778"/>
        <v>ACTISALUD-PISO 12 ALA A-EDGAR NARVAEZ</v>
      </c>
      <c r="F15088" s="5"/>
      <c r="G15088" s="5"/>
    </row>
    <row r="15089" spans="1:7" ht="58.5" customHeight="1" x14ac:dyDescent="0.25">
      <c r="A15089" s="5" t="str">
        <f>"H0033164"</f>
        <v>H0033164</v>
      </c>
      <c r="B15089"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089" s="6">
        <v>2533333</v>
      </c>
      <c r="D15089" s="5" t="s">
        <v>157</v>
      </c>
      <c r="E15089" s="5" t="str">
        <f t="shared" si="778"/>
        <v>ACTISALUD-PISO 12 ALA A-EDGAR NARVAEZ</v>
      </c>
      <c r="F15089" s="5"/>
      <c r="G15089" s="5"/>
    </row>
    <row r="15090" spans="1:7" ht="58.5" customHeight="1" x14ac:dyDescent="0.25">
      <c r="A15090" s="5" t="str">
        <f>"H0033353"</f>
        <v>H0033353</v>
      </c>
      <c r="B15090"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090" s="6">
        <v>2533333</v>
      </c>
      <c r="D15090" s="5" t="s">
        <v>120</v>
      </c>
      <c r="E15090" s="5" t="str">
        <f t="shared" si="778"/>
        <v>ACTISALUD-PISO 12 ALA A-EDGAR NARVAEZ</v>
      </c>
      <c r="F15090" s="5"/>
      <c r="G15090" s="5"/>
    </row>
    <row r="15091" spans="1:7" ht="58.5" customHeight="1" x14ac:dyDescent="0.25">
      <c r="A15091" s="5" t="str">
        <f>"H0033434"</f>
        <v>H0033434</v>
      </c>
      <c r="B15091" s="5" t="str">
        <f>"BOMBA DE NUTRICION. 1 mL/h a 600 mL/h. 1 mL/h a 5 mL/h incr. ± 7% a 125 mL/h. Cumple 60601-2-24."</f>
        <v>BOMBA DE NUTRICION. 1 mL/h a 600 mL/h. 1 mL/h a 5 mL/h incr. ± 7% a 125 mL/h. Cumple 60601-2-24.</v>
      </c>
      <c r="C15091" s="6">
        <v>3066667</v>
      </c>
      <c r="D15091" s="5" t="s">
        <v>120</v>
      </c>
      <c r="E15091" s="5" t="str">
        <f t="shared" si="778"/>
        <v>ACTISALUD-PISO 12 ALA A-EDGAR NARVAEZ</v>
      </c>
      <c r="F15091" s="5"/>
      <c r="G15091" s="5"/>
    </row>
    <row r="15092" spans="1:7" ht="58.5" customHeight="1" x14ac:dyDescent="0.25">
      <c r="A15092" s="5" t="str">
        <f>"H0033440"</f>
        <v>H0033440</v>
      </c>
      <c r="B15092" s="5" t="str">
        <f>"BOMBA DE NUTRICION. 1 mL/h a 600 mL/h. 1 mL/h a 5 mL/h incr. ± 7% a 125 mL/h. Cumple 60601-2-24."</f>
        <v>BOMBA DE NUTRICION. 1 mL/h a 600 mL/h. 1 mL/h a 5 mL/h incr. ± 7% a 125 mL/h. Cumple 60601-2-24.</v>
      </c>
      <c r="C15092" s="6">
        <v>3066667</v>
      </c>
      <c r="D15092" s="5" t="s">
        <v>120</v>
      </c>
      <c r="E15092" s="5" t="str">
        <f t="shared" si="778"/>
        <v>ACTISALUD-PISO 12 ALA A-EDGAR NARVAEZ</v>
      </c>
      <c r="F15092" s="5"/>
      <c r="G15092" s="5"/>
    </row>
    <row r="15093" spans="1:7" ht="58.5" customHeight="1" x14ac:dyDescent="0.25">
      <c r="A15093" s="5" t="str">
        <f>"H0033520"</f>
        <v>H0033520</v>
      </c>
      <c r="B15093" s="5" t="str">
        <f t="shared" ref="B15093:B15100" si="779">"BOMBA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5093" s="6">
        <v>2533333</v>
      </c>
      <c r="D15093" s="5" t="s">
        <v>120</v>
      </c>
      <c r="E15093" s="5" t="str">
        <f t="shared" si="778"/>
        <v>ACTISALUD-PISO 12 ALA A-EDGAR NARVAEZ</v>
      </c>
      <c r="F15093" s="5"/>
      <c r="G15093" s="5"/>
    </row>
    <row r="15094" spans="1:7" ht="58.5" customHeight="1" x14ac:dyDescent="0.25">
      <c r="A15094" s="5" t="str">
        <f>"H0033548"</f>
        <v>H0033548</v>
      </c>
      <c r="B15094" s="5" t="str">
        <f t="shared" si="779"/>
        <v>BOMBA DE INFUSION. Apilables.5 modos. 01-1200 ml/h. 0.1 ml incr. Compatible con set de infusión genérico. anti-bolo. Detección de aire. Alarmas visuales audibles. Bitacora 1.000 reg. Batería de litio</v>
      </c>
      <c r="C15094" s="6">
        <v>2533333</v>
      </c>
      <c r="D15094" s="5" t="s">
        <v>120</v>
      </c>
      <c r="E15094" s="5" t="str">
        <f t="shared" si="778"/>
        <v>ACTISALUD-PISO 12 ALA A-EDGAR NARVAEZ</v>
      </c>
      <c r="F15094" s="5"/>
      <c r="G15094" s="5"/>
    </row>
    <row r="15095" spans="1:7" ht="58.5" customHeight="1" x14ac:dyDescent="0.25">
      <c r="A15095" s="5" t="str">
        <f>"H0033757"</f>
        <v>H0033757</v>
      </c>
      <c r="B15095" s="5" t="str">
        <f t="shared" si="779"/>
        <v>BOMBA DE INFUSION. Apilables.5 modos. 01-1200 ml/h. 0.1 ml incr. Compatible con set de infusión genérico. anti-bolo. Detección de aire. Alarmas visuales audibles. Bitacora 1.000 reg. Batería de litio</v>
      </c>
      <c r="C15095" s="6">
        <v>2533333</v>
      </c>
      <c r="D15095" s="5" t="s">
        <v>120</v>
      </c>
      <c r="E15095" s="5" t="str">
        <f t="shared" si="778"/>
        <v>ACTISALUD-PISO 12 ALA A-EDGAR NARVAEZ</v>
      </c>
      <c r="F15095" s="5"/>
      <c r="G15095" s="5"/>
    </row>
    <row r="15096" spans="1:7" ht="58.5" customHeight="1" x14ac:dyDescent="0.25">
      <c r="A15096" s="5" t="str">
        <f>"H0033758"</f>
        <v>H0033758</v>
      </c>
      <c r="B15096" s="5" t="str">
        <f t="shared" si="779"/>
        <v>BOMBA DE INFUSION. Apilables.5 modos. 01-1200 ml/h. 0.1 ml incr. Compatible con set de infusión genérico. anti-bolo. Detección de aire. Alarmas visuales audibles. Bitacora 1.000 reg. Batería de litio</v>
      </c>
      <c r="C15096" s="6">
        <v>2533333</v>
      </c>
      <c r="D15096" s="5" t="s">
        <v>120</v>
      </c>
      <c r="E15096" s="5" t="str">
        <f t="shared" si="778"/>
        <v>ACTISALUD-PISO 12 ALA A-EDGAR NARVAEZ</v>
      </c>
      <c r="F15096" s="5"/>
      <c r="G15096" s="5"/>
    </row>
    <row r="15097" spans="1:7" ht="58.5" customHeight="1" x14ac:dyDescent="0.25">
      <c r="A15097" s="5" t="str">
        <f>"H0033760"</f>
        <v>H0033760</v>
      </c>
      <c r="B15097" s="5" t="str">
        <f t="shared" si="779"/>
        <v>BOMBA DE INFUSION. Apilables.5 modos. 01-1200 ml/h. 0.1 ml incr. Compatible con set de infusión genérico. anti-bolo. Detección de aire. Alarmas visuales audibles. Bitacora 1.000 reg. Batería de litio</v>
      </c>
      <c r="C15097" s="6">
        <v>2533333</v>
      </c>
      <c r="D15097" s="5" t="s">
        <v>120</v>
      </c>
      <c r="E15097" s="5" t="str">
        <f t="shared" si="778"/>
        <v>ACTISALUD-PISO 12 ALA A-EDGAR NARVAEZ</v>
      </c>
      <c r="F15097" s="5"/>
      <c r="G15097" s="5"/>
    </row>
    <row r="15098" spans="1:7" ht="58.5" customHeight="1" x14ac:dyDescent="0.25">
      <c r="A15098" s="5" t="str">
        <f>"H0033761"</f>
        <v>H0033761</v>
      </c>
      <c r="B15098" s="5" t="str">
        <f t="shared" si="779"/>
        <v>BOMBA DE INFUSION. Apilables.5 modos. 01-1200 ml/h. 0.1 ml incr. Compatible con set de infusión genérico. anti-bolo. Detección de aire. Alarmas visuales audibles. Bitacora 1.000 reg. Batería de litio</v>
      </c>
      <c r="C15098" s="6">
        <v>2533333</v>
      </c>
      <c r="D15098" s="5" t="s">
        <v>120</v>
      </c>
      <c r="E15098" s="5" t="str">
        <f t="shared" si="778"/>
        <v>ACTISALUD-PISO 12 ALA A-EDGAR NARVAEZ</v>
      </c>
      <c r="F15098" s="5"/>
      <c r="G15098" s="5"/>
    </row>
    <row r="15099" spans="1:7" ht="58.5" customHeight="1" x14ac:dyDescent="0.25">
      <c r="A15099" s="5" t="str">
        <f>"H0033763"</f>
        <v>H0033763</v>
      </c>
      <c r="B15099" s="5" t="str">
        <f t="shared" si="779"/>
        <v>BOMBA DE INFUSION. Apilables.5 modos. 01-1200 ml/h. 0.1 ml incr. Compatible con set de infusión genérico. anti-bolo. Detección de aire. Alarmas visuales audibles. Bitacora 1.000 reg. Batería de litio</v>
      </c>
      <c r="C15099" s="6">
        <v>2533333</v>
      </c>
      <c r="D15099" s="5" t="s">
        <v>120</v>
      </c>
      <c r="E15099" s="5" t="str">
        <f t="shared" si="778"/>
        <v>ACTISALUD-PISO 12 ALA A-EDGAR NARVAEZ</v>
      </c>
      <c r="F15099" s="5"/>
      <c r="G15099" s="5"/>
    </row>
    <row r="15100" spans="1:7" ht="58.5" customHeight="1" x14ac:dyDescent="0.25">
      <c r="A15100" s="5" t="str">
        <f>"H0033808"</f>
        <v>H0033808</v>
      </c>
      <c r="B15100" s="5" t="str">
        <f t="shared" si="779"/>
        <v>BOMBA DE INFUSION. Apilables.5 modos. 01-1200 ml/h. 0.1 ml incr. Compatible con set de infusión genérico. anti-bolo. Detección de aire. Alarmas visuales audibles. Bitacora 1.000 reg. Batería de litio</v>
      </c>
      <c r="C15100" s="6">
        <v>2533333</v>
      </c>
      <c r="D15100" s="5" t="s">
        <v>120</v>
      </c>
      <c r="E15100" s="5" t="str">
        <f t="shared" si="778"/>
        <v>ACTISALUD-PISO 12 ALA A-EDGAR NARVAEZ</v>
      </c>
      <c r="F15100" s="5"/>
      <c r="G15100" s="5"/>
    </row>
    <row r="15101" spans="1:7" ht="58.5" customHeight="1" x14ac:dyDescent="0.25">
      <c r="A15101" s="5" t="str">
        <f>"H0033919"</f>
        <v>H0033919</v>
      </c>
      <c r="B15101" s="5" t="str">
        <f>"LECTOR DE HUELLAS DIGITALES"</f>
        <v>LECTOR DE HUELLAS DIGITALES</v>
      </c>
      <c r="C15101" s="6">
        <v>340340</v>
      </c>
      <c r="D15101" s="5" t="s">
        <v>119</v>
      </c>
      <c r="E15101" s="5" t="str">
        <f t="shared" si="778"/>
        <v>ACTISALUD-PISO 12 ALA A-EDGAR NARVAEZ</v>
      </c>
      <c r="F15101" s="5"/>
      <c r="G15101" s="5"/>
    </row>
    <row r="15102" spans="1:7" ht="58.5" customHeight="1" x14ac:dyDescent="0.25">
      <c r="A15102" s="5" t="str">
        <f>"H0034054"</f>
        <v>H0034054</v>
      </c>
      <c r="B15102" s="5" t="s">
        <v>329</v>
      </c>
      <c r="C15102" s="6">
        <v>258000</v>
      </c>
      <c r="D15102" s="5" t="s">
        <v>122</v>
      </c>
      <c r="E15102" s="5" t="str">
        <f t="shared" si="778"/>
        <v>ACTISALUD-PISO 12 ALA A-EDGAR NARVAEZ</v>
      </c>
      <c r="F15102" s="5"/>
      <c r="G15102" s="5"/>
    </row>
    <row r="15103" spans="1:7" ht="58.5" customHeight="1" x14ac:dyDescent="0.25">
      <c r="A15103" s="5" t="str">
        <f>"h0034645"</f>
        <v>h0034645</v>
      </c>
      <c r="B15103" s="5" t="str">
        <f t="shared" ref="B15103:B15114" si="780">"bomba de infusion (DONACION)"</f>
        <v>bomba de infusion (DONACION)</v>
      </c>
      <c r="C15103" s="6">
        <v>7049854</v>
      </c>
      <c r="D15103" s="5" t="s">
        <v>124</v>
      </c>
      <c r="E15103" s="5" t="str">
        <f t="shared" si="778"/>
        <v>ACTISALUD-PISO 12 ALA A-EDGAR NARVAEZ</v>
      </c>
      <c r="F15103" s="5"/>
      <c r="G15103" s="5"/>
    </row>
    <row r="15104" spans="1:7" ht="58.5" customHeight="1" x14ac:dyDescent="0.25">
      <c r="A15104" s="5" t="str">
        <f>"H0034649"</f>
        <v>H0034649</v>
      </c>
      <c r="B15104" s="5" t="str">
        <f t="shared" si="780"/>
        <v>bomba de infusion (DONACION)</v>
      </c>
      <c r="C15104" s="6">
        <v>7049854</v>
      </c>
      <c r="D15104" s="5" t="s">
        <v>124</v>
      </c>
      <c r="E15104" s="5" t="str">
        <f t="shared" si="778"/>
        <v>ACTISALUD-PISO 12 ALA A-EDGAR NARVAEZ</v>
      </c>
      <c r="F15104" s="5"/>
      <c r="G15104" s="5"/>
    </row>
    <row r="15105" spans="1:7" ht="58.5" customHeight="1" x14ac:dyDescent="0.25">
      <c r="A15105" s="5" t="str">
        <f>"H0034650"</f>
        <v>H0034650</v>
      </c>
      <c r="B15105" s="5" t="str">
        <f t="shared" si="780"/>
        <v>bomba de infusion (DONACION)</v>
      </c>
      <c r="C15105" s="6">
        <v>7049854</v>
      </c>
      <c r="D15105" s="5" t="s">
        <v>124</v>
      </c>
      <c r="E15105" s="5" t="str">
        <f t="shared" si="778"/>
        <v>ACTISALUD-PISO 12 ALA A-EDGAR NARVAEZ</v>
      </c>
      <c r="F15105" s="5"/>
      <c r="G15105" s="5"/>
    </row>
    <row r="15106" spans="1:7" ht="58.5" customHeight="1" x14ac:dyDescent="0.25">
      <c r="A15106" s="5" t="str">
        <f>"H0034660"</f>
        <v>H0034660</v>
      </c>
      <c r="B15106" s="5" t="str">
        <f t="shared" si="780"/>
        <v>bomba de infusion (DONACION)</v>
      </c>
      <c r="C15106" s="6">
        <v>7049854</v>
      </c>
      <c r="D15106" s="5" t="s">
        <v>124</v>
      </c>
      <c r="E15106" s="5" t="str">
        <f t="shared" si="778"/>
        <v>ACTISALUD-PISO 12 ALA A-EDGAR NARVAEZ</v>
      </c>
      <c r="F15106" s="5"/>
      <c r="G15106" s="5"/>
    </row>
    <row r="15107" spans="1:7" ht="58.5" customHeight="1" x14ac:dyDescent="0.25">
      <c r="A15107" s="5" t="str">
        <f>"H0034661"</f>
        <v>H0034661</v>
      </c>
      <c r="B15107" s="5" t="str">
        <f t="shared" si="780"/>
        <v>bomba de infusion (DONACION)</v>
      </c>
      <c r="C15107" s="6">
        <v>7049854</v>
      </c>
      <c r="D15107" s="5" t="s">
        <v>124</v>
      </c>
      <c r="E15107" s="5" t="str">
        <f t="shared" si="778"/>
        <v>ACTISALUD-PISO 12 ALA A-EDGAR NARVAEZ</v>
      </c>
      <c r="F15107" s="5"/>
      <c r="G15107" s="5"/>
    </row>
    <row r="15108" spans="1:7" ht="58.5" customHeight="1" x14ac:dyDescent="0.25">
      <c r="A15108" s="5" t="str">
        <f>"H0034663"</f>
        <v>H0034663</v>
      </c>
      <c r="B15108" s="5" t="str">
        <f t="shared" si="780"/>
        <v>bomba de infusion (DONACION)</v>
      </c>
      <c r="C15108" s="6">
        <v>7049854</v>
      </c>
      <c r="D15108" s="5" t="s">
        <v>124</v>
      </c>
      <c r="E15108" s="5" t="str">
        <f t="shared" si="778"/>
        <v>ACTISALUD-PISO 12 ALA A-EDGAR NARVAEZ</v>
      </c>
      <c r="F15108" s="5"/>
      <c r="G15108" s="5"/>
    </row>
    <row r="15109" spans="1:7" ht="58.5" customHeight="1" x14ac:dyDescent="0.25">
      <c r="A15109" s="5" t="str">
        <f>"H0034665"</f>
        <v>H0034665</v>
      </c>
      <c r="B15109" s="5" t="str">
        <f t="shared" si="780"/>
        <v>bomba de infusion (DONACION)</v>
      </c>
      <c r="C15109" s="6">
        <v>7049854</v>
      </c>
      <c r="D15109" s="5" t="s">
        <v>124</v>
      </c>
      <c r="E15109" s="5" t="str">
        <f t="shared" si="778"/>
        <v>ACTISALUD-PISO 12 ALA A-EDGAR NARVAEZ</v>
      </c>
      <c r="F15109" s="5"/>
      <c r="G15109" s="5"/>
    </row>
    <row r="15110" spans="1:7" ht="58.5" customHeight="1" x14ac:dyDescent="0.25">
      <c r="A15110" s="5" t="str">
        <f>"H0034666"</f>
        <v>H0034666</v>
      </c>
      <c r="B15110" s="5" t="str">
        <f t="shared" si="780"/>
        <v>bomba de infusion (DONACION)</v>
      </c>
      <c r="C15110" s="6">
        <v>7049854</v>
      </c>
      <c r="D15110" s="5" t="s">
        <v>124</v>
      </c>
      <c r="E15110" s="5" t="str">
        <f t="shared" si="778"/>
        <v>ACTISALUD-PISO 12 ALA A-EDGAR NARVAEZ</v>
      </c>
      <c r="F15110" s="5"/>
      <c r="G15110" s="5"/>
    </row>
    <row r="15111" spans="1:7" ht="58.5" customHeight="1" x14ac:dyDescent="0.25">
      <c r="A15111" s="5" t="str">
        <f>"H0034667"</f>
        <v>H0034667</v>
      </c>
      <c r="B15111" s="5" t="str">
        <f t="shared" si="780"/>
        <v>bomba de infusion (DONACION)</v>
      </c>
      <c r="C15111" s="6">
        <v>7049854</v>
      </c>
      <c r="D15111" s="5" t="s">
        <v>124</v>
      </c>
      <c r="E15111" s="5" t="str">
        <f t="shared" si="778"/>
        <v>ACTISALUD-PISO 12 ALA A-EDGAR NARVAEZ</v>
      </c>
      <c r="F15111" s="5"/>
      <c r="G15111" s="5"/>
    </row>
    <row r="15112" spans="1:7" ht="58.5" customHeight="1" x14ac:dyDescent="0.25">
      <c r="A15112" s="5" t="str">
        <f>"H0034668"</f>
        <v>H0034668</v>
      </c>
      <c r="B15112" s="5" t="str">
        <f t="shared" si="780"/>
        <v>bomba de infusion (DONACION)</v>
      </c>
      <c r="C15112" s="6">
        <v>7049854</v>
      </c>
      <c r="D15112" s="5" t="s">
        <v>124</v>
      </c>
      <c r="E15112" s="5" t="str">
        <f t="shared" si="778"/>
        <v>ACTISALUD-PISO 12 ALA A-EDGAR NARVAEZ</v>
      </c>
      <c r="F15112" s="5"/>
      <c r="G15112" s="5"/>
    </row>
    <row r="15113" spans="1:7" ht="58.5" customHeight="1" x14ac:dyDescent="0.25">
      <c r="A15113" s="5" t="str">
        <f>"H0034679"</f>
        <v>H0034679</v>
      </c>
      <c r="B15113" s="5" t="str">
        <f t="shared" si="780"/>
        <v>bomba de infusion (DONACION)</v>
      </c>
      <c r="C15113" s="6">
        <v>7049854</v>
      </c>
      <c r="D15113" s="5" t="s">
        <v>124</v>
      </c>
      <c r="E15113" s="5" t="str">
        <f t="shared" si="778"/>
        <v>ACTISALUD-PISO 12 ALA A-EDGAR NARVAEZ</v>
      </c>
      <c r="F15113" s="5"/>
      <c r="G15113" s="5"/>
    </row>
    <row r="15114" spans="1:7" ht="58.5" customHeight="1" x14ac:dyDescent="0.25">
      <c r="A15114" s="5" t="str">
        <f>"H0034680"</f>
        <v>H0034680</v>
      </c>
      <c r="B15114" s="5" t="str">
        <f t="shared" si="780"/>
        <v>bomba de infusion (DONACION)</v>
      </c>
      <c r="C15114" s="6">
        <v>7049854</v>
      </c>
      <c r="D15114" s="5" t="s">
        <v>124</v>
      </c>
      <c r="E15114" s="5" t="str">
        <f t="shared" si="778"/>
        <v>ACTISALUD-PISO 12 ALA A-EDGAR NARVAEZ</v>
      </c>
      <c r="F15114" s="5"/>
      <c r="G15114" s="5"/>
    </row>
    <row r="15115" spans="1:7" ht="58.5" customHeight="1" x14ac:dyDescent="0.25">
      <c r="A15115" s="5" t="str">
        <f>"H0035139"</f>
        <v>H0035139</v>
      </c>
      <c r="B15115" s="5" t="str">
        <f>"NEVERA MINI BAR (121 Lt)"</f>
        <v>NEVERA MINI BAR (121 Lt)</v>
      </c>
      <c r="C15115" s="6">
        <v>1285200</v>
      </c>
      <c r="D15115" s="5" t="s">
        <v>25</v>
      </c>
      <c r="E15115" s="5" t="str">
        <f t="shared" si="778"/>
        <v>ACTISALUD-PISO 12 ALA A-EDGAR NARVAEZ</v>
      </c>
      <c r="F15115" s="5"/>
      <c r="G15115" s="5"/>
    </row>
    <row r="15116" spans="1:7" ht="58.5" customHeight="1" x14ac:dyDescent="0.25">
      <c r="A15116" s="5" t="str">
        <f>"H0035227"</f>
        <v>H0035227</v>
      </c>
      <c r="B15116" s="5" t="str">
        <f>"LECTOR DE HUELLAS DIGITALES"</f>
        <v>LECTOR DE HUELLAS DIGITALES</v>
      </c>
      <c r="C15116" s="6">
        <v>357666.4</v>
      </c>
      <c r="D15116" s="5" t="s">
        <v>126</v>
      </c>
      <c r="E15116" s="5" t="str">
        <f t="shared" si="778"/>
        <v>ACTISALUD-PISO 12 ALA A-EDGAR NARVAEZ</v>
      </c>
      <c r="F15116" s="5"/>
      <c r="G15116" s="5"/>
    </row>
    <row r="15117" spans="1:7" ht="58.5" customHeight="1" x14ac:dyDescent="0.25">
      <c r="A15117" s="5" t="str">
        <f>"H0035448"</f>
        <v>H0035448</v>
      </c>
      <c r="B15117" s="5" t="str">
        <f t="shared" ref="B15117:B15129" si="781">"CAMA HOSPITALARIA (DONACION)"</f>
        <v>CAMA HOSPITALARIA (DONACION)</v>
      </c>
      <c r="C15117" s="6">
        <v>7594755</v>
      </c>
      <c r="D15117" s="5" t="s">
        <v>130</v>
      </c>
      <c r="E15117" s="5" t="str">
        <f t="shared" si="778"/>
        <v>ACTISALUD-PISO 12 ALA A-EDGAR NARVAEZ</v>
      </c>
      <c r="F15117" s="5"/>
      <c r="G15117" s="5"/>
    </row>
    <row r="15118" spans="1:7" ht="58.5" customHeight="1" x14ac:dyDescent="0.25">
      <c r="A15118" s="5" t="str">
        <f>"H0035449"</f>
        <v>H0035449</v>
      </c>
      <c r="B15118" s="5" t="str">
        <f t="shared" si="781"/>
        <v>CAMA HOSPITALARIA (DONACION)</v>
      </c>
      <c r="C15118" s="6">
        <v>7594755</v>
      </c>
      <c r="D15118" s="5" t="s">
        <v>130</v>
      </c>
      <c r="E15118" s="5" t="str">
        <f t="shared" si="778"/>
        <v>ACTISALUD-PISO 12 ALA A-EDGAR NARVAEZ</v>
      </c>
      <c r="F15118" s="5"/>
      <c r="G15118" s="5"/>
    </row>
    <row r="15119" spans="1:7" ht="58.5" customHeight="1" x14ac:dyDescent="0.25">
      <c r="A15119" s="5" t="str">
        <f>"H0035450"</f>
        <v>H0035450</v>
      </c>
      <c r="B15119" s="5" t="str">
        <f t="shared" si="781"/>
        <v>CAMA HOSPITALARIA (DONACION)</v>
      </c>
      <c r="C15119" s="6">
        <v>7594755</v>
      </c>
      <c r="D15119" s="5" t="s">
        <v>130</v>
      </c>
      <c r="E15119" s="5" t="str">
        <f t="shared" si="778"/>
        <v>ACTISALUD-PISO 12 ALA A-EDGAR NARVAEZ</v>
      </c>
      <c r="F15119" s="5"/>
      <c r="G15119" s="5"/>
    </row>
    <row r="15120" spans="1:7" ht="58.5" customHeight="1" x14ac:dyDescent="0.25">
      <c r="A15120" s="5" t="str">
        <f>"H0035451"</f>
        <v>H0035451</v>
      </c>
      <c r="B15120" s="5" t="str">
        <f t="shared" si="781"/>
        <v>CAMA HOSPITALARIA (DONACION)</v>
      </c>
      <c r="C15120" s="6">
        <v>7594755</v>
      </c>
      <c r="D15120" s="5" t="s">
        <v>130</v>
      </c>
      <c r="E15120" s="5" t="str">
        <f t="shared" si="778"/>
        <v>ACTISALUD-PISO 12 ALA A-EDGAR NARVAEZ</v>
      </c>
      <c r="F15120" s="5"/>
      <c r="G15120" s="5"/>
    </row>
    <row r="15121" spans="1:7" ht="58.5" customHeight="1" x14ac:dyDescent="0.25">
      <c r="A15121" s="5" t="str">
        <f>"H0035452"</f>
        <v>H0035452</v>
      </c>
      <c r="B15121" s="5" t="str">
        <f t="shared" si="781"/>
        <v>CAMA HOSPITALARIA (DONACION)</v>
      </c>
      <c r="C15121" s="6">
        <v>7594755</v>
      </c>
      <c r="D15121" s="5" t="s">
        <v>130</v>
      </c>
      <c r="E15121" s="5" t="str">
        <f t="shared" si="778"/>
        <v>ACTISALUD-PISO 12 ALA A-EDGAR NARVAEZ</v>
      </c>
      <c r="F15121" s="5"/>
      <c r="G15121" s="5"/>
    </row>
    <row r="15122" spans="1:7" ht="58.5" customHeight="1" x14ac:dyDescent="0.25">
      <c r="A15122" s="5" t="str">
        <f>"H0035455"</f>
        <v>H0035455</v>
      </c>
      <c r="B15122" s="5" t="str">
        <f t="shared" si="781"/>
        <v>CAMA HOSPITALARIA (DONACION)</v>
      </c>
      <c r="C15122" s="6">
        <v>7594755</v>
      </c>
      <c r="D15122" s="5" t="s">
        <v>130</v>
      </c>
      <c r="E15122" s="5" t="str">
        <f t="shared" si="778"/>
        <v>ACTISALUD-PISO 12 ALA A-EDGAR NARVAEZ</v>
      </c>
      <c r="F15122" s="5"/>
      <c r="G15122" s="5"/>
    </row>
    <row r="15123" spans="1:7" ht="58.5" customHeight="1" x14ac:dyDescent="0.25">
      <c r="A15123" s="5" t="str">
        <f>"H0035555"</f>
        <v>H0035555</v>
      </c>
      <c r="B15123" s="5" t="str">
        <f t="shared" si="781"/>
        <v>CAMA HOSPITALARIA (DONACION)</v>
      </c>
      <c r="C15123" s="6">
        <v>6390000</v>
      </c>
      <c r="D15123" s="5" t="s">
        <v>739</v>
      </c>
      <c r="E15123" s="5" t="str">
        <f t="shared" si="778"/>
        <v>ACTISALUD-PISO 12 ALA A-EDGAR NARVAEZ</v>
      </c>
      <c r="F15123" s="5"/>
      <c r="G15123" s="5"/>
    </row>
    <row r="15124" spans="1:7" ht="58.5" customHeight="1" x14ac:dyDescent="0.25">
      <c r="A15124" s="5" t="str">
        <f>"H0035556"</f>
        <v>H0035556</v>
      </c>
      <c r="B15124" s="5" t="str">
        <f t="shared" si="781"/>
        <v>CAMA HOSPITALARIA (DONACION)</v>
      </c>
      <c r="C15124" s="6">
        <v>6390000</v>
      </c>
      <c r="D15124" s="5" t="s">
        <v>492</v>
      </c>
      <c r="E15124" s="5" t="str">
        <f t="shared" si="778"/>
        <v>ACTISALUD-PISO 12 ALA A-EDGAR NARVAEZ</v>
      </c>
      <c r="F15124" s="5"/>
      <c r="G15124" s="5"/>
    </row>
    <row r="15125" spans="1:7" ht="58.5" customHeight="1" x14ac:dyDescent="0.25">
      <c r="A15125" s="5" t="str">
        <f>"H0035557"</f>
        <v>H0035557</v>
      </c>
      <c r="B15125" s="5" t="str">
        <f t="shared" si="781"/>
        <v>CAMA HOSPITALARIA (DONACION)</v>
      </c>
      <c r="C15125" s="6">
        <v>6390000</v>
      </c>
      <c r="D15125" s="5" t="s">
        <v>492</v>
      </c>
      <c r="E15125" s="5" t="str">
        <f t="shared" si="778"/>
        <v>ACTISALUD-PISO 12 ALA A-EDGAR NARVAEZ</v>
      </c>
      <c r="F15125" s="5"/>
      <c r="G15125" s="5"/>
    </row>
    <row r="15126" spans="1:7" ht="58.5" customHeight="1" x14ac:dyDescent="0.25">
      <c r="A15126" s="5" t="str">
        <f>"H0035558"</f>
        <v>H0035558</v>
      </c>
      <c r="B15126" s="5" t="str">
        <f t="shared" si="781"/>
        <v>CAMA HOSPITALARIA (DONACION)</v>
      </c>
      <c r="C15126" s="6">
        <v>6390000</v>
      </c>
      <c r="D15126" s="5" t="s">
        <v>492</v>
      </c>
      <c r="E15126" s="5" t="str">
        <f t="shared" si="778"/>
        <v>ACTISALUD-PISO 12 ALA A-EDGAR NARVAEZ</v>
      </c>
      <c r="F15126" s="5"/>
      <c r="G15126" s="5"/>
    </row>
    <row r="15127" spans="1:7" ht="58.5" customHeight="1" x14ac:dyDescent="0.25">
      <c r="A15127" s="5" t="str">
        <f>"H0035559"</f>
        <v>H0035559</v>
      </c>
      <c r="B15127" s="5" t="str">
        <f t="shared" si="781"/>
        <v>CAMA HOSPITALARIA (DONACION)</v>
      </c>
      <c r="C15127" s="6">
        <v>6390000</v>
      </c>
      <c r="D15127" s="5" t="s">
        <v>492</v>
      </c>
      <c r="E15127" s="5" t="str">
        <f t="shared" si="778"/>
        <v>ACTISALUD-PISO 12 ALA A-EDGAR NARVAEZ</v>
      </c>
      <c r="F15127" s="5"/>
      <c r="G15127" s="5"/>
    </row>
    <row r="15128" spans="1:7" ht="58.5" customHeight="1" x14ac:dyDescent="0.25">
      <c r="A15128" s="5" t="str">
        <f>"H0035560"</f>
        <v>H0035560</v>
      </c>
      <c r="B15128" s="5" t="str">
        <f t="shared" si="781"/>
        <v>CAMA HOSPITALARIA (DONACION)</v>
      </c>
      <c r="C15128" s="6">
        <v>6390000</v>
      </c>
      <c r="D15128" s="5" t="s">
        <v>280</v>
      </c>
      <c r="E15128" s="5" t="str">
        <f t="shared" si="778"/>
        <v>ACTISALUD-PISO 12 ALA A-EDGAR NARVAEZ</v>
      </c>
      <c r="F15128" s="5"/>
      <c r="G15128" s="5"/>
    </row>
    <row r="15129" spans="1:7" ht="58.5" customHeight="1" x14ac:dyDescent="0.25">
      <c r="A15129" s="5" t="str">
        <f>"H0035561"</f>
        <v>H0035561</v>
      </c>
      <c r="B15129" s="5" t="str">
        <f t="shared" si="781"/>
        <v>CAMA HOSPITALARIA (DONACION)</v>
      </c>
      <c r="C15129" s="6">
        <v>6390000</v>
      </c>
      <c r="D15129" s="5" t="s">
        <v>492</v>
      </c>
      <c r="E15129" s="5" t="str">
        <f t="shared" si="778"/>
        <v>ACTISALUD-PISO 12 ALA A-EDGAR NARVAEZ</v>
      </c>
      <c r="F15129" s="5"/>
      <c r="G15129" s="5"/>
    </row>
    <row r="15130" spans="1:7" ht="58.5" customHeight="1" x14ac:dyDescent="0.25">
      <c r="A15130" s="5" t="str">
        <f>"H0035792"</f>
        <v>H0035792</v>
      </c>
      <c r="B15130" s="5" t="str">
        <f>"SILLA GERENTE NIZA MEC. BASCULANTE CON BRAZOS."</f>
        <v>SILLA GERENTE NIZA MEC. BASCULANTE CON BRAZOS.</v>
      </c>
      <c r="C15130" s="6">
        <v>640002.24</v>
      </c>
      <c r="D15130" s="5" t="s">
        <v>47</v>
      </c>
      <c r="E15130" s="5" t="str">
        <f t="shared" si="778"/>
        <v>ACTISALUD-PISO 12 ALA A-EDGAR NARVAEZ</v>
      </c>
      <c r="F15130" s="5"/>
      <c r="G15130" s="5"/>
    </row>
    <row r="15131" spans="1:7" ht="58.5" customHeight="1" x14ac:dyDescent="0.25">
      <c r="A15131" s="5" t="str">
        <f>"H0036657"</f>
        <v>H0036657</v>
      </c>
      <c r="B15131" s="5" t="str">
        <f t="shared" ref="B15131:B15141" si="782">"UNIDAD DE LLAMADO DE ENFERMERIA PARA BAÑO CON CORDON TIRADOR. RESISTENTE A SALPICADURAS DE AGUA Y LUZ INDICADORA DE PULSACIÓN"</f>
        <v>UNIDAD DE LLAMADO DE ENFERMERIA PARA BAÑO CON CORDON TIRADOR. RESISTENTE A SALPICADURAS DE AGUA Y LUZ INDICADORA DE PULSACIÓN</v>
      </c>
      <c r="C15131" s="6">
        <v>578500</v>
      </c>
      <c r="D15131" s="5" t="s">
        <v>200</v>
      </c>
      <c r="E15131" s="5" t="str">
        <f t="shared" si="778"/>
        <v>ACTISALUD-PISO 12 ALA A-EDGAR NARVAEZ</v>
      </c>
      <c r="F15131" s="5"/>
      <c r="G15131" s="5"/>
    </row>
    <row r="15132" spans="1:7" ht="58.5" customHeight="1" x14ac:dyDescent="0.25">
      <c r="A15132" s="5" t="str">
        <f>"H0036658"</f>
        <v>H0036658</v>
      </c>
      <c r="B15132" s="5" t="str">
        <f t="shared" si="782"/>
        <v>UNIDAD DE LLAMADO DE ENFERMERIA PARA BAÑO CON CORDON TIRADOR. RESISTENTE A SALPICADURAS DE AGUA Y LUZ INDICADORA DE PULSACIÓN</v>
      </c>
      <c r="C15132" s="6">
        <v>578500</v>
      </c>
      <c r="D15132" s="5" t="s">
        <v>200</v>
      </c>
      <c r="E15132" s="5" t="str">
        <f t="shared" si="778"/>
        <v>ACTISALUD-PISO 12 ALA A-EDGAR NARVAEZ</v>
      </c>
      <c r="F15132" s="5"/>
      <c r="G15132" s="5"/>
    </row>
    <row r="15133" spans="1:7" ht="58.5" customHeight="1" x14ac:dyDescent="0.25">
      <c r="A15133" s="5" t="str">
        <f>"H0036660"</f>
        <v>H0036660</v>
      </c>
      <c r="B15133" s="5" t="str">
        <f t="shared" si="782"/>
        <v>UNIDAD DE LLAMADO DE ENFERMERIA PARA BAÑO CON CORDON TIRADOR. RESISTENTE A SALPICADURAS DE AGUA Y LUZ INDICADORA DE PULSACIÓN</v>
      </c>
      <c r="C15133" s="6">
        <v>578500</v>
      </c>
      <c r="D15133" s="5" t="s">
        <v>200</v>
      </c>
      <c r="E15133" s="5" t="str">
        <f t="shared" si="778"/>
        <v>ACTISALUD-PISO 12 ALA A-EDGAR NARVAEZ</v>
      </c>
      <c r="F15133" s="5"/>
      <c r="G15133" s="5"/>
    </row>
    <row r="15134" spans="1:7" ht="58.5" customHeight="1" x14ac:dyDescent="0.25">
      <c r="A15134" s="5" t="str">
        <f>"H0036661"</f>
        <v>H0036661</v>
      </c>
      <c r="B15134" s="5" t="str">
        <f t="shared" si="782"/>
        <v>UNIDAD DE LLAMADO DE ENFERMERIA PARA BAÑO CON CORDON TIRADOR. RESISTENTE A SALPICADURAS DE AGUA Y LUZ INDICADORA DE PULSACIÓN</v>
      </c>
      <c r="C15134" s="6">
        <v>578500</v>
      </c>
      <c r="D15134" s="5" t="s">
        <v>200</v>
      </c>
      <c r="E15134" s="5" t="str">
        <f t="shared" si="778"/>
        <v>ACTISALUD-PISO 12 ALA A-EDGAR NARVAEZ</v>
      </c>
      <c r="F15134" s="5"/>
      <c r="G15134" s="5"/>
    </row>
    <row r="15135" spans="1:7" ht="58.5" customHeight="1" x14ac:dyDescent="0.25">
      <c r="A15135" s="5" t="str">
        <f>"H0036662"</f>
        <v>H0036662</v>
      </c>
      <c r="B15135" s="5" t="str">
        <f t="shared" si="782"/>
        <v>UNIDAD DE LLAMADO DE ENFERMERIA PARA BAÑO CON CORDON TIRADOR. RESISTENTE A SALPICADURAS DE AGUA Y LUZ INDICADORA DE PULSACIÓN</v>
      </c>
      <c r="C15135" s="6">
        <v>578500</v>
      </c>
      <c r="D15135" s="5" t="s">
        <v>200</v>
      </c>
      <c r="E15135" s="5" t="str">
        <f t="shared" si="778"/>
        <v>ACTISALUD-PISO 12 ALA A-EDGAR NARVAEZ</v>
      </c>
      <c r="F15135" s="5"/>
      <c r="G15135" s="5"/>
    </row>
    <row r="15136" spans="1:7" ht="58.5" customHeight="1" x14ac:dyDescent="0.25">
      <c r="A15136" s="5" t="str">
        <f>"H0036663"</f>
        <v>H0036663</v>
      </c>
      <c r="B15136" s="5" t="str">
        <f t="shared" si="782"/>
        <v>UNIDAD DE LLAMADO DE ENFERMERIA PARA BAÑO CON CORDON TIRADOR. RESISTENTE A SALPICADURAS DE AGUA Y LUZ INDICADORA DE PULSACIÓN</v>
      </c>
      <c r="C15136" s="6">
        <v>578500</v>
      </c>
      <c r="D15136" s="5" t="s">
        <v>200</v>
      </c>
      <c r="E15136" s="5" t="str">
        <f t="shared" si="778"/>
        <v>ACTISALUD-PISO 12 ALA A-EDGAR NARVAEZ</v>
      </c>
      <c r="F15136" s="5"/>
      <c r="G15136" s="5"/>
    </row>
    <row r="15137" spans="1:7" ht="58.5" customHeight="1" x14ac:dyDescent="0.25">
      <c r="A15137" s="5" t="str">
        <f>"H0036664"</f>
        <v>H0036664</v>
      </c>
      <c r="B15137" s="5" t="str">
        <f t="shared" si="782"/>
        <v>UNIDAD DE LLAMADO DE ENFERMERIA PARA BAÑO CON CORDON TIRADOR. RESISTENTE A SALPICADURAS DE AGUA Y LUZ INDICADORA DE PULSACIÓN</v>
      </c>
      <c r="C15137" s="6">
        <v>578500</v>
      </c>
      <c r="D15137" s="5" t="s">
        <v>200</v>
      </c>
      <c r="E15137" s="5" t="str">
        <f t="shared" si="778"/>
        <v>ACTISALUD-PISO 12 ALA A-EDGAR NARVAEZ</v>
      </c>
      <c r="F15137" s="5"/>
      <c r="G15137" s="5"/>
    </row>
    <row r="15138" spans="1:7" ht="58.5" customHeight="1" x14ac:dyDescent="0.25">
      <c r="A15138" s="5" t="str">
        <f>"H0036665"</f>
        <v>H0036665</v>
      </c>
      <c r="B15138" s="5" t="str">
        <f t="shared" si="782"/>
        <v>UNIDAD DE LLAMADO DE ENFERMERIA PARA BAÑO CON CORDON TIRADOR. RESISTENTE A SALPICADURAS DE AGUA Y LUZ INDICADORA DE PULSACIÓN</v>
      </c>
      <c r="C15138" s="6">
        <v>578500</v>
      </c>
      <c r="D15138" s="5" t="s">
        <v>200</v>
      </c>
      <c r="E15138" s="5" t="str">
        <f t="shared" si="778"/>
        <v>ACTISALUD-PISO 12 ALA A-EDGAR NARVAEZ</v>
      </c>
      <c r="F15138" s="5"/>
      <c r="G15138" s="5"/>
    </row>
    <row r="15139" spans="1:7" ht="58.5" customHeight="1" x14ac:dyDescent="0.25">
      <c r="A15139" s="5" t="str">
        <f>"H0036666"</f>
        <v>H0036666</v>
      </c>
      <c r="B15139" s="5" t="str">
        <f t="shared" si="782"/>
        <v>UNIDAD DE LLAMADO DE ENFERMERIA PARA BAÑO CON CORDON TIRADOR. RESISTENTE A SALPICADURAS DE AGUA Y LUZ INDICADORA DE PULSACIÓN</v>
      </c>
      <c r="C15139" s="6">
        <v>578500</v>
      </c>
      <c r="D15139" s="5" t="s">
        <v>200</v>
      </c>
      <c r="E15139" s="5" t="str">
        <f t="shared" si="778"/>
        <v>ACTISALUD-PISO 12 ALA A-EDGAR NARVAEZ</v>
      </c>
      <c r="F15139" s="5"/>
      <c r="G15139" s="5"/>
    </row>
    <row r="15140" spans="1:7" ht="58.5" customHeight="1" x14ac:dyDescent="0.25">
      <c r="A15140" s="5" t="str">
        <f>"H0036667"</f>
        <v>H0036667</v>
      </c>
      <c r="B15140" s="5" t="str">
        <f t="shared" si="782"/>
        <v>UNIDAD DE LLAMADO DE ENFERMERIA PARA BAÑO CON CORDON TIRADOR. RESISTENTE A SALPICADURAS DE AGUA Y LUZ INDICADORA DE PULSACIÓN</v>
      </c>
      <c r="C15140" s="6">
        <v>578500</v>
      </c>
      <c r="D15140" s="5" t="s">
        <v>200</v>
      </c>
      <c r="E15140" s="5" t="str">
        <f t="shared" si="778"/>
        <v>ACTISALUD-PISO 12 ALA A-EDGAR NARVAEZ</v>
      </c>
      <c r="F15140" s="5"/>
      <c r="G15140" s="5"/>
    </row>
    <row r="15141" spans="1:7" ht="58.5" customHeight="1" x14ac:dyDescent="0.25">
      <c r="A15141" s="5" t="str">
        <f>"H0036668"</f>
        <v>H0036668</v>
      </c>
      <c r="B15141" s="5" t="str">
        <f t="shared" si="782"/>
        <v>UNIDAD DE LLAMADO DE ENFERMERIA PARA BAÑO CON CORDON TIRADOR. RESISTENTE A SALPICADURAS DE AGUA Y LUZ INDICADORA DE PULSACIÓN</v>
      </c>
      <c r="C15141" s="6">
        <v>578500</v>
      </c>
      <c r="D15141" s="5" t="s">
        <v>200</v>
      </c>
      <c r="E15141" s="5" t="str">
        <f t="shared" si="778"/>
        <v>ACTISALUD-PISO 12 ALA A-EDGAR NARVAEZ</v>
      </c>
      <c r="F15141" s="5"/>
      <c r="G15141" s="5"/>
    </row>
    <row r="15142" spans="1:7" ht="58.5" customHeight="1" x14ac:dyDescent="0.25">
      <c r="A15142" s="5" t="str">
        <f>"H0036786"</f>
        <v>H0036786</v>
      </c>
      <c r="B15142" s="5" t="str">
        <f t="shared" ref="B15142:B15161" si="783">"UNIDAD DE LLAMADO DE ENFERMERIA PARA CAMA O BAÑO"</f>
        <v>UNIDAD DE LLAMADO DE ENFERMERIA PARA CAMA O BAÑO</v>
      </c>
      <c r="C15142" s="6">
        <v>643500</v>
      </c>
      <c r="D15142" s="5" t="s">
        <v>134</v>
      </c>
      <c r="E15142" s="5" t="str">
        <f t="shared" ref="E15142:E15181" si="784">"ACTISALUD-PISO 12 ALA A-EDGAR NARVAEZ"</f>
        <v>ACTISALUD-PISO 12 ALA A-EDGAR NARVAEZ</v>
      </c>
      <c r="F15142" s="5"/>
      <c r="G15142" s="5"/>
    </row>
    <row r="15143" spans="1:7" ht="58.5" customHeight="1" x14ac:dyDescent="0.25">
      <c r="A15143" s="5" t="str">
        <f>"H0036787"</f>
        <v>H0036787</v>
      </c>
      <c r="B15143" s="5" t="str">
        <f t="shared" si="783"/>
        <v>UNIDAD DE LLAMADO DE ENFERMERIA PARA CAMA O BAÑO</v>
      </c>
      <c r="C15143" s="6">
        <v>643500</v>
      </c>
      <c r="D15143" s="5" t="s">
        <v>134</v>
      </c>
      <c r="E15143" s="5" t="str">
        <f t="shared" si="784"/>
        <v>ACTISALUD-PISO 12 ALA A-EDGAR NARVAEZ</v>
      </c>
      <c r="F15143" s="5"/>
      <c r="G15143" s="5"/>
    </row>
    <row r="15144" spans="1:7" ht="58.5" customHeight="1" x14ac:dyDescent="0.25">
      <c r="A15144" s="5" t="str">
        <f>"H0036788"</f>
        <v>H0036788</v>
      </c>
      <c r="B15144" s="5" t="str">
        <f t="shared" si="783"/>
        <v>UNIDAD DE LLAMADO DE ENFERMERIA PARA CAMA O BAÑO</v>
      </c>
      <c r="C15144" s="6">
        <v>643500</v>
      </c>
      <c r="D15144" s="5" t="s">
        <v>134</v>
      </c>
      <c r="E15144" s="5" t="str">
        <f t="shared" si="784"/>
        <v>ACTISALUD-PISO 12 ALA A-EDGAR NARVAEZ</v>
      </c>
      <c r="F15144" s="5"/>
      <c r="G15144" s="5"/>
    </row>
    <row r="15145" spans="1:7" ht="58.5" customHeight="1" x14ac:dyDescent="0.25">
      <c r="A15145" s="5" t="str">
        <f>"H0036789"</f>
        <v>H0036789</v>
      </c>
      <c r="B15145" s="5" t="str">
        <f t="shared" si="783"/>
        <v>UNIDAD DE LLAMADO DE ENFERMERIA PARA CAMA O BAÑO</v>
      </c>
      <c r="C15145" s="6">
        <v>643500</v>
      </c>
      <c r="D15145" s="5" t="s">
        <v>134</v>
      </c>
      <c r="E15145" s="5" t="str">
        <f t="shared" si="784"/>
        <v>ACTISALUD-PISO 12 ALA A-EDGAR NARVAEZ</v>
      </c>
      <c r="F15145" s="5"/>
      <c r="G15145" s="5"/>
    </row>
    <row r="15146" spans="1:7" ht="58.5" customHeight="1" x14ac:dyDescent="0.25">
      <c r="A15146" s="5" t="str">
        <f>"H0036790"</f>
        <v>H0036790</v>
      </c>
      <c r="B15146" s="5" t="str">
        <f t="shared" si="783"/>
        <v>UNIDAD DE LLAMADO DE ENFERMERIA PARA CAMA O BAÑO</v>
      </c>
      <c r="C15146" s="6">
        <v>643500</v>
      </c>
      <c r="D15146" s="5" t="s">
        <v>134</v>
      </c>
      <c r="E15146" s="5" t="str">
        <f t="shared" si="784"/>
        <v>ACTISALUD-PISO 12 ALA A-EDGAR NARVAEZ</v>
      </c>
      <c r="F15146" s="5"/>
      <c r="G15146" s="5"/>
    </row>
    <row r="15147" spans="1:7" ht="58.5" customHeight="1" x14ac:dyDescent="0.25">
      <c r="A15147" s="5" t="str">
        <f>"H0036791"</f>
        <v>H0036791</v>
      </c>
      <c r="B15147" s="5" t="str">
        <f t="shared" si="783"/>
        <v>UNIDAD DE LLAMADO DE ENFERMERIA PARA CAMA O BAÑO</v>
      </c>
      <c r="C15147" s="6">
        <v>643500</v>
      </c>
      <c r="D15147" s="5" t="s">
        <v>134</v>
      </c>
      <c r="E15147" s="5" t="str">
        <f t="shared" si="784"/>
        <v>ACTISALUD-PISO 12 ALA A-EDGAR NARVAEZ</v>
      </c>
      <c r="F15147" s="5"/>
      <c r="G15147" s="5"/>
    </row>
    <row r="15148" spans="1:7" ht="58.5" customHeight="1" x14ac:dyDescent="0.25">
      <c r="A15148" s="5" t="str">
        <f>"H0036792"</f>
        <v>H0036792</v>
      </c>
      <c r="B15148" s="5" t="str">
        <f t="shared" si="783"/>
        <v>UNIDAD DE LLAMADO DE ENFERMERIA PARA CAMA O BAÑO</v>
      </c>
      <c r="C15148" s="6">
        <v>643500</v>
      </c>
      <c r="D15148" s="5" t="s">
        <v>134</v>
      </c>
      <c r="E15148" s="5" t="str">
        <f t="shared" si="784"/>
        <v>ACTISALUD-PISO 12 ALA A-EDGAR NARVAEZ</v>
      </c>
      <c r="F15148" s="5"/>
      <c r="G15148" s="5"/>
    </row>
    <row r="15149" spans="1:7" ht="58.5" customHeight="1" x14ac:dyDescent="0.25">
      <c r="A15149" s="5" t="str">
        <f>"H0036793"</f>
        <v>H0036793</v>
      </c>
      <c r="B15149" s="5" t="str">
        <f t="shared" si="783"/>
        <v>UNIDAD DE LLAMADO DE ENFERMERIA PARA CAMA O BAÑO</v>
      </c>
      <c r="C15149" s="6">
        <v>643500</v>
      </c>
      <c r="D15149" s="5" t="s">
        <v>134</v>
      </c>
      <c r="E15149" s="5" t="str">
        <f t="shared" si="784"/>
        <v>ACTISALUD-PISO 12 ALA A-EDGAR NARVAEZ</v>
      </c>
      <c r="F15149" s="5"/>
      <c r="G15149" s="5"/>
    </row>
    <row r="15150" spans="1:7" ht="58.5" customHeight="1" x14ac:dyDescent="0.25">
      <c r="A15150" s="5" t="str">
        <f>"H0036794"</f>
        <v>H0036794</v>
      </c>
      <c r="B15150" s="5" t="str">
        <f t="shared" si="783"/>
        <v>UNIDAD DE LLAMADO DE ENFERMERIA PARA CAMA O BAÑO</v>
      </c>
      <c r="C15150" s="6">
        <v>643500</v>
      </c>
      <c r="D15150" s="5" t="s">
        <v>134</v>
      </c>
      <c r="E15150" s="5" t="str">
        <f t="shared" si="784"/>
        <v>ACTISALUD-PISO 12 ALA A-EDGAR NARVAEZ</v>
      </c>
      <c r="F15150" s="5"/>
      <c r="G15150" s="5"/>
    </row>
    <row r="15151" spans="1:7" ht="58.5" customHeight="1" x14ac:dyDescent="0.25">
      <c r="A15151" s="5" t="str">
        <f>"H0036795"</f>
        <v>H0036795</v>
      </c>
      <c r="B15151" s="5" t="str">
        <f t="shared" si="783"/>
        <v>UNIDAD DE LLAMADO DE ENFERMERIA PARA CAMA O BAÑO</v>
      </c>
      <c r="C15151" s="6">
        <v>643500</v>
      </c>
      <c r="D15151" s="5" t="s">
        <v>134</v>
      </c>
      <c r="E15151" s="5" t="str">
        <f t="shared" si="784"/>
        <v>ACTISALUD-PISO 12 ALA A-EDGAR NARVAEZ</v>
      </c>
      <c r="F15151" s="5"/>
      <c r="G15151" s="5"/>
    </row>
    <row r="15152" spans="1:7" ht="58.5" customHeight="1" x14ac:dyDescent="0.25">
      <c r="A15152" s="5" t="str">
        <f>"H0036796"</f>
        <v>H0036796</v>
      </c>
      <c r="B15152" s="5" t="str">
        <f t="shared" si="783"/>
        <v>UNIDAD DE LLAMADO DE ENFERMERIA PARA CAMA O BAÑO</v>
      </c>
      <c r="C15152" s="6">
        <v>643500</v>
      </c>
      <c r="D15152" s="5" t="s">
        <v>134</v>
      </c>
      <c r="E15152" s="5" t="str">
        <f t="shared" si="784"/>
        <v>ACTISALUD-PISO 12 ALA A-EDGAR NARVAEZ</v>
      </c>
      <c r="F15152" s="5"/>
      <c r="G15152" s="5"/>
    </row>
    <row r="15153" spans="1:7" ht="58.5" customHeight="1" x14ac:dyDescent="0.25">
      <c r="A15153" s="5" t="str">
        <f>"H0036797"</f>
        <v>H0036797</v>
      </c>
      <c r="B15153" s="5" t="str">
        <f t="shared" si="783"/>
        <v>UNIDAD DE LLAMADO DE ENFERMERIA PARA CAMA O BAÑO</v>
      </c>
      <c r="C15153" s="6">
        <v>643500</v>
      </c>
      <c r="D15153" s="5" t="s">
        <v>134</v>
      </c>
      <c r="E15153" s="5" t="str">
        <f t="shared" si="784"/>
        <v>ACTISALUD-PISO 12 ALA A-EDGAR NARVAEZ</v>
      </c>
      <c r="F15153" s="5"/>
      <c r="G15153" s="5"/>
    </row>
    <row r="15154" spans="1:7" ht="58.5" customHeight="1" x14ac:dyDescent="0.25">
      <c r="A15154" s="5" t="str">
        <f>"H0036798"</f>
        <v>H0036798</v>
      </c>
      <c r="B15154" s="5" t="str">
        <f t="shared" si="783"/>
        <v>UNIDAD DE LLAMADO DE ENFERMERIA PARA CAMA O BAÑO</v>
      </c>
      <c r="C15154" s="6">
        <v>643500</v>
      </c>
      <c r="D15154" s="5" t="s">
        <v>134</v>
      </c>
      <c r="E15154" s="5" t="str">
        <f t="shared" si="784"/>
        <v>ACTISALUD-PISO 12 ALA A-EDGAR NARVAEZ</v>
      </c>
      <c r="F15154" s="5"/>
      <c r="G15154" s="5"/>
    </row>
    <row r="15155" spans="1:7" ht="58.5" customHeight="1" x14ac:dyDescent="0.25">
      <c r="A15155" s="5" t="str">
        <f>"H0036799"</f>
        <v>H0036799</v>
      </c>
      <c r="B15155" s="5" t="str">
        <f t="shared" si="783"/>
        <v>UNIDAD DE LLAMADO DE ENFERMERIA PARA CAMA O BAÑO</v>
      </c>
      <c r="C15155" s="6">
        <v>643500</v>
      </c>
      <c r="D15155" s="5" t="s">
        <v>134</v>
      </c>
      <c r="E15155" s="5" t="str">
        <f t="shared" si="784"/>
        <v>ACTISALUD-PISO 12 ALA A-EDGAR NARVAEZ</v>
      </c>
      <c r="F15155" s="5"/>
      <c r="G15155" s="5"/>
    </row>
    <row r="15156" spans="1:7" ht="58.5" customHeight="1" x14ac:dyDescent="0.25">
      <c r="A15156" s="5" t="str">
        <f>"H0036800"</f>
        <v>H0036800</v>
      </c>
      <c r="B15156" s="5" t="str">
        <f t="shared" si="783"/>
        <v>UNIDAD DE LLAMADO DE ENFERMERIA PARA CAMA O BAÑO</v>
      </c>
      <c r="C15156" s="6">
        <v>643500</v>
      </c>
      <c r="D15156" s="5" t="s">
        <v>134</v>
      </c>
      <c r="E15156" s="5" t="str">
        <f t="shared" si="784"/>
        <v>ACTISALUD-PISO 12 ALA A-EDGAR NARVAEZ</v>
      </c>
      <c r="F15156" s="5"/>
      <c r="G15156" s="5"/>
    </row>
    <row r="15157" spans="1:7" ht="58.5" customHeight="1" x14ac:dyDescent="0.25">
      <c r="A15157" s="5" t="str">
        <f>"H0036801"</f>
        <v>H0036801</v>
      </c>
      <c r="B15157" s="5" t="str">
        <f t="shared" si="783"/>
        <v>UNIDAD DE LLAMADO DE ENFERMERIA PARA CAMA O BAÑO</v>
      </c>
      <c r="C15157" s="6">
        <v>643500</v>
      </c>
      <c r="D15157" s="5" t="s">
        <v>134</v>
      </c>
      <c r="E15157" s="5" t="str">
        <f t="shared" si="784"/>
        <v>ACTISALUD-PISO 12 ALA A-EDGAR NARVAEZ</v>
      </c>
      <c r="F15157" s="5"/>
      <c r="G15157" s="5"/>
    </row>
    <row r="15158" spans="1:7" ht="58.5" customHeight="1" x14ac:dyDescent="0.25">
      <c r="A15158" s="5" t="str">
        <f>"H0036802"</f>
        <v>H0036802</v>
      </c>
      <c r="B15158" s="5" t="str">
        <f t="shared" si="783"/>
        <v>UNIDAD DE LLAMADO DE ENFERMERIA PARA CAMA O BAÑO</v>
      </c>
      <c r="C15158" s="6">
        <v>643500</v>
      </c>
      <c r="D15158" s="5" t="s">
        <v>134</v>
      </c>
      <c r="E15158" s="5" t="str">
        <f t="shared" si="784"/>
        <v>ACTISALUD-PISO 12 ALA A-EDGAR NARVAEZ</v>
      </c>
      <c r="F15158" s="5"/>
      <c r="G15158" s="5"/>
    </row>
    <row r="15159" spans="1:7" ht="58.5" customHeight="1" x14ac:dyDescent="0.25">
      <c r="A15159" s="5" t="str">
        <f>"H0036803"</f>
        <v>H0036803</v>
      </c>
      <c r="B15159" s="5" t="str">
        <f t="shared" si="783"/>
        <v>UNIDAD DE LLAMADO DE ENFERMERIA PARA CAMA O BAÑO</v>
      </c>
      <c r="C15159" s="6">
        <v>643500</v>
      </c>
      <c r="D15159" s="5" t="s">
        <v>134</v>
      </c>
      <c r="E15159" s="5" t="str">
        <f t="shared" si="784"/>
        <v>ACTISALUD-PISO 12 ALA A-EDGAR NARVAEZ</v>
      </c>
      <c r="F15159" s="5"/>
      <c r="G15159" s="5"/>
    </row>
    <row r="15160" spans="1:7" ht="58.5" customHeight="1" x14ac:dyDescent="0.25">
      <c r="A15160" s="5" t="str">
        <f>"H0036804"</f>
        <v>H0036804</v>
      </c>
      <c r="B15160" s="5" t="str">
        <f t="shared" si="783"/>
        <v>UNIDAD DE LLAMADO DE ENFERMERIA PARA CAMA O BAÑO</v>
      </c>
      <c r="C15160" s="6">
        <v>643500</v>
      </c>
      <c r="D15160" s="5" t="s">
        <v>134</v>
      </c>
      <c r="E15160" s="5" t="str">
        <f t="shared" si="784"/>
        <v>ACTISALUD-PISO 12 ALA A-EDGAR NARVAEZ</v>
      </c>
      <c r="F15160" s="5"/>
      <c r="G15160" s="5"/>
    </row>
    <row r="15161" spans="1:7" ht="58.5" customHeight="1" x14ac:dyDescent="0.25">
      <c r="A15161" s="5" t="str">
        <f>"H0036805"</f>
        <v>H0036805</v>
      </c>
      <c r="B15161" s="5" t="str">
        <f t="shared" si="783"/>
        <v>UNIDAD DE LLAMADO DE ENFERMERIA PARA CAMA O BAÑO</v>
      </c>
      <c r="C15161" s="6">
        <v>643500</v>
      </c>
      <c r="D15161" s="5" t="s">
        <v>134</v>
      </c>
      <c r="E15161" s="5" t="str">
        <f t="shared" si="784"/>
        <v>ACTISALUD-PISO 12 ALA A-EDGAR NARVAEZ</v>
      </c>
      <c r="F15161" s="5"/>
      <c r="G15161" s="5"/>
    </row>
    <row r="15162" spans="1:7" ht="58.5" customHeight="1" x14ac:dyDescent="0.25">
      <c r="A15162" s="5" t="str">
        <f>"H0036870"</f>
        <v>H0036870</v>
      </c>
      <c r="B15162" s="5" t="str">
        <f>"PANTALLA RECEPTORA DE LLAMADO DE ENFERMERIA"</f>
        <v>PANTALLA RECEPTORA DE LLAMADO DE ENFERMERIA</v>
      </c>
      <c r="C15162" s="6">
        <v>4895000</v>
      </c>
      <c r="D15162" s="5" t="s">
        <v>200</v>
      </c>
      <c r="E15162" s="5" t="str">
        <f t="shared" si="784"/>
        <v>ACTISALUD-PISO 12 ALA A-EDGAR NARVAEZ</v>
      </c>
      <c r="F15162" s="5"/>
      <c r="G15162" s="5"/>
    </row>
    <row r="15163" spans="1:7" ht="58.5" customHeight="1" x14ac:dyDescent="0.25">
      <c r="A15163" s="5" t="str">
        <f>"H0037119"</f>
        <v>H0037119</v>
      </c>
      <c r="B15163" s="5" t="str">
        <f>"TALLIMETRO CAPACIDAD 20-205 CM (DONACION)"</f>
        <v>TALLIMETRO CAPACIDAD 20-205 CM (DONACION)</v>
      </c>
      <c r="C15163" s="6">
        <v>1254705.99</v>
      </c>
      <c r="D15163" s="5" t="s">
        <v>136</v>
      </c>
      <c r="E15163" s="5" t="str">
        <f t="shared" si="784"/>
        <v>ACTISALUD-PISO 12 ALA A-EDGAR NARVAEZ</v>
      </c>
      <c r="F15163" s="5"/>
      <c r="G15163" s="5"/>
    </row>
    <row r="15164" spans="1:7" ht="58.5" customHeight="1" x14ac:dyDescent="0.25">
      <c r="A15164" s="5" t="str">
        <f>"H0037187"</f>
        <v>H0037187</v>
      </c>
      <c r="B15164" s="5" t="str">
        <f>"BASCULA: Capacidad: 200 kg, División: 100 g &lt; 150 kg &gt; 200 g, Dimensiones (AxAxP):321 x 61 x 362 mm, Peso: 4,1 kg"</f>
        <v>BASCULA: Capacidad: 200 kg, División: 100 g &lt; 150 kg &gt; 200 g, Dimensiones (AxAxP):321 x 61 x 362 mm, Peso: 4,1 kg</v>
      </c>
      <c r="C15164" s="6">
        <v>3588386.01</v>
      </c>
      <c r="D15164" s="5" t="s">
        <v>160</v>
      </c>
      <c r="E15164" s="5" t="str">
        <f t="shared" si="784"/>
        <v>ACTISALUD-PISO 12 ALA A-EDGAR NARVAEZ</v>
      </c>
      <c r="F15164" s="5"/>
      <c r="G15164" s="5"/>
    </row>
    <row r="15165" spans="1:7" ht="58.5" customHeight="1" x14ac:dyDescent="0.25">
      <c r="A15165" s="5" t="str">
        <f>"H0037517"</f>
        <v>H0037517</v>
      </c>
      <c r="B15165" s="5" t="str">
        <f>"VENTILADOR DE PARED"</f>
        <v>VENTILADOR DE PARED</v>
      </c>
      <c r="C15165" s="6">
        <v>286671</v>
      </c>
      <c r="D15165" s="5" t="s">
        <v>139</v>
      </c>
      <c r="E15165" s="5" t="str">
        <f t="shared" si="784"/>
        <v>ACTISALUD-PISO 12 ALA A-EDGAR NARVAEZ</v>
      </c>
      <c r="F15165" s="5"/>
      <c r="G15165" s="5"/>
    </row>
    <row r="15166" spans="1:7" ht="58.5" customHeight="1" x14ac:dyDescent="0.25">
      <c r="A15166" s="5" t="str">
        <f>"H0037518"</f>
        <v>H0037518</v>
      </c>
      <c r="B15166" s="5" t="str">
        <f>"VENTILADOR DE PARED"</f>
        <v>VENTILADOR DE PARED</v>
      </c>
      <c r="C15166" s="6">
        <v>286671</v>
      </c>
      <c r="D15166" s="5" t="s">
        <v>139</v>
      </c>
      <c r="E15166" s="5" t="str">
        <f t="shared" si="784"/>
        <v>ACTISALUD-PISO 12 ALA A-EDGAR NARVAEZ</v>
      </c>
      <c r="F15166" s="5"/>
      <c r="G15166" s="5"/>
    </row>
    <row r="15167" spans="1:7" ht="58.5" customHeight="1" x14ac:dyDescent="0.25">
      <c r="A15167" s="5" t="str">
        <f>"H0037554"</f>
        <v>H0037554</v>
      </c>
      <c r="B15167" s="5" t="str">
        <f>"VENTILADOR DE PEDESTAL"</f>
        <v>VENTILADOR DE PEDESTAL</v>
      </c>
      <c r="C15167" s="6">
        <v>305000.55</v>
      </c>
      <c r="D15167" s="5" t="s">
        <v>140</v>
      </c>
      <c r="E15167" s="5" t="str">
        <f t="shared" si="784"/>
        <v>ACTISALUD-PISO 12 ALA A-EDGAR NARVAEZ</v>
      </c>
      <c r="F15167" s="5"/>
      <c r="G15167" s="5"/>
    </row>
    <row r="15168" spans="1:7" ht="58.5" customHeight="1" x14ac:dyDescent="0.25">
      <c r="A15168" s="5" t="str">
        <f>"H0037699"</f>
        <v>H0037699</v>
      </c>
      <c r="B15168" s="5" t="str">
        <f>"SILLA GERENTE NIZA MEC. BASCULANTE CON BRAZOS."</f>
        <v>SILLA GERENTE NIZA MEC. BASCULANTE CON BRAZOS.</v>
      </c>
      <c r="C15168" s="6">
        <v>710000.01</v>
      </c>
      <c r="D15168" s="5" t="s">
        <v>30</v>
      </c>
      <c r="E15168" s="5" t="str">
        <f t="shared" si="784"/>
        <v>ACTISALUD-PISO 12 ALA A-EDGAR NARVAEZ</v>
      </c>
      <c r="F15168" s="5"/>
      <c r="G15168" s="5"/>
    </row>
    <row r="15169" spans="1:7" ht="58.5" customHeight="1" x14ac:dyDescent="0.25">
      <c r="A15169" s="5" t="str">
        <f>"H0037700"</f>
        <v>H0037700</v>
      </c>
      <c r="B15169" s="5" t="str">
        <f>"SILLA GERENTE NIZA MEC. BASCULANTE CON BRAZOS."</f>
        <v>SILLA GERENTE NIZA MEC. BASCULANTE CON BRAZOS.</v>
      </c>
      <c r="C15169" s="6">
        <v>710000.01</v>
      </c>
      <c r="D15169" s="5" t="s">
        <v>30</v>
      </c>
      <c r="E15169" s="5" t="str">
        <f t="shared" si="784"/>
        <v>ACTISALUD-PISO 12 ALA A-EDGAR NARVAEZ</v>
      </c>
      <c r="F15169" s="5"/>
      <c r="G15169" s="5"/>
    </row>
    <row r="15170" spans="1:7" ht="58.5" customHeight="1" x14ac:dyDescent="0.25">
      <c r="A15170" s="5" t="str">
        <f>"H0038653"</f>
        <v>H0038653</v>
      </c>
      <c r="B15170" s="5" t="str">
        <f>"CARRO PORTA HISTORIAS CLINICAS"</f>
        <v>CARRO PORTA HISTORIAS CLINICAS</v>
      </c>
      <c r="C15170" s="6">
        <v>1393000.07</v>
      </c>
      <c r="D15170" s="5" t="s">
        <v>145</v>
      </c>
      <c r="E15170" s="5" t="str">
        <f t="shared" si="784"/>
        <v>ACTISALUD-PISO 12 ALA A-EDGAR NARVAEZ</v>
      </c>
      <c r="F15170" s="5"/>
      <c r="G15170" s="5"/>
    </row>
    <row r="15171" spans="1:7" ht="58.5" customHeight="1" x14ac:dyDescent="0.25">
      <c r="A15171" s="5" t="str">
        <f>"V000053"</f>
        <v>V000053</v>
      </c>
      <c r="B15171" s="5" t="str">
        <f t="shared" ref="B15171:B15181" si="785">"LAMPARA DE PASILLO DE LLAMADO DE ENFERMERIA"</f>
        <v>LAMPARA DE PASILLO DE LLAMADO DE ENFERMERIA</v>
      </c>
      <c r="C15171" s="6">
        <v>934000</v>
      </c>
      <c r="D15171" s="5" t="s">
        <v>205</v>
      </c>
      <c r="E15171" s="5" t="str">
        <f t="shared" si="784"/>
        <v>ACTISALUD-PISO 12 ALA A-EDGAR NARVAEZ</v>
      </c>
      <c r="F15171" s="5"/>
      <c r="G15171" s="5"/>
    </row>
    <row r="15172" spans="1:7" ht="58.5" customHeight="1" x14ac:dyDescent="0.25">
      <c r="A15172" s="5" t="str">
        <f>"V000054"</f>
        <v>V000054</v>
      </c>
      <c r="B15172" s="5" t="str">
        <f t="shared" si="785"/>
        <v>LAMPARA DE PASILLO DE LLAMADO DE ENFERMERIA</v>
      </c>
      <c r="C15172" s="6">
        <v>934000</v>
      </c>
      <c r="D15172" s="5" t="s">
        <v>205</v>
      </c>
      <c r="E15172" s="5" t="str">
        <f t="shared" si="784"/>
        <v>ACTISALUD-PISO 12 ALA A-EDGAR NARVAEZ</v>
      </c>
      <c r="F15172" s="5"/>
      <c r="G15172" s="5"/>
    </row>
    <row r="15173" spans="1:7" ht="58.5" customHeight="1" x14ac:dyDescent="0.25">
      <c r="A15173" s="5" t="str">
        <f>"V000055"</f>
        <v>V000055</v>
      </c>
      <c r="B15173" s="5" t="str">
        <f t="shared" si="785"/>
        <v>LAMPARA DE PASILLO DE LLAMADO DE ENFERMERIA</v>
      </c>
      <c r="C15173" s="6">
        <v>934000</v>
      </c>
      <c r="D15173" s="5" t="s">
        <v>205</v>
      </c>
      <c r="E15173" s="5" t="str">
        <f t="shared" si="784"/>
        <v>ACTISALUD-PISO 12 ALA A-EDGAR NARVAEZ</v>
      </c>
      <c r="F15173" s="5"/>
      <c r="G15173" s="5"/>
    </row>
    <row r="15174" spans="1:7" ht="58.5" customHeight="1" x14ac:dyDescent="0.25">
      <c r="A15174" s="5" t="str">
        <f>"V000056"</f>
        <v>V000056</v>
      </c>
      <c r="B15174" s="5" t="str">
        <f t="shared" si="785"/>
        <v>LAMPARA DE PASILLO DE LLAMADO DE ENFERMERIA</v>
      </c>
      <c r="C15174" s="6">
        <v>934000</v>
      </c>
      <c r="D15174" s="5" t="s">
        <v>205</v>
      </c>
      <c r="E15174" s="5" t="str">
        <f t="shared" si="784"/>
        <v>ACTISALUD-PISO 12 ALA A-EDGAR NARVAEZ</v>
      </c>
      <c r="F15174" s="5"/>
      <c r="G15174" s="5"/>
    </row>
    <row r="15175" spans="1:7" ht="58.5" customHeight="1" x14ac:dyDescent="0.25">
      <c r="A15175" s="5" t="str">
        <f>"V000057"</f>
        <v>V000057</v>
      </c>
      <c r="B15175" s="5" t="str">
        <f t="shared" si="785"/>
        <v>LAMPARA DE PASILLO DE LLAMADO DE ENFERMERIA</v>
      </c>
      <c r="C15175" s="6">
        <v>934000</v>
      </c>
      <c r="D15175" s="5" t="s">
        <v>205</v>
      </c>
      <c r="E15175" s="5" t="str">
        <f t="shared" si="784"/>
        <v>ACTISALUD-PISO 12 ALA A-EDGAR NARVAEZ</v>
      </c>
      <c r="F15175" s="5"/>
      <c r="G15175" s="5"/>
    </row>
    <row r="15176" spans="1:7" ht="58.5" customHeight="1" x14ac:dyDescent="0.25">
      <c r="A15176" s="5" t="str">
        <f>"V000058"</f>
        <v>V000058</v>
      </c>
      <c r="B15176" s="5" t="str">
        <f t="shared" si="785"/>
        <v>LAMPARA DE PASILLO DE LLAMADO DE ENFERMERIA</v>
      </c>
      <c r="C15176" s="6">
        <v>934000</v>
      </c>
      <c r="D15176" s="5" t="s">
        <v>205</v>
      </c>
      <c r="E15176" s="5" t="str">
        <f t="shared" si="784"/>
        <v>ACTISALUD-PISO 12 ALA A-EDGAR NARVAEZ</v>
      </c>
      <c r="F15176" s="5"/>
      <c r="G15176" s="5"/>
    </row>
    <row r="15177" spans="1:7" ht="58.5" customHeight="1" x14ac:dyDescent="0.25">
      <c r="A15177" s="5" t="str">
        <f>"V000059"</f>
        <v>V000059</v>
      </c>
      <c r="B15177" s="5" t="str">
        <f t="shared" si="785"/>
        <v>LAMPARA DE PASILLO DE LLAMADO DE ENFERMERIA</v>
      </c>
      <c r="C15177" s="6">
        <v>934000</v>
      </c>
      <c r="D15177" s="5" t="s">
        <v>205</v>
      </c>
      <c r="E15177" s="5" t="str">
        <f t="shared" si="784"/>
        <v>ACTISALUD-PISO 12 ALA A-EDGAR NARVAEZ</v>
      </c>
      <c r="F15177" s="5"/>
      <c r="G15177" s="5"/>
    </row>
    <row r="15178" spans="1:7" ht="58.5" customHeight="1" x14ac:dyDescent="0.25">
      <c r="A15178" s="5" t="str">
        <f>"V000060"</f>
        <v>V000060</v>
      </c>
      <c r="B15178" s="5" t="str">
        <f t="shared" si="785"/>
        <v>LAMPARA DE PASILLO DE LLAMADO DE ENFERMERIA</v>
      </c>
      <c r="C15178" s="6">
        <v>934000</v>
      </c>
      <c r="D15178" s="5" t="s">
        <v>205</v>
      </c>
      <c r="E15178" s="5" t="str">
        <f t="shared" si="784"/>
        <v>ACTISALUD-PISO 12 ALA A-EDGAR NARVAEZ</v>
      </c>
      <c r="F15178" s="5"/>
      <c r="G15178" s="5"/>
    </row>
    <row r="15179" spans="1:7" ht="58.5" customHeight="1" x14ac:dyDescent="0.25">
      <c r="A15179" s="5" t="str">
        <f>"V000061"</f>
        <v>V000061</v>
      </c>
      <c r="B15179" s="5" t="str">
        <f t="shared" si="785"/>
        <v>LAMPARA DE PASILLO DE LLAMADO DE ENFERMERIA</v>
      </c>
      <c r="C15179" s="6">
        <v>934000</v>
      </c>
      <c r="D15179" s="5" t="s">
        <v>205</v>
      </c>
      <c r="E15179" s="5" t="str">
        <f t="shared" si="784"/>
        <v>ACTISALUD-PISO 12 ALA A-EDGAR NARVAEZ</v>
      </c>
      <c r="F15179" s="5"/>
      <c r="G15179" s="5"/>
    </row>
    <row r="15180" spans="1:7" ht="58.5" customHeight="1" x14ac:dyDescent="0.25">
      <c r="A15180" s="5" t="str">
        <f>"V000062"</f>
        <v>V000062</v>
      </c>
      <c r="B15180" s="5" t="str">
        <f t="shared" si="785"/>
        <v>LAMPARA DE PASILLO DE LLAMADO DE ENFERMERIA</v>
      </c>
      <c r="C15180" s="6">
        <v>934000</v>
      </c>
      <c r="D15180" s="5" t="s">
        <v>205</v>
      </c>
      <c r="E15180" s="5" t="str">
        <f t="shared" si="784"/>
        <v>ACTISALUD-PISO 12 ALA A-EDGAR NARVAEZ</v>
      </c>
      <c r="F15180" s="5"/>
      <c r="G15180" s="5"/>
    </row>
    <row r="15181" spans="1:7" ht="58.5" customHeight="1" x14ac:dyDescent="0.25">
      <c r="A15181" s="5" t="str">
        <f>"V000063"</f>
        <v>V000063</v>
      </c>
      <c r="B15181" s="5" t="str">
        <f t="shared" si="785"/>
        <v>LAMPARA DE PASILLO DE LLAMADO DE ENFERMERIA</v>
      </c>
      <c r="C15181" s="6">
        <v>934000</v>
      </c>
      <c r="D15181" s="5" t="s">
        <v>205</v>
      </c>
      <c r="E15181" s="5" t="str">
        <f t="shared" si="784"/>
        <v>ACTISALUD-PISO 12 ALA A-EDGAR NARVAEZ</v>
      </c>
      <c r="F15181" s="5"/>
      <c r="G15181" s="5"/>
    </row>
    <row r="15182" spans="1:7" ht="58.5" customHeight="1" x14ac:dyDescent="0.25">
      <c r="A15182" s="5" t="str">
        <f>"B0000759"</f>
        <v>B0000759</v>
      </c>
      <c r="B15182" s="5" t="str">
        <f>"LICENCIA OFFICE HOME AND BUSINEES"</f>
        <v>LICENCIA OFFICE HOME AND BUSINEES</v>
      </c>
      <c r="C15182" s="6">
        <v>440800</v>
      </c>
      <c r="D15182" s="5" t="s">
        <v>2</v>
      </c>
      <c r="E15182" s="5" t="str">
        <f t="shared" ref="E15182:E15213" si="786">"SUBADMINISTRATIVA - MIGUEL ALEXANDER NOGUERA QUINTERO"</f>
        <v>SUBADMINISTRATIVA - MIGUEL ALEXANDER NOGUERA QUINTERO</v>
      </c>
      <c r="F15182" s="5" t="str">
        <f>"Descripcion: LICENCIA OFFICE HOME AND BUSIMESS 2013 Estado: Bueno Placa anterior: 000030830 Material:  Color:  Referencia:  Observacion:  Placa padre: Tipo adquisicion: Entidad"</f>
        <v>Descripcion: LICENCIA OFFICE HOME AND BUSIMESS 2013 Estado: Bueno Placa anterior: 000030830 Material:  Color:  Referencia:  Observacion:  Placa padre: Tipo adquisicion: Entidad</v>
      </c>
      <c r="G15182" s="5"/>
    </row>
    <row r="15183" spans="1:7" ht="58.5" customHeight="1" x14ac:dyDescent="0.25">
      <c r="A15183" s="5" t="str">
        <f>"B0004580"</f>
        <v>B0004580</v>
      </c>
      <c r="B15183" s="5" t="str">
        <f>"LICENCIA OFFICE HOME AND BUSINEES"</f>
        <v>LICENCIA OFFICE HOME AND BUSINEES</v>
      </c>
      <c r="C15183" s="6">
        <v>440800</v>
      </c>
      <c r="D15183" s="5" t="s">
        <v>1</v>
      </c>
      <c r="E15183" s="5" t="str">
        <f t="shared" si="786"/>
        <v>SUBADMINISTRATIVA - MIGUEL ALEXANDER NOGUERA QUINTERO</v>
      </c>
      <c r="F15183" s="5" t="str">
        <f>"Descripcion: LICENCIA OFFICE HOME AND BUSIMESS 2013 Estado: Bueno Placa anterior: 000030607 Material:  Color:  Referencia:  Observacion:  Placa padre: Tipo adquisicion: Entidad"</f>
        <v>Descripcion: LICENCIA OFFICE HOME AND BUSIMESS 2013 Estado: Bueno Placa anterior: 000030607 Material:  Color:  Referencia:  Observacion:  Placa padre: Tipo adquisicion: Entidad</v>
      </c>
      <c r="G15183" s="5"/>
    </row>
    <row r="15184" spans="1:7" ht="58.5" customHeight="1" x14ac:dyDescent="0.25">
      <c r="A15184" s="5" t="str">
        <f>"B0004581"</f>
        <v>B0004581</v>
      </c>
      <c r="B15184" s="5" t="str">
        <f>"LICENCIA OFFICE HOME AND BUSINEES"</f>
        <v>LICENCIA OFFICE HOME AND BUSINEES</v>
      </c>
      <c r="C15184" s="6">
        <v>440800</v>
      </c>
      <c r="D15184" s="5" t="s">
        <v>2</v>
      </c>
      <c r="E15184" s="5" t="str">
        <f t="shared" si="786"/>
        <v>SUBADMINISTRATIVA - MIGUEL ALEXANDER NOGUERA QUINTERO</v>
      </c>
      <c r="F15184" s="5" t="str">
        <f>"Descripcion: LICENCIA OFFICE HOME AND BUSIMESS 2013 Estado: Bueno Placa anterior: 000030812 Material:  Color:  Referencia:  Observacion:  Placa padre: Tipo adquisicion: Entidad"</f>
        <v>Descripcion: LICENCIA OFFICE HOME AND BUSIMESS 2013 Estado: Bueno Placa anterior: 000030812 Material:  Color:  Referencia:  Observacion:  Placa padre: Tipo adquisicion: Entidad</v>
      </c>
      <c r="G15184" s="5"/>
    </row>
    <row r="15185" spans="1:7" ht="58.5" customHeight="1" x14ac:dyDescent="0.25">
      <c r="A15185" s="5" t="str">
        <f>"B0004582"</f>
        <v>B0004582</v>
      </c>
      <c r="B15185" s="5" t="str">
        <f>"LICENCIA OFFICE HOME AND BUSINEES"</f>
        <v>LICENCIA OFFICE HOME AND BUSINEES</v>
      </c>
      <c r="C15185" s="6">
        <v>440800</v>
      </c>
      <c r="D15185" s="5" t="s">
        <v>2</v>
      </c>
      <c r="E15185" s="5" t="str">
        <f t="shared" si="786"/>
        <v>SUBADMINISTRATIVA - MIGUEL ALEXANDER NOGUERA QUINTERO</v>
      </c>
      <c r="F15185" s="5" t="str">
        <f>"Descripcion: LICENCIA OFFICE HOME AND BUSIMESS 2013 Estado: Bueno Placa anterior: 000030816 Material:  Color:  Referencia:  Observacion:  Placa padre: Tipo adquisicion: Entidad"</f>
        <v>Descripcion: LICENCIA OFFICE HOME AND BUSIMESS 2013 Estado: Bueno Placa anterior: 000030816 Material:  Color:  Referencia:  Observacion:  Placa padre: Tipo adquisicion: Entidad</v>
      </c>
      <c r="G15185" s="5"/>
    </row>
    <row r="15186" spans="1:7" ht="58.5" customHeight="1" x14ac:dyDescent="0.25">
      <c r="A15186" s="5" t="str">
        <f>"H0002421"</f>
        <v>H0002421</v>
      </c>
      <c r="B15186" s="5" t="str">
        <f>"COMPUTADOR TODO EN UNO"</f>
        <v>COMPUTADOR TODO EN UNO</v>
      </c>
      <c r="C15186" s="6">
        <v>2470000</v>
      </c>
      <c r="D15186" s="5"/>
      <c r="E15186" s="5" t="str">
        <f t="shared" si="786"/>
        <v>SUBADMINISTRATIVA - MIGUEL ALEXANDER NOGUERA QUINTERO</v>
      </c>
      <c r="F15186" s="5" t="str">
        <f>"Descripcion:EQUIPO DE COMPUTO TODO EN UNO CON PROCESADOR INTEL i5 Estado: Excelente Placa anterior: 000037288 Material: PASTA Color: NEGRO Referencia: 10BDFDLS Observacion:  Placa anterior:, Placa nueva=H0002423, Descripcion:MOUSE USB  3 BOTONES, Serial:4"&amp; "4PD795, Marca:LENOVO, Modelo:45J4889, Material:PASTA, Color:NEGRO,   Referencia:, Placa anterior:, Placa nueva=H0002422, Descripcion:TECLADO USB LENOVO, Serial:8259946, Marca:LENOVO, Modelo:KU-0225, Material:PASTA, Color:NEGRO,   Referencia:54Y9424 Placa "&amp; "padre:  Tipo adquisicion : Entidad"</f>
        <v>Descripcion:EQUIPO DE COMPUTO TODO EN UNO CON PROCESADOR INTEL i5 Estado: Excelente Placa anterior: 000037288 Material: PASTA Color: NEGRO Referencia: 10BDFDLS Observacion:  Placa anterior:, Placa nueva=H0002423, Descripcion:MOUSE USB  3 BOTONES, Serial:44PD795, Marca:LENOVO, Modelo:45J4889, Material:PASTA, Color:NEGRO,   Referencia:, Placa anterior:, Placa nueva=H0002422, Descripcion:TECLADO USB LENOVO, Serial:8259946, Marca:LENOVO, Modelo:KU-0225, Material:PASTA, Color:NEGRO,   Referencia:54Y9424 Placa padre:  Tipo adquisicion : Entidad</v>
      </c>
      <c r="G15186" s="5" t="str">
        <f>"00FDLS"</f>
        <v>00FDLS</v>
      </c>
    </row>
    <row r="15187" spans="1:7" ht="58.5" customHeight="1" x14ac:dyDescent="0.25">
      <c r="A15187" s="5" t="str">
        <f>"H0002790"</f>
        <v>H0002790</v>
      </c>
      <c r="B15187" s="5" t="str">
        <f>"VIDEOBEAM (VIDEO PROYECTOR)"</f>
        <v>VIDEOBEAM (VIDEO PROYECTOR)</v>
      </c>
      <c r="C15187" s="6">
        <v>2137600</v>
      </c>
      <c r="D15187" s="5"/>
      <c r="E15187" s="5" t="str">
        <f t="shared" si="786"/>
        <v>SUBADMINISTRATIVA - MIGUEL ALEXANDER NOGUERA QUINTERO</v>
      </c>
      <c r="F15187" s="5" t="str">
        <f>"Descripcion:Video Proyector Video Beam Resolución XGA (1024x768) Duración de Lampara 6000 H.Razón de Contraste 10000:1.Salida de Luz de calor 3500 lumniex Estado: Excelente Placa anterior: 000037055 Material: PASTA Color: BLANCO Referencia:  Observacion: "&amp; "PROYECTOR LCD CON ESTUCHE NEGRO, RESOL. XGA, CON CONTROL REMOTO, Placa anterior:, Placa nueva=B0000482, Descripcion:MODEM USB- WIFI  - WIRELES LAN 802, Serial:64EB8CC122D8, Marca:EPSON, Modelo:WN7512BEP, Material:PASTA, Color:BLANCO,   Referencia: Placa p"&amp; "adre:  Tipo adquisicion : Entidad"</f>
        <v>Descripcion:Video Proyector Video Beam Resolución XGA (1024x768) Duración de Lampara 6000 H.Razón de Contraste 10000:1.Salida de Luz de calor 3500 lumniex Estado: Excelente Placa anterior: 000037055 Material: PASTA Color: BLANCO Referencia:  Observacion: PROYECTOR LCD CON ESTUCHE NEGRO, RESOL. XGA, CON CONTROL REMOTO, Placa anterior:, Placa nueva=B0000482, Descripcion:MODEM USB- WIFI  - WIRELES LAN 802, Serial:64EB8CC122D8, Marca:EPSON, Modelo:WN7512BEP, Material:PASTA, Color:BLANCO,   Referencia: Placa padre:  Tipo adquisicion : Entidad</v>
      </c>
      <c r="G15187" s="5" t="str">
        <f>"H553A"</f>
        <v>H553A</v>
      </c>
    </row>
    <row r="15188" spans="1:7" ht="58.5" customHeight="1" x14ac:dyDescent="0.25">
      <c r="A15188" s="5" t="str">
        <f>"H0005123"</f>
        <v>H0005123</v>
      </c>
      <c r="B15188" s="5" t="str">
        <f>"COMPUTADOR TODO EN UNO"</f>
        <v>COMPUTADOR TODO EN UNO</v>
      </c>
      <c r="C15188" s="6">
        <v>1200000</v>
      </c>
      <c r="D15188" s="5" t="s">
        <v>2</v>
      </c>
      <c r="E15188" s="5" t="str">
        <f t="shared" si="786"/>
        <v>SUBADMINISTRATIVA - MIGUEL ALEXANDER NOGUERA QUINTERO</v>
      </c>
      <c r="F15188" s="5" t="str">
        <f>"Descripcion:20 PULGADAS Intel pentiun G645 (2.9 Ghz/3MB/2 nucleos) memoria RAM 4GB DDR3-1600 SODIMM (1X4GB) Disco duro 500GB 7200 RPMSATA-6G Multi DVD/RM Licencia win 8 pro 64 Downgrade to Win 7 pro 64 o supervisor USB Keyboard Usbe Optical, m Estado: Exc"&amp; "elente Placa anterior: 000030792 Material: PLASTICO Color: NEGRO Referencia: C9K24LT#ABM Observacion:  Placa anterior:, Placa nueva=H0005124, Descripcion:., Serial:BCZZN0BVB4C2H8, Marca:HP, Modelo:KU-1156, Material:PLASTICO, Color:NEGRO,   Referencia:6726"&amp; "47-162, Placa anterior:, Placa nueva=H0005125, Descripcion:OPTICO., Serial:672652-001, Marca:HP, Modelo:FCMHH0CAU4FFQR, Material:PLASTICO, Color:NEGRO,   Referencia:674316-001 Placa padre:  Tipo adquisicion : Entidad"</f>
        <v>Descripcion:20 PULGADAS Intel pentiun G645 (2.9 Ghz/3MB/2 nucleos) memoria RAM 4GB DDR3-1600 SODIMM (1X4GB) Disco duro 500GB 7200 RPMSATA-6G Multi DVD/RM Licencia win 8 pro 64 Downgrade to Win 7 pro 64 o supervisor USB Keyboard Usbe Optical, m Estado: Excelente Placa anterior: 000030792 Material: PLASTICO Color: NEGRO Referencia: C9K24LT#ABM Observacion:  Placa anterior:, Placa nueva=H0005124, Descripcion:., Serial:BCZZN0BVB4C2H8, Marca:HP, Modelo:KU-1156, Material:PLASTICO, Color:NEGRO,   Referencia:672647-162, Placa anterior:, Placa nueva=H0005125, Descripcion:OPTICO., Serial:672652-001, Marca:HP, Modelo:FCMHH0CAU4FFQR, Material:PLASTICO, Color:NEGRO,   Referencia:674316-001 Placa padre:  Tipo adquisicion : Entidad</v>
      </c>
      <c r="G15188" s="5" t="str">
        <f>"HP COMPAQ 4300"</f>
        <v>HP COMPAQ 4300</v>
      </c>
    </row>
    <row r="15189" spans="1:7" ht="58.5" customHeight="1" x14ac:dyDescent="0.25">
      <c r="A15189" s="5" t="str">
        <f>"H0005481"</f>
        <v>H0005481</v>
      </c>
      <c r="B15189" s="5" t="str">
        <f>"SILLA INTERLOCUTORA (FIJA) SIN BRAZOS"</f>
        <v>SILLA INTERLOCUTORA (FIJA) SIN BRAZOS</v>
      </c>
      <c r="C15189" s="6">
        <v>133980</v>
      </c>
      <c r="D15189" s="5"/>
      <c r="E15189" s="5" t="str">
        <f t="shared" si="786"/>
        <v>SUBADMINISTRATIVA - MIGUEL ALEXANDER NOGUERA QUINTERO</v>
      </c>
      <c r="F15189" s="5" t="str">
        <f>"Descripcion: SILLA INTERLOCUTORA PAÑO NEGRO Estado: Bueno Placa anterior: 000024648 Material: METALICO Color: NEGRO Referencia:  Observacion:  Placa padre: Tipo adquisicion: Entidad"</f>
        <v>Descripcion: SILLA INTERLOCUTORA PAÑO NEGRO Estado: Bueno Placa anterior: 000024648 Material: METALICO Color: NEGRO Referencia:  Observacion:  Placa padre: Tipo adquisicion: Entidad</v>
      </c>
      <c r="G15189" s="5"/>
    </row>
    <row r="15190" spans="1:7" ht="58.5" customHeight="1" x14ac:dyDescent="0.25">
      <c r="A15190" s="5" t="str">
        <f>"H0005486"</f>
        <v>H0005486</v>
      </c>
      <c r="B15190" s="5" t="str">
        <f>"SILLON (SOFA)"</f>
        <v>SILLON (SOFA)</v>
      </c>
      <c r="C15190" s="6">
        <v>21400</v>
      </c>
      <c r="D15190" s="5"/>
      <c r="E15190" s="5" t="str">
        <f t="shared" si="786"/>
        <v>SUBADMINISTRATIVA - MIGUEL ALEXANDER NOGUERA QUINTERO</v>
      </c>
      <c r="F15190" s="5" t="str">
        <f>"Descripcion: SOFA LIZZY73X163TAPIZADA EN CUERO NEGROBASE DE MADERA Estado: Bueno Placa anterior: 000027500 Material: MADERA Color: NEGRO Referencia:  Observacion:  Placa padre: Tipo adquisicion: Entidad"</f>
        <v>Descripcion: SOFA LIZZY73X163TAPIZADA EN CUERO NEGROBASE DE MADERA Estado: Bueno Placa anterior: 000027500 Material: MADERA Color: NEGRO Referencia:  Observacion:  Placa padre: Tipo adquisicion: Entidad</v>
      </c>
      <c r="G15190" s="5"/>
    </row>
    <row r="15191" spans="1:7" ht="58.5" customHeight="1" x14ac:dyDescent="0.25">
      <c r="A15191" s="5" t="str">
        <f>"H0005496"</f>
        <v>H0005496</v>
      </c>
      <c r="B15191" s="5" t="str">
        <f>"NEVERA 8 PIES (226LT)"</f>
        <v>NEVERA 8 PIES (226LT)</v>
      </c>
      <c r="C15191" s="6">
        <v>475600</v>
      </c>
      <c r="D15191" s="5"/>
      <c r="E15191" s="5" t="str">
        <f t="shared" si="786"/>
        <v>SUBADMINISTRATIVA - MIGUEL ALEXANDER NOGUERA QUINTERO</v>
      </c>
      <c r="F15191" s="5" t="str">
        <f>"Descripcion: NEVERA PHILIPS MODELO PX-808117X60X56 Estado: Bueno Placa anterior: 000015432 Material: METALICO Color: BEIGE Referencia:  Observacion:  Placa padre: Tipo adquisicion: Entidad"</f>
        <v>Descripcion: NEVERA PHILIPS MODELO PX-808117X60X56 Estado: Bueno Placa anterior: 000015432 Material: METALICO Color: BEIGE Referencia:  Observacion:  Placa padre: Tipo adquisicion: Entidad</v>
      </c>
      <c r="G15191" s="5"/>
    </row>
    <row r="15192" spans="1:7" ht="58.5" customHeight="1" x14ac:dyDescent="0.25">
      <c r="A15192" s="5" t="str">
        <f>"H0007021"</f>
        <v>H0007021</v>
      </c>
      <c r="B15192" s="5" t="str">
        <f>"COMPUTADOR TODO EN UNO"</f>
        <v>COMPUTADOR TODO EN UNO</v>
      </c>
      <c r="C15192" s="6">
        <v>1572000</v>
      </c>
      <c r="D15192" s="5" t="s">
        <v>346</v>
      </c>
      <c r="E15192" s="5" t="str">
        <f t="shared" si="786"/>
        <v>SUBADMINISTRATIVA - MIGUEL ALEXANDER NOGUERA QUINTERO</v>
      </c>
      <c r="F15192" s="5" t="str">
        <f>"Descripcion: EQUIPOS DE COMPUTO TODO EN UNO PROCESADOR CORE 3.0 SUPERIOR CORPORATIVO WINDOWS 8 PRO- OFFICE 2013 SMALL BUSINES, TECNOLOGIA HT DE INTEL GARANTIA EXTENDIDA A 3 AÑOS Estado: Excelente Placa anterior: 000030702 Material: PLASTICO Color: NEGRO R"&amp; "eferencia: C9G88LT Observacion:  Placa anterior:, Placa nueva=H0007022, Descripcion:., Serial:BDMHE0C5Y5X0S6, Marca:HP, Modelo:KU-1156, Material:PLASTICO, Color:NEGRO,   Referencia:724720-161, Placa anterior:, Placa nueva=H0007023, Descripcion:OPTICO, Ser"&amp; "ial:FCMHH0CJG6I130, Marca:HP, Modelo:, Material:PLASTICO, Color:NEGRO,   Referencia: Placa padre: Tipo adquisicion: Entidad"</f>
        <v>Descripcion: EQUIPOS DE COMPUTO TODO EN UNO PROCESADOR CORE 3.0 SUPERIOR CORPORATIVO WINDOWS 8 PRO- OFFICE 2013 SMALL BUSINES, TECNOLOGIA HT DE INTEL GARANTIA EXTENDIDA A 3 AÑOS Estado: Excelente Placa anterior: 000030702 Material: PLASTICO Color: NEGRO Referencia: C9G88LT Observacion:  Placa anterior:, Placa nueva=H0007022, Descripcion:., Serial:BDMHE0C5Y5X0S6, Marca:HP, Modelo:KU-1156, Material:PLASTICO, Color:NEGRO,   Referencia:724720-161, Placa anterior:, Placa nueva=H0007023, Descripcion:OPTICO, Serial:FCMHH0CJG6I130, Marca:HP, Modelo:, Material:PLASTICO, Color:NEGRO,   Referencia: Placa padre: Tipo adquisicion: Entidad</v>
      </c>
      <c r="G15192" s="5" t="str">
        <f>"HP COMPAQ PRO 4300"</f>
        <v>HP COMPAQ PRO 4300</v>
      </c>
    </row>
    <row r="15193" spans="1:7" ht="58.5" customHeight="1" x14ac:dyDescent="0.25">
      <c r="A15193" s="5" t="str">
        <f>"H0007047"</f>
        <v>H0007047</v>
      </c>
      <c r="B15193" s="5" t="str">
        <f>"SILLA INTERLOCUTORA (FIJA) SIN BRAZOS"</f>
        <v>SILLA INTERLOCUTORA (FIJA) SIN BRAZOS</v>
      </c>
      <c r="C15193" s="6">
        <v>220400</v>
      </c>
      <c r="D15193" s="5" t="s">
        <v>5</v>
      </c>
      <c r="E15193" s="5" t="str">
        <f t="shared" si="786"/>
        <v>SUBADMINISTRATIVA - MIGUEL ALEXANDER NOGUERA QUINTERO</v>
      </c>
      <c r="F15193" s="5" t="str">
        <f>"Descripcion: SILLAS INTERLOCUTORAS TAPIZADO DE ALTA DENSIDAD EN ASIENTO Y ESPALDAR PAÑO AZUL Estado: Bueno Placa anterior: 000029519 Material: METALICO Color: AZUL Referencia:  Observacion:  Placa padre: Tipo adquisicion: Entidad"</f>
        <v>Descripcion: SILLAS INTERLOCUTORAS TAPIZADO DE ALTA DENSIDAD EN ASIENTO Y ESPALDAR PAÑO AZUL Estado: Bueno Placa anterior: 000029519 Material: METALICO Color: AZUL Referencia:  Observacion:  Placa padre: Tipo adquisicion: Entidad</v>
      </c>
      <c r="G15193" s="5"/>
    </row>
    <row r="15194" spans="1:7" ht="58.5" customHeight="1" x14ac:dyDescent="0.25">
      <c r="A15194" s="5" t="str">
        <f>"H0007049"</f>
        <v>H0007049</v>
      </c>
      <c r="B15194" s="5" t="str">
        <f>"SILLA INTERLOCUTORA (FIJA) SIN BRAZOS"</f>
        <v>SILLA INTERLOCUTORA (FIJA) SIN BRAZOS</v>
      </c>
      <c r="C15194" s="6">
        <v>220400</v>
      </c>
      <c r="D15194" s="5" t="s">
        <v>5</v>
      </c>
      <c r="E15194" s="5" t="str">
        <f t="shared" si="786"/>
        <v>SUBADMINISTRATIVA - MIGUEL ALEXANDER NOGUERA QUINTERO</v>
      </c>
      <c r="F15194" s="5" t="str">
        <f>"Descripcion: SILLAS INTERLOCUTORAS TAPIZADO DE ALTA DENSIDAD EN ASIENTO Y ESPALDAR PAÑO AZUL Estado: Bueno Placa anterior: 000029523 Material: METALICO  Color: AZUL Referencia:  Observacion:  Placa padre: Tipo adquisicion: Entidad"</f>
        <v>Descripcion: SILLAS INTERLOCUTORAS TAPIZADO DE ALTA DENSIDAD EN ASIENTO Y ESPALDAR PAÑO AZUL Estado: Bueno Placa anterior: 000029523 Material: METALICO  Color: AZUL Referencia:  Observacion:  Placa padre: Tipo adquisicion: Entidad</v>
      </c>
      <c r="G15194" s="5"/>
    </row>
    <row r="15195" spans="1:7" ht="58.5" customHeight="1" x14ac:dyDescent="0.25">
      <c r="A15195" s="5" t="str">
        <f>"H0007077"</f>
        <v>H0007077</v>
      </c>
      <c r="B15195" s="5" t="str">
        <f>"SILLA ERGONOMICA TIPO GERENTE CON BRAZOS"</f>
        <v>SILLA ERGONOMICA TIPO GERENTE CON BRAZOS</v>
      </c>
      <c r="C15195" s="6">
        <v>530120</v>
      </c>
      <c r="D15195" s="5" t="s">
        <v>33</v>
      </c>
      <c r="E15195" s="5" t="str">
        <f t="shared" si="786"/>
        <v>SUBADMINISTRATIVA - MIGUEL ALEXANDER NOGUERA QUINTERO</v>
      </c>
      <c r="F15195" s="5" t="str">
        <f>"Descripcion: SILLAS TIPO GERENTE NEUMATICA ESPALDAR EN MALLA ROMA-ALMOHADA REF. 3-736 BASE CROMADA Estado: Excelente Placa anterior: 000030382 Material: METALICO Color:  Referencia:  Observacion:  Placa padre: Tipo adquisicion: Entidad"</f>
        <v>Descripcion: SILLAS TIPO GERENTE NEUMATICA ESPALDAR EN MALLA ROMA-ALMOHADA REF. 3-736 BASE CROMADA Estado: Excelente Placa anterior: 000030382 Material: METALICO Color:  Referencia:  Observacion:  Placa padre: Tipo adquisicion: Entidad</v>
      </c>
      <c r="G15195" s="5"/>
    </row>
    <row r="15196" spans="1:7" ht="58.5" customHeight="1" x14ac:dyDescent="0.25">
      <c r="A15196" s="5" t="str">
        <f>"H0007113"</f>
        <v>H0007113</v>
      </c>
      <c r="B15196" s="5" t="str">
        <f>"SILLA TIPO MUEBLE (POLTRONA)"</f>
        <v>SILLA TIPO MUEBLE (POLTRONA)</v>
      </c>
      <c r="C15196" s="6">
        <v>319000</v>
      </c>
      <c r="D15196" s="5"/>
      <c r="E15196" s="5" t="str">
        <f t="shared" si="786"/>
        <v>SUBADMINISTRATIVA - MIGUEL ALEXANDER NOGUERA QUINTERO</v>
      </c>
      <c r="F15196" s="5" t="str">
        <f>"Descripcion: POLTRONA SENCILLATAPIZADA 85X100 Estado: Excelente Placa anterior: 000022829 Referencia:  Observacion:  Placa padre: Tipo adquisicion: Entidad"</f>
        <v>Descripcion: POLTRONA SENCILLATAPIZADA 85X100 Estado: Excelente Placa anterior: 000022829 Referencia:  Observacion:  Placa padre: Tipo adquisicion: Entidad</v>
      </c>
      <c r="G15196" s="5"/>
    </row>
    <row r="15197" spans="1:7" ht="58.5" customHeight="1" x14ac:dyDescent="0.25">
      <c r="A15197" s="5" t="str">
        <f>"H0007115"</f>
        <v>H0007115</v>
      </c>
      <c r="B15197" s="5" t="str">
        <f>"ESTANTE METALICO 6 ENTREPAÑOS"</f>
        <v>ESTANTE METALICO 6 ENTREPAÑOS</v>
      </c>
      <c r="C15197" s="6">
        <v>6916.85</v>
      </c>
      <c r="D15197" s="5"/>
      <c r="E15197" s="5" t="str">
        <f t="shared" si="786"/>
        <v>SUBADMINISTRATIVA - MIGUEL ALEXANDER NOGUERA QUINTERO</v>
      </c>
      <c r="F15197" s="5" t="str">
        <f>"Descripcion: 200X90X30 Estado: Bueno Placa anterior: 000021242 Material: METALICO Color: GRIS Referencia:  Observacion:  Placa padre: Tipo adquisicion: Entidad"</f>
        <v>Descripcion: 200X90X30 Estado: Bueno Placa anterior: 000021242 Material: METALICO Color: GRIS Referencia:  Observacion:  Placa padre: Tipo adquisicion: Entidad</v>
      </c>
      <c r="G15197" s="5"/>
    </row>
    <row r="15198" spans="1:7" ht="58.5" customHeight="1" x14ac:dyDescent="0.25">
      <c r="A15198" s="5" t="str">
        <f>"H0009203"</f>
        <v>H0009203</v>
      </c>
      <c r="B15198" s="5" t="str">
        <f>"NEVERA DE 66 LTS"</f>
        <v>NEVERA DE 66 LTS</v>
      </c>
      <c r="C15198" s="6">
        <v>1940000</v>
      </c>
      <c r="D15198" s="5" t="s">
        <v>452</v>
      </c>
      <c r="E15198" s="5" t="str">
        <f t="shared" si="786"/>
        <v>SUBADMINISTRATIVA - MIGUEL ALEXANDER NOGUERA QUINTERO</v>
      </c>
      <c r="F15198" s="5" t="str">
        <f>"Descripcion: NEVERA MEDIANA CON TERMOMETRO Estado: Bueno Placa anterior: 000029209 Material: METAL Color: GRIS Referencia:  Observacion:  Placa padre: Tipo adquisicion: Entidad"</f>
        <v>Descripcion: NEVERA MEDIANA CON TERMOMETRO Estado: Bueno Placa anterior: 000029209 Material: METAL Color: GRIS Referencia:  Observacion:  Placa padre: Tipo adquisicion: Entidad</v>
      </c>
      <c r="G15198" s="5" t="str">
        <f>"ERD25"</f>
        <v>ERD25</v>
      </c>
    </row>
    <row r="15199" spans="1:7" ht="58.5" customHeight="1" x14ac:dyDescent="0.25">
      <c r="A15199" s="5" t="str">
        <f>"H0009570"</f>
        <v>H0009570</v>
      </c>
      <c r="B15199" s="5" t="str">
        <f>"VITRINA DE 1 CUERPO"</f>
        <v>VITRINA DE 1 CUERPO</v>
      </c>
      <c r="C15199" s="6">
        <v>20278.78</v>
      </c>
      <c r="D15199" s="5"/>
      <c r="E15199" s="5" t="str">
        <f t="shared" si="786"/>
        <v>SUBADMINISTRATIVA - MIGUEL ALEXANDER NOGUERA QUINTERO</v>
      </c>
      <c r="F15199" s="5" t="str">
        <f>"Descripcion: VITRINA DE UN CUERPO Estado: Regular Placa anterior: 000006092 Material: METAL Color: GRIS Referencia:  Observacion:  Placa padre: Tipo adquisicion: Entidad"</f>
        <v>Descripcion: VITRINA DE UN CUERPO Estado: Regular Placa anterior: 000006092 Material: METAL Color: GRIS Referencia:  Observacion:  Placa padre: Tipo adquisicion: Entidad</v>
      </c>
      <c r="G15199" s="5"/>
    </row>
    <row r="15200" spans="1:7" ht="58.5" customHeight="1" x14ac:dyDescent="0.25">
      <c r="A15200" s="5" t="str">
        <f>"H0015648"</f>
        <v>H0015648</v>
      </c>
      <c r="B15200" s="5" t="str">
        <f>"COMPUTADOR TODO EN UNO"</f>
        <v>COMPUTADOR TODO EN UNO</v>
      </c>
      <c r="C15200" s="6">
        <v>1200000</v>
      </c>
      <c r="D15200" s="5" t="s">
        <v>2</v>
      </c>
      <c r="E15200" s="5" t="str">
        <f t="shared" si="786"/>
        <v>SUBADMINISTRATIVA - MIGUEL ALEXANDER NOGUERA QUINTERO</v>
      </c>
      <c r="F15200" s="5" t="str">
        <f>"Descripcion:COMPUTADOR TODO EN UNO PROCESADOR: Intel pentiun G645 (2.9 Ghz/3MB/2 nucleos) memoria RAM 4GB DDR3-1600 SODIMM (1X4GB) Disco duro 500GB 7200 RPMSATA-6G Multi DVD/RM Licencia win 8 pro 64 Downgrade to Win 7 pro 64 o supervisor USB Keyboard Usbe"&amp; " Optical, m Estado: Bueno Placa anterior: 000030786 Material: PLASTICO Color: NEGRO Referencia:  Observacion:  Placa anterior:, Placa nueva=H0015649, Descripcion:TECLADO USB, Serial:BRCZZN0BVB4C2GT, Marca:HP, Modelo:KU1156, Material:PLASTICO, Color:NEGRO,"&amp; "   Referencia:, Placa anterior:, Placa nueva=H0015650, Descripcion:MOUSE USB, Serial:672652-001, Marca:HP, Modelo:, Material:PLASTICO, Color:NEGRO,   Referencia: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Bueno Placa anterior: 000030786 Material: PLASTICO Color: NEGRO Referencia:  Observacion:  Placa anterior:, Placa nueva=H0015649, Descripcion:TECLADO USB, Serial:BRCZZN0BVB4C2GT, Marca:HP, Modelo:KU1156, Material:PLASTICO, Color:NEGRO,   Referencia:, Placa anterior:, Placa nueva=H0015650, Descripcion:MOUSE USB, Serial:672652-001, Marca:HP, Modelo:, Material:PLASTICO, Color:NEGRO,   Referencia: Placa padre:  Tipo adquisicion : Entidad</v>
      </c>
      <c r="G15200" s="5" t="str">
        <f>"HPCOMPAQ PRO 4300"</f>
        <v>HPCOMPAQ PRO 4300</v>
      </c>
    </row>
    <row r="15201" spans="1:7" ht="58.5" customHeight="1" x14ac:dyDescent="0.25">
      <c r="A15201" s="5" t="str">
        <f>"H0016507"</f>
        <v>H0016507</v>
      </c>
      <c r="B15201" s="5" t="str">
        <f>"SILLA INTERLOCUTORA (FIJA) SIN BRAZOS"</f>
        <v>SILLA INTERLOCUTORA (FIJA) SIN BRAZOS</v>
      </c>
      <c r="C15201" s="6">
        <v>81200</v>
      </c>
      <c r="D15201" s="5" t="s">
        <v>34</v>
      </c>
      <c r="E15201" s="5" t="str">
        <f t="shared" si="786"/>
        <v>SUBADMINISTRATIVA - MIGUEL ALEXANDER NOGUERA QUINTERO</v>
      </c>
      <c r="F15201" s="5" t="str">
        <f>"Descripcion: SILLA SPRISMAS INTERLOCUTORAS  Estado: Bueno Placa anterior: 000030417 Material: METALICO Color: NEGRO Referencia:  Observacion: SILLA PRISMA   Placa padre: Tipo adquisicion: Entidad"</f>
        <v>Descripcion: SILLA SPRISMAS INTERLOCUTORAS  Estado: Bueno Placa anterior: 000030417 Material: METALICO Color: NEGRO Referencia:  Observacion: SILLA PRISMA   Placa padre: Tipo adquisicion: Entidad</v>
      </c>
      <c r="G15201" s="5"/>
    </row>
    <row r="15202" spans="1:7" ht="58.5" customHeight="1" x14ac:dyDescent="0.25">
      <c r="A15202" s="5" t="str">
        <f>"H0016547"</f>
        <v>H0016547</v>
      </c>
      <c r="B15202" s="5" t="str">
        <f>"MESA DE MADERA"</f>
        <v>MESA DE MADERA</v>
      </c>
      <c r="C15202" s="6">
        <v>28332.31</v>
      </c>
      <c r="D15202" s="5"/>
      <c r="E15202" s="5" t="str">
        <f t="shared" si="786"/>
        <v>SUBADMINISTRATIVA - MIGUEL ALEXANDER NOGUERA QUINTERO</v>
      </c>
      <c r="F15202" s="5" t="str">
        <f>"Descripcion: MESA DE MADERA PULIDA EN LACA80X90X60 CM Estado: Bueno Placa anterior: 000000806 Material: MADERA Color: MARRON CLARO Referencia:  Observacion:  Placa padre: Tipo adquisicion: Entidad"</f>
        <v>Descripcion: MESA DE MADERA PULIDA EN LACA80X90X60 CM Estado: Bueno Placa anterior: 000000806 Material: MADERA Color: MARRON CLARO Referencia:  Observacion:  Placa padre: Tipo adquisicion: Entidad</v>
      </c>
      <c r="G15202" s="5"/>
    </row>
    <row r="15203" spans="1:7" ht="58.5" customHeight="1" x14ac:dyDescent="0.25">
      <c r="A15203" s="5" t="str">
        <f>"H0017925"</f>
        <v>H0017925</v>
      </c>
      <c r="B15203" s="5" t="str">
        <f>"COMPUTADOR TODO EN UNO"</f>
        <v>COMPUTADOR TODO EN UNO</v>
      </c>
      <c r="C15203" s="6">
        <v>2470000</v>
      </c>
      <c r="D15203" s="5" t="s">
        <v>6</v>
      </c>
      <c r="E15203" s="5" t="str">
        <f t="shared" si="786"/>
        <v>SUBADMINISTRATIVA - MIGUEL ALEXANDER NOGUERA QUINTERO</v>
      </c>
      <c r="F15203" s="5" t="str">
        <f>"Descripcion: COMPUTADOR TODO EN UNO Estado: Bueno Placa anterior: 000036967 Material: PASTA Color: NEGRO Referencia:  Observacion:  Placa padre: Tipo adquisicion: Entidad"</f>
        <v>Descripcion: COMPUTADOR TODO EN UNO Estado: Bueno Placa anterior: 000036967 Material: PASTA Color: NEGRO Referencia:  Observacion:  Placa padre: Tipo adquisicion: Entidad</v>
      </c>
      <c r="G15203" s="5" t="str">
        <f>"10BD-00FDLS"</f>
        <v>10BD-00FDLS</v>
      </c>
    </row>
    <row r="15204" spans="1:7" ht="58.5" customHeight="1" x14ac:dyDescent="0.25">
      <c r="A15204" s="5" t="str">
        <f>"H0017931"</f>
        <v>H0017931</v>
      </c>
      <c r="B15204" s="5" t="str">
        <f>"PUESTO DE TRABAJO EN L CON 3 GAVETAS"</f>
        <v>PUESTO DE TRABAJO EN L CON 3 GAVETAS</v>
      </c>
      <c r="C15204" s="6">
        <v>940000</v>
      </c>
      <c r="D15204" s="5" t="s">
        <v>35</v>
      </c>
      <c r="E15204" s="5" t="str">
        <f t="shared" si="786"/>
        <v>SUBADMINISTRATIVA - MIGUEL ALEXANDER NOGUERA QUINTERO</v>
      </c>
      <c r="F15204" s="5" t="str">
        <f>"Descripcion: PUESTO DE TRABAJO EN L CON 3 GAVETAS Estado: Bueno Placa anterior: 000028125 Material: METALICO Y FORMICA Color: CAFÉ CLARO Referencia:  Observacion: LA FUNCIONARIA INDICA QUE LAS GAVETAS ESTAN DAÑADAS, SE TRABAN Placa padre: Tipo adquisicion"&amp; ": Entidad"</f>
        <v>Descripcion: PUESTO DE TRABAJO EN L CON 3 GAVETAS Estado: Bueno Placa anterior: 000028125 Material: METALICO Y FORMICA Color: CAFÉ CLARO Referencia:  Observacion: LA FUNCIONARIA INDICA QUE LAS GAVETAS ESTAN DAÑADAS, SE TRABAN Placa padre: Tipo adquisicion: Entidad</v>
      </c>
      <c r="G15204" s="5"/>
    </row>
    <row r="15205" spans="1:7" ht="58.5" customHeight="1" x14ac:dyDescent="0.25">
      <c r="A15205" s="5" t="str">
        <f>"H0020206"</f>
        <v>H0020206</v>
      </c>
      <c r="B15205" s="5" t="str">
        <f>"LOCKER DE 3 COMPARTIMIENTOS"</f>
        <v>LOCKER DE 3 COMPARTIMIENTOS</v>
      </c>
      <c r="C15205" s="6">
        <v>7304</v>
      </c>
      <c r="D15205" s="5"/>
      <c r="E15205" s="5" t="str">
        <f t="shared" si="786"/>
        <v>SUBADMINISTRATIVA - MIGUEL ALEXANDER NOGUERA QUINTERO</v>
      </c>
      <c r="F15205" s="5" t="str">
        <f>"Descripcion:LOCKER DE 3 GAVETAS Estado: Malo Placa anterior: 000019375 Material: METAL Color: GRIS Referencia:  Observacion:  Placa padre:  Tipo adquisicion : Entidad"</f>
        <v>Descripcion:LOCKER DE 3 GAVETAS Estado: Malo Placa anterior: 000019375 Material: METAL Color: GRIS Referencia:  Observacion:  Placa padre:  Tipo adquisicion : Entidad</v>
      </c>
      <c r="G15205" s="5"/>
    </row>
    <row r="15206" spans="1:7" ht="58.5" customHeight="1" x14ac:dyDescent="0.25">
      <c r="A15206" s="5" t="str">
        <f>"H0020971"</f>
        <v>H0020971</v>
      </c>
      <c r="B15206" s="5" t="str">
        <f>"ESPALDAR OPERATIVO ALTO:50*45, SISTEMA DE AJUSTE MIC ROAVANZADO DE 7 POSICIONES, CON AJUSTE DE ALTURA DEL ESPALDAR CON SISTEMA DE CREMALLERA;ASIENTO ECUALIZABLE Y SISTEMA DE ELEVACIÓN NEUMATICA;BRAZOS AJUSTABLES EN ALTURA CON ALTURA AMOHADILLA INYECTADA;E"&amp; "SPUMA DEL ASIENTO INYECTADA DE ALTA DENSIDAD, ESPALDAR EN DENSIDAD MEDIA, TAPIZADO EN PAÑO;BASE GIRATORIA EN POLIPROPILENO, INCLUYE RODACHINES PARA PISO DURO"</f>
        <v>ESPALDAR OPERATIVO ALTO:50*45, SISTEMA DE AJUSTE MIC ROAVANZADO DE 7 POSICIONES, CON AJUSTE DE ALTURA DEL ESPALDAR CON SISTEMA DE CREMALLERA;ASIENTO ECUALIZABLE Y SISTEMA DE ELEVACIÓN NEUMATICA;BRAZOS AJUSTABLES EN ALTURA CON ALTURA AMOHADILLA INYECTADA;ESPUMA DEL ASIENTO INYECTADA DE ALTA DENSIDAD, ESPALDAR EN DENSIDAD MEDIA, TAPIZADO EN PAÑO;BASE GIRATORIA EN POLIPROPILENO, INCLUYE RODACHINES PARA PISO DURO</v>
      </c>
      <c r="C15206" s="6">
        <v>574200</v>
      </c>
      <c r="D15206" s="5" t="s">
        <v>498</v>
      </c>
      <c r="E15206" s="5" t="str">
        <f t="shared" si="786"/>
        <v>SUBADMINISTRATIVA - MIGUEL ALEXANDER NOGUERA QUINTERO</v>
      </c>
      <c r="F15206" s="5"/>
      <c r="G15206" s="5"/>
    </row>
    <row r="15207" spans="1:7" ht="58.5" customHeight="1" x14ac:dyDescent="0.25">
      <c r="A15207" s="5" t="str">
        <f>"H0020972"</f>
        <v>H0020972</v>
      </c>
      <c r="B15207" s="5" t="str">
        <f>"ESPALDAR OPERATIVO ALTO:50*45, SISTEMA DE AJUSTE MIC ROAVANZADO DE 7 POSICIONES, CON AJUSTE DE ALTURA DEL ESPALDAR CON SISTEMA DE CREMALLERA;ASIENTO ECUALIZABLE Y SISTEMA DE ELEVACIÓN NEUMATICA;BRAZOS AJUSTABLES EN ALTURA CON ALTURA AMOHADILLA INYECTADA;E"&amp; "SPUMA DEL ASIENTO INYECTADA DE ALTA DENSIDAD, ESPALDAR EN DENSIDAD MEDIA, TAPIZADO EN PAÑO;BASE GIRATORIA EN POLIPROPILENO, INCLUYE RODACHINES PARA PISO DURO"</f>
        <v>ESPALDAR OPERATIVO ALTO:50*45, SISTEMA DE AJUSTE MIC ROAVANZADO DE 7 POSICIONES, CON AJUSTE DE ALTURA DEL ESPALDAR CON SISTEMA DE CREMALLERA;ASIENTO ECUALIZABLE Y SISTEMA DE ELEVACIÓN NEUMATICA;BRAZOS AJUSTABLES EN ALTURA CON ALTURA AMOHADILLA INYECTADA;ESPUMA DEL ASIENTO INYECTADA DE ALTA DENSIDAD, ESPALDAR EN DENSIDAD MEDIA, TAPIZADO EN PAÑO;BASE GIRATORIA EN POLIPROPILENO, INCLUYE RODACHINES PARA PISO DURO</v>
      </c>
      <c r="C15207" s="6">
        <v>574200</v>
      </c>
      <c r="D15207" s="5" t="s">
        <v>498</v>
      </c>
      <c r="E15207" s="5" t="str">
        <f t="shared" si="786"/>
        <v>SUBADMINISTRATIVA - MIGUEL ALEXANDER NOGUERA QUINTERO</v>
      </c>
      <c r="F15207" s="5"/>
      <c r="G15207" s="5"/>
    </row>
    <row r="15208" spans="1:7" ht="58.5" customHeight="1" x14ac:dyDescent="0.25">
      <c r="A15208" s="5" t="str">
        <f>"H0022331"</f>
        <v>H0022331</v>
      </c>
      <c r="B15208" s="5" t="str">
        <f>"ESCRITORIO EN L -LINEA CUBE CON SEPARADOR - DIMENSIONES 1,50 ANCHOx 1,30 LARGO x 0,73 mts DE ALTO"</f>
        <v>ESCRITORIO EN L -LINEA CUBE CON SEPARADOR - DIMENSIONES 1,50 ANCHOx 1,30 LARGO x 0,73 mts DE ALTO</v>
      </c>
      <c r="C15208" s="6">
        <v>829400</v>
      </c>
      <c r="D15208" s="5" t="s">
        <v>740</v>
      </c>
      <c r="E15208" s="5" t="str">
        <f t="shared" si="786"/>
        <v>SUBADMINISTRATIVA - MIGUEL ALEXANDER NOGUERA QUINTERO</v>
      </c>
      <c r="F15208" s="5"/>
      <c r="G15208" s="5"/>
    </row>
    <row r="15209" spans="1:7" ht="58.5" customHeight="1" x14ac:dyDescent="0.25">
      <c r="A15209" s="5" t="str">
        <f>"H0025330"</f>
        <v>H0025330</v>
      </c>
      <c r="B1520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5209" s="6">
        <v>312156</v>
      </c>
      <c r="D15209" s="5" t="s">
        <v>10</v>
      </c>
      <c r="E15209" s="5" t="str">
        <f t="shared" si="786"/>
        <v>SUBADMINISTRATIVA - MIGUEL ALEXANDER NOGUERA QUINTERO</v>
      </c>
      <c r="F15209" s="5"/>
      <c r="G15209" s="5" t="str">
        <f>"GXP1628"</f>
        <v>GXP1628</v>
      </c>
    </row>
    <row r="15210" spans="1:7" ht="58.5" customHeight="1" x14ac:dyDescent="0.25">
      <c r="A15210" s="5" t="str">
        <f>"H0026801"</f>
        <v>H0026801</v>
      </c>
      <c r="B15210"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5210" s="6">
        <v>3296300</v>
      </c>
      <c r="D15210" s="5" t="s">
        <v>37</v>
      </c>
      <c r="E15210" s="5" t="str">
        <f t="shared" si="786"/>
        <v>SUBADMINISTRATIVA - MIGUEL ALEXANDER NOGUERA QUINTERO</v>
      </c>
      <c r="F15210" s="5"/>
      <c r="G15210" s="5"/>
    </row>
    <row r="15211" spans="1:7" ht="58.5" customHeight="1" x14ac:dyDescent="0.25">
      <c r="A15211" s="5" t="str">
        <f>"H0027206"</f>
        <v>H0027206</v>
      </c>
      <c r="B1521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5211" s="6">
        <v>2641800</v>
      </c>
      <c r="D15211" s="5" t="s">
        <v>38</v>
      </c>
      <c r="E15211" s="5" t="str">
        <f t="shared" si="786"/>
        <v>SUBADMINISTRATIVA - MIGUEL ALEXANDER NOGUERA QUINTERO</v>
      </c>
      <c r="F15211" s="5"/>
      <c r="G15211" s="5"/>
    </row>
    <row r="15212" spans="1:7" ht="58.5" customHeight="1" x14ac:dyDescent="0.25">
      <c r="A15212" s="5" t="str">
        <f>"H0027626"</f>
        <v>H0027626</v>
      </c>
      <c r="B1521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5212" s="6">
        <v>2580000</v>
      </c>
      <c r="D15212" s="5" t="s">
        <v>85</v>
      </c>
      <c r="E15212" s="5" t="str">
        <f t="shared" si="786"/>
        <v>SUBADMINISTRATIVA - MIGUEL ALEXANDER NOGUERA QUINTERO</v>
      </c>
      <c r="F15212" s="5"/>
      <c r="G15212" s="5"/>
    </row>
    <row r="15213" spans="1:7" ht="58.5" customHeight="1" x14ac:dyDescent="0.25">
      <c r="A15213" s="5" t="str">
        <f>"H0030786"</f>
        <v>H0030786</v>
      </c>
      <c r="B15213" s="5" t="str">
        <f>"LICENCIA DE ANTIVIRUS ESET ENDPOINT POR TRES (3) AÑOS - RENOVACIÓN"</f>
        <v>LICENCIA DE ANTIVIRUS ESET ENDPOINT POR TRES (3) AÑOS - RENOVACIÓN</v>
      </c>
      <c r="C15213" s="6">
        <v>50000</v>
      </c>
      <c r="D15213" s="5" t="s">
        <v>362</v>
      </c>
      <c r="E15213" s="5" t="str">
        <f t="shared" si="786"/>
        <v>SUBADMINISTRATIVA - MIGUEL ALEXANDER NOGUERA QUINTERO</v>
      </c>
      <c r="F15213" s="5"/>
      <c r="G15213" s="5"/>
    </row>
    <row r="15214" spans="1:7" ht="58.5" customHeight="1" x14ac:dyDescent="0.25">
      <c r="A15214" s="5" t="str">
        <f>"H0031605"</f>
        <v>H0031605</v>
      </c>
      <c r="B15214" s="5" t="str">
        <f>"MODUARES DE 4 PUESTOS, CON COMPARTIMIENTO DE 3 GAVETAS. MATERIAL MELAMINA RH, MEDIDAS 2.20 MTS * 0.80 MTS"</f>
        <v>MODUARES DE 4 PUESTOS, CON COMPARTIMIENTO DE 3 GAVETAS. MATERIAL MELAMINA RH, MEDIDAS 2.20 MTS * 0.80 MTS</v>
      </c>
      <c r="C15214" s="6">
        <v>3200000</v>
      </c>
      <c r="D15214" s="5" t="s">
        <v>42</v>
      </c>
      <c r="E15214" s="5" t="str">
        <f t="shared" ref="E15214:E15233" si="787">"SUBADMINISTRATIVA - MIGUEL ALEXANDER NOGUERA QUINTERO"</f>
        <v>SUBADMINISTRATIVA - MIGUEL ALEXANDER NOGUERA QUINTERO</v>
      </c>
      <c r="F15214" s="5"/>
      <c r="G15214" s="5"/>
    </row>
    <row r="15215" spans="1:7" ht="58.5" customHeight="1" x14ac:dyDescent="0.25">
      <c r="A15215" s="5" t="str">
        <f>"H0034635"</f>
        <v>H0034635</v>
      </c>
      <c r="B15215" s="5" t="str">
        <f>"AIRE ACONDICIONADO TIPO MINISPLIT CAPACIDAD 18.000 BTU TECNOLOGIA INVERTER DUAL"</f>
        <v>AIRE ACONDICIONADO TIPO MINISPLIT CAPACIDAD 18.000 BTU TECNOLOGIA INVERTER DUAL</v>
      </c>
      <c r="C15215" s="6">
        <v>2862720</v>
      </c>
      <c r="D15215" s="5" t="s">
        <v>20</v>
      </c>
      <c r="E15215" s="5" t="str">
        <f t="shared" si="787"/>
        <v>SUBADMINISTRATIVA - MIGUEL ALEXANDER NOGUERA QUINTERO</v>
      </c>
      <c r="F15215" s="5"/>
      <c r="G15215" s="5" t="str">
        <f>"003TAHQC9713"</f>
        <v>003TAHQC9713</v>
      </c>
    </row>
    <row r="15216" spans="1:7" ht="58.5" customHeight="1" x14ac:dyDescent="0.25">
      <c r="A15216" s="5" t="str">
        <f>"H0034856"</f>
        <v>H0034856</v>
      </c>
      <c r="B15216" s="5" t="str">
        <f>"COMPUTADOR TODO EN UNO"</f>
        <v>COMPUTADOR TODO EN UNO</v>
      </c>
      <c r="C15216" s="6">
        <v>5291396.9000000004</v>
      </c>
      <c r="D15216" s="5" t="s">
        <v>24</v>
      </c>
      <c r="E15216" s="5" t="str">
        <f t="shared" si="787"/>
        <v>SUBADMINISTRATIVA - MIGUEL ALEXANDER NOGUERA QUINTERO</v>
      </c>
      <c r="F15216" s="5"/>
      <c r="G15216" s="5"/>
    </row>
    <row r="15217" spans="1:7" ht="58.5" customHeight="1" x14ac:dyDescent="0.25">
      <c r="A15217" s="5" t="str">
        <f>"H0035008"</f>
        <v>H0035008</v>
      </c>
      <c r="B15217" s="5" t="str">
        <f>"Altavoces Estéreo Ac Logitech S120, Control Volumen / 3.5mm"</f>
        <v>Altavoces Estéreo Ac Logitech S120, Control Volumen / 3.5mm</v>
      </c>
      <c r="C15217" s="6">
        <v>83300</v>
      </c>
      <c r="D15217" s="5" t="s">
        <v>22</v>
      </c>
      <c r="E15217" s="5" t="str">
        <f t="shared" si="787"/>
        <v>SUBADMINISTRATIVA - MIGUEL ALEXANDER NOGUERA QUINTERO</v>
      </c>
      <c r="F15217" s="5"/>
      <c r="G15217" s="5"/>
    </row>
    <row r="15218" spans="1:7" ht="58.5" customHeight="1" x14ac:dyDescent="0.25">
      <c r="A15218" s="5" t="str">
        <f>"H0035051"</f>
        <v>H0035051</v>
      </c>
      <c r="B1521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5218" s="6">
        <v>5289550</v>
      </c>
      <c r="D15218" s="5" t="s">
        <v>22</v>
      </c>
      <c r="E15218" s="5" t="str">
        <f t="shared" si="787"/>
        <v>SUBADMINISTRATIVA - MIGUEL ALEXANDER NOGUERA QUINTERO</v>
      </c>
      <c r="F15218" s="5"/>
      <c r="G15218" s="5"/>
    </row>
    <row r="15219" spans="1:7" ht="58.5" customHeight="1" x14ac:dyDescent="0.25">
      <c r="A15219" s="5" t="str">
        <f>"H0035333"</f>
        <v>H0035333</v>
      </c>
      <c r="B15219" s="5" t="s">
        <v>128</v>
      </c>
      <c r="C15219" s="6">
        <v>5462100</v>
      </c>
      <c r="D15219" s="5" t="s">
        <v>127</v>
      </c>
      <c r="E15219" s="5" t="str">
        <f t="shared" si="787"/>
        <v>SUBADMINISTRATIVA - MIGUEL ALEXANDER NOGUERA QUINTERO</v>
      </c>
      <c r="F15219" s="5"/>
      <c r="G15219" s="5"/>
    </row>
    <row r="15220" spans="1:7" ht="58.5" customHeight="1" x14ac:dyDescent="0.25">
      <c r="A15220" s="5" t="str">
        <f>"H0035547"</f>
        <v>H0035547</v>
      </c>
      <c r="B15220" s="5" t="str">
        <f>"Grabadora de voz"</f>
        <v>Grabadora de voz</v>
      </c>
      <c r="C15220" s="6">
        <v>400078</v>
      </c>
      <c r="D15220" s="5" t="s">
        <v>515</v>
      </c>
      <c r="E15220" s="5" t="str">
        <f t="shared" si="787"/>
        <v>SUBADMINISTRATIVA - MIGUEL ALEXANDER NOGUERA QUINTERO</v>
      </c>
      <c r="F15220" s="5"/>
      <c r="G15220" s="5"/>
    </row>
    <row r="15221" spans="1:7" ht="58.5" customHeight="1" x14ac:dyDescent="0.25">
      <c r="A15221" s="5" t="str">
        <f>"H0035616"</f>
        <v>H0035616</v>
      </c>
      <c r="B15221" s="5" t="str">
        <f>"SILLA GERENTE NIZA MEC. BASCULANTE CON BRAZOS."</f>
        <v>SILLA GERENTE NIZA MEC. BASCULANTE CON BRAZOS.</v>
      </c>
      <c r="C15221" s="6">
        <v>639999.86</v>
      </c>
      <c r="D15221" s="5" t="s">
        <v>235</v>
      </c>
      <c r="E15221" s="5" t="str">
        <f t="shared" si="787"/>
        <v>SUBADMINISTRATIVA - MIGUEL ALEXANDER NOGUERA QUINTERO</v>
      </c>
      <c r="F15221" s="5"/>
      <c r="G15221" s="5"/>
    </row>
    <row r="15222" spans="1:7" ht="58.5" customHeight="1" x14ac:dyDescent="0.25">
      <c r="A15222" s="5" t="str">
        <f>"H0035772"</f>
        <v>H0035772</v>
      </c>
      <c r="B15222" s="5" t="str">
        <f>"SILLA GERENTE NIZA MEC. BASCULANTE CON BRAZOS."</f>
        <v>SILLA GERENTE NIZA MEC. BASCULANTE CON BRAZOS.</v>
      </c>
      <c r="C15222" s="6">
        <v>640002.24</v>
      </c>
      <c r="D15222" s="5" t="s">
        <v>47</v>
      </c>
      <c r="E15222" s="5" t="str">
        <f t="shared" si="787"/>
        <v>SUBADMINISTRATIVA - MIGUEL ALEXANDER NOGUERA QUINTERO</v>
      </c>
      <c r="F15222" s="5"/>
      <c r="G15222" s="5"/>
    </row>
    <row r="15223" spans="1:7" ht="58.5" customHeight="1" x14ac:dyDescent="0.25">
      <c r="A15223" s="5" t="str">
        <f>"H0035782"</f>
        <v>H0035782</v>
      </c>
      <c r="B15223" s="5" t="str">
        <f>"SILLA GERENTE NIZA MEC. BASCULANTE CON BRAZOS."</f>
        <v>SILLA GERENTE NIZA MEC. BASCULANTE CON BRAZOS.</v>
      </c>
      <c r="C15223" s="6">
        <v>640002.24</v>
      </c>
      <c r="D15223" s="5" t="s">
        <v>47</v>
      </c>
      <c r="E15223" s="5" t="str">
        <f t="shared" si="787"/>
        <v>SUBADMINISTRATIVA - MIGUEL ALEXANDER NOGUERA QUINTERO</v>
      </c>
      <c r="F15223" s="5"/>
      <c r="G15223" s="5"/>
    </row>
    <row r="15224" spans="1:7" ht="58.5" customHeight="1" x14ac:dyDescent="0.25">
      <c r="A15224" s="5" t="str">
        <f>"H0035784"</f>
        <v>H0035784</v>
      </c>
      <c r="B15224" s="5" t="str">
        <f>"SILLA GERENTE NIZA MEC. BASCULANTE CON BRAZOS."</f>
        <v>SILLA GERENTE NIZA MEC. BASCULANTE CON BRAZOS.</v>
      </c>
      <c r="C15224" s="6">
        <v>640002.24</v>
      </c>
      <c r="D15224" s="5" t="s">
        <v>47</v>
      </c>
      <c r="E15224" s="5" t="str">
        <f t="shared" si="787"/>
        <v>SUBADMINISTRATIVA - MIGUEL ALEXANDER NOGUERA QUINTERO</v>
      </c>
      <c r="F15224" s="5"/>
      <c r="G15224" s="5"/>
    </row>
    <row r="15225" spans="1:7" ht="58.5" customHeight="1" x14ac:dyDescent="0.25">
      <c r="A15225" s="5" t="str">
        <f>"H0035981"</f>
        <v>H0035981</v>
      </c>
      <c r="B15225" s="5" t="str">
        <f>"SILLA GERENTE NIZA MEC. BASCULANTE SIN BRAZOS"</f>
        <v>SILLA GERENTE NIZA MEC. BASCULANTE SIN BRAZOS</v>
      </c>
      <c r="C15225" s="6">
        <v>654999.78</v>
      </c>
      <c r="D15225" s="5" t="s">
        <v>27</v>
      </c>
      <c r="E15225" s="5" t="str">
        <f t="shared" si="787"/>
        <v>SUBADMINISTRATIVA - MIGUEL ALEXANDER NOGUERA QUINTERO</v>
      </c>
      <c r="F15225" s="5"/>
      <c r="G15225" s="5"/>
    </row>
    <row r="15226" spans="1:7" ht="58.5" customHeight="1" x14ac:dyDescent="0.25">
      <c r="A15226" s="5" t="str">
        <f>"H0036872"</f>
        <v>H0036872</v>
      </c>
      <c r="B15226" s="5" t="str">
        <f>"COMPUTADOR TODO EN UNO  LENOVO CON PROCESADOR INTEL CORE I5-10400T MEMORIA RAM 8GB DDR4 CON DISCO DURO 256GB SSD M.2"</f>
        <v>COMPUTADOR TODO EN UNO  LENOVO CON PROCESADOR INTEL CORE I5-10400T MEMORIA RAM 8GB DDR4 CON DISCO DURO 256GB SSD M.2</v>
      </c>
      <c r="C15226" s="6">
        <v>6307000</v>
      </c>
      <c r="D15226" s="5" t="s">
        <v>135</v>
      </c>
      <c r="E15226" s="5" t="str">
        <f t="shared" si="787"/>
        <v>SUBADMINISTRATIVA - MIGUEL ALEXANDER NOGUERA QUINTERO</v>
      </c>
      <c r="F15226" s="5"/>
      <c r="G15226" s="5" t="str">
        <f>"V50A"</f>
        <v>V50A</v>
      </c>
    </row>
    <row r="15227" spans="1:7" ht="58.5" customHeight="1" x14ac:dyDescent="0.25">
      <c r="A15227" s="5" t="str">
        <f>"H0036920"</f>
        <v>H0036920</v>
      </c>
      <c r="B15227" s="5" t="str">
        <f>"AIRE ACONDICIONADO DE 24000 BTU CONVENCIONAL R410"</f>
        <v>AIRE ACONDICIONADO DE 24000 BTU CONVENCIONAL R410</v>
      </c>
      <c r="C15227" s="6">
        <v>4950000</v>
      </c>
      <c r="D15227" s="5" t="s">
        <v>28</v>
      </c>
      <c r="E15227" s="5" t="str">
        <f t="shared" si="787"/>
        <v>SUBADMINISTRATIVA - MIGUEL ALEXANDER NOGUERA QUINTERO</v>
      </c>
      <c r="F15227" s="5"/>
      <c r="G15227" s="5"/>
    </row>
    <row r="15228" spans="1:7" ht="58.5" customHeight="1" x14ac:dyDescent="0.25">
      <c r="A15228" s="5" t="str">
        <f>"H0037577"</f>
        <v>H0037577</v>
      </c>
      <c r="B15228"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5228" s="6">
        <v>1837598</v>
      </c>
      <c r="D15228" s="5" t="s">
        <v>29</v>
      </c>
      <c r="E15228" s="5" t="str">
        <f t="shared" si="787"/>
        <v>SUBADMINISTRATIVA - MIGUEL ALEXANDER NOGUERA QUINTERO</v>
      </c>
      <c r="F15228" s="5"/>
      <c r="G15228" s="5"/>
    </row>
    <row r="15229" spans="1:7" ht="58.5" customHeight="1" x14ac:dyDescent="0.25">
      <c r="A15229" s="5" t="str">
        <f>"H0037681"</f>
        <v>H0037681</v>
      </c>
      <c r="B15229" s="5" t="str">
        <f>"SILLA GERENTE NIZA MEC. BASCULANTE CON BRAZOS."</f>
        <v>SILLA GERENTE NIZA MEC. BASCULANTE CON BRAZOS.</v>
      </c>
      <c r="C15229" s="6">
        <v>710000.01</v>
      </c>
      <c r="D15229" s="5" t="s">
        <v>30</v>
      </c>
      <c r="E15229" s="5" t="str">
        <f t="shared" si="787"/>
        <v>SUBADMINISTRATIVA - MIGUEL ALEXANDER NOGUERA QUINTERO</v>
      </c>
      <c r="F15229" s="5"/>
      <c r="G15229" s="5"/>
    </row>
    <row r="15230" spans="1:7" ht="58.5" customHeight="1" x14ac:dyDescent="0.25">
      <c r="A15230" s="5" t="str">
        <f>"H0037682"</f>
        <v>H0037682</v>
      </c>
      <c r="B15230" s="5" t="str">
        <f>"SILLA GERENTE NIZA MEC. BASCULANTE CON BRAZOS."</f>
        <v>SILLA GERENTE NIZA MEC. BASCULANTE CON BRAZOS.</v>
      </c>
      <c r="C15230" s="6">
        <v>710000.01</v>
      </c>
      <c r="D15230" s="5" t="s">
        <v>30</v>
      </c>
      <c r="E15230" s="5" t="str">
        <f t="shared" si="787"/>
        <v>SUBADMINISTRATIVA - MIGUEL ALEXANDER NOGUERA QUINTERO</v>
      </c>
      <c r="F15230" s="5"/>
      <c r="G15230" s="5"/>
    </row>
    <row r="15231" spans="1:7" ht="58.5" customHeight="1" x14ac:dyDescent="0.25">
      <c r="A15231" s="5" t="str">
        <f>"H0037704"</f>
        <v>H0037704</v>
      </c>
      <c r="B15231" s="5" t="str">
        <f>"SILLA GERENTE NIZA MEC. BASCULANTE CON BRAZOS."</f>
        <v>SILLA GERENTE NIZA MEC. BASCULANTE CON BRAZOS.</v>
      </c>
      <c r="C15231" s="6">
        <v>710000.01</v>
      </c>
      <c r="D15231" s="5" t="s">
        <v>30</v>
      </c>
      <c r="E15231" s="5" t="str">
        <f t="shared" si="787"/>
        <v>SUBADMINISTRATIVA - MIGUEL ALEXANDER NOGUERA QUINTERO</v>
      </c>
      <c r="F15231" s="5"/>
      <c r="G15231" s="5"/>
    </row>
    <row r="15232" spans="1:7" ht="58.5" customHeight="1" x14ac:dyDescent="0.25">
      <c r="A15232" s="5" t="str">
        <f>"H0037705"</f>
        <v>H0037705</v>
      </c>
      <c r="B15232" s="5" t="str">
        <f>"SILLA GERENTE NIZA MEC. BASCULANTE CON BRAZOS."</f>
        <v>SILLA GERENTE NIZA MEC. BASCULANTE CON BRAZOS.</v>
      </c>
      <c r="C15232" s="6">
        <v>710000.01</v>
      </c>
      <c r="D15232" s="5" t="s">
        <v>30</v>
      </c>
      <c r="E15232" s="5" t="str">
        <f t="shared" si="787"/>
        <v>SUBADMINISTRATIVA - MIGUEL ALEXANDER NOGUERA QUINTERO</v>
      </c>
      <c r="F15232" s="5"/>
      <c r="G15232" s="5"/>
    </row>
    <row r="15233" spans="1:7" ht="58.5" customHeight="1" x14ac:dyDescent="0.25">
      <c r="A15233" s="5" t="str">
        <f>"H0038133"</f>
        <v>H0038133</v>
      </c>
      <c r="B15233" s="5" t="str">
        <f>"COMPUTADOR TODO EN UNO"</f>
        <v>COMPUTADOR TODO EN UNO</v>
      </c>
      <c r="C15233" s="6">
        <v>7497000</v>
      </c>
      <c r="D15233" s="5" t="s">
        <v>31</v>
      </c>
      <c r="E15233" s="5" t="str">
        <f t="shared" si="787"/>
        <v>SUBADMINISTRATIVA - MIGUEL ALEXANDER NOGUERA QUINTERO</v>
      </c>
      <c r="F15233" s="5"/>
      <c r="G15233" s="5"/>
    </row>
    <row r="15234" spans="1:7" ht="58.5" customHeight="1" x14ac:dyDescent="0.25">
      <c r="A15234" s="5" t="str">
        <f>"B0004038"</f>
        <v>B0004038</v>
      </c>
      <c r="B15234" s="5" t="str">
        <f t="shared" ref="B15234:B15239" si="788">"PRENSA MANUAL"</f>
        <v>PRENSA MANUAL</v>
      </c>
      <c r="C15234" s="6">
        <v>71917.02</v>
      </c>
      <c r="D15234" s="5"/>
      <c r="E15234" s="5" t="str">
        <f t="shared" ref="E15234:E15265" si="789">"MMTO CARPITENRIA - CARLOS ALBERTO PERNIA"</f>
        <v>MMTO CARPITENRIA - CARLOS ALBERTO PERNIA</v>
      </c>
      <c r="F15234" s="5" t="str">
        <f>"Descripcion:PRENSA DE 50 CM  Estado: Bueno Placa anterior: 000010670 Material: HIERRO Color: GRIS Y ROJO Referencia:  Observacion:  Placa padre:  Tipo adquisicion : Entidad"</f>
        <v>Descripcion:PRENSA DE 50 CM  Estado: Bueno Placa anterior: 000010670 Material: HIERRO Color: GRIS Y ROJO Referencia:  Observacion:  Placa padre:  Tipo adquisicion : Entidad</v>
      </c>
      <c r="G15234" s="5"/>
    </row>
    <row r="15235" spans="1:7" ht="58.5" customHeight="1" x14ac:dyDescent="0.25">
      <c r="A15235" s="5" t="str">
        <f>"B0004039"</f>
        <v>B0004039</v>
      </c>
      <c r="B15235" s="5" t="str">
        <f t="shared" si="788"/>
        <v>PRENSA MANUAL</v>
      </c>
      <c r="C15235" s="6">
        <v>71917.02</v>
      </c>
      <c r="D15235" s="5"/>
      <c r="E15235" s="5" t="str">
        <f t="shared" si="789"/>
        <v>MMTO CARPITENRIA - CARLOS ALBERTO PERNIA</v>
      </c>
      <c r="F15235" s="5" t="str">
        <f>"Descripcion:PRENSA DE 50 CM  Estado: Bueno Placa anterior: 000010672 Material: HIERRO Color: GRIS Y ROJO Referencia:  Observacion:  Placa padre:  Tipo adquisicion : Entidad"</f>
        <v>Descripcion:PRENSA DE 50 CM  Estado: Bueno Placa anterior: 000010672 Material: HIERRO Color: GRIS Y ROJO Referencia:  Observacion:  Placa padre:  Tipo adquisicion : Entidad</v>
      </c>
      <c r="G15235" s="5"/>
    </row>
    <row r="15236" spans="1:7" ht="58.5" customHeight="1" x14ac:dyDescent="0.25">
      <c r="A15236" s="5" t="str">
        <f>"B0004040"</f>
        <v>B0004040</v>
      </c>
      <c r="B15236" s="5" t="str">
        <f t="shared" si="788"/>
        <v>PRENSA MANUAL</v>
      </c>
      <c r="C15236" s="6">
        <v>71917.02</v>
      </c>
      <c r="D15236" s="5"/>
      <c r="E15236" s="5" t="str">
        <f t="shared" si="789"/>
        <v>MMTO CARPITENRIA - CARLOS ALBERTO PERNIA</v>
      </c>
      <c r="F15236" s="5" t="str">
        <f>"Descripcion:PRENSA DE 50 CM  Estado: Bueno Placa anterior: 000010669 Material: HIERRO Color: GRIS Y ROJO Referencia:  Observacion:  Placa padre:  Tipo adquisicion : Entidad"</f>
        <v>Descripcion:PRENSA DE 50 CM  Estado: Bueno Placa anterior: 000010669 Material: HIERRO Color: GRIS Y ROJO Referencia:  Observacion:  Placa padre:  Tipo adquisicion : Entidad</v>
      </c>
      <c r="G15236" s="5"/>
    </row>
    <row r="15237" spans="1:7" ht="58.5" customHeight="1" x14ac:dyDescent="0.25">
      <c r="A15237" s="5" t="str">
        <f>"B0004041"</f>
        <v>B0004041</v>
      </c>
      <c r="B15237" s="5" t="str">
        <f t="shared" si="788"/>
        <v>PRENSA MANUAL</v>
      </c>
      <c r="C15237" s="6">
        <v>71917.02</v>
      </c>
      <c r="D15237" s="5"/>
      <c r="E15237" s="5" t="str">
        <f t="shared" si="789"/>
        <v>MMTO CARPITENRIA - CARLOS ALBERTO PERNIA</v>
      </c>
      <c r="F15237" s="5" t="str">
        <f>"Descripcion:PRENSA DE 5O CM Estado: Bueno Placa anterior: 000010671 Material: HIERRO Color: GRIS Y ROJO Referencia:  Observacion:  Placa padre:  Tipo adquisicion : Entidad"</f>
        <v>Descripcion:PRENSA DE 5O CM Estado: Bueno Placa anterior: 000010671 Material: HIERRO Color: GRIS Y ROJO Referencia:  Observacion:  Placa padre:  Tipo adquisicion : Entidad</v>
      </c>
      <c r="G15237" s="5"/>
    </row>
    <row r="15238" spans="1:7" ht="58.5" customHeight="1" x14ac:dyDescent="0.25">
      <c r="A15238" s="5" t="str">
        <f>"B0004045"</f>
        <v>B0004045</v>
      </c>
      <c r="B15238" s="5" t="str">
        <f t="shared" si="788"/>
        <v>PRENSA MANUAL</v>
      </c>
      <c r="C15238" s="6">
        <v>60000.14</v>
      </c>
      <c r="D15238" s="5" t="s">
        <v>741</v>
      </c>
      <c r="E15238" s="5" t="str">
        <f t="shared" si="789"/>
        <v>MMTO CARPITENRIA - CARLOS ALBERTO PERNIA</v>
      </c>
      <c r="F15238" s="5" t="str">
        <f>"Descripcion:PRENSA DE 70 CM Estado: Bueno Placa anterior: 000036501 Material: HIERRO Color: GRIS Y AZUL Referencia:  Observacion:  Placa padre:  Tipo adquisicion : Entidad"</f>
        <v>Descripcion:PRENSA DE 70 CM Estado: Bueno Placa anterior: 000036501 Material: HIERRO Color: GRIS Y AZUL Referencia:  Observacion:  Placa padre:  Tipo adquisicion : Entidad</v>
      </c>
      <c r="G15238" s="5"/>
    </row>
    <row r="15239" spans="1:7" ht="58.5" customHeight="1" x14ac:dyDescent="0.25">
      <c r="A15239" s="5" t="str">
        <f>"B0004046"</f>
        <v>B0004046</v>
      </c>
      <c r="B15239" s="5" t="str">
        <f t="shared" si="788"/>
        <v>PRENSA MANUAL</v>
      </c>
      <c r="C15239" s="6">
        <v>60000.14</v>
      </c>
      <c r="D15239" s="5" t="s">
        <v>741</v>
      </c>
      <c r="E15239" s="5" t="str">
        <f t="shared" si="789"/>
        <v>MMTO CARPITENRIA - CARLOS ALBERTO PERNIA</v>
      </c>
      <c r="F15239" s="5" t="str">
        <f>"Descripcion:PRENSA DE 70 CM Estado: Bueno Placa anterior: 000036502 Material: HIERRO Color: GRIS Y AZUL Referencia:  Observacion:  Placa padre:  Tipo adquisicion : Entidad"</f>
        <v>Descripcion:PRENSA DE 70 CM Estado: Bueno Placa anterior: 000036502 Material: HIERRO Color: GRIS Y AZUL Referencia:  Observacion:  Placa padre:  Tipo adquisicion : Entidad</v>
      </c>
      <c r="G15239" s="5"/>
    </row>
    <row r="15240" spans="1:7" ht="58.5" customHeight="1" x14ac:dyDescent="0.25">
      <c r="A15240" s="5" t="str">
        <f>"B0004049"</f>
        <v>B0004049</v>
      </c>
      <c r="B15240" s="5" t="str">
        <f>"LLAVE INGLESA"</f>
        <v>LLAVE INGLESA</v>
      </c>
      <c r="C15240" s="6">
        <v>35037.51</v>
      </c>
      <c r="D15240" s="5"/>
      <c r="E15240" s="5" t="str">
        <f t="shared" si="789"/>
        <v>MMTO CARPITENRIA - CARLOS ALBERTO PERNIA</v>
      </c>
      <c r="F15240" s="5" t="str">
        <f>"Descripcion:LLAVE INGLESA DE BOCA FIJA (ABIERTA) DE 24 Y 30   Estado: Bueno Placa anterior: 000010648 Material: METALICA Color: GRIS Referencia:  Observacion:  Placa padre:  Tipo adquisicion : Entidad"</f>
        <v>Descripcion:LLAVE INGLESA DE BOCA FIJA (ABIERTA) DE 24 Y 30   Estado: Bueno Placa anterior: 000010648 Material: METALICA Color: GRIS Referencia:  Observacion:  Placa padre:  Tipo adquisicion : Entidad</v>
      </c>
      <c r="G15240" s="5"/>
    </row>
    <row r="15241" spans="1:7" ht="58.5" customHeight="1" x14ac:dyDescent="0.25">
      <c r="A15241" s="5" t="str">
        <f>"B0004050"</f>
        <v>B0004050</v>
      </c>
      <c r="B15241" s="5" t="str">
        <f>"TALADRO"</f>
        <v>TALADRO</v>
      </c>
      <c r="C15241" s="6">
        <v>267900.27</v>
      </c>
      <c r="D15241" s="5" t="s">
        <v>741</v>
      </c>
      <c r="E15241" s="5" t="str">
        <f t="shared" si="789"/>
        <v>MMTO CARPITENRIA - CARLOS ALBERTO PERNIA</v>
      </c>
      <c r="F15241" s="5" t="str">
        <f>"Descripcion:TALADRO   Estado: Bueno Placa anterior: 000036499 Material: METALICO Y PASTA Color: AMARILLO Referencia:  Observacion:  Placa padre:  Tipo adquisicion : Entidad"</f>
        <v>Descripcion:TALADRO   Estado: Bueno Placa anterior: 000036499 Material: METALICO Y PASTA Color: AMARILLO Referencia:  Observacion:  Placa padre:  Tipo adquisicion : Entidad</v>
      </c>
      <c r="G15241" s="5"/>
    </row>
    <row r="15242" spans="1:7" ht="58.5" customHeight="1" x14ac:dyDescent="0.25">
      <c r="A15242" s="5" t="str">
        <f>"B0004051"</f>
        <v>B0004051</v>
      </c>
      <c r="B15242" s="5" t="str">
        <f>"RUTEADORA"</f>
        <v>RUTEADORA</v>
      </c>
      <c r="C15242" s="6">
        <v>669900</v>
      </c>
      <c r="D15242" s="5" t="s">
        <v>742</v>
      </c>
      <c r="E15242" s="5" t="str">
        <f t="shared" si="789"/>
        <v>MMTO CARPITENRIA - CARLOS ALBERTO PERNIA</v>
      </c>
      <c r="F15242" s="5" t="str">
        <f>"Descripcion:RUTEADORA 1-3/4  Estado: Bueno Placa anterior: 000036530 Material: METALICO Y PASTA Color: AMARILLO Referencia:  Observacion:  Placa padre:  Tipo adquisicion : Entidad"</f>
        <v>Descripcion:RUTEADORA 1-3/4  Estado: Bueno Placa anterior: 000036530 Material: METALICO Y PASTA Color: AMARILLO Referencia:  Observacion:  Placa padre:  Tipo adquisicion : Entidad</v>
      </c>
      <c r="G15242" s="5" t="str">
        <f>"DW616"</f>
        <v>DW616</v>
      </c>
    </row>
    <row r="15243" spans="1:7" ht="58.5" customHeight="1" x14ac:dyDescent="0.25">
      <c r="A15243" s="5" t="str">
        <f>"B0005168"</f>
        <v>B0005168</v>
      </c>
      <c r="B15243" s="5" t="str">
        <f>"ALICATE**"</f>
        <v>ALICATE**</v>
      </c>
      <c r="C15243" s="6">
        <v>33675.5</v>
      </c>
      <c r="D15243" s="5"/>
      <c r="E15243" s="5" t="str">
        <f t="shared" si="789"/>
        <v>MMTO CARPITENRIA - CARLOS ALBERTO PERNIA</v>
      </c>
      <c r="F15243" s="5" t="str">
        <f>"Descripcion:ALICATE Estado: Malo Placa anterior: 000010659 Material: ACERO INOXIDABLE Color:  Referencia:  Observacion: DECORACION EN LA ENTRADA Placa padre:  Tipo adquisicion : Entidad"</f>
        <v>Descripcion:ALICATE Estado: Malo Placa anterior: 000010659 Material: ACERO INOXIDABLE Color:  Referencia:  Observacion: DECORACION EN LA ENTRADA Placa padre:  Tipo adquisicion : Entidad</v>
      </c>
      <c r="G15243" s="5"/>
    </row>
    <row r="15244" spans="1:7" ht="58.5" customHeight="1" x14ac:dyDescent="0.25">
      <c r="A15244" s="5" t="str">
        <f>"B0005169"</f>
        <v>B0005169</v>
      </c>
      <c r="B15244" s="5" t="str">
        <f>"KIT DE ALICATES"</f>
        <v>KIT DE ALICATES</v>
      </c>
      <c r="C15244" s="6">
        <v>18850</v>
      </c>
      <c r="D15244" s="5" t="s">
        <v>741</v>
      </c>
      <c r="E15244" s="5" t="str">
        <f t="shared" si="789"/>
        <v>MMTO CARPITENRIA - CARLOS ALBERTO PERNIA</v>
      </c>
      <c r="F15244" s="5" t="str">
        <f>"Descripcion:ALICATE DE ELECTRICISTA 8 (203) MM 84-023 Estado: Bueno Placa anterior: 000036503 Material: ACERO INOXIDABLE Color:  Referencia:  Observacion:  Placa padre:  Tipo adquisicion : Entidad"</f>
        <v>Descripcion:ALICATE DE ELECTRICISTA 8 (203) MM 84-023 Estado: Bueno Placa anterior: 000036503 Material: ACERO INOXIDABLE Color:  Referencia:  Observacion:  Placa padre:  Tipo adquisicion : Entidad</v>
      </c>
      <c r="G15244" s="5"/>
    </row>
    <row r="15245" spans="1:7" ht="58.5" customHeight="1" x14ac:dyDescent="0.25">
      <c r="A15245" s="5" t="str">
        <f>"B0005170"</f>
        <v>B0005170</v>
      </c>
      <c r="B15245" s="5" t="str">
        <f>"BERBIQUI"</f>
        <v>BERBIQUI</v>
      </c>
      <c r="C15245" s="6">
        <v>2500</v>
      </c>
      <c r="D15245" s="5"/>
      <c r="E15245" s="5" t="str">
        <f t="shared" si="789"/>
        <v>MMTO CARPITENRIA - CARLOS ALBERTO PERNIA</v>
      </c>
      <c r="F15245" s="5" t="str">
        <f>"Descripcion:BERBIQUI Estado: Malo Placa anterior: 000010652 Material: ACERO INOXIDABLE Color:  Referencia:  Observacion: DECORACION EN LA ENTRADA Placa padre:  Tipo adquisicion : Entidad"</f>
        <v>Descripcion:BERBIQUI Estado: Malo Placa anterior: 000010652 Material: ACERO INOXIDABLE Color:  Referencia:  Observacion: DECORACION EN LA ENTRADA Placa padre:  Tipo adquisicion : Entidad</v>
      </c>
      <c r="G15245" s="5"/>
    </row>
    <row r="15246" spans="1:7" ht="58.5" customHeight="1" x14ac:dyDescent="0.25">
      <c r="A15246" s="5" t="str">
        <f>"B0005171"</f>
        <v>B0005171</v>
      </c>
      <c r="B15246" s="5" t="str">
        <f>"CEPILLO PARA MADERA"</f>
        <v>CEPILLO PARA MADERA</v>
      </c>
      <c r="C15246" s="6">
        <v>43592.5</v>
      </c>
      <c r="D15246" s="5"/>
      <c r="E15246" s="5" t="str">
        <f t="shared" si="789"/>
        <v>MMTO CARPITENRIA - CARLOS ALBERTO PERNIA</v>
      </c>
      <c r="F15246" s="5" t="str">
        <f>"Descripcion:CEPILLO PARA MADERA Estado: Malo Placa anterior: 000010674 Material: METALICO Color:  Referencia:  Observacion:  Placa padre:  Tipo adquisicion : Entidad"</f>
        <v>Descripcion:CEPILLO PARA MADERA Estado: Malo Placa anterior: 000010674 Material: METALICO Color:  Referencia:  Observacion:  Placa padre:  Tipo adquisicion : Entidad</v>
      </c>
      <c r="G15246" s="5"/>
    </row>
    <row r="15247" spans="1:7" ht="58.5" customHeight="1" x14ac:dyDescent="0.25">
      <c r="A15247" s="5" t="str">
        <f>"B0005172"</f>
        <v>B0005172</v>
      </c>
      <c r="B15247" s="5" t="str">
        <f>"CEPILLO PARA MADERA"</f>
        <v>CEPILLO PARA MADERA</v>
      </c>
      <c r="C15247" s="6">
        <v>43592.5</v>
      </c>
      <c r="D15247" s="5"/>
      <c r="E15247" s="5" t="str">
        <f t="shared" si="789"/>
        <v>MMTO CARPITENRIA - CARLOS ALBERTO PERNIA</v>
      </c>
      <c r="F15247" s="5" t="str">
        <f>"Descripcion:CEPILLO PARA MADERA Estado: Bueno Placa anterior: 000010675 Material: METALICO Color:  Referencia:  Observacion:  Placa padre:  Tipo adquisicion : Entidad"</f>
        <v>Descripcion:CEPILLO PARA MADERA Estado: Bueno Placa anterior: 000010675 Material: METALICO Color:  Referencia:  Observacion:  Placa padre:  Tipo adquisicion : Entidad</v>
      </c>
      <c r="G15247" s="5"/>
    </row>
    <row r="15248" spans="1:7" ht="58.5" customHeight="1" x14ac:dyDescent="0.25">
      <c r="A15248" s="5" t="str">
        <f>"B0005173"</f>
        <v>B0005173</v>
      </c>
      <c r="B15248" s="5" t="str">
        <f>"CEPILLO PARA MADERA"</f>
        <v>CEPILLO PARA MADERA</v>
      </c>
      <c r="C15248" s="6">
        <v>43592.5</v>
      </c>
      <c r="D15248" s="5"/>
      <c r="E15248" s="5" t="str">
        <f t="shared" si="789"/>
        <v>MMTO CARPITENRIA - CARLOS ALBERTO PERNIA</v>
      </c>
      <c r="F15248" s="5" t="str">
        <f>"Descripcion:CEPILLO PARA MADERA Estado: Bueno Placa anterior: 000010673 Material: METALICO Color:  Referencia:  Observacion:  Placa padre:  Tipo adquisicion : Entidad"</f>
        <v>Descripcion:CEPILLO PARA MADERA Estado: Bueno Placa anterior: 000010673 Material: METALICO Color:  Referencia:  Observacion:  Placa padre:  Tipo adquisicion : Entidad</v>
      </c>
      <c r="G15248" s="5"/>
    </row>
    <row r="15249" spans="1:7" ht="58.5" customHeight="1" x14ac:dyDescent="0.25">
      <c r="A15249" s="5" t="str">
        <f>"B0005175"</f>
        <v>B0005175</v>
      </c>
      <c r="B15249" s="5" t="str">
        <f>"CORTAFRIO"</f>
        <v>CORTAFRIO</v>
      </c>
      <c r="C15249" s="6">
        <v>13500</v>
      </c>
      <c r="D15249" s="5"/>
      <c r="E15249" s="5" t="str">
        <f t="shared" si="789"/>
        <v>MMTO CARPITENRIA - CARLOS ALBERTO PERNIA</v>
      </c>
      <c r="F15249" s="5" t="str">
        <f>"Descripcion:CORTA FRIO Estado: Bueno Placa anterior: 000010658 Material: METALICO Color: GRIS Referencia:  Observacion:  Placa padre:  Tipo adquisicion : Entidad"</f>
        <v>Descripcion:CORTA FRIO Estado: Bueno Placa anterior: 000010658 Material: METALICO Color: GRIS Referencia:  Observacion:  Placa padre:  Tipo adquisicion : Entidad</v>
      </c>
      <c r="G15249" s="5"/>
    </row>
    <row r="15250" spans="1:7" ht="58.5" customHeight="1" x14ac:dyDescent="0.25">
      <c r="A15250" s="5" t="str">
        <f>"B0005176"</f>
        <v>B0005176</v>
      </c>
      <c r="B15250" s="5" t="str">
        <f t="shared" ref="B15250:B15256" si="790">"DESTORNILLADOR (ATORNILLADOR)"</f>
        <v>DESTORNILLADOR (ATORNILLADOR)</v>
      </c>
      <c r="C15250" s="6">
        <v>4000</v>
      </c>
      <c r="D15250" s="5"/>
      <c r="E15250" s="5" t="str">
        <f t="shared" si="789"/>
        <v>MMTO CARPITENRIA - CARLOS ALBERTO PERNIA</v>
      </c>
      <c r="F15250" s="5" t="str">
        <f>"Descripcion:DESTORNILLADOR DE ESTRIA Estado: Bueno Placa anterior: 000010665 Material: METALICO Color: GRIS Referencia:  Observacion:  Placa padre:  Tipo adquisicion : Entidad"</f>
        <v>Descripcion:DESTORNILLADOR DE ESTRIA Estado: Bueno Placa anterior: 000010665 Material: METALICO Color: GRIS Referencia:  Observacion:  Placa padre:  Tipo adquisicion : Entidad</v>
      </c>
      <c r="G15250" s="5"/>
    </row>
    <row r="15251" spans="1:7" ht="58.5" customHeight="1" x14ac:dyDescent="0.25">
      <c r="A15251" s="5" t="str">
        <f>"B0005177"</f>
        <v>B0005177</v>
      </c>
      <c r="B15251" s="5" t="str">
        <f t="shared" si="790"/>
        <v>DESTORNILLADOR (ATORNILLADOR)</v>
      </c>
      <c r="C15251" s="6">
        <v>4000</v>
      </c>
      <c r="D15251" s="5"/>
      <c r="E15251" s="5" t="str">
        <f t="shared" si="789"/>
        <v>MMTO CARPITENRIA - CARLOS ALBERTO PERNIA</v>
      </c>
      <c r="F15251" s="5" t="str">
        <f>"Descripcion:DESTORNILLADOR DE ESTRIA Estado: Bueno Placa anterior: 000010666 Material: METALICO Color: GRIS Referencia:  Observacion:  Placa padre:  Tipo adquisicion : Entidad"</f>
        <v>Descripcion:DESTORNILLADOR DE ESTRIA Estado: Bueno Placa anterior: 000010666 Material: METALICO Color: GRIS Referencia:  Observacion:  Placa padre:  Tipo adquisicion : Entidad</v>
      </c>
      <c r="G15251" s="5"/>
    </row>
    <row r="15252" spans="1:7" ht="58.5" customHeight="1" x14ac:dyDescent="0.25">
      <c r="A15252" s="5" t="str">
        <f>"B0005178"</f>
        <v>B0005178</v>
      </c>
      <c r="B15252" s="5" t="str">
        <f t="shared" si="790"/>
        <v>DESTORNILLADOR (ATORNILLADOR)</v>
      </c>
      <c r="C15252" s="6">
        <v>4000</v>
      </c>
      <c r="D15252" s="5"/>
      <c r="E15252" s="5" t="str">
        <f t="shared" si="789"/>
        <v>MMTO CARPITENRIA - CARLOS ALBERTO PERNIA</v>
      </c>
      <c r="F15252" s="5" t="str">
        <f>"Descripcion:DESTORNILLADOR DE PALA Estado: Bueno Placa anterior: 000010664 Material: METALICO Color:  Referencia:  Observacion:  Placa padre:  Tipo adquisicion : Entidad"</f>
        <v>Descripcion:DESTORNILLADOR DE PALA Estado: Bueno Placa anterior: 000010664 Material: METALICO Color:  Referencia:  Observacion:  Placa padre:  Tipo adquisicion : Entidad</v>
      </c>
      <c r="G15252" s="5"/>
    </row>
    <row r="15253" spans="1:7" ht="58.5" customHeight="1" x14ac:dyDescent="0.25">
      <c r="A15253" s="5" t="str">
        <f>"B0005179"</f>
        <v>B0005179</v>
      </c>
      <c r="B15253" s="5" t="str">
        <f t="shared" si="790"/>
        <v>DESTORNILLADOR (ATORNILLADOR)</v>
      </c>
      <c r="C15253" s="6">
        <v>4000</v>
      </c>
      <c r="D15253" s="5"/>
      <c r="E15253" s="5" t="str">
        <f t="shared" si="789"/>
        <v>MMTO CARPITENRIA - CARLOS ALBERTO PERNIA</v>
      </c>
      <c r="F15253" s="5" t="str">
        <f>"Descripcion:DESTORNILLADOR DE PALA Estado: Malo Placa anterior: 000010660 Material: METALICO Color:  Referencia:  Observacion: DECORACION EN LA ENTRADA Placa padre:  Tipo adquisicion : Entidad"</f>
        <v>Descripcion:DESTORNILLADOR DE PALA Estado: Malo Placa anterior: 000010660 Material: METALICO Color:  Referencia:  Observacion: DECORACION EN LA ENTRADA Placa padre:  Tipo adquisicion : Entidad</v>
      </c>
      <c r="G15253" s="5"/>
    </row>
    <row r="15254" spans="1:7" ht="58.5" customHeight="1" x14ac:dyDescent="0.25">
      <c r="A15254" s="5" t="str">
        <f>"B0005180"</f>
        <v>B0005180</v>
      </c>
      <c r="B15254" s="5" t="str">
        <f t="shared" si="790"/>
        <v>DESTORNILLADOR (ATORNILLADOR)</v>
      </c>
      <c r="C15254" s="6">
        <v>4000</v>
      </c>
      <c r="D15254" s="5"/>
      <c r="E15254" s="5" t="str">
        <f t="shared" si="789"/>
        <v>MMTO CARPITENRIA - CARLOS ALBERTO PERNIA</v>
      </c>
      <c r="F15254" s="5" t="str">
        <f>"Descripcion:DESTORNILLADOR DE PALA Estado: Bueno Placa anterior: 000010662 Material: METALICO Color:  Referencia:  Observacion:  Placa padre:  Tipo adquisicion : Entidad"</f>
        <v>Descripcion:DESTORNILLADOR DE PALA Estado: Bueno Placa anterior: 000010662 Material: METALICO Color:  Referencia:  Observacion:  Placa padre:  Tipo adquisicion : Entidad</v>
      </c>
      <c r="G15254" s="5"/>
    </row>
    <row r="15255" spans="1:7" ht="58.5" customHeight="1" x14ac:dyDescent="0.25">
      <c r="A15255" s="5" t="str">
        <f>"B0005181"</f>
        <v>B0005181</v>
      </c>
      <c r="B15255" s="5" t="str">
        <f t="shared" si="790"/>
        <v>DESTORNILLADOR (ATORNILLADOR)</v>
      </c>
      <c r="C15255" s="6">
        <v>4000</v>
      </c>
      <c r="D15255" s="5"/>
      <c r="E15255" s="5" t="str">
        <f t="shared" si="789"/>
        <v>MMTO CARPITENRIA - CARLOS ALBERTO PERNIA</v>
      </c>
      <c r="F15255" s="5" t="str">
        <f>"Descripcion:DESTORNILLADOR DE PALA Estado: Malo Placa anterior: 000010661 Material: METALICO Color:  Referencia:  Observacion: DECORACION EN LA ENTRADA Placa padre:  Tipo adquisicion : Entidad"</f>
        <v>Descripcion:DESTORNILLADOR DE PALA Estado: Malo Placa anterior: 000010661 Material: METALICO Color:  Referencia:  Observacion: DECORACION EN LA ENTRADA Placa padre:  Tipo adquisicion : Entidad</v>
      </c>
      <c r="G15255" s="5"/>
    </row>
    <row r="15256" spans="1:7" ht="58.5" customHeight="1" x14ac:dyDescent="0.25">
      <c r="A15256" s="5" t="str">
        <f>"B0005182"</f>
        <v>B0005182</v>
      </c>
      <c r="B15256" s="5" t="str">
        <f t="shared" si="790"/>
        <v>DESTORNILLADOR (ATORNILLADOR)</v>
      </c>
      <c r="C15256" s="6">
        <v>4000</v>
      </c>
      <c r="D15256" s="5"/>
      <c r="E15256" s="5" t="str">
        <f t="shared" si="789"/>
        <v>MMTO CARPITENRIA - CARLOS ALBERTO PERNIA</v>
      </c>
      <c r="F15256" s="5" t="str">
        <f>"Descripcion:DESTORNILLADOR DE PALA Estado: Bueno Placa anterior: 000010663 Material: METALICO Color:  Referencia:  Observacion:  Placa padre:  Tipo adquisicion : Entidad"</f>
        <v>Descripcion:DESTORNILLADOR DE PALA Estado: Bueno Placa anterior: 000010663 Material: METALICO Color:  Referencia:  Observacion:  Placa padre:  Tipo adquisicion : Entidad</v>
      </c>
      <c r="G15256" s="5"/>
    </row>
    <row r="15257" spans="1:7" ht="58.5" customHeight="1" x14ac:dyDescent="0.25">
      <c r="A15257" s="5" t="str">
        <f>"B0005220"</f>
        <v>B0005220</v>
      </c>
      <c r="B15257" s="5" t="str">
        <f>"ESCOFINA PLANA"</f>
        <v>ESCOFINA PLANA</v>
      </c>
      <c r="C15257" s="6">
        <v>2000</v>
      </c>
      <c r="D15257" s="5"/>
      <c r="E15257" s="5" t="str">
        <f t="shared" si="789"/>
        <v>MMTO CARPITENRIA - CARLOS ALBERTO PERNIA</v>
      </c>
      <c r="F15257" s="5" t="str">
        <f>"Descripcion:ESCOFINA MEDIANA PLANA SIN MANGO Estado: Bueno Placa anterior: 000010667 Material:  Color:  Referencia:  Observacion:  Placa padre:  Tipo adquisicion : Entidad"</f>
        <v>Descripcion:ESCOFINA MEDIANA PLANA SIN MANGO Estado: Bueno Placa anterior: 000010667 Material:  Color:  Referencia:  Observacion:  Placa padre:  Tipo adquisicion : Entidad</v>
      </c>
      <c r="G15257" s="5"/>
    </row>
    <row r="15258" spans="1:7" ht="58.5" customHeight="1" x14ac:dyDescent="0.25">
      <c r="A15258" s="5" t="str">
        <f>"B0005221"</f>
        <v>B0005221</v>
      </c>
      <c r="B15258" s="5" t="str">
        <f>"ESCUADRA"</f>
        <v>ESCUADRA</v>
      </c>
      <c r="C15258" s="6">
        <v>2500</v>
      </c>
      <c r="D15258" s="5"/>
      <c r="E15258" s="5" t="str">
        <f t="shared" si="789"/>
        <v>MMTO CARPITENRIA - CARLOS ALBERTO PERNIA</v>
      </c>
      <c r="F15258" s="5" t="str">
        <f>"Descripcion:ESCUADRA GRANDE Estado: Bueno Placa anterior: 000010649 Material:  Color:  Referencia:  Observacion:  Placa padre:  Tipo adquisicion : Entidad"</f>
        <v>Descripcion:ESCUADRA GRANDE Estado: Bueno Placa anterior: 000010649 Material:  Color:  Referencia:  Observacion:  Placa padre:  Tipo adquisicion : Entidad</v>
      </c>
      <c r="G15258" s="5"/>
    </row>
    <row r="15259" spans="1:7" ht="58.5" customHeight="1" x14ac:dyDescent="0.25">
      <c r="A15259" s="5" t="str">
        <f>"B0005222"</f>
        <v>B0005222</v>
      </c>
      <c r="B15259" s="5" t="str">
        <f>"ESCUADRA"</f>
        <v>ESCUADRA</v>
      </c>
      <c r="C15259" s="6">
        <v>1500</v>
      </c>
      <c r="D15259" s="5"/>
      <c r="E15259" s="5" t="str">
        <f t="shared" si="789"/>
        <v>MMTO CARPITENRIA - CARLOS ALBERTO PERNIA</v>
      </c>
      <c r="F15259" s="5" t="str">
        <f>"Descripcion:ESCUADRA PEQUEÑA Estado: Inservible Placa anterior: 000010650 Material:  Color:  Referencia:  Observacion: DECORACION EN LA ENTRADA Placa padre:  Tipo adquisicion : Entidad"</f>
        <v>Descripcion:ESCUADRA PEQUEÑA Estado: Inservible Placa anterior: 000010650 Material:  Color:  Referencia:  Observacion: DECORACION EN LA ENTRADA Placa padre:  Tipo adquisicion : Entidad</v>
      </c>
      <c r="G15259" s="5"/>
    </row>
    <row r="15260" spans="1:7" ht="58.5" customHeight="1" x14ac:dyDescent="0.25">
      <c r="A15260" s="5" t="str">
        <f>"B0005223"</f>
        <v>B0005223</v>
      </c>
      <c r="B15260" s="5" t="str">
        <f>"KIT DE BROCAS"</f>
        <v>KIT DE BROCAS</v>
      </c>
      <c r="C15260" s="6">
        <v>3600</v>
      </c>
      <c r="D15260" s="5"/>
      <c r="E15260" s="5" t="str">
        <f t="shared" si="789"/>
        <v>MMTO CARPITENRIA - CARLOS ALBERTO PERNIA</v>
      </c>
      <c r="F15260" s="5" t="str">
        <f>"Descripcion:JUEGO DE BROCAS PARA PERFORAR MADERA X 7 PIEZAS Estado: Bueno Placa anterior: 000010676 Material:  Color:  Referencia:  Observacion:  Placa padre:  Tipo adquisicion : Entidad"</f>
        <v>Descripcion:JUEGO DE BROCAS PARA PERFORAR MADERA X 7 PIEZAS Estado: Bueno Placa anterior: 000010676 Material:  Color:  Referencia:  Observacion:  Placa padre:  Tipo adquisicion : Entidad</v>
      </c>
      <c r="G15260" s="5"/>
    </row>
    <row r="15261" spans="1:7" ht="58.5" customHeight="1" x14ac:dyDescent="0.25">
      <c r="A15261" s="5" t="str">
        <f>"B0005224"</f>
        <v>B0005224</v>
      </c>
      <c r="B15261" s="5" t="str">
        <f>"LIMA MEDIA CAÑA (CARPINTERIA)"</f>
        <v>LIMA MEDIA CAÑA (CARPINTERIA)</v>
      </c>
      <c r="C15261" s="6">
        <v>2000</v>
      </c>
      <c r="D15261" s="5"/>
      <c r="E15261" s="5" t="str">
        <f t="shared" si="789"/>
        <v>MMTO CARPITENRIA - CARLOS ALBERTO PERNIA</v>
      </c>
      <c r="F15261" s="5" t="str">
        <f>"Descripcion:LIMA MEDIA CAÑA Estado: Bueno Placa anterior: 000010668 Material:  Color:  Referencia:  Observacion:  Placa padre:  Tipo adquisicion : Entidad"</f>
        <v>Descripcion:LIMA MEDIA CAÑA Estado: Bueno Placa anterior: 000010668 Material:  Color:  Referencia:  Observacion:  Placa padre:  Tipo adquisicion : Entidad</v>
      </c>
      <c r="G15261" s="5"/>
    </row>
    <row r="15262" spans="1:7" ht="58.5" customHeight="1" x14ac:dyDescent="0.25">
      <c r="A15262" s="5" t="str">
        <f>"B0005225"</f>
        <v>B0005225</v>
      </c>
      <c r="B15262" s="5" t="str">
        <f>"LLAVE DE BOCA FIJA"</f>
        <v>LLAVE DE BOCA FIJA</v>
      </c>
      <c r="C15262" s="6">
        <v>85059</v>
      </c>
      <c r="D15262" s="5"/>
      <c r="E15262" s="5" t="str">
        <f t="shared" si="789"/>
        <v>MMTO CARPITENRIA - CARLOS ALBERTO PERNIA</v>
      </c>
      <c r="F15262" s="5" t="str">
        <f>"Descripcion:LLAVE BOCA FIJA 24-30 Estado: Bueno Placa anterior: 000010651 Material:  Color:  Referencia:  Observacion:  Placa padre:  Tipo adquisicion : Entidad"</f>
        <v>Descripcion:LLAVE BOCA FIJA 24-30 Estado: Bueno Placa anterior: 000010651 Material:  Color:  Referencia:  Observacion:  Placa padre:  Tipo adquisicion : Entidad</v>
      </c>
      <c r="G15262" s="5"/>
    </row>
    <row r="15263" spans="1:7" ht="58.5" customHeight="1" x14ac:dyDescent="0.25">
      <c r="A15263" s="5" t="str">
        <f>"B0005226"</f>
        <v>B0005226</v>
      </c>
      <c r="B15263" s="5" t="str">
        <f>"MARTILLO PATA DE CABRA"</f>
        <v>MARTILLO PATA DE CABRA</v>
      </c>
      <c r="C15263" s="6">
        <v>3000</v>
      </c>
      <c r="D15263" s="5"/>
      <c r="E15263" s="5" t="str">
        <f t="shared" si="789"/>
        <v>MMTO CARPITENRIA - CARLOS ALBERTO PERNIA</v>
      </c>
      <c r="F15263" s="5" t="str">
        <f>"Descripcion:MARTILLO PATA DE CABRA Estado: Bueno Placa anterior: 000010654 Material:  Color:  Referencia:  Observacion:  Placa padre:  Tipo adquisicion : Entidad"</f>
        <v>Descripcion:MARTILLO PATA DE CABRA Estado: Bueno Placa anterior: 000010654 Material:  Color:  Referencia:  Observacion:  Placa padre:  Tipo adquisicion : Entidad</v>
      </c>
      <c r="G15263" s="5"/>
    </row>
    <row r="15264" spans="1:7" ht="58.5" customHeight="1" x14ac:dyDescent="0.25">
      <c r="A15264" s="5" t="str">
        <f>"B0005227"</f>
        <v>B0005227</v>
      </c>
      <c r="B15264" s="5" t="str">
        <f>"MARTILLO DE UÑA"</f>
        <v>MARTILLO DE UÑA</v>
      </c>
      <c r="C15264" s="6">
        <v>6800.07</v>
      </c>
      <c r="D15264" s="5" t="s">
        <v>743</v>
      </c>
      <c r="E15264" s="5" t="str">
        <f t="shared" si="789"/>
        <v>MMTO CARPITENRIA - CARLOS ALBERTO PERNIA</v>
      </c>
      <c r="F15264" s="5" t="str">
        <f>"Descripcion:MARTILLO UÑA PULIDO 8001 -OP/23MM BELLOTA Estado: Bueno Placa anterior: 000036486 Material:  Color:  Referencia:  Observacion:  Placa padre:  Tipo adquisicion : Entidad"</f>
        <v>Descripcion:MARTILLO UÑA PULIDO 8001 -OP/23MM BELLOTA Estado: Bueno Placa anterior: 000036486 Material:  Color:  Referencia:  Observacion:  Placa padre:  Tipo adquisicion : Entidad</v>
      </c>
      <c r="G15264" s="5"/>
    </row>
    <row r="15265" spans="1:7" ht="58.5" customHeight="1" x14ac:dyDescent="0.25">
      <c r="A15265" s="5" t="str">
        <f>"B0005228"</f>
        <v>B0005228</v>
      </c>
      <c r="B15265" s="5" t="str">
        <f>"PORRA"</f>
        <v>PORRA</v>
      </c>
      <c r="C15265" s="6">
        <v>1000</v>
      </c>
      <c r="D15265" s="5"/>
      <c r="E15265" s="5" t="str">
        <f t="shared" si="789"/>
        <v>MMTO CARPITENRIA - CARLOS ALBERTO PERNIA</v>
      </c>
      <c r="F15265" s="5" t="str">
        <f>"Descripcion:PORRA PEQUEÑA Estado: Bueno Placa anterior: 000010655 Material:  Color:  Referencia:  Observacion:  Placa padre:  Tipo adquisicion : Entidad"</f>
        <v>Descripcion:PORRA PEQUEÑA Estado: Bueno Placa anterior: 000010655 Material:  Color:  Referencia:  Observacion:  Placa padre:  Tipo adquisicion : Entidad</v>
      </c>
      <c r="G15265" s="5"/>
    </row>
    <row r="15266" spans="1:7" ht="58.5" customHeight="1" x14ac:dyDescent="0.25">
      <c r="A15266" s="5" t="str">
        <f>"B0005229"</f>
        <v>B0005229</v>
      </c>
      <c r="B15266" s="5" t="str">
        <f>"SERRUCHO"</f>
        <v>SERRUCHO</v>
      </c>
      <c r="C15266" s="6">
        <v>1500</v>
      </c>
      <c r="D15266" s="5"/>
      <c r="E15266" s="5" t="str">
        <f t="shared" ref="E15266:E15295" si="791">"MMTO CARPITENRIA - CARLOS ALBERTO PERNIA"</f>
        <v>MMTO CARPITENRIA - CARLOS ALBERTO PERNIA</v>
      </c>
      <c r="F15266" s="5" t="str">
        <f>"Descripcion:SERRUCHOS Estado: Inservible Placa anterior: 000010647 Material: METALICO Color:  Referencia:  Observacion: DECORACION EN LA ENTRADA Placa padre:  Tipo adquisicion : Entidad"</f>
        <v>Descripcion:SERRUCHOS Estado: Inservible Placa anterior: 000010647 Material: METALICO Color:  Referencia:  Observacion: DECORACION EN LA ENTRADA Placa padre:  Tipo adquisicion : Entidad</v>
      </c>
      <c r="G15266" s="5"/>
    </row>
    <row r="15267" spans="1:7" ht="58.5" customHeight="1" x14ac:dyDescent="0.25">
      <c r="A15267" s="5" t="str">
        <f>"B0005230"</f>
        <v>B0005230</v>
      </c>
      <c r="B15267" s="5" t="str">
        <f>"SERRUCHO"</f>
        <v>SERRUCHO</v>
      </c>
      <c r="C15267" s="6">
        <v>1500</v>
      </c>
      <c r="D15267" s="5"/>
      <c r="E15267" s="5" t="str">
        <f t="shared" si="791"/>
        <v>MMTO CARPITENRIA - CARLOS ALBERTO PERNIA</v>
      </c>
      <c r="F15267" s="5" t="str">
        <f>"Descripcion:SERRUCHOS Estado: Inservible Placa anterior: 000010645 Material: METALICO Color:  Referencia:  Observacion: DECORACION EN LA ENTRADA Placa padre:  Tipo adquisicion : Entidad"</f>
        <v>Descripcion:SERRUCHOS Estado: Inservible Placa anterior: 000010645 Material: METALICO Color:  Referencia:  Observacion: DECORACION EN LA ENTRADA Placa padre:  Tipo adquisicion : Entidad</v>
      </c>
      <c r="G15267" s="5"/>
    </row>
    <row r="15268" spans="1:7" ht="58.5" customHeight="1" x14ac:dyDescent="0.25">
      <c r="A15268" s="5" t="str">
        <f>"B0005231"</f>
        <v>B0005231</v>
      </c>
      <c r="B15268" s="5" t="str">
        <f>"SERRUCHO"</f>
        <v>SERRUCHO</v>
      </c>
      <c r="C15268" s="6">
        <v>1500</v>
      </c>
      <c r="D15268" s="5"/>
      <c r="E15268" s="5" t="str">
        <f t="shared" si="791"/>
        <v>MMTO CARPITENRIA - CARLOS ALBERTO PERNIA</v>
      </c>
      <c r="F15268" s="5" t="str">
        <f>"Descripcion:SERRUCHOS Estado: Inservible Placa anterior: 000010646 Material: METALICO Color:  Referencia:  Observacion: DECORACION EN LA ENTRADA Placa padre:  Tipo adquisicion : Entidad"</f>
        <v>Descripcion:SERRUCHOS Estado: Inservible Placa anterior: 000010646 Material: METALICO Color:  Referencia:  Observacion: DECORACION EN LA ENTRADA Placa padre:  Tipo adquisicion : Entidad</v>
      </c>
      <c r="G15268" s="5"/>
    </row>
    <row r="15269" spans="1:7" ht="58.5" customHeight="1" x14ac:dyDescent="0.25">
      <c r="A15269" s="5" t="str">
        <f>"B0005232"</f>
        <v>B0005232</v>
      </c>
      <c r="B15269" s="5" t="str">
        <f>"SERRUCHO"</f>
        <v>SERRUCHO</v>
      </c>
      <c r="C15269" s="6">
        <v>1500</v>
      </c>
      <c r="D15269" s="5"/>
      <c r="E15269" s="5" t="str">
        <f t="shared" si="791"/>
        <v>MMTO CARPITENRIA - CARLOS ALBERTO PERNIA</v>
      </c>
      <c r="F15269" s="5" t="str">
        <f>"Descripcion:SERRUCHOS Estado: Inservible Placa anterior: 000010644 Material: METALICO Color:  Referencia:  Observacion:  Placa padre:  Tipo adquisicion : Entidad"</f>
        <v>Descripcion:SERRUCHOS Estado: Inservible Placa anterior: 000010644 Material: METALICO Color:  Referencia:  Observacion:  Placa padre:  Tipo adquisicion : Entidad</v>
      </c>
      <c r="G15269" s="5"/>
    </row>
    <row r="15270" spans="1:7" ht="58.5" customHeight="1" x14ac:dyDescent="0.25">
      <c r="A15270" s="5" t="str">
        <f>"B0005233"</f>
        <v>B0005233</v>
      </c>
      <c r="B15270" s="5" t="str">
        <f>"SERRUCHO"</f>
        <v>SERRUCHO</v>
      </c>
      <c r="C15270" s="6">
        <v>1500</v>
      </c>
      <c r="D15270" s="5"/>
      <c r="E15270" s="5" t="str">
        <f t="shared" si="791"/>
        <v>MMTO CARPITENRIA - CARLOS ALBERTO PERNIA</v>
      </c>
      <c r="F15270" s="5" t="str">
        <f>"Descripcion:SERRUCHOS Estado: Inservible Placa anterior: 000010643 Material: METALICO Color:  Referencia:  Observacion:  Placa padre:  Tipo adquisicion : Entidad"</f>
        <v>Descripcion:SERRUCHOS Estado: Inservible Placa anterior: 000010643 Material: METALICO Color:  Referencia:  Observacion:  Placa padre:  Tipo adquisicion : Entidad</v>
      </c>
      <c r="G15270" s="5"/>
    </row>
    <row r="15271" spans="1:7" ht="58.5" customHeight="1" x14ac:dyDescent="0.25">
      <c r="A15271" s="5" t="str">
        <f>"B0005234"</f>
        <v>B0005234</v>
      </c>
      <c r="B15271" s="5" t="str">
        <f>"TENAZA EXTENSIBLE (OPICOLORO)"</f>
        <v>TENAZA EXTENSIBLE (OPICOLORO)</v>
      </c>
      <c r="C15271" s="6">
        <v>3000</v>
      </c>
      <c r="D15271" s="5"/>
      <c r="E15271" s="5" t="str">
        <f t="shared" si="791"/>
        <v>MMTO CARPITENRIA - CARLOS ALBERTO PERNIA</v>
      </c>
      <c r="F15271" s="5" t="str">
        <f>"Descripcion:TENAZA GRANDE Estado: Inservible Placa anterior: 000010657 Material: METALICO Color:  Referencia:  Observacion: DECORACION EN LA ENTRADA Placa padre:  Tipo adquisicion : Entidad"</f>
        <v>Descripcion:TENAZA GRANDE Estado: Inservible Placa anterior: 000010657 Material: METALICO Color:  Referencia:  Observacion: DECORACION EN LA ENTRADA Placa padre:  Tipo adquisicion : Entidad</v>
      </c>
      <c r="G15271" s="5"/>
    </row>
    <row r="15272" spans="1:7" ht="58.5" customHeight="1" x14ac:dyDescent="0.25">
      <c r="A15272" s="5" t="str">
        <f>"B0005235"</f>
        <v>B0005235</v>
      </c>
      <c r="B15272" s="5" t="str">
        <f>"MONITOR ESTANDAR (BALANZA) DE RECOGIDA DE SANGRE"</f>
        <v>MONITOR ESTANDAR (BALANZA) DE RECOGIDA DE SANGRE</v>
      </c>
      <c r="C15272" s="6">
        <v>2000</v>
      </c>
      <c r="D15272" s="5"/>
      <c r="E15272" s="5" t="str">
        <f t="shared" si="791"/>
        <v>MMTO CARPITENRIA - CARLOS ALBERTO PERNIA</v>
      </c>
      <c r="F15272" s="5" t="str">
        <f>"Descripcion:TENAZA PEQUEÑA Estado: Inservible Placa anterior: 000010656 Material: METALICO Color:  Referencia:  Observacion:  Placa padre:  Tipo adquisicion : Entidad"</f>
        <v>Descripcion:TENAZA PEQUEÑA Estado: Inservible Placa anterior: 000010656 Material: METALICO Color:  Referencia:  Observacion:  Placa padre:  Tipo adquisicion : Entidad</v>
      </c>
      <c r="G15272" s="5"/>
    </row>
    <row r="15273" spans="1:7" ht="58.5" customHeight="1" x14ac:dyDescent="0.25">
      <c r="A15273" s="5" t="str">
        <f>"B0005236"</f>
        <v>B0005236</v>
      </c>
      <c r="B15273" s="5" t="str">
        <f>"TIJERA"</f>
        <v>TIJERA</v>
      </c>
      <c r="C15273" s="6">
        <v>31150.45</v>
      </c>
      <c r="D15273" s="5"/>
      <c r="E15273" s="5" t="str">
        <f t="shared" si="791"/>
        <v>MMTO CARPITENRIA - CARLOS ALBERTO PERNIA</v>
      </c>
      <c r="F15273" s="5" t="str">
        <f>"Descripcion:TIJERAS DE AVIACION FATMAX RECTA (MANTENIMIENTO) Estado: Bueno Placa anterior: 000036854 Material: METALICO Color:  Referencia:  Observacion:  Placa padre:  Tipo adquisicion : Entidad"</f>
        <v>Descripcion:TIJERAS DE AVIACION FATMAX RECTA (MANTENIMIENTO) Estado: Bueno Placa anterior: 000036854 Material: METALICO Color:  Referencia:  Observacion:  Placa padre:  Tipo adquisicion : Entidad</v>
      </c>
      <c r="G15273" s="5"/>
    </row>
    <row r="15274" spans="1:7" ht="58.5" customHeight="1" x14ac:dyDescent="0.25">
      <c r="A15274" s="5" t="str">
        <f>"H0004853"</f>
        <v>H0004853</v>
      </c>
      <c r="B15274" s="5" t="str">
        <f>"LOCKER DE 2 COMPARTIMIENTOS"</f>
        <v>LOCKER DE 2 COMPARTIMIENTOS</v>
      </c>
      <c r="C15274" s="6">
        <v>38475</v>
      </c>
      <c r="D15274" s="5"/>
      <c r="E15274" s="5" t="str">
        <f t="shared" si="791"/>
        <v>MMTO CARPITENRIA - CARLOS ALBERTO PERNIA</v>
      </c>
      <c r="F15274" s="5" t="str">
        <f>"Descripcion:LOKERS DIMEN: 161X50X30 CM 1 GAVETA Y DOS COMPARTIMIENTO     Estado: Regular Placa anterior: 000018622 Material: METALICA Color: BEIS     Referencia:  Observacion: AUTORIZADO CONCILIAR EN CRUCE GENERAL Placa padre:  Tipo adquisicion : Entidad"</f>
        <v>Descripcion:LOKERS DIMEN: 161X50X30 CM 1 GAVETA Y DOS COMPARTIMIENTO     Estado: Regular Placa anterior: 000018622 Material: METALICA Color: BEIS     Referencia:  Observacion: AUTORIZADO CONCILIAR EN CRUCE GENERAL Placa padre:  Tipo adquisicion : Entidad</v>
      </c>
      <c r="G15274" s="5"/>
    </row>
    <row r="15275" spans="1:7" ht="58.5" customHeight="1" x14ac:dyDescent="0.25">
      <c r="A15275" s="5" t="str">
        <f>"H0004855"</f>
        <v>H0004855</v>
      </c>
      <c r="B15275" s="5" t="str">
        <f>"VITRINA DE 1 CUERPO"</f>
        <v>VITRINA DE 1 CUERPO</v>
      </c>
      <c r="C15275" s="6">
        <v>6875</v>
      </c>
      <c r="D15275" s="5"/>
      <c r="E15275" s="5" t="str">
        <f t="shared" si="791"/>
        <v>MMTO CARPITENRIA - CARLOS ALBERTO PERNIA</v>
      </c>
      <c r="F15275" s="5" t="str">
        <f>"Descripcion:VITRINA DE UN CUERPO, DIMENSIONES: 142X84X51 CM, CON 1 GAVETA Y DOS PUERTAS  Estado: Regular Placa anterior: 000002918 Material: METALICA  Color: BEIS Referencia:  Observacion:  Placa padre:  Tipo adquisicion : Entidad"</f>
        <v>Descripcion:VITRINA DE UN CUERPO, DIMENSIONES: 142X84X51 CM, CON 1 GAVETA Y DOS PUERTAS  Estado: Regular Placa anterior: 000002918 Material: METALICA  Color: BEIS Referencia:  Observacion:  Placa padre:  Tipo adquisicion : Entidad</v>
      </c>
      <c r="G15275" s="5"/>
    </row>
    <row r="15276" spans="1:7" ht="58.5" customHeight="1" x14ac:dyDescent="0.25">
      <c r="A15276" s="5" t="str">
        <f>"H0005501"</f>
        <v>H0005501</v>
      </c>
      <c r="B15276" s="5" t="str">
        <f>"NEVERA DE 66 LTS"</f>
        <v>NEVERA DE 66 LTS</v>
      </c>
      <c r="C15276" s="6">
        <v>85888.09</v>
      </c>
      <c r="D15276" s="5"/>
      <c r="E15276" s="5" t="str">
        <f t="shared" si="791"/>
        <v>MMTO CARPITENRIA - CARLOS ALBERTO PERNIA</v>
      </c>
      <c r="F15276" s="5" t="str">
        <f>"Descripcion:NEVERA MCA. ICASA DE VILLE II5 PIES Estado: Bueno Placa anterior: 000000271 Material: LAMINA COLD ROLL Color: BLANCA Referencia:  Observacion:  Placa padre:  Tipo adquisicion : Entidad"</f>
        <v>Descripcion:NEVERA MCA. ICASA DE VILLE II5 PIES Estado: Bueno Placa anterior: 000000271 Material: LAMINA COLD ROLL Color: BLANCA Referencia:  Observacion:  Placa padre:  Tipo adquisicion : Entidad</v>
      </c>
      <c r="G15276" s="5" t="str">
        <f>"DV-11-13"</f>
        <v>DV-11-13</v>
      </c>
    </row>
    <row r="15277" spans="1:7" ht="58.5" customHeight="1" x14ac:dyDescent="0.25">
      <c r="A15277" s="5" t="str">
        <f>"H0005504"</f>
        <v>H0005504</v>
      </c>
      <c r="B15277" s="5" t="str">
        <f>"ESCALERILLA DE 2 PASOS"</f>
        <v>ESCALERILLA DE 2 PASOS</v>
      </c>
      <c r="C15277" s="6">
        <v>4455</v>
      </c>
      <c r="D15277" s="5"/>
      <c r="E15277" s="5" t="str">
        <f t="shared" si="791"/>
        <v>MMTO CARPITENRIA - CARLOS ALBERTO PERNIA</v>
      </c>
      <c r="F15277" s="5" t="str">
        <f>"Descripcion:ESCALERA DOS PASOS      Estado: Regular Placa anterior: 000009445 Material: METALICA Y MADERA Color: GRIS Y MADERA Referencia:  Observacion: EL FUNCIONARIO MANIFIESTA QUE LO TRAJO DEL BASURERO  Placa padre:  Tipo adquisicion : Entidad"</f>
        <v>Descripcion:ESCALERA DOS PASOS      Estado: Regular Placa anterior: 000009445 Material: METALICA Y MADERA Color: GRIS Y MADERA Referencia:  Observacion: EL FUNCIONARIO MANIFIESTA QUE LO TRAJO DEL BASURERO  Placa padre:  Tipo adquisicion : Entidad</v>
      </c>
      <c r="G15277" s="5"/>
    </row>
    <row r="15278" spans="1:7" ht="58.5" customHeight="1" x14ac:dyDescent="0.25">
      <c r="A15278" s="5" t="str">
        <f>"H0005509"</f>
        <v>H0005509</v>
      </c>
      <c r="B15278" s="5" t="str">
        <f>"ESMERIL ELECTRICO DE MESA"</f>
        <v>ESMERIL ELECTRICO DE MESA</v>
      </c>
      <c r="C15278" s="6">
        <v>379900</v>
      </c>
      <c r="D15278" s="5" t="s">
        <v>744</v>
      </c>
      <c r="E15278" s="5" t="str">
        <f t="shared" si="791"/>
        <v>MMTO CARPITENRIA - CARLOS ALBERTO PERNIA</v>
      </c>
      <c r="F15278" s="5" t="str">
        <f>"Descripcion:ESMERIL PROFESIONAL DE BANCO DE 6 DW752     Estado: Bueno Placa anterior: 000038169 Material: HIERRO Color: AMARILLO Referencia:  Observacion:  Placa padre:  Tipo adquisicion : Entidad"</f>
        <v>Descripcion:ESMERIL PROFESIONAL DE BANCO DE 6 DW752     Estado: Bueno Placa anterior: 000038169 Material: HIERRO Color: AMARILLO Referencia:  Observacion:  Placa padre:  Tipo adquisicion : Entidad</v>
      </c>
      <c r="G15278" s="5" t="str">
        <f>"DW752-B3"</f>
        <v>DW752-B3</v>
      </c>
    </row>
    <row r="15279" spans="1:7" ht="58.5" customHeight="1" x14ac:dyDescent="0.25">
      <c r="A15279" s="5" t="str">
        <f>"H0005510"</f>
        <v>H0005510</v>
      </c>
      <c r="B15279" s="5" t="str">
        <f>"SIERRA PARA CORTE DE MADERA"</f>
        <v>SIERRA PARA CORTE DE MADERA</v>
      </c>
      <c r="C15279" s="6">
        <v>143514.5</v>
      </c>
      <c r="D15279" s="5"/>
      <c r="E15279" s="5" t="str">
        <f t="shared" si="791"/>
        <v>MMTO CARPITENRIA - CARLOS ALBERTO PERNIA</v>
      </c>
      <c r="F15279" s="5" t="str">
        <f>"Descripcion:SIERRA ELECTRICA PARA MADERA CON DISCO DE 14    Estado: Bueno Placa anterior: 000010678 Material: HIERRO  Color: AZUL Referencia:  Observacion: EL MOTOR ES DE OTRO EQUIPO, ARMARON LA SIERRA EN EL SITIO Placa padre:  Tipo adquisicion : Entidad"</f>
        <v>Descripcion:SIERRA ELECTRICA PARA MADERA CON DISCO DE 14    Estado: Bueno Placa anterior: 000010678 Material: HIERRO  Color: AZUL Referencia:  Observacion: EL MOTOR ES DE OTRO EQUIPO, ARMARON LA SIERRA EN EL SITIO Placa padre:  Tipo adquisicion : Entidad</v>
      </c>
      <c r="G15279" s="5"/>
    </row>
    <row r="15280" spans="1:7" ht="58.5" customHeight="1" x14ac:dyDescent="0.25">
      <c r="A15280" s="5" t="str">
        <f>"H0005512"</f>
        <v>H0005512</v>
      </c>
      <c r="B15280" s="5" t="str">
        <f>"CLAVADORA/GRAPADORA NEUMATICA"</f>
        <v>CLAVADORA/GRAPADORA NEUMATICA</v>
      </c>
      <c r="C15280" s="6">
        <v>151000.41</v>
      </c>
      <c r="D15280" s="5" t="s">
        <v>745</v>
      </c>
      <c r="E15280" s="5" t="str">
        <f t="shared" si="791"/>
        <v>MMTO CARPITENRIA - CARLOS ALBERTO PERNIA</v>
      </c>
      <c r="F15280" s="5" t="str">
        <f>"Descripcion:CLAVADORA    Estado: Bueno Placa anterior: 000036838 Material: METALICA Y PASTA Color: AZUL Referencia:  Observacion:  Placa padre:  Tipo adquisicion : Entidad"</f>
        <v>Descripcion:CLAVADORA    Estado: Bueno Placa anterior: 000036838 Material: METALICA Y PASTA Color: AZUL Referencia:  Observacion:  Placa padre:  Tipo adquisicion : Entidad</v>
      </c>
      <c r="G15280" s="5" t="str">
        <f>"SF5040"</f>
        <v>SF5040</v>
      </c>
    </row>
    <row r="15281" spans="1:7" ht="58.5" customHeight="1" x14ac:dyDescent="0.25">
      <c r="A15281" s="5" t="str">
        <f>"H0005513"</f>
        <v>H0005513</v>
      </c>
      <c r="B15281" s="5" t="str">
        <f>"CLAVADORA/GRAPADORA NEUMATICA"</f>
        <v>CLAVADORA/GRAPADORA NEUMATICA</v>
      </c>
      <c r="C15281" s="6">
        <v>80999.59</v>
      </c>
      <c r="D15281" s="5" t="s">
        <v>743</v>
      </c>
      <c r="E15281" s="5" t="str">
        <f t="shared" si="791"/>
        <v>MMTO CARPITENRIA - CARLOS ALBERTO PERNIA</v>
      </c>
      <c r="F15281" s="5" t="str">
        <f>"Descripcion:ENGRAPADORA   Estado: Bueno Placa anterior: 000036487 Material: HIERRO Color: AZUL, GRIS Y NEGRO Referencia:  Observacion: FUNCIONARIO AUTORIZA QUE SE CONCILIE CON PLACA 000036487 Placa padre:  Tipo adquisicion : Entidad"</f>
        <v>Descripcion:ENGRAPADORA   Estado: Bueno Placa anterior: 000036487 Material: HIERRO Color: AZUL, GRIS Y NEGRO Referencia:  Observacion: FUNCIONARIO AUTORIZA QUE SE CONCILIE CON PLACA 000036487 Placa padre:  Tipo adquisicion : Entidad</v>
      </c>
      <c r="G15281" s="5" t="str">
        <f>"8016"</f>
        <v>8016</v>
      </c>
    </row>
    <row r="15282" spans="1:7" ht="58.5" customHeight="1" x14ac:dyDescent="0.25">
      <c r="A15282" s="5" t="str">
        <f>"H0005514"</f>
        <v>H0005514</v>
      </c>
      <c r="B15282" s="5" t="str">
        <f>"LIJADORA ORBITAL PORTATIL ELECTRICA"</f>
        <v>LIJADORA ORBITAL PORTATIL ELECTRICA</v>
      </c>
      <c r="C15282" s="6">
        <v>209900.27</v>
      </c>
      <c r="D15282" s="5" t="s">
        <v>741</v>
      </c>
      <c r="E15282" s="5" t="str">
        <f t="shared" si="791"/>
        <v>MMTO CARPITENRIA - CARLOS ALBERTO PERNIA</v>
      </c>
      <c r="F15282" s="5" t="str">
        <f>"Descripcion:LIJADORA ORBITAL 1/4 PLIEGO D26441B Estado: Bueno Placa anterior: 000036500 Material: METALICA Y PLASTICO Color: AMARILLO Referencia:  Observacion:  Placa padre:  Tipo adquisicion : Entidad"</f>
        <v>Descripcion:LIJADORA ORBITAL 1/4 PLIEGO D26441B Estado: Bueno Placa anterior: 000036500 Material: METALICA Y PLASTICO Color: AMARILLO Referencia:  Observacion:  Placa padre:  Tipo adquisicion : Entidad</v>
      </c>
      <c r="G15282" s="5" t="str">
        <f>"D26441B"</f>
        <v>D26441B</v>
      </c>
    </row>
    <row r="15283" spans="1:7" ht="58.5" customHeight="1" x14ac:dyDescent="0.25">
      <c r="A15283" s="5" t="str">
        <f>"H0005516"</f>
        <v>H0005516</v>
      </c>
      <c r="B15283" s="5" t="str">
        <f>"SIERRA CALADORA"</f>
        <v>SIERRA CALADORA</v>
      </c>
      <c r="C15283" s="6">
        <v>319899.86</v>
      </c>
      <c r="D15283" s="5" t="s">
        <v>208</v>
      </c>
      <c r="E15283" s="5" t="str">
        <f t="shared" si="791"/>
        <v>MMTO CARPITENRIA - CARLOS ALBERTO PERNIA</v>
      </c>
      <c r="F15283" s="5" t="str">
        <f>"Descripcion:SIERRA CALADORA  Estado: Bueno Placa anterior: 000036556 Material: METALICO Y PASTA Color: AMARILLO Referencia:  Observacion:  Placa padre:  Tipo adquisicion : Entidad"</f>
        <v>Descripcion:SIERRA CALADORA  Estado: Bueno Placa anterior: 000036556 Material: METALICO Y PASTA Color: AMARILLO Referencia:  Observacion:  Placa padre:  Tipo adquisicion : Entidad</v>
      </c>
      <c r="G15283" s="5" t="str">
        <f>"DW300-B3"</f>
        <v>DW300-B3</v>
      </c>
    </row>
    <row r="15284" spans="1:7" ht="58.5" customHeight="1" x14ac:dyDescent="0.25">
      <c r="A15284" s="5" t="str">
        <f>"H0005517"</f>
        <v>H0005517</v>
      </c>
      <c r="B15284" s="5" t="str">
        <f>"PULIDORA (CORTE Y PULIDO)"</f>
        <v>PULIDORA (CORTE Y PULIDO)</v>
      </c>
      <c r="C15284" s="6">
        <v>663793</v>
      </c>
      <c r="D15284" s="5"/>
      <c r="E15284" s="5" t="str">
        <f t="shared" si="791"/>
        <v>MMTO CARPITENRIA - CARLOS ALBERTO PERNIA</v>
      </c>
      <c r="F15284" s="5" t="str">
        <f>"Descripcion:PULIDORA    Estado: Bueno Placa anterior: 000032673 Material: METALICO Y PASTA Color: AMARILLO Referencia:  Observacion:  Placa padre:  Tipo adquisicion : Entidad"</f>
        <v>Descripcion:PULIDORA    Estado: Bueno Placa anterior: 000032673 Material: METALICO Y PASTA Color: AMARILLO Referencia:  Observacion:  Placa padre:  Tipo adquisicion : Entidad</v>
      </c>
      <c r="G15284" s="5" t="str">
        <f>"DW4020-B3"</f>
        <v>DW4020-B3</v>
      </c>
    </row>
    <row r="15285" spans="1:7" ht="58.5" customHeight="1" x14ac:dyDescent="0.25">
      <c r="A15285" s="5" t="str">
        <f>"H0005520"</f>
        <v>H0005520</v>
      </c>
      <c r="B15285" s="5" t="str">
        <f>"COMPRESOR DE AIRE (HERRAMIENTA)"</f>
        <v>COMPRESOR DE AIRE (HERRAMIENTA)</v>
      </c>
      <c r="C15285" s="6">
        <v>1099999.8600000001</v>
      </c>
      <c r="D15285" s="5" t="s">
        <v>743</v>
      </c>
      <c r="E15285" s="5" t="str">
        <f t="shared" si="791"/>
        <v>MMTO CARPITENRIA - CARLOS ALBERTO PERNIA</v>
      </c>
      <c r="F15285" s="5" t="str">
        <f>"Descripcion:COMPRESOR DAEWOO DAC100C PARA PINTAR 100 LIBRAS, 2HP Estado: Bueno Placa anterior: 000036488 Material: METALICO Color: NEGRO Referencia:  Observacion:  Placa padre:  Tipo adquisicion : Entidad"</f>
        <v>Descripcion:COMPRESOR DAEWOO DAC100C PARA PINTAR 100 LIBRAS, 2HP Estado: Bueno Placa anterior: 000036488 Material: METALICO Color: NEGRO Referencia:  Observacion:  Placa padre:  Tipo adquisicion : Entidad</v>
      </c>
      <c r="G15285" s="5"/>
    </row>
    <row r="15286" spans="1:7" ht="58.5" customHeight="1" x14ac:dyDescent="0.25">
      <c r="A15286" s="5" t="str">
        <f>"H0007528"</f>
        <v>H0007528</v>
      </c>
      <c r="B15286" s="5" t="str">
        <f>"SILLA TIPO ESCAÑO (BANCA) MADERA"</f>
        <v>SILLA TIPO ESCAÑO (BANCA) MADERA</v>
      </c>
      <c r="C15286" s="6">
        <v>650000</v>
      </c>
      <c r="D15286" s="5"/>
      <c r="E15286" s="5" t="str">
        <f t="shared" si="791"/>
        <v>MMTO CARPITENRIA - CARLOS ALBERTO PERNIA</v>
      </c>
      <c r="F15286" s="5" t="str">
        <f>"Descripcion: . Estado: Bueno Placa anterior: 000026191 Material: MADERA Color:  Referencia:  Observacion:  Placa padre: Tipo adquisicion: Entidad"</f>
        <v>Descripcion: . Estado: Bueno Placa anterior: 000026191 Material: MADERA Color:  Referencia:  Observacion:  Placa padre: Tipo adquisicion: Entidad</v>
      </c>
      <c r="G15286" s="5"/>
    </row>
    <row r="15287" spans="1:7" ht="58.5" customHeight="1" x14ac:dyDescent="0.25">
      <c r="A15287" s="5" t="str">
        <f>"H0010339"</f>
        <v>H0010339</v>
      </c>
      <c r="B15287" s="5" t="str">
        <f>"BUTACO GIRATORIO SIN RUEDAS"</f>
        <v>BUTACO GIRATORIO SIN RUEDAS</v>
      </c>
      <c r="C15287" s="6">
        <v>9350</v>
      </c>
      <c r="D15287" s="5"/>
      <c r="E15287" s="5" t="str">
        <f t="shared" si="791"/>
        <v>MMTO CARPITENRIA - CARLOS ALBERTO PERNIA</v>
      </c>
      <c r="F15287" s="5" t="str">
        <f>"Descripcion: BUTACO GIRATORIO SIN ESPALDAR Estado: Bueno Placa anterior: 000008014 Material: METALICO Color: GRIS Y NEGRO Referencia:  Observacion:  Placa padre: Tipo adquisicion: Entidad"</f>
        <v>Descripcion: BUTACO GIRATORIO SIN ESPALDAR Estado: Bueno Placa anterior: 000008014 Material: METALICO Color: GRIS Y NEGRO Referencia:  Observacion:  Placa padre: Tipo adquisicion: Entidad</v>
      </c>
      <c r="G15287" s="5"/>
    </row>
    <row r="15288" spans="1:7" ht="58.5" customHeight="1" x14ac:dyDescent="0.25">
      <c r="A15288" s="5" t="str">
        <f>"H0022402"</f>
        <v>H0022402</v>
      </c>
      <c r="B15288" s="5" t="str">
        <f>"EXTRACTOR DE AIRE 18''"</f>
        <v>EXTRACTOR DE AIRE 18''</v>
      </c>
      <c r="C15288" s="6">
        <v>2204000</v>
      </c>
      <c r="D15288" s="5" t="s">
        <v>630</v>
      </c>
      <c r="E15288" s="5" t="str">
        <f t="shared" si="791"/>
        <v>MMTO CARPITENRIA - CARLOS ALBERTO PERNIA</v>
      </c>
      <c r="F15288" s="5"/>
      <c r="G15288" s="5" t="str">
        <f>"BV 2000 TD 220V"</f>
        <v>BV 2000 TD 220V</v>
      </c>
    </row>
    <row r="15289" spans="1:7" ht="58.5" customHeight="1" x14ac:dyDescent="0.25">
      <c r="A15289" s="5" t="str">
        <f>"H0024138"</f>
        <v>H0024138</v>
      </c>
      <c r="B15289" s="5" t="str">
        <f>"EXTINTORES 3700 grs DE AGENTE LIMPIO"</f>
        <v>EXTINTORES 3700 grs DE AGENTE LIMPIO</v>
      </c>
      <c r="C15289" s="6">
        <v>330000.01</v>
      </c>
      <c r="D15289" s="5" t="s">
        <v>458</v>
      </c>
      <c r="E15289" s="5" t="str">
        <f t="shared" si="791"/>
        <v>MMTO CARPITENRIA - CARLOS ALBERTO PERNIA</v>
      </c>
      <c r="F15289" s="5"/>
      <c r="G15289" s="5"/>
    </row>
    <row r="15290" spans="1:7" ht="58.5" customHeight="1" x14ac:dyDescent="0.25">
      <c r="A15290" s="5" t="str">
        <f>"H0025704"</f>
        <v>H0025704</v>
      </c>
      <c r="B15290" s="5" t="str">
        <f>"TALADRO PERCUTOR DE 1/2 18V 115NM"</f>
        <v>TALADRO PERCUTOR DE 1/2 18V 115NM</v>
      </c>
      <c r="C15290" s="6">
        <v>2699999</v>
      </c>
      <c r="D15290" s="5" t="s">
        <v>746</v>
      </c>
      <c r="E15290" s="5" t="str">
        <f t="shared" si="791"/>
        <v>MMTO CARPITENRIA - CARLOS ALBERTO PERNIA</v>
      </c>
      <c r="F15290" s="5"/>
      <c r="G15290" s="5"/>
    </row>
    <row r="15291" spans="1:7" ht="58.5" customHeight="1" x14ac:dyDescent="0.25">
      <c r="A15291" s="5" t="str">
        <f>"H0027619"</f>
        <v>H0027619</v>
      </c>
      <c r="B15291" s="5" t="str">
        <f>"COMPRESOR 1 HP 40 LT ELITE"</f>
        <v>COMPRESOR 1 HP 40 LT ELITE</v>
      </c>
      <c r="C15291" s="6">
        <v>848500.21</v>
      </c>
      <c r="D15291" s="5" t="s">
        <v>747</v>
      </c>
      <c r="E15291" s="5" t="str">
        <f t="shared" si="791"/>
        <v>MMTO CARPITENRIA - CARLOS ALBERTO PERNIA</v>
      </c>
      <c r="F15291" s="5"/>
      <c r="G15291" s="5"/>
    </row>
    <row r="15292" spans="1:7" ht="58.5" customHeight="1" x14ac:dyDescent="0.25">
      <c r="A15292" s="5" t="str">
        <f>"H0028304"</f>
        <v>H0028304</v>
      </c>
      <c r="B15292" s="5" t="str">
        <f>"CEPILLO PARA MADERA"</f>
        <v>CEPILLO PARA MADERA</v>
      </c>
      <c r="C15292" s="6">
        <v>523499.97</v>
      </c>
      <c r="D15292" s="5" t="s">
        <v>307</v>
      </c>
      <c r="E15292" s="5" t="str">
        <f t="shared" si="791"/>
        <v>MMTO CARPITENRIA - CARLOS ALBERTO PERNIA</v>
      </c>
      <c r="F15292" s="5"/>
      <c r="G15292" s="5"/>
    </row>
    <row r="15293" spans="1:7" ht="58.5" customHeight="1" x14ac:dyDescent="0.25">
      <c r="A15293" s="5" t="str">
        <f>"H0028305"</f>
        <v>H0028305</v>
      </c>
      <c r="B15293" s="5" t="str">
        <f>"SIERRA CIRCULAR 7.1/4"</f>
        <v>SIERRA CIRCULAR 7.1/4</v>
      </c>
      <c r="C15293" s="6">
        <v>598600.21</v>
      </c>
      <c r="D15293" s="5" t="s">
        <v>307</v>
      </c>
      <c r="E15293" s="5" t="str">
        <f t="shared" si="791"/>
        <v>MMTO CARPITENRIA - CARLOS ALBERTO PERNIA</v>
      </c>
      <c r="F15293" s="5"/>
      <c r="G15293" s="5"/>
    </row>
    <row r="15294" spans="1:7" ht="58.5" customHeight="1" x14ac:dyDescent="0.25">
      <c r="A15294" s="5" t="str">
        <f>"H0029532"</f>
        <v>H0029532</v>
      </c>
      <c r="B15294" s="5" t="str">
        <f>"REBORDEADORA PARA FORMICA"</f>
        <v>REBORDEADORA PARA FORMICA</v>
      </c>
      <c r="C15294" s="6">
        <v>617999.73</v>
      </c>
      <c r="D15294" s="5" t="s">
        <v>225</v>
      </c>
      <c r="E15294" s="5" t="str">
        <f t="shared" si="791"/>
        <v>MMTO CARPITENRIA - CARLOS ALBERTO PERNIA</v>
      </c>
      <c r="F15294" s="5"/>
      <c r="G15294" s="5"/>
    </row>
    <row r="15295" spans="1:7" ht="58.5" customHeight="1" x14ac:dyDescent="0.25">
      <c r="A15295" s="5" t="str">
        <f>"H0030109"</f>
        <v>H0030109</v>
      </c>
      <c r="B15295" s="5" t="str">
        <f>"LIJADORA DE PALMA 2 AMP"</f>
        <v>LIJADORA DE PALMA 2 AMP</v>
      </c>
      <c r="C15295" s="6">
        <v>340999.62</v>
      </c>
      <c r="D15295" s="5" t="s">
        <v>314</v>
      </c>
      <c r="E15295" s="5" t="str">
        <f t="shared" si="791"/>
        <v>MMTO CARPITENRIA - CARLOS ALBERTO PERNIA</v>
      </c>
      <c r="F15295" s="5"/>
      <c r="G15295" s="5"/>
    </row>
    <row r="15296" spans="1:7" ht="58.5" customHeight="1" x14ac:dyDescent="0.25">
      <c r="A15296" s="5" t="str">
        <f>"H0011747"</f>
        <v>H0011747</v>
      </c>
      <c r="B15296" s="5" t="str">
        <f>"AIRE ACONDICIONADO DE 36000 BTU PISO TECHO"</f>
        <v>AIRE ACONDICIONADO DE 36000 BTU PISO TECHO</v>
      </c>
      <c r="C15296" s="6">
        <v>3760900</v>
      </c>
      <c r="D15296" s="5"/>
      <c r="E15296" s="5" t="str">
        <f t="shared" ref="E15296:E15327" si="792">"ACTISALUD-ALMACEN MANTENIMIENTO - JEFREY CASTELLANOS Y JAIME HUMBERTO PARRA CARRILLO"</f>
        <v>ACTISALUD-ALMACEN MANTENIMIENTO - JEFREY CASTELLANOS Y JAIME HUMBERTO PARRA CARRILLO</v>
      </c>
      <c r="F15296" s="5" t="str">
        <f>"Descripcion: AIRE ACONDICIONADO MINI SPLIT MCA. LG DE 36000 BTU Estado: Bueno Placa anterior: 000027812 Material: PLASTICO Color: BEIGE Referencia: PLASMA GOLD Observacion:  Placa padre: Tipo adquisicion: Entidad"</f>
        <v>Descripcion: AIRE ACONDICIONADO MINI SPLIT MCA. LG DE 36000 BTU Estado: Bueno Placa anterior: 000027812 Material: PLASTICO Color: BEIGE Referencia: PLASMA GOLD Observacion:  Placa padre: Tipo adquisicion: Entidad</v>
      </c>
      <c r="G15296" s="5" t="str">
        <f>"S362CP"</f>
        <v>S362CP</v>
      </c>
    </row>
    <row r="15297" spans="1:7" ht="58.5" customHeight="1" x14ac:dyDescent="0.25">
      <c r="A15297" s="5" t="str">
        <f>"H0019699"</f>
        <v>H0019699</v>
      </c>
      <c r="B15297" s="5" t="str">
        <f>"ESTANTE METALICO 9 ENTREPAÑOS"</f>
        <v>ESTANTE METALICO 9 ENTREPAÑOS</v>
      </c>
      <c r="C15297" s="6">
        <v>6916.85</v>
      </c>
      <c r="D15297" s="5"/>
      <c r="E15297" s="5" t="str">
        <f t="shared" si="792"/>
        <v>ACTISALUD-ALMACEN MANTENIMIENTO - JEFREY CASTELLANOS Y JAIME HUMBERTO PARRA CARRILLO</v>
      </c>
      <c r="F15297" s="5" t="str">
        <f>"Descripcion: ESTANTE METALICO DE 9 ENTREPAÑOS Estado: Bueno Placa anterior: 000009714 Material: METALICO Color: GRIS Referencia:  Observacion:  Placa padre: Tipo adquisicion: Entidad"</f>
        <v>Descripcion: ESTANTE METALICO DE 9 ENTREPAÑOS Estado: Bueno Placa anterior: 000009714 Material: METALICO Color: GRIS Referencia:  Observacion:  Placa padre: Tipo adquisicion: Entidad</v>
      </c>
      <c r="G15297" s="5"/>
    </row>
    <row r="15298" spans="1:7" ht="58.5" customHeight="1" x14ac:dyDescent="0.25">
      <c r="A15298" s="5" t="str">
        <f>"H0019700"</f>
        <v>H0019700</v>
      </c>
      <c r="B15298" s="5" t="str">
        <f>"ESTANTE METALICO 9 ENTREPAÑOS"</f>
        <v>ESTANTE METALICO 9 ENTREPAÑOS</v>
      </c>
      <c r="C15298" s="6">
        <v>6916.85</v>
      </c>
      <c r="D15298" s="5"/>
      <c r="E15298" s="5" t="str">
        <f t="shared" si="792"/>
        <v>ACTISALUD-ALMACEN MANTENIMIENTO - JEFREY CASTELLANOS Y JAIME HUMBERTO PARRA CARRILLO</v>
      </c>
      <c r="F15298" s="5" t="str">
        <f>"Descripcion: ESTANTE METALICO DE 9 ENTREPAÑOS Estado: Bueno Placa anterior: 000009715 Material: METALICO Color: GRIS Referencia:  Observacion:  Placa padre: Tipo adquisicion: Entidad"</f>
        <v>Descripcion: ESTANTE METALICO DE 9 ENTREPAÑOS Estado: Bueno Placa anterior: 000009715 Material: METALICO Color: GRIS Referencia:  Observacion:  Placa padre: Tipo adquisicion: Entidad</v>
      </c>
      <c r="G15298" s="5"/>
    </row>
    <row r="15299" spans="1:7" ht="58.5" customHeight="1" x14ac:dyDescent="0.25">
      <c r="A15299" s="5" t="str">
        <f>"H0019701"</f>
        <v>H0019701</v>
      </c>
      <c r="B15299" s="5" t="str">
        <f>"ESTANTE METALICO 6 ENTREPAÑOS"</f>
        <v>ESTANTE METALICO 6 ENTREPAÑOS</v>
      </c>
      <c r="C15299" s="6">
        <v>6916.85</v>
      </c>
      <c r="D15299" s="5"/>
      <c r="E15299" s="5" t="str">
        <f t="shared" si="792"/>
        <v>ACTISALUD-ALMACEN MANTENIMIENTO - JEFREY CASTELLANOS Y JAIME HUMBERTO PARRA CARRILLO</v>
      </c>
      <c r="F15299" s="5" t="str">
        <f>"Descripcion: ESTANTE METALICO DE 9 ENTREPAÑOS Estado: Bueno Placa anterior: 000009716 Material: METALICO Color: GRIS Referencia:  Observacion:  Placa padre: Tipo adquisicion: Entidad"</f>
        <v>Descripcion: ESTANTE METALICO DE 9 ENTREPAÑOS Estado: Bueno Placa anterior: 000009716 Material: METALICO Color: GRIS Referencia:  Observacion:  Placa padre: Tipo adquisicion: Entidad</v>
      </c>
      <c r="G15299" s="5"/>
    </row>
    <row r="15300" spans="1:7" ht="58.5" customHeight="1" x14ac:dyDescent="0.25">
      <c r="A15300" s="5" t="str">
        <f>"H0019702"</f>
        <v>H0019702</v>
      </c>
      <c r="B15300" s="5" t="str">
        <f>"ESTANTE METALICO 6 ENTREPAÑOS"</f>
        <v>ESTANTE METALICO 6 ENTREPAÑOS</v>
      </c>
      <c r="C15300" s="6">
        <v>6916.85</v>
      </c>
      <c r="D15300" s="5"/>
      <c r="E15300" s="5" t="str">
        <f t="shared" si="792"/>
        <v>ACTISALUD-ALMACEN MANTENIMIENTO - JEFREY CASTELLANOS Y JAIME HUMBERTO PARRA CARRILLO</v>
      </c>
      <c r="F15300" s="5" t="str">
        <f>"Descripcion: ESTANTE METALICO DE 9 ENTREPAÑOS Estado: Bueno Placa anterior: 000009717 Material: METALICO Color: GRIS Referencia:  Observacion:  Placa padre: Tipo adquisicion: Entidad"</f>
        <v>Descripcion: ESTANTE METALICO DE 9 ENTREPAÑOS Estado: Bueno Placa anterior: 000009717 Material: METALICO Color: GRIS Referencia:  Observacion:  Placa padre: Tipo adquisicion: Entidad</v>
      </c>
      <c r="G15300" s="5"/>
    </row>
    <row r="15301" spans="1:7" ht="58.5" customHeight="1" x14ac:dyDescent="0.25">
      <c r="A15301" s="5" t="str">
        <f>"H0019703"</f>
        <v>H0019703</v>
      </c>
      <c r="B15301" s="5" t="str">
        <f>"ESTANTE METALICO 9 ENTREPAÑOS"</f>
        <v>ESTANTE METALICO 9 ENTREPAÑOS</v>
      </c>
      <c r="C15301" s="6">
        <v>6916.85</v>
      </c>
      <c r="D15301" s="5"/>
      <c r="E15301" s="5" t="str">
        <f t="shared" si="792"/>
        <v>ACTISALUD-ALMACEN MANTENIMIENTO - JEFREY CASTELLANOS Y JAIME HUMBERTO PARRA CARRILLO</v>
      </c>
      <c r="F15301" s="5" t="str">
        <f>"Descripcion: ESTANTE METALICO DE 9 ENTREPAÑOS Estado: Bueno Placa anterior: 000009718 Material: METALICO Color: GRIS Referencia:  Observacion:  Placa padre: Tipo adquisicion: Entidad"</f>
        <v>Descripcion: ESTANTE METALICO DE 9 ENTREPAÑOS Estado: Bueno Placa anterior: 000009718 Material: METALICO Color: GRIS Referencia:  Observacion:  Placa padre: Tipo adquisicion: Entidad</v>
      </c>
      <c r="G15301" s="5"/>
    </row>
    <row r="15302" spans="1:7" ht="58.5" customHeight="1" x14ac:dyDescent="0.25">
      <c r="A15302" s="5" t="str">
        <f>"H0019704"</f>
        <v>H0019704</v>
      </c>
      <c r="B15302" s="5" t="str">
        <f>"ESTANTE METALICO 9 ENTREPAÑOS"</f>
        <v>ESTANTE METALICO 9 ENTREPAÑOS</v>
      </c>
      <c r="C15302" s="6">
        <v>6916.85</v>
      </c>
      <c r="D15302" s="5"/>
      <c r="E15302" s="5" t="str">
        <f t="shared" si="792"/>
        <v>ACTISALUD-ALMACEN MANTENIMIENTO - JEFREY CASTELLANOS Y JAIME HUMBERTO PARRA CARRILLO</v>
      </c>
      <c r="F15302" s="5" t="str">
        <f>"Descripcion: ESTANTE METALICO DE 9 ENTREPAÑOS Estado: Bueno Placa anterior: 000009719 Material: METALICO Color: GRIS Referencia:  Observacion:  Placa padre: Tipo adquisicion: Entidad"</f>
        <v>Descripcion: ESTANTE METALICO DE 9 ENTREPAÑOS Estado: Bueno Placa anterior: 000009719 Material: METALICO Color: GRIS Referencia:  Observacion:  Placa padre: Tipo adquisicion: Entidad</v>
      </c>
      <c r="G15302" s="5"/>
    </row>
    <row r="15303" spans="1:7" ht="58.5" customHeight="1" x14ac:dyDescent="0.25">
      <c r="A15303" s="5" t="str">
        <f>"H0019705"</f>
        <v>H0019705</v>
      </c>
      <c r="B15303" s="5" t="str">
        <f>"ESTANTE METALICO 7 ENTREPAÑOS"</f>
        <v>ESTANTE METALICO 7 ENTREPAÑOS</v>
      </c>
      <c r="C15303" s="6">
        <v>6916.85</v>
      </c>
      <c r="D15303" s="5"/>
      <c r="E15303" s="5" t="str">
        <f t="shared" si="792"/>
        <v>ACTISALUD-ALMACEN MANTENIMIENTO - JEFREY CASTELLANOS Y JAIME HUMBERTO PARRA CARRILLO</v>
      </c>
      <c r="F15303" s="5" t="str">
        <f>"Descripcion: ESTANTE METALICO DE 7 ENTREPAÑOS Estado: Bueno Placa anterior: 000009720 Material: METALICO Color: GRIS Referencia:  Observacion:  Placa padre: Tipo adquisicion: Entidad"</f>
        <v>Descripcion: ESTANTE METALICO DE 7 ENTREPAÑOS Estado: Bueno Placa anterior: 000009720 Material: METALICO Color: GRIS Referencia:  Observacion:  Placa padre: Tipo adquisicion: Entidad</v>
      </c>
      <c r="G15303" s="5"/>
    </row>
    <row r="15304" spans="1:7" ht="58.5" customHeight="1" x14ac:dyDescent="0.25">
      <c r="A15304" s="5" t="str">
        <f>"H0019706"</f>
        <v>H0019706</v>
      </c>
      <c r="B15304" s="5" t="str">
        <f>"ESTANTE METALICO 6 ENTREPAÑOS"</f>
        <v>ESTANTE METALICO 6 ENTREPAÑOS</v>
      </c>
      <c r="C15304" s="6">
        <v>6916.85</v>
      </c>
      <c r="D15304" s="5"/>
      <c r="E15304" s="5" t="str">
        <f t="shared" si="792"/>
        <v>ACTISALUD-ALMACEN MANTENIMIENTO - JEFREY CASTELLANOS Y JAIME HUMBERTO PARRA CARRILLO</v>
      </c>
      <c r="F15304" s="5" t="str">
        <f>"Descripcion: ESTANTE METALICO DE 6 ENTREPAÑOS Estado: Bueno Placa anterior: 000009721 Material: METALICO Color: BEIGE Referencia:  Observacion:  Placa padre: Tipo adquisicion: Entidad"</f>
        <v>Descripcion: ESTANTE METALICO DE 6 ENTREPAÑOS Estado: Bueno Placa anterior: 000009721 Material: METALICO Color: BEIGE Referencia:  Observacion:  Placa padre: Tipo adquisicion: Entidad</v>
      </c>
      <c r="G15304" s="5"/>
    </row>
    <row r="15305" spans="1:7" ht="58.5" customHeight="1" x14ac:dyDescent="0.25">
      <c r="A15305" s="5" t="str">
        <f>"H0019707"</f>
        <v>H0019707</v>
      </c>
      <c r="B15305" s="5" t="str">
        <f>"ESTANTE METALICO 6 ENTREPAÑOS"</f>
        <v>ESTANTE METALICO 6 ENTREPAÑOS</v>
      </c>
      <c r="C15305" s="6">
        <v>6916.85</v>
      </c>
      <c r="D15305" s="5"/>
      <c r="E15305" s="5" t="str">
        <f t="shared" si="792"/>
        <v>ACTISALUD-ALMACEN MANTENIMIENTO - JEFREY CASTELLANOS Y JAIME HUMBERTO PARRA CARRILLO</v>
      </c>
      <c r="F15305" s="5" t="str">
        <f>"Descripcion: ESTANTE METALICO DE 6 ENTREPAÑOS Estado: Bueno Placa anterior: 000009722 Material: METALICO Color: BEIGE Referencia:  Observacion:  Placa padre: Tipo adquisicion: Entidad"</f>
        <v>Descripcion: ESTANTE METALICO DE 6 ENTREPAÑOS Estado: Bueno Placa anterior: 000009722 Material: METALICO Color: BEIGE Referencia:  Observacion:  Placa padre: Tipo adquisicion: Entidad</v>
      </c>
      <c r="G15305" s="5"/>
    </row>
    <row r="15306" spans="1:7" ht="58.5" customHeight="1" x14ac:dyDescent="0.25">
      <c r="A15306" s="5" t="str">
        <f>"H0019708"</f>
        <v>H0019708</v>
      </c>
      <c r="B15306" s="5" t="str">
        <f>"ESTANTE METALICO 6 ENTREPAÑOS"</f>
        <v>ESTANTE METALICO 6 ENTREPAÑOS</v>
      </c>
      <c r="C15306" s="6">
        <v>6916.85</v>
      </c>
      <c r="D15306" s="5"/>
      <c r="E15306" s="5" t="str">
        <f t="shared" si="792"/>
        <v>ACTISALUD-ALMACEN MANTENIMIENTO - JEFREY CASTELLANOS Y JAIME HUMBERTO PARRA CARRILLO</v>
      </c>
      <c r="F15306" s="5" t="str">
        <f>"Descripcion: ESTANTE METALICO DE 6 ENTREPAÑOS CON UN GABETERO Estado: Bueno Placa anterior: 000009723 Material: METALICO Color: BEIGE Referencia:  Observacion:  Placa padre: Tipo adquisicion: Entidad"</f>
        <v>Descripcion: ESTANTE METALICO DE 6 ENTREPAÑOS CON UN GABETERO Estado: Bueno Placa anterior: 000009723 Material: METALICO Color: BEIGE Referencia:  Observacion:  Placa padre: Tipo adquisicion: Entidad</v>
      </c>
      <c r="G15306" s="5"/>
    </row>
    <row r="15307" spans="1:7" ht="58.5" customHeight="1" x14ac:dyDescent="0.25">
      <c r="A15307" s="5" t="str">
        <f>"H0019709"</f>
        <v>H0019709</v>
      </c>
      <c r="B15307" s="5" t="str">
        <f>"ESTANTE METALICO 6 ENTREPAÑOS"</f>
        <v>ESTANTE METALICO 6 ENTREPAÑOS</v>
      </c>
      <c r="C15307" s="6">
        <v>6916.85</v>
      </c>
      <c r="D15307" s="5"/>
      <c r="E15307" s="5" t="str">
        <f t="shared" si="792"/>
        <v>ACTISALUD-ALMACEN MANTENIMIENTO - JEFREY CASTELLANOS Y JAIME HUMBERTO PARRA CARRILLO</v>
      </c>
      <c r="F15307" s="5" t="str">
        <f>"Descripcion: ESTANTE METALICO DE 6 ENTREPAÑOS Estado: Bueno Placa anterior: 000009724 Material: METALICO Color: BEIGE Referencia:  Observacion:  Placa padre: Tipo adquisicion: Entidad"</f>
        <v>Descripcion: ESTANTE METALICO DE 6 ENTREPAÑOS Estado: Bueno Placa anterior: 000009724 Material: METALICO Color: BEIGE Referencia:  Observacion:  Placa padre: Tipo adquisicion: Entidad</v>
      </c>
      <c r="G15307" s="5"/>
    </row>
    <row r="15308" spans="1:7" ht="58.5" customHeight="1" x14ac:dyDescent="0.25">
      <c r="A15308" s="5" t="str">
        <f>"H0019710"</f>
        <v>H0019710</v>
      </c>
      <c r="B15308" s="5" t="str">
        <f>"ESTANTE METALICO 7 ENTREPAÑOS"</f>
        <v>ESTANTE METALICO 7 ENTREPAÑOS</v>
      </c>
      <c r="C15308" s="6">
        <v>6916.85</v>
      </c>
      <c r="D15308" s="5"/>
      <c r="E15308" s="5" t="str">
        <f t="shared" si="792"/>
        <v>ACTISALUD-ALMACEN MANTENIMIENTO - JEFREY CASTELLANOS Y JAIME HUMBERTO PARRA CARRILLO</v>
      </c>
      <c r="F15308" s="5" t="str">
        <f>"Descripcion: ESTANTE METALICO DE 7 ENTREPAÑOS Estado: Bueno Placa anterior: 000009725 Material: METALICO Color: GRIS Referencia:  Observacion:  Placa padre: Tipo adquisicion: Entidad"</f>
        <v>Descripcion: ESTANTE METALICO DE 7 ENTREPAÑOS Estado: Bueno Placa anterior: 000009725 Material: METALICO Color: GRIS Referencia:  Observacion:  Placa padre: Tipo adquisicion: Entidad</v>
      </c>
      <c r="G15308" s="5"/>
    </row>
    <row r="15309" spans="1:7" ht="58.5" customHeight="1" x14ac:dyDescent="0.25">
      <c r="A15309" s="5" t="str">
        <f>"H0019711"</f>
        <v>H0019711</v>
      </c>
      <c r="B15309" s="5" t="str">
        <f>"ESTANTE METALICO 6 ENTREPAÑOS"</f>
        <v>ESTANTE METALICO 6 ENTREPAÑOS</v>
      </c>
      <c r="C15309" s="6">
        <v>6916.85</v>
      </c>
      <c r="D15309" s="5"/>
      <c r="E15309" s="5" t="str">
        <f t="shared" si="792"/>
        <v>ACTISALUD-ALMACEN MANTENIMIENTO - JEFREY CASTELLANOS Y JAIME HUMBERTO PARRA CARRILLO</v>
      </c>
      <c r="F15309" s="5" t="str">
        <f>"Descripcion: ESTANTE METALICO DE 6 ENTREPAÑOS Estado: Bueno Placa anterior: 000009726 Material: METALICO Color: GRIS Referencia:  Observacion:  Placa padre: Tipo adquisicion: Entidad"</f>
        <v>Descripcion: ESTANTE METALICO DE 6 ENTREPAÑOS Estado: Bueno Placa anterior: 000009726 Material: METALICO Color: GRIS Referencia:  Observacion:  Placa padre: Tipo adquisicion: Entidad</v>
      </c>
      <c r="G15309" s="5"/>
    </row>
    <row r="15310" spans="1:7" ht="58.5" customHeight="1" x14ac:dyDescent="0.25">
      <c r="A15310" s="5" t="str">
        <f>"H0019712"</f>
        <v>H0019712</v>
      </c>
      <c r="B15310" s="5" t="str">
        <f>"ESTANTE METALICO 10 ENTREPAÑOS"</f>
        <v>ESTANTE METALICO 10 ENTREPAÑOS</v>
      </c>
      <c r="C15310" s="6">
        <v>6916.85</v>
      </c>
      <c r="D15310" s="5"/>
      <c r="E15310" s="5" t="str">
        <f t="shared" si="792"/>
        <v>ACTISALUD-ALMACEN MANTENIMIENTO - JEFREY CASTELLANOS Y JAIME HUMBERTO PARRA CARRILLO</v>
      </c>
      <c r="F15310" s="5" t="str">
        <f>"Descripcion: ESTANTE METALICO DE 10 ENTREPAÑOS Estado: Bueno Placa anterior: 000009727 Material: METALICO Color: GRIS Referencia:  Observacion:  Placa padre: Tipo adquisicion: Entidad"</f>
        <v>Descripcion: ESTANTE METALICO DE 10 ENTREPAÑOS Estado: Bueno Placa anterior: 000009727 Material: METALICO Color: GRIS Referencia:  Observacion:  Placa padre: Tipo adquisicion: Entidad</v>
      </c>
      <c r="G15310" s="5"/>
    </row>
    <row r="15311" spans="1:7" ht="58.5" customHeight="1" x14ac:dyDescent="0.25">
      <c r="A15311" s="5" t="str">
        <f>"H0019713"</f>
        <v>H0019713</v>
      </c>
      <c r="B15311" s="5" t="str">
        <f t="shared" ref="B15311:B15320" si="793">"ESTANTE METALICO 6 ENTREPAÑOS"</f>
        <v>ESTANTE METALICO 6 ENTREPAÑOS</v>
      </c>
      <c r="C15311" s="6">
        <v>6916.85</v>
      </c>
      <c r="D15311" s="5"/>
      <c r="E15311" s="5" t="str">
        <f t="shared" si="792"/>
        <v>ACTISALUD-ALMACEN MANTENIMIENTO - JEFREY CASTELLANOS Y JAIME HUMBERTO PARRA CARRILLO</v>
      </c>
      <c r="F15311" s="5" t="str">
        <f>"Descripcion: ESTANTE METALICO DE 6 ENTREPAÑOS Estado: Bueno Placa anterior: 000009728 Material: METALICO Color: GRIS Referencia:  Observacion:  Placa padre: Tipo adquisicion: Entidad"</f>
        <v>Descripcion: ESTANTE METALICO DE 6 ENTREPAÑOS Estado: Bueno Placa anterior: 000009728 Material: METALICO Color: GRIS Referencia:  Observacion:  Placa padre: Tipo adquisicion: Entidad</v>
      </c>
      <c r="G15311" s="5"/>
    </row>
    <row r="15312" spans="1:7" ht="58.5" customHeight="1" x14ac:dyDescent="0.25">
      <c r="A15312" s="5" t="str">
        <f>"H0019714"</f>
        <v>H0019714</v>
      </c>
      <c r="B15312" s="5" t="str">
        <f t="shared" si="793"/>
        <v>ESTANTE METALICO 6 ENTREPAÑOS</v>
      </c>
      <c r="C15312" s="6">
        <v>6916.85</v>
      </c>
      <c r="D15312" s="5"/>
      <c r="E15312" s="5" t="str">
        <f t="shared" si="792"/>
        <v>ACTISALUD-ALMACEN MANTENIMIENTO - JEFREY CASTELLANOS Y JAIME HUMBERTO PARRA CARRILLO</v>
      </c>
      <c r="F15312" s="5" t="str">
        <f>"Descripcion: ESTANTE METALICO DE 6 ENTREPAÑOS Estado: Bueno Placa anterior: 000009729 Material: METALICO Color: GRIS Referencia:  Observacion:  Placa padre: Tipo adquisicion: Entidad"</f>
        <v>Descripcion: ESTANTE METALICO DE 6 ENTREPAÑOS Estado: Bueno Placa anterior: 000009729 Material: METALICO Color: GRIS Referencia:  Observacion:  Placa padre: Tipo adquisicion: Entidad</v>
      </c>
      <c r="G15312" s="5"/>
    </row>
    <row r="15313" spans="1:7" ht="58.5" customHeight="1" x14ac:dyDescent="0.25">
      <c r="A15313" s="5" t="str">
        <f>"H0019715"</f>
        <v>H0019715</v>
      </c>
      <c r="B15313" s="5" t="str">
        <f t="shared" si="793"/>
        <v>ESTANTE METALICO 6 ENTREPAÑOS</v>
      </c>
      <c r="C15313" s="6">
        <v>6916.85</v>
      </c>
      <c r="D15313" s="5"/>
      <c r="E15313" s="5" t="str">
        <f t="shared" si="792"/>
        <v>ACTISALUD-ALMACEN MANTENIMIENTO - JEFREY CASTELLANOS Y JAIME HUMBERTO PARRA CARRILLO</v>
      </c>
      <c r="F15313" s="5" t="str">
        <f>"Descripcion: ESTANTE METALICO DE 6 ENTREPAÑOS Estado: Bueno Placa anterior: 000009730 Material: METALICO Color: GRIS Referencia:  Observacion:  Placa padre: Tipo adquisicion: Entidad"</f>
        <v>Descripcion: ESTANTE METALICO DE 6 ENTREPAÑOS Estado: Bueno Placa anterior: 000009730 Material: METALICO Color: GRIS Referencia:  Observacion:  Placa padre: Tipo adquisicion: Entidad</v>
      </c>
      <c r="G15313" s="5"/>
    </row>
    <row r="15314" spans="1:7" ht="58.5" customHeight="1" x14ac:dyDescent="0.25">
      <c r="A15314" s="5" t="str">
        <f>"H0019716"</f>
        <v>H0019716</v>
      </c>
      <c r="B15314" s="5" t="str">
        <f t="shared" si="793"/>
        <v>ESTANTE METALICO 6 ENTREPAÑOS</v>
      </c>
      <c r="C15314" s="6">
        <v>6916.85</v>
      </c>
      <c r="D15314" s="5"/>
      <c r="E15314" s="5" t="str">
        <f t="shared" si="792"/>
        <v>ACTISALUD-ALMACEN MANTENIMIENTO - JEFREY CASTELLANOS Y JAIME HUMBERTO PARRA CARRILLO</v>
      </c>
      <c r="F15314" s="5" t="str">
        <f>"Descripcion: ESTANTE METALICO DE 6 ENTREPAÑOS Estado: Bueno Placa anterior: 000009731 Material: METALICO Color: GRIS Referencia:  Observacion:  Placa padre: Tipo adquisicion: Entidad"</f>
        <v>Descripcion: ESTANTE METALICO DE 6 ENTREPAÑOS Estado: Bueno Placa anterior: 000009731 Material: METALICO Color: GRIS Referencia:  Observacion:  Placa padre: Tipo adquisicion: Entidad</v>
      </c>
      <c r="G15314" s="5"/>
    </row>
    <row r="15315" spans="1:7" ht="58.5" customHeight="1" x14ac:dyDescent="0.25">
      <c r="A15315" s="5" t="str">
        <f>"H0019717"</f>
        <v>H0019717</v>
      </c>
      <c r="B15315" s="5" t="str">
        <f t="shared" si="793"/>
        <v>ESTANTE METALICO 6 ENTREPAÑOS</v>
      </c>
      <c r="C15315" s="6">
        <v>6916.85</v>
      </c>
      <c r="D15315" s="5"/>
      <c r="E15315" s="5" t="str">
        <f t="shared" si="792"/>
        <v>ACTISALUD-ALMACEN MANTENIMIENTO - JEFREY CASTELLANOS Y JAIME HUMBERTO PARRA CARRILLO</v>
      </c>
      <c r="F15315" s="5" t="str">
        <f>"Descripcion: ESTANTE METALICO DE 6 ENTREPAÑOS Estado: Bueno Placa anterior: 000009732 Material: METALICO Color: GRIS Referencia:  Observacion:  Placa padre: Tipo adquisicion: Entidad"</f>
        <v>Descripcion: ESTANTE METALICO DE 6 ENTREPAÑOS Estado: Bueno Placa anterior: 000009732 Material: METALICO Color: GRIS Referencia:  Observacion:  Placa padre: Tipo adquisicion: Entidad</v>
      </c>
      <c r="G15315" s="5"/>
    </row>
    <row r="15316" spans="1:7" ht="58.5" customHeight="1" x14ac:dyDescent="0.25">
      <c r="A15316" s="5" t="str">
        <f>"H0019718"</f>
        <v>H0019718</v>
      </c>
      <c r="B15316" s="5" t="str">
        <f t="shared" si="793"/>
        <v>ESTANTE METALICO 6 ENTREPAÑOS</v>
      </c>
      <c r="C15316" s="6">
        <v>6916.85</v>
      </c>
      <c r="D15316" s="5"/>
      <c r="E15316" s="5" t="str">
        <f t="shared" si="792"/>
        <v>ACTISALUD-ALMACEN MANTENIMIENTO - JEFREY CASTELLANOS Y JAIME HUMBERTO PARRA CARRILLO</v>
      </c>
      <c r="F15316" s="5" t="str">
        <f>"Descripcion: ESTANTE METALICO DE 6 ENTREPAÑOS Estado: Bueno Placa anterior: 000009733 Material: METALICO Color: GRIS Referencia:  Observacion:  Placa padre: Tipo adquisicion: Entidad"</f>
        <v>Descripcion: ESTANTE METALICO DE 6 ENTREPAÑOS Estado: Bueno Placa anterior: 000009733 Material: METALICO Color: GRIS Referencia:  Observacion:  Placa padre: Tipo adquisicion: Entidad</v>
      </c>
      <c r="G15316" s="5"/>
    </row>
    <row r="15317" spans="1:7" ht="58.5" customHeight="1" x14ac:dyDescent="0.25">
      <c r="A15317" s="5" t="str">
        <f>"H0019719"</f>
        <v>H0019719</v>
      </c>
      <c r="B15317" s="5" t="str">
        <f t="shared" si="793"/>
        <v>ESTANTE METALICO 6 ENTREPAÑOS</v>
      </c>
      <c r="C15317" s="6">
        <v>6916.85</v>
      </c>
      <c r="D15317" s="5"/>
      <c r="E15317" s="5" t="str">
        <f t="shared" si="792"/>
        <v>ACTISALUD-ALMACEN MANTENIMIENTO - JEFREY CASTELLANOS Y JAIME HUMBERTO PARRA CARRILLO</v>
      </c>
      <c r="F15317" s="5" t="str">
        <f>"Descripcion: ESTANTE METALICO DE 6 ENTREPAÑOS Estado: Bueno Placa anterior: 000009734 Material: METALICO Color: GRIS Referencia:  Observacion:  Placa padre: Tipo adquisicion: Entidad"</f>
        <v>Descripcion: ESTANTE METALICO DE 6 ENTREPAÑOS Estado: Bueno Placa anterior: 000009734 Material: METALICO Color: GRIS Referencia:  Observacion:  Placa padre: Tipo adquisicion: Entidad</v>
      </c>
      <c r="G15317" s="5"/>
    </row>
    <row r="15318" spans="1:7" ht="58.5" customHeight="1" x14ac:dyDescent="0.25">
      <c r="A15318" s="5" t="str">
        <f>"H0019720"</f>
        <v>H0019720</v>
      </c>
      <c r="B15318" s="5" t="str">
        <f t="shared" si="793"/>
        <v>ESTANTE METALICO 6 ENTREPAÑOS</v>
      </c>
      <c r="C15318" s="6">
        <v>6916.85</v>
      </c>
      <c r="D15318" s="5"/>
      <c r="E15318" s="5" t="str">
        <f t="shared" si="792"/>
        <v>ACTISALUD-ALMACEN MANTENIMIENTO - JEFREY CASTELLANOS Y JAIME HUMBERTO PARRA CARRILLO</v>
      </c>
      <c r="F15318" s="5" t="str">
        <f>"Descripcion: ESTANTE METALICO DE 6 ENTREPAÑOS Estado: Bueno Placa anterior: 000009735 Material: METALICO Color: GRIS Referencia:  Observacion:  Placa padre: Tipo adquisicion: Entidad"</f>
        <v>Descripcion: ESTANTE METALICO DE 6 ENTREPAÑOS Estado: Bueno Placa anterior: 000009735 Material: METALICO Color: GRIS Referencia:  Observacion:  Placa padre: Tipo adquisicion: Entidad</v>
      </c>
      <c r="G15318" s="5"/>
    </row>
    <row r="15319" spans="1:7" ht="58.5" customHeight="1" x14ac:dyDescent="0.25">
      <c r="A15319" s="5" t="str">
        <f>"H0019721"</f>
        <v>H0019721</v>
      </c>
      <c r="B15319" s="5" t="str">
        <f t="shared" si="793"/>
        <v>ESTANTE METALICO 6 ENTREPAÑOS</v>
      </c>
      <c r="C15319" s="6">
        <v>6916.85</v>
      </c>
      <c r="D15319" s="5"/>
      <c r="E15319" s="5" t="str">
        <f t="shared" si="792"/>
        <v>ACTISALUD-ALMACEN MANTENIMIENTO - JEFREY CASTELLANOS Y JAIME HUMBERTO PARRA CARRILLO</v>
      </c>
      <c r="F15319" s="5" t="str">
        <f>"Descripcion: ESTANTE METALICO DE 6 ENTREPAÑOS Estado: Bueno Placa anterior: 000009736 Material: METALICO Color: GRIS Referencia:  Observacion:  Placa padre: Tipo adquisicion: Entidad"</f>
        <v>Descripcion: ESTANTE METALICO DE 6 ENTREPAÑOS Estado: Bueno Placa anterior: 000009736 Material: METALICO Color: GRIS Referencia:  Observacion:  Placa padre: Tipo adquisicion: Entidad</v>
      </c>
      <c r="G15319" s="5"/>
    </row>
    <row r="15320" spans="1:7" ht="58.5" customHeight="1" x14ac:dyDescent="0.25">
      <c r="A15320" s="5" t="str">
        <f>"H0019722"</f>
        <v>H0019722</v>
      </c>
      <c r="B15320" s="5" t="str">
        <f t="shared" si="793"/>
        <v>ESTANTE METALICO 6 ENTREPAÑOS</v>
      </c>
      <c r="C15320" s="6">
        <v>6916.85</v>
      </c>
      <c r="D15320" s="5"/>
      <c r="E15320" s="5" t="str">
        <f t="shared" si="792"/>
        <v>ACTISALUD-ALMACEN MANTENIMIENTO - JEFREY CASTELLANOS Y JAIME HUMBERTO PARRA CARRILLO</v>
      </c>
      <c r="F15320" s="5" t="str">
        <f>"Descripcion: ESTANTE METALICO DE 6 ENTREPAÑOS Estado: Bueno Placa anterior: 000009737 Material: METALICO Color: GRIS Referencia:  Observacion:  Placa padre: Tipo adquisicion: Entidad"</f>
        <v>Descripcion: ESTANTE METALICO DE 6 ENTREPAÑOS Estado: Bueno Placa anterior: 000009737 Material: METALICO Color: GRIS Referencia:  Observacion:  Placa padre: Tipo adquisicion: Entidad</v>
      </c>
      <c r="G15320" s="5"/>
    </row>
    <row r="15321" spans="1:7" ht="58.5" customHeight="1" x14ac:dyDescent="0.25">
      <c r="A15321" s="5" t="str">
        <f>"H0019723"</f>
        <v>H0019723</v>
      </c>
      <c r="B15321" s="5" t="str">
        <f>"ESTANTE METALICO 7 ENTREPAÑOS"</f>
        <v>ESTANTE METALICO 7 ENTREPAÑOS</v>
      </c>
      <c r="C15321" s="6">
        <v>6916.85</v>
      </c>
      <c r="D15321" s="5"/>
      <c r="E15321" s="5" t="str">
        <f t="shared" si="792"/>
        <v>ACTISALUD-ALMACEN MANTENIMIENTO - JEFREY CASTELLANOS Y JAIME HUMBERTO PARRA CARRILLO</v>
      </c>
      <c r="F15321" s="5" t="str">
        <f>"Descripcion: ESTANTE METALICO DE 7 ENTREPAÑOS Y ESPALDAR CON 2 CUERPOS Estado: Bueno Placa anterior: 000009738 Material: METALICO Color: GRIS Referencia:  Observacion:  Placa padre: Tipo adquisicion: Entidad"</f>
        <v>Descripcion: ESTANTE METALICO DE 7 ENTREPAÑOS Y ESPALDAR CON 2 CUERPOS Estado: Bueno Placa anterior: 000009738 Material: METALICO Color: GRIS Referencia:  Observacion:  Placa padre: Tipo adquisicion: Entidad</v>
      </c>
      <c r="G15321" s="5"/>
    </row>
    <row r="15322" spans="1:7" ht="58.5" customHeight="1" x14ac:dyDescent="0.25">
      <c r="A15322" s="5" t="str">
        <f>"H0019724"</f>
        <v>H0019724</v>
      </c>
      <c r="B15322" s="5" t="str">
        <f>"ESTANTE METALICO 4 ENTREPAÑOS"</f>
        <v>ESTANTE METALICO 4 ENTREPAÑOS</v>
      </c>
      <c r="C15322" s="6">
        <v>6916.85</v>
      </c>
      <c r="D15322" s="5"/>
      <c r="E15322" s="5" t="str">
        <f t="shared" si="792"/>
        <v>ACTISALUD-ALMACEN MANTENIMIENTO - JEFREY CASTELLANOS Y JAIME HUMBERTO PARRA CARRILLO</v>
      </c>
      <c r="F15322" s="5" t="str">
        <f>"Descripcion: ESTANTE METALICO DE 4 ENTREPAÑOS Estado: Bueno Placa anterior: 000009739 Material: METALICO Color: GRIS Referencia:  Observacion:  Placa padre: Tipo adquisicion: Entidad"</f>
        <v>Descripcion: ESTANTE METALICO DE 4 ENTREPAÑOS Estado: Bueno Placa anterior: 000009739 Material: METALICO Color: GRIS Referencia:  Observacion:  Placa padre: Tipo adquisicion: Entidad</v>
      </c>
      <c r="G15322" s="5"/>
    </row>
    <row r="15323" spans="1:7" ht="58.5" customHeight="1" x14ac:dyDescent="0.25">
      <c r="A15323" s="5" t="str">
        <f>"H0019725"</f>
        <v>H0019725</v>
      </c>
      <c r="B15323" s="5" t="str">
        <f>"ESTANTE METALICO 6 ENTREPAÑOS"</f>
        <v>ESTANTE METALICO 6 ENTREPAÑOS</v>
      </c>
      <c r="C15323" s="6">
        <v>6916.85</v>
      </c>
      <c r="D15323" s="5"/>
      <c r="E15323" s="5" t="str">
        <f t="shared" si="792"/>
        <v>ACTISALUD-ALMACEN MANTENIMIENTO - JEFREY CASTELLANOS Y JAIME HUMBERTO PARRA CARRILLO</v>
      </c>
      <c r="F15323" s="5" t="str">
        <f>"Descripcion: ESTANTE METALICO DE 6 ENTREPAÑOS Estado: Bueno Placa anterior: 000009740 Material: METALICO Color: GRIS Referencia:  Observacion:  Placa padre: Tipo adquisicion: Entidad"</f>
        <v>Descripcion: ESTANTE METALICO DE 6 ENTREPAÑOS Estado: Bueno Placa anterior: 000009740 Material: METALICO Color: GRIS Referencia:  Observacion:  Placa padre: Tipo adquisicion: Entidad</v>
      </c>
      <c r="G15323" s="5"/>
    </row>
    <row r="15324" spans="1:7" ht="58.5" customHeight="1" x14ac:dyDescent="0.25">
      <c r="A15324" s="5" t="str">
        <f>"H0019726"</f>
        <v>H0019726</v>
      </c>
      <c r="B15324" s="5" t="str">
        <f>"ESTANTE METALICO 6 ENTREPAÑOS"</f>
        <v>ESTANTE METALICO 6 ENTREPAÑOS</v>
      </c>
      <c r="C15324" s="6">
        <v>6916.85</v>
      </c>
      <c r="D15324" s="5"/>
      <c r="E15324" s="5" t="str">
        <f t="shared" si="792"/>
        <v>ACTISALUD-ALMACEN MANTENIMIENTO - JEFREY CASTELLANOS Y JAIME HUMBERTO PARRA CARRILLO</v>
      </c>
      <c r="F15324" s="5" t="str">
        <f>"Descripcion: ESTANTE METALICO DE 6 ENTREPAÑOS Estado: Bueno Placa anterior: 000009741 Material: METALICO Color: GRIS Referencia:  Observacion:  Placa padre: Tipo adquisicion: Entidad"</f>
        <v>Descripcion: ESTANTE METALICO DE 6 ENTREPAÑOS Estado: Bueno Placa anterior: 000009741 Material: METALICO Color: GRIS Referencia:  Observacion:  Placa padre: Tipo adquisicion: Entidad</v>
      </c>
      <c r="G15324" s="5"/>
    </row>
    <row r="15325" spans="1:7" ht="58.5" customHeight="1" x14ac:dyDescent="0.25">
      <c r="A15325" s="5" t="str">
        <f>"H0019727"</f>
        <v>H0019727</v>
      </c>
      <c r="B15325" s="5" t="str">
        <f>"ESTANTE METALICO 6 ENTREPAÑOS"</f>
        <v>ESTANTE METALICO 6 ENTREPAÑOS</v>
      </c>
      <c r="C15325" s="6">
        <v>6916.85</v>
      </c>
      <c r="D15325" s="5"/>
      <c r="E15325" s="5" t="str">
        <f t="shared" si="792"/>
        <v>ACTISALUD-ALMACEN MANTENIMIENTO - JEFREY CASTELLANOS Y JAIME HUMBERTO PARRA CARRILLO</v>
      </c>
      <c r="F15325" s="5" t="str">
        <f>"Descripcion: ESTANTE METALICO DE 6 ENTREPAÑOS Estado: Bueno Placa anterior: 000009742 Material: METALICO Color: GRIS Referencia:  Observacion:  Placa padre: Tipo adquisicion: Entidad"</f>
        <v>Descripcion: ESTANTE METALICO DE 6 ENTREPAÑOS Estado: Bueno Placa anterior: 000009742 Material: METALICO Color: GRIS Referencia:  Observacion:  Placa padre: Tipo adquisicion: Entidad</v>
      </c>
      <c r="G15325" s="5"/>
    </row>
    <row r="15326" spans="1:7" ht="58.5" customHeight="1" x14ac:dyDescent="0.25">
      <c r="A15326" s="5" t="str">
        <f>"H0019728"</f>
        <v>H0019728</v>
      </c>
      <c r="B15326" s="5" t="str">
        <f>"ESTANTE METALICO 6 ENTREPAÑOS"</f>
        <v>ESTANTE METALICO 6 ENTREPAÑOS</v>
      </c>
      <c r="C15326" s="6">
        <v>6916.85</v>
      </c>
      <c r="D15326" s="5"/>
      <c r="E15326" s="5" t="str">
        <f t="shared" si="792"/>
        <v>ACTISALUD-ALMACEN MANTENIMIENTO - JEFREY CASTELLANOS Y JAIME HUMBERTO PARRA CARRILLO</v>
      </c>
      <c r="F15326" s="5" t="str">
        <f>"Descripcion: ESTANTE METALICO DE 6 ENTREPAÑOS Estado: Bueno Placa anterior: 000009743 Material: METALICO Color: GRIS Referencia:  Observacion:  Placa padre: Tipo adquisicion: Entidad"</f>
        <v>Descripcion: ESTANTE METALICO DE 6 ENTREPAÑOS Estado: Bueno Placa anterior: 000009743 Material: METALICO Color: GRIS Referencia:  Observacion:  Placa padre: Tipo adquisicion: Entidad</v>
      </c>
      <c r="G15326" s="5"/>
    </row>
    <row r="15327" spans="1:7" ht="58.5" customHeight="1" x14ac:dyDescent="0.25">
      <c r="A15327" s="5" t="str">
        <f>"H0019729"</f>
        <v>H0019729</v>
      </c>
      <c r="B15327" s="5" t="str">
        <f>"ESTANTE METALICO 9 ENTREPAÑOS"</f>
        <v>ESTANTE METALICO 9 ENTREPAÑOS</v>
      </c>
      <c r="C15327" s="6">
        <v>6916.85</v>
      </c>
      <c r="D15327" s="5"/>
      <c r="E15327" s="5" t="str">
        <f t="shared" si="792"/>
        <v>ACTISALUD-ALMACEN MANTENIMIENTO - JEFREY CASTELLANOS Y JAIME HUMBERTO PARRA CARRILLO</v>
      </c>
      <c r="F15327" s="5" t="str">
        <f>"Descripcion: ESTANTE METALICO DE 9 ENTREPAÑOS Estado: Bueno Placa anterior: 000009744 Material: METALICO Color: GRIS Referencia:  Observacion:  Placa padre: Tipo adquisicion: Entidad"</f>
        <v>Descripcion: ESTANTE METALICO DE 9 ENTREPAÑOS Estado: Bueno Placa anterior: 000009744 Material: METALICO Color: GRIS Referencia:  Observacion:  Placa padre: Tipo adquisicion: Entidad</v>
      </c>
      <c r="G15327" s="5"/>
    </row>
    <row r="15328" spans="1:7" ht="58.5" customHeight="1" x14ac:dyDescent="0.25">
      <c r="A15328" s="5" t="str">
        <f>"H0019730"</f>
        <v>H0019730</v>
      </c>
      <c r="B15328" s="5" t="str">
        <f>"ESTANTE METALICO 9 ENTREPAÑOS"</f>
        <v>ESTANTE METALICO 9 ENTREPAÑOS</v>
      </c>
      <c r="C15328" s="6">
        <v>6916.85</v>
      </c>
      <c r="D15328" s="5"/>
      <c r="E15328" s="5" t="str">
        <f t="shared" ref="E15328:E15359" si="794">"ACTISALUD-ALMACEN MANTENIMIENTO - JEFREY CASTELLANOS Y JAIME HUMBERTO PARRA CARRILLO"</f>
        <v>ACTISALUD-ALMACEN MANTENIMIENTO - JEFREY CASTELLANOS Y JAIME HUMBERTO PARRA CARRILLO</v>
      </c>
      <c r="F15328" s="5" t="str">
        <f>"Descripcion: ESTANTE METALICO DE 9 ENTREPAÑOS Estado: Bueno Placa anterior: 000009745 Material: METALICO Color: GRIS Referencia:  Observacion:  Placa padre: Tipo adquisicion: Entidad"</f>
        <v>Descripcion: ESTANTE METALICO DE 9 ENTREPAÑOS Estado: Bueno Placa anterior: 000009745 Material: METALICO Color: GRIS Referencia:  Observacion:  Placa padre: Tipo adquisicion: Entidad</v>
      </c>
      <c r="G15328" s="5"/>
    </row>
    <row r="15329" spans="1:7" ht="58.5" customHeight="1" x14ac:dyDescent="0.25">
      <c r="A15329" s="5" t="str">
        <f>"H0019731"</f>
        <v>H0019731</v>
      </c>
      <c r="B15329" s="5" t="str">
        <f>"ESTANTE METALICO 9 ENTREPAÑOS"</f>
        <v>ESTANTE METALICO 9 ENTREPAÑOS</v>
      </c>
      <c r="C15329" s="6">
        <v>6916.85</v>
      </c>
      <c r="D15329" s="5"/>
      <c r="E15329" s="5" t="str">
        <f t="shared" si="794"/>
        <v>ACTISALUD-ALMACEN MANTENIMIENTO - JEFREY CASTELLANOS Y JAIME HUMBERTO PARRA CARRILLO</v>
      </c>
      <c r="F15329" s="5" t="str">
        <f>"Descripcion: ESTANTE METALICO DE 9 ENTREPAÑOS Estado: Bueno Placa anterior: 000009746 Material: METALICO Color: GRIS Referencia:  Observacion:  Placa padre: Tipo adquisicion: Entidad"</f>
        <v>Descripcion: ESTANTE METALICO DE 9 ENTREPAÑOS Estado: Bueno Placa anterior: 000009746 Material: METALICO Color: GRIS Referencia:  Observacion:  Placa padre: Tipo adquisicion: Entidad</v>
      </c>
      <c r="G15329" s="5"/>
    </row>
    <row r="15330" spans="1:7" ht="58.5" customHeight="1" x14ac:dyDescent="0.25">
      <c r="A15330" s="5" t="str">
        <f>"H0019732"</f>
        <v>H0019732</v>
      </c>
      <c r="B15330" s="5" t="str">
        <f>"ESTANTE METALICO 9 ENTREPAÑOS"</f>
        <v>ESTANTE METALICO 9 ENTREPAÑOS</v>
      </c>
      <c r="C15330" s="6">
        <v>6916.85</v>
      </c>
      <c r="D15330" s="5"/>
      <c r="E15330" s="5" t="str">
        <f t="shared" si="794"/>
        <v>ACTISALUD-ALMACEN MANTENIMIENTO - JEFREY CASTELLANOS Y JAIME HUMBERTO PARRA CARRILLO</v>
      </c>
      <c r="F15330" s="5" t="str">
        <f>"Descripcion: ESTANTE METALICO DE 9 ENTREPAÑOS Estado: Bueno Placa anterior: 000009747 Material: METALICO Color: GRIS Referencia:  Observacion:  Placa padre: Tipo adquisicion: Entidad"</f>
        <v>Descripcion: ESTANTE METALICO DE 9 ENTREPAÑOS Estado: Bueno Placa anterior: 000009747 Material: METALICO Color: GRIS Referencia:  Observacion:  Placa padre: Tipo adquisicion: Entidad</v>
      </c>
      <c r="G15330" s="5"/>
    </row>
    <row r="15331" spans="1:7" ht="58.5" customHeight="1" x14ac:dyDescent="0.25">
      <c r="A15331" s="5" t="str">
        <f>"H0019733"</f>
        <v>H0019733</v>
      </c>
      <c r="B15331" s="5" t="str">
        <f>"ESTANTE METALICO 9 ENTREPAÑOS"</f>
        <v>ESTANTE METALICO 9 ENTREPAÑOS</v>
      </c>
      <c r="C15331" s="6">
        <v>6916.85</v>
      </c>
      <c r="D15331" s="5"/>
      <c r="E15331" s="5" t="str">
        <f t="shared" si="794"/>
        <v>ACTISALUD-ALMACEN MANTENIMIENTO - JEFREY CASTELLANOS Y JAIME HUMBERTO PARRA CARRILLO</v>
      </c>
      <c r="F15331" s="5" t="str">
        <f>"Descripcion: ESTANTE METALICO DE 9 ENTREPAÑOS Estado: Bueno Placa anterior: 000009748 Material: METALICO Color: GRIS Referencia:  Observacion:  Placa padre: Tipo adquisicion: Entidad"</f>
        <v>Descripcion: ESTANTE METALICO DE 9 ENTREPAÑOS Estado: Bueno Placa anterior: 000009748 Material: METALICO Color: GRIS Referencia:  Observacion:  Placa padre: Tipo adquisicion: Entidad</v>
      </c>
      <c r="G15331" s="5"/>
    </row>
    <row r="15332" spans="1:7" ht="58.5" customHeight="1" x14ac:dyDescent="0.25">
      <c r="A15332" s="5" t="str">
        <f>"H0019734"</f>
        <v>H0019734</v>
      </c>
      <c r="B15332" s="5" t="str">
        <f>"ESTANTE METALICO 6 ENTREPAÑOS"</f>
        <v>ESTANTE METALICO 6 ENTREPAÑOS</v>
      </c>
      <c r="C15332" s="6">
        <v>6916.85</v>
      </c>
      <c r="D15332" s="5"/>
      <c r="E15332" s="5" t="str">
        <f t="shared" si="794"/>
        <v>ACTISALUD-ALMACEN MANTENIMIENTO - JEFREY CASTELLANOS Y JAIME HUMBERTO PARRA CARRILLO</v>
      </c>
      <c r="F15332" s="5" t="str">
        <f>"Descripcion: ESTANTE METALICO DE 6 ENTREPAÑOS Estado: Bueno Placa anterior: 000009749 Material: METALICO Color: GRIS Referencia:  Observacion:  Placa padre: Tipo adquisicion: Entidad"</f>
        <v>Descripcion: ESTANTE METALICO DE 6 ENTREPAÑOS Estado: Bueno Placa anterior: 000009749 Material: METALICO Color: GRIS Referencia:  Observacion:  Placa padre: Tipo adquisicion: Entidad</v>
      </c>
      <c r="G15332" s="5"/>
    </row>
    <row r="15333" spans="1:7" ht="58.5" customHeight="1" x14ac:dyDescent="0.25">
      <c r="A15333" s="5" t="str">
        <f>"H0019735"</f>
        <v>H0019735</v>
      </c>
      <c r="B15333" s="5" t="str">
        <f>"ESTANTE METALICO 6 ENTREPAÑOS"</f>
        <v>ESTANTE METALICO 6 ENTREPAÑOS</v>
      </c>
      <c r="C15333" s="6">
        <v>6916.85</v>
      </c>
      <c r="D15333" s="5"/>
      <c r="E15333" s="5" t="str">
        <f t="shared" si="794"/>
        <v>ACTISALUD-ALMACEN MANTENIMIENTO - JEFREY CASTELLANOS Y JAIME HUMBERTO PARRA CARRILLO</v>
      </c>
      <c r="F15333" s="5" t="str">
        <f>"Descripcion: ESTANTE METALICO DE 6 ENTREPAÑOS Estado: Bueno Placa anterior: 000009750 Material: METALICO Color: GRIS Referencia:  Observacion:  Placa padre: Tipo adquisicion: Entidad"</f>
        <v>Descripcion: ESTANTE METALICO DE 6 ENTREPAÑOS Estado: Bueno Placa anterior: 000009750 Material: METALICO Color: GRIS Referencia:  Observacion:  Placa padre: Tipo adquisicion: Entidad</v>
      </c>
      <c r="G15333" s="5"/>
    </row>
    <row r="15334" spans="1:7" ht="58.5" customHeight="1" x14ac:dyDescent="0.25">
      <c r="A15334" s="5" t="str">
        <f>"H0019736"</f>
        <v>H0019736</v>
      </c>
      <c r="B15334" s="5" t="str">
        <f>"ESTANTE METALICO 6 ENTREPAÑOS"</f>
        <v>ESTANTE METALICO 6 ENTREPAÑOS</v>
      </c>
      <c r="C15334" s="6">
        <v>6916.85</v>
      </c>
      <c r="D15334" s="5"/>
      <c r="E15334" s="5" t="str">
        <f t="shared" si="794"/>
        <v>ACTISALUD-ALMACEN MANTENIMIENTO - JEFREY CASTELLANOS Y JAIME HUMBERTO PARRA CARRILLO</v>
      </c>
      <c r="F15334" s="5" t="str">
        <f>"Descripcion: ESTANTE METALICO DE 6 ENTREPAÑOS Estado: Bueno Placa anterior: 000009751 Material: METALICO Color: GRIS Referencia:  Observacion:  Placa padre: Tipo adquisicion: Entidad"</f>
        <v>Descripcion: ESTANTE METALICO DE 6 ENTREPAÑOS Estado: Bueno Placa anterior: 000009751 Material: METALICO Color: GRIS Referencia:  Observacion:  Placa padre: Tipo adquisicion: Entidad</v>
      </c>
      <c r="G15334" s="5"/>
    </row>
    <row r="15335" spans="1:7" ht="58.5" customHeight="1" x14ac:dyDescent="0.25">
      <c r="A15335" s="5" t="str">
        <f>"H0019737"</f>
        <v>H0019737</v>
      </c>
      <c r="B15335" s="5" t="str">
        <f>"ESTANTE METALICO 7 ENTREPAÑOS"</f>
        <v>ESTANTE METALICO 7 ENTREPAÑOS</v>
      </c>
      <c r="C15335" s="6">
        <v>6916.85</v>
      </c>
      <c r="D15335" s="5"/>
      <c r="E15335" s="5" t="str">
        <f t="shared" si="794"/>
        <v>ACTISALUD-ALMACEN MANTENIMIENTO - JEFREY CASTELLANOS Y JAIME HUMBERTO PARRA CARRILLO</v>
      </c>
      <c r="F15335" s="5" t="str">
        <f>"Descripcion: ESTANTE METALICO DE 7 ENTREPAÑOS Estado: Bueno Placa anterior: 000009752 Material: METALICO Color: GRIS Referencia:  Observacion:  Placa padre: Tipo adquisicion: Entidad"</f>
        <v>Descripcion: ESTANTE METALICO DE 7 ENTREPAÑOS Estado: Bueno Placa anterior: 000009752 Material: METALICO Color: GRIS Referencia:  Observacion:  Placa padre: Tipo adquisicion: Entidad</v>
      </c>
      <c r="G15335" s="5"/>
    </row>
    <row r="15336" spans="1:7" ht="58.5" customHeight="1" x14ac:dyDescent="0.25">
      <c r="A15336" s="5" t="str">
        <f>"H0019738"</f>
        <v>H0019738</v>
      </c>
      <c r="B15336" s="5" t="str">
        <f>"ESTANTE METALICO 6 ENTREPAÑOS"</f>
        <v>ESTANTE METALICO 6 ENTREPAÑOS</v>
      </c>
      <c r="C15336" s="6">
        <v>6916.85</v>
      </c>
      <c r="D15336" s="5"/>
      <c r="E15336" s="5" t="str">
        <f t="shared" si="794"/>
        <v>ACTISALUD-ALMACEN MANTENIMIENTO - JEFREY CASTELLANOS Y JAIME HUMBERTO PARRA CARRILLO</v>
      </c>
      <c r="F15336" s="5" t="str">
        <f>"Descripcion: ESTANTE METALICO DE 6 ENTREPAÑOS Estado: Bueno Placa anterior: 000009756 Material: METALICO Color: GRIS Referencia:  Observacion:  Placa padre: Tipo adquisicion: Entidad"</f>
        <v>Descripcion: ESTANTE METALICO DE 6 ENTREPAÑOS Estado: Bueno Placa anterior: 000009756 Material: METALICO Color: GRIS Referencia:  Observacion:  Placa padre: Tipo adquisicion: Entidad</v>
      </c>
      <c r="G15336" s="5"/>
    </row>
    <row r="15337" spans="1:7" ht="58.5" customHeight="1" x14ac:dyDescent="0.25">
      <c r="A15337" s="5" t="str">
        <f>"H0019739"</f>
        <v>H0019739</v>
      </c>
      <c r="B15337" s="5" t="str">
        <f>"ESTANTE METALICO 6 ENTREPAÑOS"</f>
        <v>ESTANTE METALICO 6 ENTREPAÑOS</v>
      </c>
      <c r="C15337" s="6">
        <v>6916.85</v>
      </c>
      <c r="D15337" s="5"/>
      <c r="E15337" s="5" t="str">
        <f t="shared" si="794"/>
        <v>ACTISALUD-ALMACEN MANTENIMIENTO - JEFREY CASTELLANOS Y JAIME HUMBERTO PARRA CARRILLO</v>
      </c>
      <c r="F15337" s="5" t="str">
        <f>"Descripcion: ESTANTE METALICO DE 6 ENTREPAÑOS Estado: Bueno Placa anterior: 000009753 Material: METALICO Color: GRIS Referencia:  Observacion:  Placa padre: Tipo adquisicion: Entidad"</f>
        <v>Descripcion: ESTANTE METALICO DE 6 ENTREPAÑOS Estado: Bueno Placa anterior: 000009753 Material: METALICO Color: GRIS Referencia:  Observacion:  Placa padre: Tipo adquisicion: Entidad</v>
      </c>
      <c r="G15337" s="5"/>
    </row>
    <row r="15338" spans="1:7" ht="58.5" customHeight="1" x14ac:dyDescent="0.25">
      <c r="A15338" s="5" t="str">
        <f>"H0019740"</f>
        <v>H0019740</v>
      </c>
      <c r="B15338" s="5" t="str">
        <f>"ESTANTE METALICO 6 ENTREPAÑOS"</f>
        <v>ESTANTE METALICO 6 ENTREPAÑOS</v>
      </c>
      <c r="C15338" s="6">
        <v>6916.85</v>
      </c>
      <c r="D15338" s="5"/>
      <c r="E15338" s="5" t="str">
        <f t="shared" si="794"/>
        <v>ACTISALUD-ALMACEN MANTENIMIENTO - JEFREY CASTELLANOS Y JAIME HUMBERTO PARRA CARRILLO</v>
      </c>
      <c r="F15338" s="5" t="str">
        <f>"Descripcion: ESTANTE METALICO DE 6 ENTREPAÑOS Estado: Bueno Placa anterior: 000009754 Material: METALICO Color: GRIS Referencia:  Observacion:  Placa padre: Tipo adquisicion: Entidad"</f>
        <v>Descripcion: ESTANTE METALICO DE 6 ENTREPAÑOS Estado: Bueno Placa anterior: 000009754 Material: METALICO Color: GRIS Referencia:  Observacion:  Placa padre: Tipo adquisicion: Entidad</v>
      </c>
      <c r="G15338" s="5"/>
    </row>
    <row r="15339" spans="1:7" ht="58.5" customHeight="1" x14ac:dyDescent="0.25">
      <c r="A15339" s="5" t="str">
        <f>"H0019741"</f>
        <v>H0019741</v>
      </c>
      <c r="B15339" s="5" t="str">
        <f>"ESTANTE METALICO 6 ENTREPAÑOS"</f>
        <v>ESTANTE METALICO 6 ENTREPAÑOS</v>
      </c>
      <c r="C15339" s="6">
        <v>6916.85</v>
      </c>
      <c r="D15339" s="5"/>
      <c r="E15339" s="5" t="str">
        <f t="shared" si="794"/>
        <v>ACTISALUD-ALMACEN MANTENIMIENTO - JEFREY CASTELLANOS Y JAIME HUMBERTO PARRA CARRILLO</v>
      </c>
      <c r="F15339" s="5" t="str">
        <f>"Descripcion: ESTANTE METALICO DE 6 ENTREPAÑOS Estado: Bueno Placa anterior: 000009758 Material: METALICO Color: GRIS Referencia:  Observacion:  Placa padre: Tipo adquisicion: Entidad"</f>
        <v>Descripcion: ESTANTE METALICO DE 6 ENTREPAÑOS Estado: Bueno Placa anterior: 000009758 Material: METALICO Color: GRIS Referencia:  Observacion:  Placa padre: Tipo adquisicion: Entidad</v>
      </c>
      <c r="G15339" s="5"/>
    </row>
    <row r="15340" spans="1:7" ht="58.5" customHeight="1" x14ac:dyDescent="0.25">
      <c r="A15340" s="5" t="str">
        <f>"H0019742"</f>
        <v>H0019742</v>
      </c>
      <c r="B15340" s="5" t="str">
        <f>"ESTANTE METALICO 4 ENTREPAÑOS"</f>
        <v>ESTANTE METALICO 4 ENTREPAÑOS</v>
      </c>
      <c r="C15340" s="6">
        <v>7724.66</v>
      </c>
      <c r="D15340" s="5"/>
      <c r="E15340" s="5" t="str">
        <f t="shared" si="794"/>
        <v>ACTISALUD-ALMACEN MANTENIMIENTO - JEFREY CASTELLANOS Y JAIME HUMBERTO PARRA CARRILLO</v>
      </c>
      <c r="F15340" s="5" t="str">
        <f>"Descripcion: ESTANTE METALICO DE 4 ENTREPAÑOS Estado: Bueno Placa anterior: 000009780 Material: ALUMINIO Color: GRIS Referencia:  Observacion:  Placa padre: Tipo adquisicion: Entidad"</f>
        <v>Descripcion: ESTANTE METALICO DE 4 ENTREPAÑOS Estado: Bueno Placa anterior: 000009780 Material: ALUMINIO Color: GRIS Referencia:  Observacion:  Placa padre: Tipo adquisicion: Entidad</v>
      </c>
      <c r="G15340" s="5"/>
    </row>
    <row r="15341" spans="1:7" ht="58.5" customHeight="1" x14ac:dyDescent="0.25">
      <c r="A15341" s="5" t="str">
        <f>"H0019743"</f>
        <v>H0019743</v>
      </c>
      <c r="B15341" s="5" t="str">
        <f>"ESTANTE METALICO 6 ENTREPAÑOS"</f>
        <v>ESTANTE METALICO 6 ENTREPAÑOS</v>
      </c>
      <c r="C15341" s="6">
        <v>6916.85</v>
      </c>
      <c r="D15341" s="5"/>
      <c r="E15341" s="5" t="str">
        <f t="shared" si="794"/>
        <v>ACTISALUD-ALMACEN MANTENIMIENTO - JEFREY CASTELLANOS Y JAIME HUMBERTO PARRA CARRILLO</v>
      </c>
      <c r="F15341" s="5" t="str">
        <f>"Descripcion: ESTANTE METALICO DE 6 ENTREPAÑOS Estado: Bueno Placa anterior: 000021587 Material: METALICO Color: GRIS Referencia:  Observacion:  Placa padre: Tipo adquisicion: Entidad"</f>
        <v>Descripcion: ESTANTE METALICO DE 6 ENTREPAÑOS Estado: Bueno Placa anterior: 000021587 Material: METALICO Color: GRIS Referencia:  Observacion:  Placa padre: Tipo adquisicion: Entidad</v>
      </c>
      <c r="G15341" s="5"/>
    </row>
    <row r="15342" spans="1:7" ht="58.5" customHeight="1" x14ac:dyDescent="0.25">
      <c r="A15342" s="5" t="str">
        <f>"H0019744"</f>
        <v>H0019744</v>
      </c>
      <c r="B15342" s="5" t="str">
        <f>"ESTANTE METALICO 5 ENTREPAÑOS"</f>
        <v>ESTANTE METALICO 5 ENTREPAÑOS</v>
      </c>
      <c r="C15342" s="6">
        <v>6916.85</v>
      </c>
      <c r="D15342" s="5"/>
      <c r="E15342" s="5" t="str">
        <f t="shared" si="794"/>
        <v>ACTISALUD-ALMACEN MANTENIMIENTO - JEFREY CASTELLANOS Y JAIME HUMBERTO PARRA CARRILLO</v>
      </c>
      <c r="F15342" s="5" t="str">
        <f>"Descripcion: ESTANTE METALICO DE 5 ENTREPAÑOS Estado: Bueno Placa anterior: 000009705 Material: METALICO Color: GRIS Referencia:  Observacion:  Placa padre: Tipo adquisicion: Entidad"</f>
        <v>Descripcion: ESTANTE METALICO DE 5 ENTREPAÑOS Estado: Bueno Placa anterior: 000009705 Material: METALICO Color: GRIS Referencia:  Observacion:  Placa padre: Tipo adquisicion: Entidad</v>
      </c>
      <c r="G15342" s="5"/>
    </row>
    <row r="15343" spans="1:7" ht="58.5" customHeight="1" x14ac:dyDescent="0.25">
      <c r="A15343" s="5" t="str">
        <f>"H0019745"</f>
        <v>H0019745</v>
      </c>
      <c r="B15343" s="5" t="str">
        <f>"ESTANTE METALICO 6 ENTREPAÑOS"</f>
        <v>ESTANTE METALICO 6 ENTREPAÑOS</v>
      </c>
      <c r="C15343" s="6">
        <v>6916.85</v>
      </c>
      <c r="D15343" s="5"/>
      <c r="E15343" s="5" t="str">
        <f t="shared" si="794"/>
        <v>ACTISALUD-ALMACEN MANTENIMIENTO - JEFREY CASTELLANOS Y JAIME HUMBERTO PARRA CARRILLO</v>
      </c>
      <c r="F15343" s="5" t="str">
        <f>"Descripcion: ESTANTE METALICO DE 6 ENTREPAÑOS Estado: Bueno Placa anterior: 000009706 Material: METALICO Color: GRIS Referencia:  Observacion:  Placa padre: Tipo adquisicion: Entidad"</f>
        <v>Descripcion: ESTANTE METALICO DE 6 ENTREPAÑOS Estado: Bueno Placa anterior: 000009706 Material: METALICO Color: GRIS Referencia:  Observacion:  Placa padre: Tipo adquisicion: Entidad</v>
      </c>
      <c r="G15343" s="5"/>
    </row>
    <row r="15344" spans="1:7" ht="58.5" customHeight="1" x14ac:dyDescent="0.25">
      <c r="A15344" s="5" t="str">
        <f>"H0019746"</f>
        <v>H0019746</v>
      </c>
      <c r="B15344" s="5" t="str">
        <f>"ESTANTE METALICO 6 ENTREPAÑOS"</f>
        <v>ESTANTE METALICO 6 ENTREPAÑOS</v>
      </c>
      <c r="C15344" s="6">
        <v>7724.66</v>
      </c>
      <c r="D15344" s="5"/>
      <c r="E15344" s="5" t="str">
        <f t="shared" si="794"/>
        <v>ACTISALUD-ALMACEN MANTENIMIENTO - JEFREY CASTELLANOS Y JAIME HUMBERTO PARRA CARRILLO</v>
      </c>
      <c r="F15344" s="5" t="str">
        <f>"Descripcion: ESTANTE METALICO DE 6 ENTREPAÑOS Estado: Bueno Placa anterior: 000009781 Material: METALICO Color: GRIS Referencia:  Observacion:  Placa padre: Tipo adquisicion: Entidad"</f>
        <v>Descripcion: ESTANTE METALICO DE 6 ENTREPAÑOS Estado: Bueno Placa anterior: 000009781 Material: METALICO Color: GRIS Referencia:  Observacion:  Placa padre: Tipo adquisicion: Entidad</v>
      </c>
      <c r="G15344" s="5"/>
    </row>
    <row r="15345" spans="1:7" ht="58.5" customHeight="1" x14ac:dyDescent="0.25">
      <c r="A15345" s="5" t="str">
        <f>"H0019748"</f>
        <v>H0019748</v>
      </c>
      <c r="B15345" s="5" t="str">
        <f>"ESTANTE METALICO 7 ENTREPAÑOS"</f>
        <v>ESTANTE METALICO 7 ENTREPAÑOS</v>
      </c>
      <c r="C15345" s="6">
        <v>37633</v>
      </c>
      <c r="D15345" s="5"/>
      <c r="E15345" s="5" t="str">
        <f t="shared" si="794"/>
        <v>ACTISALUD-ALMACEN MANTENIMIENTO - JEFREY CASTELLANOS Y JAIME HUMBERTO PARRA CARRILLO</v>
      </c>
      <c r="F15345" s="5" t="str">
        <f>"Descripcion: ESTANTE METALICO DE 7 ENTREPAÑOS Estado: Bueno Placa anterior: 000000947 Material: METALICO Color: GRIS Referencia:  Observacion:  Placa padre: Tipo adquisicion: Entidad"</f>
        <v>Descripcion: ESTANTE METALICO DE 7 ENTREPAÑOS Estado: Bueno Placa anterior: 000000947 Material: METALICO Color: GRIS Referencia:  Observacion:  Placa padre: Tipo adquisicion: Entidad</v>
      </c>
      <c r="G15345" s="5"/>
    </row>
    <row r="15346" spans="1:7" ht="58.5" customHeight="1" x14ac:dyDescent="0.25">
      <c r="A15346" s="5" t="str">
        <f>"H0019749"</f>
        <v>H0019749</v>
      </c>
      <c r="B15346" s="5" t="str">
        <f>"RELOJ DE PARED"</f>
        <v>RELOJ DE PARED</v>
      </c>
      <c r="C15346" s="6">
        <v>8190</v>
      </c>
      <c r="D15346" s="5"/>
      <c r="E15346" s="5" t="str">
        <f t="shared" si="794"/>
        <v>ACTISALUD-ALMACEN MANTENIMIENTO - JEFREY CASTELLANOS Y JAIME HUMBERTO PARRA CARRILLO</v>
      </c>
      <c r="F15346" s="5" t="str">
        <f>"Descripcion: RELOJ DE PARED MCA. JAWACO Estado: Bueno Placa anterior: 000009713 Material: PASTA Color: NEGRO Y BLANCO Referencia:  Observacion:  Placa padre: Tipo adquisicion: Entidad"</f>
        <v>Descripcion: RELOJ DE PARED MCA. JAWACO Estado: Bueno Placa anterior: 000009713 Material: PASTA Color: NEGRO Y BLANCO Referencia:  Observacion:  Placa padre: Tipo adquisicion: Entidad</v>
      </c>
      <c r="G15346" s="5"/>
    </row>
    <row r="15347" spans="1:7" ht="58.5" customHeight="1" x14ac:dyDescent="0.25">
      <c r="A15347" s="5" t="str">
        <f>"H0019750"</f>
        <v>H0019750</v>
      </c>
      <c r="B15347" s="5" t="str">
        <f>"ARCHIVADOR METALICO 3 GAVETAS"</f>
        <v>ARCHIVADOR METALICO 3 GAVETAS</v>
      </c>
      <c r="C15347" s="6">
        <v>16445</v>
      </c>
      <c r="D15347" s="5"/>
      <c r="E15347" s="5" t="str">
        <f t="shared" si="794"/>
        <v>ACTISALUD-ALMACEN MANTENIMIENTO - JEFREY CASTELLANOS Y JAIME HUMBERTO PARRA CARRILLO</v>
      </c>
      <c r="F15347" s="5" t="str">
        <f>"Descripcion: ARCHIVADOR TIPO B (3 GAVETAS) Estado: Bueno Placa anterior: 000009759 Material: METALICO Color: GRIS Referencia:  Observacion:  Placa padre: Tipo adquisicion: Entidad"</f>
        <v>Descripcion: ARCHIVADOR TIPO B (3 GAVETAS) Estado: Bueno Placa anterior: 000009759 Material: METALICO Color: GRIS Referencia:  Observacion:  Placa padre: Tipo adquisicion: Entidad</v>
      </c>
      <c r="G15347" s="5"/>
    </row>
    <row r="15348" spans="1:7" ht="58.5" customHeight="1" x14ac:dyDescent="0.25">
      <c r="A15348" s="5" t="str">
        <f>"H0019757"</f>
        <v>H0019757</v>
      </c>
      <c r="B15348" s="5" t="str">
        <f>"IMPRESORA MATRIZ DE PUNTOS"</f>
        <v>IMPRESORA MATRIZ DE PUNTOS</v>
      </c>
      <c r="C15348" s="6">
        <v>1350000</v>
      </c>
      <c r="D15348" s="5"/>
      <c r="E15348" s="5" t="str">
        <f t="shared" si="794"/>
        <v>ACTISALUD-ALMACEN MANTENIMIENTO - JEFREY CASTELLANOS Y JAIME HUMBERTO PARRA CARRILLO</v>
      </c>
      <c r="F15348" s="5" t="str">
        <f>"Descripcion: IMPRESORA FX-890 MARCA EPSON Estado: Bueno Placa anterior: 000033583 Material: PASTA Color: GRIS Referencia:  Observacion:  Placa padre: Tipo adquisicion: Entidad"</f>
        <v>Descripcion: IMPRESORA FX-890 MARCA EPSON Estado: Bueno Placa anterior: 000033583 Material: PASTA Color: GRIS Referencia:  Observacion:  Placa padre: Tipo adquisicion: Entidad</v>
      </c>
      <c r="G15348" s="5" t="str">
        <f>"FX-890"</f>
        <v>FX-890</v>
      </c>
    </row>
    <row r="15349" spans="1:7" ht="58.5" customHeight="1" x14ac:dyDescent="0.25">
      <c r="A15349" s="5" t="str">
        <f>"H0019762"</f>
        <v>H0019762</v>
      </c>
      <c r="B15349" s="5" t="str">
        <f>"VITRINA DE 2 CUERPOS"</f>
        <v>VITRINA DE 2 CUERPOS</v>
      </c>
      <c r="C15349" s="6">
        <v>8612</v>
      </c>
      <c r="D15349" s="5"/>
      <c r="E15349" s="5" t="str">
        <f t="shared" si="794"/>
        <v>ACTISALUD-ALMACEN MANTENIMIENTO - JEFREY CASTELLANOS Y JAIME HUMBERTO PARRA CARRILLO</v>
      </c>
      <c r="F15349" s="5" t="str">
        <f>"Descripcion: VITRINA VERTICAL DE DOS CUERPOS METALICA CON TRES ENTREPAÑOS Estado: Bueno Placa anterior: 000000742 Material: METALICA Color: BAGE Referencia:  Observacion:  Placa padre: Tipo adquisicion: Entidad"</f>
        <v>Descripcion: VITRINA VERTICAL DE DOS CUERPOS METALICA CON TRES ENTREPAÑOS Estado: Bueno Placa anterior: 000000742 Material: METALICA Color: BAGE Referencia:  Observacion:  Placa padre: Tipo adquisicion: Entidad</v>
      </c>
      <c r="G15349" s="5"/>
    </row>
    <row r="15350" spans="1:7" ht="58.5" customHeight="1" x14ac:dyDescent="0.25">
      <c r="A15350" s="5" t="str">
        <f>"H0019763"</f>
        <v>H0019763</v>
      </c>
      <c r="B15350" s="5" t="str">
        <f>"MONITOR LCD"</f>
        <v>MONITOR LCD</v>
      </c>
      <c r="C15350" s="6">
        <v>760000</v>
      </c>
      <c r="D15350" s="5"/>
      <c r="E15350" s="5" t="str">
        <f t="shared" si="794"/>
        <v>ACTISALUD-ALMACEN MANTENIMIENTO - JEFREY CASTELLANOS Y JAIME HUMBERTO PARRA CARRILLO</v>
      </c>
      <c r="F15350" s="5" t="str">
        <f>"Descripcion: MONITOR LCD DE 17 O SUPERIOR Estado: Bueno Placa anterior: 000029301 Material: PASTA Color: NEGRO Referencia:  Observacion:  Placa padre: Tipo adquisicion: Entidad"</f>
        <v>Descripcion: MONITOR LCD DE 17 O SUPERIOR Estado: Bueno Placa anterior: 000029301 Material: PASTA Color: NEGRO Referencia:  Observacion:  Placa padre: Tipo adquisicion: Entidad</v>
      </c>
      <c r="G15350" s="5" t="str">
        <f>"W1742ST"</f>
        <v>W1742ST</v>
      </c>
    </row>
    <row r="15351" spans="1:7" ht="58.5" customHeight="1" x14ac:dyDescent="0.25">
      <c r="A15351" s="5" t="str">
        <f>"H0019766"</f>
        <v>H0019766</v>
      </c>
      <c r="B15351" s="5" t="str">
        <f>"GUILLOTINA (CORTA PAPEL) DE MESA"</f>
        <v>GUILLOTINA (CORTA PAPEL) DE MESA</v>
      </c>
      <c r="C15351" s="6">
        <v>18580</v>
      </c>
      <c r="D15351" s="5"/>
      <c r="E15351" s="5" t="str">
        <f t="shared" si="794"/>
        <v>ACTISALUD-ALMACEN MANTENIMIENTO - JEFREY CASTELLANOS Y JAIME HUMBERTO PARRA CARRILLO</v>
      </c>
      <c r="F15351" s="5" t="str">
        <f>"Descripcion: GUILLOTINA DE MESA Estado: Regular Placa anterior: 000002203 Material: MADERA Y METALICO Color: GRIS Referencia:  Observacion:  Placa padre: Tipo adquisicion: Entidad"</f>
        <v>Descripcion: GUILLOTINA DE MESA Estado: Regular Placa anterior: 000002203 Material: MADERA Y METALICO Color: GRIS Referencia:  Observacion:  Placa padre: Tipo adquisicion: Entidad</v>
      </c>
      <c r="G15351" s="5"/>
    </row>
    <row r="15352" spans="1:7" ht="58.5" customHeight="1" x14ac:dyDescent="0.25">
      <c r="A15352" s="5" t="str">
        <f>"H0019768"</f>
        <v>H0019768</v>
      </c>
      <c r="B15352" s="5" t="str">
        <f>"TELEVISOR TRC 20"</f>
        <v>TELEVISOR TRC 20</v>
      </c>
      <c r="C15352" s="6">
        <v>445000</v>
      </c>
      <c r="D15352" s="5"/>
      <c r="E15352" s="5" t="str">
        <f t="shared" si="794"/>
        <v>ACTISALUD-ALMACEN MANTENIMIENTO - JEFREY CASTELLANOS Y JAIME HUMBERTO PARRA CARRILLO</v>
      </c>
      <c r="F15352" s="5" t="str">
        <f>"Descripcion: TELEVISOR A COLOR DE 20 P. MARCA LG. REF: CP-20J52/20CB 20 Estado: Bueno Placa anterior: 000022623 Material: PASTA Color: GRIS Referencia:  Observacion:  Placa padre: Tipo adquisicion: Entidad"</f>
        <v>Descripcion: TELEVISOR A COLOR DE 20 P. MARCA LG. REF: CP-20J52/20CB 20 Estado: Bueno Placa anterior: 000022623 Material: PASTA Color: GRIS Referencia:  Observacion:  Placa padre: Tipo adquisicion: Entidad</v>
      </c>
      <c r="G15352" s="5" t="str">
        <f>"RP-20CB20A"</f>
        <v>RP-20CB20A</v>
      </c>
    </row>
    <row r="15353" spans="1:7" ht="58.5" customHeight="1" x14ac:dyDescent="0.25">
      <c r="A15353" s="5" t="str">
        <f>"H0019769"</f>
        <v>H0019769</v>
      </c>
      <c r="B15353" s="5" t="str">
        <f>"REFRIGERADOR VERTICAL"</f>
        <v>REFRIGERADOR VERTICAL</v>
      </c>
      <c r="C15353" s="6">
        <v>452400</v>
      </c>
      <c r="D15353" s="5"/>
      <c r="E15353" s="5" t="str">
        <f t="shared" si="794"/>
        <v>ACTISALUD-ALMACEN MANTENIMIENTO - JEFREY CASTELLANOS Y JAIME HUMBERTO PARRA CARRILLO</v>
      </c>
      <c r="F15353" s="5" t="str">
        <f>"Descripcion: REFRIGERADORA SAMSUNG SG-12BCSWCN Estado: Bueno Placa anterior: 000022622 Material: METALICA Color: BLANCO Referencia:  Observacion:  Placa padre: Tipo adquisicion: Entidad"</f>
        <v>Descripcion: REFRIGERADORA SAMSUNG SG-12BCSWCN Estado: Bueno Placa anterior: 000022622 Material: METALICA Color: BLANCO Referencia:  Observacion:  Placa padre: Tipo adquisicion: Entidad</v>
      </c>
      <c r="G15353" s="5" t="str">
        <f>"SG12BCSWCN/SCL"</f>
        <v>SG12BCSWCN/SCL</v>
      </c>
    </row>
    <row r="15354" spans="1:7" ht="58.5" customHeight="1" x14ac:dyDescent="0.25">
      <c r="A15354" s="5" t="str">
        <f>"H0019771"</f>
        <v>H0019771</v>
      </c>
      <c r="B15354" s="5" t="str">
        <f>"ESTROBOSCOPIO - FUENTE DE LUZ"</f>
        <v>ESTROBOSCOPIO - FUENTE DE LUZ</v>
      </c>
      <c r="C15354" s="6">
        <v>120000</v>
      </c>
      <c r="D15354" s="5"/>
      <c r="E15354" s="5" t="str">
        <f t="shared" si="794"/>
        <v>ACTISALUD-ALMACEN MANTENIMIENTO - JEFREY CASTELLANOS Y JAIME HUMBERTO PARRA CARRILLO</v>
      </c>
      <c r="F15354" s="5" t="str">
        <f>"Descripcion: FUENTE DE LUZ ESTROBOSCOPE XL-3324-IMB Estado: Malo Placa anterior: 000006698 Material: METALICO Color: NEGRO Referencia:  Observacion:  Placa padre: Tipo adquisicion: Entidad"</f>
        <v>Descripcion: FUENTE DE LUZ ESTROBOSCOPE XL-3324-IMB Estado: Malo Placa anterior: 000006698 Material: METALICO Color: NEGRO Referencia:  Observacion:  Placa padre: Tipo adquisicion: Entidad</v>
      </c>
      <c r="G15354" s="5" t="str">
        <f>"XL-3324"</f>
        <v>XL-3324</v>
      </c>
    </row>
    <row r="15355" spans="1:7" ht="58.5" customHeight="1" x14ac:dyDescent="0.25">
      <c r="A15355" s="5" t="str">
        <f>"H0019772"</f>
        <v>H0019772</v>
      </c>
      <c r="B15355" s="5" t="str">
        <f>"MUEBLE METALICO"</f>
        <v>MUEBLE METALICO</v>
      </c>
      <c r="C15355" s="6">
        <v>39810</v>
      </c>
      <c r="D15355" s="5"/>
      <c r="E15355" s="5" t="str">
        <f t="shared" si="794"/>
        <v>ACTISALUD-ALMACEN MANTENIMIENTO - JEFREY CASTELLANOS Y JAIME HUMBERTO PARRA CARRILLO</v>
      </c>
      <c r="F15355" s="5" t="str">
        <f>"Descripcion: KARDEX METALICO DE 12 GAVETAS Estado: Regular Placa anterior: 000009783 Material: METALICO Color: GRIS Referencia:  Observacion:  Placa padre: Tipo adquisicion: Entidad"</f>
        <v>Descripcion: KARDEX METALICO DE 12 GAVETAS Estado: Regular Placa anterior: 000009783 Material: METALICO Color: GRIS Referencia:  Observacion:  Placa padre: Tipo adquisicion: Entidad</v>
      </c>
      <c r="G15355" s="5"/>
    </row>
    <row r="15356" spans="1:7" ht="58.5" customHeight="1" x14ac:dyDescent="0.25">
      <c r="A15356" s="5" t="str">
        <f>"H0019773"</f>
        <v>H0019773</v>
      </c>
      <c r="B15356" s="5" t="str">
        <f>"LICUADORA PARA AMBULANCIA"</f>
        <v>LICUADORA PARA AMBULANCIA</v>
      </c>
      <c r="C15356" s="6">
        <v>17000</v>
      </c>
      <c r="D15356" s="5"/>
      <c r="E15356" s="5" t="str">
        <f t="shared" si="794"/>
        <v>ACTISALUD-ALMACEN MANTENIMIENTO - JEFREY CASTELLANOS Y JAIME HUMBERTO PARRA CARRILLO</v>
      </c>
      <c r="F15356" s="5" t="str">
        <f>"Descripcion: LICUADORA PARA AMBULANCIA Estado: Malo Placa anterior: 000010776 Material: PASTA Color: ROJA Referencia:  Observacion:  Placa padre: Tipo adquisicion: Entidad"</f>
        <v>Descripcion: LICUADORA PARA AMBULANCIA Estado: Malo Placa anterior: 000010776 Material: PASTA Color: ROJA Referencia:  Observacion:  Placa padre: Tipo adquisicion: Entidad</v>
      </c>
      <c r="G15356" s="5" t="str">
        <f>"EHB-12S"</f>
        <v>EHB-12S</v>
      </c>
    </row>
    <row r="15357" spans="1:7" ht="58.5" customHeight="1" x14ac:dyDescent="0.25">
      <c r="A15357" s="5" t="str">
        <f>"H0019774"</f>
        <v>H0019774</v>
      </c>
      <c r="B15357" s="5" t="str">
        <f>"LICUADORA PARA AMBULANCIA"</f>
        <v>LICUADORA PARA AMBULANCIA</v>
      </c>
      <c r="C15357" s="6">
        <v>17000</v>
      </c>
      <c r="D15357" s="5"/>
      <c r="E15357" s="5" t="str">
        <f t="shared" si="794"/>
        <v>ACTISALUD-ALMACEN MANTENIMIENTO - JEFREY CASTELLANOS Y JAIME HUMBERTO PARRA CARRILLO</v>
      </c>
      <c r="F15357" s="5" t="str">
        <f>"Descripcion: LICUADORA PARA AMBULANCIA Estado: Malo Placa anterior: 000010777 Material: PASTA Color: BLANCA Referencia:  Observacion:  Placa padre: Tipo adquisicion: Entidad"</f>
        <v>Descripcion: LICUADORA PARA AMBULANCIA Estado: Malo Placa anterior: 000010777 Material: PASTA Color: BLANCA Referencia:  Observacion:  Placa padre: Tipo adquisicion: Entidad</v>
      </c>
      <c r="G15357" s="5" t="str">
        <f>"EHB-12S"</f>
        <v>EHB-12S</v>
      </c>
    </row>
    <row r="15358" spans="1:7" ht="58.5" customHeight="1" x14ac:dyDescent="0.25">
      <c r="A15358" s="5" t="str">
        <f>"H0019775"</f>
        <v>H0019775</v>
      </c>
      <c r="B15358" s="5" t="str">
        <f>"DESTORNILLADOR DE TORQUE"</f>
        <v>DESTORNILLADOR DE TORQUE</v>
      </c>
      <c r="C15358" s="6">
        <v>149507</v>
      </c>
      <c r="D15358" s="5"/>
      <c r="E15358" s="5" t="str">
        <f t="shared" si="794"/>
        <v>ACTISALUD-ALMACEN MANTENIMIENTO - JEFREY CASTELLANOS Y JAIME HUMBERTO PARRA CARRILLO</v>
      </c>
      <c r="F15358" s="5" t="str">
        <f>"Descripcion: DESTORNILLADOR DE TORQUE MCA. J.H.WILLIAMS Estado: Bueno Placa anterior: 000010739 Material: ACERO Color: NEGRO Referencia:  Observacion:  Placa padre: Tipo adquisicion: Entidad"</f>
        <v>Descripcion: DESTORNILLADOR DE TORQUE MCA. J.H.WILLIAMS Estado: Bueno Placa anterior: 000010739 Material: ACERO Color: NEGRO Referencia:  Observacion:  Placa padre: Tipo adquisicion: Entidad</v>
      </c>
      <c r="G15358" s="5" t="str">
        <f>"WILLIAMS"</f>
        <v>WILLIAMS</v>
      </c>
    </row>
    <row r="15359" spans="1:7" ht="58.5" customHeight="1" x14ac:dyDescent="0.25">
      <c r="A15359" s="5" t="str">
        <f>"H0019776"</f>
        <v>H0019776</v>
      </c>
      <c r="B15359" s="5" t="str">
        <f>"MAZA DE CAUCHO"</f>
        <v>MAZA DE CAUCHO</v>
      </c>
      <c r="C15359" s="6">
        <v>3000</v>
      </c>
      <c r="D15359" s="5"/>
      <c r="E15359" s="5" t="str">
        <f t="shared" si="794"/>
        <v>ACTISALUD-ALMACEN MANTENIMIENTO - JEFREY CASTELLANOS Y JAIME HUMBERTO PARRA CARRILLO</v>
      </c>
      <c r="F15359" s="5" t="str">
        <f>"Descripcion: MAZA DE CAUCHO GRANDE Estado: Bueno Placa anterior: 000010750 Material: MADERA Y CAUCHO Color: GRIS Referencia:  Observacion:  Placa padre: Tipo adquisicion: Entidad"</f>
        <v>Descripcion: MAZA DE CAUCHO GRANDE Estado: Bueno Placa anterior: 000010750 Material: MADERA Y CAUCHO Color: GRIS Referencia:  Observacion:  Placa padre: Tipo adquisicion: Entidad</v>
      </c>
      <c r="G15359" s="5"/>
    </row>
    <row r="15360" spans="1:7" ht="58.5" customHeight="1" x14ac:dyDescent="0.25">
      <c r="A15360" s="5" t="str">
        <f>"H0019777"</f>
        <v>H0019777</v>
      </c>
      <c r="B15360" s="5" t="str">
        <f>"JUEGO DE COPAS CON RACHE (CARRACA)"</f>
        <v>JUEGO DE COPAS CON RACHE (CARRACA)</v>
      </c>
      <c r="C15360" s="6">
        <v>175451</v>
      </c>
      <c r="D15360" s="5"/>
      <c r="E15360" s="5" t="str">
        <f t="shared" ref="E15360:E15389" si="795">"ACTISALUD-ALMACEN MANTENIMIENTO - JEFREY CASTELLANOS Y JAIME HUMBERTO PARRA CARRILLO"</f>
        <v>ACTISALUD-ALMACEN MANTENIMIENTO - JEFREY CASTELLANOS Y JAIME HUMBERTO PARRA CARRILLO</v>
      </c>
      <c r="F15360" s="5" t="str">
        <f>"Descripcion: JUEGO DE COPAS X 24 PIEZAS DE 1 1/4 A 7/16 Estado: Bueno Placa anterior: 000010763 Material: ACERO Color: GRIS Referencia:  Observacion:  Placa padre: Tipo adquisicion: Entidad"</f>
        <v>Descripcion: JUEGO DE COPAS X 24 PIEZAS DE 1 1/4 A 7/16 Estado: Bueno Placa anterior: 000010763 Material: ACERO Color: GRIS Referencia:  Observacion:  Placa padre: Tipo adquisicion: Entidad</v>
      </c>
      <c r="G15360" s="5"/>
    </row>
    <row r="15361" spans="1:7" ht="58.5" customHeight="1" x14ac:dyDescent="0.25">
      <c r="A15361" s="5" t="str">
        <f>"H0019778"</f>
        <v>H0019778</v>
      </c>
      <c r="B15361" s="5" t="str">
        <f>"CAJA PARA HERRAMIENTAS Y SUS HERRAMIENTAS"</f>
        <v>CAJA PARA HERRAMIENTAS Y SUS HERRAMIENTAS</v>
      </c>
      <c r="C15361" s="6">
        <v>25400</v>
      </c>
      <c r="D15361" s="5"/>
      <c r="E15361" s="5" t="str">
        <f t="shared" si="795"/>
        <v>ACTISALUD-ALMACEN MANTENIMIENTO - JEFREY CASTELLANOS Y JAIME HUMBERTO PARRA CARRILLO</v>
      </c>
      <c r="F15361" s="5" t="str">
        <f>"Descripcion: MARCADOR ALFANUMERICO X 9 PIEZAS GRANDE Estado: Bueno Placa anterior: 000010769 Material: ACERO Color: GRIS Referencia:  Observacion: CON SU ESTUCHE EN PASTA Placa padre: Tipo adquisicion: Entidad"</f>
        <v>Descripcion: MARCADOR ALFANUMERICO X 9 PIEZAS GRANDE Estado: Bueno Placa anterior: 000010769 Material: ACERO Color: GRIS Referencia:  Observacion: CON SU ESTUCHE EN PASTA Placa padre: Tipo adquisicion: Entidad</v>
      </c>
      <c r="G15361" s="5"/>
    </row>
    <row r="15362" spans="1:7" ht="58.5" customHeight="1" x14ac:dyDescent="0.25">
      <c r="A15362" s="5" t="str">
        <f>"H0019779"</f>
        <v>H0019779</v>
      </c>
      <c r="B15362" s="5" t="str">
        <f>"CAJA PARA HERRAMIENTAS Y SUS HERRAMIENTAS"</f>
        <v>CAJA PARA HERRAMIENTAS Y SUS HERRAMIENTAS</v>
      </c>
      <c r="C15362" s="6">
        <v>31000</v>
      </c>
      <c r="D15362" s="5"/>
      <c r="E15362" s="5" t="str">
        <f t="shared" si="795"/>
        <v>ACTISALUD-ALMACEN MANTENIMIENTO - JEFREY CASTELLANOS Y JAIME HUMBERTO PARRA CARRILLO</v>
      </c>
      <c r="F15362" s="5" t="str">
        <f>"Descripcion: MARCADOR ALFANUMERICO X27 PIEZAS MEDIANO Estado: Bueno Placa anterior: 000010772 Material: ACERO Color: GRIS Referencia:  Observacion: CON SU ESTUCHE EN PASTA Placa padre: Tipo adquisicion: Entidad"</f>
        <v>Descripcion: MARCADOR ALFANUMERICO X27 PIEZAS MEDIANO Estado: Bueno Placa anterior: 000010772 Material: ACERO Color: GRIS Referencia:  Observacion: CON SU ESTUCHE EN PASTA Placa padre: Tipo adquisicion: Entidad</v>
      </c>
      <c r="G15362" s="5"/>
    </row>
    <row r="15363" spans="1:7" ht="58.5" customHeight="1" x14ac:dyDescent="0.25">
      <c r="A15363" s="5" t="str">
        <f>"H0019780"</f>
        <v>H0019780</v>
      </c>
      <c r="B15363" s="5" t="str">
        <f>"JUEGO DE COPAS CON RACHE (CARRACA)"</f>
        <v>JUEGO DE COPAS CON RACHE (CARRACA)</v>
      </c>
      <c r="C15363" s="6">
        <v>119004</v>
      </c>
      <c r="D15363" s="5"/>
      <c r="E15363" s="5" t="str">
        <f t="shared" si="795"/>
        <v>ACTISALUD-ALMACEN MANTENIMIENTO - JEFREY CASTELLANOS Y JAIME HUMBERTO PARRA CARRILLO</v>
      </c>
      <c r="F15363" s="5" t="str">
        <f>"Descripcion: JUEGO DE COPAS X 13 PIEZAS 9/16 A 7/8 Estado: Bueno Placa anterior: 000010762 Material: ACERO Color: GRIS Referencia:  Observacion: EN SU ESTUCHE METALICO COLOR AZUL Placa padre: Tipo adquisicion: Entidad"</f>
        <v>Descripcion: JUEGO DE COPAS X 13 PIEZAS 9/16 A 7/8 Estado: Bueno Placa anterior: 000010762 Material: ACERO Color: GRIS Referencia:  Observacion: EN SU ESTUCHE METALICO COLOR AZUL Placa padre: Tipo adquisicion: Entidad</v>
      </c>
      <c r="G15363" s="5"/>
    </row>
    <row r="15364" spans="1:7" ht="58.5" customHeight="1" x14ac:dyDescent="0.25">
      <c r="A15364" s="5" t="str">
        <f>"H0019781"</f>
        <v>H0019781</v>
      </c>
      <c r="B15364" s="5" t="str">
        <f>"TARRAJA Y MACHUELO"</f>
        <v>TARRAJA Y MACHUELO</v>
      </c>
      <c r="C15364" s="6">
        <v>133703.25</v>
      </c>
      <c r="D15364" s="5"/>
      <c r="E15364" s="5" t="str">
        <f t="shared" si="795"/>
        <v>ACTISALUD-ALMACEN MANTENIMIENTO - JEFREY CASTELLANOS Y JAIME HUMBERTO PARRA CARRILLO</v>
      </c>
      <c r="F15364" s="5" t="str">
        <f>"Descripcion: TARRAJA Y MACHUELOS MCA.HANSON Estado: Bueno Placa anterior: 000009787 Material: HIERRO Color: GRIS Referencia:  Observacion:  Placa padre: Tipo adquisicion: Entidad"</f>
        <v>Descripcion: TARRAJA Y MACHUELOS MCA.HANSON Estado: Bueno Placa anterior: 000009787 Material: HIERRO Color: GRIS Referencia:  Observacion:  Placa padre: Tipo adquisicion: Entidad</v>
      </c>
      <c r="G15364" s="5"/>
    </row>
    <row r="15365" spans="1:7" ht="58.5" customHeight="1" x14ac:dyDescent="0.25">
      <c r="A15365" s="5" t="str">
        <f>"H0019782"</f>
        <v>H0019782</v>
      </c>
      <c r="B15365" s="5" t="str">
        <f>"PRENSA MANUAL"</f>
        <v>PRENSA MANUAL</v>
      </c>
      <c r="C15365" s="6">
        <v>100000</v>
      </c>
      <c r="D15365" s="5"/>
      <c r="E15365" s="5" t="str">
        <f t="shared" si="795"/>
        <v>ACTISALUD-ALMACEN MANTENIMIENTO - JEFREY CASTELLANOS Y JAIME HUMBERTO PARRA CARRILLO</v>
      </c>
      <c r="F15365" s="5" t="str">
        <f>"Descripcion: PRENSA MANUAL PARA ESCRITORIO MCA.VACU VISEC Estado: Bueno Placa anterior: 000010766 Material: HIERRO Color: GRIS Referencia:  Observacion:  Placa padre: Tipo adquisicion: Entidad"</f>
        <v>Descripcion: PRENSA MANUAL PARA ESCRITORIO MCA.VACU VISEC Estado: Bueno Placa anterior: 000010766 Material: HIERRO Color: GRIS Referencia:  Observacion:  Placa padre: Tipo adquisicion: Entidad</v>
      </c>
      <c r="G15365" s="5"/>
    </row>
    <row r="15366" spans="1:7" ht="58.5" customHeight="1" x14ac:dyDescent="0.25">
      <c r="A15366" s="5" t="str">
        <f>"H0019783"</f>
        <v>H0019783</v>
      </c>
      <c r="B15366" s="5" t="str">
        <f>"SIERRA CALADORA"</f>
        <v>SIERRA CALADORA</v>
      </c>
      <c r="C15366" s="6">
        <v>143514.5</v>
      </c>
      <c r="D15366" s="5"/>
      <c r="E15366" s="5" t="str">
        <f t="shared" si="795"/>
        <v>ACTISALUD-ALMACEN MANTENIMIENTO - JEFREY CASTELLANOS Y JAIME HUMBERTO PARRA CARRILLO</v>
      </c>
      <c r="F15366" s="5" t="str">
        <f>"Descripcion: CALADORA ELECTRICA MCA..SKILL Estado: Malo Placa anterior: 000009788 Material: PLASTICO Y METAL Color: NEGRA Referencia:  Observacion:  Placa padre: Tipo adquisicion: Entidad"</f>
        <v>Descripcion: CALADORA ELECTRICA MCA..SKILL Estado: Malo Placa anterior: 000009788 Material: PLASTICO Y METAL Color: NEGRA Referencia:  Observacion:  Placa padre: Tipo adquisicion: Entidad</v>
      </c>
      <c r="G15366" s="5"/>
    </row>
    <row r="15367" spans="1:7" ht="58.5" customHeight="1" x14ac:dyDescent="0.25">
      <c r="A15367" s="5" t="str">
        <f>"H0019784"</f>
        <v>H0019784</v>
      </c>
      <c r="B15367" s="5" t="str">
        <f>"SONDA"</f>
        <v>SONDA</v>
      </c>
      <c r="C15367" s="6">
        <v>124326.75</v>
      </c>
      <c r="D15367" s="5"/>
      <c r="E15367" s="5" t="str">
        <f t="shared" si="795"/>
        <v>ACTISALUD-ALMACEN MANTENIMIENTO - JEFREY CASTELLANOS Y JAIME HUMBERTO PARRA CARRILLO</v>
      </c>
      <c r="F15367" s="5" t="str">
        <f>"Descripcion: SONDA PARA DUCTOS ELECTRICOS Estado: Regular Placa anterior: 000009792 Material: ACERO Y PASTA Color: GRIS Y VERDE Referencia:  Observacion:  Placa padre: Tipo adquisicion: Entidad"</f>
        <v>Descripcion: SONDA PARA DUCTOS ELECTRICOS Estado: Regular Placa anterior: 000009792 Material: ACERO Y PASTA Color: GRIS Y VERDE Referencia:  Observacion:  Placa padre: Tipo adquisicion: Entidad</v>
      </c>
      <c r="G15367" s="5"/>
    </row>
    <row r="15368" spans="1:7" ht="58.5" customHeight="1" x14ac:dyDescent="0.25">
      <c r="A15368" s="5" t="str">
        <f>"H0019785"</f>
        <v>H0019785</v>
      </c>
      <c r="B15368" s="5" t="str">
        <f>"LLAVES MIXTAS"</f>
        <v>LLAVES MIXTAS</v>
      </c>
      <c r="C15368" s="6">
        <v>19020</v>
      </c>
      <c r="D15368" s="5"/>
      <c r="E15368" s="5" t="str">
        <f t="shared" si="795"/>
        <v>ACTISALUD-ALMACEN MANTENIMIENTO - JEFREY CASTELLANOS Y JAIME HUMBERTO PARRA CARRILLO</v>
      </c>
      <c r="F15368" s="5" t="str">
        <f>"Descripcion: LLAVE MIXTA X 9 UNIDADES Estado: Bueno Placa anterior: 000011955 Material: ACERO Color: GRIS Referencia:  Observacion:  Placa padre: Tipo adquisicion: Entidad"</f>
        <v>Descripcion: LLAVE MIXTA X 9 UNIDADES Estado: Bueno Placa anterior: 000011955 Material: ACERO Color: GRIS Referencia:  Observacion:  Placa padre: Tipo adquisicion: Entidad</v>
      </c>
      <c r="G15368" s="5"/>
    </row>
    <row r="15369" spans="1:7" ht="58.5" customHeight="1" x14ac:dyDescent="0.25">
      <c r="A15369" s="5" t="str">
        <f>"H0019786"</f>
        <v>H0019786</v>
      </c>
      <c r="B15369" s="5" t="str">
        <f>"LLAVE DE EXPANSION"</f>
        <v>LLAVE DE EXPANSION</v>
      </c>
      <c r="C15369" s="6">
        <v>16584.18</v>
      </c>
      <c r="D15369" s="5"/>
      <c r="E15369" s="5" t="str">
        <f t="shared" si="795"/>
        <v>ACTISALUD-ALMACEN MANTENIMIENTO - JEFREY CASTELLANOS Y JAIME HUMBERTO PARRA CARRILLO</v>
      </c>
      <c r="F15369" s="5" t="str">
        <f>"Descripcion: LLAVE DE EXPANSION DE 10  Estado: Bueno Placa anterior: 000010765 Material: ACERO Color: GRIS Referencia:  Observacion:  Placa padre: Tipo adquisicion: Entidad"</f>
        <v>Descripcion: LLAVE DE EXPANSION DE 10  Estado: Bueno Placa anterior: 000010765 Material: ACERO Color: GRIS Referencia:  Observacion:  Placa padre: Tipo adquisicion: Entidad</v>
      </c>
      <c r="G15369" s="5"/>
    </row>
    <row r="15370" spans="1:7" ht="58.5" customHeight="1" x14ac:dyDescent="0.25">
      <c r="A15370" s="5" t="str">
        <f>"H0019787"</f>
        <v>H0019787</v>
      </c>
      <c r="B15370" s="5" t="str">
        <f>"JUEGO DE LLAVES (HERRAMIENTA)"</f>
        <v>JUEGO DE LLAVES (HERRAMIENTA)</v>
      </c>
      <c r="C15370" s="6">
        <v>411767</v>
      </c>
      <c r="D15370" s="5"/>
      <c r="E15370" s="5" t="str">
        <f t="shared" si="795"/>
        <v>ACTISALUD-ALMACEN MANTENIMIENTO - JEFREY CASTELLANOS Y JAIME HUMBERTO PARRA CARRILLO</v>
      </c>
      <c r="F15370" s="5" t="str">
        <f>"Descripcion: JUEGO MANGOS Y PALAS TIP.DESTORNILLADOR X 16 PIEZAS Estado: Bueno Placa anterior: 000010741 Material: ACERO Y PASTA Color: GRIS Referencia:  Observacion:  Placa padre: Tipo adquisicion: Entidad"</f>
        <v>Descripcion: JUEGO MANGOS Y PALAS TIP.DESTORNILLADOR X 16 PIEZAS Estado: Bueno Placa anterior: 000010741 Material: ACERO Y PASTA Color: GRIS Referencia:  Observacion:  Placa padre: Tipo adquisicion: Entidad</v>
      </c>
      <c r="G15370" s="5"/>
    </row>
    <row r="15371" spans="1:7" ht="58.5" customHeight="1" x14ac:dyDescent="0.25">
      <c r="A15371" s="5" t="str">
        <f>"H0019788"</f>
        <v>H0019788</v>
      </c>
      <c r="B15371" s="5" t="str">
        <f>"ESCOFINA PLANA"</f>
        <v>ESCOFINA PLANA</v>
      </c>
      <c r="C15371" s="6">
        <v>2000</v>
      </c>
      <c r="D15371" s="5"/>
      <c r="E15371" s="5" t="str">
        <f t="shared" si="795"/>
        <v>ACTISALUD-ALMACEN MANTENIMIENTO - JEFREY CASTELLANOS Y JAIME HUMBERTO PARRA CARRILLO</v>
      </c>
      <c r="F15371" s="5" t="str">
        <f>"Descripcion: ESCOFINA PLANA PEQUEÑA CON MANGO Estado: Bueno Placa anterior: 000010767 Material: HIERRO Y PASTA Color: GRIS Y ROJO Referencia:  Observacion:  Placa padre: Tipo adquisicion: Entidad"</f>
        <v>Descripcion: ESCOFINA PLANA PEQUEÑA CON MANGO Estado: Bueno Placa anterior: 000010767 Material: HIERRO Y PASTA Color: GRIS Y ROJO Referencia:  Observacion:  Placa padre: Tipo adquisicion: Entidad</v>
      </c>
      <c r="G15371" s="5"/>
    </row>
    <row r="15372" spans="1:7" ht="58.5" customHeight="1" x14ac:dyDescent="0.25">
      <c r="A15372" s="5" t="str">
        <f>"H0019789"</f>
        <v>H0019789</v>
      </c>
      <c r="B15372" s="5" t="str">
        <f>"CAJA PARA HERRAMIENTAS Y SUS HERRAMIENTAS"</f>
        <v>CAJA PARA HERRAMIENTAS Y SUS HERRAMIENTAS</v>
      </c>
      <c r="C15372" s="6">
        <v>21000</v>
      </c>
      <c r="D15372" s="5"/>
      <c r="E15372" s="5" t="str">
        <f t="shared" si="795"/>
        <v>ACTISALUD-ALMACEN MANTENIMIENTO - JEFREY CASTELLANOS Y JAIME HUMBERTO PARRA CARRILLO</v>
      </c>
      <c r="F15372" s="5" t="str">
        <f>"Descripcion: MARCADOR ALFANUMERICO PEQUEÑO 9 PIEZAS Estado: Bueno Placa anterior: 000010771 Material: ACERO Color: GRIS Referencia:  Observacion:  Placa padre: Tipo adquisicion: Entidad"</f>
        <v>Descripcion: MARCADOR ALFANUMERICO PEQUEÑO 9 PIEZAS Estado: Bueno Placa anterior: 000010771 Material: ACERO Color: GRIS Referencia:  Observacion:  Placa padre: Tipo adquisicion: Entidad</v>
      </c>
      <c r="G15372" s="5"/>
    </row>
    <row r="15373" spans="1:7" ht="58.5" customHeight="1" x14ac:dyDescent="0.25">
      <c r="A15373" s="5" t="str">
        <f>"H0019790"</f>
        <v>H0019790</v>
      </c>
      <c r="B15373" s="5" t="str">
        <f>"ESCALERA 3 PASOS TIPO TIJERA"</f>
        <v>ESCALERA 3 PASOS TIPO TIJERA</v>
      </c>
      <c r="C15373" s="6">
        <v>150000</v>
      </c>
      <c r="D15373" s="5"/>
      <c r="E15373" s="5" t="str">
        <f t="shared" si="795"/>
        <v>ACTISALUD-ALMACEN MANTENIMIENTO - JEFREY CASTELLANOS Y JAIME HUMBERTO PARRA CARRILLO</v>
      </c>
      <c r="F15373" s="5" t="str">
        <f>"Descripcion: ESCALERA METALICA ALUMINIO TIPO TIJERA DE TRES PASOS. Estado: Bueno Placa anterior: 000022981 Material: METALICA Color: GRIS Referencia:  Observacion:  Placa padre: Tipo adquisicion: Entidad"</f>
        <v>Descripcion: ESCALERA METALICA ALUMINIO TIPO TIJERA DE TRES PASOS. Estado: Bueno Placa anterior: 000022981 Material: METALICA Color: GRIS Referencia:  Observacion:  Placa padre: Tipo adquisicion: Entidad</v>
      </c>
      <c r="G15373" s="5"/>
    </row>
    <row r="15374" spans="1:7" ht="58.5" customHeight="1" x14ac:dyDescent="0.25">
      <c r="A15374" s="5" t="str">
        <f>"H0019791"</f>
        <v>H0019791</v>
      </c>
      <c r="B15374" s="5" t="str">
        <f>"ROTULADORA"</f>
        <v>ROTULADORA</v>
      </c>
      <c r="C15374" s="6">
        <v>41800</v>
      </c>
      <c r="D15374" s="5"/>
      <c r="E15374" s="5" t="str">
        <f t="shared" si="795"/>
        <v>ACTISALUD-ALMACEN MANTENIMIENTO - JEFREY CASTELLANOS Y JAIME HUMBERTO PARRA CARRILLO</v>
      </c>
      <c r="F15374" s="5" t="str">
        <f>"Descripcion: ROTULA ALFANUMERICA MCA. DAMO Estado: Bueno Placa anterior: 000010774 Material: PLASTICO Color: GRIS Referencia:  Observacion:  Placa padre: Tipo adquisicion: Entidad"</f>
        <v>Descripcion: ROTULA ALFANUMERICA MCA. DAMO Estado: Bueno Placa anterior: 000010774 Material: PLASTICO Color: GRIS Referencia:  Observacion:  Placa padre: Tipo adquisicion: Entidad</v>
      </c>
      <c r="G15374" s="5"/>
    </row>
    <row r="15375" spans="1:7" ht="58.5" customHeight="1" x14ac:dyDescent="0.25">
      <c r="A15375" s="5" t="str">
        <f>"H0019793"</f>
        <v>H0019793</v>
      </c>
      <c r="B15375" s="5" t="str">
        <f>"TESTER (MULTIMETRO)"</f>
        <v>TESTER (MULTIMETRO)</v>
      </c>
      <c r="C15375" s="6">
        <v>454548.75</v>
      </c>
      <c r="D15375" s="5"/>
      <c r="E15375" s="5" t="str">
        <f t="shared" si="795"/>
        <v>ACTISALUD-ALMACEN MANTENIMIENTO - JEFREY CASTELLANOS Y JAIME HUMBERTO PARRA CARRILLO</v>
      </c>
      <c r="F15375" s="5" t="str">
        <f>"Descripcion: MULTIMETRO ANALOGICO MCA.TRIPPET Estado: Bueno Placa anterior: 000009791 Material: PASTA Color: NEGRO Referencia:  Observacion:  Placa padre: Tipo adquisicion: Entidad"</f>
        <v>Descripcion: MULTIMETRO ANALOGICO MCA.TRIPPET Estado: Bueno Placa anterior: 000009791 Material: PASTA Color: NEGRO Referencia:  Observacion:  Placa padre: Tipo adquisicion: Entidad</v>
      </c>
      <c r="G15375" s="5"/>
    </row>
    <row r="15376" spans="1:7" ht="58.5" customHeight="1" x14ac:dyDescent="0.25">
      <c r="A15376" s="5" t="str">
        <f>"H0019796"</f>
        <v>H0019796</v>
      </c>
      <c r="B15376" s="5" t="str">
        <f>"GATO CAIMAN (TIPO ZORRA)"</f>
        <v>GATO CAIMAN (TIPO ZORRA)</v>
      </c>
      <c r="C15376" s="6">
        <v>102828.17</v>
      </c>
      <c r="D15376" s="5"/>
      <c r="E15376" s="5" t="str">
        <f t="shared" si="795"/>
        <v>ACTISALUD-ALMACEN MANTENIMIENTO - JEFREY CASTELLANOS Y JAIME HUMBERTO PARRA CARRILLO</v>
      </c>
      <c r="F15376" s="5" t="str">
        <f>"Descripcion: GATO HIDRAULICO TIPO CAIMAN Estado: Malo Placa anterior: 000010740 Material: HIERRO Color: ROJO Referencia:  Observacion:  Placa padre: Tipo adquisicion: Entidad"</f>
        <v>Descripcion: GATO HIDRAULICO TIPO CAIMAN Estado: Malo Placa anterior: 000010740 Material: HIERRO Color: ROJO Referencia:  Observacion:  Placa padre: Tipo adquisicion: Entidad</v>
      </c>
      <c r="G15376" s="5"/>
    </row>
    <row r="15377" spans="1:7" ht="58.5" customHeight="1" x14ac:dyDescent="0.25">
      <c r="A15377" s="5" t="str">
        <f>"H0019797"</f>
        <v>H0019797</v>
      </c>
      <c r="B15377" s="5" t="str">
        <f>"ESCRITORIOS LINEAL SUPERFICIE ENCHAPADA"</f>
        <v>ESCRITORIOS LINEAL SUPERFICIE ENCHAPADA</v>
      </c>
      <c r="C15377" s="6">
        <v>30000</v>
      </c>
      <c r="D15377" s="5"/>
      <c r="E15377" s="5" t="str">
        <f t="shared" si="795"/>
        <v>ACTISALUD-ALMACEN MANTENIMIENTO - JEFREY CASTELLANOS Y JAIME HUMBERTO PARRA CARRILLO</v>
      </c>
      <c r="F15377" s="5" t="str">
        <f>"Descripcion: PLATAFORMA EN FORMICA CON LAMPARA Y LUPA Estado: Regular Placa anterior: 000010607 Material: METALICO Y FORMICA Color: AZUL Referencia:  Observacion:  Placa padre: Tipo adquisicion: Entidad"</f>
        <v>Descripcion: PLATAFORMA EN FORMICA CON LAMPARA Y LUPA Estado: Regular Placa anterior: 000010607 Material: METALICO Y FORMICA Color: AZUL Referencia:  Observacion:  Placa padre: Tipo adquisicion: Entidad</v>
      </c>
      <c r="G15377" s="5"/>
    </row>
    <row r="15378" spans="1:7" ht="58.5" customHeight="1" x14ac:dyDescent="0.25">
      <c r="A15378" s="5" t="str">
        <f>"H0019798"</f>
        <v>H0019798</v>
      </c>
      <c r="B15378" s="5" t="str">
        <f>"SEPARADOR DE PLASMA"</f>
        <v>SEPARADOR DE PLASMA</v>
      </c>
      <c r="C15378" s="6">
        <v>35000</v>
      </c>
      <c r="D15378" s="5"/>
      <c r="E15378" s="5" t="str">
        <f t="shared" si="795"/>
        <v>ACTISALUD-ALMACEN MANTENIMIENTO - JEFREY CASTELLANOS Y JAIME HUMBERTO PARRA CARRILLO</v>
      </c>
      <c r="F15378" s="5" t="str">
        <f>"Descripcion: SEPARADOR DE PLASMA MANUAL Estado: Bueno Placa anterior: 000010608 Material: ACERO Color: GRIS Referencia:  Observacion:  Placa padre: Tipo adquisicion: Entidad"</f>
        <v>Descripcion: SEPARADOR DE PLASMA MANUAL Estado: Bueno Placa anterior: 000010608 Material: ACERO Color: GRIS Referencia:  Observacion:  Placa padre: Tipo adquisicion: Entidad</v>
      </c>
      <c r="G15378" s="5"/>
    </row>
    <row r="15379" spans="1:7" ht="58.5" customHeight="1" x14ac:dyDescent="0.25">
      <c r="A15379" s="5" t="str">
        <f>"H0020001"</f>
        <v>H0020001</v>
      </c>
      <c r="B15379" s="5" t="str">
        <f>"CIZALLA (INSTRUMENTAL)"</f>
        <v>CIZALLA (INSTRUMENTAL)</v>
      </c>
      <c r="C15379" s="6">
        <v>185600</v>
      </c>
      <c r="D15379" s="5"/>
      <c r="E15379" s="5" t="str">
        <f t="shared" si="795"/>
        <v>ACTISALUD-ALMACEN MANTENIMIENTO - JEFREY CASTELLANOS Y JAIME HUMBERTO PARRA CARRILLO</v>
      </c>
      <c r="F15379" s="5" t="str">
        <f>"Descripcion: CIZALLA PEQUEÑA Estado: Bueno Placa anterior: 000010746 Material: HIERRO Color: GRIS Y AZUL Referencia:  Observacion:  Placa padre: Tipo adquisicion: Entidad"</f>
        <v>Descripcion: CIZALLA PEQUEÑA Estado: Bueno Placa anterior: 000010746 Material: HIERRO Color: GRIS Y AZUL Referencia:  Observacion:  Placa padre: Tipo adquisicion: Entidad</v>
      </c>
      <c r="G15379" s="5"/>
    </row>
    <row r="15380" spans="1:7" ht="58.5" customHeight="1" x14ac:dyDescent="0.25">
      <c r="A15380" s="5" t="str">
        <f>"H0022596"</f>
        <v>H0022596</v>
      </c>
      <c r="B15380" s="5" t="str">
        <f>"CARRO TRANSPORTADOR"</f>
        <v>CARRO TRANSPORTADOR</v>
      </c>
      <c r="C15380" s="6">
        <v>120000</v>
      </c>
      <c r="D15380" s="5"/>
      <c r="E15380" s="5" t="str">
        <f t="shared" si="795"/>
        <v>ACTISALUD-ALMACEN MANTENIMIENTO - JEFREY CASTELLANOS Y JAIME HUMBERTO PARRA CARRILLO</v>
      </c>
      <c r="F15380" s="5" t="str">
        <f>"Descripcion:CARRO TRANSPORTADOR CON PLATAFORMA Estado: Bueno Placa anterior: 000002254 Material: METALICO Color:  Referencia:  Observacion:  Placa padre:  Tipo adquisicion : Entidad"</f>
        <v>Descripcion:CARRO TRANSPORTADOR CON PLATAFORMA Estado: Bueno Placa anterior: 000002254 Material: METALICO Color:  Referencia:  Observacion:  Placa padre:  Tipo adquisicion : Entidad</v>
      </c>
      <c r="G15380" s="5"/>
    </row>
    <row r="15381" spans="1:7" ht="58.5" customHeight="1" x14ac:dyDescent="0.25">
      <c r="A15381" s="5" t="str">
        <f>"H0024144"</f>
        <v>H0024144</v>
      </c>
      <c r="B15381" s="5" t="str">
        <f>"EXTINTORES 3700 grs DE AGENTE LIMPIO"</f>
        <v>EXTINTORES 3700 grs DE AGENTE LIMPIO</v>
      </c>
      <c r="C15381" s="6">
        <v>330000.01</v>
      </c>
      <c r="D15381" s="5" t="s">
        <v>458</v>
      </c>
      <c r="E15381" s="5" t="str">
        <f t="shared" si="795"/>
        <v>ACTISALUD-ALMACEN MANTENIMIENTO - JEFREY CASTELLANOS Y JAIME HUMBERTO PARRA CARRILLO</v>
      </c>
      <c r="F15381" s="5"/>
      <c r="G15381" s="5"/>
    </row>
    <row r="15382" spans="1:7" ht="58.5" customHeight="1" x14ac:dyDescent="0.25">
      <c r="A15382" s="5" t="str">
        <f>"H0025445"</f>
        <v>H0025445</v>
      </c>
      <c r="B1538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5382" s="6">
        <v>312156</v>
      </c>
      <c r="D15382" s="5" t="s">
        <v>10</v>
      </c>
      <c r="E15382" s="5" t="str">
        <f t="shared" si="795"/>
        <v>ACTISALUD-ALMACEN MANTENIMIENTO - JEFREY CASTELLANOS Y JAIME HUMBERTO PARRA CARRILLO</v>
      </c>
      <c r="F15382" s="5"/>
      <c r="G15382" s="5"/>
    </row>
    <row r="15383" spans="1:7" ht="58.5" customHeight="1" x14ac:dyDescent="0.25">
      <c r="A15383" s="5" t="str">
        <f>"H0026062"</f>
        <v>H0026062</v>
      </c>
      <c r="B15383"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15383" s="6">
        <v>68620</v>
      </c>
      <c r="D15383" s="5" t="s">
        <v>220</v>
      </c>
      <c r="E15383" s="5" t="str">
        <f t="shared" si="795"/>
        <v>ACTISALUD-ALMACEN MANTENIMIENTO - JEFREY CASTELLANOS Y JAIME HUMBERTO PARRA CARRILLO</v>
      </c>
      <c r="F15383" s="5"/>
      <c r="G15383" s="5"/>
    </row>
    <row r="15384" spans="1:7" ht="58.5" customHeight="1" x14ac:dyDescent="0.25">
      <c r="A15384" s="5" t="str">
        <f>"H0026063"</f>
        <v>H0026063</v>
      </c>
      <c r="B15384"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15384" s="6">
        <v>68620</v>
      </c>
      <c r="D15384" s="5" t="s">
        <v>220</v>
      </c>
      <c r="E15384" s="5" t="str">
        <f t="shared" si="795"/>
        <v>ACTISALUD-ALMACEN MANTENIMIENTO - JEFREY CASTELLANOS Y JAIME HUMBERTO PARRA CARRILLO</v>
      </c>
      <c r="F15384" s="5"/>
      <c r="G15384" s="5"/>
    </row>
    <row r="15385" spans="1:7" ht="58.5" customHeight="1" x14ac:dyDescent="0.25">
      <c r="A15385" s="5" t="str">
        <f>"H0029311"</f>
        <v>H0029311</v>
      </c>
      <c r="B15385" s="5" t="str">
        <f>"SILLA HERGONOMICA CON SISTEMA HIDRAULICO"</f>
        <v>SILLA HERGONOMICA CON SISTEMA HIDRAULICO</v>
      </c>
      <c r="C15385" s="6">
        <v>174900</v>
      </c>
      <c r="D15385" s="5" t="s">
        <v>89</v>
      </c>
      <c r="E15385" s="5" t="str">
        <f t="shared" si="795"/>
        <v>ACTISALUD-ALMACEN MANTENIMIENTO - JEFREY CASTELLANOS Y JAIME HUMBERTO PARRA CARRILLO</v>
      </c>
      <c r="F15385" s="5"/>
      <c r="G15385" s="5"/>
    </row>
    <row r="15386" spans="1:7" ht="58.5" customHeight="1" x14ac:dyDescent="0.25">
      <c r="A15386" s="5" t="str">
        <f>"H0029312"</f>
        <v>H0029312</v>
      </c>
      <c r="B15386" s="5" t="str">
        <f>"SILLA HERGONOMICA CON SISTEMA HIDRAULICO"</f>
        <v>SILLA HERGONOMICA CON SISTEMA HIDRAULICO</v>
      </c>
      <c r="C15386" s="6">
        <v>174900</v>
      </c>
      <c r="D15386" s="5" t="s">
        <v>89</v>
      </c>
      <c r="E15386" s="5" t="str">
        <f t="shared" si="795"/>
        <v>ACTISALUD-ALMACEN MANTENIMIENTO - JEFREY CASTELLANOS Y JAIME HUMBERTO PARRA CARRILLO</v>
      </c>
      <c r="F15386" s="5"/>
      <c r="G15386" s="5"/>
    </row>
    <row r="15387" spans="1:7" ht="58.5" customHeight="1" x14ac:dyDescent="0.25">
      <c r="A15387" s="5" t="str">
        <f>"H0034857"</f>
        <v>H0034857</v>
      </c>
      <c r="B15387" s="5" t="str">
        <f>"COMPUTADOR TODO EN UNO"</f>
        <v>COMPUTADOR TODO EN UNO</v>
      </c>
      <c r="C15387" s="6">
        <v>5291396.9000000004</v>
      </c>
      <c r="D15387" s="5" t="s">
        <v>24</v>
      </c>
      <c r="E15387" s="5" t="str">
        <f t="shared" si="795"/>
        <v>ACTISALUD-ALMACEN MANTENIMIENTO - JEFREY CASTELLANOS Y JAIME HUMBERTO PARRA CARRILLO</v>
      </c>
      <c r="F15387" s="5"/>
      <c r="G15387" s="5"/>
    </row>
    <row r="15388" spans="1:7" ht="58.5" customHeight="1" x14ac:dyDescent="0.25">
      <c r="A15388" s="5" t="str">
        <f>"H0035256"</f>
        <v>H0035256</v>
      </c>
      <c r="B15388" s="5" t="str">
        <f>"TALADRO ATORNILLADOR DE 20W DW"</f>
        <v>TALADRO ATORNILLADOR DE 20W DW</v>
      </c>
      <c r="C15388" s="6">
        <v>950000</v>
      </c>
      <c r="D15388" s="5" t="s">
        <v>748</v>
      </c>
      <c r="E15388" s="5" t="str">
        <f t="shared" si="795"/>
        <v>ACTISALUD-ALMACEN MANTENIMIENTO - JEFREY CASTELLANOS Y JAIME HUMBERTO PARRA CARRILLO</v>
      </c>
      <c r="F15388" s="5"/>
      <c r="G15388" s="5"/>
    </row>
    <row r="15389" spans="1:7" ht="58.5" customHeight="1" x14ac:dyDescent="0.25">
      <c r="A15389" s="5" t="str">
        <f>"H0035309"</f>
        <v>H0035309</v>
      </c>
      <c r="B15389" s="5" t="str">
        <f>"TALADRO PERCUSOR DAWAT DE 780 W"</f>
        <v>TALADRO PERCUSOR DAWAT DE 780 W</v>
      </c>
      <c r="C15389" s="6">
        <v>730000</v>
      </c>
      <c r="D15389" s="5" t="s">
        <v>749</v>
      </c>
      <c r="E15389" s="5" t="str">
        <f t="shared" si="795"/>
        <v>ACTISALUD-ALMACEN MANTENIMIENTO - JEFREY CASTELLANOS Y JAIME HUMBERTO PARRA CARRILLO</v>
      </c>
      <c r="F15389" s="5"/>
      <c r="G15389" s="5"/>
    </row>
    <row r="15390" spans="1:7" ht="58.5" customHeight="1" x14ac:dyDescent="0.25">
      <c r="A15390" s="5" t="str">
        <f>"B0004127"</f>
        <v>B0004127</v>
      </c>
      <c r="B15390" s="5" t="str">
        <f>"JUEGO LLAVES BRISTOL**"</f>
        <v>JUEGO LLAVES BRISTOL**</v>
      </c>
      <c r="C15390" s="6">
        <v>148500</v>
      </c>
      <c r="D15390" s="5"/>
      <c r="E15390" s="5" t="str">
        <f t="shared" ref="E15390:E15421" si="796">"MMTO TALLER SOLDADURA -METALMECANICA-ANGEL CUSTODIO SANCHEZ"</f>
        <v>MMTO TALLER SOLDADURA -METALMECANICA-ANGEL CUSTODIO SANCHEZ</v>
      </c>
      <c r="F15390" s="5" t="str">
        <f>"Descripcion: LLAVE BRISTOL SIN ESTUCHE 3 UNIDADES MILIMETRICAS Estado: Bueno Placa anterior: 000019024 Material: ACERO Color: NEGRO Referencia:  Observacion: LLAVES ESTAN SUELTA SIN ESTUCHE  LLAVE MILIMETRICA   Placa padre: Tipo adquisicion: Entidad"</f>
        <v>Descripcion: LLAVE BRISTOL SIN ESTUCHE 3 UNIDADES MILIMETRICAS Estado: Bueno Placa anterior: 000019024 Material: ACERO Color: NEGRO Referencia:  Observacion: LLAVES ESTAN SUELTA SIN ESTUCHE  LLAVE MILIMETRICA   Placa padre: Tipo adquisicion: Entidad</v>
      </c>
      <c r="G15390" s="5"/>
    </row>
    <row r="15391" spans="1:7" ht="58.5" customHeight="1" x14ac:dyDescent="0.25">
      <c r="A15391" s="5" t="str">
        <f>"B0005237"</f>
        <v>B0005237</v>
      </c>
      <c r="B15391" s="5" t="str">
        <f>"PINZA PARA MASA (SOLDADURA)"</f>
        <v>PINZA PARA MASA (SOLDADURA)</v>
      </c>
      <c r="C15391" s="6">
        <v>16500</v>
      </c>
      <c r="D15391" s="5"/>
      <c r="E15391" s="5" t="str">
        <f t="shared" si="796"/>
        <v>MMTO TALLER SOLDADURA -METALMECANICA-ANGEL CUSTODIO SANCHEZ</v>
      </c>
      <c r="F15391" s="5" t="str">
        <f>"Descripcion: PINZAS PARA MASA 300 amps REF. ALEMANA Estado: Bueno Placa anterior: 000024938 Material:  Color:  Referencia:  Observacion:  Placa padre: H0005524Tipo adquisicion: Entidad"</f>
        <v>Descripcion: PINZAS PARA MASA 300 amps REF. ALEMANA Estado: Bueno Placa anterior: 000024938 Material:  Color:  Referencia:  Observacion:  Placa padre: H0005524Tipo adquisicion: Entidad</v>
      </c>
      <c r="G15391" s="5"/>
    </row>
    <row r="15392" spans="1:7" ht="58.5" customHeight="1" x14ac:dyDescent="0.25">
      <c r="A15392" s="5" t="str">
        <f>"B0005238"</f>
        <v>B0005238</v>
      </c>
      <c r="B15392" s="5" t="str">
        <f>"PINZA PARA MASA (SOLDADURA)"</f>
        <v>PINZA PARA MASA (SOLDADURA)</v>
      </c>
      <c r="C15392" s="6">
        <v>16500</v>
      </c>
      <c r="D15392" s="5"/>
      <c r="E15392" s="5" t="str">
        <f t="shared" si="796"/>
        <v>MMTO TALLER SOLDADURA -METALMECANICA-ANGEL CUSTODIO SANCHEZ</v>
      </c>
      <c r="F15392" s="5" t="str">
        <f>"Descripcion: PINZAS PARA MASA 300 amps REF. ALEMANA Estado: Bueno Placa anterior: 000024939 Material:  Color:  Referencia:  Observacion:  Placa padre: H0020608Tipo adquisicion: Entidad"</f>
        <v>Descripcion: PINZAS PARA MASA 300 amps REF. ALEMANA Estado: Bueno Placa anterior: 000024939 Material:  Color:  Referencia:  Observacion:  Placa padre: H0020608Tipo adquisicion: Entidad</v>
      </c>
      <c r="G15392" s="5"/>
    </row>
    <row r="15393" spans="1:7" ht="58.5" customHeight="1" x14ac:dyDescent="0.25">
      <c r="A15393" s="5" t="str">
        <f>"H0000442"</f>
        <v>H0000442</v>
      </c>
      <c r="B15393" s="5" t="str">
        <f>"MESA METALICA AUXILIAR"</f>
        <v>MESA METALICA AUXILIAR</v>
      </c>
      <c r="C15393" s="6">
        <v>300000</v>
      </c>
      <c r="D15393" s="5" t="s">
        <v>147</v>
      </c>
      <c r="E15393" s="5" t="str">
        <f t="shared" si="796"/>
        <v>MMTO TALLER SOLDADURA -METALMECANICA-ANGEL CUSTODIO SANCHEZ</v>
      </c>
      <c r="F15393" s="5" t="str">
        <f>"Descripcion: MESA METALICA 1 GAVETA  DE 39X44X36 Estado: Bueno Placa anterior: 000037623 Material: METAL Color: GRIS Referencia:  Observacion:  Placa padre: Tipo adquisicion: Entidad"</f>
        <v>Descripcion: MESA METALICA 1 GAVETA  DE 39X44X36 Estado: Bueno Placa anterior: 000037623 Material: METAL Color: GRIS Referencia:  Observacion:  Placa padre: Tipo adquisicion: Entidad</v>
      </c>
      <c r="G15393" s="5"/>
    </row>
    <row r="15394" spans="1:7" ht="58.5" customHeight="1" x14ac:dyDescent="0.25">
      <c r="A15394" s="5" t="str">
        <f>"H0005523"</f>
        <v>H0005523</v>
      </c>
      <c r="B15394" s="5" t="str">
        <f>"ESMERIL ELECTRICO DE MESA"</f>
        <v>ESMERIL ELECTRICO DE MESA</v>
      </c>
      <c r="C15394" s="6">
        <v>81400</v>
      </c>
      <c r="D15394" s="5"/>
      <c r="E15394" s="5" t="str">
        <f t="shared" si="796"/>
        <v>MMTO TALLER SOLDADURA -METALMECANICA-ANGEL CUSTODIO SANCHEZ</v>
      </c>
      <c r="F15394" s="5" t="str">
        <f>"Descripcion: MOTO ESMERIL MCA.DELTAESMERIL DE DOS DISCO       Estado: Bueno Placa anterior: 000012075 Material: HIERRO Color: GRIS Referencia:  Observacion: CON BASE HECHA POR FUNCIONARIOS. EQUIPO NO MOSTRO SERIAL, MARCA Y MODELO NO PRESENTABA INFORMACION"&amp; " POR EL USO  Placa padre: Tipo adquisicion: Entidad"</f>
        <v>Descripcion: MOTO ESMERIL MCA.DELTAESMERIL DE DOS DISCO       Estado: Bueno Placa anterior: 000012075 Material: HIERRO Color: GRIS Referencia:  Observacion: CON BASE HECHA POR FUNCIONARIOS. EQUIPO NO MOSTRO SERIAL, MARCA Y MODELO NO PRESENTABA INFORMACION POR EL USO  Placa padre: Tipo adquisicion: Entidad</v>
      </c>
      <c r="G15394" s="5"/>
    </row>
    <row r="15395" spans="1:7" ht="58.5" customHeight="1" x14ac:dyDescent="0.25">
      <c r="A15395" s="5" t="str">
        <f>"H0005531"</f>
        <v>H0005531</v>
      </c>
      <c r="B15395" s="5" t="str">
        <f>"SILLA INTERLOCUTORA (FIJA) SIN BRAZOS"</f>
        <v>SILLA INTERLOCUTORA (FIJA) SIN BRAZOS</v>
      </c>
      <c r="C15395" s="6">
        <v>5825.94</v>
      </c>
      <c r="D15395" s="5"/>
      <c r="E15395" s="5" t="str">
        <f t="shared" si="796"/>
        <v>MMTO TALLER SOLDADURA -METALMECANICA-ANGEL CUSTODIO SANCHEZ</v>
      </c>
      <c r="F15395" s="5" t="str">
        <f>"Descripcion: SILLA INTERLOCUTORA TAPIZADA EN LONA   Estado: Malo Placa anterior: 000018454 Material: METALICA Y PASTA Color: NEGRO Referencia:  Observacion: LE FALTA EL ESPALDAR Placa padre: Tipo adquisicion: Entidad"</f>
        <v>Descripcion: SILLA INTERLOCUTORA TAPIZADA EN LONA   Estado: Malo Placa anterior: 000018454 Material: METALICA Y PASTA Color: NEGRO Referencia:  Observacion: LE FALTA EL ESPALDAR Placa padre: Tipo adquisicion: Entidad</v>
      </c>
      <c r="G15395" s="5"/>
    </row>
    <row r="15396" spans="1:7" ht="58.5" customHeight="1" x14ac:dyDescent="0.25">
      <c r="A15396" s="5" t="str">
        <f>"H0005533"</f>
        <v>H0005533</v>
      </c>
      <c r="B15396" s="5" t="str">
        <f>"LIJADORA ORBITAL PORTATIL ELECTRICA"</f>
        <v>LIJADORA ORBITAL PORTATIL ELECTRICA</v>
      </c>
      <c r="C15396" s="6">
        <v>209900.27</v>
      </c>
      <c r="D15396" s="5" t="s">
        <v>208</v>
      </c>
      <c r="E15396" s="5" t="str">
        <f t="shared" si="796"/>
        <v>MMTO TALLER SOLDADURA -METALMECANICA-ANGEL CUSTODIO SANCHEZ</v>
      </c>
      <c r="F15396" s="5" t="str">
        <f>"Descripcion: LIJADORA ORBITAL 1/4 PLIEGO D26441 Estado: Bueno Placa anterior: 000036553 Material: METALICA Y PASTA Color: AMRILLA Referencia:  Observacion:  Placa padre: Tipo adquisicion: Entidad"</f>
        <v>Descripcion: LIJADORA ORBITAL 1/4 PLIEGO D26441 Estado: Bueno Placa anterior: 000036553 Material: METALICA Y PASTA Color: AMRILLA Referencia:  Observacion:  Placa padre: Tipo adquisicion: Entidad</v>
      </c>
      <c r="G15396" s="5" t="str">
        <f>"D26441"</f>
        <v>D26441</v>
      </c>
    </row>
    <row r="15397" spans="1:7" ht="58.5" customHeight="1" x14ac:dyDescent="0.25">
      <c r="A15397" s="5" t="str">
        <f>"H0005534"</f>
        <v>H0005534</v>
      </c>
      <c r="B15397" s="5" t="str">
        <f>"MOTORTOOL"</f>
        <v>MOTORTOOL</v>
      </c>
      <c r="C15397" s="6">
        <v>399900.38</v>
      </c>
      <c r="D15397" s="5" t="s">
        <v>291</v>
      </c>
      <c r="E15397" s="5" t="str">
        <f t="shared" si="796"/>
        <v>MMTO TALLER SOLDADURA -METALMECANICA-ANGEL CUSTODIO SANCHEZ</v>
      </c>
      <c r="F15397" s="5" t="str">
        <f>"Descripcion: MOTOR TOOL 1 1/2 DW887PARA SACAR FILOS Y PULIR Estado: Malo Placa anterior: 000030710 Material: METALICA Y DE PASTA Color: AMARILLA Referencia:  Observacion: MANIFIESTA EL FUNCIONARIO QUE NO FUNCIONA Placa padre: Tipo adquisicion: Entidad"</f>
        <v>Descripcion: MOTOR TOOL 1 1/2 DW887PARA SACAR FILOS Y PULIR Estado: Malo Placa anterior: 000030710 Material: METALICA Y DE PASTA Color: AMARILLA Referencia:  Observacion: MANIFIESTA EL FUNCIONARIO QUE NO FUNCIONA Placa padre: Tipo adquisicion: Entidad</v>
      </c>
      <c r="G15397" s="5" t="str">
        <f>"DW887-B3"</f>
        <v>DW887-B3</v>
      </c>
    </row>
    <row r="15398" spans="1:7" ht="58.5" customHeight="1" x14ac:dyDescent="0.25">
      <c r="A15398" s="5" t="str">
        <f>"H0005535"</f>
        <v>H0005535</v>
      </c>
      <c r="B15398" s="5" t="str">
        <f>"PULIDORA (CORTE Y PULIDO)"</f>
        <v>PULIDORA (CORTE Y PULIDO)</v>
      </c>
      <c r="C15398" s="6">
        <v>249900.03</v>
      </c>
      <c r="D15398" s="5" t="s">
        <v>750</v>
      </c>
      <c r="E15398" s="5" t="str">
        <f t="shared" si="796"/>
        <v>MMTO TALLER SOLDADURA -METALMECANICA-ANGEL CUSTODIO SANCHEZ</v>
      </c>
      <c r="F15398" s="5" t="str">
        <f>"Descripcion: PULIDORA 4 1/2 DWE 4120-B3 Estado: Bueno Placa anterior: 000030834 Material: METALICA Y PASTA Color: AMARILLA Referencia:  Observacion:  Placa padre: Tipo adquisicion: Entidad"</f>
        <v>Descripcion: PULIDORA 4 1/2 DWE 4120-B3 Estado: Bueno Placa anterior: 000030834 Material: METALICA Y PASTA Color: AMARILLA Referencia:  Observacion:  Placa padre: Tipo adquisicion: Entidad</v>
      </c>
      <c r="G15398" s="5" t="str">
        <f>"DWE 4120-B3"</f>
        <v>DWE 4120-B3</v>
      </c>
    </row>
    <row r="15399" spans="1:7" ht="58.5" customHeight="1" x14ac:dyDescent="0.25">
      <c r="A15399" s="5" t="str">
        <f>"H0005538"</f>
        <v>H0005538</v>
      </c>
      <c r="B15399" s="5" t="str">
        <f>"PULIDORA (CORTE Y PULIDO)"</f>
        <v>PULIDORA (CORTE Y PULIDO)</v>
      </c>
      <c r="C15399" s="6">
        <v>449899.83</v>
      </c>
      <c r="D15399" s="5" t="s">
        <v>208</v>
      </c>
      <c r="E15399" s="5" t="str">
        <f t="shared" si="796"/>
        <v>MMTO TALLER SOLDADURA -METALMECANICA-ANGEL CUSTODIO SANCHEZ</v>
      </c>
      <c r="F15399" s="5" t="str">
        <f>"Descripcion: PULIDORA INDUSTRIAL 4 1/2 1700WD28115 Estado: Bueno Placa anterior: 000036555 Material: METALICA Y PASTA Color: AMARILLA Referencia:  Observacion:  Placa padre: Tipo adquisicion: Entidad"</f>
        <v>Descripcion: PULIDORA INDUSTRIAL 4 1/2 1700WD28115 Estado: Bueno Placa anterior: 000036555 Material: METALICA Y PASTA Color: AMARILLA Referencia:  Observacion:  Placa padre: Tipo adquisicion: Entidad</v>
      </c>
      <c r="G15399" s="5" t="str">
        <f>"D28115"</f>
        <v>D28115</v>
      </c>
    </row>
    <row r="15400" spans="1:7" ht="58.5" customHeight="1" x14ac:dyDescent="0.25">
      <c r="A15400" s="5" t="str">
        <f>"H0011496"</f>
        <v>H0011496</v>
      </c>
      <c r="B15400" s="5" t="str">
        <f>"MESON EN ACERO INOXIDABLE"</f>
        <v>MESON EN ACERO INOXIDABLE</v>
      </c>
      <c r="C15400" s="6">
        <v>35240.589999999997</v>
      </c>
      <c r="D15400" s="5"/>
      <c r="E15400" s="5" t="str">
        <f t="shared" si="796"/>
        <v>MMTO TALLER SOLDADURA -METALMECANICA-ANGEL CUSTODIO SANCHEZ</v>
      </c>
      <c r="F15400" s="5" t="str">
        <f>"Descripcion: MESON EN ACERO INOX. TOPE EN ANGULO83X194X66 Estado: Bueno Placa anterior: 000015387 Material: ACERO INOXIDABLE Color:  Referencia:  Observacion:  Placa padre: Tipo adquisicion: Entidad"</f>
        <v>Descripcion: MESON EN ACERO INOX. TOPE EN ANGULO83X194X66 Estado: Bueno Placa anterior: 000015387 Material: ACERO INOXIDABLE Color:  Referencia:  Observacion:  Placa padre: Tipo adquisicion: Entidad</v>
      </c>
      <c r="G15400" s="5"/>
    </row>
    <row r="15401" spans="1:7" ht="58.5" customHeight="1" x14ac:dyDescent="0.25">
      <c r="A15401" s="5" t="str">
        <f>"H0011761"</f>
        <v>H0011761</v>
      </c>
      <c r="B15401" s="5" t="str">
        <f>"MESA METALICA AUXILIAR"</f>
        <v>MESA METALICA AUXILIAR</v>
      </c>
      <c r="C15401" s="6">
        <v>21620</v>
      </c>
      <c r="D15401" s="5"/>
      <c r="E15401" s="5" t="str">
        <f t="shared" si="796"/>
        <v>MMTO TALLER SOLDADURA -METALMECANICA-ANGEL CUSTODIO SANCHEZ</v>
      </c>
      <c r="F15401" s="5" t="str">
        <f>"Descripcion: MESA PARA TELEVISOR Y BETAMAX 1 ENTREPAÑO Estado: Bueno Placa anterior: 000009395 Material: METALICO CON MESON EN FORMICA Color: CROMADO, MARRON Referencia:  Observacion:  Placa padre: Tipo adquisicion: Entidad"</f>
        <v>Descripcion: MESA PARA TELEVISOR Y BETAMAX 1 ENTREPAÑO Estado: Bueno Placa anterior: 000009395 Material: METALICO CON MESON EN FORMICA Color: CROMADO, MARRON Referencia:  Observacion:  Placa padre: Tipo adquisicion: Entidad</v>
      </c>
      <c r="G15401" s="5"/>
    </row>
    <row r="15402" spans="1:7" ht="58.5" customHeight="1" x14ac:dyDescent="0.25">
      <c r="A15402" s="5" t="str">
        <f>"H0013901"</f>
        <v>H0013901</v>
      </c>
      <c r="B15402" s="5" t="str">
        <f>"MESON EN ACERO INOXIDABLE"</f>
        <v>MESON EN ACERO INOXIDABLE</v>
      </c>
      <c r="C15402" s="6">
        <v>37046.959999999999</v>
      </c>
      <c r="D15402" s="5"/>
      <c r="E15402" s="5" t="str">
        <f t="shared" si="796"/>
        <v>MMTO TALLER SOLDADURA -METALMECANICA-ANGEL CUSTODIO SANCHEZ</v>
      </c>
      <c r="F15402" s="5" t="str">
        <f>"Descripcion: MESON EN ACERO INOX. CON TOPE EN L 100X202X66 CMS Estado: Regular Placa anterior: 000015377 Material: ACERO INOXIDABLE Color:  Referencia:  Observacion:  Placa padre: Tipo adquisicion: Entidad"</f>
        <v>Descripcion: MESON EN ACERO INOX. CON TOPE EN L 100X202X66 CMS Estado: Regular Placa anterior: 000015377 Material: ACERO INOXIDABLE Color:  Referencia:  Observacion:  Placa padre: Tipo adquisicion: Entidad</v>
      </c>
      <c r="G15402" s="5"/>
    </row>
    <row r="15403" spans="1:7" ht="58.5" customHeight="1" x14ac:dyDescent="0.25">
      <c r="A15403" s="5" t="str">
        <f>"H0013936"</f>
        <v>H0013936</v>
      </c>
      <c r="B15403" s="5" t="str">
        <f>"MESON EN ACERO INOXIDABLE"</f>
        <v>MESON EN ACERO INOXIDABLE</v>
      </c>
      <c r="C15403" s="6">
        <v>37046.959999999999</v>
      </c>
      <c r="D15403" s="5"/>
      <c r="E15403" s="5" t="str">
        <f t="shared" si="796"/>
        <v>MMTO TALLER SOLDADURA -METALMECANICA-ANGEL CUSTODIO SANCHEZ</v>
      </c>
      <c r="F15403" s="5" t="str">
        <f>"Descripcion: MESON EN ACERO INOX. CON TOPE EN L 100X203X66 CMS Estado: Bueno Placa anterior: 000015400 Material: ACERO INOXIDABLE Color:  Referencia:  Observacion:  Placa padre: Tipo adquisicion: Entidad"</f>
        <v>Descripcion: MESON EN ACERO INOX. CON TOPE EN L 100X203X66 CMS Estado: Bueno Placa anterior: 000015400 Material: ACERO INOXIDABLE Color:  Referencia:  Observacion:  Placa padre: Tipo adquisicion: Entidad</v>
      </c>
      <c r="G15403" s="5"/>
    </row>
    <row r="15404" spans="1:7" ht="58.5" customHeight="1" x14ac:dyDescent="0.25">
      <c r="A15404" s="5" t="str">
        <f>"H0014306"</f>
        <v>H0014306</v>
      </c>
      <c r="B15404" s="5" t="str">
        <f>"MESON EN ACERO INOXIDABLE"</f>
        <v>MESON EN ACERO INOXIDABLE</v>
      </c>
      <c r="C15404" s="6">
        <v>35240.589999999997</v>
      </c>
      <c r="D15404" s="5"/>
      <c r="E15404" s="5" t="str">
        <f t="shared" si="796"/>
        <v>MMTO TALLER SOLDADURA -METALMECANICA-ANGEL CUSTODIO SANCHEZ</v>
      </c>
      <c r="F15404" s="5" t="str">
        <f>"Descripcion: MESON EN ACERO INOX. CON TOPE EN ANGULO 2.00X62 CMS Estado: Bueno Placa anterior: 000015416 Material: ACERO INOXIDABLE Color:  Referencia:  Observacion:  Placa padre: Tipo adquisicion: Entidad"</f>
        <v>Descripcion: MESON EN ACERO INOX. CON TOPE EN ANGULO 2.00X62 CMS Estado: Bueno Placa anterior: 000015416 Material: ACERO INOXIDABLE Color:  Referencia:  Observacion:  Placa padre: Tipo adquisicion: Entidad</v>
      </c>
      <c r="G15404" s="5"/>
    </row>
    <row r="15405" spans="1:7" ht="58.5" customHeight="1" x14ac:dyDescent="0.25">
      <c r="A15405" s="5" t="str">
        <f>"H0017486"</f>
        <v>H0017486</v>
      </c>
      <c r="B15405" s="5" t="str">
        <f>"SILLA INTERLOCUTORA (FIJA) CON BRAZOS"</f>
        <v>SILLA INTERLOCUTORA (FIJA) CON BRAZOS</v>
      </c>
      <c r="C15405" s="6">
        <v>9679.7000000000007</v>
      </c>
      <c r="D15405" s="5"/>
      <c r="E15405" s="5" t="str">
        <f t="shared" si="796"/>
        <v>MMTO TALLER SOLDADURA -METALMECANICA-ANGEL CUSTODIO SANCHEZ</v>
      </c>
      <c r="F15405" s="5" t="str">
        <f>"Descripcion:SILLA FIJA CON BRAZOS Estado: Bueno Placa anterior: 000002244 Material: MADERA Color: NEGRO Referencia:  Observacion:  Placa padre:  Tipo adquisicion : Entidad"</f>
        <v>Descripcion:SILLA FIJA CON BRAZOS Estado: Bueno Placa anterior: 000002244 Material: MADERA Color: NEGRO Referencia:  Observacion:  Placa padre:  Tipo adquisicion : Entidad</v>
      </c>
      <c r="G15405" s="5"/>
    </row>
    <row r="15406" spans="1:7" ht="58.5" customHeight="1" x14ac:dyDescent="0.25">
      <c r="A15406" s="5" t="str">
        <f>"H0020271"</f>
        <v>H0020271</v>
      </c>
      <c r="B15406" s="5" t="str">
        <f>"HOMBRE SOLO (HERRAMIENTA)"</f>
        <v>HOMBRE SOLO (HERRAMIENTA)</v>
      </c>
      <c r="C15406" s="6">
        <v>2435.96</v>
      </c>
      <c r="D15406" s="5"/>
      <c r="E15406" s="5" t="str">
        <f t="shared" si="796"/>
        <v>MMTO TALLER SOLDADURA -METALMECANICA-ANGEL CUSTODIO SANCHEZ</v>
      </c>
      <c r="F15406" s="5" t="str">
        <f>"Descripcion: HOMBRESOLO Estado: Bueno Placa anterior: 000010731 Material: ACERO Color: STANLEY Referencia:  Observacion:  Placa padre: Tipo adquisicion: Entidad"</f>
        <v>Descripcion: HOMBRESOLO Estado: Bueno Placa anterior: 000010731 Material: ACERO Color: STANLEY Referencia:  Observacion:  Placa padre: Tipo adquisicion: Entidad</v>
      </c>
      <c r="G15406" s="5"/>
    </row>
    <row r="15407" spans="1:7" ht="58.5" customHeight="1" x14ac:dyDescent="0.25">
      <c r="A15407" s="5" t="str">
        <f>"H0020272"</f>
        <v>H0020272</v>
      </c>
      <c r="B15407" s="5" t="str">
        <f>"BALANZA ANALOGA DE PISO (PESO) CON TALLIMETRO"</f>
        <v>BALANZA ANALOGA DE PISO (PESO) CON TALLIMETRO</v>
      </c>
      <c r="C15407" s="6">
        <v>25400</v>
      </c>
      <c r="D15407" s="5"/>
      <c r="E15407" s="5" t="str">
        <f t="shared" si="796"/>
        <v>MMTO TALLER SOLDADURA -METALMECANICA-ANGEL CUSTODIO SANCHEZ</v>
      </c>
      <c r="F15407" s="5" t="str">
        <f>"Descripcion: MARCADOR ALFANUMERICO X 9 PIEZAS GRANDE Estado: Bueno Placa anterior: 000010770 Material: ACERO Color:  Referencia:  Observacion:  Placa padre: Tipo adquisicion: Entidad"</f>
        <v>Descripcion: MARCADOR ALFANUMERICO X 9 PIEZAS GRANDE Estado: Bueno Placa anterior: 000010770 Material: ACERO Color:  Referencia:  Observacion:  Placa padre: Tipo adquisicion: Entidad</v>
      </c>
      <c r="G15407" s="5"/>
    </row>
    <row r="15408" spans="1:7" ht="58.5" customHeight="1" x14ac:dyDescent="0.25">
      <c r="A15408" s="5" t="str">
        <f>"H0020273"</f>
        <v>H0020273</v>
      </c>
      <c r="B15408" s="5" t="str">
        <f>"CAJA PARA HERRAMIENTAS Y SUS HERRAMIENTAS"</f>
        <v>CAJA PARA HERRAMIENTAS Y SUS HERRAMIENTAS</v>
      </c>
      <c r="C15408" s="6">
        <v>29000</v>
      </c>
      <c r="D15408" s="5"/>
      <c r="E15408" s="5" t="str">
        <f t="shared" si="796"/>
        <v>MMTO TALLER SOLDADURA -METALMECANICA-ANGEL CUSTODIO SANCHEZ</v>
      </c>
      <c r="F15408" s="5" t="str">
        <f>"Descripcion: MARCADOR ALFANUMERICO X 27 PIEZAS PEQUEÑO. (HAY 26 PIEZAS) Estado: Regular Placa anterior: 000010773 Material: ACERO Color:  Referencia:  Observacion: FALTA UNA PIEZA ESTA PRESTADA Placa padre: Tipo adquisicion: Entidad"</f>
        <v>Descripcion: MARCADOR ALFANUMERICO X 27 PIEZAS PEQUEÑO. (HAY 26 PIEZAS) Estado: Regular Placa anterior: 000010773 Material: ACERO Color:  Referencia:  Observacion: FALTA UNA PIEZA ESTA PRESTADA Placa padre: Tipo adquisicion: Entidad</v>
      </c>
      <c r="G15408" s="5"/>
    </row>
    <row r="15409" spans="1:7" ht="58.5" customHeight="1" x14ac:dyDescent="0.25">
      <c r="A15409" s="5" t="str">
        <f>"H0020274"</f>
        <v>H0020274</v>
      </c>
      <c r="B15409" s="5" t="str">
        <f>"PORRA"</f>
        <v>PORRA</v>
      </c>
      <c r="C15409" s="6">
        <v>2000</v>
      </c>
      <c r="D15409" s="5"/>
      <c r="E15409" s="5" t="str">
        <f t="shared" si="796"/>
        <v>MMTO TALLER SOLDADURA -METALMECANICA-ANGEL CUSTODIO SANCHEZ</v>
      </c>
      <c r="F15409" s="5" t="str">
        <f>"Descripcion: PORRA PEQUEÑA Estado: Bueno Placa anterior: 000010778 Material: ACERO Color:  Referencia:  Observacion:  Placa padre: Tipo adquisicion: Entidad"</f>
        <v>Descripcion: PORRA PEQUEÑA Estado: Bueno Placa anterior: 000010778 Material: ACERO Color:  Referencia:  Observacion:  Placa padre: Tipo adquisicion: Entidad</v>
      </c>
      <c r="G15409" s="5"/>
    </row>
    <row r="15410" spans="1:7" ht="58.5" customHeight="1" x14ac:dyDescent="0.25">
      <c r="A15410" s="5" t="str">
        <f>"H0020276"</f>
        <v>H0020276</v>
      </c>
      <c r="B15410" s="5" t="str">
        <f>"PRENSA HIDRAULICA"</f>
        <v>PRENSA HIDRAULICA</v>
      </c>
      <c r="C15410" s="6">
        <v>231909.75</v>
      </c>
      <c r="D15410" s="5"/>
      <c r="E15410" s="5" t="str">
        <f t="shared" si="796"/>
        <v>MMTO TALLER SOLDADURA -METALMECANICA-ANGEL CUSTODIO SANCHEZ</v>
      </c>
      <c r="F15410" s="5" t="str">
        <f>"Descripcion: PRENSA HIDRAULICA DE BANCO HASTA 5 TON. Estado: Bueno Placa anterior: 000011941 Material: ACERO Color: GRIS Referencia:  Observacion:  Placa padre: Tipo adquisicion: Entidad"</f>
        <v>Descripcion: PRENSA HIDRAULICA DE BANCO HASTA 5 TON. Estado: Bueno Placa anterior: 000011941 Material: ACERO Color: GRIS Referencia:  Observacion:  Placa padre: Tipo adquisicion: Entidad</v>
      </c>
      <c r="G15410" s="5"/>
    </row>
    <row r="15411" spans="1:7" ht="58.5" customHeight="1" x14ac:dyDescent="0.25">
      <c r="A15411" s="5" t="str">
        <f>"H0020280"</f>
        <v>H0020280</v>
      </c>
      <c r="B15411" s="5" t="str">
        <f>"KIT DE COPAS CON RACHERS"</f>
        <v>KIT DE COPAS CON RACHERS</v>
      </c>
      <c r="C15411" s="6">
        <v>104500</v>
      </c>
      <c r="D15411" s="5"/>
      <c r="E15411" s="5" t="str">
        <f t="shared" si="796"/>
        <v>MMTO TALLER SOLDADURA -METALMECANICA-ANGEL CUSTODIO SANCHEZ</v>
      </c>
      <c r="F15411" s="5" t="str">
        <f>"Descripcion: COPA MILIMETRICA CON MANDO X 13 COPAS, UN RACHER Y UNA EXTENCION PARA 15 PIEZAS  Estado: Bueno Placa anterior: 000012074 Material: ACERO Color: GRIS Referencia:  Observacion:  Placa padre: Tipo adquisicion: Entidad"</f>
        <v>Descripcion: COPA MILIMETRICA CON MANDO X 13 COPAS, UN RACHER Y UNA EXTENCION PARA 15 PIEZAS  Estado: Bueno Placa anterior: 000012074 Material: ACERO Color: GRIS Referencia:  Observacion:  Placa padre: Tipo adquisicion: Entidad</v>
      </c>
      <c r="G15411" s="5"/>
    </row>
    <row r="15412" spans="1:7" ht="58.5" customHeight="1" x14ac:dyDescent="0.25">
      <c r="A15412" s="5" t="str">
        <f>"H0020281"</f>
        <v>H0020281</v>
      </c>
      <c r="B15412" s="5" t="str">
        <f>"LIMA REDONDA (SOLDADURA)"</f>
        <v>LIMA REDONDA (SOLDADURA)</v>
      </c>
      <c r="C15412" s="6">
        <v>13000</v>
      </c>
      <c r="D15412" s="5"/>
      <c r="E15412" s="5" t="str">
        <f t="shared" si="796"/>
        <v>MMTO TALLER SOLDADURA -METALMECANICA-ANGEL CUSTODIO SANCHEZ</v>
      </c>
      <c r="F15412" s="5" t="str">
        <f>"Descripcion: LIMA JOYERIA REF. KOALA 6 PIEZAS Estado: Bueno Placa anterior: 000024936 Material: ACERO Y PASTA Color: GRIS Y AZUL Referencia:  Observacion:  Placa padre: Tipo adquisicion: Entidad"</f>
        <v>Descripcion: LIMA JOYERIA REF. KOALA 6 PIEZAS Estado: Bueno Placa anterior: 000024936 Material: ACERO Y PASTA Color: GRIS Y AZUL Referencia:  Observacion:  Placa padre: Tipo adquisicion: Entidad</v>
      </c>
      <c r="G15412" s="5"/>
    </row>
    <row r="15413" spans="1:7" ht="58.5" customHeight="1" x14ac:dyDescent="0.25">
      <c r="A15413" s="5" t="str">
        <f>"H0020282"</f>
        <v>H0020282</v>
      </c>
      <c r="B15413" s="5" t="str">
        <f>"LIMA"</f>
        <v>LIMA</v>
      </c>
      <c r="C15413" s="6">
        <v>5000</v>
      </c>
      <c r="D15413" s="5"/>
      <c r="E15413" s="5" t="str">
        <f t="shared" si="796"/>
        <v>MMTO TALLER SOLDADURA -METALMECANICA-ANGEL CUSTODIO SANCHEZ</v>
      </c>
      <c r="F15413" s="5" t="str">
        <f>"Descripcion: LIMAS X 5 UNIDADES Estado: Bueno Placa anterior: 000012087 Material: ACERO Y PASTA Color: GRIS, AMARILLO Y ROJO Referencia:  Observacion:  Placa padre: Tipo adquisicion: Entidad"</f>
        <v>Descripcion: LIMAS X 5 UNIDADES Estado: Bueno Placa anterior: 000012087 Material: ACERO Y PASTA Color: GRIS, AMARILLO Y ROJO Referencia:  Observacion:  Placa padre: Tipo adquisicion: Entidad</v>
      </c>
      <c r="G15413" s="5"/>
    </row>
    <row r="15414" spans="1:7" ht="58.5" customHeight="1" x14ac:dyDescent="0.25">
      <c r="A15414" s="5" t="str">
        <f>"H0020283"</f>
        <v>H0020283</v>
      </c>
      <c r="B15414" s="5" t="str">
        <f>"ESCUADRA"</f>
        <v>ESCUADRA</v>
      </c>
      <c r="C15414" s="6">
        <v>3000</v>
      </c>
      <c r="D15414" s="5"/>
      <c r="E15414" s="5" t="str">
        <f t="shared" si="796"/>
        <v>MMTO TALLER SOLDADURA -METALMECANICA-ANGEL CUSTODIO SANCHEZ</v>
      </c>
      <c r="F15414" s="5" t="str">
        <f>"Descripcion: ESCUADRA ESCUALIZABLE Estado: Bueno Placa anterior: 000012085 Material: ACERO Y PASTA Color: GRIS Referencia:  Observacion:  Placa padre: Tipo adquisicion: Entidad"</f>
        <v>Descripcion: ESCUADRA ESCUALIZABLE Estado: Bueno Placa anterior: 000012085 Material: ACERO Y PASTA Color: GRIS Referencia:  Observacion:  Placa padre: Tipo adquisicion: Entidad</v>
      </c>
      <c r="G15414" s="5"/>
    </row>
    <row r="15415" spans="1:7" ht="58.5" customHeight="1" x14ac:dyDescent="0.25">
      <c r="A15415" s="5" t="str">
        <f>"H0020285"</f>
        <v>H0020285</v>
      </c>
      <c r="B15415" s="5" t="str">
        <f>"KIT DE DESTORNILLADORES"</f>
        <v>KIT DE DESTORNILLADORES</v>
      </c>
      <c r="C15415" s="6">
        <v>22499</v>
      </c>
      <c r="D15415" s="5"/>
      <c r="E15415" s="5" t="str">
        <f t="shared" si="796"/>
        <v>MMTO TALLER SOLDADURA -METALMECANICA-ANGEL CUSTODIO SANCHEZ</v>
      </c>
      <c r="F15415" s="5" t="str">
        <f>"Descripcion: DESTORNILLADORES: 4 DE ESTRIA Y 3 DE PALA  Estado: Bueno Placa anterior: 000024912 Material: ACERO Y PASTA Color: GRIS Y AMARILLO, NEGRO  Referencia:  Observacion:  Placa padre: Tipo adquisicion: Entidad"</f>
        <v>Descripcion: DESTORNILLADORES: 4 DE ESTRIA Y 3 DE PALA  Estado: Bueno Placa anterior: 000024912 Material: ACERO Y PASTA Color: GRIS Y AMARILLO, NEGRO  Referencia:  Observacion:  Placa padre: Tipo adquisicion: Entidad</v>
      </c>
      <c r="G15415" s="5"/>
    </row>
    <row r="15416" spans="1:7" ht="58.5" customHeight="1" x14ac:dyDescent="0.25">
      <c r="A15416" s="5" t="str">
        <f>"H0020286"</f>
        <v>H0020286</v>
      </c>
      <c r="B15416" s="5" t="str">
        <f>"KIT DE DESTORNILLADORES"</f>
        <v>KIT DE DESTORNILLADORES</v>
      </c>
      <c r="C15416" s="6">
        <v>4000</v>
      </c>
      <c r="D15416" s="5"/>
      <c r="E15416" s="5" t="str">
        <f t="shared" si="796"/>
        <v>MMTO TALLER SOLDADURA -METALMECANICA-ANGEL CUSTODIO SANCHEZ</v>
      </c>
      <c r="F15416" s="5" t="str">
        <f>"Descripcion: DESTORNILLADOR DE ESTRIA 4 UNIDADES Y PALA 11 UNIDADES Estado: Bueno Placa anterior: 000012088 Material: ACERO Color: GRIS Y AMRILLO Referencia:  Observacion:  Placa padre: Tipo adquisicion: Entidad"</f>
        <v>Descripcion: DESTORNILLADOR DE ESTRIA 4 UNIDADES Y PALA 11 UNIDADES Estado: Bueno Placa anterior: 000012088 Material: ACERO Color: GRIS Y AMRILLO Referencia:  Observacion:  Placa padre: Tipo adquisicion: Entidad</v>
      </c>
      <c r="G15416" s="5"/>
    </row>
    <row r="15417" spans="1:7" ht="58.5" customHeight="1" x14ac:dyDescent="0.25">
      <c r="A15417" s="5" t="str">
        <f>"H0020287"</f>
        <v>H0020287</v>
      </c>
      <c r="B15417" s="5" t="str">
        <f>"LLAVE PICO LORO"</f>
        <v>LLAVE PICO LORO</v>
      </c>
      <c r="C15417" s="6">
        <v>29000</v>
      </c>
      <c r="D15417" s="5"/>
      <c r="E15417" s="5" t="str">
        <f t="shared" si="796"/>
        <v>MMTO TALLER SOLDADURA -METALMECANICA-ANGEL CUSTODIO SANCHEZ</v>
      </c>
      <c r="F15417" s="5" t="str">
        <f>"Descripcion: LLAVE PICOLORO DE 15  A 380MM Estado: Bueno Placa anterior: 000012089 Material: ACERO Color: GRIS Referencia:  Observacion:  Placa padre: Tipo adquisicion: Entidad"</f>
        <v>Descripcion: LLAVE PICOLORO DE 15  A 380MM Estado: Bueno Placa anterior: 000012089 Material: ACERO Color: GRIS Referencia:  Observacion:  Placa padre: Tipo adquisicion: Entidad</v>
      </c>
      <c r="G15417" s="5"/>
    </row>
    <row r="15418" spans="1:7" ht="58.5" customHeight="1" x14ac:dyDescent="0.25">
      <c r="A15418" s="5" t="str">
        <f>"H0020288"</f>
        <v>H0020288</v>
      </c>
      <c r="B15418" s="5" t="str">
        <f>"LLAVE DE TUBO (STILLSON) (BOCA AJUSTABLE)"</f>
        <v>LLAVE DE TUBO (STILLSON) (BOCA AJUSTABLE)</v>
      </c>
      <c r="C15418" s="6">
        <v>10000</v>
      </c>
      <c r="D15418" s="5"/>
      <c r="E15418" s="5" t="str">
        <f t="shared" si="796"/>
        <v>MMTO TALLER SOLDADURA -METALMECANICA-ANGEL CUSTODIO SANCHEZ</v>
      </c>
      <c r="F15418" s="5" t="str">
        <f>"Descripcion: LLAVE DE TUBO DE 1.1/2   Estado: Bueno Placa anterior: 000012086 Material: HIERRO Color: AMARILLO Referencia:  Observacion:  Placa padre: Tipo adquisicion: Entidad"</f>
        <v>Descripcion: LLAVE DE TUBO DE 1.1/2   Estado: Bueno Placa anterior: 000012086 Material: HIERRO Color: AMARILLO Referencia:  Observacion:  Placa padre: Tipo adquisicion: Entidad</v>
      </c>
      <c r="G15418" s="5"/>
    </row>
    <row r="15419" spans="1:7" ht="58.5" customHeight="1" x14ac:dyDescent="0.25">
      <c r="A15419" s="5" t="str">
        <f>"H0020289"</f>
        <v>H0020289</v>
      </c>
      <c r="B15419" s="5" t="str">
        <f>"LLAVE DE EXPANSION"</f>
        <v>LLAVE DE EXPANSION</v>
      </c>
      <c r="C15419" s="6">
        <v>5000</v>
      </c>
      <c r="D15419" s="5"/>
      <c r="E15419" s="5" t="str">
        <f t="shared" si="796"/>
        <v>MMTO TALLER SOLDADURA -METALMECANICA-ANGEL CUSTODIO SANCHEZ</v>
      </c>
      <c r="F15419" s="5" t="str">
        <f>"Descripcion: LLAVE DE EXPANSION Estado: Bueno Placa anterior: 000010729 Material: HIERRO Color: AZUL Referencia:  Observacion: EL BIEN TIENE PLACA ANTERIOR 000012057. EL FUNCIONARIO AUTORIZA SE CONCILIE CON PLACA No: 10729 Placa padre: Tipo adquisicion: E"&amp; "ntidad"</f>
        <v>Descripcion: LLAVE DE EXPANSION Estado: Bueno Placa anterior: 000010729 Material: HIERRO Color: AZUL Referencia:  Observacion: EL BIEN TIENE PLACA ANTERIOR 000012057. EL FUNCIONARIO AUTORIZA SE CONCILIE CON PLACA No: 10729 Placa padre: Tipo adquisicion: Entidad</v>
      </c>
      <c r="G15419" s="5"/>
    </row>
    <row r="15420" spans="1:7" ht="58.5" customHeight="1" x14ac:dyDescent="0.25">
      <c r="A15420" s="5" t="str">
        <f>"H0020290"</f>
        <v>H0020290</v>
      </c>
      <c r="B15420" s="5" t="str">
        <f>"LLAVE DE EXPANSION"</f>
        <v>LLAVE DE EXPANSION</v>
      </c>
      <c r="C15420" s="6">
        <v>25000</v>
      </c>
      <c r="D15420" s="5"/>
      <c r="E15420" s="5" t="str">
        <f t="shared" si="796"/>
        <v>MMTO TALLER SOLDADURA -METALMECANICA-ANGEL CUSTODIO SANCHEZ</v>
      </c>
      <c r="F15420" s="5" t="str">
        <f>"Descripcion: LLAVE DE EXPANSION Estado: Bueno Placa anterior: 000012090 Material: ACERO Y PASTA Color: GRIS Y ROJO Referencia:  Observacion:  Placa padre: Tipo adquisicion: Entidad"</f>
        <v>Descripcion: LLAVE DE EXPANSION Estado: Bueno Placa anterior: 000012090 Material: ACERO Y PASTA Color: GRIS Y ROJO Referencia:  Observacion:  Placa padre: Tipo adquisicion: Entidad</v>
      </c>
      <c r="G15420" s="5"/>
    </row>
    <row r="15421" spans="1:7" ht="58.5" customHeight="1" x14ac:dyDescent="0.25">
      <c r="A15421" s="5" t="str">
        <f>"H0020291"</f>
        <v>H0020291</v>
      </c>
      <c r="B15421" s="5" t="str">
        <f>"LLAVES MIXTAS"</f>
        <v>LLAVES MIXTAS</v>
      </c>
      <c r="C15421" s="6">
        <v>130000</v>
      </c>
      <c r="D15421" s="5"/>
      <c r="E15421" s="5" t="str">
        <f t="shared" si="796"/>
        <v>MMTO TALLER SOLDADURA -METALMECANICA-ANGEL CUSTODIO SANCHEZ</v>
      </c>
      <c r="F15421" s="5" t="str">
        <f>"Descripcion: LLAVE MIXTAS. JUEGO DE 14 UNIDADES. STANLEY REF. 7-24 MM Estado: Bueno Placa anterior: 000024931 Material: ACERO Color: GRIS Referencia:  Observacion:  Placa padre: Tipo adquisicion: Entidad"</f>
        <v>Descripcion: LLAVE MIXTAS. JUEGO DE 14 UNIDADES. STANLEY REF. 7-24 MM Estado: Bueno Placa anterior: 000024931 Material: ACERO Color: GRIS Referencia:  Observacion:  Placa padre: Tipo adquisicion: Entidad</v>
      </c>
      <c r="G15421" s="5"/>
    </row>
    <row r="15422" spans="1:7" ht="58.5" customHeight="1" x14ac:dyDescent="0.25">
      <c r="A15422" s="5" t="str">
        <f>"H0020294"</f>
        <v>H0020294</v>
      </c>
      <c r="B15422" s="5" t="str">
        <f>"KIT DE ALICATES"</f>
        <v>KIT DE ALICATES</v>
      </c>
      <c r="C15422" s="6">
        <v>44532.5</v>
      </c>
      <c r="D15422" s="5"/>
      <c r="E15422" s="5" t="str">
        <f t="shared" ref="E15422:E15438" si="797">"MMTO TALLER SOLDADURA -METALMECANICA-ANGEL CUSTODIO SANCHEZ"</f>
        <v>MMTO TALLER SOLDADURA -METALMECANICA-ANGEL CUSTODIO SANCHEZ</v>
      </c>
      <c r="F15422" s="5" t="str">
        <f>"Descripcion: ALICATES DE PRESION ESPECIALES 4 UNIDADES.UNO DE CADENA, DOS DE PALA Y UNO DE PINZA Estado: Bueno Placa anterior: 000012067 Material: ACERO Color: GRIS Referencia:  Observacion:  Placa padre: Tipo adquisicion: Entidad"</f>
        <v>Descripcion: ALICATES DE PRESION ESPECIALES 4 UNIDADES.UNO DE CADENA, DOS DE PALA Y UNO DE PINZA Estado: Bueno Placa anterior: 000012067 Material: ACERO Color: GRIS Referencia:  Observacion:  Placa padre: Tipo adquisicion: Entidad</v>
      </c>
      <c r="G15422" s="5"/>
    </row>
    <row r="15423" spans="1:7" ht="58.5" customHeight="1" x14ac:dyDescent="0.25">
      <c r="A15423" s="5" t="str">
        <f>"H0020299"</f>
        <v>H0020299</v>
      </c>
      <c r="B15423" s="5" t="str">
        <f>"ARCHIVADOR METALICO 3 GAVETAS"</f>
        <v>ARCHIVADOR METALICO 3 GAVETAS</v>
      </c>
      <c r="C15423" s="6">
        <v>36047</v>
      </c>
      <c r="D15423" s="5"/>
      <c r="E15423" s="5" t="str">
        <f t="shared" si="797"/>
        <v>MMTO TALLER SOLDADURA -METALMECANICA-ANGEL CUSTODIO SANCHEZ</v>
      </c>
      <c r="F15423" s="5" t="str">
        <f>"Descripcion: ARCHIVADOR  Estado: Regular Placa anterior: 000000701 Material: METALICO Color: GRIS Referencia:  Observacion: EL BIEN TIENE PLACA ANTERIOR  000000493  AUTORIZADO CONCILIAR EN CRUCE GENERAL Placa padre: Tipo adquisicion: Entidad"</f>
        <v>Descripcion: ARCHIVADOR  Estado: Regular Placa anterior: 000000701 Material: METALICO Color: GRIS Referencia:  Observacion: EL BIEN TIENE PLACA ANTERIOR  000000493  AUTORIZADO CONCILIAR EN CRUCE GENERAL Placa padre: Tipo adquisicion: Entidad</v>
      </c>
      <c r="G15423" s="5"/>
    </row>
    <row r="15424" spans="1:7" ht="58.5" customHeight="1" x14ac:dyDescent="0.25">
      <c r="A15424" s="5" t="str">
        <f>"H0020301"</f>
        <v>H0020301</v>
      </c>
      <c r="B15424" s="5" t="str">
        <f>"PRENSA MANUAL"</f>
        <v>PRENSA MANUAL</v>
      </c>
      <c r="C15424" s="6">
        <v>13457.76</v>
      </c>
      <c r="D15424" s="5"/>
      <c r="E15424" s="5" t="str">
        <f t="shared" si="797"/>
        <v>MMTO TALLER SOLDADURA -METALMECANICA-ANGEL CUSTODIO SANCHEZ</v>
      </c>
      <c r="F15424" s="5" t="str">
        <f>"Descripcion: PRENSA MANUAL PARALELA Estado: Bueno Placa anterior: 000012076 Material: METALICO Color: GRIS Y ROJO Referencia:  Observacion:  Placa padre: Tipo adquisicion: Entidad"</f>
        <v>Descripcion: PRENSA MANUAL PARALELA Estado: Bueno Placa anterior: 000012076 Material: METALICO Color: GRIS Y ROJO Referencia:  Observacion:  Placa padre: Tipo adquisicion: Entidad</v>
      </c>
      <c r="G15424" s="5"/>
    </row>
    <row r="15425" spans="1:7" ht="58.5" customHeight="1" x14ac:dyDescent="0.25">
      <c r="A15425" s="5" t="str">
        <f>"H0020303"</f>
        <v>H0020303</v>
      </c>
      <c r="B15425" s="5" t="str">
        <f>"CAJA PARA HERRAMIENTAS SIN ACCESORIOS"</f>
        <v>CAJA PARA HERRAMIENTAS SIN ACCESORIOS</v>
      </c>
      <c r="C15425" s="6">
        <v>11551</v>
      </c>
      <c r="D15425" s="5"/>
      <c r="E15425" s="5" t="str">
        <f t="shared" si="797"/>
        <v>MMTO TALLER SOLDADURA -METALMECANICA-ANGEL CUSTODIO SANCHEZ</v>
      </c>
      <c r="F15425" s="5" t="str">
        <f>"Descripcion: CAJA DE HERRAMIENTA GRANDE  163X 140 CM Estado: Bueno Placa anterior: 000012095 Material: METALICO Color: GRIS Referencia:  Observacion:  Placa padre: Tipo adquisicion: Entidad"</f>
        <v>Descripcion: CAJA DE HERRAMIENTA GRANDE  163X 140 CM Estado: Bueno Placa anterior: 000012095 Material: METALICO Color: GRIS Referencia:  Observacion:  Placa padre: Tipo adquisicion: Entidad</v>
      </c>
      <c r="G15425" s="5"/>
    </row>
    <row r="15426" spans="1:7" ht="58.5" customHeight="1" x14ac:dyDescent="0.25">
      <c r="A15426" s="5" t="str">
        <f>"H0020304"</f>
        <v>H0020304</v>
      </c>
      <c r="B15426" s="5" t="str">
        <f>"CAJA PARA HERRAMIENTAS SIN ACCESORIOS"</f>
        <v>CAJA PARA HERRAMIENTAS SIN ACCESORIOS</v>
      </c>
      <c r="C15426" s="6">
        <v>11551</v>
      </c>
      <c r="D15426" s="5"/>
      <c r="E15426" s="5" t="str">
        <f t="shared" si="797"/>
        <v>MMTO TALLER SOLDADURA -METALMECANICA-ANGEL CUSTODIO SANCHEZ</v>
      </c>
      <c r="F15426" s="5" t="str">
        <f>"Descripcion: CAJA DE HERRAMIENTA MOVIL Estado: Bueno Placa anterior: 000010724 Material: METALICO Color: ROJO Referencia:  Observacion:  Placa padre: Tipo adquisicion: Entidad"</f>
        <v>Descripcion: CAJA DE HERRAMIENTA MOVIL Estado: Bueno Placa anterior: 000010724 Material: METALICO Color: ROJO Referencia:  Observacion:  Placa padre: Tipo adquisicion: Entidad</v>
      </c>
      <c r="G15426" s="5"/>
    </row>
    <row r="15427" spans="1:7" ht="58.5" customHeight="1" x14ac:dyDescent="0.25">
      <c r="A15427" s="5" t="str">
        <f>"H0020349"</f>
        <v>H0020349</v>
      </c>
      <c r="B15427" s="5" t="str">
        <f>"PULIDORA (CORTE Y PULIDO)"</f>
        <v>PULIDORA (CORTE Y PULIDO)</v>
      </c>
      <c r="C15427" s="6">
        <v>269900.40999999997</v>
      </c>
      <c r="D15427" s="5" t="s">
        <v>751</v>
      </c>
      <c r="E15427" s="5" t="str">
        <f t="shared" si="797"/>
        <v>MMTO TALLER SOLDADURA -METALMECANICA-ANGEL CUSTODIO SANCHEZ</v>
      </c>
      <c r="F15427" s="5" t="str">
        <f>"Descripcion: PULIDORA Estado: Bueno Placa anterior: 000037196 Material: ACERO Y PASTA Color: GRIS Y AMARILLO Referencia:  Observacion:  Placa padre: Tipo adquisicion: Entidad"</f>
        <v>Descripcion: PULIDORA Estado: Bueno Placa anterior: 000037196 Material: ACERO Y PASTA Color: GRIS Y AMARILLO Referencia:  Observacion:  Placa padre: Tipo adquisicion: Entidad</v>
      </c>
      <c r="G15427" s="5" t="str">
        <f>"DWE4120-B3"</f>
        <v>DWE4120-B3</v>
      </c>
    </row>
    <row r="15428" spans="1:7" ht="58.5" customHeight="1" x14ac:dyDescent="0.25">
      <c r="A15428" s="5" t="str">
        <f>"H0020351"</f>
        <v>H0020351</v>
      </c>
      <c r="B15428" s="5" t="str">
        <f>"TALADRO"</f>
        <v>TALADRO</v>
      </c>
      <c r="C15428" s="6">
        <v>1049900.21</v>
      </c>
      <c r="D15428" s="5" t="s">
        <v>752</v>
      </c>
      <c r="E15428" s="5" t="str">
        <f t="shared" si="797"/>
        <v>MMTO TALLER SOLDADURA -METALMECANICA-ANGEL CUSTODIO SANCHEZ</v>
      </c>
      <c r="F15428" s="5" t="str">
        <f>"Descripcion: TALADRO PERCUTOR Estado: Bueno Placa anterior:  Material: ACERO Y PASTA Color: AMARILLO, NEGRO Y GRIS Referencia:  Observacion:  Placa padre: Tipo adquisicion: Entidad"</f>
        <v>Descripcion: TALADRO PERCUTOR Estado: Bueno Placa anterior:  Material: ACERO Y PASTA Color: AMARILLO, NEGRO Y GRIS Referencia:  Observacion:  Placa padre: Tipo adquisicion: Entidad</v>
      </c>
      <c r="G15428" s="5" t="str">
        <f>"D25123"</f>
        <v>D25123</v>
      </c>
    </row>
    <row r="15429" spans="1:7" ht="58.5" customHeight="1" x14ac:dyDescent="0.25">
      <c r="A15429" s="5" t="str">
        <f>"H0020355"</f>
        <v>H0020355</v>
      </c>
      <c r="B15429" s="5" t="str">
        <f>"MARCO PARA SEGUETA"</f>
        <v>MARCO PARA SEGUETA</v>
      </c>
      <c r="C15429" s="6">
        <v>7300</v>
      </c>
      <c r="D15429" s="5"/>
      <c r="E15429" s="5" t="str">
        <f t="shared" si="797"/>
        <v>MMTO TALLER SOLDADURA -METALMECANICA-ANGEL CUSTODIO SANCHEZ</v>
      </c>
      <c r="F15429" s="5" t="str">
        <f>"Descripcion: MARCO DE SEGUETA Estado: Bueno Placa anterior: 000012099 Material: METALICO Color: GRIS Referencia:  Observacion: AUTORIZADO CONCILIAR EN CRUCE GENERAL Placa padre: Tipo adquisicion: Entidad"</f>
        <v>Descripcion: MARCO DE SEGUETA Estado: Bueno Placa anterior: 000012099 Material: METALICO Color: GRIS Referencia:  Observacion: AUTORIZADO CONCILIAR EN CRUCE GENERAL Placa padre: Tipo adquisicion: Entidad</v>
      </c>
      <c r="G15429" s="5"/>
    </row>
    <row r="15430" spans="1:7" ht="58.5" customHeight="1" x14ac:dyDescent="0.25">
      <c r="A15430" s="5" t="str">
        <f>"H0022667"</f>
        <v>H0022667</v>
      </c>
      <c r="B15430" s="5" t="str">
        <f>"REMACHADORA**"</f>
        <v>REMACHADORA**</v>
      </c>
      <c r="C15430" s="6">
        <v>15000</v>
      </c>
      <c r="D15430" s="5"/>
      <c r="E15430" s="5" t="str">
        <f t="shared" si="797"/>
        <v>MMTO TALLER SOLDADURA -METALMECANICA-ANGEL CUSTODIO SANCHEZ</v>
      </c>
      <c r="F15430" s="5" t="str">
        <f>"Descripcion: REMACHADORA Estado: Inservible Placa anterior: 000012091 Material: METAL Color: AZUL Referencia:  Observacion: EL BIEN SE ENCUENTRA DAÑADO Placa padre: Tipo adquisicion: Entidad"</f>
        <v>Descripcion: REMACHADORA Estado: Inservible Placa anterior: 000012091 Material: METAL Color: AZUL Referencia:  Observacion: EL BIEN SE ENCUENTRA DAÑADO Placa padre: Tipo adquisicion: Entidad</v>
      </c>
      <c r="G15430" s="5"/>
    </row>
    <row r="15431" spans="1:7" ht="58.5" customHeight="1" x14ac:dyDescent="0.25">
      <c r="A15431" s="5" t="str">
        <f>"H0022668"</f>
        <v>H0022668</v>
      </c>
      <c r="B15431" s="5" t="str">
        <f>"MARTILLO DE BOLA"</f>
        <v>MARTILLO DE BOLA</v>
      </c>
      <c r="C15431" s="6">
        <v>1000</v>
      </c>
      <c r="D15431" s="5"/>
      <c r="E15431" s="5" t="str">
        <f t="shared" si="797"/>
        <v>MMTO TALLER SOLDADURA -METALMECANICA-ANGEL CUSTODIO SANCHEZ</v>
      </c>
      <c r="F15431" s="5" t="str">
        <f>"Descripcion: MARTILLO DE BOLA Estado: Bueno Placa anterior: 000012092 Material: METAL Color:  Referencia:  Observacion:  Placa padre: Tipo adquisicion: Entidad"</f>
        <v>Descripcion: MARTILLO DE BOLA Estado: Bueno Placa anterior: 000012092 Material: METAL Color:  Referencia:  Observacion:  Placa padre: Tipo adquisicion: Entidad</v>
      </c>
      <c r="G15431" s="5"/>
    </row>
    <row r="15432" spans="1:7" ht="58.5" customHeight="1" x14ac:dyDescent="0.25">
      <c r="A15432" s="5" t="str">
        <f>"H0025703"</f>
        <v>H0025703</v>
      </c>
      <c r="B15432" s="5" t="str">
        <f>"SOLDADOR MIG 300 AMP"</f>
        <v>SOLDADOR MIG 300 AMP</v>
      </c>
      <c r="C15432" s="6">
        <v>5100000</v>
      </c>
      <c r="D15432" s="5" t="s">
        <v>753</v>
      </c>
      <c r="E15432" s="5" t="str">
        <f t="shared" si="797"/>
        <v>MMTO TALLER SOLDADURA -METALMECANICA-ANGEL CUSTODIO SANCHEZ</v>
      </c>
      <c r="F15432" s="5"/>
      <c r="G15432" s="5"/>
    </row>
    <row r="15433" spans="1:7" ht="58.5" customHeight="1" x14ac:dyDescent="0.25">
      <c r="A15433" s="5" t="str">
        <f>"H0028283"</f>
        <v>H0028283</v>
      </c>
      <c r="B15433" s="5" t="str">
        <f>"SOLDADOR INVERSOR 160 AMP"</f>
        <v>SOLDADOR INVERSOR 160 AMP</v>
      </c>
      <c r="C15433" s="6">
        <v>2184000.12</v>
      </c>
      <c r="D15433" s="5" t="s">
        <v>754</v>
      </c>
      <c r="E15433" s="5" t="str">
        <f t="shared" si="797"/>
        <v>MMTO TALLER SOLDADURA -METALMECANICA-ANGEL CUSTODIO SANCHEZ</v>
      </c>
      <c r="F15433" s="5"/>
      <c r="G15433" s="5"/>
    </row>
    <row r="15434" spans="1:7" ht="58.5" customHeight="1" x14ac:dyDescent="0.25">
      <c r="A15434" s="5" t="str">
        <f>"H0029528"</f>
        <v>H0029528</v>
      </c>
      <c r="B15434" s="5" t="s">
        <v>755</v>
      </c>
      <c r="C15434" s="6">
        <v>1190500.17</v>
      </c>
      <c r="D15434" s="5" t="s">
        <v>225</v>
      </c>
      <c r="E15434" s="5" t="str">
        <f t="shared" si="797"/>
        <v>MMTO TALLER SOLDADURA -METALMECANICA-ANGEL CUSTODIO SANCHEZ</v>
      </c>
      <c r="F15434" s="5"/>
      <c r="G15434" s="5"/>
    </row>
    <row r="15435" spans="1:7" ht="58.5" customHeight="1" x14ac:dyDescent="0.25">
      <c r="A15435" s="5" t="str">
        <f>"H0031617"</f>
        <v>H0031617</v>
      </c>
      <c r="B15435" s="5" t="str">
        <f>"TALADRO PERCUTOR 1/2"</f>
        <v>TALADRO PERCUTOR 1/2</v>
      </c>
      <c r="C15435" s="6">
        <v>524000.13</v>
      </c>
      <c r="D15435" s="5" t="s">
        <v>756</v>
      </c>
      <c r="E15435" s="5" t="str">
        <f t="shared" si="797"/>
        <v>MMTO TALLER SOLDADURA -METALMECANICA-ANGEL CUSTODIO SANCHEZ</v>
      </c>
      <c r="F15435" s="5"/>
      <c r="G15435" s="5"/>
    </row>
    <row r="15436" spans="1:7" ht="58.5" customHeight="1" x14ac:dyDescent="0.25">
      <c r="A15436" s="5" t="str">
        <f>"H0032357"</f>
        <v>H0032357</v>
      </c>
      <c r="B15436" s="5" t="str">
        <f>"EQUIPO DE SOLDADURA INVERTER + ANTORCHA"</f>
        <v>EQUIPO DE SOLDADURA INVERTER + ANTORCHA</v>
      </c>
      <c r="C15436" s="6">
        <v>933717.46</v>
      </c>
      <c r="D15436" s="5" t="s">
        <v>757</v>
      </c>
      <c r="E15436" s="5" t="str">
        <f t="shared" si="797"/>
        <v>MMTO TALLER SOLDADURA -METALMECANICA-ANGEL CUSTODIO SANCHEZ</v>
      </c>
      <c r="F15436" s="5"/>
      <c r="G15436" s="5"/>
    </row>
    <row r="15437" spans="1:7" ht="58.5" customHeight="1" x14ac:dyDescent="0.25">
      <c r="A15437" s="5" t="str">
        <f>"H0034080"</f>
        <v>H0034080</v>
      </c>
      <c r="B15437" s="5" t="str">
        <f>"MOTORTOOL"</f>
        <v>MOTORTOOL</v>
      </c>
      <c r="C15437" s="6">
        <v>811999.94</v>
      </c>
      <c r="D15437" s="5" t="s">
        <v>678</v>
      </c>
      <c r="E15437" s="5" t="str">
        <f t="shared" si="797"/>
        <v>MMTO TALLER SOLDADURA -METALMECANICA-ANGEL CUSTODIO SANCHEZ</v>
      </c>
      <c r="F15437" s="5"/>
      <c r="G15437" s="5"/>
    </row>
    <row r="15438" spans="1:7" ht="58.5" customHeight="1" x14ac:dyDescent="0.25">
      <c r="A15438" s="5" t="str">
        <f>"H0034459"</f>
        <v>H0034459</v>
      </c>
      <c r="B15438" s="5" t="str">
        <f>"ROTOMARTILLO MAKITA HR2470"</f>
        <v>ROTOMARTILLO MAKITA HR2470</v>
      </c>
      <c r="C15438" s="6">
        <v>944999.65</v>
      </c>
      <c r="D15438" s="5" t="s">
        <v>732</v>
      </c>
      <c r="E15438" s="5" t="str">
        <f t="shared" si="797"/>
        <v>MMTO TALLER SOLDADURA -METALMECANICA-ANGEL CUSTODIO SANCHEZ</v>
      </c>
      <c r="F15438" s="5"/>
      <c r="G15438" s="5"/>
    </row>
    <row r="15439" spans="1:7" ht="58.5" customHeight="1" x14ac:dyDescent="0.25">
      <c r="A15439" s="5" t="str">
        <f>"B0005479"</f>
        <v>B0005479</v>
      </c>
      <c r="B15439" s="5" t="str">
        <f>"KIT DE DESTORNILLADORES"</f>
        <v>KIT DE DESTORNILLADORES</v>
      </c>
      <c r="C15439" s="6">
        <v>13750.45</v>
      </c>
      <c r="D15439" s="5" t="s">
        <v>382</v>
      </c>
      <c r="E15439" s="5" t="str">
        <f t="shared" ref="E15439:E15459" si="798">"ACTISALUD-SOLDADURA-VICTOR MEDINA Y ANDRES MENDOZA"</f>
        <v>ACTISALUD-SOLDADURA-VICTOR MEDINA Y ANDRES MENDOZA</v>
      </c>
      <c r="F15439" s="5" t="str">
        <f>"Descripcion: JUEGO DE 4 ESTORNILLADORES BASIC 60-40 Estado: Bueno Placa anterior: 000039095 Material: PASTA Y METAL Color: AZUL Referencia:  Observacion:  Placa padre: Tipo adquisicion: Entidad"</f>
        <v>Descripcion: JUEGO DE 4 ESTORNILLADORES BASIC 60-40 Estado: Bueno Placa anterior: 000039095 Material: PASTA Y METAL Color: AZUL Referencia:  Observacion:  Placa padre: Tipo adquisicion: Entidad</v>
      </c>
      <c r="G15439" s="5"/>
    </row>
    <row r="15440" spans="1:7" ht="58.5" customHeight="1" x14ac:dyDescent="0.25">
      <c r="A15440" s="5" t="str">
        <f>"H0005525"</f>
        <v>H0005525</v>
      </c>
      <c r="B15440" s="5" t="str">
        <f>"PRENSA DE BANCO"</f>
        <v>PRENSA DE BANCO</v>
      </c>
      <c r="C15440" s="6">
        <v>71917.02</v>
      </c>
      <c r="D15440" s="5"/>
      <c r="E15440" s="5" t="str">
        <f t="shared" si="798"/>
        <v>ACTISALUD-SOLDADURA-VICTOR MEDINA Y ANDRES MENDOZA</v>
      </c>
      <c r="F15440" s="5" t="str">
        <f>"Descripcion: PRENSA DE BANCO Estado: Bueno Placa anterior: 000012070 Material: HIERRO Color: ROJO Referencia:  Observacion:  Placa padre: Tipo adquisicion: Entidad"</f>
        <v>Descripcion: PRENSA DE BANCO Estado: Bueno Placa anterior: 000012070 Material: HIERRO Color: ROJO Referencia:  Observacion:  Placa padre: Tipo adquisicion: Entidad</v>
      </c>
      <c r="G15440" s="5"/>
    </row>
    <row r="15441" spans="1:7" ht="58.5" customHeight="1" x14ac:dyDescent="0.25">
      <c r="A15441" s="5" t="str">
        <f>"H0005540"</f>
        <v>H0005540</v>
      </c>
      <c r="B15441" s="5" t="str">
        <f>"TALADRO"</f>
        <v>TALADRO</v>
      </c>
      <c r="C15441" s="6">
        <v>258621</v>
      </c>
      <c r="D15441" s="5"/>
      <c r="E15441" s="5" t="str">
        <f t="shared" si="798"/>
        <v>ACTISALUD-SOLDADURA-VICTOR MEDINA Y ANDRES MENDOZA</v>
      </c>
      <c r="F15441" s="5" t="str">
        <f>"Descripcion: TALADRO ELECTRICO INDUSTRIAL Estado: Malo Placa anterior: 000032670 Material: METALICA Y PASTA Color: AMARILLA Referencia:  Observacion: NO ES VISIBLE LA INFORMACION TECNICA. EL FUNCIONARIO AUTORIZA SE CONCILIE CON PLACA No. 000032670 Placa p"&amp; "adre: Tipo adquisicion: Entidad"</f>
        <v>Descripcion: TALADRO ELECTRICO INDUSTRIAL Estado: Malo Placa anterior: 000032670 Material: METALICA Y PASTA Color: AMARILLA Referencia:  Observacion: NO ES VISIBLE LA INFORMACION TECNICA. EL FUNCIONARIO AUTORIZA SE CONCILIE CON PLACA No. 000032670 Placa padre: Tipo adquisicion: Entidad</v>
      </c>
      <c r="G15441" s="5"/>
    </row>
    <row r="15442" spans="1:7" ht="58.5" customHeight="1" x14ac:dyDescent="0.25">
      <c r="A15442" s="5" t="str">
        <f>"H0005790"</f>
        <v>H0005790</v>
      </c>
      <c r="B15442" s="5" t="str">
        <f>"MESA METALICA"</f>
        <v>MESA METALICA</v>
      </c>
      <c r="C15442" s="6">
        <v>18975</v>
      </c>
      <c r="D15442" s="5"/>
      <c r="E15442" s="5" t="str">
        <f t="shared" si="798"/>
        <v>ACTISALUD-SOLDADURA-VICTOR MEDINA Y ANDRES MENDOZA</v>
      </c>
      <c r="F15442" s="5" t="str">
        <f>"Descripcion:MESA METALICA CON RODACHINES Estado: Regular Placa anterior: 000008412 Material: METALICA Y FORMICA Color: GRIS Referencia:  Observacion:  Placa padre:  Tipo adquisicion : Entidad"</f>
        <v>Descripcion:MESA METALICA CON RODACHINES Estado: Regular Placa anterior: 000008412 Material: METALICA Y FORMICA Color: GRIS Referencia:  Observacion:  Placa padre:  Tipo adquisicion : Entidad</v>
      </c>
      <c r="G15442" s="5"/>
    </row>
    <row r="15443" spans="1:7" ht="58.5" customHeight="1" x14ac:dyDescent="0.25">
      <c r="A15443" s="5" t="str">
        <f>"H0006330"</f>
        <v>H0006330</v>
      </c>
      <c r="B15443" s="5" t="str">
        <f>"LOCKER DE 2 COMPARTIMIENTOS"</f>
        <v>LOCKER DE 2 COMPARTIMIENTOS</v>
      </c>
      <c r="C15443" s="6">
        <v>48720</v>
      </c>
      <c r="D15443" s="5"/>
      <c r="E15443" s="5" t="str">
        <f t="shared" si="798"/>
        <v>ACTISALUD-SOLDADURA-VICTOR MEDINA Y ANDRES MENDOZA</v>
      </c>
      <c r="F15443" s="5" t="str">
        <f>"Descripcion: LOCKER TIPO C (2 PUESTOS) Estado: Bueno Placa anterior: 000019398 Material: METALICO Color: GRIS Referencia:  Observacion:  Placa padre: Tipo adquisicion: Entidad"</f>
        <v>Descripcion: LOCKER TIPO C (2 PUESTOS) Estado: Bueno Placa anterior: 000019398 Material: METALICO Color: GRIS Referencia:  Observacion:  Placa padre: Tipo adquisicion: Entidad</v>
      </c>
      <c r="G15443" s="5"/>
    </row>
    <row r="15444" spans="1:7" ht="58.5" customHeight="1" x14ac:dyDescent="0.25">
      <c r="A15444" s="5" t="str">
        <f>"H0006362"</f>
        <v>H0006362</v>
      </c>
      <c r="B15444" s="5" t="str">
        <f>"LOCKER DE 3 COMPARTIMIENTOS"</f>
        <v>LOCKER DE 3 COMPARTIMIENTOS</v>
      </c>
      <c r="C15444" s="6">
        <v>7304</v>
      </c>
      <c r="D15444" s="5"/>
      <c r="E15444" s="5" t="str">
        <f t="shared" si="798"/>
        <v>ACTISALUD-SOLDADURA-VICTOR MEDINA Y ANDRES MENDOZA</v>
      </c>
      <c r="F15444" s="5" t="str">
        <f>"Descripcion: LOCKER DE UN CUERPO Y 3 COMPARTIMENTOS Estado: Bueno Placa anterior: 000019399 Material: METAL Color: GRIS Referencia:  Observacion:  Placa padre: Tipo adquisicion: Entidad"</f>
        <v>Descripcion: LOCKER DE UN CUERPO Y 3 COMPARTIMENTOS Estado: Bueno Placa anterior: 000019399 Material: METAL Color: GRIS Referencia:  Observacion:  Placa padre: Tipo adquisicion: Entidad</v>
      </c>
      <c r="G15444" s="5"/>
    </row>
    <row r="15445" spans="1:7" ht="58.5" customHeight="1" x14ac:dyDescent="0.25">
      <c r="A15445" s="5" t="str">
        <f>"H0010116"</f>
        <v>H0010116</v>
      </c>
      <c r="B15445" s="5" t="str">
        <f>"VITRINA DE 2 CUERPOS"</f>
        <v>VITRINA DE 2 CUERPOS</v>
      </c>
      <c r="C15445" s="6">
        <v>71105.39</v>
      </c>
      <c r="D15445" s="5"/>
      <c r="E15445" s="5" t="str">
        <f t="shared" si="798"/>
        <v>ACTISALUD-SOLDADURA-VICTOR MEDINA Y ANDRES MENDOZA</v>
      </c>
      <c r="F15445" s="5" t="str">
        <f>"Descripcion: VITRINA TIPO B (2 PUERTAS Y ALACENA) Estado: Regular Placa anterior: 000019385 Material: METALICA Color: GRIS Referencia:  Observacion:  Placa padre: Tipo adquisicion: Entidad"</f>
        <v>Descripcion: VITRINA TIPO B (2 PUERTAS Y ALACENA) Estado: Regular Placa anterior: 000019385 Material: METALICA Color: GRIS Referencia:  Observacion:  Placa padre: Tipo adquisicion: Entidad</v>
      </c>
      <c r="G15445" s="5"/>
    </row>
    <row r="15446" spans="1:7" ht="58.5" customHeight="1" x14ac:dyDescent="0.25">
      <c r="A15446" s="5" t="str">
        <f>"H0013272"</f>
        <v>H0013272</v>
      </c>
      <c r="B15446" s="5" t="str">
        <f>"MESA METALICA AUXILIAR"</f>
        <v>MESA METALICA AUXILIAR</v>
      </c>
      <c r="C15446" s="6">
        <v>1541.62</v>
      </c>
      <c r="D15446" s="5"/>
      <c r="E15446" s="5" t="str">
        <f t="shared" si="798"/>
        <v>ACTISALUD-SOLDADURA-VICTOR MEDINA Y ANDRES MENDOZA</v>
      </c>
      <c r="F15446" s="5" t="str">
        <f>"Descripcion:  MESA MATELICA CON UN ENTREPAÑO TAPA EN FORMICA Estado: Bueno Placa anterior: 000024352 Material: METALICA Color: MARRON Referencia:  Observacion:  Placa padre: Tipo adquisicion: Entidad"</f>
        <v>Descripcion:  MESA MATELICA CON UN ENTREPAÑO TAPA EN FORMICA Estado: Bueno Placa anterior: 000024352 Material: METALICA Color: MARRON Referencia:  Observacion:  Placa padre: Tipo adquisicion: Entidad</v>
      </c>
      <c r="G15446" s="5"/>
    </row>
    <row r="15447" spans="1:7" ht="58.5" customHeight="1" x14ac:dyDescent="0.25">
      <c r="A15447" s="5" t="str">
        <f>"H0020278"</f>
        <v>H0020278</v>
      </c>
      <c r="B15447" s="5" t="str">
        <f>"CARETA PROTECTORA PARA SOLDAR"</f>
        <v>CARETA PROTECTORA PARA SOLDAR</v>
      </c>
      <c r="C15447" s="6">
        <v>29000</v>
      </c>
      <c r="D15447" s="5"/>
      <c r="E15447" s="5" t="str">
        <f t="shared" si="798"/>
        <v>ACTISALUD-SOLDADURA-VICTOR MEDINA Y ANDRES MENDOZA</v>
      </c>
      <c r="F15447" s="5" t="str">
        <f>"Descripcion: CARETA PROTECTORA PARA SOLDAR Estado: Bueno Placa anterior: 000012080 Material: PASTA Color: NEGRO Referencia:  Observacion:  Placa padre: Tipo adquisicion: Entidad"</f>
        <v>Descripcion: CARETA PROTECTORA PARA SOLDAR Estado: Bueno Placa anterior: 000012080 Material: PASTA Color: NEGRO Referencia:  Observacion:  Placa padre: Tipo adquisicion: Entidad</v>
      </c>
      <c r="G15447" s="5" t="str">
        <f>"VARIOMATIC 500"</f>
        <v>VARIOMATIC 500</v>
      </c>
    </row>
    <row r="15448" spans="1:7" ht="58.5" customHeight="1" x14ac:dyDescent="0.25">
      <c r="A15448" s="5" t="str">
        <f>"H0020279"</f>
        <v>H0020279</v>
      </c>
      <c r="B15448" s="5" t="str">
        <f>"CARETA PROTECTORA PARA SOLDAR"</f>
        <v>CARETA PROTECTORA PARA SOLDAR</v>
      </c>
      <c r="C15448" s="6">
        <v>29000</v>
      </c>
      <c r="D15448" s="5"/>
      <c r="E15448" s="5" t="str">
        <f t="shared" si="798"/>
        <v>ACTISALUD-SOLDADURA-VICTOR MEDINA Y ANDRES MENDOZA</v>
      </c>
      <c r="F15448" s="5" t="str">
        <f>"Descripcion: CARETA PROTECTORA PARA SOLDAR Estado: Bueno Placa anterior: 000012081 Material: PASTA Color: BALNCO Y ROJO Referencia:  Observacion:  Placa padre: Tipo adquisicion: Entidad"</f>
        <v>Descripcion: CARETA PROTECTORA PARA SOLDAR Estado: Bueno Placa anterior: 000012081 Material: PASTA Color: BALNCO Y ROJO Referencia:  Observacion:  Placa padre: Tipo adquisicion: Entidad</v>
      </c>
      <c r="G15448" s="5" t="str">
        <f>"SKYVIEW600"</f>
        <v>SKYVIEW600</v>
      </c>
    </row>
    <row r="15449" spans="1:7" ht="58.5" customHeight="1" x14ac:dyDescent="0.25">
      <c r="A15449" s="5" t="str">
        <f>"H0020293"</f>
        <v>H0020293</v>
      </c>
      <c r="B15449" s="5" t="str">
        <f>"NIVEL"</f>
        <v>NIVEL</v>
      </c>
      <c r="C15449" s="6">
        <v>1000</v>
      </c>
      <c r="D15449" s="5"/>
      <c r="E15449" s="5" t="str">
        <f t="shared" si="798"/>
        <v>ACTISALUD-SOLDADURA-VICTOR MEDINA Y ANDRES MENDOZA</v>
      </c>
      <c r="F15449" s="5" t="str">
        <f>"Descripcion: NIVEL PEQUEÑO Estado: Bueno Placa anterior: 000012094 Material: ALUMINIO Color: GRIS Referencia:  Observacion:  Placa padre: Tipo adquisicion: Entidad"</f>
        <v>Descripcion: NIVEL PEQUEÑO Estado: Bueno Placa anterior: 000012094 Material: ALUMINIO Color: GRIS Referencia:  Observacion:  Placa padre: Tipo adquisicion: Entidad</v>
      </c>
      <c r="G15449" s="5"/>
    </row>
    <row r="15450" spans="1:7" ht="58.5" customHeight="1" x14ac:dyDescent="0.25">
      <c r="A15450" s="5" t="str">
        <f>"H0020305"</f>
        <v>H0020305</v>
      </c>
      <c r="B15450" s="5" t="str">
        <f>"LLAVE BRISTOL"</f>
        <v>LLAVE BRISTOL</v>
      </c>
      <c r="C15450" s="6">
        <v>20500</v>
      </c>
      <c r="D15450" s="5"/>
      <c r="E15450" s="5" t="str">
        <f t="shared" si="798"/>
        <v>ACTISALUD-SOLDADURA-VICTOR MEDINA Y ANDRES MENDOZA</v>
      </c>
      <c r="F15450" s="5" t="str">
        <f>"Descripcion: LLAVE BRISTOL TIPO NAVAJA DE 7 PIEZAS Estado: Bueno Placa anterior: 000024917 Material: ACERON Color: AMARILLO Y GRIS OSCURO Referencia:  Observacion:  Placa padre: Tipo adquisicion: Entidad"</f>
        <v>Descripcion: LLAVE BRISTOL TIPO NAVAJA DE 7 PIEZAS Estado: Bueno Placa anterior: 000024917 Material: ACERON Color: AMARILLO Y GRIS OSCURO Referencia:  Observacion:  Placa padre: Tipo adquisicion: Entidad</v>
      </c>
      <c r="G15450" s="5"/>
    </row>
    <row r="15451" spans="1:7" ht="58.5" customHeight="1" x14ac:dyDescent="0.25">
      <c r="A15451" s="5" t="str">
        <f>"H0022664"</f>
        <v>H0022664</v>
      </c>
      <c r="B15451" s="5" t="str">
        <f>"ALICATE**"</f>
        <v>ALICATE**</v>
      </c>
      <c r="C15451" s="6">
        <v>21999</v>
      </c>
      <c r="D15451" s="5"/>
      <c r="E15451" s="5" t="str">
        <f t="shared" si="798"/>
        <v>ACTISALUD-SOLDADURA-VICTOR MEDINA Y ANDRES MENDOZA</v>
      </c>
      <c r="F15451" s="5" t="str">
        <f>"Descripcion: ALICATES UNIVERSAL STANLEY REF. 8 Estado: Bueno Placa anterior: 000024940 Material: METAL Color:  Referencia:  Observacion: PLACA ANTERIOR 24942. EL FUNCIONARIO AUTORIZA SEA CONCILIADO CON LA PLACA No. 24940 Placa padre: Tipo adquisicion: Ent"&amp; "idad"</f>
        <v>Descripcion: ALICATES UNIVERSAL STANLEY REF. 8 Estado: Bueno Placa anterior: 000024940 Material: METAL Color:  Referencia:  Observacion: PLACA ANTERIOR 24942. EL FUNCIONARIO AUTORIZA SEA CONCILIADO CON LA PLACA No. 24940 Placa padre: Tipo adquisicion: Entidad</v>
      </c>
      <c r="G15451" s="5"/>
    </row>
    <row r="15452" spans="1:7" ht="58.5" customHeight="1" x14ac:dyDescent="0.25">
      <c r="A15452" s="5" t="str">
        <f>"H0022665"</f>
        <v>H0022665</v>
      </c>
      <c r="B15452" s="5" t="str">
        <f>"ALICATE**"</f>
        <v>ALICATE**</v>
      </c>
      <c r="C15452" s="6">
        <v>8000</v>
      </c>
      <c r="D15452" s="5"/>
      <c r="E15452" s="5" t="str">
        <f t="shared" si="798"/>
        <v>ACTISALUD-SOLDADURA-VICTOR MEDINA Y ANDRES MENDOZA</v>
      </c>
      <c r="F15452" s="5" t="str">
        <f>"Descripcion: ALICATE Estado: Bueno Placa anterior: 000012097 Material: METAL  Color: AMARILLO Referencia:  Observacion:  Placa padre: Tipo adquisicion: Entidad"</f>
        <v>Descripcion: ALICATE Estado: Bueno Placa anterior: 000012097 Material: METAL  Color: AMARILLO Referencia:  Observacion:  Placa padre: Tipo adquisicion: Entidad</v>
      </c>
      <c r="G15452" s="5"/>
    </row>
    <row r="15453" spans="1:7" ht="58.5" customHeight="1" x14ac:dyDescent="0.25">
      <c r="A15453" s="5" t="str">
        <f>"H0022750"</f>
        <v>H0022750</v>
      </c>
      <c r="B15453" s="5" t="str">
        <f>"SOLDADOR DE ARCO"</f>
        <v>SOLDADOR DE ARCO</v>
      </c>
      <c r="C15453" s="6">
        <v>1852499.76</v>
      </c>
      <c r="D15453" s="5" t="s">
        <v>382</v>
      </c>
      <c r="E15453" s="5" t="str">
        <f t="shared" si="798"/>
        <v>ACTISALUD-SOLDADURA-VICTOR MEDINA Y ANDRES MENDOZA</v>
      </c>
      <c r="F15453" s="5" t="str">
        <f>"Descripcion: SOLDADOR SKYARC 2050 200AMP 95-270 v swiess Estado: Bueno Placa anterior: 000038906 Material:  Color: NEGRO Referencia:  Observacion:  Placa padre: Tipo adquisicion: Entidad"</f>
        <v>Descripcion: SOLDADOR SKYARC 2050 200AMP 95-270 v swiess Estado: Bueno Placa anterior: 000038906 Material:  Color: NEGRO Referencia:  Observacion:  Placa padre: Tipo adquisicion: Entidad</v>
      </c>
      <c r="G15453" s="5"/>
    </row>
    <row r="15454" spans="1:7" ht="58.5" customHeight="1" x14ac:dyDescent="0.25">
      <c r="A15454" s="5" t="str">
        <f>"H0022752"</f>
        <v>H0022752</v>
      </c>
      <c r="B15454" s="5" t="str">
        <f>"CARETA PROTECTORA PARA SOLDAR"</f>
        <v>CARETA PROTECTORA PARA SOLDAR</v>
      </c>
      <c r="C15454" s="6">
        <v>117000.07</v>
      </c>
      <c r="D15454" s="5"/>
      <c r="E15454" s="5" t="str">
        <f t="shared" si="798"/>
        <v>ACTISALUD-SOLDADURA-VICTOR MEDINA Y ANDRES MENDOZA</v>
      </c>
      <c r="F15454" s="5" t="str">
        <f>"Descripcion: CARRETA PARA SOLDAR VARIOMATIC 500 ELITE Estado: Bueno Placa anterior: 000036857 Material: PASTA DURA Color: NEGRA Referencia:  Observacion:  Placa padre: Tipo adquisicion: Entidad"</f>
        <v>Descripcion: CARRETA PARA SOLDAR VARIOMATIC 500 ELITE Estado: Bueno Placa anterior: 000036857 Material: PASTA DURA Color: NEGRA Referencia:  Observacion:  Placa padre: Tipo adquisicion: Entidad</v>
      </c>
      <c r="G15454" s="5"/>
    </row>
    <row r="15455" spans="1:7" ht="58.5" customHeight="1" x14ac:dyDescent="0.25">
      <c r="A15455" s="5" t="str">
        <f>"H0025702"</f>
        <v>H0025702</v>
      </c>
      <c r="B15455" s="5" t="str">
        <f>"COMPRESOR 2 CABALLOS DE FUERZA"</f>
        <v>COMPRESOR 2 CABALLOS DE FUERZA</v>
      </c>
      <c r="C15455" s="6">
        <v>2720000</v>
      </c>
      <c r="D15455" s="5" t="s">
        <v>758</v>
      </c>
      <c r="E15455" s="5" t="str">
        <f t="shared" si="798"/>
        <v>ACTISALUD-SOLDADURA-VICTOR MEDINA Y ANDRES MENDOZA</v>
      </c>
      <c r="F15455" s="5"/>
      <c r="G15455" s="5"/>
    </row>
    <row r="15456" spans="1:7" ht="58.5" customHeight="1" x14ac:dyDescent="0.25">
      <c r="A15456" s="5" t="str">
        <f>"H0027022"</f>
        <v>H0027022</v>
      </c>
      <c r="B15456" s="5" t="str">
        <f>"LIJADORA ORBITAL PORTATIL ELECTRICA"</f>
        <v>LIJADORA ORBITAL PORTATIL ELECTRICA</v>
      </c>
      <c r="C15456" s="6">
        <v>279900</v>
      </c>
      <c r="D15456" s="5" t="s">
        <v>459</v>
      </c>
      <c r="E15456" s="5" t="str">
        <f t="shared" si="798"/>
        <v>ACTISALUD-SOLDADURA-VICTOR MEDINA Y ANDRES MENDOZA</v>
      </c>
      <c r="F15456" s="5"/>
      <c r="G15456" s="5"/>
    </row>
    <row r="15457" spans="1:7" ht="58.5" customHeight="1" x14ac:dyDescent="0.25">
      <c r="A15457" s="5" t="str">
        <f>"H0027282"</f>
        <v>H0027282</v>
      </c>
      <c r="B15457" s="5" t="str">
        <f>"PULIDORA 4. ½"</f>
        <v>PULIDORA 4. ½</v>
      </c>
      <c r="C15457" s="6">
        <v>419900.14</v>
      </c>
      <c r="D15457" s="5" t="s">
        <v>759</v>
      </c>
      <c r="E15457" s="5" t="str">
        <f t="shared" si="798"/>
        <v>ACTISALUD-SOLDADURA-VICTOR MEDINA Y ANDRES MENDOZA</v>
      </c>
      <c r="F15457" s="5"/>
      <c r="G15457" s="5"/>
    </row>
    <row r="15458" spans="1:7" ht="58.5" customHeight="1" x14ac:dyDescent="0.25">
      <c r="A15458" s="5" t="str">
        <f>"H0029632"</f>
        <v>H0029632</v>
      </c>
      <c r="B15458" s="5" t="str">
        <f>"LIJADORA DE PALMA 2 AMP"</f>
        <v>LIJADORA DE PALMA 2 AMP</v>
      </c>
      <c r="C15458" s="6">
        <v>340999.62</v>
      </c>
      <c r="D15458" s="5" t="s">
        <v>637</v>
      </c>
      <c r="E15458" s="5" t="str">
        <f t="shared" si="798"/>
        <v>ACTISALUD-SOLDADURA-VICTOR MEDINA Y ANDRES MENDOZA</v>
      </c>
      <c r="F15458" s="5"/>
      <c r="G15458" s="5"/>
    </row>
    <row r="15459" spans="1:7" ht="58.5" customHeight="1" x14ac:dyDescent="0.25">
      <c r="A15459" s="5" t="str">
        <f>"H0030146"</f>
        <v>H0030146</v>
      </c>
      <c r="B15459" s="5" t="str">
        <f>"PULIDORA 4.1/2 REF 4 120 900W DEWALT T 3.1 AMP 900W"</f>
        <v>PULIDORA 4.1/2 REF 4 120 900W DEWALT T 3.1 AMP 900W</v>
      </c>
      <c r="C15459" s="6">
        <v>362399.81</v>
      </c>
      <c r="D15459" s="5" t="s">
        <v>566</v>
      </c>
      <c r="E15459" s="5" t="str">
        <f t="shared" si="798"/>
        <v>ACTISALUD-SOLDADURA-VICTOR MEDINA Y ANDRES MENDOZA</v>
      </c>
      <c r="F15459" s="5"/>
      <c r="G15459" s="5"/>
    </row>
    <row r="15460" spans="1:7" ht="58.5" customHeight="1" x14ac:dyDescent="0.25">
      <c r="A15460" s="5" t="str">
        <f>"H0005807"</f>
        <v>H0005807</v>
      </c>
      <c r="B15460" s="5" t="str">
        <f>"LOCKER DE 3 COMPARTIMIENTOS"</f>
        <v>LOCKER DE 3 COMPARTIMIENTOS</v>
      </c>
      <c r="C15460" s="6">
        <v>9130</v>
      </c>
      <c r="D15460" s="5"/>
      <c r="E15460" s="5" t="str">
        <f>"ACTISALUD-OMAR HUERTAS"</f>
        <v>ACTISALUD-OMAR HUERTAS</v>
      </c>
      <c r="F15460" s="5" t="str">
        <f>"Descripcion:LOCKER TIPO B (3 PUESTOS). UN SOLO CUERPO Estado: Regular Placa anterior: 000008275 Material: METALICO Color: GRIS Referencia:  Observacion: LE FALTA A UN COMPARTIMIENTO LA PUERTA Placa padre:  Tipo adquisicion : Entidad"</f>
        <v>Descripcion:LOCKER TIPO B (3 PUESTOS). UN SOLO CUERPO Estado: Regular Placa anterior: 000008275 Material: METALICO Color: GRIS Referencia:  Observacion: LE FALTA A UN COMPARTIMIENTO LA PUERTA Placa padre:  Tipo adquisicion : Entidad</v>
      </c>
      <c r="G15460" s="5"/>
    </row>
    <row r="15461" spans="1:7" ht="58.5" customHeight="1" x14ac:dyDescent="0.25">
      <c r="A15461" s="5" t="str">
        <f>"H0031993"</f>
        <v>H0031993</v>
      </c>
      <c r="B15461" s="5" t="str">
        <f>"PULIDORA ½ 900W 8.1 AMP"</f>
        <v>PULIDORA ½ 900W 8.1 AMP</v>
      </c>
      <c r="C15461" s="6">
        <v>391195.84</v>
      </c>
      <c r="D15461" s="5" t="s">
        <v>109</v>
      </c>
      <c r="E15461" s="5" t="str">
        <f>"ACTISALUD-OMAR HUERTAS"</f>
        <v>ACTISALUD-OMAR HUERTAS</v>
      </c>
      <c r="F15461" s="5"/>
      <c r="G15461" s="5"/>
    </row>
    <row r="15462" spans="1:7" ht="58.5" customHeight="1" x14ac:dyDescent="0.25">
      <c r="A15462" s="5" t="str">
        <f>"H0032364"</f>
        <v>H0032364</v>
      </c>
      <c r="B15462" s="5" t="str">
        <f>"TALADRO PERCUTOR  INALAMBRICO  ½"</f>
        <v>TALADRO PERCUTOR  INALAMBRICO  ½</v>
      </c>
      <c r="C15462" s="6">
        <v>699901.94</v>
      </c>
      <c r="D15462" s="5" t="s">
        <v>760</v>
      </c>
      <c r="E15462" s="5" t="str">
        <f>"ACTISALUD-OMAR HUERTAS"</f>
        <v>ACTISALUD-OMAR HUERTAS</v>
      </c>
      <c r="F15462" s="5"/>
      <c r="G15462" s="5"/>
    </row>
    <row r="15463" spans="1:7" ht="58.5" customHeight="1" x14ac:dyDescent="0.25">
      <c r="A15463" s="5" t="str">
        <f>"B0005239"</f>
        <v>B0005239</v>
      </c>
      <c r="B15463" s="5" t="str">
        <f>"DESTORNILLADOR (ATORNILLADOR)"</f>
        <v>DESTORNILLADOR (ATORNILLADOR)</v>
      </c>
      <c r="C15463" s="6">
        <v>4000</v>
      </c>
      <c r="D15463" s="5"/>
      <c r="E15463" s="5" t="str">
        <f t="shared" ref="E15463:E15507" si="799">"ACTISALUD - MMTO TALLER ELECTRICO- JAVIER DALLOS"</f>
        <v>ACTISALUD - MMTO TALLER ELECTRICO- JAVIER DALLOS</v>
      </c>
      <c r="F15463" s="5" t="str">
        <f>"Descripcion:DESTORNILLADOR DE ESTRIA Estado: Bueno Placa anterior: 000010716 Material:  Color:  Referencia:  Observacion: SE ENCUENTRA UBICADO EN EL AREA DE TALLER DE SOLDADURA Placa padre:  Tipo adquisicion : Entidad"</f>
        <v>Descripcion:DESTORNILLADOR DE ESTRIA Estado: Bueno Placa anterior: 000010716 Material:  Color:  Referencia:  Observacion: SE ENCUENTRA UBICADO EN EL AREA DE TALLER DE SOLDADURA Placa padre:  Tipo adquisicion : Entidad</v>
      </c>
      <c r="G15463" s="5"/>
    </row>
    <row r="15464" spans="1:7" ht="58.5" customHeight="1" x14ac:dyDescent="0.25">
      <c r="A15464" s="5" t="str">
        <f>"B0005240"</f>
        <v>B0005240</v>
      </c>
      <c r="B15464" s="5" t="str">
        <f>"DESTORNILLADOR (ATORNILLADOR)"</f>
        <v>DESTORNILLADOR (ATORNILLADOR)</v>
      </c>
      <c r="C15464" s="6">
        <v>4000</v>
      </c>
      <c r="D15464" s="5"/>
      <c r="E15464" s="5" t="str">
        <f t="shared" si="799"/>
        <v>ACTISALUD - MMTO TALLER ELECTRICO- JAVIER DALLOS</v>
      </c>
      <c r="F15464" s="5" t="str">
        <f>"Descripcion:DESTORNILLADOR DE ESTRIA Estado: Bueno Placa anterior: 000010715 Material:  Color:  Referencia:  Observacion: SE ENCUENTRA UBICADO EN EL AREA DE TALLER DE SOLDADURA Placa padre:  Tipo adquisicion : Entidad"</f>
        <v>Descripcion:DESTORNILLADOR DE ESTRIA Estado: Bueno Placa anterior: 000010715 Material:  Color:  Referencia:  Observacion: SE ENCUENTRA UBICADO EN EL AREA DE TALLER DE SOLDADURA Placa padre:  Tipo adquisicion : Entidad</v>
      </c>
      <c r="G15464" s="5"/>
    </row>
    <row r="15465" spans="1:7" ht="58.5" customHeight="1" x14ac:dyDescent="0.25">
      <c r="A15465" s="5" t="str">
        <f>"B0005241"</f>
        <v>B0005241</v>
      </c>
      <c r="B15465" s="5" t="str">
        <f>"DESTORNILLADOR (ATORNILLADOR)"</f>
        <v>DESTORNILLADOR (ATORNILLADOR)</v>
      </c>
      <c r="C15465" s="6">
        <v>4000</v>
      </c>
      <c r="D15465" s="5"/>
      <c r="E15465" s="5" t="str">
        <f t="shared" si="799"/>
        <v>ACTISALUD - MMTO TALLER ELECTRICO- JAVIER DALLOS</v>
      </c>
      <c r="F15465" s="5" t="str">
        <f>"Descripcion:DESTORNILLADOR DE PALA Estado: Bueno Placa anterior: 000010712 Material:  Color:  Referencia:  Observacion: SE ENCUENTRA UBICADO EN EL TALLER DE SOLDADURA Placa padre:  Tipo adquisicion : Entidad"</f>
        <v>Descripcion:DESTORNILLADOR DE PALA Estado: Bueno Placa anterior: 000010712 Material:  Color:  Referencia:  Observacion: SE ENCUENTRA UBICADO EN EL TALLER DE SOLDADURA Placa padre:  Tipo adquisicion : Entidad</v>
      </c>
      <c r="G15465" s="5"/>
    </row>
    <row r="15466" spans="1:7" ht="58.5" customHeight="1" x14ac:dyDescent="0.25">
      <c r="A15466" s="5" t="str">
        <f>"B0005242"</f>
        <v>B0005242</v>
      </c>
      <c r="B15466" s="5" t="str">
        <f>"DESTORNILLADOR (ATORNILLADOR)"</f>
        <v>DESTORNILLADOR (ATORNILLADOR)</v>
      </c>
      <c r="C15466" s="6">
        <v>4000</v>
      </c>
      <c r="D15466" s="5"/>
      <c r="E15466" s="5" t="str">
        <f t="shared" si="799"/>
        <v>ACTISALUD - MMTO TALLER ELECTRICO- JAVIER DALLOS</v>
      </c>
      <c r="F15466" s="5" t="str">
        <f>"Descripcion:DESTORNILLADOR DE PALA Estado: Bueno Placa anterior: 000010713 Material:  Color:  Referencia:  Observacion: SE ENCUENTRA UBICADO EN EL TALLER DE SOLDADURA Placa padre:  Tipo adquisicion : Entidad"</f>
        <v>Descripcion:DESTORNILLADOR DE PALA Estado: Bueno Placa anterior: 000010713 Material:  Color:  Referencia:  Observacion: SE ENCUENTRA UBICADO EN EL TALLER DE SOLDADURA Placa padre:  Tipo adquisicion : Entidad</v>
      </c>
      <c r="G15466" s="5"/>
    </row>
    <row r="15467" spans="1:7" ht="58.5" customHeight="1" x14ac:dyDescent="0.25">
      <c r="A15467" s="5" t="str">
        <f>"B0005243"</f>
        <v>B0005243</v>
      </c>
      <c r="B15467" s="5" t="str">
        <f>"DESTORNILLADOR (ATORNILLADOR)"</f>
        <v>DESTORNILLADOR (ATORNILLADOR)</v>
      </c>
      <c r="C15467" s="6">
        <v>4000</v>
      </c>
      <c r="D15467" s="5"/>
      <c r="E15467" s="5" t="str">
        <f t="shared" si="799"/>
        <v>ACTISALUD - MMTO TALLER ELECTRICO- JAVIER DALLOS</v>
      </c>
      <c r="F15467" s="5" t="str">
        <f>"Descripcion:DESTORNILLADOR DE PALA Estado: Bueno Placa anterior: 000010714 Material:  Color:  Referencia:  Observacion: SE ENCUENTRA UBICADO EN EL TALLER DE SOLDADURA Placa padre:  Tipo adquisicion : Entidad"</f>
        <v>Descripcion:DESTORNILLADOR DE PALA Estado: Bueno Placa anterior: 000010714 Material:  Color:  Referencia:  Observacion: SE ENCUENTRA UBICADO EN EL TALLER DE SOLDADURA Placa padre:  Tipo adquisicion : Entidad</v>
      </c>
      <c r="G15467" s="5"/>
    </row>
    <row r="15468" spans="1:7" ht="58.5" customHeight="1" x14ac:dyDescent="0.25">
      <c r="A15468" s="5" t="str">
        <f>"B0005244"</f>
        <v>B0005244</v>
      </c>
      <c r="B15468" s="5" t="str">
        <f>"KIT DE DESTORNILLADORES"</f>
        <v>KIT DE DESTORNILLADORES</v>
      </c>
      <c r="C15468" s="6">
        <v>22499</v>
      </c>
      <c r="D15468" s="5"/>
      <c r="E15468" s="5" t="str">
        <f t="shared" si="799"/>
        <v>ACTISALUD - MMTO TALLER ELECTRICO- JAVIER DALLOS</v>
      </c>
      <c r="F15468" s="5" t="str">
        <f>"Descripcion:DESTORNILLADORES X 6 PIEZAS REF. MIXTO STANLEY Estado: Bueno Placa anterior: 000024913 Material:  Color:  Referencia:  Observacion: SE ENCUENTRA UBICADO EN EL TALLER DE SOLDADURA Placa padre:  Tipo adquisicion : Entidad"</f>
        <v>Descripcion:DESTORNILLADORES X 6 PIEZAS REF. MIXTO STANLEY Estado: Bueno Placa anterior: 000024913 Material:  Color:  Referencia:  Observacion: SE ENCUENTRA UBICADO EN EL TALLER DE SOLDADURA Placa padre:  Tipo adquisicion : Entidad</v>
      </c>
      <c r="G15468" s="5"/>
    </row>
    <row r="15469" spans="1:7" ht="58.5" customHeight="1" x14ac:dyDescent="0.25">
      <c r="A15469" s="5" t="str">
        <f>"B0005245"</f>
        <v>B0005245</v>
      </c>
      <c r="B15469" s="5" t="str">
        <f>"KIT DE DESTORNILLADORES"</f>
        <v>KIT DE DESTORNILLADORES</v>
      </c>
      <c r="C15469" s="6">
        <v>22499</v>
      </c>
      <c r="D15469" s="5"/>
      <c r="E15469" s="5" t="str">
        <f t="shared" si="799"/>
        <v>ACTISALUD - MMTO TALLER ELECTRICO- JAVIER DALLOS</v>
      </c>
      <c r="F15469" s="5" t="str">
        <f>"Descripcion:DESTORNILLADORES X 6 PIEZAS REF. MIXTO STANLEY Estado: Bueno Placa anterior: 000024914 Material:  Color:  Referencia:  Observacion: SE ENCUENTRA UBICADO EN EL TALLER DE SOLDADURA Placa padre:  Tipo adquisicion : Entidad"</f>
        <v>Descripcion:DESTORNILLADORES X 6 PIEZAS REF. MIXTO STANLEY Estado: Bueno Placa anterior: 000024914 Material:  Color:  Referencia:  Observacion: SE ENCUENTRA UBICADO EN EL TALLER DE SOLDADURA Placa padre:  Tipo adquisicion : Entidad</v>
      </c>
      <c r="G15469" s="5"/>
    </row>
    <row r="15470" spans="1:7" ht="58.5" customHeight="1" x14ac:dyDescent="0.25">
      <c r="A15470" s="5" t="str">
        <f>"B0005252"</f>
        <v>B0005252</v>
      </c>
      <c r="B15470" s="5" t="str">
        <f>"LIMA REDONDA (SOLDADURA)"</f>
        <v>LIMA REDONDA (SOLDADURA)</v>
      </c>
      <c r="C15470" s="6">
        <v>3000</v>
      </c>
      <c r="D15470" s="5"/>
      <c r="E15470" s="5" t="str">
        <f t="shared" si="799"/>
        <v>ACTISALUD - MMTO TALLER ELECTRICO- JAVIER DALLOS</v>
      </c>
      <c r="F15470" s="5" t="str">
        <f>"Descripcion:LIMA REDONDA Estado: Bueno Placa anterior: 000010722 Material: METALICA Color:  Referencia:  Observacion: SE ENCUENTRA UBICADO EN EL TALLER DE SOLDADURA Placa padre:  Tipo adquisicion : Entidad"</f>
        <v>Descripcion:LIMA REDONDA Estado: Bueno Placa anterior: 000010722 Material: METALICA Color:  Referencia:  Observacion: SE ENCUENTRA UBICADO EN EL TALLER DE SOLDADURA Placa padre:  Tipo adquisicion : Entidad</v>
      </c>
      <c r="G15470" s="5"/>
    </row>
    <row r="15471" spans="1:7" ht="58.5" customHeight="1" x14ac:dyDescent="0.25">
      <c r="A15471" s="5" t="str">
        <f>"B0005253"</f>
        <v>B0005253</v>
      </c>
      <c r="B15471" s="5" t="str">
        <f>"JUEGO LLAVES BRISTOL**"</f>
        <v>JUEGO LLAVES BRISTOL**</v>
      </c>
      <c r="C15471" s="6">
        <v>20500</v>
      </c>
      <c r="D15471" s="5"/>
      <c r="E15471" s="5" t="str">
        <f t="shared" si="799"/>
        <v>ACTISALUD - MMTO TALLER ELECTRICO- JAVIER DALLOS</v>
      </c>
      <c r="F15471" s="5" t="str">
        <f>"Descripcion:LLAVES BRISTOL STANLEY REF. 1.5 A 10 MM.(JUEGO) Estado: Bueno Placa anterior: 000024918 Material: METALICA Color:  Referencia:  Observacion: SE ENCUENTRA UBICADO EN EL TALLER DE SOLDADURA Placa padre:  Tipo adquisicion : Entidad"</f>
        <v>Descripcion:LLAVES BRISTOL STANLEY REF. 1.5 A 10 MM.(JUEGO) Estado: Bueno Placa anterior: 000024918 Material: METALICA Color:  Referencia:  Observacion: SE ENCUENTRA UBICADO EN EL TALLER DE SOLDADURA Placa padre:  Tipo adquisicion : Entidad</v>
      </c>
      <c r="G15471" s="5"/>
    </row>
    <row r="15472" spans="1:7" ht="58.5" customHeight="1" x14ac:dyDescent="0.25">
      <c r="A15472" s="5" t="str">
        <f>"B0005254"</f>
        <v>B0005254</v>
      </c>
      <c r="B15472" s="5" t="str">
        <f>"JUEGO LLAVES BRISTOL**"</f>
        <v>JUEGO LLAVES BRISTOL**</v>
      </c>
      <c r="C15472" s="6">
        <v>18500</v>
      </c>
      <c r="D15472" s="5"/>
      <c r="E15472" s="5" t="str">
        <f t="shared" si="799"/>
        <v>ACTISALUD - MMTO TALLER ELECTRICO- JAVIER DALLOS</v>
      </c>
      <c r="F15472" s="5" t="str">
        <f>"Descripcion:LLAVES BRISTOL STANLEY REF. 1/6 A 3/8 Estado: Bueno Placa anterior: 000024921 Material: METALICA Color:  Referencia:  Observacion: SE ENCUENTRA UBICADO EN EL TALLER DE SOLDADURA Placa padre:  Tipo adquisicion : Entidad"</f>
        <v>Descripcion:LLAVES BRISTOL STANLEY REF. 1/6 A 3/8 Estado: Bueno Placa anterior: 000024921 Material: METALICA Color:  Referencia:  Observacion: SE ENCUENTRA UBICADO EN EL TALLER DE SOLDADURA Placa padre:  Tipo adquisicion : Entidad</v>
      </c>
      <c r="G15472" s="5"/>
    </row>
    <row r="15473" spans="1:7" ht="58.5" customHeight="1" x14ac:dyDescent="0.25">
      <c r="A15473" s="5" t="str">
        <f>"B0005255"</f>
        <v>B0005255</v>
      </c>
      <c r="B15473" s="5" t="str">
        <f>"SONDA"</f>
        <v>SONDA</v>
      </c>
      <c r="C15473" s="6">
        <v>10180</v>
      </c>
      <c r="D15473" s="5"/>
      <c r="E15473" s="5" t="str">
        <f t="shared" si="799"/>
        <v>ACTISALUD - MMTO TALLER ELECTRICO- JAVIER DALLOS</v>
      </c>
      <c r="F15473" s="5" t="str">
        <f>"Descripcion:SONDA PESCABEL 1/8 X 30 MTS Estado: Bueno Placa anterior: 000010711 Material: METALICO Color:  Referencia:  Observacion:  Placa padre:  Tipo adquisicion : Entidad"</f>
        <v>Descripcion:SONDA PESCABEL 1/8 X 30 MTS Estado: Bueno Placa anterior: 000010711 Material: METALICO Color:  Referencia:  Observacion:  Placa padre:  Tipo adquisicion : Entidad</v>
      </c>
      <c r="G15473" s="5"/>
    </row>
    <row r="15474" spans="1:7" ht="58.5" customHeight="1" x14ac:dyDescent="0.25">
      <c r="A15474" s="5" t="str">
        <f>"H0019662"</f>
        <v>H0019662</v>
      </c>
      <c r="B15474" s="5" t="str">
        <f>"ANALIZADOR DE SEGURIDAD"</f>
        <v>ANALIZADOR DE SEGURIDAD</v>
      </c>
      <c r="C15474" s="6">
        <v>1715500</v>
      </c>
      <c r="D15474" s="5"/>
      <c r="E15474" s="5" t="str">
        <f t="shared" si="799"/>
        <v>ACTISALUD - MMTO TALLER ELECTRICO- JAVIER DALLOS</v>
      </c>
      <c r="F15474" s="5" t="str">
        <f>"Descripcion:ANALIZADOR DE SEGURIDAD MCA.DYNATECH Estado: Bueno Placa anterior: 000028126 Material: METALICO Color: AZUL, GRIS Y NEGRO Referencia:  Observacion:  Placa padre:  Tipo adquisicion : Entidad"</f>
        <v>Descripcion:ANALIZADOR DE SEGURIDAD MCA.DYNATECH Estado: Bueno Placa anterior: 000028126 Material: METALICO Color: AZUL, GRIS Y NEGRO Referencia:  Observacion:  Placa padre:  Tipo adquisicion : Entidad</v>
      </c>
      <c r="G15474" s="5" t="str">
        <f>"234A"</f>
        <v>234A</v>
      </c>
    </row>
    <row r="15475" spans="1:7" ht="58.5" customHeight="1" x14ac:dyDescent="0.25">
      <c r="A15475" s="5" t="str">
        <f>"H0020316"</f>
        <v>H0020316</v>
      </c>
      <c r="B15475" s="5" t="str">
        <f>"SILLA ERGONOMICA TIPO SECRETARIA SIN BRAZOS"</f>
        <v>SILLA ERGONOMICA TIPO SECRETARIA SIN BRAZOS</v>
      </c>
      <c r="C15475" s="6">
        <v>211120</v>
      </c>
      <c r="D15475" s="5"/>
      <c r="E15475" s="5" t="str">
        <f t="shared" si="799"/>
        <v>ACTISALUD - MMTO TALLER ELECTRICO- JAVIER DALLOS</v>
      </c>
      <c r="F15475" s="5" t="str">
        <f>"Descripcion:SILLA ERGONOMICA AT 02 (TA-TELA VINILICA SECRETARIAL) Estado: Malo Placa anterior: 000025295 Material: PASTA, METALICO Y CUERINA Color: NEGRO Referencia:  Observacion:  Placa padre:  Tipo adquisicion : Entidad"</f>
        <v>Descripcion:SILLA ERGONOMICA AT 02 (TA-TELA VINILICA SECRETARIAL) Estado: Malo Placa anterior: 000025295 Material: PASTA, METALICO Y CUERINA Color: NEGRO Referencia:  Observacion:  Placa padre:  Tipo adquisicion : Entidad</v>
      </c>
      <c r="G15475" s="5"/>
    </row>
    <row r="15476" spans="1:7" ht="58.5" customHeight="1" x14ac:dyDescent="0.25">
      <c r="A15476" s="5" t="str">
        <f>"H0020317"</f>
        <v>H0020317</v>
      </c>
      <c r="B15476" s="5" t="str">
        <f>"VITRINA DE 2 CUERPOS"</f>
        <v>VITRINA DE 2 CUERPOS</v>
      </c>
      <c r="C15476" s="6">
        <v>20790</v>
      </c>
      <c r="D15476" s="5"/>
      <c r="E15476" s="5" t="str">
        <f t="shared" si="799"/>
        <v>ACTISALUD - MMTO TALLER ELECTRICO- JAVIER DALLOS</v>
      </c>
      <c r="F15476" s="5" t="str">
        <f>"Descripcion:CON 4 GAVETAS Estado: Regular Placa anterior: 000003727 Material: METALICO Y VIDRIO Color: GRIS Referencia:  Observacion: EL BIEN TIENE LA PLACA ANTERIOR 000007689 Placa padre:  Tipo adquisicion : Entidad"</f>
        <v>Descripcion:CON 4 GAVETAS Estado: Regular Placa anterior: 000003727 Material: METALICO Y VIDRIO Color: GRIS Referencia:  Observacion: EL BIEN TIENE LA PLACA ANTERIOR 000007689 Placa padre:  Tipo adquisicion : Entidad</v>
      </c>
      <c r="G15476" s="5"/>
    </row>
    <row r="15477" spans="1:7" ht="58.5" customHeight="1" x14ac:dyDescent="0.25">
      <c r="A15477" s="5" t="str">
        <f>"H0020318"</f>
        <v>H0020318</v>
      </c>
      <c r="B15477" s="5" t="str">
        <f>"LOCKER DE 1 COMPARTIMIENTO"</f>
        <v>LOCKER DE 1 COMPARTIMIENTO</v>
      </c>
      <c r="C15477" s="6">
        <v>10672.33</v>
      </c>
      <c r="D15477" s="5"/>
      <c r="E15477" s="5" t="str">
        <f t="shared" si="799"/>
        <v>ACTISALUD - MMTO TALLER ELECTRICO- JAVIER DALLOS</v>
      </c>
      <c r="F15477" s="5" t="str">
        <f>"Descripcion:LOCKER TIPO D (1 PUESTO) Estado: Regular Placa anterior: 000009665 Material: METALICO Color: VERDE Referencia:  Observacion:  Placa padre:  Tipo adquisicion : Entidad"</f>
        <v>Descripcion:LOCKER TIPO D (1 PUESTO) Estado: Regular Placa anterior: 000009665 Material: METALICO Color: VERDE Referencia:  Observacion:  Placa padre:  Tipo adquisicion : Entidad</v>
      </c>
      <c r="G15477" s="5"/>
    </row>
    <row r="15478" spans="1:7" ht="58.5" customHeight="1" x14ac:dyDescent="0.25">
      <c r="A15478" s="5" t="str">
        <f>"H0020320"</f>
        <v>H0020320</v>
      </c>
      <c r="B15478" s="5" t="str">
        <f>"CORTADORA PARA CERAMICA"</f>
        <v>CORTADORA PARA CERAMICA</v>
      </c>
      <c r="C15478" s="6">
        <v>150000.34</v>
      </c>
      <c r="D15478" s="5" t="s">
        <v>548</v>
      </c>
      <c r="E15478" s="5" t="str">
        <f t="shared" si="799"/>
        <v>ACTISALUD - MMTO TALLER ELECTRICO- JAVIER DALLOS</v>
      </c>
      <c r="F15478" s="5" t="str">
        <f>"Descripcion:CORTABALDOSA RUBI PRACTIC 600 MM Estado: Bueno Placa anterior: 000030547 Material: METALICO Y ACERO Color: GRIS Y PLATEADO Referencia:  Observacion:  Placa padre:  Tipo adquisicion : Entidad"</f>
        <v>Descripcion:CORTABALDOSA RUBI PRACTIC 600 MM Estado: Bueno Placa anterior: 000030547 Material: METALICO Y ACERO Color: GRIS Y PLATEADO Referencia:  Observacion:  Placa padre:  Tipo adquisicion : Entidad</v>
      </c>
      <c r="G15478" s="5"/>
    </row>
    <row r="15479" spans="1:7" ht="58.5" customHeight="1" x14ac:dyDescent="0.25">
      <c r="A15479" s="5" t="str">
        <f>"H0020321"</f>
        <v>H0020321</v>
      </c>
      <c r="B15479" s="5" t="str">
        <f>"TALADRO"</f>
        <v>TALADRO</v>
      </c>
      <c r="C15479" s="6">
        <v>258621</v>
      </c>
      <c r="D15479" s="5"/>
      <c r="E15479" s="5" t="str">
        <f t="shared" si="799"/>
        <v>ACTISALUD - MMTO TALLER ELECTRICO- JAVIER DALLOS</v>
      </c>
      <c r="F15479" s="5" t="str">
        <f>"Descripcion:TALADRO PERCUTOR Estado: Bueno Placa anterior: 000032669 Material: PASTA Y ACERO Color: AMARILLO Y NEGRO Referencia:  Observacion:  Placa padre:  Tipo adquisicion : Entidad"</f>
        <v>Descripcion:TALADRO PERCUTOR Estado: Bueno Placa anterior: 000032669 Material: PASTA Y ACERO Color: AMARILLO Y NEGRO Referencia:  Observacion:  Placa padre:  Tipo adquisicion : Entidad</v>
      </c>
      <c r="G15479" s="5" t="str">
        <f>"D25124 - 23"</f>
        <v>D25124 - 23</v>
      </c>
    </row>
    <row r="15480" spans="1:7" ht="58.5" customHeight="1" x14ac:dyDescent="0.25">
      <c r="A15480" s="5" t="str">
        <f>"H0020322"</f>
        <v>H0020322</v>
      </c>
      <c r="B15480" s="5" t="str">
        <f>"ATORNILLADOR INALAMBRICO"</f>
        <v>ATORNILLADOR INALAMBRICO</v>
      </c>
      <c r="C15480" s="6">
        <v>429900.45</v>
      </c>
      <c r="D15480" s="5" t="s">
        <v>208</v>
      </c>
      <c r="E15480" s="5" t="str">
        <f t="shared" si="799"/>
        <v>ACTISALUD - MMTO TALLER ELECTRICO- JAVIER DALLOS</v>
      </c>
      <c r="F15480" s="5" t="str">
        <f>"Descripcion:ATORNILLADOR INALAMBRICO DE 12 VOLTIOS. CON ASESORIOS. DOS PILAS Y UN CARGADOR Estado: Bueno Placa anterior: 000036554 Material: PASTA Y ACERO Color: AMERILLO Y NEGRO Referencia:  Observacion:  Placa padre:  Tipo adquisicion : Entidad"</f>
        <v>Descripcion:ATORNILLADOR INALAMBRICO DE 12 VOLTIOS. CON ASESORIOS. DOS PILAS Y UN CARGADOR Estado: Bueno Placa anterior: 000036554 Material: PASTA Y ACERO Color: AMERILLO Y NEGRO Referencia:  Observacion:  Placa padre:  Tipo adquisicion : Entidad</v>
      </c>
      <c r="G15480" s="5" t="str">
        <f>"DWCB12-B3"</f>
        <v>DWCB12-B3</v>
      </c>
    </row>
    <row r="15481" spans="1:7" ht="58.5" customHeight="1" x14ac:dyDescent="0.25">
      <c r="A15481" s="5" t="str">
        <f>"H0020323"</f>
        <v>H0020323</v>
      </c>
      <c r="B15481" s="5" t="str">
        <f>"PULIDORA (CORTE Y PULIDO)"</f>
        <v>PULIDORA (CORTE Y PULIDO)</v>
      </c>
      <c r="C15481" s="6">
        <v>249900.04</v>
      </c>
      <c r="D15481" s="5" t="s">
        <v>286</v>
      </c>
      <c r="E15481" s="5" t="str">
        <f t="shared" si="799"/>
        <v>ACTISALUD - MMTO TALLER ELECTRICO- JAVIER DALLOS</v>
      </c>
      <c r="F15481" s="5" t="str">
        <f>"Descripcion:PULIDORA SEMI INDUSTRIAL Estado: Bueno Placa anterior: 000037246 Material: PASTA Y ACERO Color: AMERILLO Y NEGRO Referencia:  Observacion:  Placa padre:  Tipo adquisicion : Entidad"</f>
        <v>Descripcion:PULIDORA SEMI INDUSTRIAL Estado: Bueno Placa anterior: 000037246 Material: PASTA Y ACERO Color: AMERILLO Y NEGRO Referencia:  Observacion:  Placa padre:  Tipo adquisicion : Entidad</v>
      </c>
      <c r="G15481" s="5" t="str">
        <f>"DWE4010-B3"</f>
        <v>DWE4010-B3</v>
      </c>
    </row>
    <row r="15482" spans="1:7" ht="58.5" customHeight="1" x14ac:dyDescent="0.25">
      <c r="A15482" s="5" t="str">
        <f>"H0020324"</f>
        <v>H0020324</v>
      </c>
      <c r="B15482" s="5" t="str">
        <f>"PRENSA DE BANCO"</f>
        <v>PRENSA DE BANCO</v>
      </c>
      <c r="C15482" s="6">
        <v>71917.02</v>
      </c>
      <c r="D15482" s="5"/>
      <c r="E15482" s="5" t="str">
        <f t="shared" si="799"/>
        <v>ACTISALUD - MMTO TALLER ELECTRICO- JAVIER DALLOS</v>
      </c>
      <c r="F15482" s="5" t="str">
        <f>"Descripcion:PRENSA DE BANCO Estado: Bueno Placa anterior: 000010728 Material: ACERO Color: GRIS Referencia:  Observacion:  Placa padre:  Tipo adquisicion : Entidad"</f>
        <v>Descripcion:PRENSA DE BANCO Estado: Bueno Placa anterior: 000010728 Material: ACERO Color: GRIS Referencia:  Observacion:  Placa padre:  Tipo adquisicion : Entidad</v>
      </c>
      <c r="G15482" s="5" t="str">
        <f>"63-067"</f>
        <v>63-067</v>
      </c>
    </row>
    <row r="15483" spans="1:7" ht="58.5" customHeight="1" x14ac:dyDescent="0.25">
      <c r="A15483" s="5" t="str">
        <f>"H0020325"</f>
        <v>H0020325</v>
      </c>
      <c r="B15483" s="5" t="str">
        <f>"PROTECTOR AUDITIVO (DIADEMA)"</f>
        <v>PROTECTOR AUDITIVO (DIADEMA)</v>
      </c>
      <c r="C15483" s="6">
        <v>15180</v>
      </c>
      <c r="D15483" s="5"/>
      <c r="E15483" s="5" t="str">
        <f t="shared" si="799"/>
        <v>ACTISALUD - MMTO TALLER ELECTRICO- JAVIER DALLOS</v>
      </c>
      <c r="F15483" s="5" t="str">
        <f>"Descripcion:PROTECTOR CONTRA RUIDO COPA 9-098 Estado: Bueno Placa anterior: 000010717 Material: PASTA Color: ANARILLO Y NEGRO Referencia:  Observacion:  Placa padre:  Tipo adquisicion : Entidad"</f>
        <v>Descripcion:PROTECTOR CONTRA RUIDO COPA 9-098 Estado: Bueno Placa anterior: 000010717 Material: PASTA Color: ANARILLO Y NEGRO Referencia:  Observacion:  Placa padre:  Tipo adquisicion : Entidad</v>
      </c>
      <c r="G15483" s="5"/>
    </row>
    <row r="15484" spans="1:7" ht="58.5" customHeight="1" x14ac:dyDescent="0.25">
      <c r="A15484" s="5" t="str">
        <f>"H0020326"</f>
        <v>H0020326</v>
      </c>
      <c r="B15484" s="5" t="str">
        <f>"BANCO DE PRUEBA"</f>
        <v>BANCO DE PRUEBA</v>
      </c>
      <c r="C15484" s="6">
        <v>300000</v>
      </c>
      <c r="D15484" s="5"/>
      <c r="E15484" s="5" t="str">
        <f t="shared" si="799"/>
        <v>ACTISALUD - MMTO TALLER ELECTRICO- JAVIER DALLOS</v>
      </c>
      <c r="F15484" s="5" t="str">
        <f>"Descripcion:BANCO DE PRUEBA CON TABLERO Estado: Bueno Placa anterior: 000009708 Material: METALICO Y MADERA Color: GRIS Y NEGRO Referencia:  Observacion:  Placa padre:  Tipo adquisicion : Entidad"</f>
        <v>Descripcion:BANCO DE PRUEBA CON TABLERO Estado: Bueno Placa anterior: 000009708 Material: METALICO Y MADERA Color: GRIS Y NEGRO Referencia:  Observacion:  Placa padre:  Tipo adquisicion : Entidad</v>
      </c>
      <c r="G15484" s="5"/>
    </row>
    <row r="15485" spans="1:7" ht="58.5" customHeight="1" x14ac:dyDescent="0.25">
      <c r="A15485" s="5" t="str">
        <f>"H0020332"</f>
        <v>H0020332</v>
      </c>
      <c r="B15485" s="5" t="str">
        <f>"ESTANTE METALICO 6 ENTREPAÑOS"</f>
        <v>ESTANTE METALICO 6 ENTREPAÑOS</v>
      </c>
      <c r="C15485" s="6">
        <v>6916.85</v>
      </c>
      <c r="D15485" s="5"/>
      <c r="E15485" s="5" t="str">
        <f t="shared" si="799"/>
        <v>ACTISALUD - MMTO TALLER ELECTRICO- JAVIER DALLOS</v>
      </c>
      <c r="F15485" s="5" t="str">
        <f>"Descripcion:ESTANTE METALICO Estado: Regular Placa anterior: 000009704 Material: METALICO Color: GRIS Referencia:  Observacion:  Placa padre:  Tipo adquisicion : Entidad"</f>
        <v>Descripcion:ESTANTE METALICO Estado: Regular Placa anterior: 000009704 Material: METALICO Color: GRIS Referencia:  Observacion:  Placa padre:  Tipo adquisicion : Entidad</v>
      </c>
      <c r="G15485" s="5"/>
    </row>
    <row r="15486" spans="1:7" ht="58.5" customHeight="1" x14ac:dyDescent="0.25">
      <c r="A15486" s="5" t="str">
        <f>"H0020333"</f>
        <v>H0020333</v>
      </c>
      <c r="B15486" s="5" t="str">
        <f>"ESTANTE METALICO 6 ENTREPAÑOS"</f>
        <v>ESTANTE METALICO 6 ENTREPAÑOS</v>
      </c>
      <c r="C15486" s="6">
        <v>8840.07</v>
      </c>
      <c r="D15486" s="5"/>
      <c r="E15486" s="5" t="str">
        <f t="shared" si="799"/>
        <v>ACTISALUD - MMTO TALLER ELECTRICO- JAVIER DALLOS</v>
      </c>
      <c r="F15486" s="5" t="str">
        <f>"Descripcion:ESTANTE METALICO Estado: Regular Placa anterior: 000002313 Material: METALICO Color: GRIS Referencia:  Observacion: EL BIEN TIENE PLACA ANTERIOR 000009705, AUTORIZADO CONCILIAR EN CRUCE GENERAL Placa padre:  Tipo adquisicion : Entidad"</f>
        <v>Descripcion:ESTANTE METALICO Estado: Regular Placa anterior: 000002313 Material: METALICO Color: GRIS Referencia:  Observacion: EL BIEN TIENE PLACA ANTERIOR 000009705, AUTORIZADO CONCILIAR EN CRUCE GENERAL Placa padre:  Tipo adquisicion : Entidad</v>
      </c>
      <c r="G15486" s="5"/>
    </row>
    <row r="15487" spans="1:7" ht="58.5" customHeight="1" x14ac:dyDescent="0.25">
      <c r="A15487" s="5" t="str">
        <f>"H0020336"</f>
        <v>H0020336</v>
      </c>
      <c r="B15487" s="5" t="str">
        <f>"LOCKER DE 4 COMPARTIMIENTOS"</f>
        <v>LOCKER DE 4 COMPARTIMIENTOS</v>
      </c>
      <c r="C15487" s="6">
        <v>193200</v>
      </c>
      <c r="D15487" s="5"/>
      <c r="E15487" s="5" t="str">
        <f t="shared" si="799"/>
        <v>ACTISALUD - MMTO TALLER ELECTRICO- JAVIER DALLOS</v>
      </c>
      <c r="F15487" s="5" t="str">
        <f>"Descripcion:LOCKER  Estado: Bueno Placa anterior: 000033272 Material: METALICO Color: GRIS Referencia:  Observacion: AUTORIZADO CONCILIAR EN CRUCE GENERAL Placa padre:  Tipo adquisicion : Entidad"</f>
        <v>Descripcion:LOCKER  Estado: Bueno Placa anterior: 000033272 Material: METALICO Color: GRIS Referencia:  Observacion: AUTORIZADO CONCILIAR EN CRUCE GENERAL Placa padre:  Tipo adquisicion : Entidad</v>
      </c>
      <c r="G15487" s="5"/>
    </row>
    <row r="15488" spans="1:7" ht="58.5" customHeight="1" x14ac:dyDescent="0.25">
      <c r="A15488" s="5" t="str">
        <f>"H0020337"</f>
        <v>H0020337</v>
      </c>
      <c r="B15488" s="5" t="str">
        <f>"LOCKER DE 12 COMPARTIMIENTOS"</f>
        <v>LOCKER DE 12 COMPARTIMIENTOS</v>
      </c>
      <c r="C15488" s="6">
        <v>770000</v>
      </c>
      <c r="D15488" s="5" t="s">
        <v>383</v>
      </c>
      <c r="E15488" s="5" t="str">
        <f t="shared" si="799"/>
        <v>ACTISALUD - MMTO TALLER ELECTRICO- JAVIER DALLOS</v>
      </c>
      <c r="F15488" s="5" t="str">
        <f>"Descripcion:LOCKER Estado: Bueno Placa anterior:  Material: METALICO Color: GRIS CLARO Referencia:  Observacion:  Placa padre:  Tipo adquisicion : Entidad"</f>
        <v>Descripcion:LOCKER Estado: Bueno Placa anterior:  Material: METALICO Color: GRIS CLARO Referencia:  Observacion:  Placa padre:  Tipo adquisicion : Entidad</v>
      </c>
      <c r="G15488" s="5"/>
    </row>
    <row r="15489" spans="1:7" ht="58.5" customHeight="1" x14ac:dyDescent="0.25">
      <c r="A15489" s="5" t="str">
        <f>"H0020339"</f>
        <v>H0020339</v>
      </c>
      <c r="B15489" s="5" t="str">
        <f>"MESA DE NOCHE"</f>
        <v>MESA DE NOCHE</v>
      </c>
      <c r="C15489" s="6">
        <v>327586</v>
      </c>
      <c r="D15489" s="5"/>
      <c r="E15489" s="5" t="str">
        <f t="shared" si="799"/>
        <v>ACTISALUD - MMTO TALLER ELECTRICO- JAVIER DALLOS</v>
      </c>
      <c r="F15489" s="5" t="str">
        <f>"Descripcion:MESA DE NOCHE  Estado: Bueno Placa anterior: 000033020 Material: ACERO INOXIDABLE Color: PLATEADO Referencia:  Observacion: AUTORIZADO CONCILIAR EN CRUCE GENERAL Placa padre:  Tipo adquisicion : Entidad"</f>
        <v>Descripcion:MESA DE NOCHE  Estado: Bueno Placa anterior: 000033020 Material: ACERO INOXIDABLE Color: PLATEADO Referencia:  Observacion: AUTORIZADO CONCILIAR EN CRUCE GENERAL Placa padre:  Tipo adquisicion : Entidad</v>
      </c>
      <c r="G15489" s="5"/>
    </row>
    <row r="15490" spans="1:7" ht="58.5" customHeight="1" x14ac:dyDescent="0.25">
      <c r="A15490" s="5" t="str">
        <f>"h0022374"</f>
        <v>h0022374</v>
      </c>
      <c r="B15490" s="5" t="str">
        <f>"COMPRESOR  CON POLEA DE 2 HP"</f>
        <v>COMPRESOR  CON POLEA DE 2 HP</v>
      </c>
      <c r="C15490" s="6">
        <v>1479000</v>
      </c>
      <c r="D15490" s="5" t="s">
        <v>350</v>
      </c>
      <c r="E15490" s="5" t="str">
        <f t="shared" si="799"/>
        <v>ACTISALUD - MMTO TALLER ELECTRICO- JAVIER DALLOS</v>
      </c>
      <c r="F15490" s="5"/>
      <c r="G15490" s="5"/>
    </row>
    <row r="15491" spans="1:7" ht="58.5" customHeight="1" x14ac:dyDescent="0.25">
      <c r="A15491" s="5" t="str">
        <f>"H0022399"</f>
        <v>H0022399</v>
      </c>
      <c r="B15491" s="5" t="str">
        <f>"PULIDORA 900 WD 4120"</f>
        <v>PULIDORA 900 WD 4120</v>
      </c>
      <c r="C15491" s="6">
        <v>522000</v>
      </c>
      <c r="D15491" s="5" t="s">
        <v>630</v>
      </c>
      <c r="E15491" s="5" t="str">
        <f t="shared" si="799"/>
        <v>ACTISALUD - MMTO TALLER ELECTRICO- JAVIER DALLOS</v>
      </c>
      <c r="F15491" s="5"/>
      <c r="G15491" s="5"/>
    </row>
    <row r="15492" spans="1:7" ht="58.5" customHeight="1" x14ac:dyDescent="0.25">
      <c r="A15492" s="5" t="str">
        <f>"H0022400"</f>
        <v>H0022400</v>
      </c>
      <c r="B15492" s="5" t="str">
        <f>"TALADRO  1/2 DEWALL"</f>
        <v>TALADRO  1/2 DEWALL</v>
      </c>
      <c r="C15492" s="6">
        <v>997600</v>
      </c>
      <c r="D15492" s="5" t="s">
        <v>630</v>
      </c>
      <c r="E15492" s="5" t="str">
        <f t="shared" si="799"/>
        <v>ACTISALUD - MMTO TALLER ELECTRICO- JAVIER DALLOS</v>
      </c>
      <c r="F15492" s="5"/>
      <c r="G15492" s="5"/>
    </row>
    <row r="15493" spans="1:7" ht="58.5" customHeight="1" x14ac:dyDescent="0.25">
      <c r="A15493" s="5" t="str">
        <f>"H0022606"</f>
        <v>H0022606</v>
      </c>
      <c r="B15493" s="5" t="str">
        <f>"LLAVES MIXTAS"</f>
        <v>LLAVES MIXTAS</v>
      </c>
      <c r="C15493" s="6">
        <v>130000</v>
      </c>
      <c r="D15493" s="5"/>
      <c r="E15493" s="5" t="str">
        <f t="shared" si="799"/>
        <v>ACTISALUD - MMTO TALLER ELECTRICO- JAVIER DALLOS</v>
      </c>
      <c r="F15493" s="5" t="str">
        <f>"Descripcion:LLAVE MIXTAS STANLEY REF. 8-24 MM Estado: Bueno Placa anterior: 000024930 Material: METALICA Color:  Referencia:  Observacion: SE ENCUENTRA UBICADO EN EL TALLER DE SOLDADURA Placa padre:  Tipo adquisicion : Entidad"</f>
        <v>Descripcion:LLAVE MIXTAS STANLEY REF. 8-24 MM Estado: Bueno Placa anterior: 000024930 Material: METALICA Color:  Referencia:  Observacion: SE ENCUENTRA UBICADO EN EL TALLER DE SOLDADURA Placa padre:  Tipo adquisicion : Entidad</v>
      </c>
      <c r="G15493" s="5"/>
    </row>
    <row r="15494" spans="1:7" ht="58.5" customHeight="1" x14ac:dyDescent="0.25">
      <c r="A15494" s="5" t="str">
        <f>"H0022663"</f>
        <v>H0022663</v>
      </c>
      <c r="B15494" s="5" t="str">
        <f>"ESTABILIZADOR (REGULADOR) DE ENERGIA 1KW"</f>
        <v>ESTABILIZADOR (REGULADOR) DE ENERGIA 1KW</v>
      </c>
      <c r="C15494" s="6">
        <v>70042.070000000007</v>
      </c>
      <c r="D15494" s="5"/>
      <c r="E15494" s="5" t="str">
        <f t="shared" si="799"/>
        <v>ACTISALUD - MMTO TALLER ELECTRICO- JAVIER DALLOS</v>
      </c>
      <c r="F15494" s="5" t="str">
        <f>"Descripcion:REGULADOR DE VOLTAJE Estado: Bueno Placa anterior: 000009693 Material: METALICO Color: NEGRO Referencia:  Observacion:  Placa padre:  Tipo adquisicion : Entidad"</f>
        <v>Descripcion:REGULADOR DE VOLTAJE Estado: Bueno Placa anterior: 000009693 Material: METALICO Color: NEGRO Referencia:  Observacion:  Placa padre:  Tipo adquisicion : Entidad</v>
      </c>
      <c r="G15494" s="5"/>
    </row>
    <row r="15495" spans="1:7" ht="58.5" customHeight="1" x14ac:dyDescent="0.25">
      <c r="A15495" s="5" t="str">
        <f>"H0024139"</f>
        <v>H0024139</v>
      </c>
      <c r="B15495" s="5" t="str">
        <f>"EXTINTORES 3700 grs DE AGENTE LIMPIO"</f>
        <v>EXTINTORES 3700 grs DE AGENTE LIMPIO</v>
      </c>
      <c r="C15495" s="6">
        <v>330000.01</v>
      </c>
      <c r="D15495" s="5" t="s">
        <v>458</v>
      </c>
      <c r="E15495" s="5" t="str">
        <f t="shared" si="799"/>
        <v>ACTISALUD - MMTO TALLER ELECTRICO- JAVIER DALLOS</v>
      </c>
      <c r="F15495" s="5"/>
      <c r="G15495" s="5"/>
    </row>
    <row r="15496" spans="1:7" ht="58.5" customHeight="1" x14ac:dyDescent="0.25">
      <c r="A15496" s="5" t="str">
        <f>"H0024153"</f>
        <v>H0024153</v>
      </c>
      <c r="B15496" s="5" t="str">
        <f>"EXTINTORES 3700 grs DE AGENTE LIMPIO"</f>
        <v>EXTINTORES 3700 grs DE AGENTE LIMPIO</v>
      </c>
      <c r="C15496" s="6">
        <v>330000.01</v>
      </c>
      <c r="D15496" s="5" t="s">
        <v>458</v>
      </c>
      <c r="E15496" s="5" t="str">
        <f t="shared" si="799"/>
        <v>ACTISALUD - MMTO TALLER ELECTRICO- JAVIER DALLOS</v>
      </c>
      <c r="F15496" s="5"/>
      <c r="G15496" s="5"/>
    </row>
    <row r="15497" spans="1:7" ht="58.5" customHeight="1" x14ac:dyDescent="0.25">
      <c r="A15497" s="5" t="str">
        <f>"H0024154"</f>
        <v>H0024154</v>
      </c>
      <c r="B15497" s="5" t="str">
        <f>"EXTINTORES 3700 grs DE AGENTE LIMPIO"</f>
        <v>EXTINTORES 3700 grs DE AGENTE LIMPIO</v>
      </c>
      <c r="C15497" s="6">
        <v>330000.01</v>
      </c>
      <c r="D15497" s="5" t="s">
        <v>458</v>
      </c>
      <c r="E15497" s="5" t="str">
        <f t="shared" si="799"/>
        <v>ACTISALUD - MMTO TALLER ELECTRICO- JAVIER DALLOS</v>
      </c>
      <c r="F15497" s="5"/>
      <c r="G15497" s="5"/>
    </row>
    <row r="15498" spans="1:7" ht="58.5" customHeight="1" x14ac:dyDescent="0.25">
      <c r="A15498" s="5" t="str">
        <f>"H0025518"</f>
        <v>H0025518</v>
      </c>
      <c r="B15498" s="5" t="str">
        <f>"ROTOMARTILLO"</f>
        <v>ROTOMARTILLO</v>
      </c>
      <c r="C15498" s="6">
        <v>1092000</v>
      </c>
      <c r="D15498" s="5" t="s">
        <v>298</v>
      </c>
      <c r="E15498" s="5" t="str">
        <f t="shared" si="799"/>
        <v>ACTISALUD - MMTO TALLER ELECTRICO- JAVIER DALLOS</v>
      </c>
      <c r="F15498" s="5"/>
      <c r="G15498" s="5"/>
    </row>
    <row r="15499" spans="1:7" ht="58.5" customHeight="1" x14ac:dyDescent="0.25">
      <c r="A15499" s="5" t="str">
        <f>"H0025893"</f>
        <v>H0025893</v>
      </c>
      <c r="B15499" s="5" t="str">
        <f>"RHINO 6000 EQUIPO PARA MARCAR CIRCUITO DYMO"</f>
        <v>RHINO 6000 EQUIPO PARA MARCAR CIRCUITO DYMO</v>
      </c>
      <c r="C15499" s="6">
        <v>1250000.17</v>
      </c>
      <c r="D15499" s="5" t="s">
        <v>761</v>
      </c>
      <c r="E15499" s="5" t="str">
        <f t="shared" si="799"/>
        <v>ACTISALUD - MMTO TALLER ELECTRICO- JAVIER DALLOS</v>
      </c>
      <c r="F15499" s="5"/>
      <c r="G15499" s="5"/>
    </row>
    <row r="15500" spans="1:7" ht="58.5" customHeight="1" x14ac:dyDescent="0.25">
      <c r="A15500" s="5" t="str">
        <f>"H0027021"</f>
        <v>H0027021</v>
      </c>
      <c r="B15500" s="5" t="str">
        <f>"ESCALERA FIBRA DE VIDRIO 16 PELDAÑOS"</f>
        <v>ESCALERA FIBRA DE VIDRIO 16 PELDAÑOS</v>
      </c>
      <c r="C15500" s="6">
        <v>491950.36</v>
      </c>
      <c r="D15500" s="5" t="s">
        <v>459</v>
      </c>
      <c r="E15500" s="5" t="str">
        <f t="shared" si="799"/>
        <v>ACTISALUD - MMTO TALLER ELECTRICO- JAVIER DALLOS</v>
      </c>
      <c r="F15500" s="5"/>
      <c r="G15500" s="5"/>
    </row>
    <row r="15501" spans="1:7" ht="58.5" customHeight="1" x14ac:dyDescent="0.25">
      <c r="A15501" s="5" t="str">
        <f>"H0029266"</f>
        <v>H0029266</v>
      </c>
      <c r="B15501" s="5" t="str">
        <f>"SILLA HERGONOMICA CON SISTEMA HIDRAULICO"</f>
        <v>SILLA HERGONOMICA CON SISTEMA HIDRAULICO</v>
      </c>
      <c r="C15501" s="6">
        <v>174900</v>
      </c>
      <c r="D15501" s="5" t="s">
        <v>625</v>
      </c>
      <c r="E15501" s="5" t="str">
        <f t="shared" si="799"/>
        <v>ACTISALUD - MMTO TALLER ELECTRICO- JAVIER DALLOS</v>
      </c>
      <c r="F15501" s="5"/>
      <c r="G15501" s="5"/>
    </row>
    <row r="15502" spans="1:7" ht="58.5" customHeight="1" x14ac:dyDescent="0.25">
      <c r="A15502" s="5" t="str">
        <f>"H0029274"</f>
        <v>H0029274</v>
      </c>
      <c r="B15502" s="5" t="str">
        <f>"SILLA HERGONOMICA CON SISTEMA HIDRAULICO"</f>
        <v>SILLA HERGONOMICA CON SISTEMA HIDRAULICO</v>
      </c>
      <c r="C15502" s="6">
        <v>174900</v>
      </c>
      <c r="D15502" s="5" t="s">
        <v>89</v>
      </c>
      <c r="E15502" s="5" t="str">
        <f t="shared" si="799"/>
        <v>ACTISALUD - MMTO TALLER ELECTRICO- JAVIER DALLOS</v>
      </c>
      <c r="F15502" s="5"/>
      <c r="G15502" s="5"/>
    </row>
    <row r="15503" spans="1:7" ht="58.5" customHeight="1" x14ac:dyDescent="0.25">
      <c r="A15503" s="5" t="str">
        <f>"H0029324"</f>
        <v>H0029324</v>
      </c>
      <c r="B15503" s="5" t="str">
        <f>"SILLA HERGONOMICA CON SISTEMA HIDRAULICO"</f>
        <v>SILLA HERGONOMICA CON SISTEMA HIDRAULICO</v>
      </c>
      <c r="C15503" s="6">
        <v>174900</v>
      </c>
      <c r="D15503" s="5" t="s">
        <v>89</v>
      </c>
      <c r="E15503" s="5" t="str">
        <f t="shared" si="799"/>
        <v>ACTISALUD - MMTO TALLER ELECTRICO- JAVIER DALLOS</v>
      </c>
      <c r="F15503" s="5"/>
      <c r="G15503" s="5"/>
    </row>
    <row r="15504" spans="1:7" ht="58.5" customHeight="1" x14ac:dyDescent="0.25">
      <c r="A15504" s="5" t="str">
        <f>"H0029365"</f>
        <v>H0029365</v>
      </c>
      <c r="B15504" s="5" t="str">
        <f>"SILLA HERGONOMICA CON SISTEMA HIDRAULICO"</f>
        <v>SILLA HERGONOMICA CON SISTEMA HIDRAULICO</v>
      </c>
      <c r="C15504" s="6">
        <v>174900</v>
      </c>
      <c r="D15504" s="5" t="s">
        <v>89</v>
      </c>
      <c r="E15504" s="5" t="str">
        <f t="shared" si="799"/>
        <v>ACTISALUD - MMTO TALLER ELECTRICO- JAVIER DALLOS</v>
      </c>
      <c r="F15504" s="5"/>
      <c r="G15504" s="5"/>
    </row>
    <row r="15505" spans="1:7" ht="58.5" customHeight="1" x14ac:dyDescent="0.25">
      <c r="A15505" s="5" t="str">
        <f>"H0029792"</f>
        <v>H0029792</v>
      </c>
      <c r="B15505" s="5" t="s">
        <v>763</v>
      </c>
      <c r="C15505" s="6">
        <v>585199.71</v>
      </c>
      <c r="D15505" s="5" t="s">
        <v>762</v>
      </c>
      <c r="E15505" s="5" t="str">
        <f t="shared" si="799"/>
        <v>ACTISALUD - MMTO TALLER ELECTRICO- JAVIER DALLOS</v>
      </c>
      <c r="F15505" s="5"/>
      <c r="G15505" s="5"/>
    </row>
    <row r="15506" spans="1:7" ht="58.5" customHeight="1" x14ac:dyDescent="0.25">
      <c r="A15506" s="5" t="str">
        <f>"H0032365"</f>
        <v>H0032365</v>
      </c>
      <c r="B15506" s="5" t="str">
        <f>"TALADRO PERCUTOR  INALAMBRICO  ½"</f>
        <v>TALADRO PERCUTOR  INALAMBRICO  ½</v>
      </c>
      <c r="C15506" s="6">
        <v>699901.94</v>
      </c>
      <c r="D15506" s="5" t="s">
        <v>760</v>
      </c>
      <c r="E15506" s="5" t="str">
        <f t="shared" si="799"/>
        <v>ACTISALUD - MMTO TALLER ELECTRICO- JAVIER DALLOS</v>
      </c>
      <c r="F15506" s="5"/>
      <c r="G15506" s="5"/>
    </row>
    <row r="15507" spans="1:7" ht="58.5" customHeight="1" x14ac:dyDescent="0.25">
      <c r="A15507" s="5" t="str">
        <f>"H0032489"</f>
        <v>H0032489</v>
      </c>
      <c r="B15507"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15507" s="6">
        <v>420090</v>
      </c>
      <c r="D15507" s="5" t="s">
        <v>17</v>
      </c>
      <c r="E15507" s="5" t="str">
        <f t="shared" si="799"/>
        <v>ACTISALUD - MMTO TALLER ELECTRICO- JAVIER DALLOS</v>
      </c>
      <c r="F15507" s="5"/>
      <c r="G15507" s="5"/>
    </row>
    <row r="15508" spans="1:7" ht="58.5" customHeight="1" x14ac:dyDescent="0.25">
      <c r="A15508" s="5" t="str">
        <f>"H0004658"</f>
        <v>H0004658</v>
      </c>
      <c r="B15508" s="5" t="str">
        <f>"COMPUTADOR TODO EN UNO"</f>
        <v>COMPUTADOR TODO EN UNO</v>
      </c>
      <c r="C15508" s="6">
        <v>2470000</v>
      </c>
      <c r="D15508" s="5" t="s">
        <v>6</v>
      </c>
      <c r="E15508" s="5" t="str">
        <f t="shared" ref="E15508:E15519" si="800">"MMTO OFICINA- MARIO ANDRES MEJIA"</f>
        <v>MMTO OFICINA- MARIO ANDRES MEJIA</v>
      </c>
      <c r="F15508" s="5" t="str">
        <f>"Descripcion:EQUIPO DE COMPUTO TODO EN UNO CON PROCESADOR INTEL i5, DE 20  Estado: Bueno Placa anterior: 000037023 Material: PLASTICO Color: NEGRO Referencia: THINKCENTRE Observacion:  Placa anterior:, Placa nueva=H0004659, Descripcion:TECLADO, Serial:1S54"&amp; "Y94248258513E, Marca:LENOVO, Modelo:KU-0225, Material:PLASTICO DE POLIPROPILENO, Color:NEGRO,   Referencia:, Placa anterior:, Placa nueva=H0004660, Descripcion:MOUSE OPTICO , Serial:SM50C76959, Marca:LENOVO, Modelo:, Material:PLASTICO, Color:NEGRO,   Refe"&amp; "rencia: Placa padre:  Tipo adquisicion : Entidad"</f>
        <v>Descripcion:EQUIPO DE COMPUTO TODO EN UNO CON PROCESADOR INTEL i5, DE 20  Estado: Bueno Placa anterior: 000037023 Material: PLASTICO Color: NEGRO Referencia: THINKCENTRE Observacion:  Placa anterior:, Placa nueva=H0004659, Descripcion:TECLADO, Serial:1S54Y94248258513E, Marca:LENOVO, Modelo:KU-0225, Material:PLASTICO DE POLIPROPILENO, Color:NEGRO,   Referencia:, Placa anterior:, Placa nueva=H0004660, Descripcion:MOUSE OPTICO , Serial:SM50C76959, Marca:LENOVO, Modelo:, Material:PLASTICO, Color:NEGRO,   Referencia: Placa padre:  Tipo adquisicion : Entidad</v>
      </c>
      <c r="G15508" s="5" t="str">
        <f>"00FDLS"</f>
        <v>00FDLS</v>
      </c>
    </row>
    <row r="15509" spans="1:7" ht="58.5" customHeight="1" x14ac:dyDescent="0.25">
      <c r="A15509" s="5" t="str">
        <f>"H0031203"</f>
        <v>H0031203</v>
      </c>
      <c r="B1550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5509" s="6">
        <v>246036.99</v>
      </c>
      <c r="D15509" s="5" t="s">
        <v>103</v>
      </c>
      <c r="E15509" s="5" t="str">
        <f t="shared" si="800"/>
        <v>MMTO OFICINA- MARIO ANDRES MEJIA</v>
      </c>
      <c r="F15509" s="5"/>
      <c r="G15509" s="5"/>
    </row>
    <row r="15510" spans="1:7" ht="58.5" customHeight="1" x14ac:dyDescent="0.25">
      <c r="A15510" s="5" t="str">
        <f>"H0031483"</f>
        <v>H0031483</v>
      </c>
      <c r="B1551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5510" s="6">
        <v>3209500</v>
      </c>
      <c r="D15510" s="5" t="s">
        <v>16</v>
      </c>
      <c r="E15510" s="5" t="str">
        <f t="shared" si="800"/>
        <v>MMTO OFICINA- MARIO ANDRES MEJIA</v>
      </c>
      <c r="F15510" s="5"/>
      <c r="G15510" s="5"/>
    </row>
    <row r="15511" spans="1:7" ht="58.5" customHeight="1" x14ac:dyDescent="0.25">
      <c r="A15511" s="5" t="str">
        <f>"H0035285"</f>
        <v>H0035285</v>
      </c>
      <c r="B15511" s="5" t="str">
        <f>"Guadaña STHIK FS280"</f>
        <v>Guadaña STHIK FS280</v>
      </c>
      <c r="C15511" s="6">
        <v>1975000</v>
      </c>
      <c r="D15511" s="5" t="s">
        <v>764</v>
      </c>
      <c r="E15511" s="5" t="str">
        <f t="shared" si="800"/>
        <v>MMTO OFICINA- MARIO ANDRES MEJIA</v>
      </c>
      <c r="F15511" s="5"/>
      <c r="G15511" s="5"/>
    </row>
    <row r="15512" spans="1:7" ht="58.5" customHeight="1" x14ac:dyDescent="0.25">
      <c r="A15512" s="5" t="str">
        <f>"H0035286"</f>
        <v>H0035286</v>
      </c>
      <c r="B15512" s="5" t="str">
        <f>"Motosierra STHIL FS280"</f>
        <v>Motosierra STHIL FS280</v>
      </c>
      <c r="C15512" s="6">
        <v>2875000</v>
      </c>
      <c r="D15512" s="5" t="s">
        <v>764</v>
      </c>
      <c r="E15512" s="5" t="str">
        <f t="shared" si="800"/>
        <v>MMTO OFICINA- MARIO ANDRES MEJIA</v>
      </c>
      <c r="F15512" s="5"/>
      <c r="G15512" s="5"/>
    </row>
    <row r="15513" spans="1:7" ht="58.5" customHeight="1" x14ac:dyDescent="0.25">
      <c r="A15513" s="5" t="str">
        <f>"H0035287"</f>
        <v>H0035287</v>
      </c>
      <c r="B15513" s="5" t="str">
        <f>"Sopladora STHIL BR600"</f>
        <v>Sopladora STHIL BR600</v>
      </c>
      <c r="C15513" s="6">
        <v>2249999.5</v>
      </c>
      <c r="D15513" s="5" t="s">
        <v>765</v>
      </c>
      <c r="E15513" s="5" t="str">
        <f t="shared" si="800"/>
        <v>MMTO OFICINA- MARIO ANDRES MEJIA</v>
      </c>
      <c r="F15513" s="5"/>
      <c r="G15513" s="5"/>
    </row>
    <row r="15514" spans="1:7" ht="58.5" customHeight="1" x14ac:dyDescent="0.25">
      <c r="A15514" s="5" t="str">
        <f>"H0035288"</f>
        <v>H0035288</v>
      </c>
      <c r="B15514" s="5" t="str">
        <f>"Sopladora STHIL BR600"</f>
        <v>Sopladora STHIL BR600</v>
      </c>
      <c r="C15514" s="6">
        <v>2249999.5</v>
      </c>
      <c r="D15514" s="5" t="s">
        <v>765</v>
      </c>
      <c r="E15514" s="5" t="str">
        <f t="shared" si="800"/>
        <v>MMTO OFICINA- MARIO ANDRES MEJIA</v>
      </c>
      <c r="F15514" s="5"/>
      <c r="G15514" s="5"/>
    </row>
    <row r="15515" spans="1:7" ht="58.5" customHeight="1" x14ac:dyDescent="0.25">
      <c r="A15515" s="5" t="str">
        <f>"H0035289"</f>
        <v>H0035289</v>
      </c>
      <c r="B15515" s="5" t="str">
        <f>"Fumigadora bellota 5G51"</f>
        <v>Fumigadora bellota 5G51</v>
      </c>
      <c r="C15515" s="6">
        <v>512500</v>
      </c>
      <c r="D15515" s="5" t="s">
        <v>765</v>
      </c>
      <c r="E15515" s="5" t="str">
        <f t="shared" si="800"/>
        <v>MMTO OFICINA- MARIO ANDRES MEJIA</v>
      </c>
      <c r="F15515" s="5"/>
      <c r="G15515" s="5"/>
    </row>
    <row r="15516" spans="1:7" ht="58.5" customHeight="1" x14ac:dyDescent="0.25">
      <c r="A15516" s="5" t="str">
        <f>"H0036448"</f>
        <v>H0036448</v>
      </c>
      <c r="B15516" s="5" t="str">
        <f>"SISTEMA DE 4 LAZOS CON UN LAZO DE 250 PUNTOS INSTALADO 110V, CAPACIDAD HASTA 1000 DISPOSITIVOS, 4 SALIDAS NAC, PUERTA GRIS"</f>
        <v>SISTEMA DE 4 LAZOS CON UN LAZO DE 250 PUNTOS INSTALADO 110V, CAPACIDAD HASTA 1000 DISPOSITIVOS, 4 SALIDAS NAC, PUERTA GRIS</v>
      </c>
      <c r="C15516" s="6">
        <v>8510150</v>
      </c>
      <c r="D15516" s="5" t="s">
        <v>131</v>
      </c>
      <c r="E15516" s="5" t="str">
        <f t="shared" si="800"/>
        <v>MMTO OFICINA- MARIO ANDRES MEJIA</v>
      </c>
      <c r="F15516" s="5"/>
      <c r="G15516" s="5"/>
    </row>
    <row r="15517" spans="1:7" ht="58.5" customHeight="1" x14ac:dyDescent="0.25">
      <c r="A15517" s="5" t="str">
        <f>"H0036450"</f>
        <v>H0036450</v>
      </c>
      <c r="B15517" s="5" t="str">
        <f>"ANUNCIADOR REMOTO LCD DE 80 CARACTERES INDICADORES Y CONTROLES COMUNES DEL SISTEMA"</f>
        <v>ANUNCIADOR REMOTO LCD DE 80 CARACTERES INDICADORES Y CONTROLES COMUNES DEL SISTEMA</v>
      </c>
      <c r="C15517" s="6">
        <v>3784601</v>
      </c>
      <c r="D15517" s="5" t="s">
        <v>131</v>
      </c>
      <c r="E15517" s="5" t="str">
        <f t="shared" si="800"/>
        <v>MMTO OFICINA- MARIO ANDRES MEJIA</v>
      </c>
      <c r="F15517" s="5"/>
      <c r="G15517" s="5"/>
    </row>
    <row r="15518" spans="1:7" ht="58.5" customHeight="1" x14ac:dyDescent="0.25">
      <c r="A15518" s="5" t="str">
        <f>"H0036451"</f>
        <v>H0036451</v>
      </c>
      <c r="B15518" s="5" t="str">
        <f>"INTERFAZ DE PROGRAMACION/DIAGNOSTICO ETHERNET, RJ45, MEJORA EL RENDIMIENTO Y AMPLIA LAS CAPACIDADES DEL SISTEMA SE MONTA EN LA PLACA BASE"</f>
        <v>INTERFAZ DE PROGRAMACION/DIAGNOSTICO ETHERNET, RJ45, MEJORA EL RENDIMIENTO Y AMPLIA LAS CAPACIDADES DEL SISTEMA SE MONTA EN LA PLACA BASE</v>
      </c>
      <c r="C15518" s="6">
        <v>4163063</v>
      </c>
      <c r="D15518" s="5" t="s">
        <v>131</v>
      </c>
      <c r="E15518" s="5" t="str">
        <f t="shared" si="800"/>
        <v>MMTO OFICINA- MARIO ANDRES MEJIA</v>
      </c>
      <c r="F15518" s="5"/>
      <c r="G15518" s="5"/>
    </row>
    <row r="15519" spans="1:7" ht="58.5" customHeight="1" x14ac:dyDescent="0.25">
      <c r="A15519" s="5" t="str">
        <f>"V000012"</f>
        <v>V000012</v>
      </c>
      <c r="B15519" s="5" t="str">
        <f>"Cortaseto STHIL HS 45"</f>
        <v>Cortaseto STHIL HS 45</v>
      </c>
      <c r="C15519" s="6">
        <v>1225000</v>
      </c>
      <c r="D15519" s="5" t="s">
        <v>766</v>
      </c>
      <c r="E15519" s="5" t="str">
        <f t="shared" si="800"/>
        <v>MMTO OFICINA- MARIO ANDRES MEJIA</v>
      </c>
      <c r="F15519" s="5"/>
      <c r="G15519" s="5"/>
    </row>
    <row r="15520" spans="1:7" ht="58.5" customHeight="1" x14ac:dyDescent="0.25">
      <c r="A15520" s="5" t="str">
        <f>"B0005695"</f>
        <v>B0005695</v>
      </c>
      <c r="B15520" s="5" t="str">
        <f>"PORTAGUJAS (PINZA)"</f>
        <v>PORTAGUJAS (PINZA)</v>
      </c>
      <c r="C15520" s="6">
        <v>1885.47</v>
      </c>
      <c r="D15520" s="5"/>
      <c r="E15520" s="5" t="str">
        <f t="shared" ref="E15520:E15551" si="801">"ACTISALUD -  SALA DE MAQUINAS- MAURICIO MARTINEZ-ROBERTO OLIVEROS-LUIS CORREA-JIMMY BUENDIA"</f>
        <v>ACTISALUD -  SALA DE MAQUINAS- MAURICIO MARTINEZ-ROBERTO OLIVEROS-LUIS CORREA-JIMMY BUENDIA</v>
      </c>
      <c r="F15520" s="5" t="str">
        <f>"Descripcion:PORTA AGUJA Estado: Bueno Placa anterior: 000007885 Material: METALICO Color: GRIS Referencia:  Observacion:  Placa padre:  Tipo adquisicion : Entidad"</f>
        <v>Descripcion:PORTA AGUJA Estado: Bueno Placa anterior: 000007885 Material: METALICO Color: GRIS Referencia:  Observacion:  Placa padre:  Tipo adquisicion : Entidad</v>
      </c>
      <c r="G15520" s="5"/>
    </row>
    <row r="15521" spans="1:7" ht="58.5" customHeight="1" x14ac:dyDescent="0.25">
      <c r="A15521" s="5" t="str">
        <f>"H0004768"</f>
        <v>H0004768</v>
      </c>
      <c r="B15521" s="5" t="str">
        <f>"LLAVE DE ESTRELLA (CORONA) ACODADA"</f>
        <v>LLAVE DE ESTRELLA (CORONA) ACODADA</v>
      </c>
      <c r="C15521" s="6">
        <v>3850</v>
      </c>
      <c r="D15521" s="5"/>
      <c r="E15521" s="5" t="str">
        <f t="shared" si="801"/>
        <v>ACTISALUD -  SALA DE MAQUINAS- MAURICIO MARTINEZ-ROBERTO OLIVEROS-LUIS CORREA-JIMMY BUENDIA</v>
      </c>
      <c r="F15521" s="5" t="str">
        <f>"Descripcion: LLAVE BOCA ESTRIA. HAY DOS JUEGOS. UNO CON 11 LLAVES MILEMETRICAS Y EL OTRO CON 6 LLAVES DE PULGADA Estado: Bueno Placa anterior: 000019006 Material: ACERO Color: GRIS Referencia:  Observacion:  Placa padre: Tipo adquisicion: Entidad"</f>
        <v>Descripcion: LLAVE BOCA ESTRIA. HAY DOS JUEGOS. UNO CON 11 LLAVES MILEMETRICAS Y EL OTRO CON 6 LLAVES DE PULGADA Estado: Bueno Placa anterior: 000019006 Material: ACERO Color: GRIS Referencia:  Observacion:  Placa padre: Tipo adquisicion: Entidad</v>
      </c>
      <c r="G15521" s="5"/>
    </row>
    <row r="15522" spans="1:7" ht="58.5" customHeight="1" x14ac:dyDescent="0.25">
      <c r="A15522" s="5" t="str">
        <f>"H0004771"</f>
        <v>H0004771</v>
      </c>
      <c r="B15522" s="5" t="str">
        <f>"LLAVE DE TUBO (STILLSON) (BOCA AJUSTABLE)"</f>
        <v>LLAVE DE TUBO (STILLSON) (BOCA AJUSTABLE)</v>
      </c>
      <c r="C15522" s="6">
        <v>11890</v>
      </c>
      <c r="D15522" s="5"/>
      <c r="E15522" s="5" t="str">
        <f t="shared" si="801"/>
        <v>ACTISALUD -  SALA DE MAQUINAS- MAURICIO MARTINEZ-ROBERTO OLIVEROS-LUIS CORREA-JIMMY BUENDIA</v>
      </c>
      <c r="F15522" s="5" t="str">
        <f>"Descripcion: LLAVE DE TUBO 14  Estado: Bueno Placa anterior: 000019019 Material: ACERO Color: ROJO Referencia:  Observacion:  Placa padre: Tipo adquisicion: Entidad"</f>
        <v>Descripcion: LLAVE DE TUBO 14  Estado: Bueno Placa anterior: 000019019 Material: ACERO Color: ROJO Referencia:  Observacion:  Placa padre: Tipo adquisicion: Entidad</v>
      </c>
      <c r="G15522" s="5"/>
    </row>
    <row r="15523" spans="1:7" ht="58.5" customHeight="1" x14ac:dyDescent="0.25">
      <c r="A15523" s="5" t="str">
        <f>"H0004773"</f>
        <v>H0004773</v>
      </c>
      <c r="B15523" s="5" t="str">
        <f>"JUEGO DE COPAS CON RACHE (CARRACA)"</f>
        <v>JUEGO DE COPAS CON RACHE (CARRACA)</v>
      </c>
      <c r="C15523" s="6">
        <v>379913.25</v>
      </c>
      <c r="D15523" s="5"/>
      <c r="E15523" s="5" t="str">
        <f t="shared" si="801"/>
        <v>ACTISALUD -  SALA DE MAQUINAS- MAURICIO MARTINEZ-ROBERTO OLIVEROS-LUIS CORREA-JIMMY BUENDIA</v>
      </c>
      <c r="F15523" s="5" t="str">
        <f>"Descripcion: JUEGO DE COPAS CON RACHER.HAY 15 COPAS NORMAL Y 11 COPAS MILIMETRICAS, UN RACHER Y DOS EXTENCION  Estado: Bueno Placa anterior: 000018989 Material: ACERO Color: GRIS Referencia:  Observacion:  Placa padre: Tipo adquisicion: Entidad"</f>
        <v>Descripcion: JUEGO DE COPAS CON RACHER.HAY 15 COPAS NORMAL Y 11 COPAS MILIMETRICAS, UN RACHER Y DOS EXTENCION  Estado: Bueno Placa anterior: 000018989 Material: ACERO Color: GRIS Referencia:  Observacion:  Placa padre: Tipo adquisicion: Entidad</v>
      </c>
      <c r="G15523" s="5"/>
    </row>
    <row r="15524" spans="1:7" ht="58.5" customHeight="1" x14ac:dyDescent="0.25">
      <c r="A15524" s="5" t="str">
        <f>"H0004774"</f>
        <v>H0004774</v>
      </c>
      <c r="B15524" s="5" t="str">
        <f>"JUEGO DE COPAS CON RACHE (CARRACA)"</f>
        <v>JUEGO DE COPAS CON RACHE (CARRACA)</v>
      </c>
      <c r="C15524" s="6">
        <v>379913.25</v>
      </c>
      <c r="D15524" s="5"/>
      <c r="E15524" s="5" t="str">
        <f t="shared" si="801"/>
        <v>ACTISALUD -  SALA DE MAQUINAS- MAURICIO MARTINEZ-ROBERTO OLIVEROS-LUIS CORREA-JIMMY BUENDIA</v>
      </c>
      <c r="F15524" s="5" t="str">
        <f>"Descripcion: JUEGO DE COPAS CON RACHER.HAY 26 COPAS NORMALES Y 22 MILIMETRICAS, UN RACHER Y DOS EXTENCION, UN VALVEDOR Estado: Bueno Placa anterior: 000018990 Material: ACERO Color: GRIS Referencia:  Observacion:  Placa padre: Tipo adquisicion: Entidad"</f>
        <v>Descripcion: JUEGO DE COPAS CON RACHER.HAY 26 COPAS NORMALES Y 22 MILIMETRICAS, UN RACHER Y DOS EXTENCION, UN VALVEDOR Estado: Bueno Placa anterior: 000018990 Material: ACERO Color: GRIS Referencia:  Observacion:  Placa padre: Tipo adquisicion: Entidad</v>
      </c>
      <c r="G15524" s="5"/>
    </row>
    <row r="15525" spans="1:7" ht="58.5" customHeight="1" x14ac:dyDescent="0.25">
      <c r="A15525" s="5" t="str">
        <f>"H0004776"</f>
        <v>H0004776</v>
      </c>
      <c r="B15525" s="5" t="str">
        <f>"LLAVE DE CADENA"</f>
        <v>LLAVE DE CADENA</v>
      </c>
      <c r="C15525" s="6">
        <v>109275</v>
      </c>
      <c r="D15525" s="5"/>
      <c r="E15525" s="5" t="str">
        <f t="shared" si="801"/>
        <v>ACTISALUD -  SALA DE MAQUINAS- MAURICIO MARTINEZ-ROBERTO OLIVEROS-LUIS CORREA-JIMMY BUENDIA</v>
      </c>
      <c r="F15525" s="5" t="str">
        <f>"Descripcion: LLAVE DE CADENA PEQUEÑA C14 Estado: Bueno Placa anterior: 000018986 Material: ACERO Color: ROJO Referencia:  Observacion:  Placa padre: Tipo adquisicion: Entidad"</f>
        <v>Descripcion: LLAVE DE CADENA PEQUEÑA C14 Estado: Bueno Placa anterior: 000018986 Material: ACERO Color: ROJO Referencia:  Observacion:  Placa padre: Tipo adquisicion: Entidad</v>
      </c>
      <c r="G15525" s="5"/>
    </row>
    <row r="15526" spans="1:7" ht="58.5" customHeight="1" x14ac:dyDescent="0.25">
      <c r="A15526" s="5" t="str">
        <f>"H0004777"</f>
        <v>H0004777</v>
      </c>
      <c r="B15526" s="5" t="str">
        <f>"LLAVE DE CADENA"</f>
        <v>LLAVE DE CADENA</v>
      </c>
      <c r="C15526" s="6">
        <v>109275</v>
      </c>
      <c r="D15526" s="5"/>
      <c r="E15526" s="5" t="str">
        <f t="shared" si="801"/>
        <v>ACTISALUD -  SALA DE MAQUINAS- MAURICIO MARTINEZ-ROBERTO OLIVEROS-LUIS CORREA-JIMMY BUENDIA</v>
      </c>
      <c r="F15526" s="5" t="str">
        <f>"Descripcion: LLAVE DE CADENA MEDIANA C24 Estado: Bueno Placa anterior: 000018987 Material: ACERO Color: ROJO Referencia:  Observacion:  Placa padre: Tipo adquisicion: Entidad"</f>
        <v>Descripcion: LLAVE DE CADENA MEDIANA C24 Estado: Bueno Placa anterior: 000018987 Material: ACERO Color: ROJO Referencia:  Observacion:  Placa padre: Tipo adquisicion: Entidad</v>
      </c>
      <c r="G15526" s="5"/>
    </row>
    <row r="15527" spans="1:7" ht="58.5" customHeight="1" x14ac:dyDescent="0.25">
      <c r="A15527" s="5" t="str">
        <f>"H0004778"</f>
        <v>H0004778</v>
      </c>
      <c r="B15527" s="5" t="str">
        <f>"TORQUIMETRO (TORCOMETRO)"</f>
        <v>TORQUIMETRO (TORCOMETRO)</v>
      </c>
      <c r="C15527" s="6">
        <v>250000</v>
      </c>
      <c r="D15527" s="5"/>
      <c r="E15527" s="5" t="str">
        <f t="shared" si="801"/>
        <v>ACTISALUD -  SALA DE MAQUINAS- MAURICIO MARTINEZ-ROBERTO OLIVEROS-LUIS CORREA-JIMMY BUENDIA</v>
      </c>
      <c r="F15527" s="5" t="str">
        <f>"Descripcion: TORCOMETRO.   (RACHER PARA APRETAR) Estado: Bueno Placa anterior: 000012138 Material: ACERO Color: GRIS Referencia:  Observacion:  Placa padre: Tipo adquisicion: Entidad"</f>
        <v>Descripcion: TORCOMETRO.   (RACHER PARA APRETAR) Estado: Bueno Placa anterior: 000012138 Material: ACERO Color: GRIS Referencia:  Observacion:  Placa padre: Tipo adquisicion: Entidad</v>
      </c>
      <c r="G15527" s="5"/>
    </row>
    <row r="15528" spans="1:7" ht="58.5" customHeight="1" x14ac:dyDescent="0.25">
      <c r="A15528" s="5" t="str">
        <f>"H0004779"</f>
        <v>H0004779</v>
      </c>
      <c r="B15528" s="5" t="str">
        <f>"JUEGO DE COPAS CON RACHE (CARRACA)"</f>
        <v>JUEGO DE COPAS CON RACHE (CARRACA)</v>
      </c>
      <c r="C15528" s="6">
        <v>120000</v>
      </c>
      <c r="D15528" s="5"/>
      <c r="E15528" s="5" t="str">
        <f t="shared" si="801"/>
        <v>ACTISALUD -  SALA DE MAQUINAS- MAURICIO MARTINEZ-ROBERTO OLIVEROS-LUIS CORREA-JIMMY BUENDIA</v>
      </c>
      <c r="F15528" s="5" t="str">
        <f>"Descripcion: LLAVES DE COPA HAY 13 COPAS NORMALES, UN CODO, UN VALVEDOR, UN RACHER Y DOS EXTENCION  Estado: Bueno Placa anterior: 000019132 Material: ACERO  Color: GRIS Referencia:  Observacion:  Placa padre: Tipo adquisicion: Entidad"</f>
        <v>Descripcion: LLAVES DE COPA HAY 13 COPAS NORMALES, UN CODO, UN VALVEDOR, UN RACHER Y DOS EXTENCION  Estado: Bueno Placa anterior: 000019132 Material: ACERO  Color: GRIS Referencia:  Observacion:  Placa padre: Tipo adquisicion: Entidad</v>
      </c>
      <c r="G15528" s="5"/>
    </row>
    <row r="15529" spans="1:7" ht="58.5" customHeight="1" x14ac:dyDescent="0.25">
      <c r="A15529" s="5" t="str">
        <f>"H0004780"</f>
        <v>H0004780</v>
      </c>
      <c r="B15529" s="5" t="str">
        <f>"JUEGO DE COPAS CON RACHE (CARRACA)"</f>
        <v>JUEGO DE COPAS CON RACHE (CARRACA)</v>
      </c>
      <c r="C15529" s="6">
        <v>127000</v>
      </c>
      <c r="D15529" s="5"/>
      <c r="E15529" s="5" t="str">
        <f t="shared" si="801"/>
        <v>ACTISALUD -  SALA DE MAQUINAS- MAURICIO MARTINEZ-ROBERTO OLIVEROS-LUIS CORREA-JIMMY BUENDIA</v>
      </c>
      <c r="F15529" s="5" t="str">
        <f>"Descripcion: LLAVES DE COPA HAY 13 COPAS NORMALES, UN CODO, UN VALVEDOR Y UNA EXTENCION  Estado: Bueno Placa anterior: 000019133 Material: ACERO Color: GRIS Referencia:  Observacion:  Placa padre: Tipo adquisicion: Entidad"</f>
        <v>Descripcion: LLAVES DE COPA HAY 13 COPAS NORMALES, UN CODO, UN VALVEDOR Y UNA EXTENCION  Estado: Bueno Placa anterior: 000019133 Material: ACERO Color: GRIS Referencia:  Observacion:  Placa padre: Tipo adquisicion: Entidad</v>
      </c>
      <c r="G15529" s="5"/>
    </row>
    <row r="15530" spans="1:7" ht="58.5" customHeight="1" x14ac:dyDescent="0.25">
      <c r="A15530" s="5" t="str">
        <f>"H0004785"</f>
        <v>H0004785</v>
      </c>
      <c r="B15530" s="5" t="str">
        <f>"VITRINA DE 2 CUERPOS"</f>
        <v>VITRINA DE 2 CUERPOS</v>
      </c>
      <c r="C15530" s="6">
        <v>12895</v>
      </c>
      <c r="D15530" s="5"/>
      <c r="E15530" s="5" t="str">
        <f t="shared" si="801"/>
        <v>ACTISALUD -  SALA DE MAQUINAS- MAURICIO MARTINEZ-ROBERTO OLIVEROS-LUIS CORREA-JIMMY BUENDIA</v>
      </c>
      <c r="F15530" s="5" t="str">
        <f>"Descripcion: DOS CUERPO Y 3 ENTREPAÑOS DIMENSIONES: 140X88X33 CM Estado: Bueno Placa anterior: 000012118 Material: METALICA  Color: GRIS Referencia:  Observacion:  Placa padre: Tipo adquisicion: Entidad"</f>
        <v>Descripcion: DOS CUERPO Y 3 ENTREPAÑOS DIMENSIONES: 140X88X33 CM Estado: Bueno Placa anterior: 000012118 Material: METALICA  Color: GRIS Referencia:  Observacion:  Placa padre: Tipo adquisicion: Entidad</v>
      </c>
      <c r="G15530" s="5"/>
    </row>
    <row r="15531" spans="1:7" ht="58.5" customHeight="1" x14ac:dyDescent="0.25">
      <c r="A15531" s="5" t="str">
        <f>"H0004786"</f>
        <v>H0004786</v>
      </c>
      <c r="B15531" s="5" t="str">
        <f>"JUEGO DE LLAVES (HERRAMIENTA)"</f>
        <v>JUEGO DE LLAVES (HERRAMIENTA)</v>
      </c>
      <c r="C15531" s="6">
        <v>201512.5</v>
      </c>
      <c r="D15531" s="5"/>
      <c r="E15531" s="5" t="str">
        <f t="shared" si="801"/>
        <v>ACTISALUD -  SALA DE MAQUINAS- MAURICIO MARTINEZ-ROBERTO OLIVEROS-LUIS CORREA-JIMMY BUENDIA</v>
      </c>
      <c r="F15531" s="5" t="str">
        <f>"Descripcion: JUEGO DE OXICORTE KIT CON 10 PIEZAS. Estado: Bueno Placa anterior: 000018980 Material: LATON Color: AMARILLO Referencia:  Observacion:  Placa padre: Tipo adquisicion: Entidad"</f>
        <v>Descripcion: JUEGO DE OXICORTE KIT CON 10 PIEZAS. Estado: Bueno Placa anterior: 000018980 Material: LATON Color: AMARILLO Referencia:  Observacion:  Placa padre: Tipo adquisicion: Entidad</v>
      </c>
      <c r="G15531" s="5"/>
    </row>
    <row r="15532" spans="1:7" ht="58.5" customHeight="1" x14ac:dyDescent="0.25">
      <c r="A15532" s="5" t="str">
        <f>"H0004787"</f>
        <v>H0004787</v>
      </c>
      <c r="B15532" s="5" t="str">
        <f>"LLAVE DE TUBO (STILLSON) (BOCA AJUSTABLE)"</f>
        <v>LLAVE DE TUBO (STILLSON) (BOCA AJUSTABLE)</v>
      </c>
      <c r="C15532" s="6">
        <v>11890</v>
      </c>
      <c r="D15532" s="5"/>
      <c r="E15532" s="5" t="str">
        <f t="shared" si="801"/>
        <v>ACTISALUD -  SALA DE MAQUINAS- MAURICIO MARTINEZ-ROBERTO OLIVEROS-LUIS CORREA-JIMMY BUENDIA</v>
      </c>
      <c r="F15532" s="5" t="str">
        <f>"Descripcion: LLAVE DE TUBO  36  Estado: Bueno Placa anterior: 000019014 Material: HIERRO Color: ROJO Referencia:  Observacion:  Placa padre: Tipo adquisicion: Entidad"</f>
        <v>Descripcion: LLAVE DE TUBO  36  Estado: Bueno Placa anterior: 000019014 Material: HIERRO Color: ROJO Referencia:  Observacion:  Placa padre: Tipo adquisicion: Entidad</v>
      </c>
      <c r="G15532" s="5"/>
    </row>
    <row r="15533" spans="1:7" ht="58.5" customHeight="1" x14ac:dyDescent="0.25">
      <c r="A15533" s="5" t="str">
        <f>"H0004788"</f>
        <v>H0004788</v>
      </c>
      <c r="B15533" s="5" t="str">
        <f>"LLAVES MIXTAS"</f>
        <v>LLAVES MIXTAS</v>
      </c>
      <c r="C15533" s="6">
        <v>140000</v>
      </c>
      <c r="D15533" s="5"/>
      <c r="E15533" s="5" t="str">
        <f t="shared" si="801"/>
        <v>ACTISALUD -  SALA DE MAQUINAS- MAURICIO MARTINEZ-ROBERTO OLIVEROS-LUIS CORREA-JIMMY BUENDIA</v>
      </c>
      <c r="F15533" s="5" t="str">
        <f>"Descripcion: LLAVE MIXTA 15 LLAVES Estado: Bueno Placa anterior: 000019025 Material: ACERO Color: GRIS Referencia:  Observacion:  Placa padre: Tipo adquisicion: Entidad"</f>
        <v>Descripcion: LLAVE MIXTA 15 LLAVES Estado: Bueno Placa anterior: 000019025 Material: ACERO Color: GRIS Referencia:  Observacion:  Placa padre: Tipo adquisicion: Entidad</v>
      </c>
      <c r="G15533" s="5"/>
    </row>
    <row r="15534" spans="1:7" ht="58.5" customHeight="1" x14ac:dyDescent="0.25">
      <c r="A15534" s="5" t="str">
        <f>"H0004789"</f>
        <v>H0004789</v>
      </c>
      <c r="B15534" s="5" t="str">
        <f>"JUEGO DE LLAVES DE BOCA FIJA"</f>
        <v>JUEGO DE LLAVES DE BOCA FIJA</v>
      </c>
      <c r="C15534" s="6">
        <v>85059</v>
      </c>
      <c r="D15534" s="5"/>
      <c r="E15534" s="5" t="str">
        <f t="shared" si="801"/>
        <v>ACTISALUD -  SALA DE MAQUINAS- MAURICIO MARTINEZ-ROBERTO OLIVEROS-LUIS CORREA-JIMMY BUENDIA</v>
      </c>
      <c r="F15534" s="5" t="str">
        <f>"Descripcion: LLAVE BOCA FIJA EN PULGADAS CON 10 LLAVES Estado: Bueno Placa anterior: 000019008 Material: ACERO Color: GRIS Referencia:  Observacion:  Placa padre: Tipo adquisicion: Entidad"</f>
        <v>Descripcion: LLAVE BOCA FIJA EN PULGADAS CON 10 LLAVES Estado: Bueno Placa anterior: 000019008 Material: ACERO Color: GRIS Referencia:  Observacion:  Placa padre: Tipo adquisicion: Entidad</v>
      </c>
      <c r="G15534" s="5"/>
    </row>
    <row r="15535" spans="1:7" ht="58.5" customHeight="1" x14ac:dyDescent="0.25">
      <c r="A15535" s="5" t="str">
        <f>"H0004790"</f>
        <v>H0004790</v>
      </c>
      <c r="B15535" s="5" t="str">
        <f>"JUEGO DE LLAVES DE BOCA FIJA"</f>
        <v>JUEGO DE LLAVES DE BOCA FIJA</v>
      </c>
      <c r="C15535" s="6">
        <v>85059</v>
      </c>
      <c r="D15535" s="5"/>
      <c r="E15535" s="5" t="str">
        <f t="shared" si="801"/>
        <v>ACTISALUD -  SALA DE MAQUINAS- MAURICIO MARTINEZ-ROBERTO OLIVEROS-LUIS CORREA-JIMMY BUENDIA</v>
      </c>
      <c r="F15535" s="5" t="str">
        <f>"Descripcion: LLAVE BOCA FIJA EN PULGADAS CON 5 LLAVES Estado: Bueno Placa anterior: 000019007 Material: ACERO Color: GRIS Referencia:  Observacion:  Placa padre: Tipo adquisicion: Entidad"</f>
        <v>Descripcion: LLAVE BOCA FIJA EN PULGADAS CON 5 LLAVES Estado: Bueno Placa anterior: 000019007 Material: ACERO Color: GRIS Referencia:  Observacion:  Placa padre: Tipo adquisicion: Entidad</v>
      </c>
      <c r="G15535" s="5"/>
    </row>
    <row r="15536" spans="1:7" ht="58.5" customHeight="1" x14ac:dyDescent="0.25">
      <c r="A15536" s="5" t="str">
        <f>"H0004791"</f>
        <v>H0004791</v>
      </c>
      <c r="B15536" s="5" t="str">
        <f>"LLAVE DE ESTRELLA (CORONA) ACODADA"</f>
        <v>LLAVE DE ESTRELLA (CORONA) ACODADA</v>
      </c>
      <c r="C15536" s="6">
        <v>3850</v>
      </c>
      <c r="D15536" s="5"/>
      <c r="E15536" s="5" t="str">
        <f t="shared" si="801"/>
        <v>ACTISALUD -  SALA DE MAQUINAS- MAURICIO MARTINEZ-ROBERTO OLIVEROS-LUIS CORREA-JIMMY BUENDIA</v>
      </c>
      <c r="F15536" s="5" t="str">
        <f>"Descripcion: LLAVE BOCA ESTRIA. 6 UNIDADES MARCACHROM-VANADIUM Y 4 UNIDADES MARCA PROTO ESTAS SON MILIMETRICAS Estado: Bueno Placa anterior: 000019005 Material: ACERO Color: GRIS Referencia:  Observacion:  Placa padre: Tipo adquisicion: Entidad"</f>
        <v>Descripcion: LLAVE BOCA ESTRIA. 6 UNIDADES MARCACHROM-VANADIUM Y 4 UNIDADES MARCA PROTO ESTAS SON MILIMETRICAS Estado: Bueno Placa anterior: 000019005 Material: ACERO Color: GRIS Referencia:  Observacion:  Placa padre: Tipo adquisicion: Entidad</v>
      </c>
      <c r="G15536" s="5"/>
    </row>
    <row r="15537" spans="1:7" ht="58.5" customHeight="1" x14ac:dyDescent="0.25">
      <c r="A15537" s="5" t="str">
        <f>"H0004792"</f>
        <v>H0004792</v>
      </c>
      <c r="B15537" s="5" t="str">
        <f>"LLAVE DE ESTRELLA (CORONA) ACODADA"</f>
        <v>LLAVE DE ESTRELLA (CORONA) ACODADA</v>
      </c>
      <c r="C15537" s="6">
        <v>3850</v>
      </c>
      <c r="D15537" s="5"/>
      <c r="E15537" s="5" t="str">
        <f t="shared" si="801"/>
        <v>ACTISALUD -  SALA DE MAQUINAS- MAURICIO MARTINEZ-ROBERTO OLIVEROS-LUIS CORREA-JIMMY BUENDIA</v>
      </c>
      <c r="F15537" s="5" t="str">
        <f>"Descripcion: LLAVE BOCA ESTRIA CON 6 LLAVES DE PULGADA Estado: Bueno Placa anterior: 000019004 Material: ACERO Color: GRIS Referencia:  Observacion:  Placa padre: Tipo adquisicion: Entidad"</f>
        <v>Descripcion: LLAVE BOCA ESTRIA CON 6 LLAVES DE PULGADA Estado: Bueno Placa anterior: 000019004 Material: ACERO Color: GRIS Referencia:  Observacion:  Placa padre: Tipo adquisicion: Entidad</v>
      </c>
      <c r="G15537" s="5"/>
    </row>
    <row r="15538" spans="1:7" ht="58.5" customHeight="1" x14ac:dyDescent="0.25">
      <c r="A15538" s="5" t="str">
        <f>"H0004794"</f>
        <v>H0004794</v>
      </c>
      <c r="B15538" s="5" t="str">
        <f>"KIT DE COPAS CON RACHERS"</f>
        <v>KIT DE COPAS CON RACHERS</v>
      </c>
      <c r="C15538" s="6">
        <v>17100</v>
      </c>
      <c r="D15538" s="5"/>
      <c r="E15538" s="5" t="str">
        <f t="shared" si="801"/>
        <v>ACTISALUD -  SALA DE MAQUINAS- MAURICIO MARTINEZ-ROBERTO OLIVEROS-LUIS CORREA-JIMMY BUENDIA</v>
      </c>
      <c r="F15538" s="5" t="str">
        <f>"Descripcion: RACHE PARA REFRIGERACION.  CON 4 RACHERS Estado: Bueno Placa anterior: 000019052 Material: ACERO Color: GRIS Referencia:  Observacion: HAY UNA EXTRAVIADA Placa padre: Tipo adquisicion: Entidad"</f>
        <v>Descripcion: RACHE PARA REFRIGERACION.  CON 4 RACHERS Estado: Bueno Placa anterior: 000019052 Material: ACERO Color: GRIS Referencia:  Observacion: HAY UNA EXTRAVIADA Placa padre: Tipo adquisicion: Entidad</v>
      </c>
      <c r="G15538" s="5"/>
    </row>
    <row r="15539" spans="1:7" ht="58.5" customHeight="1" x14ac:dyDescent="0.25">
      <c r="A15539" s="5" t="str">
        <f>"H0004795"</f>
        <v>H0004795</v>
      </c>
      <c r="B15539" s="5" t="str">
        <f>"EQUIPO PARA TRABAJO EN REFRIGERACION"</f>
        <v>EQUIPO PARA TRABAJO EN REFRIGERACION</v>
      </c>
      <c r="C15539" s="6">
        <v>254766.16</v>
      </c>
      <c r="D15539" s="5"/>
      <c r="E15539" s="5" t="str">
        <f t="shared" si="801"/>
        <v>ACTISALUD -  SALA DE MAQUINAS- MAURICIO MARTINEZ-ROBERTO OLIVEROS-LUIS CORREA-JIMMY BUENDIA</v>
      </c>
      <c r="F15539" s="5" t="str">
        <f>"Descripcion: EQUIPO PARA TRABAJO EN REFRIGERACION. QUE CONSTA DE CORTA TUBO, PRENSA, PINCHA TUBO Y REBORDEADOR Estado: Bueno Placa anterior: 000018981 Material: ACERO Color: GRIS Y ROJO Referencia:  Observacion:  Placa anterior:, Placa nueva=H0017834, Des"&amp; "cripcion:MANOMETROS PARA EL EQUIPO DE REFRIGERACION, Serial:, Marca:PRIME, Modelo:, Material:LATON Y PLASTICO, Color:AMARILLO ,   Referencia:, Placa anterior:, Placa nueva=H0004796, Descripcion:MANOMETROS PARA EL EQUIPO DE REFRIGERACION, Serial:, Marca:UN"&amp; "IWELD, Modelo:, Material:LATON Y PLASTICO, Color:AMARILLO ,   Referencia: Placa padre: Tipo adquisicion: Entidad"</f>
        <v>Descripcion: EQUIPO PARA TRABAJO EN REFRIGERACION. QUE CONSTA DE CORTA TUBO, PRENSA, PINCHA TUBO Y REBORDEADOR Estado: Bueno Placa anterior: 000018981 Material: ACERO Color: GRIS Y ROJO Referencia:  Observacion:  Placa anterior:, Placa nueva=H0017834, Descripcion:MANOMETROS PARA EL EQUIPO DE REFRIGERACION, Serial:, Marca:PRIME, Modelo:, Material:LATON Y PLASTICO, Color:AMARILLO ,   Referencia:, Placa anterior:, Placa nueva=H0004796, Descripcion:MANOMETROS PARA EL EQUIPO DE REFRIGERACION, Serial:, Marca:UNIWELD, Modelo:, Material:LATON Y PLASTICO, Color:AMARILLO ,   Referencia: Placa padre: Tipo adquisicion: Entidad</v>
      </c>
      <c r="G15539" s="5"/>
    </row>
    <row r="15540" spans="1:7" ht="58.5" customHeight="1" x14ac:dyDescent="0.25">
      <c r="A15540" s="5" t="str">
        <f>"H0004797"</f>
        <v>H0004797</v>
      </c>
      <c r="B15540" s="5" t="str">
        <f>"LLAVE DE EXPANSION"</f>
        <v>LLAVE DE EXPANSION</v>
      </c>
      <c r="C15540" s="6">
        <v>35037.199999999997</v>
      </c>
      <c r="D15540" s="5"/>
      <c r="E15540" s="5" t="str">
        <f t="shared" si="801"/>
        <v>ACTISALUD -  SALA DE MAQUINAS- MAURICIO MARTINEZ-ROBERTO OLIVEROS-LUIS CORREA-JIMMY BUENDIA</v>
      </c>
      <c r="F15540" s="5" t="str">
        <f>"Descripcion: LLAVE DE EXPANSION 18  Estado: Bueno Placa anterior: 000019011 Material: ACERO Color: GRIS Referencia:  Observacion:  Placa padre: Tipo adquisicion: Entidad"</f>
        <v>Descripcion: LLAVE DE EXPANSION 18  Estado: Bueno Placa anterior: 000019011 Material: ACERO Color: GRIS Referencia:  Observacion:  Placa padre: Tipo adquisicion: Entidad</v>
      </c>
      <c r="G15540" s="5"/>
    </row>
    <row r="15541" spans="1:7" ht="58.5" customHeight="1" x14ac:dyDescent="0.25">
      <c r="A15541" s="5" t="str">
        <f>"H0004799"</f>
        <v>H0004799</v>
      </c>
      <c r="B15541" s="5" t="str">
        <f>"LLAVE DE BOCA FIJA"</f>
        <v>LLAVE DE BOCA FIJA</v>
      </c>
      <c r="C15541" s="6">
        <v>148500</v>
      </c>
      <c r="D15541" s="5"/>
      <c r="E15541" s="5" t="str">
        <f t="shared" si="801"/>
        <v>ACTISALUD -  SALA DE MAQUINAS- MAURICIO MARTINEZ-ROBERTO OLIVEROS-LUIS CORREA-JIMMY BUENDIA</v>
      </c>
      <c r="F15541" s="5" t="str">
        <f>"Descripcion: LLAVE DE COPA EN PULGADAS  13 UNIDADES Estado: Bueno Placa anterior: 000019010 Material: ACERO Color: GRIS Referencia:  Observacion:  Placa padre: Tipo adquisicion: Entidad"</f>
        <v>Descripcion: LLAVE DE COPA EN PULGADAS  13 UNIDADES Estado: Bueno Placa anterior: 000019010 Material: ACERO Color: GRIS Referencia:  Observacion:  Placa padre: Tipo adquisicion: Entidad</v>
      </c>
      <c r="G15541" s="5"/>
    </row>
    <row r="15542" spans="1:7" ht="58.5" customHeight="1" x14ac:dyDescent="0.25">
      <c r="A15542" s="5" t="str">
        <f>"H0004803"</f>
        <v>H0004803</v>
      </c>
      <c r="B15542" s="5" t="str">
        <f>"TALADRO"</f>
        <v>TALADRO</v>
      </c>
      <c r="C15542" s="6">
        <v>258621</v>
      </c>
      <c r="D15542" s="5"/>
      <c r="E15542" s="5" t="str">
        <f t="shared" si="801"/>
        <v>ACTISALUD -  SALA DE MAQUINAS- MAURICIO MARTINEZ-ROBERTO OLIVEROS-LUIS CORREA-JIMMY BUENDIA</v>
      </c>
      <c r="F15542" s="5" t="str">
        <f>"Descripcion: TALADRO DEWALT 1/2 508 Estado: Bueno Placa anterior: 000032671 Material: ACERO Y PLASTICO DE POLIPROPILENO Color: AMARILLO Referencia:  Observacion:  Placa padre: Tipo adquisicion: Entidad"</f>
        <v>Descripcion: TALADRO DEWALT 1/2 508 Estado: Bueno Placa anterior: 000032671 Material: ACERO Y PLASTICO DE POLIPROPILENO Color: AMARILLO Referencia:  Observacion:  Placa padre: Tipo adquisicion: Entidad</v>
      </c>
      <c r="G15542" s="5" t="str">
        <f>"DW508S-B3"</f>
        <v>DW508S-B3</v>
      </c>
    </row>
    <row r="15543" spans="1:7" ht="58.5" customHeight="1" x14ac:dyDescent="0.25">
      <c r="A15543" s="5" t="str">
        <f>"H0004805"</f>
        <v>H0004805</v>
      </c>
      <c r="B15543" s="5" t="str">
        <f>"ALICATE**"</f>
        <v>ALICATE**</v>
      </c>
      <c r="C15543" s="6">
        <v>33675.5</v>
      </c>
      <c r="D15543" s="5"/>
      <c r="E15543" s="5" t="str">
        <f t="shared" si="801"/>
        <v>ACTISALUD -  SALA DE MAQUINAS- MAURICIO MARTINEZ-ROBERTO OLIVEROS-LUIS CORREA-JIMMY BUENDIA</v>
      </c>
      <c r="F15543" s="5" t="str">
        <f>"Descripcion: ALICATE Estado: Bueno Placa anterior: 000018978 Material: ACERO Color: GRIS Referencia:  Observacion:  Placa padre: Tipo adquisicion: Entidad"</f>
        <v>Descripcion: ALICATE Estado: Bueno Placa anterior: 000018978 Material: ACERO Color: GRIS Referencia:  Observacion:  Placa padre: Tipo adquisicion: Entidad</v>
      </c>
      <c r="G15543" s="5"/>
    </row>
    <row r="15544" spans="1:7" ht="58.5" customHeight="1" x14ac:dyDescent="0.25">
      <c r="A15544" s="5" t="str">
        <f>"H0004806"</f>
        <v>H0004806</v>
      </c>
      <c r="B15544" s="5" t="str">
        <f>"MARTILLO DE BOLA"</f>
        <v>MARTILLO DE BOLA</v>
      </c>
      <c r="C15544" s="6">
        <v>8500</v>
      </c>
      <c r="D15544" s="5"/>
      <c r="E15544" s="5" t="str">
        <f t="shared" si="801"/>
        <v>ACTISALUD -  SALA DE MAQUINAS- MAURICIO MARTINEZ-ROBERTO OLIVEROS-LUIS CORREA-JIMMY BUENDIA</v>
      </c>
      <c r="F15544" s="5" t="str">
        <f>"Descripcion: MARTILLO DE BOLA Estado: Bueno Placa anterior: 000019137 Material: HIERRO Color: GRIS Referencia:  Observacion:  Placa padre: Tipo adquisicion: Entidad"</f>
        <v>Descripcion: MARTILLO DE BOLA Estado: Bueno Placa anterior: 000019137 Material: HIERRO Color: GRIS Referencia:  Observacion:  Placa padre: Tipo adquisicion: Entidad</v>
      </c>
      <c r="G15544" s="5"/>
    </row>
    <row r="15545" spans="1:7" ht="58.5" customHeight="1" x14ac:dyDescent="0.25">
      <c r="A15545" s="5" t="str">
        <f>"H0004809"</f>
        <v>H0004809</v>
      </c>
      <c r="B15545" s="5" t="str">
        <f>"KIT DE CORTAFRIO"</f>
        <v>KIT DE CORTAFRIO</v>
      </c>
      <c r="C15545" s="6">
        <v>13500</v>
      </c>
      <c r="D15545" s="5"/>
      <c r="E15545" s="5" t="str">
        <f t="shared" si="801"/>
        <v>ACTISALUD -  SALA DE MAQUINAS- MAURICIO MARTINEZ-ROBERTO OLIVEROS-LUIS CORREA-JIMMY BUENDIA</v>
      </c>
      <c r="F15545" s="5" t="str">
        <f>"Descripcion: CORTAFRIO DOS UNIDADES Estado: Regular Placa anterior: 000019144 Material: ACERO Color: ROJO Y NEGRO Referencia:  Observacion: UNO EN BUEN ESTADO Y OTRO REGULAR ESTADO Placa padre: Tipo adquisicion: Entidad"</f>
        <v>Descripcion: CORTAFRIO DOS UNIDADES Estado: Regular Placa anterior: 000019144 Material: ACERO Color: ROJO Y NEGRO Referencia:  Observacion: UNO EN BUEN ESTADO Y OTRO REGULAR ESTADO Placa padre: Tipo adquisicion: Entidad</v>
      </c>
      <c r="G15545" s="5"/>
    </row>
    <row r="15546" spans="1:7" ht="58.5" customHeight="1" x14ac:dyDescent="0.25">
      <c r="A15546" s="5" t="str">
        <f>"H0004814"</f>
        <v>H0004814</v>
      </c>
      <c r="B15546" s="5" t="str">
        <f>"MARCO PARA SEGUETA"</f>
        <v>MARCO PARA SEGUETA</v>
      </c>
      <c r="C15546" s="6">
        <v>7300</v>
      </c>
      <c r="D15546" s="5"/>
      <c r="E15546" s="5" t="str">
        <f t="shared" si="801"/>
        <v>ACTISALUD -  SALA DE MAQUINAS- MAURICIO MARTINEZ-ROBERTO OLIVEROS-LUIS CORREA-JIMMY BUENDIA</v>
      </c>
      <c r="F15546" s="5" t="str">
        <f>"Descripcion: MARCO PARA SEGUETA Estado: Bueno Placa anterior: 000019040 Material: METALICO Color: GRIS Referencia:  Observacion:  Placa padre: Tipo adquisicion: Entidad"</f>
        <v>Descripcion: MARCO PARA SEGUETA Estado: Bueno Placa anterior: 000019040 Material: METALICO Color: GRIS Referencia:  Observacion:  Placa padre: Tipo adquisicion: Entidad</v>
      </c>
      <c r="G15546" s="5"/>
    </row>
    <row r="15547" spans="1:7" ht="58.5" customHeight="1" x14ac:dyDescent="0.25">
      <c r="A15547" s="5" t="str">
        <f>"H0004816"</f>
        <v>H0004816</v>
      </c>
      <c r="B15547" s="5" t="str">
        <f>"LLAVE DE ESTRELLA (CORONA) ACODADA"</f>
        <v>LLAVE DE ESTRELLA (CORONA) ACODADA</v>
      </c>
      <c r="C15547" s="6">
        <v>45000</v>
      </c>
      <c r="D15547" s="5"/>
      <c r="E15547" s="5" t="str">
        <f t="shared" si="801"/>
        <v>ACTISALUD -  SALA DE MAQUINAS- MAURICIO MARTINEZ-ROBERTO OLIVEROS-LUIS CORREA-JIMMY BUENDIA</v>
      </c>
      <c r="F15547" s="5" t="str">
        <f>"Descripcion: LLAVE  DE CORONA Estado: Bueno Placa anterior: 000019009 Material: HIERRO Color: NEGRO Referencia:  Observacion:  Placa padre: Tipo adquisicion: Entidad"</f>
        <v>Descripcion: LLAVE  DE CORONA Estado: Bueno Placa anterior: 000019009 Material: HIERRO Color: NEGRO Referencia:  Observacion:  Placa padre: Tipo adquisicion: Entidad</v>
      </c>
      <c r="G15547" s="5"/>
    </row>
    <row r="15548" spans="1:7" ht="58.5" customHeight="1" x14ac:dyDescent="0.25">
      <c r="A15548" s="5" t="str">
        <f>"H0004817"</f>
        <v>H0004817</v>
      </c>
      <c r="B15548" s="5" t="str">
        <f>"LIMA"</f>
        <v>LIMA</v>
      </c>
      <c r="C15548" s="6">
        <v>13000</v>
      </c>
      <c r="D15548" s="5"/>
      <c r="E15548" s="5" t="str">
        <f t="shared" si="801"/>
        <v>ACTISALUD -  SALA DE MAQUINAS- MAURICIO MARTINEZ-ROBERTO OLIVEROS-LUIS CORREA-JIMMY BUENDIA</v>
      </c>
      <c r="F15548" s="5" t="str">
        <f>"Descripcion: LIMA DOS UNIDADES Estado: Bueno Placa anterior: 000024937 Material: HIERRO Color: GRIS Referencia:  Observacion:  Placa padre: Tipo adquisicion: Entidad"</f>
        <v>Descripcion: LIMA DOS UNIDADES Estado: Bueno Placa anterior: 000024937 Material: HIERRO Color: GRIS Referencia:  Observacion:  Placa padre: Tipo adquisicion: Entidad</v>
      </c>
      <c r="G15548" s="5"/>
    </row>
    <row r="15549" spans="1:7" ht="58.5" customHeight="1" x14ac:dyDescent="0.25">
      <c r="A15549" s="5" t="str">
        <f>"H0004818"</f>
        <v>H0004818</v>
      </c>
      <c r="B15549" s="5" t="str">
        <f>"PINZA VOLTIAMPERIMETRICA"</f>
        <v>PINZA VOLTIAMPERIMETRICA</v>
      </c>
      <c r="C15549" s="6">
        <v>79636.25</v>
      </c>
      <c r="D15549" s="5"/>
      <c r="E15549" s="5" t="str">
        <f t="shared" si="801"/>
        <v>ACTISALUD -  SALA DE MAQUINAS- MAURICIO MARTINEZ-ROBERTO OLIVEROS-LUIS CORREA-JIMMY BUENDIA</v>
      </c>
      <c r="F15549" s="5" t="str">
        <f>"Descripcion: PINZA VOLTIAMPERIMETRICA Estado: Bueno Placa anterior: 000019049 Material: PASTA Color: NEGRO Y NARANJA Referencia:  Observacion:  Placa padre: Tipo adquisicion: Entidad"</f>
        <v>Descripcion: PINZA VOLTIAMPERIMETRICA Estado: Bueno Placa anterior: 000019049 Material: PASTA Color: NEGRO Y NARANJA Referencia:  Observacion:  Placa padre: Tipo adquisicion: Entidad</v>
      </c>
      <c r="G15549" s="5"/>
    </row>
    <row r="15550" spans="1:7" ht="58.5" customHeight="1" x14ac:dyDescent="0.25">
      <c r="A15550" s="5" t="str">
        <f>"H0004820"</f>
        <v>H0004820</v>
      </c>
      <c r="B15550" s="5" t="str">
        <f>"BOMBA DE VACIO"</f>
        <v>BOMBA DE VACIO</v>
      </c>
      <c r="C15550" s="6">
        <v>379574.8</v>
      </c>
      <c r="D15550" s="5"/>
      <c r="E15550" s="5" t="str">
        <f t="shared" si="801"/>
        <v>ACTISALUD -  SALA DE MAQUINAS- MAURICIO MARTINEZ-ROBERTO OLIVEROS-LUIS CORREA-JIMMY BUENDIA</v>
      </c>
      <c r="F15550" s="5" t="str">
        <f>"Descripcion: BOMBA DE HACER VACIO (REFRIGERACION) MCA.ROBINAIR MOD.151058 Estado: Bueno Placa anterior: 000012106 Material: HIERRO Color: GRIS Referencia:  Observacion:  Placa padre: Tipo adquisicion: Entidad"</f>
        <v>Descripcion: BOMBA DE HACER VACIO (REFRIGERACION) MCA.ROBINAIR MOD.151058 Estado: Bueno Placa anterior: 000012106 Material: HIERRO Color: GRIS Referencia:  Observacion:  Placa padre: Tipo adquisicion: Entidad</v>
      </c>
      <c r="G15550" s="5" t="str">
        <f>"151058"</f>
        <v>151058</v>
      </c>
    </row>
    <row r="15551" spans="1:7" ht="58.5" customHeight="1" x14ac:dyDescent="0.25">
      <c r="A15551" s="5" t="str">
        <f>"H0004821"</f>
        <v>H0004821</v>
      </c>
      <c r="B15551" s="5" t="str">
        <f>"DIFERENCIAL DE CADENA"</f>
        <v>DIFERENCIAL DE CADENA</v>
      </c>
      <c r="C15551" s="6">
        <v>75000</v>
      </c>
      <c r="D15551" s="5"/>
      <c r="E15551" s="5" t="str">
        <f t="shared" si="801"/>
        <v>ACTISALUD -  SALA DE MAQUINAS- MAURICIO MARTINEZ-ROBERTO OLIVEROS-LUIS CORREA-JIMMY BUENDIA</v>
      </c>
      <c r="F15551" s="5" t="str">
        <f>"Descripcion: DIFERENCIAL.   LEVANTA 3 TONELADAS  Estado: Bueno Placa anterior: 000019159 Material: HIERRO Color: NEGRO Y NARANJA  Referencia:  Observacion:  Placa padre: Tipo adquisicion: Entidad"</f>
        <v>Descripcion: DIFERENCIAL.   LEVANTA 3 TONELADAS  Estado: Bueno Placa anterior: 000019159 Material: HIERRO Color: NEGRO Y NARANJA  Referencia:  Observacion:  Placa padre: Tipo adquisicion: Entidad</v>
      </c>
      <c r="G15551" s="5" t="str">
        <f>"POL-3"</f>
        <v>POL-3</v>
      </c>
    </row>
    <row r="15552" spans="1:7" ht="58.5" customHeight="1" x14ac:dyDescent="0.25">
      <c r="A15552" s="5" t="str">
        <f>"H0004822"</f>
        <v>H0004822</v>
      </c>
      <c r="B15552" s="5" t="str">
        <f>"PORRA"</f>
        <v>PORRA</v>
      </c>
      <c r="C15552" s="6">
        <v>11000</v>
      </c>
      <c r="D15552" s="5"/>
      <c r="E15552" s="5" t="str">
        <f t="shared" ref="E15552:E15583" si="802">"ACTISALUD -  SALA DE MAQUINAS- MAURICIO MARTINEZ-ROBERTO OLIVEROS-LUIS CORREA-JIMMY BUENDIA"</f>
        <v>ACTISALUD -  SALA DE MAQUINAS- MAURICIO MARTINEZ-ROBERTO OLIVEROS-LUIS CORREA-JIMMY BUENDIA</v>
      </c>
      <c r="F15552" s="5" t="str">
        <f>"Descripcion: PORRA PEQUEÑA Estado: Bueno Placa anterior: 000019136 Material: HIERRO Color: GRIS Referencia:  Observacion:  Placa padre: Tipo adquisicion: Entidad"</f>
        <v>Descripcion: PORRA PEQUEÑA Estado: Bueno Placa anterior: 000019136 Material: HIERRO Color: GRIS Referencia:  Observacion:  Placa padre: Tipo adquisicion: Entidad</v>
      </c>
      <c r="G15552" s="5"/>
    </row>
    <row r="15553" spans="1:7" ht="58.5" customHeight="1" x14ac:dyDescent="0.25">
      <c r="A15553" s="5" t="str">
        <f>"H0004825"</f>
        <v>H0004825</v>
      </c>
      <c r="B15553" s="5" t="str">
        <f>"TELEFONO DE SOBREMESA"</f>
        <v>TELEFONO DE SOBREMESA</v>
      </c>
      <c r="C15553" s="6">
        <v>9147.7000000000007</v>
      </c>
      <c r="D15553" s="5"/>
      <c r="E15553" s="5" t="str">
        <f t="shared" si="802"/>
        <v>ACTISALUD -  SALA DE MAQUINAS- MAURICIO MARTINEZ-ROBERTO OLIVEROS-LUIS CORREA-JIMMY BUENDIA</v>
      </c>
      <c r="F15553" s="5" t="str">
        <f>"Descripcion: DIAL   Estado: Malo Placa anterior: 000012108 Material: PLASTICA Color: NEGRO Y BEIS Referencia:  Observacion:  Placa padre: Tipo adquisicion: Entidad"</f>
        <v>Descripcion: DIAL   Estado: Malo Placa anterior: 000012108 Material: PLASTICA Color: NEGRO Y BEIS Referencia:  Observacion:  Placa padre: Tipo adquisicion: Entidad</v>
      </c>
      <c r="G15553" s="5" t="str">
        <f>"DBA 101023/01010"</f>
        <v>DBA 101023/01010</v>
      </c>
    </row>
    <row r="15554" spans="1:7" ht="58.5" customHeight="1" x14ac:dyDescent="0.25">
      <c r="A15554" s="5" t="str">
        <f>"H0004827"</f>
        <v>H0004827</v>
      </c>
      <c r="B15554" s="5" t="str">
        <f>"SOPLADORA/ASPIRADORA (BLOWER)"</f>
        <v>SOPLADORA/ASPIRADORA (BLOWER)</v>
      </c>
      <c r="C15554" s="6">
        <v>169899.51999999999</v>
      </c>
      <c r="D15554" s="5" t="s">
        <v>767</v>
      </c>
      <c r="E15554" s="5" t="str">
        <f t="shared" si="802"/>
        <v>ACTISALUD -  SALA DE MAQUINAS- MAURICIO MARTINEZ-ROBERTO OLIVEROS-LUIS CORREA-JIMMY BUENDIA</v>
      </c>
      <c r="F15554" s="5" t="str">
        <f>"Descripcion: SOPLADOR /ASPIRADOR 600W STPT600 Estado: Bueno Placa anterior: 000036882 Material: PASTA   Color: AMARILLO Referencia:  Observacion:  Placa padre: Tipo adquisicion: Entidad"</f>
        <v>Descripcion: SOPLADOR /ASPIRADOR 600W STPT600 Estado: Bueno Placa anterior: 000036882 Material: PASTA   Color: AMARILLO Referencia:  Observacion:  Placa padre: Tipo adquisicion: Entidad</v>
      </c>
      <c r="G15554" s="5" t="str">
        <f>"MOD: STPT600-B3"</f>
        <v>MOD: STPT600-B3</v>
      </c>
    </row>
    <row r="15555" spans="1:7" ht="58.5" customHeight="1" x14ac:dyDescent="0.25">
      <c r="A15555" s="5" t="str">
        <f>"H0004830"</f>
        <v>H0004830</v>
      </c>
      <c r="B15555" s="5" t="str">
        <f>"ESTANTE METALICO 6 ENTREPAÑOS"</f>
        <v>ESTANTE METALICO 6 ENTREPAÑOS</v>
      </c>
      <c r="C15555" s="6">
        <v>6916.85</v>
      </c>
      <c r="D15555" s="5"/>
      <c r="E15555" s="5" t="str">
        <f t="shared" si="802"/>
        <v>ACTISALUD -  SALA DE MAQUINAS- MAURICIO MARTINEZ-ROBERTO OLIVEROS-LUIS CORREA-JIMMY BUENDIA</v>
      </c>
      <c r="F15555" s="5" t="str">
        <f>"Descripcion: 6 ENTREPAÑOS UN SOLO CUERPO Estado: Bueno Placa anterior: 000018363 Material: METALICO Color: GRIS Referencia:  Observacion:  Placa padre: Tipo adquisicion: Entidad"</f>
        <v>Descripcion: 6 ENTREPAÑOS UN SOLO CUERPO Estado: Bueno Placa anterior: 000018363 Material: METALICO Color: GRIS Referencia:  Observacion:  Placa padre: Tipo adquisicion: Entidad</v>
      </c>
      <c r="G15555" s="5"/>
    </row>
    <row r="15556" spans="1:7" ht="58.5" customHeight="1" x14ac:dyDescent="0.25">
      <c r="A15556" s="5" t="str">
        <f>"H0004833"</f>
        <v>H0004833</v>
      </c>
      <c r="B15556" s="5" t="str">
        <f>"VITRINA DE 2 CUERPOS"</f>
        <v>VITRINA DE 2 CUERPOS</v>
      </c>
      <c r="C15556" s="6">
        <v>28390.48</v>
      </c>
      <c r="D15556" s="5"/>
      <c r="E15556" s="5" t="str">
        <f t="shared" si="802"/>
        <v>ACTISALUD -  SALA DE MAQUINAS- MAURICIO MARTINEZ-ROBERTO OLIVEROS-LUIS CORREA-JIMMY BUENDIA</v>
      </c>
      <c r="F15556" s="5" t="str">
        <f>"Descripcion: VITRINA DE DOS CUERPOS CON DOS ENTREPAÑOS  Estado: Bueno Placa anterior: 000006729 Material: METALICO Y VIDRIO Color: GRIS Referencia:  Observacion: AUTORIZADO CONCILIAR EN CRUCE GENERAL Placa padre: Tipo adquisicion: Entidad"</f>
        <v>Descripcion: VITRINA DE DOS CUERPOS CON DOS ENTREPAÑOS  Estado: Bueno Placa anterior: 000006729 Material: METALICO Y VIDRIO Color: GRIS Referencia:  Observacion: AUTORIZADO CONCILIAR EN CRUCE GENERAL Placa padre: Tipo adquisicion: Entidad</v>
      </c>
      <c r="G15556" s="5"/>
    </row>
    <row r="15557" spans="1:7" ht="58.5" customHeight="1" x14ac:dyDescent="0.25">
      <c r="A15557" s="5" t="str">
        <f>"H0004834"</f>
        <v>H0004834</v>
      </c>
      <c r="B15557" s="5" t="str">
        <f>"ARCHIVADOR METALICO 4 GAVETAS"</f>
        <v>ARCHIVADOR METALICO 4 GAVETAS</v>
      </c>
      <c r="C15557" s="6">
        <v>28328.560000000001</v>
      </c>
      <c r="D15557" s="5"/>
      <c r="E15557" s="5" t="str">
        <f t="shared" si="802"/>
        <v>ACTISALUD -  SALA DE MAQUINAS- MAURICIO MARTINEZ-ROBERTO OLIVEROS-LUIS CORREA-JIMMY BUENDIA</v>
      </c>
      <c r="F15557" s="5" t="str">
        <f>"Descripcion: DE UN CUERPO CON 4 GAVETAS Estado: Bueno Placa anterior: 000000450 Material: METALICO Color: GRIS Referencia:  Observacion:  Placa padre: Tipo adquisicion: Entidad"</f>
        <v>Descripcion: DE UN CUERPO CON 4 GAVETAS Estado: Bueno Placa anterior: 000000450 Material: METALICO Color: GRIS Referencia:  Observacion:  Placa padre: Tipo adquisicion: Entidad</v>
      </c>
      <c r="G15557" s="5"/>
    </row>
    <row r="15558" spans="1:7" ht="58.5" customHeight="1" x14ac:dyDescent="0.25">
      <c r="A15558" s="5" t="str">
        <f>"H0004835"</f>
        <v>H0004835</v>
      </c>
      <c r="B15558" s="5" t="str">
        <f>"LOCKER DE 3 COMPARTIMIENTOS"</f>
        <v>LOCKER DE 3 COMPARTIMIENTOS</v>
      </c>
      <c r="C15558" s="6">
        <v>7304</v>
      </c>
      <c r="D15558" s="5"/>
      <c r="E15558" s="5" t="str">
        <f t="shared" si="802"/>
        <v>ACTISALUD -  SALA DE MAQUINAS- MAURICIO MARTINEZ-ROBERTO OLIVEROS-LUIS CORREA-JIMMY BUENDIA</v>
      </c>
      <c r="F15558" s="5" t="str">
        <f>"Descripcion: LOKERS UN CUERPO CON 3 COMPARTIMIENTOS Estado: Regular Placa anterior: 000019374 Material: METALICO Color: GRIS Referencia:  Observacion: AUTORIZADO CONCILIAR EN CRUCE GENERAL Placa padre: Tipo adquisicion: Entidad"</f>
        <v>Descripcion: LOKERS UN CUERPO CON 3 COMPARTIMIENTOS Estado: Regular Placa anterior: 000019374 Material: METALICO Color: GRIS Referencia:  Observacion: AUTORIZADO CONCILIAR EN CRUCE GENERAL Placa padre: Tipo adquisicion: Entidad</v>
      </c>
      <c r="G15558" s="5"/>
    </row>
    <row r="15559" spans="1:7" ht="58.5" customHeight="1" x14ac:dyDescent="0.25">
      <c r="A15559" s="5" t="str">
        <f>"H0004837"</f>
        <v>H0004837</v>
      </c>
      <c r="B15559" s="5" t="str">
        <f>"LOCKER DE 2 COMPARTIMIENTOS"</f>
        <v>LOCKER DE 2 COMPARTIMIENTOS</v>
      </c>
      <c r="C15559" s="6">
        <v>48720</v>
      </c>
      <c r="D15559" s="5"/>
      <c r="E15559" s="5" t="str">
        <f t="shared" si="802"/>
        <v>ACTISALUD -  SALA DE MAQUINAS- MAURICIO MARTINEZ-ROBERTO OLIVEROS-LUIS CORREA-JIMMY BUENDIA</v>
      </c>
      <c r="F15559" s="5" t="str">
        <f>"Descripcion: LOCKER TIPO C (2 PUESTOS) Estado: Regular Placa anterior: 000012119 Material: METALICO Color: GRIS Referencia:  Observacion:  Placa padre: Tipo adquisicion: Entidad"</f>
        <v>Descripcion: LOCKER TIPO C (2 PUESTOS) Estado: Regular Placa anterior: 000012119 Material: METALICO Color: GRIS Referencia:  Observacion:  Placa padre: Tipo adquisicion: Entidad</v>
      </c>
      <c r="G15559" s="5"/>
    </row>
    <row r="15560" spans="1:7" ht="58.5" customHeight="1" x14ac:dyDescent="0.25">
      <c r="A15560" s="5" t="str">
        <f>"H0004838"</f>
        <v>H0004838</v>
      </c>
      <c r="B15560" s="5" t="str">
        <f>"LOCKER DE 2 COMPARTIMIENTOS"</f>
        <v>LOCKER DE 2 COMPARTIMIENTOS</v>
      </c>
      <c r="C15560" s="6">
        <v>10750</v>
      </c>
      <c r="D15560" s="5"/>
      <c r="E15560" s="5" t="str">
        <f t="shared" si="802"/>
        <v>ACTISALUD -  SALA DE MAQUINAS- MAURICIO MARTINEZ-ROBERTO OLIVEROS-LUIS CORREA-JIMMY BUENDIA</v>
      </c>
      <c r="F15560" s="5" t="str">
        <f>"Descripcion: LOCKER DE UN SOLO CUERPO CON DOS COMPARTIMIENTOS Estado: Regular Placa anterior: 000014709 Material: METALICO Color: GRIS Referencia:  Observacion: AUTORIZADO CONCILIAR EN CRUCE GENERAL Placa padre: Tipo adquisicion: Entidad"</f>
        <v>Descripcion: LOCKER DE UN SOLO CUERPO CON DOS COMPARTIMIENTOS Estado: Regular Placa anterior: 000014709 Material: METALICO Color: GRIS Referencia:  Observacion: AUTORIZADO CONCILIAR EN CRUCE GENERAL Placa padre: Tipo adquisicion: Entidad</v>
      </c>
      <c r="G15560" s="5"/>
    </row>
    <row r="15561" spans="1:7" ht="58.5" customHeight="1" x14ac:dyDescent="0.25">
      <c r="A15561" s="5" t="str">
        <f>"H0004840"</f>
        <v>H0004840</v>
      </c>
      <c r="B15561" s="5" t="str">
        <f>"ESCRITORIO METALICO 3 GAVETAS"</f>
        <v>ESCRITORIO METALICO 3 GAVETAS</v>
      </c>
      <c r="C15561" s="6">
        <v>18170.12</v>
      </c>
      <c r="D15561" s="5"/>
      <c r="E15561" s="5" t="str">
        <f t="shared" si="802"/>
        <v>ACTISALUD -  SALA DE MAQUINAS- MAURICIO MARTINEZ-ROBERTO OLIVEROS-LUIS CORREA-JIMMY BUENDIA</v>
      </c>
      <c r="F15561" s="5" t="str">
        <f>"Descripcion: 3 GAVETAS CON UNA BANDEJA. DIMENSIONES: 72X122X60 Estado: Bueno Placa anterior: 000012116 Material: METALICO Color: GRIS Referencia:  Observacion:  Placa padre: Tipo adquisicion: Entidad"</f>
        <v>Descripcion: 3 GAVETAS CON UNA BANDEJA. DIMENSIONES: 72X122X60 Estado: Bueno Placa anterior: 000012116 Material: METALICO Color: GRIS Referencia:  Observacion:  Placa padre: Tipo adquisicion: Entidad</v>
      </c>
      <c r="G15561" s="5"/>
    </row>
    <row r="15562" spans="1:7" ht="58.5" customHeight="1" x14ac:dyDescent="0.25">
      <c r="A15562" s="5" t="str">
        <f>"H0004841"</f>
        <v>H0004841</v>
      </c>
      <c r="B15562" s="5" t="str">
        <f>"SILLA INTERLOCUTORA (FIJA) SIN BRAZOS"</f>
        <v>SILLA INTERLOCUTORA (FIJA) SIN BRAZOS</v>
      </c>
      <c r="C15562" s="6">
        <v>7122.5</v>
      </c>
      <c r="D15562" s="5"/>
      <c r="E15562" s="5" t="str">
        <f t="shared" si="802"/>
        <v>ACTISALUD -  SALA DE MAQUINAS- MAURICIO MARTINEZ-ROBERTO OLIVEROS-LUIS CORREA-JIMMY BUENDIA</v>
      </c>
      <c r="F15562" s="5" t="str">
        <f>"Descripcion: SILLA FIJA SIN BRAZOS COLOR MARRON Estado: Bueno Placa anterior: 000012112 Material: METALICO Y CUERINA Color: GRIS Y MARRON Referencia:  Observacion:  Placa padre: Tipo adquisicion: Entidad"</f>
        <v>Descripcion: SILLA FIJA SIN BRAZOS COLOR MARRON Estado: Bueno Placa anterior: 000012112 Material: METALICO Y CUERINA Color: GRIS Y MARRON Referencia:  Observacion:  Placa padre: Tipo adquisicion: Entidad</v>
      </c>
      <c r="G15562" s="5"/>
    </row>
    <row r="15563" spans="1:7" ht="58.5" customHeight="1" x14ac:dyDescent="0.25">
      <c r="A15563" s="5" t="str">
        <f>"H0004842"</f>
        <v>H0004842</v>
      </c>
      <c r="B15563" s="5" t="str">
        <f>"SILLA PLASTICA CON BRAZOS"</f>
        <v>SILLA PLASTICA CON BRAZOS</v>
      </c>
      <c r="C15563" s="6">
        <v>14000</v>
      </c>
      <c r="D15563" s="5"/>
      <c r="E15563" s="5" t="str">
        <f t="shared" si="802"/>
        <v>ACTISALUD -  SALA DE MAQUINAS- MAURICIO MARTINEZ-ROBERTO OLIVEROS-LUIS CORREA-JIMMY BUENDIA</v>
      </c>
      <c r="F15563" s="5" t="str">
        <f>"Descripcion: SILLA PLASTICA BLANCA Estado: Bueno Placa anterior: 000012113 Material: METALICO Y PLASTICO DE POLIPROPILENO Color: BLANCO Y GRIS Referencia:  Observacion:  Placa padre: Tipo adquisicion: Entidad"</f>
        <v>Descripcion: SILLA PLASTICA BLANCA Estado: Bueno Placa anterior: 000012113 Material: METALICO Y PLASTICO DE POLIPROPILENO Color: BLANCO Y GRIS Referencia:  Observacion:  Placa padre: Tipo adquisicion: Entidad</v>
      </c>
      <c r="G15563" s="5"/>
    </row>
    <row r="15564" spans="1:7" ht="58.5" customHeight="1" x14ac:dyDescent="0.25">
      <c r="A15564" s="5" t="str">
        <f>"H0004843"</f>
        <v>H0004843</v>
      </c>
      <c r="B15564" s="5" t="str">
        <f>"EXTINTOR POLVO QUIMICO SECO DE 10LBS ABC"</f>
        <v>EXTINTOR POLVO QUIMICO SECO DE 10LBS ABC</v>
      </c>
      <c r="C15564" s="6">
        <v>29000</v>
      </c>
      <c r="D15564" s="5"/>
      <c r="E15564" s="5" t="str">
        <f t="shared" si="802"/>
        <v>ACTISALUD -  SALA DE MAQUINAS- MAURICIO MARTINEZ-ROBERTO OLIVEROS-LUIS CORREA-JIMMY BUENDIA</v>
      </c>
      <c r="F15564" s="5" t="str">
        <f>"Descripcion: EXTINTOR POLVO QUIMICO 10 LBS Estado: Bueno Placa anterior: 000012126 Material: METALICO Color: ROJO Referencia:  Observacion:  Placa padre: Tipo adquisicion: Entidad"</f>
        <v>Descripcion: EXTINTOR POLVO QUIMICO 10 LBS Estado: Bueno Placa anterior: 000012126 Material: METALICO Color: ROJO Referencia:  Observacion:  Placa padre: Tipo adquisicion: Entidad</v>
      </c>
      <c r="G15564" s="5"/>
    </row>
    <row r="15565" spans="1:7" ht="58.5" customHeight="1" x14ac:dyDescent="0.25">
      <c r="A15565" s="5" t="str">
        <f>"H0004844"</f>
        <v>H0004844</v>
      </c>
      <c r="B15565" s="5" t="str">
        <f>"EXTINTOR POLVO QUIMICO SECO DE 10LBS ABC"</f>
        <v>EXTINTOR POLVO QUIMICO SECO DE 10LBS ABC</v>
      </c>
      <c r="C15565" s="6">
        <v>29000</v>
      </c>
      <c r="D15565" s="5"/>
      <c r="E15565" s="5" t="str">
        <f t="shared" si="802"/>
        <v>ACTISALUD -  SALA DE MAQUINAS- MAURICIO MARTINEZ-ROBERTO OLIVEROS-LUIS CORREA-JIMMY BUENDIA</v>
      </c>
      <c r="F15565" s="5" t="str">
        <f>"Descripcion: EXTINTOR POLVO QUIMICO 10 LBS Estado: Bueno Placa anterior: 000012128 Material: METALICO Color: AMARILLO Referencia:  Observacion:  Placa padre: Tipo adquisicion: Entidad"</f>
        <v>Descripcion: EXTINTOR POLVO QUIMICO 10 LBS Estado: Bueno Placa anterior: 000012128 Material: METALICO Color: AMARILLO Referencia:  Observacion:  Placa padre: Tipo adquisicion: Entidad</v>
      </c>
      <c r="G15565" s="5"/>
    </row>
    <row r="15566" spans="1:7" ht="58.5" customHeight="1" x14ac:dyDescent="0.25">
      <c r="A15566" s="5" t="str">
        <f>"H0004846"</f>
        <v>H0004846</v>
      </c>
      <c r="B15566" s="5" t="str">
        <f>"EXTINTOR POLVO QUIMICO SECO DE 10LBS ABC"</f>
        <v>EXTINTOR POLVO QUIMICO SECO DE 10LBS ABC</v>
      </c>
      <c r="C15566" s="6">
        <v>32277.78</v>
      </c>
      <c r="D15566" s="5"/>
      <c r="E15566" s="5" t="str">
        <f t="shared" si="802"/>
        <v>ACTISALUD -  SALA DE MAQUINAS- MAURICIO MARTINEZ-ROBERTO OLIVEROS-LUIS CORREA-JIMMY BUENDIA</v>
      </c>
      <c r="F15566" s="5" t="str">
        <f>"Descripcion: EXTINTOR POLVO QUIMICO 10 LBS Estado: Bueno Placa anterior: 000012124 Material: METALICO Color: ROJO Referencia:  Observacion: EL FUNCIONARIO MANIFIESTA QUE SON DE ASCENSORES Placa padre: Tipo adquisicion: Entidad"</f>
        <v>Descripcion: EXTINTOR POLVO QUIMICO 10 LBS Estado: Bueno Placa anterior: 000012124 Material: METALICO Color: ROJO Referencia:  Observacion: EL FUNCIONARIO MANIFIESTA QUE SON DE ASCENSORES Placa padre: Tipo adquisicion: Entidad</v>
      </c>
      <c r="G15566" s="5"/>
    </row>
    <row r="15567" spans="1:7" ht="58.5" customHeight="1" x14ac:dyDescent="0.25">
      <c r="A15567" s="5" t="str">
        <f>"H0006691"</f>
        <v>H0006691</v>
      </c>
      <c r="B15567" s="5" t="str">
        <f>"NEVERA DE 66 LTS"</f>
        <v>NEVERA DE 66 LTS</v>
      </c>
      <c r="C15567" s="6">
        <v>258806</v>
      </c>
      <c r="D15567" s="5"/>
      <c r="E15567" s="5" t="str">
        <f t="shared" si="802"/>
        <v>ACTISALUD -  SALA DE MAQUINAS- MAURICIO MARTINEZ-ROBERTO OLIVEROS-LUIS CORREA-JIMMY BUENDIA</v>
      </c>
      <c r="F15567" s="5" t="str">
        <f>"Descripcion: NEVERA MCA PHILIPS ESTANDAR Estado: Bueno Placa anterior: 000003294 Material: METAL Color: BEIGE Referencia:  Observacion:  Placa padre: Tipo adquisicion: Entidad"</f>
        <v>Descripcion: NEVERA MCA PHILIPS ESTANDAR Estado: Bueno Placa anterior: 000003294 Material: METAL Color: BEIGE Referencia:  Observacion:  Placa padre: Tipo adquisicion: Entidad</v>
      </c>
      <c r="G15567" s="5"/>
    </row>
    <row r="15568" spans="1:7" ht="58.5" customHeight="1" x14ac:dyDescent="0.25">
      <c r="A15568" s="5" t="str">
        <f>"H0007060"</f>
        <v>H0007060</v>
      </c>
      <c r="B15568" s="5" t="str">
        <f>"ARCHIVADOR METALICO 4 GAVETAS"</f>
        <v>ARCHIVADOR METALICO 4 GAVETAS</v>
      </c>
      <c r="C15568" s="6">
        <v>4789.55</v>
      </c>
      <c r="D15568" s="5"/>
      <c r="E15568" s="5" t="str">
        <f t="shared" si="802"/>
        <v>ACTISALUD -  SALA DE MAQUINAS- MAURICIO MARTINEZ-ROBERTO OLIVEROS-LUIS CORREA-JIMMY BUENDIA</v>
      </c>
      <c r="F15568" s="5" t="str">
        <f>"Descripcion: ARCHIVADOR METALICO DE 4 GAVETAS135X45X70 Estado: Bueno Placa anterior: 000001346 Material: METALICO Color: GRIS Referencia:  Observacion:  Placa padre: Tipo adquisicion: Entidad"</f>
        <v>Descripcion: ARCHIVADOR METALICO DE 4 GAVETAS135X45X70 Estado: Bueno Placa anterior: 000001346 Material: METALICO Color: GRIS Referencia:  Observacion:  Placa padre: Tipo adquisicion: Entidad</v>
      </c>
      <c r="G15568" s="5"/>
    </row>
    <row r="15569" spans="1:7" ht="58.5" customHeight="1" x14ac:dyDescent="0.25">
      <c r="A15569" s="5" t="str">
        <f>"H0007123"</f>
        <v>H0007123</v>
      </c>
      <c r="B15569" s="5" t="str">
        <f>"ARCHIVADOR METALICO 4 GAVETAS"</f>
        <v>ARCHIVADOR METALICO 4 GAVETAS</v>
      </c>
      <c r="C15569" s="6">
        <v>4789.55</v>
      </c>
      <c r="D15569" s="5"/>
      <c r="E15569" s="5" t="str">
        <f t="shared" si="802"/>
        <v>ACTISALUD -  SALA DE MAQUINAS- MAURICIO MARTINEZ-ROBERTO OLIVEROS-LUIS CORREA-JIMMY BUENDIA</v>
      </c>
      <c r="F15569" s="5" t="str">
        <f>"Descripcion: ARCHIVADOR METALICO DE 4 GAVETAS Estado: Bueno Placa anterior: 000001345 Material: METALICO Color: GRIS Referencia:  Observacion:  Placa padre: Tipo adquisicion: Entidad"</f>
        <v>Descripcion: ARCHIVADOR METALICO DE 4 GAVETAS Estado: Bueno Placa anterior: 000001345 Material: METALICO Color: GRIS Referencia:  Observacion:  Placa padre: Tipo adquisicion: Entidad</v>
      </c>
      <c r="G15569" s="5"/>
    </row>
    <row r="15570" spans="1:7" ht="58.5" customHeight="1" x14ac:dyDescent="0.25">
      <c r="A15570" s="5" t="str">
        <f>"H0009718"</f>
        <v>H0009718</v>
      </c>
      <c r="B15570" s="5" t="str">
        <f>"COMPUTADOR TODO EN UNO"</f>
        <v>COMPUTADOR TODO EN UNO</v>
      </c>
      <c r="C15570" s="6">
        <v>2470000</v>
      </c>
      <c r="D15570" s="5" t="s">
        <v>6</v>
      </c>
      <c r="E15570" s="5" t="str">
        <f t="shared" si="802"/>
        <v>ACTISALUD -  SALA DE MAQUINAS- MAURICIO MARTINEZ-ROBERTO OLIVEROS-LUIS CORREA-JIMMY BUENDIA</v>
      </c>
      <c r="F15570" s="5" t="str">
        <f>"Descripcion: COMPUTADOR TODO EN UNO Estado: Bueno Placa anterior: 000037032 Material: PASTA Color: NEGRO Referencia:  Observacion:  Placa anterior:, Placa nueva=H0009719, Descripcion:TECLADO USB, Serial:8259317, Marca:, Modelo:54Y9424, Material:PASTA, Col"&amp; "or:NEGRO,   Referencia: Placa padre: Tipo adquisicion: Entidad"</f>
        <v>Descripcion: COMPUTADOR TODO EN UNO Estado: Bueno Placa anterior: 000037032 Material: PASTA Color: NEGRO Referencia:  Observacion:  Placa anterior:, Placa nueva=H0009719, Descripcion:TECLADO USB, Serial:8259317, Marca:, Modelo:54Y9424, Material:PASTA, Color:NEGRO,   Referencia: Placa padre: Tipo adquisicion: Entidad</v>
      </c>
      <c r="G15570" s="5" t="str">
        <f>"10BD00FDLS"</f>
        <v>10BD00FDLS</v>
      </c>
    </row>
    <row r="15571" spans="1:7" ht="58.5" customHeight="1" x14ac:dyDescent="0.25">
      <c r="A15571" s="5" t="str">
        <f>"H0010439"</f>
        <v>H0010439</v>
      </c>
      <c r="B15571" s="5" t="str">
        <f>"BANCO DE TRABAJO"</f>
        <v>BANCO DE TRABAJO</v>
      </c>
      <c r="C15571" s="6">
        <v>150000</v>
      </c>
      <c r="D15571" s="5"/>
      <c r="E15571" s="5" t="str">
        <f t="shared" si="802"/>
        <v>ACTISALUD -  SALA DE MAQUINAS- MAURICIO MARTINEZ-ROBERTO OLIVEROS-LUIS CORREA-JIMMY BUENDIA</v>
      </c>
      <c r="F15571" s="5" t="str">
        <f>"Descripcion: BANCO DE TRABAJO Estado: Bueno Placa anterior: 000012137 Material: MADERA Color: GRIS Referencia:  Observacion: MESA DE TRABAJO PESADO CON UN TABLERO DE TOMAS CORRIENTE E INFORMATIVO Placa padre: Tipo adquisicion: Entidad"</f>
        <v>Descripcion: BANCO DE TRABAJO Estado: Bueno Placa anterior: 000012137 Material: MADERA Color: GRIS Referencia:  Observacion: MESA DE TRABAJO PESADO CON UN TABLERO DE TOMAS CORRIENTE E INFORMATIVO Placa padre: Tipo adquisicion: Entidad</v>
      </c>
      <c r="G15571" s="5"/>
    </row>
    <row r="15572" spans="1:7" ht="58.5" customHeight="1" x14ac:dyDescent="0.25">
      <c r="A15572" s="5" t="str">
        <f>"H0010440"</f>
        <v>H0010440</v>
      </c>
      <c r="B15572" s="5" t="str">
        <f>"ESMERIL ELECTRICO DE MESA"</f>
        <v>ESMERIL ELECTRICO DE MESA</v>
      </c>
      <c r="C15572" s="6">
        <v>211128</v>
      </c>
      <c r="D15572" s="5"/>
      <c r="E15572" s="5" t="str">
        <f t="shared" si="802"/>
        <v>ACTISALUD -  SALA DE MAQUINAS- MAURICIO MARTINEZ-ROBERTO OLIVEROS-LUIS CORREA-JIMMY BUENDIA</v>
      </c>
      <c r="F15572" s="5" t="str">
        <f>"Descripcion: ESMERIL DE 2 VIAS Estado: Bueno Placa anterior: 000012136 Material: ACERO Color: GRIS Referencia:  Observacion: ESMERIL CON UNA SOLA VIA EN FUNCIONAMIENTO Placa padre: Tipo adquisicion: Entidad"</f>
        <v>Descripcion: ESMERIL DE 2 VIAS Estado: Bueno Placa anterior: 000012136 Material: ACERO Color: GRIS Referencia:  Observacion: ESMERIL CON UNA SOLA VIA EN FUNCIONAMIENTO Placa padre: Tipo adquisicion: Entidad</v>
      </c>
      <c r="G15572" s="5" t="str">
        <f>"PROFESIONAL 1766"</f>
        <v>PROFESIONAL 1766</v>
      </c>
    </row>
    <row r="15573" spans="1:7" ht="58.5" customHeight="1" x14ac:dyDescent="0.25">
      <c r="A15573" s="5" t="str">
        <f>"H0010441"</f>
        <v>H0010441</v>
      </c>
      <c r="B15573" s="5" t="str">
        <f>"PRENSA DE BANCO"</f>
        <v>PRENSA DE BANCO</v>
      </c>
      <c r="C15573" s="6">
        <v>422414</v>
      </c>
      <c r="D15573" s="5"/>
      <c r="E15573" s="5" t="str">
        <f t="shared" si="802"/>
        <v>ACTISALUD -  SALA DE MAQUINAS- MAURICIO MARTINEZ-ROBERTO OLIVEROS-LUIS CORREA-JIMMY BUENDIA</v>
      </c>
      <c r="F15573" s="5" t="str">
        <f>"Descripcion: PRENSA DE BANCO URSUS No. 6 Estado: Bueno Placa anterior: 000033331 Material: HIERRO Color: AZUL Referencia:  Observacion:  Placa padre: Tipo adquisicion: Entidad"</f>
        <v>Descripcion: PRENSA DE BANCO URSUS No. 6 Estado: Bueno Placa anterior: 000033331 Material: HIERRO Color: AZUL Referencia:  Observacion:  Placa padre: Tipo adquisicion: Entidad</v>
      </c>
      <c r="G15573" s="5"/>
    </row>
    <row r="15574" spans="1:7" ht="58.5" customHeight="1" x14ac:dyDescent="0.25">
      <c r="A15574" s="5" t="str">
        <f>"H0010442"</f>
        <v>H0010442</v>
      </c>
      <c r="B15574" s="5" t="str">
        <f>"PRENSA HIDRAULICA"</f>
        <v>PRENSA HIDRAULICA</v>
      </c>
      <c r="C15574" s="6">
        <v>231909.75</v>
      </c>
      <c r="D15574" s="5"/>
      <c r="E15574" s="5" t="str">
        <f t="shared" si="802"/>
        <v>ACTISALUD -  SALA DE MAQUINAS- MAURICIO MARTINEZ-ROBERTO OLIVEROS-LUIS CORREA-JIMMY BUENDIA</v>
      </c>
      <c r="F15574" s="5" t="str">
        <f>"Descripcion: PRENSA HIDRAULICA Estado: Malo Placa anterior: 000012135 Material: HIERRO Color: VERDE Referencia:  Observacion: MANIFIESTA EL FUNCIONARIO QUE ESTA DAÑADA Placa padre: Tipo adquisicion: Entidad"</f>
        <v>Descripcion: PRENSA HIDRAULICA Estado: Malo Placa anterior: 000012135 Material: HIERRO Color: VERDE Referencia:  Observacion: MANIFIESTA EL FUNCIONARIO QUE ESTA DAÑADA Placa padre: Tipo adquisicion: Entidad</v>
      </c>
      <c r="G15574" s="5"/>
    </row>
    <row r="15575" spans="1:7" ht="58.5" customHeight="1" x14ac:dyDescent="0.25">
      <c r="A15575" s="5" t="str">
        <f>"H0010443"</f>
        <v>H0010443</v>
      </c>
      <c r="B15575" s="5" t="str">
        <f>"BANCO DE TRABAJO METALICO"</f>
        <v>BANCO DE TRABAJO METALICO</v>
      </c>
      <c r="C15575" s="6">
        <v>150000</v>
      </c>
      <c r="D15575" s="5"/>
      <c r="E15575" s="5" t="str">
        <f t="shared" si="802"/>
        <v>ACTISALUD -  SALA DE MAQUINAS- MAURICIO MARTINEZ-ROBERTO OLIVEROS-LUIS CORREA-JIMMY BUENDIA</v>
      </c>
      <c r="F15575" s="5" t="str">
        <f>"Descripcion: MESA METALICA DE TRABAJO PESADO. CON SUPERFICIE METALICA Estado: Bueno Placa anterior: 000019123 Material: HIERRO Color: GRIS Referencia:  Observacion:  Placa padre: Tipo adquisicion: Entidad"</f>
        <v>Descripcion: MESA METALICA DE TRABAJO PESADO. CON SUPERFICIE METALICA Estado: Bueno Placa anterior: 000019123 Material: HIERRO Color: GRIS Referencia:  Observacion:  Placa padre: Tipo adquisicion: Entidad</v>
      </c>
      <c r="G15575" s="5"/>
    </row>
    <row r="15576" spans="1:7" ht="58.5" customHeight="1" x14ac:dyDescent="0.25">
      <c r="A15576" s="5" t="str">
        <f>"H0010444"</f>
        <v>H0010444</v>
      </c>
      <c r="B15576" s="5" t="str">
        <f>"SOLDADOR DE ARCO"</f>
        <v>SOLDADOR DE ARCO</v>
      </c>
      <c r="C15576" s="6">
        <v>1713819.75</v>
      </c>
      <c r="D15576" s="5"/>
      <c r="E15576" s="5" t="str">
        <f t="shared" si="802"/>
        <v>ACTISALUD -  SALA DE MAQUINAS- MAURICIO MARTINEZ-ROBERTO OLIVEROS-LUIS CORREA-JIMMY BUENDIA</v>
      </c>
      <c r="F15576" s="5" t="str">
        <f>"Descripcion: SOLDADOR DE ARCO AC/DC MARCA MANFER Estado: Bueno Placa anterior: 000018995 Material: METALICO Color: NARANJA Referencia:  Observacion:  Placa padre: Tipo adquisicion: Entidad"</f>
        <v>Descripcion: SOLDADOR DE ARCO AC/DC MARCA MANFER Estado: Bueno Placa anterior: 000018995 Material: METALICO Color: NARANJA Referencia:  Observacion:  Placa padre: Tipo adquisicion: Entidad</v>
      </c>
      <c r="G15576" s="5" t="str">
        <f>"B-170"</f>
        <v>B-170</v>
      </c>
    </row>
    <row r="15577" spans="1:7" ht="58.5" customHeight="1" x14ac:dyDescent="0.25">
      <c r="A15577" s="5" t="str">
        <f>"H0010445"</f>
        <v>H0010445</v>
      </c>
      <c r="B15577" s="5" t="str">
        <f>"EQUIPO PARA SOLDADURA ELECTRICA"</f>
        <v>EQUIPO PARA SOLDADURA ELECTRICA</v>
      </c>
      <c r="C15577" s="6">
        <v>10250</v>
      </c>
      <c r="D15577" s="5"/>
      <c r="E15577" s="5" t="str">
        <f t="shared" si="802"/>
        <v>ACTISALUD -  SALA DE MAQUINAS- MAURICIO MARTINEZ-ROBERTO OLIVEROS-LUIS CORREA-JIMMY BUENDIA</v>
      </c>
      <c r="F15577" s="5" t="str">
        <f>"Descripcion: EQUIPO PARA SOLDAR. 225 AMP Estado: Bueno Placa anterior: 000010732 Material: METALICO Color: ROJO Referencia:  Observacion: EL FUNCIONARIO AUTORIZA SE CONCILIE CON PLACA No. 10732 Placa padre: Tipo adquisicion: Entidad"</f>
        <v>Descripcion: EQUIPO PARA SOLDAR. 225 AMP Estado: Bueno Placa anterior: 000010732 Material: METALICO Color: ROJO Referencia:  Observacion: EL FUNCIONARIO AUTORIZA SE CONCILIE CON PLACA No. 10732 Placa padre: Tipo adquisicion: Entidad</v>
      </c>
      <c r="G15577" s="5"/>
    </row>
    <row r="15578" spans="1:7" ht="58.5" customHeight="1" x14ac:dyDescent="0.25">
      <c r="A15578" s="5" t="str">
        <f>"H0010446"</f>
        <v>H0010446</v>
      </c>
      <c r="B15578" s="5" t="str">
        <f>"CARRO MANUAL PARA TRANSPORTE OBJETOS"</f>
        <v>CARRO MANUAL PARA TRANSPORTE OBJETOS</v>
      </c>
      <c r="C15578" s="6">
        <v>16300</v>
      </c>
      <c r="D15578" s="5"/>
      <c r="E15578" s="5" t="str">
        <f t="shared" si="802"/>
        <v>ACTISALUD -  SALA DE MAQUINAS- MAURICIO MARTINEZ-ROBERTO OLIVEROS-LUIS CORREA-JIMMY BUENDIA</v>
      </c>
      <c r="F15578" s="5" t="str">
        <f>"Descripcion: CARRO TRANSPORTADOR. PARA TRANSPORTAR EQUIPOS DE MANTENIMIENTO Estado: Bueno Placa anterior: 000018975 Material: METALICO Color: GRIS Referencia:  Observacion:  Placa padre: Tipo adquisicion: Entidad"</f>
        <v>Descripcion: CARRO TRANSPORTADOR. PARA TRANSPORTAR EQUIPOS DE MANTENIMIENTO Estado: Bueno Placa anterior: 000018975 Material: METALICO Color: GRIS Referencia:  Observacion:  Placa padre: Tipo adquisicion: Entidad</v>
      </c>
      <c r="G15578" s="5"/>
    </row>
    <row r="15579" spans="1:7" ht="58.5" customHeight="1" x14ac:dyDescent="0.25">
      <c r="A15579" s="5" t="str">
        <f>"H0010447"</f>
        <v>H0010447</v>
      </c>
      <c r="B15579" s="5" t="str">
        <f>"CARRO MANUAL PARA TRANSPORTE OBJETOS"</f>
        <v>CARRO MANUAL PARA TRANSPORTE OBJETOS</v>
      </c>
      <c r="C15579" s="6">
        <v>16300</v>
      </c>
      <c r="D15579" s="5"/>
      <c r="E15579" s="5" t="str">
        <f t="shared" si="802"/>
        <v>ACTISALUD -  SALA DE MAQUINAS- MAURICIO MARTINEZ-ROBERTO OLIVEROS-LUIS CORREA-JIMMY BUENDIA</v>
      </c>
      <c r="F15579" s="5" t="str">
        <f>"Descripcion: CARRO TRANSPORTADOR. PARA TRANSPORTAR EQUIPOS DE MANTENIMIENTO Estado: Bueno Placa anterior: 000018974 Material: METALICO Color: GRIS Referencia:  Observacion:  Placa padre: Tipo adquisicion: Entidad"</f>
        <v>Descripcion: CARRO TRANSPORTADOR. PARA TRANSPORTAR EQUIPOS DE MANTENIMIENTO Estado: Bueno Placa anterior: 000018974 Material: METALICO Color: GRIS Referencia:  Observacion:  Placa padre: Tipo adquisicion: Entidad</v>
      </c>
      <c r="G15579" s="5"/>
    </row>
    <row r="15580" spans="1:7" ht="58.5" customHeight="1" x14ac:dyDescent="0.25">
      <c r="A15580" s="5" t="str">
        <f>"H0010448"</f>
        <v>H0010448</v>
      </c>
      <c r="B15580" s="5" t="str">
        <f>"ESCALERA 12 PASOS TIPO TIJERA"</f>
        <v>ESCALERA 12 PASOS TIPO TIJERA</v>
      </c>
      <c r="C15580" s="6">
        <v>4987</v>
      </c>
      <c r="D15580" s="5"/>
      <c r="E15580" s="5" t="str">
        <f t="shared" si="802"/>
        <v>ACTISALUD -  SALA DE MAQUINAS- MAURICIO MARTINEZ-ROBERTO OLIVEROS-LUIS CORREA-JIMMY BUENDIA</v>
      </c>
      <c r="F15580" s="5" t="str">
        <f>"Descripcion: ESCALERA  Estado: Bueno Placa anterior: 000019002 Material: ALUMINIO Color: GRIS Referencia:  Observacion:  Placa padre: Tipo adquisicion: Entidad"</f>
        <v>Descripcion: ESCALERA  Estado: Bueno Placa anterior: 000019002 Material: ALUMINIO Color: GRIS Referencia:  Observacion:  Placa padre: Tipo adquisicion: Entidad</v>
      </c>
      <c r="G15580" s="5"/>
    </row>
    <row r="15581" spans="1:7" ht="58.5" customHeight="1" x14ac:dyDescent="0.25">
      <c r="A15581" s="5" t="str">
        <f>"H0010449"</f>
        <v>H0010449</v>
      </c>
      <c r="B15581" s="5" t="str">
        <f>"ESCALERA 5 PASOS TIPO TIJERA"</f>
        <v>ESCALERA 5 PASOS TIPO TIJERA</v>
      </c>
      <c r="C15581" s="6">
        <v>99424.29</v>
      </c>
      <c r="D15581" s="5"/>
      <c r="E15581" s="5" t="str">
        <f t="shared" si="802"/>
        <v>ACTISALUD -  SALA DE MAQUINAS- MAURICIO MARTINEZ-ROBERTO OLIVEROS-LUIS CORREA-JIMMY BUENDIA</v>
      </c>
      <c r="F15581" s="5" t="str">
        <f>"Descripcion: ESCALERA Estado: Bueno Placa anterior: 000019146 Material: ALUMINIO Color: GRIS Referencia:  Observacion:  Placa padre: Tipo adquisicion: Entidad"</f>
        <v>Descripcion: ESCALERA Estado: Bueno Placa anterior: 000019146 Material: ALUMINIO Color: GRIS Referencia:  Observacion:  Placa padre: Tipo adquisicion: Entidad</v>
      </c>
      <c r="G15581" s="5"/>
    </row>
    <row r="15582" spans="1:7" ht="58.5" customHeight="1" x14ac:dyDescent="0.25">
      <c r="A15582" s="5" t="str">
        <f>"H0010450"</f>
        <v>H0010450</v>
      </c>
      <c r="B15582" s="5" t="str">
        <f>"BANCO DE TRABAJO METALICO"</f>
        <v>BANCO DE TRABAJO METALICO</v>
      </c>
      <c r="C15582" s="6">
        <v>150000</v>
      </c>
      <c r="D15582" s="5"/>
      <c r="E15582" s="5" t="str">
        <f t="shared" si="802"/>
        <v>ACTISALUD -  SALA DE MAQUINAS- MAURICIO MARTINEZ-ROBERTO OLIVEROS-LUIS CORREA-JIMMY BUENDIA</v>
      </c>
      <c r="F15582" s="5" t="str">
        <f>"Descripcion: MESA METALICA DE TRABAJO PESADO. CON SUPERFICIE METALICA Estado: Bueno Placa anterior: 000019124 Material: HIERRO Color: GRIS Referencia:  Observacion:  Placa padre: Tipo adquisicion: Entidad"</f>
        <v>Descripcion: MESA METALICA DE TRABAJO PESADO. CON SUPERFICIE METALICA Estado: Bueno Placa anterior: 000019124 Material: HIERRO Color: GRIS Referencia:  Observacion:  Placa padre: Tipo adquisicion: Entidad</v>
      </c>
      <c r="G15582" s="5"/>
    </row>
    <row r="15583" spans="1:7" ht="58.5" customHeight="1" x14ac:dyDescent="0.25">
      <c r="A15583" s="5" t="str">
        <f>"H0010451"</f>
        <v>H0010451</v>
      </c>
      <c r="B15583" s="5" t="str">
        <f>"CALDERA CON TUBOS MULTIPLES DE HUMO (PIROTUBUILAR) (IGNEOTUBULAR)"</f>
        <v>CALDERA CON TUBOS MULTIPLES DE HUMO (PIROTUBUILAR) (IGNEOTUBULAR)</v>
      </c>
      <c r="C15583" s="6">
        <v>6427700</v>
      </c>
      <c r="D15583" s="5"/>
      <c r="E15583" s="5" t="str">
        <f t="shared" si="802"/>
        <v>ACTISALUD -  SALA DE MAQUINAS- MAURICIO MARTINEZ-ROBERTO OLIVEROS-LUIS CORREA-JIMMY BUENDIA</v>
      </c>
      <c r="F15583" s="5" t="str">
        <f>"Descripcion: CALDERA DE VAPOR PIROTUBULAR Estado: Regular Placa anterior: 000019062 Material: METALICO Color: GRIS Referencia: 175 BHP Observacion: ESTA EN REPARACION MANIFIESTA EN EL FUNCIONARIO Placa padre: Tipo adquisicion: Entidad"</f>
        <v>Descripcion: CALDERA DE VAPOR PIROTUBULAR Estado: Regular Placa anterior: 000019062 Material: METALICO Color: GRIS Referencia: 175 BHP Observacion: ESTA EN REPARACION MANIFIESTA EN EL FUNCIONARIO Placa padre: Tipo adquisicion: Entidad</v>
      </c>
      <c r="G15583" s="5" t="str">
        <f>"A-3H-175"</f>
        <v>A-3H-175</v>
      </c>
    </row>
    <row r="15584" spans="1:7" ht="58.5" customHeight="1" x14ac:dyDescent="0.25">
      <c r="A15584" s="5" t="str">
        <f>"H0010452"</f>
        <v>H0010452</v>
      </c>
      <c r="B15584" s="5" t="str">
        <f>"CALDERA CON TUBOS MULTIPLES DE HUMO (PIROTUBUILAR) (IGNEOTUBULAR)"</f>
        <v>CALDERA CON TUBOS MULTIPLES DE HUMO (PIROTUBUILAR) (IGNEOTUBULAR)</v>
      </c>
      <c r="C15584" s="6">
        <v>6427700</v>
      </c>
      <c r="D15584" s="5"/>
      <c r="E15584" s="5" t="str">
        <f t="shared" ref="E15584:E15615" si="803">"ACTISALUD -  SALA DE MAQUINAS- MAURICIO MARTINEZ-ROBERTO OLIVEROS-LUIS CORREA-JIMMY BUENDIA"</f>
        <v>ACTISALUD -  SALA DE MAQUINAS- MAURICIO MARTINEZ-ROBERTO OLIVEROS-LUIS CORREA-JIMMY BUENDIA</v>
      </c>
      <c r="F15584" s="5" t="str">
        <f>"Descripcion: CALDERA DE VAPOR PIROTUBULAR Estado: Bueno Placa anterior: 000019061 Material: METALICO Color: GRIS Referencia: 175 BHP Observacion: ESTA EN FUNCIONAMIENTO   Placa padre: Tipo adquisicion: Entidad"</f>
        <v>Descripcion: CALDERA DE VAPOR PIROTUBULAR Estado: Bueno Placa anterior: 000019061 Material: METALICO Color: GRIS Referencia: 175 BHP Observacion: ESTA EN FUNCIONAMIENTO   Placa padre: Tipo adquisicion: Entidad</v>
      </c>
      <c r="G15584" s="5" t="str">
        <f>"A-3H-175"</f>
        <v>A-3H-175</v>
      </c>
    </row>
    <row r="15585" spans="1:7" ht="58.5" customHeight="1" x14ac:dyDescent="0.25">
      <c r="A15585" s="5" t="str">
        <f>"H0010453"</f>
        <v>H0010453</v>
      </c>
      <c r="B15585" s="5" t="str">
        <f>"CENTRAL DE GASES MEDICINALES"</f>
        <v>CENTRAL DE GASES MEDICINALES</v>
      </c>
      <c r="C15585" s="6">
        <v>14452000</v>
      </c>
      <c r="D15585" s="5"/>
      <c r="E15585" s="5" t="str">
        <f t="shared" si="803"/>
        <v>ACTISALUD -  SALA DE MAQUINAS- MAURICIO MARTINEZ-ROBERTO OLIVEROS-LUIS CORREA-JIMMY BUENDIA</v>
      </c>
      <c r="F15585" s="5" t="str">
        <f>"Descripcion: CENTRAL DE GASES Estado: Bueno Placa anterior: 000019066 Material: METALICO Color: GRIS Referencia:  Observacion: CON 20 BALAS DE OXIGENO. MANIFOLD DE GAS Placa padre: Tipo adquisicion: Entidad"</f>
        <v>Descripcion: CENTRAL DE GASES Estado: Bueno Placa anterior: 000019066 Material: METALICO Color: GRIS Referencia:  Observacion: CON 20 BALAS DE OXIGENO. MANIFOLD DE GAS Placa padre: Tipo adquisicion: Entidad</v>
      </c>
      <c r="G15585" s="5" t="str">
        <f>"M2HD-D-HH-S-OXY"</f>
        <v>M2HD-D-HH-S-OXY</v>
      </c>
    </row>
    <row r="15586" spans="1:7" ht="58.5" customHeight="1" x14ac:dyDescent="0.25">
      <c r="A15586" s="5" t="str">
        <f>"H0010454"</f>
        <v>H0010454</v>
      </c>
      <c r="B15586" s="5" t="str">
        <f>"ESCALERA 15 PASOS TIPO TIJERA"</f>
        <v>ESCALERA 15 PASOS TIPO TIJERA</v>
      </c>
      <c r="C15586" s="6">
        <v>99424.29</v>
      </c>
      <c r="D15586" s="5"/>
      <c r="E15586" s="5" t="str">
        <f t="shared" si="803"/>
        <v>ACTISALUD -  SALA DE MAQUINAS- MAURICIO MARTINEZ-ROBERTO OLIVEROS-LUIS CORREA-JIMMY BUENDIA</v>
      </c>
      <c r="F15586" s="5" t="str">
        <f>"Descripcion: ESCALERA DE 15 PASOS EN TIJERA Estado: Bueno Placa anterior: 000019147 Material: ALUMINIO Color: GRIS Referencia:  Observacion:  Placa padre: Tipo adquisicion: Entidad"</f>
        <v>Descripcion: ESCALERA DE 15 PASOS EN TIJERA Estado: Bueno Placa anterior: 000019147 Material: ALUMINIO Color: GRIS Referencia:  Observacion:  Placa padre: Tipo adquisicion: Entidad</v>
      </c>
      <c r="G15586" s="5"/>
    </row>
    <row r="15587" spans="1:7" ht="58.5" customHeight="1" x14ac:dyDescent="0.25">
      <c r="A15587" s="5" t="str">
        <f>"H0010455"</f>
        <v>H0010455</v>
      </c>
      <c r="B15587" s="5" t="str">
        <f>"ESCALERA 7 PASOS TIPO TIJERA"</f>
        <v>ESCALERA 7 PASOS TIPO TIJERA</v>
      </c>
      <c r="C15587" s="6">
        <v>40000</v>
      </c>
      <c r="D15587" s="5"/>
      <c r="E15587" s="5" t="str">
        <f t="shared" si="803"/>
        <v>ACTISALUD -  SALA DE MAQUINAS- MAURICIO MARTINEZ-ROBERTO OLIVEROS-LUIS CORREA-JIMMY BUENDIA</v>
      </c>
      <c r="F15587" s="5" t="str">
        <f>"Descripcion: ESCALERA DE 7 PASOS EN TIJERA Estado: Bueno Placa anterior: 000019149 Material: ALUMINIO Color: GRIS Referencia:  Observacion:  Placa padre: Tipo adquisicion: Entidad"</f>
        <v>Descripcion: ESCALERA DE 7 PASOS EN TIJERA Estado: Bueno Placa anterior: 000019149 Material: ALUMINIO Color: GRIS Referencia:  Observacion:  Placa padre: Tipo adquisicion: Entidad</v>
      </c>
      <c r="G15587" s="5"/>
    </row>
    <row r="15588" spans="1:7" ht="58.5" customHeight="1" x14ac:dyDescent="0.25">
      <c r="A15588" s="5" t="str">
        <f>"H0010456"</f>
        <v>H0010456</v>
      </c>
      <c r="B15588" s="5" t="str">
        <f>"ESCALERA 6 PASOS TIPO TIJERA"</f>
        <v>ESCALERA 6 PASOS TIPO TIJERA</v>
      </c>
      <c r="C15588" s="6">
        <v>40000</v>
      </c>
      <c r="D15588" s="5"/>
      <c r="E15588" s="5" t="str">
        <f t="shared" si="803"/>
        <v>ACTISALUD -  SALA DE MAQUINAS- MAURICIO MARTINEZ-ROBERTO OLIVEROS-LUIS CORREA-JIMMY BUENDIA</v>
      </c>
      <c r="F15588" s="5" t="str">
        <f>"Descripcion: ESCALERA EN TIJERA DE 6 PASOS Estado: Regular Placa anterior: 000019150 Material: ALUMINIO Color: GRIS Referencia:  Observacion: EL PASO 6 ESTA DAÑADO Placa padre: Tipo adquisicion: Entidad"</f>
        <v>Descripcion: ESCALERA EN TIJERA DE 6 PASOS Estado: Regular Placa anterior: 000019150 Material: ALUMINIO Color: GRIS Referencia:  Observacion: EL PASO 6 ESTA DAÑADO Placa padre: Tipo adquisicion: Entidad</v>
      </c>
      <c r="G15588" s="5"/>
    </row>
    <row r="15589" spans="1:7" ht="58.5" customHeight="1" x14ac:dyDescent="0.25">
      <c r="A15589" s="5" t="str">
        <f>"H0010457"</f>
        <v>H0010457</v>
      </c>
      <c r="B15589" s="5" t="str">
        <f>"SUBESTACION ELECTRICA"</f>
        <v>SUBESTACION ELECTRICA</v>
      </c>
      <c r="C15589" s="6">
        <v>18591128</v>
      </c>
      <c r="D15589" s="5"/>
      <c r="E15589" s="5" t="str">
        <f t="shared" si="803"/>
        <v>ACTISALUD -  SALA DE MAQUINAS- MAURICIO MARTINEZ-ROBERTO OLIVEROS-LUIS CORREA-JIMMY BUENDIA</v>
      </c>
      <c r="F15589" s="5" t="str">
        <f>"Descripcion: SUBESTACION ELECTRICA DE 220 VOLTIOS Estado: Bueno Placa anterior: 000012129 Material: METALICA Color: GRIS Referencia:  Observacion: NO SE LE VIO LA PLACA ANTERIOR Placa padre: Tipo adquisicion: Entidad"</f>
        <v>Descripcion: SUBESTACION ELECTRICA DE 220 VOLTIOS Estado: Bueno Placa anterior: 000012129 Material: METALICA Color: GRIS Referencia:  Observacion: NO SE LE VIO LA PLACA ANTERIOR Placa padre: Tipo adquisicion: Entidad</v>
      </c>
      <c r="G15589" s="5"/>
    </row>
    <row r="15590" spans="1:7" ht="58.5" customHeight="1" x14ac:dyDescent="0.25">
      <c r="A15590" s="5" t="str">
        <f>"H0010458"</f>
        <v>H0010458</v>
      </c>
      <c r="B15590" s="5" t="str">
        <f>"SUBESTACION ELECTRICA"</f>
        <v>SUBESTACION ELECTRICA</v>
      </c>
      <c r="C15590" s="6">
        <v>18591128</v>
      </c>
      <c r="D15590" s="5"/>
      <c r="E15590" s="5" t="str">
        <f t="shared" si="803"/>
        <v>ACTISALUD -  SALA DE MAQUINAS- MAURICIO MARTINEZ-ROBERTO OLIVEROS-LUIS CORREA-JIMMY BUENDIA</v>
      </c>
      <c r="F15590" s="5" t="str">
        <f>"Descripcion: SUBESTACION ELECTRICA DE 440 VOLTIOS Estado: Bueno Placa anterior: 000012130 Material: METALICA Color: GRIS Referencia:  Observacion: NO SE OBSERVO PLACA ANTERIOR Placa anterior:, Placa nueva=H0017832, Descripcion:TRANSFORMADOR PARA LA SUBEST"&amp; "ACION ELECTRICA DE 440 VOLTIOS, Serial:, Marca:SIEMENS, Modelo:703, Material:HIERRO, Color:GRIS,   Referencia: Placa padre: Tipo adquisicion: Entidad"</f>
        <v>Descripcion: SUBESTACION ELECTRICA DE 440 VOLTIOS Estado: Bueno Placa anterior: 000012130 Material: METALICA Color: GRIS Referencia:  Observacion: NO SE OBSERVO PLACA ANTERIOR Placa anterior:, Placa nueva=H0017832, Descripcion:TRANSFORMADOR PARA LA SUBESTACION ELECTRICA DE 440 VOLTIOS, Serial:, Marca:SIEMENS, Modelo:703, Material:HIERRO, Color:GRIS,   Referencia: Placa padre: Tipo adquisicion: Entidad</v>
      </c>
      <c r="G15590" s="5"/>
    </row>
    <row r="15591" spans="1:7" ht="58.5" customHeight="1" x14ac:dyDescent="0.25">
      <c r="A15591" s="5" t="str">
        <f>"H0010461"</f>
        <v>H0010461</v>
      </c>
      <c r="B15591" s="5" t="str">
        <f>"PLANTA ELECTRICA DE 320KW"</f>
        <v>PLANTA ELECTRICA DE 320KW</v>
      </c>
      <c r="C15591" s="6">
        <v>16447957.5</v>
      </c>
      <c r="D15591" s="5"/>
      <c r="E15591" s="5" t="str">
        <f t="shared" si="803"/>
        <v>ACTISALUD -  SALA DE MAQUINAS- MAURICIO MARTINEZ-ROBERTO OLIVEROS-LUIS CORREA-JIMMY BUENDIA</v>
      </c>
      <c r="F15591" s="5" t="str">
        <f>"Descripcion: PLANTA ELECTRICA DE EMERGENCIA Estado: Bueno Placa anterior: 000012132 Material: HIERRO Color: AMARILLA Referencia:  Observacion:  Placa anterior:, Placa nueva=H0017829, Descripcion:TANQUE DE CUERPO CILINDRICO, Serial:, Marca:INDUSTRIAS METAL"&amp; " MAQUINAS, Modelo:, Material:LAMINA SAE, Color:AMARIILO,   Referencia: Placa padre: Tipo adquisicion: Entidad"</f>
        <v>Descripcion: PLANTA ELECTRICA DE EMERGENCIA Estado: Bueno Placa anterior: 000012132 Material: HIERRO Color: AMARILLA Referencia:  Observacion:  Placa anterior:, Placa nueva=H0017829, Descripcion:TANQUE DE CUERPO CILINDRICO, Serial:, Marca:INDUSTRIAS METAL MAQUINAS, Modelo:, Material:LAMINA SAE, Color:AMARIILO,   Referencia: Placa padre: Tipo adquisicion: Entidad</v>
      </c>
      <c r="G15591" s="5" t="str">
        <f>"SR-4"</f>
        <v>SR-4</v>
      </c>
    </row>
    <row r="15592" spans="1:7" ht="58.5" customHeight="1" x14ac:dyDescent="0.25">
      <c r="A15592" s="5" t="str">
        <f>"H0010462"</f>
        <v>H0010462</v>
      </c>
      <c r="B15592" s="5" t="str">
        <f>"SUBESTACION DE BOMBEO DE AGUA"</f>
        <v>SUBESTACION DE BOMBEO DE AGUA</v>
      </c>
      <c r="C15592" s="6">
        <v>1870000</v>
      </c>
      <c r="D15592" s="5"/>
      <c r="E15592" s="5" t="str">
        <f t="shared" si="803"/>
        <v>ACTISALUD -  SALA DE MAQUINAS- MAURICIO MARTINEZ-ROBERTO OLIVEROS-LUIS CORREA-JIMMY BUENDIA</v>
      </c>
      <c r="F15592" s="5" t="str">
        <f>"Descripcion: SUBESTACION DE BOMBEO DE AGUA Estado: Bueno Placa anterior: 000012133 Material: METALICO Color: GRIS Referencia:  Observacion: CONSTA DE:   1. UN CONTACTOR PRINCIPAL  2. 4 CONTACTORES ELECTRICO PARA LAS MOTOBOMBAS.  3. DOS PROCTECTORES PARA C"&amp; "ADA DOS BOMBAS.  4. UN CONTACTOR AUXILIAR DE LAS BOMBAS Placa anterior:, Placa nueva=H0010464, Descripcion:MOTOBOMBA ELECTRICA DE PRESION 15 HP A 220/440, Serial:, Marca:SIEMENS, Modelo:2020HCE-15-88, Material:HIERRO, Color:VERDE,   Referencia:, Placa ant"&amp; "erior:, Placa nueva=H0010466, Descripcion:MOTOBOMBA ELECTRICA DE PRESION 15 HP A 220/440, Serial:, Marca:SIEMENS, Modelo:2020HCE-15, Material:HIERRO, Color:VERDE,   Referencia:, Placa anterior:, Placa nueva=H0010463, Descripcion:PLC. CON SU COMPUTADOR, Se"&amp; "rial:, Marca:, Modelo:, Material:METALICO, Color:VERDE,   Referencia:, Placa anterior:000030234, Placa nueva=H0010465, Descripcion:MOTOBOMBA ELECTRICA DE PRESION 15 HP A 220/440, Serial:12L201007, Marca:SIEMENS, Modelo:2020QCE-15-3, Material:HIERRO, Color"&amp; ":VERDE,   Referencia:, Placa anterior:000030236, Placa nueva=H0010467, Descripcion:MOTOBOMBA ELECTRICA DE PRESION 15 HP A 220/440, Serial:12GO3C004, Marca:SIEMENS, Modelo:2020HCE-15-3, Material:HIERRO, Color:VERDE,   Referencia: Placa padre: Tipo adquisic"&amp; "ion: Entidad"</f>
        <v>Descripcion: SUBESTACION DE BOMBEO DE AGUA Estado: Bueno Placa anterior: 000012133 Material: METALICO Color: GRIS Referencia:  Observacion: CONSTA DE:   1. UN CONTACTOR PRINCIPAL  2. 4 CONTACTORES ELECTRICO PARA LAS MOTOBOMBAS.  3. DOS PROCTECTORES PARA CADA DOS BOMBAS.  4. UN CONTACTOR AUXILIAR DE LAS BOMBAS Placa anterior:, Placa nueva=H0010464, Descripcion:MOTOBOMBA ELECTRICA DE PRESION 15 HP A 220/440, Serial:, Marca:SIEMENS, Modelo:2020HCE-15-88, Material:HIERRO, Color:VERDE,   Referencia:, Placa anterior:, Placa nueva=H0010466, Descripcion:MOTOBOMBA ELECTRICA DE PRESION 15 HP A 220/440, Serial:, Marca:SIEMENS, Modelo:2020HCE-15, Material:HIERRO, Color:VERDE,   Referencia:, Placa anterior:, Placa nueva=H0010463, Descripcion:PLC. CON SU COMPUTADOR, Serial:, Marca:, Modelo:, Material:METALICO, Color:VERDE,   Referencia:, Placa anterior:000030234, Placa nueva=H0010465, Descripcion:MOTOBOMBA ELECTRICA DE PRESION 15 HP A 220/440, Serial:12L201007, Marca:SIEMENS, Modelo:2020QCE-15-3, Material:HIERRO, Color:VERDE,   Referencia:, Placa anterior:000030236, Placa nueva=H0010467, Descripcion:MOTOBOMBA ELECTRICA DE PRESION 15 HP A 220/440, Serial:12GO3C004, Marca:SIEMENS, Modelo:2020HCE-15-3, Material:HIERRO, Color:VERDE,   Referencia: Placa padre: Tipo adquisicion: Entidad</v>
      </c>
      <c r="G15592" s="5" t="str">
        <f>"AE  1213500"</f>
        <v>AE  1213500</v>
      </c>
    </row>
    <row r="15593" spans="1:7" ht="58.5" customHeight="1" x14ac:dyDescent="0.25">
      <c r="A15593" s="5" t="str">
        <f>"H0010465"</f>
        <v>H0010465</v>
      </c>
      <c r="B15593" s="5" t="str">
        <f>"MOTOBOMBA DE 15 HP"</f>
        <v>MOTOBOMBA DE 15 HP</v>
      </c>
      <c r="C15593" s="6">
        <v>3180000</v>
      </c>
      <c r="D15593" s="5" t="s">
        <v>768</v>
      </c>
      <c r="E15593" s="5" t="str">
        <f t="shared" si="803"/>
        <v>ACTISALUD -  SALA DE MAQUINAS- MAURICIO MARTINEZ-ROBERTO OLIVEROS-LUIS CORREA-JIMMY BUENDIA</v>
      </c>
      <c r="F15593" s="5" t="str">
        <f>"Descripcion: MOTOBOMBA ELECTRICA DE PRESION 15 HP A 220/440 Estado: Bueno Placa anterior: 000030234 Material: HIERRO Color: VERDE Referencia:  Observacion:  Placa padre: H0010462Tipo adquisicion: Entidad"</f>
        <v>Descripcion: MOTOBOMBA ELECTRICA DE PRESION 15 HP A 220/440 Estado: Bueno Placa anterior: 000030234 Material: HIERRO Color: VERDE Referencia:  Observacion:  Placa padre: H0010462Tipo adquisicion: Entidad</v>
      </c>
      <c r="G15593" s="5" t="str">
        <f>"2020QCE-15-3"</f>
        <v>2020QCE-15-3</v>
      </c>
    </row>
    <row r="15594" spans="1:7" ht="58.5" customHeight="1" x14ac:dyDescent="0.25">
      <c r="A15594" s="5" t="str">
        <f>"H0010467"</f>
        <v>H0010467</v>
      </c>
      <c r="B15594" s="5" t="str">
        <f>"MOTOBOMBA DE 15 HP"</f>
        <v>MOTOBOMBA DE 15 HP</v>
      </c>
      <c r="C15594" s="6">
        <v>3180000</v>
      </c>
      <c r="D15594" s="5" t="s">
        <v>768</v>
      </c>
      <c r="E15594" s="5" t="str">
        <f t="shared" si="803"/>
        <v>ACTISALUD -  SALA DE MAQUINAS- MAURICIO MARTINEZ-ROBERTO OLIVEROS-LUIS CORREA-JIMMY BUENDIA</v>
      </c>
      <c r="F15594" s="5" t="str">
        <f>"Descripcion: MOTOBOMBA ELECTRICA DE PRESION 15 HP A 220/440 Estado: Bueno Placa anterior: 000030236 Material: HIERRO Color: VERDE Referencia:  Observacion:  Placa padre: H0010462Tipo adquisicion: Entidad"</f>
        <v>Descripcion: MOTOBOMBA ELECTRICA DE PRESION 15 HP A 220/440 Estado: Bueno Placa anterior: 000030236 Material: HIERRO Color: VERDE Referencia:  Observacion:  Placa padre: H0010462Tipo adquisicion: Entidad</v>
      </c>
      <c r="G15594" s="5" t="str">
        <f>"2020HCE-15-3"</f>
        <v>2020HCE-15-3</v>
      </c>
    </row>
    <row r="15595" spans="1:7" ht="58.5" customHeight="1" x14ac:dyDescent="0.25">
      <c r="A15595" s="5" t="str">
        <f>"H0010468"</f>
        <v>H0010468</v>
      </c>
      <c r="B15595" s="5" t="str">
        <f>"SISTEMA DE ALIMENTACION DE AGUA A LAS CALDERAS"</f>
        <v>SISTEMA DE ALIMENTACION DE AGUA A LAS CALDERAS</v>
      </c>
      <c r="C15595" s="6">
        <v>2830000</v>
      </c>
      <c r="D15595" s="5"/>
      <c r="E15595" s="5" t="str">
        <f t="shared" si="803"/>
        <v>ACTISALUD -  SALA DE MAQUINAS- MAURICIO MARTINEZ-ROBERTO OLIVEROS-LUIS CORREA-JIMMY BUENDIA</v>
      </c>
      <c r="F15595" s="5" t="str">
        <f>"Descripcion: SISTEMA DE ALIMENTACION DE AGUA A LAS CALDERAS Estado: Bueno Placa anterior: 000019114 Material: HIERRO Color: AZUL Referencia:  Observacion: BOMBA HIDRAULICA Placa anterior:, Placa nueva=H0010471, Descripcion:MOTOR 9HP, Serial:, Marca:AURORA"&amp; ", Modelo:, Material:HIERRO, Color:GRIS,   Referencia:TURBINA, Placa anterior:, Placa nueva=H0010470, Descripcion:MOTOR 9HP, Serial:, Marca:AURORA, Modelo:, Material:HIERRO, Color:GRIS,   Referencia:TURBINA, Placa anterior:, Placa nueva=H0010472, Descripci"&amp; "on:TANQUE DE CONDESADO. CAPACIDAD: 300 GALONES. TIPO CILINDRICO HORIZONTAL CON BASE EN ANGULO, Serial:, Marca:, Modelo:, Material:LAMINA SAE - 283 CENTRIGADOS 1/4  DE ESPESOR, Color:NARANJA,   Referencia:, Placa anterior:, Placa nueva=H0010469, Descripcio"&amp; "n:BOMBA HIDRAULICA, Serial:063810, Marca:HIDROMAC, Modelo:TURBI I5T, Material:HIERRO, Color:AZUL,   Referencia: Placa padre: Tipo adquisicion: Entidad"</f>
        <v>Descripcion: SISTEMA DE ALIMENTACION DE AGUA A LAS CALDERAS Estado: Bueno Placa anterior: 000019114 Material: HIERRO Color: AZUL Referencia:  Observacion: BOMBA HIDRAULICA Placa anterior:, Placa nueva=H0010471, Descripcion:MOTOR 9HP, Serial:, Marca:AURORA, Modelo:, Material:HIERRO, Color:GRIS,   Referencia:TURBINA, Placa anterior:, Placa nueva=H0010470, Descripcion:MOTOR 9HP, Serial:, Marca:AURORA, Modelo:, Material:HIERRO, Color:GRIS,   Referencia:TURBINA, Placa anterior:, Placa nueva=H0010472, Descripcion:TANQUE DE CONDESADO. CAPACIDAD: 300 GALONES. TIPO CILINDRICO HORIZONTAL CON BASE EN ANGULO, Serial:, Marca:, Modelo:, Material:LAMINA SAE - 283 CENTRIGADOS 1/4  DE ESPESOR, Color:NARANJA,   Referencia:, Placa anterior:, Placa nueva=H0010469, Descripcion:BOMBA HIDRAULICA, Serial:063810, Marca:HIDROMAC, Modelo:TURBI I5T, Material:HIERRO, Color:AZUL,   Referencia: Placa padre: Tipo adquisicion: Entidad</v>
      </c>
      <c r="G15595" s="5" t="str">
        <f>"TURBI I5T"</f>
        <v>TURBI I5T</v>
      </c>
    </row>
    <row r="15596" spans="1:7" ht="58.5" customHeight="1" x14ac:dyDescent="0.25">
      <c r="A15596" s="5" t="str">
        <f>"H0010473"</f>
        <v>H0010473</v>
      </c>
      <c r="B15596" s="5" t="str">
        <f>"SUBESTACION ALMACENAMIENTO Y BOMBEO ACPM"</f>
        <v>SUBESTACION ALMACENAMIENTO Y BOMBEO ACPM</v>
      </c>
      <c r="C15596" s="6">
        <v>2069944.3</v>
      </c>
      <c r="D15596" s="5"/>
      <c r="E15596" s="5" t="str">
        <f t="shared" si="803"/>
        <v>ACTISALUD -  SALA DE MAQUINAS- MAURICIO MARTINEZ-ROBERTO OLIVEROS-LUIS CORREA-JIMMY BUENDIA</v>
      </c>
      <c r="F15596" s="5" t="str">
        <f>"Descripcion: SUBESTACION ALMACENAMIENTO Y BOMBEO ACPM. ( TANQUE DE 6000 GALONES) CUERPO HORIZONTAL Estado: Bueno Placa anterior: 000019118 Material:  LAMINA SAE -283ºC DE 3 / 16 PULGADAS Color: GRIS Referencia:  Observacion:  Placa padre: H0010602Tipo adq"&amp; "uisicion: Entidad"</f>
        <v>Descripcion: SUBESTACION ALMACENAMIENTO Y BOMBEO ACPM. ( TANQUE DE 6000 GALONES) CUERPO HORIZONTAL Estado: Bueno Placa anterior: 000019118 Material:  LAMINA SAE -283ºC DE 3 / 16 PULGADAS Color: GRIS Referencia:  Observacion:  Placa padre: H0010602Tipo adquisicion: Entidad</v>
      </c>
      <c r="G15596" s="5"/>
    </row>
    <row r="15597" spans="1:7" ht="58.5" customHeight="1" x14ac:dyDescent="0.25">
      <c r="A15597" s="5" t="str">
        <f>"H0010474"</f>
        <v>H0010474</v>
      </c>
      <c r="B15597" s="5" t="str">
        <f>"SUBESTACION ALMACENAMIENTO Y BOMBEO ACPM"</f>
        <v>SUBESTACION ALMACENAMIENTO Y BOMBEO ACPM</v>
      </c>
      <c r="C15597" s="6">
        <v>2069944.3</v>
      </c>
      <c r="D15597" s="5"/>
      <c r="E15597" s="5" t="str">
        <f t="shared" si="803"/>
        <v>ACTISALUD -  SALA DE MAQUINAS- MAURICIO MARTINEZ-ROBERTO OLIVEROS-LUIS CORREA-JIMMY BUENDIA</v>
      </c>
      <c r="F15597" s="5" t="str">
        <f>"Descripcion: SUBESTACION ALMACENAMIENTO Y BOMBEO ACPM (TANQUE PARA CAPACIDAD DE 3000 GALONES) CUERPO HORIZONTAL Estado: Bueno Placa anterior: 000019119 Material: LAMINA SAE 283ºC 3/16  Color: GRIS Referencia:  Observacion:  Placa padre: H0010602Tipo adqui"&amp; "sicion: Entidad"</f>
        <v>Descripcion: SUBESTACION ALMACENAMIENTO Y BOMBEO ACPM (TANQUE PARA CAPACIDAD DE 3000 GALONES) CUERPO HORIZONTAL Estado: Bueno Placa anterior: 000019119 Material: LAMINA SAE 283ºC 3/16  Color: GRIS Referencia:  Observacion:  Placa padre: H0010602Tipo adquisicion: Entidad</v>
      </c>
      <c r="G15597" s="5"/>
    </row>
    <row r="15598" spans="1:7" ht="58.5" customHeight="1" x14ac:dyDescent="0.25">
      <c r="A15598" s="5" t="str">
        <f>"H0010601"</f>
        <v>H0010601</v>
      </c>
      <c r="B15598" s="5" t="str">
        <f>"PULIDORA (CORTE Y PULIDO)"</f>
        <v>PULIDORA (CORTE Y PULIDO)</v>
      </c>
      <c r="C15598" s="6">
        <v>318966</v>
      </c>
      <c r="D15598" s="5"/>
      <c r="E15598" s="5" t="str">
        <f t="shared" si="803"/>
        <v>ACTISALUD -  SALA DE MAQUINAS- MAURICIO MARTINEZ-ROBERTO OLIVEROS-LUIS CORREA-JIMMY BUENDIA</v>
      </c>
      <c r="F15598" s="5" t="str">
        <f>"Descripcion: PULIDORA Estado: Bueno Placa anterior: 000032674 Material: ACERO Y PLASTICO DE POLIPROPILENO Color: AMARILLA Referencia:  Observacion: NO SE OBSERVO BIEN EL NUEMRO DE LA PLACA ANTERIOR, LA PLACA 000002673 CORRESPONDE A UN CILINDRO  PULIDORA D"&amp; "EWALT 4 1/2 28112   Placa padre: Tipo adquisicion: Entidad"</f>
        <v>Descripcion: PULIDORA Estado: Bueno Placa anterior: 000032674 Material: ACERO Y PLASTICO DE POLIPROPILENO Color: AMARILLA Referencia:  Observacion: NO SE OBSERVO BIEN EL NUEMRO DE LA PLACA ANTERIOR, LA PLACA 000002673 CORRESPONDE A UN CILINDRO  PULIDORA DEWALT 4 1/2 28112   Placa padre: Tipo adquisicion: Entidad</v>
      </c>
      <c r="G15598" s="5" t="str">
        <f>"D28496M-B3"</f>
        <v>D28496M-B3</v>
      </c>
    </row>
    <row r="15599" spans="1:7" ht="58.5" customHeight="1" x14ac:dyDescent="0.25">
      <c r="A15599" s="5" t="str">
        <f>"H0010611"</f>
        <v>H0010611</v>
      </c>
      <c r="B15599" s="5" t="str">
        <f>"GAFAS DE PROTECCIÓN CON CERTIFICACION UL"</f>
        <v>GAFAS DE PROTECCIÓN CON CERTIFICACION UL</v>
      </c>
      <c r="C15599" s="6">
        <v>8500</v>
      </c>
      <c r="D15599" s="5"/>
      <c r="E15599" s="5" t="str">
        <f t="shared" si="803"/>
        <v>ACTISALUD -  SALA DE MAQUINAS- MAURICIO MARTINEZ-ROBERTO OLIVEROS-LUIS CORREA-JIMMY BUENDIA</v>
      </c>
      <c r="F15599" s="5" t="str">
        <f>"Descripcion: GAFAS DIS. UL Estado: Malo Placa anterior: 000019003 Material: PLASTICO Y VIDRIO Color: VERDE Referencia:  Observacion: NO SE ENCUENTRA EN USO. POR SU MAL ESTADO.  Placa padre: Tipo adquisicion: Entidad"</f>
        <v>Descripcion: GAFAS DIS. UL Estado: Malo Placa anterior: 000019003 Material: PLASTICO Y VIDRIO Color: VERDE Referencia:  Observacion: NO SE ENCUENTRA EN USO. POR SU MAL ESTADO.  Placa padre: Tipo adquisicion: Entidad</v>
      </c>
      <c r="G15599" s="5"/>
    </row>
    <row r="15600" spans="1:7" ht="58.5" customHeight="1" x14ac:dyDescent="0.25">
      <c r="A15600" s="5" t="str">
        <f>"H0010614"</f>
        <v>H0010614</v>
      </c>
      <c r="B15600" s="5" t="str">
        <f>"SOLDADOR (CAUTIN) TIPO LAPIZ"</f>
        <v>SOLDADOR (CAUTIN) TIPO LAPIZ</v>
      </c>
      <c r="C15600" s="6">
        <v>27000</v>
      </c>
      <c r="D15600" s="5"/>
      <c r="E15600" s="5" t="str">
        <f t="shared" si="803"/>
        <v>ACTISALUD -  SALA DE MAQUINAS- MAURICIO MARTINEZ-ROBERTO OLIVEROS-LUIS CORREA-JIMMY BUENDIA</v>
      </c>
      <c r="F15600" s="5" t="str">
        <f>"Descripcion: CAUTIN NICHOLSON REF. 25 WATTIOS Estado: Bueno Placa anterior: 000024929 Material: PLASTICO Y ACERO Color: NEGRO Y METALICO Referencia:  Observacion:  Placa padre: Tipo adquisicion: Entidad"</f>
        <v>Descripcion: CAUTIN NICHOLSON REF. 25 WATTIOS Estado: Bueno Placa anterior: 000024929 Material: PLASTICO Y ACERO Color: NEGRO Y METALICO Referencia:  Observacion:  Placa padre: Tipo adquisicion: Entidad</v>
      </c>
      <c r="G15600" s="5"/>
    </row>
    <row r="15601" spans="1:7" ht="58.5" customHeight="1" x14ac:dyDescent="0.25">
      <c r="A15601" s="5" t="str">
        <f>"H0010616"</f>
        <v>H0010616</v>
      </c>
      <c r="B15601" s="5" t="str">
        <f>"PARLANTE (BAFLE)"</f>
        <v>PARLANTE (BAFLE)</v>
      </c>
      <c r="C15601" s="6">
        <v>7000</v>
      </c>
      <c r="D15601" s="5"/>
      <c r="E15601" s="5" t="str">
        <f t="shared" si="803"/>
        <v>ACTISALUD -  SALA DE MAQUINAS- MAURICIO MARTINEZ-ROBERTO OLIVEROS-LUIS CORREA-JIMMY BUENDIA</v>
      </c>
      <c r="F15601" s="5" t="str">
        <f>"Descripcion: BAFLE PARLANTE EN MADERA Estado: Malo Placa anterior: 000018912 Material: MADERA Color: MARRON Referencia:  Observacion: EL BIEN TIENE PLACA ANTERIOR 000012110. EL FUNCIONARIO AUTORIZA SE CONCILIE CON PLACA NO. 18912 Placa padre: Tipo adquisi"&amp; "cion: Entidad"</f>
        <v>Descripcion: BAFLE PARLANTE EN MADERA Estado: Malo Placa anterior: 000018912 Material: MADERA Color: MARRON Referencia:  Observacion: EL BIEN TIENE PLACA ANTERIOR 000012110. EL FUNCIONARIO AUTORIZA SE CONCILIE CON PLACA NO. 18912 Placa padre: Tipo adquisicion: Entidad</v>
      </c>
      <c r="G15601" s="5"/>
    </row>
    <row r="15602" spans="1:7" ht="58.5" customHeight="1" x14ac:dyDescent="0.25">
      <c r="A15602" s="5" t="str">
        <f>"H0010617"</f>
        <v>H0010617</v>
      </c>
      <c r="B15602" s="5" t="str">
        <f>"COMPRESOR DE AIRE (HERRAMIENTA)"</f>
        <v>COMPRESOR DE AIRE (HERRAMIENTA)</v>
      </c>
      <c r="C15602" s="6">
        <v>62132908</v>
      </c>
      <c r="D15602" s="5"/>
      <c r="E15602" s="5" t="str">
        <f t="shared" si="803"/>
        <v>ACTISALUD -  SALA DE MAQUINAS- MAURICIO MARTINEZ-ROBERTO OLIVEROS-LUIS CORREA-JIMMY BUENDIA</v>
      </c>
      <c r="F15602" s="5" t="str">
        <f>"Descripcion: COMPRESOR DEL AIRE COMPRIMIDO O SECO Estado: Malo Placa anterior: 000021229 Material: ACERO Color: GRIS Referencia:  Observacion: COMPRESOR FUERA DE SERVICIO Placa padre: H0010621Tipo adquisicion: Entidad"</f>
        <v>Descripcion: COMPRESOR DEL AIRE COMPRIMIDO O SECO Estado: Malo Placa anterior: 000021229 Material: ACERO Color: GRIS Referencia:  Observacion: COMPRESOR FUERA DE SERVICIO Placa padre: H0010621Tipo adquisicion: Entidad</v>
      </c>
      <c r="G15602" s="5"/>
    </row>
    <row r="15603" spans="1:7" ht="58.5" customHeight="1" x14ac:dyDescent="0.25">
      <c r="A15603" s="5" t="str">
        <f>"H0010619"</f>
        <v>H0010619</v>
      </c>
      <c r="B15603" s="5" t="str">
        <f>"MOTOR TRIFASICO DE 15HP"</f>
        <v>MOTOR TRIFASICO DE 15HP</v>
      </c>
      <c r="C15603" s="6">
        <v>495000</v>
      </c>
      <c r="D15603" s="5"/>
      <c r="E15603" s="5" t="str">
        <f t="shared" si="803"/>
        <v>ACTISALUD -  SALA DE MAQUINAS- MAURICIO MARTINEZ-ROBERTO OLIVEROS-LUIS CORREA-JIMMY BUENDIA</v>
      </c>
      <c r="F15603" s="5" t="str">
        <f>"Descripcion: MOTOR ELECTRICO Estado: Malo Placa anterior: 000019047 Material: HIERRO Color: GRIS Referencia:  Observacion: EL FUNCIONARIO NO SABE EL ESTADO EXACTO DE MOTOR Placa padre: H0010621Tipo adquisicion: Entidad"</f>
        <v>Descripcion: MOTOR ELECTRICO Estado: Malo Placa anterior: 000019047 Material: HIERRO Color: GRIS Referencia:  Observacion: EL FUNCIONARIO NO SABE EL ESTADO EXACTO DE MOTOR Placa padre: H0010621Tipo adquisicion: Entidad</v>
      </c>
      <c r="G15603" s="5" t="str">
        <f>"1LA7  131-4YA70"</f>
        <v>1LA7  131-4YA70</v>
      </c>
    </row>
    <row r="15604" spans="1:7" ht="58.5" customHeight="1" x14ac:dyDescent="0.25">
      <c r="A15604" s="5" t="str">
        <f>"H0010621"</f>
        <v>H0010621</v>
      </c>
      <c r="B15604" s="5" t="str">
        <f>"RED DE AIRE COMPRIMIDO"</f>
        <v>RED DE AIRE COMPRIMIDO</v>
      </c>
      <c r="C15604" s="6">
        <v>20198788</v>
      </c>
      <c r="D15604" s="5"/>
      <c r="E15604" s="5" t="str">
        <f t="shared" si="803"/>
        <v>ACTISALUD -  SALA DE MAQUINAS- MAURICIO MARTINEZ-ROBERTO OLIVEROS-LUIS CORREA-JIMMY BUENDIA</v>
      </c>
      <c r="F15604" s="5" t="str">
        <f>"Descripcion: CAJA DE CONTROL DE LA RED DE AIRE COMPRIMIDO Estado: Regular Placa anterior: 000021237 Material: METALICO Color: GRIS Referencia:  Observacion: COMPUESTA POR DOS BREKER PRINCIPALES Y DOS AUXILIARES Placa anterior:, Placa nueva=H0010620, Descr"&amp; "ipcion:MOTOR ELECTRICO, Serial:, Marca:SIEMMENS, Modelo:1LA7  131-4YA70, Material:HIERRO, Color:GRIS,   Referencia:, Placa anterior:, Placa nueva=H0010622, Descripcion:TORRE DE PURIFICADOR DE AIRE, Serial:, Marca:HANKISON, Modelo:1912, Material:ACERO, Col"&amp; "or:AZUL,   Referencia:, Placa anterior:, Placa nueva=H0010623, Descripcion:CAJA DE MANDO DE LA TORRE DE PURIFICACION, Serial:, Marca:, Modelo:, Material:METALICO, Color:GRIS,   Referencia:, Placa anterior:, Placa nueva=H0010618, Descripcion:CABEZOTE DE AI"&amp; "RE , Serial:062/0634/02, Marca:RETORCOM VERDICHTER, Modelo:D81.2/I, Material:HIERRO, Color:GRIS,   Referencia:, Placa anterior:000021229, Placa nueva=H0010617, Descripcion:COMPRESOR DEL AIRE COMPRIMIDO O SECO, Serial:034, Marca:PUZKA, Modelo:, Material:AC"&amp; "ERO, Color:GRIS,   Referencia:, Placa anterior:000019047, Placa nueva=H0010619, Descripcion:MOTOR ELECTRICO, Serial:, Marca:SIEMMENS, Modelo:1LA7  131-4YA70, Material:HIERRO, Color:GRIS,   Referencia: Placa padre: Tipo adquisicion: Entidad"</f>
        <v>Descripcion: CAJA DE CONTROL DE LA RED DE AIRE COMPRIMIDO Estado: Regular Placa anterior: 000021237 Material: METALICO Color: GRIS Referencia:  Observacion: COMPUESTA POR DOS BREKER PRINCIPALES Y DOS AUXILIARES Placa anterior:, Placa nueva=H0010620, Descripcion:MOTOR ELECTRICO, Serial:, Marca:SIEMMENS, Modelo:1LA7  131-4YA70, Material:HIERRO, Color:GRIS,   Referencia:, Placa anterior:, Placa nueva=H0010622, Descripcion:TORRE DE PURIFICADOR DE AIRE, Serial:, Marca:HANKISON, Modelo:1912, Material:ACERO, Color:AZUL,   Referencia:, Placa anterior:, Placa nueva=H0010623, Descripcion:CAJA DE MANDO DE LA TORRE DE PURIFICACION, Serial:, Marca:, Modelo:, Material:METALICO, Color:GRIS,   Referencia:, Placa anterior:, Placa nueva=H0010618, Descripcion:CABEZOTE DE AIRE , Serial:062/0634/02, Marca:RETORCOM VERDICHTER, Modelo:D81.2/I, Material:HIERRO, Color:GRIS,   Referencia:, Placa anterior:000021229, Placa nueva=H0010617, Descripcion:COMPRESOR DEL AIRE COMPRIMIDO O SECO, Serial:034, Marca:PUZKA, Modelo:, Material:ACERO, Color:GRIS,   Referencia:, Placa anterior:000019047, Placa nueva=H0010619, Descripcion:MOTOR ELECTRICO, Serial:, Marca:SIEMMENS, Modelo:1LA7  131-4YA70, Material:HIERRO, Color:GRIS,   Referencia: Placa padre: Tipo adquisicion: Entidad</v>
      </c>
      <c r="G15604" s="5"/>
    </row>
    <row r="15605" spans="1:7" ht="58.5" customHeight="1" x14ac:dyDescent="0.25">
      <c r="A15605" s="5" t="str">
        <f>"H0010624"</f>
        <v>H0010624</v>
      </c>
      <c r="B15605" s="5" t="str">
        <f>"MANIFOLD DE 5 VALVULAS (PUESTOS)"</f>
        <v>MANIFOLD DE 5 VALVULAS (PUESTOS)</v>
      </c>
      <c r="C15605" s="6">
        <v>2154909</v>
      </c>
      <c r="D15605" s="5"/>
      <c r="E15605" s="5" t="str">
        <f t="shared" si="803"/>
        <v>ACTISALUD -  SALA DE MAQUINAS- MAURICIO MARTINEZ-ROBERTO OLIVEROS-LUIS CORREA-JIMMY BUENDIA</v>
      </c>
      <c r="F15605" s="5" t="str">
        <f>"Descripcion: MANIFOLD PARA AIRE SIMPLEX DE 5 PUESTOS CONSTA: Estado: Bueno Placa anterior: 000021261 Material: METALICO Color: AMARILLO, VERDE Y NEGRO Referencia:  Observacion:  Placa padre: Tipo adquisicion: Entidad"</f>
        <v>Descripcion: MANIFOLD PARA AIRE SIMPLEX DE 5 PUESTOS CONSTA: Estado: Bueno Placa anterior: 000021261 Material: METALICO Color: AMARILLO, VERDE Y NEGRO Referencia:  Observacion:  Placa padre: Tipo adquisicion: Entidad</v>
      </c>
      <c r="G15605" s="5"/>
    </row>
    <row r="15606" spans="1:7" ht="58.5" customHeight="1" x14ac:dyDescent="0.25">
      <c r="A15606" s="5" t="str">
        <f>"H0010625"</f>
        <v>H0010625</v>
      </c>
      <c r="B15606" s="5" t="str">
        <f>"BOMBA DE VACIO"</f>
        <v>BOMBA DE VACIO</v>
      </c>
      <c r="C15606" s="6">
        <v>5678110.2999999998</v>
      </c>
      <c r="D15606" s="5"/>
      <c r="E15606" s="5" t="str">
        <f t="shared" si="803"/>
        <v>ACTISALUD -  SALA DE MAQUINAS- MAURICIO MARTINEZ-ROBERTO OLIVEROS-LUIS CORREA-JIMMY BUENDIA</v>
      </c>
      <c r="F15606" s="5" t="str">
        <f>"Descripcion: SISTEMA DE VACIO. CAJA DE CONTROL DE MANDO Estado: Bueno Placa anterior: 000012107 Material: METALICO Color: GRIS Referencia:  Observacion:  Placa anterior:, Placa nueva=H0010626, Descripcion:CILINDRO DE CUERPO VERTICAL , Serial:4515, Marca:H"&amp; "EUPEL, Modelo:5902 NETPHEN 2, Material:LAMINA SAE, Color:GRIS,   Referencia:, Placa anterior:, Placa nueva=H0010628, Descripcion:MOTOBOMBA, Serial:2510, Marca:BUSCH VACUUM, Modelo:250-138, Material:ACERO, Color:GRIS,   Referencia:, Placa anterior:, Placa "&amp; "nueva=H0010627, Descripcion:MOTOBOMBA, Serial:2509, Marca:BUSCH VACUUM, Modelo:250-138, Material:ACERO, Color:GRIS,   Referencia: Placa padre: Tipo adquisicion: Entidad"</f>
        <v>Descripcion: SISTEMA DE VACIO. CAJA DE CONTROL DE MANDO Estado: Bueno Placa anterior: 000012107 Material: METALICO Color: GRIS Referencia:  Observacion:  Placa anterior:, Placa nueva=H0010626, Descripcion:CILINDRO DE CUERPO VERTICAL , Serial:4515, Marca:HEUPEL, Modelo:5902 NETPHEN 2, Material:LAMINA SAE, Color:GRIS,   Referencia:, Placa anterior:, Placa nueva=H0010628, Descripcion:MOTOBOMBA, Serial:2510, Marca:BUSCH VACUUM, Modelo:250-138, Material:ACERO, Color:GRIS,   Referencia:, Placa anterior:, Placa nueva=H0010627, Descripcion:MOTOBOMBA, Serial:2509, Marca:BUSCH VACUUM, Modelo:250-138, Material:ACERO, Color:GRIS,   Referencia: Placa padre: Tipo adquisicion: Entidad</v>
      </c>
      <c r="G15606" s="5" t="str">
        <f>"5970477"</f>
        <v>5970477</v>
      </c>
    </row>
    <row r="15607" spans="1:7" ht="58.5" customHeight="1" x14ac:dyDescent="0.25">
      <c r="A15607" s="5" t="str">
        <f>"H0010680"</f>
        <v>H0010680</v>
      </c>
      <c r="B15607" s="5" t="str">
        <f>"LOCKER DE 2 COMPARTIMIENTOS"</f>
        <v>LOCKER DE 2 COMPARTIMIENTOS</v>
      </c>
      <c r="C15607" s="6">
        <v>48720</v>
      </c>
      <c r="D15607" s="5"/>
      <c r="E15607" s="5" t="str">
        <f t="shared" si="803"/>
        <v>ACTISALUD -  SALA DE MAQUINAS- MAURICIO MARTINEZ-ROBERTO OLIVEROS-LUIS CORREA-JIMMY BUENDIA</v>
      </c>
      <c r="F15607" s="5" t="str">
        <f>"Descripcion: LOCKER DE 1 CUERPO, 2 COMPARTIMIENTOS Estado: Bueno Placa anterior: 000001057 Material: METAL Color: GRIS Referencia:  Observacion: EL BIEN TIENE PLACA ANTERIOR 000004798  AUTORIZADO CONCILIAR EN CRUCE GENERAL Placa padre: Tipo adquisicion: E"&amp; "ntidad"</f>
        <v>Descripcion: LOCKER DE 1 CUERPO, 2 COMPARTIMIENTOS Estado: Bueno Placa anterior: 000001057 Material: METAL Color: GRIS Referencia:  Observacion: EL BIEN TIENE PLACA ANTERIOR 000004798  AUTORIZADO CONCILIAR EN CRUCE GENERAL Placa padre: Tipo adquisicion: Entidad</v>
      </c>
      <c r="G15607" s="5"/>
    </row>
    <row r="15608" spans="1:7" ht="58.5" customHeight="1" x14ac:dyDescent="0.25">
      <c r="A15608" s="5" t="str">
        <f>"H0017363"</f>
        <v>H0017363</v>
      </c>
      <c r="B15608" s="5" t="str">
        <f>"CAMA DESCANSO (SOFACAMA)"</f>
        <v>CAMA DESCANSO (SOFACAMA)</v>
      </c>
      <c r="C15608" s="6">
        <v>73150</v>
      </c>
      <c r="D15608" s="5"/>
      <c r="E15608" s="5" t="str">
        <f t="shared" si="803"/>
        <v>ACTISALUD -  SALA DE MAQUINAS- MAURICIO MARTINEZ-ROBERTO OLIVEROS-LUIS CORREA-JIMMY BUENDIA</v>
      </c>
      <c r="F15608" s="5" t="str">
        <f>"Descripcion: TAPIZADO EN CUERO MARRON Estado: Bueno Placa anterior: 000019389 Material: MADERA Color: MARRON Referencia:  Observacion: AUTORIZADO CONCILIAR EN CRUCE GENERAL Placa padre: Tipo adquisicion: Entidad"</f>
        <v>Descripcion: TAPIZADO EN CUERO MARRON Estado: Bueno Placa anterior: 000019389 Material: MADERA Color: MARRON Referencia:  Observacion: AUTORIZADO CONCILIAR EN CRUCE GENERAL Placa padre: Tipo adquisicion: Entidad</v>
      </c>
      <c r="G15608" s="5"/>
    </row>
    <row r="15609" spans="1:7" ht="58.5" customHeight="1" x14ac:dyDescent="0.25">
      <c r="A15609" s="5" t="str">
        <f>"H0017825"</f>
        <v>H0017825</v>
      </c>
      <c r="B15609" s="5" t="str">
        <f>"EXTINTOR POLVO QUIMICO SECO DE 20LBS ABC"</f>
        <v>EXTINTOR POLVO QUIMICO SECO DE 20LBS ABC</v>
      </c>
      <c r="C15609" s="6">
        <v>32277.78</v>
      </c>
      <c r="D15609" s="5"/>
      <c r="E15609" s="5" t="str">
        <f t="shared" si="803"/>
        <v>ACTISALUD -  SALA DE MAQUINAS- MAURICIO MARTINEZ-ROBERTO OLIVEROS-LUIS CORREA-JIMMY BUENDIA</v>
      </c>
      <c r="F15609" s="5" t="str">
        <f>"Descripcion: EXTINTOR DE 20 LIBRAS Estado: Bueno Placa anterior: 000012127 Material: ACERO Color: ROJO Referencia:  Observacion:  Placa padre: Tipo adquisicion: Entidad"</f>
        <v>Descripcion: EXTINTOR DE 20 LIBRAS Estado: Bueno Placa anterior: 000012127 Material: ACERO Color: ROJO Referencia:  Observacion:  Placa padre: Tipo adquisicion: Entidad</v>
      </c>
      <c r="G15609" s="5"/>
    </row>
    <row r="15610" spans="1:7" ht="58.5" customHeight="1" x14ac:dyDescent="0.25">
      <c r="A15610" s="5" t="str">
        <f>"H0017827"</f>
        <v>H0017827</v>
      </c>
      <c r="B15610" s="5" t="str">
        <f>"EXTINTOR POLVO QUIMICO SECO DE 20LBS ABC"</f>
        <v>EXTINTOR POLVO QUIMICO SECO DE 20LBS ABC</v>
      </c>
      <c r="C15610" s="6">
        <v>12000</v>
      </c>
      <c r="D15610" s="5"/>
      <c r="E15610" s="5" t="str">
        <f t="shared" si="803"/>
        <v>ACTISALUD -  SALA DE MAQUINAS- MAURICIO MARTINEZ-ROBERTO OLIVEROS-LUIS CORREA-JIMMY BUENDIA</v>
      </c>
      <c r="F15610" s="5" t="str">
        <f>"Descripcion: EXTINTOR DE 20 LIBRAS Estado: Bueno Placa anterior: 000014408 Material: ACERO Color: ROJO Referencia:  Observacion:  Placa padre: Tipo adquisicion: Entidad"</f>
        <v>Descripcion: EXTINTOR DE 20 LIBRAS Estado: Bueno Placa anterior: 000014408 Material: ACERO Color: ROJO Referencia:  Observacion:  Placa padre: Tipo adquisicion: Entidad</v>
      </c>
      <c r="G15610" s="5"/>
    </row>
    <row r="15611" spans="1:7" ht="58.5" customHeight="1" x14ac:dyDescent="0.25">
      <c r="A15611" s="5" t="str">
        <f>"H0017835"</f>
        <v>H0017835</v>
      </c>
      <c r="B15611" s="5" t="str">
        <f>"PORRA"</f>
        <v>PORRA</v>
      </c>
      <c r="C15611" s="6">
        <v>16000</v>
      </c>
      <c r="D15611" s="5"/>
      <c r="E15611" s="5" t="str">
        <f t="shared" si="803"/>
        <v>ACTISALUD -  SALA DE MAQUINAS- MAURICIO MARTINEZ-ROBERTO OLIVEROS-LUIS CORREA-JIMMY BUENDIA</v>
      </c>
      <c r="F15611" s="5" t="str">
        <f>"Descripcion: PORRA MEDIANA Estado: Bueno Placa anterior: 000019138 Material: HIERRO Color: GRIS Referencia:  Observacion:  Placa padre: Tipo adquisicion: Entidad"</f>
        <v>Descripcion: PORRA MEDIANA Estado: Bueno Placa anterior: 000019138 Material: HIERRO Color: GRIS Referencia:  Observacion:  Placa padre: Tipo adquisicion: Entidad</v>
      </c>
      <c r="G15611" s="5"/>
    </row>
    <row r="15612" spans="1:7" ht="58.5" customHeight="1" x14ac:dyDescent="0.25">
      <c r="A15612" s="5" t="str">
        <f>"H0017837"</f>
        <v>H0017837</v>
      </c>
      <c r="B15612" s="5" t="str">
        <f>"PRENSA DE BANCO"</f>
        <v>PRENSA DE BANCO</v>
      </c>
      <c r="C15612" s="6">
        <v>2928.1</v>
      </c>
      <c r="D15612" s="5"/>
      <c r="E15612" s="5" t="str">
        <f t="shared" si="803"/>
        <v>ACTISALUD -  SALA DE MAQUINAS- MAURICIO MARTINEZ-ROBERTO OLIVEROS-LUIS CORREA-JIMMY BUENDIA</v>
      </c>
      <c r="F15612" s="5" t="str">
        <f>"Descripcion: PRENSA TUBO Estado: Bueno Placa anterior: 000019051 Material: HIERRO Color: ROJO Referencia: TRIS TAND Observacion:  Placa padre: Tipo adquisicion: Entidad"</f>
        <v>Descripcion: PRENSA TUBO Estado: Bueno Placa anterior: 000019051 Material: HIERRO Color: ROJO Referencia: TRIS TAND Observacion:  Placa padre: Tipo adquisicion: Entidad</v>
      </c>
      <c r="G15612" s="5" t="str">
        <f>"460"</f>
        <v>460</v>
      </c>
    </row>
    <row r="15613" spans="1:7" ht="58.5" customHeight="1" x14ac:dyDescent="0.25">
      <c r="A15613" s="5" t="str">
        <f>"H0017839"</f>
        <v>H0017839</v>
      </c>
      <c r="B15613" s="5" t="str">
        <f>"ASCENSORES MONTACAMILLAS"</f>
        <v>ASCENSORES MONTACAMILLAS</v>
      </c>
      <c r="C15613" s="6">
        <v>6969535</v>
      </c>
      <c r="D15613" s="5"/>
      <c r="E15613" s="5" t="str">
        <f t="shared" si="803"/>
        <v>ACTISALUD -  SALA DE MAQUINAS- MAURICIO MARTINEZ-ROBERTO OLIVEROS-LUIS CORREA-JIMMY BUENDIA</v>
      </c>
      <c r="F15613" s="5" t="str">
        <f>"Descripcion: ASCENSORES MONTACAMILLAS Estado: Bueno Placa anterior: 000019057 Material: ACERO Color: GRIS Referencia:  Observacion:  Placa padre: Tipo adquisicion: Entidad"</f>
        <v>Descripcion: ASCENSORES MONTACAMILLAS Estado: Bueno Placa anterior: 000019057 Material: ACERO Color: GRIS Referencia:  Observacion:  Placa padre: Tipo adquisicion: Entidad</v>
      </c>
      <c r="G15613" s="5"/>
    </row>
    <row r="15614" spans="1:7" ht="58.5" customHeight="1" x14ac:dyDescent="0.25">
      <c r="A15614" s="5" t="str">
        <f>"H0017840"</f>
        <v>H0017840</v>
      </c>
      <c r="B15614" s="5" t="str">
        <f>"ASCENSORES MONTACAMILLAS"</f>
        <v>ASCENSORES MONTACAMILLAS</v>
      </c>
      <c r="C15614" s="6">
        <v>6969535</v>
      </c>
      <c r="D15614" s="5"/>
      <c r="E15614" s="5" t="str">
        <f t="shared" si="803"/>
        <v>ACTISALUD -  SALA DE MAQUINAS- MAURICIO MARTINEZ-ROBERTO OLIVEROS-LUIS CORREA-JIMMY BUENDIA</v>
      </c>
      <c r="F15614" s="5" t="str">
        <f>"Descripcion: ASCENSORES MONTACAMILLAS Estado: Bueno Placa anterior: 000019058 Material: ACERO Color: GRIS Referencia:  Observacion:  Placa padre: Tipo adquisicion: Entidad"</f>
        <v>Descripcion: ASCENSORES MONTACAMILLAS Estado: Bueno Placa anterior: 000019058 Material: ACERO Color: GRIS Referencia:  Observacion:  Placa padre: Tipo adquisicion: Entidad</v>
      </c>
      <c r="G15614" s="5"/>
    </row>
    <row r="15615" spans="1:7" ht="58.5" customHeight="1" x14ac:dyDescent="0.25">
      <c r="A15615" s="5" t="str">
        <f>"H0017841"</f>
        <v>H0017841</v>
      </c>
      <c r="B15615" s="5" t="str">
        <f>"ASCENSORES MONTACAMILLAS"</f>
        <v>ASCENSORES MONTACAMILLAS</v>
      </c>
      <c r="C15615" s="6">
        <v>6969535</v>
      </c>
      <c r="D15615" s="5"/>
      <c r="E15615" s="5" t="str">
        <f t="shared" si="803"/>
        <v>ACTISALUD -  SALA DE MAQUINAS- MAURICIO MARTINEZ-ROBERTO OLIVEROS-LUIS CORREA-JIMMY BUENDIA</v>
      </c>
      <c r="F15615" s="5" t="str">
        <f>"Descripcion: ASCENSORES MONTACAMILLAS Estado: Bueno Placa anterior: 000019059 Material: ACERO Color: GRIS Referencia:  Observacion:  Placa padre: Tipo adquisicion: Entidad"</f>
        <v>Descripcion: ASCENSORES MONTACAMILLAS Estado: Bueno Placa anterior: 000019059 Material: ACERO Color: GRIS Referencia:  Observacion:  Placa padre: Tipo adquisicion: Entidad</v>
      </c>
      <c r="G15615" s="5"/>
    </row>
    <row r="15616" spans="1:7" ht="58.5" customHeight="1" x14ac:dyDescent="0.25">
      <c r="A15616" s="5" t="str">
        <f>"H0017842"</f>
        <v>H0017842</v>
      </c>
      <c r="B15616" s="5" t="str">
        <f>"ASCENSORES MONTACAMILLAS"</f>
        <v>ASCENSORES MONTACAMILLAS</v>
      </c>
      <c r="C15616" s="6">
        <v>6969535</v>
      </c>
      <c r="D15616" s="5"/>
      <c r="E15616" s="5" t="str">
        <f t="shared" ref="E15616:E15652" si="804">"ACTISALUD -  SALA DE MAQUINAS- MAURICIO MARTINEZ-ROBERTO OLIVEROS-LUIS CORREA-JIMMY BUENDIA"</f>
        <v>ACTISALUD -  SALA DE MAQUINAS- MAURICIO MARTINEZ-ROBERTO OLIVEROS-LUIS CORREA-JIMMY BUENDIA</v>
      </c>
      <c r="F15616" s="5" t="str">
        <f>"Descripcion: ASCENSORES MONTACAMILLAS Estado: Bueno Placa anterior: 000019060 Material: ACERO Color: GRIS Referencia:  Observacion:  Placa padre: Tipo adquisicion: Entidad"</f>
        <v>Descripcion: ASCENSORES MONTACAMILLAS Estado: Bueno Placa anterior: 000019060 Material: ACERO Color: GRIS Referencia:  Observacion:  Placa padre: Tipo adquisicion: Entidad</v>
      </c>
      <c r="G15616" s="5"/>
    </row>
    <row r="15617" spans="1:7" ht="58.5" customHeight="1" x14ac:dyDescent="0.25">
      <c r="A15617" s="5" t="str">
        <f>"H0017845"</f>
        <v>H0017845</v>
      </c>
      <c r="B15617" s="5" t="str">
        <f>"LLAVE DE TUBO (STILLSON) (BOCA AJUSTABLE)"</f>
        <v>LLAVE DE TUBO (STILLSON) (BOCA AJUSTABLE)</v>
      </c>
      <c r="C15617" s="6">
        <v>11890</v>
      </c>
      <c r="D15617" s="5"/>
      <c r="E15617" s="5" t="str">
        <f t="shared" si="804"/>
        <v>ACTISALUD -  SALA DE MAQUINAS- MAURICIO MARTINEZ-ROBERTO OLIVEROS-LUIS CORREA-JIMMY BUENDIA</v>
      </c>
      <c r="F15617" s="5" t="str">
        <f>"Descripcion: LLAVE DE TUBO DE 24  Estado: Bueno Placa anterior: 000019015 Material: HIERRO Color: ROJO Referencia:  Observacion:  Placa padre: Tipo adquisicion: Entidad"</f>
        <v>Descripcion: LLAVE DE TUBO DE 24  Estado: Bueno Placa anterior: 000019015 Material: HIERRO Color: ROJO Referencia:  Observacion:  Placa padre: Tipo adquisicion: Entidad</v>
      </c>
      <c r="G15617" s="5"/>
    </row>
    <row r="15618" spans="1:7" ht="58.5" customHeight="1" x14ac:dyDescent="0.25">
      <c r="A15618" s="5" t="str">
        <f>"H0017846"</f>
        <v>H0017846</v>
      </c>
      <c r="B15618" s="5" t="str">
        <f>"LLAVE DE TUBO (STILLSON) (BOCA AJUSTABLE)"</f>
        <v>LLAVE DE TUBO (STILLSON) (BOCA AJUSTABLE)</v>
      </c>
      <c r="C15618" s="6">
        <v>11890</v>
      </c>
      <c r="D15618" s="5"/>
      <c r="E15618" s="5" t="str">
        <f t="shared" si="804"/>
        <v>ACTISALUD -  SALA DE MAQUINAS- MAURICIO MARTINEZ-ROBERTO OLIVEROS-LUIS CORREA-JIMMY BUENDIA</v>
      </c>
      <c r="F15618" s="5" t="str">
        <f>"Descripcion: LLAVE DE TUBO DE 24  Estado: Bueno Placa anterior: 000019016 Material: HIERRO  Color: ROJO Referencia:  Observacion:  Placa padre: Tipo adquisicion: Entidad"</f>
        <v>Descripcion: LLAVE DE TUBO DE 24  Estado: Bueno Placa anterior: 000019016 Material: HIERRO  Color: ROJO Referencia:  Observacion:  Placa padre: Tipo adquisicion: Entidad</v>
      </c>
      <c r="G15618" s="5"/>
    </row>
    <row r="15619" spans="1:7" ht="58.5" customHeight="1" x14ac:dyDescent="0.25">
      <c r="A15619" s="5" t="str">
        <f>"H0017847"</f>
        <v>H0017847</v>
      </c>
      <c r="B15619" s="5" t="str">
        <f>"LLAVE DE TUBO (STILLSON) (BOCA AJUSTABLE)"</f>
        <v>LLAVE DE TUBO (STILLSON) (BOCA AJUSTABLE)</v>
      </c>
      <c r="C15619" s="6">
        <v>11890</v>
      </c>
      <c r="D15619" s="5"/>
      <c r="E15619" s="5" t="str">
        <f t="shared" si="804"/>
        <v>ACTISALUD -  SALA DE MAQUINAS- MAURICIO MARTINEZ-ROBERTO OLIVEROS-LUIS CORREA-JIMMY BUENDIA</v>
      </c>
      <c r="F15619" s="5" t="str">
        <f>"Descripcion: LLAVE DE TUBO DE 18  Estado: Bueno Placa anterior: 000019017 Material: HIERRO  Color: ROJO Referencia:  Observacion:  Placa padre: Tipo adquisicion: Entidad"</f>
        <v>Descripcion: LLAVE DE TUBO DE 18  Estado: Bueno Placa anterior: 000019017 Material: HIERRO  Color: ROJO Referencia:  Observacion:  Placa padre: Tipo adquisicion: Entidad</v>
      </c>
      <c r="G15619" s="5"/>
    </row>
    <row r="15620" spans="1:7" ht="58.5" customHeight="1" x14ac:dyDescent="0.25">
      <c r="A15620" s="5" t="str">
        <f>"H0017848"</f>
        <v>H0017848</v>
      </c>
      <c r="B15620" s="5" t="str">
        <f>"LLAVE DE TUBO #10''"</f>
        <v>LLAVE DE TUBO #10''</v>
      </c>
      <c r="C15620" s="6">
        <v>11890</v>
      </c>
      <c r="D15620" s="5"/>
      <c r="E15620" s="5" t="str">
        <f t="shared" si="804"/>
        <v>ACTISALUD -  SALA DE MAQUINAS- MAURICIO MARTINEZ-ROBERTO OLIVEROS-LUIS CORREA-JIMMY BUENDIA</v>
      </c>
      <c r="F15620" s="5" t="str">
        <f>"Descripcion: LLAVE DE TUBO DE 10  Estado: Bueno Placa anterior: 000019018 Material: HIERRO Color: ROJO Referencia:  Observacion:  Placa padre: Tipo adquisicion: Entidad"</f>
        <v>Descripcion: LLAVE DE TUBO DE 10  Estado: Bueno Placa anterior: 000019018 Material: HIERRO Color: ROJO Referencia:  Observacion:  Placa padre: Tipo adquisicion: Entidad</v>
      </c>
      <c r="G15620" s="5"/>
    </row>
    <row r="15621" spans="1:7" ht="58.5" customHeight="1" x14ac:dyDescent="0.25">
      <c r="A15621" s="5" t="str">
        <f>"H0017849"</f>
        <v>H0017849</v>
      </c>
      <c r="B15621" s="5" t="str">
        <f>"LLAVE DE TUBO #10''"</f>
        <v>LLAVE DE TUBO #10''</v>
      </c>
      <c r="C15621" s="6">
        <v>11890</v>
      </c>
      <c r="D15621" s="5"/>
      <c r="E15621" s="5" t="str">
        <f t="shared" si="804"/>
        <v>ACTISALUD -  SALA DE MAQUINAS- MAURICIO MARTINEZ-ROBERTO OLIVEROS-LUIS CORREA-JIMMY BUENDIA</v>
      </c>
      <c r="F15621" s="5" t="str">
        <f>"Descripcion: LLAVE DE TUBO 10  Estado: Bueno Placa anterior: 000019020 Material: ACERO Color: ROJO Referencia:  Observacion:  Placa padre: Tipo adquisicion: Entidad"</f>
        <v>Descripcion: LLAVE DE TUBO 10  Estado: Bueno Placa anterior: 000019020 Material: ACERO Color: ROJO Referencia:  Observacion:  Placa padre: Tipo adquisicion: Entidad</v>
      </c>
      <c r="G15621" s="5"/>
    </row>
    <row r="15622" spans="1:7" ht="58.5" customHeight="1" x14ac:dyDescent="0.25">
      <c r="A15622" s="5" t="str">
        <f>"H0017850"</f>
        <v>H0017850</v>
      </c>
      <c r="B15622" s="5" t="str">
        <f>"LLAVE DE TUBO #10''"</f>
        <v>LLAVE DE TUBO #10''</v>
      </c>
      <c r="C15622" s="6">
        <v>35037.199999999997</v>
      </c>
      <c r="D15622" s="5"/>
      <c r="E15622" s="5" t="str">
        <f t="shared" si="804"/>
        <v>ACTISALUD -  SALA DE MAQUINAS- MAURICIO MARTINEZ-ROBERTO OLIVEROS-LUIS CORREA-JIMMY BUENDIA</v>
      </c>
      <c r="F15622" s="5" t="str">
        <f>"Descripcion: LLAVE DE EXPANSION  10  Estado: Bueno Placa anterior: 000019012 Material: ACERO Color: GRIS Referencia:  Observacion:  Placa padre: Tipo adquisicion: Entidad"</f>
        <v>Descripcion: LLAVE DE EXPANSION  10  Estado: Bueno Placa anterior: 000019012 Material: ACERO Color: GRIS Referencia:  Observacion:  Placa padre: Tipo adquisicion: Entidad</v>
      </c>
      <c r="G15622" s="5"/>
    </row>
    <row r="15623" spans="1:7" ht="58.5" customHeight="1" x14ac:dyDescent="0.25">
      <c r="A15623" s="5" t="str">
        <f>"H0017851"</f>
        <v>H0017851</v>
      </c>
      <c r="B15623" s="5" t="str">
        <f>"LLAVE DE EXPANSION"</f>
        <v>LLAVE DE EXPANSION</v>
      </c>
      <c r="C15623" s="6">
        <v>35037.199999999997</v>
      </c>
      <c r="D15623" s="5"/>
      <c r="E15623" s="5" t="str">
        <f t="shared" si="804"/>
        <v>ACTISALUD -  SALA DE MAQUINAS- MAURICIO MARTINEZ-ROBERTO OLIVEROS-LUIS CORREA-JIMMY BUENDIA</v>
      </c>
      <c r="F15623" s="5" t="str">
        <f>"Descripcion: LLAVE DE EXPANSION 8  Estado: Bueno Placa anterior: 000019013 Material: ACERO Color: GRIS Referencia:  Observacion:  Placa padre: Tipo adquisicion: Entidad"</f>
        <v>Descripcion: LLAVE DE EXPANSION 8  Estado: Bueno Placa anterior: 000019013 Material: ACERO Color: GRIS Referencia:  Observacion:  Placa padre: Tipo adquisicion: Entidad</v>
      </c>
      <c r="G15623" s="5"/>
    </row>
    <row r="15624" spans="1:7" ht="58.5" customHeight="1" x14ac:dyDescent="0.25">
      <c r="A15624" s="5" t="str">
        <f>"H0017852"</f>
        <v>H0017852</v>
      </c>
      <c r="B15624" s="5" t="str">
        <f>"LLAVE DE TUBO #10''"</f>
        <v>LLAVE DE TUBO #10''</v>
      </c>
      <c r="C15624" s="6">
        <v>34239.5</v>
      </c>
      <c r="D15624" s="5"/>
      <c r="E15624" s="5" t="str">
        <f t="shared" si="804"/>
        <v>ACTISALUD -  SALA DE MAQUINAS- MAURICIO MARTINEZ-ROBERTO OLIVEROS-LUIS CORREA-JIMMY BUENDIA</v>
      </c>
      <c r="F15624" s="5" t="str">
        <f>"Descripcion:  LLAVE DE TUBO 10   Estado: Bueno Placa anterior: 000018992 Material: HIERRO Color: ROJO Referencia:  Observacion:  Placa padre: Tipo adquisicion: Entidad"</f>
        <v>Descripcion:  LLAVE DE TUBO 10   Estado: Bueno Placa anterior: 000018992 Material: HIERRO Color: ROJO Referencia:  Observacion:  Placa padre: Tipo adquisicion: Entidad</v>
      </c>
      <c r="G15624" s="5"/>
    </row>
    <row r="15625" spans="1:7" ht="58.5" customHeight="1" x14ac:dyDescent="0.25">
      <c r="A15625" s="5" t="str">
        <f>"H0017853"</f>
        <v>H0017853</v>
      </c>
      <c r="B15625" s="5" t="str">
        <f>"ALICATE**"</f>
        <v>ALICATE**</v>
      </c>
      <c r="C15625" s="6">
        <v>33675.5</v>
      </c>
      <c r="D15625" s="5"/>
      <c r="E15625" s="5" t="str">
        <f t="shared" si="804"/>
        <v>ACTISALUD -  SALA DE MAQUINAS- MAURICIO MARTINEZ-ROBERTO OLIVEROS-LUIS CORREA-JIMMY BUENDIA</v>
      </c>
      <c r="F15625" s="5" t="str">
        <f>"Descripcion: ALICATE Estado: Bueno Placa anterior: 000018979 Material: ACERO Color: GRIS Referencia:  Observacion:  Placa padre: Tipo adquisicion: Entidad"</f>
        <v>Descripcion: ALICATE Estado: Bueno Placa anterior: 000018979 Material: ACERO Color: GRIS Referencia:  Observacion:  Placa padre: Tipo adquisicion: Entidad</v>
      </c>
      <c r="G15625" s="5"/>
    </row>
    <row r="15626" spans="1:7" ht="58.5" customHeight="1" x14ac:dyDescent="0.25">
      <c r="A15626" s="5" t="str">
        <f>"H0017854"</f>
        <v>H0017854</v>
      </c>
      <c r="B15626" s="5" t="str">
        <f>"ALICATE**"</f>
        <v>ALICATE**</v>
      </c>
      <c r="C15626" s="6">
        <v>21999</v>
      </c>
      <c r="D15626" s="5"/>
      <c r="E15626" s="5" t="str">
        <f t="shared" si="804"/>
        <v>ACTISALUD -  SALA DE MAQUINAS- MAURICIO MARTINEZ-ROBERTO OLIVEROS-LUIS CORREA-JIMMY BUENDIA</v>
      </c>
      <c r="F15626" s="5" t="str">
        <f>"Descripcion: ALICATE Estado: Bueno Placa anterior: 000024943 Material: ACERO Color: GRIS Referencia:  Observacion:  Placa padre: Tipo adquisicion: Entidad"</f>
        <v>Descripcion: ALICATE Estado: Bueno Placa anterior: 000024943 Material: ACERO Color: GRIS Referencia:  Observacion:  Placa padre: Tipo adquisicion: Entidad</v>
      </c>
      <c r="G15626" s="5"/>
    </row>
    <row r="15627" spans="1:7" ht="58.5" customHeight="1" x14ac:dyDescent="0.25">
      <c r="A15627" s="5" t="str">
        <f>"H0017855"</f>
        <v>H0017855</v>
      </c>
      <c r="B15627" s="5" t="str">
        <f t="shared" ref="B15627:B15633" si="805">"JUEGO DE COPAS CON RACHE (CARRACA)"</f>
        <v>JUEGO DE COPAS CON RACHE (CARRACA)</v>
      </c>
      <c r="C15627" s="6">
        <v>110000</v>
      </c>
      <c r="D15627" s="5"/>
      <c r="E15627" s="5" t="str">
        <f t="shared" si="804"/>
        <v>ACTISALUD -  SALA DE MAQUINAS- MAURICIO MARTINEZ-ROBERTO OLIVEROS-LUIS CORREA-JIMMY BUENDIA</v>
      </c>
      <c r="F15627" s="5" t="str">
        <f>"Descripcion: LLAVES DE COPA CON 13 COPAS Estado: Bueno Placa anterior: 000019125 Material: ACERO Color: GRIS Referencia:  Observacion:  Placa padre: Tipo adquisicion: Entidad"</f>
        <v>Descripcion: LLAVES DE COPA CON 13 COPAS Estado: Bueno Placa anterior: 000019125 Material: ACERO Color: GRIS Referencia:  Observacion:  Placa padre: Tipo adquisicion: Entidad</v>
      </c>
      <c r="G15627" s="5"/>
    </row>
    <row r="15628" spans="1:7" ht="58.5" customHeight="1" x14ac:dyDescent="0.25">
      <c r="A15628" s="5" t="str">
        <f>"H0017856"</f>
        <v>H0017856</v>
      </c>
      <c r="B15628" s="5" t="str">
        <f t="shared" si="805"/>
        <v>JUEGO DE COPAS CON RACHE (CARRACA)</v>
      </c>
      <c r="C15628" s="6">
        <v>110000</v>
      </c>
      <c r="D15628" s="5"/>
      <c r="E15628" s="5" t="str">
        <f t="shared" si="804"/>
        <v>ACTISALUD -  SALA DE MAQUINAS- MAURICIO MARTINEZ-ROBERTO OLIVEROS-LUIS CORREA-JIMMY BUENDIA</v>
      </c>
      <c r="F15628" s="5" t="str">
        <f>"Descripcion: LLAVES DE COPA 13 COPAS Estado: Bueno Placa anterior: 000019126 Material: ACERO Color: GRIS Referencia:  Observacion:  Placa padre: Tipo adquisicion: Entidad"</f>
        <v>Descripcion: LLAVES DE COPA 13 COPAS Estado: Bueno Placa anterior: 000019126 Material: ACERO Color: GRIS Referencia:  Observacion:  Placa padre: Tipo adquisicion: Entidad</v>
      </c>
      <c r="G15628" s="5"/>
    </row>
    <row r="15629" spans="1:7" ht="58.5" customHeight="1" x14ac:dyDescent="0.25">
      <c r="A15629" s="5" t="str">
        <f>"H0017857"</f>
        <v>H0017857</v>
      </c>
      <c r="B15629" s="5" t="str">
        <f t="shared" si="805"/>
        <v>JUEGO DE COPAS CON RACHE (CARRACA)</v>
      </c>
      <c r="C15629" s="6">
        <v>130000</v>
      </c>
      <c r="D15629" s="5"/>
      <c r="E15629" s="5" t="str">
        <f t="shared" si="804"/>
        <v>ACTISALUD -  SALA DE MAQUINAS- MAURICIO MARTINEZ-ROBERTO OLIVEROS-LUIS CORREA-JIMMY BUENDIA</v>
      </c>
      <c r="F15629" s="5" t="str">
        <f>"Descripcion: LLAVES DE COPA 10 COPAS Estado: Bueno Placa anterior: 000019127 Material: ACERO Color: GRIS Referencia:  Observacion:  Placa padre: Tipo adquisicion: Entidad"</f>
        <v>Descripcion: LLAVES DE COPA 10 COPAS Estado: Bueno Placa anterior: 000019127 Material: ACERO Color: GRIS Referencia:  Observacion:  Placa padre: Tipo adquisicion: Entidad</v>
      </c>
      <c r="G15629" s="5"/>
    </row>
    <row r="15630" spans="1:7" ht="58.5" customHeight="1" x14ac:dyDescent="0.25">
      <c r="A15630" s="5" t="str">
        <f>"H0017858"</f>
        <v>H0017858</v>
      </c>
      <c r="B15630" s="5" t="str">
        <f t="shared" si="805"/>
        <v>JUEGO DE COPAS CON RACHE (CARRACA)</v>
      </c>
      <c r="C15630" s="6">
        <v>148500</v>
      </c>
      <c r="D15630" s="5"/>
      <c r="E15630" s="5" t="str">
        <f t="shared" si="804"/>
        <v>ACTISALUD -  SALA DE MAQUINAS- MAURICIO MARTINEZ-ROBERTO OLIVEROS-LUIS CORREA-JIMMY BUENDIA</v>
      </c>
      <c r="F15630" s="5" t="str">
        <f>"Descripcion: LLAVES DE COPA CON 10 COPAS Estado: Bueno Placa anterior: 000019128 Material: ACERO Color: GRIS Referencia:  Observacion:  Placa padre: Tipo adquisicion: Entidad"</f>
        <v>Descripcion: LLAVES DE COPA CON 10 COPAS Estado: Bueno Placa anterior: 000019128 Material: ACERO Color: GRIS Referencia:  Observacion:  Placa padre: Tipo adquisicion: Entidad</v>
      </c>
      <c r="G15630" s="5"/>
    </row>
    <row r="15631" spans="1:7" ht="58.5" customHeight="1" x14ac:dyDescent="0.25">
      <c r="A15631" s="5" t="str">
        <f>"H0017859"</f>
        <v>H0017859</v>
      </c>
      <c r="B15631" s="5" t="str">
        <f t="shared" si="805"/>
        <v>JUEGO DE COPAS CON RACHE (CARRACA)</v>
      </c>
      <c r="C15631" s="6">
        <v>120000</v>
      </c>
      <c r="D15631" s="5"/>
      <c r="E15631" s="5" t="str">
        <f t="shared" si="804"/>
        <v>ACTISALUD -  SALA DE MAQUINAS- MAURICIO MARTINEZ-ROBERTO OLIVEROS-LUIS CORREA-JIMMY BUENDIA</v>
      </c>
      <c r="F15631" s="5" t="str">
        <f>"Descripcion: LLAVES DE COPA CON 12 COPAS Estado: Bueno Placa anterior: 000019129 Material: ACERO Color: GRIS Referencia:  Observacion:  Placa padre: Tipo adquisicion: Entidad"</f>
        <v>Descripcion: LLAVES DE COPA CON 12 COPAS Estado: Bueno Placa anterior: 000019129 Material: ACERO Color: GRIS Referencia:  Observacion:  Placa padre: Tipo adquisicion: Entidad</v>
      </c>
      <c r="G15631" s="5"/>
    </row>
    <row r="15632" spans="1:7" ht="58.5" customHeight="1" x14ac:dyDescent="0.25">
      <c r="A15632" s="5" t="str">
        <f>"H0017860"</f>
        <v>H0017860</v>
      </c>
      <c r="B15632" s="5" t="str">
        <f t="shared" si="805"/>
        <v>JUEGO DE COPAS CON RACHE (CARRACA)</v>
      </c>
      <c r="C15632" s="6">
        <v>148500</v>
      </c>
      <c r="D15632" s="5"/>
      <c r="E15632" s="5" t="str">
        <f t="shared" si="804"/>
        <v>ACTISALUD -  SALA DE MAQUINAS- MAURICIO MARTINEZ-ROBERTO OLIVEROS-LUIS CORREA-JIMMY BUENDIA</v>
      </c>
      <c r="F15632" s="5" t="str">
        <f>"Descripcion: LLAVES DE COPA CON 12 COPAS Estado: Bueno Placa anterior: 000019130 Material: ACERO Color: GRIS Referencia:  Observacion:  Placa padre: Tipo adquisicion: Entidad"</f>
        <v>Descripcion: LLAVES DE COPA CON 12 COPAS Estado: Bueno Placa anterior: 000019130 Material: ACERO Color: GRIS Referencia:  Observacion:  Placa padre: Tipo adquisicion: Entidad</v>
      </c>
      <c r="G15632" s="5"/>
    </row>
    <row r="15633" spans="1:7" ht="58.5" customHeight="1" x14ac:dyDescent="0.25">
      <c r="A15633" s="5" t="str">
        <f>"H0017861"</f>
        <v>H0017861</v>
      </c>
      <c r="B15633" s="5" t="str">
        <f t="shared" si="805"/>
        <v>JUEGO DE COPAS CON RACHE (CARRACA)</v>
      </c>
      <c r="C15633" s="6">
        <v>127000</v>
      </c>
      <c r="D15633" s="5"/>
      <c r="E15633" s="5" t="str">
        <f t="shared" si="804"/>
        <v>ACTISALUD -  SALA DE MAQUINAS- MAURICIO MARTINEZ-ROBERTO OLIVEROS-LUIS CORREA-JIMMY BUENDIA</v>
      </c>
      <c r="F15633" s="5" t="str">
        <f>"Descripcion: LLAVES DE COPA CON 10 COPAS Estado: Bueno Placa anterior: 000019131 Material: ACERO Color: GRIS Referencia:  Observacion:  Placa padre: Tipo adquisicion: Entidad"</f>
        <v>Descripcion: LLAVES DE COPA CON 10 COPAS Estado: Bueno Placa anterior: 000019131 Material: ACERO Color: GRIS Referencia:  Observacion:  Placa padre: Tipo adquisicion: Entidad</v>
      </c>
      <c r="G15633" s="5"/>
    </row>
    <row r="15634" spans="1:7" ht="58.5" customHeight="1" x14ac:dyDescent="0.25">
      <c r="A15634" s="5" t="str">
        <f>"H0017862"</f>
        <v>H0017862</v>
      </c>
      <c r="B15634" s="5" t="str">
        <f>"CALIBRADOR (PIE DE REY)"</f>
        <v>CALIBRADOR (PIE DE REY)</v>
      </c>
      <c r="C15634" s="6">
        <v>47000</v>
      </c>
      <c r="D15634" s="5"/>
      <c r="E15634" s="5" t="str">
        <f t="shared" si="804"/>
        <v>ACTISALUD -  SALA DE MAQUINAS- MAURICIO MARTINEZ-ROBERTO OLIVEROS-LUIS CORREA-JIMMY BUENDIA</v>
      </c>
      <c r="F15634" s="5" t="str">
        <f>"Descripcion: CALIBRADOR DE PIE DE REY Estado: Bueno Placa anterior: 000019141 Material: ACERO Color: GRIS Referencia:  Observacion:  Placa padre: Tipo adquisicion: Entidad"</f>
        <v>Descripcion: CALIBRADOR DE PIE DE REY Estado: Bueno Placa anterior: 000019141 Material: ACERO Color: GRIS Referencia:  Observacion:  Placa padre: Tipo adquisicion: Entidad</v>
      </c>
      <c r="G15634" s="5"/>
    </row>
    <row r="15635" spans="1:7" ht="58.5" customHeight="1" x14ac:dyDescent="0.25">
      <c r="A15635" s="5" t="str">
        <f>"H0017863"</f>
        <v>H0017863</v>
      </c>
      <c r="B15635" s="5" t="str">
        <f>"DESTORNILLADOR (ATORNILLADOR)"</f>
        <v>DESTORNILLADOR (ATORNILLADOR)</v>
      </c>
      <c r="C15635" s="6">
        <v>22499</v>
      </c>
      <c r="D15635" s="5"/>
      <c r="E15635" s="5" t="str">
        <f t="shared" si="804"/>
        <v>ACTISALUD -  SALA DE MAQUINAS- MAURICIO MARTINEZ-ROBERTO OLIVEROS-LUIS CORREA-JIMMY BUENDIA</v>
      </c>
      <c r="F15635" s="5" t="str">
        <f>"Descripcion: DESTORNILLADORES X 6 PIEZAS REF. MIXTO STANLEY DE COPAS Estado: Bueno Placa anterior: 000024910 Material: ACERO Y PASTA Color: AMARILLO Referencia:  Observacion:  Placa padre: Tipo adquisicion: Entidad"</f>
        <v>Descripcion: DESTORNILLADORES X 6 PIEZAS REF. MIXTO STANLEY DE COPAS Estado: Bueno Placa anterior: 000024910 Material: ACERO Y PASTA Color: AMARILLO Referencia:  Observacion:  Placa padre: Tipo adquisicion: Entidad</v>
      </c>
      <c r="G15635" s="5"/>
    </row>
    <row r="15636" spans="1:7" ht="58.5" customHeight="1" x14ac:dyDescent="0.25">
      <c r="A15636" s="5" t="str">
        <f>"H0017864"</f>
        <v>H0017864</v>
      </c>
      <c r="B15636" s="5" t="str">
        <f>"JUEGO LLAVES BRISTOL**"</f>
        <v>JUEGO LLAVES BRISTOL**</v>
      </c>
      <c r="C15636" s="6">
        <v>18500</v>
      </c>
      <c r="D15636" s="5"/>
      <c r="E15636" s="5" t="str">
        <f t="shared" si="804"/>
        <v>ACTISALUD -  SALA DE MAQUINAS- MAURICIO MARTINEZ-ROBERTO OLIVEROS-LUIS CORREA-JIMMY BUENDIA</v>
      </c>
      <c r="F15636" s="5" t="str">
        <f>"Descripcion: LLAVES BRISTOL STANLEY REF. 1/6 A 3/8  Estado: Regular Placa anterior: 000024920 Material: ACERO Color: GRIS Referencia:  Observacion: JUEGO IMPOMPLETO HAY SOLO 3 LLAVES Placa padre: Tipo adquisicion: Entidad"</f>
        <v>Descripcion: LLAVES BRISTOL STANLEY REF. 1/6 A 3/8  Estado: Regular Placa anterior: 000024920 Material: ACERO Color: GRIS Referencia:  Observacion: JUEGO IMPOMPLETO HAY SOLO 3 LLAVES Placa padre: Tipo adquisicion: Entidad</v>
      </c>
      <c r="G15636" s="5"/>
    </row>
    <row r="15637" spans="1:7" ht="58.5" customHeight="1" x14ac:dyDescent="0.25">
      <c r="A15637" s="5" t="str">
        <f>"H0017865"</f>
        <v>H0017865</v>
      </c>
      <c r="B15637" s="5" t="str">
        <f>"VITRINA DE 2 CUERPOS"</f>
        <v>VITRINA DE 2 CUERPOS</v>
      </c>
      <c r="C15637" s="6">
        <v>11935</v>
      </c>
      <c r="D15637" s="5"/>
      <c r="E15637" s="5" t="str">
        <f t="shared" si="804"/>
        <v>ACTISALUD -  SALA DE MAQUINAS- MAURICIO MARTINEZ-ROBERTO OLIVEROS-LUIS CORREA-JIMMY BUENDIA</v>
      </c>
      <c r="F15637" s="5" t="str">
        <f>"Descripcion: BIBLIOTECA TIPO B (2 CUERPOS) Estado: Malo Placa anterior: 000006039 Material: METALICO Color: VERDE Referencia:  Observacion:  Placa padre: Tipo adquisicion: Entidad"</f>
        <v>Descripcion: BIBLIOTECA TIPO B (2 CUERPOS) Estado: Malo Placa anterior: 000006039 Material: METALICO Color: VERDE Referencia:  Observacion:  Placa padre: Tipo adquisicion: Entidad</v>
      </c>
      <c r="G15637" s="5"/>
    </row>
    <row r="15638" spans="1:7" ht="58.5" customHeight="1" x14ac:dyDescent="0.25">
      <c r="A15638" s="5" t="str">
        <f>"H0017872"</f>
        <v>H0017872</v>
      </c>
      <c r="B15638" s="5" t="str">
        <f>"MARTILLO DE UÑA"</f>
        <v>MARTILLO DE UÑA</v>
      </c>
      <c r="C15638" s="6">
        <v>9000</v>
      </c>
      <c r="D15638" s="5"/>
      <c r="E15638" s="5" t="str">
        <f t="shared" si="804"/>
        <v>ACTISALUD -  SALA DE MAQUINAS- MAURICIO MARTINEZ-ROBERTO OLIVEROS-LUIS CORREA-JIMMY BUENDIA</v>
      </c>
      <c r="F15638" s="5" t="str">
        <f>"Descripcion: MARTILLO PATECABRA Estado: Bueno Placa anterior: 000019135 Material: HIERRO Color: GRIS Referencia:  Observacion:  Placa padre: Tipo adquisicion: Entidad"</f>
        <v>Descripcion: MARTILLO PATECABRA Estado: Bueno Placa anterior: 000019135 Material: HIERRO Color: GRIS Referencia:  Observacion:  Placa padre: Tipo adquisicion: Entidad</v>
      </c>
      <c r="G15638" s="5"/>
    </row>
    <row r="15639" spans="1:7" ht="58.5" customHeight="1" x14ac:dyDescent="0.25">
      <c r="A15639" s="5" t="str">
        <f>"H0019651"</f>
        <v>H0019651</v>
      </c>
      <c r="B15639" s="5" t="str">
        <f>"NEVERA 8 PIES (226LT)"</f>
        <v>NEVERA 8 PIES (226LT)</v>
      </c>
      <c r="C15639" s="6">
        <v>319400</v>
      </c>
      <c r="D15639" s="5"/>
      <c r="E15639" s="5" t="str">
        <f t="shared" si="804"/>
        <v>ACTISALUD -  SALA DE MAQUINAS- MAURICIO MARTINEZ-ROBERTO OLIVEROS-LUIS CORREA-JIMMY BUENDIA</v>
      </c>
      <c r="F15639" s="5" t="str">
        <f>"Descripcion:NEVERA PHILIPS MODELO PX-808 Estado: Bueno Placa anterior: 000002423 Material: METALICA Color: BEIS Referencia:  Observacion:  Placa padre:  Tipo adquisicion : Entidad"</f>
        <v>Descripcion:NEVERA PHILIPS MODELO PX-808 Estado: Bueno Placa anterior: 000002423 Material: METALICA Color: BEIS Referencia:  Observacion:  Placa padre:  Tipo adquisicion : Entidad</v>
      </c>
      <c r="G15639" s="5" t="str">
        <f>"PX 808"</f>
        <v>PX 808</v>
      </c>
    </row>
    <row r="15640" spans="1:7" ht="58.5" customHeight="1" x14ac:dyDescent="0.25">
      <c r="A15640" s="5" t="str">
        <f>"H0020260"</f>
        <v>H0020260</v>
      </c>
      <c r="B15640" s="5" t="str">
        <f>"ESCALERA 15 PASOS TIPO TIJERA"</f>
        <v>ESCALERA 15 PASOS TIPO TIJERA</v>
      </c>
      <c r="C15640" s="6">
        <v>70000</v>
      </c>
      <c r="D15640" s="5"/>
      <c r="E15640" s="5" t="str">
        <f t="shared" si="804"/>
        <v>ACTISALUD -  SALA DE MAQUINAS- MAURICIO MARTINEZ-ROBERTO OLIVEROS-LUIS CORREA-JIMMY BUENDIA</v>
      </c>
      <c r="F15640" s="5" t="str">
        <f>"Descripcion: ESCALERA  Estado: Regular Placa anterior: 000019148 Material: ALUMINIO Color: GRIS Referencia:  Observacion: PRESENTA UNOS PASOS  EN MAL ESTADO Placa padre: Tipo adquisicion: Entidad"</f>
        <v>Descripcion: ESCALERA  Estado: Regular Placa anterior: 000019148 Material: ALUMINIO Color: GRIS Referencia:  Observacion: PRESENTA UNOS PASOS  EN MAL ESTADO Placa padre: Tipo adquisicion: Entidad</v>
      </c>
      <c r="G15640" s="5"/>
    </row>
    <row r="15641" spans="1:7" ht="58.5" customHeight="1" x14ac:dyDescent="0.25">
      <c r="A15641" s="5" t="str">
        <f>"H0020381"</f>
        <v>H0020381</v>
      </c>
      <c r="B15641" s="5" t="str">
        <f>"AIRE ACONDICIONADO CENTRAL (INTEGRAL)"</f>
        <v>AIRE ACONDICIONADO CENTRAL (INTEGRAL)</v>
      </c>
      <c r="C15641" s="6">
        <v>2030000</v>
      </c>
      <c r="D15641" s="5"/>
      <c r="E15641" s="5" t="str">
        <f t="shared" si="804"/>
        <v>ACTISALUD -  SALA DE MAQUINAS- MAURICIO MARTINEZ-ROBERTO OLIVEROS-LUIS CORREA-JIMMY BUENDIA</v>
      </c>
      <c r="F15641" s="5" t="str">
        <f>"Descripcion:AIRE ACONDICIONADO INTEGRAL VA PARA SALA 6 (EVAPORADOR) Estado: Bueno Placa anterior:  Material: METALICO Color: GRIS Referencia:  Observacion:  Placa anterior:, Placa nueva=H0020382, Descripcion:UNIDAD CONDENSADORA VA PARA LA SALA 6, Serial:,"&amp; " Marca:, Modelo:, Material:METALICO, Color:GRIS,   Referencia: Placa padre:  Tipo adquisicion : Entidad"</f>
        <v>Descripcion:AIRE ACONDICIONADO INTEGRAL VA PARA SALA 6 (EVAPORADOR) Estado: Bueno Placa anterior:  Material: METALICO Color: GRIS Referencia:  Observacion:  Placa anterior:, Placa nueva=H0020382, Descripcion:UNIDAD CONDENSADORA VA PARA LA SALA 6, Serial:, Marca:, Modelo:, Material:METALICO, Color:GRIS,   Referencia: Placa padre:  Tipo adquisicion : Entidad</v>
      </c>
      <c r="G15641" s="5" t="str">
        <f>"LN-C060BSA0"</f>
        <v>LN-C060BSA0</v>
      </c>
    </row>
    <row r="15642" spans="1:7" ht="58.5" customHeight="1" x14ac:dyDescent="0.25">
      <c r="A15642" s="5" t="str">
        <f>"H0020659"</f>
        <v>H0020659</v>
      </c>
      <c r="B15642" s="5" t="str">
        <f>"TELEVISOR TRC 20"</f>
        <v>TELEVISOR TRC 20</v>
      </c>
      <c r="C15642" s="6">
        <v>450000</v>
      </c>
      <c r="D15642" s="5"/>
      <c r="E15642" s="5" t="str">
        <f t="shared" si="804"/>
        <v>ACTISALUD -  SALA DE MAQUINAS- MAURICIO MARTINEZ-ROBERTO OLIVEROS-LUIS CORREA-JIMMY BUENDIA</v>
      </c>
      <c r="F15642" s="5" t="str">
        <f>"Descripcion: TELEVISOR DE 20 MCA.PANASONIC Estado: Bueno Placa anterior: 000019166 Material: PASTA Color: NEGRO Referencia:  Observacion:  Placa padre: Tipo adquisicion: Entidad"</f>
        <v>Descripcion: TELEVISOR DE 20 MCA.PANASONIC Estado: Bueno Placa anterior: 000019166 Material: PASTA Color: NEGRO Referencia:  Observacion:  Placa padre: Tipo adquisicion: Entidad</v>
      </c>
      <c r="G15642" s="5"/>
    </row>
    <row r="15643" spans="1:7" ht="58.5" customHeight="1" x14ac:dyDescent="0.25">
      <c r="A15643" s="5" t="str">
        <f>"H0021995"</f>
        <v>H0021995</v>
      </c>
      <c r="B15643" s="5" t="str">
        <f>"LAMPARA CIELITICA"</f>
        <v>LAMPARA CIELITICA</v>
      </c>
      <c r="C15643" s="6">
        <v>30000036</v>
      </c>
      <c r="D15643" s="5"/>
      <c r="E15643" s="5" t="str">
        <f t="shared" si="804"/>
        <v>ACTISALUD -  SALA DE MAQUINAS- MAURICIO MARTINEZ-ROBERTO OLIVEROS-LUIS CORREA-JIMMY BUENDIA</v>
      </c>
      <c r="F15643" s="5" t="str">
        <f>"Descripcion: LAMPARA CIELITICA DE DOS BRAZOS Estado: Malo Placa anterior: 000027657 Material: METALICO Y PASTA Color: BLANCA Referencia:  Observacion: SE ENCUENTRA EN LA SALA DE MAQUINAS Placa padre: Tipo adquisicion: Entidad"</f>
        <v>Descripcion: LAMPARA CIELITICA DE DOS BRAZOS Estado: Malo Placa anterior: 000027657 Material: METALICO Y PASTA Color: BLANCA Referencia:  Observacion: SE ENCUENTRA EN LA SALA DE MAQUINAS Placa padre: Tipo adquisicion: Entidad</v>
      </c>
      <c r="G15643" s="5"/>
    </row>
    <row r="15644" spans="1:7" ht="58.5" customHeight="1" x14ac:dyDescent="0.25">
      <c r="A15644" s="5" t="str">
        <f>"H0022648"</f>
        <v>H0022648</v>
      </c>
      <c r="B15644" s="5" t="str">
        <f>"CARRETILLA PARA ALBAÑILERIA"</f>
        <v>CARRETILLA PARA ALBAÑILERIA</v>
      </c>
      <c r="C15644" s="6">
        <v>67000</v>
      </c>
      <c r="D15644" s="5"/>
      <c r="E15644" s="5" t="str">
        <f t="shared" si="804"/>
        <v>ACTISALUD -  SALA DE MAQUINAS- MAURICIO MARTINEZ-ROBERTO OLIVEROS-LUIS CORREA-JIMMY BUENDIA</v>
      </c>
      <c r="F15644" s="5" t="str">
        <f>"Descripcion: CARRETILLA PARA ALBAÑERIA Estado: Bueno Placa anterior: 000019143 Material: METALICO Color:  Referencia:  Observacion:  Placa padre: Tipo adquisicion: Entidad"</f>
        <v>Descripcion: CARRETILLA PARA ALBAÑERIA Estado: Bueno Placa anterior: 000019143 Material: METALICO Color:  Referencia:  Observacion:  Placa padre: Tipo adquisicion: Entidad</v>
      </c>
      <c r="G15644" s="5"/>
    </row>
    <row r="15645" spans="1:7" ht="58.5" customHeight="1" x14ac:dyDescent="0.25">
      <c r="A15645" s="5" t="str">
        <f>"H0022714"</f>
        <v>H0022714</v>
      </c>
      <c r="B15645" s="5" t="str">
        <f>"LAMPARA CIELITICA"</f>
        <v>LAMPARA CIELITICA</v>
      </c>
      <c r="C15645" s="6">
        <v>18000004</v>
      </c>
      <c r="D15645" s="5"/>
      <c r="E15645" s="5" t="str">
        <f t="shared" si="804"/>
        <v>ACTISALUD -  SALA DE MAQUINAS- MAURICIO MARTINEZ-ROBERTO OLIVEROS-LUIS CORREA-JIMMY BUENDIA</v>
      </c>
      <c r="F15645" s="5" t="str">
        <f>"Descripcion: LAMPARA CIELITICA DE UN BRAZO Estado: Malo Placa anterior: 000027828 Material: METALICO Y PASTA Color: BLANCA Referencia:  Observacion: SE ENCUENTRA EN LA SALA DE MAQUINAS Placa padre: Tipo adquisicion: Entidad"</f>
        <v>Descripcion: LAMPARA CIELITICA DE UN BRAZO Estado: Malo Placa anterior: 000027828 Material: METALICO Y PASTA Color: BLANCA Referencia:  Observacion: SE ENCUENTRA EN LA SALA DE MAQUINAS Placa padre: Tipo adquisicion: Entidad</v>
      </c>
      <c r="G15645" s="5" t="str">
        <f>"STFOCUS-105"</f>
        <v>STFOCUS-105</v>
      </c>
    </row>
    <row r="15646" spans="1:7" ht="58.5" customHeight="1" x14ac:dyDescent="0.25">
      <c r="A15646" s="5" t="str">
        <f>"H0022715"</f>
        <v>H0022715</v>
      </c>
      <c r="B15646" s="5" t="str">
        <f>"LAMPARA CIELITICA"</f>
        <v>LAMPARA CIELITICA</v>
      </c>
      <c r="C15646" s="6">
        <v>18000004</v>
      </c>
      <c r="D15646" s="5"/>
      <c r="E15646" s="5" t="str">
        <f t="shared" si="804"/>
        <v>ACTISALUD -  SALA DE MAQUINAS- MAURICIO MARTINEZ-ROBERTO OLIVEROS-LUIS CORREA-JIMMY BUENDIA</v>
      </c>
      <c r="F15646" s="5" t="str">
        <f>"Descripcion: LAMPARA CIELITICA DE UN BRAZO Estado: Malo Placa anterior: 000027708 Material: METALICO Y PASTA Color: BLANCA Referencia:  Observacion: SE ENCUENTRA EN SALA DE MAQUINAS Placa padre: Tipo adquisicion: Entidad"</f>
        <v>Descripcion: LAMPARA CIELITICA DE UN BRAZO Estado: Malo Placa anterior: 000027708 Material: METALICO Y PASTA Color: BLANCA Referencia:  Observacion: SE ENCUENTRA EN SALA DE MAQUINAS Placa padre: Tipo adquisicion: Entidad</v>
      </c>
      <c r="G15646" s="5"/>
    </row>
    <row r="15647" spans="1:7" ht="58.5" customHeight="1" x14ac:dyDescent="0.25">
      <c r="A15647" s="5" t="str">
        <f>"H0025437"</f>
        <v>H0025437</v>
      </c>
      <c r="B1564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5647" s="6">
        <v>312156</v>
      </c>
      <c r="D15647" s="5" t="s">
        <v>10</v>
      </c>
      <c r="E15647" s="5" t="str">
        <f t="shared" si="804"/>
        <v>ACTISALUD -  SALA DE MAQUINAS- MAURICIO MARTINEZ-ROBERTO OLIVEROS-LUIS CORREA-JIMMY BUENDIA</v>
      </c>
      <c r="F15647" s="5"/>
      <c r="G15647" s="5"/>
    </row>
    <row r="15648" spans="1:7" ht="58.5" customHeight="1" x14ac:dyDescent="0.25">
      <c r="A15648" s="5" t="str">
        <f>"H0025705"</f>
        <v>H0025705</v>
      </c>
      <c r="B15648" s="5" t="str">
        <f>"PLANTA ELECTRICA ENERMAX.MODELO GDC500SS CABINADA IMPORTADA, MOTOR CUMMINS DIESEL MODELO KTA19-G2 GENERADOR MARATHON MODELO MP-320-A42008/120VAC , 60 HZ, TRIFASICO 400KW/500KVA STAND BY NOMINALES 360 KW/450KVA PRIME.TABLERO DE CONTROL ELECTRONICO DEEP SEA"&amp; " 6020.DIMENSIONES EN MTS.4.2LX1.73AX2.3 H EN MTS PESO 5200 KG SECO.BASE TANQUE DE COMBUSTIBLE"</f>
        <v>PLANTA ELECTRICA ENERMAX.MODELO GDC500SS CABINADA IMPORTADA, MOTOR CUMMINS DIESEL MODELO KTA19-G2 GENERADOR MARATHON MODELO MP-320-A42008/120VAC , 60 HZ, TRIFASICO 400KW/500KVA STAND BY NOMINALES 360 KW/450KVA PRIME.TABLERO DE CONTROL ELECTRONICO DEEP SEA 6020.DIMENSIONES EN MTS.4.2LX1.73AX2.3 H EN MTS PESO 5200 KG SECO.BASE TANQUE DE COMBUSTIBLE</v>
      </c>
      <c r="C15648" s="6">
        <v>202019315.30000001</v>
      </c>
      <c r="D15648" s="5" t="s">
        <v>769</v>
      </c>
      <c r="E15648" s="5" t="str">
        <f t="shared" si="804"/>
        <v>ACTISALUD -  SALA DE MAQUINAS- MAURICIO MARTINEZ-ROBERTO OLIVEROS-LUIS CORREA-JIMMY BUENDIA</v>
      </c>
      <c r="F15648" s="5"/>
      <c r="G15648" s="5" t="str">
        <f>"GDC500SS"</f>
        <v>GDC500SS</v>
      </c>
    </row>
    <row r="15649" spans="1:7" ht="58.5" customHeight="1" x14ac:dyDescent="0.25">
      <c r="A15649" s="5" t="str">
        <f>"H0027008"</f>
        <v>H0027008</v>
      </c>
      <c r="B15649" s="5" t="str">
        <f>"EXTINTOR 20 LBS - BC"</f>
        <v>EXTINTOR 20 LBS - BC</v>
      </c>
      <c r="C15649" s="6">
        <v>90000</v>
      </c>
      <c r="D15649" s="5" t="s">
        <v>770</v>
      </c>
      <c r="E15649" s="5" t="str">
        <f t="shared" si="804"/>
        <v>ACTISALUD -  SALA DE MAQUINAS- MAURICIO MARTINEZ-ROBERTO OLIVEROS-LUIS CORREA-JIMMY BUENDIA</v>
      </c>
      <c r="F15649" s="5"/>
      <c r="G15649" s="5"/>
    </row>
    <row r="15650" spans="1:7" ht="58.5" customHeight="1" x14ac:dyDescent="0.25">
      <c r="A15650" s="5" t="str">
        <f>"H0027009"</f>
        <v>H0027009</v>
      </c>
      <c r="B15650" s="5" t="str">
        <f>"GABINETA INDIVIDUAL 20 LBS"</f>
        <v>GABINETA INDIVIDUAL 20 LBS</v>
      </c>
      <c r="C15650" s="6">
        <v>70001</v>
      </c>
      <c r="D15650" s="5" t="s">
        <v>770</v>
      </c>
      <c r="E15650" s="5" t="str">
        <f t="shared" si="804"/>
        <v>ACTISALUD -  SALA DE MAQUINAS- MAURICIO MARTINEZ-ROBERTO OLIVEROS-LUIS CORREA-JIMMY BUENDIA</v>
      </c>
      <c r="F15650" s="5"/>
      <c r="G15650" s="5"/>
    </row>
    <row r="15651" spans="1:7" ht="58.5" customHeight="1" x14ac:dyDescent="0.25">
      <c r="A15651" s="5" t="str">
        <f>"H0029351"</f>
        <v>H0029351</v>
      </c>
      <c r="B15651" s="5" t="str">
        <f>"SILLA HERGONOMICA CON SISTEMA HIDRAULICO"</f>
        <v>SILLA HERGONOMICA CON SISTEMA HIDRAULICO</v>
      </c>
      <c r="C15651" s="6">
        <v>174900</v>
      </c>
      <c r="D15651" s="5" t="s">
        <v>89</v>
      </c>
      <c r="E15651" s="5" t="str">
        <f t="shared" si="804"/>
        <v>ACTISALUD -  SALA DE MAQUINAS- MAURICIO MARTINEZ-ROBERTO OLIVEROS-LUIS CORREA-JIMMY BUENDIA</v>
      </c>
      <c r="F15651" s="5"/>
      <c r="G15651" s="5"/>
    </row>
    <row r="15652" spans="1:7" ht="58.5" customHeight="1" x14ac:dyDescent="0.25">
      <c r="A15652" s="5" t="str">
        <f>"H0029518"</f>
        <v>H0029518</v>
      </c>
      <c r="B1565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5652" s="6">
        <v>257040</v>
      </c>
      <c r="D15652" s="5" t="s">
        <v>14</v>
      </c>
      <c r="E15652" s="5" t="str">
        <f t="shared" si="804"/>
        <v>ACTISALUD -  SALA DE MAQUINAS- MAURICIO MARTINEZ-ROBERTO OLIVEROS-LUIS CORREA-JIMMY BUENDIA</v>
      </c>
      <c r="F15652" s="5"/>
      <c r="G15652" s="5"/>
    </row>
    <row r="15653" spans="1:7" ht="58.5" customHeight="1" x14ac:dyDescent="0.25">
      <c r="A15653" s="5" t="str">
        <f>"B0002022"</f>
        <v>B0002022</v>
      </c>
      <c r="B15653" s="5" t="str">
        <f>"MECHERO"</f>
        <v>MECHERO</v>
      </c>
      <c r="C15653" s="6">
        <v>45572</v>
      </c>
      <c r="D15653" s="5"/>
      <c r="E15653" s="5" t="str">
        <f t="shared" ref="E15653:E15716" si="806">"ACTISALUD - BODEGA - WILLIAM ZUÑIGA-DIEGO GARCIA"</f>
        <v>ACTISALUD - BODEGA - WILLIAM ZUÑIGA-DIEGO GARCIA</v>
      </c>
      <c r="F15653" s="5" t="str">
        <f>"Descripcion:Mechero de Bunsen Con registro para gas y regulacion de entrada de aire, base en acero inoxidable 304 tubo croma 14 cm de altura. Estado: Excelente Placa anterior: 000037242 Material: ACERO INOX. Color: PLATEADO Y ROJO Referencia:  Observacion"&amp; ":  Placa padre:  Tipo adquisicion : Entidad"</f>
        <v>Descripcion:Mechero de Bunsen Con registro para gas y regulacion de entrada de aire, base en acero inoxidable 304 tubo croma 14 cm de altura. Estado: Excelente Placa anterior: 000037242 Material: ACERO INOX. Color: PLATEADO Y ROJO Referencia:  Observacion:  Placa padre:  Tipo adquisicion : Entidad</v>
      </c>
      <c r="G15653" s="5"/>
    </row>
    <row r="15654" spans="1:7" ht="58.5" customHeight="1" x14ac:dyDescent="0.25">
      <c r="A15654" s="5" t="str">
        <f>"B0002023"</f>
        <v>B0002023</v>
      </c>
      <c r="B15654" s="5" t="str">
        <f>"MECHERO"</f>
        <v>MECHERO</v>
      </c>
      <c r="C15654" s="6">
        <v>45572</v>
      </c>
      <c r="D15654" s="5"/>
      <c r="E15654" s="5" t="str">
        <f t="shared" si="806"/>
        <v>ACTISALUD - BODEGA - WILLIAM ZUÑIGA-DIEGO GARCIA</v>
      </c>
      <c r="F15654" s="5" t="str">
        <f>"Descripcion:Mechero de Bunsen Con registro para gas y regulacion de entrada de aire, base en acero inoxidable 304 tubo croma 14 cm de altura. Estado: Excelente Placa anterior: 000037244 Material: ACERO INOX. Color: PLATEADO Y ROJO Referencia:  Observacion"&amp; ":  Placa padre:  Tipo adquisicion : Entidad"</f>
        <v>Descripcion:Mechero de Bunsen Con registro para gas y regulacion de entrada de aire, base en acero inoxidable 304 tubo croma 14 cm de altura. Estado: Excelente Placa anterior: 000037244 Material: ACERO INOX. Color: PLATEADO Y ROJO Referencia:  Observacion:  Placa padre:  Tipo adquisicion : Entidad</v>
      </c>
      <c r="G15654" s="5"/>
    </row>
    <row r="15655" spans="1:7" ht="58.5" customHeight="1" x14ac:dyDescent="0.25">
      <c r="A15655" s="5" t="str">
        <f>"H0002352"</f>
        <v>H0002352</v>
      </c>
      <c r="B15655" s="5" t="str">
        <f t="shared" ref="B15655:B15672" si="807">"CAMARA DE VIDEOVIGILANCIA"</f>
        <v>CAMARA DE VIDEOVIGILANCIA</v>
      </c>
      <c r="C15655" s="6">
        <v>150000</v>
      </c>
      <c r="D15655" s="5"/>
      <c r="E15655" s="5" t="str">
        <f t="shared" si="806"/>
        <v>ACTISALUD - BODEGA - WILLIAM ZUÑIGA-DIEGO GARCIA</v>
      </c>
      <c r="F15655" s="5" t="str">
        <f>"Descripcion:MINIDOMO HIKVISION 700TVL LENTE 2.8MM Estado: Excelente Placa anterior: 000030722 Material: PASTA Y VIDRIO Color: BLANCO Referencia:  Observacion:  Placa padre:  Tipo adquisicion : Entidad"</f>
        <v>Descripcion:MINIDOMO HIKVISION 700TVL LENTE 2.8MM Estado: Excelente Placa anterior: 000030722 Material: PASTA Y VIDRIO Color: BLANCO Referencia:  Observacion:  Placa padre:  Tipo adquisicion : Entidad</v>
      </c>
      <c r="G15655" s="5" t="str">
        <f>"DS-2CE55A2N-IRM"</f>
        <v>DS-2CE55A2N-IRM</v>
      </c>
    </row>
    <row r="15656" spans="1:7" ht="58.5" customHeight="1" x14ac:dyDescent="0.25">
      <c r="A15656" s="5" t="str">
        <f>"H0002353"</f>
        <v>H0002353</v>
      </c>
      <c r="B15656" s="5" t="str">
        <f t="shared" si="807"/>
        <v>CAMARA DE VIDEOVIGILANCIA</v>
      </c>
      <c r="C15656" s="6">
        <v>150000</v>
      </c>
      <c r="D15656" s="5"/>
      <c r="E15656" s="5" t="str">
        <f t="shared" si="806"/>
        <v>ACTISALUD - BODEGA - WILLIAM ZUÑIGA-DIEGO GARCIA</v>
      </c>
      <c r="F15656" s="5" t="str">
        <f>"Descripcion:MINIDOMO HIKVISION 700TVL LENTE 2.8MM Estado: Excelente Placa anterior: 000030723 Material: PASTA Y VIDRIO Color: BLANCO Referencia:  Observacion:  Placa padre:  Tipo adquisicion : Entidad"</f>
        <v>Descripcion:MINIDOMO HIKVISION 700TVL LENTE 2.8MM Estado: Excelente Placa anterior: 000030723 Material: PASTA Y VIDRIO Color: BLANCO Referencia:  Observacion:  Placa padre:  Tipo adquisicion : Entidad</v>
      </c>
      <c r="G15656" s="5" t="str">
        <f>"DS-2CE55A2N-IRM"</f>
        <v>DS-2CE55A2N-IRM</v>
      </c>
    </row>
    <row r="15657" spans="1:7" ht="58.5" customHeight="1" x14ac:dyDescent="0.25">
      <c r="A15657" s="5" t="str">
        <f>"H0002354"</f>
        <v>H0002354</v>
      </c>
      <c r="B15657" s="5" t="str">
        <f t="shared" si="807"/>
        <v>CAMARA DE VIDEOVIGILANCIA</v>
      </c>
      <c r="C15657" s="6">
        <v>150000</v>
      </c>
      <c r="D15657" s="5"/>
      <c r="E15657" s="5" t="str">
        <f t="shared" si="806"/>
        <v>ACTISALUD - BODEGA - WILLIAM ZUÑIGA-DIEGO GARCIA</v>
      </c>
      <c r="F15657" s="5" t="str">
        <f>"Descripcion:MINIDOMO HIKVISION 700TVL LENTE 2.8MM Estado: Excelente Placa anterior: 000030724 Material: PASTA Y VIDRIO Color: BLANCO Referencia:  Observacion:  Placa padre:  Tipo adquisicion : Entidad"</f>
        <v>Descripcion:MINIDOMO HIKVISION 700TVL LENTE 2.8MM Estado: Excelente Placa anterior: 000030724 Material: PASTA Y VIDRIO Color: BLANCO Referencia:  Observacion:  Placa padre:  Tipo adquisicion : Entidad</v>
      </c>
      <c r="G15657" s="5" t="str">
        <f>"DS-2CE55A2N-IRM"</f>
        <v>DS-2CE55A2N-IRM</v>
      </c>
    </row>
    <row r="15658" spans="1:7" ht="58.5" customHeight="1" x14ac:dyDescent="0.25">
      <c r="A15658" s="5" t="str">
        <f>"H0002355"</f>
        <v>H0002355</v>
      </c>
      <c r="B15658" s="5" t="str">
        <f t="shared" si="807"/>
        <v>CAMARA DE VIDEOVIGILANCIA</v>
      </c>
      <c r="C15658" s="6">
        <v>150000</v>
      </c>
      <c r="D15658" s="5"/>
      <c r="E15658" s="5" t="str">
        <f t="shared" si="806"/>
        <v>ACTISALUD - BODEGA - WILLIAM ZUÑIGA-DIEGO GARCIA</v>
      </c>
      <c r="F15658" s="5" t="str">
        <f>"Descripcion:MINIDOMO HIKVISION 700TVL LENTE 2.8MM Estado: Excelente Placa anterior: 000030725 Material: PASTA Y VIDRIO Color: BLANCO Referencia:  Observacion:  Placa padre:  Tipo adquisicion : Entidad"</f>
        <v>Descripcion:MINIDOMO HIKVISION 700TVL LENTE 2.8MM Estado: Excelente Placa anterior: 000030725 Material: PASTA Y VIDRIO Color: BLANCO Referencia:  Observacion:  Placa padre:  Tipo adquisicion : Entidad</v>
      </c>
      <c r="G15658" s="5" t="str">
        <f>"DS-2CE55A2-IRM"</f>
        <v>DS-2CE55A2-IRM</v>
      </c>
    </row>
    <row r="15659" spans="1:7" ht="58.5" customHeight="1" x14ac:dyDescent="0.25">
      <c r="A15659" s="5" t="str">
        <f>"H0002356"</f>
        <v>H0002356</v>
      </c>
      <c r="B15659" s="5" t="str">
        <f t="shared" si="807"/>
        <v>CAMARA DE VIDEOVIGILANCIA</v>
      </c>
      <c r="C15659" s="6">
        <v>150000</v>
      </c>
      <c r="D15659" s="5"/>
      <c r="E15659" s="5" t="str">
        <f t="shared" si="806"/>
        <v>ACTISALUD - BODEGA - WILLIAM ZUÑIGA-DIEGO GARCIA</v>
      </c>
      <c r="F15659" s="5" t="str">
        <f>"Descripcion:MINIDOMO HIKVISION 700TVL LENTE 2.8MM Estado: Excelente Placa anterior: 000030727 Material: PASTA Y VIDRIO  Color: BLANCO Referencia:  Observacion:  Placa padre:  Tipo adquisicion : Entidad"</f>
        <v>Descripcion:MINIDOMO HIKVISION 700TVL LENTE 2.8MM Estado: Excelente Placa anterior: 000030727 Material: PASTA Y VIDRIO  Color: BLANCO Referencia:  Observacion:  Placa padre:  Tipo adquisicion : Entidad</v>
      </c>
      <c r="G15659" s="5" t="str">
        <f>"DS-2CE55A2N-IRM"</f>
        <v>DS-2CE55A2N-IRM</v>
      </c>
    </row>
    <row r="15660" spans="1:7" ht="58.5" customHeight="1" x14ac:dyDescent="0.25">
      <c r="A15660" s="5" t="str">
        <f>"H0002358"</f>
        <v>H0002358</v>
      </c>
      <c r="B15660" s="5" t="str">
        <f t="shared" si="807"/>
        <v>CAMARA DE VIDEOVIGILANCIA</v>
      </c>
      <c r="C15660" s="6">
        <v>150000</v>
      </c>
      <c r="D15660" s="5"/>
      <c r="E15660" s="5" t="str">
        <f t="shared" si="806"/>
        <v>ACTISALUD - BODEGA - WILLIAM ZUÑIGA-DIEGO GARCIA</v>
      </c>
      <c r="F15660" s="5" t="str">
        <f>"Descripcion:MINIDOMO HIKVISION 700TVL LENTE 2.8MM Estado: Excelente Placa anterior: 000030729 Material: PASTA Y VIDRIO Color: BLANCO Referencia:  Observacion:  Placa padre:  Tipo adquisicion : Entidad"</f>
        <v>Descripcion:MINIDOMO HIKVISION 700TVL LENTE 2.8MM Estado: Excelente Placa anterior: 000030729 Material: PASTA Y VIDRIO Color: BLANCO Referencia:  Observacion:  Placa padre:  Tipo adquisicion : Entidad</v>
      </c>
      <c r="G15660" s="5" t="str">
        <f>"DS-2CE55A2N-IRM"</f>
        <v>DS-2CE55A2N-IRM</v>
      </c>
    </row>
    <row r="15661" spans="1:7" ht="58.5" customHeight="1" x14ac:dyDescent="0.25">
      <c r="A15661" s="5" t="str">
        <f>"H0002360"</f>
        <v>H0002360</v>
      </c>
      <c r="B15661" s="5" t="str">
        <f t="shared" si="807"/>
        <v>CAMARA DE VIDEOVIGILANCIA</v>
      </c>
      <c r="C15661" s="6">
        <v>150000</v>
      </c>
      <c r="D15661" s="5"/>
      <c r="E15661" s="5" t="str">
        <f t="shared" si="806"/>
        <v>ACTISALUD - BODEGA - WILLIAM ZUÑIGA-DIEGO GARCIA</v>
      </c>
      <c r="F15661" s="5" t="str">
        <f>"Descripcion:MINIDOMO HIKVISION 700TVL LENTE 2.8MM Estado: Excelente Placa anterior: 000030730 Material: PASTA Y VIDRIO Color: BLANCO Referencia:  Observacion:  Placa padre:  Tipo adquisicion : Entidad"</f>
        <v>Descripcion:MINIDOMO HIKVISION 700TVL LENTE 2.8MM Estado: Excelente Placa anterior: 000030730 Material: PASTA Y VIDRIO Color: BLANCO Referencia:  Observacion:  Placa padre:  Tipo adquisicion : Entidad</v>
      </c>
      <c r="G15661" s="5" t="str">
        <f>"DS-2CE55A2N-IRP"</f>
        <v>DS-2CE55A2N-IRP</v>
      </c>
    </row>
    <row r="15662" spans="1:7" ht="58.5" customHeight="1" x14ac:dyDescent="0.25">
      <c r="A15662" s="5" t="str">
        <f>"H0002361"</f>
        <v>H0002361</v>
      </c>
      <c r="B15662" s="5" t="str">
        <f t="shared" si="807"/>
        <v>CAMARA DE VIDEOVIGILANCIA</v>
      </c>
      <c r="C15662" s="6">
        <v>150000</v>
      </c>
      <c r="D15662" s="5"/>
      <c r="E15662" s="5" t="str">
        <f t="shared" si="806"/>
        <v>ACTISALUD - BODEGA - WILLIAM ZUÑIGA-DIEGO GARCIA</v>
      </c>
      <c r="F15662" s="5" t="str">
        <f>"Descripcion:MINIDOMO HIKVISION 700TVL LENTE 2.8MM Estado: Excelente Placa anterior: 000030731 Material: PASTA Y VIDRIO Color: BLANCO Referencia:  Observacion:  Placa padre:  Tipo adquisicion : Entidad"</f>
        <v>Descripcion:MINIDOMO HIKVISION 700TVL LENTE 2.8MM Estado: Excelente Placa anterior: 000030731 Material: PASTA Y VIDRIO Color: BLANCO Referencia:  Observacion:  Placa padre:  Tipo adquisicion : Entidad</v>
      </c>
      <c r="G15662" s="5" t="str">
        <f>"DS-2CE55A2N-IRP"</f>
        <v>DS-2CE55A2N-IRP</v>
      </c>
    </row>
    <row r="15663" spans="1:7" ht="58.5" customHeight="1" x14ac:dyDescent="0.25">
      <c r="A15663" s="5" t="str">
        <f>"H0002362"</f>
        <v>H0002362</v>
      </c>
      <c r="B15663" s="5" t="str">
        <f t="shared" si="807"/>
        <v>CAMARA DE VIDEOVIGILANCIA</v>
      </c>
      <c r="C15663" s="6">
        <v>150000</v>
      </c>
      <c r="D15663" s="5"/>
      <c r="E15663" s="5" t="str">
        <f t="shared" si="806"/>
        <v>ACTISALUD - BODEGA - WILLIAM ZUÑIGA-DIEGO GARCIA</v>
      </c>
      <c r="F15663" s="5" t="str">
        <f>"Descripcion:MINIDOMO HIKVISION 700TVL LENTE 2.8MM Estado: Excelente Placa anterior: 000030733 Material: PASTA Y VIDRIO Color: BLANCO Referencia:  Observacion:  Placa padre:  Tipo adquisicion : Entidad"</f>
        <v>Descripcion:MINIDOMO HIKVISION 700TVL LENTE 2.8MM Estado: Excelente Placa anterior: 000030733 Material: PASTA Y VIDRIO Color: BLANCO Referencia:  Observacion:  Placa padre:  Tipo adquisicion : Entidad</v>
      </c>
      <c r="G15663" s="5" t="str">
        <f>"DS-2CE55A2N-IRP"</f>
        <v>DS-2CE55A2N-IRP</v>
      </c>
    </row>
    <row r="15664" spans="1:7" ht="58.5" customHeight="1" x14ac:dyDescent="0.25">
      <c r="A15664" s="5" t="str">
        <f>"H0002363"</f>
        <v>H0002363</v>
      </c>
      <c r="B15664" s="5" t="str">
        <f t="shared" si="807"/>
        <v>CAMARA DE VIDEOVIGILANCIA</v>
      </c>
      <c r="C15664" s="6">
        <v>170000</v>
      </c>
      <c r="D15664" s="5"/>
      <c r="E15664" s="5" t="str">
        <f t="shared" si="806"/>
        <v>ACTISALUD - BODEGA - WILLIAM ZUÑIGA-DIEGO GARCIA</v>
      </c>
      <c r="F15664" s="5" t="str">
        <f>"Descripcion:MINIDOMO HIKVISION 700TVL LENTE 3.6MM Estado: Excelente Placa anterior: 000030736 Material: PASTA Y VIDRIO Color: BLANCO Referencia:  Observacion:  Placa padre:  Tipo adquisicion : Entidad"</f>
        <v>Descripcion:MINIDOMO HIKVISION 700TVL LENTE 3.6MM Estado: Excelente Placa anterior: 000030736 Material: PASTA Y VIDRIO Color: BLANCO Referencia:  Observacion:  Placa padre:  Tipo adquisicion : Entidad</v>
      </c>
      <c r="G15664" s="5" t="str">
        <f>"DS-2CE55A2N-IRP"</f>
        <v>DS-2CE55A2N-IRP</v>
      </c>
    </row>
    <row r="15665" spans="1:7" ht="58.5" customHeight="1" x14ac:dyDescent="0.25">
      <c r="A15665" s="5" t="str">
        <f>"H0002365"</f>
        <v>H0002365</v>
      </c>
      <c r="B15665" s="5" t="str">
        <f t="shared" si="807"/>
        <v>CAMARA DE VIDEOVIGILANCIA</v>
      </c>
      <c r="C15665" s="6">
        <v>170000</v>
      </c>
      <c r="D15665" s="5"/>
      <c r="E15665" s="5" t="str">
        <f t="shared" si="806"/>
        <v>ACTISALUD - BODEGA - WILLIAM ZUÑIGA-DIEGO GARCIA</v>
      </c>
      <c r="F15665" s="5" t="str">
        <f>"Descripcion:MINIDOMO HIKVISION 700TVL LENTE 3.6MM Estado: Excelente Placa anterior: 000030744 Material: PASTA Y VIDRIO Color: BLANCO Referencia:  Observacion:  Placa padre:  Tipo adquisicion : Entidad"</f>
        <v>Descripcion:MINIDOMO HIKVISION 700TVL LENTE 3.6MM Estado: Excelente Placa anterior: 000030744 Material: PASTA Y VIDRIO Color: BLANCO Referencia:  Observacion:  Placa padre:  Tipo adquisicion : Entidad</v>
      </c>
      <c r="G15665" s="5" t="str">
        <f>"DS-2CE55A2N-IRM"</f>
        <v>DS-2CE55A2N-IRM</v>
      </c>
    </row>
    <row r="15666" spans="1:7" ht="58.5" customHeight="1" x14ac:dyDescent="0.25">
      <c r="A15666" s="5" t="str">
        <f>"H0002369"</f>
        <v>H0002369</v>
      </c>
      <c r="B15666" s="5" t="str">
        <f t="shared" si="807"/>
        <v>CAMARA DE VIDEOVIGILANCIA</v>
      </c>
      <c r="C15666" s="6">
        <v>170000</v>
      </c>
      <c r="D15666" s="5"/>
      <c r="E15666" s="5" t="str">
        <f t="shared" si="806"/>
        <v>ACTISALUD - BODEGA - WILLIAM ZUÑIGA-DIEGO GARCIA</v>
      </c>
      <c r="F15666" s="5" t="str">
        <f>"Descripcion:MINIDOMO HIKVISION 700TVL LENTE 3.6MM Estado: Excelente Placa anterior: 000030740 Material: PASTA Y VIDRIO Color: BLANCO Referencia:  Observacion:  Placa padre:  Tipo adquisicion : Entidad"</f>
        <v>Descripcion:MINIDOMO HIKVISION 700TVL LENTE 3.6MM Estado: Excelente Placa anterior: 000030740 Material: PASTA Y VIDRIO Color: BLANCO Referencia:  Observacion:  Placa padre:  Tipo adquisicion : Entidad</v>
      </c>
      <c r="G15666" s="5" t="str">
        <f>"DS-2CE55A2N-IRM"</f>
        <v>DS-2CE55A2N-IRM</v>
      </c>
    </row>
    <row r="15667" spans="1:7" ht="58.5" customHeight="1" x14ac:dyDescent="0.25">
      <c r="A15667" s="5" t="str">
        <f>"H0002370"</f>
        <v>H0002370</v>
      </c>
      <c r="B15667" s="5" t="str">
        <f t="shared" si="807"/>
        <v>CAMARA DE VIDEOVIGILANCIA</v>
      </c>
      <c r="C15667" s="6">
        <v>170000</v>
      </c>
      <c r="D15667" s="5"/>
      <c r="E15667" s="5" t="str">
        <f t="shared" si="806"/>
        <v>ACTISALUD - BODEGA - WILLIAM ZUÑIGA-DIEGO GARCIA</v>
      </c>
      <c r="F15667" s="5" t="str">
        <f>"Descripcion:MINIDOMO HIKVISION 700TVL LENTE 3.6MM Estado: Excelente Placa anterior: 000030741 Material: PASTA Y VIDRIO Color: BLANCO Referencia:  Observacion:  Placa padre:  Tipo adquisicion : Entidad"</f>
        <v>Descripcion:MINIDOMO HIKVISION 700TVL LENTE 3.6MM Estado: Excelente Placa anterior: 000030741 Material: PASTA Y VIDRIO Color: BLANCO Referencia:  Observacion:  Placa padre:  Tipo adquisicion : Entidad</v>
      </c>
      <c r="G15667" s="5" t="str">
        <f>"DS-2CE55A2N-IRM"</f>
        <v>DS-2CE55A2N-IRM</v>
      </c>
    </row>
    <row r="15668" spans="1:7" ht="58.5" customHeight="1" x14ac:dyDescent="0.25">
      <c r="A15668" s="5" t="str">
        <f>"H0002372"</f>
        <v>H0002372</v>
      </c>
      <c r="B15668" s="5" t="str">
        <f t="shared" si="807"/>
        <v>CAMARA DE VIDEOVIGILANCIA</v>
      </c>
      <c r="C15668" s="6">
        <v>170000</v>
      </c>
      <c r="D15668" s="5"/>
      <c r="E15668" s="5" t="str">
        <f t="shared" si="806"/>
        <v>ACTISALUD - BODEGA - WILLIAM ZUÑIGA-DIEGO GARCIA</v>
      </c>
      <c r="F15668" s="5" t="str">
        <f>"Descripcion:MINIDOMO HIKVISION 700TVL LENTE 3.6MM Estado: Excelente Placa anterior: 000030743 Material: PASTA Y VIDRIO Color: BLANCO Referencia:  Observacion:  Placa padre:  Tipo adquisicion : Entidad"</f>
        <v>Descripcion:MINIDOMO HIKVISION 700TVL LENTE 3.6MM Estado: Excelente Placa anterior: 000030743 Material: PASTA Y VIDRIO Color: BLANCO Referencia:  Observacion:  Placa padre:  Tipo adquisicion : Entidad</v>
      </c>
      <c r="G15668" s="5" t="str">
        <f>"DS-2CE55AN-IRM"</f>
        <v>DS-2CE55AN-IRM</v>
      </c>
    </row>
    <row r="15669" spans="1:7" ht="58.5" customHeight="1" x14ac:dyDescent="0.25">
      <c r="A15669" s="5" t="str">
        <f>"H0002374"</f>
        <v>H0002374</v>
      </c>
      <c r="B15669" s="5" t="str">
        <f t="shared" si="807"/>
        <v>CAMARA DE VIDEOVIGILANCIA</v>
      </c>
      <c r="C15669" s="6">
        <v>170000</v>
      </c>
      <c r="D15669" s="5"/>
      <c r="E15669" s="5" t="str">
        <f t="shared" si="806"/>
        <v>ACTISALUD - BODEGA - WILLIAM ZUÑIGA-DIEGO GARCIA</v>
      </c>
      <c r="F15669" s="5" t="str">
        <f>"Descripcion:MINIDOMO HIKVISION 700TVL LENTE 3.6MM Estado: Excelente Placa anterior: 000030747 Material: PASTA Y VIDRIO Color: BLANCO Referencia:  Observacion:  Placa padre:  Tipo adquisicion : Entidad"</f>
        <v>Descripcion:MINIDOMO HIKVISION 700TVL LENTE 3.6MM Estado: Excelente Placa anterior: 000030747 Material: PASTA Y VIDRIO Color: BLANCO Referencia:  Observacion:  Placa padre:  Tipo adquisicion : Entidad</v>
      </c>
      <c r="G15669" s="5" t="str">
        <f>"DS-2CE55A2N-IRP"</f>
        <v>DS-2CE55A2N-IRP</v>
      </c>
    </row>
    <row r="15670" spans="1:7" ht="58.5" customHeight="1" x14ac:dyDescent="0.25">
      <c r="A15670" s="5" t="str">
        <f>"H0002375"</f>
        <v>H0002375</v>
      </c>
      <c r="B15670" s="5" t="str">
        <f t="shared" si="807"/>
        <v>CAMARA DE VIDEOVIGILANCIA</v>
      </c>
      <c r="C15670" s="6">
        <v>170000</v>
      </c>
      <c r="D15670" s="5"/>
      <c r="E15670" s="5" t="str">
        <f t="shared" si="806"/>
        <v>ACTISALUD - BODEGA - WILLIAM ZUÑIGA-DIEGO GARCIA</v>
      </c>
      <c r="F15670" s="5" t="str">
        <f>"Descripcion:MINIDOMO HIKVISION 700TVL LENTE 3.6MM Estado: Excelente Placa anterior: 000030748 Material: PASTA Y VIDRIO Color: BLANCO Referencia:  Observacion:  Placa padre:  Tipo adquisicion : Entidad"</f>
        <v>Descripcion:MINIDOMO HIKVISION 700TVL LENTE 3.6MM Estado: Excelente Placa anterior: 000030748 Material: PASTA Y VIDRIO Color: BLANCO Referencia:  Observacion:  Placa padre:  Tipo adquisicion : Entidad</v>
      </c>
      <c r="G15670" s="5" t="str">
        <f>"DS-2CE55A2N-IRM"</f>
        <v>DS-2CE55A2N-IRM</v>
      </c>
    </row>
    <row r="15671" spans="1:7" ht="58.5" customHeight="1" x14ac:dyDescent="0.25">
      <c r="A15671" s="5" t="str">
        <f>"H0002376"</f>
        <v>H0002376</v>
      </c>
      <c r="B15671" s="5" t="str">
        <f t="shared" si="807"/>
        <v>CAMARA DE VIDEOVIGILANCIA</v>
      </c>
      <c r="C15671" s="6">
        <v>170000</v>
      </c>
      <c r="D15671" s="5"/>
      <c r="E15671" s="5" t="str">
        <f t="shared" si="806"/>
        <v>ACTISALUD - BODEGA - WILLIAM ZUÑIGA-DIEGO GARCIA</v>
      </c>
      <c r="F15671" s="5" t="str">
        <f>"Descripcion:MINIDOMO HIKVISION 700TVL LENTE 3.6MM Estado: Excelente Placa anterior: 000030749 Material: PASTA Y VIDRIO Color: BLANCO Referencia:  Observacion:  Placa padre:  Tipo adquisicion : Entidad"</f>
        <v>Descripcion:MINIDOMO HIKVISION 700TVL LENTE 3.6MM Estado: Excelente Placa anterior: 000030749 Material: PASTA Y VIDRIO Color: BLANCO Referencia:  Observacion:  Placa padre:  Tipo adquisicion : Entidad</v>
      </c>
      <c r="G15671" s="5" t="str">
        <f>"DS-2CE55A2N-IRP"</f>
        <v>DS-2CE55A2N-IRP</v>
      </c>
    </row>
    <row r="15672" spans="1:7" ht="58.5" customHeight="1" x14ac:dyDescent="0.25">
      <c r="A15672" s="5" t="str">
        <f>"H0002377"</f>
        <v>H0002377</v>
      </c>
      <c r="B15672" s="5" t="str">
        <f t="shared" si="807"/>
        <v>CAMARA DE VIDEOVIGILANCIA</v>
      </c>
      <c r="C15672" s="6">
        <v>170000</v>
      </c>
      <c r="D15672" s="5"/>
      <c r="E15672" s="5" t="str">
        <f t="shared" si="806"/>
        <v>ACTISALUD - BODEGA - WILLIAM ZUÑIGA-DIEGO GARCIA</v>
      </c>
      <c r="F15672" s="5" t="str">
        <f>"Descripcion:MINIDOMO HIKVISION 700TVL LENTE 3.6MM Estado: Excelente Placa anterior: 000030750 Material: PASTA Y VIDRIO Color: BLANCO Referencia:  Observacion:  Placa padre:  Tipo adquisicion : Entidad"</f>
        <v>Descripcion:MINIDOMO HIKVISION 700TVL LENTE 3.6MM Estado: Excelente Placa anterior: 000030750 Material: PASTA Y VIDRIO Color: BLANCO Referencia:  Observacion:  Placa padre:  Tipo adquisicion : Entidad</v>
      </c>
      <c r="G15672" s="5" t="str">
        <f>"DS-2CE55A2N-IRM"</f>
        <v>DS-2CE55A2N-IRM</v>
      </c>
    </row>
    <row r="15673" spans="1:7" ht="58.5" customHeight="1" x14ac:dyDescent="0.25">
      <c r="A15673" s="5" t="str">
        <f>"H0002706"</f>
        <v>H0002706</v>
      </c>
      <c r="B15673" s="5" t="str">
        <f t="shared" ref="B15673:B15690" si="808">"FUENTE DE PODER"</f>
        <v>FUENTE DE PODER</v>
      </c>
      <c r="C15673" s="6">
        <v>11200</v>
      </c>
      <c r="D15673" s="5"/>
      <c r="E15673" s="5" t="str">
        <f t="shared" si="806"/>
        <v>ACTISALUD - BODEGA - WILLIAM ZUÑIGA-DIEGO GARCIA</v>
      </c>
      <c r="F15673" s="5" t="str">
        <f>"Descripcion:FUENTE DE PODER 12V 1A Estado: Excelente Placa anterior: 000030764 Material: PASTA Color:  Referencia:  Observacion:  Placa padre:  Tipo adquisicion : Entidad"</f>
        <v>Descripcion:FUENTE DE PODER 12V 1A Estado: Excelente Placa anterior: 000030764 Material: PASTA Color:  Referencia:  Observacion:  Placa padre:  Tipo adquisicion : Entidad</v>
      </c>
      <c r="G15673" s="5"/>
    </row>
    <row r="15674" spans="1:7" ht="58.5" customHeight="1" x14ac:dyDescent="0.25">
      <c r="A15674" s="5" t="str">
        <f>"H0002707"</f>
        <v>H0002707</v>
      </c>
      <c r="B15674" s="5" t="str">
        <f t="shared" si="808"/>
        <v>FUENTE DE PODER</v>
      </c>
      <c r="C15674" s="6">
        <v>11200</v>
      </c>
      <c r="D15674" s="5"/>
      <c r="E15674" s="5" t="str">
        <f t="shared" si="806"/>
        <v>ACTISALUD - BODEGA - WILLIAM ZUÑIGA-DIEGO GARCIA</v>
      </c>
      <c r="F15674" s="5" t="str">
        <f>"Descripcion:FUENTE DE PODER 12V 1A Estado: Excelente Placa anterior: 000030765 Material: PASTA Color:  Referencia:  Observacion:  Placa padre:  Tipo adquisicion : Entidad"</f>
        <v>Descripcion:FUENTE DE PODER 12V 1A Estado: Excelente Placa anterior: 000030765 Material: PASTA Color:  Referencia:  Observacion:  Placa padre:  Tipo adquisicion : Entidad</v>
      </c>
      <c r="G15674" s="5"/>
    </row>
    <row r="15675" spans="1:7" ht="58.5" customHeight="1" x14ac:dyDescent="0.25">
      <c r="A15675" s="5" t="str">
        <f>"H0002708"</f>
        <v>H0002708</v>
      </c>
      <c r="B15675" s="5" t="str">
        <f t="shared" si="808"/>
        <v>FUENTE DE PODER</v>
      </c>
      <c r="C15675" s="6">
        <v>11200</v>
      </c>
      <c r="D15675" s="5"/>
      <c r="E15675" s="5" t="str">
        <f t="shared" si="806"/>
        <v>ACTISALUD - BODEGA - WILLIAM ZUÑIGA-DIEGO GARCIA</v>
      </c>
      <c r="F15675" s="5" t="str">
        <f>"Descripcion:FUENTE DE PODER 12V 1A Estado: Excelente Placa anterior: 000030766 Material: PASTA Color:  Referencia:  Observacion:  Placa padre:  Tipo adquisicion : Entidad"</f>
        <v>Descripcion:FUENTE DE PODER 12V 1A Estado: Excelente Placa anterior: 000030766 Material: PASTA Color:  Referencia:  Observacion:  Placa padre:  Tipo adquisicion : Entidad</v>
      </c>
      <c r="G15675" s="5"/>
    </row>
    <row r="15676" spans="1:7" ht="58.5" customHeight="1" x14ac:dyDescent="0.25">
      <c r="A15676" s="5" t="str">
        <f>"H0002709"</f>
        <v>H0002709</v>
      </c>
      <c r="B15676" s="5" t="str">
        <f t="shared" si="808"/>
        <v>FUENTE DE PODER</v>
      </c>
      <c r="C15676" s="6">
        <v>11200</v>
      </c>
      <c r="D15676" s="5"/>
      <c r="E15676" s="5" t="str">
        <f t="shared" si="806"/>
        <v>ACTISALUD - BODEGA - WILLIAM ZUÑIGA-DIEGO GARCIA</v>
      </c>
      <c r="F15676" s="5" t="str">
        <f>"Descripcion:FUENTE DE PODER 12V 1A Estado: Excelente Placa anterior: 000030767 Material: PASTA Color:  Referencia:  Observacion:  Placa padre:  Tipo adquisicion : Entidad"</f>
        <v>Descripcion:FUENTE DE PODER 12V 1A Estado: Excelente Placa anterior: 000030767 Material: PASTA Color:  Referencia:  Observacion:  Placa padre:  Tipo adquisicion : Entidad</v>
      </c>
      <c r="G15676" s="5"/>
    </row>
    <row r="15677" spans="1:7" ht="58.5" customHeight="1" x14ac:dyDescent="0.25">
      <c r="A15677" s="5" t="str">
        <f>"H0002710"</f>
        <v>H0002710</v>
      </c>
      <c r="B15677" s="5" t="str">
        <f t="shared" si="808"/>
        <v>FUENTE DE PODER</v>
      </c>
      <c r="C15677" s="6">
        <v>11200</v>
      </c>
      <c r="D15677" s="5"/>
      <c r="E15677" s="5" t="str">
        <f t="shared" si="806"/>
        <v>ACTISALUD - BODEGA - WILLIAM ZUÑIGA-DIEGO GARCIA</v>
      </c>
      <c r="F15677" s="5" t="str">
        <f>"Descripcion:FUENTE DE PODER 12V 1A Estado: Excelente Placa anterior: 000030768 Material: PASTA Color:  Referencia:  Observacion:  Placa padre:  Tipo adquisicion : Entidad"</f>
        <v>Descripcion:FUENTE DE PODER 12V 1A Estado: Excelente Placa anterior: 000030768 Material: PASTA Color:  Referencia:  Observacion:  Placa padre:  Tipo adquisicion : Entidad</v>
      </c>
      <c r="G15677" s="5"/>
    </row>
    <row r="15678" spans="1:7" ht="58.5" customHeight="1" x14ac:dyDescent="0.25">
      <c r="A15678" s="5" t="str">
        <f>"H0002711"</f>
        <v>H0002711</v>
      </c>
      <c r="B15678" s="5" t="str">
        <f t="shared" si="808"/>
        <v>FUENTE DE PODER</v>
      </c>
      <c r="C15678" s="6">
        <v>11200</v>
      </c>
      <c r="D15678" s="5"/>
      <c r="E15678" s="5" t="str">
        <f t="shared" si="806"/>
        <v>ACTISALUD - BODEGA - WILLIAM ZUÑIGA-DIEGO GARCIA</v>
      </c>
      <c r="F15678" s="5" t="str">
        <f>"Descripcion:FUENTE DE PODER 12V 1A Estado: Excelente Placa anterior: 000030770 Material: PASTA Color:  Referencia:  Observacion:  Placa padre:  Tipo adquisicion : Entidad"</f>
        <v>Descripcion:FUENTE DE PODER 12V 1A Estado: Excelente Placa anterior: 000030770 Material: PASTA Color:  Referencia:  Observacion:  Placa padre:  Tipo adquisicion : Entidad</v>
      </c>
      <c r="G15678" s="5"/>
    </row>
    <row r="15679" spans="1:7" ht="58.5" customHeight="1" x14ac:dyDescent="0.25">
      <c r="A15679" s="5" t="str">
        <f>"H0002712"</f>
        <v>H0002712</v>
      </c>
      <c r="B15679" s="5" t="str">
        <f t="shared" si="808"/>
        <v>FUENTE DE PODER</v>
      </c>
      <c r="C15679" s="6">
        <v>11200</v>
      </c>
      <c r="D15679" s="5"/>
      <c r="E15679" s="5" t="str">
        <f t="shared" si="806"/>
        <v>ACTISALUD - BODEGA - WILLIAM ZUÑIGA-DIEGO GARCIA</v>
      </c>
      <c r="F15679" s="5" t="str">
        <f>"Descripcion:FUENTE DE PODER 12V 1A Estado: Excelente Placa anterior: 000030771 Material: PASTA Color:  Referencia:  Observacion:  Placa padre:  Tipo adquisicion : Entidad"</f>
        <v>Descripcion:FUENTE DE PODER 12V 1A Estado: Excelente Placa anterior: 000030771 Material: PASTA Color:  Referencia:  Observacion:  Placa padre:  Tipo adquisicion : Entidad</v>
      </c>
      <c r="G15679" s="5"/>
    </row>
    <row r="15680" spans="1:7" ht="58.5" customHeight="1" x14ac:dyDescent="0.25">
      <c r="A15680" s="5" t="str">
        <f>"H0002713"</f>
        <v>H0002713</v>
      </c>
      <c r="B15680" s="5" t="str">
        <f t="shared" si="808"/>
        <v>FUENTE DE PODER</v>
      </c>
      <c r="C15680" s="6">
        <v>11200</v>
      </c>
      <c r="D15680" s="5"/>
      <c r="E15680" s="5" t="str">
        <f t="shared" si="806"/>
        <v>ACTISALUD - BODEGA - WILLIAM ZUÑIGA-DIEGO GARCIA</v>
      </c>
      <c r="F15680" s="5" t="str">
        <f>"Descripcion:FUENTE DE PODER 12V 1A Estado: Excelente Placa anterior: 000030772 Material: PASTA Color:  Referencia:  Observacion:  Placa padre:  Tipo adquisicion : Entidad"</f>
        <v>Descripcion:FUENTE DE PODER 12V 1A Estado: Excelente Placa anterior: 000030772 Material: PASTA Color:  Referencia:  Observacion:  Placa padre:  Tipo adquisicion : Entidad</v>
      </c>
      <c r="G15680" s="5"/>
    </row>
    <row r="15681" spans="1:7" ht="58.5" customHeight="1" x14ac:dyDescent="0.25">
      <c r="A15681" s="5" t="str">
        <f>"H0002714"</f>
        <v>H0002714</v>
      </c>
      <c r="B15681" s="5" t="str">
        <f t="shared" si="808"/>
        <v>FUENTE DE PODER</v>
      </c>
      <c r="C15681" s="6">
        <v>11200</v>
      </c>
      <c r="D15681" s="5"/>
      <c r="E15681" s="5" t="str">
        <f t="shared" si="806"/>
        <v>ACTISALUD - BODEGA - WILLIAM ZUÑIGA-DIEGO GARCIA</v>
      </c>
      <c r="F15681" s="5" t="str">
        <f>"Descripcion:FUENTE DE PODER 12V 1A Estado: Excelente Placa anterior: 000030773 Material: PASTA Color:  Referencia:  Observacion:  Placa padre:  Tipo adquisicion : Entidad"</f>
        <v>Descripcion:FUENTE DE PODER 12V 1A Estado: Excelente Placa anterior: 000030773 Material: PASTA Color:  Referencia:  Observacion:  Placa padre:  Tipo adquisicion : Entidad</v>
      </c>
      <c r="G15681" s="5"/>
    </row>
    <row r="15682" spans="1:7" ht="58.5" customHeight="1" x14ac:dyDescent="0.25">
      <c r="A15682" s="5" t="str">
        <f>"H0002715"</f>
        <v>H0002715</v>
      </c>
      <c r="B15682" s="5" t="str">
        <f t="shared" si="808"/>
        <v>FUENTE DE PODER</v>
      </c>
      <c r="C15682" s="6">
        <v>11200</v>
      </c>
      <c r="D15682" s="5"/>
      <c r="E15682" s="5" t="str">
        <f t="shared" si="806"/>
        <v>ACTISALUD - BODEGA - WILLIAM ZUÑIGA-DIEGO GARCIA</v>
      </c>
      <c r="F15682" s="5" t="str">
        <f>"Descripcion:FUENTE DE PODER 12V 1A Estado: Excelente Placa anterior: 000030769 Material: PASTA Color:  Referencia:  Observacion:  Placa padre:  Tipo adquisicion : Entidad"</f>
        <v>Descripcion:FUENTE DE PODER 12V 1A Estado: Excelente Placa anterior: 000030769 Material: PASTA Color:  Referencia:  Observacion:  Placa padre:  Tipo adquisicion : Entidad</v>
      </c>
      <c r="G15682" s="5"/>
    </row>
    <row r="15683" spans="1:7" ht="58.5" customHeight="1" x14ac:dyDescent="0.25">
      <c r="A15683" s="5" t="str">
        <f>"H0002716"</f>
        <v>H0002716</v>
      </c>
      <c r="B15683" s="5" t="str">
        <f t="shared" si="808"/>
        <v>FUENTE DE PODER</v>
      </c>
      <c r="C15683" s="6">
        <v>11200</v>
      </c>
      <c r="D15683" s="5"/>
      <c r="E15683" s="5" t="str">
        <f t="shared" si="806"/>
        <v>ACTISALUD - BODEGA - WILLIAM ZUÑIGA-DIEGO GARCIA</v>
      </c>
      <c r="F15683" s="5" t="str">
        <f>"Descripcion:FUENTE DE PODER 12V 1A Estado: Excelente Placa anterior: 000030774 Material: PASTA Color:  Referencia:  Observacion:  Placa padre:  Tipo adquisicion : Entidad"</f>
        <v>Descripcion:FUENTE DE PODER 12V 1A Estado: Excelente Placa anterior: 000030774 Material: PASTA Color:  Referencia:  Observacion:  Placa padre:  Tipo adquisicion : Entidad</v>
      </c>
      <c r="G15683" s="5"/>
    </row>
    <row r="15684" spans="1:7" ht="58.5" customHeight="1" x14ac:dyDescent="0.25">
      <c r="A15684" s="5" t="str">
        <f>"H0002717"</f>
        <v>H0002717</v>
      </c>
      <c r="B15684" s="5" t="str">
        <f t="shared" si="808"/>
        <v>FUENTE DE PODER</v>
      </c>
      <c r="C15684" s="6">
        <v>11200</v>
      </c>
      <c r="D15684" s="5"/>
      <c r="E15684" s="5" t="str">
        <f t="shared" si="806"/>
        <v>ACTISALUD - BODEGA - WILLIAM ZUÑIGA-DIEGO GARCIA</v>
      </c>
      <c r="F15684" s="5" t="str">
        <f>"Descripcion:FUENTE DE PODER 12V 1A Estado: Excelente Placa anterior: 000030775 Material: PASTA Color:  Referencia:  Observacion:  Placa padre:  Tipo adquisicion : Entidad"</f>
        <v>Descripcion:FUENTE DE PODER 12V 1A Estado: Excelente Placa anterior: 000030775 Material: PASTA Color:  Referencia:  Observacion:  Placa padre:  Tipo adquisicion : Entidad</v>
      </c>
      <c r="G15684" s="5"/>
    </row>
    <row r="15685" spans="1:7" ht="58.5" customHeight="1" x14ac:dyDescent="0.25">
      <c r="A15685" s="5" t="str">
        <f>"H0002718"</f>
        <v>H0002718</v>
      </c>
      <c r="B15685" s="5" t="str">
        <f t="shared" si="808"/>
        <v>FUENTE DE PODER</v>
      </c>
      <c r="C15685" s="6">
        <v>11200</v>
      </c>
      <c r="D15685" s="5"/>
      <c r="E15685" s="5" t="str">
        <f t="shared" si="806"/>
        <v>ACTISALUD - BODEGA - WILLIAM ZUÑIGA-DIEGO GARCIA</v>
      </c>
      <c r="F15685" s="5" t="str">
        <f>"Descripcion:FUENTE DE PODER 12V 1A Estado: Excelente Placa anterior: 000030776 Material: PASTA Color:  Referencia:  Observacion:  Placa padre:  Tipo adquisicion : Entidad"</f>
        <v>Descripcion:FUENTE DE PODER 12V 1A Estado: Excelente Placa anterior: 000030776 Material: PASTA Color:  Referencia:  Observacion:  Placa padre:  Tipo adquisicion : Entidad</v>
      </c>
      <c r="G15685" s="5"/>
    </row>
    <row r="15686" spans="1:7" ht="58.5" customHeight="1" x14ac:dyDescent="0.25">
      <c r="A15686" s="5" t="str">
        <f>"H0002719"</f>
        <v>H0002719</v>
      </c>
      <c r="B15686" s="5" t="str">
        <f t="shared" si="808"/>
        <v>FUENTE DE PODER</v>
      </c>
      <c r="C15686" s="6">
        <v>11200</v>
      </c>
      <c r="D15686" s="5"/>
      <c r="E15686" s="5" t="str">
        <f t="shared" si="806"/>
        <v>ACTISALUD - BODEGA - WILLIAM ZUÑIGA-DIEGO GARCIA</v>
      </c>
      <c r="F15686" s="5" t="str">
        <f>"Descripcion:FUENTE DE PODER 12V 1A Estado: Excelente Placa anterior: 000030777 Material: PASTA Color:  Referencia:  Observacion:  Placa padre:  Tipo adquisicion : Entidad"</f>
        <v>Descripcion:FUENTE DE PODER 12V 1A Estado: Excelente Placa anterior: 000030777 Material: PASTA Color:  Referencia:  Observacion:  Placa padre:  Tipo adquisicion : Entidad</v>
      </c>
      <c r="G15686" s="5"/>
    </row>
    <row r="15687" spans="1:7" ht="58.5" customHeight="1" x14ac:dyDescent="0.25">
      <c r="A15687" s="5" t="str">
        <f>"H0002720"</f>
        <v>H0002720</v>
      </c>
      <c r="B15687" s="5" t="str">
        <f t="shared" si="808"/>
        <v>FUENTE DE PODER</v>
      </c>
      <c r="C15687" s="6">
        <v>11200</v>
      </c>
      <c r="D15687" s="5"/>
      <c r="E15687" s="5" t="str">
        <f t="shared" si="806"/>
        <v>ACTISALUD - BODEGA - WILLIAM ZUÑIGA-DIEGO GARCIA</v>
      </c>
      <c r="F15687" s="5" t="str">
        <f>"Descripcion:FUENTE DE PODER 12V 1A Estado: Excelente Placa anterior: 000030778 Material: PASTA Color:  Referencia:  Observacion:  Placa padre:  Tipo adquisicion : Entidad"</f>
        <v>Descripcion:FUENTE DE PODER 12V 1A Estado: Excelente Placa anterior: 000030778 Material: PASTA Color:  Referencia:  Observacion:  Placa padre:  Tipo adquisicion : Entidad</v>
      </c>
      <c r="G15687" s="5"/>
    </row>
    <row r="15688" spans="1:7" ht="58.5" customHeight="1" x14ac:dyDescent="0.25">
      <c r="A15688" s="5" t="str">
        <f>"H0002721"</f>
        <v>H0002721</v>
      </c>
      <c r="B15688" s="5" t="str">
        <f t="shared" si="808"/>
        <v>FUENTE DE PODER</v>
      </c>
      <c r="C15688" s="6">
        <v>11200</v>
      </c>
      <c r="D15688" s="5"/>
      <c r="E15688" s="5" t="str">
        <f t="shared" si="806"/>
        <v>ACTISALUD - BODEGA - WILLIAM ZUÑIGA-DIEGO GARCIA</v>
      </c>
      <c r="F15688" s="5" t="str">
        <f>"Descripcion:FUENTE DE PODER 12V 1A Estado: Excelente Placa anterior: 000030779 Material: PASTA Color:  Referencia:  Observacion:  Placa padre:  Tipo adquisicion : Entidad"</f>
        <v>Descripcion:FUENTE DE PODER 12V 1A Estado: Excelente Placa anterior: 000030779 Material: PASTA Color:  Referencia:  Observacion:  Placa padre:  Tipo adquisicion : Entidad</v>
      </c>
      <c r="G15688" s="5" t="str">
        <f>"TRANS12V15"</f>
        <v>TRANS12V15</v>
      </c>
    </row>
    <row r="15689" spans="1:7" ht="58.5" customHeight="1" x14ac:dyDescent="0.25">
      <c r="A15689" s="5" t="str">
        <f>"H0002722"</f>
        <v>H0002722</v>
      </c>
      <c r="B15689" s="5" t="str">
        <f t="shared" si="808"/>
        <v>FUENTE DE PODER</v>
      </c>
      <c r="C15689" s="6">
        <v>11200</v>
      </c>
      <c r="D15689" s="5"/>
      <c r="E15689" s="5" t="str">
        <f t="shared" si="806"/>
        <v>ACTISALUD - BODEGA - WILLIAM ZUÑIGA-DIEGO GARCIA</v>
      </c>
      <c r="F15689" s="5" t="str">
        <f>"Descripcion:FUENTE DE PODER 12V 1A Estado: Excelente Placa anterior: 000030780 Material: PASTA Color:  Referencia:  Observacion:  Placa padre:  Tipo adquisicion : Entidad"</f>
        <v>Descripcion:FUENTE DE PODER 12V 1A Estado: Excelente Placa anterior: 000030780 Material: PASTA Color:  Referencia:  Observacion:  Placa padre:  Tipo adquisicion : Entidad</v>
      </c>
      <c r="G15689" s="5" t="str">
        <f>"TRANS 12V15"</f>
        <v>TRANS 12V15</v>
      </c>
    </row>
    <row r="15690" spans="1:7" ht="58.5" customHeight="1" x14ac:dyDescent="0.25">
      <c r="A15690" s="5" t="str">
        <f>"H0002723"</f>
        <v>H0002723</v>
      </c>
      <c r="B15690" s="5" t="str">
        <f t="shared" si="808"/>
        <v>FUENTE DE PODER</v>
      </c>
      <c r="C15690" s="6">
        <v>11200</v>
      </c>
      <c r="D15690" s="5"/>
      <c r="E15690" s="5" t="str">
        <f t="shared" si="806"/>
        <v>ACTISALUD - BODEGA - WILLIAM ZUÑIGA-DIEGO GARCIA</v>
      </c>
      <c r="F15690" s="5" t="str">
        <f>"Descripcion:FUENTE DE PODER 12V 1A Estado: Excelente Placa anterior: 000030781 Material: PASTA Color:  Referencia:  Observacion:  Placa padre:  Tipo adquisicion : Entidad"</f>
        <v>Descripcion:FUENTE DE PODER 12V 1A Estado: Excelente Placa anterior: 000030781 Material: PASTA Color:  Referencia:  Observacion:  Placa padre:  Tipo adquisicion : Entidad</v>
      </c>
      <c r="G15690" s="5" t="str">
        <f>"TRANS 12V15"</f>
        <v>TRANS 12V15</v>
      </c>
    </row>
    <row r="15691" spans="1:7" ht="58.5" customHeight="1" x14ac:dyDescent="0.25">
      <c r="A15691" s="5" t="str">
        <f>"H0006741"</f>
        <v>H0006741</v>
      </c>
      <c r="B15691" s="5" t="str">
        <f>"TELEFONO MONEDERO"</f>
        <v>TELEFONO MONEDERO</v>
      </c>
      <c r="C15691" s="6">
        <v>638000</v>
      </c>
      <c r="D15691" s="5"/>
      <c r="E15691" s="5" t="str">
        <f t="shared" si="806"/>
        <v>ACTISALUD - BODEGA - WILLIAM ZUÑIGA-DIEGO GARCIA</v>
      </c>
      <c r="F15691" s="5" t="str">
        <f>"Descripcion:TELEFONO MONEDERO AUTOMATICOS IMPORT ACTIVOZ DE PARED. CARACTERISTICAS: PROGRAMADOS PARA LLAMADAS UNICAMENTE LOCAL, MULTIMONEDA CON BAJATE ANTIFRAUDE, CON BLOQUEO TAN PRONTO SE LLENE LA ALCANCIA. Estado: Excelente Placa anterior: 000028698 Mat"&amp; "erial: PASTA Color: NEGRO Y ROJO Referencia:  Observacion:  Placa padre:  Tipo adquisicion : Entidad"</f>
        <v>Descripcion:TELEFONO MONEDERO AUTOMATICOS IMPORT ACTIVOZ DE PARED. CARACTERISTICAS: PROGRAMADOS PARA LLAMADAS UNICAMENTE LOCAL, MULTIMONEDA CON BAJATE ANTIFRAUDE, CON BLOQUEO TAN PRONTO SE LLENE LA ALCANCIA. Estado: Excelente Placa anterior: 000028698 Material: PASTA Color: NEGRO Y ROJO Referencia:  Observacion:  Placa padre:  Tipo adquisicion : Entidad</v>
      </c>
      <c r="G15691" s="5"/>
    </row>
    <row r="15692" spans="1:7" ht="58.5" customHeight="1" x14ac:dyDescent="0.25">
      <c r="A15692" s="5" t="str">
        <f>"H0006743"</f>
        <v>H0006743</v>
      </c>
      <c r="B15692" s="5" t="str">
        <f>"TELEFONO MONEDERO"</f>
        <v>TELEFONO MONEDERO</v>
      </c>
      <c r="C15692" s="6">
        <v>638000</v>
      </c>
      <c r="D15692" s="5"/>
      <c r="E15692" s="5" t="str">
        <f t="shared" si="806"/>
        <v>ACTISALUD - BODEGA - WILLIAM ZUÑIGA-DIEGO GARCIA</v>
      </c>
      <c r="F15692" s="5" t="str">
        <f>"Descripcion:TELEFONO MONEDERO AUTOMATICOS IMPORT ACTIVOZ DE PARED. CARACTERISTICAS: PROGRAMADOS PARA LLAMADAS UNICAMENTE LOCAL, MULTIMONEDA CON BAJATE ANTIFRAUDE, CON BLOQUEO TAN PRONTO SE LLENE LA ALCANCIA. Estado: Excelente Placa anterior: 000028697 Mat"&amp; "erial: PASTA Color: NEGRO Y ROJO Referencia:  Observacion:  Placa padre:  Tipo adquisicion : Entidad"</f>
        <v>Descripcion:TELEFONO MONEDERO AUTOMATICOS IMPORT ACTIVOZ DE PARED. CARACTERISTICAS: PROGRAMADOS PARA LLAMADAS UNICAMENTE LOCAL, MULTIMONEDA CON BAJATE ANTIFRAUDE, CON BLOQUEO TAN PRONTO SE LLENE LA ALCANCIA. Estado: Excelente Placa anterior: 000028697 Material: PASTA Color: NEGRO Y ROJO Referencia:  Observacion:  Placa padre:  Tipo adquisicion : Entidad</v>
      </c>
      <c r="G15692" s="5"/>
    </row>
    <row r="15693" spans="1:7" ht="58.5" customHeight="1" x14ac:dyDescent="0.25">
      <c r="A15693" s="5" t="str">
        <f>"H0006744"</f>
        <v>H0006744</v>
      </c>
      <c r="B15693" s="5" t="str">
        <f>"TELEFONO MONEDERO"</f>
        <v>TELEFONO MONEDERO</v>
      </c>
      <c r="C15693" s="6">
        <v>638000</v>
      </c>
      <c r="D15693" s="5"/>
      <c r="E15693" s="5" t="str">
        <f t="shared" si="806"/>
        <v>ACTISALUD - BODEGA - WILLIAM ZUÑIGA-DIEGO GARCIA</v>
      </c>
      <c r="F15693" s="5" t="str">
        <f>"Descripcion:TELEFONO MONEDERO AUTOMATICOS IMPORT ACTIVOZ DE PARED. CARACTERISTICAS: PROGRAMADOS PARA LLAMADAS UNICAMENTE LOCAL, MULTIMONEDA CON BAJATE ANTIFRAUDE, CON BLOQUEO TAN PRONTO SE LLENE LA ALCANCIA. Estado: Excelente Placa anterior: 000028699 Mat"&amp; "erial: PASTA Color: NEGRO Y ROJO Referencia:  Observacion:  Placa padre:  Tipo adquisicion : Entidad"</f>
        <v>Descripcion:TELEFONO MONEDERO AUTOMATICOS IMPORT ACTIVOZ DE PARED. CARACTERISTICAS: PROGRAMADOS PARA LLAMADAS UNICAMENTE LOCAL, MULTIMONEDA CON BAJATE ANTIFRAUDE, CON BLOQUEO TAN PRONTO SE LLENE LA ALCANCIA. Estado: Excelente Placa anterior: 000028699 Material: PASTA Color: NEGRO Y ROJO Referencia:  Observacion:  Placa padre:  Tipo adquisicion : Entidad</v>
      </c>
      <c r="G15693" s="5"/>
    </row>
    <row r="15694" spans="1:7" ht="58.5" customHeight="1" x14ac:dyDescent="0.25">
      <c r="A15694" s="5" t="str">
        <f>"H0006745"</f>
        <v>H0006745</v>
      </c>
      <c r="B15694" s="5" t="str">
        <f>"TELEFONO MONEDERO"</f>
        <v>TELEFONO MONEDERO</v>
      </c>
      <c r="C15694" s="6">
        <v>638000</v>
      </c>
      <c r="D15694" s="5"/>
      <c r="E15694" s="5" t="str">
        <f t="shared" si="806"/>
        <v>ACTISALUD - BODEGA - WILLIAM ZUÑIGA-DIEGO GARCIA</v>
      </c>
      <c r="F15694" s="5" t="str">
        <f>"Descripcion:TELEFONO MONEDERO AUTOMATICOS IMPORT ACTIVOZ DE PARED. CARACTERISTICAS: PROGRAMADOS PARA LLAMADAS UNICAMENTE LOCAL, MULTIMONEDA CON BAJATE ANTIFRAUDE, CON BLOQUEO TAN PRONTO SE LLENE LA ALCANCIA. Estado: Excelente Placa anterior: 000028700 Mat"&amp; "erial: PASTA Color: NEGRO Y ROJO Referencia:  Observacion:  Placa padre:  Tipo adquisicion : Entidad"</f>
        <v>Descripcion:TELEFONO MONEDERO AUTOMATICOS IMPORT ACTIVOZ DE PARED. CARACTERISTICAS: PROGRAMADOS PARA LLAMADAS UNICAMENTE LOCAL, MULTIMONEDA CON BAJATE ANTIFRAUDE, CON BLOQUEO TAN PRONTO SE LLENE LA ALCANCIA. Estado: Excelente Placa anterior: 000028700 Material: PASTA Color: NEGRO Y ROJO Referencia:  Observacion:  Placa padre:  Tipo adquisicion : Entidad</v>
      </c>
      <c r="G15694" s="5"/>
    </row>
    <row r="15695" spans="1:7" ht="58.5" customHeight="1" x14ac:dyDescent="0.25">
      <c r="A15695" s="5" t="str">
        <f>"H0006746"</f>
        <v>H0006746</v>
      </c>
      <c r="B15695" s="5" t="str">
        <f>"TELEFONO MONEDERO"</f>
        <v>TELEFONO MONEDERO</v>
      </c>
      <c r="C15695" s="6">
        <v>638000</v>
      </c>
      <c r="D15695" s="5"/>
      <c r="E15695" s="5" t="str">
        <f t="shared" si="806"/>
        <v>ACTISALUD - BODEGA - WILLIAM ZUÑIGA-DIEGO GARCIA</v>
      </c>
      <c r="F15695" s="5" t="str">
        <f>"Descripcion:TELEFONO MONEDERO AUTOMATICOS IMPORT ACTIVOZ DE PARED. CARACTERISTICAS: PROGRAMADOS PARA LLAMADAS UNICAMENTE LOCAL, MULTIMONEDA CON BAJATE ANTIFRAUDE, CON BLOQUEO TAN PRONTO SE LLENE LA ALCANCIA. Estado: Excelente Placa anterior: 000028701 Mat"&amp; "erial: PASTA Color: NEGRO Y ROJO Referencia:  Observacion:  Placa padre:  Tipo adquisicion : Entidad"</f>
        <v>Descripcion:TELEFONO MONEDERO AUTOMATICOS IMPORT ACTIVOZ DE PARED. CARACTERISTICAS: PROGRAMADOS PARA LLAMADAS UNICAMENTE LOCAL, MULTIMONEDA CON BAJATE ANTIFRAUDE, CON BLOQUEO TAN PRONTO SE LLENE LA ALCANCIA. Estado: Excelente Placa anterior: 000028701 Material: PASTA Color: NEGRO Y ROJO Referencia:  Observacion:  Placa padre:  Tipo adquisicion : Entidad</v>
      </c>
      <c r="G15695" s="5"/>
    </row>
    <row r="15696" spans="1:7" ht="58.5" customHeight="1" x14ac:dyDescent="0.25">
      <c r="A15696" s="5" t="str">
        <f>"H0006747"</f>
        <v>H0006747</v>
      </c>
      <c r="B15696" s="5" t="str">
        <f>"TONOMETRO"</f>
        <v>TONOMETRO</v>
      </c>
      <c r="C15696" s="6">
        <v>513000</v>
      </c>
      <c r="D15696" s="5"/>
      <c r="E15696" s="5" t="str">
        <f t="shared" si="806"/>
        <v>ACTISALUD - BODEGA - WILLIAM ZUÑIGA-DIEGO GARCIA</v>
      </c>
      <c r="F15696" s="5" t="str">
        <f>"Descripcion:TONOMETRO (SCHIOTA) Estado: Excelente Placa anterior: 000028709 Material: ACERO INOX. Color: PLATEADO Referencia:  Observacion:  Placa padre:  Tipo adquisicion : Entidad"</f>
        <v>Descripcion:TONOMETRO (SCHIOTA) Estado: Excelente Placa anterior: 000028709 Material: ACERO INOX. Color: PLATEADO Referencia:  Observacion:  Placa padre:  Tipo adquisicion : Entidad</v>
      </c>
      <c r="G15696" s="5"/>
    </row>
    <row r="15697" spans="1:7" ht="58.5" customHeight="1" x14ac:dyDescent="0.25">
      <c r="A15697" s="5" t="str">
        <f>"H0006748"</f>
        <v>H0006748</v>
      </c>
      <c r="B15697" s="5" t="str">
        <f>"TONOMETRO"</f>
        <v>TONOMETRO</v>
      </c>
      <c r="C15697" s="6">
        <v>513000</v>
      </c>
      <c r="D15697" s="5"/>
      <c r="E15697" s="5" t="str">
        <f t="shared" si="806"/>
        <v>ACTISALUD - BODEGA - WILLIAM ZUÑIGA-DIEGO GARCIA</v>
      </c>
      <c r="F15697" s="5" t="str">
        <f>"Descripcion:TONOMETRO (SCHIOTA) Estado: Excelente Placa anterior: 000028710 Material: ACERO INOX. Color: PLATEADO Referencia:  Observacion:  Placa padre:  Tipo adquisicion : Entidad"</f>
        <v>Descripcion:TONOMETRO (SCHIOTA) Estado: Excelente Placa anterior: 000028710 Material: ACERO INOX. Color: PLATEADO Referencia:  Observacion:  Placa padre:  Tipo adquisicion : Entidad</v>
      </c>
      <c r="G15697" s="5"/>
    </row>
    <row r="15698" spans="1:7" ht="58.5" customHeight="1" x14ac:dyDescent="0.25">
      <c r="A15698" s="5" t="str">
        <f>"H0006749"</f>
        <v>H0006749</v>
      </c>
      <c r="B15698" s="5" t="str">
        <f>"TONOMETRO"</f>
        <v>TONOMETRO</v>
      </c>
      <c r="C15698" s="6">
        <v>513000</v>
      </c>
      <c r="D15698" s="5"/>
      <c r="E15698" s="5" t="str">
        <f t="shared" si="806"/>
        <v>ACTISALUD - BODEGA - WILLIAM ZUÑIGA-DIEGO GARCIA</v>
      </c>
      <c r="F15698" s="5" t="str">
        <f>"Descripcion:TONOMETRO (SCHIOTA) Estado: Excelente Placa anterior: 000028711 Material: ACERO INOX. Color: PLATEADO Referencia:  Observacion:  Placa padre:  Tipo adquisicion : Entidad"</f>
        <v>Descripcion:TONOMETRO (SCHIOTA) Estado: Excelente Placa anterior: 000028711 Material: ACERO INOX. Color: PLATEADO Referencia:  Observacion:  Placa padre:  Tipo adquisicion : Entidad</v>
      </c>
      <c r="G15698" s="5"/>
    </row>
    <row r="15699" spans="1:7" ht="58.5" customHeight="1" x14ac:dyDescent="0.25">
      <c r="A15699" s="5" t="str">
        <f>"H0006751"</f>
        <v>H0006751</v>
      </c>
      <c r="B15699" s="5" t="str">
        <f>"TONOMETRO"</f>
        <v>TONOMETRO</v>
      </c>
      <c r="C15699" s="6">
        <v>513000</v>
      </c>
      <c r="D15699" s="5"/>
      <c r="E15699" s="5" t="str">
        <f t="shared" si="806"/>
        <v>ACTISALUD - BODEGA - WILLIAM ZUÑIGA-DIEGO GARCIA</v>
      </c>
      <c r="F15699" s="5" t="str">
        <f>"Descripcion:TONOMETRO (SCHIOTA) Estado: Excelente Placa anterior: 000028712 Material: ACERO INOX. Color: PLATEADO Referencia:  Observacion:  Placa padre:  Tipo adquisicion : Entidad"</f>
        <v>Descripcion:TONOMETRO (SCHIOTA) Estado: Excelente Placa anterior: 000028712 Material: ACERO INOX. Color: PLATEADO Referencia:  Observacion:  Placa padre:  Tipo adquisicion : Entidad</v>
      </c>
      <c r="G15699" s="5"/>
    </row>
    <row r="15700" spans="1:7" ht="58.5" customHeight="1" x14ac:dyDescent="0.25">
      <c r="A15700" s="5" t="str">
        <f>"H0006752"</f>
        <v>H0006752</v>
      </c>
      <c r="B15700" s="5" t="str">
        <f>"TONOMETRO"</f>
        <v>TONOMETRO</v>
      </c>
      <c r="C15700" s="6">
        <v>513000</v>
      </c>
      <c r="D15700" s="5"/>
      <c r="E15700" s="5" t="str">
        <f t="shared" si="806"/>
        <v>ACTISALUD - BODEGA - WILLIAM ZUÑIGA-DIEGO GARCIA</v>
      </c>
      <c r="F15700" s="5" t="str">
        <f>"Descripcion:TONOMETRO (SCHIOTA) Estado: Excelente Placa anterior: 000028713 Material: ACERO INOX. Color: PLATEADO Referencia:  Observacion:  Placa padre:  Tipo adquisicion : Entidad"</f>
        <v>Descripcion:TONOMETRO (SCHIOTA) Estado: Excelente Placa anterior: 000028713 Material: ACERO INOX. Color: PLATEADO Referencia:  Observacion:  Placa padre:  Tipo adquisicion : Entidad</v>
      </c>
      <c r="G15700" s="5"/>
    </row>
    <row r="15701" spans="1:7" ht="58.5" customHeight="1" x14ac:dyDescent="0.25">
      <c r="A15701" s="5" t="str">
        <f>"H0009018"</f>
        <v>H0009018</v>
      </c>
      <c r="B15701" s="5" t="str">
        <f>"PIPETA VARIABLE"</f>
        <v>PIPETA VARIABLE</v>
      </c>
      <c r="C15701" s="6">
        <v>274035.5</v>
      </c>
      <c r="D15701" s="5"/>
      <c r="E15701" s="5" t="str">
        <f t="shared" si="806"/>
        <v>ACTISALUD - BODEGA - WILLIAM ZUÑIGA-DIEGO GARCIA</v>
      </c>
      <c r="F15701" s="5" t="str">
        <f>"Descripcion:PIPETA VARIABLE Estado: Excelente Placa anterior: 000028705 Material: VIDRIO  Color:  Referencia:  Observacion: FISICAMENTE SE RELACIONO UN RECIPIENTE DE VIDRIO   Placa padre:  Tipo adquisicion : Entidad"</f>
        <v>Descripcion:PIPETA VARIABLE Estado: Excelente Placa anterior: 000028705 Material: VIDRIO  Color:  Referencia:  Observacion: FISICAMENTE SE RELACIONO UN RECIPIENTE DE VIDRIO   Placa padre:  Tipo adquisicion : Entidad</v>
      </c>
      <c r="G15701" s="5"/>
    </row>
    <row r="15702" spans="1:7" ht="58.5" customHeight="1" x14ac:dyDescent="0.25">
      <c r="A15702" s="5" t="str">
        <f>"H0009022"</f>
        <v>H0009022</v>
      </c>
      <c r="B15702" s="5" t="str">
        <f>"PIPETA DE VIDRIO 10ML"</f>
        <v>PIPETA DE VIDRIO 10ML</v>
      </c>
      <c r="C15702" s="6">
        <v>160515</v>
      </c>
      <c r="D15702" s="5"/>
      <c r="E15702" s="5" t="str">
        <f t="shared" si="806"/>
        <v>ACTISALUD - BODEGA - WILLIAM ZUÑIGA-DIEGO GARCIA</v>
      </c>
      <c r="F15702" s="5" t="str">
        <f>"Descripcion:PIPETA FIJA DE 10 ML (AUTOMATICA) Estado: Excelente Placa anterior: 000028704 Material: VIDRIO Y CAUCHO Color: ROJO Referencia:  Observacion:  Placa padre:  Tipo adquisicion : Entidad"</f>
        <v>Descripcion:PIPETA FIJA DE 10 ML (AUTOMATICA) Estado: Excelente Placa anterior: 000028704 Material: VIDRIO Y CAUCHO Color: ROJO Referencia:  Observacion:  Placa padre:  Tipo adquisicion : Entidad</v>
      </c>
      <c r="G15702" s="5"/>
    </row>
    <row r="15703" spans="1:7" ht="58.5" customHeight="1" x14ac:dyDescent="0.25">
      <c r="A15703" s="5" t="str">
        <f>"H0011275"</f>
        <v>H0011275</v>
      </c>
      <c r="B15703" s="5" t="str">
        <f>"LAMPARA CUELLO CISNE"</f>
        <v>LAMPARA CUELLO CISNE</v>
      </c>
      <c r="C15703" s="6">
        <v>150000</v>
      </c>
      <c r="D15703" s="5"/>
      <c r="E15703" s="5" t="str">
        <f t="shared" si="806"/>
        <v>ACTISALUD - BODEGA - WILLIAM ZUÑIGA-DIEGO GARCIA</v>
      </c>
      <c r="F15703" s="5" t="str">
        <f>"Descripcion: LAMPARA CUELLO DE CISNEOXIDO Estado: Regular Placa anterior: 000028201 Material: ACERO INOXIDABLE Color:  Referencia:  Observacion:  Placa padre: Tipo adquisicion: Donacion"</f>
        <v>Descripcion: LAMPARA CUELLO DE CISNEOXIDO Estado: Regular Placa anterior: 000028201 Material: ACERO INOXIDABLE Color:  Referencia:  Observacion:  Placa padre: Tipo adquisicion: Donacion</v>
      </c>
      <c r="G15703" s="5"/>
    </row>
    <row r="15704" spans="1:7" ht="58.5" customHeight="1" x14ac:dyDescent="0.25">
      <c r="A15704" s="5" t="str">
        <f>"H0017133"</f>
        <v>H0017133</v>
      </c>
      <c r="B15704" s="5" t="str">
        <f>"FUENTE DE PODER"</f>
        <v>FUENTE DE PODER</v>
      </c>
      <c r="C15704" s="6">
        <v>11200</v>
      </c>
      <c r="D15704" s="5"/>
      <c r="E15704" s="5" t="str">
        <f t="shared" si="806"/>
        <v>ACTISALUD - BODEGA - WILLIAM ZUÑIGA-DIEGO GARCIA</v>
      </c>
      <c r="F15704" s="5" t="str">
        <f>"Descripcion:FUENTE DE PODER 12V 1A - PARA CAMARA TIPO DOMO Estado: Excelente Placa anterior: 000030756 Material: PASTA Color: NEGRO Referencia:  Observacion:  Placa padre:  Tipo adquisicion : Entidad"</f>
        <v>Descripcion:FUENTE DE PODER 12V 1A - PARA CAMARA TIPO DOMO Estado: Excelente Placa anterior: 000030756 Material: PASTA Color: NEGRO Referencia:  Observacion:  Placa padre:  Tipo adquisicion : Entidad</v>
      </c>
      <c r="G15704" s="5"/>
    </row>
    <row r="15705" spans="1:7" ht="58.5" customHeight="1" x14ac:dyDescent="0.25">
      <c r="A15705" s="5" t="str">
        <f>"H0021002"</f>
        <v>H0021002</v>
      </c>
      <c r="B15705" s="5" t="str">
        <f>"KIT DIAPASON"</f>
        <v>KIT DIAPASON</v>
      </c>
      <c r="C15705" s="6">
        <v>33000</v>
      </c>
      <c r="D15705" s="5"/>
      <c r="E15705" s="5" t="str">
        <f t="shared" si="806"/>
        <v>ACTISALUD - BODEGA - WILLIAM ZUÑIGA-DIEGO GARCIA</v>
      </c>
      <c r="F15705" s="5" t="str">
        <f>"Descripcion:DIAPASON - JUEGO DE 3 PIEZAS COD. 1024C,512C, 2048C Estado: Excelente Placa anterior: 000028707 Material: ACERO INOXIDABLE Color: PLATEADO Referencia:  Observacion:  Placa padre:  Tipo adquisicion : Entidad"</f>
        <v>Descripcion:DIAPASON - JUEGO DE 3 PIEZAS COD. 1024C,512C, 2048C Estado: Excelente Placa anterior: 000028707 Material: ACERO INOXIDABLE Color: PLATEADO Referencia:  Observacion:  Placa padre:  Tipo adquisicion : Entidad</v>
      </c>
      <c r="G15705" s="5"/>
    </row>
    <row r="15706" spans="1:7" ht="58.5" customHeight="1" x14ac:dyDescent="0.25">
      <c r="A15706" s="5" t="str">
        <f>"H0021003"</f>
        <v>H0021003</v>
      </c>
      <c r="B15706" s="5" t="str">
        <f>"KIT DIAPASON"</f>
        <v>KIT DIAPASON</v>
      </c>
      <c r="C15706" s="6">
        <v>33000</v>
      </c>
      <c r="D15706" s="5"/>
      <c r="E15706" s="5" t="str">
        <f t="shared" si="806"/>
        <v>ACTISALUD - BODEGA - WILLIAM ZUÑIGA-DIEGO GARCIA</v>
      </c>
      <c r="F15706" s="5" t="str">
        <f>"Descripcion:DIAPASON - JUEGO DE 3 PIEZAS COD. 1024C,512C, 2048C Estado: Excelente Placa anterior: 000028708 Material: ACERO INOXIDABLE Color: PLATEADO Referencia:  Observacion:  Placa padre:  Tipo adquisicion : Entidad"</f>
        <v>Descripcion:DIAPASON - JUEGO DE 3 PIEZAS COD. 1024C,512C, 2048C Estado: Excelente Placa anterior: 000028708 Material: ACERO INOXIDABLE Color: PLATEADO Referencia:  Observacion:  Placa padre:  Tipo adquisicion : Entidad</v>
      </c>
      <c r="G15706" s="5"/>
    </row>
    <row r="15707" spans="1:7" ht="58.5" customHeight="1" x14ac:dyDescent="0.25">
      <c r="A15707" s="5" t="str">
        <f>"H0021012"</f>
        <v>H0021012</v>
      </c>
      <c r="B15707" s="5" t="str">
        <f>"VENTILADOR DE TECHO"</f>
        <v>VENTILADOR DE TECHO</v>
      </c>
      <c r="C15707" s="6">
        <v>207000</v>
      </c>
      <c r="D15707" s="5"/>
      <c r="E15707" s="5" t="str">
        <f t="shared" si="806"/>
        <v>ACTISALUD - BODEGA - WILLIAM ZUÑIGA-DIEGO GARCIA</v>
      </c>
      <c r="F15707" s="5" t="str">
        <f>"Descripcion:VENTILADOR DE TECHO Estado: Excelente Placa anterior: 000033286 Material: CERAMICA Y PASTA Color: BLANCO Referencia:  Observacion:  Placa padre:  Tipo adquisicion : Donacion"</f>
        <v>Descripcion:VENTILADOR DE TECHO Estado: Excelente Placa anterior: 000033286 Material: CERAMICA Y PASTA Color: BLANCO Referencia:  Observacion:  Placa padre:  Tipo adquisicion : Donacion</v>
      </c>
      <c r="G15707" s="5" t="str">
        <f>"FC140"</f>
        <v>FC140</v>
      </c>
    </row>
    <row r="15708" spans="1:7" ht="58.5" customHeight="1" x14ac:dyDescent="0.25">
      <c r="A15708" s="5" t="str">
        <f>"H0022451"</f>
        <v>H0022451</v>
      </c>
      <c r="B15708" s="5" t="str">
        <f t="shared" ref="B15708:B15729" si="809">"LINTERNA PARA CONSULTORIO"</f>
        <v>LINTERNA PARA CONSULTORIO</v>
      </c>
      <c r="C15708" s="6">
        <v>23200</v>
      </c>
      <c r="D15708" s="5" t="s">
        <v>455</v>
      </c>
      <c r="E15708" s="5" t="str">
        <f t="shared" si="806"/>
        <v>ACTISALUD - BODEGA - WILLIAM ZUÑIGA-DIEGO GARCIA</v>
      </c>
      <c r="F15708" s="5"/>
      <c r="G15708" s="5"/>
    </row>
    <row r="15709" spans="1:7" ht="58.5" customHeight="1" x14ac:dyDescent="0.25">
      <c r="A15709" s="5" t="str">
        <f>"H0022452"</f>
        <v>H0022452</v>
      </c>
      <c r="B15709" s="5" t="str">
        <f t="shared" si="809"/>
        <v>LINTERNA PARA CONSULTORIO</v>
      </c>
      <c r="C15709" s="6">
        <v>23200</v>
      </c>
      <c r="D15709" s="5" t="s">
        <v>455</v>
      </c>
      <c r="E15709" s="5" t="str">
        <f t="shared" si="806"/>
        <v>ACTISALUD - BODEGA - WILLIAM ZUÑIGA-DIEGO GARCIA</v>
      </c>
      <c r="F15709" s="5"/>
      <c r="G15709" s="5"/>
    </row>
    <row r="15710" spans="1:7" ht="58.5" customHeight="1" x14ac:dyDescent="0.25">
      <c r="A15710" s="5" t="str">
        <f>"H0022453"</f>
        <v>H0022453</v>
      </c>
      <c r="B15710" s="5" t="str">
        <f t="shared" si="809"/>
        <v>LINTERNA PARA CONSULTORIO</v>
      </c>
      <c r="C15710" s="6">
        <v>23200</v>
      </c>
      <c r="D15710" s="5" t="s">
        <v>455</v>
      </c>
      <c r="E15710" s="5" t="str">
        <f t="shared" si="806"/>
        <v>ACTISALUD - BODEGA - WILLIAM ZUÑIGA-DIEGO GARCIA</v>
      </c>
      <c r="F15710" s="5"/>
      <c r="G15710" s="5"/>
    </row>
    <row r="15711" spans="1:7" ht="58.5" customHeight="1" x14ac:dyDescent="0.25">
      <c r="A15711" s="5" t="str">
        <f>"H0022454"</f>
        <v>H0022454</v>
      </c>
      <c r="B15711" s="5" t="str">
        <f t="shared" si="809"/>
        <v>LINTERNA PARA CONSULTORIO</v>
      </c>
      <c r="C15711" s="6">
        <v>23200</v>
      </c>
      <c r="D15711" s="5" t="s">
        <v>455</v>
      </c>
      <c r="E15711" s="5" t="str">
        <f t="shared" si="806"/>
        <v>ACTISALUD - BODEGA - WILLIAM ZUÑIGA-DIEGO GARCIA</v>
      </c>
      <c r="F15711" s="5"/>
      <c r="G15711" s="5"/>
    </row>
    <row r="15712" spans="1:7" ht="58.5" customHeight="1" x14ac:dyDescent="0.25">
      <c r="A15712" s="5" t="str">
        <f>"H0022455"</f>
        <v>H0022455</v>
      </c>
      <c r="B15712" s="5" t="str">
        <f t="shared" si="809"/>
        <v>LINTERNA PARA CONSULTORIO</v>
      </c>
      <c r="C15712" s="6">
        <v>23200</v>
      </c>
      <c r="D15712" s="5" t="s">
        <v>457</v>
      </c>
      <c r="E15712" s="5" t="str">
        <f t="shared" si="806"/>
        <v>ACTISALUD - BODEGA - WILLIAM ZUÑIGA-DIEGO GARCIA</v>
      </c>
      <c r="F15712" s="5"/>
      <c r="G15712" s="5"/>
    </row>
    <row r="15713" spans="1:7" ht="58.5" customHeight="1" x14ac:dyDescent="0.25">
      <c r="A15713" s="5" t="str">
        <f>"H0022456"</f>
        <v>H0022456</v>
      </c>
      <c r="B15713" s="5" t="str">
        <f t="shared" si="809"/>
        <v>LINTERNA PARA CONSULTORIO</v>
      </c>
      <c r="C15713" s="6">
        <v>23200</v>
      </c>
      <c r="D15713" s="5" t="s">
        <v>455</v>
      </c>
      <c r="E15713" s="5" t="str">
        <f t="shared" si="806"/>
        <v>ACTISALUD - BODEGA - WILLIAM ZUÑIGA-DIEGO GARCIA</v>
      </c>
      <c r="F15713" s="5"/>
      <c r="G15713" s="5"/>
    </row>
    <row r="15714" spans="1:7" ht="58.5" customHeight="1" x14ac:dyDescent="0.25">
      <c r="A15714" s="5" t="str">
        <f>"H0022457"</f>
        <v>H0022457</v>
      </c>
      <c r="B15714" s="5" t="str">
        <f t="shared" si="809"/>
        <v>LINTERNA PARA CONSULTORIO</v>
      </c>
      <c r="C15714" s="6">
        <v>23200</v>
      </c>
      <c r="D15714" s="5" t="s">
        <v>455</v>
      </c>
      <c r="E15714" s="5" t="str">
        <f t="shared" si="806"/>
        <v>ACTISALUD - BODEGA - WILLIAM ZUÑIGA-DIEGO GARCIA</v>
      </c>
      <c r="F15714" s="5"/>
      <c r="G15714" s="5"/>
    </row>
    <row r="15715" spans="1:7" ht="58.5" customHeight="1" x14ac:dyDescent="0.25">
      <c r="A15715" s="5" t="str">
        <f>"H0022458"</f>
        <v>H0022458</v>
      </c>
      <c r="B15715" s="5" t="str">
        <f t="shared" si="809"/>
        <v>LINTERNA PARA CONSULTORIO</v>
      </c>
      <c r="C15715" s="6">
        <v>23200</v>
      </c>
      <c r="D15715" s="5" t="s">
        <v>455</v>
      </c>
      <c r="E15715" s="5" t="str">
        <f t="shared" si="806"/>
        <v>ACTISALUD - BODEGA - WILLIAM ZUÑIGA-DIEGO GARCIA</v>
      </c>
      <c r="F15715" s="5"/>
      <c r="G15715" s="5"/>
    </row>
    <row r="15716" spans="1:7" ht="58.5" customHeight="1" x14ac:dyDescent="0.25">
      <c r="A15716" s="5" t="str">
        <f>"H0022459"</f>
        <v>H0022459</v>
      </c>
      <c r="B15716" s="5" t="str">
        <f t="shared" si="809"/>
        <v>LINTERNA PARA CONSULTORIO</v>
      </c>
      <c r="C15716" s="6">
        <v>23200</v>
      </c>
      <c r="D15716" s="5" t="s">
        <v>455</v>
      </c>
      <c r="E15716" s="5" t="str">
        <f t="shared" si="806"/>
        <v>ACTISALUD - BODEGA - WILLIAM ZUÑIGA-DIEGO GARCIA</v>
      </c>
      <c r="F15716" s="5"/>
      <c r="G15716" s="5"/>
    </row>
    <row r="15717" spans="1:7" ht="58.5" customHeight="1" x14ac:dyDescent="0.25">
      <c r="A15717" s="5" t="str">
        <f>"H0022460"</f>
        <v>H0022460</v>
      </c>
      <c r="B15717" s="5" t="str">
        <f t="shared" si="809"/>
        <v>LINTERNA PARA CONSULTORIO</v>
      </c>
      <c r="C15717" s="6">
        <v>23200</v>
      </c>
      <c r="D15717" s="5" t="s">
        <v>455</v>
      </c>
      <c r="E15717" s="5" t="str">
        <f t="shared" ref="E15717:E15780" si="810">"ACTISALUD - BODEGA - WILLIAM ZUÑIGA-DIEGO GARCIA"</f>
        <v>ACTISALUD - BODEGA - WILLIAM ZUÑIGA-DIEGO GARCIA</v>
      </c>
      <c r="F15717" s="5"/>
      <c r="G15717" s="5"/>
    </row>
    <row r="15718" spans="1:7" ht="58.5" customHeight="1" x14ac:dyDescent="0.25">
      <c r="A15718" s="5" t="str">
        <f>"H0022461"</f>
        <v>H0022461</v>
      </c>
      <c r="B15718" s="5" t="str">
        <f t="shared" si="809"/>
        <v>LINTERNA PARA CONSULTORIO</v>
      </c>
      <c r="C15718" s="6">
        <v>23200</v>
      </c>
      <c r="D15718" s="5" t="s">
        <v>771</v>
      </c>
      <c r="E15718" s="5" t="str">
        <f t="shared" si="810"/>
        <v>ACTISALUD - BODEGA - WILLIAM ZUÑIGA-DIEGO GARCIA</v>
      </c>
      <c r="F15718" s="5"/>
      <c r="G15718" s="5"/>
    </row>
    <row r="15719" spans="1:7" ht="58.5" customHeight="1" x14ac:dyDescent="0.25">
      <c r="A15719" s="5" t="str">
        <f>"H0022462"</f>
        <v>H0022462</v>
      </c>
      <c r="B15719" s="5" t="str">
        <f t="shared" si="809"/>
        <v>LINTERNA PARA CONSULTORIO</v>
      </c>
      <c r="C15719" s="6">
        <v>23200</v>
      </c>
      <c r="D15719" s="5" t="s">
        <v>455</v>
      </c>
      <c r="E15719" s="5" t="str">
        <f t="shared" si="810"/>
        <v>ACTISALUD - BODEGA - WILLIAM ZUÑIGA-DIEGO GARCIA</v>
      </c>
      <c r="F15719" s="5"/>
      <c r="G15719" s="5"/>
    </row>
    <row r="15720" spans="1:7" ht="58.5" customHeight="1" x14ac:dyDescent="0.25">
      <c r="A15720" s="5" t="str">
        <f>"H0022463"</f>
        <v>H0022463</v>
      </c>
      <c r="B15720" s="5" t="str">
        <f t="shared" si="809"/>
        <v>LINTERNA PARA CONSULTORIO</v>
      </c>
      <c r="C15720" s="6">
        <v>23200</v>
      </c>
      <c r="D15720" s="5" t="s">
        <v>455</v>
      </c>
      <c r="E15720" s="5" t="str">
        <f t="shared" si="810"/>
        <v>ACTISALUD - BODEGA - WILLIAM ZUÑIGA-DIEGO GARCIA</v>
      </c>
      <c r="F15720" s="5"/>
      <c r="G15720" s="5"/>
    </row>
    <row r="15721" spans="1:7" ht="58.5" customHeight="1" x14ac:dyDescent="0.25">
      <c r="A15721" s="5" t="str">
        <f>"H0022464"</f>
        <v>H0022464</v>
      </c>
      <c r="B15721" s="5" t="str">
        <f t="shared" si="809"/>
        <v>LINTERNA PARA CONSULTORIO</v>
      </c>
      <c r="C15721" s="6">
        <v>23200</v>
      </c>
      <c r="D15721" s="5" t="s">
        <v>455</v>
      </c>
      <c r="E15721" s="5" t="str">
        <f t="shared" si="810"/>
        <v>ACTISALUD - BODEGA - WILLIAM ZUÑIGA-DIEGO GARCIA</v>
      </c>
      <c r="F15721" s="5"/>
      <c r="G15721" s="5"/>
    </row>
    <row r="15722" spans="1:7" ht="58.5" customHeight="1" x14ac:dyDescent="0.25">
      <c r="A15722" s="5" t="str">
        <f>"H0022465"</f>
        <v>H0022465</v>
      </c>
      <c r="B15722" s="5" t="str">
        <f t="shared" si="809"/>
        <v>LINTERNA PARA CONSULTORIO</v>
      </c>
      <c r="C15722" s="6">
        <v>23200</v>
      </c>
      <c r="D15722" s="5" t="s">
        <v>455</v>
      </c>
      <c r="E15722" s="5" t="str">
        <f t="shared" si="810"/>
        <v>ACTISALUD - BODEGA - WILLIAM ZUÑIGA-DIEGO GARCIA</v>
      </c>
      <c r="F15722" s="5"/>
      <c r="G15722" s="5"/>
    </row>
    <row r="15723" spans="1:7" ht="58.5" customHeight="1" x14ac:dyDescent="0.25">
      <c r="A15723" s="5" t="str">
        <f>"H0022466"</f>
        <v>H0022466</v>
      </c>
      <c r="B15723" s="5" t="str">
        <f t="shared" si="809"/>
        <v>LINTERNA PARA CONSULTORIO</v>
      </c>
      <c r="C15723" s="6">
        <v>23200</v>
      </c>
      <c r="D15723" s="5" t="s">
        <v>455</v>
      </c>
      <c r="E15723" s="5" t="str">
        <f t="shared" si="810"/>
        <v>ACTISALUD - BODEGA - WILLIAM ZUÑIGA-DIEGO GARCIA</v>
      </c>
      <c r="F15723" s="5"/>
      <c r="G15723" s="5"/>
    </row>
    <row r="15724" spans="1:7" ht="58.5" customHeight="1" x14ac:dyDescent="0.25">
      <c r="A15724" s="5" t="str">
        <f>"H0022467"</f>
        <v>H0022467</v>
      </c>
      <c r="B15724" s="5" t="str">
        <f t="shared" si="809"/>
        <v>LINTERNA PARA CONSULTORIO</v>
      </c>
      <c r="C15724" s="6">
        <v>23200</v>
      </c>
      <c r="D15724" s="5" t="s">
        <v>455</v>
      </c>
      <c r="E15724" s="5" t="str">
        <f t="shared" si="810"/>
        <v>ACTISALUD - BODEGA - WILLIAM ZUÑIGA-DIEGO GARCIA</v>
      </c>
      <c r="F15724" s="5"/>
      <c r="G15724" s="5"/>
    </row>
    <row r="15725" spans="1:7" ht="58.5" customHeight="1" x14ac:dyDescent="0.25">
      <c r="A15725" s="5" t="str">
        <f>"H0022468"</f>
        <v>H0022468</v>
      </c>
      <c r="B15725" s="5" t="str">
        <f t="shared" si="809"/>
        <v>LINTERNA PARA CONSULTORIO</v>
      </c>
      <c r="C15725" s="6">
        <v>23200</v>
      </c>
      <c r="D15725" s="5" t="s">
        <v>455</v>
      </c>
      <c r="E15725" s="5" t="str">
        <f t="shared" si="810"/>
        <v>ACTISALUD - BODEGA - WILLIAM ZUÑIGA-DIEGO GARCIA</v>
      </c>
      <c r="F15725" s="5"/>
      <c r="G15725" s="5"/>
    </row>
    <row r="15726" spans="1:7" ht="58.5" customHeight="1" x14ac:dyDescent="0.25">
      <c r="A15726" s="5" t="str">
        <f>"H0022469"</f>
        <v>H0022469</v>
      </c>
      <c r="B15726" s="5" t="str">
        <f t="shared" si="809"/>
        <v>LINTERNA PARA CONSULTORIO</v>
      </c>
      <c r="C15726" s="6">
        <v>23200</v>
      </c>
      <c r="D15726" s="5" t="s">
        <v>455</v>
      </c>
      <c r="E15726" s="5" t="str">
        <f t="shared" si="810"/>
        <v>ACTISALUD - BODEGA - WILLIAM ZUÑIGA-DIEGO GARCIA</v>
      </c>
      <c r="F15726" s="5"/>
      <c r="G15726" s="5"/>
    </row>
    <row r="15727" spans="1:7" ht="58.5" customHeight="1" x14ac:dyDescent="0.25">
      <c r="A15727" s="5" t="str">
        <f>"H0022470"</f>
        <v>H0022470</v>
      </c>
      <c r="B15727" s="5" t="str">
        <f t="shared" si="809"/>
        <v>LINTERNA PARA CONSULTORIO</v>
      </c>
      <c r="C15727" s="6">
        <v>23200</v>
      </c>
      <c r="D15727" s="5" t="s">
        <v>455</v>
      </c>
      <c r="E15727" s="5" t="str">
        <f t="shared" si="810"/>
        <v>ACTISALUD - BODEGA - WILLIAM ZUÑIGA-DIEGO GARCIA</v>
      </c>
      <c r="F15727" s="5"/>
      <c r="G15727" s="5"/>
    </row>
    <row r="15728" spans="1:7" ht="58.5" customHeight="1" x14ac:dyDescent="0.25">
      <c r="A15728" s="5" t="str">
        <f>"H0022471"</f>
        <v>H0022471</v>
      </c>
      <c r="B15728" s="5" t="str">
        <f t="shared" si="809"/>
        <v>LINTERNA PARA CONSULTORIO</v>
      </c>
      <c r="C15728" s="6">
        <v>23200</v>
      </c>
      <c r="D15728" s="5" t="s">
        <v>455</v>
      </c>
      <c r="E15728" s="5" t="str">
        <f t="shared" si="810"/>
        <v>ACTISALUD - BODEGA - WILLIAM ZUÑIGA-DIEGO GARCIA</v>
      </c>
      <c r="F15728" s="5"/>
      <c r="G15728" s="5"/>
    </row>
    <row r="15729" spans="1:7" ht="58.5" customHeight="1" x14ac:dyDescent="0.25">
      <c r="A15729" s="5" t="str">
        <f>"H0022472"</f>
        <v>H0022472</v>
      </c>
      <c r="B15729" s="5" t="str">
        <f t="shared" si="809"/>
        <v>LINTERNA PARA CONSULTORIO</v>
      </c>
      <c r="C15729" s="6">
        <v>23200</v>
      </c>
      <c r="D15729" s="5" t="s">
        <v>455</v>
      </c>
      <c r="E15729" s="5" t="str">
        <f t="shared" si="810"/>
        <v>ACTISALUD - BODEGA - WILLIAM ZUÑIGA-DIEGO GARCIA</v>
      </c>
      <c r="F15729" s="5"/>
      <c r="G15729" s="5"/>
    </row>
    <row r="15730" spans="1:7" ht="58.5" customHeight="1" x14ac:dyDescent="0.25">
      <c r="A15730" s="5" t="str">
        <f>"H0024208"</f>
        <v>H0024208</v>
      </c>
      <c r="B15730" s="5" t="str">
        <f>"CPU LENOVO TINY  M73 Core I5"</f>
        <v>CPU LENOVO TINY  M73 Core I5</v>
      </c>
      <c r="C15730" s="6">
        <v>1200000</v>
      </c>
      <c r="D15730" s="5" t="s">
        <v>36</v>
      </c>
      <c r="E15730" s="5" t="str">
        <f t="shared" si="810"/>
        <v>ACTISALUD - BODEGA - WILLIAM ZUÑIGA-DIEGO GARCIA</v>
      </c>
      <c r="F15730" s="5"/>
      <c r="G15730" s="5"/>
    </row>
    <row r="15731" spans="1:7" ht="58.5" customHeight="1" x14ac:dyDescent="0.25">
      <c r="A15731" s="5" t="str">
        <f>"H0024210"</f>
        <v>H0024210</v>
      </c>
      <c r="B15731" s="5" t="str">
        <f>"ATRIL PARA TOUCHSCREEN ESTRUCTURA METALICA TERMINACIONES EN ACRILICO"</f>
        <v>ATRIL PARA TOUCHSCREEN ESTRUCTURA METALICA TERMINACIONES EN ACRILICO</v>
      </c>
      <c r="C15731" s="6">
        <v>550000</v>
      </c>
      <c r="D15731" s="5" t="s">
        <v>36</v>
      </c>
      <c r="E15731" s="5" t="str">
        <f t="shared" si="810"/>
        <v>ACTISALUD - BODEGA - WILLIAM ZUÑIGA-DIEGO GARCIA</v>
      </c>
      <c r="F15731" s="5"/>
      <c r="G15731" s="5"/>
    </row>
    <row r="15732" spans="1:7" ht="58.5" customHeight="1" x14ac:dyDescent="0.25">
      <c r="A15732" s="5" t="str">
        <f>"H0024211"</f>
        <v>H0024211</v>
      </c>
      <c r="B15732" s="5" t="str">
        <f>"PANTALLA TOUCHSCREEN 15” LCD"</f>
        <v>PANTALLA TOUCHSCREEN 15” LCD</v>
      </c>
      <c r="C15732" s="6">
        <v>950000</v>
      </c>
      <c r="D15732" s="5" t="s">
        <v>36</v>
      </c>
      <c r="E15732" s="5" t="str">
        <f t="shared" si="810"/>
        <v>ACTISALUD - BODEGA - WILLIAM ZUÑIGA-DIEGO GARCIA</v>
      </c>
      <c r="F15732" s="5"/>
      <c r="G15732" s="5"/>
    </row>
    <row r="15733" spans="1:7" ht="58.5" customHeight="1" x14ac:dyDescent="0.25">
      <c r="A15733" s="5" t="str">
        <f>"H0025460"</f>
        <v>H0025460</v>
      </c>
      <c r="B15733" s="5" t="str">
        <f>"MÓDULO DE EXTENSIONES PARA TELÉFONO SECRETARIAL CON. INTERFAZ COMPATIBLE CON EL TELÉFONO SECRETARIAL. SELECCIÓN DE HASTA 40 LÍNEAS POR PÁGINA. 20 BOTONES DE SELECCIÓN. ALIMENTACIÓN DE ENERGÍA DESDE EL TELÉFONO SECRETARIAL. PANTALLA LCD 128x"</f>
        <v>MÓDULO DE EXTENSIONES PARA TELÉFONO SECRETARIAL CON. INTERFAZ COMPATIBLE CON EL TELÉFONO SECRETARIAL. SELECCIÓN DE HASTA 40 LÍNEAS POR PÁGINA. 20 BOTONES DE SELECCIÓN. ALIMENTACIÓN DE ENERGÍA DESDE EL TELÉFONO SECRETARIAL. PANTALLA LCD 128x</v>
      </c>
      <c r="C15733" s="6">
        <v>555060</v>
      </c>
      <c r="D15733" s="5" t="s">
        <v>10</v>
      </c>
      <c r="E15733" s="5" t="str">
        <f t="shared" si="810"/>
        <v>ACTISALUD - BODEGA - WILLIAM ZUÑIGA-DIEGO GARCIA</v>
      </c>
      <c r="F15733" s="5"/>
      <c r="G15733" s="5" t="str">
        <f>"GXP2200"</f>
        <v>GXP2200</v>
      </c>
    </row>
    <row r="15734" spans="1:7" ht="58.5" customHeight="1" x14ac:dyDescent="0.25">
      <c r="A15734" s="5" t="str">
        <f>"H0025461"</f>
        <v>H0025461</v>
      </c>
      <c r="B15734" s="5" t="str">
        <f>"MÓDULO DE EXTENSIONES PARA TELÉFONO SECRETARIAL CON. INTERFAZ COMPATIBLE CON EL TELÉFONO SECRETARIAL. SELECCIÓN DE HASTA 40 LÍNEAS POR PÁGINA. 20 BOTONES DE SELECCIÓN. ALIMENTACIÓN DE ENERGÍA DESDE EL TELÉFONO SECRETARIAL. PANTALLA LCD 128x"</f>
        <v>MÓDULO DE EXTENSIONES PARA TELÉFONO SECRETARIAL CON. INTERFAZ COMPATIBLE CON EL TELÉFONO SECRETARIAL. SELECCIÓN DE HASTA 40 LÍNEAS POR PÁGINA. 20 BOTONES DE SELECCIÓN. ALIMENTACIÓN DE ENERGÍA DESDE EL TELÉFONO SECRETARIAL. PANTALLA LCD 128x</v>
      </c>
      <c r="C15734" s="6">
        <v>555060</v>
      </c>
      <c r="D15734" s="5" t="s">
        <v>10</v>
      </c>
      <c r="E15734" s="5" t="str">
        <f t="shared" si="810"/>
        <v>ACTISALUD - BODEGA - WILLIAM ZUÑIGA-DIEGO GARCIA</v>
      </c>
      <c r="F15734" s="5"/>
      <c r="G15734" s="5" t="str">
        <f>"GXP2200"</f>
        <v>GXP2200</v>
      </c>
    </row>
    <row r="15735" spans="1:7" ht="58.5" customHeight="1" x14ac:dyDescent="0.25">
      <c r="A15735" s="5" t="str">
        <f>"H0025766"</f>
        <v>H0025766</v>
      </c>
      <c r="B15735" s="5" t="s">
        <v>772</v>
      </c>
      <c r="C15735" s="6">
        <v>750000</v>
      </c>
      <c r="D15735" s="5" t="s">
        <v>75</v>
      </c>
      <c r="E15735" s="5" t="str">
        <f t="shared" si="810"/>
        <v>ACTISALUD - BODEGA - WILLIAM ZUÑIGA-DIEGO GARCIA</v>
      </c>
      <c r="F15735" s="5"/>
      <c r="G15735" s="5"/>
    </row>
    <row r="15736" spans="1:7" ht="58.5" customHeight="1" x14ac:dyDescent="0.25">
      <c r="A15736" s="5" t="str">
        <f>"H0025767"</f>
        <v>H0025767</v>
      </c>
      <c r="B15736" s="5" t="s">
        <v>772</v>
      </c>
      <c r="C15736" s="6">
        <v>750000</v>
      </c>
      <c r="D15736" s="5" t="s">
        <v>75</v>
      </c>
      <c r="E15736" s="5" t="str">
        <f t="shared" si="810"/>
        <v>ACTISALUD - BODEGA - WILLIAM ZUÑIGA-DIEGO GARCIA</v>
      </c>
      <c r="F15736" s="5"/>
      <c r="G15736" s="5"/>
    </row>
    <row r="15737" spans="1:7" ht="58.5" customHeight="1" x14ac:dyDescent="0.25">
      <c r="A15737" s="5" t="str">
        <f>"h0027037"</f>
        <v>h0027037</v>
      </c>
      <c r="B15737" s="5" t="str">
        <f>"MODULO INALAMBRICO (DONACION)"</f>
        <v>MODULO INALAMBRICO (DONACION)</v>
      </c>
      <c r="C15737" s="6">
        <v>297500</v>
      </c>
      <c r="D15737" s="5" t="s">
        <v>460</v>
      </c>
      <c r="E15737" s="5" t="str">
        <f t="shared" si="810"/>
        <v>ACTISALUD - BODEGA - WILLIAM ZUÑIGA-DIEGO GARCIA</v>
      </c>
      <c r="F15737" s="5"/>
      <c r="G15737" s="5"/>
    </row>
    <row r="15738" spans="1:7" ht="58.5" customHeight="1" x14ac:dyDescent="0.25">
      <c r="A15738" s="5" t="str">
        <f>"h0027038"</f>
        <v>h0027038</v>
      </c>
      <c r="B15738" s="5" t="str">
        <f>"MODULO INALAMBRICO (DONACION)"</f>
        <v>MODULO INALAMBRICO (DONACION)</v>
      </c>
      <c r="C15738" s="6">
        <v>297500</v>
      </c>
      <c r="D15738" s="5" t="s">
        <v>460</v>
      </c>
      <c r="E15738" s="5" t="str">
        <f t="shared" si="810"/>
        <v>ACTISALUD - BODEGA - WILLIAM ZUÑIGA-DIEGO GARCIA</v>
      </c>
      <c r="F15738" s="5"/>
      <c r="G15738" s="5"/>
    </row>
    <row r="15739" spans="1:7" ht="58.5" customHeight="1" x14ac:dyDescent="0.25">
      <c r="A15739" s="5" t="str">
        <f>"H0027382"</f>
        <v>H0027382</v>
      </c>
      <c r="B15739"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5739" s="6">
        <v>589999.67000000004</v>
      </c>
      <c r="D15739" s="5" t="s">
        <v>83</v>
      </c>
      <c r="E15739" s="5" t="str">
        <f t="shared" si="810"/>
        <v>ACTISALUD - BODEGA - WILLIAM ZUÑIGA-DIEGO GARCIA</v>
      </c>
      <c r="F15739" s="5"/>
      <c r="G15739" s="5" t="str">
        <f>"CENON 1900"</f>
        <v>CENON 1900</v>
      </c>
    </row>
    <row r="15740" spans="1:7" ht="58.5" customHeight="1" x14ac:dyDescent="0.25">
      <c r="A15740" s="5" t="str">
        <f>"H0027606"</f>
        <v>H0027606</v>
      </c>
      <c r="B15740" s="5" t="str">
        <f>"LARINGOSCOPIO ADULTO"</f>
        <v>LARINGOSCOPIO ADULTO</v>
      </c>
      <c r="C15740" s="6">
        <v>913920</v>
      </c>
      <c r="D15740" s="5" t="s">
        <v>84</v>
      </c>
      <c r="E15740" s="5" t="str">
        <f t="shared" si="810"/>
        <v>ACTISALUD - BODEGA - WILLIAM ZUÑIGA-DIEGO GARCIA</v>
      </c>
      <c r="F15740" s="5"/>
      <c r="G15740" s="5"/>
    </row>
    <row r="15741" spans="1:7" ht="58.5" customHeight="1" x14ac:dyDescent="0.25">
      <c r="A15741" s="5" t="str">
        <f>"H0027607"</f>
        <v>H0027607</v>
      </c>
      <c r="B15741" s="5" t="str">
        <f>"LARINGOSCOPIO ADULTO"</f>
        <v>LARINGOSCOPIO ADULTO</v>
      </c>
      <c r="C15741" s="6">
        <v>913920</v>
      </c>
      <c r="D15741" s="5" t="s">
        <v>84</v>
      </c>
      <c r="E15741" s="5" t="str">
        <f t="shared" si="810"/>
        <v>ACTISALUD - BODEGA - WILLIAM ZUÑIGA-DIEGO GARCIA</v>
      </c>
      <c r="F15741" s="5"/>
      <c r="G15741" s="5"/>
    </row>
    <row r="15742" spans="1:7" ht="58.5" customHeight="1" x14ac:dyDescent="0.25">
      <c r="A15742" s="5" t="str">
        <f>"H0028733"</f>
        <v>H0028733</v>
      </c>
      <c r="B15742" s="5" t="str">
        <f>"LÁMPARA RECARGABLE DE EMERGENCIA 60 BOMBILLOS LED LUZ BLANCA"</f>
        <v>LÁMPARA RECARGABLE DE EMERGENCIA 60 BOMBILLOS LED LUZ BLANCA</v>
      </c>
      <c r="C15742" s="6">
        <v>255850</v>
      </c>
      <c r="D15742" s="5" t="s">
        <v>87</v>
      </c>
      <c r="E15742" s="5" t="str">
        <f t="shared" si="810"/>
        <v>ACTISALUD - BODEGA - WILLIAM ZUÑIGA-DIEGO GARCIA</v>
      </c>
      <c r="F15742" s="5"/>
      <c r="G15742" s="5"/>
    </row>
    <row r="15743" spans="1:7" ht="58.5" customHeight="1" x14ac:dyDescent="0.25">
      <c r="A15743" s="5" t="str">
        <f>"H0028734"</f>
        <v>H0028734</v>
      </c>
      <c r="B15743" s="5" t="str">
        <f>"LÁMPARA RECARGABLE DE EMERGENCIA 60 BOMBILLOS LED LUZ BLANCA"</f>
        <v>LÁMPARA RECARGABLE DE EMERGENCIA 60 BOMBILLOS LED LUZ BLANCA</v>
      </c>
      <c r="C15743" s="6">
        <v>255850</v>
      </c>
      <c r="D15743" s="5" t="s">
        <v>87</v>
      </c>
      <c r="E15743" s="5" t="str">
        <f t="shared" si="810"/>
        <v>ACTISALUD - BODEGA - WILLIAM ZUÑIGA-DIEGO GARCIA</v>
      </c>
      <c r="F15743" s="5"/>
      <c r="G15743" s="5"/>
    </row>
    <row r="15744" spans="1:7" ht="58.5" customHeight="1" x14ac:dyDescent="0.25">
      <c r="A15744" s="5" t="str">
        <f>"H0028735"</f>
        <v>H0028735</v>
      </c>
      <c r="B15744" s="5" t="str">
        <f>"LÁMPARA RECARGABLE DE EMERGENCIA 60 BOMBILLOS LED LUZ BLANCA"</f>
        <v>LÁMPARA RECARGABLE DE EMERGENCIA 60 BOMBILLOS LED LUZ BLANCA</v>
      </c>
      <c r="C15744" s="6">
        <v>255850</v>
      </c>
      <c r="D15744" s="5" t="s">
        <v>87</v>
      </c>
      <c r="E15744" s="5" t="str">
        <f t="shared" si="810"/>
        <v>ACTISALUD - BODEGA - WILLIAM ZUÑIGA-DIEGO GARCIA</v>
      </c>
      <c r="F15744" s="5"/>
      <c r="G15744" s="5"/>
    </row>
    <row r="15745" spans="1:7" ht="58.5" customHeight="1" x14ac:dyDescent="0.25">
      <c r="A15745" s="5" t="str">
        <f>"H0028736"</f>
        <v>H0028736</v>
      </c>
      <c r="B15745" s="5" t="str">
        <f>"LÁMPARA RECARGABLE DE EMERGENCIA 60 BOMBILLOS LED LUZ BLANCA"</f>
        <v>LÁMPARA RECARGABLE DE EMERGENCIA 60 BOMBILLOS LED LUZ BLANCA</v>
      </c>
      <c r="C15745" s="6">
        <v>255850</v>
      </c>
      <c r="D15745" s="5" t="s">
        <v>87</v>
      </c>
      <c r="E15745" s="5" t="str">
        <f t="shared" si="810"/>
        <v>ACTISALUD - BODEGA - WILLIAM ZUÑIGA-DIEGO GARCIA</v>
      </c>
      <c r="F15745" s="5"/>
      <c r="G15745" s="5"/>
    </row>
    <row r="15746" spans="1:7" ht="58.5" customHeight="1" x14ac:dyDescent="0.25">
      <c r="A15746" s="5" t="str">
        <f>"H0029259"</f>
        <v>H0029259</v>
      </c>
      <c r="B15746" s="5" t="str">
        <f>"KIT 1 FINNIPIPETTE (1-1000UL) THERMO SCIENTIFIC"</f>
        <v>KIT 1 FINNIPIPETTE (1-1000UL) THERMO SCIENTIFIC</v>
      </c>
      <c r="C15746" s="6">
        <v>2159850</v>
      </c>
      <c r="D15746" s="5" t="s">
        <v>583</v>
      </c>
      <c r="E15746" s="5" t="str">
        <f t="shared" si="810"/>
        <v>ACTISALUD - BODEGA - WILLIAM ZUÑIGA-DIEGO GARCIA</v>
      </c>
      <c r="F15746" s="5"/>
      <c r="G15746" s="5"/>
    </row>
    <row r="15747" spans="1:7" ht="58.5" customHeight="1" x14ac:dyDescent="0.25">
      <c r="A15747" s="5" t="str">
        <f>"H0030295"</f>
        <v>H0030295</v>
      </c>
      <c r="B15747" s="5" t="str">
        <f t="shared" ref="B15747:B15764" si="811">"LAMPARA DE PASILLO DE LLAMADO DE ENFERMERIA"</f>
        <v>LAMPARA DE PASILLO DE LLAMADO DE ENFERMERIA</v>
      </c>
      <c r="C15747" s="6">
        <v>497740.11</v>
      </c>
      <c r="D15747" s="5" t="s">
        <v>155</v>
      </c>
      <c r="E15747" s="5" t="str">
        <f t="shared" si="810"/>
        <v>ACTISALUD - BODEGA - WILLIAM ZUÑIGA-DIEGO GARCIA</v>
      </c>
      <c r="F15747" s="5"/>
      <c r="G15747" s="5"/>
    </row>
    <row r="15748" spans="1:7" ht="58.5" customHeight="1" x14ac:dyDescent="0.25">
      <c r="A15748" s="5" t="str">
        <f>"H0030296"</f>
        <v>H0030296</v>
      </c>
      <c r="B15748" s="5" t="str">
        <f t="shared" si="811"/>
        <v>LAMPARA DE PASILLO DE LLAMADO DE ENFERMERIA</v>
      </c>
      <c r="C15748" s="6">
        <v>497740.11</v>
      </c>
      <c r="D15748" s="5" t="s">
        <v>155</v>
      </c>
      <c r="E15748" s="5" t="str">
        <f t="shared" si="810"/>
        <v>ACTISALUD - BODEGA - WILLIAM ZUÑIGA-DIEGO GARCIA</v>
      </c>
      <c r="F15748" s="5"/>
      <c r="G15748" s="5"/>
    </row>
    <row r="15749" spans="1:7" ht="58.5" customHeight="1" x14ac:dyDescent="0.25">
      <c r="A15749" s="5" t="str">
        <f>"H0030297"</f>
        <v>H0030297</v>
      </c>
      <c r="B15749" s="5" t="str">
        <f t="shared" si="811"/>
        <v>LAMPARA DE PASILLO DE LLAMADO DE ENFERMERIA</v>
      </c>
      <c r="C15749" s="6">
        <v>497740.11</v>
      </c>
      <c r="D15749" s="5" t="s">
        <v>155</v>
      </c>
      <c r="E15749" s="5" t="str">
        <f t="shared" si="810"/>
        <v>ACTISALUD - BODEGA - WILLIAM ZUÑIGA-DIEGO GARCIA</v>
      </c>
      <c r="F15749" s="5"/>
      <c r="G15749" s="5"/>
    </row>
    <row r="15750" spans="1:7" ht="58.5" customHeight="1" x14ac:dyDescent="0.25">
      <c r="A15750" s="5" t="str">
        <f>"H0030298"</f>
        <v>H0030298</v>
      </c>
      <c r="B15750" s="5" t="str">
        <f t="shared" si="811"/>
        <v>LAMPARA DE PASILLO DE LLAMADO DE ENFERMERIA</v>
      </c>
      <c r="C15750" s="6">
        <v>497740.11</v>
      </c>
      <c r="D15750" s="5" t="s">
        <v>155</v>
      </c>
      <c r="E15750" s="5" t="str">
        <f t="shared" si="810"/>
        <v>ACTISALUD - BODEGA - WILLIAM ZUÑIGA-DIEGO GARCIA</v>
      </c>
      <c r="F15750" s="5"/>
      <c r="G15750" s="5"/>
    </row>
    <row r="15751" spans="1:7" ht="58.5" customHeight="1" x14ac:dyDescent="0.25">
      <c r="A15751" s="5" t="str">
        <f>"H0030299"</f>
        <v>H0030299</v>
      </c>
      <c r="B15751" s="5" t="str">
        <f t="shared" si="811"/>
        <v>LAMPARA DE PASILLO DE LLAMADO DE ENFERMERIA</v>
      </c>
      <c r="C15751" s="6">
        <v>497740.11</v>
      </c>
      <c r="D15751" s="5" t="s">
        <v>155</v>
      </c>
      <c r="E15751" s="5" t="str">
        <f t="shared" si="810"/>
        <v>ACTISALUD - BODEGA - WILLIAM ZUÑIGA-DIEGO GARCIA</v>
      </c>
      <c r="F15751" s="5"/>
      <c r="G15751" s="5"/>
    </row>
    <row r="15752" spans="1:7" ht="58.5" customHeight="1" x14ac:dyDescent="0.25">
      <c r="A15752" s="5" t="str">
        <f>"H0030300"</f>
        <v>H0030300</v>
      </c>
      <c r="B15752" s="5" t="str">
        <f t="shared" si="811"/>
        <v>LAMPARA DE PASILLO DE LLAMADO DE ENFERMERIA</v>
      </c>
      <c r="C15752" s="6">
        <v>497740.11</v>
      </c>
      <c r="D15752" s="5" t="s">
        <v>155</v>
      </c>
      <c r="E15752" s="5" t="str">
        <f t="shared" si="810"/>
        <v>ACTISALUD - BODEGA - WILLIAM ZUÑIGA-DIEGO GARCIA</v>
      </c>
      <c r="F15752" s="5"/>
      <c r="G15752" s="5"/>
    </row>
    <row r="15753" spans="1:7" ht="58.5" customHeight="1" x14ac:dyDescent="0.25">
      <c r="A15753" s="5" t="str">
        <f>"H0030301"</f>
        <v>H0030301</v>
      </c>
      <c r="B15753" s="5" t="str">
        <f t="shared" si="811"/>
        <v>LAMPARA DE PASILLO DE LLAMADO DE ENFERMERIA</v>
      </c>
      <c r="C15753" s="6">
        <v>497740.11</v>
      </c>
      <c r="D15753" s="5" t="s">
        <v>155</v>
      </c>
      <c r="E15753" s="5" t="str">
        <f t="shared" si="810"/>
        <v>ACTISALUD - BODEGA - WILLIAM ZUÑIGA-DIEGO GARCIA</v>
      </c>
      <c r="F15753" s="5"/>
      <c r="G15753" s="5"/>
    </row>
    <row r="15754" spans="1:7" ht="58.5" customHeight="1" x14ac:dyDescent="0.25">
      <c r="A15754" s="5" t="str">
        <f>"H0030302"</f>
        <v>H0030302</v>
      </c>
      <c r="B15754" s="5" t="str">
        <f t="shared" si="811"/>
        <v>LAMPARA DE PASILLO DE LLAMADO DE ENFERMERIA</v>
      </c>
      <c r="C15754" s="6">
        <v>497740.11</v>
      </c>
      <c r="D15754" s="5" t="s">
        <v>155</v>
      </c>
      <c r="E15754" s="5" t="str">
        <f t="shared" si="810"/>
        <v>ACTISALUD - BODEGA - WILLIAM ZUÑIGA-DIEGO GARCIA</v>
      </c>
      <c r="F15754" s="5"/>
      <c r="G15754" s="5"/>
    </row>
    <row r="15755" spans="1:7" ht="58.5" customHeight="1" x14ac:dyDescent="0.25">
      <c r="A15755" s="5" t="str">
        <f>"H0030303"</f>
        <v>H0030303</v>
      </c>
      <c r="B15755" s="5" t="str">
        <f t="shared" si="811"/>
        <v>LAMPARA DE PASILLO DE LLAMADO DE ENFERMERIA</v>
      </c>
      <c r="C15755" s="6">
        <v>497740.11</v>
      </c>
      <c r="D15755" s="5" t="s">
        <v>155</v>
      </c>
      <c r="E15755" s="5" t="str">
        <f t="shared" si="810"/>
        <v>ACTISALUD - BODEGA - WILLIAM ZUÑIGA-DIEGO GARCIA</v>
      </c>
      <c r="F15755" s="5"/>
      <c r="G15755" s="5"/>
    </row>
    <row r="15756" spans="1:7" ht="58.5" customHeight="1" x14ac:dyDescent="0.25">
      <c r="A15756" s="5" t="str">
        <f>"H0030304"</f>
        <v>H0030304</v>
      </c>
      <c r="B15756" s="5" t="str">
        <f t="shared" si="811"/>
        <v>LAMPARA DE PASILLO DE LLAMADO DE ENFERMERIA</v>
      </c>
      <c r="C15756" s="6">
        <v>497740.11</v>
      </c>
      <c r="D15756" s="5" t="s">
        <v>155</v>
      </c>
      <c r="E15756" s="5" t="str">
        <f t="shared" si="810"/>
        <v>ACTISALUD - BODEGA - WILLIAM ZUÑIGA-DIEGO GARCIA</v>
      </c>
      <c r="F15756" s="5"/>
      <c r="G15756" s="5"/>
    </row>
    <row r="15757" spans="1:7" ht="58.5" customHeight="1" x14ac:dyDescent="0.25">
      <c r="A15757" s="5" t="str">
        <f>"H0030305"</f>
        <v>H0030305</v>
      </c>
      <c r="B15757" s="5" t="str">
        <f t="shared" si="811"/>
        <v>LAMPARA DE PASILLO DE LLAMADO DE ENFERMERIA</v>
      </c>
      <c r="C15757" s="6">
        <v>497740.11</v>
      </c>
      <c r="D15757" s="5" t="s">
        <v>155</v>
      </c>
      <c r="E15757" s="5" t="str">
        <f t="shared" si="810"/>
        <v>ACTISALUD - BODEGA - WILLIAM ZUÑIGA-DIEGO GARCIA</v>
      </c>
      <c r="F15757" s="5"/>
      <c r="G15757" s="5"/>
    </row>
    <row r="15758" spans="1:7" ht="58.5" customHeight="1" x14ac:dyDescent="0.25">
      <c r="A15758" s="5" t="str">
        <f>"H0030306"</f>
        <v>H0030306</v>
      </c>
      <c r="B15758" s="5" t="str">
        <f t="shared" si="811"/>
        <v>LAMPARA DE PASILLO DE LLAMADO DE ENFERMERIA</v>
      </c>
      <c r="C15758" s="6">
        <v>497740.11</v>
      </c>
      <c r="D15758" s="5" t="s">
        <v>155</v>
      </c>
      <c r="E15758" s="5" t="str">
        <f t="shared" si="810"/>
        <v>ACTISALUD - BODEGA - WILLIAM ZUÑIGA-DIEGO GARCIA</v>
      </c>
      <c r="F15758" s="5"/>
      <c r="G15758" s="5"/>
    </row>
    <row r="15759" spans="1:7" ht="58.5" customHeight="1" x14ac:dyDescent="0.25">
      <c r="A15759" s="5" t="str">
        <f>"H0030307"</f>
        <v>H0030307</v>
      </c>
      <c r="B15759" s="5" t="str">
        <f t="shared" si="811"/>
        <v>LAMPARA DE PASILLO DE LLAMADO DE ENFERMERIA</v>
      </c>
      <c r="C15759" s="6">
        <v>497740.11</v>
      </c>
      <c r="D15759" s="5" t="s">
        <v>155</v>
      </c>
      <c r="E15759" s="5" t="str">
        <f t="shared" si="810"/>
        <v>ACTISALUD - BODEGA - WILLIAM ZUÑIGA-DIEGO GARCIA</v>
      </c>
      <c r="F15759" s="5"/>
      <c r="G15759" s="5"/>
    </row>
    <row r="15760" spans="1:7" ht="58.5" customHeight="1" x14ac:dyDescent="0.25">
      <c r="A15760" s="5" t="str">
        <f>"H0030308"</f>
        <v>H0030308</v>
      </c>
      <c r="B15760" s="5" t="str">
        <f t="shared" si="811"/>
        <v>LAMPARA DE PASILLO DE LLAMADO DE ENFERMERIA</v>
      </c>
      <c r="C15760" s="6">
        <v>497740.11</v>
      </c>
      <c r="D15760" s="5" t="s">
        <v>155</v>
      </c>
      <c r="E15760" s="5" t="str">
        <f t="shared" si="810"/>
        <v>ACTISALUD - BODEGA - WILLIAM ZUÑIGA-DIEGO GARCIA</v>
      </c>
      <c r="F15760" s="5"/>
      <c r="G15760" s="5"/>
    </row>
    <row r="15761" spans="1:7" ht="58.5" customHeight="1" x14ac:dyDescent="0.25">
      <c r="A15761" s="5" t="str">
        <f>"H0030310"</f>
        <v>H0030310</v>
      </c>
      <c r="B15761" s="5" t="str">
        <f t="shared" si="811"/>
        <v>LAMPARA DE PASILLO DE LLAMADO DE ENFERMERIA</v>
      </c>
      <c r="C15761" s="6">
        <v>497740.11</v>
      </c>
      <c r="D15761" s="5" t="s">
        <v>155</v>
      </c>
      <c r="E15761" s="5" t="str">
        <f t="shared" si="810"/>
        <v>ACTISALUD - BODEGA - WILLIAM ZUÑIGA-DIEGO GARCIA</v>
      </c>
      <c r="F15761" s="5"/>
      <c r="G15761" s="5"/>
    </row>
    <row r="15762" spans="1:7" ht="58.5" customHeight="1" x14ac:dyDescent="0.25">
      <c r="A15762" s="5" t="str">
        <f>"H0030311"</f>
        <v>H0030311</v>
      </c>
      <c r="B15762" s="5" t="str">
        <f t="shared" si="811"/>
        <v>LAMPARA DE PASILLO DE LLAMADO DE ENFERMERIA</v>
      </c>
      <c r="C15762" s="6">
        <v>497740.11</v>
      </c>
      <c r="D15762" s="5" t="s">
        <v>155</v>
      </c>
      <c r="E15762" s="5" t="str">
        <f t="shared" si="810"/>
        <v>ACTISALUD - BODEGA - WILLIAM ZUÑIGA-DIEGO GARCIA</v>
      </c>
      <c r="F15762" s="5"/>
      <c r="G15762" s="5"/>
    </row>
    <row r="15763" spans="1:7" ht="58.5" customHeight="1" x14ac:dyDescent="0.25">
      <c r="A15763" s="5" t="str">
        <f>"H0030312"</f>
        <v>H0030312</v>
      </c>
      <c r="B15763" s="5" t="str">
        <f t="shared" si="811"/>
        <v>LAMPARA DE PASILLO DE LLAMADO DE ENFERMERIA</v>
      </c>
      <c r="C15763" s="6">
        <v>497740.11</v>
      </c>
      <c r="D15763" s="5" t="s">
        <v>155</v>
      </c>
      <c r="E15763" s="5" t="str">
        <f t="shared" si="810"/>
        <v>ACTISALUD - BODEGA - WILLIAM ZUÑIGA-DIEGO GARCIA</v>
      </c>
      <c r="F15763" s="5"/>
      <c r="G15763" s="5"/>
    </row>
    <row r="15764" spans="1:7" ht="58.5" customHeight="1" x14ac:dyDescent="0.25">
      <c r="A15764" s="5" t="str">
        <f>"H0030313"</f>
        <v>H0030313</v>
      </c>
      <c r="B15764" s="5" t="str">
        <f t="shared" si="811"/>
        <v>LAMPARA DE PASILLO DE LLAMADO DE ENFERMERIA</v>
      </c>
      <c r="C15764" s="6">
        <v>497740.11</v>
      </c>
      <c r="D15764" s="5" t="s">
        <v>155</v>
      </c>
      <c r="E15764" s="5" t="str">
        <f t="shared" si="810"/>
        <v>ACTISALUD - BODEGA - WILLIAM ZUÑIGA-DIEGO GARCIA</v>
      </c>
      <c r="F15764" s="5"/>
      <c r="G15764" s="5"/>
    </row>
    <row r="15765" spans="1:7" ht="58.5" customHeight="1" x14ac:dyDescent="0.25">
      <c r="A15765" s="5" t="str">
        <f>"H0030325"</f>
        <v>H0030325</v>
      </c>
      <c r="B15765" s="5" t="str">
        <f>"SOFTWARE Y KIT DE CONEXIÓN PARA CONFIGURAR PANTALLA LED Y LUZ DE PASILLO DE LLAMADO DE ENFERMERÍA"</f>
        <v>SOFTWARE Y KIT DE CONEXIÓN PARA CONFIGURAR PANTALLA LED Y LUZ DE PASILLO DE LLAMADO DE ENFERMERÍA</v>
      </c>
      <c r="C15765" s="6">
        <v>2423510</v>
      </c>
      <c r="D15765" s="5" t="s">
        <v>155</v>
      </c>
      <c r="E15765" s="5" t="str">
        <f t="shared" si="810"/>
        <v>ACTISALUD - BODEGA - WILLIAM ZUÑIGA-DIEGO GARCIA</v>
      </c>
      <c r="F15765" s="5"/>
      <c r="G15765" s="5"/>
    </row>
    <row r="15766" spans="1:7" ht="58.5" customHeight="1" x14ac:dyDescent="0.25">
      <c r="A15766" s="5" t="str">
        <f>"H0030353"</f>
        <v>H0030353</v>
      </c>
      <c r="B15766" s="5" t="str">
        <f t="shared" ref="B15766:B15790" si="812">"UNIDAD DE LLAMADO DE ENFERMERIA PARA BAÑO CON CORDON TIRADOR. RESISTENTE A SALPICADURAS DE AGUA Y LUZ INDICADORA DE PULSACIÓN"</f>
        <v>UNIDAD DE LLAMADO DE ENFERMERIA PARA BAÑO CON CORDON TIRADOR. RESISTENTE A SALPICADURAS DE AGUA Y LUZ INDICADORA DE PULSACIÓN</v>
      </c>
      <c r="C15766" s="6">
        <v>205537.98</v>
      </c>
      <c r="D15766" s="5" t="s">
        <v>155</v>
      </c>
      <c r="E15766" s="5" t="str">
        <f t="shared" si="810"/>
        <v>ACTISALUD - BODEGA - WILLIAM ZUÑIGA-DIEGO GARCIA</v>
      </c>
      <c r="F15766" s="5"/>
      <c r="G15766" s="5"/>
    </row>
    <row r="15767" spans="1:7" ht="58.5" customHeight="1" x14ac:dyDescent="0.25">
      <c r="A15767" s="5" t="str">
        <f>"H0030354"</f>
        <v>H0030354</v>
      </c>
      <c r="B15767" s="5" t="str">
        <f t="shared" si="812"/>
        <v>UNIDAD DE LLAMADO DE ENFERMERIA PARA BAÑO CON CORDON TIRADOR. RESISTENTE A SALPICADURAS DE AGUA Y LUZ INDICADORA DE PULSACIÓN</v>
      </c>
      <c r="C15767" s="6">
        <v>205537.98</v>
      </c>
      <c r="D15767" s="5" t="s">
        <v>155</v>
      </c>
      <c r="E15767" s="5" t="str">
        <f t="shared" si="810"/>
        <v>ACTISALUD - BODEGA - WILLIAM ZUÑIGA-DIEGO GARCIA</v>
      </c>
      <c r="F15767" s="5"/>
      <c r="G15767" s="5"/>
    </row>
    <row r="15768" spans="1:7" ht="58.5" customHeight="1" x14ac:dyDescent="0.25">
      <c r="A15768" s="5" t="str">
        <f>"H0030355"</f>
        <v>H0030355</v>
      </c>
      <c r="B15768" s="5" t="str">
        <f t="shared" si="812"/>
        <v>UNIDAD DE LLAMADO DE ENFERMERIA PARA BAÑO CON CORDON TIRADOR. RESISTENTE A SALPICADURAS DE AGUA Y LUZ INDICADORA DE PULSACIÓN</v>
      </c>
      <c r="C15768" s="6">
        <v>205537.98</v>
      </c>
      <c r="D15768" s="5" t="s">
        <v>155</v>
      </c>
      <c r="E15768" s="5" t="str">
        <f t="shared" si="810"/>
        <v>ACTISALUD - BODEGA - WILLIAM ZUÑIGA-DIEGO GARCIA</v>
      </c>
      <c r="F15768" s="5"/>
      <c r="G15768" s="5"/>
    </row>
    <row r="15769" spans="1:7" ht="58.5" customHeight="1" x14ac:dyDescent="0.25">
      <c r="A15769" s="5" t="str">
        <f>"H0030356"</f>
        <v>H0030356</v>
      </c>
      <c r="B15769" s="5" t="str">
        <f t="shared" si="812"/>
        <v>UNIDAD DE LLAMADO DE ENFERMERIA PARA BAÑO CON CORDON TIRADOR. RESISTENTE A SALPICADURAS DE AGUA Y LUZ INDICADORA DE PULSACIÓN</v>
      </c>
      <c r="C15769" s="6">
        <v>205537.98</v>
      </c>
      <c r="D15769" s="5" t="s">
        <v>155</v>
      </c>
      <c r="E15769" s="5" t="str">
        <f t="shared" si="810"/>
        <v>ACTISALUD - BODEGA - WILLIAM ZUÑIGA-DIEGO GARCIA</v>
      </c>
      <c r="F15769" s="5"/>
      <c r="G15769" s="5"/>
    </row>
    <row r="15770" spans="1:7" ht="58.5" customHeight="1" x14ac:dyDescent="0.25">
      <c r="A15770" s="5" t="str">
        <f>"H0030357"</f>
        <v>H0030357</v>
      </c>
      <c r="B15770" s="5" t="str">
        <f t="shared" si="812"/>
        <v>UNIDAD DE LLAMADO DE ENFERMERIA PARA BAÑO CON CORDON TIRADOR. RESISTENTE A SALPICADURAS DE AGUA Y LUZ INDICADORA DE PULSACIÓN</v>
      </c>
      <c r="C15770" s="6">
        <v>205537.98</v>
      </c>
      <c r="D15770" s="5" t="s">
        <v>155</v>
      </c>
      <c r="E15770" s="5" t="str">
        <f t="shared" si="810"/>
        <v>ACTISALUD - BODEGA - WILLIAM ZUÑIGA-DIEGO GARCIA</v>
      </c>
      <c r="F15770" s="5"/>
      <c r="G15770" s="5"/>
    </row>
    <row r="15771" spans="1:7" ht="58.5" customHeight="1" x14ac:dyDescent="0.25">
      <c r="A15771" s="5" t="str">
        <f>"H0030358"</f>
        <v>H0030358</v>
      </c>
      <c r="B15771" s="5" t="str">
        <f t="shared" si="812"/>
        <v>UNIDAD DE LLAMADO DE ENFERMERIA PARA BAÑO CON CORDON TIRADOR. RESISTENTE A SALPICADURAS DE AGUA Y LUZ INDICADORA DE PULSACIÓN</v>
      </c>
      <c r="C15771" s="6">
        <v>205537.98</v>
      </c>
      <c r="D15771" s="5" t="s">
        <v>155</v>
      </c>
      <c r="E15771" s="5" t="str">
        <f t="shared" si="810"/>
        <v>ACTISALUD - BODEGA - WILLIAM ZUÑIGA-DIEGO GARCIA</v>
      </c>
      <c r="F15771" s="5"/>
      <c r="G15771" s="5"/>
    </row>
    <row r="15772" spans="1:7" ht="58.5" customHeight="1" x14ac:dyDescent="0.25">
      <c r="A15772" s="5" t="str">
        <f>"H0030359"</f>
        <v>H0030359</v>
      </c>
      <c r="B15772" s="5" t="str">
        <f t="shared" si="812"/>
        <v>UNIDAD DE LLAMADO DE ENFERMERIA PARA BAÑO CON CORDON TIRADOR. RESISTENTE A SALPICADURAS DE AGUA Y LUZ INDICADORA DE PULSACIÓN</v>
      </c>
      <c r="C15772" s="6">
        <v>205537.98</v>
      </c>
      <c r="D15772" s="5" t="s">
        <v>155</v>
      </c>
      <c r="E15772" s="5" t="str">
        <f t="shared" si="810"/>
        <v>ACTISALUD - BODEGA - WILLIAM ZUÑIGA-DIEGO GARCIA</v>
      </c>
      <c r="F15772" s="5"/>
      <c r="G15772" s="5"/>
    </row>
    <row r="15773" spans="1:7" ht="58.5" customHeight="1" x14ac:dyDescent="0.25">
      <c r="A15773" s="5" t="str">
        <f>"H0030360"</f>
        <v>H0030360</v>
      </c>
      <c r="B15773" s="5" t="str">
        <f t="shared" si="812"/>
        <v>UNIDAD DE LLAMADO DE ENFERMERIA PARA BAÑO CON CORDON TIRADOR. RESISTENTE A SALPICADURAS DE AGUA Y LUZ INDICADORA DE PULSACIÓN</v>
      </c>
      <c r="C15773" s="6">
        <v>205537.98</v>
      </c>
      <c r="D15773" s="5" t="s">
        <v>155</v>
      </c>
      <c r="E15773" s="5" t="str">
        <f t="shared" si="810"/>
        <v>ACTISALUD - BODEGA - WILLIAM ZUÑIGA-DIEGO GARCIA</v>
      </c>
      <c r="F15773" s="5"/>
      <c r="G15773" s="5"/>
    </row>
    <row r="15774" spans="1:7" ht="58.5" customHeight="1" x14ac:dyDescent="0.25">
      <c r="A15774" s="5" t="str">
        <f>"H0030361"</f>
        <v>H0030361</v>
      </c>
      <c r="B15774" s="5" t="str">
        <f t="shared" si="812"/>
        <v>UNIDAD DE LLAMADO DE ENFERMERIA PARA BAÑO CON CORDON TIRADOR. RESISTENTE A SALPICADURAS DE AGUA Y LUZ INDICADORA DE PULSACIÓN</v>
      </c>
      <c r="C15774" s="6">
        <v>205537.98</v>
      </c>
      <c r="D15774" s="5" t="s">
        <v>155</v>
      </c>
      <c r="E15774" s="5" t="str">
        <f t="shared" si="810"/>
        <v>ACTISALUD - BODEGA - WILLIAM ZUÑIGA-DIEGO GARCIA</v>
      </c>
      <c r="F15774" s="5"/>
      <c r="G15774" s="5"/>
    </row>
    <row r="15775" spans="1:7" ht="58.5" customHeight="1" x14ac:dyDescent="0.25">
      <c r="A15775" s="5" t="str">
        <f>"H0030362"</f>
        <v>H0030362</v>
      </c>
      <c r="B15775" s="5" t="str">
        <f t="shared" si="812"/>
        <v>UNIDAD DE LLAMADO DE ENFERMERIA PARA BAÑO CON CORDON TIRADOR. RESISTENTE A SALPICADURAS DE AGUA Y LUZ INDICADORA DE PULSACIÓN</v>
      </c>
      <c r="C15775" s="6">
        <v>205537.98</v>
      </c>
      <c r="D15775" s="5" t="s">
        <v>155</v>
      </c>
      <c r="E15775" s="5" t="str">
        <f t="shared" si="810"/>
        <v>ACTISALUD - BODEGA - WILLIAM ZUÑIGA-DIEGO GARCIA</v>
      </c>
      <c r="F15775" s="5"/>
      <c r="G15775" s="5" t="str">
        <f t="shared" ref="G15775:G15787" si="813">"MMC-2810LL"</f>
        <v>MMC-2810LL</v>
      </c>
    </row>
    <row r="15776" spans="1:7" ht="58.5" customHeight="1" x14ac:dyDescent="0.25">
      <c r="A15776" s="5" t="str">
        <f>"H0030363"</f>
        <v>H0030363</v>
      </c>
      <c r="B15776" s="5" t="str">
        <f t="shared" si="812"/>
        <v>UNIDAD DE LLAMADO DE ENFERMERIA PARA BAÑO CON CORDON TIRADOR. RESISTENTE A SALPICADURAS DE AGUA Y LUZ INDICADORA DE PULSACIÓN</v>
      </c>
      <c r="C15776" s="6">
        <v>205537.98</v>
      </c>
      <c r="D15776" s="5" t="s">
        <v>155</v>
      </c>
      <c r="E15776" s="5" t="str">
        <f t="shared" si="810"/>
        <v>ACTISALUD - BODEGA - WILLIAM ZUÑIGA-DIEGO GARCIA</v>
      </c>
      <c r="F15776" s="5"/>
      <c r="G15776" s="5" t="str">
        <f t="shared" si="813"/>
        <v>MMC-2810LL</v>
      </c>
    </row>
    <row r="15777" spans="1:7" ht="58.5" customHeight="1" x14ac:dyDescent="0.25">
      <c r="A15777" s="5" t="str">
        <f>"H0030364"</f>
        <v>H0030364</v>
      </c>
      <c r="B15777" s="5" t="str">
        <f t="shared" si="812"/>
        <v>UNIDAD DE LLAMADO DE ENFERMERIA PARA BAÑO CON CORDON TIRADOR. RESISTENTE A SALPICADURAS DE AGUA Y LUZ INDICADORA DE PULSACIÓN</v>
      </c>
      <c r="C15777" s="6">
        <v>205537.98</v>
      </c>
      <c r="D15777" s="5" t="s">
        <v>155</v>
      </c>
      <c r="E15777" s="5" t="str">
        <f t="shared" si="810"/>
        <v>ACTISALUD - BODEGA - WILLIAM ZUÑIGA-DIEGO GARCIA</v>
      </c>
      <c r="F15777" s="5"/>
      <c r="G15777" s="5" t="str">
        <f t="shared" si="813"/>
        <v>MMC-2810LL</v>
      </c>
    </row>
    <row r="15778" spans="1:7" ht="58.5" customHeight="1" x14ac:dyDescent="0.25">
      <c r="A15778" s="5" t="str">
        <f>"H0030365"</f>
        <v>H0030365</v>
      </c>
      <c r="B15778" s="5" t="str">
        <f t="shared" si="812"/>
        <v>UNIDAD DE LLAMADO DE ENFERMERIA PARA BAÑO CON CORDON TIRADOR. RESISTENTE A SALPICADURAS DE AGUA Y LUZ INDICADORA DE PULSACIÓN</v>
      </c>
      <c r="C15778" s="6">
        <v>205537.98</v>
      </c>
      <c r="D15778" s="5" t="s">
        <v>155</v>
      </c>
      <c r="E15778" s="5" t="str">
        <f t="shared" si="810"/>
        <v>ACTISALUD - BODEGA - WILLIAM ZUÑIGA-DIEGO GARCIA</v>
      </c>
      <c r="F15778" s="5"/>
      <c r="G15778" s="5" t="str">
        <f t="shared" si="813"/>
        <v>MMC-2810LL</v>
      </c>
    </row>
    <row r="15779" spans="1:7" ht="58.5" customHeight="1" x14ac:dyDescent="0.25">
      <c r="A15779" s="5" t="str">
        <f>"H0030366"</f>
        <v>H0030366</v>
      </c>
      <c r="B15779" s="5" t="str">
        <f t="shared" si="812"/>
        <v>UNIDAD DE LLAMADO DE ENFERMERIA PARA BAÑO CON CORDON TIRADOR. RESISTENTE A SALPICADURAS DE AGUA Y LUZ INDICADORA DE PULSACIÓN</v>
      </c>
      <c r="C15779" s="6">
        <v>205537.98</v>
      </c>
      <c r="D15779" s="5" t="s">
        <v>155</v>
      </c>
      <c r="E15779" s="5" t="str">
        <f t="shared" si="810"/>
        <v>ACTISALUD - BODEGA - WILLIAM ZUÑIGA-DIEGO GARCIA</v>
      </c>
      <c r="F15779" s="5"/>
      <c r="G15779" s="5" t="str">
        <f t="shared" si="813"/>
        <v>MMC-2810LL</v>
      </c>
    </row>
    <row r="15780" spans="1:7" ht="58.5" customHeight="1" x14ac:dyDescent="0.25">
      <c r="A15780" s="5" t="str">
        <f>"H0030367"</f>
        <v>H0030367</v>
      </c>
      <c r="B15780" s="5" t="str">
        <f t="shared" si="812"/>
        <v>UNIDAD DE LLAMADO DE ENFERMERIA PARA BAÑO CON CORDON TIRADOR. RESISTENTE A SALPICADURAS DE AGUA Y LUZ INDICADORA DE PULSACIÓN</v>
      </c>
      <c r="C15780" s="6">
        <v>205537.98</v>
      </c>
      <c r="D15780" s="5" t="s">
        <v>155</v>
      </c>
      <c r="E15780" s="5" t="str">
        <f t="shared" si="810"/>
        <v>ACTISALUD - BODEGA - WILLIAM ZUÑIGA-DIEGO GARCIA</v>
      </c>
      <c r="F15780" s="5"/>
      <c r="G15780" s="5" t="str">
        <f t="shared" si="813"/>
        <v>MMC-2810LL</v>
      </c>
    </row>
    <row r="15781" spans="1:7" ht="58.5" customHeight="1" x14ac:dyDescent="0.25">
      <c r="A15781" s="5" t="str">
        <f>"H0030368"</f>
        <v>H0030368</v>
      </c>
      <c r="B15781" s="5" t="str">
        <f t="shared" si="812"/>
        <v>UNIDAD DE LLAMADO DE ENFERMERIA PARA BAÑO CON CORDON TIRADOR. RESISTENTE A SALPICADURAS DE AGUA Y LUZ INDICADORA DE PULSACIÓN</v>
      </c>
      <c r="C15781" s="6">
        <v>205537.98</v>
      </c>
      <c r="D15781" s="5" t="s">
        <v>155</v>
      </c>
      <c r="E15781" s="5" t="str">
        <f t="shared" ref="E15781:E15844" si="814">"ACTISALUD - BODEGA - WILLIAM ZUÑIGA-DIEGO GARCIA"</f>
        <v>ACTISALUD - BODEGA - WILLIAM ZUÑIGA-DIEGO GARCIA</v>
      </c>
      <c r="F15781" s="5"/>
      <c r="G15781" s="5" t="str">
        <f t="shared" si="813"/>
        <v>MMC-2810LL</v>
      </c>
    </row>
    <row r="15782" spans="1:7" ht="58.5" customHeight="1" x14ac:dyDescent="0.25">
      <c r="A15782" s="5" t="str">
        <f>"H0030369"</f>
        <v>H0030369</v>
      </c>
      <c r="B15782" s="5" t="str">
        <f t="shared" si="812"/>
        <v>UNIDAD DE LLAMADO DE ENFERMERIA PARA BAÑO CON CORDON TIRADOR. RESISTENTE A SALPICADURAS DE AGUA Y LUZ INDICADORA DE PULSACIÓN</v>
      </c>
      <c r="C15782" s="6">
        <v>205537.98</v>
      </c>
      <c r="D15782" s="5" t="s">
        <v>155</v>
      </c>
      <c r="E15782" s="5" t="str">
        <f t="shared" si="814"/>
        <v>ACTISALUD - BODEGA - WILLIAM ZUÑIGA-DIEGO GARCIA</v>
      </c>
      <c r="F15782" s="5"/>
      <c r="G15782" s="5" t="str">
        <f t="shared" si="813"/>
        <v>MMC-2810LL</v>
      </c>
    </row>
    <row r="15783" spans="1:7" ht="58.5" customHeight="1" x14ac:dyDescent="0.25">
      <c r="A15783" s="5" t="str">
        <f>"H0030370"</f>
        <v>H0030370</v>
      </c>
      <c r="B15783" s="5" t="str">
        <f t="shared" si="812"/>
        <v>UNIDAD DE LLAMADO DE ENFERMERIA PARA BAÑO CON CORDON TIRADOR. RESISTENTE A SALPICADURAS DE AGUA Y LUZ INDICADORA DE PULSACIÓN</v>
      </c>
      <c r="C15783" s="6">
        <v>205537.98</v>
      </c>
      <c r="D15783" s="5" t="s">
        <v>155</v>
      </c>
      <c r="E15783" s="5" t="str">
        <f t="shared" si="814"/>
        <v>ACTISALUD - BODEGA - WILLIAM ZUÑIGA-DIEGO GARCIA</v>
      </c>
      <c r="F15783" s="5"/>
      <c r="G15783" s="5" t="str">
        <f t="shared" si="813"/>
        <v>MMC-2810LL</v>
      </c>
    </row>
    <row r="15784" spans="1:7" ht="58.5" customHeight="1" x14ac:dyDescent="0.25">
      <c r="A15784" s="5" t="str">
        <f>"H0030371"</f>
        <v>H0030371</v>
      </c>
      <c r="B15784" s="5" t="str">
        <f t="shared" si="812"/>
        <v>UNIDAD DE LLAMADO DE ENFERMERIA PARA BAÑO CON CORDON TIRADOR. RESISTENTE A SALPICADURAS DE AGUA Y LUZ INDICADORA DE PULSACIÓN</v>
      </c>
      <c r="C15784" s="6">
        <v>205537.98</v>
      </c>
      <c r="D15784" s="5" t="s">
        <v>155</v>
      </c>
      <c r="E15784" s="5" t="str">
        <f t="shared" si="814"/>
        <v>ACTISALUD - BODEGA - WILLIAM ZUÑIGA-DIEGO GARCIA</v>
      </c>
      <c r="F15784" s="5"/>
      <c r="G15784" s="5" t="str">
        <f t="shared" si="813"/>
        <v>MMC-2810LL</v>
      </c>
    </row>
    <row r="15785" spans="1:7" ht="58.5" customHeight="1" x14ac:dyDescent="0.25">
      <c r="A15785" s="5" t="str">
        <f>"H0030372"</f>
        <v>H0030372</v>
      </c>
      <c r="B15785" s="5" t="str">
        <f t="shared" si="812"/>
        <v>UNIDAD DE LLAMADO DE ENFERMERIA PARA BAÑO CON CORDON TIRADOR. RESISTENTE A SALPICADURAS DE AGUA Y LUZ INDICADORA DE PULSACIÓN</v>
      </c>
      <c r="C15785" s="6">
        <v>205537.98</v>
      </c>
      <c r="D15785" s="5" t="s">
        <v>155</v>
      </c>
      <c r="E15785" s="5" t="str">
        <f t="shared" si="814"/>
        <v>ACTISALUD - BODEGA - WILLIAM ZUÑIGA-DIEGO GARCIA</v>
      </c>
      <c r="F15785" s="5"/>
      <c r="G15785" s="5" t="str">
        <f t="shared" si="813"/>
        <v>MMC-2810LL</v>
      </c>
    </row>
    <row r="15786" spans="1:7" ht="58.5" customHeight="1" x14ac:dyDescent="0.25">
      <c r="A15786" s="5" t="str">
        <f>"H0030373"</f>
        <v>H0030373</v>
      </c>
      <c r="B15786" s="5" t="str">
        <f t="shared" si="812"/>
        <v>UNIDAD DE LLAMADO DE ENFERMERIA PARA BAÑO CON CORDON TIRADOR. RESISTENTE A SALPICADURAS DE AGUA Y LUZ INDICADORA DE PULSACIÓN</v>
      </c>
      <c r="C15786" s="6">
        <v>205537.98</v>
      </c>
      <c r="D15786" s="5" t="s">
        <v>155</v>
      </c>
      <c r="E15786" s="5" t="str">
        <f t="shared" si="814"/>
        <v>ACTISALUD - BODEGA - WILLIAM ZUÑIGA-DIEGO GARCIA</v>
      </c>
      <c r="F15786" s="5"/>
      <c r="G15786" s="5" t="str">
        <f t="shared" si="813"/>
        <v>MMC-2810LL</v>
      </c>
    </row>
    <row r="15787" spans="1:7" ht="58.5" customHeight="1" x14ac:dyDescent="0.25">
      <c r="A15787" s="5" t="str">
        <f>"H0030374"</f>
        <v>H0030374</v>
      </c>
      <c r="B15787" s="5" t="str">
        <f t="shared" si="812"/>
        <v>UNIDAD DE LLAMADO DE ENFERMERIA PARA BAÑO CON CORDON TIRADOR. RESISTENTE A SALPICADURAS DE AGUA Y LUZ INDICADORA DE PULSACIÓN</v>
      </c>
      <c r="C15787" s="6">
        <v>205537.98</v>
      </c>
      <c r="D15787" s="5" t="s">
        <v>155</v>
      </c>
      <c r="E15787" s="5" t="str">
        <f t="shared" si="814"/>
        <v>ACTISALUD - BODEGA - WILLIAM ZUÑIGA-DIEGO GARCIA</v>
      </c>
      <c r="F15787" s="5"/>
      <c r="G15787" s="5" t="str">
        <f t="shared" si="813"/>
        <v>MMC-2810LL</v>
      </c>
    </row>
    <row r="15788" spans="1:7" ht="58.5" customHeight="1" x14ac:dyDescent="0.25">
      <c r="A15788" s="5" t="str">
        <f>"H0030375"</f>
        <v>H0030375</v>
      </c>
      <c r="B15788" s="5" t="str">
        <f t="shared" si="812"/>
        <v>UNIDAD DE LLAMADO DE ENFERMERIA PARA BAÑO CON CORDON TIRADOR. RESISTENTE A SALPICADURAS DE AGUA Y LUZ INDICADORA DE PULSACIÓN</v>
      </c>
      <c r="C15788" s="6">
        <v>205537.98</v>
      </c>
      <c r="D15788" s="5" t="s">
        <v>155</v>
      </c>
      <c r="E15788" s="5" t="str">
        <f t="shared" si="814"/>
        <v>ACTISALUD - BODEGA - WILLIAM ZUÑIGA-DIEGO GARCIA</v>
      </c>
      <c r="F15788" s="5"/>
      <c r="G15788" s="5"/>
    </row>
    <row r="15789" spans="1:7" ht="58.5" customHeight="1" x14ac:dyDescent="0.25">
      <c r="A15789" s="5" t="str">
        <f>"H0030376"</f>
        <v>H0030376</v>
      </c>
      <c r="B15789" s="5" t="str">
        <f t="shared" si="812"/>
        <v>UNIDAD DE LLAMADO DE ENFERMERIA PARA BAÑO CON CORDON TIRADOR. RESISTENTE A SALPICADURAS DE AGUA Y LUZ INDICADORA DE PULSACIÓN</v>
      </c>
      <c r="C15789" s="6">
        <v>205537.98</v>
      </c>
      <c r="D15789" s="5" t="s">
        <v>155</v>
      </c>
      <c r="E15789" s="5" t="str">
        <f t="shared" si="814"/>
        <v>ACTISALUD - BODEGA - WILLIAM ZUÑIGA-DIEGO GARCIA</v>
      </c>
      <c r="F15789" s="5"/>
      <c r="G15789" s="5"/>
    </row>
    <row r="15790" spans="1:7" ht="58.5" customHeight="1" x14ac:dyDescent="0.25">
      <c r="A15790" s="5" t="str">
        <f>"H0030377"</f>
        <v>H0030377</v>
      </c>
      <c r="B15790" s="5" t="str">
        <f t="shared" si="812"/>
        <v>UNIDAD DE LLAMADO DE ENFERMERIA PARA BAÑO CON CORDON TIRADOR. RESISTENTE A SALPICADURAS DE AGUA Y LUZ INDICADORA DE PULSACIÓN</v>
      </c>
      <c r="C15790" s="6">
        <v>205537.98</v>
      </c>
      <c r="D15790" s="5" t="s">
        <v>155</v>
      </c>
      <c r="E15790" s="5" t="str">
        <f t="shared" si="814"/>
        <v>ACTISALUD - BODEGA - WILLIAM ZUÑIGA-DIEGO GARCIA</v>
      </c>
      <c r="F15790" s="5"/>
      <c r="G15790" s="5"/>
    </row>
    <row r="15791" spans="1:7" ht="58.5" customHeight="1" x14ac:dyDescent="0.25">
      <c r="A15791" s="5" t="str">
        <f>"H0030495"</f>
        <v>H0030495</v>
      </c>
      <c r="B15791" s="5" t="str">
        <f>"UNIDAD DE LLAMADO DE ENFERMERIA PARA CAMA O BAÑO"</f>
        <v>UNIDAD DE LLAMADO DE ENFERMERIA PARA CAMA O BAÑO</v>
      </c>
      <c r="C15791" s="6">
        <v>207719.26</v>
      </c>
      <c r="D15791" s="5" t="s">
        <v>155</v>
      </c>
      <c r="E15791" s="5" t="str">
        <f t="shared" si="814"/>
        <v>ACTISALUD - BODEGA - WILLIAM ZUÑIGA-DIEGO GARCIA</v>
      </c>
      <c r="F15791" s="5"/>
      <c r="G15791" s="5"/>
    </row>
    <row r="15792" spans="1:7" ht="58.5" customHeight="1" x14ac:dyDescent="0.25">
      <c r="A15792" s="5" t="str">
        <f>"H0030497"</f>
        <v>H0030497</v>
      </c>
      <c r="B15792" s="5" t="str">
        <f>"UNIDAD DE LLAMADO DE ENFERMERIA PARA CAMA O BAÑO"</f>
        <v>UNIDAD DE LLAMADO DE ENFERMERIA PARA CAMA O BAÑO</v>
      </c>
      <c r="C15792" s="6">
        <v>207719.26</v>
      </c>
      <c r="D15792" s="5" t="s">
        <v>155</v>
      </c>
      <c r="E15792" s="5" t="str">
        <f t="shared" si="814"/>
        <v>ACTISALUD - BODEGA - WILLIAM ZUÑIGA-DIEGO GARCIA</v>
      </c>
      <c r="F15792" s="5"/>
      <c r="G15792" s="5"/>
    </row>
    <row r="15793" spans="1:7" ht="58.5" customHeight="1" x14ac:dyDescent="0.25">
      <c r="A15793" s="5" t="str">
        <f>"H0030498"</f>
        <v>H0030498</v>
      </c>
      <c r="B15793" s="5" t="str">
        <f>"UNIDAD DE LLAMADO DE ENFERMERIA PARA CAMA O BAÑO"</f>
        <v>UNIDAD DE LLAMADO DE ENFERMERIA PARA CAMA O BAÑO</v>
      </c>
      <c r="C15793" s="6">
        <v>207719.26</v>
      </c>
      <c r="D15793" s="5" t="s">
        <v>155</v>
      </c>
      <c r="E15793" s="5" t="str">
        <f t="shared" si="814"/>
        <v>ACTISALUD - BODEGA - WILLIAM ZUÑIGA-DIEGO GARCIA</v>
      </c>
      <c r="F15793" s="5"/>
      <c r="G15793" s="5"/>
    </row>
    <row r="15794" spans="1:7" ht="58.5" customHeight="1" x14ac:dyDescent="0.25">
      <c r="A15794" s="5" t="str">
        <f>"H0031316"</f>
        <v>H0031316</v>
      </c>
      <c r="B15794" s="5" t="str">
        <f>"BAÑO SECO TIPO HB120-S INCLUYE BLOQUE 28 TUBOS 5/15ML REF 18900221 (CODIGO DONACION)"</f>
        <v>BAÑO SECO TIPO HB120-S INCLUYE BLOQUE 28 TUBOS 5/15ML REF 18900221 (CODIGO DONACION)</v>
      </c>
      <c r="C15794" s="6">
        <v>2347870</v>
      </c>
      <c r="D15794" s="5" t="s">
        <v>773</v>
      </c>
      <c r="E15794" s="5" t="str">
        <f t="shared" si="814"/>
        <v>ACTISALUD - BODEGA - WILLIAM ZUÑIGA-DIEGO GARCIA</v>
      </c>
      <c r="F15794" s="5"/>
      <c r="G15794" s="5" t="str">
        <f>"HB120-S"</f>
        <v>HB120-S</v>
      </c>
    </row>
    <row r="15795" spans="1:7" ht="58.5" customHeight="1" x14ac:dyDescent="0.25">
      <c r="A15795" s="5" t="str">
        <f>"H0031317"</f>
        <v>H0031317</v>
      </c>
      <c r="B15795" s="5" t="str">
        <f>"PLANTA ELECTRICA YAMAHA ET-1 120 vac/12 vdc, POT 960W (CODIGO DONACION)"</f>
        <v>PLANTA ELECTRICA YAMAHA ET-1 120 vac/12 vdc, POT 960W (CODIGO DONACION)</v>
      </c>
      <c r="C15795" s="6">
        <v>726650</v>
      </c>
      <c r="D15795" s="5" t="s">
        <v>105</v>
      </c>
      <c r="E15795" s="5" t="str">
        <f t="shared" si="814"/>
        <v>ACTISALUD - BODEGA - WILLIAM ZUÑIGA-DIEGO GARCIA</v>
      </c>
      <c r="F15795" s="5"/>
      <c r="G15795" s="5"/>
    </row>
    <row r="15796" spans="1:7" ht="58.5" customHeight="1" x14ac:dyDescent="0.25">
      <c r="A15796" s="5" t="str">
        <f>"H0031418"</f>
        <v>H0031418</v>
      </c>
      <c r="B15796" s="5" t="str">
        <f>"UPS Online 10 KVA Trifásica 5 Minutos. 208 Vac in 50-60 Hz. 208 Vac out. Banco de baterías. Display. Alarmas. Tarjeta de Red SNMP."</f>
        <v>UPS Online 10 KVA Trifásica 5 Minutos. 208 Vac in 50-60 Hz. 208 Vac out. Banco de baterías. Display. Alarmas. Tarjeta de Red SNMP.</v>
      </c>
      <c r="C15796" s="6">
        <v>13673100</v>
      </c>
      <c r="D15796" s="5" t="s">
        <v>473</v>
      </c>
      <c r="E15796" s="5" t="str">
        <f t="shared" si="814"/>
        <v>ACTISALUD - BODEGA - WILLIAM ZUÑIGA-DIEGO GARCIA</v>
      </c>
      <c r="F15796" s="5"/>
      <c r="G15796" s="5"/>
    </row>
    <row r="15797" spans="1:7" ht="58.5" customHeight="1" x14ac:dyDescent="0.25">
      <c r="A15797" s="5" t="str">
        <f>"H0031419"</f>
        <v>H0031419</v>
      </c>
      <c r="B15797" s="5" t="str">
        <f>"UPS Online 10 KVA Trifásica 5 Minutos. 208 Vac in 50-60 Hz. 208 Vac out. Banco de baterías. Display. Alarmas. Tarjeta de Red SNMP."</f>
        <v>UPS Online 10 KVA Trifásica 5 Minutos. 208 Vac in 50-60 Hz. 208 Vac out. Banco de baterías. Display. Alarmas. Tarjeta de Red SNMP.</v>
      </c>
      <c r="C15797" s="6">
        <v>13673100</v>
      </c>
      <c r="D15797" s="5" t="s">
        <v>473</v>
      </c>
      <c r="E15797" s="5" t="str">
        <f t="shared" si="814"/>
        <v>ACTISALUD - BODEGA - WILLIAM ZUÑIGA-DIEGO GARCIA</v>
      </c>
      <c r="F15797" s="5"/>
      <c r="G15797" s="5"/>
    </row>
    <row r="15798" spans="1:7" ht="58.5" customHeight="1" x14ac:dyDescent="0.25">
      <c r="A15798" s="5" t="str">
        <f>"H0031512"</f>
        <v>H0031512</v>
      </c>
      <c r="B15798" s="5" t="str">
        <f>"PDU Monofásica 110 V, 8 Salidas 110 V NEMA 5-15/20R. Tarjeta Red SNMP"</f>
        <v>PDU Monofásica 110 V, 8 Salidas 110 V NEMA 5-15/20R. Tarjeta Red SNMP</v>
      </c>
      <c r="C15798" s="6">
        <v>1261400</v>
      </c>
      <c r="D15798" s="5" t="s">
        <v>16</v>
      </c>
      <c r="E15798" s="5" t="str">
        <f t="shared" si="814"/>
        <v>ACTISALUD - BODEGA - WILLIAM ZUÑIGA-DIEGO GARCIA</v>
      </c>
      <c r="F15798" s="5"/>
      <c r="G15798" s="5" t="str">
        <f>"RS-1215"</f>
        <v>RS-1215</v>
      </c>
    </row>
    <row r="15799" spans="1:7" ht="58.5" customHeight="1" x14ac:dyDescent="0.25">
      <c r="A15799" s="5" t="str">
        <f>"H0031513"</f>
        <v>H0031513</v>
      </c>
      <c r="B15799" s="5" t="str">
        <f>"PDU Monofásica 110 V, 8 Salidas 110 V NEMA 5-15/20R. Tarjeta Red SNMP"</f>
        <v>PDU Monofásica 110 V, 8 Salidas 110 V NEMA 5-15/20R. Tarjeta Red SNMP</v>
      </c>
      <c r="C15799" s="6">
        <v>1261400</v>
      </c>
      <c r="D15799" s="5" t="s">
        <v>16</v>
      </c>
      <c r="E15799" s="5" t="str">
        <f t="shared" si="814"/>
        <v>ACTISALUD - BODEGA - WILLIAM ZUÑIGA-DIEGO GARCIA</v>
      </c>
      <c r="F15799" s="5"/>
      <c r="G15799" s="5" t="str">
        <f>"RS-1215"</f>
        <v>RS-1215</v>
      </c>
    </row>
    <row r="15800" spans="1:7" ht="58.5" customHeight="1" x14ac:dyDescent="0.25">
      <c r="A15800" s="5" t="str">
        <f>"H0031514"</f>
        <v>H0031514</v>
      </c>
      <c r="B15800" s="5" t="str">
        <f>"PDU Monofásica 208 V, 8 Salidas 208 Vac IEC C13. Tarjeta Red SNMP"</f>
        <v>PDU Monofásica 208 V, 8 Salidas 208 Vac IEC C13. Tarjeta Red SNMP</v>
      </c>
      <c r="C15800" s="6">
        <v>1368500</v>
      </c>
      <c r="D15800" s="5" t="s">
        <v>16</v>
      </c>
      <c r="E15800" s="5" t="str">
        <f t="shared" si="814"/>
        <v>ACTISALUD - BODEGA - WILLIAM ZUÑIGA-DIEGO GARCIA</v>
      </c>
      <c r="F15800" s="5"/>
      <c r="G15800" s="5" t="str">
        <f>"RS-1215"</f>
        <v>RS-1215</v>
      </c>
    </row>
    <row r="15801" spans="1:7" ht="58.5" customHeight="1" x14ac:dyDescent="0.25">
      <c r="A15801" s="5" t="str">
        <f>"H0031515"</f>
        <v>H0031515</v>
      </c>
      <c r="B15801" s="5" t="str">
        <f>"PDU Monofásica 208 V, 8 Salidas 208 Vac IEC C13. Tarjeta Red SNMP"</f>
        <v>PDU Monofásica 208 V, 8 Salidas 208 Vac IEC C13. Tarjeta Red SNMP</v>
      </c>
      <c r="C15801" s="6">
        <v>1368500</v>
      </c>
      <c r="D15801" s="5" t="s">
        <v>16</v>
      </c>
      <c r="E15801" s="5" t="str">
        <f t="shared" si="814"/>
        <v>ACTISALUD - BODEGA - WILLIAM ZUÑIGA-DIEGO GARCIA</v>
      </c>
      <c r="F15801" s="5"/>
      <c r="G15801" s="5" t="str">
        <f>"RS-1215"</f>
        <v>RS-1215</v>
      </c>
    </row>
    <row r="15802" spans="1:7" ht="58.5" customHeight="1" x14ac:dyDescent="0.25">
      <c r="A15802" s="5" t="str">
        <f>"H0031521"</f>
        <v>H0031521</v>
      </c>
      <c r="B15802" s="5" t="s">
        <v>329</v>
      </c>
      <c r="C15802" s="6">
        <v>326041.09999999998</v>
      </c>
      <c r="D15802" s="5" t="s">
        <v>16</v>
      </c>
      <c r="E15802" s="5" t="str">
        <f t="shared" si="814"/>
        <v>ACTISALUD - BODEGA - WILLIAM ZUÑIGA-DIEGO GARCIA</v>
      </c>
      <c r="F15802" s="5"/>
      <c r="G15802" s="5"/>
    </row>
    <row r="15803" spans="1:7" ht="58.5" customHeight="1" x14ac:dyDescent="0.25">
      <c r="A15803" s="5" t="str">
        <f>"H0031523"</f>
        <v>H0031523</v>
      </c>
      <c r="B15803" s="5" t="s">
        <v>329</v>
      </c>
      <c r="C15803" s="6">
        <v>326041.09999999998</v>
      </c>
      <c r="D15803" s="5" t="s">
        <v>16</v>
      </c>
      <c r="E15803" s="5" t="str">
        <f t="shared" si="814"/>
        <v>ACTISALUD - BODEGA - WILLIAM ZUÑIGA-DIEGO GARCIA</v>
      </c>
      <c r="F15803" s="5"/>
      <c r="G15803" s="5"/>
    </row>
    <row r="15804" spans="1:7" ht="58.5" customHeight="1" x14ac:dyDescent="0.25">
      <c r="A15804" s="5" t="str">
        <f>"H0031524"</f>
        <v>H0031524</v>
      </c>
      <c r="B15804" s="5" t="s">
        <v>329</v>
      </c>
      <c r="C15804" s="6">
        <v>326041.09999999998</v>
      </c>
      <c r="D15804" s="5" t="s">
        <v>16</v>
      </c>
      <c r="E15804" s="5" t="str">
        <f t="shared" si="814"/>
        <v>ACTISALUD - BODEGA - WILLIAM ZUÑIGA-DIEGO GARCIA</v>
      </c>
      <c r="F15804" s="5"/>
      <c r="G15804" s="5"/>
    </row>
    <row r="15805" spans="1:7" ht="58.5" customHeight="1" x14ac:dyDescent="0.25">
      <c r="A15805" s="5" t="str">
        <f>"H0031590"</f>
        <v>H0031590</v>
      </c>
      <c r="B15805" s="5" t="s">
        <v>221</v>
      </c>
      <c r="C15805" s="6">
        <v>375382.64</v>
      </c>
      <c r="D15805" s="5" t="s">
        <v>16</v>
      </c>
      <c r="E15805" s="5" t="str">
        <f t="shared" si="814"/>
        <v>ACTISALUD - BODEGA - WILLIAM ZUÑIGA-DIEGO GARCIA</v>
      </c>
      <c r="F15805" s="5"/>
      <c r="G15805" s="5"/>
    </row>
    <row r="15806" spans="1:7" ht="58.5" customHeight="1" x14ac:dyDescent="0.25">
      <c r="A15806" s="5" t="str">
        <f>"H0031591"</f>
        <v>H0031591</v>
      </c>
      <c r="B15806" s="5" t="s">
        <v>221</v>
      </c>
      <c r="C15806" s="6">
        <v>375382.64</v>
      </c>
      <c r="D15806" s="5" t="s">
        <v>16</v>
      </c>
      <c r="E15806" s="5" t="str">
        <f t="shared" si="814"/>
        <v>ACTISALUD - BODEGA - WILLIAM ZUÑIGA-DIEGO GARCIA</v>
      </c>
      <c r="F15806" s="5"/>
      <c r="G15806" s="5"/>
    </row>
    <row r="15807" spans="1:7" ht="58.5" customHeight="1" x14ac:dyDescent="0.25">
      <c r="A15807" s="5" t="str">
        <f>"H0031646"</f>
        <v>H0031646</v>
      </c>
      <c r="B15807" s="5" t="str">
        <f>"ESTIMULADOR DE NERVIO"</f>
        <v>ESTIMULADOR DE NERVIO</v>
      </c>
      <c r="C15807" s="6">
        <v>8133287</v>
      </c>
      <c r="D15807" s="5" t="s">
        <v>317</v>
      </c>
      <c r="E15807" s="5" t="str">
        <f t="shared" si="814"/>
        <v>ACTISALUD - BODEGA - WILLIAM ZUÑIGA-DIEGO GARCIA</v>
      </c>
      <c r="F15807" s="5"/>
      <c r="G15807" s="5"/>
    </row>
    <row r="15808" spans="1:7" ht="58.5" customHeight="1" x14ac:dyDescent="0.25">
      <c r="A15808" s="5" t="str">
        <f>"H0031667"</f>
        <v>H0031667</v>
      </c>
      <c r="B15808" s="5" t="str">
        <f>"ANDAMIO CERTIFICADO 4 CUERPOS"</f>
        <v>ANDAMIO CERTIFICADO 4 CUERPOS</v>
      </c>
      <c r="C15808" s="6">
        <v>26800000.399999999</v>
      </c>
      <c r="D15808" s="5" t="s">
        <v>156</v>
      </c>
      <c r="E15808" s="5" t="str">
        <f t="shared" si="814"/>
        <v>ACTISALUD - BODEGA - WILLIAM ZUÑIGA-DIEGO GARCIA</v>
      </c>
      <c r="F15808" s="5"/>
      <c r="G15808" s="5"/>
    </row>
    <row r="15809" spans="1:7" ht="58.5" customHeight="1" x14ac:dyDescent="0.25">
      <c r="A15809" s="5" t="str">
        <f>"H0031858"</f>
        <v>H0031858</v>
      </c>
      <c r="B15809" s="5" t="str">
        <f>"CALENTADOR DE FLUIDOS"</f>
        <v>CALENTADOR DE FLUIDOS</v>
      </c>
      <c r="C15809" s="6">
        <v>7554441.25</v>
      </c>
      <c r="D15809" s="5" t="s">
        <v>320</v>
      </c>
      <c r="E15809" s="5" t="str">
        <f t="shared" si="814"/>
        <v>ACTISALUD - BODEGA - WILLIAM ZUÑIGA-DIEGO GARCIA</v>
      </c>
      <c r="F15809" s="5"/>
      <c r="G15809" s="5"/>
    </row>
    <row r="15810" spans="1:7" ht="58.5" customHeight="1" x14ac:dyDescent="0.25">
      <c r="A15810" s="5" t="str">
        <f>"H0031859"</f>
        <v>H0031859</v>
      </c>
      <c r="B15810" s="5" t="str">
        <f>"CALENTADOR DE FLUIDOS"</f>
        <v>CALENTADOR DE FLUIDOS</v>
      </c>
      <c r="C15810" s="6">
        <v>7554441.25</v>
      </c>
      <c r="D15810" s="5" t="s">
        <v>320</v>
      </c>
      <c r="E15810" s="5" t="str">
        <f t="shared" si="814"/>
        <v>ACTISALUD - BODEGA - WILLIAM ZUÑIGA-DIEGO GARCIA</v>
      </c>
      <c r="F15810" s="5"/>
      <c r="G15810" s="5"/>
    </row>
    <row r="15811" spans="1:7" ht="58.5" customHeight="1" x14ac:dyDescent="0.25">
      <c r="A15811" s="5" t="str">
        <f>"H0031860"</f>
        <v>H0031860</v>
      </c>
      <c r="B15811" s="5" t="str">
        <f>"CALENTADOR DE FLUIDOS"</f>
        <v>CALENTADOR DE FLUIDOS</v>
      </c>
      <c r="C15811" s="6">
        <v>7554441.25</v>
      </c>
      <c r="D15811" s="5" t="s">
        <v>320</v>
      </c>
      <c r="E15811" s="5" t="str">
        <f t="shared" si="814"/>
        <v>ACTISALUD - BODEGA - WILLIAM ZUÑIGA-DIEGO GARCIA</v>
      </c>
      <c r="F15811" s="5"/>
      <c r="G15811" s="5"/>
    </row>
    <row r="15812" spans="1:7" ht="58.5" customHeight="1" x14ac:dyDescent="0.25">
      <c r="A15812" s="5" t="str">
        <f>"H0031861"</f>
        <v>H0031861</v>
      </c>
      <c r="B15812" s="5" t="str">
        <f>"CALENTADOR DE FLUIDOS"</f>
        <v>CALENTADOR DE FLUIDOS</v>
      </c>
      <c r="C15812" s="6">
        <v>7554441.25</v>
      </c>
      <c r="D15812" s="5" t="s">
        <v>320</v>
      </c>
      <c r="E15812" s="5" t="str">
        <f t="shared" si="814"/>
        <v>ACTISALUD - BODEGA - WILLIAM ZUÑIGA-DIEGO GARCIA</v>
      </c>
      <c r="F15812" s="5"/>
      <c r="G15812" s="5"/>
    </row>
    <row r="15813" spans="1:7" ht="58.5" customHeight="1" x14ac:dyDescent="0.25">
      <c r="A15813" s="5" t="str">
        <f>"H0032178"</f>
        <v>H0032178</v>
      </c>
      <c r="B15813" s="5" t="str">
        <f t="shared" ref="B15813:B15847" si="815">"CUBETA PEQUEÑA EN ACERO INOXIDABLE SIN TAPA PARA ASEPSIA REDONDA 10*5 C20"</f>
        <v>CUBETA PEQUEÑA EN ACERO INOXIDABLE SIN TAPA PARA ASEPSIA REDONDA 10*5 C20</v>
      </c>
      <c r="C15813" s="6">
        <v>30642.5</v>
      </c>
      <c r="D15813" s="5" t="s">
        <v>483</v>
      </c>
      <c r="E15813" s="5" t="str">
        <f t="shared" si="814"/>
        <v>ACTISALUD - BODEGA - WILLIAM ZUÑIGA-DIEGO GARCIA</v>
      </c>
      <c r="F15813" s="5"/>
      <c r="G15813" s="5"/>
    </row>
    <row r="15814" spans="1:7" ht="58.5" customHeight="1" x14ac:dyDescent="0.25">
      <c r="A15814" s="5" t="str">
        <f>"H0032179"</f>
        <v>H0032179</v>
      </c>
      <c r="B15814" s="5" t="str">
        <f t="shared" si="815"/>
        <v>CUBETA PEQUEÑA EN ACERO INOXIDABLE SIN TAPA PARA ASEPSIA REDONDA 10*5 C20</v>
      </c>
      <c r="C15814" s="6">
        <v>30642.5</v>
      </c>
      <c r="D15814" s="5" t="s">
        <v>483</v>
      </c>
      <c r="E15814" s="5" t="str">
        <f t="shared" si="814"/>
        <v>ACTISALUD - BODEGA - WILLIAM ZUÑIGA-DIEGO GARCIA</v>
      </c>
      <c r="F15814" s="5"/>
      <c r="G15814" s="5"/>
    </row>
    <row r="15815" spans="1:7" ht="58.5" customHeight="1" x14ac:dyDescent="0.25">
      <c r="A15815" s="5" t="str">
        <f>"H0032180"</f>
        <v>H0032180</v>
      </c>
      <c r="B15815" s="5" t="str">
        <f t="shared" si="815"/>
        <v>CUBETA PEQUEÑA EN ACERO INOXIDABLE SIN TAPA PARA ASEPSIA REDONDA 10*5 C20</v>
      </c>
      <c r="C15815" s="6">
        <v>30642.5</v>
      </c>
      <c r="D15815" s="5" t="s">
        <v>483</v>
      </c>
      <c r="E15815" s="5" t="str">
        <f t="shared" si="814"/>
        <v>ACTISALUD - BODEGA - WILLIAM ZUÑIGA-DIEGO GARCIA</v>
      </c>
      <c r="F15815" s="5"/>
      <c r="G15815" s="5"/>
    </row>
    <row r="15816" spans="1:7" ht="58.5" customHeight="1" x14ac:dyDescent="0.25">
      <c r="A15816" s="5" t="str">
        <f>"H0032181"</f>
        <v>H0032181</v>
      </c>
      <c r="B15816" s="5" t="str">
        <f t="shared" si="815"/>
        <v>CUBETA PEQUEÑA EN ACERO INOXIDABLE SIN TAPA PARA ASEPSIA REDONDA 10*5 C20</v>
      </c>
      <c r="C15816" s="6">
        <v>30642.5</v>
      </c>
      <c r="D15816" s="5" t="s">
        <v>483</v>
      </c>
      <c r="E15816" s="5" t="str">
        <f t="shared" si="814"/>
        <v>ACTISALUD - BODEGA - WILLIAM ZUÑIGA-DIEGO GARCIA</v>
      </c>
      <c r="F15816" s="5"/>
      <c r="G15816" s="5"/>
    </row>
    <row r="15817" spans="1:7" ht="58.5" customHeight="1" x14ac:dyDescent="0.25">
      <c r="A15817" s="5" t="str">
        <f>"H0032182"</f>
        <v>H0032182</v>
      </c>
      <c r="B15817" s="5" t="str">
        <f t="shared" si="815"/>
        <v>CUBETA PEQUEÑA EN ACERO INOXIDABLE SIN TAPA PARA ASEPSIA REDONDA 10*5 C20</v>
      </c>
      <c r="C15817" s="6">
        <v>30642.5</v>
      </c>
      <c r="D15817" s="5" t="s">
        <v>483</v>
      </c>
      <c r="E15817" s="5" t="str">
        <f t="shared" si="814"/>
        <v>ACTISALUD - BODEGA - WILLIAM ZUÑIGA-DIEGO GARCIA</v>
      </c>
      <c r="F15817" s="5"/>
      <c r="G15817" s="5"/>
    </row>
    <row r="15818" spans="1:7" ht="58.5" customHeight="1" x14ac:dyDescent="0.25">
      <c r="A15818" s="5" t="str">
        <f>"H0032183"</f>
        <v>H0032183</v>
      </c>
      <c r="B15818" s="5" t="str">
        <f t="shared" si="815"/>
        <v>CUBETA PEQUEÑA EN ACERO INOXIDABLE SIN TAPA PARA ASEPSIA REDONDA 10*5 C20</v>
      </c>
      <c r="C15818" s="6">
        <v>30642.5</v>
      </c>
      <c r="D15818" s="5" t="s">
        <v>483</v>
      </c>
      <c r="E15818" s="5" t="str">
        <f t="shared" si="814"/>
        <v>ACTISALUD - BODEGA - WILLIAM ZUÑIGA-DIEGO GARCIA</v>
      </c>
      <c r="F15818" s="5"/>
      <c r="G15818" s="5"/>
    </row>
    <row r="15819" spans="1:7" ht="58.5" customHeight="1" x14ac:dyDescent="0.25">
      <c r="A15819" s="5" t="str">
        <f>"H0032184"</f>
        <v>H0032184</v>
      </c>
      <c r="B15819" s="5" t="str">
        <f t="shared" si="815"/>
        <v>CUBETA PEQUEÑA EN ACERO INOXIDABLE SIN TAPA PARA ASEPSIA REDONDA 10*5 C20</v>
      </c>
      <c r="C15819" s="6">
        <v>30642.5</v>
      </c>
      <c r="D15819" s="5" t="s">
        <v>483</v>
      </c>
      <c r="E15819" s="5" t="str">
        <f t="shared" si="814"/>
        <v>ACTISALUD - BODEGA - WILLIAM ZUÑIGA-DIEGO GARCIA</v>
      </c>
      <c r="F15819" s="5"/>
      <c r="G15819" s="5"/>
    </row>
    <row r="15820" spans="1:7" ht="58.5" customHeight="1" x14ac:dyDescent="0.25">
      <c r="A15820" s="5" t="str">
        <f>"H0032185"</f>
        <v>H0032185</v>
      </c>
      <c r="B15820" s="5" t="str">
        <f t="shared" si="815"/>
        <v>CUBETA PEQUEÑA EN ACERO INOXIDABLE SIN TAPA PARA ASEPSIA REDONDA 10*5 C20</v>
      </c>
      <c r="C15820" s="6">
        <v>30642.5</v>
      </c>
      <c r="D15820" s="5" t="s">
        <v>483</v>
      </c>
      <c r="E15820" s="5" t="str">
        <f t="shared" si="814"/>
        <v>ACTISALUD - BODEGA - WILLIAM ZUÑIGA-DIEGO GARCIA</v>
      </c>
      <c r="F15820" s="5"/>
      <c r="G15820" s="5"/>
    </row>
    <row r="15821" spans="1:7" ht="58.5" customHeight="1" x14ac:dyDescent="0.25">
      <c r="A15821" s="5" t="str">
        <f>"H0032186"</f>
        <v>H0032186</v>
      </c>
      <c r="B15821" s="5" t="str">
        <f t="shared" si="815"/>
        <v>CUBETA PEQUEÑA EN ACERO INOXIDABLE SIN TAPA PARA ASEPSIA REDONDA 10*5 C20</v>
      </c>
      <c r="C15821" s="6">
        <v>30642.5</v>
      </c>
      <c r="D15821" s="5" t="s">
        <v>483</v>
      </c>
      <c r="E15821" s="5" t="str">
        <f t="shared" si="814"/>
        <v>ACTISALUD - BODEGA - WILLIAM ZUÑIGA-DIEGO GARCIA</v>
      </c>
      <c r="F15821" s="5"/>
      <c r="G15821" s="5"/>
    </row>
    <row r="15822" spans="1:7" ht="58.5" customHeight="1" x14ac:dyDescent="0.25">
      <c r="A15822" s="5" t="str">
        <f>"H0032187"</f>
        <v>H0032187</v>
      </c>
      <c r="B15822" s="5" t="str">
        <f t="shared" si="815"/>
        <v>CUBETA PEQUEÑA EN ACERO INOXIDABLE SIN TAPA PARA ASEPSIA REDONDA 10*5 C20</v>
      </c>
      <c r="C15822" s="6">
        <v>30642.5</v>
      </c>
      <c r="D15822" s="5" t="s">
        <v>483</v>
      </c>
      <c r="E15822" s="5" t="str">
        <f t="shared" si="814"/>
        <v>ACTISALUD - BODEGA - WILLIAM ZUÑIGA-DIEGO GARCIA</v>
      </c>
      <c r="F15822" s="5"/>
      <c r="G15822" s="5"/>
    </row>
    <row r="15823" spans="1:7" ht="58.5" customHeight="1" x14ac:dyDescent="0.25">
      <c r="A15823" s="5" t="str">
        <f>"H0032188"</f>
        <v>H0032188</v>
      </c>
      <c r="B15823" s="5" t="str">
        <f t="shared" si="815"/>
        <v>CUBETA PEQUEÑA EN ACERO INOXIDABLE SIN TAPA PARA ASEPSIA REDONDA 10*5 C20</v>
      </c>
      <c r="C15823" s="6">
        <v>30642.5</v>
      </c>
      <c r="D15823" s="5" t="s">
        <v>483</v>
      </c>
      <c r="E15823" s="5" t="str">
        <f t="shared" si="814"/>
        <v>ACTISALUD - BODEGA - WILLIAM ZUÑIGA-DIEGO GARCIA</v>
      </c>
      <c r="F15823" s="5"/>
      <c r="G15823" s="5"/>
    </row>
    <row r="15824" spans="1:7" ht="58.5" customHeight="1" x14ac:dyDescent="0.25">
      <c r="A15824" s="5" t="str">
        <f>"H0032189"</f>
        <v>H0032189</v>
      </c>
      <c r="B15824" s="5" t="str">
        <f t="shared" si="815"/>
        <v>CUBETA PEQUEÑA EN ACERO INOXIDABLE SIN TAPA PARA ASEPSIA REDONDA 10*5 C20</v>
      </c>
      <c r="C15824" s="6">
        <v>30642.5</v>
      </c>
      <c r="D15824" s="5" t="s">
        <v>483</v>
      </c>
      <c r="E15824" s="5" t="str">
        <f t="shared" si="814"/>
        <v>ACTISALUD - BODEGA - WILLIAM ZUÑIGA-DIEGO GARCIA</v>
      </c>
      <c r="F15824" s="5"/>
      <c r="G15824" s="5"/>
    </row>
    <row r="15825" spans="1:7" ht="58.5" customHeight="1" x14ac:dyDescent="0.25">
      <c r="A15825" s="5" t="str">
        <f>"H0032190"</f>
        <v>H0032190</v>
      </c>
      <c r="B15825" s="5" t="str">
        <f t="shared" si="815"/>
        <v>CUBETA PEQUEÑA EN ACERO INOXIDABLE SIN TAPA PARA ASEPSIA REDONDA 10*5 C20</v>
      </c>
      <c r="C15825" s="6">
        <v>30642.5</v>
      </c>
      <c r="D15825" s="5" t="s">
        <v>483</v>
      </c>
      <c r="E15825" s="5" t="str">
        <f t="shared" si="814"/>
        <v>ACTISALUD - BODEGA - WILLIAM ZUÑIGA-DIEGO GARCIA</v>
      </c>
      <c r="F15825" s="5"/>
      <c r="G15825" s="5"/>
    </row>
    <row r="15826" spans="1:7" ht="58.5" customHeight="1" x14ac:dyDescent="0.25">
      <c r="A15826" s="5" t="str">
        <f>"H0032191"</f>
        <v>H0032191</v>
      </c>
      <c r="B15826" s="5" t="str">
        <f t="shared" si="815"/>
        <v>CUBETA PEQUEÑA EN ACERO INOXIDABLE SIN TAPA PARA ASEPSIA REDONDA 10*5 C20</v>
      </c>
      <c r="C15826" s="6">
        <v>30642.5</v>
      </c>
      <c r="D15826" s="5" t="s">
        <v>483</v>
      </c>
      <c r="E15826" s="5" t="str">
        <f t="shared" si="814"/>
        <v>ACTISALUD - BODEGA - WILLIAM ZUÑIGA-DIEGO GARCIA</v>
      </c>
      <c r="F15826" s="5"/>
      <c r="G15826" s="5"/>
    </row>
    <row r="15827" spans="1:7" ht="58.5" customHeight="1" x14ac:dyDescent="0.25">
      <c r="A15827" s="5" t="str">
        <f>"H0032192"</f>
        <v>H0032192</v>
      </c>
      <c r="B15827" s="5" t="str">
        <f t="shared" si="815"/>
        <v>CUBETA PEQUEÑA EN ACERO INOXIDABLE SIN TAPA PARA ASEPSIA REDONDA 10*5 C20</v>
      </c>
      <c r="C15827" s="6">
        <v>30642.5</v>
      </c>
      <c r="D15827" s="5" t="s">
        <v>483</v>
      </c>
      <c r="E15827" s="5" t="str">
        <f t="shared" si="814"/>
        <v>ACTISALUD - BODEGA - WILLIAM ZUÑIGA-DIEGO GARCIA</v>
      </c>
      <c r="F15827" s="5"/>
      <c r="G15827" s="5"/>
    </row>
    <row r="15828" spans="1:7" ht="58.5" customHeight="1" x14ac:dyDescent="0.25">
      <c r="A15828" s="5" t="str">
        <f>"H0032193"</f>
        <v>H0032193</v>
      </c>
      <c r="B15828" s="5" t="str">
        <f t="shared" si="815"/>
        <v>CUBETA PEQUEÑA EN ACERO INOXIDABLE SIN TAPA PARA ASEPSIA REDONDA 10*5 C20</v>
      </c>
      <c r="C15828" s="6">
        <v>30642.5</v>
      </c>
      <c r="D15828" s="5" t="s">
        <v>483</v>
      </c>
      <c r="E15828" s="5" t="str">
        <f t="shared" si="814"/>
        <v>ACTISALUD - BODEGA - WILLIAM ZUÑIGA-DIEGO GARCIA</v>
      </c>
      <c r="F15828" s="5"/>
      <c r="G15828" s="5"/>
    </row>
    <row r="15829" spans="1:7" ht="58.5" customHeight="1" x14ac:dyDescent="0.25">
      <c r="A15829" s="5" t="str">
        <f>"H0032194"</f>
        <v>H0032194</v>
      </c>
      <c r="B15829" s="5" t="str">
        <f t="shared" si="815"/>
        <v>CUBETA PEQUEÑA EN ACERO INOXIDABLE SIN TAPA PARA ASEPSIA REDONDA 10*5 C20</v>
      </c>
      <c r="C15829" s="6">
        <v>30642.5</v>
      </c>
      <c r="D15829" s="5" t="s">
        <v>483</v>
      </c>
      <c r="E15829" s="5" t="str">
        <f t="shared" si="814"/>
        <v>ACTISALUD - BODEGA - WILLIAM ZUÑIGA-DIEGO GARCIA</v>
      </c>
      <c r="F15829" s="5"/>
      <c r="G15829" s="5"/>
    </row>
    <row r="15830" spans="1:7" ht="58.5" customHeight="1" x14ac:dyDescent="0.25">
      <c r="A15830" s="5" t="str">
        <f>"H0032195"</f>
        <v>H0032195</v>
      </c>
      <c r="B15830" s="5" t="str">
        <f t="shared" si="815"/>
        <v>CUBETA PEQUEÑA EN ACERO INOXIDABLE SIN TAPA PARA ASEPSIA REDONDA 10*5 C20</v>
      </c>
      <c r="C15830" s="6">
        <v>30642.5</v>
      </c>
      <c r="D15830" s="5" t="s">
        <v>483</v>
      </c>
      <c r="E15830" s="5" t="str">
        <f t="shared" si="814"/>
        <v>ACTISALUD - BODEGA - WILLIAM ZUÑIGA-DIEGO GARCIA</v>
      </c>
      <c r="F15830" s="5"/>
      <c r="G15830" s="5"/>
    </row>
    <row r="15831" spans="1:7" ht="58.5" customHeight="1" x14ac:dyDescent="0.25">
      <c r="A15831" s="5" t="str">
        <f>"H0032196"</f>
        <v>H0032196</v>
      </c>
      <c r="B15831" s="5" t="str">
        <f t="shared" si="815"/>
        <v>CUBETA PEQUEÑA EN ACERO INOXIDABLE SIN TAPA PARA ASEPSIA REDONDA 10*5 C20</v>
      </c>
      <c r="C15831" s="6">
        <v>30642.5</v>
      </c>
      <c r="D15831" s="5" t="s">
        <v>483</v>
      </c>
      <c r="E15831" s="5" t="str">
        <f t="shared" si="814"/>
        <v>ACTISALUD - BODEGA - WILLIAM ZUÑIGA-DIEGO GARCIA</v>
      </c>
      <c r="F15831" s="5"/>
      <c r="G15831" s="5"/>
    </row>
    <row r="15832" spans="1:7" ht="58.5" customHeight="1" x14ac:dyDescent="0.25">
      <c r="A15832" s="5" t="str">
        <f>"H0032197"</f>
        <v>H0032197</v>
      </c>
      <c r="B15832" s="5" t="str">
        <f t="shared" si="815"/>
        <v>CUBETA PEQUEÑA EN ACERO INOXIDABLE SIN TAPA PARA ASEPSIA REDONDA 10*5 C20</v>
      </c>
      <c r="C15832" s="6">
        <v>30642.5</v>
      </c>
      <c r="D15832" s="5" t="s">
        <v>483</v>
      </c>
      <c r="E15832" s="5" t="str">
        <f t="shared" si="814"/>
        <v>ACTISALUD - BODEGA - WILLIAM ZUÑIGA-DIEGO GARCIA</v>
      </c>
      <c r="F15832" s="5"/>
      <c r="G15832" s="5"/>
    </row>
    <row r="15833" spans="1:7" ht="58.5" customHeight="1" x14ac:dyDescent="0.25">
      <c r="A15833" s="5" t="str">
        <f>"H0032198"</f>
        <v>H0032198</v>
      </c>
      <c r="B15833" s="5" t="str">
        <f t="shared" si="815"/>
        <v>CUBETA PEQUEÑA EN ACERO INOXIDABLE SIN TAPA PARA ASEPSIA REDONDA 10*5 C20</v>
      </c>
      <c r="C15833" s="6">
        <v>30642.5</v>
      </c>
      <c r="D15833" s="5" t="s">
        <v>483</v>
      </c>
      <c r="E15833" s="5" t="str">
        <f t="shared" si="814"/>
        <v>ACTISALUD - BODEGA - WILLIAM ZUÑIGA-DIEGO GARCIA</v>
      </c>
      <c r="F15833" s="5"/>
      <c r="G15833" s="5"/>
    </row>
    <row r="15834" spans="1:7" ht="58.5" customHeight="1" x14ac:dyDescent="0.25">
      <c r="A15834" s="5" t="str">
        <f>"H0032199"</f>
        <v>H0032199</v>
      </c>
      <c r="B15834" s="5" t="str">
        <f t="shared" si="815"/>
        <v>CUBETA PEQUEÑA EN ACERO INOXIDABLE SIN TAPA PARA ASEPSIA REDONDA 10*5 C20</v>
      </c>
      <c r="C15834" s="6">
        <v>30642.5</v>
      </c>
      <c r="D15834" s="5" t="s">
        <v>483</v>
      </c>
      <c r="E15834" s="5" t="str">
        <f t="shared" si="814"/>
        <v>ACTISALUD - BODEGA - WILLIAM ZUÑIGA-DIEGO GARCIA</v>
      </c>
      <c r="F15834" s="5"/>
      <c r="G15834" s="5"/>
    </row>
    <row r="15835" spans="1:7" ht="58.5" customHeight="1" x14ac:dyDescent="0.25">
      <c r="A15835" s="5" t="str">
        <f>"H0032200"</f>
        <v>H0032200</v>
      </c>
      <c r="B15835" s="5" t="str">
        <f t="shared" si="815"/>
        <v>CUBETA PEQUEÑA EN ACERO INOXIDABLE SIN TAPA PARA ASEPSIA REDONDA 10*5 C20</v>
      </c>
      <c r="C15835" s="6">
        <v>30642.5</v>
      </c>
      <c r="D15835" s="5" t="s">
        <v>483</v>
      </c>
      <c r="E15835" s="5" t="str">
        <f t="shared" si="814"/>
        <v>ACTISALUD - BODEGA - WILLIAM ZUÑIGA-DIEGO GARCIA</v>
      </c>
      <c r="F15835" s="5"/>
      <c r="G15835" s="5"/>
    </row>
    <row r="15836" spans="1:7" ht="58.5" customHeight="1" x14ac:dyDescent="0.25">
      <c r="A15836" s="5" t="str">
        <f>"H0032201"</f>
        <v>H0032201</v>
      </c>
      <c r="B15836" s="5" t="str">
        <f t="shared" si="815"/>
        <v>CUBETA PEQUEÑA EN ACERO INOXIDABLE SIN TAPA PARA ASEPSIA REDONDA 10*5 C20</v>
      </c>
      <c r="C15836" s="6">
        <v>30642.5</v>
      </c>
      <c r="D15836" s="5" t="s">
        <v>483</v>
      </c>
      <c r="E15836" s="5" t="str">
        <f t="shared" si="814"/>
        <v>ACTISALUD - BODEGA - WILLIAM ZUÑIGA-DIEGO GARCIA</v>
      </c>
      <c r="F15836" s="5"/>
      <c r="G15836" s="5"/>
    </row>
    <row r="15837" spans="1:7" ht="58.5" customHeight="1" x14ac:dyDescent="0.25">
      <c r="A15837" s="5" t="str">
        <f>"H0032202"</f>
        <v>H0032202</v>
      </c>
      <c r="B15837" s="5" t="str">
        <f t="shared" si="815"/>
        <v>CUBETA PEQUEÑA EN ACERO INOXIDABLE SIN TAPA PARA ASEPSIA REDONDA 10*5 C20</v>
      </c>
      <c r="C15837" s="6">
        <v>30642.5</v>
      </c>
      <c r="D15837" s="5" t="s">
        <v>483</v>
      </c>
      <c r="E15837" s="5" t="str">
        <f t="shared" si="814"/>
        <v>ACTISALUD - BODEGA - WILLIAM ZUÑIGA-DIEGO GARCIA</v>
      </c>
      <c r="F15837" s="5"/>
      <c r="G15837" s="5"/>
    </row>
    <row r="15838" spans="1:7" ht="58.5" customHeight="1" x14ac:dyDescent="0.25">
      <c r="A15838" s="5" t="str">
        <f>"H0032203"</f>
        <v>H0032203</v>
      </c>
      <c r="B15838" s="5" t="str">
        <f t="shared" si="815"/>
        <v>CUBETA PEQUEÑA EN ACERO INOXIDABLE SIN TAPA PARA ASEPSIA REDONDA 10*5 C20</v>
      </c>
      <c r="C15838" s="6">
        <v>30642.5</v>
      </c>
      <c r="D15838" s="5" t="s">
        <v>483</v>
      </c>
      <c r="E15838" s="5" t="str">
        <f t="shared" si="814"/>
        <v>ACTISALUD - BODEGA - WILLIAM ZUÑIGA-DIEGO GARCIA</v>
      </c>
      <c r="F15838" s="5"/>
      <c r="G15838" s="5"/>
    </row>
    <row r="15839" spans="1:7" ht="58.5" customHeight="1" x14ac:dyDescent="0.25">
      <c r="A15839" s="5" t="str">
        <f>"H0032204"</f>
        <v>H0032204</v>
      </c>
      <c r="B15839" s="5" t="str">
        <f t="shared" si="815"/>
        <v>CUBETA PEQUEÑA EN ACERO INOXIDABLE SIN TAPA PARA ASEPSIA REDONDA 10*5 C20</v>
      </c>
      <c r="C15839" s="6">
        <v>30642.5</v>
      </c>
      <c r="D15839" s="5" t="s">
        <v>483</v>
      </c>
      <c r="E15839" s="5" t="str">
        <f t="shared" si="814"/>
        <v>ACTISALUD - BODEGA - WILLIAM ZUÑIGA-DIEGO GARCIA</v>
      </c>
      <c r="F15839" s="5"/>
      <c r="G15839" s="5"/>
    </row>
    <row r="15840" spans="1:7" ht="58.5" customHeight="1" x14ac:dyDescent="0.25">
      <c r="A15840" s="5" t="str">
        <f>"H0032205"</f>
        <v>H0032205</v>
      </c>
      <c r="B15840" s="5" t="str">
        <f t="shared" si="815"/>
        <v>CUBETA PEQUEÑA EN ACERO INOXIDABLE SIN TAPA PARA ASEPSIA REDONDA 10*5 C20</v>
      </c>
      <c r="C15840" s="6">
        <v>30642.5</v>
      </c>
      <c r="D15840" s="5" t="s">
        <v>483</v>
      </c>
      <c r="E15840" s="5" t="str">
        <f t="shared" si="814"/>
        <v>ACTISALUD - BODEGA - WILLIAM ZUÑIGA-DIEGO GARCIA</v>
      </c>
      <c r="F15840" s="5"/>
      <c r="G15840" s="5"/>
    </row>
    <row r="15841" spans="1:7" ht="58.5" customHeight="1" x14ac:dyDescent="0.25">
      <c r="A15841" s="5" t="str">
        <f>"H0032206"</f>
        <v>H0032206</v>
      </c>
      <c r="B15841" s="5" t="str">
        <f t="shared" si="815"/>
        <v>CUBETA PEQUEÑA EN ACERO INOXIDABLE SIN TAPA PARA ASEPSIA REDONDA 10*5 C20</v>
      </c>
      <c r="C15841" s="6">
        <v>30642.5</v>
      </c>
      <c r="D15841" s="5" t="s">
        <v>483</v>
      </c>
      <c r="E15841" s="5" t="str">
        <f t="shared" si="814"/>
        <v>ACTISALUD - BODEGA - WILLIAM ZUÑIGA-DIEGO GARCIA</v>
      </c>
      <c r="F15841" s="5"/>
      <c r="G15841" s="5"/>
    </row>
    <row r="15842" spans="1:7" ht="58.5" customHeight="1" x14ac:dyDescent="0.25">
      <c r="A15842" s="5" t="str">
        <f>"H0032207"</f>
        <v>H0032207</v>
      </c>
      <c r="B15842" s="5" t="str">
        <f t="shared" si="815"/>
        <v>CUBETA PEQUEÑA EN ACERO INOXIDABLE SIN TAPA PARA ASEPSIA REDONDA 10*5 C20</v>
      </c>
      <c r="C15842" s="6">
        <v>30642.5</v>
      </c>
      <c r="D15842" s="5" t="s">
        <v>483</v>
      </c>
      <c r="E15842" s="5" t="str">
        <f t="shared" si="814"/>
        <v>ACTISALUD - BODEGA - WILLIAM ZUÑIGA-DIEGO GARCIA</v>
      </c>
      <c r="F15842" s="5"/>
      <c r="G15842" s="5"/>
    </row>
    <row r="15843" spans="1:7" ht="58.5" customHeight="1" x14ac:dyDescent="0.25">
      <c r="A15843" s="5" t="str">
        <f>"H0032208"</f>
        <v>H0032208</v>
      </c>
      <c r="B15843" s="5" t="str">
        <f t="shared" si="815"/>
        <v>CUBETA PEQUEÑA EN ACERO INOXIDABLE SIN TAPA PARA ASEPSIA REDONDA 10*5 C20</v>
      </c>
      <c r="C15843" s="6">
        <v>30642.5</v>
      </c>
      <c r="D15843" s="5" t="s">
        <v>483</v>
      </c>
      <c r="E15843" s="5" t="str">
        <f t="shared" si="814"/>
        <v>ACTISALUD - BODEGA - WILLIAM ZUÑIGA-DIEGO GARCIA</v>
      </c>
      <c r="F15843" s="5"/>
      <c r="G15843" s="5"/>
    </row>
    <row r="15844" spans="1:7" ht="58.5" customHeight="1" x14ac:dyDescent="0.25">
      <c r="A15844" s="5" t="str">
        <f>"H0032209"</f>
        <v>H0032209</v>
      </c>
      <c r="B15844" s="5" t="str">
        <f t="shared" si="815"/>
        <v>CUBETA PEQUEÑA EN ACERO INOXIDABLE SIN TAPA PARA ASEPSIA REDONDA 10*5 C20</v>
      </c>
      <c r="C15844" s="6">
        <v>30642.5</v>
      </c>
      <c r="D15844" s="5" t="s">
        <v>483</v>
      </c>
      <c r="E15844" s="5" t="str">
        <f t="shared" si="814"/>
        <v>ACTISALUD - BODEGA - WILLIAM ZUÑIGA-DIEGO GARCIA</v>
      </c>
      <c r="F15844" s="5"/>
      <c r="G15844" s="5"/>
    </row>
    <row r="15845" spans="1:7" ht="58.5" customHeight="1" x14ac:dyDescent="0.25">
      <c r="A15845" s="5" t="str">
        <f>"H0032210"</f>
        <v>H0032210</v>
      </c>
      <c r="B15845" s="5" t="str">
        <f t="shared" si="815"/>
        <v>CUBETA PEQUEÑA EN ACERO INOXIDABLE SIN TAPA PARA ASEPSIA REDONDA 10*5 C20</v>
      </c>
      <c r="C15845" s="6">
        <v>30642.5</v>
      </c>
      <c r="D15845" s="5" t="s">
        <v>483</v>
      </c>
      <c r="E15845" s="5" t="str">
        <f t="shared" ref="E15845:E15908" si="816">"ACTISALUD - BODEGA - WILLIAM ZUÑIGA-DIEGO GARCIA"</f>
        <v>ACTISALUD - BODEGA - WILLIAM ZUÑIGA-DIEGO GARCIA</v>
      </c>
      <c r="F15845" s="5"/>
      <c r="G15845" s="5"/>
    </row>
    <row r="15846" spans="1:7" ht="58.5" customHeight="1" x14ac:dyDescent="0.25">
      <c r="A15846" s="5" t="str">
        <f>"H0032211"</f>
        <v>H0032211</v>
      </c>
      <c r="B15846" s="5" t="str">
        <f t="shared" si="815"/>
        <v>CUBETA PEQUEÑA EN ACERO INOXIDABLE SIN TAPA PARA ASEPSIA REDONDA 10*5 C20</v>
      </c>
      <c r="C15846" s="6">
        <v>30642.5</v>
      </c>
      <c r="D15846" s="5" t="s">
        <v>483</v>
      </c>
      <c r="E15846" s="5" t="str">
        <f t="shared" si="816"/>
        <v>ACTISALUD - BODEGA - WILLIAM ZUÑIGA-DIEGO GARCIA</v>
      </c>
      <c r="F15846" s="5"/>
      <c r="G15846" s="5"/>
    </row>
    <row r="15847" spans="1:7" ht="58.5" customHeight="1" x14ac:dyDescent="0.25">
      <c r="A15847" s="5" t="str">
        <f>"H0032212"</f>
        <v>H0032212</v>
      </c>
      <c r="B15847" s="5" t="str">
        <f t="shared" si="815"/>
        <v>CUBETA PEQUEÑA EN ACERO INOXIDABLE SIN TAPA PARA ASEPSIA REDONDA 10*5 C20</v>
      </c>
      <c r="C15847" s="6">
        <v>30642.5</v>
      </c>
      <c r="D15847" s="5" t="s">
        <v>483</v>
      </c>
      <c r="E15847" s="5" t="str">
        <f t="shared" si="816"/>
        <v>ACTISALUD - BODEGA - WILLIAM ZUÑIGA-DIEGO GARCIA</v>
      </c>
      <c r="F15847" s="5"/>
      <c r="G15847" s="5"/>
    </row>
    <row r="15848" spans="1:7" ht="58.5" customHeight="1" x14ac:dyDescent="0.25">
      <c r="A15848" s="5" t="str">
        <f>"H0032260"</f>
        <v>H0032260</v>
      </c>
      <c r="B15848" s="5" t="str">
        <f>"ventilador de transporte  (DONACION)"</f>
        <v>ventilador de transporte  (DONACION)</v>
      </c>
      <c r="C15848" s="6">
        <v>48000000</v>
      </c>
      <c r="D15848" s="5" t="s">
        <v>323</v>
      </c>
      <c r="E15848" s="5" t="str">
        <f t="shared" si="816"/>
        <v>ACTISALUD - BODEGA - WILLIAM ZUÑIGA-DIEGO GARCIA</v>
      </c>
      <c r="F15848" s="5"/>
      <c r="G15848" s="5" t="str">
        <f>"VITALSAUBE-GRAPHICS-T1"</f>
        <v>VITALSAUBE-GRAPHICS-T1</v>
      </c>
    </row>
    <row r="15849" spans="1:7" ht="58.5" customHeight="1" x14ac:dyDescent="0.25">
      <c r="A15849" s="5" t="str">
        <f>"H0032376"</f>
        <v>H0032376</v>
      </c>
      <c r="B15849" s="5" t="str">
        <f>"LARINGO DE FIBRA OPTICA (DONACION)"</f>
        <v>LARINGO DE FIBRA OPTICA (DONACION)</v>
      </c>
      <c r="C15849" s="6">
        <v>1078750</v>
      </c>
      <c r="D15849" s="5" t="s">
        <v>110</v>
      </c>
      <c r="E15849" s="5" t="str">
        <f t="shared" si="816"/>
        <v>ACTISALUD - BODEGA - WILLIAM ZUÑIGA-DIEGO GARCIA</v>
      </c>
      <c r="F15849" s="5"/>
      <c r="G15849" s="5"/>
    </row>
    <row r="15850" spans="1:7" ht="58.5" customHeight="1" x14ac:dyDescent="0.25">
      <c r="A15850" s="5" t="str">
        <f>"H0032892"</f>
        <v>H0032892</v>
      </c>
      <c r="B15850" s="5" t="str">
        <f>"ASPIRADORA 10 LT BW14"</f>
        <v>ASPIRADORA 10 LT BW14</v>
      </c>
      <c r="C15850" s="6">
        <v>535500</v>
      </c>
      <c r="D15850" s="5" t="s">
        <v>117</v>
      </c>
      <c r="E15850" s="5" t="str">
        <f t="shared" si="816"/>
        <v>ACTISALUD - BODEGA - WILLIAM ZUÑIGA-DIEGO GARCIA</v>
      </c>
      <c r="F15850" s="5"/>
      <c r="G15850" s="5"/>
    </row>
    <row r="15851" spans="1:7" ht="58.5" customHeight="1" x14ac:dyDescent="0.25">
      <c r="A15851" s="5" t="str">
        <f>"H0032978"</f>
        <v>H0032978</v>
      </c>
      <c r="B15851" s="5" t="str">
        <f>"OXIMETRO DE PULSO SATURADOR (DONACION)"</f>
        <v>OXIMETRO DE PULSO SATURADOR (DONACION)</v>
      </c>
      <c r="C15851" s="6">
        <v>623142</v>
      </c>
      <c r="D15851" s="5" t="s">
        <v>118</v>
      </c>
      <c r="E15851" s="5" t="str">
        <f t="shared" si="816"/>
        <v>ACTISALUD - BODEGA - WILLIAM ZUÑIGA-DIEGO GARCIA</v>
      </c>
      <c r="F15851" s="5"/>
      <c r="G15851" s="5"/>
    </row>
    <row r="15852" spans="1:7" ht="58.5" customHeight="1" x14ac:dyDescent="0.25">
      <c r="A15852" s="5" t="str">
        <f>"H0032980"</f>
        <v>H0032980</v>
      </c>
      <c r="B15852" s="5" t="str">
        <f>"TENSIOMETRO DE BRAZALETE DIGITAL (DONACION)"</f>
        <v>TENSIOMETRO DE BRAZALETE DIGITAL (DONACION)</v>
      </c>
      <c r="C15852" s="6">
        <v>800000</v>
      </c>
      <c r="D15852" s="5" t="s">
        <v>118</v>
      </c>
      <c r="E15852" s="5" t="str">
        <f t="shared" si="816"/>
        <v>ACTISALUD - BODEGA - WILLIAM ZUÑIGA-DIEGO GARCIA</v>
      </c>
      <c r="F15852" s="5"/>
      <c r="G15852" s="5"/>
    </row>
    <row r="15853" spans="1:7" ht="58.5" customHeight="1" x14ac:dyDescent="0.25">
      <c r="A15853" s="5" t="str">
        <f>"H0032981"</f>
        <v>H0032981</v>
      </c>
      <c r="B15853" s="5" t="str">
        <f>"TENSIOMETRO DE BRAZALETE DIGITAL (DONACION)"</f>
        <v>TENSIOMETRO DE BRAZALETE DIGITAL (DONACION)</v>
      </c>
      <c r="C15853" s="6">
        <v>800000</v>
      </c>
      <c r="D15853" s="5" t="s">
        <v>118</v>
      </c>
      <c r="E15853" s="5" t="str">
        <f t="shared" si="816"/>
        <v>ACTISALUD - BODEGA - WILLIAM ZUÑIGA-DIEGO GARCIA</v>
      </c>
      <c r="F15853" s="5"/>
      <c r="G15853" s="5"/>
    </row>
    <row r="15854" spans="1:7" ht="58.5" customHeight="1" x14ac:dyDescent="0.25">
      <c r="A15854" s="5" t="str">
        <f>"H0033266"</f>
        <v>H0033266</v>
      </c>
      <c r="B15854" s="5" t="str">
        <f>"TERMOMETRO INFRARROJO SIN CONTACTO"</f>
        <v>TERMOMETRO INFRARROJO SIN CONTACTO</v>
      </c>
      <c r="C15854" s="6">
        <v>180000</v>
      </c>
      <c r="D15854" s="5" t="s">
        <v>119</v>
      </c>
      <c r="E15854" s="5" t="str">
        <f t="shared" si="816"/>
        <v>ACTISALUD - BODEGA - WILLIAM ZUÑIGA-DIEGO GARCIA</v>
      </c>
      <c r="F15854" s="5"/>
      <c r="G15854" s="5"/>
    </row>
    <row r="15855" spans="1:7" ht="58.5" customHeight="1" x14ac:dyDescent="0.25">
      <c r="A15855" s="5" t="str">
        <f>"H0033267"</f>
        <v>H0033267</v>
      </c>
      <c r="B15855" s="5" t="str">
        <f>"TERMOMETRO INFRARROJO SIN CONTACTO"</f>
        <v>TERMOMETRO INFRARROJO SIN CONTACTO</v>
      </c>
      <c r="C15855" s="6">
        <v>180000</v>
      </c>
      <c r="D15855" s="5" t="s">
        <v>119</v>
      </c>
      <c r="E15855" s="5" t="str">
        <f t="shared" si="816"/>
        <v>ACTISALUD - BODEGA - WILLIAM ZUÑIGA-DIEGO GARCIA</v>
      </c>
      <c r="F15855" s="5"/>
      <c r="G15855" s="5"/>
    </row>
    <row r="15856" spans="1:7" ht="58.5" customHeight="1" x14ac:dyDescent="0.25">
      <c r="A15856" s="5" t="str">
        <f>"H0033268"</f>
        <v>H0033268</v>
      </c>
      <c r="B15856" s="5" t="str">
        <f>"TERMOMETRO INFRARROJO SIN CONTACTO"</f>
        <v>TERMOMETRO INFRARROJO SIN CONTACTO</v>
      </c>
      <c r="C15856" s="6">
        <v>180000</v>
      </c>
      <c r="D15856" s="5" t="s">
        <v>119</v>
      </c>
      <c r="E15856" s="5" t="str">
        <f t="shared" si="816"/>
        <v>ACTISALUD - BODEGA - WILLIAM ZUÑIGA-DIEGO GARCIA</v>
      </c>
      <c r="F15856" s="5"/>
      <c r="G15856" s="5"/>
    </row>
    <row r="15857" spans="1:7" ht="58.5" customHeight="1" x14ac:dyDescent="0.25">
      <c r="A15857" s="5" t="str">
        <f>"H0033269"</f>
        <v>H0033269</v>
      </c>
      <c r="B15857" s="5" t="str">
        <f>"TERMOMETRO INFRARROJO SIN CONTACTO"</f>
        <v>TERMOMETRO INFRARROJO SIN CONTACTO</v>
      </c>
      <c r="C15857" s="6">
        <v>180000</v>
      </c>
      <c r="D15857" s="5" t="s">
        <v>119</v>
      </c>
      <c r="E15857" s="5" t="str">
        <f t="shared" si="816"/>
        <v>ACTISALUD - BODEGA - WILLIAM ZUÑIGA-DIEGO GARCIA</v>
      </c>
      <c r="F15857" s="5"/>
      <c r="G15857" s="5"/>
    </row>
    <row r="15858" spans="1:7" ht="58.5" customHeight="1" x14ac:dyDescent="0.25">
      <c r="A15858" s="5" t="str">
        <f>"H0033270"</f>
        <v>H0033270</v>
      </c>
      <c r="B15858" s="5" t="str">
        <f>"TERMOMETRO INFRARROJO SIN CONTACTO"</f>
        <v>TERMOMETRO INFRARROJO SIN CONTACTO</v>
      </c>
      <c r="C15858" s="6">
        <v>180000</v>
      </c>
      <c r="D15858" s="5" t="s">
        <v>119</v>
      </c>
      <c r="E15858" s="5" t="str">
        <f t="shared" si="816"/>
        <v>ACTISALUD - BODEGA - WILLIAM ZUÑIGA-DIEGO GARCIA</v>
      </c>
      <c r="F15858" s="5"/>
      <c r="G15858" s="5"/>
    </row>
    <row r="15859" spans="1:7" ht="58.5" customHeight="1" x14ac:dyDescent="0.25">
      <c r="A15859" s="5" t="str">
        <f>"H0034057"</f>
        <v>H0034057</v>
      </c>
      <c r="B15859" s="5" t="str">
        <f>"PANTALLA IPS DE 43'' FHD 450 NIT 24 HR ENTRADA HDMI INCLUYE BASE CON BRAZO EXTENSIBLE"</f>
        <v>PANTALLA IPS DE 43'' FHD 450 NIT 24 HR ENTRADA HDMI INCLUYE BASE CON BRAZO EXTENSIBLE</v>
      </c>
      <c r="C15859" s="6">
        <v>2625000</v>
      </c>
      <c r="D15859" s="5" t="s">
        <v>122</v>
      </c>
      <c r="E15859" s="5" t="str">
        <f t="shared" si="816"/>
        <v>ACTISALUD - BODEGA - WILLIAM ZUÑIGA-DIEGO GARCIA</v>
      </c>
      <c r="F15859" s="5"/>
      <c r="G15859" s="5"/>
    </row>
    <row r="15860" spans="1:7" ht="58.5" customHeight="1" x14ac:dyDescent="0.25">
      <c r="A15860" s="5" t="str">
        <f>"H0034058"</f>
        <v>H0034058</v>
      </c>
      <c r="B15860" s="5" t="str">
        <f>"PANTALLA IPS DE 43'' FHD 450 NIT 24 HR ENTRADA HDMI INCLUYE BASE CON BRAZO EXTENSIBLE"</f>
        <v>PANTALLA IPS DE 43'' FHD 450 NIT 24 HR ENTRADA HDMI INCLUYE BASE CON BRAZO EXTENSIBLE</v>
      </c>
      <c r="C15860" s="6">
        <v>2625000</v>
      </c>
      <c r="D15860" s="5" t="s">
        <v>122</v>
      </c>
      <c r="E15860" s="5" t="str">
        <f t="shared" si="816"/>
        <v>ACTISALUD - BODEGA - WILLIAM ZUÑIGA-DIEGO GARCIA</v>
      </c>
      <c r="F15860" s="5"/>
      <c r="G15860" s="5"/>
    </row>
    <row r="15861" spans="1:7" ht="58.5" customHeight="1" x14ac:dyDescent="0.25">
      <c r="A15861" s="5" t="str">
        <f>"H0034070"</f>
        <v>H0034070</v>
      </c>
      <c r="B15861" s="5" t="str">
        <f>"NVR 32 CANALES CON DOS DD DE 8 TB HIKVISION"</f>
        <v>NVR 32 CANALES CON DOS DD DE 8 TB HIKVISION</v>
      </c>
      <c r="C15861" s="6">
        <v>1900000</v>
      </c>
      <c r="D15861" s="5" t="s">
        <v>330</v>
      </c>
      <c r="E15861" s="5" t="str">
        <f t="shared" si="816"/>
        <v>ACTISALUD - BODEGA - WILLIAM ZUÑIGA-DIEGO GARCIA</v>
      </c>
      <c r="F15861" s="5"/>
      <c r="G15861" s="5"/>
    </row>
    <row r="15862" spans="1:7" ht="58.5" customHeight="1" x14ac:dyDescent="0.25">
      <c r="A15862" s="5" t="str">
        <f>"H0034071"</f>
        <v>H0034071</v>
      </c>
      <c r="B15862" s="5" t="str">
        <f>"CONCENTRADOR DE OXIGENO (DONACION)"</f>
        <v>CONCENTRADOR DE OXIGENO (DONACION)</v>
      </c>
      <c r="C15862" s="6">
        <v>3209898</v>
      </c>
      <c r="D15862" s="5" t="s">
        <v>330</v>
      </c>
      <c r="E15862" s="5" t="str">
        <f t="shared" si="816"/>
        <v>ACTISALUD - BODEGA - WILLIAM ZUÑIGA-DIEGO GARCIA</v>
      </c>
      <c r="F15862" s="5"/>
      <c r="G15862" s="5"/>
    </row>
    <row r="15863" spans="1:7" ht="58.5" customHeight="1" x14ac:dyDescent="0.25">
      <c r="A15863" s="5" t="str">
        <f>"H0034083"</f>
        <v>H0034083</v>
      </c>
      <c r="B15863" s="5" t="str">
        <f>"INFATOMETRO PLEGABLE  CAPACIDAD 10-100 CM DIVISION 1 MM (DONACION)"</f>
        <v>INFATOMETRO PLEGABLE  CAPACIDAD 10-100 CM DIVISION 1 MM (DONACION)</v>
      </c>
      <c r="C15863" s="6">
        <v>495900</v>
      </c>
      <c r="D15863" s="5" t="s">
        <v>330</v>
      </c>
      <c r="E15863" s="5" t="str">
        <f t="shared" si="816"/>
        <v>ACTISALUD - BODEGA - WILLIAM ZUÑIGA-DIEGO GARCIA</v>
      </c>
      <c r="F15863" s="5"/>
      <c r="G15863" s="5"/>
    </row>
    <row r="15864" spans="1:7" ht="58.5" customHeight="1" x14ac:dyDescent="0.25">
      <c r="A15864" s="5" t="str">
        <f>"H0034125"</f>
        <v>H0034125</v>
      </c>
      <c r="B15864" s="5" t="str">
        <f>"HIDROLAVADORA 2000 PSI"</f>
        <v>HIDROLAVADORA 2000 PSI</v>
      </c>
      <c r="C15864" s="6">
        <v>2170000</v>
      </c>
      <c r="D15864" s="5" t="s">
        <v>505</v>
      </c>
      <c r="E15864" s="5" t="str">
        <f t="shared" si="816"/>
        <v>ACTISALUD - BODEGA - WILLIAM ZUÑIGA-DIEGO GARCIA</v>
      </c>
      <c r="F15864" s="5"/>
      <c r="G15864" s="5"/>
    </row>
    <row r="15865" spans="1:7" ht="58.5" customHeight="1" x14ac:dyDescent="0.25">
      <c r="A15865" s="5" t="str">
        <f>"H0034128"</f>
        <v>H0034128</v>
      </c>
      <c r="B15865" s="5" t="str">
        <f t="shared" ref="B15865:B15896" si="817">"termometro infrarrojo (DONACION)"</f>
        <v>termometro infrarrojo (DONACION)</v>
      </c>
      <c r="C15865" s="6">
        <v>150000</v>
      </c>
      <c r="D15865" s="5" t="s">
        <v>489</v>
      </c>
      <c r="E15865" s="5" t="str">
        <f t="shared" si="816"/>
        <v>ACTISALUD - BODEGA - WILLIAM ZUÑIGA-DIEGO GARCIA</v>
      </c>
      <c r="F15865" s="5"/>
      <c r="G15865" s="5"/>
    </row>
    <row r="15866" spans="1:7" ht="58.5" customHeight="1" x14ac:dyDescent="0.25">
      <c r="A15866" s="5" t="str">
        <f>"H0034131"</f>
        <v>H0034131</v>
      </c>
      <c r="B15866" s="5" t="str">
        <f t="shared" si="817"/>
        <v>termometro infrarrojo (DONACION)</v>
      </c>
      <c r="C15866" s="6">
        <v>150000</v>
      </c>
      <c r="D15866" s="5" t="s">
        <v>489</v>
      </c>
      <c r="E15866" s="5" t="str">
        <f t="shared" si="816"/>
        <v>ACTISALUD - BODEGA - WILLIAM ZUÑIGA-DIEGO GARCIA</v>
      </c>
      <c r="F15866" s="5"/>
      <c r="G15866" s="5"/>
    </row>
    <row r="15867" spans="1:7" ht="58.5" customHeight="1" x14ac:dyDescent="0.25">
      <c r="A15867" s="5" t="str">
        <f>"H0034133"</f>
        <v>H0034133</v>
      </c>
      <c r="B15867" s="5" t="str">
        <f t="shared" si="817"/>
        <v>termometro infrarrojo (DONACION)</v>
      </c>
      <c r="C15867" s="6">
        <v>150000</v>
      </c>
      <c r="D15867" s="5" t="s">
        <v>489</v>
      </c>
      <c r="E15867" s="5" t="str">
        <f t="shared" si="816"/>
        <v>ACTISALUD - BODEGA - WILLIAM ZUÑIGA-DIEGO GARCIA</v>
      </c>
      <c r="F15867" s="5"/>
      <c r="G15867" s="5"/>
    </row>
    <row r="15868" spans="1:7" ht="58.5" customHeight="1" x14ac:dyDescent="0.25">
      <c r="A15868" s="5" t="str">
        <f>"H0034134"</f>
        <v>H0034134</v>
      </c>
      <c r="B15868" s="5" t="str">
        <f t="shared" si="817"/>
        <v>termometro infrarrojo (DONACION)</v>
      </c>
      <c r="C15868" s="6">
        <v>150000</v>
      </c>
      <c r="D15868" s="5" t="s">
        <v>489</v>
      </c>
      <c r="E15868" s="5" t="str">
        <f t="shared" si="816"/>
        <v>ACTISALUD - BODEGA - WILLIAM ZUÑIGA-DIEGO GARCIA</v>
      </c>
      <c r="F15868" s="5"/>
      <c r="G15868" s="5"/>
    </row>
    <row r="15869" spans="1:7" ht="58.5" customHeight="1" x14ac:dyDescent="0.25">
      <c r="A15869" s="5" t="str">
        <f>"H0034135"</f>
        <v>H0034135</v>
      </c>
      <c r="B15869" s="5" t="str">
        <f t="shared" si="817"/>
        <v>termometro infrarrojo (DONACION)</v>
      </c>
      <c r="C15869" s="6">
        <v>150000</v>
      </c>
      <c r="D15869" s="5" t="s">
        <v>489</v>
      </c>
      <c r="E15869" s="5" t="str">
        <f t="shared" si="816"/>
        <v>ACTISALUD - BODEGA - WILLIAM ZUÑIGA-DIEGO GARCIA</v>
      </c>
      <c r="F15869" s="5"/>
      <c r="G15869" s="5"/>
    </row>
    <row r="15870" spans="1:7" ht="58.5" customHeight="1" x14ac:dyDescent="0.25">
      <c r="A15870" s="5" t="str">
        <f>"H0034138"</f>
        <v>H0034138</v>
      </c>
      <c r="B15870" s="5" t="str">
        <f t="shared" si="817"/>
        <v>termometro infrarrojo (DONACION)</v>
      </c>
      <c r="C15870" s="6">
        <v>150000</v>
      </c>
      <c r="D15870" s="5" t="s">
        <v>489</v>
      </c>
      <c r="E15870" s="5" t="str">
        <f t="shared" si="816"/>
        <v>ACTISALUD - BODEGA - WILLIAM ZUÑIGA-DIEGO GARCIA</v>
      </c>
      <c r="F15870" s="5"/>
      <c r="G15870" s="5"/>
    </row>
    <row r="15871" spans="1:7" ht="58.5" customHeight="1" x14ac:dyDescent="0.25">
      <c r="A15871" s="5" t="str">
        <f>"H0034139"</f>
        <v>H0034139</v>
      </c>
      <c r="B15871" s="5" t="str">
        <f t="shared" si="817"/>
        <v>termometro infrarrojo (DONACION)</v>
      </c>
      <c r="C15871" s="6">
        <v>150000</v>
      </c>
      <c r="D15871" s="5" t="s">
        <v>489</v>
      </c>
      <c r="E15871" s="5" t="str">
        <f t="shared" si="816"/>
        <v>ACTISALUD - BODEGA - WILLIAM ZUÑIGA-DIEGO GARCIA</v>
      </c>
      <c r="F15871" s="5"/>
      <c r="G15871" s="5"/>
    </row>
    <row r="15872" spans="1:7" ht="58.5" customHeight="1" x14ac:dyDescent="0.25">
      <c r="A15872" s="5" t="str">
        <f>"H0034141"</f>
        <v>H0034141</v>
      </c>
      <c r="B15872" s="5" t="str">
        <f t="shared" si="817"/>
        <v>termometro infrarrojo (DONACION)</v>
      </c>
      <c r="C15872" s="6">
        <v>150000</v>
      </c>
      <c r="D15872" s="5" t="s">
        <v>489</v>
      </c>
      <c r="E15872" s="5" t="str">
        <f t="shared" si="816"/>
        <v>ACTISALUD - BODEGA - WILLIAM ZUÑIGA-DIEGO GARCIA</v>
      </c>
      <c r="F15872" s="5"/>
      <c r="G15872" s="5"/>
    </row>
    <row r="15873" spans="1:7" ht="58.5" customHeight="1" x14ac:dyDescent="0.25">
      <c r="A15873" s="5" t="str">
        <f>"H0034142"</f>
        <v>H0034142</v>
      </c>
      <c r="B15873" s="5" t="str">
        <f t="shared" si="817"/>
        <v>termometro infrarrojo (DONACION)</v>
      </c>
      <c r="C15873" s="6">
        <v>150000</v>
      </c>
      <c r="D15873" s="5" t="s">
        <v>489</v>
      </c>
      <c r="E15873" s="5" t="str">
        <f t="shared" si="816"/>
        <v>ACTISALUD - BODEGA - WILLIAM ZUÑIGA-DIEGO GARCIA</v>
      </c>
      <c r="F15873" s="5"/>
      <c r="G15873" s="5"/>
    </row>
    <row r="15874" spans="1:7" ht="58.5" customHeight="1" x14ac:dyDescent="0.25">
      <c r="A15874" s="5" t="str">
        <f>"H0034143"</f>
        <v>H0034143</v>
      </c>
      <c r="B15874" s="5" t="str">
        <f t="shared" si="817"/>
        <v>termometro infrarrojo (DONACION)</v>
      </c>
      <c r="C15874" s="6">
        <v>150000</v>
      </c>
      <c r="D15874" s="5" t="s">
        <v>489</v>
      </c>
      <c r="E15874" s="5" t="str">
        <f t="shared" si="816"/>
        <v>ACTISALUD - BODEGA - WILLIAM ZUÑIGA-DIEGO GARCIA</v>
      </c>
      <c r="F15874" s="5"/>
      <c r="G15874" s="5"/>
    </row>
    <row r="15875" spans="1:7" ht="58.5" customHeight="1" x14ac:dyDescent="0.25">
      <c r="A15875" s="5" t="str">
        <f>"H0034144"</f>
        <v>H0034144</v>
      </c>
      <c r="B15875" s="5" t="str">
        <f t="shared" si="817"/>
        <v>termometro infrarrojo (DONACION)</v>
      </c>
      <c r="C15875" s="6">
        <v>150000</v>
      </c>
      <c r="D15875" s="5" t="s">
        <v>489</v>
      </c>
      <c r="E15875" s="5" t="str">
        <f t="shared" si="816"/>
        <v>ACTISALUD - BODEGA - WILLIAM ZUÑIGA-DIEGO GARCIA</v>
      </c>
      <c r="F15875" s="5"/>
      <c r="G15875" s="5"/>
    </row>
    <row r="15876" spans="1:7" ht="58.5" customHeight="1" x14ac:dyDescent="0.25">
      <c r="A15876" s="5" t="str">
        <f>"H0034145"</f>
        <v>H0034145</v>
      </c>
      <c r="B15876" s="5" t="str">
        <f t="shared" si="817"/>
        <v>termometro infrarrojo (DONACION)</v>
      </c>
      <c r="C15876" s="6">
        <v>150000</v>
      </c>
      <c r="D15876" s="5" t="s">
        <v>489</v>
      </c>
      <c r="E15876" s="5" t="str">
        <f t="shared" si="816"/>
        <v>ACTISALUD - BODEGA - WILLIAM ZUÑIGA-DIEGO GARCIA</v>
      </c>
      <c r="F15876" s="5"/>
      <c r="G15876" s="5"/>
    </row>
    <row r="15877" spans="1:7" ht="58.5" customHeight="1" x14ac:dyDescent="0.25">
      <c r="A15877" s="5" t="str">
        <f>"H0034146"</f>
        <v>H0034146</v>
      </c>
      <c r="B15877" s="5" t="str">
        <f t="shared" si="817"/>
        <v>termometro infrarrojo (DONACION)</v>
      </c>
      <c r="C15877" s="6">
        <v>150000</v>
      </c>
      <c r="D15877" s="5" t="s">
        <v>489</v>
      </c>
      <c r="E15877" s="5" t="str">
        <f t="shared" si="816"/>
        <v>ACTISALUD - BODEGA - WILLIAM ZUÑIGA-DIEGO GARCIA</v>
      </c>
      <c r="F15877" s="5"/>
      <c r="G15877" s="5"/>
    </row>
    <row r="15878" spans="1:7" ht="58.5" customHeight="1" x14ac:dyDescent="0.25">
      <c r="A15878" s="5" t="str">
        <f>"H0034150"</f>
        <v>H0034150</v>
      </c>
      <c r="B15878" s="5" t="str">
        <f t="shared" si="817"/>
        <v>termometro infrarrojo (DONACION)</v>
      </c>
      <c r="C15878" s="6">
        <v>150000</v>
      </c>
      <c r="D15878" s="5" t="s">
        <v>489</v>
      </c>
      <c r="E15878" s="5" t="str">
        <f t="shared" si="816"/>
        <v>ACTISALUD - BODEGA - WILLIAM ZUÑIGA-DIEGO GARCIA</v>
      </c>
      <c r="F15878" s="5"/>
      <c r="G15878" s="5"/>
    </row>
    <row r="15879" spans="1:7" ht="58.5" customHeight="1" x14ac:dyDescent="0.25">
      <c r="A15879" s="5" t="str">
        <f>"H0034153"</f>
        <v>H0034153</v>
      </c>
      <c r="B15879" s="5" t="str">
        <f t="shared" si="817"/>
        <v>termometro infrarrojo (DONACION)</v>
      </c>
      <c r="C15879" s="6">
        <v>150000</v>
      </c>
      <c r="D15879" s="5" t="s">
        <v>489</v>
      </c>
      <c r="E15879" s="5" t="str">
        <f t="shared" si="816"/>
        <v>ACTISALUD - BODEGA - WILLIAM ZUÑIGA-DIEGO GARCIA</v>
      </c>
      <c r="F15879" s="5"/>
      <c r="G15879" s="5"/>
    </row>
    <row r="15880" spans="1:7" ht="58.5" customHeight="1" x14ac:dyDescent="0.25">
      <c r="A15880" s="5" t="str">
        <f>"H0034154"</f>
        <v>H0034154</v>
      </c>
      <c r="B15880" s="5" t="str">
        <f t="shared" si="817"/>
        <v>termometro infrarrojo (DONACION)</v>
      </c>
      <c r="C15880" s="6">
        <v>150000</v>
      </c>
      <c r="D15880" s="5" t="s">
        <v>489</v>
      </c>
      <c r="E15880" s="5" t="str">
        <f t="shared" si="816"/>
        <v>ACTISALUD - BODEGA - WILLIAM ZUÑIGA-DIEGO GARCIA</v>
      </c>
      <c r="F15880" s="5"/>
      <c r="G15880" s="5"/>
    </row>
    <row r="15881" spans="1:7" ht="58.5" customHeight="1" x14ac:dyDescent="0.25">
      <c r="A15881" s="5" t="str">
        <f>"H0034156"</f>
        <v>H0034156</v>
      </c>
      <c r="B15881" s="5" t="str">
        <f t="shared" si="817"/>
        <v>termometro infrarrojo (DONACION)</v>
      </c>
      <c r="C15881" s="6">
        <v>150000</v>
      </c>
      <c r="D15881" s="5" t="s">
        <v>489</v>
      </c>
      <c r="E15881" s="5" t="str">
        <f t="shared" si="816"/>
        <v>ACTISALUD - BODEGA - WILLIAM ZUÑIGA-DIEGO GARCIA</v>
      </c>
      <c r="F15881" s="5"/>
      <c r="G15881" s="5"/>
    </row>
    <row r="15882" spans="1:7" ht="58.5" customHeight="1" x14ac:dyDescent="0.25">
      <c r="A15882" s="5" t="str">
        <f>"H0034157"</f>
        <v>H0034157</v>
      </c>
      <c r="B15882" s="5" t="str">
        <f t="shared" si="817"/>
        <v>termometro infrarrojo (DONACION)</v>
      </c>
      <c r="C15882" s="6">
        <v>150000</v>
      </c>
      <c r="D15882" s="5" t="s">
        <v>489</v>
      </c>
      <c r="E15882" s="5" t="str">
        <f t="shared" si="816"/>
        <v>ACTISALUD - BODEGA - WILLIAM ZUÑIGA-DIEGO GARCIA</v>
      </c>
      <c r="F15882" s="5"/>
      <c r="G15882" s="5"/>
    </row>
    <row r="15883" spans="1:7" ht="58.5" customHeight="1" x14ac:dyDescent="0.25">
      <c r="A15883" s="5" t="str">
        <f>"H0034158"</f>
        <v>H0034158</v>
      </c>
      <c r="B15883" s="5" t="str">
        <f t="shared" si="817"/>
        <v>termometro infrarrojo (DONACION)</v>
      </c>
      <c r="C15883" s="6">
        <v>150000</v>
      </c>
      <c r="D15883" s="5" t="s">
        <v>489</v>
      </c>
      <c r="E15883" s="5" t="str">
        <f t="shared" si="816"/>
        <v>ACTISALUD - BODEGA - WILLIAM ZUÑIGA-DIEGO GARCIA</v>
      </c>
      <c r="F15883" s="5"/>
      <c r="G15883" s="5"/>
    </row>
    <row r="15884" spans="1:7" ht="58.5" customHeight="1" x14ac:dyDescent="0.25">
      <c r="A15884" s="5" t="str">
        <f>"H0034159"</f>
        <v>H0034159</v>
      </c>
      <c r="B15884" s="5" t="str">
        <f t="shared" si="817"/>
        <v>termometro infrarrojo (DONACION)</v>
      </c>
      <c r="C15884" s="6">
        <v>150000</v>
      </c>
      <c r="D15884" s="5" t="s">
        <v>489</v>
      </c>
      <c r="E15884" s="5" t="str">
        <f t="shared" si="816"/>
        <v>ACTISALUD - BODEGA - WILLIAM ZUÑIGA-DIEGO GARCIA</v>
      </c>
      <c r="F15884" s="5"/>
      <c r="G15884" s="5"/>
    </row>
    <row r="15885" spans="1:7" ht="58.5" customHeight="1" x14ac:dyDescent="0.25">
      <c r="A15885" s="5" t="str">
        <f>"H0034160"</f>
        <v>H0034160</v>
      </c>
      <c r="B15885" s="5" t="str">
        <f t="shared" si="817"/>
        <v>termometro infrarrojo (DONACION)</v>
      </c>
      <c r="C15885" s="6">
        <v>150000</v>
      </c>
      <c r="D15885" s="5" t="s">
        <v>489</v>
      </c>
      <c r="E15885" s="5" t="str">
        <f t="shared" si="816"/>
        <v>ACTISALUD - BODEGA - WILLIAM ZUÑIGA-DIEGO GARCIA</v>
      </c>
      <c r="F15885" s="5"/>
      <c r="G15885" s="5"/>
    </row>
    <row r="15886" spans="1:7" ht="58.5" customHeight="1" x14ac:dyDescent="0.25">
      <c r="A15886" s="5" t="str">
        <f>"H0034162"</f>
        <v>H0034162</v>
      </c>
      <c r="B15886" s="5" t="str">
        <f t="shared" si="817"/>
        <v>termometro infrarrojo (DONACION)</v>
      </c>
      <c r="C15886" s="6">
        <v>150000</v>
      </c>
      <c r="D15886" s="5" t="s">
        <v>489</v>
      </c>
      <c r="E15886" s="5" t="str">
        <f t="shared" si="816"/>
        <v>ACTISALUD - BODEGA - WILLIAM ZUÑIGA-DIEGO GARCIA</v>
      </c>
      <c r="F15886" s="5"/>
      <c r="G15886" s="5"/>
    </row>
    <row r="15887" spans="1:7" ht="58.5" customHeight="1" x14ac:dyDescent="0.25">
      <c r="A15887" s="5" t="str">
        <f>"H0034164"</f>
        <v>H0034164</v>
      </c>
      <c r="B15887" s="5" t="str">
        <f t="shared" si="817"/>
        <v>termometro infrarrojo (DONACION)</v>
      </c>
      <c r="C15887" s="6">
        <v>150000</v>
      </c>
      <c r="D15887" s="5" t="s">
        <v>489</v>
      </c>
      <c r="E15887" s="5" t="str">
        <f t="shared" si="816"/>
        <v>ACTISALUD - BODEGA - WILLIAM ZUÑIGA-DIEGO GARCIA</v>
      </c>
      <c r="F15887" s="5"/>
      <c r="G15887" s="5"/>
    </row>
    <row r="15888" spans="1:7" ht="58.5" customHeight="1" x14ac:dyDescent="0.25">
      <c r="A15888" s="5" t="str">
        <f>"H0034165"</f>
        <v>H0034165</v>
      </c>
      <c r="B15888" s="5" t="str">
        <f t="shared" si="817"/>
        <v>termometro infrarrojo (DONACION)</v>
      </c>
      <c r="C15888" s="6">
        <v>150000</v>
      </c>
      <c r="D15888" s="5" t="s">
        <v>489</v>
      </c>
      <c r="E15888" s="5" t="str">
        <f t="shared" si="816"/>
        <v>ACTISALUD - BODEGA - WILLIAM ZUÑIGA-DIEGO GARCIA</v>
      </c>
      <c r="F15888" s="5"/>
      <c r="G15888" s="5"/>
    </row>
    <row r="15889" spans="1:7" ht="58.5" customHeight="1" x14ac:dyDescent="0.25">
      <c r="A15889" s="5" t="str">
        <f>"H0034166"</f>
        <v>H0034166</v>
      </c>
      <c r="B15889" s="5" t="str">
        <f t="shared" si="817"/>
        <v>termometro infrarrojo (DONACION)</v>
      </c>
      <c r="C15889" s="6">
        <v>150000</v>
      </c>
      <c r="D15889" s="5" t="s">
        <v>489</v>
      </c>
      <c r="E15889" s="5" t="str">
        <f t="shared" si="816"/>
        <v>ACTISALUD - BODEGA - WILLIAM ZUÑIGA-DIEGO GARCIA</v>
      </c>
      <c r="F15889" s="5"/>
      <c r="G15889" s="5"/>
    </row>
    <row r="15890" spans="1:7" ht="58.5" customHeight="1" x14ac:dyDescent="0.25">
      <c r="A15890" s="5" t="str">
        <f>"H0034168"</f>
        <v>H0034168</v>
      </c>
      <c r="B15890" s="5" t="str">
        <f t="shared" si="817"/>
        <v>termometro infrarrojo (DONACION)</v>
      </c>
      <c r="C15890" s="6">
        <v>150000</v>
      </c>
      <c r="D15890" s="5" t="s">
        <v>489</v>
      </c>
      <c r="E15890" s="5" t="str">
        <f t="shared" si="816"/>
        <v>ACTISALUD - BODEGA - WILLIAM ZUÑIGA-DIEGO GARCIA</v>
      </c>
      <c r="F15890" s="5"/>
      <c r="G15890" s="5"/>
    </row>
    <row r="15891" spans="1:7" ht="58.5" customHeight="1" x14ac:dyDescent="0.25">
      <c r="A15891" s="5" t="str">
        <f>"H0034169"</f>
        <v>H0034169</v>
      </c>
      <c r="B15891" s="5" t="str">
        <f t="shared" si="817"/>
        <v>termometro infrarrojo (DONACION)</v>
      </c>
      <c r="C15891" s="6">
        <v>150000</v>
      </c>
      <c r="D15891" s="5" t="s">
        <v>489</v>
      </c>
      <c r="E15891" s="5" t="str">
        <f t="shared" si="816"/>
        <v>ACTISALUD - BODEGA - WILLIAM ZUÑIGA-DIEGO GARCIA</v>
      </c>
      <c r="F15891" s="5"/>
      <c r="G15891" s="5"/>
    </row>
    <row r="15892" spans="1:7" ht="58.5" customHeight="1" x14ac:dyDescent="0.25">
      <c r="A15892" s="5" t="str">
        <f>"H0034170"</f>
        <v>H0034170</v>
      </c>
      <c r="B15892" s="5" t="str">
        <f t="shared" si="817"/>
        <v>termometro infrarrojo (DONACION)</v>
      </c>
      <c r="C15892" s="6">
        <v>150000</v>
      </c>
      <c r="D15892" s="5" t="s">
        <v>489</v>
      </c>
      <c r="E15892" s="5" t="str">
        <f t="shared" si="816"/>
        <v>ACTISALUD - BODEGA - WILLIAM ZUÑIGA-DIEGO GARCIA</v>
      </c>
      <c r="F15892" s="5"/>
      <c r="G15892" s="5"/>
    </row>
    <row r="15893" spans="1:7" ht="58.5" customHeight="1" x14ac:dyDescent="0.25">
      <c r="A15893" s="5" t="str">
        <f>"H0034171"</f>
        <v>H0034171</v>
      </c>
      <c r="B15893" s="5" t="str">
        <f t="shared" si="817"/>
        <v>termometro infrarrojo (DONACION)</v>
      </c>
      <c r="C15893" s="6">
        <v>150000</v>
      </c>
      <c r="D15893" s="5" t="s">
        <v>489</v>
      </c>
      <c r="E15893" s="5" t="str">
        <f t="shared" si="816"/>
        <v>ACTISALUD - BODEGA - WILLIAM ZUÑIGA-DIEGO GARCIA</v>
      </c>
      <c r="F15893" s="5"/>
      <c r="G15893" s="5"/>
    </row>
    <row r="15894" spans="1:7" ht="58.5" customHeight="1" x14ac:dyDescent="0.25">
      <c r="A15894" s="5" t="str">
        <f>"H0034172"</f>
        <v>H0034172</v>
      </c>
      <c r="B15894" s="5" t="str">
        <f t="shared" si="817"/>
        <v>termometro infrarrojo (DONACION)</v>
      </c>
      <c r="C15894" s="6">
        <v>150000</v>
      </c>
      <c r="D15894" s="5" t="s">
        <v>489</v>
      </c>
      <c r="E15894" s="5" t="str">
        <f t="shared" si="816"/>
        <v>ACTISALUD - BODEGA - WILLIAM ZUÑIGA-DIEGO GARCIA</v>
      </c>
      <c r="F15894" s="5"/>
      <c r="G15894" s="5"/>
    </row>
    <row r="15895" spans="1:7" ht="58.5" customHeight="1" x14ac:dyDescent="0.25">
      <c r="A15895" s="5" t="str">
        <f>"H0034175"</f>
        <v>H0034175</v>
      </c>
      <c r="B15895" s="5" t="str">
        <f t="shared" si="817"/>
        <v>termometro infrarrojo (DONACION)</v>
      </c>
      <c r="C15895" s="6">
        <v>150000</v>
      </c>
      <c r="D15895" s="5" t="s">
        <v>489</v>
      </c>
      <c r="E15895" s="5" t="str">
        <f t="shared" si="816"/>
        <v>ACTISALUD - BODEGA - WILLIAM ZUÑIGA-DIEGO GARCIA</v>
      </c>
      <c r="F15895" s="5"/>
      <c r="G15895" s="5"/>
    </row>
    <row r="15896" spans="1:7" ht="58.5" customHeight="1" x14ac:dyDescent="0.25">
      <c r="A15896" s="5" t="str">
        <f>"H0034176"</f>
        <v>H0034176</v>
      </c>
      <c r="B15896" s="5" t="str">
        <f t="shared" si="817"/>
        <v>termometro infrarrojo (DONACION)</v>
      </c>
      <c r="C15896" s="6">
        <v>150000</v>
      </c>
      <c r="D15896" s="5" t="s">
        <v>489</v>
      </c>
      <c r="E15896" s="5" t="str">
        <f t="shared" si="816"/>
        <v>ACTISALUD - BODEGA - WILLIAM ZUÑIGA-DIEGO GARCIA</v>
      </c>
      <c r="F15896" s="5"/>
      <c r="G15896" s="5"/>
    </row>
    <row r="15897" spans="1:7" ht="58.5" customHeight="1" x14ac:dyDescent="0.25">
      <c r="A15897" s="5" t="str">
        <f>"H0034177"</f>
        <v>H0034177</v>
      </c>
      <c r="B15897" s="5" t="str">
        <f t="shared" ref="B15897:B15928" si="818">"termometro infrarrojo (DONACION)"</f>
        <v>termometro infrarrojo (DONACION)</v>
      </c>
      <c r="C15897" s="6">
        <v>150000</v>
      </c>
      <c r="D15897" s="5" t="s">
        <v>489</v>
      </c>
      <c r="E15897" s="5" t="str">
        <f t="shared" si="816"/>
        <v>ACTISALUD - BODEGA - WILLIAM ZUÑIGA-DIEGO GARCIA</v>
      </c>
      <c r="F15897" s="5"/>
      <c r="G15897" s="5"/>
    </row>
    <row r="15898" spans="1:7" ht="58.5" customHeight="1" x14ac:dyDescent="0.25">
      <c r="A15898" s="5" t="str">
        <f>"H0034178"</f>
        <v>H0034178</v>
      </c>
      <c r="B15898" s="5" t="str">
        <f t="shared" si="818"/>
        <v>termometro infrarrojo (DONACION)</v>
      </c>
      <c r="C15898" s="6">
        <v>150000</v>
      </c>
      <c r="D15898" s="5" t="s">
        <v>489</v>
      </c>
      <c r="E15898" s="5" t="str">
        <f t="shared" si="816"/>
        <v>ACTISALUD - BODEGA - WILLIAM ZUÑIGA-DIEGO GARCIA</v>
      </c>
      <c r="F15898" s="5"/>
      <c r="G15898" s="5"/>
    </row>
    <row r="15899" spans="1:7" ht="58.5" customHeight="1" x14ac:dyDescent="0.25">
      <c r="A15899" s="5" t="str">
        <f>"H0034179"</f>
        <v>H0034179</v>
      </c>
      <c r="B15899" s="5" t="str">
        <f t="shared" si="818"/>
        <v>termometro infrarrojo (DONACION)</v>
      </c>
      <c r="C15899" s="6">
        <v>150000</v>
      </c>
      <c r="D15899" s="5" t="s">
        <v>489</v>
      </c>
      <c r="E15899" s="5" t="str">
        <f t="shared" si="816"/>
        <v>ACTISALUD - BODEGA - WILLIAM ZUÑIGA-DIEGO GARCIA</v>
      </c>
      <c r="F15899" s="5"/>
      <c r="G15899" s="5"/>
    </row>
    <row r="15900" spans="1:7" ht="58.5" customHeight="1" x14ac:dyDescent="0.25">
      <c r="A15900" s="5" t="str">
        <f>"H0034180"</f>
        <v>H0034180</v>
      </c>
      <c r="B15900" s="5" t="str">
        <f t="shared" si="818"/>
        <v>termometro infrarrojo (DONACION)</v>
      </c>
      <c r="C15900" s="6">
        <v>150000</v>
      </c>
      <c r="D15900" s="5" t="s">
        <v>489</v>
      </c>
      <c r="E15900" s="5" t="str">
        <f t="shared" si="816"/>
        <v>ACTISALUD - BODEGA - WILLIAM ZUÑIGA-DIEGO GARCIA</v>
      </c>
      <c r="F15900" s="5"/>
      <c r="G15900" s="5"/>
    </row>
    <row r="15901" spans="1:7" ht="58.5" customHeight="1" x14ac:dyDescent="0.25">
      <c r="A15901" s="5" t="str">
        <f>"H0034181"</f>
        <v>H0034181</v>
      </c>
      <c r="B15901" s="5" t="str">
        <f t="shared" si="818"/>
        <v>termometro infrarrojo (DONACION)</v>
      </c>
      <c r="C15901" s="6">
        <v>150000</v>
      </c>
      <c r="D15901" s="5" t="s">
        <v>489</v>
      </c>
      <c r="E15901" s="5" t="str">
        <f t="shared" si="816"/>
        <v>ACTISALUD - BODEGA - WILLIAM ZUÑIGA-DIEGO GARCIA</v>
      </c>
      <c r="F15901" s="5"/>
      <c r="G15901" s="5"/>
    </row>
    <row r="15902" spans="1:7" ht="58.5" customHeight="1" x14ac:dyDescent="0.25">
      <c r="A15902" s="5" t="str">
        <f>"H0034183"</f>
        <v>H0034183</v>
      </c>
      <c r="B15902" s="5" t="str">
        <f t="shared" si="818"/>
        <v>termometro infrarrojo (DONACION)</v>
      </c>
      <c r="C15902" s="6">
        <v>150000</v>
      </c>
      <c r="D15902" s="5" t="s">
        <v>489</v>
      </c>
      <c r="E15902" s="5" t="str">
        <f t="shared" si="816"/>
        <v>ACTISALUD - BODEGA - WILLIAM ZUÑIGA-DIEGO GARCIA</v>
      </c>
      <c r="F15902" s="5"/>
      <c r="G15902" s="5"/>
    </row>
    <row r="15903" spans="1:7" ht="58.5" customHeight="1" x14ac:dyDescent="0.25">
      <c r="A15903" s="5" t="str">
        <f>"H0034184"</f>
        <v>H0034184</v>
      </c>
      <c r="B15903" s="5" t="str">
        <f t="shared" si="818"/>
        <v>termometro infrarrojo (DONACION)</v>
      </c>
      <c r="C15903" s="6">
        <v>150000</v>
      </c>
      <c r="D15903" s="5" t="s">
        <v>489</v>
      </c>
      <c r="E15903" s="5" t="str">
        <f t="shared" si="816"/>
        <v>ACTISALUD - BODEGA - WILLIAM ZUÑIGA-DIEGO GARCIA</v>
      </c>
      <c r="F15903" s="5"/>
      <c r="G15903" s="5"/>
    </row>
    <row r="15904" spans="1:7" ht="58.5" customHeight="1" x14ac:dyDescent="0.25">
      <c r="A15904" s="5" t="str">
        <f>"H0034185"</f>
        <v>H0034185</v>
      </c>
      <c r="B15904" s="5" t="str">
        <f t="shared" si="818"/>
        <v>termometro infrarrojo (DONACION)</v>
      </c>
      <c r="C15904" s="6">
        <v>150000</v>
      </c>
      <c r="D15904" s="5" t="s">
        <v>489</v>
      </c>
      <c r="E15904" s="5" t="str">
        <f t="shared" si="816"/>
        <v>ACTISALUD - BODEGA - WILLIAM ZUÑIGA-DIEGO GARCIA</v>
      </c>
      <c r="F15904" s="5"/>
      <c r="G15904" s="5"/>
    </row>
    <row r="15905" spans="1:7" ht="58.5" customHeight="1" x14ac:dyDescent="0.25">
      <c r="A15905" s="5" t="str">
        <f>"H0034186"</f>
        <v>H0034186</v>
      </c>
      <c r="B15905" s="5" t="str">
        <f t="shared" si="818"/>
        <v>termometro infrarrojo (DONACION)</v>
      </c>
      <c r="C15905" s="6">
        <v>150000</v>
      </c>
      <c r="D15905" s="5" t="s">
        <v>489</v>
      </c>
      <c r="E15905" s="5" t="str">
        <f t="shared" si="816"/>
        <v>ACTISALUD - BODEGA - WILLIAM ZUÑIGA-DIEGO GARCIA</v>
      </c>
      <c r="F15905" s="5"/>
      <c r="G15905" s="5"/>
    </row>
    <row r="15906" spans="1:7" ht="58.5" customHeight="1" x14ac:dyDescent="0.25">
      <c r="A15906" s="5" t="str">
        <f>"H0034187"</f>
        <v>H0034187</v>
      </c>
      <c r="B15906" s="5" t="str">
        <f t="shared" si="818"/>
        <v>termometro infrarrojo (DONACION)</v>
      </c>
      <c r="C15906" s="6">
        <v>150000</v>
      </c>
      <c r="D15906" s="5" t="s">
        <v>489</v>
      </c>
      <c r="E15906" s="5" t="str">
        <f t="shared" si="816"/>
        <v>ACTISALUD - BODEGA - WILLIAM ZUÑIGA-DIEGO GARCIA</v>
      </c>
      <c r="F15906" s="5"/>
      <c r="G15906" s="5"/>
    </row>
    <row r="15907" spans="1:7" ht="58.5" customHeight="1" x14ac:dyDescent="0.25">
      <c r="A15907" s="5" t="str">
        <f>"H0034188"</f>
        <v>H0034188</v>
      </c>
      <c r="B15907" s="5" t="str">
        <f t="shared" si="818"/>
        <v>termometro infrarrojo (DONACION)</v>
      </c>
      <c r="C15907" s="6">
        <v>150000</v>
      </c>
      <c r="D15907" s="5" t="s">
        <v>489</v>
      </c>
      <c r="E15907" s="5" t="str">
        <f t="shared" si="816"/>
        <v>ACTISALUD - BODEGA - WILLIAM ZUÑIGA-DIEGO GARCIA</v>
      </c>
      <c r="F15907" s="5"/>
      <c r="G15907" s="5"/>
    </row>
    <row r="15908" spans="1:7" ht="58.5" customHeight="1" x14ac:dyDescent="0.25">
      <c r="A15908" s="5" t="str">
        <f>"H0034189"</f>
        <v>H0034189</v>
      </c>
      <c r="B15908" s="5" t="str">
        <f t="shared" si="818"/>
        <v>termometro infrarrojo (DONACION)</v>
      </c>
      <c r="C15908" s="6">
        <v>150000</v>
      </c>
      <c r="D15908" s="5" t="s">
        <v>489</v>
      </c>
      <c r="E15908" s="5" t="str">
        <f t="shared" si="816"/>
        <v>ACTISALUD - BODEGA - WILLIAM ZUÑIGA-DIEGO GARCIA</v>
      </c>
      <c r="F15908" s="5"/>
      <c r="G15908" s="5"/>
    </row>
    <row r="15909" spans="1:7" ht="58.5" customHeight="1" x14ac:dyDescent="0.25">
      <c r="A15909" s="5" t="str">
        <f>"H0034192"</f>
        <v>H0034192</v>
      </c>
      <c r="B15909" s="5" t="str">
        <f t="shared" si="818"/>
        <v>termometro infrarrojo (DONACION)</v>
      </c>
      <c r="C15909" s="6">
        <v>150000</v>
      </c>
      <c r="D15909" s="5" t="s">
        <v>489</v>
      </c>
      <c r="E15909" s="5" t="str">
        <f t="shared" ref="E15909:E15972" si="819">"ACTISALUD - BODEGA - WILLIAM ZUÑIGA-DIEGO GARCIA"</f>
        <v>ACTISALUD - BODEGA - WILLIAM ZUÑIGA-DIEGO GARCIA</v>
      </c>
      <c r="F15909" s="5"/>
      <c r="G15909" s="5"/>
    </row>
    <row r="15910" spans="1:7" ht="58.5" customHeight="1" x14ac:dyDescent="0.25">
      <c r="A15910" s="5" t="str">
        <f>"H0034193"</f>
        <v>H0034193</v>
      </c>
      <c r="B15910" s="5" t="str">
        <f t="shared" si="818"/>
        <v>termometro infrarrojo (DONACION)</v>
      </c>
      <c r="C15910" s="6">
        <v>150000</v>
      </c>
      <c r="D15910" s="5" t="s">
        <v>489</v>
      </c>
      <c r="E15910" s="5" t="str">
        <f t="shared" si="819"/>
        <v>ACTISALUD - BODEGA - WILLIAM ZUÑIGA-DIEGO GARCIA</v>
      </c>
      <c r="F15910" s="5"/>
      <c r="G15910" s="5"/>
    </row>
    <row r="15911" spans="1:7" ht="58.5" customHeight="1" x14ac:dyDescent="0.25">
      <c r="A15911" s="5" t="str">
        <f>"h0034194"</f>
        <v>h0034194</v>
      </c>
      <c r="B15911" s="5" t="str">
        <f t="shared" si="818"/>
        <v>termometro infrarrojo (DONACION)</v>
      </c>
      <c r="C15911" s="6">
        <v>150000</v>
      </c>
      <c r="D15911" s="5" t="s">
        <v>489</v>
      </c>
      <c r="E15911" s="5" t="str">
        <f t="shared" si="819"/>
        <v>ACTISALUD - BODEGA - WILLIAM ZUÑIGA-DIEGO GARCIA</v>
      </c>
      <c r="F15911" s="5"/>
      <c r="G15911" s="5"/>
    </row>
    <row r="15912" spans="1:7" ht="58.5" customHeight="1" x14ac:dyDescent="0.25">
      <c r="A15912" s="5" t="str">
        <f>"h0034195"</f>
        <v>h0034195</v>
      </c>
      <c r="B15912" s="5" t="str">
        <f t="shared" si="818"/>
        <v>termometro infrarrojo (DONACION)</v>
      </c>
      <c r="C15912" s="6">
        <v>150000</v>
      </c>
      <c r="D15912" s="5" t="s">
        <v>489</v>
      </c>
      <c r="E15912" s="5" t="str">
        <f t="shared" si="819"/>
        <v>ACTISALUD - BODEGA - WILLIAM ZUÑIGA-DIEGO GARCIA</v>
      </c>
      <c r="F15912" s="5"/>
      <c r="G15912" s="5"/>
    </row>
    <row r="15913" spans="1:7" ht="58.5" customHeight="1" x14ac:dyDescent="0.25">
      <c r="A15913" s="5" t="str">
        <f>"H0034196"</f>
        <v>H0034196</v>
      </c>
      <c r="B15913" s="5" t="str">
        <f t="shared" si="818"/>
        <v>termometro infrarrojo (DONACION)</v>
      </c>
      <c r="C15913" s="6">
        <v>150000</v>
      </c>
      <c r="D15913" s="5" t="s">
        <v>489</v>
      </c>
      <c r="E15913" s="5" t="str">
        <f t="shared" si="819"/>
        <v>ACTISALUD - BODEGA - WILLIAM ZUÑIGA-DIEGO GARCIA</v>
      </c>
      <c r="F15913" s="5"/>
      <c r="G15913" s="5"/>
    </row>
    <row r="15914" spans="1:7" ht="58.5" customHeight="1" x14ac:dyDescent="0.25">
      <c r="A15914" s="5" t="str">
        <f>"H0034197"</f>
        <v>H0034197</v>
      </c>
      <c r="B15914" s="5" t="str">
        <f t="shared" si="818"/>
        <v>termometro infrarrojo (DONACION)</v>
      </c>
      <c r="C15914" s="6">
        <v>150000</v>
      </c>
      <c r="D15914" s="5" t="s">
        <v>489</v>
      </c>
      <c r="E15914" s="5" t="str">
        <f t="shared" si="819"/>
        <v>ACTISALUD - BODEGA - WILLIAM ZUÑIGA-DIEGO GARCIA</v>
      </c>
      <c r="F15914" s="5"/>
      <c r="G15914" s="5"/>
    </row>
    <row r="15915" spans="1:7" ht="58.5" customHeight="1" x14ac:dyDescent="0.25">
      <c r="A15915" s="5" t="str">
        <f>"H0034198"</f>
        <v>H0034198</v>
      </c>
      <c r="B15915" s="5" t="str">
        <f t="shared" si="818"/>
        <v>termometro infrarrojo (DONACION)</v>
      </c>
      <c r="C15915" s="6">
        <v>150000</v>
      </c>
      <c r="D15915" s="5" t="s">
        <v>489</v>
      </c>
      <c r="E15915" s="5" t="str">
        <f t="shared" si="819"/>
        <v>ACTISALUD - BODEGA - WILLIAM ZUÑIGA-DIEGO GARCIA</v>
      </c>
      <c r="F15915" s="5"/>
      <c r="G15915" s="5"/>
    </row>
    <row r="15916" spans="1:7" ht="58.5" customHeight="1" x14ac:dyDescent="0.25">
      <c r="A15916" s="5" t="str">
        <f>"H0034199"</f>
        <v>H0034199</v>
      </c>
      <c r="B15916" s="5" t="str">
        <f t="shared" si="818"/>
        <v>termometro infrarrojo (DONACION)</v>
      </c>
      <c r="C15916" s="6">
        <v>150000</v>
      </c>
      <c r="D15916" s="5" t="s">
        <v>489</v>
      </c>
      <c r="E15916" s="5" t="str">
        <f t="shared" si="819"/>
        <v>ACTISALUD - BODEGA - WILLIAM ZUÑIGA-DIEGO GARCIA</v>
      </c>
      <c r="F15916" s="5"/>
      <c r="G15916" s="5"/>
    </row>
    <row r="15917" spans="1:7" ht="58.5" customHeight="1" x14ac:dyDescent="0.25">
      <c r="A15917" s="5" t="str">
        <f>"H0034200"</f>
        <v>H0034200</v>
      </c>
      <c r="B15917" s="5" t="str">
        <f t="shared" si="818"/>
        <v>termometro infrarrojo (DONACION)</v>
      </c>
      <c r="C15917" s="6">
        <v>150000</v>
      </c>
      <c r="D15917" s="5" t="s">
        <v>489</v>
      </c>
      <c r="E15917" s="5" t="str">
        <f t="shared" si="819"/>
        <v>ACTISALUD - BODEGA - WILLIAM ZUÑIGA-DIEGO GARCIA</v>
      </c>
      <c r="F15917" s="5"/>
      <c r="G15917" s="5"/>
    </row>
    <row r="15918" spans="1:7" ht="58.5" customHeight="1" x14ac:dyDescent="0.25">
      <c r="A15918" s="5" t="str">
        <f>"H0034201"</f>
        <v>H0034201</v>
      </c>
      <c r="B15918" s="5" t="str">
        <f t="shared" si="818"/>
        <v>termometro infrarrojo (DONACION)</v>
      </c>
      <c r="C15918" s="6">
        <v>150000</v>
      </c>
      <c r="D15918" s="5" t="s">
        <v>489</v>
      </c>
      <c r="E15918" s="5" t="str">
        <f t="shared" si="819"/>
        <v>ACTISALUD - BODEGA - WILLIAM ZUÑIGA-DIEGO GARCIA</v>
      </c>
      <c r="F15918" s="5"/>
      <c r="G15918" s="5"/>
    </row>
    <row r="15919" spans="1:7" ht="58.5" customHeight="1" x14ac:dyDescent="0.25">
      <c r="A15919" s="5" t="str">
        <f>"H0034202"</f>
        <v>H0034202</v>
      </c>
      <c r="B15919" s="5" t="str">
        <f t="shared" si="818"/>
        <v>termometro infrarrojo (DONACION)</v>
      </c>
      <c r="C15919" s="6">
        <v>150000</v>
      </c>
      <c r="D15919" s="5" t="s">
        <v>489</v>
      </c>
      <c r="E15919" s="5" t="str">
        <f t="shared" si="819"/>
        <v>ACTISALUD - BODEGA - WILLIAM ZUÑIGA-DIEGO GARCIA</v>
      </c>
      <c r="F15919" s="5"/>
      <c r="G15919" s="5"/>
    </row>
    <row r="15920" spans="1:7" ht="58.5" customHeight="1" x14ac:dyDescent="0.25">
      <c r="A15920" s="5" t="str">
        <f>"H0034204"</f>
        <v>H0034204</v>
      </c>
      <c r="B15920" s="5" t="str">
        <f t="shared" si="818"/>
        <v>termometro infrarrojo (DONACION)</v>
      </c>
      <c r="C15920" s="6">
        <v>150000</v>
      </c>
      <c r="D15920" s="5" t="s">
        <v>489</v>
      </c>
      <c r="E15920" s="5" t="str">
        <f t="shared" si="819"/>
        <v>ACTISALUD - BODEGA - WILLIAM ZUÑIGA-DIEGO GARCIA</v>
      </c>
      <c r="F15920" s="5"/>
      <c r="G15920" s="5"/>
    </row>
    <row r="15921" spans="1:7" ht="58.5" customHeight="1" x14ac:dyDescent="0.25">
      <c r="A15921" s="5" t="str">
        <f>"H0034205"</f>
        <v>H0034205</v>
      </c>
      <c r="B15921" s="5" t="str">
        <f t="shared" si="818"/>
        <v>termometro infrarrojo (DONACION)</v>
      </c>
      <c r="C15921" s="6">
        <v>150000</v>
      </c>
      <c r="D15921" s="5" t="s">
        <v>489</v>
      </c>
      <c r="E15921" s="5" t="str">
        <f t="shared" si="819"/>
        <v>ACTISALUD - BODEGA - WILLIAM ZUÑIGA-DIEGO GARCIA</v>
      </c>
      <c r="F15921" s="5"/>
      <c r="G15921" s="5"/>
    </row>
    <row r="15922" spans="1:7" ht="58.5" customHeight="1" x14ac:dyDescent="0.25">
      <c r="A15922" s="5" t="str">
        <f>"H0034206"</f>
        <v>H0034206</v>
      </c>
      <c r="B15922" s="5" t="str">
        <f t="shared" si="818"/>
        <v>termometro infrarrojo (DONACION)</v>
      </c>
      <c r="C15922" s="6">
        <v>150000</v>
      </c>
      <c r="D15922" s="5" t="s">
        <v>489</v>
      </c>
      <c r="E15922" s="5" t="str">
        <f t="shared" si="819"/>
        <v>ACTISALUD - BODEGA - WILLIAM ZUÑIGA-DIEGO GARCIA</v>
      </c>
      <c r="F15922" s="5"/>
      <c r="G15922" s="5"/>
    </row>
    <row r="15923" spans="1:7" ht="58.5" customHeight="1" x14ac:dyDescent="0.25">
      <c r="A15923" s="5" t="str">
        <f>"H0034207"</f>
        <v>H0034207</v>
      </c>
      <c r="B15923" s="5" t="str">
        <f t="shared" si="818"/>
        <v>termometro infrarrojo (DONACION)</v>
      </c>
      <c r="C15923" s="6">
        <v>150000</v>
      </c>
      <c r="D15923" s="5" t="s">
        <v>489</v>
      </c>
      <c r="E15923" s="5" t="str">
        <f t="shared" si="819"/>
        <v>ACTISALUD - BODEGA - WILLIAM ZUÑIGA-DIEGO GARCIA</v>
      </c>
      <c r="F15923" s="5"/>
      <c r="G15923" s="5"/>
    </row>
    <row r="15924" spans="1:7" ht="58.5" customHeight="1" x14ac:dyDescent="0.25">
      <c r="A15924" s="5" t="str">
        <f>"H0034208"</f>
        <v>H0034208</v>
      </c>
      <c r="B15924" s="5" t="str">
        <f t="shared" si="818"/>
        <v>termometro infrarrojo (DONACION)</v>
      </c>
      <c r="C15924" s="6">
        <v>150000</v>
      </c>
      <c r="D15924" s="5" t="s">
        <v>489</v>
      </c>
      <c r="E15924" s="5" t="str">
        <f t="shared" si="819"/>
        <v>ACTISALUD - BODEGA - WILLIAM ZUÑIGA-DIEGO GARCIA</v>
      </c>
      <c r="F15924" s="5"/>
      <c r="G15924" s="5"/>
    </row>
    <row r="15925" spans="1:7" ht="58.5" customHeight="1" x14ac:dyDescent="0.25">
      <c r="A15925" s="5" t="str">
        <f>"H0034209"</f>
        <v>H0034209</v>
      </c>
      <c r="B15925" s="5" t="str">
        <f t="shared" si="818"/>
        <v>termometro infrarrojo (DONACION)</v>
      </c>
      <c r="C15925" s="6">
        <v>150000</v>
      </c>
      <c r="D15925" s="5" t="s">
        <v>489</v>
      </c>
      <c r="E15925" s="5" t="str">
        <f t="shared" si="819"/>
        <v>ACTISALUD - BODEGA - WILLIAM ZUÑIGA-DIEGO GARCIA</v>
      </c>
      <c r="F15925" s="5"/>
      <c r="G15925" s="5"/>
    </row>
    <row r="15926" spans="1:7" ht="58.5" customHeight="1" x14ac:dyDescent="0.25">
      <c r="A15926" s="5" t="str">
        <f>"H0034211"</f>
        <v>H0034211</v>
      </c>
      <c r="B15926" s="5" t="str">
        <f t="shared" si="818"/>
        <v>termometro infrarrojo (DONACION)</v>
      </c>
      <c r="C15926" s="6">
        <v>150000</v>
      </c>
      <c r="D15926" s="5" t="s">
        <v>489</v>
      </c>
      <c r="E15926" s="5" t="str">
        <f t="shared" si="819"/>
        <v>ACTISALUD - BODEGA - WILLIAM ZUÑIGA-DIEGO GARCIA</v>
      </c>
      <c r="F15926" s="5"/>
      <c r="G15926" s="5"/>
    </row>
    <row r="15927" spans="1:7" ht="58.5" customHeight="1" x14ac:dyDescent="0.25">
      <c r="A15927" s="5" t="str">
        <f>"H0034212"</f>
        <v>H0034212</v>
      </c>
      <c r="B15927" s="5" t="str">
        <f t="shared" si="818"/>
        <v>termometro infrarrojo (DONACION)</v>
      </c>
      <c r="C15927" s="6">
        <v>150000</v>
      </c>
      <c r="D15927" s="5" t="s">
        <v>489</v>
      </c>
      <c r="E15927" s="5" t="str">
        <f t="shared" si="819"/>
        <v>ACTISALUD - BODEGA - WILLIAM ZUÑIGA-DIEGO GARCIA</v>
      </c>
      <c r="F15927" s="5"/>
      <c r="G15927" s="5"/>
    </row>
    <row r="15928" spans="1:7" ht="58.5" customHeight="1" x14ac:dyDescent="0.25">
      <c r="A15928" s="5" t="str">
        <f>"H0034213"</f>
        <v>H0034213</v>
      </c>
      <c r="B15928" s="5" t="str">
        <f t="shared" si="818"/>
        <v>termometro infrarrojo (DONACION)</v>
      </c>
      <c r="C15928" s="6">
        <v>150000</v>
      </c>
      <c r="D15928" s="5" t="s">
        <v>489</v>
      </c>
      <c r="E15928" s="5" t="str">
        <f t="shared" si="819"/>
        <v>ACTISALUD - BODEGA - WILLIAM ZUÑIGA-DIEGO GARCIA</v>
      </c>
      <c r="F15928" s="5"/>
      <c r="G15928" s="5"/>
    </row>
    <row r="15929" spans="1:7" ht="58.5" customHeight="1" x14ac:dyDescent="0.25">
      <c r="A15929" s="5" t="str">
        <f>"H0034216"</f>
        <v>H0034216</v>
      </c>
      <c r="B15929" s="5" t="str">
        <f t="shared" ref="B15929:B15938" si="820">"termometro infrarrojo (DONACION)"</f>
        <v>termometro infrarrojo (DONACION)</v>
      </c>
      <c r="C15929" s="6">
        <v>150000</v>
      </c>
      <c r="D15929" s="5" t="s">
        <v>489</v>
      </c>
      <c r="E15929" s="5" t="str">
        <f t="shared" si="819"/>
        <v>ACTISALUD - BODEGA - WILLIAM ZUÑIGA-DIEGO GARCIA</v>
      </c>
      <c r="F15929" s="5"/>
      <c r="G15929" s="5"/>
    </row>
    <row r="15930" spans="1:7" ht="58.5" customHeight="1" x14ac:dyDescent="0.25">
      <c r="A15930" s="5" t="str">
        <f>"H0034217"</f>
        <v>H0034217</v>
      </c>
      <c r="B15930" s="5" t="str">
        <f t="shared" si="820"/>
        <v>termometro infrarrojo (DONACION)</v>
      </c>
      <c r="C15930" s="6">
        <v>150000</v>
      </c>
      <c r="D15930" s="5" t="s">
        <v>489</v>
      </c>
      <c r="E15930" s="5" t="str">
        <f t="shared" si="819"/>
        <v>ACTISALUD - BODEGA - WILLIAM ZUÑIGA-DIEGO GARCIA</v>
      </c>
      <c r="F15930" s="5"/>
      <c r="G15930" s="5"/>
    </row>
    <row r="15931" spans="1:7" ht="58.5" customHeight="1" x14ac:dyDescent="0.25">
      <c r="A15931" s="5" t="str">
        <f>"H0034218"</f>
        <v>H0034218</v>
      </c>
      <c r="B15931" s="5" t="str">
        <f t="shared" si="820"/>
        <v>termometro infrarrojo (DONACION)</v>
      </c>
      <c r="C15931" s="6">
        <v>150000</v>
      </c>
      <c r="D15931" s="5" t="s">
        <v>489</v>
      </c>
      <c r="E15931" s="5" t="str">
        <f t="shared" si="819"/>
        <v>ACTISALUD - BODEGA - WILLIAM ZUÑIGA-DIEGO GARCIA</v>
      </c>
      <c r="F15931" s="5"/>
      <c r="G15931" s="5"/>
    </row>
    <row r="15932" spans="1:7" ht="58.5" customHeight="1" x14ac:dyDescent="0.25">
      <c r="A15932" s="5" t="str">
        <f>"H0034219"</f>
        <v>H0034219</v>
      </c>
      <c r="B15932" s="5" t="str">
        <f t="shared" si="820"/>
        <v>termometro infrarrojo (DONACION)</v>
      </c>
      <c r="C15932" s="6">
        <v>150000</v>
      </c>
      <c r="D15932" s="5" t="s">
        <v>489</v>
      </c>
      <c r="E15932" s="5" t="str">
        <f t="shared" si="819"/>
        <v>ACTISALUD - BODEGA - WILLIAM ZUÑIGA-DIEGO GARCIA</v>
      </c>
      <c r="F15932" s="5"/>
      <c r="G15932" s="5"/>
    </row>
    <row r="15933" spans="1:7" ht="58.5" customHeight="1" x14ac:dyDescent="0.25">
      <c r="A15933" s="5" t="str">
        <f>"H0034220"</f>
        <v>H0034220</v>
      </c>
      <c r="B15933" s="5" t="str">
        <f t="shared" si="820"/>
        <v>termometro infrarrojo (DONACION)</v>
      </c>
      <c r="C15933" s="6">
        <v>150000</v>
      </c>
      <c r="D15933" s="5" t="s">
        <v>489</v>
      </c>
      <c r="E15933" s="5" t="str">
        <f t="shared" si="819"/>
        <v>ACTISALUD - BODEGA - WILLIAM ZUÑIGA-DIEGO GARCIA</v>
      </c>
      <c r="F15933" s="5"/>
      <c r="G15933" s="5"/>
    </row>
    <row r="15934" spans="1:7" ht="58.5" customHeight="1" x14ac:dyDescent="0.25">
      <c r="A15934" s="5" t="str">
        <f>"H0034221"</f>
        <v>H0034221</v>
      </c>
      <c r="B15934" s="5" t="str">
        <f t="shared" si="820"/>
        <v>termometro infrarrojo (DONACION)</v>
      </c>
      <c r="C15934" s="6">
        <v>150000</v>
      </c>
      <c r="D15934" s="5" t="s">
        <v>489</v>
      </c>
      <c r="E15934" s="5" t="str">
        <f t="shared" si="819"/>
        <v>ACTISALUD - BODEGA - WILLIAM ZUÑIGA-DIEGO GARCIA</v>
      </c>
      <c r="F15934" s="5"/>
      <c r="G15934" s="5"/>
    </row>
    <row r="15935" spans="1:7" ht="58.5" customHeight="1" x14ac:dyDescent="0.25">
      <c r="A15935" s="5" t="str">
        <f>"H0034222"</f>
        <v>H0034222</v>
      </c>
      <c r="B15935" s="5" t="str">
        <f t="shared" si="820"/>
        <v>termometro infrarrojo (DONACION)</v>
      </c>
      <c r="C15935" s="6">
        <v>150000</v>
      </c>
      <c r="D15935" s="5" t="s">
        <v>489</v>
      </c>
      <c r="E15935" s="5" t="str">
        <f t="shared" si="819"/>
        <v>ACTISALUD - BODEGA - WILLIAM ZUÑIGA-DIEGO GARCIA</v>
      </c>
      <c r="F15935" s="5"/>
      <c r="G15935" s="5"/>
    </row>
    <row r="15936" spans="1:7" ht="58.5" customHeight="1" x14ac:dyDescent="0.25">
      <c r="A15936" s="5" t="str">
        <f>"H0034223"</f>
        <v>H0034223</v>
      </c>
      <c r="B15936" s="5" t="str">
        <f t="shared" si="820"/>
        <v>termometro infrarrojo (DONACION)</v>
      </c>
      <c r="C15936" s="6">
        <v>150000</v>
      </c>
      <c r="D15936" s="5" t="s">
        <v>489</v>
      </c>
      <c r="E15936" s="5" t="str">
        <f t="shared" si="819"/>
        <v>ACTISALUD - BODEGA - WILLIAM ZUÑIGA-DIEGO GARCIA</v>
      </c>
      <c r="F15936" s="5"/>
      <c r="G15936" s="5"/>
    </row>
    <row r="15937" spans="1:7" ht="58.5" customHeight="1" x14ac:dyDescent="0.25">
      <c r="A15937" s="5" t="str">
        <f>"H0034224"</f>
        <v>H0034224</v>
      </c>
      <c r="B15937" s="5" t="str">
        <f t="shared" si="820"/>
        <v>termometro infrarrojo (DONACION)</v>
      </c>
      <c r="C15937" s="6">
        <v>150000</v>
      </c>
      <c r="D15937" s="5" t="s">
        <v>489</v>
      </c>
      <c r="E15937" s="5" t="str">
        <f t="shared" si="819"/>
        <v>ACTISALUD - BODEGA - WILLIAM ZUÑIGA-DIEGO GARCIA</v>
      </c>
      <c r="F15937" s="5"/>
      <c r="G15937" s="5"/>
    </row>
    <row r="15938" spans="1:7" ht="58.5" customHeight="1" x14ac:dyDescent="0.25">
      <c r="A15938" s="5" t="str">
        <f>"H0034225"</f>
        <v>H0034225</v>
      </c>
      <c r="B15938" s="5" t="str">
        <f t="shared" si="820"/>
        <v>termometro infrarrojo (DONACION)</v>
      </c>
      <c r="C15938" s="6">
        <v>150000</v>
      </c>
      <c r="D15938" s="5" t="s">
        <v>489</v>
      </c>
      <c r="E15938" s="5" t="str">
        <f t="shared" si="819"/>
        <v>ACTISALUD - BODEGA - WILLIAM ZUÑIGA-DIEGO GARCIA</v>
      </c>
      <c r="F15938" s="5"/>
      <c r="G15938" s="5"/>
    </row>
    <row r="15939" spans="1:7" ht="58.5" customHeight="1" x14ac:dyDescent="0.25">
      <c r="A15939" s="5" t="str">
        <f>"H0034360"</f>
        <v>H0034360</v>
      </c>
      <c r="B15939" s="5" t="str">
        <f t="shared" ref="B15939:B15970" si="821">"INFUSOR DE LIQUIDOS. Soporta soluciones o bolsas de sangre. Capacidad 1000 mL. Manómetro escala mmHg. Pera bombeo"</f>
        <v>INFUSOR DE LIQUIDOS. Soporta soluciones o bolsas de sangre. Capacidad 1000 mL. Manómetro escala mmHg. Pera bombeo</v>
      </c>
      <c r="C15939" s="6">
        <v>343367</v>
      </c>
      <c r="D15939" s="5" t="s">
        <v>193</v>
      </c>
      <c r="E15939" s="5" t="str">
        <f t="shared" si="819"/>
        <v>ACTISALUD - BODEGA - WILLIAM ZUÑIGA-DIEGO GARCIA</v>
      </c>
      <c r="F15939" s="5"/>
      <c r="G15939" s="5"/>
    </row>
    <row r="15940" spans="1:7" ht="58.5" customHeight="1" x14ac:dyDescent="0.25">
      <c r="A15940" s="5" t="str">
        <f>"H0034361"</f>
        <v>H0034361</v>
      </c>
      <c r="B15940" s="5" t="str">
        <f t="shared" si="821"/>
        <v>INFUSOR DE LIQUIDOS. Soporta soluciones o bolsas de sangre. Capacidad 1000 mL. Manómetro escala mmHg. Pera bombeo</v>
      </c>
      <c r="C15940" s="6">
        <v>343367</v>
      </c>
      <c r="D15940" s="5" t="s">
        <v>193</v>
      </c>
      <c r="E15940" s="5" t="str">
        <f t="shared" si="819"/>
        <v>ACTISALUD - BODEGA - WILLIAM ZUÑIGA-DIEGO GARCIA</v>
      </c>
      <c r="F15940" s="5"/>
      <c r="G15940" s="5"/>
    </row>
    <row r="15941" spans="1:7" ht="58.5" customHeight="1" x14ac:dyDescent="0.25">
      <c r="A15941" s="5" t="str">
        <f>"H0034362"</f>
        <v>H0034362</v>
      </c>
      <c r="B15941" s="5" t="str">
        <f t="shared" si="821"/>
        <v>INFUSOR DE LIQUIDOS. Soporta soluciones o bolsas de sangre. Capacidad 1000 mL. Manómetro escala mmHg. Pera bombeo</v>
      </c>
      <c r="C15941" s="6">
        <v>343367</v>
      </c>
      <c r="D15941" s="5" t="s">
        <v>193</v>
      </c>
      <c r="E15941" s="5" t="str">
        <f t="shared" si="819"/>
        <v>ACTISALUD - BODEGA - WILLIAM ZUÑIGA-DIEGO GARCIA</v>
      </c>
      <c r="F15941" s="5"/>
      <c r="G15941" s="5"/>
    </row>
    <row r="15942" spans="1:7" ht="58.5" customHeight="1" x14ac:dyDescent="0.25">
      <c r="A15942" s="5" t="str">
        <f>"H0034363"</f>
        <v>H0034363</v>
      </c>
      <c r="B15942" s="5" t="str">
        <f t="shared" si="821"/>
        <v>INFUSOR DE LIQUIDOS. Soporta soluciones o bolsas de sangre. Capacidad 1000 mL. Manómetro escala mmHg. Pera bombeo</v>
      </c>
      <c r="C15942" s="6">
        <v>343367</v>
      </c>
      <c r="D15942" s="5" t="s">
        <v>193</v>
      </c>
      <c r="E15942" s="5" t="str">
        <f t="shared" si="819"/>
        <v>ACTISALUD - BODEGA - WILLIAM ZUÑIGA-DIEGO GARCIA</v>
      </c>
      <c r="F15942" s="5"/>
      <c r="G15942" s="5"/>
    </row>
    <row r="15943" spans="1:7" ht="58.5" customHeight="1" x14ac:dyDescent="0.25">
      <c r="A15943" s="5" t="str">
        <f>"H0034365"</f>
        <v>H0034365</v>
      </c>
      <c r="B15943" s="5" t="str">
        <f t="shared" si="821"/>
        <v>INFUSOR DE LIQUIDOS. Soporta soluciones o bolsas de sangre. Capacidad 1000 mL. Manómetro escala mmHg. Pera bombeo</v>
      </c>
      <c r="C15943" s="6">
        <v>343367</v>
      </c>
      <c r="D15943" s="5" t="s">
        <v>193</v>
      </c>
      <c r="E15943" s="5" t="str">
        <f t="shared" si="819"/>
        <v>ACTISALUD - BODEGA - WILLIAM ZUÑIGA-DIEGO GARCIA</v>
      </c>
      <c r="F15943" s="5"/>
      <c r="G15943" s="5"/>
    </row>
    <row r="15944" spans="1:7" ht="58.5" customHeight="1" x14ac:dyDescent="0.25">
      <c r="A15944" s="5" t="str">
        <f>"H0034366"</f>
        <v>H0034366</v>
      </c>
      <c r="B15944" s="5" t="str">
        <f t="shared" si="821"/>
        <v>INFUSOR DE LIQUIDOS. Soporta soluciones o bolsas de sangre. Capacidad 1000 mL. Manómetro escala mmHg. Pera bombeo</v>
      </c>
      <c r="C15944" s="6">
        <v>343367</v>
      </c>
      <c r="D15944" s="5" t="s">
        <v>193</v>
      </c>
      <c r="E15944" s="5" t="str">
        <f t="shared" si="819"/>
        <v>ACTISALUD - BODEGA - WILLIAM ZUÑIGA-DIEGO GARCIA</v>
      </c>
      <c r="F15944" s="5"/>
      <c r="G15944" s="5"/>
    </row>
    <row r="15945" spans="1:7" ht="58.5" customHeight="1" x14ac:dyDescent="0.25">
      <c r="A15945" s="5" t="str">
        <f>"H0034367"</f>
        <v>H0034367</v>
      </c>
      <c r="B15945" s="5" t="str">
        <f t="shared" si="821"/>
        <v>INFUSOR DE LIQUIDOS. Soporta soluciones o bolsas de sangre. Capacidad 1000 mL. Manómetro escala mmHg. Pera bombeo</v>
      </c>
      <c r="C15945" s="6">
        <v>343367</v>
      </c>
      <c r="D15945" s="5" t="s">
        <v>193</v>
      </c>
      <c r="E15945" s="5" t="str">
        <f t="shared" si="819"/>
        <v>ACTISALUD - BODEGA - WILLIAM ZUÑIGA-DIEGO GARCIA</v>
      </c>
      <c r="F15945" s="5"/>
      <c r="G15945" s="5"/>
    </row>
    <row r="15946" spans="1:7" ht="58.5" customHeight="1" x14ac:dyDescent="0.25">
      <c r="A15946" s="5" t="str">
        <f>"H0034371"</f>
        <v>H0034371</v>
      </c>
      <c r="B15946" s="5" t="str">
        <f t="shared" si="821"/>
        <v>INFUSOR DE LIQUIDOS. Soporta soluciones o bolsas de sangre. Capacidad 1000 mL. Manómetro escala mmHg. Pera bombeo</v>
      </c>
      <c r="C15946" s="6">
        <v>343367</v>
      </c>
      <c r="D15946" s="5" t="s">
        <v>193</v>
      </c>
      <c r="E15946" s="5" t="str">
        <f t="shared" si="819"/>
        <v>ACTISALUD - BODEGA - WILLIAM ZUÑIGA-DIEGO GARCIA</v>
      </c>
      <c r="F15946" s="5"/>
      <c r="G15946" s="5"/>
    </row>
    <row r="15947" spans="1:7" ht="58.5" customHeight="1" x14ac:dyDescent="0.25">
      <c r="A15947" s="5" t="str">
        <f>"H0034372"</f>
        <v>H0034372</v>
      </c>
      <c r="B15947" s="5" t="str">
        <f t="shared" si="821"/>
        <v>INFUSOR DE LIQUIDOS. Soporta soluciones o bolsas de sangre. Capacidad 1000 mL. Manómetro escala mmHg. Pera bombeo</v>
      </c>
      <c r="C15947" s="6">
        <v>343367</v>
      </c>
      <c r="D15947" s="5" t="s">
        <v>193</v>
      </c>
      <c r="E15947" s="5" t="str">
        <f t="shared" si="819"/>
        <v>ACTISALUD - BODEGA - WILLIAM ZUÑIGA-DIEGO GARCIA</v>
      </c>
      <c r="F15947" s="5"/>
      <c r="G15947" s="5"/>
    </row>
    <row r="15948" spans="1:7" ht="58.5" customHeight="1" x14ac:dyDescent="0.25">
      <c r="A15948" s="5" t="str">
        <f>"H0034373"</f>
        <v>H0034373</v>
      </c>
      <c r="B15948" s="5" t="str">
        <f t="shared" si="821"/>
        <v>INFUSOR DE LIQUIDOS. Soporta soluciones o bolsas de sangre. Capacidad 1000 mL. Manómetro escala mmHg. Pera bombeo</v>
      </c>
      <c r="C15948" s="6">
        <v>343367</v>
      </c>
      <c r="D15948" s="5" t="s">
        <v>193</v>
      </c>
      <c r="E15948" s="5" t="str">
        <f t="shared" si="819"/>
        <v>ACTISALUD - BODEGA - WILLIAM ZUÑIGA-DIEGO GARCIA</v>
      </c>
      <c r="F15948" s="5"/>
      <c r="G15948" s="5"/>
    </row>
    <row r="15949" spans="1:7" ht="58.5" customHeight="1" x14ac:dyDescent="0.25">
      <c r="A15949" s="5" t="str">
        <f>"H0034374|"</f>
        <v>H0034374|</v>
      </c>
      <c r="B15949" s="5" t="str">
        <f t="shared" si="821"/>
        <v>INFUSOR DE LIQUIDOS. Soporta soluciones o bolsas de sangre. Capacidad 1000 mL. Manómetro escala mmHg. Pera bombeo</v>
      </c>
      <c r="C15949" s="6">
        <v>343367</v>
      </c>
      <c r="D15949" s="5" t="s">
        <v>193</v>
      </c>
      <c r="E15949" s="5" t="str">
        <f t="shared" si="819"/>
        <v>ACTISALUD - BODEGA - WILLIAM ZUÑIGA-DIEGO GARCIA</v>
      </c>
      <c r="F15949" s="5"/>
      <c r="G15949" s="5"/>
    </row>
    <row r="15950" spans="1:7" ht="58.5" customHeight="1" x14ac:dyDescent="0.25">
      <c r="A15950" s="5" t="str">
        <f>"H0034375"</f>
        <v>H0034375</v>
      </c>
      <c r="B15950" s="5" t="str">
        <f t="shared" si="821"/>
        <v>INFUSOR DE LIQUIDOS. Soporta soluciones o bolsas de sangre. Capacidad 1000 mL. Manómetro escala mmHg. Pera bombeo</v>
      </c>
      <c r="C15950" s="6">
        <v>343367</v>
      </c>
      <c r="D15950" s="5" t="s">
        <v>193</v>
      </c>
      <c r="E15950" s="5" t="str">
        <f t="shared" si="819"/>
        <v>ACTISALUD - BODEGA - WILLIAM ZUÑIGA-DIEGO GARCIA</v>
      </c>
      <c r="F15950" s="5"/>
      <c r="G15950" s="5"/>
    </row>
    <row r="15951" spans="1:7" ht="58.5" customHeight="1" x14ac:dyDescent="0.25">
      <c r="A15951" s="5" t="str">
        <f>"H0034376"</f>
        <v>H0034376</v>
      </c>
      <c r="B15951" s="5" t="str">
        <f t="shared" si="821"/>
        <v>INFUSOR DE LIQUIDOS. Soporta soluciones o bolsas de sangre. Capacidad 1000 mL. Manómetro escala mmHg. Pera bombeo</v>
      </c>
      <c r="C15951" s="6">
        <v>343367</v>
      </c>
      <c r="D15951" s="5" t="s">
        <v>193</v>
      </c>
      <c r="E15951" s="5" t="str">
        <f t="shared" si="819"/>
        <v>ACTISALUD - BODEGA - WILLIAM ZUÑIGA-DIEGO GARCIA</v>
      </c>
      <c r="F15951" s="5"/>
      <c r="G15951" s="5"/>
    </row>
    <row r="15952" spans="1:7" ht="58.5" customHeight="1" x14ac:dyDescent="0.25">
      <c r="A15952" s="5" t="str">
        <f>"H0034377"</f>
        <v>H0034377</v>
      </c>
      <c r="B15952" s="5" t="str">
        <f t="shared" si="821"/>
        <v>INFUSOR DE LIQUIDOS. Soporta soluciones o bolsas de sangre. Capacidad 1000 mL. Manómetro escala mmHg. Pera bombeo</v>
      </c>
      <c r="C15952" s="6">
        <v>343367</v>
      </c>
      <c r="D15952" s="5" t="s">
        <v>193</v>
      </c>
      <c r="E15952" s="5" t="str">
        <f t="shared" si="819"/>
        <v>ACTISALUD - BODEGA - WILLIAM ZUÑIGA-DIEGO GARCIA</v>
      </c>
      <c r="F15952" s="5"/>
      <c r="G15952" s="5"/>
    </row>
    <row r="15953" spans="1:7" ht="58.5" customHeight="1" x14ac:dyDescent="0.25">
      <c r="A15953" s="5" t="str">
        <f>"H0034378"</f>
        <v>H0034378</v>
      </c>
      <c r="B15953" s="5" t="str">
        <f t="shared" si="821"/>
        <v>INFUSOR DE LIQUIDOS. Soporta soluciones o bolsas de sangre. Capacidad 1000 mL. Manómetro escala mmHg. Pera bombeo</v>
      </c>
      <c r="C15953" s="6">
        <v>343367</v>
      </c>
      <c r="D15953" s="5" t="s">
        <v>193</v>
      </c>
      <c r="E15953" s="5" t="str">
        <f t="shared" si="819"/>
        <v>ACTISALUD - BODEGA - WILLIAM ZUÑIGA-DIEGO GARCIA</v>
      </c>
      <c r="F15953" s="5"/>
      <c r="G15953" s="5"/>
    </row>
    <row r="15954" spans="1:7" ht="58.5" customHeight="1" x14ac:dyDescent="0.25">
      <c r="A15954" s="5" t="str">
        <f>"H0034379"</f>
        <v>H0034379</v>
      </c>
      <c r="B15954" s="5" t="str">
        <f t="shared" si="821"/>
        <v>INFUSOR DE LIQUIDOS. Soporta soluciones o bolsas de sangre. Capacidad 1000 mL. Manómetro escala mmHg. Pera bombeo</v>
      </c>
      <c r="C15954" s="6">
        <v>343367</v>
      </c>
      <c r="D15954" s="5" t="s">
        <v>193</v>
      </c>
      <c r="E15954" s="5" t="str">
        <f t="shared" si="819"/>
        <v>ACTISALUD - BODEGA - WILLIAM ZUÑIGA-DIEGO GARCIA</v>
      </c>
      <c r="F15954" s="5"/>
      <c r="G15954" s="5"/>
    </row>
    <row r="15955" spans="1:7" ht="58.5" customHeight="1" x14ac:dyDescent="0.25">
      <c r="A15955" s="5" t="str">
        <f>"H0034380"</f>
        <v>H0034380</v>
      </c>
      <c r="B15955" s="5" t="str">
        <f t="shared" si="821"/>
        <v>INFUSOR DE LIQUIDOS. Soporta soluciones o bolsas de sangre. Capacidad 1000 mL. Manómetro escala mmHg. Pera bombeo</v>
      </c>
      <c r="C15955" s="6">
        <v>343367</v>
      </c>
      <c r="D15955" s="5" t="s">
        <v>193</v>
      </c>
      <c r="E15955" s="5" t="str">
        <f t="shared" si="819"/>
        <v>ACTISALUD - BODEGA - WILLIAM ZUÑIGA-DIEGO GARCIA</v>
      </c>
      <c r="F15955" s="5"/>
      <c r="G15955" s="5"/>
    </row>
    <row r="15956" spans="1:7" ht="58.5" customHeight="1" x14ac:dyDescent="0.25">
      <c r="A15956" s="5" t="str">
        <f>"H0034381"</f>
        <v>H0034381</v>
      </c>
      <c r="B15956" s="5" t="str">
        <f t="shared" si="821"/>
        <v>INFUSOR DE LIQUIDOS. Soporta soluciones o bolsas de sangre. Capacidad 1000 mL. Manómetro escala mmHg. Pera bombeo</v>
      </c>
      <c r="C15956" s="6">
        <v>343367</v>
      </c>
      <c r="D15956" s="5" t="s">
        <v>193</v>
      </c>
      <c r="E15956" s="5" t="str">
        <f t="shared" si="819"/>
        <v>ACTISALUD - BODEGA - WILLIAM ZUÑIGA-DIEGO GARCIA</v>
      </c>
      <c r="F15956" s="5"/>
      <c r="G15956" s="5"/>
    </row>
    <row r="15957" spans="1:7" ht="58.5" customHeight="1" x14ac:dyDescent="0.25">
      <c r="A15957" s="5" t="str">
        <f>"H0034382"</f>
        <v>H0034382</v>
      </c>
      <c r="B15957" s="5" t="str">
        <f t="shared" si="821"/>
        <v>INFUSOR DE LIQUIDOS. Soporta soluciones o bolsas de sangre. Capacidad 1000 mL. Manómetro escala mmHg. Pera bombeo</v>
      </c>
      <c r="C15957" s="6">
        <v>343367</v>
      </c>
      <c r="D15957" s="5" t="s">
        <v>193</v>
      </c>
      <c r="E15957" s="5" t="str">
        <f t="shared" si="819"/>
        <v>ACTISALUD - BODEGA - WILLIAM ZUÑIGA-DIEGO GARCIA</v>
      </c>
      <c r="F15957" s="5"/>
      <c r="G15957" s="5"/>
    </row>
    <row r="15958" spans="1:7" ht="58.5" customHeight="1" x14ac:dyDescent="0.25">
      <c r="A15958" s="5" t="str">
        <f>"H0034383"</f>
        <v>H0034383</v>
      </c>
      <c r="B15958" s="5" t="str">
        <f t="shared" si="821"/>
        <v>INFUSOR DE LIQUIDOS. Soporta soluciones o bolsas de sangre. Capacidad 1000 mL. Manómetro escala mmHg. Pera bombeo</v>
      </c>
      <c r="C15958" s="6">
        <v>343367</v>
      </c>
      <c r="D15958" s="5" t="s">
        <v>193</v>
      </c>
      <c r="E15958" s="5" t="str">
        <f t="shared" si="819"/>
        <v>ACTISALUD - BODEGA - WILLIAM ZUÑIGA-DIEGO GARCIA</v>
      </c>
      <c r="F15958" s="5"/>
      <c r="G15958" s="5"/>
    </row>
    <row r="15959" spans="1:7" ht="58.5" customHeight="1" x14ac:dyDescent="0.25">
      <c r="A15959" s="5" t="str">
        <f>"H0034384"</f>
        <v>H0034384</v>
      </c>
      <c r="B15959" s="5" t="str">
        <f t="shared" si="821"/>
        <v>INFUSOR DE LIQUIDOS. Soporta soluciones o bolsas de sangre. Capacidad 1000 mL. Manómetro escala mmHg. Pera bombeo</v>
      </c>
      <c r="C15959" s="6">
        <v>343367</v>
      </c>
      <c r="D15959" s="5" t="s">
        <v>193</v>
      </c>
      <c r="E15959" s="5" t="str">
        <f t="shared" si="819"/>
        <v>ACTISALUD - BODEGA - WILLIAM ZUÑIGA-DIEGO GARCIA</v>
      </c>
      <c r="F15959" s="5"/>
      <c r="G15959" s="5"/>
    </row>
    <row r="15960" spans="1:7" ht="58.5" customHeight="1" x14ac:dyDescent="0.25">
      <c r="A15960" s="5" t="str">
        <f>"H0034385"</f>
        <v>H0034385</v>
      </c>
      <c r="B15960" s="5" t="str">
        <f t="shared" si="821"/>
        <v>INFUSOR DE LIQUIDOS. Soporta soluciones o bolsas de sangre. Capacidad 1000 mL. Manómetro escala mmHg. Pera bombeo</v>
      </c>
      <c r="C15960" s="6">
        <v>343367</v>
      </c>
      <c r="D15960" s="5" t="s">
        <v>193</v>
      </c>
      <c r="E15960" s="5" t="str">
        <f t="shared" si="819"/>
        <v>ACTISALUD - BODEGA - WILLIAM ZUÑIGA-DIEGO GARCIA</v>
      </c>
      <c r="F15960" s="5"/>
      <c r="G15960" s="5"/>
    </row>
    <row r="15961" spans="1:7" ht="58.5" customHeight="1" x14ac:dyDescent="0.25">
      <c r="A15961" s="5" t="str">
        <f>"H0034387"</f>
        <v>H0034387</v>
      </c>
      <c r="B15961" s="5" t="str">
        <f t="shared" si="821"/>
        <v>INFUSOR DE LIQUIDOS. Soporta soluciones o bolsas de sangre. Capacidad 1000 mL. Manómetro escala mmHg. Pera bombeo</v>
      </c>
      <c r="C15961" s="6">
        <v>343367</v>
      </c>
      <c r="D15961" s="5" t="s">
        <v>193</v>
      </c>
      <c r="E15961" s="5" t="str">
        <f t="shared" si="819"/>
        <v>ACTISALUD - BODEGA - WILLIAM ZUÑIGA-DIEGO GARCIA</v>
      </c>
      <c r="F15961" s="5"/>
      <c r="G15961" s="5"/>
    </row>
    <row r="15962" spans="1:7" ht="58.5" customHeight="1" x14ac:dyDescent="0.25">
      <c r="A15962" s="5" t="str">
        <f>"H0034390"</f>
        <v>H0034390</v>
      </c>
      <c r="B15962" s="5" t="str">
        <f t="shared" si="821"/>
        <v>INFUSOR DE LIQUIDOS. Soporta soluciones o bolsas de sangre. Capacidad 1000 mL. Manómetro escala mmHg. Pera bombeo</v>
      </c>
      <c r="C15962" s="6">
        <v>343367</v>
      </c>
      <c r="D15962" s="5" t="s">
        <v>193</v>
      </c>
      <c r="E15962" s="5" t="str">
        <f t="shared" si="819"/>
        <v>ACTISALUD - BODEGA - WILLIAM ZUÑIGA-DIEGO GARCIA</v>
      </c>
      <c r="F15962" s="5"/>
      <c r="G15962" s="5"/>
    </row>
    <row r="15963" spans="1:7" ht="58.5" customHeight="1" x14ac:dyDescent="0.25">
      <c r="A15963" s="5" t="str">
        <f>"H0034391"</f>
        <v>H0034391</v>
      </c>
      <c r="B15963" s="5" t="str">
        <f t="shared" si="821"/>
        <v>INFUSOR DE LIQUIDOS. Soporta soluciones o bolsas de sangre. Capacidad 1000 mL. Manómetro escala mmHg. Pera bombeo</v>
      </c>
      <c r="C15963" s="6">
        <v>343367</v>
      </c>
      <c r="D15963" s="5" t="s">
        <v>193</v>
      </c>
      <c r="E15963" s="5" t="str">
        <f t="shared" si="819"/>
        <v>ACTISALUD - BODEGA - WILLIAM ZUÑIGA-DIEGO GARCIA</v>
      </c>
      <c r="F15963" s="5"/>
      <c r="G15963" s="5"/>
    </row>
    <row r="15964" spans="1:7" ht="58.5" customHeight="1" x14ac:dyDescent="0.25">
      <c r="A15964" s="5" t="str">
        <f>"H0034392"</f>
        <v>H0034392</v>
      </c>
      <c r="B15964" s="5" t="str">
        <f t="shared" si="821"/>
        <v>INFUSOR DE LIQUIDOS. Soporta soluciones o bolsas de sangre. Capacidad 1000 mL. Manómetro escala mmHg. Pera bombeo</v>
      </c>
      <c r="C15964" s="6">
        <v>343367</v>
      </c>
      <c r="D15964" s="5" t="s">
        <v>193</v>
      </c>
      <c r="E15964" s="5" t="str">
        <f t="shared" si="819"/>
        <v>ACTISALUD - BODEGA - WILLIAM ZUÑIGA-DIEGO GARCIA</v>
      </c>
      <c r="F15964" s="5"/>
      <c r="G15964" s="5"/>
    </row>
    <row r="15965" spans="1:7" ht="58.5" customHeight="1" x14ac:dyDescent="0.25">
      <c r="A15965" s="5" t="str">
        <f>"H0034393"</f>
        <v>H0034393</v>
      </c>
      <c r="B15965" s="5" t="str">
        <f t="shared" si="821"/>
        <v>INFUSOR DE LIQUIDOS. Soporta soluciones o bolsas de sangre. Capacidad 1000 mL. Manómetro escala mmHg. Pera bombeo</v>
      </c>
      <c r="C15965" s="6">
        <v>343367</v>
      </c>
      <c r="D15965" s="5" t="s">
        <v>193</v>
      </c>
      <c r="E15965" s="5" t="str">
        <f t="shared" si="819"/>
        <v>ACTISALUD - BODEGA - WILLIAM ZUÑIGA-DIEGO GARCIA</v>
      </c>
      <c r="F15965" s="5"/>
      <c r="G15965" s="5"/>
    </row>
    <row r="15966" spans="1:7" ht="58.5" customHeight="1" x14ac:dyDescent="0.25">
      <c r="A15966" s="5" t="str">
        <f>"H0034394"</f>
        <v>H0034394</v>
      </c>
      <c r="B15966" s="5" t="str">
        <f t="shared" si="821"/>
        <v>INFUSOR DE LIQUIDOS. Soporta soluciones o bolsas de sangre. Capacidad 1000 mL. Manómetro escala mmHg. Pera bombeo</v>
      </c>
      <c r="C15966" s="6">
        <v>343367</v>
      </c>
      <c r="D15966" s="5" t="s">
        <v>193</v>
      </c>
      <c r="E15966" s="5" t="str">
        <f t="shared" si="819"/>
        <v>ACTISALUD - BODEGA - WILLIAM ZUÑIGA-DIEGO GARCIA</v>
      </c>
      <c r="F15966" s="5"/>
      <c r="G15966" s="5"/>
    </row>
    <row r="15967" spans="1:7" ht="58.5" customHeight="1" x14ac:dyDescent="0.25">
      <c r="A15967" s="5" t="str">
        <f>"H0034395"</f>
        <v>H0034395</v>
      </c>
      <c r="B15967" s="5" t="str">
        <f t="shared" si="821"/>
        <v>INFUSOR DE LIQUIDOS. Soporta soluciones o bolsas de sangre. Capacidad 1000 mL. Manómetro escala mmHg. Pera bombeo</v>
      </c>
      <c r="C15967" s="6">
        <v>343367</v>
      </c>
      <c r="D15967" s="5" t="s">
        <v>193</v>
      </c>
      <c r="E15967" s="5" t="str">
        <f t="shared" si="819"/>
        <v>ACTISALUD - BODEGA - WILLIAM ZUÑIGA-DIEGO GARCIA</v>
      </c>
      <c r="F15967" s="5"/>
      <c r="G15967" s="5"/>
    </row>
    <row r="15968" spans="1:7" ht="58.5" customHeight="1" x14ac:dyDescent="0.25">
      <c r="A15968" s="5" t="str">
        <f>"H0034396"</f>
        <v>H0034396</v>
      </c>
      <c r="B15968" s="5" t="str">
        <f t="shared" si="821"/>
        <v>INFUSOR DE LIQUIDOS. Soporta soluciones o bolsas de sangre. Capacidad 1000 mL. Manómetro escala mmHg. Pera bombeo</v>
      </c>
      <c r="C15968" s="6">
        <v>343367</v>
      </c>
      <c r="D15968" s="5" t="s">
        <v>193</v>
      </c>
      <c r="E15968" s="5" t="str">
        <f t="shared" si="819"/>
        <v>ACTISALUD - BODEGA - WILLIAM ZUÑIGA-DIEGO GARCIA</v>
      </c>
      <c r="F15968" s="5"/>
      <c r="G15968" s="5"/>
    </row>
    <row r="15969" spans="1:7" ht="58.5" customHeight="1" x14ac:dyDescent="0.25">
      <c r="A15969" s="5" t="str">
        <f>"H0034397"</f>
        <v>H0034397</v>
      </c>
      <c r="B15969" s="5" t="str">
        <f t="shared" si="821"/>
        <v>INFUSOR DE LIQUIDOS. Soporta soluciones o bolsas de sangre. Capacidad 1000 mL. Manómetro escala mmHg. Pera bombeo</v>
      </c>
      <c r="C15969" s="6">
        <v>343367</v>
      </c>
      <c r="D15969" s="5" t="s">
        <v>193</v>
      </c>
      <c r="E15969" s="5" t="str">
        <f t="shared" si="819"/>
        <v>ACTISALUD - BODEGA - WILLIAM ZUÑIGA-DIEGO GARCIA</v>
      </c>
      <c r="F15969" s="5"/>
      <c r="G15969" s="5"/>
    </row>
    <row r="15970" spans="1:7" ht="58.5" customHeight="1" x14ac:dyDescent="0.25">
      <c r="A15970" s="5" t="str">
        <f>"H0034398"</f>
        <v>H0034398</v>
      </c>
      <c r="B15970" s="5" t="str">
        <f t="shared" si="821"/>
        <v>INFUSOR DE LIQUIDOS. Soporta soluciones o bolsas de sangre. Capacidad 1000 mL. Manómetro escala mmHg. Pera bombeo</v>
      </c>
      <c r="C15970" s="6">
        <v>343367</v>
      </c>
      <c r="D15970" s="5" t="s">
        <v>193</v>
      </c>
      <c r="E15970" s="5" t="str">
        <f t="shared" si="819"/>
        <v>ACTISALUD - BODEGA - WILLIAM ZUÑIGA-DIEGO GARCIA</v>
      </c>
      <c r="F15970" s="5"/>
      <c r="G15970" s="5"/>
    </row>
    <row r="15971" spans="1:7" ht="58.5" customHeight="1" x14ac:dyDescent="0.25">
      <c r="A15971" s="5" t="str">
        <f>"H0034399"</f>
        <v>H0034399</v>
      </c>
      <c r="B15971" s="5" t="str">
        <f t="shared" ref="B15971:B15999" si="822">"INFUSOR DE LIQUIDOS. Soporta soluciones o bolsas de sangre. Capacidad 1000 mL. Manómetro escala mmHg. Pera bombeo"</f>
        <v>INFUSOR DE LIQUIDOS. Soporta soluciones o bolsas de sangre. Capacidad 1000 mL. Manómetro escala mmHg. Pera bombeo</v>
      </c>
      <c r="C15971" s="6">
        <v>343367</v>
      </c>
      <c r="D15971" s="5" t="s">
        <v>193</v>
      </c>
      <c r="E15971" s="5" t="str">
        <f t="shared" si="819"/>
        <v>ACTISALUD - BODEGA - WILLIAM ZUÑIGA-DIEGO GARCIA</v>
      </c>
      <c r="F15971" s="5"/>
      <c r="G15971" s="5"/>
    </row>
    <row r="15972" spans="1:7" ht="58.5" customHeight="1" x14ac:dyDescent="0.25">
      <c r="A15972" s="5" t="str">
        <f>"H0034400"</f>
        <v>H0034400</v>
      </c>
      <c r="B15972" s="5" t="str">
        <f t="shared" si="822"/>
        <v>INFUSOR DE LIQUIDOS. Soporta soluciones o bolsas de sangre. Capacidad 1000 mL. Manómetro escala mmHg. Pera bombeo</v>
      </c>
      <c r="C15972" s="6">
        <v>343367</v>
      </c>
      <c r="D15972" s="5" t="s">
        <v>193</v>
      </c>
      <c r="E15972" s="5" t="str">
        <f t="shared" si="819"/>
        <v>ACTISALUD - BODEGA - WILLIAM ZUÑIGA-DIEGO GARCIA</v>
      </c>
      <c r="F15972" s="5"/>
      <c r="G15972" s="5"/>
    </row>
    <row r="15973" spans="1:7" ht="58.5" customHeight="1" x14ac:dyDescent="0.25">
      <c r="A15973" s="5" t="str">
        <f>"H0034401"</f>
        <v>H0034401</v>
      </c>
      <c r="B15973" s="5" t="str">
        <f t="shared" si="822"/>
        <v>INFUSOR DE LIQUIDOS. Soporta soluciones o bolsas de sangre. Capacidad 1000 mL. Manómetro escala mmHg. Pera bombeo</v>
      </c>
      <c r="C15973" s="6">
        <v>343367</v>
      </c>
      <c r="D15973" s="5" t="s">
        <v>193</v>
      </c>
      <c r="E15973" s="5" t="str">
        <f t="shared" ref="E15973:E16036" si="823">"ACTISALUD - BODEGA - WILLIAM ZUÑIGA-DIEGO GARCIA"</f>
        <v>ACTISALUD - BODEGA - WILLIAM ZUÑIGA-DIEGO GARCIA</v>
      </c>
      <c r="F15973" s="5"/>
      <c r="G15973" s="5"/>
    </row>
    <row r="15974" spans="1:7" ht="58.5" customHeight="1" x14ac:dyDescent="0.25">
      <c r="A15974" s="5" t="str">
        <f>"H0034402"</f>
        <v>H0034402</v>
      </c>
      <c r="B15974" s="5" t="str">
        <f t="shared" si="822"/>
        <v>INFUSOR DE LIQUIDOS. Soporta soluciones o bolsas de sangre. Capacidad 1000 mL. Manómetro escala mmHg. Pera bombeo</v>
      </c>
      <c r="C15974" s="6">
        <v>343367</v>
      </c>
      <c r="D15974" s="5" t="s">
        <v>193</v>
      </c>
      <c r="E15974" s="5" t="str">
        <f t="shared" si="823"/>
        <v>ACTISALUD - BODEGA - WILLIAM ZUÑIGA-DIEGO GARCIA</v>
      </c>
      <c r="F15974" s="5"/>
      <c r="G15974" s="5"/>
    </row>
    <row r="15975" spans="1:7" ht="58.5" customHeight="1" x14ac:dyDescent="0.25">
      <c r="A15975" s="5" t="str">
        <f>"H0034403"</f>
        <v>H0034403</v>
      </c>
      <c r="B15975" s="5" t="str">
        <f t="shared" si="822"/>
        <v>INFUSOR DE LIQUIDOS. Soporta soluciones o bolsas de sangre. Capacidad 1000 mL. Manómetro escala mmHg. Pera bombeo</v>
      </c>
      <c r="C15975" s="6">
        <v>343367</v>
      </c>
      <c r="D15975" s="5" t="s">
        <v>193</v>
      </c>
      <c r="E15975" s="5" t="str">
        <f t="shared" si="823"/>
        <v>ACTISALUD - BODEGA - WILLIAM ZUÑIGA-DIEGO GARCIA</v>
      </c>
      <c r="F15975" s="5"/>
      <c r="G15975" s="5"/>
    </row>
    <row r="15976" spans="1:7" ht="58.5" customHeight="1" x14ac:dyDescent="0.25">
      <c r="A15976" s="5" t="str">
        <f>"H0034404"</f>
        <v>H0034404</v>
      </c>
      <c r="B15976" s="5" t="str">
        <f t="shared" si="822"/>
        <v>INFUSOR DE LIQUIDOS. Soporta soluciones o bolsas de sangre. Capacidad 1000 mL. Manómetro escala mmHg. Pera bombeo</v>
      </c>
      <c r="C15976" s="6">
        <v>343367</v>
      </c>
      <c r="D15976" s="5" t="s">
        <v>193</v>
      </c>
      <c r="E15976" s="5" t="str">
        <f t="shared" si="823"/>
        <v>ACTISALUD - BODEGA - WILLIAM ZUÑIGA-DIEGO GARCIA</v>
      </c>
      <c r="F15976" s="5"/>
      <c r="G15976" s="5"/>
    </row>
    <row r="15977" spans="1:7" ht="58.5" customHeight="1" x14ac:dyDescent="0.25">
      <c r="A15977" s="5" t="str">
        <f>"H0034405"</f>
        <v>H0034405</v>
      </c>
      <c r="B15977" s="5" t="str">
        <f t="shared" si="822"/>
        <v>INFUSOR DE LIQUIDOS. Soporta soluciones o bolsas de sangre. Capacidad 1000 mL. Manómetro escala mmHg. Pera bombeo</v>
      </c>
      <c r="C15977" s="6">
        <v>343367</v>
      </c>
      <c r="D15977" s="5" t="s">
        <v>193</v>
      </c>
      <c r="E15977" s="5" t="str">
        <f t="shared" si="823"/>
        <v>ACTISALUD - BODEGA - WILLIAM ZUÑIGA-DIEGO GARCIA</v>
      </c>
      <c r="F15977" s="5"/>
      <c r="G15977" s="5"/>
    </row>
    <row r="15978" spans="1:7" ht="58.5" customHeight="1" x14ac:dyDescent="0.25">
      <c r="A15978" s="5" t="str">
        <f>"H0034406"</f>
        <v>H0034406</v>
      </c>
      <c r="B15978" s="5" t="str">
        <f t="shared" si="822"/>
        <v>INFUSOR DE LIQUIDOS. Soporta soluciones o bolsas de sangre. Capacidad 1000 mL. Manómetro escala mmHg. Pera bombeo</v>
      </c>
      <c r="C15978" s="6">
        <v>343367</v>
      </c>
      <c r="D15978" s="5" t="s">
        <v>193</v>
      </c>
      <c r="E15978" s="5" t="str">
        <f t="shared" si="823"/>
        <v>ACTISALUD - BODEGA - WILLIAM ZUÑIGA-DIEGO GARCIA</v>
      </c>
      <c r="F15978" s="5"/>
      <c r="G15978" s="5"/>
    </row>
    <row r="15979" spans="1:7" ht="58.5" customHeight="1" x14ac:dyDescent="0.25">
      <c r="A15979" s="5" t="str">
        <f>"H0034407"</f>
        <v>H0034407</v>
      </c>
      <c r="B15979" s="5" t="str">
        <f t="shared" si="822"/>
        <v>INFUSOR DE LIQUIDOS. Soporta soluciones o bolsas de sangre. Capacidad 1000 mL. Manómetro escala mmHg. Pera bombeo</v>
      </c>
      <c r="C15979" s="6">
        <v>343367</v>
      </c>
      <c r="D15979" s="5" t="s">
        <v>193</v>
      </c>
      <c r="E15979" s="5" t="str">
        <f t="shared" si="823"/>
        <v>ACTISALUD - BODEGA - WILLIAM ZUÑIGA-DIEGO GARCIA</v>
      </c>
      <c r="F15979" s="5"/>
      <c r="G15979" s="5"/>
    </row>
    <row r="15980" spans="1:7" ht="58.5" customHeight="1" x14ac:dyDescent="0.25">
      <c r="A15980" s="5" t="str">
        <f>"H0034408"</f>
        <v>H0034408</v>
      </c>
      <c r="B15980" s="5" t="str">
        <f t="shared" si="822"/>
        <v>INFUSOR DE LIQUIDOS. Soporta soluciones o bolsas de sangre. Capacidad 1000 mL. Manómetro escala mmHg. Pera bombeo</v>
      </c>
      <c r="C15980" s="6">
        <v>343367</v>
      </c>
      <c r="D15980" s="5" t="s">
        <v>193</v>
      </c>
      <c r="E15980" s="5" t="str">
        <f t="shared" si="823"/>
        <v>ACTISALUD - BODEGA - WILLIAM ZUÑIGA-DIEGO GARCIA</v>
      </c>
      <c r="F15980" s="5"/>
      <c r="G15980" s="5"/>
    </row>
    <row r="15981" spans="1:7" ht="58.5" customHeight="1" x14ac:dyDescent="0.25">
      <c r="A15981" s="5" t="str">
        <f>"H0034409"</f>
        <v>H0034409</v>
      </c>
      <c r="B15981" s="5" t="str">
        <f t="shared" si="822"/>
        <v>INFUSOR DE LIQUIDOS. Soporta soluciones o bolsas de sangre. Capacidad 1000 mL. Manómetro escala mmHg. Pera bombeo</v>
      </c>
      <c r="C15981" s="6">
        <v>343367</v>
      </c>
      <c r="D15981" s="5" t="s">
        <v>193</v>
      </c>
      <c r="E15981" s="5" t="str">
        <f t="shared" si="823"/>
        <v>ACTISALUD - BODEGA - WILLIAM ZUÑIGA-DIEGO GARCIA</v>
      </c>
      <c r="F15981" s="5"/>
      <c r="G15981" s="5"/>
    </row>
    <row r="15982" spans="1:7" ht="58.5" customHeight="1" x14ac:dyDescent="0.25">
      <c r="A15982" s="5" t="str">
        <f>"H0034410"</f>
        <v>H0034410</v>
      </c>
      <c r="B15982" s="5" t="str">
        <f t="shared" si="822"/>
        <v>INFUSOR DE LIQUIDOS. Soporta soluciones o bolsas de sangre. Capacidad 1000 mL. Manómetro escala mmHg. Pera bombeo</v>
      </c>
      <c r="C15982" s="6">
        <v>343367</v>
      </c>
      <c r="D15982" s="5" t="s">
        <v>193</v>
      </c>
      <c r="E15982" s="5" t="str">
        <f t="shared" si="823"/>
        <v>ACTISALUD - BODEGA - WILLIAM ZUÑIGA-DIEGO GARCIA</v>
      </c>
      <c r="F15982" s="5"/>
      <c r="G15982" s="5"/>
    </row>
    <row r="15983" spans="1:7" ht="58.5" customHeight="1" x14ac:dyDescent="0.25">
      <c r="A15983" s="5" t="str">
        <f>"H0034411"</f>
        <v>H0034411</v>
      </c>
      <c r="B15983" s="5" t="str">
        <f t="shared" si="822"/>
        <v>INFUSOR DE LIQUIDOS. Soporta soluciones o bolsas de sangre. Capacidad 1000 mL. Manómetro escala mmHg. Pera bombeo</v>
      </c>
      <c r="C15983" s="6">
        <v>343367</v>
      </c>
      <c r="D15983" s="5" t="s">
        <v>193</v>
      </c>
      <c r="E15983" s="5" t="str">
        <f t="shared" si="823"/>
        <v>ACTISALUD - BODEGA - WILLIAM ZUÑIGA-DIEGO GARCIA</v>
      </c>
      <c r="F15983" s="5"/>
      <c r="G15983" s="5"/>
    </row>
    <row r="15984" spans="1:7" ht="58.5" customHeight="1" x14ac:dyDescent="0.25">
      <c r="A15984" s="5" t="str">
        <f>"H0034412"</f>
        <v>H0034412</v>
      </c>
      <c r="B15984" s="5" t="str">
        <f t="shared" si="822"/>
        <v>INFUSOR DE LIQUIDOS. Soporta soluciones o bolsas de sangre. Capacidad 1000 mL. Manómetro escala mmHg. Pera bombeo</v>
      </c>
      <c r="C15984" s="6">
        <v>343367</v>
      </c>
      <c r="D15984" s="5" t="s">
        <v>193</v>
      </c>
      <c r="E15984" s="5" t="str">
        <f t="shared" si="823"/>
        <v>ACTISALUD - BODEGA - WILLIAM ZUÑIGA-DIEGO GARCIA</v>
      </c>
      <c r="F15984" s="5"/>
      <c r="G15984" s="5"/>
    </row>
    <row r="15985" spans="1:7" ht="58.5" customHeight="1" x14ac:dyDescent="0.25">
      <c r="A15985" s="5" t="str">
        <f>"H0034414"</f>
        <v>H0034414</v>
      </c>
      <c r="B15985" s="5" t="str">
        <f t="shared" si="822"/>
        <v>INFUSOR DE LIQUIDOS. Soporta soluciones o bolsas de sangre. Capacidad 1000 mL. Manómetro escala mmHg. Pera bombeo</v>
      </c>
      <c r="C15985" s="6">
        <v>343367</v>
      </c>
      <c r="D15985" s="5" t="s">
        <v>193</v>
      </c>
      <c r="E15985" s="5" t="str">
        <f t="shared" si="823"/>
        <v>ACTISALUD - BODEGA - WILLIAM ZUÑIGA-DIEGO GARCIA</v>
      </c>
      <c r="F15985" s="5"/>
      <c r="G15985" s="5"/>
    </row>
    <row r="15986" spans="1:7" ht="58.5" customHeight="1" x14ac:dyDescent="0.25">
      <c r="A15986" s="5" t="str">
        <f>"H0034415"</f>
        <v>H0034415</v>
      </c>
      <c r="B15986" s="5" t="str">
        <f t="shared" si="822"/>
        <v>INFUSOR DE LIQUIDOS. Soporta soluciones o bolsas de sangre. Capacidad 1000 mL. Manómetro escala mmHg. Pera bombeo</v>
      </c>
      <c r="C15986" s="6">
        <v>343367</v>
      </c>
      <c r="D15986" s="5" t="s">
        <v>193</v>
      </c>
      <c r="E15986" s="5" t="str">
        <f t="shared" si="823"/>
        <v>ACTISALUD - BODEGA - WILLIAM ZUÑIGA-DIEGO GARCIA</v>
      </c>
      <c r="F15986" s="5"/>
      <c r="G15986" s="5"/>
    </row>
    <row r="15987" spans="1:7" ht="58.5" customHeight="1" x14ac:dyDescent="0.25">
      <c r="A15987" s="5" t="str">
        <f>"H0034416"</f>
        <v>H0034416</v>
      </c>
      <c r="B15987" s="5" t="str">
        <f t="shared" si="822"/>
        <v>INFUSOR DE LIQUIDOS. Soporta soluciones o bolsas de sangre. Capacidad 1000 mL. Manómetro escala mmHg. Pera bombeo</v>
      </c>
      <c r="C15987" s="6">
        <v>343367</v>
      </c>
      <c r="D15987" s="5" t="s">
        <v>193</v>
      </c>
      <c r="E15987" s="5" t="str">
        <f t="shared" si="823"/>
        <v>ACTISALUD - BODEGA - WILLIAM ZUÑIGA-DIEGO GARCIA</v>
      </c>
      <c r="F15987" s="5"/>
      <c r="G15987" s="5"/>
    </row>
    <row r="15988" spans="1:7" ht="58.5" customHeight="1" x14ac:dyDescent="0.25">
      <c r="A15988" s="5" t="str">
        <f>"H0034417"</f>
        <v>H0034417</v>
      </c>
      <c r="B15988" s="5" t="str">
        <f t="shared" si="822"/>
        <v>INFUSOR DE LIQUIDOS. Soporta soluciones o bolsas de sangre. Capacidad 1000 mL. Manómetro escala mmHg. Pera bombeo</v>
      </c>
      <c r="C15988" s="6">
        <v>343367</v>
      </c>
      <c r="D15988" s="5" t="s">
        <v>193</v>
      </c>
      <c r="E15988" s="5" t="str">
        <f t="shared" si="823"/>
        <v>ACTISALUD - BODEGA - WILLIAM ZUÑIGA-DIEGO GARCIA</v>
      </c>
      <c r="F15988" s="5"/>
      <c r="G15988" s="5"/>
    </row>
    <row r="15989" spans="1:7" ht="58.5" customHeight="1" x14ac:dyDescent="0.25">
      <c r="A15989" s="5" t="str">
        <f>"H0034418"</f>
        <v>H0034418</v>
      </c>
      <c r="B15989" s="5" t="str">
        <f t="shared" si="822"/>
        <v>INFUSOR DE LIQUIDOS. Soporta soluciones o bolsas de sangre. Capacidad 1000 mL. Manómetro escala mmHg. Pera bombeo</v>
      </c>
      <c r="C15989" s="6">
        <v>343367</v>
      </c>
      <c r="D15989" s="5" t="s">
        <v>193</v>
      </c>
      <c r="E15989" s="5" t="str">
        <f t="shared" si="823"/>
        <v>ACTISALUD - BODEGA - WILLIAM ZUÑIGA-DIEGO GARCIA</v>
      </c>
      <c r="F15989" s="5"/>
      <c r="G15989" s="5"/>
    </row>
    <row r="15990" spans="1:7" ht="58.5" customHeight="1" x14ac:dyDescent="0.25">
      <c r="A15990" s="5" t="str">
        <f>"H0034419"</f>
        <v>H0034419</v>
      </c>
      <c r="B15990" s="5" t="str">
        <f t="shared" si="822"/>
        <v>INFUSOR DE LIQUIDOS. Soporta soluciones o bolsas de sangre. Capacidad 1000 mL. Manómetro escala mmHg. Pera bombeo</v>
      </c>
      <c r="C15990" s="6">
        <v>343367</v>
      </c>
      <c r="D15990" s="5" t="s">
        <v>193</v>
      </c>
      <c r="E15990" s="5" t="str">
        <f t="shared" si="823"/>
        <v>ACTISALUD - BODEGA - WILLIAM ZUÑIGA-DIEGO GARCIA</v>
      </c>
      <c r="F15990" s="5"/>
      <c r="G15990" s="5"/>
    </row>
    <row r="15991" spans="1:7" ht="58.5" customHeight="1" x14ac:dyDescent="0.25">
      <c r="A15991" s="5" t="str">
        <f>"H0034420"</f>
        <v>H0034420</v>
      </c>
      <c r="B15991" s="5" t="str">
        <f t="shared" si="822"/>
        <v>INFUSOR DE LIQUIDOS. Soporta soluciones o bolsas de sangre. Capacidad 1000 mL. Manómetro escala mmHg. Pera bombeo</v>
      </c>
      <c r="C15991" s="6">
        <v>343367</v>
      </c>
      <c r="D15991" s="5" t="s">
        <v>193</v>
      </c>
      <c r="E15991" s="5" t="str">
        <f t="shared" si="823"/>
        <v>ACTISALUD - BODEGA - WILLIAM ZUÑIGA-DIEGO GARCIA</v>
      </c>
      <c r="F15991" s="5"/>
      <c r="G15991" s="5"/>
    </row>
    <row r="15992" spans="1:7" ht="58.5" customHeight="1" x14ac:dyDescent="0.25">
      <c r="A15992" s="5" t="str">
        <f>"H0034421"</f>
        <v>H0034421</v>
      </c>
      <c r="B15992" s="5" t="str">
        <f t="shared" si="822"/>
        <v>INFUSOR DE LIQUIDOS. Soporta soluciones o bolsas de sangre. Capacidad 1000 mL. Manómetro escala mmHg. Pera bombeo</v>
      </c>
      <c r="C15992" s="6">
        <v>343367</v>
      </c>
      <c r="D15992" s="5" t="s">
        <v>193</v>
      </c>
      <c r="E15992" s="5" t="str">
        <f t="shared" si="823"/>
        <v>ACTISALUD - BODEGA - WILLIAM ZUÑIGA-DIEGO GARCIA</v>
      </c>
      <c r="F15992" s="5"/>
      <c r="G15992" s="5"/>
    </row>
    <row r="15993" spans="1:7" ht="58.5" customHeight="1" x14ac:dyDescent="0.25">
      <c r="A15993" s="5" t="str">
        <f>"H0034422"</f>
        <v>H0034422</v>
      </c>
      <c r="B15993" s="5" t="str">
        <f t="shared" si="822"/>
        <v>INFUSOR DE LIQUIDOS. Soporta soluciones o bolsas de sangre. Capacidad 1000 mL. Manómetro escala mmHg. Pera bombeo</v>
      </c>
      <c r="C15993" s="6">
        <v>343367</v>
      </c>
      <c r="D15993" s="5" t="s">
        <v>193</v>
      </c>
      <c r="E15993" s="5" t="str">
        <f t="shared" si="823"/>
        <v>ACTISALUD - BODEGA - WILLIAM ZUÑIGA-DIEGO GARCIA</v>
      </c>
      <c r="F15993" s="5"/>
      <c r="G15993" s="5"/>
    </row>
    <row r="15994" spans="1:7" ht="58.5" customHeight="1" x14ac:dyDescent="0.25">
      <c r="A15994" s="5" t="str">
        <f>"H0034423"</f>
        <v>H0034423</v>
      </c>
      <c r="B15994" s="5" t="str">
        <f t="shared" si="822"/>
        <v>INFUSOR DE LIQUIDOS. Soporta soluciones o bolsas de sangre. Capacidad 1000 mL. Manómetro escala mmHg. Pera bombeo</v>
      </c>
      <c r="C15994" s="6">
        <v>343367</v>
      </c>
      <c r="D15994" s="5" t="s">
        <v>193</v>
      </c>
      <c r="E15994" s="5" t="str">
        <f t="shared" si="823"/>
        <v>ACTISALUD - BODEGA - WILLIAM ZUÑIGA-DIEGO GARCIA</v>
      </c>
      <c r="F15994" s="5"/>
      <c r="G15994" s="5"/>
    </row>
    <row r="15995" spans="1:7" ht="58.5" customHeight="1" x14ac:dyDescent="0.25">
      <c r="A15995" s="5" t="str">
        <f>"H0034424"</f>
        <v>H0034424</v>
      </c>
      <c r="B15995" s="5" t="str">
        <f t="shared" si="822"/>
        <v>INFUSOR DE LIQUIDOS. Soporta soluciones o bolsas de sangre. Capacidad 1000 mL. Manómetro escala mmHg. Pera bombeo</v>
      </c>
      <c r="C15995" s="6">
        <v>343367</v>
      </c>
      <c r="D15995" s="5" t="s">
        <v>193</v>
      </c>
      <c r="E15995" s="5" t="str">
        <f t="shared" si="823"/>
        <v>ACTISALUD - BODEGA - WILLIAM ZUÑIGA-DIEGO GARCIA</v>
      </c>
      <c r="F15995" s="5"/>
      <c r="G15995" s="5"/>
    </row>
    <row r="15996" spans="1:7" ht="58.5" customHeight="1" x14ac:dyDescent="0.25">
      <c r="A15996" s="5" t="str">
        <f>"H0034425"</f>
        <v>H0034425</v>
      </c>
      <c r="B15996" s="5" t="str">
        <f t="shared" si="822"/>
        <v>INFUSOR DE LIQUIDOS. Soporta soluciones o bolsas de sangre. Capacidad 1000 mL. Manómetro escala mmHg. Pera bombeo</v>
      </c>
      <c r="C15996" s="6">
        <v>343367</v>
      </c>
      <c r="D15996" s="5" t="s">
        <v>193</v>
      </c>
      <c r="E15996" s="5" t="str">
        <f t="shared" si="823"/>
        <v>ACTISALUD - BODEGA - WILLIAM ZUÑIGA-DIEGO GARCIA</v>
      </c>
      <c r="F15996" s="5"/>
      <c r="G15996" s="5"/>
    </row>
    <row r="15997" spans="1:7" ht="58.5" customHeight="1" x14ac:dyDescent="0.25">
      <c r="A15997" s="5" t="str">
        <f>"H0034426"</f>
        <v>H0034426</v>
      </c>
      <c r="B15997" s="5" t="str">
        <f t="shared" si="822"/>
        <v>INFUSOR DE LIQUIDOS. Soporta soluciones o bolsas de sangre. Capacidad 1000 mL. Manómetro escala mmHg. Pera bombeo</v>
      </c>
      <c r="C15997" s="6">
        <v>343367</v>
      </c>
      <c r="D15997" s="5" t="s">
        <v>193</v>
      </c>
      <c r="E15997" s="5" t="str">
        <f t="shared" si="823"/>
        <v>ACTISALUD - BODEGA - WILLIAM ZUÑIGA-DIEGO GARCIA</v>
      </c>
      <c r="F15997" s="5"/>
      <c r="G15997" s="5"/>
    </row>
    <row r="15998" spans="1:7" ht="58.5" customHeight="1" x14ac:dyDescent="0.25">
      <c r="A15998" s="5" t="str">
        <f>"H0034427"</f>
        <v>H0034427</v>
      </c>
      <c r="B15998" s="5" t="str">
        <f t="shared" si="822"/>
        <v>INFUSOR DE LIQUIDOS. Soporta soluciones o bolsas de sangre. Capacidad 1000 mL. Manómetro escala mmHg. Pera bombeo</v>
      </c>
      <c r="C15998" s="6">
        <v>343367</v>
      </c>
      <c r="D15998" s="5" t="s">
        <v>193</v>
      </c>
      <c r="E15998" s="5" t="str">
        <f t="shared" si="823"/>
        <v>ACTISALUD - BODEGA - WILLIAM ZUÑIGA-DIEGO GARCIA</v>
      </c>
      <c r="F15998" s="5"/>
      <c r="G15998" s="5"/>
    </row>
    <row r="15999" spans="1:7" ht="58.5" customHeight="1" x14ac:dyDescent="0.25">
      <c r="A15999" s="5" t="str">
        <f>"H0034428"</f>
        <v>H0034428</v>
      </c>
      <c r="B15999" s="5" t="str">
        <f t="shared" si="822"/>
        <v>INFUSOR DE LIQUIDOS. Soporta soluciones o bolsas de sangre. Capacidad 1000 mL. Manómetro escala mmHg. Pera bombeo</v>
      </c>
      <c r="C15999" s="6">
        <v>343367</v>
      </c>
      <c r="D15999" s="5" t="s">
        <v>193</v>
      </c>
      <c r="E15999" s="5" t="str">
        <f t="shared" si="823"/>
        <v>ACTISALUD - BODEGA - WILLIAM ZUÑIGA-DIEGO GARCIA</v>
      </c>
      <c r="F15999" s="5"/>
      <c r="G15999" s="5"/>
    </row>
    <row r="16000" spans="1:7" ht="58.5" customHeight="1" x14ac:dyDescent="0.25">
      <c r="A16000" s="5" t="str">
        <f>"H0034721"</f>
        <v>H0034721</v>
      </c>
      <c r="B16000" s="5" t="str">
        <f>"BOMBA DE NUTRICION (DONACION)"</f>
        <v>BOMBA DE NUTRICION (DONACION)</v>
      </c>
      <c r="C16000" s="6">
        <v>5850000</v>
      </c>
      <c r="D16000" s="5" t="s">
        <v>124</v>
      </c>
      <c r="E16000" s="5" t="str">
        <f t="shared" si="823"/>
        <v>ACTISALUD - BODEGA - WILLIAM ZUÑIGA-DIEGO GARCIA</v>
      </c>
      <c r="F16000" s="5"/>
      <c r="G16000" s="5"/>
    </row>
    <row r="16001" spans="1:7" ht="58.5" customHeight="1" x14ac:dyDescent="0.25">
      <c r="A16001" s="5" t="str">
        <f>"H0034745"</f>
        <v>H0034745</v>
      </c>
      <c r="B16001" s="5" t="str">
        <f>"ELECTROCARDIOGRAFO (DONACION)"</f>
        <v>ELECTROCARDIOGRAFO (DONACION)</v>
      </c>
      <c r="C16001" s="6">
        <v>5300000</v>
      </c>
      <c r="D16001" s="5" t="s">
        <v>123</v>
      </c>
      <c r="E16001" s="5" t="str">
        <f t="shared" si="823"/>
        <v>ACTISALUD - BODEGA - WILLIAM ZUÑIGA-DIEGO GARCIA</v>
      </c>
      <c r="F16001" s="5"/>
      <c r="G16001" s="5"/>
    </row>
    <row r="16002" spans="1:7" ht="58.5" customHeight="1" x14ac:dyDescent="0.25">
      <c r="A16002" s="5" t="str">
        <f>"H0035002"</f>
        <v>H0035002</v>
      </c>
      <c r="B16002" s="5" t="str">
        <f>"NVR 32CH SIN POE 8MP 4BAHIA/6TBH H265+ 30FPS HDMI/VGA METAL PRO HIKVISION 2 DISCO DURO 8TB 3.5 5400RPM SATA WD 6GB/S 256MB  COMPATIBLES CON CCTV"</f>
        <v>NVR 32CH SIN POE 8MP 4BAHIA/6TBH H265+ 30FPS HDMI/VGA METAL PRO HIKVISION 2 DISCO DURO 8TB 3.5 5400RPM SATA WD 6GB/S 256MB  COMPATIBLES CON CCTV</v>
      </c>
      <c r="C16002" s="6">
        <v>5515650</v>
      </c>
      <c r="D16002" s="5" t="s">
        <v>22</v>
      </c>
      <c r="E16002" s="5" t="str">
        <f t="shared" si="823"/>
        <v>ACTISALUD - BODEGA - WILLIAM ZUÑIGA-DIEGO GARCIA</v>
      </c>
      <c r="F16002" s="5"/>
      <c r="G16002" s="5"/>
    </row>
    <row r="16003" spans="1:7" ht="58.5" customHeight="1" x14ac:dyDescent="0.25">
      <c r="A16003" s="5" t="str">
        <f>"H0035263"</f>
        <v>H0035263</v>
      </c>
      <c r="B16003" s="5" t="str">
        <f>"MONITOR FETAL (DONACION)"</f>
        <v>MONITOR FETAL (DONACION)</v>
      </c>
      <c r="C16003" s="6">
        <v>48690000</v>
      </c>
      <c r="D16003" s="5" t="s">
        <v>279</v>
      </c>
      <c r="E16003" s="5" t="str">
        <f t="shared" si="823"/>
        <v>ACTISALUD - BODEGA - WILLIAM ZUÑIGA-DIEGO GARCIA</v>
      </c>
      <c r="F16003" s="5"/>
      <c r="G16003" s="5"/>
    </row>
    <row r="16004" spans="1:7" ht="58.5" customHeight="1" x14ac:dyDescent="0.25">
      <c r="A16004" s="5" t="str">
        <f>"H0035264"</f>
        <v>H0035264</v>
      </c>
      <c r="B16004" s="5" t="str">
        <f>"MONITOR FETAL (DONACION)"</f>
        <v>MONITOR FETAL (DONACION)</v>
      </c>
      <c r="C16004" s="6">
        <v>48690000</v>
      </c>
      <c r="D16004" s="5" t="s">
        <v>279</v>
      </c>
      <c r="E16004" s="5" t="str">
        <f t="shared" si="823"/>
        <v>ACTISALUD - BODEGA - WILLIAM ZUÑIGA-DIEGO GARCIA</v>
      </c>
      <c r="F16004" s="5"/>
      <c r="G16004" s="5"/>
    </row>
    <row r="16005" spans="1:7" ht="58.5" customHeight="1" x14ac:dyDescent="0.25">
      <c r="A16005" s="5" t="str">
        <f>"H0035265"</f>
        <v>H0035265</v>
      </c>
      <c r="B16005" s="5" t="str">
        <f>"MONITOR FETAL (DONACION)"</f>
        <v>MONITOR FETAL (DONACION)</v>
      </c>
      <c r="C16005" s="6">
        <v>48690000</v>
      </c>
      <c r="D16005" s="5" t="s">
        <v>279</v>
      </c>
      <c r="E16005" s="5" t="str">
        <f t="shared" si="823"/>
        <v>ACTISALUD - BODEGA - WILLIAM ZUÑIGA-DIEGO GARCIA</v>
      </c>
      <c r="F16005" s="5"/>
      <c r="G16005" s="5"/>
    </row>
    <row r="16006" spans="1:7" ht="58.5" customHeight="1" x14ac:dyDescent="0.25">
      <c r="A16006" s="5" t="str">
        <f>"H0035266"</f>
        <v>H0035266</v>
      </c>
      <c r="B16006" s="5" t="str">
        <f>"MONITOR FETAL (DONACION)"</f>
        <v>MONITOR FETAL (DONACION)</v>
      </c>
      <c r="C16006" s="6">
        <v>48690000</v>
      </c>
      <c r="D16006" s="5" t="s">
        <v>279</v>
      </c>
      <c r="E16006" s="5" t="str">
        <f t="shared" si="823"/>
        <v>ACTISALUD - BODEGA - WILLIAM ZUÑIGA-DIEGO GARCIA</v>
      </c>
      <c r="F16006" s="5"/>
      <c r="G16006" s="5"/>
    </row>
    <row r="16007" spans="1:7" ht="58.5" customHeight="1" x14ac:dyDescent="0.25">
      <c r="A16007" s="5" t="str">
        <f>"H0035351"</f>
        <v>H0035351</v>
      </c>
      <c r="B16007" s="5" t="str">
        <f>"NVR 32ch sin poe 8mp 4bahia/6tbh h265+ 30fps hdmi/vga metal pro hikvision 2 disco duro 8tb 3.5 5400rpm sata wd 6gb/s 256mb  compatibles con cctv"</f>
        <v>NVR 32ch sin poe 8mp 4bahia/6tbh h265+ 30fps hdmi/vga metal pro hikvision 2 disco duro 8tb 3.5 5400rpm sata wd 6gb/s 256mb  compatibles con cctv</v>
      </c>
      <c r="C16007" s="6">
        <v>5515650</v>
      </c>
      <c r="D16007" s="5" t="s">
        <v>127</v>
      </c>
      <c r="E16007" s="5" t="str">
        <f t="shared" si="823"/>
        <v>ACTISALUD - BODEGA - WILLIAM ZUÑIGA-DIEGO GARCIA</v>
      </c>
      <c r="F16007" s="5"/>
      <c r="G16007" s="5"/>
    </row>
    <row r="16008" spans="1:7" ht="58.5" customHeight="1" x14ac:dyDescent="0.25">
      <c r="A16008" s="5" t="str">
        <f>"H0035352"</f>
        <v>H0035352</v>
      </c>
      <c r="B16008" s="5" t="str">
        <f>"NVR 32ch sin poe 8mp 4bahia/6tbh h265+ 30fps hdmi/vga metal pro hikvision 2 disco duro 8tb 3.5 5400rpm sata wd 6gb/s 256mb  compatibles con cctv"</f>
        <v>NVR 32ch sin poe 8mp 4bahia/6tbh h265+ 30fps hdmi/vga metal pro hikvision 2 disco duro 8tb 3.5 5400rpm sata wd 6gb/s 256mb  compatibles con cctv</v>
      </c>
      <c r="C16008" s="6">
        <v>5515650</v>
      </c>
      <c r="D16008" s="5" t="s">
        <v>127</v>
      </c>
      <c r="E16008" s="5" t="str">
        <f t="shared" si="823"/>
        <v>ACTISALUD - BODEGA - WILLIAM ZUÑIGA-DIEGO GARCIA</v>
      </c>
      <c r="F16008" s="5"/>
      <c r="G16008" s="5"/>
    </row>
    <row r="16009" spans="1:7" ht="58.5" customHeight="1" x14ac:dyDescent="0.25">
      <c r="A16009" s="5" t="str">
        <f>"H0035435"</f>
        <v>H0035435</v>
      </c>
      <c r="B16009" s="5" t="str">
        <f>"VIDEOLARINGOSCOPIO"</f>
        <v>VIDEOLARINGOSCOPIO</v>
      </c>
      <c r="C16009" s="6">
        <v>1000000</v>
      </c>
      <c r="D16009" s="5" t="s">
        <v>774</v>
      </c>
      <c r="E16009" s="5" t="str">
        <f t="shared" si="823"/>
        <v>ACTISALUD - BODEGA - WILLIAM ZUÑIGA-DIEGO GARCIA</v>
      </c>
      <c r="F16009" s="5"/>
      <c r="G16009" s="5"/>
    </row>
    <row r="16010" spans="1:7" ht="58.5" customHeight="1" x14ac:dyDescent="0.25">
      <c r="A16010" s="5" t="str">
        <f>"H0035436"</f>
        <v>H0035436</v>
      </c>
      <c r="B16010" s="5" t="str">
        <f>"VIDEOLARINGOSCOPIO"</f>
        <v>VIDEOLARINGOSCOPIO</v>
      </c>
      <c r="C16010" s="6">
        <v>1000000</v>
      </c>
      <c r="D16010" s="5" t="s">
        <v>774</v>
      </c>
      <c r="E16010" s="5" t="str">
        <f t="shared" si="823"/>
        <v>ACTISALUD - BODEGA - WILLIAM ZUÑIGA-DIEGO GARCIA</v>
      </c>
      <c r="F16010" s="5"/>
      <c r="G16010" s="5"/>
    </row>
    <row r="16011" spans="1:7" ht="58.5" customHeight="1" x14ac:dyDescent="0.25">
      <c r="A16011" s="5" t="str">
        <f>"H0035468"</f>
        <v>H0035468</v>
      </c>
      <c r="B16011" s="5" t="str">
        <f>"CARRO DE PARO (DONACION)"</f>
        <v>CARRO DE PARO (DONACION)</v>
      </c>
      <c r="C16011" s="6">
        <v>1971019.75</v>
      </c>
      <c r="D16011" s="5" t="s">
        <v>130</v>
      </c>
      <c r="E16011" s="5" t="str">
        <f t="shared" si="823"/>
        <v>ACTISALUD - BODEGA - WILLIAM ZUÑIGA-DIEGO GARCIA</v>
      </c>
      <c r="F16011" s="5"/>
      <c r="G16011" s="5"/>
    </row>
    <row r="16012" spans="1:7" ht="58.5" customHeight="1" x14ac:dyDescent="0.25">
      <c r="A16012" s="5" t="str">
        <f>"H0035469"</f>
        <v>H0035469</v>
      </c>
      <c r="B16012" s="5" t="str">
        <f>"CARRO DE PARO (DONACION)"</f>
        <v>CARRO DE PARO (DONACION)</v>
      </c>
      <c r="C16012" s="6">
        <v>1971019.75</v>
      </c>
      <c r="D16012" s="5" t="s">
        <v>130</v>
      </c>
      <c r="E16012" s="5" t="str">
        <f t="shared" si="823"/>
        <v>ACTISALUD - BODEGA - WILLIAM ZUÑIGA-DIEGO GARCIA</v>
      </c>
      <c r="F16012" s="5"/>
      <c r="G16012" s="5"/>
    </row>
    <row r="16013" spans="1:7" ht="58.5" customHeight="1" x14ac:dyDescent="0.25">
      <c r="A16013" s="5" t="str">
        <f>"H0035470"</f>
        <v>H0035470</v>
      </c>
      <c r="B16013" s="5" t="str">
        <f>"CARRO DE PARO (DONACION)"</f>
        <v>CARRO DE PARO (DONACION)</v>
      </c>
      <c r="C16013" s="6">
        <v>1971019.75</v>
      </c>
      <c r="D16013" s="5" t="s">
        <v>130</v>
      </c>
      <c r="E16013" s="5" t="str">
        <f t="shared" si="823"/>
        <v>ACTISALUD - BODEGA - WILLIAM ZUÑIGA-DIEGO GARCIA</v>
      </c>
      <c r="F16013" s="5"/>
      <c r="G16013" s="5"/>
    </row>
    <row r="16014" spans="1:7" ht="58.5" customHeight="1" x14ac:dyDescent="0.25">
      <c r="A16014" s="5" t="str">
        <f>"H0035546"</f>
        <v>H0035546</v>
      </c>
      <c r="B16014" s="5" t="str">
        <f>"VIDEOLARINGOSCOPIO"</f>
        <v>VIDEOLARINGOSCOPIO</v>
      </c>
      <c r="C16014" s="6">
        <v>2000000</v>
      </c>
      <c r="D16014" s="5" t="s">
        <v>775</v>
      </c>
      <c r="E16014" s="5" t="str">
        <f t="shared" si="823"/>
        <v>ACTISALUD - BODEGA - WILLIAM ZUÑIGA-DIEGO GARCIA</v>
      </c>
      <c r="F16014" s="5"/>
      <c r="G16014" s="5"/>
    </row>
    <row r="16015" spans="1:7" ht="58.5" customHeight="1" x14ac:dyDescent="0.25">
      <c r="A16015" s="5" t="str">
        <f>"H0036349"</f>
        <v>H0036349</v>
      </c>
      <c r="B16015" s="5" t="str">
        <f t="shared" ref="B16015:B16029" si="824">"PIEZA DE MANO PARA EQUIPO DE HIDROCIRUGIA PARA DESBRIDAMIENTO"</f>
        <v>PIEZA DE MANO PARA EQUIPO DE HIDROCIRUGIA PARA DESBRIDAMIENTO</v>
      </c>
      <c r="C16015" s="6">
        <v>1516060</v>
      </c>
      <c r="D16015" s="5" t="s">
        <v>776</v>
      </c>
      <c r="E16015" s="5" t="str">
        <f t="shared" si="823"/>
        <v>ACTISALUD - BODEGA - WILLIAM ZUÑIGA-DIEGO GARCIA</v>
      </c>
      <c r="F16015" s="5"/>
      <c r="G16015" s="5"/>
    </row>
    <row r="16016" spans="1:7" ht="58.5" customHeight="1" x14ac:dyDescent="0.25">
      <c r="A16016" s="5" t="str">
        <f>"H0036350"</f>
        <v>H0036350</v>
      </c>
      <c r="B16016" s="5" t="str">
        <f t="shared" si="824"/>
        <v>PIEZA DE MANO PARA EQUIPO DE HIDROCIRUGIA PARA DESBRIDAMIENTO</v>
      </c>
      <c r="C16016" s="6">
        <v>1516060</v>
      </c>
      <c r="D16016" s="5" t="s">
        <v>776</v>
      </c>
      <c r="E16016" s="5" t="str">
        <f t="shared" si="823"/>
        <v>ACTISALUD - BODEGA - WILLIAM ZUÑIGA-DIEGO GARCIA</v>
      </c>
      <c r="F16016" s="5"/>
      <c r="G16016" s="5"/>
    </row>
    <row r="16017" spans="1:7" ht="58.5" customHeight="1" x14ac:dyDescent="0.25">
      <c r="A16017" s="5" t="str">
        <f>"H0036351"</f>
        <v>H0036351</v>
      </c>
      <c r="B16017" s="5" t="str">
        <f t="shared" si="824"/>
        <v>PIEZA DE MANO PARA EQUIPO DE HIDROCIRUGIA PARA DESBRIDAMIENTO</v>
      </c>
      <c r="C16017" s="6">
        <v>1516060</v>
      </c>
      <c r="D16017" s="5" t="s">
        <v>776</v>
      </c>
      <c r="E16017" s="5" t="str">
        <f t="shared" si="823"/>
        <v>ACTISALUD - BODEGA - WILLIAM ZUÑIGA-DIEGO GARCIA</v>
      </c>
      <c r="F16017" s="5"/>
      <c r="G16017" s="5"/>
    </row>
    <row r="16018" spans="1:7" ht="58.5" customHeight="1" x14ac:dyDescent="0.25">
      <c r="A16018" s="5" t="str">
        <f>"H0036352"</f>
        <v>H0036352</v>
      </c>
      <c r="B16018" s="5" t="str">
        <f t="shared" si="824"/>
        <v>PIEZA DE MANO PARA EQUIPO DE HIDROCIRUGIA PARA DESBRIDAMIENTO</v>
      </c>
      <c r="C16018" s="6">
        <v>1516060</v>
      </c>
      <c r="D16018" s="5" t="s">
        <v>776</v>
      </c>
      <c r="E16018" s="5" t="str">
        <f t="shared" si="823"/>
        <v>ACTISALUD - BODEGA - WILLIAM ZUÑIGA-DIEGO GARCIA</v>
      </c>
      <c r="F16018" s="5"/>
      <c r="G16018" s="5"/>
    </row>
    <row r="16019" spans="1:7" ht="58.5" customHeight="1" x14ac:dyDescent="0.25">
      <c r="A16019" s="5" t="str">
        <f>"H0036353"</f>
        <v>H0036353</v>
      </c>
      <c r="B16019" s="5" t="str">
        <f t="shared" si="824"/>
        <v>PIEZA DE MANO PARA EQUIPO DE HIDROCIRUGIA PARA DESBRIDAMIENTO</v>
      </c>
      <c r="C16019" s="6">
        <v>1516060</v>
      </c>
      <c r="D16019" s="5" t="s">
        <v>776</v>
      </c>
      <c r="E16019" s="5" t="str">
        <f t="shared" si="823"/>
        <v>ACTISALUD - BODEGA - WILLIAM ZUÑIGA-DIEGO GARCIA</v>
      </c>
      <c r="F16019" s="5"/>
      <c r="G16019" s="5"/>
    </row>
    <row r="16020" spans="1:7" ht="58.5" customHeight="1" x14ac:dyDescent="0.25">
      <c r="A16020" s="5" t="str">
        <f>"H0036354"</f>
        <v>H0036354</v>
      </c>
      <c r="B16020" s="5" t="str">
        <f t="shared" si="824"/>
        <v>PIEZA DE MANO PARA EQUIPO DE HIDROCIRUGIA PARA DESBRIDAMIENTO</v>
      </c>
      <c r="C16020" s="6">
        <v>1516060</v>
      </c>
      <c r="D16020" s="5" t="s">
        <v>776</v>
      </c>
      <c r="E16020" s="5" t="str">
        <f t="shared" si="823"/>
        <v>ACTISALUD - BODEGA - WILLIAM ZUÑIGA-DIEGO GARCIA</v>
      </c>
      <c r="F16020" s="5"/>
      <c r="G16020" s="5"/>
    </row>
    <row r="16021" spans="1:7" ht="58.5" customHeight="1" x14ac:dyDescent="0.25">
      <c r="A16021" s="5" t="str">
        <f>"H0036355"</f>
        <v>H0036355</v>
      </c>
      <c r="B16021" s="5" t="str">
        <f t="shared" si="824"/>
        <v>PIEZA DE MANO PARA EQUIPO DE HIDROCIRUGIA PARA DESBRIDAMIENTO</v>
      </c>
      <c r="C16021" s="6">
        <v>1516060</v>
      </c>
      <c r="D16021" s="5" t="s">
        <v>776</v>
      </c>
      <c r="E16021" s="5" t="str">
        <f t="shared" si="823"/>
        <v>ACTISALUD - BODEGA - WILLIAM ZUÑIGA-DIEGO GARCIA</v>
      </c>
      <c r="F16021" s="5"/>
      <c r="G16021" s="5"/>
    </row>
    <row r="16022" spans="1:7" ht="58.5" customHeight="1" x14ac:dyDescent="0.25">
      <c r="A16022" s="5" t="str">
        <f>"H0036356"</f>
        <v>H0036356</v>
      </c>
      <c r="B16022" s="5" t="str">
        <f t="shared" si="824"/>
        <v>PIEZA DE MANO PARA EQUIPO DE HIDROCIRUGIA PARA DESBRIDAMIENTO</v>
      </c>
      <c r="C16022" s="6">
        <v>1516060</v>
      </c>
      <c r="D16022" s="5" t="s">
        <v>776</v>
      </c>
      <c r="E16022" s="5" t="str">
        <f t="shared" si="823"/>
        <v>ACTISALUD - BODEGA - WILLIAM ZUÑIGA-DIEGO GARCIA</v>
      </c>
      <c r="F16022" s="5"/>
      <c r="G16022" s="5"/>
    </row>
    <row r="16023" spans="1:7" ht="58.5" customHeight="1" x14ac:dyDescent="0.25">
      <c r="A16023" s="5" t="str">
        <f>"H0036357"</f>
        <v>H0036357</v>
      </c>
      <c r="B16023" s="5" t="str">
        <f t="shared" si="824"/>
        <v>PIEZA DE MANO PARA EQUIPO DE HIDROCIRUGIA PARA DESBRIDAMIENTO</v>
      </c>
      <c r="C16023" s="6">
        <v>1516060</v>
      </c>
      <c r="D16023" s="5" t="s">
        <v>776</v>
      </c>
      <c r="E16023" s="5" t="str">
        <f t="shared" si="823"/>
        <v>ACTISALUD - BODEGA - WILLIAM ZUÑIGA-DIEGO GARCIA</v>
      </c>
      <c r="F16023" s="5"/>
      <c r="G16023" s="5"/>
    </row>
    <row r="16024" spans="1:7" ht="58.5" customHeight="1" x14ac:dyDescent="0.25">
      <c r="A16024" s="5" t="str">
        <f>"H0036358"</f>
        <v>H0036358</v>
      </c>
      <c r="B16024" s="5" t="str">
        <f t="shared" si="824"/>
        <v>PIEZA DE MANO PARA EQUIPO DE HIDROCIRUGIA PARA DESBRIDAMIENTO</v>
      </c>
      <c r="C16024" s="6">
        <v>1516060</v>
      </c>
      <c r="D16024" s="5" t="s">
        <v>776</v>
      </c>
      <c r="E16024" s="5" t="str">
        <f t="shared" si="823"/>
        <v>ACTISALUD - BODEGA - WILLIAM ZUÑIGA-DIEGO GARCIA</v>
      </c>
      <c r="F16024" s="5"/>
      <c r="G16024" s="5"/>
    </row>
    <row r="16025" spans="1:7" ht="58.5" customHeight="1" x14ac:dyDescent="0.25">
      <c r="A16025" s="5" t="str">
        <f>"H0036359"</f>
        <v>H0036359</v>
      </c>
      <c r="B16025" s="5" t="str">
        <f t="shared" si="824"/>
        <v>PIEZA DE MANO PARA EQUIPO DE HIDROCIRUGIA PARA DESBRIDAMIENTO</v>
      </c>
      <c r="C16025" s="6">
        <v>1516060</v>
      </c>
      <c r="D16025" s="5" t="s">
        <v>776</v>
      </c>
      <c r="E16025" s="5" t="str">
        <f t="shared" si="823"/>
        <v>ACTISALUD - BODEGA - WILLIAM ZUÑIGA-DIEGO GARCIA</v>
      </c>
      <c r="F16025" s="5"/>
      <c r="G16025" s="5"/>
    </row>
    <row r="16026" spans="1:7" ht="58.5" customHeight="1" x14ac:dyDescent="0.25">
      <c r="A16026" s="5" t="str">
        <f>"H0036360"</f>
        <v>H0036360</v>
      </c>
      <c r="B16026" s="5" t="str">
        <f t="shared" si="824"/>
        <v>PIEZA DE MANO PARA EQUIPO DE HIDROCIRUGIA PARA DESBRIDAMIENTO</v>
      </c>
      <c r="C16026" s="6">
        <v>1516060</v>
      </c>
      <c r="D16026" s="5" t="s">
        <v>776</v>
      </c>
      <c r="E16026" s="5" t="str">
        <f t="shared" si="823"/>
        <v>ACTISALUD - BODEGA - WILLIAM ZUÑIGA-DIEGO GARCIA</v>
      </c>
      <c r="F16026" s="5"/>
      <c r="G16026" s="5"/>
    </row>
    <row r="16027" spans="1:7" ht="58.5" customHeight="1" x14ac:dyDescent="0.25">
      <c r="A16027" s="5" t="str">
        <f>"H0036361"</f>
        <v>H0036361</v>
      </c>
      <c r="B16027" s="5" t="str">
        <f t="shared" si="824"/>
        <v>PIEZA DE MANO PARA EQUIPO DE HIDROCIRUGIA PARA DESBRIDAMIENTO</v>
      </c>
      <c r="C16027" s="6">
        <v>1516060</v>
      </c>
      <c r="D16027" s="5" t="s">
        <v>776</v>
      </c>
      <c r="E16027" s="5" t="str">
        <f t="shared" si="823"/>
        <v>ACTISALUD - BODEGA - WILLIAM ZUÑIGA-DIEGO GARCIA</v>
      </c>
      <c r="F16027" s="5"/>
      <c r="G16027" s="5"/>
    </row>
    <row r="16028" spans="1:7" ht="58.5" customHeight="1" x14ac:dyDescent="0.25">
      <c r="A16028" s="5" t="str">
        <f>"H0036362"</f>
        <v>H0036362</v>
      </c>
      <c r="B16028" s="5" t="str">
        <f t="shared" si="824"/>
        <v>PIEZA DE MANO PARA EQUIPO DE HIDROCIRUGIA PARA DESBRIDAMIENTO</v>
      </c>
      <c r="C16028" s="6">
        <v>1516060</v>
      </c>
      <c r="D16028" s="5" t="s">
        <v>776</v>
      </c>
      <c r="E16028" s="5" t="str">
        <f t="shared" si="823"/>
        <v>ACTISALUD - BODEGA - WILLIAM ZUÑIGA-DIEGO GARCIA</v>
      </c>
      <c r="F16028" s="5"/>
      <c r="G16028" s="5"/>
    </row>
    <row r="16029" spans="1:7" ht="58.5" customHeight="1" x14ac:dyDescent="0.25">
      <c r="A16029" s="5" t="str">
        <f>"H0036363"</f>
        <v>H0036363</v>
      </c>
      <c r="B16029" s="5" t="str">
        <f t="shared" si="824"/>
        <v>PIEZA DE MANO PARA EQUIPO DE HIDROCIRUGIA PARA DESBRIDAMIENTO</v>
      </c>
      <c r="C16029" s="6">
        <v>1516060</v>
      </c>
      <c r="D16029" s="5" t="s">
        <v>776</v>
      </c>
      <c r="E16029" s="5" t="str">
        <f t="shared" si="823"/>
        <v>ACTISALUD - BODEGA - WILLIAM ZUÑIGA-DIEGO GARCIA</v>
      </c>
      <c r="F16029" s="5"/>
      <c r="G16029" s="5"/>
    </row>
    <row r="16030" spans="1:7" ht="58.5" customHeight="1" x14ac:dyDescent="0.25">
      <c r="A16030" s="5" t="str">
        <f>"H0036407"</f>
        <v>H0036407</v>
      </c>
      <c r="B16030" s="5" t="str">
        <f>"VENTILADOR DE PARED"</f>
        <v>VENTILADOR DE PARED</v>
      </c>
      <c r="C16030" s="6">
        <v>295260</v>
      </c>
      <c r="D16030" s="5" t="s">
        <v>131</v>
      </c>
      <c r="E16030" s="5" t="str">
        <f t="shared" si="823"/>
        <v>ACTISALUD - BODEGA - WILLIAM ZUÑIGA-DIEGO GARCIA</v>
      </c>
      <c r="F16030" s="5"/>
      <c r="G16030" s="5"/>
    </row>
    <row r="16031" spans="1:7" ht="58.5" customHeight="1" x14ac:dyDescent="0.25">
      <c r="A16031" s="5" t="str">
        <f>"H0036420"</f>
        <v>H0036420</v>
      </c>
      <c r="B16031" s="5" t="str">
        <f>"VENTILADOR DE PARED"</f>
        <v>VENTILADOR DE PARED</v>
      </c>
      <c r="C16031" s="6">
        <v>295260</v>
      </c>
      <c r="D16031" s="5" t="s">
        <v>131</v>
      </c>
      <c r="E16031" s="5" t="str">
        <f t="shared" si="823"/>
        <v>ACTISALUD - BODEGA - WILLIAM ZUÑIGA-DIEGO GARCIA</v>
      </c>
      <c r="F16031" s="5"/>
      <c r="G16031" s="5"/>
    </row>
    <row r="16032" spans="1:7" ht="58.5" customHeight="1" x14ac:dyDescent="0.25">
      <c r="A16032" s="5" t="str">
        <f>"H0036435"</f>
        <v>H0036435</v>
      </c>
      <c r="B16032" s="5" t="str">
        <f>"VENTILADOR DE PARED"</f>
        <v>VENTILADOR DE PARED</v>
      </c>
      <c r="C16032" s="6">
        <v>295260</v>
      </c>
      <c r="D16032" s="5" t="s">
        <v>131</v>
      </c>
      <c r="E16032" s="5" t="str">
        <f t="shared" si="823"/>
        <v>ACTISALUD - BODEGA - WILLIAM ZUÑIGA-DIEGO GARCIA</v>
      </c>
      <c r="F16032" s="5"/>
      <c r="G16032" s="5"/>
    </row>
    <row r="16033" spans="1:7" ht="58.5" customHeight="1" x14ac:dyDescent="0.25">
      <c r="A16033" s="5" t="str">
        <f>"H0036734"</f>
        <v>H0036734</v>
      </c>
      <c r="B16033" s="5" t="str">
        <f>"UNIDAD DE LLAMADO DE ENFERMERIA PARA CAMA O BAÑO"</f>
        <v>UNIDAD DE LLAMADO DE ENFERMERIA PARA CAMA O BAÑO</v>
      </c>
      <c r="C16033" s="6">
        <v>643500</v>
      </c>
      <c r="D16033" s="5" t="s">
        <v>134</v>
      </c>
      <c r="E16033" s="5" t="str">
        <f t="shared" si="823"/>
        <v>ACTISALUD - BODEGA - WILLIAM ZUÑIGA-DIEGO GARCIA</v>
      </c>
      <c r="F16033" s="5"/>
      <c r="G16033" s="5"/>
    </row>
    <row r="16034" spans="1:7" ht="58.5" customHeight="1" x14ac:dyDescent="0.25">
      <c r="A16034" s="5" t="str">
        <f>"H0036735"</f>
        <v>H0036735</v>
      </c>
      <c r="B16034" s="5" t="str">
        <f>"UNIDAD DE LLAMADO DE ENFERMERIA PARA CAMA O BAÑO"</f>
        <v>UNIDAD DE LLAMADO DE ENFERMERIA PARA CAMA O BAÑO</v>
      </c>
      <c r="C16034" s="6">
        <v>643500</v>
      </c>
      <c r="D16034" s="5" t="s">
        <v>134</v>
      </c>
      <c r="E16034" s="5" t="str">
        <f t="shared" si="823"/>
        <v>ACTISALUD - BODEGA - WILLIAM ZUÑIGA-DIEGO GARCIA</v>
      </c>
      <c r="F16034" s="5"/>
      <c r="G16034" s="5"/>
    </row>
    <row r="16035" spans="1:7" ht="58.5" customHeight="1" x14ac:dyDescent="0.25">
      <c r="A16035" s="5" t="str">
        <f>"H0036736"</f>
        <v>H0036736</v>
      </c>
      <c r="B16035" s="5" t="str">
        <f>"UNIDAD DE LLAMADO DE ENFERMERIA PARA CAMA O BAÑO"</f>
        <v>UNIDAD DE LLAMADO DE ENFERMERIA PARA CAMA O BAÑO</v>
      </c>
      <c r="C16035" s="6">
        <v>643500</v>
      </c>
      <c r="D16035" s="5" t="s">
        <v>134</v>
      </c>
      <c r="E16035" s="5" t="str">
        <f t="shared" si="823"/>
        <v>ACTISALUD - BODEGA - WILLIAM ZUÑIGA-DIEGO GARCIA</v>
      </c>
      <c r="F16035" s="5"/>
      <c r="G16035" s="5"/>
    </row>
    <row r="16036" spans="1:7" ht="58.5" customHeight="1" x14ac:dyDescent="0.25">
      <c r="A16036" s="5" t="str">
        <f>"H0036737"</f>
        <v>H0036737</v>
      </c>
      <c r="B16036" s="5" t="str">
        <f>"UNIDAD DE LLAMADO DE ENFERMERIA PARA CAMA O BAÑO"</f>
        <v>UNIDAD DE LLAMADO DE ENFERMERIA PARA CAMA O BAÑO</v>
      </c>
      <c r="C16036" s="6">
        <v>643500</v>
      </c>
      <c r="D16036" s="5" t="s">
        <v>134</v>
      </c>
      <c r="E16036" s="5" t="str">
        <f t="shared" si="823"/>
        <v>ACTISALUD - BODEGA - WILLIAM ZUÑIGA-DIEGO GARCIA</v>
      </c>
      <c r="F16036" s="5"/>
      <c r="G16036" s="5"/>
    </row>
    <row r="16037" spans="1:7" ht="58.5" customHeight="1" x14ac:dyDescent="0.25">
      <c r="A16037" s="5" t="str">
        <f>"H0036738"</f>
        <v>H0036738</v>
      </c>
      <c r="B16037" s="5" t="str">
        <f>"UNIDAD DE LLAMADO DE ENFERMERIA PARA CAMA O BAÑO"</f>
        <v>UNIDAD DE LLAMADO DE ENFERMERIA PARA CAMA O BAÑO</v>
      </c>
      <c r="C16037" s="6">
        <v>643500</v>
      </c>
      <c r="D16037" s="5" t="s">
        <v>134</v>
      </c>
      <c r="E16037" s="5" t="str">
        <f t="shared" ref="E16037:E16100" si="825">"ACTISALUD - BODEGA - WILLIAM ZUÑIGA-DIEGO GARCIA"</f>
        <v>ACTISALUD - BODEGA - WILLIAM ZUÑIGA-DIEGO GARCIA</v>
      </c>
      <c r="F16037" s="5"/>
      <c r="G16037" s="5"/>
    </row>
    <row r="16038" spans="1:7" ht="58.5" customHeight="1" x14ac:dyDescent="0.25">
      <c r="A16038" s="5" t="str">
        <f>"H0037300"</f>
        <v>H0037300</v>
      </c>
      <c r="B16038" s="5" t="str">
        <f t="shared" ref="B16038:B16057" si="826">"VENTILADOR DE PARED"</f>
        <v>VENTILADOR DE PARED</v>
      </c>
      <c r="C16038" s="6">
        <v>286671</v>
      </c>
      <c r="D16038" s="5" t="s">
        <v>138</v>
      </c>
      <c r="E16038" s="5" t="str">
        <f t="shared" si="825"/>
        <v>ACTISALUD - BODEGA - WILLIAM ZUÑIGA-DIEGO GARCIA</v>
      </c>
      <c r="F16038" s="5"/>
      <c r="G16038" s="5"/>
    </row>
    <row r="16039" spans="1:7" ht="58.5" customHeight="1" x14ac:dyDescent="0.25">
      <c r="A16039" s="5" t="str">
        <f>"H0037355"</f>
        <v>H0037355</v>
      </c>
      <c r="B16039" s="5" t="str">
        <f t="shared" si="826"/>
        <v>VENTILADOR DE PARED</v>
      </c>
      <c r="C16039" s="6">
        <v>286671</v>
      </c>
      <c r="D16039" s="5" t="s">
        <v>138</v>
      </c>
      <c r="E16039" s="5" t="str">
        <f t="shared" si="825"/>
        <v>ACTISALUD - BODEGA - WILLIAM ZUÑIGA-DIEGO GARCIA</v>
      </c>
      <c r="F16039" s="5"/>
      <c r="G16039" s="5"/>
    </row>
    <row r="16040" spans="1:7" ht="58.5" customHeight="1" x14ac:dyDescent="0.25">
      <c r="A16040" s="5" t="str">
        <f>"H0037356"</f>
        <v>H0037356</v>
      </c>
      <c r="B16040" s="5" t="str">
        <f t="shared" si="826"/>
        <v>VENTILADOR DE PARED</v>
      </c>
      <c r="C16040" s="6">
        <v>286671</v>
      </c>
      <c r="D16040" s="5" t="s">
        <v>138</v>
      </c>
      <c r="E16040" s="5" t="str">
        <f t="shared" si="825"/>
        <v>ACTISALUD - BODEGA - WILLIAM ZUÑIGA-DIEGO GARCIA</v>
      </c>
      <c r="F16040" s="5"/>
      <c r="G16040" s="5"/>
    </row>
    <row r="16041" spans="1:7" ht="58.5" customHeight="1" x14ac:dyDescent="0.25">
      <c r="A16041" s="5" t="str">
        <f>"H0037357"</f>
        <v>H0037357</v>
      </c>
      <c r="B16041" s="5" t="str">
        <f t="shared" si="826"/>
        <v>VENTILADOR DE PARED</v>
      </c>
      <c r="C16041" s="6">
        <v>286671</v>
      </c>
      <c r="D16041" s="5" t="s">
        <v>138</v>
      </c>
      <c r="E16041" s="5" t="str">
        <f t="shared" si="825"/>
        <v>ACTISALUD - BODEGA - WILLIAM ZUÑIGA-DIEGO GARCIA</v>
      </c>
      <c r="F16041" s="5"/>
      <c r="G16041" s="5"/>
    </row>
    <row r="16042" spans="1:7" ht="58.5" customHeight="1" x14ac:dyDescent="0.25">
      <c r="A16042" s="5" t="str">
        <f>"H0037358"</f>
        <v>H0037358</v>
      </c>
      <c r="B16042" s="5" t="str">
        <f t="shared" si="826"/>
        <v>VENTILADOR DE PARED</v>
      </c>
      <c r="C16042" s="6">
        <v>286671</v>
      </c>
      <c r="D16042" s="5" t="s">
        <v>138</v>
      </c>
      <c r="E16042" s="5" t="str">
        <f t="shared" si="825"/>
        <v>ACTISALUD - BODEGA - WILLIAM ZUÑIGA-DIEGO GARCIA</v>
      </c>
      <c r="F16042" s="5"/>
      <c r="G16042" s="5"/>
    </row>
    <row r="16043" spans="1:7" ht="58.5" customHeight="1" x14ac:dyDescent="0.25">
      <c r="A16043" s="5" t="str">
        <f>"H0037359"</f>
        <v>H0037359</v>
      </c>
      <c r="B16043" s="5" t="str">
        <f t="shared" si="826"/>
        <v>VENTILADOR DE PARED</v>
      </c>
      <c r="C16043" s="6">
        <v>286671</v>
      </c>
      <c r="D16043" s="5" t="s">
        <v>138</v>
      </c>
      <c r="E16043" s="5" t="str">
        <f t="shared" si="825"/>
        <v>ACTISALUD - BODEGA - WILLIAM ZUÑIGA-DIEGO GARCIA</v>
      </c>
      <c r="F16043" s="5"/>
      <c r="G16043" s="5"/>
    </row>
    <row r="16044" spans="1:7" ht="58.5" customHeight="1" x14ac:dyDescent="0.25">
      <c r="A16044" s="5" t="str">
        <f>"H0037360"</f>
        <v>H0037360</v>
      </c>
      <c r="B16044" s="5" t="str">
        <f t="shared" si="826"/>
        <v>VENTILADOR DE PARED</v>
      </c>
      <c r="C16044" s="6">
        <v>286671</v>
      </c>
      <c r="D16044" s="5" t="s">
        <v>138</v>
      </c>
      <c r="E16044" s="5" t="str">
        <f t="shared" si="825"/>
        <v>ACTISALUD - BODEGA - WILLIAM ZUÑIGA-DIEGO GARCIA</v>
      </c>
      <c r="F16044" s="5"/>
      <c r="G16044" s="5"/>
    </row>
    <row r="16045" spans="1:7" ht="58.5" customHeight="1" x14ac:dyDescent="0.25">
      <c r="A16045" s="5" t="str">
        <f>"H0037361"</f>
        <v>H0037361</v>
      </c>
      <c r="B16045" s="5" t="str">
        <f t="shared" si="826"/>
        <v>VENTILADOR DE PARED</v>
      </c>
      <c r="C16045" s="6">
        <v>286671</v>
      </c>
      <c r="D16045" s="5" t="s">
        <v>138</v>
      </c>
      <c r="E16045" s="5" t="str">
        <f t="shared" si="825"/>
        <v>ACTISALUD - BODEGA - WILLIAM ZUÑIGA-DIEGO GARCIA</v>
      </c>
      <c r="F16045" s="5"/>
      <c r="G16045" s="5"/>
    </row>
    <row r="16046" spans="1:7" ht="58.5" customHeight="1" x14ac:dyDescent="0.25">
      <c r="A16046" s="5" t="str">
        <f>"H0037362"</f>
        <v>H0037362</v>
      </c>
      <c r="B16046" s="5" t="str">
        <f t="shared" si="826"/>
        <v>VENTILADOR DE PARED</v>
      </c>
      <c r="C16046" s="6">
        <v>286671</v>
      </c>
      <c r="D16046" s="5" t="s">
        <v>138</v>
      </c>
      <c r="E16046" s="5" t="str">
        <f t="shared" si="825"/>
        <v>ACTISALUD - BODEGA - WILLIAM ZUÑIGA-DIEGO GARCIA</v>
      </c>
      <c r="F16046" s="5"/>
      <c r="G16046" s="5"/>
    </row>
    <row r="16047" spans="1:7" ht="58.5" customHeight="1" x14ac:dyDescent="0.25">
      <c r="A16047" s="5" t="str">
        <f>"H0037363"</f>
        <v>H0037363</v>
      </c>
      <c r="B16047" s="5" t="str">
        <f t="shared" si="826"/>
        <v>VENTILADOR DE PARED</v>
      </c>
      <c r="C16047" s="6">
        <v>286671</v>
      </c>
      <c r="D16047" s="5" t="s">
        <v>138</v>
      </c>
      <c r="E16047" s="5" t="str">
        <f t="shared" si="825"/>
        <v>ACTISALUD - BODEGA - WILLIAM ZUÑIGA-DIEGO GARCIA</v>
      </c>
      <c r="F16047" s="5"/>
      <c r="G16047" s="5"/>
    </row>
    <row r="16048" spans="1:7" ht="58.5" customHeight="1" x14ac:dyDescent="0.25">
      <c r="A16048" s="5" t="str">
        <f>"H0037364"</f>
        <v>H0037364</v>
      </c>
      <c r="B16048" s="5" t="str">
        <f t="shared" si="826"/>
        <v>VENTILADOR DE PARED</v>
      </c>
      <c r="C16048" s="6">
        <v>286671</v>
      </c>
      <c r="D16048" s="5" t="s">
        <v>138</v>
      </c>
      <c r="E16048" s="5" t="str">
        <f t="shared" si="825"/>
        <v>ACTISALUD - BODEGA - WILLIAM ZUÑIGA-DIEGO GARCIA</v>
      </c>
      <c r="F16048" s="5"/>
      <c r="G16048" s="5"/>
    </row>
    <row r="16049" spans="1:7" ht="58.5" customHeight="1" x14ac:dyDescent="0.25">
      <c r="A16049" s="5" t="str">
        <f>"H0037365"</f>
        <v>H0037365</v>
      </c>
      <c r="B16049" s="5" t="str">
        <f t="shared" si="826"/>
        <v>VENTILADOR DE PARED</v>
      </c>
      <c r="C16049" s="6">
        <v>286671</v>
      </c>
      <c r="D16049" s="5" t="s">
        <v>138</v>
      </c>
      <c r="E16049" s="5" t="str">
        <f t="shared" si="825"/>
        <v>ACTISALUD - BODEGA - WILLIAM ZUÑIGA-DIEGO GARCIA</v>
      </c>
      <c r="F16049" s="5"/>
      <c r="G16049" s="5"/>
    </row>
    <row r="16050" spans="1:7" ht="58.5" customHeight="1" x14ac:dyDescent="0.25">
      <c r="A16050" s="5" t="str">
        <f>"H0037393"</f>
        <v>H0037393</v>
      </c>
      <c r="B16050" s="5" t="str">
        <f t="shared" si="826"/>
        <v>VENTILADOR DE PARED</v>
      </c>
      <c r="C16050" s="6">
        <v>286671</v>
      </c>
      <c r="D16050" s="5" t="s">
        <v>138</v>
      </c>
      <c r="E16050" s="5" t="str">
        <f t="shared" si="825"/>
        <v>ACTISALUD - BODEGA - WILLIAM ZUÑIGA-DIEGO GARCIA</v>
      </c>
      <c r="F16050" s="5"/>
      <c r="G16050" s="5"/>
    </row>
    <row r="16051" spans="1:7" ht="58.5" customHeight="1" x14ac:dyDescent="0.25">
      <c r="A16051" s="5" t="str">
        <f>"H0037394"</f>
        <v>H0037394</v>
      </c>
      <c r="B16051" s="5" t="str">
        <f t="shared" si="826"/>
        <v>VENTILADOR DE PARED</v>
      </c>
      <c r="C16051" s="6">
        <v>286671</v>
      </c>
      <c r="D16051" s="5" t="s">
        <v>138</v>
      </c>
      <c r="E16051" s="5" t="str">
        <f t="shared" si="825"/>
        <v>ACTISALUD - BODEGA - WILLIAM ZUÑIGA-DIEGO GARCIA</v>
      </c>
      <c r="F16051" s="5"/>
      <c r="G16051" s="5"/>
    </row>
    <row r="16052" spans="1:7" ht="58.5" customHeight="1" x14ac:dyDescent="0.25">
      <c r="A16052" s="5" t="str">
        <f>"H0037395"</f>
        <v>H0037395</v>
      </c>
      <c r="B16052" s="5" t="str">
        <f t="shared" si="826"/>
        <v>VENTILADOR DE PARED</v>
      </c>
      <c r="C16052" s="6">
        <v>286671</v>
      </c>
      <c r="D16052" s="5" t="s">
        <v>138</v>
      </c>
      <c r="E16052" s="5" t="str">
        <f t="shared" si="825"/>
        <v>ACTISALUD - BODEGA - WILLIAM ZUÑIGA-DIEGO GARCIA</v>
      </c>
      <c r="F16052" s="5"/>
      <c r="G16052" s="5"/>
    </row>
    <row r="16053" spans="1:7" ht="58.5" customHeight="1" x14ac:dyDescent="0.25">
      <c r="A16053" s="5" t="str">
        <f>"H0037396"</f>
        <v>H0037396</v>
      </c>
      <c r="B16053" s="5" t="str">
        <f t="shared" si="826"/>
        <v>VENTILADOR DE PARED</v>
      </c>
      <c r="C16053" s="6">
        <v>286671</v>
      </c>
      <c r="D16053" s="5" t="s">
        <v>138</v>
      </c>
      <c r="E16053" s="5" t="str">
        <f t="shared" si="825"/>
        <v>ACTISALUD - BODEGA - WILLIAM ZUÑIGA-DIEGO GARCIA</v>
      </c>
      <c r="F16053" s="5"/>
      <c r="G16053" s="5"/>
    </row>
    <row r="16054" spans="1:7" ht="58.5" customHeight="1" x14ac:dyDescent="0.25">
      <c r="A16054" s="5" t="str">
        <f>"H0037474"</f>
        <v>H0037474</v>
      </c>
      <c r="B16054" s="5" t="str">
        <f t="shared" si="826"/>
        <v>VENTILADOR DE PARED</v>
      </c>
      <c r="C16054" s="6">
        <v>286671</v>
      </c>
      <c r="D16054" s="5" t="s">
        <v>139</v>
      </c>
      <c r="E16054" s="5" t="str">
        <f t="shared" si="825"/>
        <v>ACTISALUD - BODEGA - WILLIAM ZUÑIGA-DIEGO GARCIA</v>
      </c>
      <c r="F16054" s="5"/>
      <c r="G16054" s="5"/>
    </row>
    <row r="16055" spans="1:7" ht="58.5" customHeight="1" x14ac:dyDescent="0.25">
      <c r="A16055" s="5" t="str">
        <f>"H0037482"</f>
        <v>H0037482</v>
      </c>
      <c r="B16055" s="5" t="str">
        <f t="shared" si="826"/>
        <v>VENTILADOR DE PARED</v>
      </c>
      <c r="C16055" s="6">
        <v>286671</v>
      </c>
      <c r="D16055" s="5" t="s">
        <v>139</v>
      </c>
      <c r="E16055" s="5" t="str">
        <f t="shared" si="825"/>
        <v>ACTISALUD - BODEGA - WILLIAM ZUÑIGA-DIEGO GARCIA</v>
      </c>
      <c r="F16055" s="5"/>
      <c r="G16055" s="5"/>
    </row>
    <row r="16056" spans="1:7" ht="58.5" customHeight="1" x14ac:dyDescent="0.25">
      <c r="A16056" s="5" t="str">
        <f>"H0037520"</f>
        <v>H0037520</v>
      </c>
      <c r="B16056" s="5" t="str">
        <f t="shared" si="826"/>
        <v>VENTILADOR DE PARED</v>
      </c>
      <c r="C16056" s="6">
        <v>286671</v>
      </c>
      <c r="D16056" s="5" t="s">
        <v>139</v>
      </c>
      <c r="E16056" s="5" t="str">
        <f t="shared" si="825"/>
        <v>ACTISALUD - BODEGA - WILLIAM ZUÑIGA-DIEGO GARCIA</v>
      </c>
      <c r="F16056" s="5"/>
      <c r="G16056" s="5"/>
    </row>
    <row r="16057" spans="1:7" ht="58.5" customHeight="1" x14ac:dyDescent="0.25">
      <c r="A16057" s="5" t="str">
        <f>"H0037524"</f>
        <v>H0037524</v>
      </c>
      <c r="B16057" s="5" t="str">
        <f t="shared" si="826"/>
        <v>VENTILADOR DE PARED</v>
      </c>
      <c r="C16057" s="6">
        <v>286671</v>
      </c>
      <c r="D16057" s="5" t="s">
        <v>139</v>
      </c>
      <c r="E16057" s="5" t="str">
        <f t="shared" si="825"/>
        <v>ACTISALUD - BODEGA - WILLIAM ZUÑIGA-DIEGO GARCIA</v>
      </c>
      <c r="F16057" s="5"/>
      <c r="G16057" s="5"/>
    </row>
    <row r="16058" spans="1:7" ht="58.5" customHeight="1" x14ac:dyDescent="0.25">
      <c r="A16058" s="5" t="str">
        <f>"H0037540"</f>
        <v>H0037540</v>
      </c>
      <c r="B16058" s="5" t="str">
        <f>"VENTILADOR DE PEDESTAL"</f>
        <v>VENTILADOR DE PEDESTAL</v>
      </c>
      <c r="C16058" s="6">
        <v>305000.55</v>
      </c>
      <c r="D16058" s="5" t="s">
        <v>140</v>
      </c>
      <c r="E16058" s="5" t="str">
        <f t="shared" si="825"/>
        <v>ACTISALUD - BODEGA - WILLIAM ZUÑIGA-DIEGO GARCIA</v>
      </c>
      <c r="F16058" s="5"/>
      <c r="G16058" s="5"/>
    </row>
    <row r="16059" spans="1:7" ht="58.5" customHeight="1" x14ac:dyDescent="0.25">
      <c r="A16059" s="5" t="str">
        <f>"H0037549"</f>
        <v>H0037549</v>
      </c>
      <c r="B16059" s="5" t="str">
        <f>"VENTILADOR DE PEDESTAL"</f>
        <v>VENTILADOR DE PEDESTAL</v>
      </c>
      <c r="C16059" s="6">
        <v>305000.55</v>
      </c>
      <c r="D16059" s="5" t="s">
        <v>140</v>
      </c>
      <c r="E16059" s="5" t="str">
        <f t="shared" si="825"/>
        <v>ACTISALUD - BODEGA - WILLIAM ZUÑIGA-DIEGO GARCIA</v>
      </c>
      <c r="F16059" s="5"/>
      <c r="G16059" s="5"/>
    </row>
    <row r="16060" spans="1:7" ht="58.5" customHeight="1" x14ac:dyDescent="0.25">
      <c r="A16060" s="5" t="str">
        <f>"H0037550"</f>
        <v>H0037550</v>
      </c>
      <c r="B16060" s="5" t="str">
        <f>"VENTILADOR DE PEDESTAL"</f>
        <v>VENTILADOR DE PEDESTAL</v>
      </c>
      <c r="C16060" s="6">
        <v>305000.55</v>
      </c>
      <c r="D16060" s="5" t="s">
        <v>140</v>
      </c>
      <c r="E16060" s="5" t="str">
        <f t="shared" si="825"/>
        <v>ACTISALUD - BODEGA - WILLIAM ZUÑIGA-DIEGO GARCIA</v>
      </c>
      <c r="F16060" s="5"/>
      <c r="G16060" s="5"/>
    </row>
    <row r="16061" spans="1:7" ht="58.5" customHeight="1" x14ac:dyDescent="0.25">
      <c r="A16061" s="5" t="str">
        <f>"H0037555"</f>
        <v>H0037555</v>
      </c>
      <c r="B16061" s="5" t="str">
        <f>"VENTILADOR DE PEDESTAL"</f>
        <v>VENTILADOR DE PEDESTAL</v>
      </c>
      <c r="C16061" s="6">
        <v>305000.55</v>
      </c>
      <c r="D16061" s="5" t="s">
        <v>140</v>
      </c>
      <c r="E16061" s="5" t="str">
        <f t="shared" si="825"/>
        <v>ACTISALUD - BODEGA - WILLIAM ZUÑIGA-DIEGO GARCIA</v>
      </c>
      <c r="F16061" s="5"/>
      <c r="G16061" s="5"/>
    </row>
    <row r="16062" spans="1:7" ht="58.5" customHeight="1" x14ac:dyDescent="0.25">
      <c r="A16062" s="5" t="str">
        <f>"H0037588"</f>
        <v>H0037588</v>
      </c>
      <c r="B16062" s="5" t="str">
        <f t="shared" ref="B16062:B16068" si="827">"KIT DE ORGANO DE LOS SENTIDOS CON FIBRA OPTICA (DONACION)"</f>
        <v>KIT DE ORGANO DE LOS SENTIDOS CON FIBRA OPTICA (DONACION)</v>
      </c>
      <c r="C16062" s="6">
        <v>1456600</v>
      </c>
      <c r="D16062" s="5" t="s">
        <v>141</v>
      </c>
      <c r="E16062" s="5" t="str">
        <f t="shared" si="825"/>
        <v>ACTISALUD - BODEGA - WILLIAM ZUÑIGA-DIEGO GARCIA</v>
      </c>
      <c r="F16062" s="5"/>
      <c r="G16062" s="5"/>
    </row>
    <row r="16063" spans="1:7" ht="58.5" customHeight="1" x14ac:dyDescent="0.25">
      <c r="A16063" s="5" t="str">
        <f>"H0037589"</f>
        <v>H0037589</v>
      </c>
      <c r="B16063" s="5" t="str">
        <f t="shared" si="827"/>
        <v>KIT DE ORGANO DE LOS SENTIDOS CON FIBRA OPTICA (DONACION)</v>
      </c>
      <c r="C16063" s="6">
        <v>1456600</v>
      </c>
      <c r="D16063" s="5" t="s">
        <v>141</v>
      </c>
      <c r="E16063" s="5" t="str">
        <f t="shared" si="825"/>
        <v>ACTISALUD - BODEGA - WILLIAM ZUÑIGA-DIEGO GARCIA</v>
      </c>
      <c r="F16063" s="5"/>
      <c r="G16063" s="5"/>
    </row>
    <row r="16064" spans="1:7" ht="58.5" customHeight="1" x14ac:dyDescent="0.25">
      <c r="A16064" s="5" t="str">
        <f>"H0037590"</f>
        <v>H0037590</v>
      </c>
      <c r="B16064" s="5" t="str">
        <f t="shared" si="827"/>
        <v>KIT DE ORGANO DE LOS SENTIDOS CON FIBRA OPTICA (DONACION)</v>
      </c>
      <c r="C16064" s="6">
        <v>1456600</v>
      </c>
      <c r="D16064" s="5" t="s">
        <v>141</v>
      </c>
      <c r="E16064" s="5" t="str">
        <f t="shared" si="825"/>
        <v>ACTISALUD - BODEGA - WILLIAM ZUÑIGA-DIEGO GARCIA</v>
      </c>
      <c r="F16064" s="5"/>
      <c r="G16064" s="5"/>
    </row>
    <row r="16065" spans="1:7" ht="58.5" customHeight="1" x14ac:dyDescent="0.25">
      <c r="A16065" s="5" t="str">
        <f>"H0037591"</f>
        <v>H0037591</v>
      </c>
      <c r="B16065" s="5" t="str">
        <f t="shared" si="827"/>
        <v>KIT DE ORGANO DE LOS SENTIDOS CON FIBRA OPTICA (DONACION)</v>
      </c>
      <c r="C16065" s="6">
        <v>1456600</v>
      </c>
      <c r="D16065" s="5" t="s">
        <v>141</v>
      </c>
      <c r="E16065" s="5" t="str">
        <f t="shared" si="825"/>
        <v>ACTISALUD - BODEGA - WILLIAM ZUÑIGA-DIEGO GARCIA</v>
      </c>
      <c r="F16065" s="5"/>
      <c r="G16065" s="5"/>
    </row>
    <row r="16066" spans="1:7" ht="58.5" customHeight="1" x14ac:dyDescent="0.25">
      <c r="A16066" s="5" t="str">
        <f>"H0037592"</f>
        <v>H0037592</v>
      </c>
      <c r="B16066" s="5" t="str">
        <f t="shared" si="827"/>
        <v>KIT DE ORGANO DE LOS SENTIDOS CON FIBRA OPTICA (DONACION)</v>
      </c>
      <c r="C16066" s="6">
        <v>1456600</v>
      </c>
      <c r="D16066" s="5" t="s">
        <v>141</v>
      </c>
      <c r="E16066" s="5" t="str">
        <f t="shared" si="825"/>
        <v>ACTISALUD - BODEGA - WILLIAM ZUÑIGA-DIEGO GARCIA</v>
      </c>
      <c r="F16066" s="5"/>
      <c r="G16066" s="5"/>
    </row>
    <row r="16067" spans="1:7" ht="58.5" customHeight="1" x14ac:dyDescent="0.25">
      <c r="A16067" s="5" t="str">
        <f>"H0037593"</f>
        <v>H0037593</v>
      </c>
      <c r="B16067" s="5" t="str">
        <f t="shared" si="827"/>
        <v>KIT DE ORGANO DE LOS SENTIDOS CON FIBRA OPTICA (DONACION)</v>
      </c>
      <c r="C16067" s="6">
        <v>1456600</v>
      </c>
      <c r="D16067" s="5" t="s">
        <v>141</v>
      </c>
      <c r="E16067" s="5" t="str">
        <f t="shared" si="825"/>
        <v>ACTISALUD - BODEGA - WILLIAM ZUÑIGA-DIEGO GARCIA</v>
      </c>
      <c r="F16067" s="5"/>
      <c r="G16067" s="5"/>
    </row>
    <row r="16068" spans="1:7" ht="58.5" customHeight="1" x14ac:dyDescent="0.25">
      <c r="A16068" s="5" t="str">
        <f>"H0037594"</f>
        <v>H0037594</v>
      </c>
      <c r="B16068" s="5" t="str">
        <f t="shared" si="827"/>
        <v>KIT DE ORGANO DE LOS SENTIDOS CON FIBRA OPTICA (DONACION)</v>
      </c>
      <c r="C16068" s="6">
        <v>1456600</v>
      </c>
      <c r="D16068" s="5" t="s">
        <v>141</v>
      </c>
      <c r="E16068" s="5" t="str">
        <f t="shared" si="825"/>
        <v>ACTISALUD - BODEGA - WILLIAM ZUÑIGA-DIEGO GARCIA</v>
      </c>
      <c r="F16068" s="5"/>
      <c r="G16068" s="5"/>
    </row>
    <row r="16069" spans="1:7" ht="58.5" customHeight="1" x14ac:dyDescent="0.25">
      <c r="A16069" s="5" t="str">
        <f>"H0037595"</f>
        <v>H0037595</v>
      </c>
      <c r="B16069" s="5" t="str">
        <f>"CAMILLA PORTATIL (DONACION)"</f>
        <v>CAMILLA PORTATIL (DONACION)</v>
      </c>
      <c r="C16069" s="6">
        <v>480000</v>
      </c>
      <c r="D16069" s="5" t="s">
        <v>141</v>
      </c>
      <c r="E16069" s="5" t="str">
        <f t="shared" si="825"/>
        <v>ACTISALUD - BODEGA - WILLIAM ZUÑIGA-DIEGO GARCIA</v>
      </c>
      <c r="F16069" s="5"/>
      <c r="G16069" s="5"/>
    </row>
    <row r="16070" spans="1:7" ht="58.5" customHeight="1" x14ac:dyDescent="0.25">
      <c r="A16070" s="5" t="str">
        <f>"H0037596"</f>
        <v>H0037596</v>
      </c>
      <c r="B16070" s="5" t="str">
        <f>"CAMILLA PORTATIL (DONACION)"</f>
        <v>CAMILLA PORTATIL (DONACION)</v>
      </c>
      <c r="C16070" s="6">
        <v>480000</v>
      </c>
      <c r="D16070" s="5" t="s">
        <v>141</v>
      </c>
      <c r="E16070" s="5" t="str">
        <f t="shared" si="825"/>
        <v>ACTISALUD - BODEGA - WILLIAM ZUÑIGA-DIEGO GARCIA</v>
      </c>
      <c r="F16070" s="5"/>
      <c r="G16070" s="5"/>
    </row>
    <row r="16071" spans="1:7" ht="58.5" customHeight="1" x14ac:dyDescent="0.25">
      <c r="A16071" s="5" t="str">
        <f>"H0037597"</f>
        <v>H0037597</v>
      </c>
      <c r="B16071" s="5" t="str">
        <f>"CAMILLA PORTATIL (DONACION)"</f>
        <v>CAMILLA PORTATIL (DONACION)</v>
      </c>
      <c r="C16071" s="6">
        <v>480000</v>
      </c>
      <c r="D16071" s="5" t="s">
        <v>141</v>
      </c>
      <c r="E16071" s="5" t="str">
        <f t="shared" si="825"/>
        <v>ACTISALUD - BODEGA - WILLIAM ZUÑIGA-DIEGO GARCIA</v>
      </c>
      <c r="F16071" s="5"/>
      <c r="G16071" s="5"/>
    </row>
    <row r="16072" spans="1:7" ht="58.5" customHeight="1" x14ac:dyDescent="0.25">
      <c r="A16072" s="5" t="str">
        <f>"H0037599"</f>
        <v>H0037599</v>
      </c>
      <c r="B16072" s="5" t="str">
        <f>"VENTILADOR PEDESTAL SAMURAI (CODIGO DONACION)"</f>
        <v>VENTILADOR PEDESTAL SAMURAI (CODIGO DONACION)</v>
      </c>
      <c r="C16072" s="6">
        <v>210000</v>
      </c>
      <c r="D16072" s="5" t="s">
        <v>141</v>
      </c>
      <c r="E16072" s="5" t="str">
        <f t="shared" si="825"/>
        <v>ACTISALUD - BODEGA - WILLIAM ZUÑIGA-DIEGO GARCIA</v>
      </c>
      <c r="F16072" s="5"/>
      <c r="G16072" s="5"/>
    </row>
    <row r="16073" spans="1:7" ht="58.5" customHeight="1" x14ac:dyDescent="0.25">
      <c r="A16073" s="5" t="str">
        <f>"H0037609"</f>
        <v>H0037609</v>
      </c>
      <c r="B16073" s="5" t="str">
        <f>"KIT DE ORGANO DE LOS SENTIDOS CON FIBRA OPTICA (DONACION)"</f>
        <v>KIT DE ORGANO DE LOS SENTIDOS CON FIBRA OPTICA (DONACION)</v>
      </c>
      <c r="C16073" s="6">
        <v>990000</v>
      </c>
      <c r="D16073" s="5" t="s">
        <v>141</v>
      </c>
      <c r="E16073" s="5" t="str">
        <f t="shared" si="825"/>
        <v>ACTISALUD - BODEGA - WILLIAM ZUÑIGA-DIEGO GARCIA</v>
      </c>
      <c r="F16073" s="5"/>
      <c r="G16073" s="5"/>
    </row>
    <row r="16074" spans="1:7" ht="58.5" customHeight="1" x14ac:dyDescent="0.25">
      <c r="A16074" s="5" t="str">
        <f>"H0037610"</f>
        <v>H0037610</v>
      </c>
      <c r="B16074" s="5" t="str">
        <f>"MONITOR DE SIGNOS VITALES (DONACION)"</f>
        <v>MONITOR DE SIGNOS VITALES (DONACION)</v>
      </c>
      <c r="C16074" s="6">
        <v>3870000</v>
      </c>
      <c r="D16074" s="5" t="s">
        <v>141</v>
      </c>
      <c r="E16074" s="5" t="str">
        <f t="shared" si="825"/>
        <v>ACTISALUD - BODEGA - WILLIAM ZUÑIGA-DIEGO GARCIA</v>
      </c>
      <c r="F16074" s="5"/>
      <c r="G16074" s="5"/>
    </row>
    <row r="16075" spans="1:7" ht="58.5" customHeight="1" x14ac:dyDescent="0.25">
      <c r="A16075" s="5" t="str">
        <f>"H0037628"</f>
        <v>H0037628</v>
      </c>
      <c r="B16075" s="5" t="str">
        <f t="shared" ref="B16075:B16094" si="828">"PERFUSORES BOMBA DE JERINGA  (EXENTA DE IVA SEGÚN SENTENCIA 18472 DEL 7 DE MAYO DE 2014)"</f>
        <v>PERFUSORES BOMBA DE JERINGA  (EXENTA DE IVA SEGÚN SENTENCIA 18472 DEL 7 DE MAYO DE 2014)</v>
      </c>
      <c r="C16075" s="6">
        <v>4374850</v>
      </c>
      <c r="D16075" s="5" t="s">
        <v>636</v>
      </c>
      <c r="E16075" s="5" t="str">
        <f t="shared" si="825"/>
        <v>ACTISALUD - BODEGA - WILLIAM ZUÑIGA-DIEGO GARCIA</v>
      </c>
      <c r="F16075" s="5"/>
      <c r="G16075" s="5"/>
    </row>
    <row r="16076" spans="1:7" ht="58.5" customHeight="1" x14ac:dyDescent="0.25">
      <c r="A16076" s="5" t="str">
        <f>"H0037629"</f>
        <v>H0037629</v>
      </c>
      <c r="B16076" s="5" t="str">
        <f t="shared" si="828"/>
        <v>PERFUSORES BOMBA DE JERINGA  (EXENTA DE IVA SEGÚN SENTENCIA 18472 DEL 7 DE MAYO DE 2014)</v>
      </c>
      <c r="C16076" s="6">
        <v>4374850</v>
      </c>
      <c r="D16076" s="5" t="s">
        <v>636</v>
      </c>
      <c r="E16076" s="5" t="str">
        <f t="shared" si="825"/>
        <v>ACTISALUD - BODEGA - WILLIAM ZUÑIGA-DIEGO GARCIA</v>
      </c>
      <c r="F16076" s="5"/>
      <c r="G16076" s="5"/>
    </row>
    <row r="16077" spans="1:7" ht="58.5" customHeight="1" x14ac:dyDescent="0.25">
      <c r="A16077" s="5" t="str">
        <f>"H0037630"</f>
        <v>H0037630</v>
      </c>
      <c r="B16077" s="5" t="str">
        <f t="shared" si="828"/>
        <v>PERFUSORES BOMBA DE JERINGA  (EXENTA DE IVA SEGÚN SENTENCIA 18472 DEL 7 DE MAYO DE 2014)</v>
      </c>
      <c r="C16077" s="6">
        <v>4374850</v>
      </c>
      <c r="D16077" s="5" t="s">
        <v>636</v>
      </c>
      <c r="E16077" s="5" t="str">
        <f t="shared" si="825"/>
        <v>ACTISALUD - BODEGA - WILLIAM ZUÑIGA-DIEGO GARCIA</v>
      </c>
      <c r="F16077" s="5"/>
      <c r="G16077" s="5"/>
    </row>
    <row r="16078" spans="1:7" ht="58.5" customHeight="1" x14ac:dyDescent="0.25">
      <c r="A16078" s="5" t="str">
        <f>"H0037631"</f>
        <v>H0037631</v>
      </c>
      <c r="B16078" s="5" t="str">
        <f t="shared" si="828"/>
        <v>PERFUSORES BOMBA DE JERINGA  (EXENTA DE IVA SEGÚN SENTENCIA 18472 DEL 7 DE MAYO DE 2014)</v>
      </c>
      <c r="C16078" s="6">
        <v>4374850</v>
      </c>
      <c r="D16078" s="5" t="s">
        <v>636</v>
      </c>
      <c r="E16078" s="5" t="str">
        <f t="shared" si="825"/>
        <v>ACTISALUD - BODEGA - WILLIAM ZUÑIGA-DIEGO GARCIA</v>
      </c>
      <c r="F16078" s="5"/>
      <c r="G16078" s="5"/>
    </row>
    <row r="16079" spans="1:7" ht="58.5" customHeight="1" x14ac:dyDescent="0.25">
      <c r="A16079" s="5" t="str">
        <f>"H0037632"</f>
        <v>H0037632</v>
      </c>
      <c r="B16079" s="5" t="str">
        <f t="shared" si="828"/>
        <v>PERFUSORES BOMBA DE JERINGA  (EXENTA DE IVA SEGÚN SENTENCIA 18472 DEL 7 DE MAYO DE 2014)</v>
      </c>
      <c r="C16079" s="6">
        <v>4374850</v>
      </c>
      <c r="D16079" s="5" t="s">
        <v>636</v>
      </c>
      <c r="E16079" s="5" t="str">
        <f t="shared" si="825"/>
        <v>ACTISALUD - BODEGA - WILLIAM ZUÑIGA-DIEGO GARCIA</v>
      </c>
      <c r="F16079" s="5"/>
      <c r="G16079" s="5"/>
    </row>
    <row r="16080" spans="1:7" ht="58.5" customHeight="1" x14ac:dyDescent="0.25">
      <c r="A16080" s="5" t="str">
        <f>"H0037633"</f>
        <v>H0037633</v>
      </c>
      <c r="B16080" s="5" t="str">
        <f t="shared" si="828"/>
        <v>PERFUSORES BOMBA DE JERINGA  (EXENTA DE IVA SEGÚN SENTENCIA 18472 DEL 7 DE MAYO DE 2014)</v>
      </c>
      <c r="C16080" s="6">
        <v>4374850</v>
      </c>
      <c r="D16080" s="5" t="s">
        <v>636</v>
      </c>
      <c r="E16080" s="5" t="str">
        <f t="shared" si="825"/>
        <v>ACTISALUD - BODEGA - WILLIAM ZUÑIGA-DIEGO GARCIA</v>
      </c>
      <c r="F16080" s="5"/>
      <c r="G16080" s="5"/>
    </row>
    <row r="16081" spans="1:7" ht="58.5" customHeight="1" x14ac:dyDescent="0.25">
      <c r="A16081" s="5" t="str">
        <f>"H0037634"</f>
        <v>H0037634</v>
      </c>
      <c r="B16081" s="5" t="str">
        <f t="shared" si="828"/>
        <v>PERFUSORES BOMBA DE JERINGA  (EXENTA DE IVA SEGÚN SENTENCIA 18472 DEL 7 DE MAYO DE 2014)</v>
      </c>
      <c r="C16081" s="6">
        <v>4374850</v>
      </c>
      <c r="D16081" s="5" t="s">
        <v>636</v>
      </c>
      <c r="E16081" s="5" t="str">
        <f t="shared" si="825"/>
        <v>ACTISALUD - BODEGA - WILLIAM ZUÑIGA-DIEGO GARCIA</v>
      </c>
      <c r="F16081" s="5"/>
      <c r="G16081" s="5"/>
    </row>
    <row r="16082" spans="1:7" ht="58.5" customHeight="1" x14ac:dyDescent="0.25">
      <c r="A16082" s="5" t="str">
        <f>"H0037635"</f>
        <v>H0037635</v>
      </c>
      <c r="B16082" s="5" t="str">
        <f t="shared" si="828"/>
        <v>PERFUSORES BOMBA DE JERINGA  (EXENTA DE IVA SEGÚN SENTENCIA 18472 DEL 7 DE MAYO DE 2014)</v>
      </c>
      <c r="C16082" s="6">
        <v>4374850</v>
      </c>
      <c r="D16082" s="5" t="s">
        <v>636</v>
      </c>
      <c r="E16082" s="5" t="str">
        <f t="shared" si="825"/>
        <v>ACTISALUD - BODEGA - WILLIAM ZUÑIGA-DIEGO GARCIA</v>
      </c>
      <c r="F16082" s="5"/>
      <c r="G16082" s="5"/>
    </row>
    <row r="16083" spans="1:7" ht="58.5" customHeight="1" x14ac:dyDescent="0.25">
      <c r="A16083" s="5" t="str">
        <f>"H0037636"</f>
        <v>H0037636</v>
      </c>
      <c r="B16083" s="5" t="str">
        <f t="shared" si="828"/>
        <v>PERFUSORES BOMBA DE JERINGA  (EXENTA DE IVA SEGÚN SENTENCIA 18472 DEL 7 DE MAYO DE 2014)</v>
      </c>
      <c r="C16083" s="6">
        <v>4374850</v>
      </c>
      <c r="D16083" s="5" t="s">
        <v>636</v>
      </c>
      <c r="E16083" s="5" t="str">
        <f t="shared" si="825"/>
        <v>ACTISALUD - BODEGA - WILLIAM ZUÑIGA-DIEGO GARCIA</v>
      </c>
      <c r="F16083" s="5"/>
      <c r="G16083" s="5"/>
    </row>
    <row r="16084" spans="1:7" ht="58.5" customHeight="1" x14ac:dyDescent="0.25">
      <c r="A16084" s="5" t="str">
        <f>"H0037637"</f>
        <v>H0037637</v>
      </c>
      <c r="B16084" s="5" t="str">
        <f t="shared" si="828"/>
        <v>PERFUSORES BOMBA DE JERINGA  (EXENTA DE IVA SEGÚN SENTENCIA 18472 DEL 7 DE MAYO DE 2014)</v>
      </c>
      <c r="C16084" s="6">
        <v>4374850</v>
      </c>
      <c r="D16084" s="5" t="s">
        <v>636</v>
      </c>
      <c r="E16084" s="5" t="str">
        <f t="shared" si="825"/>
        <v>ACTISALUD - BODEGA - WILLIAM ZUÑIGA-DIEGO GARCIA</v>
      </c>
      <c r="F16084" s="5"/>
      <c r="G16084" s="5"/>
    </row>
    <row r="16085" spans="1:7" ht="58.5" customHeight="1" x14ac:dyDescent="0.25">
      <c r="A16085" s="5" t="str">
        <f>"H0037638"</f>
        <v>H0037638</v>
      </c>
      <c r="B16085" s="5" t="str">
        <f t="shared" si="828"/>
        <v>PERFUSORES BOMBA DE JERINGA  (EXENTA DE IVA SEGÚN SENTENCIA 18472 DEL 7 DE MAYO DE 2014)</v>
      </c>
      <c r="C16085" s="6">
        <v>4374850</v>
      </c>
      <c r="D16085" s="5" t="s">
        <v>636</v>
      </c>
      <c r="E16085" s="5" t="str">
        <f t="shared" si="825"/>
        <v>ACTISALUD - BODEGA - WILLIAM ZUÑIGA-DIEGO GARCIA</v>
      </c>
      <c r="F16085" s="5"/>
      <c r="G16085" s="5"/>
    </row>
    <row r="16086" spans="1:7" ht="58.5" customHeight="1" x14ac:dyDescent="0.25">
      <c r="A16086" s="5" t="str">
        <f>"H0037639"</f>
        <v>H0037639</v>
      </c>
      <c r="B16086" s="5" t="str">
        <f t="shared" si="828"/>
        <v>PERFUSORES BOMBA DE JERINGA  (EXENTA DE IVA SEGÚN SENTENCIA 18472 DEL 7 DE MAYO DE 2014)</v>
      </c>
      <c r="C16086" s="6">
        <v>4374850</v>
      </c>
      <c r="D16086" s="5" t="s">
        <v>636</v>
      </c>
      <c r="E16086" s="5" t="str">
        <f t="shared" si="825"/>
        <v>ACTISALUD - BODEGA - WILLIAM ZUÑIGA-DIEGO GARCIA</v>
      </c>
      <c r="F16086" s="5"/>
      <c r="G16086" s="5"/>
    </row>
    <row r="16087" spans="1:7" ht="58.5" customHeight="1" x14ac:dyDescent="0.25">
      <c r="A16087" s="5" t="str">
        <f>"H0037640"</f>
        <v>H0037640</v>
      </c>
      <c r="B16087" s="5" t="str">
        <f t="shared" si="828"/>
        <v>PERFUSORES BOMBA DE JERINGA  (EXENTA DE IVA SEGÚN SENTENCIA 18472 DEL 7 DE MAYO DE 2014)</v>
      </c>
      <c r="C16087" s="6">
        <v>4374850</v>
      </c>
      <c r="D16087" s="5" t="s">
        <v>636</v>
      </c>
      <c r="E16087" s="5" t="str">
        <f t="shared" si="825"/>
        <v>ACTISALUD - BODEGA - WILLIAM ZUÑIGA-DIEGO GARCIA</v>
      </c>
      <c r="F16087" s="5"/>
      <c r="G16087" s="5"/>
    </row>
    <row r="16088" spans="1:7" ht="58.5" customHeight="1" x14ac:dyDescent="0.25">
      <c r="A16088" s="5" t="str">
        <f>"H0037641"</f>
        <v>H0037641</v>
      </c>
      <c r="B16088" s="5" t="str">
        <f t="shared" si="828"/>
        <v>PERFUSORES BOMBA DE JERINGA  (EXENTA DE IVA SEGÚN SENTENCIA 18472 DEL 7 DE MAYO DE 2014)</v>
      </c>
      <c r="C16088" s="6">
        <v>4374850</v>
      </c>
      <c r="D16088" s="5" t="s">
        <v>636</v>
      </c>
      <c r="E16088" s="5" t="str">
        <f t="shared" si="825"/>
        <v>ACTISALUD - BODEGA - WILLIAM ZUÑIGA-DIEGO GARCIA</v>
      </c>
      <c r="F16088" s="5"/>
      <c r="G16088" s="5"/>
    </row>
    <row r="16089" spans="1:7" ht="58.5" customHeight="1" x14ac:dyDescent="0.25">
      <c r="A16089" s="5" t="str">
        <f>"H0037642"</f>
        <v>H0037642</v>
      </c>
      <c r="B16089" s="5" t="str">
        <f t="shared" si="828"/>
        <v>PERFUSORES BOMBA DE JERINGA  (EXENTA DE IVA SEGÚN SENTENCIA 18472 DEL 7 DE MAYO DE 2014)</v>
      </c>
      <c r="C16089" s="6">
        <v>4374850</v>
      </c>
      <c r="D16089" s="5" t="s">
        <v>636</v>
      </c>
      <c r="E16089" s="5" t="str">
        <f t="shared" si="825"/>
        <v>ACTISALUD - BODEGA - WILLIAM ZUÑIGA-DIEGO GARCIA</v>
      </c>
      <c r="F16089" s="5"/>
      <c r="G16089" s="5"/>
    </row>
    <row r="16090" spans="1:7" ht="58.5" customHeight="1" x14ac:dyDescent="0.25">
      <c r="A16090" s="5" t="str">
        <f>"H0037643"</f>
        <v>H0037643</v>
      </c>
      <c r="B16090" s="5" t="str">
        <f t="shared" si="828"/>
        <v>PERFUSORES BOMBA DE JERINGA  (EXENTA DE IVA SEGÚN SENTENCIA 18472 DEL 7 DE MAYO DE 2014)</v>
      </c>
      <c r="C16090" s="6">
        <v>4374850</v>
      </c>
      <c r="D16090" s="5" t="s">
        <v>636</v>
      </c>
      <c r="E16090" s="5" t="str">
        <f t="shared" si="825"/>
        <v>ACTISALUD - BODEGA - WILLIAM ZUÑIGA-DIEGO GARCIA</v>
      </c>
      <c r="F16090" s="5"/>
      <c r="G16090" s="5"/>
    </row>
    <row r="16091" spans="1:7" ht="58.5" customHeight="1" x14ac:dyDescent="0.25">
      <c r="A16091" s="5" t="str">
        <f>"H0037644"</f>
        <v>H0037644</v>
      </c>
      <c r="B16091" s="5" t="str">
        <f t="shared" si="828"/>
        <v>PERFUSORES BOMBA DE JERINGA  (EXENTA DE IVA SEGÚN SENTENCIA 18472 DEL 7 DE MAYO DE 2014)</v>
      </c>
      <c r="C16091" s="6">
        <v>4374850</v>
      </c>
      <c r="D16091" s="5" t="s">
        <v>777</v>
      </c>
      <c r="E16091" s="5" t="str">
        <f t="shared" si="825"/>
        <v>ACTISALUD - BODEGA - WILLIAM ZUÑIGA-DIEGO GARCIA</v>
      </c>
      <c r="F16091" s="5"/>
      <c r="G16091" s="5"/>
    </row>
    <row r="16092" spans="1:7" ht="58.5" customHeight="1" x14ac:dyDescent="0.25">
      <c r="A16092" s="5" t="str">
        <f>"H0037645"</f>
        <v>H0037645</v>
      </c>
      <c r="B16092" s="5" t="str">
        <f t="shared" si="828"/>
        <v>PERFUSORES BOMBA DE JERINGA  (EXENTA DE IVA SEGÚN SENTENCIA 18472 DEL 7 DE MAYO DE 2014)</v>
      </c>
      <c r="C16092" s="6">
        <v>4374850</v>
      </c>
      <c r="D16092" s="5" t="s">
        <v>636</v>
      </c>
      <c r="E16092" s="5" t="str">
        <f t="shared" si="825"/>
        <v>ACTISALUD - BODEGA - WILLIAM ZUÑIGA-DIEGO GARCIA</v>
      </c>
      <c r="F16092" s="5"/>
      <c r="G16092" s="5"/>
    </row>
    <row r="16093" spans="1:7" ht="58.5" customHeight="1" x14ac:dyDescent="0.25">
      <c r="A16093" s="5" t="str">
        <f>"H0037646"</f>
        <v>H0037646</v>
      </c>
      <c r="B16093" s="5" t="str">
        <f t="shared" si="828"/>
        <v>PERFUSORES BOMBA DE JERINGA  (EXENTA DE IVA SEGÚN SENTENCIA 18472 DEL 7 DE MAYO DE 2014)</v>
      </c>
      <c r="C16093" s="6">
        <v>4374850</v>
      </c>
      <c r="D16093" s="5" t="s">
        <v>636</v>
      </c>
      <c r="E16093" s="5" t="str">
        <f t="shared" si="825"/>
        <v>ACTISALUD - BODEGA - WILLIAM ZUÑIGA-DIEGO GARCIA</v>
      </c>
      <c r="F16093" s="5"/>
      <c r="G16093" s="5"/>
    </row>
    <row r="16094" spans="1:7" ht="58.5" customHeight="1" x14ac:dyDescent="0.25">
      <c r="A16094" s="5" t="str">
        <f>"H0037647"</f>
        <v>H0037647</v>
      </c>
      <c r="B16094" s="5" t="str">
        <f t="shared" si="828"/>
        <v>PERFUSORES BOMBA DE JERINGA  (EXENTA DE IVA SEGÚN SENTENCIA 18472 DEL 7 DE MAYO DE 2014)</v>
      </c>
      <c r="C16094" s="6">
        <v>4374850</v>
      </c>
      <c r="D16094" s="5" t="s">
        <v>636</v>
      </c>
      <c r="E16094" s="5" t="str">
        <f t="shared" si="825"/>
        <v>ACTISALUD - BODEGA - WILLIAM ZUÑIGA-DIEGO GARCIA</v>
      </c>
      <c r="F16094" s="5"/>
      <c r="G16094" s="5"/>
    </row>
    <row r="16095" spans="1:7" ht="58.5" customHeight="1" x14ac:dyDescent="0.25">
      <c r="A16095" s="5" t="str">
        <f>"H0037739"</f>
        <v>H0037739</v>
      </c>
      <c r="B16095" s="5" t="str">
        <f>"MESA (CARRO) DE CURACIONES"</f>
        <v>MESA (CARRO) DE CURACIONES</v>
      </c>
      <c r="C16095" s="6">
        <v>722000</v>
      </c>
      <c r="D16095" s="5" t="s">
        <v>141</v>
      </c>
      <c r="E16095" s="5" t="str">
        <f t="shared" si="825"/>
        <v>ACTISALUD - BODEGA - WILLIAM ZUÑIGA-DIEGO GARCIA</v>
      </c>
      <c r="F16095" s="5"/>
      <c r="G16095" s="5"/>
    </row>
    <row r="16096" spans="1:7" ht="58.5" customHeight="1" x14ac:dyDescent="0.25">
      <c r="A16096" s="5" t="str">
        <f>"H0037740"</f>
        <v>H0037740</v>
      </c>
      <c r="B16096" s="5" t="str">
        <f t="shared" ref="B16096:B16102" si="829">"biombo de dos cuerpos (DONACION)"</f>
        <v>biombo de dos cuerpos (DONACION)</v>
      </c>
      <c r="C16096" s="6">
        <v>185000</v>
      </c>
      <c r="D16096" s="5" t="s">
        <v>141</v>
      </c>
      <c r="E16096" s="5" t="str">
        <f t="shared" si="825"/>
        <v>ACTISALUD - BODEGA - WILLIAM ZUÑIGA-DIEGO GARCIA</v>
      </c>
      <c r="F16096" s="5"/>
      <c r="G16096" s="5"/>
    </row>
    <row r="16097" spans="1:7" ht="58.5" customHeight="1" x14ac:dyDescent="0.25">
      <c r="A16097" s="5" t="str">
        <f>"H0037741"</f>
        <v>H0037741</v>
      </c>
      <c r="B16097" s="5" t="str">
        <f t="shared" si="829"/>
        <v>biombo de dos cuerpos (DONACION)</v>
      </c>
      <c r="C16097" s="6">
        <v>185000</v>
      </c>
      <c r="D16097" s="5" t="s">
        <v>141</v>
      </c>
      <c r="E16097" s="5" t="str">
        <f t="shared" si="825"/>
        <v>ACTISALUD - BODEGA - WILLIAM ZUÑIGA-DIEGO GARCIA</v>
      </c>
      <c r="F16097" s="5"/>
      <c r="G16097" s="5"/>
    </row>
    <row r="16098" spans="1:7" ht="58.5" customHeight="1" x14ac:dyDescent="0.25">
      <c r="A16098" s="5" t="str">
        <f>"H0037742"</f>
        <v>H0037742</v>
      </c>
      <c r="B16098" s="5" t="str">
        <f t="shared" si="829"/>
        <v>biombo de dos cuerpos (DONACION)</v>
      </c>
      <c r="C16098" s="6">
        <v>185000</v>
      </c>
      <c r="D16098" s="5" t="s">
        <v>141</v>
      </c>
      <c r="E16098" s="5" t="str">
        <f t="shared" si="825"/>
        <v>ACTISALUD - BODEGA - WILLIAM ZUÑIGA-DIEGO GARCIA</v>
      </c>
      <c r="F16098" s="5"/>
      <c r="G16098" s="5"/>
    </row>
    <row r="16099" spans="1:7" ht="58.5" customHeight="1" x14ac:dyDescent="0.25">
      <c r="A16099" s="5" t="str">
        <f>"H0037743"</f>
        <v>H0037743</v>
      </c>
      <c r="B16099" s="5" t="str">
        <f t="shared" si="829"/>
        <v>biombo de dos cuerpos (DONACION)</v>
      </c>
      <c r="C16099" s="6">
        <v>185000</v>
      </c>
      <c r="D16099" s="5" t="s">
        <v>141</v>
      </c>
      <c r="E16099" s="5" t="str">
        <f t="shared" si="825"/>
        <v>ACTISALUD - BODEGA - WILLIAM ZUÑIGA-DIEGO GARCIA</v>
      </c>
      <c r="F16099" s="5"/>
      <c r="G16099" s="5"/>
    </row>
    <row r="16100" spans="1:7" ht="58.5" customHeight="1" x14ac:dyDescent="0.25">
      <c r="A16100" s="5" t="str">
        <f>"H0037748"</f>
        <v>H0037748</v>
      </c>
      <c r="B16100" s="5" t="str">
        <f t="shared" si="829"/>
        <v>biombo de dos cuerpos (DONACION)</v>
      </c>
      <c r="C16100" s="6">
        <v>145000</v>
      </c>
      <c r="D16100" s="5" t="s">
        <v>141</v>
      </c>
      <c r="E16100" s="5" t="str">
        <f t="shared" si="825"/>
        <v>ACTISALUD - BODEGA - WILLIAM ZUÑIGA-DIEGO GARCIA</v>
      </c>
      <c r="F16100" s="5"/>
      <c r="G16100" s="5"/>
    </row>
    <row r="16101" spans="1:7" ht="58.5" customHeight="1" x14ac:dyDescent="0.25">
      <c r="A16101" s="5" t="str">
        <f>"H0037749"</f>
        <v>H0037749</v>
      </c>
      <c r="B16101" s="5" t="str">
        <f t="shared" si="829"/>
        <v>biombo de dos cuerpos (DONACION)</v>
      </c>
      <c r="C16101" s="6">
        <v>145000</v>
      </c>
      <c r="D16101" s="5" t="s">
        <v>141</v>
      </c>
      <c r="E16101" s="5" t="str">
        <f t="shared" ref="E16101:E16164" si="830">"ACTISALUD - BODEGA - WILLIAM ZUÑIGA-DIEGO GARCIA"</f>
        <v>ACTISALUD - BODEGA - WILLIAM ZUÑIGA-DIEGO GARCIA</v>
      </c>
      <c r="F16101" s="5"/>
      <c r="G16101" s="5"/>
    </row>
    <row r="16102" spans="1:7" ht="58.5" customHeight="1" x14ac:dyDescent="0.25">
      <c r="A16102" s="5" t="str">
        <f>"H0037750"</f>
        <v>H0037750</v>
      </c>
      <c r="B16102" s="5" t="str">
        <f t="shared" si="829"/>
        <v>biombo de dos cuerpos (DONACION)</v>
      </c>
      <c r="C16102" s="6">
        <v>145000</v>
      </c>
      <c r="D16102" s="5" t="s">
        <v>141</v>
      </c>
      <c r="E16102" s="5" t="str">
        <f t="shared" si="830"/>
        <v>ACTISALUD - BODEGA - WILLIAM ZUÑIGA-DIEGO GARCIA</v>
      </c>
      <c r="F16102" s="5"/>
      <c r="G16102" s="5"/>
    </row>
    <row r="16103" spans="1:7" ht="58.5" customHeight="1" x14ac:dyDescent="0.25">
      <c r="A16103" s="5" t="str">
        <f>"H0037751"</f>
        <v>H0037751</v>
      </c>
      <c r="B16103" s="5" t="str">
        <f>"CAMILLA GINECOLOGICA (DONACION)"</f>
        <v>CAMILLA GINECOLOGICA (DONACION)</v>
      </c>
      <c r="C16103" s="6">
        <v>630000</v>
      </c>
      <c r="D16103" s="5" t="s">
        <v>141</v>
      </c>
      <c r="E16103" s="5" t="str">
        <f t="shared" si="830"/>
        <v>ACTISALUD - BODEGA - WILLIAM ZUÑIGA-DIEGO GARCIA</v>
      </c>
      <c r="F16103" s="5"/>
      <c r="G16103" s="5"/>
    </row>
    <row r="16104" spans="1:7" ht="58.5" customHeight="1" x14ac:dyDescent="0.25">
      <c r="A16104" s="5" t="str">
        <f>"H0037752"</f>
        <v>H0037752</v>
      </c>
      <c r="B16104" s="5" t="str">
        <f>"ECOGRAFO ULTRASONIDO Y TRANSDUCTORES(DONACION)"</f>
        <v>ECOGRAFO ULTRASONIDO Y TRANSDUCTORES(DONACION)</v>
      </c>
      <c r="C16104" s="6">
        <v>31500000</v>
      </c>
      <c r="D16104" s="5" t="s">
        <v>141</v>
      </c>
      <c r="E16104" s="5" t="str">
        <f t="shared" si="830"/>
        <v>ACTISALUD - BODEGA - WILLIAM ZUÑIGA-DIEGO GARCIA</v>
      </c>
      <c r="F16104" s="5"/>
      <c r="G16104" s="5"/>
    </row>
    <row r="16105" spans="1:7" ht="58.5" customHeight="1" x14ac:dyDescent="0.25">
      <c r="A16105" s="5" t="str">
        <f>"H0037753"</f>
        <v>H0037753</v>
      </c>
      <c r="B16105" s="5" t="str">
        <f>"CAMILLA GINECOLOGICA (DONACION)"</f>
        <v>CAMILLA GINECOLOGICA (DONACION)</v>
      </c>
      <c r="C16105" s="6">
        <v>805000</v>
      </c>
      <c r="D16105" s="5" t="s">
        <v>141</v>
      </c>
      <c r="E16105" s="5" t="str">
        <f t="shared" si="830"/>
        <v>ACTISALUD - BODEGA - WILLIAM ZUÑIGA-DIEGO GARCIA</v>
      </c>
      <c r="F16105" s="5"/>
      <c r="G16105" s="5"/>
    </row>
    <row r="16106" spans="1:7" ht="58.5" customHeight="1" x14ac:dyDescent="0.25">
      <c r="A16106" s="5" t="str">
        <f>"H0037759"</f>
        <v>H0037759</v>
      </c>
      <c r="B16106" s="5" t="str">
        <f>"CAMILLA GINECOLOGICA ELECTRICA (DONACION)"</f>
        <v>CAMILLA GINECOLOGICA ELECTRICA (DONACION)</v>
      </c>
      <c r="C16106" s="6">
        <v>2886940</v>
      </c>
      <c r="D16106" s="5" t="s">
        <v>141</v>
      </c>
      <c r="E16106" s="5" t="str">
        <f t="shared" si="830"/>
        <v>ACTISALUD - BODEGA - WILLIAM ZUÑIGA-DIEGO GARCIA</v>
      </c>
      <c r="F16106" s="5"/>
      <c r="G16106" s="5"/>
    </row>
    <row r="16107" spans="1:7" ht="58.5" customHeight="1" x14ac:dyDescent="0.25">
      <c r="A16107" s="5" t="str">
        <f>"H0037760"</f>
        <v>H0037760</v>
      </c>
      <c r="B16107" s="5" t="str">
        <f>"CAMILLA FIJA (TIPO DIVAN)"</f>
        <v>CAMILLA FIJA (TIPO DIVAN)</v>
      </c>
      <c r="C16107" s="6">
        <v>452000</v>
      </c>
      <c r="D16107" s="5" t="s">
        <v>141</v>
      </c>
      <c r="E16107" s="5" t="str">
        <f t="shared" si="830"/>
        <v>ACTISALUD - BODEGA - WILLIAM ZUÑIGA-DIEGO GARCIA</v>
      </c>
      <c r="F16107" s="5"/>
      <c r="G16107" s="5"/>
    </row>
    <row r="16108" spans="1:7" ht="58.5" customHeight="1" x14ac:dyDescent="0.25">
      <c r="A16108" s="5" t="str">
        <f>"H0037765"</f>
        <v>H0037765</v>
      </c>
      <c r="B16108" s="5" t="str">
        <f>"NEGATOSCOPIO METALICO DE UN CUERPO"</f>
        <v>NEGATOSCOPIO METALICO DE UN CUERPO</v>
      </c>
      <c r="C16108" s="6">
        <v>250000</v>
      </c>
      <c r="D16108" s="5" t="s">
        <v>141</v>
      </c>
      <c r="E16108" s="5" t="str">
        <f t="shared" si="830"/>
        <v>ACTISALUD - BODEGA - WILLIAM ZUÑIGA-DIEGO GARCIA</v>
      </c>
      <c r="F16108" s="5"/>
      <c r="G16108" s="5"/>
    </row>
    <row r="16109" spans="1:7" ht="58.5" customHeight="1" x14ac:dyDescent="0.25">
      <c r="A16109" s="5" t="str">
        <f>"H0037766"</f>
        <v>H0037766</v>
      </c>
      <c r="B16109" s="5" t="str">
        <f>"NEGATOSCOPIO METALICO DE UN CUERPO"</f>
        <v>NEGATOSCOPIO METALICO DE UN CUERPO</v>
      </c>
      <c r="C16109" s="6">
        <v>250000</v>
      </c>
      <c r="D16109" s="5" t="s">
        <v>141</v>
      </c>
      <c r="E16109" s="5" t="str">
        <f t="shared" si="830"/>
        <v>ACTISALUD - BODEGA - WILLIAM ZUÑIGA-DIEGO GARCIA</v>
      </c>
      <c r="F16109" s="5"/>
      <c r="G16109" s="5"/>
    </row>
    <row r="16110" spans="1:7" ht="58.5" customHeight="1" x14ac:dyDescent="0.25">
      <c r="A16110" s="5" t="str">
        <f>"H0037767"</f>
        <v>H0037767</v>
      </c>
      <c r="B16110" s="5" t="str">
        <f>"LAVAMANOS PORTATIL EN ACERO INOXIDABLE (DONACION)"</f>
        <v>LAVAMANOS PORTATIL EN ACERO INOXIDABLE (DONACION)</v>
      </c>
      <c r="C16110" s="6">
        <v>226100</v>
      </c>
      <c r="D16110" s="5" t="s">
        <v>141</v>
      </c>
      <c r="E16110" s="5" t="str">
        <f t="shared" si="830"/>
        <v>ACTISALUD - BODEGA - WILLIAM ZUÑIGA-DIEGO GARCIA</v>
      </c>
      <c r="F16110" s="5"/>
      <c r="G16110" s="5"/>
    </row>
    <row r="16111" spans="1:7" ht="58.5" customHeight="1" x14ac:dyDescent="0.25">
      <c r="A16111" s="5" t="str">
        <f>"H0037768"</f>
        <v>H0037768</v>
      </c>
      <c r="B16111" s="5" t="str">
        <f t="shared" ref="B16111:B16116" si="831">"BALANZA DE PESAJE DIGITAL CAPACIDAD 200 KG  (DONACION)"</f>
        <v>BALANZA DE PESAJE DIGITAL CAPACIDAD 200 KG  (DONACION)</v>
      </c>
      <c r="C16111" s="6">
        <v>177000</v>
      </c>
      <c r="D16111" s="5" t="s">
        <v>141</v>
      </c>
      <c r="E16111" s="5" t="str">
        <f t="shared" si="830"/>
        <v>ACTISALUD - BODEGA - WILLIAM ZUÑIGA-DIEGO GARCIA</v>
      </c>
      <c r="F16111" s="5"/>
      <c r="G16111" s="5"/>
    </row>
    <row r="16112" spans="1:7" ht="58.5" customHeight="1" x14ac:dyDescent="0.25">
      <c r="A16112" s="5" t="str">
        <f>"H0037769"</f>
        <v>H0037769</v>
      </c>
      <c r="B16112" s="5" t="str">
        <f t="shared" si="831"/>
        <v>BALANZA DE PESAJE DIGITAL CAPACIDAD 200 KG  (DONACION)</v>
      </c>
      <c r="C16112" s="6">
        <v>177000</v>
      </c>
      <c r="D16112" s="5" t="s">
        <v>141</v>
      </c>
      <c r="E16112" s="5" t="str">
        <f t="shared" si="830"/>
        <v>ACTISALUD - BODEGA - WILLIAM ZUÑIGA-DIEGO GARCIA</v>
      </c>
      <c r="F16112" s="5"/>
      <c r="G16112" s="5"/>
    </row>
    <row r="16113" spans="1:7" ht="58.5" customHeight="1" x14ac:dyDescent="0.25">
      <c r="A16113" s="5" t="str">
        <f>"H0037770"</f>
        <v>H0037770</v>
      </c>
      <c r="B16113" s="5" t="str">
        <f t="shared" si="831"/>
        <v>BALANZA DE PESAJE DIGITAL CAPACIDAD 200 KG  (DONACION)</v>
      </c>
      <c r="C16113" s="6">
        <v>177000</v>
      </c>
      <c r="D16113" s="5" t="s">
        <v>141</v>
      </c>
      <c r="E16113" s="5" t="str">
        <f t="shared" si="830"/>
        <v>ACTISALUD - BODEGA - WILLIAM ZUÑIGA-DIEGO GARCIA</v>
      </c>
      <c r="F16113" s="5"/>
      <c r="G16113" s="5"/>
    </row>
    <row r="16114" spans="1:7" ht="58.5" customHeight="1" x14ac:dyDescent="0.25">
      <c r="A16114" s="5" t="str">
        <f>"H0037771"</f>
        <v>H0037771</v>
      </c>
      <c r="B16114" s="5" t="str">
        <f t="shared" si="831"/>
        <v>BALANZA DE PESAJE DIGITAL CAPACIDAD 200 KG  (DONACION)</v>
      </c>
      <c r="C16114" s="6">
        <v>177000</v>
      </c>
      <c r="D16114" s="5" t="s">
        <v>141</v>
      </c>
      <c r="E16114" s="5" t="str">
        <f t="shared" si="830"/>
        <v>ACTISALUD - BODEGA - WILLIAM ZUÑIGA-DIEGO GARCIA</v>
      </c>
      <c r="F16114" s="5"/>
      <c r="G16114" s="5"/>
    </row>
    <row r="16115" spans="1:7" ht="58.5" customHeight="1" x14ac:dyDescent="0.25">
      <c r="A16115" s="5" t="str">
        <f>"H0037772"</f>
        <v>H0037772</v>
      </c>
      <c r="B16115" s="5" t="str">
        <f t="shared" si="831"/>
        <v>BALANZA DE PESAJE DIGITAL CAPACIDAD 200 KG  (DONACION)</v>
      </c>
      <c r="C16115" s="6">
        <v>177000</v>
      </c>
      <c r="D16115" s="5" t="s">
        <v>141</v>
      </c>
      <c r="E16115" s="5" t="str">
        <f t="shared" si="830"/>
        <v>ACTISALUD - BODEGA - WILLIAM ZUÑIGA-DIEGO GARCIA</v>
      </c>
      <c r="F16115" s="5"/>
      <c r="G16115" s="5"/>
    </row>
    <row r="16116" spans="1:7" ht="58.5" customHeight="1" x14ac:dyDescent="0.25">
      <c r="A16116" s="5" t="str">
        <f>"H0037773"</f>
        <v>H0037773</v>
      </c>
      <c r="B16116" s="5" t="str">
        <f t="shared" si="831"/>
        <v>BALANZA DE PESAJE DIGITAL CAPACIDAD 200 KG  (DONACION)</v>
      </c>
      <c r="C16116" s="6">
        <v>177000</v>
      </c>
      <c r="D16116" s="5" t="s">
        <v>141</v>
      </c>
      <c r="E16116" s="5" t="str">
        <f t="shared" si="830"/>
        <v>ACTISALUD - BODEGA - WILLIAM ZUÑIGA-DIEGO GARCIA</v>
      </c>
      <c r="F16116" s="5"/>
      <c r="G16116" s="5"/>
    </row>
    <row r="16117" spans="1:7" ht="58.5" customHeight="1" x14ac:dyDescent="0.25">
      <c r="A16117" s="5" t="str">
        <f>"H0037778"</f>
        <v>H0037778</v>
      </c>
      <c r="B16117" s="5" t="str">
        <f>"LAMPARA CUELLO CISNE"</f>
        <v>LAMPARA CUELLO CISNE</v>
      </c>
      <c r="C16117" s="6">
        <v>2573970</v>
      </c>
      <c r="D16117" s="5" t="s">
        <v>141</v>
      </c>
      <c r="E16117" s="5" t="str">
        <f t="shared" si="830"/>
        <v>ACTISALUD - BODEGA - WILLIAM ZUÑIGA-DIEGO GARCIA</v>
      </c>
      <c r="F16117" s="5"/>
      <c r="G16117" s="5"/>
    </row>
    <row r="16118" spans="1:7" ht="58.5" customHeight="1" x14ac:dyDescent="0.25">
      <c r="A16118" s="5" t="str">
        <f>"H0037779"</f>
        <v>H0037779</v>
      </c>
      <c r="B16118" s="5" t="str">
        <f>"LAMPARA CUELLO CISNE"</f>
        <v>LAMPARA CUELLO CISNE</v>
      </c>
      <c r="C16118" s="6">
        <v>2573970</v>
      </c>
      <c r="D16118" s="5" t="s">
        <v>141</v>
      </c>
      <c r="E16118" s="5" t="str">
        <f t="shared" si="830"/>
        <v>ACTISALUD - BODEGA - WILLIAM ZUÑIGA-DIEGO GARCIA</v>
      </c>
      <c r="F16118" s="5"/>
      <c r="G16118" s="5"/>
    </row>
    <row r="16119" spans="1:7" ht="58.5" customHeight="1" x14ac:dyDescent="0.25">
      <c r="A16119" s="5" t="str">
        <f>"H0037780"</f>
        <v>H0037780</v>
      </c>
      <c r="B16119" s="5" t="str">
        <f>"LAMPARA AUXILIAR RODANTE"</f>
        <v>LAMPARA AUXILIAR RODANTE</v>
      </c>
      <c r="C16119" s="6">
        <v>4400000</v>
      </c>
      <c r="D16119" s="5" t="s">
        <v>141</v>
      </c>
      <c r="E16119" s="5" t="str">
        <f t="shared" si="830"/>
        <v>ACTISALUD - BODEGA - WILLIAM ZUÑIGA-DIEGO GARCIA</v>
      </c>
      <c r="F16119" s="5"/>
      <c r="G16119" s="5"/>
    </row>
    <row r="16120" spans="1:7" ht="58.5" customHeight="1" x14ac:dyDescent="0.25">
      <c r="A16120" s="5" t="str">
        <f>"H0037781"</f>
        <v>H0037781</v>
      </c>
      <c r="B16120" s="5" t="str">
        <f>"CAMILLA PORTATIL (DONACION)"</f>
        <v>CAMILLA PORTATIL (DONACION)</v>
      </c>
      <c r="C16120" s="6">
        <v>1460000</v>
      </c>
      <c r="D16120" s="5" t="s">
        <v>141</v>
      </c>
      <c r="E16120" s="5" t="str">
        <f t="shared" si="830"/>
        <v>ACTISALUD - BODEGA - WILLIAM ZUÑIGA-DIEGO GARCIA</v>
      </c>
      <c r="F16120" s="5"/>
      <c r="G16120" s="5"/>
    </row>
    <row r="16121" spans="1:7" ht="58.5" customHeight="1" x14ac:dyDescent="0.25">
      <c r="A16121" s="5" t="str">
        <f>"H0037782"</f>
        <v>H0037782</v>
      </c>
      <c r="B16121" s="5" t="str">
        <f>"AIRE ACONDICIONADO PORTATIL (DONACION)"</f>
        <v>AIRE ACONDICIONADO PORTATIL (DONACION)</v>
      </c>
      <c r="C16121" s="6">
        <v>950000</v>
      </c>
      <c r="D16121" s="5" t="s">
        <v>141</v>
      </c>
      <c r="E16121" s="5" t="str">
        <f t="shared" si="830"/>
        <v>ACTISALUD - BODEGA - WILLIAM ZUÑIGA-DIEGO GARCIA</v>
      </c>
      <c r="F16121" s="5"/>
      <c r="G16121" s="5"/>
    </row>
    <row r="16122" spans="1:7" ht="58.5" customHeight="1" x14ac:dyDescent="0.25">
      <c r="A16122" s="5" t="str">
        <f>"H0038105"</f>
        <v>H0038105</v>
      </c>
      <c r="B16122" s="5" t="str">
        <f>"INTENSIFICADOR DE IMAGEN PARA RADIOLOGIA"</f>
        <v>INTENSIFICADOR DE IMAGEN PARA RADIOLOGIA</v>
      </c>
      <c r="C16122" s="6">
        <v>662071970</v>
      </c>
      <c r="D16122" s="5" t="s">
        <v>778</v>
      </c>
      <c r="E16122" s="5" t="str">
        <f t="shared" si="830"/>
        <v>ACTISALUD - BODEGA - WILLIAM ZUÑIGA-DIEGO GARCIA</v>
      </c>
      <c r="F16122" s="5"/>
      <c r="G16122" s="5"/>
    </row>
    <row r="16123" spans="1:7" ht="58.5" customHeight="1" x14ac:dyDescent="0.25">
      <c r="A16123" s="5" t="str">
        <f>"H0038106"</f>
        <v>H0038106</v>
      </c>
      <c r="B16123" s="5" t="str">
        <f>"TERMOMETRO NASOFARINGEO Y RECTALES PARA ADULTOS"</f>
        <v>TERMOMETRO NASOFARINGEO Y RECTALES PARA ADULTOS</v>
      </c>
      <c r="C16123" s="6">
        <v>2529627</v>
      </c>
      <c r="D16123" s="5" t="s">
        <v>779</v>
      </c>
      <c r="E16123" s="5" t="str">
        <f t="shared" si="830"/>
        <v>ACTISALUD - BODEGA - WILLIAM ZUÑIGA-DIEGO GARCIA</v>
      </c>
      <c r="F16123" s="5"/>
      <c r="G16123" s="5"/>
    </row>
    <row r="16124" spans="1:7" ht="58.5" customHeight="1" x14ac:dyDescent="0.25">
      <c r="A16124" s="5" t="str">
        <f>"H0038107"</f>
        <v>H0038107</v>
      </c>
      <c r="B16124" s="5" t="str">
        <f>"TERMOMETRO NASOFARINGEO Y RECTALES PARA ADULTOS"</f>
        <v>TERMOMETRO NASOFARINGEO Y RECTALES PARA ADULTOS</v>
      </c>
      <c r="C16124" s="6">
        <v>2529627</v>
      </c>
      <c r="D16124" s="5" t="s">
        <v>779</v>
      </c>
      <c r="E16124" s="5" t="str">
        <f t="shared" si="830"/>
        <v>ACTISALUD - BODEGA - WILLIAM ZUÑIGA-DIEGO GARCIA</v>
      </c>
      <c r="F16124" s="5"/>
      <c r="G16124" s="5"/>
    </row>
    <row r="16125" spans="1:7" ht="58.5" customHeight="1" x14ac:dyDescent="0.25">
      <c r="A16125" s="5" t="str">
        <f>"H0038108"</f>
        <v>H0038108</v>
      </c>
      <c r="B16125" s="5" t="str">
        <f>"ELECTROBISTURI"</f>
        <v>ELECTROBISTURI</v>
      </c>
      <c r="C16125" s="6">
        <v>97363420</v>
      </c>
      <c r="D16125" s="5" t="s">
        <v>780</v>
      </c>
      <c r="E16125" s="5" t="str">
        <f t="shared" si="830"/>
        <v>ACTISALUD - BODEGA - WILLIAM ZUÑIGA-DIEGO GARCIA</v>
      </c>
      <c r="F16125" s="5"/>
      <c r="G16125" s="5"/>
    </row>
    <row r="16126" spans="1:7" ht="58.5" customHeight="1" x14ac:dyDescent="0.25">
      <c r="A16126" s="5" t="str">
        <f>"H0038109"</f>
        <v>H0038109</v>
      </c>
      <c r="B16126" s="5" t="str">
        <f>"MAQUINA DE CIRCULACIÓN EXTRACORPOREA"</f>
        <v>MAQUINA DE CIRCULACIÓN EXTRACORPOREA</v>
      </c>
      <c r="C16126" s="6">
        <v>1032372615</v>
      </c>
      <c r="D16126" s="5" t="s">
        <v>780</v>
      </c>
      <c r="E16126" s="5" t="str">
        <f t="shared" si="830"/>
        <v>ACTISALUD - BODEGA - WILLIAM ZUÑIGA-DIEGO GARCIA</v>
      </c>
      <c r="F16126" s="5"/>
      <c r="G16126" s="5"/>
    </row>
    <row r="16127" spans="1:7" ht="58.5" customHeight="1" x14ac:dyDescent="0.25">
      <c r="A16127" s="5" t="str">
        <f>"H0038110"</f>
        <v>H0038110</v>
      </c>
      <c r="B16127" s="5" t="str">
        <f>"SALVADOR DE CELULAS"</f>
        <v>SALVADOR DE CELULAS</v>
      </c>
      <c r="C16127" s="6">
        <v>347860523</v>
      </c>
      <c r="D16127" s="5" t="s">
        <v>780</v>
      </c>
      <c r="E16127" s="5" t="str">
        <f t="shared" si="830"/>
        <v>ACTISALUD - BODEGA - WILLIAM ZUÑIGA-DIEGO GARCIA</v>
      </c>
      <c r="F16127" s="5" t="str">
        <f>"B038011E23"</f>
        <v>B038011E23</v>
      </c>
      <c r="G16127" s="5"/>
    </row>
    <row r="16128" spans="1:7" ht="58.5" customHeight="1" x14ac:dyDescent="0.25">
      <c r="A16128" s="5" t="str">
        <f>"H0038122"</f>
        <v>H0038122</v>
      </c>
      <c r="B16128" s="5" t="str">
        <f>"COMPUTADOR TODO EN UNO"</f>
        <v>COMPUTADOR TODO EN UNO</v>
      </c>
      <c r="C16128" s="6">
        <v>7497000</v>
      </c>
      <c r="D16128" s="5" t="s">
        <v>31</v>
      </c>
      <c r="E16128" s="5" t="str">
        <f t="shared" si="830"/>
        <v>ACTISALUD - BODEGA - WILLIAM ZUÑIGA-DIEGO GARCIA</v>
      </c>
      <c r="F16128" s="5"/>
      <c r="G16128" s="5"/>
    </row>
    <row r="16129" spans="1:7" ht="58.5" customHeight="1" x14ac:dyDescent="0.25">
      <c r="A16129" s="5" t="str">
        <f>"H0038140"</f>
        <v>H0038140</v>
      </c>
      <c r="B16129" s="5" t="str">
        <f>"MONITOR DE SIGNOS VITALES"</f>
        <v>MONITOR DE SIGNOS VITALES</v>
      </c>
      <c r="C16129" s="6">
        <v>230449597.5</v>
      </c>
      <c r="D16129" s="5" t="s">
        <v>426</v>
      </c>
      <c r="E16129" s="5" t="str">
        <f t="shared" si="830"/>
        <v>ACTISALUD - BODEGA - WILLIAM ZUÑIGA-DIEGO GARCIA</v>
      </c>
      <c r="F16129" s="5"/>
      <c r="G16129" s="5"/>
    </row>
    <row r="16130" spans="1:7" ht="58.5" customHeight="1" x14ac:dyDescent="0.25">
      <c r="A16130" s="5" t="str">
        <f>"H0038141"</f>
        <v>H0038141</v>
      </c>
      <c r="B16130" s="5" t="str">
        <f>"MONITOR DE SIGNOS VITALES"</f>
        <v>MONITOR DE SIGNOS VITALES</v>
      </c>
      <c r="C16130" s="6">
        <v>230449597.5</v>
      </c>
      <c r="D16130" s="5" t="s">
        <v>426</v>
      </c>
      <c r="E16130" s="5" t="str">
        <f t="shared" si="830"/>
        <v>ACTISALUD - BODEGA - WILLIAM ZUÑIGA-DIEGO GARCIA</v>
      </c>
      <c r="F16130" s="5"/>
      <c r="G16130" s="5"/>
    </row>
    <row r="16131" spans="1:7" ht="58.5" customHeight="1" x14ac:dyDescent="0.25">
      <c r="A16131" s="5" t="str">
        <f>"H0038142"</f>
        <v>H0038142</v>
      </c>
      <c r="B16131" s="5" t="str">
        <f>"MONITOR DE SIGNOS VITALES"</f>
        <v>MONITOR DE SIGNOS VITALES</v>
      </c>
      <c r="C16131" s="6">
        <v>230449597.5</v>
      </c>
      <c r="D16131" s="5" t="s">
        <v>426</v>
      </c>
      <c r="E16131" s="5" t="str">
        <f t="shared" si="830"/>
        <v>ACTISALUD - BODEGA - WILLIAM ZUÑIGA-DIEGO GARCIA</v>
      </c>
      <c r="F16131" s="5"/>
      <c r="G16131" s="5"/>
    </row>
    <row r="16132" spans="1:7" ht="58.5" customHeight="1" x14ac:dyDescent="0.25">
      <c r="A16132" s="5" t="str">
        <f>"H0038143"</f>
        <v>H0038143</v>
      </c>
      <c r="B16132" s="5" t="str">
        <f>"MONITOR DE SIGNOS VITALES"</f>
        <v>MONITOR DE SIGNOS VITALES</v>
      </c>
      <c r="C16132" s="6">
        <v>230449597.5</v>
      </c>
      <c r="D16132" s="5" t="s">
        <v>426</v>
      </c>
      <c r="E16132" s="5" t="str">
        <f t="shared" si="830"/>
        <v>ACTISALUD - BODEGA - WILLIAM ZUÑIGA-DIEGO GARCIA</v>
      </c>
      <c r="F16132" s="5"/>
      <c r="G16132" s="5"/>
    </row>
    <row r="16133" spans="1:7" ht="58.5" customHeight="1" x14ac:dyDescent="0.25">
      <c r="A16133" s="5" t="str">
        <f>"H0038144"</f>
        <v>H0038144</v>
      </c>
      <c r="B16133" s="5" t="str">
        <f>"MODULO DE ANESTESIA"</f>
        <v>MODULO DE ANESTESIA</v>
      </c>
      <c r="C16133" s="6">
        <v>64465751</v>
      </c>
      <c r="D16133" s="5" t="s">
        <v>426</v>
      </c>
      <c r="E16133" s="5" t="str">
        <f t="shared" si="830"/>
        <v>ACTISALUD - BODEGA - WILLIAM ZUÑIGA-DIEGO GARCIA</v>
      </c>
      <c r="F16133" s="5"/>
      <c r="G16133" s="5"/>
    </row>
    <row r="16134" spans="1:7" ht="58.5" customHeight="1" x14ac:dyDescent="0.25">
      <c r="A16134" s="5" t="str">
        <f>"H0038149"</f>
        <v>H0038149</v>
      </c>
      <c r="B16134" s="5" t="str">
        <f>"ELECTROCARDIOGRAFO"</f>
        <v>ELECTROCARDIOGRAFO</v>
      </c>
      <c r="C16134" s="6">
        <v>16600500</v>
      </c>
      <c r="D16134" s="5" t="s">
        <v>142</v>
      </c>
      <c r="E16134" s="5" t="str">
        <f t="shared" si="830"/>
        <v>ACTISALUD - BODEGA - WILLIAM ZUÑIGA-DIEGO GARCIA</v>
      </c>
      <c r="F16134" s="5"/>
      <c r="G16134" s="5"/>
    </row>
    <row r="16135" spans="1:7" ht="58.5" customHeight="1" x14ac:dyDescent="0.25">
      <c r="A16135" s="5" t="str">
        <f>"H0038152"</f>
        <v>H0038152</v>
      </c>
      <c r="B16135" s="5" t="str">
        <f>"ELECTROBISTURI"</f>
        <v>ELECTROBISTURI</v>
      </c>
      <c r="C16135" s="6">
        <v>97363420</v>
      </c>
      <c r="D16135" s="5" t="s">
        <v>142</v>
      </c>
      <c r="E16135" s="5" t="str">
        <f t="shared" si="830"/>
        <v>ACTISALUD - BODEGA - WILLIAM ZUÑIGA-DIEGO GARCIA</v>
      </c>
      <c r="F16135" s="5"/>
      <c r="G16135" s="5"/>
    </row>
    <row r="16136" spans="1:7" ht="58.5" customHeight="1" x14ac:dyDescent="0.25">
      <c r="A16136" s="5" t="str">
        <f>"H0038155"</f>
        <v>H0038155</v>
      </c>
      <c r="B16136" s="5" t="str">
        <f>"INTERCAMBIADOR DE CALOR"</f>
        <v>INTERCAMBIADOR DE CALOR</v>
      </c>
      <c r="C16136" s="6">
        <v>351002931</v>
      </c>
      <c r="D16136" s="5" t="s">
        <v>142</v>
      </c>
      <c r="E16136" s="5" t="str">
        <f t="shared" si="830"/>
        <v>ACTISALUD - BODEGA - WILLIAM ZUÑIGA-DIEGO GARCIA</v>
      </c>
      <c r="F16136" s="5"/>
      <c r="G16136" s="5"/>
    </row>
    <row r="16137" spans="1:7" ht="58.5" customHeight="1" x14ac:dyDescent="0.25">
      <c r="A16137" s="5" t="str">
        <f>"H0038186"</f>
        <v>H0038186</v>
      </c>
      <c r="B16137" s="5" t="str">
        <f>"ECOGRAFO"</f>
        <v>ECOGRAFO</v>
      </c>
      <c r="C16137" s="6">
        <v>899547002</v>
      </c>
      <c r="D16137" s="5" t="s">
        <v>591</v>
      </c>
      <c r="E16137" s="5" t="str">
        <f t="shared" si="830"/>
        <v>ACTISALUD - BODEGA - WILLIAM ZUÑIGA-DIEGO GARCIA</v>
      </c>
      <c r="F16137" s="5"/>
      <c r="G16137" s="5"/>
    </row>
    <row r="16138" spans="1:7" ht="58.5" customHeight="1" x14ac:dyDescent="0.25">
      <c r="A16138" s="5" t="str">
        <f>"H0038187"</f>
        <v>H0038187</v>
      </c>
      <c r="B16138" s="5" t="str">
        <f>"ANALIZADOR DE COAGULACIÓN ROTEM"</f>
        <v>ANALIZADOR DE COAGULACIÓN ROTEM</v>
      </c>
      <c r="C16138" s="6">
        <v>497386572</v>
      </c>
      <c r="D16138" s="5" t="s">
        <v>591</v>
      </c>
      <c r="E16138" s="5" t="str">
        <f t="shared" si="830"/>
        <v>ACTISALUD - BODEGA - WILLIAM ZUÑIGA-DIEGO GARCIA</v>
      </c>
      <c r="F16138" s="5"/>
      <c r="G16138" s="5"/>
    </row>
    <row r="16139" spans="1:7" ht="58.5" customHeight="1" x14ac:dyDescent="0.25">
      <c r="A16139" s="5" t="str">
        <f>"H0038189"</f>
        <v>H0038189</v>
      </c>
      <c r="B16139" s="5" t="str">
        <f>"BALANZA PARA BARIATRICOS"</f>
        <v>BALANZA PARA BARIATRICOS</v>
      </c>
      <c r="C16139" s="6">
        <v>8683668</v>
      </c>
      <c r="D16139" s="5" t="s">
        <v>591</v>
      </c>
      <c r="E16139" s="5" t="str">
        <f t="shared" si="830"/>
        <v>ACTISALUD - BODEGA - WILLIAM ZUÑIGA-DIEGO GARCIA</v>
      </c>
      <c r="F16139" s="5"/>
      <c r="G16139" s="5"/>
    </row>
    <row r="16140" spans="1:7" ht="58.5" customHeight="1" x14ac:dyDescent="0.25">
      <c r="A16140" s="5" t="str">
        <f>"H0038221"</f>
        <v>H0038221</v>
      </c>
      <c r="B16140" s="5" t="str">
        <f>"DESFIBRILADOR"</f>
        <v>DESFIBRILADOR</v>
      </c>
      <c r="C16140" s="6">
        <v>42169760</v>
      </c>
      <c r="D16140" s="5" t="s">
        <v>340</v>
      </c>
      <c r="E16140" s="5" t="str">
        <f t="shared" si="830"/>
        <v>ACTISALUD - BODEGA - WILLIAM ZUÑIGA-DIEGO GARCIA</v>
      </c>
      <c r="F16140" s="5"/>
      <c r="G16140" s="5"/>
    </row>
    <row r="16141" spans="1:7" ht="58.5" customHeight="1" x14ac:dyDescent="0.25">
      <c r="A16141" s="5" t="str">
        <f>"H0038224"</f>
        <v>H0038224</v>
      </c>
      <c r="B16141" s="5" t="str">
        <f>"LARINGOSCOPIO ADULTO"</f>
        <v>LARINGOSCOPIO ADULTO</v>
      </c>
      <c r="C16141" s="6">
        <v>4284001</v>
      </c>
      <c r="D16141" s="5" t="s">
        <v>591</v>
      </c>
      <c r="E16141" s="5" t="str">
        <f t="shared" si="830"/>
        <v>ACTISALUD - BODEGA - WILLIAM ZUÑIGA-DIEGO GARCIA</v>
      </c>
      <c r="F16141" s="5"/>
      <c r="G16141" s="5"/>
    </row>
    <row r="16142" spans="1:7" ht="58.5" customHeight="1" x14ac:dyDescent="0.25">
      <c r="A16142" s="5" t="str">
        <f>"H0038225"</f>
        <v>H0038225</v>
      </c>
      <c r="B16142" s="5" t="str">
        <f>"LARINGOSCOPIO ADULTO"</f>
        <v>LARINGOSCOPIO ADULTO</v>
      </c>
      <c r="C16142" s="6">
        <v>4284001</v>
      </c>
      <c r="D16142" s="5" t="s">
        <v>591</v>
      </c>
      <c r="E16142" s="5" t="str">
        <f t="shared" si="830"/>
        <v>ACTISALUD - BODEGA - WILLIAM ZUÑIGA-DIEGO GARCIA</v>
      </c>
      <c r="F16142" s="5"/>
      <c r="G16142" s="5"/>
    </row>
    <row r="16143" spans="1:7" ht="58.5" customHeight="1" x14ac:dyDescent="0.25">
      <c r="A16143" s="5" t="str">
        <f>"H0038226"</f>
        <v>H0038226</v>
      </c>
      <c r="B16143" s="5" t="str">
        <f>"FONENDOSCOPIO (ESTETOSCOPIO) PARA ADULTO"</f>
        <v>FONENDOSCOPIO (ESTETOSCOPIO) PARA ADULTO</v>
      </c>
      <c r="C16143" s="6">
        <v>1556930.5</v>
      </c>
      <c r="D16143" s="5" t="s">
        <v>591</v>
      </c>
      <c r="E16143" s="5" t="str">
        <f t="shared" si="830"/>
        <v>ACTISALUD - BODEGA - WILLIAM ZUÑIGA-DIEGO GARCIA</v>
      </c>
      <c r="F16143" s="5"/>
      <c r="G16143" s="5"/>
    </row>
    <row r="16144" spans="1:7" ht="58.5" customHeight="1" x14ac:dyDescent="0.25">
      <c r="A16144" s="5" t="str">
        <f>"H0038227"</f>
        <v>H0038227</v>
      </c>
      <c r="B16144" s="5" t="str">
        <f>"FONENDOSCOPIO (ESTETOSCOPIO) PARA ADULTO"</f>
        <v>FONENDOSCOPIO (ESTETOSCOPIO) PARA ADULTO</v>
      </c>
      <c r="C16144" s="6">
        <v>1556930.5</v>
      </c>
      <c r="D16144" s="5" t="s">
        <v>591</v>
      </c>
      <c r="E16144" s="5" t="str">
        <f t="shared" si="830"/>
        <v>ACTISALUD - BODEGA - WILLIAM ZUÑIGA-DIEGO GARCIA</v>
      </c>
      <c r="F16144" s="5"/>
      <c r="G16144" s="5"/>
    </row>
    <row r="16145" spans="1:7" ht="58.5" customHeight="1" x14ac:dyDescent="0.25">
      <c r="A16145" s="5" t="str">
        <f>"H0038228"</f>
        <v>H0038228</v>
      </c>
      <c r="B16145" s="5" t="str">
        <f>"REGULADOR DE VACIO VACCUM"</f>
        <v>REGULADOR DE VACIO VACCUM</v>
      </c>
      <c r="C16145" s="6">
        <v>1293121</v>
      </c>
      <c r="D16145" s="5" t="s">
        <v>591</v>
      </c>
      <c r="E16145" s="5" t="str">
        <f t="shared" si="830"/>
        <v>ACTISALUD - BODEGA - WILLIAM ZUÑIGA-DIEGO GARCIA</v>
      </c>
      <c r="F16145" s="5"/>
      <c r="G16145" s="5"/>
    </row>
    <row r="16146" spans="1:7" ht="58.5" customHeight="1" x14ac:dyDescent="0.25">
      <c r="A16146" s="5" t="str">
        <f>"H0038659"</f>
        <v>H0038659</v>
      </c>
      <c r="B16146" s="5" t="str">
        <f>"SILLA MEDICA BARIATRICA DE RECEPCION MEDICA COMO SILLAS DE INVITADOR PARA PACIENTES O EN SALAS DE EXAMEN. CLASIFICADOS HASTA 400 LIBRAS, CON UN ANCHO DE ASIENTO EXTRA ANCHO DE 26 PULGADAS. AS ALMOHADI"</f>
        <v>SILLA MEDICA BARIATRICA DE RECEPCION MEDICA COMO SILLAS DE INVITADOR PARA PACIENTES O EN SALAS DE EXAMEN. CLASIFICADOS HASTA 400 LIBRAS, CON UN ANCHO DE ASIENTO EXTRA ANCHO DE 26 PULGADAS. AS ALMOHADI</v>
      </c>
      <c r="C16146" s="6">
        <v>4900000.0599999996</v>
      </c>
      <c r="D16146" s="5" t="s">
        <v>145</v>
      </c>
      <c r="E16146" s="5" t="str">
        <f t="shared" si="830"/>
        <v>ACTISALUD - BODEGA - WILLIAM ZUÑIGA-DIEGO GARCIA</v>
      </c>
      <c r="F16146" s="5"/>
      <c r="G16146" s="5"/>
    </row>
    <row r="16147" spans="1:7" ht="58.5" customHeight="1" x14ac:dyDescent="0.25">
      <c r="A16147" s="5" t="str">
        <f>"H0038666"</f>
        <v>H0038666</v>
      </c>
      <c r="B16147" s="5" t="str">
        <f>"MAQUINA PARA ANESTESIA"</f>
        <v>MAQUINA PARA ANESTESIA</v>
      </c>
      <c r="C16147" s="6">
        <v>285993622.25</v>
      </c>
      <c r="D16147" s="5" t="s">
        <v>781</v>
      </c>
      <c r="E16147" s="5" t="str">
        <f t="shared" si="830"/>
        <v>ACTISALUD - BODEGA - WILLIAM ZUÑIGA-DIEGO GARCIA</v>
      </c>
      <c r="F16147" s="5"/>
      <c r="G16147" s="5"/>
    </row>
    <row r="16148" spans="1:7" ht="58.5" customHeight="1" x14ac:dyDescent="0.25">
      <c r="A16148" s="5" t="str">
        <f>"H0038667"</f>
        <v>H0038667</v>
      </c>
      <c r="B16148" s="5" t="str">
        <f>"MAQUINA PARA ANESTESIA"</f>
        <v>MAQUINA PARA ANESTESIA</v>
      </c>
      <c r="C16148" s="6">
        <v>285993622.25</v>
      </c>
      <c r="D16148" s="5" t="s">
        <v>781</v>
      </c>
      <c r="E16148" s="5" t="str">
        <f t="shared" si="830"/>
        <v>ACTISALUD - BODEGA - WILLIAM ZUÑIGA-DIEGO GARCIA</v>
      </c>
      <c r="F16148" s="5"/>
      <c r="G16148" s="5"/>
    </row>
    <row r="16149" spans="1:7" ht="58.5" customHeight="1" x14ac:dyDescent="0.25">
      <c r="A16149" s="5" t="str">
        <f>"H0038668"</f>
        <v>H0038668</v>
      </c>
      <c r="B16149" s="5" t="str">
        <f>"MAQUINA PARA ANESTESIA"</f>
        <v>MAQUINA PARA ANESTESIA</v>
      </c>
      <c r="C16149" s="6">
        <v>285993622.25</v>
      </c>
      <c r="D16149" s="5" t="s">
        <v>781</v>
      </c>
      <c r="E16149" s="5" t="str">
        <f t="shared" si="830"/>
        <v>ACTISALUD - BODEGA - WILLIAM ZUÑIGA-DIEGO GARCIA</v>
      </c>
      <c r="F16149" s="5"/>
      <c r="G16149" s="5"/>
    </row>
    <row r="16150" spans="1:7" ht="58.5" customHeight="1" x14ac:dyDescent="0.25">
      <c r="A16150" s="5" t="str">
        <f>"H0038669"</f>
        <v>H0038669</v>
      </c>
      <c r="B16150" s="5" t="str">
        <f>"MAQUINA PARA ANESTESIA"</f>
        <v>MAQUINA PARA ANESTESIA</v>
      </c>
      <c r="C16150" s="6">
        <v>285993622.25</v>
      </c>
      <c r="D16150" s="5" t="s">
        <v>781</v>
      </c>
      <c r="E16150" s="5" t="str">
        <f t="shared" si="830"/>
        <v>ACTISALUD - BODEGA - WILLIAM ZUÑIGA-DIEGO GARCIA</v>
      </c>
      <c r="F16150" s="5"/>
      <c r="G16150" s="5"/>
    </row>
    <row r="16151" spans="1:7" ht="58.5" customHeight="1" x14ac:dyDescent="0.25">
      <c r="A16151" s="5" t="str">
        <f>"H0038670"</f>
        <v>H0038670</v>
      </c>
      <c r="B16151" s="5" t="str">
        <f>"VIDEOLARINGOSCOPIO"</f>
        <v>VIDEOLARINGOSCOPIO</v>
      </c>
      <c r="C16151" s="6">
        <v>21289100</v>
      </c>
      <c r="D16151" s="5" t="s">
        <v>650</v>
      </c>
      <c r="E16151" s="5" t="str">
        <f t="shared" si="830"/>
        <v>ACTISALUD - BODEGA - WILLIAM ZUÑIGA-DIEGO GARCIA</v>
      </c>
      <c r="F16151" s="5"/>
      <c r="G16151" s="5"/>
    </row>
    <row r="16152" spans="1:7" ht="58.5" customHeight="1" x14ac:dyDescent="0.25">
      <c r="A16152" s="5" t="str">
        <f>"H0038671"</f>
        <v>H0038671</v>
      </c>
      <c r="B16152" s="5" t="str">
        <f>"BRAZO ARTICULADO COLGANTE DE SUMINISTRO MEDICOS PARA MAQUINA DE ANESTESIA"</f>
        <v>BRAZO ARTICULADO COLGANTE DE SUMINISTRO MEDICOS PARA MAQUINA DE ANESTESIA</v>
      </c>
      <c r="C16152" s="6">
        <v>176952301.5</v>
      </c>
      <c r="D16152" s="5" t="s">
        <v>204</v>
      </c>
      <c r="E16152" s="5" t="str">
        <f t="shared" si="830"/>
        <v>ACTISALUD - BODEGA - WILLIAM ZUÑIGA-DIEGO GARCIA</v>
      </c>
      <c r="F16152" s="5"/>
      <c r="G16152" s="5"/>
    </row>
    <row r="16153" spans="1:7" ht="58.5" customHeight="1" x14ac:dyDescent="0.25">
      <c r="A16153" s="5" t="str">
        <f>"H0038672"</f>
        <v>H0038672</v>
      </c>
      <c r="B16153" s="5" t="str">
        <f>"BRAZO ARTICULADO COLGANTE DE SUMINISTRO MEDICOS PARA MAQUINA DE ANESTESIA"</f>
        <v>BRAZO ARTICULADO COLGANTE DE SUMINISTRO MEDICOS PARA MAQUINA DE ANESTESIA</v>
      </c>
      <c r="C16153" s="6">
        <v>176952301.5</v>
      </c>
      <c r="D16153" s="5" t="s">
        <v>204</v>
      </c>
      <c r="E16153" s="5" t="str">
        <f t="shared" si="830"/>
        <v>ACTISALUD - BODEGA - WILLIAM ZUÑIGA-DIEGO GARCIA</v>
      </c>
      <c r="F16153" s="5"/>
      <c r="G16153" s="5"/>
    </row>
    <row r="16154" spans="1:7" ht="58.5" customHeight="1" x14ac:dyDescent="0.25">
      <c r="A16154" s="5" t="str">
        <f>"H0038675"</f>
        <v>H0038675</v>
      </c>
      <c r="B16154" s="5" t="str">
        <f>"LAMPARA CIELITICA"</f>
        <v>LAMPARA CIELITICA</v>
      </c>
      <c r="C16154" s="6">
        <v>297049498</v>
      </c>
      <c r="D16154" s="5" t="s">
        <v>204</v>
      </c>
      <c r="E16154" s="5" t="str">
        <f t="shared" si="830"/>
        <v>ACTISALUD - BODEGA - WILLIAM ZUÑIGA-DIEGO GARCIA</v>
      </c>
      <c r="F16154" s="5"/>
      <c r="G16154" s="5"/>
    </row>
    <row r="16155" spans="1:7" ht="58.5" customHeight="1" x14ac:dyDescent="0.25">
      <c r="A16155" s="5" t="str">
        <f>"H0038676"</f>
        <v>H0038676</v>
      </c>
      <c r="B16155" s="5" t="str">
        <f>"LAMPARA CIELITICA"</f>
        <v>LAMPARA CIELITICA</v>
      </c>
      <c r="C16155" s="6">
        <v>297049498</v>
      </c>
      <c r="D16155" s="5" t="s">
        <v>204</v>
      </c>
      <c r="E16155" s="5" t="str">
        <f t="shared" si="830"/>
        <v>ACTISALUD - BODEGA - WILLIAM ZUÑIGA-DIEGO GARCIA</v>
      </c>
      <c r="F16155" s="5"/>
      <c r="G16155" s="5"/>
    </row>
    <row r="16156" spans="1:7" ht="58.5" customHeight="1" x14ac:dyDescent="0.25">
      <c r="A16156" s="5" t="str">
        <f>"H0038677"</f>
        <v>H0038677</v>
      </c>
      <c r="B16156" s="5" t="str">
        <f>"LAMPARA CIELITICA"</f>
        <v>LAMPARA CIELITICA</v>
      </c>
      <c r="C16156" s="6">
        <v>297049498</v>
      </c>
      <c r="D16156" s="5" t="s">
        <v>204</v>
      </c>
      <c r="E16156" s="5" t="str">
        <f t="shared" si="830"/>
        <v>ACTISALUD - BODEGA - WILLIAM ZUÑIGA-DIEGO GARCIA</v>
      </c>
      <c r="F16156" s="5"/>
      <c r="G16156" s="5"/>
    </row>
    <row r="16157" spans="1:7" ht="58.5" customHeight="1" x14ac:dyDescent="0.25">
      <c r="A16157" s="5" t="str">
        <f>"H0038678"</f>
        <v>H0038678</v>
      </c>
      <c r="B16157" s="5" t="str">
        <f>"MESA DE CIRUGIA CON EXTENSION DE ORTOPEDIA"</f>
        <v>MESA DE CIRUGIA CON EXTENSION DE ORTOPEDIA</v>
      </c>
      <c r="C16157" s="6">
        <v>236215833</v>
      </c>
      <c r="D16157" s="5" t="s">
        <v>204</v>
      </c>
      <c r="E16157" s="5" t="str">
        <f t="shared" si="830"/>
        <v>ACTISALUD - BODEGA - WILLIAM ZUÑIGA-DIEGO GARCIA</v>
      </c>
      <c r="F16157" s="5"/>
      <c r="G16157" s="5"/>
    </row>
    <row r="16158" spans="1:7" ht="58.5" customHeight="1" x14ac:dyDescent="0.25">
      <c r="A16158" s="5" t="str">
        <f>"H0038679"</f>
        <v>H0038679</v>
      </c>
      <c r="B16158" s="5" t="str">
        <f>"MESA QUIRURGICA"</f>
        <v>MESA QUIRURGICA</v>
      </c>
      <c r="C16158" s="6">
        <v>155703820</v>
      </c>
      <c r="D16158" s="5" t="s">
        <v>204</v>
      </c>
      <c r="E16158" s="5" t="str">
        <f t="shared" si="830"/>
        <v>ACTISALUD - BODEGA - WILLIAM ZUÑIGA-DIEGO GARCIA</v>
      </c>
      <c r="F16158" s="5"/>
      <c r="G16158" s="5"/>
    </row>
    <row r="16159" spans="1:7" ht="58.5" customHeight="1" x14ac:dyDescent="0.25">
      <c r="A16159" s="5" t="str">
        <f>"H0038688"</f>
        <v>H0038688</v>
      </c>
      <c r="B16159" s="5" t="str">
        <f>"FONENDOSCOPIO (ESTETOSCOPIO) PARA ADULTO"</f>
        <v>FONENDOSCOPIO (ESTETOSCOPIO) PARA ADULTO</v>
      </c>
      <c r="C16159" s="6">
        <v>1556931</v>
      </c>
      <c r="D16159" s="5" t="s">
        <v>782</v>
      </c>
      <c r="E16159" s="5" t="str">
        <f t="shared" si="830"/>
        <v>ACTISALUD - BODEGA - WILLIAM ZUÑIGA-DIEGO GARCIA</v>
      </c>
      <c r="F16159" s="5"/>
      <c r="G16159" s="5"/>
    </row>
    <row r="16160" spans="1:7" ht="58.5" customHeight="1" x14ac:dyDescent="0.25">
      <c r="A16160" s="5" t="str">
        <f>"H0038689"</f>
        <v>H0038689</v>
      </c>
      <c r="B16160" s="5" t="str">
        <f>"GENERADOR DE MARCAPASOS BICAMERAL"</f>
        <v>GENERADOR DE MARCAPASOS BICAMERAL</v>
      </c>
      <c r="C16160" s="6">
        <v>14063539</v>
      </c>
      <c r="D16160" s="5" t="s">
        <v>783</v>
      </c>
      <c r="E16160" s="5" t="str">
        <f t="shared" si="830"/>
        <v>ACTISALUD - BODEGA - WILLIAM ZUÑIGA-DIEGO GARCIA</v>
      </c>
      <c r="F16160" s="5"/>
      <c r="G16160" s="5"/>
    </row>
    <row r="16161" spans="1:7" ht="58.5" customHeight="1" x14ac:dyDescent="0.25">
      <c r="A16161" s="5" t="str">
        <f>"H0038690"</f>
        <v>H0038690</v>
      </c>
      <c r="B16161" s="5" t="str">
        <f>"GENERADOR DE MARCAPASOS BICAMERAL"</f>
        <v>GENERADOR DE MARCAPASOS BICAMERAL</v>
      </c>
      <c r="C16161" s="6">
        <v>14063539</v>
      </c>
      <c r="D16161" s="5" t="s">
        <v>783</v>
      </c>
      <c r="E16161" s="5" t="str">
        <f t="shared" si="830"/>
        <v>ACTISALUD - BODEGA - WILLIAM ZUÑIGA-DIEGO GARCIA</v>
      </c>
      <c r="F16161" s="5"/>
      <c r="G16161" s="5"/>
    </row>
    <row r="16162" spans="1:7" ht="58.5" customHeight="1" x14ac:dyDescent="0.25">
      <c r="A16162" s="5" t="str">
        <f>"H0038693"</f>
        <v>H0038693</v>
      </c>
      <c r="B16162" s="5" t="str">
        <f>"BALON DE CONTRA PULSACIÓN INTRAÓRTICA"</f>
        <v>BALON DE CONTRA PULSACIÓN INTRAÓRTICA</v>
      </c>
      <c r="C16162" s="6">
        <v>400072547</v>
      </c>
      <c r="D16162" s="5" t="s">
        <v>784</v>
      </c>
      <c r="E16162" s="5" t="str">
        <f t="shared" si="830"/>
        <v>ACTISALUD - BODEGA - WILLIAM ZUÑIGA-DIEGO GARCIA</v>
      </c>
      <c r="F16162" s="5"/>
      <c r="G16162" s="5"/>
    </row>
    <row r="16163" spans="1:7" ht="58.5" customHeight="1" x14ac:dyDescent="0.25">
      <c r="A16163" s="5" t="str">
        <f>"H0038694"</f>
        <v>H0038694</v>
      </c>
      <c r="B16163" s="5" t="str">
        <f>"EQUIPO PARA TOMA DE MEDICIÓN DE TIEMPO DE COAGULACIÓN ACTIVADA (ACT)"</f>
        <v>EQUIPO PARA TOMA DE MEDICIÓN DE TIEMPO DE COAGULACIÓN ACTIVADA (ACT)</v>
      </c>
      <c r="C16163" s="6">
        <v>69236342</v>
      </c>
      <c r="D16163" s="5" t="s">
        <v>784</v>
      </c>
      <c r="E16163" s="5" t="str">
        <f t="shared" si="830"/>
        <v>ACTISALUD - BODEGA - WILLIAM ZUÑIGA-DIEGO GARCIA</v>
      </c>
      <c r="F16163" s="5"/>
      <c r="G16163" s="5"/>
    </row>
    <row r="16164" spans="1:7" ht="58.5" customHeight="1" x14ac:dyDescent="0.25">
      <c r="A16164" s="5" t="str">
        <f>"H0038695"</f>
        <v>H0038695</v>
      </c>
      <c r="B16164" s="5" t="str">
        <f>"Plataforma Monitor Root, para uso con Radical 7, Radius 7"</f>
        <v>Plataforma Monitor Root, para uso con Radical 7, Radius 7</v>
      </c>
      <c r="C16164" s="6">
        <v>60581710</v>
      </c>
      <c r="D16164" s="5" t="s">
        <v>785</v>
      </c>
      <c r="E16164" s="5" t="str">
        <f t="shared" si="830"/>
        <v>ACTISALUD - BODEGA - WILLIAM ZUÑIGA-DIEGO GARCIA</v>
      </c>
      <c r="F16164" s="5"/>
      <c r="G16164" s="5"/>
    </row>
    <row r="16165" spans="1:7" ht="58.5" customHeight="1" x14ac:dyDescent="0.25">
      <c r="A16165" s="5" t="str">
        <f>"H0038698"</f>
        <v>H0038698</v>
      </c>
      <c r="B16165" s="5" t="str">
        <f>"CALENTADOR DE FLUIDOS"</f>
        <v>CALENTADOR DE FLUIDOS</v>
      </c>
      <c r="C16165" s="6">
        <v>12111354</v>
      </c>
      <c r="D16165" s="5" t="s">
        <v>786</v>
      </c>
      <c r="E16165" s="5" t="str">
        <f t="shared" ref="E16165:E16189" si="832">"ACTISALUD - BODEGA - WILLIAM ZUÑIGA-DIEGO GARCIA"</f>
        <v>ACTISALUD - BODEGA - WILLIAM ZUÑIGA-DIEGO GARCIA</v>
      </c>
      <c r="F16165" s="5"/>
      <c r="G16165" s="5"/>
    </row>
    <row r="16166" spans="1:7" ht="58.5" customHeight="1" x14ac:dyDescent="0.25">
      <c r="A16166" s="5" t="str">
        <f>"H0038699"</f>
        <v>H0038699</v>
      </c>
      <c r="B16166" s="5" t="str">
        <f>"ANALIZADOR DE GASES ARTERIALES"</f>
        <v>ANALIZADOR DE GASES ARTERIALES</v>
      </c>
      <c r="C16166" s="6">
        <v>51884000</v>
      </c>
      <c r="D16166" s="5" t="s">
        <v>786</v>
      </c>
      <c r="E16166" s="5" t="str">
        <f t="shared" si="832"/>
        <v>ACTISALUD - BODEGA - WILLIAM ZUÑIGA-DIEGO GARCIA</v>
      </c>
      <c r="F16166" s="5"/>
      <c r="G16166" s="5"/>
    </row>
    <row r="16167" spans="1:7" ht="58.5" customHeight="1" x14ac:dyDescent="0.25">
      <c r="A16167" s="5" t="str">
        <f>"H0038700"</f>
        <v>H0038700</v>
      </c>
      <c r="B16167" s="5" t="str">
        <f>"MONITOR DE RELAJACION NEUROMUSCULAR"</f>
        <v>MONITOR DE RELAJACION NEUROMUSCULAR</v>
      </c>
      <c r="C16167" s="6">
        <v>14426608</v>
      </c>
      <c r="D16167" s="5" t="s">
        <v>786</v>
      </c>
      <c r="E16167" s="5" t="str">
        <f t="shared" si="832"/>
        <v>ACTISALUD - BODEGA - WILLIAM ZUÑIGA-DIEGO GARCIA</v>
      </c>
      <c r="F16167" s="5"/>
      <c r="G16167" s="5"/>
    </row>
    <row r="16168" spans="1:7" ht="58.5" customHeight="1" x14ac:dyDescent="0.25">
      <c r="A16168" s="5" t="str">
        <f>"H0038701"</f>
        <v>H0038701</v>
      </c>
      <c r="B16168" s="5" t="str">
        <f>"MONITOR DE RELAJACION NEUROMUSCULAR"</f>
        <v>MONITOR DE RELAJACION NEUROMUSCULAR</v>
      </c>
      <c r="C16168" s="6">
        <v>14426608</v>
      </c>
      <c r="D16168" s="5" t="s">
        <v>786</v>
      </c>
      <c r="E16168" s="5" t="str">
        <f t="shared" si="832"/>
        <v>ACTISALUD - BODEGA - WILLIAM ZUÑIGA-DIEGO GARCIA</v>
      </c>
      <c r="F16168" s="5"/>
      <c r="G16168" s="5"/>
    </row>
    <row r="16169" spans="1:7" ht="58.5" customHeight="1" x14ac:dyDescent="0.25">
      <c r="A16169" s="5" t="str">
        <f>"H0038702"</f>
        <v>H0038702</v>
      </c>
      <c r="B16169" s="5" t="str">
        <f>"ESTIMULADOR DE NERVIO PERIFÉRICO"</f>
        <v>ESTIMULADOR DE NERVIO PERIFÉRICO</v>
      </c>
      <c r="C16169" s="6">
        <v>14639023</v>
      </c>
      <c r="D16169" s="5" t="s">
        <v>787</v>
      </c>
      <c r="E16169" s="5" t="str">
        <f t="shared" si="832"/>
        <v>ACTISALUD - BODEGA - WILLIAM ZUÑIGA-DIEGO GARCIA</v>
      </c>
      <c r="F16169" s="5"/>
      <c r="G16169" s="5"/>
    </row>
    <row r="16170" spans="1:7" ht="58.5" customHeight="1" x14ac:dyDescent="0.25">
      <c r="A16170" s="5" t="str">
        <f>"H0038703"</f>
        <v>H0038703</v>
      </c>
      <c r="B16170" s="5" t="str">
        <f>"ANALIZADOR DE GASES ARTERIALES"</f>
        <v>ANALIZADOR DE GASES ARTERIALES</v>
      </c>
      <c r="C16170" s="6">
        <v>51884000</v>
      </c>
      <c r="D16170" s="5" t="s">
        <v>786</v>
      </c>
      <c r="E16170" s="5" t="str">
        <f t="shared" si="832"/>
        <v>ACTISALUD - BODEGA - WILLIAM ZUÑIGA-DIEGO GARCIA</v>
      </c>
      <c r="F16170" s="5"/>
      <c r="G16170" s="5"/>
    </row>
    <row r="16171" spans="1:7" ht="58.5" customHeight="1" x14ac:dyDescent="0.25">
      <c r="A16171" s="5" t="str">
        <f>"H0038739"</f>
        <v>H0038739</v>
      </c>
      <c r="B16171" s="5" t="str">
        <f>"EQUIPO DE LAPAROTOMIA"</f>
        <v>EQUIPO DE LAPAROTOMIA</v>
      </c>
      <c r="C16171" s="6">
        <v>30933336</v>
      </c>
      <c r="D16171" s="5" t="s">
        <v>429</v>
      </c>
      <c r="E16171" s="5" t="str">
        <f t="shared" si="832"/>
        <v>ACTISALUD - BODEGA - WILLIAM ZUÑIGA-DIEGO GARCIA</v>
      </c>
      <c r="F16171" s="5" t="str">
        <f>"EQUIPO DE LAPARATOMIA CONSTA:  (18) PINZA ALLYS INTESTINAL ATRAUMATICA DE 25CM  (3) PINZAS DUVAL PARA TEJIDO 20CM  (3) TIJERA DE MAYO RECTA 23CM  (3) TIJERA DE METZENBAUM 25CM"</f>
        <v>EQUIPO DE LAPARATOMIA CONSTA:  (18) PINZA ALLYS INTESTINAL ATRAUMATICA DE 25CM  (3) PINZAS DUVAL PARA TEJIDO 20CM  (3) TIJERA DE MAYO RECTA 23CM  (3) TIJERA DE METZENBAUM 25CM</v>
      </c>
      <c r="G16171" s="5"/>
    </row>
    <row r="16172" spans="1:7" ht="58.5" customHeight="1" x14ac:dyDescent="0.25">
      <c r="A16172" s="5" t="str">
        <f>"H0038740"</f>
        <v>H0038740</v>
      </c>
      <c r="B16172" s="5" t="str">
        <f>"EQUIPO MEDIANO"</f>
        <v>EQUIPO MEDIANO</v>
      </c>
      <c r="C16172" s="6">
        <v>2798880</v>
      </c>
      <c r="D16172" s="5" t="s">
        <v>429</v>
      </c>
      <c r="E16172" s="5" t="str">
        <f t="shared" si="832"/>
        <v>ACTISALUD - BODEGA - WILLIAM ZUÑIGA-DIEGO GARCIA</v>
      </c>
      <c r="F16172" s="5" t="str">
        <f>"EQUIPO MEDIANO CONSTA:  (3) TIJERA DE MAYO RECTA 17CMS"</f>
        <v>EQUIPO MEDIANO CONSTA:  (3) TIJERA DE MAYO RECTA 17CMS</v>
      </c>
      <c r="G16172" s="5"/>
    </row>
    <row r="16173" spans="1:7" ht="58.5" customHeight="1" x14ac:dyDescent="0.25">
      <c r="A16173" s="5" t="str">
        <f>"H0038741"</f>
        <v>H0038741</v>
      </c>
      <c r="B16173" s="5" t="str">
        <f>"EQUIPO PARA LAPAROTOMIA DE NIÑOS"</f>
        <v>EQUIPO PARA LAPAROTOMIA DE NIÑOS</v>
      </c>
      <c r="C16173" s="6">
        <v>24180800</v>
      </c>
      <c r="D16173" s="5" t="s">
        <v>429</v>
      </c>
      <c r="E16173" s="5" t="str">
        <f t="shared" si="832"/>
        <v>ACTISALUD - BODEGA - WILLIAM ZUÑIGA-DIEGO GARCIA</v>
      </c>
      <c r="F16173" s="5" t="str">
        <f>"EQUIPO LAPARATOMIA NIÑOS CONSTA:  (20) PINZA ALLYS BABY INTESTINAL 4X5 DIENTES 14CM"</f>
        <v>EQUIPO LAPARATOMIA NIÑOS CONSTA:  (20) PINZA ALLYS BABY INTESTINAL 4X5 DIENTES 14CM</v>
      </c>
      <c r="G16173" s="5"/>
    </row>
    <row r="16174" spans="1:7" ht="58.5" customHeight="1" x14ac:dyDescent="0.25">
      <c r="A16174" s="5" t="str">
        <f>"H0038744"</f>
        <v>H0038744</v>
      </c>
      <c r="B16174" s="5" t="str">
        <f>"EQUIPO DE DERIVACIÓN"</f>
        <v>EQUIPO DE DERIVACIÓN</v>
      </c>
      <c r="C16174" s="6">
        <v>1023400</v>
      </c>
      <c r="D16174" s="5" t="s">
        <v>429</v>
      </c>
      <c r="E16174" s="5" t="str">
        <f t="shared" si="832"/>
        <v>ACTISALUD - BODEGA - WILLIAM ZUÑIGA-DIEGO GARCIA</v>
      </c>
      <c r="F16174" s="5" t="str">
        <f>"EQUIPO DE DERIVACION CONSTA:  (1) ESPATULA CEREBRAL CUSHING 18CMS  (1) REGLA METALICA GRADUADA DE 15 CM"</f>
        <v>EQUIPO DE DERIVACION CONSTA:  (1) ESPATULA CEREBRAL CUSHING 18CMS  (1) REGLA METALICA GRADUADA DE 15 CM</v>
      </c>
      <c r="G16174" s="5"/>
    </row>
    <row r="16175" spans="1:7" ht="58.5" customHeight="1" x14ac:dyDescent="0.25">
      <c r="A16175" s="5" t="str">
        <f>"H0038745"</f>
        <v>H0038745</v>
      </c>
      <c r="B16175" s="5" t="str">
        <f>"EQUIPO DE COLUMNA #2"</f>
        <v>EQUIPO DE COLUMNA #2</v>
      </c>
      <c r="C16175" s="6">
        <v>42045032</v>
      </c>
      <c r="D16175" s="5" t="s">
        <v>429</v>
      </c>
      <c r="E16175" s="5" t="str">
        <f t="shared" si="832"/>
        <v>ACTISALUD - BODEGA - WILLIAM ZUÑIGA-DIEGO GARCIA</v>
      </c>
      <c r="F16175" s="5" t="str">
        <f>"EQUIPO DE COLUMNA 2 CONSTA:  (1) CIZALLA STILLE CURVA  (1) DISECTOR SEMIAGUDO 25MM  (2) MARTILLO CON CABEZA DE DIAMETRO DE 40MM  (1) PINZA CASPAR PARA LAMINECTOMIA HACIA ARRIBA  (1) PINZA GUBIA ECHLIN  (1) PINZA GUBIA LEKSELLDE  (1) PINZA OLLIGATOR CUSHIN"&amp; "G RONGEUR ABAJO  (1) PINZA OLLIGATOR LOVE GRUENW RECTA 15CMS  (2) SEPARADOR AUTOESTATICO BECKMAN ADSON 31 CM  (2) SEPARADOR GELPI LONGITUD 18CMS  (2) SEPARADOR HIBBS"</f>
        <v>EQUIPO DE COLUMNA 2 CONSTA:  (1) CIZALLA STILLE CURVA  (1) DISECTOR SEMIAGUDO 25MM  (2) MARTILLO CON CABEZA DE DIAMETRO DE 40MM  (1) PINZA CASPAR PARA LAMINECTOMIA HACIA ARRIBA  (1) PINZA GUBIA ECHLIN  (1) PINZA GUBIA LEKSELLDE  (1) PINZA OLLIGATOR CUSHING RONGEUR ABAJO  (1) PINZA OLLIGATOR LOVE GRUENW RECTA 15CMS  (2) SEPARADOR AUTOESTATICO BECKMAN ADSON 31 CM  (2) SEPARADOR GELPI LONGITUD 18CMS  (2) SEPARADOR HIBBS</v>
      </c>
      <c r="G16175" s="5"/>
    </row>
    <row r="16176" spans="1:7" ht="58.5" customHeight="1" x14ac:dyDescent="0.25">
      <c r="A16176" s="5" t="str">
        <f>"H0038746"</f>
        <v>H0038746</v>
      </c>
      <c r="B16176" s="5" t="str">
        <f>"EQUIPO DE MAXILOFACIAL"</f>
        <v>EQUIPO DE MAXILOFACIAL</v>
      </c>
      <c r="C16176" s="6">
        <v>2151520</v>
      </c>
      <c r="D16176" s="5" t="s">
        <v>429</v>
      </c>
      <c r="E16176" s="5" t="str">
        <f t="shared" si="832"/>
        <v>ACTISALUD - BODEGA - WILLIAM ZUÑIGA-DIEGO GARCIA</v>
      </c>
      <c r="F16176" s="5" t="str">
        <f>"EQUIPO DE MAXILOFACIAL CONSTA:  (4) CINCELES RECTOS (6MM,7MM) 17CMS"</f>
        <v>EQUIPO DE MAXILOFACIAL CONSTA:  (4) CINCELES RECTOS (6MM,7MM) 17CMS</v>
      </c>
      <c r="G16176" s="5"/>
    </row>
    <row r="16177" spans="1:7" ht="58.5" customHeight="1" x14ac:dyDescent="0.25">
      <c r="A16177" s="5" t="str">
        <f>"H0038747"</f>
        <v>H0038747</v>
      </c>
      <c r="B16177" s="5" t="str">
        <f>"EQUIPO DE MICROMANO"</f>
        <v>EQUIPO DE MICROMANO</v>
      </c>
      <c r="C16177" s="6">
        <v>4326840</v>
      </c>
      <c r="D16177" s="5" t="s">
        <v>429</v>
      </c>
      <c r="E16177" s="5" t="str">
        <f t="shared" si="832"/>
        <v>ACTISALUD - BODEGA - WILLIAM ZUÑIGA-DIEGO GARCIA</v>
      </c>
      <c r="F16177" s="5" t="str">
        <f>"EQUIPO DE MICROMANO CONSTA:  (3) CANULA DE FRAZIER 17CMS #10  (3) GANCHO DE PIEL JOSEPH DE 16CMS  (3) PASA HILOS REVERDIN   (1) PINZA HEMOSTATICA CURVA 14CMS"</f>
        <v>EQUIPO DE MICROMANO CONSTA:  (3) CANULA DE FRAZIER 17CMS #10  (3) GANCHO DE PIEL JOSEPH DE 16CMS  (3) PASA HILOS REVERDIN   (1) PINZA HEMOSTATICA CURVA 14CMS</v>
      </c>
      <c r="G16177" s="5"/>
    </row>
    <row r="16178" spans="1:7" ht="58.5" customHeight="1" x14ac:dyDescent="0.25">
      <c r="A16178" s="5" t="str">
        <f>"H0038748"</f>
        <v>H0038748</v>
      </c>
      <c r="B16178" s="5" t="str">
        <f>"INSTRUMENTAL OTORRINOLARINGOLOGIA ENDOSCOPICO"</f>
        <v>INSTRUMENTAL OTORRINOLARINGOLOGIA ENDOSCOPICO</v>
      </c>
      <c r="C16178" s="6">
        <v>39825674</v>
      </c>
      <c r="D16178" s="5" t="s">
        <v>429</v>
      </c>
      <c r="E16178" s="5" t="str">
        <f t="shared" si="832"/>
        <v>ACTISALUD - BODEGA - WILLIAM ZUÑIGA-DIEGO GARCIA</v>
      </c>
      <c r="F16178" s="5" t="str">
        <f>"EQUIPO DE OTORRINOLARINGOLOGIA ENDOSCOPICO CONSTA:  (1) PINZAS SACABOCADOS PARA ESFENOIDES 17CM"</f>
        <v>EQUIPO DE OTORRINOLARINGOLOGIA ENDOSCOPICO CONSTA:  (1) PINZAS SACABOCADOS PARA ESFENOIDES 17CM</v>
      </c>
      <c r="G16178" s="5"/>
    </row>
    <row r="16179" spans="1:7" ht="58.5" customHeight="1" x14ac:dyDescent="0.25">
      <c r="A16179" s="5" t="str">
        <f>"H0038749"</f>
        <v>H0038749</v>
      </c>
      <c r="B16179" s="5" t="str">
        <f>"SWITCH 48 PUERTOS ADMINISTRABLE"</f>
        <v>SWITCH 48 PUERTOS ADMINISTRABLE</v>
      </c>
      <c r="C16179" s="6">
        <v>24486001</v>
      </c>
      <c r="D16179" s="5" t="s">
        <v>788</v>
      </c>
      <c r="E16179" s="5" t="str">
        <f t="shared" si="832"/>
        <v>ACTISALUD - BODEGA - WILLIAM ZUÑIGA-DIEGO GARCIA</v>
      </c>
      <c r="F16179" s="5"/>
      <c r="G16179" s="5"/>
    </row>
    <row r="16180" spans="1:7" ht="58.5" customHeight="1" x14ac:dyDescent="0.25">
      <c r="A16180" s="5" t="str">
        <f>"H0038751"</f>
        <v>H0038751</v>
      </c>
      <c r="B16180" s="5" t="str">
        <f>"EQUIPO DE LAPAROSCOPIA DE NEONATOS"</f>
        <v>EQUIPO DE LAPAROSCOPIA DE NEONATOS</v>
      </c>
      <c r="C16180" s="6">
        <v>280124280</v>
      </c>
      <c r="D16180" s="5" t="s">
        <v>623</v>
      </c>
      <c r="E16180" s="5" t="str">
        <f t="shared" si="832"/>
        <v>ACTISALUD - BODEGA - WILLIAM ZUÑIGA-DIEGO GARCIA</v>
      </c>
      <c r="F16180" s="5" t="str">
        <f>"EQUIPO LAPAROSCOPIA DE NEONATOS CONSTA:  (9) CAMISAS TROCAR CON PUNTA PIRAMIDAL CON CONEXION 3 5MM 5CM  (3) PINZA GRASPING 3MM   (3) PINZAS DE AGARRE Y DISECCION CLICKLINE MARYLAND 3MM  (3) PINZAS GRASPER"</f>
        <v>EQUIPO LAPAROSCOPIA DE NEONATOS CONSTA:  (9) CAMISAS TROCAR CON PUNTA PIRAMIDAL CON CONEXION 3 5MM 5CM  (3) PINZA GRASPING 3MM   (3) PINZAS DE AGARRE Y DISECCION CLICKLINE MARYLAND 3MM  (3) PINZAS GRASPER</v>
      </c>
      <c r="G16180" s="5"/>
    </row>
    <row r="16181" spans="1:7" ht="58.5" customHeight="1" x14ac:dyDescent="0.25">
      <c r="A16181" s="5" t="str">
        <f>"H0038752"</f>
        <v>H0038752</v>
      </c>
      <c r="B16181" s="5" t="str">
        <f>"EQUIPO DE PEQUEÑOS FRAGMENTOS"</f>
        <v>EQUIPO DE PEQUEÑOS FRAGMENTOS</v>
      </c>
      <c r="C16181" s="6">
        <v>73770480</v>
      </c>
      <c r="D16181" s="5" t="s">
        <v>623</v>
      </c>
      <c r="E16181" s="5" t="str">
        <f t="shared" si="832"/>
        <v>ACTISALUD - BODEGA - WILLIAM ZUÑIGA-DIEGO GARCIA</v>
      </c>
      <c r="F16181" s="5" t="str">
        <f>"EQUIPO DE PEQUEÑOS GRAGMENTOS CONSTA:  (3) AVELLANADOR 3.5  (3) DESTORNILLADOR DE MANGO CON CAMISA DE 3.5  (2) DESTORNILLADOR PARA ANCLAR  (3) GANCHO AGUDO ERINA 14CM  (3) GUIA DE PLACA CENTRICA Y EXCENTRICA DE 3.5  (3) GUIA DE TARRAJA DE 2.5  (2) PINZA P"&amp; "ARA HUESO LEWIN 13CM  (9) SEPARADORES DE MINICOBRA 160MM"</f>
        <v>EQUIPO DE PEQUEÑOS GRAGMENTOS CONSTA:  (3) AVELLANADOR 3.5  (3) DESTORNILLADOR DE MANGO CON CAMISA DE 3.5  (2) DESTORNILLADOR PARA ANCLAR  (3) GANCHO AGUDO ERINA 14CM  (3) GUIA DE PLACA CENTRICA Y EXCENTRICA DE 3.5  (3) GUIA DE TARRAJA DE 2.5  (2) PINZA PARA HUESO LEWIN 13CM  (9) SEPARADORES DE MINICOBRA 160MM</v>
      </c>
      <c r="G16181" s="5"/>
    </row>
    <row r="16182" spans="1:7" ht="58.5" customHeight="1" x14ac:dyDescent="0.25">
      <c r="A16182" s="5" t="str">
        <f>"H0038753"</f>
        <v>H0038753</v>
      </c>
      <c r="B16182" s="5" t="str">
        <f>"EQUIPO DE OIDO"</f>
        <v>EQUIPO DE OIDO</v>
      </c>
      <c r="C16182" s="6">
        <v>1704080</v>
      </c>
      <c r="D16182" s="5" t="s">
        <v>623</v>
      </c>
      <c r="E16182" s="5" t="str">
        <f t="shared" si="832"/>
        <v>ACTISALUD - BODEGA - WILLIAM ZUÑIGA-DIEGO GARCIA</v>
      </c>
      <c r="F16182" s="5" t="str">
        <f>"EQUIPO DE OIDO CONSTA:  (2) DISECTOR DE ASON 17CMS  (2) TIJERA DE METZENBAUM BABY CURVA 11.5CMS"</f>
        <v>EQUIPO DE OIDO CONSTA:  (2) DISECTOR DE ASON 17CMS  (2) TIJERA DE METZENBAUM BABY CURVA 11.5CMS</v>
      </c>
      <c r="G16182" s="5"/>
    </row>
    <row r="16183" spans="1:7" ht="58.5" customHeight="1" x14ac:dyDescent="0.25">
      <c r="A16183" s="5" t="str">
        <f>"H0038754"</f>
        <v>H0038754</v>
      </c>
      <c r="B16183" s="5" t="str">
        <f>"EQUIPO DE PALADAR"</f>
        <v>EQUIPO DE PALADAR</v>
      </c>
      <c r="C16183" s="6">
        <v>10262560</v>
      </c>
      <c r="D16183" s="5" t="s">
        <v>623</v>
      </c>
      <c r="E16183" s="5" t="str">
        <f t="shared" si="832"/>
        <v>ACTISALUD - BODEGA - WILLIAM ZUÑIGA-DIEGO GARCIA</v>
      </c>
      <c r="F16183" s="5" t="str">
        <f>"EQUIPO DE PALADAR CONSTA:  (4) CINCELES RECTOS (4MM,7MM,9MM,12MM) 18CMS  (2) GANCHO DOBLE MARTIN 16CMS"</f>
        <v>EQUIPO DE PALADAR CONSTA:  (4) CINCELES RECTOS (4MM,7MM,9MM,12MM) 18CMS  (2) GANCHO DOBLE MARTIN 16CMS</v>
      </c>
      <c r="G16183" s="5"/>
    </row>
    <row r="16184" spans="1:7" ht="58.5" customHeight="1" x14ac:dyDescent="0.25">
      <c r="A16184" s="5" t="str">
        <f>"H0038755"</f>
        <v>H0038755</v>
      </c>
      <c r="B16184" s="5" t="str">
        <f>"EQUIPO DE SEPTOPLASTIA"</f>
        <v>EQUIPO DE SEPTOPLASTIA</v>
      </c>
      <c r="C16184" s="6">
        <v>2741760</v>
      </c>
      <c r="D16184" s="5" t="s">
        <v>623</v>
      </c>
      <c r="E16184" s="5" t="str">
        <f t="shared" si="832"/>
        <v>ACTISALUD - BODEGA - WILLIAM ZUÑIGA-DIEGO GARCIA</v>
      </c>
      <c r="F16184" s="5" t="str">
        <f>"EQUIPO DE SEPTOPLASTIA CONSTA:  (4) CINCELES RECTOS (4MM,7MM,9MM,12MM) 18CMS  (2) PINZA PARA POLIPOS OGURA 12CMS"</f>
        <v>EQUIPO DE SEPTOPLASTIA CONSTA:  (4) CINCELES RECTOS (4MM,7MM,9MM,12MM) 18CMS  (2) PINZA PARA POLIPOS OGURA 12CMS</v>
      </c>
      <c r="G16184" s="5"/>
    </row>
    <row r="16185" spans="1:7" ht="58.5" customHeight="1" x14ac:dyDescent="0.25">
      <c r="A16185" s="5" t="str">
        <f>"H0038756"</f>
        <v>H0038756</v>
      </c>
      <c r="B16185" s="5" t="str">
        <f>"EQUIPO DE COLUMNA #1"</f>
        <v>EQUIPO DE COLUMNA #1</v>
      </c>
      <c r="C16185" s="6">
        <v>1432760</v>
      </c>
      <c r="D16185" s="5" t="s">
        <v>623</v>
      </c>
      <c r="E16185" s="5" t="str">
        <f t="shared" si="832"/>
        <v>ACTISALUD - BODEGA - WILLIAM ZUÑIGA-DIEGO GARCIA</v>
      </c>
      <c r="F16185" s="5" t="str">
        <f>"EQUIPO DE COLUMNA CONSTA:  (2) CURETA VOLKMANN 5 2MM LONGITUD 20CM  (1) PINZA DE DISECCION ESTRECHA SIN GARRA 16CM  (1) PINZA LUCAE BAYONETA DE 18 CM"</f>
        <v>EQUIPO DE COLUMNA CONSTA:  (2) CURETA VOLKMANN 5 2MM LONGITUD 20CM  (1) PINZA DE DISECCION ESTRECHA SIN GARRA 16CM  (1) PINZA LUCAE BAYONETA DE 18 CM</v>
      </c>
      <c r="G16185" s="5"/>
    </row>
    <row r="16186" spans="1:7" ht="58.5" customHeight="1" x14ac:dyDescent="0.25">
      <c r="A16186" s="5" t="str">
        <f>"H0038757"</f>
        <v>H0038757</v>
      </c>
      <c r="B16186" s="5" t="str">
        <f>"EQUIPO DE CRANEO"</f>
        <v>EQUIPO DE CRANEO</v>
      </c>
      <c r="C16186" s="6">
        <v>4974200</v>
      </c>
      <c r="D16186" s="5" t="s">
        <v>600</v>
      </c>
      <c r="E16186" s="5" t="str">
        <f t="shared" si="832"/>
        <v>ACTISALUD - BODEGA - WILLIAM ZUÑIGA-DIEGO GARCIA</v>
      </c>
      <c r="F16186" s="5" t="str">
        <f>"EQUIPO DE CRANEO CONSTA:  (1) CANULA VENTRICULAR ESTANDAR   (1) PINZA GUBIA PICO DE PATO 4MM"</f>
        <v>EQUIPO DE CRANEO CONSTA:  (1) CANULA VENTRICULAR ESTANDAR   (1) PINZA GUBIA PICO DE PATO 4MM</v>
      </c>
      <c r="G16186" s="5"/>
    </row>
    <row r="16187" spans="1:7" ht="58.5" customHeight="1" x14ac:dyDescent="0.25">
      <c r="A16187" s="5" t="str">
        <f>"H0038758"</f>
        <v>H0038758</v>
      </c>
      <c r="B16187" s="5" t="str">
        <f>"EQUIPO CIRUGIA PLASTICA"</f>
        <v>EQUIPO CIRUGIA PLASTICA</v>
      </c>
      <c r="C16187" s="6">
        <v>4836160</v>
      </c>
      <c r="D16187" s="5" t="s">
        <v>600</v>
      </c>
      <c r="E16187" s="5" t="str">
        <f t="shared" si="832"/>
        <v>ACTISALUD - BODEGA - WILLIAM ZUÑIGA-DIEGO GARCIA</v>
      </c>
      <c r="F16187" s="5" t="str">
        <f>"EQUIPO DE CIRUGIA PLASTICA CONSTA:  (4) PINZA ALLYS 15 CMS"</f>
        <v>EQUIPO DE CIRUGIA PLASTICA CONSTA:  (4) PINZA ALLYS 15 CMS</v>
      </c>
      <c r="G16187" s="5"/>
    </row>
    <row r="16188" spans="1:7" ht="58.5" customHeight="1" x14ac:dyDescent="0.25">
      <c r="A16188" s="5" t="str">
        <f>"H0038973"</f>
        <v>H0038973</v>
      </c>
      <c r="B16188" s="5" t="str">
        <f>"BRAZO ARTICULADO COLGANTE DE SUMINISTRO MEDICOS PARA MAQUINA DE ANESTESIA"</f>
        <v>BRAZO ARTICULADO COLGANTE DE SUMINISTRO MEDICOS PARA MAQUINA DE ANESTESIA</v>
      </c>
      <c r="C16188" s="6">
        <v>176952301.5</v>
      </c>
      <c r="D16188" s="5" t="s">
        <v>204</v>
      </c>
      <c r="E16188" s="5" t="str">
        <f t="shared" si="832"/>
        <v>ACTISALUD - BODEGA - WILLIAM ZUÑIGA-DIEGO GARCIA</v>
      </c>
      <c r="F16188" s="5"/>
      <c r="G16188" s="5"/>
    </row>
    <row r="16189" spans="1:7" ht="58.5" customHeight="1" x14ac:dyDescent="0.25">
      <c r="A16189" s="5" t="str">
        <f>"H0038974"</f>
        <v>H0038974</v>
      </c>
      <c r="B16189" s="5" t="str">
        <f>"BRAZO ARTICULADO COLGANTE DE SUMINISTRO MEDICOS PARA MAQUINA DE ANESTESIA"</f>
        <v>BRAZO ARTICULADO COLGANTE DE SUMINISTRO MEDICOS PARA MAQUINA DE ANESTESIA</v>
      </c>
      <c r="C16189" s="6">
        <v>176952301.5</v>
      </c>
      <c r="D16189" s="5" t="s">
        <v>204</v>
      </c>
      <c r="E16189" s="5" t="str">
        <f t="shared" si="832"/>
        <v>ACTISALUD - BODEGA - WILLIAM ZUÑIGA-DIEGO GARCIA</v>
      </c>
      <c r="F16189" s="5"/>
      <c r="G16189" s="5"/>
    </row>
    <row r="16190" spans="1:7" ht="58.5" customHeight="1" x14ac:dyDescent="0.25">
      <c r="A16190" s="5" t="str">
        <f>"B0005157"</f>
        <v>B0005157</v>
      </c>
      <c r="B16190" s="5" t="str">
        <f>"TABLA PLASTICA DE COCINA"</f>
        <v>TABLA PLASTICA DE COCINA</v>
      </c>
      <c r="C16190" s="6">
        <v>40000</v>
      </c>
      <c r="D16190" s="5"/>
      <c r="E16190" s="5" t="str">
        <f t="shared" ref="E16190:E16253" si="833">"SANDRA MILENA BUITRAGO ROJAS-ELEMENTOS PARA DAR DE BAJA"</f>
        <v>SANDRA MILENA BUITRAGO ROJAS-ELEMENTOS PARA DAR DE BAJA</v>
      </c>
      <c r="F16190" s="5" t="str">
        <f>"Descripcion: TABLAS PLASTICAS 41* TABLAS PLASTICAS 41 29 CM (COSINA) 29 CM (COSINA) Estado: Bueno Placa anterior: 000036313 Material: PLASTICA Color: BLANCA Referencia:  Observacion:  Placa padre: Tipo adquisicion: Donacion"</f>
        <v>Descripcion: TABLAS PLASTICAS 41* TABLAS PLASTICAS 41 29 CM (COSINA) 29 CM (COSINA) Estado: Bueno Placa anterior: 000036313 Material: PLASTICA Color: BLANCA Referencia:  Observacion:  Placa padre: Tipo adquisicion: Donacion</v>
      </c>
      <c r="G16190" s="5"/>
    </row>
    <row r="16191" spans="1:7" ht="58.5" customHeight="1" x14ac:dyDescent="0.25">
      <c r="A16191" s="5" t="str">
        <f>"B0005158"</f>
        <v>B0005158</v>
      </c>
      <c r="B16191" s="5" t="str">
        <f>"TABLA PLASTICA DE COCINA"</f>
        <v>TABLA PLASTICA DE COCINA</v>
      </c>
      <c r="C16191" s="6">
        <v>40000</v>
      </c>
      <c r="D16191" s="5"/>
      <c r="E16191" s="5" t="str">
        <f t="shared" si="833"/>
        <v>SANDRA MILENA BUITRAGO ROJAS-ELEMENTOS PARA DAR DE BAJA</v>
      </c>
      <c r="F16191" s="5" t="str">
        <f>"Descripcion: TABLAS PLASTICAS 41* TABLAS PLASTICAS 41 29 CM (COSINA) 29 CM (COSINA) Estado: Bueno Placa anterior: 000036314 Material: PLASTICA Color: BLANCA Referencia:  Observacion:  Placa padre: Tipo adquisicion: Donacion"</f>
        <v>Descripcion: TABLAS PLASTICAS 41* TABLAS PLASTICAS 41 29 CM (COSINA) 29 CM (COSINA) Estado: Bueno Placa anterior: 000036314 Material: PLASTICA Color: BLANCA Referencia:  Observacion:  Placa padre: Tipo adquisicion: Donacion</v>
      </c>
      <c r="G16191" s="5"/>
    </row>
    <row r="16192" spans="1:7" ht="58.5" customHeight="1" x14ac:dyDescent="0.25">
      <c r="A16192" s="5" t="str">
        <f>"H0000077"</f>
        <v>H0000077</v>
      </c>
      <c r="B16192" s="5" t="str">
        <f>"UNIDAD ININTERRUMPIDA DE POTENCIA (UPS) 1.5KW"</f>
        <v>UNIDAD ININTERRUMPIDA DE POTENCIA (UPS) 1.5KW</v>
      </c>
      <c r="C16192" s="6">
        <v>375576</v>
      </c>
      <c r="D16192" s="5" t="s">
        <v>521</v>
      </c>
      <c r="E16192" s="5" t="str">
        <f t="shared" si="833"/>
        <v>SANDRA MILENA BUITRAGO ROJAS-ELEMENTOS PARA DAR DE BAJA</v>
      </c>
      <c r="F16192" s="5" t="str">
        <f>"Descripcion: SISTEMA DE ALIMENTACIÓN INITEMRRUMPIDA UPS, CAPACIDAD MINIMA DE 2200VA/1200W ENTRADA:110/120 Estado: Bueno Placa anterior: 000038161 Material:  Color: NEGRO Referencia:  Observacion:  Placa padre: Tipo adquisicion: Entidad"</f>
        <v>Descripcion: SISTEMA DE ALIMENTACIÓN INITEMRRUMPIDA UPS, CAPACIDAD MINIMA DE 2200VA/1200W ENTRADA:110/120 Estado: Bueno Placa anterior: 000038161 Material:  Color: NEGRO Referencia:  Observacion:  Placa padre: Tipo adquisicion: Entidad</v>
      </c>
      <c r="G16192" s="5" t="str">
        <f>"ST-U2200"</f>
        <v>ST-U2200</v>
      </c>
    </row>
    <row r="16193" spans="1:7" ht="58.5" customHeight="1" x14ac:dyDescent="0.25">
      <c r="A16193" s="5" t="str">
        <f>"H0000321"</f>
        <v>H0000321</v>
      </c>
      <c r="B16193" s="5" t="str">
        <f>"MONITOR LCD"</f>
        <v>MONITOR LCD</v>
      </c>
      <c r="C16193" s="6">
        <v>423400</v>
      </c>
      <c r="D16193" s="5"/>
      <c r="E16193" s="5" t="str">
        <f t="shared" si="833"/>
        <v>SANDRA MILENA BUITRAGO ROJAS-ELEMENTOS PARA DAR DE BAJA</v>
      </c>
      <c r="F16193" s="5" t="str">
        <f>"Descripcion: MONITOR DE 19   Estado: Bueno Placa anterior: 000023307 Material: PASTA Color: NEGRO Referencia:  Observacion: AUTORIZADO CRUZAR POR SISTEMAS Placa padre: H0000320Tipo adquisicion: Entidad"</f>
        <v>Descripcion: MONITOR DE 19   Estado: Bueno Placa anterior: 000023307 Material: PASTA Color: NEGRO Referencia:  Observacion: AUTORIZADO CRUZAR POR SISTEMAS Placa padre: H0000320Tipo adquisicion: Entidad</v>
      </c>
      <c r="G16193" s="5" t="str">
        <f>"917SW"</f>
        <v>917SW</v>
      </c>
    </row>
    <row r="16194" spans="1:7" ht="58.5" customHeight="1" x14ac:dyDescent="0.25">
      <c r="A16194" s="5" t="str">
        <f>"H0001078"</f>
        <v>H0001078</v>
      </c>
      <c r="B16194" s="5" t="str">
        <f>"ESCRITORIO METALICO 3 GAVETAS"</f>
        <v>ESCRITORIO METALICO 3 GAVETAS</v>
      </c>
      <c r="C16194" s="6">
        <v>28333</v>
      </c>
      <c r="D16194" s="5"/>
      <c r="E16194" s="5" t="str">
        <f t="shared" si="833"/>
        <v>SANDRA MILENA BUITRAGO ROJAS-ELEMENTOS PARA DAR DE BAJA</v>
      </c>
      <c r="F16194" s="5" t="str">
        <f>"Descripcion: ESCRITORIO DE 3 GAVETAS METALICOMEDIDAS: 75.5X100X45CM Estado: Bueno Placa anterior: 000006298 Material: METALICO CON MESON EN FORMICA Color: GRIS CON MADERA OSCURO Referencia:  Observacion:  Placa padre: Tipo adquisicion: Entidad"</f>
        <v>Descripcion: ESCRITORIO DE 3 GAVETAS METALICOMEDIDAS: 75.5X100X45CM Estado: Bueno Placa anterior: 000006298 Material: METALICO CON MESON EN FORMICA Color: GRIS CON MADERA OSCURO Referencia:  Observacion:  Placa padre: Tipo adquisicion: Entidad</v>
      </c>
      <c r="G16194" s="5"/>
    </row>
    <row r="16195" spans="1:7" ht="58.5" customHeight="1" x14ac:dyDescent="0.25">
      <c r="A16195" s="5" t="str">
        <f>"H0001389"</f>
        <v>H0001389</v>
      </c>
      <c r="B16195" s="5" t="str">
        <f>"IMPRESORA TERMICA"</f>
        <v>IMPRESORA TERMICA</v>
      </c>
      <c r="C16195" s="6">
        <v>1078800</v>
      </c>
      <c r="D16195" s="5" t="s">
        <v>789</v>
      </c>
      <c r="E16195" s="5" t="str">
        <f t="shared" si="833"/>
        <v>SANDRA MILENA BUITRAGO ROJAS-ELEMENTOS PARA DAR DE BAJA</v>
      </c>
      <c r="F16195" s="5" t="str">
        <f>"Descripcion: IMPRESORA TERMICA DE INFORMACION TIPO ZEBRA Estado: Bueno Placa anterior: 000030511 Material:  Color: BEIGE Referencia:  Observacion:  Placa padre:  Tipo adquisicion : Entidad"</f>
        <v>Descripcion: IMPRESORA TERMICA DE INFORMACION TIPO ZEBRA Estado: Bueno Placa anterior: 000030511 Material:  Color: BEIGE Referencia:  Observacion:  Placa padre:  Tipo adquisicion : Entidad</v>
      </c>
      <c r="G16195" s="5" t="str">
        <f>"GC420T"</f>
        <v>GC420T</v>
      </c>
    </row>
    <row r="16196" spans="1:7" ht="58.5" customHeight="1" x14ac:dyDescent="0.25">
      <c r="A16196" s="5" t="str">
        <f>"H0002384"</f>
        <v>H0002384</v>
      </c>
      <c r="B16196" s="5" t="str">
        <f>"UNIDAD ININTERRUMPIDA DE POTENCIA (UPS) 1KW"</f>
        <v>UNIDAD ININTERRUMPIDA DE POTENCIA (UPS) 1KW</v>
      </c>
      <c r="C16196" s="6">
        <v>1276000</v>
      </c>
      <c r="D16196" s="5"/>
      <c r="E16196" s="5" t="str">
        <f t="shared" si="833"/>
        <v>SANDRA MILENA BUITRAGO ROJAS-ELEMENTOS PARA DAR DE BAJA</v>
      </c>
      <c r="F16196" s="5" t="str">
        <f>"Descripcion:UPS U-1200 4 TOMAS - UPS DE 1Kva MONTAJE EN RACK  Estado: Excelente Placa anterior: 000037095 Material: PASTA Color: NEGRO Referencia: UPS U-1200 Observacion:  Placa padre:  Tipo adquisicion : Entidad"</f>
        <v>Descripcion:UPS U-1200 4 TOMAS - UPS DE 1Kva MONTAJE EN RACK  Estado: Excelente Placa anterior: 000037095 Material: PASTA Color: NEGRO Referencia: UPS U-1200 Observacion:  Placa padre:  Tipo adquisicion : Entidad</v>
      </c>
      <c r="G16196" s="5" t="str">
        <f>"U-1200"</f>
        <v>U-1200</v>
      </c>
    </row>
    <row r="16197" spans="1:7" ht="58.5" customHeight="1" x14ac:dyDescent="0.25">
      <c r="A16197" s="5" t="str">
        <f>"H0002385"</f>
        <v>H0002385</v>
      </c>
      <c r="B16197" s="5" t="str">
        <f>"UNIDAD ININTERRUMPIDA DE POTENCIA (UPS) 1KW"</f>
        <v>UNIDAD ININTERRUMPIDA DE POTENCIA (UPS) 1KW</v>
      </c>
      <c r="C16197" s="6">
        <v>1276000</v>
      </c>
      <c r="D16197" s="5"/>
      <c r="E16197" s="5" t="str">
        <f t="shared" si="833"/>
        <v>SANDRA MILENA BUITRAGO ROJAS-ELEMENTOS PARA DAR DE BAJA</v>
      </c>
      <c r="F16197" s="5" t="str">
        <f>"Descripcion:UPS U-1200 4 TOMAS - UPS DE 1Kva MONTAJE EN RACK  Estado: Excelente Placa anterior: 000037096 Material: PASTA Color: NEGRO Referencia: UPS U-1200 Observacion:  Placa padre:  Tipo adquisicion : Entidad"</f>
        <v>Descripcion:UPS U-1200 4 TOMAS - UPS DE 1Kva MONTAJE EN RACK  Estado: Excelente Placa anterior: 000037096 Material: PASTA Color: NEGRO Referencia: UPS U-1200 Observacion:  Placa padre:  Tipo adquisicion : Entidad</v>
      </c>
      <c r="G16197" s="5" t="str">
        <f>"U-1200"</f>
        <v>U-1200</v>
      </c>
    </row>
    <row r="16198" spans="1:7" ht="58.5" customHeight="1" x14ac:dyDescent="0.25">
      <c r="A16198" s="5" t="str">
        <f>"H0002390"</f>
        <v>H0002390</v>
      </c>
      <c r="B16198" s="5" t="str">
        <f>"UNIDAD ININTERRUMPIDA DE POTENCIA (UPS) 1KW"</f>
        <v>UNIDAD ININTERRUMPIDA DE POTENCIA (UPS) 1KW</v>
      </c>
      <c r="C16198" s="6">
        <v>1276000</v>
      </c>
      <c r="D16198" s="5"/>
      <c r="E16198" s="5" t="str">
        <f t="shared" si="833"/>
        <v>SANDRA MILENA BUITRAGO ROJAS-ELEMENTOS PARA DAR DE BAJA</v>
      </c>
      <c r="F16198" s="5" t="str">
        <f>"Descripcion:UPS U-1200 4 TOMAS - UPS DE 1Kva MONTAJE EN RACK  Estado: Excelente Placa anterior: 000037101 Material: PASTA Color: NEGRO Referencia: UPS U-1200 Observacion:  Placa padre:  Tipo adquisicion : Entidad"</f>
        <v>Descripcion:UPS U-1200 4 TOMAS - UPS DE 1Kva MONTAJE EN RACK  Estado: Excelente Placa anterior: 000037101 Material: PASTA Color: NEGRO Referencia: UPS U-1200 Observacion:  Placa padre:  Tipo adquisicion : Entidad</v>
      </c>
      <c r="G16198" s="5" t="str">
        <f>"U-1200"</f>
        <v>U-1200</v>
      </c>
    </row>
    <row r="16199" spans="1:7" ht="58.5" customHeight="1" x14ac:dyDescent="0.25">
      <c r="A16199" s="5" t="str">
        <f>"H0002488"</f>
        <v>H0002488</v>
      </c>
      <c r="B16199" s="5" t="str">
        <f>"COMPUTADOR TODO EN UNO"</f>
        <v>COMPUTADOR TODO EN UNO</v>
      </c>
      <c r="C16199" s="6">
        <v>2470000</v>
      </c>
      <c r="D16199" s="5"/>
      <c r="E16199" s="5" t="str">
        <f t="shared" si="833"/>
        <v>SANDRA MILENA BUITRAGO ROJAS-ELEMENTOS PARA DAR DE BAJA</v>
      </c>
      <c r="F16199" s="5" t="str">
        <f>"Descripcion:EQUIPO DE COMPUTO TODO EN UNO CON PROCESADOR INTEL i5 Estado: Excelente Placa anterior: 000037274 Material: PASTA Color: NEGRO Referencia: 10BDFDLS Observacion:  Placa anterior:, Placa nueva=H0002490, Descripcion:MOUSE USB  3 BOTONES, Serial:4"&amp; "4PE589, Marca:LENOVO, Modelo:45J4889, Material:PASTA, Color:NEGRO,   Referencia:, Placa anterior:, Placa nueva=H0002489, Descripcion:TECLADO USB LENOVO, Serial:8258474, Marca:LENOVO, Modelo:KU-0225, Material:PASTA, Color:NEGRO,   Referencia:54Y9424 Placa "&amp; "padre:  Tipo adquisicion : Entidad"</f>
        <v>Descripcion:EQUIPO DE COMPUTO TODO EN UNO CON PROCESADOR INTEL i5 Estado: Excelente Placa anterior: 000037274 Material: PASTA Color: NEGRO Referencia: 10BDFDLS Observacion:  Placa anterior:, Placa nueva=H0002490, Descripcion:MOUSE USB  3 BOTONES, Serial:44PE589, Marca:LENOVO, Modelo:45J4889, Material:PASTA, Color:NEGRO,   Referencia:, Placa anterior:, Placa nueva=H0002489, Descripcion:TECLADO USB LENOVO, Serial:8258474, Marca:LENOVO, Modelo:KU-0225, Material:PASTA, Color:NEGRO,   Referencia:54Y9424 Placa padre:  Tipo adquisicion : Entidad</v>
      </c>
      <c r="G16199" s="5" t="str">
        <f>"00FDLS"</f>
        <v>00FDLS</v>
      </c>
    </row>
    <row r="16200" spans="1:7" ht="58.5" customHeight="1" x14ac:dyDescent="0.25">
      <c r="A16200" s="5" t="str">
        <f>"H0002509"</f>
        <v>H0002509</v>
      </c>
      <c r="B16200" s="5" t="str">
        <f>"COMPUTADOR TODO EN UNO"</f>
        <v>COMPUTADOR TODO EN UNO</v>
      </c>
      <c r="C16200" s="6">
        <v>2470000</v>
      </c>
      <c r="D16200" s="5"/>
      <c r="E16200" s="5" t="str">
        <f t="shared" si="833"/>
        <v>SANDRA MILENA BUITRAGO ROJAS-ELEMENTOS PARA DAR DE BAJA</v>
      </c>
      <c r="F16200" s="5" t="str">
        <f>"Descripcion:EQUIPO DE COMPUTO TODO EN UNO CON PROCESADOR INTEL i5 Estado: Excelente Placa anterior: 000037282 Material: PASTA Color: NEGRO Referencia: 10BDFDLS Observacion:  Placa anterior:, Placa nueva=H0002511, Descripcion:MOUSE USB  3 BOTONES, Serial:4"&amp; "4MG858, Marca:LENOVO, Modelo:45J4889, Material:PASTA, Color:NEGRO,   Referencia:, Placa anterior:, Placa nueva=H0002510, Descripcion:TECLADO USB LENOVO, Serial:8259901, Marca:LENOVO, Modelo:KU-0225, Material:PASTA, Color:NEGRO,   Referencia:54Y9424 Placa "&amp; "padre:  Tipo adquisicion : Entidad"</f>
        <v>Descripcion:EQUIPO DE COMPUTO TODO EN UNO CON PROCESADOR INTEL i5 Estado: Excelente Placa anterior: 000037282 Material: PASTA Color: NEGRO Referencia: 10BDFDLS Observacion:  Placa anterior:, Placa nueva=H0002511, Descripcion:MOUSE USB  3 BOTONES, Serial:44MG858, Marca:LENOVO, Modelo:45J4889, Material:PASTA, Color:NEGRO,   Referencia:, Placa anterior:, Placa nueva=H0002510, Descripcion:TECLADO USB LENOVO, Serial:8259901, Marca:LENOVO, Modelo:KU-0225, Material:PASTA, Color:NEGRO,   Referencia:54Y9424 Placa padre:  Tipo adquisicion : Entidad</v>
      </c>
      <c r="G16200" s="5" t="str">
        <f>"00FDLS"</f>
        <v>00FDLS</v>
      </c>
    </row>
    <row r="16201" spans="1:7" ht="58.5" customHeight="1" x14ac:dyDescent="0.25">
      <c r="A16201" s="5" t="str">
        <f>"H0002681"</f>
        <v>H0002681</v>
      </c>
      <c r="B16201" s="5" t="str">
        <f>"ENRUTADOR (ROUTER) INALAMBRICO (ACCES POINT)"</f>
        <v>ENRUTADOR (ROUTER) INALAMBRICO (ACCES POINT)</v>
      </c>
      <c r="C16201" s="6">
        <v>323640</v>
      </c>
      <c r="D16201" s="5"/>
      <c r="E16201" s="5" t="str">
        <f t="shared" si="833"/>
        <v>SANDRA MILENA BUITRAGO ROJAS-ELEMENTOS PARA DAR DE BAJA</v>
      </c>
      <c r="F16201" s="5" t="str">
        <f>"Descripcion:INDOOR ACCESS POINT, 3 ANTENAS DE COLOR GRIS, CABLE DE RED, CARGADOR Estado: Excelente Placa anterior: 000037082 Material: PASTA Color: BLANCO Y GRIS Referencia:  Observacion:  Placa padre:  Tipo adquisicion : Entidad"</f>
        <v>Descripcion:INDOOR ACCESS POINT, 3 ANTENAS DE COLOR GRIS, CABLE DE RED, CARGADOR Estado: Excelente Placa anterior: 000037082 Material: PASTA Color: BLANCO Y GRIS Referencia:  Observacion:  Placa padre:  Tipo adquisicion : Entidad</v>
      </c>
      <c r="G16201" s="5" t="str">
        <f>"TL-WA901ND"</f>
        <v>TL-WA901ND</v>
      </c>
    </row>
    <row r="16202" spans="1:7" ht="58.5" customHeight="1" x14ac:dyDescent="0.25">
      <c r="A16202" s="5" t="str">
        <f>"H0002685"</f>
        <v>H0002685</v>
      </c>
      <c r="B16202" s="5" t="str">
        <f>"COMPUTADOR PORTATIL"</f>
        <v>COMPUTADOR PORTATIL</v>
      </c>
      <c r="C16202" s="6">
        <v>2250000</v>
      </c>
      <c r="D16202" s="5"/>
      <c r="E16202" s="5" t="str">
        <f t="shared" si="833"/>
        <v>SANDRA MILENA BUITRAGO ROJAS-ELEMENTOS PARA DAR DE BAJA</v>
      </c>
      <c r="F16202" s="5" t="str">
        <f>"Descripcion:PC PORTATIL CON PROCESADOR 15 500gb DISCO DURO 4GB EN MEMORIA RAM Estado: Excelente Placa anterior: 000037040 Material: PASTA Color: NEGRO Referencia:  Observacion: PANTALLA DE 14  Placa padre:  Tipo adquisicion : Entidad"</f>
        <v>Descripcion:PC PORTATIL CON PROCESADOR 15 500gb DISCO DURO 4GB EN MEMORIA RAM Estado: Excelente Placa anterior: 000037040 Material: PASTA Color: NEGRO Referencia:  Observacion: PANTALLA DE 14  Placa padre:  Tipo adquisicion : Entidad</v>
      </c>
      <c r="G16202" s="5" t="str">
        <f>"CB0505084E"</f>
        <v>CB0505084E</v>
      </c>
    </row>
    <row r="16203" spans="1:7" ht="58.5" customHeight="1" x14ac:dyDescent="0.25">
      <c r="A16203" s="5" t="str">
        <f>"H0003926"</f>
        <v>H0003926</v>
      </c>
      <c r="B16203" s="5" t="str">
        <f>"SILLA ERGONOMICA TIPO SECRETARIA SIN BRAZOS"</f>
        <v>SILLA ERGONOMICA TIPO SECRETARIA SIN BRAZOS</v>
      </c>
      <c r="C16203" s="6">
        <v>211120</v>
      </c>
      <c r="D16203" s="5"/>
      <c r="E16203" s="5" t="str">
        <f t="shared" si="833"/>
        <v>SANDRA MILENA BUITRAGO ROJAS-ELEMENTOS PARA DAR DE BAJA</v>
      </c>
      <c r="F16203" s="5" t="str">
        <f>"Descripcion: SILLA ERGONOMICA AT 02 (TA-SECRETARIAL) Estado: Bueno Placa anterior: 000025244 Material: PASTA Color: NEGRO Referencia:  Observacion:  Placa padre: Tipo adquisicion: Entidad"</f>
        <v>Descripcion: SILLA ERGONOMICA AT 02 (TA-SECRETARIAL) Estado: Bueno Placa anterior: 000025244 Material: PASTA Color: NEGRO Referencia:  Observacion:  Placa padre: Tipo adquisicion: Entidad</v>
      </c>
      <c r="G16203" s="5"/>
    </row>
    <row r="16204" spans="1:7" ht="58.5" customHeight="1" x14ac:dyDescent="0.25">
      <c r="A16204" s="5" t="str">
        <f>"H0004111"</f>
        <v>H0004111</v>
      </c>
      <c r="B16204" s="5" t="str">
        <f>"IMPRESORA LASER"</f>
        <v>IMPRESORA LASER</v>
      </c>
      <c r="C16204" s="6">
        <v>767441</v>
      </c>
      <c r="D16204" s="5"/>
      <c r="E16204" s="5" t="str">
        <f t="shared" si="833"/>
        <v>SANDRA MILENA BUITRAGO ROJAS-ELEMENTOS PARA DAR DE BAJA</v>
      </c>
      <c r="F16204" s="5" t="str">
        <f>"Descripcion: IMPRESORA HP CE749A BGJ HP IMP 1606DN SUPLEX RED 10/100 Estado: Bueno Placa anterior: 000029530 Material: PASTA Color: NEGRA Referencia:  Observacion:  Placa padre: Tipo adquisicion: Entidad"</f>
        <v>Descripcion: IMPRESORA HP CE749A BGJ HP IMP 1606DN SUPLEX RED 10/100 Estado: Bueno Placa anterior: 000029530 Material: PASTA Color: NEGRA Referencia:  Observacion:  Placa padre: Tipo adquisicion: Entidad</v>
      </c>
      <c r="G16204" s="5" t="str">
        <f>"HPLASERJET P1606DN"</f>
        <v>HPLASERJET P1606DN</v>
      </c>
    </row>
    <row r="16205" spans="1:7" ht="58.5" customHeight="1" x14ac:dyDescent="0.25">
      <c r="A16205" s="5" t="str">
        <f>"H0004121"</f>
        <v>H0004121</v>
      </c>
      <c r="B16205" s="5" t="str">
        <f>"COMPUTADOR DE MESA"</f>
        <v>COMPUTADOR DE MESA</v>
      </c>
      <c r="C16205" s="6">
        <v>1914000</v>
      </c>
      <c r="D16205" s="5"/>
      <c r="E16205" s="5" t="str">
        <f t="shared" si="833"/>
        <v>SANDRA MILENA BUITRAGO ROJAS-ELEMENTOS PARA DAR DE BAJA</v>
      </c>
      <c r="F16205" s="5" t="str">
        <f>"Descripcion: CPU Estado: Bueno Placa anterior: 000025619 Material: METAL Color: NEGRO Referencia:  Observacion: AUTORIZADO CRUZAR POR SISTEMAS Placa anterior:, Placa nueva=H0004124, Descripcion:OPTICO, Serial:537748001, Marca:HP, Modelo:, Material:PASTA, "&amp; "Color:NEGRO, Referencia:, Placa anterior:, Placa nueva=H0004122, Descripcion:., Serial:537745-161, Marca:HP, Modelo:KB-0316, Material:PASTA, Color:NEGRO, Referencia:, Placa anterior:000028968, Placa nueva=H0004123, Descripcion:DE 21 PULGADAS, Serial:PG21P"&amp; "GH259056, Marca:WIDE, Modelo:PGL21, Material:PASTA, Color:NEGRO,Referencia: Placa padre: Tipo adquisicion: Entidad"</f>
        <v>Descripcion: CPU Estado: Bueno Placa anterior: 000025619 Material: METAL Color: NEGRO Referencia:  Observacion: AUTORIZADO CRUZAR POR SISTEMAS Placa anterior:, Placa nueva=H0004124, Descripcion:OPTICO, Serial:537748001, Marca:HP, Modelo:, Material:PASTA, Color:NEGRO, Referencia:, Placa anterior:, Placa nueva=H0004122, Descripcion:., Serial:537745-161, Marca:HP, Modelo:KB-0316, Material:PASTA, Color:NEGRO, Referencia:, Placa anterior:000028968, Placa nueva=H0004123, Descripcion:DE 21 PULGADAS, Serial:PG21PGH259056, Marca:WIDE, Modelo:PGL21, Material:PASTA, Color:NEGRO,Referencia: Placa padre: Tipo adquisicion: Entidad</v>
      </c>
      <c r="G16205" s="5" t="str">
        <f>"LE 612 LT#ABM"</f>
        <v>LE 612 LT#ABM</v>
      </c>
    </row>
    <row r="16206" spans="1:7" ht="58.5" customHeight="1" x14ac:dyDescent="0.25">
      <c r="A16206" s="5" t="str">
        <f>"H0005214"</f>
        <v>H0005214</v>
      </c>
      <c r="B16206" s="5" t="str">
        <f>"COMPUTADOR DE MESA"</f>
        <v>COMPUTADOR DE MESA</v>
      </c>
      <c r="C16206" s="6">
        <v>1800000</v>
      </c>
      <c r="D16206" s="5"/>
      <c r="E16206" s="5" t="str">
        <f t="shared" si="833"/>
        <v>SANDRA MILENA BUITRAGO ROJAS-ELEMENTOS PARA DAR DE BAJA</v>
      </c>
      <c r="F16206" s="5" t="str">
        <f>"Descripcion: CPU CLON Estado: Bueno Placa anterior: 000026858 Material: PLASTICO Color: NEGRO Referencia:  Observacion:  Placa anterior:, Placa nueva=H0005216, Descripcion:., Serial:WE1B92072083, Marca:GENIUS, Modelo:, Material:PLASTICO, Color:NEGRO,   Re"&amp; "ferencia:, Placa anterior:, Placa nueva=H0005217, Descripcion:OPTICO, Serial:X4188727004797, Marca:GENIUS, Modelo:, Material:PLASTICO, Color:NEGRO,   Referencia:, Placa anterior:, Placa nueva=H0005215, Descripcion:17 PULGADAS, Serial:801NDVWAB831, Marca:L"&amp; "G, Modelo:L177WSBS, Material:PLASTICO, Color:NEGRO,   Referencia: Placa padre: Tipo adquisicion: Entidad"</f>
        <v>Descripcion: CPU CLON Estado: Bueno Placa anterior: 000026858 Material: PLASTICO Color: NEGRO Referencia:  Observacion:  Placa anterior:, Placa nueva=H0005216, Descripcion:., Serial:WE1B92072083, Marca:GENIUS, Modelo:, Material:PLASTICO, Color:NEGRO,   Referencia:, Placa anterior:, Placa nueva=H0005217, Descripcion:OPTICO, Serial:X4188727004797, Marca:GENIUS, Modelo:, Material:PLASTICO, Color:NEGRO,   Referencia:, Placa anterior:, Placa nueva=H0005215, Descripcion:17 PULGADAS, Serial:801NDVWAB831, Marca:LG, Modelo:L177WSBS, Material:PLASTICO, Color:NEGRO,   Referencia: Placa padre: Tipo adquisicion: Entidad</v>
      </c>
      <c r="G16206" s="5"/>
    </row>
    <row r="16207" spans="1:7" ht="58.5" customHeight="1" x14ac:dyDescent="0.25">
      <c r="A16207" s="5" t="str">
        <f>"H0005470"</f>
        <v>H0005470</v>
      </c>
      <c r="B16207" s="5" t="str">
        <f>"PUESTO DE TRABAJO EN L"</f>
        <v>PUESTO DE TRABAJO EN L</v>
      </c>
      <c r="C16207" s="6">
        <v>1150000</v>
      </c>
      <c r="D16207" s="5" t="s">
        <v>790</v>
      </c>
      <c r="E16207" s="5" t="str">
        <f t="shared" si="833"/>
        <v>SANDRA MILENA BUITRAGO ROJAS-ELEMENTOS PARA DAR DE BAJA</v>
      </c>
      <c r="F16207" s="5" t="str">
        <f>"Descripcion: PUESTO DE TRABAJO EN L DE 2.10X 2.10 SUPERFICIES EN TABLEX DE 30 MM, LATERALES EN MADECOR DE 19MM Y 15 MM, INTERSECCIONES POR INTERMEDIOS DE MINIFIX ENCHAPEZ EN FORMICA Estado: Bueno Placa anterior: 000028333 Material: FORMICA Color: NEGRO Re"&amp; "ferencia:  Observacion: PLACA ANTERIOR 28540 Placa padre: Tipo adquisicion: Entidad"</f>
        <v>Descripcion: PUESTO DE TRABAJO EN L DE 2.10X 2.10 SUPERFICIES EN TABLEX DE 30 MM, LATERALES EN MADECOR DE 19MM Y 15 MM, INTERSECCIONES POR INTERMEDIOS DE MINIFIX ENCHAPEZ EN FORMICA Estado: Bueno Placa anterior: 000028333 Material: FORMICA Color: NEGRO Referencia:  Observacion: PLACA ANTERIOR 28540 Placa padre: Tipo adquisicion: Entidad</v>
      </c>
      <c r="G16207" s="5"/>
    </row>
    <row r="16208" spans="1:7" ht="58.5" customHeight="1" x14ac:dyDescent="0.25">
      <c r="A16208" s="5" t="str">
        <f>"H0005927"</f>
        <v>H0005927</v>
      </c>
      <c r="B16208" s="5" t="str">
        <f>"CUBETA DE ACERO INOXIDABLE CON TAPA MEDIANA"</f>
        <v>CUBETA DE ACERO INOXIDABLE CON TAPA MEDIANA</v>
      </c>
      <c r="C16208" s="6">
        <v>4561</v>
      </c>
      <c r="D16208" s="5"/>
      <c r="E16208" s="5" t="str">
        <f t="shared" si="833"/>
        <v>SANDRA MILENA BUITRAGO ROJAS-ELEMENTOS PARA DAR DE BAJA</v>
      </c>
      <c r="F16208" s="5" t="str">
        <f>"Descripcion: CUBETA EN ACERO INOX.GRANDE Estado: Bueno Placa anterior: 000009206 Material: ACERO INOXIDABLE Color:  Referencia:  Observacion:  Placa padre: Tipo adquisicion: Entidad"</f>
        <v>Descripcion: CUBETA EN ACERO INOX.GRANDE Estado: Bueno Placa anterior: 000009206 Material: ACERO INOXIDABLE Color:  Referencia:  Observacion:  Placa padre: Tipo adquisicion: Entidad</v>
      </c>
      <c r="G16208" s="5"/>
    </row>
    <row r="16209" spans="1:7" ht="58.5" customHeight="1" x14ac:dyDescent="0.25">
      <c r="A16209" s="5" t="str">
        <f>"H0005939"</f>
        <v>H0005939</v>
      </c>
      <c r="B16209" s="5" t="str">
        <f>"VITRINA DE 1 CUERPO"</f>
        <v>VITRINA DE 1 CUERPO</v>
      </c>
      <c r="C16209" s="6">
        <v>20790</v>
      </c>
      <c r="D16209" s="5"/>
      <c r="E16209" s="5" t="str">
        <f t="shared" si="833"/>
        <v>SANDRA MILENA BUITRAGO ROJAS-ELEMENTOS PARA DAR DE BAJA</v>
      </c>
      <c r="F16209" s="5" t="str">
        <f>"Descripcion: VITRINA DE UN CUERPO METALICA 2 PUERTAS 1 GAVETA Estado: Bueno Placa anterior: 000008882 Material: METALICA CON VIDRIO Color: GRIS Referencia:  Observacion:  Placa padre: Tipo adquisicion: Entidad"</f>
        <v>Descripcion: VITRINA DE UN CUERPO METALICA 2 PUERTAS 1 GAVETA Estado: Bueno Placa anterior: 000008882 Material: METALICA CON VIDRIO Color: GRIS Referencia:  Observacion:  Placa padre: Tipo adquisicion: Entidad</v>
      </c>
      <c r="G16209" s="5"/>
    </row>
    <row r="16210" spans="1:7" ht="58.5" customHeight="1" x14ac:dyDescent="0.25">
      <c r="A16210" s="5" t="str">
        <f>"H0006416"</f>
        <v>H0006416</v>
      </c>
      <c r="B16210" s="5" t="str">
        <f>"COMPUTADOR TODO EN UNO"</f>
        <v>COMPUTADOR TODO EN UNO</v>
      </c>
      <c r="C16210" s="6">
        <v>2470000</v>
      </c>
      <c r="D16210" s="5" t="s">
        <v>6</v>
      </c>
      <c r="E16210" s="5" t="str">
        <f t="shared" si="833"/>
        <v>SANDRA MILENA BUITRAGO ROJAS-ELEMENTOS PARA DAR DE BAJA</v>
      </c>
      <c r="F16210" s="5" t="str">
        <f>"Descripcion: EQUIPO DE COMPUTO TODO EN UNO CON PROCESADOR INTEL i5 Estado: Bueno Placa anterior: 000036962 Material: PASTA Color: NEGRO Referencia: 51H0259M Observacion:  Placa padre: Tipo adquisicion: Entidad"</f>
        <v>Descripcion: EQUIPO DE COMPUTO TODO EN UNO CON PROCESADOR INTEL i5 Estado: Bueno Placa anterior: 000036962 Material: PASTA Color: NEGRO Referencia: 51H0259M Observacion:  Placa padre: Tipo adquisicion: Entidad</v>
      </c>
      <c r="G16210" s="5" t="str">
        <f>"00FDLS THINKCENTRE"</f>
        <v>00FDLS THINKCENTRE</v>
      </c>
    </row>
    <row r="16211" spans="1:7" ht="58.5" customHeight="1" x14ac:dyDescent="0.25">
      <c r="A16211" s="5" t="str">
        <f>"H0006663"</f>
        <v>H0006663</v>
      </c>
      <c r="B16211" s="5" t="str">
        <f>"BANDEJA SIN COMPARTIMIENTOS EN ACERO INOXIDABLE"</f>
        <v>BANDEJA SIN COMPARTIMIENTOS EN ACERO INOXIDABLE</v>
      </c>
      <c r="C16211" s="6">
        <v>111.11</v>
      </c>
      <c r="D16211" s="5"/>
      <c r="E16211" s="5" t="str">
        <f t="shared" si="833"/>
        <v>SANDRA MILENA BUITRAGO ROJAS-ELEMENTOS PARA DAR DE BAJA</v>
      </c>
      <c r="F16211" s="5" t="str">
        <f>"Descripcion: BANDEJA CROMADA (CHAROL) - BANDEJA SIN COMPARTIMIENTOS EN ACERO INOXIDABLE - COCINA Estado: Bueno Placa anterior: 000015562 Material: ACERO INOX. Color: PLATEADO Referencia:  Observacion:  Placa padre: Tipo adquisicion: Entidad"</f>
        <v>Descripcion: BANDEJA CROMADA (CHAROL) - BANDEJA SIN COMPARTIMIENTOS EN ACERO INOXIDABLE - COCINA Estado: Bueno Placa anterior: 000015562 Material: ACERO INOX. Color: PLATEADO Referencia:  Observacion:  Placa padre: Tipo adquisicion: Entidad</v>
      </c>
      <c r="G16211" s="5"/>
    </row>
    <row r="16212" spans="1:7" ht="58.5" customHeight="1" x14ac:dyDescent="0.25">
      <c r="A16212" s="5" t="str">
        <f>"H0006850"</f>
        <v>H0006850</v>
      </c>
      <c r="B16212" s="5" t="str">
        <f>"BICICLETA"</f>
        <v>BICICLETA</v>
      </c>
      <c r="C16212" s="6">
        <v>1289900</v>
      </c>
      <c r="D16212" s="5"/>
      <c r="E16212" s="5" t="str">
        <f t="shared" si="833"/>
        <v>SANDRA MILENA BUITRAGO ROJAS-ELEMENTOS PARA DAR DE BAJA</v>
      </c>
      <c r="F16212" s="5" t="str">
        <f>"Descripcion:BISICLETA ESTATICA RECUMBENTE BIKE B-850 Estado: Bueno Placa anterior: 000025969 Material: TUBOS EN COLD ROLL, PLASTICO DE POLIPROPILENO Color: GRIS, NEGRA Y AZUL Referencia:  Observacion:  Placa padre:  Tipo adquisicion : Entidad"</f>
        <v>Descripcion:BISICLETA ESTATICA RECUMBENTE BIKE B-850 Estado: Bueno Placa anterior: 000025969 Material: TUBOS EN COLD ROLL, PLASTICO DE POLIPROPILENO Color: GRIS, NEGRA Y AZUL Referencia:  Observacion:  Placa padre:  Tipo adquisicion : Entidad</v>
      </c>
      <c r="G16212" s="5" t="str">
        <f>"B850"</f>
        <v>B850</v>
      </c>
    </row>
    <row r="16213" spans="1:7" ht="58.5" customHeight="1" x14ac:dyDescent="0.25">
      <c r="A16213" s="5" t="str">
        <f>"H0006853"</f>
        <v>H0006853</v>
      </c>
      <c r="B16213" s="5" t="str">
        <f>"MAQUINA (EQUIPO) (ENTRENADOR) ELIPTICA"</f>
        <v>MAQUINA (EQUIPO) (ENTRENADOR) ELIPTICA</v>
      </c>
      <c r="C16213" s="6">
        <v>1981810</v>
      </c>
      <c r="D16213" s="5"/>
      <c r="E16213" s="5" t="str">
        <f t="shared" si="833"/>
        <v>SANDRA MILENA BUITRAGO ROJAS-ELEMENTOS PARA DAR DE BAJA</v>
      </c>
      <c r="F16213" s="5" t="str">
        <f>"Descripcion:ELIPTICA Estado: Bueno Placa anterior: 000026493 Material: HIERRO EN COLD ROLL Color: GRIS Y NEGRO Referencia: BODY SOLYD Observacion: EL BIEN TIENE PLACA ANTERIOR 000026493 Placa padre:  Tipo adquisicion : Entidad"</f>
        <v>Descripcion:ELIPTICA Estado: Bueno Placa anterior: 000026493 Material: HIERRO EN COLD ROLL Color: GRIS Y NEGRO Referencia: BODY SOLYD Observacion: EL BIEN TIENE PLACA ANTERIOR 000026493 Placa padre:  Tipo adquisicion : Entidad</v>
      </c>
      <c r="G16213" s="5"/>
    </row>
    <row r="16214" spans="1:7" ht="58.5" customHeight="1" x14ac:dyDescent="0.25">
      <c r="A16214" s="5" t="str">
        <f>"H0007194"</f>
        <v>H0007194</v>
      </c>
      <c r="B16214" s="5" t="str">
        <f>"IMPRESORA LASER"</f>
        <v>IMPRESORA LASER</v>
      </c>
      <c r="C16214" s="6">
        <v>767441</v>
      </c>
      <c r="D16214" s="5"/>
      <c r="E16214" s="5" t="str">
        <f t="shared" si="833"/>
        <v>SANDRA MILENA BUITRAGO ROJAS-ELEMENTOS PARA DAR DE BAJA</v>
      </c>
      <c r="F16214" s="5" t="str">
        <f>"Descripcion: IMPRESORA HP CE749A BGJ HP IMP 1606DN SUPLEX RED 10/100 Estado: Bueno Placa anterior: 000029531 Material: PLASTICO Color:  NEGRO Referencia: CE749A Observacion: VERIFICAR SI ES COMODATO Placa padre: Tipo adquisicion: Entidad"</f>
        <v>Descripcion: IMPRESORA HP CE749A BGJ HP IMP 1606DN SUPLEX RED 10/100 Estado: Bueno Placa anterior: 000029531 Material: PLASTICO Color:  NEGRO Referencia: CE749A Observacion: VERIFICAR SI ES COMODATO Placa padre: Tipo adquisicion: Entidad</v>
      </c>
      <c r="G16214" s="5" t="str">
        <f>"HP LASERJET P1606dn"</f>
        <v>HP LASERJET P1606dn</v>
      </c>
    </row>
    <row r="16215" spans="1:7" ht="58.5" customHeight="1" x14ac:dyDescent="0.25">
      <c r="A16215" s="5" t="str">
        <f>"H0007202"</f>
        <v>H0007202</v>
      </c>
      <c r="B16215" s="5" t="str">
        <f>"PUESTO DE TRABAJO EN L CON 3 GAVETAS"</f>
        <v>PUESTO DE TRABAJO EN L CON 3 GAVETAS</v>
      </c>
      <c r="C16215" s="6">
        <v>945000</v>
      </c>
      <c r="D16215" s="5" t="s">
        <v>3</v>
      </c>
      <c r="E16215" s="5" t="str">
        <f t="shared" si="833"/>
        <v>SANDRA MILENA BUITRAGO ROJAS-ELEMENTOS PARA DAR DE BAJA</v>
      </c>
      <c r="F16215" s="5" t="str">
        <f>"Descripcion: PUESTO DE TRABAJO EN LCON SOPORTE A LA PAREDSUPERFICIE EN FORMICA Estado: Bueno Placa anterior: 000028330 Material: FORMICA Color: BEIGE Referencia:  Observacion:  Placa padre: Tipo adquisicion: Entidad"</f>
        <v>Descripcion: PUESTO DE TRABAJO EN LCON SOPORTE A LA PAREDSUPERFICIE EN FORMICA Estado: Bueno Placa anterior: 000028330 Material: FORMICA Color: BEIGE Referencia:  Observacion:  Placa padre: Tipo adquisicion: Entidad</v>
      </c>
      <c r="G16215" s="5"/>
    </row>
    <row r="16216" spans="1:7" ht="58.5" customHeight="1" x14ac:dyDescent="0.25">
      <c r="A16216" s="5" t="str">
        <f>"H0007209"</f>
        <v>H0007209</v>
      </c>
      <c r="B16216" s="5" t="str">
        <f>"DIVISION (PANEL) MODULAR"</f>
        <v>DIVISION (PANEL) MODULAR</v>
      </c>
      <c r="C16216" s="6">
        <v>980000</v>
      </c>
      <c r="D16216" s="5" t="s">
        <v>3</v>
      </c>
      <c r="E16216" s="5" t="str">
        <f t="shared" si="833"/>
        <v>SANDRA MILENA BUITRAGO ROJAS-ELEMENTOS PARA DAR DE BAJA</v>
      </c>
      <c r="F16216" s="5" t="str">
        <f>"Descripcion:200X415MARCO EN ALUMINIOPAÑO GRIS CON AZUL4 VENTANALES EN VIDRIOPUERTA CON VIDRIO Estado: Bueno Placa anterior:  Material: METALICO Color: GRIS AZUL Referencia:  Observacion:  Placa padre:  Tipo adquisicion : Entidad"</f>
        <v>Descripcion:200X415MARCO EN ALUMINIOPAÑO GRIS CON AZUL4 VENTANALES EN VIDRIOPUERTA CON VIDRIO Estado: Bueno Placa anterior:  Material: METALICO Color: GRIS AZUL Referencia:  Observacion:  Placa padre:  Tipo adquisicion : Entidad</v>
      </c>
      <c r="G16216" s="5"/>
    </row>
    <row r="16217" spans="1:7" ht="58.5" customHeight="1" x14ac:dyDescent="0.25">
      <c r="A16217" s="5" t="str">
        <f>"H0007336"</f>
        <v>H0007336</v>
      </c>
      <c r="B16217" s="5" t="str">
        <f>"COMPUTADOR TODO EN UNO"</f>
        <v>COMPUTADOR TODO EN UNO</v>
      </c>
      <c r="C16217" s="6">
        <v>1572000</v>
      </c>
      <c r="D16217" s="5" t="s">
        <v>346</v>
      </c>
      <c r="E16217" s="5" t="str">
        <f t="shared" si="833"/>
        <v>SANDRA MILENA BUITRAGO ROJAS-ELEMENTOS PARA DAR DE BAJA</v>
      </c>
      <c r="F16217" s="5" t="str">
        <f>"Descripcion: EQUIPOS DE COMPUTO TODO EN UNO PROCESADOR CORE 3.0 SUPERIOR CORPORATIVO WINDOWS 8 PRO- OFFICE 2013 SMALL BUSINES, TECNOLOGIA HT DE INTEL GARANTIA EXTENDIDA A 3 AÑOS Estado: Bueno Placa anterior: 000030675 Material: PLASTICO Color: NEGRO Refer"&amp; "encia: C9688LT Observacion:  Placa anterior:, Placa nueva=H0007337, Descripcion:TECLADO USB, Serial:CHHSVK10, Marca:HP, Modelo:KB-57211, Material:PLASTICO, Color:NEGRO,   Referencia:, Placa anterior:, Placa nueva=H0007338, Descripcion:MOUSE USB, Serial:, "&amp; "Marca:STARTECK, Modelo:,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000030675 Material: PLASTICO Color: NEGRO Referencia: C9688LT Observacion:  Placa anterior:, Placa nueva=H0007337, Descripcion:TECLADO USB, Serial:CHHSVK10, Marca:HP, Modelo:KB-57211, Material:PLASTICO, Color:NEGRO,   Referencia:, Placa anterior:, Placa nueva=H0007338, Descripcion:MOUSE USB, Serial:, Marca:STARTECK, Modelo:, Material:PLASTICO, Color:NEGRO,   Referencia: Placa padre: Tipo adquisicion: Entidad</v>
      </c>
      <c r="G16217" s="5" t="str">
        <f>"COMPAQ PRO 4300"</f>
        <v>COMPAQ PRO 4300</v>
      </c>
    </row>
    <row r="16218" spans="1:7" ht="58.5" customHeight="1" x14ac:dyDescent="0.25">
      <c r="A16218" s="5" t="str">
        <f>"H0008240"</f>
        <v>H0008240</v>
      </c>
      <c r="B16218" s="5" t="str">
        <f>"COMPUTADOR TODO EN UNO"</f>
        <v>COMPUTADOR TODO EN UNO</v>
      </c>
      <c r="C16218" s="6">
        <v>2470000</v>
      </c>
      <c r="D16218" s="5" t="s">
        <v>6</v>
      </c>
      <c r="E16218" s="5" t="str">
        <f t="shared" si="833"/>
        <v>SANDRA MILENA BUITRAGO ROJAS-ELEMENTOS PARA DAR DE BAJA</v>
      </c>
      <c r="F16218" s="5" t="str">
        <f>"Descripcion:COMPUTADOR TODO EN UNO HP Estado: Bueno Placa anterior: 000036997 Material: PLASTICO Color: NEGRO Referencia:  Observacion: AUTORIZADO CRUZAR POR SISTEMAS Placa anterior:, Placa nueva=H0008242, Descripcion:MOUSE OPTICO, Serial:31011120201, Mar"&amp; "ca:HP, Modelo:, Material:PLASTICO, Color:NEGRO,   Referencia:, Placa anterior:, Placa nueva=H0008241, Descripcion:TECLADO, Serial:BCYST0ACP7S80U, Marca:HP, Modelo:, Material:PLASTICO, Color:NEGRO,   Referencia: Placa padre:  Tipo adquisicion : Donacion"</f>
        <v>Descripcion:COMPUTADOR TODO EN UNO HP Estado: Bueno Placa anterior: 000036997 Material: PLASTICO Color: NEGRO Referencia:  Observacion: AUTORIZADO CRUZAR POR SISTEMAS Placa anterior:, Placa nueva=H0008242, Descripcion:MOUSE OPTICO, Serial:31011120201, Marca:HP, Modelo:, Material:PLASTICO, Color:NEGRO,   Referencia:, Placa anterior:, Placa nueva=H0008241, Descripcion:TECLADO, Serial:BCYST0ACP7S80U, Marca:HP, Modelo:, Material:PLASTICO, Color:NEGRO,   Referencia: Placa padre:  Tipo adquisicion : Donacion</v>
      </c>
      <c r="G16218" s="5" t="str">
        <f>"COMPAQ 18"</f>
        <v>COMPAQ 18</v>
      </c>
    </row>
    <row r="16219" spans="1:7" ht="58.5" customHeight="1" x14ac:dyDescent="0.25">
      <c r="A16219" s="5" t="str">
        <f>"H0008866"</f>
        <v>H0008866</v>
      </c>
      <c r="B16219" s="5" t="str">
        <f>"ENRUTADOR (ROUTER) INALAMBRICO (ACCES POINT)"</f>
        <v>ENRUTADOR (ROUTER) INALAMBRICO (ACCES POINT)</v>
      </c>
      <c r="C16219" s="6">
        <v>323640</v>
      </c>
      <c r="D16219" s="5" t="s">
        <v>174</v>
      </c>
      <c r="E16219" s="5" t="str">
        <f t="shared" si="833"/>
        <v>SANDRA MILENA BUITRAGO ROJAS-ELEMENTOS PARA DAR DE BAJA</v>
      </c>
      <c r="F16219" s="5" t="str">
        <f>"Descripcion: ROUTER INDOOR ACCESS POINT Estado: Excelente Placa anterior: 000037059 Material:  Color: BLANCO Referencia:  Observacion:  Placa padre: Tipo adquisicion: Entidad"</f>
        <v>Descripcion: ROUTER INDOOR ACCESS POINT Estado: Excelente Placa anterior: 000037059 Material:  Color: BLANCO Referencia:  Observacion:  Placa padre: Tipo adquisicion: Entidad</v>
      </c>
      <c r="G16219" s="5"/>
    </row>
    <row r="16220" spans="1:7" ht="58.5" customHeight="1" x14ac:dyDescent="0.25">
      <c r="A16220" s="5" t="str">
        <f>"H0011990"</f>
        <v>H0011990</v>
      </c>
      <c r="B16220" s="5" t="str">
        <f>"NEVERA DE 66 LTS"</f>
        <v>NEVERA DE 66 LTS</v>
      </c>
      <c r="C16220" s="6">
        <v>1475000</v>
      </c>
      <c r="D16220" s="5"/>
      <c r="E16220" s="5" t="str">
        <f t="shared" si="833"/>
        <v>SANDRA MILENA BUITRAGO ROJAS-ELEMENTOS PARA DAR DE BAJA</v>
      </c>
      <c r="F16220" s="5" t="str">
        <f>"Descripcion: NEVERA VITRINA VERTICAL HACEB REF. RVC7 Estado: Bueno Placa anterior: 000025914 Material: METALICO Y VIDRIO Color: BLANCO CON NEGRO Referencia:  Observacion:  Placa padre: Tipo adquisicion: Entidad"</f>
        <v>Descripcion: NEVERA VITRINA VERTICAL HACEB REF. RVC7 Estado: Bueno Placa anterior: 000025914 Material: METALICO Y VIDRIO Color: BLANCO CON NEGRO Referencia:  Observacion:  Placa padre: Tipo adquisicion: Entidad</v>
      </c>
      <c r="G16220" s="5" t="str">
        <f>"RVC7"</f>
        <v>RVC7</v>
      </c>
    </row>
    <row r="16221" spans="1:7" ht="58.5" customHeight="1" x14ac:dyDescent="0.25">
      <c r="A16221" s="5" t="str">
        <f>"H0012167"</f>
        <v>H0012167</v>
      </c>
      <c r="B16221" s="5" t="str">
        <f>"ESCRITORIO METALICO 3 GAVETAS"</f>
        <v>ESCRITORIO METALICO 3 GAVETAS</v>
      </c>
      <c r="C16221" s="6">
        <v>17058.63</v>
      </c>
      <c r="D16221" s="5"/>
      <c r="E16221" s="5" t="str">
        <f t="shared" si="833"/>
        <v>SANDRA MILENA BUITRAGO ROJAS-ELEMENTOS PARA DAR DE BAJA</v>
      </c>
      <c r="F16221" s="5" t="str">
        <f>"Descripcion: ESCRITORIO DE 3 GAVETAS Estado: Bueno Placa anterior: 000004511 Material: METAL Y FORMICA Color: GRIS Y MADERA Referencia:  Observacion:  Placa padre: Tipo adquisicion: Entidad"</f>
        <v>Descripcion: ESCRITORIO DE 3 GAVETAS Estado: Bueno Placa anterior: 000004511 Material: METAL Y FORMICA Color: GRIS Y MADERA Referencia:  Observacion:  Placa padre: Tipo adquisicion: Entidad</v>
      </c>
      <c r="G16221" s="5"/>
    </row>
    <row r="16222" spans="1:7" ht="58.5" customHeight="1" x14ac:dyDescent="0.25">
      <c r="A16222" s="5" t="str">
        <f>"H0012756"</f>
        <v>H0012756</v>
      </c>
      <c r="B16222" s="5" t="str">
        <f>"ESTABILIZADOR (REGULADOR) DE ENERGIA 750W"</f>
        <v>ESTABILIZADOR (REGULADOR) DE ENERGIA 750W</v>
      </c>
      <c r="C16222" s="6">
        <v>15616</v>
      </c>
      <c r="D16222" s="5"/>
      <c r="E16222" s="5" t="str">
        <f t="shared" si="833"/>
        <v>SANDRA MILENA BUITRAGO ROJAS-ELEMENTOS PARA DAR DE BAJA</v>
      </c>
      <c r="F16222" s="5" t="str">
        <f>"Descripcion: ESTABILIZADOR PARA COMPUTADOR DE 4 TOMAS Estado: Bueno Placa anterior: 000012532 Material: METAL Color: NEGRO Referencia:  Observacion:  Placa padre: Tipo adquisicion: Entidad"</f>
        <v>Descripcion: ESTABILIZADOR PARA COMPUTADOR DE 4 TOMAS Estado: Bueno Placa anterior: 000012532 Material: METAL Color: NEGRO Referencia:  Observacion:  Placa padre: Tipo adquisicion: Entidad</v>
      </c>
      <c r="G16222" s="5"/>
    </row>
    <row r="16223" spans="1:7" ht="58.5" customHeight="1" x14ac:dyDescent="0.25">
      <c r="A16223" s="5" t="str">
        <f>"H0012834"</f>
        <v>H0012834</v>
      </c>
      <c r="B16223" s="5" t="str">
        <f>"COMPUTADOR DE MESA"</f>
        <v>COMPUTADOR DE MESA</v>
      </c>
      <c r="C16223" s="6">
        <v>1807000</v>
      </c>
      <c r="D16223" s="5"/>
      <c r="E16223" s="5" t="str">
        <f t="shared" si="833"/>
        <v>SANDRA MILENA BUITRAGO ROJAS-ELEMENTOS PARA DAR DE BAJA</v>
      </c>
      <c r="F16223" s="5" t="str">
        <f>"Descripcion: COMPUTADOR CLON INTEL CORE 2 DUO E6320 Estado: Bueno Placa anterior: 000028849 Material: PLASTICO Color: NEGRO Referencia:  Observacion:  Placa anterior:000023008, Placa nueva=H0012835, Descripcion:MONITOR LCD MARCA SAMSUNG 19 , Serial:CM19H9"&amp; "MS106252X, Marca:SAMSUNG, Modelo:SYNCMASTER N933SN, Material:PLASTICO, Color:NEGRO,Referencia:, Placa anterior:, Placa nueva=H0012837, Descripcion:MOUSE OPTICO, Serial:X67842101146, Marca:GENIUS, Modelo:, Material:PLASTICO, Color:NEGRO,Referencia:, Placa "&amp; "anterior:, Placa nueva=H0012836, Descripcion:TECLADO, Serial:CN0DJ415-71616-895-10QM, Marca:DELL, Modelo:, Material:PLASTICO, Color:NEGRO,Referencia: Placa padre: Tipo adquisicion: Entidad"</f>
        <v>Descripcion: COMPUTADOR CLON INTEL CORE 2 DUO E6320 Estado: Bueno Placa anterior: 000028849 Material: PLASTICO Color: NEGRO Referencia:  Observacion:  Placa anterior:000023008, Placa nueva=H0012835, Descripcion:MONITOR LCD MARCA SAMSUNG 19 , Serial:CM19H9MS106252X, Marca:SAMSUNG, Modelo:SYNCMASTER N933SN, Material:PLASTICO, Color:NEGRO,Referencia:, Placa anterior:, Placa nueva=H0012837, Descripcion:MOUSE OPTICO, Serial:X67842101146, Marca:GENIUS, Modelo:, Material:PLASTICO, Color:NEGRO,Referencia:, Placa anterior:, Placa nueva=H0012836, Descripcion:TECLADO, Serial:CN0DJ415-71616-895-10QM, Marca:DELL, Modelo:, Material:PLASTICO, Color:NEGRO,Referencia: Placa padre: Tipo adquisicion: Entidad</v>
      </c>
      <c r="G16223" s="5"/>
    </row>
    <row r="16224" spans="1:7" ht="58.5" customHeight="1" x14ac:dyDescent="0.25">
      <c r="A16224" s="5" t="str">
        <f>"H0013132"</f>
        <v>H0013132</v>
      </c>
      <c r="B16224" s="5" t="str">
        <f t="shared" ref="B16224:B16233" si="834">"BANDEJA PARA CARRO DE TRANSPORTE DE ALIMENTOS"</f>
        <v>BANDEJA PARA CARRO DE TRANSPORTE DE ALIMENTOS</v>
      </c>
      <c r="C16224" s="6">
        <v>111.11</v>
      </c>
      <c r="D16224" s="5"/>
      <c r="E16224" s="5" t="str">
        <f t="shared" si="833"/>
        <v>SANDRA MILENA BUITRAGO ROJAS-ELEMENTOS PARA DAR DE BAJA</v>
      </c>
      <c r="F16224" s="5" t="str">
        <f>"Descripcion: BANDEJA EN ALUMINIO LISA GRANDE Estado: Bueno Placa anterior: 000015672 Material: ALUMINIO Color:  Referencia:  Observacion:  Placa padre: Tipo adquisicion: Entidad"</f>
        <v>Descripcion: BANDEJA EN ALUMINIO LISA GRANDE Estado: Bueno Placa anterior: 000015672 Material: ALUMINIO Color:  Referencia:  Observacion:  Placa padre: Tipo adquisicion: Entidad</v>
      </c>
      <c r="G16224" s="5"/>
    </row>
    <row r="16225" spans="1:7" ht="58.5" customHeight="1" x14ac:dyDescent="0.25">
      <c r="A16225" s="5" t="str">
        <f>"H0013135"</f>
        <v>H0013135</v>
      </c>
      <c r="B16225" s="5" t="str">
        <f t="shared" si="834"/>
        <v>BANDEJA PARA CARRO DE TRANSPORTE DE ALIMENTOS</v>
      </c>
      <c r="C16225" s="6">
        <v>111.11</v>
      </c>
      <c r="D16225" s="5"/>
      <c r="E16225" s="5" t="str">
        <f t="shared" si="833"/>
        <v>SANDRA MILENA BUITRAGO ROJAS-ELEMENTOS PARA DAR DE BAJA</v>
      </c>
      <c r="F16225" s="5" t="str">
        <f>"Descripcion: BANDEJA EN ALUMINIO LISA GRANDE Estado: Bueno Placa anterior: 000015675 Material: ALUMINIO Color:  Referencia:  Observacion:  Placa padre: Tipo adquisicion: Entidad"</f>
        <v>Descripcion: BANDEJA EN ALUMINIO LISA GRANDE Estado: Bueno Placa anterior: 000015675 Material: ALUMINIO Color:  Referencia:  Observacion:  Placa padre: Tipo adquisicion: Entidad</v>
      </c>
      <c r="G16225" s="5"/>
    </row>
    <row r="16226" spans="1:7" ht="58.5" customHeight="1" x14ac:dyDescent="0.25">
      <c r="A16226" s="5" t="str">
        <f>"H0013136"</f>
        <v>H0013136</v>
      </c>
      <c r="B16226" s="5" t="str">
        <f t="shared" si="834"/>
        <v>BANDEJA PARA CARRO DE TRANSPORTE DE ALIMENTOS</v>
      </c>
      <c r="C16226" s="6">
        <v>111.11</v>
      </c>
      <c r="D16226" s="5"/>
      <c r="E16226" s="5" t="str">
        <f t="shared" si="833"/>
        <v>SANDRA MILENA BUITRAGO ROJAS-ELEMENTOS PARA DAR DE BAJA</v>
      </c>
      <c r="F16226" s="5" t="str">
        <f>"Descripcion: BANDEJA EN ALUMINIO LISA GRANDE Estado: Bueno Placa anterior: 000015676 Material: ALUMINIO Color:  Referencia:  Observacion:  Placa padre: Tipo adquisicion: Entidad"</f>
        <v>Descripcion: BANDEJA EN ALUMINIO LISA GRANDE Estado: Bueno Placa anterior: 000015676 Material: ALUMINIO Color:  Referencia:  Observacion:  Placa padre: Tipo adquisicion: Entidad</v>
      </c>
      <c r="G16226" s="5"/>
    </row>
    <row r="16227" spans="1:7" ht="58.5" customHeight="1" x14ac:dyDescent="0.25">
      <c r="A16227" s="5" t="str">
        <f>"H0013138"</f>
        <v>H0013138</v>
      </c>
      <c r="B16227" s="5" t="str">
        <f t="shared" si="834"/>
        <v>BANDEJA PARA CARRO DE TRANSPORTE DE ALIMENTOS</v>
      </c>
      <c r="C16227" s="6">
        <v>111.11</v>
      </c>
      <c r="D16227" s="5"/>
      <c r="E16227" s="5" t="str">
        <f t="shared" si="833"/>
        <v>SANDRA MILENA BUITRAGO ROJAS-ELEMENTOS PARA DAR DE BAJA</v>
      </c>
      <c r="F16227" s="5" t="str">
        <f>"Descripcion: BANDEJA EN ALUMINIO LISA GRANDE Estado: Bueno Placa anterior: 000015678 Material: ALUMINIO Color:  Referencia:  Observacion:  Placa padre: Tipo adquisicion: Entidad"</f>
        <v>Descripcion: BANDEJA EN ALUMINIO LISA GRANDE Estado: Bueno Placa anterior: 000015678 Material: ALUMINIO Color:  Referencia:  Observacion:  Placa padre: Tipo adquisicion: Entidad</v>
      </c>
      <c r="G16227" s="5"/>
    </row>
    <row r="16228" spans="1:7" ht="58.5" customHeight="1" x14ac:dyDescent="0.25">
      <c r="A16228" s="5" t="str">
        <f>"H0013141"</f>
        <v>H0013141</v>
      </c>
      <c r="B16228" s="5" t="str">
        <f t="shared" si="834"/>
        <v>BANDEJA PARA CARRO DE TRANSPORTE DE ALIMENTOS</v>
      </c>
      <c r="C16228" s="6">
        <v>111.11</v>
      </c>
      <c r="D16228" s="5"/>
      <c r="E16228" s="5" t="str">
        <f t="shared" si="833"/>
        <v>SANDRA MILENA BUITRAGO ROJAS-ELEMENTOS PARA DAR DE BAJA</v>
      </c>
      <c r="F16228" s="5" t="str">
        <f>"Descripcion: BANDEJA EN ALUMINIO LISA GRANDE Estado: Bueno Placa anterior: 000015681 Material: ALUMINIO Color:  Referencia:  Observacion:  Placa padre: Tipo adquisicion: Entidad"</f>
        <v>Descripcion: BANDEJA EN ALUMINIO LISA GRANDE Estado: Bueno Placa anterior: 000015681 Material: ALUMINIO Color:  Referencia:  Observacion:  Placa padre: Tipo adquisicion: Entidad</v>
      </c>
      <c r="G16228" s="5"/>
    </row>
    <row r="16229" spans="1:7" ht="58.5" customHeight="1" x14ac:dyDescent="0.25">
      <c r="A16229" s="5" t="str">
        <f>"H0013143"</f>
        <v>H0013143</v>
      </c>
      <c r="B16229" s="5" t="str">
        <f t="shared" si="834"/>
        <v>BANDEJA PARA CARRO DE TRANSPORTE DE ALIMENTOS</v>
      </c>
      <c r="C16229" s="6">
        <v>111.11</v>
      </c>
      <c r="D16229" s="5"/>
      <c r="E16229" s="5" t="str">
        <f t="shared" si="833"/>
        <v>SANDRA MILENA BUITRAGO ROJAS-ELEMENTOS PARA DAR DE BAJA</v>
      </c>
      <c r="F16229" s="5" t="str">
        <f>"Descripcion: BANDEJA EN ALUMINIO LISA GRANDE Estado: Bueno Placa anterior: 000015683 Material: ALUMINIO Color:  Referencia:  Observacion:  Placa padre: Tipo adquisicion: Entidad"</f>
        <v>Descripcion: BANDEJA EN ALUMINIO LISA GRANDE Estado: Bueno Placa anterior: 000015683 Material: ALUMINIO Color:  Referencia:  Observacion:  Placa padre: Tipo adquisicion: Entidad</v>
      </c>
      <c r="G16229" s="5"/>
    </row>
    <row r="16230" spans="1:7" ht="58.5" customHeight="1" x14ac:dyDescent="0.25">
      <c r="A16230" s="5" t="str">
        <f>"H0013150"</f>
        <v>H0013150</v>
      </c>
      <c r="B16230" s="5" t="str">
        <f t="shared" si="834"/>
        <v>BANDEJA PARA CARRO DE TRANSPORTE DE ALIMENTOS</v>
      </c>
      <c r="C16230" s="6">
        <v>111.11</v>
      </c>
      <c r="D16230" s="5"/>
      <c r="E16230" s="5" t="str">
        <f t="shared" si="833"/>
        <v>SANDRA MILENA BUITRAGO ROJAS-ELEMENTOS PARA DAR DE BAJA</v>
      </c>
      <c r="F16230" s="5" t="str">
        <f>"Descripcion: BANDEJA EN ALUMINIO LISA GRANDE Estado: Bueno Placa anterior: 000015710 Material: ALUMINIO Color:  Referencia:  Observacion:  Placa padre: Tipo adquisicion: Entidad"</f>
        <v>Descripcion: BANDEJA EN ALUMINIO LISA GRANDE Estado: Bueno Placa anterior: 000015710 Material: ALUMINIO Color:  Referencia:  Observacion:  Placa padre: Tipo adquisicion: Entidad</v>
      </c>
      <c r="G16230" s="5"/>
    </row>
    <row r="16231" spans="1:7" ht="58.5" customHeight="1" x14ac:dyDescent="0.25">
      <c r="A16231" s="5" t="str">
        <f>"H0013152"</f>
        <v>H0013152</v>
      </c>
      <c r="B16231" s="5" t="str">
        <f t="shared" si="834"/>
        <v>BANDEJA PARA CARRO DE TRANSPORTE DE ALIMENTOS</v>
      </c>
      <c r="C16231" s="6">
        <v>111.11</v>
      </c>
      <c r="D16231" s="5"/>
      <c r="E16231" s="5" t="str">
        <f t="shared" si="833"/>
        <v>SANDRA MILENA BUITRAGO ROJAS-ELEMENTOS PARA DAR DE BAJA</v>
      </c>
      <c r="F16231" s="5" t="str">
        <f>"Descripcion: BANDEJA EN ALUMINIO LISA GRANDE Estado: Bueno Placa anterior: 000015711 Material: ALUMINIO Color:  Referencia:  Observacion:  Placa padre: Tipo adquisicion: Entidad"</f>
        <v>Descripcion: BANDEJA EN ALUMINIO LISA GRANDE Estado: Bueno Placa anterior: 000015711 Material: ALUMINIO Color:  Referencia:  Observacion:  Placa padre: Tipo adquisicion: Entidad</v>
      </c>
      <c r="G16231" s="5"/>
    </row>
    <row r="16232" spans="1:7" ht="58.5" customHeight="1" x14ac:dyDescent="0.25">
      <c r="A16232" s="5" t="str">
        <f>"H0013172"</f>
        <v>H0013172</v>
      </c>
      <c r="B16232" s="5" t="str">
        <f t="shared" si="834"/>
        <v>BANDEJA PARA CARRO DE TRANSPORTE DE ALIMENTOS</v>
      </c>
      <c r="C16232" s="6">
        <v>111.11</v>
      </c>
      <c r="D16232" s="5"/>
      <c r="E16232" s="5" t="str">
        <f t="shared" si="833"/>
        <v>SANDRA MILENA BUITRAGO ROJAS-ELEMENTOS PARA DAR DE BAJA</v>
      </c>
      <c r="F16232" s="5" t="str">
        <f>"Descripcion: BANDEJA EN ALUMINIO LISA GRANDE Estado: Bueno Placa anterior: 000015738 Material: ALUMINIO Color:  Referencia:  Observacion:  Placa padre: Tipo adquisicion: Entidad"</f>
        <v>Descripcion: BANDEJA EN ALUMINIO LISA GRANDE Estado: Bueno Placa anterior: 000015738 Material: ALUMINIO Color:  Referencia:  Observacion:  Placa padre: Tipo adquisicion: Entidad</v>
      </c>
      <c r="G16232" s="5"/>
    </row>
    <row r="16233" spans="1:7" ht="58.5" customHeight="1" x14ac:dyDescent="0.25">
      <c r="A16233" s="5" t="str">
        <f>"H0013174"</f>
        <v>H0013174</v>
      </c>
      <c r="B16233" s="5" t="str">
        <f t="shared" si="834"/>
        <v>BANDEJA PARA CARRO DE TRANSPORTE DE ALIMENTOS</v>
      </c>
      <c r="C16233" s="6">
        <v>111.11</v>
      </c>
      <c r="D16233" s="5"/>
      <c r="E16233" s="5" t="str">
        <f t="shared" si="833"/>
        <v>SANDRA MILENA BUITRAGO ROJAS-ELEMENTOS PARA DAR DE BAJA</v>
      </c>
      <c r="F16233" s="5" t="str">
        <f>"Descripcion: BANDEJA EN ALUMINIO LISA GRANDE Estado: Bueno Placa anterior: 000015740 Material: ALUMINIO Color:  Referencia:  Observacion:  Placa padre: Tipo adquisicion: Entidad"</f>
        <v>Descripcion: BANDEJA EN ALUMINIO LISA GRANDE Estado: Bueno Placa anterior: 000015740 Material: ALUMINIO Color:  Referencia:  Observacion:  Placa padre: Tipo adquisicion: Entidad</v>
      </c>
      <c r="G16233" s="5"/>
    </row>
    <row r="16234" spans="1:7" ht="58.5" customHeight="1" x14ac:dyDescent="0.25">
      <c r="A16234" s="5" t="str">
        <f>"H0013316"</f>
        <v>H0013316</v>
      </c>
      <c r="B16234" s="5" t="str">
        <f t="shared" ref="B16234:B16244" si="835">"BANDEJA CON COMPARTIMIENTOS EN ACERO INOXIDABLE"</f>
        <v>BANDEJA CON COMPARTIMIENTOS EN ACERO INOXIDABLE</v>
      </c>
      <c r="C16234" s="6">
        <v>3088.8</v>
      </c>
      <c r="D16234" s="5"/>
      <c r="E16234" s="5" t="str">
        <f t="shared" si="833"/>
        <v>SANDRA MILENA BUITRAGO ROJAS-ELEMENTOS PARA DAR DE BAJA</v>
      </c>
      <c r="F16234" s="5" t="str">
        <f>"Descripcion: BANDEJA EN ACERO INOX. 6 COMPARTIMIENTOS - COCINA Estado: Bueno Placa anterior: 000017225 Material: ACERO INOX. Color: PLATEADO Referencia:  Observacion:  Placa padre: Tipo adquisicion: Entidad"</f>
        <v>Descripcion: BANDEJA EN ACERO INOX. 6 COMPARTIMIENTOS - COCINA Estado: Bueno Placa anterior: 000017225 Material: ACERO INOX. Color: PLATEADO Referencia:  Observacion:  Placa padre: Tipo adquisicion: Entidad</v>
      </c>
      <c r="G16234" s="5"/>
    </row>
    <row r="16235" spans="1:7" ht="58.5" customHeight="1" x14ac:dyDescent="0.25">
      <c r="A16235" s="5" t="str">
        <f>"H0013317"</f>
        <v>H0013317</v>
      </c>
      <c r="B16235" s="5" t="str">
        <f t="shared" si="835"/>
        <v>BANDEJA CON COMPARTIMIENTOS EN ACERO INOXIDABLE</v>
      </c>
      <c r="C16235" s="6">
        <v>3088.8</v>
      </c>
      <c r="D16235" s="5"/>
      <c r="E16235" s="5" t="str">
        <f t="shared" si="833"/>
        <v>SANDRA MILENA BUITRAGO ROJAS-ELEMENTOS PARA DAR DE BAJA</v>
      </c>
      <c r="F16235" s="5" t="str">
        <f>"Descripcion: BANDEJA EN ACERO INOX. 6 COMPARTIMIENTOS - COCINA Estado: Bueno Placa anterior: 000017061 Material: ACERO INOX Color: PLATEADO Referencia:  Observacion:  Placa padre: Tipo adquisicion: Entidad"</f>
        <v>Descripcion: BANDEJA EN ACERO INOX. 6 COMPARTIMIENTOS - COCINA Estado: Bueno Placa anterior: 000017061 Material: ACERO INOX Color: PLATEADO Referencia:  Observacion:  Placa padre: Tipo adquisicion: Entidad</v>
      </c>
      <c r="G16235" s="5"/>
    </row>
    <row r="16236" spans="1:7" ht="58.5" customHeight="1" x14ac:dyDescent="0.25">
      <c r="A16236" s="5" t="str">
        <f>"H0013340"</f>
        <v>H0013340</v>
      </c>
      <c r="B16236" s="5" t="str">
        <f t="shared" si="835"/>
        <v>BANDEJA CON COMPARTIMIENTOS EN ACERO INOXIDABLE</v>
      </c>
      <c r="C16236" s="6">
        <v>3088.8</v>
      </c>
      <c r="D16236" s="5"/>
      <c r="E16236" s="5" t="str">
        <f t="shared" si="833"/>
        <v>SANDRA MILENA BUITRAGO ROJAS-ELEMENTOS PARA DAR DE BAJA</v>
      </c>
      <c r="F16236" s="5" t="str">
        <f>"Descripcion: BANDEJA EN ACERO INOX. 6 COMPARTIMIENTOS - COCINA Estado: Bueno Placa anterior: 000016908 Material: ACERO INOX. Color: PLATEADO Referencia:  Observacion:  Placa padre: Tipo adquisicion: Entidad"</f>
        <v>Descripcion: BANDEJA EN ACERO INOX. 6 COMPARTIMIENTOS - COCINA Estado: Bueno Placa anterior: 000016908 Material: ACERO INOX. Color: PLATEADO Referencia:  Observacion:  Placa padre: Tipo adquisicion: Entidad</v>
      </c>
      <c r="G16236" s="5"/>
    </row>
    <row r="16237" spans="1:7" ht="58.5" customHeight="1" x14ac:dyDescent="0.25">
      <c r="A16237" s="5" t="str">
        <f>"H0013382"</f>
        <v>H0013382</v>
      </c>
      <c r="B16237" s="5" t="str">
        <f t="shared" si="835"/>
        <v>BANDEJA CON COMPARTIMIENTOS EN ACERO INOXIDABLE</v>
      </c>
      <c r="C16237" s="6">
        <v>3088.8</v>
      </c>
      <c r="D16237" s="5"/>
      <c r="E16237" s="5" t="str">
        <f t="shared" si="833"/>
        <v>SANDRA MILENA BUITRAGO ROJAS-ELEMENTOS PARA DAR DE BAJA</v>
      </c>
      <c r="F16237" s="5" t="str">
        <f>"Descripcion: BANDEJA EN ACERO INOX. 6 COMPARTIMIENTOS - COCINA Estado: Bueno Placa anterior: 000016959 Material: ACERO INOX. Color: PLATEADO Referencia:  Observacion:  Placa padre: Tipo adquisicion: Entidad"</f>
        <v>Descripcion: BANDEJA EN ACERO INOX. 6 COMPARTIMIENTOS - COCINA Estado: Bueno Placa anterior: 000016959 Material: ACERO INOX. Color: PLATEADO Referencia:  Observacion:  Placa padre: Tipo adquisicion: Entidad</v>
      </c>
      <c r="G16237" s="5"/>
    </row>
    <row r="16238" spans="1:7" ht="58.5" customHeight="1" x14ac:dyDescent="0.25">
      <c r="A16238" s="5" t="str">
        <f>"H0013392"</f>
        <v>H0013392</v>
      </c>
      <c r="B16238" s="5" t="str">
        <f t="shared" si="835"/>
        <v>BANDEJA CON COMPARTIMIENTOS EN ACERO INOXIDABLE</v>
      </c>
      <c r="C16238" s="6">
        <v>3088.8</v>
      </c>
      <c r="D16238" s="5"/>
      <c r="E16238" s="5" t="str">
        <f t="shared" si="833"/>
        <v>SANDRA MILENA BUITRAGO ROJAS-ELEMENTOS PARA DAR DE BAJA</v>
      </c>
      <c r="F16238" s="5" t="str">
        <f>"Descripcion: BANDEJA EN ACERO INOX. 6 COMPARTIMIENTOS - COCINA Estado: Bueno Placa anterior: 000016969 Material: ACERO INOX. Color: PLATEADO Referencia:  Observacion:  Placa padre: Tipo adquisicion: Entidad"</f>
        <v>Descripcion: BANDEJA EN ACERO INOX. 6 COMPARTIMIENTOS - COCINA Estado: Bueno Placa anterior: 000016969 Material: ACERO INOX. Color: PLATEADO Referencia:  Observacion:  Placa padre: Tipo adquisicion: Entidad</v>
      </c>
      <c r="G16238" s="5"/>
    </row>
    <row r="16239" spans="1:7" ht="58.5" customHeight="1" x14ac:dyDescent="0.25">
      <c r="A16239" s="5" t="str">
        <f>"H0013404"</f>
        <v>H0013404</v>
      </c>
      <c r="B16239" s="5" t="str">
        <f t="shared" si="835"/>
        <v>BANDEJA CON COMPARTIMIENTOS EN ACERO INOXIDABLE</v>
      </c>
      <c r="C16239" s="6">
        <v>3088.8</v>
      </c>
      <c r="D16239" s="5"/>
      <c r="E16239" s="5" t="str">
        <f t="shared" si="833"/>
        <v>SANDRA MILENA BUITRAGO ROJAS-ELEMENTOS PARA DAR DE BAJA</v>
      </c>
      <c r="F16239" s="5" t="str">
        <f>"Descripcion: BANDEJA EN ACERO INOX. 6 COMPARTIMIENTOS - COCINA Estado: Bueno Placa anterior: 000016983 Material: ACERO INOX. Color: PLATEADO Referencia:  Observacion:  Placa padre: Tipo adquisicion: Entidad"</f>
        <v>Descripcion: BANDEJA EN ACERO INOX. 6 COMPARTIMIENTOS - COCINA Estado: Bueno Placa anterior: 000016983 Material: ACERO INOX. Color: PLATEADO Referencia:  Observacion:  Placa padre: Tipo adquisicion: Entidad</v>
      </c>
      <c r="G16239" s="5"/>
    </row>
    <row r="16240" spans="1:7" ht="58.5" customHeight="1" x14ac:dyDescent="0.25">
      <c r="A16240" s="5" t="str">
        <f>"H0013481"</f>
        <v>H0013481</v>
      </c>
      <c r="B16240" s="5" t="str">
        <f t="shared" si="835"/>
        <v>BANDEJA CON COMPARTIMIENTOS EN ACERO INOXIDABLE</v>
      </c>
      <c r="C16240" s="6">
        <v>3088.8</v>
      </c>
      <c r="D16240" s="5"/>
      <c r="E16240" s="5" t="str">
        <f t="shared" si="833"/>
        <v>SANDRA MILENA BUITRAGO ROJAS-ELEMENTOS PARA DAR DE BAJA</v>
      </c>
      <c r="F16240" s="5" t="str">
        <f>"Descripcion: BANDEJA EN ACERO INOX. 6 COMPARTIMIENTOS - COCINA Estado: Bueno Placa anterior: 000017067 Material: ACERO INOX. Color: PLATEADO Referencia:  Observacion:  Placa padre: Tipo adquisicion: Entidad"</f>
        <v>Descripcion: BANDEJA EN ACERO INOX. 6 COMPARTIMIENTOS - COCINA Estado: Bueno Placa anterior: 000017067 Material: ACERO INOX. Color: PLATEADO Referencia:  Observacion:  Placa padre: Tipo adquisicion: Entidad</v>
      </c>
      <c r="G16240" s="5"/>
    </row>
    <row r="16241" spans="1:7" ht="58.5" customHeight="1" x14ac:dyDescent="0.25">
      <c r="A16241" s="5" t="str">
        <f>"H0013550"</f>
        <v>H0013550</v>
      </c>
      <c r="B16241" s="5" t="str">
        <f t="shared" si="835"/>
        <v>BANDEJA CON COMPARTIMIENTOS EN ACERO INOXIDABLE</v>
      </c>
      <c r="C16241" s="6">
        <v>10507.38</v>
      </c>
      <c r="D16241" s="5"/>
      <c r="E16241" s="5" t="str">
        <f t="shared" si="833"/>
        <v>SANDRA MILENA BUITRAGO ROJAS-ELEMENTOS PARA DAR DE BAJA</v>
      </c>
      <c r="F16241" s="5" t="str">
        <f>"Descripcion: BANDEJA EN ACERO INOX. 6 COMPARTIMIENTOS - COCINA Estado: Bueno Placa anterior: 000016834 Material: ACERO INOX. Color: PLATEADO Referencia:  Observacion:  Placa padre: Tipo adquisicion: Entidad"</f>
        <v>Descripcion: BANDEJA EN ACERO INOX. 6 COMPARTIMIENTOS - COCINA Estado: Bueno Placa anterior: 000016834 Material: ACERO INOX. Color: PLATEADO Referencia:  Observacion:  Placa padre: Tipo adquisicion: Entidad</v>
      </c>
      <c r="G16241" s="5"/>
    </row>
    <row r="16242" spans="1:7" ht="58.5" customHeight="1" x14ac:dyDescent="0.25">
      <c r="A16242" s="5" t="str">
        <f>"H0013615"</f>
        <v>H0013615</v>
      </c>
      <c r="B16242" s="5" t="str">
        <f t="shared" si="835"/>
        <v>BANDEJA CON COMPARTIMIENTOS EN ACERO INOXIDABLE</v>
      </c>
      <c r="C16242" s="6">
        <v>3088.8</v>
      </c>
      <c r="D16242" s="5"/>
      <c r="E16242" s="5" t="str">
        <f t="shared" si="833"/>
        <v>SANDRA MILENA BUITRAGO ROJAS-ELEMENTOS PARA DAR DE BAJA</v>
      </c>
      <c r="F16242" s="5" t="str">
        <f>"Descripcion: BANDEJA EN ACERO INOX. 6 COMPARTIMIENTOS - COCINA Estado: Bueno Placa anterior: 000017178 Material: ACERO INOX. Color: PLATEADO Referencia:  Observacion:  Placa padre: Tipo adquisicion: Entidad"</f>
        <v>Descripcion: BANDEJA EN ACERO INOX. 6 COMPARTIMIENTOS - COCINA Estado: Bueno Placa anterior: 000017178 Material: ACERO INOX. Color: PLATEADO Referencia:  Observacion:  Placa padre: Tipo adquisicion: Entidad</v>
      </c>
      <c r="G16242" s="5"/>
    </row>
    <row r="16243" spans="1:7" ht="58.5" customHeight="1" x14ac:dyDescent="0.25">
      <c r="A16243" s="5" t="str">
        <f>"H0013701"</f>
        <v>H0013701</v>
      </c>
      <c r="B16243" s="5" t="str">
        <f t="shared" si="835"/>
        <v>BANDEJA CON COMPARTIMIENTOS EN ACERO INOXIDABLE</v>
      </c>
      <c r="C16243" s="6">
        <v>3088.8</v>
      </c>
      <c r="D16243" s="5"/>
      <c r="E16243" s="5" t="str">
        <f t="shared" si="833"/>
        <v>SANDRA MILENA BUITRAGO ROJAS-ELEMENTOS PARA DAR DE BAJA</v>
      </c>
      <c r="F16243" s="5" t="str">
        <f>"Descripcion: 6 COMPARTIMIENTOS Estado: Regular Placa anterior: 000017210 Material: ACERO INOXIDABLE Color:  Referencia:  Observacion:  Placa padre: Tipo adquisicion: Entidad"</f>
        <v>Descripcion: 6 COMPARTIMIENTOS Estado: Regular Placa anterior: 000017210 Material: ACERO INOXIDABLE Color:  Referencia:  Observacion:  Placa padre: Tipo adquisicion: Entidad</v>
      </c>
      <c r="G16243" s="5"/>
    </row>
    <row r="16244" spans="1:7" ht="58.5" customHeight="1" x14ac:dyDescent="0.25">
      <c r="A16244" s="5" t="str">
        <f>"H0013702"</f>
        <v>H0013702</v>
      </c>
      <c r="B16244" s="5" t="str">
        <f t="shared" si="835"/>
        <v>BANDEJA CON COMPARTIMIENTOS EN ACERO INOXIDABLE</v>
      </c>
      <c r="C16244" s="6">
        <v>3088.8</v>
      </c>
      <c r="D16244" s="5"/>
      <c r="E16244" s="5" t="str">
        <f t="shared" si="833"/>
        <v>SANDRA MILENA BUITRAGO ROJAS-ELEMENTOS PARA DAR DE BAJA</v>
      </c>
      <c r="F16244" s="5" t="str">
        <f>"Descripcion: 6 COMPARTIMIENTOS Estado: Regular Placa anterior: 000017237 Material: ACERO INOXIDABLE Color:  Referencia:  Observacion:  Placa padre: Tipo adquisicion: Entidad"</f>
        <v>Descripcion: 6 COMPARTIMIENTOS Estado: Regular Placa anterior: 000017237 Material: ACERO INOXIDABLE Color:  Referencia:  Observacion:  Placa padre: Tipo adquisicion: Entidad</v>
      </c>
      <c r="G16244" s="5"/>
    </row>
    <row r="16245" spans="1:7" ht="58.5" customHeight="1" x14ac:dyDescent="0.25">
      <c r="A16245" s="5" t="str">
        <f>"H0013754"</f>
        <v>H0013754</v>
      </c>
      <c r="B16245" s="5" t="str">
        <f>"POCILLO ACERO INOXIDABLE PEQUEÑO"</f>
        <v>POCILLO ACERO INOXIDABLE PEQUEÑO</v>
      </c>
      <c r="C16245" s="6">
        <v>3335.64</v>
      </c>
      <c r="D16245" s="5"/>
      <c r="E16245" s="5" t="str">
        <f t="shared" si="833"/>
        <v>SANDRA MILENA BUITRAGO ROJAS-ELEMENTOS PARA DAR DE BAJA</v>
      </c>
      <c r="F16245" s="5" t="str">
        <f>"Descripcion: POCILLO HONDO PEQUEÑO Estado: Bueno Placa anterior: 000018162 Material: ACERO INOXIDABLE Color:  Referencia:  Observacion:  Placa padre: Tipo adquisicion: Entidad"</f>
        <v>Descripcion: POCILLO HONDO PEQUEÑO Estado: Bueno Placa anterior: 000018162 Material: ACERO INOXIDABLE Color:  Referencia:  Observacion:  Placa padre: Tipo adquisicion: Entidad</v>
      </c>
      <c r="G16245" s="5"/>
    </row>
    <row r="16246" spans="1:7" ht="58.5" customHeight="1" x14ac:dyDescent="0.25">
      <c r="A16246" s="5" t="str">
        <f>"H0013760"</f>
        <v>H0013760</v>
      </c>
      <c r="B16246" s="5" t="str">
        <f>"POCILLO ACERO INOXIDABLE PEQUEÑO"</f>
        <v>POCILLO ACERO INOXIDABLE PEQUEÑO</v>
      </c>
      <c r="C16246" s="6">
        <v>3335.64</v>
      </c>
      <c r="D16246" s="5"/>
      <c r="E16246" s="5" t="str">
        <f t="shared" si="833"/>
        <v>SANDRA MILENA BUITRAGO ROJAS-ELEMENTOS PARA DAR DE BAJA</v>
      </c>
      <c r="F16246" s="5" t="str">
        <f>"Descripcion: POCILLO HONDO PEQUEÑO Estado: Bueno Placa anterior: 000018168 Material: ACERO INOXIDABLE Color:  Referencia:  Observacion:  Placa padre: Tipo adquisicion: Entidad"</f>
        <v>Descripcion: POCILLO HONDO PEQUEÑO Estado: Bueno Placa anterior: 000018168 Material: ACERO INOXIDABLE Color:  Referencia:  Observacion:  Placa padre: Tipo adquisicion: Entidad</v>
      </c>
      <c r="G16246" s="5"/>
    </row>
    <row r="16247" spans="1:7" ht="58.5" customHeight="1" x14ac:dyDescent="0.25">
      <c r="A16247" s="5" t="str">
        <f>"H0013771"</f>
        <v>H0013771</v>
      </c>
      <c r="B16247" s="5" t="str">
        <f>"POCILLO ACERO INOXIDABLE PEQUEÑO"</f>
        <v>POCILLO ACERO INOXIDABLE PEQUEÑO</v>
      </c>
      <c r="C16247" s="6">
        <v>3335.64</v>
      </c>
      <c r="D16247" s="5"/>
      <c r="E16247" s="5" t="str">
        <f t="shared" si="833"/>
        <v>SANDRA MILENA BUITRAGO ROJAS-ELEMENTOS PARA DAR DE BAJA</v>
      </c>
      <c r="F16247" s="5" t="str">
        <f>"Descripcion: POCILLO HONDO PEQUEÑO Estado: Bueno Placa anterior: 000018178 Material: ACERO INOXIDABLE Color:  Referencia:  Observacion:  Placa padre: Tipo adquisicion: Entidad"</f>
        <v>Descripcion: POCILLO HONDO PEQUEÑO Estado: Bueno Placa anterior: 000018178 Material: ACERO INOXIDABLE Color:  Referencia:  Observacion:  Placa padre: Tipo adquisicion: Entidad</v>
      </c>
      <c r="G16247" s="5"/>
    </row>
    <row r="16248" spans="1:7" ht="58.5" customHeight="1" x14ac:dyDescent="0.25">
      <c r="A16248" s="5" t="str">
        <f>"H0013776"</f>
        <v>H0013776</v>
      </c>
      <c r="B16248" s="5" t="str">
        <f>"BANDEJA SIN COMPARTIMIENTOS EN ACERO INOXIDABLE"</f>
        <v>BANDEJA SIN COMPARTIMIENTOS EN ACERO INOXIDABLE</v>
      </c>
      <c r="C16248" s="6">
        <v>111.11</v>
      </c>
      <c r="D16248" s="5"/>
      <c r="E16248" s="5" t="str">
        <f t="shared" si="833"/>
        <v>SANDRA MILENA BUITRAGO ROJAS-ELEMENTOS PARA DAR DE BAJA</v>
      </c>
      <c r="F16248" s="5" t="str">
        <f>"Descripcion: . Estado: Bueno Placa anterior: 000016803 Material: ACERO INOXIDABLE Color:  Referencia:  Observacion:  Placa padre: Tipo adquisicion: Entidad"</f>
        <v>Descripcion: . Estado: Bueno Placa anterior: 000016803 Material: ACERO INOXIDABLE Color:  Referencia:  Observacion:  Placa padre: Tipo adquisicion: Entidad</v>
      </c>
      <c r="G16248" s="5"/>
    </row>
    <row r="16249" spans="1:7" ht="58.5" customHeight="1" x14ac:dyDescent="0.25">
      <c r="A16249" s="5" t="str">
        <f>"H0013779"</f>
        <v>H0013779</v>
      </c>
      <c r="B16249" s="5" t="str">
        <f t="shared" ref="B16249:B16256" si="836">"VASO EN ACERO INOXIDABLE"</f>
        <v>VASO EN ACERO INOXIDABLE</v>
      </c>
      <c r="C16249" s="6">
        <v>1536.72</v>
      </c>
      <c r="D16249" s="5"/>
      <c r="E16249" s="5" t="str">
        <f t="shared" si="833"/>
        <v>SANDRA MILENA BUITRAGO ROJAS-ELEMENTOS PARA DAR DE BAJA</v>
      </c>
      <c r="F16249" s="5" t="str">
        <f>"Descripcion: VASO DE 10 ONZAS EN ACERO INOX. Estado: Bueno Placa anterior: 000018323 Material: ACERO INOXIDABLE Color:  Referencia:  Observacion:  Placa padre: Tipo adquisicion: Entidad"</f>
        <v>Descripcion: VASO DE 10 ONZAS EN ACERO INOX. Estado: Bueno Placa anterior: 000018323 Material: ACERO INOXIDABLE Color:  Referencia:  Observacion:  Placa padre: Tipo adquisicion: Entidad</v>
      </c>
      <c r="G16249" s="5"/>
    </row>
    <row r="16250" spans="1:7" ht="58.5" customHeight="1" x14ac:dyDescent="0.25">
      <c r="A16250" s="5" t="str">
        <f>"H0013781"</f>
        <v>H0013781</v>
      </c>
      <c r="B16250" s="5" t="str">
        <f t="shared" si="836"/>
        <v>VASO EN ACERO INOXIDABLE</v>
      </c>
      <c r="C16250" s="6">
        <v>1536.72</v>
      </c>
      <c r="D16250" s="5"/>
      <c r="E16250" s="5" t="str">
        <f t="shared" si="833"/>
        <v>SANDRA MILENA BUITRAGO ROJAS-ELEMENTOS PARA DAR DE BAJA</v>
      </c>
      <c r="F16250" s="5" t="str">
        <f>"Descripcion: VASO DE 10 ONZAS EN ACERO INOX. Estado: Bueno Placa anterior: 000018325 Material: ACERO INOXIDABLE Color:  Referencia:  Observacion:  Placa padre: Tipo adquisicion: Entidad"</f>
        <v>Descripcion: VASO DE 10 ONZAS EN ACERO INOX. Estado: Bueno Placa anterior: 000018325 Material: ACERO INOXIDABLE Color:  Referencia:  Observacion:  Placa padre: Tipo adquisicion: Entidad</v>
      </c>
      <c r="G16250" s="5"/>
    </row>
    <row r="16251" spans="1:7" ht="58.5" customHeight="1" x14ac:dyDescent="0.25">
      <c r="A16251" s="5" t="str">
        <f>"H0013786"</f>
        <v>H0013786</v>
      </c>
      <c r="B16251" s="5" t="str">
        <f t="shared" si="836"/>
        <v>VASO EN ACERO INOXIDABLE</v>
      </c>
      <c r="C16251" s="6">
        <v>1536.72</v>
      </c>
      <c r="D16251" s="5"/>
      <c r="E16251" s="5" t="str">
        <f t="shared" si="833"/>
        <v>SANDRA MILENA BUITRAGO ROJAS-ELEMENTOS PARA DAR DE BAJA</v>
      </c>
      <c r="F16251" s="5" t="str">
        <f>"Descripcion: VASO DE 10 ONZAS EN ACERO INOX. Estado: Bueno Placa anterior: 000018330 Material: ACERO INOXIDABLE Color:  Referencia:  Observacion:  Placa padre: Tipo adquisicion: Entidad"</f>
        <v>Descripcion: VASO DE 10 ONZAS EN ACERO INOX. Estado: Bueno Placa anterior: 000018330 Material: ACERO INOXIDABLE Color:  Referencia:  Observacion:  Placa padre: Tipo adquisicion: Entidad</v>
      </c>
      <c r="G16251" s="5"/>
    </row>
    <row r="16252" spans="1:7" ht="58.5" customHeight="1" x14ac:dyDescent="0.25">
      <c r="A16252" s="5" t="str">
        <f>"H0013790"</f>
        <v>H0013790</v>
      </c>
      <c r="B16252" s="5" t="str">
        <f t="shared" si="836"/>
        <v>VASO EN ACERO INOXIDABLE</v>
      </c>
      <c r="C16252" s="6">
        <v>1536.72</v>
      </c>
      <c r="D16252" s="5"/>
      <c r="E16252" s="5" t="str">
        <f t="shared" si="833"/>
        <v>SANDRA MILENA BUITRAGO ROJAS-ELEMENTOS PARA DAR DE BAJA</v>
      </c>
      <c r="F16252" s="5" t="str">
        <f>"Descripcion: VASO DE 10 ONZAS EN ACERO INOX. Estado: Bueno Placa anterior: 000018334 Material: ACERO INOXIDABLE Color:  Referencia:  Observacion:  Placa padre: Tipo adquisicion: Entidad"</f>
        <v>Descripcion: VASO DE 10 ONZAS EN ACERO INOX. Estado: Bueno Placa anterior: 000018334 Material: ACERO INOXIDABLE Color:  Referencia:  Observacion:  Placa padre: Tipo adquisicion: Entidad</v>
      </c>
      <c r="G16252" s="5"/>
    </row>
    <row r="16253" spans="1:7" ht="58.5" customHeight="1" x14ac:dyDescent="0.25">
      <c r="A16253" s="5" t="str">
        <f>"H0013793"</f>
        <v>H0013793</v>
      </c>
      <c r="B16253" s="5" t="str">
        <f t="shared" si="836"/>
        <v>VASO EN ACERO INOXIDABLE</v>
      </c>
      <c r="C16253" s="6">
        <v>1536.72</v>
      </c>
      <c r="D16253" s="5"/>
      <c r="E16253" s="5" t="str">
        <f t="shared" si="833"/>
        <v>SANDRA MILENA BUITRAGO ROJAS-ELEMENTOS PARA DAR DE BAJA</v>
      </c>
      <c r="F16253" s="5" t="str">
        <f>"Descripcion: VASO DE 10 ONZAS EN ACERO INOX. Estado: Bueno Placa anterior: 000018337 Material: ACERO INOXIDABLE Color:  Referencia:  Observacion:  Placa padre: Tipo adquisicion: Entidad"</f>
        <v>Descripcion: VASO DE 10 ONZAS EN ACERO INOX. Estado: Bueno Placa anterior: 000018337 Material: ACERO INOXIDABLE Color:  Referencia:  Observacion:  Placa padre: Tipo adquisicion: Entidad</v>
      </c>
      <c r="G16253" s="5"/>
    </row>
    <row r="16254" spans="1:7" ht="58.5" customHeight="1" x14ac:dyDescent="0.25">
      <c r="A16254" s="5" t="str">
        <f>"H0013803"</f>
        <v>H0013803</v>
      </c>
      <c r="B16254" s="5" t="str">
        <f t="shared" si="836"/>
        <v>VASO EN ACERO INOXIDABLE</v>
      </c>
      <c r="C16254" s="6">
        <v>1536.72</v>
      </c>
      <c r="D16254" s="5"/>
      <c r="E16254" s="5" t="str">
        <f t="shared" ref="E16254:E16317" si="837">"SANDRA MILENA BUITRAGO ROJAS-ELEMENTOS PARA DAR DE BAJA"</f>
        <v>SANDRA MILENA BUITRAGO ROJAS-ELEMENTOS PARA DAR DE BAJA</v>
      </c>
      <c r="F16254" s="5" t="str">
        <f>"Descripcion: VASO DE 10 ONZAS EN ACERO INOX. Estado: Bueno Placa anterior: 000018346 Material: ACERO INOXIDABLE Color:  Referencia:  Observacion:  Placa padre: Tipo adquisicion: Entidad"</f>
        <v>Descripcion: VASO DE 10 ONZAS EN ACERO INOX. Estado: Bueno Placa anterior: 000018346 Material: ACERO INOXIDABLE Color:  Referencia:  Observacion:  Placa padre: Tipo adquisicion: Entidad</v>
      </c>
      <c r="G16254" s="5"/>
    </row>
    <row r="16255" spans="1:7" ht="58.5" customHeight="1" x14ac:dyDescent="0.25">
      <c r="A16255" s="5" t="str">
        <f>"H0013804"</f>
        <v>H0013804</v>
      </c>
      <c r="B16255" s="5" t="str">
        <f t="shared" si="836"/>
        <v>VASO EN ACERO INOXIDABLE</v>
      </c>
      <c r="C16255" s="6">
        <v>1536.72</v>
      </c>
      <c r="D16255" s="5"/>
      <c r="E16255" s="5" t="str">
        <f t="shared" si="837"/>
        <v>SANDRA MILENA BUITRAGO ROJAS-ELEMENTOS PARA DAR DE BAJA</v>
      </c>
      <c r="F16255" s="5" t="str">
        <f>"Descripcion: VASO DE 10 ONZAS EN ACERO INOX. Estado: Bueno Placa anterior: 000018347 Material: ACERO INOXIDABLE Color:  Referencia:  Observacion:  Placa padre: Tipo adquisicion: Entidad"</f>
        <v>Descripcion: VASO DE 10 ONZAS EN ACERO INOX. Estado: Bueno Placa anterior: 000018347 Material: ACERO INOXIDABLE Color:  Referencia:  Observacion:  Placa padre: Tipo adquisicion: Entidad</v>
      </c>
      <c r="G16255" s="5"/>
    </row>
    <row r="16256" spans="1:7" ht="58.5" customHeight="1" x14ac:dyDescent="0.25">
      <c r="A16256" s="5" t="str">
        <f>"H0013806"</f>
        <v>H0013806</v>
      </c>
      <c r="B16256" s="5" t="str">
        <f t="shared" si="836"/>
        <v>VASO EN ACERO INOXIDABLE</v>
      </c>
      <c r="C16256" s="6">
        <v>1536.72</v>
      </c>
      <c r="D16256" s="5"/>
      <c r="E16256" s="5" t="str">
        <f t="shared" si="837"/>
        <v>SANDRA MILENA BUITRAGO ROJAS-ELEMENTOS PARA DAR DE BAJA</v>
      </c>
      <c r="F16256" s="5" t="str">
        <f>"Descripcion: VASO DE 10 ONZAS EN ACERO INOX. Estado: Bueno Placa anterior: 000018349 Material: ACERO INOXIDABLE Color:  Referencia:  Observacion:  Placa padre: Tipo adquisicion: Entidad"</f>
        <v>Descripcion: VASO DE 10 ONZAS EN ACERO INOX. Estado: Bueno Placa anterior: 000018349 Material: ACERO INOXIDABLE Color:  Referencia:  Observacion:  Placa padre: Tipo adquisicion: Entidad</v>
      </c>
      <c r="G16256" s="5"/>
    </row>
    <row r="16257" spans="1:7" ht="58.5" customHeight="1" x14ac:dyDescent="0.25">
      <c r="A16257" s="5" t="str">
        <f>"H0013827"</f>
        <v>H0013827</v>
      </c>
      <c r="B16257" s="5" t="str">
        <f>"BANDEJA SIN COMPARTIMIENTOS EN ACERO INOXIDABLE"</f>
        <v>BANDEJA SIN COMPARTIMIENTOS EN ACERO INOXIDABLE</v>
      </c>
      <c r="C16257" s="6">
        <v>111.11</v>
      </c>
      <c r="D16257" s="5"/>
      <c r="E16257" s="5" t="str">
        <f t="shared" si="837"/>
        <v>SANDRA MILENA BUITRAGO ROJAS-ELEMENTOS PARA DAR DE BAJA</v>
      </c>
      <c r="F16257" s="5" t="str">
        <f>"Descripcion: . Estado: Bueno Placa anterior: 000016804 Material: ACERO INOXIDABLE Color:  Referencia:  Observacion:  Placa padre: Tipo adquisicion: Entidad"</f>
        <v>Descripcion: . Estado: Bueno Placa anterior: 000016804 Material: ACERO INOXIDABLE Color:  Referencia:  Observacion:  Placa padre: Tipo adquisicion: Entidad</v>
      </c>
      <c r="G16257" s="5"/>
    </row>
    <row r="16258" spans="1:7" ht="58.5" customHeight="1" x14ac:dyDescent="0.25">
      <c r="A16258" s="5" t="str">
        <f>"H0013828"</f>
        <v>H0013828</v>
      </c>
      <c r="B16258" s="5" t="str">
        <f>"BANDEJA SIN COMPARTIMIENTOS EN ACERO INOXIDABLE"</f>
        <v>BANDEJA SIN COMPARTIMIENTOS EN ACERO INOXIDABLE</v>
      </c>
      <c r="C16258" s="6">
        <v>111.11</v>
      </c>
      <c r="D16258" s="5"/>
      <c r="E16258" s="5" t="str">
        <f t="shared" si="837"/>
        <v>SANDRA MILENA BUITRAGO ROJAS-ELEMENTOS PARA DAR DE BAJA</v>
      </c>
      <c r="F16258" s="5" t="str">
        <f>"Descripcion: . Estado: Bueno Placa anterior: 000016805 Material: ACERO INOXIDABLE Color:  Referencia:  Observacion:  Placa padre: Tipo adquisicion: Entidad"</f>
        <v>Descripcion: . Estado: Bueno Placa anterior: 000016805 Material: ACERO INOXIDABLE Color:  Referencia:  Observacion:  Placa padre: Tipo adquisicion: Entidad</v>
      </c>
      <c r="G16258" s="5"/>
    </row>
    <row r="16259" spans="1:7" ht="58.5" customHeight="1" x14ac:dyDescent="0.25">
      <c r="A16259" s="5" t="str">
        <f>"H0013829"</f>
        <v>H0013829</v>
      </c>
      <c r="B16259" s="5" t="str">
        <f t="shared" ref="B16259:B16284" si="838">"TAZA SOPERA EN ACERO INOXIDABLE"</f>
        <v>TAZA SOPERA EN ACERO INOXIDABLE</v>
      </c>
      <c r="C16259" s="6">
        <v>45</v>
      </c>
      <c r="D16259" s="5"/>
      <c r="E16259" s="5" t="str">
        <f t="shared" si="837"/>
        <v>SANDRA MILENA BUITRAGO ROJAS-ELEMENTOS PARA DAR DE BAJA</v>
      </c>
      <c r="F16259" s="5" t="str">
        <f>"Descripcion: TAZA CROMADA DE SOPA Estado: Bueno Placa anterior: 000018304 Material: ACERO INOXIDABLE Color:  Referencia:  Observacion:  Placa padre: Tipo adquisicion: Entidad"</f>
        <v>Descripcion: TAZA CROMADA DE SOPA Estado: Bueno Placa anterior: 000018304 Material: ACERO INOXIDABLE Color:  Referencia:  Observacion:  Placa padre: Tipo adquisicion: Entidad</v>
      </c>
      <c r="G16259" s="5"/>
    </row>
    <row r="16260" spans="1:7" ht="58.5" customHeight="1" x14ac:dyDescent="0.25">
      <c r="A16260" s="5" t="str">
        <f>"H0013833"</f>
        <v>H0013833</v>
      </c>
      <c r="B16260" s="5" t="str">
        <f t="shared" si="838"/>
        <v>TAZA SOPERA EN ACERO INOXIDABLE</v>
      </c>
      <c r="C16260" s="6">
        <v>45</v>
      </c>
      <c r="D16260" s="5"/>
      <c r="E16260" s="5" t="str">
        <f t="shared" si="837"/>
        <v>SANDRA MILENA BUITRAGO ROJAS-ELEMENTOS PARA DAR DE BAJA</v>
      </c>
      <c r="F16260" s="5" t="str">
        <f>"Descripcion: TAZA CROMADA DE SOPA Estado: Bueno Placa anterior: 000018311 Material: ACERO INOXIDABLE Color:  Referencia:  Observacion:  Placa padre: Tipo adquisicion: Entidad"</f>
        <v>Descripcion: TAZA CROMADA DE SOPA Estado: Bueno Placa anterior: 000018311 Material: ACERO INOXIDABLE Color:  Referencia:  Observacion:  Placa padre: Tipo adquisicion: Entidad</v>
      </c>
      <c r="G16260" s="5"/>
    </row>
    <row r="16261" spans="1:7" ht="58.5" customHeight="1" x14ac:dyDescent="0.25">
      <c r="A16261" s="5" t="str">
        <f>"H0013836"</f>
        <v>H0013836</v>
      </c>
      <c r="B16261" s="5" t="str">
        <f t="shared" si="838"/>
        <v>TAZA SOPERA EN ACERO INOXIDABLE</v>
      </c>
      <c r="C16261" s="6">
        <v>45</v>
      </c>
      <c r="D16261" s="5"/>
      <c r="E16261" s="5" t="str">
        <f t="shared" si="837"/>
        <v>SANDRA MILENA BUITRAGO ROJAS-ELEMENTOS PARA DAR DE BAJA</v>
      </c>
      <c r="F16261" s="5" t="str">
        <f>"Descripcion: TAZA CROMADA DE SOPA Estado: Bueno Placa anterior: 000018305 Material: ACERO INOXIDABLE Color:  Referencia:  Observacion:  Placa padre: Tipo adquisicion: Entidad"</f>
        <v>Descripcion: TAZA CROMADA DE SOPA Estado: Bueno Placa anterior: 000018305 Material: ACERO INOXIDABLE Color:  Referencia:  Observacion:  Placa padre: Tipo adquisicion: Entidad</v>
      </c>
      <c r="G16261" s="5"/>
    </row>
    <row r="16262" spans="1:7" ht="58.5" customHeight="1" x14ac:dyDescent="0.25">
      <c r="A16262" s="5" t="str">
        <f>"H0013837"</f>
        <v>H0013837</v>
      </c>
      <c r="B16262" s="5" t="str">
        <f t="shared" si="838"/>
        <v>TAZA SOPERA EN ACERO INOXIDABLE</v>
      </c>
      <c r="C16262" s="6">
        <v>45</v>
      </c>
      <c r="D16262" s="5"/>
      <c r="E16262" s="5" t="str">
        <f t="shared" si="837"/>
        <v>SANDRA MILENA BUITRAGO ROJAS-ELEMENTOS PARA DAR DE BAJA</v>
      </c>
      <c r="F16262" s="5" t="str">
        <f>"Descripcion: TAZA CROMADA DE SOPA Estado: Bueno Placa anterior: 000018300 Material: ACERO INOXIDABLE Color:  Referencia:  Observacion:  Placa padre: Tipo adquisicion: Entidad"</f>
        <v>Descripcion: TAZA CROMADA DE SOPA Estado: Bueno Placa anterior: 000018300 Material: ACERO INOXIDABLE Color:  Referencia:  Observacion:  Placa padre: Tipo adquisicion: Entidad</v>
      </c>
      <c r="G16262" s="5"/>
    </row>
    <row r="16263" spans="1:7" ht="58.5" customHeight="1" x14ac:dyDescent="0.25">
      <c r="A16263" s="5" t="str">
        <f>"H0013838"</f>
        <v>H0013838</v>
      </c>
      <c r="B16263" s="5" t="str">
        <f t="shared" si="838"/>
        <v>TAZA SOPERA EN ACERO INOXIDABLE</v>
      </c>
      <c r="C16263" s="6">
        <v>45</v>
      </c>
      <c r="D16263" s="5"/>
      <c r="E16263" s="5" t="str">
        <f t="shared" si="837"/>
        <v>SANDRA MILENA BUITRAGO ROJAS-ELEMENTOS PARA DAR DE BAJA</v>
      </c>
      <c r="F16263" s="5" t="str">
        <f>"Descripcion: TAZA CROMADA DE SOPA Estado: Bueno Placa anterior: 000018303 Material: ACERO INOXIDABLE Color:  Referencia:  Observacion:  Placa padre: Tipo adquisicion: Entidad"</f>
        <v>Descripcion: TAZA CROMADA DE SOPA Estado: Bueno Placa anterior: 000018303 Material: ACERO INOXIDABLE Color:  Referencia:  Observacion:  Placa padre: Tipo adquisicion: Entidad</v>
      </c>
      <c r="G16263" s="5"/>
    </row>
    <row r="16264" spans="1:7" ht="58.5" customHeight="1" x14ac:dyDescent="0.25">
      <c r="A16264" s="5" t="str">
        <f>"H0013840"</f>
        <v>H0013840</v>
      </c>
      <c r="B16264" s="5" t="str">
        <f t="shared" si="838"/>
        <v>TAZA SOPERA EN ACERO INOXIDABLE</v>
      </c>
      <c r="C16264" s="6">
        <v>45</v>
      </c>
      <c r="D16264" s="5"/>
      <c r="E16264" s="5" t="str">
        <f t="shared" si="837"/>
        <v>SANDRA MILENA BUITRAGO ROJAS-ELEMENTOS PARA DAR DE BAJA</v>
      </c>
      <c r="F16264" s="5" t="str">
        <f>"Descripcion: TAZA CROMADA DE SOPA Estado: Bueno Placa anterior: 000018310 Material: ACERO INOXIDABLE Color:  Referencia:  Observacion:  Placa padre: Tipo adquisicion: Entidad"</f>
        <v>Descripcion: TAZA CROMADA DE SOPA Estado: Bueno Placa anterior: 000018310 Material: ACERO INOXIDABLE Color:  Referencia:  Observacion:  Placa padre: Tipo adquisicion: Entidad</v>
      </c>
      <c r="G16264" s="5"/>
    </row>
    <row r="16265" spans="1:7" ht="58.5" customHeight="1" x14ac:dyDescent="0.25">
      <c r="A16265" s="5" t="str">
        <f>"H0013841"</f>
        <v>H0013841</v>
      </c>
      <c r="B16265" s="5" t="str">
        <f t="shared" si="838"/>
        <v>TAZA SOPERA EN ACERO INOXIDABLE</v>
      </c>
      <c r="C16265" s="6">
        <v>45</v>
      </c>
      <c r="D16265" s="5"/>
      <c r="E16265" s="5" t="str">
        <f t="shared" si="837"/>
        <v>SANDRA MILENA BUITRAGO ROJAS-ELEMENTOS PARA DAR DE BAJA</v>
      </c>
      <c r="F16265" s="5" t="str">
        <f>"Descripcion: TAZA CROMADA DE SOPA Estado: Bueno Placa anterior: 000018285 Material: ACERO INOXIDABLE Color:  Referencia:  Observacion:  Placa padre: Tipo adquisicion: Entidad"</f>
        <v>Descripcion: TAZA CROMADA DE SOPA Estado: Bueno Placa anterior: 000018285 Material: ACERO INOXIDABLE Color:  Referencia:  Observacion:  Placa padre: Tipo adquisicion: Entidad</v>
      </c>
      <c r="G16265" s="5"/>
    </row>
    <row r="16266" spans="1:7" ht="58.5" customHeight="1" x14ac:dyDescent="0.25">
      <c r="A16266" s="5" t="str">
        <f>"H0013843"</f>
        <v>H0013843</v>
      </c>
      <c r="B16266" s="5" t="str">
        <f t="shared" si="838"/>
        <v>TAZA SOPERA EN ACERO INOXIDABLE</v>
      </c>
      <c r="C16266" s="6">
        <v>45</v>
      </c>
      <c r="D16266" s="5"/>
      <c r="E16266" s="5" t="str">
        <f t="shared" si="837"/>
        <v>SANDRA MILENA BUITRAGO ROJAS-ELEMENTOS PARA DAR DE BAJA</v>
      </c>
      <c r="F16266" s="5" t="str">
        <f>"Descripcion: TAZA CROMADA DE SOPA Estado: Bueno Placa anterior: 000018287 Material: ACERO INOXIDABLE Color:  Referencia:  Observacion:  Placa padre: Tipo adquisicion: Entidad"</f>
        <v>Descripcion: TAZA CROMADA DE SOPA Estado: Bueno Placa anterior: 000018287 Material: ACERO INOXIDABLE Color:  Referencia:  Observacion:  Placa padre: Tipo adquisicion: Entidad</v>
      </c>
      <c r="G16266" s="5"/>
    </row>
    <row r="16267" spans="1:7" ht="58.5" customHeight="1" x14ac:dyDescent="0.25">
      <c r="A16267" s="5" t="str">
        <f>"H0013845"</f>
        <v>H0013845</v>
      </c>
      <c r="B16267" s="5" t="str">
        <f t="shared" si="838"/>
        <v>TAZA SOPERA EN ACERO INOXIDABLE</v>
      </c>
      <c r="C16267" s="6">
        <v>45</v>
      </c>
      <c r="D16267" s="5"/>
      <c r="E16267" s="5" t="str">
        <f t="shared" si="837"/>
        <v>SANDRA MILENA BUITRAGO ROJAS-ELEMENTOS PARA DAR DE BAJA</v>
      </c>
      <c r="F16267" s="5" t="str">
        <f>"Descripcion: TAZA CROMADA DE SOPA Estado: Bueno Placa anterior: 000018291 Material: ACERO INOXIDABLE Color:  Referencia:  Observacion:  Placa padre: Tipo adquisicion: Entidad"</f>
        <v>Descripcion: TAZA CROMADA DE SOPA Estado: Bueno Placa anterior: 000018291 Material: ACERO INOXIDABLE Color:  Referencia:  Observacion:  Placa padre: Tipo adquisicion: Entidad</v>
      </c>
      <c r="G16267" s="5"/>
    </row>
    <row r="16268" spans="1:7" ht="58.5" customHeight="1" x14ac:dyDescent="0.25">
      <c r="A16268" s="5" t="str">
        <f>"H0013848"</f>
        <v>H0013848</v>
      </c>
      <c r="B16268" s="5" t="str">
        <f t="shared" si="838"/>
        <v>TAZA SOPERA EN ACERO INOXIDABLE</v>
      </c>
      <c r="C16268" s="6">
        <v>45</v>
      </c>
      <c r="D16268" s="5"/>
      <c r="E16268" s="5" t="str">
        <f t="shared" si="837"/>
        <v>SANDRA MILENA BUITRAGO ROJAS-ELEMENTOS PARA DAR DE BAJA</v>
      </c>
      <c r="F16268" s="5" t="str">
        <f>"Descripcion: TAZA CROMADA DE SOPA Estado: Bueno Placa anterior: 000018295 Material: ACERO INOXIDABLE Color:  Referencia:  Observacion:  Placa padre: Tipo adquisicion: Entidad"</f>
        <v>Descripcion: TAZA CROMADA DE SOPA Estado: Bueno Placa anterior: 000018295 Material: ACERO INOXIDABLE Color:  Referencia:  Observacion:  Placa padre: Tipo adquisicion: Entidad</v>
      </c>
      <c r="G16268" s="5"/>
    </row>
    <row r="16269" spans="1:7" ht="58.5" customHeight="1" x14ac:dyDescent="0.25">
      <c r="A16269" s="5" t="str">
        <f>"H0013849"</f>
        <v>H0013849</v>
      </c>
      <c r="B16269" s="5" t="str">
        <f t="shared" si="838"/>
        <v>TAZA SOPERA EN ACERO INOXIDABLE</v>
      </c>
      <c r="C16269" s="6">
        <v>45</v>
      </c>
      <c r="D16269" s="5"/>
      <c r="E16269" s="5" t="str">
        <f t="shared" si="837"/>
        <v>SANDRA MILENA BUITRAGO ROJAS-ELEMENTOS PARA DAR DE BAJA</v>
      </c>
      <c r="F16269" s="5" t="str">
        <f>"Descripcion: TAZA CROMADA DE SOPA Estado: Bueno Placa anterior: 000018296 Material: ACERO INOXIDABLE Color:  Referencia:  Observacion:  Placa padre: Tipo adquisicion: Entidad"</f>
        <v>Descripcion: TAZA CROMADA DE SOPA Estado: Bueno Placa anterior: 000018296 Material: ACERO INOXIDABLE Color:  Referencia:  Observacion:  Placa padre: Tipo adquisicion: Entidad</v>
      </c>
      <c r="G16269" s="5"/>
    </row>
    <row r="16270" spans="1:7" ht="58.5" customHeight="1" x14ac:dyDescent="0.25">
      <c r="A16270" s="5" t="str">
        <f>"H0013850"</f>
        <v>H0013850</v>
      </c>
      <c r="B16270" s="5" t="str">
        <f t="shared" si="838"/>
        <v>TAZA SOPERA EN ACERO INOXIDABLE</v>
      </c>
      <c r="C16270" s="6">
        <v>45</v>
      </c>
      <c r="D16270" s="5"/>
      <c r="E16270" s="5" t="str">
        <f t="shared" si="837"/>
        <v>SANDRA MILENA BUITRAGO ROJAS-ELEMENTOS PARA DAR DE BAJA</v>
      </c>
      <c r="F16270" s="5" t="str">
        <f>"Descripcion: TAZA CROMADA DE SOPA Estado: Bueno Placa anterior: 000018297 Material: ACERO INOXIDABLE Color:  Referencia:  Observacion:  Placa padre: Tipo adquisicion: Entidad"</f>
        <v>Descripcion: TAZA CROMADA DE SOPA Estado: Bueno Placa anterior: 000018297 Material: ACERO INOXIDABLE Color:  Referencia:  Observacion:  Placa padre: Tipo adquisicion: Entidad</v>
      </c>
      <c r="G16270" s="5"/>
    </row>
    <row r="16271" spans="1:7" ht="58.5" customHeight="1" x14ac:dyDescent="0.25">
      <c r="A16271" s="5" t="str">
        <f>"H0013851"</f>
        <v>H0013851</v>
      </c>
      <c r="B16271" s="5" t="str">
        <f t="shared" si="838"/>
        <v>TAZA SOPERA EN ACERO INOXIDABLE</v>
      </c>
      <c r="C16271" s="6">
        <v>45</v>
      </c>
      <c r="D16271" s="5"/>
      <c r="E16271" s="5" t="str">
        <f t="shared" si="837"/>
        <v>SANDRA MILENA BUITRAGO ROJAS-ELEMENTOS PARA DAR DE BAJA</v>
      </c>
      <c r="F16271" s="5" t="str">
        <f>"Descripcion: TAZA CROMADA DE SOPA Estado: Bueno Placa anterior: 000018298 Material: ACERO INOXIDABLE Color:  Referencia:  Observacion:  Placa padre: Tipo adquisicion: Entidad"</f>
        <v>Descripcion: TAZA CROMADA DE SOPA Estado: Bueno Placa anterior: 000018298 Material: ACERO INOXIDABLE Color:  Referencia:  Observacion:  Placa padre: Tipo adquisicion: Entidad</v>
      </c>
      <c r="G16271" s="5"/>
    </row>
    <row r="16272" spans="1:7" ht="58.5" customHeight="1" x14ac:dyDescent="0.25">
      <c r="A16272" s="5" t="str">
        <f>"H0013856"</f>
        <v>H0013856</v>
      </c>
      <c r="B16272" s="5" t="str">
        <f t="shared" si="838"/>
        <v>TAZA SOPERA EN ACERO INOXIDABLE</v>
      </c>
      <c r="C16272" s="6">
        <v>45</v>
      </c>
      <c r="D16272" s="5"/>
      <c r="E16272" s="5" t="str">
        <f t="shared" si="837"/>
        <v>SANDRA MILENA BUITRAGO ROJAS-ELEMENTOS PARA DAR DE BAJA</v>
      </c>
      <c r="F16272" s="5" t="str">
        <f>"Descripcion: TAZA CROMADA DE SOPA Estado: Bueno Placa anterior: 000018308 Material: ACERO INOXIDABLE Color:  Referencia:  Observacion:  Placa padre: Tipo adquisicion: Entidad"</f>
        <v>Descripcion: TAZA CROMADA DE SOPA Estado: Bueno Placa anterior: 000018308 Material: ACERO INOXIDABLE Color:  Referencia:  Observacion:  Placa padre: Tipo adquisicion: Entidad</v>
      </c>
      <c r="G16272" s="5"/>
    </row>
    <row r="16273" spans="1:7" ht="58.5" customHeight="1" x14ac:dyDescent="0.25">
      <c r="A16273" s="5" t="str">
        <f>"H0013857"</f>
        <v>H0013857</v>
      </c>
      <c r="B16273" s="5" t="str">
        <f t="shared" si="838"/>
        <v>TAZA SOPERA EN ACERO INOXIDABLE</v>
      </c>
      <c r="C16273" s="6">
        <v>45</v>
      </c>
      <c r="D16273" s="5"/>
      <c r="E16273" s="5" t="str">
        <f t="shared" si="837"/>
        <v>SANDRA MILENA BUITRAGO ROJAS-ELEMENTOS PARA DAR DE BAJA</v>
      </c>
      <c r="F16273" s="5" t="str">
        <f>"Descripcion: TAZA CROMADA DE SOPA Estado: Bueno Placa anterior: 000018312 Material: ACERO INOXIDABLE Color:  Referencia:  Observacion:  Placa padre: Tipo adquisicion: Entidad"</f>
        <v>Descripcion: TAZA CROMADA DE SOPA Estado: Bueno Placa anterior: 000018312 Material: ACERO INOXIDABLE Color:  Referencia:  Observacion:  Placa padre: Tipo adquisicion: Entidad</v>
      </c>
      <c r="G16273" s="5"/>
    </row>
    <row r="16274" spans="1:7" ht="58.5" customHeight="1" x14ac:dyDescent="0.25">
      <c r="A16274" s="5" t="str">
        <f>"H0013858"</f>
        <v>H0013858</v>
      </c>
      <c r="B16274" s="5" t="str">
        <f t="shared" si="838"/>
        <v>TAZA SOPERA EN ACERO INOXIDABLE</v>
      </c>
      <c r="C16274" s="6">
        <v>45</v>
      </c>
      <c r="D16274" s="5"/>
      <c r="E16274" s="5" t="str">
        <f t="shared" si="837"/>
        <v>SANDRA MILENA BUITRAGO ROJAS-ELEMENTOS PARA DAR DE BAJA</v>
      </c>
      <c r="F16274" s="5" t="str">
        <f>"Descripcion: TAZA CROMADA DE SOPA Estado: Bueno Placa anterior: 000018313 Material: ACERO INOXIDABLE Color:  Referencia:  Observacion:  Placa padre: Tipo adquisicion: Entidad"</f>
        <v>Descripcion: TAZA CROMADA DE SOPA Estado: Bueno Placa anterior: 000018313 Material: ACERO INOXIDABLE Color:  Referencia:  Observacion:  Placa padre: Tipo adquisicion: Entidad</v>
      </c>
      <c r="G16274" s="5"/>
    </row>
    <row r="16275" spans="1:7" ht="58.5" customHeight="1" x14ac:dyDescent="0.25">
      <c r="A16275" s="5" t="str">
        <f>"H0013859"</f>
        <v>H0013859</v>
      </c>
      <c r="B16275" s="5" t="str">
        <f t="shared" si="838"/>
        <v>TAZA SOPERA EN ACERO INOXIDABLE</v>
      </c>
      <c r="C16275" s="6">
        <v>45</v>
      </c>
      <c r="D16275" s="5"/>
      <c r="E16275" s="5" t="str">
        <f t="shared" si="837"/>
        <v>SANDRA MILENA BUITRAGO ROJAS-ELEMENTOS PARA DAR DE BAJA</v>
      </c>
      <c r="F16275" s="5" t="str">
        <f>"Descripcion: TAZA CROMADA DE SOPA Estado: Bueno Placa anterior: 000018314 Material: ACERO INOXIDABLE Color:  Referencia:  Observacion:  Placa padre: Tipo adquisicion: Entidad"</f>
        <v>Descripcion: TAZA CROMADA DE SOPA Estado: Bueno Placa anterior: 000018314 Material: ACERO INOXIDABLE Color:  Referencia:  Observacion:  Placa padre: Tipo adquisicion: Entidad</v>
      </c>
      <c r="G16275" s="5"/>
    </row>
    <row r="16276" spans="1:7" ht="58.5" customHeight="1" x14ac:dyDescent="0.25">
      <c r="A16276" s="5" t="str">
        <f>"H0013860"</f>
        <v>H0013860</v>
      </c>
      <c r="B16276" s="5" t="str">
        <f t="shared" si="838"/>
        <v>TAZA SOPERA EN ACERO INOXIDABLE</v>
      </c>
      <c r="C16276" s="6">
        <v>45</v>
      </c>
      <c r="D16276" s="5"/>
      <c r="E16276" s="5" t="str">
        <f t="shared" si="837"/>
        <v>SANDRA MILENA BUITRAGO ROJAS-ELEMENTOS PARA DAR DE BAJA</v>
      </c>
      <c r="F16276" s="5" t="str">
        <f>"Descripcion: TAZA CROMADA DE SOPA Estado: Bueno Placa anterior: 000018315 Material: ACERO INOXIDABLE Color:  Referencia:  Observacion:  Placa padre: Tipo adquisicion: Entidad"</f>
        <v>Descripcion: TAZA CROMADA DE SOPA Estado: Bueno Placa anterior: 000018315 Material: ACERO INOXIDABLE Color:  Referencia:  Observacion:  Placa padre: Tipo adquisicion: Entidad</v>
      </c>
      <c r="G16276" s="5"/>
    </row>
    <row r="16277" spans="1:7" ht="58.5" customHeight="1" x14ac:dyDescent="0.25">
      <c r="A16277" s="5" t="str">
        <f>"H0013861"</f>
        <v>H0013861</v>
      </c>
      <c r="B16277" s="5" t="str">
        <f t="shared" si="838"/>
        <v>TAZA SOPERA EN ACERO INOXIDABLE</v>
      </c>
      <c r="C16277" s="6">
        <v>45</v>
      </c>
      <c r="D16277" s="5"/>
      <c r="E16277" s="5" t="str">
        <f t="shared" si="837"/>
        <v>SANDRA MILENA BUITRAGO ROJAS-ELEMENTOS PARA DAR DE BAJA</v>
      </c>
      <c r="F16277" s="5" t="str">
        <f>"Descripcion: TAZA CROMADA DE SOPA Estado: Bueno Placa anterior: 000018316 Material: ACERO INOXIDABLE Color:  Referencia:  Observacion:  Placa padre: Tipo adquisicion: Entidad"</f>
        <v>Descripcion: TAZA CROMADA DE SOPA Estado: Bueno Placa anterior: 000018316 Material: ACERO INOXIDABLE Color:  Referencia:  Observacion:  Placa padre: Tipo adquisicion: Entidad</v>
      </c>
      <c r="G16277" s="5"/>
    </row>
    <row r="16278" spans="1:7" ht="58.5" customHeight="1" x14ac:dyDescent="0.25">
      <c r="A16278" s="5" t="str">
        <f>"H0013862"</f>
        <v>H0013862</v>
      </c>
      <c r="B16278" s="5" t="str">
        <f t="shared" si="838"/>
        <v>TAZA SOPERA EN ACERO INOXIDABLE</v>
      </c>
      <c r="C16278" s="6">
        <v>45</v>
      </c>
      <c r="D16278" s="5"/>
      <c r="E16278" s="5" t="str">
        <f t="shared" si="837"/>
        <v>SANDRA MILENA BUITRAGO ROJAS-ELEMENTOS PARA DAR DE BAJA</v>
      </c>
      <c r="F16278" s="5" t="str">
        <f>"Descripcion: TAZA CROMADA DE SOPA Estado: Bueno Placa anterior: 000018317 Material: ACERO INOXIDABLE Color:  Referencia:  Observacion:  Placa padre: Tipo adquisicion: Entidad"</f>
        <v>Descripcion: TAZA CROMADA DE SOPA Estado: Bueno Placa anterior: 000018317 Material: ACERO INOXIDABLE Color:  Referencia:  Observacion:  Placa padre: Tipo adquisicion: Entidad</v>
      </c>
      <c r="G16278" s="5"/>
    </row>
    <row r="16279" spans="1:7" ht="58.5" customHeight="1" x14ac:dyDescent="0.25">
      <c r="A16279" s="5" t="str">
        <f>"H0013865"</f>
        <v>H0013865</v>
      </c>
      <c r="B16279" s="5" t="str">
        <f t="shared" si="838"/>
        <v>TAZA SOPERA EN ACERO INOXIDABLE</v>
      </c>
      <c r="C16279" s="6">
        <v>45</v>
      </c>
      <c r="D16279" s="5"/>
      <c r="E16279" s="5" t="str">
        <f t="shared" si="837"/>
        <v>SANDRA MILENA BUITRAGO ROJAS-ELEMENTOS PARA DAR DE BAJA</v>
      </c>
      <c r="F16279" s="5" t="str">
        <f>"Descripcion: TAZA CROMADA DE SOPA Estado: Bueno Placa anterior: 000018206 Material: ACERO INOXIDABLE Color:  Referencia:  Observacion:  Placa padre: Tipo adquisicion: Entidad"</f>
        <v>Descripcion: TAZA CROMADA DE SOPA Estado: Bueno Placa anterior: 000018206 Material: ACERO INOXIDABLE Color:  Referencia:  Observacion:  Placa padre: Tipo adquisicion: Entidad</v>
      </c>
      <c r="G16279" s="5"/>
    </row>
    <row r="16280" spans="1:7" ht="58.5" customHeight="1" x14ac:dyDescent="0.25">
      <c r="A16280" s="5" t="str">
        <f>"H0013866"</f>
        <v>H0013866</v>
      </c>
      <c r="B16280" s="5" t="str">
        <f t="shared" si="838"/>
        <v>TAZA SOPERA EN ACERO INOXIDABLE</v>
      </c>
      <c r="C16280" s="6">
        <v>45</v>
      </c>
      <c r="D16280" s="5"/>
      <c r="E16280" s="5" t="str">
        <f t="shared" si="837"/>
        <v>SANDRA MILENA BUITRAGO ROJAS-ELEMENTOS PARA DAR DE BAJA</v>
      </c>
      <c r="F16280" s="5" t="str">
        <f>"Descripcion: TAZA CROMADA DE SOPA Estado: Bueno Placa anterior: 000018207 Material: ACERO INOXIDABLE Color:  Referencia:  Observacion:  Placa padre: Tipo adquisicion: Entidad"</f>
        <v>Descripcion: TAZA CROMADA DE SOPA Estado: Bueno Placa anterior: 000018207 Material: ACERO INOXIDABLE Color:  Referencia:  Observacion:  Placa padre: Tipo adquisicion: Entidad</v>
      </c>
      <c r="G16280" s="5"/>
    </row>
    <row r="16281" spans="1:7" ht="58.5" customHeight="1" x14ac:dyDescent="0.25">
      <c r="A16281" s="5" t="str">
        <f>"H0013870"</f>
        <v>H0013870</v>
      </c>
      <c r="B16281" s="5" t="str">
        <f t="shared" si="838"/>
        <v>TAZA SOPERA EN ACERO INOXIDABLE</v>
      </c>
      <c r="C16281" s="6">
        <v>45</v>
      </c>
      <c r="D16281" s="5"/>
      <c r="E16281" s="5" t="str">
        <f t="shared" si="837"/>
        <v>SANDRA MILENA BUITRAGO ROJAS-ELEMENTOS PARA DAR DE BAJA</v>
      </c>
      <c r="F16281" s="5" t="str">
        <f>"Descripcion: TAZA CROMADA DE SOPA Estado: Bueno Placa anterior: 000018212 Material: ACERO INOXIDABLE Color:  Referencia:  Observacion:  Placa padre: Tipo adquisicion: Entidad"</f>
        <v>Descripcion: TAZA CROMADA DE SOPA Estado: Bueno Placa anterior: 000018212 Material: ACERO INOXIDABLE Color:  Referencia:  Observacion:  Placa padre: Tipo adquisicion: Entidad</v>
      </c>
      <c r="G16281" s="5"/>
    </row>
    <row r="16282" spans="1:7" ht="58.5" customHeight="1" x14ac:dyDescent="0.25">
      <c r="A16282" s="5" t="str">
        <f>"H0013871"</f>
        <v>H0013871</v>
      </c>
      <c r="B16282" s="5" t="str">
        <f t="shared" si="838"/>
        <v>TAZA SOPERA EN ACERO INOXIDABLE</v>
      </c>
      <c r="C16282" s="6">
        <v>45</v>
      </c>
      <c r="D16282" s="5"/>
      <c r="E16282" s="5" t="str">
        <f t="shared" si="837"/>
        <v>SANDRA MILENA BUITRAGO ROJAS-ELEMENTOS PARA DAR DE BAJA</v>
      </c>
      <c r="F16282" s="5" t="str">
        <f>"Descripcion: TAZA CROMADA DE SOPA Estado: Bueno Placa anterior: 000018213 Material: ACERO INOXIDABLE Color:  Referencia:  Observacion:  Placa padre: Tipo adquisicion: Entidad"</f>
        <v>Descripcion: TAZA CROMADA DE SOPA Estado: Bueno Placa anterior: 000018213 Material: ACERO INOXIDABLE Color:  Referencia:  Observacion:  Placa padre: Tipo adquisicion: Entidad</v>
      </c>
      <c r="G16282" s="5"/>
    </row>
    <row r="16283" spans="1:7" ht="58.5" customHeight="1" x14ac:dyDescent="0.25">
      <c r="A16283" s="5" t="str">
        <f>"H0013872"</f>
        <v>H0013872</v>
      </c>
      <c r="B16283" s="5" t="str">
        <f t="shared" si="838"/>
        <v>TAZA SOPERA EN ACERO INOXIDABLE</v>
      </c>
      <c r="C16283" s="6">
        <v>45</v>
      </c>
      <c r="D16283" s="5"/>
      <c r="E16283" s="5" t="str">
        <f t="shared" si="837"/>
        <v>SANDRA MILENA BUITRAGO ROJAS-ELEMENTOS PARA DAR DE BAJA</v>
      </c>
      <c r="F16283" s="5" t="str">
        <f>"Descripcion: TAZA CROMADA DE SOPA Estado: Bueno Placa anterior: 000018214 Material: ACERO INOXIDABLE Color:  Referencia:  Observacion:  Placa padre: Tipo adquisicion: Entidad"</f>
        <v>Descripcion: TAZA CROMADA DE SOPA Estado: Bueno Placa anterior: 000018214 Material: ACERO INOXIDABLE Color:  Referencia:  Observacion:  Placa padre: Tipo adquisicion: Entidad</v>
      </c>
      <c r="G16283" s="5"/>
    </row>
    <row r="16284" spans="1:7" ht="58.5" customHeight="1" x14ac:dyDescent="0.25">
      <c r="A16284" s="5" t="str">
        <f>"H0013873"</f>
        <v>H0013873</v>
      </c>
      <c r="B16284" s="5" t="str">
        <f t="shared" si="838"/>
        <v>TAZA SOPERA EN ACERO INOXIDABLE</v>
      </c>
      <c r="C16284" s="6">
        <v>45</v>
      </c>
      <c r="D16284" s="5"/>
      <c r="E16284" s="5" t="str">
        <f t="shared" si="837"/>
        <v>SANDRA MILENA BUITRAGO ROJAS-ELEMENTOS PARA DAR DE BAJA</v>
      </c>
      <c r="F16284" s="5" t="str">
        <f>"Descripcion: TAZA CROMADA DE SOPA Estado: Bueno Placa anterior: 000018215 Material: ACERO INOXIDABLE Color:  Referencia:  Observacion:  Placa padre: Tipo adquisicion: Entidad"</f>
        <v>Descripcion: TAZA CROMADA DE SOPA Estado: Bueno Placa anterior: 000018215 Material: ACERO INOXIDABLE Color:  Referencia:  Observacion:  Placa padre: Tipo adquisicion: Entidad</v>
      </c>
      <c r="G16284" s="5"/>
    </row>
    <row r="16285" spans="1:7" ht="58.5" customHeight="1" x14ac:dyDescent="0.25">
      <c r="A16285" s="5" t="str">
        <f>"H0014201"</f>
        <v>H0014201</v>
      </c>
      <c r="B16285" s="5" t="str">
        <f t="shared" ref="B16285:B16326" si="839">"BANDEJA CON COMPARTIMIENTOS EN ACERO INOXIDABLE"</f>
        <v>BANDEJA CON COMPARTIMIENTOS EN ACERO INOXIDABLE</v>
      </c>
      <c r="C16285" s="6">
        <v>2547.6</v>
      </c>
      <c r="D16285" s="5"/>
      <c r="E16285" s="5" t="str">
        <f t="shared" si="837"/>
        <v>SANDRA MILENA BUITRAGO ROJAS-ELEMENTOS PARA DAR DE BAJA</v>
      </c>
      <c r="F16285" s="5" t="str">
        <f>"Descripcion: PLATO HONDO EN ACERO INOX. CON 3 DIVISIONES Estado: Bueno Placa anterior: 000018144 Material: ACERO INOXIDABLE Color:  Referencia:  Observacion:  Placa padre: Tipo adquisicion: Entidad"</f>
        <v>Descripcion: PLATO HONDO EN ACERO INOX. CON 3 DIVISIONES Estado: Bueno Placa anterior: 000018144 Material: ACERO INOXIDABLE Color:  Referencia:  Observacion:  Placa padre: Tipo adquisicion: Entidad</v>
      </c>
      <c r="G16285" s="5"/>
    </row>
    <row r="16286" spans="1:7" ht="58.5" customHeight="1" x14ac:dyDescent="0.25">
      <c r="A16286" s="5" t="str">
        <f>"H0014202"</f>
        <v>H0014202</v>
      </c>
      <c r="B16286" s="5" t="str">
        <f t="shared" si="839"/>
        <v>BANDEJA CON COMPARTIMIENTOS EN ACERO INOXIDABLE</v>
      </c>
      <c r="C16286" s="6">
        <v>2547.6</v>
      </c>
      <c r="D16286" s="5"/>
      <c r="E16286" s="5" t="str">
        <f t="shared" si="837"/>
        <v>SANDRA MILENA BUITRAGO ROJAS-ELEMENTOS PARA DAR DE BAJA</v>
      </c>
      <c r="F16286" s="5" t="str">
        <f>"Descripcion: PLATO HONDO EN ACERO INOX. CON 3 DIVISIONES Estado: Bueno Placa anterior: 000018109 Material: ACERO INOXIDABLE Color:  Referencia:  Observacion:  Placa padre: Tipo adquisicion: Entidad"</f>
        <v>Descripcion: PLATO HONDO EN ACERO INOX. CON 3 DIVISIONES Estado: Bueno Placa anterior: 000018109 Material: ACERO INOXIDABLE Color:  Referencia:  Observacion:  Placa padre: Tipo adquisicion: Entidad</v>
      </c>
      <c r="G16286" s="5"/>
    </row>
    <row r="16287" spans="1:7" ht="58.5" customHeight="1" x14ac:dyDescent="0.25">
      <c r="A16287" s="5" t="str">
        <f>"H0014203"</f>
        <v>H0014203</v>
      </c>
      <c r="B16287" s="5" t="str">
        <f t="shared" si="839"/>
        <v>BANDEJA CON COMPARTIMIENTOS EN ACERO INOXIDABLE</v>
      </c>
      <c r="C16287" s="6">
        <v>2547.6</v>
      </c>
      <c r="D16287" s="5"/>
      <c r="E16287" s="5" t="str">
        <f t="shared" si="837"/>
        <v>SANDRA MILENA BUITRAGO ROJAS-ELEMENTOS PARA DAR DE BAJA</v>
      </c>
      <c r="F16287" s="5" t="str">
        <f>"Descripcion: PLATO HONDO EN ACERO INOX. CON 3 DIVISIONES Estado: Bueno Placa anterior: 000018110 Material: ACERO INOXIDABLE Color:  Referencia:  Observacion:  Placa padre: Tipo adquisicion: Entidad"</f>
        <v>Descripcion: PLATO HONDO EN ACERO INOX. CON 3 DIVISIONES Estado: Bueno Placa anterior: 000018110 Material: ACERO INOXIDABLE Color:  Referencia:  Observacion:  Placa padre: Tipo adquisicion: Entidad</v>
      </c>
      <c r="G16287" s="5"/>
    </row>
    <row r="16288" spans="1:7" ht="58.5" customHeight="1" x14ac:dyDescent="0.25">
      <c r="A16288" s="5" t="str">
        <f>"H0014204"</f>
        <v>H0014204</v>
      </c>
      <c r="B16288" s="5" t="str">
        <f t="shared" si="839"/>
        <v>BANDEJA CON COMPARTIMIENTOS EN ACERO INOXIDABLE</v>
      </c>
      <c r="C16288" s="6">
        <v>2547.6</v>
      </c>
      <c r="D16288" s="5"/>
      <c r="E16288" s="5" t="str">
        <f t="shared" si="837"/>
        <v>SANDRA MILENA BUITRAGO ROJAS-ELEMENTOS PARA DAR DE BAJA</v>
      </c>
      <c r="F16288" s="5" t="str">
        <f>"Descripcion: PLATO HONDO EN ACERO INOX. CON 3 DIVISIONES Estado: Bueno Placa anterior: 000018111 Material: ACERO INOXIDABLE Color:  Referencia:  Observacion:  Placa padre: Tipo adquisicion: Entidad"</f>
        <v>Descripcion: PLATO HONDO EN ACERO INOX. CON 3 DIVISIONES Estado: Bueno Placa anterior: 000018111 Material: ACERO INOXIDABLE Color:  Referencia:  Observacion:  Placa padre: Tipo adquisicion: Entidad</v>
      </c>
      <c r="G16288" s="5"/>
    </row>
    <row r="16289" spans="1:7" ht="58.5" customHeight="1" x14ac:dyDescent="0.25">
      <c r="A16289" s="5" t="str">
        <f>"H0014205"</f>
        <v>H0014205</v>
      </c>
      <c r="B16289" s="5" t="str">
        <f t="shared" si="839"/>
        <v>BANDEJA CON COMPARTIMIENTOS EN ACERO INOXIDABLE</v>
      </c>
      <c r="C16289" s="6">
        <v>2547.6</v>
      </c>
      <c r="D16289" s="5"/>
      <c r="E16289" s="5" t="str">
        <f t="shared" si="837"/>
        <v>SANDRA MILENA BUITRAGO ROJAS-ELEMENTOS PARA DAR DE BAJA</v>
      </c>
      <c r="F16289" s="5" t="str">
        <f>"Descripcion: PLATO HONDO EN ACERO INOX. CON 3 DIVISIONES Estado: Bueno Placa anterior: 000018112 Material: ACERO INOXIDABLE Color:  Referencia:  Observacion:  Placa padre: Tipo adquisicion: Entidad"</f>
        <v>Descripcion: PLATO HONDO EN ACERO INOX. CON 3 DIVISIONES Estado: Bueno Placa anterior: 000018112 Material: ACERO INOXIDABLE Color:  Referencia:  Observacion:  Placa padre: Tipo adquisicion: Entidad</v>
      </c>
      <c r="G16289" s="5"/>
    </row>
    <row r="16290" spans="1:7" ht="58.5" customHeight="1" x14ac:dyDescent="0.25">
      <c r="A16290" s="5" t="str">
        <f>"H0014206"</f>
        <v>H0014206</v>
      </c>
      <c r="B16290" s="5" t="str">
        <f t="shared" si="839"/>
        <v>BANDEJA CON COMPARTIMIENTOS EN ACERO INOXIDABLE</v>
      </c>
      <c r="C16290" s="6">
        <v>2547.6</v>
      </c>
      <c r="D16290" s="5"/>
      <c r="E16290" s="5" t="str">
        <f t="shared" si="837"/>
        <v>SANDRA MILENA BUITRAGO ROJAS-ELEMENTOS PARA DAR DE BAJA</v>
      </c>
      <c r="F16290" s="5" t="str">
        <f>"Descripcion: PLATO HONDO EN ACERO INOX. CON 3 DIVISIONES Estado: Bueno Placa anterior: 000018113 Material: ACERO INOXIDABLE Color:  Referencia:  Observacion:  Placa padre: Tipo adquisicion: Entidad"</f>
        <v>Descripcion: PLATO HONDO EN ACERO INOX. CON 3 DIVISIONES Estado: Bueno Placa anterior: 000018113 Material: ACERO INOXIDABLE Color:  Referencia:  Observacion:  Placa padre: Tipo adquisicion: Entidad</v>
      </c>
      <c r="G16290" s="5"/>
    </row>
    <row r="16291" spans="1:7" ht="58.5" customHeight="1" x14ac:dyDescent="0.25">
      <c r="A16291" s="5" t="str">
        <f>"H0014207"</f>
        <v>H0014207</v>
      </c>
      <c r="B16291" s="5" t="str">
        <f t="shared" si="839"/>
        <v>BANDEJA CON COMPARTIMIENTOS EN ACERO INOXIDABLE</v>
      </c>
      <c r="C16291" s="6">
        <v>2547.6</v>
      </c>
      <c r="D16291" s="5"/>
      <c r="E16291" s="5" t="str">
        <f t="shared" si="837"/>
        <v>SANDRA MILENA BUITRAGO ROJAS-ELEMENTOS PARA DAR DE BAJA</v>
      </c>
      <c r="F16291" s="5" t="str">
        <f>"Descripcion: PLATO HONDO EN ACERO INOX. CON 3 DIVISIONES Estado: Bueno Placa anterior: 000018114 Material: ACERO INOXIDABLE Color:  Referencia:  Observacion:  Placa padre: Tipo adquisicion: Entidad"</f>
        <v>Descripcion: PLATO HONDO EN ACERO INOX. CON 3 DIVISIONES Estado: Bueno Placa anterior: 000018114 Material: ACERO INOXIDABLE Color:  Referencia:  Observacion:  Placa padre: Tipo adquisicion: Entidad</v>
      </c>
      <c r="G16291" s="5"/>
    </row>
    <row r="16292" spans="1:7" ht="58.5" customHeight="1" x14ac:dyDescent="0.25">
      <c r="A16292" s="5" t="str">
        <f>"H0014208"</f>
        <v>H0014208</v>
      </c>
      <c r="B16292" s="5" t="str">
        <f t="shared" si="839"/>
        <v>BANDEJA CON COMPARTIMIENTOS EN ACERO INOXIDABLE</v>
      </c>
      <c r="C16292" s="6">
        <v>2547.6</v>
      </c>
      <c r="D16292" s="5"/>
      <c r="E16292" s="5" t="str">
        <f t="shared" si="837"/>
        <v>SANDRA MILENA BUITRAGO ROJAS-ELEMENTOS PARA DAR DE BAJA</v>
      </c>
      <c r="F16292" s="5" t="str">
        <f>"Descripcion: PLATO HONDO EN ACERO INOX. CON 3 DIVISIONES Estado: Bueno Placa anterior: 000018115 Material: ACERO INOXIDABLE Color:  Referencia:  Observacion:  Placa padre: Tipo adquisicion: Entidad"</f>
        <v>Descripcion: PLATO HONDO EN ACERO INOX. CON 3 DIVISIONES Estado: Bueno Placa anterior: 000018115 Material: ACERO INOXIDABLE Color:  Referencia:  Observacion:  Placa padre: Tipo adquisicion: Entidad</v>
      </c>
      <c r="G16292" s="5"/>
    </row>
    <row r="16293" spans="1:7" ht="58.5" customHeight="1" x14ac:dyDescent="0.25">
      <c r="A16293" s="5" t="str">
        <f>"H0014209"</f>
        <v>H0014209</v>
      </c>
      <c r="B16293" s="5" t="str">
        <f t="shared" si="839"/>
        <v>BANDEJA CON COMPARTIMIENTOS EN ACERO INOXIDABLE</v>
      </c>
      <c r="C16293" s="6">
        <v>2547.6</v>
      </c>
      <c r="D16293" s="5"/>
      <c r="E16293" s="5" t="str">
        <f t="shared" si="837"/>
        <v>SANDRA MILENA BUITRAGO ROJAS-ELEMENTOS PARA DAR DE BAJA</v>
      </c>
      <c r="F16293" s="5" t="str">
        <f>"Descripcion: PLATO HONDO EN ACERO INOX. CON 3 DIVISIONES Estado: Bueno Placa anterior: 000018116 Material: ACERO INOXIDABLE Color:  Referencia:  Observacion:  Placa padre: Tipo adquisicion: Entidad"</f>
        <v>Descripcion: PLATO HONDO EN ACERO INOX. CON 3 DIVISIONES Estado: Bueno Placa anterior: 000018116 Material: ACERO INOXIDABLE Color:  Referencia:  Observacion:  Placa padre: Tipo adquisicion: Entidad</v>
      </c>
      <c r="G16293" s="5"/>
    </row>
    <row r="16294" spans="1:7" ht="58.5" customHeight="1" x14ac:dyDescent="0.25">
      <c r="A16294" s="5" t="str">
        <f>"H0014210"</f>
        <v>H0014210</v>
      </c>
      <c r="B16294" s="5" t="str">
        <f t="shared" si="839"/>
        <v>BANDEJA CON COMPARTIMIENTOS EN ACERO INOXIDABLE</v>
      </c>
      <c r="C16294" s="6">
        <v>2547.6</v>
      </c>
      <c r="D16294" s="5"/>
      <c r="E16294" s="5" t="str">
        <f t="shared" si="837"/>
        <v>SANDRA MILENA BUITRAGO ROJAS-ELEMENTOS PARA DAR DE BAJA</v>
      </c>
      <c r="F16294" s="5" t="str">
        <f>"Descripcion: PLATO HONDO EN ACERO INOX. CON 3 DIVISIONES Estado: Bueno Placa anterior: 000018117 Material: ACERO INOXIDABLE Color:  Referencia:  Observacion:  Placa padre: Tipo adquisicion: Entidad"</f>
        <v>Descripcion: PLATO HONDO EN ACERO INOX. CON 3 DIVISIONES Estado: Bueno Placa anterior: 000018117 Material: ACERO INOXIDABLE Color:  Referencia:  Observacion:  Placa padre: Tipo adquisicion: Entidad</v>
      </c>
      <c r="G16294" s="5"/>
    </row>
    <row r="16295" spans="1:7" ht="58.5" customHeight="1" x14ac:dyDescent="0.25">
      <c r="A16295" s="5" t="str">
        <f>"H0014211"</f>
        <v>H0014211</v>
      </c>
      <c r="B16295" s="5" t="str">
        <f t="shared" si="839"/>
        <v>BANDEJA CON COMPARTIMIENTOS EN ACERO INOXIDABLE</v>
      </c>
      <c r="C16295" s="6">
        <v>2547.6</v>
      </c>
      <c r="D16295" s="5"/>
      <c r="E16295" s="5" t="str">
        <f t="shared" si="837"/>
        <v>SANDRA MILENA BUITRAGO ROJAS-ELEMENTOS PARA DAR DE BAJA</v>
      </c>
      <c r="F16295" s="5" t="str">
        <f>"Descripcion: PLATO HONDO EN ACERO INOX. CON 3 DIVISIONES Estado: Bueno Placa anterior: 000018118 Material: ACERO INOXIDABLE Color:  Referencia:  Observacion:  Placa padre: Tipo adquisicion: Entidad"</f>
        <v>Descripcion: PLATO HONDO EN ACERO INOX. CON 3 DIVISIONES Estado: Bueno Placa anterior: 000018118 Material: ACERO INOXIDABLE Color:  Referencia:  Observacion:  Placa padre: Tipo adquisicion: Entidad</v>
      </c>
      <c r="G16295" s="5"/>
    </row>
    <row r="16296" spans="1:7" ht="58.5" customHeight="1" x14ac:dyDescent="0.25">
      <c r="A16296" s="5" t="str">
        <f>"H0014212"</f>
        <v>H0014212</v>
      </c>
      <c r="B16296" s="5" t="str">
        <f t="shared" si="839"/>
        <v>BANDEJA CON COMPARTIMIENTOS EN ACERO INOXIDABLE</v>
      </c>
      <c r="C16296" s="6">
        <v>2547.6</v>
      </c>
      <c r="D16296" s="5"/>
      <c r="E16296" s="5" t="str">
        <f t="shared" si="837"/>
        <v>SANDRA MILENA BUITRAGO ROJAS-ELEMENTOS PARA DAR DE BAJA</v>
      </c>
      <c r="F16296" s="5" t="str">
        <f>"Descripcion: PLATO HONDO EN ACERO INOX. CON 3 DIVISIONES Estado: Bueno Placa anterior: 000018119 Material: ACERO INOXIDABLE Color:  Referencia:  Observacion:  Placa padre: Tipo adquisicion: Entidad"</f>
        <v>Descripcion: PLATO HONDO EN ACERO INOX. CON 3 DIVISIONES Estado: Bueno Placa anterior: 000018119 Material: ACERO INOXIDABLE Color:  Referencia:  Observacion:  Placa padre: Tipo adquisicion: Entidad</v>
      </c>
      <c r="G16296" s="5"/>
    </row>
    <row r="16297" spans="1:7" ht="58.5" customHeight="1" x14ac:dyDescent="0.25">
      <c r="A16297" s="5" t="str">
        <f>"H0014213"</f>
        <v>H0014213</v>
      </c>
      <c r="B16297" s="5" t="str">
        <f t="shared" si="839"/>
        <v>BANDEJA CON COMPARTIMIENTOS EN ACERO INOXIDABLE</v>
      </c>
      <c r="C16297" s="6">
        <v>2547.6</v>
      </c>
      <c r="D16297" s="5"/>
      <c r="E16297" s="5" t="str">
        <f t="shared" si="837"/>
        <v>SANDRA MILENA BUITRAGO ROJAS-ELEMENTOS PARA DAR DE BAJA</v>
      </c>
      <c r="F16297" s="5" t="str">
        <f>"Descripcion: PLATO HONDO EN ACERO INOX. CON 3 DIVISIONES Estado: Bueno Placa anterior: 000018120 Material: ACERO INOXIDABLE Color:  Referencia:  Observacion:  Placa padre: Tipo adquisicion: Entidad"</f>
        <v>Descripcion: PLATO HONDO EN ACERO INOX. CON 3 DIVISIONES Estado: Bueno Placa anterior: 000018120 Material: ACERO INOXIDABLE Color:  Referencia:  Observacion:  Placa padre: Tipo adquisicion: Entidad</v>
      </c>
      <c r="G16297" s="5"/>
    </row>
    <row r="16298" spans="1:7" ht="58.5" customHeight="1" x14ac:dyDescent="0.25">
      <c r="A16298" s="5" t="str">
        <f>"H0014214"</f>
        <v>H0014214</v>
      </c>
      <c r="B16298" s="5" t="str">
        <f t="shared" si="839"/>
        <v>BANDEJA CON COMPARTIMIENTOS EN ACERO INOXIDABLE</v>
      </c>
      <c r="C16298" s="6">
        <v>2547.6</v>
      </c>
      <c r="D16298" s="5"/>
      <c r="E16298" s="5" t="str">
        <f t="shared" si="837"/>
        <v>SANDRA MILENA BUITRAGO ROJAS-ELEMENTOS PARA DAR DE BAJA</v>
      </c>
      <c r="F16298" s="5" t="str">
        <f>"Descripcion: PLATO HONDO EN ACERO INOX. CON 3 DIVISIONES Estado: Bueno Placa anterior: 000018121 Material: ACERO INOXIDABLE Color:  Referencia:  Observacion:  Placa padre: Tipo adquisicion: Entidad"</f>
        <v>Descripcion: PLATO HONDO EN ACERO INOX. CON 3 DIVISIONES Estado: Bueno Placa anterior: 000018121 Material: ACERO INOXIDABLE Color:  Referencia:  Observacion:  Placa padre: Tipo adquisicion: Entidad</v>
      </c>
      <c r="G16298" s="5"/>
    </row>
    <row r="16299" spans="1:7" ht="58.5" customHeight="1" x14ac:dyDescent="0.25">
      <c r="A16299" s="5" t="str">
        <f>"H0014215"</f>
        <v>H0014215</v>
      </c>
      <c r="B16299" s="5" t="str">
        <f t="shared" si="839"/>
        <v>BANDEJA CON COMPARTIMIENTOS EN ACERO INOXIDABLE</v>
      </c>
      <c r="C16299" s="6">
        <v>2547.6</v>
      </c>
      <c r="D16299" s="5"/>
      <c r="E16299" s="5" t="str">
        <f t="shared" si="837"/>
        <v>SANDRA MILENA BUITRAGO ROJAS-ELEMENTOS PARA DAR DE BAJA</v>
      </c>
      <c r="F16299" s="5" t="str">
        <f>"Descripcion: PLATO HONDO EN ACERO INOX. CON 3 DIVISIONES Estado: Bueno Placa anterior: 000018122 Material: ACERO INOXIDABLE Color:  Referencia:  Observacion:  Placa padre: Tipo adquisicion: Entidad"</f>
        <v>Descripcion: PLATO HONDO EN ACERO INOX. CON 3 DIVISIONES Estado: Bueno Placa anterior: 000018122 Material: ACERO INOXIDABLE Color:  Referencia:  Observacion:  Placa padre: Tipo adquisicion: Entidad</v>
      </c>
      <c r="G16299" s="5"/>
    </row>
    <row r="16300" spans="1:7" ht="58.5" customHeight="1" x14ac:dyDescent="0.25">
      <c r="A16300" s="5" t="str">
        <f>"H0014216"</f>
        <v>H0014216</v>
      </c>
      <c r="B16300" s="5" t="str">
        <f t="shared" si="839"/>
        <v>BANDEJA CON COMPARTIMIENTOS EN ACERO INOXIDABLE</v>
      </c>
      <c r="C16300" s="6">
        <v>2547.6</v>
      </c>
      <c r="D16300" s="5"/>
      <c r="E16300" s="5" t="str">
        <f t="shared" si="837"/>
        <v>SANDRA MILENA BUITRAGO ROJAS-ELEMENTOS PARA DAR DE BAJA</v>
      </c>
      <c r="F16300" s="5" t="str">
        <f>"Descripcion: PLATO HONDO EN ACERO INOX. CON 3 DIVISIONES Estado: Bueno Placa anterior: 000018123 Material: ACERO INOXIDABLE Color:  Referencia:  Observacion:  Placa padre: Tipo adquisicion: Entidad"</f>
        <v>Descripcion: PLATO HONDO EN ACERO INOX. CON 3 DIVISIONES Estado: Bueno Placa anterior: 000018123 Material: ACERO INOXIDABLE Color:  Referencia:  Observacion:  Placa padre: Tipo adquisicion: Entidad</v>
      </c>
      <c r="G16300" s="5"/>
    </row>
    <row r="16301" spans="1:7" ht="58.5" customHeight="1" x14ac:dyDescent="0.25">
      <c r="A16301" s="5" t="str">
        <f>"H0014217"</f>
        <v>H0014217</v>
      </c>
      <c r="B16301" s="5" t="str">
        <f t="shared" si="839"/>
        <v>BANDEJA CON COMPARTIMIENTOS EN ACERO INOXIDABLE</v>
      </c>
      <c r="C16301" s="6">
        <v>2547.6</v>
      </c>
      <c r="D16301" s="5"/>
      <c r="E16301" s="5" t="str">
        <f t="shared" si="837"/>
        <v>SANDRA MILENA BUITRAGO ROJAS-ELEMENTOS PARA DAR DE BAJA</v>
      </c>
      <c r="F16301" s="5" t="str">
        <f>"Descripcion: PLATO HONDO EN ACERO INOX. CON 3 DIVISIONES Estado: Bueno Placa anterior: 000018124 Material: ACERO INOXIDABLE Color:  Referencia:  Observacion:  Placa padre: Tipo adquisicion: Entidad"</f>
        <v>Descripcion: PLATO HONDO EN ACERO INOX. CON 3 DIVISIONES Estado: Bueno Placa anterior: 000018124 Material: ACERO INOXIDABLE Color:  Referencia:  Observacion:  Placa padre: Tipo adquisicion: Entidad</v>
      </c>
      <c r="G16301" s="5"/>
    </row>
    <row r="16302" spans="1:7" ht="58.5" customHeight="1" x14ac:dyDescent="0.25">
      <c r="A16302" s="5" t="str">
        <f>"H0014218"</f>
        <v>H0014218</v>
      </c>
      <c r="B16302" s="5" t="str">
        <f t="shared" si="839"/>
        <v>BANDEJA CON COMPARTIMIENTOS EN ACERO INOXIDABLE</v>
      </c>
      <c r="C16302" s="6">
        <v>2547.6</v>
      </c>
      <c r="D16302" s="5"/>
      <c r="E16302" s="5" t="str">
        <f t="shared" si="837"/>
        <v>SANDRA MILENA BUITRAGO ROJAS-ELEMENTOS PARA DAR DE BAJA</v>
      </c>
      <c r="F16302" s="5" t="str">
        <f>"Descripcion: PLATO HONDO EN ACERO INOX. CON 3 DIVISIONES Estado: Bueno Placa anterior: 000018125 Material: ACERO INOXIDABLE Color:  Referencia:  Observacion:  Placa padre: Tipo adquisicion: Entidad"</f>
        <v>Descripcion: PLATO HONDO EN ACERO INOX. CON 3 DIVISIONES Estado: Bueno Placa anterior: 000018125 Material: ACERO INOXIDABLE Color:  Referencia:  Observacion:  Placa padre: Tipo adquisicion: Entidad</v>
      </c>
      <c r="G16302" s="5"/>
    </row>
    <row r="16303" spans="1:7" ht="58.5" customHeight="1" x14ac:dyDescent="0.25">
      <c r="A16303" s="5" t="str">
        <f>"H0014219"</f>
        <v>H0014219</v>
      </c>
      <c r="B16303" s="5" t="str">
        <f t="shared" si="839"/>
        <v>BANDEJA CON COMPARTIMIENTOS EN ACERO INOXIDABLE</v>
      </c>
      <c r="C16303" s="6">
        <v>2547.6</v>
      </c>
      <c r="D16303" s="5"/>
      <c r="E16303" s="5" t="str">
        <f t="shared" si="837"/>
        <v>SANDRA MILENA BUITRAGO ROJAS-ELEMENTOS PARA DAR DE BAJA</v>
      </c>
      <c r="F16303" s="5" t="str">
        <f>"Descripcion: PLATO HONDO EN ACERO INOX. CON 3 DIVISIONES Estado: Bueno Placa anterior: 000018126 Material: ACERO INOXIDABLE Color:  Referencia:  Observacion:  Placa padre: Tipo adquisicion: Entidad"</f>
        <v>Descripcion: PLATO HONDO EN ACERO INOX. CON 3 DIVISIONES Estado: Bueno Placa anterior: 000018126 Material: ACERO INOXIDABLE Color:  Referencia:  Observacion:  Placa padre: Tipo adquisicion: Entidad</v>
      </c>
      <c r="G16303" s="5"/>
    </row>
    <row r="16304" spans="1:7" ht="58.5" customHeight="1" x14ac:dyDescent="0.25">
      <c r="A16304" s="5" t="str">
        <f>"H0014220"</f>
        <v>H0014220</v>
      </c>
      <c r="B16304" s="5" t="str">
        <f t="shared" si="839"/>
        <v>BANDEJA CON COMPARTIMIENTOS EN ACERO INOXIDABLE</v>
      </c>
      <c r="C16304" s="6">
        <v>2547.6</v>
      </c>
      <c r="D16304" s="5"/>
      <c r="E16304" s="5" t="str">
        <f t="shared" si="837"/>
        <v>SANDRA MILENA BUITRAGO ROJAS-ELEMENTOS PARA DAR DE BAJA</v>
      </c>
      <c r="F16304" s="5" t="str">
        <f>"Descripcion: PLATO HONDO EN ACERO INOX. CON 3 DIVISIONES Estado: Bueno Placa anterior: 000018127 Material: ACERO INOXIDABLE Color:  Referencia:  Observacion:  Placa padre: Tipo adquisicion: Entidad"</f>
        <v>Descripcion: PLATO HONDO EN ACERO INOX. CON 3 DIVISIONES Estado: Bueno Placa anterior: 000018127 Material: ACERO INOXIDABLE Color:  Referencia:  Observacion:  Placa padre: Tipo adquisicion: Entidad</v>
      </c>
      <c r="G16304" s="5"/>
    </row>
    <row r="16305" spans="1:7" ht="58.5" customHeight="1" x14ac:dyDescent="0.25">
      <c r="A16305" s="5" t="str">
        <f>"H0014221"</f>
        <v>H0014221</v>
      </c>
      <c r="B16305" s="5" t="str">
        <f t="shared" si="839"/>
        <v>BANDEJA CON COMPARTIMIENTOS EN ACERO INOXIDABLE</v>
      </c>
      <c r="C16305" s="6">
        <v>2547.6</v>
      </c>
      <c r="D16305" s="5"/>
      <c r="E16305" s="5" t="str">
        <f t="shared" si="837"/>
        <v>SANDRA MILENA BUITRAGO ROJAS-ELEMENTOS PARA DAR DE BAJA</v>
      </c>
      <c r="F16305" s="5" t="str">
        <f>"Descripcion: PLATO HONDO EN ACERO INOX. CON 3 DIVISIONES Estado: Bueno Placa anterior: 000018128 Material: ACERO INOXIDABLE Color:  Referencia:  Observacion:  Placa padre: Tipo adquisicion: Entidad"</f>
        <v>Descripcion: PLATO HONDO EN ACERO INOX. CON 3 DIVISIONES Estado: Bueno Placa anterior: 000018128 Material: ACERO INOXIDABLE Color:  Referencia:  Observacion:  Placa padre: Tipo adquisicion: Entidad</v>
      </c>
      <c r="G16305" s="5"/>
    </row>
    <row r="16306" spans="1:7" ht="58.5" customHeight="1" x14ac:dyDescent="0.25">
      <c r="A16306" s="5" t="str">
        <f>"H0014222"</f>
        <v>H0014222</v>
      </c>
      <c r="B16306" s="5" t="str">
        <f t="shared" si="839"/>
        <v>BANDEJA CON COMPARTIMIENTOS EN ACERO INOXIDABLE</v>
      </c>
      <c r="C16306" s="6">
        <v>2547.6</v>
      </c>
      <c r="D16306" s="5"/>
      <c r="E16306" s="5" t="str">
        <f t="shared" si="837"/>
        <v>SANDRA MILENA BUITRAGO ROJAS-ELEMENTOS PARA DAR DE BAJA</v>
      </c>
      <c r="F16306" s="5" t="str">
        <f>"Descripcion: PLATO HONDO EN ACERO INOX. CON 3 DIVISIONES Estado: Bueno Placa anterior: 000018129 Material: ACERO INOXIDABLE Color:  Referencia:  Observacion:  Placa padre: Tipo adquisicion: Entidad"</f>
        <v>Descripcion: PLATO HONDO EN ACERO INOX. CON 3 DIVISIONES Estado: Bueno Placa anterior: 000018129 Material: ACERO INOXIDABLE Color:  Referencia:  Observacion:  Placa padre: Tipo adquisicion: Entidad</v>
      </c>
      <c r="G16306" s="5"/>
    </row>
    <row r="16307" spans="1:7" ht="58.5" customHeight="1" x14ac:dyDescent="0.25">
      <c r="A16307" s="5" t="str">
        <f>"H0014223"</f>
        <v>H0014223</v>
      </c>
      <c r="B16307" s="5" t="str">
        <f t="shared" si="839"/>
        <v>BANDEJA CON COMPARTIMIENTOS EN ACERO INOXIDABLE</v>
      </c>
      <c r="C16307" s="6">
        <v>2547.6</v>
      </c>
      <c r="D16307" s="5"/>
      <c r="E16307" s="5" t="str">
        <f t="shared" si="837"/>
        <v>SANDRA MILENA BUITRAGO ROJAS-ELEMENTOS PARA DAR DE BAJA</v>
      </c>
      <c r="F16307" s="5" t="str">
        <f>"Descripcion: PLATO HONDO EN ACERO INOX. CON 3 DIVISIONES Estado: Bueno Placa anterior: 000018130 Material: ACERO INOXIDABLE Color:  Referencia:  Observacion:  Placa padre: Tipo adquisicion: Entidad"</f>
        <v>Descripcion: PLATO HONDO EN ACERO INOX. CON 3 DIVISIONES Estado: Bueno Placa anterior: 000018130 Material: ACERO INOXIDABLE Color:  Referencia:  Observacion:  Placa padre: Tipo adquisicion: Entidad</v>
      </c>
      <c r="G16307" s="5"/>
    </row>
    <row r="16308" spans="1:7" ht="58.5" customHeight="1" x14ac:dyDescent="0.25">
      <c r="A16308" s="5" t="str">
        <f>"H0014224"</f>
        <v>H0014224</v>
      </c>
      <c r="B16308" s="5" t="str">
        <f t="shared" si="839"/>
        <v>BANDEJA CON COMPARTIMIENTOS EN ACERO INOXIDABLE</v>
      </c>
      <c r="C16308" s="6">
        <v>2547.6</v>
      </c>
      <c r="D16308" s="5"/>
      <c r="E16308" s="5" t="str">
        <f t="shared" si="837"/>
        <v>SANDRA MILENA BUITRAGO ROJAS-ELEMENTOS PARA DAR DE BAJA</v>
      </c>
      <c r="F16308" s="5" t="str">
        <f>"Descripcion: PLATO HONDO EN ACERO INOX. CON 3 DIVISIONES Estado: Bueno Placa anterior: 000018131 Material: ACERO INOXIDABLE Color:  Referencia:  Observacion:  Placa padre: Tipo adquisicion: Entidad"</f>
        <v>Descripcion: PLATO HONDO EN ACERO INOX. CON 3 DIVISIONES Estado: Bueno Placa anterior: 000018131 Material: ACERO INOXIDABLE Color:  Referencia:  Observacion:  Placa padre: Tipo adquisicion: Entidad</v>
      </c>
      <c r="G16308" s="5"/>
    </row>
    <row r="16309" spans="1:7" ht="58.5" customHeight="1" x14ac:dyDescent="0.25">
      <c r="A16309" s="5" t="str">
        <f>"H0014225"</f>
        <v>H0014225</v>
      </c>
      <c r="B16309" s="5" t="str">
        <f t="shared" si="839"/>
        <v>BANDEJA CON COMPARTIMIENTOS EN ACERO INOXIDABLE</v>
      </c>
      <c r="C16309" s="6">
        <v>2547.6</v>
      </c>
      <c r="D16309" s="5"/>
      <c r="E16309" s="5" t="str">
        <f t="shared" si="837"/>
        <v>SANDRA MILENA BUITRAGO ROJAS-ELEMENTOS PARA DAR DE BAJA</v>
      </c>
      <c r="F16309" s="5" t="str">
        <f>"Descripcion: PLATO HONDO EN ACERO INOX. CON 3 DIVISIONES Estado: Bueno Placa anterior: 000018132 Material: ACERO INOXIDABLE Color:  Referencia:  Observacion:  Placa padre: Tipo adquisicion: Entidad"</f>
        <v>Descripcion: PLATO HONDO EN ACERO INOX. CON 3 DIVISIONES Estado: Bueno Placa anterior: 000018132 Material: ACERO INOXIDABLE Color:  Referencia:  Observacion:  Placa padre: Tipo adquisicion: Entidad</v>
      </c>
      <c r="G16309" s="5"/>
    </row>
    <row r="16310" spans="1:7" ht="58.5" customHeight="1" x14ac:dyDescent="0.25">
      <c r="A16310" s="5" t="str">
        <f>"H0014226"</f>
        <v>H0014226</v>
      </c>
      <c r="B16310" s="5" t="str">
        <f t="shared" si="839"/>
        <v>BANDEJA CON COMPARTIMIENTOS EN ACERO INOXIDABLE</v>
      </c>
      <c r="C16310" s="6">
        <v>2547.6</v>
      </c>
      <c r="D16310" s="5"/>
      <c r="E16310" s="5" t="str">
        <f t="shared" si="837"/>
        <v>SANDRA MILENA BUITRAGO ROJAS-ELEMENTOS PARA DAR DE BAJA</v>
      </c>
      <c r="F16310" s="5" t="str">
        <f>"Descripcion: PLATO HONDO EN ACERO INOX. CON 3 DIVISIONES Estado: Bueno Placa anterior: 000018133 Material: ACERO INOXIDABLE Color:  Referencia:  Observacion:  Placa padre: Tipo adquisicion: Entidad"</f>
        <v>Descripcion: PLATO HONDO EN ACERO INOX. CON 3 DIVISIONES Estado: Bueno Placa anterior: 000018133 Material: ACERO INOXIDABLE Color:  Referencia:  Observacion:  Placa padre: Tipo adquisicion: Entidad</v>
      </c>
      <c r="G16310" s="5"/>
    </row>
    <row r="16311" spans="1:7" ht="58.5" customHeight="1" x14ac:dyDescent="0.25">
      <c r="A16311" s="5" t="str">
        <f>"H0014227"</f>
        <v>H0014227</v>
      </c>
      <c r="B16311" s="5" t="str">
        <f t="shared" si="839"/>
        <v>BANDEJA CON COMPARTIMIENTOS EN ACERO INOXIDABLE</v>
      </c>
      <c r="C16311" s="6">
        <v>2547.6</v>
      </c>
      <c r="D16311" s="5"/>
      <c r="E16311" s="5" t="str">
        <f t="shared" si="837"/>
        <v>SANDRA MILENA BUITRAGO ROJAS-ELEMENTOS PARA DAR DE BAJA</v>
      </c>
      <c r="F16311" s="5" t="str">
        <f>"Descripcion: PLATO HONDO EN ACERO INOX. CON 3 DIVISIONES Estado: Bueno Placa anterior: 000018134 Material: ACERO INOXIDABLE Color:  Referencia:  Observacion:  Placa padre: Tipo adquisicion: Entidad"</f>
        <v>Descripcion: PLATO HONDO EN ACERO INOX. CON 3 DIVISIONES Estado: Bueno Placa anterior: 000018134 Material: ACERO INOXIDABLE Color:  Referencia:  Observacion:  Placa padre: Tipo adquisicion: Entidad</v>
      </c>
      <c r="G16311" s="5"/>
    </row>
    <row r="16312" spans="1:7" ht="58.5" customHeight="1" x14ac:dyDescent="0.25">
      <c r="A16312" s="5" t="str">
        <f>"H0014228"</f>
        <v>H0014228</v>
      </c>
      <c r="B16312" s="5" t="str">
        <f t="shared" si="839"/>
        <v>BANDEJA CON COMPARTIMIENTOS EN ACERO INOXIDABLE</v>
      </c>
      <c r="C16312" s="6">
        <v>2547.6</v>
      </c>
      <c r="D16312" s="5"/>
      <c r="E16312" s="5" t="str">
        <f t="shared" si="837"/>
        <v>SANDRA MILENA BUITRAGO ROJAS-ELEMENTOS PARA DAR DE BAJA</v>
      </c>
      <c r="F16312" s="5" t="str">
        <f>"Descripcion: PLATO HONDO EN ACERO INOX. CON 3 DIVISIONES Estado: Bueno Placa anterior: 000018135 Material: ACERO INOXIDABLE Color:  Referencia:  Observacion:  Placa padre: Tipo adquisicion: Entidad"</f>
        <v>Descripcion: PLATO HONDO EN ACERO INOX. CON 3 DIVISIONES Estado: Bueno Placa anterior: 000018135 Material: ACERO INOXIDABLE Color:  Referencia:  Observacion:  Placa padre: Tipo adquisicion: Entidad</v>
      </c>
      <c r="G16312" s="5"/>
    </row>
    <row r="16313" spans="1:7" ht="58.5" customHeight="1" x14ac:dyDescent="0.25">
      <c r="A16313" s="5" t="str">
        <f>"H0014229"</f>
        <v>H0014229</v>
      </c>
      <c r="B16313" s="5" t="str">
        <f t="shared" si="839"/>
        <v>BANDEJA CON COMPARTIMIENTOS EN ACERO INOXIDABLE</v>
      </c>
      <c r="C16313" s="6">
        <v>2547.6</v>
      </c>
      <c r="D16313" s="5"/>
      <c r="E16313" s="5" t="str">
        <f t="shared" si="837"/>
        <v>SANDRA MILENA BUITRAGO ROJAS-ELEMENTOS PARA DAR DE BAJA</v>
      </c>
      <c r="F16313" s="5" t="str">
        <f>"Descripcion: PLATO HONDO EN ACERO INOX. CON 3 DIVISIONES Estado: Bueno Placa anterior: 000018136 Material: ACERO INOXIDABLE Color:  Referencia:  Observacion:  Placa padre: Tipo adquisicion: Entidad"</f>
        <v>Descripcion: PLATO HONDO EN ACERO INOX. CON 3 DIVISIONES Estado: Bueno Placa anterior: 000018136 Material: ACERO INOXIDABLE Color:  Referencia:  Observacion:  Placa padre: Tipo adquisicion: Entidad</v>
      </c>
      <c r="G16313" s="5"/>
    </row>
    <row r="16314" spans="1:7" ht="58.5" customHeight="1" x14ac:dyDescent="0.25">
      <c r="A16314" s="5" t="str">
        <f>"H0014230"</f>
        <v>H0014230</v>
      </c>
      <c r="B16314" s="5" t="str">
        <f t="shared" si="839"/>
        <v>BANDEJA CON COMPARTIMIENTOS EN ACERO INOXIDABLE</v>
      </c>
      <c r="C16314" s="6">
        <v>2547.6</v>
      </c>
      <c r="D16314" s="5"/>
      <c r="E16314" s="5" t="str">
        <f t="shared" si="837"/>
        <v>SANDRA MILENA BUITRAGO ROJAS-ELEMENTOS PARA DAR DE BAJA</v>
      </c>
      <c r="F16314" s="5" t="str">
        <f>"Descripcion: PLATO HONDO EN ACERO INOX. CON 3 DIVISIONES Estado: Bueno Placa anterior: 000018137 Material: ACERO INOXIDABLE Color:  Referencia:  Observacion:  Placa padre: Tipo adquisicion: Entidad"</f>
        <v>Descripcion: PLATO HONDO EN ACERO INOX. CON 3 DIVISIONES Estado: Bueno Placa anterior: 000018137 Material: ACERO INOXIDABLE Color:  Referencia:  Observacion:  Placa padre: Tipo adquisicion: Entidad</v>
      </c>
      <c r="G16314" s="5"/>
    </row>
    <row r="16315" spans="1:7" ht="58.5" customHeight="1" x14ac:dyDescent="0.25">
      <c r="A16315" s="5" t="str">
        <f>"H0014231"</f>
        <v>H0014231</v>
      </c>
      <c r="B16315" s="5" t="str">
        <f t="shared" si="839"/>
        <v>BANDEJA CON COMPARTIMIENTOS EN ACERO INOXIDABLE</v>
      </c>
      <c r="C16315" s="6">
        <v>2547.6</v>
      </c>
      <c r="D16315" s="5"/>
      <c r="E16315" s="5" t="str">
        <f t="shared" si="837"/>
        <v>SANDRA MILENA BUITRAGO ROJAS-ELEMENTOS PARA DAR DE BAJA</v>
      </c>
      <c r="F16315" s="5" t="str">
        <f>"Descripcion: PLATO HONDO EN ACERO INOX. CON 3 DIVISIONES Estado: Bueno Placa anterior: 000018138 Material: ACERO INOXIDABLE Color:  Referencia:  Observacion:  Placa padre: Tipo adquisicion: Entidad"</f>
        <v>Descripcion: PLATO HONDO EN ACERO INOX. CON 3 DIVISIONES Estado: Bueno Placa anterior: 000018138 Material: ACERO INOXIDABLE Color:  Referencia:  Observacion:  Placa padre: Tipo adquisicion: Entidad</v>
      </c>
      <c r="G16315" s="5"/>
    </row>
    <row r="16316" spans="1:7" ht="58.5" customHeight="1" x14ac:dyDescent="0.25">
      <c r="A16316" s="5" t="str">
        <f>"H0014232"</f>
        <v>H0014232</v>
      </c>
      <c r="B16316" s="5" t="str">
        <f t="shared" si="839"/>
        <v>BANDEJA CON COMPARTIMIENTOS EN ACERO INOXIDABLE</v>
      </c>
      <c r="C16316" s="6">
        <v>2547.6</v>
      </c>
      <c r="D16316" s="5"/>
      <c r="E16316" s="5" t="str">
        <f t="shared" si="837"/>
        <v>SANDRA MILENA BUITRAGO ROJAS-ELEMENTOS PARA DAR DE BAJA</v>
      </c>
      <c r="F16316" s="5" t="str">
        <f>"Descripcion: PLATO HONDO EN ACERO INOX. CON 3 DIVISIONES Estado: Bueno Placa anterior: 000018139 Material: ACERO INOXIDABLE Color:  Referencia:  Observacion:  Placa padre: Tipo adquisicion: Entidad"</f>
        <v>Descripcion: PLATO HONDO EN ACERO INOX. CON 3 DIVISIONES Estado: Bueno Placa anterior: 000018139 Material: ACERO INOXIDABLE Color:  Referencia:  Observacion:  Placa padre: Tipo adquisicion: Entidad</v>
      </c>
      <c r="G16316" s="5"/>
    </row>
    <row r="16317" spans="1:7" ht="58.5" customHeight="1" x14ac:dyDescent="0.25">
      <c r="A16317" s="5" t="str">
        <f>"H0014233"</f>
        <v>H0014233</v>
      </c>
      <c r="B16317" s="5" t="str">
        <f t="shared" si="839"/>
        <v>BANDEJA CON COMPARTIMIENTOS EN ACERO INOXIDABLE</v>
      </c>
      <c r="C16317" s="6">
        <v>2547.6</v>
      </c>
      <c r="D16317" s="5"/>
      <c r="E16317" s="5" t="str">
        <f t="shared" si="837"/>
        <v>SANDRA MILENA BUITRAGO ROJAS-ELEMENTOS PARA DAR DE BAJA</v>
      </c>
      <c r="F16317" s="5" t="str">
        <f>"Descripcion: PLATO HONDO EN ACERO INOX. CON 3 DIVISIONES Estado: Bueno Placa anterior: 000018140 Material: ACERO INOXIDABLE Color:  Referencia:  Observacion:  Placa padre: Tipo adquisicion: Entidad"</f>
        <v>Descripcion: PLATO HONDO EN ACERO INOX. CON 3 DIVISIONES Estado: Bueno Placa anterior: 000018140 Material: ACERO INOXIDABLE Color:  Referencia:  Observacion:  Placa padre: Tipo adquisicion: Entidad</v>
      </c>
      <c r="G16317" s="5"/>
    </row>
    <row r="16318" spans="1:7" ht="58.5" customHeight="1" x14ac:dyDescent="0.25">
      <c r="A16318" s="5" t="str">
        <f>"H0014234"</f>
        <v>H0014234</v>
      </c>
      <c r="B16318" s="5" t="str">
        <f t="shared" si="839"/>
        <v>BANDEJA CON COMPARTIMIENTOS EN ACERO INOXIDABLE</v>
      </c>
      <c r="C16318" s="6">
        <v>2547.6</v>
      </c>
      <c r="D16318" s="5"/>
      <c r="E16318" s="5" t="str">
        <f t="shared" ref="E16318:E16381" si="840">"SANDRA MILENA BUITRAGO ROJAS-ELEMENTOS PARA DAR DE BAJA"</f>
        <v>SANDRA MILENA BUITRAGO ROJAS-ELEMENTOS PARA DAR DE BAJA</v>
      </c>
      <c r="F16318" s="5" t="str">
        <f>"Descripcion: PLATO HONDO EN ACERO INOX. CON 3 DIVISIONES Estado: Bueno Placa anterior: 000018141 Material: ACERO INOXIDABLE Color:  Referencia:  Observacion:  Placa padre: Tipo adquisicion: Entidad"</f>
        <v>Descripcion: PLATO HONDO EN ACERO INOX. CON 3 DIVISIONES Estado: Bueno Placa anterior: 000018141 Material: ACERO INOXIDABLE Color:  Referencia:  Observacion:  Placa padre: Tipo adquisicion: Entidad</v>
      </c>
      <c r="G16318" s="5"/>
    </row>
    <row r="16319" spans="1:7" ht="58.5" customHeight="1" x14ac:dyDescent="0.25">
      <c r="A16319" s="5" t="str">
        <f>"H0014235"</f>
        <v>H0014235</v>
      </c>
      <c r="B16319" s="5" t="str">
        <f t="shared" si="839"/>
        <v>BANDEJA CON COMPARTIMIENTOS EN ACERO INOXIDABLE</v>
      </c>
      <c r="C16319" s="6">
        <v>2547.6</v>
      </c>
      <c r="D16319" s="5"/>
      <c r="E16319" s="5" t="str">
        <f t="shared" si="840"/>
        <v>SANDRA MILENA BUITRAGO ROJAS-ELEMENTOS PARA DAR DE BAJA</v>
      </c>
      <c r="F16319" s="5" t="str">
        <f>"Descripcion: PLATO HONDO EN ACERO INOX. CON 3 DIVISIONES Estado: Bueno Placa anterior: 000018142 Material: ACERO INOXIDABLE Color:  Referencia:  Observacion:  Placa padre: Tipo adquisicion: Entidad"</f>
        <v>Descripcion: PLATO HONDO EN ACERO INOX. CON 3 DIVISIONES Estado: Bueno Placa anterior: 000018142 Material: ACERO INOXIDABLE Color:  Referencia:  Observacion:  Placa padre: Tipo adquisicion: Entidad</v>
      </c>
      <c r="G16319" s="5"/>
    </row>
    <row r="16320" spans="1:7" ht="58.5" customHeight="1" x14ac:dyDescent="0.25">
      <c r="A16320" s="5" t="str">
        <f>"H0014236"</f>
        <v>H0014236</v>
      </c>
      <c r="B16320" s="5" t="str">
        <f t="shared" si="839"/>
        <v>BANDEJA CON COMPARTIMIENTOS EN ACERO INOXIDABLE</v>
      </c>
      <c r="C16320" s="6">
        <v>2547.6</v>
      </c>
      <c r="D16320" s="5"/>
      <c r="E16320" s="5" t="str">
        <f t="shared" si="840"/>
        <v>SANDRA MILENA BUITRAGO ROJAS-ELEMENTOS PARA DAR DE BAJA</v>
      </c>
      <c r="F16320" s="5" t="str">
        <f>"Descripcion: PLATO HONDO EN ACERO INOX. CON 3 DIVISIONES Estado: Bueno Placa anterior: 000018143 Material: ACERO INOXIDABLE Color:  Referencia:  Observacion:  Placa padre: Tipo adquisicion: Entidad"</f>
        <v>Descripcion: PLATO HONDO EN ACERO INOX. CON 3 DIVISIONES Estado: Bueno Placa anterior: 000018143 Material: ACERO INOXIDABLE Color:  Referencia:  Observacion:  Placa padre: Tipo adquisicion: Entidad</v>
      </c>
      <c r="G16320" s="5"/>
    </row>
    <row r="16321" spans="1:7" ht="58.5" customHeight="1" x14ac:dyDescent="0.25">
      <c r="A16321" s="5" t="str">
        <f>"H0014237"</f>
        <v>H0014237</v>
      </c>
      <c r="B16321" s="5" t="str">
        <f t="shared" si="839"/>
        <v>BANDEJA CON COMPARTIMIENTOS EN ACERO INOXIDABLE</v>
      </c>
      <c r="C16321" s="6">
        <v>2547.6</v>
      </c>
      <c r="D16321" s="5"/>
      <c r="E16321" s="5" t="str">
        <f t="shared" si="840"/>
        <v>SANDRA MILENA BUITRAGO ROJAS-ELEMENTOS PARA DAR DE BAJA</v>
      </c>
      <c r="F16321" s="5" t="str">
        <f>"Descripcion: PLATO HONDO EN ACERO INOX. CON 3 DIVISIONES Estado: Bueno Placa anterior: 000018145 Material: ACERO INOXIDABLE Color:  Referencia:  Observacion:  Placa padre: Tipo adquisicion: Entidad"</f>
        <v>Descripcion: PLATO HONDO EN ACERO INOX. CON 3 DIVISIONES Estado: Bueno Placa anterior: 000018145 Material: ACERO INOXIDABLE Color:  Referencia:  Observacion:  Placa padre: Tipo adquisicion: Entidad</v>
      </c>
      <c r="G16321" s="5"/>
    </row>
    <row r="16322" spans="1:7" ht="58.5" customHeight="1" x14ac:dyDescent="0.25">
      <c r="A16322" s="5" t="str">
        <f>"H0014238"</f>
        <v>H0014238</v>
      </c>
      <c r="B16322" s="5" t="str">
        <f t="shared" si="839"/>
        <v>BANDEJA CON COMPARTIMIENTOS EN ACERO INOXIDABLE</v>
      </c>
      <c r="C16322" s="6">
        <v>2547.6</v>
      </c>
      <c r="D16322" s="5"/>
      <c r="E16322" s="5" t="str">
        <f t="shared" si="840"/>
        <v>SANDRA MILENA BUITRAGO ROJAS-ELEMENTOS PARA DAR DE BAJA</v>
      </c>
      <c r="F16322" s="5" t="str">
        <f>"Descripcion: PLATO HONDO EN ACERO INOX. CON 3 DIVISIONES Estado: Bueno Placa anterior: 000018146 Material: ACERO INOXIDABLE Color:  Referencia:  Observacion:  Placa padre: Tipo adquisicion: Entidad"</f>
        <v>Descripcion: PLATO HONDO EN ACERO INOX. CON 3 DIVISIONES Estado: Bueno Placa anterior: 000018146 Material: ACERO INOXIDABLE Color:  Referencia:  Observacion:  Placa padre: Tipo adquisicion: Entidad</v>
      </c>
      <c r="G16322" s="5"/>
    </row>
    <row r="16323" spans="1:7" ht="58.5" customHeight="1" x14ac:dyDescent="0.25">
      <c r="A16323" s="5" t="str">
        <f>"H0014239"</f>
        <v>H0014239</v>
      </c>
      <c r="B16323" s="5" t="str">
        <f t="shared" si="839"/>
        <v>BANDEJA CON COMPARTIMIENTOS EN ACERO INOXIDABLE</v>
      </c>
      <c r="C16323" s="6">
        <v>2547.6</v>
      </c>
      <c r="D16323" s="5"/>
      <c r="E16323" s="5" t="str">
        <f t="shared" si="840"/>
        <v>SANDRA MILENA BUITRAGO ROJAS-ELEMENTOS PARA DAR DE BAJA</v>
      </c>
      <c r="F16323" s="5" t="str">
        <f>"Descripcion: PLATO HONDO EN ACERO INOX. CON 3 DIVISIONES Estado: Bueno Placa anterior: 000018147 Material: ACERO INOXIDABLE Color:  Referencia:  Observacion:  Placa padre: Tipo adquisicion: Entidad"</f>
        <v>Descripcion: PLATO HONDO EN ACERO INOX. CON 3 DIVISIONES Estado: Bueno Placa anterior: 000018147 Material: ACERO INOXIDABLE Color:  Referencia:  Observacion:  Placa padre: Tipo adquisicion: Entidad</v>
      </c>
      <c r="G16323" s="5"/>
    </row>
    <row r="16324" spans="1:7" ht="58.5" customHeight="1" x14ac:dyDescent="0.25">
      <c r="A16324" s="5" t="str">
        <f>"H0014240"</f>
        <v>H0014240</v>
      </c>
      <c r="B16324" s="5" t="str">
        <f t="shared" si="839"/>
        <v>BANDEJA CON COMPARTIMIENTOS EN ACERO INOXIDABLE</v>
      </c>
      <c r="C16324" s="6">
        <v>2547.6</v>
      </c>
      <c r="D16324" s="5"/>
      <c r="E16324" s="5" t="str">
        <f t="shared" si="840"/>
        <v>SANDRA MILENA BUITRAGO ROJAS-ELEMENTOS PARA DAR DE BAJA</v>
      </c>
      <c r="F16324" s="5" t="str">
        <f>"Descripcion: PLATO HONDO EN ACERO INOX. CON 3 DIVISIONES Estado: Bueno Placa anterior: 000018148 Material: ACERO INOXIDABLE Color:  Referencia:  Observacion:  Placa padre: Tipo adquisicion: Entidad"</f>
        <v>Descripcion: PLATO HONDO EN ACERO INOX. CON 3 DIVISIONES Estado: Bueno Placa anterior: 000018148 Material: ACERO INOXIDABLE Color:  Referencia:  Observacion:  Placa padre: Tipo adquisicion: Entidad</v>
      </c>
      <c r="G16324" s="5"/>
    </row>
    <row r="16325" spans="1:7" ht="58.5" customHeight="1" x14ac:dyDescent="0.25">
      <c r="A16325" s="5" t="str">
        <f>"H0014241"</f>
        <v>H0014241</v>
      </c>
      <c r="B16325" s="5" t="str">
        <f t="shared" si="839"/>
        <v>BANDEJA CON COMPARTIMIENTOS EN ACERO INOXIDABLE</v>
      </c>
      <c r="C16325" s="6">
        <v>2547.6</v>
      </c>
      <c r="D16325" s="5"/>
      <c r="E16325" s="5" t="str">
        <f t="shared" si="840"/>
        <v>SANDRA MILENA BUITRAGO ROJAS-ELEMENTOS PARA DAR DE BAJA</v>
      </c>
      <c r="F16325" s="5" t="str">
        <f>"Descripcion: PLATO HONDO EN ACERO INOX. CON 3 DIVISIONES Estado: Bueno Placa anterior: 000018149 Material: ACERO INOXIDABLE Color:  Referencia:  Observacion:  Placa padre: Tipo adquisicion: Entidad"</f>
        <v>Descripcion: PLATO HONDO EN ACERO INOX. CON 3 DIVISIONES Estado: Bueno Placa anterior: 000018149 Material: ACERO INOXIDABLE Color:  Referencia:  Observacion:  Placa padre: Tipo adquisicion: Entidad</v>
      </c>
      <c r="G16325" s="5"/>
    </row>
    <row r="16326" spans="1:7" ht="58.5" customHeight="1" x14ac:dyDescent="0.25">
      <c r="A16326" s="5" t="str">
        <f>"H0014242"</f>
        <v>H0014242</v>
      </c>
      <c r="B16326" s="5" t="str">
        <f t="shared" si="839"/>
        <v>BANDEJA CON COMPARTIMIENTOS EN ACERO INOXIDABLE</v>
      </c>
      <c r="C16326" s="6">
        <v>2547.6</v>
      </c>
      <c r="D16326" s="5"/>
      <c r="E16326" s="5" t="str">
        <f t="shared" si="840"/>
        <v>SANDRA MILENA BUITRAGO ROJAS-ELEMENTOS PARA DAR DE BAJA</v>
      </c>
      <c r="F16326" s="5" t="str">
        <f>"Descripcion: PLATO HONDO EN ACERO INOX. CON 3 DIVISIONES Estado: Bueno Placa anterior: 000018150 Material: ACERO INOXIDABLE Color:  Referencia:  Observacion:  Placa padre: Tipo adquisicion: Entidad"</f>
        <v>Descripcion: PLATO HONDO EN ACERO INOX. CON 3 DIVISIONES Estado: Bueno Placa anterior: 000018150 Material: ACERO INOXIDABLE Color:  Referencia:  Observacion:  Placa padre: Tipo adquisicion: Entidad</v>
      </c>
      <c r="G16326" s="5"/>
    </row>
    <row r="16327" spans="1:7" ht="58.5" customHeight="1" x14ac:dyDescent="0.25">
      <c r="A16327" s="5" t="str">
        <f>"H0014944"</f>
        <v>H0014944</v>
      </c>
      <c r="B16327" s="5" t="str">
        <f>"SARTEN EN TEFLON"</f>
        <v>SARTEN EN TEFLON</v>
      </c>
      <c r="C16327" s="6">
        <v>5040.91</v>
      </c>
      <c r="D16327" s="5"/>
      <c r="E16327" s="5" t="str">
        <f t="shared" si="840"/>
        <v>SANDRA MILENA BUITRAGO ROJAS-ELEMENTOS PARA DAR DE BAJA</v>
      </c>
      <c r="F16327" s="5" t="str">
        <f>"Descripcion: SARTEN EN TEFLON PEQUEÑO CON 1 MANGO Estado: Bueno Placa anterior: 000018195 Material: METALICO Color:  Referencia:  Observacion: FUNCIONARIO AUTORIZA SE CONCILIE CON PLACA 000018195 Placa padre: Tipo adquisicion: Entidad"</f>
        <v>Descripcion: SARTEN EN TEFLON PEQUEÑO CON 1 MANGO Estado: Bueno Placa anterior: 000018195 Material: METALICO Color:  Referencia:  Observacion: FUNCIONARIO AUTORIZA SE CONCILIE CON PLACA 000018195 Placa padre: Tipo adquisicion: Entidad</v>
      </c>
      <c r="G16327" s="5"/>
    </row>
    <row r="16328" spans="1:7" ht="58.5" customHeight="1" x14ac:dyDescent="0.25">
      <c r="A16328" s="5" t="str">
        <f>"H0014945"</f>
        <v>H0014945</v>
      </c>
      <c r="B16328" s="5" t="str">
        <f>"SARTEN EN TEFLON"</f>
        <v>SARTEN EN TEFLON</v>
      </c>
      <c r="C16328" s="6">
        <v>5040.91</v>
      </c>
      <c r="D16328" s="5"/>
      <c r="E16328" s="5" t="str">
        <f t="shared" si="840"/>
        <v>SANDRA MILENA BUITRAGO ROJAS-ELEMENTOS PARA DAR DE BAJA</v>
      </c>
      <c r="F16328" s="5" t="str">
        <f>"Descripcion: SARTEN EN TEFLON PEQUEÑO CON 1 MANGO Estado: Bueno Placa anterior: 000018201 Material: METALICO Color:  Referencia:  Observacion: FUNCIONARIO AUTORIZA SE CONCILIE CON PLACA 000018201 Placa padre: Tipo adquisicion: Entidad"</f>
        <v>Descripcion: SARTEN EN TEFLON PEQUEÑO CON 1 MANGO Estado: Bueno Placa anterior: 000018201 Material: METALICO Color:  Referencia:  Observacion: FUNCIONARIO AUTORIZA SE CONCILIE CON PLACA 000018201 Placa padre: Tipo adquisicion: Entidad</v>
      </c>
      <c r="G16328" s="5"/>
    </row>
    <row r="16329" spans="1:7" ht="58.5" customHeight="1" x14ac:dyDescent="0.25">
      <c r="A16329" s="5" t="str">
        <f>"H0014947"</f>
        <v>H0014947</v>
      </c>
      <c r="B16329" s="5" t="str">
        <f>"SARTEN EN TEFLON"</f>
        <v>SARTEN EN TEFLON</v>
      </c>
      <c r="C16329" s="6">
        <v>5040.91</v>
      </c>
      <c r="D16329" s="5"/>
      <c r="E16329" s="5" t="str">
        <f t="shared" si="840"/>
        <v>SANDRA MILENA BUITRAGO ROJAS-ELEMENTOS PARA DAR DE BAJA</v>
      </c>
      <c r="F16329" s="5" t="str">
        <f>"Descripcion: SARTEN EN TEFLON PEQUEÑO CON 1 MANGO Estado: Bueno Placa anterior: 000018193 Material: METALICO Color:  Referencia:  Observacion: FUNCIONARIO AUTORIZA SE CONCILIE CON PLACA 000018193 Placa padre: Tipo adquisicion: Entidad"</f>
        <v>Descripcion: SARTEN EN TEFLON PEQUEÑO CON 1 MANGO Estado: Bueno Placa anterior: 000018193 Material: METALICO Color:  Referencia:  Observacion: FUNCIONARIO AUTORIZA SE CONCILIE CON PLACA 000018193 Placa padre: Tipo adquisicion: Entidad</v>
      </c>
      <c r="G16329" s="5"/>
    </row>
    <row r="16330" spans="1:7" ht="58.5" customHeight="1" x14ac:dyDescent="0.25">
      <c r="A16330" s="5" t="str">
        <f>"H0014948"</f>
        <v>H0014948</v>
      </c>
      <c r="B16330" s="5" t="str">
        <f>"SARTEN EN TEFLON"</f>
        <v>SARTEN EN TEFLON</v>
      </c>
      <c r="C16330" s="6">
        <v>5040.91</v>
      </c>
      <c r="D16330" s="5"/>
      <c r="E16330" s="5" t="str">
        <f t="shared" si="840"/>
        <v>SANDRA MILENA BUITRAGO ROJAS-ELEMENTOS PARA DAR DE BAJA</v>
      </c>
      <c r="F16330" s="5" t="str">
        <f>"Descripcion: SARTEN EN TEFLON PEQUEÑO CON 1 MANGO Estado: Bueno Placa anterior: 000018194 Material: METALICO Color:  Referencia:  Observacion: FUNCIONARIO AUTORIZA SE CONCILIE CON PLACA 000018194 Placa padre: Tipo adquisicion: Entidad"</f>
        <v>Descripcion: SARTEN EN TEFLON PEQUEÑO CON 1 MANGO Estado: Bueno Placa anterior: 000018194 Material: METALICO Color:  Referencia:  Observacion: FUNCIONARIO AUTORIZA SE CONCILIE CON PLACA 000018194 Placa padre: Tipo adquisicion: Entidad</v>
      </c>
      <c r="G16330" s="5"/>
    </row>
    <row r="16331" spans="1:7" ht="58.5" customHeight="1" x14ac:dyDescent="0.25">
      <c r="A16331" s="5" t="str">
        <f>"H0015101"</f>
        <v>H0015101</v>
      </c>
      <c r="B16331" s="5" t="str">
        <f t="shared" ref="B16331:B16362" si="841">"COPA EN ACERO INOXIDABLE"</f>
        <v>COPA EN ACERO INOXIDABLE</v>
      </c>
      <c r="C16331" s="6">
        <v>3266.1</v>
      </c>
      <c r="D16331" s="5"/>
      <c r="E16331" s="5" t="str">
        <f t="shared" si="840"/>
        <v>SANDRA MILENA BUITRAGO ROJAS-ELEMENTOS PARA DAR DE BAJA</v>
      </c>
      <c r="F16331" s="5" t="str">
        <f>"Descripcion: COPA EN ACERO INOX. Estado: Bueno Placa anterior: 000017446 Material: ACERO INOXIDABLE Color: PLATEADO Referencia:  Observacion:  Placa padre: Tipo adquisicion: Entidad"</f>
        <v>Descripcion: COPA EN ACERO INOX. Estado: Bueno Placa anterior: 000017446 Material: ACERO INOXIDABLE Color: PLATEADO Referencia:  Observacion:  Placa padre: Tipo adquisicion: Entidad</v>
      </c>
      <c r="G16331" s="5"/>
    </row>
    <row r="16332" spans="1:7" ht="58.5" customHeight="1" x14ac:dyDescent="0.25">
      <c r="A16332" s="5" t="str">
        <f>"H0015102"</f>
        <v>H0015102</v>
      </c>
      <c r="B16332" s="5" t="str">
        <f t="shared" si="841"/>
        <v>COPA EN ACERO INOXIDABLE</v>
      </c>
      <c r="C16332" s="6">
        <v>3266.1</v>
      </c>
      <c r="D16332" s="5"/>
      <c r="E16332" s="5" t="str">
        <f t="shared" si="840"/>
        <v>SANDRA MILENA BUITRAGO ROJAS-ELEMENTOS PARA DAR DE BAJA</v>
      </c>
      <c r="F16332" s="5" t="str">
        <f>"Descripcion: COPA EN ACERO INOX. Estado: Bueno Placa anterior: 000017390 Material: ACERO INOXIDABLE Color: PLATEADO Referencia:  Observacion:  Placa padre: Tipo adquisicion: Entidad"</f>
        <v>Descripcion: COPA EN ACERO INOX. Estado: Bueno Placa anterior: 000017390 Material: ACERO INOXIDABLE Color: PLATEADO Referencia:  Observacion:  Placa padre: Tipo adquisicion: Entidad</v>
      </c>
      <c r="G16332" s="5"/>
    </row>
    <row r="16333" spans="1:7" ht="58.5" customHeight="1" x14ac:dyDescent="0.25">
      <c r="A16333" s="5" t="str">
        <f>"H0015103"</f>
        <v>H0015103</v>
      </c>
      <c r="B16333" s="5" t="str">
        <f t="shared" si="841"/>
        <v>COPA EN ACERO INOXIDABLE</v>
      </c>
      <c r="C16333" s="6">
        <v>3266.1</v>
      </c>
      <c r="D16333" s="5"/>
      <c r="E16333" s="5" t="str">
        <f t="shared" si="840"/>
        <v>SANDRA MILENA BUITRAGO ROJAS-ELEMENTOS PARA DAR DE BAJA</v>
      </c>
      <c r="F16333" s="5" t="str">
        <f>"Descripcion: COPA EN ACERO INOX. Estado: Bueno Placa anterior: 000017435 Material: ACERO INOXIDABLE Color: PLATEADO Referencia:  Observacion:  Placa padre: Tipo adquisicion: Entidad"</f>
        <v>Descripcion: COPA EN ACERO INOX. Estado: Bueno Placa anterior: 000017435 Material: ACERO INOXIDABLE Color: PLATEADO Referencia:  Observacion:  Placa padre: Tipo adquisicion: Entidad</v>
      </c>
      <c r="G16333" s="5"/>
    </row>
    <row r="16334" spans="1:7" ht="58.5" customHeight="1" x14ac:dyDescent="0.25">
      <c r="A16334" s="5" t="str">
        <f>"H0015104"</f>
        <v>H0015104</v>
      </c>
      <c r="B16334" s="5" t="str">
        <f t="shared" si="841"/>
        <v>COPA EN ACERO INOXIDABLE</v>
      </c>
      <c r="C16334" s="6">
        <v>3266.1</v>
      </c>
      <c r="D16334" s="5"/>
      <c r="E16334" s="5" t="str">
        <f t="shared" si="840"/>
        <v>SANDRA MILENA BUITRAGO ROJAS-ELEMENTOS PARA DAR DE BAJA</v>
      </c>
      <c r="F16334" s="5" t="str">
        <f>"Descripcion: COPA EN ACERO INOX. Estado: Bueno Placa anterior: 000017353 Material: ACERO INOXIDABLE Color: PLATEADO Referencia:  Observacion:  Placa padre: Tipo adquisicion: Entidad"</f>
        <v>Descripcion: COPA EN ACERO INOX. Estado: Bueno Placa anterior: 000017353 Material: ACERO INOXIDABLE Color: PLATEADO Referencia:  Observacion:  Placa padre: Tipo adquisicion: Entidad</v>
      </c>
      <c r="G16334" s="5"/>
    </row>
    <row r="16335" spans="1:7" ht="58.5" customHeight="1" x14ac:dyDescent="0.25">
      <c r="A16335" s="5" t="str">
        <f>"H0015105"</f>
        <v>H0015105</v>
      </c>
      <c r="B16335" s="5" t="str">
        <f t="shared" si="841"/>
        <v>COPA EN ACERO INOXIDABLE</v>
      </c>
      <c r="C16335" s="6">
        <v>3266.1</v>
      </c>
      <c r="D16335" s="5"/>
      <c r="E16335" s="5" t="str">
        <f t="shared" si="840"/>
        <v>SANDRA MILENA BUITRAGO ROJAS-ELEMENTOS PARA DAR DE BAJA</v>
      </c>
      <c r="F16335" s="5" t="str">
        <f>"Descripcion: COPA EN ACERO INOX. Estado: Bueno Placa anterior: 000017354 Material: ACERO INOXIDABLE Color: PLATEADO Referencia:  Observacion:  Placa padre: Tipo adquisicion: Entidad"</f>
        <v>Descripcion: COPA EN ACERO INOX. Estado: Bueno Placa anterior: 000017354 Material: ACERO INOXIDABLE Color: PLATEADO Referencia:  Observacion:  Placa padre: Tipo adquisicion: Entidad</v>
      </c>
      <c r="G16335" s="5"/>
    </row>
    <row r="16336" spans="1:7" ht="58.5" customHeight="1" x14ac:dyDescent="0.25">
      <c r="A16336" s="5" t="str">
        <f>"H0015106"</f>
        <v>H0015106</v>
      </c>
      <c r="B16336" s="5" t="str">
        <f t="shared" si="841"/>
        <v>COPA EN ACERO INOXIDABLE</v>
      </c>
      <c r="C16336" s="6">
        <v>3266.1</v>
      </c>
      <c r="D16336" s="5"/>
      <c r="E16336" s="5" t="str">
        <f t="shared" si="840"/>
        <v>SANDRA MILENA BUITRAGO ROJAS-ELEMENTOS PARA DAR DE BAJA</v>
      </c>
      <c r="F16336" s="5" t="str">
        <f>"Descripcion: COPA EN ACERO INOX. Estado: Bueno Placa anterior: 000017355 Material: ACERO INOXIDABLE Color: PLATEADO Referencia:  Observacion:  Placa padre: Tipo adquisicion: Entidad"</f>
        <v>Descripcion: COPA EN ACERO INOX. Estado: Bueno Placa anterior: 000017355 Material: ACERO INOXIDABLE Color: PLATEADO Referencia:  Observacion:  Placa padre: Tipo adquisicion: Entidad</v>
      </c>
      <c r="G16336" s="5"/>
    </row>
    <row r="16337" spans="1:7" ht="58.5" customHeight="1" x14ac:dyDescent="0.25">
      <c r="A16337" s="5" t="str">
        <f>"H0015107"</f>
        <v>H0015107</v>
      </c>
      <c r="B16337" s="5" t="str">
        <f t="shared" si="841"/>
        <v>COPA EN ACERO INOXIDABLE</v>
      </c>
      <c r="C16337" s="6">
        <v>3266.1</v>
      </c>
      <c r="D16337" s="5"/>
      <c r="E16337" s="5" t="str">
        <f t="shared" si="840"/>
        <v>SANDRA MILENA BUITRAGO ROJAS-ELEMENTOS PARA DAR DE BAJA</v>
      </c>
      <c r="F16337" s="5" t="str">
        <f>"Descripcion: COPA EN ACERO INOX. Estado: Bueno Placa anterior: 000017356 Material: ACERO INOXIDABLE Color: PLATEADO Referencia:  Observacion:  Placa padre: Tipo adquisicion: Entidad"</f>
        <v>Descripcion: COPA EN ACERO INOX. Estado: Bueno Placa anterior: 000017356 Material: ACERO INOXIDABLE Color: PLATEADO Referencia:  Observacion:  Placa padre: Tipo adquisicion: Entidad</v>
      </c>
      <c r="G16337" s="5"/>
    </row>
    <row r="16338" spans="1:7" ht="58.5" customHeight="1" x14ac:dyDescent="0.25">
      <c r="A16338" s="5" t="str">
        <f>"H0015108"</f>
        <v>H0015108</v>
      </c>
      <c r="B16338" s="5" t="str">
        <f t="shared" si="841"/>
        <v>COPA EN ACERO INOXIDABLE</v>
      </c>
      <c r="C16338" s="6">
        <v>3266.1</v>
      </c>
      <c r="D16338" s="5"/>
      <c r="E16338" s="5" t="str">
        <f t="shared" si="840"/>
        <v>SANDRA MILENA BUITRAGO ROJAS-ELEMENTOS PARA DAR DE BAJA</v>
      </c>
      <c r="F16338" s="5" t="str">
        <f>"Descripcion: COPA EN ACERO INOX. Estado: Bueno Placa anterior: 000017357 Material: ACERO INOXIDABLE Color: PLATEADO Referencia:  Observacion:  Placa padre: Tipo adquisicion: Entidad"</f>
        <v>Descripcion: COPA EN ACERO INOX. Estado: Bueno Placa anterior: 000017357 Material: ACERO INOXIDABLE Color: PLATEADO Referencia:  Observacion:  Placa padre: Tipo adquisicion: Entidad</v>
      </c>
      <c r="G16338" s="5"/>
    </row>
    <row r="16339" spans="1:7" ht="58.5" customHeight="1" x14ac:dyDescent="0.25">
      <c r="A16339" s="5" t="str">
        <f>"H0015109"</f>
        <v>H0015109</v>
      </c>
      <c r="B16339" s="5" t="str">
        <f t="shared" si="841"/>
        <v>COPA EN ACERO INOXIDABLE</v>
      </c>
      <c r="C16339" s="6">
        <v>3266.1</v>
      </c>
      <c r="D16339" s="5"/>
      <c r="E16339" s="5" t="str">
        <f t="shared" si="840"/>
        <v>SANDRA MILENA BUITRAGO ROJAS-ELEMENTOS PARA DAR DE BAJA</v>
      </c>
      <c r="F16339" s="5" t="str">
        <f>"Descripcion: COPA EN ACERO INOX. Estado: Bueno Placa anterior: 000017358 Material: ACERO INOXIDABLE Color: PLATEADO Referencia:  Observacion:  Placa padre: Tipo adquisicion: Entidad"</f>
        <v>Descripcion: COPA EN ACERO INOX. Estado: Bueno Placa anterior: 000017358 Material: ACERO INOXIDABLE Color: PLATEADO Referencia:  Observacion:  Placa padre: Tipo adquisicion: Entidad</v>
      </c>
      <c r="G16339" s="5"/>
    </row>
    <row r="16340" spans="1:7" ht="58.5" customHeight="1" x14ac:dyDescent="0.25">
      <c r="A16340" s="5" t="str">
        <f>"H0015110"</f>
        <v>H0015110</v>
      </c>
      <c r="B16340" s="5" t="str">
        <f t="shared" si="841"/>
        <v>COPA EN ACERO INOXIDABLE</v>
      </c>
      <c r="C16340" s="6">
        <v>3266.1</v>
      </c>
      <c r="D16340" s="5"/>
      <c r="E16340" s="5" t="str">
        <f t="shared" si="840"/>
        <v>SANDRA MILENA BUITRAGO ROJAS-ELEMENTOS PARA DAR DE BAJA</v>
      </c>
      <c r="F16340" s="5" t="str">
        <f>"Descripcion: COPA EN ACERO INOX. Estado: Bueno Placa anterior: 000017359 Material: ACERO INOXIDABLE Color: PLATEADO Referencia:  Observacion:  Placa padre: Tipo adquisicion: Entidad"</f>
        <v>Descripcion: COPA EN ACERO INOX. Estado: Bueno Placa anterior: 000017359 Material: ACERO INOXIDABLE Color: PLATEADO Referencia:  Observacion:  Placa padre: Tipo adquisicion: Entidad</v>
      </c>
      <c r="G16340" s="5"/>
    </row>
    <row r="16341" spans="1:7" ht="58.5" customHeight="1" x14ac:dyDescent="0.25">
      <c r="A16341" s="5" t="str">
        <f>"H0015111"</f>
        <v>H0015111</v>
      </c>
      <c r="B16341" s="5" t="str">
        <f t="shared" si="841"/>
        <v>COPA EN ACERO INOXIDABLE</v>
      </c>
      <c r="C16341" s="6">
        <v>3266.1</v>
      </c>
      <c r="D16341" s="5"/>
      <c r="E16341" s="5" t="str">
        <f t="shared" si="840"/>
        <v>SANDRA MILENA BUITRAGO ROJAS-ELEMENTOS PARA DAR DE BAJA</v>
      </c>
      <c r="F16341" s="5" t="str">
        <f>"Descripcion: COPA EN ACERO INOX. Estado: Bueno Placa anterior: 000017360 Material: ACERO INOXIDABLE Color: PLATEADO Referencia:  Observacion:  Placa padre: Tipo adquisicion: Entidad"</f>
        <v>Descripcion: COPA EN ACERO INOX. Estado: Bueno Placa anterior: 000017360 Material: ACERO INOXIDABLE Color: PLATEADO Referencia:  Observacion:  Placa padre: Tipo adquisicion: Entidad</v>
      </c>
      <c r="G16341" s="5"/>
    </row>
    <row r="16342" spans="1:7" ht="58.5" customHeight="1" x14ac:dyDescent="0.25">
      <c r="A16342" s="5" t="str">
        <f>"H0015112"</f>
        <v>H0015112</v>
      </c>
      <c r="B16342" s="5" t="str">
        <f t="shared" si="841"/>
        <v>COPA EN ACERO INOXIDABLE</v>
      </c>
      <c r="C16342" s="6">
        <v>3266.1</v>
      </c>
      <c r="D16342" s="5"/>
      <c r="E16342" s="5" t="str">
        <f t="shared" si="840"/>
        <v>SANDRA MILENA BUITRAGO ROJAS-ELEMENTOS PARA DAR DE BAJA</v>
      </c>
      <c r="F16342" s="5" t="str">
        <f>"Descripcion: COPA EN ACERO INOX. Estado: Bueno Placa anterior: 000017362 Material: ACERO INOXIDABLE Color: PLATEADO Referencia:  Observacion:  Placa padre: Tipo adquisicion: Entidad"</f>
        <v>Descripcion: COPA EN ACERO INOX. Estado: Bueno Placa anterior: 000017362 Material: ACERO INOXIDABLE Color: PLATEADO Referencia:  Observacion:  Placa padre: Tipo adquisicion: Entidad</v>
      </c>
      <c r="G16342" s="5"/>
    </row>
    <row r="16343" spans="1:7" ht="58.5" customHeight="1" x14ac:dyDescent="0.25">
      <c r="A16343" s="5" t="str">
        <f>"H0015113"</f>
        <v>H0015113</v>
      </c>
      <c r="B16343" s="5" t="str">
        <f t="shared" si="841"/>
        <v>COPA EN ACERO INOXIDABLE</v>
      </c>
      <c r="C16343" s="6">
        <v>3266.1</v>
      </c>
      <c r="D16343" s="5"/>
      <c r="E16343" s="5" t="str">
        <f t="shared" si="840"/>
        <v>SANDRA MILENA BUITRAGO ROJAS-ELEMENTOS PARA DAR DE BAJA</v>
      </c>
      <c r="F16343" s="5" t="str">
        <f>"Descripcion: COPA EN ACERO INOX. Estado: Bueno Placa anterior: 000017363 Material: ACERO INOXIDABLE Color: PLATEADO Referencia:  Observacion:  Placa padre: Tipo adquisicion: Entidad"</f>
        <v>Descripcion: COPA EN ACERO INOX. Estado: Bueno Placa anterior: 000017363 Material: ACERO INOXIDABLE Color: PLATEADO Referencia:  Observacion:  Placa padre: Tipo adquisicion: Entidad</v>
      </c>
      <c r="G16343" s="5"/>
    </row>
    <row r="16344" spans="1:7" ht="58.5" customHeight="1" x14ac:dyDescent="0.25">
      <c r="A16344" s="5" t="str">
        <f>"H0015114"</f>
        <v>H0015114</v>
      </c>
      <c r="B16344" s="5" t="str">
        <f t="shared" si="841"/>
        <v>COPA EN ACERO INOXIDABLE</v>
      </c>
      <c r="C16344" s="6">
        <v>3266.1</v>
      </c>
      <c r="D16344" s="5"/>
      <c r="E16344" s="5" t="str">
        <f t="shared" si="840"/>
        <v>SANDRA MILENA BUITRAGO ROJAS-ELEMENTOS PARA DAR DE BAJA</v>
      </c>
      <c r="F16344" s="5" t="str">
        <f>"Descripcion: COPA EN ACERO INOX. Estado: Bueno Placa anterior: 000017361 Material: ACERO INOXIDABLE Color: PLATEADO Referencia:  Observacion:  Placa padre: Tipo adquisicion: Entidad"</f>
        <v>Descripcion: COPA EN ACERO INOX. Estado: Bueno Placa anterior: 000017361 Material: ACERO INOXIDABLE Color: PLATEADO Referencia:  Observacion:  Placa padre: Tipo adquisicion: Entidad</v>
      </c>
      <c r="G16344" s="5"/>
    </row>
    <row r="16345" spans="1:7" ht="58.5" customHeight="1" x14ac:dyDescent="0.25">
      <c r="A16345" s="5" t="str">
        <f>"H0015115"</f>
        <v>H0015115</v>
      </c>
      <c r="B16345" s="5" t="str">
        <f t="shared" si="841"/>
        <v>COPA EN ACERO INOXIDABLE</v>
      </c>
      <c r="C16345" s="6">
        <v>3266.1</v>
      </c>
      <c r="D16345" s="5"/>
      <c r="E16345" s="5" t="str">
        <f t="shared" si="840"/>
        <v>SANDRA MILENA BUITRAGO ROJAS-ELEMENTOS PARA DAR DE BAJA</v>
      </c>
      <c r="F16345" s="5" t="str">
        <f>"Descripcion: COPA EN ACERO INOX. Estado: Bueno Placa anterior: 000017364 Material: ACERO INOXIDABLE Color: PLATEADO Referencia:  Observacion:  Placa padre: Tipo adquisicion: Entidad"</f>
        <v>Descripcion: COPA EN ACERO INOX. Estado: Bueno Placa anterior: 000017364 Material: ACERO INOXIDABLE Color: PLATEADO Referencia:  Observacion:  Placa padre: Tipo adquisicion: Entidad</v>
      </c>
      <c r="G16345" s="5"/>
    </row>
    <row r="16346" spans="1:7" ht="58.5" customHeight="1" x14ac:dyDescent="0.25">
      <c r="A16346" s="5" t="str">
        <f>"H0015116"</f>
        <v>H0015116</v>
      </c>
      <c r="B16346" s="5" t="str">
        <f t="shared" si="841"/>
        <v>COPA EN ACERO INOXIDABLE</v>
      </c>
      <c r="C16346" s="6">
        <v>3266.1</v>
      </c>
      <c r="D16346" s="5"/>
      <c r="E16346" s="5" t="str">
        <f t="shared" si="840"/>
        <v>SANDRA MILENA BUITRAGO ROJAS-ELEMENTOS PARA DAR DE BAJA</v>
      </c>
      <c r="F16346" s="5" t="str">
        <f>"Descripcion: COPA EN ACERO INOX. Estado: Bueno Placa anterior: 000017365 Material: ACERO INOXIDABLE Color: PLATEADO Referencia:  Observacion:  Placa padre: Tipo adquisicion: Entidad"</f>
        <v>Descripcion: COPA EN ACERO INOX. Estado: Bueno Placa anterior: 000017365 Material: ACERO INOXIDABLE Color: PLATEADO Referencia:  Observacion:  Placa padre: Tipo adquisicion: Entidad</v>
      </c>
      <c r="G16346" s="5"/>
    </row>
    <row r="16347" spans="1:7" ht="58.5" customHeight="1" x14ac:dyDescent="0.25">
      <c r="A16347" s="5" t="str">
        <f>"H0015117"</f>
        <v>H0015117</v>
      </c>
      <c r="B16347" s="5" t="str">
        <f t="shared" si="841"/>
        <v>COPA EN ACERO INOXIDABLE</v>
      </c>
      <c r="C16347" s="6">
        <v>3266.1</v>
      </c>
      <c r="D16347" s="5"/>
      <c r="E16347" s="5" t="str">
        <f t="shared" si="840"/>
        <v>SANDRA MILENA BUITRAGO ROJAS-ELEMENTOS PARA DAR DE BAJA</v>
      </c>
      <c r="F16347" s="5" t="str">
        <f>"Descripcion: COPA EN ACERO INOX. Estado: Bueno Placa anterior: 000017366 Material: ACERO INOXIDABLE Color: PLATEADO Referencia:  Observacion:  Placa padre: Tipo adquisicion: Entidad"</f>
        <v>Descripcion: COPA EN ACERO INOX. Estado: Bueno Placa anterior: 000017366 Material: ACERO INOXIDABLE Color: PLATEADO Referencia:  Observacion:  Placa padre: Tipo adquisicion: Entidad</v>
      </c>
      <c r="G16347" s="5"/>
    </row>
    <row r="16348" spans="1:7" ht="58.5" customHeight="1" x14ac:dyDescent="0.25">
      <c r="A16348" s="5" t="str">
        <f>"H0015118"</f>
        <v>H0015118</v>
      </c>
      <c r="B16348" s="5" t="str">
        <f t="shared" si="841"/>
        <v>COPA EN ACERO INOXIDABLE</v>
      </c>
      <c r="C16348" s="6">
        <v>3266.1</v>
      </c>
      <c r="D16348" s="5"/>
      <c r="E16348" s="5" t="str">
        <f t="shared" si="840"/>
        <v>SANDRA MILENA BUITRAGO ROJAS-ELEMENTOS PARA DAR DE BAJA</v>
      </c>
      <c r="F16348" s="5" t="str">
        <f>"Descripcion: COPA EN ACERO INOX. Estado: Bueno Placa anterior: 000017367 Material: ACERO INOXIDABLE Color: PLATEADO Referencia:  Observacion:  Placa padre: Tipo adquisicion: Entidad"</f>
        <v>Descripcion: COPA EN ACERO INOX. Estado: Bueno Placa anterior: 000017367 Material: ACERO INOXIDABLE Color: PLATEADO Referencia:  Observacion:  Placa padre: Tipo adquisicion: Entidad</v>
      </c>
      <c r="G16348" s="5"/>
    </row>
    <row r="16349" spans="1:7" ht="58.5" customHeight="1" x14ac:dyDescent="0.25">
      <c r="A16349" s="5" t="str">
        <f>"H0015119"</f>
        <v>H0015119</v>
      </c>
      <c r="B16349" s="5" t="str">
        <f t="shared" si="841"/>
        <v>COPA EN ACERO INOXIDABLE</v>
      </c>
      <c r="C16349" s="6">
        <v>3266.1</v>
      </c>
      <c r="D16349" s="5"/>
      <c r="E16349" s="5" t="str">
        <f t="shared" si="840"/>
        <v>SANDRA MILENA BUITRAGO ROJAS-ELEMENTOS PARA DAR DE BAJA</v>
      </c>
      <c r="F16349" s="5" t="str">
        <f>"Descripcion: COPA EN ACERO INOX. Estado: Bueno Placa anterior: 000017368 Material: ACERO INOXIDABLE Color: PLATEADO Referencia:  Observacion:  Placa padre: Tipo adquisicion: Entidad"</f>
        <v>Descripcion: COPA EN ACERO INOX. Estado: Bueno Placa anterior: 000017368 Material: ACERO INOXIDABLE Color: PLATEADO Referencia:  Observacion:  Placa padre: Tipo adquisicion: Entidad</v>
      </c>
      <c r="G16349" s="5"/>
    </row>
    <row r="16350" spans="1:7" ht="58.5" customHeight="1" x14ac:dyDescent="0.25">
      <c r="A16350" s="5" t="str">
        <f>"H0015120"</f>
        <v>H0015120</v>
      </c>
      <c r="B16350" s="5" t="str">
        <f t="shared" si="841"/>
        <v>COPA EN ACERO INOXIDABLE</v>
      </c>
      <c r="C16350" s="6">
        <v>3266.1</v>
      </c>
      <c r="D16350" s="5"/>
      <c r="E16350" s="5" t="str">
        <f t="shared" si="840"/>
        <v>SANDRA MILENA BUITRAGO ROJAS-ELEMENTOS PARA DAR DE BAJA</v>
      </c>
      <c r="F16350" s="5" t="str">
        <f>"Descripcion: COPA EN ACERO INOX. Estado: Bueno Placa anterior: 000017369 Material: ACERO INOXIDABLE Color: PLATEADO Referencia:  Observacion:  Placa padre: Tipo adquisicion: Entidad"</f>
        <v>Descripcion: COPA EN ACERO INOX. Estado: Bueno Placa anterior: 000017369 Material: ACERO INOXIDABLE Color: PLATEADO Referencia:  Observacion:  Placa padre: Tipo adquisicion: Entidad</v>
      </c>
      <c r="G16350" s="5"/>
    </row>
    <row r="16351" spans="1:7" ht="58.5" customHeight="1" x14ac:dyDescent="0.25">
      <c r="A16351" s="5" t="str">
        <f>"H0015121"</f>
        <v>H0015121</v>
      </c>
      <c r="B16351" s="5" t="str">
        <f t="shared" si="841"/>
        <v>COPA EN ACERO INOXIDABLE</v>
      </c>
      <c r="C16351" s="6">
        <v>3266.1</v>
      </c>
      <c r="D16351" s="5"/>
      <c r="E16351" s="5" t="str">
        <f t="shared" si="840"/>
        <v>SANDRA MILENA BUITRAGO ROJAS-ELEMENTOS PARA DAR DE BAJA</v>
      </c>
      <c r="F16351" s="5" t="str">
        <f>"Descripcion: COPA EN ACERO INOX. Estado: Bueno Placa anterior: 000017370 Material: ACERO INOXIDABLE Color: PLATEADO Referencia:  Observacion:  Placa padre: Tipo adquisicion: Entidad"</f>
        <v>Descripcion: COPA EN ACERO INOX. Estado: Bueno Placa anterior: 000017370 Material: ACERO INOXIDABLE Color: PLATEADO Referencia:  Observacion:  Placa padre: Tipo adquisicion: Entidad</v>
      </c>
      <c r="G16351" s="5"/>
    </row>
    <row r="16352" spans="1:7" ht="58.5" customHeight="1" x14ac:dyDescent="0.25">
      <c r="A16352" s="5" t="str">
        <f>"H0015122"</f>
        <v>H0015122</v>
      </c>
      <c r="B16352" s="5" t="str">
        <f t="shared" si="841"/>
        <v>COPA EN ACERO INOXIDABLE</v>
      </c>
      <c r="C16352" s="6">
        <v>3266.1</v>
      </c>
      <c r="D16352" s="5"/>
      <c r="E16352" s="5" t="str">
        <f t="shared" si="840"/>
        <v>SANDRA MILENA BUITRAGO ROJAS-ELEMENTOS PARA DAR DE BAJA</v>
      </c>
      <c r="F16352" s="5" t="str">
        <f>"Descripcion: COPA EN ACERO INOX. Estado: Bueno Placa anterior: 000017371 Material: ACERO INOXIDABLE Color: PLATEADO Referencia:  Observacion:  Placa padre: Tipo adquisicion: Entidad"</f>
        <v>Descripcion: COPA EN ACERO INOX. Estado: Bueno Placa anterior: 000017371 Material: ACERO INOXIDABLE Color: PLATEADO Referencia:  Observacion:  Placa padre: Tipo adquisicion: Entidad</v>
      </c>
      <c r="G16352" s="5"/>
    </row>
    <row r="16353" spans="1:7" ht="58.5" customHeight="1" x14ac:dyDescent="0.25">
      <c r="A16353" s="5" t="str">
        <f>"H0015123"</f>
        <v>H0015123</v>
      </c>
      <c r="B16353" s="5" t="str">
        <f t="shared" si="841"/>
        <v>COPA EN ACERO INOXIDABLE</v>
      </c>
      <c r="C16353" s="6">
        <v>3266.1</v>
      </c>
      <c r="D16353" s="5"/>
      <c r="E16353" s="5" t="str">
        <f t="shared" si="840"/>
        <v>SANDRA MILENA BUITRAGO ROJAS-ELEMENTOS PARA DAR DE BAJA</v>
      </c>
      <c r="F16353" s="5" t="str">
        <f>"Descripcion: COPA EN ACERO INOX. Estado: Bueno Placa anterior: 000017372 Material: ACERO INOXIDABLE Color: PLATEADO Referencia:  Observacion:  Placa padre: Tipo adquisicion: Entidad"</f>
        <v>Descripcion: COPA EN ACERO INOX. Estado: Bueno Placa anterior: 000017372 Material: ACERO INOXIDABLE Color: PLATEADO Referencia:  Observacion:  Placa padre: Tipo adquisicion: Entidad</v>
      </c>
      <c r="G16353" s="5"/>
    </row>
    <row r="16354" spans="1:7" ht="58.5" customHeight="1" x14ac:dyDescent="0.25">
      <c r="A16354" s="5" t="str">
        <f>"H0015124"</f>
        <v>H0015124</v>
      </c>
      <c r="B16354" s="5" t="str">
        <f t="shared" si="841"/>
        <v>COPA EN ACERO INOXIDABLE</v>
      </c>
      <c r="C16354" s="6">
        <v>3266.1</v>
      </c>
      <c r="D16354" s="5"/>
      <c r="E16354" s="5" t="str">
        <f t="shared" si="840"/>
        <v>SANDRA MILENA BUITRAGO ROJAS-ELEMENTOS PARA DAR DE BAJA</v>
      </c>
      <c r="F16354" s="5" t="str">
        <f>"Descripcion: COPA EN ACERO INOX. Estado: Bueno Placa anterior: 000017373 Material: ACERO INOXIDABLE Color: PLATEADO Referencia:  Observacion:  Placa padre: Tipo adquisicion: Entidad"</f>
        <v>Descripcion: COPA EN ACERO INOX. Estado: Bueno Placa anterior: 000017373 Material: ACERO INOXIDABLE Color: PLATEADO Referencia:  Observacion:  Placa padre: Tipo adquisicion: Entidad</v>
      </c>
      <c r="G16354" s="5"/>
    </row>
    <row r="16355" spans="1:7" ht="58.5" customHeight="1" x14ac:dyDescent="0.25">
      <c r="A16355" s="5" t="str">
        <f>"H0015125"</f>
        <v>H0015125</v>
      </c>
      <c r="B16355" s="5" t="str">
        <f t="shared" si="841"/>
        <v>COPA EN ACERO INOXIDABLE</v>
      </c>
      <c r="C16355" s="6">
        <v>3266.1</v>
      </c>
      <c r="D16355" s="5"/>
      <c r="E16355" s="5" t="str">
        <f t="shared" si="840"/>
        <v>SANDRA MILENA BUITRAGO ROJAS-ELEMENTOS PARA DAR DE BAJA</v>
      </c>
      <c r="F16355" s="5" t="str">
        <f>"Descripcion: COPA EN ACERO INOX. Estado: Bueno Placa anterior: 000017374 Material: ACERO INOXIDABLE Color: PLATEADO Referencia:  Observacion:  Placa padre: Tipo adquisicion: Entidad"</f>
        <v>Descripcion: COPA EN ACERO INOX. Estado: Bueno Placa anterior: 000017374 Material: ACERO INOXIDABLE Color: PLATEADO Referencia:  Observacion:  Placa padre: Tipo adquisicion: Entidad</v>
      </c>
      <c r="G16355" s="5"/>
    </row>
    <row r="16356" spans="1:7" ht="58.5" customHeight="1" x14ac:dyDescent="0.25">
      <c r="A16356" s="5" t="str">
        <f>"H0015126"</f>
        <v>H0015126</v>
      </c>
      <c r="B16356" s="5" t="str">
        <f t="shared" si="841"/>
        <v>COPA EN ACERO INOXIDABLE</v>
      </c>
      <c r="C16356" s="6">
        <v>3266.1</v>
      </c>
      <c r="D16356" s="5"/>
      <c r="E16356" s="5" t="str">
        <f t="shared" si="840"/>
        <v>SANDRA MILENA BUITRAGO ROJAS-ELEMENTOS PARA DAR DE BAJA</v>
      </c>
      <c r="F16356" s="5" t="str">
        <f>"Descripcion: COPA EN ACERO INOX. Estado: Bueno Placa anterior: 000017375 Material: ACERO INOXIDABLE Color: PLATEADO Referencia:  Observacion:  Placa padre: Tipo adquisicion: Entidad"</f>
        <v>Descripcion: COPA EN ACERO INOX. Estado: Bueno Placa anterior: 000017375 Material: ACERO INOXIDABLE Color: PLATEADO Referencia:  Observacion:  Placa padre: Tipo adquisicion: Entidad</v>
      </c>
      <c r="G16356" s="5"/>
    </row>
    <row r="16357" spans="1:7" ht="58.5" customHeight="1" x14ac:dyDescent="0.25">
      <c r="A16357" s="5" t="str">
        <f>"H0015127"</f>
        <v>H0015127</v>
      </c>
      <c r="B16357" s="5" t="str">
        <f t="shared" si="841"/>
        <v>COPA EN ACERO INOXIDABLE</v>
      </c>
      <c r="C16357" s="6">
        <v>3266.1</v>
      </c>
      <c r="D16357" s="5"/>
      <c r="E16357" s="5" t="str">
        <f t="shared" si="840"/>
        <v>SANDRA MILENA BUITRAGO ROJAS-ELEMENTOS PARA DAR DE BAJA</v>
      </c>
      <c r="F16357" s="5" t="str">
        <f>"Descripcion: COPA EN ACERO INOX. Estado: Bueno Placa anterior: 000017376 Material: ACERO INOXIDABLE Color: PLATEADO Referencia:  Observacion:  Placa padre: Tipo adquisicion: Entidad"</f>
        <v>Descripcion: COPA EN ACERO INOX. Estado: Bueno Placa anterior: 000017376 Material: ACERO INOXIDABLE Color: PLATEADO Referencia:  Observacion:  Placa padre: Tipo adquisicion: Entidad</v>
      </c>
      <c r="G16357" s="5"/>
    </row>
    <row r="16358" spans="1:7" ht="58.5" customHeight="1" x14ac:dyDescent="0.25">
      <c r="A16358" s="5" t="str">
        <f>"H0015128"</f>
        <v>H0015128</v>
      </c>
      <c r="B16358" s="5" t="str">
        <f t="shared" si="841"/>
        <v>COPA EN ACERO INOXIDABLE</v>
      </c>
      <c r="C16358" s="6">
        <v>3266.1</v>
      </c>
      <c r="D16358" s="5"/>
      <c r="E16358" s="5" t="str">
        <f t="shared" si="840"/>
        <v>SANDRA MILENA BUITRAGO ROJAS-ELEMENTOS PARA DAR DE BAJA</v>
      </c>
      <c r="F16358" s="5" t="str">
        <f>"Descripcion: COPA EN ACERO INOX. Estado: Bueno Placa anterior: 000017377 Material: ACERO INOXIDABLE Color: PLATEADO Referencia:  Observacion:  Placa padre: Tipo adquisicion: Entidad"</f>
        <v>Descripcion: COPA EN ACERO INOX. Estado: Bueno Placa anterior: 000017377 Material: ACERO INOXIDABLE Color: PLATEADO Referencia:  Observacion:  Placa padre: Tipo adquisicion: Entidad</v>
      </c>
      <c r="G16358" s="5"/>
    </row>
    <row r="16359" spans="1:7" ht="58.5" customHeight="1" x14ac:dyDescent="0.25">
      <c r="A16359" s="5" t="str">
        <f>"H0015129"</f>
        <v>H0015129</v>
      </c>
      <c r="B16359" s="5" t="str">
        <f t="shared" si="841"/>
        <v>COPA EN ACERO INOXIDABLE</v>
      </c>
      <c r="C16359" s="6">
        <v>3266.1</v>
      </c>
      <c r="D16359" s="5"/>
      <c r="E16359" s="5" t="str">
        <f t="shared" si="840"/>
        <v>SANDRA MILENA BUITRAGO ROJAS-ELEMENTOS PARA DAR DE BAJA</v>
      </c>
      <c r="F16359" s="5" t="str">
        <f>"Descripcion: COPA EN ACERO INOX. Estado: Bueno Placa anterior: 000017378 Material: ACERO INOXIDABLE Color: PLATEADO Referencia:  Observacion:  Placa padre: Tipo adquisicion: Entidad"</f>
        <v>Descripcion: COPA EN ACERO INOX. Estado: Bueno Placa anterior: 000017378 Material: ACERO INOXIDABLE Color: PLATEADO Referencia:  Observacion:  Placa padre: Tipo adquisicion: Entidad</v>
      </c>
      <c r="G16359" s="5"/>
    </row>
    <row r="16360" spans="1:7" ht="58.5" customHeight="1" x14ac:dyDescent="0.25">
      <c r="A16360" s="5" t="str">
        <f>"H0015130"</f>
        <v>H0015130</v>
      </c>
      <c r="B16360" s="5" t="str">
        <f t="shared" si="841"/>
        <v>COPA EN ACERO INOXIDABLE</v>
      </c>
      <c r="C16360" s="6">
        <v>3266.1</v>
      </c>
      <c r="D16360" s="5"/>
      <c r="E16360" s="5" t="str">
        <f t="shared" si="840"/>
        <v>SANDRA MILENA BUITRAGO ROJAS-ELEMENTOS PARA DAR DE BAJA</v>
      </c>
      <c r="F16360" s="5" t="str">
        <f>"Descripcion: COPA EN ACERO INOX. Estado: Bueno Placa anterior: 000017379 Material: ACERO INOXIDABLE Color: PLATEADO Referencia:  Observacion:  Placa padre: Tipo adquisicion: Entidad"</f>
        <v>Descripcion: COPA EN ACERO INOX. Estado: Bueno Placa anterior: 000017379 Material: ACERO INOXIDABLE Color: PLATEADO Referencia:  Observacion:  Placa padre: Tipo adquisicion: Entidad</v>
      </c>
      <c r="G16360" s="5"/>
    </row>
    <row r="16361" spans="1:7" ht="58.5" customHeight="1" x14ac:dyDescent="0.25">
      <c r="A16361" s="5" t="str">
        <f>"H0015131"</f>
        <v>H0015131</v>
      </c>
      <c r="B16361" s="5" t="str">
        <f t="shared" si="841"/>
        <v>COPA EN ACERO INOXIDABLE</v>
      </c>
      <c r="C16361" s="6">
        <v>3266.1</v>
      </c>
      <c r="D16361" s="5"/>
      <c r="E16361" s="5" t="str">
        <f t="shared" si="840"/>
        <v>SANDRA MILENA BUITRAGO ROJAS-ELEMENTOS PARA DAR DE BAJA</v>
      </c>
      <c r="F16361" s="5" t="str">
        <f>"Descripcion: COPA EN ACERO INOX. Estado: Bueno Placa anterior: 000017380 Material: ACERO INOXIDABLE Color: PLATEADO Referencia:  Observacion:  Placa padre: Tipo adquisicion: Entidad"</f>
        <v>Descripcion: COPA EN ACERO INOX. Estado: Bueno Placa anterior: 000017380 Material: ACERO INOXIDABLE Color: PLATEADO Referencia:  Observacion:  Placa padre: Tipo adquisicion: Entidad</v>
      </c>
      <c r="G16361" s="5"/>
    </row>
    <row r="16362" spans="1:7" ht="58.5" customHeight="1" x14ac:dyDescent="0.25">
      <c r="A16362" s="5" t="str">
        <f>"H0015132"</f>
        <v>H0015132</v>
      </c>
      <c r="B16362" s="5" t="str">
        <f t="shared" si="841"/>
        <v>COPA EN ACERO INOXIDABLE</v>
      </c>
      <c r="C16362" s="6">
        <v>3266.1</v>
      </c>
      <c r="D16362" s="5"/>
      <c r="E16362" s="5" t="str">
        <f t="shared" si="840"/>
        <v>SANDRA MILENA BUITRAGO ROJAS-ELEMENTOS PARA DAR DE BAJA</v>
      </c>
      <c r="F16362" s="5" t="str">
        <f>"Descripcion: COPA EN ACERO INOX. Estado: Bueno Placa anterior: 000017381 Material: ACERO INOXIDABLE Color: PLATEADO Referencia:  Observacion:  Placa padre: Tipo adquisicion: Entidad"</f>
        <v>Descripcion: COPA EN ACERO INOX. Estado: Bueno Placa anterior: 000017381 Material: ACERO INOXIDABLE Color: PLATEADO Referencia:  Observacion:  Placa padre: Tipo adquisicion: Entidad</v>
      </c>
      <c r="G16362" s="5"/>
    </row>
    <row r="16363" spans="1:7" ht="58.5" customHeight="1" x14ac:dyDescent="0.25">
      <c r="A16363" s="5" t="str">
        <f>"H0015133"</f>
        <v>H0015133</v>
      </c>
      <c r="B16363" s="5" t="str">
        <f t="shared" ref="B16363:B16394" si="842">"COPA EN ACERO INOXIDABLE"</f>
        <v>COPA EN ACERO INOXIDABLE</v>
      </c>
      <c r="C16363" s="6">
        <v>3266.1</v>
      </c>
      <c r="D16363" s="5"/>
      <c r="E16363" s="5" t="str">
        <f t="shared" si="840"/>
        <v>SANDRA MILENA BUITRAGO ROJAS-ELEMENTOS PARA DAR DE BAJA</v>
      </c>
      <c r="F16363" s="5" t="str">
        <f>"Descripcion: COPA EN ACERO INOX. Estado: Bueno Placa anterior: 000017382 Material: ACERO INOXIDABLE Color: PLATEADO Referencia:  Observacion:  Placa padre: Tipo adquisicion: Entidad"</f>
        <v>Descripcion: COPA EN ACERO INOX. Estado: Bueno Placa anterior: 000017382 Material: ACERO INOXIDABLE Color: PLATEADO Referencia:  Observacion:  Placa padre: Tipo adquisicion: Entidad</v>
      </c>
      <c r="G16363" s="5"/>
    </row>
    <row r="16364" spans="1:7" ht="58.5" customHeight="1" x14ac:dyDescent="0.25">
      <c r="A16364" s="5" t="str">
        <f>"H0015134"</f>
        <v>H0015134</v>
      </c>
      <c r="B16364" s="5" t="str">
        <f t="shared" si="842"/>
        <v>COPA EN ACERO INOXIDABLE</v>
      </c>
      <c r="C16364" s="6">
        <v>3266.1</v>
      </c>
      <c r="D16364" s="5"/>
      <c r="E16364" s="5" t="str">
        <f t="shared" si="840"/>
        <v>SANDRA MILENA BUITRAGO ROJAS-ELEMENTOS PARA DAR DE BAJA</v>
      </c>
      <c r="F16364" s="5" t="str">
        <f>"Descripcion: COPA EN ACERO INOX. Estado: Bueno Placa anterior: 000017383 Material: ACERO INOXIDABLE Color: PLATEADO Referencia:  Observacion:  Placa padre: Tipo adquisicion: Entidad"</f>
        <v>Descripcion: COPA EN ACERO INOX. Estado: Bueno Placa anterior: 000017383 Material: ACERO INOXIDABLE Color: PLATEADO Referencia:  Observacion:  Placa padre: Tipo adquisicion: Entidad</v>
      </c>
      <c r="G16364" s="5"/>
    </row>
    <row r="16365" spans="1:7" ht="58.5" customHeight="1" x14ac:dyDescent="0.25">
      <c r="A16365" s="5" t="str">
        <f>"H0015135"</f>
        <v>H0015135</v>
      </c>
      <c r="B16365" s="5" t="str">
        <f t="shared" si="842"/>
        <v>COPA EN ACERO INOXIDABLE</v>
      </c>
      <c r="C16365" s="6">
        <v>3266.1</v>
      </c>
      <c r="D16365" s="5"/>
      <c r="E16365" s="5" t="str">
        <f t="shared" si="840"/>
        <v>SANDRA MILENA BUITRAGO ROJAS-ELEMENTOS PARA DAR DE BAJA</v>
      </c>
      <c r="F16365" s="5" t="str">
        <f>"Descripcion: COPA EN ACERO INOX. Estado: Bueno Placa anterior: 000017384 Material: ACERO INOXIDABLE Color: PLATEADO Referencia:  Observacion:  Placa padre: Tipo adquisicion: Entidad"</f>
        <v>Descripcion: COPA EN ACERO INOX. Estado: Bueno Placa anterior: 000017384 Material: ACERO INOXIDABLE Color: PLATEADO Referencia:  Observacion:  Placa padre: Tipo adquisicion: Entidad</v>
      </c>
      <c r="G16365" s="5"/>
    </row>
    <row r="16366" spans="1:7" ht="58.5" customHeight="1" x14ac:dyDescent="0.25">
      <c r="A16366" s="5" t="str">
        <f>"H0015137"</f>
        <v>H0015137</v>
      </c>
      <c r="B16366" s="5" t="str">
        <f t="shared" si="842"/>
        <v>COPA EN ACERO INOXIDABLE</v>
      </c>
      <c r="C16366" s="6">
        <v>3266.1</v>
      </c>
      <c r="D16366" s="5"/>
      <c r="E16366" s="5" t="str">
        <f t="shared" si="840"/>
        <v>SANDRA MILENA BUITRAGO ROJAS-ELEMENTOS PARA DAR DE BAJA</v>
      </c>
      <c r="F16366" s="5" t="str">
        <f>"Descripcion: COPA EN ACERO INOX. Estado: Bueno Placa anterior: 000017385 Material: ACERO INOXIDABLE Color: PLATEADO Referencia:  Observacion:  Placa padre: Tipo adquisicion: Entidad"</f>
        <v>Descripcion: COPA EN ACERO INOX. Estado: Bueno Placa anterior: 000017385 Material: ACERO INOXIDABLE Color: PLATEADO Referencia:  Observacion:  Placa padre: Tipo adquisicion: Entidad</v>
      </c>
      <c r="G16366" s="5"/>
    </row>
    <row r="16367" spans="1:7" ht="58.5" customHeight="1" x14ac:dyDescent="0.25">
      <c r="A16367" s="5" t="str">
        <f>"H0015138"</f>
        <v>H0015138</v>
      </c>
      <c r="B16367" s="5" t="str">
        <f t="shared" si="842"/>
        <v>COPA EN ACERO INOXIDABLE</v>
      </c>
      <c r="C16367" s="6">
        <v>3266.1</v>
      </c>
      <c r="D16367" s="5"/>
      <c r="E16367" s="5" t="str">
        <f t="shared" si="840"/>
        <v>SANDRA MILENA BUITRAGO ROJAS-ELEMENTOS PARA DAR DE BAJA</v>
      </c>
      <c r="F16367" s="5" t="str">
        <f>"Descripcion: COPA EN ACERO INOX. Estado: Bueno Placa anterior: 000017386 Material: ACERO INOXIDABLE Color: PLATEADO Referencia:  Observacion:  Placa padre: Tipo adquisicion: Entidad"</f>
        <v>Descripcion: COPA EN ACERO INOX. Estado: Bueno Placa anterior: 000017386 Material: ACERO INOXIDABLE Color: PLATEADO Referencia:  Observacion:  Placa padre: Tipo adquisicion: Entidad</v>
      </c>
      <c r="G16367" s="5"/>
    </row>
    <row r="16368" spans="1:7" ht="58.5" customHeight="1" x14ac:dyDescent="0.25">
      <c r="A16368" s="5" t="str">
        <f>"H0015139"</f>
        <v>H0015139</v>
      </c>
      <c r="B16368" s="5" t="str">
        <f t="shared" si="842"/>
        <v>COPA EN ACERO INOXIDABLE</v>
      </c>
      <c r="C16368" s="6">
        <v>3266.1</v>
      </c>
      <c r="D16368" s="5"/>
      <c r="E16368" s="5" t="str">
        <f t="shared" si="840"/>
        <v>SANDRA MILENA BUITRAGO ROJAS-ELEMENTOS PARA DAR DE BAJA</v>
      </c>
      <c r="F16368" s="5" t="str">
        <f>"Descripcion: COPA EN ACERO INOX. Estado: Bueno Placa anterior: 000017387 Material: ACERO INOXIDABLE Color: PLATEADO Referencia:  Observacion:  Placa padre: Tipo adquisicion: Entidad"</f>
        <v>Descripcion: COPA EN ACERO INOX. Estado: Bueno Placa anterior: 000017387 Material: ACERO INOXIDABLE Color: PLATEADO Referencia:  Observacion:  Placa padre: Tipo adquisicion: Entidad</v>
      </c>
      <c r="G16368" s="5"/>
    </row>
    <row r="16369" spans="1:7" ht="58.5" customHeight="1" x14ac:dyDescent="0.25">
      <c r="A16369" s="5" t="str">
        <f>"H0015140"</f>
        <v>H0015140</v>
      </c>
      <c r="B16369" s="5" t="str">
        <f t="shared" si="842"/>
        <v>COPA EN ACERO INOXIDABLE</v>
      </c>
      <c r="C16369" s="6">
        <v>3266.1</v>
      </c>
      <c r="D16369" s="5"/>
      <c r="E16369" s="5" t="str">
        <f t="shared" si="840"/>
        <v>SANDRA MILENA BUITRAGO ROJAS-ELEMENTOS PARA DAR DE BAJA</v>
      </c>
      <c r="F16369" s="5" t="str">
        <f>"Descripcion: COPA EN ACERO INOX. Estado: Bueno Placa anterior: 000017388 Material: ACERO INOXIDABLE Color: PLATEADO Referencia:  Observacion:  Placa padre: Tipo adquisicion: Entidad"</f>
        <v>Descripcion: COPA EN ACERO INOX. Estado: Bueno Placa anterior: 000017388 Material: ACERO INOXIDABLE Color: PLATEADO Referencia:  Observacion:  Placa padre: Tipo adquisicion: Entidad</v>
      </c>
      <c r="G16369" s="5"/>
    </row>
    <row r="16370" spans="1:7" ht="58.5" customHeight="1" x14ac:dyDescent="0.25">
      <c r="A16370" s="5" t="str">
        <f>"H0015141"</f>
        <v>H0015141</v>
      </c>
      <c r="B16370" s="5" t="str">
        <f t="shared" si="842"/>
        <v>COPA EN ACERO INOXIDABLE</v>
      </c>
      <c r="C16370" s="6">
        <v>3266.1</v>
      </c>
      <c r="D16370" s="5"/>
      <c r="E16370" s="5" t="str">
        <f t="shared" si="840"/>
        <v>SANDRA MILENA BUITRAGO ROJAS-ELEMENTOS PARA DAR DE BAJA</v>
      </c>
      <c r="F16370" s="5" t="str">
        <f>"Descripcion: COPA EN ACERO INOX. Estado: Bueno Placa anterior: 000017389 Material: ACERO INOXIDABLE Color: PLATEADO Referencia:  Observacion:  Placa padre: Tipo adquisicion: Entidad"</f>
        <v>Descripcion: COPA EN ACERO INOX. Estado: Bueno Placa anterior: 000017389 Material: ACERO INOXIDABLE Color: PLATEADO Referencia:  Observacion:  Placa padre: Tipo adquisicion: Entidad</v>
      </c>
      <c r="G16370" s="5"/>
    </row>
    <row r="16371" spans="1:7" ht="58.5" customHeight="1" x14ac:dyDescent="0.25">
      <c r="A16371" s="5" t="str">
        <f>"H0015142"</f>
        <v>H0015142</v>
      </c>
      <c r="B16371" s="5" t="str">
        <f t="shared" si="842"/>
        <v>COPA EN ACERO INOXIDABLE</v>
      </c>
      <c r="C16371" s="6">
        <v>3266.1</v>
      </c>
      <c r="D16371" s="5"/>
      <c r="E16371" s="5" t="str">
        <f t="shared" si="840"/>
        <v>SANDRA MILENA BUITRAGO ROJAS-ELEMENTOS PARA DAR DE BAJA</v>
      </c>
      <c r="F16371" s="5" t="str">
        <f>"Descripcion: COPA EN ACERO INOX. Estado: Bueno Placa anterior: 000017352 Material: ACERO INOXIDABLE Color: PLATEADO Referencia:  Observacion:  Placa padre: Tipo adquisicion: Entidad"</f>
        <v>Descripcion: COPA EN ACERO INOX. Estado: Bueno Placa anterior: 000017352 Material: ACERO INOXIDABLE Color: PLATEADO Referencia:  Observacion:  Placa padre: Tipo adquisicion: Entidad</v>
      </c>
      <c r="G16371" s="5"/>
    </row>
    <row r="16372" spans="1:7" ht="58.5" customHeight="1" x14ac:dyDescent="0.25">
      <c r="A16372" s="5" t="str">
        <f>"H0015143"</f>
        <v>H0015143</v>
      </c>
      <c r="B16372" s="5" t="str">
        <f t="shared" si="842"/>
        <v>COPA EN ACERO INOXIDABLE</v>
      </c>
      <c r="C16372" s="6">
        <v>3266.1</v>
      </c>
      <c r="D16372" s="5"/>
      <c r="E16372" s="5" t="str">
        <f t="shared" si="840"/>
        <v>SANDRA MILENA BUITRAGO ROJAS-ELEMENTOS PARA DAR DE BAJA</v>
      </c>
      <c r="F16372" s="5" t="str">
        <f>"Descripcion: COPA EN ACERO INOX. Estado: Bueno Placa anterior: 000017391 Material: ACERO INOXIDABLE Color: PLATEADO Referencia:  Observacion:  Placa padre: Tipo adquisicion: Entidad"</f>
        <v>Descripcion: COPA EN ACERO INOX. Estado: Bueno Placa anterior: 000017391 Material: ACERO INOXIDABLE Color: PLATEADO Referencia:  Observacion:  Placa padre: Tipo adquisicion: Entidad</v>
      </c>
      <c r="G16372" s="5"/>
    </row>
    <row r="16373" spans="1:7" ht="58.5" customHeight="1" x14ac:dyDescent="0.25">
      <c r="A16373" s="5" t="str">
        <f>"H0015144"</f>
        <v>H0015144</v>
      </c>
      <c r="B16373" s="5" t="str">
        <f t="shared" si="842"/>
        <v>COPA EN ACERO INOXIDABLE</v>
      </c>
      <c r="C16373" s="6">
        <v>3266.1</v>
      </c>
      <c r="D16373" s="5"/>
      <c r="E16373" s="5" t="str">
        <f t="shared" si="840"/>
        <v>SANDRA MILENA BUITRAGO ROJAS-ELEMENTOS PARA DAR DE BAJA</v>
      </c>
      <c r="F16373" s="5" t="str">
        <f>"Descripcion: COPA EN ACERO INOX. Estado: Bueno Placa anterior: 000017392 Material: ACERO INOXIDABLE Color: PLATEADO Referencia:  Observacion:  Placa padre: Tipo adquisicion: Entidad"</f>
        <v>Descripcion: COPA EN ACERO INOX. Estado: Bueno Placa anterior: 000017392 Material: ACERO INOXIDABLE Color: PLATEADO Referencia:  Observacion:  Placa padre: Tipo adquisicion: Entidad</v>
      </c>
      <c r="G16373" s="5"/>
    </row>
    <row r="16374" spans="1:7" ht="58.5" customHeight="1" x14ac:dyDescent="0.25">
      <c r="A16374" s="5" t="str">
        <f>"H0015145"</f>
        <v>H0015145</v>
      </c>
      <c r="B16374" s="5" t="str">
        <f t="shared" si="842"/>
        <v>COPA EN ACERO INOXIDABLE</v>
      </c>
      <c r="C16374" s="6">
        <v>3266.1</v>
      </c>
      <c r="D16374" s="5"/>
      <c r="E16374" s="5" t="str">
        <f t="shared" si="840"/>
        <v>SANDRA MILENA BUITRAGO ROJAS-ELEMENTOS PARA DAR DE BAJA</v>
      </c>
      <c r="F16374" s="5" t="str">
        <f>"Descripcion: COPA EN ACERO INOX. Estado: Bueno Placa anterior: 000017393 Material: ACERO INOXIDABLE Color: PLATEADO Referencia:  Observacion:  Placa padre: Tipo adquisicion: Entidad"</f>
        <v>Descripcion: COPA EN ACERO INOX. Estado: Bueno Placa anterior: 000017393 Material: ACERO INOXIDABLE Color: PLATEADO Referencia:  Observacion:  Placa padre: Tipo adquisicion: Entidad</v>
      </c>
      <c r="G16374" s="5"/>
    </row>
    <row r="16375" spans="1:7" ht="58.5" customHeight="1" x14ac:dyDescent="0.25">
      <c r="A16375" s="5" t="str">
        <f>"H0015146"</f>
        <v>H0015146</v>
      </c>
      <c r="B16375" s="5" t="str">
        <f t="shared" si="842"/>
        <v>COPA EN ACERO INOXIDABLE</v>
      </c>
      <c r="C16375" s="6">
        <v>3266.1</v>
      </c>
      <c r="D16375" s="5"/>
      <c r="E16375" s="5" t="str">
        <f t="shared" si="840"/>
        <v>SANDRA MILENA BUITRAGO ROJAS-ELEMENTOS PARA DAR DE BAJA</v>
      </c>
      <c r="F16375" s="5" t="str">
        <f>"Descripcion: COPA EN ACERO INOX. Estado: Bueno Placa anterior: 000017394 Material: ACERO INOXIDABLE Color: PLATEADO Referencia:  Observacion:  Placa padre: Tipo adquisicion: Entidad"</f>
        <v>Descripcion: COPA EN ACERO INOX. Estado: Bueno Placa anterior: 000017394 Material: ACERO INOXIDABLE Color: PLATEADO Referencia:  Observacion:  Placa padre: Tipo adquisicion: Entidad</v>
      </c>
      <c r="G16375" s="5"/>
    </row>
    <row r="16376" spans="1:7" ht="58.5" customHeight="1" x14ac:dyDescent="0.25">
      <c r="A16376" s="5" t="str">
        <f>"H0015147"</f>
        <v>H0015147</v>
      </c>
      <c r="B16376" s="5" t="str">
        <f t="shared" si="842"/>
        <v>COPA EN ACERO INOXIDABLE</v>
      </c>
      <c r="C16376" s="6">
        <v>3266.1</v>
      </c>
      <c r="D16376" s="5"/>
      <c r="E16376" s="5" t="str">
        <f t="shared" si="840"/>
        <v>SANDRA MILENA BUITRAGO ROJAS-ELEMENTOS PARA DAR DE BAJA</v>
      </c>
      <c r="F16376" s="5" t="str">
        <f>"Descripcion: COPA EN ACERO INOX. Estado: Bueno Placa anterior: 000017395 Material: ACERO INOXIDABLE Color: PLATEADO Referencia:  Observacion:  Placa padre: Tipo adquisicion: Entidad"</f>
        <v>Descripcion: COPA EN ACERO INOX. Estado: Bueno Placa anterior: 000017395 Material: ACERO INOXIDABLE Color: PLATEADO Referencia:  Observacion:  Placa padre: Tipo adquisicion: Entidad</v>
      </c>
      <c r="G16376" s="5"/>
    </row>
    <row r="16377" spans="1:7" ht="58.5" customHeight="1" x14ac:dyDescent="0.25">
      <c r="A16377" s="5" t="str">
        <f>"H0015148"</f>
        <v>H0015148</v>
      </c>
      <c r="B16377" s="5" t="str">
        <f t="shared" si="842"/>
        <v>COPA EN ACERO INOXIDABLE</v>
      </c>
      <c r="C16377" s="6">
        <v>3266.1</v>
      </c>
      <c r="D16377" s="5"/>
      <c r="E16377" s="5" t="str">
        <f t="shared" si="840"/>
        <v>SANDRA MILENA BUITRAGO ROJAS-ELEMENTOS PARA DAR DE BAJA</v>
      </c>
      <c r="F16377" s="5" t="str">
        <f>"Descripcion: COPA EN ACERO INOX. Estado: Bueno Placa anterior: 000017396 Material: ACERO INOXIDABLE Color: PLATEADO Referencia:  Observacion:  Placa padre: Tipo adquisicion: Entidad"</f>
        <v>Descripcion: COPA EN ACERO INOX. Estado: Bueno Placa anterior: 000017396 Material: ACERO INOXIDABLE Color: PLATEADO Referencia:  Observacion:  Placa padre: Tipo adquisicion: Entidad</v>
      </c>
      <c r="G16377" s="5"/>
    </row>
    <row r="16378" spans="1:7" ht="58.5" customHeight="1" x14ac:dyDescent="0.25">
      <c r="A16378" s="5" t="str">
        <f>"H0015149"</f>
        <v>H0015149</v>
      </c>
      <c r="B16378" s="5" t="str">
        <f t="shared" si="842"/>
        <v>COPA EN ACERO INOXIDABLE</v>
      </c>
      <c r="C16378" s="6">
        <v>3266.1</v>
      </c>
      <c r="D16378" s="5"/>
      <c r="E16378" s="5" t="str">
        <f t="shared" si="840"/>
        <v>SANDRA MILENA BUITRAGO ROJAS-ELEMENTOS PARA DAR DE BAJA</v>
      </c>
      <c r="F16378" s="5" t="str">
        <f>"Descripcion: COPA EN ACERO INOX. Estado: Bueno Placa anterior: 000017397 Material: ACERO INOXIDABLE Color: PLATEADO Referencia:  Observacion:  Placa padre: Tipo adquisicion: Entidad"</f>
        <v>Descripcion: COPA EN ACERO INOX. Estado: Bueno Placa anterior: 000017397 Material: ACERO INOXIDABLE Color: PLATEADO Referencia:  Observacion:  Placa padre: Tipo adquisicion: Entidad</v>
      </c>
      <c r="G16378" s="5"/>
    </row>
    <row r="16379" spans="1:7" ht="58.5" customHeight="1" x14ac:dyDescent="0.25">
      <c r="A16379" s="5" t="str">
        <f>"H0015150"</f>
        <v>H0015150</v>
      </c>
      <c r="B16379" s="5" t="str">
        <f t="shared" si="842"/>
        <v>COPA EN ACERO INOXIDABLE</v>
      </c>
      <c r="C16379" s="6">
        <v>3266.1</v>
      </c>
      <c r="D16379" s="5"/>
      <c r="E16379" s="5" t="str">
        <f t="shared" si="840"/>
        <v>SANDRA MILENA BUITRAGO ROJAS-ELEMENTOS PARA DAR DE BAJA</v>
      </c>
      <c r="F16379" s="5" t="str">
        <f>"Descripcion: COPA EN ACERO INOX. Estado: Bueno Placa anterior: 000017398 Material: ACERO INOXIDABLE Color: PLATEADO Referencia:  Observacion:  Placa padre: Tipo adquisicion: Entidad"</f>
        <v>Descripcion: COPA EN ACERO INOX. Estado: Bueno Placa anterior: 000017398 Material: ACERO INOXIDABLE Color: PLATEADO Referencia:  Observacion:  Placa padre: Tipo adquisicion: Entidad</v>
      </c>
      <c r="G16379" s="5"/>
    </row>
    <row r="16380" spans="1:7" ht="58.5" customHeight="1" x14ac:dyDescent="0.25">
      <c r="A16380" s="5" t="str">
        <f>"H0015151"</f>
        <v>H0015151</v>
      </c>
      <c r="B16380" s="5" t="str">
        <f t="shared" si="842"/>
        <v>COPA EN ACERO INOXIDABLE</v>
      </c>
      <c r="C16380" s="6">
        <v>3266.1</v>
      </c>
      <c r="D16380" s="5"/>
      <c r="E16380" s="5" t="str">
        <f t="shared" si="840"/>
        <v>SANDRA MILENA BUITRAGO ROJAS-ELEMENTOS PARA DAR DE BAJA</v>
      </c>
      <c r="F16380" s="5" t="str">
        <f>"Descripcion: COPA EN ACERO INOX. Estado: Bueno Placa anterior: 000017399 Material: ACERO INOXIDABLE Color: PLATEADO Referencia:  Observacion:  Placa padre: Tipo adquisicion: Entidad"</f>
        <v>Descripcion: COPA EN ACERO INOX. Estado: Bueno Placa anterior: 000017399 Material: ACERO INOXIDABLE Color: PLATEADO Referencia:  Observacion:  Placa padre: Tipo adquisicion: Entidad</v>
      </c>
      <c r="G16380" s="5"/>
    </row>
    <row r="16381" spans="1:7" ht="58.5" customHeight="1" x14ac:dyDescent="0.25">
      <c r="A16381" s="5" t="str">
        <f>"H0015152"</f>
        <v>H0015152</v>
      </c>
      <c r="B16381" s="5" t="str">
        <f t="shared" si="842"/>
        <v>COPA EN ACERO INOXIDABLE</v>
      </c>
      <c r="C16381" s="6">
        <v>3266.1</v>
      </c>
      <c r="D16381" s="5"/>
      <c r="E16381" s="5" t="str">
        <f t="shared" si="840"/>
        <v>SANDRA MILENA BUITRAGO ROJAS-ELEMENTOS PARA DAR DE BAJA</v>
      </c>
      <c r="F16381" s="5" t="str">
        <f>"Descripcion: COPA EN ACERO INOX. Estado: Bueno Placa anterior: 000017400 Material: ACERO INOXIDABLE Color: PLATEADO Referencia:  Observacion:  Placa padre: Tipo adquisicion: Entidad"</f>
        <v>Descripcion: COPA EN ACERO INOX. Estado: Bueno Placa anterior: 000017400 Material: ACERO INOXIDABLE Color: PLATEADO Referencia:  Observacion:  Placa padre: Tipo adquisicion: Entidad</v>
      </c>
      <c r="G16381" s="5"/>
    </row>
    <row r="16382" spans="1:7" ht="58.5" customHeight="1" x14ac:dyDescent="0.25">
      <c r="A16382" s="5" t="str">
        <f>"H0015153"</f>
        <v>H0015153</v>
      </c>
      <c r="B16382" s="5" t="str">
        <f t="shared" si="842"/>
        <v>COPA EN ACERO INOXIDABLE</v>
      </c>
      <c r="C16382" s="6">
        <v>3266.1</v>
      </c>
      <c r="D16382" s="5"/>
      <c r="E16382" s="5" t="str">
        <f t="shared" ref="E16382:E16445" si="843">"SANDRA MILENA BUITRAGO ROJAS-ELEMENTOS PARA DAR DE BAJA"</f>
        <v>SANDRA MILENA BUITRAGO ROJAS-ELEMENTOS PARA DAR DE BAJA</v>
      </c>
      <c r="F16382" s="5" t="str">
        <f>"Descripcion: COPA EN ACERO INOX. Estado: Bueno Placa anterior: 000017401 Material: ACERO INOXIDABLE Color: PLATEADO Referencia:  Observacion:  Placa padre: Tipo adquisicion: Entidad"</f>
        <v>Descripcion: COPA EN ACERO INOX. Estado: Bueno Placa anterior: 000017401 Material: ACERO INOXIDABLE Color: PLATEADO Referencia:  Observacion:  Placa padre: Tipo adquisicion: Entidad</v>
      </c>
      <c r="G16382" s="5"/>
    </row>
    <row r="16383" spans="1:7" ht="58.5" customHeight="1" x14ac:dyDescent="0.25">
      <c r="A16383" s="5" t="str">
        <f>"H0015154"</f>
        <v>H0015154</v>
      </c>
      <c r="B16383" s="5" t="str">
        <f t="shared" si="842"/>
        <v>COPA EN ACERO INOXIDABLE</v>
      </c>
      <c r="C16383" s="6">
        <v>3266.1</v>
      </c>
      <c r="D16383" s="5"/>
      <c r="E16383" s="5" t="str">
        <f t="shared" si="843"/>
        <v>SANDRA MILENA BUITRAGO ROJAS-ELEMENTOS PARA DAR DE BAJA</v>
      </c>
      <c r="F16383" s="5" t="str">
        <f>"Descripcion: COPA EN ACERO INOX. Estado: Bueno Placa anterior: 000017402 Material: ACERO INOXIDABLE Color: PLATEADO Referencia:  Observacion:  Placa padre: Tipo adquisicion: Entidad"</f>
        <v>Descripcion: COPA EN ACERO INOX. Estado: Bueno Placa anterior: 000017402 Material: ACERO INOXIDABLE Color: PLATEADO Referencia:  Observacion:  Placa padre: Tipo adquisicion: Entidad</v>
      </c>
      <c r="G16383" s="5"/>
    </row>
    <row r="16384" spans="1:7" ht="58.5" customHeight="1" x14ac:dyDescent="0.25">
      <c r="A16384" s="5" t="str">
        <f>"H0015155"</f>
        <v>H0015155</v>
      </c>
      <c r="B16384" s="5" t="str">
        <f t="shared" si="842"/>
        <v>COPA EN ACERO INOXIDABLE</v>
      </c>
      <c r="C16384" s="6">
        <v>3266.1</v>
      </c>
      <c r="D16384" s="5"/>
      <c r="E16384" s="5" t="str">
        <f t="shared" si="843"/>
        <v>SANDRA MILENA BUITRAGO ROJAS-ELEMENTOS PARA DAR DE BAJA</v>
      </c>
      <c r="F16384" s="5" t="str">
        <f>"Descripcion: COPA EN ACERO INOX. Estado: Bueno Placa anterior: 000017403 Material: ACERO INOXIDABLE Color: PLATEADO Referencia:  Observacion:  Placa padre: Tipo adquisicion: Entidad"</f>
        <v>Descripcion: COPA EN ACERO INOX. Estado: Bueno Placa anterior: 000017403 Material: ACERO INOXIDABLE Color: PLATEADO Referencia:  Observacion:  Placa padre: Tipo adquisicion: Entidad</v>
      </c>
      <c r="G16384" s="5"/>
    </row>
    <row r="16385" spans="1:7" ht="58.5" customHeight="1" x14ac:dyDescent="0.25">
      <c r="A16385" s="5" t="str">
        <f>"H0015156"</f>
        <v>H0015156</v>
      </c>
      <c r="B16385" s="5" t="str">
        <f t="shared" si="842"/>
        <v>COPA EN ACERO INOXIDABLE</v>
      </c>
      <c r="C16385" s="6">
        <v>3266.1</v>
      </c>
      <c r="D16385" s="5"/>
      <c r="E16385" s="5" t="str">
        <f t="shared" si="843"/>
        <v>SANDRA MILENA BUITRAGO ROJAS-ELEMENTOS PARA DAR DE BAJA</v>
      </c>
      <c r="F16385" s="5" t="str">
        <f>"Descripcion: COPA EN ACERO INOX. Estado: Bueno Placa anterior: 000017404 Material: ACERO INOXIDABLE Color: PLATEADO Referencia:  Observacion:  Placa padre: Tipo adquisicion: Entidad"</f>
        <v>Descripcion: COPA EN ACERO INOX. Estado: Bueno Placa anterior: 000017404 Material: ACERO INOXIDABLE Color: PLATEADO Referencia:  Observacion:  Placa padre: Tipo adquisicion: Entidad</v>
      </c>
      <c r="G16385" s="5"/>
    </row>
    <row r="16386" spans="1:7" ht="58.5" customHeight="1" x14ac:dyDescent="0.25">
      <c r="A16386" s="5" t="str">
        <f>"H0015157"</f>
        <v>H0015157</v>
      </c>
      <c r="B16386" s="5" t="str">
        <f t="shared" si="842"/>
        <v>COPA EN ACERO INOXIDABLE</v>
      </c>
      <c r="C16386" s="6">
        <v>3266.1</v>
      </c>
      <c r="D16386" s="5"/>
      <c r="E16386" s="5" t="str">
        <f t="shared" si="843"/>
        <v>SANDRA MILENA BUITRAGO ROJAS-ELEMENTOS PARA DAR DE BAJA</v>
      </c>
      <c r="F16386" s="5" t="str">
        <f>"Descripcion: COPA EN ACERO INOX. Estado: Bueno Placa anterior: 000017405 Material: ACERO INOXIDABLE Color: PLATEADO Referencia:  Observacion:  Placa padre: Tipo adquisicion: Entidad"</f>
        <v>Descripcion: COPA EN ACERO INOX. Estado: Bueno Placa anterior: 000017405 Material: ACERO INOXIDABLE Color: PLATEADO Referencia:  Observacion:  Placa padre: Tipo adquisicion: Entidad</v>
      </c>
      <c r="G16386" s="5"/>
    </row>
    <row r="16387" spans="1:7" ht="58.5" customHeight="1" x14ac:dyDescent="0.25">
      <c r="A16387" s="5" t="str">
        <f>"H0015158"</f>
        <v>H0015158</v>
      </c>
      <c r="B16387" s="5" t="str">
        <f t="shared" si="842"/>
        <v>COPA EN ACERO INOXIDABLE</v>
      </c>
      <c r="C16387" s="6">
        <v>3266.1</v>
      </c>
      <c r="D16387" s="5"/>
      <c r="E16387" s="5" t="str">
        <f t="shared" si="843"/>
        <v>SANDRA MILENA BUITRAGO ROJAS-ELEMENTOS PARA DAR DE BAJA</v>
      </c>
      <c r="F16387" s="5" t="str">
        <f>"Descripcion: COPA EN ACERO INOX. Estado: Bueno Placa anterior: 000017406 Material: ACERO INOXIDABLE Color: PLATEADO Referencia:  Observacion:  Placa padre: Tipo adquisicion: Entidad"</f>
        <v>Descripcion: COPA EN ACERO INOX. Estado: Bueno Placa anterior: 000017406 Material: ACERO INOXIDABLE Color: PLATEADO Referencia:  Observacion:  Placa padre: Tipo adquisicion: Entidad</v>
      </c>
      <c r="G16387" s="5"/>
    </row>
    <row r="16388" spans="1:7" ht="58.5" customHeight="1" x14ac:dyDescent="0.25">
      <c r="A16388" s="5" t="str">
        <f>"H0015159"</f>
        <v>H0015159</v>
      </c>
      <c r="B16388" s="5" t="str">
        <f t="shared" si="842"/>
        <v>COPA EN ACERO INOXIDABLE</v>
      </c>
      <c r="C16388" s="6">
        <v>3266.1</v>
      </c>
      <c r="D16388" s="5"/>
      <c r="E16388" s="5" t="str">
        <f t="shared" si="843"/>
        <v>SANDRA MILENA BUITRAGO ROJAS-ELEMENTOS PARA DAR DE BAJA</v>
      </c>
      <c r="F16388" s="5" t="str">
        <f>"Descripcion: COPA EN ACERO INOX. Estado: Bueno Placa anterior: 000017407 Material: ACERO INOXIDABLE Color: PLATEADO Referencia:  Observacion:  Placa padre: Tipo adquisicion: Entidad"</f>
        <v>Descripcion: COPA EN ACERO INOX. Estado: Bueno Placa anterior: 000017407 Material: ACERO INOXIDABLE Color: PLATEADO Referencia:  Observacion:  Placa padre: Tipo adquisicion: Entidad</v>
      </c>
      <c r="G16388" s="5"/>
    </row>
    <row r="16389" spans="1:7" ht="58.5" customHeight="1" x14ac:dyDescent="0.25">
      <c r="A16389" s="5" t="str">
        <f>"H0015160"</f>
        <v>H0015160</v>
      </c>
      <c r="B16389" s="5" t="str">
        <f t="shared" si="842"/>
        <v>COPA EN ACERO INOXIDABLE</v>
      </c>
      <c r="C16389" s="6">
        <v>3266.1</v>
      </c>
      <c r="D16389" s="5"/>
      <c r="E16389" s="5" t="str">
        <f t="shared" si="843"/>
        <v>SANDRA MILENA BUITRAGO ROJAS-ELEMENTOS PARA DAR DE BAJA</v>
      </c>
      <c r="F16389" s="5" t="str">
        <f>"Descripcion: COPA EN ACERO INOX. Estado: Bueno Placa anterior: 000017408 Material: ACERO INOXIDABLE Color: PLATEADO Referencia:  Observacion:  Placa padre: Tipo adquisicion: Entidad"</f>
        <v>Descripcion: COPA EN ACERO INOX. Estado: Bueno Placa anterior: 000017408 Material: ACERO INOXIDABLE Color: PLATEADO Referencia:  Observacion:  Placa padre: Tipo adquisicion: Entidad</v>
      </c>
      <c r="G16389" s="5"/>
    </row>
    <row r="16390" spans="1:7" ht="58.5" customHeight="1" x14ac:dyDescent="0.25">
      <c r="A16390" s="5" t="str">
        <f>"H0015161"</f>
        <v>H0015161</v>
      </c>
      <c r="B16390" s="5" t="str">
        <f t="shared" si="842"/>
        <v>COPA EN ACERO INOXIDABLE</v>
      </c>
      <c r="C16390" s="6">
        <v>3266.1</v>
      </c>
      <c r="D16390" s="5"/>
      <c r="E16390" s="5" t="str">
        <f t="shared" si="843"/>
        <v>SANDRA MILENA BUITRAGO ROJAS-ELEMENTOS PARA DAR DE BAJA</v>
      </c>
      <c r="F16390" s="5" t="str">
        <f>"Descripcion: COPA EN ACERO INOX. Estado: Bueno Placa anterior: 000017409 Material: ACERO INOXIDABLE Color: PLATEADO Referencia:  Observacion:  Placa padre: Tipo adquisicion: Entidad"</f>
        <v>Descripcion: COPA EN ACERO INOX. Estado: Bueno Placa anterior: 000017409 Material: ACERO INOXIDABLE Color: PLATEADO Referencia:  Observacion:  Placa padre: Tipo adquisicion: Entidad</v>
      </c>
      <c r="G16390" s="5"/>
    </row>
    <row r="16391" spans="1:7" ht="58.5" customHeight="1" x14ac:dyDescent="0.25">
      <c r="A16391" s="5" t="str">
        <f>"H0015162"</f>
        <v>H0015162</v>
      </c>
      <c r="B16391" s="5" t="str">
        <f t="shared" si="842"/>
        <v>COPA EN ACERO INOXIDABLE</v>
      </c>
      <c r="C16391" s="6">
        <v>3266.1</v>
      </c>
      <c r="D16391" s="5"/>
      <c r="E16391" s="5" t="str">
        <f t="shared" si="843"/>
        <v>SANDRA MILENA BUITRAGO ROJAS-ELEMENTOS PARA DAR DE BAJA</v>
      </c>
      <c r="F16391" s="5" t="str">
        <f>"Descripcion: COPA EN ACERO INOX. Estado: Bueno Placa anterior: 000017410 Material: ACERO INOXIDABLE Color: PLATEADO Referencia:  Observacion:  Placa padre: Tipo adquisicion: Entidad"</f>
        <v>Descripcion: COPA EN ACERO INOX. Estado: Bueno Placa anterior: 000017410 Material: ACERO INOXIDABLE Color: PLATEADO Referencia:  Observacion:  Placa padre: Tipo adquisicion: Entidad</v>
      </c>
      <c r="G16391" s="5"/>
    </row>
    <row r="16392" spans="1:7" ht="58.5" customHeight="1" x14ac:dyDescent="0.25">
      <c r="A16392" s="5" t="str">
        <f>"H0015163"</f>
        <v>H0015163</v>
      </c>
      <c r="B16392" s="5" t="str">
        <f t="shared" si="842"/>
        <v>COPA EN ACERO INOXIDABLE</v>
      </c>
      <c r="C16392" s="6">
        <v>3266.1</v>
      </c>
      <c r="D16392" s="5"/>
      <c r="E16392" s="5" t="str">
        <f t="shared" si="843"/>
        <v>SANDRA MILENA BUITRAGO ROJAS-ELEMENTOS PARA DAR DE BAJA</v>
      </c>
      <c r="F16392" s="5" t="str">
        <f>"Descripcion: COPA EN ACERO INOX. Estado: Bueno Placa anterior: 000017411 Material: ACERO INOXIDABLE Color: PLATEADO Referencia:  Observacion:  Placa padre: Tipo adquisicion: Entidad"</f>
        <v>Descripcion: COPA EN ACERO INOX. Estado: Bueno Placa anterior: 000017411 Material: ACERO INOXIDABLE Color: PLATEADO Referencia:  Observacion:  Placa padre: Tipo adquisicion: Entidad</v>
      </c>
      <c r="G16392" s="5"/>
    </row>
    <row r="16393" spans="1:7" ht="58.5" customHeight="1" x14ac:dyDescent="0.25">
      <c r="A16393" s="5" t="str">
        <f>"H0015164"</f>
        <v>H0015164</v>
      </c>
      <c r="B16393" s="5" t="str">
        <f t="shared" si="842"/>
        <v>COPA EN ACERO INOXIDABLE</v>
      </c>
      <c r="C16393" s="6">
        <v>3266.1</v>
      </c>
      <c r="D16393" s="5"/>
      <c r="E16393" s="5" t="str">
        <f t="shared" si="843"/>
        <v>SANDRA MILENA BUITRAGO ROJAS-ELEMENTOS PARA DAR DE BAJA</v>
      </c>
      <c r="F16393" s="5" t="str">
        <f>"Descripcion: COPA EN ACERO INOX. Estado: Bueno Placa anterior: 000017412 Material: ACERO INOXIDABLE Color: PLATEADO Referencia:  Observacion:  Placa padre: Tipo adquisicion: Entidad"</f>
        <v>Descripcion: COPA EN ACERO INOX. Estado: Bueno Placa anterior: 000017412 Material: ACERO INOXIDABLE Color: PLATEADO Referencia:  Observacion:  Placa padre: Tipo adquisicion: Entidad</v>
      </c>
      <c r="G16393" s="5"/>
    </row>
    <row r="16394" spans="1:7" ht="58.5" customHeight="1" x14ac:dyDescent="0.25">
      <c r="A16394" s="5" t="str">
        <f>"H0015165"</f>
        <v>H0015165</v>
      </c>
      <c r="B16394" s="5" t="str">
        <f t="shared" si="842"/>
        <v>COPA EN ACERO INOXIDABLE</v>
      </c>
      <c r="C16394" s="6">
        <v>3266.1</v>
      </c>
      <c r="D16394" s="5"/>
      <c r="E16394" s="5" t="str">
        <f t="shared" si="843"/>
        <v>SANDRA MILENA BUITRAGO ROJAS-ELEMENTOS PARA DAR DE BAJA</v>
      </c>
      <c r="F16394" s="5" t="str">
        <f>"Descripcion: COPA EN ACERO INOX. Estado: Bueno Placa anterior: 000017413 Material: ACERO INOXIDABLE Color: PLATEADO Referencia:  Observacion:  Placa padre: Tipo adquisicion: Entidad"</f>
        <v>Descripcion: COPA EN ACERO INOX. Estado: Bueno Placa anterior: 000017413 Material: ACERO INOXIDABLE Color: PLATEADO Referencia:  Observacion:  Placa padre: Tipo adquisicion: Entidad</v>
      </c>
      <c r="G16394" s="5"/>
    </row>
    <row r="16395" spans="1:7" ht="58.5" customHeight="1" x14ac:dyDescent="0.25">
      <c r="A16395" s="5" t="str">
        <f>"H0015166"</f>
        <v>H0015166</v>
      </c>
      <c r="B16395" s="5" t="str">
        <f t="shared" ref="B16395:B16429" si="844">"COPA EN ACERO INOXIDABLE"</f>
        <v>COPA EN ACERO INOXIDABLE</v>
      </c>
      <c r="C16395" s="6">
        <v>3266.1</v>
      </c>
      <c r="D16395" s="5"/>
      <c r="E16395" s="5" t="str">
        <f t="shared" si="843"/>
        <v>SANDRA MILENA BUITRAGO ROJAS-ELEMENTOS PARA DAR DE BAJA</v>
      </c>
      <c r="F16395" s="5" t="str">
        <f>"Descripcion: COPA EN ACERO INOX. Estado: Bueno Placa anterior: 000017414 Material: ACERO INOXIDABLE Color: PLATEADO Referencia:  Observacion:  Placa padre: Tipo adquisicion: Entidad"</f>
        <v>Descripcion: COPA EN ACERO INOX. Estado: Bueno Placa anterior: 000017414 Material: ACERO INOXIDABLE Color: PLATEADO Referencia:  Observacion:  Placa padre: Tipo adquisicion: Entidad</v>
      </c>
      <c r="G16395" s="5"/>
    </row>
    <row r="16396" spans="1:7" ht="58.5" customHeight="1" x14ac:dyDescent="0.25">
      <c r="A16396" s="5" t="str">
        <f>"H0015167"</f>
        <v>H0015167</v>
      </c>
      <c r="B16396" s="5" t="str">
        <f t="shared" si="844"/>
        <v>COPA EN ACERO INOXIDABLE</v>
      </c>
      <c r="C16396" s="6">
        <v>3266.1</v>
      </c>
      <c r="D16396" s="5"/>
      <c r="E16396" s="5" t="str">
        <f t="shared" si="843"/>
        <v>SANDRA MILENA BUITRAGO ROJAS-ELEMENTOS PARA DAR DE BAJA</v>
      </c>
      <c r="F16396" s="5" t="str">
        <f>"Descripcion: COPA EN ACERO INOX. Estado: Bueno Placa anterior: 000017415 Material: ACERO INOXIDABLE Color: PLATEADO Referencia:  Observacion:  Placa padre: Tipo adquisicion: Entidad"</f>
        <v>Descripcion: COPA EN ACERO INOX. Estado: Bueno Placa anterior: 000017415 Material: ACERO INOXIDABLE Color: PLATEADO Referencia:  Observacion:  Placa padre: Tipo adquisicion: Entidad</v>
      </c>
      <c r="G16396" s="5"/>
    </row>
    <row r="16397" spans="1:7" ht="58.5" customHeight="1" x14ac:dyDescent="0.25">
      <c r="A16397" s="5" t="str">
        <f>"H0015168"</f>
        <v>H0015168</v>
      </c>
      <c r="B16397" s="5" t="str">
        <f t="shared" si="844"/>
        <v>COPA EN ACERO INOXIDABLE</v>
      </c>
      <c r="C16397" s="6">
        <v>3266.1</v>
      </c>
      <c r="D16397" s="5"/>
      <c r="E16397" s="5" t="str">
        <f t="shared" si="843"/>
        <v>SANDRA MILENA BUITRAGO ROJAS-ELEMENTOS PARA DAR DE BAJA</v>
      </c>
      <c r="F16397" s="5" t="str">
        <f>"Descripcion: COPA EN ACERO INOX. Estado: Bueno Placa anterior: 000017416 Material: ACERO INOXIDABLE Color: PLATEADO Referencia:  Observacion:  Placa padre: Tipo adquisicion: Entidad"</f>
        <v>Descripcion: COPA EN ACERO INOX. Estado: Bueno Placa anterior: 000017416 Material: ACERO INOXIDABLE Color: PLATEADO Referencia:  Observacion:  Placa padre: Tipo adquisicion: Entidad</v>
      </c>
      <c r="G16397" s="5"/>
    </row>
    <row r="16398" spans="1:7" ht="58.5" customHeight="1" x14ac:dyDescent="0.25">
      <c r="A16398" s="5" t="str">
        <f>"H0015169"</f>
        <v>H0015169</v>
      </c>
      <c r="B16398" s="5" t="str">
        <f t="shared" si="844"/>
        <v>COPA EN ACERO INOXIDABLE</v>
      </c>
      <c r="C16398" s="6">
        <v>3266.1</v>
      </c>
      <c r="D16398" s="5"/>
      <c r="E16398" s="5" t="str">
        <f t="shared" si="843"/>
        <v>SANDRA MILENA BUITRAGO ROJAS-ELEMENTOS PARA DAR DE BAJA</v>
      </c>
      <c r="F16398" s="5" t="str">
        <f>"Descripcion: COPA EN ACERO INOX. Estado: Bueno Placa anterior: 000017417 Material: ACERO INOXIDABLE Color: PLATEADO Referencia:  Observacion:  Placa padre: Tipo adquisicion: Entidad"</f>
        <v>Descripcion: COPA EN ACERO INOX. Estado: Bueno Placa anterior: 000017417 Material: ACERO INOXIDABLE Color: PLATEADO Referencia:  Observacion:  Placa padre: Tipo adquisicion: Entidad</v>
      </c>
      <c r="G16398" s="5"/>
    </row>
    <row r="16399" spans="1:7" ht="58.5" customHeight="1" x14ac:dyDescent="0.25">
      <c r="A16399" s="5" t="str">
        <f>"H0015170"</f>
        <v>H0015170</v>
      </c>
      <c r="B16399" s="5" t="str">
        <f t="shared" si="844"/>
        <v>COPA EN ACERO INOXIDABLE</v>
      </c>
      <c r="C16399" s="6">
        <v>3266.1</v>
      </c>
      <c r="D16399" s="5"/>
      <c r="E16399" s="5" t="str">
        <f t="shared" si="843"/>
        <v>SANDRA MILENA BUITRAGO ROJAS-ELEMENTOS PARA DAR DE BAJA</v>
      </c>
      <c r="F16399" s="5" t="str">
        <f>"Descripcion: COPA EN ACERO INOX. Estado: Bueno Placa anterior: 000017418 Material: ACERO INOXIDABLE Color: PLATEADO Referencia:  Observacion:  Placa padre: Tipo adquisicion: Entidad"</f>
        <v>Descripcion: COPA EN ACERO INOX. Estado: Bueno Placa anterior: 000017418 Material: ACERO INOXIDABLE Color: PLATEADO Referencia:  Observacion:  Placa padre: Tipo adquisicion: Entidad</v>
      </c>
      <c r="G16399" s="5"/>
    </row>
    <row r="16400" spans="1:7" ht="58.5" customHeight="1" x14ac:dyDescent="0.25">
      <c r="A16400" s="5" t="str">
        <f>"H0015171"</f>
        <v>H0015171</v>
      </c>
      <c r="B16400" s="5" t="str">
        <f t="shared" si="844"/>
        <v>COPA EN ACERO INOXIDABLE</v>
      </c>
      <c r="C16400" s="6">
        <v>3266.1</v>
      </c>
      <c r="D16400" s="5"/>
      <c r="E16400" s="5" t="str">
        <f t="shared" si="843"/>
        <v>SANDRA MILENA BUITRAGO ROJAS-ELEMENTOS PARA DAR DE BAJA</v>
      </c>
      <c r="F16400" s="5" t="str">
        <f>"Descripcion: COPA EN ACERO INOX. Estado: Bueno Placa anterior: 000017419 Material: ACERO INOXIDABLE Color: PLATEADO Referencia:  Observacion:  Placa padre: Tipo adquisicion: Entidad"</f>
        <v>Descripcion: COPA EN ACERO INOX. Estado: Bueno Placa anterior: 000017419 Material: ACERO INOXIDABLE Color: PLATEADO Referencia:  Observacion:  Placa padre: Tipo adquisicion: Entidad</v>
      </c>
      <c r="G16400" s="5"/>
    </row>
    <row r="16401" spans="1:7" ht="58.5" customHeight="1" x14ac:dyDescent="0.25">
      <c r="A16401" s="5" t="str">
        <f>"H0015172"</f>
        <v>H0015172</v>
      </c>
      <c r="B16401" s="5" t="str">
        <f t="shared" si="844"/>
        <v>COPA EN ACERO INOXIDABLE</v>
      </c>
      <c r="C16401" s="6">
        <v>3266.1</v>
      </c>
      <c r="D16401" s="5"/>
      <c r="E16401" s="5" t="str">
        <f t="shared" si="843"/>
        <v>SANDRA MILENA BUITRAGO ROJAS-ELEMENTOS PARA DAR DE BAJA</v>
      </c>
      <c r="F16401" s="5" t="str">
        <f>"Descripcion: COPA EN ACERO INOX. Estado: Bueno Placa anterior: 000017444 Material: ACERO INOXIDABLE Color: PLATEADO Referencia:  Observacion:  Placa padre: Tipo adquisicion: Entidad"</f>
        <v>Descripcion: COPA EN ACERO INOX. Estado: Bueno Placa anterior: 000017444 Material: ACERO INOXIDABLE Color: PLATEADO Referencia:  Observacion:  Placa padre: Tipo adquisicion: Entidad</v>
      </c>
      <c r="G16401" s="5"/>
    </row>
    <row r="16402" spans="1:7" ht="58.5" customHeight="1" x14ac:dyDescent="0.25">
      <c r="A16402" s="5" t="str">
        <f>"H0015173"</f>
        <v>H0015173</v>
      </c>
      <c r="B16402" s="5" t="str">
        <f t="shared" si="844"/>
        <v>COPA EN ACERO INOXIDABLE</v>
      </c>
      <c r="C16402" s="6">
        <v>3266.1</v>
      </c>
      <c r="D16402" s="5"/>
      <c r="E16402" s="5" t="str">
        <f t="shared" si="843"/>
        <v>SANDRA MILENA BUITRAGO ROJAS-ELEMENTOS PARA DAR DE BAJA</v>
      </c>
      <c r="F16402" s="5" t="str">
        <f>"Descripcion: COPA EN ACERO INOX. Estado: Bueno Placa anterior: 000017421 Material: ACERO INOXIDABLE Color: PLATEADO Referencia:  Observacion:  Placa padre: Tipo adquisicion: Entidad"</f>
        <v>Descripcion: COPA EN ACERO INOX. Estado: Bueno Placa anterior: 000017421 Material: ACERO INOXIDABLE Color: PLATEADO Referencia:  Observacion:  Placa padre: Tipo adquisicion: Entidad</v>
      </c>
      <c r="G16402" s="5"/>
    </row>
    <row r="16403" spans="1:7" ht="58.5" customHeight="1" x14ac:dyDescent="0.25">
      <c r="A16403" s="5" t="str">
        <f>"H0015174"</f>
        <v>H0015174</v>
      </c>
      <c r="B16403" s="5" t="str">
        <f t="shared" si="844"/>
        <v>COPA EN ACERO INOXIDABLE</v>
      </c>
      <c r="C16403" s="6">
        <v>3266.1</v>
      </c>
      <c r="D16403" s="5"/>
      <c r="E16403" s="5" t="str">
        <f t="shared" si="843"/>
        <v>SANDRA MILENA BUITRAGO ROJAS-ELEMENTOS PARA DAR DE BAJA</v>
      </c>
      <c r="F16403" s="5" t="str">
        <f>"Descripcion: COPA EN ACERO INOX. Estado: Bueno Placa anterior: 000017422 Material: ACERO INOXIDABLE Color: PLATEADO Referencia:  Observacion:  Placa padre: Tipo adquisicion: Entidad"</f>
        <v>Descripcion: COPA EN ACERO INOX. Estado: Bueno Placa anterior: 000017422 Material: ACERO INOXIDABLE Color: PLATEADO Referencia:  Observacion:  Placa padre: Tipo adquisicion: Entidad</v>
      </c>
      <c r="G16403" s="5"/>
    </row>
    <row r="16404" spans="1:7" ht="58.5" customHeight="1" x14ac:dyDescent="0.25">
      <c r="A16404" s="5" t="str">
        <f>"H0015175"</f>
        <v>H0015175</v>
      </c>
      <c r="B16404" s="5" t="str">
        <f t="shared" si="844"/>
        <v>COPA EN ACERO INOXIDABLE</v>
      </c>
      <c r="C16404" s="6">
        <v>3266.1</v>
      </c>
      <c r="D16404" s="5"/>
      <c r="E16404" s="5" t="str">
        <f t="shared" si="843"/>
        <v>SANDRA MILENA BUITRAGO ROJAS-ELEMENTOS PARA DAR DE BAJA</v>
      </c>
      <c r="F16404" s="5" t="str">
        <f>"Descripcion: COPA EN ACERO INOX. Estado: Bueno Placa anterior: 000017423 Material: ACERO INOXIDABLE Color: PLATEADO Referencia:  Observacion:  Placa padre: Tipo adquisicion: Entidad"</f>
        <v>Descripcion: COPA EN ACERO INOX. Estado: Bueno Placa anterior: 000017423 Material: ACERO INOXIDABLE Color: PLATEADO Referencia:  Observacion:  Placa padre: Tipo adquisicion: Entidad</v>
      </c>
      <c r="G16404" s="5"/>
    </row>
    <row r="16405" spans="1:7" ht="58.5" customHeight="1" x14ac:dyDescent="0.25">
      <c r="A16405" s="5" t="str">
        <f>"H0015176"</f>
        <v>H0015176</v>
      </c>
      <c r="B16405" s="5" t="str">
        <f t="shared" si="844"/>
        <v>COPA EN ACERO INOXIDABLE</v>
      </c>
      <c r="C16405" s="6">
        <v>3266.1</v>
      </c>
      <c r="D16405" s="5"/>
      <c r="E16405" s="5" t="str">
        <f t="shared" si="843"/>
        <v>SANDRA MILENA BUITRAGO ROJAS-ELEMENTOS PARA DAR DE BAJA</v>
      </c>
      <c r="F16405" s="5" t="str">
        <f>"Descripcion: COPA EN ACERO INOX. Estado: Bueno Placa anterior: 000017424 Material: ACERO INOXIDABLE Color: PLATEADO Referencia:  Observacion:  Placa padre: Tipo adquisicion: Entidad"</f>
        <v>Descripcion: COPA EN ACERO INOX. Estado: Bueno Placa anterior: 000017424 Material: ACERO INOXIDABLE Color: PLATEADO Referencia:  Observacion:  Placa padre: Tipo adquisicion: Entidad</v>
      </c>
      <c r="G16405" s="5"/>
    </row>
    <row r="16406" spans="1:7" ht="58.5" customHeight="1" x14ac:dyDescent="0.25">
      <c r="A16406" s="5" t="str">
        <f>"H0015177"</f>
        <v>H0015177</v>
      </c>
      <c r="B16406" s="5" t="str">
        <f t="shared" si="844"/>
        <v>COPA EN ACERO INOXIDABLE</v>
      </c>
      <c r="C16406" s="6">
        <v>3266.1</v>
      </c>
      <c r="D16406" s="5"/>
      <c r="E16406" s="5" t="str">
        <f t="shared" si="843"/>
        <v>SANDRA MILENA BUITRAGO ROJAS-ELEMENTOS PARA DAR DE BAJA</v>
      </c>
      <c r="F16406" s="5" t="str">
        <f>"Descripcion: COPA EN ACERO INOX. Estado: Bueno Placa anterior: 000017425 Material: ACERO INOXIDABLE Color: PLATEADO Referencia:  Observacion:  Placa padre: Tipo adquisicion: Entidad"</f>
        <v>Descripcion: COPA EN ACERO INOX. Estado: Bueno Placa anterior: 000017425 Material: ACERO INOXIDABLE Color: PLATEADO Referencia:  Observacion:  Placa padre: Tipo adquisicion: Entidad</v>
      </c>
      <c r="G16406" s="5"/>
    </row>
    <row r="16407" spans="1:7" ht="58.5" customHeight="1" x14ac:dyDescent="0.25">
      <c r="A16407" s="5" t="str">
        <f>"H0015178"</f>
        <v>H0015178</v>
      </c>
      <c r="B16407" s="5" t="str">
        <f t="shared" si="844"/>
        <v>COPA EN ACERO INOXIDABLE</v>
      </c>
      <c r="C16407" s="6">
        <v>3266.1</v>
      </c>
      <c r="D16407" s="5"/>
      <c r="E16407" s="5" t="str">
        <f t="shared" si="843"/>
        <v>SANDRA MILENA BUITRAGO ROJAS-ELEMENTOS PARA DAR DE BAJA</v>
      </c>
      <c r="F16407" s="5" t="str">
        <f>"Descripcion: COPA EN ACERO INOX. Estado: Bueno Placa anterior: 000017426 Material: ACERO INOXIDABLE Color: PLATEADO Referencia:  Observacion:  Placa padre: Tipo adquisicion: Entidad"</f>
        <v>Descripcion: COPA EN ACERO INOX. Estado: Bueno Placa anterior: 000017426 Material: ACERO INOXIDABLE Color: PLATEADO Referencia:  Observacion:  Placa padre: Tipo adquisicion: Entidad</v>
      </c>
      <c r="G16407" s="5"/>
    </row>
    <row r="16408" spans="1:7" ht="58.5" customHeight="1" x14ac:dyDescent="0.25">
      <c r="A16408" s="5" t="str">
        <f>"H0015179"</f>
        <v>H0015179</v>
      </c>
      <c r="B16408" s="5" t="str">
        <f t="shared" si="844"/>
        <v>COPA EN ACERO INOXIDABLE</v>
      </c>
      <c r="C16408" s="6">
        <v>3266.1</v>
      </c>
      <c r="D16408" s="5"/>
      <c r="E16408" s="5" t="str">
        <f t="shared" si="843"/>
        <v>SANDRA MILENA BUITRAGO ROJAS-ELEMENTOS PARA DAR DE BAJA</v>
      </c>
      <c r="F16408" s="5" t="str">
        <f>"Descripcion: COPA EN ACERO INOX. Estado: Bueno Placa anterior: 000017427 Material: ACERO INOXIDABLE Color: PLATEADO Referencia:  Observacion:  Placa padre: Tipo adquisicion: Entidad"</f>
        <v>Descripcion: COPA EN ACERO INOX. Estado: Bueno Placa anterior: 000017427 Material: ACERO INOXIDABLE Color: PLATEADO Referencia:  Observacion:  Placa padre: Tipo adquisicion: Entidad</v>
      </c>
      <c r="G16408" s="5"/>
    </row>
    <row r="16409" spans="1:7" ht="58.5" customHeight="1" x14ac:dyDescent="0.25">
      <c r="A16409" s="5" t="str">
        <f>"H0015180"</f>
        <v>H0015180</v>
      </c>
      <c r="B16409" s="5" t="str">
        <f t="shared" si="844"/>
        <v>COPA EN ACERO INOXIDABLE</v>
      </c>
      <c r="C16409" s="6">
        <v>3266.1</v>
      </c>
      <c r="D16409" s="5"/>
      <c r="E16409" s="5" t="str">
        <f t="shared" si="843"/>
        <v>SANDRA MILENA BUITRAGO ROJAS-ELEMENTOS PARA DAR DE BAJA</v>
      </c>
      <c r="F16409" s="5" t="str">
        <f>"Descripcion: COPA EN ACERO INOX. Estado: Bueno Placa anterior: 000017428 Material: ACERO INOXIDABLE Color: PLATEADO Referencia:  Observacion:  Placa padre: Tipo adquisicion: Entidad"</f>
        <v>Descripcion: COPA EN ACERO INOX. Estado: Bueno Placa anterior: 000017428 Material: ACERO INOXIDABLE Color: PLATEADO Referencia:  Observacion:  Placa padre: Tipo adquisicion: Entidad</v>
      </c>
      <c r="G16409" s="5"/>
    </row>
    <row r="16410" spans="1:7" ht="58.5" customHeight="1" x14ac:dyDescent="0.25">
      <c r="A16410" s="5" t="str">
        <f>"H0015181"</f>
        <v>H0015181</v>
      </c>
      <c r="B16410" s="5" t="str">
        <f t="shared" si="844"/>
        <v>COPA EN ACERO INOXIDABLE</v>
      </c>
      <c r="C16410" s="6">
        <v>3266.1</v>
      </c>
      <c r="D16410" s="5"/>
      <c r="E16410" s="5" t="str">
        <f t="shared" si="843"/>
        <v>SANDRA MILENA BUITRAGO ROJAS-ELEMENTOS PARA DAR DE BAJA</v>
      </c>
      <c r="F16410" s="5" t="str">
        <f>"Descripcion: COPA EN ACERO INOX. Estado: Bueno Placa anterior: 000017429 Material: ACERO INOXIDABLE Color: PLATEADO Referencia:  Observacion:  Placa padre: Tipo adquisicion: Entidad"</f>
        <v>Descripcion: COPA EN ACERO INOX. Estado: Bueno Placa anterior: 000017429 Material: ACERO INOXIDABLE Color: PLATEADO Referencia:  Observacion:  Placa padre: Tipo adquisicion: Entidad</v>
      </c>
      <c r="G16410" s="5"/>
    </row>
    <row r="16411" spans="1:7" ht="58.5" customHeight="1" x14ac:dyDescent="0.25">
      <c r="A16411" s="5" t="str">
        <f>"H0015182"</f>
        <v>H0015182</v>
      </c>
      <c r="B16411" s="5" t="str">
        <f t="shared" si="844"/>
        <v>COPA EN ACERO INOXIDABLE</v>
      </c>
      <c r="C16411" s="6">
        <v>3266.1</v>
      </c>
      <c r="D16411" s="5"/>
      <c r="E16411" s="5" t="str">
        <f t="shared" si="843"/>
        <v>SANDRA MILENA BUITRAGO ROJAS-ELEMENTOS PARA DAR DE BAJA</v>
      </c>
      <c r="F16411" s="5" t="str">
        <f>"Descripcion: COPA EN ACERO INOX. Estado: Bueno Placa anterior: 000017430 Material: ACERO INOXIDABLE Color: PLATEADO Referencia:  Observacion:  Placa padre: Tipo adquisicion: Entidad"</f>
        <v>Descripcion: COPA EN ACERO INOX. Estado: Bueno Placa anterior: 000017430 Material: ACERO INOXIDABLE Color: PLATEADO Referencia:  Observacion:  Placa padre: Tipo adquisicion: Entidad</v>
      </c>
      <c r="G16411" s="5"/>
    </row>
    <row r="16412" spans="1:7" ht="58.5" customHeight="1" x14ac:dyDescent="0.25">
      <c r="A16412" s="5" t="str">
        <f>"H0015183"</f>
        <v>H0015183</v>
      </c>
      <c r="B16412" s="5" t="str">
        <f t="shared" si="844"/>
        <v>COPA EN ACERO INOXIDABLE</v>
      </c>
      <c r="C16412" s="6">
        <v>3266.1</v>
      </c>
      <c r="D16412" s="5"/>
      <c r="E16412" s="5" t="str">
        <f t="shared" si="843"/>
        <v>SANDRA MILENA BUITRAGO ROJAS-ELEMENTOS PARA DAR DE BAJA</v>
      </c>
      <c r="F16412" s="5" t="str">
        <f>"Descripcion: COPA EN ACERO INOX. Estado: Bueno Placa anterior: 000017431 Material: ACERO INOXIDABLE Color: PLATEADO Referencia:  Observacion:  Placa padre: Tipo adquisicion: Entidad"</f>
        <v>Descripcion: COPA EN ACERO INOX. Estado: Bueno Placa anterior: 000017431 Material: ACERO INOXIDABLE Color: PLATEADO Referencia:  Observacion:  Placa padre: Tipo adquisicion: Entidad</v>
      </c>
      <c r="G16412" s="5"/>
    </row>
    <row r="16413" spans="1:7" ht="58.5" customHeight="1" x14ac:dyDescent="0.25">
      <c r="A16413" s="5" t="str">
        <f>"H0015184"</f>
        <v>H0015184</v>
      </c>
      <c r="B16413" s="5" t="str">
        <f t="shared" si="844"/>
        <v>COPA EN ACERO INOXIDABLE</v>
      </c>
      <c r="C16413" s="6">
        <v>3266.1</v>
      </c>
      <c r="D16413" s="5"/>
      <c r="E16413" s="5" t="str">
        <f t="shared" si="843"/>
        <v>SANDRA MILENA BUITRAGO ROJAS-ELEMENTOS PARA DAR DE BAJA</v>
      </c>
      <c r="F16413" s="5" t="str">
        <f>"Descripcion: COPA EN ACERO INOX. Estado: Bueno Placa anterior: 000017432 Material: ACERO INOXIDABLE Color: PLATEADO Referencia:  Observacion:  Placa padre: Tipo adquisicion: Entidad"</f>
        <v>Descripcion: COPA EN ACERO INOX. Estado: Bueno Placa anterior: 000017432 Material: ACERO INOXIDABLE Color: PLATEADO Referencia:  Observacion:  Placa padre: Tipo adquisicion: Entidad</v>
      </c>
      <c r="G16413" s="5"/>
    </row>
    <row r="16414" spans="1:7" ht="58.5" customHeight="1" x14ac:dyDescent="0.25">
      <c r="A16414" s="5" t="str">
        <f>"H0015185"</f>
        <v>H0015185</v>
      </c>
      <c r="B16414" s="5" t="str">
        <f t="shared" si="844"/>
        <v>COPA EN ACERO INOXIDABLE</v>
      </c>
      <c r="C16414" s="6">
        <v>3266.1</v>
      </c>
      <c r="D16414" s="5"/>
      <c r="E16414" s="5" t="str">
        <f t="shared" si="843"/>
        <v>SANDRA MILENA BUITRAGO ROJAS-ELEMENTOS PARA DAR DE BAJA</v>
      </c>
      <c r="F16414" s="5" t="str">
        <f>"Descripcion: COPA EN ACERO INOX. Estado: Bueno Placa anterior: 000017433 Material: ACERO INOXIDABLE Color: PLATEADO Referencia:  Observacion:  Placa padre: Tipo adquisicion: Entidad"</f>
        <v>Descripcion: COPA EN ACERO INOX. Estado: Bueno Placa anterior: 000017433 Material: ACERO INOXIDABLE Color: PLATEADO Referencia:  Observacion:  Placa padre: Tipo adquisicion: Entidad</v>
      </c>
      <c r="G16414" s="5"/>
    </row>
    <row r="16415" spans="1:7" ht="58.5" customHeight="1" x14ac:dyDescent="0.25">
      <c r="A16415" s="5" t="str">
        <f>"H0015186"</f>
        <v>H0015186</v>
      </c>
      <c r="B16415" s="5" t="str">
        <f t="shared" si="844"/>
        <v>COPA EN ACERO INOXIDABLE</v>
      </c>
      <c r="C16415" s="6">
        <v>3266.1</v>
      </c>
      <c r="D16415" s="5"/>
      <c r="E16415" s="5" t="str">
        <f t="shared" si="843"/>
        <v>SANDRA MILENA BUITRAGO ROJAS-ELEMENTOS PARA DAR DE BAJA</v>
      </c>
      <c r="F16415" s="5" t="str">
        <f>"Descripcion: COPA EN ACERO INOX. Estado: Bueno Placa anterior: 000017434 Material: ACERO INOXIDABLE Color: PLATEADO Referencia:  Observacion:  Placa padre: Tipo adquisicion: Entidad"</f>
        <v>Descripcion: COPA EN ACERO INOX. Estado: Bueno Placa anterior: 000017434 Material: ACERO INOXIDABLE Color: PLATEADO Referencia:  Observacion:  Placa padre: Tipo adquisicion: Entidad</v>
      </c>
      <c r="G16415" s="5"/>
    </row>
    <row r="16416" spans="1:7" ht="58.5" customHeight="1" x14ac:dyDescent="0.25">
      <c r="A16416" s="5" t="str">
        <f>"H0015187"</f>
        <v>H0015187</v>
      </c>
      <c r="B16416" s="5" t="str">
        <f t="shared" si="844"/>
        <v>COPA EN ACERO INOXIDABLE</v>
      </c>
      <c r="C16416" s="6">
        <v>3266.1</v>
      </c>
      <c r="D16416" s="5"/>
      <c r="E16416" s="5" t="str">
        <f t="shared" si="843"/>
        <v>SANDRA MILENA BUITRAGO ROJAS-ELEMENTOS PARA DAR DE BAJA</v>
      </c>
      <c r="F16416" s="5" t="str">
        <f>"Descripcion: COPA EN ACERO INOX. Estado: Bueno Placa anterior: 000017436 Material: ACERO INOXIDABLE Color: PLATEADO Referencia:  Observacion:  Placa padre: Tipo adquisicion: Entidad"</f>
        <v>Descripcion: COPA EN ACERO INOX. Estado: Bueno Placa anterior: 000017436 Material: ACERO INOXIDABLE Color: PLATEADO Referencia:  Observacion:  Placa padre: Tipo adquisicion: Entidad</v>
      </c>
      <c r="G16416" s="5"/>
    </row>
    <row r="16417" spans="1:7" ht="58.5" customHeight="1" x14ac:dyDescent="0.25">
      <c r="A16417" s="5" t="str">
        <f>"H0015188"</f>
        <v>H0015188</v>
      </c>
      <c r="B16417" s="5" t="str">
        <f t="shared" si="844"/>
        <v>COPA EN ACERO INOXIDABLE</v>
      </c>
      <c r="C16417" s="6">
        <v>3266.1</v>
      </c>
      <c r="D16417" s="5"/>
      <c r="E16417" s="5" t="str">
        <f t="shared" si="843"/>
        <v>SANDRA MILENA BUITRAGO ROJAS-ELEMENTOS PARA DAR DE BAJA</v>
      </c>
      <c r="F16417" s="5" t="str">
        <f>"Descripcion: COPA EN ACERO INOX. Estado: Bueno Placa anterior: 000017437 Material: ACERO INOXIDABLE Color: PLATEADO Referencia:  Observacion:  Placa padre: Tipo adquisicion: Entidad"</f>
        <v>Descripcion: COPA EN ACERO INOX. Estado: Bueno Placa anterior: 000017437 Material: ACERO INOXIDABLE Color: PLATEADO Referencia:  Observacion:  Placa padre: Tipo adquisicion: Entidad</v>
      </c>
      <c r="G16417" s="5"/>
    </row>
    <row r="16418" spans="1:7" ht="58.5" customHeight="1" x14ac:dyDescent="0.25">
      <c r="A16418" s="5" t="str">
        <f>"H0015189"</f>
        <v>H0015189</v>
      </c>
      <c r="B16418" s="5" t="str">
        <f t="shared" si="844"/>
        <v>COPA EN ACERO INOXIDABLE</v>
      </c>
      <c r="C16418" s="6">
        <v>3266.1</v>
      </c>
      <c r="D16418" s="5"/>
      <c r="E16418" s="5" t="str">
        <f t="shared" si="843"/>
        <v>SANDRA MILENA BUITRAGO ROJAS-ELEMENTOS PARA DAR DE BAJA</v>
      </c>
      <c r="F16418" s="5" t="str">
        <f>"Descripcion: COPA EN ACERO INOX. Estado: Bueno Placa anterior: 000017438 Material: ACERO INOXIDABLE Color: PLATEADO Referencia:  Observacion:  Placa padre: Tipo adquisicion: Entidad"</f>
        <v>Descripcion: COPA EN ACERO INOX. Estado: Bueno Placa anterior: 000017438 Material: ACERO INOXIDABLE Color: PLATEADO Referencia:  Observacion:  Placa padre: Tipo adquisicion: Entidad</v>
      </c>
      <c r="G16418" s="5"/>
    </row>
    <row r="16419" spans="1:7" ht="58.5" customHeight="1" x14ac:dyDescent="0.25">
      <c r="A16419" s="5" t="str">
        <f>"H0015190"</f>
        <v>H0015190</v>
      </c>
      <c r="B16419" s="5" t="str">
        <f t="shared" si="844"/>
        <v>COPA EN ACERO INOXIDABLE</v>
      </c>
      <c r="C16419" s="6">
        <v>3266.1</v>
      </c>
      <c r="D16419" s="5"/>
      <c r="E16419" s="5" t="str">
        <f t="shared" si="843"/>
        <v>SANDRA MILENA BUITRAGO ROJAS-ELEMENTOS PARA DAR DE BAJA</v>
      </c>
      <c r="F16419" s="5" t="str">
        <f>"Descripcion: COPA EN ACERO INOX. Estado: Bueno Placa anterior: 000017439 Material: ACERO INOXIDABLE Color: PLATEADO Referencia:  Observacion:  Placa padre: Tipo adquisicion: Entidad"</f>
        <v>Descripcion: COPA EN ACERO INOX. Estado: Bueno Placa anterior: 000017439 Material: ACERO INOXIDABLE Color: PLATEADO Referencia:  Observacion:  Placa padre: Tipo adquisicion: Entidad</v>
      </c>
      <c r="G16419" s="5"/>
    </row>
    <row r="16420" spans="1:7" ht="58.5" customHeight="1" x14ac:dyDescent="0.25">
      <c r="A16420" s="5" t="str">
        <f>"H0015191"</f>
        <v>H0015191</v>
      </c>
      <c r="B16420" s="5" t="str">
        <f t="shared" si="844"/>
        <v>COPA EN ACERO INOXIDABLE</v>
      </c>
      <c r="C16420" s="6">
        <v>3266.1</v>
      </c>
      <c r="D16420" s="5"/>
      <c r="E16420" s="5" t="str">
        <f t="shared" si="843"/>
        <v>SANDRA MILENA BUITRAGO ROJAS-ELEMENTOS PARA DAR DE BAJA</v>
      </c>
      <c r="F16420" s="5" t="str">
        <f>"Descripcion: COPA EN ACERO INOX. Estado: Bueno Placa anterior: 000017440 Material: ACERO INOXIDABLE Color: PLATEADO Referencia:  Observacion:  Placa padre: Tipo adquisicion: Entidad"</f>
        <v>Descripcion: COPA EN ACERO INOX. Estado: Bueno Placa anterior: 000017440 Material: ACERO INOXIDABLE Color: PLATEADO Referencia:  Observacion:  Placa padre: Tipo adquisicion: Entidad</v>
      </c>
      <c r="G16420" s="5"/>
    </row>
    <row r="16421" spans="1:7" ht="58.5" customHeight="1" x14ac:dyDescent="0.25">
      <c r="A16421" s="5" t="str">
        <f>"H0015192"</f>
        <v>H0015192</v>
      </c>
      <c r="B16421" s="5" t="str">
        <f t="shared" si="844"/>
        <v>COPA EN ACERO INOXIDABLE</v>
      </c>
      <c r="C16421" s="6">
        <v>3266.1</v>
      </c>
      <c r="D16421" s="5"/>
      <c r="E16421" s="5" t="str">
        <f t="shared" si="843"/>
        <v>SANDRA MILENA BUITRAGO ROJAS-ELEMENTOS PARA DAR DE BAJA</v>
      </c>
      <c r="F16421" s="5" t="str">
        <f>"Descripcion: COPA EN ACERO INOX. Estado: Bueno Placa anterior: 000017441 Material: ACERO INOXIDABLE Color: PLATEADO Referencia:  Observacion:  Placa padre: Tipo adquisicion: Entidad"</f>
        <v>Descripcion: COPA EN ACERO INOX. Estado: Bueno Placa anterior: 000017441 Material: ACERO INOXIDABLE Color: PLATEADO Referencia:  Observacion:  Placa padre: Tipo adquisicion: Entidad</v>
      </c>
      <c r="G16421" s="5"/>
    </row>
    <row r="16422" spans="1:7" ht="58.5" customHeight="1" x14ac:dyDescent="0.25">
      <c r="A16422" s="5" t="str">
        <f>"H0015193"</f>
        <v>H0015193</v>
      </c>
      <c r="B16422" s="5" t="str">
        <f t="shared" si="844"/>
        <v>COPA EN ACERO INOXIDABLE</v>
      </c>
      <c r="C16422" s="6">
        <v>3266.1</v>
      </c>
      <c r="D16422" s="5"/>
      <c r="E16422" s="5" t="str">
        <f t="shared" si="843"/>
        <v>SANDRA MILENA BUITRAGO ROJAS-ELEMENTOS PARA DAR DE BAJA</v>
      </c>
      <c r="F16422" s="5" t="str">
        <f>"Descripcion: COPA EN ACERO INOX. Estado: Bueno Placa anterior: 000017442 Material: ACERO INOXIDABLE Color: PLATEADO Referencia:  Observacion:  Placa padre: Tipo adquisicion: Entidad"</f>
        <v>Descripcion: COPA EN ACERO INOX. Estado: Bueno Placa anterior: 000017442 Material: ACERO INOXIDABLE Color: PLATEADO Referencia:  Observacion:  Placa padre: Tipo adquisicion: Entidad</v>
      </c>
      <c r="G16422" s="5"/>
    </row>
    <row r="16423" spans="1:7" ht="58.5" customHeight="1" x14ac:dyDescent="0.25">
      <c r="A16423" s="5" t="str">
        <f>"H0015194"</f>
        <v>H0015194</v>
      </c>
      <c r="B16423" s="5" t="str">
        <f t="shared" si="844"/>
        <v>COPA EN ACERO INOXIDABLE</v>
      </c>
      <c r="C16423" s="6">
        <v>3266.1</v>
      </c>
      <c r="D16423" s="5"/>
      <c r="E16423" s="5" t="str">
        <f t="shared" si="843"/>
        <v>SANDRA MILENA BUITRAGO ROJAS-ELEMENTOS PARA DAR DE BAJA</v>
      </c>
      <c r="F16423" s="5" t="str">
        <f>"Descripcion: COPA EN ACERO INOX. Estado: Bueno Placa anterior: 000017443 Material: ACERO INOXIDABLE Color: PLATEADO Referencia:  Observacion:  Placa padre: Tipo adquisicion: Entidad"</f>
        <v>Descripcion: COPA EN ACERO INOX. Estado: Bueno Placa anterior: 000017443 Material: ACERO INOXIDABLE Color: PLATEADO Referencia:  Observacion:  Placa padre: Tipo adquisicion: Entidad</v>
      </c>
      <c r="G16423" s="5"/>
    </row>
    <row r="16424" spans="1:7" ht="58.5" customHeight="1" x14ac:dyDescent="0.25">
      <c r="A16424" s="5" t="str">
        <f>"H0015195"</f>
        <v>H0015195</v>
      </c>
      <c r="B16424" s="5" t="str">
        <f t="shared" si="844"/>
        <v>COPA EN ACERO INOXIDABLE</v>
      </c>
      <c r="C16424" s="6">
        <v>3266.1</v>
      </c>
      <c r="D16424" s="5"/>
      <c r="E16424" s="5" t="str">
        <f t="shared" si="843"/>
        <v>SANDRA MILENA BUITRAGO ROJAS-ELEMENTOS PARA DAR DE BAJA</v>
      </c>
      <c r="F16424" s="5" t="str">
        <f>"Descripcion: COPA EN ACERO INOX. Estado: Bueno Placa anterior: 000017445 Material: ACERO INOXIDABLE Color: PLATEADO Referencia:  Observacion:  Placa padre: Tipo adquisicion: Entidad"</f>
        <v>Descripcion: COPA EN ACERO INOX. Estado: Bueno Placa anterior: 000017445 Material: ACERO INOXIDABLE Color: PLATEADO Referencia:  Observacion:  Placa padre: Tipo adquisicion: Entidad</v>
      </c>
      <c r="G16424" s="5"/>
    </row>
    <row r="16425" spans="1:7" ht="58.5" customHeight="1" x14ac:dyDescent="0.25">
      <c r="A16425" s="5" t="str">
        <f>"H0015196"</f>
        <v>H0015196</v>
      </c>
      <c r="B16425" s="5" t="str">
        <f t="shared" si="844"/>
        <v>COPA EN ACERO INOXIDABLE</v>
      </c>
      <c r="C16425" s="6">
        <v>3266.1</v>
      </c>
      <c r="D16425" s="5"/>
      <c r="E16425" s="5" t="str">
        <f t="shared" si="843"/>
        <v>SANDRA MILENA BUITRAGO ROJAS-ELEMENTOS PARA DAR DE BAJA</v>
      </c>
      <c r="F16425" s="5" t="str">
        <f>"Descripcion: COPA EN ACERO INOX. Estado: Bueno Placa anterior: 000017447 Material: ACERO INOXIDABLE Color: PLATEADO Referencia:  Observacion:  Placa padre: Tipo adquisicion: Entidad"</f>
        <v>Descripcion: COPA EN ACERO INOX. Estado: Bueno Placa anterior: 000017447 Material: ACERO INOXIDABLE Color: PLATEADO Referencia:  Observacion:  Placa padre: Tipo adquisicion: Entidad</v>
      </c>
      <c r="G16425" s="5"/>
    </row>
    <row r="16426" spans="1:7" ht="58.5" customHeight="1" x14ac:dyDescent="0.25">
      <c r="A16426" s="5" t="str">
        <f>"H0015197"</f>
        <v>H0015197</v>
      </c>
      <c r="B16426" s="5" t="str">
        <f t="shared" si="844"/>
        <v>COPA EN ACERO INOXIDABLE</v>
      </c>
      <c r="C16426" s="6">
        <v>3266.1</v>
      </c>
      <c r="D16426" s="5"/>
      <c r="E16426" s="5" t="str">
        <f t="shared" si="843"/>
        <v>SANDRA MILENA BUITRAGO ROJAS-ELEMENTOS PARA DAR DE BAJA</v>
      </c>
      <c r="F16426" s="5" t="str">
        <f>"Descripcion: COPA EN ACERO INOX. Estado: Bueno Placa anterior: 000017448 Material: ACERO INOXIDABLE Color: PLATEADO Referencia:  Observacion:  Placa padre: Tipo adquisicion: Entidad"</f>
        <v>Descripcion: COPA EN ACERO INOX. Estado: Bueno Placa anterior: 000017448 Material: ACERO INOXIDABLE Color: PLATEADO Referencia:  Observacion:  Placa padre: Tipo adquisicion: Entidad</v>
      </c>
      <c r="G16426" s="5"/>
    </row>
    <row r="16427" spans="1:7" ht="58.5" customHeight="1" x14ac:dyDescent="0.25">
      <c r="A16427" s="5" t="str">
        <f>"H0015198"</f>
        <v>H0015198</v>
      </c>
      <c r="B16427" s="5" t="str">
        <f t="shared" si="844"/>
        <v>COPA EN ACERO INOXIDABLE</v>
      </c>
      <c r="C16427" s="6">
        <v>3266.1</v>
      </c>
      <c r="D16427" s="5"/>
      <c r="E16427" s="5" t="str">
        <f t="shared" si="843"/>
        <v>SANDRA MILENA BUITRAGO ROJAS-ELEMENTOS PARA DAR DE BAJA</v>
      </c>
      <c r="F16427" s="5" t="str">
        <f>"Descripcion: COPA EN ACERO INOX. Estado: Bueno Placa anterior: 000017449 Material: ACERO INOXIDABLE Color: PLATEADO Referencia:  Observacion:  Placa padre: Tipo adquisicion: Entidad"</f>
        <v>Descripcion: COPA EN ACERO INOX. Estado: Bueno Placa anterior: 000017449 Material: ACERO INOXIDABLE Color: PLATEADO Referencia:  Observacion:  Placa padre: Tipo adquisicion: Entidad</v>
      </c>
      <c r="G16427" s="5"/>
    </row>
    <row r="16428" spans="1:7" ht="58.5" customHeight="1" x14ac:dyDescent="0.25">
      <c r="A16428" s="5" t="str">
        <f>"H0015199"</f>
        <v>H0015199</v>
      </c>
      <c r="B16428" s="5" t="str">
        <f t="shared" si="844"/>
        <v>COPA EN ACERO INOXIDABLE</v>
      </c>
      <c r="C16428" s="6">
        <v>3266.1</v>
      </c>
      <c r="D16428" s="5"/>
      <c r="E16428" s="5" t="str">
        <f t="shared" si="843"/>
        <v>SANDRA MILENA BUITRAGO ROJAS-ELEMENTOS PARA DAR DE BAJA</v>
      </c>
      <c r="F16428" s="5" t="str">
        <f>"Descripcion: COPA EN ACERO INOX. Estado: Bueno Placa anterior: 000017450 Material: ACERO INOXIDABLE Color: PLATEADO Referencia:  Observacion:  Placa padre: Tipo adquisicion: Entidad"</f>
        <v>Descripcion: COPA EN ACERO INOX. Estado: Bueno Placa anterior: 000017450 Material: ACERO INOXIDABLE Color: PLATEADO Referencia:  Observacion:  Placa padre: Tipo adquisicion: Entidad</v>
      </c>
      <c r="G16428" s="5"/>
    </row>
    <row r="16429" spans="1:7" ht="58.5" customHeight="1" x14ac:dyDescent="0.25">
      <c r="A16429" s="5" t="str">
        <f>"H0015200"</f>
        <v>H0015200</v>
      </c>
      <c r="B16429" s="5" t="str">
        <f t="shared" si="844"/>
        <v>COPA EN ACERO INOXIDABLE</v>
      </c>
      <c r="C16429" s="6">
        <v>3266.1</v>
      </c>
      <c r="D16429" s="5"/>
      <c r="E16429" s="5" t="str">
        <f t="shared" si="843"/>
        <v>SANDRA MILENA BUITRAGO ROJAS-ELEMENTOS PARA DAR DE BAJA</v>
      </c>
      <c r="F16429" s="5" t="str">
        <f>"Descripcion: COPA EN ACERO INOX. Estado: Bueno Placa anterior: 000017451 Material: ACERO INOXIDABLE Color: PLATEADO Referencia:  Observacion:  Placa padre: Tipo adquisicion: Entidad"</f>
        <v>Descripcion: COPA EN ACERO INOX. Estado: Bueno Placa anterior: 000017451 Material: ACERO INOXIDABLE Color: PLATEADO Referencia:  Observacion:  Placa padre: Tipo adquisicion: Entidad</v>
      </c>
      <c r="G16429" s="5"/>
    </row>
    <row r="16430" spans="1:7" ht="58.5" customHeight="1" x14ac:dyDescent="0.25">
      <c r="A16430" s="5" t="str">
        <f>"H0015203"</f>
        <v>H0015203</v>
      </c>
      <c r="B16430" s="5" t="str">
        <f t="shared" ref="B16430:B16462" si="845">"TAZA SOPERA EN ACERO INOXIDABLE"</f>
        <v>TAZA SOPERA EN ACERO INOXIDABLE</v>
      </c>
      <c r="C16430" s="6">
        <v>55</v>
      </c>
      <c r="D16430" s="5"/>
      <c r="E16430" s="5" t="str">
        <f t="shared" si="843"/>
        <v>SANDRA MILENA BUITRAGO ROJAS-ELEMENTOS PARA DAR DE BAJA</v>
      </c>
      <c r="F16430" s="5" t="str">
        <f>"Descripcion: . Estado: Bueno Placa anterior: 000018273 Material: ACERO INOXIDABLE Color:  Referencia:  Observacion: FUNCIONARIO AUTORIZA SE CONCILIE CON PLACA 000018273 Placa padre: Tipo adquisicion: Entidad"</f>
        <v>Descripcion: . Estado: Bueno Placa anterior: 000018273 Material: ACERO INOXIDABLE Color:  Referencia:  Observacion: FUNCIONARIO AUTORIZA SE CONCILIE CON PLACA 000018273 Placa padre: Tipo adquisicion: Entidad</v>
      </c>
      <c r="G16430" s="5"/>
    </row>
    <row r="16431" spans="1:7" ht="58.5" customHeight="1" x14ac:dyDescent="0.25">
      <c r="A16431" s="5" t="str">
        <f>"H0015205"</f>
        <v>H0015205</v>
      </c>
      <c r="B16431" s="5" t="str">
        <f t="shared" si="845"/>
        <v>TAZA SOPERA EN ACERO INOXIDABLE</v>
      </c>
      <c r="C16431" s="6">
        <v>55</v>
      </c>
      <c r="D16431" s="5"/>
      <c r="E16431" s="5" t="str">
        <f t="shared" si="843"/>
        <v>SANDRA MILENA BUITRAGO ROJAS-ELEMENTOS PARA DAR DE BAJA</v>
      </c>
      <c r="F16431" s="5" t="str">
        <f>"Descripcion: . Estado: Bueno Placa anterior: 000018282 Material: ACERO INOXIDABLE Color:  Referencia:  Observacion: FUNCIONARIO AUTORIZA SE CONCILIE CON PLACA 000018282 Placa padre: Tipo adquisicion: Entidad"</f>
        <v>Descripcion: . Estado: Bueno Placa anterior: 000018282 Material: ACERO INOXIDABLE Color:  Referencia:  Observacion: FUNCIONARIO AUTORIZA SE CONCILIE CON PLACA 000018282 Placa padre: Tipo adquisicion: Entidad</v>
      </c>
      <c r="G16431" s="5"/>
    </row>
    <row r="16432" spans="1:7" ht="58.5" customHeight="1" x14ac:dyDescent="0.25">
      <c r="A16432" s="5" t="str">
        <f>"H0015206"</f>
        <v>H0015206</v>
      </c>
      <c r="B16432" s="5" t="str">
        <f t="shared" si="845"/>
        <v>TAZA SOPERA EN ACERO INOXIDABLE</v>
      </c>
      <c r="C16432" s="6">
        <v>55</v>
      </c>
      <c r="D16432" s="5"/>
      <c r="E16432" s="5" t="str">
        <f t="shared" si="843"/>
        <v>SANDRA MILENA BUITRAGO ROJAS-ELEMENTOS PARA DAR DE BAJA</v>
      </c>
      <c r="F16432" s="5" t="str">
        <f>"Descripcion: . Estado: Bueno Placa anterior: 000018269 Material: ACERO INOXIDABLE Color:  Referencia:  Observacion: FUNCIONARIO AUTORIZA SE CONCILIE CON PLACA 000018269 Placa padre: Tipo adquisicion: Entidad"</f>
        <v>Descripcion: . Estado: Bueno Placa anterior: 000018269 Material: ACERO INOXIDABLE Color:  Referencia:  Observacion: FUNCIONARIO AUTORIZA SE CONCILIE CON PLACA 000018269 Placa padre: Tipo adquisicion: Entidad</v>
      </c>
      <c r="G16432" s="5"/>
    </row>
    <row r="16433" spans="1:7" ht="58.5" customHeight="1" x14ac:dyDescent="0.25">
      <c r="A16433" s="5" t="str">
        <f>"H0015209"</f>
        <v>H0015209</v>
      </c>
      <c r="B16433" s="5" t="str">
        <f t="shared" si="845"/>
        <v>TAZA SOPERA EN ACERO INOXIDABLE</v>
      </c>
      <c r="C16433" s="6">
        <v>55</v>
      </c>
      <c r="D16433" s="5"/>
      <c r="E16433" s="5" t="str">
        <f t="shared" si="843"/>
        <v>SANDRA MILENA BUITRAGO ROJAS-ELEMENTOS PARA DAR DE BAJA</v>
      </c>
      <c r="F16433" s="5" t="str">
        <f>"Descripcion: . Estado: Bueno Placa anterior: 000018283 Material: ACERO INOXIDABLE Color:  Referencia:  Observacion: FUNCIONARIO AUTORIZA SE CONCILIE CON PLACA 000018283 Placa padre: Tipo adquisicion: Entidad"</f>
        <v>Descripcion: . Estado: Bueno Placa anterior: 000018283 Material: ACERO INOXIDABLE Color:  Referencia:  Observacion: FUNCIONARIO AUTORIZA SE CONCILIE CON PLACA 000018283 Placa padre: Tipo adquisicion: Entidad</v>
      </c>
      <c r="G16433" s="5"/>
    </row>
    <row r="16434" spans="1:7" ht="58.5" customHeight="1" x14ac:dyDescent="0.25">
      <c r="A16434" s="5" t="str">
        <f>"H0015211"</f>
        <v>H0015211</v>
      </c>
      <c r="B16434" s="5" t="str">
        <f t="shared" si="845"/>
        <v>TAZA SOPERA EN ACERO INOXIDABLE</v>
      </c>
      <c r="C16434" s="6">
        <v>55</v>
      </c>
      <c r="D16434" s="5"/>
      <c r="E16434" s="5" t="str">
        <f t="shared" si="843"/>
        <v>SANDRA MILENA BUITRAGO ROJAS-ELEMENTOS PARA DAR DE BAJA</v>
      </c>
      <c r="F16434" s="5" t="str">
        <f>"Descripcion: . Estado: Bueno Placa anterior: 000018266 Material: ACERO INOXIDABLE Color:  Referencia:  Observacion: FUNCIONARIO AUTORIZA SE CONCILIE CON PLACA 000018266 Placa padre: Tipo adquisicion: Entidad"</f>
        <v>Descripcion: . Estado: Bueno Placa anterior: 000018266 Material: ACERO INOXIDABLE Color:  Referencia:  Observacion: FUNCIONARIO AUTORIZA SE CONCILIE CON PLACA 000018266 Placa padre: Tipo adquisicion: Entidad</v>
      </c>
      <c r="G16434" s="5"/>
    </row>
    <row r="16435" spans="1:7" ht="58.5" customHeight="1" x14ac:dyDescent="0.25">
      <c r="A16435" s="5" t="str">
        <f>"H0015215"</f>
        <v>H0015215</v>
      </c>
      <c r="B16435" s="5" t="str">
        <f t="shared" si="845"/>
        <v>TAZA SOPERA EN ACERO INOXIDABLE</v>
      </c>
      <c r="C16435" s="6">
        <v>55</v>
      </c>
      <c r="D16435" s="5"/>
      <c r="E16435" s="5" t="str">
        <f t="shared" si="843"/>
        <v>SANDRA MILENA BUITRAGO ROJAS-ELEMENTOS PARA DAR DE BAJA</v>
      </c>
      <c r="F16435" s="5" t="str">
        <f>"Descripcion: . Estado: Bueno Placa anterior: 000018281 Material: ACERO INOXIDABLE Color:  Referencia:  Observacion: FUNCIONARIO AUTORIZA SE CONCILIE CON PLACA 000018281 Placa padre: Tipo adquisicion: Entidad"</f>
        <v>Descripcion: . Estado: Bueno Placa anterior: 000018281 Material: ACERO INOXIDABLE Color:  Referencia:  Observacion: FUNCIONARIO AUTORIZA SE CONCILIE CON PLACA 000018281 Placa padre: Tipo adquisicion: Entidad</v>
      </c>
      <c r="G16435" s="5"/>
    </row>
    <row r="16436" spans="1:7" ht="58.5" customHeight="1" x14ac:dyDescent="0.25">
      <c r="A16436" s="5" t="str">
        <f>"H0015217"</f>
        <v>H0015217</v>
      </c>
      <c r="B16436" s="5" t="str">
        <f t="shared" si="845"/>
        <v>TAZA SOPERA EN ACERO INOXIDABLE</v>
      </c>
      <c r="C16436" s="6">
        <v>55</v>
      </c>
      <c r="D16436" s="5"/>
      <c r="E16436" s="5" t="str">
        <f t="shared" si="843"/>
        <v>SANDRA MILENA BUITRAGO ROJAS-ELEMENTOS PARA DAR DE BAJA</v>
      </c>
      <c r="F16436" s="5" t="str">
        <f>"Descripcion: . Estado: Bueno Placa anterior: 000018270 Material: ACERO INOXIDABLE Color:  Referencia:  Observacion: FUNCIONARIO AUTORIZA SE CONCILIE CON PLACA 000018270 Placa padre: Tipo adquisicion: Entidad"</f>
        <v>Descripcion: . Estado: Bueno Placa anterior: 000018270 Material: ACERO INOXIDABLE Color:  Referencia:  Observacion: FUNCIONARIO AUTORIZA SE CONCILIE CON PLACA 000018270 Placa padre: Tipo adquisicion: Entidad</v>
      </c>
      <c r="G16436" s="5"/>
    </row>
    <row r="16437" spans="1:7" ht="58.5" customHeight="1" x14ac:dyDescent="0.25">
      <c r="A16437" s="5" t="str">
        <f>"H0015219"</f>
        <v>H0015219</v>
      </c>
      <c r="B16437" s="5" t="str">
        <f t="shared" si="845"/>
        <v>TAZA SOPERA EN ACERO INOXIDABLE</v>
      </c>
      <c r="C16437" s="6">
        <v>55</v>
      </c>
      <c r="D16437" s="5"/>
      <c r="E16437" s="5" t="str">
        <f t="shared" si="843"/>
        <v>SANDRA MILENA BUITRAGO ROJAS-ELEMENTOS PARA DAR DE BAJA</v>
      </c>
      <c r="F16437" s="5" t="str">
        <f>"Descripcion: . Estado: Bueno Placa anterior: 000018265 Material: ACERO INOXIDABLE Color:  Referencia:  Observacion: FUNCIONARIO AUTORIZA SE CONCILIE CON PLACA 000018265 Placa padre: Tipo adquisicion: Entidad"</f>
        <v>Descripcion: . Estado: Bueno Placa anterior: 000018265 Material: ACERO INOXIDABLE Color:  Referencia:  Observacion: FUNCIONARIO AUTORIZA SE CONCILIE CON PLACA 000018265 Placa padre: Tipo adquisicion: Entidad</v>
      </c>
      <c r="G16437" s="5"/>
    </row>
    <row r="16438" spans="1:7" ht="58.5" customHeight="1" x14ac:dyDescent="0.25">
      <c r="A16438" s="5" t="str">
        <f>"H0015220"</f>
        <v>H0015220</v>
      </c>
      <c r="B16438" s="5" t="str">
        <f t="shared" si="845"/>
        <v>TAZA SOPERA EN ACERO INOXIDABLE</v>
      </c>
      <c r="C16438" s="6">
        <v>55</v>
      </c>
      <c r="D16438" s="5"/>
      <c r="E16438" s="5" t="str">
        <f t="shared" si="843"/>
        <v>SANDRA MILENA BUITRAGO ROJAS-ELEMENTOS PARA DAR DE BAJA</v>
      </c>
      <c r="F16438" s="5" t="str">
        <f>"Descripcion: . Estado: Bueno Placa anterior: 000018267 Material: ACERO INOXIDABLE Color:  Referencia:  Observacion: FUNCIONARIO AUTORIZA SE CONCILIE CON PLACA 000018267 Placa padre: Tipo adquisicion: Entidad"</f>
        <v>Descripcion: . Estado: Bueno Placa anterior: 000018267 Material: ACERO INOXIDABLE Color:  Referencia:  Observacion: FUNCIONARIO AUTORIZA SE CONCILIE CON PLACA 000018267 Placa padre: Tipo adquisicion: Entidad</v>
      </c>
      <c r="G16438" s="5"/>
    </row>
    <row r="16439" spans="1:7" ht="58.5" customHeight="1" x14ac:dyDescent="0.25">
      <c r="A16439" s="5" t="str">
        <f>"H0015374"</f>
        <v>H0015374</v>
      </c>
      <c r="B16439" s="5" t="str">
        <f t="shared" si="845"/>
        <v>TAZA SOPERA EN ACERO INOXIDABLE</v>
      </c>
      <c r="C16439" s="6">
        <v>45</v>
      </c>
      <c r="D16439" s="5"/>
      <c r="E16439" s="5" t="str">
        <f t="shared" si="843"/>
        <v>SANDRA MILENA BUITRAGO ROJAS-ELEMENTOS PARA DAR DE BAJA</v>
      </c>
      <c r="F16439" s="5" t="str">
        <f>"Descripcion: TAZAS MEDIDORAS Estado: Bueno Placa anterior: 000018216 Material: ACERO INOX. Color: PLATEADO Referencia:  Observacion:  Placa padre: Tipo adquisicion: Entidad"</f>
        <v>Descripcion: TAZAS MEDIDORAS Estado: Bueno Placa anterior: 000018216 Material: ACERO INOX. Color: PLATEADO Referencia:  Observacion:  Placa padre: Tipo adquisicion: Entidad</v>
      </c>
      <c r="G16439" s="5"/>
    </row>
    <row r="16440" spans="1:7" ht="58.5" customHeight="1" x14ac:dyDescent="0.25">
      <c r="A16440" s="5" t="str">
        <f>"H0015375"</f>
        <v>H0015375</v>
      </c>
      <c r="B16440" s="5" t="str">
        <f t="shared" si="845"/>
        <v>TAZA SOPERA EN ACERO INOXIDABLE</v>
      </c>
      <c r="C16440" s="6">
        <v>45</v>
      </c>
      <c r="D16440" s="5"/>
      <c r="E16440" s="5" t="str">
        <f t="shared" si="843"/>
        <v>SANDRA MILENA BUITRAGO ROJAS-ELEMENTOS PARA DAR DE BAJA</v>
      </c>
      <c r="F16440" s="5" t="str">
        <f>"Descripcion: TAZAS MEDIDORAS Estado: Bueno Placa anterior: 000018217 Material: ACERO INOX. Color: PLATEADO Referencia:  Observacion:  Placa padre: Tipo adquisicion: Entidad"</f>
        <v>Descripcion: TAZAS MEDIDORAS Estado: Bueno Placa anterior: 000018217 Material: ACERO INOX. Color: PLATEADO Referencia:  Observacion:  Placa padre: Tipo adquisicion: Entidad</v>
      </c>
      <c r="G16440" s="5"/>
    </row>
    <row r="16441" spans="1:7" ht="58.5" customHeight="1" x14ac:dyDescent="0.25">
      <c r="A16441" s="5" t="str">
        <f>"H0015376"</f>
        <v>H0015376</v>
      </c>
      <c r="B16441" s="5" t="str">
        <f t="shared" si="845"/>
        <v>TAZA SOPERA EN ACERO INOXIDABLE</v>
      </c>
      <c r="C16441" s="6">
        <v>45</v>
      </c>
      <c r="D16441" s="5"/>
      <c r="E16441" s="5" t="str">
        <f t="shared" si="843"/>
        <v>SANDRA MILENA BUITRAGO ROJAS-ELEMENTOS PARA DAR DE BAJA</v>
      </c>
      <c r="F16441" s="5" t="str">
        <f>"Descripcion: TAZAS MEDIDORAS Estado: Bueno Placa anterior: 000018218 Material: ACERO INOX. Color: PLATEADO Referencia:  Observacion:  Placa padre: Tipo adquisicion: Entidad"</f>
        <v>Descripcion: TAZAS MEDIDORAS Estado: Bueno Placa anterior: 000018218 Material: ACERO INOX. Color: PLATEADO Referencia:  Observacion:  Placa padre: Tipo adquisicion: Entidad</v>
      </c>
      <c r="G16441" s="5"/>
    </row>
    <row r="16442" spans="1:7" ht="58.5" customHeight="1" x14ac:dyDescent="0.25">
      <c r="A16442" s="5" t="str">
        <f>"H0015377"</f>
        <v>H0015377</v>
      </c>
      <c r="B16442" s="5" t="str">
        <f t="shared" si="845"/>
        <v>TAZA SOPERA EN ACERO INOXIDABLE</v>
      </c>
      <c r="C16442" s="6">
        <v>45</v>
      </c>
      <c r="D16442" s="5"/>
      <c r="E16442" s="5" t="str">
        <f t="shared" si="843"/>
        <v>SANDRA MILENA BUITRAGO ROJAS-ELEMENTOS PARA DAR DE BAJA</v>
      </c>
      <c r="F16442" s="5" t="str">
        <f>"Descripcion: TAZAS MEDIDORAS Estado: Bueno Placa anterior: 000018219 Material: ACERO INOX. Color: PLATEADO Referencia:  Observacion:  Placa padre: Tipo adquisicion: Entidad"</f>
        <v>Descripcion: TAZAS MEDIDORAS Estado: Bueno Placa anterior: 000018219 Material: ACERO INOX. Color: PLATEADO Referencia:  Observacion:  Placa padre: Tipo adquisicion: Entidad</v>
      </c>
      <c r="G16442" s="5"/>
    </row>
    <row r="16443" spans="1:7" ht="58.5" customHeight="1" x14ac:dyDescent="0.25">
      <c r="A16443" s="5" t="str">
        <f>"H0015378"</f>
        <v>H0015378</v>
      </c>
      <c r="B16443" s="5" t="str">
        <f t="shared" si="845"/>
        <v>TAZA SOPERA EN ACERO INOXIDABLE</v>
      </c>
      <c r="C16443" s="6">
        <v>45</v>
      </c>
      <c r="D16443" s="5"/>
      <c r="E16443" s="5" t="str">
        <f t="shared" si="843"/>
        <v>SANDRA MILENA BUITRAGO ROJAS-ELEMENTOS PARA DAR DE BAJA</v>
      </c>
      <c r="F16443" s="5" t="str">
        <f>"Descripcion: TAZAS MEDIDORAS Estado: Bueno Placa anterior: 000018220 Material: ACERO INOX. Color: PLATEADO Referencia:  Observacion:  Placa padre: Tipo adquisicion: Entidad"</f>
        <v>Descripcion: TAZAS MEDIDORAS Estado: Bueno Placa anterior: 000018220 Material: ACERO INOX. Color: PLATEADO Referencia:  Observacion:  Placa padre: Tipo adquisicion: Entidad</v>
      </c>
      <c r="G16443" s="5"/>
    </row>
    <row r="16444" spans="1:7" ht="58.5" customHeight="1" x14ac:dyDescent="0.25">
      <c r="A16444" s="5" t="str">
        <f>"H0015379"</f>
        <v>H0015379</v>
      </c>
      <c r="B16444" s="5" t="str">
        <f t="shared" si="845"/>
        <v>TAZA SOPERA EN ACERO INOXIDABLE</v>
      </c>
      <c r="C16444" s="6">
        <v>45</v>
      </c>
      <c r="D16444" s="5"/>
      <c r="E16444" s="5" t="str">
        <f t="shared" si="843"/>
        <v>SANDRA MILENA BUITRAGO ROJAS-ELEMENTOS PARA DAR DE BAJA</v>
      </c>
      <c r="F16444" s="5" t="str">
        <f>"Descripcion: TAZAS MEDIDORAS Estado: Bueno Placa anterior: 000018221 Material: ACERO INOX. Color: PLATEADO Referencia:  Observacion:  Placa padre: Tipo adquisicion: Entidad"</f>
        <v>Descripcion: TAZAS MEDIDORAS Estado: Bueno Placa anterior: 000018221 Material: ACERO INOX. Color: PLATEADO Referencia:  Observacion:  Placa padre: Tipo adquisicion: Entidad</v>
      </c>
      <c r="G16444" s="5"/>
    </row>
    <row r="16445" spans="1:7" ht="58.5" customHeight="1" x14ac:dyDescent="0.25">
      <c r="A16445" s="5" t="str">
        <f>"H0015380"</f>
        <v>H0015380</v>
      </c>
      <c r="B16445" s="5" t="str">
        <f t="shared" si="845"/>
        <v>TAZA SOPERA EN ACERO INOXIDABLE</v>
      </c>
      <c r="C16445" s="6">
        <v>45</v>
      </c>
      <c r="D16445" s="5"/>
      <c r="E16445" s="5" t="str">
        <f t="shared" si="843"/>
        <v>SANDRA MILENA BUITRAGO ROJAS-ELEMENTOS PARA DAR DE BAJA</v>
      </c>
      <c r="F16445" s="5" t="str">
        <f>"Descripcion: TAZAS MEDIDORAS Estado: Bueno Placa anterior: 000018222 Material: ACERO INOX. Color: PLATEADO Referencia:  Observacion:  Placa padre: Tipo adquisicion: Entidad"</f>
        <v>Descripcion: TAZAS MEDIDORAS Estado: Bueno Placa anterior: 000018222 Material: ACERO INOX. Color: PLATEADO Referencia:  Observacion:  Placa padre: Tipo adquisicion: Entidad</v>
      </c>
      <c r="G16445" s="5"/>
    </row>
    <row r="16446" spans="1:7" ht="58.5" customHeight="1" x14ac:dyDescent="0.25">
      <c r="A16446" s="5" t="str">
        <f>"H0015381"</f>
        <v>H0015381</v>
      </c>
      <c r="B16446" s="5" t="str">
        <f t="shared" si="845"/>
        <v>TAZA SOPERA EN ACERO INOXIDABLE</v>
      </c>
      <c r="C16446" s="6">
        <v>45</v>
      </c>
      <c r="D16446" s="5"/>
      <c r="E16446" s="5" t="str">
        <f t="shared" ref="E16446:E16509" si="846">"SANDRA MILENA BUITRAGO ROJAS-ELEMENTOS PARA DAR DE BAJA"</f>
        <v>SANDRA MILENA BUITRAGO ROJAS-ELEMENTOS PARA DAR DE BAJA</v>
      </c>
      <c r="F16446" s="5" t="str">
        <f>"Descripcion: TAZAS MEDIDORAS Estado: Bueno Placa anterior: 000018223 Material: ACERO INOX. Color: PLATEADO Referencia:  Observacion:  Placa padre: Tipo adquisicion: Entidad"</f>
        <v>Descripcion: TAZAS MEDIDORAS Estado: Bueno Placa anterior: 000018223 Material: ACERO INOX. Color: PLATEADO Referencia:  Observacion:  Placa padre: Tipo adquisicion: Entidad</v>
      </c>
      <c r="G16446" s="5"/>
    </row>
    <row r="16447" spans="1:7" ht="58.5" customHeight="1" x14ac:dyDescent="0.25">
      <c r="A16447" s="5" t="str">
        <f>"H0015382"</f>
        <v>H0015382</v>
      </c>
      <c r="B16447" s="5" t="str">
        <f t="shared" si="845"/>
        <v>TAZA SOPERA EN ACERO INOXIDABLE</v>
      </c>
      <c r="C16447" s="6">
        <v>45</v>
      </c>
      <c r="D16447" s="5"/>
      <c r="E16447" s="5" t="str">
        <f t="shared" si="846"/>
        <v>SANDRA MILENA BUITRAGO ROJAS-ELEMENTOS PARA DAR DE BAJA</v>
      </c>
      <c r="F16447" s="5" t="str">
        <f>"Descripcion: TAZAS MEDIDORAS Estado: Bueno Placa anterior: 000018224 Material: ACERO INOX. Color: PLATEADO Referencia:  Observacion:  Placa padre: Tipo adquisicion: Entidad"</f>
        <v>Descripcion: TAZAS MEDIDORAS Estado: Bueno Placa anterior: 000018224 Material: ACERO INOX. Color: PLATEADO Referencia:  Observacion:  Placa padre: Tipo adquisicion: Entidad</v>
      </c>
      <c r="G16447" s="5"/>
    </row>
    <row r="16448" spans="1:7" ht="58.5" customHeight="1" x14ac:dyDescent="0.25">
      <c r="A16448" s="5" t="str">
        <f>"H0015383"</f>
        <v>H0015383</v>
      </c>
      <c r="B16448" s="5" t="str">
        <f t="shared" si="845"/>
        <v>TAZA SOPERA EN ACERO INOXIDABLE</v>
      </c>
      <c r="C16448" s="6">
        <v>45</v>
      </c>
      <c r="D16448" s="5"/>
      <c r="E16448" s="5" t="str">
        <f t="shared" si="846"/>
        <v>SANDRA MILENA BUITRAGO ROJAS-ELEMENTOS PARA DAR DE BAJA</v>
      </c>
      <c r="F16448" s="5" t="str">
        <f>"Descripcion: TAZAS MEDIDORAS Estado: Bueno Placa anterior: 000018225 Material: ACERO INOX. Color: PLATEADO Referencia:  Observacion:  Placa padre: Tipo adquisicion: Entidad"</f>
        <v>Descripcion: TAZAS MEDIDORAS Estado: Bueno Placa anterior: 000018225 Material: ACERO INOX. Color: PLATEADO Referencia:  Observacion:  Placa padre: Tipo adquisicion: Entidad</v>
      </c>
      <c r="G16448" s="5"/>
    </row>
    <row r="16449" spans="1:7" ht="58.5" customHeight="1" x14ac:dyDescent="0.25">
      <c r="A16449" s="5" t="str">
        <f>"H0015384"</f>
        <v>H0015384</v>
      </c>
      <c r="B16449" s="5" t="str">
        <f t="shared" si="845"/>
        <v>TAZA SOPERA EN ACERO INOXIDABLE</v>
      </c>
      <c r="C16449" s="6">
        <v>45</v>
      </c>
      <c r="D16449" s="5"/>
      <c r="E16449" s="5" t="str">
        <f t="shared" si="846"/>
        <v>SANDRA MILENA BUITRAGO ROJAS-ELEMENTOS PARA DAR DE BAJA</v>
      </c>
      <c r="F16449" s="5" t="str">
        <f>"Descripcion: TAZAS MEDIDORAS Estado: Bueno Placa anterior: 000018226 Material: ACERO INOX. Color: PLATEADO Referencia:  Observacion:  Placa padre: Tipo adquisicion: Entidad"</f>
        <v>Descripcion: TAZAS MEDIDORAS Estado: Bueno Placa anterior: 000018226 Material: ACERO INOX. Color: PLATEADO Referencia:  Observacion:  Placa padre: Tipo adquisicion: Entidad</v>
      </c>
      <c r="G16449" s="5"/>
    </row>
    <row r="16450" spans="1:7" ht="58.5" customHeight="1" x14ac:dyDescent="0.25">
      <c r="A16450" s="5" t="str">
        <f>"H0015385"</f>
        <v>H0015385</v>
      </c>
      <c r="B16450" s="5" t="str">
        <f t="shared" si="845"/>
        <v>TAZA SOPERA EN ACERO INOXIDABLE</v>
      </c>
      <c r="C16450" s="6">
        <v>45</v>
      </c>
      <c r="D16450" s="5"/>
      <c r="E16450" s="5" t="str">
        <f t="shared" si="846"/>
        <v>SANDRA MILENA BUITRAGO ROJAS-ELEMENTOS PARA DAR DE BAJA</v>
      </c>
      <c r="F16450" s="5" t="str">
        <f>"Descripcion: TAZAS MEDIDORAS Estado: Bueno Placa anterior: 000018227 Material: ACERO INOX. Color: PLATEADO Referencia:  Observacion:  Placa padre: Tipo adquisicion: Entidad"</f>
        <v>Descripcion: TAZAS MEDIDORAS Estado: Bueno Placa anterior: 000018227 Material: ACERO INOX. Color: PLATEADO Referencia:  Observacion:  Placa padre: Tipo adquisicion: Entidad</v>
      </c>
      <c r="G16450" s="5"/>
    </row>
    <row r="16451" spans="1:7" ht="58.5" customHeight="1" x14ac:dyDescent="0.25">
      <c r="A16451" s="5" t="str">
        <f>"H0015386"</f>
        <v>H0015386</v>
      </c>
      <c r="B16451" s="5" t="str">
        <f t="shared" si="845"/>
        <v>TAZA SOPERA EN ACERO INOXIDABLE</v>
      </c>
      <c r="C16451" s="6">
        <v>45</v>
      </c>
      <c r="D16451" s="5"/>
      <c r="E16451" s="5" t="str">
        <f t="shared" si="846"/>
        <v>SANDRA MILENA BUITRAGO ROJAS-ELEMENTOS PARA DAR DE BAJA</v>
      </c>
      <c r="F16451" s="5" t="str">
        <f>"Descripcion: TAZAS MEDIDORAS Estado: Bueno Placa anterior: 000018228 Material: ACERO INOX. Color: PLATEADO Referencia:  Observacion:  Placa padre: Tipo adquisicion: Entidad"</f>
        <v>Descripcion: TAZAS MEDIDORAS Estado: Bueno Placa anterior: 000018228 Material: ACERO INOX. Color: PLATEADO Referencia:  Observacion:  Placa padre: Tipo adquisicion: Entidad</v>
      </c>
      <c r="G16451" s="5"/>
    </row>
    <row r="16452" spans="1:7" ht="58.5" customHeight="1" x14ac:dyDescent="0.25">
      <c r="A16452" s="5" t="str">
        <f>"H0015387"</f>
        <v>H0015387</v>
      </c>
      <c r="B16452" s="5" t="str">
        <f t="shared" si="845"/>
        <v>TAZA SOPERA EN ACERO INOXIDABLE</v>
      </c>
      <c r="C16452" s="6">
        <v>45</v>
      </c>
      <c r="D16452" s="5"/>
      <c r="E16452" s="5" t="str">
        <f t="shared" si="846"/>
        <v>SANDRA MILENA BUITRAGO ROJAS-ELEMENTOS PARA DAR DE BAJA</v>
      </c>
      <c r="F16452" s="5" t="str">
        <f>"Descripcion: TAZAS MEDIDORAS Estado: Bueno Placa anterior: 000018229 Material: ACERO INOX. Color: PLATEADO Referencia:  Observacion:  Placa padre: Tipo adquisicion: Entidad"</f>
        <v>Descripcion: TAZAS MEDIDORAS Estado: Bueno Placa anterior: 000018229 Material: ACERO INOX. Color: PLATEADO Referencia:  Observacion:  Placa padre: Tipo adquisicion: Entidad</v>
      </c>
      <c r="G16452" s="5"/>
    </row>
    <row r="16453" spans="1:7" ht="58.5" customHeight="1" x14ac:dyDescent="0.25">
      <c r="A16453" s="5" t="str">
        <f>"H0015394"</f>
        <v>H0015394</v>
      </c>
      <c r="B16453" s="5" t="str">
        <f t="shared" si="845"/>
        <v>TAZA SOPERA EN ACERO INOXIDABLE</v>
      </c>
      <c r="C16453" s="6">
        <v>45</v>
      </c>
      <c r="D16453" s="5"/>
      <c r="E16453" s="5" t="str">
        <f t="shared" si="846"/>
        <v>SANDRA MILENA BUITRAGO ROJAS-ELEMENTOS PARA DAR DE BAJA</v>
      </c>
      <c r="F16453" s="5" t="str">
        <f>"Descripcion: TAZA SOPERA Estado: Bueno Placa anterior: 000018236 Material: ACERO INOX. Color: PLATEADO Referencia:  Observacion:  Placa padre: Tipo adquisicion: Entidad"</f>
        <v>Descripcion: TAZA SOPERA Estado: Bueno Placa anterior: 000018236 Material: ACERO INOX. Color: PLATEADO Referencia:  Observacion:  Placa padre: Tipo adquisicion: Entidad</v>
      </c>
      <c r="G16453" s="5"/>
    </row>
    <row r="16454" spans="1:7" ht="58.5" customHeight="1" x14ac:dyDescent="0.25">
      <c r="A16454" s="5" t="str">
        <f>"H0015395"</f>
        <v>H0015395</v>
      </c>
      <c r="B16454" s="5" t="str">
        <f t="shared" si="845"/>
        <v>TAZA SOPERA EN ACERO INOXIDABLE</v>
      </c>
      <c r="C16454" s="6">
        <v>45</v>
      </c>
      <c r="D16454" s="5"/>
      <c r="E16454" s="5" t="str">
        <f t="shared" si="846"/>
        <v>SANDRA MILENA BUITRAGO ROJAS-ELEMENTOS PARA DAR DE BAJA</v>
      </c>
      <c r="F16454" s="5" t="str">
        <f>"Descripcion: TAZA SOPERA Estado: Bueno Placa anterior: 000018237 Material: ACERO INOX. Color: PLATEADO Referencia:  Observacion:  Placa padre: Tipo adquisicion: Entidad"</f>
        <v>Descripcion: TAZA SOPERA Estado: Bueno Placa anterior: 000018237 Material: ACERO INOX. Color: PLATEADO Referencia:  Observacion:  Placa padre: Tipo adquisicion: Entidad</v>
      </c>
      <c r="G16454" s="5"/>
    </row>
    <row r="16455" spans="1:7" ht="58.5" customHeight="1" x14ac:dyDescent="0.25">
      <c r="A16455" s="5" t="str">
        <f>"H0015396"</f>
        <v>H0015396</v>
      </c>
      <c r="B16455" s="5" t="str">
        <f t="shared" si="845"/>
        <v>TAZA SOPERA EN ACERO INOXIDABLE</v>
      </c>
      <c r="C16455" s="6">
        <v>45</v>
      </c>
      <c r="D16455" s="5"/>
      <c r="E16455" s="5" t="str">
        <f t="shared" si="846"/>
        <v>SANDRA MILENA BUITRAGO ROJAS-ELEMENTOS PARA DAR DE BAJA</v>
      </c>
      <c r="F16455" s="5" t="str">
        <f>"Descripcion: TAZA SOPERA Estado: Bueno Placa anterior: 000018238 Material: ACERO INOX. Color: PLATEADO Referencia:  Observacion:  Placa padre: Tipo adquisicion: Entidad"</f>
        <v>Descripcion: TAZA SOPERA Estado: Bueno Placa anterior: 000018238 Material: ACERO INOX. Color: PLATEADO Referencia:  Observacion:  Placa padre: Tipo adquisicion: Entidad</v>
      </c>
      <c r="G16455" s="5"/>
    </row>
    <row r="16456" spans="1:7" ht="58.5" customHeight="1" x14ac:dyDescent="0.25">
      <c r="A16456" s="5" t="str">
        <f>"H0015397"</f>
        <v>H0015397</v>
      </c>
      <c r="B16456" s="5" t="str">
        <f t="shared" si="845"/>
        <v>TAZA SOPERA EN ACERO INOXIDABLE</v>
      </c>
      <c r="C16456" s="6">
        <v>45</v>
      </c>
      <c r="D16456" s="5"/>
      <c r="E16456" s="5" t="str">
        <f t="shared" si="846"/>
        <v>SANDRA MILENA BUITRAGO ROJAS-ELEMENTOS PARA DAR DE BAJA</v>
      </c>
      <c r="F16456" s="5" t="str">
        <f>"Descripcion: TAZA SOPERA Estado: Bueno Placa anterior: 000018239 Material: ACERO INOX. Color: PLATEADO Referencia:  Observacion:  Placa padre: Tipo adquisicion: Entidad"</f>
        <v>Descripcion: TAZA SOPERA Estado: Bueno Placa anterior: 000018239 Material: ACERO INOX. Color: PLATEADO Referencia:  Observacion:  Placa padre: Tipo adquisicion: Entidad</v>
      </c>
      <c r="G16456" s="5"/>
    </row>
    <row r="16457" spans="1:7" ht="58.5" customHeight="1" x14ac:dyDescent="0.25">
      <c r="A16457" s="5" t="str">
        <f>"H0015400"</f>
        <v>H0015400</v>
      </c>
      <c r="B16457" s="5" t="str">
        <f t="shared" si="845"/>
        <v>TAZA SOPERA EN ACERO INOXIDABLE</v>
      </c>
      <c r="C16457" s="6">
        <v>45</v>
      </c>
      <c r="D16457" s="5"/>
      <c r="E16457" s="5" t="str">
        <f t="shared" si="846"/>
        <v>SANDRA MILENA BUITRAGO ROJAS-ELEMENTOS PARA DAR DE BAJA</v>
      </c>
      <c r="F16457" s="5" t="str">
        <f>"Descripcion: TAZA SOPERA Estado: Bueno Placa anterior: 000018242 Material: ACERO INOX. Color: PLATEADO Referencia:  Observacion:  Placa padre: Tipo adquisicion: Entidad"</f>
        <v>Descripcion: TAZA SOPERA Estado: Bueno Placa anterior: 000018242 Material: ACERO INOX. Color: PLATEADO Referencia:  Observacion:  Placa padre: Tipo adquisicion: Entidad</v>
      </c>
      <c r="G16457" s="5"/>
    </row>
    <row r="16458" spans="1:7" ht="58.5" customHeight="1" x14ac:dyDescent="0.25">
      <c r="A16458" s="5" t="str">
        <f>"H0015403"</f>
        <v>H0015403</v>
      </c>
      <c r="B16458" s="5" t="str">
        <f t="shared" si="845"/>
        <v>TAZA SOPERA EN ACERO INOXIDABLE</v>
      </c>
      <c r="C16458" s="6">
        <v>45</v>
      </c>
      <c r="D16458" s="5"/>
      <c r="E16458" s="5" t="str">
        <f t="shared" si="846"/>
        <v>SANDRA MILENA BUITRAGO ROJAS-ELEMENTOS PARA DAR DE BAJA</v>
      </c>
      <c r="F16458" s="5" t="str">
        <f>"Descripcion: TAZA ACERO INOXIDABLE PEQUEÑA Estado: Bueno Placa anterior: 000018244 Material: ACEOR INOX Color:  Referencia:  Observacion:  Placa padre: Tipo adquisicion: Entidad"</f>
        <v>Descripcion: TAZA ACERO INOXIDABLE PEQUEÑA Estado: Bueno Placa anterior: 000018244 Material: ACEOR INOX Color:  Referencia:  Observacion:  Placa padre: Tipo adquisicion: Entidad</v>
      </c>
      <c r="G16458" s="5"/>
    </row>
    <row r="16459" spans="1:7" ht="58.5" customHeight="1" x14ac:dyDescent="0.25">
      <c r="A16459" s="5" t="str">
        <f>"H0015404"</f>
        <v>H0015404</v>
      </c>
      <c r="B16459" s="5" t="str">
        <f t="shared" si="845"/>
        <v>TAZA SOPERA EN ACERO INOXIDABLE</v>
      </c>
      <c r="C16459" s="6">
        <v>45</v>
      </c>
      <c r="D16459" s="5"/>
      <c r="E16459" s="5" t="str">
        <f t="shared" si="846"/>
        <v>SANDRA MILENA BUITRAGO ROJAS-ELEMENTOS PARA DAR DE BAJA</v>
      </c>
      <c r="F16459" s="5" t="str">
        <f>"Descripcion: TAZA ACERO INOXIDABLE PEQUEÑA Estado: Bueno Placa anterior: 000018245 Material: ACEOR INOX Color:  Referencia:  Observacion:  Placa padre: Tipo adquisicion: Entidad"</f>
        <v>Descripcion: TAZA ACERO INOXIDABLE PEQUEÑA Estado: Bueno Placa anterior: 000018245 Material: ACEOR INOX Color:  Referencia:  Observacion:  Placa padre: Tipo adquisicion: Entidad</v>
      </c>
      <c r="G16459" s="5"/>
    </row>
    <row r="16460" spans="1:7" ht="58.5" customHeight="1" x14ac:dyDescent="0.25">
      <c r="A16460" s="5" t="str">
        <f>"H0015415"</f>
        <v>H0015415</v>
      </c>
      <c r="B16460" s="5" t="str">
        <f t="shared" si="845"/>
        <v>TAZA SOPERA EN ACERO INOXIDABLE</v>
      </c>
      <c r="C16460" s="6">
        <v>45</v>
      </c>
      <c r="D16460" s="5"/>
      <c r="E16460" s="5" t="str">
        <f t="shared" si="846"/>
        <v>SANDRA MILENA BUITRAGO ROJAS-ELEMENTOS PARA DAR DE BAJA</v>
      </c>
      <c r="F16460" s="5" t="str">
        <f>"Descripcion: TAZA ACERO INOXIDABLE PEQUEÑA Estado: Bueno Placa anterior: 000018251 Material: ACEOR INOX Color:  Referencia:  Observacion:  Placa padre: Tipo adquisicion: Entidad"</f>
        <v>Descripcion: TAZA ACERO INOXIDABLE PEQUEÑA Estado: Bueno Placa anterior: 000018251 Material: ACEOR INOX Color:  Referencia:  Observacion:  Placa padre: Tipo adquisicion: Entidad</v>
      </c>
      <c r="G16460" s="5"/>
    </row>
    <row r="16461" spans="1:7" ht="58.5" customHeight="1" x14ac:dyDescent="0.25">
      <c r="A16461" s="5" t="str">
        <f>"H0015416"</f>
        <v>H0015416</v>
      </c>
      <c r="B16461" s="5" t="str">
        <f t="shared" si="845"/>
        <v>TAZA SOPERA EN ACERO INOXIDABLE</v>
      </c>
      <c r="C16461" s="6">
        <v>45</v>
      </c>
      <c r="D16461" s="5"/>
      <c r="E16461" s="5" t="str">
        <f t="shared" si="846"/>
        <v>SANDRA MILENA BUITRAGO ROJAS-ELEMENTOS PARA DAR DE BAJA</v>
      </c>
      <c r="F16461" s="5" t="str">
        <f>"Descripcion: TAZA ACERO INOXIDABLE PEQUEÑA Estado: Bueno Placa anterior: 000018252 Material: ACEOR INOX Color:  Referencia:  Observacion:  Placa padre: Tipo adquisicion: Entidad"</f>
        <v>Descripcion: TAZA ACERO INOXIDABLE PEQUEÑA Estado: Bueno Placa anterior: 000018252 Material: ACEOR INOX Color:  Referencia:  Observacion:  Placa padre: Tipo adquisicion: Entidad</v>
      </c>
      <c r="G16461" s="5"/>
    </row>
    <row r="16462" spans="1:7" ht="58.5" customHeight="1" x14ac:dyDescent="0.25">
      <c r="A16462" s="5" t="str">
        <f>"H0015424"</f>
        <v>H0015424</v>
      </c>
      <c r="B16462" s="5" t="str">
        <f t="shared" si="845"/>
        <v>TAZA SOPERA EN ACERO INOXIDABLE</v>
      </c>
      <c r="C16462" s="6">
        <v>45</v>
      </c>
      <c r="D16462" s="5"/>
      <c r="E16462" s="5" t="str">
        <f t="shared" si="846"/>
        <v>SANDRA MILENA BUITRAGO ROJAS-ELEMENTOS PARA DAR DE BAJA</v>
      </c>
      <c r="F16462" s="5" t="str">
        <f>"Descripcion: TAZA ACERO INOXIDABLE PEQUEÑA Estado: Bueno Placa anterior: 000018260 Material: ACEOR INOX Color:  Referencia:  Observacion:  Placa padre: Tipo adquisicion: Entidad"</f>
        <v>Descripcion: TAZA ACERO INOXIDABLE PEQUEÑA Estado: Bueno Placa anterior: 000018260 Material: ACEOR INOX Color:  Referencia:  Observacion:  Placa padre: Tipo adquisicion: Entidad</v>
      </c>
      <c r="G16462" s="5"/>
    </row>
    <row r="16463" spans="1:7" ht="58.5" customHeight="1" x14ac:dyDescent="0.25">
      <c r="A16463" s="5" t="str">
        <f>"H0015643"</f>
        <v>H0015643</v>
      </c>
      <c r="B16463" s="5" t="str">
        <f>"IMPRESORA MATRIZ DE PUNTOS"</f>
        <v>IMPRESORA MATRIZ DE PUNTOS</v>
      </c>
      <c r="C16463" s="6">
        <v>1350000</v>
      </c>
      <c r="D16463" s="5"/>
      <c r="E16463" s="5" t="str">
        <f t="shared" si="846"/>
        <v>SANDRA MILENA BUITRAGO ROJAS-ELEMENTOS PARA DAR DE BAJA</v>
      </c>
      <c r="F16463" s="5" t="str">
        <f>"Descripcion:IMPRESORA FX-890 Estado: Bueno Placa anterior: 000033603 Material: PLASTICO Color: GRIS CLARO Y OSCURO Referencia:  Observacion:  Placa padre:  Tipo adquisicion : Entidad"</f>
        <v>Descripcion:IMPRESORA FX-890 Estado: Bueno Placa anterior: 000033603 Material: PLASTICO Color: GRIS CLARO Y OSCURO Referencia:  Observacion:  Placa padre:  Tipo adquisicion : Entidad</v>
      </c>
      <c r="G16463" s="5" t="str">
        <f>"FX890"</f>
        <v>FX890</v>
      </c>
    </row>
    <row r="16464" spans="1:7" ht="58.5" customHeight="1" x14ac:dyDescent="0.25">
      <c r="A16464" s="5" t="str">
        <f>"H0015644"</f>
        <v>H0015644</v>
      </c>
      <c r="B16464" s="5" t="str">
        <f>"CALCULADORA ELECTRONICA MEDIANA"</f>
        <v>CALCULADORA ELECTRONICA MEDIANA</v>
      </c>
      <c r="C16464" s="6">
        <v>243600</v>
      </c>
      <c r="D16464" s="5"/>
      <c r="E16464" s="5" t="str">
        <f t="shared" si="846"/>
        <v>SANDRA MILENA BUITRAGO ROJAS-ELEMENTOS PARA DAR DE BAJA</v>
      </c>
      <c r="F16464" s="5" t="str">
        <f>"Descripcion:CALCULADORA CASIO DR 140 TM Estado: Bueno Placa anterior: 000026367 Material: PLASTICO Color: BEIGE Referencia:  Observacion:  Placa padre:  Tipo adquisicion : Entidad"</f>
        <v>Descripcion:CALCULADORA CASIO DR 140 TM Estado: Bueno Placa anterior: 000026367 Material: PLASTICO Color: BEIGE Referencia:  Observacion:  Placa padre:  Tipo adquisicion : Entidad</v>
      </c>
      <c r="G16464" s="5" t="str">
        <f>"DR-140PM"</f>
        <v>DR-140PM</v>
      </c>
    </row>
    <row r="16465" spans="1:7" ht="58.5" customHeight="1" x14ac:dyDescent="0.25">
      <c r="A16465" s="5" t="str">
        <f>"H0015945"</f>
        <v>H0015945</v>
      </c>
      <c r="B16465" s="5" t="str">
        <f>"SILLA INTERLOCUTORA (FIJA) SIN BRAZOS"</f>
        <v>SILLA INTERLOCUTORA (FIJA) SIN BRAZOS</v>
      </c>
      <c r="C16465" s="6">
        <v>5610</v>
      </c>
      <c r="D16465" s="5"/>
      <c r="E16465" s="5" t="str">
        <f t="shared" si="846"/>
        <v>SANDRA MILENA BUITRAGO ROJAS-ELEMENTOS PARA DAR DE BAJA</v>
      </c>
      <c r="F16465" s="5" t="str">
        <f>"Descripcion: SILLA FIJA SIN BRAZOS COLOR MARRON Estado: Bueno Placa anterior: 000024076 Material: METALICO Color: TAPIZADO EN SEMICUERO MARRON Referencia:  Observacion:  Placa padre: Tipo adquisicion: Entidad"</f>
        <v>Descripcion: SILLA FIJA SIN BRAZOS COLOR MARRON Estado: Bueno Placa anterior: 000024076 Material: METALICO Color: TAPIZADO EN SEMICUERO MARRON Referencia:  Observacion:  Placa padre: Tipo adquisicion: Entidad</v>
      </c>
      <c r="G16465" s="5"/>
    </row>
    <row r="16466" spans="1:7" ht="58.5" customHeight="1" x14ac:dyDescent="0.25">
      <c r="A16466" s="5" t="str">
        <f>"H0016133"</f>
        <v>H0016133</v>
      </c>
      <c r="B16466" s="5" t="str">
        <f>"SILLA ERGONOMICA SIN BRAZOS CON REPOSAPIES"</f>
        <v>SILLA ERGONOMICA SIN BRAZOS CON REPOSAPIES</v>
      </c>
      <c r="C16466" s="6">
        <v>323640</v>
      </c>
      <c r="D16466" s="5"/>
      <c r="E16466" s="5" t="str">
        <f t="shared" si="846"/>
        <v>SANDRA MILENA BUITRAGO ROJAS-ELEMENTOS PARA DAR DE BAJA</v>
      </c>
      <c r="F16466" s="5" t="str">
        <f>"Descripcion: SILLA ERGONOMICA AT 03 COLUM (CAJERO ALTO TA) ASIENTO CUEROESPALDAR CUERO  Estado: Regular Placa anterior: 000025233 Material: PASTA Color: NEGRO Referencia:  Observacion:  Placa padre: Tipo adquisicion: Entidad"</f>
        <v>Descripcion: SILLA ERGONOMICA AT 03 COLUM (CAJERO ALTO TA) ASIENTO CUEROESPALDAR CUERO  Estado: Regular Placa anterior: 000025233 Material: PASTA Color: NEGRO Referencia:  Observacion:  Placa padre: Tipo adquisicion: Entidad</v>
      </c>
      <c r="G16466" s="5"/>
    </row>
    <row r="16467" spans="1:7" ht="58.5" customHeight="1" x14ac:dyDescent="0.25">
      <c r="A16467" s="5" t="str">
        <f>"H0016254"</f>
        <v>H0016254</v>
      </c>
      <c r="B16467" s="5" t="str">
        <f>"MONITOR LCD"</f>
        <v>MONITOR LCD</v>
      </c>
      <c r="C16467" s="6">
        <v>760000</v>
      </c>
      <c r="D16467" s="5"/>
      <c r="E16467" s="5" t="str">
        <f t="shared" si="846"/>
        <v>SANDRA MILENA BUITRAGO ROJAS-ELEMENTOS PARA DAR DE BAJA</v>
      </c>
      <c r="F16467" s="5" t="str">
        <f>"Descripcion:MONITOR LCD DE 17 O SUPERIOR Estado: Inservible Placa anterior: 000029272 Material: PLASTICO Color: NEGRO Referencia:  Observacion:  Placa padre:  Tipo adquisicion : Entidad"</f>
        <v>Descripcion:MONITOR LCD DE 17 O SUPERIOR Estado: Inservible Placa anterior: 000029272 Material: PLASTICO Color: NEGRO Referencia:  Observacion:  Placa padre:  Tipo adquisicion : Entidad</v>
      </c>
      <c r="G16467" s="5" t="str">
        <f>"W1742ST"</f>
        <v>W1742ST</v>
      </c>
    </row>
    <row r="16468" spans="1:7" ht="58.5" customHeight="1" x14ac:dyDescent="0.25">
      <c r="A16468" s="5" t="str">
        <f>"H0017332"</f>
        <v>H0017332</v>
      </c>
      <c r="B16468" s="5" t="str">
        <f>"CARRO MANUAL PARA TRANSPORTE OBJETOS"</f>
        <v>CARRO MANUAL PARA TRANSPORTE OBJETOS</v>
      </c>
      <c r="C16468" s="6">
        <v>50000</v>
      </c>
      <c r="D16468" s="5"/>
      <c r="E16468" s="5" t="str">
        <f t="shared" si="846"/>
        <v>SANDRA MILENA BUITRAGO ROJAS-ELEMENTOS PARA DAR DE BAJA</v>
      </c>
      <c r="F16468" s="5" t="str">
        <f>"Descripcion: OXIDOPELADO Estado: Regular Placa anterior: 000024893 Material: METALICO Color: GRIS Referencia:  Observacion:  Placa padre: Tipo adquisicion: Entidad"</f>
        <v>Descripcion: OXIDOPELADO Estado: Regular Placa anterior: 000024893 Material: METALICO Color: GRIS Referencia:  Observacion:  Placa padre: Tipo adquisicion: Entidad</v>
      </c>
      <c r="G16468" s="5"/>
    </row>
    <row r="16469" spans="1:7" ht="58.5" customHeight="1" x14ac:dyDescent="0.25">
      <c r="A16469" s="5" t="str">
        <f>"H0017387"</f>
        <v>H0017387</v>
      </c>
      <c r="B16469" s="5" t="str">
        <f>"COMPUTADOR TODO EN UNO"</f>
        <v>COMPUTADOR TODO EN UNO</v>
      </c>
      <c r="C16469" s="6">
        <v>1572000</v>
      </c>
      <c r="D16469" s="5" t="s">
        <v>346</v>
      </c>
      <c r="E16469" s="5" t="str">
        <f t="shared" si="846"/>
        <v>SANDRA MILENA BUITRAGO ROJAS-ELEMENTOS PARA DAR DE BAJA</v>
      </c>
      <c r="F16469" s="5" t="str">
        <f>"Descripcion: EQUIPOS DE COMPUTO TODO EN UNO PROCESADOR CORE 3.0 SUPERIOR CORPORATIVO WINDOWS 8 PRO- OFFICE 2013 SMALL BUSINES, TECNOLOGIA HT DE INTEL GARANTIA EXTENDIDA A 3 AÑOS Estado: Bueno Placa anterior: 000030678 Material: PASTA Color: NEGRO Referenc"&amp; "ia: C9G88LT#ABM Observacion:  Placa anterior:, Placa nueva=H0017388, Descripcion:., Serial:BDMHE0CHH5VLKK, Marca:HP, Modelo:KB57211, Material:PASTA, Color:NEGRO,   Referencia:672647-163, Placa anterior:, Placa nueva=H0017389, Descripcion:OPTICO, Serial:FC"&amp; "MHH0A9W5UJ9K, Marca:HP, Modelo:MOFYUO, Material:PASTA, Color:NEGRO,   Referencia:672652-001 Placa padre: Tipo adquisicion: Entidad"</f>
        <v>Descripcion: EQUIPOS DE COMPUTO TODO EN UNO PROCESADOR CORE 3.0 SUPERIOR CORPORATIVO WINDOWS 8 PRO- OFFICE 2013 SMALL BUSINES, TECNOLOGIA HT DE INTEL GARANTIA EXTENDIDA A 3 AÑOS Estado: Bueno Placa anterior: 000030678 Material: PASTA Color: NEGRO Referencia: C9G88LT#ABM Observacion:  Placa anterior:, Placa nueva=H0017388, Descripcion:., Serial:BDMHE0CHH5VLKK, Marca:HP, Modelo:KB57211, Material:PASTA, Color:NEGRO,   Referencia:672647-163, Placa anterior:, Placa nueva=H0017389, Descripcion:OPTICO, Serial:FCMHH0A9W5UJ9K, Marca:HP, Modelo:MOFYUO, Material:PASTA, Color:NEGRO,   Referencia:672652-001 Placa padre: Tipo adquisicion: Entidad</v>
      </c>
      <c r="G16469" s="5" t="str">
        <f>"HP COMPAQ PRO 4300"</f>
        <v>HP COMPAQ PRO 4300</v>
      </c>
    </row>
    <row r="16470" spans="1:7" ht="58.5" customHeight="1" x14ac:dyDescent="0.25">
      <c r="A16470" s="5" t="str">
        <f>"H0017396"</f>
        <v>H0017396</v>
      </c>
      <c r="B16470" s="5" t="str">
        <f>"IMPRESORA LASER"</f>
        <v>IMPRESORA LASER</v>
      </c>
      <c r="C16470" s="6">
        <v>767441</v>
      </c>
      <c r="D16470" s="5"/>
      <c r="E16470" s="5" t="str">
        <f t="shared" si="846"/>
        <v>SANDRA MILENA BUITRAGO ROJAS-ELEMENTOS PARA DAR DE BAJA</v>
      </c>
      <c r="F16470" s="5" t="str">
        <f>"Descripcion: IMPRESORA HP CE749A BGJ HP IMP 1606DN SUPLEX RED 10/100 Estado: Bueno Placa anterior: 000029528 Material: PASTA Color: NEGRO Referencia: CE749A Observacion:  Placa padre: Tipo adquisicion: Entidad"</f>
        <v>Descripcion: IMPRESORA HP CE749A BGJ HP IMP 1606DN SUPLEX RED 10/100 Estado: Bueno Placa anterior: 000029528 Material: PASTA Color: NEGRO Referencia: CE749A Observacion:  Placa padre: Tipo adquisicion: Entidad</v>
      </c>
      <c r="G16470" s="5" t="str">
        <f>"HP LASERJET P1606DN"</f>
        <v>HP LASERJET P1606DN</v>
      </c>
    </row>
    <row r="16471" spans="1:7" ht="58.5" customHeight="1" x14ac:dyDescent="0.25">
      <c r="A16471" s="5" t="str">
        <f>"H0017745"</f>
        <v>H0017745</v>
      </c>
      <c r="B16471" s="5" t="str">
        <f>"MONITOR LCD"</f>
        <v>MONITOR LCD</v>
      </c>
      <c r="C16471" s="6">
        <v>695000</v>
      </c>
      <c r="D16471" s="5"/>
      <c r="E16471" s="5" t="str">
        <f t="shared" si="846"/>
        <v>SANDRA MILENA BUITRAGO ROJAS-ELEMENTOS PARA DAR DE BAJA</v>
      </c>
      <c r="F16471" s="5" t="str">
        <f>"Descripcion:MONITOR LCD 17 Estado: Bueno Placa anterior: 000033586 Material: PLASTICO Color: NEGRO Referencia:  Observacion:  Placa padre:  Tipo adquisicion : Entidad"</f>
        <v>Descripcion:MONITOR LCD 17 Estado: Bueno Placa anterior: 000033586 Material: PLASTICO Color: NEGRO Referencia:  Observacion:  Placa padre:  Tipo adquisicion : Entidad</v>
      </c>
      <c r="G16471" s="5" t="str">
        <f>"E2200HDA LCD"</f>
        <v>E2200HDA LCD</v>
      </c>
    </row>
    <row r="16472" spans="1:7" ht="58.5" customHeight="1" x14ac:dyDescent="0.25">
      <c r="A16472" s="5" t="str">
        <f>"H0017785"</f>
        <v>H0017785</v>
      </c>
      <c r="B16472" s="5" t="str">
        <f>"CARRO PARA TRANSPORTAR ROPA"</f>
        <v>CARRO PARA TRANSPORTAR ROPA</v>
      </c>
      <c r="C16472" s="6">
        <v>56650</v>
      </c>
      <c r="D16472" s="5"/>
      <c r="E16472" s="5" t="str">
        <f t="shared" si="846"/>
        <v>SANDRA MILENA BUITRAGO ROJAS-ELEMENTOS PARA DAR DE BAJA</v>
      </c>
      <c r="F16472" s="5" t="str">
        <f>"Descripcion:CARRO PARA TRANSPORTE DE ROPA LIMPIA Estado: Bueno Placa anterior: 000028170 Material: METALICO Color: GRIS Referencia:  Observacion:  Placa padre:  Tipo adquisicion : Entidad"</f>
        <v>Descripcion:CARRO PARA TRANSPORTE DE ROPA LIMPIA Estado: Bueno Placa anterior: 000028170 Material: METALICO Color: GRIS Referencia:  Observacion:  Placa padre:  Tipo adquisicion : Entidad</v>
      </c>
      <c r="G16472" s="5"/>
    </row>
    <row r="16473" spans="1:7" ht="58.5" customHeight="1" x14ac:dyDescent="0.25">
      <c r="A16473" s="5" t="str">
        <f>"H0017786"</f>
        <v>H0017786</v>
      </c>
      <c r="B16473" s="5" t="str">
        <f>"CARRO PARA TRANSPORTAR ROPA"</f>
        <v>CARRO PARA TRANSPORTAR ROPA</v>
      </c>
      <c r="C16473" s="6">
        <v>56650</v>
      </c>
      <c r="D16473" s="5"/>
      <c r="E16473" s="5" t="str">
        <f t="shared" si="846"/>
        <v>SANDRA MILENA BUITRAGO ROJAS-ELEMENTOS PARA DAR DE BAJA</v>
      </c>
      <c r="F16473" s="5" t="str">
        <f>"Descripcion:CARRO PARA TRANSPORTE DE ROPA LIMPIA Estado: Bueno Placa anterior: 000028184 Material: METALICO Color: GRIS Referencia:  Observacion: EL BIEN TIENE PLACA ANTERIOR  000028757. EL FUNCIONARIO AUTORIZA SE CONCILIE CON LA PLACA  28184 Placa padre:"&amp; "  Tipo adquisicion : Entidad"</f>
        <v>Descripcion:CARRO PARA TRANSPORTE DE ROPA LIMPIA Estado: Bueno Placa anterior: 000028184 Material: METALICO Color: GRIS Referencia:  Observacion: EL BIEN TIENE PLACA ANTERIOR  000028757. EL FUNCIONARIO AUTORIZA SE CONCILIE CON LA PLACA  28184 Placa padre:  Tipo adquisicion : Entidad</v>
      </c>
      <c r="G16473" s="5"/>
    </row>
    <row r="16474" spans="1:7" ht="58.5" customHeight="1" x14ac:dyDescent="0.25">
      <c r="A16474" s="5" t="str">
        <f>"H0017789"</f>
        <v>H0017789</v>
      </c>
      <c r="B16474" s="5" t="str">
        <f>"CARRO TRANSPORTADOR"</f>
        <v>CARRO TRANSPORTADOR</v>
      </c>
      <c r="C16474" s="6">
        <v>56650</v>
      </c>
      <c r="D16474" s="5"/>
      <c r="E16474" s="5" t="str">
        <f t="shared" si="846"/>
        <v>SANDRA MILENA BUITRAGO ROJAS-ELEMENTOS PARA DAR DE BAJA</v>
      </c>
      <c r="F16474" s="5" t="str">
        <f>"Descripcion:CARRO TRANSPORTADOR CON 2 ENTREPAÑOS Estado: Bueno Placa anterior: 000028169 Material: METALICO Color: GRIS Referencia:  Observacion: EL FUNCIONARIO AUTORIZA SE CONCILIE CON LA PLACA No. 28169. Placa padre:  Tipo adquisicion : Entidad"</f>
        <v>Descripcion:CARRO TRANSPORTADOR CON 2 ENTREPAÑOS Estado: Bueno Placa anterior: 000028169 Material: METALICO Color: GRIS Referencia:  Observacion: EL FUNCIONARIO AUTORIZA SE CONCILIE CON LA PLACA No. 28169. Placa padre:  Tipo adquisicion : Entidad</v>
      </c>
      <c r="G16474" s="5"/>
    </row>
    <row r="16475" spans="1:7" ht="58.5" customHeight="1" x14ac:dyDescent="0.25">
      <c r="A16475" s="5" t="str">
        <f>"H0017791"</f>
        <v>H0017791</v>
      </c>
      <c r="B16475" s="5" t="str">
        <f>"CARRO PARA TRANSPORTAR ROPA"</f>
        <v>CARRO PARA TRANSPORTAR ROPA</v>
      </c>
      <c r="C16475" s="6">
        <v>60000</v>
      </c>
      <c r="D16475" s="5"/>
      <c r="E16475" s="5" t="str">
        <f t="shared" si="846"/>
        <v>SANDRA MILENA BUITRAGO ROJAS-ELEMENTOS PARA DAR DE BAJA</v>
      </c>
      <c r="F16475" s="5" t="str">
        <f>"Descripcion:CARRO TRANSPORTADOR DE ROPA Estado: Bueno Placa anterior: 000028182 Material: METALICO Color: PLATEADO Referencia:  Observacion:  Placa padre:  Tipo adquisicion : Entidad"</f>
        <v>Descripcion:CARRO TRANSPORTADOR DE ROPA Estado: Bueno Placa anterior: 000028182 Material: METALICO Color: PLATEADO Referencia:  Observacion:  Placa padre:  Tipo adquisicion : Entidad</v>
      </c>
      <c r="G16475" s="5"/>
    </row>
    <row r="16476" spans="1:7" ht="58.5" customHeight="1" x14ac:dyDescent="0.25">
      <c r="A16476" s="5" t="str">
        <f>"H0017792"</f>
        <v>H0017792</v>
      </c>
      <c r="B16476" s="5" t="str">
        <f>"CARRO PARA TRANSPORTAR ROPA"</f>
        <v>CARRO PARA TRANSPORTAR ROPA</v>
      </c>
      <c r="C16476" s="6">
        <v>60000</v>
      </c>
      <c r="D16476" s="5"/>
      <c r="E16476" s="5" t="str">
        <f t="shared" si="846"/>
        <v>SANDRA MILENA BUITRAGO ROJAS-ELEMENTOS PARA DAR DE BAJA</v>
      </c>
      <c r="F16476" s="5" t="str">
        <f>"Descripcion:CARRO TRANSPORTADOR DE ROPA Estado: Bueno Placa anterior: 000028181 Material: METALICO Color: PLATEADO Referencia:  Observacion:  Placa padre:  Tipo adquisicion : Entidad"</f>
        <v>Descripcion:CARRO TRANSPORTADOR DE ROPA Estado: Bueno Placa anterior: 000028181 Material: METALICO Color: PLATEADO Referencia:  Observacion:  Placa padre:  Tipo adquisicion : Entidad</v>
      </c>
      <c r="G16476" s="5"/>
    </row>
    <row r="16477" spans="1:7" ht="58.5" customHeight="1" x14ac:dyDescent="0.25">
      <c r="A16477" s="5" t="str">
        <f>"H0017802"</f>
        <v>H0017802</v>
      </c>
      <c r="B16477" s="5" t="str">
        <f>"ESCRITORIO METALICO DE 6 GAVETAS"</f>
        <v>ESCRITORIO METALICO DE 6 GAVETAS</v>
      </c>
      <c r="C16477" s="6">
        <v>52630</v>
      </c>
      <c r="D16477" s="5"/>
      <c r="E16477" s="5" t="str">
        <f t="shared" si="846"/>
        <v>SANDRA MILENA BUITRAGO ROJAS-ELEMENTOS PARA DAR DE BAJA</v>
      </c>
      <c r="F16477" s="5" t="str">
        <f>"Descripcion: ESCRITORIO TIPO GERENTE. CON SUPERFICIE EN FORMICA Y VIDRIO. 6 GAVETAS Estado: Bueno Placa anterior: 000000720 Material: METALICO Y FORMICA Color: GRIS Y MARRON Referencia:  Observacion:  Placa padre: Tipo adquisicion: Entidad"</f>
        <v>Descripcion: ESCRITORIO TIPO GERENTE. CON SUPERFICIE EN FORMICA Y VIDRIO. 6 GAVETAS Estado: Bueno Placa anterior: 000000720 Material: METALICO Y FORMICA Color: GRIS Y MARRON Referencia:  Observacion:  Placa padre: Tipo adquisicion: Entidad</v>
      </c>
      <c r="G16477" s="5"/>
    </row>
    <row r="16478" spans="1:7" ht="58.5" customHeight="1" x14ac:dyDescent="0.25">
      <c r="A16478" s="5" t="str">
        <f>"H0018014"</f>
        <v>H0018014</v>
      </c>
      <c r="B16478" s="5" t="str">
        <f>"CALCULADORA ELECTRICA DE 12 DIGITOS"</f>
        <v>CALCULADORA ELECTRICA DE 12 DIGITOS</v>
      </c>
      <c r="C16478" s="6">
        <v>205000</v>
      </c>
      <c r="D16478" s="5"/>
      <c r="E16478" s="5" t="str">
        <f t="shared" si="846"/>
        <v>SANDRA MILENA BUITRAGO ROJAS-ELEMENTOS PARA DAR DE BAJA</v>
      </c>
      <c r="F16478" s="5" t="str">
        <f>"Descripcion: CALCULADORA ELECTRICA DE 12 DIGITOS Estado: Bueno Placa anterior: 000028253 Material: PASTA Color: NEGRO Referencia:  Observacion:  Placa padre: Tipo adquisicion: Entidad"</f>
        <v>Descripcion: CALCULADORA ELECTRICA DE 12 DIGITOS Estado: Bueno Placa anterior: 000028253 Material: PASTA Color: NEGRO Referencia:  Observacion:  Placa padre: Tipo adquisicion: Entidad</v>
      </c>
      <c r="G16478" s="5" t="str">
        <f>"DR-120TM"</f>
        <v>DR-120TM</v>
      </c>
    </row>
    <row r="16479" spans="1:7" ht="58.5" customHeight="1" x14ac:dyDescent="0.25">
      <c r="A16479" s="5" t="str">
        <f>"H0018040"</f>
        <v>H0018040</v>
      </c>
      <c r="B16479" s="5" t="str">
        <f>"IMPRESORA LASER"</f>
        <v>IMPRESORA LASER</v>
      </c>
      <c r="C16479" s="6">
        <v>657102</v>
      </c>
      <c r="D16479" s="5" t="s">
        <v>240</v>
      </c>
      <c r="E16479" s="5" t="str">
        <f t="shared" si="846"/>
        <v>SANDRA MILENA BUITRAGO ROJAS-ELEMENTOS PARA DAR DE BAJA</v>
      </c>
      <c r="F16479" s="5" t="str">
        <f>"Descripcion: IMPRESORA LASER EN BLANCO Y NEGRO CON CAPACIDAD DE IMPRESION A DOBLE CARA AUTOMATICA, COMPATIBLE CON WINDOWS XP Y WINDOWS 7 RECOMENDADA (HP1006) Estado: Bueno Placa anterior: 000030010 Material: PASTA Color: NEGRO Referencia:  Observacion:  P"&amp; "laca padre: Tipo adquisicion: Entidad"</f>
        <v>Descripcion: IMPRESORA LASER EN BLANCO Y NEGRO CON CAPACIDAD DE IMPRESION A DOBLE CARA AUTOMATICA, COMPATIBLE CON WINDOWS XP Y WINDOWS 7 RECOMENDADA (HP1006) Estado: Bueno Placa anterior: 000030010 Material: PASTA Color: NEGRO Referencia:  Observacion:  Placa padre: Tipo adquisicion: Entidad</v>
      </c>
      <c r="G16479" s="5" t="str">
        <f>"LASERJET P1606DN"</f>
        <v>LASERJET P1606DN</v>
      </c>
    </row>
    <row r="16480" spans="1:7" ht="58.5" customHeight="1" x14ac:dyDescent="0.25">
      <c r="A16480" s="5" t="str">
        <f>"H0018775"</f>
        <v>H0018775</v>
      </c>
      <c r="B16480" s="5" t="str">
        <f>"COMPUTADOR TODO EN UNO"</f>
        <v>COMPUTADOR TODO EN UNO</v>
      </c>
      <c r="C16480" s="6">
        <v>2470000</v>
      </c>
      <c r="D16480" s="5" t="s">
        <v>6</v>
      </c>
      <c r="E16480" s="5" t="str">
        <f t="shared" si="846"/>
        <v>SANDRA MILENA BUITRAGO ROJAS-ELEMENTOS PARA DAR DE BAJA</v>
      </c>
      <c r="F16480" s="5" t="str">
        <f>"Descripcion: EQUIPO DE COMPUTO TODO EN UNO CON PROCESADOR INTEL i5 Estado: Bueno Placa anterior: 000037015 Material: PASTA Color: NEGRO Referencia:  Observacion:  Placa anterior:, Placa nueva=H0018777, Descripcion:MOUSE OPTICO, Serial:44MG113, Marca:LENOV"&amp; "O, Modelo:MOEUUOA, Material:PASTA, Color:NEGRO,   Referencia:, Placa anterior:, Placa nueva=H0018776, Descripcion:TECLADO, Serial:8258515, Marca:LENOVO, Modelo:KU-0225, Material:PASTA, Color:NEGRO,   Referencia: Placa padre: Tipo adquisicion: Entidad"</f>
        <v>Descripcion: EQUIPO DE COMPUTO TODO EN UNO CON PROCESADOR INTEL i5 Estado: Bueno Placa anterior: 000037015 Material: PASTA Color: NEGRO Referencia:  Observacion:  Placa anterior:, Placa nueva=H0018777, Descripcion:MOUSE OPTICO, Serial:44MG113, Marca:LENOVO, Modelo:MOEUUOA, Material:PASTA, Color:NEGRO,   Referencia:, Placa anterior:, Placa nueva=H0018776, Descripcion:TECLADO, Serial:8258515, Marca:LENOVO, Modelo:KU-0225, Material:PASTA, Color:NEGRO,   Referencia: Placa padre: Tipo adquisicion: Entidad</v>
      </c>
      <c r="G16480" s="5" t="str">
        <f>"THINKCENTRE"</f>
        <v>THINKCENTRE</v>
      </c>
    </row>
    <row r="16481" spans="1:7" ht="58.5" customHeight="1" x14ac:dyDescent="0.25">
      <c r="A16481" s="5" t="str">
        <f>"H0020374"</f>
        <v>H0020374</v>
      </c>
      <c r="B16481" s="5" t="str">
        <f>"AIRE ACONDICIONADO CENTRAL (INTEGRAL)"</f>
        <v>AIRE ACONDICIONADO CENTRAL (INTEGRAL)</v>
      </c>
      <c r="C16481" s="6">
        <v>2030000</v>
      </c>
      <c r="D16481" s="5"/>
      <c r="E16481" s="5" t="str">
        <f t="shared" si="846"/>
        <v>SANDRA MILENA BUITRAGO ROJAS-ELEMENTOS PARA DAR DE BAJA</v>
      </c>
      <c r="F16481" s="5" t="str">
        <f>"Descripcion: AIRE ACONDICIONADO INTEGRAL VA PARA FARMACIA Estado: Bueno Placa anterior:  Material: METALICO Color: GRIS Referencia:  Observacion:  Placa padre: Tipo adquisicion: Entidad"</f>
        <v>Descripcion: AIRE ACONDICIONADO INTEGRAL VA PARA FARMACIA Estado: Bueno Placa anterior:  Material: METALICO Color: GRIS Referencia:  Observacion:  Placa padre: Tipo adquisicion: Entidad</v>
      </c>
      <c r="G16481" s="5" t="str">
        <f>"H1RA048S25G"</f>
        <v>H1RA048S25G</v>
      </c>
    </row>
    <row r="16482" spans="1:7" ht="58.5" customHeight="1" x14ac:dyDescent="0.25">
      <c r="A16482" s="5" t="str">
        <f>"H0020375"</f>
        <v>H0020375</v>
      </c>
      <c r="B16482" s="5" t="str">
        <f>"AIRE ACONDICIONADO CENTRAL (INTEGRAL)"</f>
        <v>AIRE ACONDICIONADO CENTRAL (INTEGRAL)</v>
      </c>
      <c r="C16482" s="6">
        <v>27702712</v>
      </c>
      <c r="D16482" s="5"/>
      <c r="E16482" s="5" t="str">
        <f t="shared" si="846"/>
        <v>SANDRA MILENA BUITRAGO ROJAS-ELEMENTOS PARA DAR DE BAJA</v>
      </c>
      <c r="F16482" s="5" t="str">
        <f>"Descripcion: AIRE ACONDICIONADO INTEGRAL VA PARA FARMACIA Estado: Bueno Placa anterior: 000023687 Material: METALICO Color: GRIS Referencia:  Observacion: AUTORIZADO CONCILIAR EN CRUCE GENERAL Placa padre: Tipo adquisicion: Entidad"</f>
        <v>Descripcion: AIRE ACONDICIONADO INTEGRAL VA PARA FARMACIA Estado: Bueno Placa anterior: 000023687 Material: METALICO Color: GRIS Referencia:  Observacion: AUTORIZADO CONCILIAR EN CRUCE GENERAL Placa padre: Tipo adquisicion: Entidad</v>
      </c>
      <c r="G16482" s="5" t="str">
        <f>"H1RA048S25G"</f>
        <v>H1RA048S25G</v>
      </c>
    </row>
    <row r="16483" spans="1:7" ht="58.5" customHeight="1" x14ac:dyDescent="0.25">
      <c r="A16483" s="5" t="str">
        <f>"H0022262"</f>
        <v>H0022262</v>
      </c>
      <c r="B16483" s="5" t="str">
        <f>"CONGELADOR DE PLASMA"</f>
        <v>CONGELADOR DE PLASMA</v>
      </c>
      <c r="C16483" s="6">
        <v>42340000</v>
      </c>
      <c r="D16483" s="5" t="s">
        <v>61</v>
      </c>
      <c r="E16483" s="5" t="str">
        <f t="shared" si="846"/>
        <v>SANDRA MILENA BUITRAGO ROJAS-ELEMENTOS PARA DAR DE BAJA</v>
      </c>
      <c r="F16483" s="5"/>
      <c r="G16483" s="5"/>
    </row>
    <row r="16484" spans="1:7" ht="58.5" customHeight="1" x14ac:dyDescent="0.25">
      <c r="A16484" s="5" t="str">
        <f>"H0022265"</f>
        <v>H0022265</v>
      </c>
      <c r="B16484" s="5" t="str">
        <f>"ENDOSCOPIO PEDIATRICO"</f>
        <v>ENDOSCOPIO PEDIATRICO</v>
      </c>
      <c r="C16484" s="6">
        <v>307400000</v>
      </c>
      <c r="D16484" s="5" t="s">
        <v>61</v>
      </c>
      <c r="E16484" s="5" t="str">
        <f t="shared" si="846"/>
        <v>SANDRA MILENA BUITRAGO ROJAS-ELEMENTOS PARA DAR DE BAJA</v>
      </c>
      <c r="F16484" s="5"/>
      <c r="G16484" s="5"/>
    </row>
    <row r="16485" spans="1:7" ht="58.5" customHeight="1" x14ac:dyDescent="0.25">
      <c r="A16485" s="5" t="str">
        <f>"H0024402"</f>
        <v>H0024402</v>
      </c>
      <c r="B16485" s="5" t="str">
        <f>"ACCES POINT INALAMBRICO PARA INTERIORES.BANDA 2.4 y 5 Ghz. 3x3 ANTENAS MIMO. 2 PUERTOS DE RED.INCLUYE FUENTE DE ALIMENTACIÓN. PUERTO USB"</f>
        <v>ACCES POINT INALAMBRICO PARA INTERIORES.BANDA 2.4 y 5 Ghz. 3x3 ANTENAS MIMO. 2 PUERTOS DE RED.INCLUYE FUENTE DE ALIMENTACIÓN. PUERTO USB</v>
      </c>
      <c r="C16485" s="6">
        <v>3364000</v>
      </c>
      <c r="D16485" s="5" t="s">
        <v>791</v>
      </c>
      <c r="E16485" s="5" t="str">
        <f t="shared" si="846"/>
        <v>SANDRA MILENA BUITRAGO ROJAS-ELEMENTOS PARA DAR DE BAJA</v>
      </c>
      <c r="F16485" s="5"/>
      <c r="G16485" s="5"/>
    </row>
    <row r="16486" spans="1:7" ht="58.5" customHeight="1" x14ac:dyDescent="0.25">
      <c r="A16486" s="5" t="str">
        <f>"H0024570"</f>
        <v>H0024570</v>
      </c>
      <c r="B1648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6486" s="6">
        <v>2600000</v>
      </c>
      <c r="D16486" s="5" t="s">
        <v>36</v>
      </c>
      <c r="E16486" s="5" t="str">
        <f t="shared" si="846"/>
        <v>SANDRA MILENA BUITRAGO ROJAS-ELEMENTOS PARA DAR DE BAJA</v>
      </c>
      <c r="F16486" s="5"/>
      <c r="G16486" s="5"/>
    </row>
    <row r="16487" spans="1:7" ht="58.5" customHeight="1" x14ac:dyDescent="0.25">
      <c r="A16487" s="5" t="str">
        <f>"H0024595"</f>
        <v>H0024595</v>
      </c>
      <c r="B1648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6487" s="6">
        <v>2600000</v>
      </c>
      <c r="D16487" s="5" t="s">
        <v>36</v>
      </c>
      <c r="E16487" s="5" t="str">
        <f t="shared" si="846"/>
        <v>SANDRA MILENA BUITRAGO ROJAS-ELEMENTOS PARA DAR DE BAJA</v>
      </c>
      <c r="F16487" s="5"/>
      <c r="G16487" s="5"/>
    </row>
    <row r="16488" spans="1:7" ht="58.5" customHeight="1" x14ac:dyDescent="0.25">
      <c r="A16488" s="5" t="str">
        <f>"H0025311"</f>
        <v>H0025311</v>
      </c>
      <c r="B16488" s="5" t="str">
        <f t="shared" ref="B16488:B16493" si="847">"TELÉFONO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88" s="6">
        <v>312156</v>
      </c>
      <c r="D16488" s="5" t="s">
        <v>10</v>
      </c>
      <c r="E16488" s="5" t="str">
        <f t="shared" si="846"/>
        <v>SANDRA MILENA BUITRAGO ROJAS-ELEMENTOS PARA DAR DE BAJA</v>
      </c>
      <c r="F16488" s="5"/>
      <c r="G16488" s="5"/>
    </row>
    <row r="16489" spans="1:7" ht="58.5" customHeight="1" x14ac:dyDescent="0.25">
      <c r="A16489" s="5" t="str">
        <f>"H0025337"</f>
        <v>H0025337</v>
      </c>
      <c r="B16489" s="5" t="str">
        <f t="shared" si="847"/>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89" s="6">
        <v>312156</v>
      </c>
      <c r="D16489" s="5" t="s">
        <v>10</v>
      </c>
      <c r="E16489" s="5" t="str">
        <f t="shared" si="846"/>
        <v>SANDRA MILENA BUITRAGO ROJAS-ELEMENTOS PARA DAR DE BAJA</v>
      </c>
      <c r="F16489" s="5"/>
      <c r="G16489" s="5" t="str">
        <f>"GXP1628"</f>
        <v>GXP1628</v>
      </c>
    </row>
    <row r="16490" spans="1:7" ht="58.5" customHeight="1" x14ac:dyDescent="0.25">
      <c r="A16490" s="5" t="str">
        <f>"H0025356"</f>
        <v>H0025356</v>
      </c>
      <c r="B16490" s="5" t="str">
        <f t="shared" si="847"/>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90" s="6">
        <v>312156</v>
      </c>
      <c r="D16490" s="5" t="s">
        <v>10</v>
      </c>
      <c r="E16490" s="5" t="str">
        <f t="shared" si="846"/>
        <v>SANDRA MILENA BUITRAGO ROJAS-ELEMENTOS PARA DAR DE BAJA</v>
      </c>
      <c r="F16490" s="5"/>
      <c r="G16490" s="5"/>
    </row>
    <row r="16491" spans="1:7" ht="58.5" customHeight="1" x14ac:dyDescent="0.25">
      <c r="A16491" s="5" t="str">
        <f>"H0025408"</f>
        <v>H0025408</v>
      </c>
      <c r="B16491" s="5" t="str">
        <f t="shared" si="847"/>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91" s="6">
        <v>312156</v>
      </c>
      <c r="D16491" s="5" t="s">
        <v>10</v>
      </c>
      <c r="E16491" s="5" t="str">
        <f t="shared" si="846"/>
        <v>SANDRA MILENA BUITRAGO ROJAS-ELEMENTOS PARA DAR DE BAJA</v>
      </c>
      <c r="F16491" s="5"/>
      <c r="G16491" s="5"/>
    </row>
    <row r="16492" spans="1:7" ht="58.5" customHeight="1" x14ac:dyDescent="0.25">
      <c r="A16492" s="5" t="str">
        <f>"H0025417"</f>
        <v>H0025417</v>
      </c>
      <c r="B16492" s="5" t="str">
        <f t="shared" si="847"/>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92" s="6">
        <v>312156</v>
      </c>
      <c r="D16492" s="5" t="s">
        <v>10</v>
      </c>
      <c r="E16492" s="5" t="str">
        <f t="shared" si="846"/>
        <v>SANDRA MILENA BUITRAGO ROJAS-ELEMENTOS PARA DAR DE BAJA</v>
      </c>
      <c r="F16492" s="5"/>
      <c r="G16492" s="5"/>
    </row>
    <row r="16493" spans="1:7" ht="58.5" customHeight="1" x14ac:dyDescent="0.25">
      <c r="A16493" s="5" t="str">
        <f>"H0025426"</f>
        <v>H0025426</v>
      </c>
      <c r="B16493" s="5" t="str">
        <f t="shared" si="847"/>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493" s="6">
        <v>312156</v>
      </c>
      <c r="D16493" s="5" t="s">
        <v>10</v>
      </c>
      <c r="E16493" s="5" t="str">
        <f t="shared" si="846"/>
        <v>SANDRA MILENA BUITRAGO ROJAS-ELEMENTOS PARA DAR DE BAJA</v>
      </c>
      <c r="F16493" s="5"/>
      <c r="G16493" s="5"/>
    </row>
    <row r="16494" spans="1:7" ht="58.5" customHeight="1" x14ac:dyDescent="0.25">
      <c r="A16494" s="5" t="str">
        <f>"H0025774"</f>
        <v>H0025774</v>
      </c>
      <c r="B16494" s="5" t="str">
        <f>"PINZA BIPOLAR"</f>
        <v>PINZA BIPOLAR</v>
      </c>
      <c r="C16494" s="6">
        <v>318920</v>
      </c>
      <c r="D16494" s="5" t="s">
        <v>397</v>
      </c>
      <c r="E16494" s="5" t="str">
        <f t="shared" si="846"/>
        <v>SANDRA MILENA BUITRAGO ROJAS-ELEMENTOS PARA DAR DE BAJA</v>
      </c>
      <c r="F16494" s="5"/>
      <c r="G16494" s="5"/>
    </row>
    <row r="16495" spans="1:7" ht="58.5" customHeight="1" x14ac:dyDescent="0.25">
      <c r="A16495" s="5" t="str">
        <f>"H0025777"</f>
        <v>H0025777</v>
      </c>
      <c r="B16495" s="5" t="str">
        <f>"PINZA BIPOLAR"</f>
        <v>PINZA BIPOLAR</v>
      </c>
      <c r="C16495" s="6">
        <v>318920</v>
      </c>
      <c r="D16495" s="5" t="s">
        <v>397</v>
      </c>
      <c r="E16495" s="5" t="str">
        <f t="shared" si="846"/>
        <v>SANDRA MILENA BUITRAGO ROJAS-ELEMENTOS PARA DAR DE BAJA</v>
      </c>
      <c r="F16495" s="5"/>
      <c r="G16495" s="5"/>
    </row>
    <row r="16496" spans="1:7" ht="58.5" customHeight="1" x14ac:dyDescent="0.25">
      <c r="A16496" s="5" t="str">
        <f>"h0025948"</f>
        <v>h0025948</v>
      </c>
      <c r="B16496" s="5" t="str">
        <f>"CONGELADOR DE PLASMA"</f>
        <v>CONGELADOR DE PLASMA</v>
      </c>
      <c r="C16496" s="6">
        <v>30998726.5</v>
      </c>
      <c r="D16496" s="5" t="s">
        <v>562</v>
      </c>
      <c r="E16496" s="5" t="str">
        <f t="shared" si="846"/>
        <v>SANDRA MILENA BUITRAGO ROJAS-ELEMENTOS PARA DAR DE BAJA</v>
      </c>
      <c r="F16496" s="5"/>
      <c r="G16496" s="5" t="str">
        <f>"JPL1230A"</f>
        <v>JPL1230A</v>
      </c>
    </row>
    <row r="16497" spans="1:7" ht="58.5" customHeight="1" x14ac:dyDescent="0.25">
      <c r="A16497" s="5" t="str">
        <f>"H0026386"</f>
        <v>H0026386</v>
      </c>
      <c r="B16497" s="5" t="str">
        <f t="shared" ref="B16497:B16518" si="848">"UNIDAD DE LLAMADO DE ENFERMERIA PARA CAMA O BAÑO"</f>
        <v>UNIDAD DE LLAMADO DE ENFERMERIA PARA CAMA O BAÑO</v>
      </c>
      <c r="C16497" s="6">
        <v>131671.12</v>
      </c>
      <c r="D16497" s="5" t="s">
        <v>78</v>
      </c>
      <c r="E16497" s="5" t="str">
        <f t="shared" si="846"/>
        <v>SANDRA MILENA BUITRAGO ROJAS-ELEMENTOS PARA DAR DE BAJA</v>
      </c>
      <c r="F16497" s="5"/>
      <c r="G16497" s="5"/>
    </row>
    <row r="16498" spans="1:7" ht="58.5" customHeight="1" x14ac:dyDescent="0.25">
      <c r="A16498" s="5" t="str">
        <f>"H0026392"</f>
        <v>H0026392</v>
      </c>
      <c r="B16498" s="5" t="str">
        <f t="shared" si="848"/>
        <v>UNIDAD DE LLAMADO DE ENFERMERIA PARA CAMA O BAÑO</v>
      </c>
      <c r="C16498" s="6">
        <v>131671.12</v>
      </c>
      <c r="D16498" s="5" t="s">
        <v>78</v>
      </c>
      <c r="E16498" s="5" t="str">
        <f t="shared" si="846"/>
        <v>SANDRA MILENA BUITRAGO ROJAS-ELEMENTOS PARA DAR DE BAJA</v>
      </c>
      <c r="F16498" s="5"/>
      <c r="G16498" s="5"/>
    </row>
    <row r="16499" spans="1:7" ht="58.5" customHeight="1" x14ac:dyDescent="0.25">
      <c r="A16499" s="5" t="str">
        <f>"H0026393"</f>
        <v>H0026393</v>
      </c>
      <c r="B16499" s="5" t="str">
        <f t="shared" si="848"/>
        <v>UNIDAD DE LLAMADO DE ENFERMERIA PARA CAMA O BAÑO</v>
      </c>
      <c r="C16499" s="6">
        <v>131671.12</v>
      </c>
      <c r="D16499" s="5" t="s">
        <v>78</v>
      </c>
      <c r="E16499" s="5" t="str">
        <f t="shared" si="846"/>
        <v>SANDRA MILENA BUITRAGO ROJAS-ELEMENTOS PARA DAR DE BAJA</v>
      </c>
      <c r="F16499" s="5"/>
      <c r="G16499" s="5"/>
    </row>
    <row r="16500" spans="1:7" ht="58.5" customHeight="1" x14ac:dyDescent="0.25">
      <c r="A16500" s="5" t="str">
        <f>"H0026435"</f>
        <v>H0026435</v>
      </c>
      <c r="B16500" s="5" t="str">
        <f t="shared" si="848"/>
        <v>UNIDAD DE LLAMADO DE ENFERMERIA PARA CAMA O BAÑO</v>
      </c>
      <c r="C16500" s="6">
        <v>131671.12</v>
      </c>
      <c r="D16500" s="5" t="s">
        <v>78</v>
      </c>
      <c r="E16500" s="5" t="str">
        <f t="shared" si="846"/>
        <v>SANDRA MILENA BUITRAGO ROJAS-ELEMENTOS PARA DAR DE BAJA</v>
      </c>
      <c r="F16500" s="5"/>
      <c r="G16500" s="5"/>
    </row>
    <row r="16501" spans="1:7" ht="58.5" customHeight="1" x14ac:dyDescent="0.25">
      <c r="A16501" s="5" t="str">
        <f>"H0026436"</f>
        <v>H0026436</v>
      </c>
      <c r="B16501" s="5" t="str">
        <f t="shared" si="848"/>
        <v>UNIDAD DE LLAMADO DE ENFERMERIA PARA CAMA O BAÑO</v>
      </c>
      <c r="C16501" s="6">
        <v>131671.12</v>
      </c>
      <c r="D16501" s="5" t="s">
        <v>78</v>
      </c>
      <c r="E16501" s="5" t="str">
        <f t="shared" si="846"/>
        <v>SANDRA MILENA BUITRAGO ROJAS-ELEMENTOS PARA DAR DE BAJA</v>
      </c>
      <c r="F16501" s="5"/>
      <c r="G16501" s="5"/>
    </row>
    <row r="16502" spans="1:7" ht="58.5" customHeight="1" x14ac:dyDescent="0.25">
      <c r="A16502" s="5" t="str">
        <f>"H0026437"</f>
        <v>H0026437</v>
      </c>
      <c r="B16502" s="5" t="str">
        <f t="shared" si="848"/>
        <v>UNIDAD DE LLAMADO DE ENFERMERIA PARA CAMA O BAÑO</v>
      </c>
      <c r="C16502" s="6">
        <v>131671.12</v>
      </c>
      <c r="D16502" s="5" t="s">
        <v>78</v>
      </c>
      <c r="E16502" s="5" t="str">
        <f t="shared" si="846"/>
        <v>SANDRA MILENA BUITRAGO ROJAS-ELEMENTOS PARA DAR DE BAJA</v>
      </c>
      <c r="F16502" s="5"/>
      <c r="G16502" s="5"/>
    </row>
    <row r="16503" spans="1:7" ht="58.5" customHeight="1" x14ac:dyDescent="0.25">
      <c r="A16503" s="5" t="str">
        <f>"H0026438"</f>
        <v>H0026438</v>
      </c>
      <c r="B16503" s="5" t="str">
        <f t="shared" si="848"/>
        <v>UNIDAD DE LLAMADO DE ENFERMERIA PARA CAMA O BAÑO</v>
      </c>
      <c r="C16503" s="6">
        <v>131671.12</v>
      </c>
      <c r="D16503" s="5" t="s">
        <v>78</v>
      </c>
      <c r="E16503" s="5" t="str">
        <f t="shared" si="846"/>
        <v>SANDRA MILENA BUITRAGO ROJAS-ELEMENTOS PARA DAR DE BAJA</v>
      </c>
      <c r="F16503" s="5"/>
      <c r="G16503" s="5"/>
    </row>
    <row r="16504" spans="1:7" ht="58.5" customHeight="1" x14ac:dyDescent="0.25">
      <c r="A16504" s="5" t="str">
        <f>"H0026439"</f>
        <v>H0026439</v>
      </c>
      <c r="B16504" s="5" t="str">
        <f t="shared" si="848"/>
        <v>UNIDAD DE LLAMADO DE ENFERMERIA PARA CAMA O BAÑO</v>
      </c>
      <c r="C16504" s="6">
        <v>131671.12</v>
      </c>
      <c r="D16504" s="5" t="s">
        <v>78</v>
      </c>
      <c r="E16504" s="5" t="str">
        <f t="shared" si="846"/>
        <v>SANDRA MILENA BUITRAGO ROJAS-ELEMENTOS PARA DAR DE BAJA</v>
      </c>
      <c r="F16504" s="5"/>
      <c r="G16504" s="5"/>
    </row>
    <row r="16505" spans="1:7" ht="58.5" customHeight="1" x14ac:dyDescent="0.25">
      <c r="A16505" s="5" t="str">
        <f>"H0026440"</f>
        <v>H0026440</v>
      </c>
      <c r="B16505" s="5" t="str">
        <f t="shared" si="848"/>
        <v>UNIDAD DE LLAMADO DE ENFERMERIA PARA CAMA O BAÑO</v>
      </c>
      <c r="C16505" s="6">
        <v>131671.12</v>
      </c>
      <c r="D16505" s="5" t="s">
        <v>78</v>
      </c>
      <c r="E16505" s="5" t="str">
        <f t="shared" si="846"/>
        <v>SANDRA MILENA BUITRAGO ROJAS-ELEMENTOS PARA DAR DE BAJA</v>
      </c>
      <c r="F16505" s="5"/>
      <c r="G16505" s="5"/>
    </row>
    <row r="16506" spans="1:7" ht="58.5" customHeight="1" x14ac:dyDescent="0.25">
      <c r="A16506" s="5" t="str">
        <f>"H0026441"</f>
        <v>H0026441</v>
      </c>
      <c r="B16506" s="5" t="str">
        <f t="shared" si="848"/>
        <v>UNIDAD DE LLAMADO DE ENFERMERIA PARA CAMA O BAÑO</v>
      </c>
      <c r="C16506" s="6">
        <v>131671.12</v>
      </c>
      <c r="D16506" s="5" t="s">
        <v>78</v>
      </c>
      <c r="E16506" s="5" t="str">
        <f t="shared" si="846"/>
        <v>SANDRA MILENA BUITRAGO ROJAS-ELEMENTOS PARA DAR DE BAJA</v>
      </c>
      <c r="F16506" s="5"/>
      <c r="G16506" s="5"/>
    </row>
    <row r="16507" spans="1:7" ht="58.5" customHeight="1" x14ac:dyDescent="0.25">
      <c r="A16507" s="5" t="str">
        <f>"H0026442"</f>
        <v>H0026442</v>
      </c>
      <c r="B16507" s="5" t="str">
        <f t="shared" si="848"/>
        <v>UNIDAD DE LLAMADO DE ENFERMERIA PARA CAMA O BAÑO</v>
      </c>
      <c r="C16507" s="6">
        <v>131671.12</v>
      </c>
      <c r="D16507" s="5" t="s">
        <v>78</v>
      </c>
      <c r="E16507" s="5" t="str">
        <f t="shared" si="846"/>
        <v>SANDRA MILENA BUITRAGO ROJAS-ELEMENTOS PARA DAR DE BAJA</v>
      </c>
      <c r="F16507" s="5"/>
      <c r="G16507" s="5"/>
    </row>
    <row r="16508" spans="1:7" ht="58.5" customHeight="1" x14ac:dyDescent="0.25">
      <c r="A16508" s="5" t="str">
        <f>"H0026443"</f>
        <v>H0026443</v>
      </c>
      <c r="B16508" s="5" t="str">
        <f t="shared" si="848"/>
        <v>UNIDAD DE LLAMADO DE ENFERMERIA PARA CAMA O BAÑO</v>
      </c>
      <c r="C16508" s="6">
        <v>131671.12</v>
      </c>
      <c r="D16508" s="5" t="s">
        <v>78</v>
      </c>
      <c r="E16508" s="5" t="str">
        <f t="shared" si="846"/>
        <v>SANDRA MILENA BUITRAGO ROJAS-ELEMENTOS PARA DAR DE BAJA</v>
      </c>
      <c r="F16508" s="5"/>
      <c r="G16508" s="5"/>
    </row>
    <row r="16509" spans="1:7" ht="58.5" customHeight="1" x14ac:dyDescent="0.25">
      <c r="A16509" s="5" t="str">
        <f>"H0026444"</f>
        <v>H0026444</v>
      </c>
      <c r="B16509" s="5" t="str">
        <f t="shared" si="848"/>
        <v>UNIDAD DE LLAMADO DE ENFERMERIA PARA CAMA O BAÑO</v>
      </c>
      <c r="C16509" s="6">
        <v>131671.12</v>
      </c>
      <c r="D16509" s="5" t="s">
        <v>78</v>
      </c>
      <c r="E16509" s="5" t="str">
        <f t="shared" si="846"/>
        <v>SANDRA MILENA BUITRAGO ROJAS-ELEMENTOS PARA DAR DE BAJA</v>
      </c>
      <c r="F16509" s="5"/>
      <c r="G16509" s="5"/>
    </row>
    <row r="16510" spans="1:7" ht="58.5" customHeight="1" x14ac:dyDescent="0.25">
      <c r="A16510" s="5" t="str">
        <f>"H0026445"</f>
        <v>H0026445</v>
      </c>
      <c r="B16510" s="5" t="str">
        <f t="shared" si="848"/>
        <v>UNIDAD DE LLAMADO DE ENFERMERIA PARA CAMA O BAÑO</v>
      </c>
      <c r="C16510" s="6">
        <v>131671.12</v>
      </c>
      <c r="D16510" s="5" t="s">
        <v>78</v>
      </c>
      <c r="E16510" s="5" t="str">
        <f t="shared" ref="E16510:E16573" si="849">"SANDRA MILENA BUITRAGO ROJAS-ELEMENTOS PARA DAR DE BAJA"</f>
        <v>SANDRA MILENA BUITRAGO ROJAS-ELEMENTOS PARA DAR DE BAJA</v>
      </c>
      <c r="F16510" s="5"/>
      <c r="G16510" s="5"/>
    </row>
    <row r="16511" spans="1:7" ht="58.5" customHeight="1" x14ac:dyDescent="0.25">
      <c r="A16511" s="5" t="str">
        <f>"H0026446"</f>
        <v>H0026446</v>
      </c>
      <c r="B16511" s="5" t="str">
        <f t="shared" si="848"/>
        <v>UNIDAD DE LLAMADO DE ENFERMERIA PARA CAMA O BAÑO</v>
      </c>
      <c r="C16511" s="6">
        <v>131671.12</v>
      </c>
      <c r="D16511" s="5" t="s">
        <v>78</v>
      </c>
      <c r="E16511" s="5" t="str">
        <f t="shared" si="849"/>
        <v>SANDRA MILENA BUITRAGO ROJAS-ELEMENTOS PARA DAR DE BAJA</v>
      </c>
      <c r="F16511" s="5"/>
      <c r="G16511" s="5"/>
    </row>
    <row r="16512" spans="1:7" ht="58.5" customHeight="1" x14ac:dyDescent="0.25">
      <c r="A16512" s="5" t="str">
        <f>"H0026447"</f>
        <v>H0026447</v>
      </c>
      <c r="B16512" s="5" t="str">
        <f t="shared" si="848"/>
        <v>UNIDAD DE LLAMADO DE ENFERMERIA PARA CAMA O BAÑO</v>
      </c>
      <c r="C16512" s="6">
        <v>131671.12</v>
      </c>
      <c r="D16512" s="5" t="s">
        <v>78</v>
      </c>
      <c r="E16512" s="5" t="str">
        <f t="shared" si="849"/>
        <v>SANDRA MILENA BUITRAGO ROJAS-ELEMENTOS PARA DAR DE BAJA</v>
      </c>
      <c r="F16512" s="5"/>
      <c r="G16512" s="5"/>
    </row>
    <row r="16513" spans="1:7" ht="58.5" customHeight="1" x14ac:dyDescent="0.25">
      <c r="A16513" s="5" t="str">
        <f>"H0026448"</f>
        <v>H0026448</v>
      </c>
      <c r="B16513" s="5" t="str">
        <f t="shared" si="848"/>
        <v>UNIDAD DE LLAMADO DE ENFERMERIA PARA CAMA O BAÑO</v>
      </c>
      <c r="C16513" s="6">
        <v>131671.12</v>
      </c>
      <c r="D16513" s="5" t="s">
        <v>78</v>
      </c>
      <c r="E16513" s="5" t="str">
        <f t="shared" si="849"/>
        <v>SANDRA MILENA BUITRAGO ROJAS-ELEMENTOS PARA DAR DE BAJA</v>
      </c>
      <c r="F16513" s="5"/>
      <c r="G16513" s="5"/>
    </row>
    <row r="16514" spans="1:7" ht="58.5" customHeight="1" x14ac:dyDescent="0.25">
      <c r="A16514" s="5" t="str">
        <f>"H0026449"</f>
        <v>H0026449</v>
      </c>
      <c r="B16514" s="5" t="str">
        <f t="shared" si="848"/>
        <v>UNIDAD DE LLAMADO DE ENFERMERIA PARA CAMA O BAÑO</v>
      </c>
      <c r="C16514" s="6">
        <v>131671.12</v>
      </c>
      <c r="D16514" s="5" t="s">
        <v>78</v>
      </c>
      <c r="E16514" s="5" t="str">
        <f t="shared" si="849"/>
        <v>SANDRA MILENA BUITRAGO ROJAS-ELEMENTOS PARA DAR DE BAJA</v>
      </c>
      <c r="F16514" s="5"/>
      <c r="G16514" s="5"/>
    </row>
    <row r="16515" spans="1:7" ht="58.5" customHeight="1" x14ac:dyDescent="0.25">
      <c r="A16515" s="5" t="str">
        <f>"H0026450"</f>
        <v>H0026450</v>
      </c>
      <c r="B16515" s="5" t="str">
        <f t="shared" si="848"/>
        <v>UNIDAD DE LLAMADO DE ENFERMERIA PARA CAMA O BAÑO</v>
      </c>
      <c r="C16515" s="6">
        <v>131671.12</v>
      </c>
      <c r="D16515" s="5" t="s">
        <v>78</v>
      </c>
      <c r="E16515" s="5" t="str">
        <f t="shared" si="849"/>
        <v>SANDRA MILENA BUITRAGO ROJAS-ELEMENTOS PARA DAR DE BAJA</v>
      </c>
      <c r="F16515" s="5"/>
      <c r="G16515" s="5"/>
    </row>
    <row r="16516" spans="1:7" ht="58.5" customHeight="1" x14ac:dyDescent="0.25">
      <c r="A16516" s="5" t="str">
        <f>"H0026451"</f>
        <v>H0026451</v>
      </c>
      <c r="B16516" s="5" t="str">
        <f t="shared" si="848"/>
        <v>UNIDAD DE LLAMADO DE ENFERMERIA PARA CAMA O BAÑO</v>
      </c>
      <c r="C16516" s="6">
        <v>131671.12</v>
      </c>
      <c r="D16516" s="5" t="s">
        <v>78</v>
      </c>
      <c r="E16516" s="5" t="str">
        <f t="shared" si="849"/>
        <v>SANDRA MILENA BUITRAGO ROJAS-ELEMENTOS PARA DAR DE BAJA</v>
      </c>
      <c r="F16516" s="5"/>
      <c r="G16516" s="5"/>
    </row>
    <row r="16517" spans="1:7" ht="58.5" customHeight="1" x14ac:dyDescent="0.25">
      <c r="A16517" s="5" t="str">
        <f>"H0026452"</f>
        <v>H0026452</v>
      </c>
      <c r="B16517" s="5" t="str">
        <f t="shared" si="848"/>
        <v>UNIDAD DE LLAMADO DE ENFERMERIA PARA CAMA O BAÑO</v>
      </c>
      <c r="C16517" s="6">
        <v>131671.12</v>
      </c>
      <c r="D16517" s="5" t="s">
        <v>78</v>
      </c>
      <c r="E16517" s="5" t="str">
        <f t="shared" si="849"/>
        <v>SANDRA MILENA BUITRAGO ROJAS-ELEMENTOS PARA DAR DE BAJA</v>
      </c>
      <c r="F16517" s="5"/>
      <c r="G16517" s="5"/>
    </row>
    <row r="16518" spans="1:7" ht="58.5" customHeight="1" x14ac:dyDescent="0.25">
      <c r="A16518" s="5" t="str">
        <f>"H0026453"</f>
        <v>H0026453</v>
      </c>
      <c r="B16518" s="5" t="str">
        <f t="shared" si="848"/>
        <v>UNIDAD DE LLAMADO DE ENFERMERIA PARA CAMA O BAÑO</v>
      </c>
      <c r="C16518" s="6">
        <v>131671.12</v>
      </c>
      <c r="D16518" s="5" t="s">
        <v>78</v>
      </c>
      <c r="E16518" s="5" t="str">
        <f t="shared" si="849"/>
        <v>SANDRA MILENA BUITRAGO ROJAS-ELEMENTOS PARA DAR DE BAJA</v>
      </c>
      <c r="F16518" s="5"/>
      <c r="G16518" s="5"/>
    </row>
    <row r="16519" spans="1:7" ht="58.5" customHeight="1" x14ac:dyDescent="0.25">
      <c r="A16519" s="5" t="str">
        <f>"H0026747"</f>
        <v>H0026747</v>
      </c>
      <c r="B16519" s="5" t="str">
        <f>"LAMPARA DE PASILLO DE LLAMADO DE ENFERMERIA"</f>
        <v>LAMPARA DE PASILLO DE LLAMADO DE ENFERMERIA</v>
      </c>
      <c r="C16519" s="6">
        <v>523510.75</v>
      </c>
      <c r="D16519" s="5" t="s">
        <v>78</v>
      </c>
      <c r="E16519" s="5" t="str">
        <f t="shared" si="849"/>
        <v>SANDRA MILENA BUITRAGO ROJAS-ELEMENTOS PARA DAR DE BAJA</v>
      </c>
      <c r="F16519" s="5"/>
      <c r="G16519" s="5"/>
    </row>
    <row r="16520" spans="1:7" ht="58.5" customHeight="1" x14ac:dyDescent="0.25">
      <c r="A16520" s="5" t="str">
        <f>"H0026748"</f>
        <v>H0026748</v>
      </c>
      <c r="B16520" s="5" t="str">
        <f>"LAMPARA DE PASILLO DE LLAMADO DE ENFERMERIA"</f>
        <v>LAMPARA DE PASILLO DE LLAMADO DE ENFERMERIA</v>
      </c>
      <c r="C16520" s="6">
        <v>523510.75</v>
      </c>
      <c r="D16520" s="5" t="s">
        <v>78</v>
      </c>
      <c r="E16520" s="5" t="str">
        <f t="shared" si="849"/>
        <v>SANDRA MILENA BUITRAGO ROJAS-ELEMENTOS PARA DAR DE BAJA</v>
      </c>
      <c r="F16520" s="5"/>
      <c r="G16520" s="5"/>
    </row>
    <row r="16521" spans="1:7" ht="58.5" customHeight="1" x14ac:dyDescent="0.25">
      <c r="A16521" s="5" t="str">
        <f>"H0026776"</f>
        <v>H0026776</v>
      </c>
      <c r="B16521" s="5" t="str">
        <f>"PINZA LAROSCOPICA DE AGARRE INTESTINAL MANDÍBULA LARGA"</f>
        <v>PINZA LAROSCOPICA DE AGARRE INTESTINAL MANDÍBULA LARGA</v>
      </c>
      <c r="C16521" s="6">
        <v>2359659.25</v>
      </c>
      <c r="D16521" s="5" t="s">
        <v>220</v>
      </c>
      <c r="E16521" s="5" t="str">
        <f t="shared" si="849"/>
        <v>SANDRA MILENA BUITRAGO ROJAS-ELEMENTOS PARA DAR DE BAJA</v>
      </c>
      <c r="F16521" s="5"/>
      <c r="G16521" s="5"/>
    </row>
    <row r="16522" spans="1:7" ht="58.5" customHeight="1" x14ac:dyDescent="0.25">
      <c r="A16522" s="5" t="str">
        <f>"H0026777"</f>
        <v>H0026777</v>
      </c>
      <c r="B16522" s="5" t="str">
        <f>"PINZA LAROSCOPICA DE AGARRE INTESTINAL MANDÍBULA LARGA"</f>
        <v>PINZA LAROSCOPICA DE AGARRE INTESTINAL MANDÍBULA LARGA</v>
      </c>
      <c r="C16522" s="6">
        <v>2359659.25</v>
      </c>
      <c r="D16522" s="5" t="s">
        <v>220</v>
      </c>
      <c r="E16522" s="5" t="str">
        <f t="shared" si="849"/>
        <v>SANDRA MILENA BUITRAGO ROJAS-ELEMENTOS PARA DAR DE BAJA</v>
      </c>
      <c r="F16522" s="5"/>
      <c r="G16522" s="5"/>
    </row>
    <row r="16523" spans="1:7" ht="58.5" customHeight="1" x14ac:dyDescent="0.25">
      <c r="A16523" s="5" t="str">
        <f>"H0026778"</f>
        <v>H0026778</v>
      </c>
      <c r="B16523" s="5" t="str">
        <f>"PINZA LAROSCOPICA DE AGARRE INTESTINAL MANDÍBULA LARGA"</f>
        <v>PINZA LAROSCOPICA DE AGARRE INTESTINAL MANDÍBULA LARGA</v>
      </c>
      <c r="C16523" s="6">
        <v>2359659.25</v>
      </c>
      <c r="D16523" s="5" t="s">
        <v>220</v>
      </c>
      <c r="E16523" s="5" t="str">
        <f t="shared" si="849"/>
        <v>SANDRA MILENA BUITRAGO ROJAS-ELEMENTOS PARA DAR DE BAJA</v>
      </c>
      <c r="F16523" s="5"/>
      <c r="G16523" s="5"/>
    </row>
    <row r="16524" spans="1:7" ht="58.5" customHeight="1" x14ac:dyDescent="0.25">
      <c r="A16524" s="5" t="str">
        <f>"H0026781"</f>
        <v>H0026781</v>
      </c>
      <c r="B16524" s="5" t="str">
        <f>"PINZA LAPAROSCOPICA DE GARRA"</f>
        <v>PINZA LAPAROSCOPICA DE GARRA</v>
      </c>
      <c r="C16524" s="6">
        <v>2463276.33</v>
      </c>
      <c r="D16524" s="5" t="s">
        <v>220</v>
      </c>
      <c r="E16524" s="5" t="str">
        <f t="shared" si="849"/>
        <v>SANDRA MILENA BUITRAGO ROJAS-ELEMENTOS PARA DAR DE BAJA</v>
      </c>
      <c r="F16524" s="5"/>
      <c r="G16524" s="5"/>
    </row>
    <row r="16525" spans="1:7" ht="58.5" customHeight="1" x14ac:dyDescent="0.25">
      <c r="A16525" s="5" t="str">
        <f>"H0027040"</f>
        <v>H0027040</v>
      </c>
      <c r="B16525" s="5" t="str">
        <f>"MODULO WIFI CENTRAL (DONACION)"</f>
        <v>MODULO WIFI CENTRAL (DONACION)</v>
      </c>
      <c r="C16525" s="6">
        <v>476000</v>
      </c>
      <c r="D16525" s="5" t="s">
        <v>460</v>
      </c>
      <c r="E16525" s="5" t="str">
        <f t="shared" si="849"/>
        <v>SANDRA MILENA BUITRAGO ROJAS-ELEMENTOS PARA DAR DE BAJA</v>
      </c>
      <c r="F16525" s="5"/>
      <c r="G16525" s="5"/>
    </row>
    <row r="16526" spans="1:7" ht="58.5" customHeight="1" x14ac:dyDescent="0.25">
      <c r="A16526" s="5" t="str">
        <f>"H0027163"</f>
        <v>H0027163</v>
      </c>
      <c r="B1652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6526" s="6">
        <v>2641800</v>
      </c>
      <c r="D16526" s="5" t="s">
        <v>38</v>
      </c>
      <c r="E16526" s="5" t="str">
        <f t="shared" si="849"/>
        <v>SANDRA MILENA BUITRAGO ROJAS-ELEMENTOS PARA DAR DE BAJA</v>
      </c>
      <c r="F16526" s="5"/>
      <c r="G16526" s="5"/>
    </row>
    <row r="16527" spans="1:7" ht="58.5" customHeight="1" x14ac:dyDescent="0.25">
      <c r="A16527" s="5" t="str">
        <f>"H0027267"</f>
        <v>H0027267</v>
      </c>
      <c r="B1652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6527" s="6">
        <v>2641800</v>
      </c>
      <c r="D16527" s="5" t="s">
        <v>38</v>
      </c>
      <c r="E16527" s="5" t="str">
        <f t="shared" si="849"/>
        <v>SANDRA MILENA BUITRAGO ROJAS-ELEMENTOS PARA DAR DE BAJA</v>
      </c>
      <c r="F16527" s="5"/>
      <c r="G16527" s="5"/>
    </row>
    <row r="16528" spans="1:7" ht="58.5" customHeight="1" x14ac:dyDescent="0.25">
      <c r="A16528" s="5" t="str">
        <f>"H0027291"</f>
        <v>H0027291</v>
      </c>
      <c r="B16528" s="5" t="str">
        <f>"PINZA CORTANTE CASPAR BOCA RECTA 3MM RAMA 155MM"</f>
        <v>PINZA CORTANTE CASPAR BOCA RECTA 3MM RAMA 155MM</v>
      </c>
      <c r="C16528" s="6">
        <v>2453090</v>
      </c>
      <c r="D16528" s="5" t="s">
        <v>269</v>
      </c>
      <c r="E16528" s="5" t="str">
        <f t="shared" si="849"/>
        <v>SANDRA MILENA BUITRAGO ROJAS-ELEMENTOS PARA DAR DE BAJA</v>
      </c>
      <c r="F16528" s="5"/>
      <c r="G16528" s="5"/>
    </row>
    <row r="16529" spans="1:7" ht="58.5" customHeight="1" x14ac:dyDescent="0.25">
      <c r="A16529" s="5" t="str">
        <f>"H0027352"</f>
        <v>H0027352</v>
      </c>
      <c r="B1652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6529" s="6">
        <v>2641800</v>
      </c>
      <c r="D16529" s="5" t="s">
        <v>83</v>
      </c>
      <c r="E16529" s="5" t="str">
        <f t="shared" si="849"/>
        <v>SANDRA MILENA BUITRAGO ROJAS-ELEMENTOS PARA DAR DE BAJA</v>
      </c>
      <c r="F16529" s="5"/>
      <c r="G16529" s="5"/>
    </row>
    <row r="16530" spans="1:7" ht="58.5" customHeight="1" x14ac:dyDescent="0.25">
      <c r="A16530" s="5" t="str">
        <f>"H0028378"</f>
        <v>H0028378</v>
      </c>
      <c r="B16530" s="5" t="str">
        <f>"PINZA APLICADA CLIPS ML LT30010X330 MM"</f>
        <v>PINZA APLICADA CLIPS ML LT30010X330 MM</v>
      </c>
      <c r="C16530" s="6">
        <v>4419000</v>
      </c>
      <c r="D16530" s="5" t="s">
        <v>409</v>
      </c>
      <c r="E16530" s="5" t="str">
        <f t="shared" si="849"/>
        <v>SANDRA MILENA BUITRAGO ROJAS-ELEMENTOS PARA DAR DE BAJA</v>
      </c>
      <c r="F16530" s="5"/>
      <c r="G16530" s="5"/>
    </row>
    <row r="16531" spans="1:7" ht="58.5" customHeight="1" x14ac:dyDescent="0.25">
      <c r="A16531" s="5" t="str">
        <f>"H0028401"</f>
        <v>H0028401</v>
      </c>
      <c r="B16531" s="5" t="str">
        <f>"TIJERA BAYONETA CURVA 90MM"</f>
        <v>TIJERA BAYONETA CURVA 90MM</v>
      </c>
      <c r="C16531" s="6">
        <v>2196270</v>
      </c>
      <c r="D16531" s="5" t="s">
        <v>411</v>
      </c>
      <c r="E16531" s="5" t="str">
        <f t="shared" si="849"/>
        <v>SANDRA MILENA BUITRAGO ROJAS-ELEMENTOS PARA DAR DE BAJA</v>
      </c>
      <c r="F16531" s="5"/>
      <c r="G16531" s="5"/>
    </row>
    <row r="16532" spans="1:7" ht="58.5" customHeight="1" x14ac:dyDescent="0.25">
      <c r="A16532" s="5" t="str">
        <f>"H0028402"</f>
        <v>H0028402</v>
      </c>
      <c r="B16532" s="5" t="str">
        <f>"TIJERA BAYONETA CURVA 120MM"</f>
        <v>TIJERA BAYONETA CURVA 120MM</v>
      </c>
      <c r="C16532" s="6">
        <v>2262726</v>
      </c>
      <c r="D16532" s="5" t="s">
        <v>411</v>
      </c>
      <c r="E16532" s="5" t="str">
        <f t="shared" si="849"/>
        <v>SANDRA MILENA BUITRAGO ROJAS-ELEMENTOS PARA DAR DE BAJA</v>
      </c>
      <c r="F16532" s="5"/>
      <c r="G16532" s="5"/>
    </row>
    <row r="16533" spans="1:7" ht="58.5" customHeight="1" x14ac:dyDescent="0.25">
      <c r="A16533" s="5" t="str">
        <f>"H0028814"</f>
        <v>H0028814</v>
      </c>
      <c r="B16533" s="5" t="str">
        <f>"SILLA HERGONOMICA CON SISTEMA HIDRAULICO"</f>
        <v>SILLA HERGONOMICA CON SISTEMA HIDRAULICO</v>
      </c>
      <c r="C16533" s="6">
        <v>174900</v>
      </c>
      <c r="D16533" s="5" t="s">
        <v>39</v>
      </c>
      <c r="E16533" s="5" t="str">
        <f t="shared" si="849"/>
        <v>SANDRA MILENA BUITRAGO ROJAS-ELEMENTOS PARA DAR DE BAJA</v>
      </c>
      <c r="F16533" s="5"/>
      <c r="G16533" s="5"/>
    </row>
    <row r="16534" spans="1:7" ht="58.5" customHeight="1" x14ac:dyDescent="0.25">
      <c r="A16534" s="5" t="str">
        <f>"H0028825"</f>
        <v>H0028825</v>
      </c>
      <c r="B16534" s="5" t="str">
        <f>"SILLA HERGONOMICA CON SISTEMA HIDRAULICO"</f>
        <v>SILLA HERGONOMICA CON SISTEMA HIDRAULICO</v>
      </c>
      <c r="C16534" s="6">
        <v>174900</v>
      </c>
      <c r="D16534" s="5" t="s">
        <v>40</v>
      </c>
      <c r="E16534" s="5" t="str">
        <f t="shared" si="849"/>
        <v>SANDRA MILENA BUITRAGO ROJAS-ELEMENTOS PARA DAR DE BAJA</v>
      </c>
      <c r="F16534" s="5"/>
      <c r="G16534" s="5"/>
    </row>
    <row r="16535" spans="1:7" ht="58.5" customHeight="1" x14ac:dyDescent="0.25">
      <c r="A16535" s="5" t="str">
        <f>"H0028874"</f>
        <v>H0028874</v>
      </c>
      <c r="B16535" s="5" t="str">
        <f>"SILLA HERGONOMICA CON SISTEMA HIDRAULICO"</f>
        <v>SILLA HERGONOMICA CON SISTEMA HIDRAULICO</v>
      </c>
      <c r="C16535" s="6">
        <v>174900</v>
      </c>
      <c r="D16535" s="5" t="s">
        <v>792</v>
      </c>
      <c r="E16535" s="5" t="str">
        <f t="shared" si="849"/>
        <v>SANDRA MILENA BUITRAGO ROJAS-ELEMENTOS PARA DAR DE BAJA</v>
      </c>
      <c r="F16535" s="5"/>
      <c r="G16535" s="5"/>
    </row>
    <row r="16536" spans="1:7" ht="58.5" customHeight="1" x14ac:dyDescent="0.25">
      <c r="A16536" s="5" t="str">
        <f>"H0028881"</f>
        <v>H0028881</v>
      </c>
      <c r="B16536" s="5" t="str">
        <f>"SILLA HERGONOMICA CON SISTEMA HIDRAULICO"</f>
        <v>SILLA HERGONOMICA CON SISTEMA HIDRAULICO</v>
      </c>
      <c r="C16536" s="6">
        <v>174900</v>
      </c>
      <c r="D16536" s="5" t="s">
        <v>40</v>
      </c>
      <c r="E16536" s="5" t="str">
        <f t="shared" si="849"/>
        <v>SANDRA MILENA BUITRAGO ROJAS-ELEMENTOS PARA DAR DE BAJA</v>
      </c>
      <c r="F16536" s="5"/>
      <c r="G16536" s="5"/>
    </row>
    <row r="16537" spans="1:7" ht="58.5" customHeight="1" x14ac:dyDescent="0.25">
      <c r="A16537" s="5" t="str">
        <f>"H0029356"</f>
        <v>H0029356</v>
      </c>
      <c r="B16537" s="5" t="str">
        <f>"SILLA HERGONOMICA CON SISTEMA HIDRAULICO"</f>
        <v>SILLA HERGONOMICA CON SISTEMA HIDRAULICO</v>
      </c>
      <c r="C16537" s="6">
        <v>174900</v>
      </c>
      <c r="D16537" s="5" t="s">
        <v>89</v>
      </c>
      <c r="E16537" s="5" t="str">
        <f t="shared" si="849"/>
        <v>SANDRA MILENA BUITRAGO ROJAS-ELEMENTOS PARA DAR DE BAJA</v>
      </c>
      <c r="F16537" s="5"/>
      <c r="G16537" s="5"/>
    </row>
    <row r="16538" spans="1:7" ht="58.5" customHeight="1" x14ac:dyDescent="0.25">
      <c r="A16538" s="5" t="str">
        <f>"H0029490"</f>
        <v>H0029490</v>
      </c>
      <c r="B1653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538" s="6">
        <v>257040</v>
      </c>
      <c r="D16538" s="5" t="s">
        <v>14</v>
      </c>
      <c r="E16538" s="5" t="str">
        <f t="shared" si="849"/>
        <v>SANDRA MILENA BUITRAGO ROJAS-ELEMENTOS PARA DAR DE BAJA</v>
      </c>
      <c r="F16538" s="5"/>
      <c r="G16538" s="5"/>
    </row>
    <row r="16539" spans="1:7" ht="58.5" customHeight="1" x14ac:dyDescent="0.25">
      <c r="A16539" s="5" t="str">
        <f>"H0029497"</f>
        <v>H0029497</v>
      </c>
      <c r="B1653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539" s="6">
        <v>257040</v>
      </c>
      <c r="D16539" s="5" t="s">
        <v>14</v>
      </c>
      <c r="E16539" s="5" t="str">
        <f t="shared" si="849"/>
        <v>SANDRA MILENA BUITRAGO ROJAS-ELEMENTOS PARA DAR DE BAJA</v>
      </c>
      <c r="F16539" s="5"/>
      <c r="G16539" s="5"/>
    </row>
    <row r="16540" spans="1:7" ht="58.5" customHeight="1" x14ac:dyDescent="0.25">
      <c r="A16540" s="5" t="str">
        <f>"H0029499"</f>
        <v>H0029499</v>
      </c>
      <c r="B1654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540" s="6">
        <v>257040</v>
      </c>
      <c r="D16540" s="5" t="s">
        <v>14</v>
      </c>
      <c r="E16540" s="5" t="str">
        <f t="shared" si="849"/>
        <v>SANDRA MILENA BUITRAGO ROJAS-ELEMENTOS PARA DAR DE BAJA</v>
      </c>
      <c r="F16540" s="5"/>
      <c r="G16540" s="5"/>
    </row>
    <row r="16541" spans="1:7" ht="58.5" customHeight="1" x14ac:dyDescent="0.25">
      <c r="A16541" s="5" t="str">
        <f>"H0029512"</f>
        <v>H0029512</v>
      </c>
      <c r="B1654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541" s="6">
        <v>257040</v>
      </c>
      <c r="D16541" s="5" t="s">
        <v>14</v>
      </c>
      <c r="E16541" s="5" t="str">
        <f t="shared" si="849"/>
        <v>SANDRA MILENA BUITRAGO ROJAS-ELEMENTOS PARA DAR DE BAJA</v>
      </c>
      <c r="F16541" s="5"/>
      <c r="G16541" s="5"/>
    </row>
    <row r="16542" spans="1:7" ht="58.5" customHeight="1" x14ac:dyDescent="0.25">
      <c r="A16542" s="5" t="str">
        <f>"H0029521"</f>
        <v>H0029521</v>
      </c>
      <c r="B16542" s="5" t="str">
        <f>"MONITOR LED"</f>
        <v>MONITOR LED</v>
      </c>
      <c r="C16542" s="6">
        <v>283220</v>
      </c>
      <c r="D16542" s="5" t="s">
        <v>14</v>
      </c>
      <c r="E16542" s="5" t="str">
        <f t="shared" si="849"/>
        <v>SANDRA MILENA BUITRAGO ROJAS-ELEMENTOS PARA DAR DE BAJA</v>
      </c>
      <c r="F16542" s="5"/>
      <c r="G16542" s="5"/>
    </row>
    <row r="16543" spans="1:7" ht="58.5" customHeight="1" x14ac:dyDescent="0.25">
      <c r="A16543" s="5" t="str">
        <f>"H0029705"</f>
        <v>H0029705</v>
      </c>
      <c r="B16543" s="5" t="s">
        <v>94</v>
      </c>
      <c r="C16543" s="6">
        <v>148999.9</v>
      </c>
      <c r="D16543" s="5" t="s">
        <v>93</v>
      </c>
      <c r="E16543" s="5" t="str">
        <f t="shared" si="849"/>
        <v>SANDRA MILENA BUITRAGO ROJAS-ELEMENTOS PARA DAR DE BAJA</v>
      </c>
      <c r="F16543" s="5"/>
      <c r="G16543" s="5"/>
    </row>
    <row r="16544" spans="1:7" ht="58.5" customHeight="1" x14ac:dyDescent="0.25">
      <c r="A16544" s="5" t="str">
        <f>"H0029773"</f>
        <v>H0029773</v>
      </c>
      <c r="B16544" s="5" t="s">
        <v>96</v>
      </c>
      <c r="C16544" s="6">
        <v>169000.22</v>
      </c>
      <c r="D16544" s="5" t="s">
        <v>93</v>
      </c>
      <c r="E16544" s="5" t="str">
        <f t="shared" si="849"/>
        <v>SANDRA MILENA BUITRAGO ROJAS-ELEMENTOS PARA DAR DE BAJA</v>
      </c>
      <c r="F16544" s="5"/>
      <c r="G16544" s="5"/>
    </row>
    <row r="16545" spans="1:7" ht="58.5" customHeight="1" x14ac:dyDescent="0.25">
      <c r="A16545" s="5" t="str">
        <f>"H0031510"</f>
        <v>H0031510</v>
      </c>
      <c r="B16545" s="5" t="str">
        <f>"REFRIGERADOR VERTICAL"</f>
        <v>REFRIGERADOR VERTICAL</v>
      </c>
      <c r="C16545" s="6">
        <v>33796000</v>
      </c>
      <c r="D16545" s="5" t="s">
        <v>16</v>
      </c>
      <c r="E16545" s="5" t="str">
        <f t="shared" si="849"/>
        <v>SANDRA MILENA BUITRAGO ROJAS-ELEMENTOS PARA DAR DE BAJA</v>
      </c>
      <c r="F16545" s="5"/>
      <c r="G16545" s="5"/>
    </row>
    <row r="16546" spans="1:7" ht="58.5" customHeight="1" x14ac:dyDescent="0.25">
      <c r="A16546" s="5" t="str">
        <f>"H0031735"</f>
        <v>H0031735</v>
      </c>
      <c r="B16546" s="5" t="str">
        <f>"COMPUTADOR A30 LENOVO TODO EN UNO RAM 8GB DISCO 1TB W10 PRO L OFFICE (CODIGO DONACION)"</f>
        <v>COMPUTADOR A30 LENOVO TODO EN UNO RAM 8GB DISCO 1TB W10 PRO L OFFICE (CODIGO DONACION)</v>
      </c>
      <c r="C16546" s="6">
        <v>2270000</v>
      </c>
      <c r="D16546" s="5" t="s">
        <v>476</v>
      </c>
      <c r="E16546" s="5" t="str">
        <f t="shared" si="849"/>
        <v>SANDRA MILENA BUITRAGO ROJAS-ELEMENTOS PARA DAR DE BAJA</v>
      </c>
      <c r="F16546" s="5"/>
      <c r="G16546" s="5"/>
    </row>
    <row r="16547" spans="1:7" ht="58.5" customHeight="1" x14ac:dyDescent="0.25">
      <c r="A16547" s="5" t="str">
        <f>"H0032292"</f>
        <v>H0032292</v>
      </c>
      <c r="B16547" s="5" t="str">
        <f>"TERMOMETRO LASER (CODIGO DONACION"</f>
        <v>TERMOMETRO LASER (CODIGO DONACION</v>
      </c>
      <c r="C16547" s="6">
        <v>380000</v>
      </c>
      <c r="D16547" s="5" t="s">
        <v>45</v>
      </c>
      <c r="E16547" s="5" t="str">
        <f t="shared" si="849"/>
        <v>SANDRA MILENA BUITRAGO ROJAS-ELEMENTOS PARA DAR DE BAJA</v>
      </c>
      <c r="F16547" s="5"/>
      <c r="G16547" s="5"/>
    </row>
    <row r="16548" spans="1:7" ht="58.5" customHeight="1" x14ac:dyDescent="0.25">
      <c r="A16548" s="5" t="str">
        <f>"H0032855"</f>
        <v>H0032855</v>
      </c>
      <c r="B16548" s="5" t="str">
        <f>"Congelador Horizontal. Capacidad 200-300 Litros, Voltaje: 110 Voltios, 30ª-40°C, puerta sólida"</f>
        <v>Congelador Horizontal. Capacidad 200-300 Litros, Voltaje: 110 Voltios, 30ª-40°C, puerta sólida</v>
      </c>
      <c r="C16548" s="6">
        <v>11305000</v>
      </c>
      <c r="D16548" s="5" t="s">
        <v>793</v>
      </c>
      <c r="E16548" s="5" t="str">
        <f t="shared" si="849"/>
        <v>SANDRA MILENA BUITRAGO ROJAS-ELEMENTOS PARA DAR DE BAJA</v>
      </c>
      <c r="F16548" s="5"/>
      <c r="G16548" s="5" t="str">
        <f>"ULTRA-LAB"</f>
        <v>ULTRA-LAB</v>
      </c>
    </row>
    <row r="16549" spans="1:7" ht="58.5" customHeight="1" x14ac:dyDescent="0.25">
      <c r="A16549" s="5" t="str">
        <f>"H0032884"</f>
        <v>H0032884</v>
      </c>
      <c r="B1654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6549" s="6">
        <v>4289950</v>
      </c>
      <c r="D16549" s="5" t="s">
        <v>117</v>
      </c>
      <c r="E16549" s="5" t="str">
        <f t="shared" si="849"/>
        <v>SANDRA MILENA BUITRAGO ROJAS-ELEMENTOS PARA DAR DE BAJA</v>
      </c>
      <c r="F16549" s="5"/>
      <c r="G16549" s="5"/>
    </row>
    <row r="16550" spans="1:7" ht="58.5" customHeight="1" x14ac:dyDescent="0.25">
      <c r="A16550" s="5" t="str">
        <f>"H0033464"</f>
        <v>H0033464</v>
      </c>
      <c r="B16550" s="5" t="str">
        <f>"termometro infrarrojo (DONACION)"</f>
        <v>termometro infrarrojo (DONACION)</v>
      </c>
      <c r="C16550" s="6">
        <v>250000</v>
      </c>
      <c r="D16550" s="5" t="s">
        <v>568</v>
      </c>
      <c r="E16550" s="5" t="str">
        <f t="shared" si="849"/>
        <v>SANDRA MILENA BUITRAGO ROJAS-ELEMENTOS PARA DAR DE BAJA</v>
      </c>
      <c r="F16550" s="5"/>
      <c r="G16550" s="5"/>
    </row>
    <row r="16551" spans="1:7" ht="58.5" customHeight="1" x14ac:dyDescent="0.25">
      <c r="A16551" s="5" t="str">
        <f>"H0033468"</f>
        <v>H0033468</v>
      </c>
      <c r="B16551" s="5" t="str">
        <f>"termometro infrarrojo (DONACION)"</f>
        <v>termometro infrarrojo (DONACION)</v>
      </c>
      <c r="C16551" s="6">
        <v>250000</v>
      </c>
      <c r="D16551" s="5" t="s">
        <v>568</v>
      </c>
      <c r="E16551" s="5" t="str">
        <f t="shared" si="849"/>
        <v>SANDRA MILENA BUITRAGO ROJAS-ELEMENTOS PARA DAR DE BAJA</v>
      </c>
      <c r="F16551" s="5"/>
      <c r="G16551" s="5"/>
    </row>
    <row r="16552" spans="1:7" ht="58.5" customHeight="1" x14ac:dyDescent="0.25">
      <c r="A16552" s="5" t="str">
        <f>"H0034102"</f>
        <v>H0034102</v>
      </c>
      <c r="B16552" s="5" t="str">
        <f>"COMPUTADOR FORMATO PEQUEÑO MINIMO INTEL I3 8 GB RAM 500 GB DD MOUSE Y TECLADO"</f>
        <v>COMPUTADOR FORMATO PEQUEÑO MINIMO INTEL I3 8 GB RAM 500 GB DD MOUSE Y TECLADO</v>
      </c>
      <c r="C16552" s="6">
        <v>2500000</v>
      </c>
      <c r="D16552" s="5" t="s">
        <v>330</v>
      </c>
      <c r="E16552" s="5" t="str">
        <f t="shared" si="849"/>
        <v>SANDRA MILENA BUITRAGO ROJAS-ELEMENTOS PARA DAR DE BAJA</v>
      </c>
      <c r="F16552" s="5"/>
      <c r="G16552" s="5"/>
    </row>
    <row r="16553" spans="1:7" ht="58.5" customHeight="1" x14ac:dyDescent="0.25">
      <c r="A16553" s="5" t="str">
        <f>"H0034105"</f>
        <v>H0034105</v>
      </c>
      <c r="B16553" s="5" t="str">
        <f>"Óptica de visión foroblicua panorámica HOPKINS® 30° 4 mm Ø, longitud 30 cm AUTOCLAVABLE"</f>
        <v>Óptica de visión foroblicua panorámica HOPKINS® 30° 4 mm Ø, longitud 30 cm AUTOCLAVABLE</v>
      </c>
      <c r="C16553" s="6">
        <v>17681734</v>
      </c>
      <c r="D16553" s="5" t="s">
        <v>414</v>
      </c>
      <c r="E16553" s="5" t="str">
        <f t="shared" si="849"/>
        <v>SANDRA MILENA BUITRAGO ROJAS-ELEMENTOS PARA DAR DE BAJA</v>
      </c>
      <c r="F16553" s="5"/>
      <c r="G16553" s="5"/>
    </row>
    <row r="16554" spans="1:7" ht="58.5" customHeight="1" x14ac:dyDescent="0.25">
      <c r="A16554" s="5" t="str">
        <f>"H0034454"</f>
        <v>H0034454</v>
      </c>
      <c r="B16554"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6554" s="6">
        <v>4289950</v>
      </c>
      <c r="D16554" s="5" t="s">
        <v>732</v>
      </c>
      <c r="E16554" s="5" t="str">
        <f t="shared" si="849"/>
        <v>SANDRA MILENA BUITRAGO ROJAS-ELEMENTOS PARA DAR DE BAJA</v>
      </c>
      <c r="F16554" s="5"/>
      <c r="G16554" s="5"/>
    </row>
    <row r="16555" spans="1:7" ht="58.5" customHeight="1" x14ac:dyDescent="0.25">
      <c r="A16555" s="5" t="str">
        <f>"H0034562"</f>
        <v>H0034562</v>
      </c>
      <c r="B16555" s="5" t="str">
        <f>"Pinzas rígidas, para el agarre de grandes cálculos y fragmentos, abertura bilateral, 4 Charr"</f>
        <v>Pinzas rígidas, para el agarre de grandes cálculos y fragmentos, abertura bilateral, 4 Charr</v>
      </c>
      <c r="C16555" s="6">
        <v>4570728</v>
      </c>
      <c r="D16555" s="5" t="s">
        <v>685</v>
      </c>
      <c r="E16555" s="5" t="str">
        <f t="shared" si="849"/>
        <v>SANDRA MILENA BUITRAGO ROJAS-ELEMENTOS PARA DAR DE BAJA</v>
      </c>
      <c r="F16555" s="5"/>
      <c r="G16555" s="5"/>
    </row>
    <row r="16556" spans="1:7" ht="58.5" customHeight="1" x14ac:dyDescent="0.25">
      <c r="A16556" s="5" t="str">
        <f>"H0035054"</f>
        <v>H0035054</v>
      </c>
      <c r="B16556" s="5" t="str">
        <f>"Pinzas rígidas, para el agarre de fragmentos de cálculos,  4 Charr., longitud 60 cm"</f>
        <v>Pinzas rígidas, para el agarre de fragmentos de cálculos,  4 Charr., longitud 60 cm</v>
      </c>
      <c r="C16556" s="6">
        <v>4570728</v>
      </c>
      <c r="D16556" s="5" t="s">
        <v>22</v>
      </c>
      <c r="E16556" s="5" t="str">
        <f t="shared" si="849"/>
        <v>SANDRA MILENA BUITRAGO ROJAS-ELEMENTOS PARA DAR DE BAJA</v>
      </c>
      <c r="F16556" s="5"/>
      <c r="G16556" s="5"/>
    </row>
    <row r="16557" spans="1:7" ht="58.5" customHeight="1" x14ac:dyDescent="0.25">
      <c r="A16557" s="5" t="str">
        <f>"H0035657"</f>
        <v>H0035657</v>
      </c>
      <c r="B16557" s="5" t="str">
        <f>"Pinzas para la extracción de cuerpos extraños flexibles, abertura bilateral, 7 Charr. Long 40mm"</f>
        <v>Pinzas para la extracción de cuerpos extraños flexibles, abertura bilateral, 7 Charr. Long 40mm</v>
      </c>
      <c r="C16557" s="6">
        <v>1719643</v>
      </c>
      <c r="D16557" s="5" t="s">
        <v>416</v>
      </c>
      <c r="E16557" s="5" t="str">
        <f t="shared" si="849"/>
        <v>SANDRA MILENA BUITRAGO ROJAS-ELEMENTOS PARA DAR DE BAJA</v>
      </c>
      <c r="F16557" s="5"/>
      <c r="G16557" s="5"/>
    </row>
    <row r="16558" spans="1:7" ht="58.5" customHeight="1" x14ac:dyDescent="0.25">
      <c r="A16558" s="5" t="str">
        <f>"H0035658"</f>
        <v>H0035658</v>
      </c>
      <c r="B16558" s="5" t="str">
        <f>"Pinzas para biopsia flexibles, abertura bilateral, 7 Charr., longitud 40 cm"</f>
        <v>Pinzas para biopsia flexibles, abertura bilateral, 7 Charr., longitud 40 cm</v>
      </c>
      <c r="C16558" s="6">
        <v>1719643</v>
      </c>
      <c r="D16558" s="5" t="s">
        <v>416</v>
      </c>
      <c r="E16558" s="5" t="str">
        <f t="shared" si="849"/>
        <v>SANDRA MILENA BUITRAGO ROJAS-ELEMENTOS PARA DAR DE BAJA</v>
      </c>
      <c r="F16558" s="5"/>
      <c r="G16558" s="5"/>
    </row>
    <row r="16559" spans="1:7" ht="58.5" customHeight="1" x14ac:dyDescent="0.25">
      <c r="A16559" s="5" t="str">
        <f>"H0036383"</f>
        <v>H0036383</v>
      </c>
      <c r="B16559" s="5" t="str">
        <f>"VENTILADOR DE PARED"</f>
        <v>VENTILADOR DE PARED</v>
      </c>
      <c r="C16559" s="6">
        <v>295260</v>
      </c>
      <c r="D16559" s="5" t="s">
        <v>131</v>
      </c>
      <c r="E16559" s="5" t="str">
        <f t="shared" si="849"/>
        <v>SANDRA MILENA BUITRAGO ROJAS-ELEMENTOS PARA DAR DE BAJA</v>
      </c>
      <c r="F16559" s="5"/>
      <c r="G16559" s="5"/>
    </row>
    <row r="16560" spans="1:7" ht="58.5" customHeight="1" x14ac:dyDescent="0.25">
      <c r="A16560" s="5" t="str">
        <f>"H0036486"</f>
        <v>H0036486</v>
      </c>
      <c r="B16560" s="5" t="str">
        <f>"Broncofibroscopio"</f>
        <v>Broncofibroscopio</v>
      </c>
      <c r="C16560" s="6">
        <v>89964000</v>
      </c>
      <c r="D16560" s="5" t="s">
        <v>617</v>
      </c>
      <c r="E16560" s="5" t="str">
        <f t="shared" si="849"/>
        <v>SANDRA MILENA BUITRAGO ROJAS-ELEMENTOS PARA DAR DE BAJA</v>
      </c>
      <c r="F16560" s="5"/>
      <c r="G16560" s="5" t="str">
        <f>"1109BCKS"</f>
        <v>1109BCKS</v>
      </c>
    </row>
    <row r="16561" spans="1:7" ht="58.5" customHeight="1" x14ac:dyDescent="0.25">
      <c r="A16561" s="5" t="str">
        <f>"H0037307"</f>
        <v>H0037307</v>
      </c>
      <c r="B16561" s="5" t="str">
        <f>"VENTILADOR DE PARED"</f>
        <v>VENTILADOR DE PARED</v>
      </c>
      <c r="C16561" s="6">
        <v>286671</v>
      </c>
      <c r="D16561" s="5" t="s">
        <v>138</v>
      </c>
      <c r="E16561" s="5" t="str">
        <f t="shared" si="849"/>
        <v>SANDRA MILENA BUITRAGO ROJAS-ELEMENTOS PARA DAR DE BAJA</v>
      </c>
      <c r="F16561" s="5"/>
      <c r="G16561" s="5"/>
    </row>
    <row r="16562" spans="1:7" ht="58.5" customHeight="1" x14ac:dyDescent="0.25">
      <c r="A16562" s="5" t="str">
        <f>"H0037533"</f>
        <v>H0037533</v>
      </c>
      <c r="B16562" s="5" t="str">
        <f>"VENTILADOR DE PARED"</f>
        <v>VENTILADOR DE PARED</v>
      </c>
      <c r="C16562" s="6">
        <v>286671</v>
      </c>
      <c r="D16562" s="5" t="s">
        <v>139</v>
      </c>
      <c r="E16562" s="5" t="str">
        <f t="shared" si="849"/>
        <v>SANDRA MILENA BUITRAGO ROJAS-ELEMENTOS PARA DAR DE BAJA</v>
      </c>
      <c r="F16562" s="5"/>
      <c r="G16562" s="5"/>
    </row>
    <row r="16563" spans="1:7" ht="58.5" customHeight="1" x14ac:dyDescent="0.25">
      <c r="A16563" s="5" t="str">
        <f>"I0000994"</f>
        <v>I0000994</v>
      </c>
      <c r="B16563" s="5" t="str">
        <f>"PORTAGUJAS DE MICRO"</f>
        <v>PORTAGUJAS DE MICRO</v>
      </c>
      <c r="C16563" s="6">
        <v>5772705</v>
      </c>
      <c r="D16563" s="5" t="s">
        <v>162</v>
      </c>
      <c r="E16563" s="5" t="str">
        <f t="shared" si="849"/>
        <v>SANDRA MILENA BUITRAGO ROJAS-ELEMENTOS PARA DAR DE BAJA</v>
      </c>
      <c r="F16563" s="5" t="str">
        <f>"Descripcion: PORTA AGUJAS DE CLIPS ULTRAMICRO DE KOH 2616FNS Estado: Bueno Placa anterior: 000038800 Material: ACERO INOXIDABLE Color: PLATEADO Referencia:  Observacion:     Placa padre: I0000993Tipo adquisicion: Entidad"</f>
        <v>Descripcion: PORTA AGUJAS DE CLIPS ULTRAMICRO DE KOH 2616FNS Estado: Bueno Placa anterior: 000038800 Material: ACERO INOXIDABLE Color: PLATEADO Referencia:  Observacion:     Placa padre: I0000993Tipo adquisicion: Entidad</v>
      </c>
      <c r="G16563" s="5"/>
    </row>
    <row r="16564" spans="1:7" ht="58.5" customHeight="1" x14ac:dyDescent="0.25">
      <c r="A16564" s="5" t="str">
        <f>"I0000995"</f>
        <v>I0000995</v>
      </c>
      <c r="B16564" s="5" t="str">
        <f>"PINZA MERYLAND"</f>
        <v>PINZA MERYLAND</v>
      </c>
      <c r="C16564" s="6">
        <v>3815716</v>
      </c>
      <c r="D16564" s="5" t="s">
        <v>162</v>
      </c>
      <c r="E16564" s="5" t="str">
        <f t="shared" si="849"/>
        <v>SANDRA MILENA BUITRAGO ROJAS-ELEMENTOS PARA DAR DE BAJA</v>
      </c>
      <c r="F16564" s="5" t="str">
        <f>"Descripcion: PINZA MARYLAND DE AGARRE GIRATORIA 30322KS  Estado: Bueno Placa anterior: 000038798 Material: ACERO INOXIDABLE Color: PLATEADO Referencia:  Observacion:     Placa padre: I0000993Tipo adquisicion: Entidad"</f>
        <v>Descripcion: PINZA MARYLAND DE AGARRE GIRATORIA 30322KS  Estado: Bueno Placa anterior: 000038798 Material: ACERO INOXIDABLE Color: PLATEADO Referencia:  Observacion:     Placa padre: I0000993Tipo adquisicion: Entidad</v>
      </c>
      <c r="G16564" s="5"/>
    </row>
    <row r="16565" spans="1:7" ht="58.5" customHeight="1" x14ac:dyDescent="0.25">
      <c r="A16565" s="5" t="str">
        <f>"I0000997"</f>
        <v>I0000997</v>
      </c>
      <c r="B16565" s="5" t="str">
        <f>"LLAVE DE DOS VIAS"</f>
        <v>LLAVE DE DOS VIAS</v>
      </c>
      <c r="C16565" s="6">
        <v>1138169</v>
      </c>
      <c r="D16565" s="5" t="s">
        <v>162</v>
      </c>
      <c r="E16565" s="5" t="str">
        <f t="shared" si="849"/>
        <v>SANDRA MILENA BUITRAGO ROJAS-ELEMENTOS PARA DAR DE BAJA</v>
      </c>
      <c r="F16565" s="5" t="str">
        <f>"Descripcion: LLAVE EN C DOS VIAS  Estado: Bueno Placa anterior: 000038802 Material: ACERO INOXIDABLE Color: PLATEADO Referencia:  Observacion:     Placa padre: I0000993Tipo adquisicion: Entidad"</f>
        <v>Descripcion: LLAVE EN C DOS VIAS  Estado: Bueno Placa anterior: 000038802 Material: ACERO INOXIDABLE Color: PLATEADO Referencia:  Observacion:     Placa padre: I0000993Tipo adquisicion: Entidad</v>
      </c>
      <c r="G16565" s="5"/>
    </row>
    <row r="16566" spans="1:7" ht="58.5" customHeight="1" x14ac:dyDescent="0.25">
      <c r="A16566" s="5" t="str">
        <f>"I0002228"</f>
        <v>I0002228</v>
      </c>
      <c r="B16566" s="5" t="str">
        <f>"CRANEOTOMO"</f>
        <v>CRANEOTOMO</v>
      </c>
      <c r="C16566" s="6">
        <v>21115000</v>
      </c>
      <c r="D16566" s="5" t="s">
        <v>435</v>
      </c>
      <c r="E16566" s="5" t="str">
        <f t="shared" si="849"/>
        <v>SANDRA MILENA BUITRAGO ROJAS-ELEMENTOS PARA DAR DE BAJA</v>
      </c>
      <c r="F16566" s="5" t="str">
        <f>"Descripcion: EQUIPO CRANEOTOMO # 2  QUE CONSTA DE:MANGUERA CON PIEZA DE MANO -  MOTORPORTA CUCHILLAATTACHME 7, 8, 9. LLAVE Estado: Bueno Placa anterior: 000036292 Material: ACERO INOXIDABLE Color: PLATEADO Referencia:  Observacion: PEDAL NEUMATICO Reg.san"&amp; "itario:2009 DM-000335 FV:2019/03/10 Placa padre: Tipo adquisicion: Entidad"</f>
        <v>Descripcion: EQUIPO CRANEOTOMO # 2  QUE CONSTA DE:MANGUERA CON PIEZA DE MANO -  MOTORPORTA CUCHILLAATTACHME 7, 8, 9. LLAVE Estado: Bueno Placa anterior: 000036292 Material: ACERO INOXIDABLE Color: PLATEADO Referencia:  Observacion: PEDAL NEUMATICO Reg.sanitario:2009 DM-000335 FV:2019/03/10 Placa padre: Tipo adquisicion: Entidad</v>
      </c>
      <c r="G16566" s="5"/>
    </row>
    <row r="16567" spans="1:7" ht="58.5" customHeight="1" x14ac:dyDescent="0.25">
      <c r="A16567" s="5" t="str">
        <f>"I0002229"</f>
        <v>I0002229</v>
      </c>
      <c r="B16567" s="5" t="str">
        <f>"MANGUERA (INSTRUMENTAL)"</f>
        <v>MANGUERA (INSTRUMENTAL)</v>
      </c>
      <c r="C16567" s="6">
        <v>39830317</v>
      </c>
      <c r="D16567" s="5"/>
      <c r="E16567" s="5" t="str">
        <f t="shared" si="849"/>
        <v>SANDRA MILENA BUITRAGO ROJAS-ELEMENTOS PARA DAR DE BAJA</v>
      </c>
      <c r="F16567" s="5" t="str">
        <f>"Descripcion: MANGUERA CON PIEZA DE MANO -  MOTOR Estado: B Placa anterior: 000021238 Material: ACERO INOXIDABLE Color: PLATEADO Referencia:  Observacion: MOTOR NEUMATICO PARA ORTOPEDIA COMPUESTO DE: Placa padre: I0002228Tipo adquisicion: Entidad"</f>
        <v>Descripcion: MANGUERA CON PIEZA DE MANO -  MOTOR Estado: B Placa anterior: 000021238 Material: ACERO INOXIDABLE Color: PLATEADO Referencia:  Observacion: MOTOR NEUMATICO PARA ORTOPEDIA COMPUESTO DE: Placa padre: I0002228Tipo adquisicion: Entidad</v>
      </c>
      <c r="G16567" s="5"/>
    </row>
    <row r="16568" spans="1:7" ht="58.5" customHeight="1" x14ac:dyDescent="0.25">
      <c r="A16568" s="5" t="str">
        <f>"I0004779"</f>
        <v>I0004779</v>
      </c>
      <c r="B16568" s="5" t="str">
        <f>"PINZA OPTICA"</f>
        <v>PINZA OPTICA</v>
      </c>
      <c r="C16568" s="6">
        <v>1016088.84</v>
      </c>
      <c r="D16568" s="5"/>
      <c r="E16568" s="5" t="str">
        <f t="shared" si="849"/>
        <v>SANDRA MILENA BUITRAGO ROJAS-ELEMENTOS PARA DAR DE BAJA</v>
      </c>
      <c r="F16568" s="5" t="str">
        <f>"Descripcion: PINZAS OPTICAS  Estado: Bueno Placa anterior: 000012634 Material: ACERO INOXIDABLE Color: PLATEADO Referencia:  Observacion:     Placa padre: I0004765Tipo adquisicion: Entidad"</f>
        <v>Descripcion: PINZAS OPTICAS  Estado: Bueno Placa anterior: 000012634 Material: ACERO INOXIDABLE Color: PLATEADO Referencia:  Observacion:     Placa padre: I0004765Tipo adquisicion: Entidad</v>
      </c>
      <c r="G16568" s="5"/>
    </row>
    <row r="16569" spans="1:7" ht="58.5" customHeight="1" x14ac:dyDescent="0.25">
      <c r="A16569" s="5" t="str">
        <f>"I0004865"</f>
        <v>I0004865</v>
      </c>
      <c r="B16569" s="5" t="str">
        <f>"TIJERA (INSTRUMENTAL)"</f>
        <v>TIJERA (INSTRUMENTAL)</v>
      </c>
      <c r="C16569" s="6">
        <v>1216782</v>
      </c>
      <c r="D16569" s="5" t="s">
        <v>434</v>
      </c>
      <c r="E16569" s="5" t="str">
        <f t="shared" si="849"/>
        <v>SANDRA MILENA BUITRAGO ROJAS-ELEMENTOS PARA DAR DE BAJA</v>
      </c>
      <c r="F16569" s="5" t="str">
        <f>"Descripcion: TIJERA RECTA MICRO  Estado: Bueno Placa anterior: 000030212 Material: ACERO INOXIDABLE Color: PLATEADO Referencia:  Observacion: MICRO- TIJERA, JACOBSON, PUNTA CPNICA, CURVA, AGUDA MANGO PLANO EN FORMA DE BAYONETA, LONGITUD 20.5 cm - 8 1/8. E"&amp; "N ACERO INOXIDABLE MARCA MARTIN ALEMAN. INVIMA 2007DM-0002016 2017/12/17 REF. 11-7352-23 Placa padre: I0004856Tipo adquisicion: Entidad"</f>
        <v>Descripcion: TIJERA RECTA MICRO  Estado: Bueno Placa anterior: 000030212 Material: ACERO INOXIDABLE Color: PLATEADO Referencia:  Observacion: MICRO- TIJERA, JACOBSON, PUNTA CPNICA, CURVA, AGUDA MANGO PLANO EN FORMA DE BAYONETA, LONGITUD 20.5 cm - 8 1/8. EN ACERO INOXIDABLE MARCA MARTIN ALEMAN. INVIMA 2007DM-0002016 2017/12/17 REF. 11-7352-23 Placa padre: I0004856Tipo adquisicion: Entidad</v>
      </c>
      <c r="G16569" s="5"/>
    </row>
    <row r="16570" spans="1:7" ht="58.5" customHeight="1" x14ac:dyDescent="0.25">
      <c r="A16570" s="5" t="str">
        <f>"I0004892"</f>
        <v>I0004892</v>
      </c>
      <c r="B16570" s="5" t="str">
        <f>"LENTE PARA LAPAROSCOPIO"</f>
        <v>LENTE PARA LAPAROSCOPIO</v>
      </c>
      <c r="C16570" s="6">
        <v>8645845</v>
      </c>
      <c r="D16570" s="5"/>
      <c r="E16570" s="5" t="str">
        <f t="shared" si="849"/>
        <v>SANDRA MILENA BUITRAGO ROJAS-ELEMENTOS PARA DAR DE BAJA</v>
      </c>
      <c r="F16570" s="5" t="str">
        <f>"Descripcion: LENTE 0° TEKNO 10MM Estado: Bueno Placa anterior: 000033401 Material: ACERO INOXIDABLE Color: PLATEADO Referencia:  Observacion:     Placa padre: I0004888Tipo adquisicion: Entidad"</f>
        <v>Descripcion: LENTE 0° TEKNO 10MM Estado: Bueno Placa anterior: 000033401 Material: ACERO INOXIDABLE Color: PLATEADO Referencia:  Observacion:     Placa padre: I0004888Tipo adquisicion: Entidad</v>
      </c>
      <c r="G16570" s="5"/>
    </row>
    <row r="16571" spans="1:7" ht="58.5" customHeight="1" x14ac:dyDescent="0.25">
      <c r="A16571" s="5" t="str">
        <f>"I0004898"</f>
        <v>I0004898</v>
      </c>
      <c r="B16571" s="5" t="str">
        <f>"LENTE (INSTRUMENTAL)"</f>
        <v>LENTE (INSTRUMENTAL)</v>
      </c>
      <c r="C16571" s="6">
        <v>7781207</v>
      </c>
      <c r="D16571" s="5"/>
      <c r="E16571" s="5" t="str">
        <f t="shared" si="849"/>
        <v>SANDRA MILENA BUITRAGO ROJAS-ELEMENTOS PARA DAR DE BAJA</v>
      </c>
      <c r="F16571" s="5" t="str">
        <f>"Descripcion: LENTE WOLF 30° DE 4.0MM Estado: Bueno Placa anterior: 000033414 Material: ACERO INOXIDABLE Color: PLATEADO Referencia:  Observacion:     Placa padre: I0004895Tipo adquisicion: Entidad"</f>
        <v>Descripcion: LENTE WOLF 30° DE 4.0MM Estado: Bueno Placa anterior: 000033414 Material: ACERO INOXIDABLE Color: PLATEADO Referencia:  Observacion:     Placa padre: I0004895Tipo adquisicion: Entidad</v>
      </c>
      <c r="G16571" s="5"/>
    </row>
    <row r="16572" spans="1:7" ht="58.5" customHeight="1" x14ac:dyDescent="0.25">
      <c r="A16572" s="5" t="str">
        <f>"I0005203"</f>
        <v>I0005203</v>
      </c>
      <c r="B16572" s="5" t="str">
        <f>"PINZA"</f>
        <v>PINZA</v>
      </c>
      <c r="C16572" s="6">
        <v>3338</v>
      </c>
      <c r="D16572" s="5"/>
      <c r="E16572" s="5" t="str">
        <f t="shared" si="849"/>
        <v>SANDRA MILENA BUITRAGO ROJAS-ELEMENTOS PARA DAR DE BAJA</v>
      </c>
      <c r="F16572" s="5" t="str">
        <f>"Descripcion: PINZA CHITELY Estado: Bueno Placa anterior: 000016179 Material: ACERO INOXIDABLE Color: PLATEADO Referencia:  Observacion:  Placa padre: Tipo adquisicion: Entidad"</f>
        <v>Descripcion: PINZA CHITELY Estado: Bueno Placa anterior: 000016179 Material: ACERO INOXIDABLE Color: PLATEADO Referencia:  Observacion:  Placa padre: Tipo adquisicion: Entidad</v>
      </c>
      <c r="G16572" s="5"/>
    </row>
    <row r="16573" spans="1:7" ht="58.5" customHeight="1" x14ac:dyDescent="0.25">
      <c r="A16573" s="5" t="str">
        <f>"I0005204"</f>
        <v>I0005204</v>
      </c>
      <c r="B16573" s="5" t="str">
        <f>"PINZA"</f>
        <v>PINZA</v>
      </c>
      <c r="C16573" s="6">
        <v>3338</v>
      </c>
      <c r="D16573" s="5"/>
      <c r="E16573" s="5" t="str">
        <f t="shared" si="849"/>
        <v>SANDRA MILENA BUITRAGO ROJAS-ELEMENTOS PARA DAR DE BAJA</v>
      </c>
      <c r="F16573" s="5" t="str">
        <f>"Descripcion: PINZA CHITELY Estado: Bueno Placa anterior: 000016180 Material: ACERO INOXIDABLE Color: PLATEADO Referencia:  Observacion:  Placa padre: Tipo adquisicion: Entidad"</f>
        <v>Descripcion: PINZA CHITELY Estado: Bueno Placa anterior: 000016180 Material: ACERO INOXIDABLE Color: PLATEADO Referencia:  Observacion:  Placa padre: Tipo adquisicion: Entidad</v>
      </c>
      <c r="G16573" s="5"/>
    </row>
    <row r="16574" spans="1:7" ht="58.5" customHeight="1" x14ac:dyDescent="0.25">
      <c r="A16574" s="5" t="str">
        <f>"H0005159"</f>
        <v>H0005159</v>
      </c>
      <c r="B16574" s="5" t="str">
        <f>"CALCULADORA ELECTRICA DE 12 DIGITOS"</f>
        <v>CALCULADORA ELECTRICA DE 12 DIGITOS</v>
      </c>
      <c r="C16574" s="6">
        <v>124859</v>
      </c>
      <c r="D16574" s="5"/>
      <c r="E16574" s="5" t="str">
        <f t="shared" ref="E16574:E16584" si="850">"SANDRA MILENA BUITRAGO ROJAS-ELEMENTOS PARA DAR DE BAJA"</f>
        <v>SANDRA MILENA BUITRAGO ROJAS-ELEMENTOS PARA DAR DE BAJA</v>
      </c>
      <c r="F16574" s="5" t="str">
        <f>"Descripcion: CALCULADORA CITIZEN MODELO 335DP Estado: Bueno Placa anterior: 000001404 Material: PLASTICO Color: BEIGE Referencia:  Observacion:  Placa padre: Tipo adquisicion: Entidad"</f>
        <v>Descripcion: CALCULADORA CITIZEN MODELO 335DP Estado: Bueno Placa anterior: 000001404 Material: PLASTICO Color: BEIGE Referencia:  Observacion:  Placa padre: Tipo adquisicion: Entidad</v>
      </c>
      <c r="G16574" s="5" t="str">
        <f>"335TP"</f>
        <v>335TP</v>
      </c>
    </row>
    <row r="16575" spans="1:7" ht="58.5" customHeight="1" x14ac:dyDescent="0.25">
      <c r="A16575" s="5" t="str">
        <f>"H0016338"</f>
        <v>H0016338</v>
      </c>
      <c r="B16575" s="5" t="str">
        <f>"CALCULADORA ELECTRICA DE 12 DIGITOS"</f>
        <v>CALCULADORA ELECTRICA DE 12 DIGITOS</v>
      </c>
      <c r="C16575" s="6">
        <v>104477</v>
      </c>
      <c r="D16575" s="5"/>
      <c r="E16575" s="5" t="str">
        <f t="shared" si="850"/>
        <v>SANDRA MILENA BUITRAGO ROJAS-ELEMENTOS PARA DAR DE BAJA</v>
      </c>
      <c r="F16575" s="5" t="str">
        <f>"Descripcion: CALCULADORA ELECTRICA DE 12 DIGITOS CON ROLLO Estado: Bueno Placa anterior: 000000683 Material: PASTA Color: BLANCA Referencia:  Observacion:  Placa padre: Tipo adquisicion: Entidad"</f>
        <v>Descripcion: CALCULADORA ELECTRICA DE 12 DIGITOS CON ROLLO Estado: Bueno Placa anterior: 000000683 Material: PASTA Color: BLANCA Referencia:  Observacion:  Placa padre: Tipo adquisicion: Entidad</v>
      </c>
      <c r="G16575" s="5" t="str">
        <f>"335DP"</f>
        <v>335DP</v>
      </c>
    </row>
    <row r="16576" spans="1:7" ht="58.5" customHeight="1" x14ac:dyDescent="0.25">
      <c r="A16576" s="5" t="str">
        <f>"H0016737"</f>
        <v>H0016737</v>
      </c>
      <c r="B16576" s="5" t="str">
        <f>"PUESTO DE TRABAJO EN L"</f>
        <v>PUESTO DE TRABAJO EN L</v>
      </c>
      <c r="C16576" s="6">
        <v>610000</v>
      </c>
      <c r="D16576" s="5"/>
      <c r="E16576" s="5" t="str">
        <f t="shared" si="850"/>
        <v>SANDRA MILENA BUITRAGO ROJAS-ELEMENTOS PARA DAR DE BAJA</v>
      </c>
      <c r="F16576" s="5" t="str">
        <f>"Descripcion: PUESTO DE TRABAJO EN L CON ATENCION AL PUBLICO Estado: Bueno Placa anterior: 000033448 Material: SUPERFICIE EN FORMICA Color: BEIGS Y MARCO EN NEGRO Referencia:  Observacion: PUESTO DE TRABAJO EN L CON 3 GAVETAS Y PORTACPU Placa padre: Tipo a"&amp; "dquisicion: Entidad"</f>
        <v>Descripcion: PUESTO DE TRABAJO EN L CON ATENCION AL PUBLICO Estado: Bueno Placa anterior: 000033448 Material: SUPERFICIE EN FORMICA Color: BEIGS Y MARCO EN NEGRO Referencia:  Observacion: PUESTO DE TRABAJO EN L CON 3 GAVETAS Y PORTACPU Placa padre: Tipo adquisicion: Entidad</v>
      </c>
      <c r="G16576" s="5"/>
    </row>
    <row r="16577" spans="1:7" ht="58.5" customHeight="1" x14ac:dyDescent="0.25">
      <c r="A16577" s="5" t="str">
        <f>"H0016750"</f>
        <v>H0016750</v>
      </c>
      <c r="B16577" s="5" t="str">
        <f>"PUESTO DE TRABAJO EN L"</f>
        <v>PUESTO DE TRABAJO EN L</v>
      </c>
      <c r="C16577" s="6">
        <v>600000</v>
      </c>
      <c r="D16577" s="5"/>
      <c r="E16577" s="5" t="str">
        <f t="shared" si="850"/>
        <v>SANDRA MILENA BUITRAGO ROJAS-ELEMENTOS PARA DAR DE BAJA</v>
      </c>
      <c r="F16577" s="5" t="str">
        <f>"Descripcion: PUESTO MODULARES DE TRABAJO Estado: Excelente Placa anterior: 000033455 Material: SUPERFICIE EN FORMICA Color: BEIGS Y MARCO EN NEGRO Referencia:  Observacion: PUESTO DE TRABAJO EN L CON TRES GAVETAS CON PORTACPU Placa padre: Tipo adquisicion"&amp; ": Entidad"</f>
        <v>Descripcion: PUESTO MODULARES DE TRABAJO Estado: Excelente Placa anterior: 000033455 Material: SUPERFICIE EN FORMICA Color: BEIGS Y MARCO EN NEGRO Referencia:  Observacion: PUESTO DE TRABAJO EN L CON TRES GAVETAS CON PORTACPU Placa padre: Tipo adquisicion: Entidad</v>
      </c>
      <c r="G16577" s="5"/>
    </row>
    <row r="16578" spans="1:7" ht="58.5" customHeight="1" x14ac:dyDescent="0.25">
      <c r="A16578" s="5" t="str">
        <f>"H0018748"</f>
        <v>H0018748</v>
      </c>
      <c r="B16578" s="5" t="str">
        <f>"SILLON (SOFA)"</f>
        <v>SILLON (SOFA)</v>
      </c>
      <c r="C16578" s="6">
        <v>15000</v>
      </c>
      <c r="D16578" s="5"/>
      <c r="E16578" s="5" t="str">
        <f t="shared" si="850"/>
        <v>SANDRA MILENA BUITRAGO ROJAS-ELEMENTOS PARA DAR DE BAJA</v>
      </c>
      <c r="F16578" s="5" t="str">
        <f>"Descripcion:SOFA DE 3 PUESTOS Estado: Bueno Placa anterior: 000000658 Material: MADERA Color: AZUL REY Referencia:  Observacion:  Placa padre:  Tipo adquisicion : Entidad"</f>
        <v>Descripcion:SOFA DE 3 PUESTOS Estado: Bueno Placa anterior: 000000658 Material: MADERA Color: AZUL REY Referencia:  Observacion:  Placa padre:  Tipo adquisicion : Entidad</v>
      </c>
      <c r="G16578" s="5"/>
    </row>
    <row r="16579" spans="1:7" ht="58.5" customHeight="1" x14ac:dyDescent="0.25">
      <c r="A16579" s="5" t="str">
        <f>"H0022274"</f>
        <v>H0022274</v>
      </c>
      <c r="B16579" s="5" t="str">
        <f>"DESFRIBILADOR"</f>
        <v>DESFRIBILADOR</v>
      </c>
      <c r="C16579" s="6">
        <v>16657600</v>
      </c>
      <c r="D16579" s="5" t="s">
        <v>262</v>
      </c>
      <c r="E16579" s="5" t="str">
        <f t="shared" si="850"/>
        <v>SANDRA MILENA BUITRAGO ROJAS-ELEMENTOS PARA DAR DE BAJA</v>
      </c>
      <c r="F16579" s="5"/>
      <c r="G16579" s="5"/>
    </row>
    <row r="16580" spans="1:7" ht="58.5" customHeight="1" x14ac:dyDescent="0.25">
      <c r="A16580" s="5" t="str">
        <f>"H0025032"</f>
        <v>H0025032</v>
      </c>
      <c r="B16580" s="5" t="str">
        <f>"EQUIPO RAYOS X (RX)"</f>
        <v>EQUIPO RAYOS X (RX)</v>
      </c>
      <c r="C16580" s="6">
        <v>159821320</v>
      </c>
      <c r="D16580" s="5" t="s">
        <v>578</v>
      </c>
      <c r="E16580" s="5" t="str">
        <f t="shared" si="850"/>
        <v>SANDRA MILENA BUITRAGO ROJAS-ELEMENTOS PARA DAR DE BAJA</v>
      </c>
      <c r="F16580" s="5"/>
      <c r="G16580" s="5" t="str">
        <f>"XR6000"</f>
        <v>XR6000</v>
      </c>
    </row>
    <row r="16581" spans="1:7" ht="58.5" customHeight="1" x14ac:dyDescent="0.25">
      <c r="A16581" s="5" t="str">
        <f>"H0028844"</f>
        <v>H0028844</v>
      </c>
      <c r="B16581" s="5" t="str">
        <f>"SILLA HERGONOMICA CON SISTEMA HIDRAULICO"</f>
        <v>SILLA HERGONOMICA CON SISTEMA HIDRAULICO</v>
      </c>
      <c r="C16581" s="6">
        <v>174900</v>
      </c>
      <c r="D16581" s="5" t="s">
        <v>40</v>
      </c>
      <c r="E16581" s="5" t="str">
        <f t="shared" si="850"/>
        <v>SANDRA MILENA BUITRAGO ROJAS-ELEMENTOS PARA DAR DE BAJA</v>
      </c>
      <c r="F16581" s="5"/>
      <c r="G16581" s="5"/>
    </row>
    <row r="16582" spans="1:7" ht="58.5" customHeight="1" x14ac:dyDescent="0.25">
      <c r="A16582" s="5" t="str">
        <f>"H0028867"</f>
        <v>H0028867</v>
      </c>
      <c r="B16582" s="5" t="str">
        <f>"SILLA HERGONOMICA CON SISTEMA HIDRAULICO"</f>
        <v>SILLA HERGONOMICA CON SISTEMA HIDRAULICO</v>
      </c>
      <c r="C16582" s="6">
        <v>174900</v>
      </c>
      <c r="D16582" s="5" t="s">
        <v>40</v>
      </c>
      <c r="E16582" s="5" t="str">
        <f t="shared" si="850"/>
        <v>SANDRA MILENA BUITRAGO ROJAS-ELEMENTOS PARA DAR DE BAJA</v>
      </c>
      <c r="F16582" s="5"/>
      <c r="G16582" s="5"/>
    </row>
    <row r="16583" spans="1:7" ht="58.5" customHeight="1" x14ac:dyDescent="0.25">
      <c r="A16583" s="5" t="str">
        <f>"H0033418"</f>
        <v>H0033418</v>
      </c>
      <c r="B16583"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6583" s="6">
        <v>2533333</v>
      </c>
      <c r="D16583" s="5" t="s">
        <v>120</v>
      </c>
      <c r="E16583" s="5" t="str">
        <f t="shared" si="850"/>
        <v>SANDRA MILENA BUITRAGO ROJAS-ELEMENTOS PARA DAR DE BAJA</v>
      </c>
      <c r="F16583" s="5"/>
      <c r="G16583" s="5"/>
    </row>
    <row r="16584" spans="1:7" ht="58.5" customHeight="1" x14ac:dyDescent="0.25">
      <c r="A16584" s="5" t="str">
        <f>"H0033981"</f>
        <v>H0033981</v>
      </c>
      <c r="B16584" s="5" t="str">
        <f>"RAYOS X PORTATIL. Superficie Activa 43x35 cm. Distancia focal 220 cm min. Brazo 180°. 40-125 kV. 10-500 mA. 115 V. Bateria 7h. Pantalla táctil &gt; 19”. DICOM. LAN. Wifi. 5000 records."</f>
        <v>RAYOS X PORTATIL. Superficie Activa 43x35 cm. Distancia focal 220 cm min. Brazo 180°. 40-125 kV. 10-500 mA. 115 V. Bateria 7h. Pantalla táctil &gt; 19”. DICOM. LAN. Wifi. 5000 records.</v>
      </c>
      <c r="C16584" s="6">
        <v>348000000</v>
      </c>
      <c r="D16584" s="5" t="s">
        <v>120</v>
      </c>
      <c r="E16584" s="5" t="str">
        <f t="shared" si="850"/>
        <v>SANDRA MILENA BUITRAGO ROJAS-ELEMENTOS PARA DAR DE BAJA</v>
      </c>
      <c r="F16584" s="5"/>
      <c r="G16584" s="5"/>
    </row>
    <row r="16585" spans="1:7" ht="58.5" customHeight="1" x14ac:dyDescent="0.25">
      <c r="A16585" s="5" t="str">
        <f>"B0005480"</f>
        <v>B0005480</v>
      </c>
      <c r="B16585" s="5" t="str">
        <f>"PORRA"</f>
        <v>PORRA</v>
      </c>
      <c r="C16585" s="6">
        <v>19199.72</v>
      </c>
      <c r="D16585" s="5" t="s">
        <v>382</v>
      </c>
      <c r="E16585" s="5" t="str">
        <f t="shared" ref="E16585:E16603" si="851">"ACTISALUD-OBRAS CIVILES"</f>
        <v>ACTISALUD-OBRAS CIVILES</v>
      </c>
      <c r="F16585" s="5" t="str">
        <f>"Descripcion: MAZA 5202 -4L BELLOTA (PORRa) Estado: Bueno Placa anterior: 000039096 Material: HIERRO Color: MARRON Referencia:  Observacion:  Placa padre: Tipo adquisicion: Entidad"</f>
        <v>Descripcion: MAZA 5202 -4L BELLOTA (PORRa) Estado: Bueno Placa anterior: 000039096 Material: HIERRO Color: MARRON Referencia:  Observacion:  Placa padre: Tipo adquisicion: Entidad</v>
      </c>
      <c r="G16585" s="5"/>
    </row>
    <row r="16586" spans="1:7" ht="58.5" customHeight="1" x14ac:dyDescent="0.25">
      <c r="A16586" s="5" t="str">
        <f>"H0020051"</f>
        <v>H0020051</v>
      </c>
      <c r="B16586" s="5" t="str">
        <f>"TALADRO"</f>
        <v>TALADRO</v>
      </c>
      <c r="C16586" s="6">
        <v>689900.38</v>
      </c>
      <c r="D16586" s="5" t="s">
        <v>751</v>
      </c>
      <c r="E16586" s="5" t="str">
        <f t="shared" si="851"/>
        <v>ACTISALUD-OBRAS CIVILES</v>
      </c>
      <c r="F16586" s="5" t="str">
        <f>"Descripcion: ROTOMARTILLO SDS PLUS 820W 8 AMP Estado: Bueno Placa anterior: 000037195 Material:  Color: AMARILLO Referencia:  Observacion:  Placa padre: Tipo adquisicion: Entidad"</f>
        <v>Descripcion: ROTOMARTILLO SDS PLUS 820W 8 AMP Estado: Bueno Placa anterior: 000037195 Material:  Color: AMARILLO Referencia:  Observacion:  Placa padre: Tipo adquisicion: Entidad</v>
      </c>
      <c r="G16586" s="5"/>
    </row>
    <row r="16587" spans="1:7" ht="58.5" customHeight="1" x14ac:dyDescent="0.25">
      <c r="A16587" s="5" t="str">
        <f>"H0025682"</f>
        <v>H0025682</v>
      </c>
      <c r="B16587" s="5" t="str">
        <f>"TALADRO ROTOMARTILLO DEMOLEDOR"</f>
        <v>TALADRO ROTOMARTILLO DEMOLEDOR</v>
      </c>
      <c r="C16587" s="6">
        <v>1915900</v>
      </c>
      <c r="D16587" s="5" t="s">
        <v>794</v>
      </c>
      <c r="E16587" s="5" t="str">
        <f t="shared" si="851"/>
        <v>ACTISALUD-OBRAS CIVILES</v>
      </c>
      <c r="F16587" s="5"/>
      <c r="G16587" s="5"/>
    </row>
    <row r="16588" spans="1:7" ht="58.5" customHeight="1" x14ac:dyDescent="0.25">
      <c r="A16588" s="5" t="str">
        <f>"H0025699"</f>
        <v>H0025699</v>
      </c>
      <c r="B16588" s="5" t="str">
        <f>"ROTOMARTILLO"</f>
        <v>ROTOMARTILLO</v>
      </c>
      <c r="C16588" s="6">
        <v>1543999</v>
      </c>
      <c r="D16588" s="5" t="s">
        <v>795</v>
      </c>
      <c r="E16588" s="5" t="str">
        <f t="shared" si="851"/>
        <v>ACTISALUD-OBRAS CIVILES</v>
      </c>
      <c r="F16588" s="5"/>
      <c r="G16588" s="5"/>
    </row>
    <row r="16589" spans="1:7" ht="58.5" customHeight="1" x14ac:dyDescent="0.25">
      <c r="A16589" s="5" t="str">
        <f>"H0027155"</f>
        <v>H0027155</v>
      </c>
      <c r="B16589" s="5" t="str">
        <f>"TALADRO PERCUTOR DE 1/2 18V 115NM"</f>
        <v>TALADRO PERCUTOR DE 1/2 18V 115NM</v>
      </c>
      <c r="C16589" s="6">
        <v>277200.18</v>
      </c>
      <c r="D16589" s="5" t="s">
        <v>796</v>
      </c>
      <c r="E16589" s="5" t="str">
        <f t="shared" si="851"/>
        <v>ACTISALUD-OBRAS CIVILES</v>
      </c>
      <c r="F16589" s="5"/>
      <c r="G16589" s="5"/>
    </row>
    <row r="16590" spans="1:7" ht="58.5" customHeight="1" x14ac:dyDescent="0.25">
      <c r="A16590" s="5" t="str">
        <f>"H0027281"</f>
        <v>H0027281</v>
      </c>
      <c r="B16590" s="5" t="str">
        <f>"LIJADORA 225W 1/4"</f>
        <v>LIJADORA 225W 1/4</v>
      </c>
      <c r="C16590" s="6">
        <v>279900.08</v>
      </c>
      <c r="D16590" s="5" t="s">
        <v>759</v>
      </c>
      <c r="E16590" s="5" t="str">
        <f t="shared" si="851"/>
        <v>ACTISALUD-OBRAS CIVILES</v>
      </c>
      <c r="F16590" s="5"/>
      <c r="G16590" s="5"/>
    </row>
    <row r="16591" spans="1:7" ht="58.5" customHeight="1" x14ac:dyDescent="0.25">
      <c r="A16591" s="5" t="str">
        <f>"H0027621"</f>
        <v>H0027621</v>
      </c>
      <c r="B16591" s="5" t="str">
        <f>"ROTOMARTILLO"</f>
        <v>ROTOMARTILLO</v>
      </c>
      <c r="C16591" s="6">
        <v>598600.21</v>
      </c>
      <c r="D16591" s="5" t="s">
        <v>797</v>
      </c>
      <c r="E16591" s="5" t="str">
        <f t="shared" si="851"/>
        <v>ACTISALUD-OBRAS CIVILES</v>
      </c>
      <c r="F16591" s="5"/>
      <c r="G16591" s="5"/>
    </row>
    <row r="16592" spans="1:7" ht="58.5" customHeight="1" x14ac:dyDescent="0.25">
      <c r="A16592" s="5" t="str">
        <f>"H0028267"</f>
        <v>H0028267</v>
      </c>
      <c r="B16592" s="5" t="str">
        <f>"ESCALERA FIBRE DE VIDRIO 20 PELDAÑOS"</f>
        <v>ESCALERA FIBRE DE VIDRIO 20 PELDAÑOS</v>
      </c>
      <c r="C16592" s="6">
        <v>578500.44999999995</v>
      </c>
      <c r="D16592" s="5" t="s">
        <v>754</v>
      </c>
      <c r="E16592" s="5" t="str">
        <f t="shared" si="851"/>
        <v>ACTISALUD-OBRAS CIVILES</v>
      </c>
      <c r="F16592" s="5"/>
      <c r="G16592" s="5"/>
    </row>
    <row r="16593" spans="1:7" ht="58.5" customHeight="1" x14ac:dyDescent="0.25">
      <c r="A16593" s="5" t="str">
        <f>"H0028375"</f>
        <v>H0028375</v>
      </c>
      <c r="B16593" s="5" t="str">
        <f>"TALADRO"</f>
        <v>TALADRO</v>
      </c>
      <c r="C16593" s="6">
        <v>916500.07</v>
      </c>
      <c r="D16593" s="5" t="s">
        <v>798</v>
      </c>
      <c r="E16593" s="5" t="str">
        <f t="shared" si="851"/>
        <v>ACTISALUD-OBRAS CIVILES</v>
      </c>
      <c r="F16593" s="5"/>
      <c r="G16593" s="5"/>
    </row>
    <row r="16594" spans="1:7" ht="58.5" customHeight="1" x14ac:dyDescent="0.25">
      <c r="A16594" s="5" t="str">
        <f>"H0028459"</f>
        <v>H0028459</v>
      </c>
      <c r="B16594" s="5" t="str">
        <f>"LIJADORA ORBITAL 225W 1/4 DEWALT"</f>
        <v>LIJADORA ORBITAL 225W 1/4 DEWALT</v>
      </c>
      <c r="C16594" s="6">
        <v>279900.08</v>
      </c>
      <c r="D16594" s="5" t="s">
        <v>563</v>
      </c>
      <c r="E16594" s="5" t="str">
        <f t="shared" si="851"/>
        <v>ACTISALUD-OBRAS CIVILES</v>
      </c>
      <c r="F16594" s="5"/>
      <c r="G16594" s="5"/>
    </row>
    <row r="16595" spans="1:7" ht="58.5" customHeight="1" x14ac:dyDescent="0.25">
      <c r="A16595" s="5" t="str">
        <f>"H0029063"</f>
        <v>H0029063</v>
      </c>
      <c r="B16595" s="5" t="str">
        <f>"PISTOLA DE CALOR 2000W CON SELECTOR LED"</f>
        <v>PISTOLA DE CALOR 2000W CON SELECTOR LED</v>
      </c>
      <c r="C16595" s="6">
        <v>356799.93</v>
      </c>
      <c r="D16595" s="5" t="s">
        <v>799</v>
      </c>
      <c r="E16595" s="5" t="str">
        <f t="shared" si="851"/>
        <v>ACTISALUD-OBRAS CIVILES</v>
      </c>
      <c r="F16595" s="5"/>
      <c r="G16595" s="5"/>
    </row>
    <row r="16596" spans="1:7" ht="58.5" customHeight="1" x14ac:dyDescent="0.25">
      <c r="A16596" s="5" t="str">
        <f>"H0029230"</f>
        <v>H0029230</v>
      </c>
      <c r="B16596" s="5" t="str">
        <f>"LIJADORA ROTO ORBITAL"</f>
        <v>LIJADORA ROTO ORBITAL</v>
      </c>
      <c r="C16596" s="6">
        <v>325200.31</v>
      </c>
      <c r="D16596" s="5" t="s">
        <v>89</v>
      </c>
      <c r="E16596" s="5" t="str">
        <f t="shared" si="851"/>
        <v>ACTISALUD-OBRAS CIVILES</v>
      </c>
      <c r="F16596" s="5"/>
      <c r="G16596" s="5"/>
    </row>
    <row r="16597" spans="1:7" ht="58.5" customHeight="1" x14ac:dyDescent="0.25">
      <c r="A16597" s="5" t="str">
        <f>"H0029817"</f>
        <v>H0029817</v>
      </c>
      <c r="B16597" s="5" t="str">
        <f>"TALADRO PERC 12V"</f>
        <v>TALADRO PERC 12V</v>
      </c>
      <c r="C16597" s="6">
        <v>560000.23</v>
      </c>
      <c r="D16597" s="5" t="s">
        <v>41</v>
      </c>
      <c r="E16597" s="5" t="str">
        <f t="shared" si="851"/>
        <v>ACTISALUD-OBRAS CIVILES</v>
      </c>
      <c r="F16597" s="5"/>
      <c r="G16597" s="5"/>
    </row>
    <row r="16598" spans="1:7" ht="58.5" customHeight="1" x14ac:dyDescent="0.25">
      <c r="A16598" s="5" t="str">
        <f>"H0030110"</f>
        <v>H0030110</v>
      </c>
      <c r="B16598" s="5" t="s">
        <v>763</v>
      </c>
      <c r="C16598" s="6">
        <v>585199.71</v>
      </c>
      <c r="D16598" s="5" t="s">
        <v>314</v>
      </c>
      <c r="E16598" s="5" t="str">
        <f t="shared" si="851"/>
        <v>ACTISALUD-OBRAS CIVILES</v>
      </c>
      <c r="F16598" s="5"/>
      <c r="G16598" s="5"/>
    </row>
    <row r="16599" spans="1:7" ht="58.5" customHeight="1" x14ac:dyDescent="0.25">
      <c r="A16599" s="5" t="str">
        <f>"H0030111"</f>
        <v>H0030111</v>
      </c>
      <c r="B16599" s="5" t="str">
        <f>"ATORNILLADOR INALAMBRICO 12V"</f>
        <v>ATORNILLADOR INALAMBRICO 12V</v>
      </c>
      <c r="C16599" s="6">
        <v>147999.75</v>
      </c>
      <c r="D16599" s="5" t="s">
        <v>314</v>
      </c>
      <c r="E16599" s="5" t="str">
        <f t="shared" si="851"/>
        <v>ACTISALUD-OBRAS CIVILES</v>
      </c>
      <c r="F16599" s="5"/>
      <c r="G16599" s="5"/>
    </row>
    <row r="16600" spans="1:7" ht="58.5" customHeight="1" x14ac:dyDescent="0.25">
      <c r="A16600" s="5" t="str">
        <f>"H0030145"</f>
        <v>H0030145</v>
      </c>
      <c r="B16600" s="5" t="str">
        <f>"KIT ATORNILLADOR INALAMBRICO 12V"</f>
        <v>KIT ATORNILLADOR INALAMBRICO 12V</v>
      </c>
      <c r="C16600" s="6">
        <v>147999.75</v>
      </c>
      <c r="D16600" s="5" t="s">
        <v>100</v>
      </c>
      <c r="E16600" s="5" t="str">
        <f t="shared" si="851"/>
        <v>ACTISALUD-OBRAS CIVILES</v>
      </c>
      <c r="F16600" s="5"/>
      <c r="G16600" s="5"/>
    </row>
    <row r="16601" spans="1:7" ht="58.5" customHeight="1" x14ac:dyDescent="0.25">
      <c r="A16601" s="5" t="str">
        <f>"H0031837"</f>
        <v>H0031837</v>
      </c>
      <c r="B16601" s="5" t="str">
        <f>"DEMOLEDOR TE 3000 120V"</f>
        <v>DEMOLEDOR TE 3000 120V</v>
      </c>
      <c r="C16601" s="6">
        <v>19470499.699999999</v>
      </c>
      <c r="D16601" s="5" t="s">
        <v>800</v>
      </c>
      <c r="E16601" s="5" t="str">
        <f t="shared" si="851"/>
        <v>ACTISALUD-OBRAS CIVILES</v>
      </c>
      <c r="F16601" s="5"/>
      <c r="G16601" s="5"/>
    </row>
    <row r="16602" spans="1:7" ht="58.5" customHeight="1" x14ac:dyDescent="0.25">
      <c r="A16602" s="5" t="str">
        <f>"H0031988"</f>
        <v>H0031988</v>
      </c>
      <c r="B16602" s="5" t="str">
        <f>"TALADRO PERCUT. 12V INALAMBRICO"</f>
        <v>TALADRO PERCUT. 12V INALAMBRICO</v>
      </c>
      <c r="C16602" s="6">
        <v>489363</v>
      </c>
      <c r="D16602" s="5" t="s">
        <v>107</v>
      </c>
      <c r="E16602" s="5" t="str">
        <f t="shared" si="851"/>
        <v>ACTISALUD-OBRAS CIVILES</v>
      </c>
      <c r="F16602" s="5"/>
      <c r="G16602" s="5"/>
    </row>
    <row r="16603" spans="1:7" ht="58.5" customHeight="1" x14ac:dyDescent="0.25">
      <c r="A16603" s="5" t="str">
        <f>"H0031989"</f>
        <v>H0031989</v>
      </c>
      <c r="B16603" s="5" t="str">
        <f>"MEZCLADORA ½ 120V"</f>
        <v>MEZCLADORA ½ 120V</v>
      </c>
      <c r="C16603" s="6">
        <v>1226666.32</v>
      </c>
      <c r="D16603" s="5" t="s">
        <v>107</v>
      </c>
      <c r="E16603" s="5" t="str">
        <f t="shared" si="851"/>
        <v>ACTISALUD-OBRAS CIVILES</v>
      </c>
      <c r="F16603" s="5"/>
      <c r="G16603" s="5"/>
    </row>
    <row r="16604" spans="1:7" ht="58.5" customHeight="1" x14ac:dyDescent="0.25">
      <c r="A16604" s="5" t="str">
        <f>"H0005046"</f>
        <v>H0005046</v>
      </c>
      <c r="B16604" s="5" t="str">
        <f>"MESA METALICA AUXILIAR"</f>
        <v>MESA METALICA AUXILIAR</v>
      </c>
      <c r="C16604" s="6">
        <v>20000</v>
      </c>
      <c r="D16604" s="5"/>
      <c r="E16604" s="5" t="str">
        <f t="shared" ref="E16604:E16610" si="852">"OBRA CIVIL-ADRIAN CASTELLANOS CUELLAR"</f>
        <v>OBRA CIVIL-ADRIAN CASTELLANOS CUELLAR</v>
      </c>
      <c r="F16604" s="5" t="str">
        <f>"Descripcion:MESA CUADRADA TIPO J (75 X 75 CMS) Estado: Bueno Placa anterior: 000031280 Material: METALICO Color: GRIS Referencia:  Observacion:  Placa padre:  Tipo adquisicion : Entidad"</f>
        <v>Descripcion:MESA CUADRADA TIPO J (75 X 75 CMS) Estado: Bueno Placa anterior: 000031280 Material: METALICO Color: GRIS Referencia:  Observacion:  Placa padre:  Tipo adquisicion : Entidad</v>
      </c>
      <c r="G16604" s="5"/>
    </row>
    <row r="16605" spans="1:7" ht="58.5" customHeight="1" x14ac:dyDescent="0.25">
      <c r="A16605" s="5" t="str">
        <f>"H0010754"</f>
        <v>H0010754</v>
      </c>
      <c r="B16605" s="5" t="str">
        <f>"LOCKER DE 3 COMPARTIMIENTOS"</f>
        <v>LOCKER DE 3 COMPARTIMIENTOS</v>
      </c>
      <c r="C16605" s="6">
        <v>7304</v>
      </c>
      <c r="D16605" s="5"/>
      <c r="E16605" s="5" t="str">
        <f t="shared" si="852"/>
        <v>OBRA CIVIL-ADRIAN CASTELLANOS CUELLAR</v>
      </c>
      <c r="F16605" s="5" t="str">
        <f>"Descripcion:LOCKER TIPO B (3 PUESTOS) Estado: Bueno Placa anterior: 000019437 Material: METALICO Color: GRIS Referencia:  Observacion: PLACA ANTERIOR NO ENCONTRADA 000027478, AUTORIZADO CONCILIAR EN CRUCE GENERAL Placa padre:  Tipo adquisicion : Entidad"</f>
        <v>Descripcion:LOCKER TIPO B (3 PUESTOS) Estado: Bueno Placa anterior: 000019437 Material: METALICO Color: GRIS Referencia:  Observacion: PLACA ANTERIOR NO ENCONTRADA 000027478, AUTORIZADO CONCILIAR EN CRUCE GENERAL Placa padre:  Tipo adquisicion : Entidad</v>
      </c>
      <c r="G16605" s="5"/>
    </row>
    <row r="16606" spans="1:7" ht="58.5" customHeight="1" x14ac:dyDescent="0.25">
      <c r="A16606" s="5" t="str">
        <f>"H0021541"</f>
        <v>H0021541</v>
      </c>
      <c r="B16606" s="5" t="str">
        <f>"LOCKER DE 2 COMPARTIMIENTOS"</f>
        <v>LOCKER DE 2 COMPARTIMIENTOS</v>
      </c>
      <c r="C16606" s="6">
        <v>10750</v>
      </c>
      <c r="D16606" s="5"/>
      <c r="E16606" s="5" t="str">
        <f t="shared" si="852"/>
        <v>OBRA CIVIL-ADRIAN CASTELLANOS CUELLAR</v>
      </c>
      <c r="F16606" s="5" t="str">
        <f>"Descripcion:LOCKER DE 1 CUERPO CON 2 COMPARTIMIENTOS Estado: Regular Placa anterior: 000014706 Material: METALICO Color: GRIS Referencia:  Observacion: BIEN TIENE PLACA ANTERIOR 000008759, AUTORIZADO CONCILIAR EN CRUCE GENERAL Placa padre:  Tipo adquisici"&amp; "on : Entidad"</f>
        <v>Descripcion:LOCKER DE 1 CUERPO CON 2 COMPARTIMIENTOS Estado: Regular Placa anterior: 000014706 Material: METALICO Color: GRIS Referencia:  Observacion: BIEN TIENE PLACA ANTERIOR 000008759, AUTORIZADO CONCILIAR EN CRUCE GENERAL Placa padre:  Tipo adquisicion : Entidad</v>
      </c>
      <c r="G16606" s="5"/>
    </row>
    <row r="16607" spans="1:7" ht="58.5" customHeight="1" x14ac:dyDescent="0.25">
      <c r="A16607" s="5" t="str">
        <f>"H0022751"</f>
        <v>H0022751</v>
      </c>
      <c r="B16607" s="5" t="str">
        <f>"CARRETILLA PARA ALBAÑILERIA"</f>
        <v>CARRETILLA PARA ALBAÑILERIA</v>
      </c>
      <c r="C16607" s="6">
        <v>139999.65</v>
      </c>
      <c r="D16607" s="5" t="s">
        <v>521</v>
      </c>
      <c r="E16607" s="5" t="str">
        <f t="shared" si="852"/>
        <v>OBRA CIVIL-ADRIAN CASTELLANOS CUELLAR</v>
      </c>
      <c r="F16607" s="5" t="str">
        <f>"Descripcion: CARRETILLA MACHA OBRERA, DE UNA RUEDA Estado: Bueno Placa anterior: 000036455 Material: METALICA Color: VERDE Referencia:  Observacion:  Placa padre: Tipo adquisicion: Entidad"</f>
        <v>Descripcion: CARRETILLA MACHA OBRERA, DE UNA RUEDA Estado: Bueno Placa anterior: 000036455 Material: METALICA Color: VERDE Referencia:  Observacion:  Placa padre: Tipo adquisicion: Entidad</v>
      </c>
      <c r="G16607" s="5"/>
    </row>
    <row r="16608" spans="1:7" ht="58.5" customHeight="1" x14ac:dyDescent="0.25">
      <c r="A16608" s="5" t="str">
        <f>"H0027023"</f>
        <v>H0027023</v>
      </c>
      <c r="B16608" s="5" t="str">
        <f>"PULIDORA 1/2 700W"</f>
        <v>PULIDORA 1/2 700W</v>
      </c>
      <c r="C16608" s="6">
        <v>249900</v>
      </c>
      <c r="D16608" s="5" t="s">
        <v>459</v>
      </c>
      <c r="E16608" s="5" t="str">
        <f t="shared" si="852"/>
        <v>OBRA CIVIL-ADRIAN CASTELLANOS CUELLAR</v>
      </c>
      <c r="F16608" s="5"/>
      <c r="G16608" s="5"/>
    </row>
    <row r="16609" spans="1:7" ht="58.5" customHeight="1" x14ac:dyDescent="0.25">
      <c r="A16609" s="5" t="str">
        <f>"H0028419"</f>
        <v>H0028419</v>
      </c>
      <c r="B16609" s="5" t="str">
        <f>"TALADRO ATORNILLADOR INALAMBRICO"</f>
        <v>TALADRO ATORNILLADOR INALAMBRICO</v>
      </c>
      <c r="C16609" s="6">
        <v>491000.04</v>
      </c>
      <c r="D16609" s="5" t="s">
        <v>563</v>
      </c>
      <c r="E16609" s="5" t="str">
        <f t="shared" si="852"/>
        <v>OBRA CIVIL-ADRIAN CASTELLANOS CUELLAR</v>
      </c>
      <c r="F16609" s="5"/>
      <c r="G16609" s="5"/>
    </row>
    <row r="16610" spans="1:7" ht="58.5" customHeight="1" x14ac:dyDescent="0.25">
      <c r="A16610" s="5" t="str">
        <f>"H0030004"</f>
        <v>H0030004</v>
      </c>
      <c r="B16610" s="5" t="str">
        <f>"TALADRO PERCUTOR 1/2"</f>
        <v>TALADRO PERCUTOR 1/2</v>
      </c>
      <c r="C16610" s="6">
        <v>524000.14</v>
      </c>
      <c r="D16610" s="5" t="s">
        <v>801</v>
      </c>
      <c r="E16610" s="5" t="str">
        <f t="shared" si="852"/>
        <v>OBRA CIVIL-ADRIAN CASTELLANOS CUELLAR</v>
      </c>
      <c r="F16610" s="5"/>
      <c r="G16610" s="5"/>
    </row>
    <row r="16611" spans="1:7" ht="58.5" customHeight="1" x14ac:dyDescent="0.25">
      <c r="A16611" s="5" t="str">
        <f>"B0004077"</f>
        <v>B0004077</v>
      </c>
      <c r="B16611" s="5" t="str">
        <f>"LARINGOSCOPIO ADULTO"</f>
        <v>LARINGOSCOPIO ADULTO</v>
      </c>
      <c r="C16611" s="6">
        <v>133400</v>
      </c>
      <c r="D16611" s="5"/>
      <c r="E16611" s="5" t="str">
        <f t="shared" ref="E16611:E16674" si="853">"ELEMENTOS EN BODEGA USADOS"</f>
        <v>ELEMENTOS EN BODEGA USADOS</v>
      </c>
      <c r="F16611" s="5" t="str">
        <f>"Descripcion:MANGO LARINGOSCOPIO ADULTO Estado: Malo Placa anterior: 000022655 Material: ACERO INOXIDABLE Color: PLATEADO Referencia:  Observacion: EL BIEN TIENE PLACA ANTERIOR  000022947  AUTORIZADO CONCILIAR EN CRUCE GENERAL Placa padre:  Tipo adquisicio"&amp; "n : Entidad"</f>
        <v>Descripcion:MANGO LARINGOSCOPIO ADULTO Estado: Malo Placa anterior: 000022655 Material: ACERO INOXIDABLE Color: PLATEADO Referencia:  Observacion: EL BIEN TIENE PLACA ANTERIOR  000022947  AUTORIZADO CONCILIAR EN CRUCE GENERAL Placa padre:  Tipo adquisicion : Entidad</v>
      </c>
      <c r="G16611" s="5"/>
    </row>
    <row r="16612" spans="1:7" ht="58.5" customHeight="1" x14ac:dyDescent="0.25">
      <c r="A16612" s="5" t="str">
        <f>"B0004105"</f>
        <v>B0004105</v>
      </c>
      <c r="B16612" s="5" t="str">
        <f>"EQUIPO ORGANOS DE LOS SENTIDOS PORTATIL"</f>
        <v>EQUIPO ORGANOS DE LOS SENTIDOS PORTATIL</v>
      </c>
      <c r="C16612" s="6">
        <v>607376</v>
      </c>
      <c r="D16612" s="5"/>
      <c r="E16612" s="5" t="str">
        <f t="shared" si="853"/>
        <v>ELEMENTOS EN BODEGA USADOS</v>
      </c>
      <c r="F16612" s="5" t="str">
        <f>"Descripcion:EQUIPO ORGANO DE LOS SENTIDOS, 2 PIEZAS OTOSCOPIO Y OFTALMOSCOPIO Y MANGOS Estado: Bueno Placa anterior: 000022650 Material: PASTA Y CAUCHO Color: NEGRO Referencia:  Observacion:  Placa padre:  Tipo adquisicion : Entidad"</f>
        <v>Descripcion:EQUIPO ORGANO DE LOS SENTIDOS, 2 PIEZAS OTOSCOPIO Y OFTALMOSCOPIO Y MANGOS Estado: Bueno Placa anterior: 000022650 Material: PASTA Y CAUCHO Color: NEGRO Referencia:  Observacion:  Placa padre:  Tipo adquisicion : Entidad</v>
      </c>
      <c r="G16612" s="5" t="str">
        <f>"92871-BLK"</f>
        <v>92871-BLK</v>
      </c>
    </row>
    <row r="16613" spans="1:7" ht="58.5" customHeight="1" x14ac:dyDescent="0.25">
      <c r="A16613" s="5" t="str">
        <f>"B0005481"</f>
        <v>B0005481</v>
      </c>
      <c r="B16613" s="5" t="str">
        <f>"TERMOMETRO CUELLO GANSO"</f>
        <v>TERMOMETRO CUELLO GANSO</v>
      </c>
      <c r="C16613" s="6">
        <v>146582</v>
      </c>
      <c r="D16613" s="5"/>
      <c r="E16613" s="5" t="str">
        <f t="shared" si="853"/>
        <v>ELEMENTOS EN BODEGA USADOS</v>
      </c>
      <c r="F16613" s="5" t="str">
        <f>"Descripcion:Termometro de estufa calibrado (cuello de ganso) calibrado por Instituto Pesas y Medidas de Colombia Cuello de Ganso. Con escala interna y columna graduada de -10 a 110 grados, sensibilidad de 0,1 grados centigrados, certificado de calibracion"&amp; " en 2 o 3 p Estado: Bueno Placa anterior: 000038983 Material:  Color:  Referencia:  Observacion: SE ENCUENTRA EN BANCO DE LECHE Placa padre:  Tipo adquisicion : Entidad"</f>
        <v>Descripcion:Termometro de estufa calibrado (cuello de ganso) calibrado por Instituto Pesas y Medidas de Colombia Cuello de Ganso. Con escala interna y columna graduada de -10 a 110 grados, sensibilidad de 0,1 grados centigrados, certificado de calibracion en 2 o 3 p Estado: Bueno Placa anterior: 000038983 Material:  Color:  Referencia:  Observacion: SE ENCUENTRA EN BANCO DE LECHE Placa padre:  Tipo adquisicion : Entidad</v>
      </c>
      <c r="G16613" s="5"/>
    </row>
    <row r="16614" spans="1:7" ht="58.5" customHeight="1" x14ac:dyDescent="0.25">
      <c r="A16614" s="5" t="str">
        <f>"B0005482"</f>
        <v>B0005482</v>
      </c>
      <c r="B16614" s="5" t="str">
        <f>"TERMOMETRO -10 + 10 GRAD. 1/1"</f>
        <v>TERMOMETRO -10 + 10 GRAD. 1/1</v>
      </c>
      <c r="C16614" s="6">
        <v>521527</v>
      </c>
      <c r="D16614" s="5"/>
      <c r="E16614" s="5" t="str">
        <f t="shared" si="853"/>
        <v>ELEMENTOS EN BODEGA USADOS</v>
      </c>
      <c r="F16614" s="5" t="str">
        <f>"Descripcion:Termometro patron calibrado por Intituto pesas y medidas Con escala interna y columna graduada de -10 a 110 grados, sensibilidad de 0,1 grados centigrados, certificado de calibracion en 2 o 3 puntos. Estado: Bueno Placa anterior: 000038982 Mat"&amp; "erial:  Color:  Referencia:  Observacion: SE ENCUENTRA EN BANCO DE LECHE Placa padre:  Tipo adquisicion : Entidad"</f>
        <v>Descripcion:Termometro patron calibrado por Intituto pesas y medidas Con escala interna y columna graduada de -10 a 110 grados, sensibilidad de 0,1 grados centigrados, certificado de calibracion en 2 o 3 puntos. Estado: Bueno Placa anterior: 000038982 Material:  Color:  Referencia:  Observacion: SE ENCUENTRA EN BANCO DE LECHE Placa padre:  Tipo adquisicion : Entidad</v>
      </c>
      <c r="G16614" s="5"/>
    </row>
    <row r="16615" spans="1:7" ht="58.5" customHeight="1" x14ac:dyDescent="0.25">
      <c r="A16615" s="5" t="str">
        <f>"B0005700"</f>
        <v>B0005700</v>
      </c>
      <c r="B16615" s="5" t="str">
        <f>"AIRE ACONDICIONADO TIPO SPLIT 24000 BTU"</f>
        <v>AIRE ACONDICIONADO TIPO SPLIT 24000 BTU</v>
      </c>
      <c r="C16615" s="6">
        <v>2668000</v>
      </c>
      <c r="D16615" s="5"/>
      <c r="E16615" s="5" t="str">
        <f t="shared" si="853"/>
        <v>ELEMENTOS EN BODEGA USADOS</v>
      </c>
      <c r="F16615" s="5" t="str">
        <f>"Descripcion: AIRE ACONDICIONADO MINI SPLIT MCA. LG DE 24000 BTU Estado: Bueno Placa anterior: 000024105 Material:  Color:  Referencia:  Observacion: SE ENCUENTRA EN FARMACIA E INSUMOS HOSPITALARIOS Placa padre: Tipo adquisicion: Entidad"</f>
        <v>Descripcion: AIRE ACONDICIONADO MINI SPLIT MCA. LG DE 24000 BTU Estado: Bueno Placa anterior: 000024105 Material:  Color:  Referencia:  Observacion: SE ENCUENTRA EN FARMACIA E INSUMOS HOSPITALARIOS Placa padre: Tipo adquisicion: Entidad</v>
      </c>
      <c r="G16615" s="5" t="str">
        <f>"S242CG"</f>
        <v>S242CG</v>
      </c>
    </row>
    <row r="16616" spans="1:7" ht="58.5" customHeight="1" x14ac:dyDescent="0.25">
      <c r="A16616" s="5" t="str">
        <f>"H0000078"</f>
        <v>H0000078</v>
      </c>
      <c r="B16616" s="5" t="str">
        <f>"AIRE ACONDICIONADO TIPO SPLIT 12000 BTU"</f>
        <v>AIRE ACONDICIONADO TIPO SPLIT 12000 BTU</v>
      </c>
      <c r="C16616" s="6">
        <v>1836280</v>
      </c>
      <c r="D16616" s="5" t="s">
        <v>52</v>
      </c>
      <c r="E16616" s="5" t="str">
        <f t="shared" si="853"/>
        <v>ELEMENTOS EN BODEGA USADOS</v>
      </c>
      <c r="F16616" s="5" t="str">
        <f>"Descripcion: AIRE ACODICIONADO BTU 12000 Estado: Bueno Placa anterior: 000036390 Material:  Color: BLANCO Referencia:  Observacion:  Placa padre: Tipo adquisicion: Entidad"</f>
        <v>Descripcion: AIRE ACODICIONADO BTU 12000 Estado: Bueno Placa anterior: 000036390 Material:  Color: BLANCO Referencia:  Observacion:  Placa padre: Tipo adquisicion: Entidad</v>
      </c>
      <c r="G16616" s="5" t="str">
        <f>"VM12CEN B3"</f>
        <v>VM12CEN B3</v>
      </c>
    </row>
    <row r="16617" spans="1:7" ht="58.5" customHeight="1" x14ac:dyDescent="0.25">
      <c r="A16617" s="5" t="str">
        <f>"H0000095"</f>
        <v>H0000095</v>
      </c>
      <c r="B16617" s="5" t="str">
        <f>"EQUIPO ORGANOS DE LOS SENTIDOS PORTATIL"</f>
        <v>EQUIPO ORGANOS DE LOS SENTIDOS PORTATIL</v>
      </c>
      <c r="C16617" s="6">
        <v>151333.18</v>
      </c>
      <c r="D16617" s="5"/>
      <c r="E16617" s="5" t="str">
        <f t="shared" si="853"/>
        <v>ELEMENTOS EN BODEGA USADOS</v>
      </c>
      <c r="F16617" s="5" t="str">
        <f>"Descripcion: EQUIPO ORGANOS DE LOS SENTIDO CON ESTUCHE Estado: Bueno Placa anterior: 000019267 Material:  Color: ESTUCHE VERDE Referencia:  Observacion: AUTORIZADO CONCILIAR EN CRUCE GENERAL Placa padre: Tipo adquisicion: Entidad"</f>
        <v>Descripcion: EQUIPO ORGANOS DE LOS SENTIDO CON ESTUCHE Estado: Bueno Placa anterior: 000019267 Material:  Color: ESTUCHE VERDE Referencia:  Observacion: AUTORIZADO CONCILIAR EN CRUCE GENERAL Placa padre: Tipo adquisicion: Entidad</v>
      </c>
      <c r="G16617" s="5"/>
    </row>
    <row r="16618" spans="1:7" ht="58.5" customHeight="1" x14ac:dyDescent="0.25">
      <c r="A16618" s="5" t="str">
        <f>"H0000100"</f>
        <v>H0000100</v>
      </c>
      <c r="B16618" s="5" t="str">
        <f>"ESCRITORIO METALICO 2 GAVETAS"</f>
        <v>ESCRITORIO METALICO 2 GAVETAS</v>
      </c>
      <c r="C16618" s="6">
        <v>16526.47</v>
      </c>
      <c r="D16618" s="5"/>
      <c r="E16618" s="5" t="str">
        <f t="shared" si="853"/>
        <v>ELEMENTOS EN BODEGA USADOS</v>
      </c>
      <c r="F16618" s="5" t="str">
        <f>"Descripcion: ESCRITORIO DE 2 GAVETAS Estado: Bueno Placa anterior: 000005773 Material: METALICO CON SUPERFICIE EN FORMICA Color: BEIGE CON MADERA OSCURO Referencia:  Observacion:  Placa padre: Tipo adquisicion: Entidad"</f>
        <v>Descripcion: ESCRITORIO DE 2 GAVETAS Estado: Bueno Placa anterior: 000005773 Material: METALICO CON SUPERFICIE EN FORMICA Color: BEIGE CON MADERA OSCURO Referencia:  Observacion:  Placa padre: Tipo adquisicion: Entidad</v>
      </c>
      <c r="G16618" s="5"/>
    </row>
    <row r="16619" spans="1:7" ht="58.5" customHeight="1" x14ac:dyDescent="0.25">
      <c r="A16619" s="5" t="str">
        <f>"H00001915"</f>
        <v>H00001915</v>
      </c>
      <c r="B16619" s="5" t="str">
        <f>"DIVISION (PANEL) MODULAR"</f>
        <v>DIVISION (PANEL) MODULAR</v>
      </c>
      <c r="C16619" s="6">
        <v>980000</v>
      </c>
      <c r="D16619" s="5" t="s">
        <v>3</v>
      </c>
      <c r="E16619" s="5" t="str">
        <f t="shared" si="853"/>
        <v>ELEMENTOS EN BODEGA USADOS</v>
      </c>
      <c r="F16619" s="5" t="str">
        <f>"Descripcion:DIVISION MODULAR PUERTA CORREDIZA MEDIDAS: 220X233CM Estado: Bueno Placa anterior:  Material: MATALICO CON VIDRIO Color: GRIS Referencia:  Observacion:  Placa padre:  Tipo adquisicion : Entidad"</f>
        <v>Descripcion:DIVISION MODULAR PUERTA CORREDIZA MEDIDAS: 220X233CM Estado: Bueno Placa anterior:  Material: MATALICO CON VIDRIO Color: GRIS Referencia:  Observacion:  Placa padre:  Tipo adquisicion : Entidad</v>
      </c>
      <c r="G16619" s="5"/>
    </row>
    <row r="16620" spans="1:7" ht="58.5" customHeight="1" x14ac:dyDescent="0.25">
      <c r="A16620" s="5" t="str">
        <f>"H0000221"</f>
        <v>H0000221</v>
      </c>
      <c r="B16620" s="5" t="str">
        <f>"AIRE ACONDICIONADO 18000 BTU"</f>
        <v>AIRE ACONDICIONADO 18000 BTU</v>
      </c>
      <c r="C16620" s="6">
        <v>234863.98</v>
      </c>
      <c r="D16620" s="5"/>
      <c r="E16620" s="5" t="str">
        <f t="shared" si="853"/>
        <v>ELEMENTOS EN BODEGA USADOS</v>
      </c>
      <c r="F16620" s="5" t="str">
        <f>"Descripcion: AIRE ACONDICIONADO 18000BTU Estado: Bueno Placa anterior: 000005849 Material: PASTA Color: BLANCO Referencia: NEOPLASMA Observacion: AUTORIZADO CONCILIAR EN CRUCE GENERAL Placa padre: Tipo adquisicion: Entidad"</f>
        <v>Descripcion: AIRE ACONDICIONADO 18000BTU Estado: Bueno Placa anterior: 000005849 Material: PASTA Color: BLANCO Referencia: NEOPLASMA Observacion: AUTORIZADO CONCILIAR EN CRUCE GENERAL Placa padre: Tipo adquisicion: Entidad</v>
      </c>
      <c r="G16620" s="5" t="str">
        <f>"S182CP"</f>
        <v>S182CP</v>
      </c>
    </row>
    <row r="16621" spans="1:7" ht="58.5" customHeight="1" x14ac:dyDescent="0.25">
      <c r="A16621" s="5" t="str">
        <f>"H0000624"</f>
        <v>H0000624</v>
      </c>
      <c r="B16621" s="5" t="str">
        <f>"AIRE ACONDICIONADO TIPO VENTANA 12000 BTU"</f>
        <v>AIRE ACONDICIONADO TIPO VENTANA 12000 BTU</v>
      </c>
      <c r="C16621" s="6">
        <v>910000</v>
      </c>
      <c r="D16621" s="5"/>
      <c r="E16621" s="5" t="str">
        <f t="shared" si="853"/>
        <v>ELEMENTOS EN BODEGA USADOS</v>
      </c>
      <c r="F16621" s="5" t="str">
        <f>"Descripcion: AIRE ACONDICIONADO VENTANA LG LWC- 123CS 12.000 BTU CONTROL REMOTO Estado: Bueno Placa anterior: 000022925 Material: METALICO Color: BLANCO Referencia: 920RC-31C04958-0AE Observacion:  Placa padre: Tipo adquisicion: Entidad"</f>
        <v>Descripcion: AIRE ACONDICIONADO VENTANA LG LWC- 123CS 12.000 BTU CONTROL REMOTO Estado: Bueno Placa anterior: 000022925 Material: METALICO Color: BLANCO Referencia: 920RC-31C04958-0AE Observacion:  Placa padre: Tipo adquisicion: Entidad</v>
      </c>
      <c r="G16621" s="5" t="str">
        <f>"LWC123CSMK1"</f>
        <v>LWC123CSMK1</v>
      </c>
    </row>
    <row r="16622" spans="1:7" ht="58.5" customHeight="1" x14ac:dyDescent="0.25">
      <c r="A16622" s="5" t="str">
        <f>"H0000658"</f>
        <v>H0000658</v>
      </c>
      <c r="B16622" s="5" t="str">
        <f>"AIRE ACONDICIONADO TIPO SPLIT 12000 BTU"</f>
        <v>AIRE ACONDICIONADO TIPO SPLIT 12000 BTU</v>
      </c>
      <c r="C16622" s="6">
        <v>1399999</v>
      </c>
      <c r="D16622" s="5"/>
      <c r="E16622" s="5" t="str">
        <f t="shared" si="853"/>
        <v>ELEMENTOS EN BODEGA USADOS</v>
      </c>
      <c r="F16622" s="5" t="str">
        <f>"Descripcion: AIRE ACONDICIONADO DE 12000 BTU CON CONTROL REMOTO MARCA SIGMA CON COMPRESOR MARCA TOSHIBA O HITACHI CONSUMO DE ENERGIA Estado: Bueno Placa anterior: 000025742 Material: PLASTICO Color: BLANCO Referencia:  Observacion: PLACA ANTERIOR 00000257"&amp; "45 Placa padre: Tipo adquisicion: Entidad"</f>
        <v>Descripcion: AIRE ACONDICIONADO DE 12000 BTU CON CONTROL REMOTO MARCA SIGMA CON COMPRESOR MARCA TOSHIBA O HITACHI CONSUMO DE ENERGIA Estado: Bueno Placa anterior: 000025742 Material: PLASTICO Color: BLANCO Referencia:  Observacion: PLACA ANTERIOR 0000025745 Placa padre: Tipo adquisicion: Entidad</v>
      </c>
      <c r="G16622" s="5" t="str">
        <f>"SL12000"</f>
        <v>SL12000</v>
      </c>
    </row>
    <row r="16623" spans="1:7" ht="58.5" customHeight="1" x14ac:dyDescent="0.25">
      <c r="A16623" s="5" t="str">
        <f>"H0000811"</f>
        <v>H0000811</v>
      </c>
      <c r="B16623" s="5" t="str">
        <f>"AIRE ACONDICIONADO TIPO SPLIT 12000 BTU"</f>
        <v>AIRE ACONDICIONADO TIPO SPLIT 12000 BTU</v>
      </c>
      <c r="C16623" s="6">
        <v>1150000</v>
      </c>
      <c r="D16623" s="5"/>
      <c r="E16623" s="5" t="str">
        <f t="shared" si="853"/>
        <v>ELEMENTOS EN BODEGA USADOS</v>
      </c>
      <c r="F16623" s="5" t="str">
        <f>"Descripcion: AIRE ACONDICIONADO MINI SPLIT MCA. LG DE 12000 BTU CON CONTROL REMOTO AIRE ACONDICIONADO MINI SPLIT MCA.LG 12000 BTU Estado: Bueno Placa anterior: 000025449 Material:  Color: BLANCO Referencia:  Observacion:  Placa padre: Tipo adquisicion: En"&amp; "tidad"</f>
        <v>Descripcion: AIRE ACONDICIONADO MINI SPLIT MCA. LG DE 12000 BTU CON CONTROL REMOTO AIRE ACONDICIONADO MINI SPLIT MCA.LG 12000 BTU Estado: Bueno Placa anterior: 000025449 Material:  Color: BLANCO Referencia:  Observacion:  Placa padre: Tipo adquisicion: Entidad</v>
      </c>
      <c r="G16623" s="5" t="str">
        <f>"G122C"</f>
        <v>G122C</v>
      </c>
    </row>
    <row r="16624" spans="1:7" ht="58.5" customHeight="1" x14ac:dyDescent="0.25">
      <c r="A16624" s="5" t="str">
        <f>"H0000871"</f>
        <v>H0000871</v>
      </c>
      <c r="B16624" s="5" t="str">
        <f>"AIRE ACONDICIONADO 18000 BTU"</f>
        <v>AIRE ACONDICIONADO 18000 BTU</v>
      </c>
      <c r="C16624" s="6">
        <v>1740000</v>
      </c>
      <c r="D16624" s="5"/>
      <c r="E16624" s="5" t="str">
        <f t="shared" si="853"/>
        <v>ELEMENTOS EN BODEGA USADOS</v>
      </c>
      <c r="F16624" s="5" t="str">
        <f>"Descripcion: AIRE ACONDICIONADO DE 18000 BTU CON CONTROL REMOTO TOSHIBA O HITACHI BAJO CONSUMO DE ENERGIA Estado: Bueno Placa anterior: 000025743 Material:  Color: BLANCO CON VERDE Referencia:  Observacion:  Placa padre: Tipo adquisicion: Entidad"</f>
        <v>Descripcion: AIRE ACONDICIONADO DE 18000 BTU CON CONTROL REMOTO TOSHIBA O HITACHI BAJO CONSUMO DE ENERGIA Estado: Bueno Placa anterior: 000025743 Material:  Color: BLANCO CON VERDE Referencia:  Observacion:  Placa padre: Tipo adquisicion: Entidad</v>
      </c>
      <c r="G16624" s="5" t="str">
        <f>"SL18000M"</f>
        <v>SL18000M</v>
      </c>
    </row>
    <row r="16625" spans="1:7" ht="58.5" customHeight="1" x14ac:dyDescent="0.25">
      <c r="A16625" s="5" t="str">
        <f>"H0000930"</f>
        <v>H0000930</v>
      </c>
      <c r="B16625" s="5" t="str">
        <f>"AIRE ACONDICIONADO TIPO SPLIT 24000 BTU"</f>
        <v>AIRE ACONDICIONADO TIPO SPLIT 24000 BTU</v>
      </c>
      <c r="C16625" s="6">
        <v>1650000</v>
      </c>
      <c r="D16625" s="5" t="s">
        <v>705</v>
      </c>
      <c r="E16625" s="5" t="str">
        <f t="shared" si="853"/>
        <v>ELEMENTOS EN BODEGA USADOS</v>
      </c>
      <c r="F16625" s="5" t="str">
        <f>"Descripcion: AIRE ACONDICIONADO DE 24.000 BTU TIPO MINI SPLIT MARCA LG Estado: Bueno Placa anterior: 000029244 Material:  Color: BLANCO CON PLATEADO Referencia:  Observacion:  Placa padre: Tipo adquisicion: Entidad"</f>
        <v>Descripcion: AIRE ACONDICIONADO DE 24.000 BTU TIPO MINI SPLIT MARCA LG Estado: Bueno Placa anterior: 000029244 Material:  Color: BLANCO CON PLATEADO Referencia:  Observacion:  Placa padre: Tipo adquisicion: Entidad</v>
      </c>
      <c r="G16625" s="5" t="str">
        <f>"S242CD"</f>
        <v>S242CD</v>
      </c>
    </row>
    <row r="16626" spans="1:7" ht="58.5" customHeight="1" x14ac:dyDescent="0.25">
      <c r="A16626" s="5" t="str">
        <f>"H0001068"</f>
        <v>H0001068</v>
      </c>
      <c r="B16626" s="5" t="str">
        <f>"ESTANTE METALICO 6 ENTREPAÑOS"</f>
        <v>ESTANTE METALICO 6 ENTREPAÑOS</v>
      </c>
      <c r="C16626" s="6">
        <v>31512.47</v>
      </c>
      <c r="D16626" s="5"/>
      <c r="E16626" s="5" t="str">
        <f t="shared" si="853"/>
        <v>ELEMENTOS EN BODEGA USADOS</v>
      </c>
      <c r="F16626" s="5" t="str">
        <f>"Descripcion: ESTANTE METALICO 6 ENTREPAÑOS  Estado: Bueno Placa anterior: 000026664 Material: METALICO Color: GRIS OSCURO Referencia:  Observacion:  Placa padre: Tipo adquisicion: Entidad"</f>
        <v>Descripcion: ESTANTE METALICO 6 ENTREPAÑOS  Estado: Bueno Placa anterior: 000026664 Material: METALICO Color: GRIS OSCURO Referencia:  Observacion:  Placa padre: Tipo adquisicion: Entidad</v>
      </c>
      <c r="G16626" s="5"/>
    </row>
    <row r="16627" spans="1:7" ht="58.5" customHeight="1" x14ac:dyDescent="0.25">
      <c r="A16627" s="5" t="str">
        <f>"H0001069"</f>
        <v>H0001069</v>
      </c>
      <c r="B16627" s="5" t="str">
        <f>"SILLA INTERLOCUTORA (FIJA) SIN BRAZOS"</f>
        <v>SILLA INTERLOCUTORA (FIJA) SIN BRAZOS</v>
      </c>
      <c r="C16627" s="6">
        <v>81200</v>
      </c>
      <c r="D16627" s="5" t="s">
        <v>34</v>
      </c>
      <c r="E16627" s="5" t="str">
        <f t="shared" si="853"/>
        <v>ELEMENTOS EN BODEGA USADOS</v>
      </c>
      <c r="F16627" s="5" t="str">
        <f>"Descripcion: SILLA INTERLOCUTORA FIJA, METALICA COLOR MARRON Estado: Bueno Placa anterior: 000030423 Material: TAPIZADO SEMICUERO Color: MARRON Referencia:  Observacion:  Placa padre: Tipo adquisicion: Entidad"</f>
        <v>Descripcion: SILLA INTERLOCUTORA FIJA, METALICA COLOR MARRON Estado: Bueno Placa anterior: 000030423 Material: TAPIZADO SEMICUERO Color: MARRON Referencia:  Observacion:  Placa padre: Tipo adquisicion: Entidad</v>
      </c>
      <c r="G16627" s="5"/>
    </row>
    <row r="16628" spans="1:7" ht="58.5" customHeight="1" x14ac:dyDescent="0.25">
      <c r="A16628" s="5" t="str">
        <f>"H0002019"</f>
        <v>H0002019</v>
      </c>
      <c r="B16628" s="5" t="str">
        <f>"CARRO DE PARO"</f>
        <v>CARRO DE PARO</v>
      </c>
      <c r="C16628" s="6">
        <v>1682000</v>
      </c>
      <c r="D16628" s="5"/>
      <c r="E16628" s="5" t="str">
        <f t="shared" si="853"/>
        <v>ELEMENTOS EN BODEGA USADOS</v>
      </c>
      <c r="F16628" s="5" t="str">
        <f>"Descripcion:CARRO DE PARO DE 4 GAVETAS CON BASE PARA MONITOR , CON RUEDAS CON ATRIL Y BANDEJA EN ACRILICO Estado: Excelente Placa anterior: 000039053 Material: METALICA Y ACERO INOXIDABLE Color: CREMA Referencia:  Observacion: ESTAN EN SALA DE MAQUINAS Pl"&amp; "aca padre:  Tipo adquisicion : Entidad"</f>
        <v>Descripcion:CARRO DE PARO DE 4 GAVETAS CON BASE PARA MONITOR , CON RUEDAS CON ATRIL Y BANDEJA EN ACRILICO Estado: Excelente Placa anterior: 000039053 Material: METALICA Y ACERO INOXIDABLE Color: CREMA Referencia:  Observacion: ESTAN EN SALA DE MAQUINAS Placa padre:  Tipo adquisicion : Entidad</v>
      </c>
      <c r="G16628" s="5"/>
    </row>
    <row r="16629" spans="1:7" ht="58.5" customHeight="1" x14ac:dyDescent="0.25">
      <c r="A16629" s="5" t="str">
        <f>"H0002035"</f>
        <v>H0002035</v>
      </c>
      <c r="B16629" s="5" t="str">
        <f>"BOMBA DE INFUSION"</f>
        <v>BOMBA DE INFUSION</v>
      </c>
      <c r="C16629" s="6">
        <v>2500000</v>
      </c>
      <c r="D16629" s="5" t="s">
        <v>802</v>
      </c>
      <c r="E16629" s="5" t="str">
        <f t="shared" si="853"/>
        <v>ELEMENTOS EN BODEGA USADOS</v>
      </c>
      <c r="F16629" s="5" t="str">
        <f>"CONTRATO # 0016M-113"</f>
        <v>CONTRATO # 0016M-113</v>
      </c>
      <c r="G16629" s="5" t="str">
        <f>"Mindray SK-600 II"</f>
        <v>Mindray SK-600 II</v>
      </c>
    </row>
    <row r="16630" spans="1:7" ht="58.5" customHeight="1" x14ac:dyDescent="0.25">
      <c r="A16630" s="5" t="str">
        <f>"H0002038"</f>
        <v>H0002038</v>
      </c>
      <c r="B16630" s="5" t="str">
        <f>"BOMBA DE INFUSION"</f>
        <v>BOMBA DE INFUSION</v>
      </c>
      <c r="C16630" s="6">
        <v>2500000</v>
      </c>
      <c r="D16630" s="5" t="s">
        <v>802</v>
      </c>
      <c r="E16630" s="5" t="str">
        <f t="shared" si="853"/>
        <v>ELEMENTOS EN BODEGA USADOS</v>
      </c>
      <c r="F16630" s="5" t="str">
        <f>"CONTRATO # 0016M-113"</f>
        <v>CONTRATO # 0016M-113</v>
      </c>
      <c r="G16630" s="5" t="str">
        <f>"Mindray SK-600 II"</f>
        <v>Mindray SK-600 II</v>
      </c>
    </row>
    <row r="16631" spans="1:7" ht="58.5" customHeight="1" x14ac:dyDescent="0.25">
      <c r="A16631" s="5" t="str">
        <f>"H0002039"</f>
        <v>H0002039</v>
      </c>
      <c r="B16631" s="5" t="str">
        <f>"BOMBA DE INFUSION"</f>
        <v>BOMBA DE INFUSION</v>
      </c>
      <c r="C16631" s="6">
        <v>2500000</v>
      </c>
      <c r="D16631" s="5" t="s">
        <v>802</v>
      </c>
      <c r="E16631" s="5" t="str">
        <f t="shared" si="853"/>
        <v>ELEMENTOS EN BODEGA USADOS</v>
      </c>
      <c r="F16631" s="5" t="str">
        <f>"CONTRATO # 0016M-113"</f>
        <v>CONTRATO # 0016M-113</v>
      </c>
      <c r="G16631" s="5" t="str">
        <f>"Mindray SK-600 II"</f>
        <v>Mindray SK-600 II</v>
      </c>
    </row>
    <row r="16632" spans="1:7" ht="58.5" customHeight="1" x14ac:dyDescent="0.25">
      <c r="A16632" s="5" t="str">
        <f>"H0002090"</f>
        <v>H0002090</v>
      </c>
      <c r="B16632" s="5" t="str">
        <f>"VENTILADOR PULMONAR"</f>
        <v>VENTILADOR PULMONAR</v>
      </c>
      <c r="C16632" s="6">
        <v>34220000</v>
      </c>
      <c r="D16632" s="5" t="s">
        <v>803</v>
      </c>
      <c r="E16632" s="5" t="str">
        <f t="shared" si="853"/>
        <v>ELEMENTOS EN BODEGA USADOS</v>
      </c>
      <c r="F16632" s="5" t="str">
        <f>"VENTILADOR SAVINA SYSTEM"</f>
        <v>VENTILADOR SAVINA SYSTEM</v>
      </c>
      <c r="G16632" s="5" t="str">
        <f>"8414000-31"</f>
        <v>8414000-31</v>
      </c>
    </row>
    <row r="16633" spans="1:7" ht="58.5" customHeight="1" x14ac:dyDescent="0.25">
      <c r="A16633" s="5" t="str">
        <f>"H0004266"</f>
        <v>H0004266</v>
      </c>
      <c r="B16633" s="5" t="str">
        <f>"AIRE ACONDICIONADO TIPO VENTANA 12000 BTU"</f>
        <v>AIRE ACONDICIONADO TIPO VENTANA 12000 BTU</v>
      </c>
      <c r="C16633" s="6">
        <v>880000</v>
      </c>
      <c r="D16633" s="5"/>
      <c r="E16633" s="5" t="str">
        <f t="shared" si="853"/>
        <v>ELEMENTOS EN BODEGA USADOS</v>
      </c>
      <c r="F16633" s="5" t="str">
        <f>"Descripcion: AIRE ACONDICIONADO DE VENTANA CON CONTROL REMOTO LG.LSG-123 CSK1 OSCILACION AUTOMATICA Estado: Malo Placa anterior: 000022590 Material: METALICO  Color: BLANCO Referencia: GOL Observacion:  Placa padre: Tipo adquisicion: Entidad"</f>
        <v>Descripcion: AIRE ACONDICIONADO DE VENTANA CON CONTROL REMOTO LG.LSG-123 CSK1 OSCILACION AUTOMATICA Estado: Malo Placa anterior: 000022590 Material: METALICO  Color: BLANCO Referencia: GOL Observacion:  Placa padre: Tipo adquisicion: Entidad</v>
      </c>
      <c r="G16633" s="5" t="str">
        <f>"LWC123CSMK1"</f>
        <v>LWC123CSMK1</v>
      </c>
    </row>
    <row r="16634" spans="1:7" ht="58.5" customHeight="1" x14ac:dyDescent="0.25">
      <c r="A16634" s="5" t="str">
        <f>"H0004312"</f>
        <v>H0004312</v>
      </c>
      <c r="B16634" s="5" t="str">
        <f>"CAMA HOSPITALARIA 4 PLANOS CON BARANDA"</f>
        <v>CAMA HOSPITALARIA 4 PLANOS CON BARANDA</v>
      </c>
      <c r="C16634" s="6">
        <v>2509480</v>
      </c>
      <c r="D16634" s="5"/>
      <c r="E16634" s="5" t="str">
        <f t="shared" si="853"/>
        <v>ELEMENTOS EN BODEGA USADOS</v>
      </c>
      <c r="F16634" s="5" t="str">
        <f>"Descripcion: CAMA HOSPITALARIA HOSPITECH MOD. 134-45 Estado: Bueno Placa anterior: 000033371 Material: METAL Color: BEIS Referencia:  Observacion:  Placa padre: Tipo adquisicion: Entidad"</f>
        <v>Descripcion: CAMA HOSPITALARIA HOSPITECH MOD. 134-45 Estado: Bueno Placa anterior: 000033371 Material: METAL Color: BEIS Referencia:  Observacion:  Placa padre: Tipo adquisicion: Entidad</v>
      </c>
      <c r="G16634" s="5"/>
    </row>
    <row r="16635" spans="1:7" ht="58.5" customHeight="1" x14ac:dyDescent="0.25">
      <c r="A16635" s="5" t="str">
        <f>"H0004411"</f>
        <v>H0004411</v>
      </c>
      <c r="B16635" s="5" t="str">
        <f>"CARRO DE PARO"</f>
        <v>CARRO DE PARO</v>
      </c>
      <c r="C16635" s="6">
        <v>1740000</v>
      </c>
      <c r="D16635" s="5"/>
      <c r="E16635" s="5" t="str">
        <f t="shared" si="853"/>
        <v>ELEMENTOS EN BODEGA USADOS</v>
      </c>
      <c r="F16635" s="5" t="str">
        <f>"Descripcion: CARRO DE PARO TIENE UN ALA EXTENSORA  Estado: Bueno Placa anterior: 000023563 Material: METALICO Color: BEIS Referencia:  Observacion:  Placa padre: Tipo adquisicion: Entidad"</f>
        <v>Descripcion: CARRO DE PARO TIENE UN ALA EXTENSORA  Estado: Bueno Placa anterior: 000023563 Material: METALICO Color: BEIS Referencia:  Observacion:  Placa padre: Tipo adquisicion: Entidad</v>
      </c>
      <c r="G16635" s="5"/>
    </row>
    <row r="16636" spans="1:7" ht="58.5" customHeight="1" x14ac:dyDescent="0.25">
      <c r="A16636" s="5" t="str">
        <f>"H0004607"</f>
        <v>H0004607</v>
      </c>
      <c r="B16636" s="5" t="str">
        <f>"CAMA HOSPITALARIA 4 PLANOS CON BARANDA"</f>
        <v>CAMA HOSPITALARIA 4 PLANOS CON BARANDA</v>
      </c>
      <c r="C16636" s="6">
        <v>2100000</v>
      </c>
      <c r="D16636" s="5" t="s">
        <v>63</v>
      </c>
      <c r="E16636" s="5" t="str">
        <f t="shared" si="853"/>
        <v>ELEMENTOS EN BODEGA USADOS</v>
      </c>
      <c r="F16636" s="5" t="str">
        <f>"Descripcion: CAMA HOSPITALARIA CON PASTA EN CABECERA Y PIES Estado: Bueno Placa anterior: 000037726 Material: PASTA Color: BLANCO Referencia:  Observacion:  Placa padre: Tipo adquisicion: Entidad"</f>
        <v>Descripcion: CAMA HOSPITALARIA CON PASTA EN CABECERA Y PIES Estado: Bueno Placa anterior: 000037726 Material: PASTA Color: BLANCO Referencia:  Observacion:  Placa padre: Tipo adquisicion: Entidad</v>
      </c>
      <c r="G16636" s="5"/>
    </row>
    <row r="16637" spans="1:7" ht="58.5" customHeight="1" x14ac:dyDescent="0.25">
      <c r="A16637" s="5" t="str">
        <f>"H0005063"</f>
        <v>H0005063</v>
      </c>
      <c r="B16637" s="5" t="str">
        <f>"MANEJADORA DE 9000 BTU"</f>
        <v>MANEJADORA DE 9000 BTU</v>
      </c>
      <c r="C16637" s="6">
        <v>1435000</v>
      </c>
      <c r="D16637" s="5" t="s">
        <v>453</v>
      </c>
      <c r="E16637" s="5" t="str">
        <f t="shared" si="853"/>
        <v>ELEMENTOS EN BODEGA USADOS</v>
      </c>
      <c r="F16637" s="5" t="str">
        <f>"Descripcion:MANEJADORA DVM 9000 BTU Estado: Bueno Placa anterior: 000033524 Material:  Color:  Referencia:  Observacion:  Placa padre:  Tipo adquisicion : Entidad"</f>
        <v>Descripcion:MANEJADORA DVM 9000 BTU Estado: Bueno Placa anterior: 000033524 Material:  Color:  Referencia:  Observacion:  Placa padre:  Tipo adquisicion : Entidad</v>
      </c>
      <c r="G16637" s="5" t="str">
        <f>"AVXC1H032CA"</f>
        <v>AVXC1H032CA</v>
      </c>
    </row>
    <row r="16638" spans="1:7" ht="58.5" customHeight="1" x14ac:dyDescent="0.25">
      <c r="A16638" s="5" t="str">
        <f>"H0005081"</f>
        <v>H0005081</v>
      </c>
      <c r="B16638" s="5" t="str">
        <f>"SILLA ERGONOMICA TIPO SECRETARIA SIN BRAZOS"</f>
        <v>SILLA ERGONOMICA TIPO SECRETARIA SIN BRAZOS</v>
      </c>
      <c r="C16638" s="6">
        <v>211120</v>
      </c>
      <c r="D16638" s="5"/>
      <c r="E16638" s="5" t="str">
        <f t="shared" si="853"/>
        <v>ELEMENTOS EN BODEGA USADOS</v>
      </c>
      <c r="F16638" s="5" t="str">
        <f>"Descripcion: . Estado: Bueno Placa anterior: 000025256 Material: PLASTICO Color: NEGRO Referencia:  Observacion:  Placa padre: Tipo adquisicion: Entidad"</f>
        <v>Descripcion: . Estado: Bueno Placa anterior: 000025256 Material: PLASTICO Color: NEGRO Referencia:  Observacion:  Placa padre: Tipo adquisicion: Entidad</v>
      </c>
      <c r="G16638" s="5"/>
    </row>
    <row r="16639" spans="1:7" ht="58.5" customHeight="1" x14ac:dyDescent="0.25">
      <c r="A16639" s="5" t="str">
        <f>"H0005139"</f>
        <v>H0005139</v>
      </c>
      <c r="B16639" s="5" t="str">
        <f>"MANEJADORA DE 9000 BTU"</f>
        <v>MANEJADORA DE 9000 BTU</v>
      </c>
      <c r="C16639" s="6">
        <v>1435000</v>
      </c>
      <c r="D16639" s="5" t="s">
        <v>453</v>
      </c>
      <c r="E16639" s="5" t="str">
        <f t="shared" si="853"/>
        <v>ELEMENTOS EN BODEGA USADOS</v>
      </c>
      <c r="F16639" s="5" t="str">
        <f>"Descripcion: MANEJADORA DVM 9000 BTU Estado: Bueno Placa anterior: 000033527 Material: PASTA Color: BLANCO Referencia:  Observacion:  Placa padre: Tipo adquisicion: Entidad"</f>
        <v>Descripcion: MANEJADORA DVM 9000 BTU Estado: Bueno Placa anterior: 000033527 Material: PASTA Color: BLANCO Referencia:  Observacion:  Placa padre: Tipo adquisicion: Entidad</v>
      </c>
      <c r="G16639" s="5" t="str">
        <f>"AVXC1H032CA"</f>
        <v>AVXC1H032CA</v>
      </c>
    </row>
    <row r="16640" spans="1:7" ht="58.5" customHeight="1" x14ac:dyDescent="0.25">
      <c r="A16640" s="5" t="str">
        <f>"H0005155"</f>
        <v>H0005155</v>
      </c>
      <c r="B16640" s="5" t="str">
        <f>"MUEBLE (ARCHIVADOR) AEREO (GABINETE DE PARED)"</f>
        <v>MUEBLE (ARCHIVADOR) AEREO (GABINETE DE PARED)</v>
      </c>
      <c r="C16640" s="6">
        <v>600000</v>
      </c>
      <c r="D16640" s="5"/>
      <c r="E16640" s="5" t="str">
        <f t="shared" si="853"/>
        <v>ELEMENTOS EN BODEGA USADOS</v>
      </c>
      <c r="F16640" s="5" t="str">
        <f>"Descripcion: ARCHIVADOR 2X1 EN MODF. FORMICA Y CHAPA DE SEGURIDAD Estado: Bueno Placa anterior: 000033110 Material: MADEFLEX Color: BEIGE Referencia:  Observacion:  Placa padre: Tipo adquisicion: Entidad"</f>
        <v>Descripcion: ARCHIVADOR 2X1 EN MODF. FORMICA Y CHAPA DE SEGURIDAD Estado: Bueno Placa anterior: 000033110 Material: MADEFLEX Color: BEIGE Referencia:  Observacion:  Placa padre: Tipo adquisicion: Entidad</v>
      </c>
      <c r="G16640" s="5"/>
    </row>
    <row r="16641" spans="1:7" ht="58.5" customHeight="1" x14ac:dyDescent="0.25">
      <c r="A16641" s="5" t="str">
        <f>"H0005185"</f>
        <v>H0005185</v>
      </c>
      <c r="B16641" s="5" t="str">
        <f>"MANEJADORA (AIRE ACONDICIONADO)"</f>
        <v>MANEJADORA (AIRE ACONDICIONADO)</v>
      </c>
      <c r="C16641" s="6">
        <v>1435000</v>
      </c>
      <c r="D16641" s="5" t="s">
        <v>453</v>
      </c>
      <c r="E16641" s="5" t="str">
        <f t="shared" si="853"/>
        <v>ELEMENTOS EN BODEGA USADOS</v>
      </c>
      <c r="F16641" s="5" t="str">
        <f>"Descripcion: AIRE ACONDICIONADO DE TECHOCON CONTROLNO SE PÚEDE REVISAR SERIAL Y REFERENCIA PORQUE ESTAN EN EL INTERIOR DEL AIRE Estado: Bueno Placa anterior: 000033530 Material: PLASTICO Color: BLANCO Referencia:  Observacion: AUTORIZADO CONCILIAR EN CRUC"&amp; "E GENERAL   Placa padre: Tipo adquisicion: Entidad"</f>
        <v>Descripcion: AIRE ACONDICIONADO DE TECHOCON CONTROLNO SE PÚEDE REVISAR SERIAL Y REFERENCIA PORQUE ESTAN EN EL INTERIOR DEL AIRE Estado: Bueno Placa anterior: 000033530 Material: PLASTICO Color: BLANCO Referencia:  Observacion: AUTORIZADO CONCILIAR EN CRUCE GENERAL   Placa padre: Tipo adquisicion: Entidad</v>
      </c>
      <c r="G16641" s="5"/>
    </row>
    <row r="16642" spans="1:7" ht="58.5" customHeight="1" x14ac:dyDescent="0.25">
      <c r="A16642" s="5" t="str">
        <f>"H0005198"</f>
        <v>H0005198</v>
      </c>
      <c r="B16642" s="5" t="str">
        <f>"PUESTO DE TRABAJO EN L"</f>
        <v>PUESTO DE TRABAJO EN L</v>
      </c>
      <c r="C16642" s="6">
        <v>1755000</v>
      </c>
      <c r="D16642" s="5" t="s">
        <v>3</v>
      </c>
      <c r="E16642" s="5" t="str">
        <f t="shared" si="853"/>
        <v>ELEMENTOS EN BODEGA USADOS</v>
      </c>
      <c r="F16642" s="5" t="str">
        <f>"Descripcion: PUESTO DE TRABAJO EN L Estado: Bueno Placa anterior: 000029321 Material: MADERA  Color: WENGUE Referencia:  Observacion:  Placa padre: Tipo adquisicion: Entidad"</f>
        <v>Descripcion: PUESTO DE TRABAJO EN L Estado: Bueno Placa anterior: 000029321 Material: MADERA  Color: WENGUE Referencia:  Observacion:  Placa padre: Tipo adquisicion: Entidad</v>
      </c>
      <c r="G16642" s="5"/>
    </row>
    <row r="16643" spans="1:7" ht="58.5" customHeight="1" x14ac:dyDescent="0.25">
      <c r="A16643" s="5" t="str">
        <f>"H0005221"</f>
        <v>H0005221</v>
      </c>
      <c r="B16643" s="5" t="str">
        <f>"LAMPARA DE HENDIDURA TIPO ZEISS"</f>
        <v>LAMPARA DE HENDIDURA TIPO ZEISS</v>
      </c>
      <c r="C16643" s="6">
        <v>14419310</v>
      </c>
      <c r="D16643" s="5"/>
      <c r="E16643" s="5" t="str">
        <f t="shared" si="853"/>
        <v>ELEMENTOS EN BODEGA USADOS</v>
      </c>
      <c r="F16643" s="5" t="str">
        <f>"Descripcion: LAMPARA DE HENDIDURA TIPO T ZEISS MCA. NIDEK MODELO SL-1800RODACHINESAUTOMATICA Estado: Inservible Placa anterior:  Material: METALICO Color: BEIGE Referencia:  Observacion: EL BIEN TIENE PLACA ANTERIOR  000004816 Placa anterior:, Placa nueva"&amp; "=H0005222, Descripcion:LAMPARA DE HENDIDURA, Serial:, Marca:TAKAGI, Modelo:, Material:METALICO, Color:NEGRO,   Referencia:, Placa anterior:, Placa nueva=H0005235, Descripcion:LENTE PARA LAMPARA HENDIDURA, Serial:, Marca:HEINE OPTOTECHNIK, Modelo:, Materia"&amp; "l:METALICO, Color:NEGRO,   Referencia:HSL150 Placa padre: Tipo adquisicion: Entidad"</f>
        <v>Descripcion: LAMPARA DE HENDIDURA TIPO T ZEISS MCA. NIDEK MODELO SL-1800RODACHINESAUTOMATICA Estado: Inservible Placa anterior:  Material: METALICO Color: BEIGE Referencia:  Observacion: EL BIEN TIENE PLACA ANTERIOR  000004816 Placa anterior:, Placa nueva=H0005222, Descripcion:LAMPARA DE HENDIDURA, Serial:, Marca:TAKAGI, Modelo:, Material:METALICO, Color:NEGRO,   Referencia:, Placa anterior:, Placa nueva=H0005235, Descripcion:LENTE PARA LAMPARA HENDIDURA, Serial:, Marca:HEINE OPTOTECHNIK, Modelo:, Material:METALICO, Color:NEGRO,   Referencia:HSL150 Placa padre: Tipo adquisicion: Entidad</v>
      </c>
      <c r="G16643" s="5" t="str">
        <f>"SL-250"</f>
        <v>SL-250</v>
      </c>
    </row>
    <row r="16644" spans="1:7" ht="58.5" customHeight="1" x14ac:dyDescent="0.25">
      <c r="A16644" s="5" t="str">
        <f>"H0005467"</f>
        <v>H0005467</v>
      </c>
      <c r="B16644" s="5" t="str">
        <f>"AIRE ACONDICIONADO 18000 BTU"</f>
        <v>AIRE ACONDICIONADO 18000 BTU</v>
      </c>
      <c r="C16644" s="6">
        <v>2436000</v>
      </c>
      <c r="D16644" s="5"/>
      <c r="E16644" s="5" t="str">
        <f t="shared" si="853"/>
        <v>ELEMENTOS EN BODEGA USADOS</v>
      </c>
      <c r="F16644" s="5" t="str">
        <f>"Descripcion: AIRE ACONDICIONADO DE 18000 BTU MINI SPLIT MCA LG SERIAL 70371-DRO2482 Estado: Bueno Placa anterior: 000025980 Material: PLASTICO Color: BLANCO Referencia:  Observacion:  Placa padre: Tipo adquisicion: Entidad"</f>
        <v>Descripcion: AIRE ACONDICIONADO DE 18000 BTU MINI SPLIT MCA LG SERIAL 70371-DRO2482 Estado: Bueno Placa anterior: 000025980 Material: PLASTICO Color: BLANCO Referencia:  Observacion:  Placa padre: Tipo adquisicion: Entidad</v>
      </c>
      <c r="G16644" s="5" t="str">
        <f>"G182CB"</f>
        <v>G182CB</v>
      </c>
    </row>
    <row r="16645" spans="1:7" ht="58.5" customHeight="1" x14ac:dyDescent="0.25">
      <c r="A16645" s="5" t="str">
        <f>"H0005595"</f>
        <v>H0005595</v>
      </c>
      <c r="B16645" s="5" t="str">
        <f>"TANQUE PARA PAQUETE FRIO"</f>
        <v>TANQUE PARA PAQUETE FRIO</v>
      </c>
      <c r="C16645" s="6">
        <v>99400</v>
      </c>
      <c r="D16645" s="5"/>
      <c r="E16645" s="5" t="str">
        <f t="shared" si="853"/>
        <v>ELEMENTOS EN BODEGA USADOS</v>
      </c>
      <c r="F16645" s="5" t="str">
        <f>"Descripcion:HIDROCOLLATOR PARA PAQ.FRIOS MCA PRECISIONPARA PAQUETES FRIOS, CON RODACHINES,  Estado: Bueno Placa anterior: 000008417 Material: ACERO INOXIDABLE Color: PLATEADO Referencia:  Observacion:  Placa padre:  Tipo adquisicion : Entidad"</f>
        <v>Descripcion:HIDROCOLLATOR PARA PAQ.FRIOS MCA PRECISIONPARA PAQUETES FRIOS, CON RODACHINES,  Estado: Bueno Placa anterior: 000008417 Material: ACERO INOXIDABLE Color: PLATEADO Referencia:  Observacion:  Placa padre:  Tipo adquisicion : Entidad</v>
      </c>
      <c r="G16645" s="5" t="str">
        <f>"C-2"</f>
        <v>C-2</v>
      </c>
    </row>
    <row r="16646" spans="1:7" ht="58.5" customHeight="1" x14ac:dyDescent="0.25">
      <c r="A16646" s="5" t="str">
        <f>"H0005634"</f>
        <v>H0005634</v>
      </c>
      <c r="B16646" s="5" t="str">
        <f>"CAMA HOSPITALARIA 4 PLANOS CON BARANDA"</f>
        <v>CAMA HOSPITALARIA 4 PLANOS CON BARANDA</v>
      </c>
      <c r="C16646" s="6">
        <v>2509480</v>
      </c>
      <c r="D16646" s="5"/>
      <c r="E16646" s="5" t="str">
        <f t="shared" si="853"/>
        <v>ELEMENTOS EN BODEGA USADOS</v>
      </c>
      <c r="F16646" s="5" t="str">
        <f>"Descripcion: CAMA HOSPITALARIA HOSPITECH MOD. 134-45 Estado: Bueno Placa anterior: 000033356 Material: METALICA Y PASTA Color: BLANCO Referencia:  Observacion:  Placa padre: Tipo adquisicion: Entidad"</f>
        <v>Descripcion: CAMA HOSPITALARIA HOSPITECH MOD. 134-45 Estado: Bueno Placa anterior: 000033356 Material: METALICA Y PASTA Color: BLANCO Referencia:  Observacion:  Placa padre: Tipo adquisicion: Entidad</v>
      </c>
      <c r="G16646" s="5"/>
    </row>
    <row r="16647" spans="1:7" ht="58.5" customHeight="1" x14ac:dyDescent="0.25">
      <c r="A16647" s="5" t="str">
        <f>"H0005845"</f>
        <v>H0005845</v>
      </c>
      <c r="B16647" s="5" t="str">
        <f>"EQUIPO RAYOS X (RX)"</f>
        <v>EQUIPO RAYOS X (RX)</v>
      </c>
      <c r="C16647" s="6">
        <v>173072000</v>
      </c>
      <c r="D16647" s="5" t="s">
        <v>804</v>
      </c>
      <c r="E16647" s="5" t="str">
        <f t="shared" si="853"/>
        <v>ELEMENTOS EN BODEGA USADOS</v>
      </c>
      <c r="F16647" s="5" t="str">
        <f>"Descripcion:EQUIPO DE RAYOS X ARCO EN  C  MARCA DONGMUN MODELO DIG-360 SERIAL 7000A15104 INCLUYE: UPS DE 220 V -3 KVA REGISTRO SANITARIO 2014EBC-0011718 (INCLUYE 2 PISAPIESY 1 CONTROL) Estado: Bueno Placa anterior: 000036856 Material: METALICO Y PLASTICO "&amp; "Color: BLANCO CON VERDE Referencia:  Observacion:  Placa anterior:, Placa nueva=H0005850, Descripcion:TECLADO, Serial:, Marca:LOGITECH, Modelo:, Material:, Color:NEGRO,   Referencia:, Placa anterior:, Placa nueva=H0005846, Descripcion:MONITOR LCD 19  DELL"&amp; ", Serial:CN-0DJD40-72872-51D-CXNL, Marca:DELL, Modelo:, Material:, Color:NEGRO,   Referencia:, Placa anterior:, Placa nueva=H0005853, Descripcion:UNIDAD ININTERRUMPIDA DE POTENCIA (UPS) 3000W, Serial:, Marca:NETION, Modelo:C3K, Material:METALICO, Color:NE"&amp; "GRO,   Referencia:, Placa anterior:, Placa nueva=H0005847, Descripcion:MONITOR LCD 19  DELL, Serial:CN-0DJD40-72872-49K-CP3L, Marca:DELL, Modelo:, Material:, Color:NEGRO,   Referencia:, Placa anterior:, Placa nueva=H0005851, Descripcion:MOUSE OPTICO, Seri"&amp; "al:810-002181, Marca:LOGITECH, Modelo:, Material:, Color:NEGRO,   Referencia:, Placa anterior:, Placa nueva=H0005849, Descripcion:CPU PENTIUM (DENTRO DE LA CONSOLA), Serial:41513301002, Marca:DELL, Modelo:, Material:, Color:NEGRA,   Referencia:, Placa ant"&amp; "erior:, Placa nueva=H0005844, Descripcion:CONSOLA PARA EQUIPO DE RAYOS X EN  C  CON RODACHINES (INCLUYE 2 PISAPIES Y 2 CONTROLES), Serial:7000A 15104, Marca:DONGMUN, Modelo:K7000A, Material:METALICO , Color:BLANCO Y VERDE,   Referencia:, Placa anterior:, "&amp; "Placa nueva=H0005852, Descripcion:IMPRESORA LASER SAMSUNG, Serial:ML-2161/XIC, Marca:SAMSUNG, Modelo:ML 2161, Material:, Color:GRIS,   Referencia: Placa padre:  Tipo adquisicion : Entidad"</f>
        <v>Descripcion:EQUIPO DE RAYOS X ARCO EN  C  MARCA DONGMUN MODELO DIG-360 SERIAL 7000A15104 INCLUYE: UPS DE 220 V -3 KVA REGISTRO SANITARIO 2014EBC-0011718 (INCLUYE 2 PISAPIESY 1 CONTROL) Estado: Bueno Placa anterior: 000036856 Material: METALICO Y PLASTICO Color: BLANCO CON VERDE Referencia:  Observacion:  Placa anterior:, Placa nueva=H0005850, Descripcion:TECLADO, Serial:, Marca:LOGITECH, Modelo:, Material:, Color:NEGRO,   Referencia:, Placa anterior:, Placa nueva=H0005846, Descripcion:MONITOR LCD 19  DELL, Serial:CN-0DJD40-72872-51D-CXNL, Marca:DELL, Modelo:, Material:, Color:NEGRO,   Referencia:, Placa anterior:, Placa nueva=H0005853, Descripcion:UNIDAD ININTERRUMPIDA DE POTENCIA (UPS) 3000W, Serial:, Marca:NETION, Modelo:C3K, Material:METALICO, Color:NEGRO,   Referencia:, Placa anterior:, Placa nueva=H0005847, Descripcion:MONITOR LCD 19  DELL, Serial:CN-0DJD40-72872-49K-CP3L, Marca:DELL, Modelo:, Material:, Color:NEGRO,   Referencia:, Placa anterior:, Placa nueva=H0005851, Descripcion:MOUSE OPTICO, Serial:810-002181, Marca:LOGITECH, Modelo:, Material:, Color:NEGRO,   Referencia:, Placa anterior:, Placa nueva=H0005849, Descripcion:CPU PENTIUM (DENTRO DE LA CONSOLA), Serial:41513301002, Marca:DELL, Modelo:, Material:, Color:NEGRA,   Referencia:, Placa anterior:, Placa nueva=H0005844, Descripcion:CONSOLA PARA EQUIPO DE RAYOS X EN  C  CON RODACHINES (INCLUYE 2 PISAPIES Y 2 CONTROLES), Serial:7000A 15104, Marca:DONGMUN, Modelo:K7000A, Material:METALICO , Color:BLANCO Y VERDE,   Referencia:, Placa anterior:, Placa nueva=H0005852, Descripcion:IMPRESORA LASER SAMSUNG, Serial:ML-2161/XIC, Marca:SAMSUNG, Modelo:ML 2161, Material:, Color:GRIS,   Referencia: Placa padre:  Tipo adquisicion : Entidad</v>
      </c>
      <c r="G16647" s="5" t="str">
        <f>"DIG-360"</f>
        <v>DIG-360</v>
      </c>
    </row>
    <row r="16648" spans="1:7" ht="58.5" customHeight="1" x14ac:dyDescent="0.25">
      <c r="A16648" s="5" t="str">
        <f>"H0006006"</f>
        <v>H0006006</v>
      </c>
      <c r="B16648" s="5" t="str">
        <f t="shared" ref="B16648:B16653" si="854">"SILLA INTERLOCUTORA (FIJA) SIN BRAZOS"</f>
        <v>SILLA INTERLOCUTORA (FIJA) SIN BRAZOS</v>
      </c>
      <c r="C16648" s="6">
        <v>336400</v>
      </c>
      <c r="D16648" s="5" t="s">
        <v>5</v>
      </c>
      <c r="E16648" s="5" t="str">
        <f t="shared" si="853"/>
        <v>ELEMENTOS EN BODEGA USADOS</v>
      </c>
      <c r="F16648" s="5" t="str">
        <f>"Descripcion: SILLA INTERLOCUTORA FIJA HERRAJE CROMADO TAPIZADO ASIENTO REF. BUTTERFLY Estado: Bueno Placa anterior: 000029483 Material: METALICO CROMADO ASIENTO TAPIZADO Y ESPALDAR PLASTICO Color: NEGRO Referencia:  Observacion:  Placa padre: Tipo adquisi"&amp; "cion: Entidad"</f>
        <v>Descripcion: SILLA INTERLOCUTORA FIJA HERRAJE CROMADO TAPIZADO ASIENTO REF. BUTTERFLY Estado: Bueno Placa anterior: 000029483 Material: METALICO CROMADO ASIENTO TAPIZADO Y ESPALDAR PLASTICO Color: NEGRO Referencia:  Observacion:  Placa padre: Tipo adquisicion: Entidad</v>
      </c>
      <c r="G16648" s="5"/>
    </row>
    <row r="16649" spans="1:7" ht="58.5" customHeight="1" x14ac:dyDescent="0.25">
      <c r="A16649" s="5" t="str">
        <f>"H0006009"</f>
        <v>H0006009</v>
      </c>
      <c r="B16649" s="5" t="str">
        <f t="shared" si="854"/>
        <v>SILLA INTERLOCUTORA (FIJA) SIN BRAZOS</v>
      </c>
      <c r="C16649" s="6">
        <v>336400</v>
      </c>
      <c r="D16649" s="5" t="s">
        <v>5</v>
      </c>
      <c r="E16649" s="5" t="str">
        <f t="shared" si="853"/>
        <v>ELEMENTOS EN BODEGA USADOS</v>
      </c>
      <c r="F16649" s="5" t="str">
        <f>"Descripcion: SILLA INTERLOCUTORA FIJA HERRAJE CROMADO TAPIZADO ASIENTO REF. BUTTERFLY Estado: Bueno Placa anterior: 000029481 Material: METALICO CROMADO ASIENTO TAPIZADO Y ESPALDAR PLASTICO Color: NEGRO Referencia:  Observacion:  Placa padre: Tipo adquisi"&amp; "cion: Entidad"</f>
        <v>Descripcion: SILLA INTERLOCUTORA FIJA HERRAJE CROMADO TAPIZADO ASIENTO REF. BUTTERFLY Estado: Bueno Placa anterior: 000029481 Material: METALICO CROMADO ASIENTO TAPIZADO Y ESPALDAR PLASTICO Color: NEGRO Referencia:  Observacion:  Placa padre: Tipo adquisicion: Entidad</v>
      </c>
      <c r="G16649" s="5"/>
    </row>
    <row r="16650" spans="1:7" ht="58.5" customHeight="1" x14ac:dyDescent="0.25">
      <c r="A16650" s="5" t="str">
        <f>"H0006010"</f>
        <v>H0006010</v>
      </c>
      <c r="B16650" s="5" t="str">
        <f t="shared" si="854"/>
        <v>SILLA INTERLOCUTORA (FIJA) SIN BRAZOS</v>
      </c>
      <c r="C16650" s="6">
        <v>336400</v>
      </c>
      <c r="D16650" s="5" t="s">
        <v>5</v>
      </c>
      <c r="E16650" s="5" t="str">
        <f t="shared" si="853"/>
        <v>ELEMENTOS EN BODEGA USADOS</v>
      </c>
      <c r="F16650" s="5" t="str">
        <f>"Descripcion: SILLA INTERLOCUTORA FIJA HERRAJE CROMADO TAPIZADO ASIENTO REF. BUTTERFLY Estado: Bueno Placa anterior: 000029485 Material: METALICO CROMADO ASIENTO TAPIZADO Y ESPALDAR PLASTICO Color: NEGRO Referencia:  Observacion:  Placa padre: Tipo adquisi"&amp; "cion: Entidad"</f>
        <v>Descripcion: SILLA INTERLOCUTORA FIJA HERRAJE CROMADO TAPIZADO ASIENTO REF. BUTTERFLY Estado: Bueno Placa anterior: 000029485 Material: METALICO CROMADO ASIENTO TAPIZADO Y ESPALDAR PLASTICO Color: NEGRO Referencia:  Observacion:  Placa padre: Tipo adquisicion: Entidad</v>
      </c>
      <c r="G16650" s="5"/>
    </row>
    <row r="16651" spans="1:7" ht="58.5" customHeight="1" x14ac:dyDescent="0.25">
      <c r="A16651" s="5" t="str">
        <f>"H0006011"</f>
        <v>H0006011</v>
      </c>
      <c r="B16651" s="5" t="str">
        <f t="shared" si="854"/>
        <v>SILLA INTERLOCUTORA (FIJA) SIN BRAZOS</v>
      </c>
      <c r="C16651" s="6">
        <v>336400</v>
      </c>
      <c r="D16651" s="5" t="s">
        <v>5</v>
      </c>
      <c r="E16651" s="5" t="str">
        <f t="shared" si="853"/>
        <v>ELEMENTOS EN BODEGA USADOS</v>
      </c>
      <c r="F16651" s="5" t="str">
        <f>"Descripcion: SILLA INTERLOCUTORA FIJA HERRAJE CROMADO TAPIZADO ASIENTO REF. BUTTERFLY Estado: Bueno Placa anterior: 000029479 Material: METALICO CROMADO ASIENTO TAPIZADO Y ESPALDAR PLASTICO Color: NEGRO Referencia:  Observacion:  Placa padre: Tipo adquisi"&amp; "cion: Entidad"</f>
        <v>Descripcion: SILLA INTERLOCUTORA FIJA HERRAJE CROMADO TAPIZADO ASIENTO REF. BUTTERFLY Estado: Bueno Placa anterior: 000029479 Material: METALICO CROMADO ASIENTO TAPIZADO Y ESPALDAR PLASTICO Color: NEGRO Referencia:  Observacion:  Placa padre: Tipo adquisicion: Entidad</v>
      </c>
      <c r="G16651" s="5"/>
    </row>
    <row r="16652" spans="1:7" ht="58.5" customHeight="1" x14ac:dyDescent="0.25">
      <c r="A16652" s="5" t="str">
        <f>"H0006012"</f>
        <v>H0006012</v>
      </c>
      <c r="B16652" s="5" t="str">
        <f t="shared" si="854"/>
        <v>SILLA INTERLOCUTORA (FIJA) SIN BRAZOS</v>
      </c>
      <c r="C16652" s="6">
        <v>336400</v>
      </c>
      <c r="D16652" s="5" t="s">
        <v>5</v>
      </c>
      <c r="E16652" s="5" t="str">
        <f t="shared" si="853"/>
        <v>ELEMENTOS EN BODEGA USADOS</v>
      </c>
      <c r="F16652" s="5" t="str">
        <f>"Descripcion: SILLA INTERLOCUTORA FIJA HERRAJE CROMADO TAPIZADO ASIENTO REF. BUTTERFLY Estado: Bueno Placa anterior: 000029482 Material:  METALICO CROMADO ASIENTO TAPIZADO Y ESPALDAR PLASTICO Color: NEGRO Referencia:  Observacion:  Placa padre: Tipo adquis"&amp; "icion: Entidad"</f>
        <v>Descripcion: SILLA INTERLOCUTORA FIJA HERRAJE CROMADO TAPIZADO ASIENTO REF. BUTTERFLY Estado: Bueno Placa anterior: 000029482 Material:  METALICO CROMADO ASIENTO TAPIZADO Y ESPALDAR PLASTICO Color: NEGRO Referencia:  Observacion:  Placa padre: Tipo adquisicion: Entidad</v>
      </c>
      <c r="G16652" s="5"/>
    </row>
    <row r="16653" spans="1:7" ht="58.5" customHeight="1" x14ac:dyDescent="0.25">
      <c r="A16653" s="5" t="str">
        <f>"H0006015"</f>
        <v>H0006015</v>
      </c>
      <c r="B16653" s="5" t="str">
        <f t="shared" si="854"/>
        <v>SILLA INTERLOCUTORA (FIJA) SIN BRAZOS</v>
      </c>
      <c r="C16653" s="6">
        <v>336400</v>
      </c>
      <c r="D16653" s="5" t="s">
        <v>5</v>
      </c>
      <c r="E16653" s="5" t="str">
        <f t="shared" si="853"/>
        <v>ELEMENTOS EN BODEGA USADOS</v>
      </c>
      <c r="F16653" s="5" t="str">
        <f>"Descripcion: SILLA INTERLOCUTORA FIJA HERRAJE CROMADO TAPIZADO ASIENTO REF. BUTTERFLY Estado: Bueno Placa anterior: 000029486 Material: METALICO CROMADO ASIENTO TAPIZADO Y ESPALDAR PLASTICO Color: NEGRO Referencia:  Observacion:  Placa padre: Tipo adquisi"&amp; "cion: Entidad"</f>
        <v>Descripcion: SILLA INTERLOCUTORA FIJA HERRAJE CROMADO TAPIZADO ASIENTO REF. BUTTERFLY Estado: Bueno Placa anterior: 000029486 Material: METALICO CROMADO ASIENTO TAPIZADO Y ESPALDAR PLASTICO Color: NEGRO Referencia:  Observacion:  Placa padre: Tipo adquisicion: Entidad</v>
      </c>
      <c r="G16653" s="5"/>
    </row>
    <row r="16654" spans="1:7" ht="58.5" customHeight="1" x14ac:dyDescent="0.25">
      <c r="A16654" s="5" t="str">
        <f>"H0006017"</f>
        <v>H0006017</v>
      </c>
      <c r="B16654" s="5" t="str">
        <f>"MESA DE MADERA PARA JUNTASDE 6 PUESTOS"</f>
        <v>MESA DE MADERA PARA JUNTASDE 6 PUESTOS</v>
      </c>
      <c r="C16654" s="6">
        <v>32029.05</v>
      </c>
      <c r="D16654" s="5"/>
      <c r="E16654" s="5" t="str">
        <f t="shared" si="853"/>
        <v>ELEMENTOS EN BODEGA USADOS</v>
      </c>
      <c r="F16654" s="5" t="str">
        <f>"Descripcion: MESA DE MADERA PARA JUNTAS DE 6 PUESTOS, RECTANGULAR (INCLUYE VIDRIO) MEDIDAS: 74X220X120 Estado: Bueno Placa anterior: 000000179 Material: MADERA, CORDOBAN Y VIDRIO Color: WENGUE Referencia:  Observacion: PLACA ANTERIOR NO ENCONTRADA 0000283"&amp; "13 FUNCIONARIO AUTORIZA SE CONCILIE CON PLACA 000000179 Placa padre: Tipo adquisicion: Entidad"</f>
        <v>Descripcion: MESA DE MADERA PARA JUNTAS DE 6 PUESTOS, RECTANGULAR (INCLUYE VIDRIO) MEDIDAS: 74X220X120 Estado: Bueno Placa anterior: 000000179 Material: MADERA, CORDOBAN Y VIDRIO Color: WENGUE Referencia:  Observacion: PLACA ANTERIOR NO ENCONTRADA 000028313 FUNCIONARIO AUTORIZA SE CONCILIE CON PLACA 000000179 Placa padre: Tipo adquisicion: Entidad</v>
      </c>
      <c r="G16654" s="5"/>
    </row>
    <row r="16655" spans="1:7" ht="58.5" customHeight="1" x14ac:dyDescent="0.25">
      <c r="A16655" s="5" t="str">
        <f>"H0006018"</f>
        <v>H0006018</v>
      </c>
      <c r="B16655" s="5" t="str">
        <f>"MESA DE MADERA PARA JUNTASDE 6 PUESTOS"</f>
        <v>MESA DE MADERA PARA JUNTASDE 6 PUESTOS</v>
      </c>
      <c r="C16655" s="6">
        <v>32029.05</v>
      </c>
      <c r="D16655" s="5"/>
      <c r="E16655" s="5" t="str">
        <f t="shared" si="853"/>
        <v>ELEMENTOS EN BODEGA USADOS</v>
      </c>
      <c r="F16655" s="5" t="str">
        <f>"Descripcion: MESA DE MADERA PARA JUNTAS DE 6 PUESTOS, RECTANGULAR (INCLUYE VIDRIO) MEDIDAS: 74X220X120 Estado: Bueno Placa anterior: 000000180 Material: MADERA. CORDOBAN Y VIDRIO Color: WENGUE Referencia:  Observacion: PLACA ANTERIOR NO ENCONTRADA 0000283"&amp; "14 FUNCIONARIO AUTORIZA SE CONCILIE CON PLACA  000000180 Placa padre: Tipo adquisicion: Entidad"</f>
        <v>Descripcion: MESA DE MADERA PARA JUNTAS DE 6 PUESTOS, RECTANGULAR (INCLUYE VIDRIO) MEDIDAS: 74X220X120 Estado: Bueno Placa anterior: 000000180 Material: MADERA. CORDOBAN Y VIDRIO Color: WENGUE Referencia:  Observacion: PLACA ANTERIOR NO ENCONTRADA 000028314 FUNCIONARIO AUTORIZA SE CONCILIE CON PLACA  000000180 Placa padre: Tipo adquisicion: Entidad</v>
      </c>
      <c r="G16655" s="5"/>
    </row>
    <row r="16656" spans="1:7" ht="58.5" customHeight="1" x14ac:dyDescent="0.25">
      <c r="A16656" s="5" t="str">
        <f>"H0006019"</f>
        <v>H0006019</v>
      </c>
      <c r="B16656" s="5" t="str">
        <f>"SILLA ERGONOMICA TIPO GERENTE CON BRAZOS"</f>
        <v>SILLA ERGONOMICA TIPO GERENTE CON BRAZOS</v>
      </c>
      <c r="C16656" s="6">
        <v>406000</v>
      </c>
      <c r="D16656" s="5" t="s">
        <v>5</v>
      </c>
      <c r="E16656" s="5" t="str">
        <f t="shared" si="853"/>
        <v>ELEMENTOS EN BODEGA USADOS</v>
      </c>
      <c r="F16656" s="5" t="str">
        <f>"Descripcion: SILLA ERGONOMICA TIPO GERENTE CON BRAZOS ESPALDAR EN MALLA, TAPIZADO EN ASIENTO Estado: Bueno Placa anterior: 000029489 Material: TAPIZADO EN SEMICUERO, MALLA Y PLASTICO Color: NEGRO Referencia:  Observacion:  Placa padre: Tipo adquisicion: E"&amp; "ntidad"</f>
        <v>Descripcion: SILLA ERGONOMICA TIPO GERENTE CON BRAZOS ESPALDAR EN MALLA, TAPIZADO EN ASIENTO Estado: Bueno Placa anterior: 000029489 Material: TAPIZADO EN SEMICUERO, MALLA Y PLASTICO Color: NEGRO Referencia:  Observacion:  Placa padre: Tipo adquisicion: Entidad</v>
      </c>
      <c r="G16656" s="5"/>
    </row>
    <row r="16657" spans="1:7" ht="58.5" customHeight="1" x14ac:dyDescent="0.25">
      <c r="A16657" s="5" t="str">
        <f>"H0006027"</f>
        <v>H0006027</v>
      </c>
      <c r="B16657" s="5" t="str">
        <f>"PERSIANA"</f>
        <v>PERSIANA</v>
      </c>
      <c r="C16657" s="6">
        <v>764626</v>
      </c>
      <c r="D16657" s="5" t="s">
        <v>5</v>
      </c>
      <c r="E16657" s="5" t="str">
        <f t="shared" si="853"/>
        <v>ELEMENTOS EN BODEGA USADOS</v>
      </c>
      <c r="F16657" s="5" t="str">
        <f>"Descripcion: PANEL JAPONES EN SCREEN DE 1.65X1.21CM (PERSIANA) Estado: Bueno Placa anterior: 000029493 Material: LONA Color: BLANCA Referencia:  Observacion:  Placa padre: Tipo adquisicion: Entidad"</f>
        <v>Descripcion: PANEL JAPONES EN SCREEN DE 1.65X1.21CM (PERSIANA) Estado: Bueno Placa anterior: 000029493 Material: LONA Color: BLANCA Referencia:  Observacion:  Placa padre: Tipo adquisicion: Entidad</v>
      </c>
      <c r="G16657" s="5"/>
    </row>
    <row r="16658" spans="1:7" ht="58.5" customHeight="1" x14ac:dyDescent="0.25">
      <c r="A16658" s="5" t="str">
        <f>"H0006035"</f>
        <v>H0006035</v>
      </c>
      <c r="B16658" s="5" t="str">
        <f>"MULTIMUEBLE DE MADERA"</f>
        <v>MULTIMUEBLE DE MADERA</v>
      </c>
      <c r="C16658" s="6">
        <v>49809</v>
      </c>
      <c r="D16658" s="5"/>
      <c r="E16658" s="5" t="str">
        <f t="shared" si="853"/>
        <v>ELEMENTOS EN BODEGA USADOS</v>
      </c>
      <c r="F16658" s="5" t="str">
        <f>"Descripcion: BIBLIOTECA EN MADERA LINEA 2000 (3 GAVETAS 2 PUERTAS) MEDIDAS: 70X150X52CM Estado: Bueno Placa anterior: 000031281 Material: MADERA  Color: WENGUE Referencia:  Observacion:  Placa padre: Tipo adquisicion: Entidad"</f>
        <v>Descripcion: BIBLIOTECA EN MADERA LINEA 2000 (3 GAVETAS 2 PUERTAS) MEDIDAS: 70X150X52CM Estado: Bueno Placa anterior: 000031281 Material: MADERA  Color: WENGUE Referencia:  Observacion:  Placa padre: Tipo adquisicion: Entidad</v>
      </c>
      <c r="G16658" s="5"/>
    </row>
    <row r="16659" spans="1:7" ht="58.5" customHeight="1" x14ac:dyDescent="0.25">
      <c r="A16659" s="5" t="str">
        <f>"H0006042"</f>
        <v>H0006042</v>
      </c>
      <c r="B16659" s="5" t="str">
        <f>"EQUIPO DE SONIDO"</f>
        <v>EQUIPO DE SONIDO</v>
      </c>
      <c r="C16659" s="6">
        <v>478360</v>
      </c>
      <c r="D16659" s="5"/>
      <c r="E16659" s="5" t="str">
        <f t="shared" si="853"/>
        <v>ELEMENTOS EN BODEGA USADOS</v>
      </c>
      <c r="F16659" s="5" t="str">
        <f>"Descripcion: MINICOMPONENTE CON RADIO PARA UN CD Y UNA CASETERA MARCA PANASONIC CON CABLE CONECTOR, DOS PARLANTES CON MANUAL DE FUNCIONES Estado: Bueno Placa anterior: 000026163 Material:  Color: GRIS Referencia:  Observacion:  Placa padre: Tipo adquisici"&amp; "on: Entidad"</f>
        <v>Descripcion: MINICOMPONENTE CON RADIO PARA UN CD Y UNA CASETERA MARCA PANASONIC CON CABLE CONECTOR, DOS PARLANTES CON MANUAL DE FUNCIONES Estado: Bueno Placa anterior: 000026163 Material:  Color: GRIS Referencia:  Observacion:  Placa padre: Tipo adquisicion: Entidad</v>
      </c>
      <c r="G16659" s="5" t="str">
        <f>"SA-AK331"</f>
        <v>SA-AK331</v>
      </c>
    </row>
    <row r="16660" spans="1:7" ht="58.5" customHeight="1" x14ac:dyDescent="0.25">
      <c r="A16660" s="5" t="str">
        <f>"H0006044"</f>
        <v>H0006044</v>
      </c>
      <c r="B16660" s="5" t="str">
        <f>"SILLA INTERLOCUTORA (FIJA) SIN BRAZOS"</f>
        <v>SILLA INTERLOCUTORA (FIJA) SIN BRAZOS</v>
      </c>
      <c r="C16660" s="6">
        <v>336400</v>
      </c>
      <c r="D16660" s="5" t="s">
        <v>5</v>
      </c>
      <c r="E16660" s="5" t="str">
        <f t="shared" si="853"/>
        <v>ELEMENTOS EN BODEGA USADOS</v>
      </c>
      <c r="F16660" s="5" t="str">
        <f>"Descripcion: SILLA INTERLOCUTORA FIJA HERRAJE CROMADO TAPIZADO ASIENTO REF. BUTTERFLY Estado: Bueno Placa anterior: 000029478 Material: METALICO CROMADO, ASIENTO TAPIZADO, ESPALDAR PLASTICO Color: NEGRO Referencia:  Observacion:  Placa padre: Tipo adquisi"&amp; "cion: Entidad"</f>
        <v>Descripcion: SILLA INTERLOCUTORA FIJA HERRAJE CROMADO TAPIZADO ASIENTO REF. BUTTERFLY Estado: Bueno Placa anterior: 000029478 Material: METALICO CROMADO, ASIENTO TAPIZADO, ESPALDAR PLASTICO Color: NEGRO Referencia:  Observacion:  Placa padre: Tipo adquisicion: Entidad</v>
      </c>
      <c r="G16660" s="5"/>
    </row>
    <row r="16661" spans="1:7" ht="58.5" customHeight="1" x14ac:dyDescent="0.25">
      <c r="A16661" s="5" t="str">
        <f>"H0006047"</f>
        <v>H0006047</v>
      </c>
      <c r="B16661" s="5" t="str">
        <f>"SILLA INTERLOCUTORA (FIJA) CON BRAZOS"</f>
        <v>SILLA INTERLOCUTORA (FIJA) CON BRAZOS</v>
      </c>
      <c r="C16661" s="6">
        <v>336400</v>
      </c>
      <c r="D16661" s="5" t="s">
        <v>5</v>
      </c>
      <c r="E16661" s="5" t="str">
        <f t="shared" si="853"/>
        <v>ELEMENTOS EN BODEGA USADOS</v>
      </c>
      <c r="F16661" s="5" t="str">
        <f>"Descripcion: SILLA INTERLOCUTORA FIJA HERRAJE CROMADO  CON BRAZOS, ESTRUCTURA EN  U  Estado: Bueno Placa anterior: 000029477 Material: METALICO CROMADO, ASIENTO TAPIZADO, ESPALDAR PLASTICO Color: NEGRO Referencia:  Observacion:  Placa padre: Tipo adquisic"&amp; "ion: Entidad"</f>
        <v>Descripcion: SILLA INTERLOCUTORA FIJA HERRAJE CROMADO  CON BRAZOS, ESTRUCTURA EN  U  Estado: Bueno Placa anterior: 000029477 Material: METALICO CROMADO, ASIENTO TAPIZADO, ESPALDAR PLASTICO Color: NEGRO Referencia:  Observacion:  Placa padre: Tipo adquisicion: Entidad</v>
      </c>
      <c r="G16661" s="5"/>
    </row>
    <row r="16662" spans="1:7" ht="58.5" customHeight="1" x14ac:dyDescent="0.25">
      <c r="A16662" s="5" t="str">
        <f>"H0006049"</f>
        <v>H0006049</v>
      </c>
      <c r="B16662" s="5" t="str">
        <f>"SILLON (SOFA)"</f>
        <v>SILLON (SOFA)</v>
      </c>
      <c r="C16662" s="6">
        <v>3364000</v>
      </c>
      <c r="D16662" s="5" t="s">
        <v>5</v>
      </c>
      <c r="E16662" s="5" t="str">
        <f t="shared" si="853"/>
        <v>ELEMENTOS EN BODEGA USADOS</v>
      </c>
      <c r="F16662" s="5" t="str">
        <f>"Descripcion: JUEGO DE SALA POLTRONA PRINCIPAL LARGA CON BRAZOS Estado: Bueno Placa anterior: 000029491 Material: TAPIZADO EN SEMICUERO  Color: NEGRO Referencia:  Observacion:  Placa anterior:, Placa nueva=H0006050, Descripcion:JUEGO DE SALA: POLTRONA CON "&amp; "BRAZOS, Serial:, Marca:, Modelo:, Material:TAPIZADO EN SEMICUERO , Color:NEGRO,   Referencia:, Placa anterior:, Placa nueva=H0006052, Descripcion:JUEGO DE SALA: POLTRONA CON BRAZOS, Serial:, Marca:, Modelo:, Material:TAPIZADO EN SEMICUERO , Color:NEGRO,  "&amp; " Referencia: Placa padre: Tipo adquisicion: Entidad"</f>
        <v>Descripcion: JUEGO DE SALA POLTRONA PRINCIPAL LARGA CON BRAZOS Estado: Bueno Placa anterior: 000029491 Material: TAPIZADO EN SEMICUERO  Color: NEGRO Referencia:  Observacion:  Placa anterior:, Placa nueva=H0006050, Descripcion:JUEGO DE SALA: POLTRONA CON BRAZOS, Serial:, Marca:, Modelo:, Material:TAPIZADO EN SEMICUERO , Color:NEGRO,   Referencia:, Placa anterior:, Placa nueva=H0006052, Descripcion:JUEGO DE SALA: POLTRONA CON BRAZOS, Serial:, Marca:, Modelo:, Material:TAPIZADO EN SEMICUERO , Color:NEGRO,   Referencia: Placa padre: Tipo adquisicion: Entidad</v>
      </c>
      <c r="G16662" s="5"/>
    </row>
    <row r="16663" spans="1:7" ht="58.5" customHeight="1" x14ac:dyDescent="0.25">
      <c r="A16663" s="5" t="str">
        <f>"H0006064"</f>
        <v>H0006064</v>
      </c>
      <c r="B16663" s="5" t="str">
        <f>"PERSIANA"</f>
        <v>PERSIANA</v>
      </c>
      <c r="C16663" s="6">
        <v>233856</v>
      </c>
      <c r="D16663" s="5"/>
      <c r="E16663" s="5" t="str">
        <f t="shared" si="853"/>
        <v>ELEMENTOS EN BODEGA USADOS</v>
      </c>
      <c r="F16663" s="5" t="str">
        <f>"Descripcion: PERSIANA SEMIMADERA 0.82 X 1.25 MTS Estado: Bueno Placa anterior: 000006080 Material: SEMIMADERA Color: MARRON Referencia:  Observacion:  Placa padre: Tipo adquisicion: Entidad"</f>
        <v>Descripcion: PERSIANA SEMIMADERA 0.82 X 1.25 MTS Estado: Bueno Placa anterior: 000006080 Material: SEMIMADERA Color: MARRON Referencia:  Observacion:  Placa padre: Tipo adquisicion: Entidad</v>
      </c>
      <c r="G16663" s="5"/>
    </row>
    <row r="16664" spans="1:7" ht="58.5" customHeight="1" x14ac:dyDescent="0.25">
      <c r="A16664" s="5" t="str">
        <f>"H0006076"</f>
        <v>H0006076</v>
      </c>
      <c r="B16664" s="5" t="str">
        <f>"SILLA INTERLOCUTORA (FIJA) SIN BRAZOS"</f>
        <v>SILLA INTERLOCUTORA (FIJA) SIN BRAZOS</v>
      </c>
      <c r="C16664" s="6">
        <v>6191.94</v>
      </c>
      <c r="D16664" s="5"/>
      <c r="E16664" s="5" t="str">
        <f t="shared" si="853"/>
        <v>ELEMENTOS EN BODEGA USADOS</v>
      </c>
      <c r="F16664" s="5" t="str">
        <f>"Descripcion: SILLA FIJA SIN BRAZOS COLOR MARRON (TAPIZADO DE ASIENTO REGULAR) Estado: Bueno Placa anterior: 000024108 Material: METALICO CON SILLA TAPIZADA Color: MARRON Referencia:  Observacion:  Placa padre: Tipo adquisicion: Entidad"</f>
        <v>Descripcion: SILLA FIJA SIN BRAZOS COLOR MARRON (TAPIZADO DE ASIENTO REGULAR) Estado: Bueno Placa anterior: 000024108 Material: METALICO CON SILLA TAPIZADA Color: MARRON Referencia:  Observacion:  Placa padre: Tipo adquisicion: Entidad</v>
      </c>
      <c r="G16664" s="5"/>
    </row>
    <row r="16665" spans="1:7" ht="58.5" customHeight="1" x14ac:dyDescent="0.25">
      <c r="A16665" s="5" t="str">
        <f>"H0006431"</f>
        <v>H0006431</v>
      </c>
      <c r="B16665" s="5" t="str">
        <f>"CAMILLA ESPINAL LARGA - TABLA"</f>
        <v>CAMILLA ESPINAL LARGA - TABLA</v>
      </c>
      <c r="C16665" s="6">
        <v>540000</v>
      </c>
      <c r="D16665" s="5"/>
      <c r="E16665" s="5" t="str">
        <f t="shared" si="853"/>
        <v>ELEMENTOS EN BODEGA USADOS</v>
      </c>
      <c r="F16665" s="5" t="str">
        <f>"Descripcion: CAMILLA ESPINAL LARGA - TABLA DE EMERGENCIA Estado: Bueno Placa anterior: 000032663 Material: MADERA Color: MARRON Referencia:  Observacion:  Placa padre: Tipo adquisicion: Entidad"</f>
        <v>Descripcion: CAMILLA ESPINAL LARGA - TABLA DE EMERGENCIA Estado: Bueno Placa anterior: 000032663 Material: MADERA Color: MARRON Referencia:  Observacion:  Placa padre: Tipo adquisicion: Entidad</v>
      </c>
      <c r="G16665" s="5"/>
    </row>
    <row r="16666" spans="1:7" ht="58.5" customHeight="1" x14ac:dyDescent="0.25">
      <c r="A16666" s="5" t="str">
        <f>"H0006708"</f>
        <v>H0006708</v>
      </c>
      <c r="B16666" s="5" t="str">
        <f>"TENSIOMETRO ANEROIDE DE PEDESTAL (PIE) PEDIATRICO"</f>
        <v>TENSIOMETRO ANEROIDE DE PEDESTAL (PIE) PEDIATRICO</v>
      </c>
      <c r="C16666" s="6">
        <v>650000</v>
      </c>
      <c r="D16666" s="5"/>
      <c r="E16666" s="5" t="str">
        <f t="shared" si="853"/>
        <v>ELEMENTOS EN BODEGA USADOS</v>
      </c>
      <c r="F16666" s="5" t="str">
        <f>"Descripcion:TENSIOMETRO DE PEDESTAL  PEDIATRICO L Y M Estado: Malo Placa anterior: 000033321 Material: METAL Y PASTA Y MANGUERAS DE CAUCHO Color: NEGRO Y PLATEADO Referencia:  Observacion:  Placa padre:  Tipo adquisicion : Entidad"</f>
        <v>Descripcion:TENSIOMETRO DE PEDESTAL  PEDIATRICO L Y M Estado: Malo Placa anterior: 000033321 Material: METAL Y PASTA Y MANGUERAS DE CAUCHO Color: NEGRO Y PLATEADO Referencia:  Observacion:  Placa padre:  Tipo adquisicion : Entidad</v>
      </c>
      <c r="G16666" s="5"/>
    </row>
    <row r="16667" spans="1:7" ht="58.5" customHeight="1" x14ac:dyDescent="0.25">
      <c r="A16667" s="5" t="str">
        <f>"H0006709"</f>
        <v>H0006709</v>
      </c>
      <c r="B16667" s="5" t="str">
        <f>"TENSIOMETRO ANEROIDE DE PEDESTAL (PIE) PARA ADULTO"</f>
        <v>TENSIOMETRO ANEROIDE DE PEDESTAL (PIE) PARA ADULTO</v>
      </c>
      <c r="C16667" s="6">
        <v>24359.26</v>
      </c>
      <c r="D16667" s="5"/>
      <c r="E16667" s="5" t="str">
        <f t="shared" si="853"/>
        <v>ELEMENTOS EN BODEGA USADOS</v>
      </c>
      <c r="F16667" s="5" t="str">
        <f>"Descripcion:TENSIOMETRO MOVIL DE TUBO PARA ADULTO Estado: Malo Placa anterior: 000019431 Material: METAL Y PASTA Y MANGUERAS DE CAUCHO Color: NEGRO Y PLATEADO Referencia:  Observacion: EL BIEN TIENE PLACA ANTERIOR  000018448, AUTORIZADO CONCILIAR EN CRUCE"&amp; " GENERAL Placa padre:  Tipo adquisicion : Entidad"</f>
        <v>Descripcion:TENSIOMETRO MOVIL DE TUBO PARA ADULTO Estado: Malo Placa anterior: 000019431 Material: METAL Y PASTA Y MANGUERAS DE CAUCHO Color: NEGRO Y PLATEADO Referencia:  Observacion: EL BIEN TIENE PLACA ANTERIOR  000018448, AUTORIZADO CONCILIAR EN CRUCE GENERAL Placa padre:  Tipo adquisicion : Entidad</v>
      </c>
      <c r="G16667" s="5" t="str">
        <f>"0369-13"</f>
        <v>0369-13</v>
      </c>
    </row>
    <row r="16668" spans="1:7" ht="58.5" customHeight="1" x14ac:dyDescent="0.25">
      <c r="A16668" s="5" t="str">
        <f>"H0006734"</f>
        <v>H0006734</v>
      </c>
      <c r="B16668" s="5" t="str">
        <f>"VENTILADOR DE ANESTESIA"</f>
        <v>VENTILADOR DE ANESTESIA</v>
      </c>
      <c r="C16668" s="6">
        <v>6726000</v>
      </c>
      <c r="D16668" s="5"/>
      <c r="E16668" s="5" t="str">
        <f t="shared" si="853"/>
        <v>ELEMENTOS EN BODEGA USADOS</v>
      </c>
      <c r="F16668" s="5" t="str">
        <f>"Descripcion:DOBLE FLUJOMETRO P/OXIGENO Y OXIDO NITROSO - NOTA:  VENTILADOR DE ANESTECIA Estado: Malo Placa anterior: 000000127 Material: METAL Color: BLANCO Referencia:  Observacion:  Placa padre:  Tipo adquisicion : Entidad"</f>
        <v>Descripcion:DOBLE FLUJOMETRO P/OXIGENO Y OXIDO NITROSO - NOTA:  VENTILADOR DE ANESTECIA Estado: Malo Placa anterior: 000000127 Material: METAL Color: BLANCO Referencia:  Observacion:  Placa padre:  Tipo adquisicion : Entidad</v>
      </c>
      <c r="G16668" s="5" t="str">
        <f>"OHIO 7000"</f>
        <v>OHIO 7000</v>
      </c>
    </row>
    <row r="16669" spans="1:7" ht="58.5" customHeight="1" x14ac:dyDescent="0.25">
      <c r="A16669" s="5" t="str">
        <f>"H0006813"</f>
        <v>H0006813</v>
      </c>
      <c r="B16669" s="5" t="str">
        <f>"CAMA HOSPITALARIA 1 PLANO"</f>
        <v>CAMA HOSPITALARIA 1 PLANO</v>
      </c>
      <c r="C16669" s="6">
        <v>2100000</v>
      </c>
      <c r="D16669" s="5" t="s">
        <v>63</v>
      </c>
      <c r="E16669" s="5" t="str">
        <f t="shared" si="853"/>
        <v>ELEMENTOS EN BODEGA USADOS</v>
      </c>
      <c r="F16669" s="5" t="str">
        <f>"Descripcion: CAMA HOSPITALARIA  DE UN SOLO PLANO Estado: Bueno Placa anterior: 000037737 Material: MEETALICO Color: BEIGE Referencia:  Observacion: BUEN ESTADO Placa padre: Tipo adquisicion: Entidad"</f>
        <v>Descripcion: CAMA HOSPITALARIA  DE UN SOLO PLANO Estado: Bueno Placa anterior: 000037737 Material: MEETALICO Color: BEIGE Referencia:  Observacion: BUEN ESTADO Placa padre: Tipo adquisicion: Entidad</v>
      </c>
      <c r="G16669" s="5"/>
    </row>
    <row r="16670" spans="1:7" ht="58.5" customHeight="1" x14ac:dyDescent="0.25">
      <c r="A16670" s="5" t="str">
        <f>"H0006832"</f>
        <v>H0006832</v>
      </c>
      <c r="B16670" s="5" t="str">
        <f>"CAMA HOSPITALARIA 4 PLANOS CON BARANDA"</f>
        <v>CAMA HOSPITALARIA 4 PLANOS CON BARANDA</v>
      </c>
      <c r="C16670" s="6">
        <v>2100000</v>
      </c>
      <c r="D16670" s="5" t="s">
        <v>63</v>
      </c>
      <c r="E16670" s="5" t="str">
        <f t="shared" si="853"/>
        <v>ELEMENTOS EN BODEGA USADOS</v>
      </c>
      <c r="F16670" s="5" t="str">
        <f>"Descripcion: CAMA DE 4 PUESTO Estado: Bueno Placa anterior: 000037742 Material: METALICO Color: BEIS Referencia:  Observacion:  Placa padre: Tipo adquisicion: Entidad"</f>
        <v>Descripcion: CAMA DE 4 PUESTO Estado: Bueno Placa anterior: 000037742 Material: METALICO Color: BEIS Referencia:  Observacion:  Placa padre: Tipo adquisicion: Entidad</v>
      </c>
      <c r="G16670" s="5"/>
    </row>
    <row r="16671" spans="1:7" ht="58.5" customHeight="1" x14ac:dyDescent="0.25">
      <c r="A16671" s="5" t="str">
        <f>"H0006910"</f>
        <v>H0006910</v>
      </c>
      <c r="B16671" s="5" t="str">
        <f>"CAMA HOSPITALARIA 4 PLANOS CON BARANDA"</f>
        <v>CAMA HOSPITALARIA 4 PLANOS CON BARANDA</v>
      </c>
      <c r="C16671" s="6">
        <v>2100000</v>
      </c>
      <c r="D16671" s="5" t="s">
        <v>63</v>
      </c>
      <c r="E16671" s="5" t="str">
        <f t="shared" si="853"/>
        <v>ELEMENTOS EN BODEGA USADOS</v>
      </c>
      <c r="F16671" s="5" t="str">
        <f>"Descripcion: CAMA HOSPITALARIA DE 4 PUESTOS Estado: Bueno Placa anterior: 000037731 Material: METAL  Color: GRIS Referencia:  Observacion: CAMA EN BUEN ESTADO Y FUNCIONAMIENTO  Placa padre: Tipo adquisicion: Entidad"</f>
        <v>Descripcion: CAMA HOSPITALARIA DE 4 PUESTOS Estado: Bueno Placa anterior: 000037731 Material: METAL  Color: GRIS Referencia:  Observacion: CAMA EN BUEN ESTADO Y FUNCIONAMIENTO  Placa padre: Tipo adquisicion: Entidad</v>
      </c>
      <c r="G16671" s="5"/>
    </row>
    <row r="16672" spans="1:7" ht="58.5" customHeight="1" x14ac:dyDescent="0.25">
      <c r="A16672" s="5" t="str">
        <f>"H0007013"</f>
        <v>H0007013</v>
      </c>
      <c r="B16672" s="5" t="str">
        <f>"MESA DE MADERA"</f>
        <v>MESA DE MADERA</v>
      </c>
      <c r="C16672" s="6">
        <v>380000</v>
      </c>
      <c r="D16672" s="5"/>
      <c r="E16672" s="5" t="str">
        <f t="shared" si="853"/>
        <v>ELEMENTOS EN BODEGA USADOS</v>
      </c>
      <c r="F16672" s="5" t="str">
        <f>"Descripcion: 2 GAVETASSUPERFICIE VIDRIO Estado: Bueno Placa anterior: 000027202 Material: MADERA Color:  Referencia:  Observacion:  Placa padre: Tipo adquisicion: Entidad"</f>
        <v>Descripcion: 2 GAVETASSUPERFICIE VIDRIO Estado: Bueno Placa anterior: 000027202 Material: MADERA Color:  Referencia:  Observacion:  Placa padre: Tipo adquisicion: Entidad</v>
      </c>
      <c r="G16672" s="5"/>
    </row>
    <row r="16673" spans="1:7" ht="58.5" customHeight="1" x14ac:dyDescent="0.25">
      <c r="A16673" s="5" t="str">
        <f>"H0007044"</f>
        <v>H0007044</v>
      </c>
      <c r="B16673" s="5" t="str">
        <f>"SILLA INTERLOCUTORA (FIJA) SIN BRAZOS"</f>
        <v>SILLA INTERLOCUTORA (FIJA) SIN BRAZOS</v>
      </c>
      <c r="C16673" s="6">
        <v>220400</v>
      </c>
      <c r="D16673" s="5" t="s">
        <v>5</v>
      </c>
      <c r="E16673" s="5" t="str">
        <f t="shared" si="853"/>
        <v>ELEMENTOS EN BODEGA USADOS</v>
      </c>
      <c r="F16673" s="5" t="str">
        <f>"Descripcion: SILLAS INTERLOCUTORAS TAPIZADO DE ALTA DENSIDAD EN ASIENTO Y ESPALDAR Estado: Bueno Placa anterior: 000029515 Material: METALICO Color: AZUL Referencia:  Observacion:  Placa padre: Tipo adquisicion: Entidad"</f>
        <v>Descripcion: SILLAS INTERLOCUTORAS TAPIZADO DE ALTA DENSIDAD EN ASIENTO Y ESPALDAR Estado: Bueno Placa anterior: 000029515 Material: METALICO Color: AZUL Referencia:  Observacion:  Placa padre: Tipo adquisicion: Entidad</v>
      </c>
      <c r="G16673" s="5"/>
    </row>
    <row r="16674" spans="1:7" ht="58.5" customHeight="1" x14ac:dyDescent="0.25">
      <c r="A16674" s="5" t="str">
        <f>"H0007046"</f>
        <v>H0007046</v>
      </c>
      <c r="B16674" s="5" t="str">
        <f>"SILLA INTERLOCUTORA (FIJA) SIN BRAZOS"</f>
        <v>SILLA INTERLOCUTORA (FIJA) SIN BRAZOS</v>
      </c>
      <c r="C16674" s="6">
        <v>220400</v>
      </c>
      <c r="D16674" s="5" t="s">
        <v>5</v>
      </c>
      <c r="E16674" s="5" t="str">
        <f t="shared" si="853"/>
        <v>ELEMENTOS EN BODEGA USADOS</v>
      </c>
      <c r="F16674" s="5" t="str">
        <f>"Descripcion: SILLAS INTERLOCUTORAS TAPIZADO DE ALTA DENSIDAD EN ASIENTO Y ESPALDAR PAÑO AZUL Estado: Bueno Placa anterior: 000029514 Material: METALICO Color: AZUL Referencia:  Observacion:  Placa padre: Tipo adquisicion: Entidad"</f>
        <v>Descripcion: SILLAS INTERLOCUTORAS TAPIZADO DE ALTA DENSIDAD EN ASIENTO Y ESPALDAR PAÑO AZUL Estado: Bueno Placa anterior: 000029514 Material: METALICO Color: AZUL Referencia:  Observacion:  Placa padre: Tipo adquisicion: Entidad</v>
      </c>
      <c r="G16674" s="5"/>
    </row>
    <row r="16675" spans="1:7" ht="58.5" customHeight="1" x14ac:dyDescent="0.25">
      <c r="A16675" s="5" t="str">
        <f>"H0007051"</f>
        <v>H0007051</v>
      </c>
      <c r="B16675" s="5" t="str">
        <f>"MESA DE MADERA PARA JUNTAS DE 8 PUESTOS"</f>
        <v>MESA DE MADERA PARA JUNTAS DE 8 PUESTOS</v>
      </c>
      <c r="C16675" s="6">
        <v>1020800</v>
      </c>
      <c r="D16675" s="5" t="s">
        <v>5</v>
      </c>
      <c r="E16675" s="5" t="str">
        <f t="shared" ref="E16675:E16738" si="855">"ELEMENTOS EN BODEGA USADOS"</f>
        <v>ELEMENTOS EN BODEGA USADOS</v>
      </c>
      <c r="F16675" s="5" t="str">
        <f>"Descripcion: MESA DE JUNTAS X2.40 FABRICADA EN TABLEX DE 30 MM ENCHAPADA EN FORMICA, PARTE INFERIOR ENTAMBORADA, Estado: Excelente Placa anterior: 000029499 Material: MADEFLEX Color: MARRON Referencia:  Observacion:  Placa padre: Tipo adquisicion: Entidad"&amp; ""</f>
        <v>Descripcion: MESA DE JUNTAS X2.40 FABRICADA EN TABLEX DE 30 MM ENCHAPADA EN FORMICA, PARTE INFERIOR ENTAMBORADA, Estado: Excelente Placa anterior: 000029499 Material: MADEFLEX Color: MARRON Referencia:  Observacion:  Placa padre: Tipo adquisicion: Entidad</v>
      </c>
      <c r="G16675" s="5"/>
    </row>
    <row r="16676" spans="1:7" ht="58.5" customHeight="1" x14ac:dyDescent="0.25">
      <c r="A16676" s="5" t="str">
        <f>"H0007059"</f>
        <v>H0007059</v>
      </c>
      <c r="B16676" s="5" t="str">
        <f>"ESTANTE METALICO 6 ENTREPAÑOS"</f>
        <v>ESTANTE METALICO 6 ENTREPAÑOS</v>
      </c>
      <c r="C16676" s="6">
        <v>8840.07</v>
      </c>
      <c r="D16676" s="5"/>
      <c r="E16676" s="5" t="str">
        <f t="shared" si="855"/>
        <v>ELEMENTOS EN BODEGA USADOS</v>
      </c>
      <c r="F16676" s="5" t="str">
        <f>"Descripcion: 200X90 Estado: Bueno Placa anterior: 000002309 Material: METALICO Color: GRIS Referencia:  Observacion:  Placa padre: Tipo adquisicion: Entidad"</f>
        <v>Descripcion: 200X90 Estado: Bueno Placa anterior: 000002309 Material: METALICO Color: GRIS Referencia:  Observacion:  Placa padre: Tipo adquisicion: Entidad</v>
      </c>
      <c r="G16676" s="5"/>
    </row>
    <row r="16677" spans="1:7" ht="58.5" customHeight="1" x14ac:dyDescent="0.25">
      <c r="A16677" s="5" t="str">
        <f>"H0007061"</f>
        <v>H0007061</v>
      </c>
      <c r="B16677" s="5" t="str">
        <f>"DIVISION (PANEL) MODULAR"</f>
        <v>DIVISION (PANEL) MODULAR</v>
      </c>
      <c r="C16677" s="6">
        <v>980000</v>
      </c>
      <c r="D16677" s="5" t="s">
        <v>3</v>
      </c>
      <c r="E16677" s="5" t="str">
        <f t="shared" si="855"/>
        <v>ELEMENTOS EN BODEGA USADOS</v>
      </c>
      <c r="F16677" s="5" t="str">
        <f>"Descripcion: 216X370DIVISION DE 4 PUERTAS CORREDIZAS MARCO EN ALUMINIO Y SUPERFICIE EN MADEFLEX Estado: Excelente Placa anterior:  Material: METALICO Color: BEIGE Referencia:  Observacion:  Placa padre: Tipo adquisicion: Entidad"</f>
        <v>Descripcion: 216X370DIVISION DE 4 PUERTAS CORREDIZAS MARCO EN ALUMINIO Y SUPERFICIE EN MADEFLEX Estado: Excelente Placa anterior:  Material: METALICO Color: BEIGE Referencia:  Observacion:  Placa padre: Tipo adquisicion: Entidad</v>
      </c>
      <c r="G16677" s="5"/>
    </row>
    <row r="16678" spans="1:7" ht="58.5" customHeight="1" x14ac:dyDescent="0.25">
      <c r="A16678" s="5" t="str">
        <f>"H0007062"</f>
        <v>H0007062</v>
      </c>
      <c r="B16678" s="5" t="str">
        <f>"DIVISION (PANEL) MODULAR"</f>
        <v>DIVISION (PANEL) MODULAR</v>
      </c>
      <c r="C16678" s="6">
        <v>980000</v>
      </c>
      <c r="D16678" s="5" t="s">
        <v>3</v>
      </c>
      <c r="E16678" s="5" t="str">
        <f t="shared" si="855"/>
        <v>ELEMENTOS EN BODEGA USADOS</v>
      </c>
      <c r="F16678" s="5" t="str">
        <f>"Descripcion: 236X420DIVISION MARCO METALICOPUERTAS CORREDIZAS EN VIDRIO Estado: Excelente Placa anterior:  Material: METALICO Color:  Referencia:  Observacion:  Placa padre: Tipo adquisicion: Entidad"</f>
        <v>Descripcion: 236X420DIVISION MARCO METALICOPUERTAS CORREDIZAS EN VIDRIO Estado: Excelente Placa anterior:  Material: METALICO Color:  Referencia:  Observacion:  Placa padre: Tipo adquisicion: Entidad</v>
      </c>
      <c r="G16678" s="5"/>
    </row>
    <row r="16679" spans="1:7" ht="58.5" customHeight="1" x14ac:dyDescent="0.25">
      <c r="A16679" s="5" t="str">
        <f>"H0007067"</f>
        <v>H0007067</v>
      </c>
      <c r="B16679" s="5" t="str">
        <f>"DIVISION (PANEL) MODULAR"</f>
        <v>DIVISION (PANEL) MODULAR</v>
      </c>
      <c r="C16679" s="6">
        <v>980000</v>
      </c>
      <c r="D16679" s="5" t="s">
        <v>3</v>
      </c>
      <c r="E16679" s="5" t="str">
        <f t="shared" si="855"/>
        <v>ELEMENTOS EN BODEGA USADOS</v>
      </c>
      <c r="F16679" s="5" t="str">
        <f>"Descripcion: 235X110 MARCO METALICO CON FIBRA DE VIDRIO INCRUSTADA PUERTA DE MADERA VIDRIO DE 200X90 Estado: Bueno Placa anterior:  Material: METALICO Color: GRIS Referencia:  Observacion:  Placa padre: Tipo adquisicion: Entidad"</f>
        <v>Descripcion: 235X110 MARCO METALICO CON FIBRA DE VIDRIO INCRUSTADA PUERTA DE MADERA VIDRIO DE 200X90 Estado: Bueno Placa anterior:  Material: METALICO Color: GRIS Referencia:  Observacion:  Placa padre: Tipo adquisicion: Entidad</v>
      </c>
      <c r="G16679" s="5"/>
    </row>
    <row r="16680" spans="1:7" ht="58.5" customHeight="1" x14ac:dyDescent="0.25">
      <c r="A16680" s="5" t="str">
        <f>"H0007071"</f>
        <v>H0007071</v>
      </c>
      <c r="B16680" s="5" t="str">
        <f>"MESA METALICA PARA COMPUTADOR"</f>
        <v>MESA METALICA PARA COMPUTADOR</v>
      </c>
      <c r="C16680" s="6">
        <v>417600</v>
      </c>
      <c r="D16680" s="5" t="s">
        <v>34</v>
      </c>
      <c r="E16680" s="5" t="str">
        <f t="shared" si="855"/>
        <v>ELEMENTOS EN BODEGA USADOS</v>
      </c>
      <c r="F16680" s="5" t="str">
        <f>"Descripcion: SUPERFICIE EN FORMICA Estado: Excelente Placa anterior: 000030385 Material: METALICO Color: BEIGE Referencia:  Observacion:  Placa padre: Tipo adquisicion: Entidad"</f>
        <v>Descripcion: SUPERFICIE EN FORMICA Estado: Excelente Placa anterior: 000030385 Material: METALICO Color: BEIGE Referencia:  Observacion:  Placa padre: Tipo adquisicion: Entidad</v>
      </c>
      <c r="G16680" s="5"/>
    </row>
    <row r="16681" spans="1:7" ht="58.5" customHeight="1" x14ac:dyDescent="0.25">
      <c r="A16681" s="5" t="str">
        <f>"H0007080"</f>
        <v>H0007080</v>
      </c>
      <c r="B16681" s="5" t="str">
        <f>"SILLA INTERLOCUTORA (FIJA) SIN BRAZOS"</f>
        <v>SILLA INTERLOCUTORA (FIJA) SIN BRAZOS</v>
      </c>
      <c r="C16681" s="6">
        <v>220400</v>
      </c>
      <c r="D16681" s="5" t="s">
        <v>5</v>
      </c>
      <c r="E16681" s="5" t="str">
        <f t="shared" si="855"/>
        <v>ELEMENTOS EN BODEGA USADOS</v>
      </c>
      <c r="F16681" s="5" t="str">
        <f>"Descripcion: SILLAS INTERLOCUTORAS TAPIZADO DE ALTA DENSIDAD EN ASIENTO Y ESPALDAR PAÑO AZUL Estado: Excelente Placa anterior: 000029524 Material: METALICO  Color: AZUL Referencia:  Observacion:  Placa padre: Tipo adquisicion: Entidad"</f>
        <v>Descripcion: SILLAS INTERLOCUTORAS TAPIZADO DE ALTA DENSIDAD EN ASIENTO Y ESPALDAR PAÑO AZUL Estado: Excelente Placa anterior: 000029524 Material: METALICO  Color: AZUL Referencia:  Observacion:  Placa padre: Tipo adquisicion: Entidad</v>
      </c>
      <c r="G16681" s="5"/>
    </row>
    <row r="16682" spans="1:7" ht="58.5" customHeight="1" x14ac:dyDescent="0.25">
      <c r="A16682" s="5" t="str">
        <f>"H0007081"</f>
        <v>H0007081</v>
      </c>
      <c r="B16682" s="5" t="str">
        <f>"SILLA INTERLOCUTORA (FIJA) SIN BRAZOS"</f>
        <v>SILLA INTERLOCUTORA (FIJA) SIN BRAZOS</v>
      </c>
      <c r="C16682" s="6">
        <v>81200</v>
      </c>
      <c r="D16682" s="5" t="s">
        <v>34</v>
      </c>
      <c r="E16682" s="5" t="str">
        <f t="shared" si="855"/>
        <v>ELEMENTOS EN BODEGA USADOS</v>
      </c>
      <c r="F16682" s="5" t="str">
        <f>"Descripcion: SILLAS INTERLOCUTORAS TAPIZADO DE ALTA DENSIDAD EN ASIENTO Y ESPALDAR PAÑO AZUL Estado: Excelente Placa anterior: 000030395 Material: METALICO  Color: AZUL Referencia:  Observacion:  Placa padre: Tipo adquisicion: Entidad"</f>
        <v>Descripcion: SILLAS INTERLOCUTORAS TAPIZADO DE ALTA DENSIDAD EN ASIENTO Y ESPALDAR PAÑO AZUL Estado: Excelente Placa anterior: 000030395 Material: METALICO  Color: AZUL Referencia:  Observacion:  Placa padre: Tipo adquisicion: Entidad</v>
      </c>
      <c r="G16682" s="5"/>
    </row>
    <row r="16683" spans="1:7" ht="58.5" customHeight="1" x14ac:dyDescent="0.25">
      <c r="A16683" s="5" t="str">
        <f>"H0007083"</f>
        <v>H0007083</v>
      </c>
      <c r="B16683" s="5" t="str">
        <f>"DIVISION (PANEL) MODULAR"</f>
        <v>DIVISION (PANEL) MODULAR</v>
      </c>
      <c r="C16683" s="6">
        <v>980000</v>
      </c>
      <c r="D16683" s="5" t="s">
        <v>3</v>
      </c>
      <c r="E16683" s="5" t="str">
        <f t="shared" si="855"/>
        <v>ELEMENTOS EN BODEGA USADOS</v>
      </c>
      <c r="F16683" s="5" t="str">
        <f>"Descripcion: 236X310PUERTA MADERAFIBRA DE VIDRIO Estado: Excelente Placa anterior:  Material: METALICO Color:  Referencia:  Observacion:  Placa padre: Tipo adquisicion: Entidad"</f>
        <v>Descripcion: 236X310PUERTA MADERAFIBRA DE VIDRIO Estado: Excelente Placa anterior:  Material: METALICO Color:  Referencia:  Observacion:  Placa padre: Tipo adquisicion: Entidad</v>
      </c>
      <c r="G16683" s="5"/>
    </row>
    <row r="16684" spans="1:7" ht="58.5" customHeight="1" x14ac:dyDescent="0.25">
      <c r="A16684" s="5" t="str">
        <f>"H0007106"</f>
        <v>H0007106</v>
      </c>
      <c r="B16684" s="5" t="str">
        <f>"PARLANTE (BAFLE)"</f>
        <v>PARLANTE (BAFLE)</v>
      </c>
      <c r="C16684" s="6">
        <v>7000</v>
      </c>
      <c r="D16684" s="5"/>
      <c r="E16684" s="5" t="str">
        <f t="shared" si="855"/>
        <v>ELEMENTOS EN BODEGA USADOS</v>
      </c>
      <c r="F16684" s="5" t="str">
        <f>"Descripcion: ESTRUCTURA DE MADERA Estado: Bueno Placa anterior: 000006236 Material: MADERA Color: MARRON Referencia:  Observacion:  Placa padre: Tipo adquisicion: Entidad"</f>
        <v>Descripcion: ESTRUCTURA DE MADERA Estado: Bueno Placa anterior: 000006236 Material: MADERA Color: MARRON Referencia:  Observacion:  Placa padre: Tipo adquisicion: Entidad</v>
      </c>
      <c r="G16684" s="5"/>
    </row>
    <row r="16685" spans="1:7" ht="58.5" customHeight="1" x14ac:dyDescent="0.25">
      <c r="A16685" s="5" t="str">
        <f>"H0007112"</f>
        <v>H0007112</v>
      </c>
      <c r="B16685" s="5" t="str">
        <f>"DIVISION (PANEL) MODULAR"</f>
        <v>DIVISION (PANEL) MODULAR</v>
      </c>
      <c r="C16685" s="6">
        <v>980000</v>
      </c>
      <c r="D16685" s="5" t="s">
        <v>3</v>
      </c>
      <c r="E16685" s="5" t="str">
        <f t="shared" si="855"/>
        <v>ELEMENTOS EN BODEGA USADOS</v>
      </c>
      <c r="F16685" s="5" t="str">
        <f>"Descripcion: 190X300MARCO METALICOPAÑO COLOR VERDE Y GRIS CON VIDRIOPUERTA CORREDIZA CON VIDRIO Estado: Bueno Placa anterior:  Material: METALICO Color: VERDE GRIS Referencia:  Observacion:  Placa padre: Tipo adquisicion: Entidad"</f>
        <v>Descripcion: 190X300MARCO METALICOPAÑO COLOR VERDE Y GRIS CON VIDRIOPUERTA CORREDIZA CON VIDRIO Estado: Bueno Placa anterior:  Material: METALICO Color: VERDE GRIS Referencia:  Observacion:  Placa padre: Tipo adquisicion: Entidad</v>
      </c>
      <c r="G16685" s="5"/>
    </row>
    <row r="16686" spans="1:7" ht="58.5" customHeight="1" x14ac:dyDescent="0.25">
      <c r="A16686" s="5" t="str">
        <f>"H0007120"</f>
        <v>H0007120</v>
      </c>
      <c r="B16686" s="5" t="str">
        <f>"SILLA INTERLOCUTORA (FIJA) SIN BRAZOS"</f>
        <v>SILLA INTERLOCUTORA (FIJA) SIN BRAZOS</v>
      </c>
      <c r="C16686" s="6">
        <v>220400</v>
      </c>
      <c r="D16686" s="5" t="s">
        <v>5</v>
      </c>
      <c r="E16686" s="5" t="str">
        <f t="shared" si="855"/>
        <v>ELEMENTOS EN BODEGA USADOS</v>
      </c>
      <c r="F16686" s="5" t="str">
        <f>"Descripcion: SILLAS INTERLOCUTORAS TAPIZADO DE ALTA DENSIDAD EN ASIENTO Y ESPALDAR PAÑO AZUL Estado: Bueno Placa anterior: 000029517 Material: METALICO Color: AZUL Referencia:  Observacion:  Placa padre: Tipo adquisicion: Entidad"</f>
        <v>Descripcion: SILLAS INTERLOCUTORAS TAPIZADO DE ALTA DENSIDAD EN ASIENTO Y ESPALDAR PAÑO AZUL Estado: Bueno Placa anterior: 000029517 Material: METALICO Color: AZUL Referencia:  Observacion:  Placa padre: Tipo adquisicion: Entidad</v>
      </c>
      <c r="G16686" s="5"/>
    </row>
    <row r="16687" spans="1:7" ht="58.5" customHeight="1" x14ac:dyDescent="0.25">
      <c r="A16687" s="5" t="str">
        <f>"H0007151"</f>
        <v>H0007151</v>
      </c>
      <c r="B16687" s="5" t="str">
        <f>"CAMA DESCANSO (SOFACAMA)"</f>
        <v>CAMA DESCANSO (SOFACAMA)</v>
      </c>
      <c r="C16687" s="6">
        <v>73150</v>
      </c>
      <c r="D16687" s="5"/>
      <c r="E16687" s="5" t="str">
        <f t="shared" si="855"/>
        <v>ELEMENTOS EN BODEGA USADOS</v>
      </c>
      <c r="F16687" s="5" t="str">
        <f>"Descripcion: SOFA CAMATAPIZADO EN CUERO MARRONBADE EN MADERA2 GAVETAS Estado: Bueno Placa anterior: 000015803 Material: MADERA Color: MARRON Referencia:  Observacion:  Placa padre: Tipo adquisicion: Entidad"</f>
        <v>Descripcion: SOFA CAMATAPIZADO EN CUERO MARRONBADE EN MADERA2 GAVETAS Estado: Bueno Placa anterior: 000015803 Material: MADERA Color: MARRON Referencia:  Observacion:  Placa padre: Tipo adquisicion: Entidad</v>
      </c>
      <c r="G16687" s="5"/>
    </row>
    <row r="16688" spans="1:7" ht="58.5" customHeight="1" x14ac:dyDescent="0.25">
      <c r="A16688" s="5" t="str">
        <f>"H0007201"</f>
        <v>H0007201</v>
      </c>
      <c r="B16688" s="5" t="str">
        <f>"MESA METALICA AUXILIAR"</f>
        <v>MESA METALICA AUXILIAR</v>
      </c>
      <c r="C16688" s="6">
        <v>7800</v>
      </c>
      <c r="D16688" s="5"/>
      <c r="E16688" s="5" t="str">
        <f t="shared" si="855"/>
        <v>ELEMENTOS EN BODEGA USADOS</v>
      </c>
      <c r="F16688" s="5" t="str">
        <f>"Descripcion: MESA MECANOGRAFA SIN ALA1 GAVETA Estado: Bueno Placa anterior: 000000640 Material: METALICO Color: GRIS Referencia:  Observacion:  Placa padre: Tipo adquisicion: Entidad"</f>
        <v>Descripcion: MESA MECANOGRAFA SIN ALA1 GAVETA Estado: Bueno Placa anterior: 000000640 Material: METALICO Color: GRIS Referencia:  Observacion:  Placa padre: Tipo adquisicion: Entidad</v>
      </c>
      <c r="G16688" s="5"/>
    </row>
    <row r="16689" spans="1:7" ht="58.5" customHeight="1" x14ac:dyDescent="0.25">
      <c r="A16689" s="5" t="str">
        <f>"H0008342"</f>
        <v>H0008342</v>
      </c>
      <c r="B16689" s="5" t="str">
        <f>"BASE (ATRIL) DE MESA PARA MICROFONO"</f>
        <v>BASE (ATRIL) DE MESA PARA MICROFONO</v>
      </c>
      <c r="C16689" s="6">
        <v>40600</v>
      </c>
      <c r="D16689" s="5" t="s">
        <v>382</v>
      </c>
      <c r="E16689" s="5" t="str">
        <f t="shared" si="855"/>
        <v>ELEMENTOS EN BODEGA USADOS</v>
      </c>
      <c r="F16689" s="5" t="str">
        <f>"Descripcion: Atril microfono de mesa Estado: Bueno Placa anterior: 000039094 Material: METALICO Color: NEGRO Referencia:  Observacion:  Placa padre: Tipo adquisicion: Entidad"</f>
        <v>Descripcion: Atril microfono de mesa Estado: Bueno Placa anterior: 000039094 Material: METALICO Color: NEGRO Referencia:  Observacion:  Placa padre: Tipo adquisicion: Entidad</v>
      </c>
      <c r="G16689" s="5"/>
    </row>
    <row r="16690" spans="1:7" ht="58.5" customHeight="1" x14ac:dyDescent="0.25">
      <c r="A16690" s="5" t="str">
        <f>"H0008351"</f>
        <v>H0008351</v>
      </c>
      <c r="B16690" s="5" t="str">
        <f>"BASE (ATRIL) DE MESA PARA MICROFONO"</f>
        <v>BASE (ATRIL) DE MESA PARA MICROFONO</v>
      </c>
      <c r="C16690" s="6">
        <v>40600</v>
      </c>
      <c r="D16690" s="5" t="s">
        <v>382</v>
      </c>
      <c r="E16690" s="5" t="str">
        <f t="shared" si="855"/>
        <v>ELEMENTOS EN BODEGA USADOS</v>
      </c>
      <c r="F16690" s="5" t="str">
        <f>"Descripcion: Atril microfono de mesa Estado: Bueno Placa anterior: 000039093 Material: METALICO Color: NEGRO Referencia:  Observacion:  Placa padre: Tipo adquisicion: Entidad"</f>
        <v>Descripcion: Atril microfono de mesa Estado: Bueno Placa anterior: 000039093 Material: METALICO Color: NEGRO Referencia:  Observacion:  Placa padre: Tipo adquisicion: Entidad</v>
      </c>
      <c r="G16690" s="5"/>
    </row>
    <row r="16691" spans="1:7" ht="58.5" customHeight="1" x14ac:dyDescent="0.25">
      <c r="A16691" s="5" t="str">
        <f>"H0008936"</f>
        <v>H0008936</v>
      </c>
      <c r="B16691" s="5" t="str">
        <f>"EQUIPO ORGANOS DE LOS SENTIDOS PORTATIL"</f>
        <v>EQUIPO ORGANOS DE LOS SENTIDOS PORTATIL</v>
      </c>
      <c r="C16691" s="6">
        <v>48241.67</v>
      </c>
      <c r="D16691" s="5"/>
      <c r="E16691" s="5" t="str">
        <f t="shared" si="855"/>
        <v>ELEMENTOS EN BODEGA USADOS</v>
      </c>
      <c r="F16691" s="5" t="str">
        <f>"Descripcion: EQUIPO DE ORGANOS DE LOS SENTIDOS Estado: Excelente Placa anterior: 000007697 Material:  Color: ESTUCHE VERDE Referencia:  Observacion:  Placa padre: Tipo adquisicion: Entidad"</f>
        <v>Descripcion: EQUIPO DE ORGANOS DE LOS SENTIDOS Estado: Excelente Placa anterior: 000007697 Material:  Color: ESTUCHE VERDE Referencia:  Observacion:  Placa padre: Tipo adquisicion: Entidad</v>
      </c>
      <c r="G16691" s="5"/>
    </row>
    <row r="16692" spans="1:7" ht="58.5" customHeight="1" x14ac:dyDescent="0.25">
      <c r="A16692" s="5" t="str">
        <f>"H0009099"</f>
        <v>H0009099</v>
      </c>
      <c r="B16692" s="5" t="str">
        <f>"MESA (CARRO) DE CURACIONES"</f>
        <v>MESA (CARRO) DE CURACIONES</v>
      </c>
      <c r="C16692" s="6">
        <v>11880</v>
      </c>
      <c r="D16692" s="5"/>
      <c r="E16692" s="5" t="str">
        <f t="shared" si="855"/>
        <v>ELEMENTOS EN BODEGA USADOS</v>
      </c>
      <c r="F16692" s="5" t="str">
        <f>"Descripcion: CARRITO DE CURACIONES2 NIVELES Estado: Bueno Placa anterior: 000019892 Material: ACERO INOXIDABLE Color: PLATEADO Referencia:  Observacion:  Placa padre: Tipo adquisicion: Entidad"</f>
        <v>Descripcion: CARRITO DE CURACIONES2 NIVELES Estado: Bueno Placa anterior: 000019892 Material: ACERO INOXIDABLE Color: PLATEADO Referencia:  Observacion:  Placa padre: Tipo adquisicion: Entidad</v>
      </c>
      <c r="G16692" s="5"/>
    </row>
    <row r="16693" spans="1:7" ht="58.5" customHeight="1" x14ac:dyDescent="0.25">
      <c r="A16693" s="5" t="str">
        <f>"H0009101"</f>
        <v>H0009101</v>
      </c>
      <c r="B16693" s="5" t="str">
        <f>"MONITOR DE SIGNOS VITALES"</f>
        <v>MONITOR DE SIGNOS VITALES</v>
      </c>
      <c r="C16693" s="6">
        <v>4002000</v>
      </c>
      <c r="D16693" s="5" t="s">
        <v>166</v>
      </c>
      <c r="E16693" s="5" t="str">
        <f t="shared" si="855"/>
        <v>ELEMENTOS EN BODEGA USADOS</v>
      </c>
      <c r="F16693"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000031401 Material: PASTA Color: BLANCO Y GRIS Referencia: IMEC10 Observacion: CON BRAZALETE DE PRESION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000031401 Material: PASTA Color: BLANCO Y GRIS Referencia: IMEC10 Observacion: CON BRAZALETE DE PRESION Placa padre: Tipo adquisicion: Entidad</v>
      </c>
      <c r="G16693" s="5"/>
    </row>
    <row r="16694" spans="1:7" ht="58.5" customHeight="1" x14ac:dyDescent="0.25">
      <c r="A16694" s="5" t="str">
        <f>"H0009177"</f>
        <v>H0009177</v>
      </c>
      <c r="B16694" s="5" t="str">
        <f>"AIRE ACONDICIONADO 18000 BTU"</f>
        <v>AIRE ACONDICIONADO 18000 BTU</v>
      </c>
      <c r="C16694" s="6">
        <v>1487999</v>
      </c>
      <c r="D16694" s="5"/>
      <c r="E16694" s="5" t="str">
        <f t="shared" si="855"/>
        <v>ELEMENTOS EN BODEGA USADOS</v>
      </c>
      <c r="F16694" s="5" t="str">
        <f>"Descripcion: AIRE ACONDICIONADO DE 18.000 BTU TIPO MINI SPLIT SAMSUNG Estado: Bueno Placa anterior: 000026127 Material: PASTA Color: BEIGE Referencia:  Observacion:  Placa padre: Tipo adquisicion: Entidad"</f>
        <v>Descripcion: AIRE ACONDICIONADO DE 18.000 BTU TIPO MINI SPLIT SAMSUNG Estado: Bueno Placa anterior: 000026127 Material: PASTA Color: BEIGE Referencia:  Observacion:  Placa padre: Tipo adquisicion: Entidad</v>
      </c>
      <c r="G16694" s="5"/>
    </row>
    <row r="16695" spans="1:7" ht="58.5" customHeight="1" x14ac:dyDescent="0.25">
      <c r="A16695" s="5" t="str">
        <f>"H0009316"</f>
        <v>H0009316</v>
      </c>
      <c r="B16695" s="5" t="str">
        <f>"MESA EN ACERO INOXIDABLE"</f>
        <v>MESA EN ACERO INOXIDABLE</v>
      </c>
      <c r="C16695" s="6">
        <v>336400</v>
      </c>
      <c r="D16695" s="5" t="s">
        <v>161</v>
      </c>
      <c r="E16695" s="5" t="str">
        <f t="shared" si="855"/>
        <v>ELEMENTOS EN BODEGA USADOS</v>
      </c>
      <c r="F16695" s="5" t="str">
        <f>"Descripcion: CARROS AUXILIARES(MESA AUXILIAR RODANTE)CON RODACHINES. Estructura fabricada en tuberia de acero, plato superior e inferior para transporte de materiales e implementos, plato superior en acero inoxidable, barandillas de seguridad en acero ino"&amp; "xidable.Dime Estado: Bueno Placa anterior: 000031553 Material: ACERO CON MATEL Color: BEIGE Referencia:  Observacion: BUEN ESTADO Placa padre: Tipo adquisicion: Entidad"</f>
        <v>Descripcion: CARROS AUXILIARES(MESA AUXILIAR RODANTE)CON RODACHINES. Estructura fabricada en tuberia de acero, plato superior e inferior para transporte de materiales e implementos, plato superior en acero inoxidable, barandillas de seguridad en acero inoxidable.Dime Estado: Bueno Placa anterior: 000031553 Material: ACERO CON MATEL Color: BEIGE Referencia:  Observacion: BUEN ESTADO Placa padre: Tipo adquisicion: Entidad</v>
      </c>
      <c r="G16695" s="5" t="str">
        <f>"181-22"</f>
        <v>181-22</v>
      </c>
    </row>
    <row r="16696" spans="1:7" ht="58.5" customHeight="1" x14ac:dyDescent="0.25">
      <c r="A16696" s="5" t="str">
        <f>"H0009593"</f>
        <v>H0009593</v>
      </c>
      <c r="B16696" s="5" t="str">
        <f>"AIRE ACONDICIONADO TIPO SPLIT 60000 BTU (5 TON)"</f>
        <v>AIRE ACONDICIONADO TIPO SPLIT 60000 BTU (5 TON)</v>
      </c>
      <c r="C16696" s="6">
        <v>6345000</v>
      </c>
      <c r="D16696" s="5" t="s">
        <v>574</v>
      </c>
      <c r="E16696" s="5" t="str">
        <f t="shared" si="855"/>
        <v>ELEMENTOS EN BODEGA USADOS</v>
      </c>
      <c r="F16696" s="5" t="str">
        <f>"Descripcion: AIRE ACONDICIONADO DE 60.000 BTU (INCLUYEN MATERIALES DE INSTALACION) Estado: Bueno Placa anterior: 000036844 Material: PASTA Color: BLANCO Referencia:  Observacion: EL SERIAL CORRECTO ES  D202291340114C02160093  Placa padre: Tipo adquisicion"&amp; ": Entidad"</f>
        <v>Descripcion: AIRE ACONDICIONADO DE 60.000 BTU (INCLUYEN MATERIALES DE INSTALACION) Estado: Bueno Placa anterior: 000036844 Material: PASTA Color: BLANCO Referencia:  Observacion: EL SERIAL CORRECTO ES  D202291340114C02160093  Placa padre: Tipo adquisicion: Entidad</v>
      </c>
      <c r="G16696" s="5" t="str">
        <f>"CV410-060-3"</f>
        <v>CV410-060-3</v>
      </c>
    </row>
    <row r="16697" spans="1:7" ht="58.5" customHeight="1" x14ac:dyDescent="0.25">
      <c r="A16697" s="5" t="str">
        <f>"H0010121"</f>
        <v>H0010121</v>
      </c>
      <c r="B16697" s="5" t="str">
        <f>"AIRE ACONDICIONADO TIPO SPLIT 24000 BTU"</f>
        <v>AIRE ACONDICIONADO TIPO SPLIT 24000 BTU</v>
      </c>
      <c r="C16697" s="6">
        <v>1949999</v>
      </c>
      <c r="D16697" s="5" t="s">
        <v>805</v>
      </c>
      <c r="E16697" s="5" t="str">
        <f t="shared" si="855"/>
        <v>ELEMENTOS EN BODEGA USADOS</v>
      </c>
      <c r="F16697" s="5" t="str">
        <f>"Descripcion: AIRE ACONDICIONADO DE 24000 BTU Estado: Bueno Placa anterior: 000030712 Material: PLASTICO Color: BLANCO Referencia:  Observacion:  Placa padre: Tipo adquisicion: Entidad"</f>
        <v>Descripcion: AIRE ACONDICIONADO DE 24000 BTU Estado: Bueno Placa anterior: 000030712 Material: PLASTICO Color: BLANCO Referencia:  Observacion:  Placa padre: Tipo adquisicion: Entidad</v>
      </c>
      <c r="G16697" s="5" t="str">
        <f>"VM242CE  NC2"</f>
        <v>VM242CE  NC2</v>
      </c>
    </row>
    <row r="16698" spans="1:7" ht="58.5" customHeight="1" x14ac:dyDescent="0.25">
      <c r="A16698" s="5" t="str">
        <f>"H0010148"</f>
        <v>H0010148</v>
      </c>
      <c r="B16698" s="5" t="str">
        <f>"MONITOR DE SIGNOS VITALES"</f>
        <v>MONITOR DE SIGNOS VITALES</v>
      </c>
      <c r="C16698" s="6">
        <v>4002000</v>
      </c>
      <c r="D16698" s="5" t="s">
        <v>166</v>
      </c>
      <c r="E16698" s="5" t="str">
        <f t="shared" si="855"/>
        <v>ELEMENTOS EN BODEGA USADOS</v>
      </c>
      <c r="F16698"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000031405 Material: PLASTICO Color: GRIS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000031405 Material: PLASTICO Color: GRIS Referencia:  Observacion:  Placa padre: Tipo adquisicion: Entidad</v>
      </c>
      <c r="G16698" s="5" t="str">
        <f>"IMEC 10"</f>
        <v>IMEC 10</v>
      </c>
    </row>
    <row r="16699" spans="1:7" ht="58.5" customHeight="1" x14ac:dyDescent="0.25">
      <c r="A16699" s="5" t="str">
        <f>"H0010157"</f>
        <v>H0010157</v>
      </c>
      <c r="B16699" s="5" t="str">
        <f>"MONITOR DE SIGNOS VITALES"</f>
        <v>MONITOR DE SIGNOS VITALES</v>
      </c>
      <c r="C16699" s="6">
        <v>4002000</v>
      </c>
      <c r="D16699" s="5" t="s">
        <v>166</v>
      </c>
      <c r="E16699" s="5" t="str">
        <f t="shared" si="855"/>
        <v>ELEMENTOS EN BODEGA USADOS</v>
      </c>
      <c r="F16699"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000031400 Material: PLASTICO Color: GRIS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000031400 Material: PLASTICO Color: GRIS Referencia:  Observacion:  Placa padre: Tipo adquisicion: Entidad</v>
      </c>
      <c r="G16699" s="5"/>
    </row>
    <row r="16700" spans="1:7" ht="58.5" customHeight="1" x14ac:dyDescent="0.25">
      <c r="A16700" s="5" t="str">
        <f>"H0010386"</f>
        <v>H0010386</v>
      </c>
      <c r="B16700" s="5" t="str">
        <f>"MONITOR DE SIGNOS VITALES"</f>
        <v>MONITOR DE SIGNOS VITALES</v>
      </c>
      <c r="C16700" s="6">
        <v>11000000</v>
      </c>
      <c r="D16700" s="5"/>
      <c r="E16700" s="5" t="str">
        <f t="shared" si="855"/>
        <v>ELEMENTOS EN BODEGA USADOS</v>
      </c>
      <c r="F16700" s="5" t="str">
        <f>"Descripcion: MONITOR DE SIGNOS VITALES MARCA WELCH ALLYN REF. VSM 300, (INCLUYE RITMO CARDIACO Y PRESION ARTERIAL MEDIA) PANTALLA LCD ACCESORIOS INCLUIDOS: 2 BRAZALETES NEONATAL DESECHABLE, TUBO DE EXTENSION PARA BRAZALETES ADAPTADOR, CABLE DE CONEXION EL"&amp; "ECTRICA, MAN Estado: Bueno Placa anterior: 000033308 Material: PLASTICO Color: GRIS Referencia:  Observacion:  Placa padre: Tipo adquisicion: Entidad"</f>
        <v>Descripcion: MONITOR DE SIGNOS VITALES MARCA WELCH ALLYN REF. VSM 300, (INCLUYE RITMO CARDIACO Y PRESION ARTERIAL MEDIA) PANTALLA LCD ACCESORIOS INCLUIDOS: 2 BRAZALETES NEONATAL DESECHABLE, TUBO DE EXTENSION PARA BRAZALETES ADAPTADOR, CABLE DE CONEXION ELECTRICA, MAN Estado: Bueno Placa anterior: 000033308 Material: PLASTICO Color: GRIS Referencia:  Observacion:  Placa padre: Tipo adquisicion: Entidad</v>
      </c>
      <c r="G16700" s="5"/>
    </row>
    <row r="16701" spans="1:7" ht="58.5" customHeight="1" x14ac:dyDescent="0.25">
      <c r="A16701" s="5" t="str">
        <f>"H0010397"</f>
        <v>H0010397</v>
      </c>
      <c r="B16701" s="5" t="str">
        <f>"CARRO PORTA HISTORIAS CLINICAS"</f>
        <v>CARRO PORTA HISTORIAS CLINICAS</v>
      </c>
      <c r="C16701" s="6">
        <v>971500</v>
      </c>
      <c r="D16701" s="5"/>
      <c r="E16701" s="5" t="str">
        <f t="shared" si="855"/>
        <v>ELEMENTOS EN BODEGA USADOS</v>
      </c>
      <c r="F16701" s="5" t="str">
        <f>"Descripcion: CARRO CON 30 COMPARTIMIENTOS Estado: Bueno Placa anterior: 000026463 Material: METALICO Color: BEIS Referencia:  Observacion: FUNCIONARIO AUTORIZA SE CONCILIE CON PLACA  000026463  Placa padre: Tipo adquisicion: Entidad"</f>
        <v>Descripcion: CARRO CON 30 COMPARTIMIENTOS Estado: Bueno Placa anterior: 000026463 Material: METALICO Color: BEIS Referencia:  Observacion: FUNCIONARIO AUTORIZA SE CONCILIE CON PLACA  000026463  Placa padre: Tipo adquisicion: Entidad</v>
      </c>
      <c r="G16701" s="5"/>
    </row>
    <row r="16702" spans="1:7" ht="58.5" customHeight="1" x14ac:dyDescent="0.25">
      <c r="A16702" s="5" t="str">
        <f>"H0010644"</f>
        <v>H0010644</v>
      </c>
      <c r="B16702" s="5" t="str">
        <f>"PROCESADOR DE VIDEO PARA ENDOSCOPIO"</f>
        <v>PROCESADOR DE VIDEO PARA ENDOSCOPIO</v>
      </c>
      <c r="C16702" s="6">
        <v>16113078</v>
      </c>
      <c r="D16702" s="5"/>
      <c r="E16702" s="5" t="str">
        <f t="shared" si="855"/>
        <v>ELEMENTOS EN BODEGA USADOS</v>
      </c>
      <c r="F16702" s="5" t="str">
        <f>"Descripcion:PROCESADOR SISTEMA CERT. DE VIDEO MOD CV-E (PARA VIDEO ENDOSCOPIO) Estado: Obsoleto Placa anterior: 000003547 Material: PLASTICO Color: BEIGE Referencia:  Observacion:  Placa padre:  Tipo adquisicion : Entidad"</f>
        <v>Descripcion:PROCESADOR SISTEMA CERT. DE VIDEO MOD CV-E (PARA VIDEO ENDOSCOPIO) Estado: Obsoleto Placa anterior: 000003547 Material: PLASTICO Color: BEIGE Referencia:  Observacion:  Placa padre:  Tipo adquisicion : Entidad</v>
      </c>
      <c r="G16702" s="5" t="str">
        <f>"CV-E"</f>
        <v>CV-E</v>
      </c>
    </row>
    <row r="16703" spans="1:7" ht="58.5" customHeight="1" x14ac:dyDescent="0.25">
      <c r="A16703" s="5" t="str">
        <f>"H0010645"</f>
        <v>H0010645</v>
      </c>
      <c r="B16703" s="5" t="str">
        <f>"MONITOR (PANTALLA) PARA ENDOSCOPIO"</f>
        <v>MONITOR (PANTALLA) PARA ENDOSCOPIO</v>
      </c>
      <c r="C16703" s="6">
        <v>1626019.5</v>
      </c>
      <c r="D16703" s="5"/>
      <c r="E16703" s="5" t="str">
        <f t="shared" si="855"/>
        <v>ELEMENTOS EN BODEGA USADOS</v>
      </c>
      <c r="F16703" s="5" t="str">
        <f>"Descripcion:MONITOR MCA. OLIMPUS MOD. OEV-142 (PARA VIDEO ENDOSCOPIO ) Estado: Obsoleto Placa anterior: 000003552 Material: PLASTICO Color: GRIS Referencia:  Observacion:  Placa padre:  Tipo adquisicion : Entidad"</f>
        <v>Descripcion:MONITOR MCA. OLIMPUS MOD. OEV-142 (PARA VIDEO ENDOSCOPIO ) Estado: Obsoleto Placa anterior: 000003552 Material: PLASTICO Color: GRIS Referencia:  Observacion:  Placa padre:  Tipo adquisicion : Entidad</v>
      </c>
      <c r="G16703" s="5" t="str">
        <f>"OEV-142"</f>
        <v>OEV-142</v>
      </c>
    </row>
    <row r="16704" spans="1:7" ht="58.5" customHeight="1" x14ac:dyDescent="0.25">
      <c r="A16704" s="5" t="str">
        <f>"H0010651"</f>
        <v>H0010651</v>
      </c>
      <c r="B16704" s="5" t="str">
        <f>"ASPIRADOR DE SECRECIONES"</f>
        <v>ASPIRADOR DE SECRECIONES</v>
      </c>
      <c r="C16704" s="6">
        <v>308570</v>
      </c>
      <c r="D16704" s="5"/>
      <c r="E16704" s="5" t="str">
        <f t="shared" si="855"/>
        <v>ELEMENTOS EN BODEGA USADOS</v>
      </c>
      <c r="F16704" s="5" t="str">
        <f>"Descripcion:ASPIRADOR DE SECRECIONES THOMAS Estado: Malo Placa anterior: 000003173 Material: METALICO Color: GRIS Referencia:  Observacion:  Placa padre:  Tipo adquisicion : Entidad"</f>
        <v>Descripcion:ASPIRADOR DE SECRECIONES THOMAS Estado: Malo Placa anterior: 000003173 Material: METALICO Color: GRIS Referencia:  Observacion:  Placa padre:  Tipo adquisicion : Entidad</v>
      </c>
      <c r="G16704" s="5"/>
    </row>
    <row r="16705" spans="1:7" ht="58.5" customHeight="1" x14ac:dyDescent="0.25">
      <c r="A16705" s="5" t="str">
        <f>"H0010655"</f>
        <v>H0010655</v>
      </c>
      <c r="B16705" s="5" t="str">
        <f>"MONITOR (PANTALLA) PARA ENDOSCOPIO"</f>
        <v>MONITOR (PANTALLA) PARA ENDOSCOPIO</v>
      </c>
      <c r="C16705" s="6">
        <v>1626019.5</v>
      </c>
      <c r="D16705" s="5"/>
      <c r="E16705" s="5" t="str">
        <f t="shared" si="855"/>
        <v>ELEMENTOS EN BODEGA USADOS</v>
      </c>
      <c r="F16705" s="5" t="str">
        <f>"Descripcion:MONITOR MCA. OLIMPUS MOD. OEV-142 (PARA VIDEO ENDOSCOPIO ) Estado: Obsoleto Placa anterior: 000003545 Material: PLASTICO Color: BLANCO Referencia:  Observacion:  Placa padre:  Tipo adquisicion : Entidad"</f>
        <v>Descripcion:MONITOR MCA. OLIMPUS MOD. OEV-142 (PARA VIDEO ENDOSCOPIO ) Estado: Obsoleto Placa anterior: 000003545 Material: PLASTICO Color: BLANCO Referencia:  Observacion:  Placa padre:  Tipo adquisicion : Entidad</v>
      </c>
      <c r="G16705" s="5" t="str">
        <f>"OEV-142"</f>
        <v>OEV-142</v>
      </c>
    </row>
    <row r="16706" spans="1:7" ht="58.5" customHeight="1" x14ac:dyDescent="0.25">
      <c r="A16706" s="5" t="str">
        <f>"H0011640"</f>
        <v>H0011640</v>
      </c>
      <c r="B16706" s="5" t="str">
        <f>"MONITOR DE SIGNOS VITALES"</f>
        <v>MONITOR DE SIGNOS VITALES</v>
      </c>
      <c r="C16706" s="6">
        <v>14000040</v>
      </c>
      <c r="D16706" s="5"/>
      <c r="E16706" s="5" t="str">
        <f t="shared" si="855"/>
        <v>ELEMENTOS EN BODEGA USADOS</v>
      </c>
      <c r="F16706" s="5" t="str">
        <f>"Descripcion: MONITOR SENCILLO Estado: Bueno Placa anterior: 000025884 Material: PLASTICO Color: BLANCO Referencia:  Observacion:  Placa padre: Tipo adquisicion: Entidad"</f>
        <v>Descripcion: MONITOR SENCILLO Estado: Bueno Placa anterior: 000025884 Material: PLASTICO Color: BLANCO Referencia:  Observacion:  Placa padre: Tipo adquisicion: Entidad</v>
      </c>
      <c r="G16706" s="5" t="str">
        <f>"GENUITY"</f>
        <v>GENUITY</v>
      </c>
    </row>
    <row r="16707" spans="1:7" ht="58.5" customHeight="1" x14ac:dyDescent="0.25">
      <c r="A16707" s="5" t="str">
        <f>"H0011719"</f>
        <v>H0011719</v>
      </c>
      <c r="B16707" s="5" t="str">
        <f>"MONITOR DE SIGNOS VITALES"</f>
        <v>MONITOR DE SIGNOS VITALES</v>
      </c>
      <c r="C16707" s="6">
        <v>4002000</v>
      </c>
      <c r="D16707" s="5" t="s">
        <v>166</v>
      </c>
      <c r="E16707" s="5" t="str">
        <f t="shared" si="855"/>
        <v>ELEMENTOS EN BODEGA USADOS</v>
      </c>
      <c r="F16707"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000031413 Material: PLASTICO Color: BEIGE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000031413 Material: PLASTICO Color: BEIGE Referencia:  Observacion:  Placa padre: Tipo adquisicion: Entidad</v>
      </c>
      <c r="G16707" s="5" t="str">
        <f>"IMEC 10"</f>
        <v>IMEC 10</v>
      </c>
    </row>
    <row r="16708" spans="1:7" ht="58.5" customHeight="1" x14ac:dyDescent="0.25">
      <c r="A16708" s="5" t="str">
        <f>"H0011950"</f>
        <v>H0011950</v>
      </c>
      <c r="B16708" s="5" t="str">
        <f>"MESA (SUPERFICIE) MODULAR"</f>
        <v>MESA (SUPERFICIE) MODULAR</v>
      </c>
      <c r="C16708" s="6">
        <v>18141.38</v>
      </c>
      <c r="D16708" s="5"/>
      <c r="E16708" s="5" t="str">
        <f t="shared" si="855"/>
        <v>ELEMENTOS EN BODEGA USADOS</v>
      </c>
      <c r="F16708" s="5" t="str">
        <f>"Descripcion: MESA SUPERFICIE MODULAR PARA 3 PUESTOS DE TRABAJO CON 3 SOPORTES PARA CPU Estado: Bueno Placa anterior: 000009486 Material: MADERA EN FORMICA Color: BLANCO Referencia:  Observacion:  Placa padre: Tipo adquisicion: Entidad"</f>
        <v>Descripcion: MESA SUPERFICIE MODULAR PARA 3 PUESTOS DE TRABAJO CON 3 SOPORTES PARA CPU Estado: Bueno Placa anterior: 000009486 Material: MADERA EN FORMICA Color: BLANCO Referencia:  Observacion:  Placa padre: Tipo adquisicion: Entidad</v>
      </c>
      <c r="G16708" s="5"/>
    </row>
    <row r="16709" spans="1:7" ht="58.5" customHeight="1" x14ac:dyDescent="0.25">
      <c r="A16709" s="5" t="str">
        <f>"H0012014"</f>
        <v>H0012014</v>
      </c>
      <c r="B16709" s="5" t="str">
        <f>"MONITOR DE GASES ANESTISICOS"</f>
        <v>MONITOR DE GASES ANESTISICOS</v>
      </c>
      <c r="C16709" s="6">
        <v>23582416</v>
      </c>
      <c r="D16709" s="5"/>
      <c r="E16709" s="5" t="str">
        <f t="shared" si="855"/>
        <v>ELEMENTOS EN BODEGA USADOS</v>
      </c>
      <c r="F16709" s="5" t="str">
        <f>"Descripcion: MONITOR DE GASES ANASTESICOS MODELO VAMOS MARCA DRAGER Estado: Bueno Placa anterior: 000023361 Material: PLASTICO Color: BEIS Referencia: 6870750-24 Observacion:  Placa padre: Tipo adquisicion: Entidad"</f>
        <v>Descripcion: MONITOR DE GASES ANASTESICOS MODELO VAMOS MARCA DRAGER Estado: Bueno Placa anterior: 000023361 Material: PLASTICO Color: BEIS Referencia: 6870750-24 Observacion:  Placa padre: Tipo adquisicion: Entidad</v>
      </c>
      <c r="G16709" s="5" t="str">
        <f>"VAMOS"</f>
        <v>VAMOS</v>
      </c>
    </row>
    <row r="16710" spans="1:7" ht="58.5" customHeight="1" x14ac:dyDescent="0.25">
      <c r="A16710" s="5" t="str">
        <f>"H0012015"</f>
        <v>H0012015</v>
      </c>
      <c r="B16710"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16710" s="6">
        <v>18666674</v>
      </c>
      <c r="D16710" s="5"/>
      <c r="E16710" s="5" t="str">
        <f t="shared" si="855"/>
        <v>ELEMENTOS EN BODEGA USADOS</v>
      </c>
      <c r="F16710" s="5" t="str">
        <f>"Descripcion: ELECTROBISTURI MARCA ALSA Estado: Bueno Placa anterior: 000025919 Material: METALICO Color: BEIS Y NEGRO Referencia:  Observacion:  Placa padre: Tipo adquisicion: Entidad"</f>
        <v>Descripcion: ELECTROBISTURI MARCA ALSA Estado: Bueno Placa anterior: 000025919 Material: METALICO Color: BEIS Y NEGRO Referencia:  Observacion:  Placa padre: Tipo adquisicion: Entidad</v>
      </c>
      <c r="G16710" s="5" t="str">
        <f>"CE0051"</f>
        <v>CE0051</v>
      </c>
    </row>
    <row r="16711" spans="1:7" ht="58.5" customHeight="1" x14ac:dyDescent="0.25">
      <c r="A16711" s="5" t="str">
        <f>"H0012291"</f>
        <v>H0012291</v>
      </c>
      <c r="B16711" s="5" t="str">
        <f>"MONITOR DE SIGNOS VITALES"</f>
        <v>MONITOR DE SIGNOS VITALES</v>
      </c>
      <c r="C16711" s="6">
        <v>23200000</v>
      </c>
      <c r="D16711" s="5" t="s">
        <v>806</v>
      </c>
      <c r="E16711" s="5" t="str">
        <f t="shared" si="855"/>
        <v>ELEMENTOS EN BODEGA USADOS</v>
      </c>
      <c r="F16711" s="5" t="str">
        <f>"Descripcion: MONITOR DE SIGNOS VITALES CON CAPNOGRAFIA Y 3 IBP Con las siguientes caracteristicas: Monitor preconfigurado para manejo de pacientes adulto, pediatrico y neonatal de facil transporte. Con pantalla a color de 12 tipo TFT con despliegue de 6 c"&amp; "urvas en pan Estado: Bueno Placa anterior: 000029662 Material: PASTA Color: VERDE AGUA Referencia:  Observacion: NO SE PUEDE VERIFICAR SERIAL Placa padre: Tipo adquisicion: Entidad"</f>
        <v>Descripcion: MONITOR DE SIGNOS VITALES CON CAPNOGRAFIA Y 3 IBP Con las siguientes caracteristicas: Monitor preconfigurado para manejo de pacientes adulto, pediatrico y neonatal de facil transporte. Con pantalla a color de 12 tipo TFT con despliegue de 6 curvas en pan Estado: Bueno Placa anterior: 000029662 Material: PASTA Color: VERDE AGUA Referencia:  Observacion: NO SE PUEDE VERIFICAR SERIAL Placa padre: Tipo adquisicion: Entidad</v>
      </c>
      <c r="G16711" s="5" t="str">
        <f>"NCOMPASS"</f>
        <v>NCOMPASS</v>
      </c>
    </row>
    <row r="16712" spans="1:7" ht="58.5" customHeight="1" x14ac:dyDescent="0.25">
      <c r="A16712" s="5" t="str">
        <f>"H0012301"</f>
        <v>H0012301</v>
      </c>
      <c r="B16712" s="5" t="str">
        <f>"MONITOR DE SIGNOS VITALES"</f>
        <v>MONITOR DE SIGNOS VITALES</v>
      </c>
      <c r="C16712" s="6">
        <v>4002000</v>
      </c>
      <c r="D16712" s="5" t="s">
        <v>166</v>
      </c>
      <c r="E16712" s="5" t="str">
        <f t="shared" si="855"/>
        <v>ELEMENTOS EN BODEGA USADOS</v>
      </c>
      <c r="F16712" s="5" t="str">
        <f>"Descripcion: MONITOR DE SIGNOS VITALES. Pantalla minima de 10 LCD a color minimo 5 parametros(ECG,RESPIRACION,SPO2,NIBP,TEMPERATURA) 5 formas de ondas,arritmias,deteccion de segmentos ST,marcapasos, medicion de tendencias las ultimas 24 horas.Bateria reca"&amp; "rgable minim Estado: Bueno Placa anterior: 000031420 Material: PASTA Color: BLANCO Y GRIS OSCURO Referencia:  Observacion:  Placa padre: Tipo adquisicion: Entidad"</f>
        <v>Descripcion: MONITOR DE SIGNOS VITALES. Pantalla minima de 10 LCD a color minimo 5 parametros(ECG,RESPIRACION,SPO2,NIBP,TEMPERATURA) 5 formas de ondas,arritmias,deteccion de segmentos ST,marcapasos, medicion de tendencias las ultimas 24 horas.Bateria recargable minim Estado: Bueno Placa anterior: 000031420 Material: PASTA Color: BLANCO Y GRIS OSCURO Referencia:  Observacion:  Placa padre: Tipo adquisicion: Entidad</v>
      </c>
      <c r="G16712" s="5" t="str">
        <f>"IMEC10"</f>
        <v>IMEC10</v>
      </c>
    </row>
    <row r="16713" spans="1:7" ht="58.5" customHeight="1" x14ac:dyDescent="0.25">
      <c r="A16713" s="5" t="str">
        <f>"H0012319"</f>
        <v>H0012319</v>
      </c>
      <c r="B16713" s="5" t="str">
        <f>"ELECTROCARDIOGRAFO"</f>
        <v>ELECTROCARDIOGRAFO</v>
      </c>
      <c r="C16713" s="6">
        <v>6500000</v>
      </c>
      <c r="D16713" s="5"/>
      <c r="E16713" s="5" t="str">
        <f t="shared" si="855"/>
        <v>ELEMENTOS EN BODEGA USADOS</v>
      </c>
      <c r="F16713" s="5" t="str">
        <f>"Descripcion: ELECTROCARDIOGRAFO Estado: Bueno Placa anterior: 000033091 Material:  Color:  Referencia:  Observacion:  Placa padre: Tipo adquisicion: Entidad"</f>
        <v>Descripcion: ELECTROCARDIOGRAFO Estado: Bueno Placa anterior: 000033091 Material:  Color:  Referencia:  Observacion:  Placa padre: Tipo adquisicion: Entidad</v>
      </c>
      <c r="G16713" s="5"/>
    </row>
    <row r="16714" spans="1:7" ht="58.5" customHeight="1" x14ac:dyDescent="0.25">
      <c r="A16714" s="5" t="str">
        <f>"H0012337"</f>
        <v>H0012337</v>
      </c>
      <c r="B16714" s="5" t="str">
        <f>"MONITOR DE SIGNOS VITALES"</f>
        <v>MONITOR DE SIGNOS VITALES</v>
      </c>
      <c r="C16714" s="6">
        <v>23200000</v>
      </c>
      <c r="D16714" s="5" t="s">
        <v>806</v>
      </c>
      <c r="E16714" s="5" t="str">
        <f t="shared" si="855"/>
        <v>ELEMENTOS EN BODEGA USADOS</v>
      </c>
      <c r="F16714" s="5" t="str">
        <f>"Descripcion: MONITOR DE SIGNOS VITALES CON CAPNOGRAFIA Y 3 IBP Con las siguientes caracteristicas: Monitor preconfigurado para manejo de pacientes adulto, pediatrico y neonatal de facil transporte. Con pantalla a color de 12 tipo TFT con despliegue de 6 c"&amp; "urvas en pan Estado: Bueno Placa anterior: 000029660 Material: PASTA Color: VERDE AGUA Y AZUL Referencia:  Observacion: NO SE PUDO VERIFICAR SERIAL Placa padre: Tipo adquisicion: Entidad"</f>
        <v>Descripcion: MONITOR DE SIGNOS VITALES CON CAPNOGRAFIA Y 3 IBP Con las siguientes caracteristicas: Monitor preconfigurado para manejo de pacientes adulto, pediatrico y neonatal de facil transporte. Con pantalla a color de 12 tipo TFT con despliegue de 6 curvas en pan Estado: Bueno Placa anterior: 000029660 Material: PASTA Color: VERDE AGUA Y AZUL Referencia:  Observacion: NO SE PUDO VERIFICAR SERIAL Placa padre: Tipo adquisicion: Entidad</v>
      </c>
      <c r="G16714" s="5" t="str">
        <f>"NCOMPASS"</f>
        <v>NCOMPASS</v>
      </c>
    </row>
    <row r="16715" spans="1:7" ht="58.5" customHeight="1" x14ac:dyDescent="0.25">
      <c r="A16715" s="5" t="str">
        <f>"H0012365"</f>
        <v>H0012365</v>
      </c>
      <c r="B16715"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16715" s="6">
        <v>18666674</v>
      </c>
      <c r="D16715" s="5"/>
      <c r="E16715" s="5" t="str">
        <f t="shared" si="855"/>
        <v>ELEMENTOS EN BODEGA USADOS</v>
      </c>
      <c r="F16715" s="5" t="str">
        <f>"Descripcion: ELECTROBISTURI MARCA ALSA Estado: Bueno Placa anterior: 000025917 Material: PASTA Color: NEGRO Y BEIGE Referencia:  Observacion:  Placa padre: Tipo adquisicion: Entidad"</f>
        <v>Descripcion: ELECTROBISTURI MARCA ALSA Estado: Bueno Placa anterior: 000025917 Material: PASTA Color: NEGRO Y BEIGE Referencia:  Observacion:  Placa padre: Tipo adquisicion: Entidad</v>
      </c>
      <c r="G16715" s="5" t="str">
        <f>"EXCEL 250 MCDSe"</f>
        <v>EXCEL 250 MCDSe</v>
      </c>
    </row>
    <row r="16716" spans="1:7" ht="58.5" customHeight="1" x14ac:dyDescent="0.25">
      <c r="A16716" s="5" t="str">
        <f>"H0012564"</f>
        <v>H0012564</v>
      </c>
      <c r="B16716" s="5" t="str">
        <f>"MONITOR DE GASES ANESTISICOS"</f>
        <v>MONITOR DE GASES ANESTISICOS</v>
      </c>
      <c r="C16716" s="6">
        <v>23582416</v>
      </c>
      <c r="D16716" s="5"/>
      <c r="E16716" s="5" t="str">
        <f t="shared" si="855"/>
        <v>ELEMENTOS EN BODEGA USADOS</v>
      </c>
      <c r="F16716" s="5" t="str">
        <f>"Descripcion: MONITOR DE GASES ANASTESICOS MODELO VAMOS MARCA DRAGER Estado: Bueno Placa anterior: 000023359 Material: PLASTICO Color: BEIS Referencia:  Observacion:  Placa padre: Tipo adquisicion: Entidad"</f>
        <v>Descripcion: MONITOR DE GASES ANASTESICOS MODELO VAMOS MARCA DRAGER Estado: Bueno Placa anterior: 000023359 Material: PLASTICO Color: BEIS Referencia:  Observacion:  Placa padre: Tipo adquisicion: Entidad</v>
      </c>
      <c r="G16716" s="5" t="str">
        <f>"6870750-24"</f>
        <v>6870750-24</v>
      </c>
    </row>
    <row r="16717" spans="1:7" ht="58.5" customHeight="1" x14ac:dyDescent="0.25">
      <c r="A16717" s="5" t="str">
        <f>"H0013104"</f>
        <v>H0013104</v>
      </c>
      <c r="B16717" s="5" t="str">
        <f>"MESA DE MADERA"</f>
        <v>MESA DE MADERA</v>
      </c>
      <c r="C16717" s="6">
        <v>281718</v>
      </c>
      <c r="D16717" s="5"/>
      <c r="E16717" s="5" t="str">
        <f t="shared" si="855"/>
        <v>ELEMENTOS EN BODEGA USADOS</v>
      </c>
      <c r="F16717" s="5" t="str">
        <f>"Descripcion: . Estado: Bueno Placa anterior: 000022574 Material: MADERA Color:  Referencia:  Observacion:  Placa padre: Tipo adquisicion: Entidad"</f>
        <v>Descripcion: . Estado: Bueno Placa anterior: 000022574 Material: MADERA Color:  Referencia:  Observacion:  Placa padre: Tipo adquisicion: Entidad</v>
      </c>
      <c r="G16717" s="5"/>
    </row>
    <row r="16718" spans="1:7" ht="58.5" customHeight="1" x14ac:dyDescent="0.25">
      <c r="A16718" s="5" t="str">
        <f>"H0013284"</f>
        <v>H0013284</v>
      </c>
      <c r="B16718" s="5" t="str">
        <f>"SILLA INTERLOCUTORA (FIJA) SIN BRAZOS"</f>
        <v>SILLA INTERLOCUTORA (FIJA) SIN BRAZOS</v>
      </c>
      <c r="C16718" s="6">
        <v>190000</v>
      </c>
      <c r="D16718" s="5" t="s">
        <v>35</v>
      </c>
      <c r="E16718" s="5" t="str">
        <f t="shared" si="855"/>
        <v>ELEMENTOS EN BODEGA USADOS</v>
      </c>
      <c r="F16718" s="5" t="str">
        <f>"Descripcion: SILLA SPRISMAS INTERLOCUTORASTAPIZADO EN SEMICUERO Estado: Bueno Placa anterior: 000029636 Material: METALICO Color: NEGRO Referencia:  Observacion:  Placa padre: Tipo adquisicion: Entidad"</f>
        <v>Descripcion: SILLA SPRISMAS INTERLOCUTORASTAPIZADO EN SEMICUERO Estado: Bueno Placa anterior: 000029636 Material: METALICO Color: NEGRO Referencia:  Observacion:  Placa padre: Tipo adquisicion: Entidad</v>
      </c>
      <c r="G16718" s="5"/>
    </row>
    <row r="16719" spans="1:7" ht="58.5" customHeight="1" x14ac:dyDescent="0.25">
      <c r="A16719" s="5" t="str">
        <f>"H0015948"</f>
        <v>H0015948</v>
      </c>
      <c r="B16719" s="5" t="str">
        <f>"AIRE ACONDICIONADO TIPO SPLIT 24000 BTU"</f>
        <v>AIRE ACONDICIONADO TIPO SPLIT 24000 BTU</v>
      </c>
      <c r="C16719" s="6">
        <v>2668000</v>
      </c>
      <c r="D16719" s="5"/>
      <c r="E16719" s="5" t="str">
        <f t="shared" si="855"/>
        <v>ELEMENTOS EN BODEGA USADOS</v>
      </c>
      <c r="F16719" s="5" t="str">
        <f>"Descripcion: AIRE ACONDICIONADO TIPO SPLIT 24000 BTU MARCA LG Estado: Bueno Placa anterior: 000024103 Material: PLASTICO Color: BEIGE Referencia:  Observacion:  Placa padre: Tipo adquisicion: Entidad"</f>
        <v>Descripcion: AIRE ACONDICIONADO TIPO SPLIT 24000 BTU MARCA LG Estado: Bueno Placa anterior: 000024103 Material: PLASTICO Color: BEIGE Referencia:  Observacion:  Placa padre: Tipo adquisicion: Entidad</v>
      </c>
      <c r="G16719" s="5" t="str">
        <f>"S242CG"</f>
        <v>S242CG</v>
      </c>
    </row>
    <row r="16720" spans="1:7" ht="58.5" customHeight="1" x14ac:dyDescent="0.25">
      <c r="A16720" s="5" t="str">
        <f>"H0016115"</f>
        <v>H0016115</v>
      </c>
      <c r="B16720" s="5" t="str">
        <f>"CABINA (CAMARA) (CAMPANA) FLUJO LAMINAR"</f>
        <v>CABINA (CAMARA) (CAMPANA) FLUJO LAMINAR</v>
      </c>
      <c r="C16720" s="6">
        <v>6033901.3399999999</v>
      </c>
      <c r="D16720" s="5"/>
      <c r="E16720" s="5" t="str">
        <f t="shared" si="855"/>
        <v>ELEMENTOS EN BODEGA USADOS</v>
      </c>
      <c r="F16720" s="5" t="str">
        <f>"Descripcion: CABINA DE FLUJO LAMINAR HORIZONTAL MCA. C-4 MOD.2000 CAT FLOWW 85H. Estado: Bueno Placa anterior: 000000275 Material: ACERO INOXIDABLE Color:  Referencia:  Observacion:  Placa padre: Tipo adquisicion: Entidad"</f>
        <v>Descripcion: CABINA DE FLUJO LAMINAR HORIZONTAL MCA. C-4 MOD.2000 CAT FLOWW 85H. Estado: Bueno Placa anterior: 000000275 Material: ACERO INOXIDABLE Color:  Referencia:  Observacion:  Placa padre: Tipo adquisicion: Entidad</v>
      </c>
      <c r="G16720" s="5" t="str">
        <f>"FLOW 85H"</f>
        <v>FLOW 85H</v>
      </c>
    </row>
    <row r="16721" spans="1:7" ht="58.5" customHeight="1" x14ac:dyDescent="0.25">
      <c r="A16721" s="5" t="str">
        <f>"H0016118"</f>
        <v>H0016118</v>
      </c>
      <c r="B16721" s="5" t="str">
        <f>"CABINA (CAMARA) (CAMPANA) FLUJO LAMINAR"</f>
        <v>CABINA (CAMARA) (CAMPANA) FLUJO LAMINAR</v>
      </c>
      <c r="C16721" s="6">
        <v>5800600</v>
      </c>
      <c r="D16721" s="5"/>
      <c r="E16721" s="5" t="str">
        <f t="shared" si="855"/>
        <v>ELEMENTOS EN BODEGA USADOS</v>
      </c>
      <c r="F16721" s="5" t="str">
        <f>"Descripcion: CABINA DE FLUJO LAMINAR HORIZONTAL MCA. C-4 MOD.2000 CAT FLOWW 85H. Estado: Bueno Placa anterior: 000000276 Material: METALICO Color: GRIS Referencia:  Observacion:  Placa padre: Tipo adquisicion: Entidad"</f>
        <v>Descripcion: CABINA DE FLUJO LAMINAR HORIZONTAL MCA. C-4 MOD.2000 CAT FLOWW 85H. Estado: Bueno Placa anterior: 000000276 Material: METALICO Color: GRIS Referencia:  Observacion:  Placa padre: Tipo adquisicion: Entidad</v>
      </c>
      <c r="G16721" s="5" t="str">
        <f>"2000"</f>
        <v>2000</v>
      </c>
    </row>
    <row r="16722" spans="1:7" ht="58.5" customHeight="1" x14ac:dyDescent="0.25">
      <c r="A16722" s="5" t="str">
        <f>"H0016129"</f>
        <v>H0016129</v>
      </c>
      <c r="B16722" s="5" t="str">
        <f>"VITRINA DE 2 CUERPOS"</f>
        <v>VITRINA DE 2 CUERPOS</v>
      </c>
      <c r="C16722" s="6">
        <v>362152</v>
      </c>
      <c r="D16722" s="5"/>
      <c r="E16722" s="5" t="str">
        <f t="shared" si="855"/>
        <v>ELEMENTOS EN BODEGA USADOS</v>
      </c>
      <c r="F16722" s="5" t="str">
        <f>"Descripcion: . Estado: Bueno Placa anterior: 000033293 Material: METALICO Color: BEIGE Referencia:  Observacion: EL BIEN TIENE PLACA ANTERIOR 000002444, AUTORIZADO CONCILIAR EN CRUCE GENERAL Placa padre: Tipo adquisicion: Entidad"</f>
        <v>Descripcion: . Estado: Bueno Placa anterior: 000033293 Material: METALICO Color: BEIGE Referencia:  Observacion: EL BIEN TIENE PLACA ANTERIOR 000002444, AUTORIZADO CONCILIAR EN CRUCE GENERAL Placa padre: Tipo adquisicion: Entidad</v>
      </c>
      <c r="G16722" s="5"/>
    </row>
    <row r="16723" spans="1:7" ht="58.5" customHeight="1" x14ac:dyDescent="0.25">
      <c r="A16723" s="5" t="str">
        <f>"H0016165"</f>
        <v>H0016165</v>
      </c>
      <c r="B16723" s="5" t="str">
        <f>"PUESTO DE TRABAJO EN L CON 3 GAVETAS"</f>
        <v>PUESTO DE TRABAJO EN L CON 3 GAVETAS</v>
      </c>
      <c r="C16723" s="6">
        <v>1218000</v>
      </c>
      <c r="D16723" s="5" t="s">
        <v>5</v>
      </c>
      <c r="E16723" s="5" t="str">
        <f t="shared" si="855"/>
        <v>ELEMENTOS EN BODEGA USADOS</v>
      </c>
      <c r="F16723" s="5" t="str">
        <f>"Descripcion:PUESTO DE TRABAJO EN L* DE 1.50X1.50 CON ARCHIVADOR 2X1, FALDA PEDESTAL METALICO, PASA CABLE, BASE CPU Estado: Bueno Placa anterior: 000029501 Material: MADERA Color: MARRON CLARO Referencia:  Observacion:  Placa padre:  Tipo adquisicion : Ent"&amp; "idad"</f>
        <v>Descripcion:PUESTO DE TRABAJO EN L* DE 1.50X1.50 CON ARCHIVADOR 2X1, FALDA PEDESTAL METALICO, PASA CABLE, BASE CPU Estado: Bueno Placa anterior: 000029501 Material: MADERA Color: MARRON CLARO Referencia:  Observacion:  Placa padre:  Tipo adquisicion : Entidad</v>
      </c>
      <c r="G16723" s="5"/>
    </row>
    <row r="16724" spans="1:7" ht="58.5" customHeight="1" x14ac:dyDescent="0.25">
      <c r="A16724" s="5" t="str">
        <f>"H0016287"</f>
        <v>H0016287</v>
      </c>
      <c r="B16724" s="5" t="str">
        <f>"AIRE ACONDICIONADO 18000 BTU"</f>
        <v>AIRE ACONDICIONADO 18000 BTU</v>
      </c>
      <c r="C16724" s="6">
        <v>1960000</v>
      </c>
      <c r="D16724" s="5"/>
      <c r="E16724" s="5" t="str">
        <f t="shared" si="855"/>
        <v>ELEMENTOS EN BODEGA USADOS</v>
      </c>
      <c r="F16724" s="5" t="str">
        <f>"Descripcion: AIRE ACONDICIONADO MINI SPLIT DE 18.000 BTU MCA LG. CON CONTROL REMOTO Estado: Bueno Placa anterior: 000023535 Material: PASTA Color: BLANCO Referencia:  Observacion:  Placa padre: Tipo adquisicion: Entidad"</f>
        <v>Descripcion: AIRE ACONDICIONADO MINI SPLIT DE 18.000 BTU MCA LG. CON CONTROL REMOTO Estado: Bueno Placa anterior: 000023535 Material: PASTA Color: BLANCO Referencia:  Observacion:  Placa padre: Tipo adquisicion: Entidad</v>
      </c>
      <c r="G16724" s="5" t="str">
        <f>"S182CG"</f>
        <v>S182CG</v>
      </c>
    </row>
    <row r="16725" spans="1:7" ht="58.5" customHeight="1" x14ac:dyDescent="0.25">
      <c r="A16725" s="5" t="str">
        <f>"H0016505"</f>
        <v>H0016505</v>
      </c>
      <c r="B16725" s="5" t="str">
        <f t="shared" ref="B16725:B16738" si="856">"SILLA INTERLOCUTORA (FIJA) SIN BRAZOS"</f>
        <v>SILLA INTERLOCUTORA (FIJA) SIN BRAZOS</v>
      </c>
      <c r="C16725" s="6">
        <v>190000</v>
      </c>
      <c r="D16725" s="5" t="s">
        <v>35</v>
      </c>
      <c r="E16725" s="5" t="str">
        <f t="shared" si="855"/>
        <v>ELEMENTOS EN BODEGA USADOS</v>
      </c>
      <c r="F16725" s="5" t="str">
        <f>"Descripcion: SILLA SPRISMAS INTERLOCUTORAS  Estado: Bueno Placa anterior: 000029632 Material: METALICO Color: NEGRO Referencia:  Observacion:  Placa padre: Tipo adquisicion: Entidad"</f>
        <v>Descripcion: SILLA SPRISMAS INTERLOCUTORAS  Estado: Bueno Placa anterior: 000029632 Material: METALICO Color: NEGRO Referencia:  Observacion:  Placa padre: Tipo adquisicion: Entidad</v>
      </c>
      <c r="G16725" s="5"/>
    </row>
    <row r="16726" spans="1:7" ht="58.5" customHeight="1" x14ac:dyDescent="0.25">
      <c r="A16726" s="5" t="str">
        <f>"H0016506"</f>
        <v>H0016506</v>
      </c>
      <c r="B16726" s="5" t="str">
        <f t="shared" si="856"/>
        <v>SILLA INTERLOCUTORA (FIJA) SIN BRAZOS</v>
      </c>
      <c r="C16726" s="6">
        <v>81200</v>
      </c>
      <c r="D16726" s="5" t="s">
        <v>34</v>
      </c>
      <c r="E16726" s="5" t="str">
        <f t="shared" si="855"/>
        <v>ELEMENTOS EN BODEGA USADOS</v>
      </c>
      <c r="F16726" s="5" t="str">
        <f>"Descripcion: SILLA SPRISMAS INTERLOCUTORAS  Estado: Bueno Placa anterior: 000030428 Material: METALICO Color: NEGRO Referencia:  Observacion: SILLA PRISMA   Placa padre: Tipo adquisicion: Entidad"</f>
        <v>Descripcion: SILLA SPRISMAS INTERLOCUTORAS  Estado: Bueno Placa anterior: 000030428 Material: METALICO Color: NEGRO Referencia:  Observacion: SILLA PRISMA   Placa padre: Tipo adquisicion: Entidad</v>
      </c>
      <c r="G16726" s="5"/>
    </row>
    <row r="16727" spans="1:7" ht="58.5" customHeight="1" x14ac:dyDescent="0.25">
      <c r="A16727" s="5" t="str">
        <f>"H0016508"</f>
        <v>H0016508</v>
      </c>
      <c r="B16727" s="5" t="str">
        <f t="shared" si="856"/>
        <v>SILLA INTERLOCUTORA (FIJA) SIN BRAZOS</v>
      </c>
      <c r="C16727" s="6">
        <v>81200</v>
      </c>
      <c r="D16727" s="5" t="s">
        <v>34</v>
      </c>
      <c r="E16727" s="5" t="str">
        <f t="shared" si="855"/>
        <v>ELEMENTOS EN BODEGA USADOS</v>
      </c>
      <c r="F16727" s="5" t="str">
        <f>"Descripcion: SILLA SPRISMAS INTERLOCUTORAS  Estado: Bueno Placa anterior: 000030421 Material: METALICO Color: NEGRO Referencia:  Observacion: SILLA PRISMA   Placa padre: Tipo adquisicion: Entidad"</f>
        <v>Descripcion: SILLA SPRISMAS INTERLOCUTORAS  Estado: Bueno Placa anterior: 000030421 Material: METALICO Color: NEGRO Referencia:  Observacion: SILLA PRISMA   Placa padre: Tipo adquisicion: Entidad</v>
      </c>
      <c r="G16727" s="5"/>
    </row>
    <row r="16728" spans="1:7" ht="58.5" customHeight="1" x14ac:dyDescent="0.25">
      <c r="A16728" s="5" t="str">
        <f>"H0016510"</f>
        <v>H0016510</v>
      </c>
      <c r="B16728" s="5" t="str">
        <f t="shared" si="856"/>
        <v>SILLA INTERLOCUTORA (FIJA) SIN BRAZOS</v>
      </c>
      <c r="C16728" s="6">
        <v>190000</v>
      </c>
      <c r="D16728" s="5" t="s">
        <v>35</v>
      </c>
      <c r="E16728" s="5" t="str">
        <f t="shared" si="855"/>
        <v>ELEMENTOS EN BODEGA USADOS</v>
      </c>
      <c r="F16728" s="5" t="str">
        <f>"Descripcion: SILLA SPRISMAS INTERLOCUTORAS Estado: Bueno Placa anterior: 000029627 Material: METALICO Color: NEGRO Referencia:  Observacion:  Placa padre: Tipo adquisicion: Entidad"</f>
        <v>Descripcion: SILLA SPRISMAS INTERLOCUTORAS Estado: Bueno Placa anterior: 000029627 Material: METALICO Color: NEGRO Referencia:  Observacion:  Placa padre: Tipo adquisicion: Entidad</v>
      </c>
      <c r="G16728" s="5"/>
    </row>
    <row r="16729" spans="1:7" ht="58.5" customHeight="1" x14ac:dyDescent="0.25">
      <c r="A16729" s="5" t="str">
        <f>"H0016513"</f>
        <v>H0016513</v>
      </c>
      <c r="B16729" s="5" t="str">
        <f t="shared" si="856"/>
        <v>SILLA INTERLOCUTORA (FIJA) SIN BRAZOS</v>
      </c>
      <c r="C16729" s="6">
        <v>190000</v>
      </c>
      <c r="D16729" s="5" t="s">
        <v>35</v>
      </c>
      <c r="E16729" s="5" t="str">
        <f t="shared" si="855"/>
        <v>ELEMENTOS EN BODEGA USADOS</v>
      </c>
      <c r="F16729" s="5" t="str">
        <f>"Descripcion: SILLA SPRISMAS INTERLOCUTORAS Estado: Bueno Placa anterior: 000029614 Material: METALICO Color: NEGRO Referencia:  Observacion:  Placa padre: Tipo adquisicion: Entidad"</f>
        <v>Descripcion: SILLA SPRISMAS INTERLOCUTORAS Estado: Bueno Placa anterior: 000029614 Material: METALICO Color: NEGRO Referencia:  Observacion:  Placa padre: Tipo adquisicion: Entidad</v>
      </c>
      <c r="G16729" s="5"/>
    </row>
    <row r="16730" spans="1:7" ht="58.5" customHeight="1" x14ac:dyDescent="0.25">
      <c r="A16730" s="5" t="str">
        <f>"H0016525"</f>
        <v>H0016525</v>
      </c>
      <c r="B16730" s="5" t="str">
        <f t="shared" si="856"/>
        <v>SILLA INTERLOCUTORA (FIJA) SIN BRAZOS</v>
      </c>
      <c r="C16730" s="6">
        <v>190000</v>
      </c>
      <c r="D16730" s="5" t="s">
        <v>35</v>
      </c>
      <c r="E16730" s="5" t="str">
        <f t="shared" si="855"/>
        <v>ELEMENTOS EN BODEGA USADOS</v>
      </c>
      <c r="F16730" s="5" t="str">
        <f>"Descripcion: SILLA SPRISMAS INTERLOCUTORAS Estado: Bueno Placa anterior: 000029630 Material: METALICO Color: NEGRO Referencia:  Observacion:  Placa padre: Tipo adquisicion: Entidad"</f>
        <v>Descripcion: SILLA SPRISMAS INTERLOCUTORAS Estado: Bueno Placa anterior: 000029630 Material: METALICO Color: NEGRO Referencia:  Observacion:  Placa padre: Tipo adquisicion: Entidad</v>
      </c>
      <c r="G16730" s="5"/>
    </row>
    <row r="16731" spans="1:7" ht="58.5" customHeight="1" x14ac:dyDescent="0.25">
      <c r="A16731" s="5" t="str">
        <f>"H0016526"</f>
        <v>H0016526</v>
      </c>
      <c r="B16731" s="5" t="str">
        <f t="shared" si="856"/>
        <v>SILLA INTERLOCUTORA (FIJA) SIN BRAZOS</v>
      </c>
      <c r="C16731" s="6">
        <v>190000</v>
      </c>
      <c r="D16731" s="5" t="s">
        <v>35</v>
      </c>
      <c r="E16731" s="5" t="str">
        <f t="shared" si="855"/>
        <v>ELEMENTOS EN BODEGA USADOS</v>
      </c>
      <c r="F16731" s="5" t="str">
        <f>"Descripcion: SILLA SPRISMAS INTERLOCUTORAS Estado: Bueno Placa anterior: 000029612 Material: METALICO Color: NEGRO Referencia:  Observacion:  Placa padre: Tipo adquisicion: Entidad"</f>
        <v>Descripcion: SILLA SPRISMAS INTERLOCUTORAS Estado: Bueno Placa anterior: 000029612 Material: METALICO Color: NEGRO Referencia:  Observacion:  Placa padre: Tipo adquisicion: Entidad</v>
      </c>
      <c r="G16731" s="5"/>
    </row>
    <row r="16732" spans="1:7" ht="58.5" customHeight="1" x14ac:dyDescent="0.25">
      <c r="A16732" s="5" t="str">
        <f>"H0016527"</f>
        <v>H0016527</v>
      </c>
      <c r="B16732" s="5" t="str">
        <f t="shared" si="856"/>
        <v>SILLA INTERLOCUTORA (FIJA) SIN BRAZOS</v>
      </c>
      <c r="C16732" s="6">
        <v>190000</v>
      </c>
      <c r="D16732" s="5" t="s">
        <v>35</v>
      </c>
      <c r="E16732" s="5" t="str">
        <f t="shared" si="855"/>
        <v>ELEMENTOS EN BODEGA USADOS</v>
      </c>
      <c r="F16732" s="5" t="str">
        <f>"Descripcion: SILLA SPRISMAS INTERLOCUTORAS Estado: Bueno Placa anterior: 000029625 Material: METALICO Color: NEGRO Referencia:  Observacion:  Placa padre: Tipo adquisicion: Entidad"</f>
        <v>Descripcion: SILLA SPRISMAS INTERLOCUTORAS Estado: Bueno Placa anterior: 000029625 Material: METALICO Color: NEGRO Referencia:  Observacion:  Placa padre: Tipo adquisicion: Entidad</v>
      </c>
      <c r="G16732" s="5"/>
    </row>
    <row r="16733" spans="1:7" ht="58.5" customHeight="1" x14ac:dyDescent="0.25">
      <c r="A16733" s="5" t="str">
        <f>"H0016530"</f>
        <v>H0016530</v>
      </c>
      <c r="B16733" s="5" t="str">
        <f t="shared" si="856"/>
        <v>SILLA INTERLOCUTORA (FIJA) SIN BRAZOS</v>
      </c>
      <c r="C16733" s="6">
        <v>81200</v>
      </c>
      <c r="D16733" s="5" t="s">
        <v>34</v>
      </c>
      <c r="E16733" s="5" t="str">
        <f t="shared" si="855"/>
        <v>ELEMENTOS EN BODEGA USADOS</v>
      </c>
      <c r="F16733" s="5" t="str">
        <f>"Descripcion: SILLA SPRISMAS INTERLOCUTORAS Estado: Bueno Placa anterior: 000030427 Material: METALICO Color: NEGRO Referencia:  Observacion: SILLA PRISMA   Placa padre: Tipo adquisicion: Entidad"</f>
        <v>Descripcion: SILLA SPRISMAS INTERLOCUTORAS Estado: Bueno Placa anterior: 000030427 Material: METALICO Color: NEGRO Referencia:  Observacion: SILLA PRISMA   Placa padre: Tipo adquisicion: Entidad</v>
      </c>
      <c r="G16733" s="5"/>
    </row>
    <row r="16734" spans="1:7" ht="58.5" customHeight="1" x14ac:dyDescent="0.25">
      <c r="A16734" s="5" t="str">
        <f>"H0016533"</f>
        <v>H0016533</v>
      </c>
      <c r="B16734" s="5" t="str">
        <f t="shared" si="856"/>
        <v>SILLA INTERLOCUTORA (FIJA) SIN BRAZOS</v>
      </c>
      <c r="C16734" s="6">
        <v>81200</v>
      </c>
      <c r="D16734" s="5" t="s">
        <v>34</v>
      </c>
      <c r="E16734" s="5" t="str">
        <f t="shared" si="855"/>
        <v>ELEMENTOS EN BODEGA USADOS</v>
      </c>
      <c r="F16734" s="5" t="str">
        <f>"Descripcion: SILLA SPRISMAS INTERLOCUTORAS Estado: Bueno Placa anterior: 000030419 Material: METALICO Color: NEGRO Referencia:  Observacion: SILLA PRISMA   Placa padre: Tipo adquisicion: Entidad"</f>
        <v>Descripcion: SILLA SPRISMAS INTERLOCUTORAS Estado: Bueno Placa anterior: 000030419 Material: METALICO Color: NEGRO Referencia:  Observacion: SILLA PRISMA   Placa padre: Tipo adquisicion: Entidad</v>
      </c>
      <c r="G16734" s="5"/>
    </row>
    <row r="16735" spans="1:7" ht="58.5" customHeight="1" x14ac:dyDescent="0.25">
      <c r="A16735" s="5" t="str">
        <f>"H0016538"</f>
        <v>H0016538</v>
      </c>
      <c r="B16735" s="5" t="str">
        <f t="shared" si="856"/>
        <v>SILLA INTERLOCUTORA (FIJA) SIN BRAZOS</v>
      </c>
      <c r="C16735" s="6">
        <v>190000</v>
      </c>
      <c r="D16735" s="5" t="s">
        <v>35</v>
      </c>
      <c r="E16735" s="5" t="str">
        <f t="shared" si="855"/>
        <v>ELEMENTOS EN BODEGA USADOS</v>
      </c>
      <c r="F16735" s="5" t="str">
        <f>"Descripcion: SILLA SPRISMAS INTERLOCUTORAS Estado: Bueno Placa anterior: 000029620 Material: METALICO Color: NEGRO Referencia:  Observacion:  Placa padre: Tipo adquisicion: Entidad"</f>
        <v>Descripcion: SILLA SPRISMAS INTERLOCUTORAS Estado: Bueno Placa anterior: 000029620 Material: METALICO Color: NEGRO Referencia:  Observacion:  Placa padre: Tipo adquisicion: Entidad</v>
      </c>
      <c r="G16735" s="5"/>
    </row>
    <row r="16736" spans="1:7" ht="58.5" customHeight="1" x14ac:dyDescent="0.25">
      <c r="A16736" s="5" t="str">
        <f>"H0016539"</f>
        <v>H0016539</v>
      </c>
      <c r="B16736" s="5" t="str">
        <f t="shared" si="856"/>
        <v>SILLA INTERLOCUTORA (FIJA) SIN BRAZOS</v>
      </c>
      <c r="C16736" s="6">
        <v>190000</v>
      </c>
      <c r="D16736" s="5" t="s">
        <v>35</v>
      </c>
      <c r="E16736" s="5" t="str">
        <f t="shared" si="855"/>
        <v>ELEMENTOS EN BODEGA USADOS</v>
      </c>
      <c r="F16736" s="5" t="str">
        <f>"Descripcion: SILLA SPRISMAS INTERLOCUTORAS Estado: Bueno Placa anterior: 000029637 Material: METALICO Color: NEGRO Referencia:  Observacion:  Placa padre: Tipo adquisicion: Entidad"</f>
        <v>Descripcion: SILLA SPRISMAS INTERLOCUTORAS Estado: Bueno Placa anterior: 000029637 Material: METALICO Color: NEGRO Referencia:  Observacion:  Placa padre: Tipo adquisicion: Entidad</v>
      </c>
      <c r="G16736" s="5"/>
    </row>
    <row r="16737" spans="1:7" ht="58.5" customHeight="1" x14ac:dyDescent="0.25">
      <c r="A16737" s="5" t="str">
        <f>"H0016540"</f>
        <v>H0016540</v>
      </c>
      <c r="B16737" s="5" t="str">
        <f t="shared" si="856"/>
        <v>SILLA INTERLOCUTORA (FIJA) SIN BRAZOS</v>
      </c>
      <c r="C16737" s="6">
        <v>190000</v>
      </c>
      <c r="D16737" s="5" t="s">
        <v>35</v>
      </c>
      <c r="E16737" s="5" t="str">
        <f t="shared" si="855"/>
        <v>ELEMENTOS EN BODEGA USADOS</v>
      </c>
      <c r="F16737" s="5" t="str">
        <f>"Descripcion: SILLA SPRISMAS INTERLOCUTORAS Estado: Bueno Placa anterior: 000029618 Material: METALICO Color: NEGRO Referencia:  Observacion:  Placa padre: Tipo adquisicion: Entidad"</f>
        <v>Descripcion: SILLA SPRISMAS INTERLOCUTORAS Estado: Bueno Placa anterior: 000029618 Material: METALICO Color: NEGRO Referencia:  Observacion:  Placa padre: Tipo adquisicion: Entidad</v>
      </c>
      <c r="G16737" s="5"/>
    </row>
    <row r="16738" spans="1:7" ht="58.5" customHeight="1" x14ac:dyDescent="0.25">
      <c r="A16738" s="5" t="str">
        <f>"H0016542"</f>
        <v>H0016542</v>
      </c>
      <c r="B16738" s="5" t="str">
        <f t="shared" si="856"/>
        <v>SILLA INTERLOCUTORA (FIJA) SIN BRAZOS</v>
      </c>
      <c r="C16738" s="6">
        <v>190000</v>
      </c>
      <c r="D16738" s="5" t="s">
        <v>35</v>
      </c>
      <c r="E16738" s="5" t="str">
        <f t="shared" si="855"/>
        <v>ELEMENTOS EN BODEGA USADOS</v>
      </c>
      <c r="F16738" s="5" t="str">
        <f>"Descripcion: SILLA SPRISMAS INTERLOCUTORAS Estado: Bueno Placa anterior: 000029626 Material: METALICO Color: NEGRO Referencia:  Observacion:  Placa padre: Tipo adquisicion: Entidad"</f>
        <v>Descripcion: SILLA SPRISMAS INTERLOCUTORAS Estado: Bueno Placa anterior: 000029626 Material: METALICO Color: NEGRO Referencia:  Observacion:  Placa padre: Tipo adquisicion: Entidad</v>
      </c>
      <c r="G16738" s="5"/>
    </row>
    <row r="16739" spans="1:7" ht="58.5" customHeight="1" x14ac:dyDescent="0.25">
      <c r="A16739" s="5" t="str">
        <f>"H0016840"</f>
        <v>H0016840</v>
      </c>
      <c r="B16739" s="5" t="str">
        <f>"AIRE ACONDICIONADO 18000 BTU"</f>
        <v>AIRE ACONDICIONADO 18000 BTU</v>
      </c>
      <c r="C16739" s="6">
        <v>1960000</v>
      </c>
      <c r="D16739" s="5"/>
      <c r="E16739" s="5" t="str">
        <f t="shared" ref="E16739:E16802" si="857">"ELEMENTOS EN BODEGA USADOS"</f>
        <v>ELEMENTOS EN BODEGA USADOS</v>
      </c>
      <c r="F16739" s="5" t="str">
        <f>"Descripcion: AIRE ACONDICIONADO TIPO SPLIT DE 18000 BTU Estado: Bueno Placa anterior: 000023537 Material: PASTA Color: BLANCO Referencia:  Observacion: CON CONTROL REMOTO Placa padre: Tipo adquisicion: Entidad"</f>
        <v>Descripcion: AIRE ACONDICIONADO TIPO SPLIT DE 18000 BTU Estado: Bueno Placa anterior: 000023537 Material: PASTA Color: BLANCO Referencia:  Observacion: CON CONTROL REMOTO Placa padre: Tipo adquisicion: Entidad</v>
      </c>
      <c r="G16739" s="5" t="str">
        <f>"S182CG"</f>
        <v>S182CG</v>
      </c>
    </row>
    <row r="16740" spans="1:7" ht="58.5" customHeight="1" x14ac:dyDescent="0.25">
      <c r="A16740" s="5" t="str">
        <f>"H0017512"</f>
        <v>H0017512</v>
      </c>
      <c r="B16740" s="5" t="str">
        <f>"MESA METALICA PARA COMPUTADOR"</f>
        <v>MESA METALICA PARA COMPUTADOR</v>
      </c>
      <c r="C16740" s="6">
        <v>194717.6</v>
      </c>
      <c r="D16740" s="5"/>
      <c r="E16740" s="5" t="str">
        <f t="shared" si="857"/>
        <v>ELEMENTOS EN BODEGA USADOS</v>
      </c>
      <c r="F16740" s="5" t="str">
        <f>"Descripcion:PUESTO DE TRABAJO CON PORTATECLADO.SUPERFICIE ENCHAPADA EN FORMICA Estado: Bueno Placa anterior: 000001487 Material: METALICO Y SUPERFICIE EN FORMICA Color: GRIS Y BEIS Referencia:  Observacion: EL BIEN TIENE PLACA ANTERIOR  000028293  AUTORIZ"&amp; "ADO CONCILIAR EN CRUCE GENERAL Placa padre:  Tipo adquisicion : Entidad"</f>
        <v>Descripcion:PUESTO DE TRABAJO CON PORTATECLADO.SUPERFICIE ENCHAPADA EN FORMICA Estado: Bueno Placa anterior: 000001487 Material: METALICO Y SUPERFICIE EN FORMICA Color: GRIS Y BEIS Referencia:  Observacion: EL BIEN TIENE PLACA ANTERIOR  000028293  AUTORIZADO CONCILIAR EN CRUCE GENERAL Placa padre:  Tipo adquisicion : Entidad</v>
      </c>
      <c r="G16740" s="5"/>
    </row>
    <row r="16741" spans="1:7" ht="58.5" customHeight="1" x14ac:dyDescent="0.25">
      <c r="A16741" s="5" t="str">
        <f>"H0017914"</f>
        <v>H0017914</v>
      </c>
      <c r="B16741" s="5" t="str">
        <f>"ESTANTE METALICO 6 ENTREPAÑOS"</f>
        <v>ESTANTE METALICO 6 ENTREPAÑOS</v>
      </c>
      <c r="C16741" s="6">
        <v>24714.18</v>
      </c>
      <c r="D16741" s="5"/>
      <c r="E16741" s="5" t="str">
        <f t="shared" si="857"/>
        <v>ELEMENTOS EN BODEGA USADOS</v>
      </c>
      <c r="F16741" s="5" t="str">
        <f>"Descripcion:ESTANTE METALICO DE 6 ENTREPAÑOS Estado: Bueno Placa anterior: 000000550 Material: METALICO Color: GRIS Referencia:  Observacion:  Placa padre:  Tipo adquisicion : Entidad"</f>
        <v>Descripcion:ESTANTE METALICO DE 6 ENTREPAÑOS Estado: Bueno Placa anterior: 000000550 Material: METALICO Color: GRIS Referencia:  Observacion:  Placa padre:  Tipo adquisicion : Entidad</v>
      </c>
      <c r="G16741" s="5"/>
    </row>
    <row r="16742" spans="1:7" ht="58.5" customHeight="1" x14ac:dyDescent="0.25">
      <c r="A16742" s="5" t="str">
        <f>"H0017916"</f>
        <v>H0017916</v>
      </c>
      <c r="B16742" s="5" t="str">
        <f>"ESTANTE METALICO 6 ENTREPAÑOS"</f>
        <v>ESTANTE METALICO 6 ENTREPAÑOS</v>
      </c>
      <c r="C16742" s="6">
        <v>24714.18</v>
      </c>
      <c r="D16742" s="5"/>
      <c r="E16742" s="5" t="str">
        <f t="shared" si="857"/>
        <v>ELEMENTOS EN BODEGA USADOS</v>
      </c>
      <c r="F16742" s="5" t="str">
        <f>"Descripcion:ESTANTE METALICO DE 6 ENTREPAÑOS Estado: Bueno Placa anterior: 000000552 Material: METALICO Color: GRIS Referencia:  Observacion:  Placa padre:  Tipo adquisicion : Entidad"</f>
        <v>Descripcion:ESTANTE METALICO DE 6 ENTREPAÑOS Estado: Bueno Placa anterior: 000000552 Material: METALICO Color: GRIS Referencia:  Observacion:  Placa padre:  Tipo adquisicion : Entidad</v>
      </c>
      <c r="G16742" s="5"/>
    </row>
    <row r="16743" spans="1:7" ht="58.5" customHeight="1" x14ac:dyDescent="0.25">
      <c r="A16743" s="5" t="str">
        <f>"H0017917"</f>
        <v>H0017917</v>
      </c>
      <c r="B16743" s="5" t="str">
        <f>"ESTANTE METALICO 6 ENTREPAÑOS"</f>
        <v>ESTANTE METALICO 6 ENTREPAÑOS</v>
      </c>
      <c r="C16743" s="6">
        <v>24714.18</v>
      </c>
      <c r="D16743" s="5"/>
      <c r="E16743" s="5" t="str">
        <f t="shared" si="857"/>
        <v>ELEMENTOS EN BODEGA USADOS</v>
      </c>
      <c r="F16743" s="5" t="str">
        <f>"Descripcion:ESTANTE METALICO DE 6 ENTREPAÑOS Estado: Bueno Placa anterior: 000021235 Material: METALICO Color: GRIS Referencia:  Observacion:  Placa padre:  Tipo adquisicion : Entidad"</f>
        <v>Descripcion:ESTANTE METALICO DE 6 ENTREPAÑOS Estado: Bueno Placa anterior: 000021235 Material: METALICO Color: GRIS Referencia:  Observacion:  Placa padre:  Tipo adquisicion : Entidad</v>
      </c>
      <c r="G16743" s="5"/>
    </row>
    <row r="16744" spans="1:7" ht="58.5" customHeight="1" x14ac:dyDescent="0.25">
      <c r="A16744" s="5" t="str">
        <f>"H0017918"</f>
        <v>H0017918</v>
      </c>
      <c r="B16744" s="5" t="str">
        <f>"ESTANTE METALICO 6 ENTREPAÑOS"</f>
        <v>ESTANTE METALICO 6 ENTREPAÑOS</v>
      </c>
      <c r="C16744" s="6">
        <v>24714.18</v>
      </c>
      <c r="D16744" s="5"/>
      <c r="E16744" s="5" t="str">
        <f t="shared" si="857"/>
        <v>ELEMENTOS EN BODEGA USADOS</v>
      </c>
      <c r="F16744" s="5" t="str">
        <f>"Descripcion:ESTANTE METALICO DE 6 ENTREPAÑOS Estado: Bueno Placa anterior: 000000549 Material: METALICO Color: GRIS Referencia:  Observacion:  Placa padre:  Tipo adquisicion : Entidad"</f>
        <v>Descripcion:ESTANTE METALICO DE 6 ENTREPAÑOS Estado: Bueno Placa anterior: 000000549 Material: METALICO Color: GRIS Referencia:  Observacion:  Placa padre:  Tipo adquisicion : Entidad</v>
      </c>
      <c r="G16744" s="5"/>
    </row>
    <row r="16745" spans="1:7" ht="58.5" customHeight="1" x14ac:dyDescent="0.25">
      <c r="A16745" s="5" t="str">
        <f>"H0017937"</f>
        <v>H0017937</v>
      </c>
      <c r="B16745" s="5" t="str">
        <f>"AIRE ACONDICIONADO TIPO SPLIT 9000 BTU"</f>
        <v>AIRE ACONDICIONADO TIPO SPLIT 9000 BTU</v>
      </c>
      <c r="C16745" s="6">
        <v>986000</v>
      </c>
      <c r="D16745" s="5"/>
      <c r="E16745" s="5" t="str">
        <f t="shared" si="857"/>
        <v>ELEMENTOS EN BODEGA USADOS</v>
      </c>
      <c r="F16745" s="5" t="str">
        <f>"Descripcion: AIRE ACONDICIONADO DE 9.000 BTU MARCA LG Estado: Bueno Placa anterior: 000032769 Material: BEIGE Color: BLANCO Referencia:  Observacion:  Placa padre: Tipo adquisicion: Entidad"</f>
        <v>Descripcion: AIRE ACONDICIONADO DE 9.000 BTU MARCA LG Estado: Bueno Placa anterior: 000032769 Material: BEIGE Color: BLANCO Referencia:  Observacion:  Placa padre: Tipo adquisicion: Entidad</v>
      </c>
      <c r="G16745" s="5" t="str">
        <f>"G091CB-9000 BTU"</f>
        <v>G091CB-9000 BTU</v>
      </c>
    </row>
    <row r="16746" spans="1:7" ht="58.5" customHeight="1" x14ac:dyDescent="0.25">
      <c r="A16746" s="5" t="str">
        <f>"H0017960"</f>
        <v>H0017960</v>
      </c>
      <c r="B16746" s="5" t="str">
        <f>"AIRE ACONDICIONADO TIPO SPLIT 9000 BTU"</f>
        <v>AIRE ACONDICIONADO TIPO SPLIT 9000 BTU</v>
      </c>
      <c r="C16746" s="6">
        <v>986000</v>
      </c>
      <c r="D16746" s="5"/>
      <c r="E16746" s="5" t="str">
        <f t="shared" si="857"/>
        <v>ELEMENTOS EN BODEGA USADOS</v>
      </c>
      <c r="F16746" s="5" t="str">
        <f>"Descripcion: AIRE ACONDICIONADO TIPO SPLIT DE 9000BTU Estado: Bueno Placa anterior: 000032770 Material: BEIS Color: LG Referencia:  Observacion:  Placa padre: Tipo adquisicion: Entidad"</f>
        <v>Descripcion: AIRE ACONDICIONADO TIPO SPLIT DE 9000BTU Estado: Bueno Placa anterior: 000032770 Material: BEIS Color: LG Referencia:  Observacion:  Placa padre: Tipo adquisicion: Entidad</v>
      </c>
      <c r="G16746" s="5"/>
    </row>
    <row r="16747" spans="1:7" ht="58.5" customHeight="1" x14ac:dyDescent="0.25">
      <c r="A16747" s="5" t="str">
        <f>"H0017975"</f>
        <v>H0017975</v>
      </c>
      <c r="B16747" s="5" t="str">
        <f>"SILLA INTERLOCUTORA (FIJA) CON BRAZOS"</f>
        <v>SILLA INTERLOCUTORA (FIJA) CON BRAZOS</v>
      </c>
      <c r="C16747" s="6">
        <v>96672</v>
      </c>
      <c r="D16747" s="5"/>
      <c r="E16747" s="5" t="str">
        <f t="shared" si="857"/>
        <v>ELEMENTOS EN BODEGA USADOS</v>
      </c>
      <c r="F16747" s="5" t="str">
        <f>"Descripcion: SILLA INTERLOCUTORA CON BRAZOS Estado: Bueno Placa anterior: 000013284 Material: MADERA Y CUERO Color: CAFÉ Y NEGRO Referencia:  Observacion:  Placa padre: H0017974Tipo adquisicion: Entidad"</f>
        <v>Descripcion: SILLA INTERLOCUTORA CON BRAZOS Estado: Bueno Placa anterior: 000013284 Material: MADERA Y CUERO Color: CAFÉ Y NEGRO Referencia:  Observacion:  Placa padre: H0017974Tipo adquisicion: Entidad</v>
      </c>
      <c r="G16747" s="5"/>
    </row>
    <row r="16748" spans="1:7" ht="58.5" customHeight="1" x14ac:dyDescent="0.25">
      <c r="A16748" s="5" t="str">
        <f>"H0017976"</f>
        <v>H0017976</v>
      </c>
      <c r="B16748" s="5" t="str">
        <f>"SILLA INTERLOCUTORA (FIJA) CON BRAZOS"</f>
        <v>SILLA INTERLOCUTORA (FIJA) CON BRAZOS</v>
      </c>
      <c r="C16748" s="6">
        <v>96672</v>
      </c>
      <c r="D16748" s="5"/>
      <c r="E16748" s="5" t="str">
        <f t="shared" si="857"/>
        <v>ELEMENTOS EN BODEGA USADOS</v>
      </c>
      <c r="F16748" s="5" t="str">
        <f>"Descripcion: SILLA INTERLOCUTORA CON BRAZOS Estado: Bueno Placa anterior: 000013290 Material: MADERA Y CUERO Color: CAFÉ Y NEGRO Referencia:  Observacion:  Placa padre: H0017974Tipo adquisicion: Entidad"</f>
        <v>Descripcion: SILLA INTERLOCUTORA CON BRAZOS Estado: Bueno Placa anterior: 000013290 Material: MADERA Y CUERO Color: CAFÉ Y NEGRO Referencia:  Observacion:  Placa padre: H0017974Tipo adquisicion: Entidad</v>
      </c>
      <c r="G16748" s="5"/>
    </row>
    <row r="16749" spans="1:7" ht="58.5" customHeight="1" x14ac:dyDescent="0.25">
      <c r="A16749" s="5" t="str">
        <f>"H0017977"</f>
        <v>H0017977</v>
      </c>
      <c r="B16749" s="5" t="str">
        <f>"SILLA INTERLOCUTORA (FIJA) CON BRAZOS"</f>
        <v>SILLA INTERLOCUTORA (FIJA) CON BRAZOS</v>
      </c>
      <c r="C16749" s="6">
        <v>96672</v>
      </c>
      <c r="D16749" s="5"/>
      <c r="E16749" s="5" t="str">
        <f t="shared" si="857"/>
        <v>ELEMENTOS EN BODEGA USADOS</v>
      </c>
      <c r="F16749" s="5" t="str">
        <f>"Descripcion: SILLA INTERLOCUTORA CON BRAZOS Estado: Bueno Placa anterior: 000013309 Material: MADERA Y CUERO Color: CAFÉ Y NEGRO Referencia:  Observacion:  Placa padre: H0017974Tipo adquisicion: Entidad"</f>
        <v>Descripcion: SILLA INTERLOCUTORA CON BRAZOS Estado: Bueno Placa anterior: 000013309 Material: MADERA Y CUERO Color: CAFÉ Y NEGRO Referencia:  Observacion:  Placa padre: H0017974Tipo adquisicion: Entidad</v>
      </c>
      <c r="G16749" s="5"/>
    </row>
    <row r="16750" spans="1:7" ht="58.5" customHeight="1" x14ac:dyDescent="0.25">
      <c r="A16750" s="5" t="str">
        <f>"H0017978"</f>
        <v>H0017978</v>
      </c>
      <c r="B16750" s="5" t="str">
        <f>"SILLA INTERLOCUTORA (FIJA) CON BRAZOS"</f>
        <v>SILLA INTERLOCUTORA (FIJA) CON BRAZOS</v>
      </c>
      <c r="C16750" s="6">
        <v>59160</v>
      </c>
      <c r="D16750" s="5"/>
      <c r="E16750" s="5" t="str">
        <f t="shared" si="857"/>
        <v>ELEMENTOS EN BODEGA USADOS</v>
      </c>
      <c r="F16750" s="5" t="str">
        <f>"Descripcion: SILLA INTERLOCUTORA CON BRAZOS Estado: Bueno Placa anterior: 000005539 Material: MADERA Y CUERO Color: CAFÉ Y NEGRO Referencia:  Observacion:  Placa padre: H0017974Tipo adquisicion: Entidad"</f>
        <v>Descripcion: SILLA INTERLOCUTORA CON BRAZOS Estado: Bueno Placa anterior: 000005539 Material: MADERA Y CUERO Color: CAFÉ Y NEGRO Referencia:  Observacion:  Placa padre: H0017974Tipo adquisicion: Entidad</v>
      </c>
      <c r="G16750" s="5"/>
    </row>
    <row r="16751" spans="1:7" ht="58.5" customHeight="1" x14ac:dyDescent="0.25">
      <c r="A16751" s="5" t="str">
        <f>"H0018051"</f>
        <v>H0018051</v>
      </c>
      <c r="B16751" s="5" t="str">
        <f>"DIVISION (PANEL) MODULAR"</f>
        <v>DIVISION (PANEL) MODULAR</v>
      </c>
      <c r="C16751" s="6">
        <v>600000</v>
      </c>
      <c r="D16751" s="5" t="s">
        <v>807</v>
      </c>
      <c r="E16751" s="5" t="str">
        <f t="shared" si="857"/>
        <v>ELEMENTOS EN BODEGA USADOS</v>
      </c>
      <c r="F16751" s="5" t="str">
        <f>"Descripcion: DIVISION PANEL., PLACA ANTERIOR 29561. (PUERTA) Estado: Bueno Placa anterior: 000029561 Material: VIDRIO CON PELICULA  Color: VIDRIO Referencia:  Observacion: DIVISION DE 3 CUERPOS, CORRESPONDE A LA PUERTA. Placa padre: Tipo adquisicion: Enti"&amp; "dad"</f>
        <v>Descripcion: DIVISION PANEL., PLACA ANTERIOR 29561. (PUERTA) Estado: Bueno Placa anterior: 000029561 Material: VIDRIO CON PELICULA  Color: VIDRIO Referencia:  Observacion: DIVISION DE 3 CUERPOS, CORRESPONDE A LA PUERTA. Placa padre: Tipo adquisicion: Entidad</v>
      </c>
      <c r="G16751" s="5"/>
    </row>
    <row r="16752" spans="1:7" ht="58.5" customHeight="1" x14ac:dyDescent="0.25">
      <c r="A16752" s="5" t="str">
        <f>"H0018052"</f>
        <v>H0018052</v>
      </c>
      <c r="B16752" s="5" t="str">
        <f>"DIVISION (PANEL) MODULAR"</f>
        <v>DIVISION (PANEL) MODULAR</v>
      </c>
      <c r="C16752" s="6">
        <v>2900000</v>
      </c>
      <c r="D16752" s="5" t="s">
        <v>807</v>
      </c>
      <c r="E16752" s="5" t="str">
        <f t="shared" si="857"/>
        <v>ELEMENTOS EN BODEGA USADOS</v>
      </c>
      <c r="F16752" s="5" t="str">
        <f>"Descripcion: DIVISION PANEL, PLACA ANTERIOR 25960 Estado: Bueno Placa anterior: 000029560 Material: VIDRIO CON PELICULA  Color: VIDRIO Referencia:  Observacion: DIVISION DE 3 CUERPOS.  MODULARES DE 3.66X 2.00 ALT Placa padre: Tipo adquisicion: Entidad"</f>
        <v>Descripcion: DIVISION PANEL, PLACA ANTERIOR 25960 Estado: Bueno Placa anterior: 000029560 Material: VIDRIO CON PELICULA  Color: VIDRIO Referencia:  Observacion: DIVISION DE 3 CUERPOS.  MODULARES DE 3.66X 2.00 ALT Placa padre: Tipo adquisicion: Entidad</v>
      </c>
      <c r="G16752" s="5"/>
    </row>
    <row r="16753" spans="1:7" ht="58.5" customHeight="1" x14ac:dyDescent="0.25">
      <c r="A16753" s="5" t="str">
        <f>"H0018053"</f>
        <v>H0018053</v>
      </c>
      <c r="B16753" s="5" t="str">
        <f>"DIVISION (PANEL) MODULAR"</f>
        <v>DIVISION (PANEL) MODULAR</v>
      </c>
      <c r="C16753" s="6">
        <v>980000</v>
      </c>
      <c r="D16753" s="5" t="s">
        <v>3</v>
      </c>
      <c r="E16753" s="5" t="str">
        <f t="shared" si="857"/>
        <v>ELEMENTOS EN BODEGA USADOS</v>
      </c>
      <c r="F16753" s="5" t="str">
        <f>"Descripcion: DIVISION PANEL Estado: Bueno Placa anterior:  Material: VIDRIO CON PELICULA  Color: VIDRIO Referencia:  Observacion: DIVISION DE 3 CUERPOS, HACE PARTE DE LA PLACA ANTERIOR 00029560 Placa padre: Tipo adquisicion: Entidad"</f>
        <v>Descripcion: DIVISION PANEL Estado: Bueno Placa anterior:  Material: VIDRIO CON PELICULA  Color: VIDRIO Referencia:  Observacion: DIVISION DE 3 CUERPOS, HACE PARTE DE LA PLACA ANTERIOR 00029560 Placa padre: Tipo adquisicion: Entidad</v>
      </c>
      <c r="G16753" s="5"/>
    </row>
    <row r="16754" spans="1:7" ht="58.5" customHeight="1" x14ac:dyDescent="0.25">
      <c r="A16754" s="5" t="str">
        <f>"H0018218"</f>
        <v>H0018218</v>
      </c>
      <c r="B16754" s="5" t="str">
        <f>"EQUIPO RAYOS X (RX)"</f>
        <v>EQUIPO RAYOS X (RX)</v>
      </c>
      <c r="C16754" s="6">
        <v>128382000</v>
      </c>
      <c r="D16754" s="5"/>
      <c r="E16754" s="5" t="str">
        <f t="shared" si="857"/>
        <v>ELEMENTOS EN BODEGA USADOS</v>
      </c>
      <c r="F16754" s="5" t="str">
        <f>"Descripcion:EQUIPO MOVIL DE RAYOS X,ARCO ENC MCA.TOSHIBA CONSTA: Estado: Malo Placa anterior: 000008756 Material: METAL Color: BEIGE Referencia: BSM10-5616 Observacion: SERIAL 7040332 NO COINCIDE CON EL FISICO VERIFICADO 07552025 Placa anterior:, Placa nu"&amp; "eva=H0021191, Descripcion:CONSOLA PARA EQUIPO DE RAYOS X EN C. CONTIENE 2 MONITORES TOSHIBA, Serial:7040330 Y 7040332, Marca:, Modelo:TVM-25C-2(MONITOR), Material:METAL Y PASTA, Color:BEIGE,   Referencia: Placa padre:  Tipo adquisicion : Entidad"</f>
        <v>Descripcion:EQUIPO MOVIL DE RAYOS X,ARCO ENC MCA.TOSHIBA CONSTA: Estado: Malo Placa anterior: 000008756 Material: METAL Color: BEIGE Referencia: BSM10-5616 Observacion: SERIAL 7040332 NO COINCIDE CON EL FISICO VERIFICADO 07552025 Placa anterior:, Placa nueva=H0021191, Descripcion:CONSOLA PARA EQUIPO DE RAYOS X EN C. CONTIENE 2 MONITORES TOSHIBA, Serial:7040330 Y 7040332, Marca:, Modelo:TVM-25C-2(MONITOR), Material:METAL Y PASTA, Color:BEIGE,   Referencia: Placa padre:  Tipo adquisicion : Entidad</v>
      </c>
      <c r="G16754" s="5" t="str">
        <f>"SXT-900A"</f>
        <v>SXT-900A</v>
      </c>
    </row>
    <row r="16755" spans="1:7" ht="58.5" customHeight="1" x14ac:dyDescent="0.25">
      <c r="A16755" s="5" t="str">
        <f>"H0018501"</f>
        <v>H0018501</v>
      </c>
      <c r="B16755" s="5" t="str">
        <f>"AIRE ACONDICIONADO TIPO SPLIT 12000 BTU"</f>
        <v>AIRE ACONDICIONADO TIPO SPLIT 12000 BTU</v>
      </c>
      <c r="C16755" s="6">
        <v>1836280</v>
      </c>
      <c r="D16755" s="5" t="s">
        <v>146</v>
      </c>
      <c r="E16755" s="5" t="str">
        <f t="shared" si="857"/>
        <v>ELEMENTOS EN BODEGA USADOS</v>
      </c>
      <c r="F16755" s="5" t="str">
        <f>"Descripcion:AIRE ACONDICIONADO CAPACIDAD 12.000 BTU Equipo tipo mini split consola de lujo con control remoto y uso refrigerante ecologico Sistema inverter Debe incluir display para ser monitoreado por sistema central Estado: Bueno Placa anterior: 0000363"&amp; "68 Material: PLASTICO Color: BLANCO Referencia: INVERTERV Observacion:  Placa padre:  Tipo adquisicion : Entidad"</f>
        <v>Descripcion:AIRE ACONDICIONADO CAPACIDAD 12.000 BTU Equipo tipo mini split consola de lujo con control remoto y uso refrigerante ecologico Sistema inverter Debe incluir display para ser monitoreado por sistema central Estado: Bueno Placa anterior: 000036368 Material: PLASTICO Color: BLANCO Referencia: INVERTERV Observacion:  Placa padre:  Tipo adquisicion : Entidad</v>
      </c>
      <c r="G16755" s="5" t="str">
        <f>"VM12CEN B3"</f>
        <v>VM12CEN B3</v>
      </c>
    </row>
    <row r="16756" spans="1:7" ht="58.5" customHeight="1" x14ac:dyDescent="0.25">
      <c r="A16756" s="5" t="str">
        <f>"H0018701"</f>
        <v>H0018701</v>
      </c>
      <c r="B16756" s="5" t="str">
        <f>"TORRE PARA CIRUGIA LAPAROSCOPICA"</f>
        <v>TORRE PARA CIRUGIA LAPAROSCOPICA</v>
      </c>
      <c r="C16756" s="6">
        <v>78660000</v>
      </c>
      <c r="D16756" s="5"/>
      <c r="E16756" s="5" t="str">
        <f t="shared" si="857"/>
        <v>ELEMENTOS EN BODEGA USADOS</v>
      </c>
      <c r="F16756" s="5" t="str">
        <f>"Descripcion:TORRE PARA CIRUGIA LAPAROSCOPIA, CONTIENE 1 MONITOR SONY, ELECTRONIC ENDOFLATOR, LUZ HANALOGA OLYMPUS CLE-10 CON PLACA 000012596 Y EQUIPO ELECTROSURGICAL BOVIE-SPECIALIST Estado: Obsoleto Placa anterior: A120 Material: METAL Color: GRIS Y NEGR"&amp; "O Referencia:  Observacion: EL BIEN TIENE PLACA ANTERIOR  000023560 Placa padre:  Tipo adquisicion : Entidad"</f>
        <v>Descripcion:TORRE PARA CIRUGIA LAPAROSCOPIA, CONTIENE 1 MONITOR SONY, ELECTRONIC ENDOFLATOR, LUZ HANALOGA OLYMPUS CLE-10 CON PLACA 000012596 Y EQUIPO ELECTROSURGICAL BOVIE-SPECIALIST Estado: Obsoleto Placa anterior: A120 Material: METAL Color: GRIS Y NEGRO Referencia:  Observacion: EL BIEN TIENE PLACA ANTERIOR  000023560 Placa padre:  Tipo adquisicion : Entidad</v>
      </c>
      <c r="G16756" s="5"/>
    </row>
    <row r="16757" spans="1:7" ht="58.5" customHeight="1" x14ac:dyDescent="0.25">
      <c r="A16757" s="5" t="str">
        <f>"H0019252"</f>
        <v>H0019252</v>
      </c>
      <c r="B16757" s="5" t="str">
        <f>"PUESTO DE TRABAJO CON 2 GAVETAS"</f>
        <v>PUESTO DE TRABAJO CON 2 GAVETAS</v>
      </c>
      <c r="C16757" s="6">
        <v>637000</v>
      </c>
      <c r="D16757" s="5"/>
      <c r="E16757" s="5" t="str">
        <f t="shared" si="857"/>
        <v>ELEMENTOS EN BODEGA USADOS</v>
      </c>
      <c r="F16757" s="5" t="str">
        <f>"Descripcion: ESCRITORIO EN  L  1.20X0.60 CON 2 GAVETAS BASES  Estado: Bueno Placa anterior: 000028133 Material: METALICO CON MESON EN FORMICA Color: NEGRO CON BLANCO Referencia:  Observacion:  Placa padre: Tipo adquisicion: Entidad"</f>
        <v>Descripcion: ESCRITORIO EN  L  1.20X0.60 CON 2 GAVETAS BASES  Estado: Bueno Placa anterior: 000028133 Material: METALICO CON MESON EN FORMICA Color: NEGRO CON BLANCO Referencia:  Observacion:  Placa padre: Tipo adquisicion: Entidad</v>
      </c>
      <c r="G16757" s="5"/>
    </row>
    <row r="16758" spans="1:7" ht="58.5" customHeight="1" x14ac:dyDescent="0.25">
      <c r="A16758" s="5" t="str">
        <f>"H0019261"</f>
        <v>H0019261</v>
      </c>
      <c r="B16758" s="5" t="str">
        <f>"ESCRITORIO METALICO 2 GAVETAS"</f>
        <v>ESCRITORIO METALICO 2 GAVETAS</v>
      </c>
      <c r="C16758" s="6">
        <v>18186.14</v>
      </c>
      <c r="D16758" s="5"/>
      <c r="E16758" s="5" t="str">
        <f t="shared" si="857"/>
        <v>ELEMENTOS EN BODEGA USADOS</v>
      </c>
      <c r="F16758" s="5" t="str">
        <f>"Descripcion: ESCRITORIO DE 2 GAVETAS Estado: Bueno Placa anterior: 000008966 Material: METALICO CON MESON EN FOMRICA Color: GRIS CON MARRON Referencia:  Observacion:  Placa padre: Tipo adquisicion: Entidad"</f>
        <v>Descripcion: ESCRITORIO DE 2 GAVETAS Estado: Bueno Placa anterior: 000008966 Material: METALICO CON MESON EN FOMRICA Color: GRIS CON MARRON Referencia:  Observacion:  Placa padre: Tipo adquisicion: Entidad</v>
      </c>
      <c r="G16758" s="5"/>
    </row>
    <row r="16759" spans="1:7" ht="58.5" customHeight="1" x14ac:dyDescent="0.25">
      <c r="A16759" s="5" t="str">
        <f>"H0019292"</f>
        <v>H0019292</v>
      </c>
      <c r="B16759" s="5" t="str">
        <f>"CAMILLA FIJA (TIPO DIVAN)"</f>
        <v>CAMILLA FIJA (TIPO DIVAN)</v>
      </c>
      <c r="C16759" s="6">
        <v>40045</v>
      </c>
      <c r="D16759" s="5"/>
      <c r="E16759" s="5" t="str">
        <f t="shared" si="857"/>
        <v>ELEMENTOS EN BODEGA USADOS</v>
      </c>
      <c r="F16759" s="5" t="str">
        <f>"Descripcion: CAMILLA FIJA (TIPO DIVAN) Estado: Bueno Placa anterior: 000018463 Material: METALICO Color: BEIGE  Referencia:  Observacion: AUTORIZADO CONCILIAR EN CRUCE GENERAL Placa padre: Tipo adquisicion: Donacion"</f>
        <v>Descripcion: CAMILLA FIJA (TIPO DIVAN) Estado: Bueno Placa anterior: 000018463 Material: METALICO Color: BEIGE  Referencia:  Observacion: AUTORIZADO CONCILIAR EN CRUCE GENERAL Placa padre: Tipo adquisicion: Donacion</v>
      </c>
      <c r="G16759" s="5"/>
    </row>
    <row r="16760" spans="1:7" ht="58.5" customHeight="1" x14ac:dyDescent="0.25">
      <c r="A16760" s="5" t="str">
        <f>"H0019296"</f>
        <v>H0019296</v>
      </c>
      <c r="B16760" s="5" t="str">
        <f>"SILLA PLASTICA CON BRAZOS"</f>
        <v>SILLA PLASTICA CON BRAZOS</v>
      </c>
      <c r="C16760" s="6">
        <v>12240.32</v>
      </c>
      <c r="D16760" s="5"/>
      <c r="E16760" s="5" t="str">
        <f t="shared" si="857"/>
        <v>ELEMENTOS EN BODEGA USADOS</v>
      </c>
      <c r="F16760" s="5" t="str">
        <f>"Descripcion: SILLA PLASTICA BLANCA Estado: Malo Placa anterior: 000005083 Material: PLASTICO Color: BLANCO Referencia:  Observacion:  Placa padre: Tipo adquisicion: Entidad"</f>
        <v>Descripcion: SILLA PLASTICA BLANCA Estado: Malo Placa anterior: 000005083 Material: PLASTICO Color: BLANCO Referencia:  Observacion:  Placa padre: Tipo adquisicion: Entidad</v>
      </c>
      <c r="G16760" s="5"/>
    </row>
    <row r="16761" spans="1:7" ht="58.5" customHeight="1" x14ac:dyDescent="0.25">
      <c r="A16761" s="5" t="str">
        <f>"H0019688"</f>
        <v>H0019688</v>
      </c>
      <c r="B16761" s="5" t="str">
        <f>"MONITOR DE SIGNOS VITALES"</f>
        <v>MONITOR DE SIGNOS VITALES</v>
      </c>
      <c r="C16761" s="6">
        <v>4002000</v>
      </c>
      <c r="D16761" s="5" t="s">
        <v>166</v>
      </c>
      <c r="E16761" s="5" t="str">
        <f t="shared" si="857"/>
        <v>ELEMENTOS EN BODEGA USADOS</v>
      </c>
      <c r="F16761" s="5" t="str">
        <f>"Descripcion:MONITOR DE SIGNOS VITALES. Pantalla minima de 10 LCD a color minimo 5 parametros(ECG,RESPIRACION,SPO2,NIBP,TEMPERATURA) 5 formas de ondas,arritmias,deteccion de segmentos ST,marcapasos, medicion de tendencias las ultimas 24 horas.Bateria recar"&amp; "gable minim Estado: Malo Placa anterior: 000031415 Material: PASTA Color: BLANCO Referencia:  Observacion: NO TIENE PANTALLA Placa padre:  Tipo adquisicion : Entidad"</f>
        <v>Descripcion:MONITOR DE SIGNOS VITALES. Pantalla minima de 10 LCD a color minimo 5 parametros(ECG,RESPIRACION,SPO2,NIBP,TEMPERATURA) 5 formas de ondas,arritmias,deteccion de segmentos ST,marcapasos, medicion de tendencias las ultimas 24 horas.Bateria recargable minim Estado: Malo Placa anterior: 000031415 Material: PASTA Color: BLANCO Referencia:  Observacion: NO TIENE PANTALLA Placa padre:  Tipo adquisicion : Entidad</v>
      </c>
      <c r="G16761" s="5" t="str">
        <f>"IME 10"</f>
        <v>IME 10</v>
      </c>
    </row>
    <row r="16762" spans="1:7" ht="58.5" customHeight="1" x14ac:dyDescent="0.25">
      <c r="A16762" s="5" t="str">
        <f>"H00200951"</f>
        <v>H00200951</v>
      </c>
      <c r="B16762" s="5" t="str">
        <f>"ELECTRO BISTURI MODELO SURTON 300 REF.(300 WATTS).Caracteristicas:Doble actividad operativa.Dos canales de salida para el corte monopolar.Dos canales independientes para coagulaciones,caracteristicas monopolares mas frecuentes.ESPECIFICACIONES TECNICAS:Po"&amp; "tencia maxima de coagulación AG 70W-100 OMEGAS, frecuencia de trabajo monopolar-bipolar 425KHZ-525KHZ-Placa paciente-placa neutra F-potencia maxima absorción 1000 VA DIMENSIONES (L-A-P)470X150X400-PESO 17.5 kGS.."</f>
        <v>ELECTRO BISTURI MODELO SURTON 300 REF.(300 WATTS).Caracteristicas:Doble actividad operativa.Dos canales de salida para el corte monopolar.Dos canales independientes para coagulaciones,caracteristicas monopolares mas frecuentes.ESPECIFICACIONES TECNICAS:Potencia maxima de coagulación AG 70W-100 OMEGAS, frecuencia de trabajo monopolar-bipolar 425KHZ-525KHZ-Placa paciente-placa neutra F-potencia maxima absorción 1000 VA DIMENSIONES (L-A-P)470X150X400-PESO 17.5 kGS..</v>
      </c>
      <c r="C16762" s="6">
        <v>19522800</v>
      </c>
      <c r="D16762" s="5" t="s">
        <v>808</v>
      </c>
      <c r="E16762" s="5" t="str">
        <f t="shared" si="857"/>
        <v>ELEMENTOS EN BODEGA USADOS</v>
      </c>
      <c r="F16762" s="5"/>
      <c r="G16762" s="5" t="str">
        <f>"SURTRON 300 HP"</f>
        <v>SURTRON 300 HP</v>
      </c>
    </row>
    <row r="16763" spans="1:7" ht="58.5" customHeight="1" x14ac:dyDescent="0.25">
      <c r="A16763" s="5" t="str">
        <f>"H0020362"</f>
        <v>H0020362</v>
      </c>
      <c r="B16763" s="5" t="str">
        <f>"AIRE ACONDICIONADO CENTRAL (INTEGRAL)"</f>
        <v>AIRE ACONDICIONADO CENTRAL (INTEGRAL)</v>
      </c>
      <c r="C16763" s="6">
        <v>1051764</v>
      </c>
      <c r="D16763" s="5"/>
      <c r="E16763" s="5" t="str">
        <f t="shared" si="857"/>
        <v>ELEMENTOS EN BODEGA USADOS</v>
      </c>
      <c r="F16763" s="5" t="str">
        <f>"Descripcion: AIRE ACONDICIONADO INTEGRAL VA PARA LA CENTRAL DE ESTERILIZACION . CON UNA CAPACIDAD DE ENFRIAMENTO DE 180.000 BTU  Estado: Bueno Placa anterior: 000024629 Material: METALICO Color: BEIS Referencia:  Observacion: EL SERIAL NO SE OBSERVO AUTOR"&amp; "IZADO CONCILIAR EN CRUCE GENERAL Placa padre: Tipo adquisicion: Entidad"</f>
        <v>Descripcion: AIRE ACONDICIONADO INTEGRAL VA PARA LA CENTRAL DE ESTERILIZACION . CON UNA CAPACIDAD DE ENFRIAMENTO DE 180.000 BTU  Estado: Bueno Placa anterior: 000024629 Material: METALICO Color: BEIS Referencia:  Observacion: EL SERIAL NO SE OBSERVO AUTORIZADO CONCILIAR EN CRUCE GENERAL Placa padre: Tipo adquisicion: Entidad</v>
      </c>
      <c r="G16763" s="5" t="str">
        <f>"LK-C180BC00"</f>
        <v>LK-C180BC00</v>
      </c>
    </row>
    <row r="16764" spans="1:7" ht="58.5" customHeight="1" x14ac:dyDescent="0.25">
      <c r="A16764" s="5" t="str">
        <f>"H0020363"</f>
        <v>H0020363</v>
      </c>
      <c r="B16764" s="5" t="str">
        <f>"AIRE ACONDICIONADO CENTRAL (INTEGRAL)"</f>
        <v>AIRE ACONDICIONADO CENTRAL (INTEGRAL)</v>
      </c>
      <c r="C16764" s="6">
        <v>12586000</v>
      </c>
      <c r="D16764" s="5"/>
      <c r="E16764" s="5" t="str">
        <f t="shared" si="857"/>
        <v>ELEMENTOS EN BODEGA USADOS</v>
      </c>
      <c r="F16764" s="5" t="str">
        <f>"Descripcion: AIRE ACONDICIONADO INTEGRAL VA PARA LA CENTRAL DE ESTERILIZACION . CON UNA CAPACIDAD DE ENFRIAMENTO DE 90.000 BTU  Estado: Bueno Placa anterior: 000026071 Material: METALICO Color: BEIS Referencia:  Observacion: EL SERIAL NO SE OBSERVO AUTORI"&amp; "ZADO CONCILIAR EN CRUCE GENERAL Placa padre: Tipo adquisicion: Entidad"</f>
        <v>Descripcion: AIRE ACONDICIONADO INTEGRAL VA PARA LA CENTRAL DE ESTERILIZACION . CON UNA CAPACIDAD DE ENFRIAMENTO DE 90.000 BTU  Estado: Bueno Placa anterior: 000026071 Material: METALICO Color: BEIS Referencia:  Observacion: EL SERIAL NO SE OBSERVO AUTORIZADO CONCILIAR EN CRUCE GENERAL Placa padre: Tipo adquisicion: Entidad</v>
      </c>
      <c r="G16764" s="5" t="str">
        <f>"LK-C090BC00"</f>
        <v>LK-C090BC00</v>
      </c>
    </row>
    <row r="16765" spans="1:7" ht="58.5" customHeight="1" x14ac:dyDescent="0.25">
      <c r="A16765" s="5" t="str">
        <f>"H0020685"</f>
        <v>H0020685</v>
      </c>
      <c r="B16765" s="5" t="str">
        <f>"EXTRACTOR DE COMPONENTES SANGUINEOS"</f>
        <v>EXTRACTOR DE COMPONENTES SANGUINEOS</v>
      </c>
      <c r="C16765" s="6">
        <v>9625000</v>
      </c>
      <c r="D16765" s="5" t="s">
        <v>453</v>
      </c>
      <c r="E16765" s="5" t="str">
        <f t="shared" si="857"/>
        <v>ELEMENTOS EN BODEGA USADOS</v>
      </c>
      <c r="F16765" s="5" t="str">
        <f>"Descripcion:VENTILADORES CENTRIFUGOS -EXTRACTOR PATOLOGIA Estado: Bueno Placa anterior: 000033516 Material: METALICO Color: GRIS Referencia:  Observacion: SE MODIFICA EL CAMPO DE LA MARCA, PORQUE NO COINCIDEN CON LA INFORMACIÓN QUE SE OBSERVÓ.   *MARCA: T"&amp; "RANE Placa padre:  Tipo adquisicion : Entidad"</f>
        <v>Descripcion:VENTILADORES CENTRIFUGOS -EXTRACTOR PATOLOGIA Estado: Bueno Placa anterior: 000033516 Material: METALICO Color: GRIS Referencia:  Observacion: SE MODIFICA EL CAMPO DE LA MARCA, PORQUE NO COINCIDEN CON LA INFORMACIÓN QUE SE OBSERVÓ.   *MARCA: TRANE Placa padre:  Tipo adquisicion : Entidad</v>
      </c>
      <c r="G16765" s="5" t="str">
        <f>"SWB-220-50"</f>
        <v>SWB-220-50</v>
      </c>
    </row>
    <row r="16766" spans="1:7" ht="58.5" customHeight="1" x14ac:dyDescent="0.25">
      <c r="A16766" s="5" t="str">
        <f>"H0020686"</f>
        <v>H0020686</v>
      </c>
      <c r="B16766" s="5" t="str">
        <f>"MANEJADORA (AIRE ACONDICIONADO)"</f>
        <v>MANEJADORA (AIRE ACONDICIONADO)</v>
      </c>
      <c r="C16766" s="6">
        <v>1435000</v>
      </c>
      <c r="D16766" s="5" t="s">
        <v>453</v>
      </c>
      <c r="E16766" s="5" t="str">
        <f t="shared" si="857"/>
        <v>ELEMENTOS EN BODEGA USADOS</v>
      </c>
      <c r="F16766" s="5" t="str">
        <f>"Descripcion:MANEJADORA DVM (INTERCAMBIADOR)* CONTRATACION Y DOCENCIA Estado: Bueno Placa anterior: 000033528 Material: METALICO Color: BLANCO Referencia:  Observacion: AUTORIZADO CONCILIAR EN CRUCE GENERAL Placa padre:  Tipo adquisicion : Entidad"</f>
        <v>Descripcion:MANEJADORA DVM (INTERCAMBIADOR)* CONTRATACION Y DOCENCIA Estado: Bueno Placa anterior: 000033528 Material: METALICO Color: BLANCO Referencia:  Observacion: AUTORIZADO CONCILIAR EN CRUCE GENERAL Placa padre:  Tipo adquisicion : Entidad</v>
      </c>
      <c r="G16766" s="5" t="str">
        <f>"DVM PLUS II"</f>
        <v>DVM PLUS II</v>
      </c>
    </row>
    <row r="16767" spans="1:7" ht="58.5" customHeight="1" x14ac:dyDescent="0.25">
      <c r="A16767" s="5" t="str">
        <f>"H0020852"</f>
        <v>H0020852</v>
      </c>
      <c r="B16767" s="5" t="str">
        <f>"CAMILLA FIJA (TIPO DIVAN)"</f>
        <v>CAMILLA FIJA (TIPO DIVAN)</v>
      </c>
      <c r="C16767" s="6">
        <v>3125</v>
      </c>
      <c r="D16767" s="5"/>
      <c r="E16767" s="5" t="str">
        <f t="shared" si="857"/>
        <v>ELEMENTOS EN BODEGA USADOS</v>
      </c>
      <c r="F16767" s="5" t="str">
        <f>"Descripcion:CAMILLA PARA EXAMEN* OXIDO* PELADA Estado: Bueno Placa anterior: 000004518 Material: METALICO CUERO Color: VERDE CLARO Referencia:  Observacion:  Placa padre:  Tipo adquisicion : Entidad"</f>
        <v>Descripcion:CAMILLA PARA EXAMEN* OXIDO* PELADA Estado: Bueno Placa anterior: 000004518 Material: METALICO CUERO Color: VERDE CLARO Referencia:  Observacion:  Placa padre:  Tipo adquisicion : Entidad</v>
      </c>
      <c r="G16767" s="5"/>
    </row>
    <row r="16768" spans="1:7" ht="58.5" customHeight="1" x14ac:dyDescent="0.25">
      <c r="A16768" s="5" t="str">
        <f>"H0020943"</f>
        <v>H0020943</v>
      </c>
      <c r="B16768" s="5" t="str">
        <f>"NEGATOSCOPIO"</f>
        <v>NEGATOSCOPIO</v>
      </c>
      <c r="C16768" s="6">
        <v>3970</v>
      </c>
      <c r="D16768" s="5"/>
      <c r="E16768" s="5" t="str">
        <f t="shared" si="857"/>
        <v>ELEMENTOS EN BODEGA USADOS</v>
      </c>
      <c r="F16768" s="5" t="str">
        <f>"Descripcion:NEGATOSCOPIO DE 1 CUERPO Estado: Inservible Placa anterior: 000004137 Material: METALICO Color: VERDE CLARO Referencia:  Observacion:  Placa padre:  Tipo adquisicion : Entidad"</f>
        <v>Descripcion:NEGATOSCOPIO DE 1 CUERPO Estado: Inservible Placa anterior: 000004137 Material: METALICO Color: VERDE CLARO Referencia:  Observacion:  Placa padre:  Tipo adquisicion : Entidad</v>
      </c>
      <c r="G16768" s="5"/>
    </row>
    <row r="16769" spans="1:7" ht="58.5" customHeight="1" x14ac:dyDescent="0.25">
      <c r="A16769" s="5" t="str">
        <f>"H0021338"</f>
        <v>H0021338</v>
      </c>
      <c r="B16769" s="5" t="str">
        <f>"MONITOR DE SIGNOS VITALES"</f>
        <v>MONITOR DE SIGNOS VITALES</v>
      </c>
      <c r="C16769" s="6">
        <v>4847640</v>
      </c>
      <c r="D16769" s="5"/>
      <c r="E16769" s="5" t="str">
        <f t="shared" si="857"/>
        <v>ELEMENTOS EN BODEGA USADOS</v>
      </c>
      <c r="F16769" s="5" t="str">
        <f>"Descripcion:MONITOR DE SIGNOS VITALES Estado: Inservible Placa anterior: 000025475 Material:  Color: AZUL Referencia:  Observacion: PLACA ANTERIOR: 000000086,   AUTORIZADO CONCILIAR EN CRUCE GENERAL Placa padre:  Tipo adquisicion : Entidad"</f>
        <v>Descripcion:MONITOR DE SIGNOS VITALES Estado: Inservible Placa anterior: 000025475 Material:  Color: AZUL Referencia:  Observacion: PLACA ANTERIOR: 000000086,   AUTORIZADO CONCILIAR EN CRUCE GENERAL Placa padre:  Tipo adquisicion : Entidad</v>
      </c>
      <c r="G16769" s="5" t="str">
        <f>"DINAMORPLUS"</f>
        <v>DINAMORPLUS</v>
      </c>
    </row>
    <row r="16770" spans="1:7" ht="58.5" customHeight="1" x14ac:dyDescent="0.25">
      <c r="A16770" s="5" t="str">
        <f>"H0021339"</f>
        <v>H0021339</v>
      </c>
      <c r="B16770" s="5" t="str">
        <f>"LAMPARA DE FOTOTERAPIA"</f>
        <v>LAMPARA DE FOTOTERAPIA</v>
      </c>
      <c r="C16770" s="6">
        <v>1856000</v>
      </c>
      <c r="D16770" s="5" t="s">
        <v>175</v>
      </c>
      <c r="E16770" s="5" t="str">
        <f t="shared" si="857"/>
        <v>ELEMENTOS EN BODEGA USADOS</v>
      </c>
      <c r="F16770" s="5" t="str">
        <f>"Descripcion:LAMPARA DE FOTOTERAPIA LUZ LED MODELO LEDNEO MARC KRAMER SERIALES 2020410- 20120402- 20120403- 20120405- INVIMA, ECB-0007963 PEDESTAL DE SOPORTE ESTRUCTURA METALICA EN COLD ROLLED Y ACERO INOXIDABLE BASE DE CUATRO RUEDAS COLUMNAS DE ALTURA AJU"&amp; "STABLE EN E Estado: Inservible Placa anterior: 000030247 Material: METALICO Color: AZUL Referencia:  Observacion:  Placa padre:  Tipo adquisicion : Donacion"</f>
        <v>Descripcion:LAMPARA DE FOTOTERAPIA LUZ LED MODELO LEDNEO MARC KRAMER SERIALES 2020410- 20120402- 20120403- 20120405- INVIMA, ECB-0007963 PEDESTAL DE SOPORTE ESTRUCTURA METALICA EN COLD ROLLED Y ACERO INOXIDABLE BASE DE CUATRO RUEDAS COLUMNAS DE ALTURA AJUSTABLE EN E Estado: Inservible Placa anterior: 000030247 Material: METALICO Color: AZUL Referencia:  Observacion:  Placa padre:  Tipo adquisicion : Donacion</v>
      </c>
      <c r="G16770" s="5" t="str">
        <f>"LEDNEO"</f>
        <v>LEDNEO</v>
      </c>
    </row>
    <row r="16771" spans="1:7" ht="58.5" customHeight="1" x14ac:dyDescent="0.25">
      <c r="A16771" s="5" t="str">
        <f>"H0021427"</f>
        <v>H0021427</v>
      </c>
      <c r="B16771" s="5" t="str">
        <f>"AIRE ACONDICIONADO TIPO SPLIT 24000 BTU"</f>
        <v>AIRE ACONDICIONADO TIPO SPLIT 24000 BTU</v>
      </c>
      <c r="C16771" s="6">
        <v>2320000</v>
      </c>
      <c r="D16771" s="5" t="s">
        <v>176</v>
      </c>
      <c r="E16771" s="5" t="str">
        <f t="shared" si="857"/>
        <v>ELEMENTOS EN BODEGA USADOS</v>
      </c>
      <c r="F16771" s="5"/>
      <c r="G16771" s="5" t="str">
        <f>"VM242CE"</f>
        <v>VM242CE</v>
      </c>
    </row>
    <row r="16772" spans="1:7" ht="58.5" customHeight="1" x14ac:dyDescent="0.25">
      <c r="A16772" s="5" t="str">
        <f>"H0021429"</f>
        <v>H0021429</v>
      </c>
      <c r="B16772" s="5" t="str">
        <f t="shared" ref="B16772:B16778" si="858">"EQUIPO DE AIRE ACONDICIONADO  MINISPLIT 12000 BTU INVERTER"</f>
        <v>EQUIPO DE AIRE ACONDICIONADO  MINISPLIT 12000 BTU INVERTER</v>
      </c>
      <c r="C16772" s="6">
        <v>1856000</v>
      </c>
      <c r="D16772" s="5" t="s">
        <v>809</v>
      </c>
      <c r="E16772" s="5" t="str">
        <f t="shared" si="857"/>
        <v>ELEMENTOS EN BODEGA USADOS</v>
      </c>
      <c r="F16772" s="5"/>
      <c r="G16772" s="5" t="str">
        <f>"VM122CE"</f>
        <v>VM122CE</v>
      </c>
    </row>
    <row r="16773" spans="1:7" ht="58.5" customHeight="1" x14ac:dyDescent="0.25">
      <c r="A16773" s="5" t="str">
        <f>"H0021432"</f>
        <v>H0021432</v>
      </c>
      <c r="B16773" s="5" t="str">
        <f t="shared" si="858"/>
        <v>EQUIPO DE AIRE ACONDICIONADO  MINISPLIT 12000 BTU INVERTER</v>
      </c>
      <c r="C16773" s="6">
        <v>1856000</v>
      </c>
      <c r="D16773" s="5" t="s">
        <v>176</v>
      </c>
      <c r="E16773" s="5" t="str">
        <f t="shared" si="857"/>
        <v>ELEMENTOS EN BODEGA USADOS</v>
      </c>
      <c r="F16773" s="5"/>
      <c r="G16773" s="5" t="str">
        <f>"VM122CE"</f>
        <v>VM122CE</v>
      </c>
    </row>
    <row r="16774" spans="1:7" ht="58.5" customHeight="1" x14ac:dyDescent="0.25">
      <c r="A16774" s="5" t="str">
        <f>"H0021435"</f>
        <v>H0021435</v>
      </c>
      <c r="B16774" s="5" t="str">
        <f t="shared" si="858"/>
        <v>EQUIPO DE AIRE ACONDICIONADO  MINISPLIT 12000 BTU INVERTER</v>
      </c>
      <c r="C16774" s="6">
        <v>1856000</v>
      </c>
      <c r="D16774" s="5" t="s">
        <v>176</v>
      </c>
      <c r="E16774" s="5" t="str">
        <f t="shared" si="857"/>
        <v>ELEMENTOS EN BODEGA USADOS</v>
      </c>
      <c r="F16774" s="5"/>
      <c r="G16774" s="5" t="str">
        <f>"VM122CE"</f>
        <v>VM122CE</v>
      </c>
    </row>
    <row r="16775" spans="1:7" ht="58.5" customHeight="1" x14ac:dyDescent="0.25">
      <c r="A16775" s="5" t="str">
        <f>"H0021437"</f>
        <v>H0021437</v>
      </c>
      <c r="B16775" s="5" t="str">
        <f t="shared" si="858"/>
        <v>EQUIPO DE AIRE ACONDICIONADO  MINISPLIT 12000 BTU INVERTER</v>
      </c>
      <c r="C16775" s="6">
        <v>1856000</v>
      </c>
      <c r="D16775" s="5" t="s">
        <v>176</v>
      </c>
      <c r="E16775" s="5" t="str">
        <f t="shared" si="857"/>
        <v>ELEMENTOS EN BODEGA USADOS</v>
      </c>
      <c r="F16775" s="5"/>
      <c r="G16775" s="5" t="str">
        <f>"VM122CE"</f>
        <v>VM122CE</v>
      </c>
    </row>
    <row r="16776" spans="1:7" ht="58.5" customHeight="1" x14ac:dyDescent="0.25">
      <c r="A16776" s="5" t="str">
        <f>"H0021438"</f>
        <v>H0021438</v>
      </c>
      <c r="B16776" s="5" t="str">
        <f t="shared" si="858"/>
        <v>EQUIPO DE AIRE ACONDICIONADO  MINISPLIT 12000 BTU INVERTER</v>
      </c>
      <c r="C16776" s="6">
        <v>1856000</v>
      </c>
      <c r="D16776" s="5" t="s">
        <v>176</v>
      </c>
      <c r="E16776" s="5" t="str">
        <f t="shared" si="857"/>
        <v>ELEMENTOS EN BODEGA USADOS</v>
      </c>
      <c r="F16776" s="5"/>
      <c r="G16776" s="5" t="str">
        <f>"VM122CE"</f>
        <v>VM122CE</v>
      </c>
    </row>
    <row r="16777" spans="1:7" ht="58.5" customHeight="1" x14ac:dyDescent="0.25">
      <c r="A16777" s="5" t="str">
        <f>"H0021440"</f>
        <v>H0021440</v>
      </c>
      <c r="B16777" s="5" t="str">
        <f t="shared" si="858"/>
        <v>EQUIPO DE AIRE ACONDICIONADO  MINISPLIT 12000 BTU INVERTER</v>
      </c>
      <c r="C16777" s="6">
        <v>1856000</v>
      </c>
      <c r="D16777" s="5" t="s">
        <v>176</v>
      </c>
      <c r="E16777" s="5" t="str">
        <f t="shared" si="857"/>
        <v>ELEMENTOS EN BODEGA USADOS</v>
      </c>
      <c r="F16777" s="5" t="str">
        <f>"Descripcion: AIRE ACONDICIONADO INVERTER V LG Estado: Bueno Placa anterior:  Material: PASTA Color: BLANCO Referencia:  Observacion: CONSULTORIO 2 Placa padre: Tipo adquisicion: Entidad"</f>
        <v>Descripcion: AIRE ACONDICIONADO INVERTER V LG Estado: Bueno Placa anterior:  Material: PASTA Color: BLANCO Referencia:  Observacion: CONSULTORIO 2 Placa padre: Tipo adquisicion: Entidad</v>
      </c>
      <c r="G16777" s="5" t="str">
        <f>"VM122CEEMB3"</f>
        <v>VM122CEEMB3</v>
      </c>
    </row>
    <row r="16778" spans="1:7" ht="58.5" customHeight="1" x14ac:dyDescent="0.25">
      <c r="A16778" s="5" t="str">
        <f>"H0021441"</f>
        <v>H0021441</v>
      </c>
      <c r="B16778" s="5" t="str">
        <f t="shared" si="858"/>
        <v>EQUIPO DE AIRE ACONDICIONADO  MINISPLIT 12000 BTU INVERTER</v>
      </c>
      <c r="C16778" s="6">
        <v>1856000</v>
      </c>
      <c r="D16778" s="5" t="s">
        <v>176</v>
      </c>
      <c r="E16778" s="5" t="str">
        <f t="shared" si="857"/>
        <v>ELEMENTOS EN BODEGA USADOS</v>
      </c>
      <c r="F16778" s="5"/>
      <c r="G16778" s="5" t="str">
        <f>"VM122CE"</f>
        <v>VM122CE</v>
      </c>
    </row>
    <row r="16779" spans="1:7" ht="58.5" customHeight="1" x14ac:dyDescent="0.25">
      <c r="A16779" s="5" t="str">
        <f>"H0021565"</f>
        <v>H0021565</v>
      </c>
      <c r="B16779" s="5" t="str">
        <f t="shared" ref="B16779:B16802" si="859">"ANDAMIO"</f>
        <v>ANDAMIO</v>
      </c>
      <c r="C16779" s="6">
        <v>1759.6</v>
      </c>
      <c r="D16779" s="5"/>
      <c r="E16779" s="5" t="str">
        <f t="shared" si="857"/>
        <v>ELEMENTOS EN BODEGA USADOS</v>
      </c>
      <c r="F16779" s="5" t="str">
        <f>"Descripcion:ANDAMIO TUBULAR REDONDO Estado: Regular Placa anterior: 000012024 Material: METALICO Color: NARANJA Y GRIS Referencia:  Observacion:  Placa padre:  Tipo adquisicion : Entidad"</f>
        <v>Descripcion:ANDAMIO TUBULAR REDONDO Estado: Regular Placa anterior: 000012024 Material: METALICO Color: NARANJA Y GRIS Referencia:  Observacion:  Placa padre:  Tipo adquisicion : Entidad</v>
      </c>
      <c r="G16779" s="5"/>
    </row>
    <row r="16780" spans="1:7" ht="58.5" customHeight="1" x14ac:dyDescent="0.25">
      <c r="A16780" s="5" t="str">
        <f>"H0021566"</f>
        <v>H0021566</v>
      </c>
      <c r="B16780" s="5" t="str">
        <f t="shared" si="859"/>
        <v>ANDAMIO</v>
      </c>
      <c r="C16780" s="6">
        <v>1759.6</v>
      </c>
      <c r="D16780" s="5"/>
      <c r="E16780" s="5" t="str">
        <f t="shared" si="857"/>
        <v>ELEMENTOS EN BODEGA USADOS</v>
      </c>
      <c r="F16780" s="5" t="str">
        <f>"Descripcion:ANDAMIO TUBULAR REDONDO Estado: Regular Placa anterior: 000012025 Material: METALICO Color: NARANJA Y GRIS Referencia:  Observacion:  Placa padre:  Tipo adquisicion : Entidad"</f>
        <v>Descripcion:ANDAMIO TUBULAR REDONDO Estado: Regular Placa anterior: 000012025 Material: METALICO Color: NARANJA Y GRIS Referencia:  Observacion:  Placa padre:  Tipo adquisicion : Entidad</v>
      </c>
      <c r="G16780" s="5"/>
    </row>
    <row r="16781" spans="1:7" ht="58.5" customHeight="1" x14ac:dyDescent="0.25">
      <c r="A16781" s="5" t="str">
        <f>"H0021567"</f>
        <v>H0021567</v>
      </c>
      <c r="B16781" s="5" t="str">
        <f t="shared" si="859"/>
        <v>ANDAMIO</v>
      </c>
      <c r="C16781" s="6">
        <v>1759.6</v>
      </c>
      <c r="D16781" s="5"/>
      <c r="E16781" s="5" t="str">
        <f t="shared" si="857"/>
        <v>ELEMENTOS EN BODEGA USADOS</v>
      </c>
      <c r="F16781" s="5" t="str">
        <f>"Descripcion:ANDAMIO TUBULAR REDONDO Estado: Regular Placa anterior: 000012026 Material: METALICO Color: NARANJA Y GRIS Referencia:  Observacion:  Placa padre:  Tipo adquisicion : Entidad"</f>
        <v>Descripcion:ANDAMIO TUBULAR REDONDO Estado: Regular Placa anterior: 000012026 Material: METALICO Color: NARANJA Y GRIS Referencia:  Observacion:  Placa padre:  Tipo adquisicion : Entidad</v>
      </c>
      <c r="G16781" s="5"/>
    </row>
    <row r="16782" spans="1:7" ht="58.5" customHeight="1" x14ac:dyDescent="0.25">
      <c r="A16782" s="5" t="str">
        <f>"H0021568"</f>
        <v>H0021568</v>
      </c>
      <c r="B16782" s="5" t="str">
        <f t="shared" si="859"/>
        <v>ANDAMIO</v>
      </c>
      <c r="C16782" s="6">
        <v>1759.6</v>
      </c>
      <c r="D16782" s="5"/>
      <c r="E16782" s="5" t="str">
        <f t="shared" si="857"/>
        <v>ELEMENTOS EN BODEGA USADOS</v>
      </c>
      <c r="F16782" s="5" t="str">
        <f>"Descripcion:ANDAMIO TUBULAR REDONDO Estado: Regular Placa anterior: 000012027 Material: METALICO Color: NARANJA Y GRIS Referencia:  Observacion:  Placa padre:  Tipo adquisicion : Entidad"</f>
        <v>Descripcion:ANDAMIO TUBULAR REDONDO Estado: Regular Placa anterior: 000012027 Material: METALICO Color: NARANJA Y GRIS Referencia:  Observacion:  Placa padre:  Tipo adquisicion : Entidad</v>
      </c>
      <c r="G16782" s="5"/>
    </row>
    <row r="16783" spans="1:7" ht="58.5" customHeight="1" x14ac:dyDescent="0.25">
      <c r="A16783" s="5" t="str">
        <f>"H0021569"</f>
        <v>H0021569</v>
      </c>
      <c r="B16783" s="5" t="str">
        <f t="shared" si="859"/>
        <v>ANDAMIO</v>
      </c>
      <c r="C16783" s="6">
        <v>1759.6</v>
      </c>
      <c r="D16783" s="5"/>
      <c r="E16783" s="5" t="str">
        <f t="shared" si="857"/>
        <v>ELEMENTOS EN BODEGA USADOS</v>
      </c>
      <c r="F16783" s="5" t="str">
        <f>"Descripcion:ANDAMIO TUBULAR REDONDO Estado: Regular Placa anterior: 000012028 Material: METALICO Color: NARANJA Y GRIS Referencia:  Observacion:  Placa padre:  Tipo adquisicion : Entidad"</f>
        <v>Descripcion:ANDAMIO TUBULAR REDONDO Estado: Regular Placa anterior: 000012028 Material: METALICO Color: NARANJA Y GRIS Referencia:  Observacion:  Placa padre:  Tipo adquisicion : Entidad</v>
      </c>
      <c r="G16783" s="5"/>
    </row>
    <row r="16784" spans="1:7" ht="58.5" customHeight="1" x14ac:dyDescent="0.25">
      <c r="A16784" s="5" t="str">
        <f>"H0021570"</f>
        <v>H0021570</v>
      </c>
      <c r="B16784" s="5" t="str">
        <f t="shared" si="859"/>
        <v>ANDAMIO</v>
      </c>
      <c r="C16784" s="6">
        <v>1759.6</v>
      </c>
      <c r="D16784" s="5"/>
      <c r="E16784" s="5" t="str">
        <f t="shared" si="857"/>
        <v>ELEMENTOS EN BODEGA USADOS</v>
      </c>
      <c r="F16784" s="5" t="str">
        <f>"Descripcion:ANDAMIO TUBULAR REDONDO Estado: Regular Placa anterior: 000012029 Material: METALICO Color: NARANJA Y GRIS Referencia:  Observacion:  Placa padre:  Tipo adquisicion : Entidad"</f>
        <v>Descripcion:ANDAMIO TUBULAR REDONDO Estado: Regular Placa anterior: 000012029 Material: METALICO Color: NARANJA Y GRIS Referencia:  Observacion:  Placa padre:  Tipo adquisicion : Entidad</v>
      </c>
      <c r="G16784" s="5"/>
    </row>
    <row r="16785" spans="1:7" ht="58.5" customHeight="1" x14ac:dyDescent="0.25">
      <c r="A16785" s="5" t="str">
        <f>"H0021571"</f>
        <v>H0021571</v>
      </c>
      <c r="B16785" s="5" t="str">
        <f t="shared" si="859"/>
        <v>ANDAMIO</v>
      </c>
      <c r="C16785" s="6">
        <v>1759.6</v>
      </c>
      <c r="D16785" s="5"/>
      <c r="E16785" s="5" t="str">
        <f t="shared" si="857"/>
        <v>ELEMENTOS EN BODEGA USADOS</v>
      </c>
      <c r="F16785" s="5" t="str">
        <f>"Descripcion:ANDAMIO TUBULAR REDONDO Estado: Regular Placa anterior: 000012030 Material: METALICO Color: NARANJA Y GRIS Referencia:  Observacion:  Placa padre:  Tipo adquisicion : Entidad"</f>
        <v>Descripcion:ANDAMIO TUBULAR REDONDO Estado: Regular Placa anterior: 000012030 Material: METALICO Color: NARANJA Y GRIS Referencia:  Observacion:  Placa padre:  Tipo adquisicion : Entidad</v>
      </c>
      <c r="G16785" s="5"/>
    </row>
    <row r="16786" spans="1:7" ht="58.5" customHeight="1" x14ac:dyDescent="0.25">
      <c r="A16786" s="5" t="str">
        <f>"H0021572"</f>
        <v>H0021572</v>
      </c>
      <c r="B16786" s="5" t="str">
        <f t="shared" si="859"/>
        <v>ANDAMIO</v>
      </c>
      <c r="C16786" s="6">
        <v>1759.6</v>
      </c>
      <c r="D16786" s="5"/>
      <c r="E16786" s="5" t="str">
        <f t="shared" si="857"/>
        <v>ELEMENTOS EN BODEGA USADOS</v>
      </c>
      <c r="F16786" s="5" t="str">
        <f>"Descripcion:ANDAMIO TUBULAR REDONDO Estado: Regular Placa anterior: 000012031 Material: METALICO Color: NARANJA Y GRIS Referencia:  Observacion:  Placa padre:  Tipo adquisicion : Entidad"</f>
        <v>Descripcion:ANDAMIO TUBULAR REDONDO Estado: Regular Placa anterior: 000012031 Material: METALICO Color: NARANJA Y GRIS Referencia:  Observacion:  Placa padre:  Tipo adquisicion : Entidad</v>
      </c>
      <c r="G16786" s="5"/>
    </row>
    <row r="16787" spans="1:7" ht="58.5" customHeight="1" x14ac:dyDescent="0.25">
      <c r="A16787" s="5" t="str">
        <f>"H0021573"</f>
        <v>H0021573</v>
      </c>
      <c r="B16787" s="5" t="str">
        <f t="shared" si="859"/>
        <v>ANDAMIO</v>
      </c>
      <c r="C16787" s="6">
        <v>1759.6</v>
      </c>
      <c r="D16787" s="5"/>
      <c r="E16787" s="5" t="str">
        <f t="shared" si="857"/>
        <v>ELEMENTOS EN BODEGA USADOS</v>
      </c>
      <c r="F16787" s="5" t="str">
        <f>"Descripcion:ANDAMIO TUBULAR REDONDO Estado: Regular Placa anterior: 000012032 Material: METALICO Color: NARANJA Y GRIS Referencia:  Observacion:  Placa padre:  Tipo adquisicion : Entidad"</f>
        <v>Descripcion:ANDAMIO TUBULAR REDONDO Estado: Regular Placa anterior: 000012032 Material: METALICO Color: NARANJA Y GRIS Referencia:  Observacion:  Placa padre:  Tipo adquisicion : Entidad</v>
      </c>
      <c r="G16787" s="5"/>
    </row>
    <row r="16788" spans="1:7" ht="58.5" customHeight="1" x14ac:dyDescent="0.25">
      <c r="A16788" s="5" t="str">
        <f>"H0021574"</f>
        <v>H0021574</v>
      </c>
      <c r="B16788" s="5" t="str">
        <f t="shared" si="859"/>
        <v>ANDAMIO</v>
      </c>
      <c r="C16788" s="6">
        <v>1759.6</v>
      </c>
      <c r="D16788" s="5"/>
      <c r="E16788" s="5" t="str">
        <f t="shared" si="857"/>
        <v>ELEMENTOS EN BODEGA USADOS</v>
      </c>
      <c r="F16788" s="5" t="str">
        <f>"Descripcion:ANDAMIO TUBULAR REDONDO Estado: Regular Placa anterior: 000012033 Material: METALICO Color: NARANJA Y GRIS Referencia:  Observacion:  Placa padre:  Tipo adquisicion : Entidad"</f>
        <v>Descripcion:ANDAMIO TUBULAR REDONDO Estado: Regular Placa anterior: 000012033 Material: METALICO Color: NARANJA Y GRIS Referencia:  Observacion:  Placa padre:  Tipo adquisicion : Entidad</v>
      </c>
      <c r="G16788" s="5"/>
    </row>
    <row r="16789" spans="1:7" ht="58.5" customHeight="1" x14ac:dyDescent="0.25">
      <c r="A16789" s="5" t="str">
        <f>"H0021575"</f>
        <v>H0021575</v>
      </c>
      <c r="B16789" s="5" t="str">
        <f t="shared" si="859"/>
        <v>ANDAMIO</v>
      </c>
      <c r="C16789" s="6">
        <v>1759.6</v>
      </c>
      <c r="D16789" s="5"/>
      <c r="E16789" s="5" t="str">
        <f t="shared" si="857"/>
        <v>ELEMENTOS EN BODEGA USADOS</v>
      </c>
      <c r="F16789" s="5" t="str">
        <f>"Descripcion:ANDAMIO TUBULAR REDONDO Estado: Regular Placa anterior: 000012034 Material: METALICO Color: NARANJA Y GRIS Referencia:  Observacion:  Placa padre:  Tipo adquisicion : Entidad"</f>
        <v>Descripcion:ANDAMIO TUBULAR REDONDO Estado: Regular Placa anterior: 000012034 Material: METALICO Color: NARANJA Y GRIS Referencia:  Observacion:  Placa padre:  Tipo adquisicion : Entidad</v>
      </c>
      <c r="G16789" s="5"/>
    </row>
    <row r="16790" spans="1:7" ht="58.5" customHeight="1" x14ac:dyDescent="0.25">
      <c r="A16790" s="5" t="str">
        <f>"H0021576"</f>
        <v>H0021576</v>
      </c>
      <c r="B16790" s="5" t="str">
        <f t="shared" si="859"/>
        <v>ANDAMIO</v>
      </c>
      <c r="C16790" s="6">
        <v>1759.6</v>
      </c>
      <c r="D16790" s="5"/>
      <c r="E16790" s="5" t="str">
        <f t="shared" si="857"/>
        <v>ELEMENTOS EN BODEGA USADOS</v>
      </c>
      <c r="F16790" s="5" t="str">
        <f>"Descripcion:ANDAMIO TUBULAR REDONDO Estado: Regular Placa anterior: 000012035 Material: METALICO Color: NARANJA Y GRIS Referencia:  Observacion:  Placa padre:  Tipo adquisicion : Entidad"</f>
        <v>Descripcion:ANDAMIO TUBULAR REDONDO Estado: Regular Placa anterior: 000012035 Material: METALICO Color: NARANJA Y GRIS Referencia:  Observacion:  Placa padre:  Tipo adquisicion : Entidad</v>
      </c>
      <c r="G16790" s="5"/>
    </row>
    <row r="16791" spans="1:7" ht="58.5" customHeight="1" x14ac:dyDescent="0.25">
      <c r="A16791" s="5" t="str">
        <f>"H0021577"</f>
        <v>H0021577</v>
      </c>
      <c r="B16791" s="5" t="str">
        <f t="shared" si="859"/>
        <v>ANDAMIO</v>
      </c>
      <c r="C16791" s="6">
        <v>1759.6</v>
      </c>
      <c r="D16791" s="5"/>
      <c r="E16791" s="5" t="str">
        <f t="shared" si="857"/>
        <v>ELEMENTOS EN BODEGA USADOS</v>
      </c>
      <c r="F16791" s="5" t="str">
        <f>"Descripcion:ANDAMIO TUBULAR REDONDO Estado: Regular Placa anterior: 000012036 Material: METALICO Color: NARANJA Y GRIS Referencia:  Observacion:  Placa padre:  Tipo adquisicion : Entidad"</f>
        <v>Descripcion:ANDAMIO TUBULAR REDONDO Estado: Regular Placa anterior: 000012036 Material: METALICO Color: NARANJA Y GRIS Referencia:  Observacion:  Placa padre:  Tipo adquisicion : Entidad</v>
      </c>
      <c r="G16791" s="5"/>
    </row>
    <row r="16792" spans="1:7" ht="58.5" customHeight="1" x14ac:dyDescent="0.25">
      <c r="A16792" s="5" t="str">
        <f>"H0021578"</f>
        <v>H0021578</v>
      </c>
      <c r="B16792" s="5" t="str">
        <f t="shared" si="859"/>
        <v>ANDAMIO</v>
      </c>
      <c r="C16792" s="6">
        <v>1759.6</v>
      </c>
      <c r="D16792" s="5"/>
      <c r="E16792" s="5" t="str">
        <f t="shared" si="857"/>
        <v>ELEMENTOS EN BODEGA USADOS</v>
      </c>
      <c r="F16792" s="5" t="str">
        <f>"Descripcion:ANDAMIO TUBULAR REDONDO Estado: Regular Placa anterior: 000012037 Material: METALICO Color: NARANJA Y GRIS Referencia:  Observacion:  Placa padre:  Tipo adquisicion : Entidad"</f>
        <v>Descripcion:ANDAMIO TUBULAR REDONDO Estado: Regular Placa anterior: 000012037 Material: METALICO Color: NARANJA Y GRIS Referencia:  Observacion:  Placa padre:  Tipo adquisicion : Entidad</v>
      </c>
      <c r="G16792" s="5"/>
    </row>
    <row r="16793" spans="1:7" ht="58.5" customHeight="1" x14ac:dyDescent="0.25">
      <c r="A16793" s="5" t="str">
        <f>"H0021579"</f>
        <v>H0021579</v>
      </c>
      <c r="B16793" s="5" t="str">
        <f t="shared" si="859"/>
        <v>ANDAMIO</v>
      </c>
      <c r="C16793" s="6">
        <v>1759.6</v>
      </c>
      <c r="D16793" s="5"/>
      <c r="E16793" s="5" t="str">
        <f t="shared" si="857"/>
        <v>ELEMENTOS EN BODEGA USADOS</v>
      </c>
      <c r="F16793" s="5" t="str">
        <f>"Descripcion:ANDAMIO TUBULAR REDONDO Estado: Regular Placa anterior: 000012038 Material: METALICO Color: NARANJA Y GRIS Referencia:  Observacion:  Placa padre:  Tipo adquisicion : Entidad"</f>
        <v>Descripcion:ANDAMIO TUBULAR REDONDO Estado: Regular Placa anterior: 000012038 Material: METALICO Color: NARANJA Y GRIS Referencia:  Observacion:  Placa padre:  Tipo adquisicion : Entidad</v>
      </c>
      <c r="G16793" s="5"/>
    </row>
    <row r="16794" spans="1:7" ht="58.5" customHeight="1" x14ac:dyDescent="0.25">
      <c r="A16794" s="5" t="str">
        <f>"H0021580"</f>
        <v>H0021580</v>
      </c>
      <c r="B16794" s="5" t="str">
        <f t="shared" si="859"/>
        <v>ANDAMIO</v>
      </c>
      <c r="C16794" s="6">
        <v>1759.6</v>
      </c>
      <c r="D16794" s="5"/>
      <c r="E16794" s="5" t="str">
        <f t="shared" si="857"/>
        <v>ELEMENTOS EN BODEGA USADOS</v>
      </c>
      <c r="F16794" s="5" t="str">
        <f>"Descripcion:ANDAMIO TUBULAR REDONDO Estado: Regular Placa anterior: 000012039 Material: METALICO Color: NARANJA Y GRIS Referencia:  Observacion:  Placa padre:  Tipo adquisicion : Entidad"</f>
        <v>Descripcion:ANDAMIO TUBULAR REDONDO Estado: Regular Placa anterior: 000012039 Material: METALICO Color: NARANJA Y GRIS Referencia:  Observacion:  Placa padre:  Tipo adquisicion : Entidad</v>
      </c>
      <c r="G16794" s="5"/>
    </row>
    <row r="16795" spans="1:7" ht="58.5" customHeight="1" x14ac:dyDescent="0.25">
      <c r="A16795" s="5" t="str">
        <f>"H0021581"</f>
        <v>H0021581</v>
      </c>
      <c r="B16795" s="5" t="str">
        <f t="shared" si="859"/>
        <v>ANDAMIO</v>
      </c>
      <c r="C16795" s="6">
        <v>1759.6</v>
      </c>
      <c r="D16795" s="5"/>
      <c r="E16795" s="5" t="str">
        <f t="shared" si="857"/>
        <v>ELEMENTOS EN BODEGA USADOS</v>
      </c>
      <c r="F16795" s="5" t="str">
        <f>"Descripcion:ANDAMIO TUBULAR REDONDO Estado: Regular Placa anterior: 000012040 Material: METALICO Color: NARANJA Y GRIS Referencia:  Observacion:  Placa padre:  Tipo adquisicion : Entidad"</f>
        <v>Descripcion:ANDAMIO TUBULAR REDONDO Estado: Regular Placa anterior: 000012040 Material: METALICO Color: NARANJA Y GRIS Referencia:  Observacion:  Placa padre:  Tipo adquisicion : Entidad</v>
      </c>
      <c r="G16795" s="5"/>
    </row>
    <row r="16796" spans="1:7" ht="58.5" customHeight="1" x14ac:dyDescent="0.25">
      <c r="A16796" s="5" t="str">
        <f>"H0021582"</f>
        <v>H0021582</v>
      </c>
      <c r="B16796" s="5" t="str">
        <f t="shared" si="859"/>
        <v>ANDAMIO</v>
      </c>
      <c r="C16796" s="6">
        <v>1759.6</v>
      </c>
      <c r="D16796" s="5"/>
      <c r="E16796" s="5" t="str">
        <f t="shared" si="857"/>
        <v>ELEMENTOS EN BODEGA USADOS</v>
      </c>
      <c r="F16796" s="5" t="str">
        <f>"Descripcion:ANDAMIO TUBULAR REDONDO Estado: Regular Placa anterior: 000012041 Material: METALICO Color: NARANJA Y GRIS Referencia:  Observacion:  Placa padre:  Tipo adquisicion : Entidad"</f>
        <v>Descripcion:ANDAMIO TUBULAR REDONDO Estado: Regular Placa anterior: 000012041 Material: METALICO Color: NARANJA Y GRIS Referencia:  Observacion:  Placa padre:  Tipo adquisicion : Entidad</v>
      </c>
      <c r="G16796" s="5"/>
    </row>
    <row r="16797" spans="1:7" ht="58.5" customHeight="1" x14ac:dyDescent="0.25">
      <c r="A16797" s="5" t="str">
        <f>"H0021583"</f>
        <v>H0021583</v>
      </c>
      <c r="B16797" s="5" t="str">
        <f t="shared" si="859"/>
        <v>ANDAMIO</v>
      </c>
      <c r="C16797" s="6">
        <v>1759.6</v>
      </c>
      <c r="D16797" s="5"/>
      <c r="E16797" s="5" t="str">
        <f t="shared" si="857"/>
        <v>ELEMENTOS EN BODEGA USADOS</v>
      </c>
      <c r="F16797" s="5" t="str">
        <f>"Descripcion:ANDAMIO TUBULAR REDONDO Estado: Regular Placa anterior: 000012042 Material: METALICO Color: NARANJA Y GRIS Referencia:  Observacion:  Placa padre:  Tipo adquisicion : Entidad"</f>
        <v>Descripcion:ANDAMIO TUBULAR REDONDO Estado: Regular Placa anterior: 000012042 Material: METALICO Color: NARANJA Y GRIS Referencia:  Observacion:  Placa padre:  Tipo adquisicion : Entidad</v>
      </c>
      <c r="G16797" s="5"/>
    </row>
    <row r="16798" spans="1:7" ht="58.5" customHeight="1" x14ac:dyDescent="0.25">
      <c r="A16798" s="5" t="str">
        <f>"H0021584"</f>
        <v>H0021584</v>
      </c>
      <c r="B16798" s="5" t="str">
        <f t="shared" si="859"/>
        <v>ANDAMIO</v>
      </c>
      <c r="C16798" s="6">
        <v>1759.6</v>
      </c>
      <c r="D16798" s="5"/>
      <c r="E16798" s="5" t="str">
        <f t="shared" si="857"/>
        <v>ELEMENTOS EN BODEGA USADOS</v>
      </c>
      <c r="F16798" s="5" t="str">
        <f>"Descripcion:ANDAMIO TUBULAR REDONDO Estado: Regular Placa anterior: 000012043 Material: METALICO Color: NARANJA Y GRIS Referencia:  Observacion:  Placa padre:  Tipo adquisicion : Entidad"</f>
        <v>Descripcion:ANDAMIO TUBULAR REDONDO Estado: Regular Placa anterior: 000012043 Material: METALICO Color: NARANJA Y GRIS Referencia:  Observacion:  Placa padre:  Tipo adquisicion : Entidad</v>
      </c>
      <c r="G16798" s="5"/>
    </row>
    <row r="16799" spans="1:7" ht="58.5" customHeight="1" x14ac:dyDescent="0.25">
      <c r="A16799" s="5" t="str">
        <f>"H0021585"</f>
        <v>H0021585</v>
      </c>
      <c r="B16799" s="5" t="str">
        <f t="shared" si="859"/>
        <v>ANDAMIO</v>
      </c>
      <c r="C16799" s="6">
        <v>1759.6</v>
      </c>
      <c r="D16799" s="5"/>
      <c r="E16799" s="5" t="str">
        <f t="shared" si="857"/>
        <v>ELEMENTOS EN BODEGA USADOS</v>
      </c>
      <c r="F16799" s="5" t="str">
        <f>"Descripcion:ANDAMIO TUBULAR REDONDO Estado: Regular Placa anterior: 000012045 Material: METALICO Color: NARANJA Y GRIS Referencia:  Observacion:  Placa padre:  Tipo adquisicion : Entidad"</f>
        <v>Descripcion:ANDAMIO TUBULAR REDONDO Estado: Regular Placa anterior: 000012045 Material: METALICO Color: NARANJA Y GRIS Referencia:  Observacion:  Placa padre:  Tipo adquisicion : Entidad</v>
      </c>
      <c r="G16799" s="5"/>
    </row>
    <row r="16800" spans="1:7" ht="58.5" customHeight="1" x14ac:dyDescent="0.25">
      <c r="A16800" s="5" t="str">
        <f>"H0021586"</f>
        <v>H0021586</v>
      </c>
      <c r="B16800" s="5" t="str">
        <f t="shared" si="859"/>
        <v>ANDAMIO</v>
      </c>
      <c r="C16800" s="6">
        <v>1759.6</v>
      </c>
      <c r="D16800" s="5"/>
      <c r="E16800" s="5" t="str">
        <f t="shared" si="857"/>
        <v>ELEMENTOS EN BODEGA USADOS</v>
      </c>
      <c r="F16800" s="5" t="str">
        <f>"Descripcion:ANDAMIO TUBULAR REDONDO Estado: Regular Placa anterior: 000012046 Material: METALICO Color: NARANJA Y GRIS Referencia:  Observacion:  Placa padre:  Tipo adquisicion : Entidad"</f>
        <v>Descripcion:ANDAMIO TUBULAR REDONDO Estado: Regular Placa anterior: 000012046 Material: METALICO Color: NARANJA Y GRIS Referencia:  Observacion:  Placa padre:  Tipo adquisicion : Entidad</v>
      </c>
      <c r="G16800" s="5"/>
    </row>
    <row r="16801" spans="1:7" ht="58.5" customHeight="1" x14ac:dyDescent="0.25">
      <c r="A16801" s="5" t="str">
        <f>"H0021587"</f>
        <v>H0021587</v>
      </c>
      <c r="B16801" s="5" t="str">
        <f t="shared" si="859"/>
        <v>ANDAMIO</v>
      </c>
      <c r="C16801" s="6">
        <v>1759.6</v>
      </c>
      <c r="D16801" s="5"/>
      <c r="E16801" s="5" t="str">
        <f t="shared" si="857"/>
        <v>ELEMENTOS EN BODEGA USADOS</v>
      </c>
      <c r="F16801" s="5" t="str">
        <f>"Descripcion:ANDAMIO TUBULAR REDONDO Estado: Regular Placa anterior: 000012044 Material: METALICO Color: NARANJA Y GRIS Referencia:  Observacion:  Placa padre:  Tipo adquisicion : Entidad"</f>
        <v>Descripcion:ANDAMIO TUBULAR REDONDO Estado: Regular Placa anterior: 000012044 Material: METALICO Color: NARANJA Y GRIS Referencia:  Observacion:  Placa padre:  Tipo adquisicion : Entidad</v>
      </c>
      <c r="G16801" s="5"/>
    </row>
    <row r="16802" spans="1:7" ht="58.5" customHeight="1" x14ac:dyDescent="0.25">
      <c r="A16802" s="5" t="str">
        <f>"H0021588"</f>
        <v>H0021588</v>
      </c>
      <c r="B16802" s="5" t="str">
        <f t="shared" si="859"/>
        <v>ANDAMIO</v>
      </c>
      <c r="C16802" s="6">
        <v>1759.6</v>
      </c>
      <c r="D16802" s="5"/>
      <c r="E16802" s="5" t="str">
        <f t="shared" si="857"/>
        <v>ELEMENTOS EN BODEGA USADOS</v>
      </c>
      <c r="F16802" s="5" t="str">
        <f>"Descripcion:ANDAMIO TUBULAR REDONDO Estado: Regular Placa anterior: 000012047 Material: METALICO Color: NARANJA Y GRIS Referencia:  Observacion:  Placa padre:  Tipo adquisicion : Entidad"</f>
        <v>Descripcion:ANDAMIO TUBULAR REDONDO Estado: Regular Placa anterior: 000012047 Material: METALICO Color: NARANJA Y GRIS Referencia:  Observacion:  Placa padre:  Tipo adquisicion : Entidad</v>
      </c>
      <c r="G16802" s="5"/>
    </row>
    <row r="16803" spans="1:7" ht="58.5" customHeight="1" x14ac:dyDescent="0.25">
      <c r="A16803" s="5" t="str">
        <f>"H0021710"</f>
        <v>H0021710</v>
      </c>
      <c r="B16803" s="5" t="str">
        <f>"LAMPARA DE FOTOTERAPIA"</f>
        <v>LAMPARA DE FOTOTERAPIA</v>
      </c>
      <c r="C16803" s="6">
        <v>1856000</v>
      </c>
      <c r="D16803" s="5" t="s">
        <v>175</v>
      </c>
      <c r="E16803" s="5" t="str">
        <f t="shared" ref="E16803:E16866" si="860">"ELEMENTOS EN BODEGA USADOS"</f>
        <v>ELEMENTOS EN BODEGA USADOS</v>
      </c>
      <c r="F16803" s="5" t="str">
        <f>"Descripcion:LAMPARA DE FOTOTERAPIA LUZ LED MODELO LEDNEO MARC KRAMER SERIALES 2020410- 20120402- 20120403- 20120405- INVIMA, ECB-0007963 PEDESTAL DE SOPORTE ESTRUCTURA METALICA EN COLD ROLLED Y ACERO INOXIDABLE BASE DE CUATRO RUEDAS COLUMNAS DE ALTURA AJU"&amp; "STABLE EN E Estado: Inservible Placa anterior: 000030249 Material: METALICO Color: AZUL Y BLANCO Referencia:  Observacion:  Placa padre:  Tipo adquisicion : Donacion"</f>
        <v>Descripcion:LAMPARA DE FOTOTERAPIA LUZ LED MODELO LEDNEO MARC KRAMER SERIALES 2020410- 20120402- 20120403- 20120405- INVIMA, ECB-0007963 PEDESTAL DE SOPORTE ESTRUCTURA METALICA EN COLD ROLLED Y ACERO INOXIDABLE BASE DE CUATRO RUEDAS COLUMNAS DE ALTURA AJUSTABLE EN E Estado: Inservible Placa anterior: 000030249 Material: METALICO Color: AZUL Y BLANCO Referencia:  Observacion:  Placa padre:  Tipo adquisicion : Donacion</v>
      </c>
      <c r="G16803" s="5" t="str">
        <f>"LEONED  -  LEDNEO"</f>
        <v>LEONED  -  LEDNEO</v>
      </c>
    </row>
    <row r="16804" spans="1:7" ht="58.5" customHeight="1" x14ac:dyDescent="0.25">
      <c r="A16804" s="5" t="str">
        <f>"H0021713"</f>
        <v>H0021713</v>
      </c>
      <c r="B16804" s="5" t="str">
        <f>"NEGATOSCOPIO"</f>
        <v>NEGATOSCOPIO</v>
      </c>
      <c r="C16804" s="6">
        <v>700000</v>
      </c>
      <c r="D16804" s="5"/>
      <c r="E16804" s="5" t="str">
        <f t="shared" si="860"/>
        <v>ELEMENTOS EN BODEGA USADOS</v>
      </c>
      <c r="F16804" s="5" t="str">
        <f>"Descripcion:NEGATOSCOPIO DE DOS CUERPOS Estado: Inservible Placa anterior: 000033309 Material: PASTA Color: NARANJA Referencia:  Observacion: AUTORIZADO CONCILIAR EN CRUCE GENERAL Placa padre:  Tipo adquisicion : Entidad"</f>
        <v>Descripcion:NEGATOSCOPIO DE DOS CUERPOS Estado: Inservible Placa anterior: 000033309 Material: PASTA Color: NARANJA Referencia:  Observacion: AUTORIZADO CONCILIAR EN CRUCE GENERAL Placa padre:  Tipo adquisicion : Entidad</v>
      </c>
      <c r="G16804" s="5"/>
    </row>
    <row r="16805" spans="1:7" ht="58.5" customHeight="1" x14ac:dyDescent="0.25">
      <c r="A16805" s="5" t="str">
        <f>"H0022147"</f>
        <v>H0022147</v>
      </c>
      <c r="B1680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6805" s="6">
        <v>241999.99</v>
      </c>
      <c r="D16805" s="5" t="s">
        <v>810</v>
      </c>
      <c r="E16805" s="5" t="str">
        <f t="shared" si="860"/>
        <v>ELEMENTOS EN BODEGA USADOS</v>
      </c>
      <c r="F16805" s="5"/>
      <c r="G16805" s="5"/>
    </row>
    <row r="16806" spans="1:7" ht="58.5" customHeight="1" x14ac:dyDescent="0.25">
      <c r="A16806" s="5" t="str">
        <f>"H0022279"</f>
        <v>H0022279</v>
      </c>
      <c r="B16806" s="5" t="str">
        <f>"DESFRIBILADOR"</f>
        <v>DESFRIBILADOR</v>
      </c>
      <c r="C16806" s="6">
        <v>16657600</v>
      </c>
      <c r="D16806" s="5" t="s">
        <v>262</v>
      </c>
      <c r="E16806" s="5" t="str">
        <f t="shared" si="860"/>
        <v>ELEMENTOS EN BODEGA USADOS</v>
      </c>
      <c r="F16806" s="5"/>
      <c r="G16806" s="5"/>
    </row>
    <row r="16807" spans="1:7" ht="58.5" customHeight="1" x14ac:dyDescent="0.25">
      <c r="A16807" s="5" t="str">
        <f>"H0022367"</f>
        <v>H0022367</v>
      </c>
      <c r="B16807" s="5" t="str">
        <f>"PERSIANA VERTICAL CON CADENILLA REFERENCIA COLONIALOSTRA DE 2.50 x 1.30"</f>
        <v>PERSIANA VERTICAL CON CADENILLA REFERENCIA COLONIALOSTRA DE 2.50 x 1.30</v>
      </c>
      <c r="C16807" s="6">
        <v>215760</v>
      </c>
      <c r="D16807" s="5" t="s">
        <v>699</v>
      </c>
      <c r="E16807" s="5" t="str">
        <f t="shared" si="860"/>
        <v>ELEMENTOS EN BODEGA USADOS</v>
      </c>
      <c r="F16807" s="5"/>
      <c r="G16807" s="5"/>
    </row>
    <row r="16808" spans="1:7" ht="58.5" customHeight="1" x14ac:dyDescent="0.25">
      <c r="A16808" s="5" t="str">
        <f>"H0022403"</f>
        <v>H0022403</v>
      </c>
      <c r="B16808" s="5" t="str">
        <f>"AIRE ACONDICIONADO TIPO SPLIT 9000 BTU"</f>
        <v>AIRE ACONDICIONADO TIPO SPLIT 9000 BTU</v>
      </c>
      <c r="C16808" s="6">
        <v>1100000</v>
      </c>
      <c r="D16808" s="5" t="s">
        <v>811</v>
      </c>
      <c r="E16808" s="5" t="str">
        <f t="shared" si="860"/>
        <v>ELEMENTOS EN BODEGA USADOS</v>
      </c>
      <c r="F16808" s="5"/>
      <c r="G16808" s="5" t="str">
        <f>"EASC09F2MBHLW"</f>
        <v>EASC09F2MBHLW</v>
      </c>
    </row>
    <row r="16809" spans="1:7" ht="58.5" customHeight="1" x14ac:dyDescent="0.25">
      <c r="A16809" s="5" t="str">
        <f>"H0022556"</f>
        <v>H0022556</v>
      </c>
      <c r="B16809" s="5" t="str">
        <f>"EQUIPO BASICO PARA RODILLA"</f>
        <v>EQUIPO BASICO PARA RODILLA</v>
      </c>
      <c r="C16809" s="6">
        <v>99165.29</v>
      </c>
      <c r="D16809" s="5"/>
      <c r="E16809" s="5" t="str">
        <f t="shared" si="860"/>
        <v>ELEMENTOS EN BODEGA USADOS</v>
      </c>
      <c r="F16809" s="5" t="str">
        <f>"Descripcion:EQUIPO BASICO PARA RODILLA X 5 PIEZAS Estado: Bueno Placa anterior: 000014941 Material: ACERO INOXIDABLE Color: PLATEADO Referencia:  Observacion:  Placa padre:  Tipo adquisicion : Entidad"</f>
        <v>Descripcion:EQUIPO BASICO PARA RODILLA X 5 PIEZAS Estado: Bueno Placa anterior: 000014941 Material: ACERO INOXIDABLE Color: PLATEADO Referencia:  Observacion:  Placa padre:  Tipo adquisicion : Entidad</v>
      </c>
      <c r="G16809" s="5"/>
    </row>
    <row r="16810" spans="1:7" ht="58.5" customHeight="1" x14ac:dyDescent="0.25">
      <c r="A16810" s="5" t="str">
        <f>"H0022557"</f>
        <v>H0022557</v>
      </c>
      <c r="B16810" s="5" t="str">
        <f>"EQUIPO DE CIRUGIA"</f>
        <v>EQUIPO DE CIRUGIA</v>
      </c>
      <c r="C16810" s="6">
        <v>6063513.3200000003</v>
      </c>
      <c r="D16810" s="5"/>
      <c r="E16810" s="5" t="str">
        <f t="shared" si="860"/>
        <v>ELEMENTOS EN BODEGA USADOS</v>
      </c>
      <c r="F16810" s="5" t="str">
        <f>"Descripcion:EQUIPO CIRUGIA MAYOR ABDOMINAL Y TORAX Estado: Bueno Placa anterior: 000028715 Material: ACERO INOXIDABLE  Color: PLATEADO Referencia:  Observacion:  Placa padre:  Tipo adquisicion : Entidad"</f>
        <v>Descripcion:EQUIPO CIRUGIA MAYOR ABDOMINAL Y TORAX Estado: Bueno Placa anterior: 000028715 Material: ACERO INOXIDABLE  Color: PLATEADO Referencia:  Observacion:  Placa padre:  Tipo adquisicion : Entidad</v>
      </c>
      <c r="G16810" s="5"/>
    </row>
    <row r="16811" spans="1:7" ht="58.5" customHeight="1" x14ac:dyDescent="0.25">
      <c r="A16811" s="5" t="str">
        <f>"H0022558"</f>
        <v>H0022558</v>
      </c>
      <c r="B16811" s="5" t="str">
        <f>"EQUIPO DE CIRUGIA"</f>
        <v>EQUIPO DE CIRUGIA</v>
      </c>
      <c r="C16811" s="6">
        <v>157601</v>
      </c>
      <c r="D16811" s="5"/>
      <c r="E16811" s="5" t="str">
        <f t="shared" si="860"/>
        <v>ELEMENTOS EN BODEGA USADOS</v>
      </c>
      <c r="F16811" s="5" t="str">
        <f>"Descripcion:EQUIPO CIRUGIA MAYOR ABDOMINAL Y TORAX Estado: Bueno Placa anterior: 000028714 Material: ACERO INOXIDABLE Color: PLATEADO Referencia:  Observacion:  Placa padre:  Tipo adquisicion : Entidad"</f>
        <v>Descripcion:EQUIPO CIRUGIA MAYOR ABDOMINAL Y TORAX Estado: Bueno Placa anterior: 000028714 Material: ACERO INOXIDABLE Color: PLATEADO Referencia:  Observacion:  Placa padre:  Tipo adquisicion : Entidad</v>
      </c>
      <c r="G16811" s="5"/>
    </row>
    <row r="16812" spans="1:7" ht="58.5" customHeight="1" x14ac:dyDescent="0.25">
      <c r="A16812" s="5" t="str">
        <f>"H0022559"</f>
        <v>H0022559</v>
      </c>
      <c r="B16812" s="5" t="str">
        <f>"INCUBADORA CERRADA"</f>
        <v>INCUBADORA CERRADA</v>
      </c>
      <c r="C16812" s="6">
        <v>29999990</v>
      </c>
      <c r="D16812" s="5"/>
      <c r="E16812" s="5" t="str">
        <f t="shared" si="860"/>
        <v>ELEMENTOS EN BODEGA USADOS</v>
      </c>
      <c r="F16812" s="5" t="str">
        <f>"Descripcion:INCUBADORA PARA CUIDADO INTENSIVO DE RECIEN NACIDO PARA FINES TERAPEUTICOS Estado: Bueno Placa anterior: 000022737 Material:  Color:  Referencia:  Observacion:  Placa padre:  Tipo adquisicion : Entidad"</f>
        <v>Descripcion:INCUBADORA PARA CUIDADO INTENSIVO DE RECIEN NACIDO PARA FINES TERAPEUTICOS Estado: Bueno Placa anterior: 000022737 Material:  Color:  Referencia:  Observacion:  Placa padre:  Tipo adquisicion : Entidad</v>
      </c>
      <c r="G16812" s="5" t="str">
        <f>"PC -305"</f>
        <v>PC -305</v>
      </c>
    </row>
    <row r="16813" spans="1:7" ht="58.5" customHeight="1" x14ac:dyDescent="0.25">
      <c r="A16813" s="5" t="str">
        <f>"H0022561"</f>
        <v>H0022561</v>
      </c>
      <c r="B16813" s="5" t="str">
        <f>"LENTE PARA LAMPARA DE HENDIDURA"</f>
        <v>LENTE PARA LAMPARA DE HENDIDURA</v>
      </c>
      <c r="C16813" s="6">
        <v>73696.75</v>
      </c>
      <c r="D16813" s="5"/>
      <c r="E16813" s="5" t="str">
        <f t="shared" si="860"/>
        <v>ELEMENTOS EN BODEGA USADOS</v>
      </c>
      <c r="F16813" s="5" t="str">
        <f>"Descripcion:LENTE DE CONTACTO PARA LAMPARA DE HENDIDURA Estado: Bueno Placa anterior: 000014939 Material:  Color:  Referencia:  Observacion:  Placa padre:  Tipo adquisicion : Entidad"</f>
        <v>Descripcion:LENTE DE CONTACTO PARA LAMPARA DE HENDIDURA Estado: Bueno Placa anterior: 000014939 Material:  Color:  Referencia:  Observacion:  Placa padre:  Tipo adquisicion : Entidad</v>
      </c>
      <c r="G16813" s="5"/>
    </row>
    <row r="16814" spans="1:7" ht="58.5" customHeight="1" x14ac:dyDescent="0.25">
      <c r="A16814" s="5" t="str">
        <f>"H0022581"</f>
        <v>H0022581</v>
      </c>
      <c r="B16814" s="5" t="str">
        <f>"BALANZA ANALOGA DE PISO (PESO) SIN TALLIMETRO"</f>
        <v>BALANZA ANALOGA DE PISO (PESO) SIN TALLIMETRO</v>
      </c>
      <c r="C16814" s="6">
        <v>20880.55</v>
      </c>
      <c r="D16814" s="5"/>
      <c r="E16814" s="5" t="str">
        <f t="shared" si="860"/>
        <v>ELEMENTOS EN BODEGA USADOS</v>
      </c>
      <c r="F16814" s="5" t="str">
        <f>"Descripcion:PESO DE PIE Estado: Bueno Placa anterior: 000007536 Material: METALICO Color: BLANCO Referencia:  Observacion:  Placa padre:  Tipo adquisicion : Entidad"</f>
        <v>Descripcion:PESO DE PIE Estado: Bueno Placa anterior: 000007536 Material: METALICO Color: BLANCO Referencia:  Observacion:  Placa padre:  Tipo adquisicion : Entidad</v>
      </c>
      <c r="G16814" s="5"/>
    </row>
    <row r="16815" spans="1:7" ht="58.5" customHeight="1" x14ac:dyDescent="0.25">
      <c r="A16815" s="5" t="str">
        <f>"H0022608"</f>
        <v>H0022608</v>
      </c>
      <c r="B16815" s="5" t="str">
        <f>"AIRE ACONDICIONADO TIPO VENTANA 12000 BTU"</f>
        <v>AIRE ACONDICIONADO TIPO VENTANA 12000 BTU</v>
      </c>
      <c r="C16815" s="6">
        <v>880000</v>
      </c>
      <c r="D16815" s="5"/>
      <c r="E16815" s="5" t="str">
        <f t="shared" si="860"/>
        <v>ELEMENTOS EN BODEGA USADOS</v>
      </c>
      <c r="F16815" s="5" t="str">
        <f>"Descripcion: AIRE ACONDICIONADO DE VENTANA CON CONTROL REMOTO LG.LSG-123 CSK1 OSCILACION AUTOMATICA Estado: Bueno Placa anterior: 000022607 Material: PASTA Color: BLANCO Referencia: MEZ61885111  /  W182 Observacion:  Placa padre: Tipo adquisicion: Entidad"&amp; ""</f>
        <v>Descripcion: AIRE ACONDICIONADO DE VENTANA CON CONTROL REMOTO LG.LSG-123 CSK1 OSCILACION AUTOMATICA Estado: Bueno Placa anterior: 000022607 Material: PASTA Color: BLANCO Referencia: MEZ61885111  /  W182 Observacion:  Placa padre: Tipo adquisicion: Entidad</v>
      </c>
      <c r="G16815" s="5" t="str">
        <f>"LWC123CSMK1"</f>
        <v>LWC123CSMK1</v>
      </c>
    </row>
    <row r="16816" spans="1:7" ht="58.5" customHeight="1" x14ac:dyDescent="0.25">
      <c r="A16816" s="5" t="str">
        <f>"H0022716"</f>
        <v>H0022716</v>
      </c>
      <c r="B16816" s="5" t="str">
        <f>"FIBROCOLONOSCOPIO (COLONOSCOPIO)"</f>
        <v>FIBROCOLONOSCOPIO (COLONOSCOPIO)</v>
      </c>
      <c r="C16816" s="6">
        <v>12001366</v>
      </c>
      <c r="D16816" s="5"/>
      <c r="E16816" s="5" t="str">
        <f t="shared" si="860"/>
        <v>ELEMENTOS EN BODEGA USADOS</v>
      </c>
      <c r="F16816" s="5" t="str">
        <f>"Descripcion:COLONOSCOPIO MCA. OLIMPUS MOD. CF-VL Estado: Malo Placa anterior: 000003555 Material:  Color: NEGRO Referencia:  Observacion: PARA DAR DE BAJA  SE ENCUENTRA UBICADO EN ENDOSCOPIA Placa padre:  Tipo adquisicion : Entidad"</f>
        <v>Descripcion:COLONOSCOPIO MCA. OLIMPUS MOD. CF-VL Estado: Malo Placa anterior: 000003555 Material:  Color: NEGRO Referencia:  Observacion: PARA DAR DE BAJA  SE ENCUENTRA UBICADO EN ENDOSCOPIA Placa padre:  Tipo adquisicion : Entidad</v>
      </c>
      <c r="G16816" s="5" t="str">
        <f>"CF-VL"</f>
        <v>CF-VL</v>
      </c>
    </row>
    <row r="16817" spans="1:7" ht="58.5" customHeight="1" x14ac:dyDescent="0.25">
      <c r="A16817" s="5" t="str">
        <f>"H0022718"</f>
        <v>H0022718</v>
      </c>
      <c r="B16817" s="5" t="str">
        <f>"ESOFAGO GASTRO DUODENO FIBROSCOPIO (DUODENOFIBROSCOPIO)"</f>
        <v>ESOFAGO GASTRO DUODENO FIBROSCOPIO (DUODENOFIBROSCOPIO)</v>
      </c>
      <c r="C16817" s="6">
        <v>8000000</v>
      </c>
      <c r="D16817" s="5"/>
      <c r="E16817" s="5" t="str">
        <f t="shared" si="860"/>
        <v>ELEMENTOS EN BODEGA USADOS</v>
      </c>
      <c r="F16817" s="5" t="str">
        <f>"Descripcion:DUODENOFIBROSCOPIO MCA. OLYMPUS MOD. JF-IT-20 TOTALMENTE SUMERGIBLE CON: 2 PINZAS PARA BIOPSIA, 1 CEPILLO PARA LIMPIEZA, 2 ADAPTADORES DE CANAL, 10 VALVULAS SEMIDESCARTABLES, 1 LLAVE 3 VIAS Estado: Malo Placa anterior: 000003191 Material:  Col"&amp; "or: NEGRO Referencia:  Observacion: PARA DAR DE BAJA  SE ENCUENTRA UBICADO EN ENDOSCOPIA Placa padre:  Tipo adquisicion : Entidad"</f>
        <v>Descripcion:DUODENOFIBROSCOPIO MCA. OLYMPUS MOD. JF-IT-20 TOTALMENTE SUMERGIBLE CON: 2 PINZAS PARA BIOPSIA, 1 CEPILLO PARA LIMPIEZA, 2 ADAPTADORES DE CANAL, 10 VALVULAS SEMIDESCARTABLES, 1 LLAVE 3 VIAS Estado: Malo Placa anterior: 000003191 Material:  Color: NEGRO Referencia:  Observacion: PARA DAR DE BAJA  SE ENCUENTRA UBICADO EN ENDOSCOPIA Placa padre:  Tipo adquisicion : Entidad</v>
      </c>
      <c r="G16817" s="5" t="str">
        <f>"JF-IT-20"</f>
        <v>JF-IT-20</v>
      </c>
    </row>
    <row r="16818" spans="1:7" ht="58.5" customHeight="1" x14ac:dyDescent="0.25">
      <c r="A16818" s="5" t="str">
        <f>"H0024636"</f>
        <v>H0024636</v>
      </c>
      <c r="B16818" s="5" t="str">
        <f>"SILLA OPERATIVA LÍNEA RAHE MEDIA F/B-F, ESPALDAR MEDIO Y ASIENTE EN ESPUMA DE ALTA DENSIDAD, TAPIZADO EN PAÑO."</f>
        <v>SILLA OPERATIVA LÍNEA RAHE MEDIA F/B-F, ESPALDAR MEDIO Y ASIENTE EN ESPUMA DE ALTA DENSIDAD, TAPIZADO EN PAÑO.</v>
      </c>
      <c r="C16818" s="6">
        <v>317840</v>
      </c>
      <c r="D16818" s="5" t="s">
        <v>36</v>
      </c>
      <c r="E16818" s="5" t="str">
        <f t="shared" si="860"/>
        <v>ELEMENTOS EN BODEGA USADOS</v>
      </c>
      <c r="F16818" s="5"/>
      <c r="G16818" s="5"/>
    </row>
    <row r="16819" spans="1:7" ht="58.5" customHeight="1" x14ac:dyDescent="0.25">
      <c r="A16819" s="5" t="str">
        <f>"H0025335"</f>
        <v>H0025335</v>
      </c>
      <c r="B1681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6819" s="6">
        <v>312156</v>
      </c>
      <c r="D16819" s="5" t="s">
        <v>10</v>
      </c>
      <c r="E16819" s="5" t="str">
        <f t="shared" si="860"/>
        <v>ELEMENTOS EN BODEGA USADOS</v>
      </c>
      <c r="F16819" s="5"/>
      <c r="G16819" s="5"/>
    </row>
    <row r="16820" spans="1:7" ht="58.5" customHeight="1" x14ac:dyDescent="0.25">
      <c r="A16820" s="5" t="str">
        <f>"H0025707"</f>
        <v>H0025707</v>
      </c>
      <c r="B16820" s="5" t="str">
        <f>"VENTILADOR PULMONAR"</f>
        <v>VENTILADOR PULMONAR</v>
      </c>
      <c r="C16820" s="6">
        <v>36152200</v>
      </c>
      <c r="D16820" s="5" t="s">
        <v>758</v>
      </c>
      <c r="E16820" s="5" t="str">
        <f t="shared" si="860"/>
        <v>ELEMENTOS EN BODEGA USADOS</v>
      </c>
      <c r="F16820" s="5"/>
      <c r="G16820" s="5"/>
    </row>
    <row r="16821" spans="1:7" ht="58.5" customHeight="1" x14ac:dyDescent="0.25">
      <c r="A16821" s="5" t="str">
        <f>"H0026787"</f>
        <v>H0026787</v>
      </c>
      <c r="B16821" s="5" t="str">
        <f>"ELIPTICA (Donación)"</f>
        <v>ELIPTICA (Donación)</v>
      </c>
      <c r="C16821" s="6">
        <v>850000</v>
      </c>
      <c r="D16821" s="5" t="s">
        <v>78</v>
      </c>
      <c r="E16821" s="5" t="str">
        <f t="shared" si="860"/>
        <v>ELEMENTOS EN BODEGA USADOS</v>
      </c>
      <c r="F16821" s="5"/>
      <c r="G16821" s="5"/>
    </row>
    <row r="16822" spans="1:7" ht="58.5" customHeight="1" x14ac:dyDescent="0.25">
      <c r="A16822" s="5" t="str">
        <f>"H0026813"</f>
        <v>H0026813</v>
      </c>
      <c r="B16822" s="5" t="str">
        <f t="shared" ref="B16822:B16852" si="861">"BOMBA DE INFUSION"</f>
        <v>BOMBA DE INFUSION</v>
      </c>
      <c r="C16822" s="6">
        <v>1000000</v>
      </c>
      <c r="D16822" s="5" t="s">
        <v>351</v>
      </c>
      <c r="E16822" s="5" t="str">
        <f t="shared" si="860"/>
        <v>ELEMENTOS EN BODEGA USADOS</v>
      </c>
      <c r="F16822" s="5"/>
      <c r="G16822" s="5"/>
    </row>
    <row r="16823" spans="1:7" ht="58.5" customHeight="1" x14ac:dyDescent="0.25">
      <c r="A16823" s="5" t="str">
        <f>"H0026822"</f>
        <v>H0026822</v>
      </c>
      <c r="B16823" s="5" t="str">
        <f t="shared" si="861"/>
        <v>BOMBA DE INFUSION</v>
      </c>
      <c r="C16823" s="6">
        <v>1000000</v>
      </c>
      <c r="D16823" s="5" t="s">
        <v>351</v>
      </c>
      <c r="E16823" s="5" t="str">
        <f t="shared" si="860"/>
        <v>ELEMENTOS EN BODEGA USADOS</v>
      </c>
      <c r="F16823" s="5"/>
      <c r="G16823" s="5"/>
    </row>
    <row r="16824" spans="1:7" ht="58.5" customHeight="1" x14ac:dyDescent="0.25">
      <c r="A16824" s="5" t="str">
        <f>"H0026827"</f>
        <v>H0026827</v>
      </c>
      <c r="B16824" s="5" t="str">
        <f t="shared" si="861"/>
        <v>BOMBA DE INFUSION</v>
      </c>
      <c r="C16824" s="6">
        <v>1000000</v>
      </c>
      <c r="D16824" s="5" t="s">
        <v>351</v>
      </c>
      <c r="E16824" s="5" t="str">
        <f t="shared" si="860"/>
        <v>ELEMENTOS EN BODEGA USADOS</v>
      </c>
      <c r="F16824" s="5"/>
      <c r="G16824" s="5"/>
    </row>
    <row r="16825" spans="1:7" ht="58.5" customHeight="1" x14ac:dyDescent="0.25">
      <c r="A16825" s="5" t="str">
        <f>"H0026829"</f>
        <v>H0026829</v>
      </c>
      <c r="B16825" s="5" t="str">
        <f t="shared" si="861"/>
        <v>BOMBA DE INFUSION</v>
      </c>
      <c r="C16825" s="6">
        <v>1000000</v>
      </c>
      <c r="D16825" s="5" t="s">
        <v>351</v>
      </c>
      <c r="E16825" s="5" t="str">
        <f t="shared" si="860"/>
        <v>ELEMENTOS EN BODEGA USADOS</v>
      </c>
      <c r="F16825" s="5"/>
      <c r="G16825" s="5"/>
    </row>
    <row r="16826" spans="1:7" ht="58.5" customHeight="1" x14ac:dyDescent="0.25">
      <c r="A16826" s="5" t="str">
        <f>"H0026832"</f>
        <v>H0026832</v>
      </c>
      <c r="B16826" s="5" t="str">
        <f t="shared" si="861"/>
        <v>BOMBA DE INFUSION</v>
      </c>
      <c r="C16826" s="6">
        <v>800000</v>
      </c>
      <c r="D16826" s="5" t="s">
        <v>79</v>
      </c>
      <c r="E16826" s="5" t="str">
        <f t="shared" si="860"/>
        <v>ELEMENTOS EN BODEGA USADOS</v>
      </c>
      <c r="F16826" s="5"/>
      <c r="G16826" s="5" t="str">
        <f>"HK100  II"</f>
        <v>HK100  II</v>
      </c>
    </row>
    <row r="16827" spans="1:7" ht="58.5" customHeight="1" x14ac:dyDescent="0.25">
      <c r="A16827" s="5" t="str">
        <f>"H0026833"</f>
        <v>H0026833</v>
      </c>
      <c r="B16827" s="5" t="str">
        <f t="shared" si="861"/>
        <v>BOMBA DE INFUSION</v>
      </c>
      <c r="C16827" s="6">
        <v>800000</v>
      </c>
      <c r="D16827" s="5" t="s">
        <v>79</v>
      </c>
      <c r="E16827" s="5" t="str">
        <f t="shared" si="860"/>
        <v>ELEMENTOS EN BODEGA USADOS</v>
      </c>
      <c r="F16827" s="5"/>
      <c r="G16827" s="5" t="str">
        <f>"HK 100 II"</f>
        <v>HK 100 II</v>
      </c>
    </row>
    <row r="16828" spans="1:7" ht="58.5" customHeight="1" x14ac:dyDescent="0.25">
      <c r="A16828" s="5" t="str">
        <f>"H0026836"</f>
        <v>H0026836</v>
      </c>
      <c r="B16828" s="5" t="str">
        <f t="shared" si="861"/>
        <v>BOMBA DE INFUSION</v>
      </c>
      <c r="C16828" s="6">
        <v>800000</v>
      </c>
      <c r="D16828" s="5" t="s">
        <v>79</v>
      </c>
      <c r="E16828" s="5" t="str">
        <f t="shared" si="860"/>
        <v>ELEMENTOS EN BODEGA USADOS</v>
      </c>
      <c r="F16828" s="5"/>
      <c r="G16828" s="5"/>
    </row>
    <row r="16829" spans="1:7" ht="58.5" customHeight="1" x14ac:dyDescent="0.25">
      <c r="A16829" s="5" t="str">
        <f>"H0026840"</f>
        <v>H0026840</v>
      </c>
      <c r="B16829" s="5" t="str">
        <f t="shared" si="861"/>
        <v>BOMBA DE INFUSION</v>
      </c>
      <c r="C16829" s="6">
        <v>800000</v>
      </c>
      <c r="D16829" s="5" t="s">
        <v>79</v>
      </c>
      <c r="E16829" s="5" t="str">
        <f t="shared" si="860"/>
        <v>ELEMENTOS EN BODEGA USADOS</v>
      </c>
      <c r="F16829" s="5"/>
      <c r="G16829" s="5"/>
    </row>
    <row r="16830" spans="1:7" ht="58.5" customHeight="1" x14ac:dyDescent="0.25">
      <c r="A16830" s="5" t="str">
        <f>"H0026842"</f>
        <v>H0026842</v>
      </c>
      <c r="B16830" s="5" t="str">
        <f t="shared" si="861"/>
        <v>BOMBA DE INFUSION</v>
      </c>
      <c r="C16830" s="6">
        <v>800000</v>
      </c>
      <c r="D16830" s="5" t="s">
        <v>79</v>
      </c>
      <c r="E16830" s="5" t="str">
        <f t="shared" si="860"/>
        <v>ELEMENTOS EN BODEGA USADOS</v>
      </c>
      <c r="F16830" s="5"/>
      <c r="G16830" s="5"/>
    </row>
    <row r="16831" spans="1:7" ht="58.5" customHeight="1" x14ac:dyDescent="0.25">
      <c r="A16831" s="5" t="str">
        <f>"H0026843"</f>
        <v>H0026843</v>
      </c>
      <c r="B16831" s="5" t="str">
        <f t="shared" si="861"/>
        <v>BOMBA DE INFUSION</v>
      </c>
      <c r="C16831" s="6">
        <v>800000</v>
      </c>
      <c r="D16831" s="5" t="s">
        <v>79</v>
      </c>
      <c r="E16831" s="5" t="str">
        <f t="shared" si="860"/>
        <v>ELEMENTOS EN BODEGA USADOS</v>
      </c>
      <c r="F16831" s="5"/>
      <c r="G16831" s="5"/>
    </row>
    <row r="16832" spans="1:7" ht="58.5" customHeight="1" x14ac:dyDescent="0.25">
      <c r="A16832" s="5" t="str">
        <f>"H0026847"</f>
        <v>H0026847</v>
      </c>
      <c r="B16832" s="5" t="str">
        <f t="shared" si="861"/>
        <v>BOMBA DE INFUSION</v>
      </c>
      <c r="C16832" s="6">
        <v>800000</v>
      </c>
      <c r="D16832" s="5" t="s">
        <v>79</v>
      </c>
      <c r="E16832" s="5" t="str">
        <f t="shared" si="860"/>
        <v>ELEMENTOS EN BODEGA USADOS</v>
      </c>
      <c r="F16832" s="5"/>
      <c r="G16832" s="5"/>
    </row>
    <row r="16833" spans="1:7" ht="58.5" customHeight="1" x14ac:dyDescent="0.25">
      <c r="A16833" s="5" t="str">
        <f>"H0026862"</f>
        <v>H0026862</v>
      </c>
      <c r="B16833" s="5" t="str">
        <f t="shared" si="861"/>
        <v>BOMBA DE INFUSION</v>
      </c>
      <c r="C16833" s="6">
        <v>800000</v>
      </c>
      <c r="D16833" s="5" t="s">
        <v>79</v>
      </c>
      <c r="E16833" s="5" t="str">
        <f t="shared" si="860"/>
        <v>ELEMENTOS EN BODEGA USADOS</v>
      </c>
      <c r="F16833" s="5"/>
      <c r="G16833" s="5"/>
    </row>
    <row r="16834" spans="1:7" ht="58.5" customHeight="1" x14ac:dyDescent="0.25">
      <c r="A16834" s="5" t="str">
        <f>"H0026866"</f>
        <v>H0026866</v>
      </c>
      <c r="B16834" s="5" t="str">
        <f t="shared" si="861"/>
        <v>BOMBA DE INFUSION</v>
      </c>
      <c r="C16834" s="6">
        <v>800000</v>
      </c>
      <c r="D16834" s="5" t="s">
        <v>79</v>
      </c>
      <c r="E16834" s="5" t="str">
        <f t="shared" si="860"/>
        <v>ELEMENTOS EN BODEGA USADOS</v>
      </c>
      <c r="F16834" s="5"/>
      <c r="G16834" s="5"/>
    </row>
    <row r="16835" spans="1:7" ht="58.5" customHeight="1" x14ac:dyDescent="0.25">
      <c r="A16835" s="5" t="str">
        <f>"H0026872"</f>
        <v>H0026872</v>
      </c>
      <c r="B16835" s="5" t="str">
        <f t="shared" si="861"/>
        <v>BOMBA DE INFUSION</v>
      </c>
      <c r="C16835" s="6">
        <v>800000</v>
      </c>
      <c r="D16835" s="5" t="s">
        <v>79</v>
      </c>
      <c r="E16835" s="5" t="str">
        <f t="shared" si="860"/>
        <v>ELEMENTOS EN BODEGA USADOS</v>
      </c>
      <c r="F16835" s="5"/>
      <c r="G16835" s="5"/>
    </row>
    <row r="16836" spans="1:7" ht="58.5" customHeight="1" x14ac:dyDescent="0.25">
      <c r="A16836" s="5" t="str">
        <f>"H0026873"</f>
        <v>H0026873</v>
      </c>
      <c r="B16836" s="5" t="str">
        <f t="shared" si="861"/>
        <v>BOMBA DE INFUSION</v>
      </c>
      <c r="C16836" s="6">
        <v>800000</v>
      </c>
      <c r="D16836" s="5" t="s">
        <v>79</v>
      </c>
      <c r="E16836" s="5" t="str">
        <f t="shared" si="860"/>
        <v>ELEMENTOS EN BODEGA USADOS</v>
      </c>
      <c r="F16836" s="5"/>
      <c r="G16836" s="5"/>
    </row>
    <row r="16837" spans="1:7" ht="58.5" customHeight="1" x14ac:dyDescent="0.25">
      <c r="A16837" s="5" t="str">
        <f>"H0026876"</f>
        <v>H0026876</v>
      </c>
      <c r="B16837" s="5" t="str">
        <f t="shared" si="861"/>
        <v>BOMBA DE INFUSION</v>
      </c>
      <c r="C16837" s="6">
        <v>800000</v>
      </c>
      <c r="D16837" s="5" t="s">
        <v>79</v>
      </c>
      <c r="E16837" s="5" t="str">
        <f t="shared" si="860"/>
        <v>ELEMENTOS EN BODEGA USADOS</v>
      </c>
      <c r="F16837" s="5"/>
      <c r="G16837" s="5"/>
    </row>
    <row r="16838" spans="1:7" ht="58.5" customHeight="1" x14ac:dyDescent="0.25">
      <c r="A16838" s="5" t="str">
        <f>"H0026877"</f>
        <v>H0026877</v>
      </c>
      <c r="B16838" s="5" t="str">
        <f t="shared" si="861"/>
        <v>BOMBA DE INFUSION</v>
      </c>
      <c r="C16838" s="6">
        <v>800000</v>
      </c>
      <c r="D16838" s="5" t="s">
        <v>79</v>
      </c>
      <c r="E16838" s="5" t="str">
        <f t="shared" si="860"/>
        <v>ELEMENTOS EN BODEGA USADOS</v>
      </c>
      <c r="F16838" s="5"/>
      <c r="G16838" s="5"/>
    </row>
    <row r="16839" spans="1:7" ht="58.5" customHeight="1" x14ac:dyDescent="0.25">
      <c r="A16839" s="5" t="str">
        <f>"H0026884"</f>
        <v>H0026884</v>
      </c>
      <c r="B16839" s="5" t="str">
        <f t="shared" si="861"/>
        <v>BOMBA DE INFUSION</v>
      </c>
      <c r="C16839" s="6">
        <v>800000</v>
      </c>
      <c r="D16839" s="5" t="s">
        <v>79</v>
      </c>
      <c r="E16839" s="5" t="str">
        <f t="shared" si="860"/>
        <v>ELEMENTOS EN BODEGA USADOS</v>
      </c>
      <c r="F16839" s="5"/>
      <c r="G16839" s="5"/>
    </row>
    <row r="16840" spans="1:7" ht="58.5" customHeight="1" x14ac:dyDescent="0.25">
      <c r="A16840" s="5" t="str">
        <f>"H0026888"</f>
        <v>H0026888</v>
      </c>
      <c r="B16840" s="5" t="str">
        <f t="shared" si="861"/>
        <v>BOMBA DE INFUSION</v>
      </c>
      <c r="C16840" s="6">
        <v>800000</v>
      </c>
      <c r="D16840" s="5" t="s">
        <v>79</v>
      </c>
      <c r="E16840" s="5" t="str">
        <f t="shared" si="860"/>
        <v>ELEMENTOS EN BODEGA USADOS</v>
      </c>
      <c r="F16840" s="5"/>
      <c r="G16840" s="5"/>
    </row>
    <row r="16841" spans="1:7" ht="58.5" customHeight="1" x14ac:dyDescent="0.25">
      <c r="A16841" s="5" t="str">
        <f>"H0026892"</f>
        <v>H0026892</v>
      </c>
      <c r="B16841" s="5" t="str">
        <f t="shared" si="861"/>
        <v>BOMBA DE INFUSION</v>
      </c>
      <c r="C16841" s="6">
        <v>800000</v>
      </c>
      <c r="D16841" s="5" t="s">
        <v>79</v>
      </c>
      <c r="E16841" s="5" t="str">
        <f t="shared" si="860"/>
        <v>ELEMENTOS EN BODEGA USADOS</v>
      </c>
      <c r="F16841" s="5"/>
      <c r="G16841" s="5"/>
    </row>
    <row r="16842" spans="1:7" ht="58.5" customHeight="1" x14ac:dyDescent="0.25">
      <c r="A16842" s="5" t="str">
        <f>"H0026893"</f>
        <v>H0026893</v>
      </c>
      <c r="B16842" s="5" t="str">
        <f t="shared" si="861"/>
        <v>BOMBA DE INFUSION</v>
      </c>
      <c r="C16842" s="6">
        <v>800000</v>
      </c>
      <c r="D16842" s="5" t="s">
        <v>79</v>
      </c>
      <c r="E16842" s="5" t="str">
        <f t="shared" si="860"/>
        <v>ELEMENTOS EN BODEGA USADOS</v>
      </c>
      <c r="F16842" s="5"/>
      <c r="G16842" s="5"/>
    </row>
    <row r="16843" spans="1:7" ht="58.5" customHeight="1" x14ac:dyDescent="0.25">
      <c r="A16843" s="5" t="str">
        <f>"H0026911"</f>
        <v>H0026911</v>
      </c>
      <c r="B16843" s="5" t="str">
        <f t="shared" si="861"/>
        <v>BOMBA DE INFUSION</v>
      </c>
      <c r="C16843" s="6">
        <v>800000</v>
      </c>
      <c r="D16843" s="5" t="s">
        <v>79</v>
      </c>
      <c r="E16843" s="5" t="str">
        <f t="shared" si="860"/>
        <v>ELEMENTOS EN BODEGA USADOS</v>
      </c>
      <c r="F16843" s="5"/>
      <c r="G16843" s="5"/>
    </row>
    <row r="16844" spans="1:7" ht="58.5" customHeight="1" x14ac:dyDescent="0.25">
      <c r="A16844" s="5" t="str">
        <f>"H0026915"</f>
        <v>H0026915</v>
      </c>
      <c r="B16844" s="5" t="str">
        <f t="shared" si="861"/>
        <v>BOMBA DE INFUSION</v>
      </c>
      <c r="C16844" s="6">
        <v>800000</v>
      </c>
      <c r="D16844" s="5" t="s">
        <v>79</v>
      </c>
      <c r="E16844" s="5" t="str">
        <f t="shared" si="860"/>
        <v>ELEMENTOS EN BODEGA USADOS</v>
      </c>
      <c r="F16844" s="5"/>
      <c r="G16844" s="5"/>
    </row>
    <row r="16845" spans="1:7" ht="58.5" customHeight="1" x14ac:dyDescent="0.25">
      <c r="A16845" s="5" t="str">
        <f>"H0026919"</f>
        <v>H0026919</v>
      </c>
      <c r="B16845" s="5" t="str">
        <f t="shared" si="861"/>
        <v>BOMBA DE INFUSION</v>
      </c>
      <c r="C16845" s="6">
        <v>800000</v>
      </c>
      <c r="D16845" s="5" t="s">
        <v>79</v>
      </c>
      <c r="E16845" s="5" t="str">
        <f t="shared" si="860"/>
        <v>ELEMENTOS EN BODEGA USADOS</v>
      </c>
      <c r="F16845" s="5"/>
      <c r="G16845" s="5"/>
    </row>
    <row r="16846" spans="1:7" ht="58.5" customHeight="1" x14ac:dyDescent="0.25">
      <c r="A16846" s="5" t="str">
        <f>"H0026950"</f>
        <v>H0026950</v>
      </c>
      <c r="B16846" s="5" t="str">
        <f t="shared" si="861"/>
        <v>BOMBA DE INFUSION</v>
      </c>
      <c r="C16846" s="6">
        <v>800000</v>
      </c>
      <c r="D16846" s="5" t="s">
        <v>79</v>
      </c>
      <c r="E16846" s="5" t="str">
        <f t="shared" si="860"/>
        <v>ELEMENTOS EN BODEGA USADOS</v>
      </c>
      <c r="F16846" s="5"/>
      <c r="G16846" s="5"/>
    </row>
    <row r="16847" spans="1:7" ht="58.5" customHeight="1" x14ac:dyDescent="0.25">
      <c r="A16847" s="5" t="str">
        <f>"H0026951"</f>
        <v>H0026951</v>
      </c>
      <c r="B16847" s="5" t="str">
        <f t="shared" si="861"/>
        <v>BOMBA DE INFUSION</v>
      </c>
      <c r="C16847" s="6">
        <v>800000</v>
      </c>
      <c r="D16847" s="5" t="s">
        <v>79</v>
      </c>
      <c r="E16847" s="5" t="str">
        <f t="shared" si="860"/>
        <v>ELEMENTOS EN BODEGA USADOS</v>
      </c>
      <c r="F16847" s="5"/>
      <c r="G16847" s="5"/>
    </row>
    <row r="16848" spans="1:7" ht="58.5" customHeight="1" x14ac:dyDescent="0.25">
      <c r="A16848" s="5" t="str">
        <f>"H0026952"</f>
        <v>H0026952</v>
      </c>
      <c r="B16848" s="5" t="str">
        <f t="shared" si="861"/>
        <v>BOMBA DE INFUSION</v>
      </c>
      <c r="C16848" s="6">
        <v>800000</v>
      </c>
      <c r="D16848" s="5" t="s">
        <v>79</v>
      </c>
      <c r="E16848" s="5" t="str">
        <f t="shared" si="860"/>
        <v>ELEMENTOS EN BODEGA USADOS</v>
      </c>
      <c r="F16848" s="5"/>
      <c r="G16848" s="5"/>
    </row>
    <row r="16849" spans="1:7" ht="58.5" customHeight="1" x14ac:dyDescent="0.25">
      <c r="A16849" s="5" t="str">
        <f>"H0026953"</f>
        <v>H0026953</v>
      </c>
      <c r="B16849" s="5" t="str">
        <f t="shared" si="861"/>
        <v>BOMBA DE INFUSION</v>
      </c>
      <c r="C16849" s="6">
        <v>800000</v>
      </c>
      <c r="D16849" s="5" t="s">
        <v>79</v>
      </c>
      <c r="E16849" s="5" t="str">
        <f t="shared" si="860"/>
        <v>ELEMENTOS EN BODEGA USADOS</v>
      </c>
      <c r="F16849" s="5"/>
      <c r="G16849" s="5"/>
    </row>
    <row r="16850" spans="1:7" ht="58.5" customHeight="1" x14ac:dyDescent="0.25">
      <c r="A16850" s="5" t="str">
        <f>"H0026954"</f>
        <v>H0026954</v>
      </c>
      <c r="B16850" s="5" t="str">
        <f t="shared" si="861"/>
        <v>BOMBA DE INFUSION</v>
      </c>
      <c r="C16850" s="6">
        <v>800000</v>
      </c>
      <c r="D16850" s="5" t="s">
        <v>79</v>
      </c>
      <c r="E16850" s="5" t="str">
        <f t="shared" si="860"/>
        <v>ELEMENTOS EN BODEGA USADOS</v>
      </c>
      <c r="F16850" s="5"/>
      <c r="G16850" s="5"/>
    </row>
    <row r="16851" spans="1:7" ht="58.5" customHeight="1" x14ac:dyDescent="0.25">
      <c r="A16851" s="5" t="str">
        <f>"H0026956"</f>
        <v>H0026956</v>
      </c>
      <c r="B16851" s="5" t="str">
        <f t="shared" si="861"/>
        <v>BOMBA DE INFUSION</v>
      </c>
      <c r="C16851" s="6">
        <v>800000</v>
      </c>
      <c r="D16851" s="5" t="s">
        <v>79</v>
      </c>
      <c r="E16851" s="5" t="str">
        <f t="shared" si="860"/>
        <v>ELEMENTOS EN BODEGA USADOS</v>
      </c>
      <c r="F16851" s="5"/>
      <c r="G16851" s="5"/>
    </row>
    <row r="16852" spans="1:7" ht="58.5" customHeight="1" x14ac:dyDescent="0.25">
      <c r="A16852" s="5" t="str">
        <f>"H0026957"</f>
        <v>H0026957</v>
      </c>
      <c r="B16852" s="5" t="str">
        <f t="shared" si="861"/>
        <v>BOMBA DE INFUSION</v>
      </c>
      <c r="C16852" s="6">
        <v>800000</v>
      </c>
      <c r="D16852" s="5" t="s">
        <v>79</v>
      </c>
      <c r="E16852" s="5" t="str">
        <f t="shared" si="860"/>
        <v>ELEMENTOS EN BODEGA USADOS</v>
      </c>
      <c r="F16852" s="5"/>
      <c r="G16852" s="5"/>
    </row>
    <row r="16853" spans="1:7" ht="58.5" customHeight="1" x14ac:dyDescent="0.25">
      <c r="A16853" s="5" t="str">
        <f>"H0027027"</f>
        <v>H0027027</v>
      </c>
      <c r="B16853" s="5" t="str">
        <f>"VENTILADOR ADULTO/PEDIATRICO INCLUYE SOPORTE MARCA:SYNOVENT-MINDRAY SERIAL:EC-740033286 (DONACION)"</f>
        <v>VENTILADOR ADULTO/PEDIATRICO INCLUYE SOPORTE MARCA:SYNOVENT-MINDRAY SERIAL:EC-740033286 (DONACION)</v>
      </c>
      <c r="C16853" s="6">
        <v>54806640</v>
      </c>
      <c r="D16853" s="5" t="s">
        <v>460</v>
      </c>
      <c r="E16853" s="5" t="str">
        <f t="shared" si="860"/>
        <v>ELEMENTOS EN BODEGA USADOS</v>
      </c>
      <c r="F16853" s="5"/>
      <c r="G16853" s="5"/>
    </row>
    <row r="16854" spans="1:7" ht="58.5" customHeight="1" x14ac:dyDescent="0.25">
      <c r="A16854" s="5" t="str">
        <f>"H0027044"</f>
        <v>H0027044</v>
      </c>
      <c r="B16854" s="5" t="str">
        <f t="shared" ref="B16854:B16863" si="862">"BOMBA DE INFUSION"</f>
        <v>BOMBA DE INFUSION</v>
      </c>
      <c r="C16854" s="6">
        <v>1200000</v>
      </c>
      <c r="D16854" s="5" t="s">
        <v>81</v>
      </c>
      <c r="E16854" s="5" t="str">
        <f t="shared" si="860"/>
        <v>ELEMENTOS EN BODEGA USADOS</v>
      </c>
      <c r="F16854" s="5"/>
      <c r="G16854" s="5" t="str">
        <f>"HK-100II"</f>
        <v>HK-100II</v>
      </c>
    </row>
    <row r="16855" spans="1:7" ht="58.5" customHeight="1" x14ac:dyDescent="0.25">
      <c r="A16855" s="5" t="str">
        <f>"H0027053"</f>
        <v>H0027053</v>
      </c>
      <c r="B16855" s="5" t="str">
        <f t="shared" si="862"/>
        <v>BOMBA DE INFUSION</v>
      </c>
      <c r="C16855" s="6">
        <v>1200000</v>
      </c>
      <c r="D16855" s="5" t="s">
        <v>81</v>
      </c>
      <c r="E16855" s="5" t="str">
        <f t="shared" si="860"/>
        <v>ELEMENTOS EN BODEGA USADOS</v>
      </c>
      <c r="F16855" s="5"/>
      <c r="G16855" s="5"/>
    </row>
    <row r="16856" spans="1:7" ht="58.5" customHeight="1" x14ac:dyDescent="0.25">
      <c r="A16856" s="5" t="str">
        <f>"H0027063"</f>
        <v>H0027063</v>
      </c>
      <c r="B16856" s="5" t="str">
        <f t="shared" si="862"/>
        <v>BOMBA DE INFUSION</v>
      </c>
      <c r="C16856" s="6">
        <v>1200000</v>
      </c>
      <c r="D16856" s="5" t="s">
        <v>81</v>
      </c>
      <c r="E16856" s="5" t="str">
        <f t="shared" si="860"/>
        <v>ELEMENTOS EN BODEGA USADOS</v>
      </c>
      <c r="F16856" s="5"/>
      <c r="G16856" s="5"/>
    </row>
    <row r="16857" spans="1:7" ht="58.5" customHeight="1" x14ac:dyDescent="0.25">
      <c r="A16857" s="5" t="str">
        <f>"H0027078"</f>
        <v>H0027078</v>
      </c>
      <c r="B16857" s="5" t="str">
        <f t="shared" si="862"/>
        <v>BOMBA DE INFUSION</v>
      </c>
      <c r="C16857" s="6">
        <v>1200000</v>
      </c>
      <c r="D16857" s="5" t="s">
        <v>81</v>
      </c>
      <c r="E16857" s="5" t="str">
        <f t="shared" si="860"/>
        <v>ELEMENTOS EN BODEGA USADOS</v>
      </c>
      <c r="F16857" s="5"/>
      <c r="G16857" s="5"/>
    </row>
    <row r="16858" spans="1:7" ht="58.5" customHeight="1" x14ac:dyDescent="0.25">
      <c r="A16858" s="5" t="str">
        <f>"H0027079"</f>
        <v>H0027079</v>
      </c>
      <c r="B16858" s="5" t="str">
        <f t="shared" si="862"/>
        <v>BOMBA DE INFUSION</v>
      </c>
      <c r="C16858" s="6">
        <v>1200000</v>
      </c>
      <c r="D16858" s="5" t="s">
        <v>81</v>
      </c>
      <c r="E16858" s="5" t="str">
        <f t="shared" si="860"/>
        <v>ELEMENTOS EN BODEGA USADOS</v>
      </c>
      <c r="F16858" s="5"/>
      <c r="G16858" s="5"/>
    </row>
    <row r="16859" spans="1:7" ht="58.5" customHeight="1" x14ac:dyDescent="0.25">
      <c r="A16859" s="5" t="str">
        <f>"H0027085"</f>
        <v>H0027085</v>
      </c>
      <c r="B16859" s="5" t="str">
        <f t="shared" si="862"/>
        <v>BOMBA DE INFUSION</v>
      </c>
      <c r="C16859" s="6">
        <v>1200000</v>
      </c>
      <c r="D16859" s="5" t="s">
        <v>81</v>
      </c>
      <c r="E16859" s="5" t="str">
        <f t="shared" si="860"/>
        <v>ELEMENTOS EN BODEGA USADOS</v>
      </c>
      <c r="F16859" s="5"/>
      <c r="G16859" s="5"/>
    </row>
    <row r="16860" spans="1:7" ht="58.5" customHeight="1" x14ac:dyDescent="0.25">
      <c r="A16860" s="5" t="str">
        <f>"H0027088"</f>
        <v>H0027088</v>
      </c>
      <c r="B16860" s="5" t="str">
        <f t="shared" si="862"/>
        <v>BOMBA DE INFUSION</v>
      </c>
      <c r="C16860" s="6">
        <v>1200000</v>
      </c>
      <c r="D16860" s="5" t="s">
        <v>81</v>
      </c>
      <c r="E16860" s="5" t="str">
        <f t="shared" si="860"/>
        <v>ELEMENTOS EN BODEGA USADOS</v>
      </c>
      <c r="F16860" s="5"/>
      <c r="G16860" s="5"/>
    </row>
    <row r="16861" spans="1:7" ht="58.5" customHeight="1" x14ac:dyDescent="0.25">
      <c r="A16861" s="5" t="str">
        <f>"H0027090"</f>
        <v>H0027090</v>
      </c>
      <c r="B16861" s="5" t="str">
        <f t="shared" si="862"/>
        <v>BOMBA DE INFUSION</v>
      </c>
      <c r="C16861" s="6">
        <v>1200000</v>
      </c>
      <c r="D16861" s="5" t="s">
        <v>81</v>
      </c>
      <c r="E16861" s="5" t="str">
        <f t="shared" si="860"/>
        <v>ELEMENTOS EN BODEGA USADOS</v>
      </c>
      <c r="F16861" s="5"/>
      <c r="G16861" s="5"/>
    </row>
    <row r="16862" spans="1:7" ht="58.5" customHeight="1" x14ac:dyDescent="0.25">
      <c r="A16862" s="5" t="str">
        <f>"H0027095"</f>
        <v>H0027095</v>
      </c>
      <c r="B16862" s="5" t="str">
        <f t="shared" si="862"/>
        <v>BOMBA DE INFUSION</v>
      </c>
      <c r="C16862" s="6">
        <v>1200000</v>
      </c>
      <c r="D16862" s="5" t="s">
        <v>81</v>
      </c>
      <c r="E16862" s="5" t="str">
        <f t="shared" si="860"/>
        <v>ELEMENTOS EN BODEGA USADOS</v>
      </c>
      <c r="F16862" s="5"/>
      <c r="G16862" s="5"/>
    </row>
    <row r="16863" spans="1:7" ht="58.5" customHeight="1" x14ac:dyDescent="0.25">
      <c r="A16863" s="5" t="str">
        <f>"H0027099"</f>
        <v>H0027099</v>
      </c>
      <c r="B16863" s="5" t="str">
        <f t="shared" si="862"/>
        <v>BOMBA DE INFUSION</v>
      </c>
      <c r="C16863" s="6">
        <v>1200000</v>
      </c>
      <c r="D16863" s="5" t="s">
        <v>81</v>
      </c>
      <c r="E16863" s="5" t="str">
        <f t="shared" si="860"/>
        <v>ELEMENTOS EN BODEGA USADOS</v>
      </c>
      <c r="F16863" s="5"/>
      <c r="G16863" s="5"/>
    </row>
    <row r="16864" spans="1:7" ht="58.5" customHeight="1" x14ac:dyDescent="0.25">
      <c r="A16864" s="5" t="str">
        <f>"H0027136"</f>
        <v>H0027136</v>
      </c>
      <c r="B16864" s="5" t="str">
        <f>"MONITOR DE SIGNOS VITALES"</f>
        <v>MONITOR DE SIGNOS VITALES</v>
      </c>
      <c r="C16864" s="6">
        <v>3680000.05</v>
      </c>
      <c r="D16864" s="5" t="s">
        <v>82</v>
      </c>
      <c r="E16864" s="5" t="str">
        <f t="shared" si="860"/>
        <v>ELEMENTOS EN BODEGA USADOS</v>
      </c>
      <c r="F16864" s="5"/>
      <c r="G16864" s="5" t="str">
        <f>"IM12"</f>
        <v>IM12</v>
      </c>
    </row>
    <row r="16865" spans="1:7" ht="58.5" customHeight="1" x14ac:dyDescent="0.25">
      <c r="A16865" s="5" t="str">
        <f>"H0027137"</f>
        <v>H0027137</v>
      </c>
      <c r="B16865" s="5" t="str">
        <f>"MONITOR DE SIGNOS VITALES"</f>
        <v>MONITOR DE SIGNOS VITALES</v>
      </c>
      <c r="C16865" s="6">
        <v>3680000.05</v>
      </c>
      <c r="D16865" s="5" t="s">
        <v>82</v>
      </c>
      <c r="E16865" s="5" t="str">
        <f t="shared" si="860"/>
        <v>ELEMENTOS EN BODEGA USADOS</v>
      </c>
      <c r="F16865" s="5"/>
      <c r="G16865" s="5" t="str">
        <f>"IM 12"</f>
        <v>IM 12</v>
      </c>
    </row>
    <row r="16866" spans="1:7" ht="58.5" customHeight="1" x14ac:dyDescent="0.25">
      <c r="A16866" s="5" t="str">
        <f>"H0027145"</f>
        <v>H0027145</v>
      </c>
      <c r="B16866" s="5" t="str">
        <f>"MONITOR DE SIGNOS VITALES"</f>
        <v>MONITOR DE SIGNOS VITALES</v>
      </c>
      <c r="C16866" s="6">
        <v>3680000.05</v>
      </c>
      <c r="D16866" s="5" t="s">
        <v>82</v>
      </c>
      <c r="E16866" s="5" t="str">
        <f t="shared" si="860"/>
        <v>ELEMENTOS EN BODEGA USADOS</v>
      </c>
      <c r="F16866" s="5"/>
      <c r="G16866" s="5" t="str">
        <f>"IM 12"</f>
        <v>IM 12</v>
      </c>
    </row>
    <row r="16867" spans="1:7" ht="58.5" customHeight="1" x14ac:dyDescent="0.25">
      <c r="A16867" s="5" t="str">
        <f>"H0027147"</f>
        <v>H0027147</v>
      </c>
      <c r="B16867" s="5" t="str">
        <f>"MONITOR DE SIGNOS VITALES"</f>
        <v>MONITOR DE SIGNOS VITALES</v>
      </c>
      <c r="C16867" s="6">
        <v>3680000.05</v>
      </c>
      <c r="D16867" s="5" t="s">
        <v>82</v>
      </c>
      <c r="E16867" s="5" t="str">
        <f t="shared" ref="E16867:E16930" si="863">"ELEMENTOS EN BODEGA USADOS"</f>
        <v>ELEMENTOS EN BODEGA USADOS</v>
      </c>
      <c r="F16867" s="5"/>
      <c r="G16867" s="5" t="str">
        <f>"IM-12"</f>
        <v>IM-12</v>
      </c>
    </row>
    <row r="16868" spans="1:7" ht="58.5" customHeight="1" x14ac:dyDescent="0.25">
      <c r="A16868" s="5" t="str">
        <f>"H0027383"</f>
        <v>H0027383</v>
      </c>
      <c r="B16868"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6868" s="6">
        <v>589999.67000000004</v>
      </c>
      <c r="D16868" s="5" t="s">
        <v>83</v>
      </c>
      <c r="E16868" s="5" t="str">
        <f t="shared" si="863"/>
        <v>ELEMENTOS EN BODEGA USADOS</v>
      </c>
      <c r="F16868" s="5"/>
      <c r="G16868" s="5"/>
    </row>
    <row r="16869" spans="1:7" ht="58.5" customHeight="1" x14ac:dyDescent="0.25">
      <c r="A16869" s="5" t="str">
        <f>"H0027590"</f>
        <v>H0027590</v>
      </c>
      <c r="B16869" s="5" t="str">
        <f>"LARINGOSCOPIO ADULTO"</f>
        <v>LARINGOSCOPIO ADULTO</v>
      </c>
      <c r="C16869" s="6">
        <v>913920</v>
      </c>
      <c r="D16869" s="5" t="s">
        <v>84</v>
      </c>
      <c r="E16869" s="5" t="str">
        <f t="shared" si="863"/>
        <v>ELEMENTOS EN BODEGA USADOS</v>
      </c>
      <c r="F16869" s="5"/>
      <c r="G16869" s="5"/>
    </row>
    <row r="16870" spans="1:7" ht="58.5" customHeight="1" x14ac:dyDescent="0.25">
      <c r="A16870" s="5" t="str">
        <f>"H0027605"</f>
        <v>H0027605</v>
      </c>
      <c r="B16870" s="5" t="str">
        <f>"LARINGOSCOPIO ADULTO"</f>
        <v>LARINGOSCOPIO ADULTO</v>
      </c>
      <c r="C16870" s="6">
        <v>913920</v>
      </c>
      <c r="D16870" s="5" t="s">
        <v>84</v>
      </c>
      <c r="E16870" s="5" t="str">
        <f t="shared" si="863"/>
        <v>ELEMENTOS EN BODEGA USADOS</v>
      </c>
      <c r="F16870" s="5"/>
      <c r="G16870" s="5"/>
    </row>
    <row r="16871" spans="1:7" ht="58.5" customHeight="1" x14ac:dyDescent="0.25">
      <c r="A16871" s="5" t="str">
        <f>"H0028443"</f>
        <v>H0028443</v>
      </c>
      <c r="B16871" s="5" t="str">
        <f>"AIRE ACONDICIONADO DE 12000 BTU, INVERTER"</f>
        <v>AIRE ACONDICIONADO DE 12000 BTU, INVERTER</v>
      </c>
      <c r="C16871" s="6">
        <v>1707650</v>
      </c>
      <c r="D16871" s="5" t="s">
        <v>563</v>
      </c>
      <c r="E16871" s="5" t="str">
        <f t="shared" si="863"/>
        <v>ELEMENTOS EN BODEGA USADOS</v>
      </c>
      <c r="F16871" s="5"/>
      <c r="G16871" s="5"/>
    </row>
    <row r="16872" spans="1:7" ht="58.5" customHeight="1" x14ac:dyDescent="0.25">
      <c r="A16872" s="5" t="str">
        <f>"H0028763"</f>
        <v>H0028763</v>
      </c>
      <c r="B16872" s="5" t="str">
        <f>"SILLA HERGONOMICA CON SISTEMA HIDRAULICO"</f>
        <v>SILLA HERGONOMICA CON SISTEMA HIDRAULICO</v>
      </c>
      <c r="C16872" s="6">
        <v>174900</v>
      </c>
      <c r="D16872" s="5" t="s">
        <v>39</v>
      </c>
      <c r="E16872" s="5" t="str">
        <f t="shared" si="863"/>
        <v>ELEMENTOS EN BODEGA USADOS</v>
      </c>
      <c r="F16872" s="5"/>
      <c r="G16872" s="5"/>
    </row>
    <row r="16873" spans="1:7" ht="58.5" customHeight="1" x14ac:dyDescent="0.25">
      <c r="A16873" s="5" t="str">
        <f>"H0028923"</f>
        <v>H0028923</v>
      </c>
      <c r="B16873" s="5" t="str">
        <f>"SILLA HERGONOMICA CON SISTEMA HIDRAULICO"</f>
        <v>SILLA HERGONOMICA CON SISTEMA HIDRAULICO</v>
      </c>
      <c r="C16873" s="6">
        <v>174900</v>
      </c>
      <c r="D16873" s="5" t="s">
        <v>40</v>
      </c>
      <c r="E16873" s="5" t="str">
        <f t="shared" si="863"/>
        <v>ELEMENTOS EN BODEGA USADOS</v>
      </c>
      <c r="F16873" s="5"/>
      <c r="G16873" s="5"/>
    </row>
    <row r="16874" spans="1:7" ht="58.5" customHeight="1" x14ac:dyDescent="0.25">
      <c r="A16874" s="5" t="str">
        <f>"H0029167"</f>
        <v>H0029167</v>
      </c>
      <c r="B16874" s="5" t="str">
        <f t="shared" ref="B16874:B16882" si="864">"MONITOR DE SIGNOS VITALES"</f>
        <v>MONITOR DE SIGNOS VITALES</v>
      </c>
      <c r="C16874" s="6">
        <v>5950000</v>
      </c>
      <c r="D16874" s="5" t="s">
        <v>13</v>
      </c>
      <c r="E16874" s="5" t="str">
        <f t="shared" si="863"/>
        <v>ELEMENTOS EN BODEGA USADOS</v>
      </c>
      <c r="F16874" s="5"/>
      <c r="G16874" s="5"/>
    </row>
    <row r="16875" spans="1:7" ht="58.5" customHeight="1" x14ac:dyDescent="0.25">
      <c r="A16875" s="5" t="str">
        <f>"H0029168"</f>
        <v>H0029168</v>
      </c>
      <c r="B16875" s="5" t="str">
        <f t="shared" si="864"/>
        <v>MONITOR DE SIGNOS VITALES</v>
      </c>
      <c r="C16875" s="6">
        <v>5950000</v>
      </c>
      <c r="D16875" s="5" t="s">
        <v>13</v>
      </c>
      <c r="E16875" s="5" t="str">
        <f t="shared" si="863"/>
        <v>ELEMENTOS EN BODEGA USADOS</v>
      </c>
      <c r="F16875" s="5"/>
      <c r="G16875" s="5"/>
    </row>
    <row r="16876" spans="1:7" ht="58.5" customHeight="1" x14ac:dyDescent="0.25">
      <c r="A16876" s="5" t="str">
        <f>"H0029170"</f>
        <v>H0029170</v>
      </c>
      <c r="B16876" s="5" t="str">
        <f t="shared" si="864"/>
        <v>MONITOR DE SIGNOS VITALES</v>
      </c>
      <c r="C16876" s="6">
        <v>5950000</v>
      </c>
      <c r="D16876" s="5" t="s">
        <v>13</v>
      </c>
      <c r="E16876" s="5" t="str">
        <f t="shared" si="863"/>
        <v>ELEMENTOS EN BODEGA USADOS</v>
      </c>
      <c r="F16876" s="5"/>
      <c r="G16876" s="5"/>
    </row>
    <row r="16877" spans="1:7" ht="58.5" customHeight="1" x14ac:dyDescent="0.25">
      <c r="A16877" s="5" t="str">
        <f>"H0029176"</f>
        <v>H0029176</v>
      </c>
      <c r="B16877" s="5" t="str">
        <f t="shared" si="864"/>
        <v>MONITOR DE SIGNOS VITALES</v>
      </c>
      <c r="C16877" s="6">
        <v>5950000</v>
      </c>
      <c r="D16877" s="5" t="s">
        <v>13</v>
      </c>
      <c r="E16877" s="5" t="str">
        <f t="shared" si="863"/>
        <v>ELEMENTOS EN BODEGA USADOS</v>
      </c>
      <c r="F16877" s="5"/>
      <c r="G16877" s="5"/>
    </row>
    <row r="16878" spans="1:7" ht="58.5" customHeight="1" x14ac:dyDescent="0.25">
      <c r="A16878" s="5" t="str">
        <f>"H0029181"</f>
        <v>H0029181</v>
      </c>
      <c r="B16878" s="5" t="str">
        <f t="shared" si="864"/>
        <v>MONITOR DE SIGNOS VITALES</v>
      </c>
      <c r="C16878" s="6">
        <v>5950000</v>
      </c>
      <c r="D16878" s="5" t="s">
        <v>13</v>
      </c>
      <c r="E16878" s="5" t="str">
        <f t="shared" si="863"/>
        <v>ELEMENTOS EN BODEGA USADOS</v>
      </c>
      <c r="F16878" s="5"/>
      <c r="G16878" s="5"/>
    </row>
    <row r="16879" spans="1:7" ht="58.5" customHeight="1" x14ac:dyDescent="0.25">
      <c r="A16879" s="5" t="str">
        <f>"H0029182"</f>
        <v>H0029182</v>
      </c>
      <c r="B16879" s="5" t="str">
        <f t="shared" si="864"/>
        <v>MONITOR DE SIGNOS VITALES</v>
      </c>
      <c r="C16879" s="6">
        <v>5950000</v>
      </c>
      <c r="D16879" s="5" t="s">
        <v>13</v>
      </c>
      <c r="E16879" s="5" t="str">
        <f t="shared" si="863"/>
        <v>ELEMENTOS EN BODEGA USADOS</v>
      </c>
      <c r="F16879" s="5"/>
      <c r="G16879" s="5"/>
    </row>
    <row r="16880" spans="1:7" ht="58.5" customHeight="1" x14ac:dyDescent="0.25">
      <c r="A16880" s="5" t="str">
        <f>"H0029186"</f>
        <v>H0029186</v>
      </c>
      <c r="B16880" s="5" t="str">
        <f t="shared" si="864"/>
        <v>MONITOR DE SIGNOS VITALES</v>
      </c>
      <c r="C16880" s="6">
        <v>5950000</v>
      </c>
      <c r="D16880" s="5" t="s">
        <v>13</v>
      </c>
      <c r="E16880" s="5" t="str">
        <f t="shared" si="863"/>
        <v>ELEMENTOS EN BODEGA USADOS</v>
      </c>
      <c r="F16880" s="5"/>
      <c r="G16880" s="5"/>
    </row>
    <row r="16881" spans="1:7" ht="58.5" customHeight="1" x14ac:dyDescent="0.25">
      <c r="A16881" s="5" t="str">
        <f>"H0029191"</f>
        <v>H0029191</v>
      </c>
      <c r="B16881" s="5" t="str">
        <f t="shared" si="864"/>
        <v>MONITOR DE SIGNOS VITALES</v>
      </c>
      <c r="C16881" s="6">
        <v>5950000</v>
      </c>
      <c r="D16881" s="5" t="s">
        <v>13</v>
      </c>
      <c r="E16881" s="5" t="str">
        <f t="shared" si="863"/>
        <v>ELEMENTOS EN BODEGA USADOS</v>
      </c>
      <c r="F16881" s="5"/>
      <c r="G16881" s="5"/>
    </row>
    <row r="16882" spans="1:7" ht="58.5" customHeight="1" x14ac:dyDescent="0.25">
      <c r="A16882" s="5" t="str">
        <f>"H0029195"</f>
        <v>H0029195</v>
      </c>
      <c r="B16882" s="5" t="str">
        <f t="shared" si="864"/>
        <v>MONITOR DE SIGNOS VITALES</v>
      </c>
      <c r="C16882" s="6">
        <v>5950000</v>
      </c>
      <c r="D16882" s="5" t="s">
        <v>13</v>
      </c>
      <c r="E16882" s="5" t="str">
        <f t="shared" si="863"/>
        <v>ELEMENTOS EN BODEGA USADOS</v>
      </c>
      <c r="F16882" s="5"/>
      <c r="G16882" s="5"/>
    </row>
    <row r="16883" spans="1:7" ht="58.5" customHeight="1" x14ac:dyDescent="0.25">
      <c r="A16883" s="5" t="str">
        <f>"H0029352"</f>
        <v>H0029352</v>
      </c>
      <c r="B16883" s="5" t="str">
        <f>"SILLA HERGONOMICA CON SISTEMA HIDRAULICO"</f>
        <v>SILLA HERGONOMICA CON SISTEMA HIDRAULICO</v>
      </c>
      <c r="C16883" s="6">
        <v>174900</v>
      </c>
      <c r="D16883" s="5" t="s">
        <v>89</v>
      </c>
      <c r="E16883" s="5" t="str">
        <f t="shared" si="863"/>
        <v>ELEMENTOS EN BODEGA USADOS</v>
      </c>
      <c r="F16883" s="5"/>
      <c r="G16883" s="5"/>
    </row>
    <row r="16884" spans="1:7" ht="58.5" customHeight="1" x14ac:dyDescent="0.25">
      <c r="A16884" s="5" t="str">
        <f>"H0029369"</f>
        <v>H0029369</v>
      </c>
      <c r="B16884" s="5" t="str">
        <f>"SILLA HERGONOMICA CON SISTEMA HIDRAULICO"</f>
        <v>SILLA HERGONOMICA CON SISTEMA HIDRAULICO</v>
      </c>
      <c r="C16884" s="6">
        <v>174900</v>
      </c>
      <c r="D16884" s="5" t="s">
        <v>89</v>
      </c>
      <c r="E16884" s="5" t="str">
        <f t="shared" si="863"/>
        <v>ELEMENTOS EN BODEGA USADOS</v>
      </c>
      <c r="F16884" s="5"/>
      <c r="G16884" s="5"/>
    </row>
    <row r="16885" spans="1:7" ht="58.5" customHeight="1" x14ac:dyDescent="0.25">
      <c r="A16885" s="5" t="str">
        <f>"H0029542"</f>
        <v>H0029542</v>
      </c>
      <c r="B16885" s="5" t="str">
        <f>"MICROFONO INHALAMBRICO 9V"</f>
        <v>MICROFONO INHALAMBRICO 9V</v>
      </c>
      <c r="C16885" s="6">
        <v>428571.2</v>
      </c>
      <c r="D16885" s="5" t="s">
        <v>812</v>
      </c>
      <c r="E16885" s="5" t="str">
        <f t="shared" si="863"/>
        <v>ELEMENTOS EN BODEGA USADOS</v>
      </c>
      <c r="F16885" s="5"/>
      <c r="G16885" s="5"/>
    </row>
    <row r="16886" spans="1:7" ht="58.5" customHeight="1" x14ac:dyDescent="0.25">
      <c r="A16886" s="5" t="str">
        <f>"H0029544"</f>
        <v>H0029544</v>
      </c>
      <c r="B16886" s="5" t="str">
        <f>"MICROFONO INHALAMBRICO 9V"</f>
        <v>MICROFONO INHALAMBRICO 9V</v>
      </c>
      <c r="C16886" s="6">
        <v>428571.2</v>
      </c>
      <c r="D16886" s="5" t="s">
        <v>812</v>
      </c>
      <c r="E16886" s="5" t="str">
        <f t="shared" si="863"/>
        <v>ELEMENTOS EN BODEGA USADOS</v>
      </c>
      <c r="F16886" s="5"/>
      <c r="G16886" s="5"/>
    </row>
    <row r="16887" spans="1:7" ht="58.5" customHeight="1" x14ac:dyDescent="0.25">
      <c r="A16887" s="5" t="str">
        <f>"H0029551"</f>
        <v>H0029551</v>
      </c>
      <c r="B1688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6887" s="6">
        <v>252400.18</v>
      </c>
      <c r="D16887" s="5" t="s">
        <v>15</v>
      </c>
      <c r="E16887" s="5" t="str">
        <f t="shared" si="863"/>
        <v>ELEMENTOS EN BODEGA USADOS</v>
      </c>
      <c r="F16887" s="5"/>
      <c r="G16887" s="5"/>
    </row>
    <row r="16888" spans="1:7" ht="58.5" customHeight="1" x14ac:dyDescent="0.25">
      <c r="A16888" s="5" t="str">
        <f>"H0029604"</f>
        <v>H0029604</v>
      </c>
      <c r="B1688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6888" s="6">
        <v>252400.18</v>
      </c>
      <c r="D16888" s="5" t="s">
        <v>813</v>
      </c>
      <c r="E16888" s="5" t="str">
        <f t="shared" si="863"/>
        <v>ELEMENTOS EN BODEGA USADOS</v>
      </c>
      <c r="F16888" s="5"/>
      <c r="G16888" s="5"/>
    </row>
    <row r="16889" spans="1:7" ht="58.5" customHeight="1" x14ac:dyDescent="0.25">
      <c r="A16889" s="5" t="str">
        <f>"H0029605"</f>
        <v>H0029605</v>
      </c>
      <c r="B1688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6889" s="6">
        <v>252400.18</v>
      </c>
      <c r="D16889" s="5" t="s">
        <v>813</v>
      </c>
      <c r="E16889" s="5" t="str">
        <f t="shared" si="863"/>
        <v>ELEMENTOS EN BODEGA USADOS</v>
      </c>
      <c r="F16889" s="5"/>
      <c r="G16889" s="5"/>
    </row>
    <row r="16890" spans="1:7" ht="58.5" customHeight="1" x14ac:dyDescent="0.25">
      <c r="A16890" s="5" t="str">
        <f>"H0029730"</f>
        <v>H0029730</v>
      </c>
      <c r="B16890" s="5" t="s">
        <v>94</v>
      </c>
      <c r="C16890" s="6">
        <v>148999.9</v>
      </c>
      <c r="D16890" s="5" t="s">
        <v>93</v>
      </c>
      <c r="E16890" s="5" t="str">
        <f t="shared" si="863"/>
        <v>ELEMENTOS EN BODEGA USADOS</v>
      </c>
      <c r="F16890" s="5"/>
      <c r="G16890" s="5"/>
    </row>
    <row r="16891" spans="1:7" ht="58.5" customHeight="1" x14ac:dyDescent="0.25">
      <c r="A16891" s="5" t="str">
        <f>"H0029754"</f>
        <v>H0029754</v>
      </c>
      <c r="B16891" s="5" t="s">
        <v>94</v>
      </c>
      <c r="C16891" s="6">
        <v>148999.9</v>
      </c>
      <c r="D16891" s="5" t="s">
        <v>93</v>
      </c>
      <c r="E16891" s="5" t="str">
        <f t="shared" si="863"/>
        <v>ELEMENTOS EN BODEGA USADOS</v>
      </c>
      <c r="F16891" s="5"/>
      <c r="G16891" s="5"/>
    </row>
    <row r="16892" spans="1:7" ht="58.5" customHeight="1" x14ac:dyDescent="0.25">
      <c r="A16892" s="5" t="str">
        <f>"H0029846"</f>
        <v>H0029846</v>
      </c>
      <c r="B16892" s="5" t="str">
        <f>"VENTILADOR INSPIRACIÓN 7I VEN ADOR ADULTO/PEDIATRICO/NEONATAL, INCLUYE SOPORTE"</f>
        <v>VENTILADOR INSPIRACIÓN 7I VEN ADOR ADULTO/PEDIATRICO/NEONATAL, INCLUYE SOPORTE</v>
      </c>
      <c r="C16892" s="6">
        <v>118197492.56</v>
      </c>
      <c r="D16892" s="5" t="s">
        <v>226</v>
      </c>
      <c r="E16892" s="5" t="str">
        <f t="shared" si="863"/>
        <v>ELEMENTOS EN BODEGA USADOS</v>
      </c>
      <c r="F16892" s="5"/>
      <c r="G16892" s="5"/>
    </row>
    <row r="16893" spans="1:7" ht="58.5" customHeight="1" x14ac:dyDescent="0.25">
      <c r="A16893" s="5" t="str">
        <f>"H0030034"</f>
        <v>H0030034</v>
      </c>
      <c r="B16893" s="5" t="str">
        <f t="shared" ref="B16893:B16902" si="865">"SILLA RECLINOMATICA"</f>
        <v>SILLA RECLINOMATICA</v>
      </c>
      <c r="C16893" s="6">
        <v>1065050</v>
      </c>
      <c r="D16893" s="5" t="s">
        <v>97</v>
      </c>
      <c r="E16893" s="5" t="str">
        <f t="shared" si="863"/>
        <v>ELEMENTOS EN BODEGA USADOS</v>
      </c>
      <c r="F16893" s="5"/>
      <c r="G16893" s="5"/>
    </row>
    <row r="16894" spans="1:7" ht="58.5" customHeight="1" x14ac:dyDescent="0.25">
      <c r="A16894" s="5" t="str">
        <f>"H0030038"</f>
        <v>H0030038</v>
      </c>
      <c r="B16894" s="5" t="str">
        <f t="shared" si="865"/>
        <v>SILLA RECLINOMATICA</v>
      </c>
      <c r="C16894" s="6">
        <v>1065050</v>
      </c>
      <c r="D16894" s="5" t="s">
        <v>97</v>
      </c>
      <c r="E16894" s="5" t="str">
        <f t="shared" si="863"/>
        <v>ELEMENTOS EN BODEGA USADOS</v>
      </c>
      <c r="F16894" s="5"/>
      <c r="G16894" s="5"/>
    </row>
    <row r="16895" spans="1:7" ht="58.5" customHeight="1" x14ac:dyDescent="0.25">
      <c r="A16895" s="5" t="str">
        <f>"H0030112"</f>
        <v>H0030112</v>
      </c>
      <c r="B16895" s="5" t="str">
        <f t="shared" si="865"/>
        <v>SILLA RECLINOMATICA</v>
      </c>
      <c r="C16895" s="6">
        <v>1065050</v>
      </c>
      <c r="D16895" s="5" t="s">
        <v>100</v>
      </c>
      <c r="E16895" s="5" t="str">
        <f t="shared" si="863"/>
        <v>ELEMENTOS EN BODEGA USADOS</v>
      </c>
      <c r="F16895" s="5"/>
      <c r="G16895" s="5"/>
    </row>
    <row r="16896" spans="1:7" ht="58.5" customHeight="1" x14ac:dyDescent="0.25">
      <c r="A16896" s="5" t="str">
        <f>"H0030113"</f>
        <v>H0030113</v>
      </c>
      <c r="B16896" s="5" t="str">
        <f t="shared" si="865"/>
        <v>SILLA RECLINOMATICA</v>
      </c>
      <c r="C16896" s="6">
        <v>1065050</v>
      </c>
      <c r="D16896" s="5" t="s">
        <v>100</v>
      </c>
      <c r="E16896" s="5" t="str">
        <f t="shared" si="863"/>
        <v>ELEMENTOS EN BODEGA USADOS</v>
      </c>
      <c r="F16896" s="5"/>
      <c r="G16896" s="5"/>
    </row>
    <row r="16897" spans="1:7" ht="58.5" customHeight="1" x14ac:dyDescent="0.25">
      <c r="A16897" s="5" t="str">
        <f>"H0030117"</f>
        <v>H0030117</v>
      </c>
      <c r="B16897" s="5" t="str">
        <f t="shared" si="865"/>
        <v>SILLA RECLINOMATICA</v>
      </c>
      <c r="C16897" s="6">
        <v>1065050</v>
      </c>
      <c r="D16897" s="5" t="s">
        <v>100</v>
      </c>
      <c r="E16897" s="5" t="str">
        <f t="shared" si="863"/>
        <v>ELEMENTOS EN BODEGA USADOS</v>
      </c>
      <c r="F16897" s="5"/>
      <c r="G16897" s="5"/>
    </row>
    <row r="16898" spans="1:7" ht="58.5" customHeight="1" x14ac:dyDescent="0.25">
      <c r="A16898" s="5" t="str">
        <f>"H0030119"</f>
        <v>H0030119</v>
      </c>
      <c r="B16898" s="5" t="str">
        <f t="shared" si="865"/>
        <v>SILLA RECLINOMATICA</v>
      </c>
      <c r="C16898" s="6">
        <v>1065050</v>
      </c>
      <c r="D16898" s="5" t="s">
        <v>100</v>
      </c>
      <c r="E16898" s="5" t="str">
        <f t="shared" si="863"/>
        <v>ELEMENTOS EN BODEGA USADOS</v>
      </c>
      <c r="F16898" s="5"/>
      <c r="G16898" s="5"/>
    </row>
    <row r="16899" spans="1:7" ht="58.5" customHeight="1" x14ac:dyDescent="0.25">
      <c r="A16899" s="5" t="str">
        <f>"H0030129"</f>
        <v>H0030129</v>
      </c>
      <c r="B16899" s="5" t="str">
        <f t="shared" si="865"/>
        <v>SILLA RECLINOMATICA</v>
      </c>
      <c r="C16899" s="6">
        <v>1065050</v>
      </c>
      <c r="D16899" s="5" t="s">
        <v>100</v>
      </c>
      <c r="E16899" s="5" t="str">
        <f t="shared" si="863"/>
        <v>ELEMENTOS EN BODEGA USADOS</v>
      </c>
      <c r="F16899" s="5"/>
      <c r="G16899" s="5"/>
    </row>
    <row r="16900" spans="1:7" ht="58.5" customHeight="1" x14ac:dyDescent="0.25">
      <c r="A16900" s="5" t="str">
        <f>"H0030130"</f>
        <v>H0030130</v>
      </c>
      <c r="B16900" s="5" t="str">
        <f t="shared" si="865"/>
        <v>SILLA RECLINOMATICA</v>
      </c>
      <c r="C16900" s="6">
        <v>1065050</v>
      </c>
      <c r="D16900" s="5" t="s">
        <v>100</v>
      </c>
      <c r="E16900" s="5" t="str">
        <f t="shared" si="863"/>
        <v>ELEMENTOS EN BODEGA USADOS</v>
      </c>
      <c r="F16900" s="5"/>
      <c r="G16900" s="5"/>
    </row>
    <row r="16901" spans="1:7" ht="58.5" customHeight="1" x14ac:dyDescent="0.25">
      <c r="A16901" s="5" t="str">
        <f>"H0030133"</f>
        <v>H0030133</v>
      </c>
      <c r="B16901" s="5" t="str">
        <f t="shared" si="865"/>
        <v>SILLA RECLINOMATICA</v>
      </c>
      <c r="C16901" s="6">
        <v>1065050</v>
      </c>
      <c r="D16901" s="5" t="s">
        <v>100</v>
      </c>
      <c r="E16901" s="5" t="str">
        <f t="shared" si="863"/>
        <v>ELEMENTOS EN BODEGA USADOS</v>
      </c>
      <c r="F16901" s="5"/>
      <c r="G16901" s="5"/>
    </row>
    <row r="16902" spans="1:7" ht="58.5" customHeight="1" x14ac:dyDescent="0.25">
      <c r="A16902" s="5" t="str">
        <f>"H0030177"</f>
        <v>H0030177</v>
      </c>
      <c r="B16902" s="5" t="str">
        <f t="shared" si="865"/>
        <v>SILLA RECLINOMATICA</v>
      </c>
      <c r="C16902" s="6">
        <v>1065050</v>
      </c>
      <c r="D16902" s="5" t="s">
        <v>101</v>
      </c>
      <c r="E16902" s="5" t="str">
        <f t="shared" si="863"/>
        <v>ELEMENTOS EN BODEGA USADOS</v>
      </c>
      <c r="F16902" s="5"/>
      <c r="G16902" s="5"/>
    </row>
    <row r="16903" spans="1:7" ht="58.5" customHeight="1" x14ac:dyDescent="0.25">
      <c r="A16903" s="5" t="str">
        <f>"H0031190"</f>
        <v>H0031190</v>
      </c>
      <c r="B16903" s="5" t="str">
        <f>"CARRO PARA MONITOR"</f>
        <v>CARRO PARA MONITOR</v>
      </c>
      <c r="C16903" s="6">
        <v>900000</v>
      </c>
      <c r="D16903" s="5" t="s">
        <v>251</v>
      </c>
      <c r="E16903" s="5" t="str">
        <f t="shared" si="863"/>
        <v>ELEMENTOS EN BODEGA USADOS</v>
      </c>
      <c r="F16903" s="5"/>
      <c r="G16903" s="5"/>
    </row>
    <row r="16904" spans="1:7" ht="58.5" customHeight="1" x14ac:dyDescent="0.25">
      <c r="A16904" s="5" t="str">
        <f>"H0031191"</f>
        <v>H0031191</v>
      </c>
      <c r="B16904" s="5" t="str">
        <f>"MONITOR DE SIGNOS VITALES"</f>
        <v>MONITOR DE SIGNOS VITALES</v>
      </c>
      <c r="C16904" s="6">
        <v>3350000</v>
      </c>
      <c r="D16904" s="5" t="s">
        <v>251</v>
      </c>
      <c r="E16904" s="5" t="str">
        <f t="shared" si="863"/>
        <v>ELEMENTOS EN BODEGA USADOS</v>
      </c>
      <c r="F16904" s="5"/>
      <c r="G16904" s="5"/>
    </row>
    <row r="16905" spans="1:7" ht="58.5" customHeight="1" x14ac:dyDescent="0.25">
      <c r="A16905" s="5" t="str">
        <f>"H0031651"</f>
        <v>H0031651</v>
      </c>
      <c r="B16905" s="5" t="str">
        <f>"SUCCIONADOR (ASPIRADOR) DE FLUIDOS QUIRURGICO"</f>
        <v>SUCCIONADOR (ASPIRADOR) DE FLUIDOS QUIRURGICO</v>
      </c>
      <c r="C16905" s="6">
        <v>3841379.6</v>
      </c>
      <c r="D16905" s="5" t="s">
        <v>317</v>
      </c>
      <c r="E16905" s="5" t="str">
        <f t="shared" si="863"/>
        <v>ELEMENTOS EN BODEGA USADOS</v>
      </c>
      <c r="F16905" s="5"/>
      <c r="G16905" s="5"/>
    </row>
    <row r="16906" spans="1:7" ht="58.5" customHeight="1" x14ac:dyDescent="0.25">
      <c r="A16906" s="5" t="str">
        <f>"H0031677"</f>
        <v>H0031677</v>
      </c>
      <c r="B16906" s="5" t="str">
        <f>"SILLAS MATERIAL MADERA PARDILLO CUERINA MEDIDAS: 55 CM * 65 CM"</f>
        <v>SILLAS MATERIAL MADERA PARDILLO CUERINA MEDIDAS: 55 CM * 65 CM</v>
      </c>
      <c r="C16906" s="6">
        <v>300000</v>
      </c>
      <c r="D16906" s="5" t="s">
        <v>156</v>
      </c>
      <c r="E16906" s="5" t="str">
        <f t="shared" si="863"/>
        <v>ELEMENTOS EN BODEGA USADOS</v>
      </c>
      <c r="F16906" s="5"/>
      <c r="G16906" s="5"/>
    </row>
    <row r="16907" spans="1:7" ht="58.5" customHeight="1" x14ac:dyDescent="0.25">
      <c r="A16907" s="5" t="str">
        <f>"H0031678"</f>
        <v>H0031678</v>
      </c>
      <c r="B16907" s="5" t="str">
        <f>"SILLAS MATERIAL MADERA PARDILLO CUERINA MEDIDAS: 55 CM * 65 CM"</f>
        <v>SILLAS MATERIAL MADERA PARDILLO CUERINA MEDIDAS: 55 CM * 65 CM</v>
      </c>
      <c r="C16907" s="6">
        <v>300000</v>
      </c>
      <c r="D16907" s="5" t="s">
        <v>156</v>
      </c>
      <c r="E16907" s="5" t="str">
        <f t="shared" si="863"/>
        <v>ELEMENTOS EN BODEGA USADOS</v>
      </c>
      <c r="F16907" s="5"/>
      <c r="G16907" s="5"/>
    </row>
    <row r="16908" spans="1:7" ht="58.5" customHeight="1" x14ac:dyDescent="0.25">
      <c r="A16908" s="5" t="str">
        <f>"H0031679"</f>
        <v>H0031679</v>
      </c>
      <c r="B16908" s="5" t="str">
        <f>"SILLAS MATERIAL MADERA PARDILLO CUERINA MEDIDAS: 55 CM * 65 CM"</f>
        <v>SILLAS MATERIAL MADERA PARDILLO CUERINA MEDIDAS: 55 CM * 65 CM</v>
      </c>
      <c r="C16908" s="6">
        <v>300000</v>
      </c>
      <c r="D16908" s="5" t="s">
        <v>156</v>
      </c>
      <c r="E16908" s="5" t="str">
        <f t="shared" si="863"/>
        <v>ELEMENTOS EN BODEGA USADOS</v>
      </c>
      <c r="F16908" s="5"/>
      <c r="G16908" s="5"/>
    </row>
    <row r="16909" spans="1:7" ht="58.5" customHeight="1" x14ac:dyDescent="0.25">
      <c r="A16909" s="5" t="str">
        <f>"H0031680"</f>
        <v>H0031680</v>
      </c>
      <c r="B16909" s="5" t="str">
        <f>"SILLAS MATERIAL MADERA PARDILLO CUERINA MEDIDAS: 55 CM * 65 CM"</f>
        <v>SILLAS MATERIAL MADERA PARDILLO CUERINA MEDIDAS: 55 CM * 65 CM</v>
      </c>
      <c r="C16909" s="6">
        <v>300000</v>
      </c>
      <c r="D16909" s="5" t="s">
        <v>156</v>
      </c>
      <c r="E16909" s="5" t="str">
        <f t="shared" si="863"/>
        <v>ELEMENTOS EN BODEGA USADOS</v>
      </c>
      <c r="F16909" s="5"/>
      <c r="G16909" s="5"/>
    </row>
    <row r="16910" spans="1:7" ht="58.5" customHeight="1" x14ac:dyDescent="0.25">
      <c r="A16910" s="5" t="str">
        <f>"H0031681"</f>
        <v>H0031681</v>
      </c>
      <c r="B16910" s="5" t="str">
        <f>"SILLAS MATERIAL MADERA PARDILLO CUERINA MEDIDAS: 55 CM * 65 CM"</f>
        <v>SILLAS MATERIAL MADERA PARDILLO CUERINA MEDIDAS: 55 CM * 65 CM</v>
      </c>
      <c r="C16910" s="6">
        <v>300000</v>
      </c>
      <c r="D16910" s="5" t="s">
        <v>156</v>
      </c>
      <c r="E16910" s="5" t="str">
        <f t="shared" si="863"/>
        <v>ELEMENTOS EN BODEGA USADOS</v>
      </c>
      <c r="F16910" s="5"/>
      <c r="G16910" s="5"/>
    </row>
    <row r="16911" spans="1:7" ht="58.5" customHeight="1" x14ac:dyDescent="0.25">
      <c r="A16911" s="5" t="str">
        <f>"H0031691"</f>
        <v>H0031691</v>
      </c>
      <c r="B16911" s="5" t="str">
        <f>"LARINGOSCOPIO ADULTO"</f>
        <v>LARINGOSCOPIO ADULTO</v>
      </c>
      <c r="C16911" s="6">
        <v>1458607</v>
      </c>
      <c r="D16911" s="5" t="s">
        <v>156</v>
      </c>
      <c r="E16911" s="5" t="str">
        <f t="shared" si="863"/>
        <v>ELEMENTOS EN BODEGA USADOS</v>
      </c>
      <c r="F16911" s="5"/>
      <c r="G16911" s="5"/>
    </row>
    <row r="16912" spans="1:7" ht="58.5" customHeight="1" x14ac:dyDescent="0.25">
      <c r="A16912" s="5" t="str">
        <f>"H0031692"</f>
        <v>H0031692</v>
      </c>
      <c r="B16912" s="5" t="str">
        <f>"LARINGOSCOPIO ADULTO"</f>
        <v>LARINGOSCOPIO ADULTO</v>
      </c>
      <c r="C16912" s="6">
        <v>1458607</v>
      </c>
      <c r="D16912" s="5" t="s">
        <v>156</v>
      </c>
      <c r="E16912" s="5" t="str">
        <f t="shared" si="863"/>
        <v>ELEMENTOS EN BODEGA USADOS</v>
      </c>
      <c r="F16912" s="5"/>
      <c r="G16912" s="5"/>
    </row>
    <row r="16913" spans="1:7" ht="58.5" customHeight="1" x14ac:dyDescent="0.25">
      <c r="A16913" s="5" t="str">
        <f>"H0031727"</f>
        <v>H0031727</v>
      </c>
      <c r="B16913" s="5" t="str">
        <f>"MESA DE JUNTAS (CODIGO DONACION)"</f>
        <v>MESA DE JUNTAS (CODIGO DONACION)</v>
      </c>
      <c r="C16913" s="6">
        <v>425000</v>
      </c>
      <c r="D16913" s="5" t="s">
        <v>814</v>
      </c>
      <c r="E16913" s="5" t="str">
        <f t="shared" si="863"/>
        <v>ELEMENTOS EN BODEGA USADOS</v>
      </c>
      <c r="F16913" s="5"/>
      <c r="G16913" s="5"/>
    </row>
    <row r="16914" spans="1:7" ht="58.5" customHeight="1" x14ac:dyDescent="0.25">
      <c r="A16914" s="5" t="str">
        <f>"H0031763"</f>
        <v>H0031763</v>
      </c>
      <c r="B16914" s="5" t="str">
        <f>"SILLA EJECUTIVA CON BRAZO"</f>
        <v>SILLA EJECUTIVA CON BRAZO</v>
      </c>
      <c r="C16914" s="6">
        <v>199900</v>
      </c>
      <c r="D16914" s="5" t="s">
        <v>814</v>
      </c>
      <c r="E16914" s="5" t="str">
        <f t="shared" si="863"/>
        <v>ELEMENTOS EN BODEGA USADOS</v>
      </c>
      <c r="F16914" s="5"/>
      <c r="G16914" s="5"/>
    </row>
    <row r="16915" spans="1:7" ht="58.5" customHeight="1" x14ac:dyDescent="0.25">
      <c r="A16915" s="5" t="str">
        <f>"H0031776"</f>
        <v>H0031776</v>
      </c>
      <c r="B16915" s="5" t="str">
        <f>"SILLA EJECUTIVA CON BRAZO"</f>
        <v>SILLA EJECUTIVA CON BRAZO</v>
      </c>
      <c r="C16915" s="6">
        <v>199900</v>
      </c>
      <c r="D16915" s="5" t="s">
        <v>814</v>
      </c>
      <c r="E16915" s="5" t="str">
        <f t="shared" si="863"/>
        <v>ELEMENTOS EN BODEGA USADOS</v>
      </c>
      <c r="F16915" s="5"/>
      <c r="G16915" s="5"/>
    </row>
    <row r="16916" spans="1:7" ht="58.5" customHeight="1" x14ac:dyDescent="0.25">
      <c r="A16916" s="5" t="str">
        <f>"H0031788"</f>
        <v>H0031788</v>
      </c>
      <c r="B16916" s="5" t="str">
        <f>"Persiana tipo black out blanca de 4.2 mts largo x 2.62 mts ancho"</f>
        <v>Persiana tipo black out blanca de 4.2 mts largo x 2.62 mts ancho</v>
      </c>
      <c r="C16916" s="6">
        <v>1430000</v>
      </c>
      <c r="D16916" s="5" t="s">
        <v>253</v>
      </c>
      <c r="E16916" s="5" t="str">
        <f t="shared" si="863"/>
        <v>ELEMENTOS EN BODEGA USADOS</v>
      </c>
      <c r="F16916" s="5"/>
      <c r="G16916" s="5"/>
    </row>
    <row r="16917" spans="1:7" ht="58.5" customHeight="1" x14ac:dyDescent="0.25">
      <c r="A16917" s="5" t="str">
        <f>"H0031831"</f>
        <v>H0031831</v>
      </c>
      <c r="B16917" s="5" t="str">
        <f>"MESON TOPE PARED LARGO 3 MTS Y ANCHO 0.6 MTS MELAMINA RH COLOR ARENA"</f>
        <v>MESON TOPE PARED LARGO 3 MTS Y ANCHO 0.6 MTS MELAMINA RH COLOR ARENA</v>
      </c>
      <c r="C16917" s="6">
        <v>640000</v>
      </c>
      <c r="D16917" s="5" t="s">
        <v>43</v>
      </c>
      <c r="E16917" s="5" t="str">
        <f t="shared" si="863"/>
        <v>ELEMENTOS EN BODEGA USADOS</v>
      </c>
      <c r="F16917" s="5"/>
      <c r="G16917" s="5"/>
    </row>
    <row r="16918" spans="1:7" ht="58.5" customHeight="1" x14ac:dyDescent="0.25">
      <c r="A16918" s="5" t="str">
        <f>"H0031834"</f>
        <v>H0031834</v>
      </c>
      <c r="B16918" s="5" t="str">
        <f>"MESON TOPE PARED  1.78X0.6 MELAMINA RH COLOR ARENA"</f>
        <v>MESON TOPE PARED  1.78X0.6 MELAMINA RH COLOR ARENA</v>
      </c>
      <c r="C16918" s="6">
        <v>385000</v>
      </c>
      <c r="D16918" s="5" t="s">
        <v>43</v>
      </c>
      <c r="E16918" s="5" t="str">
        <f t="shared" si="863"/>
        <v>ELEMENTOS EN BODEGA USADOS</v>
      </c>
      <c r="F16918" s="5"/>
      <c r="G16918" s="5"/>
    </row>
    <row r="16919" spans="1:7" ht="58.5" customHeight="1" x14ac:dyDescent="0.25">
      <c r="A16919" s="5" t="str">
        <f>"H0031849"</f>
        <v>H0031849</v>
      </c>
      <c r="B16919" s="5" t="str">
        <f t="shared" ref="B16919:B16941" si="866">"BOMBA DE INFUSION"</f>
        <v>BOMBA DE INFUSION</v>
      </c>
      <c r="C16919" s="6">
        <v>2714300</v>
      </c>
      <c r="D16919" s="5" t="s">
        <v>320</v>
      </c>
      <c r="E16919" s="5" t="str">
        <f t="shared" si="863"/>
        <v>ELEMENTOS EN BODEGA USADOS</v>
      </c>
      <c r="F16919" s="5"/>
      <c r="G16919" s="5"/>
    </row>
    <row r="16920" spans="1:7" ht="58.5" customHeight="1" x14ac:dyDescent="0.25">
      <c r="A16920" s="5" t="str">
        <f>"H0031852"</f>
        <v>H0031852</v>
      </c>
      <c r="B16920" s="5" t="str">
        <f t="shared" si="866"/>
        <v>BOMBA DE INFUSION</v>
      </c>
      <c r="C16920" s="6">
        <v>2714300</v>
      </c>
      <c r="D16920" s="5" t="s">
        <v>320</v>
      </c>
      <c r="E16920" s="5" t="str">
        <f t="shared" si="863"/>
        <v>ELEMENTOS EN BODEGA USADOS</v>
      </c>
      <c r="F16920" s="5"/>
      <c r="G16920" s="5"/>
    </row>
    <row r="16921" spans="1:7" ht="58.5" customHeight="1" x14ac:dyDescent="0.25">
      <c r="A16921" s="5" t="str">
        <f>"H0031855"</f>
        <v>H0031855</v>
      </c>
      <c r="B16921" s="5" t="str">
        <f t="shared" si="866"/>
        <v>BOMBA DE INFUSION</v>
      </c>
      <c r="C16921" s="6">
        <v>2714300</v>
      </c>
      <c r="D16921" s="5" t="s">
        <v>320</v>
      </c>
      <c r="E16921" s="5" t="str">
        <f t="shared" si="863"/>
        <v>ELEMENTOS EN BODEGA USADOS</v>
      </c>
      <c r="F16921" s="5"/>
      <c r="G16921" s="5"/>
    </row>
    <row r="16922" spans="1:7" ht="58.5" customHeight="1" x14ac:dyDescent="0.25">
      <c r="A16922" s="5" t="str">
        <f>"H0031931"</f>
        <v>H0031931</v>
      </c>
      <c r="B16922" s="5" t="str">
        <f t="shared" si="866"/>
        <v>BOMBA DE INFUSION</v>
      </c>
      <c r="C16922" s="6">
        <v>1900000</v>
      </c>
      <c r="D16922" s="5" t="s">
        <v>107</v>
      </c>
      <c r="E16922" s="5" t="str">
        <f t="shared" si="863"/>
        <v>ELEMENTOS EN BODEGA USADOS</v>
      </c>
      <c r="F16922" s="5"/>
      <c r="G16922" s="5"/>
    </row>
    <row r="16923" spans="1:7" ht="58.5" customHeight="1" x14ac:dyDescent="0.25">
      <c r="A16923" s="5" t="str">
        <f>"H0031933"</f>
        <v>H0031933</v>
      </c>
      <c r="B16923" s="5" t="str">
        <f t="shared" si="866"/>
        <v>BOMBA DE INFUSION</v>
      </c>
      <c r="C16923" s="6">
        <v>1900000</v>
      </c>
      <c r="D16923" s="5" t="s">
        <v>107</v>
      </c>
      <c r="E16923" s="5" t="str">
        <f t="shared" si="863"/>
        <v>ELEMENTOS EN BODEGA USADOS</v>
      </c>
      <c r="F16923" s="5"/>
      <c r="G16923" s="5"/>
    </row>
    <row r="16924" spans="1:7" ht="58.5" customHeight="1" x14ac:dyDescent="0.25">
      <c r="A16924" s="5" t="str">
        <f>"H0031934"</f>
        <v>H0031934</v>
      </c>
      <c r="B16924" s="5" t="str">
        <f t="shared" si="866"/>
        <v>BOMBA DE INFUSION</v>
      </c>
      <c r="C16924" s="6">
        <v>1900000</v>
      </c>
      <c r="D16924" s="5" t="s">
        <v>107</v>
      </c>
      <c r="E16924" s="5" t="str">
        <f t="shared" si="863"/>
        <v>ELEMENTOS EN BODEGA USADOS</v>
      </c>
      <c r="F16924" s="5"/>
      <c r="G16924" s="5"/>
    </row>
    <row r="16925" spans="1:7" ht="58.5" customHeight="1" x14ac:dyDescent="0.25">
      <c r="A16925" s="5" t="str">
        <f>"H0031935"</f>
        <v>H0031935</v>
      </c>
      <c r="B16925" s="5" t="str">
        <f t="shared" si="866"/>
        <v>BOMBA DE INFUSION</v>
      </c>
      <c r="C16925" s="6">
        <v>1900000</v>
      </c>
      <c r="D16925" s="5" t="s">
        <v>107</v>
      </c>
      <c r="E16925" s="5" t="str">
        <f t="shared" si="863"/>
        <v>ELEMENTOS EN BODEGA USADOS</v>
      </c>
      <c r="F16925" s="5"/>
      <c r="G16925" s="5"/>
    </row>
    <row r="16926" spans="1:7" ht="58.5" customHeight="1" x14ac:dyDescent="0.25">
      <c r="A16926" s="5" t="str">
        <f>"H0031939"</f>
        <v>H0031939</v>
      </c>
      <c r="B16926" s="5" t="str">
        <f t="shared" si="866"/>
        <v>BOMBA DE INFUSION</v>
      </c>
      <c r="C16926" s="6">
        <v>1900000</v>
      </c>
      <c r="D16926" s="5" t="s">
        <v>107</v>
      </c>
      <c r="E16926" s="5" t="str">
        <f t="shared" si="863"/>
        <v>ELEMENTOS EN BODEGA USADOS</v>
      </c>
      <c r="F16926" s="5"/>
      <c r="G16926" s="5"/>
    </row>
    <row r="16927" spans="1:7" ht="58.5" customHeight="1" x14ac:dyDescent="0.25">
      <c r="A16927" s="5" t="str">
        <f>"H0031947"</f>
        <v>H0031947</v>
      </c>
      <c r="B16927" s="5" t="str">
        <f t="shared" si="866"/>
        <v>BOMBA DE INFUSION</v>
      </c>
      <c r="C16927" s="6">
        <v>1900000</v>
      </c>
      <c r="D16927" s="5" t="s">
        <v>107</v>
      </c>
      <c r="E16927" s="5" t="str">
        <f t="shared" si="863"/>
        <v>ELEMENTOS EN BODEGA USADOS</v>
      </c>
      <c r="F16927" s="5"/>
      <c r="G16927" s="5"/>
    </row>
    <row r="16928" spans="1:7" ht="58.5" customHeight="1" x14ac:dyDescent="0.25">
      <c r="A16928" s="5" t="str">
        <f>"H0031951"</f>
        <v>H0031951</v>
      </c>
      <c r="B16928" s="5" t="str">
        <f t="shared" si="866"/>
        <v>BOMBA DE INFUSION</v>
      </c>
      <c r="C16928" s="6">
        <v>1900000</v>
      </c>
      <c r="D16928" s="5" t="s">
        <v>107</v>
      </c>
      <c r="E16928" s="5" t="str">
        <f t="shared" si="863"/>
        <v>ELEMENTOS EN BODEGA USADOS</v>
      </c>
      <c r="F16928" s="5"/>
      <c r="G16928" s="5"/>
    </row>
    <row r="16929" spans="1:7" ht="58.5" customHeight="1" x14ac:dyDescent="0.25">
      <c r="A16929" s="5" t="str">
        <f>"H0031952"</f>
        <v>H0031952</v>
      </c>
      <c r="B16929" s="5" t="str">
        <f t="shared" si="866"/>
        <v>BOMBA DE INFUSION</v>
      </c>
      <c r="C16929" s="6">
        <v>1900000</v>
      </c>
      <c r="D16929" s="5" t="s">
        <v>107</v>
      </c>
      <c r="E16929" s="5" t="str">
        <f t="shared" si="863"/>
        <v>ELEMENTOS EN BODEGA USADOS</v>
      </c>
      <c r="F16929" s="5"/>
      <c r="G16929" s="5"/>
    </row>
    <row r="16930" spans="1:7" ht="58.5" customHeight="1" x14ac:dyDescent="0.25">
      <c r="A16930" s="5" t="str">
        <f>"H0031961"</f>
        <v>H0031961</v>
      </c>
      <c r="B16930" s="5" t="str">
        <f t="shared" si="866"/>
        <v>BOMBA DE INFUSION</v>
      </c>
      <c r="C16930" s="6">
        <v>1900000</v>
      </c>
      <c r="D16930" s="5" t="s">
        <v>107</v>
      </c>
      <c r="E16930" s="5" t="str">
        <f t="shared" si="863"/>
        <v>ELEMENTOS EN BODEGA USADOS</v>
      </c>
      <c r="F16930" s="5"/>
      <c r="G16930" s="5"/>
    </row>
    <row r="16931" spans="1:7" ht="58.5" customHeight="1" x14ac:dyDescent="0.25">
      <c r="A16931" s="5" t="str">
        <f>"H0031964"</f>
        <v>H0031964</v>
      </c>
      <c r="B16931" s="5" t="str">
        <f t="shared" si="866"/>
        <v>BOMBA DE INFUSION</v>
      </c>
      <c r="C16931" s="6">
        <v>1900000</v>
      </c>
      <c r="D16931" s="5" t="s">
        <v>107</v>
      </c>
      <c r="E16931" s="5" t="str">
        <f t="shared" ref="E16931:E16994" si="867">"ELEMENTOS EN BODEGA USADOS"</f>
        <v>ELEMENTOS EN BODEGA USADOS</v>
      </c>
      <c r="F16931" s="5"/>
      <c r="G16931" s="5"/>
    </row>
    <row r="16932" spans="1:7" ht="58.5" customHeight="1" x14ac:dyDescent="0.25">
      <c r="A16932" s="5" t="str">
        <f>"H0031969"</f>
        <v>H0031969</v>
      </c>
      <c r="B16932" s="5" t="str">
        <f t="shared" si="866"/>
        <v>BOMBA DE INFUSION</v>
      </c>
      <c r="C16932" s="6">
        <v>1900000</v>
      </c>
      <c r="D16932" s="5" t="s">
        <v>107</v>
      </c>
      <c r="E16932" s="5" t="str">
        <f t="shared" si="867"/>
        <v>ELEMENTOS EN BODEGA USADOS</v>
      </c>
      <c r="F16932" s="5"/>
      <c r="G16932" s="5"/>
    </row>
    <row r="16933" spans="1:7" ht="58.5" customHeight="1" x14ac:dyDescent="0.25">
      <c r="A16933" s="5" t="str">
        <f>"H0031971"</f>
        <v>H0031971</v>
      </c>
      <c r="B16933" s="5" t="str">
        <f t="shared" si="866"/>
        <v>BOMBA DE INFUSION</v>
      </c>
      <c r="C16933" s="6">
        <v>1900000</v>
      </c>
      <c r="D16933" s="5" t="s">
        <v>107</v>
      </c>
      <c r="E16933" s="5" t="str">
        <f t="shared" si="867"/>
        <v>ELEMENTOS EN BODEGA USADOS</v>
      </c>
      <c r="F16933" s="5"/>
      <c r="G16933" s="5"/>
    </row>
    <row r="16934" spans="1:7" ht="58.5" customHeight="1" x14ac:dyDescent="0.25">
      <c r="A16934" s="5" t="str">
        <f>"H0031972"</f>
        <v>H0031972</v>
      </c>
      <c r="B16934" s="5" t="str">
        <f t="shared" si="866"/>
        <v>BOMBA DE INFUSION</v>
      </c>
      <c r="C16934" s="6">
        <v>1900000</v>
      </c>
      <c r="D16934" s="5" t="s">
        <v>107</v>
      </c>
      <c r="E16934" s="5" t="str">
        <f t="shared" si="867"/>
        <v>ELEMENTOS EN BODEGA USADOS</v>
      </c>
      <c r="F16934" s="5"/>
      <c r="G16934" s="5"/>
    </row>
    <row r="16935" spans="1:7" ht="58.5" customHeight="1" x14ac:dyDescent="0.25">
      <c r="A16935" s="5" t="str">
        <f>"H0031974"</f>
        <v>H0031974</v>
      </c>
      <c r="B16935" s="5" t="str">
        <f t="shared" si="866"/>
        <v>BOMBA DE INFUSION</v>
      </c>
      <c r="C16935" s="6">
        <v>1900000</v>
      </c>
      <c r="D16935" s="5" t="s">
        <v>107</v>
      </c>
      <c r="E16935" s="5" t="str">
        <f t="shared" si="867"/>
        <v>ELEMENTOS EN BODEGA USADOS</v>
      </c>
      <c r="F16935" s="5"/>
      <c r="G16935" s="5"/>
    </row>
    <row r="16936" spans="1:7" ht="58.5" customHeight="1" x14ac:dyDescent="0.25">
      <c r="A16936" s="5" t="str">
        <f>"H0031976"</f>
        <v>H0031976</v>
      </c>
      <c r="B16936" s="5" t="str">
        <f t="shared" si="866"/>
        <v>BOMBA DE INFUSION</v>
      </c>
      <c r="C16936" s="6">
        <v>1900000</v>
      </c>
      <c r="D16936" s="5" t="s">
        <v>107</v>
      </c>
      <c r="E16936" s="5" t="str">
        <f t="shared" si="867"/>
        <v>ELEMENTOS EN BODEGA USADOS</v>
      </c>
      <c r="F16936" s="5"/>
      <c r="G16936" s="5"/>
    </row>
    <row r="16937" spans="1:7" ht="58.5" customHeight="1" x14ac:dyDescent="0.25">
      <c r="A16937" s="5" t="str">
        <f>"H0031977"</f>
        <v>H0031977</v>
      </c>
      <c r="B16937" s="5" t="str">
        <f t="shared" si="866"/>
        <v>BOMBA DE INFUSION</v>
      </c>
      <c r="C16937" s="6">
        <v>1900000</v>
      </c>
      <c r="D16937" s="5" t="s">
        <v>107</v>
      </c>
      <c r="E16937" s="5" t="str">
        <f t="shared" si="867"/>
        <v>ELEMENTOS EN BODEGA USADOS</v>
      </c>
      <c r="F16937" s="5"/>
      <c r="G16937" s="5"/>
    </row>
    <row r="16938" spans="1:7" ht="58.5" customHeight="1" x14ac:dyDescent="0.25">
      <c r="A16938" s="5" t="str">
        <f>"H0031978"</f>
        <v>H0031978</v>
      </c>
      <c r="B16938" s="5" t="str">
        <f t="shared" si="866"/>
        <v>BOMBA DE INFUSION</v>
      </c>
      <c r="C16938" s="6">
        <v>1900000</v>
      </c>
      <c r="D16938" s="5" t="s">
        <v>107</v>
      </c>
      <c r="E16938" s="5" t="str">
        <f t="shared" si="867"/>
        <v>ELEMENTOS EN BODEGA USADOS</v>
      </c>
      <c r="F16938" s="5"/>
      <c r="G16938" s="5"/>
    </row>
    <row r="16939" spans="1:7" ht="58.5" customHeight="1" x14ac:dyDescent="0.25">
      <c r="A16939" s="5" t="str">
        <f>"H0031979"</f>
        <v>H0031979</v>
      </c>
      <c r="B16939" s="5" t="str">
        <f t="shared" si="866"/>
        <v>BOMBA DE INFUSION</v>
      </c>
      <c r="C16939" s="6">
        <v>1900000</v>
      </c>
      <c r="D16939" s="5" t="s">
        <v>107</v>
      </c>
      <c r="E16939" s="5" t="str">
        <f t="shared" si="867"/>
        <v>ELEMENTOS EN BODEGA USADOS</v>
      </c>
      <c r="F16939" s="5"/>
      <c r="G16939" s="5"/>
    </row>
    <row r="16940" spans="1:7" ht="58.5" customHeight="1" x14ac:dyDescent="0.25">
      <c r="A16940" s="5" t="str">
        <f>"H0031983"</f>
        <v>H0031983</v>
      </c>
      <c r="B16940" s="5" t="str">
        <f t="shared" si="866"/>
        <v>BOMBA DE INFUSION</v>
      </c>
      <c r="C16940" s="6">
        <v>1900000</v>
      </c>
      <c r="D16940" s="5" t="s">
        <v>107</v>
      </c>
      <c r="E16940" s="5" t="str">
        <f t="shared" si="867"/>
        <v>ELEMENTOS EN BODEGA USADOS</v>
      </c>
      <c r="F16940" s="5"/>
      <c r="G16940" s="5"/>
    </row>
    <row r="16941" spans="1:7" ht="58.5" customHeight="1" x14ac:dyDescent="0.25">
      <c r="A16941" s="5" t="str">
        <f>"H0031986"</f>
        <v>H0031986</v>
      </c>
      <c r="B16941" s="5" t="str">
        <f t="shared" si="866"/>
        <v>BOMBA DE INFUSION</v>
      </c>
      <c r="C16941" s="6">
        <v>1900000</v>
      </c>
      <c r="D16941" s="5" t="s">
        <v>107</v>
      </c>
      <c r="E16941" s="5" t="str">
        <f t="shared" si="867"/>
        <v>ELEMENTOS EN BODEGA USADOS</v>
      </c>
      <c r="F16941" s="5"/>
      <c r="G16941" s="5"/>
    </row>
    <row r="16942" spans="1:7" ht="58.5" customHeight="1" x14ac:dyDescent="0.25">
      <c r="A16942" s="5" t="str">
        <f>"H0032161"</f>
        <v>H0032161</v>
      </c>
      <c r="B16942" s="5" t="str">
        <f>"ventilador de transporte mtv1000-mek-ics (DONACION)"</f>
        <v>ventilador de transporte mtv1000-mek-ics (DONACION)</v>
      </c>
      <c r="C16942" s="6">
        <v>32133824</v>
      </c>
      <c r="D16942" s="5" t="s">
        <v>481</v>
      </c>
      <c r="E16942" s="5" t="str">
        <f t="shared" si="867"/>
        <v>ELEMENTOS EN BODEGA USADOS</v>
      </c>
      <c r="F16942" s="5"/>
      <c r="G16942" s="5" t="str">
        <f>"MTV1000"</f>
        <v>MTV1000</v>
      </c>
    </row>
    <row r="16943" spans="1:7" ht="58.5" customHeight="1" x14ac:dyDescent="0.25">
      <c r="A16943" s="5" t="str">
        <f>"H0032313"</f>
        <v>H0032313</v>
      </c>
      <c r="B16943" s="5" t="str">
        <f>"SOPORTE PEDESTAL MONITOR"</f>
        <v>SOPORTE PEDESTAL MONITOR</v>
      </c>
      <c r="C16943" s="6">
        <v>1140020</v>
      </c>
      <c r="D16943" s="5" t="s">
        <v>232</v>
      </c>
      <c r="E16943" s="5" t="str">
        <f t="shared" si="867"/>
        <v>ELEMENTOS EN BODEGA USADOS</v>
      </c>
      <c r="F16943" s="5"/>
      <c r="G16943" s="5"/>
    </row>
    <row r="16944" spans="1:7" ht="58.5" customHeight="1" x14ac:dyDescent="0.25">
      <c r="A16944" s="5" t="str">
        <f>"H0032341"</f>
        <v>H0032341</v>
      </c>
      <c r="B16944" s="5" t="str">
        <f>"ventilador de transporte  (DONACION)"</f>
        <v>ventilador de transporte  (DONACION)</v>
      </c>
      <c r="C16944" s="6">
        <v>33406900</v>
      </c>
      <c r="D16944" s="5" t="s">
        <v>484</v>
      </c>
      <c r="E16944" s="5" t="str">
        <f t="shared" si="867"/>
        <v>ELEMENTOS EN BODEGA USADOS</v>
      </c>
      <c r="F16944" s="5"/>
      <c r="G16944" s="5" t="str">
        <f>"MTV1000"</f>
        <v>MTV1000</v>
      </c>
    </row>
    <row r="16945" spans="1:7" ht="58.5" customHeight="1" x14ac:dyDescent="0.25">
      <c r="A16945" s="5" t="str">
        <f>"H0032343"</f>
        <v>H0032343</v>
      </c>
      <c r="B16945" s="5" t="str">
        <f>"ventilador de transporte  (DONACION)"</f>
        <v>ventilador de transporte  (DONACION)</v>
      </c>
      <c r="C16945" s="6">
        <v>33406900</v>
      </c>
      <c r="D16945" s="5" t="s">
        <v>484</v>
      </c>
      <c r="E16945" s="5" t="str">
        <f t="shared" si="867"/>
        <v>ELEMENTOS EN BODEGA USADOS</v>
      </c>
      <c r="F16945" s="5"/>
      <c r="G16945" s="5" t="str">
        <f>"Oxymag"</f>
        <v>Oxymag</v>
      </c>
    </row>
    <row r="16946" spans="1:7" ht="58.5" customHeight="1" x14ac:dyDescent="0.25">
      <c r="A16946" s="5" t="str">
        <f>"H0032344"</f>
        <v>H0032344</v>
      </c>
      <c r="B16946" s="5" t="str">
        <f>"ventilador de transporte  (DONACION)"</f>
        <v>ventilador de transporte  (DONACION)</v>
      </c>
      <c r="C16946" s="6">
        <v>33406900</v>
      </c>
      <c r="D16946" s="5" t="s">
        <v>484</v>
      </c>
      <c r="E16946" s="5" t="str">
        <f t="shared" si="867"/>
        <v>ELEMENTOS EN BODEGA USADOS</v>
      </c>
      <c r="F16946" s="5"/>
      <c r="G16946" s="5" t="str">
        <f>"Oxymag"</f>
        <v>Oxymag</v>
      </c>
    </row>
    <row r="16947" spans="1:7" ht="58.5" customHeight="1" x14ac:dyDescent="0.25">
      <c r="A16947" s="5" t="str">
        <f>"H0032346"</f>
        <v>H0032346</v>
      </c>
      <c r="B16947" s="5" t="str">
        <f>"ventilador de transporte  (DONACION)"</f>
        <v>ventilador de transporte  (DONACION)</v>
      </c>
      <c r="C16947" s="6">
        <v>33406900</v>
      </c>
      <c r="D16947" s="5" t="s">
        <v>484</v>
      </c>
      <c r="E16947" s="5" t="str">
        <f t="shared" si="867"/>
        <v>ELEMENTOS EN BODEGA USADOS</v>
      </c>
      <c r="F16947" s="5"/>
      <c r="G16947" s="5" t="str">
        <f>"SHANGRILA 510S"</f>
        <v>SHANGRILA 510S</v>
      </c>
    </row>
    <row r="16948" spans="1:7" ht="58.5" customHeight="1" x14ac:dyDescent="0.25">
      <c r="A16948" s="5" t="str">
        <f>"H0032347"</f>
        <v>H0032347</v>
      </c>
      <c r="B16948" s="5" t="str">
        <f>"ventilador de transporte  (DONACION)"</f>
        <v>ventilador de transporte  (DONACION)</v>
      </c>
      <c r="C16948" s="6">
        <v>33406901</v>
      </c>
      <c r="D16948" s="5" t="s">
        <v>484</v>
      </c>
      <c r="E16948" s="5" t="str">
        <f t="shared" si="867"/>
        <v>ELEMENTOS EN BODEGA USADOS</v>
      </c>
      <c r="F16948" s="5"/>
      <c r="G16948" s="5" t="str">
        <f>"SHANGRILA 510S"</f>
        <v>SHANGRILA 510S</v>
      </c>
    </row>
    <row r="16949" spans="1:7" ht="58.5" customHeight="1" x14ac:dyDescent="0.25">
      <c r="A16949" s="5" t="str">
        <f>"H0032370"</f>
        <v>H0032370</v>
      </c>
      <c r="B16949" s="5" t="str">
        <f>"EQUIPO DE ORGANO (DONACION)"</f>
        <v>EQUIPO DE ORGANO (DONACION)</v>
      </c>
      <c r="C16949" s="6">
        <v>862500</v>
      </c>
      <c r="D16949" s="5" t="s">
        <v>110</v>
      </c>
      <c r="E16949" s="5" t="str">
        <f t="shared" si="867"/>
        <v>ELEMENTOS EN BODEGA USADOS</v>
      </c>
      <c r="F16949" s="5"/>
      <c r="G16949" s="5"/>
    </row>
    <row r="16950" spans="1:7" ht="58.5" customHeight="1" x14ac:dyDescent="0.25">
      <c r="A16950" s="5" t="str">
        <f>"H0032371"</f>
        <v>H0032371</v>
      </c>
      <c r="B16950" s="5" t="str">
        <f>"EQUIPO DE ORGANO (DONACION)"</f>
        <v>EQUIPO DE ORGANO (DONACION)</v>
      </c>
      <c r="C16950" s="6">
        <v>862500</v>
      </c>
      <c r="D16950" s="5" t="s">
        <v>110</v>
      </c>
      <c r="E16950" s="5" t="str">
        <f t="shared" si="867"/>
        <v>ELEMENTOS EN BODEGA USADOS</v>
      </c>
      <c r="F16950" s="5"/>
      <c r="G16950" s="5"/>
    </row>
    <row r="16951" spans="1:7" ht="58.5" customHeight="1" x14ac:dyDescent="0.25">
      <c r="A16951" s="5" t="str">
        <f>"H0032378"</f>
        <v>H0032378</v>
      </c>
      <c r="B16951" s="5" t="str">
        <f>"succionador (DONACION)"</f>
        <v>succionador (DONACION)</v>
      </c>
      <c r="C16951" s="6">
        <v>649750</v>
      </c>
      <c r="D16951" s="5" t="s">
        <v>110</v>
      </c>
      <c r="E16951" s="5" t="str">
        <f t="shared" si="867"/>
        <v>ELEMENTOS EN BODEGA USADOS</v>
      </c>
      <c r="F16951" s="5"/>
      <c r="G16951" s="5"/>
    </row>
    <row r="16952" spans="1:7" ht="58.5" customHeight="1" x14ac:dyDescent="0.25">
      <c r="A16952" s="5" t="str">
        <f>"H0032382"</f>
        <v>H0032382</v>
      </c>
      <c r="B16952" s="5" t="str">
        <f>"succionador (DONACION)"</f>
        <v>succionador (DONACION)</v>
      </c>
      <c r="C16952" s="6">
        <v>649750</v>
      </c>
      <c r="D16952" s="5" t="s">
        <v>110</v>
      </c>
      <c r="E16952" s="5" t="str">
        <f t="shared" si="867"/>
        <v>ELEMENTOS EN BODEGA USADOS</v>
      </c>
      <c r="F16952" s="5"/>
      <c r="G16952" s="5"/>
    </row>
    <row r="16953" spans="1:7" ht="58.5" customHeight="1" x14ac:dyDescent="0.25">
      <c r="A16953" s="5" t="str">
        <f>"H0032390"</f>
        <v>H0032390</v>
      </c>
      <c r="B16953" s="5" t="str">
        <f t="shared" ref="B16953:B16960" si="868">"bomba de infusion (DONACION)"</f>
        <v>bomba de infusion (DONACION)</v>
      </c>
      <c r="C16953" s="6">
        <v>4375000</v>
      </c>
      <c r="D16953" s="5" t="s">
        <v>110</v>
      </c>
      <c r="E16953" s="5" t="str">
        <f t="shared" si="867"/>
        <v>ELEMENTOS EN BODEGA USADOS</v>
      </c>
      <c r="F16953" s="5"/>
      <c r="G16953" s="5" t="str">
        <f>"SK-600II"</f>
        <v>SK-600II</v>
      </c>
    </row>
    <row r="16954" spans="1:7" ht="58.5" customHeight="1" x14ac:dyDescent="0.25">
      <c r="A16954" s="5" t="str">
        <f>"H0032391"</f>
        <v>H0032391</v>
      </c>
      <c r="B16954" s="5" t="str">
        <f t="shared" si="868"/>
        <v>bomba de infusion (DONACION)</v>
      </c>
      <c r="C16954" s="6">
        <v>4375000</v>
      </c>
      <c r="D16954" s="5" t="s">
        <v>657</v>
      </c>
      <c r="E16954" s="5" t="str">
        <f t="shared" si="867"/>
        <v>ELEMENTOS EN BODEGA USADOS</v>
      </c>
      <c r="F16954" s="5" t="str">
        <f>"16"</f>
        <v>16</v>
      </c>
      <c r="G16954" s="5"/>
    </row>
    <row r="16955" spans="1:7" ht="58.5" customHeight="1" x14ac:dyDescent="0.25">
      <c r="A16955" s="5" t="str">
        <f>"H0032392"</f>
        <v>H0032392</v>
      </c>
      <c r="B16955" s="5" t="str">
        <f t="shared" si="868"/>
        <v>bomba de infusion (DONACION)</v>
      </c>
      <c r="C16955" s="6">
        <v>4375000</v>
      </c>
      <c r="D16955" s="5" t="s">
        <v>110</v>
      </c>
      <c r="E16955" s="5" t="str">
        <f t="shared" si="867"/>
        <v>ELEMENTOS EN BODEGA USADOS</v>
      </c>
      <c r="F16955" s="5"/>
      <c r="G16955" s="5" t="str">
        <f>"SK-600II"</f>
        <v>SK-600II</v>
      </c>
    </row>
    <row r="16956" spans="1:7" ht="58.5" customHeight="1" x14ac:dyDescent="0.25">
      <c r="A16956" s="5" t="str">
        <f>"H0032393"</f>
        <v>H0032393</v>
      </c>
      <c r="B16956" s="5" t="str">
        <f t="shared" si="868"/>
        <v>bomba de infusion (DONACION)</v>
      </c>
      <c r="C16956" s="6">
        <v>4375000</v>
      </c>
      <c r="D16956" s="5" t="s">
        <v>110</v>
      </c>
      <c r="E16956" s="5" t="str">
        <f t="shared" si="867"/>
        <v>ELEMENTOS EN BODEGA USADOS</v>
      </c>
      <c r="F16956" s="5"/>
      <c r="G16956" s="5"/>
    </row>
    <row r="16957" spans="1:7" ht="58.5" customHeight="1" x14ac:dyDescent="0.25">
      <c r="A16957" s="5" t="str">
        <f>"H0032394"</f>
        <v>H0032394</v>
      </c>
      <c r="B16957" s="5" t="str">
        <f t="shared" si="868"/>
        <v>bomba de infusion (DONACION)</v>
      </c>
      <c r="C16957" s="6">
        <v>4375000</v>
      </c>
      <c r="D16957" s="5" t="s">
        <v>110</v>
      </c>
      <c r="E16957" s="5" t="str">
        <f t="shared" si="867"/>
        <v>ELEMENTOS EN BODEGA USADOS</v>
      </c>
      <c r="F16957" s="5"/>
      <c r="G16957" s="5"/>
    </row>
    <row r="16958" spans="1:7" ht="58.5" customHeight="1" x14ac:dyDescent="0.25">
      <c r="A16958" s="5" t="str">
        <f>"H0032396"</f>
        <v>H0032396</v>
      </c>
      <c r="B16958" s="5" t="str">
        <f t="shared" si="868"/>
        <v>bomba de infusion (DONACION)</v>
      </c>
      <c r="C16958" s="6">
        <v>4375000</v>
      </c>
      <c r="D16958" s="5" t="s">
        <v>110</v>
      </c>
      <c r="E16958" s="5" t="str">
        <f t="shared" si="867"/>
        <v>ELEMENTOS EN BODEGA USADOS</v>
      </c>
      <c r="F16958" s="5"/>
      <c r="G16958" s="5"/>
    </row>
    <row r="16959" spans="1:7" ht="58.5" customHeight="1" x14ac:dyDescent="0.25">
      <c r="A16959" s="5" t="str">
        <f>"H0032397"</f>
        <v>H0032397</v>
      </c>
      <c r="B16959" s="5" t="str">
        <f t="shared" si="868"/>
        <v>bomba de infusion (DONACION)</v>
      </c>
      <c r="C16959" s="6">
        <v>4375000</v>
      </c>
      <c r="D16959" s="5" t="s">
        <v>110</v>
      </c>
      <c r="E16959" s="5" t="str">
        <f t="shared" si="867"/>
        <v>ELEMENTOS EN BODEGA USADOS</v>
      </c>
      <c r="F16959" s="5"/>
      <c r="G16959" s="5"/>
    </row>
    <row r="16960" spans="1:7" ht="58.5" customHeight="1" x14ac:dyDescent="0.25">
      <c r="A16960" s="5" t="str">
        <f>"H0032399"</f>
        <v>H0032399</v>
      </c>
      <c r="B16960" s="5" t="str">
        <f t="shared" si="868"/>
        <v>bomba de infusion (DONACION)</v>
      </c>
      <c r="C16960" s="6">
        <v>4375000</v>
      </c>
      <c r="D16960" s="5" t="s">
        <v>110</v>
      </c>
      <c r="E16960" s="5" t="str">
        <f t="shared" si="867"/>
        <v>ELEMENTOS EN BODEGA USADOS</v>
      </c>
      <c r="F16960" s="5"/>
      <c r="G16960" s="5"/>
    </row>
    <row r="16961" spans="1:7" ht="58.5" customHeight="1" x14ac:dyDescent="0.25">
      <c r="A16961" s="5" t="str">
        <f>"H0032477"</f>
        <v>H0032477</v>
      </c>
      <c r="B16961" s="5" t="str">
        <f>"MONITOR DE SIGNOS VITALES"</f>
        <v>MONITOR DE SIGNOS VITALES</v>
      </c>
      <c r="C16961" s="6">
        <v>7826250</v>
      </c>
      <c r="D16961" s="5" t="s">
        <v>486</v>
      </c>
      <c r="E16961" s="5" t="str">
        <f t="shared" si="867"/>
        <v>ELEMENTOS EN BODEGA USADOS</v>
      </c>
      <c r="F16961" s="5"/>
      <c r="G16961" s="5"/>
    </row>
    <row r="16962" spans="1:7" ht="58.5" customHeight="1" x14ac:dyDescent="0.25">
      <c r="A16962" s="5" t="str">
        <f>"H0032479"</f>
        <v>H0032479</v>
      </c>
      <c r="B16962" s="5" t="str">
        <f>"MONITOR DE SIGNOS VITALES"</f>
        <v>MONITOR DE SIGNOS VITALES</v>
      </c>
      <c r="C16962" s="6">
        <v>7826250</v>
      </c>
      <c r="D16962" s="5" t="s">
        <v>486</v>
      </c>
      <c r="E16962" s="5" t="str">
        <f t="shared" si="867"/>
        <v>ELEMENTOS EN BODEGA USADOS</v>
      </c>
      <c r="F16962" s="5"/>
      <c r="G16962" s="5"/>
    </row>
    <row r="16963" spans="1:7" ht="58.5" customHeight="1" x14ac:dyDescent="0.25">
      <c r="A16963" s="5" t="str">
        <f>"H0032482"</f>
        <v>H0032482</v>
      </c>
      <c r="B16963" s="5" t="str">
        <f>"Persiana tipo black out de 2.60 mts largo x 1.30 mts ancho"</f>
        <v>Persiana tipo black out de 2.60 mts largo x 1.30 mts ancho</v>
      </c>
      <c r="C16963" s="6">
        <v>515000</v>
      </c>
      <c r="D16963" s="5" t="s">
        <v>815</v>
      </c>
      <c r="E16963" s="5" t="str">
        <f t="shared" si="867"/>
        <v>ELEMENTOS EN BODEGA USADOS</v>
      </c>
      <c r="F16963" s="5"/>
      <c r="G16963" s="5"/>
    </row>
    <row r="16964" spans="1:7" ht="58.5" customHeight="1" x14ac:dyDescent="0.25">
      <c r="A16964" s="5" t="str">
        <f>"H0032483"</f>
        <v>H0032483</v>
      </c>
      <c r="B16964" s="5" t="str">
        <f>"Persiana tipo black out de 2.60 mts largo x 1.30 mts ancho"</f>
        <v>Persiana tipo black out de 2.60 mts largo x 1.30 mts ancho</v>
      </c>
      <c r="C16964" s="6">
        <v>515000</v>
      </c>
      <c r="D16964" s="5" t="s">
        <v>815</v>
      </c>
      <c r="E16964" s="5" t="str">
        <f t="shared" si="867"/>
        <v>ELEMENTOS EN BODEGA USADOS</v>
      </c>
      <c r="F16964" s="5"/>
      <c r="G16964" s="5"/>
    </row>
    <row r="16965" spans="1:7" ht="58.5" customHeight="1" x14ac:dyDescent="0.25">
      <c r="A16965" s="5" t="str">
        <f>"H0032484"</f>
        <v>H0032484</v>
      </c>
      <c r="B16965" s="5" t="str">
        <f>"Persiana tipo black out de 1.20 mts x 1.30 mts"</f>
        <v>Persiana tipo black out de 1.20 mts x 1.30 mts</v>
      </c>
      <c r="C16965" s="6">
        <v>250000</v>
      </c>
      <c r="D16965" s="5" t="s">
        <v>815</v>
      </c>
      <c r="E16965" s="5" t="str">
        <f t="shared" si="867"/>
        <v>ELEMENTOS EN BODEGA USADOS</v>
      </c>
      <c r="F16965" s="5"/>
      <c r="G16965" s="5"/>
    </row>
    <row r="16966" spans="1:7" ht="58.5" customHeight="1" x14ac:dyDescent="0.25">
      <c r="A16966" s="5" t="str">
        <f>"H0032540"</f>
        <v>H0032540</v>
      </c>
      <c r="B16966" s="5" t="str">
        <f t="shared" ref="B16966:B16989" si="869">"bomba de infusion (DONACION)"</f>
        <v>bomba de infusion (DONACION)</v>
      </c>
      <c r="C16966" s="6">
        <v>4860000</v>
      </c>
      <c r="D16966" s="5" t="s">
        <v>113</v>
      </c>
      <c r="E16966" s="5" t="str">
        <f t="shared" si="867"/>
        <v>ELEMENTOS EN BODEGA USADOS</v>
      </c>
      <c r="F16966" s="5"/>
      <c r="G16966" s="5"/>
    </row>
    <row r="16967" spans="1:7" ht="58.5" customHeight="1" x14ac:dyDescent="0.25">
      <c r="A16967" s="5" t="str">
        <f>"H0032544"</f>
        <v>H0032544</v>
      </c>
      <c r="B16967" s="5" t="str">
        <f t="shared" si="869"/>
        <v>bomba de infusion (DONACION)</v>
      </c>
      <c r="C16967" s="6">
        <v>4860000</v>
      </c>
      <c r="D16967" s="5" t="s">
        <v>113</v>
      </c>
      <c r="E16967" s="5" t="str">
        <f t="shared" si="867"/>
        <v>ELEMENTOS EN BODEGA USADOS</v>
      </c>
      <c r="F16967" s="5"/>
      <c r="G16967" s="5"/>
    </row>
    <row r="16968" spans="1:7" ht="58.5" customHeight="1" x14ac:dyDescent="0.25">
      <c r="A16968" s="5" t="str">
        <f>"H0032548"</f>
        <v>H0032548</v>
      </c>
      <c r="B16968" s="5" t="str">
        <f t="shared" si="869"/>
        <v>bomba de infusion (DONACION)</v>
      </c>
      <c r="C16968" s="6">
        <v>4860000</v>
      </c>
      <c r="D16968" s="5" t="s">
        <v>113</v>
      </c>
      <c r="E16968" s="5" t="str">
        <f t="shared" si="867"/>
        <v>ELEMENTOS EN BODEGA USADOS</v>
      </c>
      <c r="F16968" s="5"/>
      <c r="G16968" s="5"/>
    </row>
    <row r="16969" spans="1:7" ht="58.5" customHeight="1" x14ac:dyDescent="0.25">
      <c r="A16969" s="5" t="str">
        <f>"H0032549"</f>
        <v>H0032549</v>
      </c>
      <c r="B16969" s="5" t="str">
        <f t="shared" si="869"/>
        <v>bomba de infusion (DONACION)</v>
      </c>
      <c r="C16969" s="6">
        <v>4860000</v>
      </c>
      <c r="D16969" s="5" t="s">
        <v>113</v>
      </c>
      <c r="E16969" s="5" t="str">
        <f t="shared" si="867"/>
        <v>ELEMENTOS EN BODEGA USADOS</v>
      </c>
      <c r="F16969" s="5"/>
      <c r="G16969" s="5"/>
    </row>
    <row r="16970" spans="1:7" ht="58.5" customHeight="1" x14ac:dyDescent="0.25">
      <c r="A16970" s="5" t="str">
        <f>"H0032551"</f>
        <v>H0032551</v>
      </c>
      <c r="B16970" s="5" t="str">
        <f t="shared" si="869"/>
        <v>bomba de infusion (DONACION)</v>
      </c>
      <c r="C16970" s="6">
        <v>4860000</v>
      </c>
      <c r="D16970" s="5" t="s">
        <v>113</v>
      </c>
      <c r="E16970" s="5" t="str">
        <f t="shared" si="867"/>
        <v>ELEMENTOS EN BODEGA USADOS</v>
      </c>
      <c r="F16970" s="5"/>
      <c r="G16970" s="5"/>
    </row>
    <row r="16971" spans="1:7" ht="58.5" customHeight="1" x14ac:dyDescent="0.25">
      <c r="A16971" s="5" t="str">
        <f>"H0032552"</f>
        <v>H0032552</v>
      </c>
      <c r="B16971" s="5" t="str">
        <f t="shared" si="869"/>
        <v>bomba de infusion (DONACION)</v>
      </c>
      <c r="C16971" s="6">
        <v>4860000</v>
      </c>
      <c r="D16971" s="5" t="s">
        <v>113</v>
      </c>
      <c r="E16971" s="5" t="str">
        <f t="shared" si="867"/>
        <v>ELEMENTOS EN BODEGA USADOS</v>
      </c>
      <c r="F16971" s="5"/>
      <c r="G16971" s="5"/>
    </row>
    <row r="16972" spans="1:7" ht="58.5" customHeight="1" x14ac:dyDescent="0.25">
      <c r="A16972" s="5" t="str">
        <f>"H0032553"</f>
        <v>H0032553</v>
      </c>
      <c r="B16972" s="5" t="str">
        <f t="shared" si="869"/>
        <v>bomba de infusion (DONACION)</v>
      </c>
      <c r="C16972" s="6">
        <v>4860000</v>
      </c>
      <c r="D16972" s="5" t="s">
        <v>113</v>
      </c>
      <c r="E16972" s="5" t="str">
        <f t="shared" si="867"/>
        <v>ELEMENTOS EN BODEGA USADOS</v>
      </c>
      <c r="F16972" s="5"/>
      <c r="G16972" s="5"/>
    </row>
    <row r="16973" spans="1:7" ht="58.5" customHeight="1" x14ac:dyDescent="0.25">
      <c r="A16973" s="5" t="str">
        <f>"H0032555"</f>
        <v>H0032555</v>
      </c>
      <c r="B16973" s="5" t="str">
        <f t="shared" si="869"/>
        <v>bomba de infusion (DONACION)</v>
      </c>
      <c r="C16973" s="6">
        <v>4860000</v>
      </c>
      <c r="D16973" s="5" t="s">
        <v>113</v>
      </c>
      <c r="E16973" s="5" t="str">
        <f t="shared" si="867"/>
        <v>ELEMENTOS EN BODEGA USADOS</v>
      </c>
      <c r="F16973" s="5"/>
      <c r="G16973" s="5"/>
    </row>
    <row r="16974" spans="1:7" ht="58.5" customHeight="1" x14ac:dyDescent="0.25">
      <c r="A16974" s="5" t="str">
        <f>"H0032556"</f>
        <v>H0032556</v>
      </c>
      <c r="B16974" s="5" t="str">
        <f t="shared" si="869"/>
        <v>bomba de infusion (DONACION)</v>
      </c>
      <c r="C16974" s="6">
        <v>4860000</v>
      </c>
      <c r="D16974" s="5" t="s">
        <v>113</v>
      </c>
      <c r="E16974" s="5" t="str">
        <f t="shared" si="867"/>
        <v>ELEMENTOS EN BODEGA USADOS</v>
      </c>
      <c r="F16974" s="5"/>
      <c r="G16974" s="5"/>
    </row>
    <row r="16975" spans="1:7" ht="58.5" customHeight="1" x14ac:dyDescent="0.25">
      <c r="A16975" s="5" t="str">
        <f>"H0032558"</f>
        <v>H0032558</v>
      </c>
      <c r="B16975" s="5" t="str">
        <f t="shared" si="869"/>
        <v>bomba de infusion (DONACION)</v>
      </c>
      <c r="C16975" s="6">
        <v>4860000</v>
      </c>
      <c r="D16975" s="5" t="s">
        <v>113</v>
      </c>
      <c r="E16975" s="5" t="str">
        <f t="shared" si="867"/>
        <v>ELEMENTOS EN BODEGA USADOS</v>
      </c>
      <c r="F16975" s="5"/>
      <c r="G16975" s="5"/>
    </row>
    <row r="16976" spans="1:7" ht="58.5" customHeight="1" x14ac:dyDescent="0.25">
      <c r="A16976" s="5" t="str">
        <f>"H0032562"</f>
        <v>H0032562</v>
      </c>
      <c r="B16976" s="5" t="str">
        <f t="shared" si="869"/>
        <v>bomba de infusion (DONACION)</v>
      </c>
      <c r="C16976" s="6">
        <v>4860000</v>
      </c>
      <c r="D16976" s="5" t="s">
        <v>113</v>
      </c>
      <c r="E16976" s="5" t="str">
        <f t="shared" si="867"/>
        <v>ELEMENTOS EN BODEGA USADOS</v>
      </c>
      <c r="F16976" s="5"/>
      <c r="G16976" s="5"/>
    </row>
    <row r="16977" spans="1:7" ht="58.5" customHeight="1" x14ac:dyDescent="0.25">
      <c r="A16977" s="5" t="str">
        <f>"H0032563"</f>
        <v>H0032563</v>
      </c>
      <c r="B16977" s="5" t="str">
        <f t="shared" si="869"/>
        <v>bomba de infusion (DONACION)</v>
      </c>
      <c r="C16977" s="6">
        <v>4860000</v>
      </c>
      <c r="D16977" s="5" t="s">
        <v>113</v>
      </c>
      <c r="E16977" s="5" t="str">
        <f t="shared" si="867"/>
        <v>ELEMENTOS EN BODEGA USADOS</v>
      </c>
      <c r="F16977" s="5"/>
      <c r="G16977" s="5"/>
    </row>
    <row r="16978" spans="1:7" ht="58.5" customHeight="1" x14ac:dyDescent="0.25">
      <c r="A16978" s="5" t="str">
        <f>"H0032564"</f>
        <v>H0032564</v>
      </c>
      <c r="B16978" s="5" t="str">
        <f t="shared" si="869"/>
        <v>bomba de infusion (DONACION)</v>
      </c>
      <c r="C16978" s="6">
        <v>4860000</v>
      </c>
      <c r="D16978" s="5" t="s">
        <v>113</v>
      </c>
      <c r="E16978" s="5" t="str">
        <f t="shared" si="867"/>
        <v>ELEMENTOS EN BODEGA USADOS</v>
      </c>
      <c r="F16978" s="5"/>
      <c r="G16978" s="5"/>
    </row>
    <row r="16979" spans="1:7" ht="58.5" customHeight="1" x14ac:dyDescent="0.25">
      <c r="A16979" s="5" t="str">
        <f>"H0032565"</f>
        <v>H0032565</v>
      </c>
      <c r="B16979" s="5" t="str">
        <f t="shared" si="869"/>
        <v>bomba de infusion (DONACION)</v>
      </c>
      <c r="C16979" s="6">
        <v>4860000</v>
      </c>
      <c r="D16979" s="5" t="s">
        <v>113</v>
      </c>
      <c r="E16979" s="5" t="str">
        <f t="shared" si="867"/>
        <v>ELEMENTOS EN BODEGA USADOS</v>
      </c>
      <c r="F16979" s="5"/>
      <c r="G16979" s="5"/>
    </row>
    <row r="16980" spans="1:7" ht="58.5" customHeight="1" x14ac:dyDescent="0.25">
      <c r="A16980" s="5" t="str">
        <f>"H0032570"</f>
        <v>H0032570</v>
      </c>
      <c r="B16980" s="5" t="str">
        <f t="shared" si="869"/>
        <v>bomba de infusion (DONACION)</v>
      </c>
      <c r="C16980" s="6">
        <v>4860000</v>
      </c>
      <c r="D16980" s="5" t="s">
        <v>113</v>
      </c>
      <c r="E16980" s="5" t="str">
        <f t="shared" si="867"/>
        <v>ELEMENTOS EN BODEGA USADOS</v>
      </c>
      <c r="F16980" s="5"/>
      <c r="G16980" s="5"/>
    </row>
    <row r="16981" spans="1:7" ht="58.5" customHeight="1" x14ac:dyDescent="0.25">
      <c r="A16981" s="5" t="str">
        <f>"H0032576"</f>
        <v>H0032576</v>
      </c>
      <c r="B16981" s="5" t="str">
        <f t="shared" si="869"/>
        <v>bomba de infusion (DONACION)</v>
      </c>
      <c r="C16981" s="6">
        <v>4860000</v>
      </c>
      <c r="D16981" s="5" t="s">
        <v>113</v>
      </c>
      <c r="E16981" s="5" t="str">
        <f t="shared" si="867"/>
        <v>ELEMENTOS EN BODEGA USADOS</v>
      </c>
      <c r="F16981" s="5"/>
      <c r="G16981" s="5"/>
    </row>
    <row r="16982" spans="1:7" ht="58.5" customHeight="1" x14ac:dyDescent="0.25">
      <c r="A16982" s="5" t="str">
        <f>"H0032578"</f>
        <v>H0032578</v>
      </c>
      <c r="B16982" s="5" t="str">
        <f t="shared" si="869"/>
        <v>bomba de infusion (DONACION)</v>
      </c>
      <c r="C16982" s="6">
        <v>4860000</v>
      </c>
      <c r="D16982" s="5" t="s">
        <v>113</v>
      </c>
      <c r="E16982" s="5" t="str">
        <f t="shared" si="867"/>
        <v>ELEMENTOS EN BODEGA USADOS</v>
      </c>
      <c r="F16982" s="5"/>
      <c r="G16982" s="5"/>
    </row>
    <row r="16983" spans="1:7" ht="58.5" customHeight="1" x14ac:dyDescent="0.25">
      <c r="A16983" s="5" t="str">
        <f>"H0032579"</f>
        <v>H0032579</v>
      </c>
      <c r="B16983" s="5" t="str">
        <f t="shared" si="869"/>
        <v>bomba de infusion (DONACION)</v>
      </c>
      <c r="C16983" s="6">
        <v>4860000</v>
      </c>
      <c r="D16983" s="5" t="s">
        <v>113</v>
      </c>
      <c r="E16983" s="5" t="str">
        <f t="shared" si="867"/>
        <v>ELEMENTOS EN BODEGA USADOS</v>
      </c>
      <c r="F16983" s="5"/>
      <c r="G16983" s="5"/>
    </row>
    <row r="16984" spans="1:7" ht="58.5" customHeight="1" x14ac:dyDescent="0.25">
      <c r="A16984" s="5" t="str">
        <f>"H0032580"</f>
        <v>H0032580</v>
      </c>
      <c r="B16984" s="5" t="str">
        <f t="shared" si="869"/>
        <v>bomba de infusion (DONACION)</v>
      </c>
      <c r="C16984" s="6">
        <v>4860000</v>
      </c>
      <c r="D16984" s="5" t="s">
        <v>113</v>
      </c>
      <c r="E16984" s="5" t="str">
        <f t="shared" si="867"/>
        <v>ELEMENTOS EN BODEGA USADOS</v>
      </c>
      <c r="F16984" s="5"/>
      <c r="G16984" s="5"/>
    </row>
    <row r="16985" spans="1:7" ht="58.5" customHeight="1" x14ac:dyDescent="0.25">
      <c r="A16985" s="5" t="str">
        <f>"H0032581"</f>
        <v>H0032581</v>
      </c>
      <c r="B16985" s="5" t="str">
        <f t="shared" si="869"/>
        <v>bomba de infusion (DONACION)</v>
      </c>
      <c r="C16985" s="6">
        <v>4860000</v>
      </c>
      <c r="D16985" s="5" t="s">
        <v>113</v>
      </c>
      <c r="E16985" s="5" t="str">
        <f t="shared" si="867"/>
        <v>ELEMENTOS EN BODEGA USADOS</v>
      </c>
      <c r="F16985" s="5"/>
      <c r="G16985" s="5"/>
    </row>
    <row r="16986" spans="1:7" ht="58.5" customHeight="1" x14ac:dyDescent="0.25">
      <c r="A16986" s="5" t="str">
        <f>"H0032582"</f>
        <v>H0032582</v>
      </c>
      <c r="B16986" s="5" t="str">
        <f t="shared" si="869"/>
        <v>bomba de infusion (DONACION)</v>
      </c>
      <c r="C16986" s="6">
        <v>4860000</v>
      </c>
      <c r="D16986" s="5" t="s">
        <v>113</v>
      </c>
      <c r="E16986" s="5" t="str">
        <f t="shared" si="867"/>
        <v>ELEMENTOS EN BODEGA USADOS</v>
      </c>
      <c r="F16986" s="5"/>
      <c r="G16986" s="5"/>
    </row>
    <row r="16987" spans="1:7" ht="58.5" customHeight="1" x14ac:dyDescent="0.25">
      <c r="A16987" s="5" t="str">
        <f>"H0032583"</f>
        <v>H0032583</v>
      </c>
      <c r="B16987" s="5" t="str">
        <f t="shared" si="869"/>
        <v>bomba de infusion (DONACION)</v>
      </c>
      <c r="C16987" s="6">
        <v>4860000</v>
      </c>
      <c r="D16987" s="5" t="s">
        <v>113</v>
      </c>
      <c r="E16987" s="5" t="str">
        <f t="shared" si="867"/>
        <v>ELEMENTOS EN BODEGA USADOS</v>
      </c>
      <c r="F16987" s="5"/>
      <c r="G16987" s="5"/>
    </row>
    <row r="16988" spans="1:7" ht="58.5" customHeight="1" x14ac:dyDescent="0.25">
      <c r="A16988" s="5" t="str">
        <f>"H0032585"</f>
        <v>H0032585</v>
      </c>
      <c r="B16988" s="5" t="str">
        <f t="shared" si="869"/>
        <v>bomba de infusion (DONACION)</v>
      </c>
      <c r="C16988" s="6">
        <v>4860000</v>
      </c>
      <c r="D16988" s="5" t="s">
        <v>113</v>
      </c>
      <c r="E16988" s="5" t="str">
        <f t="shared" si="867"/>
        <v>ELEMENTOS EN BODEGA USADOS</v>
      </c>
      <c r="F16988" s="5"/>
      <c r="G16988" s="5"/>
    </row>
    <row r="16989" spans="1:7" ht="58.5" customHeight="1" x14ac:dyDescent="0.25">
      <c r="A16989" s="5" t="str">
        <f>"H0032586"</f>
        <v>H0032586</v>
      </c>
      <c r="B16989" s="5" t="str">
        <f t="shared" si="869"/>
        <v>bomba de infusion (DONACION)</v>
      </c>
      <c r="C16989" s="6">
        <v>4860000</v>
      </c>
      <c r="D16989" s="5" t="s">
        <v>113</v>
      </c>
      <c r="E16989" s="5" t="str">
        <f t="shared" si="867"/>
        <v>ELEMENTOS EN BODEGA USADOS</v>
      </c>
      <c r="F16989" s="5"/>
      <c r="G16989" s="5"/>
    </row>
    <row r="16990" spans="1:7" ht="58.5" customHeight="1" x14ac:dyDescent="0.25">
      <c r="A16990" s="5" t="str">
        <f>"H0032623"</f>
        <v>H0032623</v>
      </c>
      <c r="B16990" s="5" t="str">
        <f>"LARINGO DE FIBRA OPTICA (DONACION)"</f>
        <v>LARINGO DE FIBRA OPTICA (DONACION)</v>
      </c>
      <c r="C16990" s="6">
        <v>1437000</v>
      </c>
      <c r="D16990" s="5" t="s">
        <v>113</v>
      </c>
      <c r="E16990" s="5" t="str">
        <f t="shared" si="867"/>
        <v>ELEMENTOS EN BODEGA USADOS</v>
      </c>
      <c r="F16990" s="5"/>
      <c r="G16990" s="5"/>
    </row>
    <row r="16991" spans="1:7" ht="58.5" customHeight="1" x14ac:dyDescent="0.25">
      <c r="A16991" s="5" t="str">
        <f>"H0032663"</f>
        <v>H0032663</v>
      </c>
      <c r="B16991" s="5" t="str">
        <f>"CAMILLA DE TRANSPORTE Y RECUPERACION (DONACION)"</f>
        <v>CAMILLA DE TRANSPORTE Y RECUPERACION (DONACION)</v>
      </c>
      <c r="C16991" s="6">
        <v>814000</v>
      </c>
      <c r="D16991" s="5" t="s">
        <v>115</v>
      </c>
      <c r="E16991" s="5" t="str">
        <f t="shared" si="867"/>
        <v>ELEMENTOS EN BODEGA USADOS</v>
      </c>
      <c r="F16991" s="5"/>
      <c r="G16991" s="5"/>
    </row>
    <row r="16992" spans="1:7" ht="58.5" customHeight="1" x14ac:dyDescent="0.25">
      <c r="A16992" s="5" t="str">
        <f>"H0032681"</f>
        <v>H0032681</v>
      </c>
      <c r="B16992" s="5" t="str">
        <f t="shared" ref="B16992:B17023" si="870">"Silla para auditorio. Sistema de enganche; tela de polipropileno anti hongo, antiácaros y retardante de fuego"</f>
        <v>Silla para auditorio. Sistema de enganche; tela de polipropileno anti hongo, antiácaros y retardante de fuego</v>
      </c>
      <c r="C16992" s="6">
        <v>307000</v>
      </c>
      <c r="D16992" s="5" t="s">
        <v>115</v>
      </c>
      <c r="E16992" s="5" t="str">
        <f t="shared" si="867"/>
        <v>ELEMENTOS EN BODEGA USADOS</v>
      </c>
      <c r="F16992" s="5"/>
      <c r="G16992" s="5"/>
    </row>
    <row r="16993" spans="1:7" ht="58.5" customHeight="1" x14ac:dyDescent="0.25">
      <c r="A16993" s="5" t="str">
        <f>"H0032682"</f>
        <v>H0032682</v>
      </c>
      <c r="B16993" s="5" t="str">
        <f t="shared" si="870"/>
        <v>Silla para auditorio. Sistema de enganche; tela de polipropileno anti hongo, antiácaros y retardante de fuego</v>
      </c>
      <c r="C16993" s="6">
        <v>307000</v>
      </c>
      <c r="D16993" s="5" t="s">
        <v>816</v>
      </c>
      <c r="E16993" s="5" t="str">
        <f t="shared" si="867"/>
        <v>ELEMENTOS EN BODEGA USADOS</v>
      </c>
      <c r="F16993" s="5"/>
      <c r="G16993" s="5"/>
    </row>
    <row r="16994" spans="1:7" ht="58.5" customHeight="1" x14ac:dyDescent="0.25">
      <c r="A16994" s="5" t="str">
        <f>"H0032683"</f>
        <v>H0032683</v>
      </c>
      <c r="B16994" s="5" t="str">
        <f t="shared" si="870"/>
        <v>Silla para auditorio. Sistema de enganche; tela de polipropileno anti hongo, antiácaros y retardante de fuego</v>
      </c>
      <c r="C16994" s="6">
        <v>307000</v>
      </c>
      <c r="D16994" s="5" t="s">
        <v>115</v>
      </c>
      <c r="E16994" s="5" t="str">
        <f t="shared" si="867"/>
        <v>ELEMENTOS EN BODEGA USADOS</v>
      </c>
      <c r="F16994" s="5"/>
      <c r="G16994" s="5"/>
    </row>
    <row r="16995" spans="1:7" ht="58.5" customHeight="1" x14ac:dyDescent="0.25">
      <c r="A16995" s="5" t="str">
        <f>"H0032684"</f>
        <v>H0032684</v>
      </c>
      <c r="B16995" s="5" t="str">
        <f t="shared" si="870"/>
        <v>Silla para auditorio. Sistema de enganche; tela de polipropileno anti hongo, antiácaros y retardante de fuego</v>
      </c>
      <c r="C16995" s="6">
        <v>307000</v>
      </c>
      <c r="D16995" s="5" t="s">
        <v>115</v>
      </c>
      <c r="E16995" s="5" t="str">
        <f t="shared" ref="E16995:E17058" si="871">"ELEMENTOS EN BODEGA USADOS"</f>
        <v>ELEMENTOS EN BODEGA USADOS</v>
      </c>
      <c r="F16995" s="5"/>
      <c r="G16995" s="5"/>
    </row>
    <row r="16996" spans="1:7" ht="58.5" customHeight="1" x14ac:dyDescent="0.25">
      <c r="A16996" s="5" t="str">
        <f>"H0032685"</f>
        <v>H0032685</v>
      </c>
      <c r="B16996" s="5" t="str">
        <f t="shared" si="870"/>
        <v>Silla para auditorio. Sistema de enganche; tela de polipropileno anti hongo, antiácaros y retardante de fuego</v>
      </c>
      <c r="C16996" s="6">
        <v>307000</v>
      </c>
      <c r="D16996" s="5" t="s">
        <v>115</v>
      </c>
      <c r="E16996" s="5" t="str">
        <f t="shared" si="871"/>
        <v>ELEMENTOS EN BODEGA USADOS</v>
      </c>
      <c r="F16996" s="5"/>
      <c r="G16996" s="5"/>
    </row>
    <row r="16997" spans="1:7" ht="58.5" customHeight="1" x14ac:dyDescent="0.25">
      <c r="A16997" s="5" t="str">
        <f>"H0032686"</f>
        <v>H0032686</v>
      </c>
      <c r="B16997" s="5" t="str">
        <f t="shared" si="870"/>
        <v>Silla para auditorio. Sistema de enganche; tela de polipropileno anti hongo, antiácaros y retardante de fuego</v>
      </c>
      <c r="C16997" s="6">
        <v>307000</v>
      </c>
      <c r="D16997" s="5" t="s">
        <v>115</v>
      </c>
      <c r="E16997" s="5" t="str">
        <f t="shared" si="871"/>
        <v>ELEMENTOS EN BODEGA USADOS</v>
      </c>
      <c r="F16997" s="5"/>
      <c r="G16997" s="5"/>
    </row>
    <row r="16998" spans="1:7" ht="58.5" customHeight="1" x14ac:dyDescent="0.25">
      <c r="A16998" s="5" t="str">
        <f>"H0032687"</f>
        <v>H0032687</v>
      </c>
      <c r="B16998" s="5" t="str">
        <f t="shared" si="870"/>
        <v>Silla para auditorio. Sistema de enganche; tela de polipropileno anti hongo, antiácaros y retardante de fuego</v>
      </c>
      <c r="C16998" s="6">
        <v>307000</v>
      </c>
      <c r="D16998" s="5" t="s">
        <v>115</v>
      </c>
      <c r="E16998" s="5" t="str">
        <f t="shared" si="871"/>
        <v>ELEMENTOS EN BODEGA USADOS</v>
      </c>
      <c r="F16998" s="5"/>
      <c r="G16998" s="5"/>
    </row>
    <row r="16999" spans="1:7" ht="58.5" customHeight="1" x14ac:dyDescent="0.25">
      <c r="A16999" s="5" t="str">
        <f>"H0032688"</f>
        <v>H0032688</v>
      </c>
      <c r="B16999" s="5" t="str">
        <f t="shared" si="870"/>
        <v>Silla para auditorio. Sistema de enganche; tela de polipropileno anti hongo, antiácaros y retardante de fuego</v>
      </c>
      <c r="C16999" s="6">
        <v>307000</v>
      </c>
      <c r="D16999" s="5" t="s">
        <v>115</v>
      </c>
      <c r="E16999" s="5" t="str">
        <f t="shared" si="871"/>
        <v>ELEMENTOS EN BODEGA USADOS</v>
      </c>
      <c r="F16999" s="5"/>
      <c r="G16999" s="5"/>
    </row>
    <row r="17000" spans="1:7" ht="58.5" customHeight="1" x14ac:dyDescent="0.25">
      <c r="A17000" s="5" t="str">
        <f>"H0032689"</f>
        <v>H0032689</v>
      </c>
      <c r="B17000" s="5" t="str">
        <f t="shared" si="870"/>
        <v>Silla para auditorio. Sistema de enganche; tela de polipropileno anti hongo, antiácaros y retardante de fuego</v>
      </c>
      <c r="C17000" s="6">
        <v>307000</v>
      </c>
      <c r="D17000" s="5" t="s">
        <v>115</v>
      </c>
      <c r="E17000" s="5" t="str">
        <f t="shared" si="871"/>
        <v>ELEMENTOS EN BODEGA USADOS</v>
      </c>
      <c r="F17000" s="5"/>
      <c r="G17000" s="5"/>
    </row>
    <row r="17001" spans="1:7" ht="58.5" customHeight="1" x14ac:dyDescent="0.25">
      <c r="A17001" s="5" t="str">
        <f>"H0032690"</f>
        <v>H0032690</v>
      </c>
      <c r="B17001" s="5" t="str">
        <f t="shared" si="870"/>
        <v>Silla para auditorio. Sistema de enganche; tela de polipropileno anti hongo, antiácaros y retardante de fuego</v>
      </c>
      <c r="C17001" s="6">
        <v>307000</v>
      </c>
      <c r="D17001" s="5" t="s">
        <v>115</v>
      </c>
      <c r="E17001" s="5" t="str">
        <f t="shared" si="871"/>
        <v>ELEMENTOS EN BODEGA USADOS</v>
      </c>
      <c r="F17001" s="5"/>
      <c r="G17001" s="5"/>
    </row>
    <row r="17002" spans="1:7" ht="58.5" customHeight="1" x14ac:dyDescent="0.25">
      <c r="A17002" s="5" t="str">
        <f>"H0032691"</f>
        <v>H0032691</v>
      </c>
      <c r="B17002" s="5" t="str">
        <f t="shared" si="870"/>
        <v>Silla para auditorio. Sistema de enganche; tela de polipropileno anti hongo, antiácaros y retardante de fuego</v>
      </c>
      <c r="C17002" s="6">
        <v>307000</v>
      </c>
      <c r="D17002" s="5" t="s">
        <v>115</v>
      </c>
      <c r="E17002" s="5" t="str">
        <f t="shared" si="871"/>
        <v>ELEMENTOS EN BODEGA USADOS</v>
      </c>
      <c r="F17002" s="5"/>
      <c r="G17002" s="5"/>
    </row>
    <row r="17003" spans="1:7" ht="58.5" customHeight="1" x14ac:dyDescent="0.25">
      <c r="A17003" s="5" t="str">
        <f>"H0032692"</f>
        <v>H0032692</v>
      </c>
      <c r="B17003" s="5" t="str">
        <f t="shared" si="870"/>
        <v>Silla para auditorio. Sistema de enganche; tela de polipropileno anti hongo, antiácaros y retardante de fuego</v>
      </c>
      <c r="C17003" s="6">
        <v>307000</v>
      </c>
      <c r="D17003" s="5" t="s">
        <v>115</v>
      </c>
      <c r="E17003" s="5" t="str">
        <f t="shared" si="871"/>
        <v>ELEMENTOS EN BODEGA USADOS</v>
      </c>
      <c r="F17003" s="5"/>
      <c r="G17003" s="5"/>
    </row>
    <row r="17004" spans="1:7" ht="58.5" customHeight="1" x14ac:dyDescent="0.25">
      <c r="A17004" s="5" t="str">
        <f>"H0032693"</f>
        <v>H0032693</v>
      </c>
      <c r="B17004" s="5" t="str">
        <f t="shared" si="870"/>
        <v>Silla para auditorio. Sistema de enganche; tela de polipropileno anti hongo, antiácaros y retardante de fuego</v>
      </c>
      <c r="C17004" s="6">
        <v>307000</v>
      </c>
      <c r="D17004" s="5" t="s">
        <v>115</v>
      </c>
      <c r="E17004" s="5" t="str">
        <f t="shared" si="871"/>
        <v>ELEMENTOS EN BODEGA USADOS</v>
      </c>
      <c r="F17004" s="5"/>
      <c r="G17004" s="5"/>
    </row>
    <row r="17005" spans="1:7" ht="58.5" customHeight="1" x14ac:dyDescent="0.25">
      <c r="A17005" s="5" t="str">
        <f>"H0032694"</f>
        <v>H0032694</v>
      </c>
      <c r="B17005" s="5" t="str">
        <f t="shared" si="870"/>
        <v>Silla para auditorio. Sistema de enganche; tela de polipropileno anti hongo, antiácaros y retardante de fuego</v>
      </c>
      <c r="C17005" s="6">
        <v>307000</v>
      </c>
      <c r="D17005" s="5" t="s">
        <v>115</v>
      </c>
      <c r="E17005" s="5" t="str">
        <f t="shared" si="871"/>
        <v>ELEMENTOS EN BODEGA USADOS</v>
      </c>
      <c r="F17005" s="5"/>
      <c r="G17005" s="5"/>
    </row>
    <row r="17006" spans="1:7" ht="58.5" customHeight="1" x14ac:dyDescent="0.25">
      <c r="A17006" s="5" t="str">
        <f>"H0032695"</f>
        <v>H0032695</v>
      </c>
      <c r="B17006" s="5" t="str">
        <f t="shared" si="870"/>
        <v>Silla para auditorio. Sistema de enganche; tela de polipropileno anti hongo, antiácaros y retardante de fuego</v>
      </c>
      <c r="C17006" s="6">
        <v>307000</v>
      </c>
      <c r="D17006" s="5" t="s">
        <v>115</v>
      </c>
      <c r="E17006" s="5" t="str">
        <f t="shared" si="871"/>
        <v>ELEMENTOS EN BODEGA USADOS</v>
      </c>
      <c r="F17006" s="5"/>
      <c r="G17006" s="5"/>
    </row>
    <row r="17007" spans="1:7" ht="58.5" customHeight="1" x14ac:dyDescent="0.25">
      <c r="A17007" s="5" t="str">
        <f>"H0032696"</f>
        <v>H0032696</v>
      </c>
      <c r="B17007" s="5" t="str">
        <f t="shared" si="870"/>
        <v>Silla para auditorio. Sistema de enganche; tela de polipropileno anti hongo, antiácaros y retardante de fuego</v>
      </c>
      <c r="C17007" s="6">
        <v>307000</v>
      </c>
      <c r="D17007" s="5" t="s">
        <v>115</v>
      </c>
      <c r="E17007" s="5" t="str">
        <f t="shared" si="871"/>
        <v>ELEMENTOS EN BODEGA USADOS</v>
      </c>
      <c r="F17007" s="5"/>
      <c r="G17007" s="5"/>
    </row>
    <row r="17008" spans="1:7" ht="58.5" customHeight="1" x14ac:dyDescent="0.25">
      <c r="A17008" s="5" t="str">
        <f>"H0032697"</f>
        <v>H0032697</v>
      </c>
      <c r="B17008" s="5" t="str">
        <f t="shared" si="870"/>
        <v>Silla para auditorio. Sistema de enganche; tela de polipropileno anti hongo, antiácaros y retardante de fuego</v>
      </c>
      <c r="C17008" s="6">
        <v>307000</v>
      </c>
      <c r="D17008" s="5" t="s">
        <v>115</v>
      </c>
      <c r="E17008" s="5" t="str">
        <f t="shared" si="871"/>
        <v>ELEMENTOS EN BODEGA USADOS</v>
      </c>
      <c r="F17008" s="5"/>
      <c r="G17008" s="5"/>
    </row>
    <row r="17009" spans="1:7" ht="58.5" customHeight="1" x14ac:dyDescent="0.25">
      <c r="A17009" s="5" t="str">
        <f>"H0032698"</f>
        <v>H0032698</v>
      </c>
      <c r="B17009" s="5" t="str">
        <f t="shared" si="870"/>
        <v>Silla para auditorio. Sistema de enganche; tela de polipropileno anti hongo, antiácaros y retardante de fuego</v>
      </c>
      <c r="C17009" s="6">
        <v>307000</v>
      </c>
      <c r="D17009" s="5" t="s">
        <v>115</v>
      </c>
      <c r="E17009" s="5" t="str">
        <f t="shared" si="871"/>
        <v>ELEMENTOS EN BODEGA USADOS</v>
      </c>
      <c r="F17009" s="5"/>
      <c r="G17009" s="5"/>
    </row>
    <row r="17010" spans="1:7" ht="58.5" customHeight="1" x14ac:dyDescent="0.25">
      <c r="A17010" s="5" t="str">
        <f>"H0032699"</f>
        <v>H0032699</v>
      </c>
      <c r="B17010" s="5" t="str">
        <f t="shared" si="870"/>
        <v>Silla para auditorio. Sistema de enganche; tela de polipropileno anti hongo, antiácaros y retardante de fuego</v>
      </c>
      <c r="C17010" s="6">
        <v>307000</v>
      </c>
      <c r="D17010" s="5" t="s">
        <v>115</v>
      </c>
      <c r="E17010" s="5" t="str">
        <f t="shared" si="871"/>
        <v>ELEMENTOS EN BODEGA USADOS</v>
      </c>
      <c r="F17010" s="5"/>
      <c r="G17010" s="5"/>
    </row>
    <row r="17011" spans="1:7" ht="58.5" customHeight="1" x14ac:dyDescent="0.25">
      <c r="A17011" s="5" t="str">
        <f>"H0032700"</f>
        <v>H0032700</v>
      </c>
      <c r="B17011" s="5" t="str">
        <f t="shared" si="870"/>
        <v>Silla para auditorio. Sistema de enganche; tela de polipropileno anti hongo, antiácaros y retardante de fuego</v>
      </c>
      <c r="C17011" s="6">
        <v>307000</v>
      </c>
      <c r="D17011" s="5" t="s">
        <v>115</v>
      </c>
      <c r="E17011" s="5" t="str">
        <f t="shared" si="871"/>
        <v>ELEMENTOS EN BODEGA USADOS</v>
      </c>
      <c r="F17011" s="5"/>
      <c r="G17011" s="5"/>
    </row>
    <row r="17012" spans="1:7" ht="58.5" customHeight="1" x14ac:dyDescent="0.25">
      <c r="A17012" s="5" t="str">
        <f>"H0032701"</f>
        <v>H0032701</v>
      </c>
      <c r="B17012" s="5" t="str">
        <f t="shared" si="870"/>
        <v>Silla para auditorio. Sistema de enganche; tela de polipropileno anti hongo, antiácaros y retardante de fuego</v>
      </c>
      <c r="C17012" s="6">
        <v>307000</v>
      </c>
      <c r="D17012" s="5" t="s">
        <v>115</v>
      </c>
      <c r="E17012" s="5" t="str">
        <f t="shared" si="871"/>
        <v>ELEMENTOS EN BODEGA USADOS</v>
      </c>
      <c r="F17012" s="5"/>
      <c r="G17012" s="5"/>
    </row>
    <row r="17013" spans="1:7" ht="58.5" customHeight="1" x14ac:dyDescent="0.25">
      <c r="A17013" s="5" t="str">
        <f>"H0032702"</f>
        <v>H0032702</v>
      </c>
      <c r="B17013" s="5" t="str">
        <f t="shared" si="870"/>
        <v>Silla para auditorio. Sistema de enganche; tela de polipropileno anti hongo, antiácaros y retardante de fuego</v>
      </c>
      <c r="C17013" s="6">
        <v>307000</v>
      </c>
      <c r="D17013" s="5" t="s">
        <v>115</v>
      </c>
      <c r="E17013" s="5" t="str">
        <f t="shared" si="871"/>
        <v>ELEMENTOS EN BODEGA USADOS</v>
      </c>
      <c r="F17013" s="5"/>
      <c r="G17013" s="5"/>
    </row>
    <row r="17014" spans="1:7" ht="58.5" customHeight="1" x14ac:dyDescent="0.25">
      <c r="A17014" s="5" t="str">
        <f>"H0032703"</f>
        <v>H0032703</v>
      </c>
      <c r="B17014" s="5" t="str">
        <f t="shared" si="870"/>
        <v>Silla para auditorio. Sistema de enganche; tela de polipropileno anti hongo, antiácaros y retardante de fuego</v>
      </c>
      <c r="C17014" s="6">
        <v>307000</v>
      </c>
      <c r="D17014" s="5" t="s">
        <v>115</v>
      </c>
      <c r="E17014" s="5" t="str">
        <f t="shared" si="871"/>
        <v>ELEMENTOS EN BODEGA USADOS</v>
      </c>
      <c r="F17014" s="5"/>
      <c r="G17014" s="5"/>
    </row>
    <row r="17015" spans="1:7" ht="58.5" customHeight="1" x14ac:dyDescent="0.25">
      <c r="A17015" s="5" t="str">
        <f>"H0032704"</f>
        <v>H0032704</v>
      </c>
      <c r="B17015" s="5" t="str">
        <f t="shared" si="870"/>
        <v>Silla para auditorio. Sistema de enganche; tela de polipropileno anti hongo, antiácaros y retardante de fuego</v>
      </c>
      <c r="C17015" s="6">
        <v>307000</v>
      </c>
      <c r="D17015" s="5" t="s">
        <v>115</v>
      </c>
      <c r="E17015" s="5" t="str">
        <f t="shared" si="871"/>
        <v>ELEMENTOS EN BODEGA USADOS</v>
      </c>
      <c r="F17015" s="5"/>
      <c r="G17015" s="5"/>
    </row>
    <row r="17016" spans="1:7" ht="58.5" customHeight="1" x14ac:dyDescent="0.25">
      <c r="A17016" s="5" t="str">
        <f>"H0032705"</f>
        <v>H0032705</v>
      </c>
      <c r="B17016" s="5" t="str">
        <f t="shared" si="870"/>
        <v>Silla para auditorio. Sistema de enganche; tela de polipropileno anti hongo, antiácaros y retardante de fuego</v>
      </c>
      <c r="C17016" s="6">
        <v>307000</v>
      </c>
      <c r="D17016" s="5" t="s">
        <v>115</v>
      </c>
      <c r="E17016" s="5" t="str">
        <f t="shared" si="871"/>
        <v>ELEMENTOS EN BODEGA USADOS</v>
      </c>
      <c r="F17016" s="5"/>
      <c r="G17016" s="5"/>
    </row>
    <row r="17017" spans="1:7" ht="58.5" customHeight="1" x14ac:dyDescent="0.25">
      <c r="A17017" s="5" t="str">
        <f>"H0032706"</f>
        <v>H0032706</v>
      </c>
      <c r="B17017" s="5" t="str">
        <f t="shared" si="870"/>
        <v>Silla para auditorio. Sistema de enganche; tela de polipropileno anti hongo, antiácaros y retardante de fuego</v>
      </c>
      <c r="C17017" s="6">
        <v>307000</v>
      </c>
      <c r="D17017" s="5" t="s">
        <v>115</v>
      </c>
      <c r="E17017" s="5" t="str">
        <f t="shared" si="871"/>
        <v>ELEMENTOS EN BODEGA USADOS</v>
      </c>
      <c r="F17017" s="5"/>
      <c r="G17017" s="5"/>
    </row>
    <row r="17018" spans="1:7" ht="58.5" customHeight="1" x14ac:dyDescent="0.25">
      <c r="A17018" s="5" t="str">
        <f>"H0032707"</f>
        <v>H0032707</v>
      </c>
      <c r="B17018" s="5" t="str">
        <f t="shared" si="870"/>
        <v>Silla para auditorio. Sistema de enganche; tela de polipropileno anti hongo, antiácaros y retardante de fuego</v>
      </c>
      <c r="C17018" s="6">
        <v>307000</v>
      </c>
      <c r="D17018" s="5" t="s">
        <v>115</v>
      </c>
      <c r="E17018" s="5" t="str">
        <f t="shared" si="871"/>
        <v>ELEMENTOS EN BODEGA USADOS</v>
      </c>
      <c r="F17018" s="5"/>
      <c r="G17018" s="5"/>
    </row>
    <row r="17019" spans="1:7" ht="58.5" customHeight="1" x14ac:dyDescent="0.25">
      <c r="A17019" s="5" t="str">
        <f>"H0032708"</f>
        <v>H0032708</v>
      </c>
      <c r="B17019" s="5" t="str">
        <f t="shared" si="870"/>
        <v>Silla para auditorio. Sistema de enganche; tela de polipropileno anti hongo, antiácaros y retardante de fuego</v>
      </c>
      <c r="C17019" s="6">
        <v>307000</v>
      </c>
      <c r="D17019" s="5" t="s">
        <v>115</v>
      </c>
      <c r="E17019" s="5" t="str">
        <f t="shared" si="871"/>
        <v>ELEMENTOS EN BODEGA USADOS</v>
      </c>
      <c r="F17019" s="5"/>
      <c r="G17019" s="5"/>
    </row>
    <row r="17020" spans="1:7" ht="58.5" customHeight="1" x14ac:dyDescent="0.25">
      <c r="A17020" s="5" t="str">
        <f>"H0032709"</f>
        <v>H0032709</v>
      </c>
      <c r="B17020" s="5" t="str">
        <f t="shared" si="870"/>
        <v>Silla para auditorio. Sistema de enganche; tela de polipropileno anti hongo, antiácaros y retardante de fuego</v>
      </c>
      <c r="C17020" s="6">
        <v>307000</v>
      </c>
      <c r="D17020" s="5" t="s">
        <v>115</v>
      </c>
      <c r="E17020" s="5" t="str">
        <f t="shared" si="871"/>
        <v>ELEMENTOS EN BODEGA USADOS</v>
      </c>
      <c r="F17020" s="5"/>
      <c r="G17020" s="5"/>
    </row>
    <row r="17021" spans="1:7" ht="58.5" customHeight="1" x14ac:dyDescent="0.25">
      <c r="A17021" s="5" t="str">
        <f>"H0032710"</f>
        <v>H0032710</v>
      </c>
      <c r="B17021" s="5" t="str">
        <f t="shared" si="870"/>
        <v>Silla para auditorio. Sistema de enganche; tela de polipropileno anti hongo, antiácaros y retardante de fuego</v>
      </c>
      <c r="C17021" s="6">
        <v>307000</v>
      </c>
      <c r="D17021" s="5" t="s">
        <v>115</v>
      </c>
      <c r="E17021" s="5" t="str">
        <f t="shared" si="871"/>
        <v>ELEMENTOS EN BODEGA USADOS</v>
      </c>
      <c r="F17021" s="5"/>
      <c r="G17021" s="5"/>
    </row>
    <row r="17022" spans="1:7" ht="58.5" customHeight="1" x14ac:dyDescent="0.25">
      <c r="A17022" s="5" t="str">
        <f>"H0032711"</f>
        <v>H0032711</v>
      </c>
      <c r="B17022" s="5" t="str">
        <f t="shared" si="870"/>
        <v>Silla para auditorio. Sistema de enganche; tela de polipropileno anti hongo, antiácaros y retardante de fuego</v>
      </c>
      <c r="C17022" s="6">
        <v>307000</v>
      </c>
      <c r="D17022" s="5" t="s">
        <v>115</v>
      </c>
      <c r="E17022" s="5" t="str">
        <f t="shared" si="871"/>
        <v>ELEMENTOS EN BODEGA USADOS</v>
      </c>
      <c r="F17022" s="5"/>
      <c r="G17022" s="5"/>
    </row>
    <row r="17023" spans="1:7" ht="58.5" customHeight="1" x14ac:dyDescent="0.25">
      <c r="A17023" s="5" t="str">
        <f>"H0032712"</f>
        <v>H0032712</v>
      </c>
      <c r="B17023" s="5" t="str">
        <f t="shared" si="870"/>
        <v>Silla para auditorio. Sistema de enganche; tela de polipropileno anti hongo, antiácaros y retardante de fuego</v>
      </c>
      <c r="C17023" s="6">
        <v>307000</v>
      </c>
      <c r="D17023" s="5" t="s">
        <v>115</v>
      </c>
      <c r="E17023" s="5" t="str">
        <f t="shared" si="871"/>
        <v>ELEMENTOS EN BODEGA USADOS</v>
      </c>
      <c r="F17023" s="5"/>
      <c r="G17023" s="5"/>
    </row>
    <row r="17024" spans="1:7" ht="58.5" customHeight="1" x14ac:dyDescent="0.25">
      <c r="A17024" s="5" t="str">
        <f>"H0032713"</f>
        <v>H0032713</v>
      </c>
      <c r="B17024" s="5" t="str">
        <f t="shared" ref="B17024:B17055" si="872">"Silla para auditorio. Sistema de enganche; tela de polipropileno anti hongo, antiácaros y retardante de fuego"</f>
        <v>Silla para auditorio. Sistema de enganche; tela de polipropileno anti hongo, antiácaros y retardante de fuego</v>
      </c>
      <c r="C17024" s="6">
        <v>307000</v>
      </c>
      <c r="D17024" s="5" t="s">
        <v>115</v>
      </c>
      <c r="E17024" s="5" t="str">
        <f t="shared" si="871"/>
        <v>ELEMENTOS EN BODEGA USADOS</v>
      </c>
      <c r="F17024" s="5"/>
      <c r="G17024" s="5"/>
    </row>
    <row r="17025" spans="1:7" ht="58.5" customHeight="1" x14ac:dyDescent="0.25">
      <c r="A17025" s="5" t="str">
        <f>"H0032714"</f>
        <v>H0032714</v>
      </c>
      <c r="B17025" s="5" t="str">
        <f t="shared" si="872"/>
        <v>Silla para auditorio. Sistema de enganche; tela de polipropileno anti hongo, antiácaros y retardante de fuego</v>
      </c>
      <c r="C17025" s="6">
        <v>307000</v>
      </c>
      <c r="D17025" s="5" t="s">
        <v>115</v>
      </c>
      <c r="E17025" s="5" t="str">
        <f t="shared" si="871"/>
        <v>ELEMENTOS EN BODEGA USADOS</v>
      </c>
      <c r="F17025" s="5"/>
      <c r="G17025" s="5"/>
    </row>
    <row r="17026" spans="1:7" ht="58.5" customHeight="1" x14ac:dyDescent="0.25">
      <c r="A17026" s="5" t="str">
        <f>"H0032715"</f>
        <v>H0032715</v>
      </c>
      <c r="B17026" s="5" t="str">
        <f t="shared" si="872"/>
        <v>Silla para auditorio. Sistema de enganche; tela de polipropileno anti hongo, antiácaros y retardante de fuego</v>
      </c>
      <c r="C17026" s="6">
        <v>307000</v>
      </c>
      <c r="D17026" s="5" t="s">
        <v>115</v>
      </c>
      <c r="E17026" s="5" t="str">
        <f t="shared" si="871"/>
        <v>ELEMENTOS EN BODEGA USADOS</v>
      </c>
      <c r="F17026" s="5"/>
      <c r="G17026" s="5"/>
    </row>
    <row r="17027" spans="1:7" ht="58.5" customHeight="1" x14ac:dyDescent="0.25">
      <c r="A17027" s="5" t="str">
        <f>"H0032716"</f>
        <v>H0032716</v>
      </c>
      <c r="B17027" s="5" t="str">
        <f t="shared" si="872"/>
        <v>Silla para auditorio. Sistema de enganche; tela de polipropileno anti hongo, antiácaros y retardante de fuego</v>
      </c>
      <c r="C17027" s="6">
        <v>307000</v>
      </c>
      <c r="D17027" s="5" t="s">
        <v>115</v>
      </c>
      <c r="E17027" s="5" t="str">
        <f t="shared" si="871"/>
        <v>ELEMENTOS EN BODEGA USADOS</v>
      </c>
      <c r="F17027" s="5"/>
      <c r="G17027" s="5"/>
    </row>
    <row r="17028" spans="1:7" ht="58.5" customHeight="1" x14ac:dyDescent="0.25">
      <c r="A17028" s="5" t="str">
        <f>"H0032717"</f>
        <v>H0032717</v>
      </c>
      <c r="B17028" s="5" t="str">
        <f t="shared" si="872"/>
        <v>Silla para auditorio. Sistema de enganche; tela de polipropileno anti hongo, antiácaros y retardante de fuego</v>
      </c>
      <c r="C17028" s="6">
        <v>307000</v>
      </c>
      <c r="D17028" s="5" t="s">
        <v>115</v>
      </c>
      <c r="E17028" s="5" t="str">
        <f t="shared" si="871"/>
        <v>ELEMENTOS EN BODEGA USADOS</v>
      </c>
      <c r="F17028" s="5"/>
      <c r="G17028" s="5"/>
    </row>
    <row r="17029" spans="1:7" ht="58.5" customHeight="1" x14ac:dyDescent="0.25">
      <c r="A17029" s="5" t="str">
        <f>"H0032718"</f>
        <v>H0032718</v>
      </c>
      <c r="B17029" s="5" t="str">
        <f t="shared" si="872"/>
        <v>Silla para auditorio. Sistema de enganche; tela de polipropileno anti hongo, antiácaros y retardante de fuego</v>
      </c>
      <c r="C17029" s="6">
        <v>307000</v>
      </c>
      <c r="D17029" s="5" t="s">
        <v>115</v>
      </c>
      <c r="E17029" s="5" t="str">
        <f t="shared" si="871"/>
        <v>ELEMENTOS EN BODEGA USADOS</v>
      </c>
      <c r="F17029" s="5"/>
      <c r="G17029" s="5"/>
    </row>
    <row r="17030" spans="1:7" ht="58.5" customHeight="1" x14ac:dyDescent="0.25">
      <c r="A17030" s="5" t="str">
        <f>"H0032719"</f>
        <v>H0032719</v>
      </c>
      <c r="B17030" s="5" t="str">
        <f t="shared" si="872"/>
        <v>Silla para auditorio. Sistema de enganche; tela de polipropileno anti hongo, antiácaros y retardante de fuego</v>
      </c>
      <c r="C17030" s="6">
        <v>307000</v>
      </c>
      <c r="D17030" s="5" t="s">
        <v>115</v>
      </c>
      <c r="E17030" s="5" t="str">
        <f t="shared" si="871"/>
        <v>ELEMENTOS EN BODEGA USADOS</v>
      </c>
      <c r="F17030" s="5"/>
      <c r="G17030" s="5"/>
    </row>
    <row r="17031" spans="1:7" ht="58.5" customHeight="1" x14ac:dyDescent="0.25">
      <c r="A17031" s="5" t="str">
        <f>"h0032720"</f>
        <v>h0032720</v>
      </c>
      <c r="B17031" s="5" t="str">
        <f t="shared" si="872"/>
        <v>Silla para auditorio. Sistema de enganche; tela de polipropileno anti hongo, antiácaros y retardante de fuego</v>
      </c>
      <c r="C17031" s="6">
        <v>307000</v>
      </c>
      <c r="D17031" s="5" t="s">
        <v>115</v>
      </c>
      <c r="E17031" s="5" t="str">
        <f t="shared" si="871"/>
        <v>ELEMENTOS EN BODEGA USADOS</v>
      </c>
      <c r="F17031" s="5"/>
      <c r="G17031" s="5"/>
    </row>
    <row r="17032" spans="1:7" ht="58.5" customHeight="1" x14ac:dyDescent="0.25">
      <c r="A17032" s="5" t="str">
        <f>"H0032721"</f>
        <v>H0032721</v>
      </c>
      <c r="B17032" s="5" t="str">
        <f t="shared" si="872"/>
        <v>Silla para auditorio. Sistema de enganche; tela de polipropileno anti hongo, antiácaros y retardante de fuego</v>
      </c>
      <c r="C17032" s="6">
        <v>307000</v>
      </c>
      <c r="D17032" s="5" t="s">
        <v>115</v>
      </c>
      <c r="E17032" s="5" t="str">
        <f t="shared" si="871"/>
        <v>ELEMENTOS EN BODEGA USADOS</v>
      </c>
      <c r="F17032" s="5"/>
      <c r="G17032" s="5"/>
    </row>
    <row r="17033" spans="1:7" ht="58.5" customHeight="1" x14ac:dyDescent="0.25">
      <c r="A17033" s="5" t="str">
        <f>"H0032722"</f>
        <v>H0032722</v>
      </c>
      <c r="B17033" s="5" t="str">
        <f t="shared" si="872"/>
        <v>Silla para auditorio. Sistema de enganche; tela de polipropileno anti hongo, antiácaros y retardante de fuego</v>
      </c>
      <c r="C17033" s="6">
        <v>307000</v>
      </c>
      <c r="D17033" s="5" t="s">
        <v>115</v>
      </c>
      <c r="E17033" s="5" t="str">
        <f t="shared" si="871"/>
        <v>ELEMENTOS EN BODEGA USADOS</v>
      </c>
      <c r="F17033" s="5"/>
      <c r="G17033" s="5"/>
    </row>
    <row r="17034" spans="1:7" ht="58.5" customHeight="1" x14ac:dyDescent="0.25">
      <c r="A17034" s="5" t="str">
        <f>"H0032723"</f>
        <v>H0032723</v>
      </c>
      <c r="B17034" s="5" t="str">
        <f t="shared" si="872"/>
        <v>Silla para auditorio. Sistema de enganche; tela de polipropileno anti hongo, antiácaros y retardante de fuego</v>
      </c>
      <c r="C17034" s="6">
        <v>307000</v>
      </c>
      <c r="D17034" s="5" t="s">
        <v>115</v>
      </c>
      <c r="E17034" s="5" t="str">
        <f t="shared" si="871"/>
        <v>ELEMENTOS EN BODEGA USADOS</v>
      </c>
      <c r="F17034" s="5"/>
      <c r="G17034" s="5"/>
    </row>
    <row r="17035" spans="1:7" ht="58.5" customHeight="1" x14ac:dyDescent="0.25">
      <c r="A17035" s="5" t="str">
        <f>"H0032724"</f>
        <v>H0032724</v>
      </c>
      <c r="B17035" s="5" t="str">
        <f t="shared" si="872"/>
        <v>Silla para auditorio. Sistema de enganche; tela de polipropileno anti hongo, antiácaros y retardante de fuego</v>
      </c>
      <c r="C17035" s="6">
        <v>307000</v>
      </c>
      <c r="D17035" s="5" t="s">
        <v>115</v>
      </c>
      <c r="E17035" s="5" t="str">
        <f t="shared" si="871"/>
        <v>ELEMENTOS EN BODEGA USADOS</v>
      </c>
      <c r="F17035" s="5"/>
      <c r="G17035" s="5"/>
    </row>
    <row r="17036" spans="1:7" ht="58.5" customHeight="1" x14ac:dyDescent="0.25">
      <c r="A17036" s="5" t="str">
        <f>"H0032725"</f>
        <v>H0032725</v>
      </c>
      <c r="B17036" s="5" t="str">
        <f t="shared" si="872"/>
        <v>Silla para auditorio. Sistema de enganche; tela de polipropileno anti hongo, antiácaros y retardante de fuego</v>
      </c>
      <c r="C17036" s="6">
        <v>307000</v>
      </c>
      <c r="D17036" s="5" t="s">
        <v>115</v>
      </c>
      <c r="E17036" s="5" t="str">
        <f t="shared" si="871"/>
        <v>ELEMENTOS EN BODEGA USADOS</v>
      </c>
      <c r="F17036" s="5"/>
      <c r="G17036" s="5"/>
    </row>
    <row r="17037" spans="1:7" ht="58.5" customHeight="1" x14ac:dyDescent="0.25">
      <c r="A17037" s="5" t="str">
        <f>"H0032726"</f>
        <v>H0032726</v>
      </c>
      <c r="B17037" s="5" t="str">
        <f t="shared" si="872"/>
        <v>Silla para auditorio. Sistema de enganche; tela de polipropileno anti hongo, antiácaros y retardante de fuego</v>
      </c>
      <c r="C17037" s="6">
        <v>307000</v>
      </c>
      <c r="D17037" s="5" t="s">
        <v>115</v>
      </c>
      <c r="E17037" s="5" t="str">
        <f t="shared" si="871"/>
        <v>ELEMENTOS EN BODEGA USADOS</v>
      </c>
      <c r="F17037" s="5"/>
      <c r="G17037" s="5"/>
    </row>
    <row r="17038" spans="1:7" ht="58.5" customHeight="1" x14ac:dyDescent="0.25">
      <c r="A17038" s="5" t="str">
        <f>"H0032728"</f>
        <v>H0032728</v>
      </c>
      <c r="B17038" s="5" t="str">
        <f t="shared" si="872"/>
        <v>Silla para auditorio. Sistema de enganche; tela de polipropileno anti hongo, antiácaros y retardante de fuego</v>
      </c>
      <c r="C17038" s="6">
        <v>307000</v>
      </c>
      <c r="D17038" s="5" t="s">
        <v>115</v>
      </c>
      <c r="E17038" s="5" t="str">
        <f t="shared" si="871"/>
        <v>ELEMENTOS EN BODEGA USADOS</v>
      </c>
      <c r="F17038" s="5"/>
      <c r="G17038" s="5"/>
    </row>
    <row r="17039" spans="1:7" ht="58.5" customHeight="1" x14ac:dyDescent="0.25">
      <c r="A17039" s="5" t="str">
        <f>"H0032729"</f>
        <v>H0032729</v>
      </c>
      <c r="B17039" s="5" t="str">
        <f t="shared" si="872"/>
        <v>Silla para auditorio. Sistema de enganche; tela de polipropileno anti hongo, antiácaros y retardante de fuego</v>
      </c>
      <c r="C17039" s="6">
        <v>307000</v>
      </c>
      <c r="D17039" s="5" t="s">
        <v>115</v>
      </c>
      <c r="E17039" s="5" t="str">
        <f t="shared" si="871"/>
        <v>ELEMENTOS EN BODEGA USADOS</v>
      </c>
      <c r="F17039" s="5"/>
      <c r="G17039" s="5"/>
    </row>
    <row r="17040" spans="1:7" ht="58.5" customHeight="1" x14ac:dyDescent="0.25">
      <c r="A17040" s="5" t="str">
        <f>"H0032730"</f>
        <v>H0032730</v>
      </c>
      <c r="B17040" s="5" t="str">
        <f t="shared" si="872"/>
        <v>Silla para auditorio. Sistema de enganche; tela de polipropileno anti hongo, antiácaros y retardante de fuego</v>
      </c>
      <c r="C17040" s="6">
        <v>307000</v>
      </c>
      <c r="D17040" s="5" t="s">
        <v>115</v>
      </c>
      <c r="E17040" s="5" t="str">
        <f t="shared" si="871"/>
        <v>ELEMENTOS EN BODEGA USADOS</v>
      </c>
      <c r="F17040" s="5"/>
      <c r="G17040" s="5"/>
    </row>
    <row r="17041" spans="1:7" ht="58.5" customHeight="1" x14ac:dyDescent="0.25">
      <c r="A17041" s="5" t="str">
        <f>"H0032731"</f>
        <v>H0032731</v>
      </c>
      <c r="B17041" s="5" t="str">
        <f t="shared" si="872"/>
        <v>Silla para auditorio. Sistema de enganche; tela de polipropileno anti hongo, antiácaros y retardante de fuego</v>
      </c>
      <c r="C17041" s="6">
        <v>307000</v>
      </c>
      <c r="D17041" s="5" t="s">
        <v>115</v>
      </c>
      <c r="E17041" s="5" t="str">
        <f t="shared" si="871"/>
        <v>ELEMENTOS EN BODEGA USADOS</v>
      </c>
      <c r="F17041" s="5"/>
      <c r="G17041" s="5"/>
    </row>
    <row r="17042" spans="1:7" ht="58.5" customHeight="1" x14ac:dyDescent="0.25">
      <c r="A17042" s="5" t="str">
        <f>"H0032732"</f>
        <v>H0032732</v>
      </c>
      <c r="B17042" s="5" t="str">
        <f t="shared" si="872"/>
        <v>Silla para auditorio. Sistema de enganche; tela de polipropileno anti hongo, antiácaros y retardante de fuego</v>
      </c>
      <c r="C17042" s="6">
        <v>307000</v>
      </c>
      <c r="D17042" s="5" t="s">
        <v>817</v>
      </c>
      <c r="E17042" s="5" t="str">
        <f t="shared" si="871"/>
        <v>ELEMENTOS EN BODEGA USADOS</v>
      </c>
      <c r="F17042" s="5"/>
      <c r="G17042" s="5"/>
    </row>
    <row r="17043" spans="1:7" ht="58.5" customHeight="1" x14ac:dyDescent="0.25">
      <c r="A17043" s="5" t="str">
        <f>"H0032733"</f>
        <v>H0032733</v>
      </c>
      <c r="B17043" s="5" t="str">
        <f t="shared" si="872"/>
        <v>Silla para auditorio. Sistema de enganche; tela de polipropileno anti hongo, antiácaros y retardante de fuego</v>
      </c>
      <c r="C17043" s="6">
        <v>307000</v>
      </c>
      <c r="D17043" s="5" t="s">
        <v>115</v>
      </c>
      <c r="E17043" s="5" t="str">
        <f t="shared" si="871"/>
        <v>ELEMENTOS EN BODEGA USADOS</v>
      </c>
      <c r="F17043" s="5"/>
      <c r="G17043" s="5"/>
    </row>
    <row r="17044" spans="1:7" ht="58.5" customHeight="1" x14ac:dyDescent="0.25">
      <c r="A17044" s="5" t="str">
        <f>"H0032734"</f>
        <v>H0032734</v>
      </c>
      <c r="B17044" s="5" t="str">
        <f t="shared" si="872"/>
        <v>Silla para auditorio. Sistema de enganche; tela de polipropileno anti hongo, antiácaros y retardante de fuego</v>
      </c>
      <c r="C17044" s="6">
        <v>307000</v>
      </c>
      <c r="D17044" s="5" t="s">
        <v>816</v>
      </c>
      <c r="E17044" s="5" t="str">
        <f t="shared" si="871"/>
        <v>ELEMENTOS EN BODEGA USADOS</v>
      </c>
      <c r="F17044" s="5"/>
      <c r="G17044" s="5"/>
    </row>
    <row r="17045" spans="1:7" ht="58.5" customHeight="1" x14ac:dyDescent="0.25">
      <c r="A17045" s="5" t="str">
        <f>"H0032735"</f>
        <v>H0032735</v>
      </c>
      <c r="B17045" s="5" t="str">
        <f t="shared" si="872"/>
        <v>Silla para auditorio. Sistema de enganche; tela de polipropileno anti hongo, antiácaros y retardante de fuego</v>
      </c>
      <c r="C17045" s="6">
        <v>307000</v>
      </c>
      <c r="D17045" s="5" t="s">
        <v>816</v>
      </c>
      <c r="E17045" s="5" t="str">
        <f t="shared" si="871"/>
        <v>ELEMENTOS EN BODEGA USADOS</v>
      </c>
      <c r="F17045" s="5"/>
      <c r="G17045" s="5"/>
    </row>
    <row r="17046" spans="1:7" ht="58.5" customHeight="1" x14ac:dyDescent="0.25">
      <c r="A17046" s="5" t="str">
        <f>"H0032736"</f>
        <v>H0032736</v>
      </c>
      <c r="B17046" s="5" t="str">
        <f t="shared" si="872"/>
        <v>Silla para auditorio. Sistema de enganche; tela de polipropileno anti hongo, antiácaros y retardante de fuego</v>
      </c>
      <c r="C17046" s="6">
        <v>307000</v>
      </c>
      <c r="D17046" s="5" t="s">
        <v>816</v>
      </c>
      <c r="E17046" s="5" t="str">
        <f t="shared" si="871"/>
        <v>ELEMENTOS EN BODEGA USADOS</v>
      </c>
      <c r="F17046" s="5"/>
      <c r="G17046" s="5"/>
    </row>
    <row r="17047" spans="1:7" ht="58.5" customHeight="1" x14ac:dyDescent="0.25">
      <c r="A17047" s="5" t="str">
        <f>"H0032737"</f>
        <v>H0032737</v>
      </c>
      <c r="B17047" s="5" t="str">
        <f t="shared" si="872"/>
        <v>Silla para auditorio. Sistema de enganche; tela de polipropileno anti hongo, antiácaros y retardante de fuego</v>
      </c>
      <c r="C17047" s="6">
        <v>307000</v>
      </c>
      <c r="D17047" s="5" t="s">
        <v>816</v>
      </c>
      <c r="E17047" s="5" t="str">
        <f t="shared" si="871"/>
        <v>ELEMENTOS EN BODEGA USADOS</v>
      </c>
      <c r="F17047" s="5"/>
      <c r="G17047" s="5"/>
    </row>
    <row r="17048" spans="1:7" ht="58.5" customHeight="1" x14ac:dyDescent="0.25">
      <c r="A17048" s="5" t="str">
        <f>"H0032738"</f>
        <v>H0032738</v>
      </c>
      <c r="B17048" s="5" t="str">
        <f t="shared" si="872"/>
        <v>Silla para auditorio. Sistema de enganche; tela de polipropileno anti hongo, antiácaros y retardante de fuego</v>
      </c>
      <c r="C17048" s="6">
        <v>307000</v>
      </c>
      <c r="D17048" s="5" t="s">
        <v>816</v>
      </c>
      <c r="E17048" s="5" t="str">
        <f t="shared" si="871"/>
        <v>ELEMENTOS EN BODEGA USADOS</v>
      </c>
      <c r="F17048" s="5"/>
      <c r="G17048" s="5"/>
    </row>
    <row r="17049" spans="1:7" ht="58.5" customHeight="1" x14ac:dyDescent="0.25">
      <c r="A17049" s="5" t="str">
        <f>"H0032739"</f>
        <v>H0032739</v>
      </c>
      <c r="B17049" s="5" t="str">
        <f t="shared" si="872"/>
        <v>Silla para auditorio. Sistema de enganche; tela de polipropileno anti hongo, antiácaros y retardante de fuego</v>
      </c>
      <c r="C17049" s="6">
        <v>307000</v>
      </c>
      <c r="D17049" s="5" t="s">
        <v>816</v>
      </c>
      <c r="E17049" s="5" t="str">
        <f t="shared" si="871"/>
        <v>ELEMENTOS EN BODEGA USADOS</v>
      </c>
      <c r="F17049" s="5"/>
      <c r="G17049" s="5"/>
    </row>
    <row r="17050" spans="1:7" ht="58.5" customHeight="1" x14ac:dyDescent="0.25">
      <c r="A17050" s="5" t="str">
        <f>"H0032740"</f>
        <v>H0032740</v>
      </c>
      <c r="B17050" s="5" t="str">
        <f t="shared" si="872"/>
        <v>Silla para auditorio. Sistema de enganche; tela de polipropileno anti hongo, antiácaros y retardante de fuego</v>
      </c>
      <c r="C17050" s="6">
        <v>307000</v>
      </c>
      <c r="D17050" s="5" t="s">
        <v>816</v>
      </c>
      <c r="E17050" s="5" t="str">
        <f t="shared" si="871"/>
        <v>ELEMENTOS EN BODEGA USADOS</v>
      </c>
      <c r="F17050" s="5"/>
      <c r="G17050" s="5"/>
    </row>
    <row r="17051" spans="1:7" ht="58.5" customHeight="1" x14ac:dyDescent="0.25">
      <c r="A17051" s="5" t="str">
        <f>"H0032741"</f>
        <v>H0032741</v>
      </c>
      <c r="B17051" s="5" t="str">
        <f t="shared" si="872"/>
        <v>Silla para auditorio. Sistema de enganche; tela de polipropileno anti hongo, antiácaros y retardante de fuego</v>
      </c>
      <c r="C17051" s="6">
        <v>307000</v>
      </c>
      <c r="D17051" s="5" t="s">
        <v>816</v>
      </c>
      <c r="E17051" s="5" t="str">
        <f t="shared" si="871"/>
        <v>ELEMENTOS EN BODEGA USADOS</v>
      </c>
      <c r="F17051" s="5"/>
      <c r="G17051" s="5"/>
    </row>
    <row r="17052" spans="1:7" ht="58.5" customHeight="1" x14ac:dyDescent="0.25">
      <c r="A17052" s="5" t="str">
        <f>"H0032742"</f>
        <v>H0032742</v>
      </c>
      <c r="B17052" s="5" t="str">
        <f t="shared" si="872"/>
        <v>Silla para auditorio. Sistema de enganche; tela de polipropileno anti hongo, antiácaros y retardante de fuego</v>
      </c>
      <c r="C17052" s="6">
        <v>307000</v>
      </c>
      <c r="D17052" s="5" t="s">
        <v>816</v>
      </c>
      <c r="E17052" s="5" t="str">
        <f t="shared" si="871"/>
        <v>ELEMENTOS EN BODEGA USADOS</v>
      </c>
      <c r="F17052" s="5"/>
      <c r="G17052" s="5"/>
    </row>
    <row r="17053" spans="1:7" ht="58.5" customHeight="1" x14ac:dyDescent="0.25">
      <c r="A17053" s="5" t="str">
        <f>"H0032743"</f>
        <v>H0032743</v>
      </c>
      <c r="B17053" s="5" t="str">
        <f t="shared" si="872"/>
        <v>Silla para auditorio. Sistema de enganche; tela de polipropileno anti hongo, antiácaros y retardante de fuego</v>
      </c>
      <c r="C17053" s="6">
        <v>307000</v>
      </c>
      <c r="D17053" s="5" t="s">
        <v>816</v>
      </c>
      <c r="E17053" s="5" t="str">
        <f t="shared" si="871"/>
        <v>ELEMENTOS EN BODEGA USADOS</v>
      </c>
      <c r="F17053" s="5"/>
      <c r="G17053" s="5"/>
    </row>
    <row r="17054" spans="1:7" ht="58.5" customHeight="1" x14ac:dyDescent="0.25">
      <c r="A17054" s="5" t="str">
        <f>"H0032744"</f>
        <v>H0032744</v>
      </c>
      <c r="B17054" s="5" t="str">
        <f t="shared" si="872"/>
        <v>Silla para auditorio. Sistema de enganche; tela de polipropileno anti hongo, antiácaros y retardante de fuego</v>
      </c>
      <c r="C17054" s="6">
        <v>307000</v>
      </c>
      <c r="D17054" s="5" t="s">
        <v>816</v>
      </c>
      <c r="E17054" s="5" t="str">
        <f t="shared" si="871"/>
        <v>ELEMENTOS EN BODEGA USADOS</v>
      </c>
      <c r="F17054" s="5"/>
      <c r="G17054" s="5"/>
    </row>
    <row r="17055" spans="1:7" ht="58.5" customHeight="1" x14ac:dyDescent="0.25">
      <c r="A17055" s="5" t="str">
        <f>"H0032745"</f>
        <v>H0032745</v>
      </c>
      <c r="B17055" s="5" t="str">
        <f t="shared" si="872"/>
        <v>Silla para auditorio. Sistema de enganche; tela de polipropileno anti hongo, antiácaros y retardante de fuego</v>
      </c>
      <c r="C17055" s="6">
        <v>307000</v>
      </c>
      <c r="D17055" s="5" t="s">
        <v>816</v>
      </c>
      <c r="E17055" s="5" t="str">
        <f t="shared" si="871"/>
        <v>ELEMENTOS EN BODEGA USADOS</v>
      </c>
      <c r="F17055" s="5"/>
      <c r="G17055" s="5"/>
    </row>
    <row r="17056" spans="1:7" ht="58.5" customHeight="1" x14ac:dyDescent="0.25">
      <c r="A17056" s="5" t="str">
        <f>"H0032746"</f>
        <v>H0032746</v>
      </c>
      <c r="B17056" s="5" t="str">
        <f t="shared" ref="B17056:B17087" si="873">"Silla para auditorio. Sistema de enganche; tela de polipropileno anti hongo, antiácaros y retardante de fuego"</f>
        <v>Silla para auditorio. Sistema de enganche; tela de polipropileno anti hongo, antiácaros y retardante de fuego</v>
      </c>
      <c r="C17056" s="6">
        <v>307000</v>
      </c>
      <c r="D17056" s="5" t="s">
        <v>816</v>
      </c>
      <c r="E17056" s="5" t="str">
        <f t="shared" si="871"/>
        <v>ELEMENTOS EN BODEGA USADOS</v>
      </c>
      <c r="F17056" s="5"/>
      <c r="G17056" s="5"/>
    </row>
    <row r="17057" spans="1:7" ht="58.5" customHeight="1" x14ac:dyDescent="0.25">
      <c r="A17057" s="5" t="str">
        <f>"H0032747"</f>
        <v>H0032747</v>
      </c>
      <c r="B17057" s="5" t="str">
        <f t="shared" si="873"/>
        <v>Silla para auditorio. Sistema de enganche; tela de polipropileno anti hongo, antiácaros y retardante de fuego</v>
      </c>
      <c r="C17057" s="6">
        <v>307000</v>
      </c>
      <c r="D17057" s="5" t="s">
        <v>816</v>
      </c>
      <c r="E17057" s="5" t="str">
        <f t="shared" si="871"/>
        <v>ELEMENTOS EN BODEGA USADOS</v>
      </c>
      <c r="F17057" s="5"/>
      <c r="G17057" s="5"/>
    </row>
    <row r="17058" spans="1:7" ht="58.5" customHeight="1" x14ac:dyDescent="0.25">
      <c r="A17058" s="5" t="str">
        <f>"H0032748"</f>
        <v>H0032748</v>
      </c>
      <c r="B17058" s="5" t="str">
        <f t="shared" si="873"/>
        <v>Silla para auditorio. Sistema de enganche; tela de polipropileno anti hongo, antiácaros y retardante de fuego</v>
      </c>
      <c r="C17058" s="6">
        <v>307000</v>
      </c>
      <c r="D17058" s="5" t="s">
        <v>816</v>
      </c>
      <c r="E17058" s="5" t="str">
        <f t="shared" si="871"/>
        <v>ELEMENTOS EN BODEGA USADOS</v>
      </c>
      <c r="F17058" s="5"/>
      <c r="G17058" s="5"/>
    </row>
    <row r="17059" spans="1:7" ht="58.5" customHeight="1" x14ac:dyDescent="0.25">
      <c r="A17059" s="5" t="str">
        <f>"H0032749"</f>
        <v>H0032749</v>
      </c>
      <c r="B17059" s="5" t="str">
        <f t="shared" si="873"/>
        <v>Silla para auditorio. Sistema de enganche; tela de polipropileno anti hongo, antiácaros y retardante de fuego</v>
      </c>
      <c r="C17059" s="6">
        <v>307000</v>
      </c>
      <c r="D17059" s="5" t="s">
        <v>816</v>
      </c>
      <c r="E17059" s="5" t="str">
        <f t="shared" ref="E17059:E17122" si="874">"ELEMENTOS EN BODEGA USADOS"</f>
        <v>ELEMENTOS EN BODEGA USADOS</v>
      </c>
      <c r="F17059" s="5"/>
      <c r="G17059" s="5"/>
    </row>
    <row r="17060" spans="1:7" ht="58.5" customHeight="1" x14ac:dyDescent="0.25">
      <c r="A17060" s="5" t="str">
        <f>"H0032750"</f>
        <v>H0032750</v>
      </c>
      <c r="B17060" s="5" t="str">
        <f t="shared" si="873"/>
        <v>Silla para auditorio. Sistema de enganche; tela de polipropileno anti hongo, antiácaros y retardante de fuego</v>
      </c>
      <c r="C17060" s="6">
        <v>307000</v>
      </c>
      <c r="D17060" s="5" t="s">
        <v>816</v>
      </c>
      <c r="E17060" s="5" t="str">
        <f t="shared" si="874"/>
        <v>ELEMENTOS EN BODEGA USADOS</v>
      </c>
      <c r="F17060" s="5"/>
      <c r="G17060" s="5"/>
    </row>
    <row r="17061" spans="1:7" ht="58.5" customHeight="1" x14ac:dyDescent="0.25">
      <c r="A17061" s="5" t="str">
        <f>"H0032751"</f>
        <v>H0032751</v>
      </c>
      <c r="B17061" s="5" t="str">
        <f t="shared" si="873"/>
        <v>Silla para auditorio. Sistema de enganche; tela de polipropileno anti hongo, antiácaros y retardante de fuego</v>
      </c>
      <c r="C17061" s="6">
        <v>307000</v>
      </c>
      <c r="D17061" s="5" t="s">
        <v>816</v>
      </c>
      <c r="E17061" s="5" t="str">
        <f t="shared" si="874"/>
        <v>ELEMENTOS EN BODEGA USADOS</v>
      </c>
      <c r="F17061" s="5"/>
      <c r="G17061" s="5"/>
    </row>
    <row r="17062" spans="1:7" ht="58.5" customHeight="1" x14ac:dyDescent="0.25">
      <c r="A17062" s="5" t="str">
        <f>"H0032752"</f>
        <v>H0032752</v>
      </c>
      <c r="B17062" s="5" t="str">
        <f t="shared" si="873"/>
        <v>Silla para auditorio. Sistema de enganche; tela de polipropileno anti hongo, antiácaros y retardante de fuego</v>
      </c>
      <c r="C17062" s="6">
        <v>307000</v>
      </c>
      <c r="D17062" s="5" t="s">
        <v>816</v>
      </c>
      <c r="E17062" s="5" t="str">
        <f t="shared" si="874"/>
        <v>ELEMENTOS EN BODEGA USADOS</v>
      </c>
      <c r="F17062" s="5"/>
      <c r="G17062" s="5"/>
    </row>
    <row r="17063" spans="1:7" ht="58.5" customHeight="1" x14ac:dyDescent="0.25">
      <c r="A17063" s="5" t="str">
        <f>"H0032753"</f>
        <v>H0032753</v>
      </c>
      <c r="B17063" s="5" t="str">
        <f t="shared" si="873"/>
        <v>Silla para auditorio. Sistema de enganche; tela de polipropileno anti hongo, antiácaros y retardante de fuego</v>
      </c>
      <c r="C17063" s="6">
        <v>307000</v>
      </c>
      <c r="D17063" s="5" t="s">
        <v>816</v>
      </c>
      <c r="E17063" s="5" t="str">
        <f t="shared" si="874"/>
        <v>ELEMENTOS EN BODEGA USADOS</v>
      </c>
      <c r="F17063" s="5"/>
      <c r="G17063" s="5"/>
    </row>
    <row r="17064" spans="1:7" ht="58.5" customHeight="1" x14ac:dyDescent="0.25">
      <c r="A17064" s="5" t="str">
        <f>"H0032754"</f>
        <v>H0032754</v>
      </c>
      <c r="B17064" s="5" t="str">
        <f t="shared" si="873"/>
        <v>Silla para auditorio. Sistema de enganche; tela de polipropileno anti hongo, antiácaros y retardante de fuego</v>
      </c>
      <c r="C17064" s="6">
        <v>307000</v>
      </c>
      <c r="D17064" s="5" t="s">
        <v>816</v>
      </c>
      <c r="E17064" s="5" t="str">
        <f t="shared" si="874"/>
        <v>ELEMENTOS EN BODEGA USADOS</v>
      </c>
      <c r="F17064" s="5"/>
      <c r="G17064" s="5"/>
    </row>
    <row r="17065" spans="1:7" ht="58.5" customHeight="1" x14ac:dyDescent="0.25">
      <c r="A17065" s="5" t="str">
        <f>"H0032755"</f>
        <v>H0032755</v>
      </c>
      <c r="B17065" s="5" t="str">
        <f t="shared" si="873"/>
        <v>Silla para auditorio. Sistema de enganche; tela de polipropileno anti hongo, antiácaros y retardante de fuego</v>
      </c>
      <c r="C17065" s="6">
        <v>307000</v>
      </c>
      <c r="D17065" s="5" t="s">
        <v>816</v>
      </c>
      <c r="E17065" s="5" t="str">
        <f t="shared" si="874"/>
        <v>ELEMENTOS EN BODEGA USADOS</v>
      </c>
      <c r="F17065" s="5"/>
      <c r="G17065" s="5"/>
    </row>
    <row r="17066" spans="1:7" ht="58.5" customHeight="1" x14ac:dyDescent="0.25">
      <c r="A17066" s="5" t="str">
        <f>"H0032756"</f>
        <v>H0032756</v>
      </c>
      <c r="B17066" s="5" t="str">
        <f t="shared" si="873"/>
        <v>Silla para auditorio. Sistema de enganche; tela de polipropileno anti hongo, antiácaros y retardante de fuego</v>
      </c>
      <c r="C17066" s="6">
        <v>307000</v>
      </c>
      <c r="D17066" s="5" t="s">
        <v>816</v>
      </c>
      <c r="E17066" s="5" t="str">
        <f t="shared" si="874"/>
        <v>ELEMENTOS EN BODEGA USADOS</v>
      </c>
      <c r="F17066" s="5"/>
      <c r="G17066" s="5"/>
    </row>
    <row r="17067" spans="1:7" ht="58.5" customHeight="1" x14ac:dyDescent="0.25">
      <c r="A17067" s="5" t="str">
        <f>"H0032757"</f>
        <v>H0032757</v>
      </c>
      <c r="B17067" s="5" t="str">
        <f t="shared" si="873"/>
        <v>Silla para auditorio. Sistema de enganche; tela de polipropileno anti hongo, antiácaros y retardante de fuego</v>
      </c>
      <c r="C17067" s="6">
        <v>307000</v>
      </c>
      <c r="D17067" s="5" t="s">
        <v>816</v>
      </c>
      <c r="E17067" s="5" t="str">
        <f t="shared" si="874"/>
        <v>ELEMENTOS EN BODEGA USADOS</v>
      </c>
      <c r="F17067" s="5"/>
      <c r="G17067" s="5"/>
    </row>
    <row r="17068" spans="1:7" ht="58.5" customHeight="1" x14ac:dyDescent="0.25">
      <c r="A17068" s="5" t="str">
        <f>"H0032758"</f>
        <v>H0032758</v>
      </c>
      <c r="B17068" s="5" t="str">
        <f t="shared" si="873"/>
        <v>Silla para auditorio. Sistema de enganche; tela de polipropileno anti hongo, antiácaros y retardante de fuego</v>
      </c>
      <c r="C17068" s="6">
        <v>307000</v>
      </c>
      <c r="D17068" s="5" t="s">
        <v>816</v>
      </c>
      <c r="E17068" s="5" t="str">
        <f t="shared" si="874"/>
        <v>ELEMENTOS EN BODEGA USADOS</v>
      </c>
      <c r="F17068" s="5"/>
      <c r="G17068" s="5"/>
    </row>
    <row r="17069" spans="1:7" ht="58.5" customHeight="1" x14ac:dyDescent="0.25">
      <c r="A17069" s="5" t="str">
        <f>"H0032759"</f>
        <v>H0032759</v>
      </c>
      <c r="B17069" s="5" t="str">
        <f t="shared" si="873"/>
        <v>Silla para auditorio. Sistema de enganche; tela de polipropileno anti hongo, antiácaros y retardante de fuego</v>
      </c>
      <c r="C17069" s="6">
        <v>307000</v>
      </c>
      <c r="D17069" s="5" t="s">
        <v>816</v>
      </c>
      <c r="E17069" s="5" t="str">
        <f t="shared" si="874"/>
        <v>ELEMENTOS EN BODEGA USADOS</v>
      </c>
      <c r="F17069" s="5"/>
      <c r="G17069" s="5"/>
    </row>
    <row r="17070" spans="1:7" ht="58.5" customHeight="1" x14ac:dyDescent="0.25">
      <c r="A17070" s="5" t="str">
        <f>"H0032760"</f>
        <v>H0032760</v>
      </c>
      <c r="B17070" s="5" t="str">
        <f t="shared" si="873"/>
        <v>Silla para auditorio. Sistema de enganche; tela de polipropileno anti hongo, antiácaros y retardante de fuego</v>
      </c>
      <c r="C17070" s="6">
        <v>307000</v>
      </c>
      <c r="D17070" s="5" t="s">
        <v>816</v>
      </c>
      <c r="E17070" s="5" t="str">
        <f t="shared" si="874"/>
        <v>ELEMENTOS EN BODEGA USADOS</v>
      </c>
      <c r="F17070" s="5"/>
      <c r="G17070" s="5"/>
    </row>
    <row r="17071" spans="1:7" ht="58.5" customHeight="1" x14ac:dyDescent="0.25">
      <c r="A17071" s="5" t="str">
        <f>"H0032761"</f>
        <v>H0032761</v>
      </c>
      <c r="B17071" s="5" t="str">
        <f t="shared" si="873"/>
        <v>Silla para auditorio. Sistema de enganche; tela de polipropileno anti hongo, antiácaros y retardante de fuego</v>
      </c>
      <c r="C17071" s="6">
        <v>307000</v>
      </c>
      <c r="D17071" s="5" t="s">
        <v>816</v>
      </c>
      <c r="E17071" s="5" t="str">
        <f t="shared" si="874"/>
        <v>ELEMENTOS EN BODEGA USADOS</v>
      </c>
      <c r="F17071" s="5"/>
      <c r="G17071" s="5"/>
    </row>
    <row r="17072" spans="1:7" ht="58.5" customHeight="1" x14ac:dyDescent="0.25">
      <c r="A17072" s="5" t="str">
        <f>"H0032762"</f>
        <v>H0032762</v>
      </c>
      <c r="B17072" s="5" t="str">
        <f t="shared" si="873"/>
        <v>Silla para auditorio. Sistema de enganche; tela de polipropileno anti hongo, antiácaros y retardante de fuego</v>
      </c>
      <c r="C17072" s="6">
        <v>307000</v>
      </c>
      <c r="D17072" s="5" t="s">
        <v>816</v>
      </c>
      <c r="E17072" s="5" t="str">
        <f t="shared" si="874"/>
        <v>ELEMENTOS EN BODEGA USADOS</v>
      </c>
      <c r="F17072" s="5"/>
      <c r="G17072" s="5"/>
    </row>
    <row r="17073" spans="1:7" ht="58.5" customHeight="1" x14ac:dyDescent="0.25">
      <c r="A17073" s="5" t="str">
        <f>"H0032763"</f>
        <v>H0032763</v>
      </c>
      <c r="B17073" s="5" t="str">
        <f t="shared" si="873"/>
        <v>Silla para auditorio. Sistema de enganche; tela de polipropileno anti hongo, antiácaros y retardante de fuego</v>
      </c>
      <c r="C17073" s="6">
        <v>307000</v>
      </c>
      <c r="D17073" s="5" t="s">
        <v>816</v>
      </c>
      <c r="E17073" s="5" t="str">
        <f t="shared" si="874"/>
        <v>ELEMENTOS EN BODEGA USADOS</v>
      </c>
      <c r="F17073" s="5"/>
      <c r="G17073" s="5"/>
    </row>
    <row r="17074" spans="1:7" ht="58.5" customHeight="1" x14ac:dyDescent="0.25">
      <c r="A17074" s="5" t="str">
        <f>"H0032764"</f>
        <v>H0032764</v>
      </c>
      <c r="B17074" s="5" t="str">
        <f t="shared" si="873"/>
        <v>Silla para auditorio. Sistema de enganche; tela de polipropileno anti hongo, antiácaros y retardante de fuego</v>
      </c>
      <c r="C17074" s="6">
        <v>307000</v>
      </c>
      <c r="D17074" s="5" t="s">
        <v>816</v>
      </c>
      <c r="E17074" s="5" t="str">
        <f t="shared" si="874"/>
        <v>ELEMENTOS EN BODEGA USADOS</v>
      </c>
      <c r="F17074" s="5"/>
      <c r="G17074" s="5"/>
    </row>
    <row r="17075" spans="1:7" ht="58.5" customHeight="1" x14ac:dyDescent="0.25">
      <c r="A17075" s="5" t="str">
        <f>"H0032765"</f>
        <v>H0032765</v>
      </c>
      <c r="B17075" s="5" t="str">
        <f t="shared" si="873"/>
        <v>Silla para auditorio. Sistema de enganche; tela de polipropileno anti hongo, antiácaros y retardante de fuego</v>
      </c>
      <c r="C17075" s="6">
        <v>307000</v>
      </c>
      <c r="D17075" s="5" t="s">
        <v>816</v>
      </c>
      <c r="E17075" s="5" t="str">
        <f t="shared" si="874"/>
        <v>ELEMENTOS EN BODEGA USADOS</v>
      </c>
      <c r="F17075" s="5"/>
      <c r="G17075" s="5"/>
    </row>
    <row r="17076" spans="1:7" ht="58.5" customHeight="1" x14ac:dyDescent="0.25">
      <c r="A17076" s="5" t="str">
        <f>"H0032766"</f>
        <v>H0032766</v>
      </c>
      <c r="B17076" s="5" t="str">
        <f t="shared" si="873"/>
        <v>Silla para auditorio. Sistema de enganche; tela de polipropileno anti hongo, antiácaros y retardante de fuego</v>
      </c>
      <c r="C17076" s="6">
        <v>307000</v>
      </c>
      <c r="D17076" s="5" t="s">
        <v>816</v>
      </c>
      <c r="E17076" s="5" t="str">
        <f t="shared" si="874"/>
        <v>ELEMENTOS EN BODEGA USADOS</v>
      </c>
      <c r="F17076" s="5"/>
      <c r="G17076" s="5"/>
    </row>
    <row r="17077" spans="1:7" ht="58.5" customHeight="1" x14ac:dyDescent="0.25">
      <c r="A17077" s="5" t="str">
        <f>"H0032767"</f>
        <v>H0032767</v>
      </c>
      <c r="B17077" s="5" t="str">
        <f t="shared" si="873"/>
        <v>Silla para auditorio. Sistema de enganche; tela de polipropileno anti hongo, antiácaros y retardante de fuego</v>
      </c>
      <c r="C17077" s="6">
        <v>307000</v>
      </c>
      <c r="D17077" s="5" t="s">
        <v>816</v>
      </c>
      <c r="E17077" s="5" t="str">
        <f t="shared" si="874"/>
        <v>ELEMENTOS EN BODEGA USADOS</v>
      </c>
      <c r="F17077" s="5"/>
      <c r="G17077" s="5"/>
    </row>
    <row r="17078" spans="1:7" ht="58.5" customHeight="1" x14ac:dyDescent="0.25">
      <c r="A17078" s="5" t="str">
        <f>"H0032768"</f>
        <v>H0032768</v>
      </c>
      <c r="B17078" s="5" t="str">
        <f t="shared" si="873"/>
        <v>Silla para auditorio. Sistema de enganche; tela de polipropileno anti hongo, antiácaros y retardante de fuego</v>
      </c>
      <c r="C17078" s="6">
        <v>307000</v>
      </c>
      <c r="D17078" s="5" t="s">
        <v>816</v>
      </c>
      <c r="E17078" s="5" t="str">
        <f t="shared" si="874"/>
        <v>ELEMENTOS EN BODEGA USADOS</v>
      </c>
      <c r="F17078" s="5"/>
      <c r="G17078" s="5"/>
    </row>
    <row r="17079" spans="1:7" ht="58.5" customHeight="1" x14ac:dyDescent="0.25">
      <c r="A17079" s="5" t="str">
        <f>"H0032769"</f>
        <v>H0032769</v>
      </c>
      <c r="B17079" s="5" t="str">
        <f t="shared" si="873"/>
        <v>Silla para auditorio. Sistema de enganche; tela de polipropileno anti hongo, antiácaros y retardante de fuego</v>
      </c>
      <c r="C17079" s="6">
        <v>307000</v>
      </c>
      <c r="D17079" s="5" t="s">
        <v>816</v>
      </c>
      <c r="E17079" s="5" t="str">
        <f t="shared" si="874"/>
        <v>ELEMENTOS EN BODEGA USADOS</v>
      </c>
      <c r="F17079" s="5"/>
      <c r="G17079" s="5"/>
    </row>
    <row r="17080" spans="1:7" ht="58.5" customHeight="1" x14ac:dyDescent="0.25">
      <c r="A17080" s="5" t="str">
        <f>"H0032770"</f>
        <v>H0032770</v>
      </c>
      <c r="B17080" s="5" t="str">
        <f t="shared" si="873"/>
        <v>Silla para auditorio. Sistema de enganche; tela de polipropileno anti hongo, antiácaros y retardante de fuego</v>
      </c>
      <c r="C17080" s="6">
        <v>307000</v>
      </c>
      <c r="D17080" s="5" t="s">
        <v>816</v>
      </c>
      <c r="E17080" s="5" t="str">
        <f t="shared" si="874"/>
        <v>ELEMENTOS EN BODEGA USADOS</v>
      </c>
      <c r="F17080" s="5"/>
      <c r="G17080" s="5"/>
    </row>
    <row r="17081" spans="1:7" ht="58.5" customHeight="1" x14ac:dyDescent="0.25">
      <c r="A17081" s="5" t="str">
        <f>"H0032771"</f>
        <v>H0032771</v>
      </c>
      <c r="B17081" s="5" t="str">
        <f t="shared" si="873"/>
        <v>Silla para auditorio. Sistema de enganche; tela de polipropileno anti hongo, antiácaros y retardante de fuego</v>
      </c>
      <c r="C17081" s="6">
        <v>307000</v>
      </c>
      <c r="D17081" s="5" t="s">
        <v>816</v>
      </c>
      <c r="E17081" s="5" t="str">
        <f t="shared" si="874"/>
        <v>ELEMENTOS EN BODEGA USADOS</v>
      </c>
      <c r="F17081" s="5"/>
      <c r="G17081" s="5"/>
    </row>
    <row r="17082" spans="1:7" ht="58.5" customHeight="1" x14ac:dyDescent="0.25">
      <c r="A17082" s="5" t="str">
        <f>"H0032772"</f>
        <v>H0032772</v>
      </c>
      <c r="B17082" s="5" t="str">
        <f t="shared" si="873"/>
        <v>Silla para auditorio. Sistema de enganche; tela de polipropileno anti hongo, antiácaros y retardante de fuego</v>
      </c>
      <c r="C17082" s="6">
        <v>307000</v>
      </c>
      <c r="D17082" s="5" t="s">
        <v>816</v>
      </c>
      <c r="E17082" s="5" t="str">
        <f t="shared" si="874"/>
        <v>ELEMENTOS EN BODEGA USADOS</v>
      </c>
      <c r="F17082" s="5"/>
      <c r="G17082" s="5"/>
    </row>
    <row r="17083" spans="1:7" ht="58.5" customHeight="1" x14ac:dyDescent="0.25">
      <c r="A17083" s="5" t="str">
        <f>"H0032773"</f>
        <v>H0032773</v>
      </c>
      <c r="B17083" s="5" t="str">
        <f t="shared" si="873"/>
        <v>Silla para auditorio. Sistema de enganche; tela de polipropileno anti hongo, antiácaros y retardante de fuego</v>
      </c>
      <c r="C17083" s="6">
        <v>307000</v>
      </c>
      <c r="D17083" s="5" t="s">
        <v>816</v>
      </c>
      <c r="E17083" s="5" t="str">
        <f t="shared" si="874"/>
        <v>ELEMENTOS EN BODEGA USADOS</v>
      </c>
      <c r="F17083" s="5"/>
      <c r="G17083" s="5"/>
    </row>
    <row r="17084" spans="1:7" ht="58.5" customHeight="1" x14ac:dyDescent="0.25">
      <c r="A17084" s="5" t="str">
        <f>"H0032774"</f>
        <v>H0032774</v>
      </c>
      <c r="B17084" s="5" t="str">
        <f t="shared" si="873"/>
        <v>Silla para auditorio. Sistema de enganche; tela de polipropileno anti hongo, antiácaros y retardante de fuego</v>
      </c>
      <c r="C17084" s="6">
        <v>307000</v>
      </c>
      <c r="D17084" s="5" t="s">
        <v>816</v>
      </c>
      <c r="E17084" s="5" t="str">
        <f t="shared" si="874"/>
        <v>ELEMENTOS EN BODEGA USADOS</v>
      </c>
      <c r="F17084" s="5"/>
      <c r="G17084" s="5"/>
    </row>
    <row r="17085" spans="1:7" ht="58.5" customHeight="1" x14ac:dyDescent="0.25">
      <c r="A17085" s="5" t="str">
        <f>"H0032775"</f>
        <v>H0032775</v>
      </c>
      <c r="B17085" s="5" t="str">
        <f t="shared" si="873"/>
        <v>Silla para auditorio. Sistema de enganche; tela de polipropileno anti hongo, antiácaros y retardante de fuego</v>
      </c>
      <c r="C17085" s="6">
        <v>307000</v>
      </c>
      <c r="D17085" s="5" t="s">
        <v>816</v>
      </c>
      <c r="E17085" s="5" t="str">
        <f t="shared" si="874"/>
        <v>ELEMENTOS EN BODEGA USADOS</v>
      </c>
      <c r="F17085" s="5"/>
      <c r="G17085" s="5"/>
    </row>
    <row r="17086" spans="1:7" ht="58.5" customHeight="1" x14ac:dyDescent="0.25">
      <c r="A17086" s="5" t="str">
        <f>"H0032776"</f>
        <v>H0032776</v>
      </c>
      <c r="B17086" s="5" t="str">
        <f t="shared" si="873"/>
        <v>Silla para auditorio. Sistema de enganche; tela de polipropileno anti hongo, antiácaros y retardante de fuego</v>
      </c>
      <c r="C17086" s="6">
        <v>307000</v>
      </c>
      <c r="D17086" s="5" t="s">
        <v>816</v>
      </c>
      <c r="E17086" s="5" t="str">
        <f t="shared" si="874"/>
        <v>ELEMENTOS EN BODEGA USADOS</v>
      </c>
      <c r="F17086" s="5"/>
      <c r="G17086" s="5"/>
    </row>
    <row r="17087" spans="1:7" ht="58.5" customHeight="1" x14ac:dyDescent="0.25">
      <c r="A17087" s="5" t="str">
        <f>"H0032777"</f>
        <v>H0032777</v>
      </c>
      <c r="B17087" s="5" t="str">
        <f t="shared" si="873"/>
        <v>Silla para auditorio. Sistema de enganche; tela de polipropileno anti hongo, antiácaros y retardante de fuego</v>
      </c>
      <c r="C17087" s="6">
        <v>307000</v>
      </c>
      <c r="D17087" s="5" t="s">
        <v>816</v>
      </c>
      <c r="E17087" s="5" t="str">
        <f t="shared" si="874"/>
        <v>ELEMENTOS EN BODEGA USADOS</v>
      </c>
      <c r="F17087" s="5"/>
      <c r="G17087" s="5"/>
    </row>
    <row r="17088" spans="1:7" ht="58.5" customHeight="1" x14ac:dyDescent="0.25">
      <c r="A17088" s="5" t="str">
        <f>"H0032778"</f>
        <v>H0032778</v>
      </c>
      <c r="B17088" s="5" t="str">
        <f t="shared" ref="B17088:B17119" si="875">"Silla para auditorio. Sistema de enganche; tela de polipropileno anti hongo, antiácaros y retardante de fuego"</f>
        <v>Silla para auditorio. Sistema de enganche; tela de polipropileno anti hongo, antiácaros y retardante de fuego</v>
      </c>
      <c r="C17088" s="6">
        <v>307000</v>
      </c>
      <c r="D17088" s="5" t="s">
        <v>816</v>
      </c>
      <c r="E17088" s="5" t="str">
        <f t="shared" si="874"/>
        <v>ELEMENTOS EN BODEGA USADOS</v>
      </c>
      <c r="F17088" s="5"/>
      <c r="G17088" s="5"/>
    </row>
    <row r="17089" spans="1:7" ht="58.5" customHeight="1" x14ac:dyDescent="0.25">
      <c r="A17089" s="5" t="str">
        <f>"H0032779"</f>
        <v>H0032779</v>
      </c>
      <c r="B17089" s="5" t="str">
        <f t="shared" si="875"/>
        <v>Silla para auditorio. Sistema de enganche; tela de polipropileno anti hongo, antiácaros y retardante de fuego</v>
      </c>
      <c r="C17089" s="6">
        <v>307000</v>
      </c>
      <c r="D17089" s="5" t="s">
        <v>816</v>
      </c>
      <c r="E17089" s="5" t="str">
        <f t="shared" si="874"/>
        <v>ELEMENTOS EN BODEGA USADOS</v>
      </c>
      <c r="F17089" s="5"/>
      <c r="G17089" s="5"/>
    </row>
    <row r="17090" spans="1:7" ht="58.5" customHeight="1" x14ac:dyDescent="0.25">
      <c r="A17090" s="5" t="str">
        <f>"H0032780"</f>
        <v>H0032780</v>
      </c>
      <c r="B17090" s="5" t="str">
        <f t="shared" si="875"/>
        <v>Silla para auditorio. Sistema de enganche; tela de polipropileno anti hongo, antiácaros y retardante de fuego</v>
      </c>
      <c r="C17090" s="6">
        <v>307000</v>
      </c>
      <c r="D17090" s="5" t="s">
        <v>816</v>
      </c>
      <c r="E17090" s="5" t="str">
        <f t="shared" si="874"/>
        <v>ELEMENTOS EN BODEGA USADOS</v>
      </c>
      <c r="F17090" s="5"/>
      <c r="G17090" s="5"/>
    </row>
    <row r="17091" spans="1:7" ht="58.5" customHeight="1" x14ac:dyDescent="0.25">
      <c r="A17091" s="5" t="str">
        <f>"H0032781"</f>
        <v>H0032781</v>
      </c>
      <c r="B17091" s="5" t="str">
        <f t="shared" si="875"/>
        <v>Silla para auditorio. Sistema de enganche; tela de polipropileno anti hongo, antiácaros y retardante de fuego</v>
      </c>
      <c r="C17091" s="6">
        <v>307000</v>
      </c>
      <c r="D17091" s="5" t="s">
        <v>816</v>
      </c>
      <c r="E17091" s="5" t="str">
        <f t="shared" si="874"/>
        <v>ELEMENTOS EN BODEGA USADOS</v>
      </c>
      <c r="F17091" s="5"/>
      <c r="G17091" s="5"/>
    </row>
    <row r="17092" spans="1:7" ht="58.5" customHeight="1" x14ac:dyDescent="0.25">
      <c r="A17092" s="5" t="str">
        <f>"H0032782"</f>
        <v>H0032782</v>
      </c>
      <c r="B17092" s="5" t="str">
        <f t="shared" si="875"/>
        <v>Silla para auditorio. Sistema de enganche; tela de polipropileno anti hongo, antiácaros y retardante de fuego</v>
      </c>
      <c r="C17092" s="6">
        <v>307000</v>
      </c>
      <c r="D17092" s="5" t="s">
        <v>816</v>
      </c>
      <c r="E17092" s="5" t="str">
        <f t="shared" si="874"/>
        <v>ELEMENTOS EN BODEGA USADOS</v>
      </c>
      <c r="F17092" s="5"/>
      <c r="G17092" s="5"/>
    </row>
    <row r="17093" spans="1:7" ht="58.5" customHeight="1" x14ac:dyDescent="0.25">
      <c r="A17093" s="5" t="str">
        <f>"H0032783"</f>
        <v>H0032783</v>
      </c>
      <c r="B17093" s="5" t="str">
        <f t="shared" si="875"/>
        <v>Silla para auditorio. Sistema de enganche; tela de polipropileno anti hongo, antiácaros y retardante de fuego</v>
      </c>
      <c r="C17093" s="6">
        <v>307000</v>
      </c>
      <c r="D17093" s="5" t="s">
        <v>816</v>
      </c>
      <c r="E17093" s="5" t="str">
        <f t="shared" si="874"/>
        <v>ELEMENTOS EN BODEGA USADOS</v>
      </c>
      <c r="F17093" s="5"/>
      <c r="G17093" s="5"/>
    </row>
    <row r="17094" spans="1:7" ht="58.5" customHeight="1" x14ac:dyDescent="0.25">
      <c r="A17094" s="5" t="str">
        <f>"H0032784"</f>
        <v>H0032784</v>
      </c>
      <c r="B17094" s="5" t="str">
        <f t="shared" si="875"/>
        <v>Silla para auditorio. Sistema de enganche; tela de polipropileno anti hongo, antiácaros y retardante de fuego</v>
      </c>
      <c r="C17094" s="6">
        <v>307000</v>
      </c>
      <c r="D17094" s="5" t="s">
        <v>816</v>
      </c>
      <c r="E17094" s="5" t="str">
        <f t="shared" si="874"/>
        <v>ELEMENTOS EN BODEGA USADOS</v>
      </c>
      <c r="F17094" s="5"/>
      <c r="G17094" s="5"/>
    </row>
    <row r="17095" spans="1:7" ht="58.5" customHeight="1" x14ac:dyDescent="0.25">
      <c r="A17095" s="5" t="str">
        <f>"H0032785"</f>
        <v>H0032785</v>
      </c>
      <c r="B17095" s="5" t="str">
        <f t="shared" si="875"/>
        <v>Silla para auditorio. Sistema de enganche; tela de polipropileno anti hongo, antiácaros y retardante de fuego</v>
      </c>
      <c r="C17095" s="6">
        <v>307000</v>
      </c>
      <c r="D17095" s="5" t="s">
        <v>816</v>
      </c>
      <c r="E17095" s="5" t="str">
        <f t="shared" si="874"/>
        <v>ELEMENTOS EN BODEGA USADOS</v>
      </c>
      <c r="F17095" s="5"/>
      <c r="G17095" s="5"/>
    </row>
    <row r="17096" spans="1:7" ht="58.5" customHeight="1" x14ac:dyDescent="0.25">
      <c r="A17096" s="5" t="str">
        <f>"H0032786"</f>
        <v>H0032786</v>
      </c>
      <c r="B17096" s="5" t="str">
        <f t="shared" si="875"/>
        <v>Silla para auditorio. Sistema de enganche; tela de polipropileno anti hongo, antiácaros y retardante de fuego</v>
      </c>
      <c r="C17096" s="6">
        <v>307000</v>
      </c>
      <c r="D17096" s="5" t="s">
        <v>816</v>
      </c>
      <c r="E17096" s="5" t="str">
        <f t="shared" si="874"/>
        <v>ELEMENTOS EN BODEGA USADOS</v>
      </c>
      <c r="F17096" s="5"/>
      <c r="G17096" s="5"/>
    </row>
    <row r="17097" spans="1:7" ht="58.5" customHeight="1" x14ac:dyDescent="0.25">
      <c r="A17097" s="5" t="str">
        <f>"H0032787"</f>
        <v>H0032787</v>
      </c>
      <c r="B17097" s="5" t="str">
        <f t="shared" si="875"/>
        <v>Silla para auditorio. Sistema de enganche; tela de polipropileno anti hongo, antiácaros y retardante de fuego</v>
      </c>
      <c r="C17097" s="6">
        <v>307000</v>
      </c>
      <c r="D17097" s="5" t="s">
        <v>816</v>
      </c>
      <c r="E17097" s="5" t="str">
        <f t="shared" si="874"/>
        <v>ELEMENTOS EN BODEGA USADOS</v>
      </c>
      <c r="F17097" s="5"/>
      <c r="G17097" s="5"/>
    </row>
    <row r="17098" spans="1:7" ht="58.5" customHeight="1" x14ac:dyDescent="0.25">
      <c r="A17098" s="5" t="str">
        <f>"H0032788"</f>
        <v>H0032788</v>
      </c>
      <c r="B17098" s="5" t="str">
        <f t="shared" si="875"/>
        <v>Silla para auditorio. Sistema de enganche; tela de polipropileno anti hongo, antiácaros y retardante de fuego</v>
      </c>
      <c r="C17098" s="6">
        <v>307000</v>
      </c>
      <c r="D17098" s="5" t="s">
        <v>816</v>
      </c>
      <c r="E17098" s="5" t="str">
        <f t="shared" si="874"/>
        <v>ELEMENTOS EN BODEGA USADOS</v>
      </c>
      <c r="F17098" s="5"/>
      <c r="G17098" s="5"/>
    </row>
    <row r="17099" spans="1:7" ht="58.5" customHeight="1" x14ac:dyDescent="0.25">
      <c r="A17099" s="5" t="str">
        <f>"H0032789"</f>
        <v>H0032789</v>
      </c>
      <c r="B17099" s="5" t="str">
        <f t="shared" si="875"/>
        <v>Silla para auditorio. Sistema de enganche; tela de polipropileno anti hongo, antiácaros y retardante de fuego</v>
      </c>
      <c r="C17099" s="6">
        <v>307000</v>
      </c>
      <c r="D17099" s="5" t="s">
        <v>816</v>
      </c>
      <c r="E17099" s="5" t="str">
        <f t="shared" si="874"/>
        <v>ELEMENTOS EN BODEGA USADOS</v>
      </c>
      <c r="F17099" s="5"/>
      <c r="G17099" s="5"/>
    </row>
    <row r="17100" spans="1:7" ht="58.5" customHeight="1" x14ac:dyDescent="0.25">
      <c r="A17100" s="5" t="str">
        <f>"H0032790"</f>
        <v>H0032790</v>
      </c>
      <c r="B17100" s="5" t="str">
        <f t="shared" si="875"/>
        <v>Silla para auditorio. Sistema de enganche; tela de polipropileno anti hongo, antiácaros y retardante de fuego</v>
      </c>
      <c r="C17100" s="6">
        <v>307000</v>
      </c>
      <c r="D17100" s="5" t="s">
        <v>816</v>
      </c>
      <c r="E17100" s="5" t="str">
        <f t="shared" si="874"/>
        <v>ELEMENTOS EN BODEGA USADOS</v>
      </c>
      <c r="F17100" s="5"/>
      <c r="G17100" s="5"/>
    </row>
    <row r="17101" spans="1:7" ht="58.5" customHeight="1" x14ac:dyDescent="0.25">
      <c r="A17101" s="5" t="str">
        <f>"H0032791"</f>
        <v>H0032791</v>
      </c>
      <c r="B17101" s="5" t="str">
        <f t="shared" si="875"/>
        <v>Silla para auditorio. Sistema de enganche; tela de polipropileno anti hongo, antiácaros y retardante de fuego</v>
      </c>
      <c r="C17101" s="6">
        <v>307000</v>
      </c>
      <c r="D17101" s="5" t="s">
        <v>816</v>
      </c>
      <c r="E17101" s="5" t="str">
        <f t="shared" si="874"/>
        <v>ELEMENTOS EN BODEGA USADOS</v>
      </c>
      <c r="F17101" s="5"/>
      <c r="G17101" s="5"/>
    </row>
    <row r="17102" spans="1:7" ht="58.5" customHeight="1" x14ac:dyDescent="0.25">
      <c r="A17102" s="5" t="str">
        <f>"H0032792"</f>
        <v>H0032792</v>
      </c>
      <c r="B17102" s="5" t="str">
        <f t="shared" si="875"/>
        <v>Silla para auditorio. Sistema de enganche; tela de polipropileno anti hongo, antiácaros y retardante de fuego</v>
      </c>
      <c r="C17102" s="6">
        <v>307000</v>
      </c>
      <c r="D17102" s="5" t="s">
        <v>816</v>
      </c>
      <c r="E17102" s="5" t="str">
        <f t="shared" si="874"/>
        <v>ELEMENTOS EN BODEGA USADOS</v>
      </c>
      <c r="F17102" s="5"/>
      <c r="G17102" s="5"/>
    </row>
    <row r="17103" spans="1:7" ht="58.5" customHeight="1" x14ac:dyDescent="0.25">
      <c r="A17103" s="5" t="str">
        <f>"H0032793"</f>
        <v>H0032793</v>
      </c>
      <c r="B17103" s="5" t="str">
        <f t="shared" si="875"/>
        <v>Silla para auditorio. Sistema de enganche; tela de polipropileno anti hongo, antiácaros y retardante de fuego</v>
      </c>
      <c r="C17103" s="6">
        <v>307000</v>
      </c>
      <c r="D17103" s="5" t="s">
        <v>816</v>
      </c>
      <c r="E17103" s="5" t="str">
        <f t="shared" si="874"/>
        <v>ELEMENTOS EN BODEGA USADOS</v>
      </c>
      <c r="F17103" s="5"/>
      <c r="G17103" s="5"/>
    </row>
    <row r="17104" spans="1:7" ht="58.5" customHeight="1" x14ac:dyDescent="0.25">
      <c r="A17104" s="5" t="str">
        <f>"H0032794"</f>
        <v>H0032794</v>
      </c>
      <c r="B17104" s="5" t="str">
        <f t="shared" si="875"/>
        <v>Silla para auditorio. Sistema de enganche; tela de polipropileno anti hongo, antiácaros y retardante de fuego</v>
      </c>
      <c r="C17104" s="6">
        <v>307000</v>
      </c>
      <c r="D17104" s="5" t="s">
        <v>816</v>
      </c>
      <c r="E17104" s="5" t="str">
        <f t="shared" si="874"/>
        <v>ELEMENTOS EN BODEGA USADOS</v>
      </c>
      <c r="F17104" s="5"/>
      <c r="G17104" s="5"/>
    </row>
    <row r="17105" spans="1:7" ht="58.5" customHeight="1" x14ac:dyDescent="0.25">
      <c r="A17105" s="5" t="str">
        <f>"H0032795"</f>
        <v>H0032795</v>
      </c>
      <c r="B17105" s="5" t="str">
        <f t="shared" si="875"/>
        <v>Silla para auditorio. Sistema de enganche; tela de polipropileno anti hongo, antiácaros y retardante de fuego</v>
      </c>
      <c r="C17105" s="6">
        <v>307000</v>
      </c>
      <c r="D17105" s="5" t="s">
        <v>816</v>
      </c>
      <c r="E17105" s="5" t="str">
        <f t="shared" si="874"/>
        <v>ELEMENTOS EN BODEGA USADOS</v>
      </c>
      <c r="F17105" s="5"/>
      <c r="G17105" s="5"/>
    </row>
    <row r="17106" spans="1:7" ht="58.5" customHeight="1" x14ac:dyDescent="0.25">
      <c r="A17106" s="5" t="str">
        <f>"H0032796"</f>
        <v>H0032796</v>
      </c>
      <c r="B17106" s="5" t="str">
        <f t="shared" si="875"/>
        <v>Silla para auditorio. Sistema de enganche; tela de polipropileno anti hongo, antiácaros y retardante de fuego</v>
      </c>
      <c r="C17106" s="6">
        <v>307000</v>
      </c>
      <c r="D17106" s="5" t="s">
        <v>816</v>
      </c>
      <c r="E17106" s="5" t="str">
        <f t="shared" si="874"/>
        <v>ELEMENTOS EN BODEGA USADOS</v>
      </c>
      <c r="F17106" s="5"/>
      <c r="G17106" s="5"/>
    </row>
    <row r="17107" spans="1:7" ht="58.5" customHeight="1" x14ac:dyDescent="0.25">
      <c r="A17107" s="5" t="str">
        <f>"H0032797"</f>
        <v>H0032797</v>
      </c>
      <c r="B17107" s="5" t="str">
        <f t="shared" si="875"/>
        <v>Silla para auditorio. Sistema de enganche; tela de polipropileno anti hongo, antiácaros y retardante de fuego</v>
      </c>
      <c r="C17107" s="6">
        <v>307000</v>
      </c>
      <c r="D17107" s="5" t="s">
        <v>816</v>
      </c>
      <c r="E17107" s="5" t="str">
        <f t="shared" si="874"/>
        <v>ELEMENTOS EN BODEGA USADOS</v>
      </c>
      <c r="F17107" s="5"/>
      <c r="G17107" s="5"/>
    </row>
    <row r="17108" spans="1:7" ht="58.5" customHeight="1" x14ac:dyDescent="0.25">
      <c r="A17108" s="5" t="str">
        <f>"H0032798"</f>
        <v>H0032798</v>
      </c>
      <c r="B17108" s="5" t="str">
        <f t="shared" si="875"/>
        <v>Silla para auditorio. Sistema de enganche; tela de polipropileno anti hongo, antiácaros y retardante de fuego</v>
      </c>
      <c r="C17108" s="6">
        <v>307000</v>
      </c>
      <c r="D17108" s="5" t="s">
        <v>816</v>
      </c>
      <c r="E17108" s="5" t="str">
        <f t="shared" si="874"/>
        <v>ELEMENTOS EN BODEGA USADOS</v>
      </c>
      <c r="F17108" s="5"/>
      <c r="G17108" s="5"/>
    </row>
    <row r="17109" spans="1:7" ht="58.5" customHeight="1" x14ac:dyDescent="0.25">
      <c r="A17109" s="5" t="str">
        <f>"H0032799"</f>
        <v>H0032799</v>
      </c>
      <c r="B17109" s="5" t="str">
        <f t="shared" si="875"/>
        <v>Silla para auditorio. Sistema de enganche; tela de polipropileno anti hongo, antiácaros y retardante de fuego</v>
      </c>
      <c r="C17109" s="6">
        <v>307000</v>
      </c>
      <c r="D17109" s="5" t="s">
        <v>816</v>
      </c>
      <c r="E17109" s="5" t="str">
        <f t="shared" si="874"/>
        <v>ELEMENTOS EN BODEGA USADOS</v>
      </c>
      <c r="F17109" s="5"/>
      <c r="G17109" s="5"/>
    </row>
    <row r="17110" spans="1:7" ht="58.5" customHeight="1" x14ac:dyDescent="0.25">
      <c r="A17110" s="5" t="str">
        <f>"H0032800"</f>
        <v>H0032800</v>
      </c>
      <c r="B17110" s="5" t="str">
        <f t="shared" si="875"/>
        <v>Silla para auditorio. Sistema de enganche; tela de polipropileno anti hongo, antiácaros y retardante de fuego</v>
      </c>
      <c r="C17110" s="6">
        <v>307000</v>
      </c>
      <c r="D17110" s="5" t="s">
        <v>816</v>
      </c>
      <c r="E17110" s="5" t="str">
        <f t="shared" si="874"/>
        <v>ELEMENTOS EN BODEGA USADOS</v>
      </c>
      <c r="F17110" s="5"/>
      <c r="G17110" s="5"/>
    </row>
    <row r="17111" spans="1:7" ht="58.5" customHeight="1" x14ac:dyDescent="0.25">
      <c r="A17111" s="5" t="str">
        <f>"H0032801"</f>
        <v>H0032801</v>
      </c>
      <c r="B17111" s="5" t="str">
        <f t="shared" si="875"/>
        <v>Silla para auditorio. Sistema de enganche; tela de polipropileno anti hongo, antiácaros y retardante de fuego</v>
      </c>
      <c r="C17111" s="6">
        <v>307000</v>
      </c>
      <c r="D17111" s="5" t="s">
        <v>816</v>
      </c>
      <c r="E17111" s="5" t="str">
        <f t="shared" si="874"/>
        <v>ELEMENTOS EN BODEGA USADOS</v>
      </c>
      <c r="F17111" s="5"/>
      <c r="G17111" s="5"/>
    </row>
    <row r="17112" spans="1:7" ht="58.5" customHeight="1" x14ac:dyDescent="0.25">
      <c r="A17112" s="5" t="str">
        <f>"H0032802"</f>
        <v>H0032802</v>
      </c>
      <c r="B17112" s="5" t="str">
        <f t="shared" si="875"/>
        <v>Silla para auditorio. Sistema de enganche; tela de polipropileno anti hongo, antiácaros y retardante de fuego</v>
      </c>
      <c r="C17112" s="6">
        <v>307000</v>
      </c>
      <c r="D17112" s="5" t="s">
        <v>816</v>
      </c>
      <c r="E17112" s="5" t="str">
        <f t="shared" si="874"/>
        <v>ELEMENTOS EN BODEGA USADOS</v>
      </c>
      <c r="F17112" s="5"/>
      <c r="G17112" s="5"/>
    </row>
    <row r="17113" spans="1:7" ht="58.5" customHeight="1" x14ac:dyDescent="0.25">
      <c r="A17113" s="5" t="str">
        <f>"H0032803"</f>
        <v>H0032803</v>
      </c>
      <c r="B17113" s="5" t="str">
        <f t="shared" si="875"/>
        <v>Silla para auditorio. Sistema de enganche; tela de polipropileno anti hongo, antiácaros y retardante de fuego</v>
      </c>
      <c r="C17113" s="6">
        <v>307000</v>
      </c>
      <c r="D17113" s="5" t="s">
        <v>816</v>
      </c>
      <c r="E17113" s="5" t="str">
        <f t="shared" si="874"/>
        <v>ELEMENTOS EN BODEGA USADOS</v>
      </c>
      <c r="F17113" s="5"/>
      <c r="G17113" s="5"/>
    </row>
    <row r="17114" spans="1:7" ht="58.5" customHeight="1" x14ac:dyDescent="0.25">
      <c r="A17114" s="5" t="str">
        <f>"H0032804"</f>
        <v>H0032804</v>
      </c>
      <c r="B17114" s="5" t="str">
        <f t="shared" si="875"/>
        <v>Silla para auditorio. Sistema de enganche; tela de polipropileno anti hongo, antiácaros y retardante de fuego</v>
      </c>
      <c r="C17114" s="6">
        <v>307000</v>
      </c>
      <c r="D17114" s="5" t="s">
        <v>816</v>
      </c>
      <c r="E17114" s="5" t="str">
        <f t="shared" si="874"/>
        <v>ELEMENTOS EN BODEGA USADOS</v>
      </c>
      <c r="F17114" s="5"/>
      <c r="G17114" s="5"/>
    </row>
    <row r="17115" spans="1:7" ht="58.5" customHeight="1" x14ac:dyDescent="0.25">
      <c r="A17115" s="5" t="str">
        <f>"H0032805"</f>
        <v>H0032805</v>
      </c>
      <c r="B17115" s="5" t="str">
        <f t="shared" si="875"/>
        <v>Silla para auditorio. Sistema de enganche; tela de polipropileno anti hongo, antiácaros y retardante de fuego</v>
      </c>
      <c r="C17115" s="6">
        <v>307000</v>
      </c>
      <c r="D17115" s="5" t="s">
        <v>816</v>
      </c>
      <c r="E17115" s="5" t="str">
        <f t="shared" si="874"/>
        <v>ELEMENTOS EN BODEGA USADOS</v>
      </c>
      <c r="F17115" s="5"/>
      <c r="G17115" s="5"/>
    </row>
    <row r="17116" spans="1:7" ht="58.5" customHeight="1" x14ac:dyDescent="0.25">
      <c r="A17116" s="5" t="str">
        <f>"H0032806"</f>
        <v>H0032806</v>
      </c>
      <c r="B17116" s="5" t="str">
        <f t="shared" si="875"/>
        <v>Silla para auditorio. Sistema de enganche; tela de polipropileno anti hongo, antiácaros y retardante de fuego</v>
      </c>
      <c r="C17116" s="6">
        <v>307000</v>
      </c>
      <c r="D17116" s="5" t="s">
        <v>816</v>
      </c>
      <c r="E17116" s="5" t="str">
        <f t="shared" si="874"/>
        <v>ELEMENTOS EN BODEGA USADOS</v>
      </c>
      <c r="F17116" s="5"/>
      <c r="G17116" s="5"/>
    </row>
    <row r="17117" spans="1:7" ht="58.5" customHeight="1" x14ac:dyDescent="0.25">
      <c r="A17117" s="5" t="str">
        <f>"H0032807"</f>
        <v>H0032807</v>
      </c>
      <c r="B17117" s="5" t="str">
        <f t="shared" si="875"/>
        <v>Silla para auditorio. Sistema de enganche; tela de polipropileno anti hongo, antiácaros y retardante de fuego</v>
      </c>
      <c r="C17117" s="6">
        <v>307000</v>
      </c>
      <c r="D17117" s="5" t="s">
        <v>816</v>
      </c>
      <c r="E17117" s="5" t="str">
        <f t="shared" si="874"/>
        <v>ELEMENTOS EN BODEGA USADOS</v>
      </c>
      <c r="F17117" s="5"/>
      <c r="G17117" s="5"/>
    </row>
    <row r="17118" spans="1:7" ht="58.5" customHeight="1" x14ac:dyDescent="0.25">
      <c r="A17118" s="5" t="str">
        <f>"H0032808"</f>
        <v>H0032808</v>
      </c>
      <c r="B17118" s="5" t="str">
        <f t="shared" si="875"/>
        <v>Silla para auditorio. Sistema de enganche; tela de polipropileno anti hongo, antiácaros y retardante de fuego</v>
      </c>
      <c r="C17118" s="6">
        <v>307000</v>
      </c>
      <c r="D17118" s="5" t="s">
        <v>816</v>
      </c>
      <c r="E17118" s="5" t="str">
        <f t="shared" si="874"/>
        <v>ELEMENTOS EN BODEGA USADOS</v>
      </c>
      <c r="F17118" s="5"/>
      <c r="G17118" s="5"/>
    </row>
    <row r="17119" spans="1:7" ht="58.5" customHeight="1" x14ac:dyDescent="0.25">
      <c r="A17119" s="5" t="str">
        <f>"H0032809"</f>
        <v>H0032809</v>
      </c>
      <c r="B17119" s="5" t="str">
        <f t="shared" si="875"/>
        <v>Silla para auditorio. Sistema de enganche; tela de polipropileno anti hongo, antiácaros y retardante de fuego</v>
      </c>
      <c r="C17119" s="6">
        <v>307000</v>
      </c>
      <c r="D17119" s="5" t="s">
        <v>816</v>
      </c>
      <c r="E17119" s="5" t="str">
        <f t="shared" si="874"/>
        <v>ELEMENTOS EN BODEGA USADOS</v>
      </c>
      <c r="F17119" s="5"/>
      <c r="G17119" s="5"/>
    </row>
    <row r="17120" spans="1:7" ht="58.5" customHeight="1" x14ac:dyDescent="0.25">
      <c r="A17120" s="5" t="str">
        <f>"H0032810"</f>
        <v>H0032810</v>
      </c>
      <c r="B17120" s="5" t="str">
        <f t="shared" ref="B17120:B17153" si="876">"Silla para auditorio. Sistema de enganche; tela de polipropileno anti hongo, antiácaros y retardante de fuego"</f>
        <v>Silla para auditorio. Sistema de enganche; tela de polipropileno anti hongo, antiácaros y retardante de fuego</v>
      </c>
      <c r="C17120" s="6">
        <v>307000</v>
      </c>
      <c r="D17120" s="5" t="s">
        <v>816</v>
      </c>
      <c r="E17120" s="5" t="str">
        <f t="shared" si="874"/>
        <v>ELEMENTOS EN BODEGA USADOS</v>
      </c>
      <c r="F17120" s="5"/>
      <c r="G17120" s="5"/>
    </row>
    <row r="17121" spans="1:7" ht="58.5" customHeight="1" x14ac:dyDescent="0.25">
      <c r="A17121" s="5" t="str">
        <f>"H0032811"</f>
        <v>H0032811</v>
      </c>
      <c r="B17121" s="5" t="str">
        <f t="shared" si="876"/>
        <v>Silla para auditorio. Sistema de enganche; tela de polipropileno anti hongo, antiácaros y retardante de fuego</v>
      </c>
      <c r="C17121" s="6">
        <v>307000</v>
      </c>
      <c r="D17121" s="5" t="s">
        <v>816</v>
      </c>
      <c r="E17121" s="5" t="str">
        <f t="shared" si="874"/>
        <v>ELEMENTOS EN BODEGA USADOS</v>
      </c>
      <c r="F17121" s="5"/>
      <c r="G17121" s="5"/>
    </row>
    <row r="17122" spans="1:7" ht="58.5" customHeight="1" x14ac:dyDescent="0.25">
      <c r="A17122" s="5" t="str">
        <f>"H0032812"</f>
        <v>H0032812</v>
      </c>
      <c r="B17122" s="5" t="str">
        <f t="shared" si="876"/>
        <v>Silla para auditorio. Sistema de enganche; tela de polipropileno anti hongo, antiácaros y retardante de fuego</v>
      </c>
      <c r="C17122" s="6">
        <v>307000</v>
      </c>
      <c r="D17122" s="5" t="s">
        <v>816</v>
      </c>
      <c r="E17122" s="5" t="str">
        <f t="shared" si="874"/>
        <v>ELEMENTOS EN BODEGA USADOS</v>
      </c>
      <c r="F17122" s="5"/>
      <c r="G17122" s="5"/>
    </row>
    <row r="17123" spans="1:7" ht="58.5" customHeight="1" x14ac:dyDescent="0.25">
      <c r="A17123" s="5" t="str">
        <f>"H0032813"</f>
        <v>H0032813</v>
      </c>
      <c r="B17123" s="5" t="str">
        <f t="shared" si="876"/>
        <v>Silla para auditorio. Sistema de enganche; tela de polipropileno anti hongo, antiácaros y retardante de fuego</v>
      </c>
      <c r="C17123" s="6">
        <v>307000</v>
      </c>
      <c r="D17123" s="5" t="s">
        <v>816</v>
      </c>
      <c r="E17123" s="5" t="str">
        <f t="shared" ref="E17123:E17186" si="877">"ELEMENTOS EN BODEGA USADOS"</f>
        <v>ELEMENTOS EN BODEGA USADOS</v>
      </c>
      <c r="F17123" s="5"/>
      <c r="G17123" s="5"/>
    </row>
    <row r="17124" spans="1:7" ht="58.5" customHeight="1" x14ac:dyDescent="0.25">
      <c r="A17124" s="5" t="str">
        <f>"H0032814"</f>
        <v>H0032814</v>
      </c>
      <c r="B17124" s="5" t="str">
        <f t="shared" si="876"/>
        <v>Silla para auditorio. Sistema de enganche; tela de polipropileno anti hongo, antiácaros y retardante de fuego</v>
      </c>
      <c r="C17124" s="6">
        <v>307000</v>
      </c>
      <c r="D17124" s="5" t="s">
        <v>816</v>
      </c>
      <c r="E17124" s="5" t="str">
        <f t="shared" si="877"/>
        <v>ELEMENTOS EN BODEGA USADOS</v>
      </c>
      <c r="F17124" s="5"/>
      <c r="G17124" s="5"/>
    </row>
    <row r="17125" spans="1:7" ht="58.5" customHeight="1" x14ac:dyDescent="0.25">
      <c r="A17125" s="5" t="str">
        <f>"H0032815"</f>
        <v>H0032815</v>
      </c>
      <c r="B17125" s="5" t="str">
        <f t="shared" si="876"/>
        <v>Silla para auditorio. Sistema de enganche; tela de polipropileno anti hongo, antiácaros y retardante de fuego</v>
      </c>
      <c r="C17125" s="6">
        <v>307000</v>
      </c>
      <c r="D17125" s="5" t="s">
        <v>816</v>
      </c>
      <c r="E17125" s="5" t="str">
        <f t="shared" si="877"/>
        <v>ELEMENTOS EN BODEGA USADOS</v>
      </c>
      <c r="F17125" s="5"/>
      <c r="G17125" s="5"/>
    </row>
    <row r="17126" spans="1:7" ht="58.5" customHeight="1" x14ac:dyDescent="0.25">
      <c r="A17126" s="5" t="str">
        <f>"H0032816"</f>
        <v>H0032816</v>
      </c>
      <c r="B17126" s="5" t="str">
        <f t="shared" si="876"/>
        <v>Silla para auditorio. Sistema de enganche; tela de polipropileno anti hongo, antiácaros y retardante de fuego</v>
      </c>
      <c r="C17126" s="6">
        <v>307000</v>
      </c>
      <c r="D17126" s="5" t="s">
        <v>816</v>
      </c>
      <c r="E17126" s="5" t="str">
        <f t="shared" si="877"/>
        <v>ELEMENTOS EN BODEGA USADOS</v>
      </c>
      <c r="F17126" s="5"/>
      <c r="G17126" s="5"/>
    </row>
    <row r="17127" spans="1:7" ht="58.5" customHeight="1" x14ac:dyDescent="0.25">
      <c r="A17127" s="5" t="str">
        <f>"H0032817"</f>
        <v>H0032817</v>
      </c>
      <c r="B17127" s="5" t="str">
        <f t="shared" si="876"/>
        <v>Silla para auditorio. Sistema de enganche; tela de polipropileno anti hongo, antiácaros y retardante de fuego</v>
      </c>
      <c r="C17127" s="6">
        <v>307000</v>
      </c>
      <c r="D17127" s="5" t="s">
        <v>816</v>
      </c>
      <c r="E17127" s="5" t="str">
        <f t="shared" si="877"/>
        <v>ELEMENTOS EN BODEGA USADOS</v>
      </c>
      <c r="F17127" s="5"/>
      <c r="G17127" s="5"/>
    </row>
    <row r="17128" spans="1:7" ht="58.5" customHeight="1" x14ac:dyDescent="0.25">
      <c r="A17128" s="5" t="str">
        <f>"H0032818"</f>
        <v>H0032818</v>
      </c>
      <c r="B17128" s="5" t="str">
        <f t="shared" si="876"/>
        <v>Silla para auditorio. Sistema de enganche; tela de polipropileno anti hongo, antiácaros y retardante de fuego</v>
      </c>
      <c r="C17128" s="6">
        <v>307000</v>
      </c>
      <c r="D17128" s="5" t="s">
        <v>816</v>
      </c>
      <c r="E17128" s="5" t="str">
        <f t="shared" si="877"/>
        <v>ELEMENTOS EN BODEGA USADOS</v>
      </c>
      <c r="F17128" s="5"/>
      <c r="G17128" s="5"/>
    </row>
    <row r="17129" spans="1:7" ht="58.5" customHeight="1" x14ac:dyDescent="0.25">
      <c r="A17129" s="5" t="str">
        <f>"H0032819"</f>
        <v>H0032819</v>
      </c>
      <c r="B17129" s="5" t="str">
        <f t="shared" si="876"/>
        <v>Silla para auditorio. Sistema de enganche; tela de polipropileno anti hongo, antiácaros y retardante de fuego</v>
      </c>
      <c r="C17129" s="6">
        <v>307000</v>
      </c>
      <c r="D17129" s="5" t="s">
        <v>816</v>
      </c>
      <c r="E17129" s="5" t="str">
        <f t="shared" si="877"/>
        <v>ELEMENTOS EN BODEGA USADOS</v>
      </c>
      <c r="F17129" s="5"/>
      <c r="G17129" s="5"/>
    </row>
    <row r="17130" spans="1:7" ht="58.5" customHeight="1" x14ac:dyDescent="0.25">
      <c r="A17130" s="5" t="str">
        <f>"H0032820"</f>
        <v>H0032820</v>
      </c>
      <c r="B17130" s="5" t="str">
        <f t="shared" si="876"/>
        <v>Silla para auditorio. Sistema de enganche; tela de polipropileno anti hongo, antiácaros y retardante de fuego</v>
      </c>
      <c r="C17130" s="6">
        <v>307000</v>
      </c>
      <c r="D17130" s="5" t="s">
        <v>816</v>
      </c>
      <c r="E17130" s="5" t="str">
        <f t="shared" si="877"/>
        <v>ELEMENTOS EN BODEGA USADOS</v>
      </c>
      <c r="F17130" s="5"/>
      <c r="G17130" s="5"/>
    </row>
    <row r="17131" spans="1:7" ht="58.5" customHeight="1" x14ac:dyDescent="0.25">
      <c r="A17131" s="5" t="str">
        <f>"H0032821"</f>
        <v>H0032821</v>
      </c>
      <c r="B17131" s="5" t="str">
        <f t="shared" si="876"/>
        <v>Silla para auditorio. Sistema de enganche; tela de polipropileno anti hongo, antiácaros y retardante de fuego</v>
      </c>
      <c r="C17131" s="6">
        <v>307000</v>
      </c>
      <c r="D17131" s="5" t="s">
        <v>816</v>
      </c>
      <c r="E17131" s="5" t="str">
        <f t="shared" si="877"/>
        <v>ELEMENTOS EN BODEGA USADOS</v>
      </c>
      <c r="F17131" s="5"/>
      <c r="G17131" s="5"/>
    </row>
    <row r="17132" spans="1:7" ht="58.5" customHeight="1" x14ac:dyDescent="0.25">
      <c r="A17132" s="5" t="str">
        <f>"H0032822"</f>
        <v>H0032822</v>
      </c>
      <c r="B17132" s="5" t="str">
        <f t="shared" si="876"/>
        <v>Silla para auditorio. Sistema de enganche; tela de polipropileno anti hongo, antiácaros y retardante de fuego</v>
      </c>
      <c r="C17132" s="6">
        <v>307000</v>
      </c>
      <c r="D17132" s="5" t="s">
        <v>816</v>
      </c>
      <c r="E17132" s="5" t="str">
        <f t="shared" si="877"/>
        <v>ELEMENTOS EN BODEGA USADOS</v>
      </c>
      <c r="F17132" s="5"/>
      <c r="G17132" s="5"/>
    </row>
    <row r="17133" spans="1:7" ht="58.5" customHeight="1" x14ac:dyDescent="0.25">
      <c r="A17133" s="5" t="str">
        <f>"H0032823"</f>
        <v>H0032823</v>
      </c>
      <c r="B17133" s="5" t="str">
        <f t="shared" si="876"/>
        <v>Silla para auditorio. Sistema de enganche; tela de polipropileno anti hongo, antiácaros y retardante de fuego</v>
      </c>
      <c r="C17133" s="6">
        <v>307000</v>
      </c>
      <c r="D17133" s="5" t="s">
        <v>816</v>
      </c>
      <c r="E17133" s="5" t="str">
        <f t="shared" si="877"/>
        <v>ELEMENTOS EN BODEGA USADOS</v>
      </c>
      <c r="F17133" s="5"/>
      <c r="G17133" s="5"/>
    </row>
    <row r="17134" spans="1:7" ht="58.5" customHeight="1" x14ac:dyDescent="0.25">
      <c r="A17134" s="5" t="str">
        <f>"H0032824"</f>
        <v>H0032824</v>
      </c>
      <c r="B17134" s="5" t="str">
        <f t="shared" si="876"/>
        <v>Silla para auditorio. Sistema de enganche; tela de polipropileno anti hongo, antiácaros y retardante de fuego</v>
      </c>
      <c r="C17134" s="6">
        <v>307000</v>
      </c>
      <c r="D17134" s="5" t="s">
        <v>816</v>
      </c>
      <c r="E17134" s="5" t="str">
        <f t="shared" si="877"/>
        <v>ELEMENTOS EN BODEGA USADOS</v>
      </c>
      <c r="F17134" s="5"/>
      <c r="G17134" s="5"/>
    </row>
    <row r="17135" spans="1:7" ht="58.5" customHeight="1" x14ac:dyDescent="0.25">
      <c r="A17135" s="5" t="str">
        <f>"H0032825"</f>
        <v>H0032825</v>
      </c>
      <c r="B17135" s="5" t="str">
        <f t="shared" si="876"/>
        <v>Silla para auditorio. Sistema de enganche; tela de polipropileno anti hongo, antiácaros y retardante de fuego</v>
      </c>
      <c r="C17135" s="6">
        <v>307000</v>
      </c>
      <c r="D17135" s="5" t="s">
        <v>816</v>
      </c>
      <c r="E17135" s="5" t="str">
        <f t="shared" si="877"/>
        <v>ELEMENTOS EN BODEGA USADOS</v>
      </c>
      <c r="F17135" s="5"/>
      <c r="G17135" s="5"/>
    </row>
    <row r="17136" spans="1:7" ht="58.5" customHeight="1" x14ac:dyDescent="0.25">
      <c r="A17136" s="5" t="str">
        <f>"H0032826"</f>
        <v>H0032826</v>
      </c>
      <c r="B17136" s="5" t="str">
        <f t="shared" si="876"/>
        <v>Silla para auditorio. Sistema de enganche; tela de polipropileno anti hongo, antiácaros y retardante de fuego</v>
      </c>
      <c r="C17136" s="6">
        <v>307000</v>
      </c>
      <c r="D17136" s="5" t="s">
        <v>816</v>
      </c>
      <c r="E17136" s="5" t="str">
        <f t="shared" si="877"/>
        <v>ELEMENTOS EN BODEGA USADOS</v>
      </c>
      <c r="F17136" s="5"/>
      <c r="G17136" s="5"/>
    </row>
    <row r="17137" spans="1:7" ht="58.5" customHeight="1" x14ac:dyDescent="0.25">
      <c r="A17137" s="5" t="str">
        <f>"H0032827"</f>
        <v>H0032827</v>
      </c>
      <c r="B17137" s="5" t="str">
        <f t="shared" si="876"/>
        <v>Silla para auditorio. Sistema de enganche; tela de polipropileno anti hongo, antiácaros y retardante de fuego</v>
      </c>
      <c r="C17137" s="6">
        <v>307000</v>
      </c>
      <c r="D17137" s="5" t="s">
        <v>816</v>
      </c>
      <c r="E17137" s="5" t="str">
        <f t="shared" si="877"/>
        <v>ELEMENTOS EN BODEGA USADOS</v>
      </c>
      <c r="F17137" s="5"/>
      <c r="G17137" s="5"/>
    </row>
    <row r="17138" spans="1:7" ht="58.5" customHeight="1" x14ac:dyDescent="0.25">
      <c r="A17138" s="5" t="str">
        <f>"H0032828"</f>
        <v>H0032828</v>
      </c>
      <c r="B17138" s="5" t="str">
        <f t="shared" si="876"/>
        <v>Silla para auditorio. Sistema de enganche; tela de polipropileno anti hongo, antiácaros y retardante de fuego</v>
      </c>
      <c r="C17138" s="6">
        <v>307000</v>
      </c>
      <c r="D17138" s="5" t="s">
        <v>816</v>
      </c>
      <c r="E17138" s="5" t="str">
        <f t="shared" si="877"/>
        <v>ELEMENTOS EN BODEGA USADOS</v>
      </c>
      <c r="F17138" s="5"/>
      <c r="G17138" s="5"/>
    </row>
    <row r="17139" spans="1:7" ht="58.5" customHeight="1" x14ac:dyDescent="0.25">
      <c r="A17139" s="5" t="str">
        <f>"H0032829"</f>
        <v>H0032829</v>
      </c>
      <c r="B17139" s="5" t="str">
        <f t="shared" si="876"/>
        <v>Silla para auditorio. Sistema de enganche; tela de polipropileno anti hongo, antiácaros y retardante de fuego</v>
      </c>
      <c r="C17139" s="6">
        <v>307000</v>
      </c>
      <c r="D17139" s="5" t="s">
        <v>816</v>
      </c>
      <c r="E17139" s="5" t="str">
        <f t="shared" si="877"/>
        <v>ELEMENTOS EN BODEGA USADOS</v>
      </c>
      <c r="F17139" s="5"/>
      <c r="G17139" s="5"/>
    </row>
    <row r="17140" spans="1:7" ht="58.5" customHeight="1" x14ac:dyDescent="0.25">
      <c r="A17140" s="5" t="str">
        <f>"H0032830"</f>
        <v>H0032830</v>
      </c>
      <c r="B17140" s="5" t="str">
        <f t="shared" si="876"/>
        <v>Silla para auditorio. Sistema de enganche; tela de polipropileno anti hongo, antiácaros y retardante de fuego</v>
      </c>
      <c r="C17140" s="6">
        <v>307000</v>
      </c>
      <c r="D17140" s="5" t="s">
        <v>816</v>
      </c>
      <c r="E17140" s="5" t="str">
        <f t="shared" si="877"/>
        <v>ELEMENTOS EN BODEGA USADOS</v>
      </c>
      <c r="F17140" s="5"/>
      <c r="G17140" s="5"/>
    </row>
    <row r="17141" spans="1:7" ht="58.5" customHeight="1" x14ac:dyDescent="0.25">
      <c r="A17141" s="5" t="str">
        <f>"H0032831"</f>
        <v>H0032831</v>
      </c>
      <c r="B17141" s="5" t="str">
        <f t="shared" si="876"/>
        <v>Silla para auditorio. Sistema de enganche; tela de polipropileno anti hongo, antiácaros y retardante de fuego</v>
      </c>
      <c r="C17141" s="6">
        <v>307000</v>
      </c>
      <c r="D17141" s="5" t="s">
        <v>816</v>
      </c>
      <c r="E17141" s="5" t="str">
        <f t="shared" si="877"/>
        <v>ELEMENTOS EN BODEGA USADOS</v>
      </c>
      <c r="F17141" s="5"/>
      <c r="G17141" s="5"/>
    </row>
    <row r="17142" spans="1:7" ht="58.5" customHeight="1" x14ac:dyDescent="0.25">
      <c r="A17142" s="5" t="str">
        <f>"H0032832"</f>
        <v>H0032832</v>
      </c>
      <c r="B17142" s="5" t="str">
        <f t="shared" si="876"/>
        <v>Silla para auditorio. Sistema de enganche; tela de polipropileno anti hongo, antiácaros y retardante de fuego</v>
      </c>
      <c r="C17142" s="6">
        <v>307000</v>
      </c>
      <c r="D17142" s="5" t="s">
        <v>816</v>
      </c>
      <c r="E17142" s="5" t="str">
        <f t="shared" si="877"/>
        <v>ELEMENTOS EN BODEGA USADOS</v>
      </c>
      <c r="F17142" s="5"/>
      <c r="G17142" s="5"/>
    </row>
    <row r="17143" spans="1:7" ht="58.5" customHeight="1" x14ac:dyDescent="0.25">
      <c r="A17143" s="5" t="str">
        <f>"H0032833"</f>
        <v>H0032833</v>
      </c>
      <c r="B17143" s="5" t="str">
        <f t="shared" si="876"/>
        <v>Silla para auditorio. Sistema de enganche; tela de polipropileno anti hongo, antiácaros y retardante de fuego</v>
      </c>
      <c r="C17143" s="6">
        <v>307000</v>
      </c>
      <c r="D17143" s="5" t="s">
        <v>816</v>
      </c>
      <c r="E17143" s="5" t="str">
        <f t="shared" si="877"/>
        <v>ELEMENTOS EN BODEGA USADOS</v>
      </c>
      <c r="F17143" s="5"/>
      <c r="G17143" s="5"/>
    </row>
    <row r="17144" spans="1:7" ht="58.5" customHeight="1" x14ac:dyDescent="0.25">
      <c r="A17144" s="5" t="str">
        <f>"H0032834"</f>
        <v>H0032834</v>
      </c>
      <c r="B17144" s="5" t="str">
        <f t="shared" si="876"/>
        <v>Silla para auditorio. Sistema de enganche; tela de polipropileno anti hongo, antiácaros y retardante de fuego</v>
      </c>
      <c r="C17144" s="6">
        <v>307000</v>
      </c>
      <c r="D17144" s="5" t="s">
        <v>816</v>
      </c>
      <c r="E17144" s="5" t="str">
        <f t="shared" si="877"/>
        <v>ELEMENTOS EN BODEGA USADOS</v>
      </c>
      <c r="F17144" s="5"/>
      <c r="G17144" s="5"/>
    </row>
    <row r="17145" spans="1:7" ht="58.5" customHeight="1" x14ac:dyDescent="0.25">
      <c r="A17145" s="5" t="str">
        <f>"H0032835"</f>
        <v>H0032835</v>
      </c>
      <c r="B17145" s="5" t="str">
        <f t="shared" si="876"/>
        <v>Silla para auditorio. Sistema de enganche; tela de polipropileno anti hongo, antiácaros y retardante de fuego</v>
      </c>
      <c r="C17145" s="6">
        <v>307000</v>
      </c>
      <c r="D17145" s="5" t="s">
        <v>816</v>
      </c>
      <c r="E17145" s="5" t="str">
        <f t="shared" si="877"/>
        <v>ELEMENTOS EN BODEGA USADOS</v>
      </c>
      <c r="F17145" s="5"/>
      <c r="G17145" s="5"/>
    </row>
    <row r="17146" spans="1:7" ht="58.5" customHeight="1" x14ac:dyDescent="0.25">
      <c r="A17146" s="5" t="str">
        <f>"H0032836"</f>
        <v>H0032836</v>
      </c>
      <c r="B17146" s="5" t="str">
        <f t="shared" si="876"/>
        <v>Silla para auditorio. Sistema de enganche; tela de polipropileno anti hongo, antiácaros y retardante de fuego</v>
      </c>
      <c r="C17146" s="6">
        <v>307000</v>
      </c>
      <c r="D17146" s="5" t="s">
        <v>816</v>
      </c>
      <c r="E17146" s="5" t="str">
        <f t="shared" si="877"/>
        <v>ELEMENTOS EN BODEGA USADOS</v>
      </c>
      <c r="F17146" s="5"/>
      <c r="G17146" s="5"/>
    </row>
    <row r="17147" spans="1:7" ht="58.5" customHeight="1" x14ac:dyDescent="0.25">
      <c r="A17147" s="5" t="str">
        <f>"H0032837"</f>
        <v>H0032837</v>
      </c>
      <c r="B17147" s="5" t="str">
        <f t="shared" si="876"/>
        <v>Silla para auditorio. Sistema de enganche; tela de polipropileno anti hongo, antiácaros y retardante de fuego</v>
      </c>
      <c r="C17147" s="6">
        <v>307000</v>
      </c>
      <c r="D17147" s="5" t="s">
        <v>816</v>
      </c>
      <c r="E17147" s="5" t="str">
        <f t="shared" si="877"/>
        <v>ELEMENTOS EN BODEGA USADOS</v>
      </c>
      <c r="F17147" s="5"/>
      <c r="G17147" s="5"/>
    </row>
    <row r="17148" spans="1:7" ht="58.5" customHeight="1" x14ac:dyDescent="0.25">
      <c r="A17148" s="5" t="str">
        <f>"H0032838"</f>
        <v>H0032838</v>
      </c>
      <c r="B17148" s="5" t="str">
        <f t="shared" si="876"/>
        <v>Silla para auditorio. Sistema de enganche; tela de polipropileno anti hongo, antiácaros y retardante de fuego</v>
      </c>
      <c r="C17148" s="6">
        <v>307000</v>
      </c>
      <c r="D17148" s="5" t="s">
        <v>816</v>
      </c>
      <c r="E17148" s="5" t="str">
        <f t="shared" si="877"/>
        <v>ELEMENTOS EN BODEGA USADOS</v>
      </c>
      <c r="F17148" s="5"/>
      <c r="G17148" s="5"/>
    </row>
    <row r="17149" spans="1:7" ht="58.5" customHeight="1" x14ac:dyDescent="0.25">
      <c r="A17149" s="5" t="str">
        <f>"H0032839"</f>
        <v>H0032839</v>
      </c>
      <c r="B17149" s="5" t="str">
        <f t="shared" si="876"/>
        <v>Silla para auditorio. Sistema de enganche; tela de polipropileno anti hongo, antiácaros y retardante de fuego</v>
      </c>
      <c r="C17149" s="6">
        <v>307000</v>
      </c>
      <c r="D17149" s="5" t="s">
        <v>816</v>
      </c>
      <c r="E17149" s="5" t="str">
        <f t="shared" si="877"/>
        <v>ELEMENTOS EN BODEGA USADOS</v>
      </c>
      <c r="F17149" s="5"/>
      <c r="G17149" s="5"/>
    </row>
    <row r="17150" spans="1:7" ht="58.5" customHeight="1" x14ac:dyDescent="0.25">
      <c r="A17150" s="5" t="str">
        <f>"H0032840"</f>
        <v>H0032840</v>
      </c>
      <c r="B17150" s="5" t="str">
        <f t="shared" si="876"/>
        <v>Silla para auditorio. Sistema de enganche; tela de polipropileno anti hongo, antiácaros y retardante de fuego</v>
      </c>
      <c r="C17150" s="6">
        <v>307000</v>
      </c>
      <c r="D17150" s="5" t="s">
        <v>816</v>
      </c>
      <c r="E17150" s="5" t="str">
        <f t="shared" si="877"/>
        <v>ELEMENTOS EN BODEGA USADOS</v>
      </c>
      <c r="F17150" s="5"/>
      <c r="G17150" s="5"/>
    </row>
    <row r="17151" spans="1:7" ht="58.5" customHeight="1" x14ac:dyDescent="0.25">
      <c r="A17151" s="5" t="str">
        <f>"H0032841"</f>
        <v>H0032841</v>
      </c>
      <c r="B17151" s="5" t="str">
        <f t="shared" si="876"/>
        <v>Silla para auditorio. Sistema de enganche; tela de polipropileno anti hongo, antiácaros y retardante de fuego</v>
      </c>
      <c r="C17151" s="6">
        <v>307000</v>
      </c>
      <c r="D17151" s="5" t="s">
        <v>816</v>
      </c>
      <c r="E17151" s="5" t="str">
        <f t="shared" si="877"/>
        <v>ELEMENTOS EN BODEGA USADOS</v>
      </c>
      <c r="F17151" s="5"/>
      <c r="G17151" s="5"/>
    </row>
    <row r="17152" spans="1:7" ht="58.5" customHeight="1" x14ac:dyDescent="0.25">
      <c r="A17152" s="5" t="str">
        <f>"H0032842"</f>
        <v>H0032842</v>
      </c>
      <c r="B17152" s="5" t="str">
        <f t="shared" si="876"/>
        <v>Silla para auditorio. Sistema de enganche; tela de polipropileno anti hongo, antiácaros y retardante de fuego</v>
      </c>
      <c r="C17152" s="6">
        <v>307000</v>
      </c>
      <c r="D17152" s="5" t="s">
        <v>816</v>
      </c>
      <c r="E17152" s="5" t="str">
        <f t="shared" si="877"/>
        <v>ELEMENTOS EN BODEGA USADOS</v>
      </c>
      <c r="F17152" s="5"/>
      <c r="G17152" s="5"/>
    </row>
    <row r="17153" spans="1:7" ht="58.5" customHeight="1" x14ac:dyDescent="0.25">
      <c r="A17153" s="5" t="str">
        <f>"H0032843"</f>
        <v>H0032843</v>
      </c>
      <c r="B17153" s="5" t="str">
        <f t="shared" si="876"/>
        <v>Silla para auditorio. Sistema de enganche; tela de polipropileno anti hongo, antiácaros y retardante de fuego</v>
      </c>
      <c r="C17153" s="6">
        <v>307000</v>
      </c>
      <c r="D17153" s="5" t="s">
        <v>816</v>
      </c>
      <c r="E17153" s="5" t="str">
        <f t="shared" si="877"/>
        <v>ELEMENTOS EN BODEGA USADOS</v>
      </c>
      <c r="F17153" s="5"/>
      <c r="G17153" s="5"/>
    </row>
    <row r="17154" spans="1:7" ht="58.5" customHeight="1" x14ac:dyDescent="0.25">
      <c r="A17154" s="5" t="str">
        <f>"H0032844"</f>
        <v>H0032844</v>
      </c>
      <c r="B17154" s="5" t="str">
        <f t="shared" ref="B17154:B17162" si="878">"BOMBA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154" s="6">
        <v>2533333</v>
      </c>
      <c r="D17154" s="5" t="s">
        <v>503</v>
      </c>
      <c r="E17154" s="5" t="str">
        <f t="shared" si="877"/>
        <v>ELEMENTOS EN BODEGA USADOS</v>
      </c>
      <c r="F17154" s="5"/>
      <c r="G17154" s="5"/>
    </row>
    <row r="17155" spans="1:7" ht="58.5" customHeight="1" x14ac:dyDescent="0.25">
      <c r="A17155" s="5" t="str">
        <f>"H0032845"</f>
        <v>H0032845</v>
      </c>
      <c r="B17155" s="5" t="str">
        <f t="shared" si="878"/>
        <v>BOMBA DE INFUSION. Apilables.5 modos. 01-1200 ml/h. 0.1 ml incr. Compatible con set de infusión genérico. anti-bolo. Detección de aire. Alarmas visuales audibles. Bitacora 1.000 reg. Batería de litio</v>
      </c>
      <c r="C17155" s="6">
        <v>2533333</v>
      </c>
      <c r="D17155" s="5" t="s">
        <v>503</v>
      </c>
      <c r="E17155" s="5" t="str">
        <f t="shared" si="877"/>
        <v>ELEMENTOS EN BODEGA USADOS</v>
      </c>
      <c r="F17155" s="5"/>
      <c r="G17155" s="5"/>
    </row>
    <row r="17156" spans="1:7" ht="58.5" customHeight="1" x14ac:dyDescent="0.25">
      <c r="A17156" s="5" t="str">
        <f>"H0032846"</f>
        <v>H0032846</v>
      </c>
      <c r="B17156" s="5" t="str">
        <f t="shared" si="878"/>
        <v>BOMBA DE INFUSION. Apilables.5 modos. 01-1200 ml/h. 0.1 ml incr. Compatible con set de infusión genérico. anti-bolo. Detección de aire. Alarmas visuales audibles. Bitacora 1.000 reg. Batería de litio</v>
      </c>
      <c r="C17156" s="6">
        <v>2533333</v>
      </c>
      <c r="D17156" s="5" t="s">
        <v>503</v>
      </c>
      <c r="E17156" s="5" t="str">
        <f t="shared" si="877"/>
        <v>ELEMENTOS EN BODEGA USADOS</v>
      </c>
      <c r="F17156" s="5"/>
      <c r="G17156" s="5"/>
    </row>
    <row r="17157" spans="1:7" ht="58.5" customHeight="1" x14ac:dyDescent="0.25">
      <c r="A17157" s="5" t="str">
        <f>"H0032848"</f>
        <v>H0032848</v>
      </c>
      <c r="B17157" s="5" t="str">
        <f t="shared" si="878"/>
        <v>BOMBA DE INFUSION. Apilables.5 modos. 01-1200 ml/h. 0.1 ml incr. Compatible con set de infusión genérico. anti-bolo. Detección de aire. Alarmas visuales audibles. Bitacora 1.000 reg. Batería de litio</v>
      </c>
      <c r="C17157" s="6">
        <v>2533333</v>
      </c>
      <c r="D17157" s="5" t="s">
        <v>503</v>
      </c>
      <c r="E17157" s="5" t="str">
        <f t="shared" si="877"/>
        <v>ELEMENTOS EN BODEGA USADOS</v>
      </c>
      <c r="F17157" s="5"/>
      <c r="G17157" s="5"/>
    </row>
    <row r="17158" spans="1:7" ht="58.5" customHeight="1" x14ac:dyDescent="0.25">
      <c r="A17158" s="5" t="str">
        <f>"H0032849"</f>
        <v>H0032849</v>
      </c>
      <c r="B17158" s="5" t="str">
        <f t="shared" si="878"/>
        <v>BOMBA DE INFUSION. Apilables.5 modos. 01-1200 ml/h. 0.1 ml incr. Compatible con set de infusión genérico. anti-bolo. Detección de aire. Alarmas visuales audibles. Bitacora 1.000 reg. Batería de litio</v>
      </c>
      <c r="C17158" s="6">
        <v>2533333</v>
      </c>
      <c r="D17158" s="5" t="s">
        <v>503</v>
      </c>
      <c r="E17158" s="5" t="str">
        <f t="shared" si="877"/>
        <v>ELEMENTOS EN BODEGA USADOS</v>
      </c>
      <c r="F17158" s="5"/>
      <c r="G17158" s="5"/>
    </row>
    <row r="17159" spans="1:7" ht="58.5" customHeight="1" x14ac:dyDescent="0.25">
      <c r="A17159" s="5" t="str">
        <f>"H0032850"</f>
        <v>H0032850</v>
      </c>
      <c r="B17159" s="5" t="str">
        <f t="shared" si="878"/>
        <v>BOMBA DE INFUSION. Apilables.5 modos. 01-1200 ml/h. 0.1 ml incr. Compatible con set de infusión genérico. anti-bolo. Detección de aire. Alarmas visuales audibles. Bitacora 1.000 reg. Batería de litio</v>
      </c>
      <c r="C17159" s="6">
        <v>2533333</v>
      </c>
      <c r="D17159" s="5" t="s">
        <v>503</v>
      </c>
      <c r="E17159" s="5" t="str">
        <f t="shared" si="877"/>
        <v>ELEMENTOS EN BODEGA USADOS</v>
      </c>
      <c r="F17159" s="5"/>
      <c r="G17159" s="5"/>
    </row>
    <row r="17160" spans="1:7" ht="58.5" customHeight="1" x14ac:dyDescent="0.25">
      <c r="A17160" s="5" t="str">
        <f>"H0032852"</f>
        <v>H0032852</v>
      </c>
      <c r="B17160" s="5" t="str">
        <f t="shared" si="878"/>
        <v>BOMBA DE INFUSION. Apilables.5 modos. 01-1200 ml/h. 0.1 ml incr. Compatible con set de infusión genérico. anti-bolo. Detección de aire. Alarmas visuales audibles. Bitacora 1.000 reg. Batería de litio</v>
      </c>
      <c r="C17160" s="6">
        <v>2533333</v>
      </c>
      <c r="D17160" s="5" t="s">
        <v>503</v>
      </c>
      <c r="E17160" s="5" t="str">
        <f t="shared" si="877"/>
        <v>ELEMENTOS EN BODEGA USADOS</v>
      </c>
      <c r="F17160" s="5"/>
      <c r="G17160" s="5"/>
    </row>
    <row r="17161" spans="1:7" ht="58.5" customHeight="1" x14ac:dyDescent="0.25">
      <c r="A17161" s="5" t="str">
        <f>"H0032853"</f>
        <v>H0032853</v>
      </c>
      <c r="B17161" s="5" t="str">
        <f t="shared" si="878"/>
        <v>BOMBA DE INFUSION. Apilables.5 modos. 01-1200 ml/h. 0.1 ml incr. Compatible con set de infusión genérico. anti-bolo. Detección de aire. Alarmas visuales audibles. Bitacora 1.000 reg. Batería de litio</v>
      </c>
      <c r="C17161" s="6">
        <v>2533333</v>
      </c>
      <c r="D17161" s="5" t="s">
        <v>503</v>
      </c>
      <c r="E17161" s="5" t="str">
        <f t="shared" si="877"/>
        <v>ELEMENTOS EN BODEGA USADOS</v>
      </c>
      <c r="F17161" s="5"/>
      <c r="G17161" s="5"/>
    </row>
    <row r="17162" spans="1:7" ht="58.5" customHeight="1" x14ac:dyDescent="0.25">
      <c r="A17162" s="5" t="str">
        <f>"H0032854"</f>
        <v>H0032854</v>
      </c>
      <c r="B17162" s="5" t="str">
        <f t="shared" si="878"/>
        <v>BOMBA DE INFUSION. Apilables.5 modos. 01-1200 ml/h. 0.1 ml incr. Compatible con set de infusión genérico. anti-bolo. Detección de aire. Alarmas visuales audibles. Bitacora 1.000 reg. Batería de litio</v>
      </c>
      <c r="C17162" s="6">
        <v>2533333</v>
      </c>
      <c r="D17162" s="5" t="s">
        <v>503</v>
      </c>
      <c r="E17162" s="5" t="str">
        <f t="shared" si="877"/>
        <v>ELEMENTOS EN BODEGA USADOS</v>
      </c>
      <c r="F17162" s="5"/>
      <c r="G17162" s="5"/>
    </row>
    <row r="17163" spans="1:7" ht="58.5" customHeight="1" x14ac:dyDescent="0.25">
      <c r="A17163" s="5" t="str">
        <f>"H0032900"</f>
        <v>H0032900</v>
      </c>
      <c r="B17163" s="5" t="str">
        <f>"ECHO SCREEN EQUIPO DE DIAGNOSTICO AUDITIVO (DONACION)"</f>
        <v>ECHO SCREEN EQUIPO DE DIAGNOSTICO AUDITIVO (DONACION)</v>
      </c>
      <c r="C17163" s="6">
        <v>88796301</v>
      </c>
      <c r="D17163" s="5" t="s">
        <v>718</v>
      </c>
      <c r="E17163" s="5" t="str">
        <f t="shared" si="877"/>
        <v>ELEMENTOS EN BODEGA USADOS</v>
      </c>
      <c r="F17163" s="5"/>
      <c r="G17163" s="5"/>
    </row>
    <row r="17164" spans="1:7" ht="58.5" customHeight="1" x14ac:dyDescent="0.25">
      <c r="A17164" s="5" t="str">
        <f>"H0033049"</f>
        <v>H0033049</v>
      </c>
      <c r="B17164" s="5" t="str">
        <f>"MONITOR DE SIGNOS VITALES"</f>
        <v>MONITOR DE SIGNOS VITALES</v>
      </c>
      <c r="C17164" s="6">
        <v>9470000</v>
      </c>
      <c r="D17164" s="5" t="s">
        <v>119</v>
      </c>
      <c r="E17164" s="5" t="str">
        <f t="shared" si="877"/>
        <v>ELEMENTOS EN BODEGA USADOS</v>
      </c>
      <c r="F17164" s="5"/>
      <c r="G17164" s="5"/>
    </row>
    <row r="17165" spans="1:7" ht="58.5" customHeight="1" x14ac:dyDescent="0.25">
      <c r="A17165" s="5" t="str">
        <f>"H0033051"</f>
        <v>H0033051</v>
      </c>
      <c r="B17165" s="5" t="str">
        <f>"MONITOR DE SIGNOS VITALES"</f>
        <v>MONITOR DE SIGNOS VITALES</v>
      </c>
      <c r="C17165" s="6">
        <v>9470000</v>
      </c>
      <c r="D17165" s="5" t="s">
        <v>119</v>
      </c>
      <c r="E17165" s="5" t="str">
        <f t="shared" si="877"/>
        <v>ELEMENTOS EN BODEGA USADOS</v>
      </c>
      <c r="F17165" s="5"/>
      <c r="G17165" s="5"/>
    </row>
    <row r="17166" spans="1:7" ht="58.5" customHeight="1" x14ac:dyDescent="0.25">
      <c r="A17166" s="5" t="str">
        <f>"H0033053"</f>
        <v>H0033053</v>
      </c>
      <c r="B17166" s="5" t="str">
        <f>"MONITOR DE SIGNOS VITALES"</f>
        <v>MONITOR DE SIGNOS VITALES</v>
      </c>
      <c r="C17166" s="6">
        <v>9470000</v>
      </c>
      <c r="D17166" s="5" t="s">
        <v>119</v>
      </c>
      <c r="E17166" s="5" t="str">
        <f t="shared" si="877"/>
        <v>ELEMENTOS EN BODEGA USADOS</v>
      </c>
      <c r="F17166" s="5"/>
      <c r="G17166" s="5"/>
    </row>
    <row r="17167" spans="1:7" ht="58.5" customHeight="1" x14ac:dyDescent="0.25">
      <c r="A17167" s="5" t="str">
        <f>"H0033058"</f>
        <v>H0033058</v>
      </c>
      <c r="B17167" s="5" t="str">
        <f>"MONITOR DE SIGNOS VITALES"</f>
        <v>MONITOR DE SIGNOS VITALES</v>
      </c>
      <c r="C17167" s="6">
        <v>9470000</v>
      </c>
      <c r="D17167" s="5" t="s">
        <v>119</v>
      </c>
      <c r="E17167" s="5" t="str">
        <f t="shared" si="877"/>
        <v>ELEMENTOS EN BODEGA USADOS</v>
      </c>
      <c r="F17167" s="5"/>
      <c r="G17167" s="5"/>
    </row>
    <row r="17168" spans="1:7" ht="58.5" customHeight="1" x14ac:dyDescent="0.25">
      <c r="A17168" s="5" t="str">
        <f>"H0033075"</f>
        <v>H0033075</v>
      </c>
      <c r="B17168" s="5" t="str">
        <f>"MONITOR DE SIGNOS VITALES"</f>
        <v>MONITOR DE SIGNOS VITALES</v>
      </c>
      <c r="C17168" s="6">
        <v>9470000</v>
      </c>
      <c r="D17168" s="5" t="s">
        <v>119</v>
      </c>
      <c r="E17168" s="5" t="str">
        <f t="shared" si="877"/>
        <v>ELEMENTOS EN BODEGA USADOS</v>
      </c>
      <c r="F17168" s="5"/>
      <c r="G17168" s="5"/>
    </row>
    <row r="17169" spans="1:7" ht="58.5" customHeight="1" x14ac:dyDescent="0.25">
      <c r="A17169" s="5" t="str">
        <f>"H0033076"</f>
        <v>H0033076</v>
      </c>
      <c r="B17169" s="5" t="str">
        <f>"TORRES DE APILAMIENTO DE BOMBAS DE INFUSION"</f>
        <v>TORRES DE APILAMIENTO DE BOMBAS DE INFUSION</v>
      </c>
      <c r="C17169" s="6">
        <v>1404200</v>
      </c>
      <c r="D17169" s="5" t="s">
        <v>157</v>
      </c>
      <c r="E17169" s="5" t="str">
        <f t="shared" si="877"/>
        <v>ELEMENTOS EN BODEGA USADOS</v>
      </c>
      <c r="F17169" s="5"/>
      <c r="G17169" s="5"/>
    </row>
    <row r="17170" spans="1:7" ht="58.5" customHeight="1" x14ac:dyDescent="0.25">
      <c r="A17170" s="5" t="str">
        <f>"H0033088"</f>
        <v>H0033088</v>
      </c>
      <c r="B17170" s="5" t="str">
        <f t="shared" ref="B17170:B17178" si="879">"MONITOR DE SIGNOS VITALES"</f>
        <v>MONITOR DE SIGNOS VITALES</v>
      </c>
      <c r="C17170" s="6">
        <v>9470000</v>
      </c>
      <c r="D17170" s="5" t="s">
        <v>119</v>
      </c>
      <c r="E17170" s="5" t="str">
        <f t="shared" si="877"/>
        <v>ELEMENTOS EN BODEGA USADOS</v>
      </c>
      <c r="F17170" s="5"/>
      <c r="G17170" s="5"/>
    </row>
    <row r="17171" spans="1:7" ht="58.5" customHeight="1" x14ac:dyDescent="0.25">
      <c r="A17171" s="5" t="str">
        <f>"H0033089"</f>
        <v>H0033089</v>
      </c>
      <c r="B17171" s="5" t="str">
        <f t="shared" si="879"/>
        <v>MONITOR DE SIGNOS VITALES</v>
      </c>
      <c r="C17171" s="6">
        <v>9470000</v>
      </c>
      <c r="D17171" s="5" t="s">
        <v>119</v>
      </c>
      <c r="E17171" s="5" t="str">
        <f t="shared" si="877"/>
        <v>ELEMENTOS EN BODEGA USADOS</v>
      </c>
      <c r="F17171" s="5"/>
      <c r="G17171" s="5"/>
    </row>
    <row r="17172" spans="1:7" ht="58.5" customHeight="1" x14ac:dyDescent="0.25">
      <c r="A17172" s="5" t="str">
        <f>"H0033090"</f>
        <v>H0033090</v>
      </c>
      <c r="B17172" s="5" t="str">
        <f t="shared" si="879"/>
        <v>MONITOR DE SIGNOS VITALES</v>
      </c>
      <c r="C17172" s="6">
        <v>9470000</v>
      </c>
      <c r="D17172" s="5" t="s">
        <v>119</v>
      </c>
      <c r="E17172" s="5" t="str">
        <f t="shared" si="877"/>
        <v>ELEMENTOS EN BODEGA USADOS</v>
      </c>
      <c r="F17172" s="5"/>
      <c r="G17172" s="5"/>
    </row>
    <row r="17173" spans="1:7" ht="58.5" customHeight="1" x14ac:dyDescent="0.25">
      <c r="A17173" s="5" t="str">
        <f>"H0033095"</f>
        <v>H0033095</v>
      </c>
      <c r="B17173" s="5" t="str">
        <f t="shared" si="879"/>
        <v>MONITOR DE SIGNOS VITALES</v>
      </c>
      <c r="C17173" s="6">
        <v>9470000</v>
      </c>
      <c r="D17173" s="5" t="s">
        <v>119</v>
      </c>
      <c r="E17173" s="5" t="str">
        <f t="shared" si="877"/>
        <v>ELEMENTOS EN BODEGA USADOS</v>
      </c>
      <c r="F17173" s="5"/>
      <c r="G17173" s="5"/>
    </row>
    <row r="17174" spans="1:7" ht="58.5" customHeight="1" x14ac:dyDescent="0.25">
      <c r="A17174" s="5" t="str">
        <f>"H0033096"</f>
        <v>H0033096</v>
      </c>
      <c r="B17174" s="5" t="str">
        <f t="shared" si="879"/>
        <v>MONITOR DE SIGNOS VITALES</v>
      </c>
      <c r="C17174" s="6">
        <v>9470000</v>
      </c>
      <c r="D17174" s="5" t="s">
        <v>119</v>
      </c>
      <c r="E17174" s="5" t="str">
        <f t="shared" si="877"/>
        <v>ELEMENTOS EN BODEGA USADOS</v>
      </c>
      <c r="F17174" s="5"/>
      <c r="G17174" s="5"/>
    </row>
    <row r="17175" spans="1:7" ht="58.5" customHeight="1" x14ac:dyDescent="0.25">
      <c r="A17175" s="5" t="str">
        <f>"H0033097"</f>
        <v>H0033097</v>
      </c>
      <c r="B17175" s="5" t="str">
        <f t="shared" si="879"/>
        <v>MONITOR DE SIGNOS VITALES</v>
      </c>
      <c r="C17175" s="6">
        <v>9470000</v>
      </c>
      <c r="D17175" s="5" t="s">
        <v>119</v>
      </c>
      <c r="E17175" s="5" t="str">
        <f t="shared" si="877"/>
        <v>ELEMENTOS EN BODEGA USADOS</v>
      </c>
      <c r="F17175" s="5"/>
      <c r="G17175" s="5"/>
    </row>
    <row r="17176" spans="1:7" ht="58.5" customHeight="1" x14ac:dyDescent="0.25">
      <c r="A17176" s="5" t="str">
        <f>"H0033103"</f>
        <v>H0033103</v>
      </c>
      <c r="B17176" s="5" t="str">
        <f t="shared" si="879"/>
        <v>MONITOR DE SIGNOS VITALES</v>
      </c>
      <c r="C17176" s="6">
        <v>9470000</v>
      </c>
      <c r="D17176" s="5" t="s">
        <v>119</v>
      </c>
      <c r="E17176" s="5" t="str">
        <f t="shared" si="877"/>
        <v>ELEMENTOS EN BODEGA USADOS</v>
      </c>
      <c r="F17176" s="5"/>
      <c r="G17176" s="5"/>
    </row>
    <row r="17177" spans="1:7" ht="58.5" customHeight="1" x14ac:dyDescent="0.25">
      <c r="A17177" s="5" t="str">
        <f>"H0033104"</f>
        <v>H0033104</v>
      </c>
      <c r="B17177" s="5" t="str">
        <f t="shared" si="879"/>
        <v>MONITOR DE SIGNOS VITALES</v>
      </c>
      <c r="C17177" s="6">
        <v>9470000</v>
      </c>
      <c r="D17177" s="5" t="s">
        <v>119</v>
      </c>
      <c r="E17177" s="5" t="str">
        <f t="shared" si="877"/>
        <v>ELEMENTOS EN BODEGA USADOS</v>
      </c>
      <c r="F17177" s="5"/>
      <c r="G17177" s="5"/>
    </row>
    <row r="17178" spans="1:7" ht="58.5" customHeight="1" x14ac:dyDescent="0.25">
      <c r="A17178" s="5" t="str">
        <f>"H0033112"</f>
        <v>H0033112</v>
      </c>
      <c r="B17178" s="5" t="str">
        <f t="shared" si="879"/>
        <v>MONITOR DE SIGNOS VITALES</v>
      </c>
      <c r="C17178" s="6">
        <v>9470000</v>
      </c>
      <c r="D17178" s="5" t="s">
        <v>119</v>
      </c>
      <c r="E17178" s="5" t="str">
        <f t="shared" si="877"/>
        <v>ELEMENTOS EN BODEGA USADOS</v>
      </c>
      <c r="F17178" s="5"/>
      <c r="G17178" s="5"/>
    </row>
    <row r="17179" spans="1:7" ht="58.5" customHeight="1" x14ac:dyDescent="0.25">
      <c r="A17179" s="5" t="str">
        <f>"H0033118"</f>
        <v>H0033118</v>
      </c>
      <c r="B17179" s="5" t="str">
        <f t="shared" ref="B17179:B17210" si="880">"BOMBA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179" s="6">
        <v>2533333</v>
      </c>
      <c r="D17179" s="5" t="s">
        <v>157</v>
      </c>
      <c r="E17179" s="5" t="str">
        <f t="shared" si="877"/>
        <v>ELEMENTOS EN BODEGA USADOS</v>
      </c>
      <c r="F17179" s="5"/>
      <c r="G17179" s="5"/>
    </row>
    <row r="17180" spans="1:7" ht="58.5" customHeight="1" x14ac:dyDescent="0.25">
      <c r="A17180" s="5" t="str">
        <f>"H0033119"</f>
        <v>H0033119</v>
      </c>
      <c r="B17180" s="5" t="str">
        <f t="shared" si="880"/>
        <v>BOMBA DE INFUSION. Apilables.5 modos. 01-1200 ml/h. 0.1 ml incr. Compatible con set de infusión genérico. anti-bolo. Detección de aire. Alarmas visuales audibles. Bitacora 1.000 reg. Batería de litio</v>
      </c>
      <c r="C17180" s="6">
        <v>2533333</v>
      </c>
      <c r="D17180" s="5" t="s">
        <v>157</v>
      </c>
      <c r="E17180" s="5" t="str">
        <f t="shared" si="877"/>
        <v>ELEMENTOS EN BODEGA USADOS</v>
      </c>
      <c r="F17180" s="5"/>
      <c r="G17180" s="5"/>
    </row>
    <row r="17181" spans="1:7" ht="58.5" customHeight="1" x14ac:dyDescent="0.25">
      <c r="A17181" s="5" t="str">
        <f>"H0033123"</f>
        <v>H0033123</v>
      </c>
      <c r="B17181" s="5" t="str">
        <f t="shared" si="880"/>
        <v>BOMBA DE INFUSION. Apilables.5 modos. 01-1200 ml/h. 0.1 ml incr. Compatible con set de infusión genérico. anti-bolo. Detección de aire. Alarmas visuales audibles. Bitacora 1.000 reg. Batería de litio</v>
      </c>
      <c r="C17181" s="6">
        <v>2533333</v>
      </c>
      <c r="D17181" s="5" t="s">
        <v>157</v>
      </c>
      <c r="E17181" s="5" t="str">
        <f t="shared" si="877"/>
        <v>ELEMENTOS EN BODEGA USADOS</v>
      </c>
      <c r="F17181" s="5"/>
      <c r="G17181" s="5"/>
    </row>
    <row r="17182" spans="1:7" ht="58.5" customHeight="1" x14ac:dyDescent="0.25">
      <c r="A17182" s="5" t="str">
        <f>"H0033126"</f>
        <v>H0033126</v>
      </c>
      <c r="B17182" s="5" t="str">
        <f t="shared" si="880"/>
        <v>BOMBA DE INFUSION. Apilables.5 modos. 01-1200 ml/h. 0.1 ml incr. Compatible con set de infusión genérico. anti-bolo. Detección de aire. Alarmas visuales audibles. Bitacora 1.000 reg. Batería de litio</v>
      </c>
      <c r="C17182" s="6">
        <v>2533333</v>
      </c>
      <c r="D17182" s="5" t="s">
        <v>157</v>
      </c>
      <c r="E17182" s="5" t="str">
        <f t="shared" si="877"/>
        <v>ELEMENTOS EN BODEGA USADOS</v>
      </c>
      <c r="F17182" s="5"/>
      <c r="G17182" s="5"/>
    </row>
    <row r="17183" spans="1:7" ht="58.5" customHeight="1" x14ac:dyDescent="0.25">
      <c r="A17183" s="5" t="str">
        <f>"H0033146"</f>
        <v>H0033146</v>
      </c>
      <c r="B17183" s="5" t="str">
        <f t="shared" si="880"/>
        <v>BOMBA DE INFUSION. Apilables.5 modos. 01-1200 ml/h. 0.1 ml incr. Compatible con set de infusión genérico. anti-bolo. Detección de aire. Alarmas visuales audibles. Bitacora 1.000 reg. Batería de litio</v>
      </c>
      <c r="C17183" s="6">
        <v>2533333</v>
      </c>
      <c r="D17183" s="5" t="s">
        <v>157</v>
      </c>
      <c r="E17183" s="5" t="str">
        <f t="shared" si="877"/>
        <v>ELEMENTOS EN BODEGA USADOS</v>
      </c>
      <c r="F17183" s="5"/>
      <c r="G17183" s="5"/>
    </row>
    <row r="17184" spans="1:7" ht="58.5" customHeight="1" x14ac:dyDescent="0.25">
      <c r="A17184" s="5" t="str">
        <f>"H0033149"</f>
        <v>H0033149</v>
      </c>
      <c r="B17184" s="5" t="str">
        <f t="shared" si="880"/>
        <v>BOMBA DE INFUSION. Apilables.5 modos. 01-1200 ml/h. 0.1 ml incr. Compatible con set de infusión genérico. anti-bolo. Detección de aire. Alarmas visuales audibles. Bitacora 1.000 reg. Batería de litio</v>
      </c>
      <c r="C17184" s="6">
        <v>2533333</v>
      </c>
      <c r="D17184" s="5" t="s">
        <v>157</v>
      </c>
      <c r="E17184" s="5" t="str">
        <f t="shared" si="877"/>
        <v>ELEMENTOS EN BODEGA USADOS</v>
      </c>
      <c r="F17184" s="5"/>
      <c r="G17184" s="5"/>
    </row>
    <row r="17185" spans="1:7" ht="58.5" customHeight="1" x14ac:dyDescent="0.25">
      <c r="A17185" s="5" t="str">
        <f>"H0033151"</f>
        <v>H0033151</v>
      </c>
      <c r="B17185" s="5" t="str">
        <f t="shared" si="880"/>
        <v>BOMBA DE INFUSION. Apilables.5 modos. 01-1200 ml/h. 0.1 ml incr. Compatible con set de infusión genérico. anti-bolo. Detección de aire. Alarmas visuales audibles. Bitacora 1.000 reg. Batería de litio</v>
      </c>
      <c r="C17185" s="6">
        <v>2533333</v>
      </c>
      <c r="D17185" s="5" t="s">
        <v>157</v>
      </c>
      <c r="E17185" s="5" t="str">
        <f t="shared" si="877"/>
        <v>ELEMENTOS EN BODEGA USADOS</v>
      </c>
      <c r="F17185" s="5"/>
      <c r="G17185" s="5"/>
    </row>
    <row r="17186" spans="1:7" ht="58.5" customHeight="1" x14ac:dyDescent="0.25">
      <c r="A17186" s="5" t="str">
        <f>"H0033153"</f>
        <v>H0033153</v>
      </c>
      <c r="B17186" s="5" t="str">
        <f t="shared" si="880"/>
        <v>BOMBA DE INFUSION. Apilables.5 modos. 01-1200 ml/h. 0.1 ml incr. Compatible con set de infusión genérico. anti-bolo. Detección de aire. Alarmas visuales audibles. Bitacora 1.000 reg. Batería de litio</v>
      </c>
      <c r="C17186" s="6">
        <v>2533333</v>
      </c>
      <c r="D17186" s="5" t="s">
        <v>157</v>
      </c>
      <c r="E17186" s="5" t="str">
        <f t="shared" si="877"/>
        <v>ELEMENTOS EN BODEGA USADOS</v>
      </c>
      <c r="F17186" s="5"/>
      <c r="G17186" s="5"/>
    </row>
    <row r="17187" spans="1:7" ht="58.5" customHeight="1" x14ac:dyDescent="0.25">
      <c r="A17187" s="5" t="str">
        <f>"H0033157"</f>
        <v>H0033157</v>
      </c>
      <c r="B17187" s="5" t="str">
        <f t="shared" si="880"/>
        <v>BOMBA DE INFUSION. Apilables.5 modos. 01-1200 ml/h. 0.1 ml incr. Compatible con set de infusión genérico. anti-bolo. Detección de aire. Alarmas visuales audibles. Bitacora 1.000 reg. Batería de litio</v>
      </c>
      <c r="C17187" s="6">
        <v>2533333</v>
      </c>
      <c r="D17187" s="5" t="s">
        <v>157</v>
      </c>
      <c r="E17187" s="5" t="str">
        <f t="shared" ref="E17187:E17250" si="881">"ELEMENTOS EN BODEGA USADOS"</f>
        <v>ELEMENTOS EN BODEGA USADOS</v>
      </c>
      <c r="F17187" s="5"/>
      <c r="G17187" s="5"/>
    </row>
    <row r="17188" spans="1:7" ht="58.5" customHeight="1" x14ac:dyDescent="0.25">
      <c r="A17188" s="5" t="str">
        <f>"H0033158"</f>
        <v>H0033158</v>
      </c>
      <c r="B17188" s="5" t="str">
        <f t="shared" si="880"/>
        <v>BOMBA DE INFUSION. Apilables.5 modos. 01-1200 ml/h. 0.1 ml incr. Compatible con set de infusión genérico. anti-bolo. Detección de aire. Alarmas visuales audibles. Bitacora 1.000 reg. Batería de litio</v>
      </c>
      <c r="C17188" s="6">
        <v>2533333</v>
      </c>
      <c r="D17188" s="5" t="s">
        <v>157</v>
      </c>
      <c r="E17188" s="5" t="str">
        <f t="shared" si="881"/>
        <v>ELEMENTOS EN BODEGA USADOS</v>
      </c>
      <c r="F17188" s="5"/>
      <c r="G17188" s="5"/>
    </row>
    <row r="17189" spans="1:7" ht="58.5" customHeight="1" x14ac:dyDescent="0.25">
      <c r="A17189" s="5" t="str">
        <f>"H0033162"</f>
        <v>H0033162</v>
      </c>
      <c r="B17189" s="5" t="str">
        <f t="shared" si="880"/>
        <v>BOMBA DE INFUSION. Apilables.5 modos. 01-1200 ml/h. 0.1 ml incr. Compatible con set de infusión genérico. anti-bolo. Detección de aire. Alarmas visuales audibles. Bitacora 1.000 reg. Batería de litio</v>
      </c>
      <c r="C17189" s="6">
        <v>2533333</v>
      </c>
      <c r="D17189" s="5" t="s">
        <v>157</v>
      </c>
      <c r="E17189" s="5" t="str">
        <f t="shared" si="881"/>
        <v>ELEMENTOS EN BODEGA USADOS</v>
      </c>
      <c r="F17189" s="5"/>
      <c r="G17189" s="5"/>
    </row>
    <row r="17190" spans="1:7" ht="58.5" customHeight="1" x14ac:dyDescent="0.25">
      <c r="A17190" s="5" t="str">
        <f>"H0033163"</f>
        <v>H0033163</v>
      </c>
      <c r="B17190" s="5" t="str">
        <f t="shared" si="880"/>
        <v>BOMBA DE INFUSION. Apilables.5 modos. 01-1200 ml/h. 0.1 ml incr. Compatible con set de infusión genérico. anti-bolo. Detección de aire. Alarmas visuales audibles. Bitacora 1.000 reg. Batería de litio</v>
      </c>
      <c r="C17190" s="6">
        <v>2533333</v>
      </c>
      <c r="D17190" s="5" t="s">
        <v>157</v>
      </c>
      <c r="E17190" s="5" t="str">
        <f t="shared" si="881"/>
        <v>ELEMENTOS EN BODEGA USADOS</v>
      </c>
      <c r="F17190" s="5"/>
      <c r="G17190" s="5"/>
    </row>
    <row r="17191" spans="1:7" ht="58.5" customHeight="1" x14ac:dyDescent="0.25">
      <c r="A17191" s="5" t="str">
        <f>"H0033165"</f>
        <v>H0033165</v>
      </c>
      <c r="B17191" s="5" t="str">
        <f t="shared" si="880"/>
        <v>BOMBA DE INFUSION. Apilables.5 modos. 01-1200 ml/h. 0.1 ml incr. Compatible con set de infusión genérico. anti-bolo. Detección de aire. Alarmas visuales audibles. Bitacora 1.000 reg. Batería de litio</v>
      </c>
      <c r="C17191" s="6">
        <v>2533333</v>
      </c>
      <c r="D17191" s="5" t="s">
        <v>157</v>
      </c>
      <c r="E17191" s="5" t="str">
        <f t="shared" si="881"/>
        <v>ELEMENTOS EN BODEGA USADOS</v>
      </c>
      <c r="F17191" s="5"/>
      <c r="G17191" s="5"/>
    </row>
    <row r="17192" spans="1:7" ht="58.5" customHeight="1" x14ac:dyDescent="0.25">
      <c r="A17192" s="5" t="str">
        <f>"H0033167"</f>
        <v>H0033167</v>
      </c>
      <c r="B17192" s="5" t="str">
        <f t="shared" si="880"/>
        <v>BOMBA DE INFUSION. Apilables.5 modos. 01-1200 ml/h. 0.1 ml incr. Compatible con set de infusión genérico. anti-bolo. Detección de aire. Alarmas visuales audibles. Bitacora 1.000 reg. Batería de litio</v>
      </c>
      <c r="C17192" s="6">
        <v>2533333</v>
      </c>
      <c r="D17192" s="5" t="s">
        <v>157</v>
      </c>
      <c r="E17192" s="5" t="str">
        <f t="shared" si="881"/>
        <v>ELEMENTOS EN BODEGA USADOS</v>
      </c>
      <c r="F17192" s="5"/>
      <c r="G17192" s="5"/>
    </row>
    <row r="17193" spans="1:7" ht="58.5" customHeight="1" x14ac:dyDescent="0.25">
      <c r="A17193" s="5" t="str">
        <f>"H0033168"</f>
        <v>H0033168</v>
      </c>
      <c r="B17193" s="5" t="str">
        <f t="shared" si="880"/>
        <v>BOMBA DE INFUSION. Apilables.5 modos. 01-1200 ml/h. 0.1 ml incr. Compatible con set de infusión genérico. anti-bolo. Detección de aire. Alarmas visuales audibles. Bitacora 1.000 reg. Batería de litio</v>
      </c>
      <c r="C17193" s="6">
        <v>2533333</v>
      </c>
      <c r="D17193" s="5" t="s">
        <v>157</v>
      </c>
      <c r="E17193" s="5" t="str">
        <f t="shared" si="881"/>
        <v>ELEMENTOS EN BODEGA USADOS</v>
      </c>
      <c r="F17193" s="5"/>
      <c r="G17193" s="5"/>
    </row>
    <row r="17194" spans="1:7" ht="58.5" customHeight="1" x14ac:dyDescent="0.25">
      <c r="A17194" s="5" t="str">
        <f>"H0033169"</f>
        <v>H0033169</v>
      </c>
      <c r="B17194" s="5" t="str">
        <f t="shared" si="880"/>
        <v>BOMBA DE INFUSION. Apilables.5 modos. 01-1200 ml/h. 0.1 ml incr. Compatible con set de infusión genérico. anti-bolo. Detección de aire. Alarmas visuales audibles. Bitacora 1.000 reg. Batería de litio</v>
      </c>
      <c r="C17194" s="6">
        <v>2533333</v>
      </c>
      <c r="D17194" s="5" t="s">
        <v>157</v>
      </c>
      <c r="E17194" s="5" t="str">
        <f t="shared" si="881"/>
        <v>ELEMENTOS EN BODEGA USADOS</v>
      </c>
      <c r="F17194" s="5"/>
      <c r="G17194" s="5"/>
    </row>
    <row r="17195" spans="1:7" ht="58.5" customHeight="1" x14ac:dyDescent="0.25">
      <c r="A17195" s="5" t="str">
        <f>"H0033170"</f>
        <v>H0033170</v>
      </c>
      <c r="B17195" s="5" t="str">
        <f t="shared" si="880"/>
        <v>BOMBA DE INFUSION. Apilables.5 modos. 01-1200 ml/h. 0.1 ml incr. Compatible con set de infusión genérico. anti-bolo. Detección de aire. Alarmas visuales audibles. Bitacora 1.000 reg. Batería de litio</v>
      </c>
      <c r="C17195" s="6">
        <v>2533333</v>
      </c>
      <c r="D17195" s="5" t="s">
        <v>157</v>
      </c>
      <c r="E17195" s="5" t="str">
        <f t="shared" si="881"/>
        <v>ELEMENTOS EN BODEGA USADOS</v>
      </c>
      <c r="F17195" s="5"/>
      <c r="G17195" s="5"/>
    </row>
    <row r="17196" spans="1:7" ht="58.5" customHeight="1" x14ac:dyDescent="0.25">
      <c r="A17196" s="5" t="str">
        <f>"H0033173"</f>
        <v>H0033173</v>
      </c>
      <c r="B17196" s="5" t="str">
        <f t="shared" si="880"/>
        <v>BOMBA DE INFUSION. Apilables.5 modos. 01-1200 ml/h. 0.1 ml incr. Compatible con set de infusión genérico. anti-bolo. Detección de aire. Alarmas visuales audibles. Bitacora 1.000 reg. Batería de litio</v>
      </c>
      <c r="C17196" s="6">
        <v>2533333</v>
      </c>
      <c r="D17196" s="5" t="s">
        <v>157</v>
      </c>
      <c r="E17196" s="5" t="str">
        <f t="shared" si="881"/>
        <v>ELEMENTOS EN BODEGA USADOS</v>
      </c>
      <c r="F17196" s="5"/>
      <c r="G17196" s="5"/>
    </row>
    <row r="17197" spans="1:7" ht="58.5" customHeight="1" x14ac:dyDescent="0.25">
      <c r="A17197" s="5" t="str">
        <f>"H0033175"</f>
        <v>H0033175</v>
      </c>
      <c r="B17197" s="5" t="str">
        <f t="shared" si="880"/>
        <v>BOMBA DE INFUSION. Apilables.5 modos. 01-1200 ml/h. 0.1 ml incr. Compatible con set de infusión genérico. anti-bolo. Detección de aire. Alarmas visuales audibles. Bitacora 1.000 reg. Batería de litio</v>
      </c>
      <c r="C17197" s="6">
        <v>2533333</v>
      </c>
      <c r="D17197" s="5" t="s">
        <v>157</v>
      </c>
      <c r="E17197" s="5" t="str">
        <f t="shared" si="881"/>
        <v>ELEMENTOS EN BODEGA USADOS</v>
      </c>
      <c r="F17197" s="5"/>
      <c r="G17197" s="5"/>
    </row>
    <row r="17198" spans="1:7" ht="58.5" customHeight="1" x14ac:dyDescent="0.25">
      <c r="A17198" s="5" t="str">
        <f>"H0033176"</f>
        <v>H0033176</v>
      </c>
      <c r="B17198" s="5" t="str">
        <f t="shared" si="880"/>
        <v>BOMBA DE INFUSION. Apilables.5 modos. 01-1200 ml/h. 0.1 ml incr. Compatible con set de infusión genérico. anti-bolo. Detección de aire. Alarmas visuales audibles. Bitacora 1.000 reg. Batería de litio</v>
      </c>
      <c r="C17198" s="6">
        <v>2533333</v>
      </c>
      <c r="D17198" s="5" t="s">
        <v>157</v>
      </c>
      <c r="E17198" s="5" t="str">
        <f t="shared" si="881"/>
        <v>ELEMENTOS EN BODEGA USADOS</v>
      </c>
      <c r="F17198" s="5"/>
      <c r="G17198" s="5"/>
    </row>
    <row r="17199" spans="1:7" ht="58.5" customHeight="1" x14ac:dyDescent="0.25">
      <c r="A17199" s="5" t="str">
        <f>"H0033178"</f>
        <v>H0033178</v>
      </c>
      <c r="B17199" s="5" t="str">
        <f t="shared" si="880"/>
        <v>BOMBA DE INFUSION. Apilables.5 modos. 01-1200 ml/h. 0.1 ml incr. Compatible con set de infusión genérico. anti-bolo. Detección de aire. Alarmas visuales audibles. Bitacora 1.000 reg. Batería de litio</v>
      </c>
      <c r="C17199" s="6">
        <v>2533333</v>
      </c>
      <c r="D17199" s="5" t="s">
        <v>157</v>
      </c>
      <c r="E17199" s="5" t="str">
        <f t="shared" si="881"/>
        <v>ELEMENTOS EN BODEGA USADOS</v>
      </c>
      <c r="F17199" s="5"/>
      <c r="G17199" s="5"/>
    </row>
    <row r="17200" spans="1:7" ht="58.5" customHeight="1" x14ac:dyDescent="0.25">
      <c r="A17200" s="5" t="str">
        <f>"H0033179"</f>
        <v>H0033179</v>
      </c>
      <c r="B17200" s="5" t="str">
        <f t="shared" si="880"/>
        <v>BOMBA DE INFUSION. Apilables.5 modos. 01-1200 ml/h. 0.1 ml incr. Compatible con set de infusión genérico. anti-bolo. Detección de aire. Alarmas visuales audibles. Bitacora 1.000 reg. Batería de litio</v>
      </c>
      <c r="C17200" s="6">
        <v>2533333</v>
      </c>
      <c r="D17200" s="5" t="s">
        <v>157</v>
      </c>
      <c r="E17200" s="5" t="str">
        <f t="shared" si="881"/>
        <v>ELEMENTOS EN BODEGA USADOS</v>
      </c>
      <c r="F17200" s="5"/>
      <c r="G17200" s="5"/>
    </row>
    <row r="17201" spans="1:7" ht="58.5" customHeight="1" x14ac:dyDescent="0.25">
      <c r="A17201" s="5" t="str">
        <f>"H0033183"</f>
        <v>H0033183</v>
      </c>
      <c r="B17201" s="5" t="str">
        <f t="shared" si="880"/>
        <v>BOMBA DE INFUSION. Apilables.5 modos. 01-1200 ml/h. 0.1 ml incr. Compatible con set de infusión genérico. anti-bolo. Detección de aire. Alarmas visuales audibles. Bitacora 1.000 reg. Batería de litio</v>
      </c>
      <c r="C17201" s="6">
        <v>2533333</v>
      </c>
      <c r="D17201" s="5" t="s">
        <v>157</v>
      </c>
      <c r="E17201" s="5" t="str">
        <f t="shared" si="881"/>
        <v>ELEMENTOS EN BODEGA USADOS</v>
      </c>
      <c r="F17201" s="5"/>
      <c r="G17201" s="5"/>
    </row>
    <row r="17202" spans="1:7" ht="58.5" customHeight="1" x14ac:dyDescent="0.25">
      <c r="A17202" s="5" t="str">
        <f>"H0033184"</f>
        <v>H0033184</v>
      </c>
      <c r="B17202" s="5" t="str">
        <f t="shared" si="880"/>
        <v>BOMBA DE INFUSION. Apilables.5 modos. 01-1200 ml/h. 0.1 ml incr. Compatible con set de infusión genérico. anti-bolo. Detección de aire. Alarmas visuales audibles. Bitacora 1.000 reg. Batería de litio</v>
      </c>
      <c r="C17202" s="6">
        <v>2533333</v>
      </c>
      <c r="D17202" s="5" t="s">
        <v>157</v>
      </c>
      <c r="E17202" s="5" t="str">
        <f t="shared" si="881"/>
        <v>ELEMENTOS EN BODEGA USADOS</v>
      </c>
      <c r="F17202" s="5"/>
      <c r="G17202" s="5"/>
    </row>
    <row r="17203" spans="1:7" ht="58.5" customHeight="1" x14ac:dyDescent="0.25">
      <c r="A17203" s="5" t="str">
        <f>"H0033186"</f>
        <v>H0033186</v>
      </c>
      <c r="B17203" s="5" t="str">
        <f t="shared" si="880"/>
        <v>BOMBA DE INFUSION. Apilables.5 modos. 01-1200 ml/h. 0.1 ml incr. Compatible con set de infusión genérico. anti-bolo. Detección de aire. Alarmas visuales audibles. Bitacora 1.000 reg. Batería de litio</v>
      </c>
      <c r="C17203" s="6">
        <v>2533333</v>
      </c>
      <c r="D17203" s="5" t="s">
        <v>157</v>
      </c>
      <c r="E17203" s="5" t="str">
        <f t="shared" si="881"/>
        <v>ELEMENTOS EN BODEGA USADOS</v>
      </c>
      <c r="F17203" s="5"/>
      <c r="G17203" s="5"/>
    </row>
    <row r="17204" spans="1:7" ht="58.5" customHeight="1" x14ac:dyDescent="0.25">
      <c r="A17204" s="5" t="str">
        <f>"H0033189"</f>
        <v>H0033189</v>
      </c>
      <c r="B17204" s="5" t="str">
        <f t="shared" si="880"/>
        <v>BOMBA DE INFUSION. Apilables.5 modos. 01-1200 ml/h. 0.1 ml incr. Compatible con set de infusión genérico. anti-bolo. Detección de aire. Alarmas visuales audibles. Bitacora 1.000 reg. Batería de litio</v>
      </c>
      <c r="C17204" s="6">
        <v>2533333</v>
      </c>
      <c r="D17204" s="5" t="s">
        <v>157</v>
      </c>
      <c r="E17204" s="5" t="str">
        <f t="shared" si="881"/>
        <v>ELEMENTOS EN BODEGA USADOS</v>
      </c>
      <c r="F17204" s="5"/>
      <c r="G17204" s="5"/>
    </row>
    <row r="17205" spans="1:7" ht="58.5" customHeight="1" x14ac:dyDescent="0.25">
      <c r="A17205" s="5" t="str">
        <f>"H0033190"</f>
        <v>H0033190</v>
      </c>
      <c r="B17205" s="5" t="str">
        <f t="shared" si="880"/>
        <v>BOMBA DE INFUSION. Apilables.5 modos. 01-1200 ml/h. 0.1 ml incr. Compatible con set de infusión genérico. anti-bolo. Detección de aire. Alarmas visuales audibles. Bitacora 1.000 reg. Batería de litio</v>
      </c>
      <c r="C17205" s="6">
        <v>2533333</v>
      </c>
      <c r="D17205" s="5" t="s">
        <v>157</v>
      </c>
      <c r="E17205" s="5" t="str">
        <f t="shared" si="881"/>
        <v>ELEMENTOS EN BODEGA USADOS</v>
      </c>
      <c r="F17205" s="5"/>
      <c r="G17205" s="5"/>
    </row>
    <row r="17206" spans="1:7" ht="58.5" customHeight="1" x14ac:dyDescent="0.25">
      <c r="A17206" s="5" t="str">
        <f>"H0033192"</f>
        <v>H0033192</v>
      </c>
      <c r="B17206" s="5" t="str">
        <f t="shared" si="880"/>
        <v>BOMBA DE INFUSION. Apilables.5 modos. 01-1200 ml/h. 0.1 ml incr. Compatible con set de infusión genérico. anti-bolo. Detección de aire. Alarmas visuales audibles. Bitacora 1.000 reg. Batería de litio</v>
      </c>
      <c r="C17206" s="6">
        <v>2533333</v>
      </c>
      <c r="D17206" s="5" t="s">
        <v>157</v>
      </c>
      <c r="E17206" s="5" t="str">
        <f t="shared" si="881"/>
        <v>ELEMENTOS EN BODEGA USADOS</v>
      </c>
      <c r="F17206" s="5"/>
      <c r="G17206" s="5"/>
    </row>
    <row r="17207" spans="1:7" ht="58.5" customHeight="1" x14ac:dyDescent="0.25">
      <c r="A17207" s="5" t="str">
        <f>"H0033193"</f>
        <v>H0033193</v>
      </c>
      <c r="B17207" s="5" t="str">
        <f t="shared" si="880"/>
        <v>BOMBA DE INFUSION. Apilables.5 modos. 01-1200 ml/h. 0.1 ml incr. Compatible con set de infusión genérico. anti-bolo. Detección de aire. Alarmas visuales audibles. Bitacora 1.000 reg. Batería de litio</v>
      </c>
      <c r="C17207" s="6">
        <v>2533333</v>
      </c>
      <c r="D17207" s="5" t="s">
        <v>157</v>
      </c>
      <c r="E17207" s="5" t="str">
        <f t="shared" si="881"/>
        <v>ELEMENTOS EN BODEGA USADOS</v>
      </c>
      <c r="F17207" s="5"/>
      <c r="G17207" s="5"/>
    </row>
    <row r="17208" spans="1:7" ht="58.5" customHeight="1" x14ac:dyDescent="0.25">
      <c r="A17208" s="5" t="str">
        <f>"H0033194"</f>
        <v>H0033194</v>
      </c>
      <c r="B17208" s="5" t="str">
        <f t="shared" si="880"/>
        <v>BOMBA DE INFUSION. Apilables.5 modos. 01-1200 ml/h. 0.1 ml incr. Compatible con set de infusión genérico. anti-bolo. Detección de aire. Alarmas visuales audibles. Bitacora 1.000 reg. Batería de litio</v>
      </c>
      <c r="C17208" s="6">
        <v>2533333</v>
      </c>
      <c r="D17208" s="5" t="s">
        <v>157</v>
      </c>
      <c r="E17208" s="5" t="str">
        <f t="shared" si="881"/>
        <v>ELEMENTOS EN BODEGA USADOS</v>
      </c>
      <c r="F17208" s="5"/>
      <c r="G17208" s="5"/>
    </row>
    <row r="17209" spans="1:7" ht="58.5" customHeight="1" x14ac:dyDescent="0.25">
      <c r="A17209" s="5" t="str">
        <f>"H0033199"</f>
        <v>H0033199</v>
      </c>
      <c r="B17209" s="5" t="str">
        <f t="shared" si="880"/>
        <v>BOMBA DE INFUSION. Apilables.5 modos. 01-1200 ml/h. 0.1 ml incr. Compatible con set de infusión genérico. anti-bolo. Detección de aire. Alarmas visuales audibles. Bitacora 1.000 reg. Batería de litio</v>
      </c>
      <c r="C17209" s="6">
        <v>2533333</v>
      </c>
      <c r="D17209" s="5" t="s">
        <v>157</v>
      </c>
      <c r="E17209" s="5" t="str">
        <f t="shared" si="881"/>
        <v>ELEMENTOS EN BODEGA USADOS</v>
      </c>
      <c r="F17209" s="5"/>
      <c r="G17209" s="5"/>
    </row>
    <row r="17210" spans="1:7" ht="58.5" customHeight="1" x14ac:dyDescent="0.25">
      <c r="A17210" s="5" t="str">
        <f>"H0033201"</f>
        <v>H0033201</v>
      </c>
      <c r="B17210" s="5" t="str">
        <f t="shared" si="880"/>
        <v>BOMBA DE INFUSION. Apilables.5 modos. 01-1200 ml/h. 0.1 ml incr. Compatible con set de infusión genérico. anti-bolo. Detección de aire. Alarmas visuales audibles. Bitacora 1.000 reg. Batería de litio</v>
      </c>
      <c r="C17210" s="6">
        <v>2533333</v>
      </c>
      <c r="D17210" s="5" t="s">
        <v>157</v>
      </c>
      <c r="E17210" s="5" t="str">
        <f t="shared" si="881"/>
        <v>ELEMENTOS EN BODEGA USADOS</v>
      </c>
      <c r="F17210" s="5"/>
      <c r="G17210" s="5"/>
    </row>
    <row r="17211" spans="1:7" ht="58.5" customHeight="1" x14ac:dyDescent="0.25">
      <c r="A17211" s="5" t="str">
        <f>"H0033202"</f>
        <v>H0033202</v>
      </c>
      <c r="B17211" s="5" t="str">
        <f t="shared" ref="B17211:B17233" si="882">"BOMBA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211" s="6">
        <v>2533333</v>
      </c>
      <c r="D17211" s="5" t="s">
        <v>157</v>
      </c>
      <c r="E17211" s="5" t="str">
        <f t="shared" si="881"/>
        <v>ELEMENTOS EN BODEGA USADOS</v>
      </c>
      <c r="F17211" s="5"/>
      <c r="G17211" s="5"/>
    </row>
    <row r="17212" spans="1:7" ht="58.5" customHeight="1" x14ac:dyDescent="0.25">
      <c r="A17212" s="5" t="str">
        <f>"H0033203"</f>
        <v>H0033203</v>
      </c>
      <c r="B17212" s="5" t="str">
        <f t="shared" si="882"/>
        <v>BOMBA DE INFUSION. Apilables.5 modos. 01-1200 ml/h. 0.1 ml incr. Compatible con set de infusión genérico. anti-bolo. Detección de aire. Alarmas visuales audibles. Bitacora 1.000 reg. Batería de litio</v>
      </c>
      <c r="C17212" s="6">
        <v>2533333</v>
      </c>
      <c r="D17212" s="5" t="s">
        <v>157</v>
      </c>
      <c r="E17212" s="5" t="str">
        <f t="shared" si="881"/>
        <v>ELEMENTOS EN BODEGA USADOS</v>
      </c>
      <c r="F17212" s="5"/>
      <c r="G17212" s="5"/>
    </row>
    <row r="17213" spans="1:7" ht="58.5" customHeight="1" x14ac:dyDescent="0.25">
      <c r="A17213" s="5" t="str">
        <f>"H0033204"</f>
        <v>H0033204</v>
      </c>
      <c r="B17213" s="5" t="str">
        <f t="shared" si="882"/>
        <v>BOMBA DE INFUSION. Apilables.5 modos. 01-1200 ml/h. 0.1 ml incr. Compatible con set de infusión genérico. anti-bolo. Detección de aire. Alarmas visuales audibles. Bitacora 1.000 reg. Batería de litio</v>
      </c>
      <c r="C17213" s="6">
        <v>2533333</v>
      </c>
      <c r="D17213" s="5" t="s">
        <v>157</v>
      </c>
      <c r="E17213" s="5" t="str">
        <f t="shared" si="881"/>
        <v>ELEMENTOS EN BODEGA USADOS</v>
      </c>
      <c r="F17213" s="5"/>
      <c r="G17213" s="5"/>
    </row>
    <row r="17214" spans="1:7" ht="58.5" customHeight="1" x14ac:dyDescent="0.25">
      <c r="A17214" s="5" t="str">
        <f>"H0033206"</f>
        <v>H0033206</v>
      </c>
      <c r="B17214" s="5" t="str">
        <f t="shared" si="882"/>
        <v>BOMBA DE INFUSION. Apilables.5 modos. 01-1200 ml/h. 0.1 ml incr. Compatible con set de infusión genérico. anti-bolo. Detección de aire. Alarmas visuales audibles. Bitacora 1.000 reg. Batería de litio</v>
      </c>
      <c r="C17214" s="6">
        <v>2533333</v>
      </c>
      <c r="D17214" s="5" t="s">
        <v>157</v>
      </c>
      <c r="E17214" s="5" t="str">
        <f t="shared" si="881"/>
        <v>ELEMENTOS EN BODEGA USADOS</v>
      </c>
      <c r="F17214" s="5"/>
      <c r="G17214" s="5"/>
    </row>
    <row r="17215" spans="1:7" ht="58.5" customHeight="1" x14ac:dyDescent="0.25">
      <c r="A17215" s="5" t="str">
        <f>"H0033208"</f>
        <v>H0033208</v>
      </c>
      <c r="B17215" s="5" t="str">
        <f t="shared" si="882"/>
        <v>BOMBA DE INFUSION. Apilables.5 modos. 01-1200 ml/h. 0.1 ml incr. Compatible con set de infusión genérico. anti-bolo. Detección de aire. Alarmas visuales audibles. Bitacora 1.000 reg. Batería de litio</v>
      </c>
      <c r="C17215" s="6">
        <v>2533333</v>
      </c>
      <c r="D17215" s="5" t="s">
        <v>157</v>
      </c>
      <c r="E17215" s="5" t="str">
        <f t="shared" si="881"/>
        <v>ELEMENTOS EN BODEGA USADOS</v>
      </c>
      <c r="F17215" s="5"/>
      <c r="G17215" s="5"/>
    </row>
    <row r="17216" spans="1:7" ht="58.5" customHeight="1" x14ac:dyDescent="0.25">
      <c r="A17216" s="5" t="str">
        <f>"H0033209"</f>
        <v>H0033209</v>
      </c>
      <c r="B17216" s="5" t="str">
        <f t="shared" si="882"/>
        <v>BOMBA DE INFUSION. Apilables.5 modos. 01-1200 ml/h. 0.1 ml incr. Compatible con set de infusión genérico. anti-bolo. Detección de aire. Alarmas visuales audibles. Bitacora 1.000 reg. Batería de litio</v>
      </c>
      <c r="C17216" s="6">
        <v>2533333</v>
      </c>
      <c r="D17216" s="5" t="s">
        <v>157</v>
      </c>
      <c r="E17216" s="5" t="str">
        <f t="shared" si="881"/>
        <v>ELEMENTOS EN BODEGA USADOS</v>
      </c>
      <c r="F17216" s="5"/>
      <c r="G17216" s="5"/>
    </row>
    <row r="17217" spans="1:7" ht="58.5" customHeight="1" x14ac:dyDescent="0.25">
      <c r="A17217" s="5" t="str">
        <f>"H0033210"</f>
        <v>H0033210</v>
      </c>
      <c r="B17217" s="5" t="str">
        <f t="shared" si="882"/>
        <v>BOMBA DE INFUSION. Apilables.5 modos. 01-1200 ml/h. 0.1 ml incr. Compatible con set de infusión genérico. anti-bolo. Detección de aire. Alarmas visuales audibles. Bitacora 1.000 reg. Batería de litio</v>
      </c>
      <c r="C17217" s="6">
        <v>2533333</v>
      </c>
      <c r="D17217" s="5" t="s">
        <v>157</v>
      </c>
      <c r="E17217" s="5" t="str">
        <f t="shared" si="881"/>
        <v>ELEMENTOS EN BODEGA USADOS</v>
      </c>
      <c r="F17217" s="5"/>
      <c r="G17217" s="5"/>
    </row>
    <row r="17218" spans="1:7" ht="58.5" customHeight="1" x14ac:dyDescent="0.25">
      <c r="A17218" s="5" t="str">
        <f>"H0033214"</f>
        <v>H0033214</v>
      </c>
      <c r="B17218" s="5" t="str">
        <f t="shared" si="882"/>
        <v>BOMBA DE INFUSION. Apilables.5 modos. 01-1200 ml/h. 0.1 ml incr. Compatible con set de infusión genérico. anti-bolo. Detección de aire. Alarmas visuales audibles. Bitacora 1.000 reg. Batería de litio</v>
      </c>
      <c r="C17218" s="6">
        <v>2533333</v>
      </c>
      <c r="D17218" s="5" t="s">
        <v>157</v>
      </c>
      <c r="E17218" s="5" t="str">
        <f t="shared" si="881"/>
        <v>ELEMENTOS EN BODEGA USADOS</v>
      </c>
      <c r="F17218" s="5"/>
      <c r="G17218" s="5"/>
    </row>
    <row r="17219" spans="1:7" ht="58.5" customHeight="1" x14ac:dyDescent="0.25">
      <c r="A17219" s="5" t="str">
        <f>"H0033215"</f>
        <v>H0033215</v>
      </c>
      <c r="B17219" s="5" t="str">
        <f t="shared" si="882"/>
        <v>BOMBA DE INFUSION. Apilables.5 modos. 01-1200 ml/h. 0.1 ml incr. Compatible con set de infusión genérico. anti-bolo. Detección de aire. Alarmas visuales audibles. Bitacora 1.000 reg. Batería de litio</v>
      </c>
      <c r="C17219" s="6">
        <v>2533333</v>
      </c>
      <c r="D17219" s="5" t="s">
        <v>157</v>
      </c>
      <c r="E17219" s="5" t="str">
        <f t="shared" si="881"/>
        <v>ELEMENTOS EN BODEGA USADOS</v>
      </c>
      <c r="F17219" s="5"/>
      <c r="G17219" s="5"/>
    </row>
    <row r="17220" spans="1:7" ht="58.5" customHeight="1" x14ac:dyDescent="0.25">
      <c r="A17220" s="5" t="str">
        <f>"H0033217"</f>
        <v>H0033217</v>
      </c>
      <c r="B17220" s="5" t="str">
        <f t="shared" si="882"/>
        <v>BOMBA DE INFUSION. Apilables.5 modos. 01-1200 ml/h. 0.1 ml incr. Compatible con set de infusión genérico. anti-bolo. Detección de aire. Alarmas visuales audibles. Bitacora 1.000 reg. Batería de litio</v>
      </c>
      <c r="C17220" s="6">
        <v>2533333</v>
      </c>
      <c r="D17220" s="5" t="s">
        <v>157</v>
      </c>
      <c r="E17220" s="5" t="str">
        <f t="shared" si="881"/>
        <v>ELEMENTOS EN BODEGA USADOS</v>
      </c>
      <c r="F17220" s="5"/>
      <c r="G17220" s="5"/>
    </row>
    <row r="17221" spans="1:7" ht="58.5" customHeight="1" x14ac:dyDescent="0.25">
      <c r="A17221" s="5" t="str">
        <f>"H0033218"</f>
        <v>H0033218</v>
      </c>
      <c r="B17221" s="5" t="str">
        <f t="shared" si="882"/>
        <v>BOMBA DE INFUSION. Apilables.5 modos. 01-1200 ml/h. 0.1 ml incr. Compatible con set de infusión genérico. anti-bolo. Detección de aire. Alarmas visuales audibles. Bitacora 1.000 reg. Batería de litio</v>
      </c>
      <c r="C17221" s="6">
        <v>2533333</v>
      </c>
      <c r="D17221" s="5" t="s">
        <v>157</v>
      </c>
      <c r="E17221" s="5" t="str">
        <f t="shared" si="881"/>
        <v>ELEMENTOS EN BODEGA USADOS</v>
      </c>
      <c r="F17221" s="5"/>
      <c r="G17221" s="5"/>
    </row>
    <row r="17222" spans="1:7" ht="58.5" customHeight="1" x14ac:dyDescent="0.25">
      <c r="A17222" s="5" t="str">
        <f>"H0033221"</f>
        <v>H0033221</v>
      </c>
      <c r="B17222" s="5" t="str">
        <f t="shared" si="882"/>
        <v>BOMBA DE INFUSION. Apilables.5 modos. 01-1200 ml/h. 0.1 ml incr. Compatible con set de infusión genérico. anti-bolo. Detección de aire. Alarmas visuales audibles. Bitacora 1.000 reg. Batería de litio</v>
      </c>
      <c r="C17222" s="6">
        <v>2533333</v>
      </c>
      <c r="D17222" s="5" t="s">
        <v>157</v>
      </c>
      <c r="E17222" s="5" t="str">
        <f t="shared" si="881"/>
        <v>ELEMENTOS EN BODEGA USADOS</v>
      </c>
      <c r="F17222" s="5"/>
      <c r="G17222" s="5"/>
    </row>
    <row r="17223" spans="1:7" ht="58.5" customHeight="1" x14ac:dyDescent="0.25">
      <c r="A17223" s="5" t="str">
        <f>"H0033224"</f>
        <v>H0033224</v>
      </c>
      <c r="B17223" s="5" t="str">
        <f t="shared" si="882"/>
        <v>BOMBA DE INFUSION. Apilables.5 modos. 01-1200 ml/h. 0.1 ml incr. Compatible con set de infusión genérico. anti-bolo. Detección de aire. Alarmas visuales audibles. Bitacora 1.000 reg. Batería de litio</v>
      </c>
      <c r="C17223" s="6">
        <v>2533333</v>
      </c>
      <c r="D17223" s="5" t="s">
        <v>157</v>
      </c>
      <c r="E17223" s="5" t="str">
        <f t="shared" si="881"/>
        <v>ELEMENTOS EN BODEGA USADOS</v>
      </c>
      <c r="F17223" s="5"/>
      <c r="G17223" s="5"/>
    </row>
    <row r="17224" spans="1:7" ht="58.5" customHeight="1" x14ac:dyDescent="0.25">
      <c r="A17224" s="5" t="str">
        <f>"H0033225"</f>
        <v>H0033225</v>
      </c>
      <c r="B17224" s="5" t="str">
        <f t="shared" si="882"/>
        <v>BOMBA DE INFUSION. Apilables.5 modos. 01-1200 ml/h. 0.1 ml incr. Compatible con set de infusión genérico. anti-bolo. Detección de aire. Alarmas visuales audibles. Bitacora 1.000 reg. Batería de litio</v>
      </c>
      <c r="C17224" s="6">
        <v>2533333</v>
      </c>
      <c r="D17224" s="5" t="s">
        <v>157</v>
      </c>
      <c r="E17224" s="5" t="str">
        <f t="shared" si="881"/>
        <v>ELEMENTOS EN BODEGA USADOS</v>
      </c>
      <c r="F17224" s="5"/>
      <c r="G17224" s="5"/>
    </row>
    <row r="17225" spans="1:7" ht="58.5" customHeight="1" x14ac:dyDescent="0.25">
      <c r="A17225" s="5" t="str">
        <f>"H0033227"</f>
        <v>H0033227</v>
      </c>
      <c r="B17225" s="5" t="str">
        <f t="shared" si="882"/>
        <v>BOMBA DE INFUSION. Apilables.5 modos. 01-1200 ml/h. 0.1 ml incr. Compatible con set de infusión genérico. anti-bolo. Detección de aire. Alarmas visuales audibles. Bitacora 1.000 reg. Batería de litio</v>
      </c>
      <c r="C17225" s="6">
        <v>2533333</v>
      </c>
      <c r="D17225" s="5" t="s">
        <v>157</v>
      </c>
      <c r="E17225" s="5" t="str">
        <f t="shared" si="881"/>
        <v>ELEMENTOS EN BODEGA USADOS</v>
      </c>
      <c r="F17225" s="5"/>
      <c r="G17225" s="5"/>
    </row>
    <row r="17226" spans="1:7" ht="58.5" customHeight="1" x14ac:dyDescent="0.25">
      <c r="A17226" s="5" t="str">
        <f>"H0033229"</f>
        <v>H0033229</v>
      </c>
      <c r="B17226" s="5" t="str">
        <f t="shared" si="882"/>
        <v>BOMBA DE INFUSION. Apilables.5 modos. 01-1200 ml/h. 0.1 ml incr. Compatible con set de infusión genérico. anti-bolo. Detección de aire. Alarmas visuales audibles. Bitacora 1.000 reg. Batería de litio</v>
      </c>
      <c r="C17226" s="6">
        <v>2533333</v>
      </c>
      <c r="D17226" s="5" t="s">
        <v>157</v>
      </c>
      <c r="E17226" s="5" t="str">
        <f t="shared" si="881"/>
        <v>ELEMENTOS EN BODEGA USADOS</v>
      </c>
      <c r="F17226" s="5"/>
      <c r="G17226" s="5"/>
    </row>
    <row r="17227" spans="1:7" ht="58.5" customHeight="1" x14ac:dyDescent="0.25">
      <c r="A17227" s="5" t="str">
        <f>"H0033231"</f>
        <v>H0033231</v>
      </c>
      <c r="B17227" s="5" t="str">
        <f t="shared" si="882"/>
        <v>BOMBA DE INFUSION. Apilables.5 modos. 01-1200 ml/h. 0.1 ml incr. Compatible con set de infusión genérico. anti-bolo. Detección de aire. Alarmas visuales audibles. Bitacora 1.000 reg. Batería de litio</v>
      </c>
      <c r="C17227" s="6">
        <v>2533333</v>
      </c>
      <c r="D17227" s="5" t="s">
        <v>157</v>
      </c>
      <c r="E17227" s="5" t="str">
        <f t="shared" si="881"/>
        <v>ELEMENTOS EN BODEGA USADOS</v>
      </c>
      <c r="F17227" s="5"/>
      <c r="G17227" s="5"/>
    </row>
    <row r="17228" spans="1:7" ht="58.5" customHeight="1" x14ac:dyDescent="0.25">
      <c r="A17228" s="5" t="str">
        <f>"H0033232"</f>
        <v>H0033232</v>
      </c>
      <c r="B17228" s="5" t="str">
        <f t="shared" si="882"/>
        <v>BOMBA DE INFUSION. Apilables.5 modos. 01-1200 ml/h. 0.1 ml incr. Compatible con set de infusión genérico. anti-bolo. Detección de aire. Alarmas visuales audibles. Bitacora 1.000 reg. Batería de litio</v>
      </c>
      <c r="C17228" s="6">
        <v>2533333</v>
      </c>
      <c r="D17228" s="5" t="s">
        <v>157</v>
      </c>
      <c r="E17228" s="5" t="str">
        <f t="shared" si="881"/>
        <v>ELEMENTOS EN BODEGA USADOS</v>
      </c>
      <c r="F17228" s="5"/>
      <c r="G17228" s="5"/>
    </row>
    <row r="17229" spans="1:7" ht="58.5" customHeight="1" x14ac:dyDescent="0.25">
      <c r="A17229" s="5" t="str">
        <f>"H0033234"</f>
        <v>H0033234</v>
      </c>
      <c r="B17229" s="5" t="str">
        <f t="shared" si="882"/>
        <v>BOMBA DE INFUSION. Apilables.5 modos. 01-1200 ml/h. 0.1 ml incr. Compatible con set de infusión genérico. anti-bolo. Detección de aire. Alarmas visuales audibles. Bitacora 1.000 reg. Batería de litio</v>
      </c>
      <c r="C17229" s="6">
        <v>2533333</v>
      </c>
      <c r="D17229" s="5" t="s">
        <v>157</v>
      </c>
      <c r="E17229" s="5" t="str">
        <f t="shared" si="881"/>
        <v>ELEMENTOS EN BODEGA USADOS</v>
      </c>
      <c r="F17229" s="5"/>
      <c r="G17229" s="5"/>
    </row>
    <row r="17230" spans="1:7" ht="58.5" customHeight="1" x14ac:dyDescent="0.25">
      <c r="A17230" s="5" t="str">
        <f>"H0033235"</f>
        <v>H0033235</v>
      </c>
      <c r="B17230" s="5" t="str">
        <f t="shared" si="882"/>
        <v>BOMBA DE INFUSION. Apilables.5 modos. 01-1200 ml/h. 0.1 ml incr. Compatible con set de infusión genérico. anti-bolo. Detección de aire. Alarmas visuales audibles. Bitacora 1.000 reg. Batería de litio</v>
      </c>
      <c r="C17230" s="6">
        <v>2533333</v>
      </c>
      <c r="D17230" s="5" t="s">
        <v>157</v>
      </c>
      <c r="E17230" s="5" t="str">
        <f t="shared" si="881"/>
        <v>ELEMENTOS EN BODEGA USADOS</v>
      </c>
      <c r="F17230" s="5"/>
      <c r="G17230" s="5"/>
    </row>
    <row r="17231" spans="1:7" ht="58.5" customHeight="1" x14ac:dyDescent="0.25">
      <c r="A17231" s="5" t="str">
        <f>"H0033239"</f>
        <v>H0033239</v>
      </c>
      <c r="B17231" s="5" t="str">
        <f t="shared" si="882"/>
        <v>BOMBA DE INFUSION. Apilables.5 modos. 01-1200 ml/h. 0.1 ml incr. Compatible con set de infusión genérico. anti-bolo. Detección de aire. Alarmas visuales audibles. Bitacora 1.000 reg. Batería de litio</v>
      </c>
      <c r="C17231" s="6">
        <v>2533333</v>
      </c>
      <c r="D17231" s="5" t="s">
        <v>157</v>
      </c>
      <c r="E17231" s="5" t="str">
        <f t="shared" si="881"/>
        <v>ELEMENTOS EN BODEGA USADOS</v>
      </c>
      <c r="F17231" s="5"/>
      <c r="G17231" s="5"/>
    </row>
    <row r="17232" spans="1:7" ht="58.5" customHeight="1" x14ac:dyDescent="0.25">
      <c r="A17232" s="5" t="str">
        <f>"H0033241"</f>
        <v>H0033241</v>
      </c>
      <c r="B17232" s="5" t="str">
        <f t="shared" si="882"/>
        <v>BOMBA DE INFUSION. Apilables.5 modos. 01-1200 ml/h. 0.1 ml incr. Compatible con set de infusión genérico. anti-bolo. Detección de aire. Alarmas visuales audibles. Bitacora 1.000 reg. Batería de litio</v>
      </c>
      <c r="C17232" s="6">
        <v>2533333</v>
      </c>
      <c r="D17232" s="5" t="s">
        <v>157</v>
      </c>
      <c r="E17232" s="5" t="str">
        <f t="shared" si="881"/>
        <v>ELEMENTOS EN BODEGA USADOS</v>
      </c>
      <c r="F17232" s="5"/>
      <c r="G17232" s="5"/>
    </row>
    <row r="17233" spans="1:7" ht="58.5" customHeight="1" x14ac:dyDescent="0.25">
      <c r="A17233" s="5" t="str">
        <f>"H0033244"</f>
        <v>H0033244</v>
      </c>
      <c r="B17233" s="5" t="str">
        <f t="shared" si="882"/>
        <v>BOMBA DE INFUSION. Apilables.5 modos. 01-1200 ml/h. 0.1 ml incr. Compatible con set de infusión genérico. anti-bolo. Detección de aire. Alarmas visuales audibles. Bitacora 1.000 reg. Batería de litio</v>
      </c>
      <c r="C17233" s="6">
        <v>2533333</v>
      </c>
      <c r="D17233" s="5" t="s">
        <v>157</v>
      </c>
      <c r="E17233" s="5" t="str">
        <f t="shared" si="881"/>
        <v>ELEMENTOS EN BODEGA USADOS</v>
      </c>
      <c r="F17233" s="5"/>
      <c r="G17233" s="5"/>
    </row>
    <row r="17234" spans="1:7" ht="58.5" customHeight="1" x14ac:dyDescent="0.25">
      <c r="A17234" s="5" t="str">
        <f>"H0033254"</f>
        <v>H0033254</v>
      </c>
      <c r="B17234" s="5" t="str">
        <f>"MONITOR DE SIGNOS VITALES"</f>
        <v>MONITOR DE SIGNOS VITALES</v>
      </c>
      <c r="C17234" s="6">
        <v>9470000</v>
      </c>
      <c r="D17234" s="5" t="s">
        <v>119</v>
      </c>
      <c r="E17234" s="5" t="str">
        <f t="shared" si="881"/>
        <v>ELEMENTOS EN BODEGA USADOS</v>
      </c>
      <c r="F17234" s="5"/>
      <c r="G17234" s="5"/>
    </row>
    <row r="17235" spans="1:7" ht="58.5" customHeight="1" x14ac:dyDescent="0.25">
      <c r="A17235" s="5" t="str">
        <f>"H0033283"</f>
        <v>H0033283</v>
      </c>
      <c r="B17235" s="5" t="str">
        <f t="shared" ref="B17235:B17273" si="883">"BOMBA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235" s="6">
        <v>2533333</v>
      </c>
      <c r="D17235" s="5" t="s">
        <v>120</v>
      </c>
      <c r="E17235" s="5" t="str">
        <f t="shared" si="881"/>
        <v>ELEMENTOS EN BODEGA USADOS</v>
      </c>
      <c r="F17235" s="5"/>
      <c r="G17235" s="5"/>
    </row>
    <row r="17236" spans="1:7" ht="58.5" customHeight="1" x14ac:dyDescent="0.25">
      <c r="A17236" s="5" t="str">
        <f>"H0033293"</f>
        <v>H0033293</v>
      </c>
      <c r="B17236" s="5" t="str">
        <f t="shared" si="883"/>
        <v>BOMBA DE INFUSION. Apilables.5 modos. 01-1200 ml/h. 0.1 ml incr. Compatible con set de infusión genérico. anti-bolo. Detección de aire. Alarmas visuales audibles. Bitacora 1.000 reg. Batería de litio</v>
      </c>
      <c r="C17236" s="6">
        <v>2533333</v>
      </c>
      <c r="D17236" s="5" t="s">
        <v>120</v>
      </c>
      <c r="E17236" s="5" t="str">
        <f t="shared" si="881"/>
        <v>ELEMENTOS EN BODEGA USADOS</v>
      </c>
      <c r="F17236" s="5"/>
      <c r="G17236" s="5"/>
    </row>
    <row r="17237" spans="1:7" ht="58.5" customHeight="1" x14ac:dyDescent="0.25">
      <c r="A17237" s="5" t="str">
        <f>"H0033294"</f>
        <v>H0033294</v>
      </c>
      <c r="B17237" s="5" t="str">
        <f t="shared" si="883"/>
        <v>BOMBA DE INFUSION. Apilables.5 modos. 01-1200 ml/h. 0.1 ml incr. Compatible con set de infusión genérico. anti-bolo. Detección de aire. Alarmas visuales audibles. Bitacora 1.000 reg. Batería de litio</v>
      </c>
      <c r="C17237" s="6">
        <v>2533333</v>
      </c>
      <c r="D17237" s="5" t="s">
        <v>120</v>
      </c>
      <c r="E17237" s="5" t="str">
        <f t="shared" si="881"/>
        <v>ELEMENTOS EN BODEGA USADOS</v>
      </c>
      <c r="F17237" s="5"/>
      <c r="G17237" s="5"/>
    </row>
    <row r="17238" spans="1:7" ht="58.5" customHeight="1" x14ac:dyDescent="0.25">
      <c r="A17238" s="5" t="str">
        <f>"H0033295"</f>
        <v>H0033295</v>
      </c>
      <c r="B17238" s="5" t="str">
        <f t="shared" si="883"/>
        <v>BOMBA DE INFUSION. Apilables.5 modos. 01-1200 ml/h. 0.1 ml incr. Compatible con set de infusión genérico. anti-bolo. Detección de aire. Alarmas visuales audibles. Bitacora 1.000 reg. Batería de litio</v>
      </c>
      <c r="C17238" s="6">
        <v>2533333</v>
      </c>
      <c r="D17238" s="5" t="s">
        <v>120</v>
      </c>
      <c r="E17238" s="5" t="str">
        <f t="shared" si="881"/>
        <v>ELEMENTOS EN BODEGA USADOS</v>
      </c>
      <c r="F17238" s="5"/>
      <c r="G17238" s="5"/>
    </row>
    <row r="17239" spans="1:7" ht="58.5" customHeight="1" x14ac:dyDescent="0.25">
      <c r="A17239" s="5" t="str">
        <f>"H0033299"</f>
        <v>H0033299</v>
      </c>
      <c r="B17239" s="5" t="str">
        <f t="shared" si="883"/>
        <v>BOMBA DE INFUSION. Apilables.5 modos. 01-1200 ml/h. 0.1 ml incr. Compatible con set de infusión genérico. anti-bolo. Detección de aire. Alarmas visuales audibles. Bitacora 1.000 reg. Batería de litio</v>
      </c>
      <c r="C17239" s="6">
        <v>2533333</v>
      </c>
      <c r="D17239" s="5" t="s">
        <v>120</v>
      </c>
      <c r="E17239" s="5" t="str">
        <f t="shared" si="881"/>
        <v>ELEMENTOS EN BODEGA USADOS</v>
      </c>
      <c r="F17239" s="5"/>
      <c r="G17239" s="5"/>
    </row>
    <row r="17240" spans="1:7" ht="58.5" customHeight="1" x14ac:dyDescent="0.25">
      <c r="A17240" s="5" t="str">
        <f>"H0033308"</f>
        <v>H0033308</v>
      </c>
      <c r="B17240" s="5" t="str">
        <f t="shared" si="883"/>
        <v>BOMBA DE INFUSION. Apilables.5 modos. 01-1200 ml/h. 0.1 ml incr. Compatible con set de infusión genérico. anti-bolo. Detección de aire. Alarmas visuales audibles. Bitacora 1.000 reg. Batería de litio</v>
      </c>
      <c r="C17240" s="6">
        <v>2533333</v>
      </c>
      <c r="D17240" s="5" t="s">
        <v>120</v>
      </c>
      <c r="E17240" s="5" t="str">
        <f t="shared" si="881"/>
        <v>ELEMENTOS EN BODEGA USADOS</v>
      </c>
      <c r="F17240" s="5"/>
      <c r="G17240" s="5"/>
    </row>
    <row r="17241" spans="1:7" ht="58.5" customHeight="1" x14ac:dyDescent="0.25">
      <c r="A17241" s="5" t="str">
        <f>"H0033311"</f>
        <v>H0033311</v>
      </c>
      <c r="B17241" s="5" t="str">
        <f t="shared" si="883"/>
        <v>BOMBA DE INFUSION. Apilables.5 modos. 01-1200 ml/h. 0.1 ml incr. Compatible con set de infusión genérico. anti-bolo. Detección de aire. Alarmas visuales audibles. Bitacora 1.000 reg. Batería de litio</v>
      </c>
      <c r="C17241" s="6">
        <v>2533333</v>
      </c>
      <c r="D17241" s="5" t="s">
        <v>120</v>
      </c>
      <c r="E17241" s="5" t="str">
        <f t="shared" si="881"/>
        <v>ELEMENTOS EN BODEGA USADOS</v>
      </c>
      <c r="F17241" s="5"/>
      <c r="G17241" s="5"/>
    </row>
    <row r="17242" spans="1:7" ht="58.5" customHeight="1" x14ac:dyDescent="0.25">
      <c r="A17242" s="5" t="str">
        <f>"H0033312"</f>
        <v>H0033312</v>
      </c>
      <c r="B17242" s="5" t="str">
        <f t="shared" si="883"/>
        <v>BOMBA DE INFUSION. Apilables.5 modos. 01-1200 ml/h. 0.1 ml incr. Compatible con set de infusión genérico. anti-bolo. Detección de aire. Alarmas visuales audibles. Bitacora 1.000 reg. Batería de litio</v>
      </c>
      <c r="C17242" s="6">
        <v>2533333</v>
      </c>
      <c r="D17242" s="5" t="s">
        <v>120</v>
      </c>
      <c r="E17242" s="5" t="str">
        <f t="shared" si="881"/>
        <v>ELEMENTOS EN BODEGA USADOS</v>
      </c>
      <c r="F17242" s="5"/>
      <c r="G17242" s="5"/>
    </row>
    <row r="17243" spans="1:7" ht="58.5" customHeight="1" x14ac:dyDescent="0.25">
      <c r="A17243" s="5" t="str">
        <f>"H0033313"</f>
        <v>H0033313</v>
      </c>
      <c r="B17243" s="5" t="str">
        <f t="shared" si="883"/>
        <v>BOMBA DE INFUSION. Apilables.5 modos. 01-1200 ml/h. 0.1 ml incr. Compatible con set de infusión genérico. anti-bolo. Detección de aire. Alarmas visuales audibles. Bitacora 1.000 reg. Batería de litio</v>
      </c>
      <c r="C17243" s="6">
        <v>2533333</v>
      </c>
      <c r="D17243" s="5" t="s">
        <v>120</v>
      </c>
      <c r="E17243" s="5" t="str">
        <f t="shared" si="881"/>
        <v>ELEMENTOS EN BODEGA USADOS</v>
      </c>
      <c r="F17243" s="5"/>
      <c r="G17243" s="5"/>
    </row>
    <row r="17244" spans="1:7" ht="58.5" customHeight="1" x14ac:dyDescent="0.25">
      <c r="A17244" s="5" t="str">
        <f>"H0033317"</f>
        <v>H0033317</v>
      </c>
      <c r="B17244" s="5" t="str">
        <f t="shared" si="883"/>
        <v>BOMBA DE INFUSION. Apilables.5 modos. 01-1200 ml/h. 0.1 ml incr. Compatible con set de infusión genérico. anti-bolo. Detección de aire. Alarmas visuales audibles. Bitacora 1.000 reg. Batería de litio</v>
      </c>
      <c r="C17244" s="6">
        <v>2533333</v>
      </c>
      <c r="D17244" s="5" t="s">
        <v>120</v>
      </c>
      <c r="E17244" s="5" t="str">
        <f t="shared" si="881"/>
        <v>ELEMENTOS EN BODEGA USADOS</v>
      </c>
      <c r="F17244" s="5"/>
      <c r="G17244" s="5"/>
    </row>
    <row r="17245" spans="1:7" ht="58.5" customHeight="1" x14ac:dyDescent="0.25">
      <c r="A17245" s="5" t="str">
        <f>"H0033318"</f>
        <v>H0033318</v>
      </c>
      <c r="B17245" s="5" t="str">
        <f t="shared" si="883"/>
        <v>BOMBA DE INFUSION. Apilables.5 modos. 01-1200 ml/h. 0.1 ml incr. Compatible con set de infusión genérico. anti-bolo. Detección de aire. Alarmas visuales audibles. Bitacora 1.000 reg. Batería de litio</v>
      </c>
      <c r="C17245" s="6">
        <v>2533333</v>
      </c>
      <c r="D17245" s="5" t="s">
        <v>120</v>
      </c>
      <c r="E17245" s="5" t="str">
        <f t="shared" si="881"/>
        <v>ELEMENTOS EN BODEGA USADOS</v>
      </c>
      <c r="F17245" s="5"/>
      <c r="G17245" s="5"/>
    </row>
    <row r="17246" spans="1:7" ht="58.5" customHeight="1" x14ac:dyDescent="0.25">
      <c r="A17246" s="5" t="str">
        <f>"H0033320"</f>
        <v>H0033320</v>
      </c>
      <c r="B17246" s="5" t="str">
        <f t="shared" si="883"/>
        <v>BOMBA DE INFUSION. Apilables.5 modos. 01-1200 ml/h. 0.1 ml incr. Compatible con set de infusión genérico. anti-bolo. Detección de aire. Alarmas visuales audibles. Bitacora 1.000 reg. Batería de litio</v>
      </c>
      <c r="C17246" s="6">
        <v>2533333</v>
      </c>
      <c r="D17246" s="5" t="s">
        <v>120</v>
      </c>
      <c r="E17246" s="5" t="str">
        <f t="shared" si="881"/>
        <v>ELEMENTOS EN BODEGA USADOS</v>
      </c>
      <c r="F17246" s="5"/>
      <c r="G17246" s="5"/>
    </row>
    <row r="17247" spans="1:7" ht="58.5" customHeight="1" x14ac:dyDescent="0.25">
      <c r="A17247" s="5" t="str">
        <f>"H0033327"</f>
        <v>H0033327</v>
      </c>
      <c r="B17247" s="5" t="str">
        <f t="shared" si="883"/>
        <v>BOMBA DE INFUSION. Apilables.5 modos. 01-1200 ml/h. 0.1 ml incr. Compatible con set de infusión genérico. anti-bolo. Detección de aire. Alarmas visuales audibles. Bitacora 1.000 reg. Batería de litio</v>
      </c>
      <c r="C17247" s="6">
        <v>2533333</v>
      </c>
      <c r="D17247" s="5" t="s">
        <v>120</v>
      </c>
      <c r="E17247" s="5" t="str">
        <f t="shared" si="881"/>
        <v>ELEMENTOS EN BODEGA USADOS</v>
      </c>
      <c r="F17247" s="5"/>
      <c r="G17247" s="5"/>
    </row>
    <row r="17248" spans="1:7" ht="58.5" customHeight="1" x14ac:dyDescent="0.25">
      <c r="A17248" s="5" t="str">
        <f>"H0033330"</f>
        <v>H0033330</v>
      </c>
      <c r="B17248" s="5" t="str">
        <f t="shared" si="883"/>
        <v>BOMBA DE INFUSION. Apilables.5 modos. 01-1200 ml/h. 0.1 ml incr. Compatible con set de infusión genérico. anti-bolo. Detección de aire. Alarmas visuales audibles. Bitacora 1.000 reg. Batería de litio</v>
      </c>
      <c r="C17248" s="6">
        <v>2533333</v>
      </c>
      <c r="D17248" s="5" t="s">
        <v>120</v>
      </c>
      <c r="E17248" s="5" t="str">
        <f t="shared" si="881"/>
        <v>ELEMENTOS EN BODEGA USADOS</v>
      </c>
      <c r="F17248" s="5"/>
      <c r="G17248" s="5"/>
    </row>
    <row r="17249" spans="1:7" ht="58.5" customHeight="1" x14ac:dyDescent="0.25">
      <c r="A17249" s="5" t="str">
        <f>"H0033341"</f>
        <v>H0033341</v>
      </c>
      <c r="B17249" s="5" t="str">
        <f t="shared" si="883"/>
        <v>BOMBA DE INFUSION. Apilables.5 modos. 01-1200 ml/h. 0.1 ml incr. Compatible con set de infusión genérico. anti-bolo. Detección de aire. Alarmas visuales audibles. Bitacora 1.000 reg. Batería de litio</v>
      </c>
      <c r="C17249" s="6">
        <v>2533333</v>
      </c>
      <c r="D17249" s="5" t="s">
        <v>120</v>
      </c>
      <c r="E17249" s="5" t="str">
        <f t="shared" si="881"/>
        <v>ELEMENTOS EN BODEGA USADOS</v>
      </c>
      <c r="F17249" s="5"/>
      <c r="G17249" s="5"/>
    </row>
    <row r="17250" spans="1:7" ht="58.5" customHeight="1" x14ac:dyDescent="0.25">
      <c r="A17250" s="5" t="str">
        <f>"H0033344"</f>
        <v>H0033344</v>
      </c>
      <c r="B17250" s="5" t="str">
        <f t="shared" si="883"/>
        <v>BOMBA DE INFUSION. Apilables.5 modos. 01-1200 ml/h. 0.1 ml incr. Compatible con set de infusión genérico. anti-bolo. Detección de aire. Alarmas visuales audibles. Bitacora 1.000 reg. Batería de litio</v>
      </c>
      <c r="C17250" s="6">
        <v>2533333</v>
      </c>
      <c r="D17250" s="5" t="s">
        <v>120</v>
      </c>
      <c r="E17250" s="5" t="str">
        <f t="shared" si="881"/>
        <v>ELEMENTOS EN BODEGA USADOS</v>
      </c>
      <c r="F17250" s="5"/>
      <c r="G17250" s="5"/>
    </row>
    <row r="17251" spans="1:7" ht="58.5" customHeight="1" x14ac:dyDescent="0.25">
      <c r="A17251" s="5" t="str">
        <f>"H0033348"</f>
        <v>H0033348</v>
      </c>
      <c r="B17251" s="5" t="str">
        <f t="shared" si="883"/>
        <v>BOMBA DE INFUSION. Apilables.5 modos. 01-1200 ml/h. 0.1 ml incr. Compatible con set de infusión genérico. anti-bolo. Detección de aire. Alarmas visuales audibles. Bitacora 1.000 reg. Batería de litio</v>
      </c>
      <c r="C17251" s="6">
        <v>2533333</v>
      </c>
      <c r="D17251" s="5" t="s">
        <v>120</v>
      </c>
      <c r="E17251" s="5" t="str">
        <f t="shared" ref="E17251:E17314" si="884">"ELEMENTOS EN BODEGA USADOS"</f>
        <v>ELEMENTOS EN BODEGA USADOS</v>
      </c>
      <c r="F17251" s="5"/>
      <c r="G17251" s="5"/>
    </row>
    <row r="17252" spans="1:7" ht="58.5" customHeight="1" x14ac:dyDescent="0.25">
      <c r="A17252" s="5" t="str">
        <f>"H0033356"</f>
        <v>H0033356</v>
      </c>
      <c r="B17252" s="5" t="str">
        <f t="shared" si="883"/>
        <v>BOMBA DE INFUSION. Apilables.5 modos. 01-1200 ml/h. 0.1 ml incr. Compatible con set de infusión genérico. anti-bolo. Detección de aire. Alarmas visuales audibles. Bitacora 1.000 reg. Batería de litio</v>
      </c>
      <c r="C17252" s="6">
        <v>2533333</v>
      </c>
      <c r="D17252" s="5" t="s">
        <v>120</v>
      </c>
      <c r="E17252" s="5" t="str">
        <f t="shared" si="884"/>
        <v>ELEMENTOS EN BODEGA USADOS</v>
      </c>
      <c r="F17252" s="5"/>
      <c r="G17252" s="5"/>
    </row>
    <row r="17253" spans="1:7" ht="58.5" customHeight="1" x14ac:dyDescent="0.25">
      <c r="A17253" s="5" t="str">
        <f>"H0033359"</f>
        <v>H0033359</v>
      </c>
      <c r="B17253" s="5" t="str">
        <f t="shared" si="883"/>
        <v>BOMBA DE INFUSION. Apilables.5 modos. 01-1200 ml/h. 0.1 ml incr. Compatible con set de infusión genérico. anti-bolo. Detección de aire. Alarmas visuales audibles. Bitacora 1.000 reg. Batería de litio</v>
      </c>
      <c r="C17253" s="6">
        <v>2533333</v>
      </c>
      <c r="D17253" s="5" t="s">
        <v>120</v>
      </c>
      <c r="E17253" s="5" t="str">
        <f t="shared" si="884"/>
        <v>ELEMENTOS EN BODEGA USADOS</v>
      </c>
      <c r="F17253" s="5"/>
      <c r="G17253" s="5"/>
    </row>
    <row r="17254" spans="1:7" ht="58.5" customHeight="1" x14ac:dyDescent="0.25">
      <c r="A17254" s="5" t="str">
        <f>"H0033361"</f>
        <v>H0033361</v>
      </c>
      <c r="B17254" s="5" t="str">
        <f t="shared" si="883"/>
        <v>BOMBA DE INFUSION. Apilables.5 modos. 01-1200 ml/h. 0.1 ml incr. Compatible con set de infusión genérico. anti-bolo. Detección de aire. Alarmas visuales audibles. Bitacora 1.000 reg. Batería de litio</v>
      </c>
      <c r="C17254" s="6">
        <v>2533333</v>
      </c>
      <c r="D17254" s="5" t="s">
        <v>120</v>
      </c>
      <c r="E17254" s="5" t="str">
        <f t="shared" si="884"/>
        <v>ELEMENTOS EN BODEGA USADOS</v>
      </c>
      <c r="F17254" s="5"/>
      <c r="G17254" s="5"/>
    </row>
    <row r="17255" spans="1:7" ht="58.5" customHeight="1" x14ac:dyDescent="0.25">
      <c r="A17255" s="5" t="str">
        <f>"H0033362"</f>
        <v>H0033362</v>
      </c>
      <c r="B17255" s="5" t="str">
        <f t="shared" si="883"/>
        <v>BOMBA DE INFUSION. Apilables.5 modos. 01-1200 ml/h. 0.1 ml incr. Compatible con set de infusión genérico. anti-bolo. Detección de aire. Alarmas visuales audibles. Bitacora 1.000 reg. Batería de litio</v>
      </c>
      <c r="C17255" s="6">
        <v>2533333</v>
      </c>
      <c r="D17255" s="5" t="s">
        <v>120</v>
      </c>
      <c r="E17255" s="5" t="str">
        <f t="shared" si="884"/>
        <v>ELEMENTOS EN BODEGA USADOS</v>
      </c>
      <c r="F17255" s="5"/>
      <c r="G17255" s="5"/>
    </row>
    <row r="17256" spans="1:7" ht="58.5" customHeight="1" x14ac:dyDescent="0.25">
      <c r="A17256" s="5" t="str">
        <f>"H0033363"</f>
        <v>H0033363</v>
      </c>
      <c r="B17256" s="5" t="str">
        <f t="shared" si="883"/>
        <v>BOMBA DE INFUSION. Apilables.5 modos. 01-1200 ml/h. 0.1 ml incr. Compatible con set de infusión genérico. anti-bolo. Detección de aire. Alarmas visuales audibles. Bitacora 1.000 reg. Batería de litio</v>
      </c>
      <c r="C17256" s="6">
        <v>2533333</v>
      </c>
      <c r="D17256" s="5" t="s">
        <v>120</v>
      </c>
      <c r="E17256" s="5" t="str">
        <f t="shared" si="884"/>
        <v>ELEMENTOS EN BODEGA USADOS</v>
      </c>
      <c r="F17256" s="5"/>
      <c r="G17256" s="5"/>
    </row>
    <row r="17257" spans="1:7" ht="58.5" customHeight="1" x14ac:dyDescent="0.25">
      <c r="A17257" s="5" t="str">
        <f>"H0033364"</f>
        <v>H0033364</v>
      </c>
      <c r="B17257" s="5" t="str">
        <f t="shared" si="883"/>
        <v>BOMBA DE INFUSION. Apilables.5 modos. 01-1200 ml/h. 0.1 ml incr. Compatible con set de infusión genérico. anti-bolo. Detección de aire. Alarmas visuales audibles. Bitacora 1.000 reg. Batería de litio</v>
      </c>
      <c r="C17257" s="6">
        <v>2533333</v>
      </c>
      <c r="D17257" s="5" t="s">
        <v>120</v>
      </c>
      <c r="E17257" s="5" t="str">
        <f t="shared" si="884"/>
        <v>ELEMENTOS EN BODEGA USADOS</v>
      </c>
      <c r="F17257" s="5"/>
      <c r="G17257" s="5"/>
    </row>
    <row r="17258" spans="1:7" ht="58.5" customHeight="1" x14ac:dyDescent="0.25">
      <c r="A17258" s="5" t="str">
        <f>"H0033366"</f>
        <v>H0033366</v>
      </c>
      <c r="B17258" s="5" t="str">
        <f t="shared" si="883"/>
        <v>BOMBA DE INFUSION. Apilables.5 modos. 01-1200 ml/h. 0.1 ml incr. Compatible con set de infusión genérico. anti-bolo. Detección de aire. Alarmas visuales audibles. Bitacora 1.000 reg. Batería de litio</v>
      </c>
      <c r="C17258" s="6">
        <v>2533333</v>
      </c>
      <c r="D17258" s="5" t="s">
        <v>120</v>
      </c>
      <c r="E17258" s="5" t="str">
        <f t="shared" si="884"/>
        <v>ELEMENTOS EN BODEGA USADOS</v>
      </c>
      <c r="F17258" s="5"/>
      <c r="G17258" s="5"/>
    </row>
    <row r="17259" spans="1:7" ht="58.5" customHeight="1" x14ac:dyDescent="0.25">
      <c r="A17259" s="5" t="str">
        <f>"H0033371"</f>
        <v>H0033371</v>
      </c>
      <c r="B17259" s="5" t="str">
        <f t="shared" si="883"/>
        <v>BOMBA DE INFUSION. Apilables.5 modos. 01-1200 ml/h. 0.1 ml incr. Compatible con set de infusión genérico. anti-bolo. Detección de aire. Alarmas visuales audibles. Bitacora 1.000 reg. Batería de litio</v>
      </c>
      <c r="C17259" s="6">
        <v>2533333</v>
      </c>
      <c r="D17259" s="5" t="s">
        <v>120</v>
      </c>
      <c r="E17259" s="5" t="str">
        <f t="shared" si="884"/>
        <v>ELEMENTOS EN BODEGA USADOS</v>
      </c>
      <c r="F17259" s="5"/>
      <c r="G17259" s="5"/>
    </row>
    <row r="17260" spans="1:7" ht="58.5" customHeight="1" x14ac:dyDescent="0.25">
      <c r="A17260" s="5" t="str">
        <f>"H0033374"</f>
        <v>H0033374</v>
      </c>
      <c r="B17260" s="5" t="str">
        <f t="shared" si="883"/>
        <v>BOMBA DE INFUSION. Apilables.5 modos. 01-1200 ml/h. 0.1 ml incr. Compatible con set de infusión genérico. anti-bolo. Detección de aire. Alarmas visuales audibles. Bitacora 1.000 reg. Batería de litio</v>
      </c>
      <c r="C17260" s="6">
        <v>2533333</v>
      </c>
      <c r="D17260" s="5" t="s">
        <v>120</v>
      </c>
      <c r="E17260" s="5" t="str">
        <f t="shared" si="884"/>
        <v>ELEMENTOS EN BODEGA USADOS</v>
      </c>
      <c r="F17260" s="5"/>
      <c r="G17260" s="5"/>
    </row>
    <row r="17261" spans="1:7" ht="58.5" customHeight="1" x14ac:dyDescent="0.25">
      <c r="A17261" s="5" t="str">
        <f>"H0033383"</f>
        <v>H0033383</v>
      </c>
      <c r="B17261" s="5" t="str">
        <f t="shared" si="883"/>
        <v>BOMBA DE INFUSION. Apilables.5 modos. 01-1200 ml/h. 0.1 ml incr. Compatible con set de infusión genérico. anti-bolo. Detección de aire. Alarmas visuales audibles. Bitacora 1.000 reg. Batería de litio</v>
      </c>
      <c r="C17261" s="6">
        <v>2533333</v>
      </c>
      <c r="D17261" s="5" t="s">
        <v>120</v>
      </c>
      <c r="E17261" s="5" t="str">
        <f t="shared" si="884"/>
        <v>ELEMENTOS EN BODEGA USADOS</v>
      </c>
      <c r="F17261" s="5"/>
      <c r="G17261" s="5"/>
    </row>
    <row r="17262" spans="1:7" ht="58.5" customHeight="1" x14ac:dyDescent="0.25">
      <c r="A17262" s="5" t="str">
        <f>"H0033389"</f>
        <v>H0033389</v>
      </c>
      <c r="B17262" s="5" t="str">
        <f t="shared" si="883"/>
        <v>BOMBA DE INFUSION. Apilables.5 modos. 01-1200 ml/h. 0.1 ml incr. Compatible con set de infusión genérico. anti-bolo. Detección de aire. Alarmas visuales audibles. Bitacora 1.000 reg. Batería de litio</v>
      </c>
      <c r="C17262" s="6">
        <v>2533333</v>
      </c>
      <c r="D17262" s="5" t="s">
        <v>120</v>
      </c>
      <c r="E17262" s="5" t="str">
        <f t="shared" si="884"/>
        <v>ELEMENTOS EN BODEGA USADOS</v>
      </c>
      <c r="F17262" s="5"/>
      <c r="G17262" s="5"/>
    </row>
    <row r="17263" spans="1:7" ht="58.5" customHeight="1" x14ac:dyDescent="0.25">
      <c r="A17263" s="5" t="str">
        <f>"H0033392"</f>
        <v>H0033392</v>
      </c>
      <c r="B17263" s="5" t="str">
        <f t="shared" si="883"/>
        <v>BOMBA DE INFUSION. Apilables.5 modos. 01-1200 ml/h. 0.1 ml incr. Compatible con set de infusión genérico. anti-bolo. Detección de aire. Alarmas visuales audibles. Bitacora 1.000 reg. Batería de litio</v>
      </c>
      <c r="C17263" s="6">
        <v>2533333</v>
      </c>
      <c r="D17263" s="5" t="s">
        <v>120</v>
      </c>
      <c r="E17263" s="5" t="str">
        <f t="shared" si="884"/>
        <v>ELEMENTOS EN BODEGA USADOS</v>
      </c>
      <c r="F17263" s="5"/>
      <c r="G17263" s="5"/>
    </row>
    <row r="17264" spans="1:7" ht="58.5" customHeight="1" x14ac:dyDescent="0.25">
      <c r="A17264" s="5" t="str">
        <f>"H0033396"</f>
        <v>H0033396</v>
      </c>
      <c r="B17264" s="5" t="str">
        <f t="shared" si="883"/>
        <v>BOMBA DE INFUSION. Apilables.5 modos. 01-1200 ml/h. 0.1 ml incr. Compatible con set de infusión genérico. anti-bolo. Detección de aire. Alarmas visuales audibles. Bitacora 1.000 reg. Batería de litio</v>
      </c>
      <c r="C17264" s="6">
        <v>2533333</v>
      </c>
      <c r="D17264" s="5" t="s">
        <v>120</v>
      </c>
      <c r="E17264" s="5" t="str">
        <f t="shared" si="884"/>
        <v>ELEMENTOS EN BODEGA USADOS</v>
      </c>
      <c r="F17264" s="5"/>
      <c r="G17264" s="5"/>
    </row>
    <row r="17265" spans="1:7" ht="58.5" customHeight="1" x14ac:dyDescent="0.25">
      <c r="A17265" s="5" t="str">
        <f>"H0033399"</f>
        <v>H0033399</v>
      </c>
      <c r="B17265" s="5" t="str">
        <f t="shared" si="883"/>
        <v>BOMBA DE INFUSION. Apilables.5 modos. 01-1200 ml/h. 0.1 ml incr. Compatible con set de infusión genérico. anti-bolo. Detección de aire. Alarmas visuales audibles. Bitacora 1.000 reg. Batería de litio</v>
      </c>
      <c r="C17265" s="6">
        <v>2533333</v>
      </c>
      <c r="D17265" s="5" t="s">
        <v>120</v>
      </c>
      <c r="E17265" s="5" t="str">
        <f t="shared" si="884"/>
        <v>ELEMENTOS EN BODEGA USADOS</v>
      </c>
      <c r="F17265" s="5"/>
      <c r="G17265" s="5"/>
    </row>
    <row r="17266" spans="1:7" ht="58.5" customHeight="1" x14ac:dyDescent="0.25">
      <c r="A17266" s="5" t="str">
        <f>"H0033406"</f>
        <v>H0033406</v>
      </c>
      <c r="B17266" s="5" t="str">
        <f t="shared" si="883"/>
        <v>BOMBA DE INFUSION. Apilables.5 modos. 01-1200 ml/h. 0.1 ml incr. Compatible con set de infusión genérico. anti-bolo. Detección de aire. Alarmas visuales audibles. Bitacora 1.000 reg. Batería de litio</v>
      </c>
      <c r="C17266" s="6">
        <v>2533333</v>
      </c>
      <c r="D17266" s="5" t="s">
        <v>120</v>
      </c>
      <c r="E17266" s="5" t="str">
        <f t="shared" si="884"/>
        <v>ELEMENTOS EN BODEGA USADOS</v>
      </c>
      <c r="F17266" s="5"/>
      <c r="G17266" s="5"/>
    </row>
    <row r="17267" spans="1:7" ht="58.5" customHeight="1" x14ac:dyDescent="0.25">
      <c r="A17267" s="5" t="str">
        <f>"H0033407"</f>
        <v>H0033407</v>
      </c>
      <c r="B17267" s="5" t="str">
        <f t="shared" si="883"/>
        <v>BOMBA DE INFUSION. Apilables.5 modos. 01-1200 ml/h. 0.1 ml incr. Compatible con set de infusión genérico. anti-bolo. Detección de aire. Alarmas visuales audibles. Bitacora 1.000 reg. Batería de litio</v>
      </c>
      <c r="C17267" s="6">
        <v>2533333</v>
      </c>
      <c r="D17267" s="5" t="s">
        <v>120</v>
      </c>
      <c r="E17267" s="5" t="str">
        <f t="shared" si="884"/>
        <v>ELEMENTOS EN BODEGA USADOS</v>
      </c>
      <c r="F17267" s="5"/>
      <c r="G17267" s="5"/>
    </row>
    <row r="17268" spans="1:7" ht="58.5" customHeight="1" x14ac:dyDescent="0.25">
      <c r="A17268" s="5" t="str">
        <f>"H0033408"</f>
        <v>H0033408</v>
      </c>
      <c r="B17268" s="5" t="str">
        <f t="shared" si="883"/>
        <v>BOMBA DE INFUSION. Apilables.5 modos. 01-1200 ml/h. 0.1 ml incr. Compatible con set de infusión genérico. anti-bolo. Detección de aire. Alarmas visuales audibles. Bitacora 1.000 reg. Batería de litio</v>
      </c>
      <c r="C17268" s="6">
        <v>2533333</v>
      </c>
      <c r="D17268" s="5" t="s">
        <v>120</v>
      </c>
      <c r="E17268" s="5" t="str">
        <f t="shared" si="884"/>
        <v>ELEMENTOS EN BODEGA USADOS</v>
      </c>
      <c r="F17268" s="5"/>
      <c r="G17268" s="5"/>
    </row>
    <row r="17269" spans="1:7" ht="58.5" customHeight="1" x14ac:dyDescent="0.25">
      <c r="A17269" s="5" t="str">
        <f>"H0033409"</f>
        <v>H0033409</v>
      </c>
      <c r="B17269" s="5" t="str">
        <f t="shared" si="883"/>
        <v>BOMBA DE INFUSION. Apilables.5 modos. 01-1200 ml/h. 0.1 ml incr. Compatible con set de infusión genérico. anti-bolo. Detección de aire. Alarmas visuales audibles. Bitacora 1.000 reg. Batería de litio</v>
      </c>
      <c r="C17269" s="6">
        <v>2533333</v>
      </c>
      <c r="D17269" s="5" t="s">
        <v>120</v>
      </c>
      <c r="E17269" s="5" t="str">
        <f t="shared" si="884"/>
        <v>ELEMENTOS EN BODEGA USADOS</v>
      </c>
      <c r="F17269" s="5"/>
      <c r="G17269" s="5"/>
    </row>
    <row r="17270" spans="1:7" ht="58.5" customHeight="1" x14ac:dyDescent="0.25">
      <c r="A17270" s="5" t="str">
        <f>"H0033410"</f>
        <v>H0033410</v>
      </c>
      <c r="B17270" s="5" t="str">
        <f t="shared" si="883"/>
        <v>BOMBA DE INFUSION. Apilables.5 modos. 01-1200 ml/h. 0.1 ml incr. Compatible con set de infusión genérico. anti-bolo. Detección de aire. Alarmas visuales audibles. Bitacora 1.000 reg. Batería de litio</v>
      </c>
      <c r="C17270" s="6">
        <v>2533333</v>
      </c>
      <c r="D17270" s="5" t="s">
        <v>120</v>
      </c>
      <c r="E17270" s="5" t="str">
        <f t="shared" si="884"/>
        <v>ELEMENTOS EN BODEGA USADOS</v>
      </c>
      <c r="F17270" s="5"/>
      <c r="G17270" s="5"/>
    </row>
    <row r="17271" spans="1:7" ht="58.5" customHeight="1" x14ac:dyDescent="0.25">
      <c r="A17271" s="5" t="str">
        <f>"H0033415"</f>
        <v>H0033415</v>
      </c>
      <c r="B17271" s="5" t="str">
        <f t="shared" si="883"/>
        <v>BOMBA DE INFUSION. Apilables.5 modos. 01-1200 ml/h. 0.1 ml incr. Compatible con set de infusión genérico. anti-bolo. Detección de aire. Alarmas visuales audibles. Bitacora 1.000 reg. Batería de litio</v>
      </c>
      <c r="C17271" s="6">
        <v>2533333</v>
      </c>
      <c r="D17271" s="5" t="s">
        <v>120</v>
      </c>
      <c r="E17271" s="5" t="str">
        <f t="shared" si="884"/>
        <v>ELEMENTOS EN BODEGA USADOS</v>
      </c>
      <c r="F17271" s="5"/>
      <c r="G17271" s="5"/>
    </row>
    <row r="17272" spans="1:7" ht="58.5" customHeight="1" x14ac:dyDescent="0.25">
      <c r="A17272" s="5" t="str">
        <f>"H0033420"</f>
        <v>H0033420</v>
      </c>
      <c r="B17272" s="5" t="str">
        <f t="shared" si="883"/>
        <v>BOMBA DE INFUSION. Apilables.5 modos. 01-1200 ml/h. 0.1 ml incr. Compatible con set de infusión genérico. anti-bolo. Detección de aire. Alarmas visuales audibles. Bitacora 1.000 reg. Batería de litio</v>
      </c>
      <c r="C17272" s="6">
        <v>2533333</v>
      </c>
      <c r="D17272" s="5" t="s">
        <v>120</v>
      </c>
      <c r="E17272" s="5" t="str">
        <f t="shared" si="884"/>
        <v>ELEMENTOS EN BODEGA USADOS</v>
      </c>
      <c r="F17272" s="5"/>
      <c r="G17272" s="5"/>
    </row>
    <row r="17273" spans="1:7" ht="58.5" customHeight="1" x14ac:dyDescent="0.25">
      <c r="A17273" s="5" t="str">
        <f>"H0033427"</f>
        <v>H0033427</v>
      </c>
      <c r="B17273" s="5" t="str">
        <f t="shared" si="883"/>
        <v>BOMBA DE INFUSION. Apilables.5 modos. 01-1200 ml/h. 0.1 ml incr. Compatible con set de infusión genérico. anti-bolo. Detección de aire. Alarmas visuales audibles. Bitacora 1.000 reg. Batería de litio</v>
      </c>
      <c r="C17273" s="6">
        <v>2533333</v>
      </c>
      <c r="D17273" s="5" t="s">
        <v>120</v>
      </c>
      <c r="E17273" s="5" t="str">
        <f t="shared" si="884"/>
        <v>ELEMENTOS EN BODEGA USADOS</v>
      </c>
      <c r="F17273" s="5"/>
      <c r="G17273" s="5"/>
    </row>
    <row r="17274" spans="1:7" ht="58.5" customHeight="1" x14ac:dyDescent="0.25">
      <c r="A17274" s="5" t="str">
        <f>"H0033432"</f>
        <v>H0033432</v>
      </c>
      <c r="B17274" s="5" t="str">
        <f>"BOMBA DE NUTRICION. 1 mL/h a 600 mL/h. 1 mL/h a 5 mL/h incr. ± 7% a 125 mL/h. Cumple 60601-2-24."</f>
        <v>BOMBA DE NUTRICION. 1 mL/h a 600 mL/h. 1 mL/h a 5 mL/h incr. ± 7% a 125 mL/h. Cumple 60601-2-24.</v>
      </c>
      <c r="C17274" s="6">
        <v>3066667</v>
      </c>
      <c r="D17274" s="5" t="s">
        <v>120</v>
      </c>
      <c r="E17274" s="5" t="str">
        <f t="shared" si="884"/>
        <v>ELEMENTOS EN BODEGA USADOS</v>
      </c>
      <c r="F17274" s="5"/>
      <c r="G17274" s="5"/>
    </row>
    <row r="17275" spans="1:7" ht="58.5" customHeight="1" x14ac:dyDescent="0.25">
      <c r="A17275" s="5" t="str">
        <f>"H0033439"</f>
        <v>H0033439</v>
      </c>
      <c r="B17275" s="5" t="str">
        <f>"BOMBA DE NUTRICION. 1 mL/h a 600 mL/h. 1 mL/h a 5 mL/h incr. ± 7% a 125 mL/h. Cumple 60601-2-24."</f>
        <v>BOMBA DE NUTRICION. 1 mL/h a 600 mL/h. 1 mL/h a 5 mL/h incr. ± 7% a 125 mL/h. Cumple 60601-2-24.</v>
      </c>
      <c r="C17275" s="6">
        <v>3066667</v>
      </c>
      <c r="D17275" s="5" t="s">
        <v>120</v>
      </c>
      <c r="E17275" s="5" t="str">
        <f t="shared" si="884"/>
        <v>ELEMENTOS EN BODEGA USADOS</v>
      </c>
      <c r="F17275" s="5"/>
      <c r="G17275" s="5"/>
    </row>
    <row r="17276" spans="1:7" ht="58.5" customHeight="1" x14ac:dyDescent="0.25">
      <c r="A17276" s="5" t="str">
        <f>"H0033441"</f>
        <v>H0033441</v>
      </c>
      <c r="B17276" s="5" t="str">
        <f t="shared" ref="B17276:B17307" si="885">"BOMBA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276" s="6">
        <v>2225000</v>
      </c>
      <c r="D17276" s="5" t="s">
        <v>119</v>
      </c>
      <c r="E17276" s="5" t="str">
        <f t="shared" si="884"/>
        <v>ELEMENTOS EN BODEGA USADOS</v>
      </c>
      <c r="F17276" s="5"/>
      <c r="G17276" s="5" t="str">
        <f t="shared" ref="G17276:G17292" si="886">"SYS-6010"</f>
        <v>SYS-6010</v>
      </c>
    </row>
    <row r="17277" spans="1:7" ht="58.5" customHeight="1" x14ac:dyDescent="0.25">
      <c r="A17277" s="5" t="str">
        <f>"H0033443"</f>
        <v>H0033443</v>
      </c>
      <c r="B17277" s="5" t="str">
        <f t="shared" si="885"/>
        <v>BOMBA DE INFUSION. Apilables.5 modos. 01-1200 ml/h. 0.1 ml incr. Compatible con set de infusión genérico. anti-bolo. Detección de aire. Alarmas visuales audibles. Bitacora 1.000 reg. Batería de litio</v>
      </c>
      <c r="C17277" s="6">
        <v>2225000</v>
      </c>
      <c r="D17277" s="5" t="s">
        <v>119</v>
      </c>
      <c r="E17277" s="5" t="str">
        <f t="shared" si="884"/>
        <v>ELEMENTOS EN BODEGA USADOS</v>
      </c>
      <c r="F17277" s="5"/>
      <c r="G17277" s="5" t="str">
        <f t="shared" si="886"/>
        <v>SYS-6010</v>
      </c>
    </row>
    <row r="17278" spans="1:7" ht="58.5" customHeight="1" x14ac:dyDescent="0.25">
      <c r="A17278" s="5" t="str">
        <f>"H0033444"</f>
        <v>H0033444</v>
      </c>
      <c r="B17278" s="5" t="str">
        <f t="shared" si="885"/>
        <v>BOMBA DE INFUSION. Apilables.5 modos. 01-1200 ml/h. 0.1 ml incr. Compatible con set de infusión genérico. anti-bolo. Detección de aire. Alarmas visuales audibles. Bitacora 1.000 reg. Batería de litio</v>
      </c>
      <c r="C17278" s="6">
        <v>2225000</v>
      </c>
      <c r="D17278" s="5" t="s">
        <v>119</v>
      </c>
      <c r="E17278" s="5" t="str">
        <f t="shared" si="884"/>
        <v>ELEMENTOS EN BODEGA USADOS</v>
      </c>
      <c r="F17278" s="5"/>
      <c r="G17278" s="5" t="str">
        <f t="shared" si="886"/>
        <v>SYS-6010</v>
      </c>
    </row>
    <row r="17279" spans="1:7" ht="58.5" customHeight="1" x14ac:dyDescent="0.25">
      <c r="A17279" s="5" t="str">
        <f>"H0033446"</f>
        <v>H0033446</v>
      </c>
      <c r="B17279" s="5" t="str">
        <f t="shared" si="885"/>
        <v>BOMBA DE INFUSION. Apilables.5 modos. 01-1200 ml/h. 0.1 ml incr. Compatible con set de infusión genérico. anti-bolo. Detección de aire. Alarmas visuales audibles. Bitacora 1.000 reg. Batería de litio</v>
      </c>
      <c r="C17279" s="6">
        <v>2225000</v>
      </c>
      <c r="D17279" s="5" t="s">
        <v>119</v>
      </c>
      <c r="E17279" s="5" t="str">
        <f t="shared" si="884"/>
        <v>ELEMENTOS EN BODEGA USADOS</v>
      </c>
      <c r="F17279" s="5"/>
      <c r="G17279" s="5" t="str">
        <f t="shared" si="886"/>
        <v>SYS-6010</v>
      </c>
    </row>
    <row r="17280" spans="1:7" ht="58.5" customHeight="1" x14ac:dyDescent="0.25">
      <c r="A17280" s="5" t="str">
        <f>"H0033447"</f>
        <v>H0033447</v>
      </c>
      <c r="B17280" s="5" t="str">
        <f t="shared" si="885"/>
        <v>BOMBA DE INFUSION. Apilables.5 modos. 01-1200 ml/h. 0.1 ml incr. Compatible con set de infusión genérico. anti-bolo. Detección de aire. Alarmas visuales audibles. Bitacora 1.000 reg. Batería de litio</v>
      </c>
      <c r="C17280" s="6">
        <v>2225000</v>
      </c>
      <c r="D17280" s="5" t="s">
        <v>119</v>
      </c>
      <c r="E17280" s="5" t="str">
        <f t="shared" si="884"/>
        <v>ELEMENTOS EN BODEGA USADOS</v>
      </c>
      <c r="F17280" s="5"/>
      <c r="G17280" s="5" t="str">
        <f t="shared" si="886"/>
        <v>SYS-6010</v>
      </c>
    </row>
    <row r="17281" spans="1:7" ht="58.5" customHeight="1" x14ac:dyDescent="0.25">
      <c r="A17281" s="5" t="str">
        <f>"H0033448"</f>
        <v>H0033448</v>
      </c>
      <c r="B17281" s="5" t="str">
        <f t="shared" si="885"/>
        <v>BOMBA DE INFUSION. Apilables.5 modos. 01-1200 ml/h. 0.1 ml incr. Compatible con set de infusión genérico. anti-bolo. Detección de aire. Alarmas visuales audibles. Bitacora 1.000 reg. Batería de litio</v>
      </c>
      <c r="C17281" s="6">
        <v>2225000</v>
      </c>
      <c r="D17281" s="5" t="s">
        <v>119</v>
      </c>
      <c r="E17281" s="5" t="str">
        <f t="shared" si="884"/>
        <v>ELEMENTOS EN BODEGA USADOS</v>
      </c>
      <c r="F17281" s="5"/>
      <c r="G17281" s="5" t="str">
        <f t="shared" si="886"/>
        <v>SYS-6010</v>
      </c>
    </row>
    <row r="17282" spans="1:7" ht="58.5" customHeight="1" x14ac:dyDescent="0.25">
      <c r="A17282" s="5" t="str">
        <f>"H0033449"</f>
        <v>H0033449</v>
      </c>
      <c r="B17282" s="5" t="str">
        <f t="shared" si="885"/>
        <v>BOMBA DE INFUSION. Apilables.5 modos. 01-1200 ml/h. 0.1 ml incr. Compatible con set de infusión genérico. anti-bolo. Detección de aire. Alarmas visuales audibles. Bitacora 1.000 reg. Batería de litio</v>
      </c>
      <c r="C17282" s="6">
        <v>2225000</v>
      </c>
      <c r="D17282" s="5" t="s">
        <v>119</v>
      </c>
      <c r="E17282" s="5" t="str">
        <f t="shared" si="884"/>
        <v>ELEMENTOS EN BODEGA USADOS</v>
      </c>
      <c r="F17282" s="5"/>
      <c r="G17282" s="5" t="str">
        <f t="shared" si="886"/>
        <v>SYS-6010</v>
      </c>
    </row>
    <row r="17283" spans="1:7" ht="58.5" customHeight="1" x14ac:dyDescent="0.25">
      <c r="A17283" s="5" t="str">
        <f>"H0033450"</f>
        <v>H0033450</v>
      </c>
      <c r="B17283" s="5" t="str">
        <f t="shared" si="885"/>
        <v>BOMBA DE INFUSION. Apilables.5 modos. 01-1200 ml/h. 0.1 ml incr. Compatible con set de infusión genérico. anti-bolo. Detección de aire. Alarmas visuales audibles. Bitacora 1.000 reg. Batería de litio</v>
      </c>
      <c r="C17283" s="6">
        <v>2225000</v>
      </c>
      <c r="D17283" s="5" t="s">
        <v>119</v>
      </c>
      <c r="E17283" s="5" t="str">
        <f t="shared" si="884"/>
        <v>ELEMENTOS EN BODEGA USADOS</v>
      </c>
      <c r="F17283" s="5"/>
      <c r="G17283" s="5" t="str">
        <f t="shared" si="886"/>
        <v>SYS-6010</v>
      </c>
    </row>
    <row r="17284" spans="1:7" ht="58.5" customHeight="1" x14ac:dyDescent="0.25">
      <c r="A17284" s="5" t="str">
        <f>"H0033451"</f>
        <v>H0033451</v>
      </c>
      <c r="B17284" s="5" t="str">
        <f t="shared" si="885"/>
        <v>BOMBA DE INFUSION. Apilables.5 modos. 01-1200 ml/h. 0.1 ml incr. Compatible con set de infusión genérico. anti-bolo. Detección de aire. Alarmas visuales audibles. Bitacora 1.000 reg. Batería de litio</v>
      </c>
      <c r="C17284" s="6">
        <v>2225000</v>
      </c>
      <c r="D17284" s="5" t="s">
        <v>119</v>
      </c>
      <c r="E17284" s="5" t="str">
        <f t="shared" si="884"/>
        <v>ELEMENTOS EN BODEGA USADOS</v>
      </c>
      <c r="F17284" s="5"/>
      <c r="G17284" s="5" t="str">
        <f t="shared" si="886"/>
        <v>SYS-6010</v>
      </c>
    </row>
    <row r="17285" spans="1:7" ht="58.5" customHeight="1" x14ac:dyDescent="0.25">
      <c r="A17285" s="5" t="str">
        <f>"H0033452"</f>
        <v>H0033452</v>
      </c>
      <c r="B17285" s="5" t="str">
        <f t="shared" si="885"/>
        <v>BOMBA DE INFUSION. Apilables.5 modos. 01-1200 ml/h. 0.1 ml incr. Compatible con set de infusión genérico. anti-bolo. Detección de aire. Alarmas visuales audibles. Bitacora 1.000 reg. Batería de litio</v>
      </c>
      <c r="C17285" s="6">
        <v>2225000</v>
      </c>
      <c r="D17285" s="5" t="s">
        <v>119</v>
      </c>
      <c r="E17285" s="5" t="str">
        <f t="shared" si="884"/>
        <v>ELEMENTOS EN BODEGA USADOS</v>
      </c>
      <c r="F17285" s="5"/>
      <c r="G17285" s="5" t="str">
        <f t="shared" si="886"/>
        <v>SYS-6010</v>
      </c>
    </row>
    <row r="17286" spans="1:7" ht="58.5" customHeight="1" x14ac:dyDescent="0.25">
      <c r="A17286" s="5" t="str">
        <f>"H0033453"</f>
        <v>H0033453</v>
      </c>
      <c r="B17286" s="5" t="str">
        <f t="shared" si="885"/>
        <v>BOMBA DE INFUSION. Apilables.5 modos. 01-1200 ml/h. 0.1 ml incr. Compatible con set de infusión genérico. anti-bolo. Detección de aire. Alarmas visuales audibles. Bitacora 1.000 reg. Batería de litio</v>
      </c>
      <c r="C17286" s="6">
        <v>2225000</v>
      </c>
      <c r="D17286" s="5" t="s">
        <v>119</v>
      </c>
      <c r="E17286" s="5" t="str">
        <f t="shared" si="884"/>
        <v>ELEMENTOS EN BODEGA USADOS</v>
      </c>
      <c r="F17286" s="5"/>
      <c r="G17286" s="5" t="str">
        <f t="shared" si="886"/>
        <v>SYS-6010</v>
      </c>
    </row>
    <row r="17287" spans="1:7" ht="58.5" customHeight="1" x14ac:dyDescent="0.25">
      <c r="A17287" s="5" t="str">
        <f>"H0033455"</f>
        <v>H0033455</v>
      </c>
      <c r="B17287" s="5" t="str">
        <f t="shared" si="885"/>
        <v>BOMBA DE INFUSION. Apilables.5 modos. 01-1200 ml/h. 0.1 ml incr. Compatible con set de infusión genérico. anti-bolo. Detección de aire. Alarmas visuales audibles. Bitacora 1.000 reg. Batería de litio</v>
      </c>
      <c r="C17287" s="6">
        <v>2225000</v>
      </c>
      <c r="D17287" s="5" t="s">
        <v>119</v>
      </c>
      <c r="E17287" s="5" t="str">
        <f t="shared" si="884"/>
        <v>ELEMENTOS EN BODEGA USADOS</v>
      </c>
      <c r="F17287" s="5"/>
      <c r="G17287" s="5" t="str">
        <f t="shared" si="886"/>
        <v>SYS-6010</v>
      </c>
    </row>
    <row r="17288" spans="1:7" ht="58.5" customHeight="1" x14ac:dyDescent="0.25">
      <c r="A17288" s="5" t="str">
        <f>"H0033457"</f>
        <v>H0033457</v>
      </c>
      <c r="B17288" s="5" t="str">
        <f t="shared" si="885"/>
        <v>BOMBA DE INFUSION. Apilables.5 modos. 01-1200 ml/h. 0.1 ml incr. Compatible con set de infusión genérico. anti-bolo. Detección de aire. Alarmas visuales audibles. Bitacora 1.000 reg. Batería de litio</v>
      </c>
      <c r="C17288" s="6">
        <v>2225000</v>
      </c>
      <c r="D17288" s="5" t="s">
        <v>818</v>
      </c>
      <c r="E17288" s="5" t="str">
        <f t="shared" si="884"/>
        <v>ELEMENTOS EN BODEGA USADOS</v>
      </c>
      <c r="F17288" s="5"/>
      <c r="G17288" s="5" t="str">
        <f t="shared" si="886"/>
        <v>SYS-6010</v>
      </c>
    </row>
    <row r="17289" spans="1:7" ht="58.5" customHeight="1" x14ac:dyDescent="0.25">
      <c r="A17289" s="5" t="str">
        <f>"H0033459"</f>
        <v>H0033459</v>
      </c>
      <c r="B17289" s="5" t="str">
        <f t="shared" si="885"/>
        <v>BOMBA DE INFUSION. Apilables.5 modos. 01-1200 ml/h. 0.1 ml incr. Compatible con set de infusión genérico. anti-bolo. Detección de aire. Alarmas visuales audibles. Bitacora 1.000 reg. Batería de litio</v>
      </c>
      <c r="C17289" s="6">
        <v>2225000</v>
      </c>
      <c r="D17289" s="5" t="s">
        <v>119</v>
      </c>
      <c r="E17289" s="5" t="str">
        <f t="shared" si="884"/>
        <v>ELEMENTOS EN BODEGA USADOS</v>
      </c>
      <c r="F17289" s="5"/>
      <c r="G17289" s="5" t="str">
        <f t="shared" si="886"/>
        <v>SYS-6010</v>
      </c>
    </row>
    <row r="17290" spans="1:7" ht="58.5" customHeight="1" x14ac:dyDescent="0.25">
      <c r="A17290" s="5" t="str">
        <f>"H0033460"</f>
        <v>H0033460</v>
      </c>
      <c r="B17290" s="5" t="str">
        <f t="shared" si="885"/>
        <v>BOMBA DE INFUSION. Apilables.5 modos. 01-1200 ml/h. 0.1 ml incr. Compatible con set de infusión genérico. anti-bolo. Detección de aire. Alarmas visuales audibles. Bitacora 1.000 reg. Batería de litio</v>
      </c>
      <c r="C17290" s="6">
        <v>2225000</v>
      </c>
      <c r="D17290" s="5" t="s">
        <v>119</v>
      </c>
      <c r="E17290" s="5" t="str">
        <f t="shared" si="884"/>
        <v>ELEMENTOS EN BODEGA USADOS</v>
      </c>
      <c r="F17290" s="5"/>
      <c r="G17290" s="5" t="str">
        <f t="shared" si="886"/>
        <v>SYS-6010</v>
      </c>
    </row>
    <row r="17291" spans="1:7" ht="58.5" customHeight="1" x14ac:dyDescent="0.25">
      <c r="A17291" s="5" t="str">
        <f>"H0033461"</f>
        <v>H0033461</v>
      </c>
      <c r="B17291" s="5" t="str">
        <f t="shared" si="885"/>
        <v>BOMBA DE INFUSION. Apilables.5 modos. 01-1200 ml/h. 0.1 ml incr. Compatible con set de infusión genérico. anti-bolo. Detección de aire. Alarmas visuales audibles. Bitacora 1.000 reg. Batería de litio</v>
      </c>
      <c r="C17291" s="6">
        <v>2225000</v>
      </c>
      <c r="D17291" s="5" t="s">
        <v>119</v>
      </c>
      <c r="E17291" s="5" t="str">
        <f t="shared" si="884"/>
        <v>ELEMENTOS EN BODEGA USADOS</v>
      </c>
      <c r="F17291" s="5"/>
      <c r="G17291" s="5" t="str">
        <f t="shared" si="886"/>
        <v>SYS-6010</v>
      </c>
    </row>
    <row r="17292" spans="1:7" ht="58.5" customHeight="1" x14ac:dyDescent="0.25">
      <c r="A17292" s="5" t="str">
        <f>"H0033462"</f>
        <v>H0033462</v>
      </c>
      <c r="B17292" s="5" t="str">
        <f t="shared" si="885"/>
        <v>BOMBA DE INFUSION. Apilables.5 modos. 01-1200 ml/h. 0.1 ml incr. Compatible con set de infusión genérico. anti-bolo. Detección de aire. Alarmas visuales audibles. Bitacora 1.000 reg. Batería de litio</v>
      </c>
      <c r="C17292" s="6">
        <v>2225000</v>
      </c>
      <c r="D17292" s="5" t="s">
        <v>119</v>
      </c>
      <c r="E17292" s="5" t="str">
        <f t="shared" si="884"/>
        <v>ELEMENTOS EN BODEGA USADOS</v>
      </c>
      <c r="F17292" s="5"/>
      <c r="G17292" s="5" t="str">
        <f t="shared" si="886"/>
        <v>SYS-6010</v>
      </c>
    </row>
    <row r="17293" spans="1:7" ht="58.5" customHeight="1" x14ac:dyDescent="0.25">
      <c r="A17293" s="5" t="str">
        <f>"H0033478"</f>
        <v>H0033478</v>
      </c>
      <c r="B17293" s="5" t="str">
        <f t="shared" si="885"/>
        <v>BOMBA DE INFUSION. Apilables.5 modos. 01-1200 ml/h. 0.1 ml incr. Compatible con set de infusión genérico. anti-bolo. Detección de aire. Alarmas visuales audibles. Bitacora 1.000 reg. Batería de litio</v>
      </c>
      <c r="C17293" s="6">
        <v>2533333</v>
      </c>
      <c r="D17293" s="5" t="s">
        <v>120</v>
      </c>
      <c r="E17293" s="5" t="str">
        <f t="shared" si="884"/>
        <v>ELEMENTOS EN BODEGA USADOS</v>
      </c>
      <c r="F17293" s="5"/>
      <c r="G17293" s="5"/>
    </row>
    <row r="17294" spans="1:7" ht="58.5" customHeight="1" x14ac:dyDescent="0.25">
      <c r="A17294" s="5" t="str">
        <f>"H0033482"</f>
        <v>H0033482</v>
      </c>
      <c r="B17294" s="5" t="str">
        <f t="shared" si="885"/>
        <v>BOMBA DE INFUSION. Apilables.5 modos. 01-1200 ml/h. 0.1 ml incr. Compatible con set de infusión genérico. anti-bolo. Detección de aire. Alarmas visuales audibles. Bitacora 1.000 reg. Batería de litio</v>
      </c>
      <c r="C17294" s="6">
        <v>2533333</v>
      </c>
      <c r="D17294" s="5" t="s">
        <v>120</v>
      </c>
      <c r="E17294" s="5" t="str">
        <f t="shared" si="884"/>
        <v>ELEMENTOS EN BODEGA USADOS</v>
      </c>
      <c r="F17294" s="5"/>
      <c r="G17294" s="5"/>
    </row>
    <row r="17295" spans="1:7" ht="58.5" customHeight="1" x14ac:dyDescent="0.25">
      <c r="A17295" s="5" t="str">
        <f>"H0033483"</f>
        <v>H0033483</v>
      </c>
      <c r="B17295" s="5" t="str">
        <f t="shared" si="885"/>
        <v>BOMBA DE INFUSION. Apilables.5 modos. 01-1200 ml/h. 0.1 ml incr. Compatible con set de infusión genérico. anti-bolo. Detección de aire. Alarmas visuales audibles. Bitacora 1.000 reg. Batería de litio</v>
      </c>
      <c r="C17295" s="6">
        <v>2533333</v>
      </c>
      <c r="D17295" s="5" t="s">
        <v>120</v>
      </c>
      <c r="E17295" s="5" t="str">
        <f t="shared" si="884"/>
        <v>ELEMENTOS EN BODEGA USADOS</v>
      </c>
      <c r="F17295" s="5"/>
      <c r="G17295" s="5"/>
    </row>
    <row r="17296" spans="1:7" ht="58.5" customHeight="1" x14ac:dyDescent="0.25">
      <c r="A17296" s="5" t="str">
        <f>"H0033486"</f>
        <v>H0033486</v>
      </c>
      <c r="B17296" s="5" t="str">
        <f t="shared" si="885"/>
        <v>BOMBA DE INFUSION. Apilables.5 modos. 01-1200 ml/h. 0.1 ml incr. Compatible con set de infusión genérico. anti-bolo. Detección de aire. Alarmas visuales audibles. Bitacora 1.000 reg. Batería de litio</v>
      </c>
      <c r="C17296" s="6">
        <v>2533333</v>
      </c>
      <c r="D17296" s="5" t="s">
        <v>120</v>
      </c>
      <c r="E17296" s="5" t="str">
        <f t="shared" si="884"/>
        <v>ELEMENTOS EN BODEGA USADOS</v>
      </c>
      <c r="F17296" s="5"/>
      <c r="G17296" s="5"/>
    </row>
    <row r="17297" spans="1:7" ht="58.5" customHeight="1" x14ac:dyDescent="0.25">
      <c r="A17297" s="5" t="str">
        <f>"H0033488"</f>
        <v>H0033488</v>
      </c>
      <c r="B17297" s="5" t="str">
        <f t="shared" si="885"/>
        <v>BOMBA DE INFUSION. Apilables.5 modos. 01-1200 ml/h. 0.1 ml incr. Compatible con set de infusión genérico. anti-bolo. Detección de aire. Alarmas visuales audibles. Bitacora 1.000 reg. Batería de litio</v>
      </c>
      <c r="C17297" s="6">
        <v>2533333</v>
      </c>
      <c r="D17297" s="5" t="s">
        <v>120</v>
      </c>
      <c r="E17297" s="5" t="str">
        <f t="shared" si="884"/>
        <v>ELEMENTOS EN BODEGA USADOS</v>
      </c>
      <c r="F17297" s="5"/>
      <c r="G17297" s="5"/>
    </row>
    <row r="17298" spans="1:7" ht="58.5" customHeight="1" x14ac:dyDescent="0.25">
      <c r="A17298" s="5" t="str">
        <f>"H0033490"</f>
        <v>H0033490</v>
      </c>
      <c r="B17298" s="5" t="str">
        <f t="shared" si="885"/>
        <v>BOMBA DE INFUSION. Apilables.5 modos. 01-1200 ml/h. 0.1 ml incr. Compatible con set de infusión genérico. anti-bolo. Detección de aire. Alarmas visuales audibles. Bitacora 1.000 reg. Batería de litio</v>
      </c>
      <c r="C17298" s="6">
        <v>2533333</v>
      </c>
      <c r="D17298" s="5" t="s">
        <v>120</v>
      </c>
      <c r="E17298" s="5" t="str">
        <f t="shared" si="884"/>
        <v>ELEMENTOS EN BODEGA USADOS</v>
      </c>
      <c r="F17298" s="5"/>
      <c r="G17298" s="5"/>
    </row>
    <row r="17299" spans="1:7" ht="58.5" customHeight="1" x14ac:dyDescent="0.25">
      <c r="A17299" s="5" t="str">
        <f>"H0033491"</f>
        <v>H0033491</v>
      </c>
      <c r="B17299" s="5" t="str">
        <f t="shared" si="885"/>
        <v>BOMBA DE INFUSION. Apilables.5 modos. 01-1200 ml/h. 0.1 ml incr. Compatible con set de infusión genérico. anti-bolo. Detección de aire. Alarmas visuales audibles. Bitacora 1.000 reg. Batería de litio</v>
      </c>
      <c r="C17299" s="6">
        <v>2533333</v>
      </c>
      <c r="D17299" s="5" t="s">
        <v>120</v>
      </c>
      <c r="E17299" s="5" t="str">
        <f t="shared" si="884"/>
        <v>ELEMENTOS EN BODEGA USADOS</v>
      </c>
      <c r="F17299" s="5"/>
      <c r="G17299" s="5"/>
    </row>
    <row r="17300" spans="1:7" ht="58.5" customHeight="1" x14ac:dyDescent="0.25">
      <c r="A17300" s="5" t="str">
        <f>"H0033493"</f>
        <v>H0033493</v>
      </c>
      <c r="B17300" s="5" t="str">
        <f t="shared" si="885"/>
        <v>BOMBA DE INFUSION. Apilables.5 modos. 01-1200 ml/h. 0.1 ml incr. Compatible con set de infusión genérico. anti-bolo. Detección de aire. Alarmas visuales audibles. Bitacora 1.000 reg. Batería de litio</v>
      </c>
      <c r="C17300" s="6">
        <v>2533333</v>
      </c>
      <c r="D17300" s="5" t="s">
        <v>120</v>
      </c>
      <c r="E17300" s="5" t="str">
        <f t="shared" si="884"/>
        <v>ELEMENTOS EN BODEGA USADOS</v>
      </c>
      <c r="F17300" s="5"/>
      <c r="G17300" s="5"/>
    </row>
    <row r="17301" spans="1:7" ht="58.5" customHeight="1" x14ac:dyDescent="0.25">
      <c r="A17301" s="5" t="str">
        <f>"H0033497"</f>
        <v>H0033497</v>
      </c>
      <c r="B17301" s="5" t="str">
        <f t="shared" si="885"/>
        <v>BOMBA DE INFUSION. Apilables.5 modos. 01-1200 ml/h. 0.1 ml incr. Compatible con set de infusión genérico. anti-bolo. Detección de aire. Alarmas visuales audibles. Bitacora 1.000 reg. Batería de litio</v>
      </c>
      <c r="C17301" s="6">
        <v>2533333</v>
      </c>
      <c r="D17301" s="5" t="s">
        <v>120</v>
      </c>
      <c r="E17301" s="5" t="str">
        <f t="shared" si="884"/>
        <v>ELEMENTOS EN BODEGA USADOS</v>
      </c>
      <c r="F17301" s="5"/>
      <c r="G17301" s="5"/>
    </row>
    <row r="17302" spans="1:7" ht="58.5" customHeight="1" x14ac:dyDescent="0.25">
      <c r="A17302" s="5" t="str">
        <f>"H0033499"</f>
        <v>H0033499</v>
      </c>
      <c r="B17302" s="5" t="str">
        <f t="shared" si="885"/>
        <v>BOMBA DE INFUSION. Apilables.5 modos. 01-1200 ml/h. 0.1 ml incr. Compatible con set de infusión genérico. anti-bolo. Detección de aire. Alarmas visuales audibles. Bitacora 1.000 reg. Batería de litio</v>
      </c>
      <c r="C17302" s="6">
        <v>2533333</v>
      </c>
      <c r="D17302" s="5" t="s">
        <v>120</v>
      </c>
      <c r="E17302" s="5" t="str">
        <f t="shared" si="884"/>
        <v>ELEMENTOS EN BODEGA USADOS</v>
      </c>
      <c r="F17302" s="5"/>
      <c r="G17302" s="5"/>
    </row>
    <row r="17303" spans="1:7" ht="58.5" customHeight="1" x14ac:dyDescent="0.25">
      <c r="A17303" s="5" t="str">
        <f>"H0033500"</f>
        <v>H0033500</v>
      </c>
      <c r="B17303" s="5" t="str">
        <f t="shared" si="885"/>
        <v>BOMBA DE INFUSION. Apilables.5 modos. 01-1200 ml/h. 0.1 ml incr. Compatible con set de infusión genérico. anti-bolo. Detección de aire. Alarmas visuales audibles. Bitacora 1.000 reg. Batería de litio</v>
      </c>
      <c r="C17303" s="6">
        <v>2533333</v>
      </c>
      <c r="D17303" s="5" t="s">
        <v>120</v>
      </c>
      <c r="E17303" s="5" t="str">
        <f t="shared" si="884"/>
        <v>ELEMENTOS EN BODEGA USADOS</v>
      </c>
      <c r="F17303" s="5"/>
      <c r="G17303" s="5"/>
    </row>
    <row r="17304" spans="1:7" ht="58.5" customHeight="1" x14ac:dyDescent="0.25">
      <c r="A17304" s="5" t="str">
        <f>"H0033501"</f>
        <v>H0033501</v>
      </c>
      <c r="B17304" s="5" t="str">
        <f t="shared" si="885"/>
        <v>BOMBA DE INFUSION. Apilables.5 modos. 01-1200 ml/h. 0.1 ml incr. Compatible con set de infusión genérico. anti-bolo. Detección de aire. Alarmas visuales audibles. Bitacora 1.000 reg. Batería de litio</v>
      </c>
      <c r="C17304" s="6">
        <v>2533333</v>
      </c>
      <c r="D17304" s="5" t="s">
        <v>120</v>
      </c>
      <c r="E17304" s="5" t="str">
        <f t="shared" si="884"/>
        <v>ELEMENTOS EN BODEGA USADOS</v>
      </c>
      <c r="F17304" s="5"/>
      <c r="G17304" s="5"/>
    </row>
    <row r="17305" spans="1:7" ht="58.5" customHeight="1" x14ac:dyDescent="0.25">
      <c r="A17305" s="5" t="str">
        <f>"H0033504"</f>
        <v>H0033504</v>
      </c>
      <c r="B17305" s="5" t="str">
        <f t="shared" si="885"/>
        <v>BOMBA DE INFUSION. Apilables.5 modos. 01-1200 ml/h. 0.1 ml incr. Compatible con set de infusión genérico. anti-bolo. Detección de aire. Alarmas visuales audibles. Bitacora 1.000 reg. Batería de litio</v>
      </c>
      <c r="C17305" s="6">
        <v>2533333</v>
      </c>
      <c r="D17305" s="5" t="s">
        <v>120</v>
      </c>
      <c r="E17305" s="5" t="str">
        <f t="shared" si="884"/>
        <v>ELEMENTOS EN BODEGA USADOS</v>
      </c>
      <c r="F17305" s="5"/>
      <c r="G17305" s="5"/>
    </row>
    <row r="17306" spans="1:7" ht="58.5" customHeight="1" x14ac:dyDescent="0.25">
      <c r="A17306" s="5" t="str">
        <f>"H0033506"</f>
        <v>H0033506</v>
      </c>
      <c r="B17306" s="5" t="str">
        <f t="shared" si="885"/>
        <v>BOMBA DE INFUSION. Apilables.5 modos. 01-1200 ml/h. 0.1 ml incr. Compatible con set de infusión genérico. anti-bolo. Detección de aire. Alarmas visuales audibles. Bitacora 1.000 reg. Batería de litio</v>
      </c>
      <c r="C17306" s="6">
        <v>2533333</v>
      </c>
      <c r="D17306" s="5" t="s">
        <v>120</v>
      </c>
      <c r="E17306" s="5" t="str">
        <f t="shared" si="884"/>
        <v>ELEMENTOS EN BODEGA USADOS</v>
      </c>
      <c r="F17306" s="5"/>
      <c r="G17306" s="5"/>
    </row>
    <row r="17307" spans="1:7" ht="58.5" customHeight="1" x14ac:dyDescent="0.25">
      <c r="A17307" s="5" t="str">
        <f>"H0033508"</f>
        <v>H0033508</v>
      </c>
      <c r="B17307" s="5" t="str">
        <f t="shared" si="885"/>
        <v>BOMBA DE INFUSION. Apilables.5 modos. 01-1200 ml/h. 0.1 ml incr. Compatible con set de infusión genérico. anti-bolo. Detección de aire. Alarmas visuales audibles. Bitacora 1.000 reg. Batería de litio</v>
      </c>
      <c r="C17307" s="6">
        <v>2533333</v>
      </c>
      <c r="D17307" s="5" t="s">
        <v>120</v>
      </c>
      <c r="E17307" s="5" t="str">
        <f t="shared" si="884"/>
        <v>ELEMENTOS EN BODEGA USADOS</v>
      </c>
      <c r="F17307" s="5"/>
      <c r="G17307" s="5"/>
    </row>
    <row r="17308" spans="1:7" ht="58.5" customHeight="1" x14ac:dyDescent="0.25">
      <c r="A17308" s="5" t="str">
        <f>"H0033509"</f>
        <v>H0033509</v>
      </c>
      <c r="B17308" s="5" t="str">
        <f t="shared" ref="B17308:B17339" si="887">"BOMBA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308" s="6">
        <v>2533333</v>
      </c>
      <c r="D17308" s="5" t="s">
        <v>120</v>
      </c>
      <c r="E17308" s="5" t="str">
        <f t="shared" si="884"/>
        <v>ELEMENTOS EN BODEGA USADOS</v>
      </c>
      <c r="F17308" s="5"/>
      <c r="G17308" s="5"/>
    </row>
    <row r="17309" spans="1:7" ht="58.5" customHeight="1" x14ac:dyDescent="0.25">
      <c r="A17309" s="5" t="str">
        <f>"H0033510"</f>
        <v>H0033510</v>
      </c>
      <c r="B17309" s="5" t="str">
        <f t="shared" si="887"/>
        <v>BOMBA DE INFUSION. Apilables.5 modos. 01-1200 ml/h. 0.1 ml incr. Compatible con set de infusión genérico. anti-bolo. Detección de aire. Alarmas visuales audibles. Bitacora 1.000 reg. Batería de litio</v>
      </c>
      <c r="C17309" s="6">
        <v>2533333</v>
      </c>
      <c r="D17309" s="5" t="s">
        <v>120</v>
      </c>
      <c r="E17309" s="5" t="str">
        <f t="shared" si="884"/>
        <v>ELEMENTOS EN BODEGA USADOS</v>
      </c>
      <c r="F17309" s="5"/>
      <c r="G17309" s="5"/>
    </row>
    <row r="17310" spans="1:7" ht="58.5" customHeight="1" x14ac:dyDescent="0.25">
      <c r="A17310" s="5" t="str">
        <f>"H0033511"</f>
        <v>H0033511</v>
      </c>
      <c r="B17310" s="5" t="str">
        <f t="shared" si="887"/>
        <v>BOMBA DE INFUSION. Apilables.5 modos. 01-1200 ml/h. 0.1 ml incr. Compatible con set de infusión genérico. anti-bolo. Detección de aire. Alarmas visuales audibles. Bitacora 1.000 reg. Batería de litio</v>
      </c>
      <c r="C17310" s="6">
        <v>2533333</v>
      </c>
      <c r="D17310" s="5" t="s">
        <v>120</v>
      </c>
      <c r="E17310" s="5" t="str">
        <f t="shared" si="884"/>
        <v>ELEMENTOS EN BODEGA USADOS</v>
      </c>
      <c r="F17310" s="5"/>
      <c r="G17310" s="5"/>
    </row>
    <row r="17311" spans="1:7" ht="58.5" customHeight="1" x14ac:dyDescent="0.25">
      <c r="A17311" s="5" t="str">
        <f>"H0033515"</f>
        <v>H0033515</v>
      </c>
      <c r="B17311" s="5" t="str">
        <f t="shared" si="887"/>
        <v>BOMBA DE INFUSION. Apilables.5 modos. 01-1200 ml/h. 0.1 ml incr. Compatible con set de infusión genérico. anti-bolo. Detección de aire. Alarmas visuales audibles. Bitacora 1.000 reg. Batería de litio</v>
      </c>
      <c r="C17311" s="6">
        <v>2533333</v>
      </c>
      <c r="D17311" s="5" t="s">
        <v>120</v>
      </c>
      <c r="E17311" s="5" t="str">
        <f t="shared" si="884"/>
        <v>ELEMENTOS EN BODEGA USADOS</v>
      </c>
      <c r="F17311" s="5"/>
      <c r="G17311" s="5"/>
    </row>
    <row r="17312" spans="1:7" ht="58.5" customHeight="1" x14ac:dyDescent="0.25">
      <c r="A17312" s="5" t="str">
        <f>"H0033517"</f>
        <v>H0033517</v>
      </c>
      <c r="B17312" s="5" t="str">
        <f t="shared" si="887"/>
        <v>BOMBA DE INFUSION. Apilables.5 modos. 01-1200 ml/h. 0.1 ml incr. Compatible con set de infusión genérico. anti-bolo. Detección de aire. Alarmas visuales audibles. Bitacora 1.000 reg. Batería de litio</v>
      </c>
      <c r="C17312" s="6">
        <v>2533333</v>
      </c>
      <c r="D17312" s="5" t="s">
        <v>120</v>
      </c>
      <c r="E17312" s="5" t="str">
        <f t="shared" si="884"/>
        <v>ELEMENTOS EN BODEGA USADOS</v>
      </c>
      <c r="F17312" s="5"/>
      <c r="G17312" s="5"/>
    </row>
    <row r="17313" spans="1:7" ht="58.5" customHeight="1" x14ac:dyDescent="0.25">
      <c r="A17313" s="5" t="str">
        <f>"H0033527"</f>
        <v>H0033527</v>
      </c>
      <c r="B17313" s="5" t="str">
        <f t="shared" si="887"/>
        <v>BOMBA DE INFUSION. Apilables.5 modos. 01-1200 ml/h. 0.1 ml incr. Compatible con set de infusión genérico. anti-bolo. Detección de aire. Alarmas visuales audibles. Bitacora 1.000 reg. Batería de litio</v>
      </c>
      <c r="C17313" s="6">
        <v>2533333</v>
      </c>
      <c r="D17313" s="5" t="s">
        <v>120</v>
      </c>
      <c r="E17313" s="5" t="str">
        <f t="shared" si="884"/>
        <v>ELEMENTOS EN BODEGA USADOS</v>
      </c>
      <c r="F17313" s="5"/>
      <c r="G17313" s="5"/>
    </row>
    <row r="17314" spans="1:7" ht="58.5" customHeight="1" x14ac:dyDescent="0.25">
      <c r="A17314" s="5" t="str">
        <f>"H0033528"</f>
        <v>H0033528</v>
      </c>
      <c r="B17314" s="5" t="str">
        <f t="shared" si="887"/>
        <v>BOMBA DE INFUSION. Apilables.5 modos. 01-1200 ml/h. 0.1 ml incr. Compatible con set de infusión genérico. anti-bolo. Detección de aire. Alarmas visuales audibles. Bitacora 1.000 reg. Batería de litio</v>
      </c>
      <c r="C17314" s="6">
        <v>2533333</v>
      </c>
      <c r="D17314" s="5" t="s">
        <v>487</v>
      </c>
      <c r="E17314" s="5" t="str">
        <f t="shared" si="884"/>
        <v>ELEMENTOS EN BODEGA USADOS</v>
      </c>
      <c r="F17314" s="5"/>
      <c r="G17314" s="5"/>
    </row>
    <row r="17315" spans="1:7" ht="58.5" customHeight="1" x14ac:dyDescent="0.25">
      <c r="A17315" s="5" t="str">
        <f>"H0033530"</f>
        <v>H0033530</v>
      </c>
      <c r="B17315" s="5" t="str">
        <f t="shared" si="887"/>
        <v>BOMBA DE INFUSION. Apilables.5 modos. 01-1200 ml/h. 0.1 ml incr. Compatible con set de infusión genérico. anti-bolo. Detección de aire. Alarmas visuales audibles. Bitacora 1.000 reg. Batería de litio</v>
      </c>
      <c r="C17315" s="6">
        <v>2533333</v>
      </c>
      <c r="D17315" s="5" t="s">
        <v>120</v>
      </c>
      <c r="E17315" s="5" t="str">
        <f t="shared" ref="E17315:E17378" si="888">"ELEMENTOS EN BODEGA USADOS"</f>
        <v>ELEMENTOS EN BODEGA USADOS</v>
      </c>
      <c r="F17315" s="5"/>
      <c r="G17315" s="5"/>
    </row>
    <row r="17316" spans="1:7" ht="58.5" customHeight="1" x14ac:dyDescent="0.25">
      <c r="A17316" s="5" t="str">
        <f>"H0033531"</f>
        <v>H0033531</v>
      </c>
      <c r="B17316" s="5" t="str">
        <f t="shared" si="887"/>
        <v>BOMBA DE INFUSION. Apilables.5 modos. 01-1200 ml/h. 0.1 ml incr. Compatible con set de infusión genérico. anti-bolo. Detección de aire. Alarmas visuales audibles. Bitacora 1.000 reg. Batería de litio</v>
      </c>
      <c r="C17316" s="6">
        <v>2533333</v>
      </c>
      <c r="D17316" s="5" t="s">
        <v>120</v>
      </c>
      <c r="E17316" s="5" t="str">
        <f t="shared" si="888"/>
        <v>ELEMENTOS EN BODEGA USADOS</v>
      </c>
      <c r="F17316" s="5"/>
      <c r="G17316" s="5"/>
    </row>
    <row r="17317" spans="1:7" ht="58.5" customHeight="1" x14ac:dyDescent="0.25">
      <c r="A17317" s="5" t="str">
        <f>"H0033533"</f>
        <v>H0033533</v>
      </c>
      <c r="B17317" s="5" t="str">
        <f t="shared" si="887"/>
        <v>BOMBA DE INFUSION. Apilables.5 modos. 01-1200 ml/h. 0.1 ml incr. Compatible con set de infusión genérico. anti-bolo. Detección de aire. Alarmas visuales audibles. Bitacora 1.000 reg. Batería de litio</v>
      </c>
      <c r="C17317" s="6">
        <v>2533333</v>
      </c>
      <c r="D17317" s="5" t="s">
        <v>120</v>
      </c>
      <c r="E17317" s="5" t="str">
        <f t="shared" si="888"/>
        <v>ELEMENTOS EN BODEGA USADOS</v>
      </c>
      <c r="F17317" s="5"/>
      <c r="G17317" s="5"/>
    </row>
    <row r="17318" spans="1:7" ht="58.5" customHeight="1" x14ac:dyDescent="0.25">
      <c r="A17318" s="5" t="str">
        <f>"H0033535"</f>
        <v>H0033535</v>
      </c>
      <c r="B17318" s="5" t="str">
        <f t="shared" si="887"/>
        <v>BOMBA DE INFUSION. Apilables.5 modos. 01-1200 ml/h. 0.1 ml incr. Compatible con set de infusión genérico. anti-bolo. Detección de aire. Alarmas visuales audibles. Bitacora 1.000 reg. Batería de litio</v>
      </c>
      <c r="C17318" s="6">
        <v>2533333</v>
      </c>
      <c r="D17318" s="5" t="s">
        <v>120</v>
      </c>
      <c r="E17318" s="5" t="str">
        <f t="shared" si="888"/>
        <v>ELEMENTOS EN BODEGA USADOS</v>
      </c>
      <c r="F17318" s="5"/>
      <c r="G17318" s="5"/>
    </row>
    <row r="17319" spans="1:7" ht="58.5" customHeight="1" x14ac:dyDescent="0.25">
      <c r="A17319" s="5" t="str">
        <f>"H0033538"</f>
        <v>H0033538</v>
      </c>
      <c r="B17319" s="5" t="str">
        <f t="shared" si="887"/>
        <v>BOMBA DE INFUSION. Apilables.5 modos. 01-1200 ml/h. 0.1 ml incr. Compatible con set de infusión genérico. anti-bolo. Detección de aire. Alarmas visuales audibles. Bitacora 1.000 reg. Batería de litio</v>
      </c>
      <c r="C17319" s="6">
        <v>2533333</v>
      </c>
      <c r="D17319" s="5" t="s">
        <v>120</v>
      </c>
      <c r="E17319" s="5" t="str">
        <f t="shared" si="888"/>
        <v>ELEMENTOS EN BODEGA USADOS</v>
      </c>
      <c r="F17319" s="5"/>
      <c r="G17319" s="5"/>
    </row>
    <row r="17320" spans="1:7" ht="58.5" customHeight="1" x14ac:dyDescent="0.25">
      <c r="A17320" s="5" t="str">
        <f>"H0033539"</f>
        <v>H0033539</v>
      </c>
      <c r="B17320" s="5" t="str">
        <f t="shared" si="887"/>
        <v>BOMBA DE INFUSION. Apilables.5 modos. 01-1200 ml/h. 0.1 ml incr. Compatible con set de infusión genérico. anti-bolo. Detección de aire. Alarmas visuales audibles. Bitacora 1.000 reg. Batería de litio</v>
      </c>
      <c r="C17320" s="6">
        <v>2533333</v>
      </c>
      <c r="D17320" s="5" t="s">
        <v>120</v>
      </c>
      <c r="E17320" s="5" t="str">
        <f t="shared" si="888"/>
        <v>ELEMENTOS EN BODEGA USADOS</v>
      </c>
      <c r="F17320" s="5"/>
      <c r="G17320" s="5"/>
    </row>
    <row r="17321" spans="1:7" ht="58.5" customHeight="1" x14ac:dyDescent="0.25">
      <c r="A17321" s="5" t="str">
        <f>"H0033541"</f>
        <v>H0033541</v>
      </c>
      <c r="B17321" s="5" t="str">
        <f t="shared" si="887"/>
        <v>BOMBA DE INFUSION. Apilables.5 modos. 01-1200 ml/h. 0.1 ml incr. Compatible con set de infusión genérico. anti-bolo. Detección de aire. Alarmas visuales audibles. Bitacora 1.000 reg. Batería de litio</v>
      </c>
      <c r="C17321" s="6">
        <v>2533333</v>
      </c>
      <c r="D17321" s="5" t="s">
        <v>120</v>
      </c>
      <c r="E17321" s="5" t="str">
        <f t="shared" si="888"/>
        <v>ELEMENTOS EN BODEGA USADOS</v>
      </c>
      <c r="F17321" s="5"/>
      <c r="G17321" s="5"/>
    </row>
    <row r="17322" spans="1:7" ht="58.5" customHeight="1" x14ac:dyDescent="0.25">
      <c r="A17322" s="5" t="str">
        <f>"H0033546"</f>
        <v>H0033546</v>
      </c>
      <c r="B17322" s="5" t="str">
        <f t="shared" si="887"/>
        <v>BOMBA DE INFUSION. Apilables.5 modos. 01-1200 ml/h. 0.1 ml incr. Compatible con set de infusión genérico. anti-bolo. Detección de aire. Alarmas visuales audibles. Bitacora 1.000 reg. Batería de litio</v>
      </c>
      <c r="C17322" s="6">
        <v>2533333</v>
      </c>
      <c r="D17322" s="5" t="s">
        <v>120</v>
      </c>
      <c r="E17322" s="5" t="str">
        <f t="shared" si="888"/>
        <v>ELEMENTOS EN BODEGA USADOS</v>
      </c>
      <c r="F17322" s="5"/>
      <c r="G17322" s="5"/>
    </row>
    <row r="17323" spans="1:7" ht="58.5" customHeight="1" x14ac:dyDescent="0.25">
      <c r="A17323" s="5" t="str">
        <f>"H0033547"</f>
        <v>H0033547</v>
      </c>
      <c r="B17323" s="5" t="str">
        <f t="shared" si="887"/>
        <v>BOMBA DE INFUSION. Apilables.5 modos. 01-1200 ml/h. 0.1 ml incr. Compatible con set de infusión genérico. anti-bolo. Detección de aire. Alarmas visuales audibles. Bitacora 1.000 reg. Batería de litio</v>
      </c>
      <c r="C17323" s="6">
        <v>2533333</v>
      </c>
      <c r="D17323" s="5" t="s">
        <v>120</v>
      </c>
      <c r="E17323" s="5" t="str">
        <f t="shared" si="888"/>
        <v>ELEMENTOS EN BODEGA USADOS</v>
      </c>
      <c r="F17323" s="5"/>
      <c r="G17323" s="5"/>
    </row>
    <row r="17324" spans="1:7" ht="58.5" customHeight="1" x14ac:dyDescent="0.25">
      <c r="A17324" s="5" t="str">
        <f>"H0033549"</f>
        <v>H0033549</v>
      </c>
      <c r="B17324" s="5" t="str">
        <f t="shared" si="887"/>
        <v>BOMBA DE INFUSION. Apilables.5 modos. 01-1200 ml/h. 0.1 ml incr. Compatible con set de infusión genérico. anti-bolo. Detección de aire. Alarmas visuales audibles. Bitacora 1.000 reg. Batería de litio</v>
      </c>
      <c r="C17324" s="6">
        <v>2533333</v>
      </c>
      <c r="D17324" s="5" t="s">
        <v>120</v>
      </c>
      <c r="E17324" s="5" t="str">
        <f t="shared" si="888"/>
        <v>ELEMENTOS EN BODEGA USADOS</v>
      </c>
      <c r="F17324" s="5"/>
      <c r="G17324" s="5"/>
    </row>
    <row r="17325" spans="1:7" ht="58.5" customHeight="1" x14ac:dyDescent="0.25">
      <c r="A17325" s="5" t="str">
        <f>"H0033555"</f>
        <v>H0033555</v>
      </c>
      <c r="B17325" s="5" t="str">
        <f t="shared" si="887"/>
        <v>BOMBA DE INFUSION. Apilables.5 modos. 01-1200 ml/h. 0.1 ml incr. Compatible con set de infusión genérico. anti-bolo. Detección de aire. Alarmas visuales audibles. Bitacora 1.000 reg. Batería de litio</v>
      </c>
      <c r="C17325" s="6">
        <v>2533333</v>
      </c>
      <c r="D17325" s="5" t="s">
        <v>120</v>
      </c>
      <c r="E17325" s="5" t="str">
        <f t="shared" si="888"/>
        <v>ELEMENTOS EN BODEGA USADOS</v>
      </c>
      <c r="F17325" s="5"/>
      <c r="G17325" s="5"/>
    </row>
    <row r="17326" spans="1:7" ht="58.5" customHeight="1" x14ac:dyDescent="0.25">
      <c r="A17326" s="5" t="str">
        <f>"H0033557"</f>
        <v>H0033557</v>
      </c>
      <c r="B17326" s="5" t="str">
        <f t="shared" si="887"/>
        <v>BOMBA DE INFUSION. Apilables.5 modos. 01-1200 ml/h. 0.1 ml incr. Compatible con set de infusión genérico. anti-bolo. Detección de aire. Alarmas visuales audibles. Bitacora 1.000 reg. Batería de litio</v>
      </c>
      <c r="C17326" s="6">
        <v>2533333</v>
      </c>
      <c r="D17326" s="5" t="s">
        <v>120</v>
      </c>
      <c r="E17326" s="5" t="str">
        <f t="shared" si="888"/>
        <v>ELEMENTOS EN BODEGA USADOS</v>
      </c>
      <c r="F17326" s="5"/>
      <c r="G17326" s="5"/>
    </row>
    <row r="17327" spans="1:7" ht="58.5" customHeight="1" x14ac:dyDescent="0.25">
      <c r="A17327" s="5" t="str">
        <f>"H0033558"</f>
        <v>H0033558</v>
      </c>
      <c r="B17327" s="5" t="str">
        <f t="shared" si="887"/>
        <v>BOMBA DE INFUSION. Apilables.5 modos. 01-1200 ml/h. 0.1 ml incr. Compatible con set de infusión genérico. anti-bolo. Detección de aire. Alarmas visuales audibles. Bitacora 1.000 reg. Batería de litio</v>
      </c>
      <c r="C17327" s="6">
        <v>2533333</v>
      </c>
      <c r="D17327" s="5" t="s">
        <v>120</v>
      </c>
      <c r="E17327" s="5" t="str">
        <f t="shared" si="888"/>
        <v>ELEMENTOS EN BODEGA USADOS</v>
      </c>
      <c r="F17327" s="5"/>
      <c r="G17327" s="5"/>
    </row>
    <row r="17328" spans="1:7" ht="58.5" customHeight="1" x14ac:dyDescent="0.25">
      <c r="A17328" s="5" t="str">
        <f>"H0033559"</f>
        <v>H0033559</v>
      </c>
      <c r="B17328" s="5" t="str">
        <f t="shared" si="887"/>
        <v>BOMBA DE INFUSION. Apilables.5 modos. 01-1200 ml/h. 0.1 ml incr. Compatible con set de infusión genérico. anti-bolo. Detección de aire. Alarmas visuales audibles. Bitacora 1.000 reg. Batería de litio</v>
      </c>
      <c r="C17328" s="6">
        <v>2533333</v>
      </c>
      <c r="D17328" s="5" t="s">
        <v>120</v>
      </c>
      <c r="E17328" s="5" t="str">
        <f t="shared" si="888"/>
        <v>ELEMENTOS EN BODEGA USADOS</v>
      </c>
      <c r="F17328" s="5"/>
      <c r="G17328" s="5"/>
    </row>
    <row r="17329" spans="1:7" ht="58.5" customHeight="1" x14ac:dyDescent="0.25">
      <c r="A17329" s="5" t="str">
        <f>"H0033561"</f>
        <v>H0033561</v>
      </c>
      <c r="B17329" s="5" t="str">
        <f t="shared" si="887"/>
        <v>BOMBA DE INFUSION. Apilables.5 modos. 01-1200 ml/h. 0.1 ml incr. Compatible con set de infusión genérico. anti-bolo. Detección de aire. Alarmas visuales audibles. Bitacora 1.000 reg. Batería de litio</v>
      </c>
      <c r="C17329" s="6">
        <v>2533333</v>
      </c>
      <c r="D17329" s="5" t="s">
        <v>120</v>
      </c>
      <c r="E17329" s="5" t="str">
        <f t="shared" si="888"/>
        <v>ELEMENTOS EN BODEGA USADOS</v>
      </c>
      <c r="F17329" s="5"/>
      <c r="G17329" s="5"/>
    </row>
    <row r="17330" spans="1:7" ht="58.5" customHeight="1" x14ac:dyDescent="0.25">
      <c r="A17330" s="5" t="str">
        <f>"H0033562"</f>
        <v>H0033562</v>
      </c>
      <c r="B17330" s="5" t="str">
        <f t="shared" si="887"/>
        <v>BOMBA DE INFUSION. Apilables.5 modos. 01-1200 ml/h. 0.1 ml incr. Compatible con set de infusión genérico. anti-bolo. Detección de aire. Alarmas visuales audibles. Bitacora 1.000 reg. Batería de litio</v>
      </c>
      <c r="C17330" s="6">
        <v>2533333</v>
      </c>
      <c r="D17330" s="5" t="s">
        <v>120</v>
      </c>
      <c r="E17330" s="5" t="str">
        <f t="shared" si="888"/>
        <v>ELEMENTOS EN BODEGA USADOS</v>
      </c>
      <c r="F17330" s="5"/>
      <c r="G17330" s="5"/>
    </row>
    <row r="17331" spans="1:7" ht="58.5" customHeight="1" x14ac:dyDescent="0.25">
      <c r="A17331" s="5" t="str">
        <f>"H0033565"</f>
        <v>H0033565</v>
      </c>
      <c r="B17331" s="5" t="str">
        <f t="shared" si="887"/>
        <v>BOMBA DE INFUSION. Apilables.5 modos. 01-1200 ml/h. 0.1 ml incr. Compatible con set de infusión genérico. anti-bolo. Detección de aire. Alarmas visuales audibles. Bitacora 1.000 reg. Batería de litio</v>
      </c>
      <c r="C17331" s="6">
        <v>2533333</v>
      </c>
      <c r="D17331" s="5" t="s">
        <v>120</v>
      </c>
      <c r="E17331" s="5" t="str">
        <f t="shared" si="888"/>
        <v>ELEMENTOS EN BODEGA USADOS</v>
      </c>
      <c r="F17331" s="5"/>
      <c r="G17331" s="5"/>
    </row>
    <row r="17332" spans="1:7" ht="58.5" customHeight="1" x14ac:dyDescent="0.25">
      <c r="A17332" s="5" t="str">
        <f>"H0033566"</f>
        <v>H0033566</v>
      </c>
      <c r="B17332" s="5" t="str">
        <f t="shared" si="887"/>
        <v>BOMBA DE INFUSION. Apilables.5 modos. 01-1200 ml/h. 0.1 ml incr. Compatible con set de infusión genérico. anti-bolo. Detección de aire. Alarmas visuales audibles. Bitacora 1.000 reg. Batería de litio</v>
      </c>
      <c r="C17332" s="6">
        <v>2533333</v>
      </c>
      <c r="D17332" s="5" t="s">
        <v>120</v>
      </c>
      <c r="E17332" s="5" t="str">
        <f t="shared" si="888"/>
        <v>ELEMENTOS EN BODEGA USADOS</v>
      </c>
      <c r="F17332" s="5"/>
      <c r="G17332" s="5"/>
    </row>
    <row r="17333" spans="1:7" ht="58.5" customHeight="1" x14ac:dyDescent="0.25">
      <c r="A17333" s="5" t="str">
        <f>"H0033567"</f>
        <v>H0033567</v>
      </c>
      <c r="B17333" s="5" t="str">
        <f t="shared" si="887"/>
        <v>BOMBA DE INFUSION. Apilables.5 modos. 01-1200 ml/h. 0.1 ml incr. Compatible con set de infusión genérico. anti-bolo. Detección de aire. Alarmas visuales audibles. Bitacora 1.000 reg. Batería de litio</v>
      </c>
      <c r="C17333" s="6">
        <v>2533333</v>
      </c>
      <c r="D17333" s="5" t="s">
        <v>120</v>
      </c>
      <c r="E17333" s="5" t="str">
        <f t="shared" si="888"/>
        <v>ELEMENTOS EN BODEGA USADOS</v>
      </c>
      <c r="F17333" s="5"/>
      <c r="G17333" s="5"/>
    </row>
    <row r="17334" spans="1:7" ht="58.5" customHeight="1" x14ac:dyDescent="0.25">
      <c r="A17334" s="5" t="str">
        <f>"H0033570"</f>
        <v>H0033570</v>
      </c>
      <c r="B17334" s="5" t="str">
        <f t="shared" si="887"/>
        <v>BOMBA DE INFUSION. Apilables.5 modos. 01-1200 ml/h. 0.1 ml incr. Compatible con set de infusión genérico. anti-bolo. Detección de aire. Alarmas visuales audibles. Bitacora 1.000 reg. Batería de litio</v>
      </c>
      <c r="C17334" s="6">
        <v>2533333</v>
      </c>
      <c r="D17334" s="5" t="s">
        <v>120</v>
      </c>
      <c r="E17334" s="5" t="str">
        <f t="shared" si="888"/>
        <v>ELEMENTOS EN BODEGA USADOS</v>
      </c>
      <c r="F17334" s="5"/>
      <c r="G17334" s="5"/>
    </row>
    <row r="17335" spans="1:7" ht="58.5" customHeight="1" x14ac:dyDescent="0.25">
      <c r="A17335" s="5" t="str">
        <f>"H0033571"</f>
        <v>H0033571</v>
      </c>
      <c r="B17335" s="5" t="str">
        <f t="shared" si="887"/>
        <v>BOMBA DE INFUSION. Apilables.5 modos. 01-1200 ml/h. 0.1 ml incr. Compatible con set de infusión genérico. anti-bolo. Detección de aire. Alarmas visuales audibles. Bitacora 1.000 reg. Batería de litio</v>
      </c>
      <c r="C17335" s="6">
        <v>2533333</v>
      </c>
      <c r="D17335" s="5" t="s">
        <v>120</v>
      </c>
      <c r="E17335" s="5" t="str">
        <f t="shared" si="888"/>
        <v>ELEMENTOS EN BODEGA USADOS</v>
      </c>
      <c r="F17335" s="5"/>
      <c r="G17335" s="5"/>
    </row>
    <row r="17336" spans="1:7" ht="58.5" customHeight="1" x14ac:dyDescent="0.25">
      <c r="A17336" s="5" t="str">
        <f>"H0033572"</f>
        <v>H0033572</v>
      </c>
      <c r="B17336" s="5" t="str">
        <f t="shared" si="887"/>
        <v>BOMBA DE INFUSION. Apilables.5 modos. 01-1200 ml/h. 0.1 ml incr. Compatible con set de infusión genérico. anti-bolo. Detección de aire. Alarmas visuales audibles. Bitacora 1.000 reg. Batería de litio</v>
      </c>
      <c r="C17336" s="6">
        <v>2533333</v>
      </c>
      <c r="D17336" s="5" t="s">
        <v>120</v>
      </c>
      <c r="E17336" s="5" t="str">
        <f t="shared" si="888"/>
        <v>ELEMENTOS EN BODEGA USADOS</v>
      </c>
      <c r="F17336" s="5"/>
      <c r="G17336" s="5"/>
    </row>
    <row r="17337" spans="1:7" ht="58.5" customHeight="1" x14ac:dyDescent="0.25">
      <c r="A17337" s="5" t="str">
        <f>"H0033574"</f>
        <v>H0033574</v>
      </c>
      <c r="B17337" s="5" t="str">
        <f t="shared" si="887"/>
        <v>BOMBA DE INFUSION. Apilables.5 modos. 01-1200 ml/h. 0.1 ml incr. Compatible con set de infusión genérico. anti-bolo. Detección de aire. Alarmas visuales audibles. Bitacora 1.000 reg. Batería de litio</v>
      </c>
      <c r="C17337" s="6">
        <v>2533333</v>
      </c>
      <c r="D17337" s="5" t="s">
        <v>120</v>
      </c>
      <c r="E17337" s="5" t="str">
        <f t="shared" si="888"/>
        <v>ELEMENTOS EN BODEGA USADOS</v>
      </c>
      <c r="F17337" s="5"/>
      <c r="G17337" s="5"/>
    </row>
    <row r="17338" spans="1:7" ht="58.5" customHeight="1" x14ac:dyDescent="0.25">
      <c r="A17338" s="5" t="str">
        <f>"H0033577"</f>
        <v>H0033577</v>
      </c>
      <c r="B17338" s="5" t="str">
        <f t="shared" si="887"/>
        <v>BOMBA DE INFUSION. Apilables.5 modos. 01-1200 ml/h. 0.1 ml incr. Compatible con set de infusión genérico. anti-bolo. Detección de aire. Alarmas visuales audibles. Bitacora 1.000 reg. Batería de litio</v>
      </c>
      <c r="C17338" s="6">
        <v>2533333</v>
      </c>
      <c r="D17338" s="5" t="s">
        <v>120</v>
      </c>
      <c r="E17338" s="5" t="str">
        <f t="shared" si="888"/>
        <v>ELEMENTOS EN BODEGA USADOS</v>
      </c>
      <c r="F17338" s="5"/>
      <c r="G17338" s="5"/>
    </row>
    <row r="17339" spans="1:7" ht="58.5" customHeight="1" x14ac:dyDescent="0.25">
      <c r="A17339" s="5" t="str">
        <f>"H0033578"</f>
        <v>H0033578</v>
      </c>
      <c r="B17339" s="5" t="str">
        <f t="shared" si="887"/>
        <v>BOMBA DE INFUSION. Apilables.5 modos. 01-1200 ml/h. 0.1 ml incr. Compatible con set de infusión genérico. anti-bolo. Detección de aire. Alarmas visuales audibles. Bitacora 1.000 reg. Batería de litio</v>
      </c>
      <c r="C17339" s="6">
        <v>2533333</v>
      </c>
      <c r="D17339" s="5" t="s">
        <v>120</v>
      </c>
      <c r="E17339" s="5" t="str">
        <f t="shared" si="888"/>
        <v>ELEMENTOS EN BODEGA USADOS</v>
      </c>
      <c r="F17339" s="5"/>
      <c r="G17339" s="5"/>
    </row>
    <row r="17340" spans="1:7" ht="58.5" customHeight="1" x14ac:dyDescent="0.25">
      <c r="A17340" s="5" t="str">
        <f>"H0033579"</f>
        <v>H0033579</v>
      </c>
      <c r="B17340" s="5" t="str">
        <f t="shared" ref="B17340:B17371" si="889">"BOMBA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340" s="6">
        <v>2533333</v>
      </c>
      <c r="D17340" s="5" t="s">
        <v>120</v>
      </c>
      <c r="E17340" s="5" t="str">
        <f t="shared" si="888"/>
        <v>ELEMENTOS EN BODEGA USADOS</v>
      </c>
      <c r="F17340" s="5"/>
      <c r="G17340" s="5"/>
    </row>
    <row r="17341" spans="1:7" ht="58.5" customHeight="1" x14ac:dyDescent="0.25">
      <c r="A17341" s="5" t="str">
        <f>"H0033581"</f>
        <v>H0033581</v>
      </c>
      <c r="B17341" s="5" t="str">
        <f t="shared" si="889"/>
        <v>BOMBA DE INFUSION. Apilables.5 modos. 01-1200 ml/h. 0.1 ml incr. Compatible con set de infusión genérico. anti-bolo. Detección de aire. Alarmas visuales audibles. Bitacora 1.000 reg. Batería de litio</v>
      </c>
      <c r="C17341" s="6">
        <v>2533333</v>
      </c>
      <c r="D17341" s="5" t="s">
        <v>120</v>
      </c>
      <c r="E17341" s="5" t="str">
        <f t="shared" si="888"/>
        <v>ELEMENTOS EN BODEGA USADOS</v>
      </c>
      <c r="F17341" s="5"/>
      <c r="G17341" s="5"/>
    </row>
    <row r="17342" spans="1:7" ht="58.5" customHeight="1" x14ac:dyDescent="0.25">
      <c r="A17342" s="5" t="str">
        <f>"H0033583"</f>
        <v>H0033583</v>
      </c>
      <c r="B17342" s="5" t="str">
        <f t="shared" si="889"/>
        <v>BOMBA DE INFUSION. Apilables.5 modos. 01-1200 ml/h. 0.1 ml incr. Compatible con set de infusión genérico. anti-bolo. Detección de aire. Alarmas visuales audibles. Bitacora 1.000 reg. Batería de litio</v>
      </c>
      <c r="C17342" s="6">
        <v>2533333</v>
      </c>
      <c r="D17342" s="5" t="s">
        <v>120</v>
      </c>
      <c r="E17342" s="5" t="str">
        <f t="shared" si="888"/>
        <v>ELEMENTOS EN BODEGA USADOS</v>
      </c>
      <c r="F17342" s="5"/>
      <c r="G17342" s="5"/>
    </row>
    <row r="17343" spans="1:7" ht="58.5" customHeight="1" x14ac:dyDescent="0.25">
      <c r="A17343" s="5" t="str">
        <f>"H0033586"</f>
        <v>H0033586</v>
      </c>
      <c r="B17343" s="5" t="str">
        <f t="shared" si="889"/>
        <v>BOMBA DE INFUSION. Apilables.5 modos. 01-1200 ml/h. 0.1 ml incr. Compatible con set de infusión genérico. anti-bolo. Detección de aire. Alarmas visuales audibles. Bitacora 1.000 reg. Batería de litio</v>
      </c>
      <c r="C17343" s="6">
        <v>2533333</v>
      </c>
      <c r="D17343" s="5" t="s">
        <v>120</v>
      </c>
      <c r="E17343" s="5" t="str">
        <f t="shared" si="888"/>
        <v>ELEMENTOS EN BODEGA USADOS</v>
      </c>
      <c r="F17343" s="5"/>
      <c r="G17343" s="5"/>
    </row>
    <row r="17344" spans="1:7" ht="58.5" customHeight="1" x14ac:dyDescent="0.25">
      <c r="A17344" s="5" t="str">
        <f>"H0033587"</f>
        <v>H0033587</v>
      </c>
      <c r="B17344" s="5" t="str">
        <f t="shared" si="889"/>
        <v>BOMBA DE INFUSION. Apilables.5 modos. 01-1200 ml/h. 0.1 ml incr. Compatible con set de infusión genérico. anti-bolo. Detección de aire. Alarmas visuales audibles. Bitacora 1.000 reg. Batería de litio</v>
      </c>
      <c r="C17344" s="6">
        <v>2533333</v>
      </c>
      <c r="D17344" s="5" t="s">
        <v>120</v>
      </c>
      <c r="E17344" s="5" t="str">
        <f t="shared" si="888"/>
        <v>ELEMENTOS EN BODEGA USADOS</v>
      </c>
      <c r="F17344" s="5"/>
      <c r="G17344" s="5"/>
    </row>
    <row r="17345" spans="1:7" ht="58.5" customHeight="1" x14ac:dyDescent="0.25">
      <c r="A17345" s="5" t="str">
        <f>"H0033590"</f>
        <v>H0033590</v>
      </c>
      <c r="B17345" s="5" t="str">
        <f t="shared" si="889"/>
        <v>BOMBA DE INFUSION. Apilables.5 modos. 01-1200 ml/h. 0.1 ml incr. Compatible con set de infusión genérico. anti-bolo. Detección de aire. Alarmas visuales audibles. Bitacora 1.000 reg. Batería de litio</v>
      </c>
      <c r="C17345" s="6">
        <v>2533333</v>
      </c>
      <c r="D17345" s="5" t="s">
        <v>120</v>
      </c>
      <c r="E17345" s="5" t="str">
        <f t="shared" si="888"/>
        <v>ELEMENTOS EN BODEGA USADOS</v>
      </c>
      <c r="F17345" s="5"/>
      <c r="G17345" s="5"/>
    </row>
    <row r="17346" spans="1:7" ht="58.5" customHeight="1" x14ac:dyDescent="0.25">
      <c r="A17346" s="5" t="str">
        <f>"H0033591"</f>
        <v>H0033591</v>
      </c>
      <c r="B17346" s="5" t="str">
        <f t="shared" si="889"/>
        <v>BOMBA DE INFUSION. Apilables.5 modos. 01-1200 ml/h. 0.1 ml incr. Compatible con set de infusión genérico. anti-bolo. Detección de aire. Alarmas visuales audibles. Bitacora 1.000 reg. Batería de litio</v>
      </c>
      <c r="C17346" s="6">
        <v>2533333</v>
      </c>
      <c r="D17346" s="5" t="s">
        <v>120</v>
      </c>
      <c r="E17346" s="5" t="str">
        <f t="shared" si="888"/>
        <v>ELEMENTOS EN BODEGA USADOS</v>
      </c>
      <c r="F17346" s="5"/>
      <c r="G17346" s="5"/>
    </row>
    <row r="17347" spans="1:7" ht="58.5" customHeight="1" x14ac:dyDescent="0.25">
      <c r="A17347" s="5" t="str">
        <f>"H0033592"</f>
        <v>H0033592</v>
      </c>
      <c r="B17347" s="5" t="str">
        <f t="shared" si="889"/>
        <v>BOMBA DE INFUSION. Apilables.5 modos. 01-1200 ml/h. 0.1 ml incr. Compatible con set de infusión genérico. anti-bolo. Detección de aire. Alarmas visuales audibles. Bitacora 1.000 reg. Batería de litio</v>
      </c>
      <c r="C17347" s="6">
        <v>2533333</v>
      </c>
      <c r="D17347" s="5" t="s">
        <v>120</v>
      </c>
      <c r="E17347" s="5" t="str">
        <f t="shared" si="888"/>
        <v>ELEMENTOS EN BODEGA USADOS</v>
      </c>
      <c r="F17347" s="5"/>
      <c r="G17347" s="5"/>
    </row>
    <row r="17348" spans="1:7" ht="58.5" customHeight="1" x14ac:dyDescent="0.25">
      <c r="A17348" s="5" t="str">
        <f>"H0033594"</f>
        <v>H0033594</v>
      </c>
      <c r="B17348" s="5" t="str">
        <f t="shared" si="889"/>
        <v>BOMBA DE INFUSION. Apilables.5 modos. 01-1200 ml/h. 0.1 ml incr. Compatible con set de infusión genérico. anti-bolo. Detección de aire. Alarmas visuales audibles. Bitacora 1.000 reg. Batería de litio</v>
      </c>
      <c r="C17348" s="6">
        <v>2533333</v>
      </c>
      <c r="D17348" s="5" t="s">
        <v>120</v>
      </c>
      <c r="E17348" s="5" t="str">
        <f t="shared" si="888"/>
        <v>ELEMENTOS EN BODEGA USADOS</v>
      </c>
      <c r="F17348" s="5"/>
      <c r="G17348" s="5"/>
    </row>
    <row r="17349" spans="1:7" ht="58.5" customHeight="1" x14ac:dyDescent="0.25">
      <c r="A17349" s="5" t="str">
        <f>"H0033597"</f>
        <v>H0033597</v>
      </c>
      <c r="B17349" s="5" t="str">
        <f t="shared" si="889"/>
        <v>BOMBA DE INFUSION. Apilables.5 modos. 01-1200 ml/h. 0.1 ml incr. Compatible con set de infusión genérico. anti-bolo. Detección de aire. Alarmas visuales audibles. Bitacora 1.000 reg. Batería de litio</v>
      </c>
      <c r="C17349" s="6">
        <v>2533333</v>
      </c>
      <c r="D17349" s="5" t="s">
        <v>120</v>
      </c>
      <c r="E17349" s="5" t="str">
        <f t="shared" si="888"/>
        <v>ELEMENTOS EN BODEGA USADOS</v>
      </c>
      <c r="F17349" s="5"/>
      <c r="G17349" s="5"/>
    </row>
    <row r="17350" spans="1:7" ht="58.5" customHeight="1" x14ac:dyDescent="0.25">
      <c r="A17350" s="5" t="str">
        <f>"H0033598"</f>
        <v>H0033598</v>
      </c>
      <c r="B17350" s="5" t="str">
        <f t="shared" si="889"/>
        <v>BOMBA DE INFUSION. Apilables.5 modos. 01-1200 ml/h. 0.1 ml incr. Compatible con set de infusión genérico. anti-bolo. Detección de aire. Alarmas visuales audibles. Bitacora 1.000 reg. Batería de litio</v>
      </c>
      <c r="C17350" s="6">
        <v>2533333</v>
      </c>
      <c r="D17350" s="5" t="s">
        <v>120</v>
      </c>
      <c r="E17350" s="5" t="str">
        <f t="shared" si="888"/>
        <v>ELEMENTOS EN BODEGA USADOS</v>
      </c>
      <c r="F17350" s="5"/>
      <c r="G17350" s="5"/>
    </row>
    <row r="17351" spans="1:7" ht="58.5" customHeight="1" x14ac:dyDescent="0.25">
      <c r="A17351" s="5" t="str">
        <f>"H0033601"</f>
        <v>H0033601</v>
      </c>
      <c r="B17351" s="5" t="str">
        <f t="shared" si="889"/>
        <v>BOMBA DE INFUSION. Apilables.5 modos. 01-1200 ml/h. 0.1 ml incr. Compatible con set de infusión genérico. anti-bolo. Detección de aire. Alarmas visuales audibles. Bitacora 1.000 reg. Batería de litio</v>
      </c>
      <c r="C17351" s="6">
        <v>2533333</v>
      </c>
      <c r="D17351" s="5" t="s">
        <v>120</v>
      </c>
      <c r="E17351" s="5" t="str">
        <f t="shared" si="888"/>
        <v>ELEMENTOS EN BODEGA USADOS</v>
      </c>
      <c r="F17351" s="5"/>
      <c r="G17351" s="5"/>
    </row>
    <row r="17352" spans="1:7" ht="58.5" customHeight="1" x14ac:dyDescent="0.25">
      <c r="A17352" s="5" t="str">
        <f>"H0033602"</f>
        <v>H0033602</v>
      </c>
      <c r="B17352" s="5" t="str">
        <f t="shared" si="889"/>
        <v>BOMBA DE INFUSION. Apilables.5 modos. 01-1200 ml/h. 0.1 ml incr. Compatible con set de infusión genérico. anti-bolo. Detección de aire. Alarmas visuales audibles. Bitacora 1.000 reg. Batería de litio</v>
      </c>
      <c r="C17352" s="6">
        <v>2533333</v>
      </c>
      <c r="D17352" s="5" t="s">
        <v>120</v>
      </c>
      <c r="E17352" s="5" t="str">
        <f t="shared" si="888"/>
        <v>ELEMENTOS EN BODEGA USADOS</v>
      </c>
      <c r="F17352" s="5"/>
      <c r="G17352" s="5"/>
    </row>
    <row r="17353" spans="1:7" ht="58.5" customHeight="1" x14ac:dyDescent="0.25">
      <c r="A17353" s="5" t="str">
        <f>"H0033604"</f>
        <v>H0033604</v>
      </c>
      <c r="B17353" s="5" t="str">
        <f t="shared" si="889"/>
        <v>BOMBA DE INFUSION. Apilables.5 modos. 01-1200 ml/h. 0.1 ml incr. Compatible con set de infusión genérico. anti-bolo. Detección de aire. Alarmas visuales audibles. Bitacora 1.000 reg. Batería de litio</v>
      </c>
      <c r="C17353" s="6">
        <v>2533333</v>
      </c>
      <c r="D17353" s="5" t="s">
        <v>120</v>
      </c>
      <c r="E17353" s="5" t="str">
        <f t="shared" si="888"/>
        <v>ELEMENTOS EN BODEGA USADOS</v>
      </c>
      <c r="F17353" s="5"/>
      <c r="G17353" s="5"/>
    </row>
    <row r="17354" spans="1:7" ht="58.5" customHeight="1" x14ac:dyDescent="0.25">
      <c r="A17354" s="5" t="str">
        <f>"H0033605"</f>
        <v>H0033605</v>
      </c>
      <c r="B17354" s="5" t="str">
        <f t="shared" si="889"/>
        <v>BOMBA DE INFUSION. Apilables.5 modos. 01-1200 ml/h. 0.1 ml incr. Compatible con set de infusión genérico. anti-bolo. Detección de aire. Alarmas visuales audibles. Bitacora 1.000 reg. Batería de litio</v>
      </c>
      <c r="C17354" s="6">
        <v>2533333</v>
      </c>
      <c r="D17354" s="5" t="s">
        <v>120</v>
      </c>
      <c r="E17354" s="5" t="str">
        <f t="shared" si="888"/>
        <v>ELEMENTOS EN BODEGA USADOS</v>
      </c>
      <c r="F17354" s="5"/>
      <c r="G17354" s="5"/>
    </row>
    <row r="17355" spans="1:7" ht="58.5" customHeight="1" x14ac:dyDescent="0.25">
      <c r="A17355" s="5" t="str">
        <f>"H0033607"</f>
        <v>H0033607</v>
      </c>
      <c r="B17355" s="5" t="str">
        <f t="shared" si="889"/>
        <v>BOMBA DE INFUSION. Apilables.5 modos. 01-1200 ml/h. 0.1 ml incr. Compatible con set de infusión genérico. anti-bolo. Detección de aire. Alarmas visuales audibles. Bitacora 1.000 reg. Batería de litio</v>
      </c>
      <c r="C17355" s="6">
        <v>2533333</v>
      </c>
      <c r="D17355" s="5" t="s">
        <v>120</v>
      </c>
      <c r="E17355" s="5" t="str">
        <f t="shared" si="888"/>
        <v>ELEMENTOS EN BODEGA USADOS</v>
      </c>
      <c r="F17355" s="5"/>
      <c r="G17355" s="5"/>
    </row>
    <row r="17356" spans="1:7" ht="58.5" customHeight="1" x14ac:dyDescent="0.25">
      <c r="A17356" s="5" t="str">
        <f>"H0033611"</f>
        <v>H0033611</v>
      </c>
      <c r="B17356" s="5" t="str">
        <f t="shared" si="889"/>
        <v>BOMBA DE INFUSION. Apilables.5 modos. 01-1200 ml/h. 0.1 ml incr. Compatible con set de infusión genérico. anti-bolo. Detección de aire. Alarmas visuales audibles. Bitacora 1.000 reg. Batería de litio</v>
      </c>
      <c r="C17356" s="6">
        <v>2533333</v>
      </c>
      <c r="D17356" s="5" t="s">
        <v>120</v>
      </c>
      <c r="E17356" s="5" t="str">
        <f t="shared" si="888"/>
        <v>ELEMENTOS EN BODEGA USADOS</v>
      </c>
      <c r="F17356" s="5"/>
      <c r="G17356" s="5"/>
    </row>
    <row r="17357" spans="1:7" ht="58.5" customHeight="1" x14ac:dyDescent="0.25">
      <c r="A17357" s="5" t="str">
        <f>"H0033615"</f>
        <v>H0033615</v>
      </c>
      <c r="B17357" s="5" t="str">
        <f t="shared" si="889"/>
        <v>BOMBA DE INFUSION. Apilables.5 modos. 01-1200 ml/h. 0.1 ml incr. Compatible con set de infusión genérico. anti-bolo. Detección de aire. Alarmas visuales audibles. Bitacora 1.000 reg. Batería de litio</v>
      </c>
      <c r="C17357" s="6">
        <v>2533333</v>
      </c>
      <c r="D17357" s="5" t="s">
        <v>120</v>
      </c>
      <c r="E17357" s="5" t="str">
        <f t="shared" si="888"/>
        <v>ELEMENTOS EN BODEGA USADOS</v>
      </c>
      <c r="F17357" s="5"/>
      <c r="G17357" s="5"/>
    </row>
    <row r="17358" spans="1:7" ht="58.5" customHeight="1" x14ac:dyDescent="0.25">
      <c r="A17358" s="5" t="str">
        <f>"H0033616"</f>
        <v>H0033616</v>
      </c>
      <c r="B17358" s="5" t="str">
        <f t="shared" si="889"/>
        <v>BOMBA DE INFUSION. Apilables.5 modos. 01-1200 ml/h. 0.1 ml incr. Compatible con set de infusión genérico. anti-bolo. Detección de aire. Alarmas visuales audibles. Bitacora 1.000 reg. Batería de litio</v>
      </c>
      <c r="C17358" s="6">
        <v>2533333</v>
      </c>
      <c r="D17358" s="5" t="s">
        <v>120</v>
      </c>
      <c r="E17358" s="5" t="str">
        <f t="shared" si="888"/>
        <v>ELEMENTOS EN BODEGA USADOS</v>
      </c>
      <c r="F17358" s="5"/>
      <c r="G17358" s="5"/>
    </row>
    <row r="17359" spans="1:7" ht="58.5" customHeight="1" x14ac:dyDescent="0.25">
      <c r="A17359" s="5" t="str">
        <f>"H0033621"</f>
        <v>H0033621</v>
      </c>
      <c r="B17359" s="5" t="str">
        <f t="shared" si="889"/>
        <v>BOMBA DE INFUSION. Apilables.5 modos. 01-1200 ml/h. 0.1 ml incr. Compatible con set de infusión genérico. anti-bolo. Detección de aire. Alarmas visuales audibles. Bitacora 1.000 reg. Batería de litio</v>
      </c>
      <c r="C17359" s="6">
        <v>2533333</v>
      </c>
      <c r="D17359" s="5" t="s">
        <v>120</v>
      </c>
      <c r="E17359" s="5" t="str">
        <f t="shared" si="888"/>
        <v>ELEMENTOS EN BODEGA USADOS</v>
      </c>
      <c r="F17359" s="5"/>
      <c r="G17359" s="5"/>
    </row>
    <row r="17360" spans="1:7" ht="58.5" customHeight="1" x14ac:dyDescent="0.25">
      <c r="A17360" s="5" t="str">
        <f>"H0033624"</f>
        <v>H0033624</v>
      </c>
      <c r="B17360" s="5" t="str">
        <f t="shared" si="889"/>
        <v>BOMBA DE INFUSION. Apilables.5 modos. 01-1200 ml/h. 0.1 ml incr. Compatible con set de infusión genérico. anti-bolo. Detección de aire. Alarmas visuales audibles. Bitacora 1.000 reg. Batería de litio</v>
      </c>
      <c r="C17360" s="6">
        <v>2533333</v>
      </c>
      <c r="D17360" s="5" t="s">
        <v>120</v>
      </c>
      <c r="E17360" s="5" t="str">
        <f t="shared" si="888"/>
        <v>ELEMENTOS EN BODEGA USADOS</v>
      </c>
      <c r="F17360" s="5"/>
      <c r="G17360" s="5"/>
    </row>
    <row r="17361" spans="1:7" ht="58.5" customHeight="1" x14ac:dyDescent="0.25">
      <c r="A17361" s="5" t="str">
        <f>"H0033626"</f>
        <v>H0033626</v>
      </c>
      <c r="B17361" s="5" t="str">
        <f t="shared" si="889"/>
        <v>BOMBA DE INFUSION. Apilables.5 modos. 01-1200 ml/h. 0.1 ml incr. Compatible con set de infusión genérico. anti-bolo. Detección de aire. Alarmas visuales audibles. Bitacora 1.000 reg. Batería de litio</v>
      </c>
      <c r="C17361" s="6">
        <v>2533333</v>
      </c>
      <c r="D17361" s="5" t="s">
        <v>819</v>
      </c>
      <c r="E17361" s="5" t="str">
        <f t="shared" si="888"/>
        <v>ELEMENTOS EN BODEGA USADOS</v>
      </c>
      <c r="F17361" s="5"/>
      <c r="G17361" s="5"/>
    </row>
    <row r="17362" spans="1:7" ht="58.5" customHeight="1" x14ac:dyDescent="0.25">
      <c r="A17362" s="5" t="str">
        <f>"H0033627"</f>
        <v>H0033627</v>
      </c>
      <c r="B17362" s="5" t="str">
        <f t="shared" si="889"/>
        <v>BOMBA DE INFUSION. Apilables.5 modos. 01-1200 ml/h. 0.1 ml incr. Compatible con set de infusión genérico. anti-bolo. Detección de aire. Alarmas visuales audibles. Bitacora 1.000 reg. Batería de litio</v>
      </c>
      <c r="C17362" s="6">
        <v>2533333</v>
      </c>
      <c r="D17362" s="5" t="s">
        <v>120</v>
      </c>
      <c r="E17362" s="5" t="str">
        <f t="shared" si="888"/>
        <v>ELEMENTOS EN BODEGA USADOS</v>
      </c>
      <c r="F17362" s="5"/>
      <c r="G17362" s="5"/>
    </row>
    <row r="17363" spans="1:7" ht="58.5" customHeight="1" x14ac:dyDescent="0.25">
      <c r="A17363" s="5" t="str">
        <f>"H0033628"</f>
        <v>H0033628</v>
      </c>
      <c r="B17363" s="5" t="str">
        <f t="shared" si="889"/>
        <v>BOMBA DE INFUSION. Apilables.5 modos. 01-1200 ml/h. 0.1 ml incr. Compatible con set de infusión genérico. anti-bolo. Detección de aire. Alarmas visuales audibles. Bitacora 1.000 reg. Batería de litio</v>
      </c>
      <c r="C17363" s="6">
        <v>2533333</v>
      </c>
      <c r="D17363" s="5" t="s">
        <v>120</v>
      </c>
      <c r="E17363" s="5" t="str">
        <f t="shared" si="888"/>
        <v>ELEMENTOS EN BODEGA USADOS</v>
      </c>
      <c r="F17363" s="5"/>
      <c r="G17363" s="5"/>
    </row>
    <row r="17364" spans="1:7" ht="58.5" customHeight="1" x14ac:dyDescent="0.25">
      <c r="A17364" s="5" t="str">
        <f>"H0033629"</f>
        <v>H0033629</v>
      </c>
      <c r="B17364" s="5" t="str">
        <f t="shared" si="889"/>
        <v>BOMBA DE INFUSION. Apilables.5 modos. 01-1200 ml/h. 0.1 ml incr. Compatible con set de infusión genérico. anti-bolo. Detección de aire. Alarmas visuales audibles. Bitacora 1.000 reg. Batería de litio</v>
      </c>
      <c r="C17364" s="6">
        <v>2533333</v>
      </c>
      <c r="D17364" s="5" t="s">
        <v>120</v>
      </c>
      <c r="E17364" s="5" t="str">
        <f t="shared" si="888"/>
        <v>ELEMENTOS EN BODEGA USADOS</v>
      </c>
      <c r="F17364" s="5"/>
      <c r="G17364" s="5"/>
    </row>
    <row r="17365" spans="1:7" ht="58.5" customHeight="1" x14ac:dyDescent="0.25">
      <c r="A17365" s="5" t="str">
        <f>"H0033634"</f>
        <v>H0033634</v>
      </c>
      <c r="B17365" s="5" t="str">
        <f t="shared" si="889"/>
        <v>BOMBA DE INFUSION. Apilables.5 modos. 01-1200 ml/h. 0.1 ml incr. Compatible con set de infusión genérico. anti-bolo. Detección de aire. Alarmas visuales audibles. Bitacora 1.000 reg. Batería de litio</v>
      </c>
      <c r="C17365" s="6">
        <v>2533333</v>
      </c>
      <c r="D17365" s="5" t="s">
        <v>120</v>
      </c>
      <c r="E17365" s="5" t="str">
        <f t="shared" si="888"/>
        <v>ELEMENTOS EN BODEGA USADOS</v>
      </c>
      <c r="F17365" s="5"/>
      <c r="G17365" s="5"/>
    </row>
    <row r="17366" spans="1:7" ht="58.5" customHeight="1" x14ac:dyDescent="0.25">
      <c r="A17366" s="5" t="str">
        <f>"H0033635"</f>
        <v>H0033635</v>
      </c>
      <c r="B17366" s="5" t="str">
        <f t="shared" si="889"/>
        <v>BOMBA DE INFUSION. Apilables.5 modos. 01-1200 ml/h. 0.1 ml incr. Compatible con set de infusión genérico. anti-bolo. Detección de aire. Alarmas visuales audibles. Bitacora 1.000 reg. Batería de litio</v>
      </c>
      <c r="C17366" s="6">
        <v>2533333</v>
      </c>
      <c r="D17366" s="5" t="s">
        <v>120</v>
      </c>
      <c r="E17366" s="5" t="str">
        <f t="shared" si="888"/>
        <v>ELEMENTOS EN BODEGA USADOS</v>
      </c>
      <c r="F17366" s="5"/>
      <c r="G17366" s="5"/>
    </row>
    <row r="17367" spans="1:7" ht="58.5" customHeight="1" x14ac:dyDescent="0.25">
      <c r="A17367" s="5" t="str">
        <f>"H0033638"</f>
        <v>H0033638</v>
      </c>
      <c r="B17367" s="5" t="str">
        <f t="shared" si="889"/>
        <v>BOMBA DE INFUSION. Apilables.5 modos. 01-1200 ml/h. 0.1 ml incr. Compatible con set de infusión genérico. anti-bolo. Detección de aire. Alarmas visuales audibles. Bitacora 1.000 reg. Batería de litio</v>
      </c>
      <c r="C17367" s="6">
        <v>2533333</v>
      </c>
      <c r="D17367" s="5" t="s">
        <v>120</v>
      </c>
      <c r="E17367" s="5" t="str">
        <f t="shared" si="888"/>
        <v>ELEMENTOS EN BODEGA USADOS</v>
      </c>
      <c r="F17367" s="5"/>
      <c r="G17367" s="5"/>
    </row>
    <row r="17368" spans="1:7" ht="58.5" customHeight="1" x14ac:dyDescent="0.25">
      <c r="A17368" s="5" t="str">
        <f>"H0033639"</f>
        <v>H0033639</v>
      </c>
      <c r="B17368" s="5" t="str">
        <f t="shared" si="889"/>
        <v>BOMBA DE INFUSION. Apilables.5 modos. 01-1200 ml/h. 0.1 ml incr. Compatible con set de infusión genérico. anti-bolo. Detección de aire. Alarmas visuales audibles. Bitacora 1.000 reg. Batería de litio</v>
      </c>
      <c r="C17368" s="6">
        <v>2533333</v>
      </c>
      <c r="D17368" s="5" t="s">
        <v>120</v>
      </c>
      <c r="E17368" s="5" t="str">
        <f t="shared" si="888"/>
        <v>ELEMENTOS EN BODEGA USADOS</v>
      </c>
      <c r="F17368" s="5"/>
      <c r="G17368" s="5"/>
    </row>
    <row r="17369" spans="1:7" ht="58.5" customHeight="1" x14ac:dyDescent="0.25">
      <c r="A17369" s="5" t="str">
        <f>"H0033640"</f>
        <v>H0033640</v>
      </c>
      <c r="B17369" s="5" t="str">
        <f t="shared" si="889"/>
        <v>BOMBA DE INFUSION. Apilables.5 modos. 01-1200 ml/h. 0.1 ml incr. Compatible con set de infusión genérico. anti-bolo. Detección de aire. Alarmas visuales audibles. Bitacora 1.000 reg. Batería de litio</v>
      </c>
      <c r="C17369" s="6">
        <v>2533333</v>
      </c>
      <c r="D17369" s="5" t="s">
        <v>120</v>
      </c>
      <c r="E17369" s="5" t="str">
        <f t="shared" si="888"/>
        <v>ELEMENTOS EN BODEGA USADOS</v>
      </c>
      <c r="F17369" s="5"/>
      <c r="G17369" s="5"/>
    </row>
    <row r="17370" spans="1:7" ht="58.5" customHeight="1" x14ac:dyDescent="0.25">
      <c r="A17370" s="5" t="str">
        <f>"H0033641"</f>
        <v>H0033641</v>
      </c>
      <c r="B17370" s="5" t="str">
        <f t="shared" si="889"/>
        <v>BOMBA DE INFUSION. Apilables.5 modos. 01-1200 ml/h. 0.1 ml incr. Compatible con set de infusión genérico. anti-bolo. Detección de aire. Alarmas visuales audibles. Bitacora 1.000 reg. Batería de litio</v>
      </c>
      <c r="C17370" s="6">
        <v>2533333</v>
      </c>
      <c r="D17370" s="5" t="s">
        <v>120</v>
      </c>
      <c r="E17370" s="5" t="str">
        <f t="shared" si="888"/>
        <v>ELEMENTOS EN BODEGA USADOS</v>
      </c>
      <c r="F17370" s="5"/>
      <c r="G17370" s="5"/>
    </row>
    <row r="17371" spans="1:7" ht="58.5" customHeight="1" x14ac:dyDescent="0.25">
      <c r="A17371" s="5" t="str">
        <f>"H0033642"</f>
        <v>H0033642</v>
      </c>
      <c r="B17371" s="5" t="str">
        <f t="shared" si="889"/>
        <v>BOMBA DE INFUSION. Apilables.5 modos. 01-1200 ml/h. 0.1 ml incr. Compatible con set de infusión genérico. anti-bolo. Detección de aire. Alarmas visuales audibles. Bitacora 1.000 reg. Batería de litio</v>
      </c>
      <c r="C17371" s="6">
        <v>2533333</v>
      </c>
      <c r="D17371" s="5" t="s">
        <v>120</v>
      </c>
      <c r="E17371" s="5" t="str">
        <f t="shared" si="888"/>
        <v>ELEMENTOS EN BODEGA USADOS</v>
      </c>
      <c r="F17371" s="5"/>
      <c r="G17371" s="5"/>
    </row>
    <row r="17372" spans="1:7" ht="58.5" customHeight="1" x14ac:dyDescent="0.25">
      <c r="A17372" s="5" t="str">
        <f>"H0033644"</f>
        <v>H0033644</v>
      </c>
      <c r="B17372" s="5" t="str">
        <f t="shared" ref="B17372:B17403" si="890">"BOMBA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372" s="6">
        <v>2533333</v>
      </c>
      <c r="D17372" s="5" t="s">
        <v>120</v>
      </c>
      <c r="E17372" s="5" t="str">
        <f t="shared" si="888"/>
        <v>ELEMENTOS EN BODEGA USADOS</v>
      </c>
      <c r="F17372" s="5"/>
      <c r="G17372" s="5"/>
    </row>
    <row r="17373" spans="1:7" ht="58.5" customHeight="1" x14ac:dyDescent="0.25">
      <c r="A17373" s="5" t="str">
        <f>"H0033649"</f>
        <v>H0033649</v>
      </c>
      <c r="B17373" s="5" t="str">
        <f t="shared" si="890"/>
        <v>BOMBA DE INFUSION. Apilables.5 modos. 01-1200 ml/h. 0.1 ml incr. Compatible con set de infusión genérico. anti-bolo. Detección de aire. Alarmas visuales audibles. Bitacora 1.000 reg. Batería de litio</v>
      </c>
      <c r="C17373" s="6">
        <v>2533333</v>
      </c>
      <c r="D17373" s="5" t="s">
        <v>120</v>
      </c>
      <c r="E17373" s="5" t="str">
        <f t="shared" si="888"/>
        <v>ELEMENTOS EN BODEGA USADOS</v>
      </c>
      <c r="F17373" s="5"/>
      <c r="G17373" s="5"/>
    </row>
    <row r="17374" spans="1:7" ht="58.5" customHeight="1" x14ac:dyDescent="0.25">
      <c r="A17374" s="5" t="str">
        <f>"H0033655"</f>
        <v>H0033655</v>
      </c>
      <c r="B17374" s="5" t="str">
        <f t="shared" si="890"/>
        <v>BOMBA DE INFUSION. Apilables.5 modos. 01-1200 ml/h. 0.1 ml incr. Compatible con set de infusión genérico. anti-bolo. Detección de aire. Alarmas visuales audibles. Bitacora 1.000 reg. Batería de litio</v>
      </c>
      <c r="C17374" s="6">
        <v>2533333</v>
      </c>
      <c r="D17374" s="5" t="s">
        <v>120</v>
      </c>
      <c r="E17374" s="5" t="str">
        <f t="shared" si="888"/>
        <v>ELEMENTOS EN BODEGA USADOS</v>
      </c>
      <c r="F17374" s="5"/>
      <c r="G17374" s="5"/>
    </row>
    <row r="17375" spans="1:7" ht="58.5" customHeight="1" x14ac:dyDescent="0.25">
      <c r="A17375" s="5" t="str">
        <f>"H0033656"</f>
        <v>H0033656</v>
      </c>
      <c r="B17375" s="5" t="str">
        <f t="shared" si="890"/>
        <v>BOMBA DE INFUSION. Apilables.5 modos. 01-1200 ml/h. 0.1 ml incr. Compatible con set de infusión genérico. anti-bolo. Detección de aire. Alarmas visuales audibles. Bitacora 1.000 reg. Batería de litio</v>
      </c>
      <c r="C17375" s="6">
        <v>2533333</v>
      </c>
      <c r="D17375" s="5" t="s">
        <v>120</v>
      </c>
      <c r="E17375" s="5" t="str">
        <f t="shared" si="888"/>
        <v>ELEMENTOS EN BODEGA USADOS</v>
      </c>
      <c r="F17375" s="5"/>
      <c r="G17375" s="5"/>
    </row>
    <row r="17376" spans="1:7" ht="58.5" customHeight="1" x14ac:dyDescent="0.25">
      <c r="A17376" s="5" t="str">
        <f>"H0033657"</f>
        <v>H0033657</v>
      </c>
      <c r="B17376" s="5" t="str">
        <f t="shared" si="890"/>
        <v>BOMBA DE INFUSION. Apilables.5 modos. 01-1200 ml/h. 0.1 ml incr. Compatible con set de infusión genérico. anti-bolo. Detección de aire. Alarmas visuales audibles. Bitacora 1.000 reg. Batería de litio</v>
      </c>
      <c r="C17376" s="6">
        <v>2533333</v>
      </c>
      <c r="D17376" s="5" t="s">
        <v>120</v>
      </c>
      <c r="E17376" s="5" t="str">
        <f t="shared" si="888"/>
        <v>ELEMENTOS EN BODEGA USADOS</v>
      </c>
      <c r="F17376" s="5"/>
      <c r="G17376" s="5"/>
    </row>
    <row r="17377" spans="1:7" ht="58.5" customHeight="1" x14ac:dyDescent="0.25">
      <c r="A17377" s="5" t="str">
        <f>"H0033658"</f>
        <v>H0033658</v>
      </c>
      <c r="B17377" s="5" t="str">
        <f t="shared" si="890"/>
        <v>BOMBA DE INFUSION. Apilables.5 modos. 01-1200 ml/h. 0.1 ml incr. Compatible con set de infusión genérico. anti-bolo. Detección de aire. Alarmas visuales audibles. Bitacora 1.000 reg. Batería de litio</v>
      </c>
      <c r="C17377" s="6">
        <v>2533333</v>
      </c>
      <c r="D17377" s="5" t="s">
        <v>120</v>
      </c>
      <c r="E17377" s="5" t="str">
        <f t="shared" si="888"/>
        <v>ELEMENTOS EN BODEGA USADOS</v>
      </c>
      <c r="F17377" s="5"/>
      <c r="G17377" s="5"/>
    </row>
    <row r="17378" spans="1:7" ht="58.5" customHeight="1" x14ac:dyDescent="0.25">
      <c r="A17378" s="5" t="str">
        <f>"H0033661"</f>
        <v>H0033661</v>
      </c>
      <c r="B17378" s="5" t="str">
        <f t="shared" si="890"/>
        <v>BOMBA DE INFUSION. Apilables.5 modos. 01-1200 ml/h. 0.1 ml incr. Compatible con set de infusión genérico. anti-bolo. Detección de aire. Alarmas visuales audibles. Bitacora 1.000 reg. Batería de litio</v>
      </c>
      <c r="C17378" s="6">
        <v>2533333</v>
      </c>
      <c r="D17378" s="5" t="s">
        <v>120</v>
      </c>
      <c r="E17378" s="5" t="str">
        <f t="shared" si="888"/>
        <v>ELEMENTOS EN BODEGA USADOS</v>
      </c>
      <c r="F17378" s="5"/>
      <c r="G17378" s="5"/>
    </row>
    <row r="17379" spans="1:7" ht="58.5" customHeight="1" x14ac:dyDescent="0.25">
      <c r="A17379" s="5" t="str">
        <f>"H0033662"</f>
        <v>H0033662</v>
      </c>
      <c r="B17379" s="5" t="str">
        <f t="shared" si="890"/>
        <v>BOMBA DE INFUSION. Apilables.5 modos. 01-1200 ml/h. 0.1 ml incr. Compatible con set de infusión genérico. anti-bolo. Detección de aire. Alarmas visuales audibles. Bitacora 1.000 reg. Batería de litio</v>
      </c>
      <c r="C17379" s="6">
        <v>2533333</v>
      </c>
      <c r="D17379" s="5" t="s">
        <v>120</v>
      </c>
      <c r="E17379" s="5" t="str">
        <f t="shared" ref="E17379:E17442" si="891">"ELEMENTOS EN BODEGA USADOS"</f>
        <v>ELEMENTOS EN BODEGA USADOS</v>
      </c>
      <c r="F17379" s="5"/>
      <c r="G17379" s="5"/>
    </row>
    <row r="17380" spans="1:7" ht="58.5" customHeight="1" x14ac:dyDescent="0.25">
      <c r="A17380" s="5" t="str">
        <f>"H0033664"</f>
        <v>H0033664</v>
      </c>
      <c r="B17380" s="5" t="str">
        <f t="shared" si="890"/>
        <v>BOMBA DE INFUSION. Apilables.5 modos. 01-1200 ml/h. 0.1 ml incr. Compatible con set de infusión genérico. anti-bolo. Detección de aire. Alarmas visuales audibles. Bitacora 1.000 reg. Batería de litio</v>
      </c>
      <c r="C17380" s="6">
        <v>2533333</v>
      </c>
      <c r="D17380" s="5" t="s">
        <v>120</v>
      </c>
      <c r="E17380" s="5" t="str">
        <f t="shared" si="891"/>
        <v>ELEMENTOS EN BODEGA USADOS</v>
      </c>
      <c r="F17380" s="5"/>
      <c r="G17380" s="5"/>
    </row>
    <row r="17381" spans="1:7" ht="58.5" customHeight="1" x14ac:dyDescent="0.25">
      <c r="A17381" s="5" t="str">
        <f>"H0033665"</f>
        <v>H0033665</v>
      </c>
      <c r="B17381" s="5" t="str">
        <f t="shared" si="890"/>
        <v>BOMBA DE INFUSION. Apilables.5 modos. 01-1200 ml/h. 0.1 ml incr. Compatible con set de infusión genérico. anti-bolo. Detección de aire. Alarmas visuales audibles. Bitacora 1.000 reg. Batería de litio</v>
      </c>
      <c r="C17381" s="6">
        <v>2533333</v>
      </c>
      <c r="D17381" s="5" t="s">
        <v>120</v>
      </c>
      <c r="E17381" s="5" t="str">
        <f t="shared" si="891"/>
        <v>ELEMENTOS EN BODEGA USADOS</v>
      </c>
      <c r="F17381" s="5"/>
      <c r="G17381" s="5"/>
    </row>
    <row r="17382" spans="1:7" ht="58.5" customHeight="1" x14ac:dyDescent="0.25">
      <c r="A17382" s="5" t="str">
        <f>"H0033666"</f>
        <v>H0033666</v>
      </c>
      <c r="B17382" s="5" t="str">
        <f t="shared" si="890"/>
        <v>BOMBA DE INFUSION. Apilables.5 modos. 01-1200 ml/h. 0.1 ml incr. Compatible con set de infusión genérico. anti-bolo. Detección de aire. Alarmas visuales audibles. Bitacora 1.000 reg. Batería de litio</v>
      </c>
      <c r="C17382" s="6">
        <v>2533333</v>
      </c>
      <c r="D17382" s="5" t="s">
        <v>120</v>
      </c>
      <c r="E17382" s="5" t="str">
        <f t="shared" si="891"/>
        <v>ELEMENTOS EN BODEGA USADOS</v>
      </c>
      <c r="F17382" s="5"/>
      <c r="G17382" s="5"/>
    </row>
    <row r="17383" spans="1:7" ht="58.5" customHeight="1" x14ac:dyDescent="0.25">
      <c r="A17383" s="5" t="str">
        <f>"H0033667"</f>
        <v>H0033667</v>
      </c>
      <c r="B17383" s="5" t="str">
        <f t="shared" si="890"/>
        <v>BOMBA DE INFUSION. Apilables.5 modos. 01-1200 ml/h. 0.1 ml incr. Compatible con set de infusión genérico. anti-bolo. Detección de aire. Alarmas visuales audibles. Bitacora 1.000 reg. Batería de litio</v>
      </c>
      <c r="C17383" s="6">
        <v>2533333</v>
      </c>
      <c r="D17383" s="5" t="s">
        <v>120</v>
      </c>
      <c r="E17383" s="5" t="str">
        <f t="shared" si="891"/>
        <v>ELEMENTOS EN BODEGA USADOS</v>
      </c>
      <c r="F17383" s="5"/>
      <c r="G17383" s="5"/>
    </row>
    <row r="17384" spans="1:7" ht="58.5" customHeight="1" x14ac:dyDescent="0.25">
      <c r="A17384" s="5" t="str">
        <f>"H0033668"</f>
        <v>H0033668</v>
      </c>
      <c r="B17384" s="5" t="str">
        <f t="shared" si="890"/>
        <v>BOMBA DE INFUSION. Apilables.5 modos. 01-1200 ml/h. 0.1 ml incr. Compatible con set de infusión genérico. anti-bolo. Detección de aire. Alarmas visuales audibles. Bitacora 1.000 reg. Batería de litio</v>
      </c>
      <c r="C17384" s="6">
        <v>2533333</v>
      </c>
      <c r="D17384" s="5" t="s">
        <v>120</v>
      </c>
      <c r="E17384" s="5" t="str">
        <f t="shared" si="891"/>
        <v>ELEMENTOS EN BODEGA USADOS</v>
      </c>
      <c r="F17384" s="5"/>
      <c r="G17384" s="5"/>
    </row>
    <row r="17385" spans="1:7" ht="58.5" customHeight="1" x14ac:dyDescent="0.25">
      <c r="A17385" s="5" t="str">
        <f>"H0033669"</f>
        <v>H0033669</v>
      </c>
      <c r="B17385" s="5" t="str">
        <f t="shared" si="890"/>
        <v>BOMBA DE INFUSION. Apilables.5 modos. 01-1200 ml/h. 0.1 ml incr. Compatible con set de infusión genérico. anti-bolo. Detección de aire. Alarmas visuales audibles. Bitacora 1.000 reg. Batería de litio</v>
      </c>
      <c r="C17385" s="6">
        <v>2533333</v>
      </c>
      <c r="D17385" s="5" t="s">
        <v>120</v>
      </c>
      <c r="E17385" s="5" t="str">
        <f t="shared" si="891"/>
        <v>ELEMENTOS EN BODEGA USADOS</v>
      </c>
      <c r="F17385" s="5"/>
      <c r="G17385" s="5"/>
    </row>
    <row r="17386" spans="1:7" ht="58.5" customHeight="1" x14ac:dyDescent="0.25">
      <c r="A17386" s="5" t="str">
        <f>"H0033671"</f>
        <v>H0033671</v>
      </c>
      <c r="B17386" s="5" t="str">
        <f t="shared" si="890"/>
        <v>BOMBA DE INFUSION. Apilables.5 modos. 01-1200 ml/h. 0.1 ml incr. Compatible con set de infusión genérico. anti-bolo. Detección de aire. Alarmas visuales audibles. Bitacora 1.000 reg. Batería de litio</v>
      </c>
      <c r="C17386" s="6">
        <v>2533333</v>
      </c>
      <c r="D17386" s="5" t="s">
        <v>120</v>
      </c>
      <c r="E17386" s="5" t="str">
        <f t="shared" si="891"/>
        <v>ELEMENTOS EN BODEGA USADOS</v>
      </c>
      <c r="F17386" s="5"/>
      <c r="G17386" s="5"/>
    </row>
    <row r="17387" spans="1:7" ht="58.5" customHeight="1" x14ac:dyDescent="0.25">
      <c r="A17387" s="5" t="str">
        <f>"H0033675"</f>
        <v>H0033675</v>
      </c>
      <c r="B17387" s="5" t="str">
        <f t="shared" si="890"/>
        <v>BOMBA DE INFUSION. Apilables.5 modos. 01-1200 ml/h. 0.1 ml incr. Compatible con set de infusión genérico. anti-bolo. Detección de aire. Alarmas visuales audibles. Bitacora 1.000 reg. Batería de litio</v>
      </c>
      <c r="C17387" s="6">
        <v>2533333</v>
      </c>
      <c r="D17387" s="5" t="s">
        <v>120</v>
      </c>
      <c r="E17387" s="5" t="str">
        <f t="shared" si="891"/>
        <v>ELEMENTOS EN BODEGA USADOS</v>
      </c>
      <c r="F17387" s="5"/>
      <c r="G17387" s="5"/>
    </row>
    <row r="17388" spans="1:7" ht="58.5" customHeight="1" x14ac:dyDescent="0.25">
      <c r="A17388" s="5" t="str">
        <f>"H0033678"</f>
        <v>H0033678</v>
      </c>
      <c r="B17388" s="5" t="str">
        <f t="shared" si="890"/>
        <v>BOMBA DE INFUSION. Apilables.5 modos. 01-1200 ml/h. 0.1 ml incr. Compatible con set de infusión genérico. anti-bolo. Detección de aire. Alarmas visuales audibles. Bitacora 1.000 reg. Batería de litio</v>
      </c>
      <c r="C17388" s="6">
        <v>2533333</v>
      </c>
      <c r="D17388" s="5" t="s">
        <v>120</v>
      </c>
      <c r="E17388" s="5" t="str">
        <f t="shared" si="891"/>
        <v>ELEMENTOS EN BODEGA USADOS</v>
      </c>
      <c r="F17388" s="5"/>
      <c r="G17388" s="5"/>
    </row>
    <row r="17389" spans="1:7" ht="58.5" customHeight="1" x14ac:dyDescent="0.25">
      <c r="A17389" s="5" t="str">
        <f>"H0033683"</f>
        <v>H0033683</v>
      </c>
      <c r="B17389" s="5" t="str">
        <f t="shared" si="890"/>
        <v>BOMBA DE INFUSION. Apilables.5 modos. 01-1200 ml/h. 0.1 ml incr. Compatible con set de infusión genérico. anti-bolo. Detección de aire. Alarmas visuales audibles. Bitacora 1.000 reg. Batería de litio</v>
      </c>
      <c r="C17389" s="6">
        <v>2533333</v>
      </c>
      <c r="D17389" s="5" t="s">
        <v>120</v>
      </c>
      <c r="E17389" s="5" t="str">
        <f t="shared" si="891"/>
        <v>ELEMENTOS EN BODEGA USADOS</v>
      </c>
      <c r="F17389" s="5"/>
      <c r="G17389" s="5"/>
    </row>
    <row r="17390" spans="1:7" ht="58.5" customHeight="1" x14ac:dyDescent="0.25">
      <c r="A17390" s="5" t="str">
        <f>"H0033688"</f>
        <v>H0033688</v>
      </c>
      <c r="B17390" s="5" t="str">
        <f t="shared" si="890"/>
        <v>BOMBA DE INFUSION. Apilables.5 modos. 01-1200 ml/h. 0.1 ml incr. Compatible con set de infusión genérico. anti-bolo. Detección de aire. Alarmas visuales audibles. Bitacora 1.000 reg. Batería de litio</v>
      </c>
      <c r="C17390" s="6">
        <v>2533333</v>
      </c>
      <c r="D17390" s="5" t="s">
        <v>120</v>
      </c>
      <c r="E17390" s="5" t="str">
        <f t="shared" si="891"/>
        <v>ELEMENTOS EN BODEGA USADOS</v>
      </c>
      <c r="F17390" s="5"/>
      <c r="G17390" s="5"/>
    </row>
    <row r="17391" spans="1:7" ht="58.5" customHeight="1" x14ac:dyDescent="0.25">
      <c r="A17391" s="5" t="str">
        <f>"H0033689"</f>
        <v>H0033689</v>
      </c>
      <c r="B17391" s="5" t="str">
        <f t="shared" si="890"/>
        <v>BOMBA DE INFUSION. Apilables.5 modos. 01-1200 ml/h. 0.1 ml incr. Compatible con set de infusión genérico. anti-bolo. Detección de aire. Alarmas visuales audibles. Bitacora 1.000 reg. Batería de litio</v>
      </c>
      <c r="C17391" s="6">
        <v>2533333</v>
      </c>
      <c r="D17391" s="5" t="s">
        <v>120</v>
      </c>
      <c r="E17391" s="5" t="str">
        <f t="shared" si="891"/>
        <v>ELEMENTOS EN BODEGA USADOS</v>
      </c>
      <c r="F17391" s="5"/>
      <c r="G17391" s="5"/>
    </row>
    <row r="17392" spans="1:7" ht="58.5" customHeight="1" x14ac:dyDescent="0.25">
      <c r="A17392" s="5" t="str">
        <f>"H0033690"</f>
        <v>H0033690</v>
      </c>
      <c r="B17392" s="5" t="str">
        <f t="shared" si="890"/>
        <v>BOMBA DE INFUSION. Apilables.5 modos. 01-1200 ml/h. 0.1 ml incr. Compatible con set de infusión genérico. anti-bolo. Detección de aire. Alarmas visuales audibles. Bitacora 1.000 reg. Batería de litio</v>
      </c>
      <c r="C17392" s="6">
        <v>2533333</v>
      </c>
      <c r="D17392" s="5" t="s">
        <v>120</v>
      </c>
      <c r="E17392" s="5" t="str">
        <f t="shared" si="891"/>
        <v>ELEMENTOS EN BODEGA USADOS</v>
      </c>
      <c r="F17392" s="5"/>
      <c r="G17392" s="5"/>
    </row>
    <row r="17393" spans="1:7" ht="58.5" customHeight="1" x14ac:dyDescent="0.25">
      <c r="A17393" s="5" t="str">
        <f>"H0033691"</f>
        <v>H0033691</v>
      </c>
      <c r="B17393" s="5" t="str">
        <f t="shared" si="890"/>
        <v>BOMBA DE INFUSION. Apilables.5 modos. 01-1200 ml/h. 0.1 ml incr. Compatible con set de infusión genérico. anti-bolo. Detección de aire. Alarmas visuales audibles. Bitacora 1.000 reg. Batería de litio</v>
      </c>
      <c r="C17393" s="6">
        <v>2533333</v>
      </c>
      <c r="D17393" s="5" t="s">
        <v>120</v>
      </c>
      <c r="E17393" s="5" t="str">
        <f t="shared" si="891"/>
        <v>ELEMENTOS EN BODEGA USADOS</v>
      </c>
      <c r="F17393" s="5"/>
      <c r="G17393" s="5"/>
    </row>
    <row r="17394" spans="1:7" ht="58.5" customHeight="1" x14ac:dyDescent="0.25">
      <c r="A17394" s="5" t="str">
        <f>"H0033705"</f>
        <v>H0033705</v>
      </c>
      <c r="B17394" s="5" t="str">
        <f t="shared" si="890"/>
        <v>BOMBA DE INFUSION. Apilables.5 modos. 01-1200 ml/h. 0.1 ml incr. Compatible con set de infusión genérico. anti-bolo. Detección de aire. Alarmas visuales audibles. Bitacora 1.000 reg. Batería de litio</v>
      </c>
      <c r="C17394" s="6">
        <v>2533333</v>
      </c>
      <c r="D17394" s="5" t="s">
        <v>120</v>
      </c>
      <c r="E17394" s="5" t="str">
        <f t="shared" si="891"/>
        <v>ELEMENTOS EN BODEGA USADOS</v>
      </c>
      <c r="F17394" s="5"/>
      <c r="G17394" s="5"/>
    </row>
    <row r="17395" spans="1:7" ht="58.5" customHeight="1" x14ac:dyDescent="0.25">
      <c r="A17395" s="5" t="str">
        <f>"H0033706"</f>
        <v>H0033706</v>
      </c>
      <c r="B17395" s="5" t="str">
        <f t="shared" si="890"/>
        <v>BOMBA DE INFUSION. Apilables.5 modos. 01-1200 ml/h. 0.1 ml incr. Compatible con set de infusión genérico. anti-bolo. Detección de aire. Alarmas visuales audibles. Bitacora 1.000 reg. Batería de litio</v>
      </c>
      <c r="C17395" s="6">
        <v>2533333</v>
      </c>
      <c r="D17395" s="5" t="s">
        <v>120</v>
      </c>
      <c r="E17395" s="5" t="str">
        <f t="shared" si="891"/>
        <v>ELEMENTOS EN BODEGA USADOS</v>
      </c>
      <c r="F17395" s="5"/>
      <c r="G17395" s="5"/>
    </row>
    <row r="17396" spans="1:7" ht="58.5" customHeight="1" x14ac:dyDescent="0.25">
      <c r="A17396" s="5" t="str">
        <f>"H0033707"</f>
        <v>H0033707</v>
      </c>
      <c r="B17396" s="5" t="str">
        <f t="shared" si="890"/>
        <v>BOMBA DE INFUSION. Apilables.5 modos. 01-1200 ml/h. 0.1 ml incr. Compatible con set de infusión genérico. anti-bolo. Detección de aire. Alarmas visuales audibles. Bitacora 1.000 reg. Batería de litio</v>
      </c>
      <c r="C17396" s="6">
        <v>2533333</v>
      </c>
      <c r="D17396" s="5" t="s">
        <v>120</v>
      </c>
      <c r="E17396" s="5" t="str">
        <f t="shared" si="891"/>
        <v>ELEMENTOS EN BODEGA USADOS</v>
      </c>
      <c r="F17396" s="5"/>
      <c r="G17396" s="5"/>
    </row>
    <row r="17397" spans="1:7" ht="58.5" customHeight="1" x14ac:dyDescent="0.25">
      <c r="A17397" s="5" t="str">
        <f>"H0033715"</f>
        <v>H0033715</v>
      </c>
      <c r="B17397" s="5" t="str">
        <f t="shared" si="890"/>
        <v>BOMBA DE INFUSION. Apilables.5 modos. 01-1200 ml/h. 0.1 ml incr. Compatible con set de infusión genérico. anti-bolo. Detección de aire. Alarmas visuales audibles. Bitacora 1.000 reg. Batería de litio</v>
      </c>
      <c r="C17397" s="6">
        <v>2533333</v>
      </c>
      <c r="D17397" s="5" t="s">
        <v>120</v>
      </c>
      <c r="E17397" s="5" t="str">
        <f t="shared" si="891"/>
        <v>ELEMENTOS EN BODEGA USADOS</v>
      </c>
      <c r="F17397" s="5"/>
      <c r="G17397" s="5"/>
    </row>
    <row r="17398" spans="1:7" ht="58.5" customHeight="1" x14ac:dyDescent="0.25">
      <c r="A17398" s="5" t="str">
        <f>"H0033724"</f>
        <v>H0033724</v>
      </c>
      <c r="B17398" s="5" t="str">
        <f t="shared" si="890"/>
        <v>BOMBA DE INFUSION. Apilables.5 modos. 01-1200 ml/h. 0.1 ml incr. Compatible con set de infusión genérico. anti-bolo. Detección de aire. Alarmas visuales audibles. Bitacora 1.000 reg. Batería de litio</v>
      </c>
      <c r="C17398" s="6">
        <v>2533333</v>
      </c>
      <c r="D17398" s="5" t="s">
        <v>120</v>
      </c>
      <c r="E17398" s="5" t="str">
        <f t="shared" si="891"/>
        <v>ELEMENTOS EN BODEGA USADOS</v>
      </c>
      <c r="F17398" s="5"/>
      <c r="G17398" s="5"/>
    </row>
    <row r="17399" spans="1:7" ht="58.5" customHeight="1" x14ac:dyDescent="0.25">
      <c r="A17399" s="5" t="str">
        <f>"H0033730"</f>
        <v>H0033730</v>
      </c>
      <c r="B17399" s="5" t="str">
        <f t="shared" si="890"/>
        <v>BOMBA DE INFUSION. Apilables.5 modos. 01-1200 ml/h. 0.1 ml incr. Compatible con set de infusión genérico. anti-bolo. Detección de aire. Alarmas visuales audibles. Bitacora 1.000 reg. Batería de litio</v>
      </c>
      <c r="C17399" s="6">
        <v>2533333</v>
      </c>
      <c r="D17399" s="5" t="s">
        <v>120</v>
      </c>
      <c r="E17399" s="5" t="str">
        <f t="shared" si="891"/>
        <v>ELEMENTOS EN BODEGA USADOS</v>
      </c>
      <c r="F17399" s="5"/>
      <c r="G17399" s="5"/>
    </row>
    <row r="17400" spans="1:7" ht="58.5" customHeight="1" x14ac:dyDescent="0.25">
      <c r="A17400" s="5" t="str">
        <f>"H0033735"</f>
        <v>H0033735</v>
      </c>
      <c r="B17400" s="5" t="str">
        <f t="shared" si="890"/>
        <v>BOMBA DE INFUSION. Apilables.5 modos. 01-1200 ml/h. 0.1 ml incr. Compatible con set de infusión genérico. anti-bolo. Detección de aire. Alarmas visuales audibles. Bitacora 1.000 reg. Batería de litio</v>
      </c>
      <c r="C17400" s="6">
        <v>2533333</v>
      </c>
      <c r="D17400" s="5" t="s">
        <v>120</v>
      </c>
      <c r="E17400" s="5" t="str">
        <f t="shared" si="891"/>
        <v>ELEMENTOS EN BODEGA USADOS</v>
      </c>
      <c r="F17400" s="5"/>
      <c r="G17400" s="5"/>
    </row>
    <row r="17401" spans="1:7" ht="58.5" customHeight="1" x14ac:dyDescent="0.25">
      <c r="A17401" s="5" t="str">
        <f>"H0033736"</f>
        <v>H0033736</v>
      </c>
      <c r="B17401" s="5" t="str">
        <f t="shared" si="890"/>
        <v>BOMBA DE INFUSION. Apilables.5 modos. 01-1200 ml/h. 0.1 ml incr. Compatible con set de infusión genérico. anti-bolo. Detección de aire. Alarmas visuales audibles. Bitacora 1.000 reg. Batería de litio</v>
      </c>
      <c r="C17401" s="6">
        <v>2533333</v>
      </c>
      <c r="D17401" s="5" t="s">
        <v>120</v>
      </c>
      <c r="E17401" s="5" t="str">
        <f t="shared" si="891"/>
        <v>ELEMENTOS EN BODEGA USADOS</v>
      </c>
      <c r="F17401" s="5"/>
      <c r="G17401" s="5"/>
    </row>
    <row r="17402" spans="1:7" ht="58.5" customHeight="1" x14ac:dyDescent="0.25">
      <c r="A17402" s="5" t="str">
        <f>"H0033740"</f>
        <v>H0033740</v>
      </c>
      <c r="B17402" s="5" t="str">
        <f t="shared" si="890"/>
        <v>BOMBA DE INFUSION. Apilables.5 modos. 01-1200 ml/h. 0.1 ml incr. Compatible con set de infusión genérico. anti-bolo. Detección de aire. Alarmas visuales audibles. Bitacora 1.000 reg. Batería de litio</v>
      </c>
      <c r="C17402" s="6">
        <v>2533333</v>
      </c>
      <c r="D17402" s="5" t="s">
        <v>120</v>
      </c>
      <c r="E17402" s="5" t="str">
        <f t="shared" si="891"/>
        <v>ELEMENTOS EN BODEGA USADOS</v>
      </c>
      <c r="F17402" s="5"/>
      <c r="G17402" s="5"/>
    </row>
    <row r="17403" spans="1:7" ht="58.5" customHeight="1" x14ac:dyDescent="0.25">
      <c r="A17403" s="5" t="str">
        <f>"H0033744"</f>
        <v>H0033744</v>
      </c>
      <c r="B17403" s="5" t="str">
        <f t="shared" si="890"/>
        <v>BOMBA DE INFUSION. Apilables.5 modos. 01-1200 ml/h. 0.1 ml incr. Compatible con set de infusión genérico. anti-bolo. Detección de aire. Alarmas visuales audibles. Bitacora 1.000 reg. Batería de litio</v>
      </c>
      <c r="C17403" s="6">
        <v>2533333</v>
      </c>
      <c r="D17403" s="5" t="s">
        <v>120</v>
      </c>
      <c r="E17403" s="5" t="str">
        <f t="shared" si="891"/>
        <v>ELEMENTOS EN BODEGA USADOS</v>
      </c>
      <c r="F17403" s="5"/>
      <c r="G17403" s="5"/>
    </row>
    <row r="17404" spans="1:7" ht="58.5" customHeight="1" x14ac:dyDescent="0.25">
      <c r="A17404" s="5" t="str">
        <f>"H0033745"</f>
        <v>H0033745</v>
      </c>
      <c r="B17404" s="5" t="str">
        <f t="shared" ref="B17404:B17435" si="892">"BOMBA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404" s="6">
        <v>2533333</v>
      </c>
      <c r="D17404" s="5" t="s">
        <v>120</v>
      </c>
      <c r="E17404" s="5" t="str">
        <f t="shared" si="891"/>
        <v>ELEMENTOS EN BODEGA USADOS</v>
      </c>
      <c r="F17404" s="5"/>
      <c r="G17404" s="5"/>
    </row>
    <row r="17405" spans="1:7" ht="58.5" customHeight="1" x14ac:dyDescent="0.25">
      <c r="A17405" s="5" t="str">
        <f>"H0033746"</f>
        <v>H0033746</v>
      </c>
      <c r="B17405" s="5" t="str">
        <f t="shared" si="892"/>
        <v>BOMBA DE INFUSION. Apilables.5 modos. 01-1200 ml/h. 0.1 ml incr. Compatible con set de infusión genérico. anti-bolo. Detección de aire. Alarmas visuales audibles. Bitacora 1.000 reg. Batería de litio</v>
      </c>
      <c r="C17405" s="6">
        <v>2533333</v>
      </c>
      <c r="D17405" s="5" t="s">
        <v>120</v>
      </c>
      <c r="E17405" s="5" t="str">
        <f t="shared" si="891"/>
        <v>ELEMENTOS EN BODEGA USADOS</v>
      </c>
      <c r="F17405" s="5"/>
      <c r="G17405" s="5"/>
    </row>
    <row r="17406" spans="1:7" ht="58.5" customHeight="1" x14ac:dyDescent="0.25">
      <c r="A17406" s="5" t="str">
        <f>"H0033747"</f>
        <v>H0033747</v>
      </c>
      <c r="B17406" s="5" t="str">
        <f t="shared" si="892"/>
        <v>BOMBA DE INFUSION. Apilables.5 modos. 01-1200 ml/h. 0.1 ml incr. Compatible con set de infusión genérico. anti-bolo. Detección de aire. Alarmas visuales audibles. Bitacora 1.000 reg. Batería de litio</v>
      </c>
      <c r="C17406" s="6">
        <v>2533333</v>
      </c>
      <c r="D17406" s="5" t="s">
        <v>120</v>
      </c>
      <c r="E17406" s="5" t="str">
        <f t="shared" si="891"/>
        <v>ELEMENTOS EN BODEGA USADOS</v>
      </c>
      <c r="F17406" s="5"/>
      <c r="G17406" s="5"/>
    </row>
    <row r="17407" spans="1:7" ht="58.5" customHeight="1" x14ac:dyDescent="0.25">
      <c r="A17407" s="5" t="str">
        <f>"H0033765"</f>
        <v>H0033765</v>
      </c>
      <c r="B17407" s="5" t="str">
        <f t="shared" si="892"/>
        <v>BOMBA DE INFUSION. Apilables.5 modos. 01-1200 ml/h. 0.1 ml incr. Compatible con set de infusión genérico. anti-bolo. Detección de aire. Alarmas visuales audibles. Bitacora 1.000 reg. Batería de litio</v>
      </c>
      <c r="C17407" s="6">
        <v>2533333</v>
      </c>
      <c r="D17407" s="5" t="s">
        <v>120</v>
      </c>
      <c r="E17407" s="5" t="str">
        <f t="shared" si="891"/>
        <v>ELEMENTOS EN BODEGA USADOS</v>
      </c>
      <c r="F17407" s="5"/>
      <c r="G17407" s="5"/>
    </row>
    <row r="17408" spans="1:7" ht="58.5" customHeight="1" x14ac:dyDescent="0.25">
      <c r="A17408" s="5" t="str">
        <f>"H0033766"</f>
        <v>H0033766</v>
      </c>
      <c r="B17408" s="5" t="str">
        <f t="shared" si="892"/>
        <v>BOMBA DE INFUSION. Apilables.5 modos. 01-1200 ml/h. 0.1 ml incr. Compatible con set de infusión genérico. anti-bolo. Detección de aire. Alarmas visuales audibles. Bitacora 1.000 reg. Batería de litio</v>
      </c>
      <c r="C17408" s="6">
        <v>2533333</v>
      </c>
      <c r="D17408" s="5" t="s">
        <v>120</v>
      </c>
      <c r="E17408" s="5" t="str">
        <f t="shared" si="891"/>
        <v>ELEMENTOS EN BODEGA USADOS</v>
      </c>
      <c r="F17408" s="5"/>
      <c r="G17408" s="5"/>
    </row>
    <row r="17409" spans="1:7" ht="58.5" customHeight="1" x14ac:dyDescent="0.25">
      <c r="A17409" s="5" t="str">
        <f>"H0033768"</f>
        <v>H0033768</v>
      </c>
      <c r="B17409" s="5" t="str">
        <f t="shared" si="892"/>
        <v>BOMBA DE INFUSION. Apilables.5 modos. 01-1200 ml/h. 0.1 ml incr. Compatible con set de infusión genérico. anti-bolo. Detección de aire. Alarmas visuales audibles. Bitacora 1.000 reg. Batería de litio</v>
      </c>
      <c r="C17409" s="6">
        <v>2533333</v>
      </c>
      <c r="D17409" s="5" t="s">
        <v>120</v>
      </c>
      <c r="E17409" s="5" t="str">
        <f t="shared" si="891"/>
        <v>ELEMENTOS EN BODEGA USADOS</v>
      </c>
      <c r="F17409" s="5"/>
      <c r="G17409" s="5"/>
    </row>
    <row r="17410" spans="1:7" ht="58.5" customHeight="1" x14ac:dyDescent="0.25">
      <c r="A17410" s="5" t="str">
        <f>"H0033769"</f>
        <v>H0033769</v>
      </c>
      <c r="B17410" s="5" t="str">
        <f t="shared" si="892"/>
        <v>BOMBA DE INFUSION. Apilables.5 modos. 01-1200 ml/h. 0.1 ml incr. Compatible con set de infusión genérico. anti-bolo. Detección de aire. Alarmas visuales audibles. Bitacora 1.000 reg. Batería de litio</v>
      </c>
      <c r="C17410" s="6">
        <v>2533333</v>
      </c>
      <c r="D17410" s="5" t="s">
        <v>120</v>
      </c>
      <c r="E17410" s="5" t="str">
        <f t="shared" si="891"/>
        <v>ELEMENTOS EN BODEGA USADOS</v>
      </c>
      <c r="F17410" s="5"/>
      <c r="G17410" s="5"/>
    </row>
    <row r="17411" spans="1:7" ht="58.5" customHeight="1" x14ac:dyDescent="0.25">
      <c r="A17411" s="5" t="str">
        <f>"H0033772"</f>
        <v>H0033772</v>
      </c>
      <c r="B17411" s="5" t="str">
        <f t="shared" si="892"/>
        <v>BOMBA DE INFUSION. Apilables.5 modos. 01-1200 ml/h. 0.1 ml incr. Compatible con set de infusión genérico. anti-bolo. Detección de aire. Alarmas visuales audibles. Bitacora 1.000 reg. Batería de litio</v>
      </c>
      <c r="C17411" s="6">
        <v>2533333</v>
      </c>
      <c r="D17411" s="5" t="s">
        <v>120</v>
      </c>
      <c r="E17411" s="5" t="str">
        <f t="shared" si="891"/>
        <v>ELEMENTOS EN BODEGA USADOS</v>
      </c>
      <c r="F17411" s="5"/>
      <c r="G17411" s="5"/>
    </row>
    <row r="17412" spans="1:7" ht="58.5" customHeight="1" x14ac:dyDescent="0.25">
      <c r="A17412" s="5" t="str">
        <f>"H0033773"</f>
        <v>H0033773</v>
      </c>
      <c r="B17412" s="5" t="str">
        <f t="shared" si="892"/>
        <v>BOMBA DE INFUSION. Apilables.5 modos. 01-1200 ml/h. 0.1 ml incr. Compatible con set de infusión genérico. anti-bolo. Detección de aire. Alarmas visuales audibles. Bitacora 1.000 reg. Batería de litio</v>
      </c>
      <c r="C17412" s="6">
        <v>2533333</v>
      </c>
      <c r="D17412" s="5" t="s">
        <v>120</v>
      </c>
      <c r="E17412" s="5" t="str">
        <f t="shared" si="891"/>
        <v>ELEMENTOS EN BODEGA USADOS</v>
      </c>
      <c r="F17412" s="5"/>
      <c r="G17412" s="5"/>
    </row>
    <row r="17413" spans="1:7" ht="58.5" customHeight="1" x14ac:dyDescent="0.25">
      <c r="A17413" s="5" t="str">
        <f>"H0033774"</f>
        <v>H0033774</v>
      </c>
      <c r="B17413" s="5" t="str">
        <f t="shared" si="892"/>
        <v>BOMBA DE INFUSION. Apilables.5 modos. 01-1200 ml/h. 0.1 ml incr. Compatible con set de infusión genérico. anti-bolo. Detección de aire. Alarmas visuales audibles. Bitacora 1.000 reg. Batería de litio</v>
      </c>
      <c r="C17413" s="6">
        <v>2533333</v>
      </c>
      <c r="D17413" s="5" t="s">
        <v>120</v>
      </c>
      <c r="E17413" s="5" t="str">
        <f t="shared" si="891"/>
        <v>ELEMENTOS EN BODEGA USADOS</v>
      </c>
      <c r="F17413" s="5"/>
      <c r="G17413" s="5"/>
    </row>
    <row r="17414" spans="1:7" ht="58.5" customHeight="1" x14ac:dyDescent="0.25">
      <c r="A17414" s="5" t="str">
        <f>"H0033775"</f>
        <v>H0033775</v>
      </c>
      <c r="B17414" s="5" t="str">
        <f t="shared" si="892"/>
        <v>BOMBA DE INFUSION. Apilables.5 modos. 01-1200 ml/h. 0.1 ml incr. Compatible con set de infusión genérico. anti-bolo. Detección de aire. Alarmas visuales audibles. Bitacora 1.000 reg. Batería de litio</v>
      </c>
      <c r="C17414" s="6">
        <v>2533333</v>
      </c>
      <c r="D17414" s="5" t="s">
        <v>120</v>
      </c>
      <c r="E17414" s="5" t="str">
        <f t="shared" si="891"/>
        <v>ELEMENTOS EN BODEGA USADOS</v>
      </c>
      <c r="F17414" s="5"/>
      <c r="G17414" s="5"/>
    </row>
    <row r="17415" spans="1:7" ht="58.5" customHeight="1" x14ac:dyDescent="0.25">
      <c r="A17415" s="5" t="str">
        <f>"H0033776"</f>
        <v>H0033776</v>
      </c>
      <c r="B17415" s="5" t="str">
        <f t="shared" si="892"/>
        <v>BOMBA DE INFUSION. Apilables.5 modos. 01-1200 ml/h. 0.1 ml incr. Compatible con set de infusión genérico. anti-bolo. Detección de aire. Alarmas visuales audibles. Bitacora 1.000 reg. Batería de litio</v>
      </c>
      <c r="C17415" s="6">
        <v>2533333</v>
      </c>
      <c r="D17415" s="5" t="s">
        <v>120</v>
      </c>
      <c r="E17415" s="5" t="str">
        <f t="shared" si="891"/>
        <v>ELEMENTOS EN BODEGA USADOS</v>
      </c>
      <c r="F17415" s="5"/>
      <c r="G17415" s="5"/>
    </row>
    <row r="17416" spans="1:7" ht="58.5" customHeight="1" x14ac:dyDescent="0.25">
      <c r="A17416" s="5" t="str">
        <f>"H0033777"</f>
        <v>H0033777</v>
      </c>
      <c r="B17416" s="5" t="str">
        <f t="shared" si="892"/>
        <v>BOMBA DE INFUSION. Apilables.5 modos. 01-1200 ml/h. 0.1 ml incr. Compatible con set de infusión genérico. anti-bolo. Detección de aire. Alarmas visuales audibles. Bitacora 1.000 reg. Batería de litio</v>
      </c>
      <c r="C17416" s="6">
        <v>2533333</v>
      </c>
      <c r="D17416" s="5" t="s">
        <v>120</v>
      </c>
      <c r="E17416" s="5" t="str">
        <f t="shared" si="891"/>
        <v>ELEMENTOS EN BODEGA USADOS</v>
      </c>
      <c r="F17416" s="5"/>
      <c r="G17416" s="5"/>
    </row>
    <row r="17417" spans="1:7" ht="58.5" customHeight="1" x14ac:dyDescent="0.25">
      <c r="A17417" s="5" t="str">
        <f>"H0033779"</f>
        <v>H0033779</v>
      </c>
      <c r="B17417" s="5" t="str">
        <f t="shared" si="892"/>
        <v>BOMBA DE INFUSION. Apilables.5 modos. 01-1200 ml/h. 0.1 ml incr. Compatible con set de infusión genérico. anti-bolo. Detección de aire. Alarmas visuales audibles. Bitacora 1.000 reg. Batería de litio</v>
      </c>
      <c r="C17417" s="6">
        <v>2533333</v>
      </c>
      <c r="D17417" s="5" t="s">
        <v>120</v>
      </c>
      <c r="E17417" s="5" t="str">
        <f t="shared" si="891"/>
        <v>ELEMENTOS EN BODEGA USADOS</v>
      </c>
      <c r="F17417" s="5"/>
      <c r="G17417" s="5"/>
    </row>
    <row r="17418" spans="1:7" ht="58.5" customHeight="1" x14ac:dyDescent="0.25">
      <c r="A17418" s="5" t="str">
        <f>"H0033781"</f>
        <v>H0033781</v>
      </c>
      <c r="B17418" s="5" t="str">
        <f t="shared" si="892"/>
        <v>BOMBA DE INFUSION. Apilables.5 modos. 01-1200 ml/h. 0.1 ml incr. Compatible con set de infusión genérico. anti-bolo. Detección de aire. Alarmas visuales audibles. Bitacora 1.000 reg. Batería de litio</v>
      </c>
      <c r="C17418" s="6">
        <v>2533333</v>
      </c>
      <c r="D17418" s="5" t="s">
        <v>120</v>
      </c>
      <c r="E17418" s="5" t="str">
        <f t="shared" si="891"/>
        <v>ELEMENTOS EN BODEGA USADOS</v>
      </c>
      <c r="F17418" s="5"/>
      <c r="G17418" s="5"/>
    </row>
    <row r="17419" spans="1:7" ht="58.5" customHeight="1" x14ac:dyDescent="0.25">
      <c r="A17419" s="5" t="str">
        <f>"H0033782"</f>
        <v>H0033782</v>
      </c>
      <c r="B17419" s="5" t="str">
        <f t="shared" si="892"/>
        <v>BOMBA DE INFUSION. Apilables.5 modos. 01-1200 ml/h. 0.1 ml incr. Compatible con set de infusión genérico. anti-bolo. Detección de aire. Alarmas visuales audibles. Bitacora 1.000 reg. Batería de litio</v>
      </c>
      <c r="C17419" s="6">
        <v>2533333</v>
      </c>
      <c r="D17419" s="5" t="s">
        <v>120</v>
      </c>
      <c r="E17419" s="5" t="str">
        <f t="shared" si="891"/>
        <v>ELEMENTOS EN BODEGA USADOS</v>
      </c>
      <c r="F17419" s="5"/>
      <c r="G17419" s="5"/>
    </row>
    <row r="17420" spans="1:7" ht="58.5" customHeight="1" x14ac:dyDescent="0.25">
      <c r="A17420" s="5" t="str">
        <f>"H0033783"</f>
        <v>H0033783</v>
      </c>
      <c r="B17420" s="5" t="str">
        <f t="shared" si="892"/>
        <v>BOMBA DE INFUSION. Apilables.5 modos. 01-1200 ml/h. 0.1 ml incr. Compatible con set de infusión genérico. anti-bolo. Detección de aire. Alarmas visuales audibles. Bitacora 1.000 reg. Batería de litio</v>
      </c>
      <c r="C17420" s="6">
        <v>2533333</v>
      </c>
      <c r="D17420" s="5" t="s">
        <v>120</v>
      </c>
      <c r="E17420" s="5" t="str">
        <f t="shared" si="891"/>
        <v>ELEMENTOS EN BODEGA USADOS</v>
      </c>
      <c r="F17420" s="5"/>
      <c r="G17420" s="5"/>
    </row>
    <row r="17421" spans="1:7" ht="58.5" customHeight="1" x14ac:dyDescent="0.25">
      <c r="A17421" s="5" t="str">
        <f>"H0033785"</f>
        <v>H0033785</v>
      </c>
      <c r="B17421" s="5" t="str">
        <f t="shared" si="892"/>
        <v>BOMBA DE INFUSION. Apilables.5 modos. 01-1200 ml/h. 0.1 ml incr. Compatible con set de infusión genérico. anti-bolo. Detección de aire. Alarmas visuales audibles. Bitacora 1.000 reg. Batería de litio</v>
      </c>
      <c r="C17421" s="6">
        <v>2533333</v>
      </c>
      <c r="D17421" s="5" t="s">
        <v>487</v>
      </c>
      <c r="E17421" s="5" t="str">
        <f t="shared" si="891"/>
        <v>ELEMENTOS EN BODEGA USADOS</v>
      </c>
      <c r="F17421" s="5"/>
      <c r="G17421" s="5"/>
    </row>
    <row r="17422" spans="1:7" ht="58.5" customHeight="1" x14ac:dyDescent="0.25">
      <c r="A17422" s="5" t="str">
        <f>"H0033787"</f>
        <v>H0033787</v>
      </c>
      <c r="B17422" s="5" t="str">
        <f t="shared" si="892"/>
        <v>BOMBA DE INFUSION. Apilables.5 modos. 01-1200 ml/h. 0.1 ml incr. Compatible con set de infusión genérico. anti-bolo. Detección de aire. Alarmas visuales audibles. Bitacora 1.000 reg. Batería de litio</v>
      </c>
      <c r="C17422" s="6">
        <v>2533333</v>
      </c>
      <c r="D17422" s="5" t="s">
        <v>120</v>
      </c>
      <c r="E17422" s="5" t="str">
        <f t="shared" si="891"/>
        <v>ELEMENTOS EN BODEGA USADOS</v>
      </c>
      <c r="F17422" s="5"/>
      <c r="G17422" s="5"/>
    </row>
    <row r="17423" spans="1:7" ht="58.5" customHeight="1" x14ac:dyDescent="0.25">
      <c r="A17423" s="5" t="str">
        <f>"H0033790"</f>
        <v>H0033790</v>
      </c>
      <c r="B17423" s="5" t="str">
        <f t="shared" si="892"/>
        <v>BOMBA DE INFUSION. Apilables.5 modos. 01-1200 ml/h. 0.1 ml incr. Compatible con set de infusión genérico. anti-bolo. Detección de aire. Alarmas visuales audibles. Bitacora 1.000 reg. Batería de litio</v>
      </c>
      <c r="C17423" s="6">
        <v>2533333</v>
      </c>
      <c r="D17423" s="5" t="s">
        <v>120</v>
      </c>
      <c r="E17423" s="5" t="str">
        <f t="shared" si="891"/>
        <v>ELEMENTOS EN BODEGA USADOS</v>
      </c>
      <c r="F17423" s="5"/>
      <c r="G17423" s="5"/>
    </row>
    <row r="17424" spans="1:7" ht="58.5" customHeight="1" x14ac:dyDescent="0.25">
      <c r="A17424" s="5" t="str">
        <f>"H0033794"</f>
        <v>H0033794</v>
      </c>
      <c r="B17424" s="5" t="str">
        <f t="shared" si="892"/>
        <v>BOMBA DE INFUSION. Apilables.5 modos. 01-1200 ml/h. 0.1 ml incr. Compatible con set de infusión genérico. anti-bolo. Detección de aire. Alarmas visuales audibles. Bitacora 1.000 reg. Batería de litio</v>
      </c>
      <c r="C17424" s="6">
        <v>2533333</v>
      </c>
      <c r="D17424" s="5" t="s">
        <v>120</v>
      </c>
      <c r="E17424" s="5" t="str">
        <f t="shared" si="891"/>
        <v>ELEMENTOS EN BODEGA USADOS</v>
      </c>
      <c r="F17424" s="5"/>
      <c r="G17424" s="5"/>
    </row>
    <row r="17425" spans="1:7" ht="58.5" customHeight="1" x14ac:dyDescent="0.25">
      <c r="A17425" s="5" t="str">
        <f>"H0033797"</f>
        <v>H0033797</v>
      </c>
      <c r="B17425" s="5" t="str">
        <f t="shared" si="892"/>
        <v>BOMBA DE INFUSION. Apilables.5 modos. 01-1200 ml/h. 0.1 ml incr. Compatible con set de infusión genérico. anti-bolo. Detección de aire. Alarmas visuales audibles. Bitacora 1.000 reg. Batería de litio</v>
      </c>
      <c r="C17425" s="6">
        <v>2533333</v>
      </c>
      <c r="D17425" s="5" t="s">
        <v>120</v>
      </c>
      <c r="E17425" s="5" t="str">
        <f t="shared" si="891"/>
        <v>ELEMENTOS EN BODEGA USADOS</v>
      </c>
      <c r="F17425" s="5"/>
      <c r="G17425" s="5"/>
    </row>
    <row r="17426" spans="1:7" ht="58.5" customHeight="1" x14ac:dyDescent="0.25">
      <c r="A17426" s="5" t="str">
        <f>"H0033800"</f>
        <v>H0033800</v>
      </c>
      <c r="B17426" s="5" t="str">
        <f t="shared" si="892"/>
        <v>BOMBA DE INFUSION. Apilables.5 modos. 01-1200 ml/h. 0.1 ml incr. Compatible con set de infusión genérico. anti-bolo. Detección de aire. Alarmas visuales audibles. Bitacora 1.000 reg. Batería de litio</v>
      </c>
      <c r="C17426" s="6">
        <v>2533333</v>
      </c>
      <c r="D17426" s="5" t="s">
        <v>120</v>
      </c>
      <c r="E17426" s="5" t="str">
        <f t="shared" si="891"/>
        <v>ELEMENTOS EN BODEGA USADOS</v>
      </c>
      <c r="F17426" s="5"/>
      <c r="G17426" s="5"/>
    </row>
    <row r="17427" spans="1:7" ht="58.5" customHeight="1" x14ac:dyDescent="0.25">
      <c r="A17427" s="5" t="str">
        <f>"H0033803"</f>
        <v>H0033803</v>
      </c>
      <c r="B17427" s="5" t="str">
        <f t="shared" si="892"/>
        <v>BOMBA DE INFUSION. Apilables.5 modos. 01-1200 ml/h. 0.1 ml incr. Compatible con set de infusión genérico. anti-bolo. Detección de aire. Alarmas visuales audibles. Bitacora 1.000 reg. Batería de litio</v>
      </c>
      <c r="C17427" s="6">
        <v>2533333</v>
      </c>
      <c r="D17427" s="5" t="s">
        <v>120</v>
      </c>
      <c r="E17427" s="5" t="str">
        <f t="shared" si="891"/>
        <v>ELEMENTOS EN BODEGA USADOS</v>
      </c>
      <c r="F17427" s="5"/>
      <c r="G17427" s="5"/>
    </row>
    <row r="17428" spans="1:7" ht="58.5" customHeight="1" x14ac:dyDescent="0.25">
      <c r="A17428" s="5" t="str">
        <f>"H0033804"</f>
        <v>H0033804</v>
      </c>
      <c r="B17428" s="5" t="str">
        <f t="shared" si="892"/>
        <v>BOMBA DE INFUSION. Apilables.5 modos. 01-1200 ml/h. 0.1 ml incr. Compatible con set de infusión genérico. anti-bolo. Detección de aire. Alarmas visuales audibles. Bitacora 1.000 reg. Batería de litio</v>
      </c>
      <c r="C17428" s="6">
        <v>2533333</v>
      </c>
      <c r="D17428" s="5" t="s">
        <v>120</v>
      </c>
      <c r="E17428" s="5" t="str">
        <f t="shared" si="891"/>
        <v>ELEMENTOS EN BODEGA USADOS</v>
      </c>
      <c r="F17428" s="5"/>
      <c r="G17428" s="5"/>
    </row>
    <row r="17429" spans="1:7" ht="58.5" customHeight="1" x14ac:dyDescent="0.25">
      <c r="A17429" s="5" t="str">
        <f>"H0033805"</f>
        <v>H0033805</v>
      </c>
      <c r="B17429" s="5" t="str">
        <f t="shared" si="892"/>
        <v>BOMBA DE INFUSION. Apilables.5 modos. 01-1200 ml/h. 0.1 ml incr. Compatible con set de infusión genérico. anti-bolo. Detección de aire. Alarmas visuales audibles. Bitacora 1.000 reg. Batería de litio</v>
      </c>
      <c r="C17429" s="6">
        <v>2533333</v>
      </c>
      <c r="D17429" s="5" t="s">
        <v>120</v>
      </c>
      <c r="E17429" s="5" t="str">
        <f t="shared" si="891"/>
        <v>ELEMENTOS EN BODEGA USADOS</v>
      </c>
      <c r="F17429" s="5"/>
      <c r="G17429" s="5"/>
    </row>
    <row r="17430" spans="1:7" ht="58.5" customHeight="1" x14ac:dyDescent="0.25">
      <c r="A17430" s="5" t="str">
        <f>"H0033810"</f>
        <v>H0033810</v>
      </c>
      <c r="B17430" s="5" t="str">
        <f t="shared" si="892"/>
        <v>BOMBA DE INFUSION. Apilables.5 modos. 01-1200 ml/h. 0.1 ml incr. Compatible con set de infusión genérico. anti-bolo. Detección de aire. Alarmas visuales audibles. Bitacora 1.000 reg. Batería de litio</v>
      </c>
      <c r="C17430" s="6">
        <v>2533333</v>
      </c>
      <c r="D17430" s="5" t="s">
        <v>120</v>
      </c>
      <c r="E17430" s="5" t="str">
        <f t="shared" si="891"/>
        <v>ELEMENTOS EN BODEGA USADOS</v>
      </c>
      <c r="F17430" s="5"/>
      <c r="G17430" s="5"/>
    </row>
    <row r="17431" spans="1:7" ht="58.5" customHeight="1" x14ac:dyDescent="0.25">
      <c r="A17431" s="5" t="str">
        <f>"H0033819"</f>
        <v>H0033819</v>
      </c>
      <c r="B17431" s="5" t="str">
        <f t="shared" si="892"/>
        <v>BOMBA DE INFUSION. Apilables.5 modos. 01-1200 ml/h. 0.1 ml incr. Compatible con set de infusión genérico. anti-bolo. Detección de aire. Alarmas visuales audibles. Bitacora 1.000 reg. Batería de litio</v>
      </c>
      <c r="C17431" s="6">
        <v>2533333</v>
      </c>
      <c r="D17431" s="5" t="s">
        <v>120</v>
      </c>
      <c r="E17431" s="5" t="str">
        <f t="shared" si="891"/>
        <v>ELEMENTOS EN BODEGA USADOS</v>
      </c>
      <c r="F17431" s="5"/>
      <c r="G17431" s="5"/>
    </row>
    <row r="17432" spans="1:7" ht="58.5" customHeight="1" x14ac:dyDescent="0.25">
      <c r="A17432" s="5" t="str">
        <f>"H0033821"</f>
        <v>H0033821</v>
      </c>
      <c r="B17432" s="5" t="str">
        <f t="shared" si="892"/>
        <v>BOMBA DE INFUSION. Apilables.5 modos. 01-1200 ml/h. 0.1 ml incr. Compatible con set de infusión genérico. anti-bolo. Detección de aire. Alarmas visuales audibles. Bitacora 1.000 reg. Batería de litio</v>
      </c>
      <c r="C17432" s="6">
        <v>2533333</v>
      </c>
      <c r="D17432" s="5" t="s">
        <v>120</v>
      </c>
      <c r="E17432" s="5" t="str">
        <f t="shared" si="891"/>
        <v>ELEMENTOS EN BODEGA USADOS</v>
      </c>
      <c r="F17432" s="5"/>
      <c r="G17432" s="5"/>
    </row>
    <row r="17433" spans="1:7" ht="58.5" customHeight="1" x14ac:dyDescent="0.25">
      <c r="A17433" s="5" t="str">
        <f>"H0033822"</f>
        <v>H0033822</v>
      </c>
      <c r="B17433" s="5" t="str">
        <f t="shared" si="892"/>
        <v>BOMBA DE INFUSION. Apilables.5 modos. 01-1200 ml/h. 0.1 ml incr. Compatible con set de infusión genérico. anti-bolo. Detección de aire. Alarmas visuales audibles. Bitacora 1.000 reg. Batería de litio</v>
      </c>
      <c r="C17433" s="6">
        <v>2533333</v>
      </c>
      <c r="D17433" s="5" t="s">
        <v>120</v>
      </c>
      <c r="E17433" s="5" t="str">
        <f t="shared" si="891"/>
        <v>ELEMENTOS EN BODEGA USADOS</v>
      </c>
      <c r="F17433" s="5"/>
      <c r="G17433" s="5"/>
    </row>
    <row r="17434" spans="1:7" ht="58.5" customHeight="1" x14ac:dyDescent="0.25">
      <c r="A17434" s="5" t="str">
        <f>"H0033823"</f>
        <v>H0033823</v>
      </c>
      <c r="B17434" s="5" t="str">
        <f t="shared" si="892"/>
        <v>BOMBA DE INFUSION. Apilables.5 modos. 01-1200 ml/h. 0.1 ml incr. Compatible con set de infusión genérico. anti-bolo. Detección de aire. Alarmas visuales audibles. Bitacora 1.000 reg. Batería de litio</v>
      </c>
      <c r="C17434" s="6">
        <v>2533333</v>
      </c>
      <c r="D17434" s="5" t="s">
        <v>120</v>
      </c>
      <c r="E17434" s="5" t="str">
        <f t="shared" si="891"/>
        <v>ELEMENTOS EN BODEGA USADOS</v>
      </c>
      <c r="F17434" s="5"/>
      <c r="G17434" s="5"/>
    </row>
    <row r="17435" spans="1:7" ht="58.5" customHeight="1" x14ac:dyDescent="0.25">
      <c r="A17435" s="5" t="str">
        <f>"H0033825"</f>
        <v>H0033825</v>
      </c>
      <c r="B17435" s="5" t="str">
        <f t="shared" si="892"/>
        <v>BOMBA DE INFUSION. Apilables.5 modos. 01-1200 ml/h. 0.1 ml incr. Compatible con set de infusión genérico. anti-bolo. Detección de aire. Alarmas visuales audibles. Bitacora 1.000 reg. Batería de litio</v>
      </c>
      <c r="C17435" s="6">
        <v>2533333</v>
      </c>
      <c r="D17435" s="5" t="s">
        <v>120</v>
      </c>
      <c r="E17435" s="5" t="str">
        <f t="shared" si="891"/>
        <v>ELEMENTOS EN BODEGA USADOS</v>
      </c>
      <c r="F17435" s="5"/>
      <c r="G17435" s="5"/>
    </row>
    <row r="17436" spans="1:7" ht="58.5" customHeight="1" x14ac:dyDescent="0.25">
      <c r="A17436" s="5" t="str">
        <f>"H0033826"</f>
        <v>H0033826</v>
      </c>
      <c r="B17436" s="5" t="str">
        <f t="shared" ref="B17436:B17454" si="893">"BOMBA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17436" s="6">
        <v>2533333</v>
      </c>
      <c r="D17436" s="5" t="s">
        <v>120</v>
      </c>
      <c r="E17436" s="5" t="str">
        <f t="shared" si="891"/>
        <v>ELEMENTOS EN BODEGA USADOS</v>
      </c>
      <c r="F17436" s="5"/>
      <c r="G17436" s="5"/>
    </row>
    <row r="17437" spans="1:7" ht="58.5" customHeight="1" x14ac:dyDescent="0.25">
      <c r="A17437" s="5" t="str">
        <f>"H0033828"</f>
        <v>H0033828</v>
      </c>
      <c r="B17437" s="5" t="str">
        <f t="shared" si="893"/>
        <v>BOMBA DE INFUSION. Apilables.5 modos. 01-1200 ml/h. 0.1 ml incr. Compatible con set de infusión genérico. anti-bolo. Detección de aire. Alarmas visuales audibles. Bitacora 1.000 reg. Batería de litio</v>
      </c>
      <c r="C17437" s="6">
        <v>2533333</v>
      </c>
      <c r="D17437" s="5" t="s">
        <v>120</v>
      </c>
      <c r="E17437" s="5" t="str">
        <f t="shared" si="891"/>
        <v>ELEMENTOS EN BODEGA USADOS</v>
      </c>
      <c r="F17437" s="5"/>
      <c r="G17437" s="5"/>
    </row>
    <row r="17438" spans="1:7" ht="58.5" customHeight="1" x14ac:dyDescent="0.25">
      <c r="A17438" s="5" t="str">
        <f>"H0033831"</f>
        <v>H0033831</v>
      </c>
      <c r="B17438" s="5" t="str">
        <f t="shared" si="893"/>
        <v>BOMBA DE INFUSION. Apilables.5 modos. 01-1200 ml/h. 0.1 ml incr. Compatible con set de infusión genérico. anti-bolo. Detección de aire. Alarmas visuales audibles. Bitacora 1.000 reg. Batería de litio</v>
      </c>
      <c r="C17438" s="6">
        <v>2533333</v>
      </c>
      <c r="D17438" s="5" t="s">
        <v>120</v>
      </c>
      <c r="E17438" s="5" t="str">
        <f t="shared" si="891"/>
        <v>ELEMENTOS EN BODEGA USADOS</v>
      </c>
      <c r="F17438" s="5"/>
      <c r="G17438" s="5"/>
    </row>
    <row r="17439" spans="1:7" ht="58.5" customHeight="1" x14ac:dyDescent="0.25">
      <c r="A17439" s="5" t="str">
        <f>"H0033834"</f>
        <v>H0033834</v>
      </c>
      <c r="B17439" s="5" t="str">
        <f t="shared" si="893"/>
        <v>BOMBA DE INFUSION. Apilables.5 modos. 01-1200 ml/h. 0.1 ml incr. Compatible con set de infusión genérico. anti-bolo. Detección de aire. Alarmas visuales audibles. Bitacora 1.000 reg. Batería de litio</v>
      </c>
      <c r="C17439" s="6">
        <v>2533333</v>
      </c>
      <c r="D17439" s="5" t="s">
        <v>120</v>
      </c>
      <c r="E17439" s="5" t="str">
        <f t="shared" si="891"/>
        <v>ELEMENTOS EN BODEGA USADOS</v>
      </c>
      <c r="F17439" s="5"/>
      <c r="G17439" s="5"/>
    </row>
    <row r="17440" spans="1:7" ht="58.5" customHeight="1" x14ac:dyDescent="0.25">
      <c r="A17440" s="5" t="str">
        <f>"H0033842"</f>
        <v>H0033842</v>
      </c>
      <c r="B17440" s="5" t="str">
        <f t="shared" si="893"/>
        <v>BOMBA DE INFUSION. Apilables.5 modos. 01-1200 ml/h. 0.1 ml incr. Compatible con set de infusión genérico. anti-bolo. Detección de aire. Alarmas visuales audibles. Bitacora 1.000 reg. Batería de litio</v>
      </c>
      <c r="C17440" s="6">
        <v>2533333</v>
      </c>
      <c r="D17440" s="5" t="s">
        <v>120</v>
      </c>
      <c r="E17440" s="5" t="str">
        <f t="shared" si="891"/>
        <v>ELEMENTOS EN BODEGA USADOS</v>
      </c>
      <c r="F17440" s="5"/>
      <c r="G17440" s="5"/>
    </row>
    <row r="17441" spans="1:7" ht="58.5" customHeight="1" x14ac:dyDescent="0.25">
      <c r="A17441" s="5" t="str">
        <f>"H0033846"</f>
        <v>H0033846</v>
      </c>
      <c r="B17441" s="5" t="str">
        <f t="shared" si="893"/>
        <v>BOMBA DE INFUSION. Apilables.5 modos. 01-1200 ml/h. 0.1 ml incr. Compatible con set de infusión genérico. anti-bolo. Detección de aire. Alarmas visuales audibles. Bitacora 1.000 reg. Batería de litio</v>
      </c>
      <c r="C17441" s="6">
        <v>2533333</v>
      </c>
      <c r="D17441" s="5" t="s">
        <v>120</v>
      </c>
      <c r="E17441" s="5" t="str">
        <f t="shared" si="891"/>
        <v>ELEMENTOS EN BODEGA USADOS</v>
      </c>
      <c r="F17441" s="5"/>
      <c r="G17441" s="5"/>
    </row>
    <row r="17442" spans="1:7" ht="58.5" customHeight="1" x14ac:dyDescent="0.25">
      <c r="A17442" s="5" t="str">
        <f>"H0033854"</f>
        <v>H0033854</v>
      </c>
      <c r="B17442" s="5" t="str">
        <f t="shared" si="893"/>
        <v>BOMBA DE INFUSION. Apilables.5 modos. 01-1200 ml/h. 0.1 ml incr. Compatible con set de infusión genérico. anti-bolo. Detección de aire. Alarmas visuales audibles. Bitacora 1.000 reg. Batería de litio</v>
      </c>
      <c r="C17442" s="6">
        <v>2533333</v>
      </c>
      <c r="D17442" s="5" t="s">
        <v>120</v>
      </c>
      <c r="E17442" s="5" t="str">
        <f t="shared" si="891"/>
        <v>ELEMENTOS EN BODEGA USADOS</v>
      </c>
      <c r="F17442" s="5"/>
      <c r="G17442" s="5"/>
    </row>
    <row r="17443" spans="1:7" ht="58.5" customHeight="1" x14ac:dyDescent="0.25">
      <c r="A17443" s="5" t="str">
        <f>"H0033855"</f>
        <v>H0033855</v>
      </c>
      <c r="B17443" s="5" t="str">
        <f t="shared" si="893"/>
        <v>BOMBA DE INFUSION. Apilables.5 modos. 01-1200 ml/h. 0.1 ml incr. Compatible con set de infusión genérico. anti-bolo. Detección de aire. Alarmas visuales audibles. Bitacora 1.000 reg. Batería de litio</v>
      </c>
      <c r="C17443" s="6">
        <v>2533333</v>
      </c>
      <c r="D17443" s="5" t="s">
        <v>120</v>
      </c>
      <c r="E17443" s="5" t="str">
        <f t="shared" ref="E17443:E17506" si="894">"ELEMENTOS EN BODEGA USADOS"</f>
        <v>ELEMENTOS EN BODEGA USADOS</v>
      </c>
      <c r="F17443" s="5"/>
      <c r="G17443" s="5"/>
    </row>
    <row r="17444" spans="1:7" ht="58.5" customHeight="1" x14ac:dyDescent="0.25">
      <c r="A17444" s="5" t="str">
        <f>"H0033856"</f>
        <v>H0033856</v>
      </c>
      <c r="B17444" s="5" t="str">
        <f t="shared" si="893"/>
        <v>BOMBA DE INFUSION. Apilables.5 modos. 01-1200 ml/h. 0.1 ml incr. Compatible con set de infusión genérico. anti-bolo. Detección de aire. Alarmas visuales audibles. Bitacora 1.000 reg. Batería de litio</v>
      </c>
      <c r="C17444" s="6">
        <v>2533333</v>
      </c>
      <c r="D17444" s="5" t="s">
        <v>120</v>
      </c>
      <c r="E17444" s="5" t="str">
        <f t="shared" si="894"/>
        <v>ELEMENTOS EN BODEGA USADOS</v>
      </c>
      <c r="F17444" s="5"/>
      <c r="G17444" s="5"/>
    </row>
    <row r="17445" spans="1:7" ht="58.5" customHeight="1" x14ac:dyDescent="0.25">
      <c r="A17445" s="5" t="str">
        <f>"H0033863"</f>
        <v>H0033863</v>
      </c>
      <c r="B17445" s="5" t="str">
        <f t="shared" si="893"/>
        <v>BOMBA DE INFUSION. Apilables.5 modos. 01-1200 ml/h. 0.1 ml incr. Compatible con set de infusión genérico. anti-bolo. Detección de aire. Alarmas visuales audibles. Bitacora 1.000 reg. Batería de litio</v>
      </c>
      <c r="C17445" s="6">
        <v>2533333</v>
      </c>
      <c r="D17445" s="5" t="s">
        <v>120</v>
      </c>
      <c r="E17445" s="5" t="str">
        <f t="shared" si="894"/>
        <v>ELEMENTOS EN BODEGA USADOS</v>
      </c>
      <c r="F17445" s="5"/>
      <c r="G17445" s="5"/>
    </row>
    <row r="17446" spans="1:7" ht="58.5" customHeight="1" x14ac:dyDescent="0.25">
      <c r="A17446" s="5" t="str">
        <f>"H0033864"</f>
        <v>H0033864</v>
      </c>
      <c r="B17446" s="5" t="str">
        <f t="shared" si="893"/>
        <v>BOMBA DE INFUSION. Apilables.5 modos. 01-1200 ml/h. 0.1 ml incr. Compatible con set de infusión genérico. anti-bolo. Detección de aire. Alarmas visuales audibles. Bitacora 1.000 reg. Batería de litio</v>
      </c>
      <c r="C17446" s="6">
        <v>2533333</v>
      </c>
      <c r="D17446" s="5" t="s">
        <v>120</v>
      </c>
      <c r="E17446" s="5" t="str">
        <f t="shared" si="894"/>
        <v>ELEMENTOS EN BODEGA USADOS</v>
      </c>
      <c r="F17446" s="5"/>
      <c r="G17446" s="5"/>
    </row>
    <row r="17447" spans="1:7" ht="58.5" customHeight="1" x14ac:dyDescent="0.25">
      <c r="A17447" s="5" t="str">
        <f>"H0033870"</f>
        <v>H0033870</v>
      </c>
      <c r="B17447" s="5" t="str">
        <f t="shared" si="893"/>
        <v>BOMBA DE INFUSION. Apilables.5 modos. 01-1200 ml/h. 0.1 ml incr. Compatible con set de infusión genérico. anti-bolo. Detección de aire. Alarmas visuales audibles. Bitacora 1.000 reg. Batería de litio</v>
      </c>
      <c r="C17447" s="6">
        <v>2533333</v>
      </c>
      <c r="D17447" s="5" t="s">
        <v>120</v>
      </c>
      <c r="E17447" s="5" t="str">
        <f t="shared" si="894"/>
        <v>ELEMENTOS EN BODEGA USADOS</v>
      </c>
      <c r="F17447" s="5"/>
      <c r="G17447" s="5"/>
    </row>
    <row r="17448" spans="1:7" ht="58.5" customHeight="1" x14ac:dyDescent="0.25">
      <c r="A17448" s="5" t="str">
        <f>"H0033871"</f>
        <v>H0033871</v>
      </c>
      <c r="B17448" s="5" t="str">
        <f t="shared" si="893"/>
        <v>BOMBA DE INFUSION. Apilables.5 modos. 01-1200 ml/h. 0.1 ml incr. Compatible con set de infusión genérico. anti-bolo. Detección de aire. Alarmas visuales audibles. Bitacora 1.000 reg. Batería de litio</v>
      </c>
      <c r="C17448" s="6">
        <v>2533333</v>
      </c>
      <c r="D17448" s="5" t="s">
        <v>120</v>
      </c>
      <c r="E17448" s="5" t="str">
        <f t="shared" si="894"/>
        <v>ELEMENTOS EN BODEGA USADOS</v>
      </c>
      <c r="F17448" s="5"/>
      <c r="G17448" s="5"/>
    </row>
    <row r="17449" spans="1:7" ht="58.5" customHeight="1" x14ac:dyDescent="0.25">
      <c r="A17449" s="5" t="str">
        <f>"H0033874"</f>
        <v>H0033874</v>
      </c>
      <c r="B17449" s="5" t="str">
        <f t="shared" si="893"/>
        <v>BOMBA DE INFUSION. Apilables.5 modos. 01-1200 ml/h. 0.1 ml incr. Compatible con set de infusión genérico. anti-bolo. Detección de aire. Alarmas visuales audibles. Bitacora 1.000 reg. Batería de litio</v>
      </c>
      <c r="C17449" s="6">
        <v>2533333</v>
      </c>
      <c r="D17449" s="5" t="s">
        <v>120</v>
      </c>
      <c r="E17449" s="5" t="str">
        <f t="shared" si="894"/>
        <v>ELEMENTOS EN BODEGA USADOS</v>
      </c>
      <c r="F17449" s="5"/>
      <c r="G17449" s="5"/>
    </row>
    <row r="17450" spans="1:7" ht="58.5" customHeight="1" x14ac:dyDescent="0.25">
      <c r="A17450" s="5" t="str">
        <f>"H0033875"</f>
        <v>H0033875</v>
      </c>
      <c r="B17450" s="5" t="str">
        <f t="shared" si="893"/>
        <v>BOMBA DE INFUSION. Apilables.5 modos. 01-1200 ml/h. 0.1 ml incr. Compatible con set de infusión genérico. anti-bolo. Detección de aire. Alarmas visuales audibles. Bitacora 1.000 reg. Batería de litio</v>
      </c>
      <c r="C17450" s="6">
        <v>2533333</v>
      </c>
      <c r="D17450" s="5" t="s">
        <v>120</v>
      </c>
      <c r="E17450" s="5" t="str">
        <f t="shared" si="894"/>
        <v>ELEMENTOS EN BODEGA USADOS</v>
      </c>
      <c r="F17450" s="5"/>
      <c r="G17450" s="5"/>
    </row>
    <row r="17451" spans="1:7" ht="58.5" customHeight="1" x14ac:dyDescent="0.25">
      <c r="A17451" s="5" t="str">
        <f>"H0033878"</f>
        <v>H0033878</v>
      </c>
      <c r="B17451" s="5" t="str">
        <f t="shared" si="893"/>
        <v>BOMBA DE INFUSION. Apilables.5 modos. 01-1200 ml/h. 0.1 ml incr. Compatible con set de infusión genérico. anti-bolo. Detección de aire. Alarmas visuales audibles. Bitacora 1.000 reg. Batería de litio</v>
      </c>
      <c r="C17451" s="6">
        <v>2533333</v>
      </c>
      <c r="D17451" s="5" t="s">
        <v>120</v>
      </c>
      <c r="E17451" s="5" t="str">
        <f t="shared" si="894"/>
        <v>ELEMENTOS EN BODEGA USADOS</v>
      </c>
      <c r="F17451" s="5"/>
      <c r="G17451" s="5"/>
    </row>
    <row r="17452" spans="1:7" ht="58.5" customHeight="1" x14ac:dyDescent="0.25">
      <c r="A17452" s="5" t="str">
        <f>"H0033879"</f>
        <v>H0033879</v>
      </c>
      <c r="B17452" s="5" t="str">
        <f t="shared" si="893"/>
        <v>BOMBA DE INFUSION. Apilables.5 modos. 01-1200 ml/h. 0.1 ml incr. Compatible con set de infusión genérico. anti-bolo. Detección de aire. Alarmas visuales audibles. Bitacora 1.000 reg. Batería de litio</v>
      </c>
      <c r="C17452" s="6">
        <v>2533333</v>
      </c>
      <c r="D17452" s="5" t="s">
        <v>120</v>
      </c>
      <c r="E17452" s="5" t="str">
        <f t="shared" si="894"/>
        <v>ELEMENTOS EN BODEGA USADOS</v>
      </c>
      <c r="F17452" s="5"/>
      <c r="G17452" s="5"/>
    </row>
    <row r="17453" spans="1:7" ht="58.5" customHeight="1" x14ac:dyDescent="0.25">
      <c r="A17453" s="5" t="str">
        <f>"H0033880"</f>
        <v>H0033880</v>
      </c>
      <c r="B17453" s="5" t="str">
        <f t="shared" si="893"/>
        <v>BOMBA DE INFUSION. Apilables.5 modos. 01-1200 ml/h. 0.1 ml incr. Compatible con set de infusión genérico. anti-bolo. Detección de aire. Alarmas visuales audibles. Bitacora 1.000 reg. Batería de litio</v>
      </c>
      <c r="C17453" s="6">
        <v>2533333</v>
      </c>
      <c r="D17453" s="5" t="s">
        <v>120</v>
      </c>
      <c r="E17453" s="5" t="str">
        <f t="shared" si="894"/>
        <v>ELEMENTOS EN BODEGA USADOS</v>
      </c>
      <c r="F17453" s="5"/>
      <c r="G17453" s="5"/>
    </row>
    <row r="17454" spans="1:7" ht="58.5" customHeight="1" x14ac:dyDescent="0.25">
      <c r="A17454" s="5" t="str">
        <f>"H0033881"</f>
        <v>H0033881</v>
      </c>
      <c r="B17454" s="5" t="str">
        <f t="shared" si="893"/>
        <v>BOMBA DE INFUSION. Apilables.5 modos. 01-1200 ml/h. 0.1 ml incr. Compatible con set de infusión genérico. anti-bolo. Detección de aire. Alarmas visuales audibles. Bitacora 1.000 reg. Batería de litio</v>
      </c>
      <c r="C17454" s="6">
        <v>2533333</v>
      </c>
      <c r="D17454" s="5" t="s">
        <v>120</v>
      </c>
      <c r="E17454" s="5" t="str">
        <f t="shared" si="894"/>
        <v>ELEMENTOS EN BODEGA USADOS</v>
      </c>
      <c r="F17454" s="5"/>
      <c r="G17454" s="5"/>
    </row>
    <row r="17455" spans="1:7" ht="58.5" customHeight="1" x14ac:dyDescent="0.25">
      <c r="A17455" s="5" t="str">
        <f>"H0034073"</f>
        <v>H0034073</v>
      </c>
      <c r="B17455" s="5" t="str">
        <f>"CONCENTRADOR DE OXIGENO (DONACION)"</f>
        <v>CONCENTRADOR DE OXIGENO (DONACION)</v>
      </c>
      <c r="C17455" s="6">
        <v>3209898</v>
      </c>
      <c r="D17455" s="5" t="s">
        <v>330</v>
      </c>
      <c r="E17455" s="5" t="str">
        <f t="shared" si="894"/>
        <v>ELEMENTOS EN BODEGA USADOS</v>
      </c>
      <c r="F17455" s="5"/>
      <c r="G17455" s="5"/>
    </row>
    <row r="17456" spans="1:7" ht="58.5" customHeight="1" x14ac:dyDescent="0.25">
      <c r="A17456" s="5" t="str">
        <f>"H0034086"</f>
        <v>H0034086</v>
      </c>
      <c r="B17456" s="5" t="str">
        <f>"OFTALMO-OTOSCOPIO (DONACION)"</f>
        <v>OFTALMO-OTOSCOPIO (DONACION)</v>
      </c>
      <c r="C17456" s="6">
        <v>850000</v>
      </c>
      <c r="D17456" s="5" t="s">
        <v>330</v>
      </c>
      <c r="E17456" s="5" t="str">
        <f t="shared" si="894"/>
        <v>ELEMENTOS EN BODEGA USADOS</v>
      </c>
      <c r="F17456" s="5"/>
      <c r="G17456" s="5"/>
    </row>
    <row r="17457" spans="1:7" ht="58.5" customHeight="1" x14ac:dyDescent="0.25">
      <c r="A17457" s="5" t="str">
        <f>"H0034319"</f>
        <v>H0034319</v>
      </c>
      <c r="B17457" s="5" t="str">
        <f t="shared" ref="B17457:B17464" si="895">"CUNA PEDIATRICA CON BARANDILLAS (DONACION)"</f>
        <v>CUNA PEDIATRICA CON BARANDILLAS (DONACION)</v>
      </c>
      <c r="C17457" s="6">
        <v>4000000</v>
      </c>
      <c r="D17457" s="5" t="s">
        <v>193</v>
      </c>
      <c r="E17457" s="5" t="str">
        <f t="shared" si="894"/>
        <v>ELEMENTOS EN BODEGA USADOS</v>
      </c>
      <c r="F17457" s="5"/>
      <c r="G17457" s="5"/>
    </row>
    <row r="17458" spans="1:7" ht="58.5" customHeight="1" x14ac:dyDescent="0.25">
      <c r="A17458" s="5" t="str">
        <f>"H0034320"</f>
        <v>H0034320</v>
      </c>
      <c r="B17458" s="5" t="str">
        <f t="shared" si="895"/>
        <v>CUNA PEDIATRICA CON BARANDILLAS (DONACION)</v>
      </c>
      <c r="C17458" s="6">
        <v>4000000</v>
      </c>
      <c r="D17458" s="5" t="s">
        <v>193</v>
      </c>
      <c r="E17458" s="5" t="str">
        <f t="shared" si="894"/>
        <v>ELEMENTOS EN BODEGA USADOS</v>
      </c>
      <c r="F17458" s="5"/>
      <c r="G17458" s="5"/>
    </row>
    <row r="17459" spans="1:7" ht="58.5" customHeight="1" x14ac:dyDescent="0.25">
      <c r="A17459" s="5" t="str">
        <f>"H0034321"</f>
        <v>H0034321</v>
      </c>
      <c r="B17459" s="5" t="str">
        <f t="shared" si="895"/>
        <v>CUNA PEDIATRICA CON BARANDILLAS (DONACION)</v>
      </c>
      <c r="C17459" s="6">
        <v>4000000</v>
      </c>
      <c r="D17459" s="5" t="s">
        <v>193</v>
      </c>
      <c r="E17459" s="5" t="str">
        <f t="shared" si="894"/>
        <v>ELEMENTOS EN BODEGA USADOS</v>
      </c>
      <c r="F17459" s="5"/>
      <c r="G17459" s="5"/>
    </row>
    <row r="17460" spans="1:7" ht="58.5" customHeight="1" x14ac:dyDescent="0.25">
      <c r="A17460" s="5" t="str">
        <f>"H0034322"</f>
        <v>H0034322</v>
      </c>
      <c r="B17460" s="5" t="str">
        <f t="shared" si="895"/>
        <v>CUNA PEDIATRICA CON BARANDILLAS (DONACION)</v>
      </c>
      <c r="C17460" s="6">
        <v>4000000</v>
      </c>
      <c r="D17460" s="5" t="s">
        <v>193</v>
      </c>
      <c r="E17460" s="5" t="str">
        <f t="shared" si="894"/>
        <v>ELEMENTOS EN BODEGA USADOS</v>
      </c>
      <c r="F17460" s="5"/>
      <c r="G17460" s="5"/>
    </row>
    <row r="17461" spans="1:7" ht="58.5" customHeight="1" x14ac:dyDescent="0.25">
      <c r="A17461" s="5" t="str">
        <f>"H0034323"</f>
        <v>H0034323</v>
      </c>
      <c r="B17461" s="5" t="str">
        <f t="shared" si="895"/>
        <v>CUNA PEDIATRICA CON BARANDILLAS (DONACION)</v>
      </c>
      <c r="C17461" s="6">
        <v>4000000</v>
      </c>
      <c r="D17461" s="5" t="s">
        <v>193</v>
      </c>
      <c r="E17461" s="5" t="str">
        <f t="shared" si="894"/>
        <v>ELEMENTOS EN BODEGA USADOS</v>
      </c>
      <c r="F17461" s="5"/>
      <c r="G17461" s="5"/>
    </row>
    <row r="17462" spans="1:7" ht="58.5" customHeight="1" x14ac:dyDescent="0.25">
      <c r="A17462" s="5" t="str">
        <f>"H0034324"</f>
        <v>H0034324</v>
      </c>
      <c r="B17462" s="5" t="str">
        <f t="shared" si="895"/>
        <v>CUNA PEDIATRICA CON BARANDILLAS (DONACION)</v>
      </c>
      <c r="C17462" s="6">
        <v>4000000</v>
      </c>
      <c r="D17462" s="5" t="s">
        <v>193</v>
      </c>
      <c r="E17462" s="5" t="str">
        <f t="shared" si="894"/>
        <v>ELEMENTOS EN BODEGA USADOS</v>
      </c>
      <c r="F17462" s="5"/>
      <c r="G17462" s="5"/>
    </row>
    <row r="17463" spans="1:7" ht="58.5" customHeight="1" x14ac:dyDescent="0.25">
      <c r="A17463" s="5" t="str">
        <f>"H0034325"</f>
        <v>H0034325</v>
      </c>
      <c r="B17463" s="5" t="str">
        <f t="shared" si="895"/>
        <v>CUNA PEDIATRICA CON BARANDILLAS (DONACION)</v>
      </c>
      <c r="C17463" s="6">
        <v>4000000</v>
      </c>
      <c r="D17463" s="5" t="s">
        <v>193</v>
      </c>
      <c r="E17463" s="5" t="str">
        <f t="shared" si="894"/>
        <v>ELEMENTOS EN BODEGA USADOS</v>
      </c>
      <c r="F17463" s="5"/>
      <c r="G17463" s="5"/>
    </row>
    <row r="17464" spans="1:7" ht="58.5" customHeight="1" x14ac:dyDescent="0.25">
      <c r="A17464" s="5" t="str">
        <f>"H0034326"</f>
        <v>H0034326</v>
      </c>
      <c r="B17464" s="5" t="str">
        <f t="shared" si="895"/>
        <v>CUNA PEDIATRICA CON BARANDILLAS (DONACION)</v>
      </c>
      <c r="C17464" s="6">
        <v>4000000</v>
      </c>
      <c r="D17464" s="5" t="s">
        <v>193</v>
      </c>
      <c r="E17464" s="5" t="str">
        <f t="shared" si="894"/>
        <v>ELEMENTOS EN BODEGA USADOS</v>
      </c>
      <c r="F17464" s="5"/>
      <c r="G17464" s="5"/>
    </row>
    <row r="17465" spans="1:7" ht="58.5" customHeight="1" x14ac:dyDescent="0.25">
      <c r="A17465" s="5" t="str">
        <f>"H0034328"</f>
        <v>H0034328</v>
      </c>
      <c r="B17465" s="5" t="str">
        <f>"bomba de infusion (DONACION)"</f>
        <v>bomba de infusion (DONACION)</v>
      </c>
      <c r="C17465" s="6">
        <v>3590000</v>
      </c>
      <c r="D17465" s="5" t="s">
        <v>193</v>
      </c>
      <c r="E17465" s="5" t="str">
        <f t="shared" si="894"/>
        <v>ELEMENTOS EN BODEGA USADOS</v>
      </c>
      <c r="F17465" s="5"/>
      <c r="G17465" s="5"/>
    </row>
    <row r="17466" spans="1:7" ht="58.5" customHeight="1" x14ac:dyDescent="0.25">
      <c r="A17466" s="5" t="str">
        <f>"H0034329"</f>
        <v>H0034329</v>
      </c>
      <c r="B17466" s="5" t="str">
        <f>"bomba de infusion (DONACION)"</f>
        <v>bomba de infusion (DONACION)</v>
      </c>
      <c r="C17466" s="6">
        <v>3590000</v>
      </c>
      <c r="D17466" s="5" t="s">
        <v>193</v>
      </c>
      <c r="E17466" s="5" t="str">
        <f t="shared" si="894"/>
        <v>ELEMENTOS EN BODEGA USADOS</v>
      </c>
      <c r="F17466" s="5"/>
      <c r="G17466" s="5"/>
    </row>
    <row r="17467" spans="1:7" ht="58.5" customHeight="1" x14ac:dyDescent="0.25">
      <c r="A17467" s="5" t="str">
        <f>"H0034330"</f>
        <v>H0034330</v>
      </c>
      <c r="B17467" s="5" t="str">
        <f>"bomba de infusion (DONACION)"</f>
        <v>bomba de infusion (DONACION)</v>
      </c>
      <c r="C17467" s="6">
        <v>3590000</v>
      </c>
      <c r="D17467" s="5" t="s">
        <v>193</v>
      </c>
      <c r="E17467" s="5" t="str">
        <f t="shared" si="894"/>
        <v>ELEMENTOS EN BODEGA USADOS</v>
      </c>
      <c r="F17467" s="5"/>
      <c r="G17467" s="5"/>
    </row>
    <row r="17468" spans="1:7" ht="58.5" customHeight="1" x14ac:dyDescent="0.25">
      <c r="A17468" s="5" t="str">
        <f>"H0034331"</f>
        <v>H0034331</v>
      </c>
      <c r="B17468" s="5" t="str">
        <f>"bomba de infusion (DONACION)"</f>
        <v>bomba de infusion (DONACION)</v>
      </c>
      <c r="C17468" s="6">
        <v>3590000</v>
      </c>
      <c r="D17468" s="5" t="s">
        <v>193</v>
      </c>
      <c r="E17468" s="5" t="str">
        <f t="shared" si="894"/>
        <v>ELEMENTOS EN BODEGA USADOS</v>
      </c>
      <c r="F17468" s="5"/>
      <c r="G17468" s="5"/>
    </row>
    <row r="17469" spans="1:7" ht="58.5" customHeight="1" x14ac:dyDescent="0.25">
      <c r="A17469" s="5" t="str">
        <f>"H0034332"</f>
        <v>H0034332</v>
      </c>
      <c r="B17469" s="5" t="str">
        <f>"bomba de infusion (DONACION)"</f>
        <v>bomba de infusion (DONACION)</v>
      </c>
      <c r="C17469" s="6">
        <v>3590000</v>
      </c>
      <c r="D17469" s="5" t="s">
        <v>193</v>
      </c>
      <c r="E17469" s="5" t="str">
        <f t="shared" si="894"/>
        <v>ELEMENTOS EN BODEGA USADOS</v>
      </c>
      <c r="F17469" s="5"/>
      <c r="G17469" s="5"/>
    </row>
    <row r="17470" spans="1:7" ht="58.5" customHeight="1" x14ac:dyDescent="0.25">
      <c r="A17470" s="5" t="str">
        <f>"H0034340"</f>
        <v>H0034340</v>
      </c>
      <c r="B17470" s="5" t="str">
        <f>"SUCCIONADOR (DONACION)"</f>
        <v>SUCCIONADOR (DONACION)</v>
      </c>
      <c r="C17470" s="6">
        <v>8401908</v>
      </c>
      <c r="D17470" s="5" t="s">
        <v>193</v>
      </c>
      <c r="E17470" s="5" t="str">
        <f t="shared" si="894"/>
        <v>ELEMENTOS EN BODEGA USADOS</v>
      </c>
      <c r="F17470" s="5"/>
      <c r="G17470" s="5" t="str">
        <f>"NEX ASKIR30"</f>
        <v>NEX ASKIR30</v>
      </c>
    </row>
    <row r="17471" spans="1:7" ht="58.5" customHeight="1" x14ac:dyDescent="0.25">
      <c r="A17471" s="5" t="str">
        <f>"H0034342"</f>
        <v>H0034342</v>
      </c>
      <c r="B17471" s="5" t="str">
        <f t="shared" ref="B17471:B17480" si="896">"INFUSOR DE LIQUIDOS. Soporta soluciones o bolsas de sangre. Capacidad 1000 mL. Manómetro escala mmHg. Pera bombeo"</f>
        <v>INFUSOR DE LIQUIDOS. Soporta soluciones o bolsas de sangre. Capacidad 1000 mL. Manómetro escala mmHg. Pera bombeo</v>
      </c>
      <c r="C17471" s="6">
        <v>343367</v>
      </c>
      <c r="D17471" s="5" t="s">
        <v>193</v>
      </c>
      <c r="E17471" s="5" t="str">
        <f t="shared" si="894"/>
        <v>ELEMENTOS EN BODEGA USADOS</v>
      </c>
      <c r="F17471" s="5"/>
      <c r="G17471" s="5"/>
    </row>
    <row r="17472" spans="1:7" ht="58.5" customHeight="1" x14ac:dyDescent="0.25">
      <c r="A17472" s="5" t="str">
        <f>"H0034343"</f>
        <v>H0034343</v>
      </c>
      <c r="B17472" s="5" t="str">
        <f t="shared" si="896"/>
        <v>INFUSOR DE LIQUIDOS. Soporta soluciones o bolsas de sangre. Capacidad 1000 mL. Manómetro escala mmHg. Pera bombeo</v>
      </c>
      <c r="C17472" s="6">
        <v>343367</v>
      </c>
      <c r="D17472" s="5" t="s">
        <v>193</v>
      </c>
      <c r="E17472" s="5" t="str">
        <f t="shared" si="894"/>
        <v>ELEMENTOS EN BODEGA USADOS</v>
      </c>
      <c r="F17472" s="5"/>
      <c r="G17472" s="5"/>
    </row>
    <row r="17473" spans="1:7" ht="58.5" customHeight="1" x14ac:dyDescent="0.25">
      <c r="A17473" s="5" t="str">
        <f>"H0034344"</f>
        <v>H0034344</v>
      </c>
      <c r="B17473" s="5" t="str">
        <f t="shared" si="896"/>
        <v>INFUSOR DE LIQUIDOS. Soporta soluciones o bolsas de sangre. Capacidad 1000 mL. Manómetro escala mmHg. Pera bombeo</v>
      </c>
      <c r="C17473" s="6">
        <v>343367</v>
      </c>
      <c r="D17473" s="5" t="s">
        <v>193</v>
      </c>
      <c r="E17473" s="5" t="str">
        <f t="shared" si="894"/>
        <v>ELEMENTOS EN BODEGA USADOS</v>
      </c>
      <c r="F17473" s="5"/>
      <c r="G17473" s="5"/>
    </row>
    <row r="17474" spans="1:7" ht="58.5" customHeight="1" x14ac:dyDescent="0.25">
      <c r="A17474" s="5" t="str">
        <f>"H0034345"</f>
        <v>H0034345</v>
      </c>
      <c r="B17474" s="5" t="str">
        <f t="shared" si="896"/>
        <v>INFUSOR DE LIQUIDOS. Soporta soluciones o bolsas de sangre. Capacidad 1000 mL. Manómetro escala mmHg. Pera bombeo</v>
      </c>
      <c r="C17474" s="6">
        <v>343367</v>
      </c>
      <c r="D17474" s="5" t="s">
        <v>193</v>
      </c>
      <c r="E17474" s="5" t="str">
        <f t="shared" si="894"/>
        <v>ELEMENTOS EN BODEGA USADOS</v>
      </c>
      <c r="F17474" s="5"/>
      <c r="G17474" s="5"/>
    </row>
    <row r="17475" spans="1:7" ht="58.5" customHeight="1" x14ac:dyDescent="0.25">
      <c r="A17475" s="5" t="str">
        <f>"H0034346"</f>
        <v>H0034346</v>
      </c>
      <c r="B17475" s="5" t="str">
        <f t="shared" si="896"/>
        <v>INFUSOR DE LIQUIDOS. Soporta soluciones o bolsas de sangre. Capacidad 1000 mL. Manómetro escala mmHg. Pera bombeo</v>
      </c>
      <c r="C17475" s="6">
        <v>343367</v>
      </c>
      <c r="D17475" s="5" t="s">
        <v>193</v>
      </c>
      <c r="E17475" s="5" t="str">
        <f t="shared" si="894"/>
        <v>ELEMENTOS EN BODEGA USADOS</v>
      </c>
      <c r="F17475" s="5"/>
      <c r="G17475" s="5"/>
    </row>
    <row r="17476" spans="1:7" ht="58.5" customHeight="1" x14ac:dyDescent="0.25">
      <c r="A17476" s="5" t="str">
        <f>"H0034347"</f>
        <v>H0034347</v>
      </c>
      <c r="B17476" s="5" t="str">
        <f t="shared" si="896"/>
        <v>INFUSOR DE LIQUIDOS. Soporta soluciones o bolsas de sangre. Capacidad 1000 mL. Manómetro escala mmHg. Pera bombeo</v>
      </c>
      <c r="C17476" s="6">
        <v>343367</v>
      </c>
      <c r="D17476" s="5" t="s">
        <v>193</v>
      </c>
      <c r="E17476" s="5" t="str">
        <f t="shared" si="894"/>
        <v>ELEMENTOS EN BODEGA USADOS</v>
      </c>
      <c r="F17476" s="5"/>
      <c r="G17476" s="5"/>
    </row>
    <row r="17477" spans="1:7" ht="58.5" customHeight="1" x14ac:dyDescent="0.25">
      <c r="A17477" s="5" t="str">
        <f>"H0034356"</f>
        <v>H0034356</v>
      </c>
      <c r="B17477" s="5" t="str">
        <f t="shared" si="896"/>
        <v>INFUSOR DE LIQUIDOS. Soporta soluciones o bolsas de sangre. Capacidad 1000 mL. Manómetro escala mmHg. Pera bombeo</v>
      </c>
      <c r="C17477" s="6">
        <v>343367</v>
      </c>
      <c r="D17477" s="5" t="s">
        <v>193</v>
      </c>
      <c r="E17477" s="5" t="str">
        <f t="shared" si="894"/>
        <v>ELEMENTOS EN BODEGA USADOS</v>
      </c>
      <c r="F17477" s="5"/>
      <c r="G17477" s="5"/>
    </row>
    <row r="17478" spans="1:7" ht="58.5" customHeight="1" x14ac:dyDescent="0.25">
      <c r="A17478" s="5" t="str">
        <f>"H0034364"</f>
        <v>H0034364</v>
      </c>
      <c r="B17478" s="5" t="str">
        <f t="shared" si="896"/>
        <v>INFUSOR DE LIQUIDOS. Soporta soluciones o bolsas de sangre. Capacidad 1000 mL. Manómetro escala mmHg. Pera bombeo</v>
      </c>
      <c r="C17478" s="6">
        <v>343367</v>
      </c>
      <c r="D17478" s="5" t="s">
        <v>193</v>
      </c>
      <c r="E17478" s="5" t="str">
        <f t="shared" si="894"/>
        <v>ELEMENTOS EN BODEGA USADOS</v>
      </c>
      <c r="F17478" s="5"/>
      <c r="G17478" s="5"/>
    </row>
    <row r="17479" spans="1:7" ht="58.5" customHeight="1" x14ac:dyDescent="0.25">
      <c r="A17479" s="5" t="str">
        <f>"H0034368"</f>
        <v>H0034368</v>
      </c>
      <c r="B17479" s="5" t="str">
        <f t="shared" si="896"/>
        <v>INFUSOR DE LIQUIDOS. Soporta soluciones o bolsas de sangre. Capacidad 1000 mL. Manómetro escala mmHg. Pera bombeo</v>
      </c>
      <c r="C17479" s="6">
        <v>343367</v>
      </c>
      <c r="D17479" s="5" t="s">
        <v>193</v>
      </c>
      <c r="E17479" s="5" t="str">
        <f t="shared" si="894"/>
        <v>ELEMENTOS EN BODEGA USADOS</v>
      </c>
      <c r="F17479" s="5"/>
      <c r="G17479" s="5"/>
    </row>
    <row r="17480" spans="1:7" ht="58.5" customHeight="1" x14ac:dyDescent="0.25">
      <c r="A17480" s="5" t="str">
        <f>"H0034370"</f>
        <v>H0034370</v>
      </c>
      <c r="B17480" s="5" t="str">
        <f t="shared" si="896"/>
        <v>INFUSOR DE LIQUIDOS. Soporta soluciones o bolsas de sangre. Capacidad 1000 mL. Manómetro escala mmHg. Pera bombeo</v>
      </c>
      <c r="C17480" s="6">
        <v>343367</v>
      </c>
      <c r="D17480" s="5" t="s">
        <v>193</v>
      </c>
      <c r="E17480" s="5" t="str">
        <f t="shared" si="894"/>
        <v>ELEMENTOS EN BODEGA USADOS</v>
      </c>
      <c r="F17480" s="5"/>
      <c r="G17480" s="5"/>
    </row>
    <row r="17481" spans="1:7" ht="58.5" customHeight="1" x14ac:dyDescent="0.25">
      <c r="A17481" s="5" t="str">
        <f>"h0034439"</f>
        <v>h0034439</v>
      </c>
      <c r="B17481" s="5" t="str">
        <f>"VENTILADOR MECANICO (DONACION)"</f>
        <v>VENTILADOR MECANICO (DONACION)</v>
      </c>
      <c r="C17481" s="6">
        <v>59622774</v>
      </c>
      <c r="D17481" s="5" t="s">
        <v>129</v>
      </c>
      <c r="E17481" s="5" t="str">
        <f t="shared" si="894"/>
        <v>ELEMENTOS EN BODEGA USADOS</v>
      </c>
      <c r="F17481" s="5"/>
      <c r="G17481" s="5" t="str">
        <f>"VG70"</f>
        <v>VG70</v>
      </c>
    </row>
    <row r="17482" spans="1:7" ht="58.5" customHeight="1" x14ac:dyDescent="0.25">
      <c r="A17482" s="5" t="str">
        <f>"H0034444"</f>
        <v>H0034444</v>
      </c>
      <c r="B17482" s="5" t="str">
        <f>"VENTILADOR MECANICO (DONACION)"</f>
        <v>VENTILADOR MECANICO (DONACION)</v>
      </c>
      <c r="C17482" s="6">
        <v>59622774</v>
      </c>
      <c r="D17482" s="5" t="s">
        <v>129</v>
      </c>
      <c r="E17482" s="5" t="str">
        <f t="shared" si="894"/>
        <v>ELEMENTOS EN BODEGA USADOS</v>
      </c>
      <c r="F17482" s="5"/>
      <c r="G17482" s="5" t="str">
        <f>"VG70"</f>
        <v>VG70</v>
      </c>
    </row>
    <row r="17483" spans="1:7" ht="58.5" customHeight="1" x14ac:dyDescent="0.25">
      <c r="A17483" s="5" t="str">
        <f>"H0034448"</f>
        <v>H0034448</v>
      </c>
      <c r="B17483" s="5" t="str">
        <f>"VENTILADOR MECANICO (DONACION)"</f>
        <v>VENTILADOR MECANICO (DONACION)</v>
      </c>
      <c r="C17483" s="6">
        <v>59622774</v>
      </c>
      <c r="D17483" s="5" t="s">
        <v>129</v>
      </c>
      <c r="E17483" s="5" t="str">
        <f t="shared" si="894"/>
        <v>ELEMENTOS EN BODEGA USADOS</v>
      </c>
      <c r="F17483" s="5"/>
      <c r="G17483" s="5" t="str">
        <f>"VG70"</f>
        <v>VG70</v>
      </c>
    </row>
    <row r="17484" spans="1:7" ht="58.5" customHeight="1" x14ac:dyDescent="0.25">
      <c r="A17484" s="5" t="str">
        <f>"H0034461"</f>
        <v>H0034461</v>
      </c>
      <c r="B17484" s="5" t="str">
        <f t="shared" ref="B17484:B17528" si="897">"VENTILADOR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17484" s="6">
        <v>88970000</v>
      </c>
      <c r="D17484" s="5" t="s">
        <v>332</v>
      </c>
      <c r="E17484" s="5" t="str">
        <f t="shared" si="894"/>
        <v>ELEMENTOS EN BODEGA USADOS</v>
      </c>
      <c r="F17484" s="5"/>
      <c r="G17484" s="5" t="str">
        <f t="shared" ref="G17484:G17493" si="898">"MV2000"</f>
        <v>MV2000</v>
      </c>
    </row>
    <row r="17485" spans="1:7" ht="58.5" customHeight="1" x14ac:dyDescent="0.25">
      <c r="A17485" s="5" t="str">
        <f>"H0034462"</f>
        <v>H0034462</v>
      </c>
      <c r="B17485" s="5" t="str">
        <f t="shared" si="897"/>
        <v>VENTILADOR MECÁNICO. Paciente &gt; 1kg. Filtro entrada aire. 35 a 65 psi. Modos A/C, PS, CPAP- PEEP, BLEVEL, APRV, PAV, VV+, VC+ / VS, VS+. Bateria 3 h, Carro.</v>
      </c>
      <c r="C17485" s="6">
        <v>88970000</v>
      </c>
      <c r="D17485" s="5" t="s">
        <v>332</v>
      </c>
      <c r="E17485" s="5" t="str">
        <f t="shared" si="894"/>
        <v>ELEMENTOS EN BODEGA USADOS</v>
      </c>
      <c r="F17485" s="5"/>
      <c r="G17485" s="5" t="str">
        <f t="shared" si="898"/>
        <v>MV2000</v>
      </c>
    </row>
    <row r="17486" spans="1:7" ht="58.5" customHeight="1" x14ac:dyDescent="0.25">
      <c r="A17486" s="5" t="str">
        <f>"H0034463"</f>
        <v>H0034463</v>
      </c>
      <c r="B17486" s="5" t="str">
        <f t="shared" si="897"/>
        <v>VENTILADOR MECÁNICO. Paciente &gt; 1kg. Filtro entrada aire. 35 a 65 psi. Modos A/C, PS, CPAP- PEEP, BLEVEL, APRV, PAV, VV+, VC+ / VS, VS+. Bateria 3 h, Carro.</v>
      </c>
      <c r="C17486" s="6">
        <v>88970000</v>
      </c>
      <c r="D17486" s="5" t="s">
        <v>332</v>
      </c>
      <c r="E17486" s="5" t="str">
        <f t="shared" si="894"/>
        <v>ELEMENTOS EN BODEGA USADOS</v>
      </c>
      <c r="F17486" s="5"/>
      <c r="G17486" s="5" t="str">
        <f t="shared" si="898"/>
        <v>MV2000</v>
      </c>
    </row>
    <row r="17487" spans="1:7" ht="58.5" customHeight="1" x14ac:dyDescent="0.25">
      <c r="A17487" s="5" t="str">
        <f>"H0034465"</f>
        <v>H0034465</v>
      </c>
      <c r="B17487" s="5" t="str">
        <f t="shared" si="897"/>
        <v>VENTILADOR MECÁNICO. Paciente &gt; 1kg. Filtro entrada aire. 35 a 65 psi. Modos A/C, PS, CPAP- PEEP, BLEVEL, APRV, PAV, VV+, VC+ / VS, VS+. Bateria 3 h, Carro.</v>
      </c>
      <c r="C17487" s="6">
        <v>88970000</v>
      </c>
      <c r="D17487" s="5" t="s">
        <v>332</v>
      </c>
      <c r="E17487" s="5" t="str">
        <f t="shared" si="894"/>
        <v>ELEMENTOS EN BODEGA USADOS</v>
      </c>
      <c r="F17487" s="5"/>
      <c r="G17487" s="5" t="str">
        <f t="shared" si="898"/>
        <v>MV2000</v>
      </c>
    </row>
    <row r="17488" spans="1:7" ht="58.5" customHeight="1" x14ac:dyDescent="0.25">
      <c r="A17488" s="5" t="str">
        <f>"H0034466"</f>
        <v>H0034466</v>
      </c>
      <c r="B17488" s="5" t="str">
        <f t="shared" si="897"/>
        <v>VENTILADOR MECÁNICO. Paciente &gt; 1kg. Filtro entrada aire. 35 a 65 psi. Modos A/C, PS, CPAP- PEEP, BLEVEL, APRV, PAV, VV+, VC+ / VS, VS+. Bateria 3 h, Carro.</v>
      </c>
      <c r="C17488" s="6">
        <v>88970000</v>
      </c>
      <c r="D17488" s="5" t="s">
        <v>332</v>
      </c>
      <c r="E17488" s="5" t="str">
        <f t="shared" si="894"/>
        <v>ELEMENTOS EN BODEGA USADOS</v>
      </c>
      <c r="F17488" s="5"/>
      <c r="G17488" s="5" t="str">
        <f t="shared" si="898"/>
        <v>MV2000</v>
      </c>
    </row>
    <row r="17489" spans="1:7" ht="58.5" customHeight="1" x14ac:dyDescent="0.25">
      <c r="A17489" s="5" t="str">
        <f>"H0034467"</f>
        <v>H0034467</v>
      </c>
      <c r="B17489" s="5" t="str">
        <f t="shared" si="897"/>
        <v>VENTILADOR MECÁNICO. Paciente &gt; 1kg. Filtro entrada aire. 35 a 65 psi. Modos A/C, PS, CPAP- PEEP, BLEVEL, APRV, PAV, VV+, VC+ / VS, VS+. Bateria 3 h, Carro.</v>
      </c>
      <c r="C17489" s="6">
        <v>88970000</v>
      </c>
      <c r="D17489" s="5" t="s">
        <v>332</v>
      </c>
      <c r="E17489" s="5" t="str">
        <f t="shared" si="894"/>
        <v>ELEMENTOS EN BODEGA USADOS</v>
      </c>
      <c r="F17489" s="5"/>
      <c r="G17489" s="5" t="str">
        <f t="shared" si="898"/>
        <v>MV2000</v>
      </c>
    </row>
    <row r="17490" spans="1:7" ht="58.5" customHeight="1" x14ac:dyDescent="0.25">
      <c r="A17490" s="5" t="str">
        <f>"H0034469"</f>
        <v>H0034469</v>
      </c>
      <c r="B17490" s="5" t="str">
        <f t="shared" si="897"/>
        <v>VENTILADOR MECÁNICO. Paciente &gt; 1kg. Filtro entrada aire. 35 a 65 psi. Modos A/C, PS, CPAP- PEEP, BLEVEL, APRV, PAV, VV+, VC+ / VS, VS+. Bateria 3 h, Carro.</v>
      </c>
      <c r="C17490" s="6">
        <v>88970000</v>
      </c>
      <c r="D17490" s="5" t="s">
        <v>332</v>
      </c>
      <c r="E17490" s="5" t="str">
        <f t="shared" si="894"/>
        <v>ELEMENTOS EN BODEGA USADOS</v>
      </c>
      <c r="F17490" s="5"/>
      <c r="G17490" s="5" t="str">
        <f t="shared" si="898"/>
        <v>MV2000</v>
      </c>
    </row>
    <row r="17491" spans="1:7" ht="58.5" customHeight="1" x14ac:dyDescent="0.25">
      <c r="A17491" s="5" t="str">
        <f>"H0034470"</f>
        <v>H0034470</v>
      </c>
      <c r="B17491" s="5" t="str">
        <f t="shared" si="897"/>
        <v>VENTILADOR MECÁNICO. Paciente &gt; 1kg. Filtro entrada aire. 35 a 65 psi. Modos A/C, PS, CPAP- PEEP, BLEVEL, APRV, PAV, VV+, VC+ / VS, VS+. Bateria 3 h, Carro.</v>
      </c>
      <c r="C17491" s="6">
        <v>88970000</v>
      </c>
      <c r="D17491" s="5" t="s">
        <v>332</v>
      </c>
      <c r="E17491" s="5" t="str">
        <f t="shared" si="894"/>
        <v>ELEMENTOS EN BODEGA USADOS</v>
      </c>
      <c r="F17491" s="5"/>
      <c r="G17491" s="5" t="str">
        <f t="shared" si="898"/>
        <v>MV2000</v>
      </c>
    </row>
    <row r="17492" spans="1:7" ht="58.5" customHeight="1" x14ac:dyDescent="0.25">
      <c r="A17492" s="5" t="str">
        <f>"H0034471"</f>
        <v>H0034471</v>
      </c>
      <c r="B17492" s="5" t="str">
        <f t="shared" si="897"/>
        <v>VENTILADOR MECÁNICO. Paciente &gt; 1kg. Filtro entrada aire. 35 a 65 psi. Modos A/C, PS, CPAP- PEEP, BLEVEL, APRV, PAV, VV+, VC+ / VS, VS+. Bateria 3 h, Carro.</v>
      </c>
      <c r="C17492" s="6">
        <v>88970000</v>
      </c>
      <c r="D17492" s="5" t="s">
        <v>332</v>
      </c>
      <c r="E17492" s="5" t="str">
        <f t="shared" si="894"/>
        <v>ELEMENTOS EN BODEGA USADOS</v>
      </c>
      <c r="F17492" s="5"/>
      <c r="G17492" s="5" t="str">
        <f t="shared" si="898"/>
        <v>MV2000</v>
      </c>
    </row>
    <row r="17493" spans="1:7" ht="58.5" customHeight="1" x14ac:dyDescent="0.25">
      <c r="A17493" s="5" t="str">
        <f>"H0034472"</f>
        <v>H0034472</v>
      </c>
      <c r="B17493" s="5" t="str">
        <f t="shared" si="897"/>
        <v>VENTILADOR MECÁNICO. Paciente &gt; 1kg. Filtro entrada aire. 35 a 65 psi. Modos A/C, PS, CPAP- PEEP, BLEVEL, APRV, PAV, VV+, VC+ / VS, VS+. Bateria 3 h, Carro.</v>
      </c>
      <c r="C17493" s="6">
        <v>88970000</v>
      </c>
      <c r="D17493" s="5" t="s">
        <v>332</v>
      </c>
      <c r="E17493" s="5" t="str">
        <f t="shared" si="894"/>
        <v>ELEMENTOS EN BODEGA USADOS</v>
      </c>
      <c r="F17493" s="5"/>
      <c r="G17493" s="5" t="str">
        <f t="shared" si="898"/>
        <v>MV2000</v>
      </c>
    </row>
    <row r="17494" spans="1:7" ht="58.5" customHeight="1" x14ac:dyDescent="0.25">
      <c r="A17494" s="5" t="str">
        <f>"H0034473"</f>
        <v>H0034473</v>
      </c>
      <c r="B17494" s="5" t="str">
        <f t="shared" si="897"/>
        <v>VENTILADOR MECÁNICO. Paciente &gt; 1kg. Filtro entrada aire. 35 a 65 psi. Modos A/C, PS, CPAP- PEEP, BLEVEL, APRV, PAV, VV+, VC+ / VS, VS+. Bateria 3 h, Carro.</v>
      </c>
      <c r="C17494" s="6">
        <v>88970000</v>
      </c>
      <c r="D17494" s="5" t="s">
        <v>332</v>
      </c>
      <c r="E17494" s="5" t="str">
        <f t="shared" si="894"/>
        <v>ELEMENTOS EN BODEGA USADOS</v>
      </c>
      <c r="F17494" s="5"/>
      <c r="G17494" s="5"/>
    </row>
    <row r="17495" spans="1:7" ht="58.5" customHeight="1" x14ac:dyDescent="0.25">
      <c r="A17495" s="5" t="str">
        <f>"H0034474"</f>
        <v>H0034474</v>
      </c>
      <c r="B17495" s="5" t="str">
        <f t="shared" si="897"/>
        <v>VENTILADOR MECÁNICO. Paciente &gt; 1kg. Filtro entrada aire. 35 a 65 psi. Modos A/C, PS, CPAP- PEEP, BLEVEL, APRV, PAV, VV+, VC+ / VS, VS+. Bateria 3 h, Carro.</v>
      </c>
      <c r="C17495" s="6">
        <v>88970000</v>
      </c>
      <c r="D17495" s="5" t="s">
        <v>332</v>
      </c>
      <c r="E17495" s="5" t="str">
        <f t="shared" si="894"/>
        <v>ELEMENTOS EN BODEGA USADOS</v>
      </c>
      <c r="F17495" s="5"/>
      <c r="G17495" s="5"/>
    </row>
    <row r="17496" spans="1:7" ht="58.5" customHeight="1" x14ac:dyDescent="0.25">
      <c r="A17496" s="5" t="str">
        <f>"H0034476"</f>
        <v>H0034476</v>
      </c>
      <c r="B17496" s="5" t="str">
        <f t="shared" si="897"/>
        <v>VENTILADOR MECÁNICO. Paciente &gt; 1kg. Filtro entrada aire. 35 a 65 psi. Modos A/C, PS, CPAP- PEEP, BLEVEL, APRV, PAV, VV+, VC+ / VS, VS+. Bateria 3 h, Carro.</v>
      </c>
      <c r="C17496" s="6">
        <v>88970000</v>
      </c>
      <c r="D17496" s="5" t="s">
        <v>332</v>
      </c>
      <c r="E17496" s="5" t="str">
        <f t="shared" si="894"/>
        <v>ELEMENTOS EN BODEGA USADOS</v>
      </c>
      <c r="F17496" s="5"/>
      <c r="G17496" s="5"/>
    </row>
    <row r="17497" spans="1:7" ht="58.5" customHeight="1" x14ac:dyDescent="0.25">
      <c r="A17497" s="5" t="str">
        <f>"H0034477"</f>
        <v>H0034477</v>
      </c>
      <c r="B17497" s="5" t="str">
        <f t="shared" si="897"/>
        <v>VENTILADOR MECÁNICO. Paciente &gt; 1kg. Filtro entrada aire. 35 a 65 psi. Modos A/C, PS, CPAP- PEEP, BLEVEL, APRV, PAV, VV+, VC+ / VS, VS+. Bateria 3 h, Carro.</v>
      </c>
      <c r="C17497" s="6">
        <v>88970000</v>
      </c>
      <c r="D17497" s="5" t="s">
        <v>332</v>
      </c>
      <c r="E17497" s="5" t="str">
        <f t="shared" si="894"/>
        <v>ELEMENTOS EN BODEGA USADOS</v>
      </c>
      <c r="F17497" s="5"/>
      <c r="G17497" s="5"/>
    </row>
    <row r="17498" spans="1:7" ht="58.5" customHeight="1" x14ac:dyDescent="0.25">
      <c r="A17498" s="5" t="str">
        <f>"H0034478"</f>
        <v>H0034478</v>
      </c>
      <c r="B17498" s="5" t="str">
        <f t="shared" si="897"/>
        <v>VENTILADOR MECÁNICO. Paciente &gt; 1kg. Filtro entrada aire. 35 a 65 psi. Modos A/C, PS, CPAP- PEEP, BLEVEL, APRV, PAV, VV+, VC+ / VS, VS+. Bateria 3 h, Carro.</v>
      </c>
      <c r="C17498" s="6">
        <v>88970000</v>
      </c>
      <c r="D17498" s="5" t="s">
        <v>332</v>
      </c>
      <c r="E17498" s="5" t="str">
        <f t="shared" si="894"/>
        <v>ELEMENTOS EN BODEGA USADOS</v>
      </c>
      <c r="F17498" s="5"/>
      <c r="G17498" s="5"/>
    </row>
    <row r="17499" spans="1:7" ht="58.5" customHeight="1" x14ac:dyDescent="0.25">
      <c r="A17499" s="5" t="str">
        <f>"H0034480"</f>
        <v>H0034480</v>
      </c>
      <c r="B17499" s="5" t="str">
        <f t="shared" si="897"/>
        <v>VENTILADOR MECÁNICO. Paciente &gt; 1kg. Filtro entrada aire. 35 a 65 psi. Modos A/C, PS, CPAP- PEEP, BLEVEL, APRV, PAV, VV+, VC+ / VS, VS+. Bateria 3 h, Carro.</v>
      </c>
      <c r="C17499" s="6">
        <v>88970000</v>
      </c>
      <c r="D17499" s="5" t="s">
        <v>332</v>
      </c>
      <c r="E17499" s="5" t="str">
        <f t="shared" si="894"/>
        <v>ELEMENTOS EN BODEGA USADOS</v>
      </c>
      <c r="F17499" s="5"/>
      <c r="G17499" s="5"/>
    </row>
    <row r="17500" spans="1:7" ht="58.5" customHeight="1" x14ac:dyDescent="0.25">
      <c r="A17500" s="5" t="str">
        <f>"H0034481"</f>
        <v>H0034481</v>
      </c>
      <c r="B17500" s="5" t="str">
        <f t="shared" si="897"/>
        <v>VENTILADOR MECÁNICO. Paciente &gt; 1kg. Filtro entrada aire. 35 a 65 psi. Modos A/C, PS, CPAP- PEEP, BLEVEL, APRV, PAV, VV+, VC+ / VS, VS+. Bateria 3 h, Carro.</v>
      </c>
      <c r="C17500" s="6">
        <v>88970000</v>
      </c>
      <c r="D17500" s="5" t="s">
        <v>332</v>
      </c>
      <c r="E17500" s="5" t="str">
        <f t="shared" si="894"/>
        <v>ELEMENTOS EN BODEGA USADOS</v>
      </c>
      <c r="F17500" s="5"/>
      <c r="G17500" s="5"/>
    </row>
    <row r="17501" spans="1:7" ht="58.5" customHeight="1" x14ac:dyDescent="0.25">
      <c r="A17501" s="5" t="str">
        <f>"H0034482"</f>
        <v>H0034482</v>
      </c>
      <c r="B17501" s="5" t="str">
        <f t="shared" si="897"/>
        <v>VENTILADOR MECÁNICO. Paciente &gt; 1kg. Filtro entrada aire. 35 a 65 psi. Modos A/C, PS, CPAP- PEEP, BLEVEL, APRV, PAV, VV+, VC+ / VS, VS+. Bateria 3 h, Carro.</v>
      </c>
      <c r="C17501" s="6">
        <v>88970000</v>
      </c>
      <c r="D17501" s="5" t="s">
        <v>332</v>
      </c>
      <c r="E17501" s="5" t="str">
        <f t="shared" si="894"/>
        <v>ELEMENTOS EN BODEGA USADOS</v>
      </c>
      <c r="F17501" s="5"/>
      <c r="G17501" s="5"/>
    </row>
    <row r="17502" spans="1:7" ht="58.5" customHeight="1" x14ac:dyDescent="0.25">
      <c r="A17502" s="5" t="str">
        <f>"H0034483"</f>
        <v>H0034483</v>
      </c>
      <c r="B17502" s="5" t="str">
        <f t="shared" si="897"/>
        <v>VENTILADOR MECÁNICO. Paciente &gt; 1kg. Filtro entrada aire. 35 a 65 psi. Modos A/C, PS, CPAP- PEEP, BLEVEL, APRV, PAV, VV+, VC+ / VS, VS+. Bateria 3 h, Carro.</v>
      </c>
      <c r="C17502" s="6">
        <v>88970000</v>
      </c>
      <c r="D17502" s="5" t="s">
        <v>332</v>
      </c>
      <c r="E17502" s="5" t="str">
        <f t="shared" si="894"/>
        <v>ELEMENTOS EN BODEGA USADOS</v>
      </c>
      <c r="F17502" s="5"/>
      <c r="G17502" s="5"/>
    </row>
    <row r="17503" spans="1:7" ht="58.5" customHeight="1" x14ac:dyDescent="0.25">
      <c r="A17503" s="5" t="str">
        <f>"H0034484"</f>
        <v>H0034484</v>
      </c>
      <c r="B17503" s="5" t="str">
        <f t="shared" si="897"/>
        <v>VENTILADOR MECÁNICO. Paciente &gt; 1kg. Filtro entrada aire. 35 a 65 psi. Modos A/C, PS, CPAP- PEEP, BLEVEL, APRV, PAV, VV+, VC+ / VS, VS+. Bateria 3 h, Carro.</v>
      </c>
      <c r="C17503" s="6">
        <v>88970000</v>
      </c>
      <c r="D17503" s="5" t="s">
        <v>332</v>
      </c>
      <c r="E17503" s="5" t="str">
        <f t="shared" si="894"/>
        <v>ELEMENTOS EN BODEGA USADOS</v>
      </c>
      <c r="F17503" s="5"/>
      <c r="G17503" s="5"/>
    </row>
    <row r="17504" spans="1:7" ht="58.5" customHeight="1" x14ac:dyDescent="0.25">
      <c r="A17504" s="5" t="str">
        <f>"H0034485"</f>
        <v>H0034485</v>
      </c>
      <c r="B17504" s="5" t="str">
        <f t="shared" si="897"/>
        <v>VENTILADOR MECÁNICO. Paciente &gt; 1kg. Filtro entrada aire. 35 a 65 psi. Modos A/C, PS, CPAP- PEEP, BLEVEL, APRV, PAV, VV+, VC+ / VS, VS+. Bateria 3 h, Carro.</v>
      </c>
      <c r="C17504" s="6">
        <v>88970000</v>
      </c>
      <c r="D17504" s="5" t="s">
        <v>332</v>
      </c>
      <c r="E17504" s="5" t="str">
        <f t="shared" si="894"/>
        <v>ELEMENTOS EN BODEGA USADOS</v>
      </c>
      <c r="F17504" s="5"/>
      <c r="G17504" s="5"/>
    </row>
    <row r="17505" spans="1:7" ht="58.5" customHeight="1" x14ac:dyDescent="0.25">
      <c r="A17505" s="5" t="str">
        <f>"H0034486"</f>
        <v>H0034486</v>
      </c>
      <c r="B17505" s="5" t="str">
        <f t="shared" si="897"/>
        <v>VENTILADOR MECÁNICO. Paciente &gt; 1kg. Filtro entrada aire. 35 a 65 psi. Modos A/C, PS, CPAP- PEEP, BLEVEL, APRV, PAV, VV+, VC+ / VS, VS+. Bateria 3 h, Carro.</v>
      </c>
      <c r="C17505" s="6">
        <v>88970000</v>
      </c>
      <c r="D17505" s="5" t="s">
        <v>332</v>
      </c>
      <c r="E17505" s="5" t="str">
        <f t="shared" si="894"/>
        <v>ELEMENTOS EN BODEGA USADOS</v>
      </c>
      <c r="F17505" s="5"/>
      <c r="G17505" s="5"/>
    </row>
    <row r="17506" spans="1:7" ht="58.5" customHeight="1" x14ac:dyDescent="0.25">
      <c r="A17506" s="5" t="str">
        <f>"H0034488"</f>
        <v>H0034488</v>
      </c>
      <c r="B17506" s="5" t="str">
        <f t="shared" si="897"/>
        <v>VENTILADOR MECÁNICO. Paciente &gt; 1kg. Filtro entrada aire. 35 a 65 psi. Modos A/C, PS, CPAP- PEEP, BLEVEL, APRV, PAV, VV+, VC+ / VS, VS+. Bateria 3 h, Carro.</v>
      </c>
      <c r="C17506" s="6">
        <v>88970000</v>
      </c>
      <c r="D17506" s="5" t="s">
        <v>332</v>
      </c>
      <c r="E17506" s="5" t="str">
        <f t="shared" si="894"/>
        <v>ELEMENTOS EN BODEGA USADOS</v>
      </c>
      <c r="F17506" s="5"/>
      <c r="G17506" s="5"/>
    </row>
    <row r="17507" spans="1:7" ht="58.5" customHeight="1" x14ac:dyDescent="0.25">
      <c r="A17507" s="5" t="str">
        <f>"H0034490"</f>
        <v>H0034490</v>
      </c>
      <c r="B17507" s="5" t="str">
        <f t="shared" si="897"/>
        <v>VENTILADOR MECÁNICO. Paciente &gt; 1kg. Filtro entrada aire. 35 a 65 psi. Modos A/C, PS, CPAP- PEEP, BLEVEL, APRV, PAV, VV+, VC+ / VS, VS+. Bateria 3 h, Carro.</v>
      </c>
      <c r="C17507" s="6">
        <v>88970000</v>
      </c>
      <c r="D17507" s="5" t="s">
        <v>332</v>
      </c>
      <c r="E17507" s="5" t="str">
        <f t="shared" ref="E17507:E17570" si="899">"ELEMENTOS EN BODEGA USADOS"</f>
        <v>ELEMENTOS EN BODEGA USADOS</v>
      </c>
      <c r="F17507" s="5"/>
      <c r="G17507" s="5"/>
    </row>
    <row r="17508" spans="1:7" ht="58.5" customHeight="1" x14ac:dyDescent="0.25">
      <c r="A17508" s="5" t="str">
        <f>"H0034491"</f>
        <v>H0034491</v>
      </c>
      <c r="B17508" s="5" t="str">
        <f t="shared" si="897"/>
        <v>VENTILADOR MECÁNICO. Paciente &gt; 1kg. Filtro entrada aire. 35 a 65 psi. Modos A/C, PS, CPAP- PEEP, BLEVEL, APRV, PAV, VV+, VC+ / VS, VS+. Bateria 3 h, Carro.</v>
      </c>
      <c r="C17508" s="6">
        <v>88970000</v>
      </c>
      <c r="D17508" s="5" t="s">
        <v>332</v>
      </c>
      <c r="E17508" s="5" t="str">
        <f t="shared" si="899"/>
        <v>ELEMENTOS EN BODEGA USADOS</v>
      </c>
      <c r="F17508" s="5"/>
      <c r="G17508" s="5"/>
    </row>
    <row r="17509" spans="1:7" ht="58.5" customHeight="1" x14ac:dyDescent="0.25">
      <c r="A17509" s="5" t="str">
        <f>"H0034492"</f>
        <v>H0034492</v>
      </c>
      <c r="B17509" s="5" t="str">
        <f t="shared" si="897"/>
        <v>VENTILADOR MECÁNICO. Paciente &gt; 1kg. Filtro entrada aire. 35 a 65 psi. Modos A/C, PS, CPAP- PEEP, BLEVEL, APRV, PAV, VV+, VC+ / VS, VS+. Bateria 3 h, Carro.</v>
      </c>
      <c r="C17509" s="6">
        <v>88970000</v>
      </c>
      <c r="D17509" s="5" t="s">
        <v>332</v>
      </c>
      <c r="E17509" s="5" t="str">
        <f t="shared" si="899"/>
        <v>ELEMENTOS EN BODEGA USADOS</v>
      </c>
      <c r="F17509" s="5"/>
      <c r="G17509" s="5"/>
    </row>
    <row r="17510" spans="1:7" ht="58.5" customHeight="1" x14ac:dyDescent="0.25">
      <c r="A17510" s="5" t="str">
        <f>"H0034493"</f>
        <v>H0034493</v>
      </c>
      <c r="B17510" s="5" t="str">
        <f t="shared" si="897"/>
        <v>VENTILADOR MECÁNICO. Paciente &gt; 1kg. Filtro entrada aire. 35 a 65 psi. Modos A/C, PS, CPAP- PEEP, BLEVEL, APRV, PAV, VV+, VC+ / VS, VS+. Bateria 3 h, Carro.</v>
      </c>
      <c r="C17510" s="6">
        <v>88970000</v>
      </c>
      <c r="D17510" s="5" t="s">
        <v>332</v>
      </c>
      <c r="E17510" s="5" t="str">
        <f t="shared" si="899"/>
        <v>ELEMENTOS EN BODEGA USADOS</v>
      </c>
      <c r="F17510" s="5"/>
      <c r="G17510" s="5"/>
    </row>
    <row r="17511" spans="1:7" ht="58.5" customHeight="1" x14ac:dyDescent="0.25">
      <c r="A17511" s="5" t="str">
        <f>"H0034494"</f>
        <v>H0034494</v>
      </c>
      <c r="B17511" s="5" t="str">
        <f t="shared" si="897"/>
        <v>VENTILADOR MECÁNICO. Paciente &gt; 1kg. Filtro entrada aire. 35 a 65 psi. Modos A/C, PS, CPAP- PEEP, BLEVEL, APRV, PAV, VV+, VC+ / VS, VS+. Bateria 3 h, Carro.</v>
      </c>
      <c r="C17511" s="6">
        <v>88970000</v>
      </c>
      <c r="D17511" s="5" t="s">
        <v>332</v>
      </c>
      <c r="E17511" s="5" t="str">
        <f t="shared" si="899"/>
        <v>ELEMENTOS EN BODEGA USADOS</v>
      </c>
      <c r="F17511" s="5"/>
      <c r="G17511" s="5"/>
    </row>
    <row r="17512" spans="1:7" ht="58.5" customHeight="1" x14ac:dyDescent="0.25">
      <c r="A17512" s="5" t="str">
        <f>"H0034496"</f>
        <v>H0034496</v>
      </c>
      <c r="B17512" s="5" t="str">
        <f t="shared" si="897"/>
        <v>VENTILADOR MECÁNICO. Paciente &gt; 1kg. Filtro entrada aire. 35 a 65 psi. Modos A/C, PS, CPAP- PEEP, BLEVEL, APRV, PAV, VV+, VC+ / VS, VS+. Bateria 3 h, Carro.</v>
      </c>
      <c r="C17512" s="6">
        <v>88970000</v>
      </c>
      <c r="D17512" s="5" t="s">
        <v>332</v>
      </c>
      <c r="E17512" s="5" t="str">
        <f t="shared" si="899"/>
        <v>ELEMENTOS EN BODEGA USADOS</v>
      </c>
      <c r="F17512" s="5"/>
      <c r="G17512" s="5"/>
    </row>
    <row r="17513" spans="1:7" ht="58.5" customHeight="1" x14ac:dyDescent="0.25">
      <c r="A17513" s="5" t="str">
        <f>"H0034497"</f>
        <v>H0034497</v>
      </c>
      <c r="B17513" s="5" t="str">
        <f t="shared" si="897"/>
        <v>VENTILADOR MECÁNICO. Paciente &gt; 1kg. Filtro entrada aire. 35 a 65 psi. Modos A/C, PS, CPAP- PEEP, BLEVEL, APRV, PAV, VV+, VC+ / VS, VS+. Bateria 3 h, Carro.</v>
      </c>
      <c r="C17513" s="6">
        <v>88970000</v>
      </c>
      <c r="D17513" s="5" t="s">
        <v>332</v>
      </c>
      <c r="E17513" s="5" t="str">
        <f t="shared" si="899"/>
        <v>ELEMENTOS EN BODEGA USADOS</v>
      </c>
      <c r="F17513" s="5"/>
      <c r="G17513" s="5"/>
    </row>
    <row r="17514" spans="1:7" ht="58.5" customHeight="1" x14ac:dyDescent="0.25">
      <c r="A17514" s="5" t="str">
        <f>"H0034498"</f>
        <v>H0034498</v>
      </c>
      <c r="B17514" s="5" t="str">
        <f t="shared" si="897"/>
        <v>VENTILADOR MECÁNICO. Paciente &gt; 1kg. Filtro entrada aire. 35 a 65 psi. Modos A/C, PS, CPAP- PEEP, BLEVEL, APRV, PAV, VV+, VC+ / VS, VS+. Bateria 3 h, Carro.</v>
      </c>
      <c r="C17514" s="6">
        <v>88970000</v>
      </c>
      <c r="D17514" s="5" t="s">
        <v>332</v>
      </c>
      <c r="E17514" s="5" t="str">
        <f t="shared" si="899"/>
        <v>ELEMENTOS EN BODEGA USADOS</v>
      </c>
      <c r="F17514" s="5"/>
      <c r="G17514" s="5"/>
    </row>
    <row r="17515" spans="1:7" ht="58.5" customHeight="1" x14ac:dyDescent="0.25">
      <c r="A17515" s="5" t="str">
        <f>"H0034521"</f>
        <v>H0034521</v>
      </c>
      <c r="B17515" s="5" t="str">
        <f t="shared" si="897"/>
        <v>VENTILADOR MECÁNICO. Paciente &gt; 1kg. Filtro entrada aire. 35 a 65 psi. Modos A/C, PS, CPAP- PEEP, BLEVEL, APRV, PAV, VV+, VC+ / VS, VS+. Bateria 3 h, Carro.</v>
      </c>
      <c r="C17515" s="6">
        <v>88970000</v>
      </c>
      <c r="D17515" s="5" t="s">
        <v>332</v>
      </c>
      <c r="E17515" s="5" t="str">
        <f t="shared" si="899"/>
        <v>ELEMENTOS EN BODEGA USADOS</v>
      </c>
      <c r="F17515" s="5"/>
      <c r="G17515" s="5"/>
    </row>
    <row r="17516" spans="1:7" ht="58.5" customHeight="1" x14ac:dyDescent="0.25">
      <c r="A17516" s="5" t="str">
        <f>"H0034523"</f>
        <v>H0034523</v>
      </c>
      <c r="B17516" s="5" t="str">
        <f t="shared" si="897"/>
        <v>VENTILADOR MECÁNICO. Paciente &gt; 1kg. Filtro entrada aire. 35 a 65 psi. Modos A/C, PS, CPAP- PEEP, BLEVEL, APRV, PAV, VV+, VC+ / VS, VS+. Bateria 3 h, Carro.</v>
      </c>
      <c r="C17516" s="6">
        <v>88970000</v>
      </c>
      <c r="D17516" s="5" t="s">
        <v>332</v>
      </c>
      <c r="E17516" s="5" t="str">
        <f t="shared" si="899"/>
        <v>ELEMENTOS EN BODEGA USADOS</v>
      </c>
      <c r="F17516" s="5"/>
      <c r="G17516" s="5"/>
    </row>
    <row r="17517" spans="1:7" ht="58.5" customHeight="1" x14ac:dyDescent="0.25">
      <c r="A17517" s="5" t="str">
        <f>"H0034524"</f>
        <v>H0034524</v>
      </c>
      <c r="B17517" s="5" t="str">
        <f t="shared" si="897"/>
        <v>VENTILADOR MECÁNICO. Paciente &gt; 1kg. Filtro entrada aire. 35 a 65 psi. Modos A/C, PS, CPAP- PEEP, BLEVEL, APRV, PAV, VV+, VC+ / VS, VS+. Bateria 3 h, Carro.</v>
      </c>
      <c r="C17517" s="6">
        <v>88970000</v>
      </c>
      <c r="D17517" s="5" t="s">
        <v>332</v>
      </c>
      <c r="E17517" s="5" t="str">
        <f t="shared" si="899"/>
        <v>ELEMENTOS EN BODEGA USADOS</v>
      </c>
      <c r="F17517" s="5"/>
      <c r="G17517" s="5"/>
    </row>
    <row r="17518" spans="1:7" ht="58.5" customHeight="1" x14ac:dyDescent="0.25">
      <c r="A17518" s="5" t="str">
        <f>"H0034525"</f>
        <v>H0034525</v>
      </c>
      <c r="B17518" s="5" t="str">
        <f t="shared" si="897"/>
        <v>VENTILADOR MECÁNICO. Paciente &gt; 1kg. Filtro entrada aire. 35 a 65 psi. Modos A/C, PS, CPAP- PEEP, BLEVEL, APRV, PAV, VV+, VC+ / VS, VS+. Bateria 3 h, Carro.</v>
      </c>
      <c r="C17518" s="6">
        <v>88970000</v>
      </c>
      <c r="D17518" s="5" t="s">
        <v>332</v>
      </c>
      <c r="E17518" s="5" t="str">
        <f t="shared" si="899"/>
        <v>ELEMENTOS EN BODEGA USADOS</v>
      </c>
      <c r="F17518" s="5"/>
      <c r="G17518" s="5"/>
    </row>
    <row r="17519" spans="1:7" ht="58.5" customHeight="1" x14ac:dyDescent="0.25">
      <c r="A17519" s="5" t="str">
        <f>"H0034526"</f>
        <v>H0034526</v>
      </c>
      <c r="B17519" s="5" t="str">
        <f t="shared" si="897"/>
        <v>VENTILADOR MECÁNICO. Paciente &gt; 1kg. Filtro entrada aire. 35 a 65 psi. Modos A/C, PS, CPAP- PEEP, BLEVEL, APRV, PAV, VV+, VC+ / VS, VS+. Bateria 3 h, Carro.</v>
      </c>
      <c r="C17519" s="6">
        <v>88970000</v>
      </c>
      <c r="D17519" s="5" t="s">
        <v>332</v>
      </c>
      <c r="E17519" s="5" t="str">
        <f t="shared" si="899"/>
        <v>ELEMENTOS EN BODEGA USADOS</v>
      </c>
      <c r="F17519" s="5"/>
      <c r="G17519" s="5"/>
    </row>
    <row r="17520" spans="1:7" ht="58.5" customHeight="1" x14ac:dyDescent="0.25">
      <c r="A17520" s="5" t="str">
        <f>"H0034530"</f>
        <v>H0034530</v>
      </c>
      <c r="B17520" s="5" t="str">
        <f t="shared" si="897"/>
        <v>VENTILADOR MECÁNICO. Paciente &gt; 1kg. Filtro entrada aire. 35 a 65 psi. Modos A/C, PS, CPAP- PEEP, BLEVEL, APRV, PAV, VV+, VC+ / VS, VS+. Bateria 3 h, Carro.</v>
      </c>
      <c r="C17520" s="6">
        <v>88970000</v>
      </c>
      <c r="D17520" s="5" t="s">
        <v>332</v>
      </c>
      <c r="E17520" s="5" t="str">
        <f t="shared" si="899"/>
        <v>ELEMENTOS EN BODEGA USADOS</v>
      </c>
      <c r="F17520" s="5"/>
      <c r="G17520" s="5"/>
    </row>
    <row r="17521" spans="1:7" ht="58.5" customHeight="1" x14ac:dyDescent="0.25">
      <c r="A17521" s="5" t="str">
        <f>"H0034531"</f>
        <v>H0034531</v>
      </c>
      <c r="B17521" s="5" t="str">
        <f t="shared" si="897"/>
        <v>VENTILADOR MECÁNICO. Paciente &gt; 1kg. Filtro entrada aire. 35 a 65 psi. Modos A/C, PS, CPAP- PEEP, BLEVEL, APRV, PAV, VV+, VC+ / VS, VS+. Bateria 3 h, Carro.</v>
      </c>
      <c r="C17521" s="6">
        <v>88970000</v>
      </c>
      <c r="D17521" s="5" t="s">
        <v>332</v>
      </c>
      <c r="E17521" s="5" t="str">
        <f t="shared" si="899"/>
        <v>ELEMENTOS EN BODEGA USADOS</v>
      </c>
      <c r="F17521" s="5"/>
      <c r="G17521" s="5"/>
    </row>
    <row r="17522" spans="1:7" ht="58.5" customHeight="1" x14ac:dyDescent="0.25">
      <c r="A17522" s="5" t="str">
        <f>"H0034535"</f>
        <v>H0034535</v>
      </c>
      <c r="B17522" s="5" t="str">
        <f t="shared" si="897"/>
        <v>VENTILADOR MECÁNICO. Paciente &gt; 1kg. Filtro entrada aire. 35 a 65 psi. Modos A/C, PS, CPAP- PEEP, BLEVEL, APRV, PAV, VV+, VC+ / VS, VS+. Bateria 3 h, Carro.</v>
      </c>
      <c r="C17522" s="6">
        <v>88970000</v>
      </c>
      <c r="D17522" s="5" t="s">
        <v>332</v>
      </c>
      <c r="E17522" s="5" t="str">
        <f t="shared" si="899"/>
        <v>ELEMENTOS EN BODEGA USADOS</v>
      </c>
      <c r="F17522" s="5"/>
      <c r="G17522" s="5"/>
    </row>
    <row r="17523" spans="1:7" ht="58.5" customHeight="1" x14ac:dyDescent="0.25">
      <c r="A17523" s="5" t="str">
        <f>"H0034536"</f>
        <v>H0034536</v>
      </c>
      <c r="B17523" s="5" t="str">
        <f t="shared" si="897"/>
        <v>VENTILADOR MECÁNICO. Paciente &gt; 1kg. Filtro entrada aire. 35 a 65 psi. Modos A/C, PS, CPAP- PEEP, BLEVEL, APRV, PAV, VV+, VC+ / VS, VS+. Bateria 3 h, Carro.</v>
      </c>
      <c r="C17523" s="6">
        <v>88970000</v>
      </c>
      <c r="D17523" s="5" t="s">
        <v>332</v>
      </c>
      <c r="E17523" s="5" t="str">
        <f t="shared" si="899"/>
        <v>ELEMENTOS EN BODEGA USADOS</v>
      </c>
      <c r="F17523" s="5"/>
      <c r="G17523" s="5"/>
    </row>
    <row r="17524" spans="1:7" ht="58.5" customHeight="1" x14ac:dyDescent="0.25">
      <c r="A17524" s="5" t="str">
        <f>"H0034537"</f>
        <v>H0034537</v>
      </c>
      <c r="B17524" s="5" t="str">
        <f t="shared" si="897"/>
        <v>VENTILADOR MECÁNICO. Paciente &gt; 1kg. Filtro entrada aire. 35 a 65 psi. Modos A/C, PS, CPAP- PEEP, BLEVEL, APRV, PAV, VV+, VC+ / VS, VS+. Bateria 3 h, Carro.</v>
      </c>
      <c r="C17524" s="6">
        <v>88970000</v>
      </c>
      <c r="D17524" s="5" t="s">
        <v>332</v>
      </c>
      <c r="E17524" s="5" t="str">
        <f t="shared" si="899"/>
        <v>ELEMENTOS EN BODEGA USADOS</v>
      </c>
      <c r="F17524" s="5"/>
      <c r="G17524" s="5"/>
    </row>
    <row r="17525" spans="1:7" ht="58.5" customHeight="1" x14ac:dyDescent="0.25">
      <c r="A17525" s="5" t="str">
        <f>"H0034538"</f>
        <v>H0034538</v>
      </c>
      <c r="B17525" s="5" t="str">
        <f t="shared" si="897"/>
        <v>VENTILADOR MECÁNICO. Paciente &gt; 1kg. Filtro entrada aire. 35 a 65 psi. Modos A/C, PS, CPAP- PEEP, BLEVEL, APRV, PAV, VV+, VC+ / VS, VS+. Bateria 3 h, Carro.</v>
      </c>
      <c r="C17525" s="6">
        <v>88970000</v>
      </c>
      <c r="D17525" s="5" t="s">
        <v>332</v>
      </c>
      <c r="E17525" s="5" t="str">
        <f t="shared" si="899"/>
        <v>ELEMENTOS EN BODEGA USADOS</v>
      </c>
      <c r="F17525" s="5"/>
      <c r="G17525" s="5"/>
    </row>
    <row r="17526" spans="1:7" ht="58.5" customHeight="1" x14ac:dyDescent="0.25">
      <c r="A17526" s="5" t="str">
        <f>"H0034539"</f>
        <v>H0034539</v>
      </c>
      <c r="B17526" s="5" t="str">
        <f t="shared" si="897"/>
        <v>VENTILADOR MECÁNICO. Paciente &gt; 1kg. Filtro entrada aire. 35 a 65 psi. Modos A/C, PS, CPAP- PEEP, BLEVEL, APRV, PAV, VV+, VC+ / VS, VS+. Bateria 3 h, Carro.</v>
      </c>
      <c r="C17526" s="6">
        <v>88970000</v>
      </c>
      <c r="D17526" s="5" t="s">
        <v>332</v>
      </c>
      <c r="E17526" s="5" t="str">
        <f t="shared" si="899"/>
        <v>ELEMENTOS EN BODEGA USADOS</v>
      </c>
      <c r="F17526" s="5"/>
      <c r="G17526" s="5"/>
    </row>
    <row r="17527" spans="1:7" ht="58.5" customHeight="1" x14ac:dyDescent="0.25">
      <c r="A17527" s="5" t="str">
        <f>"H0034540"</f>
        <v>H0034540</v>
      </c>
      <c r="B17527" s="5" t="str">
        <f t="shared" si="897"/>
        <v>VENTILADOR MECÁNICO. Paciente &gt; 1kg. Filtro entrada aire. 35 a 65 psi. Modos A/C, PS, CPAP- PEEP, BLEVEL, APRV, PAV, VV+, VC+ / VS, VS+. Bateria 3 h, Carro.</v>
      </c>
      <c r="C17527" s="6">
        <v>88970000</v>
      </c>
      <c r="D17527" s="5" t="s">
        <v>332</v>
      </c>
      <c r="E17527" s="5" t="str">
        <f t="shared" si="899"/>
        <v>ELEMENTOS EN BODEGA USADOS</v>
      </c>
      <c r="F17527" s="5"/>
      <c r="G17527" s="5"/>
    </row>
    <row r="17528" spans="1:7" ht="58.5" customHeight="1" x14ac:dyDescent="0.25">
      <c r="A17528" s="5" t="str">
        <f>"H0034542"</f>
        <v>H0034542</v>
      </c>
      <c r="B17528" s="5" t="str">
        <f t="shared" si="897"/>
        <v>VENTILADOR MECÁNICO. Paciente &gt; 1kg. Filtro entrada aire. 35 a 65 psi. Modos A/C, PS, CPAP- PEEP, BLEVEL, APRV, PAV, VV+, VC+ / VS, VS+. Bateria 3 h, Carro.</v>
      </c>
      <c r="C17528" s="6">
        <v>88970000</v>
      </c>
      <c r="D17528" s="5" t="s">
        <v>332</v>
      </c>
      <c r="E17528" s="5" t="str">
        <f t="shared" si="899"/>
        <v>ELEMENTOS EN BODEGA USADOS</v>
      </c>
      <c r="F17528" s="5"/>
      <c r="G17528" s="5"/>
    </row>
    <row r="17529" spans="1:7" ht="58.5" customHeight="1" x14ac:dyDescent="0.25">
      <c r="A17529" s="5" t="str">
        <f>"H0034559"</f>
        <v>H0034559</v>
      </c>
      <c r="B17529" s="5" t="str">
        <f>"COMPRESOR COPELAND  MODELO : ZP83KCE-TFD-522 / 3/440V) USAR UNICAMENTE  R-410"</f>
        <v>COMPRESOR COPELAND  MODELO : ZP83KCE-TFD-522 / 3/440V) USAR UNICAMENTE  R-410</v>
      </c>
      <c r="C17529" s="6">
        <v>8625000.1600000001</v>
      </c>
      <c r="D17529" s="5" t="s">
        <v>18</v>
      </c>
      <c r="E17529" s="5" t="str">
        <f t="shared" si="899"/>
        <v>ELEMENTOS EN BODEGA USADOS</v>
      </c>
      <c r="F17529" s="5"/>
      <c r="G17529" s="5"/>
    </row>
    <row r="17530" spans="1:7" ht="58.5" customHeight="1" x14ac:dyDescent="0.25">
      <c r="A17530" s="5" t="str">
        <f>"H0034589"</f>
        <v>H0034589</v>
      </c>
      <c r="B17530" s="5" t="str">
        <f>"Persiana en panel japonés en tela referencia naturale moka 646-3. Medida: 2.18 x 1.50 m"</f>
        <v>Persiana en panel japonés en tela referencia naturale moka 646-3. Medida: 2.18 x 1.50 m</v>
      </c>
      <c r="C17530" s="6">
        <v>425000</v>
      </c>
      <c r="D17530" s="5" t="s">
        <v>19</v>
      </c>
      <c r="E17530" s="5" t="str">
        <f t="shared" si="899"/>
        <v>ELEMENTOS EN BODEGA USADOS</v>
      </c>
      <c r="F17530" s="5"/>
      <c r="G17530" s="5"/>
    </row>
    <row r="17531" spans="1:7" ht="58.5" customHeight="1" x14ac:dyDescent="0.25">
      <c r="A17531" s="5" t="str">
        <f>"H0034591"</f>
        <v>H0034591</v>
      </c>
      <c r="B17531" s="5" t="str">
        <f>"Persiana en panel japonés en tela referencia naturale moka 646-3. Medida: 0.85 x 1.50 m"</f>
        <v>Persiana en panel japonés en tela referencia naturale moka 646-3. Medida: 0.85 x 1.50 m</v>
      </c>
      <c r="C17531" s="6">
        <v>165000</v>
      </c>
      <c r="D17531" s="5" t="s">
        <v>19</v>
      </c>
      <c r="E17531" s="5" t="str">
        <f t="shared" si="899"/>
        <v>ELEMENTOS EN BODEGA USADOS</v>
      </c>
      <c r="F17531" s="5"/>
      <c r="G17531" s="5"/>
    </row>
    <row r="17532" spans="1:7" ht="58.5" customHeight="1" x14ac:dyDescent="0.25">
      <c r="A17532" s="5" t="str">
        <f>"H0034592"</f>
        <v>H0034592</v>
      </c>
      <c r="B17532" s="5" t="str">
        <f>"Persiana en panel japonés en tela referencia naturale moka 646-3. Medida: 1.50 x 2.28 m"</f>
        <v>Persiana en panel japonés en tela referencia naturale moka 646-3. Medida: 1.50 x 2.28 m</v>
      </c>
      <c r="C17532" s="6">
        <v>410000</v>
      </c>
      <c r="D17532" s="5" t="s">
        <v>820</v>
      </c>
      <c r="E17532" s="5" t="str">
        <f t="shared" si="899"/>
        <v>ELEMENTOS EN BODEGA USADOS</v>
      </c>
      <c r="F17532" s="5"/>
      <c r="G17532" s="5"/>
    </row>
    <row r="17533" spans="1:7" ht="58.5" customHeight="1" x14ac:dyDescent="0.25">
      <c r="A17533" s="5" t="str">
        <f>"H0034595"</f>
        <v>H0034595</v>
      </c>
      <c r="B17533" s="5" t="str">
        <f>"BALANZA (PESO) DIGITAL (GRAMERA)"</f>
        <v>BALANZA (PESO) DIGITAL (GRAMERA)</v>
      </c>
      <c r="C17533" s="6">
        <v>120000.01</v>
      </c>
      <c r="D17533" s="5" t="s">
        <v>234</v>
      </c>
      <c r="E17533" s="5" t="str">
        <f t="shared" si="899"/>
        <v>ELEMENTOS EN BODEGA USADOS</v>
      </c>
      <c r="F17533" s="5"/>
      <c r="G17533" s="5"/>
    </row>
    <row r="17534" spans="1:7" ht="58.5" customHeight="1" x14ac:dyDescent="0.25">
      <c r="A17534" s="5" t="str">
        <f>"H0034597"</f>
        <v>H0034597</v>
      </c>
      <c r="B17534" s="5" t="str">
        <f>"BALANZA (PESO) DIGITAL (GRAMERA)"</f>
        <v>BALANZA (PESO) DIGITAL (GRAMERA)</v>
      </c>
      <c r="C17534" s="6">
        <v>120000.01</v>
      </c>
      <c r="D17534" s="5" t="s">
        <v>234</v>
      </c>
      <c r="E17534" s="5" t="str">
        <f t="shared" si="899"/>
        <v>ELEMENTOS EN BODEGA USADOS</v>
      </c>
      <c r="F17534" s="5"/>
      <c r="G17534" s="5"/>
    </row>
    <row r="17535" spans="1:7" ht="58.5" customHeight="1" x14ac:dyDescent="0.25">
      <c r="A17535" s="5" t="str">
        <f>"H0034605"</f>
        <v>H0034605</v>
      </c>
      <c r="B17535" s="5" t="str">
        <f>"succionador (DONACION)"</f>
        <v>succionador (DONACION)</v>
      </c>
      <c r="C17535" s="6">
        <v>6216000</v>
      </c>
      <c r="D17535" s="5" t="s">
        <v>123</v>
      </c>
      <c r="E17535" s="5" t="str">
        <f t="shared" si="899"/>
        <v>ELEMENTOS EN BODEGA USADOS</v>
      </c>
      <c r="F17535" s="5"/>
      <c r="G17535" s="5"/>
    </row>
    <row r="17536" spans="1:7" ht="58.5" customHeight="1" x14ac:dyDescent="0.25">
      <c r="A17536" s="5" t="str">
        <f>"H0034611"</f>
        <v>H0034611</v>
      </c>
      <c r="B17536" s="5" t="str">
        <f>"succionador (DONACION)"</f>
        <v>succionador (DONACION)</v>
      </c>
      <c r="C17536" s="6">
        <v>6216000</v>
      </c>
      <c r="D17536" s="5" t="s">
        <v>123</v>
      </c>
      <c r="E17536" s="5" t="str">
        <f t="shared" si="899"/>
        <v>ELEMENTOS EN BODEGA USADOS</v>
      </c>
      <c r="F17536" s="5"/>
      <c r="G17536" s="5"/>
    </row>
    <row r="17537" spans="1:7" ht="58.5" customHeight="1" x14ac:dyDescent="0.25">
      <c r="A17537" s="5" t="str">
        <f>"H0034613"</f>
        <v>H0034613</v>
      </c>
      <c r="B17537" s="5" t="str">
        <f>"succionador (DONACION)"</f>
        <v>succionador (DONACION)</v>
      </c>
      <c r="C17537" s="6">
        <v>6216000</v>
      </c>
      <c r="D17537" s="5" t="s">
        <v>123</v>
      </c>
      <c r="E17537" s="5" t="str">
        <f t="shared" si="899"/>
        <v>ELEMENTOS EN BODEGA USADOS</v>
      </c>
      <c r="F17537" s="5"/>
      <c r="G17537" s="5"/>
    </row>
    <row r="17538" spans="1:7" ht="58.5" customHeight="1" x14ac:dyDescent="0.25">
      <c r="A17538" s="5" t="str">
        <f>"H0034615"</f>
        <v>H0034615</v>
      </c>
      <c r="B17538" s="5" t="str">
        <f>"succionador (DONACION)"</f>
        <v>succionador (DONACION)</v>
      </c>
      <c r="C17538" s="6">
        <v>6216000</v>
      </c>
      <c r="D17538" s="5" t="s">
        <v>123</v>
      </c>
      <c r="E17538" s="5" t="str">
        <f t="shared" si="899"/>
        <v>ELEMENTOS EN BODEGA USADOS</v>
      </c>
      <c r="F17538" s="5"/>
      <c r="G17538" s="5"/>
    </row>
    <row r="17539" spans="1:7" ht="58.5" customHeight="1" x14ac:dyDescent="0.25">
      <c r="A17539" s="5" t="str">
        <f>"H0034616"</f>
        <v>H0034616</v>
      </c>
      <c r="B17539" s="5" t="str">
        <f>"succionador (DONACION)"</f>
        <v>succionador (DONACION)</v>
      </c>
      <c r="C17539" s="6">
        <v>6216000</v>
      </c>
      <c r="D17539" s="5" t="s">
        <v>123</v>
      </c>
      <c r="E17539" s="5" t="str">
        <f t="shared" si="899"/>
        <v>ELEMENTOS EN BODEGA USADOS</v>
      </c>
      <c r="F17539" s="5"/>
      <c r="G17539" s="5"/>
    </row>
    <row r="17540" spans="1:7" ht="58.5" customHeight="1" x14ac:dyDescent="0.25">
      <c r="A17540" s="5" t="str">
        <f>"H0034620"</f>
        <v>H0034620</v>
      </c>
      <c r="B17540" s="5" t="str">
        <f>"SUCCIONADOR YX980D (DONACION)"</f>
        <v>SUCCIONADOR YX980D (DONACION)</v>
      </c>
      <c r="C17540" s="6">
        <v>4942000</v>
      </c>
      <c r="D17540" s="5" t="s">
        <v>333</v>
      </c>
      <c r="E17540" s="5" t="str">
        <f t="shared" si="899"/>
        <v>ELEMENTOS EN BODEGA USADOS</v>
      </c>
      <c r="F17540" s="5"/>
      <c r="G17540" s="5"/>
    </row>
    <row r="17541" spans="1:7" ht="58.5" customHeight="1" x14ac:dyDescent="0.25">
      <c r="A17541" s="5" t="str">
        <f>"H0034622"</f>
        <v>H0034622</v>
      </c>
      <c r="B17541" s="5" t="str">
        <f>"SUCCIONADOR YX980D (DONACION)"</f>
        <v>SUCCIONADOR YX980D (DONACION)</v>
      </c>
      <c r="C17541" s="6">
        <v>4942000</v>
      </c>
      <c r="D17541" s="5" t="s">
        <v>333</v>
      </c>
      <c r="E17541" s="5" t="str">
        <f t="shared" si="899"/>
        <v>ELEMENTOS EN BODEGA USADOS</v>
      </c>
      <c r="F17541" s="5"/>
      <c r="G17541" s="5"/>
    </row>
    <row r="17542" spans="1:7" ht="58.5" customHeight="1" x14ac:dyDescent="0.25">
      <c r="A17542" s="5" t="str">
        <f>"H0034633"</f>
        <v>H0034633</v>
      </c>
      <c r="B17542" s="5" t="str">
        <f>"AIRE ACONDICIONADO TIPO MINISPLIT CAPACIDAD 12.000 BTU TECNOLOGIA INVERTER DUAL"</f>
        <v>AIRE ACONDICIONADO TIPO MINISPLIT CAPACIDAD 12.000 BTU TECNOLOGIA INVERTER DUAL</v>
      </c>
      <c r="C17542" s="6">
        <v>2058700</v>
      </c>
      <c r="D17542" s="5" t="s">
        <v>20</v>
      </c>
      <c r="E17542" s="5" t="str">
        <f t="shared" si="899"/>
        <v>ELEMENTOS EN BODEGA USADOS</v>
      </c>
      <c r="F17542" s="5"/>
      <c r="G17542" s="5"/>
    </row>
    <row r="17543" spans="1:7" ht="58.5" customHeight="1" x14ac:dyDescent="0.25">
      <c r="A17543" s="5" t="str">
        <f>"h0034634"</f>
        <v>h0034634</v>
      </c>
      <c r="B17543" s="5" t="str">
        <f>"AIRE ACONDICIONADO TIPO MINISPLIT CAPACIDAD 12.000 BTU TECNOLOGIA INVERTER DUAL"</f>
        <v>AIRE ACONDICIONADO TIPO MINISPLIT CAPACIDAD 12.000 BTU TECNOLOGIA INVERTER DUAL</v>
      </c>
      <c r="C17543" s="6">
        <v>2058700</v>
      </c>
      <c r="D17543" s="5" t="s">
        <v>20</v>
      </c>
      <c r="E17543" s="5" t="str">
        <f t="shared" si="899"/>
        <v>ELEMENTOS EN BODEGA USADOS</v>
      </c>
      <c r="F17543" s="5"/>
      <c r="G17543" s="5"/>
    </row>
    <row r="17544" spans="1:7" ht="58.5" customHeight="1" x14ac:dyDescent="0.25">
      <c r="A17544" s="5" t="str">
        <f>"H0034640"</f>
        <v>H0034640</v>
      </c>
      <c r="B17544" s="5" t="str">
        <f>"AIRE ACONDICIONADO TIPO PISO TECHOCAPACIDAD 60.000 BTU TECNOLOGIA INVERTER DUAL"</f>
        <v>AIRE ACONDICIONADO TIPO PISO TECHOCAPACIDAD 60.000 BTU TECNOLOGIA INVERTER DUAL</v>
      </c>
      <c r="C17544" s="6">
        <v>9487400</v>
      </c>
      <c r="D17544" s="5" t="s">
        <v>20</v>
      </c>
      <c r="E17544" s="5" t="str">
        <f t="shared" si="899"/>
        <v>ELEMENTOS EN BODEGA USADOS</v>
      </c>
      <c r="F17544" s="5"/>
      <c r="G17544" s="5" t="str">
        <f>"909TAMACC675"</f>
        <v>909TAMACC675</v>
      </c>
    </row>
    <row r="17545" spans="1:7" ht="58.5" customHeight="1" x14ac:dyDescent="0.25">
      <c r="A17545" s="5" t="str">
        <f>"H0034642"</f>
        <v>H0034642</v>
      </c>
      <c r="B17545" s="5" t="str">
        <f t="shared" ref="B17545:B17554" si="900">"bomba de infusion (DONACION)"</f>
        <v>bomba de infusion (DONACION)</v>
      </c>
      <c r="C17545" s="6">
        <v>7049854</v>
      </c>
      <c r="D17545" s="5" t="s">
        <v>124</v>
      </c>
      <c r="E17545" s="5" t="str">
        <f t="shared" si="899"/>
        <v>ELEMENTOS EN BODEGA USADOS</v>
      </c>
      <c r="F17545" s="5"/>
      <c r="G17545" s="5"/>
    </row>
    <row r="17546" spans="1:7" ht="58.5" customHeight="1" x14ac:dyDescent="0.25">
      <c r="A17546" s="5" t="str">
        <f>"h0034643"</f>
        <v>h0034643</v>
      </c>
      <c r="B17546" s="5" t="str">
        <f t="shared" si="900"/>
        <v>bomba de infusion (DONACION)</v>
      </c>
      <c r="C17546" s="6">
        <v>7049854</v>
      </c>
      <c r="D17546" s="5" t="s">
        <v>124</v>
      </c>
      <c r="E17546" s="5" t="str">
        <f t="shared" si="899"/>
        <v>ELEMENTOS EN BODEGA USADOS</v>
      </c>
      <c r="F17546" s="5"/>
      <c r="G17546" s="5"/>
    </row>
    <row r="17547" spans="1:7" ht="58.5" customHeight="1" x14ac:dyDescent="0.25">
      <c r="A17547" s="5" t="str">
        <f>"H0034654"</f>
        <v>H0034654</v>
      </c>
      <c r="B17547" s="5" t="str">
        <f t="shared" si="900"/>
        <v>bomba de infusion (DONACION)</v>
      </c>
      <c r="C17547" s="6">
        <v>7049854</v>
      </c>
      <c r="D17547" s="5" t="s">
        <v>124</v>
      </c>
      <c r="E17547" s="5" t="str">
        <f t="shared" si="899"/>
        <v>ELEMENTOS EN BODEGA USADOS</v>
      </c>
      <c r="F17547" s="5"/>
      <c r="G17547" s="5"/>
    </row>
    <row r="17548" spans="1:7" ht="58.5" customHeight="1" x14ac:dyDescent="0.25">
      <c r="A17548" s="5" t="str">
        <f>"H0034655"</f>
        <v>H0034655</v>
      </c>
      <c r="B17548" s="5" t="str">
        <f t="shared" si="900"/>
        <v>bomba de infusion (DONACION)</v>
      </c>
      <c r="C17548" s="6">
        <v>7049854</v>
      </c>
      <c r="D17548" s="5" t="s">
        <v>124</v>
      </c>
      <c r="E17548" s="5" t="str">
        <f t="shared" si="899"/>
        <v>ELEMENTOS EN BODEGA USADOS</v>
      </c>
      <c r="F17548" s="5"/>
      <c r="G17548" s="5"/>
    </row>
    <row r="17549" spans="1:7" ht="58.5" customHeight="1" x14ac:dyDescent="0.25">
      <c r="A17549" s="5" t="str">
        <f>"H0034658"</f>
        <v>H0034658</v>
      </c>
      <c r="B17549" s="5" t="str">
        <f t="shared" si="900"/>
        <v>bomba de infusion (DONACION)</v>
      </c>
      <c r="C17549" s="6">
        <v>7049854</v>
      </c>
      <c r="D17549" s="5" t="s">
        <v>124</v>
      </c>
      <c r="E17549" s="5" t="str">
        <f t="shared" si="899"/>
        <v>ELEMENTOS EN BODEGA USADOS</v>
      </c>
      <c r="F17549" s="5"/>
      <c r="G17549" s="5"/>
    </row>
    <row r="17550" spans="1:7" ht="58.5" customHeight="1" x14ac:dyDescent="0.25">
      <c r="A17550" s="5" t="str">
        <f>"H0034673"</f>
        <v>H0034673</v>
      </c>
      <c r="B17550" s="5" t="str">
        <f t="shared" si="900"/>
        <v>bomba de infusion (DONACION)</v>
      </c>
      <c r="C17550" s="6">
        <v>7049854</v>
      </c>
      <c r="D17550" s="5" t="s">
        <v>124</v>
      </c>
      <c r="E17550" s="5" t="str">
        <f t="shared" si="899"/>
        <v>ELEMENTOS EN BODEGA USADOS</v>
      </c>
      <c r="F17550" s="5"/>
      <c r="G17550" s="5"/>
    </row>
    <row r="17551" spans="1:7" ht="58.5" customHeight="1" x14ac:dyDescent="0.25">
      <c r="A17551" s="5" t="str">
        <f>"H0034676"</f>
        <v>H0034676</v>
      </c>
      <c r="B17551" s="5" t="str">
        <f t="shared" si="900"/>
        <v>bomba de infusion (DONACION)</v>
      </c>
      <c r="C17551" s="6">
        <v>7049854</v>
      </c>
      <c r="D17551" s="5" t="s">
        <v>124</v>
      </c>
      <c r="E17551" s="5" t="str">
        <f t="shared" si="899"/>
        <v>ELEMENTOS EN BODEGA USADOS</v>
      </c>
      <c r="F17551" s="5"/>
      <c r="G17551" s="5"/>
    </row>
    <row r="17552" spans="1:7" ht="58.5" customHeight="1" x14ac:dyDescent="0.25">
      <c r="A17552" s="5" t="str">
        <f>"H0034683"</f>
        <v>H0034683</v>
      </c>
      <c r="B17552" s="5" t="str">
        <f t="shared" si="900"/>
        <v>bomba de infusion (DONACION)</v>
      </c>
      <c r="C17552" s="6">
        <v>7049854</v>
      </c>
      <c r="D17552" s="5" t="s">
        <v>124</v>
      </c>
      <c r="E17552" s="5" t="str">
        <f t="shared" si="899"/>
        <v>ELEMENTOS EN BODEGA USADOS</v>
      </c>
      <c r="F17552" s="5"/>
      <c r="G17552" s="5"/>
    </row>
    <row r="17553" spans="1:7" ht="58.5" customHeight="1" x14ac:dyDescent="0.25">
      <c r="A17553" s="5" t="str">
        <f>"H0034684"</f>
        <v>H0034684</v>
      </c>
      <c r="B17553" s="5" t="str">
        <f t="shared" si="900"/>
        <v>bomba de infusion (DONACION)</v>
      </c>
      <c r="C17553" s="6">
        <v>7049854</v>
      </c>
      <c r="D17553" s="5" t="s">
        <v>124</v>
      </c>
      <c r="E17553" s="5" t="str">
        <f t="shared" si="899"/>
        <v>ELEMENTOS EN BODEGA USADOS</v>
      </c>
      <c r="F17553" s="5"/>
      <c r="G17553" s="5"/>
    </row>
    <row r="17554" spans="1:7" ht="58.5" customHeight="1" x14ac:dyDescent="0.25">
      <c r="A17554" s="5" t="str">
        <f>"H0034687"</f>
        <v>H0034687</v>
      </c>
      <c r="B17554" s="5" t="str">
        <f t="shared" si="900"/>
        <v>bomba de infusion (DONACION)</v>
      </c>
      <c r="C17554" s="6">
        <v>7049854</v>
      </c>
      <c r="D17554" s="5" t="s">
        <v>124</v>
      </c>
      <c r="E17554" s="5" t="str">
        <f t="shared" si="899"/>
        <v>ELEMENTOS EN BODEGA USADOS</v>
      </c>
      <c r="F17554" s="5"/>
      <c r="G17554" s="5"/>
    </row>
    <row r="17555" spans="1:7" ht="58.5" customHeight="1" x14ac:dyDescent="0.25">
      <c r="A17555" s="5" t="str">
        <f>"H0034691"</f>
        <v>H0034691</v>
      </c>
      <c r="B17555" s="5" t="str">
        <f t="shared" ref="B17555:B17571" si="901">"BOMBA DE NUTRICION (DONACION)"</f>
        <v>BOMBA DE NUTRICION (DONACION)</v>
      </c>
      <c r="C17555" s="6">
        <v>5850000</v>
      </c>
      <c r="D17555" s="5" t="s">
        <v>124</v>
      </c>
      <c r="E17555" s="5" t="str">
        <f t="shared" si="899"/>
        <v>ELEMENTOS EN BODEGA USADOS</v>
      </c>
      <c r="F17555" s="5"/>
      <c r="G17555" s="5" t="str">
        <f t="shared" ref="G17555:G17565" si="902">"ENTEROPORT PLUS"</f>
        <v>ENTEROPORT PLUS</v>
      </c>
    </row>
    <row r="17556" spans="1:7" ht="58.5" customHeight="1" x14ac:dyDescent="0.25">
      <c r="A17556" s="5" t="str">
        <f>"H0034692"</f>
        <v>H0034692</v>
      </c>
      <c r="B17556" s="5" t="str">
        <f t="shared" si="901"/>
        <v>BOMBA DE NUTRICION (DONACION)</v>
      </c>
      <c r="C17556" s="6">
        <v>5850000</v>
      </c>
      <c r="D17556" s="5" t="s">
        <v>124</v>
      </c>
      <c r="E17556" s="5" t="str">
        <f t="shared" si="899"/>
        <v>ELEMENTOS EN BODEGA USADOS</v>
      </c>
      <c r="F17556" s="5"/>
      <c r="G17556" s="5" t="str">
        <f t="shared" si="902"/>
        <v>ENTEROPORT PLUS</v>
      </c>
    </row>
    <row r="17557" spans="1:7" ht="58.5" customHeight="1" x14ac:dyDescent="0.25">
      <c r="A17557" s="5" t="str">
        <f>"H0034695"</f>
        <v>H0034695</v>
      </c>
      <c r="B17557" s="5" t="str">
        <f t="shared" si="901"/>
        <v>BOMBA DE NUTRICION (DONACION)</v>
      </c>
      <c r="C17557" s="6">
        <v>5850000</v>
      </c>
      <c r="D17557" s="5" t="s">
        <v>124</v>
      </c>
      <c r="E17557" s="5" t="str">
        <f t="shared" si="899"/>
        <v>ELEMENTOS EN BODEGA USADOS</v>
      </c>
      <c r="F17557" s="5"/>
      <c r="G17557" s="5" t="str">
        <f t="shared" si="902"/>
        <v>ENTEROPORT PLUS</v>
      </c>
    </row>
    <row r="17558" spans="1:7" ht="58.5" customHeight="1" x14ac:dyDescent="0.25">
      <c r="A17558" s="5" t="str">
        <f>"H0034698"</f>
        <v>H0034698</v>
      </c>
      <c r="B17558" s="5" t="str">
        <f t="shared" si="901"/>
        <v>BOMBA DE NUTRICION (DONACION)</v>
      </c>
      <c r="C17558" s="6">
        <v>5850000</v>
      </c>
      <c r="D17558" s="5" t="s">
        <v>124</v>
      </c>
      <c r="E17558" s="5" t="str">
        <f t="shared" si="899"/>
        <v>ELEMENTOS EN BODEGA USADOS</v>
      </c>
      <c r="F17558" s="5"/>
      <c r="G17558" s="5" t="str">
        <f t="shared" si="902"/>
        <v>ENTEROPORT PLUS</v>
      </c>
    </row>
    <row r="17559" spans="1:7" ht="58.5" customHeight="1" x14ac:dyDescent="0.25">
      <c r="A17559" s="5" t="str">
        <f>"H0034699"</f>
        <v>H0034699</v>
      </c>
      <c r="B17559" s="5" t="str">
        <f t="shared" si="901"/>
        <v>BOMBA DE NUTRICION (DONACION)</v>
      </c>
      <c r="C17559" s="6">
        <v>5850000</v>
      </c>
      <c r="D17559" s="5" t="s">
        <v>124</v>
      </c>
      <c r="E17559" s="5" t="str">
        <f t="shared" si="899"/>
        <v>ELEMENTOS EN BODEGA USADOS</v>
      </c>
      <c r="F17559" s="5"/>
      <c r="G17559" s="5" t="str">
        <f t="shared" si="902"/>
        <v>ENTEROPORT PLUS</v>
      </c>
    </row>
    <row r="17560" spans="1:7" ht="58.5" customHeight="1" x14ac:dyDescent="0.25">
      <c r="A17560" s="5" t="str">
        <f>"H0034700"</f>
        <v>H0034700</v>
      </c>
      <c r="B17560" s="5" t="str">
        <f t="shared" si="901"/>
        <v>BOMBA DE NUTRICION (DONACION)</v>
      </c>
      <c r="C17560" s="6">
        <v>5850000</v>
      </c>
      <c r="D17560" s="5" t="s">
        <v>124</v>
      </c>
      <c r="E17560" s="5" t="str">
        <f t="shared" si="899"/>
        <v>ELEMENTOS EN BODEGA USADOS</v>
      </c>
      <c r="F17560" s="5"/>
      <c r="G17560" s="5" t="str">
        <f t="shared" si="902"/>
        <v>ENTEROPORT PLUS</v>
      </c>
    </row>
    <row r="17561" spans="1:7" ht="58.5" customHeight="1" x14ac:dyDescent="0.25">
      <c r="A17561" s="5" t="str">
        <f>"H0034701"</f>
        <v>H0034701</v>
      </c>
      <c r="B17561" s="5" t="str">
        <f t="shared" si="901"/>
        <v>BOMBA DE NUTRICION (DONACION)</v>
      </c>
      <c r="C17561" s="6">
        <v>5850000</v>
      </c>
      <c r="D17561" s="5" t="s">
        <v>124</v>
      </c>
      <c r="E17561" s="5" t="str">
        <f t="shared" si="899"/>
        <v>ELEMENTOS EN BODEGA USADOS</v>
      </c>
      <c r="F17561" s="5"/>
      <c r="G17561" s="5" t="str">
        <f t="shared" si="902"/>
        <v>ENTEROPORT PLUS</v>
      </c>
    </row>
    <row r="17562" spans="1:7" ht="58.5" customHeight="1" x14ac:dyDescent="0.25">
      <c r="A17562" s="5" t="str">
        <f>"H0034702"</f>
        <v>H0034702</v>
      </c>
      <c r="B17562" s="5" t="str">
        <f t="shared" si="901"/>
        <v>BOMBA DE NUTRICION (DONACION)</v>
      </c>
      <c r="C17562" s="6">
        <v>5850000</v>
      </c>
      <c r="D17562" s="5" t="s">
        <v>124</v>
      </c>
      <c r="E17562" s="5" t="str">
        <f t="shared" si="899"/>
        <v>ELEMENTOS EN BODEGA USADOS</v>
      </c>
      <c r="F17562" s="5"/>
      <c r="G17562" s="5" t="str">
        <f t="shared" si="902"/>
        <v>ENTEROPORT PLUS</v>
      </c>
    </row>
    <row r="17563" spans="1:7" ht="58.5" customHeight="1" x14ac:dyDescent="0.25">
      <c r="A17563" s="5" t="str">
        <f>"H0034703"</f>
        <v>H0034703</v>
      </c>
      <c r="B17563" s="5" t="str">
        <f t="shared" si="901"/>
        <v>BOMBA DE NUTRICION (DONACION)</v>
      </c>
      <c r="C17563" s="6">
        <v>5850000</v>
      </c>
      <c r="D17563" s="5" t="s">
        <v>124</v>
      </c>
      <c r="E17563" s="5" t="str">
        <f t="shared" si="899"/>
        <v>ELEMENTOS EN BODEGA USADOS</v>
      </c>
      <c r="F17563" s="5"/>
      <c r="G17563" s="5" t="str">
        <f t="shared" si="902"/>
        <v>ENTEROPORT PLUS</v>
      </c>
    </row>
    <row r="17564" spans="1:7" ht="58.5" customHeight="1" x14ac:dyDescent="0.25">
      <c r="A17564" s="5" t="str">
        <f>"H0034704"</f>
        <v>H0034704</v>
      </c>
      <c r="B17564" s="5" t="str">
        <f t="shared" si="901"/>
        <v>BOMBA DE NUTRICION (DONACION)</v>
      </c>
      <c r="C17564" s="6">
        <v>5850000</v>
      </c>
      <c r="D17564" s="5" t="s">
        <v>124</v>
      </c>
      <c r="E17564" s="5" t="str">
        <f t="shared" si="899"/>
        <v>ELEMENTOS EN BODEGA USADOS</v>
      </c>
      <c r="F17564" s="5"/>
      <c r="G17564" s="5" t="str">
        <f t="shared" si="902"/>
        <v>ENTEROPORT PLUS</v>
      </c>
    </row>
    <row r="17565" spans="1:7" ht="58.5" customHeight="1" x14ac:dyDescent="0.25">
      <c r="A17565" s="5" t="str">
        <f>"H0034710"</f>
        <v>H0034710</v>
      </c>
      <c r="B17565" s="5" t="str">
        <f t="shared" si="901"/>
        <v>BOMBA DE NUTRICION (DONACION)</v>
      </c>
      <c r="C17565" s="6">
        <v>5850000</v>
      </c>
      <c r="D17565" s="5" t="s">
        <v>124</v>
      </c>
      <c r="E17565" s="5" t="str">
        <f t="shared" si="899"/>
        <v>ELEMENTOS EN BODEGA USADOS</v>
      </c>
      <c r="F17565" s="5"/>
      <c r="G17565" s="5" t="str">
        <f t="shared" si="902"/>
        <v>ENTEROPORT PLUS</v>
      </c>
    </row>
    <row r="17566" spans="1:7" ht="58.5" customHeight="1" x14ac:dyDescent="0.25">
      <c r="A17566" s="5" t="str">
        <f>"H0034722"</f>
        <v>H0034722</v>
      </c>
      <c r="B17566" s="5" t="str">
        <f t="shared" si="901"/>
        <v>BOMBA DE NUTRICION (DONACION)</v>
      </c>
      <c r="C17566" s="6">
        <v>5850000</v>
      </c>
      <c r="D17566" s="5" t="s">
        <v>124</v>
      </c>
      <c r="E17566" s="5" t="str">
        <f t="shared" si="899"/>
        <v>ELEMENTOS EN BODEGA USADOS</v>
      </c>
      <c r="F17566" s="5"/>
      <c r="G17566" s="5"/>
    </row>
    <row r="17567" spans="1:7" ht="58.5" customHeight="1" x14ac:dyDescent="0.25">
      <c r="A17567" s="5" t="str">
        <f>"H0034727"</f>
        <v>H0034727</v>
      </c>
      <c r="B17567" s="5" t="str">
        <f t="shared" si="901"/>
        <v>BOMBA DE NUTRICION (DONACION)</v>
      </c>
      <c r="C17567" s="6">
        <v>5850000</v>
      </c>
      <c r="D17567" s="5" t="s">
        <v>124</v>
      </c>
      <c r="E17567" s="5" t="str">
        <f t="shared" si="899"/>
        <v>ELEMENTOS EN BODEGA USADOS</v>
      </c>
      <c r="F17567" s="5"/>
      <c r="G17567" s="5" t="str">
        <f>"ENTEROPORT PLUS"</f>
        <v>ENTEROPORT PLUS</v>
      </c>
    </row>
    <row r="17568" spans="1:7" ht="58.5" customHeight="1" x14ac:dyDescent="0.25">
      <c r="A17568" s="5" t="str">
        <f>"H0034731"</f>
        <v>H0034731</v>
      </c>
      <c r="B17568" s="5" t="str">
        <f t="shared" si="901"/>
        <v>BOMBA DE NUTRICION (DONACION)</v>
      </c>
      <c r="C17568" s="6">
        <v>5850000</v>
      </c>
      <c r="D17568" s="5" t="s">
        <v>124</v>
      </c>
      <c r="E17568" s="5" t="str">
        <f t="shared" si="899"/>
        <v>ELEMENTOS EN BODEGA USADOS</v>
      </c>
      <c r="F17568" s="5"/>
      <c r="G17568" s="5" t="str">
        <f>"ENTEROPORT PLUS"</f>
        <v>ENTEROPORT PLUS</v>
      </c>
    </row>
    <row r="17569" spans="1:7" ht="58.5" customHeight="1" x14ac:dyDescent="0.25">
      <c r="A17569" s="5" t="str">
        <f>"H0034735"</f>
        <v>H0034735</v>
      </c>
      <c r="B17569" s="5" t="str">
        <f t="shared" si="901"/>
        <v>BOMBA DE NUTRICION (DONACION)</v>
      </c>
      <c r="C17569" s="6">
        <v>5850000</v>
      </c>
      <c r="D17569" s="5" t="s">
        <v>124</v>
      </c>
      <c r="E17569" s="5" t="str">
        <f t="shared" si="899"/>
        <v>ELEMENTOS EN BODEGA USADOS</v>
      </c>
      <c r="F17569" s="5"/>
      <c r="G17569" s="5" t="str">
        <f>"ENTEROPORT PLUS"</f>
        <v>ENTEROPORT PLUS</v>
      </c>
    </row>
    <row r="17570" spans="1:7" ht="58.5" customHeight="1" x14ac:dyDescent="0.25">
      <c r="A17570" s="5" t="str">
        <f>"H0034737"</f>
        <v>H0034737</v>
      </c>
      <c r="B17570" s="5" t="str">
        <f t="shared" si="901"/>
        <v>BOMBA DE NUTRICION (DONACION)</v>
      </c>
      <c r="C17570" s="6">
        <v>5850000</v>
      </c>
      <c r="D17570" s="5" t="s">
        <v>124</v>
      </c>
      <c r="E17570" s="5" t="str">
        <f t="shared" si="899"/>
        <v>ELEMENTOS EN BODEGA USADOS</v>
      </c>
      <c r="F17570" s="5"/>
      <c r="G17570" s="5" t="str">
        <f>"ENTEROPORT PLUS"</f>
        <v>ENTEROPORT PLUS</v>
      </c>
    </row>
    <row r="17571" spans="1:7" ht="58.5" customHeight="1" x14ac:dyDescent="0.25">
      <c r="A17571" s="5" t="str">
        <f>"H0034740"</f>
        <v>H0034740</v>
      </c>
      <c r="B17571" s="5" t="str">
        <f t="shared" si="901"/>
        <v>BOMBA DE NUTRICION (DONACION)</v>
      </c>
      <c r="C17571" s="6">
        <v>5850000</v>
      </c>
      <c r="D17571" s="5" t="s">
        <v>124</v>
      </c>
      <c r="E17571" s="5" t="str">
        <f t="shared" ref="E17571:E17591" si="903">"ELEMENTOS EN BODEGA USADOS"</f>
        <v>ELEMENTOS EN BODEGA USADOS</v>
      </c>
      <c r="F17571" s="5"/>
      <c r="G17571" s="5"/>
    </row>
    <row r="17572" spans="1:7" ht="58.5" customHeight="1" x14ac:dyDescent="0.25">
      <c r="A17572" s="5" t="str">
        <f>"H0034743"</f>
        <v>H0034743</v>
      </c>
      <c r="B17572" s="5" t="str">
        <f>"DESFIBRILADOR (DONACION)"</f>
        <v>DESFIBRILADOR (DONACION)</v>
      </c>
      <c r="C17572" s="6">
        <v>25000000</v>
      </c>
      <c r="D17572" s="5" t="s">
        <v>123</v>
      </c>
      <c r="E17572" s="5" t="str">
        <f t="shared" si="903"/>
        <v>ELEMENTOS EN BODEGA USADOS</v>
      </c>
      <c r="F17572" s="5"/>
      <c r="G17572" s="5"/>
    </row>
    <row r="17573" spans="1:7" ht="58.5" customHeight="1" x14ac:dyDescent="0.25">
      <c r="A17573" s="5" t="str">
        <f>"H0034744"</f>
        <v>H0034744</v>
      </c>
      <c r="B17573" s="5" t="str">
        <f>"ELECTROCARDIOGRAFO (DONACION)"</f>
        <v>ELECTROCARDIOGRAFO (DONACION)</v>
      </c>
      <c r="C17573" s="6">
        <v>5300000</v>
      </c>
      <c r="D17573" s="5" t="s">
        <v>123</v>
      </c>
      <c r="E17573" s="5" t="str">
        <f t="shared" si="903"/>
        <v>ELEMENTOS EN BODEGA USADOS</v>
      </c>
      <c r="F17573" s="5"/>
      <c r="G17573" s="5"/>
    </row>
    <row r="17574" spans="1:7" ht="58.5" customHeight="1" x14ac:dyDescent="0.25">
      <c r="A17574" s="5" t="str">
        <f>"H0034746"</f>
        <v>H0034746</v>
      </c>
      <c r="B17574" s="5" t="str">
        <f>"ELECTROCARDIOGRAFO (DONACION)"</f>
        <v>ELECTROCARDIOGRAFO (DONACION)</v>
      </c>
      <c r="C17574" s="6">
        <v>5300000</v>
      </c>
      <c r="D17574" s="5" t="s">
        <v>123</v>
      </c>
      <c r="E17574" s="5" t="str">
        <f t="shared" si="903"/>
        <v>ELEMENTOS EN BODEGA USADOS</v>
      </c>
      <c r="F17574" s="5"/>
      <c r="G17574" s="5"/>
    </row>
    <row r="17575" spans="1:7" ht="58.5" customHeight="1" x14ac:dyDescent="0.25">
      <c r="A17575" s="5" t="str">
        <f>"H0034794"</f>
        <v>H0034794</v>
      </c>
      <c r="B17575" s="5" t="str">
        <f>"CARRO DE PARO (DONACION)"</f>
        <v>CARRO DE PARO (DONACION)</v>
      </c>
      <c r="C17575" s="6">
        <v>2164799</v>
      </c>
      <c r="D17575" s="5" t="s">
        <v>123</v>
      </c>
      <c r="E17575" s="5" t="str">
        <f t="shared" si="903"/>
        <v>ELEMENTOS EN BODEGA USADOS</v>
      </c>
      <c r="F17575" s="5"/>
      <c r="G17575" s="5"/>
    </row>
    <row r="17576" spans="1:7" ht="58.5" customHeight="1" x14ac:dyDescent="0.25">
      <c r="A17576" s="5" t="str">
        <f>"H0034803"</f>
        <v>H0034803</v>
      </c>
      <c r="B17576" s="5" t="str">
        <f>"succionador (DONACION)"</f>
        <v>succionador (DONACION)</v>
      </c>
      <c r="C17576" s="6">
        <v>6216000</v>
      </c>
      <c r="D17576" s="5" t="s">
        <v>123</v>
      </c>
      <c r="E17576" s="5" t="str">
        <f t="shared" si="903"/>
        <v>ELEMENTOS EN BODEGA USADOS</v>
      </c>
      <c r="F17576" s="5"/>
      <c r="G17576" s="5"/>
    </row>
    <row r="17577" spans="1:7" ht="58.5" customHeight="1" x14ac:dyDescent="0.25">
      <c r="A17577" s="5" t="str">
        <f>"H0034804"</f>
        <v>H0034804</v>
      </c>
      <c r="B17577" s="5" t="str">
        <f>"succionador (DONACION)"</f>
        <v>succionador (DONACION)</v>
      </c>
      <c r="C17577" s="6">
        <v>6216000</v>
      </c>
      <c r="D17577" s="5" t="s">
        <v>123</v>
      </c>
      <c r="E17577" s="5" t="str">
        <f t="shared" si="903"/>
        <v>ELEMENTOS EN BODEGA USADOS</v>
      </c>
      <c r="F17577" s="5"/>
      <c r="G17577" s="5"/>
    </row>
    <row r="17578" spans="1:7" ht="58.5" customHeight="1" x14ac:dyDescent="0.25">
      <c r="A17578" s="5" t="str">
        <f>"H0034807"</f>
        <v>H0034807</v>
      </c>
      <c r="B17578" s="5" t="str">
        <f>"succionador (DONACION)"</f>
        <v>succionador (DONACION)</v>
      </c>
      <c r="C17578" s="6">
        <v>6216000</v>
      </c>
      <c r="D17578" s="5" t="s">
        <v>123</v>
      </c>
      <c r="E17578" s="5" t="str">
        <f t="shared" si="903"/>
        <v>ELEMENTOS EN BODEGA USADOS</v>
      </c>
      <c r="F17578" s="5"/>
      <c r="G17578" s="5"/>
    </row>
    <row r="17579" spans="1:7" ht="58.5" customHeight="1" x14ac:dyDescent="0.25">
      <c r="A17579" s="5" t="str">
        <f>"H0034812"</f>
        <v>H0034812</v>
      </c>
      <c r="B17579" s="5" t="str">
        <f>"succionador (DONACION)"</f>
        <v>succionador (DONACION)</v>
      </c>
      <c r="C17579" s="6">
        <v>6216000</v>
      </c>
      <c r="D17579" s="5" t="s">
        <v>123</v>
      </c>
      <c r="E17579" s="5" t="str">
        <f t="shared" si="903"/>
        <v>ELEMENTOS EN BODEGA USADOS</v>
      </c>
      <c r="F17579" s="5"/>
      <c r="G17579" s="5"/>
    </row>
    <row r="17580" spans="1:7" ht="58.5" customHeight="1" x14ac:dyDescent="0.25">
      <c r="A17580" s="5" t="str">
        <f>"H0034823"</f>
        <v>H0034823</v>
      </c>
      <c r="B17580" s="5" t="str">
        <f>"Nebulizador para desinfección ultrasonido"</f>
        <v>Nebulizador para desinfección ultrasonido</v>
      </c>
      <c r="C17580" s="6">
        <v>2400000</v>
      </c>
      <c r="D17580" s="5" t="s">
        <v>21</v>
      </c>
      <c r="E17580" s="5" t="str">
        <f t="shared" si="903"/>
        <v>ELEMENTOS EN BODEGA USADOS</v>
      </c>
      <c r="F17580" s="5"/>
      <c r="G17580" s="5"/>
    </row>
    <row r="17581" spans="1:7" ht="58.5" customHeight="1" x14ac:dyDescent="0.25">
      <c r="A17581" s="5" t="str">
        <f>"H0034824"</f>
        <v>H0034824</v>
      </c>
      <c r="B17581" s="5" t="str">
        <f>"Nebulizador para desinfección ultrasonido"</f>
        <v>Nebulizador para desinfección ultrasonido</v>
      </c>
      <c r="C17581" s="6">
        <v>2400000</v>
      </c>
      <c r="D17581" s="5" t="s">
        <v>21</v>
      </c>
      <c r="E17581" s="5" t="str">
        <f t="shared" si="903"/>
        <v>ELEMENTOS EN BODEGA USADOS</v>
      </c>
      <c r="F17581" s="5"/>
      <c r="G17581" s="5"/>
    </row>
    <row r="17582" spans="1:7" ht="58.5" customHeight="1" x14ac:dyDescent="0.25">
      <c r="A17582" s="5" t="str">
        <f>"H0035152"</f>
        <v>H0035152</v>
      </c>
      <c r="B17582" s="5" t="str">
        <f>"CONCENTRADOR DE OXIGENO (DONACION)"</f>
        <v>CONCENTRADOR DE OXIGENO (DONACION)</v>
      </c>
      <c r="C17582" s="6">
        <v>3209898</v>
      </c>
      <c r="D17582" s="5" t="s">
        <v>125</v>
      </c>
      <c r="E17582" s="5" t="str">
        <f t="shared" si="903"/>
        <v>ELEMENTOS EN BODEGA USADOS</v>
      </c>
      <c r="F17582" s="5"/>
      <c r="G17582" s="5"/>
    </row>
    <row r="17583" spans="1:7" ht="58.5" customHeight="1" x14ac:dyDescent="0.25">
      <c r="A17583" s="5" t="str">
        <f>"H0035153"</f>
        <v>H0035153</v>
      </c>
      <c r="B17583" s="5" t="str">
        <f>"CONCENTRADOR DE OXIGENO (DONACION)"</f>
        <v>CONCENTRADOR DE OXIGENO (DONACION)</v>
      </c>
      <c r="C17583" s="6">
        <v>3209898</v>
      </c>
      <c r="D17583" s="5" t="s">
        <v>125</v>
      </c>
      <c r="E17583" s="5" t="str">
        <f t="shared" si="903"/>
        <v>ELEMENTOS EN BODEGA USADOS</v>
      </c>
      <c r="F17583" s="5"/>
      <c r="G17583" s="5"/>
    </row>
    <row r="17584" spans="1:7" ht="58.5" customHeight="1" x14ac:dyDescent="0.25">
      <c r="A17584" s="5" t="str">
        <f>"H0035154"</f>
        <v>H0035154</v>
      </c>
      <c r="B17584" s="5" t="str">
        <f>"CONCENTRADOR DE OXIGENO (DONACION)"</f>
        <v>CONCENTRADOR DE OXIGENO (DONACION)</v>
      </c>
      <c r="C17584" s="6">
        <v>3209898</v>
      </c>
      <c r="D17584" s="5" t="s">
        <v>125</v>
      </c>
      <c r="E17584" s="5" t="str">
        <f t="shared" si="903"/>
        <v>ELEMENTOS EN BODEGA USADOS</v>
      </c>
      <c r="F17584" s="5"/>
      <c r="G17584" s="5"/>
    </row>
    <row r="17585" spans="1:7" ht="58.5" customHeight="1" x14ac:dyDescent="0.25">
      <c r="A17585" s="5" t="str">
        <f>"H0035155"</f>
        <v>H0035155</v>
      </c>
      <c r="B17585" s="5" t="str">
        <f>"CONCENTRADOR DE OXIGENO (DONACION)"</f>
        <v>CONCENTRADOR DE OXIGENO (DONACION)</v>
      </c>
      <c r="C17585" s="6">
        <v>3209898</v>
      </c>
      <c r="D17585" s="5" t="s">
        <v>125</v>
      </c>
      <c r="E17585" s="5" t="str">
        <f t="shared" si="903"/>
        <v>ELEMENTOS EN BODEGA USADOS</v>
      </c>
      <c r="F17585" s="5"/>
      <c r="G17585" s="5"/>
    </row>
    <row r="17586" spans="1:7" ht="58.5" customHeight="1" x14ac:dyDescent="0.25">
      <c r="A17586" s="5" t="str">
        <f>"H0035304"</f>
        <v>H0035304</v>
      </c>
      <c r="B17586" s="5" t="str">
        <f>"AIRE ACONDICIONADO TIPO TECHO DE 40.000 BTU MARCA LG NO CONTIENE KIT DE TUBERIA"</f>
        <v>AIRE ACONDICIONADO TIPO TECHO DE 40.000 BTU MARCA LG NO CONTIENE KIT DE TUBERIA</v>
      </c>
      <c r="C17586" s="6">
        <v>7095269</v>
      </c>
      <c r="D17586" s="5" t="s">
        <v>158</v>
      </c>
      <c r="E17586" s="5" t="str">
        <f t="shared" si="903"/>
        <v>ELEMENTOS EN BODEGA USADOS</v>
      </c>
      <c r="F17586" s="5"/>
      <c r="G17586" s="5" t="str">
        <f>"AVNU406M1A4"</f>
        <v>AVNU406M1A4</v>
      </c>
    </row>
    <row r="17587" spans="1:7" ht="58.5" customHeight="1" x14ac:dyDescent="0.25">
      <c r="A17587" s="5" t="str">
        <f>"H0036510"</f>
        <v>H0036510</v>
      </c>
      <c r="B17587" s="5" t="str">
        <f>"ASPIRADOR DE SECRECIONES"</f>
        <v>ASPIRADOR DE SECRECIONES</v>
      </c>
      <c r="C17587" s="6">
        <v>645000</v>
      </c>
      <c r="D17587" s="5" t="s">
        <v>132</v>
      </c>
      <c r="E17587" s="5" t="str">
        <f t="shared" si="903"/>
        <v>ELEMENTOS EN BODEGA USADOS</v>
      </c>
      <c r="F17587" s="5"/>
      <c r="G17587" s="5"/>
    </row>
    <row r="17588" spans="1:7" ht="58.5" customHeight="1" x14ac:dyDescent="0.25">
      <c r="A17588" s="5" t="str">
        <f>"H0036511"</f>
        <v>H0036511</v>
      </c>
      <c r="B17588" s="5" t="str">
        <f>"ASPIRADOR DE SECRECIONES"</f>
        <v>ASPIRADOR DE SECRECIONES</v>
      </c>
      <c r="C17588" s="6">
        <v>645000</v>
      </c>
      <c r="D17588" s="5" t="s">
        <v>132</v>
      </c>
      <c r="E17588" s="5" t="str">
        <f t="shared" si="903"/>
        <v>ELEMENTOS EN BODEGA USADOS</v>
      </c>
      <c r="F17588" s="5"/>
      <c r="G17588" s="5"/>
    </row>
    <row r="17589" spans="1:7" ht="58.5" customHeight="1" x14ac:dyDescent="0.25">
      <c r="A17589" s="5" t="str">
        <f>"H0036897"</f>
        <v>H0036897</v>
      </c>
      <c r="B17589" s="5" t="str">
        <f>"AIRE ACONDICIONADO TIPO MINISPLIT CAPACIDAD 18.000 BTU TECNOLOGIA INVERTER DUAL"</f>
        <v>AIRE ACONDICIONADO TIPO MINISPLIT CAPACIDAD 18.000 BTU TECNOLOGIA INVERTER DUAL</v>
      </c>
      <c r="C17589" s="6">
        <v>3900000</v>
      </c>
      <c r="D17589" s="5" t="s">
        <v>28</v>
      </c>
      <c r="E17589" s="5" t="str">
        <f t="shared" si="903"/>
        <v>ELEMENTOS EN BODEGA USADOS</v>
      </c>
      <c r="F17589" s="5"/>
      <c r="G17589" s="5"/>
    </row>
    <row r="17590" spans="1:7" ht="58.5" customHeight="1" x14ac:dyDescent="0.25">
      <c r="A17590" s="5" t="str">
        <f>"H0037444"</f>
        <v>H0037444</v>
      </c>
      <c r="B17590" s="5" t="str">
        <f>"AIRE ACONDICIONADO TIPO MINISPLIT CAPACIDAD 24.000 BTU TECNOLOGIA INVERTER DUAL"</f>
        <v>AIRE ACONDICIONADO TIPO MINISPLIT CAPACIDAD 24.000 BTU TECNOLOGIA INVERTER DUAL</v>
      </c>
      <c r="C17590" s="6">
        <v>5848909.5300000003</v>
      </c>
      <c r="D17590" s="5" t="s">
        <v>202</v>
      </c>
      <c r="E17590" s="5" t="str">
        <f t="shared" si="903"/>
        <v>ELEMENTOS EN BODEGA USADOS</v>
      </c>
      <c r="F17590" s="5"/>
      <c r="G17590" s="5"/>
    </row>
    <row r="17591" spans="1:7" ht="58.5" customHeight="1" x14ac:dyDescent="0.25">
      <c r="A17591" s="5" t="str">
        <f>"V000011"</f>
        <v>V000011</v>
      </c>
      <c r="B17591" s="5" t="str">
        <f>"VENTILADOR MECÁNICO. Paciente &gt; 1kg. Filtro entrada aire. 35 a 65 psi. Modos A/C, PS, CPAP- PEEP, BLEVEL, APRV, PAV, VV+, VC+ / VS, VS+. Bateria 3 h, Carro."</f>
        <v>VENTILADOR MECÁNICO. Paciente &gt; 1kg. Filtro entrada aire. 35 a 65 psi. Modos A/C, PS, CPAP- PEEP, BLEVEL, APRV, PAV, VV+, VC+ / VS, VS+. Bateria 3 h, Carro.</v>
      </c>
      <c r="C17591" s="6">
        <v>88970000</v>
      </c>
      <c r="D17591" s="5" t="s">
        <v>821</v>
      </c>
      <c r="E17591" s="5" t="str">
        <f t="shared" si="903"/>
        <v>ELEMENTOS EN BODEGA USADOS</v>
      </c>
      <c r="F17591" s="5"/>
      <c r="G17591" s="5"/>
    </row>
    <row r="17592" spans="1:7" ht="58.5" customHeight="1" x14ac:dyDescent="0.25">
      <c r="A17592" s="5" t="str">
        <f>"H0009571"</f>
        <v>H0009571</v>
      </c>
      <c r="B17592" s="5" t="str">
        <f>"NEVERA 3 PIES (84LT)"</f>
        <v>NEVERA 3 PIES (84LT)</v>
      </c>
      <c r="C17592" s="6">
        <v>123375</v>
      </c>
      <c r="D17592" s="5"/>
      <c r="E17592" s="5" t="str">
        <f t="shared" ref="E17592:E17604" si="904">"SINDICATO-ANTHOC"</f>
        <v>SINDICATO-ANTHOC</v>
      </c>
      <c r="F17592" s="5" t="str">
        <f>"Descripcion: NEVERA HACEB Estado: Bueno Placa anterior: 000006839 Material: METAL Color: BEIGE Referencia:  Observacion:  Placa padre: Tipo adquisicion: Entidad"</f>
        <v>Descripcion: NEVERA HACEB Estado: Bueno Placa anterior: 000006839 Material: METAL Color: BEIGE Referencia:  Observacion:  Placa padre: Tipo adquisicion: Entidad</v>
      </c>
      <c r="G17592" s="5"/>
    </row>
    <row r="17593" spans="1:7" ht="58.5" customHeight="1" x14ac:dyDescent="0.25">
      <c r="A17593" s="5" t="str">
        <f>"H0028762"</f>
        <v>H0028762</v>
      </c>
      <c r="B17593" s="5" t="str">
        <f t="shared" ref="B17593:B17604" si="905">"SILLA HERGONOMICA CON SISTEMA HIDRAULICO"</f>
        <v>SILLA HERGONOMICA CON SISTEMA HIDRAULICO</v>
      </c>
      <c r="C17593" s="6">
        <v>174900</v>
      </c>
      <c r="D17593" s="5" t="s">
        <v>39</v>
      </c>
      <c r="E17593" s="5" t="str">
        <f t="shared" si="904"/>
        <v>SINDICATO-ANTHOC</v>
      </c>
      <c r="F17593" s="5"/>
      <c r="G17593" s="5"/>
    </row>
    <row r="17594" spans="1:7" ht="58.5" customHeight="1" x14ac:dyDescent="0.25">
      <c r="A17594" s="5" t="str">
        <f>"H0028767"</f>
        <v>H0028767</v>
      </c>
      <c r="B17594" s="5" t="str">
        <f t="shared" si="905"/>
        <v>SILLA HERGONOMICA CON SISTEMA HIDRAULICO</v>
      </c>
      <c r="C17594" s="6">
        <v>174900</v>
      </c>
      <c r="D17594" s="5" t="s">
        <v>39</v>
      </c>
      <c r="E17594" s="5" t="str">
        <f t="shared" si="904"/>
        <v>SINDICATO-ANTHOC</v>
      </c>
      <c r="F17594" s="5"/>
      <c r="G17594" s="5"/>
    </row>
    <row r="17595" spans="1:7" ht="58.5" customHeight="1" x14ac:dyDescent="0.25">
      <c r="A17595" s="5" t="str">
        <f>"H0028835"</f>
        <v>H0028835</v>
      </c>
      <c r="B17595" s="5" t="str">
        <f t="shared" si="905"/>
        <v>SILLA HERGONOMICA CON SISTEMA HIDRAULICO</v>
      </c>
      <c r="C17595" s="6">
        <v>174900</v>
      </c>
      <c r="D17595" s="5" t="s">
        <v>40</v>
      </c>
      <c r="E17595" s="5" t="str">
        <f t="shared" si="904"/>
        <v>SINDICATO-ANTHOC</v>
      </c>
      <c r="F17595" s="5"/>
      <c r="G17595" s="5"/>
    </row>
    <row r="17596" spans="1:7" ht="58.5" customHeight="1" x14ac:dyDescent="0.25">
      <c r="A17596" s="5" t="str">
        <f>"H0028907"</f>
        <v>H0028907</v>
      </c>
      <c r="B17596" s="5" t="str">
        <f t="shared" si="905"/>
        <v>SILLA HERGONOMICA CON SISTEMA HIDRAULICO</v>
      </c>
      <c r="C17596" s="6">
        <v>174900</v>
      </c>
      <c r="D17596" s="5" t="s">
        <v>40</v>
      </c>
      <c r="E17596" s="5" t="str">
        <f t="shared" si="904"/>
        <v>SINDICATO-ANTHOC</v>
      </c>
      <c r="F17596" s="5"/>
      <c r="G17596" s="5"/>
    </row>
    <row r="17597" spans="1:7" ht="58.5" customHeight="1" x14ac:dyDescent="0.25">
      <c r="A17597" s="5" t="str">
        <f>"H0028938"</f>
        <v>H0028938</v>
      </c>
      <c r="B17597" s="5" t="str">
        <f t="shared" si="905"/>
        <v>SILLA HERGONOMICA CON SISTEMA HIDRAULICO</v>
      </c>
      <c r="C17597" s="6">
        <v>174900</v>
      </c>
      <c r="D17597" s="5" t="s">
        <v>40</v>
      </c>
      <c r="E17597" s="5" t="str">
        <f t="shared" si="904"/>
        <v>SINDICATO-ANTHOC</v>
      </c>
      <c r="F17597" s="5"/>
      <c r="G17597" s="5"/>
    </row>
    <row r="17598" spans="1:7" ht="58.5" customHeight="1" x14ac:dyDescent="0.25">
      <c r="A17598" s="5" t="str">
        <f>"H0028959"</f>
        <v>H0028959</v>
      </c>
      <c r="B17598" s="5" t="str">
        <f t="shared" si="905"/>
        <v>SILLA HERGONOMICA CON SISTEMA HIDRAULICO</v>
      </c>
      <c r="C17598" s="6">
        <v>174900</v>
      </c>
      <c r="D17598" s="5" t="s">
        <v>40</v>
      </c>
      <c r="E17598" s="5" t="str">
        <f t="shared" si="904"/>
        <v>SINDICATO-ANTHOC</v>
      </c>
      <c r="F17598" s="5"/>
      <c r="G17598" s="5"/>
    </row>
    <row r="17599" spans="1:7" ht="58.5" customHeight="1" x14ac:dyDescent="0.25">
      <c r="A17599" s="5" t="str">
        <f>"H0028974"</f>
        <v>H0028974</v>
      </c>
      <c r="B17599" s="5" t="str">
        <f t="shared" si="905"/>
        <v>SILLA HERGONOMICA CON SISTEMA HIDRAULICO</v>
      </c>
      <c r="C17599" s="6">
        <v>174900</v>
      </c>
      <c r="D17599" s="5" t="s">
        <v>40</v>
      </c>
      <c r="E17599" s="5" t="str">
        <f t="shared" si="904"/>
        <v>SINDICATO-ANTHOC</v>
      </c>
      <c r="F17599" s="5"/>
      <c r="G17599" s="5"/>
    </row>
    <row r="17600" spans="1:7" ht="58.5" customHeight="1" x14ac:dyDescent="0.25">
      <c r="A17600" s="5" t="str">
        <f>"H0029270"</f>
        <v>H0029270</v>
      </c>
      <c r="B17600" s="5" t="str">
        <f t="shared" si="905"/>
        <v>SILLA HERGONOMICA CON SISTEMA HIDRAULICO</v>
      </c>
      <c r="C17600" s="6">
        <v>174900</v>
      </c>
      <c r="D17600" s="5" t="s">
        <v>625</v>
      </c>
      <c r="E17600" s="5" t="str">
        <f t="shared" si="904"/>
        <v>SINDICATO-ANTHOC</v>
      </c>
      <c r="F17600" s="5"/>
      <c r="G17600" s="5"/>
    </row>
    <row r="17601" spans="1:7" ht="58.5" customHeight="1" x14ac:dyDescent="0.25">
      <c r="A17601" s="5" t="str">
        <f>"H0029280"</f>
        <v>H0029280</v>
      </c>
      <c r="B17601" s="5" t="str">
        <f t="shared" si="905"/>
        <v>SILLA HERGONOMICA CON SISTEMA HIDRAULICO</v>
      </c>
      <c r="C17601" s="6">
        <v>174900</v>
      </c>
      <c r="D17601" s="5" t="s">
        <v>89</v>
      </c>
      <c r="E17601" s="5" t="str">
        <f t="shared" si="904"/>
        <v>SINDICATO-ANTHOC</v>
      </c>
      <c r="F17601" s="5"/>
      <c r="G17601" s="5"/>
    </row>
    <row r="17602" spans="1:7" ht="58.5" customHeight="1" x14ac:dyDescent="0.25">
      <c r="A17602" s="5" t="str">
        <f>"h0029281"</f>
        <v>h0029281</v>
      </c>
      <c r="B17602" s="5" t="str">
        <f t="shared" si="905"/>
        <v>SILLA HERGONOMICA CON SISTEMA HIDRAULICO</v>
      </c>
      <c r="C17602" s="6">
        <v>174900</v>
      </c>
      <c r="D17602" s="5" t="s">
        <v>89</v>
      </c>
      <c r="E17602" s="5" t="str">
        <f t="shared" si="904"/>
        <v>SINDICATO-ANTHOC</v>
      </c>
      <c r="F17602" s="5"/>
      <c r="G17602" s="5"/>
    </row>
    <row r="17603" spans="1:7" ht="58.5" customHeight="1" x14ac:dyDescent="0.25">
      <c r="A17603" s="5" t="str">
        <f>"h0029282"</f>
        <v>h0029282</v>
      </c>
      <c r="B17603" s="5" t="str">
        <f t="shared" si="905"/>
        <v>SILLA HERGONOMICA CON SISTEMA HIDRAULICO</v>
      </c>
      <c r="C17603" s="6">
        <v>174900</v>
      </c>
      <c r="D17603" s="5" t="s">
        <v>89</v>
      </c>
      <c r="E17603" s="5" t="str">
        <f t="shared" si="904"/>
        <v>SINDICATO-ANTHOC</v>
      </c>
      <c r="F17603" s="5"/>
      <c r="G17603" s="5"/>
    </row>
    <row r="17604" spans="1:7" ht="58.5" customHeight="1" x14ac:dyDescent="0.25">
      <c r="A17604" s="5" t="str">
        <f>"H0029380"</f>
        <v>H0029380</v>
      </c>
      <c r="B17604" s="5" t="str">
        <f t="shared" si="905"/>
        <v>SILLA HERGONOMICA CON SISTEMA HIDRAULICO</v>
      </c>
      <c r="C17604" s="6">
        <v>174900</v>
      </c>
      <c r="D17604" s="5" t="s">
        <v>89</v>
      </c>
      <c r="E17604" s="5" t="str">
        <f t="shared" si="904"/>
        <v>SINDICATO-ANTHOC</v>
      </c>
      <c r="F17604" s="5"/>
      <c r="G17604" s="5"/>
    </row>
    <row r="17605" spans="1:7" ht="58.5" customHeight="1" x14ac:dyDescent="0.25">
      <c r="A17605" s="5" t="str">
        <f>"B0005000"</f>
        <v>B0005000</v>
      </c>
      <c r="B17605" s="5" t="str">
        <f>"LICENCIA OFFICE HOME AND BUSINEES"</f>
        <v>LICENCIA OFFICE HOME AND BUSINEES</v>
      </c>
      <c r="C17605" s="6">
        <v>440800</v>
      </c>
      <c r="D17605" s="5" t="s">
        <v>1</v>
      </c>
      <c r="E17605" s="5" t="str">
        <f t="shared" ref="E17605:E17632" si="906">"PRESUPUESTO-JULIO CESAR DUARTE"</f>
        <v>PRESUPUESTO-JULIO CESAR DUARTE</v>
      </c>
      <c r="F17605" s="5" t="str">
        <f>"Descripcion: LICENCIA OFFICE HOME AND BUSIMESS 2013 Estado: Bueno Placa anterior: 000030594 Material:  Color:  Referencia:  Observacion:  Placa padre: Tipo adquisicion: Entidad"</f>
        <v>Descripcion: LICENCIA OFFICE HOME AND BUSIMESS 2013 Estado: Bueno Placa anterior: 000030594 Material:  Color:  Referencia:  Observacion:  Placa padre: Tipo adquisicion: Entidad</v>
      </c>
      <c r="G17605" s="5"/>
    </row>
    <row r="17606" spans="1:7" ht="58.5" customHeight="1" x14ac:dyDescent="0.25">
      <c r="A17606" s="5" t="str">
        <f>"H0007079"</f>
        <v>H0007079</v>
      </c>
      <c r="B17606" s="5" t="str">
        <f>"ESCRITORIOS LINEAL SUPERFICIE ENCHAPADA"</f>
        <v>ESCRITORIOS LINEAL SUPERFICIE ENCHAPADA</v>
      </c>
      <c r="C17606" s="6">
        <v>39298.699999999997</v>
      </c>
      <c r="D17606" s="5"/>
      <c r="E17606" s="5" t="str">
        <f t="shared" si="906"/>
        <v>PRESUPUESTO-JULIO CESAR DUARTE</v>
      </c>
      <c r="F17606" s="5" t="str">
        <f>"Descripcion: ESCRITORIO EN MADERA TIPO MINISTRO LINEA 2000SIN GAVETASENCHAPADO A LA MITAD EN CUERO CON VIDRIO DE 80X75 77X180X70 Estado: Excelente Placa anterior: 000000171 Material: MADERA Color:  Referencia:  Observacion:  Placa padre: Tipo adquisicion:"&amp; " Entidad"</f>
        <v>Descripcion: ESCRITORIO EN MADERA TIPO MINISTRO LINEA 2000SIN GAVETASENCHAPADO A LA MITAD EN CUERO CON VIDRIO DE 80X75 77X180X70 Estado: Excelente Placa anterior: 000000171 Material: MADERA Color:  Referencia:  Observacion:  Placa padre: Tipo adquisicion: Entidad</v>
      </c>
      <c r="G17606" s="5"/>
    </row>
    <row r="17607" spans="1:7" ht="58.5" customHeight="1" x14ac:dyDescent="0.25">
      <c r="A17607" s="5" t="str">
        <f>"H0011898"</f>
        <v>H0011898</v>
      </c>
      <c r="B17607" s="5" t="str">
        <f>"MESA (CARRO) DE CURACIONES"</f>
        <v>MESA (CARRO) DE CURACIONES</v>
      </c>
      <c r="C17607" s="6">
        <v>7800</v>
      </c>
      <c r="D17607" s="5"/>
      <c r="E17607" s="5" t="str">
        <f t="shared" si="906"/>
        <v>PRESUPUESTO-JULIO CESAR DUARTE</v>
      </c>
      <c r="F17607" s="5" t="str">
        <f>"Descripcion: MESA AUXILIAR TIPO CARRO C/BARANDAS Y RODACHINES Estado: Bueno Placa anterior: 000012513 Material: METALICO Color: GRIS Referencia:  Observacion:  Placa padre: Tipo adquisicion: Entidad"</f>
        <v>Descripcion: MESA AUXILIAR TIPO CARRO C/BARANDAS Y RODACHINES Estado: Bueno Placa anterior: 000012513 Material: METALICO Color: GRIS Referencia:  Observacion:  Placa padre: Tipo adquisicion: Entidad</v>
      </c>
      <c r="G17607" s="5"/>
    </row>
    <row r="17608" spans="1:7" ht="58.5" customHeight="1" x14ac:dyDescent="0.25">
      <c r="A17608" s="5" t="str">
        <f>"H0017950"</f>
        <v>H0017950</v>
      </c>
      <c r="B17608" s="5" t="str">
        <f>"IMPRESORA MATRIZ DE PUNTOS"</f>
        <v>IMPRESORA MATRIZ DE PUNTOS</v>
      </c>
      <c r="C17608" s="6">
        <v>1350000</v>
      </c>
      <c r="D17608" s="5"/>
      <c r="E17608" s="5" t="str">
        <f t="shared" si="906"/>
        <v>PRESUPUESTO-JULIO CESAR DUARTE</v>
      </c>
      <c r="F17608" s="5" t="str">
        <f>"Descripcion: IMPRESORA FX-890 MARCA EPSON Estado: Bueno Placa anterior: 000033584 Material: PASTA Color: GRIS Referencia: P361A Observacion:  Placa padre: Tipo adquisicion: Entidad"</f>
        <v>Descripcion: IMPRESORA FX-890 MARCA EPSON Estado: Bueno Placa anterior: 000033584 Material: PASTA Color: GRIS Referencia: P361A Observacion:  Placa padre: Tipo adquisicion: Entidad</v>
      </c>
      <c r="G17608" s="5" t="str">
        <f>"FX 890"</f>
        <v>FX 890</v>
      </c>
    </row>
    <row r="17609" spans="1:7" ht="58.5" customHeight="1" x14ac:dyDescent="0.25">
      <c r="A17609" s="5" t="str">
        <f>"H0017951"</f>
        <v>H0017951</v>
      </c>
      <c r="B17609" s="5" t="str">
        <f>"DISPENSADOR DE AGUA"</f>
        <v>DISPENSADOR DE AGUA</v>
      </c>
      <c r="C17609" s="6">
        <v>844828</v>
      </c>
      <c r="D17609" s="5"/>
      <c r="E17609" s="5" t="str">
        <f t="shared" si="906"/>
        <v>PRESUPUESTO-JULIO CESAR DUARTE</v>
      </c>
      <c r="F17609" s="5" t="str">
        <f>"Descripcion: NEVERA DISPENSADOR Estado: Bueno Placa anterior: 000033432 Material: METALICO Color: BLANCO Referencia:  Observacion:  Placa padre: Tipo adquisicion: Entidad"</f>
        <v>Descripcion: NEVERA DISPENSADOR Estado: Bueno Placa anterior: 000033432 Material: METALICO Color: BLANCO Referencia:  Observacion:  Placa padre: Tipo adquisicion: Entidad</v>
      </c>
      <c r="G17609" s="5"/>
    </row>
    <row r="17610" spans="1:7" ht="58.5" customHeight="1" x14ac:dyDescent="0.25">
      <c r="A17610" s="5" t="str">
        <f>"H0017999"</f>
        <v>H0017999</v>
      </c>
      <c r="B17610" s="5" t="str">
        <f>"ESTABILIZADOR  PARA COMPUTADOR"</f>
        <v>ESTABILIZADOR  PARA COMPUTADOR</v>
      </c>
      <c r="C17610" s="6">
        <v>92157.82</v>
      </c>
      <c r="D17610" s="5"/>
      <c r="E17610" s="5" t="str">
        <f t="shared" si="906"/>
        <v>PRESUPUESTO-JULIO CESAR DUARTE</v>
      </c>
      <c r="F17610" s="5" t="str">
        <f>"Descripcion: ESTABILIZADOR Estado: Bueno Placa anterior: 000001299 Material: METALICO Color: NEGRO Referencia:  Observacion: EL BIEN TIENE DOS PLACAS ANTERIORES  000028252 Y 000001299  FUNCIONARIO AUTORIZA SE CONCILIE CON PLACA 000001299 Placa padre: H001"&amp; "7997Tipo adquisicion: Entidad"</f>
        <v>Descripcion: ESTABILIZADOR Estado: Bueno Placa anterior: 000001299 Material: METALICO Color: NEGRO Referencia:  Observacion: EL BIEN TIENE DOS PLACAS ANTERIORES  000028252 Y 000001299  FUNCIONARIO AUTORIZA SE CONCILIE CON PLACA 000001299 Placa padre: H0017997Tipo adquisicion: Entidad</v>
      </c>
      <c r="G17610" s="5"/>
    </row>
    <row r="17611" spans="1:7" ht="58.5" customHeight="1" x14ac:dyDescent="0.25">
      <c r="A17611" s="5" t="str">
        <f>"H0018024"</f>
        <v>H0018024</v>
      </c>
      <c r="B17611" s="5" t="str">
        <f>"ESTABILIZADOR  PARA COMPUTADOR"</f>
        <v>ESTABILIZADOR  PARA COMPUTADOR</v>
      </c>
      <c r="C17611" s="6">
        <v>92157.82</v>
      </c>
      <c r="D17611" s="5"/>
      <c r="E17611" s="5" t="str">
        <f t="shared" si="906"/>
        <v>PRESUPUESTO-JULIO CESAR DUARTE</v>
      </c>
      <c r="F17611" s="5" t="str">
        <f>"Descripcion: ESTABILIZADOR Estado: Bueno Placa anterior: 000001300 Material: METALICO Color: GRIS Referencia:  Observacion:  Placa padre: H0018019Tipo adquisicion: Entidad"</f>
        <v>Descripcion: ESTABILIZADOR Estado: Bueno Placa anterior: 000001300 Material: METALICO Color: GRIS Referencia:  Observacion:  Placa padre: H0018019Tipo adquisicion: Entidad</v>
      </c>
      <c r="G17611" s="5"/>
    </row>
    <row r="17612" spans="1:7" ht="58.5" customHeight="1" x14ac:dyDescent="0.25">
      <c r="A17612" s="5" t="str">
        <f>"H0018026"</f>
        <v>H0018026</v>
      </c>
      <c r="B17612" s="5" t="str">
        <f>"IMPRESORA MATRIZ DE PUNTOS"</f>
        <v>IMPRESORA MATRIZ DE PUNTOS</v>
      </c>
      <c r="C17612" s="6">
        <v>1078800</v>
      </c>
      <c r="D17612" s="5"/>
      <c r="E17612" s="5" t="str">
        <f t="shared" si="906"/>
        <v>PRESUPUESTO-JULIO CESAR DUARTE</v>
      </c>
      <c r="F17612" s="5" t="str">
        <f>"Descripcion: IMPRESORA MATRIZ DE PUNTO Estado: Bueno Placa anterior: 000025912 Material: PASTA Color: GRIS Referencia:  Observacion:  Placa padre: Tipo adquisicion: Entidad"</f>
        <v>Descripcion: IMPRESORA MATRIZ DE PUNTO Estado: Bueno Placa anterior: 000025912 Material: PASTA Color: GRIS Referencia:  Observacion:  Placa padre: Tipo adquisicion: Entidad</v>
      </c>
      <c r="G17612" s="5" t="str">
        <f>"FX-890P361A"</f>
        <v>FX-890P361A</v>
      </c>
    </row>
    <row r="17613" spans="1:7" ht="58.5" customHeight="1" x14ac:dyDescent="0.25">
      <c r="A17613" s="5" t="str">
        <f>"H0018039"</f>
        <v>H0018039</v>
      </c>
      <c r="B17613" s="5" t="str">
        <f>"PUESTO DE TRABAJO EN L CON 3 GAVETAS"</f>
        <v>PUESTO DE TRABAJO EN L CON 3 GAVETAS</v>
      </c>
      <c r="C17613" s="6">
        <v>1334000</v>
      </c>
      <c r="D17613" s="5" t="s">
        <v>517</v>
      </c>
      <c r="E17613" s="5" t="str">
        <f t="shared" si="906"/>
        <v>PRESUPUESTO-JULIO CESAR DUARTE</v>
      </c>
      <c r="F17613" s="5" t="str">
        <f>"Descripcion: PUESTO DE TRABAJO EN L DE 1.50X1.50 (OFICINA DE PRESUPUESTO) CON SUPERFICIE DE 25 MM. CONTORNO PVC, ARCHIVADOR 2X1, FALDA Y PEDESTALES METALICOS, BASE CPU, PARA CABLE. Estado: Bueno Placa anterior: 000028992 Material: METALICO Y FORMICA Color"&amp; ": BEIS CON MARCO GRIS Y BASE METALICO  Referencia:  Observacion:  Placa padre: Tipo adquisicion: Entidad"</f>
        <v>Descripcion: PUESTO DE TRABAJO EN L DE 1.50X1.50 (OFICINA DE PRESUPUESTO) CON SUPERFICIE DE 25 MM. CONTORNO PVC, ARCHIVADOR 2X1, FALDA Y PEDESTALES METALICOS, BASE CPU, PARA CABLE. Estado: Bueno Placa anterior: 000028992 Material: METALICO Y FORMICA Color: BEIS CON MARCO GRIS Y BASE METALICO  Referencia:  Observacion:  Placa padre: Tipo adquisicion: Entidad</v>
      </c>
      <c r="G17613" s="5"/>
    </row>
    <row r="17614" spans="1:7" ht="58.5" customHeight="1" x14ac:dyDescent="0.25">
      <c r="A17614" s="5" t="str">
        <f>"H0018042"</f>
        <v>H0018042</v>
      </c>
      <c r="B17614" s="5" t="str">
        <f>"ESTABILIZADOR (REGULADOR) DE ENERGIA 1KW"</f>
        <v>ESTABILIZADOR (REGULADOR) DE ENERGIA 1KW</v>
      </c>
      <c r="C17614" s="6">
        <v>76895</v>
      </c>
      <c r="D17614" s="5"/>
      <c r="E17614" s="5" t="str">
        <f t="shared" si="906"/>
        <v>PRESUPUESTO-JULIO CESAR DUARTE</v>
      </c>
      <c r="F17614" s="5" t="str">
        <f>"Descripcion: ESTABILIZADOR Estado: Bueno Placa anterior: 000028257 Material: METALICO Color: BEIS Referencia:  Observacion:  Placa padre: H0018045Tipo adquisicion: Entidad"</f>
        <v>Descripcion: ESTABILIZADOR Estado: Bueno Placa anterior: 000028257 Material: METALICO Color: BEIS Referencia:  Observacion:  Placa padre: H0018045Tipo adquisicion: Entidad</v>
      </c>
      <c r="G17614" s="5"/>
    </row>
    <row r="17615" spans="1:7" ht="58.5" customHeight="1" x14ac:dyDescent="0.25">
      <c r="A17615" s="5" t="str">
        <f>"H0020772"</f>
        <v>H0020772</v>
      </c>
      <c r="B17615" s="5" t="str">
        <f>"SILLA INTERLOCUTORA (FIJA) SIN BRAZOS"</f>
        <v>SILLA INTERLOCUTORA (FIJA) SIN BRAZOS</v>
      </c>
      <c r="C17615" s="6">
        <v>6949.89</v>
      </c>
      <c r="D17615" s="5"/>
      <c r="E17615" s="5" t="str">
        <f t="shared" si="906"/>
        <v>PRESUPUESTO-JULIO CESAR DUARTE</v>
      </c>
      <c r="F17615" s="5" t="str">
        <f>"Descripcion:* SIN ESPALDAR* TAPIZADA EN CUERO COLOR GRIS* OXIDO Estado: Malo Placa anterior: 000005847 Material: METALICO  Color: GRIS Referencia:  Observacion: AUTORIZADO CONCILIAR EN CRUCE GENERAL Placa padre:  Tipo adquisicion : Entidad"</f>
        <v>Descripcion:* SIN ESPALDAR* TAPIZADA EN CUERO COLOR GRIS* OXIDO Estado: Malo Placa anterior: 000005847 Material: METALICO  Color: GRIS Referencia:  Observacion: AUTORIZADO CONCILIAR EN CRUCE GENERAL Placa padre:  Tipo adquisicion : Entidad</v>
      </c>
      <c r="G17615" s="5"/>
    </row>
    <row r="17616" spans="1:7" ht="58.5" customHeight="1" x14ac:dyDescent="0.25">
      <c r="A17616" s="5" t="str">
        <f>"H0022098"</f>
        <v>H0022098</v>
      </c>
      <c r="B1761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16" s="6">
        <v>241999.99</v>
      </c>
      <c r="D17616" s="5" t="s">
        <v>499</v>
      </c>
      <c r="E17616" s="5" t="str">
        <f t="shared" si="906"/>
        <v>PRESUPUESTO-JULIO CESAR DUARTE</v>
      </c>
      <c r="F17616" s="5"/>
      <c r="G17616" s="5"/>
    </row>
    <row r="17617" spans="1:7" ht="58.5" customHeight="1" x14ac:dyDescent="0.25">
      <c r="A17617" s="5" t="str">
        <f>"H0022099"</f>
        <v>H0022099</v>
      </c>
      <c r="B1761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17" s="6">
        <v>241999.99</v>
      </c>
      <c r="D17617" s="5" t="s">
        <v>499</v>
      </c>
      <c r="E17617" s="5" t="str">
        <f t="shared" si="906"/>
        <v>PRESUPUESTO-JULIO CESAR DUARTE</v>
      </c>
      <c r="F17617" s="5"/>
      <c r="G17617" s="5"/>
    </row>
    <row r="17618" spans="1:7" ht="58.5" customHeight="1" x14ac:dyDescent="0.25">
      <c r="A17618" s="5" t="str">
        <f>"H0022332"</f>
        <v>H0022332</v>
      </c>
      <c r="B17618" s="5" t="str">
        <f>"ESCRITORIO EN L -LINEA CUBE CON SEPARADOR - DIMENSIONES 1,50 ANCHOx 1,30 LARGO x 0,73 mts DE ALTO"</f>
        <v>ESCRITORIO EN L -LINEA CUBE CON SEPARADOR - DIMENSIONES 1,50 ANCHOx 1,30 LARGO x 0,73 mts DE ALTO</v>
      </c>
      <c r="C17618" s="6">
        <v>829400</v>
      </c>
      <c r="D17618" s="5" t="s">
        <v>740</v>
      </c>
      <c r="E17618" s="5" t="str">
        <f t="shared" si="906"/>
        <v>PRESUPUESTO-JULIO CESAR DUARTE</v>
      </c>
      <c r="F17618" s="5"/>
      <c r="G17618" s="5"/>
    </row>
    <row r="17619" spans="1:7" ht="58.5" customHeight="1" x14ac:dyDescent="0.25">
      <c r="A17619" s="5" t="str">
        <f>"H0024568"</f>
        <v>H0024568</v>
      </c>
      <c r="B1761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7619" s="6">
        <v>2600000</v>
      </c>
      <c r="D17619" s="5" t="s">
        <v>36</v>
      </c>
      <c r="E17619" s="5" t="str">
        <f t="shared" si="906"/>
        <v>PRESUPUESTO-JULIO CESAR DUARTE</v>
      </c>
      <c r="F17619" s="5"/>
      <c r="G17619" s="5"/>
    </row>
    <row r="17620" spans="1:7" ht="58.5" customHeight="1" x14ac:dyDescent="0.25">
      <c r="A17620" s="5" t="str">
        <f>"H0025458"</f>
        <v>H0025458</v>
      </c>
      <c r="B1762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620" s="6">
        <v>312156</v>
      </c>
      <c r="D17620" s="5" t="s">
        <v>10</v>
      </c>
      <c r="E17620" s="5" t="str">
        <f t="shared" si="906"/>
        <v>PRESUPUESTO-JULIO CESAR DUARTE</v>
      </c>
      <c r="F17620" s="5"/>
      <c r="G17620" s="5"/>
    </row>
    <row r="17621" spans="1:7" ht="58.5" customHeight="1" x14ac:dyDescent="0.25">
      <c r="A17621" s="5" t="str">
        <f>"H0025734"</f>
        <v>H0025734</v>
      </c>
      <c r="B17621" s="5" t="str">
        <f>"ESCANER DE ALTA VELOCIDAD 35 PPM"</f>
        <v>ESCANER DE ALTA VELOCIDAD 35 PPM</v>
      </c>
      <c r="C17621" s="6">
        <v>1666000</v>
      </c>
      <c r="D17621" s="5" t="s">
        <v>822</v>
      </c>
      <c r="E17621" s="5" t="str">
        <f t="shared" si="906"/>
        <v>PRESUPUESTO-JULIO CESAR DUARTE</v>
      </c>
      <c r="F17621" s="5"/>
      <c r="G17621" s="5"/>
    </row>
    <row r="17622" spans="1:7" ht="58.5" customHeight="1" x14ac:dyDescent="0.25">
      <c r="A17622" s="5" t="str">
        <f>"H0026805"</f>
        <v>H0026805</v>
      </c>
      <c r="B17622"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622" s="6">
        <v>3296300</v>
      </c>
      <c r="D17622" s="5" t="s">
        <v>37</v>
      </c>
      <c r="E17622" s="5" t="str">
        <f t="shared" si="906"/>
        <v>PRESUPUESTO-JULIO CESAR DUARTE</v>
      </c>
      <c r="F17622" s="5"/>
      <c r="G17622" s="5"/>
    </row>
    <row r="17623" spans="1:7" ht="58.5" customHeight="1" x14ac:dyDescent="0.25">
      <c r="A17623" s="5" t="str">
        <f>"H0027213"</f>
        <v>H0027213</v>
      </c>
      <c r="B1762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623" s="6">
        <v>2641800</v>
      </c>
      <c r="D17623" s="5" t="s">
        <v>38</v>
      </c>
      <c r="E17623" s="5" t="str">
        <f t="shared" si="906"/>
        <v>PRESUPUESTO-JULIO CESAR DUARTE</v>
      </c>
      <c r="F17623" s="5"/>
      <c r="G17623" s="5"/>
    </row>
    <row r="17624" spans="1:7" ht="58.5" customHeight="1" x14ac:dyDescent="0.25">
      <c r="A17624" s="5" t="str">
        <f>"H0027214"</f>
        <v>H0027214</v>
      </c>
      <c r="B1762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624" s="6">
        <v>2641800</v>
      </c>
      <c r="D17624" s="5" t="s">
        <v>38</v>
      </c>
      <c r="E17624" s="5" t="str">
        <f t="shared" si="906"/>
        <v>PRESUPUESTO-JULIO CESAR DUARTE</v>
      </c>
      <c r="F17624" s="5"/>
      <c r="G17624" s="5"/>
    </row>
    <row r="17625" spans="1:7" ht="58.5" customHeight="1" x14ac:dyDescent="0.25">
      <c r="A17625" s="5" t="str">
        <f>"H0029586"</f>
        <v>H0029586</v>
      </c>
      <c r="B1762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25" s="6">
        <v>252400.18</v>
      </c>
      <c r="D17625" s="5" t="s">
        <v>15</v>
      </c>
      <c r="E17625" s="5" t="str">
        <f t="shared" si="906"/>
        <v>PRESUPUESTO-JULIO CESAR DUARTE</v>
      </c>
      <c r="F17625" s="5"/>
      <c r="G17625" s="5"/>
    </row>
    <row r="17626" spans="1:7" ht="58.5" customHeight="1" x14ac:dyDescent="0.25">
      <c r="A17626" s="5" t="str">
        <f>"H0035976"</f>
        <v>H0035976</v>
      </c>
      <c r="B17626" s="5" t="str">
        <f>"SILLA GERENTE NIZA MEC. BASCULANTE SIN BRAZOS"</f>
        <v>SILLA GERENTE NIZA MEC. BASCULANTE SIN BRAZOS</v>
      </c>
      <c r="C17626" s="6">
        <v>654999.78</v>
      </c>
      <c r="D17626" s="5" t="s">
        <v>27</v>
      </c>
      <c r="E17626" s="5" t="str">
        <f t="shared" si="906"/>
        <v>PRESUPUESTO-JULIO CESAR DUARTE</v>
      </c>
      <c r="F17626" s="5"/>
      <c r="G17626" s="5"/>
    </row>
    <row r="17627" spans="1:7" ht="58.5" customHeight="1" x14ac:dyDescent="0.25">
      <c r="A17627" s="5" t="str">
        <f>"H0036531"</f>
        <v>H0036531</v>
      </c>
      <c r="B17627"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7627" s="6">
        <v>6307000</v>
      </c>
      <c r="D17627" s="5" t="s">
        <v>48</v>
      </c>
      <c r="E17627" s="5" t="str">
        <f t="shared" si="906"/>
        <v>PRESUPUESTO-JULIO CESAR DUARTE</v>
      </c>
      <c r="F17627" s="5"/>
      <c r="G17627" s="5" t="str">
        <f>"VZ4680G"</f>
        <v>VZ4680G</v>
      </c>
    </row>
    <row r="17628" spans="1:7" ht="58.5" customHeight="1" x14ac:dyDescent="0.25">
      <c r="A17628" s="5" t="str">
        <f>"H0037442"</f>
        <v>H0037442</v>
      </c>
      <c r="B17628" s="5" t="str">
        <f>"AIRE ACONDICIONADO TIPO MINISPLIT CAPACIDAD 24.000 BTU TECNOLOGIA INVERTER DUAL"</f>
        <v>AIRE ACONDICIONADO TIPO MINISPLIT CAPACIDAD 24.000 BTU TECNOLOGIA INVERTER DUAL</v>
      </c>
      <c r="C17628" s="6">
        <v>5848909.5300000003</v>
      </c>
      <c r="D17628" s="5" t="s">
        <v>202</v>
      </c>
      <c r="E17628" s="5" t="str">
        <f t="shared" si="906"/>
        <v>PRESUPUESTO-JULIO CESAR DUARTE</v>
      </c>
      <c r="F17628" s="5"/>
      <c r="G17628" s="5"/>
    </row>
    <row r="17629" spans="1:7" ht="58.5" customHeight="1" x14ac:dyDescent="0.25">
      <c r="A17629" s="5" t="str">
        <f>"H0037938"</f>
        <v>H0037938</v>
      </c>
      <c r="B17629" s="5" t="str">
        <f>"SILLA GERENTE NIZA MEC. BASCULANTE CON BRAZOS."</f>
        <v>SILLA GERENTE NIZA MEC. BASCULANTE CON BRAZOS.</v>
      </c>
      <c r="C17629" s="6">
        <v>710000.01</v>
      </c>
      <c r="D17629" s="5" t="s">
        <v>30</v>
      </c>
      <c r="E17629" s="5" t="str">
        <f t="shared" si="906"/>
        <v>PRESUPUESTO-JULIO CESAR DUARTE</v>
      </c>
      <c r="F17629" s="5"/>
      <c r="G17629" s="5"/>
    </row>
    <row r="17630" spans="1:7" ht="58.5" customHeight="1" x14ac:dyDescent="0.25">
      <c r="A17630" s="5" t="str">
        <f>"H0037939"</f>
        <v>H0037939</v>
      </c>
      <c r="B17630" s="5" t="str">
        <f>"SILLA GERENTE NIZA MEC. BASCULANTE CON BRAZOS."</f>
        <v>SILLA GERENTE NIZA MEC. BASCULANTE CON BRAZOS.</v>
      </c>
      <c r="C17630" s="6">
        <v>710000.01</v>
      </c>
      <c r="D17630" s="5" t="s">
        <v>30</v>
      </c>
      <c r="E17630" s="5" t="str">
        <f t="shared" si="906"/>
        <v>PRESUPUESTO-JULIO CESAR DUARTE</v>
      </c>
      <c r="F17630" s="5"/>
      <c r="G17630" s="5"/>
    </row>
    <row r="17631" spans="1:7" ht="58.5" customHeight="1" x14ac:dyDescent="0.25">
      <c r="A17631" s="5" t="str">
        <f>"H0037940"</f>
        <v>H0037940</v>
      </c>
      <c r="B17631" s="5" t="str">
        <f>"SILLA GERENTE NIZA MEC. BASCULANTE CON BRAZOS."</f>
        <v>SILLA GERENTE NIZA MEC. BASCULANTE CON BRAZOS.</v>
      </c>
      <c r="C17631" s="6">
        <v>710000.01</v>
      </c>
      <c r="D17631" s="5" t="s">
        <v>30</v>
      </c>
      <c r="E17631" s="5" t="str">
        <f t="shared" si="906"/>
        <v>PRESUPUESTO-JULIO CESAR DUARTE</v>
      </c>
      <c r="F17631" s="5"/>
      <c r="G17631" s="5"/>
    </row>
    <row r="17632" spans="1:7" ht="58.5" customHeight="1" x14ac:dyDescent="0.25">
      <c r="A17632" s="5" t="str">
        <f>"H0037941"</f>
        <v>H0037941</v>
      </c>
      <c r="B17632" s="5" t="str">
        <f>"SILLA GERENTE NIZA MEC. BASCULANTE CON BRAZOS."</f>
        <v>SILLA GERENTE NIZA MEC. BASCULANTE CON BRAZOS.</v>
      </c>
      <c r="C17632" s="6">
        <v>710000.01</v>
      </c>
      <c r="D17632" s="5" t="s">
        <v>30</v>
      </c>
      <c r="E17632" s="5" t="str">
        <f t="shared" si="906"/>
        <v>PRESUPUESTO-JULIO CESAR DUARTE</v>
      </c>
      <c r="F17632" s="5"/>
      <c r="G17632" s="5"/>
    </row>
    <row r="17633" spans="1:7" ht="58.5" customHeight="1" x14ac:dyDescent="0.25">
      <c r="A17633" s="5" t="str">
        <f>"B0005031"</f>
        <v>B0005031</v>
      </c>
      <c r="B17633" s="5" t="str">
        <f>"LICENCIA OFFICE HOME AND BUSINEES"</f>
        <v>LICENCIA OFFICE HOME AND BUSINEES</v>
      </c>
      <c r="C17633" s="6">
        <v>440800</v>
      </c>
      <c r="D17633" s="5" t="s">
        <v>1</v>
      </c>
      <c r="E17633" s="5" t="str">
        <f t="shared" ref="E17633:E17661" si="907">"SANDRA PEREZ PRATO - CONTABILIDAD"</f>
        <v>SANDRA PEREZ PRATO - CONTABILIDAD</v>
      </c>
      <c r="F17633" s="5" t="str">
        <f>"Descripcion:LICENCIA OFFICE HOME AND BUSIMESS 2013 Estado: Bueno Placa anterior: 000030593 Material:  Color:  Referencia:  Observacion:  Placa padre:  Tipo adquisicion : Entidad"</f>
        <v>Descripcion:LICENCIA OFFICE HOME AND BUSIMESS 2013 Estado: Bueno Placa anterior: 000030593 Material:  Color:  Referencia:  Observacion:  Placa padre:  Tipo adquisicion : Entidad</v>
      </c>
      <c r="G17633" s="5"/>
    </row>
    <row r="17634" spans="1:7" ht="58.5" customHeight="1" x14ac:dyDescent="0.25">
      <c r="A17634" s="5" t="str">
        <f>"H0003496"</f>
        <v>H0003496</v>
      </c>
      <c r="B17634" s="5" t="str">
        <f>"ESCALERILLA DE 2 PASOS"</f>
        <v>ESCALERILLA DE 2 PASOS</v>
      </c>
      <c r="C17634" s="6">
        <v>8086.23</v>
      </c>
      <c r="D17634" s="5"/>
      <c r="E17634" s="5" t="str">
        <f t="shared" si="907"/>
        <v>SANDRA PEREZ PRATO - CONTABILIDAD</v>
      </c>
      <c r="F17634" s="5" t="str">
        <f>"Descripcion: ESCALERA DE DOS PASOS EN PASTA Estado: Bueno Placa anterior: 000001659 Material: ACERO INOXIDABLE Color: BLANCO Referencia:  Observacion:  Placa padre: Tipo adquisicion: Entidad"</f>
        <v>Descripcion: ESCALERA DE DOS PASOS EN PASTA Estado: Bueno Placa anterior: 000001659 Material: ACERO INOXIDABLE Color: BLANCO Referencia:  Observacion:  Placa padre: Tipo adquisicion: Entidad</v>
      </c>
      <c r="G17634" s="5"/>
    </row>
    <row r="17635" spans="1:7" ht="58.5" customHeight="1" x14ac:dyDescent="0.25">
      <c r="A17635" s="5" t="str">
        <f>"H0007135"</f>
        <v>H0007135</v>
      </c>
      <c r="B17635" s="5" t="str">
        <f>"SILLA INTERLOCUTORA (FIJA) SIN BRAZOS"</f>
        <v>SILLA INTERLOCUTORA (FIJA) SIN BRAZOS</v>
      </c>
      <c r="C17635" s="6">
        <v>237800</v>
      </c>
      <c r="D17635" s="5" t="s">
        <v>285</v>
      </c>
      <c r="E17635" s="5" t="str">
        <f t="shared" si="907"/>
        <v>SANDRA PEREZ PRATO - CONTABILIDAD</v>
      </c>
      <c r="F17635" s="5" t="str">
        <f>"Descripcion: SILLA INTERLOCUTORA FIJA TAPIZADA PAÑO AZUL Estado: Bueno Placa anterior: 000030161 Material: METALICO Color: AZUL Referencia:  Observacion:  Placa padre: Tipo adquisicion: Entidad"</f>
        <v>Descripcion: SILLA INTERLOCUTORA FIJA TAPIZADA PAÑO AZUL Estado: Bueno Placa anterior: 000030161 Material: METALICO Color: AZUL Referencia:  Observacion:  Placa padre: Tipo adquisicion: Entidad</v>
      </c>
      <c r="G17635" s="5"/>
    </row>
    <row r="17636" spans="1:7" ht="58.5" customHeight="1" x14ac:dyDescent="0.25">
      <c r="A17636" s="5" t="str">
        <f>"H0007176"</f>
        <v>H0007176</v>
      </c>
      <c r="B17636" s="5" t="str">
        <f>"SILLA INTERLOCUTORA (FIJA) SIN BRAZOS"</f>
        <v>SILLA INTERLOCUTORA (FIJA) SIN BRAZOS</v>
      </c>
      <c r="C17636" s="6">
        <v>237800</v>
      </c>
      <c r="D17636" s="5" t="s">
        <v>285</v>
      </c>
      <c r="E17636" s="5" t="str">
        <f t="shared" si="907"/>
        <v>SANDRA PEREZ PRATO - CONTABILIDAD</v>
      </c>
      <c r="F17636" s="5" t="str">
        <f>"Descripcion: SILLA INTERLOCUTORA FIJA TAPIZADA PAÑO AZUL Estado: Bueno Placa anterior: 000030157 Material: METALICO Color: AZUL Referencia:  Observacion:  Placa padre: Tipo adquisicion: Entidad"</f>
        <v>Descripcion: SILLA INTERLOCUTORA FIJA TAPIZADA PAÑO AZUL Estado: Bueno Placa anterior: 000030157 Material: METALICO Color: AZUL Referencia:  Observacion:  Placa padre: Tipo adquisicion: Entidad</v>
      </c>
      <c r="G17636" s="5"/>
    </row>
    <row r="17637" spans="1:7" ht="58.5" customHeight="1" x14ac:dyDescent="0.25">
      <c r="A17637" s="5" t="str">
        <f>"H0016786"</f>
        <v>H0016786</v>
      </c>
      <c r="B17637" s="5" t="str">
        <f>"PUESTO DE TRABAJO EN L CON 3 GAVETAS"</f>
        <v>PUESTO DE TRABAJO EN L CON 3 GAVETAS</v>
      </c>
      <c r="C17637" s="6">
        <v>637931</v>
      </c>
      <c r="D17637" s="5" t="s">
        <v>823</v>
      </c>
      <c r="E17637" s="5" t="str">
        <f t="shared" si="907"/>
        <v>SANDRA PEREZ PRATO - CONTABILIDAD</v>
      </c>
      <c r="F17637" s="5" t="str">
        <f>"Descripcion:PUESTO EN L SENCILLO Estado: Bueno Placa anterior: 000033502 Material: ENCHAPADA EN FORMICA Y BASE METALCIA Color: BEIGE Y GRIS Referencia:  Observacion: PUESTO DE TRABAJO EN L CON 3 GAVETAS Y PORTACPU Placa anterior:, Placa nueva=H0016794, De"&amp; "scripcion:ESTANTE DE MADERA CON TRES ENTREPAÑOS, FORMA PARTE DEL ESCRITORIO CON PLACA H0016786, Serial:, Marca:, Modelo:, Material:MADERA, Color:BEIGE,   Referencia: Placa padre:  Tipo adquisicion : Entidad"</f>
        <v>Descripcion:PUESTO EN L SENCILLO Estado: Bueno Placa anterior: 000033502 Material: ENCHAPADA EN FORMICA Y BASE METALCIA Color: BEIGE Y GRIS Referencia:  Observacion: PUESTO DE TRABAJO EN L CON 3 GAVETAS Y PORTACPU Placa anterior:, Placa nueva=H0016794, Descripcion:ESTANTE DE MADERA CON TRES ENTREPAÑOS, FORMA PARTE DEL ESCRITORIO CON PLACA H0016786, Serial:, Marca:, Modelo:, Material:MADERA, Color:BEIGE,   Referencia: Placa padre:  Tipo adquisicion : Entidad</v>
      </c>
      <c r="G17637" s="5"/>
    </row>
    <row r="17638" spans="1:7" ht="58.5" customHeight="1" x14ac:dyDescent="0.25">
      <c r="A17638" s="5" t="str">
        <f>"H0016789"</f>
        <v>H0016789</v>
      </c>
      <c r="B17638" s="5" t="str">
        <f>"COMPUTADOR TODO EN UNO"</f>
        <v>COMPUTADOR TODO EN UNO</v>
      </c>
      <c r="C17638" s="6">
        <v>1572000</v>
      </c>
      <c r="D17638" s="5" t="s">
        <v>346</v>
      </c>
      <c r="E17638" s="5" t="str">
        <f t="shared" si="907"/>
        <v>SANDRA PEREZ PRATO - CONTABILIDAD</v>
      </c>
      <c r="F17638" s="5" t="str">
        <f>"Descripcion:EQUIPOS DE COMPUTO TODO EN UNO PROCESADOR CORE 3.0 SUPERIOR CORPORATIVO WINDOWS 8 PRO- OFFICE 2013 SMALL BUSINES, TECNOLOGIA HT DE INTEL GARANTIA EXTENDIDA A 3 AÑOS Estado: Bueno Placa anterior: 000030691 Material: PASTA Color: NEGRO Referenci"&amp; "a:  Observacion:  Placa anterior:, Placa nueva=H0016790, Descripcion:TECLADO, Serial:BDMHE0C5Y5XOX5, Marca:HP, Modelo:KU-1156, Material:PASTA, Color:NEGRO,   Referencia:, Placa anterior:, Placa nueva=H0016791, Descripcion:MOUSE, Serial:, Marca:HP, Modelo:"&amp; ", Material:PASTA, Color:NEGRO,   Referencia:, Placa anterior:, Placa nueva=H0016792, Descripcion:PARLANTES, Serial:, Marca:START, Modelo:, Material:PASTA, Color:GRIS,   Referencia: Placa padre:  Tipo adquisicion : Entidad"</f>
        <v>Descripcion:EQUIPOS DE COMPUTO TODO EN UNO PROCESADOR CORE 3.0 SUPERIOR CORPORATIVO WINDOWS 8 PRO- OFFICE 2013 SMALL BUSINES, TECNOLOGIA HT DE INTEL GARANTIA EXTENDIDA A 3 AÑOS Estado: Bueno Placa anterior: 000030691 Material: PASTA Color: NEGRO Referencia:  Observacion:  Placa anterior:, Placa nueva=H0016790, Descripcion:TECLADO, Serial:BDMHE0C5Y5XOX5, Marca:HP, Modelo:KU-1156, Material:PASTA, Color:NEGRO,   Referencia:, Placa anterior:, Placa nueva=H0016791, Descripcion:MOUSE, Serial:, Marca:HP, Modelo:, Material:PASTA, Color:NEGRO,   Referencia:, Placa anterior:, Placa nueva=H0016792, Descripcion:PARLANTES, Serial:, Marca:START, Modelo:, Material:PASTA, Color:GRIS,   Referencia: Placa padre:  Tipo adquisicion : Entidad</v>
      </c>
      <c r="G17638" s="5" t="str">
        <f>"COMPAQ PRO 4300"</f>
        <v>COMPAQ PRO 4300</v>
      </c>
    </row>
    <row r="17639" spans="1:7" ht="58.5" customHeight="1" x14ac:dyDescent="0.25">
      <c r="A17639" s="5" t="str">
        <f>"H0016802"</f>
        <v>H0016802</v>
      </c>
      <c r="B17639" s="5" t="str">
        <f>"PUESTO DE TRABAJO EN L CON 3 GAVETAS"</f>
        <v>PUESTO DE TRABAJO EN L CON 3 GAVETAS</v>
      </c>
      <c r="C17639" s="6">
        <v>637931</v>
      </c>
      <c r="D17639" s="5" t="s">
        <v>823</v>
      </c>
      <c r="E17639" s="5" t="str">
        <f t="shared" si="907"/>
        <v>SANDRA PEREZ PRATO - CONTABILIDAD</v>
      </c>
      <c r="F17639" s="5" t="str">
        <f>"Descripcion:PUESTO EN L SENCILLO Estado: Bueno Placa anterior: 000033504 Material: ENCHAPADA EN FORMICA Y BASE METALCIA Color: BEIGE Y GRIS Referencia:  Observacion: PUESTO DE TRABAJO EN L CON 3 GAVETAS Placa anterior:, Placa nueva=H0016803, Descripcion:E"&amp; "STANTE DE MADERA CON TRES ENTREPAÑOS, FORMA PARTE DEL ESCRITORIO CON PLACA H0016802, Serial:, Marca:, Modelo:, Material:MADERA, Color:BEIGE,   Referencia: Placa padre:  Tipo adquisicion : Entidad"</f>
        <v>Descripcion:PUESTO EN L SENCILLO Estado: Bueno Placa anterior: 000033504 Material: ENCHAPADA EN FORMICA Y BASE METALCIA Color: BEIGE Y GRIS Referencia:  Observacion: PUESTO DE TRABAJO EN L CON 3 GAVETAS Placa anterior:, Placa nueva=H0016803, Descripcion:ESTANTE DE MADERA CON TRES ENTREPAÑOS, FORMA PARTE DEL ESCRITORIO CON PLACA H0016802, Serial:, Marca:, Modelo:, Material:MADERA, Color:BEIGE,   Referencia: Placa padre:  Tipo adquisicion : Entidad</v>
      </c>
      <c r="G17639" s="5"/>
    </row>
    <row r="17640" spans="1:7" ht="58.5" customHeight="1" x14ac:dyDescent="0.25">
      <c r="A17640" s="5" t="str">
        <f>"H0016810"</f>
        <v>H0016810</v>
      </c>
      <c r="B17640" s="5" t="str">
        <f>"PUESTO DE TRABAJO EN L CON 3 GAVETAS"</f>
        <v>PUESTO DE TRABAJO EN L CON 3 GAVETAS</v>
      </c>
      <c r="C17640" s="6">
        <v>680172</v>
      </c>
      <c r="D17640" s="5" t="s">
        <v>823</v>
      </c>
      <c r="E17640" s="5" t="str">
        <f t="shared" si="907"/>
        <v>SANDRA PEREZ PRATO - CONTABILIDAD</v>
      </c>
      <c r="F17640" s="5" t="str">
        <f>"Descripcion:PUESTO DE TRAB AJO EN L DIRECTO (CONTABILIDAD) Estado: Bueno Placa anterior: 000033501 Material: ENCHAPADA EN FORMICA Y BASE METALCIA Color: BEIGE Y GRIS Referencia:  Observacion: PUESTO DE TRABAJO EN L CON 3 GAVETAS Y PORTACPU Placa anterior:"&amp; ", Placa nueva=H0016809, Descripcion:ESTANTE DE MADERA CON TRES ENTREPAÑOS, FORMA PARTE DEL ESCRITORIO CON PLACA H0016802, Serial:, Marca:, Modelo:, Material:MADERA, Color:BEIGE,   Referencia: Placa padre:  Tipo adquisicion : Entidad"</f>
        <v>Descripcion:PUESTO DE TRAB AJO EN L DIRECTO (CONTABILIDAD) Estado: Bueno Placa anterior: 000033501 Material: ENCHAPADA EN FORMICA Y BASE METALCIA Color: BEIGE Y GRIS Referencia:  Observacion: PUESTO DE TRABAJO EN L CON 3 GAVETAS Y PORTACPU Placa anterior:, Placa nueva=H0016809, Descripcion:ESTANTE DE MADERA CON TRES ENTREPAÑOS, FORMA PARTE DEL ESCRITORIO CON PLACA H0016802, Serial:, Marca:, Modelo:, Material:MADERA, Color:BEIGE,   Referencia: Placa padre:  Tipo adquisicion : Entidad</v>
      </c>
      <c r="G17640" s="5"/>
    </row>
    <row r="17641" spans="1:7" ht="58.5" customHeight="1" x14ac:dyDescent="0.25">
      <c r="A17641" s="5" t="str">
        <f>"H0016812"</f>
        <v>H0016812</v>
      </c>
      <c r="B17641" s="5" t="str">
        <f>"ESTABILIZADOR  PARA COMPUTADOR"</f>
        <v>ESTABILIZADOR  PARA COMPUTADOR</v>
      </c>
      <c r="C17641" s="6">
        <v>90000</v>
      </c>
      <c r="D17641" s="5"/>
      <c r="E17641" s="5" t="str">
        <f t="shared" si="907"/>
        <v>SANDRA PEREZ PRATO - CONTABILIDAD</v>
      </c>
      <c r="F17641" s="5" t="str">
        <f>"Descripcion:ESTABILIZADOR DE VOLTAGE MAGON 1000W Estado: Bueno Placa anterior: 000000164 Material: METALICO Color: BEIGE Referencia:  Observacion:  Placa padre:  Tipo adquisicion : Entidad"</f>
        <v>Descripcion:ESTABILIZADOR DE VOLTAGE MAGON 1000W Estado: Bueno Placa anterior: 000000164 Material: METALICO Color: BEIGE Referencia:  Observacion:  Placa padre:  Tipo adquisicion : Entidad</v>
      </c>
      <c r="G17641" s="5" t="str">
        <f>"FAX"</f>
        <v>FAX</v>
      </c>
    </row>
    <row r="17642" spans="1:7" ht="58.5" customHeight="1" x14ac:dyDescent="0.25">
      <c r="A17642" s="5" t="str">
        <f>"H0016818"</f>
        <v>H0016818</v>
      </c>
      <c r="B17642" s="5" t="str">
        <f>"MULTIMUEBLE DE MADERA"</f>
        <v>MULTIMUEBLE DE MADERA</v>
      </c>
      <c r="C17642" s="6">
        <v>732759</v>
      </c>
      <c r="D17642" s="5" t="s">
        <v>823</v>
      </c>
      <c r="E17642" s="5" t="str">
        <f t="shared" si="907"/>
        <v>SANDRA PEREZ PRATO - CONTABILIDAD</v>
      </c>
      <c r="F17642" s="5" t="str">
        <f>"Descripcion:MUEBLES MULTIFUNCIONAL DIRECTIVO(CONTABILIDAD) Estado: Bueno Placa anterior: 000033505 Material: MADERA Color: BEIGE Referencia:  Observacion: CON DOS PUERTAS CORREDIZAS E INTERNAMENTE TIENE TRES ENTREPAÑOS.  ESCRITORIOS LINEAL SUPERFICIE ENCH"&amp; "APADA, SUPERFICIE CON GABINETE DE DOS COMPARTIMIENTOS Y DOS ENTREPAÑOS INTERNOS Placa padre:  Tipo adquisicion : Entidad"</f>
        <v>Descripcion:MUEBLES MULTIFUNCIONAL DIRECTIVO(CONTABILIDAD) Estado: Bueno Placa anterior: 000033505 Material: MADERA Color: BEIGE Referencia:  Observacion: CON DOS PUERTAS CORREDIZAS E INTERNAMENTE TIENE TRES ENTREPAÑOS.  ESCRITORIOS LINEAL SUPERFICIE ENCHAPADA, SUPERFICIE CON GABINETE DE DOS COMPARTIMIENTOS Y DOS ENTREPAÑOS INTERNOS Placa padre:  Tipo adquisicion : Entidad</v>
      </c>
      <c r="G17642" s="5"/>
    </row>
    <row r="17643" spans="1:7" ht="58.5" customHeight="1" x14ac:dyDescent="0.25">
      <c r="A17643" s="5" t="str">
        <f>"H0016889"</f>
        <v>H0016889</v>
      </c>
      <c r="B17643" s="5" t="str">
        <f>"SILLA GIRATORIA CON BRAZOS RODACHINES (NO ERGONOMICA)"</f>
        <v>SILLA GIRATORIA CON BRAZOS RODACHINES (NO ERGONOMICA)</v>
      </c>
      <c r="C17643" s="6">
        <v>231178.3</v>
      </c>
      <c r="D17643" s="5"/>
      <c r="E17643" s="5" t="str">
        <f t="shared" si="907"/>
        <v>SANDRA PEREZ PRATO - CONTABILIDAD</v>
      </c>
      <c r="F17643" s="5" t="str">
        <f>"Descripcion:SILLA GIRATORIO CON BRAZOS Estado: Bueno Placa anterior: 000000557 Material: PAÑO Y METALICA Color: MARRON Referencia:  Observacion:  Placa padre:  Tipo adquisicion : Entidad"</f>
        <v>Descripcion:SILLA GIRATORIO CON BRAZOS Estado: Bueno Placa anterior: 000000557 Material: PAÑO Y METALICA Color: MARRON Referencia:  Observacion:  Placa padre:  Tipo adquisicion : Entidad</v>
      </c>
      <c r="G17643" s="5"/>
    </row>
    <row r="17644" spans="1:7" ht="58.5" customHeight="1" x14ac:dyDescent="0.25">
      <c r="A17644" s="5" t="str">
        <f>"H0016898"</f>
        <v>H0016898</v>
      </c>
      <c r="B17644" s="5" t="str">
        <f>"DISPENSADOR DE AGUA"</f>
        <v>DISPENSADOR DE AGUA</v>
      </c>
      <c r="C17644" s="6">
        <v>844828</v>
      </c>
      <c r="D17644" s="5"/>
      <c r="E17644" s="5" t="str">
        <f t="shared" si="907"/>
        <v>SANDRA PEREZ PRATO - CONTABILIDAD</v>
      </c>
      <c r="F17644" s="5" t="str">
        <f>"Descripcion:NEVERA DISPENSADOR Estado: Bueno Placa anterior: 000033431 Material: METALICO Color: BLANCO  Referencia:  Observacion:  Placa padre:  Tipo adquisicion : Entidad"</f>
        <v>Descripcion:NEVERA DISPENSADOR Estado: Bueno Placa anterior: 000033431 Material: METALICO Color: BLANCO  Referencia:  Observacion:  Placa padre:  Tipo adquisicion : Entidad</v>
      </c>
      <c r="G17644" s="5"/>
    </row>
    <row r="17645" spans="1:7" ht="58.5" customHeight="1" x14ac:dyDescent="0.25">
      <c r="A17645" s="5" t="str">
        <f>"H0021442"</f>
        <v>H0021442</v>
      </c>
      <c r="B17645" s="5" t="str">
        <f>"SUMADORA CASIO DR-120 TM"</f>
        <v>SUMADORA CASIO DR-120 TM</v>
      </c>
      <c r="C17645" s="6">
        <v>250000.05</v>
      </c>
      <c r="D17645" s="5" t="s">
        <v>176</v>
      </c>
      <c r="E17645" s="5" t="str">
        <f t="shared" si="907"/>
        <v>SANDRA PEREZ PRATO - CONTABILIDAD</v>
      </c>
      <c r="F17645" s="5"/>
      <c r="G17645" s="5" t="str">
        <f>"DR-120TM"</f>
        <v>DR-120TM</v>
      </c>
    </row>
    <row r="17646" spans="1:7" ht="58.5" customHeight="1" x14ac:dyDescent="0.25">
      <c r="A17646" s="5" t="str">
        <f>"H0021443"</f>
        <v>H0021443</v>
      </c>
      <c r="B17646" s="5" t="str">
        <f>"SUMADORA CASIO DR-120 TM"</f>
        <v>SUMADORA CASIO DR-120 TM</v>
      </c>
      <c r="C17646" s="6">
        <v>250000.05</v>
      </c>
      <c r="D17646" s="5" t="s">
        <v>176</v>
      </c>
      <c r="E17646" s="5" t="str">
        <f t="shared" si="907"/>
        <v>SANDRA PEREZ PRATO - CONTABILIDAD</v>
      </c>
      <c r="F17646" s="5"/>
      <c r="G17646" s="5" t="str">
        <f>"DR-120TM"</f>
        <v>DR-120TM</v>
      </c>
    </row>
    <row r="17647" spans="1:7" ht="58.5" customHeight="1" x14ac:dyDescent="0.25">
      <c r="A17647" s="5" t="str">
        <f>"H0021444"</f>
        <v>H0021444</v>
      </c>
      <c r="B17647" s="5" t="str">
        <f>"SUMADORA CASIO DR-120 TM"</f>
        <v>SUMADORA CASIO DR-120 TM</v>
      </c>
      <c r="C17647" s="6">
        <v>250000.05</v>
      </c>
      <c r="D17647" s="5" t="s">
        <v>176</v>
      </c>
      <c r="E17647" s="5" t="str">
        <f t="shared" si="907"/>
        <v>SANDRA PEREZ PRATO - CONTABILIDAD</v>
      </c>
      <c r="F17647" s="5"/>
      <c r="G17647" s="5" t="str">
        <f>"DR-120TM"</f>
        <v>DR-120TM</v>
      </c>
    </row>
    <row r="17648" spans="1:7" ht="58.5" customHeight="1" x14ac:dyDescent="0.25">
      <c r="A17648" s="5" t="str">
        <f>"H0024525"</f>
        <v>H0024525</v>
      </c>
      <c r="B1764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7648" s="6">
        <v>2600000</v>
      </c>
      <c r="D17648" s="5" t="s">
        <v>36</v>
      </c>
      <c r="E17648" s="5" t="str">
        <f t="shared" si="907"/>
        <v>SANDRA PEREZ PRATO - CONTABILIDAD</v>
      </c>
      <c r="F17648" s="5"/>
      <c r="G17648" s="5"/>
    </row>
    <row r="17649" spans="1:7" ht="58.5" customHeight="1" x14ac:dyDescent="0.25">
      <c r="A17649" s="5" t="str">
        <f>"H0025399"</f>
        <v>H0025399</v>
      </c>
      <c r="B1764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649" s="6">
        <v>312156</v>
      </c>
      <c r="D17649" s="5" t="s">
        <v>10</v>
      </c>
      <c r="E17649" s="5" t="str">
        <f t="shared" si="907"/>
        <v>SANDRA PEREZ PRATO - CONTABILIDAD</v>
      </c>
      <c r="F17649" s="5"/>
      <c r="G17649" s="5"/>
    </row>
    <row r="17650" spans="1:7" ht="58.5" customHeight="1" x14ac:dyDescent="0.25">
      <c r="A17650" s="5" t="str">
        <f>"H0027173"</f>
        <v>H0027173</v>
      </c>
      <c r="B1765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650" s="6">
        <v>2641800</v>
      </c>
      <c r="D17650" s="5" t="s">
        <v>38</v>
      </c>
      <c r="E17650" s="5" t="str">
        <f t="shared" si="907"/>
        <v>SANDRA PEREZ PRATO - CONTABILIDAD</v>
      </c>
      <c r="F17650" s="5"/>
      <c r="G17650" s="5"/>
    </row>
    <row r="17651" spans="1:7" ht="58.5" customHeight="1" x14ac:dyDescent="0.25">
      <c r="A17651" s="5" t="str">
        <f>"H0029588"</f>
        <v>H0029588</v>
      </c>
      <c r="B1765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51" s="6">
        <v>252400.18</v>
      </c>
      <c r="D17651" s="5" t="s">
        <v>15</v>
      </c>
      <c r="E17651" s="5" t="str">
        <f t="shared" si="907"/>
        <v>SANDRA PEREZ PRATO - CONTABILIDAD</v>
      </c>
      <c r="F17651" s="5"/>
      <c r="G17651" s="5"/>
    </row>
    <row r="17652" spans="1:7" ht="58.5" customHeight="1" x14ac:dyDescent="0.25">
      <c r="A17652" s="5" t="str">
        <f>"H0029589"</f>
        <v>H0029589</v>
      </c>
      <c r="B1765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52" s="6">
        <v>252400.18</v>
      </c>
      <c r="D17652" s="5" t="s">
        <v>15</v>
      </c>
      <c r="E17652" s="5" t="str">
        <f t="shared" si="907"/>
        <v>SANDRA PEREZ PRATO - CONTABILIDAD</v>
      </c>
      <c r="F17652" s="5"/>
      <c r="G17652" s="5"/>
    </row>
    <row r="17653" spans="1:7" ht="58.5" customHeight="1" x14ac:dyDescent="0.25">
      <c r="A17653" s="5" t="str">
        <f>"H0029810"</f>
        <v>H0029810</v>
      </c>
      <c r="B1765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7653" s="6">
        <v>252399.97</v>
      </c>
      <c r="D17653" s="5" t="s">
        <v>189</v>
      </c>
      <c r="E17653" s="5" t="str">
        <f t="shared" si="907"/>
        <v>SANDRA PEREZ PRATO - CONTABILIDAD</v>
      </c>
      <c r="F17653" s="5"/>
      <c r="G17653" s="5"/>
    </row>
    <row r="17654" spans="1:7" ht="58.5" customHeight="1" x14ac:dyDescent="0.25">
      <c r="A17654" s="5" t="str">
        <f>"H0035744"</f>
        <v>H0035744</v>
      </c>
      <c r="B17654" s="5" t="str">
        <f>"SILLA GERENTE NIZA MEC. BASCULANTE CON BRAZOS."</f>
        <v>SILLA GERENTE NIZA MEC. BASCULANTE CON BRAZOS.</v>
      </c>
      <c r="C17654" s="6">
        <v>639999.86</v>
      </c>
      <c r="D17654" s="5" t="s">
        <v>46</v>
      </c>
      <c r="E17654" s="5" t="str">
        <f t="shared" si="907"/>
        <v>SANDRA PEREZ PRATO - CONTABILIDAD</v>
      </c>
      <c r="F17654" s="5"/>
      <c r="G17654" s="5"/>
    </row>
    <row r="17655" spans="1:7" ht="58.5" customHeight="1" x14ac:dyDescent="0.25">
      <c r="A17655" s="5" t="str">
        <f>"H0035745"</f>
        <v>H0035745</v>
      </c>
      <c r="B17655" s="5" t="str">
        <f>"SILLA GERENTE NIZA MEC. BASCULANTE CON BRAZOS."</f>
        <v>SILLA GERENTE NIZA MEC. BASCULANTE CON BRAZOS.</v>
      </c>
      <c r="C17655" s="6">
        <v>639999.86</v>
      </c>
      <c r="D17655" s="5" t="s">
        <v>46</v>
      </c>
      <c r="E17655" s="5" t="str">
        <f t="shared" si="907"/>
        <v>SANDRA PEREZ PRATO - CONTABILIDAD</v>
      </c>
      <c r="F17655" s="5"/>
      <c r="G17655" s="5"/>
    </row>
    <row r="17656" spans="1:7" ht="58.5" customHeight="1" x14ac:dyDescent="0.25">
      <c r="A17656" s="5" t="str">
        <f>"H0035746"</f>
        <v>H0035746</v>
      </c>
      <c r="B17656" s="5" t="str">
        <f>"SILLA GERENTE NIZA MEC. BASCULANTE CON BRAZOS."</f>
        <v>SILLA GERENTE NIZA MEC. BASCULANTE CON BRAZOS.</v>
      </c>
      <c r="C17656" s="6">
        <v>639999.86</v>
      </c>
      <c r="D17656" s="5" t="s">
        <v>46</v>
      </c>
      <c r="E17656" s="5" t="str">
        <f t="shared" si="907"/>
        <v>SANDRA PEREZ PRATO - CONTABILIDAD</v>
      </c>
      <c r="F17656" s="5"/>
      <c r="G17656" s="5"/>
    </row>
    <row r="17657" spans="1:7" ht="58.5" customHeight="1" x14ac:dyDescent="0.25">
      <c r="A17657" s="5" t="str">
        <f>"H0036455"</f>
        <v>H0036455</v>
      </c>
      <c r="B17657" s="5" t="str">
        <f>"VENTILADOR DE PEDESTAL"</f>
        <v>VENTILADOR DE PEDESTAL</v>
      </c>
      <c r="C17657" s="6">
        <v>358260</v>
      </c>
      <c r="D17657" s="5" t="s">
        <v>131</v>
      </c>
      <c r="E17657" s="5" t="str">
        <f t="shared" si="907"/>
        <v>SANDRA PEREZ PRATO - CONTABILIDAD</v>
      </c>
      <c r="F17657" s="5"/>
      <c r="G17657" s="5"/>
    </row>
    <row r="17658" spans="1:7" ht="58.5" customHeight="1" x14ac:dyDescent="0.25">
      <c r="A17658" s="5" t="str">
        <f>"H0036541"</f>
        <v>H0036541</v>
      </c>
      <c r="B17658"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7658" s="6">
        <v>6307000</v>
      </c>
      <c r="D17658" s="5" t="s">
        <v>48</v>
      </c>
      <c r="E17658" s="5" t="str">
        <f t="shared" si="907"/>
        <v>SANDRA PEREZ PRATO - CONTABILIDAD</v>
      </c>
      <c r="F17658" s="5"/>
      <c r="G17658" s="5" t="str">
        <f>"VZ4680G"</f>
        <v>VZ4680G</v>
      </c>
    </row>
    <row r="17659" spans="1:7" ht="58.5" customHeight="1" x14ac:dyDescent="0.25">
      <c r="A17659" s="5" t="str">
        <f>"H0036582"</f>
        <v>H0036582</v>
      </c>
      <c r="B17659" s="5" t="str">
        <f>"ESCANER DE ALTA VELOCIDAD 35 PPM"</f>
        <v>ESCANER DE ALTA VELOCIDAD 35 PPM</v>
      </c>
      <c r="C17659" s="6">
        <v>2401636.36</v>
      </c>
      <c r="D17659" s="5" t="s">
        <v>199</v>
      </c>
      <c r="E17659" s="5" t="str">
        <f t="shared" si="907"/>
        <v>SANDRA PEREZ PRATO - CONTABILIDAD</v>
      </c>
      <c r="F17659" s="5"/>
      <c r="G17659" s="5"/>
    </row>
    <row r="17660" spans="1:7" ht="58.5" customHeight="1" x14ac:dyDescent="0.25">
      <c r="A17660" s="5" t="str">
        <f>"H0037443"</f>
        <v>H0037443</v>
      </c>
      <c r="B17660" s="5" t="str">
        <f>"AIRE ACONDICIONADO TIPO MINISPLIT CAPACIDAD 24.000 BTU TECNOLOGIA INVERTER DUAL"</f>
        <v>AIRE ACONDICIONADO TIPO MINISPLIT CAPACIDAD 24.000 BTU TECNOLOGIA INVERTER DUAL</v>
      </c>
      <c r="C17660" s="6">
        <v>5848909.5300000003</v>
      </c>
      <c r="D17660" s="5" t="s">
        <v>202</v>
      </c>
      <c r="E17660" s="5" t="str">
        <f t="shared" si="907"/>
        <v>SANDRA PEREZ PRATO - CONTABILIDAD</v>
      </c>
      <c r="F17660" s="5"/>
      <c r="G17660" s="5"/>
    </row>
    <row r="17661" spans="1:7" ht="58.5" customHeight="1" x14ac:dyDescent="0.25">
      <c r="A17661" s="5" t="str">
        <f>"H0037942"</f>
        <v>H0037942</v>
      </c>
      <c r="B17661" s="5" t="str">
        <f>"SILLA GERENTE NIZA MEC. BASCULANTE CON BRAZOS."</f>
        <v>SILLA GERENTE NIZA MEC. BASCULANTE CON BRAZOS.</v>
      </c>
      <c r="C17661" s="6">
        <v>710000.01</v>
      </c>
      <c r="D17661" s="5" t="s">
        <v>30</v>
      </c>
      <c r="E17661" s="5" t="str">
        <f t="shared" si="907"/>
        <v>SANDRA PEREZ PRATO - CONTABILIDAD</v>
      </c>
      <c r="F17661" s="5"/>
      <c r="G17661" s="5"/>
    </row>
    <row r="17662" spans="1:7" ht="58.5" customHeight="1" x14ac:dyDescent="0.25">
      <c r="A17662" s="5" t="str">
        <f>"B0005006"</f>
        <v>B0005006</v>
      </c>
      <c r="B17662" s="5" t="str">
        <f>"LICENCIA OFFICE HOME AND BUSINEES"</f>
        <v>LICENCIA OFFICE HOME AND BUSINEES</v>
      </c>
      <c r="C17662" s="6">
        <v>440800</v>
      </c>
      <c r="D17662" s="5" t="s">
        <v>1</v>
      </c>
      <c r="E17662" s="5" t="str">
        <f t="shared" ref="E17662:E17671" si="908">"ACTISALUD- COSTOS-MARTIN ALONSO PARADA"</f>
        <v>ACTISALUD- COSTOS-MARTIN ALONSO PARADA</v>
      </c>
      <c r="F17662" s="5" t="str">
        <f>"Descripcion: LICENCIA OFFICE HOME AND BUSIMESS 2013 Estado: Bueno Placa anterior: 000030596 Material:  Color:  Referencia:  Observacion:  Placa padre: Tipo adquisicion: Entidad"</f>
        <v>Descripcion: LICENCIA OFFICE HOME AND BUSIMESS 2013 Estado: Bueno Placa anterior: 000030596 Material:  Color:  Referencia:  Observacion:  Placa padre: Tipo adquisicion: Entidad</v>
      </c>
      <c r="G17662" s="5"/>
    </row>
    <row r="17663" spans="1:7" ht="58.5" customHeight="1" x14ac:dyDescent="0.25">
      <c r="A17663" s="5" t="str">
        <f>"H0013298"</f>
        <v>H0013298</v>
      </c>
      <c r="B17663" s="5" t="str">
        <f>"PUESTO DE TRABAJO EN L CON 3 GAVETAS"</f>
        <v>PUESTO DE TRABAJO EN L CON 3 GAVETAS</v>
      </c>
      <c r="C17663" s="6">
        <v>1218000</v>
      </c>
      <c r="D17663" s="5" t="s">
        <v>5</v>
      </c>
      <c r="E17663" s="5" t="str">
        <f t="shared" si="908"/>
        <v>ACTISALUD- COSTOS-MARTIN ALONSO PARADA</v>
      </c>
      <c r="F17663" s="5" t="str">
        <f>"Descripcion:ESTRUCTURA METALICA CON MESON EN FORMICA Estado: Bueno Placa anterior: 000029500 Material: MADERA Color: COLOR MARRON CLARO Referencia:  Observacion:  Placa padre:  Tipo adquisicion : Entidad"</f>
        <v>Descripcion:ESTRUCTURA METALICA CON MESON EN FORMICA Estado: Bueno Placa anterior: 000029500 Material: MADERA Color: COLOR MARRON CLARO Referencia:  Observacion:  Placa padre:  Tipo adquisicion : Entidad</v>
      </c>
      <c r="G17663" s="5"/>
    </row>
    <row r="17664" spans="1:7" ht="58.5" customHeight="1" x14ac:dyDescent="0.25">
      <c r="A17664" s="5" t="str">
        <f>"H0016161"</f>
        <v>H0016161</v>
      </c>
      <c r="B17664" s="5" t="str">
        <f>"ESTANTE METALICO 6 ENTREPAÑOS"</f>
        <v>ESTANTE METALICO 6 ENTREPAÑOS</v>
      </c>
      <c r="C17664" s="6">
        <v>8840.07</v>
      </c>
      <c r="D17664" s="5"/>
      <c r="E17664" s="5" t="str">
        <f t="shared" si="908"/>
        <v>ACTISALUD- COSTOS-MARTIN ALONSO PARADA</v>
      </c>
      <c r="F17664" s="5" t="str">
        <f>"Descripcion:ESTANTE METALICO CON 6 ENTREPAÑOS Estado: Bueno Placa anterior: 000002332 Material: METALICO Color: GRIS Referencia:  Observacion:  Placa padre:  Tipo adquisicion : Entidad"</f>
        <v>Descripcion:ESTANTE METALICO CON 6 ENTREPAÑOS Estado: Bueno Placa anterior: 000002332 Material: METALICO Color: GRIS Referencia:  Observacion:  Placa padre:  Tipo adquisicion : Entidad</v>
      </c>
      <c r="G17664" s="5"/>
    </row>
    <row r="17665" spans="1:7" ht="58.5" customHeight="1" x14ac:dyDescent="0.25">
      <c r="A17665" s="5" t="str">
        <f>"H0016771"</f>
        <v>H0016771</v>
      </c>
      <c r="B17665" s="5" t="str">
        <f>"MUEBLE DE MADERA"</f>
        <v>MUEBLE DE MADERA</v>
      </c>
      <c r="C17665" s="6">
        <v>543103</v>
      </c>
      <c r="D17665" s="5"/>
      <c r="E17665" s="5" t="str">
        <f t="shared" si="908"/>
        <v>ACTISALUD- COSTOS-MARTIN ALONSO PARADA</v>
      </c>
      <c r="F17665" s="5" t="str">
        <f>"Descripcion: MUEBLE CAFETERIA DE 0.60X0.70X0.40 EN TABLEX Y FORMICA ENTREPAÑO INTERNO CON PUERTAS Y SEGURIDAD Estado: Bueno Placa anterior: 000033434 Material: MADERA Color: NEGRO Referencia:  Observacion: EL FUNCIONARIO MANIFIESTA QUE EL BIEN QUEDO MAL C"&amp; "RUZADO CON LA PLACA, LA PLACA ASIGNADA NO TIENE BIEN RELACIONADO Y LA QUE SE REALCIONA EN EL REGISTRO ESTA PEGADA EN OTRO BN.  EL FUNCIONARIO TAMBIEN INDICA QUE LOS MUEBLES FUERON GANADOS EN UN CONCURSO Y QUE NO EXISTE SOPORTE DE INGRESO AL HUEM Placa pad"&amp; "re: Tipo adquisicion: Donacion"</f>
        <v>Descripcion: MUEBLE CAFETERIA DE 0.60X0.70X0.40 EN TABLEX Y FORMICA ENTREPAÑO INTERNO CON PUERTAS Y SEGURIDAD Estado: Bueno Placa anterior: 000033434 Material: MADERA Color: NEGRO Referencia:  Observacion: EL FUNCIONARIO MANIFIESTA QUE EL BIEN QUEDO MAL CRUZADO CON LA PLACA, LA PLACA ASIGNADA NO TIENE BIEN RELACIONADO Y LA QUE SE REALCIONA EN EL REGISTRO ESTA PEGADA EN OTRO BN.  EL FUNCIONARIO TAMBIEN INDICA QUE LOS MUEBLES FUERON GANADOS EN UN CONCURSO Y QUE NO EXISTE SOPORTE DE INGRESO AL HUEM Placa padre: Tipo adquisicion: Donacion</v>
      </c>
      <c r="G17665" s="5"/>
    </row>
    <row r="17666" spans="1:7" ht="58.5" customHeight="1" x14ac:dyDescent="0.25">
      <c r="A17666" s="5" t="str">
        <f>"H0016782"</f>
        <v>H0016782</v>
      </c>
      <c r="B17666" s="5" t="str">
        <f>"SILLA ERGONOMICA TIPO SECRETARIA CON BRAZOS"</f>
        <v>SILLA ERGONOMICA TIPO SECRETARIA CON BRAZOS</v>
      </c>
      <c r="C17666" s="6">
        <v>249999.5</v>
      </c>
      <c r="D17666" s="5"/>
      <c r="E17666" s="5" t="str">
        <f t="shared" si="908"/>
        <v>ACTISALUD- COSTOS-MARTIN ALONSO PARADA</v>
      </c>
      <c r="F17666" s="5" t="str">
        <f>"Descripcion: SILLA GIRATORIA CON BRAZOS GAMA ERGONOMICA Estado: Bueno Placa anterior: 000000758 Material: PAÑO  Color: MARRON Referencia:  Observacion:  Placa padre: Tipo adquisicion: Entidad"</f>
        <v>Descripcion: SILLA GIRATORIA CON BRAZOS GAMA ERGONOMICA Estado: Bueno Placa anterior: 000000758 Material: PAÑO  Color: MARRON Referencia:  Observacion:  Placa padre: Tipo adquisicion: Entidad</v>
      </c>
      <c r="G17666" s="5"/>
    </row>
    <row r="17667" spans="1:7" ht="58.5" customHeight="1" x14ac:dyDescent="0.25">
      <c r="A17667" s="5" t="str">
        <f>"H0016784"</f>
        <v>H0016784</v>
      </c>
      <c r="B17667" s="5" t="str">
        <f>"PUESTO DE TRABAJO EN L CON 3 GAVETAS"</f>
        <v>PUESTO DE TRABAJO EN L CON 3 GAVETAS</v>
      </c>
      <c r="C17667" s="6">
        <v>637931</v>
      </c>
      <c r="D17667" s="5" t="s">
        <v>823</v>
      </c>
      <c r="E17667" s="5" t="str">
        <f t="shared" si="908"/>
        <v>ACTISALUD- COSTOS-MARTIN ALONSO PARADA</v>
      </c>
      <c r="F17667" s="5" t="str">
        <f>"Descripcion:PUESTO EN L SENCILLO Estado: Bueno Placa anterior: 000033503 Material: ENCHAPADA EN FORMICA Y BASE METALCIA Color: BEIGE Y GRIS Referencia:  Observacion: PUESTO DE TRABAJO EN L CON 3 GAVETAS Y PORTACPU Placa padre:  Tipo adquisicion : Entidad"</f>
        <v>Descripcion:PUESTO EN L SENCILLO Estado: Bueno Placa anterior: 000033503 Material: ENCHAPADA EN FORMICA Y BASE METALCIA Color: BEIGE Y GRIS Referencia:  Observacion: PUESTO DE TRABAJO EN L CON 3 GAVETAS Y PORTACPU Placa padre:  Tipo adquisicion : Entidad</v>
      </c>
      <c r="G17667" s="5"/>
    </row>
    <row r="17668" spans="1:7" ht="58.5" customHeight="1" x14ac:dyDescent="0.25">
      <c r="A17668" s="5" t="str">
        <f>"H0021445"</f>
        <v>H0021445</v>
      </c>
      <c r="B17668" s="5" t="str">
        <f>"SUMADORA CASIO DR-120 TM"</f>
        <v>SUMADORA CASIO DR-120 TM</v>
      </c>
      <c r="C17668" s="6">
        <v>250000.05</v>
      </c>
      <c r="D17668" s="5" t="s">
        <v>824</v>
      </c>
      <c r="E17668" s="5" t="str">
        <f t="shared" si="908"/>
        <v>ACTISALUD- COSTOS-MARTIN ALONSO PARADA</v>
      </c>
      <c r="F17668" s="5"/>
      <c r="G17668" s="5"/>
    </row>
    <row r="17669" spans="1:7" ht="58.5" customHeight="1" x14ac:dyDescent="0.25">
      <c r="A17669" s="5" t="str">
        <f>"H0025361"</f>
        <v>H0025361</v>
      </c>
      <c r="B1766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669" s="6">
        <v>312156</v>
      </c>
      <c r="D17669" s="5" t="s">
        <v>10</v>
      </c>
      <c r="E17669" s="5" t="str">
        <f t="shared" si="908"/>
        <v>ACTISALUD- COSTOS-MARTIN ALONSO PARADA</v>
      </c>
      <c r="F17669" s="5"/>
      <c r="G17669" s="5"/>
    </row>
    <row r="17670" spans="1:7" ht="58.5" customHeight="1" x14ac:dyDescent="0.25">
      <c r="A17670" s="5" t="str">
        <f>"H0036454"</f>
        <v>H0036454</v>
      </c>
      <c r="B17670" s="5" t="str">
        <f>"VENTILADOR DE PEDESTAL"</f>
        <v>VENTILADOR DE PEDESTAL</v>
      </c>
      <c r="C17670" s="6">
        <v>358260</v>
      </c>
      <c r="D17670" s="5" t="s">
        <v>131</v>
      </c>
      <c r="E17670" s="5" t="str">
        <f t="shared" si="908"/>
        <v>ACTISALUD- COSTOS-MARTIN ALONSO PARADA</v>
      </c>
      <c r="F17670" s="5"/>
      <c r="G17670" s="5"/>
    </row>
    <row r="17671" spans="1:7" ht="58.5" customHeight="1" x14ac:dyDescent="0.25">
      <c r="A17671" s="5" t="str">
        <f>"H0036522"</f>
        <v>H0036522</v>
      </c>
      <c r="B17671"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7671" s="6">
        <v>6307000</v>
      </c>
      <c r="D17671" s="5" t="s">
        <v>48</v>
      </c>
      <c r="E17671" s="5" t="str">
        <f t="shared" si="908"/>
        <v>ACTISALUD- COSTOS-MARTIN ALONSO PARADA</v>
      </c>
      <c r="F17671" s="5"/>
      <c r="G17671" s="5" t="str">
        <f>"VZ4680G"</f>
        <v>VZ4680G</v>
      </c>
    </row>
    <row r="17672" spans="1:7" ht="58.5" customHeight="1" x14ac:dyDescent="0.25">
      <c r="A17672" s="5" t="str">
        <f>"B0005037"</f>
        <v>B0005037</v>
      </c>
      <c r="B17672" s="5" t="str">
        <f>"LICENCIA OFFICE HOME AND BUSINEES"</f>
        <v>LICENCIA OFFICE HOME AND BUSINEES</v>
      </c>
      <c r="C17672" s="6">
        <v>440800</v>
      </c>
      <c r="D17672" s="5" t="s">
        <v>1</v>
      </c>
      <c r="E17672" s="5" t="str">
        <f t="shared" ref="E17672:E17735" si="909">"ACTISALUD- FACTURACION PRINCIPAL"</f>
        <v>ACTISALUD- FACTURACION PRINCIPAL</v>
      </c>
      <c r="F17672" s="5" t="str">
        <f>"Descripcion: LICENCIA OFFICE HOME AND BUSIMESS 2013 Estado: Bueno Placa anterior: 000030613 Material:  Color:  Referencia:  Observacion: FACTURACION PRINCIPAL Placa padre: Tipo adquisicion: Entidad"</f>
        <v>Descripcion: LICENCIA OFFICE HOME AND BUSIMESS 2013 Estado: Bueno Placa anterior: 000030613 Material:  Color:  Referencia:  Observacion: FACTURACION PRINCIPAL Placa padre: Tipo adquisicion: Entidad</v>
      </c>
      <c r="G17672" s="5"/>
    </row>
    <row r="17673" spans="1:7" ht="58.5" customHeight="1" x14ac:dyDescent="0.25">
      <c r="A17673" s="5" t="str">
        <f>"B0005038"</f>
        <v>B0005038</v>
      </c>
      <c r="B17673" s="5" t="str">
        <f>"LICENCIA OFFICE HOME AND BUSINEES"</f>
        <v>LICENCIA OFFICE HOME AND BUSINEES</v>
      </c>
      <c r="C17673" s="6">
        <v>440800</v>
      </c>
      <c r="D17673" s="5" t="s">
        <v>1</v>
      </c>
      <c r="E17673" s="5" t="str">
        <f t="shared" si="909"/>
        <v>ACTISALUD- FACTURACION PRINCIPAL</v>
      </c>
      <c r="F17673" s="5" t="str">
        <f>"Descripcion: LICENCIA OFFICE HOME AND BUSIMESS 2013 Estado: Bueno Placa anterior: 000030614 Material:  Color:  Referencia:  Observacion: FACTURACION PRINCIPAL Placa padre: Tipo adquisicion: Entidad"</f>
        <v>Descripcion: LICENCIA OFFICE HOME AND BUSIMESS 2013 Estado: Bueno Placa anterior: 000030614 Material:  Color:  Referencia:  Observacion: FACTURACION PRINCIPAL Placa padre: Tipo adquisicion: Entidad</v>
      </c>
      <c r="G17673" s="5"/>
    </row>
    <row r="17674" spans="1:7" ht="58.5" customHeight="1" x14ac:dyDescent="0.25">
      <c r="A17674" s="5" t="str">
        <f>"B0005039"</f>
        <v>B0005039</v>
      </c>
      <c r="B17674" s="5" t="str">
        <f>"LICENCIA OFFICE HOME AND BUSINEES"</f>
        <v>LICENCIA OFFICE HOME AND BUSINEES</v>
      </c>
      <c r="C17674" s="6">
        <v>440800</v>
      </c>
      <c r="D17674" s="5" t="s">
        <v>1</v>
      </c>
      <c r="E17674" s="5" t="str">
        <f t="shared" si="909"/>
        <v>ACTISALUD- FACTURACION PRINCIPAL</v>
      </c>
      <c r="F17674" s="5" t="str">
        <f>"Descripcion: LICENCIA OFFICE HOME AND BUSIMESS 2013 Estado: Bueno Placa anterior: 000030623 Material:  Color:  Referencia:  Observacion: FACTURACION PRINCIPAL Placa padre: Tipo adquisicion: Entidad"</f>
        <v>Descripcion: LICENCIA OFFICE HOME AND BUSIMESS 2013 Estado: Bueno Placa anterior: 000030623 Material:  Color:  Referencia:  Observacion: FACTURACION PRINCIPAL Placa padre: Tipo adquisicion: Entidad</v>
      </c>
      <c r="G17674" s="5"/>
    </row>
    <row r="17675" spans="1:7" ht="58.5" customHeight="1" x14ac:dyDescent="0.25">
      <c r="A17675" s="5" t="str">
        <f>"B0005040"</f>
        <v>B0005040</v>
      </c>
      <c r="B17675" s="5" t="str">
        <f>"LICENCIA OFFICE HOME AND BUSINEES"</f>
        <v>LICENCIA OFFICE HOME AND BUSINEES</v>
      </c>
      <c r="C17675" s="6">
        <v>440800</v>
      </c>
      <c r="D17675" s="5" t="s">
        <v>1</v>
      </c>
      <c r="E17675" s="5" t="str">
        <f t="shared" si="909"/>
        <v>ACTISALUD- FACTURACION PRINCIPAL</v>
      </c>
      <c r="F17675" s="5" t="str">
        <f>"Descripcion: LICENCIA OFFICE HOME AND BUSIMESS 2013 Estado: Bueno Placa anterior: 000030636 Material:  Color:  Referencia:  Observacion: FACTURACION PRINCIPAL Placa padre: Tipo adquisicion: Entidad"</f>
        <v>Descripcion: LICENCIA OFFICE HOME AND BUSIMESS 2013 Estado: Bueno Placa anterior: 000030636 Material:  Color:  Referencia:  Observacion: FACTURACION PRINCIPAL Placa padre: Tipo adquisicion: Entidad</v>
      </c>
      <c r="G17675" s="5"/>
    </row>
    <row r="17676" spans="1:7" ht="58.5" customHeight="1" x14ac:dyDescent="0.25">
      <c r="A17676" s="5" t="str">
        <f>"B0005041"</f>
        <v>B0005041</v>
      </c>
      <c r="B17676" s="5" t="str">
        <f>"LICENCIA OFFICE HOME AND BUSINEES"</f>
        <v>LICENCIA OFFICE HOME AND BUSINEES</v>
      </c>
      <c r="C17676" s="6">
        <v>440800</v>
      </c>
      <c r="D17676" s="5" t="s">
        <v>2</v>
      </c>
      <c r="E17676" s="5" t="str">
        <f t="shared" si="909"/>
        <v>ACTISALUD- FACTURACION PRINCIPAL</v>
      </c>
      <c r="F17676" s="5" t="str">
        <f>"Descripcion: LICENCIA OFFICE HOME AND BUSIMESS 2013 Estado: Bueno Placa anterior: 000030820 Material:  Color:  Referencia:  Observacion: FACTURACION PRINCIPAL Placa padre: Tipo adquisicion: Entidad"</f>
        <v>Descripcion: LICENCIA OFFICE HOME AND BUSIMESS 2013 Estado: Bueno Placa anterior: 000030820 Material:  Color:  Referencia:  Observacion: FACTURACION PRINCIPAL Placa padre: Tipo adquisicion: Entidad</v>
      </c>
      <c r="G17676" s="5"/>
    </row>
    <row r="17677" spans="1:7" ht="58.5" customHeight="1" x14ac:dyDescent="0.25">
      <c r="A17677" s="5" t="str">
        <f>"B0005042"</f>
        <v>B0005042</v>
      </c>
      <c r="B17677" s="5" t="str">
        <f>"LICENCIA VISUAL FOX PRO"</f>
        <v>LICENCIA VISUAL FOX PRO</v>
      </c>
      <c r="C17677" s="6">
        <v>1863825</v>
      </c>
      <c r="D17677" s="5"/>
      <c r="E17677" s="5" t="str">
        <f t="shared" si="909"/>
        <v>ACTISALUD- FACTURACION PRINCIPAL</v>
      </c>
      <c r="F17677" s="5" t="str">
        <f>"Descripcion: LICENCIA VISUAL FOX PRO VERSION 7.0 Estado: Bueno Placa anterior: 000021777 Material:  Color:  Referencia:  Observacion: FACTURACION PRINCIPAL Placa padre: Tipo adquisicion: Entidad"</f>
        <v>Descripcion: LICENCIA VISUAL FOX PRO VERSION 7.0 Estado: Bueno Placa anterior: 000021777 Material:  Color:  Referencia:  Observacion: FACTURACION PRINCIPAL Placa padre: Tipo adquisicion: Entidad</v>
      </c>
      <c r="G17677" s="5"/>
    </row>
    <row r="17678" spans="1:7" ht="58.5" customHeight="1" x14ac:dyDescent="0.25">
      <c r="A17678" s="5" t="str">
        <f>"B0005059"</f>
        <v>B0005059</v>
      </c>
      <c r="B17678" s="5" t="str">
        <f>"LICENCIA OFFICE HOME AND BUSINEES"</f>
        <v>LICENCIA OFFICE HOME AND BUSINEES</v>
      </c>
      <c r="C17678" s="6">
        <v>440800</v>
      </c>
      <c r="D17678" s="5" t="s">
        <v>1</v>
      </c>
      <c r="E17678" s="5" t="str">
        <f t="shared" si="909"/>
        <v>ACTISALUD- FACTURACION PRINCIPAL</v>
      </c>
      <c r="F17678" s="5" t="str">
        <f>"Descripcion: LICENCIA OFFICE HOME AND BUSIMESS 2013 Estado: Bueno Placa anterior: 000030639 Material:  Color:  Referencia:  Observacion: AUDITORIA DE CUENTAS Placa padre: Tipo adquisicion: Entidad"</f>
        <v>Descripcion: LICENCIA OFFICE HOME AND BUSIMESS 2013 Estado: Bueno Placa anterior: 000030639 Material:  Color:  Referencia:  Observacion: AUDITORIA DE CUENTAS Placa padre: Tipo adquisicion: Entidad</v>
      </c>
      <c r="G17678" s="5"/>
    </row>
    <row r="17679" spans="1:7" ht="58.5" customHeight="1" x14ac:dyDescent="0.25">
      <c r="A17679" s="5" t="str">
        <f>"B0005060"</f>
        <v>B0005060</v>
      </c>
      <c r="B17679" s="5" t="str">
        <f>"LICENCIA OFFICE HOME AND BUSINEES"</f>
        <v>LICENCIA OFFICE HOME AND BUSINEES</v>
      </c>
      <c r="C17679" s="6">
        <v>440800</v>
      </c>
      <c r="D17679" s="5" t="s">
        <v>2</v>
      </c>
      <c r="E17679" s="5" t="str">
        <f t="shared" si="909"/>
        <v>ACTISALUD- FACTURACION PRINCIPAL</v>
      </c>
      <c r="F17679" s="5" t="str">
        <f>"Descripcion: LICENCIA OFFICE HOME AND BUSIMESS 2013 Estado: Bueno Placa anterior: 000030808 Material:  Color:  Referencia:  Observacion: AUDITORIA DE CUENTAS Placa padre: Tipo adquisicion: Entidad"</f>
        <v>Descripcion: LICENCIA OFFICE HOME AND BUSIMESS 2013 Estado: Bueno Placa anterior: 000030808 Material:  Color:  Referencia:  Observacion: AUDITORIA DE CUENTAS Placa padre: Tipo adquisicion: Entidad</v>
      </c>
      <c r="G17679" s="5"/>
    </row>
    <row r="17680" spans="1:7" ht="58.5" customHeight="1" x14ac:dyDescent="0.25">
      <c r="A17680" s="5" t="str">
        <f>"B0005062"</f>
        <v>B0005062</v>
      </c>
      <c r="B17680" s="5" t="str">
        <f>"LICENCIA OFFICE HOME AND BUSINEES"</f>
        <v>LICENCIA OFFICE HOME AND BUSINEES</v>
      </c>
      <c r="C17680" s="6">
        <v>440800</v>
      </c>
      <c r="D17680" s="5" t="s">
        <v>1</v>
      </c>
      <c r="E17680" s="5" t="str">
        <f t="shared" si="909"/>
        <v>ACTISALUD- FACTURACION PRINCIPAL</v>
      </c>
      <c r="F17680" s="5" t="str">
        <f>"Descripcion: LICENCIA OFFICE HOME AND BUSIMESS 2013 Estado: Bueno Placa anterior: 000030635 Material:  Color:  Referencia:  Observacion: AUDITORIA MEDICA Placa padre: Tipo adquisicion: Entidad"</f>
        <v>Descripcion: LICENCIA OFFICE HOME AND BUSIMESS 2013 Estado: Bueno Placa anterior: 000030635 Material:  Color:  Referencia:  Observacion: AUDITORIA MEDICA Placa padre: Tipo adquisicion: Entidad</v>
      </c>
      <c r="G17680" s="5"/>
    </row>
    <row r="17681" spans="1:7" ht="58.5" customHeight="1" x14ac:dyDescent="0.25">
      <c r="A17681" s="5" t="str">
        <f>"H0000156"</f>
        <v>H0000156</v>
      </c>
      <c r="B17681" s="5" t="str">
        <f>"ESCRITORIO METALICO 3 GAVETAS"</f>
        <v>ESCRITORIO METALICO 3 GAVETAS</v>
      </c>
      <c r="C17681" s="6">
        <v>22166</v>
      </c>
      <c r="D17681" s="5"/>
      <c r="E17681" s="5" t="str">
        <f t="shared" si="909"/>
        <v>ACTISALUD- FACTURACION PRINCIPAL</v>
      </c>
      <c r="F17681" s="5" t="str">
        <f>"Descripcion: ESCRITORIO METALICO DE 3 GAVETAS Estado: Bueno Placa anterior: 000002461 Material: METALICO CON MESON EN FORMICA Color: GRIS CON MADERA OSCURA Referencia:  Observacion:  Placa padre: Tipo adquisicion: Entidad"</f>
        <v>Descripcion: ESCRITORIO METALICO DE 3 GAVETAS Estado: Bueno Placa anterior: 000002461 Material: METALICO CON MESON EN FORMICA Color: GRIS CON MADERA OSCURA Referencia:  Observacion:  Placa padre: Tipo adquisicion: Entidad</v>
      </c>
      <c r="G17681" s="5"/>
    </row>
    <row r="17682" spans="1:7" ht="58.5" customHeight="1" x14ac:dyDescent="0.25">
      <c r="A17682" s="5" t="str">
        <f>"H0000702"</f>
        <v>H0000702</v>
      </c>
      <c r="B17682" s="5" t="str">
        <f>"VITRINA DE 2 CUERPOS"</f>
        <v>VITRINA DE 2 CUERPOS</v>
      </c>
      <c r="C17682" s="6">
        <v>66108.53</v>
      </c>
      <c r="D17682" s="5"/>
      <c r="E17682" s="5" t="str">
        <f t="shared" si="909"/>
        <v>ACTISALUD- FACTURACION PRINCIPAL</v>
      </c>
      <c r="F17682" s="5" t="str">
        <f>"Descripcion: 2 PUERTAS CON VIDRIO CON CHAPA2 GAVETAS2 PUERTAS METALICAS150X80X40 Estado: Bueno Placa anterior: 000006847 Material: METALICO Color: GRIS OSCURO Referencia:  Observacion: OXIDADA EN LA PARTE DE ABAJO, SE ENCUENTRA EN EL CONSULTORIO 18 Placa "&amp; "padre: Tipo adquisicion: Entidad"</f>
        <v>Descripcion: 2 PUERTAS CON VIDRIO CON CHAPA2 GAVETAS2 PUERTAS METALICAS150X80X40 Estado: Bueno Placa anterior: 000006847 Material: METALICO Color: GRIS OSCURO Referencia:  Observacion: OXIDADA EN LA PARTE DE ABAJO, SE ENCUENTRA EN EL CONSULTORIO 18 Placa padre: Tipo adquisicion: Entidad</v>
      </c>
      <c r="G17682" s="5"/>
    </row>
    <row r="17683" spans="1:7" ht="58.5" customHeight="1" x14ac:dyDescent="0.25">
      <c r="A17683" s="5" t="str">
        <f>"H0001947"</f>
        <v>H0001947</v>
      </c>
      <c r="B17683" s="5" t="str">
        <f>"NEVERA DE 66 LTS"</f>
        <v>NEVERA DE 66 LTS</v>
      </c>
      <c r="C17683" s="6">
        <v>65686.09</v>
      </c>
      <c r="D17683" s="5"/>
      <c r="E17683" s="5" t="str">
        <f t="shared" si="909"/>
        <v>ACTISALUD- FACTURACION PRINCIPAL</v>
      </c>
      <c r="F17683" s="5" t="str">
        <f>"Descripcion: NEVERA MCA. ICASA Estado: Bueno Placa anterior: 000008904 Material: METALICO Color: BEIGE Referencia:  Observacion: NEVERA 2 PUERTAS Placa padre: Tipo adquisicion: Entidad"</f>
        <v>Descripcion: NEVERA MCA. ICASA Estado: Bueno Placa anterior: 000008904 Material: METALICO Color: BEIGE Referencia:  Observacion: NEVERA 2 PUERTAS Placa padre: Tipo adquisicion: Entidad</v>
      </c>
      <c r="G17683" s="5" t="str">
        <f>"DV-II-13"</f>
        <v>DV-II-13</v>
      </c>
    </row>
    <row r="17684" spans="1:7" ht="58.5" customHeight="1" x14ac:dyDescent="0.25">
      <c r="A17684" s="5" t="str">
        <f>"H0002382"</f>
        <v>H0002382</v>
      </c>
      <c r="B17684" s="5" t="str">
        <f>"UNIDAD ININTERRUMPIDA DE POTENCIA (UPS) 1KW"</f>
        <v>UNIDAD ININTERRUMPIDA DE POTENCIA (UPS) 1KW</v>
      </c>
      <c r="C17684" s="6">
        <v>1276000</v>
      </c>
      <c r="D17684" s="5"/>
      <c r="E17684" s="5" t="str">
        <f t="shared" si="909"/>
        <v>ACTISALUD- FACTURACION PRINCIPAL</v>
      </c>
      <c r="F17684" s="5" t="str">
        <f>"Descripcion:UPS U-1200 4 TOMAS - UPS DE 1Kva MONTAJE EN RACK  Estado: Excelente Placa anterior: 000037093 Material: PASTA Color: NEGRO Referencia: UPS U-1200 Observacion:  Placa padre:  Tipo adquisicion : Entidad"</f>
        <v>Descripcion:UPS U-1200 4 TOMAS - UPS DE 1Kva MONTAJE EN RACK  Estado: Excelente Placa anterior: 000037093 Material: PASTA Color: NEGRO Referencia: UPS U-1200 Observacion:  Placa padre:  Tipo adquisicion : Entidad</v>
      </c>
      <c r="G17684" s="5" t="str">
        <f>"U-1200"</f>
        <v>U-1200</v>
      </c>
    </row>
    <row r="17685" spans="1:7" ht="58.5" customHeight="1" x14ac:dyDescent="0.25">
      <c r="A17685" s="5" t="str">
        <f>"H0002440"</f>
        <v>H0002440</v>
      </c>
      <c r="B17685" s="5" t="str">
        <f>"COMPUTADOR TODO EN UNO"</f>
        <v>COMPUTADOR TODO EN UNO</v>
      </c>
      <c r="C17685" s="6">
        <v>2470000</v>
      </c>
      <c r="D17685" s="5" t="s">
        <v>684</v>
      </c>
      <c r="E17685" s="5" t="str">
        <f t="shared" si="909"/>
        <v>ACTISALUD- FACTURACION PRINCIPAL</v>
      </c>
      <c r="F17685" s="5" t="str">
        <f>"Descripcion: EQUIPO DE COMPUTO TODO EN UNO CON PROCESADOR INTEL i5 Estado: Excelente Placa anterior: 000037281 Material: PASTA Color: NEGRO Referencia: 10BDFDLS Observacion:  Placa anterior:, Placa nueva=H0002442, Descripcion:MOUSE USB  3 BOTONES, Serial:"&amp; "44PC961, Marca:LENOVO, Modelo:45J4889, Material:PASTA, Color:NEGRO,   Referencia:, Placa anterior:, Placa nueva=H0002441, Descripcion:TECLADO USB LENOVO, Serial:8259064, Marca:LENOVO, Modelo:KU-0225, Material:PASTA, Color:NEGRO,   Referencia:54Y9424 Placa"&amp; " padre: Tipo adquisicion: Entidad"</f>
        <v>Descripcion: EQUIPO DE COMPUTO TODO EN UNO CON PROCESADOR INTEL i5 Estado: Excelente Placa anterior: 000037281 Material: PASTA Color: NEGRO Referencia: 10BDFDLS Observacion:  Placa anterior:, Placa nueva=H0002442, Descripcion:MOUSE USB  3 BOTONES, Serial:44PC961, Marca:LENOVO, Modelo:45J4889, Material:PASTA, Color:NEGRO,   Referencia:, Placa anterior:, Placa nueva=H0002441, Descripcion:TECLADO USB LENOVO, Serial:8259064, Marca:LENOVO, Modelo:KU-0225, Material:PASTA, Color:NEGRO,   Referencia:54Y9424 Placa padre: Tipo adquisicion: Entidad</v>
      </c>
      <c r="G17685" s="5" t="str">
        <f>"00FDLS"</f>
        <v>00FDLS</v>
      </c>
    </row>
    <row r="17686" spans="1:7" ht="58.5" customHeight="1" x14ac:dyDescent="0.25">
      <c r="A17686" s="5" t="str">
        <f>"H0002461"</f>
        <v>H0002461</v>
      </c>
      <c r="B17686" s="5" t="str">
        <f>"COMPUTADOR TODO EN UNO"</f>
        <v>COMPUTADOR TODO EN UNO</v>
      </c>
      <c r="C17686" s="6">
        <v>2470000</v>
      </c>
      <c r="D17686" s="5"/>
      <c r="E17686" s="5" t="str">
        <f t="shared" si="909"/>
        <v>ACTISALUD- FACTURACION PRINCIPAL</v>
      </c>
      <c r="F17686" s="5" t="str">
        <f>"Descripcion:EQUIPO DE COMPUTO TODO EN UNO CON PROCESADOR INTEL i5 Estado: Excelente Placa anterior: 000037296 Material: PASTA Color: NEGRO Referencia: 10BDFDLS Observacion:  Placa anterior:, Placa nueva=H0002462, Descripcion:TECLADO USB LENOVO, Serial:825"&amp; "9887, Marca:LENOVO, Modelo:KU-0225, Material:PASTA, Color:NEGRO,   Referencia:54Y9424, Placa anterior:, Placa nueva=H0002463, Descripcion:MOUSE USB  3 BOTONES, Serial:44MG824, Marca:LENOVO, Modelo:45J4889, Material:PASTA, Color:NEGRO,   Referencia: Placa "&amp; "padre:  Tipo adquisicion : Entidad"</f>
        <v>Descripcion:EQUIPO DE COMPUTO TODO EN UNO CON PROCESADOR INTEL i5 Estado: Excelente Placa anterior: 000037296 Material: PASTA Color: NEGRO Referencia: 10BDFDLS Observacion:  Placa anterior:, Placa nueva=H0002462, Descripcion:TECLADO USB LENOVO, Serial:8259887, Marca:LENOVO, Modelo:KU-0225, Material:PASTA, Color:NEGRO,   Referencia:54Y9424, Placa anterior:, Placa nueva=H0002463, Descripcion:MOUSE USB  3 BOTONES, Serial:44MG824, Marca:LENOVO, Modelo:45J4889, Material:PASTA, Color:NEGRO,   Referencia: Placa padre:  Tipo adquisicion : Entidad</v>
      </c>
      <c r="G17686" s="5" t="str">
        <f>"00FDLS"</f>
        <v>00FDLS</v>
      </c>
    </row>
    <row r="17687" spans="1:7" ht="58.5" customHeight="1" x14ac:dyDescent="0.25">
      <c r="A17687" s="5" t="str">
        <f>"H0002518"</f>
        <v>H0002518</v>
      </c>
      <c r="B17687" s="5" t="str">
        <f>"COMPUTADOR TODO EN UNO"</f>
        <v>COMPUTADOR TODO EN UNO</v>
      </c>
      <c r="C17687" s="6">
        <v>2470000</v>
      </c>
      <c r="D17687" s="5"/>
      <c r="E17687" s="5" t="str">
        <f t="shared" si="909"/>
        <v>ACTISALUD- FACTURACION PRINCIPAL</v>
      </c>
      <c r="F17687" s="5" t="str">
        <f>"Descripcion:EQUIPO DE COMPUTO TODO EN UNO CON PROCESADOR INTEL i5 Estado: Excelente Placa anterior: 000037035 Material: PASTA Color: NEGRO Referencia: 10BDFDLS Observacion:  Placa anterior:, Placa nueva=H0002520, Descripcion:MOUSE USB  3 BOTONES, Serial:4"&amp; "4MG157, Marca:LENOVO, Modelo:45J4889, Material:PASTA, Color:NEGRO,   Referencia:, Placa anterior:, Placa nueva=H0002519, Descripcion:TECLADO USB LENOVO, Serial:8258928, Marca:LENOVO, Modelo:KU-0225, Material:PASTA, Color:NEGRO,   Referencia:54Y9424 Placa "&amp; "padre:  Tipo adquisicion : Entidad"</f>
        <v>Descripcion:EQUIPO DE COMPUTO TODO EN UNO CON PROCESADOR INTEL i5 Estado: Excelente Placa anterior: 000037035 Material: PASTA Color: NEGRO Referencia: 10BDFDLS Observacion:  Placa anterior:, Placa nueva=H0002520, Descripcion:MOUSE USB  3 BOTONES, Serial:44MG157, Marca:LENOVO, Modelo:45J4889, Material:PASTA, Color:NEGRO,   Referencia:, Placa anterior:, Placa nueva=H0002519, Descripcion:TECLADO USB LENOVO, Serial:8258928, Marca:LENOVO, Modelo:KU-0225, Material:PASTA, Color:NEGRO,   Referencia:54Y9424 Placa padre:  Tipo adquisicion : Entidad</v>
      </c>
      <c r="G17687" s="5"/>
    </row>
    <row r="17688" spans="1:7" ht="58.5" customHeight="1" x14ac:dyDescent="0.25">
      <c r="A17688" s="5" t="str">
        <f>"H0002521"</f>
        <v>H0002521</v>
      </c>
      <c r="B17688" s="5" t="str">
        <f>"COMPUTADOR TODO EN UNO"</f>
        <v>COMPUTADOR TODO EN UNO</v>
      </c>
      <c r="C17688" s="6">
        <v>2470000</v>
      </c>
      <c r="D17688" s="5"/>
      <c r="E17688" s="5" t="str">
        <f t="shared" si="909"/>
        <v>ACTISALUD- FACTURACION PRINCIPAL</v>
      </c>
      <c r="F17688" s="5" t="str">
        <f>"Descripcion:EQUIPO DE COMPUTO TODO EN UNO CON PROCESADOR INTEL i5 Estado: Excelente Placa anterior: 000037036 Material: PASTA Color: NEGRO Referencia: 10BDFDLS Observacion:  Placa anterior:, Placa nueva=H0002523, Descripcion:MOUSE USB  3 BOTONES, Serial:4"&amp; "4MG195, Marca:LENOVO, Modelo:45J4889, Material:PASTA, Color:NEGRO,   Referencia:, Placa anterior:, Placa nueva=H0002522, Descripcion:TECLADO USB LENOVO, Serial:8258898, Marca:LENOVO, Modelo:KU-0225, Material:PASTA, Color:NEGRO,   Referencia:54Y9424 Placa "&amp; "padre:  Tipo adquisicion : Entidad"</f>
        <v>Descripcion:EQUIPO DE COMPUTO TODO EN UNO CON PROCESADOR INTEL i5 Estado: Excelente Placa anterior: 000037036 Material: PASTA Color: NEGRO Referencia: 10BDFDLS Observacion:  Placa anterior:, Placa nueva=H0002523, Descripcion:MOUSE USB  3 BOTONES, Serial:44MG195, Marca:LENOVO, Modelo:45J4889, Material:PASTA, Color:NEGRO,   Referencia:, Placa anterior:, Placa nueva=H0002522, Descripcion:TECLADO USB LENOVO, Serial:8258898, Marca:LENOVO, Modelo:KU-0225, Material:PASTA, Color:NEGRO,   Referencia:54Y9424 Placa padre:  Tipo adquisicion : Entidad</v>
      </c>
      <c r="G17688" s="5" t="str">
        <f>"00FDLS"</f>
        <v>00FDLS</v>
      </c>
    </row>
    <row r="17689" spans="1:7" ht="58.5" customHeight="1" x14ac:dyDescent="0.25">
      <c r="A17689" s="5" t="str">
        <f>"H0002767"</f>
        <v>H0002767</v>
      </c>
      <c r="B17689" s="5" t="str">
        <f>"VENTILADOR DE PARED"</f>
        <v>VENTILADOR DE PARED</v>
      </c>
      <c r="C17689" s="6">
        <v>72477.5</v>
      </c>
      <c r="D17689" s="5"/>
      <c r="E17689" s="5" t="str">
        <f t="shared" si="909"/>
        <v>ACTISALUD- FACTURACION PRINCIPAL</v>
      </c>
      <c r="F17689" s="5" t="str">
        <f>"Descripcion:VENTILADOR DE PARED 18   VENTILADOR DE PARED REF. 987181 SILENC. CON GARANTIA DE UN AÑO POR PARTE DEL FABRICANTE Estado: Excelente Placa anterior: 000037173 Material: PASTA Color: BLANCO Referencia: 987181 Observacion:  Placa padre:  Tipo adqu"&amp; "isicion : Entidad"</f>
        <v>Descripcion:VENTILADOR DE PARED 18   VENTILADOR DE PARED REF. 987181 SILENC. CON GARANTIA DE UN AÑO POR PARTE DEL FABRICANTE Estado: Excelente Placa anterior: 000037173 Material: PASTA Color: BLANCO Referencia: 987181 Observacion:  Placa padre:  Tipo adquisicion : Entidad</v>
      </c>
      <c r="G17689" s="5" t="str">
        <f>"TURBO SILENCE MAXX"</f>
        <v>TURBO SILENCE MAXX</v>
      </c>
    </row>
    <row r="17690" spans="1:7" ht="58.5" customHeight="1" x14ac:dyDescent="0.25">
      <c r="A17690" s="5" t="str">
        <f>"H0002768"</f>
        <v>H0002768</v>
      </c>
      <c r="B17690" s="5" t="str">
        <f>"VENTILADOR DE PARED"</f>
        <v>VENTILADOR DE PARED</v>
      </c>
      <c r="C17690" s="6">
        <v>72477.5</v>
      </c>
      <c r="D17690" s="5"/>
      <c r="E17690" s="5" t="str">
        <f t="shared" si="909"/>
        <v>ACTISALUD- FACTURACION PRINCIPAL</v>
      </c>
      <c r="F17690" s="5" t="str">
        <f>"Descripcion:VENTILADOR DE PARED VENTILADOR DE PARED REF. 987181 SILENC. CON GARANTIA DE UN AÑO POR PARTE DEL FABRICANTE Estado: Excelente Placa anterior: 000037174 Material: PASTA Color: BLANCO Referencia: 987181 Observacion:  Placa padre:  Tipo adquisici"&amp; "on : Entidad"</f>
        <v>Descripcion:VENTILADOR DE PARED VENTILADOR DE PARED REF. 987181 SILENC. CON GARANTIA DE UN AÑO POR PARTE DEL FABRICANTE Estado: Excelente Placa anterior: 000037174 Material: PASTA Color: BLANCO Referencia: 987181 Observacion:  Placa padre:  Tipo adquisicion : Entidad</v>
      </c>
      <c r="G17690" s="5" t="str">
        <f>"TURBO SILENCE MAXX"</f>
        <v>TURBO SILENCE MAXX</v>
      </c>
    </row>
    <row r="17691" spans="1:7" ht="58.5" customHeight="1" x14ac:dyDescent="0.25">
      <c r="A17691" s="5" t="str">
        <f>"H0002769"</f>
        <v>H0002769</v>
      </c>
      <c r="B17691" s="5" t="str">
        <f>"VENTILADOR DE PARED"</f>
        <v>VENTILADOR DE PARED</v>
      </c>
      <c r="C17691" s="6">
        <v>72477.5</v>
      </c>
      <c r="D17691" s="5"/>
      <c r="E17691" s="5" t="str">
        <f t="shared" si="909"/>
        <v>ACTISALUD- FACTURACION PRINCIPAL</v>
      </c>
      <c r="F17691" s="5" t="str">
        <f>"Descripcion:VENTILADOR DE PARED 18  VENTILADOR DE PARED REF. 987181 SILENC. CON GARANTIA DE UN AÑO POR PARTE DEL FABRICANTE Estado: Excelente Placa anterior: 000037175 Material: PASTA Color: BLANCO Referencia: 987181 Observacion:  Placa padre:  Tipo adqui"&amp; "sicion : Entidad"</f>
        <v>Descripcion:VENTILADOR DE PARED 18  VENTILADOR DE PARED REF. 987181 SILENC. CON GARANTIA DE UN AÑO POR PARTE DEL FABRICANTE Estado: Excelente Placa anterior: 000037175 Material: PASTA Color: BLANCO Referencia: 987181 Observacion:  Placa padre:  Tipo adquisicion : Entidad</v>
      </c>
      <c r="G17691" s="5" t="str">
        <f>"TURBO SILENCE MAXX"</f>
        <v>TURBO SILENCE MAXX</v>
      </c>
    </row>
    <row r="17692" spans="1:7" ht="58.5" customHeight="1" x14ac:dyDescent="0.25">
      <c r="A17692" s="5" t="str">
        <f>"H0002770"</f>
        <v>H0002770</v>
      </c>
      <c r="B17692" s="5" t="str">
        <f>"VENTILADOR DE PARED"</f>
        <v>VENTILADOR DE PARED</v>
      </c>
      <c r="C17692" s="6">
        <v>72477.5</v>
      </c>
      <c r="D17692" s="5"/>
      <c r="E17692" s="5" t="str">
        <f t="shared" si="909"/>
        <v>ACTISALUD- FACTURACION PRINCIPAL</v>
      </c>
      <c r="F17692" s="5" t="str">
        <f>"Descripcion:VENTILADOR DE PARED 18  VENTILADOR DE PARED REF. 987181 SILENC. CON GARANTIA DE UN AÑO POR PARTE DEL FABRICANTE Estado: Excelente Placa anterior: 000037176 Material: PASTA Color: BLANCO Referencia: 987181 Observacion:  Placa padre:  Tipo adqui"&amp; "sicion : Entidad"</f>
        <v>Descripcion:VENTILADOR DE PARED 18  VENTILADOR DE PARED REF. 987181 SILENC. CON GARANTIA DE UN AÑO POR PARTE DEL FABRICANTE Estado: Excelente Placa anterior: 000037176 Material: PASTA Color: BLANCO Referencia: 987181 Observacion:  Placa padre:  Tipo adquisicion : Entidad</v>
      </c>
      <c r="G17692" s="5" t="str">
        <f>"TURBO SILENCE MAXX"</f>
        <v>TURBO SILENCE MAXX</v>
      </c>
    </row>
    <row r="17693" spans="1:7" ht="58.5" customHeight="1" x14ac:dyDescent="0.25">
      <c r="A17693" s="5" t="str">
        <f>"H0004462"</f>
        <v>H0004462</v>
      </c>
      <c r="B17693" s="5" t="str">
        <f>"AIRE ACONDICIONADO TIPO VENTANA 12000 BTU"</f>
        <v>AIRE ACONDICIONADO TIPO VENTANA 12000 BTU</v>
      </c>
      <c r="C17693" s="6">
        <v>880000</v>
      </c>
      <c r="D17693" s="5"/>
      <c r="E17693" s="5" t="str">
        <f t="shared" si="909"/>
        <v>ACTISALUD- FACTURACION PRINCIPAL</v>
      </c>
      <c r="F17693" s="5" t="str">
        <f>"Descripcion: LG Estado: Bueno Placa anterior: 000022592 Material: METAL Color: BLANCO Referencia: GOLD Observacion:  Placa padre: Tipo adquisicion: Entidad"</f>
        <v>Descripcion: LG Estado: Bueno Placa anterior: 000022592 Material: METAL Color: BLANCO Referencia: GOLD Observacion:  Placa padre: Tipo adquisicion: Entidad</v>
      </c>
      <c r="G17693" s="5" t="str">
        <f>"LWC123CSMK1"</f>
        <v>LWC123CSMK1</v>
      </c>
    </row>
    <row r="17694" spans="1:7" ht="58.5" customHeight="1" x14ac:dyDescent="0.25">
      <c r="A17694" s="5" t="str">
        <f>"H0004470"</f>
        <v>H0004470</v>
      </c>
      <c r="B17694" s="5" t="str">
        <f>"ESTANTE METALICO 6 ENTREPAÑOS"</f>
        <v>ESTANTE METALICO 6 ENTREPAÑOS</v>
      </c>
      <c r="C17694" s="6">
        <v>27590.38</v>
      </c>
      <c r="D17694" s="5"/>
      <c r="E17694" s="5" t="str">
        <f t="shared" si="909"/>
        <v>ACTISALUD- FACTURACION PRINCIPAL</v>
      </c>
      <c r="F17694" s="5" t="str">
        <f>"Descripcion: MIDE 202X94X31 CM Estado: Bueno Placa anterior: 000001436 Material: METAL GRIS Color: NEGRO Referencia:  Observacion:  Placa padre: Tipo adquisicion: Entidad"</f>
        <v>Descripcion: MIDE 202X94X31 CM Estado: Bueno Placa anterior: 000001436 Material: METAL GRIS Color: NEGRO Referencia:  Observacion:  Placa padre: Tipo adquisicion: Entidad</v>
      </c>
      <c r="G17694" s="5"/>
    </row>
    <row r="17695" spans="1:7" ht="58.5" customHeight="1" x14ac:dyDescent="0.25">
      <c r="A17695" s="5" t="str">
        <f>"H0004471"</f>
        <v>H0004471</v>
      </c>
      <c r="B17695" s="5" t="str">
        <f>"ESTANTE METALICO 5 ENTREPAÑOS"</f>
        <v>ESTANTE METALICO 5 ENTREPAÑOS</v>
      </c>
      <c r="C17695" s="6">
        <v>170000</v>
      </c>
      <c r="D17695" s="5"/>
      <c r="E17695" s="5" t="str">
        <f t="shared" si="909"/>
        <v>ACTISALUD- FACTURACION PRINCIPAL</v>
      </c>
      <c r="F17695" s="5" t="str">
        <f>"Descripcion: MIDE 202X94X31 CM Estado: Bueno Placa anterior: 000022175 Material: METAL GRIS Color: NEGRO Referencia:  Observacion:  Placa padre: Tipo adquisicion: Entidad"</f>
        <v>Descripcion: MIDE 202X94X31 CM Estado: Bueno Placa anterior: 000022175 Material: METAL GRIS Color: NEGRO Referencia:  Observacion:  Placa padre: Tipo adquisicion: Entidad</v>
      </c>
      <c r="G17695" s="5"/>
    </row>
    <row r="17696" spans="1:7" ht="58.5" customHeight="1" x14ac:dyDescent="0.25">
      <c r="A17696" s="5" t="str">
        <f>"H0007340"</f>
        <v>H0007340</v>
      </c>
      <c r="B17696" s="5" t="str">
        <f>"CAJON MONEDERO"</f>
        <v>CAJON MONEDERO</v>
      </c>
      <c r="C17696" s="6">
        <v>105240</v>
      </c>
      <c r="D17696" s="5"/>
      <c r="E17696" s="5" t="str">
        <f t="shared" si="909"/>
        <v>ACTISALUD- FACTURACION PRINCIPAL</v>
      </c>
      <c r="F17696" s="5" t="str">
        <f>"Descripcion: CAJA METALICA CON LLAVE Estado: Bueno Placa anterior: 000027498 Material: METALICO Color: NEGRO Referencia:  Observacion:  Placa padre: Tipo adquisicion: Entidad"</f>
        <v>Descripcion: CAJA METALICA CON LLAVE Estado: Bueno Placa anterior: 000027498 Material: METALICO Color: NEGRO Referencia:  Observacion:  Placa padre: Tipo adquisicion: Entidad</v>
      </c>
      <c r="G17696" s="5"/>
    </row>
    <row r="17697" spans="1:7" ht="58.5" customHeight="1" x14ac:dyDescent="0.25">
      <c r="A17697" s="5" t="str">
        <f>"H0007583"</f>
        <v>H0007583</v>
      </c>
      <c r="B17697" s="5" t="str">
        <f>"CAJON MONEDERO"</f>
        <v>CAJON MONEDERO</v>
      </c>
      <c r="C17697" s="6">
        <v>105240</v>
      </c>
      <c r="D17697" s="5"/>
      <c r="E17697" s="5" t="str">
        <f t="shared" si="909"/>
        <v>ACTISALUD- FACTURACION PRINCIPAL</v>
      </c>
      <c r="F17697" s="5" t="str">
        <f>"Descripcion: CAJA METALICA CON LLAVE Estado: Bueno Placa anterior: 000027897 Material: METALICO Color: NEGRO Referencia:  Observacion:  Placa padre: Tipo adquisicion: Entidad"</f>
        <v>Descripcion: CAJA METALICA CON LLAVE Estado: Bueno Placa anterior: 000027897 Material: METALICO Color: NEGRO Referencia:  Observacion:  Placa padre: Tipo adquisicion: Entidad</v>
      </c>
      <c r="G17697" s="5"/>
    </row>
    <row r="17698" spans="1:7" ht="58.5" customHeight="1" x14ac:dyDescent="0.25">
      <c r="A17698" s="5" t="str">
        <f>"H0007584"</f>
        <v>H0007584</v>
      </c>
      <c r="B17698" s="5" t="str">
        <f>"IMPRESORA TERMICA"</f>
        <v>IMPRESORA TERMICA</v>
      </c>
      <c r="C17698" s="6">
        <v>1543960</v>
      </c>
      <c r="D17698" s="5" t="s">
        <v>52</v>
      </c>
      <c r="E17698" s="5" t="str">
        <f t="shared" si="909"/>
        <v>ACTISALUD- FACTURACION PRINCIPAL</v>
      </c>
      <c r="F17698" s="5" t="str">
        <f>"Descripcion: Impresora de manillas, termico directo, resolución 300 dpi, lenguaje programación ZPL, conexión USB, memoria flash 8MB, 16 MB en RAM Estado: Bueno Placa anterior: 000036451 Material: PASTA Color:  Referencia:  Observacion:  Placa padre: Tipo "&amp; "adquisicion: Entidad"</f>
        <v>Descripcion: Impresora de manillas, termico directo, resolución 300 dpi, lenguaje programación ZPL, conexión USB, memoria flash 8MB, 16 MB en RAM Estado: Bueno Placa anterior: 000036451 Material: PASTA Color:  Referencia:  Observacion:  Placa padre: Tipo adquisicion: Entidad</v>
      </c>
      <c r="G17698" s="5" t="str">
        <f>"HC-100"</f>
        <v>HC-100</v>
      </c>
    </row>
    <row r="17699" spans="1:7" ht="58.5" customHeight="1" x14ac:dyDescent="0.25">
      <c r="A17699" s="5" t="str">
        <f>"H0008033"</f>
        <v>H0008033</v>
      </c>
      <c r="B17699" s="5" t="str">
        <f>"MESA (SUPERFICIE) MODULAR"</f>
        <v>MESA (SUPERFICIE) MODULAR</v>
      </c>
      <c r="C17699" s="6">
        <v>110432</v>
      </c>
      <c r="D17699" s="5"/>
      <c r="E17699" s="5" t="str">
        <f t="shared" si="909"/>
        <v>ACTISALUD- FACTURACION PRINCIPAL</v>
      </c>
      <c r="F17699" s="5" t="str">
        <f>"Descripcion: MESA PARA IMPRESORA DE MADERA CON 1 ENREPAÑO Estado: Bueno Placa anterior: 000001767 Material: MADERA Color: NEGRA CON BEIGE Referencia:  Observacion:  Placa padre: Tipo adquisicion: Entidad"</f>
        <v>Descripcion: MESA PARA IMPRESORA DE MADERA CON 1 ENREPAÑO Estado: Bueno Placa anterior: 000001767 Material: MADERA Color: NEGRA CON BEIGE Referencia:  Observacion:  Placa padre: Tipo adquisicion: Entidad</v>
      </c>
      <c r="G17699" s="5"/>
    </row>
    <row r="17700" spans="1:7" ht="58.5" customHeight="1" x14ac:dyDescent="0.25">
      <c r="A17700" s="5" t="str">
        <f>"H0008085"</f>
        <v>H0008085</v>
      </c>
      <c r="B17700" s="5" t="str">
        <f>"LOCKER DE 6 COMPARTIMIENTOS"</f>
        <v>LOCKER DE 6 COMPARTIMIENTOS</v>
      </c>
      <c r="C17700" s="6">
        <v>585988</v>
      </c>
      <c r="D17700" s="5" t="s">
        <v>60</v>
      </c>
      <c r="E17700" s="5" t="str">
        <f t="shared" si="909"/>
        <v>ACTISALUD- FACTURACION PRINCIPAL</v>
      </c>
      <c r="F17700" s="5" t="str">
        <f>"Descripcion: LOCKER DE LAMINA CALIBRE 22 C/6 CASILLEROS, PORTACANDADO, MANIJA PROFUNDIZADA MEDIDAS 1.80X1.90 DE ANCHO X 35 DE FONDO DE PINTURA Estado: Bueno Placa anterior: 000029196 Material: METALICO Color: GRIS Referencia:  Observacion:  Placa padre: T"&amp; "ipo adquisicion: Entidad"</f>
        <v>Descripcion: LOCKER DE LAMINA CALIBRE 22 C/6 CASILLEROS, PORTACANDADO, MANIJA PROFUNDIZADA MEDIDAS 1.80X1.90 DE ANCHO X 35 DE FONDO DE PINTURA Estado: Bueno Placa anterior: 000029196 Material: METALICO Color: GRIS Referencia:  Observacion:  Placa padre: Tipo adquisicion: Entidad</v>
      </c>
      <c r="G17700" s="5"/>
    </row>
    <row r="17701" spans="1:7" ht="58.5" customHeight="1" x14ac:dyDescent="0.25">
      <c r="A17701" s="5" t="str">
        <f>"H0008366"</f>
        <v>H0008366</v>
      </c>
      <c r="B17701" s="5" t="str">
        <f>"SILLA INTERLOCUTORA (FIJA) SIN BRAZOS"</f>
        <v>SILLA INTERLOCUTORA (FIJA) SIN BRAZOS</v>
      </c>
      <c r="C17701" s="6">
        <v>5825.94</v>
      </c>
      <c r="D17701" s="5"/>
      <c r="E17701" s="5" t="str">
        <f t="shared" si="909"/>
        <v>ACTISALUD- FACTURACION PRINCIPAL</v>
      </c>
      <c r="F17701" s="5" t="str">
        <f>"Descripcion: SILLAS INTERLOCUTORAS PACIENTE EN CONSULTORIO  Estado: Bueno Placa anterior: 000018549 Material: METALICO CON ASIENTO TAPIZADO Y ESPALDAR TAPIZADO Color: NEGRO Referencia:  Observacion:  Placa padre: Tipo adquisicion: Entidad"</f>
        <v>Descripcion: SILLAS INTERLOCUTORAS PACIENTE EN CONSULTORIO  Estado: Bueno Placa anterior: 000018549 Material: METALICO CON ASIENTO TAPIZADO Y ESPALDAR TAPIZADO Color: NEGRO Referencia:  Observacion:  Placa padre: Tipo adquisicion: Entidad</v>
      </c>
      <c r="G17701" s="5"/>
    </row>
    <row r="17702" spans="1:7" ht="58.5" customHeight="1" x14ac:dyDescent="0.25">
      <c r="A17702" s="5" t="str">
        <f>"H0009179"</f>
        <v>H0009179</v>
      </c>
      <c r="B17702" s="5" t="str">
        <f>"SILLA PLASTICA CON BRAZOS"</f>
        <v>SILLA PLASTICA CON BRAZOS</v>
      </c>
      <c r="C17702" s="6">
        <v>14000</v>
      </c>
      <c r="D17702" s="5"/>
      <c r="E17702" s="5" t="str">
        <f t="shared" si="909"/>
        <v>ACTISALUD- FACTURACION PRINCIPAL</v>
      </c>
      <c r="F17702" s="5" t="str">
        <f>"Descripcion: SILLA PLASTICA BLANCA CON BRAZOS Estado: Bueno Placa anterior: 000005360 Material: PASTA Color: BLANCO Referencia:  Observacion:  Placa padre: Tipo adquisicion: Entidad"</f>
        <v>Descripcion: SILLA PLASTICA BLANCA CON BRAZOS Estado: Bueno Placa anterior: 000005360 Material: PASTA Color: BLANCO Referencia:  Observacion:  Placa padre: Tipo adquisicion: Entidad</v>
      </c>
      <c r="G17702" s="5"/>
    </row>
    <row r="17703" spans="1:7" ht="58.5" customHeight="1" x14ac:dyDescent="0.25">
      <c r="A17703" s="5" t="str">
        <f>"H0009572"</f>
        <v>H0009572</v>
      </c>
      <c r="B17703" s="5" t="str">
        <f>"ESCRITORIO METALICO 3 GAVETAS"</f>
        <v>ESCRITORIO METALICO 3 GAVETAS</v>
      </c>
      <c r="C17703" s="6">
        <v>31588.01</v>
      </c>
      <c r="D17703" s="5"/>
      <c r="E17703" s="5" t="str">
        <f t="shared" si="909"/>
        <v>ACTISALUD- FACTURACION PRINCIPAL</v>
      </c>
      <c r="F17703" s="5" t="str">
        <f>"Descripcion: ESCRITORIO DE 3 GAVETAS. CON CUBIERTA EN FORMICA Estado: Bueno Placa anterior: 000031212 Material: METALICO Y FORMICA Color: GRIS Y MARRON Referencia:  Observacion:  Placa padre: Tipo adquisicion: Entidad"</f>
        <v>Descripcion: ESCRITORIO DE 3 GAVETAS. CON CUBIERTA EN FORMICA Estado: Bueno Placa anterior: 000031212 Material: METALICO Y FORMICA Color: GRIS Y MARRON Referencia:  Observacion:  Placa padre: Tipo adquisicion: Entidad</v>
      </c>
      <c r="G17703" s="5"/>
    </row>
    <row r="17704" spans="1:7" ht="58.5" customHeight="1" x14ac:dyDescent="0.25">
      <c r="A17704" s="5" t="str">
        <f>"H0009581"</f>
        <v>H0009581</v>
      </c>
      <c r="B17704" s="5" t="str">
        <f>"VENTILADOR DE PARED"</f>
        <v>VENTILADOR DE PARED</v>
      </c>
      <c r="C17704" s="6">
        <v>25000</v>
      </c>
      <c r="D17704" s="5"/>
      <c r="E17704" s="5" t="str">
        <f t="shared" si="909"/>
        <v>ACTISALUD- FACTURACION PRINCIPAL</v>
      </c>
      <c r="F17704" s="5" t="str">
        <f>"Descripcion: VENTILADOR DE PARED Estado: Bueno Placa anterior: 000001118 Material: PASTA Y METAL Color: BALNCO Y VERDE Referencia:  Observacion: EL BIEN TIENE PLACA ANTERIOR 000035870, AUTORIZADO CONCILIAR EN CRUCE GENERAL Placa padre: Tipo adquisicion: E"&amp; "ntidad"</f>
        <v>Descripcion: VENTILADOR DE PARED Estado: Bueno Placa anterior: 000001118 Material: PASTA Y METAL Color: BALNCO Y VERDE Referencia:  Observacion: EL BIEN TIENE PLACA ANTERIOR 000035870, AUTORIZADO CONCILIAR EN CRUCE GENERAL Placa padre: Tipo adquisicion: Entidad</v>
      </c>
      <c r="G17704" s="5" t="str">
        <f>"SPEED"</f>
        <v>SPEED</v>
      </c>
    </row>
    <row r="17705" spans="1:7" ht="58.5" customHeight="1" x14ac:dyDescent="0.25">
      <c r="A17705" s="5" t="str">
        <f>"H0009688"</f>
        <v>H0009688</v>
      </c>
      <c r="B17705" s="5" t="str">
        <f>"COSEDORA GRANDE CAPACIDAD MAYOR 140 HOJAS"</f>
        <v>COSEDORA GRANDE CAPACIDAD MAYOR 140 HOJAS</v>
      </c>
      <c r="C17705" s="6">
        <v>45000</v>
      </c>
      <c r="D17705" s="5"/>
      <c r="E17705" s="5" t="str">
        <f t="shared" si="909"/>
        <v>ACTISALUD- FACTURACION PRINCIPAL</v>
      </c>
      <c r="F17705" s="5" t="str">
        <f>"Descripcion: GRAPADORA INDUSTRIAL Estado: Malo Placa anterior: 000000453 Material: METAL Color: NEGRO Y GRIS Referencia:  Observacion: NO SIRVE Placa padre: Tipo adquisicion: Entidad"</f>
        <v>Descripcion: GRAPADORA INDUSTRIAL Estado: Malo Placa anterior: 000000453 Material: METAL Color: NEGRO Y GRIS Referencia:  Observacion: NO SIRVE Placa padre: Tipo adquisicion: Entidad</v>
      </c>
      <c r="G17705" s="5"/>
    </row>
    <row r="17706" spans="1:7" ht="58.5" customHeight="1" x14ac:dyDescent="0.25">
      <c r="A17706" s="5" t="str">
        <f>"H0009689"</f>
        <v>H0009689</v>
      </c>
      <c r="B17706" s="5" t="str">
        <f>"VENTILADOR DE PARED"</f>
        <v>VENTILADOR DE PARED</v>
      </c>
      <c r="C17706" s="6">
        <v>30709</v>
      </c>
      <c r="D17706" s="5"/>
      <c r="E17706" s="5" t="str">
        <f t="shared" si="909"/>
        <v>ACTISALUD- FACTURACION PRINCIPAL</v>
      </c>
      <c r="F17706" s="5" t="str">
        <f>"Descripcion: VENTILADOR DE PARED Estado: Bueno Placa anterior: 000006745 Material: PASTA Color: BLANCO Referencia:  Observacion: EL BIEN TIENE PLACA ANTERIOR 000035846 , AUTORIZADO CONCILIAR EN CRUCE GENERAL Placa padre: Tipo adquisicion: Entidad"</f>
        <v>Descripcion: VENTILADOR DE PARED Estado: Bueno Placa anterior: 000006745 Material: PASTA Color: BLANCO Referencia:  Observacion: EL BIEN TIENE PLACA ANTERIOR 000035846 , AUTORIZADO CONCILIAR EN CRUCE GENERAL Placa padre: Tipo adquisicion: Entidad</v>
      </c>
      <c r="G17706" s="5"/>
    </row>
    <row r="17707" spans="1:7" ht="58.5" customHeight="1" x14ac:dyDescent="0.25">
      <c r="A17707" s="5" t="str">
        <f>"H0009697"</f>
        <v>H0009697</v>
      </c>
      <c r="B17707" s="5" t="str">
        <f>"ESTABILIZADOR  PARA COMPUTADOR"</f>
        <v>ESTABILIZADOR  PARA COMPUTADOR</v>
      </c>
      <c r="C17707" s="6">
        <v>137460</v>
      </c>
      <c r="D17707" s="5"/>
      <c r="E17707" s="5" t="str">
        <f t="shared" si="909"/>
        <v>ACTISALUD- FACTURACION PRINCIPAL</v>
      </c>
      <c r="F17707" s="5" t="str">
        <f>"Descripcion: ESTABILIZADOR DE VOLTAGE WAGOM 1500W Estado: Bueno Placa anterior: 000031264 Material: PASTA Color: NEGRO Referencia:  Observacion:  Placa padre: Tipo adquisicion: Entidad"</f>
        <v>Descripcion: ESTABILIZADOR DE VOLTAGE WAGOM 1500W Estado: Bueno Placa anterior: 000031264 Material: PASTA Color: NEGRO Referencia:  Observacion:  Placa padre: Tipo adquisicion: Entidad</v>
      </c>
      <c r="G17707" s="5" t="str">
        <f>"POWER-8"</f>
        <v>POWER-8</v>
      </c>
    </row>
    <row r="17708" spans="1:7" ht="58.5" customHeight="1" x14ac:dyDescent="0.25">
      <c r="A17708" s="5" t="str">
        <f>"H0009706"</f>
        <v>H0009706</v>
      </c>
      <c r="B17708" s="5" t="str">
        <f>"COSEDORA GRANDE CAPACIDAD MAYOR 140 HOJAS"</f>
        <v>COSEDORA GRANDE CAPACIDAD MAYOR 140 HOJAS</v>
      </c>
      <c r="C17708" s="6">
        <v>75400</v>
      </c>
      <c r="D17708" s="5"/>
      <c r="E17708" s="5" t="str">
        <f t="shared" si="909"/>
        <v>ACTISALUD- FACTURACION PRINCIPAL</v>
      </c>
      <c r="F17708" s="5" t="str">
        <f>"Descripcion: GRAPADORA INDUSTRIAL Estado: Bueno Placa anterior: 000000833 Material: METAL Color: BEIGE Referencia:  Observacion:  Placa padre: Tipo adquisicion: Entidad"</f>
        <v>Descripcion: GRAPADORA INDUSTRIAL Estado: Bueno Placa anterior: 000000833 Material: METAL Color: BEIGE Referencia:  Observacion:  Placa padre: Tipo adquisicion: Entidad</v>
      </c>
      <c r="G17708" s="5" t="str">
        <f>"HD-23S17"</f>
        <v>HD-23S17</v>
      </c>
    </row>
    <row r="17709" spans="1:7" ht="58.5" customHeight="1" x14ac:dyDescent="0.25">
      <c r="A17709" s="5" t="str">
        <f>"H0009709"</f>
        <v>H0009709</v>
      </c>
      <c r="B17709" s="5" t="str">
        <f>"ESTABILIZADOR  PARA COMPUTADOR"</f>
        <v>ESTABILIZADOR  PARA COMPUTADOR</v>
      </c>
      <c r="C17709" s="6">
        <v>65835.199999999997</v>
      </c>
      <c r="D17709" s="5"/>
      <c r="E17709" s="5" t="str">
        <f t="shared" si="909"/>
        <v>ACTISALUD- FACTURACION PRINCIPAL</v>
      </c>
      <c r="F17709" s="5" t="str">
        <f>"Descripcion: ESTABILIZADOR DE VOLTAJE VOLTRI-TRONIC Estado: Bueno Placa anterior: 000031263 Material: PASTA Color: NEGRO Referencia:  Observacion:  Placa padre: Tipo adquisicion: Entidad"</f>
        <v>Descripcion: ESTABILIZADOR DE VOLTAJE VOLTRI-TRONIC Estado: Bueno Placa anterior: 000031263 Material: PASTA Color: NEGRO Referencia:  Observacion:  Placa padre: Tipo adquisicion: Entidad</v>
      </c>
      <c r="G17709" s="5" t="str">
        <f>"POWER-8"</f>
        <v>POWER-8</v>
      </c>
    </row>
    <row r="17710" spans="1:7" ht="58.5" customHeight="1" x14ac:dyDescent="0.25">
      <c r="A17710" s="5" t="str">
        <f>"H0009714"</f>
        <v>H0009714</v>
      </c>
      <c r="B17710" s="5" t="str">
        <f>"ESCRITORIO DE MADERA 1 GAVETA"</f>
        <v>ESCRITORIO DE MADERA 1 GAVETA</v>
      </c>
      <c r="C17710" s="6">
        <v>56544</v>
      </c>
      <c r="D17710" s="5"/>
      <c r="E17710" s="5" t="str">
        <f t="shared" si="909"/>
        <v>ACTISALUD- FACTURACION PRINCIPAL</v>
      </c>
      <c r="F17710" s="5" t="str">
        <f>"Descripcion: ESCRITORIO DE MADERA PARA COMPUTADOR Estado: Bueno Placa anterior: 000001023 Material: MADERA Y FORMICA Color: NEGRO Y BEIGE Referencia:  Observacion: EL BIEN TIENE PLACA ANTERIOR  000035843  FUNCIONARIO AUTORIZA SE CONCILIE CON PLACA 0000010"&amp; "23  Placa padre: Tipo adquisicion: Entidad"</f>
        <v>Descripcion: ESCRITORIO DE MADERA PARA COMPUTADOR Estado: Bueno Placa anterior: 000001023 Material: MADERA Y FORMICA Color: NEGRO Y BEIGE Referencia:  Observacion: EL BIEN TIENE PLACA ANTERIOR  000035843  FUNCIONARIO AUTORIZA SE CONCILIE CON PLACA 000001023  Placa padre: Tipo adquisicion: Entidad</v>
      </c>
      <c r="G17710" s="5"/>
    </row>
    <row r="17711" spans="1:7" ht="58.5" customHeight="1" x14ac:dyDescent="0.25">
      <c r="A17711" s="5" t="str">
        <f>"H0009715"</f>
        <v>H0009715</v>
      </c>
      <c r="B17711" s="5" t="str">
        <f>"SILLA GIRATORIA SIN BRAZOS CON RODACHINES"</f>
        <v>SILLA GIRATORIA SIN BRAZOS CON RODACHINES</v>
      </c>
      <c r="C17711" s="6">
        <v>116000</v>
      </c>
      <c r="D17711" s="5"/>
      <c r="E17711" s="5" t="str">
        <f t="shared" si="909"/>
        <v>ACTISALUD- FACTURACION PRINCIPAL</v>
      </c>
      <c r="F17711" s="5" t="str">
        <f>"Descripcion: SILLA ERGONNOMICA Estado: Bueno Placa anterior: 000031262 Material: PASTA Y PAÑO Color: NEGRO Y VERDE Referencia:  Observacion:  Placa padre: Tipo adquisicion: Entidad"</f>
        <v>Descripcion: SILLA ERGONNOMICA Estado: Bueno Placa anterior: 000031262 Material: PASTA Y PAÑO Color: NEGRO Y VERDE Referencia:  Observacion:  Placa padre: Tipo adquisicion: Entidad</v>
      </c>
      <c r="G17711" s="5"/>
    </row>
    <row r="17712" spans="1:7" ht="58.5" customHeight="1" x14ac:dyDescent="0.25">
      <c r="A17712" s="5" t="str">
        <f>"H0009725"</f>
        <v>H0009725</v>
      </c>
      <c r="B17712" s="5" t="str">
        <f>"MESA DE MADERA PARA COMPUTADOR"</f>
        <v>MESA DE MADERA PARA COMPUTADOR</v>
      </c>
      <c r="C17712" s="6">
        <v>194717.6</v>
      </c>
      <c r="D17712" s="5"/>
      <c r="E17712" s="5" t="str">
        <f t="shared" si="909"/>
        <v>ACTISALUD- FACTURACION PRINCIPAL</v>
      </c>
      <c r="F17712" s="5" t="str">
        <f>"Descripcion: MESA PARA COMPUTADOR EN MADERA- BASE METALICA Estado: Bueno Placa anterior: 000031253 Material: METAL Y FORMICA Color: GRIS Y MADERA Referencia:  Observacion:  Placa padre: Tipo adquisicion: Entidad"</f>
        <v>Descripcion: MESA PARA COMPUTADOR EN MADERA- BASE METALICA Estado: Bueno Placa anterior: 000031253 Material: METAL Y FORMICA Color: GRIS Y MADERA Referencia:  Observacion:  Placa padre: Tipo adquisicion: Entidad</v>
      </c>
      <c r="G17712" s="5"/>
    </row>
    <row r="17713" spans="1:7" ht="58.5" customHeight="1" x14ac:dyDescent="0.25">
      <c r="A17713" s="5" t="str">
        <f>"H0009727"</f>
        <v>H0009727</v>
      </c>
      <c r="B17713" s="5" t="str">
        <f>"MESA METALICA"</f>
        <v>MESA METALICA</v>
      </c>
      <c r="C17713" s="6">
        <v>15285</v>
      </c>
      <c r="D17713" s="5"/>
      <c r="E17713" s="5" t="str">
        <f t="shared" si="909"/>
        <v>ACTISALUD- FACTURACION PRINCIPAL</v>
      </c>
      <c r="F17713" s="5" t="str">
        <f>"Descripcion: MESA TIPO H (MECANOGRAFA CON ALA) Estado: Bueno Placa anterior: 000001141 Material: METAL Y FORMICA Color: GRIS Y MARRON Referencia:  Observacion: 1 GAVETA  Placa padre: Tipo adquisicion: Entidad"</f>
        <v>Descripcion: MESA TIPO H (MECANOGRAFA CON ALA) Estado: Bueno Placa anterior: 000001141 Material: METAL Y FORMICA Color: GRIS Y MARRON Referencia:  Observacion: 1 GAVETA  Placa padre: Tipo adquisicion: Entidad</v>
      </c>
      <c r="G17713" s="5"/>
    </row>
    <row r="17714" spans="1:7" ht="58.5" customHeight="1" x14ac:dyDescent="0.25">
      <c r="A17714" s="5" t="str">
        <f>"H0009729"</f>
        <v>H0009729</v>
      </c>
      <c r="B17714" s="5" t="str">
        <f>"SILLA GIRATORIA CON BRAZOS RODACHINES (NO ERGONOMICA)"</f>
        <v>SILLA GIRATORIA CON BRAZOS RODACHINES (NO ERGONOMICA)</v>
      </c>
      <c r="C17714" s="6">
        <v>140000</v>
      </c>
      <c r="D17714" s="5"/>
      <c r="E17714" s="5" t="str">
        <f t="shared" si="909"/>
        <v>ACTISALUD- FACTURACION PRINCIPAL</v>
      </c>
      <c r="F17714" s="5" t="str">
        <f>"Descripcion: SILLA ERGONOMICA GIRATORIA Estado: Bueno Placa anterior: 000031259 Material: PASTA Y PAÑO Color: NEGRO Y AZUL Referencia:  Observacion:  Placa padre: Tipo adquisicion: Entidad"</f>
        <v>Descripcion: SILLA ERGONOMICA GIRATORIA Estado: Bueno Placa anterior: 000031259 Material: PASTA Y PAÑO Color: NEGRO Y AZUL Referencia:  Observacion:  Placa padre: Tipo adquisicion: Entidad</v>
      </c>
      <c r="G17714" s="5"/>
    </row>
    <row r="17715" spans="1:7" ht="58.5" customHeight="1" x14ac:dyDescent="0.25">
      <c r="A17715" s="5" t="str">
        <f>"H0009731"</f>
        <v>H0009731</v>
      </c>
      <c r="B17715" s="5" t="str">
        <f>"VENTILADOR DE PEDESTAL"</f>
        <v>VENTILADOR DE PEDESTAL</v>
      </c>
      <c r="C17715" s="6">
        <v>25550</v>
      </c>
      <c r="D17715" s="5"/>
      <c r="E17715" s="5" t="str">
        <f t="shared" si="909"/>
        <v>ACTISALUD- FACTURACION PRINCIPAL</v>
      </c>
      <c r="F17715" s="5" t="str">
        <f>"Descripcion: VENTILADOR DE PEDESTAL SUPER CROWN Estado: Malo Placa anterior: 000031256 Material: PASTA Color: NEGRO Referencia:  Observacion: SOLO ESTA LA BASE Placa padre: Tipo adquisicion: Entidad"</f>
        <v>Descripcion: VENTILADOR DE PEDESTAL SUPER CROWN Estado: Malo Placa anterior: 000031256 Material: PASTA Color: NEGRO Referencia:  Observacion: SOLO ESTA LA BASE Placa padre: Tipo adquisicion: Entidad</v>
      </c>
      <c r="G17715" s="5"/>
    </row>
    <row r="17716" spans="1:7" ht="58.5" customHeight="1" x14ac:dyDescent="0.25">
      <c r="A17716" s="5" t="str">
        <f>"H0009732"</f>
        <v>H0009732</v>
      </c>
      <c r="B17716" s="5" t="str">
        <f>"UNIDAD ININTERRUMPIDA DE POTENCIA (UPS) 1KW"</f>
        <v>UNIDAD ININTERRUMPIDA DE POTENCIA (UPS) 1KW</v>
      </c>
      <c r="C17716" s="6">
        <v>1276000</v>
      </c>
      <c r="D17716" s="5" t="s">
        <v>174</v>
      </c>
      <c r="E17716" s="5" t="str">
        <f t="shared" si="909"/>
        <v>ACTISALUD- FACTURACION PRINCIPAL</v>
      </c>
      <c r="F17716" s="5" t="str">
        <f>"Descripcion: UPS  Estado: Bueno Placa anterior:  Material: PASTA Color: NEGRO Referencia:  Observacion: EL BIEN TIENE PLACA ANTERIOR  000031202 Placa padre: Tipo adquisicion: Entidad"</f>
        <v>Descripcion: UPS  Estado: Bueno Placa anterior:  Material: PASTA Color: NEGRO Referencia:  Observacion: EL BIEN TIENE PLACA ANTERIOR  000031202 Placa padre: Tipo adquisicion: Entidad</v>
      </c>
      <c r="G17716" s="5" t="str">
        <f>"PC POWER 5"</f>
        <v>PC POWER 5</v>
      </c>
    </row>
    <row r="17717" spans="1:7" ht="58.5" customHeight="1" x14ac:dyDescent="0.25">
      <c r="A17717" s="5" t="str">
        <f>"H0009736"</f>
        <v>H0009736</v>
      </c>
      <c r="B17717" s="5" t="str">
        <f>"ESCRITORIO METALICO 3 GAVETAS"</f>
        <v>ESCRITORIO METALICO 3 GAVETAS</v>
      </c>
      <c r="C17717" s="6">
        <v>13698</v>
      </c>
      <c r="D17717" s="5"/>
      <c r="E17717" s="5" t="str">
        <f t="shared" si="909"/>
        <v>ACTISALUD- FACTURACION PRINCIPAL</v>
      </c>
      <c r="F17717" s="5" t="str">
        <f>"Descripcion: ESCRITORIO DE 2 GAVETAS Y 1 GAVETA CENTRAL Estado: Bueno Placa anterior: 000009515 Material: METAL Y FORMICA Color: GRIS Y MADERA Referencia:  Observacion:  Placa padre: Tipo adquisicion: Entidad"</f>
        <v>Descripcion: ESCRITORIO DE 2 GAVETAS Y 1 GAVETA CENTRAL Estado: Bueno Placa anterior: 000009515 Material: METAL Y FORMICA Color: GRIS Y MADERA Referencia:  Observacion:  Placa padre: Tipo adquisicion: Entidad</v>
      </c>
      <c r="G17717" s="5"/>
    </row>
    <row r="17718" spans="1:7" ht="58.5" customHeight="1" x14ac:dyDescent="0.25">
      <c r="A17718" s="5" t="str">
        <f>"H0009974"</f>
        <v>H0009974</v>
      </c>
      <c r="B17718" s="5" t="str">
        <f>"ESTANTE METALICO 5 ENTREPAÑOS"</f>
        <v>ESTANTE METALICO 5 ENTREPAÑOS</v>
      </c>
      <c r="C17718" s="6">
        <v>37633</v>
      </c>
      <c r="D17718" s="5"/>
      <c r="E17718" s="5" t="str">
        <f t="shared" si="909"/>
        <v>ACTISALUD- FACTURACION PRINCIPAL</v>
      </c>
      <c r="F17718" s="5" t="str">
        <f>"Descripcion: ESTANTE METALICO 5 ENTREPAÑOS Estado: Bueno Placa anterior: 000000937 Material: METAL Color: GRIS Referencia:  Observacion:  Placa padre: Tipo adquisicion: Entidad"</f>
        <v>Descripcion: ESTANTE METALICO 5 ENTREPAÑOS Estado: Bueno Placa anterior: 000000937 Material: METAL Color: GRIS Referencia:  Observacion:  Placa padre: Tipo adquisicion: Entidad</v>
      </c>
      <c r="G17718" s="5"/>
    </row>
    <row r="17719" spans="1:7" ht="58.5" customHeight="1" x14ac:dyDescent="0.25">
      <c r="A17719" s="5" t="str">
        <f>"H0009975"</f>
        <v>H0009975</v>
      </c>
      <c r="B17719" s="5" t="str">
        <f>"ESTANTE METALICO 6 ENTREPAÑOS"</f>
        <v>ESTANTE METALICO 6 ENTREPAÑOS</v>
      </c>
      <c r="C17719" s="6">
        <v>37633</v>
      </c>
      <c r="D17719" s="5"/>
      <c r="E17719" s="5" t="str">
        <f t="shared" si="909"/>
        <v>ACTISALUD- FACTURACION PRINCIPAL</v>
      </c>
      <c r="F17719" s="5" t="str">
        <f>"Descripcion: ESTANTE METALICO 6 ENTREPAÑOS Estado: Bueno Placa anterior: 000000940 Material: METAL Color: GRIS Referencia:  Observacion: EL BIEN TIENE PLACA ANTERIOR 000035902 Placa padre: Tipo adquisicion: Entidad"</f>
        <v>Descripcion: ESTANTE METALICO 6 ENTREPAÑOS Estado: Bueno Placa anterior: 000000940 Material: METAL Color: GRIS Referencia:  Observacion: EL BIEN TIENE PLACA ANTERIOR 000035902 Placa padre: Tipo adquisicion: Entidad</v>
      </c>
      <c r="G17719" s="5"/>
    </row>
    <row r="17720" spans="1:7" ht="58.5" customHeight="1" x14ac:dyDescent="0.25">
      <c r="A17720" s="5" t="str">
        <f>"H0009987"</f>
        <v>H0009987</v>
      </c>
      <c r="B17720" s="5" t="str">
        <f>"SILLA ERGONOMICA TIPO SECRETARIA SIN BRAZOS"</f>
        <v>SILLA ERGONOMICA TIPO SECRETARIA SIN BRAZOS</v>
      </c>
      <c r="C17720" s="6">
        <v>135500</v>
      </c>
      <c r="D17720" s="5"/>
      <c r="E17720" s="5" t="str">
        <f t="shared" si="909"/>
        <v>ACTISALUD- FACTURACION PRINCIPAL</v>
      </c>
      <c r="F17720" s="5" t="str">
        <f>"Descripcion: SILLA ERGONÓMICA GIRATORIA TIPO SECRETARIA SIN BRAZOS Estado: Bueno Placa anterior: 000031210 Material: PASTA TELA Color: VERDE Referencia:  Observacion:  Placa padre: Tipo adquisicion: Entidad"</f>
        <v>Descripcion: SILLA ERGONÓMICA GIRATORIA TIPO SECRETARIA SIN BRAZOS Estado: Bueno Placa anterior: 000031210 Material: PASTA TELA Color: VERDE Referencia:  Observacion:  Placa padre: Tipo adquisicion: Entidad</v>
      </c>
      <c r="G17720" s="5"/>
    </row>
    <row r="17721" spans="1:7" ht="58.5" customHeight="1" x14ac:dyDescent="0.25">
      <c r="A17721" s="5" t="str">
        <f>"H0009988"</f>
        <v>H0009988</v>
      </c>
      <c r="B17721" s="5" t="str">
        <f>"SILLA ERGONOMICA TIPO SECRETARIA SIN BRAZOS"</f>
        <v>SILLA ERGONOMICA TIPO SECRETARIA SIN BRAZOS</v>
      </c>
      <c r="C17721" s="6">
        <v>211120</v>
      </c>
      <c r="D17721" s="5"/>
      <c r="E17721" s="5" t="str">
        <f t="shared" si="909"/>
        <v>ACTISALUD- FACTURACION PRINCIPAL</v>
      </c>
      <c r="F17721" s="5" t="str">
        <f>"Descripcion: SILLA ERGONÓMICA GIRATORIA TIPO SECRETARIA SIN BRAZOS Estado: Bueno Placa anterior: 000031267 Material: PASTA TELA Color: VERDE Referencia:  Observacion:  Placa padre: Tipo adquisicion: Entidad"</f>
        <v>Descripcion: SILLA ERGONÓMICA GIRATORIA TIPO SECRETARIA SIN BRAZOS Estado: Bueno Placa anterior: 000031267 Material: PASTA TELA Color: VERDE Referencia:  Observacion:  Placa padre: Tipo adquisicion: Entidad</v>
      </c>
      <c r="G17721" s="5"/>
    </row>
    <row r="17722" spans="1:7" ht="58.5" customHeight="1" x14ac:dyDescent="0.25">
      <c r="A17722" s="5" t="str">
        <f>"H0009990"</f>
        <v>H0009990</v>
      </c>
      <c r="B17722" s="5" t="str">
        <f>"SILLA ERGONOMICA TIPO SECRETARIA SIN BRAZOS"</f>
        <v>SILLA ERGONOMICA TIPO SECRETARIA SIN BRAZOS</v>
      </c>
      <c r="C17722" s="6">
        <v>211120</v>
      </c>
      <c r="D17722" s="5"/>
      <c r="E17722" s="5" t="str">
        <f t="shared" si="909"/>
        <v>ACTISALUD- FACTURACION PRINCIPAL</v>
      </c>
      <c r="F17722" s="5" t="str">
        <f>"Descripcion: SILLA ERGONÓMICA GIRATORIA TIPO SECRETARIA SIN BRAZOS Estado: Bueno Placa anterior: 000025298 Material: PASTA TELA Color: VERDE Referencia:  Observacion:  Placa padre: Tipo adquisicion: Entidad"</f>
        <v>Descripcion: SILLA ERGONÓMICA GIRATORIA TIPO SECRETARIA SIN BRAZOS Estado: Bueno Placa anterior: 000025298 Material: PASTA TELA Color: VERDE Referencia:  Observacion:  Placa padre: Tipo adquisicion: Entidad</v>
      </c>
      <c r="G17722" s="5"/>
    </row>
    <row r="17723" spans="1:7" ht="58.5" customHeight="1" x14ac:dyDescent="0.25">
      <c r="A17723" s="5" t="str">
        <f>"H0009994"</f>
        <v>H0009994</v>
      </c>
      <c r="B17723" s="5" t="str">
        <f>"PUESTO DE TRABAJO CON 3 GAVETAS"</f>
        <v>PUESTO DE TRABAJO CON 3 GAVETAS</v>
      </c>
      <c r="C17723" s="6">
        <v>610000</v>
      </c>
      <c r="D17723" s="5"/>
      <c r="E17723" s="5" t="str">
        <f t="shared" si="909"/>
        <v>ACTISALUD- FACTURACION PRINCIPAL</v>
      </c>
      <c r="F17723" s="5" t="str">
        <f>"Descripcion: PUESTO DE TRABAJO CON PORTATECLADO Estado: Bueno Placa anterior: 000033493 Material: AGLOMERADO CON FORMICA Color: BEIGE Referencia:  Observacion:  Placa padre: Tipo adquisicion: Entidad"</f>
        <v>Descripcion: PUESTO DE TRABAJO CON PORTATECLADO Estado: Bueno Placa anterior: 000033493 Material: AGLOMERADO CON FORMICA Color: BEIGE Referencia:  Observacion:  Placa padre: Tipo adquisicion: Entidad</v>
      </c>
      <c r="G17723" s="5"/>
    </row>
    <row r="17724" spans="1:7" ht="58.5" customHeight="1" x14ac:dyDescent="0.25">
      <c r="A17724" s="5" t="str">
        <f>"H0010200"</f>
        <v>H0010200</v>
      </c>
      <c r="B17724" s="5" t="str">
        <f>"MESA DE NOCHE"</f>
        <v>MESA DE NOCHE</v>
      </c>
      <c r="C17724" s="6">
        <v>327586</v>
      </c>
      <c r="D17724" s="5"/>
      <c r="E17724" s="5" t="str">
        <f t="shared" si="909"/>
        <v>ACTISALUD- FACTURACION PRINCIPAL</v>
      </c>
      <c r="F17724" s="5" t="str">
        <f>"Descripcion: MESA DE NOCHE EN ACERO Estado: Bueno Placa anterior: 000032957 Material: ACERO INOXIDABLE Color: PLATEADO Referencia:  Observacion:  Placa padre: Tipo adquisicion: Entidad"</f>
        <v>Descripcion: MESA DE NOCHE EN ACERO Estado: Bueno Placa anterior: 000032957 Material: ACERO INOXIDABLE Color: PLATEADO Referencia:  Observacion:  Placa padre: Tipo adquisicion: Entidad</v>
      </c>
      <c r="G17724" s="5"/>
    </row>
    <row r="17725" spans="1:7" ht="58.5" customHeight="1" x14ac:dyDescent="0.25">
      <c r="A17725" s="5" t="str">
        <f>"H0010287"</f>
        <v>H0010287</v>
      </c>
      <c r="B17725" s="5" t="str">
        <f>"ESCRITORIO METALICO 1 GAVETA"</f>
        <v>ESCRITORIO METALICO 1 GAVETA</v>
      </c>
      <c r="C17725" s="6">
        <v>15682.33</v>
      </c>
      <c r="D17725" s="5" t="s">
        <v>214</v>
      </c>
      <c r="E17725" s="5" t="str">
        <f t="shared" si="909"/>
        <v>ACTISALUD- FACTURACION PRINCIPAL</v>
      </c>
      <c r="F17725" s="5" t="str">
        <f>"Descripcion: ESCRITORIO METALICO;  Estado: Bueno;  Material: METALICA-FORMICA;  Color: GRIS;"</f>
        <v>Descripcion: ESCRITORIO METALICO;  Estado: Bueno;  Material: METALICA-FORMICA;  Color: GRIS;</v>
      </c>
      <c r="G17725" s="5"/>
    </row>
    <row r="17726" spans="1:7" ht="58.5" customHeight="1" x14ac:dyDescent="0.25">
      <c r="A17726" s="5" t="str">
        <f>"H0010669"</f>
        <v>H0010669</v>
      </c>
      <c r="B17726" s="5" t="str">
        <f>"ESTANTE METALICO 5 ENTREPAÑOS"</f>
        <v>ESTANTE METALICO 5 ENTREPAÑOS</v>
      </c>
      <c r="C17726" s="6">
        <v>27714</v>
      </c>
      <c r="D17726" s="5"/>
      <c r="E17726" s="5" t="str">
        <f t="shared" si="909"/>
        <v>ACTISALUD- FACTURACION PRINCIPAL</v>
      </c>
      <c r="F17726" s="5" t="str">
        <f>"Descripcion: ESTANTE METALICO 5 ENTREPAÑOS Estado: Bueno Placa anterior: 000022235 Material: METAL Color: GRIS Referencia:  Observacion: LA PLACA # 000036002 NO APARECE EN EL SISTEMA, EL BIEN TIENE PLACA ANTERIOR 000036002   Placa padre: Tipo adquisicion:"&amp; " Entidad"</f>
        <v>Descripcion: ESTANTE METALICO 5 ENTREPAÑOS Estado: Bueno Placa anterior: 000022235 Material: METAL Color: GRIS Referencia:  Observacion: LA PLACA # 000036002 NO APARECE EN EL SISTEMA, EL BIEN TIENE PLACA ANTERIOR 000036002   Placa padre: Tipo adquisicion: Entidad</v>
      </c>
      <c r="G17726" s="5"/>
    </row>
    <row r="17727" spans="1:7" ht="58.5" customHeight="1" x14ac:dyDescent="0.25">
      <c r="A17727" s="5" t="str">
        <f>"H0010671"</f>
        <v>H0010671</v>
      </c>
      <c r="B17727" s="5" t="str">
        <f>"MESA METALICA AUXILIAR"</f>
        <v>MESA METALICA AUXILIAR</v>
      </c>
      <c r="C17727" s="6">
        <v>18975</v>
      </c>
      <c r="D17727" s="5"/>
      <c r="E17727" s="5" t="str">
        <f t="shared" si="909"/>
        <v>ACTISALUD- FACTURACION PRINCIPAL</v>
      </c>
      <c r="F17727" s="5" t="str">
        <f>"Descripcion: MESA METALICA AUXILIAR CON RODACHINAS Y UN ENTREPAÑO Estado: Bueno Placa anterior: 000000177 Material: METAL Color: GRIS Referencia:  Observacion: LA PLACA # 000004644 NO APARECE EN EL SISTEMA, EL BIEN TIENE PLACA ANTERIOR 000004644  Placa pa"&amp; "dre: Tipo adquisicion: Entidad"</f>
        <v>Descripcion: MESA METALICA AUXILIAR CON RODACHINAS Y UN ENTREPAÑO Estado: Bueno Placa anterior: 000000177 Material: METAL Color: GRIS Referencia:  Observacion: LA PLACA # 000004644 NO APARECE EN EL SISTEMA, EL BIEN TIENE PLACA ANTERIOR 000004644  Placa padre: Tipo adquisicion: Entidad</v>
      </c>
      <c r="G17727" s="5"/>
    </row>
    <row r="17728" spans="1:7" ht="58.5" customHeight="1" x14ac:dyDescent="0.25">
      <c r="A17728" s="5" t="str">
        <f>"H0010672"</f>
        <v>H0010672</v>
      </c>
      <c r="B17728" s="5" t="str">
        <f>"MESA DE MADERA PARA COMPUTADOR"</f>
        <v>MESA DE MADERA PARA COMPUTADOR</v>
      </c>
      <c r="C17728" s="6">
        <v>194717.6</v>
      </c>
      <c r="D17728" s="5"/>
      <c r="E17728" s="5" t="str">
        <f t="shared" si="909"/>
        <v>ACTISALUD- FACTURACION PRINCIPAL</v>
      </c>
      <c r="F17728" s="5" t="str">
        <f>"Descripcion: MESA PARA COMPUTADOR EN MADERA Y 1 GAVETA Estado: Bueno Placa anterior: 000001313 Material: MADERA Color: NEGRO CON BEIGE Referencia:  Observacion:  Placa padre: Tipo adquisicion: Entidad"</f>
        <v>Descripcion: MESA PARA COMPUTADOR EN MADERA Y 1 GAVETA Estado: Bueno Placa anterior: 000001313 Material: MADERA Color: NEGRO CON BEIGE Referencia:  Observacion:  Placa padre: Tipo adquisicion: Entidad</v>
      </c>
      <c r="G17728" s="5"/>
    </row>
    <row r="17729" spans="1:7" ht="58.5" customHeight="1" x14ac:dyDescent="0.25">
      <c r="A17729" s="5" t="str">
        <f>"H0010677"</f>
        <v>H0010677</v>
      </c>
      <c r="B17729" s="5" t="str">
        <f>"MESA DE MADERA"</f>
        <v>MESA DE MADERA</v>
      </c>
      <c r="C17729" s="6">
        <v>136272</v>
      </c>
      <c r="D17729" s="5"/>
      <c r="E17729" s="5" t="str">
        <f t="shared" si="909"/>
        <v>ACTISALUD- FACTURACION PRINCIPAL</v>
      </c>
      <c r="F17729" s="5" t="str">
        <f>"Descripcion: MESA DE MADERA DE 80X90X60 CM. Estado: Bueno Placa anterior: 000001115 Material: MADERA Color: MADERA CLARO Referencia:  Observacion: EL BIEN TIENE PLACA ANTERIOR 000028539   AUTORIZADO CONCILIAR EN CRUCE GENERAL Placa padre: Tipo adquisicion"&amp; ": Entidad"</f>
        <v>Descripcion: MESA DE MADERA DE 80X90X60 CM. Estado: Bueno Placa anterior: 000001115 Material: MADERA Color: MADERA CLARO Referencia:  Observacion: EL BIEN TIENE PLACA ANTERIOR 000028539   AUTORIZADO CONCILIAR EN CRUCE GENERAL Placa padre: Tipo adquisicion: Entidad</v>
      </c>
      <c r="G17729" s="5"/>
    </row>
    <row r="17730" spans="1:7" ht="58.5" customHeight="1" x14ac:dyDescent="0.25">
      <c r="A17730" s="5" t="str">
        <f>"H0010678"</f>
        <v>H0010678</v>
      </c>
      <c r="B17730" s="5" t="str">
        <f>"MESA (SUPERFICIE) MODULAR"</f>
        <v>MESA (SUPERFICIE) MODULAR</v>
      </c>
      <c r="C17730" s="6">
        <v>110432</v>
      </c>
      <c r="D17730" s="5"/>
      <c r="E17730" s="5" t="str">
        <f t="shared" si="909"/>
        <v>ACTISALUD- FACTURACION PRINCIPAL</v>
      </c>
      <c r="F17730" s="5" t="str">
        <f>"Descripcion: MESA PARA IMPRESORA CON ENTREPAÑO Estado: Bueno Placa anterior: 000021179 Material: MADERA Color: NEGRO CON BEIGE Referencia:  Observacion:  Placa padre: Tipo adquisicion: Entidad"</f>
        <v>Descripcion: MESA PARA IMPRESORA CON ENTREPAÑO Estado: Bueno Placa anterior: 000021179 Material: MADERA Color: NEGRO CON BEIGE Referencia:  Observacion:  Placa padre: Tipo adquisicion: Entidad</v>
      </c>
      <c r="G17730" s="5"/>
    </row>
    <row r="17731" spans="1:7" ht="58.5" customHeight="1" x14ac:dyDescent="0.25">
      <c r="A17731" s="5" t="str">
        <f>"H0010679"</f>
        <v>H0010679</v>
      </c>
      <c r="B17731" s="5" t="str">
        <f>"MESA DE MADERA"</f>
        <v>MESA DE MADERA</v>
      </c>
      <c r="C17731" s="6">
        <v>194717.6</v>
      </c>
      <c r="D17731" s="5"/>
      <c r="E17731" s="5" t="str">
        <f t="shared" si="909"/>
        <v>ACTISALUD- FACTURACION PRINCIPAL</v>
      </c>
      <c r="F17731" s="5" t="str">
        <f>"Descripcion: MESON EN MADERA CON FORMICA GRIS CON NEGRO. 72X242X55 Estado: Bueno Placa anterior: 000015322 Material: MADERA Color: NEGRO CON GRIS Referencia:  Observacion:  Placa padre: Tipo adquisicion: Entidad"</f>
        <v>Descripcion: MESON EN MADERA CON FORMICA GRIS CON NEGRO. 72X242X55 Estado: Bueno Placa anterior: 000015322 Material: MADERA Color: NEGRO CON GRIS Referencia:  Observacion:  Placa padre: Tipo adquisicion: Entidad</v>
      </c>
      <c r="G17731" s="5"/>
    </row>
    <row r="17732" spans="1:7" ht="58.5" customHeight="1" x14ac:dyDescent="0.25">
      <c r="A17732" s="5" t="str">
        <f>"H0010689"</f>
        <v>H0010689</v>
      </c>
      <c r="B17732" s="5" t="str">
        <f>"MONITOR LCD"</f>
        <v>MONITOR LCD</v>
      </c>
      <c r="C17732" s="6">
        <v>719200</v>
      </c>
      <c r="D17732" s="5"/>
      <c r="E17732" s="5" t="str">
        <f t="shared" si="909"/>
        <v>ACTISALUD- FACTURACION PRINCIPAL</v>
      </c>
      <c r="F17732" s="5" t="str">
        <f>"Descripcion: MONITOR LCD DE 17  CRISTAL LIQUIDO Estado: Bueno Placa anterior: 000026075 Material: PASTA Color: NEGRO Referencia:  Observacion:  Placa padre: H0010688Tipo adquisicion: Entidad"</f>
        <v>Descripcion: MONITOR LCD DE 17  CRISTAL LIQUIDO Estado: Bueno Placa anterior: 000026075 Material: PASTA Color: NEGRO Referencia:  Observacion:  Placa padre: H0010688Tipo adquisicion: Entidad</v>
      </c>
      <c r="G17732" s="5"/>
    </row>
    <row r="17733" spans="1:7" ht="58.5" customHeight="1" x14ac:dyDescent="0.25">
      <c r="A17733" s="5" t="str">
        <f>"H0010698"</f>
        <v>H0010698</v>
      </c>
      <c r="B17733" s="5" t="str">
        <f>"TELEFONO DE SOBREMESA"</f>
        <v>TELEFONO DE SOBREMESA</v>
      </c>
      <c r="C17733" s="6">
        <v>754000</v>
      </c>
      <c r="D17733" s="5" t="s">
        <v>825</v>
      </c>
      <c r="E17733" s="5" t="str">
        <f t="shared" si="909"/>
        <v>ACTISALUD- FACTURACION PRINCIPAL</v>
      </c>
      <c r="F17733" s="5" t="str">
        <f>"Descripcion: TELEFONO FAX PANASONIC Estado: Bueno Placa anterior: 000029418 Material: PASTA Color: NEGRO Referencia:  Observacion:  Placa padre: Tipo adquisicion: Entidad"</f>
        <v>Descripcion: TELEFONO FAX PANASONIC Estado: Bueno Placa anterior: 000029418 Material: PASTA Color: NEGRO Referencia:  Observacion:  Placa padre: Tipo adquisicion: Entidad</v>
      </c>
      <c r="G17733" s="5" t="str">
        <f>"KX-FT987LA"</f>
        <v>KX-FT987LA</v>
      </c>
    </row>
    <row r="17734" spans="1:7" ht="58.5" customHeight="1" x14ac:dyDescent="0.25">
      <c r="A17734" s="5" t="str">
        <f>"H0010703"</f>
        <v>H0010703</v>
      </c>
      <c r="B17734" s="5" t="str">
        <f>"VENTILADOR DE PARED"</f>
        <v>VENTILADOR DE PARED</v>
      </c>
      <c r="C17734" s="6">
        <v>72477.5</v>
      </c>
      <c r="D17734" s="5" t="s">
        <v>54</v>
      </c>
      <c r="E17734" s="5" t="str">
        <f t="shared" si="909"/>
        <v>ACTISALUD- FACTURACION PRINCIPAL</v>
      </c>
      <c r="F17734" s="5" t="str">
        <f>"Descripcion: VENTILADOR DE PARED VENTILADOR DE PARED REF. 987181 SILENC. CON GARANTIA DE UN AÑO POR PARTE DEL FABRICANTE Estado: Bueno Placa anterior: 000037157 Material: PASTA Color: BLANCO Referencia:  Observacion:  Placa padre: Tipo adquisicion: Entida"&amp; "d"</f>
        <v>Descripcion: VENTILADOR DE PARED VENTILADOR DE PARED REF. 987181 SILENC. CON GARANTIA DE UN AÑO POR PARTE DEL FABRICANTE Estado: Bueno Placa anterior: 000037157 Material: PASTA Color: BLANCO Referencia:  Observacion:  Placa padre: Tipo adquisicion: Entidad</v>
      </c>
      <c r="G17734" s="5" t="str">
        <f>"TURBO SILENCE MAXX"</f>
        <v>TURBO SILENCE MAXX</v>
      </c>
    </row>
    <row r="17735" spans="1:7" ht="58.5" customHeight="1" x14ac:dyDescent="0.25">
      <c r="A17735" s="5" t="str">
        <f>"H0010744"</f>
        <v>H0010744</v>
      </c>
      <c r="B17735" s="5" t="str">
        <f>"COMPUTADOR DE MESA"</f>
        <v>COMPUTADOR DE MESA</v>
      </c>
      <c r="C17735" s="6">
        <v>1390376</v>
      </c>
      <c r="D17735" s="5"/>
      <c r="E17735" s="5" t="str">
        <f t="shared" si="909"/>
        <v>ACTISALUD- FACTURACION PRINCIPAL</v>
      </c>
      <c r="F17735" s="5" t="str">
        <f>"Descripcion: CPU BOARD INTEL CORE 1 DUO CON PROCESADOR 2.0GB MEMORIA 1GB, DISCO DURO 80 GB, TECLADO Y MOUSE Estado: Bueno Placa anterior: 000025988 Material: PLASTICO Color: NEGRO Referencia:  Observacion:  Placa anterior:, Placa nueva=H0010747, Descripci"&amp; "on:MOUSE OPTICO, Serial:W62564307832, Marca:GENIUS, Modelo:GM-04003AXSCROLL , Material:PLASTIO, Color:NEGRO,   Referencia:, Placa anterior:, Placa nueva=H0010746, Descripcion:TECLADO, Serial:WE1C92042007, Marca:GENIUS, Modelo:K639. , Material:PLASTICO, Co"&amp; "lor:NEGRO,   Referencia: KB-06XE, Placa anterior:000029268, Placa nueva=H0010745, Descripcion:MONITOR LCD DE 17 O SUPERIOR, Serial:003TPZK1S381, Marca:LG, Modelo:W1742ST. , Material:PLASTICO, Color:NEGRO,   Referencia:FLATRON W1742S Placa padre: Tipo adqu"&amp; "isicion: Entidad"</f>
        <v>Descripcion: CPU BOARD INTEL CORE 1 DUO CON PROCESADOR 2.0GB MEMORIA 1GB, DISCO DURO 80 GB, TECLADO Y MOUSE Estado: Bueno Placa anterior: 000025988 Material: PLASTICO Color: NEGRO Referencia:  Observacion:  Placa anterior:, Placa nueva=H0010747, Descripcion:MOUSE OPTICO, Serial:W62564307832, Marca:GENIUS, Modelo:GM-04003AXSCROLL , Material:PLASTIO, Color:NEGRO,   Referencia:, Placa anterior:, Placa nueva=H0010746, Descripcion:TECLADO, Serial:WE1C92042007, Marca:GENIUS, Modelo:K639. , Material:PLASTICO, Color:NEGRO,   Referencia: KB-06XE, Placa anterior:000029268, Placa nueva=H0010745, Descripcion:MONITOR LCD DE 17 O SUPERIOR, Serial:003TPZK1S381, Marca:LG, Modelo:W1742ST. , Material:PLASTICO, Color:NEGRO,   Referencia:FLATRON W1742S Placa padre: Tipo adquisicion: Entidad</v>
      </c>
      <c r="G17735" s="5"/>
    </row>
    <row r="17736" spans="1:7" ht="58.5" customHeight="1" x14ac:dyDescent="0.25">
      <c r="A17736" s="5" t="str">
        <f>"H0010748"</f>
        <v>H0010748</v>
      </c>
      <c r="B17736" s="5" t="str">
        <f>"SILLA ERGONOMICA TIPO GERENTE SIN BRAZOS"</f>
        <v>SILLA ERGONOMICA TIPO GERENTE SIN BRAZOS</v>
      </c>
      <c r="C17736" s="6">
        <v>59160</v>
      </c>
      <c r="D17736" s="5"/>
      <c r="E17736" s="5" t="str">
        <f t="shared" ref="E17736:E17799" si="910">"ACTISALUD- FACTURACION PRINCIPAL"</f>
        <v>ACTISALUD- FACTURACION PRINCIPAL</v>
      </c>
      <c r="F17736" s="5" t="str">
        <f>"Descripcion: SILLA EJECUTIVA GIRATORIA TAPIZADA EN LONA Estado: Bueno Placa anterior: 000031249 Material: MATALICA, PASTA Y LONA Color: NEGRO Y AZUL Referencia:  Observacion:  Placa padre: Tipo adquisicion: Entidad"</f>
        <v>Descripcion: SILLA EJECUTIVA GIRATORIA TAPIZADA EN LONA Estado: Bueno Placa anterior: 000031249 Material: MATALICA, PASTA Y LONA Color: NEGRO Y AZUL Referencia:  Observacion:  Placa padre: Tipo adquisicion: Entidad</v>
      </c>
      <c r="G17736" s="5"/>
    </row>
    <row r="17737" spans="1:7" ht="58.5" customHeight="1" x14ac:dyDescent="0.25">
      <c r="A17737" s="5" t="str">
        <f>"H0010749"</f>
        <v>H0010749</v>
      </c>
      <c r="B17737" s="5" t="str">
        <f>"MESA DE MADERA PARA COMPUTADOR"</f>
        <v>MESA DE MADERA PARA COMPUTADOR</v>
      </c>
      <c r="C17737" s="6">
        <v>194717.6</v>
      </c>
      <c r="D17737" s="5"/>
      <c r="E17737" s="5" t="str">
        <f t="shared" si="910"/>
        <v>ACTISALUD- FACTURACION PRINCIPAL</v>
      </c>
      <c r="F17737" s="5" t="str">
        <f>"Descripcion: MESA PARA COMPUTADOR  CON CUBIERTA ENFORMICA. DIMENSIONES: 74X147X60 CM Estado: Bueno Placa anterior: 000031252 Material: METALICA Y FORMICA Color: GRIS Y MIEL Referencia:  Observacion:  Placa padre: Tipo adquisicion: Entidad"</f>
        <v>Descripcion: MESA PARA COMPUTADOR  CON CUBIERTA ENFORMICA. DIMENSIONES: 74X147X60 CM Estado: Bueno Placa anterior: 000031252 Material: METALICA Y FORMICA Color: GRIS Y MIEL Referencia:  Observacion:  Placa padre: Tipo adquisicion: Entidad</v>
      </c>
      <c r="G17737" s="5"/>
    </row>
    <row r="17738" spans="1:7" ht="58.5" customHeight="1" x14ac:dyDescent="0.25">
      <c r="A17738" s="5" t="str">
        <f>"H0010855"</f>
        <v>H0010855</v>
      </c>
      <c r="B17738" s="5" t="str">
        <f>"ESCRITORIO METALICO 3 GAVETAS"</f>
        <v>ESCRITORIO METALICO 3 GAVETAS</v>
      </c>
      <c r="C17738" s="6">
        <v>56544</v>
      </c>
      <c r="D17738" s="5"/>
      <c r="E17738" s="5" t="str">
        <f t="shared" si="910"/>
        <v>ACTISALUD- FACTURACION PRINCIPAL</v>
      </c>
      <c r="F17738" s="5" t="str">
        <f>"Descripcion: ESCRITORIO METALICO 3 GAVETAS CON CUBIERTA DE FORMICA Estado: Bueno Placa anterior: 000000987 Material: METALICO Y FORMICA Color: GRIS Y MARRON Referencia:  Observacion: EL BIEN TIENE PLACA ANTERIOR  000012102  FUNCIONARIO AUTORIZA SE CONCILI"&amp; "E CON PLACA 000000987 Placa padre: Tipo adquisicion: Entidad"</f>
        <v>Descripcion: ESCRITORIO METALICO 3 GAVETAS CON CUBIERTA DE FORMICA Estado: Bueno Placa anterior: 000000987 Material: METALICO Y FORMICA Color: GRIS Y MARRON Referencia:  Observacion: EL BIEN TIENE PLACA ANTERIOR  000012102  FUNCIONARIO AUTORIZA SE CONCILIE CON PLACA 000000987 Placa padre: Tipo adquisicion: Entidad</v>
      </c>
      <c r="G17738" s="5"/>
    </row>
    <row r="17739" spans="1:7" ht="58.5" customHeight="1" x14ac:dyDescent="0.25">
      <c r="A17739" s="5" t="str">
        <f>"H0010857"</f>
        <v>H0010857</v>
      </c>
      <c r="B17739" s="5" t="str">
        <f>"ESTABILIZADOR (REGULADOR) DE ENERGIA 1KW"</f>
        <v>ESTABILIZADOR (REGULADOR) DE ENERGIA 1KW</v>
      </c>
      <c r="C17739" s="6">
        <v>200100</v>
      </c>
      <c r="D17739" s="5"/>
      <c r="E17739" s="5" t="str">
        <f t="shared" si="910"/>
        <v>ACTISALUD- FACTURACION PRINCIPAL</v>
      </c>
      <c r="F17739" s="5" t="str">
        <f>"Descripcion: ESTABILIZADOR DE VOLTAGE 1K  CON 4  TOMAS Estado: Bueno Placa anterior: 000031248 Material: METALICO Color: NEGRO Referencia:  Observacion:  Placa padre: Tipo adquisicion: Entidad"</f>
        <v>Descripcion: ESTABILIZADOR DE VOLTAGE 1K  CON 4  TOMAS Estado: Bueno Placa anterior: 000031248 Material: METALICO Color: NEGRO Referencia:  Observacion:  Placa padre: Tipo adquisicion: Entidad</v>
      </c>
      <c r="G17739" s="5"/>
    </row>
    <row r="17740" spans="1:7" ht="58.5" customHeight="1" x14ac:dyDescent="0.25">
      <c r="A17740" s="5" t="str">
        <f>"H0010864"</f>
        <v>H0010864</v>
      </c>
      <c r="B17740" s="5" t="str">
        <f>"ESCRITORIO METALICO 2 GAVETAS"</f>
        <v>ESCRITORIO METALICO 2 GAVETAS</v>
      </c>
      <c r="C17740" s="6">
        <v>18186.14</v>
      </c>
      <c r="D17740" s="5"/>
      <c r="E17740" s="5" t="str">
        <f t="shared" si="910"/>
        <v>ACTISALUD- FACTURACION PRINCIPAL</v>
      </c>
      <c r="F17740" s="5" t="str">
        <f>"Descripcion: ESCRITORIO DE 2 GAVETAS. CON FORMICA ENLA SUPERFICIE Estado: Bueno Placa anterior: 000008975 Material: METALICO Y FORMICA Color: GRIS Y MARRON Referencia:  Observacion:  Placa padre: Tipo adquisicion: Entidad"</f>
        <v>Descripcion: ESCRITORIO DE 2 GAVETAS. CON FORMICA ENLA SUPERFICIE Estado: Bueno Placa anterior: 000008975 Material: METALICO Y FORMICA Color: GRIS Y MARRON Referencia:  Observacion:  Placa padre: Tipo adquisicion: Entidad</v>
      </c>
      <c r="G17740" s="5"/>
    </row>
    <row r="17741" spans="1:7" ht="58.5" customHeight="1" x14ac:dyDescent="0.25">
      <c r="A17741" s="5" t="str">
        <f>"H0010865"</f>
        <v>H0010865</v>
      </c>
      <c r="B17741" s="5" t="str">
        <f>"VENTILADOR DE PARED"</f>
        <v>VENTILADOR DE PARED</v>
      </c>
      <c r="C17741" s="6">
        <v>95500</v>
      </c>
      <c r="D17741" s="5"/>
      <c r="E17741" s="5" t="str">
        <f t="shared" si="910"/>
        <v>ACTISALUD- FACTURACION PRINCIPAL</v>
      </c>
      <c r="F17741" s="5" t="str">
        <f>"Descripcion: VENTILADOR DE PARED CON 3 ASPA Y 3 VELOCIDADES Estado: Bueno Placa anterior: 000022146 Material: PLASTICO Color: BLANCO Referencia:  Observacion: EL BIEN TIENE PLACA ANTERIOR 000035861,  AUTORIZADO CONCILIAR EN CRUCE GENERAL Placa padre: Tipo"&amp; " adquisicion: Entidad"</f>
        <v>Descripcion: VENTILADOR DE PARED CON 3 ASPA Y 3 VELOCIDADES Estado: Bueno Placa anterior: 000022146 Material: PLASTICO Color: BLANCO Referencia:  Observacion: EL BIEN TIENE PLACA ANTERIOR 000035861,  AUTORIZADO CONCILIAR EN CRUCE GENERAL Placa padre: Tipo adquisicion: Entidad</v>
      </c>
      <c r="G17741" s="5" t="str">
        <f>"NEWMAX AIR"</f>
        <v>NEWMAX AIR</v>
      </c>
    </row>
    <row r="17742" spans="1:7" ht="58.5" customHeight="1" x14ac:dyDescent="0.25">
      <c r="A17742" s="5" t="str">
        <f>"H0010866"</f>
        <v>H0010866</v>
      </c>
      <c r="B17742" s="5" t="str">
        <f>"ESCRITORIO DE MADERA 2 GAVETAS"</f>
        <v>ESCRITORIO DE MADERA 2 GAVETAS</v>
      </c>
      <c r="C17742" s="6">
        <v>91598.01</v>
      </c>
      <c r="D17742" s="5"/>
      <c r="E17742" s="5" t="str">
        <f t="shared" si="910"/>
        <v>ACTISALUD- FACTURACION PRINCIPAL</v>
      </c>
      <c r="F17742" s="5" t="str">
        <f>"Descripcion: ESCRITORIO DE 2 GAVETAS Estado: Bueno Placa anterior: 000031257 Material: MADERA Color: MARRON Referencia:  Observacion:  Placa padre: Tipo adquisicion: Entidad"</f>
        <v>Descripcion: ESCRITORIO DE 2 GAVETAS Estado: Bueno Placa anterior: 000031257 Material: MADERA Color: MARRON Referencia:  Observacion:  Placa padre: Tipo adquisicion: Entidad</v>
      </c>
      <c r="G17742" s="5"/>
    </row>
    <row r="17743" spans="1:7" ht="58.5" customHeight="1" x14ac:dyDescent="0.25">
      <c r="A17743" s="5" t="str">
        <f>"H0010867"</f>
        <v>H0010867</v>
      </c>
      <c r="B17743" s="5" t="str">
        <f>"MESA DE MADERA PARA COMPUTADOR"</f>
        <v>MESA DE MADERA PARA COMPUTADOR</v>
      </c>
      <c r="C17743" s="6">
        <v>194717.6</v>
      </c>
      <c r="D17743" s="5"/>
      <c r="E17743" s="5" t="str">
        <f t="shared" si="910"/>
        <v>ACTISALUD- FACTURACION PRINCIPAL</v>
      </c>
      <c r="F17743" s="5" t="str">
        <f>"Descripcion: MESA PARA COMPUTADOR DIMENSIONES: 75X112X70 CM Estado: Bueno Placa anterior: 000031258 Material: MADERA Color: NEGRO Y BEIS Referencia:  Observacion:  Placa padre: Tipo adquisicion: Entidad"</f>
        <v>Descripcion: MESA PARA COMPUTADOR DIMENSIONES: 75X112X70 CM Estado: Bueno Placa anterior: 000031258 Material: MADERA Color: NEGRO Y BEIS Referencia:  Observacion:  Placa padre: Tipo adquisicion: Entidad</v>
      </c>
      <c r="G17743" s="5"/>
    </row>
    <row r="17744" spans="1:7" ht="58.5" customHeight="1" x14ac:dyDescent="0.25">
      <c r="A17744" s="5" t="str">
        <f>"H0010873"</f>
        <v>H0010873</v>
      </c>
      <c r="B17744" s="5" t="str">
        <f>"ESCRITORIO METALICO 3 GAVETAS"</f>
        <v>ESCRITORIO METALICO 3 GAVETAS</v>
      </c>
      <c r="C17744" s="6">
        <v>16526.189999999999</v>
      </c>
      <c r="D17744" s="5"/>
      <c r="E17744" s="5" t="str">
        <f t="shared" si="910"/>
        <v>ACTISALUD- FACTURACION PRINCIPAL</v>
      </c>
      <c r="F17744" s="5" t="str">
        <f>"Descripcion: ESCRITORIO METALICO 3 GAVETAS Estado: Bueno Placa anterior: 000005852 Material: METAL Y FORMICA Color: GRIS Y MADERA Referencia:  Observacion:  Placa padre: Tipo adquisicion: Entidad"</f>
        <v>Descripcion: ESCRITORIO METALICO 3 GAVETAS Estado: Bueno Placa anterior: 000005852 Material: METAL Y FORMICA Color: GRIS Y MADERA Referencia:  Observacion:  Placa padre: Tipo adquisicion: Entidad</v>
      </c>
      <c r="G17744" s="5"/>
    </row>
    <row r="17745" spans="1:7" ht="58.5" customHeight="1" x14ac:dyDescent="0.25">
      <c r="A17745" s="5" t="str">
        <f>"H0010874"</f>
        <v>H0010874</v>
      </c>
      <c r="B17745" s="5" t="str">
        <f>"MESA METALICA"</f>
        <v>MESA METALICA</v>
      </c>
      <c r="C17745" s="6">
        <v>16285</v>
      </c>
      <c r="D17745" s="5"/>
      <c r="E17745" s="5" t="str">
        <f t="shared" si="910"/>
        <v>ACTISALUD- FACTURACION PRINCIPAL</v>
      </c>
      <c r="F17745" s="5" t="str">
        <f>"Descripcion: MESA METALICA CON FORMICA Y UN ALA Estado: Bueno Placa anterior: 000001022 Material: METAL Y FORMICA Color: GRIS Y MADERA Referencia:  Observacion:  Placa padre: Tipo adquisicion: Entidad"</f>
        <v>Descripcion: MESA METALICA CON FORMICA Y UN ALA Estado: Bueno Placa anterior: 000001022 Material: METAL Y FORMICA Color: GRIS Y MADERA Referencia:  Observacion:  Placa padre: Tipo adquisicion: Entidad</v>
      </c>
      <c r="G17745" s="5"/>
    </row>
    <row r="17746" spans="1:7" ht="58.5" customHeight="1" x14ac:dyDescent="0.25">
      <c r="A17746" s="5" t="str">
        <f>"H0010878"</f>
        <v>H0010878</v>
      </c>
      <c r="B17746" s="5" t="str">
        <f>"COMPUTADOR DE MESA"</f>
        <v>COMPUTADOR DE MESA</v>
      </c>
      <c r="C17746" s="6">
        <v>2750000</v>
      </c>
      <c r="D17746" s="5"/>
      <c r="E17746" s="5" t="str">
        <f t="shared" si="910"/>
        <v>ACTISALUD- FACTURACION PRINCIPAL</v>
      </c>
      <c r="F17746" s="5" t="str">
        <f>"Descripcion: COMPUTADOR: Procesador: Intel Core 2 Duo. Disco duro de 250 Gb, Memoria 2 GB, DVD+/-RW LightScribe, Lector de tarjetas 16 en 1.8 USB, 2 PS/2, RJ45, 10/100/1000, Teclado, Mouse òptico, Monitor 17 de la misma marca de CPU, garantia de 1 año Est"&amp; "ado: Bueno Placa anterior: 000029239 Material: PASTA Color: NEGRO Referencia:  Observacion: LA MARCA ES LENOVO Y NO HP  Placa anterior:, Placa nueva=H0010881, Descripcion:MOUSE 3 BOTONES, Serial:X3K85676603773 , Marca:GENIUS, Modelo:GM-03022PXSCROLL, Mate"&amp; "rial:PASTA, Color:NEGRO,   Referencia:149287800673, Placa anterior:, Placa nueva=H0010879, Descripcion:MONITOR LCD DE 17 O SUPERIOR, Serial:003TPBF1S397, Marca:LENOVO, Modelo:, Material:PASTA, Color:NEGRO,   Referencia:, Placa anterior:, Placa nueva=H0010"&amp; "880, Descripcion:TECLADO USB, Serial:01210799, Marca:LENOVO, Modelo:41A5312, Material:PASTA, Color:NEGRO,   Referencia: Placa padre: Tipo adquisicion: Entidad"</f>
        <v>Descripcion: COMPUTADOR: Procesador: Intel Core 2 Duo. Disco duro de 250 Gb, Memoria 2 GB, DVD+/-RW LightScribe, Lector de tarjetas 16 en 1.8 USB, 2 PS/2, RJ45, 10/100/1000, Teclado, Mouse òptico, Monitor 17 de la misma marca de CPU, garantia de 1 año Estado: Bueno Placa anterior: 000029239 Material: PASTA Color: NEGRO Referencia:  Observacion: LA MARCA ES LENOVO Y NO HP  Placa anterior:, Placa nueva=H0010881, Descripcion:MOUSE 3 BOTONES, Serial:X3K85676603773 , Marca:GENIUS, Modelo:GM-03022PXSCROLL, Material:PASTA, Color:NEGRO,   Referencia:149287800673, Placa anterior:, Placa nueva=H0010879, Descripcion:MONITOR LCD DE 17 O SUPERIOR, Serial:003TPBF1S397, Marca:LENOVO, Modelo:, Material:PASTA, Color:NEGRO,   Referencia:, Placa anterior:, Placa nueva=H0010880, Descripcion:TECLADO USB, Serial:01210799, Marca:LENOVO, Modelo:41A5312, Material:PASTA, Color:NEGRO,   Referencia: Placa padre: Tipo adquisicion: Entidad</v>
      </c>
      <c r="G17746" s="5"/>
    </row>
    <row r="17747" spans="1:7" ht="58.5" customHeight="1" x14ac:dyDescent="0.25">
      <c r="A17747" s="5" t="str">
        <f>"H0010882"</f>
        <v>H0010882</v>
      </c>
      <c r="B17747" s="5" t="str">
        <f>"MESA (SUPERFICIE) MODULAR"</f>
        <v>MESA (SUPERFICIE) MODULAR</v>
      </c>
      <c r="C17747" s="6">
        <v>136272</v>
      </c>
      <c r="D17747" s="5"/>
      <c r="E17747" s="5" t="str">
        <f t="shared" si="910"/>
        <v>ACTISALUD- FACTURACION PRINCIPAL</v>
      </c>
      <c r="F17747" s="5" t="str">
        <f>"Descripcion: MESA PARA IMPRESORA Estado: Bueno Placa anterior: 000001153 Material: MADERA Color: NEGRO Y BEIGE Referencia:  Observacion:  Placa padre: Tipo adquisicion: Entidad"</f>
        <v>Descripcion: MESA PARA IMPRESORA Estado: Bueno Placa anterior: 000001153 Material: MADERA Color: NEGRO Y BEIGE Referencia:  Observacion:  Placa padre: Tipo adquisicion: Entidad</v>
      </c>
      <c r="G17747" s="5"/>
    </row>
    <row r="17748" spans="1:7" ht="58.5" customHeight="1" x14ac:dyDescent="0.25">
      <c r="A17748" s="5" t="str">
        <f>"H0010883"</f>
        <v>H0010883</v>
      </c>
      <c r="B17748" s="5" t="str">
        <f>"ESCRITORIO METALICO 3 GAVETAS"</f>
        <v>ESCRITORIO METALICO 3 GAVETAS</v>
      </c>
      <c r="C17748" s="6">
        <v>56544</v>
      </c>
      <c r="D17748" s="5"/>
      <c r="E17748" s="5" t="str">
        <f t="shared" si="910"/>
        <v>ACTISALUD- FACTURACION PRINCIPAL</v>
      </c>
      <c r="F17748" s="5" t="str">
        <f>"Descripcion: ESCRITORIO TIPO A (3 GAVETAS) Estado: Bueno Placa anterior: 000001117 Material: METAL Y FORMICA Color: GRIS Y MADERA Referencia:  Observacion:  Placa padre: Tipo adquisicion: Entidad"</f>
        <v>Descripcion: ESCRITORIO TIPO A (3 GAVETAS) Estado: Bueno Placa anterior: 000001117 Material: METAL Y FORMICA Color: GRIS Y MADERA Referencia:  Observacion:  Placa padre: Tipo adquisicion: Entidad</v>
      </c>
      <c r="G17748" s="5"/>
    </row>
    <row r="17749" spans="1:7" ht="58.5" customHeight="1" x14ac:dyDescent="0.25">
      <c r="A17749" s="5" t="str">
        <f>"H0010885"</f>
        <v>H0010885</v>
      </c>
      <c r="B17749" s="5" t="str">
        <f>"MESA DE MADERA PARA COMPUTADOR"</f>
        <v>MESA DE MADERA PARA COMPUTADOR</v>
      </c>
      <c r="C17749" s="6">
        <v>194717.6</v>
      </c>
      <c r="D17749" s="5"/>
      <c r="E17749" s="5" t="str">
        <f t="shared" si="910"/>
        <v>ACTISALUD- FACTURACION PRINCIPAL</v>
      </c>
      <c r="F17749" s="5" t="str">
        <f>"Descripcion: MESA PARA COMPUTADOR EN MADERA NOTA: BASE METALICA Y SUPERFICIE EN FORMICA Estado: Bueno Placa anterior: 000031209 Material: METAL Y FORMICA Color: NEGRO Y AZUL Referencia:  Observacion:  Placa padre: Tipo adquisicion: Entidad"</f>
        <v>Descripcion: MESA PARA COMPUTADOR EN MADERA NOTA: BASE METALICA Y SUPERFICIE EN FORMICA Estado: Bueno Placa anterior: 000031209 Material: METAL Y FORMICA Color: NEGRO Y AZUL Referencia:  Observacion:  Placa padre: Tipo adquisicion: Entidad</v>
      </c>
      <c r="G17749" s="5"/>
    </row>
    <row r="17750" spans="1:7" ht="58.5" customHeight="1" x14ac:dyDescent="0.25">
      <c r="A17750" s="5" t="str">
        <f>"H0010891"</f>
        <v>H0010891</v>
      </c>
      <c r="B17750" s="5" t="str">
        <f>"SILLA GIRATORIA SIN BRAZOS CON RODACHINES"</f>
        <v>SILLA GIRATORIA SIN BRAZOS CON RODACHINES</v>
      </c>
      <c r="C17750" s="6">
        <v>341040</v>
      </c>
      <c r="D17750" s="5"/>
      <c r="E17750" s="5" t="str">
        <f t="shared" si="910"/>
        <v>ACTISALUD- FACTURACION PRINCIPAL</v>
      </c>
      <c r="F17750" s="5" t="str">
        <f>"Descripcion: SILLA GIRATORIA SIN BRAZOS Estado: Bueno Placa anterior: 000026373 Material: PASTA Y PAÑO Color: NEGRO Y VERDE Referencia:  Observacion:  Placa padre: Tipo adquisicion: Entidad"</f>
        <v>Descripcion: SILLA GIRATORIA SIN BRAZOS Estado: Bueno Placa anterior: 000026373 Material: PASTA Y PAÑO Color: NEGRO Y VERDE Referencia:  Observacion:  Placa padre: Tipo adquisicion: Entidad</v>
      </c>
      <c r="G17750" s="5"/>
    </row>
    <row r="17751" spans="1:7" ht="58.5" customHeight="1" x14ac:dyDescent="0.25">
      <c r="A17751" s="5" t="str">
        <f>"H0010907"</f>
        <v>H0010907</v>
      </c>
      <c r="B17751" s="5" t="str">
        <f>"ESTABILIZADOR  PARA COMPUTADOR"</f>
        <v>ESTABILIZADOR  PARA COMPUTADOR</v>
      </c>
      <c r="C17751" s="6">
        <v>77215.899999999994</v>
      </c>
      <c r="D17751" s="5"/>
      <c r="E17751" s="5" t="str">
        <f t="shared" si="910"/>
        <v>ACTISALUD- FACTURACION PRINCIPAL</v>
      </c>
      <c r="F17751" s="5" t="str">
        <f>"Descripcion: ESTABILIZADOR MCA POWER TRONIC Estado: Malo Placa anterior: 000031213 Material: PASTA Color: NEGRO Referencia:  Observacion:  Placa padre: Tipo adquisicion: Entidad"</f>
        <v>Descripcion: ESTABILIZADOR MCA POWER TRONIC Estado: Malo Placa anterior: 000031213 Material: PASTA Color: NEGRO Referencia:  Observacion:  Placa padre: Tipo adquisicion: Entidad</v>
      </c>
      <c r="G17751" s="5"/>
    </row>
    <row r="17752" spans="1:7" ht="58.5" customHeight="1" x14ac:dyDescent="0.25">
      <c r="A17752" s="5" t="str">
        <f>"H0010911"</f>
        <v>H0010911</v>
      </c>
      <c r="B17752" s="5" t="str">
        <f>"COMPUTADOR TODO EN UNO"</f>
        <v>COMPUTADOR TODO EN UNO</v>
      </c>
      <c r="C17752" s="6">
        <v>2470000</v>
      </c>
      <c r="D17752" s="5" t="s">
        <v>6</v>
      </c>
      <c r="E17752" s="5" t="str">
        <f t="shared" si="910"/>
        <v>ACTISALUD- FACTURACION PRINCIPAL</v>
      </c>
      <c r="F17752" s="5" t="str">
        <f>"Descripcion: EQUIPO DE COMPUTO TODO EN UNO CON PROCESADOR INTEL i5  MONITOR DE 20  Estado: Bueno Placa anterior: 000036999 Material: PLASTICO DE POLIPROPILENO Color: NEGRO Referencia:  Observacion:  Placa anterior:, Placa nueva=H0010914, Descripcion:TECLA"&amp; "DO, Serial:WE1492040802, Marca:GENIUS, Modelo:K639, Material:PLASTICO, Color:NEGRO,   Referencia:KB - 06XE, Placa anterior:, Placa nueva=H0010915, Descripcion:MOUSE OPTICO, Serial:X3K85676603774, Marca:GENIUS, Modelo:GM-120014XSCROLL, Material:PLASTICO, C"&amp; "olor:NEGRO,   Referencia:, Placa anterior:000030831, Placa nueva=H0010912, Descripcion:LICENCIA OFFICE HOME AND BUSIMESS 2013, Serial:6426, Marca:, Modelo:, Material:, Color:,   Referencia: Placa padre: Tipo adquisicion: Entidad"</f>
        <v>Descripcion: EQUIPO DE COMPUTO TODO EN UNO CON PROCESADOR INTEL i5  MONITOR DE 20  Estado: Bueno Placa anterior: 000036999 Material: PLASTICO DE POLIPROPILENO Color: NEGRO Referencia:  Observacion:  Placa anterior:, Placa nueva=H0010914, Descripcion:TECLADO, Serial:WE1492040802, Marca:GENIUS, Modelo:K639, Material:PLASTICO, Color:NEGRO,   Referencia:KB - 06XE, Placa anterior:, Placa nueva=H0010915, Descripcion:MOUSE OPTICO, Serial:X3K85676603774, Marca:GENIUS, Modelo:GM-120014XSCROLL, Material:PLASTICO, Color:NEGRO,   Referencia:, Placa anterior:000030831, Placa nueva=H0010912, Descripcion:LICENCIA OFFICE HOME AND BUSIMESS 2013, Serial:6426, Marca:, Modelo:, Material:, Color:,   Referencia: Placa padre: Tipo adquisicion: Entidad</v>
      </c>
      <c r="G17752" s="5" t="str">
        <f>"THINKCENTRE  E73Z"</f>
        <v>THINKCENTRE  E73Z</v>
      </c>
    </row>
    <row r="17753" spans="1:7" ht="58.5" customHeight="1" x14ac:dyDescent="0.25">
      <c r="A17753" s="5" t="str">
        <f>"H0010912"</f>
        <v>H0010912</v>
      </c>
      <c r="B17753" s="5" t="str">
        <f>"LICENCIA OFFICE HOME AND BUSINEES"</f>
        <v>LICENCIA OFFICE HOME AND BUSINEES</v>
      </c>
      <c r="C17753" s="6">
        <v>440800</v>
      </c>
      <c r="D17753" s="5" t="s">
        <v>2</v>
      </c>
      <c r="E17753" s="5" t="str">
        <f t="shared" si="910"/>
        <v>ACTISALUD- FACTURACION PRINCIPAL</v>
      </c>
      <c r="F17753" s="5" t="str">
        <f>"Descripcion: LICENCIA OFFICE HOME AND BUSIMESS 2013 Estado: Bueno Placa anterior: 000030831 Material:  Color:  Referencia:  Observacion:  Placa padre: H0010911Tipo adquisicion: Entidad"</f>
        <v>Descripcion: LICENCIA OFFICE HOME AND BUSIMESS 2013 Estado: Bueno Placa anterior: 000030831 Material:  Color:  Referencia:  Observacion:  Placa padre: H0010911Tipo adquisicion: Entidad</v>
      </c>
      <c r="G17753" s="5"/>
    </row>
    <row r="17754" spans="1:7" ht="58.5" customHeight="1" x14ac:dyDescent="0.25">
      <c r="A17754" s="5" t="str">
        <f>"H0010916"</f>
        <v>H0010916</v>
      </c>
      <c r="B17754" s="5" t="str">
        <f>"MESA (SUPERFICIE) MODULAR"</f>
        <v>MESA (SUPERFICIE) MODULAR</v>
      </c>
      <c r="C17754" s="6">
        <v>136272</v>
      </c>
      <c r="D17754" s="5"/>
      <c r="E17754" s="5" t="str">
        <f t="shared" si="910"/>
        <v>ACTISALUD- FACTURACION PRINCIPAL</v>
      </c>
      <c r="F17754" s="5" t="str">
        <f>"Descripcion: MESA PARA IMPRESORA CON DOS NIVELES Estado: Bueno Placa anterior: 000001060 Material: MADERA Color: NEGRO Y MIEL Referencia:  Observacion:  Placa padre: Tipo adquisicion: Entidad"</f>
        <v>Descripcion: MESA PARA IMPRESORA CON DOS NIVELES Estado: Bueno Placa anterior: 000001060 Material: MADERA Color: NEGRO Y MIEL Referencia:  Observacion:  Placa padre: Tipo adquisicion: Entidad</v>
      </c>
      <c r="G17754" s="5"/>
    </row>
    <row r="17755" spans="1:7" ht="58.5" customHeight="1" x14ac:dyDescent="0.25">
      <c r="A17755" s="5" t="str">
        <f>"H0010923"</f>
        <v>H0010923</v>
      </c>
      <c r="B17755" s="5" t="str">
        <f>"PUESTO DE TRABAJO EN L CON 3 GAVETAS"</f>
        <v>PUESTO DE TRABAJO EN L CON 3 GAVETAS</v>
      </c>
      <c r="C17755" s="6">
        <v>610000</v>
      </c>
      <c r="D17755" s="5"/>
      <c r="E17755" s="5" t="str">
        <f t="shared" si="910"/>
        <v>ACTISALUD- FACTURACION PRINCIPAL</v>
      </c>
      <c r="F17755" s="5" t="str">
        <f>"Descripcion: PUESTO DE TRABAJO EN L DIMENSIONES: 73X180X60 CM Y 73X150X100 CM.  Estado: Bueno Placa anterior: 000033494 Material: AGLOMERADO Y FORMICA Color: BEIS Y NEGRO Referencia:  Observacion:  Placa padre: Tipo adquisicion: Entidad"</f>
        <v>Descripcion: PUESTO DE TRABAJO EN L DIMENSIONES: 73X180X60 CM Y 73X150X100 CM.  Estado: Bueno Placa anterior: 000033494 Material: AGLOMERADO Y FORMICA Color: BEIS Y NEGRO Referencia:  Observacion:  Placa padre: Tipo adquisicion: Entidad</v>
      </c>
      <c r="G17755" s="5"/>
    </row>
    <row r="17756" spans="1:7" ht="58.5" customHeight="1" x14ac:dyDescent="0.25">
      <c r="A17756" s="5" t="str">
        <f>"H0010953"</f>
        <v>H0010953</v>
      </c>
      <c r="B17756" s="5" t="str">
        <f>"SILLA GIRATORIA SIN BRAZOS CON RODACHINES"</f>
        <v>SILLA GIRATORIA SIN BRAZOS CON RODACHINES</v>
      </c>
      <c r="C17756" s="6">
        <v>10136.35</v>
      </c>
      <c r="D17756" s="5"/>
      <c r="E17756" s="5" t="str">
        <f t="shared" si="910"/>
        <v>ACTISALUD- FACTURACION PRINCIPAL</v>
      </c>
      <c r="F17756" s="5" t="str">
        <f>"Descripcion:SILLA GIRATORIA SIN BRAZOS CON RODACHINES Estado: Bueno Placa anterior: 000014851 Material: PASTA Y CUERINA Color: NEGRO Y NARANJA Referencia:  Observacion: FUNCIONARIO AUTORIZA SE CONCILIE CON PLACA 000014851 Placa padre:  Tipo adquisicion : "&amp; "Entidad"</f>
        <v>Descripcion:SILLA GIRATORIA SIN BRAZOS CON RODACHINES Estado: Bueno Placa anterior: 000014851 Material: PASTA Y CUERINA Color: NEGRO Y NARANJA Referencia:  Observacion: FUNCIONARIO AUTORIZA SE CONCILIE CON PLACA 000014851 Placa padre:  Tipo adquisicion : Entidad</v>
      </c>
      <c r="G17756" s="5"/>
    </row>
    <row r="17757" spans="1:7" ht="58.5" customHeight="1" x14ac:dyDescent="0.25">
      <c r="A17757" s="5" t="str">
        <f>"H0010961"</f>
        <v>H0010961</v>
      </c>
      <c r="B17757" s="5" t="str">
        <f>"SILLA ERGONOMICA TIPO SECRETARIA SIN BRAZOS"</f>
        <v>SILLA ERGONOMICA TIPO SECRETARIA SIN BRAZOS</v>
      </c>
      <c r="C17757" s="6">
        <v>211120</v>
      </c>
      <c r="D17757" s="5"/>
      <c r="E17757" s="5" t="str">
        <f t="shared" si="910"/>
        <v>ACTISALUD- FACTURACION PRINCIPAL</v>
      </c>
      <c r="F17757" s="5" t="str">
        <f>"Descripcion:SILLA ERGONOMICA AT 02 (TA-SECRETARIAL) Estado: Bueno Placa anterior: 000025243 Material: PASTA Color: NEGRO Referencia:  Observacion:  Placa padre:  Tipo adquisicion : Entidad"</f>
        <v>Descripcion:SILLA ERGONOMICA AT 02 (TA-SECRETARIAL) Estado: Bueno Placa anterior: 000025243 Material: PASTA Color: NEGRO Referencia:  Observacion:  Placa padre:  Tipo adquisicion : Entidad</v>
      </c>
      <c r="G17757" s="5"/>
    </row>
    <row r="17758" spans="1:7" ht="58.5" customHeight="1" x14ac:dyDescent="0.25">
      <c r="A17758" s="5" t="str">
        <f>"H0010962"</f>
        <v>H0010962</v>
      </c>
      <c r="B17758" s="5" t="str">
        <f>"UNIDAD ININTERRUMPIDA DE POTENCIA (UPS) 1KW"</f>
        <v>UNIDAD ININTERRUMPIDA DE POTENCIA (UPS) 1KW</v>
      </c>
      <c r="C17758" s="6">
        <v>1276000</v>
      </c>
      <c r="D17758" s="5" t="s">
        <v>174</v>
      </c>
      <c r="E17758" s="5" t="str">
        <f t="shared" si="910"/>
        <v>ACTISALUD- FACTURACION PRINCIPAL</v>
      </c>
      <c r="F17758" s="5" t="str">
        <f>"Descripcion:UPS 8 TOMAS Estado: Bueno Placa anterior:  Material: PASTA Color: NEGRO Referencia:  Observacion:  Placa padre:  Tipo adquisicion : Entidad"</f>
        <v>Descripcion:UPS 8 TOMAS Estado: Bueno Placa anterior:  Material: PASTA Color: NEGRO Referencia:  Observacion:  Placa padre:  Tipo adquisicion : Entidad</v>
      </c>
      <c r="G17758" s="5"/>
    </row>
    <row r="17759" spans="1:7" ht="58.5" customHeight="1" x14ac:dyDescent="0.25">
      <c r="A17759" s="5" t="str">
        <f>"H0010968"</f>
        <v>H0010968</v>
      </c>
      <c r="B17759" s="5" t="str">
        <f>"SILLA ERGONOMICA TIPO SECRETARIA SIN BRAZOS"</f>
        <v>SILLA ERGONOMICA TIPO SECRETARIA SIN BRAZOS</v>
      </c>
      <c r="C17759" s="6">
        <v>16500</v>
      </c>
      <c r="D17759" s="5"/>
      <c r="E17759" s="5" t="str">
        <f t="shared" si="910"/>
        <v>ACTISALUD- FACTURACION PRINCIPAL</v>
      </c>
      <c r="F17759" s="5" t="str">
        <f>"Descripcion:SILLA ERGONOMICA AT 02 (TA-SECRETARIAL) Estado: Bueno Placa anterior: 000014766 Material: PASTA Color: NEGRO Referencia:  Observacion: EL BIEN TIENE PLACA 000025267  AUTORIZADO CONCILIAR EN CRUCE GENERAL Placa padre:  Tipo adquisicion : Entida"&amp; "d"</f>
        <v>Descripcion:SILLA ERGONOMICA AT 02 (TA-SECRETARIAL) Estado: Bueno Placa anterior: 000014766 Material: PASTA Color: NEGRO Referencia:  Observacion: EL BIEN TIENE PLACA 000025267  AUTORIZADO CONCILIAR EN CRUCE GENERAL Placa padre:  Tipo adquisicion : Entidad</v>
      </c>
      <c r="G17759" s="5"/>
    </row>
    <row r="17760" spans="1:7" ht="58.5" customHeight="1" x14ac:dyDescent="0.25">
      <c r="A17760" s="5" t="str">
        <f>"H0010969"</f>
        <v>H0010969</v>
      </c>
      <c r="B17760" s="5" t="str">
        <f>"SILLA PLASTICA CON BRAZOS"</f>
        <v>SILLA PLASTICA CON BRAZOS</v>
      </c>
      <c r="C17760" s="6">
        <v>23000</v>
      </c>
      <c r="D17760" s="5"/>
      <c r="E17760" s="5" t="str">
        <f t="shared" si="910"/>
        <v>ACTISALUD- FACTURACION PRINCIPAL</v>
      </c>
      <c r="F17760" s="5" t="str">
        <f>"Descripcion:SILLA PLASTICA CON BRAZOS Estado: Bueno Placa anterior: 000033276 Material: PLASTICO Color: AZUL Referencia:  Observacion:  Placa padre:  Tipo adquisicion : Entidad"</f>
        <v>Descripcion:SILLA PLASTICA CON BRAZOS Estado: Bueno Placa anterior: 000033276 Material: PLASTICO Color: AZUL Referencia:  Observacion:  Placa padre:  Tipo adquisicion : Entidad</v>
      </c>
      <c r="G17760" s="5"/>
    </row>
    <row r="17761" spans="1:7" ht="58.5" customHeight="1" x14ac:dyDescent="0.25">
      <c r="A17761" s="5" t="str">
        <f>"H0011023"</f>
        <v>H0011023</v>
      </c>
      <c r="B17761" s="5" t="str">
        <f>"MESA METALICA PARA COMPUTADOR"</f>
        <v>MESA METALICA PARA COMPUTADOR</v>
      </c>
      <c r="C17761" s="6">
        <v>22770</v>
      </c>
      <c r="D17761" s="5"/>
      <c r="E17761" s="5" t="str">
        <f t="shared" si="910"/>
        <v>ACTISALUD- FACTURACION PRINCIPAL</v>
      </c>
      <c r="F17761" s="5" t="str">
        <f>"Descripcion: SUPERFICIE EN FORMICA Estado: Bueno Placa anterior: 000004369 Material:  Color:  Referencia:  Observacion: AUTORIZADO CONCILIAR EN CRUCE GENERAL Placa padre: Tipo adquisicion: Entidad"</f>
        <v>Descripcion: SUPERFICIE EN FORMICA Estado: Bueno Placa anterior: 000004369 Material:  Color:  Referencia:  Observacion: AUTORIZADO CONCILIAR EN CRUCE GENERAL Placa padre: Tipo adquisicion: Entidad</v>
      </c>
      <c r="G17761" s="5"/>
    </row>
    <row r="17762" spans="1:7" ht="58.5" customHeight="1" x14ac:dyDescent="0.25">
      <c r="A17762" s="5" t="str">
        <f>"H0011235"</f>
        <v>H0011235</v>
      </c>
      <c r="B17762" s="5" t="str">
        <f>"COMPUTADOR TODO EN UNO"</f>
        <v>COMPUTADOR TODO EN UNO</v>
      </c>
      <c r="C17762" s="6">
        <v>2470000</v>
      </c>
      <c r="D17762" s="5" t="s">
        <v>6</v>
      </c>
      <c r="E17762" s="5" t="str">
        <f t="shared" si="910"/>
        <v>ACTISALUD- FACTURACION PRINCIPAL</v>
      </c>
      <c r="F17762" s="5" t="str">
        <f>"Descripcion: EQUIPO DE COMPUTO TODO EN UNO CON PROCESADOR INTEL i5 Estado: Bueno Placa anterior: 000037028 Material: PASTA Color: NEGRO Referencia: 10BD-00FDLS Observacion:  Placa anterior:, Placa nueva=H0011237, Descripcion:OPTICO, Serial:FCMHH0CJP5I13S,"&amp; " Marca:HP, Modelo:SM-2022, Material:PASTA, Color:NEGRO,Referencia:672652-001, Placa anterior:, Placa nueva=H0011236, Descripcion:., Serial:BDMHE0CVB515SU, Marca:HP, Modelo:KU-1156, Material:PASTA, Color:NEGRO,Referencia:672647-163LA Placa padre: Tipo adqu"&amp; "isicion: Entidad"</f>
        <v>Descripcion: EQUIPO DE COMPUTO TODO EN UNO CON PROCESADOR INTEL i5 Estado: Bueno Placa anterior: 000037028 Material: PASTA Color: NEGRO Referencia: 10BD-00FDLS Observacion:  Placa anterior:, Placa nueva=H0011237, Descripcion:OPTICO, Serial:FCMHH0CJP5I13S, Marca:HP, Modelo:SM-2022, Material:PASTA, Color:NEGRO,Referencia:672652-001, Placa anterior:, Placa nueva=H0011236, Descripcion:., Serial:BDMHE0CVB515SU, Marca:HP, Modelo:KU-1156, Material:PASTA, Color:NEGRO,Referencia:672647-163LA Placa padre: Tipo adquisicion: Entidad</v>
      </c>
      <c r="G17762" s="5" t="str">
        <f>"THINKCENTRE"</f>
        <v>THINKCENTRE</v>
      </c>
    </row>
    <row r="17763" spans="1:7" ht="58.5" customHeight="1" x14ac:dyDescent="0.25">
      <c r="A17763" s="5" t="str">
        <f>"H0011796"</f>
        <v>H0011796</v>
      </c>
      <c r="B17763" s="5" t="str">
        <f>"IMPRESORA TERMICA"</f>
        <v>IMPRESORA TERMICA</v>
      </c>
      <c r="C17763" s="6">
        <v>1543960</v>
      </c>
      <c r="D17763" s="5" t="s">
        <v>52</v>
      </c>
      <c r="E17763" s="5" t="str">
        <f t="shared" si="910"/>
        <v>ACTISALUD- FACTURACION PRINCIPAL</v>
      </c>
      <c r="F17763" s="5" t="str">
        <f>"Descripcion: Impresora de manillas, termico directo, resolución 300 dpi, lenguaje programación ZPL, conexión USB, memoria flash 8MB, 16 MB en RAM Estado: Bueno Placa anterior: 000036450 Material: PLASTICO Color: BEIGE Referencia:  Observacion:  Placa padr"&amp; "e: Tipo adquisicion: Entidad"</f>
        <v>Descripcion: Impresora de manillas, termico directo, resolución 300 dpi, lenguaje programación ZPL, conexión USB, memoria flash 8MB, 16 MB en RAM Estado: Bueno Placa anterior: 000036450 Material: PLASTICO Color: BEIGE Referencia:  Observacion:  Placa padre: Tipo adquisicion: Entidad</v>
      </c>
      <c r="G17763" s="5" t="str">
        <f>"HC100"</f>
        <v>HC100</v>
      </c>
    </row>
    <row r="17764" spans="1:7" ht="58.5" customHeight="1" x14ac:dyDescent="0.25">
      <c r="A17764" s="5" t="str">
        <f>"H0011799"</f>
        <v>H0011799</v>
      </c>
      <c r="B17764" s="5" t="str">
        <f>"ESTABILIZADOR  PARA COMPUTADOR"</f>
        <v>ESTABILIZADOR  PARA COMPUTADOR</v>
      </c>
      <c r="C17764" s="6">
        <v>649600</v>
      </c>
      <c r="D17764" s="5"/>
      <c r="E17764" s="5" t="str">
        <f t="shared" si="910"/>
        <v>ACTISALUD- FACTURACION PRINCIPAL</v>
      </c>
      <c r="F17764" s="5" t="str">
        <f>"Descripcion: ESTABILIZADOR DE 2000 V. A. ISOLADO Estado: Bueno Placa anterior: 000031266 Material: METALICO Color: NEGRO Referencia:  Observacion:  Placa padre: Tipo adquisicion: Entidad"</f>
        <v>Descripcion: ESTABILIZADOR DE 2000 V. A. ISOLADO Estado: Bueno Placa anterior: 000031266 Material: METALICO Color: NEGRO Referencia:  Observacion:  Placa padre: Tipo adquisicion: Entidad</v>
      </c>
      <c r="G17764" s="5"/>
    </row>
    <row r="17765" spans="1:7" ht="58.5" customHeight="1" x14ac:dyDescent="0.25">
      <c r="A17765" s="5" t="str">
        <f>"H0011800"</f>
        <v>H0011800</v>
      </c>
      <c r="B17765" s="5" t="str">
        <f>"SILLA ERGONOMICA TIPO SECRETARIA SIN BRAZOS"</f>
        <v>SILLA ERGONOMICA TIPO SECRETARIA SIN BRAZOS</v>
      </c>
      <c r="C17765" s="6">
        <v>140000</v>
      </c>
      <c r="D17765" s="5"/>
      <c r="E17765" s="5" t="str">
        <f t="shared" si="910"/>
        <v>ACTISALUD- FACTURACION PRINCIPAL</v>
      </c>
      <c r="F17765" s="5" t="str">
        <f>"Descripcion: SILLA ERGONOMICA TIPO SECRETARIA SIN BRAZOS Estado: Regular Placa anterior: 000031260 Material: TAPIZADO EN SEMICUERO Color: AZUL Referencia:  Observacion:  Placa padre: Tipo adquisicion: Entidad"</f>
        <v>Descripcion: SILLA ERGONOMICA TIPO SECRETARIA SIN BRAZOS Estado: Regular Placa anterior: 000031260 Material: TAPIZADO EN SEMICUERO Color: AZUL Referencia:  Observacion:  Placa padre: Tipo adquisicion: Entidad</v>
      </c>
      <c r="G17765" s="5"/>
    </row>
    <row r="17766" spans="1:7" ht="58.5" customHeight="1" x14ac:dyDescent="0.25">
      <c r="A17766" s="5" t="str">
        <f>"H0011801"</f>
        <v>H0011801</v>
      </c>
      <c r="B17766" s="5" t="str">
        <f>"DIVISION (PANEL) MODULAR"</f>
        <v>DIVISION (PANEL) MODULAR</v>
      </c>
      <c r="C17766" s="6">
        <v>2500000</v>
      </c>
      <c r="D17766" s="5" t="s">
        <v>35</v>
      </c>
      <c r="E17766" s="5" t="str">
        <f t="shared" si="910"/>
        <v>ACTISALUD- FACTURACION PRINCIPAL</v>
      </c>
      <c r="F17766" s="5" t="str">
        <f>"Descripcion: PUESTO DE TAQUILLA DE 1.60 160 DIVISIONES MODULARES PANEL Y VIDRIO TIPO TAQUILLA ALTURA 2.00 INCLUYE PUERTA 60X2.00 Estado: Bueno Placa anterior: 000028122 Material: METALICO, PAÑO, FORMICA Color: AZUL CON GRIS Referencia:  Observacion:  Plac"&amp; "a padre: Tipo adquisicion: Entidad"</f>
        <v>Descripcion: PUESTO DE TAQUILLA DE 1.60 160 DIVISIONES MODULARES PANEL Y VIDRIO TIPO TAQUILLA ALTURA 2.00 INCLUYE PUERTA 60X2.00 Estado: Bueno Placa anterior: 000028122 Material: METALICO, PAÑO, FORMICA Color: AZUL CON GRIS Referencia:  Observacion:  Placa padre: Tipo adquisicion: Entidad</v>
      </c>
      <c r="G17766" s="5"/>
    </row>
    <row r="17767" spans="1:7" ht="58.5" customHeight="1" x14ac:dyDescent="0.25">
      <c r="A17767" s="5" t="str">
        <f>"H0016160"</f>
        <v>H0016160</v>
      </c>
      <c r="B17767" s="5" t="str">
        <f>"ARCHIVADOR DE MADERA 3 GAVETAS"</f>
        <v>ARCHIVADOR DE MADERA 3 GAVETAS</v>
      </c>
      <c r="C17767" s="6">
        <v>556800</v>
      </c>
      <c r="D17767" s="5" t="s">
        <v>5</v>
      </c>
      <c r="E17767" s="5" t="str">
        <f t="shared" si="910"/>
        <v>ACTISALUD- FACTURACION PRINCIPAL</v>
      </c>
      <c r="F17767" s="5" t="str">
        <f>"Descripcion:ARCHIVADOR 3 GAVETAS CON CHAPA DE SEGURIDAD Estado: Bueno Placa anterior: 000029509 Material: MADERA Color: GRIS Referencia:  Observacion:  Placa padre:  Tipo adquisicion : Entidad"</f>
        <v>Descripcion:ARCHIVADOR 3 GAVETAS CON CHAPA DE SEGURIDAD Estado: Bueno Placa anterior: 000029509 Material: MADERA Color: GRIS Referencia:  Observacion:  Placa padre:  Tipo adquisicion : Entidad</v>
      </c>
      <c r="G17767" s="5"/>
    </row>
    <row r="17768" spans="1:7" ht="58.5" customHeight="1" x14ac:dyDescent="0.25">
      <c r="A17768" s="5" t="str">
        <f>"H0016305"</f>
        <v>H0016305</v>
      </c>
      <c r="B17768" s="5" t="str">
        <f>"COMPUTADOR TODO EN UNO"</f>
        <v>COMPUTADOR TODO EN UNO</v>
      </c>
      <c r="C17768" s="6">
        <v>2470000</v>
      </c>
      <c r="D17768" s="5" t="s">
        <v>6</v>
      </c>
      <c r="E17768" s="5" t="str">
        <f t="shared" si="910"/>
        <v>ACTISALUD- FACTURACION PRINCIPAL</v>
      </c>
      <c r="F17768" s="5" t="str">
        <f>"Descripcion: EQUIPO DE COMPUTO TODO EN UNO CON PROCESADOR INTEL i5 Estado: Bueno Placa anterior: 000036994 Material: PASTA Color: NEGRO Referencia: THINKCENTRE Observacion:  Placa anterior:, Placa nueva=H0016306, Descripcion:TECLADO LENOVO, Serial:8259077"&amp; ", Marca:LENOVO, Modelo:K02225, Material:PASTA, Color:NEGRO,   Referencia:, Placa anterior:, Placa nueva=H0016307, Descripcion:MOUSE LENOVO, Serial:44PD611, Marca:LENOVO, Modelo:, Material:PASTA, Color:NEGRO,   Referencia: Placa padre: Tipo adquisicion: En"&amp; "tidad"</f>
        <v>Descripcion: EQUIPO DE COMPUTO TODO EN UNO CON PROCESADOR INTEL i5 Estado: Bueno Placa anterior: 000036994 Material: PASTA Color: NEGRO Referencia: THINKCENTRE Observacion:  Placa anterior:, Placa nueva=H0016306, Descripcion:TECLADO LENOVO, Serial:8259077, Marca:LENOVO, Modelo:K02225, Material:PASTA, Color:NEGRO,   Referencia:, Placa anterior:, Placa nueva=H0016307, Descripcion:MOUSE LENOVO, Serial:44PD611, Marca:LENOVO, Modelo:, Material:PASTA, Color:NEGRO,   Referencia: Placa padre: Tipo adquisicion: Entidad</v>
      </c>
      <c r="G17768" s="5" t="str">
        <f>"10BD-00FDLS"</f>
        <v>10BD-00FDLS</v>
      </c>
    </row>
    <row r="17769" spans="1:7" ht="58.5" customHeight="1" x14ac:dyDescent="0.25">
      <c r="A17769" s="5" t="str">
        <f>"H0016331"</f>
        <v>H0016331</v>
      </c>
      <c r="B17769" s="5" t="str">
        <f>"SILLA INTERLOCUTORA (FIJA) SIN BRAZOS"</f>
        <v>SILLA INTERLOCUTORA (FIJA) SIN BRAZOS</v>
      </c>
      <c r="C17769" s="6">
        <v>5985.88</v>
      </c>
      <c r="D17769" s="5"/>
      <c r="E17769" s="5" t="str">
        <f t="shared" si="910"/>
        <v>ACTISALUD- FACTURACION PRINCIPAL</v>
      </c>
      <c r="F17769" s="5" t="str">
        <f>"Descripcion: SILLA INTERLOCUTORA METALICA CON FORRO EN CUERO MARRON Estado: Bueno Placa anterior: 000003260 Material: METALICA Y CUERO Color: GRIS Y MARRON Referencia:  Observacion: EL BIEN TIENE PLACA ANTERIOR 000027354  SILLA FIJA TIPO A COLOR MARRON Pl"&amp; "aca padre: Tipo adquisicion: Entidad"</f>
        <v>Descripcion: SILLA INTERLOCUTORA METALICA CON FORRO EN CUERO MARRON Estado: Bueno Placa anterior: 000003260 Material: METALICA Y CUERO Color: GRIS Y MARRON Referencia:  Observacion: EL BIEN TIENE PLACA ANTERIOR 000027354  SILLA FIJA TIPO A COLOR MARRON Placa padre: Tipo adquisicion: Entidad</v>
      </c>
      <c r="G17769" s="5"/>
    </row>
    <row r="17770" spans="1:7" ht="58.5" customHeight="1" x14ac:dyDescent="0.25">
      <c r="A17770" s="5" t="str">
        <f>"H0016350"</f>
        <v>H0016350</v>
      </c>
      <c r="B17770" s="5" t="str">
        <f>"MESA (SUPERFICIE) MODULAR"</f>
        <v>MESA (SUPERFICIE) MODULAR</v>
      </c>
      <c r="C17770" s="6">
        <v>103649.60000000001</v>
      </c>
      <c r="D17770" s="5"/>
      <c r="E17770" s="5" t="str">
        <f t="shared" si="910"/>
        <v>ACTISALUD- FACTURACION PRINCIPAL</v>
      </c>
      <c r="F17770" s="5" t="str">
        <f>"Descripcion: MESA PARA IMPRESORA Estado: Bueno Placa anterior: 000001485 Material: SUPERFICIE EN FORMICA Color: BEIGS CON BASE EN NEGRO Referencia:  Observacion: CON BASE EN EL PISO Placa padre: Tipo adquisicion: Entidad"</f>
        <v>Descripcion: MESA PARA IMPRESORA Estado: Bueno Placa anterior: 000001485 Material: SUPERFICIE EN FORMICA Color: BEIGS CON BASE EN NEGRO Referencia:  Observacion: CON BASE EN EL PISO Placa padre: Tipo adquisicion: Entidad</v>
      </c>
      <c r="G17770" s="5"/>
    </row>
    <row r="17771" spans="1:7" ht="58.5" customHeight="1" x14ac:dyDescent="0.25">
      <c r="A17771" s="5" t="str">
        <f>"H0016571"</f>
        <v>H0016571</v>
      </c>
      <c r="B17771" s="5" t="str">
        <f>"COMPUTADOR TODO EN UNO"</f>
        <v>COMPUTADOR TODO EN UNO</v>
      </c>
      <c r="C17771" s="6">
        <v>2470000</v>
      </c>
      <c r="D17771" s="5" t="s">
        <v>6</v>
      </c>
      <c r="E17771" s="5" t="str">
        <f t="shared" si="910"/>
        <v>ACTISALUD- FACTURACION PRINCIPAL</v>
      </c>
      <c r="F17771" s="5" t="str">
        <f>"Descripcion:EQUIPO DE COMPUTO TODO EN UNO CON PROCESADOR INTEL i5 Estado: Bueno Placa anterior: 000037017 Material: PLASTICO Color: NEGRO Referencia:  Observacion:  Placa anterior:, Placa nueva=H0016573, Descripcion:MOUSE USB, Serial:44MG172, Marca:LENOVO"&amp; ", Modelo:, Material:PLASTICO, Color:NEGRO,   Referencia:, Placa anterior:, Placa nueva=H0016572, Descripcion:TECLADO USB, Serial:8258522, Marca:LENOVO, Modelo:KU025, Material:PLASTICO, Color:NEGRO,   Referencia: Placa padre:  Tipo adquisicion : Entidad"</f>
        <v>Descripcion:EQUIPO DE COMPUTO TODO EN UNO CON PROCESADOR INTEL i5 Estado: Bueno Placa anterior: 000037017 Material: PLASTICO Color: NEGRO Referencia:  Observacion:  Placa anterior:, Placa nueva=H0016573, Descripcion:MOUSE USB, Serial:44MG172, Marca:LENOVO, Modelo:, Material:PLASTICO, Color:NEGRO,   Referencia:, Placa anterior:, Placa nueva=H0016572, Descripcion:TECLADO USB, Serial:8258522, Marca:LENOVO, Modelo:KU025, Material:PLASTICO, Color:NEGRO,   Referencia: Placa padre:  Tipo adquisicion : Entidad</v>
      </c>
      <c r="G17771" s="5" t="str">
        <f>"10BD-00FDLS"</f>
        <v>10BD-00FDLS</v>
      </c>
    </row>
    <row r="17772" spans="1:7" ht="58.5" customHeight="1" x14ac:dyDescent="0.25">
      <c r="A17772" s="5" t="str">
        <f>"H0016593"</f>
        <v>H0016593</v>
      </c>
      <c r="B17772" s="5" t="str">
        <f>"MESA METALICA AUXILIAR"</f>
        <v>MESA METALICA AUXILIAR</v>
      </c>
      <c r="C17772" s="6">
        <v>7800</v>
      </c>
      <c r="D17772" s="5"/>
      <c r="E17772" s="5" t="str">
        <f t="shared" si="910"/>
        <v>ACTISALUD- FACTURACION PRINCIPAL</v>
      </c>
      <c r="F17772" s="5" t="str">
        <f>"Descripcion:MESA TIPO H (MECANOGRAFA CON ALA)CON MESON EN FORMICA Estado: Bueno Placa anterior: 000006737 Material: METALICA Color: GRIS CON MARRON Referencia:  Observacion:  Placa padre:  Tipo adquisicion : Entidad"</f>
        <v>Descripcion:MESA TIPO H (MECANOGRAFA CON ALA)CON MESON EN FORMICA Estado: Bueno Placa anterior: 000006737 Material: METALICA Color: GRIS CON MARRON Referencia:  Observacion:  Placa padre:  Tipo adquisicion : Entidad</v>
      </c>
      <c r="G17772" s="5"/>
    </row>
    <row r="17773" spans="1:7" ht="58.5" customHeight="1" x14ac:dyDescent="0.25">
      <c r="A17773" s="5" t="str">
        <f>"H0017609"</f>
        <v>H0017609</v>
      </c>
      <c r="B17773" s="5" t="str">
        <f>"ARCHIVADOR DE MADERA 4 GAVETAS"</f>
        <v>ARCHIVADOR DE MADERA 4 GAVETAS</v>
      </c>
      <c r="C17773" s="6">
        <v>445000</v>
      </c>
      <c r="D17773" s="5"/>
      <c r="E17773" s="5" t="str">
        <f t="shared" si="910"/>
        <v>ACTISALUD- FACTURACION PRINCIPAL</v>
      </c>
      <c r="F17773" s="5" t="str">
        <f>"Descripcion:ARCHIVADOR 4 GABETAS EN MADERA Estado: Bueno Placa anterior: 000028836 Material: MADERA Color: MARRON CLARO Referencia:  Observacion:  Placa padre:  Tipo adquisicion : Entidad"</f>
        <v>Descripcion:ARCHIVADOR 4 GABETAS EN MADERA Estado: Bueno Placa anterior: 000028836 Material: MADERA Color: MARRON CLARO Referencia:  Observacion:  Placa padre:  Tipo adquisicion : Entidad</v>
      </c>
      <c r="G17773" s="5"/>
    </row>
    <row r="17774" spans="1:7" ht="58.5" customHeight="1" x14ac:dyDescent="0.25">
      <c r="A17774" s="5" t="str">
        <f>"H0018610"</f>
        <v>H0018610</v>
      </c>
      <c r="B17774" s="5" t="str">
        <f>"SILLA ERGONOMICA TIPO GERENTE CON BRAZOS"</f>
        <v>SILLA ERGONOMICA TIPO GERENTE CON BRAZOS</v>
      </c>
      <c r="C17774" s="6">
        <v>300000</v>
      </c>
      <c r="D17774" s="5"/>
      <c r="E17774" s="5" t="str">
        <f t="shared" si="910"/>
        <v>ACTISALUD- FACTURACION PRINCIPAL</v>
      </c>
      <c r="F17774" s="5" t="str">
        <f>"Descripcion: SILLA EJECUTIVA ROBY ALTA CON BRAZOS UN-58A BASE EN NILON DE 5 ASPAS, CON RODACHINES TAPIZADO EN PAÑO COLOR NEGRO Estado: Bueno Placa anterior: 000025466 Material: PASTA PAÑO METAL Color: NEGRO Referencia:  Observacion:  Placa padre: Tipo adq"&amp; "uisicion: Entidad"</f>
        <v>Descripcion: SILLA EJECUTIVA ROBY ALTA CON BRAZOS UN-58A BASE EN NILON DE 5 ASPAS, CON RODACHINES TAPIZADO EN PAÑO COLOR NEGRO Estado: Bueno Placa anterior: 000025466 Material: PASTA PAÑO METAL Color: NEGRO Referencia:  Observacion:  Placa padre: Tipo adquisicion: Entidad</v>
      </c>
      <c r="G17774" s="5"/>
    </row>
    <row r="17775" spans="1:7" ht="58.5" customHeight="1" x14ac:dyDescent="0.25">
      <c r="A17775" s="5" t="str">
        <f>"H0018854"</f>
        <v>H0018854</v>
      </c>
      <c r="B17775" s="5" t="str">
        <f>"COMPUTADOR DE MESA"</f>
        <v>COMPUTADOR DE MESA</v>
      </c>
      <c r="C17775" s="6">
        <v>2750000</v>
      </c>
      <c r="D17775" s="5"/>
      <c r="E17775" s="5" t="str">
        <f t="shared" si="910"/>
        <v>ACTISALUD- FACTURACION PRINCIPAL</v>
      </c>
      <c r="F17775" s="5" t="str">
        <f>"Descripcion: COMPUTADOR DE MESA Estado: Bueno Placa anterior: 000029095 Material: PASTA Color: NEGRO Referencia:  Observacion: EL BIEN TIENE PLACA ANTERIOR 000035863   AUTORIZADO CRUZAR POR SISTEMAS Placa anterior:, Placa nueva=H0018858, Descripcion:MOUSE"&amp; ", Serial:159909602492, Marca:GENIUS, Modelo:GM-03022P, Material:PASTA, Color:NEGRO,   Referencia:, Placa anterior:, Placa nueva=H0018856, Descripcion:TECLADO, Serial:ZM7202037254, Marca:GENIUS, Modelo:, Material:PASTA, Color:NEGRO,   Referencia:, Placa an"&amp; "terior:, Placa nueva=H0018855, Descripcion: MONITOR, Serial:VNA4BMP, Marca:LENOVO, Modelo:THINKVISION , Material:PASTA, Color:NEGRO,   Referencia:5047-HB2 Placa padre: Tipo adquisicion: Entidad"</f>
        <v>Descripcion: COMPUTADOR DE MESA Estado: Bueno Placa anterior: 000029095 Material: PASTA Color: NEGRO Referencia:  Observacion: EL BIEN TIENE PLACA ANTERIOR 000035863   AUTORIZADO CRUZAR POR SISTEMAS Placa anterior:, Placa nueva=H0018858, Descripcion:MOUSE, Serial:159909602492, Marca:GENIUS, Modelo:GM-03022P, Material:PASTA, Color:NEGRO,   Referencia:, Placa anterior:, Placa nueva=H0018856, Descripcion:TECLADO, Serial:ZM7202037254, Marca:GENIUS, Modelo:, Material:PASTA, Color:NEGRO,   Referencia:, Placa anterior:, Placa nueva=H0018855, Descripcion: MONITOR, Serial:VNA4BMP, Marca:LENOVO, Modelo:THINKVISION , Material:PASTA, Color:NEGRO,   Referencia:5047-HB2 Placa padre: Tipo adquisicion: Entidad</v>
      </c>
      <c r="G17775" s="5"/>
    </row>
    <row r="17776" spans="1:7" ht="58.5" customHeight="1" x14ac:dyDescent="0.25">
      <c r="A17776" s="5" t="str">
        <f>"H0018861"</f>
        <v>H0018861</v>
      </c>
      <c r="B17776" s="5" t="str">
        <f t="shared" ref="B17776:B17781" si="911">"DIVISION (PANEL) MODULAR"</f>
        <v>DIVISION (PANEL) MODULAR</v>
      </c>
      <c r="C17776" s="6">
        <v>980000</v>
      </c>
      <c r="D17776" s="5" t="s">
        <v>3</v>
      </c>
      <c r="E17776" s="5" t="str">
        <f t="shared" si="910"/>
        <v>ACTISALUD- FACTURACION PRINCIPAL</v>
      </c>
      <c r="F17776" s="5" t="str">
        <f t="shared" ref="F17776:F17781" si="912">"Descripcion: DIVISION EN VIDRIOTEMPLADO CON PAPEL SAMBLASTEADO, MARCO METALICO Estado: Bueno Placa anterior:  Material: VIDRIO Color:  Referencia:  Observacion:  Placa padre: Tipo adquisicion: Entidad"</f>
        <v>Descripcion: DIVISION EN VIDRIOTEMPLADO CON PAPEL SAMBLASTEADO, MARCO METALICO Estado: Bueno Placa anterior:  Material: VIDRIO Color:  Referencia:  Observacion:  Placa padre: Tipo adquisicion: Entidad</v>
      </c>
      <c r="G17776" s="5"/>
    </row>
    <row r="17777" spans="1:7" ht="58.5" customHeight="1" x14ac:dyDescent="0.25">
      <c r="A17777" s="5" t="str">
        <f>"H0018863"</f>
        <v>H0018863</v>
      </c>
      <c r="B17777" s="5" t="str">
        <f t="shared" si="911"/>
        <v>DIVISION (PANEL) MODULAR</v>
      </c>
      <c r="C17777" s="6">
        <v>980000</v>
      </c>
      <c r="D17777" s="5" t="s">
        <v>3</v>
      </c>
      <c r="E17777" s="5" t="str">
        <f t="shared" si="910"/>
        <v>ACTISALUD- FACTURACION PRINCIPAL</v>
      </c>
      <c r="F17777" s="5" t="str">
        <f t="shared" si="912"/>
        <v>Descripcion: DIVISION EN VIDRIOTEMPLADO CON PAPEL SAMBLASTEADO, MARCO METALICO Estado: Bueno Placa anterior:  Material: VIDRIO Color:  Referencia:  Observacion:  Placa padre: Tipo adquisicion: Entidad</v>
      </c>
      <c r="G17777" s="5"/>
    </row>
    <row r="17778" spans="1:7" ht="58.5" customHeight="1" x14ac:dyDescent="0.25">
      <c r="A17778" s="5" t="str">
        <f>"H0018864"</f>
        <v>H0018864</v>
      </c>
      <c r="B17778" s="5" t="str">
        <f t="shared" si="911"/>
        <v>DIVISION (PANEL) MODULAR</v>
      </c>
      <c r="C17778" s="6">
        <v>980000</v>
      </c>
      <c r="D17778" s="5" t="s">
        <v>3</v>
      </c>
      <c r="E17778" s="5" t="str">
        <f t="shared" si="910"/>
        <v>ACTISALUD- FACTURACION PRINCIPAL</v>
      </c>
      <c r="F17778" s="5" t="str">
        <f t="shared" si="912"/>
        <v>Descripcion: DIVISION EN VIDRIOTEMPLADO CON PAPEL SAMBLASTEADO, MARCO METALICO Estado: Bueno Placa anterior:  Material: VIDRIO Color:  Referencia:  Observacion:  Placa padre: Tipo adquisicion: Entidad</v>
      </c>
      <c r="G17778" s="5"/>
    </row>
    <row r="17779" spans="1:7" ht="58.5" customHeight="1" x14ac:dyDescent="0.25">
      <c r="A17779" s="5" t="str">
        <f>"H0018865"</f>
        <v>H0018865</v>
      </c>
      <c r="B17779" s="5" t="str">
        <f t="shared" si="911"/>
        <v>DIVISION (PANEL) MODULAR</v>
      </c>
      <c r="C17779" s="6">
        <v>980000</v>
      </c>
      <c r="D17779" s="5" t="s">
        <v>3</v>
      </c>
      <c r="E17779" s="5" t="str">
        <f t="shared" si="910"/>
        <v>ACTISALUD- FACTURACION PRINCIPAL</v>
      </c>
      <c r="F17779" s="5" t="str">
        <f t="shared" si="912"/>
        <v>Descripcion: DIVISION EN VIDRIOTEMPLADO CON PAPEL SAMBLASTEADO, MARCO METALICO Estado: Bueno Placa anterior:  Material: VIDRIO Color:  Referencia:  Observacion:  Placa padre: Tipo adquisicion: Entidad</v>
      </c>
      <c r="G17779" s="5"/>
    </row>
    <row r="17780" spans="1:7" ht="58.5" customHeight="1" x14ac:dyDescent="0.25">
      <c r="A17780" s="5" t="str">
        <f>"H0018867"</f>
        <v>H0018867</v>
      </c>
      <c r="B17780" s="5" t="str">
        <f t="shared" si="911"/>
        <v>DIVISION (PANEL) MODULAR</v>
      </c>
      <c r="C17780" s="6">
        <v>980000</v>
      </c>
      <c r="D17780" s="5" t="s">
        <v>3</v>
      </c>
      <c r="E17780" s="5" t="str">
        <f t="shared" si="910"/>
        <v>ACTISALUD- FACTURACION PRINCIPAL</v>
      </c>
      <c r="F17780" s="5" t="str">
        <f t="shared" si="912"/>
        <v>Descripcion: DIVISION EN VIDRIOTEMPLADO CON PAPEL SAMBLASTEADO, MARCO METALICO Estado: Bueno Placa anterior:  Material: VIDRIO Color:  Referencia:  Observacion:  Placa padre: Tipo adquisicion: Entidad</v>
      </c>
      <c r="G17780" s="5"/>
    </row>
    <row r="17781" spans="1:7" ht="58.5" customHeight="1" x14ac:dyDescent="0.25">
      <c r="A17781" s="5" t="str">
        <f>"H0018869"</f>
        <v>H0018869</v>
      </c>
      <c r="B17781" s="5" t="str">
        <f t="shared" si="911"/>
        <v>DIVISION (PANEL) MODULAR</v>
      </c>
      <c r="C17781" s="6">
        <v>980000</v>
      </c>
      <c r="D17781" s="5" t="s">
        <v>3</v>
      </c>
      <c r="E17781" s="5" t="str">
        <f t="shared" si="910"/>
        <v>ACTISALUD- FACTURACION PRINCIPAL</v>
      </c>
      <c r="F17781" s="5" t="str">
        <f t="shared" si="912"/>
        <v>Descripcion: DIVISION EN VIDRIOTEMPLADO CON PAPEL SAMBLASTEADO, MARCO METALICO Estado: Bueno Placa anterior:  Material: VIDRIO Color:  Referencia:  Observacion:  Placa padre: Tipo adquisicion: Entidad</v>
      </c>
      <c r="G17781" s="5"/>
    </row>
    <row r="17782" spans="1:7" ht="58.5" customHeight="1" x14ac:dyDescent="0.25">
      <c r="A17782" s="5" t="str">
        <f>"H0018888"</f>
        <v>H0018888</v>
      </c>
      <c r="B17782" s="5" t="str">
        <f>"MESA (SUPERFICIE) MODULAR"</f>
        <v>MESA (SUPERFICIE) MODULAR</v>
      </c>
      <c r="C17782" s="6">
        <v>134500</v>
      </c>
      <c r="D17782" s="5"/>
      <c r="E17782" s="5" t="str">
        <f t="shared" si="910"/>
        <v>ACTISALUD- FACTURACION PRINCIPAL</v>
      </c>
      <c r="F17782" s="5" t="str">
        <f>"Descripcion: MESA DE MADERA CUADRADA PARA IMPRESORA Estado: Regular Placa anterior: 000031245 Material: MADERA   Color: MADERA   Referencia:  Observacion: EL BIEN TIENE PLACA ANTERIOR  000035938  AUTORIZADO CONCILIAR EN CRUCE GENERAL Placa padre: Tipo adq"&amp; "uisicion: Entidad"</f>
        <v>Descripcion: MESA DE MADERA CUADRADA PARA IMPRESORA Estado: Regular Placa anterior: 000031245 Material: MADERA   Color: MADERA   Referencia:  Observacion: EL BIEN TIENE PLACA ANTERIOR  000035938  AUTORIZADO CONCILIAR EN CRUCE GENERAL Placa padre: Tipo adquisicion: Entidad</v>
      </c>
      <c r="G17782" s="5"/>
    </row>
    <row r="17783" spans="1:7" ht="58.5" customHeight="1" x14ac:dyDescent="0.25">
      <c r="A17783" s="5" t="str">
        <f>"H0018889"</f>
        <v>H0018889</v>
      </c>
      <c r="B17783" s="5" t="str">
        <f>"SILLA ERGONOMICA TIPO SECRETARIA SIN BRAZOS"</f>
        <v>SILLA ERGONOMICA TIPO SECRETARIA SIN BRAZOS</v>
      </c>
      <c r="C17783" s="6">
        <v>140000</v>
      </c>
      <c r="D17783" s="5"/>
      <c r="E17783" s="5" t="str">
        <f t="shared" si="910"/>
        <v>ACTISALUD- FACTURACION PRINCIPAL</v>
      </c>
      <c r="F17783" s="5" t="str">
        <f>"Descripcion: SILLA ERGONOMICA SIN BRAZOS  Estado: Regular Placa anterior: 000031251 Material: PAÑO Y PASTA Color: NEGRO Referencia:  Observacion: EL BIEN TIENE PLACA ANTERIOR 000035936  AUTORIZADO CONCILIAR EN CRUCE GENERAL Placa padre: Tipo adquisicion: "&amp; "Entidad"</f>
        <v>Descripcion: SILLA ERGONOMICA SIN BRAZOS  Estado: Regular Placa anterior: 000031251 Material: PAÑO Y PASTA Color: NEGRO Referencia:  Observacion: EL BIEN TIENE PLACA ANTERIOR 000035936  AUTORIZADO CONCILIAR EN CRUCE GENERAL Placa padre: Tipo adquisicion: Entidad</v>
      </c>
      <c r="G17783" s="5"/>
    </row>
    <row r="17784" spans="1:7" ht="58.5" customHeight="1" x14ac:dyDescent="0.25">
      <c r="A17784" s="5" t="str">
        <f>"H0022777"</f>
        <v>H0022777</v>
      </c>
      <c r="B17784" s="5" t="str">
        <f>"SILLA INTERLOCUTORA (FIJA) SIN BRAZOS"</f>
        <v>SILLA INTERLOCUTORA (FIJA) SIN BRAZOS</v>
      </c>
      <c r="C17784" s="6">
        <v>81200</v>
      </c>
      <c r="D17784" s="5" t="s">
        <v>34</v>
      </c>
      <c r="E17784" s="5" t="str">
        <f t="shared" si="910"/>
        <v>ACTISALUD- FACTURACION PRINCIPAL</v>
      </c>
      <c r="F17784" s="5" t="str">
        <f>"Descripcion: SILLA PRISMA Estado: Bueno Placa anterior: 000030414 Material: METALICO Y PAÑO Color: NEGRO Referencia:  Observacion:  Placa padre: Tipo adquisicion: Entidad"</f>
        <v>Descripcion: SILLA PRISMA Estado: Bueno Placa anterior: 000030414 Material: METALICO Y PAÑO Color: NEGRO Referencia:  Observacion:  Placa padre: Tipo adquisicion: Entidad</v>
      </c>
      <c r="G17784" s="5"/>
    </row>
    <row r="17785" spans="1:7" ht="58.5" customHeight="1" x14ac:dyDescent="0.25">
      <c r="A17785" s="5" t="str">
        <f>"H0024549"</f>
        <v>H0024549</v>
      </c>
      <c r="B17785"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7785" s="6">
        <v>2600000</v>
      </c>
      <c r="D17785" s="5" t="s">
        <v>36</v>
      </c>
      <c r="E17785" s="5" t="str">
        <f t="shared" si="910"/>
        <v>ACTISALUD- FACTURACION PRINCIPAL</v>
      </c>
      <c r="F17785" s="5"/>
      <c r="G17785" s="5"/>
    </row>
    <row r="17786" spans="1:7" ht="58.5" customHeight="1" x14ac:dyDescent="0.25">
      <c r="A17786" s="5" t="str">
        <f>"H0024588"</f>
        <v>H0024588</v>
      </c>
      <c r="B1778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7786" s="6">
        <v>2600000</v>
      </c>
      <c r="D17786" s="5" t="s">
        <v>36</v>
      </c>
      <c r="E17786" s="5" t="str">
        <f t="shared" si="910"/>
        <v>ACTISALUD- FACTURACION PRINCIPAL</v>
      </c>
      <c r="F17786" s="5"/>
      <c r="G17786" s="5"/>
    </row>
    <row r="17787" spans="1:7" ht="58.5" customHeight="1" x14ac:dyDescent="0.25">
      <c r="A17787" s="5" t="str">
        <f>"H0024612"</f>
        <v>H0024612</v>
      </c>
      <c r="B1778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7787" s="6">
        <v>2600000</v>
      </c>
      <c r="D17787" s="5" t="s">
        <v>36</v>
      </c>
      <c r="E17787" s="5" t="str">
        <f t="shared" si="910"/>
        <v>ACTISALUD- FACTURACION PRINCIPAL</v>
      </c>
      <c r="F17787" s="5"/>
      <c r="G17787" s="5"/>
    </row>
    <row r="17788" spans="1:7" ht="58.5" customHeight="1" x14ac:dyDescent="0.25">
      <c r="A17788" s="5" t="str">
        <f>"H0024968"</f>
        <v>H0024968</v>
      </c>
      <c r="B17788" s="5" t="str">
        <f>"SILLA EJECUTIVA ESPALDAR EN MALLA ASIENTO BASCULANTE CON SISTEMA DE DOS BLOQUEOS TAPIZADO EN PAÑO"</f>
        <v>SILLA EJECUTIVA ESPALDAR EN MALLA ASIENTO BASCULANTE CON SISTEMA DE DOS BLOQUEOS TAPIZADO EN PAÑO</v>
      </c>
      <c r="C17788" s="6">
        <v>371200</v>
      </c>
      <c r="D17788" s="5" t="s">
        <v>644</v>
      </c>
      <c r="E17788" s="5" t="str">
        <f t="shared" si="910"/>
        <v>ACTISALUD- FACTURACION PRINCIPAL</v>
      </c>
      <c r="F17788" s="5"/>
      <c r="G17788" s="5"/>
    </row>
    <row r="17789" spans="1:7" ht="58.5" customHeight="1" x14ac:dyDescent="0.25">
      <c r="A17789" s="5" t="str">
        <f>"H0025115"</f>
        <v>H0025115</v>
      </c>
      <c r="B17789" s="5" t="s">
        <v>65</v>
      </c>
      <c r="C17789" s="6">
        <v>115394.48</v>
      </c>
      <c r="D17789" s="5" t="s">
        <v>10</v>
      </c>
      <c r="E17789" s="5" t="str">
        <f t="shared" si="910"/>
        <v>ACTISALUD- FACTURACION PRINCIPAL</v>
      </c>
      <c r="F17789" s="5"/>
      <c r="G17789" s="5"/>
    </row>
    <row r="17790" spans="1:7" ht="58.5" customHeight="1" x14ac:dyDescent="0.25">
      <c r="A17790" s="5" t="str">
        <f>"H0025276"</f>
        <v>H0025276</v>
      </c>
      <c r="B17790" s="5" t="s">
        <v>65</v>
      </c>
      <c r="C17790" s="6">
        <v>115394.48</v>
      </c>
      <c r="D17790" s="5" t="s">
        <v>10</v>
      </c>
      <c r="E17790" s="5" t="str">
        <f t="shared" si="910"/>
        <v>ACTISALUD- FACTURACION PRINCIPAL</v>
      </c>
      <c r="F17790" s="5"/>
      <c r="G17790" s="5"/>
    </row>
    <row r="17791" spans="1:7" ht="58.5" customHeight="1" x14ac:dyDescent="0.25">
      <c r="A17791" s="5" t="str">
        <f>"H0025277"</f>
        <v>H0025277</v>
      </c>
      <c r="B17791" s="5" t="s">
        <v>65</v>
      </c>
      <c r="C17791" s="6">
        <v>115394.48</v>
      </c>
      <c r="D17791" s="5" t="s">
        <v>10</v>
      </c>
      <c r="E17791" s="5" t="str">
        <f t="shared" si="910"/>
        <v>ACTISALUD- FACTURACION PRINCIPAL</v>
      </c>
      <c r="F17791" s="5"/>
      <c r="G17791" s="5"/>
    </row>
    <row r="17792" spans="1:7" ht="58.5" customHeight="1" x14ac:dyDescent="0.25">
      <c r="A17792" s="5" t="str">
        <f>"H0025278"</f>
        <v>H0025278</v>
      </c>
      <c r="B17792" s="5" t="s">
        <v>65</v>
      </c>
      <c r="C17792" s="6">
        <v>115394.48</v>
      </c>
      <c r="D17792" s="5" t="s">
        <v>10</v>
      </c>
      <c r="E17792" s="5" t="str">
        <f t="shared" si="910"/>
        <v>ACTISALUD- FACTURACION PRINCIPAL</v>
      </c>
      <c r="F17792" s="5"/>
      <c r="G17792" s="5"/>
    </row>
    <row r="17793" spans="1:7" ht="58.5" customHeight="1" x14ac:dyDescent="0.25">
      <c r="A17793" s="5" t="str">
        <f>"H0025279"</f>
        <v>H0025279</v>
      </c>
      <c r="B17793" s="5" t="s">
        <v>65</v>
      </c>
      <c r="C17793" s="6">
        <v>115394.48</v>
      </c>
      <c r="D17793" s="5" t="s">
        <v>10</v>
      </c>
      <c r="E17793" s="5" t="str">
        <f t="shared" si="910"/>
        <v>ACTISALUD- FACTURACION PRINCIPAL</v>
      </c>
      <c r="F17793" s="5"/>
      <c r="G17793" s="5"/>
    </row>
    <row r="17794" spans="1:7" ht="58.5" customHeight="1" x14ac:dyDescent="0.25">
      <c r="A17794" s="5" t="str">
        <f>"H0025280"</f>
        <v>H0025280</v>
      </c>
      <c r="B17794" s="5" t="s">
        <v>65</v>
      </c>
      <c r="C17794" s="6">
        <v>115394.48</v>
      </c>
      <c r="D17794" s="5" t="s">
        <v>10</v>
      </c>
      <c r="E17794" s="5" t="str">
        <f t="shared" si="910"/>
        <v>ACTISALUD- FACTURACION PRINCIPAL</v>
      </c>
      <c r="F17794" s="5"/>
      <c r="G17794" s="5"/>
    </row>
    <row r="17795" spans="1:7" ht="58.5" customHeight="1" x14ac:dyDescent="0.25">
      <c r="A17795" s="5" t="str">
        <f>"H0025281"</f>
        <v>H0025281</v>
      </c>
      <c r="B17795" s="5" t="s">
        <v>65</v>
      </c>
      <c r="C17795" s="6">
        <v>115394.48</v>
      </c>
      <c r="D17795" s="5" t="s">
        <v>10</v>
      </c>
      <c r="E17795" s="5" t="str">
        <f t="shared" si="910"/>
        <v>ACTISALUD- FACTURACION PRINCIPAL</v>
      </c>
      <c r="F17795" s="5"/>
      <c r="G17795" s="5"/>
    </row>
    <row r="17796" spans="1:7" ht="58.5" customHeight="1" x14ac:dyDescent="0.25">
      <c r="A17796" s="5" t="str">
        <f>"H0025283"</f>
        <v>H0025283</v>
      </c>
      <c r="B17796" s="5" t="s">
        <v>65</v>
      </c>
      <c r="C17796" s="6">
        <v>115394.48</v>
      </c>
      <c r="D17796" s="5" t="s">
        <v>10</v>
      </c>
      <c r="E17796" s="5" t="str">
        <f t="shared" si="910"/>
        <v>ACTISALUD- FACTURACION PRINCIPAL</v>
      </c>
      <c r="F17796" s="5"/>
      <c r="G17796" s="5"/>
    </row>
    <row r="17797" spans="1:7" ht="58.5" customHeight="1" x14ac:dyDescent="0.25">
      <c r="A17797" s="5" t="str">
        <f>"H0025284"</f>
        <v>H0025284</v>
      </c>
      <c r="B17797" s="5" t="s">
        <v>65</v>
      </c>
      <c r="C17797" s="6">
        <v>115394.48</v>
      </c>
      <c r="D17797" s="5" t="s">
        <v>10</v>
      </c>
      <c r="E17797" s="5" t="str">
        <f t="shared" si="910"/>
        <v>ACTISALUD- FACTURACION PRINCIPAL</v>
      </c>
      <c r="F17797" s="5"/>
      <c r="G17797" s="5"/>
    </row>
    <row r="17798" spans="1:7" ht="58.5" customHeight="1" x14ac:dyDescent="0.25">
      <c r="A17798" s="5" t="str">
        <f>"H0025285"</f>
        <v>H0025285</v>
      </c>
      <c r="B17798" s="5" t="s">
        <v>65</v>
      </c>
      <c r="C17798" s="6">
        <v>115394.48</v>
      </c>
      <c r="D17798" s="5" t="s">
        <v>10</v>
      </c>
      <c r="E17798" s="5" t="str">
        <f t="shared" si="910"/>
        <v>ACTISALUD- FACTURACION PRINCIPAL</v>
      </c>
      <c r="F17798" s="5"/>
      <c r="G17798" s="5"/>
    </row>
    <row r="17799" spans="1:7" ht="58.5" customHeight="1" x14ac:dyDescent="0.25">
      <c r="A17799" s="5" t="str">
        <f>"H0025286"</f>
        <v>H0025286</v>
      </c>
      <c r="B17799" s="5" t="s">
        <v>65</v>
      </c>
      <c r="C17799" s="6">
        <v>115394.48</v>
      </c>
      <c r="D17799" s="5" t="s">
        <v>10</v>
      </c>
      <c r="E17799" s="5" t="str">
        <f t="shared" si="910"/>
        <v>ACTISALUD- FACTURACION PRINCIPAL</v>
      </c>
      <c r="F17799" s="5"/>
      <c r="G17799" s="5"/>
    </row>
    <row r="17800" spans="1:7" ht="58.5" customHeight="1" x14ac:dyDescent="0.25">
      <c r="A17800" s="5" t="str">
        <f>"H0025287"</f>
        <v>H0025287</v>
      </c>
      <c r="B17800" s="5" t="s">
        <v>65</v>
      </c>
      <c r="C17800" s="6">
        <v>115394.48</v>
      </c>
      <c r="D17800" s="5" t="s">
        <v>10</v>
      </c>
      <c r="E17800" s="5" t="str">
        <f t="shared" ref="E17800:E17863" si="913">"ACTISALUD- FACTURACION PRINCIPAL"</f>
        <v>ACTISALUD- FACTURACION PRINCIPAL</v>
      </c>
      <c r="F17800" s="5"/>
      <c r="G17800" s="5"/>
    </row>
    <row r="17801" spans="1:7" ht="58.5" customHeight="1" x14ac:dyDescent="0.25">
      <c r="A17801" s="5" t="str">
        <f>"H0025307"</f>
        <v>H0025307</v>
      </c>
      <c r="B17801" s="5" t="str">
        <f t="shared" ref="B17801:B17806" si="914">"TELÉFONO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1" s="6">
        <v>312156</v>
      </c>
      <c r="D17801" s="5" t="s">
        <v>10</v>
      </c>
      <c r="E17801" s="5" t="str">
        <f t="shared" si="913"/>
        <v>ACTISALUD- FACTURACION PRINCIPAL</v>
      </c>
      <c r="F17801" s="5"/>
      <c r="G17801" s="5"/>
    </row>
    <row r="17802" spans="1:7" ht="58.5" customHeight="1" x14ac:dyDescent="0.25">
      <c r="A17802" s="5" t="str">
        <f>"H0025358"</f>
        <v>H0025358</v>
      </c>
      <c r="B17802" s="5" t="str">
        <f t="shared" si="91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2" s="6">
        <v>312156</v>
      </c>
      <c r="D17802" s="5" t="s">
        <v>10</v>
      </c>
      <c r="E17802" s="5" t="str">
        <f t="shared" si="913"/>
        <v>ACTISALUD- FACTURACION PRINCIPAL</v>
      </c>
      <c r="F17802" s="5"/>
      <c r="G17802" s="5"/>
    </row>
    <row r="17803" spans="1:7" ht="58.5" customHeight="1" x14ac:dyDescent="0.25">
      <c r="A17803" s="5" t="str">
        <f>"H0025359"</f>
        <v>H0025359</v>
      </c>
      <c r="B17803" s="5" t="str">
        <f t="shared" si="91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3" s="6">
        <v>312156</v>
      </c>
      <c r="D17803" s="5" t="s">
        <v>10</v>
      </c>
      <c r="E17803" s="5" t="str">
        <f t="shared" si="913"/>
        <v>ACTISALUD- FACTURACION PRINCIPAL</v>
      </c>
      <c r="F17803" s="5"/>
      <c r="G17803" s="5"/>
    </row>
    <row r="17804" spans="1:7" ht="58.5" customHeight="1" x14ac:dyDescent="0.25">
      <c r="A17804" s="5" t="str">
        <f>"H0025360"</f>
        <v>H0025360</v>
      </c>
      <c r="B17804" s="5" t="str">
        <f t="shared" si="91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4" s="6">
        <v>312156</v>
      </c>
      <c r="D17804" s="5" t="s">
        <v>10</v>
      </c>
      <c r="E17804" s="5" t="str">
        <f t="shared" si="913"/>
        <v>ACTISALUD- FACTURACION PRINCIPAL</v>
      </c>
      <c r="F17804" s="5"/>
      <c r="G17804" s="5"/>
    </row>
    <row r="17805" spans="1:7" ht="58.5" customHeight="1" x14ac:dyDescent="0.25">
      <c r="A17805" s="5" t="str">
        <f>"H0025378"</f>
        <v>H0025378</v>
      </c>
      <c r="B17805" s="5" t="str">
        <f t="shared" si="91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5" s="6">
        <v>312156</v>
      </c>
      <c r="D17805" s="5" t="s">
        <v>10</v>
      </c>
      <c r="E17805" s="5" t="str">
        <f t="shared" si="913"/>
        <v>ACTISALUD- FACTURACION PRINCIPAL</v>
      </c>
      <c r="F17805" s="5"/>
      <c r="G17805" s="5"/>
    </row>
    <row r="17806" spans="1:7" ht="58.5" customHeight="1" x14ac:dyDescent="0.25">
      <c r="A17806" s="5" t="str">
        <f>"H0025449"</f>
        <v>H0025449</v>
      </c>
      <c r="B17806" s="5" t="str">
        <f t="shared" si="914"/>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06" s="6">
        <v>312156</v>
      </c>
      <c r="D17806" s="5" t="s">
        <v>10</v>
      </c>
      <c r="E17806" s="5" t="str">
        <f t="shared" si="913"/>
        <v>ACTISALUD- FACTURACION PRINCIPAL</v>
      </c>
      <c r="F17806" s="5"/>
      <c r="G17806" s="5"/>
    </row>
    <row r="17807" spans="1:7" ht="58.5" customHeight="1" x14ac:dyDescent="0.25">
      <c r="A17807" s="5" t="str">
        <f>"H0025501"</f>
        <v>H0025501</v>
      </c>
      <c r="B17807" s="5" t="str">
        <f>"SILLA EJECUTIVA S/BRAZOS (Donación ACTISALUD)"</f>
        <v>SILLA EJECUTIVA S/BRAZOS (Donación ACTISALUD)</v>
      </c>
      <c r="C17807" s="6">
        <v>139900</v>
      </c>
      <c r="D17807" s="5" t="s">
        <v>9</v>
      </c>
      <c r="E17807" s="5" t="str">
        <f t="shared" si="913"/>
        <v>ACTISALUD- FACTURACION PRINCIPAL</v>
      </c>
      <c r="F17807" s="5"/>
      <c r="G17807" s="5"/>
    </row>
    <row r="17808" spans="1:7" ht="58.5" customHeight="1" x14ac:dyDescent="0.25">
      <c r="A17808" s="5" t="str">
        <f>"H0026783"</f>
        <v>H0026783</v>
      </c>
      <c r="B17808" s="5" t="str">
        <f>"PUESTOS DE TRABAJO DIMENSIONES LARGO 18.82 MTS, ANCHO 0,60 MTS"</f>
        <v>PUESTOS DE TRABAJO DIMENSIONES LARGO 18.82 MTS, ANCHO 0,60 MTS</v>
      </c>
      <c r="C17808" s="6">
        <v>3505946</v>
      </c>
      <c r="D17808" s="5" t="s">
        <v>826</v>
      </c>
      <c r="E17808" s="5" t="str">
        <f t="shared" si="913"/>
        <v>ACTISALUD- FACTURACION PRINCIPAL</v>
      </c>
      <c r="F17808" s="5"/>
      <c r="G17808" s="5"/>
    </row>
    <row r="17809" spans="1:7" ht="58.5" customHeight="1" x14ac:dyDescent="0.25">
      <c r="A17809" s="5" t="str">
        <f>"H0026796"</f>
        <v>H0026796</v>
      </c>
      <c r="B17809"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09" s="6">
        <v>3296300</v>
      </c>
      <c r="D17809" s="5" t="s">
        <v>37</v>
      </c>
      <c r="E17809" s="5" t="str">
        <f t="shared" si="913"/>
        <v>ACTISALUD- FACTURACION PRINCIPAL</v>
      </c>
      <c r="F17809" s="5"/>
      <c r="G17809" s="5"/>
    </row>
    <row r="17810" spans="1:7" ht="58.5" customHeight="1" x14ac:dyDescent="0.25">
      <c r="A17810" s="5" t="str">
        <f>"H0026798"</f>
        <v>H0026798</v>
      </c>
      <c r="B17810"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0" s="6">
        <v>3296300</v>
      </c>
      <c r="D17810" s="5" t="s">
        <v>37</v>
      </c>
      <c r="E17810" s="5" t="str">
        <f t="shared" si="913"/>
        <v>ACTISALUD- FACTURACION PRINCIPAL</v>
      </c>
      <c r="F17810" s="5"/>
      <c r="G17810" s="5"/>
    </row>
    <row r="17811" spans="1:7" ht="58.5" customHeight="1" x14ac:dyDescent="0.25">
      <c r="A17811" s="5" t="str">
        <f>"H0026808"</f>
        <v>H0026808</v>
      </c>
      <c r="B17811"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1" s="6">
        <v>3296300</v>
      </c>
      <c r="D17811" s="5" t="s">
        <v>37</v>
      </c>
      <c r="E17811" s="5" t="str">
        <f t="shared" si="913"/>
        <v>ACTISALUD- FACTURACION PRINCIPAL</v>
      </c>
      <c r="F17811" s="5"/>
      <c r="G17811" s="5"/>
    </row>
    <row r="17812" spans="1:7" ht="58.5" customHeight="1" x14ac:dyDescent="0.25">
      <c r="A17812" s="5" t="str">
        <f>"H0027175"</f>
        <v>H0027175</v>
      </c>
      <c r="B17812" s="5" t="str">
        <f t="shared" ref="B17812:B17824" si="915">"EQUIPO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2" s="6">
        <v>2641800</v>
      </c>
      <c r="D17812" s="5" t="s">
        <v>38</v>
      </c>
      <c r="E17812" s="5" t="str">
        <f t="shared" si="913"/>
        <v>ACTISALUD- FACTURACION PRINCIPAL</v>
      </c>
      <c r="F17812" s="5"/>
      <c r="G17812" s="5"/>
    </row>
    <row r="17813" spans="1:7" ht="58.5" customHeight="1" x14ac:dyDescent="0.25">
      <c r="A17813" s="5" t="str">
        <f>"H0027200"</f>
        <v>H0027200</v>
      </c>
      <c r="B17813"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3" s="6">
        <v>2641800</v>
      </c>
      <c r="D17813" s="5" t="s">
        <v>38</v>
      </c>
      <c r="E17813" s="5" t="str">
        <f t="shared" si="913"/>
        <v>ACTISALUD- FACTURACION PRINCIPAL</v>
      </c>
      <c r="F17813" s="5"/>
      <c r="G17813" s="5"/>
    </row>
    <row r="17814" spans="1:7" ht="58.5" customHeight="1" x14ac:dyDescent="0.25">
      <c r="A17814" s="5" t="str">
        <f>"H0027246"</f>
        <v>H0027246</v>
      </c>
      <c r="B17814"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4" s="6">
        <v>2641800</v>
      </c>
      <c r="D17814" s="5" t="s">
        <v>38</v>
      </c>
      <c r="E17814" s="5" t="str">
        <f t="shared" si="913"/>
        <v>ACTISALUD- FACTURACION PRINCIPAL</v>
      </c>
      <c r="F17814" s="5"/>
      <c r="G17814" s="5"/>
    </row>
    <row r="17815" spans="1:7" ht="58.5" customHeight="1" x14ac:dyDescent="0.25">
      <c r="A17815" s="5" t="str">
        <f>"H0027253"</f>
        <v>H0027253</v>
      </c>
      <c r="B17815"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5" s="6">
        <v>2641800</v>
      </c>
      <c r="D17815" s="5" t="s">
        <v>38</v>
      </c>
      <c r="E17815" s="5" t="str">
        <f t="shared" si="913"/>
        <v>ACTISALUD- FACTURACION PRINCIPAL</v>
      </c>
      <c r="F17815" s="5"/>
      <c r="G17815" s="5"/>
    </row>
    <row r="17816" spans="1:7" ht="58.5" customHeight="1" x14ac:dyDescent="0.25">
      <c r="A17816" s="5" t="str">
        <f>"H0027254"</f>
        <v>H0027254</v>
      </c>
      <c r="B17816"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6" s="6">
        <v>2641800</v>
      </c>
      <c r="D17816" s="5" t="s">
        <v>38</v>
      </c>
      <c r="E17816" s="5" t="str">
        <f t="shared" si="913"/>
        <v>ACTISALUD- FACTURACION PRINCIPAL</v>
      </c>
      <c r="F17816" s="5"/>
      <c r="G17816" s="5"/>
    </row>
    <row r="17817" spans="1:7" ht="58.5" customHeight="1" x14ac:dyDescent="0.25">
      <c r="A17817" s="5" t="str">
        <f>"H0027255"</f>
        <v>H0027255</v>
      </c>
      <c r="B17817"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7" s="6">
        <v>2641800</v>
      </c>
      <c r="D17817" s="5" t="s">
        <v>38</v>
      </c>
      <c r="E17817" s="5" t="str">
        <f t="shared" si="913"/>
        <v>ACTISALUD- FACTURACION PRINCIPAL</v>
      </c>
      <c r="F17817" s="5"/>
      <c r="G17817" s="5"/>
    </row>
    <row r="17818" spans="1:7" ht="58.5" customHeight="1" x14ac:dyDescent="0.25">
      <c r="A17818" s="5" t="str">
        <f>"H0027258"</f>
        <v>H0027258</v>
      </c>
      <c r="B17818"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8" s="6">
        <v>2641800</v>
      </c>
      <c r="D17818" s="5" t="s">
        <v>38</v>
      </c>
      <c r="E17818" s="5" t="str">
        <f t="shared" si="913"/>
        <v>ACTISALUD- FACTURACION PRINCIPAL</v>
      </c>
      <c r="F17818" s="5"/>
      <c r="G17818" s="5"/>
    </row>
    <row r="17819" spans="1:7" ht="58.5" customHeight="1" x14ac:dyDescent="0.25">
      <c r="A17819" s="5" t="str">
        <f>"H0027261"</f>
        <v>H0027261</v>
      </c>
      <c r="B17819"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19" s="6">
        <v>2641800</v>
      </c>
      <c r="D17819" s="5" t="s">
        <v>38</v>
      </c>
      <c r="E17819" s="5" t="str">
        <f t="shared" si="913"/>
        <v>ACTISALUD- FACTURACION PRINCIPAL</v>
      </c>
      <c r="F17819" s="5"/>
      <c r="G17819" s="5"/>
    </row>
    <row r="17820" spans="1:7" ht="58.5" customHeight="1" x14ac:dyDescent="0.25">
      <c r="A17820" s="5" t="str">
        <f>"H0027262"</f>
        <v>H0027262</v>
      </c>
      <c r="B17820"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20" s="6">
        <v>2641800</v>
      </c>
      <c r="D17820" s="5" t="s">
        <v>38</v>
      </c>
      <c r="E17820" s="5" t="str">
        <f t="shared" si="913"/>
        <v>ACTISALUD- FACTURACION PRINCIPAL</v>
      </c>
      <c r="F17820" s="5"/>
      <c r="G17820" s="5"/>
    </row>
    <row r="17821" spans="1:7" ht="58.5" customHeight="1" x14ac:dyDescent="0.25">
      <c r="A17821" s="5" t="str">
        <f>"H0027264"</f>
        <v>H0027264</v>
      </c>
      <c r="B17821"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21" s="6">
        <v>2641800</v>
      </c>
      <c r="D17821" s="5" t="s">
        <v>38</v>
      </c>
      <c r="E17821" s="5" t="str">
        <f t="shared" si="913"/>
        <v>ACTISALUD- FACTURACION PRINCIPAL</v>
      </c>
      <c r="F17821" s="5"/>
      <c r="G17821" s="5"/>
    </row>
    <row r="17822" spans="1:7" ht="58.5" customHeight="1" x14ac:dyDescent="0.25">
      <c r="A17822" s="5" t="str">
        <f>"H0027266"</f>
        <v>H0027266</v>
      </c>
      <c r="B17822"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22" s="6">
        <v>2641800</v>
      </c>
      <c r="D17822" s="5" t="s">
        <v>38</v>
      </c>
      <c r="E17822" s="5" t="str">
        <f t="shared" si="913"/>
        <v>ACTISALUD- FACTURACION PRINCIPAL</v>
      </c>
      <c r="F17822" s="5"/>
      <c r="G17822" s="5"/>
    </row>
    <row r="17823" spans="1:7" ht="58.5" customHeight="1" x14ac:dyDescent="0.25">
      <c r="A17823" s="5" t="str">
        <f>"H0027271"</f>
        <v>H0027271</v>
      </c>
      <c r="B17823"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23" s="6">
        <v>2641800</v>
      </c>
      <c r="D17823" s="5" t="s">
        <v>38</v>
      </c>
      <c r="E17823" s="5" t="str">
        <f t="shared" si="913"/>
        <v>ACTISALUD- FACTURACION PRINCIPAL</v>
      </c>
      <c r="F17823" s="5"/>
      <c r="G17823" s="5"/>
    </row>
    <row r="17824" spans="1:7" ht="58.5" customHeight="1" x14ac:dyDescent="0.25">
      <c r="A17824" s="5" t="str">
        <f>"H0027273"</f>
        <v>H0027273</v>
      </c>
      <c r="B17824" s="5" t="str">
        <f t="shared" si="915"/>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7824" s="6">
        <v>2641800</v>
      </c>
      <c r="D17824" s="5" t="s">
        <v>38</v>
      </c>
      <c r="E17824" s="5" t="str">
        <f t="shared" si="913"/>
        <v>ACTISALUD- FACTURACION PRINCIPAL</v>
      </c>
      <c r="F17824" s="5"/>
      <c r="G17824" s="5"/>
    </row>
    <row r="17825" spans="1:7" ht="58.5" customHeight="1" x14ac:dyDescent="0.25">
      <c r="A17825" s="5" t="str">
        <f>"H0027379"</f>
        <v>H0027379</v>
      </c>
      <c r="B17825"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7825" s="6">
        <v>589999.67000000004</v>
      </c>
      <c r="D17825" s="5" t="s">
        <v>83</v>
      </c>
      <c r="E17825" s="5" t="str">
        <f t="shared" si="913"/>
        <v>ACTISALUD- FACTURACION PRINCIPAL</v>
      </c>
      <c r="F17825" s="5"/>
      <c r="G17825" s="5"/>
    </row>
    <row r="17826" spans="1:7" ht="58.5" customHeight="1" x14ac:dyDescent="0.25">
      <c r="A17826" s="5" t="str">
        <f>"H0027380"</f>
        <v>H0027380</v>
      </c>
      <c r="B17826"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7826" s="6">
        <v>589999.67000000004</v>
      </c>
      <c r="D17826" s="5" t="s">
        <v>83</v>
      </c>
      <c r="E17826" s="5" t="str">
        <f t="shared" si="913"/>
        <v>ACTISALUD- FACTURACION PRINCIPAL</v>
      </c>
      <c r="F17826" s="5"/>
      <c r="G17826" s="5"/>
    </row>
    <row r="17827" spans="1:7" ht="58.5" customHeight="1" x14ac:dyDescent="0.25">
      <c r="A17827" s="5" t="str">
        <f>"H0027381"</f>
        <v>H0027381</v>
      </c>
      <c r="B17827"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7827" s="6">
        <v>589999.67000000004</v>
      </c>
      <c r="D17827" s="5" t="s">
        <v>83</v>
      </c>
      <c r="E17827" s="5" t="str">
        <f t="shared" si="913"/>
        <v>ACTISALUD- FACTURACION PRINCIPAL</v>
      </c>
      <c r="F17827" s="5"/>
      <c r="G17827" s="5"/>
    </row>
    <row r="17828" spans="1:7" ht="58.5" customHeight="1" x14ac:dyDescent="0.25">
      <c r="A17828" s="5" t="str">
        <f>"H0027385"</f>
        <v>H0027385</v>
      </c>
      <c r="B17828"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17828" s="6">
        <v>589999.67000000004</v>
      </c>
      <c r="D17828" s="5" t="s">
        <v>83</v>
      </c>
      <c r="E17828" s="5" t="str">
        <f t="shared" si="913"/>
        <v>ACTISALUD- FACTURACION PRINCIPAL</v>
      </c>
      <c r="F17828" s="5"/>
      <c r="G17828" s="5"/>
    </row>
    <row r="17829" spans="1:7" ht="58.5" customHeight="1" x14ac:dyDescent="0.25">
      <c r="A17829" s="5" t="str">
        <f>"H0028612"</f>
        <v>H0028612</v>
      </c>
      <c r="B17829" s="5" t="str">
        <f>"MÓDULO WIRELESS (CON 1 SIRENA 45W Y BATERÍA)"</f>
        <v>MÓDULO WIRELESS (CON 1 SIRENA 45W Y BATERÍA)</v>
      </c>
      <c r="C17829" s="6">
        <v>728280</v>
      </c>
      <c r="D17829" s="5" t="s">
        <v>87</v>
      </c>
      <c r="E17829" s="5" t="str">
        <f t="shared" si="913"/>
        <v>ACTISALUD- FACTURACION PRINCIPAL</v>
      </c>
      <c r="F17829" s="5"/>
      <c r="G17829" s="5"/>
    </row>
    <row r="17830" spans="1:7" ht="58.5" customHeight="1" x14ac:dyDescent="0.25">
      <c r="A17830" s="5" t="str">
        <f>"H0028624"</f>
        <v>H0028624</v>
      </c>
      <c r="B17830" s="5" t="str">
        <f>"BALIZA ROTATIVA WIRELESS LUZ EMERGENCIA"</f>
        <v>BALIZA ROTATIVA WIRELESS LUZ EMERGENCIA</v>
      </c>
      <c r="C17830" s="6">
        <v>238000</v>
      </c>
      <c r="D17830" s="5" t="s">
        <v>87</v>
      </c>
      <c r="E17830" s="5" t="str">
        <f t="shared" si="913"/>
        <v>ACTISALUD- FACTURACION PRINCIPAL</v>
      </c>
      <c r="F17830" s="5"/>
      <c r="G17830" s="5"/>
    </row>
    <row r="17831" spans="1:7" ht="58.5" customHeight="1" x14ac:dyDescent="0.25">
      <c r="A17831" s="5" t="str">
        <f>"H0028658"</f>
        <v>H0028658</v>
      </c>
      <c r="B17831" s="5" t="str">
        <f>"BOTÓN DE EMERGENCIA PÁNICO SOS FIJO WIRELESS"</f>
        <v>BOTÓN DE EMERGENCIA PÁNICO SOS FIJO WIRELESS</v>
      </c>
      <c r="C17831" s="6">
        <v>297500</v>
      </c>
      <c r="D17831" s="5" t="s">
        <v>87</v>
      </c>
      <c r="E17831" s="5" t="str">
        <f t="shared" si="913"/>
        <v>ACTISALUD- FACTURACION PRINCIPAL</v>
      </c>
      <c r="F17831" s="5"/>
      <c r="G17831" s="5"/>
    </row>
    <row r="17832" spans="1:7" ht="58.5" customHeight="1" x14ac:dyDescent="0.25">
      <c r="A17832" s="5" t="str">
        <f>"H0028770"</f>
        <v>H0028770</v>
      </c>
      <c r="B17832" s="5" t="str">
        <f t="shared" ref="B17832:B17855" si="916">"SILLA HERGONOMICA CON SISTEMA HIDRAULICO"</f>
        <v>SILLA HERGONOMICA CON SISTEMA HIDRAULICO</v>
      </c>
      <c r="C17832" s="6">
        <v>174900</v>
      </c>
      <c r="D17832" s="5" t="s">
        <v>39</v>
      </c>
      <c r="E17832" s="5" t="str">
        <f t="shared" si="913"/>
        <v>ACTISALUD- FACTURACION PRINCIPAL</v>
      </c>
      <c r="F17832" s="5"/>
      <c r="G17832" s="5"/>
    </row>
    <row r="17833" spans="1:7" ht="58.5" customHeight="1" x14ac:dyDescent="0.25">
      <c r="A17833" s="5" t="str">
        <f>"H0028775"</f>
        <v>H0028775</v>
      </c>
      <c r="B17833" s="5" t="str">
        <f t="shared" si="916"/>
        <v>SILLA HERGONOMICA CON SISTEMA HIDRAULICO</v>
      </c>
      <c r="C17833" s="6">
        <v>174900</v>
      </c>
      <c r="D17833" s="5" t="s">
        <v>39</v>
      </c>
      <c r="E17833" s="5" t="str">
        <f t="shared" si="913"/>
        <v>ACTISALUD- FACTURACION PRINCIPAL</v>
      </c>
      <c r="F17833" s="5"/>
      <c r="G17833" s="5"/>
    </row>
    <row r="17834" spans="1:7" ht="58.5" customHeight="1" x14ac:dyDescent="0.25">
      <c r="A17834" s="5" t="str">
        <f>"H0028853"</f>
        <v>H0028853</v>
      </c>
      <c r="B17834" s="5" t="str">
        <f t="shared" si="916"/>
        <v>SILLA HERGONOMICA CON SISTEMA HIDRAULICO</v>
      </c>
      <c r="C17834" s="6">
        <v>174900</v>
      </c>
      <c r="D17834" s="5" t="s">
        <v>40</v>
      </c>
      <c r="E17834" s="5" t="str">
        <f t="shared" si="913"/>
        <v>ACTISALUD- FACTURACION PRINCIPAL</v>
      </c>
      <c r="F17834" s="5"/>
      <c r="G17834" s="5"/>
    </row>
    <row r="17835" spans="1:7" ht="58.5" customHeight="1" x14ac:dyDescent="0.25">
      <c r="A17835" s="5" t="str">
        <f>"H0028924"</f>
        <v>H0028924</v>
      </c>
      <c r="B17835" s="5" t="str">
        <f t="shared" si="916"/>
        <v>SILLA HERGONOMICA CON SISTEMA HIDRAULICO</v>
      </c>
      <c r="C17835" s="6">
        <v>174900</v>
      </c>
      <c r="D17835" s="5" t="s">
        <v>40</v>
      </c>
      <c r="E17835" s="5" t="str">
        <f t="shared" si="913"/>
        <v>ACTISALUD- FACTURACION PRINCIPAL</v>
      </c>
      <c r="F17835" s="5"/>
      <c r="G17835" s="5"/>
    </row>
    <row r="17836" spans="1:7" ht="58.5" customHeight="1" x14ac:dyDescent="0.25">
      <c r="A17836" s="5" t="str">
        <f>"H0028925"</f>
        <v>H0028925</v>
      </c>
      <c r="B17836" s="5" t="str">
        <f t="shared" si="916"/>
        <v>SILLA HERGONOMICA CON SISTEMA HIDRAULICO</v>
      </c>
      <c r="C17836" s="6">
        <v>174900</v>
      </c>
      <c r="D17836" s="5" t="s">
        <v>40</v>
      </c>
      <c r="E17836" s="5" t="str">
        <f t="shared" si="913"/>
        <v>ACTISALUD- FACTURACION PRINCIPAL</v>
      </c>
      <c r="F17836" s="5"/>
      <c r="G17836" s="5"/>
    </row>
    <row r="17837" spans="1:7" ht="58.5" customHeight="1" x14ac:dyDescent="0.25">
      <c r="A17837" s="5" t="str">
        <f>"H0028927"</f>
        <v>H0028927</v>
      </c>
      <c r="B17837" s="5" t="str">
        <f t="shared" si="916"/>
        <v>SILLA HERGONOMICA CON SISTEMA HIDRAULICO</v>
      </c>
      <c r="C17837" s="6">
        <v>174900</v>
      </c>
      <c r="D17837" s="5" t="s">
        <v>40</v>
      </c>
      <c r="E17837" s="5" t="str">
        <f t="shared" si="913"/>
        <v>ACTISALUD- FACTURACION PRINCIPAL</v>
      </c>
      <c r="F17837" s="5"/>
      <c r="G17837" s="5"/>
    </row>
    <row r="17838" spans="1:7" ht="58.5" customHeight="1" x14ac:dyDescent="0.25">
      <c r="A17838" s="5" t="str">
        <f>"H0028928"</f>
        <v>H0028928</v>
      </c>
      <c r="B17838" s="5" t="str">
        <f t="shared" si="916"/>
        <v>SILLA HERGONOMICA CON SISTEMA HIDRAULICO</v>
      </c>
      <c r="C17838" s="6">
        <v>174900</v>
      </c>
      <c r="D17838" s="5" t="s">
        <v>40</v>
      </c>
      <c r="E17838" s="5" t="str">
        <f t="shared" si="913"/>
        <v>ACTISALUD- FACTURACION PRINCIPAL</v>
      </c>
      <c r="F17838" s="5"/>
      <c r="G17838" s="5"/>
    </row>
    <row r="17839" spans="1:7" ht="58.5" customHeight="1" x14ac:dyDescent="0.25">
      <c r="A17839" s="5" t="str">
        <f>"H0028930"</f>
        <v>H0028930</v>
      </c>
      <c r="B17839" s="5" t="str">
        <f t="shared" si="916"/>
        <v>SILLA HERGONOMICA CON SISTEMA HIDRAULICO</v>
      </c>
      <c r="C17839" s="6">
        <v>174900</v>
      </c>
      <c r="D17839" s="5" t="s">
        <v>40</v>
      </c>
      <c r="E17839" s="5" t="str">
        <f t="shared" si="913"/>
        <v>ACTISALUD- FACTURACION PRINCIPAL</v>
      </c>
      <c r="F17839" s="5"/>
      <c r="G17839" s="5"/>
    </row>
    <row r="17840" spans="1:7" ht="58.5" customHeight="1" x14ac:dyDescent="0.25">
      <c r="A17840" s="5" t="str">
        <f>"H0028932"</f>
        <v>H0028932</v>
      </c>
      <c r="B17840" s="5" t="str">
        <f t="shared" si="916"/>
        <v>SILLA HERGONOMICA CON SISTEMA HIDRAULICO</v>
      </c>
      <c r="C17840" s="6">
        <v>174900</v>
      </c>
      <c r="D17840" s="5" t="s">
        <v>40</v>
      </c>
      <c r="E17840" s="5" t="str">
        <f t="shared" si="913"/>
        <v>ACTISALUD- FACTURACION PRINCIPAL</v>
      </c>
      <c r="F17840" s="5"/>
      <c r="G17840" s="5"/>
    </row>
    <row r="17841" spans="1:7" ht="58.5" customHeight="1" x14ac:dyDescent="0.25">
      <c r="A17841" s="5" t="str">
        <f>"H0028933"</f>
        <v>H0028933</v>
      </c>
      <c r="B17841" s="5" t="str">
        <f t="shared" si="916"/>
        <v>SILLA HERGONOMICA CON SISTEMA HIDRAULICO</v>
      </c>
      <c r="C17841" s="6">
        <v>174900</v>
      </c>
      <c r="D17841" s="5" t="s">
        <v>40</v>
      </c>
      <c r="E17841" s="5" t="str">
        <f t="shared" si="913"/>
        <v>ACTISALUD- FACTURACION PRINCIPAL</v>
      </c>
      <c r="F17841" s="5"/>
      <c r="G17841" s="5"/>
    </row>
    <row r="17842" spans="1:7" ht="58.5" customHeight="1" x14ac:dyDescent="0.25">
      <c r="A17842" s="5" t="str">
        <f>"H0028935"</f>
        <v>H0028935</v>
      </c>
      <c r="B17842" s="5" t="str">
        <f t="shared" si="916"/>
        <v>SILLA HERGONOMICA CON SISTEMA HIDRAULICO</v>
      </c>
      <c r="C17842" s="6">
        <v>174900</v>
      </c>
      <c r="D17842" s="5" t="s">
        <v>40</v>
      </c>
      <c r="E17842" s="5" t="str">
        <f t="shared" si="913"/>
        <v>ACTISALUD- FACTURACION PRINCIPAL</v>
      </c>
      <c r="F17842" s="5"/>
      <c r="G17842" s="5"/>
    </row>
    <row r="17843" spans="1:7" ht="58.5" customHeight="1" x14ac:dyDescent="0.25">
      <c r="A17843" s="5" t="str">
        <f>"H0028936"</f>
        <v>H0028936</v>
      </c>
      <c r="B17843" s="5" t="str">
        <f t="shared" si="916"/>
        <v>SILLA HERGONOMICA CON SISTEMA HIDRAULICO</v>
      </c>
      <c r="C17843" s="6">
        <v>174900</v>
      </c>
      <c r="D17843" s="5" t="s">
        <v>40</v>
      </c>
      <c r="E17843" s="5" t="str">
        <f t="shared" si="913"/>
        <v>ACTISALUD- FACTURACION PRINCIPAL</v>
      </c>
      <c r="F17843" s="5"/>
      <c r="G17843" s="5"/>
    </row>
    <row r="17844" spans="1:7" ht="58.5" customHeight="1" x14ac:dyDescent="0.25">
      <c r="A17844" s="5" t="str">
        <f>"H0028939"</f>
        <v>H0028939</v>
      </c>
      <c r="B17844" s="5" t="str">
        <f t="shared" si="916"/>
        <v>SILLA HERGONOMICA CON SISTEMA HIDRAULICO</v>
      </c>
      <c r="C17844" s="6">
        <v>174900</v>
      </c>
      <c r="D17844" s="5" t="s">
        <v>40</v>
      </c>
      <c r="E17844" s="5" t="str">
        <f t="shared" si="913"/>
        <v>ACTISALUD- FACTURACION PRINCIPAL</v>
      </c>
      <c r="F17844" s="5"/>
      <c r="G17844" s="5"/>
    </row>
    <row r="17845" spans="1:7" ht="58.5" customHeight="1" x14ac:dyDescent="0.25">
      <c r="A17845" s="5" t="str">
        <f>"H0028943"</f>
        <v>H0028943</v>
      </c>
      <c r="B17845" s="5" t="str">
        <f t="shared" si="916"/>
        <v>SILLA HERGONOMICA CON SISTEMA HIDRAULICO</v>
      </c>
      <c r="C17845" s="6">
        <v>174900</v>
      </c>
      <c r="D17845" s="5" t="s">
        <v>40</v>
      </c>
      <c r="E17845" s="5" t="str">
        <f t="shared" si="913"/>
        <v>ACTISALUD- FACTURACION PRINCIPAL</v>
      </c>
      <c r="F17845" s="5"/>
      <c r="G17845" s="5"/>
    </row>
    <row r="17846" spans="1:7" ht="58.5" customHeight="1" x14ac:dyDescent="0.25">
      <c r="A17846" s="5" t="str">
        <f>"H0028944"</f>
        <v>H0028944</v>
      </c>
      <c r="B17846" s="5" t="str">
        <f t="shared" si="916"/>
        <v>SILLA HERGONOMICA CON SISTEMA HIDRAULICO</v>
      </c>
      <c r="C17846" s="6">
        <v>174900</v>
      </c>
      <c r="D17846" s="5" t="s">
        <v>40</v>
      </c>
      <c r="E17846" s="5" t="str">
        <f t="shared" si="913"/>
        <v>ACTISALUD- FACTURACION PRINCIPAL</v>
      </c>
      <c r="F17846" s="5"/>
      <c r="G17846" s="5"/>
    </row>
    <row r="17847" spans="1:7" ht="58.5" customHeight="1" x14ac:dyDescent="0.25">
      <c r="A17847" s="5" t="str">
        <f>"H0028948"</f>
        <v>H0028948</v>
      </c>
      <c r="B17847" s="5" t="str">
        <f t="shared" si="916"/>
        <v>SILLA HERGONOMICA CON SISTEMA HIDRAULICO</v>
      </c>
      <c r="C17847" s="6">
        <v>174900</v>
      </c>
      <c r="D17847" s="5" t="s">
        <v>40</v>
      </c>
      <c r="E17847" s="5" t="str">
        <f t="shared" si="913"/>
        <v>ACTISALUD- FACTURACION PRINCIPAL</v>
      </c>
      <c r="F17847" s="5"/>
      <c r="G17847" s="5"/>
    </row>
    <row r="17848" spans="1:7" ht="58.5" customHeight="1" x14ac:dyDescent="0.25">
      <c r="A17848" s="5" t="str">
        <f>"H0028950"</f>
        <v>H0028950</v>
      </c>
      <c r="B17848" s="5" t="str">
        <f t="shared" si="916"/>
        <v>SILLA HERGONOMICA CON SISTEMA HIDRAULICO</v>
      </c>
      <c r="C17848" s="6">
        <v>174900</v>
      </c>
      <c r="D17848" s="5" t="s">
        <v>40</v>
      </c>
      <c r="E17848" s="5" t="str">
        <f t="shared" si="913"/>
        <v>ACTISALUD- FACTURACION PRINCIPAL</v>
      </c>
      <c r="F17848" s="5"/>
      <c r="G17848" s="5"/>
    </row>
    <row r="17849" spans="1:7" ht="58.5" customHeight="1" x14ac:dyDescent="0.25">
      <c r="A17849" s="5" t="str">
        <f>"H0028952"</f>
        <v>H0028952</v>
      </c>
      <c r="B17849" s="5" t="str">
        <f t="shared" si="916"/>
        <v>SILLA HERGONOMICA CON SISTEMA HIDRAULICO</v>
      </c>
      <c r="C17849" s="6">
        <v>174900</v>
      </c>
      <c r="D17849" s="5" t="s">
        <v>40</v>
      </c>
      <c r="E17849" s="5" t="str">
        <f t="shared" si="913"/>
        <v>ACTISALUD- FACTURACION PRINCIPAL</v>
      </c>
      <c r="F17849" s="5"/>
      <c r="G17849" s="5"/>
    </row>
    <row r="17850" spans="1:7" ht="58.5" customHeight="1" x14ac:dyDescent="0.25">
      <c r="A17850" s="5" t="str">
        <f>"H0028954"</f>
        <v>H0028954</v>
      </c>
      <c r="B17850" s="5" t="str">
        <f t="shared" si="916"/>
        <v>SILLA HERGONOMICA CON SISTEMA HIDRAULICO</v>
      </c>
      <c r="C17850" s="6">
        <v>174900</v>
      </c>
      <c r="D17850" s="5" t="s">
        <v>40</v>
      </c>
      <c r="E17850" s="5" t="str">
        <f t="shared" si="913"/>
        <v>ACTISALUD- FACTURACION PRINCIPAL</v>
      </c>
      <c r="F17850" s="5"/>
      <c r="G17850" s="5"/>
    </row>
    <row r="17851" spans="1:7" ht="58.5" customHeight="1" x14ac:dyDescent="0.25">
      <c r="A17851" s="5" t="str">
        <f>"H0028956"</f>
        <v>H0028956</v>
      </c>
      <c r="B17851" s="5" t="str">
        <f t="shared" si="916"/>
        <v>SILLA HERGONOMICA CON SISTEMA HIDRAULICO</v>
      </c>
      <c r="C17851" s="6">
        <v>174900</v>
      </c>
      <c r="D17851" s="5" t="s">
        <v>40</v>
      </c>
      <c r="E17851" s="5" t="str">
        <f t="shared" si="913"/>
        <v>ACTISALUD- FACTURACION PRINCIPAL</v>
      </c>
      <c r="F17851" s="5"/>
      <c r="G17851" s="5"/>
    </row>
    <row r="17852" spans="1:7" ht="58.5" customHeight="1" x14ac:dyDescent="0.25">
      <c r="A17852" s="5" t="str">
        <f>"H0028958"</f>
        <v>H0028958</v>
      </c>
      <c r="B17852" s="5" t="str">
        <f t="shared" si="916"/>
        <v>SILLA HERGONOMICA CON SISTEMA HIDRAULICO</v>
      </c>
      <c r="C17852" s="6">
        <v>174900</v>
      </c>
      <c r="D17852" s="5" t="s">
        <v>40</v>
      </c>
      <c r="E17852" s="5" t="str">
        <f t="shared" si="913"/>
        <v>ACTISALUD- FACTURACION PRINCIPAL</v>
      </c>
      <c r="F17852" s="5"/>
      <c r="G17852" s="5"/>
    </row>
    <row r="17853" spans="1:7" ht="58.5" customHeight="1" x14ac:dyDescent="0.25">
      <c r="A17853" s="5" t="str">
        <f>"H0028973"</f>
        <v>H0028973</v>
      </c>
      <c r="B17853" s="5" t="str">
        <f t="shared" si="916"/>
        <v>SILLA HERGONOMICA CON SISTEMA HIDRAULICO</v>
      </c>
      <c r="C17853" s="6">
        <v>174900</v>
      </c>
      <c r="D17853" s="5" t="s">
        <v>40</v>
      </c>
      <c r="E17853" s="5" t="str">
        <f t="shared" si="913"/>
        <v>ACTISALUD- FACTURACION PRINCIPAL</v>
      </c>
      <c r="F17853" s="5"/>
      <c r="G17853" s="5"/>
    </row>
    <row r="17854" spans="1:7" ht="58.5" customHeight="1" x14ac:dyDescent="0.25">
      <c r="A17854" s="5" t="str">
        <f>"H0028980"</f>
        <v>H0028980</v>
      </c>
      <c r="B17854" s="5" t="str">
        <f t="shared" si="916"/>
        <v>SILLA HERGONOMICA CON SISTEMA HIDRAULICO</v>
      </c>
      <c r="C17854" s="6">
        <v>174900</v>
      </c>
      <c r="D17854" s="5" t="s">
        <v>40</v>
      </c>
      <c r="E17854" s="5" t="str">
        <f t="shared" si="913"/>
        <v>ACTISALUD- FACTURACION PRINCIPAL</v>
      </c>
      <c r="F17854" s="5"/>
      <c r="G17854" s="5"/>
    </row>
    <row r="17855" spans="1:7" ht="58.5" customHeight="1" x14ac:dyDescent="0.25">
      <c r="A17855" s="5" t="str">
        <f>"H0028982"</f>
        <v>H0028982</v>
      </c>
      <c r="B17855" s="5" t="str">
        <f t="shared" si="916"/>
        <v>SILLA HERGONOMICA CON SISTEMA HIDRAULICO</v>
      </c>
      <c r="C17855" s="6">
        <v>174900</v>
      </c>
      <c r="D17855" s="5" t="s">
        <v>40</v>
      </c>
      <c r="E17855" s="5" t="str">
        <f t="shared" si="913"/>
        <v>ACTISALUD- FACTURACION PRINCIPAL</v>
      </c>
      <c r="F17855" s="5"/>
      <c r="G17855" s="5"/>
    </row>
    <row r="17856" spans="1:7" ht="58.5" customHeight="1" x14ac:dyDescent="0.25">
      <c r="A17856" s="5" t="str">
        <f>"H0029056"</f>
        <v>H0029056</v>
      </c>
      <c r="B17856" s="5" t="str">
        <f>"SOPORTE PEDESTAL METALICO ELECTROCARDIOGRAFO COMPATIBLE CON EDAN OTRAS MARCAS"</f>
        <v>SOPORTE PEDESTAL METALICO ELECTROCARDIOGRAFO COMPATIBLE CON EDAN OTRAS MARCAS</v>
      </c>
      <c r="C17856" s="6">
        <v>730303</v>
      </c>
      <c r="D17856" s="5" t="s">
        <v>88</v>
      </c>
      <c r="E17856" s="5" t="str">
        <f t="shared" si="913"/>
        <v>ACTISALUD- FACTURACION PRINCIPAL</v>
      </c>
      <c r="F17856" s="5"/>
      <c r="G17856" s="5"/>
    </row>
    <row r="17857" spans="1:7" ht="58.5" customHeight="1" x14ac:dyDescent="0.25">
      <c r="A17857" s="5" t="str">
        <f>"H0029307"</f>
        <v>H0029307</v>
      </c>
      <c r="B17857" s="5" t="str">
        <f>"SILLA HERGONOMICA CON SISTEMA HIDRAULICO"</f>
        <v>SILLA HERGONOMICA CON SISTEMA HIDRAULICO</v>
      </c>
      <c r="C17857" s="6">
        <v>174900</v>
      </c>
      <c r="D17857" s="5" t="s">
        <v>89</v>
      </c>
      <c r="E17857" s="5" t="str">
        <f t="shared" si="913"/>
        <v>ACTISALUD- FACTURACION PRINCIPAL</v>
      </c>
      <c r="F17857" s="5"/>
      <c r="G17857" s="5"/>
    </row>
    <row r="17858" spans="1:7" ht="58.5" customHeight="1" x14ac:dyDescent="0.25">
      <c r="A17858" s="5" t="str">
        <f>"H0029362"</f>
        <v>H0029362</v>
      </c>
      <c r="B17858" s="5" t="str">
        <f>"SILLA HERGONOMICA CON SISTEMA HIDRAULICO"</f>
        <v>SILLA HERGONOMICA CON SISTEMA HIDRAULICO</v>
      </c>
      <c r="C17858" s="6">
        <v>174900</v>
      </c>
      <c r="D17858" s="5" t="s">
        <v>89</v>
      </c>
      <c r="E17858" s="5" t="str">
        <f t="shared" si="913"/>
        <v>ACTISALUD- FACTURACION PRINCIPAL</v>
      </c>
      <c r="F17858" s="5"/>
      <c r="G17858" s="5"/>
    </row>
    <row r="17859" spans="1:7" ht="58.5" customHeight="1" x14ac:dyDescent="0.25">
      <c r="A17859" s="5" t="str">
        <f>"H0029370"</f>
        <v>H0029370</v>
      </c>
      <c r="B17859" s="5" t="str">
        <f>"SILLA HERGONOMICA CON SISTEMA HIDRAULICO"</f>
        <v>SILLA HERGONOMICA CON SISTEMA HIDRAULICO</v>
      </c>
      <c r="C17859" s="6">
        <v>174900</v>
      </c>
      <c r="D17859" s="5" t="s">
        <v>89</v>
      </c>
      <c r="E17859" s="5" t="str">
        <f t="shared" si="913"/>
        <v>ACTISALUD- FACTURACION PRINCIPAL</v>
      </c>
      <c r="F17859" s="5"/>
      <c r="G17859" s="5"/>
    </row>
    <row r="17860" spans="1:7" ht="58.5" customHeight="1" x14ac:dyDescent="0.25">
      <c r="A17860" s="5" t="str">
        <f>"H0029371"</f>
        <v>H0029371</v>
      </c>
      <c r="B17860" s="5" t="str">
        <f>"SILLA HERGONOMICA CON SISTEMA HIDRAULICO"</f>
        <v>SILLA HERGONOMICA CON SISTEMA HIDRAULICO</v>
      </c>
      <c r="C17860" s="6">
        <v>174900</v>
      </c>
      <c r="D17860" s="5" t="s">
        <v>89</v>
      </c>
      <c r="E17860" s="5" t="str">
        <f t="shared" si="913"/>
        <v>ACTISALUD- FACTURACION PRINCIPAL</v>
      </c>
      <c r="F17860" s="5"/>
      <c r="G17860" s="5"/>
    </row>
    <row r="17861" spans="1:7" ht="58.5" customHeight="1" x14ac:dyDescent="0.25">
      <c r="A17861" s="5" t="str">
        <f>"H0029477"</f>
        <v>H0029477</v>
      </c>
      <c r="B17861" s="5" t="str">
        <f>"LECTOR DE HUELLAS DIGITALES"</f>
        <v>LECTOR DE HUELLAS DIGITALES</v>
      </c>
      <c r="C17861" s="6">
        <v>309400</v>
      </c>
      <c r="D17861" s="5" t="s">
        <v>14</v>
      </c>
      <c r="E17861" s="5" t="str">
        <f t="shared" si="913"/>
        <v>ACTISALUD- FACTURACION PRINCIPAL</v>
      </c>
      <c r="F17861" s="5"/>
      <c r="G17861" s="5"/>
    </row>
    <row r="17862" spans="1:7" ht="58.5" customHeight="1" x14ac:dyDescent="0.25">
      <c r="A17862" s="5" t="str">
        <f>"H0029478"</f>
        <v>H0029478</v>
      </c>
      <c r="B17862" s="5" t="str">
        <f>"LECTOR DE HUELLAS DIGITALES"</f>
        <v>LECTOR DE HUELLAS DIGITALES</v>
      </c>
      <c r="C17862" s="6">
        <v>309400</v>
      </c>
      <c r="D17862" s="5" t="s">
        <v>14</v>
      </c>
      <c r="E17862" s="5" t="str">
        <f t="shared" si="913"/>
        <v>ACTISALUD- FACTURACION PRINCIPAL</v>
      </c>
      <c r="F17862" s="5"/>
      <c r="G17862" s="5"/>
    </row>
    <row r="17863" spans="1:7" ht="58.5" customHeight="1" x14ac:dyDescent="0.25">
      <c r="A17863" s="5" t="str">
        <f>"H0029479"</f>
        <v>H0029479</v>
      </c>
      <c r="B17863" s="5" t="str">
        <f>"LECTOR DE HUELLAS DIGITALES"</f>
        <v>LECTOR DE HUELLAS DIGITALES</v>
      </c>
      <c r="C17863" s="6">
        <v>309400</v>
      </c>
      <c r="D17863" s="5" t="s">
        <v>14</v>
      </c>
      <c r="E17863" s="5" t="str">
        <f t="shared" si="913"/>
        <v>ACTISALUD- FACTURACION PRINCIPAL</v>
      </c>
      <c r="F17863" s="5"/>
      <c r="G17863" s="5"/>
    </row>
    <row r="17864" spans="1:7" ht="58.5" customHeight="1" x14ac:dyDescent="0.25">
      <c r="A17864" s="5" t="str">
        <f>"H0029517"</f>
        <v>H0029517</v>
      </c>
      <c r="B1786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7864" s="6">
        <v>257040</v>
      </c>
      <c r="D17864" s="5" t="s">
        <v>14</v>
      </c>
      <c r="E17864" s="5" t="str">
        <f t="shared" ref="E17864:E17927" si="917">"ACTISALUD- FACTURACION PRINCIPAL"</f>
        <v>ACTISALUD- FACTURACION PRINCIPAL</v>
      </c>
      <c r="F17864" s="5"/>
      <c r="G17864" s="5"/>
    </row>
    <row r="17865" spans="1:7" ht="58.5" customHeight="1" x14ac:dyDescent="0.25">
      <c r="A17865" s="5" t="str">
        <f>"H0029538"</f>
        <v>H0029538</v>
      </c>
      <c r="B17865"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7865" s="6">
        <v>2011100</v>
      </c>
      <c r="D17865" s="5" t="s">
        <v>638</v>
      </c>
      <c r="E17865" s="5" t="str">
        <f t="shared" si="917"/>
        <v>ACTISALUD- FACTURACION PRINCIPAL</v>
      </c>
      <c r="F17865" s="5"/>
      <c r="G17865" s="5"/>
    </row>
    <row r="17866" spans="1:7" ht="58.5" customHeight="1" x14ac:dyDescent="0.25">
      <c r="A17866" s="5" t="str">
        <f>"H0029539"</f>
        <v>H0029539</v>
      </c>
      <c r="B17866"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7866" s="6">
        <v>2011100</v>
      </c>
      <c r="D17866" s="5" t="s">
        <v>638</v>
      </c>
      <c r="E17866" s="5" t="str">
        <f t="shared" si="917"/>
        <v>ACTISALUD- FACTURACION PRINCIPAL</v>
      </c>
      <c r="F17866" s="5"/>
      <c r="G17866" s="5"/>
    </row>
    <row r="17867" spans="1:7" ht="58.5" customHeight="1" x14ac:dyDescent="0.25">
      <c r="A17867" s="5" t="str">
        <f>"H0029540"</f>
        <v>H0029540</v>
      </c>
      <c r="B17867"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7867" s="6">
        <v>2011100</v>
      </c>
      <c r="D17867" s="5" t="s">
        <v>638</v>
      </c>
      <c r="E17867" s="5" t="str">
        <f t="shared" si="917"/>
        <v>ACTISALUD- FACTURACION PRINCIPAL</v>
      </c>
      <c r="F17867" s="5"/>
      <c r="G17867" s="5"/>
    </row>
    <row r="17868" spans="1:7" ht="58.5" customHeight="1" x14ac:dyDescent="0.25">
      <c r="A17868" s="5" t="str">
        <f>"H0029541"</f>
        <v>H0029541</v>
      </c>
      <c r="B17868"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7868" s="6">
        <v>2011100</v>
      </c>
      <c r="D17868" s="5" t="s">
        <v>638</v>
      </c>
      <c r="E17868" s="5" t="str">
        <f t="shared" si="917"/>
        <v>ACTISALUD- FACTURACION PRINCIPAL</v>
      </c>
      <c r="F17868" s="5"/>
      <c r="G17868" s="5"/>
    </row>
    <row r="17869" spans="1:7" ht="58.5" customHeight="1" x14ac:dyDescent="0.25">
      <c r="A17869" s="5" t="str">
        <f>"H0029649"</f>
        <v>H0029649</v>
      </c>
      <c r="B17869" s="5" t="s">
        <v>94</v>
      </c>
      <c r="C17869" s="6">
        <v>148999.9</v>
      </c>
      <c r="D17869" s="5" t="s">
        <v>93</v>
      </c>
      <c r="E17869" s="5" t="str">
        <f t="shared" si="917"/>
        <v>ACTISALUD- FACTURACION PRINCIPAL</v>
      </c>
      <c r="F17869" s="5"/>
      <c r="G17869" s="5"/>
    </row>
    <row r="17870" spans="1:7" ht="58.5" customHeight="1" x14ac:dyDescent="0.25">
      <c r="A17870" s="5" t="str">
        <f>"H0029692"</f>
        <v>H0029692</v>
      </c>
      <c r="B17870" s="5" t="s">
        <v>94</v>
      </c>
      <c r="C17870" s="6">
        <v>148999.9</v>
      </c>
      <c r="D17870" s="5" t="s">
        <v>93</v>
      </c>
      <c r="E17870" s="5" t="str">
        <f t="shared" si="917"/>
        <v>ACTISALUD- FACTURACION PRINCIPAL</v>
      </c>
      <c r="F17870" s="5"/>
      <c r="G17870" s="5"/>
    </row>
    <row r="17871" spans="1:7" ht="58.5" customHeight="1" x14ac:dyDescent="0.25">
      <c r="A17871" s="5" t="str">
        <f>"H0029728"</f>
        <v>H0029728</v>
      </c>
      <c r="B17871" s="5" t="s">
        <v>94</v>
      </c>
      <c r="C17871" s="6">
        <v>148999.9</v>
      </c>
      <c r="D17871" s="5" t="s">
        <v>93</v>
      </c>
      <c r="E17871" s="5" t="str">
        <f t="shared" si="917"/>
        <v>ACTISALUD- FACTURACION PRINCIPAL</v>
      </c>
      <c r="F17871" s="5"/>
      <c r="G17871" s="5"/>
    </row>
    <row r="17872" spans="1:7" ht="58.5" customHeight="1" x14ac:dyDescent="0.25">
      <c r="A17872" s="5" t="str">
        <f>"H0029729"</f>
        <v>H0029729</v>
      </c>
      <c r="B17872" s="5" t="s">
        <v>94</v>
      </c>
      <c r="C17872" s="6">
        <v>148999.9</v>
      </c>
      <c r="D17872" s="5" t="s">
        <v>93</v>
      </c>
      <c r="E17872" s="5" t="str">
        <f t="shared" si="917"/>
        <v>ACTISALUD- FACTURACION PRINCIPAL</v>
      </c>
      <c r="F17872" s="5"/>
      <c r="G17872" s="5"/>
    </row>
    <row r="17873" spans="1:7" ht="58.5" customHeight="1" x14ac:dyDescent="0.25">
      <c r="A17873" s="5" t="str">
        <f>"H0029743"</f>
        <v>H0029743</v>
      </c>
      <c r="B17873" s="5" t="s">
        <v>94</v>
      </c>
      <c r="C17873" s="6">
        <v>148999.9</v>
      </c>
      <c r="D17873" s="5" t="s">
        <v>93</v>
      </c>
      <c r="E17873" s="5" t="str">
        <f t="shared" si="917"/>
        <v>ACTISALUD- FACTURACION PRINCIPAL</v>
      </c>
      <c r="F17873" s="5"/>
      <c r="G17873" s="5"/>
    </row>
    <row r="17874" spans="1:7" ht="58.5" customHeight="1" x14ac:dyDescent="0.25">
      <c r="A17874" s="5" t="str">
        <f>"H0029760"</f>
        <v>H0029760</v>
      </c>
      <c r="B17874" s="5" t="s">
        <v>94</v>
      </c>
      <c r="C17874" s="6">
        <v>148999.9</v>
      </c>
      <c r="D17874" s="5" t="s">
        <v>93</v>
      </c>
      <c r="E17874" s="5" t="str">
        <f t="shared" si="917"/>
        <v>ACTISALUD- FACTURACION PRINCIPAL</v>
      </c>
      <c r="F17874" s="5"/>
      <c r="G17874" s="5"/>
    </row>
    <row r="17875" spans="1:7" ht="58.5" customHeight="1" x14ac:dyDescent="0.25">
      <c r="A17875" s="5" t="str">
        <f>"H0029761"</f>
        <v>H0029761</v>
      </c>
      <c r="B17875" s="5" t="s">
        <v>94</v>
      </c>
      <c r="C17875" s="6">
        <v>148999.9</v>
      </c>
      <c r="D17875" s="5" t="s">
        <v>93</v>
      </c>
      <c r="E17875" s="5" t="str">
        <f t="shared" si="917"/>
        <v>ACTISALUD- FACTURACION PRINCIPAL</v>
      </c>
      <c r="F17875" s="5"/>
      <c r="G17875" s="5"/>
    </row>
    <row r="17876" spans="1:7" ht="58.5" customHeight="1" x14ac:dyDescent="0.25">
      <c r="A17876" s="5" t="str">
        <f>"H0029763"</f>
        <v>H0029763</v>
      </c>
      <c r="B17876" s="5" t="s">
        <v>94</v>
      </c>
      <c r="C17876" s="6">
        <v>148999.9</v>
      </c>
      <c r="D17876" s="5" t="s">
        <v>93</v>
      </c>
      <c r="E17876" s="5" t="str">
        <f t="shared" si="917"/>
        <v>ACTISALUD- FACTURACION PRINCIPAL</v>
      </c>
      <c r="F17876" s="5"/>
      <c r="G17876" s="5"/>
    </row>
    <row r="17877" spans="1:7" ht="58.5" customHeight="1" x14ac:dyDescent="0.25">
      <c r="A17877" s="5" t="str">
        <f>"H0029782"</f>
        <v>H0029782</v>
      </c>
      <c r="B17877" s="5" t="s">
        <v>96</v>
      </c>
      <c r="C17877" s="6">
        <v>169000.22</v>
      </c>
      <c r="D17877" s="5" t="s">
        <v>93</v>
      </c>
      <c r="E17877" s="5" t="str">
        <f t="shared" si="917"/>
        <v>ACTISALUD- FACTURACION PRINCIPAL</v>
      </c>
      <c r="F17877" s="5"/>
      <c r="G17877" s="5"/>
    </row>
    <row r="17878" spans="1:7" ht="58.5" customHeight="1" x14ac:dyDescent="0.25">
      <c r="A17878" s="5" t="str">
        <f>"H0031186"</f>
        <v>H0031186</v>
      </c>
      <c r="B17878"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17878" s="6">
        <v>773500</v>
      </c>
      <c r="D17878" s="5" t="s">
        <v>251</v>
      </c>
      <c r="E17878" s="5" t="str">
        <f t="shared" si="917"/>
        <v>ACTISALUD- FACTURACION PRINCIPAL</v>
      </c>
      <c r="F17878" s="5"/>
      <c r="G17878" s="5"/>
    </row>
    <row r="17879" spans="1:7" ht="58.5" customHeight="1" x14ac:dyDescent="0.25">
      <c r="A17879" s="5" t="str">
        <f>"H0031467"</f>
        <v>H0031467</v>
      </c>
      <c r="B1787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7879" s="6">
        <v>3209500</v>
      </c>
      <c r="D17879" s="5" t="s">
        <v>16</v>
      </c>
      <c r="E17879" s="5" t="str">
        <f t="shared" si="917"/>
        <v>ACTISALUD- FACTURACION PRINCIPAL</v>
      </c>
      <c r="F17879" s="5"/>
      <c r="G17879" s="5"/>
    </row>
    <row r="17880" spans="1:7" ht="58.5" customHeight="1" x14ac:dyDescent="0.25">
      <c r="A17880" s="5" t="str">
        <f>"H0031468"</f>
        <v>H0031468</v>
      </c>
      <c r="B1788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7880" s="6">
        <v>3209500</v>
      </c>
      <c r="D17880" s="5" t="s">
        <v>16</v>
      </c>
      <c r="E17880" s="5" t="str">
        <f t="shared" si="917"/>
        <v>ACTISALUD- FACTURACION PRINCIPAL</v>
      </c>
      <c r="F17880" s="5"/>
      <c r="G17880" s="5"/>
    </row>
    <row r="17881" spans="1:7" ht="58.5" customHeight="1" x14ac:dyDescent="0.25">
      <c r="A17881" s="5" t="str">
        <f>"H0031469"</f>
        <v>H0031469</v>
      </c>
      <c r="B1788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7881" s="6">
        <v>3209500</v>
      </c>
      <c r="D17881" s="5" t="s">
        <v>16</v>
      </c>
      <c r="E17881" s="5" t="str">
        <f t="shared" si="917"/>
        <v>ACTISALUD- FACTURACION PRINCIPAL</v>
      </c>
      <c r="F17881" s="5"/>
      <c r="G17881" s="5"/>
    </row>
    <row r="17882" spans="1:7" ht="58.5" customHeight="1" x14ac:dyDescent="0.25">
      <c r="A17882" s="5" t="str">
        <f>"H0031475"</f>
        <v>H0031475</v>
      </c>
      <c r="B1788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7882" s="6">
        <v>3209500</v>
      </c>
      <c r="D17882" s="5" t="s">
        <v>16</v>
      </c>
      <c r="E17882" s="5" t="str">
        <f t="shared" si="917"/>
        <v>ACTISALUD- FACTURACION PRINCIPAL</v>
      </c>
      <c r="F17882" s="5"/>
      <c r="G17882" s="5"/>
    </row>
    <row r="17883" spans="1:7" ht="58.5" customHeight="1" x14ac:dyDescent="0.25">
      <c r="A17883" s="5" t="str">
        <f>"H0031500"</f>
        <v>H0031500</v>
      </c>
      <c r="B1788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7883" s="6">
        <v>3209500</v>
      </c>
      <c r="D17883" s="5" t="s">
        <v>16</v>
      </c>
      <c r="E17883" s="5" t="str">
        <f t="shared" si="917"/>
        <v>ACTISALUD- FACTURACION PRINCIPAL</v>
      </c>
      <c r="F17883" s="5"/>
      <c r="G17883" s="5"/>
    </row>
    <row r="17884" spans="1:7" ht="58.5" customHeight="1" x14ac:dyDescent="0.25">
      <c r="A17884" s="5" t="str">
        <f>"H0031888"</f>
        <v>H0031888</v>
      </c>
      <c r="B17884"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7884" s="6">
        <v>2647750</v>
      </c>
      <c r="D17884" s="5" t="s">
        <v>44</v>
      </c>
      <c r="E17884" s="5" t="str">
        <f t="shared" si="917"/>
        <v>ACTISALUD- FACTURACION PRINCIPAL</v>
      </c>
      <c r="F17884" s="5"/>
      <c r="G17884" s="5" t="str">
        <f>"DS-870"</f>
        <v>DS-870</v>
      </c>
    </row>
    <row r="17885" spans="1:7" ht="58.5" customHeight="1" x14ac:dyDescent="0.25">
      <c r="A17885" s="5" t="str">
        <f>"H0032271"</f>
        <v>H0032271</v>
      </c>
      <c r="B17885"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17885" s="6">
        <v>901008.5</v>
      </c>
      <c r="D17885" s="5" t="s">
        <v>413</v>
      </c>
      <c r="E17885" s="5" t="str">
        <f t="shared" si="917"/>
        <v>ACTISALUD- FACTURACION PRINCIPAL</v>
      </c>
      <c r="F17885" s="5"/>
      <c r="G17885" s="5"/>
    </row>
    <row r="17886" spans="1:7" ht="58.5" customHeight="1" x14ac:dyDescent="0.25">
      <c r="A17886" s="5" t="str">
        <f>"H0032503"</f>
        <v>H0032503</v>
      </c>
      <c r="B17886"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17886" s="6">
        <v>420090</v>
      </c>
      <c r="D17886" s="5" t="s">
        <v>17</v>
      </c>
      <c r="E17886" s="5" t="str">
        <f t="shared" si="917"/>
        <v>ACTISALUD- FACTURACION PRINCIPAL</v>
      </c>
      <c r="F17886" s="5"/>
      <c r="G17886" s="5"/>
    </row>
    <row r="17887" spans="1:7" ht="58.5" customHeight="1" x14ac:dyDescent="0.25">
      <c r="A17887" s="5" t="str">
        <f>"H0032632"</f>
        <v>H0032632</v>
      </c>
      <c r="B17887" s="5" t="str">
        <f>"AIRE ACONDCIONADO MARCA OLYMPO DE 24000 BTU.220 VOLTIOS.TECNOLOGIA INVERTER"</f>
        <v>AIRE ACONDCIONADO MARCA OLYMPO DE 24000 BTU.220 VOLTIOS.TECNOLOGIA INVERTER</v>
      </c>
      <c r="C17887" s="6">
        <v>3385716.57</v>
      </c>
      <c r="D17887" s="5" t="s">
        <v>115</v>
      </c>
      <c r="E17887" s="5" t="str">
        <f t="shared" si="917"/>
        <v>ACTISALUD- FACTURACION PRINCIPAL</v>
      </c>
      <c r="F17887" s="5"/>
      <c r="G17887" s="5"/>
    </row>
    <row r="17888" spans="1:7" ht="58.5" customHeight="1" x14ac:dyDescent="0.25">
      <c r="A17888" s="5" t="str">
        <f>"H0032649"</f>
        <v>H0032649</v>
      </c>
      <c r="B17888" s="5" t="str">
        <f>"AIRE ACONDICIONADO TIPO MINISPLIT CAPACIDAD 12.000 BTU TECNOLOGIA INVERTER DUAL"</f>
        <v>AIRE ACONDICIONADO TIPO MINISPLIT CAPACIDAD 12.000 BTU TECNOLOGIA INVERTER DUAL</v>
      </c>
      <c r="C17888" s="6">
        <v>2058700</v>
      </c>
      <c r="D17888" s="5" t="s">
        <v>20</v>
      </c>
      <c r="E17888" s="5" t="str">
        <f t="shared" si="917"/>
        <v>ACTISALUD- FACTURACION PRINCIPAL</v>
      </c>
      <c r="F17888" s="5"/>
      <c r="G17888" s="5"/>
    </row>
    <row r="17889" spans="1:7" ht="58.5" customHeight="1" x14ac:dyDescent="0.25">
      <c r="A17889" s="5" t="str">
        <f>"H0034543"</f>
        <v>H0034543</v>
      </c>
      <c r="B17889" s="5" t="str">
        <f>"IMPRESORA DE BRAZALETES ZEBRA HD510-HC. MAMORIA FLASH 512 MB. INTERFAZ USB Y ETHERNET. RESOLUCIÓN DE 300 PPP.  ALIMENTACIÓN 110 A 240 VAC"</f>
        <v>IMPRESORA DE BRAZALETES ZEBRA HD510-HC. MAMORIA FLASH 512 MB. INTERFAZ USB Y ETHERNET. RESOLUCIÓN DE 300 PPP.  ALIMENTACIÓN 110 A 240 VAC</v>
      </c>
      <c r="C17889" s="6">
        <v>3475990</v>
      </c>
      <c r="D17889" s="5" t="s">
        <v>626</v>
      </c>
      <c r="E17889" s="5" t="str">
        <f t="shared" si="917"/>
        <v>ACTISALUD- FACTURACION PRINCIPAL</v>
      </c>
      <c r="F17889" s="5"/>
      <c r="G17889" s="5"/>
    </row>
    <row r="17890" spans="1:7" ht="58.5" customHeight="1" x14ac:dyDescent="0.25">
      <c r="A17890" s="5" t="str">
        <f>"H0034545"</f>
        <v>H0034545</v>
      </c>
      <c r="B17890" s="5" t="str">
        <f>"IMPRESORA DE BRAZALETES ZEBRA HD510-HC. MAMORIA FLASH 512 MB. INTERFAZ USB Y ETHERNET. RESOLUCIÓN DE 300 PPP.  ALIMENTACIÓN 110 A 240 VAC"</f>
        <v>IMPRESORA DE BRAZALETES ZEBRA HD510-HC. MAMORIA FLASH 512 MB. INTERFAZ USB Y ETHERNET. RESOLUCIÓN DE 300 PPP.  ALIMENTACIÓN 110 A 240 VAC</v>
      </c>
      <c r="C17890" s="6">
        <v>3475990</v>
      </c>
      <c r="D17890" s="5" t="s">
        <v>626</v>
      </c>
      <c r="E17890" s="5" t="str">
        <f t="shared" si="917"/>
        <v>ACTISALUD- FACTURACION PRINCIPAL</v>
      </c>
      <c r="F17890" s="5"/>
      <c r="G17890" s="5"/>
    </row>
    <row r="17891" spans="1:7" ht="58.5" customHeight="1" x14ac:dyDescent="0.25">
      <c r="A17891" s="5" t="str">
        <f>"H0034638"</f>
        <v>H0034638</v>
      </c>
      <c r="B17891" s="5" t="str">
        <f>"AIRE ACONDICIONADO TIPO MINISPLIT CAPACIDAD 24.000 BTU TECNOLOGIA INVERTER DUAL"</f>
        <v>AIRE ACONDICIONADO TIPO MINISPLIT CAPACIDAD 24.000 BTU TECNOLOGIA INVERTER DUAL</v>
      </c>
      <c r="C17891" s="6">
        <v>3385716.67</v>
      </c>
      <c r="D17891" s="5" t="s">
        <v>20</v>
      </c>
      <c r="E17891" s="5" t="str">
        <f t="shared" si="917"/>
        <v>ACTISALUD- FACTURACION PRINCIPAL</v>
      </c>
      <c r="F17891" s="5"/>
      <c r="G17891" s="5"/>
    </row>
    <row r="17892" spans="1:7" ht="58.5" customHeight="1" x14ac:dyDescent="0.25">
      <c r="A17892" s="5" t="str">
        <f>"H0034829"</f>
        <v>H0034829</v>
      </c>
      <c r="B17892"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7892" s="6">
        <v>5289550</v>
      </c>
      <c r="D17892" s="5" t="s">
        <v>22</v>
      </c>
      <c r="E17892" s="5" t="str">
        <f t="shared" si="917"/>
        <v>ACTISALUD- FACTURACION PRINCIPAL</v>
      </c>
      <c r="F17892" s="5"/>
      <c r="G17892" s="5"/>
    </row>
    <row r="17893" spans="1:7" ht="58.5" customHeight="1" x14ac:dyDescent="0.25">
      <c r="A17893" s="5" t="str">
        <f>"H0034834"</f>
        <v>H0034834</v>
      </c>
      <c r="B17893"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7893" s="6">
        <v>5289550</v>
      </c>
      <c r="D17893" s="5" t="s">
        <v>22</v>
      </c>
      <c r="E17893" s="5" t="str">
        <f t="shared" si="917"/>
        <v>ACTISALUD- FACTURACION PRINCIPAL</v>
      </c>
      <c r="F17893" s="5"/>
      <c r="G17893" s="5"/>
    </row>
    <row r="17894" spans="1:7" ht="58.5" customHeight="1" x14ac:dyDescent="0.25">
      <c r="A17894" s="5" t="str">
        <f>"H0034840"</f>
        <v>H0034840</v>
      </c>
      <c r="B17894" s="5" t="s">
        <v>23</v>
      </c>
      <c r="C17894" s="6">
        <v>4403000</v>
      </c>
      <c r="D17894" s="5" t="s">
        <v>22</v>
      </c>
      <c r="E17894" s="5" t="str">
        <f t="shared" si="917"/>
        <v>ACTISALUD- FACTURACION PRINCIPAL</v>
      </c>
      <c r="F17894" s="5"/>
      <c r="G17894" s="5"/>
    </row>
    <row r="17895" spans="1:7" ht="58.5" customHeight="1" x14ac:dyDescent="0.25">
      <c r="A17895" s="5" t="str">
        <f>"H0034844"</f>
        <v>H0034844</v>
      </c>
      <c r="B17895" s="5" t="s">
        <v>23</v>
      </c>
      <c r="C17895" s="6">
        <v>4403000</v>
      </c>
      <c r="D17895" s="5" t="s">
        <v>22</v>
      </c>
      <c r="E17895" s="5" t="str">
        <f t="shared" si="917"/>
        <v>ACTISALUD- FACTURACION PRINCIPAL</v>
      </c>
      <c r="F17895" s="5"/>
      <c r="G17895" s="5"/>
    </row>
    <row r="17896" spans="1:7" ht="58.5" customHeight="1" x14ac:dyDescent="0.25">
      <c r="A17896" s="5" t="str">
        <f>"H0034846"</f>
        <v>H0034846</v>
      </c>
      <c r="B17896" s="5" t="s">
        <v>23</v>
      </c>
      <c r="C17896" s="6">
        <v>4403000</v>
      </c>
      <c r="D17896" s="5" t="s">
        <v>22</v>
      </c>
      <c r="E17896" s="5" t="str">
        <f t="shared" si="917"/>
        <v>ACTISALUD- FACTURACION PRINCIPAL</v>
      </c>
      <c r="F17896" s="5"/>
      <c r="G17896" s="5"/>
    </row>
    <row r="17897" spans="1:7" ht="58.5" customHeight="1" x14ac:dyDescent="0.25">
      <c r="A17897" s="5" t="str">
        <f>"H0034854"</f>
        <v>H0034854</v>
      </c>
      <c r="B17897" s="5" t="str">
        <f>"COMPUTADOR TODO EN UNO"</f>
        <v>COMPUTADOR TODO EN UNO</v>
      </c>
      <c r="C17897" s="6">
        <v>5291396.9000000004</v>
      </c>
      <c r="D17897" s="5" t="s">
        <v>24</v>
      </c>
      <c r="E17897" s="5" t="str">
        <f t="shared" si="917"/>
        <v>ACTISALUD- FACTURACION PRINCIPAL</v>
      </c>
      <c r="F17897" s="5"/>
      <c r="G17897" s="5"/>
    </row>
    <row r="17898" spans="1:7" ht="58.5" customHeight="1" x14ac:dyDescent="0.25">
      <c r="A17898" s="5" t="str">
        <f>"H0034858"</f>
        <v>H0034858</v>
      </c>
      <c r="B17898" s="5" t="str">
        <f>"COMPUTADOR TODO EN UNO"</f>
        <v>COMPUTADOR TODO EN UNO</v>
      </c>
      <c r="C17898" s="6">
        <v>5291396.9000000004</v>
      </c>
      <c r="D17898" s="5" t="s">
        <v>24</v>
      </c>
      <c r="E17898" s="5" t="str">
        <f t="shared" si="917"/>
        <v>ACTISALUD- FACTURACION PRINCIPAL</v>
      </c>
      <c r="F17898" s="5"/>
      <c r="G17898" s="5"/>
    </row>
    <row r="17899" spans="1:7" ht="58.5" customHeight="1" x14ac:dyDescent="0.25">
      <c r="A17899" s="5" t="str">
        <f>"H0035050"</f>
        <v>H0035050</v>
      </c>
      <c r="B17899"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17899" s="6">
        <v>5289550</v>
      </c>
      <c r="D17899" s="5" t="s">
        <v>22</v>
      </c>
      <c r="E17899" s="5" t="str">
        <f t="shared" si="917"/>
        <v>ACTISALUD- FACTURACION PRINCIPAL</v>
      </c>
      <c r="F17899" s="5"/>
      <c r="G17899" s="5"/>
    </row>
    <row r="17900" spans="1:7" ht="58.5" customHeight="1" x14ac:dyDescent="0.25">
      <c r="A17900" s="5" t="str">
        <f>"H0035106"</f>
        <v>H0035106</v>
      </c>
      <c r="B17900" s="5" t="str">
        <f>"VENTILADOR DE PARED"</f>
        <v>VENTILADOR DE PARED</v>
      </c>
      <c r="C17900" s="6">
        <v>130000.37</v>
      </c>
      <c r="D17900" s="5" t="s">
        <v>25</v>
      </c>
      <c r="E17900" s="5" t="str">
        <f t="shared" si="917"/>
        <v>ACTISALUD- FACTURACION PRINCIPAL</v>
      </c>
      <c r="F17900" s="5"/>
      <c r="G17900" s="5"/>
    </row>
    <row r="17901" spans="1:7" ht="58.5" customHeight="1" x14ac:dyDescent="0.25">
      <c r="A17901" s="5" t="str">
        <f>"H0035120"</f>
        <v>H0035120</v>
      </c>
      <c r="B17901" s="5" t="str">
        <f>"VENTILADOR DE PARED"</f>
        <v>VENTILADOR DE PARED</v>
      </c>
      <c r="C17901" s="6">
        <v>130000.37</v>
      </c>
      <c r="D17901" s="5" t="s">
        <v>25</v>
      </c>
      <c r="E17901" s="5" t="str">
        <f t="shared" si="917"/>
        <v>ACTISALUD- FACTURACION PRINCIPAL</v>
      </c>
      <c r="F17901" s="5"/>
      <c r="G17901" s="5"/>
    </row>
    <row r="17902" spans="1:7" ht="58.5" customHeight="1" x14ac:dyDescent="0.25">
      <c r="A17902" s="5" t="str">
        <f>"H0035122"</f>
        <v>H0035122</v>
      </c>
      <c r="B17902" s="5" t="str">
        <f>"VENTILADOR DE PARED"</f>
        <v>VENTILADOR DE PARED</v>
      </c>
      <c r="C17902" s="6">
        <v>130000.37</v>
      </c>
      <c r="D17902" s="5" t="s">
        <v>25</v>
      </c>
      <c r="E17902" s="5" t="str">
        <f t="shared" si="917"/>
        <v>ACTISALUD- FACTURACION PRINCIPAL</v>
      </c>
      <c r="F17902" s="5"/>
      <c r="G17902" s="5"/>
    </row>
    <row r="17903" spans="1:7" ht="58.5" customHeight="1" x14ac:dyDescent="0.25">
      <c r="A17903" s="5" t="str">
        <f>"H0035237"</f>
        <v>H0035237</v>
      </c>
      <c r="B17903" s="5" t="str">
        <f>"IMPRESORA DE TRANSFERENCIA TERMICA MODELO ZD510-HC MARCA ZEBRA"</f>
        <v>IMPRESORA DE TRANSFERENCIA TERMICA MODELO ZD510-HC MARCA ZEBRA</v>
      </c>
      <c r="C17903" s="6">
        <v>3570000</v>
      </c>
      <c r="D17903" s="5" t="s">
        <v>126</v>
      </c>
      <c r="E17903" s="5" t="str">
        <f t="shared" si="917"/>
        <v>ACTISALUD- FACTURACION PRINCIPAL</v>
      </c>
      <c r="F17903" s="5"/>
      <c r="G17903" s="5"/>
    </row>
    <row r="17904" spans="1:7" ht="58.5" customHeight="1" x14ac:dyDescent="0.25">
      <c r="A17904" s="5" t="str">
        <f>"H0035238"</f>
        <v>H0035238</v>
      </c>
      <c r="B17904" s="5" t="str">
        <f>"IMPRESORA DE TRANSFERENCIA TERMICA MODELO ZD510-HC MARCA ZEBRA"</f>
        <v>IMPRESORA DE TRANSFERENCIA TERMICA MODELO ZD510-HC MARCA ZEBRA</v>
      </c>
      <c r="C17904" s="6">
        <v>3570000</v>
      </c>
      <c r="D17904" s="5" t="s">
        <v>126</v>
      </c>
      <c r="E17904" s="5" t="str">
        <f t="shared" si="917"/>
        <v>ACTISALUD- FACTURACION PRINCIPAL</v>
      </c>
      <c r="F17904" s="5"/>
      <c r="G17904" s="5"/>
    </row>
    <row r="17905" spans="1:7" ht="58.5" customHeight="1" x14ac:dyDescent="0.25">
      <c r="A17905" s="5" t="str">
        <f>"H0035240"</f>
        <v>H0035240</v>
      </c>
      <c r="B17905" s="5" t="str">
        <f>"IMPRESORA DE TRANSFERENCIA TERMICA MODELO ZD510-HC MARCA ZEBRA"</f>
        <v>IMPRESORA DE TRANSFERENCIA TERMICA MODELO ZD510-HC MARCA ZEBRA</v>
      </c>
      <c r="C17905" s="6">
        <v>3570000</v>
      </c>
      <c r="D17905" s="5" t="s">
        <v>126</v>
      </c>
      <c r="E17905" s="5" t="str">
        <f t="shared" si="917"/>
        <v>ACTISALUD- FACTURACION PRINCIPAL</v>
      </c>
      <c r="F17905" s="5"/>
      <c r="G17905" s="5"/>
    </row>
    <row r="17906" spans="1:7" ht="58.5" customHeight="1" x14ac:dyDescent="0.25">
      <c r="A17906" s="5" t="str">
        <f>"H0035298"</f>
        <v>H0035298</v>
      </c>
      <c r="B17906" s="5" t="str">
        <f>"AIRE ACONDICIONADO DUAL INVERTER DE 24.000 BTU MARCA LG CON KIT DE TUBERIA DE 3 METROS"</f>
        <v>AIRE ACONDICIONADO DUAL INVERTER DE 24.000 BTU MARCA LG CON KIT DE TUBERIA DE 3 METROS</v>
      </c>
      <c r="C17906" s="6">
        <v>3554530</v>
      </c>
      <c r="D17906" s="5" t="s">
        <v>158</v>
      </c>
      <c r="E17906" s="5" t="str">
        <f t="shared" si="917"/>
        <v>ACTISALUD- FACTURACION PRINCIPAL</v>
      </c>
      <c r="F17906" s="5"/>
      <c r="G17906" s="5" t="str">
        <f>"VM242C7"</f>
        <v>VM242C7</v>
      </c>
    </row>
    <row r="17907" spans="1:7" ht="58.5" customHeight="1" x14ac:dyDescent="0.25">
      <c r="A17907" s="5" t="str">
        <f>"H0035317"</f>
        <v>H0035317</v>
      </c>
      <c r="B17907" s="5" t="s">
        <v>128</v>
      </c>
      <c r="C17907" s="6">
        <v>5462100</v>
      </c>
      <c r="D17907" s="5" t="s">
        <v>127</v>
      </c>
      <c r="E17907" s="5" t="str">
        <f t="shared" si="917"/>
        <v>ACTISALUD- FACTURACION PRINCIPAL</v>
      </c>
      <c r="F17907" s="5"/>
      <c r="G17907" s="5" t="str">
        <f>"202G4AIO"</f>
        <v>202G4AIO</v>
      </c>
    </row>
    <row r="17908" spans="1:7" ht="58.5" customHeight="1" x14ac:dyDescent="0.25">
      <c r="A17908" s="5" t="str">
        <f>"H0035318"</f>
        <v>H0035318</v>
      </c>
      <c r="B17908" s="5" t="s">
        <v>128</v>
      </c>
      <c r="C17908" s="6">
        <v>5462100</v>
      </c>
      <c r="D17908" s="5" t="s">
        <v>127</v>
      </c>
      <c r="E17908" s="5" t="str">
        <f t="shared" si="917"/>
        <v>ACTISALUD- FACTURACION PRINCIPAL</v>
      </c>
      <c r="F17908" s="5"/>
      <c r="G17908" s="5" t="str">
        <f>"202G4AIO"</f>
        <v>202G4AIO</v>
      </c>
    </row>
    <row r="17909" spans="1:7" ht="58.5" customHeight="1" x14ac:dyDescent="0.25">
      <c r="A17909" s="5" t="str">
        <f>"H0035340"</f>
        <v>H0035340</v>
      </c>
      <c r="B17909" s="5" t="s">
        <v>128</v>
      </c>
      <c r="C17909" s="6">
        <v>5462100</v>
      </c>
      <c r="D17909" s="5" t="s">
        <v>127</v>
      </c>
      <c r="E17909" s="5" t="str">
        <f t="shared" si="917"/>
        <v>ACTISALUD- FACTURACION PRINCIPAL</v>
      </c>
      <c r="F17909" s="5"/>
      <c r="G17909" s="5"/>
    </row>
    <row r="17910" spans="1:7" ht="58.5" customHeight="1" x14ac:dyDescent="0.25">
      <c r="A17910" s="5" t="str">
        <f>"H0035353"</f>
        <v>H0035353</v>
      </c>
      <c r="B17910" s="5" t="str">
        <f>"Diadema USB para Call center.Cancelación de ruido.Control de volumen.Micrófono gira 180 grados.Plug and play."</f>
        <v>Diadema USB para Call center.Cancelación de ruido.Control de volumen.Micrófono gira 180 grados.Plug and play.</v>
      </c>
      <c r="C17910" s="6">
        <v>291550</v>
      </c>
      <c r="D17910" s="5" t="s">
        <v>127</v>
      </c>
      <c r="E17910" s="5" t="str">
        <f t="shared" si="917"/>
        <v>ACTISALUD- FACTURACION PRINCIPAL</v>
      </c>
      <c r="F17910" s="5"/>
      <c r="G17910" s="5"/>
    </row>
    <row r="17911" spans="1:7" ht="58.5" customHeight="1" x14ac:dyDescent="0.25">
      <c r="A17911" s="5" t="str">
        <f>"H0035354"</f>
        <v>H0035354</v>
      </c>
      <c r="B17911" s="5" t="str">
        <f>"Diadema USB para Call center.Cancelación de ruido.Control de volumen.Micrófono gira 180 grados.Plug and play."</f>
        <v>Diadema USB para Call center.Cancelación de ruido.Control de volumen.Micrófono gira 180 grados.Plug and play.</v>
      </c>
      <c r="C17911" s="6">
        <v>291550</v>
      </c>
      <c r="D17911" s="5" t="s">
        <v>127</v>
      </c>
      <c r="E17911" s="5" t="str">
        <f t="shared" si="917"/>
        <v>ACTISALUD- FACTURACION PRINCIPAL</v>
      </c>
      <c r="F17911" s="5"/>
      <c r="G17911" s="5"/>
    </row>
    <row r="17912" spans="1:7" ht="58.5" customHeight="1" x14ac:dyDescent="0.25">
      <c r="A17912" s="5" t="str">
        <f>"H0035355"</f>
        <v>H0035355</v>
      </c>
      <c r="B17912" s="5" t="str">
        <f>"Diadema USB para Call center.Cancelación de ruido.Control de volumen.Micrófono gira 180 grados.Plug and play."</f>
        <v>Diadema USB para Call center.Cancelación de ruido.Control de volumen.Micrófono gira 180 grados.Plug and play.</v>
      </c>
      <c r="C17912" s="6">
        <v>291550</v>
      </c>
      <c r="D17912" s="5" t="s">
        <v>127</v>
      </c>
      <c r="E17912" s="5" t="str">
        <f t="shared" si="917"/>
        <v>ACTISALUD- FACTURACION PRINCIPAL</v>
      </c>
      <c r="F17912" s="5"/>
      <c r="G17912" s="5"/>
    </row>
    <row r="17913" spans="1:7" ht="58.5" customHeight="1" x14ac:dyDescent="0.25">
      <c r="A17913" s="5" t="str">
        <f>"H0035356"</f>
        <v>H0035356</v>
      </c>
      <c r="B17913" s="5" t="str">
        <f>"Diadema USB para Call center.Cancelación de ruido.Control de volumen.Micrófono gira 180 grados.Plug and play."</f>
        <v>Diadema USB para Call center.Cancelación de ruido.Control de volumen.Micrófono gira 180 grados.Plug and play.</v>
      </c>
      <c r="C17913" s="6">
        <v>291550</v>
      </c>
      <c r="D17913" s="5" t="s">
        <v>127</v>
      </c>
      <c r="E17913" s="5" t="str">
        <f t="shared" si="917"/>
        <v>ACTISALUD- FACTURACION PRINCIPAL</v>
      </c>
      <c r="F17913" s="5"/>
      <c r="G17913" s="5"/>
    </row>
    <row r="17914" spans="1:7" ht="58.5" customHeight="1" x14ac:dyDescent="0.25">
      <c r="A17914" s="5" t="str">
        <f>"H0035357"</f>
        <v>H0035357</v>
      </c>
      <c r="B17914" s="5" t="str">
        <f>"Diadema USB para Call center.Cancelación de ruido.Control de volumen.Micrófono gira 180 grados.Plug and play."</f>
        <v>Diadema USB para Call center.Cancelación de ruido.Control de volumen.Micrófono gira 180 grados.Plug and play.</v>
      </c>
      <c r="C17914" s="6">
        <v>291550</v>
      </c>
      <c r="D17914" s="5" t="s">
        <v>127</v>
      </c>
      <c r="E17914" s="5" t="str">
        <f t="shared" si="917"/>
        <v>ACTISALUD- FACTURACION PRINCIPAL</v>
      </c>
      <c r="F17914" s="5"/>
      <c r="G17914" s="5"/>
    </row>
    <row r="17915" spans="1:7" ht="58.5" customHeight="1" x14ac:dyDescent="0.25">
      <c r="A17915" s="5" t="str">
        <f>"H0035422"</f>
        <v>H0035422</v>
      </c>
      <c r="B17915" s="5" t="str">
        <f>"COMPUTADOR TODO EN UNO HP  200 G4 CORPORATIVO  21.5  Intel® Core™ i5-10210U 10ma generación), Disco Duro 1TB"</f>
        <v>COMPUTADOR TODO EN UNO HP  200 G4 CORPORATIVO  21.5  Intel® Core™ i5-10210U 10ma generación), Disco Duro 1TB</v>
      </c>
      <c r="C17915" s="6">
        <v>5343100</v>
      </c>
      <c r="D17915" s="5" t="s">
        <v>197</v>
      </c>
      <c r="E17915" s="5" t="str">
        <f t="shared" si="917"/>
        <v>ACTISALUD- FACTURACION PRINCIPAL</v>
      </c>
      <c r="F17915" s="5"/>
      <c r="G17915" s="5"/>
    </row>
    <row r="17916" spans="1:7" ht="58.5" customHeight="1" x14ac:dyDescent="0.25">
      <c r="A17916" s="5" t="str">
        <f>"H0035618"</f>
        <v>H0035618</v>
      </c>
      <c r="B17916" s="5" t="str">
        <f t="shared" ref="B17916:B17950" si="918">"SILLA GERENTE NIZA MEC. BASCULANTE CON BRAZOS."</f>
        <v>SILLA GERENTE NIZA MEC. BASCULANTE CON BRAZOS.</v>
      </c>
      <c r="C17916" s="6">
        <v>639999.86</v>
      </c>
      <c r="D17916" s="5" t="s">
        <v>235</v>
      </c>
      <c r="E17916" s="5" t="str">
        <f t="shared" si="917"/>
        <v>ACTISALUD- FACTURACION PRINCIPAL</v>
      </c>
      <c r="F17916" s="5"/>
      <c r="G17916" s="5"/>
    </row>
    <row r="17917" spans="1:7" ht="58.5" customHeight="1" x14ac:dyDescent="0.25">
      <c r="A17917" s="5" t="str">
        <f>"H0035636"</f>
        <v>H0035636</v>
      </c>
      <c r="B17917" s="5" t="str">
        <f t="shared" si="918"/>
        <v>SILLA GERENTE NIZA MEC. BASCULANTE CON BRAZOS.</v>
      </c>
      <c r="C17917" s="6">
        <v>639999.86</v>
      </c>
      <c r="D17917" s="5" t="s">
        <v>235</v>
      </c>
      <c r="E17917" s="5" t="str">
        <f t="shared" si="917"/>
        <v>ACTISALUD- FACTURACION PRINCIPAL</v>
      </c>
      <c r="F17917" s="5"/>
      <c r="G17917" s="5"/>
    </row>
    <row r="17918" spans="1:7" ht="58.5" customHeight="1" x14ac:dyDescent="0.25">
      <c r="A17918" s="5" t="str">
        <f>"H0035638"</f>
        <v>H0035638</v>
      </c>
      <c r="B17918" s="5" t="str">
        <f t="shared" si="918"/>
        <v>SILLA GERENTE NIZA MEC. BASCULANTE CON BRAZOS.</v>
      </c>
      <c r="C17918" s="6">
        <v>639999.86</v>
      </c>
      <c r="D17918" s="5" t="s">
        <v>235</v>
      </c>
      <c r="E17918" s="5" t="str">
        <f t="shared" si="917"/>
        <v>ACTISALUD- FACTURACION PRINCIPAL</v>
      </c>
      <c r="F17918" s="5"/>
      <c r="G17918" s="5"/>
    </row>
    <row r="17919" spans="1:7" ht="58.5" customHeight="1" x14ac:dyDescent="0.25">
      <c r="A17919" s="5" t="str">
        <f>"H0035640"</f>
        <v>H0035640</v>
      </c>
      <c r="B17919" s="5" t="str">
        <f t="shared" si="918"/>
        <v>SILLA GERENTE NIZA MEC. BASCULANTE CON BRAZOS.</v>
      </c>
      <c r="C17919" s="6">
        <v>639999.86</v>
      </c>
      <c r="D17919" s="5" t="s">
        <v>235</v>
      </c>
      <c r="E17919" s="5" t="str">
        <f t="shared" si="917"/>
        <v>ACTISALUD- FACTURACION PRINCIPAL</v>
      </c>
      <c r="F17919" s="5"/>
      <c r="G17919" s="5"/>
    </row>
    <row r="17920" spans="1:7" ht="58.5" customHeight="1" x14ac:dyDescent="0.25">
      <c r="A17920" s="5" t="str">
        <f>"h0035672"</f>
        <v>h0035672</v>
      </c>
      <c r="B17920" s="5" t="str">
        <f t="shared" si="918"/>
        <v>SILLA GERENTE NIZA MEC. BASCULANTE CON BRAZOS.</v>
      </c>
      <c r="C17920" s="6">
        <v>639999.86</v>
      </c>
      <c r="D17920" s="5" t="s">
        <v>235</v>
      </c>
      <c r="E17920" s="5" t="str">
        <f t="shared" si="917"/>
        <v>ACTISALUD- FACTURACION PRINCIPAL</v>
      </c>
      <c r="F17920" s="5"/>
      <c r="G17920" s="5"/>
    </row>
    <row r="17921" spans="1:7" ht="58.5" customHeight="1" x14ac:dyDescent="0.25">
      <c r="A17921" s="5" t="str">
        <f>"H0035683"</f>
        <v>H0035683</v>
      </c>
      <c r="B17921" s="5" t="str">
        <f t="shared" si="918"/>
        <v>SILLA GERENTE NIZA MEC. BASCULANTE CON BRAZOS.</v>
      </c>
      <c r="C17921" s="6">
        <v>639999.86</v>
      </c>
      <c r="D17921" s="5" t="s">
        <v>235</v>
      </c>
      <c r="E17921" s="5" t="str">
        <f t="shared" si="917"/>
        <v>ACTISALUD- FACTURACION PRINCIPAL</v>
      </c>
      <c r="F17921" s="5"/>
      <c r="G17921" s="5"/>
    </row>
    <row r="17922" spans="1:7" ht="58.5" customHeight="1" x14ac:dyDescent="0.25">
      <c r="A17922" s="5" t="str">
        <f>"H0035753"</f>
        <v>H0035753</v>
      </c>
      <c r="B17922" s="5" t="str">
        <f t="shared" si="918"/>
        <v>SILLA GERENTE NIZA MEC. BASCULANTE CON BRAZOS.</v>
      </c>
      <c r="C17922" s="6">
        <v>639999.86</v>
      </c>
      <c r="D17922" s="5" t="s">
        <v>46</v>
      </c>
      <c r="E17922" s="5" t="str">
        <f t="shared" si="917"/>
        <v>ACTISALUD- FACTURACION PRINCIPAL</v>
      </c>
      <c r="F17922" s="5"/>
      <c r="G17922" s="5"/>
    </row>
    <row r="17923" spans="1:7" ht="58.5" customHeight="1" x14ac:dyDescent="0.25">
      <c r="A17923" s="5" t="str">
        <f>"H0035754"</f>
        <v>H0035754</v>
      </c>
      <c r="B17923" s="5" t="str">
        <f t="shared" si="918"/>
        <v>SILLA GERENTE NIZA MEC. BASCULANTE CON BRAZOS.</v>
      </c>
      <c r="C17923" s="6">
        <v>639999.86</v>
      </c>
      <c r="D17923" s="5" t="s">
        <v>46</v>
      </c>
      <c r="E17923" s="5" t="str">
        <f t="shared" si="917"/>
        <v>ACTISALUD- FACTURACION PRINCIPAL</v>
      </c>
      <c r="F17923" s="5"/>
      <c r="G17923" s="5"/>
    </row>
    <row r="17924" spans="1:7" ht="58.5" customHeight="1" x14ac:dyDescent="0.25">
      <c r="A17924" s="5" t="str">
        <f>"H0035755"</f>
        <v>H0035755</v>
      </c>
      <c r="B17924" s="5" t="str">
        <f t="shared" si="918"/>
        <v>SILLA GERENTE NIZA MEC. BASCULANTE CON BRAZOS.</v>
      </c>
      <c r="C17924" s="6">
        <v>639999.86</v>
      </c>
      <c r="D17924" s="5" t="s">
        <v>46</v>
      </c>
      <c r="E17924" s="5" t="str">
        <f t="shared" si="917"/>
        <v>ACTISALUD- FACTURACION PRINCIPAL</v>
      </c>
      <c r="F17924" s="5"/>
      <c r="G17924" s="5"/>
    </row>
    <row r="17925" spans="1:7" ht="58.5" customHeight="1" x14ac:dyDescent="0.25">
      <c r="A17925" s="5" t="str">
        <f>"H0035756"</f>
        <v>H0035756</v>
      </c>
      <c r="B17925" s="5" t="str">
        <f t="shared" si="918"/>
        <v>SILLA GERENTE NIZA MEC. BASCULANTE CON BRAZOS.</v>
      </c>
      <c r="C17925" s="6">
        <v>639999.86</v>
      </c>
      <c r="D17925" s="5" t="s">
        <v>46</v>
      </c>
      <c r="E17925" s="5" t="str">
        <f t="shared" si="917"/>
        <v>ACTISALUD- FACTURACION PRINCIPAL</v>
      </c>
      <c r="F17925" s="5"/>
      <c r="G17925" s="5"/>
    </row>
    <row r="17926" spans="1:7" ht="58.5" customHeight="1" x14ac:dyDescent="0.25">
      <c r="A17926" s="5" t="str">
        <f>"H0035757"</f>
        <v>H0035757</v>
      </c>
      <c r="B17926" s="5" t="str">
        <f t="shared" si="918"/>
        <v>SILLA GERENTE NIZA MEC. BASCULANTE CON BRAZOS.</v>
      </c>
      <c r="C17926" s="6">
        <v>639999.86</v>
      </c>
      <c r="D17926" s="5" t="s">
        <v>46</v>
      </c>
      <c r="E17926" s="5" t="str">
        <f t="shared" si="917"/>
        <v>ACTISALUD- FACTURACION PRINCIPAL</v>
      </c>
      <c r="F17926" s="5"/>
      <c r="G17926" s="5"/>
    </row>
    <row r="17927" spans="1:7" ht="58.5" customHeight="1" x14ac:dyDescent="0.25">
      <c r="A17927" s="5" t="str">
        <f>"H0035758"</f>
        <v>H0035758</v>
      </c>
      <c r="B17927" s="5" t="str">
        <f t="shared" si="918"/>
        <v>SILLA GERENTE NIZA MEC. BASCULANTE CON BRAZOS.</v>
      </c>
      <c r="C17927" s="6">
        <v>639999.86</v>
      </c>
      <c r="D17927" s="5" t="s">
        <v>46</v>
      </c>
      <c r="E17927" s="5" t="str">
        <f t="shared" si="917"/>
        <v>ACTISALUD- FACTURACION PRINCIPAL</v>
      </c>
      <c r="F17927" s="5"/>
      <c r="G17927" s="5"/>
    </row>
    <row r="17928" spans="1:7" ht="58.5" customHeight="1" x14ac:dyDescent="0.25">
      <c r="A17928" s="5" t="str">
        <f>"H0035759"</f>
        <v>H0035759</v>
      </c>
      <c r="B17928" s="5" t="str">
        <f t="shared" si="918"/>
        <v>SILLA GERENTE NIZA MEC. BASCULANTE CON BRAZOS.</v>
      </c>
      <c r="C17928" s="6">
        <v>639999.86</v>
      </c>
      <c r="D17928" s="5" t="s">
        <v>46</v>
      </c>
      <c r="E17928" s="5" t="str">
        <f t="shared" ref="E17928:E17991" si="919">"ACTISALUD- FACTURACION PRINCIPAL"</f>
        <v>ACTISALUD- FACTURACION PRINCIPAL</v>
      </c>
      <c r="F17928" s="5"/>
      <c r="G17928" s="5"/>
    </row>
    <row r="17929" spans="1:7" ht="58.5" customHeight="1" x14ac:dyDescent="0.25">
      <c r="A17929" s="5" t="str">
        <f>"H0035760"</f>
        <v>H0035760</v>
      </c>
      <c r="B17929" s="5" t="str">
        <f t="shared" si="918"/>
        <v>SILLA GERENTE NIZA MEC. BASCULANTE CON BRAZOS.</v>
      </c>
      <c r="C17929" s="6">
        <v>639999.86</v>
      </c>
      <c r="D17929" s="5" t="s">
        <v>46</v>
      </c>
      <c r="E17929" s="5" t="str">
        <f t="shared" si="919"/>
        <v>ACTISALUD- FACTURACION PRINCIPAL</v>
      </c>
      <c r="F17929" s="5"/>
      <c r="G17929" s="5"/>
    </row>
    <row r="17930" spans="1:7" ht="58.5" customHeight="1" x14ac:dyDescent="0.25">
      <c r="A17930" s="5" t="str">
        <f>"H0035761"</f>
        <v>H0035761</v>
      </c>
      <c r="B17930" s="5" t="str">
        <f t="shared" si="918"/>
        <v>SILLA GERENTE NIZA MEC. BASCULANTE CON BRAZOS.</v>
      </c>
      <c r="C17930" s="6">
        <v>639999.86</v>
      </c>
      <c r="D17930" s="5" t="s">
        <v>46</v>
      </c>
      <c r="E17930" s="5" t="str">
        <f t="shared" si="919"/>
        <v>ACTISALUD- FACTURACION PRINCIPAL</v>
      </c>
      <c r="F17930" s="5"/>
      <c r="G17930" s="5"/>
    </row>
    <row r="17931" spans="1:7" ht="58.5" customHeight="1" x14ac:dyDescent="0.25">
      <c r="A17931" s="5" t="str">
        <f>"H0035762"</f>
        <v>H0035762</v>
      </c>
      <c r="B17931" s="5" t="str">
        <f t="shared" si="918"/>
        <v>SILLA GERENTE NIZA MEC. BASCULANTE CON BRAZOS.</v>
      </c>
      <c r="C17931" s="6">
        <v>639999.86</v>
      </c>
      <c r="D17931" s="5" t="s">
        <v>46</v>
      </c>
      <c r="E17931" s="5" t="str">
        <f t="shared" si="919"/>
        <v>ACTISALUD- FACTURACION PRINCIPAL</v>
      </c>
      <c r="F17931" s="5"/>
      <c r="G17931" s="5"/>
    </row>
    <row r="17932" spans="1:7" ht="58.5" customHeight="1" x14ac:dyDescent="0.25">
      <c r="A17932" s="5" t="str">
        <f>"H0035763"</f>
        <v>H0035763</v>
      </c>
      <c r="B17932" s="5" t="str">
        <f t="shared" si="918"/>
        <v>SILLA GERENTE NIZA MEC. BASCULANTE CON BRAZOS.</v>
      </c>
      <c r="C17932" s="6">
        <v>639999.86</v>
      </c>
      <c r="D17932" s="5" t="s">
        <v>46</v>
      </c>
      <c r="E17932" s="5" t="str">
        <f t="shared" si="919"/>
        <v>ACTISALUD- FACTURACION PRINCIPAL</v>
      </c>
      <c r="F17932" s="5"/>
      <c r="G17932" s="5"/>
    </row>
    <row r="17933" spans="1:7" ht="58.5" customHeight="1" x14ac:dyDescent="0.25">
      <c r="A17933" s="5" t="str">
        <f>"H0035764"</f>
        <v>H0035764</v>
      </c>
      <c r="B17933" s="5" t="str">
        <f t="shared" si="918"/>
        <v>SILLA GERENTE NIZA MEC. BASCULANTE CON BRAZOS.</v>
      </c>
      <c r="C17933" s="6">
        <v>639999.86</v>
      </c>
      <c r="D17933" s="5" t="s">
        <v>46</v>
      </c>
      <c r="E17933" s="5" t="str">
        <f t="shared" si="919"/>
        <v>ACTISALUD- FACTURACION PRINCIPAL</v>
      </c>
      <c r="F17933" s="5"/>
      <c r="G17933" s="5"/>
    </row>
    <row r="17934" spans="1:7" ht="58.5" customHeight="1" x14ac:dyDescent="0.25">
      <c r="A17934" s="5" t="str">
        <f>"H0035765"</f>
        <v>H0035765</v>
      </c>
      <c r="B17934" s="5" t="str">
        <f t="shared" si="918"/>
        <v>SILLA GERENTE NIZA MEC. BASCULANTE CON BRAZOS.</v>
      </c>
      <c r="C17934" s="6">
        <v>639999.86</v>
      </c>
      <c r="D17934" s="5" t="s">
        <v>46</v>
      </c>
      <c r="E17934" s="5" t="str">
        <f t="shared" si="919"/>
        <v>ACTISALUD- FACTURACION PRINCIPAL</v>
      </c>
      <c r="F17934" s="5"/>
      <c r="G17934" s="5"/>
    </row>
    <row r="17935" spans="1:7" ht="58.5" customHeight="1" x14ac:dyDescent="0.25">
      <c r="A17935" s="5" t="str">
        <f>"H0035766"</f>
        <v>H0035766</v>
      </c>
      <c r="B17935" s="5" t="str">
        <f t="shared" si="918"/>
        <v>SILLA GERENTE NIZA MEC. BASCULANTE CON BRAZOS.</v>
      </c>
      <c r="C17935" s="6">
        <v>639999.86</v>
      </c>
      <c r="D17935" s="5" t="s">
        <v>46</v>
      </c>
      <c r="E17935" s="5" t="str">
        <f t="shared" si="919"/>
        <v>ACTISALUD- FACTURACION PRINCIPAL</v>
      </c>
      <c r="F17935" s="5"/>
      <c r="G17935" s="5"/>
    </row>
    <row r="17936" spans="1:7" ht="58.5" customHeight="1" x14ac:dyDescent="0.25">
      <c r="A17936" s="5" t="str">
        <f>"H0035767"</f>
        <v>H0035767</v>
      </c>
      <c r="B17936" s="5" t="str">
        <f t="shared" si="918"/>
        <v>SILLA GERENTE NIZA MEC. BASCULANTE CON BRAZOS.</v>
      </c>
      <c r="C17936" s="6">
        <v>639999.86</v>
      </c>
      <c r="D17936" s="5" t="s">
        <v>46</v>
      </c>
      <c r="E17936" s="5" t="str">
        <f t="shared" si="919"/>
        <v>ACTISALUD- FACTURACION PRINCIPAL</v>
      </c>
      <c r="F17936" s="5"/>
      <c r="G17936" s="5"/>
    </row>
    <row r="17937" spans="1:7" ht="58.5" customHeight="1" x14ac:dyDescent="0.25">
      <c r="A17937" s="5" t="str">
        <f>"H0035768"</f>
        <v>H0035768</v>
      </c>
      <c r="B17937" s="5" t="str">
        <f t="shared" si="918"/>
        <v>SILLA GERENTE NIZA MEC. BASCULANTE CON BRAZOS.</v>
      </c>
      <c r="C17937" s="6">
        <v>639999.86</v>
      </c>
      <c r="D17937" s="5" t="s">
        <v>46</v>
      </c>
      <c r="E17937" s="5" t="str">
        <f t="shared" si="919"/>
        <v>ACTISALUD- FACTURACION PRINCIPAL</v>
      </c>
      <c r="F17937" s="5"/>
      <c r="G17937" s="5"/>
    </row>
    <row r="17938" spans="1:7" ht="58.5" customHeight="1" x14ac:dyDescent="0.25">
      <c r="A17938" s="5" t="str">
        <f>"H0035769"</f>
        <v>H0035769</v>
      </c>
      <c r="B17938" s="5" t="str">
        <f t="shared" si="918"/>
        <v>SILLA GERENTE NIZA MEC. BASCULANTE CON BRAZOS.</v>
      </c>
      <c r="C17938" s="6">
        <v>639999.86</v>
      </c>
      <c r="D17938" s="5" t="s">
        <v>46</v>
      </c>
      <c r="E17938" s="5" t="str">
        <f t="shared" si="919"/>
        <v>ACTISALUD- FACTURACION PRINCIPAL</v>
      </c>
      <c r="F17938" s="5"/>
      <c r="G17938" s="5"/>
    </row>
    <row r="17939" spans="1:7" ht="58.5" customHeight="1" x14ac:dyDescent="0.25">
      <c r="A17939" s="5" t="str">
        <f>"H0035770"</f>
        <v>H0035770</v>
      </c>
      <c r="B17939" s="5" t="str">
        <f t="shared" si="918"/>
        <v>SILLA GERENTE NIZA MEC. BASCULANTE CON BRAZOS.</v>
      </c>
      <c r="C17939" s="6">
        <v>639999.86</v>
      </c>
      <c r="D17939" s="5" t="s">
        <v>46</v>
      </c>
      <c r="E17939" s="5" t="str">
        <f t="shared" si="919"/>
        <v>ACTISALUD- FACTURACION PRINCIPAL</v>
      </c>
      <c r="F17939" s="5"/>
      <c r="G17939" s="5"/>
    </row>
    <row r="17940" spans="1:7" ht="58.5" customHeight="1" x14ac:dyDescent="0.25">
      <c r="A17940" s="5" t="str">
        <f>"H0035771"</f>
        <v>H0035771</v>
      </c>
      <c r="B17940" s="5" t="str">
        <f t="shared" si="918"/>
        <v>SILLA GERENTE NIZA MEC. BASCULANTE CON BRAZOS.</v>
      </c>
      <c r="C17940" s="6">
        <v>640002.24</v>
      </c>
      <c r="D17940" s="5" t="s">
        <v>47</v>
      </c>
      <c r="E17940" s="5" t="str">
        <f t="shared" si="919"/>
        <v>ACTISALUD- FACTURACION PRINCIPAL</v>
      </c>
      <c r="F17940" s="5"/>
      <c r="G17940" s="5"/>
    </row>
    <row r="17941" spans="1:7" ht="58.5" customHeight="1" x14ac:dyDescent="0.25">
      <c r="A17941" s="5" t="str">
        <f>"H0035799"</f>
        <v>H0035799</v>
      </c>
      <c r="B17941" s="5" t="str">
        <f t="shared" si="918"/>
        <v>SILLA GERENTE NIZA MEC. BASCULANTE CON BRAZOS.</v>
      </c>
      <c r="C17941" s="6">
        <v>640002.24</v>
      </c>
      <c r="D17941" s="5" t="s">
        <v>47</v>
      </c>
      <c r="E17941" s="5" t="str">
        <f t="shared" si="919"/>
        <v>ACTISALUD- FACTURACION PRINCIPAL</v>
      </c>
      <c r="F17941" s="5"/>
      <c r="G17941" s="5"/>
    </row>
    <row r="17942" spans="1:7" ht="58.5" customHeight="1" x14ac:dyDescent="0.25">
      <c r="A17942" s="5" t="str">
        <f>"H0035851"</f>
        <v>H0035851</v>
      </c>
      <c r="B17942" s="5" t="str">
        <f t="shared" si="918"/>
        <v>SILLA GERENTE NIZA MEC. BASCULANTE CON BRAZOS.</v>
      </c>
      <c r="C17942" s="6">
        <v>639999.86</v>
      </c>
      <c r="D17942" s="5" t="s">
        <v>47</v>
      </c>
      <c r="E17942" s="5" t="str">
        <f t="shared" si="919"/>
        <v>ACTISALUD- FACTURACION PRINCIPAL</v>
      </c>
      <c r="F17942" s="5"/>
      <c r="G17942" s="5"/>
    </row>
    <row r="17943" spans="1:7" ht="58.5" customHeight="1" x14ac:dyDescent="0.25">
      <c r="A17943" s="5" t="str">
        <f>"H0035877"</f>
        <v>H0035877</v>
      </c>
      <c r="B17943" s="5" t="str">
        <f t="shared" si="918"/>
        <v>SILLA GERENTE NIZA MEC. BASCULANTE CON BRAZOS.</v>
      </c>
      <c r="C17943" s="6">
        <v>639999.86</v>
      </c>
      <c r="D17943" s="5" t="s">
        <v>281</v>
      </c>
      <c r="E17943" s="5" t="str">
        <f t="shared" si="919"/>
        <v>ACTISALUD- FACTURACION PRINCIPAL</v>
      </c>
      <c r="F17943" s="5"/>
      <c r="G17943" s="5"/>
    </row>
    <row r="17944" spans="1:7" ht="58.5" customHeight="1" x14ac:dyDescent="0.25">
      <c r="A17944" s="5" t="str">
        <f>"H0035903"</f>
        <v>H0035903</v>
      </c>
      <c r="B17944" s="5" t="str">
        <f t="shared" si="918"/>
        <v>SILLA GERENTE NIZA MEC. BASCULANTE CON BRAZOS.</v>
      </c>
      <c r="C17944" s="6">
        <v>639999.86</v>
      </c>
      <c r="D17944" s="5" t="s">
        <v>281</v>
      </c>
      <c r="E17944" s="5" t="str">
        <f t="shared" si="919"/>
        <v>ACTISALUD- FACTURACION PRINCIPAL</v>
      </c>
      <c r="F17944" s="5"/>
      <c r="G17944" s="5"/>
    </row>
    <row r="17945" spans="1:7" ht="58.5" customHeight="1" x14ac:dyDescent="0.25">
      <c r="A17945" s="5" t="str">
        <f>"H0035911"</f>
        <v>H0035911</v>
      </c>
      <c r="B17945" s="5" t="str">
        <f t="shared" si="918"/>
        <v>SILLA GERENTE NIZA MEC. BASCULANTE CON BRAZOS.</v>
      </c>
      <c r="C17945" s="6">
        <v>639999.86</v>
      </c>
      <c r="D17945" s="5" t="s">
        <v>281</v>
      </c>
      <c r="E17945" s="5" t="str">
        <f t="shared" si="919"/>
        <v>ACTISALUD- FACTURACION PRINCIPAL</v>
      </c>
      <c r="F17945" s="5"/>
      <c r="G17945" s="5"/>
    </row>
    <row r="17946" spans="1:7" ht="58.5" customHeight="1" x14ac:dyDescent="0.25">
      <c r="A17946" s="5" t="str">
        <f>"H0035931"</f>
        <v>H0035931</v>
      </c>
      <c r="B17946" s="5" t="str">
        <f t="shared" si="918"/>
        <v>SILLA GERENTE NIZA MEC. BASCULANTE CON BRAZOS.</v>
      </c>
      <c r="C17946" s="6">
        <v>639999.86</v>
      </c>
      <c r="D17946" s="5" t="s">
        <v>281</v>
      </c>
      <c r="E17946" s="5" t="str">
        <f t="shared" si="919"/>
        <v>ACTISALUD- FACTURACION PRINCIPAL</v>
      </c>
      <c r="F17946" s="5"/>
      <c r="G17946" s="5"/>
    </row>
    <row r="17947" spans="1:7" ht="58.5" customHeight="1" x14ac:dyDescent="0.25">
      <c r="A17947" s="5" t="str">
        <f>"H0035932"</f>
        <v>H0035932</v>
      </c>
      <c r="B17947" s="5" t="str">
        <f t="shared" si="918"/>
        <v>SILLA GERENTE NIZA MEC. BASCULANTE CON BRAZOS.</v>
      </c>
      <c r="C17947" s="6">
        <v>639999.86</v>
      </c>
      <c r="D17947" s="5" t="s">
        <v>281</v>
      </c>
      <c r="E17947" s="5" t="str">
        <f t="shared" si="919"/>
        <v>ACTISALUD- FACTURACION PRINCIPAL</v>
      </c>
      <c r="F17947" s="5"/>
      <c r="G17947" s="5"/>
    </row>
    <row r="17948" spans="1:7" ht="58.5" customHeight="1" x14ac:dyDescent="0.25">
      <c r="A17948" s="5" t="str">
        <f>"H0035934"</f>
        <v>H0035934</v>
      </c>
      <c r="B17948" s="5" t="str">
        <f t="shared" si="918"/>
        <v>SILLA GERENTE NIZA MEC. BASCULANTE CON BRAZOS.</v>
      </c>
      <c r="C17948" s="6">
        <v>639999.86</v>
      </c>
      <c r="D17948" s="5" t="s">
        <v>281</v>
      </c>
      <c r="E17948" s="5" t="str">
        <f t="shared" si="919"/>
        <v>ACTISALUD- FACTURACION PRINCIPAL</v>
      </c>
      <c r="F17948" s="5"/>
      <c r="G17948" s="5"/>
    </row>
    <row r="17949" spans="1:7" ht="58.5" customHeight="1" x14ac:dyDescent="0.25">
      <c r="A17949" s="5" t="str">
        <f>"H0035935"</f>
        <v>H0035935</v>
      </c>
      <c r="B17949" s="5" t="str">
        <f t="shared" si="918"/>
        <v>SILLA GERENTE NIZA MEC. BASCULANTE CON BRAZOS.</v>
      </c>
      <c r="C17949" s="6">
        <v>639999.86</v>
      </c>
      <c r="D17949" s="5" t="s">
        <v>281</v>
      </c>
      <c r="E17949" s="5" t="str">
        <f t="shared" si="919"/>
        <v>ACTISALUD- FACTURACION PRINCIPAL</v>
      </c>
      <c r="F17949" s="5"/>
      <c r="G17949" s="5"/>
    </row>
    <row r="17950" spans="1:7" ht="58.5" customHeight="1" x14ac:dyDescent="0.25">
      <c r="A17950" s="5" t="str">
        <f>"H0035944"</f>
        <v>H0035944</v>
      </c>
      <c r="B17950" s="5" t="str">
        <f t="shared" si="918"/>
        <v>SILLA GERENTE NIZA MEC. BASCULANTE CON BRAZOS.</v>
      </c>
      <c r="C17950" s="6">
        <v>639999.86</v>
      </c>
      <c r="D17950" s="5" t="s">
        <v>281</v>
      </c>
      <c r="E17950" s="5" t="str">
        <f t="shared" si="919"/>
        <v>ACTISALUD- FACTURACION PRINCIPAL</v>
      </c>
      <c r="F17950" s="5"/>
      <c r="G17950" s="5"/>
    </row>
    <row r="17951" spans="1:7" ht="58.5" customHeight="1" x14ac:dyDescent="0.25">
      <c r="A17951" s="5" t="str">
        <f>"H0036401"</f>
        <v>H0036401</v>
      </c>
      <c r="B17951" s="5" t="str">
        <f>"VENTILADOR DE PEDESTAL"</f>
        <v>VENTILADOR DE PEDESTAL</v>
      </c>
      <c r="C17951" s="6">
        <v>358260</v>
      </c>
      <c r="D17951" s="5" t="s">
        <v>131</v>
      </c>
      <c r="E17951" s="5" t="str">
        <f t="shared" si="919"/>
        <v>ACTISALUD- FACTURACION PRINCIPAL</v>
      </c>
      <c r="F17951" s="5"/>
      <c r="G17951" s="5"/>
    </row>
    <row r="17952" spans="1:7" ht="58.5" customHeight="1" x14ac:dyDescent="0.25">
      <c r="A17952" s="5" t="str">
        <f>"H0036409"</f>
        <v>H0036409</v>
      </c>
      <c r="B17952" s="5" t="str">
        <f t="shared" ref="B17952:B17958" si="920">"VENTILADOR DE PARED"</f>
        <v>VENTILADOR DE PARED</v>
      </c>
      <c r="C17952" s="6">
        <v>295260</v>
      </c>
      <c r="D17952" s="5" t="s">
        <v>131</v>
      </c>
      <c r="E17952" s="5" t="str">
        <f t="shared" si="919"/>
        <v>ACTISALUD- FACTURACION PRINCIPAL</v>
      </c>
      <c r="F17952" s="5"/>
      <c r="G17952" s="5"/>
    </row>
    <row r="17953" spans="1:7" ht="58.5" customHeight="1" x14ac:dyDescent="0.25">
      <c r="A17953" s="5" t="str">
        <f>"H0036414"</f>
        <v>H0036414</v>
      </c>
      <c r="B17953" s="5" t="str">
        <f t="shared" si="920"/>
        <v>VENTILADOR DE PARED</v>
      </c>
      <c r="C17953" s="6">
        <v>295260</v>
      </c>
      <c r="D17953" s="5" t="s">
        <v>131</v>
      </c>
      <c r="E17953" s="5" t="str">
        <f t="shared" si="919"/>
        <v>ACTISALUD- FACTURACION PRINCIPAL</v>
      </c>
      <c r="F17953" s="5"/>
      <c r="G17953" s="5"/>
    </row>
    <row r="17954" spans="1:7" ht="58.5" customHeight="1" x14ac:dyDescent="0.25">
      <c r="A17954" s="5" t="str">
        <f>"H0036416"</f>
        <v>H0036416</v>
      </c>
      <c r="B17954" s="5" t="str">
        <f t="shared" si="920"/>
        <v>VENTILADOR DE PARED</v>
      </c>
      <c r="C17954" s="6">
        <v>295260</v>
      </c>
      <c r="D17954" s="5" t="s">
        <v>131</v>
      </c>
      <c r="E17954" s="5" t="str">
        <f t="shared" si="919"/>
        <v>ACTISALUD- FACTURACION PRINCIPAL</v>
      </c>
      <c r="F17954" s="5"/>
      <c r="G17954" s="5"/>
    </row>
    <row r="17955" spans="1:7" ht="58.5" customHeight="1" x14ac:dyDescent="0.25">
      <c r="A17955" s="5" t="str">
        <f>"H0036422"</f>
        <v>H0036422</v>
      </c>
      <c r="B17955" s="5" t="str">
        <f t="shared" si="920"/>
        <v>VENTILADOR DE PARED</v>
      </c>
      <c r="C17955" s="6">
        <v>295260</v>
      </c>
      <c r="D17955" s="5" t="s">
        <v>131</v>
      </c>
      <c r="E17955" s="5" t="str">
        <f t="shared" si="919"/>
        <v>ACTISALUD- FACTURACION PRINCIPAL</v>
      </c>
      <c r="F17955" s="5"/>
      <c r="G17955" s="5"/>
    </row>
    <row r="17956" spans="1:7" ht="58.5" customHeight="1" x14ac:dyDescent="0.25">
      <c r="A17956" s="5" t="str">
        <f>"H0036424"</f>
        <v>H0036424</v>
      </c>
      <c r="B17956" s="5" t="str">
        <f t="shared" si="920"/>
        <v>VENTILADOR DE PARED</v>
      </c>
      <c r="C17956" s="6">
        <v>295260</v>
      </c>
      <c r="D17956" s="5" t="s">
        <v>131</v>
      </c>
      <c r="E17956" s="5" t="str">
        <f t="shared" si="919"/>
        <v>ACTISALUD- FACTURACION PRINCIPAL</v>
      </c>
      <c r="F17956" s="5"/>
      <c r="G17956" s="5"/>
    </row>
    <row r="17957" spans="1:7" ht="58.5" customHeight="1" x14ac:dyDescent="0.25">
      <c r="A17957" s="5" t="str">
        <f>"H0036425"</f>
        <v>H0036425</v>
      </c>
      <c r="B17957" s="5" t="str">
        <f t="shared" si="920"/>
        <v>VENTILADOR DE PARED</v>
      </c>
      <c r="C17957" s="6">
        <v>295260</v>
      </c>
      <c r="D17957" s="5" t="s">
        <v>131</v>
      </c>
      <c r="E17957" s="5" t="str">
        <f t="shared" si="919"/>
        <v>ACTISALUD- FACTURACION PRINCIPAL</v>
      </c>
      <c r="F17957" s="5"/>
      <c r="G17957" s="5"/>
    </row>
    <row r="17958" spans="1:7" ht="58.5" customHeight="1" x14ac:dyDescent="0.25">
      <c r="A17958" s="5" t="str">
        <f>"H0036429"</f>
        <v>H0036429</v>
      </c>
      <c r="B17958" s="5" t="str">
        <f t="shared" si="920"/>
        <v>VENTILADOR DE PARED</v>
      </c>
      <c r="C17958" s="6">
        <v>295260</v>
      </c>
      <c r="D17958" s="5" t="s">
        <v>131</v>
      </c>
      <c r="E17958" s="5" t="str">
        <f t="shared" si="919"/>
        <v>ACTISALUD- FACTURACION PRINCIPAL</v>
      </c>
      <c r="F17958" s="5"/>
      <c r="G17958" s="5"/>
    </row>
    <row r="17959" spans="1:7" ht="58.5" customHeight="1" x14ac:dyDescent="0.25">
      <c r="A17959" s="5" t="str">
        <f>"H0036456"</f>
        <v>H0036456</v>
      </c>
      <c r="B17959" s="5" t="str">
        <f>"VENTILADOR DE PEDESTAL"</f>
        <v>VENTILADOR DE PEDESTAL</v>
      </c>
      <c r="C17959" s="6">
        <v>358260</v>
      </c>
      <c r="D17959" s="5" t="s">
        <v>131</v>
      </c>
      <c r="E17959" s="5" t="str">
        <f t="shared" si="919"/>
        <v>ACTISALUD- FACTURACION PRINCIPAL</v>
      </c>
      <c r="F17959" s="5"/>
      <c r="G17959" s="5"/>
    </row>
    <row r="17960" spans="1:7" ht="58.5" customHeight="1" x14ac:dyDescent="0.25">
      <c r="A17960" s="5" t="str">
        <f>"H0036458"</f>
        <v>H0036458</v>
      </c>
      <c r="B17960" s="5" t="str">
        <f>"VENTILADOR DE PEDESTAL"</f>
        <v>VENTILADOR DE PEDESTAL</v>
      </c>
      <c r="C17960" s="6">
        <v>358260</v>
      </c>
      <c r="D17960" s="5" t="s">
        <v>131</v>
      </c>
      <c r="E17960" s="5" t="str">
        <f t="shared" si="919"/>
        <v>ACTISALUD- FACTURACION PRINCIPAL</v>
      </c>
      <c r="F17960" s="5"/>
      <c r="G17960" s="5"/>
    </row>
    <row r="17961" spans="1:7" ht="58.5" customHeight="1" x14ac:dyDescent="0.25">
      <c r="A17961" s="5" t="str">
        <f>"H0036542"</f>
        <v>H0036542</v>
      </c>
      <c r="B17961"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7961" s="6">
        <v>6307000</v>
      </c>
      <c r="D17961" s="5" t="s">
        <v>48</v>
      </c>
      <c r="E17961" s="5" t="str">
        <f t="shared" si="919"/>
        <v>ACTISALUD- FACTURACION PRINCIPAL</v>
      </c>
      <c r="F17961" s="5"/>
      <c r="G17961" s="5" t="str">
        <f>"VZ4680G"</f>
        <v>VZ4680G</v>
      </c>
    </row>
    <row r="17962" spans="1:7" ht="58.5" customHeight="1" x14ac:dyDescent="0.25">
      <c r="A17962" s="5" t="str">
        <f>"H0036544"</f>
        <v>H0036544</v>
      </c>
      <c r="B17962"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7962" s="6">
        <v>6307000</v>
      </c>
      <c r="D17962" s="5" t="s">
        <v>48</v>
      </c>
      <c r="E17962" s="5" t="str">
        <f t="shared" si="919"/>
        <v>ACTISALUD- FACTURACION PRINCIPAL</v>
      </c>
      <c r="F17962" s="5"/>
      <c r="G17962" s="5" t="str">
        <f>"VZ4680G"</f>
        <v>VZ4680G</v>
      </c>
    </row>
    <row r="17963" spans="1:7" ht="58.5" customHeight="1" x14ac:dyDescent="0.25">
      <c r="A17963" s="5" t="str">
        <f>"H0036873"</f>
        <v>H0036873</v>
      </c>
      <c r="B17963" s="5" t="str">
        <f t="shared" ref="B17963:B17974" si="921">"COMPUTADOR TODO EN UNO  LENOVO CON PROCESADOR INTEL CORE I5-10400T MEMORIA RAM 8GB DDR4 CON DISCO DURO 256GB SSD M.2"</f>
        <v>COMPUTADOR TODO EN UNO  LENOVO CON PROCESADOR INTEL CORE I5-10400T MEMORIA RAM 8GB DDR4 CON DISCO DURO 256GB SSD M.2</v>
      </c>
      <c r="C17963" s="6">
        <v>6307000</v>
      </c>
      <c r="D17963" s="5" t="s">
        <v>135</v>
      </c>
      <c r="E17963" s="5" t="str">
        <f t="shared" si="919"/>
        <v>ACTISALUD- FACTURACION PRINCIPAL</v>
      </c>
      <c r="F17963" s="5"/>
      <c r="G17963" s="5" t="str">
        <f t="shared" ref="G17963:G17974" si="922">"V50A"</f>
        <v>V50A</v>
      </c>
    </row>
    <row r="17964" spans="1:7" ht="58.5" customHeight="1" x14ac:dyDescent="0.25">
      <c r="A17964" s="5" t="str">
        <f>"H0036874"</f>
        <v>H0036874</v>
      </c>
      <c r="B17964" s="5" t="str">
        <f t="shared" si="921"/>
        <v>COMPUTADOR TODO EN UNO  LENOVO CON PROCESADOR INTEL CORE I5-10400T MEMORIA RAM 8GB DDR4 CON DISCO DURO 256GB SSD M.2</v>
      </c>
      <c r="C17964" s="6">
        <v>6307000</v>
      </c>
      <c r="D17964" s="5" t="s">
        <v>135</v>
      </c>
      <c r="E17964" s="5" t="str">
        <f t="shared" si="919"/>
        <v>ACTISALUD- FACTURACION PRINCIPAL</v>
      </c>
      <c r="F17964" s="5"/>
      <c r="G17964" s="5" t="str">
        <f t="shared" si="922"/>
        <v>V50A</v>
      </c>
    </row>
    <row r="17965" spans="1:7" ht="58.5" customHeight="1" x14ac:dyDescent="0.25">
      <c r="A17965" s="5" t="str">
        <f>"H0036876"</f>
        <v>H0036876</v>
      </c>
      <c r="B17965" s="5" t="str">
        <f t="shared" si="921"/>
        <v>COMPUTADOR TODO EN UNO  LENOVO CON PROCESADOR INTEL CORE I5-10400T MEMORIA RAM 8GB DDR4 CON DISCO DURO 256GB SSD M.2</v>
      </c>
      <c r="C17965" s="6">
        <v>6307000</v>
      </c>
      <c r="D17965" s="5" t="s">
        <v>135</v>
      </c>
      <c r="E17965" s="5" t="str">
        <f t="shared" si="919"/>
        <v>ACTISALUD- FACTURACION PRINCIPAL</v>
      </c>
      <c r="F17965" s="5"/>
      <c r="G17965" s="5" t="str">
        <f t="shared" si="922"/>
        <v>V50A</v>
      </c>
    </row>
    <row r="17966" spans="1:7" ht="58.5" customHeight="1" x14ac:dyDescent="0.25">
      <c r="A17966" s="5" t="str">
        <f>"H0036877"</f>
        <v>H0036877</v>
      </c>
      <c r="B17966" s="5" t="str">
        <f t="shared" si="921"/>
        <v>COMPUTADOR TODO EN UNO  LENOVO CON PROCESADOR INTEL CORE I5-10400T MEMORIA RAM 8GB DDR4 CON DISCO DURO 256GB SSD M.2</v>
      </c>
      <c r="C17966" s="6">
        <v>6307000</v>
      </c>
      <c r="D17966" s="5" t="s">
        <v>135</v>
      </c>
      <c r="E17966" s="5" t="str">
        <f t="shared" si="919"/>
        <v>ACTISALUD- FACTURACION PRINCIPAL</v>
      </c>
      <c r="F17966" s="5"/>
      <c r="G17966" s="5" t="str">
        <f t="shared" si="922"/>
        <v>V50A</v>
      </c>
    </row>
    <row r="17967" spans="1:7" ht="58.5" customHeight="1" x14ac:dyDescent="0.25">
      <c r="A17967" s="5" t="str">
        <f>"H0036878"</f>
        <v>H0036878</v>
      </c>
      <c r="B17967" s="5" t="str">
        <f t="shared" si="921"/>
        <v>COMPUTADOR TODO EN UNO  LENOVO CON PROCESADOR INTEL CORE I5-10400T MEMORIA RAM 8GB DDR4 CON DISCO DURO 256GB SSD M.2</v>
      </c>
      <c r="C17967" s="6">
        <v>6307000</v>
      </c>
      <c r="D17967" s="5" t="s">
        <v>135</v>
      </c>
      <c r="E17967" s="5" t="str">
        <f t="shared" si="919"/>
        <v>ACTISALUD- FACTURACION PRINCIPAL</v>
      </c>
      <c r="F17967" s="5"/>
      <c r="G17967" s="5" t="str">
        <f t="shared" si="922"/>
        <v>V50A</v>
      </c>
    </row>
    <row r="17968" spans="1:7" ht="58.5" customHeight="1" x14ac:dyDescent="0.25">
      <c r="A17968" s="5" t="str">
        <f>"H0036879"</f>
        <v>H0036879</v>
      </c>
      <c r="B17968" s="5" t="str">
        <f t="shared" si="921"/>
        <v>COMPUTADOR TODO EN UNO  LENOVO CON PROCESADOR INTEL CORE I5-10400T MEMORIA RAM 8GB DDR4 CON DISCO DURO 256GB SSD M.2</v>
      </c>
      <c r="C17968" s="6">
        <v>6307000</v>
      </c>
      <c r="D17968" s="5" t="s">
        <v>135</v>
      </c>
      <c r="E17968" s="5" t="str">
        <f t="shared" si="919"/>
        <v>ACTISALUD- FACTURACION PRINCIPAL</v>
      </c>
      <c r="F17968" s="5"/>
      <c r="G17968" s="5" t="str">
        <f t="shared" si="922"/>
        <v>V50A</v>
      </c>
    </row>
    <row r="17969" spans="1:7" ht="58.5" customHeight="1" x14ac:dyDescent="0.25">
      <c r="A17969" s="5" t="str">
        <f>"H0036883"</f>
        <v>H0036883</v>
      </c>
      <c r="B17969" s="5" t="str">
        <f t="shared" si="921"/>
        <v>COMPUTADOR TODO EN UNO  LENOVO CON PROCESADOR INTEL CORE I5-10400T MEMORIA RAM 8GB DDR4 CON DISCO DURO 256GB SSD M.2</v>
      </c>
      <c r="C17969" s="6">
        <v>6307000</v>
      </c>
      <c r="D17969" s="5" t="s">
        <v>135</v>
      </c>
      <c r="E17969" s="5" t="str">
        <f t="shared" si="919"/>
        <v>ACTISALUD- FACTURACION PRINCIPAL</v>
      </c>
      <c r="F17969" s="5"/>
      <c r="G17969" s="5" t="str">
        <f t="shared" si="922"/>
        <v>V50A</v>
      </c>
    </row>
    <row r="17970" spans="1:7" ht="58.5" customHeight="1" x14ac:dyDescent="0.25">
      <c r="A17970" s="5" t="str">
        <f>"H0036887"</f>
        <v>H0036887</v>
      </c>
      <c r="B17970" s="5" t="str">
        <f t="shared" si="921"/>
        <v>COMPUTADOR TODO EN UNO  LENOVO CON PROCESADOR INTEL CORE I5-10400T MEMORIA RAM 8GB DDR4 CON DISCO DURO 256GB SSD M.2</v>
      </c>
      <c r="C17970" s="6">
        <v>6307000</v>
      </c>
      <c r="D17970" s="5" t="s">
        <v>135</v>
      </c>
      <c r="E17970" s="5" t="str">
        <f t="shared" si="919"/>
        <v>ACTISALUD- FACTURACION PRINCIPAL</v>
      </c>
      <c r="F17970" s="5"/>
      <c r="G17970" s="5" t="str">
        <f t="shared" si="922"/>
        <v>V50A</v>
      </c>
    </row>
    <row r="17971" spans="1:7" ht="58.5" customHeight="1" x14ac:dyDescent="0.25">
      <c r="A17971" s="5" t="str">
        <f>"H0036888"</f>
        <v>H0036888</v>
      </c>
      <c r="B17971" s="5" t="str">
        <f t="shared" si="921"/>
        <v>COMPUTADOR TODO EN UNO  LENOVO CON PROCESADOR INTEL CORE I5-10400T MEMORIA RAM 8GB DDR4 CON DISCO DURO 256GB SSD M.2</v>
      </c>
      <c r="C17971" s="6">
        <v>6307000</v>
      </c>
      <c r="D17971" s="5" t="s">
        <v>135</v>
      </c>
      <c r="E17971" s="5" t="str">
        <f t="shared" si="919"/>
        <v>ACTISALUD- FACTURACION PRINCIPAL</v>
      </c>
      <c r="F17971" s="5"/>
      <c r="G17971" s="5" t="str">
        <f t="shared" si="922"/>
        <v>V50A</v>
      </c>
    </row>
    <row r="17972" spans="1:7" ht="58.5" customHeight="1" x14ac:dyDescent="0.25">
      <c r="A17972" s="5" t="str">
        <f>"H0036889"</f>
        <v>H0036889</v>
      </c>
      <c r="B17972" s="5" t="str">
        <f t="shared" si="921"/>
        <v>COMPUTADOR TODO EN UNO  LENOVO CON PROCESADOR INTEL CORE I5-10400T MEMORIA RAM 8GB DDR4 CON DISCO DURO 256GB SSD M.2</v>
      </c>
      <c r="C17972" s="6">
        <v>6307000</v>
      </c>
      <c r="D17972" s="5" t="s">
        <v>135</v>
      </c>
      <c r="E17972" s="5" t="str">
        <f t="shared" si="919"/>
        <v>ACTISALUD- FACTURACION PRINCIPAL</v>
      </c>
      <c r="F17972" s="5"/>
      <c r="G17972" s="5" t="str">
        <f t="shared" si="922"/>
        <v>V50A</v>
      </c>
    </row>
    <row r="17973" spans="1:7" ht="58.5" customHeight="1" x14ac:dyDescent="0.25">
      <c r="A17973" s="5" t="str">
        <f>"H0036890"</f>
        <v>H0036890</v>
      </c>
      <c r="B17973" s="5" t="str">
        <f t="shared" si="921"/>
        <v>COMPUTADOR TODO EN UNO  LENOVO CON PROCESADOR INTEL CORE I5-10400T MEMORIA RAM 8GB DDR4 CON DISCO DURO 256GB SSD M.2</v>
      </c>
      <c r="C17973" s="6">
        <v>6307000</v>
      </c>
      <c r="D17973" s="5" t="s">
        <v>135</v>
      </c>
      <c r="E17973" s="5" t="str">
        <f t="shared" si="919"/>
        <v>ACTISALUD- FACTURACION PRINCIPAL</v>
      </c>
      <c r="F17973" s="5"/>
      <c r="G17973" s="5" t="str">
        <f t="shared" si="922"/>
        <v>V50A</v>
      </c>
    </row>
    <row r="17974" spans="1:7" ht="58.5" customHeight="1" x14ac:dyDescent="0.25">
      <c r="A17974" s="5" t="str">
        <f>"H0036891"</f>
        <v>H0036891</v>
      </c>
      <c r="B17974" s="5" t="str">
        <f t="shared" si="921"/>
        <v>COMPUTADOR TODO EN UNO  LENOVO CON PROCESADOR INTEL CORE I5-10400T MEMORIA RAM 8GB DDR4 CON DISCO DURO 256GB SSD M.2</v>
      </c>
      <c r="C17974" s="6">
        <v>6307000</v>
      </c>
      <c r="D17974" s="5" t="s">
        <v>135</v>
      </c>
      <c r="E17974" s="5" t="str">
        <f t="shared" si="919"/>
        <v>ACTISALUD- FACTURACION PRINCIPAL</v>
      </c>
      <c r="F17974" s="5"/>
      <c r="G17974" s="5" t="str">
        <f t="shared" si="922"/>
        <v>V50A</v>
      </c>
    </row>
    <row r="17975" spans="1:7" ht="58.5" customHeight="1" x14ac:dyDescent="0.25">
      <c r="A17975" s="5" t="str">
        <f>"H0037216"</f>
        <v>H0037216</v>
      </c>
      <c r="B17975" s="5" t="str">
        <f>"AIRE ACONDICIONADO DE 36000 BTU PISO TECHO"</f>
        <v>AIRE ACONDICIONADO DE 36000 BTU PISO TECHO</v>
      </c>
      <c r="C17975" s="6">
        <v>6426000</v>
      </c>
      <c r="D17975" s="5" t="s">
        <v>201</v>
      </c>
      <c r="E17975" s="5" t="str">
        <f t="shared" si="919"/>
        <v>ACTISALUD- FACTURACION PRINCIPAL</v>
      </c>
      <c r="F17975" s="5"/>
      <c r="G17975" s="5"/>
    </row>
    <row r="17976" spans="1:7" ht="58.5" customHeight="1" x14ac:dyDescent="0.25">
      <c r="A17976" s="5" t="str">
        <f>"H0037446"</f>
        <v>H0037446</v>
      </c>
      <c r="B17976" s="5" t="str">
        <f>"AIRE ACONDICIONADO TIPO MINISPLIT CAPACIDAD 24.000 BTU TECNOLOGIA INVERTER DUAL"</f>
        <v>AIRE ACONDICIONADO TIPO MINISPLIT CAPACIDAD 24.000 BTU TECNOLOGIA INVERTER DUAL</v>
      </c>
      <c r="C17976" s="6">
        <v>5848909.5300000003</v>
      </c>
      <c r="D17976" s="5" t="s">
        <v>202</v>
      </c>
      <c r="E17976" s="5" t="str">
        <f t="shared" si="919"/>
        <v>ACTISALUD- FACTURACION PRINCIPAL</v>
      </c>
      <c r="F17976" s="5"/>
      <c r="G17976" s="5"/>
    </row>
    <row r="17977" spans="1:7" ht="58.5" customHeight="1" x14ac:dyDescent="0.25">
      <c r="A17977" s="5" t="str">
        <f>"H0037494"</f>
        <v>H0037494</v>
      </c>
      <c r="B17977" s="5" t="str">
        <f>"VENTILADOR DE PARED"</f>
        <v>VENTILADOR DE PARED</v>
      </c>
      <c r="C17977" s="6">
        <v>286671</v>
      </c>
      <c r="D17977" s="5" t="s">
        <v>139</v>
      </c>
      <c r="E17977" s="5" t="str">
        <f t="shared" si="919"/>
        <v>ACTISALUD- FACTURACION PRINCIPAL</v>
      </c>
      <c r="F17977" s="5"/>
      <c r="G17977" s="5"/>
    </row>
    <row r="17978" spans="1:7" ht="58.5" customHeight="1" x14ac:dyDescent="0.25">
      <c r="A17978" s="5" t="str">
        <f>"H0037515"</f>
        <v>H0037515</v>
      </c>
      <c r="B17978" s="5" t="str">
        <f>"VENTILADOR DE PARED"</f>
        <v>VENTILADOR DE PARED</v>
      </c>
      <c r="C17978" s="6">
        <v>286671</v>
      </c>
      <c r="D17978" s="5" t="s">
        <v>139</v>
      </c>
      <c r="E17978" s="5" t="str">
        <f t="shared" si="919"/>
        <v>ACTISALUD- FACTURACION PRINCIPAL</v>
      </c>
      <c r="F17978" s="5"/>
      <c r="G17978" s="5"/>
    </row>
    <row r="17979" spans="1:7" ht="58.5" customHeight="1" x14ac:dyDescent="0.25">
      <c r="A17979" s="5" t="str">
        <f>"H0037519"</f>
        <v>H0037519</v>
      </c>
      <c r="B17979" s="5" t="str">
        <f>"VENTILADOR DE PARED"</f>
        <v>VENTILADOR DE PARED</v>
      </c>
      <c r="C17979" s="6">
        <v>286671</v>
      </c>
      <c r="D17979" s="5" t="s">
        <v>139</v>
      </c>
      <c r="E17979" s="5" t="str">
        <f t="shared" si="919"/>
        <v>ACTISALUD- FACTURACION PRINCIPAL</v>
      </c>
      <c r="F17979" s="5"/>
      <c r="G17979" s="5"/>
    </row>
    <row r="17980" spans="1:7" ht="58.5" customHeight="1" x14ac:dyDescent="0.25">
      <c r="A17980" s="5" t="str">
        <f>"H0037611"</f>
        <v>H0037611</v>
      </c>
      <c r="B17980" s="5" t="str">
        <f t="shared" ref="B17980:B17989" si="923">"COMPUTADOR TODO EN UNO"</f>
        <v>COMPUTADOR TODO EN UNO</v>
      </c>
      <c r="C17980" s="6">
        <v>7497000</v>
      </c>
      <c r="D17980" s="5" t="s">
        <v>636</v>
      </c>
      <c r="E17980" s="5" t="str">
        <f t="shared" si="919"/>
        <v>ACTISALUD- FACTURACION PRINCIPAL</v>
      </c>
      <c r="F17980" s="5"/>
      <c r="G17980" s="5"/>
    </row>
    <row r="17981" spans="1:7" ht="58.5" customHeight="1" x14ac:dyDescent="0.25">
      <c r="A17981" s="5" t="str">
        <f>"H0037613"</f>
        <v>H0037613</v>
      </c>
      <c r="B17981" s="5" t="str">
        <f t="shared" si="923"/>
        <v>COMPUTADOR TODO EN UNO</v>
      </c>
      <c r="C17981" s="6">
        <v>7497000</v>
      </c>
      <c r="D17981" s="5" t="s">
        <v>636</v>
      </c>
      <c r="E17981" s="5" t="str">
        <f t="shared" si="919"/>
        <v>ACTISALUD- FACTURACION PRINCIPAL</v>
      </c>
      <c r="F17981" s="5"/>
      <c r="G17981" s="5"/>
    </row>
    <row r="17982" spans="1:7" ht="58.5" customHeight="1" x14ac:dyDescent="0.25">
      <c r="A17982" s="5" t="str">
        <f>"H0037614"</f>
        <v>H0037614</v>
      </c>
      <c r="B17982" s="5" t="str">
        <f t="shared" si="923"/>
        <v>COMPUTADOR TODO EN UNO</v>
      </c>
      <c r="C17982" s="6">
        <v>7497000</v>
      </c>
      <c r="D17982" s="5" t="s">
        <v>636</v>
      </c>
      <c r="E17982" s="5" t="str">
        <f t="shared" si="919"/>
        <v>ACTISALUD- FACTURACION PRINCIPAL</v>
      </c>
      <c r="F17982" s="5"/>
      <c r="G17982" s="5"/>
    </row>
    <row r="17983" spans="1:7" ht="58.5" customHeight="1" x14ac:dyDescent="0.25">
      <c r="A17983" s="5" t="str">
        <f>"H0037615"</f>
        <v>H0037615</v>
      </c>
      <c r="B17983" s="5" t="str">
        <f t="shared" si="923"/>
        <v>COMPUTADOR TODO EN UNO</v>
      </c>
      <c r="C17983" s="6">
        <v>7497000</v>
      </c>
      <c r="D17983" s="5" t="s">
        <v>636</v>
      </c>
      <c r="E17983" s="5" t="str">
        <f t="shared" si="919"/>
        <v>ACTISALUD- FACTURACION PRINCIPAL</v>
      </c>
      <c r="F17983" s="5"/>
      <c r="G17983" s="5"/>
    </row>
    <row r="17984" spans="1:7" ht="58.5" customHeight="1" x14ac:dyDescent="0.25">
      <c r="A17984" s="5" t="str">
        <f>"H0037616"</f>
        <v>H0037616</v>
      </c>
      <c r="B17984" s="5" t="str">
        <f t="shared" si="923"/>
        <v>COMPUTADOR TODO EN UNO</v>
      </c>
      <c r="C17984" s="6">
        <v>7497000</v>
      </c>
      <c r="D17984" s="5" t="s">
        <v>636</v>
      </c>
      <c r="E17984" s="5" t="str">
        <f t="shared" si="919"/>
        <v>ACTISALUD- FACTURACION PRINCIPAL</v>
      </c>
      <c r="F17984" s="5"/>
      <c r="G17984" s="5"/>
    </row>
    <row r="17985" spans="1:7" ht="58.5" customHeight="1" x14ac:dyDescent="0.25">
      <c r="A17985" s="5" t="str">
        <f>"H0037617"</f>
        <v>H0037617</v>
      </c>
      <c r="B17985" s="5" t="str">
        <f t="shared" si="923"/>
        <v>COMPUTADOR TODO EN UNO</v>
      </c>
      <c r="C17985" s="6">
        <v>7497000</v>
      </c>
      <c r="D17985" s="5" t="s">
        <v>636</v>
      </c>
      <c r="E17985" s="5" t="str">
        <f t="shared" si="919"/>
        <v>ACTISALUD- FACTURACION PRINCIPAL</v>
      </c>
      <c r="F17985" s="5"/>
      <c r="G17985" s="5"/>
    </row>
    <row r="17986" spans="1:7" ht="58.5" customHeight="1" x14ac:dyDescent="0.25">
      <c r="A17986" s="5" t="str">
        <f>"H0037618"</f>
        <v>H0037618</v>
      </c>
      <c r="B17986" s="5" t="str">
        <f t="shared" si="923"/>
        <v>COMPUTADOR TODO EN UNO</v>
      </c>
      <c r="C17986" s="6">
        <v>7497000</v>
      </c>
      <c r="D17986" s="5" t="s">
        <v>636</v>
      </c>
      <c r="E17986" s="5" t="str">
        <f t="shared" si="919"/>
        <v>ACTISALUD- FACTURACION PRINCIPAL</v>
      </c>
      <c r="F17986" s="5"/>
      <c r="G17986" s="5"/>
    </row>
    <row r="17987" spans="1:7" ht="58.5" customHeight="1" x14ac:dyDescent="0.25">
      <c r="A17987" s="5" t="str">
        <f>"H0037619"</f>
        <v>H0037619</v>
      </c>
      <c r="B17987" s="5" t="str">
        <f t="shared" si="923"/>
        <v>COMPUTADOR TODO EN UNO</v>
      </c>
      <c r="C17987" s="6">
        <v>7497000</v>
      </c>
      <c r="D17987" s="5" t="s">
        <v>636</v>
      </c>
      <c r="E17987" s="5" t="str">
        <f t="shared" si="919"/>
        <v>ACTISALUD- FACTURACION PRINCIPAL</v>
      </c>
      <c r="F17987" s="5"/>
      <c r="G17987" s="5"/>
    </row>
    <row r="17988" spans="1:7" ht="58.5" customHeight="1" x14ac:dyDescent="0.25">
      <c r="A17988" s="5" t="str">
        <f>"H0037620"</f>
        <v>H0037620</v>
      </c>
      <c r="B17988" s="5" t="str">
        <f t="shared" si="923"/>
        <v>COMPUTADOR TODO EN UNO</v>
      </c>
      <c r="C17988" s="6">
        <v>7497000</v>
      </c>
      <c r="D17988" s="5" t="s">
        <v>636</v>
      </c>
      <c r="E17988" s="5" t="str">
        <f t="shared" si="919"/>
        <v>ACTISALUD- FACTURACION PRINCIPAL</v>
      </c>
      <c r="F17988" s="5"/>
      <c r="G17988" s="5"/>
    </row>
    <row r="17989" spans="1:7" ht="58.5" customHeight="1" x14ac:dyDescent="0.25">
      <c r="A17989" s="5" t="str">
        <f>"H0037621"</f>
        <v>H0037621</v>
      </c>
      <c r="B17989" s="5" t="str">
        <f t="shared" si="923"/>
        <v>COMPUTADOR TODO EN UNO</v>
      </c>
      <c r="C17989" s="6">
        <v>7497000</v>
      </c>
      <c r="D17989" s="5" t="s">
        <v>636</v>
      </c>
      <c r="E17989" s="5" t="str">
        <f t="shared" si="919"/>
        <v>ACTISALUD- FACTURACION PRINCIPAL</v>
      </c>
      <c r="F17989" s="5"/>
      <c r="G17989" s="5"/>
    </row>
    <row r="17990" spans="1:7" ht="58.5" customHeight="1" x14ac:dyDescent="0.25">
      <c r="A17990" s="5" t="str">
        <f>"H0037622"</f>
        <v>H0037622</v>
      </c>
      <c r="B17990" s="5" t="str">
        <f t="shared" ref="B17990:B17995" si="924">"SCANNER EPSON MODELO DS-70000 ESCANER CAMAPLANA CON ADF A3"</f>
        <v>SCANNER EPSON MODELO DS-70000 ESCANER CAMAPLANA CON ADF A3</v>
      </c>
      <c r="C17990" s="6">
        <v>39865000</v>
      </c>
      <c r="D17990" s="5" t="s">
        <v>636</v>
      </c>
      <c r="E17990" s="5" t="str">
        <f t="shared" si="919"/>
        <v>ACTISALUD- FACTURACION PRINCIPAL</v>
      </c>
      <c r="F17990" s="5"/>
      <c r="G17990" s="5"/>
    </row>
    <row r="17991" spans="1:7" ht="58.5" customHeight="1" x14ac:dyDescent="0.25">
      <c r="A17991" s="5" t="str">
        <f>"H0037623"</f>
        <v>H0037623</v>
      </c>
      <c r="B17991" s="5" t="str">
        <f t="shared" si="924"/>
        <v>SCANNER EPSON MODELO DS-70000 ESCANER CAMAPLANA CON ADF A3</v>
      </c>
      <c r="C17991" s="6">
        <v>39865000</v>
      </c>
      <c r="D17991" s="5" t="s">
        <v>636</v>
      </c>
      <c r="E17991" s="5" t="str">
        <f t="shared" si="919"/>
        <v>ACTISALUD- FACTURACION PRINCIPAL</v>
      </c>
      <c r="F17991" s="5"/>
      <c r="G17991" s="5"/>
    </row>
    <row r="17992" spans="1:7" ht="58.5" customHeight="1" x14ac:dyDescent="0.25">
      <c r="A17992" s="5" t="str">
        <f>"H0037624"</f>
        <v>H0037624</v>
      </c>
      <c r="B17992" s="5" t="str">
        <f t="shared" si="924"/>
        <v>SCANNER EPSON MODELO DS-70000 ESCANER CAMAPLANA CON ADF A3</v>
      </c>
      <c r="C17992" s="6">
        <v>39865000</v>
      </c>
      <c r="D17992" s="5" t="s">
        <v>636</v>
      </c>
      <c r="E17992" s="5" t="str">
        <f t="shared" ref="E17992:E18034" si="925">"ACTISALUD- FACTURACION PRINCIPAL"</f>
        <v>ACTISALUD- FACTURACION PRINCIPAL</v>
      </c>
      <c r="F17992" s="5"/>
      <c r="G17992" s="5"/>
    </row>
    <row r="17993" spans="1:7" ht="58.5" customHeight="1" x14ac:dyDescent="0.25">
      <c r="A17993" s="5" t="str">
        <f>"H0037625"</f>
        <v>H0037625</v>
      </c>
      <c r="B17993" s="5" t="str">
        <f t="shared" si="924"/>
        <v>SCANNER EPSON MODELO DS-70000 ESCANER CAMAPLANA CON ADF A3</v>
      </c>
      <c r="C17993" s="6">
        <v>39865000</v>
      </c>
      <c r="D17993" s="5" t="s">
        <v>636</v>
      </c>
      <c r="E17993" s="5" t="str">
        <f t="shared" si="925"/>
        <v>ACTISALUD- FACTURACION PRINCIPAL</v>
      </c>
      <c r="F17993" s="5"/>
      <c r="G17993" s="5"/>
    </row>
    <row r="17994" spans="1:7" ht="58.5" customHeight="1" x14ac:dyDescent="0.25">
      <c r="A17994" s="5" t="str">
        <f>"H0037626"</f>
        <v>H0037626</v>
      </c>
      <c r="B17994" s="5" t="str">
        <f t="shared" si="924"/>
        <v>SCANNER EPSON MODELO DS-70000 ESCANER CAMAPLANA CON ADF A3</v>
      </c>
      <c r="C17994" s="6">
        <v>39865000</v>
      </c>
      <c r="D17994" s="5" t="s">
        <v>636</v>
      </c>
      <c r="E17994" s="5" t="str">
        <f t="shared" si="925"/>
        <v>ACTISALUD- FACTURACION PRINCIPAL</v>
      </c>
      <c r="F17994" s="5"/>
      <c r="G17994" s="5"/>
    </row>
    <row r="17995" spans="1:7" ht="58.5" customHeight="1" x14ac:dyDescent="0.25">
      <c r="A17995" s="5" t="str">
        <f>"H0037627"</f>
        <v>H0037627</v>
      </c>
      <c r="B17995" s="5" t="str">
        <f t="shared" si="924"/>
        <v>SCANNER EPSON MODELO DS-70000 ESCANER CAMAPLANA CON ADF A3</v>
      </c>
      <c r="C17995" s="6">
        <v>39865000</v>
      </c>
      <c r="D17995" s="5" t="s">
        <v>636</v>
      </c>
      <c r="E17995" s="5" t="str">
        <f t="shared" si="925"/>
        <v>ACTISALUD- FACTURACION PRINCIPAL</v>
      </c>
      <c r="F17995" s="5"/>
      <c r="G17995" s="5"/>
    </row>
    <row r="17996" spans="1:7" ht="58.5" customHeight="1" x14ac:dyDescent="0.25">
      <c r="A17996" s="5" t="str">
        <f>"H0037714"</f>
        <v>H0037714</v>
      </c>
      <c r="B17996" s="5" t="str">
        <f t="shared" ref="B17996:B18024" si="926">"SILLA GERENTE NIZA MEC. BASCULANTE CON BRAZOS."</f>
        <v>SILLA GERENTE NIZA MEC. BASCULANTE CON BRAZOS.</v>
      </c>
      <c r="C17996" s="6">
        <v>710000.01</v>
      </c>
      <c r="D17996" s="5" t="s">
        <v>30</v>
      </c>
      <c r="E17996" s="5" t="str">
        <f t="shared" si="925"/>
        <v>ACTISALUD- FACTURACION PRINCIPAL</v>
      </c>
      <c r="F17996" s="5"/>
      <c r="G17996" s="5"/>
    </row>
    <row r="17997" spans="1:7" ht="58.5" customHeight="1" x14ac:dyDescent="0.25">
      <c r="A17997" s="5" t="str">
        <f>"H0037715"</f>
        <v>H0037715</v>
      </c>
      <c r="B17997" s="5" t="str">
        <f t="shared" si="926"/>
        <v>SILLA GERENTE NIZA MEC. BASCULANTE CON BRAZOS.</v>
      </c>
      <c r="C17997" s="6">
        <v>710000.01</v>
      </c>
      <c r="D17997" s="5" t="s">
        <v>30</v>
      </c>
      <c r="E17997" s="5" t="str">
        <f t="shared" si="925"/>
        <v>ACTISALUD- FACTURACION PRINCIPAL</v>
      </c>
      <c r="F17997" s="5"/>
      <c r="G17997" s="5"/>
    </row>
    <row r="17998" spans="1:7" ht="58.5" customHeight="1" x14ac:dyDescent="0.25">
      <c r="A17998" s="5" t="str">
        <f>"H0037729"</f>
        <v>H0037729</v>
      </c>
      <c r="B17998" s="5" t="str">
        <f t="shared" si="926"/>
        <v>SILLA GERENTE NIZA MEC. BASCULANTE CON BRAZOS.</v>
      </c>
      <c r="C17998" s="6">
        <v>710000.01</v>
      </c>
      <c r="D17998" s="5" t="s">
        <v>30</v>
      </c>
      <c r="E17998" s="5" t="str">
        <f t="shared" si="925"/>
        <v>ACTISALUD- FACTURACION PRINCIPAL</v>
      </c>
      <c r="F17998" s="5"/>
      <c r="G17998" s="5"/>
    </row>
    <row r="17999" spans="1:7" ht="58.5" customHeight="1" x14ac:dyDescent="0.25">
      <c r="A17999" s="5" t="str">
        <f>"H0037730"</f>
        <v>H0037730</v>
      </c>
      <c r="B17999" s="5" t="str">
        <f t="shared" si="926"/>
        <v>SILLA GERENTE NIZA MEC. BASCULANTE CON BRAZOS.</v>
      </c>
      <c r="C17999" s="6">
        <v>710000.01</v>
      </c>
      <c r="D17999" s="5" t="s">
        <v>30</v>
      </c>
      <c r="E17999" s="5" t="str">
        <f t="shared" si="925"/>
        <v>ACTISALUD- FACTURACION PRINCIPAL</v>
      </c>
      <c r="F17999" s="5"/>
      <c r="G17999" s="5"/>
    </row>
    <row r="18000" spans="1:7" ht="58.5" customHeight="1" x14ac:dyDescent="0.25">
      <c r="A18000" s="5" t="str">
        <f>"H0037840"</f>
        <v>H0037840</v>
      </c>
      <c r="B18000" s="5" t="str">
        <f t="shared" si="926"/>
        <v>SILLA GERENTE NIZA MEC. BASCULANTE CON BRAZOS.</v>
      </c>
      <c r="C18000" s="6">
        <v>710000.01</v>
      </c>
      <c r="D18000" s="5" t="s">
        <v>30</v>
      </c>
      <c r="E18000" s="5" t="str">
        <f t="shared" si="925"/>
        <v>ACTISALUD- FACTURACION PRINCIPAL</v>
      </c>
      <c r="F18000" s="5"/>
      <c r="G18000" s="5"/>
    </row>
    <row r="18001" spans="1:7" ht="58.5" customHeight="1" x14ac:dyDescent="0.25">
      <c r="A18001" s="5" t="str">
        <f>"H0037841"</f>
        <v>H0037841</v>
      </c>
      <c r="B18001" s="5" t="str">
        <f t="shared" si="926"/>
        <v>SILLA GERENTE NIZA MEC. BASCULANTE CON BRAZOS.</v>
      </c>
      <c r="C18001" s="6">
        <v>710000.01</v>
      </c>
      <c r="D18001" s="5" t="s">
        <v>30</v>
      </c>
      <c r="E18001" s="5" t="str">
        <f t="shared" si="925"/>
        <v>ACTISALUD- FACTURACION PRINCIPAL</v>
      </c>
      <c r="F18001" s="5"/>
      <c r="G18001" s="5"/>
    </row>
    <row r="18002" spans="1:7" ht="58.5" customHeight="1" x14ac:dyDescent="0.25">
      <c r="A18002" s="5" t="str">
        <f>"H0037904"</f>
        <v>H0037904</v>
      </c>
      <c r="B18002" s="5" t="str">
        <f t="shared" si="926"/>
        <v>SILLA GERENTE NIZA MEC. BASCULANTE CON BRAZOS.</v>
      </c>
      <c r="C18002" s="6">
        <v>710000.01</v>
      </c>
      <c r="D18002" s="5" t="s">
        <v>30</v>
      </c>
      <c r="E18002" s="5" t="str">
        <f t="shared" si="925"/>
        <v>ACTISALUD- FACTURACION PRINCIPAL</v>
      </c>
      <c r="F18002" s="5"/>
      <c r="G18002" s="5"/>
    </row>
    <row r="18003" spans="1:7" ht="58.5" customHeight="1" x14ac:dyDescent="0.25">
      <c r="A18003" s="5" t="str">
        <f>"H0037905"</f>
        <v>H0037905</v>
      </c>
      <c r="B18003" s="5" t="str">
        <f t="shared" si="926"/>
        <v>SILLA GERENTE NIZA MEC. BASCULANTE CON BRAZOS.</v>
      </c>
      <c r="C18003" s="6">
        <v>710000.01</v>
      </c>
      <c r="D18003" s="5" t="s">
        <v>30</v>
      </c>
      <c r="E18003" s="5" t="str">
        <f t="shared" si="925"/>
        <v>ACTISALUD- FACTURACION PRINCIPAL</v>
      </c>
      <c r="F18003" s="5"/>
      <c r="G18003" s="5"/>
    </row>
    <row r="18004" spans="1:7" ht="58.5" customHeight="1" x14ac:dyDescent="0.25">
      <c r="A18004" s="5" t="str">
        <f>"H0037906"</f>
        <v>H0037906</v>
      </c>
      <c r="B18004" s="5" t="str">
        <f t="shared" si="926"/>
        <v>SILLA GERENTE NIZA MEC. BASCULANTE CON BRAZOS.</v>
      </c>
      <c r="C18004" s="6">
        <v>710000.01</v>
      </c>
      <c r="D18004" s="5" t="s">
        <v>30</v>
      </c>
      <c r="E18004" s="5" t="str">
        <f t="shared" si="925"/>
        <v>ACTISALUD- FACTURACION PRINCIPAL</v>
      </c>
      <c r="F18004" s="5"/>
      <c r="G18004" s="5"/>
    </row>
    <row r="18005" spans="1:7" ht="58.5" customHeight="1" x14ac:dyDescent="0.25">
      <c r="A18005" s="5" t="str">
        <f>"H0037907"</f>
        <v>H0037907</v>
      </c>
      <c r="B18005" s="5" t="str">
        <f t="shared" si="926"/>
        <v>SILLA GERENTE NIZA MEC. BASCULANTE CON BRAZOS.</v>
      </c>
      <c r="C18005" s="6">
        <v>710000.01</v>
      </c>
      <c r="D18005" s="5" t="s">
        <v>30</v>
      </c>
      <c r="E18005" s="5" t="str">
        <f t="shared" si="925"/>
        <v>ACTISALUD- FACTURACION PRINCIPAL</v>
      </c>
      <c r="F18005" s="5"/>
      <c r="G18005" s="5"/>
    </row>
    <row r="18006" spans="1:7" ht="58.5" customHeight="1" x14ac:dyDescent="0.25">
      <c r="A18006" s="5" t="str">
        <f>"H0037908"</f>
        <v>H0037908</v>
      </c>
      <c r="B18006" s="5" t="str">
        <f t="shared" si="926"/>
        <v>SILLA GERENTE NIZA MEC. BASCULANTE CON BRAZOS.</v>
      </c>
      <c r="C18006" s="6">
        <v>710000.01</v>
      </c>
      <c r="D18006" s="5" t="s">
        <v>30</v>
      </c>
      <c r="E18006" s="5" t="str">
        <f t="shared" si="925"/>
        <v>ACTISALUD- FACTURACION PRINCIPAL</v>
      </c>
      <c r="F18006" s="5"/>
      <c r="G18006" s="5"/>
    </row>
    <row r="18007" spans="1:7" ht="58.5" customHeight="1" x14ac:dyDescent="0.25">
      <c r="A18007" s="5" t="str">
        <f>"H0037909"</f>
        <v>H0037909</v>
      </c>
      <c r="B18007" s="5" t="str">
        <f t="shared" si="926"/>
        <v>SILLA GERENTE NIZA MEC. BASCULANTE CON BRAZOS.</v>
      </c>
      <c r="C18007" s="6">
        <v>710000.01</v>
      </c>
      <c r="D18007" s="5" t="s">
        <v>30</v>
      </c>
      <c r="E18007" s="5" t="str">
        <f t="shared" si="925"/>
        <v>ACTISALUD- FACTURACION PRINCIPAL</v>
      </c>
      <c r="F18007" s="5"/>
      <c r="G18007" s="5"/>
    </row>
    <row r="18008" spans="1:7" ht="58.5" customHeight="1" x14ac:dyDescent="0.25">
      <c r="A18008" s="5" t="str">
        <f>"H0037911"</f>
        <v>H0037911</v>
      </c>
      <c r="B18008" s="5" t="str">
        <f t="shared" si="926"/>
        <v>SILLA GERENTE NIZA MEC. BASCULANTE CON BRAZOS.</v>
      </c>
      <c r="C18008" s="6">
        <v>710000.01</v>
      </c>
      <c r="D18008" s="5" t="s">
        <v>30</v>
      </c>
      <c r="E18008" s="5" t="str">
        <f t="shared" si="925"/>
        <v>ACTISALUD- FACTURACION PRINCIPAL</v>
      </c>
      <c r="F18008" s="5"/>
      <c r="G18008" s="5"/>
    </row>
    <row r="18009" spans="1:7" ht="58.5" customHeight="1" x14ac:dyDescent="0.25">
      <c r="A18009" s="5" t="str">
        <f>"H0037912"</f>
        <v>H0037912</v>
      </c>
      <c r="B18009" s="5" t="str">
        <f t="shared" si="926"/>
        <v>SILLA GERENTE NIZA MEC. BASCULANTE CON BRAZOS.</v>
      </c>
      <c r="C18009" s="6">
        <v>710000.01</v>
      </c>
      <c r="D18009" s="5" t="s">
        <v>30</v>
      </c>
      <c r="E18009" s="5" t="str">
        <f t="shared" si="925"/>
        <v>ACTISALUD- FACTURACION PRINCIPAL</v>
      </c>
      <c r="F18009" s="5"/>
      <c r="G18009" s="5"/>
    </row>
    <row r="18010" spans="1:7" ht="58.5" customHeight="1" x14ac:dyDescent="0.25">
      <c r="A18010" s="5" t="str">
        <f>"H0037918"</f>
        <v>H0037918</v>
      </c>
      <c r="B18010" s="5" t="str">
        <f t="shared" si="926"/>
        <v>SILLA GERENTE NIZA MEC. BASCULANTE CON BRAZOS.</v>
      </c>
      <c r="C18010" s="6">
        <v>710000.01</v>
      </c>
      <c r="D18010" s="5" t="s">
        <v>30</v>
      </c>
      <c r="E18010" s="5" t="str">
        <f t="shared" si="925"/>
        <v>ACTISALUD- FACTURACION PRINCIPAL</v>
      </c>
      <c r="F18010" s="5"/>
      <c r="G18010" s="5"/>
    </row>
    <row r="18011" spans="1:7" ht="58.5" customHeight="1" x14ac:dyDescent="0.25">
      <c r="A18011" s="5" t="str">
        <f>"H0037919"</f>
        <v>H0037919</v>
      </c>
      <c r="B18011" s="5" t="str">
        <f t="shared" si="926"/>
        <v>SILLA GERENTE NIZA MEC. BASCULANTE CON BRAZOS.</v>
      </c>
      <c r="C18011" s="6">
        <v>710000.01</v>
      </c>
      <c r="D18011" s="5" t="s">
        <v>30</v>
      </c>
      <c r="E18011" s="5" t="str">
        <f t="shared" si="925"/>
        <v>ACTISALUD- FACTURACION PRINCIPAL</v>
      </c>
      <c r="F18011" s="5"/>
      <c r="G18011" s="5"/>
    </row>
    <row r="18012" spans="1:7" ht="58.5" customHeight="1" x14ac:dyDescent="0.25">
      <c r="A18012" s="5" t="str">
        <f>"H0037920"</f>
        <v>H0037920</v>
      </c>
      <c r="B18012" s="5" t="str">
        <f t="shared" si="926"/>
        <v>SILLA GERENTE NIZA MEC. BASCULANTE CON BRAZOS.</v>
      </c>
      <c r="C18012" s="6">
        <v>710000.01</v>
      </c>
      <c r="D18012" s="5" t="s">
        <v>30</v>
      </c>
      <c r="E18012" s="5" t="str">
        <f t="shared" si="925"/>
        <v>ACTISALUD- FACTURACION PRINCIPAL</v>
      </c>
      <c r="F18012" s="5"/>
      <c r="G18012" s="5"/>
    </row>
    <row r="18013" spans="1:7" ht="58.5" customHeight="1" x14ac:dyDescent="0.25">
      <c r="A18013" s="5" t="str">
        <f>"H0037950"</f>
        <v>H0037950</v>
      </c>
      <c r="B18013" s="5" t="str">
        <f t="shared" si="926"/>
        <v>SILLA GERENTE NIZA MEC. BASCULANTE CON BRAZOS.</v>
      </c>
      <c r="C18013" s="6">
        <v>710000.01</v>
      </c>
      <c r="D18013" s="5" t="s">
        <v>30</v>
      </c>
      <c r="E18013" s="5" t="str">
        <f t="shared" si="925"/>
        <v>ACTISALUD- FACTURACION PRINCIPAL</v>
      </c>
      <c r="F18013" s="5"/>
      <c r="G18013" s="5"/>
    </row>
    <row r="18014" spans="1:7" ht="58.5" customHeight="1" x14ac:dyDescent="0.25">
      <c r="A18014" s="5" t="str">
        <f>"H0037951"</f>
        <v>H0037951</v>
      </c>
      <c r="B18014" s="5" t="str">
        <f t="shared" si="926"/>
        <v>SILLA GERENTE NIZA MEC. BASCULANTE CON BRAZOS.</v>
      </c>
      <c r="C18014" s="6">
        <v>710000.01</v>
      </c>
      <c r="D18014" s="5" t="s">
        <v>30</v>
      </c>
      <c r="E18014" s="5" t="str">
        <f t="shared" si="925"/>
        <v>ACTISALUD- FACTURACION PRINCIPAL</v>
      </c>
      <c r="F18014" s="5"/>
      <c r="G18014" s="5"/>
    </row>
    <row r="18015" spans="1:7" ht="58.5" customHeight="1" x14ac:dyDescent="0.25">
      <c r="A18015" s="5" t="str">
        <f>"H0037952"</f>
        <v>H0037952</v>
      </c>
      <c r="B18015" s="5" t="str">
        <f t="shared" si="926"/>
        <v>SILLA GERENTE NIZA MEC. BASCULANTE CON BRAZOS.</v>
      </c>
      <c r="C18015" s="6">
        <v>710000.01</v>
      </c>
      <c r="D18015" s="5" t="s">
        <v>30</v>
      </c>
      <c r="E18015" s="5" t="str">
        <f t="shared" si="925"/>
        <v>ACTISALUD- FACTURACION PRINCIPAL</v>
      </c>
      <c r="F18015" s="5"/>
      <c r="G18015" s="5"/>
    </row>
    <row r="18016" spans="1:7" ht="58.5" customHeight="1" x14ac:dyDescent="0.25">
      <c r="A18016" s="5" t="str">
        <f>"H0037953"</f>
        <v>H0037953</v>
      </c>
      <c r="B18016" s="5" t="str">
        <f t="shared" si="926"/>
        <v>SILLA GERENTE NIZA MEC. BASCULANTE CON BRAZOS.</v>
      </c>
      <c r="C18016" s="6">
        <v>710000.01</v>
      </c>
      <c r="D18016" s="5" t="s">
        <v>30</v>
      </c>
      <c r="E18016" s="5" t="str">
        <f t="shared" si="925"/>
        <v>ACTISALUD- FACTURACION PRINCIPAL</v>
      </c>
      <c r="F18016" s="5"/>
      <c r="G18016" s="5"/>
    </row>
    <row r="18017" spans="1:7" ht="58.5" customHeight="1" x14ac:dyDescent="0.25">
      <c r="A18017" s="5" t="str">
        <f>"H0037954"</f>
        <v>H0037954</v>
      </c>
      <c r="B18017" s="5" t="str">
        <f t="shared" si="926"/>
        <v>SILLA GERENTE NIZA MEC. BASCULANTE CON BRAZOS.</v>
      </c>
      <c r="C18017" s="6">
        <v>710000.01</v>
      </c>
      <c r="D18017" s="5" t="s">
        <v>30</v>
      </c>
      <c r="E18017" s="5" t="str">
        <f t="shared" si="925"/>
        <v>ACTISALUD- FACTURACION PRINCIPAL</v>
      </c>
      <c r="F18017" s="5"/>
      <c r="G18017" s="5"/>
    </row>
    <row r="18018" spans="1:7" ht="58.5" customHeight="1" x14ac:dyDescent="0.25">
      <c r="A18018" s="5" t="str">
        <f>"H0037955"</f>
        <v>H0037955</v>
      </c>
      <c r="B18018" s="5" t="str">
        <f t="shared" si="926"/>
        <v>SILLA GERENTE NIZA MEC. BASCULANTE CON BRAZOS.</v>
      </c>
      <c r="C18018" s="6">
        <v>710000.01</v>
      </c>
      <c r="D18018" s="5" t="s">
        <v>30</v>
      </c>
      <c r="E18018" s="5" t="str">
        <f t="shared" si="925"/>
        <v>ACTISALUD- FACTURACION PRINCIPAL</v>
      </c>
      <c r="F18018" s="5"/>
      <c r="G18018" s="5"/>
    </row>
    <row r="18019" spans="1:7" ht="58.5" customHeight="1" x14ac:dyDescent="0.25">
      <c r="A18019" s="5" t="str">
        <f>"H0037956"</f>
        <v>H0037956</v>
      </c>
      <c r="B18019" s="5" t="str">
        <f t="shared" si="926"/>
        <v>SILLA GERENTE NIZA MEC. BASCULANTE CON BRAZOS.</v>
      </c>
      <c r="C18019" s="6">
        <v>710000.01</v>
      </c>
      <c r="D18019" s="5" t="s">
        <v>30</v>
      </c>
      <c r="E18019" s="5" t="str">
        <f t="shared" si="925"/>
        <v>ACTISALUD- FACTURACION PRINCIPAL</v>
      </c>
      <c r="F18019" s="5"/>
      <c r="G18019" s="5"/>
    </row>
    <row r="18020" spans="1:7" ht="58.5" customHeight="1" x14ac:dyDescent="0.25">
      <c r="A18020" s="5" t="str">
        <f>"H0037957"</f>
        <v>H0037957</v>
      </c>
      <c r="B18020" s="5" t="str">
        <f t="shared" si="926"/>
        <v>SILLA GERENTE NIZA MEC. BASCULANTE CON BRAZOS.</v>
      </c>
      <c r="C18020" s="6">
        <v>710000.01</v>
      </c>
      <c r="D18020" s="5" t="s">
        <v>30</v>
      </c>
      <c r="E18020" s="5" t="str">
        <f t="shared" si="925"/>
        <v>ACTISALUD- FACTURACION PRINCIPAL</v>
      </c>
      <c r="F18020" s="5"/>
      <c r="G18020" s="5"/>
    </row>
    <row r="18021" spans="1:7" ht="58.5" customHeight="1" x14ac:dyDescent="0.25">
      <c r="A18021" s="5" t="str">
        <f>"H0037958"</f>
        <v>H0037958</v>
      </c>
      <c r="B18021" s="5" t="str">
        <f t="shared" si="926"/>
        <v>SILLA GERENTE NIZA MEC. BASCULANTE CON BRAZOS.</v>
      </c>
      <c r="C18021" s="6">
        <v>710000.01</v>
      </c>
      <c r="D18021" s="5" t="s">
        <v>30</v>
      </c>
      <c r="E18021" s="5" t="str">
        <f t="shared" si="925"/>
        <v>ACTISALUD- FACTURACION PRINCIPAL</v>
      </c>
      <c r="F18021" s="5"/>
      <c r="G18021" s="5"/>
    </row>
    <row r="18022" spans="1:7" ht="58.5" customHeight="1" x14ac:dyDescent="0.25">
      <c r="A18022" s="5" t="str">
        <f>"H0037959"</f>
        <v>H0037959</v>
      </c>
      <c r="B18022" s="5" t="str">
        <f t="shared" si="926"/>
        <v>SILLA GERENTE NIZA MEC. BASCULANTE CON BRAZOS.</v>
      </c>
      <c r="C18022" s="6">
        <v>710000.01</v>
      </c>
      <c r="D18022" s="5" t="s">
        <v>30</v>
      </c>
      <c r="E18022" s="5" t="str">
        <f t="shared" si="925"/>
        <v>ACTISALUD- FACTURACION PRINCIPAL</v>
      </c>
      <c r="F18022" s="5"/>
      <c r="G18022" s="5"/>
    </row>
    <row r="18023" spans="1:7" ht="58.5" customHeight="1" x14ac:dyDescent="0.25">
      <c r="A18023" s="5" t="str">
        <f>"H0037960"</f>
        <v>H0037960</v>
      </c>
      <c r="B18023" s="5" t="str">
        <f t="shared" si="926"/>
        <v>SILLA GERENTE NIZA MEC. BASCULANTE CON BRAZOS.</v>
      </c>
      <c r="C18023" s="6">
        <v>710000.01</v>
      </c>
      <c r="D18023" s="5" t="s">
        <v>30</v>
      </c>
      <c r="E18023" s="5" t="str">
        <f t="shared" si="925"/>
        <v>ACTISALUD- FACTURACION PRINCIPAL</v>
      </c>
      <c r="F18023" s="5"/>
      <c r="G18023" s="5"/>
    </row>
    <row r="18024" spans="1:7" ht="58.5" customHeight="1" x14ac:dyDescent="0.25">
      <c r="A18024" s="5" t="str">
        <f>"H0037996"</f>
        <v>H0037996</v>
      </c>
      <c r="B18024" s="5" t="str">
        <f t="shared" si="926"/>
        <v>SILLA GERENTE NIZA MEC. BASCULANTE CON BRAZOS.</v>
      </c>
      <c r="C18024" s="6">
        <v>710000.01</v>
      </c>
      <c r="D18024" s="5" t="s">
        <v>30</v>
      </c>
      <c r="E18024" s="5" t="str">
        <f t="shared" si="925"/>
        <v>ACTISALUD- FACTURACION PRINCIPAL</v>
      </c>
      <c r="F18024" s="5"/>
      <c r="G18024" s="5"/>
    </row>
    <row r="18025" spans="1:7" ht="58.5" customHeight="1" x14ac:dyDescent="0.25">
      <c r="A18025" s="5" t="str">
        <f>"H0038115"</f>
        <v>H0038115</v>
      </c>
      <c r="B18025" s="5" t="str">
        <f t="shared" ref="B18025:B18034" si="927">"COMPUTADOR TODO EN UNO"</f>
        <v>COMPUTADOR TODO EN UNO</v>
      </c>
      <c r="C18025" s="6">
        <v>7497000</v>
      </c>
      <c r="D18025" s="5" t="s">
        <v>31</v>
      </c>
      <c r="E18025" s="5" t="str">
        <f t="shared" si="925"/>
        <v>ACTISALUD- FACTURACION PRINCIPAL</v>
      </c>
      <c r="F18025" s="5"/>
      <c r="G18025" s="5"/>
    </row>
    <row r="18026" spans="1:7" ht="58.5" customHeight="1" x14ac:dyDescent="0.25">
      <c r="A18026" s="5" t="str">
        <f>"H0038116"</f>
        <v>H0038116</v>
      </c>
      <c r="B18026" s="5" t="str">
        <f t="shared" si="927"/>
        <v>COMPUTADOR TODO EN UNO</v>
      </c>
      <c r="C18026" s="6">
        <v>7497000</v>
      </c>
      <c r="D18026" s="5" t="s">
        <v>31</v>
      </c>
      <c r="E18026" s="5" t="str">
        <f t="shared" si="925"/>
        <v>ACTISALUD- FACTURACION PRINCIPAL</v>
      </c>
      <c r="F18026" s="5"/>
      <c r="G18026" s="5"/>
    </row>
    <row r="18027" spans="1:7" ht="58.5" customHeight="1" x14ac:dyDescent="0.25">
      <c r="A18027" s="5" t="str">
        <f>"H0038117"</f>
        <v>H0038117</v>
      </c>
      <c r="B18027" s="5" t="str">
        <f t="shared" si="927"/>
        <v>COMPUTADOR TODO EN UNO</v>
      </c>
      <c r="C18027" s="6">
        <v>7497000</v>
      </c>
      <c r="D18027" s="5" t="s">
        <v>31</v>
      </c>
      <c r="E18027" s="5" t="str">
        <f t="shared" si="925"/>
        <v>ACTISALUD- FACTURACION PRINCIPAL</v>
      </c>
      <c r="F18027" s="5"/>
      <c r="G18027" s="5"/>
    </row>
    <row r="18028" spans="1:7" ht="58.5" customHeight="1" x14ac:dyDescent="0.25">
      <c r="A18028" s="5" t="str">
        <f>"H0038119"</f>
        <v>H0038119</v>
      </c>
      <c r="B18028" s="5" t="str">
        <f t="shared" si="927"/>
        <v>COMPUTADOR TODO EN UNO</v>
      </c>
      <c r="C18028" s="6">
        <v>7497000</v>
      </c>
      <c r="D18028" s="5" t="s">
        <v>31</v>
      </c>
      <c r="E18028" s="5" t="str">
        <f t="shared" si="925"/>
        <v>ACTISALUD- FACTURACION PRINCIPAL</v>
      </c>
      <c r="F18028" s="5"/>
      <c r="G18028" s="5"/>
    </row>
    <row r="18029" spans="1:7" ht="58.5" customHeight="1" x14ac:dyDescent="0.25">
      <c r="A18029" s="5" t="str">
        <f>"H0038126"</f>
        <v>H0038126</v>
      </c>
      <c r="B18029" s="5" t="str">
        <f t="shared" si="927"/>
        <v>COMPUTADOR TODO EN UNO</v>
      </c>
      <c r="C18029" s="6">
        <v>7497000</v>
      </c>
      <c r="D18029" s="5" t="s">
        <v>31</v>
      </c>
      <c r="E18029" s="5" t="str">
        <f t="shared" si="925"/>
        <v>ACTISALUD- FACTURACION PRINCIPAL</v>
      </c>
      <c r="F18029" s="5"/>
      <c r="G18029" s="5"/>
    </row>
    <row r="18030" spans="1:7" ht="58.5" customHeight="1" x14ac:dyDescent="0.25">
      <c r="A18030" s="5" t="str">
        <f>"H0038129"</f>
        <v>H0038129</v>
      </c>
      <c r="B18030" s="5" t="str">
        <f t="shared" si="927"/>
        <v>COMPUTADOR TODO EN UNO</v>
      </c>
      <c r="C18030" s="6">
        <v>7497000</v>
      </c>
      <c r="D18030" s="5" t="s">
        <v>31</v>
      </c>
      <c r="E18030" s="5" t="str">
        <f t="shared" si="925"/>
        <v>ACTISALUD- FACTURACION PRINCIPAL</v>
      </c>
      <c r="F18030" s="5"/>
      <c r="G18030" s="5"/>
    </row>
    <row r="18031" spans="1:7" ht="58.5" customHeight="1" x14ac:dyDescent="0.25">
      <c r="A18031" s="5" t="str">
        <f>"H0038134"</f>
        <v>H0038134</v>
      </c>
      <c r="B18031" s="5" t="str">
        <f t="shared" si="927"/>
        <v>COMPUTADOR TODO EN UNO</v>
      </c>
      <c r="C18031" s="6">
        <v>7497000</v>
      </c>
      <c r="D18031" s="5" t="s">
        <v>31</v>
      </c>
      <c r="E18031" s="5" t="str">
        <f t="shared" si="925"/>
        <v>ACTISALUD- FACTURACION PRINCIPAL</v>
      </c>
      <c r="F18031" s="5"/>
      <c r="G18031" s="5"/>
    </row>
    <row r="18032" spans="1:7" ht="58.5" customHeight="1" x14ac:dyDescent="0.25">
      <c r="A18032" s="5" t="str">
        <f>"H0038135"</f>
        <v>H0038135</v>
      </c>
      <c r="B18032" s="5" t="str">
        <f t="shared" si="927"/>
        <v>COMPUTADOR TODO EN UNO</v>
      </c>
      <c r="C18032" s="6">
        <v>7497000</v>
      </c>
      <c r="D18032" s="5" t="s">
        <v>31</v>
      </c>
      <c r="E18032" s="5" t="str">
        <f t="shared" si="925"/>
        <v>ACTISALUD- FACTURACION PRINCIPAL</v>
      </c>
      <c r="F18032" s="5"/>
      <c r="G18032" s="5"/>
    </row>
    <row r="18033" spans="1:7" ht="58.5" customHeight="1" x14ac:dyDescent="0.25">
      <c r="A18033" s="5" t="str">
        <f>"H0038137"</f>
        <v>H0038137</v>
      </c>
      <c r="B18033" s="5" t="str">
        <f t="shared" si="927"/>
        <v>COMPUTADOR TODO EN UNO</v>
      </c>
      <c r="C18033" s="6">
        <v>7497000</v>
      </c>
      <c r="D18033" s="5" t="s">
        <v>31</v>
      </c>
      <c r="E18033" s="5" t="str">
        <f t="shared" si="925"/>
        <v>ACTISALUD- FACTURACION PRINCIPAL</v>
      </c>
      <c r="F18033" s="5"/>
      <c r="G18033" s="5"/>
    </row>
    <row r="18034" spans="1:7" ht="58.5" customHeight="1" x14ac:dyDescent="0.25">
      <c r="A18034" s="5" t="str">
        <f>"H0038139"</f>
        <v>H0038139</v>
      </c>
      <c r="B18034" s="5" t="str">
        <f t="shared" si="927"/>
        <v>COMPUTADOR TODO EN UNO</v>
      </c>
      <c r="C18034" s="6">
        <v>7497000</v>
      </c>
      <c r="D18034" s="5" t="s">
        <v>31</v>
      </c>
      <c r="E18034" s="5" t="str">
        <f t="shared" si="925"/>
        <v>ACTISALUD- FACTURACION PRINCIPAL</v>
      </c>
      <c r="F18034" s="5"/>
      <c r="G18034" s="5"/>
    </row>
    <row r="18035" spans="1:7" ht="58.5" customHeight="1" x14ac:dyDescent="0.25">
      <c r="A18035" s="5" t="str">
        <f>"B0004589"</f>
        <v>B0004589</v>
      </c>
      <c r="B18035" s="5" t="str">
        <f>"LICENCIA OFFICE HOME AND BUSINEES"</f>
        <v>LICENCIA OFFICE HOME AND BUSINEES</v>
      </c>
      <c r="C18035" s="6">
        <v>440800</v>
      </c>
      <c r="D18035" s="5" t="s">
        <v>1</v>
      </c>
      <c r="E18035" s="5" t="str">
        <f t="shared" ref="E18035:E18050" si="928">"CONTRATACION Y MERCADEO"</f>
        <v>CONTRATACION Y MERCADEO</v>
      </c>
      <c r="F18035" s="5" t="str">
        <f>"Descripcion:LICENCIA OFFICE HOME AND BUSIMESS 2013 Estado: Bueno Placa anterior: 000030638 Material:  Color:  Referencia:  Observacion:  Placa padre:  Tipo adquisicion : Entidad"</f>
        <v>Descripcion:LICENCIA OFFICE HOME AND BUSIMESS 2013 Estado: Bueno Placa anterior: 000030638 Material:  Color:  Referencia:  Observacion:  Placa padre:  Tipo adquisicion : Entidad</v>
      </c>
      <c r="G18035" s="5"/>
    </row>
    <row r="18036" spans="1:7" ht="58.5" customHeight="1" x14ac:dyDescent="0.25">
      <c r="A18036" s="5" t="str">
        <f>"H0005191"</f>
        <v>H0005191</v>
      </c>
      <c r="B18036" s="5" t="str">
        <f>"MULTIFUNCIONAL DE LASER"</f>
        <v>MULTIFUNCIONAL DE LASER</v>
      </c>
      <c r="C18036" s="6">
        <v>1508000</v>
      </c>
      <c r="D18036" s="5" t="s">
        <v>827</v>
      </c>
      <c r="E18036" s="5" t="str">
        <f t="shared" si="928"/>
        <v>CONTRATACION Y MERCADEO</v>
      </c>
      <c r="F18036" s="5" t="str">
        <f>"Descripcion: IMPRESORA MULTIFUNCIONAL HP Laser Jet M425 DN MUltifuncional B/n 4 en 1 Imprime 33 ppm Negro-256 MB Resolucion 1200 dpi Bandeja de 1 de entrada de 50 hojas Bandeja de salida de 150 hojas copia 22 Serial CNC8DD9BFH Estado: Excelente Placa ante"&amp; "rior: 000030355 Material: PLASTICO Color: NEGRO Referencia: CF286A Observacion:  Placa padre: Tipo adquisicion: Entidad"</f>
        <v>Descripcion: IMPRESORA MULTIFUNCIONAL HP Laser Jet M425 DN MUltifuncional B/n 4 en 1 Imprime 33 ppm Negro-256 MB Resolucion 1200 dpi Bandeja de 1 de entrada de 50 hojas Bandeja de salida de 150 hojas copia 22 Serial CNC8DD9BFH Estado: Excelente Placa anterior: 000030355 Material: PLASTICO Color: NEGRO Referencia: CF286A Observacion:  Placa padre: Tipo adquisicion: Entidad</v>
      </c>
      <c r="G18036" s="5" t="str">
        <f>"HP LASER JET PRO 40"</f>
        <v>HP LASER JET PRO 40</v>
      </c>
    </row>
    <row r="18037" spans="1:7" ht="58.5" customHeight="1" x14ac:dyDescent="0.25">
      <c r="A18037" s="5" t="str">
        <f>"H0013300"</f>
        <v>H0013300</v>
      </c>
      <c r="B18037" s="5" t="str">
        <f>"SILLA ERGONOMICA TIPO GERENTE SIN BRAZOS"</f>
        <v>SILLA ERGONOMICA TIPO GERENTE SIN BRAZOS</v>
      </c>
      <c r="C18037" s="6">
        <v>440800</v>
      </c>
      <c r="D18037" s="5" t="s">
        <v>5</v>
      </c>
      <c r="E18037" s="5" t="str">
        <f t="shared" si="928"/>
        <v>CONTRATACION Y MERCADEO</v>
      </c>
      <c r="F18037" s="5" t="str">
        <f>"Descripcion:SILLA ERGONOMICA TIPO GERENTE SIN BRAZOS Estado: Bueno Placa anterior: 000028667 Material: PLASTICO Color: NEGRO Referencia:  Observacion:  Placa padre:  Tipo adquisicion : Entidad"</f>
        <v>Descripcion:SILLA ERGONOMICA TIPO GERENTE SIN BRAZOS Estado: Bueno Placa anterior: 000028667 Material: PLASTICO Color: NEGRO Referencia:  Observacion:  Placa padre:  Tipo adquisicion : Entidad</v>
      </c>
      <c r="G18037" s="5"/>
    </row>
    <row r="18038" spans="1:7" ht="58.5" customHeight="1" x14ac:dyDescent="0.25">
      <c r="A18038" s="5" t="str">
        <f>"H0016162"</f>
        <v>H0016162</v>
      </c>
      <c r="B18038" s="5" t="str">
        <f>"COMPUTADOR TODO EN UNO"</f>
        <v>COMPUTADOR TODO EN UNO</v>
      </c>
      <c r="C18038" s="6">
        <v>2470000</v>
      </c>
      <c r="D18038" s="5" t="s">
        <v>6</v>
      </c>
      <c r="E18038" s="5" t="str">
        <f t="shared" si="928"/>
        <v>CONTRATACION Y MERCADEO</v>
      </c>
      <c r="F18038" s="5" t="str">
        <f>"Descripcion:COMPUTADOR TODO EN UNO LENOVO MEMORIA RAM 4GB INTEL CORE I5 DISCO DURO DE 464 GB Estado: Bueno Placa anterior: 000037019 Material: PLASTICO Color: NEGRO Referencia: S1H02QRS Observacion:  Placa anterior:, Placa nueva=H0016164, Descripcion:MOUS"&amp; "E USB, Serial:44MG155, Marca:LENOVO, Modelo:, Material:PLASTICO, Color:NEGRO,   Referencia:, Placa anterior:, Placa nueva=H0016163, Descripcion:TECLADO USB, Serial:8258412, Marca:LENOVO, Modelo:KU-0225, Material:PLASTICO, Color:NEGRO,   Referencia: Placa "&amp; "padre:  Tipo adquisicion : Entidad"</f>
        <v>Descripcion:COMPUTADOR TODO EN UNO LENOVO MEMORIA RAM 4GB INTEL CORE I5 DISCO DURO DE 464 GB Estado: Bueno Placa anterior: 000037019 Material: PLASTICO Color: NEGRO Referencia: S1H02QRS Observacion:  Placa anterior:, Placa nueva=H0016164, Descripcion:MOUSE USB, Serial:44MG155, Marca:LENOVO, Modelo:, Material:PLASTICO, Color:NEGRO,   Referencia:, Placa anterior:, Placa nueva=H0016163, Descripcion:TECLADO USB, Serial:8258412, Marca:LENOVO, Modelo:KU-0225, Material:PLASTICO, Color:NEGRO,   Referencia: Placa padre:  Tipo adquisicion : Entidad</v>
      </c>
      <c r="G18038" s="5" t="str">
        <f>"00DFLS"</f>
        <v>00DFLS</v>
      </c>
    </row>
    <row r="18039" spans="1:7" ht="58.5" customHeight="1" x14ac:dyDescent="0.25">
      <c r="A18039" s="5" t="str">
        <f>"H0016170"</f>
        <v>H0016170</v>
      </c>
      <c r="B18039" s="5" t="str">
        <f>"ESTABILIZADOR (REGULADOR) DE ENERGIA 2KW"</f>
        <v>ESTABILIZADOR (REGULADOR) DE ENERGIA 2KW</v>
      </c>
      <c r="C18039" s="6">
        <v>649600</v>
      </c>
      <c r="D18039" s="5"/>
      <c r="E18039" s="5" t="str">
        <f t="shared" si="928"/>
        <v>CONTRATACION Y MERCADEO</v>
      </c>
      <c r="F18039" s="5" t="str">
        <f>"Descripcion:ESTABILIZADOR DE 2000 V. A. ISOLADO Estado: Bueno Placa anterior: 000024070 Material: METALICO Color: BLANCO Referencia: EV20000TA Observacion:  Placa padre:  Tipo adquisicion : Entidad"</f>
        <v>Descripcion:ESTABILIZADOR DE 2000 V. A. ISOLADO Estado: Bueno Placa anterior: 000024070 Material: METALICO Color: BLANCO Referencia: EV20000TA Observacion:  Placa padre:  Tipo adquisicion : Entidad</v>
      </c>
      <c r="G18039" s="5"/>
    </row>
    <row r="18040" spans="1:7" ht="58.5" customHeight="1" x14ac:dyDescent="0.25">
      <c r="A18040" s="5" t="str">
        <f>"H0016276"</f>
        <v>H0016276</v>
      </c>
      <c r="B18040" s="5" t="str">
        <f>"MUEBLE DE MADERA"</f>
        <v>MUEBLE DE MADERA</v>
      </c>
      <c r="C18040" s="6">
        <v>533600</v>
      </c>
      <c r="D18040" s="5" t="s">
        <v>5</v>
      </c>
      <c r="E18040" s="5" t="str">
        <f t="shared" si="928"/>
        <v>CONTRATACION Y MERCADEO</v>
      </c>
      <c r="F18040" s="5" t="str">
        <f>"Descripcion:MUEBLE ESPECIAL PARA AZ Y ARCHIVO Estado: Bueno Placa anterior: 000028548 Material: MADERA Color: MARRON CLARO Referencia:  Observacion:  Placa padre:  Tipo adquisicion : Entidad"</f>
        <v>Descripcion:MUEBLE ESPECIAL PARA AZ Y ARCHIVO Estado: Bueno Placa anterior: 000028548 Material: MADERA Color: MARRON CLARO Referencia:  Observacion:  Placa padre:  Tipo adquisicion : Entidad</v>
      </c>
      <c r="G18040" s="5"/>
    </row>
    <row r="18041" spans="1:7" ht="58.5" customHeight="1" x14ac:dyDescent="0.25">
      <c r="A18041" s="5" t="str">
        <f>"H0018557"</f>
        <v>H0018557</v>
      </c>
      <c r="B18041" s="5" t="str">
        <f>"SILLA INTERLOCUTORA (FIJA) SIN BRAZOS"</f>
        <v>SILLA INTERLOCUTORA (FIJA) SIN BRAZOS</v>
      </c>
      <c r="C18041" s="6">
        <v>220400</v>
      </c>
      <c r="D18041" s="5" t="s">
        <v>5</v>
      </c>
      <c r="E18041" s="5" t="str">
        <f t="shared" si="928"/>
        <v>CONTRATACION Y MERCADEO</v>
      </c>
      <c r="F18041" s="5" t="str">
        <f>"Descripcion:SILLA INTERLOCUTORA TAPIZADA ASIENTO Y ESPALDAR HERRAJE PINTURA ELETROSTATICA.TIENE MAL EL TAPIZADO Estado: Malo Placa anterior: 000029506 Material: MADERA Color: AZUL Referencia:  Observacion:  Placa padre:  Tipo adquisicion : Entidad"</f>
        <v>Descripcion:SILLA INTERLOCUTORA TAPIZADA ASIENTO Y ESPALDAR HERRAJE PINTURA ELETROSTATICA.TIENE MAL EL TAPIZADO Estado: Malo Placa anterior: 000029506 Material: MADERA Color: AZUL Referencia:  Observacion:  Placa padre:  Tipo adquisicion : Entidad</v>
      </c>
      <c r="G18041" s="5"/>
    </row>
    <row r="18042" spans="1:7" ht="58.5" customHeight="1" x14ac:dyDescent="0.25">
      <c r="A18042" s="5" t="str">
        <f>"H0025269"</f>
        <v>H0025269</v>
      </c>
      <c r="B18042" s="5" t="s">
        <v>65</v>
      </c>
      <c r="C18042" s="6">
        <v>115394.48</v>
      </c>
      <c r="D18042" s="5" t="s">
        <v>10</v>
      </c>
      <c r="E18042" s="5" t="str">
        <f t="shared" si="928"/>
        <v>CONTRATACION Y MERCADEO</v>
      </c>
      <c r="F18042" s="5"/>
      <c r="G18042" s="5"/>
    </row>
    <row r="18043" spans="1:7" ht="58.5" customHeight="1" x14ac:dyDescent="0.25">
      <c r="A18043" s="5" t="str">
        <f>"H0025324"</f>
        <v>H0025324</v>
      </c>
      <c r="B1804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043" s="6">
        <v>312156</v>
      </c>
      <c r="D18043" s="5" t="s">
        <v>10</v>
      </c>
      <c r="E18043" s="5" t="str">
        <f t="shared" si="928"/>
        <v>CONTRATACION Y MERCADEO</v>
      </c>
      <c r="F18043" s="5"/>
      <c r="G18043" s="5"/>
    </row>
    <row r="18044" spans="1:7" ht="58.5" customHeight="1" x14ac:dyDescent="0.25">
      <c r="A18044" s="5" t="str">
        <f>"H0028849"</f>
        <v>H0028849</v>
      </c>
      <c r="B18044" s="5" t="str">
        <f>"SILLA HERGONOMICA CON SISTEMA HIDRAULICO"</f>
        <v>SILLA HERGONOMICA CON SISTEMA HIDRAULICO</v>
      </c>
      <c r="C18044" s="6">
        <v>174900</v>
      </c>
      <c r="D18044" s="5" t="s">
        <v>40</v>
      </c>
      <c r="E18044" s="5" t="str">
        <f t="shared" si="928"/>
        <v>CONTRATACION Y MERCADEO</v>
      </c>
      <c r="F18044" s="5"/>
      <c r="G18044" s="5"/>
    </row>
    <row r="18045" spans="1:7" ht="58.5" customHeight="1" x14ac:dyDescent="0.25">
      <c r="A18045" s="5" t="str">
        <f>"H0029309"</f>
        <v>H0029309</v>
      </c>
      <c r="B18045" s="5" t="str">
        <f>"SILLA HERGONOMICA CON SISTEMA HIDRAULICO"</f>
        <v>SILLA HERGONOMICA CON SISTEMA HIDRAULICO</v>
      </c>
      <c r="C18045" s="6">
        <v>174900</v>
      </c>
      <c r="D18045" s="5" t="s">
        <v>89</v>
      </c>
      <c r="E18045" s="5" t="str">
        <f t="shared" si="928"/>
        <v>CONTRATACION Y MERCADEO</v>
      </c>
      <c r="F18045" s="5"/>
      <c r="G18045" s="5"/>
    </row>
    <row r="18046" spans="1:7" ht="58.5" customHeight="1" x14ac:dyDescent="0.25">
      <c r="A18046" s="5" t="str">
        <f>"H0029594"</f>
        <v>H0029594</v>
      </c>
      <c r="B1804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046" s="6">
        <v>252400.18</v>
      </c>
      <c r="D18046" s="5" t="s">
        <v>15</v>
      </c>
      <c r="E18046" s="5" t="str">
        <f t="shared" si="928"/>
        <v>CONTRATACION Y MERCADEO</v>
      </c>
      <c r="F18046" s="5"/>
      <c r="G18046" s="5"/>
    </row>
    <row r="18047" spans="1:7" ht="58.5" customHeight="1" x14ac:dyDescent="0.25">
      <c r="A18047" s="5" t="str">
        <f>"H0031434"</f>
        <v>H0031434</v>
      </c>
      <c r="B1804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047" s="6">
        <v>3209500</v>
      </c>
      <c r="D18047" s="5" t="s">
        <v>16</v>
      </c>
      <c r="E18047" s="5" t="str">
        <f t="shared" si="928"/>
        <v>CONTRATACION Y MERCADEO</v>
      </c>
      <c r="F18047" s="5"/>
      <c r="G18047" s="5"/>
    </row>
    <row r="18048" spans="1:7" ht="58.5" customHeight="1" x14ac:dyDescent="0.25">
      <c r="A18048" s="5" t="str">
        <f>"H0031499"</f>
        <v>H0031499</v>
      </c>
      <c r="B1804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048" s="6">
        <v>3209500</v>
      </c>
      <c r="D18048" s="5" t="s">
        <v>16</v>
      </c>
      <c r="E18048" s="5" t="str">
        <f t="shared" si="928"/>
        <v>CONTRATACION Y MERCADEO</v>
      </c>
      <c r="F18048" s="5"/>
      <c r="G18048" s="5"/>
    </row>
    <row r="18049" spans="1:7" ht="58.5" customHeight="1" x14ac:dyDescent="0.25">
      <c r="A18049" s="5" t="str">
        <f>"H0035948"</f>
        <v>H0035948</v>
      </c>
      <c r="B18049" s="5" t="str">
        <f>"SILLA GERENTE NIZA MEC. BASCULANTE CON BRAZOS."</f>
        <v>SILLA GERENTE NIZA MEC. BASCULANTE CON BRAZOS.</v>
      </c>
      <c r="C18049" s="6">
        <v>639999.86</v>
      </c>
      <c r="D18049" s="5" t="s">
        <v>281</v>
      </c>
      <c r="E18049" s="5" t="str">
        <f t="shared" si="928"/>
        <v>CONTRATACION Y MERCADEO</v>
      </c>
      <c r="F18049" s="5"/>
      <c r="G18049" s="5"/>
    </row>
    <row r="18050" spans="1:7" ht="58.5" customHeight="1" x14ac:dyDescent="0.25">
      <c r="A18050" s="5" t="str">
        <f>"H0037928"</f>
        <v>H0037928</v>
      </c>
      <c r="B18050" s="5" t="str">
        <f>"SILLA GERENTE NIZA MEC. BASCULANTE CON BRAZOS."</f>
        <v>SILLA GERENTE NIZA MEC. BASCULANTE CON BRAZOS.</v>
      </c>
      <c r="C18050" s="6">
        <v>710000.01</v>
      </c>
      <c r="D18050" s="5" t="s">
        <v>30</v>
      </c>
      <c r="E18050" s="5" t="str">
        <f t="shared" si="928"/>
        <v>CONTRATACION Y MERCADEO</v>
      </c>
      <c r="F18050" s="5"/>
      <c r="G18050" s="5"/>
    </row>
    <row r="18051" spans="1:7" ht="58.5" customHeight="1" x14ac:dyDescent="0.25">
      <c r="A18051" s="5" t="str">
        <f>"B0005081"</f>
        <v>B0005081</v>
      </c>
      <c r="B18051" s="5" t="str">
        <f t="shared" ref="B18051:B18057" si="929">"LICENCIA OFFICE HOME AND BUSINEES"</f>
        <v>LICENCIA OFFICE HOME AND BUSINEES</v>
      </c>
      <c r="C18051" s="6">
        <v>440800</v>
      </c>
      <c r="D18051" s="5" t="s">
        <v>1</v>
      </c>
      <c r="E18051" s="5" t="str">
        <f t="shared" ref="E18051:E18082" si="930">"CARTERA"</f>
        <v>CARTERA</v>
      </c>
      <c r="F18051" s="5" t="str">
        <f>"Descripcion:LICENCIA OFFICE HOME AND BUSIMESS 2013 Estado: Bueno Placa anterior: 000030637 Material:  Color:  Referencia:  Observacion:  Placa padre:  Tipo adquisicion : Entidad"</f>
        <v>Descripcion:LICENCIA OFFICE HOME AND BUSIMESS 2013 Estado: Bueno Placa anterior: 000030637 Material:  Color:  Referencia:  Observacion:  Placa padre:  Tipo adquisicion : Entidad</v>
      </c>
      <c r="G18051" s="5"/>
    </row>
    <row r="18052" spans="1:7" ht="58.5" customHeight="1" x14ac:dyDescent="0.25">
      <c r="A18052" s="5" t="str">
        <f>"B0005082"</f>
        <v>B0005082</v>
      </c>
      <c r="B18052" s="5" t="str">
        <f t="shared" si="929"/>
        <v>LICENCIA OFFICE HOME AND BUSINEES</v>
      </c>
      <c r="C18052" s="6">
        <v>440800</v>
      </c>
      <c r="D18052" s="5" t="s">
        <v>1</v>
      </c>
      <c r="E18052" s="5" t="str">
        <f t="shared" si="930"/>
        <v>CARTERA</v>
      </c>
      <c r="F18052" s="5" t="str">
        <f>"Descripcion:LICENCIA OFFICE HOME AND BUSIMESS 2013 Estado: Bueno Placa anterior: 000030645 Material:  Color:  Referencia:  Observacion:  Placa padre:  Tipo adquisicion : Entidad"</f>
        <v>Descripcion:LICENCIA OFFICE HOME AND BUSIMESS 2013 Estado: Bueno Placa anterior: 000030645 Material:  Color:  Referencia:  Observacion:  Placa padre:  Tipo adquisicion : Entidad</v>
      </c>
      <c r="G18052" s="5"/>
    </row>
    <row r="18053" spans="1:7" ht="58.5" customHeight="1" x14ac:dyDescent="0.25">
      <c r="A18053" s="5" t="str">
        <f>"B0005083"</f>
        <v>B0005083</v>
      </c>
      <c r="B18053" s="5" t="str">
        <f t="shared" si="929"/>
        <v>LICENCIA OFFICE HOME AND BUSINEES</v>
      </c>
      <c r="C18053" s="6">
        <v>440800</v>
      </c>
      <c r="D18053" s="5" t="s">
        <v>2</v>
      </c>
      <c r="E18053" s="5" t="str">
        <f t="shared" si="930"/>
        <v>CARTERA</v>
      </c>
      <c r="F18053" s="5" t="str">
        <f>"Descripcion:LICENCIA OFFICE HOME AND BUSIMESS 2013 Estado: Bueno Placa anterior: 000030818 Material:  Color:  Referencia:  Observacion:  Placa padre:  Tipo adquisicion : Entidad"</f>
        <v>Descripcion:LICENCIA OFFICE HOME AND BUSIMESS 2013 Estado: Bueno Placa anterior: 000030818 Material:  Color:  Referencia:  Observacion:  Placa padre:  Tipo adquisicion : Entidad</v>
      </c>
      <c r="G18053" s="5"/>
    </row>
    <row r="18054" spans="1:7" ht="58.5" customHeight="1" x14ac:dyDescent="0.25">
      <c r="A18054" s="5" t="str">
        <f>"B0005084"</f>
        <v>B0005084</v>
      </c>
      <c r="B18054" s="5" t="str">
        <f t="shared" si="929"/>
        <v>LICENCIA OFFICE HOME AND BUSINEES</v>
      </c>
      <c r="C18054" s="6">
        <v>440800</v>
      </c>
      <c r="D18054" s="5" t="s">
        <v>2</v>
      </c>
      <c r="E18054" s="5" t="str">
        <f t="shared" si="930"/>
        <v>CARTERA</v>
      </c>
      <c r="F18054" s="5" t="str">
        <f>"Descripcion:LICENCIA OFFICE HOME AND BUSIMESS 2013 Estado: Bueno Placa anterior: 000030827 Material:  Color:  Referencia:  Observacion:  Placa padre:  Tipo adquisicion : Entidad"</f>
        <v>Descripcion:LICENCIA OFFICE HOME AND BUSIMESS 2013 Estado: Bueno Placa anterior: 000030827 Material:  Color:  Referencia:  Observacion:  Placa padre:  Tipo adquisicion : Entidad</v>
      </c>
      <c r="G18054" s="5"/>
    </row>
    <row r="18055" spans="1:7" ht="58.5" customHeight="1" x14ac:dyDescent="0.25">
      <c r="A18055" s="5" t="str">
        <f>"B0005085"</f>
        <v>B0005085</v>
      </c>
      <c r="B18055" s="5" t="str">
        <f t="shared" si="929"/>
        <v>LICENCIA OFFICE HOME AND BUSINEES</v>
      </c>
      <c r="C18055" s="6">
        <v>440800</v>
      </c>
      <c r="D18055" s="5" t="s">
        <v>2</v>
      </c>
      <c r="E18055" s="5" t="str">
        <f t="shared" si="930"/>
        <v>CARTERA</v>
      </c>
      <c r="F18055" s="5" t="str">
        <f>"Descripcion:LICENCIA OFFICE HOME AND BUSIMESS 2013 Estado: Bueno Placa anterior: 000030828 Material:  Color:  Referencia:  Observacion:  Placa padre:  Tipo adquisicion : Entidad"</f>
        <v>Descripcion:LICENCIA OFFICE HOME AND BUSIMESS 2013 Estado: Bueno Placa anterior: 000030828 Material:  Color:  Referencia:  Observacion:  Placa padre:  Tipo adquisicion : Entidad</v>
      </c>
      <c r="G18055" s="5"/>
    </row>
    <row r="18056" spans="1:7" ht="58.5" customHeight="1" x14ac:dyDescent="0.25">
      <c r="A18056" s="5" t="str">
        <f>"B0005086"</f>
        <v>B0005086</v>
      </c>
      <c r="B18056" s="5" t="str">
        <f t="shared" si="929"/>
        <v>LICENCIA OFFICE HOME AND BUSINEES</v>
      </c>
      <c r="C18056" s="6">
        <v>440800</v>
      </c>
      <c r="D18056" s="5" t="s">
        <v>2</v>
      </c>
      <c r="E18056" s="5" t="str">
        <f t="shared" si="930"/>
        <v>CARTERA</v>
      </c>
      <c r="F18056" s="5" t="str">
        <f>"Descripcion:LICENCIA OFFICE HOME AND BUSIMESS 2013 Estado: Bueno Placa anterior: 000030829 Material:  Color:  Referencia:  Observacion:  Placa padre:  Tipo adquisicion : Entidad"</f>
        <v>Descripcion:LICENCIA OFFICE HOME AND BUSIMESS 2013 Estado: Bueno Placa anterior: 000030829 Material:  Color:  Referencia:  Observacion:  Placa padre:  Tipo adquisicion : Entidad</v>
      </c>
      <c r="G18056" s="5"/>
    </row>
    <row r="18057" spans="1:7" ht="58.5" customHeight="1" x14ac:dyDescent="0.25">
      <c r="A18057" s="5" t="str">
        <f>"B0005087"</f>
        <v>B0005087</v>
      </c>
      <c r="B18057" s="5" t="str">
        <f t="shared" si="929"/>
        <v>LICENCIA OFFICE HOME AND BUSINEES</v>
      </c>
      <c r="C18057" s="6">
        <v>440800</v>
      </c>
      <c r="D18057" s="5" t="s">
        <v>2</v>
      </c>
      <c r="E18057" s="5" t="str">
        <f t="shared" si="930"/>
        <v>CARTERA</v>
      </c>
      <c r="F18057" s="5" t="str">
        <f>"Descripcion:LICENCIA OFFICE HOME AND BUSIMESS 2013 Estado: Bueno Placa anterior: 000030832 Material:  Color:  Referencia:  Observacion:  Placa padre:  Tipo adquisicion : Entidad"</f>
        <v>Descripcion:LICENCIA OFFICE HOME AND BUSIMESS 2013 Estado: Bueno Placa anterior: 000030832 Material:  Color:  Referencia:  Observacion:  Placa padre:  Tipo adquisicion : Entidad</v>
      </c>
      <c r="G18057" s="5"/>
    </row>
    <row r="18058" spans="1:7" ht="58.5" customHeight="1" x14ac:dyDescent="0.25">
      <c r="A18058" s="5" t="str">
        <f>"H0004425"</f>
        <v>H0004425</v>
      </c>
      <c r="B18058" s="5" t="str">
        <f>"ESCRITORIO METALICO 3 GAVETAS"</f>
        <v>ESCRITORIO METALICO 3 GAVETAS</v>
      </c>
      <c r="C18058" s="6">
        <v>61522.5</v>
      </c>
      <c r="D18058" s="5"/>
      <c r="E18058" s="5" t="str">
        <f t="shared" si="930"/>
        <v>CARTERA</v>
      </c>
      <c r="F18058" s="5" t="str">
        <f>"Descripcion: ESCRITORIO METALICO 3 GAVETAS MIDE 74X100X45 CM Estado: Bueno Placa anterior: 000000835 Material: METAL Color: GRIS Y MARRON Referencia:  Observacion:  Placa padre: Tipo adquisicion: Entidad"</f>
        <v>Descripcion: ESCRITORIO METALICO 3 GAVETAS MIDE 74X100X45 CM Estado: Bueno Placa anterior: 000000835 Material: METAL Color: GRIS Y MARRON Referencia:  Observacion:  Placa padre: Tipo adquisicion: Entidad</v>
      </c>
      <c r="G18058" s="5"/>
    </row>
    <row r="18059" spans="1:7" ht="58.5" customHeight="1" x14ac:dyDescent="0.25">
      <c r="A18059" s="5" t="str">
        <f>"H0005473"</f>
        <v>H0005473</v>
      </c>
      <c r="B18059" s="5" t="str">
        <f>"COMPUTADOR TODO EN UNO"</f>
        <v>COMPUTADOR TODO EN UNO</v>
      </c>
      <c r="C18059" s="6">
        <v>2470000</v>
      </c>
      <c r="D18059" s="5" t="s">
        <v>6</v>
      </c>
      <c r="E18059" s="5" t="str">
        <f t="shared" si="930"/>
        <v>CARTERA</v>
      </c>
      <c r="F18059" s="5" t="str">
        <f>"Descripcion: EQUIPO DE COMPUTO TODO EN UNO CON PROCESADOR INTEL i5 Estado: Excelente Placa anterior: 000036998 Material: PLASTICO Color: NEGRO Referencia: 10BD-00FDLS Observacion:  Placa anterior:, Placa nueva=H0005474, Descripcion:OPTICO, Serial:44PD658,"&amp; " Marca:LENOVO, Modelo:MOEWOA, Material:PLASTICO, Color:NEGRO,   Referencia:SM50F76959, Placa anterior:, Placa nueva=H0005475, Descripcion:., Serial:8258999, Marca:LENOVO, Modelo:KU-0225, Material:PLASTICO, Color:NEGRO,   Referencia:54Y9424 Placa padre: Ti"&amp; "po adquisicion: Entidad"</f>
        <v>Descripcion: EQUIPO DE COMPUTO TODO EN UNO CON PROCESADOR INTEL i5 Estado: Excelente Placa anterior: 000036998 Material: PLASTICO Color: NEGRO Referencia: 10BD-00FDLS Observacion:  Placa anterior:, Placa nueva=H0005474, Descripcion:OPTICO, Serial:44PD658, Marca:LENOVO, Modelo:MOEWOA, Material:PLASTICO, Color:NEGRO,   Referencia:SM50F76959, Placa anterior:, Placa nueva=H0005475, Descripcion:., Serial:8258999, Marca:LENOVO, Modelo:KU-0225, Material:PLASTICO, Color:NEGRO,   Referencia:54Y9424 Placa padre: Tipo adquisicion: Entidad</v>
      </c>
      <c r="G18059" s="5" t="str">
        <f>"THINK CENTRE"</f>
        <v>THINK CENTRE</v>
      </c>
    </row>
    <row r="18060" spans="1:7" ht="58.5" customHeight="1" x14ac:dyDescent="0.25">
      <c r="A18060" s="5" t="str">
        <f>"H0008587"</f>
        <v>H0008587</v>
      </c>
      <c r="B18060" s="5" t="str">
        <f>"SILLA INTERLOCUTORA (FIJA) SIN BRAZOS"</f>
        <v>SILLA INTERLOCUTORA (FIJA) SIN BRAZOS</v>
      </c>
      <c r="C18060" s="6">
        <v>9596.7000000000007</v>
      </c>
      <c r="D18060" s="5"/>
      <c r="E18060" s="5" t="str">
        <f t="shared" si="930"/>
        <v>CARTERA</v>
      </c>
      <c r="F18060" s="5" t="str">
        <f>"Descripcion: SILLA INTERLOCUTORA (FIJA) SIN BRAZOS GRIS Estado: Bueno Placa anterior: 000000204 Material: METALICO, TAPIZADO EN SEMICUERO Color: GRIS Referencia:  Observacion:  Placa padre: Tipo adquisicion: Entidad"</f>
        <v>Descripcion: SILLA INTERLOCUTORA (FIJA) SIN BRAZOS GRIS Estado: Bueno Placa anterior: 000000204 Material: METALICO, TAPIZADO EN SEMICUERO Color: GRIS Referencia:  Observacion:  Placa padre: Tipo adquisicion: Entidad</v>
      </c>
      <c r="G18060" s="5"/>
    </row>
    <row r="18061" spans="1:7" ht="58.5" customHeight="1" x14ac:dyDescent="0.25">
      <c r="A18061" s="5" t="str">
        <f>"H0016176"</f>
        <v>H0016176</v>
      </c>
      <c r="B18061" s="5" t="str">
        <f>"MONITOR LCD"</f>
        <v>MONITOR LCD</v>
      </c>
      <c r="C18061" s="6">
        <v>638000</v>
      </c>
      <c r="D18061" s="5"/>
      <c r="E18061" s="5" t="str">
        <f t="shared" si="930"/>
        <v>CARTERA</v>
      </c>
      <c r="F18061" s="5" t="str">
        <f>"Descripcion: MONITOR LCD 19 MARCA SAMSUNG 943 NMX Estado: Bueno Placa anterior: 000023014 Material: PLASTICO Color: NEGRO Referencia:  Observacion: EL BIEN TIENE PLACA ANTERIOR   000033579, LA CUAL CORRESPONDE A LA CPU  AUTORIZADO CRUZAR POR SISTEMAS Plac"&amp; "a padre: H0016683 Tipo adquisicion : Entidad"</f>
        <v>Descripcion: MONITOR LCD 19 MARCA SAMSUNG 943 NMX Estado: Bueno Placa anterior: 000023014 Material: PLASTICO Color: NEGRO Referencia:  Observacion: EL BIEN TIENE PLACA ANTERIOR   000033579, LA CUAL CORRESPONDE A LA CPU  AUTORIZADO CRUZAR POR SISTEMAS Placa padre: H0016683 Tipo adquisicion : Entidad</v>
      </c>
      <c r="G18061" s="5" t="str">
        <f>"943NWX"</f>
        <v>943NWX</v>
      </c>
    </row>
    <row r="18062" spans="1:7" ht="58.5" customHeight="1" x14ac:dyDescent="0.25">
      <c r="A18062" s="5" t="str">
        <f>"H0016182"</f>
        <v>H0016182</v>
      </c>
      <c r="B18062" s="5" t="str">
        <f>"PUESTO DE TRABAJO EN L CON 3 GAVETAS"</f>
        <v>PUESTO DE TRABAJO EN L CON 3 GAVETAS</v>
      </c>
      <c r="C18062" s="6">
        <v>610000</v>
      </c>
      <c r="D18062" s="5"/>
      <c r="E18062" s="5" t="str">
        <f t="shared" si="930"/>
        <v>CARTERA</v>
      </c>
      <c r="F18062" s="5" t="str">
        <f>"Descripcion:ESCRITORIO EWJECUTIVO EN L MODULAR DE 1.50X1.50X0.60X0.73 Estado: Bueno Placa anterior: 000033136 Material: MADERA Color: BEIGE CLARO Referencia:  Observacion:  Placa padre:  Tipo adquisicion : Entidad"</f>
        <v>Descripcion:ESCRITORIO EWJECUTIVO EN L MODULAR DE 1.50X1.50X0.60X0.73 Estado: Bueno Placa anterior: 000033136 Material: MADERA Color: BEIGE CLARO Referencia:  Observacion:  Placa padre:  Tipo adquisicion : Entidad</v>
      </c>
      <c r="G18062" s="5"/>
    </row>
    <row r="18063" spans="1:7" ht="58.5" customHeight="1" x14ac:dyDescent="0.25">
      <c r="A18063" s="5" t="str">
        <f>"H0016183"</f>
        <v>H0016183</v>
      </c>
      <c r="B18063" s="5" t="str">
        <f>"COMPUTADOR TODO EN UNO"</f>
        <v>COMPUTADOR TODO EN UNO</v>
      </c>
      <c r="C18063" s="6">
        <v>2470000</v>
      </c>
      <c r="D18063" s="5" t="s">
        <v>6</v>
      </c>
      <c r="E18063" s="5" t="str">
        <f t="shared" si="930"/>
        <v>CARTERA</v>
      </c>
      <c r="F18063" s="5" t="str">
        <f>"Descripcion:EQUIPO DE COMPUTO TODO EN UNO CON PROCESADOR INTEL i5 Estado: Bueno Placa anterior: 000036961 Material: PLASTICO Color: NEGRO Referencia: 10BD00FDLS Observacion:  Placa anterior:, Placa nueva=H0016185, Descripcion:MOUSE USB, Serial:44PD071, Ma"&amp; "rca:LENOVO, Modelo:, Material:PLASTICO, Color:NEGRO,   Referencia:, Placa anterior:, Placa nueva=H0016184, Descripcion:TECLADO USB, Serial:8279267, Marca:LENOVO, Modelo:KU-0225, Material:PLASTICO, Color:NEGRO,   Referencia: Placa padre:  Tipo adquisicion "&amp; ": Entidad"</f>
        <v>Descripcion:EQUIPO DE COMPUTO TODO EN UNO CON PROCESADOR INTEL i5 Estado: Bueno Placa anterior: 000036961 Material: PLASTICO Color: NEGRO Referencia: 10BD00FDLS Observacion:  Placa anterior:, Placa nueva=H0016185, Descripcion:MOUSE USB, Serial:44PD071, Marca:LENOVO, Modelo:, Material:PLASTICO, Color:NEGRO,   Referencia:, Placa anterior:, Placa nueva=H0016184, Descripcion:TECLADO USB, Serial:8279267, Marca:LENOVO, Modelo:KU-0225, Material:PLASTICO, Color:NEGRO,   Referencia: Placa padre:  Tipo adquisicion : Entidad</v>
      </c>
      <c r="G18063" s="5" t="str">
        <f>"00FDLS"</f>
        <v>00FDLS</v>
      </c>
    </row>
    <row r="18064" spans="1:7" ht="58.5" customHeight="1" x14ac:dyDescent="0.25">
      <c r="A18064" s="5" t="str">
        <f>"H0016189"</f>
        <v>H0016189</v>
      </c>
      <c r="B18064" s="5" t="str">
        <f>"PUESTO DE TRABAJO EN L CON 3 GAVETAS"</f>
        <v>PUESTO DE TRABAJO EN L CON 3 GAVETAS</v>
      </c>
      <c r="C18064" s="6">
        <v>610000</v>
      </c>
      <c r="D18064" s="5"/>
      <c r="E18064" s="5" t="str">
        <f t="shared" si="930"/>
        <v>CARTERA</v>
      </c>
      <c r="F18064" s="5" t="str">
        <f>"Descripcion:ESCRITORIO EWJECUTIVO EN L MODULAR DE 1.50X1.50X0.60X0.73 Estado: Bueno Placa anterior: 000033131 Material: MADERA Color: BEIGE CLARO Referencia:  Observacion:  Placa padre:  Tipo adquisicion : Entidad"</f>
        <v>Descripcion:ESCRITORIO EWJECUTIVO EN L MODULAR DE 1.50X1.50X0.60X0.73 Estado: Bueno Placa anterior: 000033131 Material: MADERA Color: BEIGE CLARO Referencia:  Observacion:  Placa padre:  Tipo adquisicion : Entidad</v>
      </c>
      <c r="G18064" s="5"/>
    </row>
    <row r="18065" spans="1:7" ht="58.5" customHeight="1" x14ac:dyDescent="0.25">
      <c r="A18065" s="5" t="str">
        <f>"H0016190"</f>
        <v>H0016190</v>
      </c>
      <c r="B18065" s="5" t="str">
        <f>"COMPUTADOR TODO EN UNO"</f>
        <v>COMPUTADOR TODO EN UNO</v>
      </c>
      <c r="C18065" s="6">
        <v>2470000</v>
      </c>
      <c r="D18065" s="5" t="s">
        <v>6</v>
      </c>
      <c r="E18065" s="5" t="str">
        <f t="shared" si="930"/>
        <v>CARTERA</v>
      </c>
      <c r="F18065" s="5" t="str">
        <f>"Descripcion:EQUIPO DE COMPUTO TODO EN UNO CON PROCESADOR INTEL i5 Estado: Bueno Placa anterior: 000036965 Material: PLASTICO Color: NEGRO Referencia: 10BD00FDLS Observacion:  Placa anterior:, Placa nueva=H0016192, Descripcion:MOUSE USB, Serial:44PD0135, M"&amp; "arca:LENOVO, Modelo:, Material:PLASTICO, Color:NEGRO,   Referencia:, Placa anterior:, Placa nueva=H0016191, Descripcion:TECLADO USB, Serial:8279202, Marca:LENOVO, Modelo:KU-0225, Material:PLASTICO, Color:NEGRO,   Referencia: Placa padre:  Tipo adquisicion"&amp; " : Entidad"</f>
        <v>Descripcion:EQUIPO DE COMPUTO TODO EN UNO CON PROCESADOR INTEL i5 Estado: Bueno Placa anterior: 000036965 Material: PLASTICO Color: NEGRO Referencia: 10BD00FDLS Observacion:  Placa anterior:, Placa nueva=H0016192, Descripcion:MOUSE USB, Serial:44PD0135, Marca:LENOVO, Modelo:, Material:PLASTICO, Color:NEGRO,   Referencia:, Placa anterior:, Placa nueva=H0016191, Descripcion:TECLADO USB, Serial:8279202, Marca:LENOVO, Modelo:KU-0225, Material:PLASTICO, Color:NEGRO,   Referencia: Placa padre:  Tipo adquisicion : Entidad</v>
      </c>
      <c r="G18065" s="5" t="str">
        <f>"00FDLS"</f>
        <v>00FDLS</v>
      </c>
    </row>
    <row r="18066" spans="1:7" ht="58.5" customHeight="1" x14ac:dyDescent="0.25">
      <c r="A18066" s="5" t="str">
        <f>"H0016198"</f>
        <v>H0016198</v>
      </c>
      <c r="B18066" s="5" t="str">
        <f>"PUESTO DE TRABAJO EN L CON 3 GAVETAS"</f>
        <v>PUESTO DE TRABAJO EN L CON 3 GAVETAS</v>
      </c>
      <c r="C18066" s="6">
        <v>610000</v>
      </c>
      <c r="D18066" s="5"/>
      <c r="E18066" s="5" t="str">
        <f t="shared" si="930"/>
        <v>CARTERA</v>
      </c>
      <c r="F18066" s="5" t="str">
        <f>"Descripcion:ESCRITORIO EWJECUTIVO EN L MODULAR DE 1.50X1.50X0.60X0.73 Estado: Bueno Placa anterior: 000033132 Material: MADERA Color: BEIGE CLARO Referencia:  Observacion:  Placa padre:  Tipo adquisicion : Entidad"</f>
        <v>Descripcion:ESCRITORIO EWJECUTIVO EN L MODULAR DE 1.50X1.50X0.60X0.73 Estado: Bueno Placa anterior: 000033132 Material: MADERA Color: BEIGE CLARO Referencia:  Observacion:  Placa padre:  Tipo adquisicion : Entidad</v>
      </c>
      <c r="G18066" s="5"/>
    </row>
    <row r="18067" spans="1:7" ht="58.5" customHeight="1" x14ac:dyDescent="0.25">
      <c r="A18067" s="5" t="str">
        <f>"H0016199"</f>
        <v>H0016199</v>
      </c>
      <c r="B18067" s="5" t="str">
        <f>"COMPUTADOR TODO EN UNO"</f>
        <v>COMPUTADOR TODO EN UNO</v>
      </c>
      <c r="C18067" s="6">
        <v>2470000</v>
      </c>
      <c r="D18067" s="5" t="s">
        <v>6</v>
      </c>
      <c r="E18067" s="5" t="str">
        <f t="shared" si="930"/>
        <v>CARTERA</v>
      </c>
      <c r="F18067" s="5" t="str">
        <f>"Descripcion:EQUIPO DE COMPUTO TODO EN UNO CON PROCESADOR INTEL i5 Estado: Bueno Placa anterior: 000037000 Material: PLASTICO Color: NEGRO Referencia: 10BD00FDLS Observacion:  Placa anterior:, Placa nueva=H0016200, Descripcion:TECLADO USB, Serial:8259142, "&amp; "Marca:LENOVO, Modelo:KU-0225, Material:PLASTICO, Color:NEGRO,   Referencia:, Placa anterior:, Placa nueva=H0016201, Descripcion:MOUSE USB, Serial:44PD676, Marca:LENOVO, Modelo:, Material:PLASTICO, Color:NEGRO,   Referencia: Placa padre:  Tipo adquisicion "&amp; ": Entidad"</f>
        <v>Descripcion:EQUIPO DE COMPUTO TODO EN UNO CON PROCESADOR INTEL i5 Estado: Bueno Placa anterior: 000037000 Material: PLASTICO Color: NEGRO Referencia: 10BD00FDLS Observacion:  Placa anterior:, Placa nueva=H0016200, Descripcion:TECLADO USB, Serial:8259142, Marca:LENOVO, Modelo:KU-0225, Material:PLASTICO, Color:NEGRO,   Referencia:, Placa anterior:, Placa nueva=H0016201, Descripcion:MOUSE USB, Serial:44PD676, Marca:LENOVO, Modelo:, Material:PLASTICO, Color:NEGRO,   Referencia: Placa padre:  Tipo adquisicion : Entidad</v>
      </c>
      <c r="G18067" s="5" t="str">
        <f>"00FDLS"</f>
        <v>00FDLS</v>
      </c>
    </row>
    <row r="18068" spans="1:7" ht="58.5" customHeight="1" x14ac:dyDescent="0.25">
      <c r="A18068" s="5" t="str">
        <f>"H0016206"</f>
        <v>H0016206</v>
      </c>
      <c r="B18068" s="5" t="str">
        <f>"PUESTO DE TRABAJO EN L CON 3 GAVETAS"</f>
        <v>PUESTO DE TRABAJO EN L CON 3 GAVETAS</v>
      </c>
      <c r="C18068" s="6">
        <v>610000</v>
      </c>
      <c r="D18068" s="5"/>
      <c r="E18068" s="5" t="str">
        <f t="shared" si="930"/>
        <v>CARTERA</v>
      </c>
      <c r="F18068" s="5" t="str">
        <f>"Descripcion:ESCRITORIO EWJECUTIVO EN L MODULAR DE 1.50X1.50X0.60X0.73 Estado: Bueno Placa anterior: 000033133 Material: MADERA Color: BEIGE CLARO Referencia:  Observacion:  Placa padre:  Tipo adquisicion : Entidad"</f>
        <v>Descripcion:ESCRITORIO EWJECUTIVO EN L MODULAR DE 1.50X1.50X0.60X0.73 Estado: Bueno Placa anterior: 000033133 Material: MADERA Color: BEIGE CLARO Referencia:  Observacion:  Placa padre:  Tipo adquisicion : Entidad</v>
      </c>
      <c r="G18068" s="5"/>
    </row>
    <row r="18069" spans="1:7" ht="58.5" customHeight="1" x14ac:dyDescent="0.25">
      <c r="A18069" s="5" t="str">
        <f>"H0016207"</f>
        <v>H0016207</v>
      </c>
      <c r="B18069" s="5" t="str">
        <f>"COMPUTADOR TODO EN UNO"</f>
        <v>COMPUTADOR TODO EN UNO</v>
      </c>
      <c r="C18069" s="6">
        <v>2470000</v>
      </c>
      <c r="D18069" s="5" t="s">
        <v>6</v>
      </c>
      <c r="E18069" s="5" t="str">
        <f t="shared" si="930"/>
        <v>CARTERA</v>
      </c>
      <c r="F18069" s="5" t="str">
        <f>"Descripcion:EQUIPO DE COMPUTO TODO EN UNO CON PROCESADOR INTEL i5 Estado: Bueno Placa anterior: 000036996 Material: PLASTICO Color: NEGRO Referencia: 10BD00FDLS Observacion:  Placa anterior:, Placa nueva=H0016208, Descripcion:TECLADO USB, Serial:8258996, "&amp; "Marca:LENOVO, Modelo:KU-0225, Material:PLASTICO, Color:NEGRO,   Referencia:, Placa anterior:, Placa nueva=H0016209, Descripcion:MOUSE USB, Serial:44PD612, Marca:LENOVO, Modelo:, Material:PLASTICO, Color:NEGRO,   Referencia: Placa padre:  Tipo adquisicion "&amp; ": Entidad"</f>
        <v>Descripcion:EQUIPO DE COMPUTO TODO EN UNO CON PROCESADOR INTEL i5 Estado: Bueno Placa anterior: 000036996 Material: PLASTICO Color: NEGRO Referencia: 10BD00FDLS Observacion:  Placa anterior:, Placa nueva=H0016208, Descripcion:TECLADO USB, Serial:8258996, Marca:LENOVO, Modelo:KU-0225, Material:PLASTICO, Color:NEGRO,   Referencia:, Placa anterior:, Placa nueva=H0016209, Descripcion:MOUSE USB, Serial:44PD612, Marca:LENOVO, Modelo:, Material:PLASTICO, Color:NEGRO,   Referencia: Placa padre:  Tipo adquisicion : Entidad</v>
      </c>
      <c r="G18069" s="5" t="str">
        <f>"00FDLS"</f>
        <v>00FDLS</v>
      </c>
    </row>
    <row r="18070" spans="1:7" ht="58.5" customHeight="1" x14ac:dyDescent="0.25">
      <c r="A18070" s="5" t="str">
        <f>"H0016210"</f>
        <v>H0016210</v>
      </c>
      <c r="B18070" s="5" t="str">
        <f>"ESTABILIZADOR (REGULADOR) DE ENERGIA 1KW"</f>
        <v>ESTABILIZADOR (REGULADOR) DE ENERGIA 1KW</v>
      </c>
      <c r="C18070" s="6">
        <v>78500</v>
      </c>
      <c r="D18070" s="5"/>
      <c r="E18070" s="5" t="str">
        <f t="shared" si="930"/>
        <v>CARTERA</v>
      </c>
      <c r="F18070" s="5" t="str">
        <f>"Descripcion:ESTABILIZADOR DE 4 TOMAS  Estado: Bueno Placa anterior: 000002155 Material: METALICO Color: BEIGE Referencia:  Observacion: EL BIEN TIENE PLACA ANTERIOR  000035972 Placa padre:  Tipo adquisicion : Entidad"</f>
        <v>Descripcion:ESTABILIZADOR DE 4 TOMAS  Estado: Bueno Placa anterior: 000002155 Material: METALICO Color: BEIGE Referencia:  Observacion: EL BIEN TIENE PLACA ANTERIOR  000035972 Placa padre:  Tipo adquisicion : Entidad</v>
      </c>
      <c r="G18070" s="5"/>
    </row>
    <row r="18071" spans="1:7" ht="58.5" customHeight="1" x14ac:dyDescent="0.25">
      <c r="A18071" s="5" t="str">
        <f>"H0016213"</f>
        <v>H0016213</v>
      </c>
      <c r="B18071" s="5" t="str">
        <f>"MESA METALICA AUXILIAR"</f>
        <v>MESA METALICA AUXILIAR</v>
      </c>
      <c r="C18071" s="6">
        <v>7333.52</v>
      </c>
      <c r="D18071" s="5"/>
      <c r="E18071" s="5" t="str">
        <f t="shared" si="930"/>
        <v>CARTERA</v>
      </c>
      <c r="F18071" s="5" t="str">
        <f>"Descripcion:MESA MECANOGRAFA SIN ALAMESON EN FORMICA Estado: Bueno Placa anterior: 000000245 Material: METALICA Color: MARRON OSCURO Referencia:  Observacion:  Placa padre:  Tipo adquisicion : Entidad"</f>
        <v>Descripcion:MESA MECANOGRAFA SIN ALAMESON EN FORMICA Estado: Bueno Placa anterior: 000000245 Material: METALICA Color: MARRON OSCURO Referencia:  Observacion:  Placa padre:  Tipo adquisicion : Entidad</v>
      </c>
      <c r="G18071" s="5"/>
    </row>
    <row r="18072" spans="1:7" ht="58.5" customHeight="1" x14ac:dyDescent="0.25">
      <c r="A18072" s="5" t="str">
        <f>"H0016215"</f>
        <v>H0016215</v>
      </c>
      <c r="B18072" s="5" t="str">
        <f>"PUESTO DE TRABAJO EN L CON 3 GAVETAS"</f>
        <v>PUESTO DE TRABAJO EN L CON 3 GAVETAS</v>
      </c>
      <c r="C18072" s="6">
        <v>1200000</v>
      </c>
      <c r="D18072" s="5"/>
      <c r="E18072" s="5" t="str">
        <f t="shared" si="930"/>
        <v>CARTERA</v>
      </c>
      <c r="F18072" s="5" t="str">
        <f>"Descripcion:ESCRITORIO EJECUTIVO EN L DE 1.50X1.90X0.60X0.73 Estado: Bueno Placa anterior: 000033103 Material: MADERA Color: BEIGE CLARO Referencia:  Observacion:  Placa padre:  Tipo adquisicion : Entidad"</f>
        <v>Descripcion:ESCRITORIO EJECUTIVO EN L DE 1.50X1.90X0.60X0.73 Estado: Bueno Placa anterior: 000033103 Material: MADERA Color: BEIGE CLARO Referencia:  Observacion:  Placa padre:  Tipo adquisicion : Entidad</v>
      </c>
      <c r="G18072" s="5"/>
    </row>
    <row r="18073" spans="1:7" ht="58.5" customHeight="1" x14ac:dyDescent="0.25">
      <c r="A18073" s="5" t="str">
        <f>"H0016217"</f>
        <v>H0016217</v>
      </c>
      <c r="B18073" s="5" t="str">
        <f>"COMPUTADOR TODO EN UNO"</f>
        <v>COMPUTADOR TODO EN UNO</v>
      </c>
      <c r="C18073" s="6">
        <v>2470000</v>
      </c>
      <c r="D18073" s="5" t="s">
        <v>6</v>
      </c>
      <c r="E18073" s="5" t="str">
        <f t="shared" si="930"/>
        <v>CARTERA</v>
      </c>
      <c r="F18073" s="5" t="str">
        <f>"Descripcion:COMPUTADOR TODO EN UNO INTEL CORE I5 4GB DE RAM460 GB DE DISCO DURO Estado: Bueno Placa anterior: 000036993 Material: PLASTICO Color: NEGRO Referencia: 10BD00FDLS Observacion: EL BIEN TIENE PLACA ANTERIOR  000030639  AUTORIZADO CRUZAR POR SIST"&amp; "EMAS Placa anterior:, Placa nueva=H0016218, Descripcion:TECLADO USB, Serial:8258995, Marca:LENOVO, Modelo:KU-0225, Material:PLASTICO, Color:NEGRO,   Referencia:, Placa anterior:, Placa nueva=H0016219, Descripcion:MOUSE USB, Serial:44PD018, Marca:LENOVO, M"&amp; "odelo:, Material:PLASTICO, Color:NEGRO,   Referencia: Placa padre:  Tipo adquisicion : Entidad"</f>
        <v>Descripcion:COMPUTADOR TODO EN UNO INTEL CORE I5 4GB DE RAM460 GB DE DISCO DURO Estado: Bueno Placa anterior: 000036993 Material: PLASTICO Color: NEGRO Referencia: 10BD00FDLS Observacion: EL BIEN TIENE PLACA ANTERIOR  000030639  AUTORIZADO CRUZAR POR SISTEMAS Placa anterior:, Placa nueva=H0016218, Descripcion:TECLADO USB, Serial:8258995, Marca:LENOVO, Modelo:KU-0225, Material:PLASTICO, Color:NEGRO,   Referencia:, Placa anterior:, Placa nueva=H0016219, Descripcion:MOUSE USB, Serial:44PD018, Marca:LENOVO, Modelo:, Material:PLASTICO, Color:NEGRO,   Referencia: Placa padre:  Tipo adquisicion : Entidad</v>
      </c>
      <c r="G18073" s="5" t="str">
        <f>"00FDLS"</f>
        <v>00FDLS</v>
      </c>
    </row>
    <row r="18074" spans="1:7" ht="58.5" customHeight="1" x14ac:dyDescent="0.25">
      <c r="A18074" s="5" t="str">
        <f>"H0016224"</f>
        <v>H0016224</v>
      </c>
      <c r="B18074" s="5" t="str">
        <f>"ESTANTE METALICO 6 ENTREPAÑOS"</f>
        <v>ESTANTE METALICO 6 ENTREPAÑOS</v>
      </c>
      <c r="C18074" s="6">
        <v>37673</v>
      </c>
      <c r="D18074" s="5"/>
      <c r="E18074" s="5" t="str">
        <f t="shared" si="930"/>
        <v>CARTERA</v>
      </c>
      <c r="F18074" s="5" t="str">
        <f>"Descripcion:ESTANTE METALICO DE 6 ENTREPAÑOS CON UN PANEL DE MADERA EN EL LADO FRONTAL Estado: Bueno Placa anterior: 000027844 Material: METALICO Color: GRIS Referencia:  Observacion: EL BIEN TIENE PLACA ANTERIOR  000035964 Placa padre:  Tipo adquisicion "&amp; ": Entidad"</f>
        <v>Descripcion:ESTANTE METALICO DE 6 ENTREPAÑOS CON UN PANEL DE MADERA EN EL LADO FRONTAL Estado: Bueno Placa anterior: 000027844 Material: METALICO Color: GRIS Referencia:  Observacion: EL BIEN TIENE PLACA ANTERIOR  000035964 Placa padre:  Tipo adquisicion : Entidad</v>
      </c>
      <c r="G18074" s="5"/>
    </row>
    <row r="18075" spans="1:7" ht="58.5" customHeight="1" x14ac:dyDescent="0.25">
      <c r="A18075" s="5" t="str">
        <f>"H0016228"</f>
        <v>H0016228</v>
      </c>
      <c r="B18075" s="5" t="str">
        <f>"ESTANTE METALICO 6 ENTREPAÑOS"</f>
        <v>ESTANTE METALICO 6 ENTREPAÑOS</v>
      </c>
      <c r="C18075" s="6">
        <v>22189.18</v>
      </c>
      <c r="D18075" s="5"/>
      <c r="E18075" s="5" t="str">
        <f t="shared" si="930"/>
        <v>CARTERA</v>
      </c>
      <c r="F18075" s="5" t="str">
        <f>"Descripcion:ESTANTE METALICOESTANTE METALICO DE 6 ENTREPAÑOS CON UN PANEL DE MADERA EN EL LADO FRONTAL Estado: Bueno Placa anterior: 000004994 Material: METALICO Color: GRIS Referencia:  Observacion:  Placa padre:  Tipo adquisicion : Entidad"</f>
        <v>Descripcion:ESTANTE METALICOESTANTE METALICO DE 6 ENTREPAÑOS CON UN PANEL DE MADERA EN EL LADO FRONTAL Estado: Bueno Placa anterior: 000004994 Material: METALICO Color: GRIS Referencia:  Observacion:  Placa padre:  Tipo adquisicion : Entidad</v>
      </c>
      <c r="G18075" s="5"/>
    </row>
    <row r="18076" spans="1:7" ht="58.5" customHeight="1" x14ac:dyDescent="0.25">
      <c r="A18076" s="5" t="str">
        <f>"H0016229"</f>
        <v>H0016229</v>
      </c>
      <c r="B18076" s="5" t="str">
        <f>"ESTANTE METALICO 6 ENTREPAÑOS"</f>
        <v>ESTANTE METALICO 6 ENTREPAÑOS</v>
      </c>
      <c r="C18076" s="6">
        <v>27590.38</v>
      </c>
      <c r="D18076" s="5"/>
      <c r="E18076" s="5" t="str">
        <f t="shared" si="930"/>
        <v>CARTERA</v>
      </c>
      <c r="F18076" s="5" t="str">
        <f>"Descripcion:ESTANTE METALICO DE 6 ENTREPAÑOS CON UN PANEL DE MADERA EN EL LADO FRONTAL Estado: Bueno Placa anterior: 000001428 Material: METALICO Color: GRIS Referencia:  Observacion: EL BIEN TIENE PLACA ANTERIOR  000035960 Placa padre:  Tipo adquisicion "&amp; ": Entidad"</f>
        <v>Descripcion:ESTANTE METALICO DE 6 ENTREPAÑOS CON UN PANEL DE MADERA EN EL LADO FRONTAL Estado: Bueno Placa anterior: 000001428 Material: METALICO Color: GRIS Referencia:  Observacion: EL BIEN TIENE PLACA ANTERIOR  000035960 Placa padre:  Tipo adquisicion : Entidad</v>
      </c>
      <c r="G18076" s="5"/>
    </row>
    <row r="18077" spans="1:7" ht="58.5" customHeight="1" x14ac:dyDescent="0.25">
      <c r="A18077" s="5" t="str">
        <f>"H0016230"</f>
        <v>H0016230</v>
      </c>
      <c r="B18077" s="5" t="str">
        <f>"MULTIMUEBLE ENCHAPADO EN FORMICA"</f>
        <v>MULTIMUEBLE ENCHAPADO EN FORMICA</v>
      </c>
      <c r="C18077" s="6">
        <v>798000</v>
      </c>
      <c r="D18077" s="5"/>
      <c r="E18077" s="5" t="str">
        <f t="shared" si="930"/>
        <v>CARTERA</v>
      </c>
      <c r="F18077" s="5" t="str">
        <f>"Descripcion:ESTANTE METALICO DE 3 ENTREPAÑOS CON UN GABINETE DE 2 PUERTAS EN LA PARTE INFERIOR Estado: Bueno Placa anterior:  Material: METALICO Color: GRIS CON BEIGE CLARO Referencia:  Observacion: EL BIEN TIENE PLACA ANTERIOR  000035959 Placa padre:  Ti"&amp; "po adquisicion : Entidad"</f>
        <v>Descripcion:ESTANTE METALICO DE 3 ENTREPAÑOS CON UN GABINETE DE 2 PUERTAS EN LA PARTE INFERIOR Estado: Bueno Placa anterior:  Material: METALICO Color: GRIS CON BEIGE CLARO Referencia:  Observacion: EL BIEN TIENE PLACA ANTERIOR  000035959 Placa padre:  Tipo adquisicion : Entidad</v>
      </c>
      <c r="G18077" s="5"/>
    </row>
    <row r="18078" spans="1:7" ht="58.5" customHeight="1" x14ac:dyDescent="0.25">
      <c r="A18078" s="5" t="str">
        <f>"H0016231"</f>
        <v>H0016231</v>
      </c>
      <c r="B18078" s="5" t="str">
        <f>"MULTIMUEBLE ENCHAPADO EN FORMICA"</f>
        <v>MULTIMUEBLE ENCHAPADO EN FORMICA</v>
      </c>
      <c r="C18078" s="6">
        <v>798000</v>
      </c>
      <c r="D18078" s="5"/>
      <c r="E18078" s="5" t="str">
        <f t="shared" si="930"/>
        <v>CARTERA</v>
      </c>
      <c r="F18078" s="5" t="str">
        <f>"Descripcion:ESTANTE METALICO DE 3 ENTREPAÑOS CON UN GABINETE DE 2 PUERTAS EN LA PARTE INFERIOR Estado: Bueno Placa anterior:  Material: METALICO Color: GRIS CON BEIGE CLARO Referencia:  Observacion: EL BIEN TIENE PLACA ANTERIOR  00035958 Placa padre:  Tip"&amp; "o adquisicion : Entidad"</f>
        <v>Descripcion:ESTANTE METALICO DE 3 ENTREPAÑOS CON UN GABINETE DE 2 PUERTAS EN LA PARTE INFERIOR Estado: Bueno Placa anterior:  Material: METALICO Color: GRIS CON BEIGE CLARO Referencia:  Observacion: EL BIEN TIENE PLACA ANTERIOR  00035958 Placa padre:  Tipo adquisicion : Entidad</v>
      </c>
      <c r="G18078" s="5"/>
    </row>
    <row r="18079" spans="1:7" ht="58.5" customHeight="1" x14ac:dyDescent="0.25">
      <c r="A18079" s="5" t="str">
        <f>"H0016232"</f>
        <v>H0016232</v>
      </c>
      <c r="B18079" s="5" t="str">
        <f>"ESTANTE METALICO 7 ENTREPAÑOS"</f>
        <v>ESTANTE METALICO 7 ENTREPAÑOS</v>
      </c>
      <c r="C18079" s="6">
        <v>37673</v>
      </c>
      <c r="D18079" s="5"/>
      <c r="E18079" s="5" t="str">
        <f t="shared" si="930"/>
        <v>CARTERA</v>
      </c>
      <c r="F18079" s="5" t="str">
        <f>"Descripcion:ESTANTE METALICO DE 7 ENTREPAÑOS CON UN PNEL DE MADERA EN EL LADO FRONTAL Estado: Bueno Placa anterior: 000027845 Material: METALICO Color: GRIS CON BEIGE CLARO Referencia:  Observacion:  Placa padre:  Tipo adquisicion : Entidad"</f>
        <v>Descripcion:ESTANTE METALICO DE 7 ENTREPAÑOS CON UN PNEL DE MADERA EN EL LADO FRONTAL Estado: Bueno Placa anterior: 000027845 Material: METALICO Color: GRIS CON BEIGE CLARO Referencia:  Observacion:  Placa padre:  Tipo adquisicion : Entidad</v>
      </c>
      <c r="G18079" s="5"/>
    </row>
    <row r="18080" spans="1:7" ht="58.5" customHeight="1" x14ac:dyDescent="0.25">
      <c r="A18080" s="5" t="str">
        <f>"H0016239"</f>
        <v>H0016239</v>
      </c>
      <c r="B18080" s="5" t="str">
        <f>"NEVERA 8 PIES (226LT)"</f>
        <v>NEVERA 8 PIES (226LT)</v>
      </c>
      <c r="C18080" s="6">
        <v>264999.84000000003</v>
      </c>
      <c r="D18080" s="5"/>
      <c r="E18080" s="5" t="str">
        <f t="shared" si="930"/>
        <v>CARTERA</v>
      </c>
      <c r="F18080" s="5" t="str">
        <f>"Descripcion:NEVERA PHILIPS DE 8 PIES Estado: Bueno Placa anterior: 000000826 Material: METALICO Color: BEIGE CLARO Referencia:  Observacion:  Placa padre:  Tipo adquisicion : Entidad"</f>
        <v>Descripcion:NEVERA PHILIPS DE 8 PIES Estado: Bueno Placa anterior: 000000826 Material: METALICO Color: BEIGE CLARO Referencia:  Observacion:  Placa padre:  Tipo adquisicion : Entidad</v>
      </c>
      <c r="G18080" s="5"/>
    </row>
    <row r="18081" spans="1:7" ht="58.5" customHeight="1" x14ac:dyDescent="0.25">
      <c r="A18081" s="5" t="str">
        <f>"H0016240"</f>
        <v>H0016240</v>
      </c>
      <c r="B18081" s="5" t="str">
        <f>"MESA METALICA AUXILIAR"</f>
        <v>MESA METALICA AUXILIAR</v>
      </c>
      <c r="C18081" s="6">
        <v>7800</v>
      </c>
      <c r="D18081" s="5"/>
      <c r="E18081" s="5" t="str">
        <f t="shared" si="930"/>
        <v>CARTERA</v>
      </c>
      <c r="F18081" s="5" t="str">
        <f>"Descripcion:MESA TIPO H (MECANOGRAFA CON ALA)CON UNA GABETA Estado: Bueno Placa anterior: 000001449 Material: METALICO Color: GRIS CON MARRON OSCURO Referencia:  Observacion:  Placa padre:  Tipo adquisicion : Entidad"</f>
        <v>Descripcion:MESA TIPO H (MECANOGRAFA CON ALA)CON UNA GABETA Estado: Bueno Placa anterior: 000001449 Material: METALICO Color: GRIS CON MARRON OSCURO Referencia:  Observacion:  Placa padre:  Tipo adquisicion : Entidad</v>
      </c>
      <c r="G18081" s="5"/>
    </row>
    <row r="18082" spans="1:7" ht="58.5" customHeight="1" x14ac:dyDescent="0.25">
      <c r="A18082" s="5" t="str">
        <f>"H0016247"</f>
        <v>H0016247</v>
      </c>
      <c r="B18082" s="5" t="str">
        <f>"MONITOR LCD"</f>
        <v>MONITOR LCD</v>
      </c>
      <c r="C18082" s="6">
        <v>638000</v>
      </c>
      <c r="D18082" s="5"/>
      <c r="E18082" s="5" t="str">
        <f t="shared" si="930"/>
        <v>CARTERA</v>
      </c>
      <c r="F18082" s="5" t="str">
        <f>"Descripcion:MONITOR LCD 19 PULGADAS Estado: Bueno Placa anterior: 000023313 Material: SAMSUNG Color: NEGRO Referencia: SYNCMASTER 943 Observacion: EL BIEN TIENE PLACA ANTERIOR  000035953  AUTORIZADO CRUZAR POR SISTEMAS Placa padre: H0016246 Tipo adquisici"&amp; "on : Entidad"</f>
        <v>Descripcion:MONITOR LCD 19 PULGADAS Estado: Bueno Placa anterior: 000023313 Material: SAMSUNG Color: NEGRO Referencia: SYNCMASTER 943 Observacion: EL BIEN TIENE PLACA ANTERIOR  000035953  AUTORIZADO CRUZAR POR SISTEMAS Placa padre: H0016246 Tipo adquisicion : Entidad</v>
      </c>
      <c r="G18082" s="5"/>
    </row>
    <row r="18083" spans="1:7" ht="58.5" customHeight="1" x14ac:dyDescent="0.25">
      <c r="A18083" s="5" t="str">
        <f>"H0016252"</f>
        <v>H0016252</v>
      </c>
      <c r="B18083" s="5" t="str">
        <f>"PUESTO DE TRABAJO EN L CON 3 GAVETAS"</f>
        <v>PUESTO DE TRABAJO EN L CON 3 GAVETAS</v>
      </c>
      <c r="C18083" s="6">
        <v>610000</v>
      </c>
      <c r="D18083" s="5"/>
      <c r="E18083" s="5" t="str">
        <f t="shared" ref="E18083:E18114" si="931">"CARTERA"</f>
        <v>CARTERA</v>
      </c>
      <c r="F18083" s="5" t="str">
        <f>"Descripcion:ESCRITORIO EWJECUTIVO EN L MODULAR DE 1.50X1.50X0.60X0.73 Estado: Bueno Placa anterior: 000033149 Material: MADERA Color: BEIGE CLARO Referencia:  Observacion:  Placa padre:  Tipo adquisicion : Entidad"</f>
        <v>Descripcion:ESCRITORIO EWJECUTIVO EN L MODULAR DE 1.50X1.50X0.60X0.73 Estado: Bueno Placa anterior: 000033149 Material: MADERA Color: BEIGE CLARO Referencia:  Observacion:  Placa padre:  Tipo adquisicion : Entidad</v>
      </c>
      <c r="G18083" s="5"/>
    </row>
    <row r="18084" spans="1:7" ht="58.5" customHeight="1" x14ac:dyDescent="0.25">
      <c r="A18084" s="5" t="str">
        <f>"H0016269"</f>
        <v>H0016269</v>
      </c>
      <c r="B18084" s="5" t="str">
        <f>"COMPUTADOR TODO EN UNO"</f>
        <v>COMPUTADOR TODO EN UNO</v>
      </c>
      <c r="C18084" s="6">
        <v>2470000</v>
      </c>
      <c r="D18084" s="5" t="s">
        <v>6</v>
      </c>
      <c r="E18084" s="5" t="str">
        <f t="shared" si="931"/>
        <v>CARTERA</v>
      </c>
      <c r="F18084" s="5" t="str">
        <f>"Descripcion:EQUIPO DE COMPUTO TODO EN UNO CON PROCESADOR INTEL i5 Estado: Bueno Placa anterior: 000036966 Material: PLASTICO Color: NEGRO Referencia:  Observacion:  Placa anterior:, Placa nueva=H0016271, Descripcion:MOUSE , Serial:44PC974, Marca:LENOVO, M"&amp; "odelo:SM50F76959, Material:PLASTICO, Color:NEGRO,   Referencia:, Placa anterior:, Placa nueva=H0016270, Descripcion:TECLADO USB, Serial:8259052, Marca:LENOVO, Modelo:KU-0225, Material:PLASTICO, Color:NEGRO,   Referencia: Placa padre:  Tipo adquisicion : E"&amp; "ntidad"</f>
        <v>Descripcion:EQUIPO DE COMPUTO TODO EN UNO CON PROCESADOR INTEL i5 Estado: Bueno Placa anterior: 000036966 Material: PLASTICO Color: NEGRO Referencia:  Observacion:  Placa anterior:, Placa nueva=H0016271, Descripcion:MOUSE , Serial:44PC974, Marca:LENOVO, Modelo:SM50F76959, Material:PLASTICO, Color:NEGRO,   Referencia:, Placa anterior:, Placa nueva=H0016270, Descripcion:TECLADO USB, Serial:8259052, Marca:LENOVO, Modelo:KU-0225, Material:PLASTICO, Color:NEGRO,   Referencia: Placa padre:  Tipo adquisicion : Entidad</v>
      </c>
      <c r="G18084" s="5" t="str">
        <f>"00FDLS"</f>
        <v>00FDLS</v>
      </c>
    </row>
    <row r="18085" spans="1:7" ht="58.5" customHeight="1" x14ac:dyDescent="0.25">
      <c r="A18085" s="5" t="str">
        <f>"H0016569"</f>
        <v>H0016569</v>
      </c>
      <c r="B18085" s="5" t="str">
        <f>"PUESTO DE TRABAJO EN L CON 3 GAVETAS"</f>
        <v>PUESTO DE TRABAJO EN L CON 3 GAVETAS</v>
      </c>
      <c r="C18085" s="6">
        <v>610000</v>
      </c>
      <c r="D18085" s="5"/>
      <c r="E18085" s="5" t="str">
        <f t="shared" si="931"/>
        <v>CARTERA</v>
      </c>
      <c r="F18085" s="5" t="str">
        <f>"Descripcion:ESCRITORIO EWJECUTIVO EN L MODULAR DE 1.50X1.50X0.60X0.73 Estado: Bueno Placa anterior: 000033144 Material: MADERA Color: BEIGE CLARO Referencia:  Observacion:  Placa padre:  Tipo adquisicion : Entidad"</f>
        <v>Descripcion:ESCRITORIO EWJECUTIVO EN L MODULAR DE 1.50X1.50X0.60X0.73 Estado: Bueno Placa anterior: 000033144 Material: MADERA Color: BEIGE CLARO Referencia:  Observacion:  Placa padre:  Tipo adquisicion : Entidad</v>
      </c>
      <c r="G18085" s="5"/>
    </row>
    <row r="18086" spans="1:7" ht="58.5" customHeight="1" x14ac:dyDescent="0.25">
      <c r="A18086" s="5" t="str">
        <f>"H0016578"</f>
        <v>H0016578</v>
      </c>
      <c r="B18086" s="5" t="str">
        <f>"PUESTO DE TRABAJO EN L CON 3 GAVETAS"</f>
        <v>PUESTO DE TRABAJO EN L CON 3 GAVETAS</v>
      </c>
      <c r="C18086" s="6">
        <v>610000</v>
      </c>
      <c r="D18086" s="5"/>
      <c r="E18086" s="5" t="str">
        <f t="shared" si="931"/>
        <v>CARTERA</v>
      </c>
      <c r="F18086" s="5" t="str">
        <f>"Descripcion:ESCRITORIO EWJECUTIVO EN L MODULAR DE 1.50X1.50X0.60X0.73 Estado: Bueno Placa anterior: 000033143 Material: MADERA Color: BEIGE CLARO Referencia:  Observacion:  Placa padre:  Tipo adquisicion : Entidad"</f>
        <v>Descripcion:ESCRITORIO EWJECUTIVO EN L MODULAR DE 1.50X1.50X0.60X0.73 Estado: Bueno Placa anterior: 000033143 Material: MADERA Color: BEIGE CLARO Referencia:  Observacion:  Placa padre:  Tipo adquisicion : Entidad</v>
      </c>
      <c r="G18086" s="5"/>
    </row>
    <row r="18087" spans="1:7" ht="58.5" customHeight="1" x14ac:dyDescent="0.25">
      <c r="A18087" s="5" t="str">
        <f>"H0016601"</f>
        <v>H0016601</v>
      </c>
      <c r="B18087" s="5" t="str">
        <f>"PUESTO DE TRABAJO EN L CON 3 GAVETAS"</f>
        <v>PUESTO DE TRABAJO EN L CON 3 GAVETAS</v>
      </c>
      <c r="C18087" s="6">
        <v>610000</v>
      </c>
      <c r="D18087" s="5"/>
      <c r="E18087" s="5" t="str">
        <f t="shared" si="931"/>
        <v>CARTERA</v>
      </c>
      <c r="F18087" s="5" t="str">
        <f>"Descripcion:ESCRITORIO EWJECUTIVO EN L MODULAR DE 1.50X1.50X0.60X0.73 Estado: Bueno Placa anterior: 000033141 Material: MADERA Color: BEIGE CLARO Referencia:  Observacion:  Placa padre:  Tipo adquisicion : Entidad"</f>
        <v>Descripcion:ESCRITORIO EWJECUTIVO EN L MODULAR DE 1.50X1.50X0.60X0.73 Estado: Bueno Placa anterior: 000033141 Material: MADERA Color: BEIGE CLARO Referencia:  Observacion:  Placa padre:  Tipo adquisicion : Entidad</v>
      </c>
      <c r="G18087" s="5"/>
    </row>
    <row r="18088" spans="1:7" ht="58.5" customHeight="1" x14ac:dyDescent="0.25">
      <c r="A18088" s="5" t="str">
        <f>"H0016605"</f>
        <v>H0016605</v>
      </c>
      <c r="B18088" s="5" t="str">
        <f>"COMPUTADOR TODO EN UNO"</f>
        <v>COMPUTADOR TODO EN UNO</v>
      </c>
      <c r="C18088" s="6">
        <v>2470000</v>
      </c>
      <c r="D18088" s="5" t="s">
        <v>6</v>
      </c>
      <c r="E18088" s="5" t="str">
        <f t="shared" si="931"/>
        <v>CARTERA</v>
      </c>
      <c r="F18088" s="5" t="str">
        <f>"Descripcion:EQUIPO DE COMPUTO TODO EN UNO CON PROCESADOR INTEL i5 Estado: Bueno Placa anterior: 000036968 Material: PLASTICO Color: NEGRO Referencia:  Observacion:  Placa anterior:, Placa nueva=H0016607, Descripcion:MOUSE USB, Serial:44PD019, Marca:LENOVO"&amp; ", Modelo:, Material:PLASTICO, Color:NEGRO,   Referencia:, Placa anterior:, Placa nueva=H0016606, Descripcion:TECLADO USB, Serial:8259143, Marca:LENOVO, Modelo:KU-0225, Material:PLASTICO, Color:NEGRO,   Referencia: Placa padre:  Tipo adquisicion : Entidad"</f>
        <v>Descripcion:EQUIPO DE COMPUTO TODO EN UNO CON PROCESADOR INTEL i5 Estado: Bueno Placa anterior: 000036968 Material: PLASTICO Color: NEGRO Referencia:  Observacion:  Placa anterior:, Placa nueva=H0016607, Descripcion:MOUSE USB, Serial:44PD019, Marca:LENOVO, Modelo:, Material:PLASTICO, Color:NEGRO,   Referencia:, Placa anterior:, Placa nueva=H0016606, Descripcion:TECLADO USB, Serial:8259143, Marca:LENOVO, Modelo:KU-0225, Material:PLASTICO, Color:NEGRO,   Referencia: Placa padre:  Tipo adquisicion : Entidad</v>
      </c>
      <c r="G18088" s="5" t="str">
        <f>"10BD-00FDLS"</f>
        <v>10BD-00FDLS</v>
      </c>
    </row>
    <row r="18089" spans="1:7" ht="58.5" customHeight="1" x14ac:dyDescent="0.25">
      <c r="A18089" s="5" t="str">
        <f>"H0016608"</f>
        <v>H0016608</v>
      </c>
      <c r="B18089" s="5" t="str">
        <f>"PUESTO DE TRABAJO EN L CON 3 GAVETAS"</f>
        <v>PUESTO DE TRABAJO EN L CON 3 GAVETAS</v>
      </c>
      <c r="C18089" s="6">
        <v>610000</v>
      </c>
      <c r="D18089" s="5"/>
      <c r="E18089" s="5" t="str">
        <f t="shared" si="931"/>
        <v>CARTERA</v>
      </c>
      <c r="F18089" s="5" t="str">
        <f>"Descripcion:ESCRITORIO EWJECUTIVO EN L MODULAR DE 1.50X1.50X0.60X0.73 Estado: Bueno Placa anterior: 000033140 Material: MADERA Color: BEIGE CLARO Referencia:  Observacion:  Placa padre:  Tipo adquisicion : Entidad"</f>
        <v>Descripcion:ESCRITORIO EWJECUTIVO EN L MODULAR DE 1.50X1.50X0.60X0.73 Estado: Bueno Placa anterior: 000033140 Material: MADERA Color: BEIGE CLARO Referencia:  Observacion:  Placa padre:  Tipo adquisicion : Entidad</v>
      </c>
      <c r="G18089" s="5"/>
    </row>
    <row r="18090" spans="1:7" ht="58.5" customHeight="1" x14ac:dyDescent="0.25">
      <c r="A18090" s="5" t="str">
        <f>"H0016611"</f>
        <v>H0016611</v>
      </c>
      <c r="B18090" s="5" t="str">
        <f>"ESCALERILLA DE 2 PASOS"</f>
        <v>ESCALERILLA DE 2 PASOS</v>
      </c>
      <c r="C18090" s="6">
        <v>100000</v>
      </c>
      <c r="D18090" s="5" t="s">
        <v>49</v>
      </c>
      <c r="E18090" s="5" t="str">
        <f t="shared" si="931"/>
        <v>CARTERA</v>
      </c>
      <c r="F18090" s="5" t="str">
        <f>"Descripcion:ESCALERILLA DE DOS PASO EN TUBO REDONDO Estado: Bueno Placa anterior: 000029955 Material: MADERA Color: BLANCO CON GRIS Referencia:  Observacion:  Placa padre:  Tipo adquisicion : Entidad"</f>
        <v>Descripcion:ESCALERILLA DE DOS PASO EN TUBO REDONDO Estado: Bueno Placa anterior: 000029955 Material: MADERA Color: BLANCO CON GRIS Referencia:  Observacion:  Placa padre:  Tipo adquisicion : Entidad</v>
      </c>
      <c r="G18090" s="5"/>
    </row>
    <row r="18091" spans="1:7" ht="58.5" customHeight="1" x14ac:dyDescent="0.25">
      <c r="A18091" s="5" t="str">
        <f>"H0016614"</f>
        <v>H0016614</v>
      </c>
      <c r="B18091" s="5" t="str">
        <f>"PUESTO DE TRABAJO EN L CON 3 GAVETAS"</f>
        <v>PUESTO DE TRABAJO EN L CON 3 GAVETAS</v>
      </c>
      <c r="C18091" s="6">
        <v>610000</v>
      </c>
      <c r="D18091" s="5"/>
      <c r="E18091" s="5" t="str">
        <f t="shared" si="931"/>
        <v>CARTERA</v>
      </c>
      <c r="F18091" s="5" t="str">
        <f>"Descripcion:ESCRITORIO EWJECUTIVO EN L MODULAR DE 1.50X1.50X0.60X0.73 Estado: Bueno Placa anterior: 000033139 Material: MADERA Color: BEIGE CLARO Referencia:  Observacion:  Placa padre:  Tipo adquisicion : Entidad"</f>
        <v>Descripcion:ESCRITORIO EWJECUTIVO EN L MODULAR DE 1.50X1.50X0.60X0.73 Estado: Bueno Placa anterior: 000033139 Material: MADERA Color: BEIGE CLARO Referencia:  Observacion:  Placa padre:  Tipo adquisicion : Entidad</v>
      </c>
      <c r="G18091" s="5"/>
    </row>
    <row r="18092" spans="1:7" ht="58.5" customHeight="1" x14ac:dyDescent="0.25">
      <c r="A18092" s="5" t="str">
        <f>"H0016623"</f>
        <v>H0016623</v>
      </c>
      <c r="B18092" s="5" t="str">
        <f>"COMPUTADOR TODO EN UNO"</f>
        <v>COMPUTADOR TODO EN UNO</v>
      </c>
      <c r="C18092" s="6">
        <v>2470000</v>
      </c>
      <c r="D18092" s="5" t="s">
        <v>6</v>
      </c>
      <c r="E18092" s="5" t="str">
        <f t="shared" si="931"/>
        <v>CARTERA</v>
      </c>
      <c r="F18092" s="5" t="str">
        <f>"Descripcion:COMPUTADOR LENOVO TODO EN UNOINTEL CORE I5 Estado: Bueno Placa anterior: 000036995 Material: PLASTICO Color: NEGRO Referencia:  Observacion: EL BIEN TIENE PLACA ANTERIOR  000030827.  SE ASIGNA PLACA 000036995 PORQUE EL SERIAL COINCIDE Placa an"&amp; "terior:, Placa nueva=H0016624, Descripcion:TECLADO USB, Serial:8259157, Marca:LENOVO, Modelo:, Material:PLASTICO, Color:NEGRO,   Referencia:, Placa anterior:, Placa nueva=H0016625, Descripcion:MOUSE USB, Serial:44PD009, Marca:LENOVO, Modelo:, Material:PLA"&amp; "STICO, Color:NEGRO,   Referencia: Placa padre:  Tipo adquisicion : Entidad"</f>
        <v>Descripcion:COMPUTADOR LENOVO TODO EN UNOINTEL CORE I5 Estado: Bueno Placa anterior: 000036995 Material: PLASTICO Color: NEGRO Referencia:  Observacion: EL BIEN TIENE PLACA ANTERIOR  000030827.  SE ASIGNA PLACA 000036995 PORQUE EL SERIAL COINCIDE Placa anterior:, Placa nueva=H0016624, Descripcion:TECLADO USB, Serial:8259157, Marca:LENOVO, Modelo:, Material:PLASTICO, Color:NEGRO,   Referencia:, Placa anterior:, Placa nueva=H0016625, Descripcion:MOUSE USB, Serial:44PD009, Marca:LENOVO, Modelo:, Material:PLASTICO, Color:NEGRO,   Referencia: Placa padre:  Tipo adquisicion : Entidad</v>
      </c>
      <c r="G18092" s="5" t="str">
        <f>"10BD-00FDLS"</f>
        <v>10BD-00FDLS</v>
      </c>
    </row>
    <row r="18093" spans="1:7" ht="58.5" customHeight="1" x14ac:dyDescent="0.25">
      <c r="A18093" s="5" t="str">
        <f>"H0016626"</f>
        <v>H0016626</v>
      </c>
      <c r="B18093" s="5" t="str">
        <f>"PUESTO DE TRABAJO EN L CON 3 GAVETAS"</f>
        <v>PUESTO DE TRABAJO EN L CON 3 GAVETAS</v>
      </c>
      <c r="C18093" s="6">
        <v>610000</v>
      </c>
      <c r="D18093" s="5"/>
      <c r="E18093" s="5" t="str">
        <f t="shared" si="931"/>
        <v>CARTERA</v>
      </c>
      <c r="F18093" s="5" t="str">
        <f>"Descripcion:ESCRITORIO EWJECUTIVO EN L MODULAR DE 1.50X1.50X0.60X0.73 Estado: Bueno Placa anterior: 000033138 Material: MADERA Color: BEIGE CLARO Referencia:  Observacion:  Placa padre:  Tipo adquisicion : Entidad"</f>
        <v>Descripcion:ESCRITORIO EWJECUTIVO EN L MODULAR DE 1.50X1.50X0.60X0.73 Estado: Bueno Placa anterior: 000033138 Material: MADERA Color: BEIGE CLARO Referencia:  Observacion:  Placa padre:  Tipo adquisicion : Entidad</v>
      </c>
      <c r="G18093" s="5"/>
    </row>
    <row r="18094" spans="1:7" ht="58.5" customHeight="1" x14ac:dyDescent="0.25">
      <c r="A18094" s="5" t="str">
        <f>"H0016642"</f>
        <v>H0016642</v>
      </c>
      <c r="B18094" s="5" t="str">
        <f>"PUESTO DE TRABAJO EN L CON 3 GAVETAS"</f>
        <v>PUESTO DE TRABAJO EN L CON 3 GAVETAS</v>
      </c>
      <c r="C18094" s="6">
        <v>610000</v>
      </c>
      <c r="D18094" s="5"/>
      <c r="E18094" s="5" t="str">
        <f t="shared" si="931"/>
        <v>CARTERA</v>
      </c>
      <c r="F18094" s="5" t="str">
        <f>"Descripcion:ESCRITORIO EWJECUTIVO EN L MODULAR DE 1.50X1.50X0.60X0.73 Estado: Bueno Placa anterior: 000033147 Material: MADERA Color: BEIGE CLARO Referencia:  Observacion:  Placa padre:  Tipo adquisicion : Entidad"</f>
        <v>Descripcion:ESCRITORIO EWJECUTIVO EN L MODULAR DE 1.50X1.50X0.60X0.73 Estado: Bueno Placa anterior: 000033147 Material: MADERA Color: BEIGE CLARO Referencia:  Observacion:  Placa padre:  Tipo adquisicion : Entidad</v>
      </c>
      <c r="G18094" s="5"/>
    </row>
    <row r="18095" spans="1:7" ht="58.5" customHeight="1" x14ac:dyDescent="0.25">
      <c r="A18095" s="5" t="str">
        <f>"H0016647"</f>
        <v>H0016647</v>
      </c>
      <c r="B18095" s="5" t="str">
        <f>"PUESTO DE TRABAJO EN L CON 3 GAVETAS"</f>
        <v>PUESTO DE TRABAJO EN L CON 3 GAVETAS</v>
      </c>
      <c r="C18095" s="6">
        <v>610000</v>
      </c>
      <c r="D18095" s="5"/>
      <c r="E18095" s="5" t="str">
        <f t="shared" si="931"/>
        <v>CARTERA</v>
      </c>
      <c r="F18095" s="5" t="str">
        <f>"Descripcion:ESCRITORIO EWJECUTIVO EN L MODULAR DE 1.50X1.50X0.60X0.73 Estado: Bueno Placa anterior: 000033146 Material: MADERA Color: BEIGE CLARO Referencia:  Observacion:  Placa padre:  Tipo adquisicion : Entidad"</f>
        <v>Descripcion:ESCRITORIO EWJECUTIVO EN L MODULAR DE 1.50X1.50X0.60X0.73 Estado: Bueno Placa anterior: 000033146 Material: MADERA Color: BEIGE CLARO Referencia:  Observacion:  Placa padre:  Tipo adquisicion : Entidad</v>
      </c>
      <c r="G18095" s="5"/>
    </row>
    <row r="18096" spans="1:7" ht="58.5" customHeight="1" x14ac:dyDescent="0.25">
      <c r="A18096" s="5" t="str">
        <f>"H0016653"</f>
        <v>H0016653</v>
      </c>
      <c r="B18096" s="5" t="str">
        <f>"PUESTO DE TRABAJO EN L CON 3 GAVETAS"</f>
        <v>PUESTO DE TRABAJO EN L CON 3 GAVETAS</v>
      </c>
      <c r="C18096" s="6">
        <v>610000</v>
      </c>
      <c r="D18096" s="5"/>
      <c r="E18096" s="5" t="str">
        <f t="shared" si="931"/>
        <v>CARTERA</v>
      </c>
      <c r="F18096" s="5" t="str">
        <f>"Descripcion:ESCRITORIO EWJECUTIVO EN L MODULAR DE 1.50X1.50X0.60X0.73 Estado: Bueno Placa anterior: 000033145 Material: MADERA Color: BEIGE CLARO Referencia:  Observacion:  Placa padre:  Tipo adquisicion : Entidad"</f>
        <v>Descripcion:ESCRITORIO EWJECUTIVO EN L MODULAR DE 1.50X1.50X0.60X0.73 Estado: Bueno Placa anterior: 000033145 Material: MADERA Color: BEIGE CLARO Referencia:  Observacion:  Placa padre:  Tipo adquisicion : Entidad</v>
      </c>
      <c r="G18096" s="5"/>
    </row>
    <row r="18097" spans="1:7" ht="58.5" customHeight="1" x14ac:dyDescent="0.25">
      <c r="A18097" s="5" t="str">
        <f>"H0016657"</f>
        <v>H0016657</v>
      </c>
      <c r="B18097" s="5" t="str">
        <f>"PUESTO DE TRABAJO EN L CON 3 GAVETAS"</f>
        <v>PUESTO DE TRABAJO EN L CON 3 GAVETAS</v>
      </c>
      <c r="C18097" s="6">
        <v>610000</v>
      </c>
      <c r="D18097" s="5"/>
      <c r="E18097" s="5" t="str">
        <f t="shared" si="931"/>
        <v>CARTERA</v>
      </c>
      <c r="F18097" s="5" t="str">
        <f>"Descripcion:ESCRITORIO EWJECUTIVO EN L MODULAR DE 1.50X1.50X0.60X0.73 Estado: Bueno Placa anterior: 000033135 Material: MADERA Color: BEIGE CLARO Referencia:  Observacion:  Placa padre:  Tipo adquisicion : Entidad"</f>
        <v>Descripcion:ESCRITORIO EWJECUTIVO EN L MODULAR DE 1.50X1.50X0.60X0.73 Estado: Bueno Placa anterior: 000033135 Material: MADERA Color: BEIGE CLARO Referencia:  Observacion:  Placa padre:  Tipo adquisicion : Entidad</v>
      </c>
      <c r="G18097" s="5"/>
    </row>
    <row r="18098" spans="1:7" ht="58.5" customHeight="1" x14ac:dyDescent="0.25">
      <c r="A18098" s="5" t="str">
        <f>"H0016658"</f>
        <v>H0016658</v>
      </c>
      <c r="B18098" s="5" t="str">
        <f>"COMPUTADOR TODO EN UNO"</f>
        <v>COMPUTADOR TODO EN UNO</v>
      </c>
      <c r="C18098" s="6">
        <v>2470000</v>
      </c>
      <c r="D18098" s="5" t="s">
        <v>6</v>
      </c>
      <c r="E18098" s="5" t="str">
        <f t="shared" si="931"/>
        <v>CARTERA</v>
      </c>
      <c r="F18098" s="5" t="str">
        <f>"Descripcion:EQUIPO DE COMPUTO TODO EN UNO CON PROCESADOR INTEL i5 Estado: Bueno Placa anterior: 000036985 Material: PLASTICO Color: NEGRO Referencia:  Observacion:  Placa anterior:, Placa nueva=H0016660, Descripcion:MOUSE USB, Serial:44PD137, Marca:LENOVO"&amp; ", Modelo:, Material:PLASTICO, Color:NEGRO,   Referencia:, Placa anterior:, Placa nueva=H0016659, Descripcion:TECLADO USB, Serial:8279182, Marca:LENOVO, Modelo:KU-0225, Material:PLASTICO, Color:NEGRO,   Referencia: Placa padre:  Tipo adquisicion : Entidad"</f>
        <v>Descripcion:EQUIPO DE COMPUTO TODO EN UNO CON PROCESADOR INTEL i5 Estado: Bueno Placa anterior: 000036985 Material: PLASTICO Color: NEGRO Referencia:  Observacion:  Placa anterior:, Placa nueva=H0016660, Descripcion:MOUSE USB, Serial:44PD137, Marca:LENOVO, Modelo:, Material:PLASTICO, Color:NEGRO,   Referencia:, Placa anterior:, Placa nueva=H0016659, Descripcion:TECLADO USB, Serial:8279182, Marca:LENOVO, Modelo:KU-0225, Material:PLASTICO, Color:NEGRO,   Referencia: Placa padre:  Tipo adquisicion : Entidad</v>
      </c>
      <c r="G18098" s="5"/>
    </row>
    <row r="18099" spans="1:7" ht="58.5" customHeight="1" x14ac:dyDescent="0.25">
      <c r="A18099" s="5" t="str">
        <f>"H0016678"</f>
        <v>H0016678</v>
      </c>
      <c r="B18099" s="5" t="str">
        <f>"SILLA ERGONOMICA TIPO GERENTE CON BRAZOS"</f>
        <v>SILLA ERGONOMICA TIPO GERENTE CON BRAZOS</v>
      </c>
      <c r="C18099" s="6">
        <v>196000</v>
      </c>
      <c r="D18099" s="5"/>
      <c r="E18099" s="5" t="str">
        <f t="shared" si="931"/>
        <v>CARTERA</v>
      </c>
      <c r="F18099" s="5" t="str">
        <f>"Descripcion:SILLA GIRATORIA TIPO GERENTE Estado: Bueno Placa anterior: 000000192 Material: PLASTICO Color: BEIGE CLARO Referencia:  Observacion:  Placa padre:  Tipo adquisicion : Entidad"</f>
        <v>Descripcion:SILLA GIRATORIA TIPO GERENTE Estado: Bueno Placa anterior: 000000192 Material: PLASTICO Color: BEIGE CLARO Referencia:  Observacion:  Placa padre:  Tipo adquisicion : Entidad</v>
      </c>
      <c r="G18099" s="5"/>
    </row>
    <row r="18100" spans="1:7" ht="58.5" customHeight="1" x14ac:dyDescent="0.25">
      <c r="A18100" s="5" t="str">
        <f>"H0016683"</f>
        <v>H0016683</v>
      </c>
      <c r="B18100" s="5" t="str">
        <f>"COMPUTADOR DE MESA"</f>
        <v>COMPUTADOR DE MESA</v>
      </c>
      <c r="C18100" s="6">
        <v>1940000</v>
      </c>
      <c r="D18100" s="5"/>
      <c r="E18100" s="5" t="str">
        <f t="shared" si="931"/>
        <v>CARTERA</v>
      </c>
      <c r="F18100" s="5" t="str">
        <f>"Descripcion:CPU CLON  Estado: Bueno Placa anterior: 000033579 Material: PLASTICO Color: NEGRO Referencia:  Observacion:  Placa anterior:, Placa nueva=H0016177, Descripcion:TECLADO USB, Serial:, Marca:GENIUS, Modelo:K639, Material:PLASTICO, Color:NEGRO,   "&amp; "Referencia:, Placa anterior:000023014, Placa nueva=H0016176, Descripcion: MONITOR LCD 19 MARCA SAMSUNG 943 NMX, Serial:MY19H9LQ826960R, Marca:SAMSUNG, Modelo:943NWX, Material:PLASTICO, Color:NEGRO,   Referencia:, Placa anterior:, Placa nueva=H0016178, Des"&amp; "cripcion:MOUSE , Serial:44V8044, Marca:, Modelo:, Material:PLASTICO, Color:NEGRO,   Referencia: Placa padre:  Tipo adquisicion : Entidad"</f>
        <v>Descripcion:CPU CLON  Estado: Bueno Placa anterior: 000033579 Material: PLASTICO Color: NEGRO Referencia:  Observacion:  Placa anterior:, Placa nueva=H0016177, Descripcion:TECLADO USB, Serial:, Marca:GENIUS, Modelo:K639, Material:PLASTICO, Color:NEGRO,   Referencia:, Placa anterior:000023014, Placa nueva=H0016176, Descripcion: MONITOR LCD 19 MARCA SAMSUNG 943 NMX, Serial:MY19H9LQ826960R, Marca:SAMSUNG, Modelo:943NWX, Material:PLASTICO, Color:NEGRO,   Referencia:, Placa anterior:, Placa nueva=H0016178, Descripcion:MOUSE , Serial:44V8044, Marca:, Modelo:, Material:PLASTICO, Color:NEGRO,   Referencia: Placa padre:  Tipo adquisicion : Entidad</v>
      </c>
      <c r="G18100" s="5"/>
    </row>
    <row r="18101" spans="1:7" ht="58.5" customHeight="1" x14ac:dyDescent="0.25">
      <c r="A18101" s="5" t="str">
        <f>"H0017734"</f>
        <v>H0017734</v>
      </c>
      <c r="B18101" s="5" t="str">
        <f>"COMPUTADOR TODO EN UNO"</f>
        <v>COMPUTADOR TODO EN UNO</v>
      </c>
      <c r="C18101" s="6">
        <v>1572000</v>
      </c>
      <c r="D18101" s="5" t="s">
        <v>32</v>
      </c>
      <c r="E18101" s="5" t="str">
        <f t="shared" si="931"/>
        <v>CARTERA</v>
      </c>
      <c r="F18101" s="5" t="str">
        <f>"Descripcion:EQUIPOS DE COMPUTO TODO EN UNO PROCESADOR CORE 3.0 SUPERIOR CORPORATIVO WINDOWS 8 PRO- OFFICE 2013 SMALL BUSINES, TECNOLOGIA HT DE INTEL GARANTIA EXTENDIDA A 3 AÑOS Estado: Bueno Placa anterior: 000030572 Material: PLASTICO Color: NEGRO Refere"&amp; "ncia:  Observacion:  Placa anterior:, Placa nueva=H0017735, Descripcion:TECLADO USB, Serial:WE1492040515, Marca:GENIUS, Modelo:K639, Material:PLASTICO, Color:NEGRO,   Referencia:, Placa anterior:, Placa nueva=H0017736, Descripcion:MOUSE USB, Serial:X4H883"&amp; "81001328, Marca:GENIUS, Modelo:, Material:PLASTICO, Color:NEGRO,   Referencia: Placa padre:  Tipo adquisicion : Entidad"</f>
        <v>Descripcion:EQUIPOS DE COMPUTO TODO EN UNO PROCESADOR CORE 3.0 SUPERIOR CORPORATIVO WINDOWS 8 PRO- OFFICE 2013 SMALL BUSINES, TECNOLOGIA HT DE INTEL GARANTIA EXTENDIDA A 3 AÑOS Estado: Bueno Placa anterior: 000030572 Material: PLASTICO Color: NEGRO Referencia:  Observacion:  Placa anterior:, Placa nueva=H0017735, Descripcion:TECLADO USB, Serial:WE1492040515, Marca:GENIUS, Modelo:K639, Material:PLASTICO, Color:NEGRO,   Referencia:, Placa anterior:, Placa nueva=H0017736, Descripcion:MOUSE USB, Serial:X4H88381001328, Marca:GENIUS, Modelo:, Material:PLASTICO, Color:NEGRO,   Referencia: Placa padre:  Tipo adquisicion : Entidad</v>
      </c>
      <c r="G18101" s="5" t="str">
        <f>"COMPAQ PRO 4300"</f>
        <v>COMPAQ PRO 4300</v>
      </c>
    </row>
    <row r="18102" spans="1:7" ht="58.5" customHeight="1" x14ac:dyDescent="0.25">
      <c r="A18102" s="5" t="str">
        <f>"H0017987"</f>
        <v>H0017987</v>
      </c>
      <c r="B18102" s="5" t="str">
        <f>"COMPUTADOR TODO EN UNO"</f>
        <v>COMPUTADOR TODO EN UNO</v>
      </c>
      <c r="C18102" s="6">
        <v>1200000</v>
      </c>
      <c r="D18102" s="5" t="s">
        <v>2</v>
      </c>
      <c r="E18102" s="5" t="str">
        <f t="shared" si="931"/>
        <v>CARTERA</v>
      </c>
      <c r="F18102" s="5" t="str">
        <f>"Descripcion: TODO EN UNO Estado: Bueno Placa anterior: 000030791 Material: PASTA Color: NEGRO Referencia:  Observacion:  Placa anterior:, Placa nueva=H0017990, Descripcion:ESTABILIZADOR, Serial:548362, Marca:POWER 1000, Modelo:, Material:METALICO, Color:B"&amp; "EIS,   Referencia:, Placa anterior:, Placa nueva=H0017989, Descripcion:MOUSE, Serial:, Marca:HP, Modelo:, Material:PASTA, Color:NEGRO,   Referencia: Placa padre: Tipo adquisicion: Entidad"</f>
        <v>Descripcion: TODO EN UNO Estado: Bueno Placa anterior: 000030791 Material: PASTA Color: NEGRO Referencia:  Observacion:  Placa anterior:, Placa nueva=H0017990, Descripcion:ESTABILIZADOR, Serial:548362, Marca:POWER 1000, Modelo:, Material:METALICO, Color:BEIS,   Referencia:, Placa anterior:, Placa nueva=H0017989, Descripcion:MOUSE, Serial:, Marca:HP, Modelo:, Material:PASTA, Color:NEGRO,   Referencia: Placa padre: Tipo adquisicion: Entidad</v>
      </c>
      <c r="G18102" s="5" t="str">
        <f>"COMPAQ PRO 4300"</f>
        <v>COMPAQ PRO 4300</v>
      </c>
    </row>
    <row r="18103" spans="1:7" ht="58.5" customHeight="1" x14ac:dyDescent="0.25">
      <c r="A18103" s="5" t="str">
        <f>"H0018693"</f>
        <v>H0018693</v>
      </c>
      <c r="B18103" s="5" t="str">
        <f>"AIRE ACONDICIONADO 18000 BTU"</f>
        <v>AIRE ACONDICIONADO 18000 BTU</v>
      </c>
      <c r="C18103" s="6">
        <v>3009040</v>
      </c>
      <c r="D18103" s="5" t="s">
        <v>52</v>
      </c>
      <c r="E18103" s="5" t="str">
        <f t="shared" si="931"/>
        <v>CARTERA</v>
      </c>
      <c r="F18103" s="5" t="str">
        <f>"Descripcion: EQUIPO AIRE ACONDICIONADO BTU 18000 Estado: Bueno Placa anterior: 000036397 Material: PLASTICO Color: BLANCO Referencia:  Observacion:  Placa padre: Tipo adquisicion: Entidad"</f>
        <v>Descripcion: EQUIPO AIRE ACONDICIONADO BTU 18000 Estado: Bueno Placa anterior: 000036397 Material: PLASTICO Color: BLANCO Referencia:  Observacion:  Placa padre: Tipo adquisicion: Entidad</v>
      </c>
      <c r="G18103" s="5" t="str">
        <f>"VM12CEN B3"</f>
        <v>VM12CEN B3</v>
      </c>
    </row>
    <row r="18104" spans="1:7" ht="58.5" customHeight="1" x14ac:dyDescent="0.25">
      <c r="A18104" s="5" t="str">
        <f>"H0020693"</f>
        <v>H0020693</v>
      </c>
      <c r="B18104" s="5" t="str">
        <f>"CONDENSDORA (AIRE ACONDICIONADO)"</f>
        <v>CONDENSDORA (AIRE ACONDICIONADO)</v>
      </c>
      <c r="C18104" s="6">
        <v>9900000</v>
      </c>
      <c r="D18104" s="5" t="s">
        <v>453</v>
      </c>
      <c r="E18104" s="5" t="str">
        <f t="shared" si="931"/>
        <v>CARTERA</v>
      </c>
      <c r="F18104" s="5" t="str">
        <f>"Descripcion:CONDESADORA 7.5 TRANE* FACTURACION Estado: Bueno Placa anterior: 000033519 Material: METALICO Color: GRIS Referencia:  Observacion:  Placa padre:  Tipo adquisicion : Entidad"</f>
        <v>Descripcion:CONDESADORA 7.5 TRANE* FACTURACION Estado: Bueno Placa anterior: 000033519 Material: METALICO Color: GRIS Referencia:  Observacion:  Placa padre:  Tipo adquisicion : Entidad</v>
      </c>
      <c r="G18104" s="5" t="str">
        <f>"TTA090D400A"</f>
        <v>TTA090D400A</v>
      </c>
    </row>
    <row r="18105" spans="1:7" ht="58.5" customHeight="1" x14ac:dyDescent="0.25">
      <c r="A18105" s="5" t="str">
        <f>"H0020696"</f>
        <v>H0020696</v>
      </c>
      <c r="B18105" s="5" t="str">
        <f>"MANEJADORA (AIRE ACONDICIONADO)"</f>
        <v>MANEJADORA (AIRE ACONDICIONADO)</v>
      </c>
      <c r="C18105" s="6">
        <v>5000000</v>
      </c>
      <c r="D18105" s="5" t="s">
        <v>453</v>
      </c>
      <c r="E18105" s="5" t="str">
        <f t="shared" si="931"/>
        <v>CARTERA</v>
      </c>
      <c r="F18105" s="5" t="str">
        <f>"Descripcion:MANEJADORA 7.5 TRANECONTROL DE MANDO Estado: Bueno Placa anterior: 000033520 Material: METALICO Color: GRIS Referencia:  Observacion:  Placa padre:  Tipo adquisicion : Entidad"</f>
        <v>Descripcion:MANEJADORA 7.5 TRANECONTROL DE MANDO Estado: Bueno Placa anterior: 000033520 Material: METALICO Color: GRIS Referencia:  Observacion:  Placa padre:  Tipo adquisicion : Entidad</v>
      </c>
      <c r="G18105" s="5" t="str">
        <f>"TWE090D300AA"</f>
        <v>TWE090D300AA</v>
      </c>
    </row>
    <row r="18106" spans="1:7" ht="58.5" customHeight="1" x14ac:dyDescent="0.25">
      <c r="A18106" s="5" t="str">
        <f>"H0024242"</f>
        <v>H0024242</v>
      </c>
      <c r="B18106" s="5" t="str">
        <f>"ESCANER ALTA VELOCIDAD 40 PPM"</f>
        <v>ESCANER ALTA VELOCIDAD 40 PPM</v>
      </c>
      <c r="C18106" s="6">
        <v>3092700</v>
      </c>
      <c r="D18106" s="5" t="s">
        <v>216</v>
      </c>
      <c r="E18106" s="5" t="str">
        <f t="shared" si="931"/>
        <v>CARTERA</v>
      </c>
      <c r="F18106" s="5"/>
      <c r="G18106" s="5"/>
    </row>
    <row r="18107" spans="1:7" ht="58.5" customHeight="1" x14ac:dyDescent="0.25">
      <c r="A18107" s="5" t="str">
        <f>"H0025441"</f>
        <v>H0025441</v>
      </c>
      <c r="B1810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107" s="6">
        <v>312156</v>
      </c>
      <c r="D18107" s="5" t="s">
        <v>10</v>
      </c>
      <c r="E18107" s="5" t="str">
        <f t="shared" si="931"/>
        <v>CARTERA</v>
      </c>
      <c r="F18107" s="5"/>
      <c r="G18107" s="5"/>
    </row>
    <row r="18108" spans="1:7" ht="58.5" customHeight="1" x14ac:dyDescent="0.25">
      <c r="A18108" s="5" t="str">
        <f>"H0026576"</f>
        <v>H0026576</v>
      </c>
      <c r="B1810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108" s="6">
        <v>252400.18</v>
      </c>
      <c r="D18108" s="5" t="s">
        <v>15</v>
      </c>
      <c r="E18108" s="5" t="str">
        <f t="shared" si="931"/>
        <v>CARTERA</v>
      </c>
      <c r="F18108" s="5"/>
      <c r="G18108" s="5"/>
    </row>
    <row r="18109" spans="1:7" ht="58.5" customHeight="1" x14ac:dyDescent="0.25">
      <c r="A18109" s="5" t="str">
        <f>"H0026804"</f>
        <v>H0026804</v>
      </c>
      <c r="B18109"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09" s="6">
        <v>3296300</v>
      </c>
      <c r="D18109" s="5" t="s">
        <v>37</v>
      </c>
      <c r="E18109" s="5" t="str">
        <f t="shared" si="931"/>
        <v>CARTERA</v>
      </c>
      <c r="F18109" s="5"/>
      <c r="G18109" s="5"/>
    </row>
    <row r="18110" spans="1:7" ht="58.5" customHeight="1" x14ac:dyDescent="0.25">
      <c r="A18110" s="5" t="str">
        <f>"H0027172"</f>
        <v>H0027172</v>
      </c>
      <c r="B1811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0" s="6">
        <v>2641800</v>
      </c>
      <c r="D18110" s="5" t="s">
        <v>38</v>
      </c>
      <c r="E18110" s="5" t="str">
        <f t="shared" si="931"/>
        <v>CARTERA</v>
      </c>
      <c r="F18110" s="5"/>
      <c r="G18110" s="5"/>
    </row>
    <row r="18111" spans="1:7" ht="58.5" customHeight="1" x14ac:dyDescent="0.25">
      <c r="A18111" s="5" t="str">
        <f>"H0027205"</f>
        <v>H0027205</v>
      </c>
      <c r="B1811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1" s="6">
        <v>2641800</v>
      </c>
      <c r="D18111" s="5" t="s">
        <v>38</v>
      </c>
      <c r="E18111" s="5" t="str">
        <f t="shared" si="931"/>
        <v>CARTERA</v>
      </c>
      <c r="F18111" s="5"/>
      <c r="G18111" s="5"/>
    </row>
    <row r="18112" spans="1:7" ht="58.5" customHeight="1" x14ac:dyDescent="0.25">
      <c r="A18112" s="5" t="str">
        <f>"H0027245"</f>
        <v>H0027245</v>
      </c>
      <c r="B1811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2" s="6">
        <v>2641800</v>
      </c>
      <c r="D18112" s="5" t="s">
        <v>38</v>
      </c>
      <c r="E18112" s="5" t="str">
        <f t="shared" si="931"/>
        <v>CARTERA</v>
      </c>
      <c r="F18112" s="5"/>
      <c r="G18112" s="5"/>
    </row>
    <row r="18113" spans="1:7" ht="58.5" customHeight="1" x14ac:dyDescent="0.25">
      <c r="A18113" s="5" t="str">
        <f>"H0027263"</f>
        <v>H0027263</v>
      </c>
      <c r="B1811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3" s="6">
        <v>2641800</v>
      </c>
      <c r="D18113" s="5" t="s">
        <v>38</v>
      </c>
      <c r="E18113" s="5" t="str">
        <f t="shared" si="931"/>
        <v>CARTERA</v>
      </c>
      <c r="F18113" s="5"/>
      <c r="G18113" s="5"/>
    </row>
    <row r="18114" spans="1:7" ht="58.5" customHeight="1" x14ac:dyDescent="0.25">
      <c r="A18114" s="5" t="str">
        <f>"H0027272"</f>
        <v>H0027272</v>
      </c>
      <c r="B1811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4" s="6">
        <v>2641800</v>
      </c>
      <c r="D18114" s="5" t="s">
        <v>38</v>
      </c>
      <c r="E18114" s="5" t="str">
        <f t="shared" si="931"/>
        <v>CARTERA</v>
      </c>
      <c r="F18114" s="5"/>
      <c r="G18114" s="5"/>
    </row>
    <row r="18115" spans="1:7" ht="58.5" customHeight="1" x14ac:dyDescent="0.25">
      <c r="A18115" s="5" t="str">
        <f>"H0027309"</f>
        <v>H0027309</v>
      </c>
      <c r="B18115" s="5" t="str">
        <f>"ESCANER DE ALTA VELOCIDAD 35 PPM"</f>
        <v>ESCANER DE ALTA VELOCIDAD 35 PPM</v>
      </c>
      <c r="C18115" s="6">
        <v>1237171.56</v>
      </c>
      <c r="D18115" s="5" t="s">
        <v>12</v>
      </c>
      <c r="E18115" s="5" t="str">
        <f t="shared" ref="E18115:E18149" si="932">"CARTERA"</f>
        <v>CARTERA</v>
      </c>
      <c r="F18115" s="5"/>
      <c r="G18115" s="5"/>
    </row>
    <row r="18116" spans="1:7" ht="58.5" customHeight="1" x14ac:dyDescent="0.25">
      <c r="A18116" s="5" t="str">
        <f>"H0027353"</f>
        <v>H0027353</v>
      </c>
      <c r="B1811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116" s="6">
        <v>2641800</v>
      </c>
      <c r="D18116" s="5" t="s">
        <v>83</v>
      </c>
      <c r="E18116" s="5" t="str">
        <f t="shared" si="932"/>
        <v>CARTERA</v>
      </c>
      <c r="F18116" s="5"/>
      <c r="G18116" s="5"/>
    </row>
    <row r="18117" spans="1:7" ht="58.5" customHeight="1" x14ac:dyDescent="0.25">
      <c r="A18117" s="5" t="str">
        <f>"H0028921"</f>
        <v>H0028921</v>
      </c>
      <c r="B18117" s="5" t="str">
        <f>"SILLA HERGONOMICA CON SISTEMA HIDRAULICO"</f>
        <v>SILLA HERGONOMICA CON SISTEMA HIDRAULICO</v>
      </c>
      <c r="C18117" s="6">
        <v>174900</v>
      </c>
      <c r="D18117" s="5" t="s">
        <v>40</v>
      </c>
      <c r="E18117" s="5" t="str">
        <f t="shared" si="932"/>
        <v>CARTERA</v>
      </c>
      <c r="F18117" s="5"/>
      <c r="G18117" s="5"/>
    </row>
    <row r="18118" spans="1:7" ht="58.5" customHeight="1" x14ac:dyDescent="0.25">
      <c r="A18118" s="5" t="str">
        <f>"H0029522"</f>
        <v>H0029522</v>
      </c>
      <c r="B18118" s="5" t="str">
        <f>"MONITOR LED"</f>
        <v>MONITOR LED</v>
      </c>
      <c r="C18118" s="6">
        <v>283220</v>
      </c>
      <c r="D18118" s="5" t="s">
        <v>14</v>
      </c>
      <c r="E18118" s="5" t="str">
        <f t="shared" si="932"/>
        <v>CARTERA</v>
      </c>
      <c r="F18118" s="5"/>
      <c r="G18118" s="5"/>
    </row>
    <row r="18119" spans="1:7" ht="58.5" customHeight="1" x14ac:dyDescent="0.25">
      <c r="A18119" s="5" t="str">
        <f>"H0029606"</f>
        <v>H0029606</v>
      </c>
      <c r="B1811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119" s="6">
        <v>252400.18</v>
      </c>
      <c r="D18119" s="5" t="s">
        <v>15</v>
      </c>
      <c r="E18119" s="5" t="str">
        <f t="shared" si="932"/>
        <v>CARTERA</v>
      </c>
      <c r="F18119" s="5"/>
      <c r="G18119" s="5"/>
    </row>
    <row r="18120" spans="1:7" ht="58.5" customHeight="1" x14ac:dyDescent="0.25">
      <c r="A18120" s="5" t="str">
        <f>"H0031464"</f>
        <v>H0031464</v>
      </c>
      <c r="B1812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120" s="6">
        <v>3209500</v>
      </c>
      <c r="D18120" s="5" t="s">
        <v>16</v>
      </c>
      <c r="E18120" s="5" t="str">
        <f t="shared" si="932"/>
        <v>CARTERA</v>
      </c>
      <c r="F18120" s="5"/>
      <c r="G18120" s="5"/>
    </row>
    <row r="18121" spans="1:7" ht="58.5" customHeight="1" x14ac:dyDescent="0.25">
      <c r="A18121" s="5" t="str">
        <f>"H0031465"</f>
        <v>H0031465</v>
      </c>
      <c r="B1812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121" s="6">
        <v>3209500</v>
      </c>
      <c r="D18121" s="5" t="s">
        <v>16</v>
      </c>
      <c r="E18121" s="5" t="str">
        <f t="shared" si="932"/>
        <v>CARTERA</v>
      </c>
      <c r="F18121" s="5"/>
      <c r="G18121" s="5"/>
    </row>
    <row r="18122" spans="1:7" ht="58.5" customHeight="1" x14ac:dyDescent="0.25">
      <c r="A18122" s="5" t="str">
        <f>"H0031803"</f>
        <v>H0031803</v>
      </c>
      <c r="B18122" s="5" t="str">
        <f>"SILLA ERGONOMICAS PARA COMPUTADOR"</f>
        <v>SILLA ERGONOMICAS PARA COMPUTADOR</v>
      </c>
      <c r="C18122" s="6">
        <v>264999.90000000002</v>
      </c>
      <c r="D18122" s="5" t="s">
        <v>43</v>
      </c>
      <c r="E18122" s="5" t="str">
        <f t="shared" si="932"/>
        <v>CARTERA</v>
      </c>
      <c r="F18122" s="5"/>
      <c r="G18122" s="5"/>
    </row>
    <row r="18123" spans="1:7" ht="58.5" customHeight="1" x14ac:dyDescent="0.25">
      <c r="A18123" s="5" t="str">
        <f>"H0035102"</f>
        <v>H0035102</v>
      </c>
      <c r="B18123" s="5" t="str">
        <f>"VENTILADOR DE PARED"</f>
        <v>VENTILADOR DE PARED</v>
      </c>
      <c r="C18123" s="6">
        <v>130000.37</v>
      </c>
      <c r="D18123" s="5" t="s">
        <v>25</v>
      </c>
      <c r="E18123" s="5" t="str">
        <f t="shared" si="932"/>
        <v>CARTERA</v>
      </c>
      <c r="F18123" s="5"/>
      <c r="G18123" s="5"/>
    </row>
    <row r="18124" spans="1:7" ht="58.5" customHeight="1" x14ac:dyDescent="0.25">
      <c r="A18124" s="5" t="str">
        <f>"H0035108"</f>
        <v>H0035108</v>
      </c>
      <c r="B18124" s="5" t="str">
        <f>"VENTILADOR DE PARED"</f>
        <v>VENTILADOR DE PARED</v>
      </c>
      <c r="C18124" s="6">
        <v>130000.37</v>
      </c>
      <c r="D18124" s="5" t="s">
        <v>25</v>
      </c>
      <c r="E18124" s="5" t="str">
        <f t="shared" si="932"/>
        <v>CARTERA</v>
      </c>
      <c r="F18124" s="5"/>
      <c r="G18124" s="5"/>
    </row>
    <row r="18125" spans="1:7" ht="58.5" customHeight="1" x14ac:dyDescent="0.25">
      <c r="A18125" s="5" t="str">
        <f>"H0035110"</f>
        <v>H0035110</v>
      </c>
      <c r="B18125" s="5" t="str">
        <f>"VENTILADOR DE PARED"</f>
        <v>VENTILADOR DE PARED</v>
      </c>
      <c r="C18125" s="6">
        <v>130000.37</v>
      </c>
      <c r="D18125" s="5" t="s">
        <v>25</v>
      </c>
      <c r="E18125" s="5" t="str">
        <f t="shared" si="932"/>
        <v>CARTERA</v>
      </c>
      <c r="F18125" s="5"/>
      <c r="G18125" s="5"/>
    </row>
    <row r="18126" spans="1:7" ht="58.5" customHeight="1" x14ac:dyDescent="0.25">
      <c r="A18126" s="5" t="str">
        <f>"H0035128"</f>
        <v>H0035128</v>
      </c>
      <c r="B18126" s="5" t="str">
        <f>"VENTILADOR DE PARED"</f>
        <v>VENTILADOR DE PARED</v>
      </c>
      <c r="C18126" s="6">
        <v>130000.37</v>
      </c>
      <c r="D18126" s="5" t="s">
        <v>25</v>
      </c>
      <c r="E18126" s="5" t="str">
        <f t="shared" si="932"/>
        <v>CARTERA</v>
      </c>
      <c r="F18126" s="5"/>
      <c r="G18126" s="5"/>
    </row>
    <row r="18127" spans="1:7" ht="58.5" customHeight="1" x14ac:dyDescent="0.25">
      <c r="A18127" s="5" t="str">
        <f>"H0035134"</f>
        <v>H0035134</v>
      </c>
      <c r="B18127" s="5" t="str">
        <f>"VENTILADOR DE PARED"</f>
        <v>VENTILADOR DE PARED</v>
      </c>
      <c r="C18127" s="6">
        <v>130000.37</v>
      </c>
      <c r="D18127" s="5" t="s">
        <v>25</v>
      </c>
      <c r="E18127" s="5" t="str">
        <f t="shared" si="932"/>
        <v>CARTERA</v>
      </c>
      <c r="F18127" s="5"/>
      <c r="G18127" s="5"/>
    </row>
    <row r="18128" spans="1:7" ht="58.5" customHeight="1" x14ac:dyDescent="0.25">
      <c r="A18128" s="5" t="str">
        <f>"H0035910"</f>
        <v>H0035910</v>
      </c>
      <c r="B18128" s="5" t="str">
        <f t="shared" ref="B18128:B18142" si="933">"SILLA GERENTE NIZA MEC. BASCULANTE CON BRAZOS."</f>
        <v>SILLA GERENTE NIZA MEC. BASCULANTE CON BRAZOS.</v>
      </c>
      <c r="C18128" s="6">
        <v>639999.86</v>
      </c>
      <c r="D18128" s="5" t="s">
        <v>281</v>
      </c>
      <c r="E18128" s="5" t="str">
        <f t="shared" si="932"/>
        <v>CARTERA</v>
      </c>
      <c r="F18128" s="5"/>
      <c r="G18128" s="5"/>
    </row>
    <row r="18129" spans="1:7" ht="58.5" customHeight="1" x14ac:dyDescent="0.25">
      <c r="A18129" s="5" t="str">
        <f>"H0035912"</f>
        <v>H0035912</v>
      </c>
      <c r="B18129" s="5" t="str">
        <f t="shared" si="933"/>
        <v>SILLA GERENTE NIZA MEC. BASCULANTE CON BRAZOS.</v>
      </c>
      <c r="C18129" s="6">
        <v>639999.86</v>
      </c>
      <c r="D18129" s="5" t="s">
        <v>281</v>
      </c>
      <c r="E18129" s="5" t="str">
        <f t="shared" si="932"/>
        <v>CARTERA</v>
      </c>
      <c r="F18129" s="5"/>
      <c r="G18129" s="5"/>
    </row>
    <row r="18130" spans="1:7" ht="58.5" customHeight="1" x14ac:dyDescent="0.25">
      <c r="A18130" s="5" t="str">
        <f>"H0035913"</f>
        <v>H0035913</v>
      </c>
      <c r="B18130" s="5" t="str">
        <f t="shared" si="933"/>
        <v>SILLA GERENTE NIZA MEC. BASCULANTE CON BRAZOS.</v>
      </c>
      <c r="C18130" s="6">
        <v>639999.86</v>
      </c>
      <c r="D18130" s="5" t="s">
        <v>281</v>
      </c>
      <c r="E18130" s="5" t="str">
        <f t="shared" si="932"/>
        <v>CARTERA</v>
      </c>
      <c r="F18130" s="5"/>
      <c r="G18130" s="5"/>
    </row>
    <row r="18131" spans="1:7" ht="58.5" customHeight="1" x14ac:dyDescent="0.25">
      <c r="A18131" s="5" t="str">
        <f>"H0035914"</f>
        <v>H0035914</v>
      </c>
      <c r="B18131" s="5" t="str">
        <f t="shared" si="933"/>
        <v>SILLA GERENTE NIZA MEC. BASCULANTE CON BRAZOS.</v>
      </c>
      <c r="C18131" s="6">
        <v>639999.86</v>
      </c>
      <c r="D18131" s="5" t="s">
        <v>281</v>
      </c>
      <c r="E18131" s="5" t="str">
        <f t="shared" si="932"/>
        <v>CARTERA</v>
      </c>
      <c r="F18131" s="5"/>
      <c r="G18131" s="5"/>
    </row>
    <row r="18132" spans="1:7" ht="58.5" customHeight="1" x14ac:dyDescent="0.25">
      <c r="A18132" s="5" t="str">
        <f>"H0035915"</f>
        <v>H0035915</v>
      </c>
      <c r="B18132" s="5" t="str">
        <f t="shared" si="933"/>
        <v>SILLA GERENTE NIZA MEC. BASCULANTE CON BRAZOS.</v>
      </c>
      <c r="C18132" s="6">
        <v>639999.86</v>
      </c>
      <c r="D18132" s="5" t="s">
        <v>281</v>
      </c>
      <c r="E18132" s="5" t="str">
        <f t="shared" si="932"/>
        <v>CARTERA</v>
      </c>
      <c r="F18132" s="5"/>
      <c r="G18132" s="5"/>
    </row>
    <row r="18133" spans="1:7" ht="58.5" customHeight="1" x14ac:dyDescent="0.25">
      <c r="A18133" s="5" t="str">
        <f>"H0035916"</f>
        <v>H0035916</v>
      </c>
      <c r="B18133" s="5" t="str">
        <f t="shared" si="933"/>
        <v>SILLA GERENTE NIZA MEC. BASCULANTE CON BRAZOS.</v>
      </c>
      <c r="C18133" s="6">
        <v>639999.86</v>
      </c>
      <c r="D18133" s="5" t="s">
        <v>281</v>
      </c>
      <c r="E18133" s="5" t="str">
        <f t="shared" si="932"/>
        <v>CARTERA</v>
      </c>
      <c r="F18133" s="5"/>
      <c r="G18133" s="5"/>
    </row>
    <row r="18134" spans="1:7" ht="58.5" customHeight="1" x14ac:dyDescent="0.25">
      <c r="A18134" s="5" t="str">
        <f>"H0035917"</f>
        <v>H0035917</v>
      </c>
      <c r="B18134" s="5" t="str">
        <f t="shared" si="933"/>
        <v>SILLA GERENTE NIZA MEC. BASCULANTE CON BRAZOS.</v>
      </c>
      <c r="C18134" s="6">
        <v>639999.86</v>
      </c>
      <c r="D18134" s="5" t="s">
        <v>281</v>
      </c>
      <c r="E18134" s="5" t="str">
        <f t="shared" si="932"/>
        <v>CARTERA</v>
      </c>
      <c r="F18134" s="5"/>
      <c r="G18134" s="5"/>
    </row>
    <row r="18135" spans="1:7" ht="58.5" customHeight="1" x14ac:dyDescent="0.25">
      <c r="A18135" s="5" t="str">
        <f>"H0035918"</f>
        <v>H0035918</v>
      </c>
      <c r="B18135" s="5" t="str">
        <f t="shared" si="933"/>
        <v>SILLA GERENTE NIZA MEC. BASCULANTE CON BRAZOS.</v>
      </c>
      <c r="C18135" s="6">
        <v>639999.86</v>
      </c>
      <c r="D18135" s="5" t="s">
        <v>281</v>
      </c>
      <c r="E18135" s="5" t="str">
        <f t="shared" si="932"/>
        <v>CARTERA</v>
      </c>
      <c r="F18135" s="5"/>
      <c r="G18135" s="5"/>
    </row>
    <row r="18136" spans="1:7" ht="58.5" customHeight="1" x14ac:dyDescent="0.25">
      <c r="A18136" s="5" t="str">
        <f>"H0035919"</f>
        <v>H0035919</v>
      </c>
      <c r="B18136" s="5" t="str">
        <f t="shared" si="933"/>
        <v>SILLA GERENTE NIZA MEC. BASCULANTE CON BRAZOS.</v>
      </c>
      <c r="C18136" s="6">
        <v>639999.86</v>
      </c>
      <c r="D18136" s="5" t="s">
        <v>281</v>
      </c>
      <c r="E18136" s="5" t="str">
        <f t="shared" si="932"/>
        <v>CARTERA</v>
      </c>
      <c r="F18136" s="5"/>
      <c r="G18136" s="5"/>
    </row>
    <row r="18137" spans="1:7" ht="58.5" customHeight="1" x14ac:dyDescent="0.25">
      <c r="A18137" s="5" t="str">
        <f>"H0035920"</f>
        <v>H0035920</v>
      </c>
      <c r="B18137" s="5" t="str">
        <f t="shared" si="933"/>
        <v>SILLA GERENTE NIZA MEC. BASCULANTE CON BRAZOS.</v>
      </c>
      <c r="C18137" s="6">
        <v>639999.86</v>
      </c>
      <c r="D18137" s="5" t="s">
        <v>281</v>
      </c>
      <c r="E18137" s="5" t="str">
        <f t="shared" si="932"/>
        <v>CARTERA</v>
      </c>
      <c r="F18137" s="5"/>
      <c r="G18137" s="5"/>
    </row>
    <row r="18138" spans="1:7" ht="58.5" customHeight="1" x14ac:dyDescent="0.25">
      <c r="A18138" s="5" t="str">
        <f>"H0035921"</f>
        <v>H0035921</v>
      </c>
      <c r="B18138" s="5" t="str">
        <f t="shared" si="933"/>
        <v>SILLA GERENTE NIZA MEC. BASCULANTE CON BRAZOS.</v>
      </c>
      <c r="C18138" s="6">
        <v>639999.86</v>
      </c>
      <c r="D18138" s="5" t="s">
        <v>281</v>
      </c>
      <c r="E18138" s="5" t="str">
        <f t="shared" si="932"/>
        <v>CARTERA</v>
      </c>
      <c r="F18138" s="5"/>
      <c r="G18138" s="5"/>
    </row>
    <row r="18139" spans="1:7" ht="58.5" customHeight="1" x14ac:dyDescent="0.25">
      <c r="A18139" s="5" t="str">
        <f>"H0035922"</f>
        <v>H0035922</v>
      </c>
      <c r="B18139" s="5" t="str">
        <f t="shared" si="933"/>
        <v>SILLA GERENTE NIZA MEC. BASCULANTE CON BRAZOS.</v>
      </c>
      <c r="C18139" s="6">
        <v>639999.86</v>
      </c>
      <c r="D18139" s="5" t="s">
        <v>281</v>
      </c>
      <c r="E18139" s="5" t="str">
        <f t="shared" si="932"/>
        <v>CARTERA</v>
      </c>
      <c r="F18139" s="5"/>
      <c r="G18139" s="5"/>
    </row>
    <row r="18140" spans="1:7" ht="58.5" customHeight="1" x14ac:dyDescent="0.25">
      <c r="A18140" s="5" t="str">
        <f>"H0035923"</f>
        <v>H0035923</v>
      </c>
      <c r="B18140" s="5" t="str">
        <f t="shared" si="933"/>
        <v>SILLA GERENTE NIZA MEC. BASCULANTE CON BRAZOS.</v>
      </c>
      <c r="C18140" s="6">
        <v>639999.86</v>
      </c>
      <c r="D18140" s="5" t="s">
        <v>281</v>
      </c>
      <c r="E18140" s="5" t="str">
        <f t="shared" si="932"/>
        <v>CARTERA</v>
      </c>
      <c r="F18140" s="5"/>
      <c r="G18140" s="5"/>
    </row>
    <row r="18141" spans="1:7" ht="58.5" customHeight="1" x14ac:dyDescent="0.25">
      <c r="A18141" s="5" t="str">
        <f>"H0035933"</f>
        <v>H0035933</v>
      </c>
      <c r="B18141" s="5" t="str">
        <f t="shared" si="933"/>
        <v>SILLA GERENTE NIZA MEC. BASCULANTE CON BRAZOS.</v>
      </c>
      <c r="C18141" s="6">
        <v>639999.86</v>
      </c>
      <c r="D18141" s="5" t="s">
        <v>281</v>
      </c>
      <c r="E18141" s="5" t="str">
        <f t="shared" si="932"/>
        <v>CARTERA</v>
      </c>
      <c r="F18141" s="5"/>
      <c r="G18141" s="5"/>
    </row>
    <row r="18142" spans="1:7" ht="58.5" customHeight="1" x14ac:dyDescent="0.25">
      <c r="A18142" s="5" t="str">
        <f>"H0035936"</f>
        <v>H0035936</v>
      </c>
      <c r="B18142" s="5" t="str">
        <f t="shared" si="933"/>
        <v>SILLA GERENTE NIZA MEC. BASCULANTE CON BRAZOS.</v>
      </c>
      <c r="C18142" s="6">
        <v>639999.86</v>
      </c>
      <c r="D18142" s="5" t="s">
        <v>281</v>
      </c>
      <c r="E18142" s="5" t="str">
        <f t="shared" si="932"/>
        <v>CARTERA</v>
      </c>
      <c r="F18142" s="5"/>
      <c r="G18142" s="5"/>
    </row>
    <row r="18143" spans="1:7" ht="58.5" customHeight="1" x14ac:dyDescent="0.25">
      <c r="A18143" s="5" t="str">
        <f>"H0036530"</f>
        <v>H0036530</v>
      </c>
      <c r="B18143"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8143" s="6">
        <v>6307000</v>
      </c>
      <c r="D18143" s="5" t="s">
        <v>48</v>
      </c>
      <c r="E18143" s="5" t="str">
        <f t="shared" si="932"/>
        <v>CARTERA</v>
      </c>
      <c r="F18143" s="5"/>
      <c r="G18143" s="5" t="str">
        <f>"VZ4680G"</f>
        <v>VZ4680G</v>
      </c>
    </row>
    <row r="18144" spans="1:7" ht="58.5" customHeight="1" x14ac:dyDescent="0.25">
      <c r="A18144" s="5" t="str">
        <f>"H0036538"</f>
        <v>H0036538</v>
      </c>
      <c r="B18144"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8144" s="6">
        <v>6307000</v>
      </c>
      <c r="D18144" s="5" t="s">
        <v>48</v>
      </c>
      <c r="E18144" s="5" t="str">
        <f t="shared" si="932"/>
        <v>CARTERA</v>
      </c>
      <c r="F18144" s="5"/>
      <c r="G18144" s="5" t="str">
        <f>"VZ4680G"</f>
        <v>VZ4680G</v>
      </c>
    </row>
    <row r="18145" spans="1:7" ht="58.5" customHeight="1" x14ac:dyDescent="0.25">
      <c r="A18145" s="5" t="str">
        <f>"H0037961"</f>
        <v>H0037961</v>
      </c>
      <c r="B18145" s="5" t="str">
        <f>"SILLA GERENTE NIZA MEC. BASCULANTE CON BRAZOS."</f>
        <v>SILLA GERENTE NIZA MEC. BASCULANTE CON BRAZOS.</v>
      </c>
      <c r="C18145" s="6">
        <v>710000.01</v>
      </c>
      <c r="D18145" s="5" t="s">
        <v>30</v>
      </c>
      <c r="E18145" s="5" t="str">
        <f t="shared" si="932"/>
        <v>CARTERA</v>
      </c>
      <c r="F18145" s="5"/>
      <c r="G18145" s="5"/>
    </row>
    <row r="18146" spans="1:7" ht="58.5" customHeight="1" x14ac:dyDescent="0.25">
      <c r="A18146" s="5" t="str">
        <f>"H0037962"</f>
        <v>H0037962</v>
      </c>
      <c r="B18146" s="5" t="str">
        <f>"SILLA GERENTE NIZA MEC. BASCULANTE CON BRAZOS."</f>
        <v>SILLA GERENTE NIZA MEC. BASCULANTE CON BRAZOS.</v>
      </c>
      <c r="C18146" s="6">
        <v>710000.01</v>
      </c>
      <c r="D18146" s="5" t="s">
        <v>30</v>
      </c>
      <c r="E18146" s="5" t="str">
        <f t="shared" si="932"/>
        <v>CARTERA</v>
      </c>
      <c r="F18146" s="5"/>
      <c r="G18146" s="5"/>
    </row>
    <row r="18147" spans="1:7" ht="58.5" customHeight="1" x14ac:dyDescent="0.25">
      <c r="A18147" s="5" t="str">
        <f>"H0037963"</f>
        <v>H0037963</v>
      </c>
      <c r="B18147" s="5" t="str">
        <f>"SILLA GERENTE NIZA MEC. BASCULANTE CON BRAZOS."</f>
        <v>SILLA GERENTE NIZA MEC. BASCULANTE CON BRAZOS.</v>
      </c>
      <c r="C18147" s="6">
        <v>710000.01</v>
      </c>
      <c r="D18147" s="5" t="s">
        <v>30</v>
      </c>
      <c r="E18147" s="5" t="str">
        <f t="shared" si="932"/>
        <v>CARTERA</v>
      </c>
      <c r="F18147" s="5"/>
      <c r="G18147" s="5"/>
    </row>
    <row r="18148" spans="1:7" ht="58.5" customHeight="1" x14ac:dyDescent="0.25">
      <c r="A18148" s="5" t="str">
        <f>"H0038128"</f>
        <v>H0038128</v>
      </c>
      <c r="B18148" s="5" t="str">
        <f>"COMPUTADOR TODO EN UNO"</f>
        <v>COMPUTADOR TODO EN UNO</v>
      </c>
      <c r="C18148" s="6">
        <v>7497000</v>
      </c>
      <c r="D18148" s="5" t="s">
        <v>31</v>
      </c>
      <c r="E18148" s="5" t="str">
        <f t="shared" si="932"/>
        <v>CARTERA</v>
      </c>
      <c r="F18148" s="5"/>
      <c r="G18148" s="5"/>
    </row>
    <row r="18149" spans="1:7" ht="58.5" customHeight="1" x14ac:dyDescent="0.25">
      <c r="A18149" s="5" t="str">
        <f>"H0038130"</f>
        <v>H0038130</v>
      </c>
      <c r="B18149" s="5" t="str">
        <f>"COMPUTADOR TODO EN UNO"</f>
        <v>COMPUTADOR TODO EN UNO</v>
      </c>
      <c r="C18149" s="6">
        <v>7497000</v>
      </c>
      <c r="D18149" s="5" t="s">
        <v>31</v>
      </c>
      <c r="E18149" s="5" t="str">
        <f t="shared" si="932"/>
        <v>CARTERA</v>
      </c>
      <c r="F18149" s="5"/>
      <c r="G18149" s="5"/>
    </row>
    <row r="18150" spans="1:7" ht="58.5" customHeight="1" x14ac:dyDescent="0.25">
      <c r="A18150" s="5" t="str">
        <f>"H0000219"</f>
        <v>H0000219</v>
      </c>
      <c r="B18150" s="5" t="str">
        <f>"SILLON (SOFA)"</f>
        <v>SILLON (SOFA)</v>
      </c>
      <c r="C18150" s="6">
        <v>25000</v>
      </c>
      <c r="D18150" s="5"/>
      <c r="E18150" s="5" t="str">
        <f t="shared" ref="E18150:E18213" si="934">"TALENTO HUMANO-MARCO ANTONIO NAVARRO PALACIOS"</f>
        <v>TALENTO HUMANO-MARCO ANTONIO NAVARRO PALACIOS</v>
      </c>
      <c r="F18150" s="5" t="str">
        <f>"Descripcion: SOFA DE 3 PUESTOS COLOR MARRON, BASE DE MADERA Y TAPIZADO EN CUERINA Estado: Bueno Placa anterior: 000005816 Material: BASE DE MADERA Y TAPIZADO EN CUERINA Color: MARRON Referencia:  Observacion:  Placa padre: Tipo adquisicion: Entidad"</f>
        <v>Descripcion: SOFA DE 3 PUESTOS COLOR MARRON, BASE DE MADERA Y TAPIZADO EN CUERINA Estado: Bueno Placa anterior: 000005816 Material: BASE DE MADERA Y TAPIZADO EN CUERINA Color: MARRON Referencia:  Observacion:  Placa padre: Tipo adquisicion: Entidad</v>
      </c>
      <c r="G18150" s="5"/>
    </row>
    <row r="18151" spans="1:7" ht="58.5" customHeight="1" x14ac:dyDescent="0.25">
      <c r="A18151" s="5" t="str">
        <f>"H0002470"</f>
        <v>H0002470</v>
      </c>
      <c r="B18151" s="5" t="str">
        <f>"COMPUTADOR TODO EN UNO"</f>
        <v>COMPUTADOR TODO EN UNO</v>
      </c>
      <c r="C18151" s="6">
        <v>2470000</v>
      </c>
      <c r="D18151" s="5"/>
      <c r="E18151" s="5" t="str">
        <f t="shared" si="934"/>
        <v>TALENTO HUMANO-MARCO ANTONIO NAVARRO PALACIOS</v>
      </c>
      <c r="F18151" s="5" t="str">
        <f>"Descripcion:EQUIPO DE COMPUTO TODO EN UNO CON PROCESADOR INTEL i5 Estado: Excelente Placa anterior: 000037295 Material: PASTA Color: NEGRO Referencia: 10BDFDLS Observacion:  Placa anterior:, Placa nueva=H0002471, Descripcion:TECLADO USB LENOVO, Serial:825"&amp; "8421, Marca:LENOVO, Modelo:KU-0225, Material:PASTA, Color:NEGRO,   Referencia:54Y9424, Placa anterior:, Placa nueva=H0002472, Descripcion:MOUSE USB  3 BOTONES, Serial:44MG148, Marca:LENOVO, Modelo:45J4889, Material:PASTA, Color:NEGRO,   Referencia: Placa "&amp; "padre:  Tipo adquisicion : Entidad"</f>
        <v>Descripcion:EQUIPO DE COMPUTO TODO EN UNO CON PROCESADOR INTEL i5 Estado: Excelente Placa anterior: 000037295 Material: PASTA Color: NEGRO Referencia: 10BDFDLS Observacion:  Placa anterior:, Placa nueva=H0002471, Descripcion:TECLADO USB LENOVO, Serial:8258421, Marca:LENOVO, Modelo:KU-0225, Material:PASTA, Color:NEGRO,   Referencia:54Y9424, Placa anterior:, Placa nueva=H0002472, Descripcion:MOUSE USB  3 BOTONES, Serial:44MG148, Marca:LENOVO, Modelo:45J4889, Material:PASTA, Color:NEGRO,   Referencia: Placa padre:  Tipo adquisicion : Entidad</v>
      </c>
      <c r="G18151" s="5" t="str">
        <f>"00FDLS"</f>
        <v>00FDLS</v>
      </c>
    </row>
    <row r="18152" spans="1:7" ht="58.5" customHeight="1" x14ac:dyDescent="0.25">
      <c r="A18152" s="5" t="str">
        <f>"H0002678"</f>
        <v>H0002678</v>
      </c>
      <c r="B18152" s="5" t="str">
        <f>"ENRUTADOR (ROUTER) INALAMBRICO (ACCES POINT)"</f>
        <v>ENRUTADOR (ROUTER) INALAMBRICO (ACCES POINT)</v>
      </c>
      <c r="C18152" s="6">
        <v>323640</v>
      </c>
      <c r="D18152" s="5"/>
      <c r="E18152" s="5" t="str">
        <f t="shared" si="934"/>
        <v>TALENTO HUMANO-MARCO ANTONIO NAVARRO PALACIOS</v>
      </c>
      <c r="F18152" s="5" t="str">
        <f>"Descripcion:INDOOR ACCESS POINT, 3 ANTENAS DE COLOR GRIS, CABLE DE RED, CARGADOR Estado: Excelente Placa anterior: 000037079 Material: PASTA Color: BLANCO Y GRIS Referencia:  Observacion:  Placa padre:  Tipo adquisicion : Entidad"</f>
        <v>Descripcion:INDOOR ACCESS POINT, 3 ANTENAS DE COLOR GRIS, CABLE DE RED, CARGADOR Estado: Excelente Placa anterior: 000037079 Material: PASTA Color: BLANCO Y GRIS Referencia:  Observacion:  Placa padre:  Tipo adquisicion : Entidad</v>
      </c>
      <c r="G18152" s="5" t="str">
        <f>"TL-WA901ND"</f>
        <v>TL-WA901ND</v>
      </c>
    </row>
    <row r="18153" spans="1:7" ht="58.5" customHeight="1" x14ac:dyDescent="0.25">
      <c r="A18153" s="5" t="str">
        <f>"H0003319"</f>
        <v>H0003319</v>
      </c>
      <c r="B18153" s="5" t="str">
        <f>"ESTANTE METALICO 7 ENTREPAÑOS"</f>
        <v>ESTANTE METALICO 7 ENTREPAÑOS</v>
      </c>
      <c r="C18153" s="6">
        <v>281999</v>
      </c>
      <c r="D18153" s="5" t="s">
        <v>257</v>
      </c>
      <c r="E18153" s="5" t="str">
        <f t="shared" si="934"/>
        <v>TALENTO HUMANO-MARCO ANTONIO NAVARRO PALACIOS</v>
      </c>
      <c r="F18153"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000038809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000038809 Material: METALICO Color: GRIS Referencia:  Observacion:  Placa padre: Tipo adquisicion: Entidad</v>
      </c>
      <c r="G18153" s="5"/>
    </row>
    <row r="18154" spans="1:7" ht="58.5" customHeight="1" x14ac:dyDescent="0.25">
      <c r="A18154" s="5" t="str">
        <f>"H0003334"</f>
        <v>H0003334</v>
      </c>
      <c r="B18154" s="5" t="str">
        <f>"ESTANTE METALICO 7 ENTREPAÑOS"</f>
        <v>ESTANTE METALICO 7 ENTREPAÑOS</v>
      </c>
      <c r="C18154" s="6">
        <v>281999</v>
      </c>
      <c r="D18154" s="5" t="s">
        <v>257</v>
      </c>
      <c r="E18154" s="5" t="str">
        <f t="shared" si="934"/>
        <v>TALENTO HUMANO-MARCO ANTONIO NAVARRO PALACIOS</v>
      </c>
      <c r="F1815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000038875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000038875 Material: METALICO Color: GRIS Referencia:  Observacion:  Placa padre: Tipo adquisicion: Entidad</v>
      </c>
      <c r="G18154" s="5"/>
    </row>
    <row r="18155" spans="1:7" ht="58.5" customHeight="1" x14ac:dyDescent="0.25">
      <c r="A18155" s="5" t="str">
        <f>"H0003337"</f>
        <v>H0003337</v>
      </c>
      <c r="B18155" s="5" t="str">
        <f>"ESTANTE METALICO 7 ENTREPAÑOS"</f>
        <v>ESTANTE METALICO 7 ENTREPAÑOS</v>
      </c>
      <c r="C18155" s="6">
        <v>281999</v>
      </c>
      <c r="D18155" s="5" t="s">
        <v>257</v>
      </c>
      <c r="E18155" s="5" t="str">
        <f t="shared" si="934"/>
        <v>TALENTO HUMANO-MARCO ANTONIO NAVARRO PALACIOS</v>
      </c>
      <c r="F1815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000038877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000038877 Material: METALICO Color: GRIS Referencia:  Observacion:  Placa padre: Tipo adquisicion: Entidad</v>
      </c>
      <c r="G18155" s="5"/>
    </row>
    <row r="18156" spans="1:7" ht="58.5" customHeight="1" x14ac:dyDescent="0.25">
      <c r="A18156" s="5" t="str">
        <f>"H0005141"</f>
        <v>H0005141</v>
      </c>
      <c r="B18156" s="5" t="str">
        <f>"ESCRITORIO METALICO 3 GAVETAS"</f>
        <v>ESCRITORIO METALICO 3 GAVETAS</v>
      </c>
      <c r="C18156" s="6">
        <v>27714</v>
      </c>
      <c r="D18156" s="5"/>
      <c r="E18156" s="5" t="str">
        <f t="shared" si="934"/>
        <v>TALENTO HUMANO-MARCO ANTONIO NAVARRO PALACIOS</v>
      </c>
      <c r="F18156" s="5" t="str">
        <f>"Descripcion: ESCRITORIO EN L METALICO Y MADERA Estado: Bueno Placa anterior: 000002520 Material: METALICO Color: GRIS Referencia:  Observacion:  Placa padre: Tipo adquisicion: Entidad"</f>
        <v>Descripcion: ESCRITORIO EN L METALICO Y MADERA Estado: Bueno Placa anterior: 000002520 Material: METALICO Color: GRIS Referencia:  Observacion:  Placa padre: Tipo adquisicion: Entidad</v>
      </c>
      <c r="G18156" s="5"/>
    </row>
    <row r="18157" spans="1:7" ht="58.5" customHeight="1" x14ac:dyDescent="0.25">
      <c r="A18157" s="5" t="str">
        <f>"H0005143"</f>
        <v>H0005143</v>
      </c>
      <c r="B18157" s="5" t="str">
        <f>"MONITOR LCD"</f>
        <v>MONITOR LCD</v>
      </c>
      <c r="C18157" s="6">
        <v>695000</v>
      </c>
      <c r="D18157" s="5"/>
      <c r="E18157" s="5" t="str">
        <f t="shared" si="934"/>
        <v>TALENTO HUMANO-MARCO ANTONIO NAVARRO PALACIOS</v>
      </c>
      <c r="F18157" s="5" t="str">
        <f>"Descripcion: MONITOR LCD 17 Estado: Bueno Placa anterior: 000033585 Material: PLASTICO Color: NEGRO Referencia: W2043S-PFV.AWPKAPN Observacion:  Placa padre: H0005142Tipo adquisicion: Entidad"</f>
        <v>Descripcion: MONITOR LCD 17 Estado: Bueno Placa anterior: 000033585 Material: PLASTICO Color: NEGRO Referencia: W2043S-PFV.AWPKAPN Observacion:  Placa padre: H0005142Tipo adquisicion: Entidad</v>
      </c>
      <c r="G18157" s="5" t="str">
        <f>"W2043SV"</f>
        <v>W2043SV</v>
      </c>
    </row>
    <row r="18158" spans="1:7" ht="58.5" customHeight="1" x14ac:dyDescent="0.25">
      <c r="A18158" s="5" t="str">
        <f>"H0005153"</f>
        <v>H0005153</v>
      </c>
      <c r="B18158" s="5" t="str">
        <f>"IMPRESORA LASER"</f>
        <v>IMPRESORA LASER</v>
      </c>
      <c r="C18158" s="6">
        <v>1798000</v>
      </c>
      <c r="D18158" s="5"/>
      <c r="E18158" s="5" t="str">
        <f t="shared" si="934"/>
        <v>TALENTO HUMANO-MARCO ANTONIO NAVARRO PALACIOS</v>
      </c>
      <c r="F18158" s="5" t="str">
        <f>"Descripcion: IMPRESORA HP LASER 2055DN NB 35 ppm-600 MHZ - DUPLEX RED.USB - 300 HOJAS -126MB - 1200X1200 ppp Estado: Bueno Placa anterior: 000029533 Material: PLASTICO Color: GRIS Referencia: JHJS-1PT Observacion:  Placa padre: Tipo adquisicion: Entidad"</f>
        <v>Descripcion: IMPRESORA HP LASER 2055DN NB 35 ppm-600 MHZ - DUPLEX RED.USB - 300 HOJAS -126MB - 1200X1200 ppp Estado: Bueno Placa anterior: 000029533 Material: PLASTICO Color: GRIS Referencia: JHJS-1PT Observacion:  Placa padre: Tipo adquisicion: Entidad</v>
      </c>
      <c r="G18158" s="5" t="str">
        <f>"HP LASER JET P2055D"</f>
        <v>HP LASER JET P2055D</v>
      </c>
    </row>
    <row r="18159" spans="1:7" ht="58.5" customHeight="1" x14ac:dyDescent="0.25">
      <c r="A18159" s="5" t="str">
        <f>"H0005164"</f>
        <v>H0005164</v>
      </c>
      <c r="B18159" s="5" t="str">
        <f>"COSEDORA GRANDE CAPACIDAD MAYOR 140 HOJAS"</f>
        <v>COSEDORA GRANDE CAPACIDAD MAYOR 140 HOJAS</v>
      </c>
      <c r="C18159" s="6">
        <v>75400</v>
      </c>
      <c r="D18159" s="5"/>
      <c r="E18159" s="5" t="str">
        <f t="shared" si="934"/>
        <v>TALENTO HUMANO-MARCO ANTONIO NAVARRO PALACIOS</v>
      </c>
      <c r="F18159" s="5" t="str">
        <f>"Descripcion: COSEDORA INDUSTRIAL Estado: Bueno Placa anterior: 000001409 Material: METALICO Color: BEIGE Referencia:  Observacion:  Placa padre: Tipo adquisicion: Entidad"</f>
        <v>Descripcion: COSEDORA INDUSTRIAL Estado: Bueno Placa anterior: 000001409 Material: METALICO Color: BEIGE Referencia:  Observacion:  Placa padre: Tipo adquisicion: Entidad</v>
      </c>
      <c r="G18159" s="5"/>
    </row>
    <row r="18160" spans="1:7" ht="58.5" customHeight="1" x14ac:dyDescent="0.25">
      <c r="A18160" s="5" t="str">
        <f>"H0007008"</f>
        <v>H0007008</v>
      </c>
      <c r="B18160" s="5" t="str">
        <f>"COMPUTADOR TODO EN UNO"</f>
        <v>COMPUTADOR TODO EN UNO</v>
      </c>
      <c r="C18160" s="6">
        <v>2470000</v>
      </c>
      <c r="D18160" s="5" t="s">
        <v>684</v>
      </c>
      <c r="E18160" s="5" t="str">
        <f t="shared" si="934"/>
        <v>TALENTO HUMANO-MARCO ANTONIO NAVARRO PALACIOS</v>
      </c>
      <c r="F18160" s="5" t="str">
        <f>"Descripcion: EQUIPO DE COMPUTO TODO EN UNO CON PROCESADOR INTEL i5 Estado: Excelente Placa anterior: 000037258 Material: PLASTICO Color: NEGRO Referencia: 10BD-00FDLS Observacion:  Placa anterior:, Placa nueva=H0007009, Descripcion:., Serial:8259127, Marc"&amp; "a:LENOVO, Modelo:KU-0225, Material:PLASTICO, Color:NEGRO,   Referencia:54Y9424, Placa anterior:, Placa nueva=H0007010, Descripcion:OPTICO, Serial:44PD036, Marca:LENOVO, Modelo:MOEUUOA, Material:PLASTICO, Color:NEGRO,   Referencia:SM50F76959 Placa padre: T"&amp; "ipo adquisicion: Entidad"</f>
        <v>Descripcion: EQUIPO DE COMPUTO TODO EN UNO CON PROCESADOR INTEL i5 Estado: Excelente Placa anterior: 000037258 Material: PLASTICO Color: NEGRO Referencia: 10BD-00FDLS Observacion:  Placa anterior:, Placa nueva=H0007009, Descripcion:., Serial:8259127, Marca:LENOVO, Modelo:KU-0225, Material:PLASTICO, Color:NEGRO,   Referencia:54Y9424, Placa anterior:, Placa nueva=H0007010, Descripcion:OPTICO, Serial:44PD036, Marca:LENOVO, Modelo:MOEUUOA, Material:PLASTICO, Color:NEGRO,   Referencia:SM50F76959 Placa padre: Tipo adquisicion: Entidad</v>
      </c>
      <c r="G18160" s="5"/>
    </row>
    <row r="18161" spans="1:7" ht="58.5" customHeight="1" x14ac:dyDescent="0.25">
      <c r="A18161" s="5" t="str">
        <f>"H0011902"</f>
        <v>H0011902</v>
      </c>
      <c r="B18161" s="5" t="str">
        <f>"ESTANTE METALICO 6 ENTREPAÑOS"</f>
        <v>ESTANTE METALICO 6 ENTREPAÑOS</v>
      </c>
      <c r="C18161" s="6">
        <v>10167.52</v>
      </c>
      <c r="D18161" s="5"/>
      <c r="E18161" s="5" t="str">
        <f t="shared" si="934"/>
        <v>TALENTO HUMANO-MARCO ANTONIO NAVARRO PALACIOS</v>
      </c>
      <c r="F18161" s="5" t="str">
        <f>"Descripcion: ESTANTE METALICO 6 ENTREPAÑOS  Estado: Bueno Placa anterior: 000012525 Material: METALICO Color: GRIS Referencia:  Observacion:  Placa padre: Tipo adquisicion: Entidad"</f>
        <v>Descripcion: ESTANTE METALICO 6 ENTREPAÑOS  Estado: Bueno Placa anterior: 000012525 Material: METALICO Color: GRIS Referencia:  Observacion:  Placa padre: Tipo adquisicion: Entidad</v>
      </c>
      <c r="G18161" s="5"/>
    </row>
    <row r="18162" spans="1:7" ht="58.5" customHeight="1" x14ac:dyDescent="0.25">
      <c r="A18162" s="5" t="str">
        <f>"H0011972"</f>
        <v>H0011972</v>
      </c>
      <c r="B18162" s="5" t="str">
        <f>"ESCRITORIO METALICO 3 GAVETAS"</f>
        <v>ESCRITORIO METALICO 3 GAVETAS</v>
      </c>
      <c r="C18162" s="6">
        <v>14289</v>
      </c>
      <c r="D18162" s="5"/>
      <c r="E18162" s="5" t="str">
        <f t="shared" si="934"/>
        <v>TALENTO HUMANO-MARCO ANTONIO NAVARRO PALACIOS</v>
      </c>
      <c r="F18162" s="5" t="str">
        <f>"Descripcion: ESCRITORIO METALICO 3 GAVETAS Estado: Malo Placa anterior: 000001583 Material: METALICO Color: GRIS CON MADERA OSCURO Referencia:  Observacion:  Placa padre: Tipo adquisicion: Entidad"</f>
        <v>Descripcion: ESCRITORIO METALICO 3 GAVETAS Estado: Malo Placa anterior: 000001583 Material: METALICO Color: GRIS CON MADERA OSCURO Referencia:  Observacion:  Placa padre: Tipo adquisicion: Entidad</v>
      </c>
      <c r="G18162" s="5"/>
    </row>
    <row r="18163" spans="1:7" ht="58.5" customHeight="1" x14ac:dyDescent="0.25">
      <c r="A18163" s="5" t="str">
        <f>"H0016291"</f>
        <v>H0016291</v>
      </c>
      <c r="B18163" s="5" t="str">
        <f>"SILLA INTERLOCUTORA (FIJA) SIN BRAZOS"</f>
        <v>SILLA INTERLOCUTORA (FIJA) SIN BRAZOS</v>
      </c>
      <c r="C18163" s="6">
        <v>9679.7000000000007</v>
      </c>
      <c r="D18163" s="5"/>
      <c r="E18163" s="5" t="str">
        <f t="shared" si="934"/>
        <v>TALENTO HUMANO-MARCO ANTONIO NAVARRO PALACIOS</v>
      </c>
      <c r="F18163" s="5" t="str">
        <f>"Descripcion: SILLA INTERLOCUTORA CON BASE METALICA COLOR GRIS, ESPALDAR Y SENTADERA FORRADA EN CUERO MARRON Estado: Bueno Placa anterior: 000001461 Material: METALICO Y CUERO Color: MARRON Y GRIS Referencia:  Observacion:  Placa padre: Tipo adquisicion: E"&amp; "ntidad"</f>
        <v>Descripcion: SILLA INTERLOCUTORA CON BASE METALICA COLOR GRIS, ESPALDAR Y SENTADERA FORRADA EN CUERO MARRON Estado: Bueno Placa anterior: 000001461 Material: METALICO Y CUERO Color: MARRON Y GRIS Referencia:  Observacion:  Placa padre: Tipo adquisicion: Entidad</v>
      </c>
      <c r="G18163" s="5"/>
    </row>
    <row r="18164" spans="1:7" ht="58.5" customHeight="1" x14ac:dyDescent="0.25">
      <c r="A18164" s="5" t="str">
        <f>"H0016292"</f>
        <v>H0016292</v>
      </c>
      <c r="B18164" s="5" t="str">
        <f>"SILLA INTERLOCUTORA (FIJA) SIN BRAZOS"</f>
        <v>SILLA INTERLOCUTORA (FIJA) SIN BRAZOS</v>
      </c>
      <c r="C18164" s="6">
        <v>9679.7000000000007</v>
      </c>
      <c r="D18164" s="5"/>
      <c r="E18164" s="5" t="str">
        <f t="shared" si="934"/>
        <v>TALENTO HUMANO-MARCO ANTONIO NAVARRO PALACIOS</v>
      </c>
      <c r="F18164" s="5" t="str">
        <f>"Descripcion: SILLA FIJA SIN BRAZOS COLOR MARRON Estado: Bueno Placa anterior: 000024050 Material: METALICO Y CUERO Color: MARRON Y GRIS Referencia:  Observacion:  Placa padre: Tipo adquisicion: Entidad"</f>
        <v>Descripcion: SILLA FIJA SIN BRAZOS COLOR MARRON Estado: Bueno Placa anterior: 000024050 Material: METALICO Y CUERO Color: MARRON Y GRIS Referencia:  Observacion:  Placa padre: Tipo adquisicion: Entidad</v>
      </c>
      <c r="G18164" s="5"/>
    </row>
    <row r="18165" spans="1:7" ht="58.5" customHeight="1" x14ac:dyDescent="0.25">
      <c r="A18165" s="5" t="str">
        <f>"H0016293"</f>
        <v>H0016293</v>
      </c>
      <c r="B18165" s="5" t="str">
        <f>"COMPUTADOR TODO EN UNO"</f>
        <v>COMPUTADOR TODO EN UNO</v>
      </c>
      <c r="C18165" s="6">
        <v>2470000</v>
      </c>
      <c r="D18165" s="5" t="s">
        <v>6</v>
      </c>
      <c r="E18165" s="5" t="str">
        <f t="shared" si="934"/>
        <v>TALENTO HUMANO-MARCO ANTONIO NAVARRO PALACIOS</v>
      </c>
      <c r="F18165" s="5" t="str">
        <f>"Descripcion: EQUIPO DE COMPUTO TODO EN UNO CON PROCESADOR INTEL i5 Estado: Bueno Placa anterior: 000036959 Material: PASTA Color: NEGRO Referencia:  Observacion:  Placa anterior:, Placa nueva=H0016295, Descripcion:MOUSE LENOVO, Serial:44PC973, Marca:LENOV"&amp; "O, Modelo:, Material:PASTA, Color:NEGRO,   Referencia:, Placa anterior:, Placa nueva=H0016294, Descripcion:TECLADO LENOVO, Serial:8259053, Marca:LENOVO, Modelo:KU-0225, Material:PASTA, Color:NEGRO,   Referencia: Placa padre: Tipo adquisicion: Entidad"</f>
        <v>Descripcion: EQUIPO DE COMPUTO TODO EN UNO CON PROCESADOR INTEL i5 Estado: Bueno Placa anterior: 000036959 Material: PASTA Color: NEGRO Referencia:  Observacion:  Placa anterior:, Placa nueva=H0016295, Descripcion:MOUSE LENOVO, Serial:44PC973, Marca:LENOVO, Modelo:, Material:PASTA, Color:NEGRO,   Referencia:, Placa anterior:, Placa nueva=H0016294, Descripcion:TECLADO LENOVO, Serial:8259053, Marca:LENOVO, Modelo:KU-0225, Material:PASTA, Color:NEGRO,   Referencia: Placa padre: Tipo adquisicion: Entidad</v>
      </c>
      <c r="G18165" s="5" t="str">
        <f>"10BD-00FDLS"</f>
        <v>10BD-00FDLS</v>
      </c>
    </row>
    <row r="18166" spans="1:7" ht="58.5" customHeight="1" x14ac:dyDescent="0.25">
      <c r="A18166" s="5" t="str">
        <f>"H0016297"</f>
        <v>H0016297</v>
      </c>
      <c r="B18166" s="5" t="str">
        <f>"PUESTO DE TRABAJO EN L"</f>
        <v>PUESTO DE TRABAJO EN L</v>
      </c>
      <c r="C18166" s="6">
        <v>600000</v>
      </c>
      <c r="D18166" s="5"/>
      <c r="E18166" s="5" t="str">
        <f t="shared" si="934"/>
        <v>TALENTO HUMANO-MARCO ANTONIO NAVARRO PALACIOS</v>
      </c>
      <c r="F18166" s="5" t="str">
        <f>"Descripcion: PUESTO MODULARES DE TRABAJO Estado: Bueno Placa anterior: 000033453 Material: SUPERFICIE EN FORMICA Color: BEIGS  Y MARCO EN NEGRO Referencia:  Observacion: PUESTO DE TRABAJO EN L CON 3 GAVETAS  Placa padre: Tipo adquisicion: Entidad"</f>
        <v>Descripcion: PUESTO MODULARES DE TRABAJO Estado: Bueno Placa anterior: 000033453 Material: SUPERFICIE EN FORMICA Color: BEIGS  Y MARCO EN NEGRO Referencia:  Observacion: PUESTO DE TRABAJO EN L CON 3 GAVETAS  Placa padre: Tipo adquisicion: Entidad</v>
      </c>
      <c r="G18166" s="5"/>
    </row>
    <row r="18167" spans="1:7" ht="58.5" customHeight="1" x14ac:dyDescent="0.25">
      <c r="A18167" s="5" t="str">
        <f>"H0016304"</f>
        <v>H0016304</v>
      </c>
      <c r="B18167" s="5" t="str">
        <f>"PUESTO DE TRABAJO EN L"</f>
        <v>PUESTO DE TRABAJO EN L</v>
      </c>
      <c r="C18167" s="6">
        <v>600000</v>
      </c>
      <c r="D18167" s="5"/>
      <c r="E18167" s="5" t="str">
        <f t="shared" si="934"/>
        <v>TALENTO HUMANO-MARCO ANTONIO NAVARRO PALACIOS</v>
      </c>
      <c r="F18167" s="5" t="str">
        <f>"Descripcion: PUESTO MODULARES DE TRABAJO Estado: Bueno Placa anterior: 000033456 Material: SUPERFICIE EN FORMICA Y BASE METALICA Color: BEIGS Y MARCO EN NEGRO Referencia:  Observacion: PUESTO DE TRABAJO EN L CON 3 GAVETAS CON REPOSAPIE Placa padre: Tipo a"&amp; "dquisicion: Entidad"</f>
        <v>Descripcion: PUESTO MODULARES DE TRABAJO Estado: Bueno Placa anterior: 000033456 Material: SUPERFICIE EN FORMICA Y BASE METALICA Color: BEIGS Y MARCO EN NEGRO Referencia:  Observacion: PUESTO DE TRABAJO EN L CON 3 GAVETAS CON REPOSAPIE Placa padre: Tipo adquisicion: Entidad</v>
      </c>
      <c r="G18167" s="5"/>
    </row>
    <row r="18168" spans="1:7" ht="58.5" customHeight="1" x14ac:dyDescent="0.25">
      <c r="A18168" s="5" t="str">
        <f>"H0016317"</f>
        <v>H0016317</v>
      </c>
      <c r="B18168" s="5" t="str">
        <f>"PUESTO DE TRABAJO EN L CON 3 GAVETAS"</f>
        <v>PUESTO DE TRABAJO EN L CON 3 GAVETAS</v>
      </c>
      <c r="C18168" s="6">
        <v>600000</v>
      </c>
      <c r="D18168" s="5"/>
      <c r="E18168" s="5" t="str">
        <f t="shared" si="934"/>
        <v>TALENTO HUMANO-MARCO ANTONIO NAVARRO PALACIOS</v>
      </c>
      <c r="F18168" s="5" t="str">
        <f>"Descripcion: PUESTO DE TRABAJO EN L CON TRES GAVETAS, CON PORTACPU Y REPOSAPIE Estado: Bueno Placa anterior: 000033454 Material: METALICO Y SUPERFICIE EN FORMICA Color: BEIGE Y GRIS Referencia:  Observacion: LO DIVIDIERON EN TRES PUESTOS DE TRABAJO Placa "&amp; "padre: Tipo adquisicion: Entidad"</f>
        <v>Descripcion: PUESTO DE TRABAJO EN L CON TRES GAVETAS, CON PORTACPU Y REPOSAPIE Estado: Bueno Placa anterior: 000033454 Material: METALICO Y SUPERFICIE EN FORMICA Color: BEIGE Y GRIS Referencia:  Observacion: LO DIVIDIERON EN TRES PUESTOS DE TRABAJO Placa padre: Tipo adquisicion: Entidad</v>
      </c>
      <c r="G18168" s="5"/>
    </row>
    <row r="18169" spans="1:7" ht="58.5" customHeight="1" x14ac:dyDescent="0.25">
      <c r="A18169" s="5" t="str">
        <f>"H0016320"</f>
        <v>H0016320</v>
      </c>
      <c r="B18169" s="5" t="str">
        <f>"COMPUTADOR TODO EN UNO"</f>
        <v>COMPUTADOR TODO EN UNO</v>
      </c>
      <c r="C18169" s="6">
        <v>1572000</v>
      </c>
      <c r="D18169" s="5" t="s">
        <v>32</v>
      </c>
      <c r="E18169" s="5" t="str">
        <f t="shared" si="934"/>
        <v>TALENTO HUMANO-MARCO ANTONIO NAVARRO PALACIOS</v>
      </c>
      <c r="F18169" s="5" t="str">
        <f>"Descripcion: COMPUTADOR TODO EN UNO Estado: Bueno Placa anterior: 000030561 Material: PASTA Color: NEGRO Referencia:  Observacion:  Placa anterior:, Placa nueva=H0016322, Descripcion:MOUSE, Serial:, Marca:HP, Modelo:, Material:PASTA, Color:NEGRO,   Refere"&amp; "ncia: Placa padre: Tipo adquisicion: Entidad"</f>
        <v>Descripcion: COMPUTADOR TODO EN UNO Estado: Bueno Placa anterior: 000030561 Material: PASTA Color: NEGRO Referencia:  Observacion:  Placa anterior:, Placa nueva=H0016322, Descripcion:MOUSE, Serial:, Marca:HP, Modelo:, Material:PASTA, Color:NEGRO,   Referencia: Placa padre: Tipo adquisicion: Entidad</v>
      </c>
      <c r="G18169" s="5" t="str">
        <f>"PRO 4300"</f>
        <v>PRO 4300</v>
      </c>
    </row>
    <row r="18170" spans="1:7" ht="58.5" customHeight="1" x14ac:dyDescent="0.25">
      <c r="A18170" s="5" t="str">
        <f>"H0016323"</f>
        <v>H0016323</v>
      </c>
      <c r="B18170" s="5" t="str">
        <f>"ESTABILIZADOR  PARA COMPUTADOR"</f>
        <v>ESTABILIZADOR  PARA COMPUTADOR</v>
      </c>
      <c r="C18170" s="6">
        <v>55000</v>
      </c>
      <c r="D18170" s="5"/>
      <c r="E18170" s="5" t="str">
        <f t="shared" si="934"/>
        <v>TALENTO HUMANO-MARCO ANTONIO NAVARRO PALACIOS</v>
      </c>
      <c r="F18170" s="5" t="str">
        <f>"Descripcion: ESTABILIZADOR DE 1000VA Estado: Bueno Placa anterior: 000023492 Material: METALICO Color: NEGRO Referencia:  Observacion:  Placa padre: H0016320Tipo adquisicion: Entidad"</f>
        <v>Descripcion: ESTABILIZADOR DE 1000VA Estado: Bueno Placa anterior: 000023492 Material: METALICO Color: NEGRO Referencia:  Observacion:  Placa padre: H0016320Tipo adquisicion: Entidad</v>
      </c>
      <c r="G18170" s="5"/>
    </row>
    <row r="18171" spans="1:7" ht="58.5" customHeight="1" x14ac:dyDescent="0.25">
      <c r="A18171" s="5" t="str">
        <f>"H0016333"</f>
        <v>H0016333</v>
      </c>
      <c r="B18171" s="5" t="str">
        <f>"COMPUTADOR TODO EN UNO"</f>
        <v>COMPUTADOR TODO EN UNO</v>
      </c>
      <c r="C18171" s="6">
        <v>2470000</v>
      </c>
      <c r="D18171" s="5" t="s">
        <v>6</v>
      </c>
      <c r="E18171" s="5" t="str">
        <f t="shared" si="934"/>
        <v>TALENTO HUMANO-MARCO ANTONIO NAVARRO PALACIOS</v>
      </c>
      <c r="F18171" s="5" t="str">
        <f>"Descripcion: COMPUTADOR TODO EN UNO Estado: Bueno Placa anterior: 000037014 Material: PASTA Color: NEGRO Referencia:  Observacion:  Placa padre: Tipo adquisicion: Entidad"</f>
        <v>Descripcion: COMPUTADOR TODO EN UNO Estado: Bueno Placa anterior: 000037014 Material: PASTA Color: NEGRO Referencia:  Observacion:  Placa padre: Tipo adquisicion: Entidad</v>
      </c>
      <c r="G18171" s="5" t="str">
        <f>"10BD-00FDLS"</f>
        <v>10BD-00FDLS</v>
      </c>
    </row>
    <row r="18172" spans="1:7" ht="58.5" customHeight="1" x14ac:dyDescent="0.25">
      <c r="A18172" s="5" t="str">
        <f>"H0016339"</f>
        <v>H0016339</v>
      </c>
      <c r="B18172" s="5" t="str">
        <f>"SILLA INTERLOCUTORA (FIJA) SIN BRAZOS"</f>
        <v>SILLA INTERLOCUTORA (FIJA) SIN BRAZOS</v>
      </c>
      <c r="C18172" s="6">
        <v>9679.7000000000007</v>
      </c>
      <c r="D18172" s="5"/>
      <c r="E18172" s="5" t="str">
        <f t="shared" si="934"/>
        <v>TALENTO HUMANO-MARCO ANTONIO NAVARRO PALACIOS</v>
      </c>
      <c r="F18172" s="5" t="str">
        <f>"Descripcion: SILLA INTERLOCUTORA METALICA CON FORRO EN CUERO MARRON Estado: Bueno Placa anterior: 000024052 Material: METALICA Y CUERO Color: GRIS Y MARRON Referencia:  Observacion:  Placa padre: Tipo adquisicion: Entidad"</f>
        <v>Descripcion: SILLA INTERLOCUTORA METALICA CON FORRO EN CUERO MARRON Estado: Bueno Placa anterior: 000024052 Material: METALICA Y CUERO Color: GRIS Y MARRON Referencia:  Observacion:  Placa padre: Tipo adquisicion: Entidad</v>
      </c>
      <c r="G18172" s="5"/>
    </row>
    <row r="18173" spans="1:7" ht="58.5" customHeight="1" x14ac:dyDescent="0.25">
      <c r="A18173" s="5" t="str">
        <f>"H0016340"</f>
        <v>H0016340</v>
      </c>
      <c r="B18173" s="5" t="str">
        <f>"SILLA INTERLOCUTORA (FIJA) SIN BRAZOS"</f>
        <v>SILLA INTERLOCUTORA (FIJA) SIN BRAZOS</v>
      </c>
      <c r="C18173" s="6">
        <v>9679.7000000000007</v>
      </c>
      <c r="D18173" s="5"/>
      <c r="E18173" s="5" t="str">
        <f t="shared" si="934"/>
        <v>TALENTO HUMANO-MARCO ANTONIO NAVARRO PALACIOS</v>
      </c>
      <c r="F18173" s="5" t="str">
        <f>"Descripcion: SILLA FIJA SIN BRAZOS COLOR MARRON Estado: Bueno Placa anterior: 000001468 Material: METALICA Y CUERO Color: GRIS Y MARRON Referencia:  Observacion: SILLA INTERLOCUTORA METALICA CON FORRO EN CUERO MARRON Placa padre: Tipo adquisicion: Entidad"&amp; ""</f>
        <v>Descripcion: SILLA FIJA SIN BRAZOS COLOR MARRON Estado: Bueno Placa anterior: 000001468 Material: METALICA Y CUERO Color: GRIS Y MARRON Referencia:  Observacion: SILLA INTERLOCUTORA METALICA CON FORRO EN CUERO MARRON Placa padre: Tipo adquisicion: Entidad</v>
      </c>
      <c r="G18173" s="5"/>
    </row>
    <row r="18174" spans="1:7" ht="58.5" customHeight="1" x14ac:dyDescent="0.25">
      <c r="A18174" s="5" t="str">
        <f>"H0016343"</f>
        <v>H0016343</v>
      </c>
      <c r="B18174" s="5" t="str">
        <f>"ARCHIVADOR RODANTE"</f>
        <v>ARCHIVADOR RODANTE</v>
      </c>
      <c r="C18174" s="6">
        <v>10408142</v>
      </c>
      <c r="D18174" s="5"/>
      <c r="E18174" s="5" t="str">
        <f t="shared" si="934"/>
        <v>TALENTO HUMANO-MARCO ANTONIO NAVARRO PALACIOS</v>
      </c>
      <c r="F18174" s="5" t="str">
        <f>"Descripcion: ARCHIVADOR RODANTE CON SISTEMA MANUAL ARCHIVO MOVIL. COMPUESTO POR: COMPUESTO POR MODULOS DE ARCHIVOS FIJOS Y RODANTES: MEDIDAS DE AREA: LARGO : 6.40 MTS. ALTO: 2.36 MTS FONDO : 2.76 MTS 6 ARCHIVADORES MOVILES : 0.81X 2.36 H TRIPLE Y TAPA FOR"&amp; "MICA 2 ARCHI Estado: Bueno Placa anterior: 000022905 Material: FORMICA  MARCO METALICO Color: BEIGS Y GRIS Referencia:  Observacion: ARCHIVADOR DE 7 CUERPOS E INTERNO DE TRES COMPARTIMIENTOS CON 5 ENTREPAÑOS Placa padre: Tipo adquisicion: Entidad"</f>
        <v>Descripcion: ARCHIVADOR RODANTE CON SISTEMA MANUAL ARCHIVO MOVIL. COMPUESTO POR: COMPUESTO POR MODULOS DE ARCHIVOS FIJOS Y RODANTES: MEDIDAS DE AREA: LARGO : 6.40 MTS. ALTO: 2.36 MTS FONDO : 2.76 MTS 6 ARCHIVADORES MOVILES : 0.81X 2.36 H TRIPLE Y TAPA FORMICA 2 ARCHI Estado: Bueno Placa anterior: 000022905 Material: FORMICA  MARCO METALICO Color: BEIGS Y GRIS Referencia:  Observacion: ARCHIVADOR DE 7 CUERPOS E INTERNO DE TRES COMPARTIMIENTOS CON 5 ENTREPAÑOS Placa padre: Tipo adquisicion: Entidad</v>
      </c>
      <c r="G18174" s="5"/>
    </row>
    <row r="18175" spans="1:7" ht="58.5" customHeight="1" x14ac:dyDescent="0.25">
      <c r="A18175" s="5" t="str">
        <f>"H0016344"</f>
        <v>H0016344</v>
      </c>
      <c r="B18175" s="5" t="str">
        <f>"NEVERA DE 66 LTS"</f>
        <v>NEVERA DE 66 LTS</v>
      </c>
      <c r="C18175" s="6">
        <v>264999.84000000003</v>
      </c>
      <c r="D18175" s="5"/>
      <c r="E18175" s="5" t="str">
        <f t="shared" si="934"/>
        <v>TALENTO HUMANO-MARCO ANTONIO NAVARRO PALACIOS</v>
      </c>
      <c r="F18175" s="5" t="str">
        <f>"Descripcion: NEVERA MCA PHILIPS ESTANDAR Estado: Bueno Placa anterior: 000001374 Material: METALICA Color: BEIGS Referencia:  Observacion:  Placa padre: Tipo adquisicion: Donacion"</f>
        <v>Descripcion: NEVERA MCA PHILIPS ESTANDAR Estado: Bueno Placa anterior: 000001374 Material: METALICA Color: BEIGS Referencia:  Observacion:  Placa padre: Tipo adquisicion: Donacion</v>
      </c>
      <c r="G18175" s="5"/>
    </row>
    <row r="18176" spans="1:7" ht="58.5" customHeight="1" x14ac:dyDescent="0.25">
      <c r="A18176" s="5" t="str">
        <f>"H0016349"</f>
        <v>H0016349</v>
      </c>
      <c r="B18176" s="5" t="str">
        <f>"PUESTO DE TRABAJO EN L"</f>
        <v>PUESTO DE TRABAJO EN L</v>
      </c>
      <c r="C18176" s="6">
        <v>610000</v>
      </c>
      <c r="D18176" s="5"/>
      <c r="E18176" s="5" t="str">
        <f t="shared" si="934"/>
        <v>TALENTO HUMANO-MARCO ANTONIO NAVARRO PALACIOS</v>
      </c>
      <c r="F18176" s="5" t="str">
        <f>"Descripcion: PUESTO MODULARES DE TRABAJO Estado: Bueno Placa anterior: 000033445 Material: SUPERFICIE EN FORMICA Color:  BEIGS Y MARCO EN NEGRO Referencia:  Observacion: PUESTO DE TRABAJO EN L CON TRES GAVETAS CON REPOSAPIES Placa padre: Tipo adquisicion:"&amp; " Entidad"</f>
        <v>Descripcion: PUESTO MODULARES DE TRABAJO Estado: Bueno Placa anterior: 000033445 Material: SUPERFICIE EN FORMICA Color:  BEIGS Y MARCO EN NEGRO Referencia:  Observacion: PUESTO DE TRABAJO EN L CON TRES GAVETAS CON REPOSAPIES Placa padre: Tipo adquisicion: Entidad</v>
      </c>
      <c r="G18176" s="5"/>
    </row>
    <row r="18177" spans="1:7" ht="58.5" customHeight="1" x14ac:dyDescent="0.25">
      <c r="A18177" s="5" t="str">
        <f>"H0016351"</f>
        <v>H0016351</v>
      </c>
      <c r="B18177" s="5" t="str">
        <f>"PUESTO DE TRABAJO EN L"</f>
        <v>PUESTO DE TRABAJO EN L</v>
      </c>
      <c r="C18177" s="6">
        <v>610000</v>
      </c>
      <c r="D18177" s="5"/>
      <c r="E18177" s="5" t="str">
        <f t="shared" si="934"/>
        <v>TALENTO HUMANO-MARCO ANTONIO NAVARRO PALACIOS</v>
      </c>
      <c r="F18177" s="5" t="str">
        <f>"Descripcion: PUESTO MODULARES DE TRABAJO Estado: Bueno Placa anterior: 000033446 Material: SUPERFICIE EN FORMICA Color:  BEIGS Y MARCO EN NEGRO Referencia:  Observacion: PUESTO DE TRABAJO EN L CON TRES GAVETAS CON REPOSAPIES Placa padre: Tipo adquisicion:"&amp; " Entidad"</f>
        <v>Descripcion: PUESTO MODULARES DE TRABAJO Estado: Bueno Placa anterior: 000033446 Material: SUPERFICIE EN FORMICA Color:  BEIGS Y MARCO EN NEGRO Referencia:  Observacion: PUESTO DE TRABAJO EN L CON TRES GAVETAS CON REPOSAPIES Placa padre: Tipo adquisicion: Entidad</v>
      </c>
      <c r="G18177" s="5"/>
    </row>
    <row r="18178" spans="1:7" ht="58.5" customHeight="1" x14ac:dyDescent="0.25">
      <c r="A18178" s="5" t="str">
        <f>"H0016360"</f>
        <v>H0016360</v>
      </c>
      <c r="B18178" s="5" t="str">
        <f>"CALCULADORA ELECTRICA DE 12 DIGITOS"</f>
        <v>CALCULADORA ELECTRICA DE 12 DIGITOS</v>
      </c>
      <c r="C18178" s="6">
        <v>243600</v>
      </c>
      <c r="D18178" s="5"/>
      <c r="E18178" s="5" t="str">
        <f t="shared" si="934"/>
        <v>TALENTO HUMANO-MARCO ANTONIO NAVARRO PALACIOS</v>
      </c>
      <c r="F18178" s="5" t="str">
        <f>"Descripcion: CALCULADORA CASIO DR 140 TM Estado: Bueno Placa anterior: 000026368 Material: PASTA Color: BEIGS Y GRIS Referencia:  Observacion:  Placa padre: Tipo adquisicion: Entidad"</f>
        <v>Descripcion: CALCULADORA CASIO DR 140 TM Estado: Bueno Placa anterior: 000026368 Material: PASTA Color: BEIGS Y GRIS Referencia:  Observacion:  Placa padre: Tipo adquisicion: Entidad</v>
      </c>
      <c r="G18178" s="5" t="str">
        <f>"DR - 140 TM"</f>
        <v>DR - 140 TM</v>
      </c>
    </row>
    <row r="18179" spans="1:7" ht="58.5" customHeight="1" x14ac:dyDescent="0.25">
      <c r="A18179" s="5" t="str">
        <f>"H0016370"</f>
        <v>H0016370</v>
      </c>
      <c r="B18179" s="5" t="str">
        <f>"PUESTO DE TRABAJO EN L"</f>
        <v>PUESTO DE TRABAJO EN L</v>
      </c>
      <c r="C18179" s="6">
        <v>610000</v>
      </c>
      <c r="D18179" s="5"/>
      <c r="E18179" s="5" t="str">
        <f t="shared" si="934"/>
        <v>TALENTO HUMANO-MARCO ANTONIO NAVARRO PALACIOS</v>
      </c>
      <c r="F18179" s="5" t="str">
        <f>"Descripcion: PUESTO DE TRABAJO EN L CON ATENCION AL PUBLICO Estado: Bueno Placa anterior: 000033450 Material: SUPERFICIE EN FORMICA Color: BEIGS Y MARCO EN NEGRO Referencia:  Observacion: PUESTO DE TRABAJO EN L CON 3 GAVETAS Y PORTACPU Placa padre: Tipo a"&amp; "dquisicion: Entidad"</f>
        <v>Descripcion: PUESTO DE TRABAJO EN L CON ATENCION AL PUBLICO Estado: Bueno Placa anterior: 000033450 Material: SUPERFICIE EN FORMICA Color: BEIGS Y MARCO EN NEGRO Referencia:  Observacion: PUESTO DE TRABAJO EN L CON 3 GAVETAS Y PORTACPU Placa padre: Tipo adquisicion: Entidad</v>
      </c>
      <c r="G18179" s="5"/>
    </row>
    <row r="18180" spans="1:7" ht="58.5" customHeight="1" x14ac:dyDescent="0.25">
      <c r="A18180" s="5" t="str">
        <f>"H0016709"</f>
        <v>H0016709</v>
      </c>
      <c r="B18180" s="5" t="str">
        <f>"SILLA INTERLOCUTORA (FIJA) SIN BRAZOS"</f>
        <v>SILLA INTERLOCUTORA (FIJA) SIN BRAZOS</v>
      </c>
      <c r="C18180" s="6">
        <v>9679.7000000000007</v>
      </c>
      <c r="D18180" s="5"/>
      <c r="E18180" s="5" t="str">
        <f t="shared" si="934"/>
        <v>TALENTO HUMANO-MARCO ANTONIO NAVARRO PALACIOS</v>
      </c>
      <c r="F18180" s="5" t="str">
        <f>"Descripcion: SILLA FIJA SIN BRAZOS COLOR MARRON Estado: Regular Placa anterior: 000001467 Material: METALICO Y CUERO Color: GRIS Y MARRON Referencia:  Observacion: CON SENTADERA EN REGULAR ESTADO - ROTO Placa padre: Tipo adquisicion: Entidad"</f>
        <v>Descripcion: SILLA FIJA SIN BRAZOS COLOR MARRON Estado: Regular Placa anterior: 000001467 Material: METALICO Y CUERO Color: GRIS Y MARRON Referencia:  Observacion: CON SENTADERA EN REGULAR ESTADO - ROTO Placa padre: Tipo adquisicion: Entidad</v>
      </c>
      <c r="G18180" s="5"/>
    </row>
    <row r="18181" spans="1:7" ht="58.5" customHeight="1" x14ac:dyDescent="0.25">
      <c r="A18181" s="5" t="str">
        <f>"H0016710"</f>
        <v>H0016710</v>
      </c>
      <c r="B18181" s="5" t="str">
        <f>"SILLA INTERLOCUTORA (FIJA) SIN BRAZOS"</f>
        <v>SILLA INTERLOCUTORA (FIJA) SIN BRAZOS</v>
      </c>
      <c r="C18181" s="6">
        <v>9679.7000000000007</v>
      </c>
      <c r="D18181" s="5"/>
      <c r="E18181" s="5" t="str">
        <f t="shared" si="934"/>
        <v>TALENTO HUMANO-MARCO ANTONIO NAVARRO PALACIOS</v>
      </c>
      <c r="F18181" s="5" t="str">
        <f>"Descripcion: SILLA FIJA SIN BRAZOS COLOR MARRON Estado: Regular Placa anterior: 000001464 Material: METALICO Y CUERO Color: GRIS Y MARRON Referencia:  Observacion: CON SENTADERA SUELTA Placa padre: Tipo adquisicion: Entidad"</f>
        <v>Descripcion: SILLA FIJA SIN BRAZOS COLOR MARRON Estado: Regular Placa anterior: 000001464 Material: METALICO Y CUERO Color: GRIS Y MARRON Referencia:  Observacion: CON SENTADERA SUELTA Placa padre: Tipo adquisicion: Entidad</v>
      </c>
      <c r="G18181" s="5"/>
    </row>
    <row r="18182" spans="1:7" ht="58.5" customHeight="1" x14ac:dyDescent="0.25">
      <c r="A18182" s="5" t="str">
        <f>"H0016711"</f>
        <v>H0016711</v>
      </c>
      <c r="B18182" s="5" t="str">
        <f>"COMPUTADOR TODO EN UNO"</f>
        <v>COMPUTADOR TODO EN UNO</v>
      </c>
      <c r="C18182" s="6">
        <v>1572000</v>
      </c>
      <c r="D18182" s="5" t="s">
        <v>32</v>
      </c>
      <c r="E18182" s="5" t="str">
        <f t="shared" si="934"/>
        <v>TALENTO HUMANO-MARCO ANTONIO NAVARRO PALACIOS</v>
      </c>
      <c r="F18182" s="5" t="str">
        <f>"Descripcion: EQUIPOS DE COMPUTO TODO EN UNO PROCESADOR CORE 3.0 SUPERIOR CORPORATIVO WINDOWS 8 PRO- OFFICE 2013 SMALL BUSINES, TECNOLOGIA HT DE INTEL GARANTIA EXTENDIDA A 3 AÑOS Estado: Bueno Placa anterior: 000030562 Material: PASTA Color: NEGRO Referenc"&amp; "ia:  Observacion:  Placa anterior:, Placa nueva=H0016712, Descripcion:TECLADO, Serial:BDMHE0CVB5L14T, Marca:HP, Modelo:KU-1156, Material:PASTA, Color:NEGRO,   Referencia:, Placa anterior:, Placa nueva=H0016713, Descripcion:MOUSE, Serial:44V7221, Marca:, M"&amp; "odelo:MO28UOL, Material:PASTA, Color:NEGRO,   Referencia: Placa padre: Tipo adquisicion: Entidad"</f>
        <v>Descripcion: EQUIPOS DE COMPUTO TODO EN UNO PROCESADOR CORE 3.0 SUPERIOR CORPORATIVO WINDOWS 8 PRO- OFFICE 2013 SMALL BUSINES, TECNOLOGIA HT DE INTEL GARANTIA EXTENDIDA A 3 AÑOS Estado: Bueno Placa anterior: 000030562 Material: PASTA Color: NEGRO Referencia:  Observacion:  Placa anterior:, Placa nueva=H0016712, Descripcion:TECLADO, Serial:BDMHE0CVB5L14T, Marca:HP, Modelo:KU-1156, Material:PASTA, Color:NEGRO,   Referencia:, Placa anterior:, Placa nueva=H0016713, Descripcion:MOUSE, Serial:44V7221, Marca:, Modelo:MO28UOL, Material:PASTA, Color:NEGRO,   Referencia: Placa padre: Tipo adquisicion: Entidad</v>
      </c>
      <c r="G18182" s="5" t="str">
        <f>"COMPAQ PRO 4300"</f>
        <v>COMPAQ PRO 4300</v>
      </c>
    </row>
    <row r="18183" spans="1:7" ht="58.5" customHeight="1" x14ac:dyDescent="0.25">
      <c r="A18183" s="5" t="str">
        <f>"H0016717"</f>
        <v>H0016717</v>
      </c>
      <c r="B18183" s="5" t="str">
        <f>"PUESTO DE TRABAJO EN L"</f>
        <v>PUESTO DE TRABAJO EN L</v>
      </c>
      <c r="C18183" s="6">
        <v>610000</v>
      </c>
      <c r="D18183" s="5"/>
      <c r="E18183" s="5" t="str">
        <f t="shared" si="934"/>
        <v>TALENTO HUMANO-MARCO ANTONIO NAVARRO PALACIOS</v>
      </c>
      <c r="F18183" s="5" t="str">
        <f>"Descripcion: PUESTO DE TRABAJO EN L CON ATENCION AL PUBLICO Estado: Bueno Placa anterior: 000033451 Material:  SUPERFICIE EN FORMICA Color: BEIGS Y MARCO EN NEGRO Referencia:  Observacion: PUESTO DE TRABAJO EN L CON 3 GAVETAS Placa padre: Tipo adquisicion"&amp; ": Entidad"</f>
        <v>Descripcion: PUESTO DE TRABAJO EN L CON ATENCION AL PUBLICO Estado: Bueno Placa anterior: 000033451 Material:  SUPERFICIE EN FORMICA Color: BEIGS Y MARCO EN NEGRO Referencia:  Observacion: PUESTO DE TRABAJO EN L CON 3 GAVETAS Placa padre: Tipo adquisicion: Entidad</v>
      </c>
      <c r="G18183" s="5"/>
    </row>
    <row r="18184" spans="1:7" ht="58.5" customHeight="1" x14ac:dyDescent="0.25">
      <c r="A18184" s="5" t="str">
        <f>"H0016725"</f>
        <v>H0016725</v>
      </c>
      <c r="B18184" s="5" t="str">
        <f>"COMPUTADOR TODO EN UNO"</f>
        <v>COMPUTADOR TODO EN UNO</v>
      </c>
      <c r="C18184" s="6">
        <v>2470000</v>
      </c>
      <c r="D18184" s="5" t="s">
        <v>6</v>
      </c>
      <c r="E18184" s="5" t="str">
        <f t="shared" si="934"/>
        <v>TALENTO HUMANO-MARCO ANTONIO NAVARRO PALACIOS</v>
      </c>
      <c r="F18184" s="5" t="str">
        <f>"Descripcion: EQUIPO DE COMPUTO TODO EN UNO CON PROCESADOR INTEL i5 Estado: Bueno Placa anterior: 000036957 Material: PASTA Color: NEGRO Referencia:  Observacion:  Placa anterior:, Placa nueva=H0016727, Descripcion:MOUSE, Serial:44PD126, Marca:LENOVO, Mode"&amp; "lo:, Material:PASTA, Color:NEGRO,   Referencia:, Placa anterior:, Placa nueva=H0016726, Descripcion:TECLADO, Serial:8279257, Marca:LENOVO, Modelo:KU-0225, Material:PASTA, Color:NEGRO,   Referencia: Placa padre: Tipo adquisicion: Entidad"</f>
        <v>Descripcion: EQUIPO DE COMPUTO TODO EN UNO CON PROCESADOR INTEL i5 Estado: Bueno Placa anterior: 000036957 Material: PASTA Color: NEGRO Referencia:  Observacion:  Placa anterior:, Placa nueva=H0016727, Descripcion:MOUSE, Serial:44PD126, Marca:LENOVO, Modelo:, Material:PASTA, Color:NEGRO,   Referencia:, Placa anterior:, Placa nueva=H0016726, Descripcion:TECLADO, Serial:8279257, Marca:LENOVO, Modelo:KU-0225, Material:PASTA, Color:NEGRO,   Referencia: Placa padre: Tipo adquisicion: Entidad</v>
      </c>
      <c r="G18184" s="5" t="str">
        <f>"10BD-00FDLS"</f>
        <v>10BD-00FDLS</v>
      </c>
    </row>
    <row r="18185" spans="1:7" ht="58.5" customHeight="1" x14ac:dyDescent="0.25">
      <c r="A18185" s="5" t="str">
        <f>"H0016728"</f>
        <v>H0016728</v>
      </c>
      <c r="B18185" s="5" t="str">
        <f>"PUESTO DE TRABAJO EN L"</f>
        <v>PUESTO DE TRABAJO EN L</v>
      </c>
      <c r="C18185" s="6">
        <v>610000</v>
      </c>
      <c r="D18185" s="5"/>
      <c r="E18185" s="5" t="str">
        <f t="shared" si="934"/>
        <v>TALENTO HUMANO-MARCO ANTONIO NAVARRO PALACIOS</v>
      </c>
      <c r="F18185" s="5" t="str">
        <f>"Descripcion: PUESTO DE TRABAJO EN L CON ATENCION AL PUBLICO Estado: Bueno Placa anterior: 000033447 Material:  SUPERFICIE EN FORMICA Color:  BEIGS Y MARCO EN NEGRO Referencia:  Observacion: PUESTO DE TRABAJO EN L CON 3 GAVETAS Y PORTACPU Placa padre: Tipo"&amp; " adquisicion: Entidad"</f>
        <v>Descripcion: PUESTO DE TRABAJO EN L CON ATENCION AL PUBLICO Estado: Bueno Placa anterior: 000033447 Material:  SUPERFICIE EN FORMICA Color:  BEIGS Y MARCO EN NEGRO Referencia:  Observacion: PUESTO DE TRABAJO EN L CON 3 GAVETAS Y PORTACPU Placa padre: Tipo adquisicion: Entidad</v>
      </c>
      <c r="G18185" s="5"/>
    </row>
    <row r="18186" spans="1:7" ht="58.5" customHeight="1" x14ac:dyDescent="0.25">
      <c r="A18186" s="5" t="str">
        <f>"H0016738"</f>
        <v>H0016738</v>
      </c>
      <c r="B18186" s="5" t="str">
        <f>"COMPUTADOR TODO EN UNO"</f>
        <v>COMPUTADOR TODO EN UNO</v>
      </c>
      <c r="C18186" s="6">
        <v>2470000</v>
      </c>
      <c r="D18186" s="5" t="s">
        <v>6</v>
      </c>
      <c r="E18186" s="5" t="str">
        <f t="shared" si="934"/>
        <v>TALENTO HUMANO-MARCO ANTONIO NAVARRO PALACIOS</v>
      </c>
      <c r="F18186" s="5" t="str">
        <f>"Descripcion: EQUIPO DE COMPUTO TODO EN UNO CON PROCESADOR INTEL i5 Estado: Bueno Placa anterior: 000037012 Material: PASTA Color: NEGRO Referencia:  Observacion:  Placa anterior:, Placa nueva=H0016739, Descripcion:TECLADO, Serial:8258426, Marca:LENOVO, Mo"&amp; "delo:KU-0225, Material:PASTA, Color:NEGRO,   Referencia:, Placa anterior:, Placa nueva=H0016740, Descripcion:MOUSE, Serial:44MG171, Marca:LENOVO, Modelo:, Material:PASTA, Color:NEGRO,   Referencia: Placa padre: Tipo adquisicion: Entidad"</f>
        <v>Descripcion: EQUIPO DE COMPUTO TODO EN UNO CON PROCESADOR INTEL i5 Estado: Bueno Placa anterior: 000037012 Material: PASTA Color: NEGRO Referencia:  Observacion:  Placa anterior:, Placa nueva=H0016739, Descripcion:TECLADO, Serial:8258426, Marca:LENOVO, Modelo:KU-0225, Material:PASTA, Color:NEGRO,   Referencia:, Placa anterior:, Placa nueva=H0016740, Descripcion:MOUSE, Serial:44MG171, Marca:LENOVO, Modelo:, Material:PASTA, Color:NEGRO,   Referencia: Placa padre: Tipo adquisicion: Entidad</v>
      </c>
      <c r="G18186" s="5" t="str">
        <f>"10BD-00FDLS"</f>
        <v>10BD-00FDLS</v>
      </c>
    </row>
    <row r="18187" spans="1:7" ht="58.5" customHeight="1" x14ac:dyDescent="0.25">
      <c r="A18187" s="5" t="str">
        <f>"H0016748"</f>
        <v>H0016748</v>
      </c>
      <c r="B18187" s="5" t="str">
        <f>"PERFORADORA GRANDE 2 HUECOS 70 HOJAS"</f>
        <v>PERFORADORA GRANDE 2 HUECOS 70 HOJAS</v>
      </c>
      <c r="C18187" s="6">
        <v>50328</v>
      </c>
      <c r="D18187" s="5"/>
      <c r="E18187" s="5" t="str">
        <f t="shared" si="934"/>
        <v>TALENTO HUMANO-MARCO ANTONIO NAVARRO PALACIOS</v>
      </c>
      <c r="F18187" s="5" t="str">
        <f>"Descripcion: PERFORADORA INDUSTRIAL Estado: Bueno Placa anterior: 000001416 Material: METALICO Color: AZUL Referencia:  Observacion:  Placa padre: Tipo adquisicion: Entidad"</f>
        <v>Descripcion: PERFORADORA INDUSTRIAL Estado: Bueno Placa anterior: 000001416 Material: METALICO Color: AZUL Referencia:  Observacion:  Placa padre: Tipo adquisicion: Entidad</v>
      </c>
      <c r="G18187" s="5"/>
    </row>
    <row r="18188" spans="1:7" ht="58.5" customHeight="1" x14ac:dyDescent="0.25">
      <c r="A18188" s="5" t="str">
        <f>"H0016754"</f>
        <v>H0016754</v>
      </c>
      <c r="B18188" s="5" t="str">
        <f>"SILLA INTERLOCUTORA (FIJA) SIN BRAZOS"</f>
        <v>SILLA INTERLOCUTORA (FIJA) SIN BRAZOS</v>
      </c>
      <c r="C18188" s="6">
        <v>9679.7000000000007</v>
      </c>
      <c r="D18188" s="5"/>
      <c r="E18188" s="5" t="str">
        <f t="shared" si="934"/>
        <v>TALENTO HUMANO-MARCO ANTONIO NAVARRO PALACIOS</v>
      </c>
      <c r="F18188" s="5" t="str">
        <f>"Descripcion: SILLA FIJA SIN BRAZOS COLOR MARRON Estado: Regular Placa anterior: 000001459 Material: METALICO Y CUERO Color: GRIS Y MARRON Referencia:  Observacion: TIENE EL COJIN EN MAL ESTADO Placa padre: Tipo adquisicion: Entidad"</f>
        <v>Descripcion: SILLA FIJA SIN BRAZOS COLOR MARRON Estado: Regular Placa anterior: 000001459 Material: METALICO Y CUERO Color: GRIS Y MARRON Referencia:  Observacion: TIENE EL COJIN EN MAL ESTADO Placa padre: Tipo adquisicion: Entidad</v>
      </c>
      <c r="G18188" s="5"/>
    </row>
    <row r="18189" spans="1:7" ht="58.5" customHeight="1" x14ac:dyDescent="0.25">
      <c r="A18189" s="5" t="str">
        <f>"H0016763"</f>
        <v>H0016763</v>
      </c>
      <c r="B18189" s="5" t="str">
        <f>"MESA METALICA AUXILIAR"</f>
        <v>MESA METALICA AUXILIAR</v>
      </c>
      <c r="C18189" s="6">
        <v>199500</v>
      </c>
      <c r="D18189" s="5"/>
      <c r="E18189" s="5" t="str">
        <f t="shared" si="934"/>
        <v>TALENTO HUMANO-MARCO ANTONIO NAVARRO PALACIOS</v>
      </c>
      <c r="F18189" s="5" t="str">
        <f>"Descripcion: MESA PARA FOTOCOPIADORA Estado: Bueno Placa anterior: 000001441 Material: METALICA Color: GRIS Referencia:  Observacion: MESA AUXILIAR METALICA CON DOS PUERTAS Y DOS ENTREPAÑOS INTERNOS Placa padre: Tipo adquisicion: Entidad"</f>
        <v>Descripcion: MESA PARA FOTOCOPIADORA Estado: Bueno Placa anterior: 000001441 Material: METALICA Color: GRIS Referencia:  Observacion: MESA AUXILIAR METALICA CON DOS PUERTAS Y DOS ENTREPAÑOS INTERNOS Placa padre: Tipo adquisicion: Entidad</v>
      </c>
      <c r="G18189" s="5"/>
    </row>
    <row r="18190" spans="1:7" ht="58.5" customHeight="1" x14ac:dyDescent="0.25">
      <c r="A18190" s="5" t="str">
        <f>"H0016776"</f>
        <v>H0016776</v>
      </c>
      <c r="B18190" s="5" t="str">
        <f>"MONITOR LCD"</f>
        <v>MONITOR LCD</v>
      </c>
      <c r="C18190" s="6">
        <v>925680</v>
      </c>
      <c r="D18190" s="5"/>
      <c r="E18190" s="5" t="str">
        <f t="shared" si="934"/>
        <v>TALENTO HUMANO-MARCO ANTONIO NAVARRO PALACIOS</v>
      </c>
      <c r="F18190" s="5" t="str">
        <f>"Descripcion: MONITOR LCD 21 O SUPERIOR Estado: Bueno Placa anterior: 000029404 Material: PASTA Color: NEGRO Referencia:  Observacion:  Placa padre: H0016773Tipo adquisicion: Entidad"</f>
        <v>Descripcion: MONITOR LCD 21 O SUPERIOR Estado: Bueno Placa anterior: 000029404 Material: PASTA Color: NEGRO Referencia:  Observacion:  Placa padre: H0016773Tipo adquisicion: Entidad</v>
      </c>
      <c r="G18190" s="5" t="str">
        <f>"W2243ST"</f>
        <v>W2243ST</v>
      </c>
    </row>
    <row r="18191" spans="1:7" ht="58.5" customHeight="1" x14ac:dyDescent="0.25">
      <c r="A18191" s="5" t="str">
        <f>"H0016816"</f>
        <v>H0016816</v>
      </c>
      <c r="B18191" s="5" t="str">
        <f>"SILLA INTERLOCUTORA (FIJA) SIN BRAZOS"</f>
        <v>SILLA INTERLOCUTORA (FIJA) SIN BRAZOS</v>
      </c>
      <c r="C18191" s="6">
        <v>36810</v>
      </c>
      <c r="D18191" s="5"/>
      <c r="E18191" s="5" t="str">
        <f t="shared" si="934"/>
        <v>TALENTO HUMANO-MARCO ANTONIO NAVARRO PALACIOS</v>
      </c>
      <c r="F18191" s="5" t="str">
        <f>"Descripcion:SILLA RECIBIDORA EN MADERA FIJA SIN BRAZOS COLOR NEGRO Estado: Bueno Placa anterior: 000000555 Material: MADERA Y CUERO Color: NEGRA Y MADERA Referencia:  Observacion:  Placa padre:  Tipo adquisicion : Entidad"</f>
        <v>Descripcion:SILLA RECIBIDORA EN MADERA FIJA SIN BRAZOS COLOR NEGRO Estado: Bueno Placa anterior: 000000555 Material: MADERA Y CUERO Color: NEGRA Y MADERA Referencia:  Observacion:  Placa padre:  Tipo adquisicion : Entidad</v>
      </c>
      <c r="G18191" s="5"/>
    </row>
    <row r="18192" spans="1:7" ht="58.5" customHeight="1" x14ac:dyDescent="0.25">
      <c r="A18192" s="5" t="str">
        <f>"H0016822"</f>
        <v>H0016822</v>
      </c>
      <c r="B18192" s="5" t="str">
        <f>"PUESTO DE TRABAJO EN L CON 3 GAVETAS"</f>
        <v>PUESTO DE TRABAJO EN L CON 3 GAVETAS</v>
      </c>
      <c r="C18192" s="6">
        <v>2728000</v>
      </c>
      <c r="D18192" s="5"/>
      <c r="E18192" s="5" t="str">
        <f t="shared" si="934"/>
        <v>TALENTO HUMANO-MARCO ANTONIO NAVARRO PALACIOS</v>
      </c>
      <c r="F18192" s="5" t="str">
        <f>"Descripcion: PUESTO DE TRABAJO EN L CON TRES GAVETAS Estado: Bueno Placa anterior: 000033327 Material: CREDENZA Color: NEGRO Referencia:  Observacion:  Placa padre: Tipo adquisicion: Entidad"</f>
        <v>Descripcion: PUESTO DE TRABAJO EN L CON TRES GAVETAS Estado: Bueno Placa anterior: 000033327 Material: CREDENZA Color: NEGRO Referencia:  Observacion:  Placa padre: Tipo adquisicion: Entidad</v>
      </c>
      <c r="G18192" s="5"/>
    </row>
    <row r="18193" spans="1:7" ht="58.5" customHeight="1" x14ac:dyDescent="0.25">
      <c r="A18193" s="5" t="str">
        <f>"H0016824"</f>
        <v>H0016824</v>
      </c>
      <c r="B18193" s="5" t="str">
        <f>"COMPUTADOR TODO EN UNO"</f>
        <v>COMPUTADOR TODO EN UNO</v>
      </c>
      <c r="C18193" s="6">
        <v>2470000</v>
      </c>
      <c r="D18193" s="5" t="s">
        <v>6</v>
      </c>
      <c r="E18193" s="5" t="str">
        <f t="shared" si="934"/>
        <v>TALENTO HUMANO-MARCO ANTONIO NAVARRO PALACIOS</v>
      </c>
      <c r="F18193" s="5" t="str">
        <f>"Descripcion: TODO EN UNO Estado: Bueno Placa anterior: 000036958 Material: PASTA Color: NEGRO Referencia:  Observacion:  Placa padre: Tipo adquisicion: Entidad"</f>
        <v>Descripcion: TODO EN UNO Estado: Bueno Placa anterior: 000036958 Material: PASTA Color: NEGRO Referencia:  Observacion:  Placa padre: Tipo adquisicion: Entidad</v>
      </c>
      <c r="G18193" s="5" t="str">
        <f>"10BD-00FDLS"</f>
        <v>10BD-00FDLS</v>
      </c>
    </row>
    <row r="18194" spans="1:7" ht="58.5" customHeight="1" x14ac:dyDescent="0.25">
      <c r="A18194" s="5" t="str">
        <f>"H0016827"</f>
        <v>H0016827</v>
      </c>
      <c r="B18194" s="5" t="str">
        <f>"MESA DE MADERA PARA COMPUTADOR"</f>
        <v>MESA DE MADERA PARA COMPUTADOR</v>
      </c>
      <c r="C18194" s="6">
        <v>582000</v>
      </c>
      <c r="D18194" s="5"/>
      <c r="E18194" s="5" t="str">
        <f t="shared" si="934"/>
        <v>TALENTO HUMANO-MARCO ANTONIO NAVARRO PALACIOS</v>
      </c>
      <c r="F18194" s="5" t="str">
        <f>"Descripcion: ESCRITORIO DE MADERA PARA COMPUTADOR CON PORTATECLADO Estado: Bueno Placa anterior: 000033330 Material: CREDENZA Color: NEGRO Referencia:  Observacion: EL BIEN TIENE PLACA ANTERIOR  000033330, LA CUAL CORRESPONDE A UN MUEBLES AZ  FUNCIONARIO "&amp; "AUTORIZA SE CONCILIE CON PLACA  000033330, SE EVIDENCIA QUE DESCRIPCION ESTA ERRADA.  SE CONCILIA     Placa padre: Tipo adquisicion: Entidad"</f>
        <v>Descripcion: ESCRITORIO DE MADERA PARA COMPUTADOR CON PORTATECLADO Estado: Bueno Placa anterior: 000033330 Material: CREDENZA Color: NEGRO Referencia:  Observacion: EL BIEN TIENE PLACA ANTERIOR  000033330, LA CUAL CORRESPONDE A UN MUEBLES AZ  FUNCIONARIO AUTORIZA SE CONCILIE CON PLACA  000033330, SE EVIDENCIA QUE DESCRIPCION ESTA ERRADA.  SE CONCILIA     Placa padre: Tipo adquisicion: Entidad</v>
      </c>
      <c r="G18194" s="5"/>
    </row>
    <row r="18195" spans="1:7" ht="58.5" customHeight="1" x14ac:dyDescent="0.25">
      <c r="A18195" s="5" t="str">
        <f>"H0016828"</f>
        <v>H0016828</v>
      </c>
      <c r="B18195" s="5" t="str">
        <f>"CALCULADORA ELECTRICA DE 12 DIGITOS"</f>
        <v>CALCULADORA ELECTRICA DE 12 DIGITOS</v>
      </c>
      <c r="C18195" s="6">
        <v>128000</v>
      </c>
      <c r="D18195" s="5"/>
      <c r="E18195" s="5" t="str">
        <f t="shared" si="934"/>
        <v>TALENTO HUMANO-MARCO ANTONIO NAVARRO PALACIOS</v>
      </c>
      <c r="F18195" s="5" t="str">
        <f>"Descripcion: CALCULADORA ELECTRICA 12 DIGITOS Estado: Bueno Placa anterior: 000021040 Material: PASTA Color: GRIS Referencia:  Observacion:  Placa padre: Tipo adquisicion: Entidad"</f>
        <v>Descripcion: CALCULADORA ELECTRICA 12 DIGITOS Estado: Bueno Placa anterior: 000021040 Material: PASTA Color: GRIS Referencia:  Observacion:  Placa padre: Tipo adquisicion: Entidad</v>
      </c>
      <c r="G18195" s="5" t="str">
        <f>"HR-150 LC PLUS"</f>
        <v>HR-150 LC PLUS</v>
      </c>
    </row>
    <row r="18196" spans="1:7" ht="58.5" customHeight="1" x14ac:dyDescent="0.25">
      <c r="A18196" s="5" t="str">
        <f>"H0016832"</f>
        <v>H0016832</v>
      </c>
      <c r="B18196" s="5" t="str">
        <f>"SILLA INTERLOCUTORA (FIJA) SIN BRAZOS"</f>
        <v>SILLA INTERLOCUTORA (FIJA) SIN BRAZOS</v>
      </c>
      <c r="C18196" s="6">
        <v>6635</v>
      </c>
      <c r="D18196" s="5"/>
      <c r="E18196" s="5" t="str">
        <f t="shared" si="934"/>
        <v>TALENTO HUMANO-MARCO ANTONIO NAVARRO PALACIOS</v>
      </c>
      <c r="F18196" s="5" t="str">
        <f>"Descripcion: SILLA INTERLOCUTORA SIN BRAZOS Estado: Bueno Placa anterior: 000001453 Material: METALICA Y CUERINA Color: NEGRO Referencia:  Observacion:  Placa padre: Tipo adquisicion: Entidad"</f>
        <v>Descripcion: SILLA INTERLOCUTORA SIN BRAZOS Estado: Bueno Placa anterior: 000001453 Material: METALICA Y CUERINA Color: NEGRO Referencia:  Observacion:  Placa padre: Tipo adquisicion: Entidad</v>
      </c>
      <c r="G18196" s="5"/>
    </row>
    <row r="18197" spans="1:7" ht="58.5" customHeight="1" x14ac:dyDescent="0.25">
      <c r="A18197" s="5" t="str">
        <f>"H0016833"</f>
        <v>H0016833</v>
      </c>
      <c r="B18197" s="5" t="str">
        <f>"SILLA INTERLOCUTORA (FIJA) CON BRAZOS"</f>
        <v>SILLA INTERLOCUTORA (FIJA) CON BRAZOS</v>
      </c>
      <c r="C18197" s="6">
        <v>8408</v>
      </c>
      <c r="D18197" s="5"/>
      <c r="E18197" s="5" t="str">
        <f t="shared" si="934"/>
        <v>TALENTO HUMANO-MARCO ANTONIO NAVARRO PALACIOS</v>
      </c>
      <c r="F18197" s="5" t="str">
        <f>"Descripcion: SILLA INTERLOCUTORA CON BRAZOS Estado: Bueno Placa anterior: 000001473 Material: METALICA Y CUERINA Color: NEGRO Referencia:  Observacion:  Placa padre: Tipo adquisicion: Entidad"</f>
        <v>Descripcion: SILLA INTERLOCUTORA CON BRAZOS Estado: Bueno Placa anterior: 000001473 Material: METALICA Y CUERINA Color: NEGRO Referencia:  Observacion:  Placa padre: Tipo adquisicion: Entidad</v>
      </c>
      <c r="G18197" s="5"/>
    </row>
    <row r="18198" spans="1:7" ht="58.5" customHeight="1" x14ac:dyDescent="0.25">
      <c r="A18198" s="5" t="str">
        <f>"H0016834"</f>
        <v>H0016834</v>
      </c>
      <c r="B18198" s="5" t="str">
        <f>"SILLA INTERLOCUTORA (FIJA) CON BRAZOS"</f>
        <v>SILLA INTERLOCUTORA (FIJA) CON BRAZOS</v>
      </c>
      <c r="C18198" s="6">
        <v>8408</v>
      </c>
      <c r="D18198" s="5"/>
      <c r="E18198" s="5" t="str">
        <f t="shared" si="934"/>
        <v>TALENTO HUMANO-MARCO ANTONIO NAVARRO PALACIOS</v>
      </c>
      <c r="F18198" s="5" t="str">
        <f>"Descripcion: SILLA INTERLOCUTORA CON BRAZOS Estado: Bueno Placa anterior: 000001471 Material: METALICA Y CUERINA Color: NEGRO Referencia:  Observacion:  Placa padre: Tipo adquisicion: Entidad"</f>
        <v>Descripcion: SILLA INTERLOCUTORA CON BRAZOS Estado: Bueno Placa anterior: 000001471 Material: METALICA Y CUERINA Color: NEGRO Referencia:  Observacion:  Placa padre: Tipo adquisicion: Entidad</v>
      </c>
      <c r="G18198" s="5"/>
    </row>
    <row r="18199" spans="1:7" ht="58.5" customHeight="1" x14ac:dyDescent="0.25">
      <c r="A18199" s="5" t="str">
        <f>"H0016835"</f>
        <v>H0016835</v>
      </c>
      <c r="B18199" s="5" t="str">
        <f>"SILLA INTERLOCUTORA (FIJA) CON BRAZOS"</f>
        <v>SILLA INTERLOCUTORA (FIJA) CON BRAZOS</v>
      </c>
      <c r="C18199" s="6">
        <v>8408</v>
      </c>
      <c r="D18199" s="5"/>
      <c r="E18199" s="5" t="str">
        <f t="shared" si="934"/>
        <v>TALENTO HUMANO-MARCO ANTONIO NAVARRO PALACIOS</v>
      </c>
      <c r="F18199" s="5" t="str">
        <f>"Descripcion: SILLA INTERLOCUTORA CON BRAZOS Estado: Bueno Placa anterior: 000001474 Material: METALICA Y CUERINA Color: NEGRO Referencia:  Observacion:  Placa padre: Tipo adquisicion: Entidad"</f>
        <v>Descripcion: SILLA INTERLOCUTORA CON BRAZOS Estado: Bueno Placa anterior: 000001474 Material: METALICA Y CUERINA Color: NEGRO Referencia:  Observacion:  Placa padre: Tipo adquisicion: Entidad</v>
      </c>
      <c r="G18199" s="5"/>
    </row>
    <row r="18200" spans="1:7" ht="58.5" customHeight="1" x14ac:dyDescent="0.25">
      <c r="A18200" s="5" t="str">
        <f>"H0016836"</f>
        <v>H0016836</v>
      </c>
      <c r="B18200" s="5" t="str">
        <f>"SILLA INTERLOCUTORA (FIJA) CON BRAZOS"</f>
        <v>SILLA INTERLOCUTORA (FIJA) CON BRAZOS</v>
      </c>
      <c r="C18200" s="6">
        <v>8408</v>
      </c>
      <c r="D18200" s="5"/>
      <c r="E18200" s="5" t="str">
        <f t="shared" si="934"/>
        <v>TALENTO HUMANO-MARCO ANTONIO NAVARRO PALACIOS</v>
      </c>
      <c r="F18200" s="5" t="str">
        <f>"Descripcion: SILLA INTERLOCUTORA CON BRAZOS Estado: Bueno Placa anterior: 000001472 Material: METALICA Y CUERINA Color: NEGRO Referencia:  Observacion:  Placa padre: Tipo adquisicion: Entidad"</f>
        <v>Descripcion: SILLA INTERLOCUTORA CON BRAZOS Estado: Bueno Placa anterior: 000001472 Material: METALICA Y CUERINA Color: NEGRO Referencia:  Observacion:  Placa padre: Tipo adquisicion: Entidad</v>
      </c>
      <c r="G18200" s="5"/>
    </row>
    <row r="18201" spans="1:7" ht="58.5" customHeight="1" x14ac:dyDescent="0.25">
      <c r="A18201" s="5" t="str">
        <f>"H0016838"</f>
        <v>H0016838</v>
      </c>
      <c r="B18201" s="5" t="str">
        <f>"SILLA INTERLOCUTORA (FIJA) SIN BRAZOS"</f>
        <v>SILLA INTERLOCUTORA (FIJA) SIN BRAZOS</v>
      </c>
      <c r="C18201" s="6">
        <v>6635</v>
      </c>
      <c r="D18201" s="5"/>
      <c r="E18201" s="5" t="str">
        <f t="shared" si="934"/>
        <v>TALENTO HUMANO-MARCO ANTONIO NAVARRO PALACIOS</v>
      </c>
      <c r="F18201" s="5" t="str">
        <f>"Descripcion: SILLA INTERLOCUTORA SIN BRAZOS Estado: Bueno Placa anterior: 000001456 Material: METALICA Y CUERINA Color: NEGRO Referencia:  Observacion:  Placa padre: Tipo adquisicion: Entidad"</f>
        <v>Descripcion: SILLA INTERLOCUTORA SIN BRAZOS Estado: Bueno Placa anterior: 000001456 Material: METALICA Y CUERINA Color: NEGRO Referencia:  Observacion:  Placa padre: Tipo adquisicion: Entidad</v>
      </c>
      <c r="G18201" s="5"/>
    </row>
    <row r="18202" spans="1:7" ht="58.5" customHeight="1" x14ac:dyDescent="0.25">
      <c r="A18202" s="5" t="str">
        <f>"H0016839"</f>
        <v>H0016839</v>
      </c>
      <c r="B18202" s="5" t="str">
        <f>"MULTIFUNCIONAL DE LASER"</f>
        <v>MULTIFUNCIONAL DE LASER</v>
      </c>
      <c r="C18202" s="6">
        <v>657102</v>
      </c>
      <c r="D18202" s="5" t="s">
        <v>240</v>
      </c>
      <c r="E18202" s="5" t="str">
        <f t="shared" si="934"/>
        <v>TALENTO HUMANO-MARCO ANTONIO NAVARRO PALACIOS</v>
      </c>
      <c r="F18202" s="5" t="str">
        <f>"Descripcion: IMPRESORA Estado: Bueno Placa anterior: 000030005 Material: PASTA Color: NEGRO Referencia:  Observacion:  Placa padre: Tipo adquisicion: Entidad"</f>
        <v>Descripcion: IMPRESORA Estado: Bueno Placa anterior: 000030005 Material: PASTA Color: NEGRO Referencia:  Observacion:  Placa padre: Tipo adquisicion: Entidad</v>
      </c>
      <c r="G18202" s="5" t="str">
        <f>"LASERJET P1606DN"</f>
        <v>LASERJET P1606DN</v>
      </c>
    </row>
    <row r="18203" spans="1:7" ht="58.5" customHeight="1" x14ac:dyDescent="0.25">
      <c r="A18203" s="5" t="str">
        <f>"H0017915"</f>
        <v>H0017915</v>
      </c>
      <c r="B18203" s="5" t="str">
        <f>"ESTANTE METALICO 6 ENTREPAÑOS"</f>
        <v>ESTANTE METALICO 6 ENTREPAÑOS</v>
      </c>
      <c r="C18203" s="6">
        <v>24714.18</v>
      </c>
      <c r="D18203" s="5"/>
      <c r="E18203" s="5" t="str">
        <f t="shared" si="934"/>
        <v>TALENTO HUMANO-MARCO ANTONIO NAVARRO PALACIOS</v>
      </c>
      <c r="F18203" s="5" t="str">
        <f>"Descripcion:ESTANTE METALICO DE 6 ENTREPAÑOS Estado: Bueno Placa anterior: 000000551 Material: METALICO Color: GRIS Referencia:  Observacion:  Placa padre:  Tipo adquisicion : Entidad"</f>
        <v>Descripcion:ESTANTE METALICO DE 6 ENTREPAÑOS Estado: Bueno Placa anterior: 000000551 Material: METALICO Color: GRIS Referencia:  Observacion:  Placa padre:  Tipo adquisicion : Entidad</v>
      </c>
      <c r="G18203" s="5"/>
    </row>
    <row r="18204" spans="1:7" ht="58.5" customHeight="1" x14ac:dyDescent="0.25">
      <c r="A18204" s="5" t="str">
        <f>"H0019262"</f>
        <v>H0019262</v>
      </c>
      <c r="B18204" s="5" t="str">
        <f>"SILLA INTERLOCUTORA (FIJA) SIN BRAZOS"</f>
        <v>SILLA INTERLOCUTORA (FIJA) SIN BRAZOS</v>
      </c>
      <c r="C18204" s="6">
        <v>1063.33</v>
      </c>
      <c r="D18204" s="5"/>
      <c r="E18204" s="5" t="str">
        <f t="shared" si="934"/>
        <v>TALENTO HUMANO-MARCO ANTONIO NAVARRO PALACIOS</v>
      </c>
      <c r="F18204" s="5" t="str">
        <f>"Descripcion: SILLA FIJA SIN BRAZOS COLOR MARRON Estado: Bueno Placa anterior: 000024093 Material: METALICO CON TAPIZADO EN SEMICUERO Color: MARRON Referencia:  Observacion:  Placa padre: Tipo adquisicion: Entidad"</f>
        <v>Descripcion: SILLA FIJA SIN BRAZOS COLOR MARRON Estado: Bueno Placa anterior: 000024093 Material: METALICO CON TAPIZADO EN SEMICUERO Color: MARRON Referencia:  Observacion:  Placa padre: Tipo adquisicion: Entidad</v>
      </c>
      <c r="G18204" s="5"/>
    </row>
    <row r="18205" spans="1:7" ht="58.5" customHeight="1" x14ac:dyDescent="0.25">
      <c r="A18205" s="5" t="str">
        <f>"H0019264"</f>
        <v>H0019264</v>
      </c>
      <c r="B18205" s="5" t="str">
        <f>"SILLA INTERLOCUTORA (FIJA) SIN BRAZOS"</f>
        <v>SILLA INTERLOCUTORA (FIJA) SIN BRAZOS</v>
      </c>
      <c r="C18205" s="6">
        <v>9679.7000000000007</v>
      </c>
      <c r="D18205" s="5"/>
      <c r="E18205" s="5" t="str">
        <f t="shared" si="934"/>
        <v>TALENTO HUMANO-MARCO ANTONIO NAVARRO PALACIOS</v>
      </c>
      <c r="F18205" s="5" t="str">
        <f>"Descripcion: SILLA FIJA SIN BRAZOS COLOR MARRON Estado: Bueno Placa anterior: 000001469 Material: METALICO CON TAPIZADO EN SEMICUERO Color: MARRON Referencia:  Observacion:  Placa padre: Tipo adquisicion: Entidad"</f>
        <v>Descripcion: SILLA FIJA SIN BRAZOS COLOR MARRON Estado: Bueno Placa anterior: 000001469 Material: METALICO CON TAPIZADO EN SEMICUERO Color: MARRON Referencia:  Observacion:  Placa padre: Tipo adquisicion: Entidad</v>
      </c>
      <c r="G18205" s="5"/>
    </row>
    <row r="18206" spans="1:7" ht="58.5" customHeight="1" x14ac:dyDescent="0.25">
      <c r="A18206" s="5" t="str">
        <f>"H0019269"</f>
        <v>H0019269</v>
      </c>
      <c r="B18206" s="5" t="str">
        <f>"BALANZA ANALOGA DE MESA (PESO)"</f>
        <v>BALANZA ANALOGA DE MESA (PESO)</v>
      </c>
      <c r="C18206" s="6">
        <v>217500</v>
      </c>
      <c r="D18206" s="5"/>
      <c r="E18206" s="5" t="str">
        <f t="shared" si="934"/>
        <v>TALENTO HUMANO-MARCO ANTONIO NAVARRO PALACIOS</v>
      </c>
      <c r="F18206" s="5" t="str">
        <f>"Descripcion: BANLANZA PROFESIONAL 160 KG BASE Y PLATAFORMA DE ACERO PARA TRABAJO PESADO, PLATAFORMA TESTURIZADA, DESLIZANTE, PLATAFORMA EXTRAGRANDE Estado: Bueno Placa anterior: 000029388 Material: METALICO Color: BEIGE Referencia:  Observacion:  Placa pa"&amp; "dre: Tipo adquisicion: Entidad"</f>
        <v>Descripcion: BANLANZA PROFESIONAL 160 KG BASE Y PLATAFORMA DE ACERO PARA TRABAJO PESADO, PLATAFORMA TESTURIZADA, DESLIZANTE, PLATAFORMA EXTRAGRANDE Estado: Bueno Placa anterior: 000029388 Material: METALICO Color: BEIGE Referencia:  Observacion:  Placa padre: Tipo adquisicion: Entidad</v>
      </c>
      <c r="G18206" s="5"/>
    </row>
    <row r="18207" spans="1:7" ht="58.5" customHeight="1" x14ac:dyDescent="0.25">
      <c r="A18207" s="5" t="str">
        <f>"H0019270"</f>
        <v>H0019270</v>
      </c>
      <c r="B18207" s="5" t="str">
        <f>"EQUIPO ORGANOS DE LOS SENTIDOS PORTATIL"</f>
        <v>EQUIPO ORGANOS DE LOS SENTIDOS PORTATIL</v>
      </c>
      <c r="C18207" s="6">
        <v>108971.72</v>
      </c>
      <c r="D18207" s="5"/>
      <c r="E18207" s="5" t="str">
        <f t="shared" si="934"/>
        <v>TALENTO HUMANO-MARCO ANTONIO NAVARRO PALACIOS</v>
      </c>
      <c r="F18207" s="5" t="str">
        <f>"Descripcion: EQUIPO ORGANOS DE LOS SENTIDOS PORTATIL Estado: Bueno Placa anterior: 000024641 Material: ACERO INOXIDABLE Color: ESTUCHE NEGRO Referencia:  Observacion:  Placa padre: Tipo adquisicion: Entidad"</f>
        <v>Descripcion: EQUIPO ORGANOS DE LOS SENTIDOS PORTATIL Estado: Bueno Placa anterior: 000024641 Material: ACERO INOXIDABLE Color: ESTUCHE NEGRO Referencia:  Observacion:  Placa padre: Tipo adquisicion: Entidad</v>
      </c>
      <c r="G18207" s="5"/>
    </row>
    <row r="18208" spans="1:7" ht="58.5" customHeight="1" x14ac:dyDescent="0.25">
      <c r="A18208" s="5" t="str">
        <f>"H0019274"</f>
        <v>H0019274</v>
      </c>
      <c r="B18208" s="5" t="str">
        <f>"NEVERA DE 66 LTS"</f>
        <v>NEVERA DE 66 LTS</v>
      </c>
      <c r="C18208" s="6">
        <v>1551000</v>
      </c>
      <c r="D18208" s="5"/>
      <c r="E18208" s="5" t="str">
        <f t="shared" si="934"/>
        <v>TALENTO HUMANO-MARCO ANTONIO NAVARRO PALACIOS</v>
      </c>
      <c r="F18208" s="5" t="str">
        <f>"Descripcion: NEVERA NO FROST DE 257 LTS. MARCA MABE Estado: Bueno Placa anterior: 000033307 Material: METALICO Color: GRIS Referencia:  Observacion:  Placa padre: Tipo adquisicion: Entidad"</f>
        <v>Descripcion: NEVERA NO FROST DE 257 LTS. MARCA MABE Estado: Bueno Placa anterior: 000033307 Material: METALICO Color: GRIS Referencia:  Observacion:  Placa padre: Tipo adquisicion: Entidad</v>
      </c>
      <c r="G18208" s="5"/>
    </row>
    <row r="18209" spans="1:7" ht="58.5" customHeight="1" x14ac:dyDescent="0.25">
      <c r="A18209" s="5" t="str">
        <f>"H0019286"</f>
        <v>H0019286</v>
      </c>
      <c r="B18209" s="5" t="str">
        <f>"POTE (TARRO) ACERO INXODABLE CON TAPA MEDIANO"</f>
        <v>POTE (TARRO) ACERO INXODABLE CON TAPA MEDIANO</v>
      </c>
      <c r="C18209" s="6">
        <v>3870.05</v>
      </c>
      <c r="D18209" s="5"/>
      <c r="E18209" s="5" t="str">
        <f t="shared" si="934"/>
        <v>TALENTO HUMANO-MARCO ANTONIO NAVARRO PALACIOS</v>
      </c>
      <c r="F18209" s="5" t="str">
        <f>"Descripcion: TARRO EN ACERO INOXIDABLE Estado: Bueno Placa anterior: 000024639 Material: ACERO INOXIDABLE Color:  Referencia:  Observacion:  Placa padre: Tipo adquisicion: Entidad"</f>
        <v>Descripcion: TARRO EN ACERO INOXIDABLE Estado: Bueno Placa anterior: 000024639 Material: ACERO INOXIDABLE Color:  Referencia:  Observacion:  Placa padre: Tipo adquisicion: Entidad</v>
      </c>
      <c r="G18209" s="5"/>
    </row>
    <row r="18210" spans="1:7" ht="58.5" customHeight="1" x14ac:dyDescent="0.25">
      <c r="A18210" s="5" t="str">
        <f>"H0019290"</f>
        <v>H0019290</v>
      </c>
      <c r="B18210" s="5" t="str">
        <f>"ESTIMULADOR MUSCULAR (TEMS)"</f>
        <v>ESTIMULADOR MUSCULAR (TEMS)</v>
      </c>
      <c r="C18210" s="6">
        <v>2341000</v>
      </c>
      <c r="D18210" s="5"/>
      <c r="E18210" s="5" t="str">
        <f t="shared" si="934"/>
        <v>TALENTO HUMANO-MARCO ANTONIO NAVARRO PALACIOS</v>
      </c>
      <c r="F18210" s="5" t="str">
        <f>"Descripcion: ESTIMULADOR TENS MT 104 DE 4 CANALES BURTS NORMAL ANCHO DE PULSO, FRECUENCIA INHIBIDOR DE DOLOR, REEDUCADOR CLINICO, P/TRABAJO PESADO Estado: Bueno Placa anterior: 000033159 Material: METALICO Color: AZUL Referencia:  Observacion:  Placa padr"&amp; "e: Tipo adquisicion: Entidad"</f>
        <v>Descripcion: ESTIMULADOR TENS MT 104 DE 4 CANALES BURTS NORMAL ANCHO DE PULSO, FRECUENCIA INHIBIDOR DE DOLOR, REEDUCADOR CLINICO, P/TRABAJO PESADO Estado: Bueno Placa anterior: 000033159 Material: METALICO Color: AZUL Referencia:  Observacion:  Placa padre: Tipo adquisicion: Entidad</v>
      </c>
      <c r="G18210" s="5"/>
    </row>
    <row r="18211" spans="1:7" ht="58.5" customHeight="1" x14ac:dyDescent="0.25">
      <c r="A18211" s="5" t="str">
        <f>"H0019295"</f>
        <v>H0019295</v>
      </c>
      <c r="B18211" s="5" t="str">
        <f>"ESTANTE METALICO 6 ENTREPAÑOS"</f>
        <v>ESTANTE METALICO 6 ENTREPAÑOS</v>
      </c>
      <c r="C18211" s="6">
        <v>27714</v>
      </c>
      <c r="D18211" s="5"/>
      <c r="E18211" s="5" t="str">
        <f t="shared" si="934"/>
        <v>TALENTO HUMANO-MARCO ANTONIO NAVARRO PALACIOS</v>
      </c>
      <c r="F18211" s="5" t="str">
        <f>"Descripcion: ESTANTE METALICO 6 ENTREPAÑOS Estado: Bueno Placa anterior: 000002475 Material: METALICO Color:  GRIS Referencia:  Observacion:  Placa padre: Tipo adquisicion: Entidad"</f>
        <v>Descripcion: ESTANTE METALICO 6 ENTREPAÑOS Estado: Bueno Placa anterior: 000002475 Material: METALICO Color:  GRIS Referencia:  Observacion:  Placa padre: Tipo adquisicion: Entidad</v>
      </c>
      <c r="G18211" s="5"/>
    </row>
    <row r="18212" spans="1:7" ht="58.5" customHeight="1" x14ac:dyDescent="0.25">
      <c r="A18212" s="5" t="str">
        <f>"H0019326"</f>
        <v>H0019326</v>
      </c>
      <c r="B18212" s="5" t="str">
        <f>"VENTILADOR DE PEDESTAL"</f>
        <v>VENTILADOR DE PEDESTAL</v>
      </c>
      <c r="C18212" s="6">
        <v>120603</v>
      </c>
      <c r="D18212" s="5" t="s">
        <v>54</v>
      </c>
      <c r="E18212" s="5" t="str">
        <f t="shared" si="934"/>
        <v>TALENTO HUMANO-MARCO ANTONIO NAVARRO PALACIOS</v>
      </c>
      <c r="F18212" s="5" t="str">
        <f>"Descripcion: VENTILADOR ELECTROLUX DE PEDESTAL REF. 971698 CON GARANTIA DE UN AÑO POR PARTE DEL FABRICANTE Estado: Bueno Placa anterior: 000037123 Material: PLASTICO Color: NEGRO CON GRIS Referencia:  Observacion:  Placa padre: Tipo adquisicion: Entidad"</f>
        <v>Descripcion: VENTILADOR ELECTROLUX DE PEDESTAL REF. 971698 CON GARANTIA DE UN AÑO POR PARTE DEL FABRICANTE Estado: Bueno Placa anterior: 000037123 Material: PLASTICO Color: NEGRO CON GRIS Referencia:  Observacion:  Placa padre: Tipo adquisicion: Entidad</v>
      </c>
      <c r="G18212" s="5"/>
    </row>
    <row r="18213" spans="1:7" ht="58.5" customHeight="1" x14ac:dyDescent="0.25">
      <c r="A18213" s="5" t="str">
        <f>"H0020965"</f>
        <v>H0020965</v>
      </c>
      <c r="B18213" s="5" t="str">
        <f>"ESPALDAR OPERATIVO ALTO:50*45, SISTEMA DE AJUSTE SINCROAVANZADO DE 7 POSICIONES, CON AJUSTE DE ALTURA DEL ESPALDAR CON SISTEMA DE CREMALLERA;ASIENTO ECUALIZABLE Y SISTEMA DE ELVACIÓN NEUMATICA;ESPUMA DEL ASIENTO INYECTADA DE ALTA DENSIDAD, ESPALDAR EN DEN"&amp; "SIDAD MEDIA, TAPIZADO EN PRANNA;BASE GIRATORIAA EN POLIPROPILENO, INCLUYE RODACHINES EN NYLON PARA PISO DURO, CON APOYA PIES CIRCULAR PARA EL AREA DE LABORATORIO"</f>
        <v>ESPALDAR OPERATIVO ALTO:50*45, SISTEMA DE AJUSTE SINCROAVANZADO DE 7 POSICIONES, CON AJUSTE DE ALTURA DEL ESPALDAR CON SISTEMA DE CREMALLERA;ASIENTO ECUALIZABLE Y SISTEMA DE ELVACIÓN NEUMATICA;ESPUMA DEL ASIENTO INYECTADA DE ALTA DENSIDAD, ESPALDAR EN DENSIDAD MEDIA, TAPIZADO EN PRANNA;BASE GIRATORIAA EN POLIPROPILENO, INCLUYE RODACHINES EN NYLON PARA PISO DURO, CON APOYA PIES CIRCULAR PARA EL AREA DE LABORATORIO</v>
      </c>
      <c r="C18213" s="6">
        <v>469800</v>
      </c>
      <c r="D18213" s="5" t="s">
        <v>498</v>
      </c>
      <c r="E18213" s="5" t="str">
        <f t="shared" si="934"/>
        <v>TALENTO HUMANO-MARCO ANTONIO NAVARRO PALACIOS</v>
      </c>
      <c r="F18213" s="5"/>
      <c r="G18213" s="5"/>
    </row>
    <row r="18214" spans="1:7" ht="58.5" customHeight="1" x14ac:dyDescent="0.25">
      <c r="A18214" s="5" t="str">
        <f>"H0021096"</f>
        <v>H0021096</v>
      </c>
      <c r="B18214" s="5" t="str">
        <f>"SILLON (SOFA)"</f>
        <v>SILLON (SOFA)</v>
      </c>
      <c r="C18214" s="6">
        <v>21400</v>
      </c>
      <c r="D18214" s="5"/>
      <c r="E18214" s="5" t="str">
        <f t="shared" ref="E18214:E18277" si="935">"TALENTO HUMANO-MARCO ANTONIO NAVARRO PALACIOS"</f>
        <v>TALENTO HUMANO-MARCO ANTONIO NAVARRO PALACIOS</v>
      </c>
      <c r="F18214" s="5" t="str">
        <f>"Descripcion:SOFA LIZZY* SIN BRAZOS* ESTRUCTURA EN MADERA* TAPIZADO EN CUERO NEGRO DAÑADO Estado: Regular Placa anterior: 000005207 Material: MADERA Color: NEGRO Referencia:  Observacion:  Placa padre:  Tipo adquisicion : Entidad"</f>
        <v>Descripcion:SOFA LIZZY* SIN BRAZOS* ESTRUCTURA EN MADERA* TAPIZADO EN CUERO NEGRO DAÑADO Estado: Regular Placa anterior: 000005207 Material: MADERA Color: NEGRO Referencia:  Observacion:  Placa padre:  Tipo adquisicion : Entidad</v>
      </c>
      <c r="G18214" s="5"/>
    </row>
    <row r="18215" spans="1:7" ht="58.5" customHeight="1" x14ac:dyDescent="0.25">
      <c r="A18215" s="5" t="str">
        <f>"H0021539"</f>
        <v>H0021539</v>
      </c>
      <c r="B18215" s="5" t="str">
        <f>"ESTANTE METALICO 6 ENTREPAÑOS"</f>
        <v>ESTANTE METALICO 6 ENTREPAÑOS</v>
      </c>
      <c r="C18215" s="6">
        <v>8840.07</v>
      </c>
      <c r="D18215" s="5"/>
      <c r="E18215" s="5" t="str">
        <f t="shared" si="935"/>
        <v>TALENTO HUMANO-MARCO ANTONIO NAVARRO PALACIOS</v>
      </c>
      <c r="F18215" s="5" t="str">
        <f>"Descripcion:ESTANTE METALICO Estado: Bueno Placa anterior: 000002378 Material: METALICO Color: GRIS Referencia:  Observacion: BIEN TIENE PLACA ANTERIOR 000007698  AUTORIZADO CONCILIAR EN CRUCE GENERAL Placa padre:  Tipo adquisicion : Entidad"</f>
        <v>Descripcion:ESTANTE METALICO Estado: Bueno Placa anterior: 000002378 Material: METALICO Color: GRIS Referencia:  Observacion: BIEN TIENE PLACA ANTERIOR 000007698  AUTORIZADO CONCILIAR EN CRUCE GENERAL Placa padre:  Tipo adquisicion : Entidad</v>
      </c>
      <c r="G18215" s="5"/>
    </row>
    <row r="18216" spans="1:7" ht="58.5" customHeight="1" x14ac:dyDescent="0.25">
      <c r="A18216" s="5" t="str">
        <f>"H0024152"</f>
        <v>H0024152</v>
      </c>
      <c r="B18216" s="5" t="str">
        <f>"EXTINTORES 3700 grs DE AGENTE LIMPIO"</f>
        <v>EXTINTORES 3700 grs DE AGENTE LIMPIO</v>
      </c>
      <c r="C18216" s="6">
        <v>330000.01</v>
      </c>
      <c r="D18216" s="5" t="s">
        <v>458</v>
      </c>
      <c r="E18216" s="5" t="str">
        <f t="shared" si="935"/>
        <v>TALENTO HUMANO-MARCO ANTONIO NAVARRO PALACIOS</v>
      </c>
      <c r="F18216" s="5"/>
      <c r="G18216" s="5"/>
    </row>
    <row r="18217" spans="1:7" ht="58.5" customHeight="1" x14ac:dyDescent="0.25">
      <c r="A18217" s="5" t="str">
        <f>"H0024156"</f>
        <v>H0024156</v>
      </c>
      <c r="B18217" s="5" t="str">
        <f>"EXTINTORES 3700 grs DE AGENTE LIMPIO"</f>
        <v>EXTINTORES 3700 grs DE AGENTE LIMPIO</v>
      </c>
      <c r="C18217" s="6">
        <v>330000.01</v>
      </c>
      <c r="D18217" s="5" t="s">
        <v>458</v>
      </c>
      <c r="E18217" s="5" t="str">
        <f t="shared" si="935"/>
        <v>TALENTO HUMANO-MARCO ANTONIO NAVARRO PALACIOS</v>
      </c>
      <c r="F18217" s="5"/>
      <c r="G18217" s="5"/>
    </row>
    <row r="18218" spans="1:7" ht="58.5" customHeight="1" x14ac:dyDescent="0.25">
      <c r="A18218" s="5" t="str">
        <f>"H0024582"</f>
        <v>H0024582</v>
      </c>
      <c r="B1821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218" s="6">
        <v>2600000</v>
      </c>
      <c r="D18218" s="5" t="s">
        <v>36</v>
      </c>
      <c r="E18218" s="5" t="str">
        <f t="shared" si="935"/>
        <v>TALENTO HUMANO-MARCO ANTONIO NAVARRO PALACIOS</v>
      </c>
      <c r="F18218" s="5"/>
      <c r="G18218" s="5"/>
    </row>
    <row r="18219" spans="1:7" ht="58.5" customHeight="1" x14ac:dyDescent="0.25">
      <c r="A18219" s="5" t="str">
        <f>"H0024988"</f>
        <v>H0024988</v>
      </c>
      <c r="B18219" s="5" t="str">
        <f>"PUESTO DE TRABAJO CON SUPERFICIE DE AGLOMERADO ENCHAPADO EN GENERIKA BORDES EN PVC ESTRUCTURA METÁLICA DE PESDESTALES TIPO L INCLUYE ARCHIVADOR 2X1 METÁLICO NUEVO DIMENSIONES: 1,10 ANCHO X 1,95 LARGO X 0,74 ALTO"</f>
        <v>PUESTO DE TRABAJO CON SUPERFICIE DE AGLOMERADO ENCHAPADO EN GENERIKA BORDES EN PVC ESTRUCTURA METÁLICA DE PESDESTALES TIPO L INCLUYE ARCHIVADOR 2X1 METÁLICO NUEVO DIMENSIONES: 1,10 ANCHO X 1,95 LARGO X 0,74 ALTO</v>
      </c>
      <c r="C18219" s="6">
        <v>510400</v>
      </c>
      <c r="D18219" s="5" t="s">
        <v>578</v>
      </c>
      <c r="E18219" s="5" t="str">
        <f t="shared" si="935"/>
        <v>TALENTO HUMANO-MARCO ANTONIO NAVARRO PALACIOS</v>
      </c>
      <c r="F18219" s="5"/>
      <c r="G18219" s="5"/>
    </row>
    <row r="18220" spans="1:7" ht="58.5" customHeight="1" x14ac:dyDescent="0.25">
      <c r="A18220" s="5" t="str">
        <f>"H0025325"</f>
        <v>H0025325</v>
      </c>
      <c r="B18220" s="5" t="str">
        <f t="shared" ref="B18220:B18226" si="936">"TELÉFONO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0" s="6">
        <v>312156</v>
      </c>
      <c r="D18220" s="5" t="s">
        <v>10</v>
      </c>
      <c r="E18220" s="5" t="str">
        <f t="shared" si="935"/>
        <v>TALENTO HUMANO-MARCO ANTONIO NAVARRO PALACIOS</v>
      </c>
      <c r="F18220" s="5"/>
      <c r="G18220" s="5"/>
    </row>
    <row r="18221" spans="1:7" ht="58.5" customHeight="1" x14ac:dyDescent="0.25">
      <c r="A18221" s="5" t="str">
        <f>"H0025336"</f>
        <v>H0025336</v>
      </c>
      <c r="B18221"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1" s="6">
        <v>312156</v>
      </c>
      <c r="D18221" s="5" t="s">
        <v>10</v>
      </c>
      <c r="E18221" s="5" t="str">
        <f t="shared" si="935"/>
        <v>TALENTO HUMANO-MARCO ANTONIO NAVARRO PALACIOS</v>
      </c>
      <c r="F18221" s="5"/>
      <c r="G18221" s="5"/>
    </row>
    <row r="18222" spans="1:7" ht="58.5" customHeight="1" x14ac:dyDescent="0.25">
      <c r="A18222" s="5" t="str">
        <f>"H0025346"</f>
        <v>H0025346</v>
      </c>
      <c r="B18222"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2" s="6">
        <v>312156</v>
      </c>
      <c r="D18222" s="5" t="s">
        <v>10</v>
      </c>
      <c r="E18222" s="5" t="str">
        <f t="shared" si="935"/>
        <v>TALENTO HUMANO-MARCO ANTONIO NAVARRO PALACIOS</v>
      </c>
      <c r="F18222" s="5"/>
      <c r="G18222" s="5"/>
    </row>
    <row r="18223" spans="1:7" ht="58.5" customHeight="1" x14ac:dyDescent="0.25">
      <c r="A18223" s="5" t="str">
        <f>"H0025348"</f>
        <v>H0025348</v>
      </c>
      <c r="B18223"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3" s="6">
        <v>312156</v>
      </c>
      <c r="D18223" s="5" t="s">
        <v>10</v>
      </c>
      <c r="E18223" s="5" t="str">
        <f t="shared" si="935"/>
        <v>TALENTO HUMANO-MARCO ANTONIO NAVARRO PALACIOS</v>
      </c>
      <c r="F18223" s="5"/>
      <c r="G18223" s="5"/>
    </row>
    <row r="18224" spans="1:7" ht="58.5" customHeight="1" x14ac:dyDescent="0.25">
      <c r="A18224" s="5" t="str">
        <f>"H0025373"</f>
        <v>H0025373</v>
      </c>
      <c r="B18224"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4" s="6">
        <v>312156</v>
      </c>
      <c r="D18224" s="5" t="s">
        <v>10</v>
      </c>
      <c r="E18224" s="5" t="str">
        <f t="shared" si="935"/>
        <v>TALENTO HUMANO-MARCO ANTONIO NAVARRO PALACIOS</v>
      </c>
      <c r="F18224" s="5"/>
      <c r="G18224" s="5"/>
    </row>
    <row r="18225" spans="1:7" ht="58.5" customHeight="1" x14ac:dyDescent="0.25">
      <c r="A18225" s="5" t="str">
        <f>"H0025376"</f>
        <v>H0025376</v>
      </c>
      <c r="B18225"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5" s="6">
        <v>312156</v>
      </c>
      <c r="D18225" s="5" t="s">
        <v>10</v>
      </c>
      <c r="E18225" s="5" t="str">
        <f t="shared" si="935"/>
        <v>TALENTO HUMANO-MARCO ANTONIO NAVARRO PALACIOS</v>
      </c>
      <c r="F18225" s="5"/>
      <c r="G18225" s="5"/>
    </row>
    <row r="18226" spans="1:7" ht="58.5" customHeight="1" x14ac:dyDescent="0.25">
      <c r="A18226" s="5" t="str">
        <f>"H0025444"</f>
        <v>H0025444</v>
      </c>
      <c r="B18226" s="5" t="str">
        <f t="shared" si="936"/>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26" s="6">
        <v>312156</v>
      </c>
      <c r="D18226" s="5" t="s">
        <v>10</v>
      </c>
      <c r="E18226" s="5" t="str">
        <f t="shared" si="935"/>
        <v>TALENTO HUMANO-MARCO ANTONIO NAVARRO PALACIOS</v>
      </c>
      <c r="F18226" s="5"/>
      <c r="G18226" s="5"/>
    </row>
    <row r="18227" spans="1:7" ht="58.5" customHeight="1" x14ac:dyDescent="0.25">
      <c r="A18227" s="5" t="str">
        <f>"H0025853"</f>
        <v>H0025853</v>
      </c>
      <c r="B18227" s="5" t="str">
        <f>"NEVERA 9 PIES (255LT)"</f>
        <v>NEVERA 9 PIES (255LT)</v>
      </c>
      <c r="C18227" s="6">
        <v>568000</v>
      </c>
      <c r="D18227" s="5" t="s">
        <v>828</v>
      </c>
      <c r="E18227" s="5" t="str">
        <f t="shared" si="935"/>
        <v>TALENTO HUMANO-MARCO ANTONIO NAVARRO PALACIOS</v>
      </c>
      <c r="F18227" s="5"/>
      <c r="G18227" s="5"/>
    </row>
    <row r="18228" spans="1:7" ht="58.5" customHeight="1" x14ac:dyDescent="0.25">
      <c r="A18228" s="5" t="str">
        <f>"H0026788"</f>
        <v>H0026788</v>
      </c>
      <c r="B18228" s="5" t="str">
        <f>"CAMINADORA (Donación)"</f>
        <v>CAMINADORA (Donación)</v>
      </c>
      <c r="C18228" s="6">
        <v>1200000</v>
      </c>
      <c r="D18228" s="5" t="s">
        <v>78</v>
      </c>
      <c r="E18228" s="5" t="str">
        <f t="shared" si="935"/>
        <v>TALENTO HUMANO-MARCO ANTONIO NAVARRO PALACIOS</v>
      </c>
      <c r="F18228" s="5"/>
      <c r="G18228" s="5"/>
    </row>
    <row r="18229" spans="1:7" ht="58.5" customHeight="1" x14ac:dyDescent="0.25">
      <c r="A18229" s="5" t="str">
        <f>"H0026793"</f>
        <v>H0026793</v>
      </c>
      <c r="B18229"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29" s="6">
        <v>3296300</v>
      </c>
      <c r="D18229" s="5" t="s">
        <v>37</v>
      </c>
      <c r="E18229" s="5" t="str">
        <f t="shared" si="935"/>
        <v>TALENTO HUMANO-MARCO ANTONIO NAVARRO PALACIOS</v>
      </c>
      <c r="F18229" s="5"/>
      <c r="G18229" s="5"/>
    </row>
    <row r="18230" spans="1:7" ht="58.5" customHeight="1" x14ac:dyDescent="0.25">
      <c r="A18230" s="5" t="str">
        <f>"H0027180"</f>
        <v>H0027180</v>
      </c>
      <c r="B18230" s="5" t="str">
        <f t="shared" ref="B18230:B18239" si="937">"EQUIPO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0" s="6">
        <v>2641800</v>
      </c>
      <c r="D18230" s="5" t="s">
        <v>38</v>
      </c>
      <c r="E18230" s="5" t="str">
        <f t="shared" si="935"/>
        <v>TALENTO HUMANO-MARCO ANTONIO NAVARRO PALACIOS</v>
      </c>
      <c r="F18230" s="5"/>
      <c r="G18230" s="5"/>
    </row>
    <row r="18231" spans="1:7" ht="58.5" customHeight="1" x14ac:dyDescent="0.25">
      <c r="A18231" s="5" t="str">
        <f>"H0027202"</f>
        <v>H0027202</v>
      </c>
      <c r="B18231"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1" s="6">
        <v>2641800</v>
      </c>
      <c r="D18231" s="5" t="s">
        <v>38</v>
      </c>
      <c r="E18231" s="5" t="str">
        <f t="shared" si="935"/>
        <v>TALENTO HUMANO-MARCO ANTONIO NAVARRO PALACIOS</v>
      </c>
      <c r="F18231" s="5"/>
      <c r="G18231" s="5"/>
    </row>
    <row r="18232" spans="1:7" ht="58.5" customHeight="1" x14ac:dyDescent="0.25">
      <c r="A18232" s="5" t="str">
        <f>"H0027218"</f>
        <v>H0027218</v>
      </c>
      <c r="B18232"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2" s="6">
        <v>2641800</v>
      </c>
      <c r="D18232" s="5" t="s">
        <v>38</v>
      </c>
      <c r="E18232" s="5" t="str">
        <f t="shared" si="935"/>
        <v>TALENTO HUMANO-MARCO ANTONIO NAVARRO PALACIOS</v>
      </c>
      <c r="F18232" s="5"/>
      <c r="G18232" s="5"/>
    </row>
    <row r="18233" spans="1:7" ht="58.5" customHeight="1" x14ac:dyDescent="0.25">
      <c r="A18233" s="5" t="str">
        <f>"H0027227"</f>
        <v>H0027227</v>
      </c>
      <c r="B18233"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3" s="6">
        <v>2641800</v>
      </c>
      <c r="D18233" s="5" t="s">
        <v>38</v>
      </c>
      <c r="E18233" s="5" t="str">
        <f t="shared" si="935"/>
        <v>TALENTO HUMANO-MARCO ANTONIO NAVARRO PALACIOS</v>
      </c>
      <c r="F18233" s="5"/>
      <c r="G18233" s="5"/>
    </row>
    <row r="18234" spans="1:7" ht="58.5" customHeight="1" x14ac:dyDescent="0.25">
      <c r="A18234" s="5" t="str">
        <f>"H0027229"</f>
        <v>H0027229</v>
      </c>
      <c r="B18234"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4" s="6">
        <v>2641800</v>
      </c>
      <c r="D18234" s="5" t="s">
        <v>38</v>
      </c>
      <c r="E18234" s="5" t="str">
        <f t="shared" si="935"/>
        <v>TALENTO HUMANO-MARCO ANTONIO NAVARRO PALACIOS</v>
      </c>
      <c r="F18234" s="5"/>
      <c r="G18234" s="5"/>
    </row>
    <row r="18235" spans="1:7" ht="58.5" customHeight="1" x14ac:dyDescent="0.25">
      <c r="A18235" s="5" t="str">
        <f>"H0027230"</f>
        <v>H0027230</v>
      </c>
      <c r="B18235"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5" s="6">
        <v>2641800</v>
      </c>
      <c r="D18235" s="5" t="s">
        <v>38</v>
      </c>
      <c r="E18235" s="5" t="str">
        <f t="shared" si="935"/>
        <v>TALENTO HUMANO-MARCO ANTONIO NAVARRO PALACIOS</v>
      </c>
      <c r="F18235" s="5"/>
      <c r="G18235" s="5"/>
    </row>
    <row r="18236" spans="1:7" ht="58.5" customHeight="1" x14ac:dyDescent="0.25">
      <c r="A18236" s="5" t="str">
        <f>"H0027231"</f>
        <v>H0027231</v>
      </c>
      <c r="B18236"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6" s="6">
        <v>2641800</v>
      </c>
      <c r="D18236" s="5" t="s">
        <v>38</v>
      </c>
      <c r="E18236" s="5" t="str">
        <f t="shared" si="935"/>
        <v>TALENTO HUMANO-MARCO ANTONIO NAVARRO PALACIOS</v>
      </c>
      <c r="F18236" s="5"/>
      <c r="G18236" s="5"/>
    </row>
    <row r="18237" spans="1:7" ht="58.5" customHeight="1" x14ac:dyDescent="0.25">
      <c r="A18237" s="5" t="str">
        <f>"H0027232"</f>
        <v>H0027232</v>
      </c>
      <c r="B18237"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7" s="6">
        <v>2641800</v>
      </c>
      <c r="D18237" s="5" t="s">
        <v>38</v>
      </c>
      <c r="E18237" s="5" t="str">
        <f t="shared" si="935"/>
        <v>TALENTO HUMANO-MARCO ANTONIO NAVARRO PALACIOS</v>
      </c>
      <c r="F18237" s="5"/>
      <c r="G18237" s="5"/>
    </row>
    <row r="18238" spans="1:7" ht="58.5" customHeight="1" x14ac:dyDescent="0.25">
      <c r="A18238" s="5" t="str">
        <f>"H0027233"</f>
        <v>H0027233</v>
      </c>
      <c r="B18238"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8" s="6">
        <v>2641800</v>
      </c>
      <c r="D18238" s="5" t="s">
        <v>38</v>
      </c>
      <c r="E18238" s="5" t="str">
        <f t="shared" si="935"/>
        <v>TALENTO HUMANO-MARCO ANTONIO NAVARRO PALACIOS</v>
      </c>
      <c r="F18238" s="5"/>
      <c r="G18238" s="5"/>
    </row>
    <row r="18239" spans="1:7" ht="58.5" customHeight="1" x14ac:dyDescent="0.25">
      <c r="A18239" s="5" t="str">
        <f>"H0027274"</f>
        <v>H0027274</v>
      </c>
      <c r="B18239" s="5" t="str">
        <f t="shared" si="937"/>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239" s="6">
        <v>2641800</v>
      </c>
      <c r="D18239" s="5" t="s">
        <v>38</v>
      </c>
      <c r="E18239" s="5" t="str">
        <f t="shared" si="935"/>
        <v>TALENTO HUMANO-MARCO ANTONIO NAVARRO PALACIOS</v>
      </c>
      <c r="F18239" s="5"/>
      <c r="G18239" s="5"/>
    </row>
    <row r="18240" spans="1:7" ht="58.5" customHeight="1" x14ac:dyDescent="0.25">
      <c r="A18240" s="5" t="str">
        <f>"H0027312"</f>
        <v>H0027312</v>
      </c>
      <c r="B18240" s="5" t="str">
        <f>"ESCANER DE ALTA VELOCIDAD 35 PPM"</f>
        <v>ESCANER DE ALTA VELOCIDAD 35 PPM</v>
      </c>
      <c r="C18240" s="6">
        <v>1237171.56</v>
      </c>
      <c r="D18240" s="5" t="s">
        <v>12</v>
      </c>
      <c r="E18240" s="5" t="str">
        <f t="shared" si="935"/>
        <v>TALENTO HUMANO-MARCO ANTONIO NAVARRO PALACIOS</v>
      </c>
      <c r="F18240" s="5"/>
      <c r="G18240" s="5"/>
    </row>
    <row r="18241" spans="1:7" ht="58.5" customHeight="1" x14ac:dyDescent="0.25">
      <c r="A18241" s="5" t="str">
        <f>"H0028941"</f>
        <v>H0028941</v>
      </c>
      <c r="B18241" s="5" t="str">
        <f>"SILLA HERGONOMICA CON SISTEMA HIDRAULICO"</f>
        <v>SILLA HERGONOMICA CON SISTEMA HIDRAULICO</v>
      </c>
      <c r="C18241" s="6">
        <v>174900</v>
      </c>
      <c r="D18241" s="5" t="s">
        <v>40</v>
      </c>
      <c r="E18241" s="5" t="str">
        <f t="shared" si="935"/>
        <v>TALENTO HUMANO-MARCO ANTONIO NAVARRO PALACIOS</v>
      </c>
      <c r="F18241" s="5"/>
      <c r="G18241" s="5"/>
    </row>
    <row r="18242" spans="1:7" ht="58.5" customHeight="1" x14ac:dyDescent="0.25">
      <c r="A18242" s="5" t="str">
        <f>"H0029130"</f>
        <v>H0029130</v>
      </c>
      <c r="B18242" s="5" t="str">
        <f>"VIDEO PROYECTOR EPSON (Donado por ACTISALUD)"</f>
        <v>VIDEO PROYECTOR EPSON (Donado por ACTISALUD)</v>
      </c>
      <c r="C18242" s="6">
        <v>2100000</v>
      </c>
      <c r="D18242" s="5" t="s">
        <v>311</v>
      </c>
      <c r="E18242" s="5" t="str">
        <f t="shared" si="935"/>
        <v>TALENTO HUMANO-MARCO ANTONIO NAVARRO PALACIOS</v>
      </c>
      <c r="F18242" s="5"/>
      <c r="G18242" s="5"/>
    </row>
    <row r="18243" spans="1:7" ht="58.5" customHeight="1" x14ac:dyDescent="0.25">
      <c r="A18243" s="5" t="str">
        <f>"H0029131"</f>
        <v>H0029131</v>
      </c>
      <c r="B18243" s="5" t="str">
        <f>"PORTATIL HP 14-CM0008LM 14 (COLOR PLATA CON OFICCE 365 HOME PREMIUM 32/64 (Donado por ACTISALUD)"</f>
        <v>PORTATIL HP 14-CM0008LM 14 (COLOR PLATA CON OFICCE 365 HOME PREMIUM 32/64 (Donado por ACTISALUD)</v>
      </c>
      <c r="C18243" s="6">
        <v>2200000</v>
      </c>
      <c r="D18243" s="5" t="s">
        <v>311</v>
      </c>
      <c r="E18243" s="5" t="str">
        <f t="shared" si="935"/>
        <v>TALENTO HUMANO-MARCO ANTONIO NAVARRO PALACIOS</v>
      </c>
      <c r="F18243" s="5"/>
      <c r="G18243" s="5"/>
    </row>
    <row r="18244" spans="1:7" ht="58.5" customHeight="1" x14ac:dyDescent="0.25">
      <c r="A18244" s="5" t="str">
        <f>"H0029292"</f>
        <v>H0029292</v>
      </c>
      <c r="B18244" s="5" t="str">
        <f>"SILLA HERGONOMICA CON SISTEMA HIDRAULICO"</f>
        <v>SILLA HERGONOMICA CON SISTEMA HIDRAULICO</v>
      </c>
      <c r="C18244" s="6">
        <v>174900</v>
      </c>
      <c r="D18244" s="5" t="s">
        <v>89</v>
      </c>
      <c r="E18244" s="5" t="str">
        <f t="shared" si="935"/>
        <v>TALENTO HUMANO-MARCO ANTONIO NAVARRO PALACIOS</v>
      </c>
      <c r="F18244" s="5"/>
      <c r="G18244" s="5"/>
    </row>
    <row r="18245" spans="1:7" ht="58.5" customHeight="1" x14ac:dyDescent="0.25">
      <c r="A18245" s="5" t="str">
        <f>"H0029299"</f>
        <v>H0029299</v>
      </c>
      <c r="B18245" s="5" t="str">
        <f>"SILLA HERGONOMICA CON SISTEMA HIDRAULICO"</f>
        <v>SILLA HERGONOMICA CON SISTEMA HIDRAULICO</v>
      </c>
      <c r="C18245" s="6">
        <v>174900</v>
      </c>
      <c r="D18245" s="5" t="s">
        <v>89</v>
      </c>
      <c r="E18245" s="5" t="str">
        <f t="shared" si="935"/>
        <v>TALENTO HUMANO-MARCO ANTONIO NAVARRO PALACIOS</v>
      </c>
      <c r="F18245" s="5"/>
      <c r="G18245" s="5"/>
    </row>
    <row r="18246" spans="1:7" ht="58.5" customHeight="1" x14ac:dyDescent="0.25">
      <c r="A18246" s="5" t="str">
        <f>"H0029349"</f>
        <v>H0029349</v>
      </c>
      <c r="B18246" s="5" t="str">
        <f>"SILLA HERGONOMICA CON SISTEMA HIDRAULICO"</f>
        <v>SILLA HERGONOMICA CON SISTEMA HIDRAULICO</v>
      </c>
      <c r="C18246" s="6">
        <v>174900</v>
      </c>
      <c r="D18246" s="5" t="s">
        <v>89</v>
      </c>
      <c r="E18246" s="5" t="str">
        <f t="shared" si="935"/>
        <v>TALENTO HUMANO-MARCO ANTONIO NAVARRO PALACIOS</v>
      </c>
      <c r="F18246" s="5"/>
      <c r="G18246" s="5"/>
    </row>
    <row r="18247" spans="1:7" ht="58.5" customHeight="1" x14ac:dyDescent="0.25">
      <c r="A18247" s="5" t="str">
        <f>"H0029501"</f>
        <v>H0029501</v>
      </c>
      <c r="B1824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247" s="6">
        <v>257040</v>
      </c>
      <c r="D18247" s="5" t="s">
        <v>14</v>
      </c>
      <c r="E18247" s="5" t="str">
        <f t="shared" si="935"/>
        <v>TALENTO HUMANO-MARCO ANTONIO NAVARRO PALACIOS</v>
      </c>
      <c r="F18247" s="5"/>
      <c r="G18247" s="5"/>
    </row>
    <row r="18248" spans="1:7" ht="58.5" customHeight="1" x14ac:dyDescent="0.25">
      <c r="A18248" s="5" t="str">
        <f>"H0029523"</f>
        <v>H0029523</v>
      </c>
      <c r="B18248" s="5" t="str">
        <f>"MONITOR LED"</f>
        <v>MONITOR LED</v>
      </c>
      <c r="C18248" s="6">
        <v>283220</v>
      </c>
      <c r="D18248" s="5" t="s">
        <v>14</v>
      </c>
      <c r="E18248" s="5" t="str">
        <f t="shared" si="935"/>
        <v>TALENTO HUMANO-MARCO ANTONIO NAVARRO PALACIOS</v>
      </c>
      <c r="F18248" s="5"/>
      <c r="G18248" s="5"/>
    </row>
    <row r="18249" spans="1:7" ht="58.5" customHeight="1" x14ac:dyDescent="0.25">
      <c r="A18249" s="5" t="str">
        <f>"H0029553"</f>
        <v>H0029553</v>
      </c>
      <c r="B18249" s="5" t="str">
        <f t="shared" ref="B18249:B18255" si="938">"ESTANTE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249" s="6">
        <v>252400.18</v>
      </c>
      <c r="D18249" s="5" t="s">
        <v>15</v>
      </c>
      <c r="E18249" s="5" t="str">
        <f t="shared" si="935"/>
        <v>TALENTO HUMANO-MARCO ANTONIO NAVARRO PALACIOS</v>
      </c>
      <c r="F18249" s="5"/>
      <c r="G18249" s="5"/>
    </row>
    <row r="18250" spans="1:7" ht="58.5" customHeight="1" x14ac:dyDescent="0.25">
      <c r="A18250" s="5" t="str">
        <f>"H0029554"</f>
        <v>H0029554</v>
      </c>
      <c r="B18250" s="5" t="str">
        <f t="shared" si="938"/>
        <v>ESTANTE CONSTRUIDOS EN LAMINAS METÁLICAS SOLIDAS, RESISTENTES Y ESTABLES CON TRATAMIENTO ANTICORROSIVO, CON 7 ENTREPAÑOS, DE 0.94 CMS DE ANCHO, CON ALTURA DE 2.20MTS Y CADA BANDEJA DEBE SOPORTAR UN PESO DE 100KG/MT LINEA</v>
      </c>
      <c r="C18250" s="6">
        <v>252400.18</v>
      </c>
      <c r="D18250" s="5" t="s">
        <v>15</v>
      </c>
      <c r="E18250" s="5" t="str">
        <f t="shared" si="935"/>
        <v>TALENTO HUMANO-MARCO ANTONIO NAVARRO PALACIOS</v>
      </c>
      <c r="F18250" s="5"/>
      <c r="G18250" s="5"/>
    </row>
    <row r="18251" spans="1:7" ht="58.5" customHeight="1" x14ac:dyDescent="0.25">
      <c r="A18251" s="5" t="str">
        <f>"H0029555"</f>
        <v>H0029555</v>
      </c>
      <c r="B18251" s="5" t="str">
        <f t="shared" si="938"/>
        <v>ESTANTE CONSTRUIDOS EN LAMINAS METÁLICAS SOLIDAS, RESISTENTES Y ESTABLES CON TRATAMIENTO ANTICORROSIVO, CON 7 ENTREPAÑOS, DE 0.94 CMS DE ANCHO, CON ALTURA DE 2.20MTS Y CADA BANDEJA DEBE SOPORTAR UN PESO DE 100KG/MT LINEA</v>
      </c>
      <c r="C18251" s="6">
        <v>252400.18</v>
      </c>
      <c r="D18251" s="5" t="s">
        <v>15</v>
      </c>
      <c r="E18251" s="5" t="str">
        <f t="shared" si="935"/>
        <v>TALENTO HUMANO-MARCO ANTONIO NAVARRO PALACIOS</v>
      </c>
      <c r="F18251" s="5"/>
      <c r="G18251" s="5"/>
    </row>
    <row r="18252" spans="1:7" ht="58.5" customHeight="1" x14ac:dyDescent="0.25">
      <c r="A18252" s="5" t="str">
        <f>"H0029556"</f>
        <v>H0029556</v>
      </c>
      <c r="B18252" s="5" t="str">
        <f t="shared" si="938"/>
        <v>ESTANTE CONSTRUIDOS EN LAMINAS METÁLICAS SOLIDAS, RESISTENTES Y ESTABLES CON TRATAMIENTO ANTICORROSIVO, CON 7 ENTREPAÑOS, DE 0.94 CMS DE ANCHO, CON ALTURA DE 2.20MTS Y CADA BANDEJA DEBE SOPORTAR UN PESO DE 100KG/MT LINEA</v>
      </c>
      <c r="C18252" s="6">
        <v>252400.18</v>
      </c>
      <c r="D18252" s="5" t="s">
        <v>15</v>
      </c>
      <c r="E18252" s="5" t="str">
        <f t="shared" si="935"/>
        <v>TALENTO HUMANO-MARCO ANTONIO NAVARRO PALACIOS</v>
      </c>
      <c r="F18252" s="5"/>
      <c r="G18252" s="5"/>
    </row>
    <row r="18253" spans="1:7" ht="58.5" customHeight="1" x14ac:dyDescent="0.25">
      <c r="A18253" s="5" t="str">
        <f>"H0029557"</f>
        <v>H0029557</v>
      </c>
      <c r="B18253" s="5" t="str">
        <f t="shared" si="938"/>
        <v>ESTANTE CONSTRUIDOS EN LAMINAS METÁLICAS SOLIDAS, RESISTENTES Y ESTABLES CON TRATAMIENTO ANTICORROSIVO, CON 7 ENTREPAÑOS, DE 0.94 CMS DE ANCHO, CON ALTURA DE 2.20MTS Y CADA BANDEJA DEBE SOPORTAR UN PESO DE 100KG/MT LINEA</v>
      </c>
      <c r="C18253" s="6">
        <v>252400.18</v>
      </c>
      <c r="D18253" s="5" t="s">
        <v>15</v>
      </c>
      <c r="E18253" s="5" t="str">
        <f t="shared" si="935"/>
        <v>TALENTO HUMANO-MARCO ANTONIO NAVARRO PALACIOS</v>
      </c>
      <c r="F18253" s="5"/>
      <c r="G18253" s="5"/>
    </row>
    <row r="18254" spans="1:7" ht="58.5" customHeight="1" x14ac:dyDescent="0.25">
      <c r="A18254" s="5" t="str">
        <f>"H0029558"</f>
        <v>H0029558</v>
      </c>
      <c r="B18254" s="5" t="str">
        <f t="shared" si="938"/>
        <v>ESTANTE CONSTRUIDOS EN LAMINAS METÁLICAS SOLIDAS, RESISTENTES Y ESTABLES CON TRATAMIENTO ANTICORROSIVO, CON 7 ENTREPAÑOS, DE 0.94 CMS DE ANCHO, CON ALTURA DE 2.20MTS Y CADA BANDEJA DEBE SOPORTAR UN PESO DE 100KG/MT LINEA</v>
      </c>
      <c r="C18254" s="6">
        <v>252400.18</v>
      </c>
      <c r="D18254" s="5" t="s">
        <v>15</v>
      </c>
      <c r="E18254" s="5" t="str">
        <f t="shared" si="935"/>
        <v>TALENTO HUMANO-MARCO ANTONIO NAVARRO PALACIOS</v>
      </c>
      <c r="F18254" s="5"/>
      <c r="G18254" s="5"/>
    </row>
    <row r="18255" spans="1:7" ht="58.5" customHeight="1" x14ac:dyDescent="0.25">
      <c r="A18255" s="5" t="str">
        <f>"H0029573"</f>
        <v>H0029573</v>
      </c>
      <c r="B18255" s="5" t="str">
        <f t="shared" si="938"/>
        <v>ESTANTE CONSTRUIDOS EN LAMINAS METÁLICAS SOLIDAS, RESISTENTES Y ESTABLES CON TRATAMIENTO ANTICORROSIVO, CON 7 ENTREPAÑOS, DE 0.94 CMS DE ANCHO, CON ALTURA DE 2.20MTS Y CADA BANDEJA DEBE SOPORTAR UN PESO DE 100KG/MT LINEA</v>
      </c>
      <c r="C18255" s="6">
        <v>252400.18</v>
      </c>
      <c r="D18255" s="5" t="s">
        <v>15</v>
      </c>
      <c r="E18255" s="5" t="str">
        <f t="shared" si="935"/>
        <v>TALENTO HUMANO-MARCO ANTONIO NAVARRO PALACIOS</v>
      </c>
      <c r="F18255" s="5"/>
      <c r="G18255" s="5"/>
    </row>
    <row r="18256" spans="1:7" ht="58.5" customHeight="1" x14ac:dyDescent="0.25">
      <c r="A18256" s="5" t="str">
        <f>"H0029741"</f>
        <v>H0029741</v>
      </c>
      <c r="B18256" s="5" t="s">
        <v>94</v>
      </c>
      <c r="C18256" s="6">
        <v>148999.9</v>
      </c>
      <c r="D18256" s="5" t="s">
        <v>93</v>
      </c>
      <c r="E18256" s="5" t="str">
        <f t="shared" si="935"/>
        <v>TALENTO HUMANO-MARCO ANTONIO NAVARRO PALACIOS</v>
      </c>
      <c r="F18256" s="5"/>
      <c r="G18256" s="5"/>
    </row>
    <row r="18257" spans="1:7" ht="58.5" customHeight="1" x14ac:dyDescent="0.25">
      <c r="A18257" s="5" t="str">
        <f>"H0031175"</f>
        <v>H0031175</v>
      </c>
      <c r="B18257" s="5" t="str">
        <f>"AIRE ACONDICIONADO  12000 BTU (CODIGO DONACION)"</f>
        <v>AIRE ACONDICIONADO  12000 BTU (CODIGO DONACION)</v>
      </c>
      <c r="C18257" s="6">
        <v>1523200</v>
      </c>
      <c r="D18257" s="5" t="s">
        <v>104</v>
      </c>
      <c r="E18257" s="5" t="str">
        <f t="shared" si="935"/>
        <v>TALENTO HUMANO-MARCO ANTONIO NAVARRO PALACIOS</v>
      </c>
      <c r="F18257" s="5"/>
      <c r="G18257" s="5"/>
    </row>
    <row r="18258" spans="1:7" ht="58.5" customHeight="1" x14ac:dyDescent="0.25">
      <c r="A18258" s="5" t="str">
        <f>"H0031194"</f>
        <v>H0031194</v>
      </c>
      <c r="B1825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258" s="6">
        <v>246036.99</v>
      </c>
      <c r="D18258" s="5" t="s">
        <v>103</v>
      </c>
      <c r="E18258" s="5" t="str">
        <f t="shared" si="935"/>
        <v>TALENTO HUMANO-MARCO ANTONIO NAVARRO PALACIOS</v>
      </c>
      <c r="F18258" s="5"/>
      <c r="G18258" s="5"/>
    </row>
    <row r="18259" spans="1:7" ht="58.5" customHeight="1" x14ac:dyDescent="0.25">
      <c r="A18259" s="5" t="str">
        <f>"H0031195"</f>
        <v>H0031195</v>
      </c>
      <c r="B1825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259" s="6">
        <v>246036.99</v>
      </c>
      <c r="D18259" s="5" t="s">
        <v>103</v>
      </c>
      <c r="E18259" s="5" t="str">
        <f t="shared" si="935"/>
        <v>TALENTO HUMANO-MARCO ANTONIO NAVARRO PALACIOS</v>
      </c>
      <c r="F18259" s="5"/>
      <c r="G18259" s="5"/>
    </row>
    <row r="18260" spans="1:7" ht="58.5" customHeight="1" x14ac:dyDescent="0.25">
      <c r="A18260" s="5" t="str">
        <f>"H0031197"</f>
        <v>H0031197</v>
      </c>
      <c r="B1826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260" s="6">
        <v>246036.99</v>
      </c>
      <c r="D18260" s="5" t="s">
        <v>103</v>
      </c>
      <c r="E18260" s="5" t="str">
        <f t="shared" si="935"/>
        <v>TALENTO HUMANO-MARCO ANTONIO NAVARRO PALACIOS</v>
      </c>
      <c r="F18260" s="5"/>
      <c r="G18260" s="5"/>
    </row>
    <row r="18261" spans="1:7" ht="58.5" customHeight="1" x14ac:dyDescent="0.25">
      <c r="A18261" s="5" t="str">
        <f>"H0031198"</f>
        <v>H0031198</v>
      </c>
      <c r="B1826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261" s="6">
        <v>246036.99</v>
      </c>
      <c r="D18261" s="5" t="s">
        <v>103</v>
      </c>
      <c r="E18261" s="5" t="str">
        <f t="shared" si="935"/>
        <v>TALENTO HUMANO-MARCO ANTONIO NAVARRO PALACIOS</v>
      </c>
      <c r="F18261" s="5"/>
      <c r="G18261" s="5"/>
    </row>
    <row r="18262" spans="1:7" ht="58.5" customHeight="1" x14ac:dyDescent="0.25">
      <c r="A18262" s="5" t="str">
        <f>"H0031393"</f>
        <v>H0031393</v>
      </c>
      <c r="B18262"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18262" s="6">
        <v>1178100</v>
      </c>
      <c r="D18262" s="5" t="s">
        <v>473</v>
      </c>
      <c r="E18262" s="5" t="str">
        <f t="shared" si="935"/>
        <v>TALENTO HUMANO-MARCO ANTONIO NAVARRO PALACIOS</v>
      </c>
      <c r="F18262" s="5"/>
      <c r="G18262" s="5"/>
    </row>
    <row r="18263" spans="1:7" ht="58.5" customHeight="1" x14ac:dyDescent="0.25">
      <c r="A18263" s="5" t="str">
        <f>"h0031394"</f>
        <v>h0031394</v>
      </c>
      <c r="B18263"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18263" s="6">
        <v>1178100</v>
      </c>
      <c r="D18263" s="5" t="s">
        <v>473</v>
      </c>
      <c r="E18263" s="5" t="str">
        <f t="shared" si="935"/>
        <v>TALENTO HUMANO-MARCO ANTONIO NAVARRO PALACIOS</v>
      </c>
      <c r="F18263" s="5"/>
      <c r="G18263" s="5"/>
    </row>
    <row r="18264" spans="1:7" ht="58.5" customHeight="1" x14ac:dyDescent="0.25">
      <c r="A18264" s="5" t="str">
        <f>"H0031428"</f>
        <v>H0031428</v>
      </c>
      <c r="B18264" s="5" t="str">
        <f t="shared" ref="B18264:B18269" si="939">"EQUIPO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264" s="6">
        <v>3209500</v>
      </c>
      <c r="D18264" s="5" t="s">
        <v>16</v>
      </c>
      <c r="E18264" s="5" t="str">
        <f t="shared" si="935"/>
        <v>TALENTO HUMANO-MARCO ANTONIO NAVARRO PALACIOS</v>
      </c>
      <c r="F18264" s="5"/>
      <c r="G18264" s="5"/>
    </row>
    <row r="18265" spans="1:7" ht="58.5" customHeight="1" x14ac:dyDescent="0.25">
      <c r="A18265" s="5" t="str">
        <f>"H0031437"</f>
        <v>H0031437</v>
      </c>
      <c r="B18265" s="5" t="str">
        <f t="shared" si="939"/>
        <v>EQUIPO DE COMPUTO TODO EN UNO con Procesador 4 núcleos 3.2 GHz. RAM 8 GBx1 DDR4-2666. DD 256 GB SSD. RJ45 Base 1000. WLAN 802.11ac (2x2). 19”. Unidad de DVD-RW. Teclado USB. Mouse. Cámara Web</v>
      </c>
      <c r="C18265" s="6">
        <v>3209500</v>
      </c>
      <c r="D18265" s="5" t="s">
        <v>16</v>
      </c>
      <c r="E18265" s="5" t="str">
        <f t="shared" si="935"/>
        <v>TALENTO HUMANO-MARCO ANTONIO NAVARRO PALACIOS</v>
      </c>
      <c r="F18265" s="5"/>
      <c r="G18265" s="5"/>
    </row>
    <row r="18266" spans="1:7" ht="58.5" customHeight="1" x14ac:dyDescent="0.25">
      <c r="A18266" s="5" t="str">
        <f>"H0031438"</f>
        <v>H0031438</v>
      </c>
      <c r="B18266" s="5" t="str">
        <f t="shared" si="939"/>
        <v>EQUIPO DE COMPUTO TODO EN UNO con Procesador 4 núcleos 3.2 GHz. RAM 8 GBx1 DDR4-2666. DD 256 GB SSD. RJ45 Base 1000. WLAN 802.11ac (2x2). 19”. Unidad de DVD-RW. Teclado USB. Mouse. Cámara Web</v>
      </c>
      <c r="C18266" s="6">
        <v>3209500</v>
      </c>
      <c r="D18266" s="5" t="s">
        <v>16</v>
      </c>
      <c r="E18266" s="5" t="str">
        <f t="shared" si="935"/>
        <v>TALENTO HUMANO-MARCO ANTONIO NAVARRO PALACIOS</v>
      </c>
      <c r="F18266" s="5"/>
      <c r="G18266" s="5"/>
    </row>
    <row r="18267" spans="1:7" ht="58.5" customHeight="1" x14ac:dyDescent="0.25">
      <c r="A18267" s="5" t="str">
        <f>"H0031473"</f>
        <v>H0031473</v>
      </c>
      <c r="B18267" s="5" t="str">
        <f t="shared" si="939"/>
        <v>EQUIPO DE COMPUTO TODO EN UNO con Procesador 4 núcleos 3.2 GHz. RAM 8 GBx1 DDR4-2666. DD 256 GB SSD. RJ45 Base 1000. WLAN 802.11ac (2x2). 19”. Unidad de DVD-RW. Teclado USB. Mouse. Cámara Web</v>
      </c>
      <c r="C18267" s="6">
        <v>3209500</v>
      </c>
      <c r="D18267" s="5" t="s">
        <v>16</v>
      </c>
      <c r="E18267" s="5" t="str">
        <f t="shared" si="935"/>
        <v>TALENTO HUMANO-MARCO ANTONIO NAVARRO PALACIOS</v>
      </c>
      <c r="F18267" s="5"/>
      <c r="G18267" s="5"/>
    </row>
    <row r="18268" spans="1:7" ht="58.5" customHeight="1" x14ac:dyDescent="0.25">
      <c r="A18268" s="5" t="str">
        <f>"H0031486"</f>
        <v>H0031486</v>
      </c>
      <c r="B18268" s="5" t="str">
        <f t="shared" si="939"/>
        <v>EQUIPO DE COMPUTO TODO EN UNO con Procesador 4 núcleos 3.2 GHz. RAM 8 GBx1 DDR4-2666. DD 256 GB SSD. RJ45 Base 1000. WLAN 802.11ac (2x2). 19”. Unidad de DVD-RW. Teclado USB. Mouse. Cámara Web</v>
      </c>
      <c r="C18268" s="6">
        <v>3209500</v>
      </c>
      <c r="D18268" s="5" t="s">
        <v>16</v>
      </c>
      <c r="E18268" s="5" t="str">
        <f t="shared" si="935"/>
        <v>TALENTO HUMANO-MARCO ANTONIO NAVARRO PALACIOS</v>
      </c>
      <c r="F18268" s="5"/>
      <c r="G18268" s="5"/>
    </row>
    <row r="18269" spans="1:7" ht="58.5" customHeight="1" x14ac:dyDescent="0.25">
      <c r="A18269" s="5" t="str">
        <f>"H0031493"</f>
        <v>H0031493</v>
      </c>
      <c r="B18269" s="5" t="str">
        <f t="shared" si="939"/>
        <v>EQUIPO DE COMPUTO TODO EN UNO con Procesador 4 núcleos 3.2 GHz. RAM 8 GBx1 DDR4-2666. DD 256 GB SSD. RJ45 Base 1000. WLAN 802.11ac (2x2). 19”. Unidad de DVD-RW. Teclado USB. Mouse. Cámara Web</v>
      </c>
      <c r="C18269" s="6">
        <v>3209500</v>
      </c>
      <c r="D18269" s="5" t="s">
        <v>16</v>
      </c>
      <c r="E18269" s="5" t="str">
        <f t="shared" si="935"/>
        <v>TALENTO HUMANO-MARCO ANTONIO NAVARRO PALACIOS</v>
      </c>
      <c r="F18269" s="5"/>
      <c r="G18269" s="5"/>
    </row>
    <row r="18270" spans="1:7" ht="58.5" customHeight="1" x14ac:dyDescent="0.25">
      <c r="A18270" s="5" t="str">
        <f>"H0031774"</f>
        <v>H0031774</v>
      </c>
      <c r="B18270" s="5" t="str">
        <f>"SILLA EJECUTIVA CON BRAZO"</f>
        <v>SILLA EJECUTIVA CON BRAZO</v>
      </c>
      <c r="C18270" s="6">
        <v>199900</v>
      </c>
      <c r="D18270" s="5" t="s">
        <v>814</v>
      </c>
      <c r="E18270" s="5" t="str">
        <f t="shared" si="935"/>
        <v>TALENTO HUMANO-MARCO ANTONIO NAVARRO PALACIOS</v>
      </c>
      <c r="F18270" s="5"/>
      <c r="G18270" s="5"/>
    </row>
    <row r="18271" spans="1:7" ht="58.5" customHeight="1" x14ac:dyDescent="0.25">
      <c r="A18271" s="5" t="str">
        <f>"H0031781"</f>
        <v>H0031781</v>
      </c>
      <c r="B18271" s="5" t="str">
        <f>"SILLA EJECUTIVA CON BRAZO"</f>
        <v>SILLA EJECUTIVA CON BRAZO</v>
      </c>
      <c r="C18271" s="6">
        <v>199900</v>
      </c>
      <c r="D18271" s="5" t="s">
        <v>814</v>
      </c>
      <c r="E18271" s="5" t="str">
        <f t="shared" si="935"/>
        <v>TALENTO HUMANO-MARCO ANTONIO NAVARRO PALACIOS</v>
      </c>
      <c r="F18271" s="5"/>
      <c r="G18271" s="5"/>
    </row>
    <row r="18272" spans="1:7" ht="58.5" customHeight="1" x14ac:dyDescent="0.25">
      <c r="A18272" s="5" t="str">
        <f>"H0031784"</f>
        <v>H0031784</v>
      </c>
      <c r="B18272" s="5" t="str">
        <f>"SILLA EJECUTIVA CON BRAZO"</f>
        <v>SILLA EJECUTIVA CON BRAZO</v>
      </c>
      <c r="C18272" s="6">
        <v>199900</v>
      </c>
      <c r="D18272" s="5" t="s">
        <v>814</v>
      </c>
      <c r="E18272" s="5" t="str">
        <f t="shared" si="935"/>
        <v>TALENTO HUMANO-MARCO ANTONIO NAVARRO PALACIOS</v>
      </c>
      <c r="F18272" s="5"/>
      <c r="G18272" s="5"/>
    </row>
    <row r="18273" spans="1:7" ht="58.5" customHeight="1" x14ac:dyDescent="0.25">
      <c r="A18273" s="5" t="str">
        <f>"H0031830"</f>
        <v>H0031830</v>
      </c>
      <c r="B18273" s="5" t="str">
        <f>"ESCRITORIO EN L MULTIPLE DE TRES 3.33+1.7X0.6X0.75 MELAMINA RH COLOR ARENA 9 GAVETAS"</f>
        <v>ESCRITORIO EN L MULTIPLE DE TRES 3.33+1.7X0.6X0.75 MELAMINA RH COLOR ARENA 9 GAVETAS</v>
      </c>
      <c r="C18273" s="6">
        <v>2450000</v>
      </c>
      <c r="D18273" s="5" t="s">
        <v>43</v>
      </c>
      <c r="E18273" s="5" t="str">
        <f t="shared" si="935"/>
        <v>TALENTO HUMANO-MARCO ANTONIO NAVARRO PALACIOS</v>
      </c>
      <c r="F18273" s="5"/>
      <c r="G18273" s="5"/>
    </row>
    <row r="18274" spans="1:7" ht="58.5" customHeight="1" x14ac:dyDescent="0.25">
      <c r="A18274" s="5" t="str">
        <f>"H0031833"</f>
        <v>H0031833</v>
      </c>
      <c r="B18274" s="5" t="str">
        <f>"ESCRITORIO LARGO 1.65X0.X0.25 MELAMINA RH COLOR ARENA 3 GAVETAS"</f>
        <v>ESCRITORIO LARGO 1.65X0.X0.25 MELAMINA RH COLOR ARENA 3 GAVETAS</v>
      </c>
      <c r="C18274" s="6">
        <v>785000</v>
      </c>
      <c r="D18274" s="5" t="s">
        <v>43</v>
      </c>
      <c r="E18274" s="5" t="str">
        <f t="shared" si="935"/>
        <v>TALENTO HUMANO-MARCO ANTONIO NAVARRO PALACIOS</v>
      </c>
      <c r="F18274" s="5"/>
      <c r="G18274" s="5"/>
    </row>
    <row r="18275" spans="1:7" ht="58.5" customHeight="1" x14ac:dyDescent="0.25">
      <c r="A18275" s="5" t="str">
        <f>"H0032883"</f>
        <v>H0032883</v>
      </c>
      <c r="B1827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275" s="6">
        <v>4289950</v>
      </c>
      <c r="D18275" s="5" t="s">
        <v>117</v>
      </c>
      <c r="E18275" s="5" t="str">
        <f t="shared" si="935"/>
        <v>TALENTO HUMANO-MARCO ANTONIO NAVARRO PALACIOS</v>
      </c>
      <c r="F18275" s="5"/>
      <c r="G18275" s="5"/>
    </row>
    <row r="18276" spans="1:7" ht="58.5" customHeight="1" x14ac:dyDescent="0.25">
      <c r="A18276" s="5" t="str">
        <f>"H0033933"</f>
        <v>H0033933</v>
      </c>
      <c r="B18276" s="5" t="str">
        <f>"LECTOR DE HUELLAS DIGITALES"</f>
        <v>LECTOR DE HUELLAS DIGITALES</v>
      </c>
      <c r="C18276" s="6">
        <v>340340</v>
      </c>
      <c r="D18276" s="5" t="s">
        <v>119</v>
      </c>
      <c r="E18276" s="5" t="str">
        <f t="shared" si="935"/>
        <v>TALENTO HUMANO-MARCO ANTONIO NAVARRO PALACIOS</v>
      </c>
      <c r="F18276" s="5"/>
      <c r="G18276" s="5"/>
    </row>
    <row r="18277" spans="1:7" ht="58.5" customHeight="1" x14ac:dyDescent="0.25">
      <c r="A18277" s="5" t="str">
        <f>"H0034061"</f>
        <v>H0034061</v>
      </c>
      <c r="B18277" s="5" t="str">
        <f>"Dispostivo para enrolamiento en software ZKAcce"</f>
        <v>Dispostivo para enrolamiento en software ZKAcce</v>
      </c>
      <c r="C18277" s="6">
        <v>821100</v>
      </c>
      <c r="D18277" s="5" t="s">
        <v>829</v>
      </c>
      <c r="E18277" s="5" t="str">
        <f t="shared" si="935"/>
        <v>TALENTO HUMANO-MARCO ANTONIO NAVARRO PALACIOS</v>
      </c>
      <c r="F18277" s="5"/>
      <c r="G18277" s="5"/>
    </row>
    <row r="18278" spans="1:7" ht="58.5" customHeight="1" x14ac:dyDescent="0.25">
      <c r="A18278" s="5" t="str">
        <f>"H0034453"</f>
        <v>H0034453</v>
      </c>
      <c r="B1827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278" s="6">
        <v>4289950</v>
      </c>
      <c r="D18278" s="5" t="s">
        <v>732</v>
      </c>
      <c r="E18278" s="5" t="str">
        <f t="shared" ref="E18278:E18341" si="940">"TALENTO HUMANO-MARCO ANTONIO NAVARRO PALACIOS"</f>
        <v>TALENTO HUMANO-MARCO ANTONIO NAVARRO PALACIOS</v>
      </c>
      <c r="F18278" s="5"/>
      <c r="G18278" s="5"/>
    </row>
    <row r="18279" spans="1:7" ht="58.5" customHeight="1" x14ac:dyDescent="0.25">
      <c r="A18279" s="5" t="str">
        <f>"H0034853"</f>
        <v>H0034853</v>
      </c>
      <c r="B18279" s="5" t="str">
        <f>"COMPUTADOR TODO EN UNO"</f>
        <v>COMPUTADOR TODO EN UNO</v>
      </c>
      <c r="C18279" s="6">
        <v>5291396.9000000004</v>
      </c>
      <c r="D18279" s="5" t="s">
        <v>24</v>
      </c>
      <c r="E18279" s="5" t="str">
        <f t="shared" si="940"/>
        <v>TALENTO HUMANO-MARCO ANTONIO NAVARRO PALACIOS</v>
      </c>
      <c r="F18279" s="5"/>
      <c r="G18279" s="5"/>
    </row>
    <row r="18280" spans="1:7" ht="58.5" customHeight="1" x14ac:dyDescent="0.25">
      <c r="A18280" s="5" t="str">
        <f>"H0034865"</f>
        <v>H0034865</v>
      </c>
      <c r="B18280" s="5" t="str">
        <f>"COMPUTADOR PORTATIL"</f>
        <v>COMPUTADOR PORTATIL</v>
      </c>
      <c r="C18280" s="6">
        <v>5308630.43</v>
      </c>
      <c r="D18280" s="5" t="s">
        <v>24</v>
      </c>
      <c r="E18280" s="5" t="str">
        <f t="shared" si="940"/>
        <v>TALENTO HUMANO-MARCO ANTONIO NAVARRO PALACIOS</v>
      </c>
      <c r="F18280" s="5"/>
      <c r="G18280" s="5"/>
    </row>
    <row r="18281" spans="1:7" ht="58.5" customHeight="1" x14ac:dyDescent="0.25">
      <c r="A18281" s="5" t="str">
        <f>"H0034866"</f>
        <v>H0034866</v>
      </c>
      <c r="B18281" s="5" t="str">
        <f>"COMPUTADOR PORTATIL"</f>
        <v>COMPUTADOR PORTATIL</v>
      </c>
      <c r="C18281" s="6">
        <v>5308630.43</v>
      </c>
      <c r="D18281" s="5" t="s">
        <v>24</v>
      </c>
      <c r="E18281" s="5" t="str">
        <f t="shared" si="940"/>
        <v>TALENTO HUMANO-MARCO ANTONIO NAVARRO PALACIOS</v>
      </c>
      <c r="F18281" s="5"/>
      <c r="G18281" s="5"/>
    </row>
    <row r="18282" spans="1:7" ht="58.5" customHeight="1" x14ac:dyDescent="0.25">
      <c r="A18282" s="5" t="str">
        <f>"H0035229"</f>
        <v>H0035229</v>
      </c>
      <c r="B18282" s="5" t="str">
        <f>"ESCANER DS 870 MARCA EPSON"</f>
        <v>ESCANER DS 870 MARCA EPSON</v>
      </c>
      <c r="C18282" s="6">
        <v>4337550</v>
      </c>
      <c r="D18282" s="5" t="s">
        <v>126</v>
      </c>
      <c r="E18282" s="5" t="str">
        <f t="shared" si="940"/>
        <v>TALENTO HUMANO-MARCO ANTONIO NAVARRO PALACIOS</v>
      </c>
      <c r="F18282" s="5"/>
      <c r="G18282" s="5"/>
    </row>
    <row r="18283" spans="1:7" ht="58.5" customHeight="1" x14ac:dyDescent="0.25">
      <c r="A18283" s="5" t="str">
        <f>"H0035234"</f>
        <v>H0035234</v>
      </c>
      <c r="B18283" s="5" t="str">
        <f>"ESCANER DS 870 MARCA EPSON"</f>
        <v>ESCANER DS 870 MARCA EPSON</v>
      </c>
      <c r="C18283" s="6">
        <v>4337550</v>
      </c>
      <c r="D18283" s="5" t="s">
        <v>126</v>
      </c>
      <c r="E18283" s="5" t="str">
        <f t="shared" si="940"/>
        <v>TALENTO HUMANO-MARCO ANTONIO NAVARRO PALACIOS</v>
      </c>
      <c r="F18283" s="5"/>
      <c r="G18283" s="5"/>
    </row>
    <row r="18284" spans="1:7" ht="58.5" customHeight="1" x14ac:dyDescent="0.25">
      <c r="A18284" s="5" t="str">
        <f>"H0035303"</f>
        <v>H0035303</v>
      </c>
      <c r="B18284" s="5" t="str">
        <f>"AIRE ACONDICIONADO DUAL INVERTER DE 24.000 BTU MARCA LG CON KIT DE TUBERIA DE 3 METROS"</f>
        <v>AIRE ACONDICIONADO DUAL INVERTER DE 24.000 BTU MARCA LG CON KIT DE TUBERIA DE 3 METROS</v>
      </c>
      <c r="C18284" s="6">
        <v>3554530</v>
      </c>
      <c r="D18284" s="5" t="s">
        <v>158</v>
      </c>
      <c r="E18284" s="5" t="str">
        <f t="shared" si="940"/>
        <v>TALENTO HUMANO-MARCO ANTONIO NAVARRO PALACIOS</v>
      </c>
      <c r="F18284" s="5"/>
      <c r="G18284" s="5" t="str">
        <f>"008TAFZAD067"</f>
        <v>008TAFZAD067</v>
      </c>
    </row>
    <row r="18285" spans="1:7" ht="58.5" customHeight="1" x14ac:dyDescent="0.25">
      <c r="A18285" s="5" t="str">
        <f>"H0035334"</f>
        <v>H0035334</v>
      </c>
      <c r="B18285" s="5" t="s">
        <v>128</v>
      </c>
      <c r="C18285" s="6">
        <v>5462100</v>
      </c>
      <c r="D18285" s="5" t="s">
        <v>127</v>
      </c>
      <c r="E18285" s="5" t="str">
        <f t="shared" si="940"/>
        <v>TALENTO HUMANO-MARCO ANTONIO NAVARRO PALACIOS</v>
      </c>
      <c r="F18285" s="5"/>
      <c r="G18285" s="5"/>
    </row>
    <row r="18286" spans="1:7" ht="58.5" customHeight="1" x14ac:dyDescent="0.25">
      <c r="A18286" s="5" t="str">
        <f>"H0035336"</f>
        <v>H0035336</v>
      </c>
      <c r="B18286" s="5" t="s">
        <v>128</v>
      </c>
      <c r="C18286" s="6">
        <v>5462100</v>
      </c>
      <c r="D18286" s="5" t="s">
        <v>127</v>
      </c>
      <c r="E18286" s="5" t="str">
        <f t="shared" si="940"/>
        <v>TALENTO HUMANO-MARCO ANTONIO NAVARRO PALACIOS</v>
      </c>
      <c r="F18286" s="5"/>
      <c r="G18286" s="5"/>
    </row>
    <row r="18287" spans="1:7" ht="58.5" customHeight="1" x14ac:dyDescent="0.25">
      <c r="A18287" s="5" t="str">
        <f>"H0035411"</f>
        <v>H0035411</v>
      </c>
      <c r="B18287" s="5" t="str">
        <f>"COMPUTADOR TODO EN UNO HP  200 G4 CORPORATIVO  21.5  Intel® Core™ i5-10210U 10ma generación), Disco Duro 1TB"</f>
        <v>COMPUTADOR TODO EN UNO HP  200 G4 CORPORATIVO  21.5  Intel® Core™ i5-10210U 10ma generación), Disco Duro 1TB</v>
      </c>
      <c r="C18287" s="6">
        <v>5343100</v>
      </c>
      <c r="D18287" s="5" t="s">
        <v>197</v>
      </c>
      <c r="E18287" s="5" t="str">
        <f t="shared" si="940"/>
        <v>TALENTO HUMANO-MARCO ANTONIO NAVARRO PALACIOS</v>
      </c>
      <c r="F18287" s="5"/>
      <c r="G18287" s="5"/>
    </row>
    <row r="18288" spans="1:7" ht="58.5" customHeight="1" x14ac:dyDescent="0.25">
      <c r="A18288" s="5" t="str">
        <f>"H0035846"</f>
        <v>H0035846</v>
      </c>
      <c r="B18288" s="5" t="str">
        <f t="shared" ref="B18288:B18300" si="941">"SILLA GERENTE NIZA MEC. BASCULANTE CON BRAZOS."</f>
        <v>SILLA GERENTE NIZA MEC. BASCULANTE CON BRAZOS.</v>
      </c>
      <c r="C18288" s="6">
        <v>639999.86</v>
      </c>
      <c r="D18288" s="5" t="s">
        <v>47</v>
      </c>
      <c r="E18288" s="5" t="str">
        <f t="shared" si="940"/>
        <v>TALENTO HUMANO-MARCO ANTONIO NAVARRO PALACIOS</v>
      </c>
      <c r="F18288" s="5"/>
      <c r="G18288" s="5"/>
    </row>
    <row r="18289" spans="1:7" ht="58.5" customHeight="1" x14ac:dyDescent="0.25">
      <c r="A18289" s="5" t="str">
        <f>"H0035847"</f>
        <v>H0035847</v>
      </c>
      <c r="B18289" s="5" t="str">
        <f t="shared" si="941"/>
        <v>SILLA GERENTE NIZA MEC. BASCULANTE CON BRAZOS.</v>
      </c>
      <c r="C18289" s="6">
        <v>639999.86</v>
      </c>
      <c r="D18289" s="5" t="s">
        <v>47</v>
      </c>
      <c r="E18289" s="5" t="str">
        <f t="shared" si="940"/>
        <v>TALENTO HUMANO-MARCO ANTONIO NAVARRO PALACIOS</v>
      </c>
      <c r="F18289" s="5"/>
      <c r="G18289" s="5"/>
    </row>
    <row r="18290" spans="1:7" ht="58.5" customHeight="1" x14ac:dyDescent="0.25">
      <c r="A18290" s="5" t="str">
        <f>"H0035887"</f>
        <v>H0035887</v>
      </c>
      <c r="B18290" s="5" t="str">
        <f t="shared" si="941"/>
        <v>SILLA GERENTE NIZA MEC. BASCULANTE CON BRAZOS.</v>
      </c>
      <c r="C18290" s="6">
        <v>639999.86</v>
      </c>
      <c r="D18290" s="5" t="s">
        <v>281</v>
      </c>
      <c r="E18290" s="5" t="str">
        <f t="shared" si="940"/>
        <v>TALENTO HUMANO-MARCO ANTONIO NAVARRO PALACIOS</v>
      </c>
      <c r="F18290" s="5"/>
      <c r="G18290" s="5"/>
    </row>
    <row r="18291" spans="1:7" ht="58.5" customHeight="1" x14ac:dyDescent="0.25">
      <c r="A18291" s="5" t="str">
        <f>"H0035888"</f>
        <v>H0035888</v>
      </c>
      <c r="B18291" s="5" t="str">
        <f t="shared" si="941"/>
        <v>SILLA GERENTE NIZA MEC. BASCULANTE CON BRAZOS.</v>
      </c>
      <c r="C18291" s="6">
        <v>639999.86</v>
      </c>
      <c r="D18291" s="5" t="s">
        <v>281</v>
      </c>
      <c r="E18291" s="5" t="str">
        <f t="shared" si="940"/>
        <v>TALENTO HUMANO-MARCO ANTONIO NAVARRO PALACIOS</v>
      </c>
      <c r="F18291" s="5"/>
      <c r="G18291" s="5"/>
    </row>
    <row r="18292" spans="1:7" ht="58.5" customHeight="1" x14ac:dyDescent="0.25">
      <c r="A18292" s="5" t="str">
        <f>"H0035889"</f>
        <v>H0035889</v>
      </c>
      <c r="B18292" s="5" t="str">
        <f t="shared" si="941"/>
        <v>SILLA GERENTE NIZA MEC. BASCULANTE CON BRAZOS.</v>
      </c>
      <c r="C18292" s="6">
        <v>639999.86</v>
      </c>
      <c r="D18292" s="5" t="s">
        <v>281</v>
      </c>
      <c r="E18292" s="5" t="str">
        <f t="shared" si="940"/>
        <v>TALENTO HUMANO-MARCO ANTONIO NAVARRO PALACIOS</v>
      </c>
      <c r="F18292" s="5"/>
      <c r="G18292" s="5"/>
    </row>
    <row r="18293" spans="1:7" ht="58.5" customHeight="1" x14ac:dyDescent="0.25">
      <c r="A18293" s="5" t="str">
        <f>"H0035890"</f>
        <v>H0035890</v>
      </c>
      <c r="B18293" s="5" t="str">
        <f t="shared" si="941"/>
        <v>SILLA GERENTE NIZA MEC. BASCULANTE CON BRAZOS.</v>
      </c>
      <c r="C18293" s="6">
        <v>639999.86</v>
      </c>
      <c r="D18293" s="5" t="s">
        <v>281</v>
      </c>
      <c r="E18293" s="5" t="str">
        <f t="shared" si="940"/>
        <v>TALENTO HUMANO-MARCO ANTONIO NAVARRO PALACIOS</v>
      </c>
      <c r="F18293" s="5"/>
      <c r="G18293" s="5"/>
    </row>
    <row r="18294" spans="1:7" ht="58.5" customHeight="1" x14ac:dyDescent="0.25">
      <c r="A18294" s="5" t="str">
        <f>"H0035891"</f>
        <v>H0035891</v>
      </c>
      <c r="B18294" s="5" t="str">
        <f t="shared" si="941"/>
        <v>SILLA GERENTE NIZA MEC. BASCULANTE CON BRAZOS.</v>
      </c>
      <c r="C18294" s="6">
        <v>639999.86</v>
      </c>
      <c r="D18294" s="5" t="s">
        <v>281</v>
      </c>
      <c r="E18294" s="5" t="str">
        <f t="shared" si="940"/>
        <v>TALENTO HUMANO-MARCO ANTONIO NAVARRO PALACIOS</v>
      </c>
      <c r="F18294" s="5"/>
      <c r="G18294" s="5"/>
    </row>
    <row r="18295" spans="1:7" ht="58.5" customHeight="1" x14ac:dyDescent="0.25">
      <c r="A18295" s="5" t="str">
        <f>"H0035940"</f>
        <v>H0035940</v>
      </c>
      <c r="B18295" s="5" t="str">
        <f t="shared" si="941"/>
        <v>SILLA GERENTE NIZA MEC. BASCULANTE CON BRAZOS.</v>
      </c>
      <c r="C18295" s="6">
        <v>639999.86</v>
      </c>
      <c r="D18295" s="5" t="s">
        <v>281</v>
      </c>
      <c r="E18295" s="5" t="str">
        <f t="shared" si="940"/>
        <v>TALENTO HUMANO-MARCO ANTONIO NAVARRO PALACIOS</v>
      </c>
      <c r="F18295" s="5"/>
      <c r="G18295" s="5"/>
    </row>
    <row r="18296" spans="1:7" ht="58.5" customHeight="1" x14ac:dyDescent="0.25">
      <c r="A18296" s="5" t="str">
        <f>"H0035970"</f>
        <v>H0035970</v>
      </c>
      <c r="B18296" s="5" t="str">
        <f t="shared" si="941"/>
        <v>SILLA GERENTE NIZA MEC. BASCULANTE CON BRAZOS.</v>
      </c>
      <c r="C18296" s="6">
        <v>639999.86</v>
      </c>
      <c r="D18296" s="5" t="s">
        <v>281</v>
      </c>
      <c r="E18296" s="5" t="str">
        <f t="shared" si="940"/>
        <v>TALENTO HUMANO-MARCO ANTONIO NAVARRO PALACIOS</v>
      </c>
      <c r="F18296" s="5"/>
      <c r="G18296" s="5"/>
    </row>
    <row r="18297" spans="1:7" ht="58.5" customHeight="1" x14ac:dyDescent="0.25">
      <c r="A18297" s="5" t="str">
        <f>"H0035971"</f>
        <v>H0035971</v>
      </c>
      <c r="B18297" s="5" t="str">
        <f t="shared" si="941"/>
        <v>SILLA GERENTE NIZA MEC. BASCULANTE CON BRAZOS.</v>
      </c>
      <c r="C18297" s="6">
        <v>640000</v>
      </c>
      <c r="D18297" s="5" t="s">
        <v>27</v>
      </c>
      <c r="E18297" s="5" t="str">
        <f t="shared" si="940"/>
        <v>TALENTO HUMANO-MARCO ANTONIO NAVARRO PALACIOS</v>
      </c>
      <c r="F18297" s="5"/>
      <c r="G18297" s="5"/>
    </row>
    <row r="18298" spans="1:7" ht="58.5" customHeight="1" x14ac:dyDescent="0.25">
      <c r="A18298" s="5" t="str">
        <f>"H0035972"</f>
        <v>H0035972</v>
      </c>
      <c r="B18298" s="5" t="str">
        <f t="shared" si="941"/>
        <v>SILLA GERENTE NIZA MEC. BASCULANTE CON BRAZOS.</v>
      </c>
      <c r="C18298" s="6">
        <v>640000</v>
      </c>
      <c r="D18298" s="5" t="s">
        <v>27</v>
      </c>
      <c r="E18298" s="5" t="str">
        <f t="shared" si="940"/>
        <v>TALENTO HUMANO-MARCO ANTONIO NAVARRO PALACIOS</v>
      </c>
      <c r="F18298" s="5"/>
      <c r="G18298" s="5"/>
    </row>
    <row r="18299" spans="1:7" ht="58.5" customHeight="1" x14ac:dyDescent="0.25">
      <c r="A18299" s="5" t="str">
        <f>"H0035973"</f>
        <v>H0035973</v>
      </c>
      <c r="B18299" s="5" t="str">
        <f t="shared" si="941"/>
        <v>SILLA GERENTE NIZA MEC. BASCULANTE CON BRAZOS.</v>
      </c>
      <c r="C18299" s="6">
        <v>640000</v>
      </c>
      <c r="D18299" s="5" t="s">
        <v>27</v>
      </c>
      <c r="E18299" s="5" t="str">
        <f t="shared" si="940"/>
        <v>TALENTO HUMANO-MARCO ANTONIO NAVARRO PALACIOS</v>
      </c>
      <c r="F18299" s="5"/>
      <c r="G18299" s="5"/>
    </row>
    <row r="18300" spans="1:7" ht="58.5" customHeight="1" x14ac:dyDescent="0.25">
      <c r="A18300" s="5" t="str">
        <f>"H0036008"</f>
        <v>H0036008</v>
      </c>
      <c r="B18300" s="5" t="str">
        <f t="shared" si="941"/>
        <v>SILLA GERENTE NIZA MEC. BASCULANTE CON BRAZOS.</v>
      </c>
      <c r="C18300" s="6">
        <v>639999.75</v>
      </c>
      <c r="D18300" s="5" t="s">
        <v>594</v>
      </c>
      <c r="E18300" s="5" t="str">
        <f t="shared" si="940"/>
        <v>TALENTO HUMANO-MARCO ANTONIO NAVARRO PALACIOS</v>
      </c>
      <c r="F18300" s="5"/>
      <c r="G18300" s="5"/>
    </row>
    <row r="18301" spans="1:7" ht="58.5" customHeight="1" x14ac:dyDescent="0.25">
      <c r="A18301" s="5" t="str">
        <f>"H0036426"</f>
        <v>H0036426</v>
      </c>
      <c r="B18301" s="5" t="str">
        <f>"VENTILADOR DE PARED"</f>
        <v>VENTILADOR DE PARED</v>
      </c>
      <c r="C18301" s="6">
        <v>295260</v>
      </c>
      <c r="D18301" s="5" t="s">
        <v>131</v>
      </c>
      <c r="E18301" s="5" t="str">
        <f t="shared" si="940"/>
        <v>TALENTO HUMANO-MARCO ANTONIO NAVARRO PALACIOS</v>
      </c>
      <c r="F18301" s="5"/>
      <c r="G18301" s="5"/>
    </row>
    <row r="18302" spans="1:7" ht="58.5" customHeight="1" x14ac:dyDescent="0.25">
      <c r="A18302" s="5" t="str">
        <f>"H0036473"</f>
        <v>H0036473</v>
      </c>
      <c r="B18302" s="5" t="str">
        <f>"AIRE ACONDICIONADO DUAL INVERTER DE 12.000 BTU MARCA LG CON KIT DE TUBERIA DE 3 METROS"</f>
        <v>AIRE ACONDICIONADO DUAL INVERTER DE 12.000 BTU MARCA LG CON KIT DE TUBERIA DE 3 METROS</v>
      </c>
      <c r="C18302" s="6">
        <v>5712000</v>
      </c>
      <c r="D18302" s="5" t="s">
        <v>830</v>
      </c>
      <c r="E18302" s="5" t="str">
        <f t="shared" si="940"/>
        <v>TALENTO HUMANO-MARCO ANTONIO NAVARRO PALACIOS</v>
      </c>
      <c r="F18302" s="5"/>
      <c r="G18302" s="5"/>
    </row>
    <row r="18303" spans="1:7" ht="58.5" customHeight="1" x14ac:dyDescent="0.25">
      <c r="A18303" s="5" t="str">
        <f>"H0036474"</f>
        <v>H0036474</v>
      </c>
      <c r="B18303" s="5" t="str">
        <f>"AIRE ACONDICIONADO DUAL INVERTER DE 12.000 BTU MARCA LG CON KIT DE TUBERIA DE 3 METROS"</f>
        <v>AIRE ACONDICIONADO DUAL INVERTER DE 12.000 BTU MARCA LG CON KIT DE TUBERIA DE 3 METROS</v>
      </c>
      <c r="C18303" s="6">
        <v>5712000</v>
      </c>
      <c r="D18303" s="5" t="s">
        <v>335</v>
      </c>
      <c r="E18303" s="5" t="str">
        <f t="shared" si="940"/>
        <v>TALENTO HUMANO-MARCO ANTONIO NAVARRO PALACIOS</v>
      </c>
      <c r="F18303" s="5"/>
      <c r="G18303" s="5"/>
    </row>
    <row r="18304" spans="1:7" ht="58.5" customHeight="1" x14ac:dyDescent="0.25">
      <c r="A18304" s="5" t="str">
        <f>"H0036475"</f>
        <v>H0036475</v>
      </c>
      <c r="B18304" s="5" t="str">
        <f>"AIRE ACONDICIONADO DUAL INVERTER DE 12.000 BTU MARCA LG CON KIT DE TUBERIA DE 3 METROS"</f>
        <v>AIRE ACONDICIONADO DUAL INVERTER DE 12.000 BTU MARCA LG CON KIT DE TUBERIA DE 3 METROS</v>
      </c>
      <c r="C18304" s="6">
        <v>5712000</v>
      </c>
      <c r="D18304" s="5" t="s">
        <v>335</v>
      </c>
      <c r="E18304" s="5" t="str">
        <f t="shared" si="940"/>
        <v>TALENTO HUMANO-MARCO ANTONIO NAVARRO PALACIOS</v>
      </c>
      <c r="F18304" s="5"/>
      <c r="G18304" s="5"/>
    </row>
    <row r="18305" spans="1:7" ht="58.5" customHeight="1" x14ac:dyDescent="0.25">
      <c r="A18305" s="5" t="str">
        <f>"H0036476"</f>
        <v>H0036476</v>
      </c>
      <c r="B18305" s="5" t="str">
        <f>"AIRE ACONDICIONADO DUAL INVERTER DE 18.000 BTU MARCA LG CON KIT DE TUBERIA DE 3 METROS"</f>
        <v>AIRE ACONDICIONADO DUAL INVERTER DE 18.000 BTU MARCA LG CON KIT DE TUBERIA DE 3 METROS</v>
      </c>
      <c r="C18305" s="6">
        <v>6545000</v>
      </c>
      <c r="D18305" s="5" t="s">
        <v>335</v>
      </c>
      <c r="E18305" s="5" t="str">
        <f t="shared" si="940"/>
        <v>TALENTO HUMANO-MARCO ANTONIO NAVARRO PALACIOS</v>
      </c>
      <c r="F18305" s="5"/>
      <c r="G18305" s="5"/>
    </row>
    <row r="18306" spans="1:7" ht="58.5" customHeight="1" x14ac:dyDescent="0.25">
      <c r="A18306" s="5" t="str">
        <f>"H0036518"</f>
        <v>H0036518</v>
      </c>
      <c r="B18306"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8306" s="6">
        <v>6307000</v>
      </c>
      <c r="D18306" s="5" t="s">
        <v>48</v>
      </c>
      <c r="E18306" s="5" t="str">
        <f t="shared" si="940"/>
        <v>TALENTO HUMANO-MARCO ANTONIO NAVARRO PALACIOS</v>
      </c>
      <c r="F18306" s="5"/>
      <c r="G18306" s="5" t="str">
        <f>"VZ4680G"</f>
        <v>VZ4680G</v>
      </c>
    </row>
    <row r="18307" spans="1:7" ht="58.5" customHeight="1" x14ac:dyDescent="0.25">
      <c r="A18307" s="5" t="str">
        <f>"H0036550"</f>
        <v>H0036550</v>
      </c>
      <c r="B18307"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18307" s="6">
        <v>6307000</v>
      </c>
      <c r="D18307" s="5" t="s">
        <v>48</v>
      </c>
      <c r="E18307" s="5" t="str">
        <f t="shared" si="940"/>
        <v>TALENTO HUMANO-MARCO ANTONIO NAVARRO PALACIOS</v>
      </c>
      <c r="F18307" s="5"/>
      <c r="G18307" s="5" t="str">
        <f>"VZ4680G"</f>
        <v>VZ4680G</v>
      </c>
    </row>
    <row r="18308" spans="1:7" ht="58.5" customHeight="1" x14ac:dyDescent="0.25">
      <c r="A18308" s="5" t="str">
        <f>"H0036577"</f>
        <v>H0036577</v>
      </c>
      <c r="B18308" s="5" t="str">
        <f>"ESCANER DE ALTA VELOCIDAD 35 PPM"</f>
        <v>ESCANER DE ALTA VELOCIDAD 35 PPM</v>
      </c>
      <c r="C18308" s="6">
        <v>2401636.36</v>
      </c>
      <c r="D18308" s="5" t="s">
        <v>199</v>
      </c>
      <c r="E18308" s="5" t="str">
        <f t="shared" si="940"/>
        <v>TALENTO HUMANO-MARCO ANTONIO NAVARRO PALACIOS</v>
      </c>
      <c r="F18308" s="5"/>
      <c r="G18308" s="5"/>
    </row>
    <row r="18309" spans="1:7" ht="58.5" customHeight="1" x14ac:dyDescent="0.25">
      <c r="A18309" s="5" t="str">
        <f>"H0036586"</f>
        <v>H0036586</v>
      </c>
      <c r="B18309" s="5" t="str">
        <f>"ESCANER DE ALTA VELOCIDAD 35 PPM"</f>
        <v>ESCANER DE ALTA VELOCIDAD 35 PPM</v>
      </c>
      <c r="C18309" s="6">
        <v>2401636.36</v>
      </c>
      <c r="D18309" s="5" t="s">
        <v>199</v>
      </c>
      <c r="E18309" s="5" t="str">
        <f t="shared" si="940"/>
        <v>TALENTO HUMANO-MARCO ANTONIO NAVARRO PALACIOS</v>
      </c>
      <c r="F18309" s="5"/>
      <c r="G18309" s="5"/>
    </row>
    <row r="18310" spans="1:7" ht="58.5" customHeight="1" x14ac:dyDescent="0.25">
      <c r="A18310" s="5" t="str">
        <f>"H0037047"</f>
        <v>H0037047</v>
      </c>
      <c r="B18310"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310" s="6">
        <v>1498500.37</v>
      </c>
      <c r="D18310" s="5" t="s">
        <v>202</v>
      </c>
      <c r="E18310" s="5" t="str">
        <f t="shared" si="940"/>
        <v>TALENTO HUMANO-MARCO ANTONIO NAVARRO PALACIOS</v>
      </c>
      <c r="F18310" s="5"/>
      <c r="G18310" s="5"/>
    </row>
    <row r="18311" spans="1:7" ht="58.5" customHeight="1" x14ac:dyDescent="0.25">
      <c r="A18311" s="5" t="str">
        <f>"H0037368"</f>
        <v>H0037368</v>
      </c>
      <c r="B18311" s="5" t="str">
        <f>"VENTILADOR DE PARED"</f>
        <v>VENTILADOR DE PARED</v>
      </c>
      <c r="C18311" s="6">
        <v>286671</v>
      </c>
      <c r="D18311" s="5" t="s">
        <v>138</v>
      </c>
      <c r="E18311" s="5" t="str">
        <f t="shared" si="940"/>
        <v>TALENTO HUMANO-MARCO ANTONIO NAVARRO PALACIOS</v>
      </c>
      <c r="F18311" s="5"/>
      <c r="G18311" s="5"/>
    </row>
    <row r="18312" spans="1:7" ht="58.5" customHeight="1" x14ac:dyDescent="0.25">
      <c r="A18312" s="5" t="str">
        <f>"H0037369"</f>
        <v>H0037369</v>
      </c>
      <c r="B18312" s="5" t="str">
        <f>"VENTILADOR DE PARED"</f>
        <v>VENTILADOR DE PARED</v>
      </c>
      <c r="C18312" s="6">
        <v>286671</v>
      </c>
      <c r="D18312" s="5" t="s">
        <v>138</v>
      </c>
      <c r="E18312" s="5" t="str">
        <f t="shared" si="940"/>
        <v>TALENTO HUMANO-MARCO ANTONIO NAVARRO PALACIOS</v>
      </c>
      <c r="F18312" s="5"/>
      <c r="G18312" s="5"/>
    </row>
    <row r="18313" spans="1:7" ht="58.5" customHeight="1" x14ac:dyDescent="0.25">
      <c r="A18313" s="5" t="str">
        <f>"H0037370"</f>
        <v>H0037370</v>
      </c>
      <c r="B18313" s="5" t="str">
        <f>"VENTILADOR DE PARED"</f>
        <v>VENTILADOR DE PARED</v>
      </c>
      <c r="C18313" s="6">
        <v>286671</v>
      </c>
      <c r="D18313" s="5" t="s">
        <v>138</v>
      </c>
      <c r="E18313" s="5" t="str">
        <f t="shared" si="940"/>
        <v>TALENTO HUMANO-MARCO ANTONIO NAVARRO PALACIOS</v>
      </c>
      <c r="F18313" s="5"/>
      <c r="G18313" s="5"/>
    </row>
    <row r="18314" spans="1:7" ht="58.5" customHeight="1" x14ac:dyDescent="0.25">
      <c r="A18314" s="5" t="str">
        <f>"H0037371"</f>
        <v>H0037371</v>
      </c>
      <c r="B18314" s="5" t="str">
        <f>"VENTILADOR DE PARED"</f>
        <v>VENTILADOR DE PARED</v>
      </c>
      <c r="C18314" s="6">
        <v>286671</v>
      </c>
      <c r="D18314" s="5" t="s">
        <v>138</v>
      </c>
      <c r="E18314" s="5" t="str">
        <f t="shared" si="940"/>
        <v>TALENTO HUMANO-MARCO ANTONIO NAVARRO PALACIOS</v>
      </c>
      <c r="F18314" s="5"/>
      <c r="G18314" s="5"/>
    </row>
    <row r="18315" spans="1:7" ht="58.5" customHeight="1" x14ac:dyDescent="0.25">
      <c r="A18315" s="5" t="str">
        <f>"H0037399"</f>
        <v>H0037399</v>
      </c>
      <c r="B18315" s="5" t="str">
        <f t="shared" ref="B18315:B18343" si="942">"-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315" s="6">
        <v>1498500.37</v>
      </c>
      <c r="D18315" s="5" t="s">
        <v>202</v>
      </c>
      <c r="E18315" s="5" t="str">
        <f t="shared" si="940"/>
        <v>TALENTO HUMANO-MARCO ANTONIO NAVARRO PALACIOS</v>
      </c>
      <c r="F18315" s="5"/>
      <c r="G18315" s="5"/>
    </row>
    <row r="18316" spans="1:7" ht="58.5" customHeight="1" x14ac:dyDescent="0.25">
      <c r="A18316" s="5" t="str">
        <f>"H0037400"</f>
        <v>H0037400</v>
      </c>
      <c r="B18316" s="5" t="str">
        <f t="shared" si="942"/>
        <v>- RADIO PORTÁTIL DEP 250, BATERIA DE LITIO DE 1500 MAH, CARGADOR DE BATERIA CLIP, ANTENA TIPO HELIFEX, COMUNICACIÓN DE VOZ ANALOGICAS/DIGITALES, MODULACION DIGITAL 4FSK Y ANALOGA 11KOF3E, ESPACIAMIENT</v>
      </c>
      <c r="C18316" s="6">
        <v>1498500.37</v>
      </c>
      <c r="D18316" s="5" t="s">
        <v>831</v>
      </c>
      <c r="E18316" s="5" t="str">
        <f t="shared" si="940"/>
        <v>TALENTO HUMANO-MARCO ANTONIO NAVARRO PALACIOS</v>
      </c>
      <c r="F18316" s="5"/>
      <c r="G18316" s="5"/>
    </row>
    <row r="18317" spans="1:7" ht="58.5" customHeight="1" x14ac:dyDescent="0.25">
      <c r="A18317" s="5" t="str">
        <f>"H0037401"</f>
        <v>H0037401</v>
      </c>
      <c r="B18317" s="5" t="str">
        <f t="shared" si="942"/>
        <v>- RADIO PORTÁTIL DEP 250, BATERIA DE LITIO DE 1500 MAH, CARGADOR DE BATERIA CLIP, ANTENA TIPO HELIFEX, COMUNICACIÓN DE VOZ ANALOGICAS/DIGITALES, MODULACION DIGITAL 4FSK Y ANALOGA 11KOF3E, ESPACIAMIENT</v>
      </c>
      <c r="C18317" s="6">
        <v>1498500.37</v>
      </c>
      <c r="D18317" s="5" t="s">
        <v>202</v>
      </c>
      <c r="E18317" s="5" t="str">
        <f t="shared" si="940"/>
        <v>TALENTO HUMANO-MARCO ANTONIO NAVARRO PALACIOS</v>
      </c>
      <c r="F18317" s="5"/>
      <c r="G18317" s="5"/>
    </row>
    <row r="18318" spans="1:7" ht="58.5" customHeight="1" x14ac:dyDescent="0.25">
      <c r="A18318" s="5" t="str">
        <f>"H0037402"</f>
        <v>H0037402</v>
      </c>
      <c r="B18318" s="5" t="str">
        <f t="shared" si="942"/>
        <v>- RADIO PORTÁTIL DEP 250, BATERIA DE LITIO DE 1500 MAH, CARGADOR DE BATERIA CLIP, ANTENA TIPO HELIFEX, COMUNICACIÓN DE VOZ ANALOGICAS/DIGITALES, MODULACION DIGITAL 4FSK Y ANALOGA 11KOF3E, ESPACIAMIENT</v>
      </c>
      <c r="C18318" s="6">
        <v>1498500.37</v>
      </c>
      <c r="D18318" s="5" t="s">
        <v>202</v>
      </c>
      <c r="E18318" s="5" t="str">
        <f t="shared" si="940"/>
        <v>TALENTO HUMANO-MARCO ANTONIO NAVARRO PALACIOS</v>
      </c>
      <c r="F18318" s="5"/>
      <c r="G18318" s="5"/>
    </row>
    <row r="18319" spans="1:7" ht="58.5" customHeight="1" x14ac:dyDescent="0.25">
      <c r="A18319" s="5" t="str">
        <f>"H0037403"</f>
        <v>H0037403</v>
      </c>
      <c r="B18319" s="5" t="str">
        <f t="shared" si="942"/>
        <v>- RADIO PORTÁTIL DEP 250, BATERIA DE LITIO DE 1500 MAH, CARGADOR DE BATERIA CLIP, ANTENA TIPO HELIFEX, COMUNICACIÓN DE VOZ ANALOGICAS/DIGITALES, MODULACION DIGITAL 4FSK Y ANALOGA 11KOF3E, ESPACIAMIENT</v>
      </c>
      <c r="C18319" s="6">
        <v>1498500.37</v>
      </c>
      <c r="D18319" s="5" t="s">
        <v>202</v>
      </c>
      <c r="E18319" s="5" t="str">
        <f t="shared" si="940"/>
        <v>TALENTO HUMANO-MARCO ANTONIO NAVARRO PALACIOS</v>
      </c>
      <c r="F18319" s="5"/>
      <c r="G18319" s="5"/>
    </row>
    <row r="18320" spans="1:7" ht="58.5" customHeight="1" x14ac:dyDescent="0.25">
      <c r="A18320" s="5" t="str">
        <f>"H0037404"</f>
        <v>H0037404</v>
      </c>
      <c r="B18320" s="5" t="str">
        <f t="shared" si="942"/>
        <v>- RADIO PORTÁTIL DEP 250, BATERIA DE LITIO DE 1500 MAH, CARGADOR DE BATERIA CLIP, ANTENA TIPO HELIFEX, COMUNICACIÓN DE VOZ ANALOGICAS/DIGITALES, MODULACION DIGITAL 4FSK Y ANALOGA 11KOF3E, ESPACIAMIENT</v>
      </c>
      <c r="C18320" s="6">
        <v>1498500.37</v>
      </c>
      <c r="D18320" s="5" t="s">
        <v>202</v>
      </c>
      <c r="E18320" s="5" t="str">
        <f t="shared" si="940"/>
        <v>TALENTO HUMANO-MARCO ANTONIO NAVARRO PALACIOS</v>
      </c>
      <c r="F18320" s="5"/>
      <c r="G18320" s="5"/>
    </row>
    <row r="18321" spans="1:7" ht="58.5" customHeight="1" x14ac:dyDescent="0.25">
      <c r="A18321" s="5" t="str">
        <f>"H0037405"</f>
        <v>H0037405</v>
      </c>
      <c r="B18321" s="5" t="str">
        <f t="shared" si="942"/>
        <v>- RADIO PORTÁTIL DEP 250, BATERIA DE LITIO DE 1500 MAH, CARGADOR DE BATERIA CLIP, ANTENA TIPO HELIFEX, COMUNICACIÓN DE VOZ ANALOGICAS/DIGITALES, MODULACION DIGITAL 4FSK Y ANALOGA 11KOF3E, ESPACIAMIENT</v>
      </c>
      <c r="C18321" s="6">
        <v>1498500.37</v>
      </c>
      <c r="D18321" s="5" t="s">
        <v>202</v>
      </c>
      <c r="E18321" s="5" t="str">
        <f t="shared" si="940"/>
        <v>TALENTO HUMANO-MARCO ANTONIO NAVARRO PALACIOS</v>
      </c>
      <c r="F18321" s="5"/>
      <c r="G18321" s="5"/>
    </row>
    <row r="18322" spans="1:7" ht="58.5" customHeight="1" x14ac:dyDescent="0.25">
      <c r="A18322" s="5" t="str">
        <f>"H0037406"</f>
        <v>H0037406</v>
      </c>
      <c r="B18322" s="5" t="str">
        <f t="shared" si="942"/>
        <v>- RADIO PORTÁTIL DEP 250, BATERIA DE LITIO DE 1500 MAH, CARGADOR DE BATERIA CLIP, ANTENA TIPO HELIFEX, COMUNICACIÓN DE VOZ ANALOGICAS/DIGITALES, MODULACION DIGITAL 4FSK Y ANALOGA 11KOF3E, ESPACIAMIENT</v>
      </c>
      <c r="C18322" s="6">
        <v>1498500.37</v>
      </c>
      <c r="D18322" s="5" t="s">
        <v>202</v>
      </c>
      <c r="E18322" s="5" t="str">
        <f t="shared" si="940"/>
        <v>TALENTO HUMANO-MARCO ANTONIO NAVARRO PALACIOS</v>
      </c>
      <c r="F18322" s="5"/>
      <c r="G18322" s="5"/>
    </row>
    <row r="18323" spans="1:7" ht="58.5" customHeight="1" x14ac:dyDescent="0.25">
      <c r="A18323" s="5" t="str">
        <f>"H0037408"</f>
        <v>H0037408</v>
      </c>
      <c r="B18323" s="5" t="str">
        <f t="shared" si="942"/>
        <v>- RADIO PORTÁTIL DEP 250, BATERIA DE LITIO DE 1500 MAH, CARGADOR DE BATERIA CLIP, ANTENA TIPO HELIFEX, COMUNICACIÓN DE VOZ ANALOGICAS/DIGITALES, MODULACION DIGITAL 4FSK Y ANALOGA 11KOF3E, ESPACIAMIENT</v>
      </c>
      <c r="C18323" s="6">
        <v>1498500.37</v>
      </c>
      <c r="D18323" s="5" t="s">
        <v>202</v>
      </c>
      <c r="E18323" s="5" t="str">
        <f t="shared" si="940"/>
        <v>TALENTO HUMANO-MARCO ANTONIO NAVARRO PALACIOS</v>
      </c>
      <c r="F18323" s="5"/>
      <c r="G18323" s="5"/>
    </row>
    <row r="18324" spans="1:7" ht="58.5" customHeight="1" x14ac:dyDescent="0.25">
      <c r="A18324" s="5" t="str">
        <f>"H0037409"</f>
        <v>H0037409</v>
      </c>
      <c r="B18324" s="5" t="str">
        <f t="shared" si="942"/>
        <v>- RADIO PORTÁTIL DEP 250, BATERIA DE LITIO DE 1500 MAH, CARGADOR DE BATERIA CLIP, ANTENA TIPO HELIFEX, COMUNICACIÓN DE VOZ ANALOGICAS/DIGITALES, MODULACION DIGITAL 4FSK Y ANALOGA 11KOF3E, ESPACIAMIENT</v>
      </c>
      <c r="C18324" s="6">
        <v>1498500.37</v>
      </c>
      <c r="D18324" s="5" t="s">
        <v>202</v>
      </c>
      <c r="E18324" s="5" t="str">
        <f t="shared" si="940"/>
        <v>TALENTO HUMANO-MARCO ANTONIO NAVARRO PALACIOS</v>
      </c>
      <c r="F18324" s="5"/>
      <c r="G18324" s="5"/>
    </row>
    <row r="18325" spans="1:7" ht="58.5" customHeight="1" x14ac:dyDescent="0.25">
      <c r="A18325" s="5" t="str">
        <f>"H0037410"</f>
        <v>H0037410</v>
      </c>
      <c r="B18325" s="5" t="str">
        <f t="shared" si="942"/>
        <v>- RADIO PORTÁTIL DEP 250, BATERIA DE LITIO DE 1500 MAH, CARGADOR DE BATERIA CLIP, ANTENA TIPO HELIFEX, COMUNICACIÓN DE VOZ ANALOGICAS/DIGITALES, MODULACION DIGITAL 4FSK Y ANALOGA 11KOF3E, ESPACIAMIENT</v>
      </c>
      <c r="C18325" s="6">
        <v>1498500.37</v>
      </c>
      <c r="D18325" s="5" t="s">
        <v>202</v>
      </c>
      <c r="E18325" s="5" t="str">
        <f t="shared" si="940"/>
        <v>TALENTO HUMANO-MARCO ANTONIO NAVARRO PALACIOS</v>
      </c>
      <c r="F18325" s="5"/>
      <c r="G18325" s="5"/>
    </row>
    <row r="18326" spans="1:7" ht="58.5" customHeight="1" x14ac:dyDescent="0.25">
      <c r="A18326" s="5" t="str">
        <f>"H0037411"</f>
        <v>H0037411</v>
      </c>
      <c r="B18326" s="5" t="str">
        <f t="shared" si="942"/>
        <v>- RADIO PORTÁTIL DEP 250, BATERIA DE LITIO DE 1500 MAH, CARGADOR DE BATERIA CLIP, ANTENA TIPO HELIFEX, COMUNICACIÓN DE VOZ ANALOGICAS/DIGITALES, MODULACION DIGITAL 4FSK Y ANALOGA 11KOF3E, ESPACIAMIENT</v>
      </c>
      <c r="C18326" s="6">
        <v>1498500.37</v>
      </c>
      <c r="D18326" s="5" t="s">
        <v>202</v>
      </c>
      <c r="E18326" s="5" t="str">
        <f t="shared" si="940"/>
        <v>TALENTO HUMANO-MARCO ANTONIO NAVARRO PALACIOS</v>
      </c>
      <c r="F18326" s="5"/>
      <c r="G18326" s="5"/>
    </row>
    <row r="18327" spans="1:7" ht="58.5" customHeight="1" x14ac:dyDescent="0.25">
      <c r="A18327" s="5" t="str">
        <f>"H0037412"</f>
        <v>H0037412</v>
      </c>
      <c r="B18327" s="5" t="str">
        <f t="shared" si="942"/>
        <v>- RADIO PORTÁTIL DEP 250, BATERIA DE LITIO DE 1500 MAH, CARGADOR DE BATERIA CLIP, ANTENA TIPO HELIFEX, COMUNICACIÓN DE VOZ ANALOGICAS/DIGITALES, MODULACION DIGITAL 4FSK Y ANALOGA 11KOF3E, ESPACIAMIENT</v>
      </c>
      <c r="C18327" s="6">
        <v>1498500.37</v>
      </c>
      <c r="D18327" s="5" t="s">
        <v>202</v>
      </c>
      <c r="E18327" s="5" t="str">
        <f t="shared" si="940"/>
        <v>TALENTO HUMANO-MARCO ANTONIO NAVARRO PALACIOS</v>
      </c>
      <c r="F18327" s="5"/>
      <c r="G18327" s="5"/>
    </row>
    <row r="18328" spans="1:7" ht="58.5" customHeight="1" x14ac:dyDescent="0.25">
      <c r="A18328" s="5" t="str">
        <f>"H0037413"</f>
        <v>H0037413</v>
      </c>
      <c r="B18328" s="5" t="str">
        <f t="shared" si="942"/>
        <v>- RADIO PORTÁTIL DEP 250, BATERIA DE LITIO DE 1500 MAH, CARGADOR DE BATERIA CLIP, ANTENA TIPO HELIFEX, COMUNICACIÓN DE VOZ ANALOGICAS/DIGITALES, MODULACION DIGITAL 4FSK Y ANALOGA 11KOF3E, ESPACIAMIENT</v>
      </c>
      <c r="C18328" s="6">
        <v>1498500.37</v>
      </c>
      <c r="D18328" s="5" t="s">
        <v>202</v>
      </c>
      <c r="E18328" s="5" t="str">
        <f t="shared" si="940"/>
        <v>TALENTO HUMANO-MARCO ANTONIO NAVARRO PALACIOS</v>
      </c>
      <c r="F18328" s="5"/>
      <c r="G18328" s="5"/>
    </row>
    <row r="18329" spans="1:7" ht="58.5" customHeight="1" x14ac:dyDescent="0.25">
      <c r="A18329" s="5" t="str">
        <f>"H0037414"</f>
        <v>H0037414</v>
      </c>
      <c r="B18329" s="5" t="str">
        <f t="shared" si="942"/>
        <v>- RADIO PORTÁTIL DEP 250, BATERIA DE LITIO DE 1500 MAH, CARGADOR DE BATERIA CLIP, ANTENA TIPO HELIFEX, COMUNICACIÓN DE VOZ ANALOGICAS/DIGITALES, MODULACION DIGITAL 4FSK Y ANALOGA 11KOF3E, ESPACIAMIENT</v>
      </c>
      <c r="C18329" s="6">
        <v>1498500.37</v>
      </c>
      <c r="D18329" s="5" t="s">
        <v>202</v>
      </c>
      <c r="E18329" s="5" t="str">
        <f t="shared" si="940"/>
        <v>TALENTO HUMANO-MARCO ANTONIO NAVARRO PALACIOS</v>
      </c>
      <c r="F18329" s="5"/>
      <c r="G18329" s="5"/>
    </row>
    <row r="18330" spans="1:7" ht="58.5" customHeight="1" x14ac:dyDescent="0.25">
      <c r="A18330" s="5" t="str">
        <f>"H0037415"</f>
        <v>H0037415</v>
      </c>
      <c r="B18330" s="5" t="str">
        <f t="shared" si="942"/>
        <v>- RADIO PORTÁTIL DEP 250, BATERIA DE LITIO DE 1500 MAH, CARGADOR DE BATERIA CLIP, ANTENA TIPO HELIFEX, COMUNICACIÓN DE VOZ ANALOGICAS/DIGITALES, MODULACION DIGITAL 4FSK Y ANALOGA 11KOF3E, ESPACIAMIENT</v>
      </c>
      <c r="C18330" s="6">
        <v>1498500.37</v>
      </c>
      <c r="D18330" s="5" t="s">
        <v>202</v>
      </c>
      <c r="E18330" s="5" t="str">
        <f t="shared" si="940"/>
        <v>TALENTO HUMANO-MARCO ANTONIO NAVARRO PALACIOS</v>
      </c>
      <c r="F18330" s="5"/>
      <c r="G18330" s="5"/>
    </row>
    <row r="18331" spans="1:7" ht="58.5" customHeight="1" x14ac:dyDescent="0.25">
      <c r="A18331" s="5" t="str">
        <f>"H0037416"</f>
        <v>H0037416</v>
      </c>
      <c r="B18331" s="5" t="str">
        <f t="shared" si="942"/>
        <v>- RADIO PORTÁTIL DEP 250, BATERIA DE LITIO DE 1500 MAH, CARGADOR DE BATERIA CLIP, ANTENA TIPO HELIFEX, COMUNICACIÓN DE VOZ ANALOGICAS/DIGITALES, MODULACION DIGITAL 4FSK Y ANALOGA 11KOF3E, ESPACIAMIENT</v>
      </c>
      <c r="C18331" s="6">
        <v>1498500.37</v>
      </c>
      <c r="D18331" s="5" t="s">
        <v>202</v>
      </c>
      <c r="E18331" s="5" t="str">
        <f t="shared" si="940"/>
        <v>TALENTO HUMANO-MARCO ANTONIO NAVARRO PALACIOS</v>
      </c>
      <c r="F18331" s="5"/>
      <c r="G18331" s="5"/>
    </row>
    <row r="18332" spans="1:7" ht="58.5" customHeight="1" x14ac:dyDescent="0.25">
      <c r="A18332" s="5" t="str">
        <f>"H0037417"</f>
        <v>H0037417</v>
      </c>
      <c r="B18332" s="5" t="str">
        <f t="shared" si="942"/>
        <v>- RADIO PORTÁTIL DEP 250, BATERIA DE LITIO DE 1500 MAH, CARGADOR DE BATERIA CLIP, ANTENA TIPO HELIFEX, COMUNICACIÓN DE VOZ ANALOGICAS/DIGITALES, MODULACION DIGITAL 4FSK Y ANALOGA 11KOF3E, ESPACIAMIENT</v>
      </c>
      <c r="C18332" s="6">
        <v>1498500.37</v>
      </c>
      <c r="D18332" s="5" t="s">
        <v>202</v>
      </c>
      <c r="E18332" s="5" t="str">
        <f t="shared" si="940"/>
        <v>TALENTO HUMANO-MARCO ANTONIO NAVARRO PALACIOS</v>
      </c>
      <c r="F18332" s="5"/>
      <c r="G18332" s="5"/>
    </row>
    <row r="18333" spans="1:7" ht="58.5" customHeight="1" x14ac:dyDescent="0.25">
      <c r="A18333" s="5" t="str">
        <f>"H0037418"</f>
        <v>H0037418</v>
      </c>
      <c r="B18333" s="5" t="str">
        <f t="shared" si="942"/>
        <v>- RADIO PORTÁTIL DEP 250, BATERIA DE LITIO DE 1500 MAH, CARGADOR DE BATERIA CLIP, ANTENA TIPO HELIFEX, COMUNICACIÓN DE VOZ ANALOGICAS/DIGITALES, MODULACION DIGITAL 4FSK Y ANALOGA 11KOF3E, ESPACIAMIENT</v>
      </c>
      <c r="C18333" s="6">
        <v>1498500.37</v>
      </c>
      <c r="D18333" s="5" t="s">
        <v>202</v>
      </c>
      <c r="E18333" s="5" t="str">
        <f t="shared" si="940"/>
        <v>TALENTO HUMANO-MARCO ANTONIO NAVARRO PALACIOS</v>
      </c>
      <c r="F18333" s="5"/>
      <c r="G18333" s="5"/>
    </row>
    <row r="18334" spans="1:7" ht="58.5" customHeight="1" x14ac:dyDescent="0.25">
      <c r="A18334" s="5" t="str">
        <f>"H0037419"</f>
        <v>H0037419</v>
      </c>
      <c r="B18334" s="5" t="str">
        <f t="shared" si="942"/>
        <v>- RADIO PORTÁTIL DEP 250, BATERIA DE LITIO DE 1500 MAH, CARGADOR DE BATERIA CLIP, ANTENA TIPO HELIFEX, COMUNICACIÓN DE VOZ ANALOGICAS/DIGITALES, MODULACION DIGITAL 4FSK Y ANALOGA 11KOF3E, ESPACIAMIENT</v>
      </c>
      <c r="C18334" s="6">
        <v>1498500.37</v>
      </c>
      <c r="D18334" s="5" t="s">
        <v>202</v>
      </c>
      <c r="E18334" s="5" t="str">
        <f t="shared" si="940"/>
        <v>TALENTO HUMANO-MARCO ANTONIO NAVARRO PALACIOS</v>
      </c>
      <c r="F18334" s="5"/>
      <c r="G18334" s="5"/>
    </row>
    <row r="18335" spans="1:7" ht="58.5" customHeight="1" x14ac:dyDescent="0.25">
      <c r="A18335" s="5" t="str">
        <f>"H0037420"</f>
        <v>H0037420</v>
      </c>
      <c r="B18335" s="5" t="str">
        <f t="shared" si="942"/>
        <v>- RADIO PORTÁTIL DEP 250, BATERIA DE LITIO DE 1500 MAH, CARGADOR DE BATERIA CLIP, ANTENA TIPO HELIFEX, COMUNICACIÓN DE VOZ ANALOGICAS/DIGITALES, MODULACION DIGITAL 4FSK Y ANALOGA 11KOF3E, ESPACIAMIENT</v>
      </c>
      <c r="C18335" s="6">
        <v>1498500.37</v>
      </c>
      <c r="D18335" s="5" t="s">
        <v>202</v>
      </c>
      <c r="E18335" s="5" t="str">
        <f t="shared" si="940"/>
        <v>TALENTO HUMANO-MARCO ANTONIO NAVARRO PALACIOS</v>
      </c>
      <c r="F18335" s="5"/>
      <c r="G18335" s="5"/>
    </row>
    <row r="18336" spans="1:7" ht="58.5" customHeight="1" x14ac:dyDescent="0.25">
      <c r="A18336" s="5" t="str">
        <f>"H0037421"</f>
        <v>H0037421</v>
      </c>
      <c r="B18336" s="5" t="str">
        <f t="shared" si="942"/>
        <v>- RADIO PORTÁTIL DEP 250, BATERIA DE LITIO DE 1500 MAH, CARGADOR DE BATERIA CLIP, ANTENA TIPO HELIFEX, COMUNICACIÓN DE VOZ ANALOGICAS/DIGITALES, MODULACION DIGITAL 4FSK Y ANALOGA 11KOF3E, ESPACIAMIENT</v>
      </c>
      <c r="C18336" s="6">
        <v>1498500.37</v>
      </c>
      <c r="D18336" s="5" t="s">
        <v>202</v>
      </c>
      <c r="E18336" s="5" t="str">
        <f t="shared" si="940"/>
        <v>TALENTO HUMANO-MARCO ANTONIO NAVARRO PALACIOS</v>
      </c>
      <c r="F18336" s="5"/>
      <c r="G18336" s="5"/>
    </row>
    <row r="18337" spans="1:7" ht="58.5" customHeight="1" x14ac:dyDescent="0.25">
      <c r="A18337" s="5" t="str">
        <f>"H0037422"</f>
        <v>H0037422</v>
      </c>
      <c r="B18337" s="5" t="str">
        <f t="shared" si="942"/>
        <v>- RADIO PORTÁTIL DEP 250, BATERIA DE LITIO DE 1500 MAH, CARGADOR DE BATERIA CLIP, ANTENA TIPO HELIFEX, COMUNICACIÓN DE VOZ ANALOGICAS/DIGITALES, MODULACION DIGITAL 4FSK Y ANALOGA 11KOF3E, ESPACIAMIENT</v>
      </c>
      <c r="C18337" s="6">
        <v>1498500.37</v>
      </c>
      <c r="D18337" s="5" t="s">
        <v>202</v>
      </c>
      <c r="E18337" s="5" t="str">
        <f t="shared" si="940"/>
        <v>TALENTO HUMANO-MARCO ANTONIO NAVARRO PALACIOS</v>
      </c>
      <c r="F18337" s="5"/>
      <c r="G18337" s="5"/>
    </row>
    <row r="18338" spans="1:7" ht="58.5" customHeight="1" x14ac:dyDescent="0.25">
      <c r="A18338" s="5" t="str">
        <f>"H0037423"</f>
        <v>H0037423</v>
      </c>
      <c r="B18338" s="5" t="str">
        <f t="shared" si="942"/>
        <v>- RADIO PORTÁTIL DEP 250, BATERIA DE LITIO DE 1500 MAH, CARGADOR DE BATERIA CLIP, ANTENA TIPO HELIFEX, COMUNICACIÓN DE VOZ ANALOGICAS/DIGITALES, MODULACION DIGITAL 4FSK Y ANALOGA 11KOF3E, ESPACIAMIENT</v>
      </c>
      <c r="C18338" s="6">
        <v>1498500.37</v>
      </c>
      <c r="D18338" s="5" t="s">
        <v>202</v>
      </c>
      <c r="E18338" s="5" t="str">
        <f t="shared" si="940"/>
        <v>TALENTO HUMANO-MARCO ANTONIO NAVARRO PALACIOS</v>
      </c>
      <c r="F18338" s="5"/>
      <c r="G18338" s="5"/>
    </row>
    <row r="18339" spans="1:7" ht="58.5" customHeight="1" x14ac:dyDescent="0.25">
      <c r="A18339" s="5" t="str">
        <f>"H0037424"</f>
        <v>H0037424</v>
      </c>
      <c r="B18339" s="5" t="str">
        <f t="shared" si="942"/>
        <v>- RADIO PORTÁTIL DEP 250, BATERIA DE LITIO DE 1500 MAH, CARGADOR DE BATERIA CLIP, ANTENA TIPO HELIFEX, COMUNICACIÓN DE VOZ ANALOGICAS/DIGITALES, MODULACION DIGITAL 4FSK Y ANALOGA 11KOF3E, ESPACIAMIENT</v>
      </c>
      <c r="C18339" s="6">
        <v>1498500.37</v>
      </c>
      <c r="D18339" s="5" t="s">
        <v>202</v>
      </c>
      <c r="E18339" s="5" t="str">
        <f t="shared" si="940"/>
        <v>TALENTO HUMANO-MARCO ANTONIO NAVARRO PALACIOS</v>
      </c>
      <c r="F18339" s="5"/>
      <c r="G18339" s="5"/>
    </row>
    <row r="18340" spans="1:7" ht="58.5" customHeight="1" x14ac:dyDescent="0.25">
      <c r="A18340" s="5" t="str">
        <f>"H0037425"</f>
        <v>H0037425</v>
      </c>
      <c r="B18340" s="5" t="str">
        <f t="shared" si="942"/>
        <v>- RADIO PORTÁTIL DEP 250, BATERIA DE LITIO DE 1500 MAH, CARGADOR DE BATERIA CLIP, ANTENA TIPO HELIFEX, COMUNICACIÓN DE VOZ ANALOGICAS/DIGITALES, MODULACION DIGITAL 4FSK Y ANALOGA 11KOF3E, ESPACIAMIENT</v>
      </c>
      <c r="C18340" s="6">
        <v>1498500.37</v>
      </c>
      <c r="D18340" s="5" t="s">
        <v>202</v>
      </c>
      <c r="E18340" s="5" t="str">
        <f t="shared" si="940"/>
        <v>TALENTO HUMANO-MARCO ANTONIO NAVARRO PALACIOS</v>
      </c>
      <c r="F18340" s="5"/>
      <c r="G18340" s="5"/>
    </row>
    <row r="18341" spans="1:7" ht="58.5" customHeight="1" x14ac:dyDescent="0.25">
      <c r="A18341" s="5" t="str">
        <f>"H0037426"</f>
        <v>H0037426</v>
      </c>
      <c r="B18341" s="5" t="str">
        <f t="shared" si="942"/>
        <v>- RADIO PORTÁTIL DEP 250, BATERIA DE LITIO DE 1500 MAH, CARGADOR DE BATERIA CLIP, ANTENA TIPO HELIFEX, COMUNICACIÓN DE VOZ ANALOGICAS/DIGITALES, MODULACION DIGITAL 4FSK Y ANALOGA 11KOF3E, ESPACIAMIENT</v>
      </c>
      <c r="C18341" s="6">
        <v>1498500.37</v>
      </c>
      <c r="D18341" s="5" t="s">
        <v>202</v>
      </c>
      <c r="E18341" s="5" t="str">
        <f t="shared" si="940"/>
        <v>TALENTO HUMANO-MARCO ANTONIO NAVARRO PALACIOS</v>
      </c>
      <c r="F18341" s="5"/>
      <c r="G18341" s="5"/>
    </row>
    <row r="18342" spans="1:7" ht="58.5" customHeight="1" x14ac:dyDescent="0.25">
      <c r="A18342" s="5" t="str">
        <f>"H0037427"</f>
        <v>H0037427</v>
      </c>
      <c r="B18342" s="5" t="str">
        <f t="shared" si="942"/>
        <v>- RADIO PORTÁTIL DEP 250, BATERIA DE LITIO DE 1500 MAH, CARGADOR DE BATERIA CLIP, ANTENA TIPO HELIFEX, COMUNICACIÓN DE VOZ ANALOGICAS/DIGITALES, MODULACION DIGITAL 4FSK Y ANALOGA 11KOF3E, ESPACIAMIENT</v>
      </c>
      <c r="C18342" s="6">
        <v>1498500.37</v>
      </c>
      <c r="D18342" s="5" t="s">
        <v>202</v>
      </c>
      <c r="E18342" s="5" t="str">
        <f t="shared" ref="E18342:E18364" si="943">"TALENTO HUMANO-MARCO ANTONIO NAVARRO PALACIOS"</f>
        <v>TALENTO HUMANO-MARCO ANTONIO NAVARRO PALACIOS</v>
      </c>
      <c r="F18342" s="5"/>
      <c r="G18342" s="5"/>
    </row>
    <row r="18343" spans="1:7" ht="58.5" customHeight="1" x14ac:dyDescent="0.25">
      <c r="A18343" s="5" t="str">
        <f>"H0037428"</f>
        <v>H0037428</v>
      </c>
      <c r="B18343" s="5" t="str">
        <f t="shared" si="942"/>
        <v>- RADIO PORTÁTIL DEP 250, BATERIA DE LITIO DE 1500 MAH, CARGADOR DE BATERIA CLIP, ANTENA TIPO HELIFEX, COMUNICACIÓN DE VOZ ANALOGICAS/DIGITALES, MODULACION DIGITAL 4FSK Y ANALOGA 11KOF3E, ESPACIAMIENT</v>
      </c>
      <c r="C18343" s="6">
        <v>1498500.37</v>
      </c>
      <c r="D18343" s="5" t="s">
        <v>202</v>
      </c>
      <c r="E18343" s="5" t="str">
        <f t="shared" si="943"/>
        <v>TALENTO HUMANO-MARCO ANTONIO NAVARRO PALACIOS</v>
      </c>
      <c r="F18343" s="5"/>
      <c r="G18343" s="5"/>
    </row>
    <row r="18344" spans="1:7" ht="58.5" customHeight="1" x14ac:dyDescent="0.25">
      <c r="A18344" s="5" t="str">
        <f>"H0037701"</f>
        <v>H0037701</v>
      </c>
      <c r="B18344" s="5" t="str">
        <f t="shared" ref="B18344:B18364" si="944">"SILLA GERENTE NIZA MEC. BASCULANTE CON BRAZOS."</f>
        <v>SILLA GERENTE NIZA MEC. BASCULANTE CON BRAZOS.</v>
      </c>
      <c r="C18344" s="6">
        <v>710000.01</v>
      </c>
      <c r="D18344" s="5" t="s">
        <v>30</v>
      </c>
      <c r="E18344" s="5" t="str">
        <f t="shared" si="943"/>
        <v>TALENTO HUMANO-MARCO ANTONIO NAVARRO PALACIOS</v>
      </c>
      <c r="F18344" s="5"/>
      <c r="G18344" s="5"/>
    </row>
    <row r="18345" spans="1:7" ht="58.5" customHeight="1" x14ac:dyDescent="0.25">
      <c r="A18345" s="5" t="str">
        <f>"H0037702"</f>
        <v>H0037702</v>
      </c>
      <c r="B18345" s="5" t="str">
        <f t="shared" si="944"/>
        <v>SILLA GERENTE NIZA MEC. BASCULANTE CON BRAZOS.</v>
      </c>
      <c r="C18345" s="6">
        <v>710000.01</v>
      </c>
      <c r="D18345" s="5" t="s">
        <v>30</v>
      </c>
      <c r="E18345" s="5" t="str">
        <f t="shared" si="943"/>
        <v>TALENTO HUMANO-MARCO ANTONIO NAVARRO PALACIOS</v>
      </c>
      <c r="F18345" s="5"/>
      <c r="G18345" s="5"/>
    </row>
    <row r="18346" spans="1:7" ht="58.5" customHeight="1" x14ac:dyDescent="0.25">
      <c r="A18346" s="5" t="str">
        <f>"H0037703"</f>
        <v>H0037703</v>
      </c>
      <c r="B18346" s="5" t="str">
        <f t="shared" si="944"/>
        <v>SILLA GERENTE NIZA MEC. BASCULANTE CON BRAZOS.</v>
      </c>
      <c r="C18346" s="6">
        <v>710000.01</v>
      </c>
      <c r="D18346" s="5" t="s">
        <v>30</v>
      </c>
      <c r="E18346" s="5" t="str">
        <f t="shared" si="943"/>
        <v>TALENTO HUMANO-MARCO ANTONIO NAVARRO PALACIOS</v>
      </c>
      <c r="F18346" s="5"/>
      <c r="G18346" s="5"/>
    </row>
    <row r="18347" spans="1:7" ht="58.5" customHeight="1" x14ac:dyDescent="0.25">
      <c r="A18347" s="5" t="str">
        <f>"H0037802"</f>
        <v>H0037802</v>
      </c>
      <c r="B18347" s="5" t="str">
        <f t="shared" si="944"/>
        <v>SILLA GERENTE NIZA MEC. BASCULANTE CON BRAZOS.</v>
      </c>
      <c r="C18347" s="6">
        <v>710000.01</v>
      </c>
      <c r="D18347" s="5" t="s">
        <v>30</v>
      </c>
      <c r="E18347" s="5" t="str">
        <f t="shared" si="943"/>
        <v>TALENTO HUMANO-MARCO ANTONIO NAVARRO PALACIOS</v>
      </c>
      <c r="F18347" s="5"/>
      <c r="G18347" s="5"/>
    </row>
    <row r="18348" spans="1:7" ht="58.5" customHeight="1" x14ac:dyDescent="0.25">
      <c r="A18348" s="5" t="str">
        <f>"H0037803"</f>
        <v>H0037803</v>
      </c>
      <c r="B18348" s="5" t="str">
        <f t="shared" si="944"/>
        <v>SILLA GERENTE NIZA MEC. BASCULANTE CON BRAZOS.</v>
      </c>
      <c r="C18348" s="6">
        <v>710000.01</v>
      </c>
      <c r="D18348" s="5" t="s">
        <v>30</v>
      </c>
      <c r="E18348" s="5" t="str">
        <f t="shared" si="943"/>
        <v>TALENTO HUMANO-MARCO ANTONIO NAVARRO PALACIOS</v>
      </c>
      <c r="F18348" s="5"/>
      <c r="G18348" s="5"/>
    </row>
    <row r="18349" spans="1:7" ht="58.5" customHeight="1" x14ac:dyDescent="0.25">
      <c r="A18349" s="5" t="str">
        <f>"H0037804"</f>
        <v>H0037804</v>
      </c>
      <c r="B18349" s="5" t="str">
        <f t="shared" si="944"/>
        <v>SILLA GERENTE NIZA MEC. BASCULANTE CON BRAZOS.</v>
      </c>
      <c r="C18349" s="6">
        <v>710000.01</v>
      </c>
      <c r="D18349" s="5" t="s">
        <v>30</v>
      </c>
      <c r="E18349" s="5" t="str">
        <f t="shared" si="943"/>
        <v>TALENTO HUMANO-MARCO ANTONIO NAVARRO PALACIOS</v>
      </c>
      <c r="F18349" s="5"/>
      <c r="G18349" s="5"/>
    </row>
    <row r="18350" spans="1:7" ht="58.5" customHeight="1" x14ac:dyDescent="0.25">
      <c r="A18350" s="5" t="str">
        <f>"H0037805"</f>
        <v>H0037805</v>
      </c>
      <c r="B18350" s="5" t="str">
        <f t="shared" si="944"/>
        <v>SILLA GERENTE NIZA MEC. BASCULANTE CON BRAZOS.</v>
      </c>
      <c r="C18350" s="6">
        <v>710000.01</v>
      </c>
      <c r="D18350" s="5" t="s">
        <v>30</v>
      </c>
      <c r="E18350" s="5" t="str">
        <f t="shared" si="943"/>
        <v>TALENTO HUMANO-MARCO ANTONIO NAVARRO PALACIOS</v>
      </c>
      <c r="F18350" s="5"/>
      <c r="G18350" s="5"/>
    </row>
    <row r="18351" spans="1:7" ht="58.5" customHeight="1" x14ac:dyDescent="0.25">
      <c r="A18351" s="5" t="str">
        <f>"H0037869"</f>
        <v>H0037869</v>
      </c>
      <c r="B18351" s="5" t="str">
        <f t="shared" si="944"/>
        <v>SILLA GERENTE NIZA MEC. BASCULANTE CON BRAZOS.</v>
      </c>
      <c r="C18351" s="6">
        <v>710000.01</v>
      </c>
      <c r="D18351" s="5" t="s">
        <v>30</v>
      </c>
      <c r="E18351" s="5" t="str">
        <f t="shared" si="943"/>
        <v>TALENTO HUMANO-MARCO ANTONIO NAVARRO PALACIOS</v>
      </c>
      <c r="F18351" s="5"/>
      <c r="G18351" s="5"/>
    </row>
    <row r="18352" spans="1:7" ht="58.5" customHeight="1" x14ac:dyDescent="0.25">
      <c r="A18352" s="5" t="str">
        <f>"H0037870"</f>
        <v>H0037870</v>
      </c>
      <c r="B18352" s="5" t="str">
        <f t="shared" si="944"/>
        <v>SILLA GERENTE NIZA MEC. BASCULANTE CON BRAZOS.</v>
      </c>
      <c r="C18352" s="6">
        <v>710000.01</v>
      </c>
      <c r="D18352" s="5" t="s">
        <v>30</v>
      </c>
      <c r="E18352" s="5" t="str">
        <f t="shared" si="943"/>
        <v>TALENTO HUMANO-MARCO ANTONIO NAVARRO PALACIOS</v>
      </c>
      <c r="F18352" s="5"/>
      <c r="G18352" s="5"/>
    </row>
    <row r="18353" spans="1:7" ht="58.5" customHeight="1" x14ac:dyDescent="0.25">
      <c r="A18353" s="5" t="str">
        <f>"H0037871"</f>
        <v>H0037871</v>
      </c>
      <c r="B18353" s="5" t="str">
        <f t="shared" si="944"/>
        <v>SILLA GERENTE NIZA MEC. BASCULANTE CON BRAZOS.</v>
      </c>
      <c r="C18353" s="6">
        <v>710000.01</v>
      </c>
      <c r="D18353" s="5" t="s">
        <v>30</v>
      </c>
      <c r="E18353" s="5" t="str">
        <f t="shared" si="943"/>
        <v>TALENTO HUMANO-MARCO ANTONIO NAVARRO PALACIOS</v>
      </c>
      <c r="F18353" s="5"/>
      <c r="G18353" s="5"/>
    </row>
    <row r="18354" spans="1:7" ht="58.5" customHeight="1" x14ac:dyDescent="0.25">
      <c r="A18354" s="5" t="str">
        <f>"H0037872"</f>
        <v>H0037872</v>
      </c>
      <c r="B18354" s="5" t="str">
        <f t="shared" si="944"/>
        <v>SILLA GERENTE NIZA MEC. BASCULANTE CON BRAZOS.</v>
      </c>
      <c r="C18354" s="6">
        <v>710000.01</v>
      </c>
      <c r="D18354" s="5" t="s">
        <v>30</v>
      </c>
      <c r="E18354" s="5" t="str">
        <f t="shared" si="943"/>
        <v>TALENTO HUMANO-MARCO ANTONIO NAVARRO PALACIOS</v>
      </c>
      <c r="F18354" s="5"/>
      <c r="G18354" s="5"/>
    </row>
    <row r="18355" spans="1:7" ht="58.5" customHeight="1" x14ac:dyDescent="0.25">
      <c r="A18355" s="5" t="str">
        <f>"H0037873"</f>
        <v>H0037873</v>
      </c>
      <c r="B18355" s="5" t="str">
        <f t="shared" si="944"/>
        <v>SILLA GERENTE NIZA MEC. BASCULANTE CON BRAZOS.</v>
      </c>
      <c r="C18355" s="6">
        <v>710000.01</v>
      </c>
      <c r="D18355" s="5" t="s">
        <v>30</v>
      </c>
      <c r="E18355" s="5" t="str">
        <f t="shared" si="943"/>
        <v>TALENTO HUMANO-MARCO ANTONIO NAVARRO PALACIOS</v>
      </c>
      <c r="F18355" s="5"/>
      <c r="G18355" s="5"/>
    </row>
    <row r="18356" spans="1:7" ht="58.5" customHeight="1" x14ac:dyDescent="0.25">
      <c r="A18356" s="5" t="str">
        <f>"H0037874"</f>
        <v>H0037874</v>
      </c>
      <c r="B18356" s="5" t="str">
        <f t="shared" si="944"/>
        <v>SILLA GERENTE NIZA MEC. BASCULANTE CON BRAZOS.</v>
      </c>
      <c r="C18356" s="6">
        <v>710000.01</v>
      </c>
      <c r="D18356" s="5" t="s">
        <v>30</v>
      </c>
      <c r="E18356" s="5" t="str">
        <f t="shared" si="943"/>
        <v>TALENTO HUMANO-MARCO ANTONIO NAVARRO PALACIOS</v>
      </c>
      <c r="F18356" s="5"/>
      <c r="G18356" s="5"/>
    </row>
    <row r="18357" spans="1:7" ht="58.5" customHeight="1" x14ac:dyDescent="0.25">
      <c r="A18357" s="5" t="str">
        <f>"H0037930"</f>
        <v>H0037930</v>
      </c>
      <c r="B18357" s="5" t="str">
        <f t="shared" si="944"/>
        <v>SILLA GERENTE NIZA MEC. BASCULANTE CON BRAZOS.</v>
      </c>
      <c r="C18357" s="6">
        <v>710000.01</v>
      </c>
      <c r="D18357" s="5" t="s">
        <v>30</v>
      </c>
      <c r="E18357" s="5" t="str">
        <f t="shared" si="943"/>
        <v>TALENTO HUMANO-MARCO ANTONIO NAVARRO PALACIOS</v>
      </c>
      <c r="F18357" s="5"/>
      <c r="G18357" s="5"/>
    </row>
    <row r="18358" spans="1:7" ht="58.5" customHeight="1" x14ac:dyDescent="0.25">
      <c r="A18358" s="5" t="str">
        <f>"H0037931"</f>
        <v>H0037931</v>
      </c>
      <c r="B18358" s="5" t="str">
        <f t="shared" si="944"/>
        <v>SILLA GERENTE NIZA MEC. BASCULANTE CON BRAZOS.</v>
      </c>
      <c r="C18358" s="6">
        <v>710000.01</v>
      </c>
      <c r="D18358" s="5" t="s">
        <v>30</v>
      </c>
      <c r="E18358" s="5" t="str">
        <f t="shared" si="943"/>
        <v>TALENTO HUMANO-MARCO ANTONIO NAVARRO PALACIOS</v>
      </c>
      <c r="F18358" s="5"/>
      <c r="G18358" s="5"/>
    </row>
    <row r="18359" spans="1:7" ht="58.5" customHeight="1" x14ac:dyDescent="0.25">
      <c r="A18359" s="5" t="str">
        <f>"H0037932"</f>
        <v>H0037932</v>
      </c>
      <c r="B18359" s="5" t="str">
        <f t="shared" si="944"/>
        <v>SILLA GERENTE NIZA MEC. BASCULANTE CON BRAZOS.</v>
      </c>
      <c r="C18359" s="6">
        <v>710000.01</v>
      </c>
      <c r="D18359" s="5" t="s">
        <v>30</v>
      </c>
      <c r="E18359" s="5" t="str">
        <f t="shared" si="943"/>
        <v>TALENTO HUMANO-MARCO ANTONIO NAVARRO PALACIOS</v>
      </c>
      <c r="F18359" s="5"/>
      <c r="G18359" s="5"/>
    </row>
    <row r="18360" spans="1:7" ht="58.5" customHeight="1" x14ac:dyDescent="0.25">
      <c r="A18360" s="5" t="str">
        <f>"H0037933"</f>
        <v>H0037933</v>
      </c>
      <c r="B18360" s="5" t="str">
        <f t="shared" si="944"/>
        <v>SILLA GERENTE NIZA MEC. BASCULANTE CON BRAZOS.</v>
      </c>
      <c r="C18360" s="6">
        <v>710000.01</v>
      </c>
      <c r="D18360" s="5" t="s">
        <v>30</v>
      </c>
      <c r="E18360" s="5" t="str">
        <f t="shared" si="943"/>
        <v>TALENTO HUMANO-MARCO ANTONIO NAVARRO PALACIOS</v>
      </c>
      <c r="F18360" s="5"/>
      <c r="G18360" s="5"/>
    </row>
    <row r="18361" spans="1:7" ht="58.5" customHeight="1" x14ac:dyDescent="0.25">
      <c r="A18361" s="5" t="str">
        <f>"H0037934"</f>
        <v>H0037934</v>
      </c>
      <c r="B18361" s="5" t="str">
        <f t="shared" si="944"/>
        <v>SILLA GERENTE NIZA MEC. BASCULANTE CON BRAZOS.</v>
      </c>
      <c r="C18361" s="6">
        <v>710000.01</v>
      </c>
      <c r="D18361" s="5" t="s">
        <v>30</v>
      </c>
      <c r="E18361" s="5" t="str">
        <f t="shared" si="943"/>
        <v>TALENTO HUMANO-MARCO ANTONIO NAVARRO PALACIOS</v>
      </c>
      <c r="F18361" s="5"/>
      <c r="G18361" s="5"/>
    </row>
    <row r="18362" spans="1:7" ht="58.5" customHeight="1" x14ac:dyDescent="0.25">
      <c r="A18362" s="5" t="str">
        <f>"H0037935"</f>
        <v>H0037935</v>
      </c>
      <c r="B18362" s="5" t="str">
        <f t="shared" si="944"/>
        <v>SILLA GERENTE NIZA MEC. BASCULANTE CON BRAZOS.</v>
      </c>
      <c r="C18362" s="6">
        <v>710000.01</v>
      </c>
      <c r="D18362" s="5" t="s">
        <v>30</v>
      </c>
      <c r="E18362" s="5" t="str">
        <f t="shared" si="943"/>
        <v>TALENTO HUMANO-MARCO ANTONIO NAVARRO PALACIOS</v>
      </c>
      <c r="F18362" s="5"/>
      <c r="G18362" s="5"/>
    </row>
    <row r="18363" spans="1:7" ht="58.5" customHeight="1" x14ac:dyDescent="0.25">
      <c r="A18363" s="5" t="str">
        <f>"H0037936"</f>
        <v>H0037936</v>
      </c>
      <c r="B18363" s="5" t="str">
        <f t="shared" si="944"/>
        <v>SILLA GERENTE NIZA MEC. BASCULANTE CON BRAZOS.</v>
      </c>
      <c r="C18363" s="6">
        <v>710000.01</v>
      </c>
      <c r="D18363" s="5" t="s">
        <v>30</v>
      </c>
      <c r="E18363" s="5" t="str">
        <f t="shared" si="943"/>
        <v>TALENTO HUMANO-MARCO ANTONIO NAVARRO PALACIOS</v>
      </c>
      <c r="F18363" s="5"/>
      <c r="G18363" s="5"/>
    </row>
    <row r="18364" spans="1:7" ht="58.5" customHeight="1" x14ac:dyDescent="0.25">
      <c r="A18364" s="5" t="str">
        <f>"H0037937"</f>
        <v>H0037937</v>
      </c>
      <c r="B18364" s="5" t="str">
        <f t="shared" si="944"/>
        <v>SILLA GERENTE NIZA MEC. BASCULANTE CON BRAZOS.</v>
      </c>
      <c r="C18364" s="6">
        <v>710000.01</v>
      </c>
      <c r="D18364" s="5" t="s">
        <v>30</v>
      </c>
      <c r="E18364" s="5" t="str">
        <f t="shared" si="943"/>
        <v>TALENTO HUMANO-MARCO ANTONIO NAVARRO PALACIOS</v>
      </c>
      <c r="F18364" s="5"/>
      <c r="G18364" s="5"/>
    </row>
    <row r="18365" spans="1:7" ht="58.5" customHeight="1" x14ac:dyDescent="0.25">
      <c r="A18365" s="5" t="str">
        <f>"H0005031"</f>
        <v>H0005031</v>
      </c>
      <c r="B18365" s="5" t="str">
        <f>"MESA DE MADERA"</f>
        <v>MESA DE MADERA</v>
      </c>
      <c r="C18365" s="6">
        <v>77520</v>
      </c>
      <c r="D18365" s="5"/>
      <c r="E18365" s="5" t="str">
        <f t="shared" ref="E18365:E18388" si="945">"ACTISALUD- PRENSA Y COMUNICACIONES-FANNY LORENA MAESTRE CARDENAS"</f>
        <v>ACTISALUD- PRENSA Y COMUNICACIONES-FANNY LORENA MAESTRE CARDENAS</v>
      </c>
      <c r="F18365" s="5" t="str">
        <f>"Descripcion:73X60X60 Estado: Bueno Placa anterior: 000006718 Material: MADERA Color: BEIGE Referencia:  Observacion:  Placa padre:  Tipo adquisicion : Entidad"</f>
        <v>Descripcion:73X60X60 Estado: Bueno Placa anterior: 000006718 Material: MADERA Color: BEIGE Referencia:  Observacion:  Placa padre:  Tipo adquisicion : Entidad</v>
      </c>
      <c r="G18365" s="5"/>
    </row>
    <row r="18366" spans="1:7" ht="58.5" customHeight="1" x14ac:dyDescent="0.25">
      <c r="A18366" s="5" t="str">
        <f>"H0005049"</f>
        <v>H0005049</v>
      </c>
      <c r="B18366" s="5" t="str">
        <f>"SILLON (SOFA)"</f>
        <v>SILLON (SOFA)</v>
      </c>
      <c r="C18366" s="6">
        <v>21400</v>
      </c>
      <c r="D18366" s="5"/>
      <c r="E18366" s="5" t="str">
        <f t="shared" si="945"/>
        <v>ACTISALUD- PRENSA Y COMUNICACIONES-FANNY LORENA MAESTRE CARDENAS</v>
      </c>
      <c r="F18366" s="5" t="str">
        <f>"Descripcion:72X65X164SILLON TAPIZADO EN CUERO COLOR NEGROPATAS DE MADERA Estado: Bueno Placa anterior: 000000240 Material: MADERA Color: NEGRO Referencia:  Observacion: 000028315 NO TRAE INFORMACION. EL FUNCIONARIO AUTORIZA SE CONCILIE CON PLACA No.0240 P"&amp; "laca padre:  Tipo adquisicion : Entidad"</f>
        <v>Descripcion:72X65X164SILLON TAPIZADO EN CUERO COLOR NEGROPATAS DE MADERA Estado: Bueno Placa anterior: 000000240 Material: MADERA Color: NEGRO Referencia:  Observacion: 000028315 NO TRAE INFORMACION. EL FUNCIONARIO AUTORIZA SE CONCILIE CON PLACA No.0240 Placa padre:  Tipo adquisicion : Entidad</v>
      </c>
      <c r="G18366" s="5"/>
    </row>
    <row r="18367" spans="1:7" ht="58.5" customHeight="1" x14ac:dyDescent="0.25">
      <c r="A18367" s="5" t="str">
        <f>"H0005500"</f>
        <v>H0005500</v>
      </c>
      <c r="B18367" s="5" t="str">
        <f>"COMPUTADOR TODO EN UNO"</f>
        <v>COMPUTADOR TODO EN UNO</v>
      </c>
      <c r="C18367" s="6">
        <v>2470000</v>
      </c>
      <c r="D18367" s="5" t="s">
        <v>6</v>
      </c>
      <c r="E18367" s="5" t="str">
        <f t="shared" si="945"/>
        <v>ACTISALUD- PRENSA Y COMUNICACIONES-FANNY LORENA MAESTRE CARDENAS</v>
      </c>
      <c r="F18367" s="5" t="str">
        <f>"Descripcion: EQUIPO DE COMPUTO TODO EN UNO CON PROCESADOR INTEL i5 Estado: Excelente Placa anterior: 000036980 Material: PLASTICO Color: NEGRO Referencia: 10BD-00FDLS Observacion:  Placa anterior:, Placa nueva=H0007001, Descripcion:., Serial:, Marca:LENOV"&amp; "O, Modelo:, Material:PLASTICO, Color:NEGRO,   Referencia:, Placa anterior:, Placa nueva=H0007002, Descripcion:OPTICCO, Serial:8259118, Marca:LENOVO, Modelo:KU-0225, Material:PLASTICO, Color:NEGRO,   Referencia:54Y9424 Placa padre: Tipo adquisicion: Entida"&amp; "d"</f>
        <v>Descripcion: EQUIPO DE COMPUTO TODO EN UNO CON PROCESADOR INTEL i5 Estado: Excelente Placa anterior: 000036980 Material: PLASTICO Color: NEGRO Referencia: 10BD-00FDLS Observacion:  Placa anterior:, Placa nueva=H0007001, Descripcion:., Serial:, Marca:LENOVO, Modelo:, Material:PLASTICO, Color:NEGRO,   Referencia:, Placa anterior:, Placa nueva=H0007002, Descripcion:OPTICCO, Serial:8259118, Marca:LENOVO, Modelo:KU-0225, Material:PLASTICO, Color:NEGRO,   Referencia:54Y9424 Placa padre: Tipo adquisicion: Entidad</v>
      </c>
      <c r="G18367" s="5"/>
    </row>
    <row r="18368" spans="1:7" ht="58.5" customHeight="1" x14ac:dyDescent="0.25">
      <c r="A18368" s="5" t="str">
        <f>"H0020988"</f>
        <v>H0020988</v>
      </c>
      <c r="B18368" s="5" t="str">
        <f>"KIT DE MICROFONOS X 3 LINEA PROFESIONAL MARCA PRODJ (MICROFONO INALAMBRICO, MICROFONO DE SOLAPA Y MICROFONO DE DIADEMA)"</f>
        <v>KIT DE MICROFONOS X 3 LINEA PROFESIONAL MARCA PRODJ (MICROFONO INALAMBRICO, MICROFONO DE SOLAPA Y MICROFONO DE DIADEMA)</v>
      </c>
      <c r="C18368" s="6">
        <v>444000</v>
      </c>
      <c r="D18368" s="5" t="s">
        <v>832</v>
      </c>
      <c r="E18368" s="5" t="str">
        <f t="shared" si="945"/>
        <v>ACTISALUD- PRENSA Y COMUNICACIONES-FANNY LORENA MAESTRE CARDENAS</v>
      </c>
      <c r="F18368" s="5"/>
      <c r="G18368" s="5"/>
    </row>
    <row r="18369" spans="1:7" ht="58.5" customHeight="1" x14ac:dyDescent="0.25">
      <c r="A18369" s="5" t="str">
        <f>"H0025438"</f>
        <v>H0025438</v>
      </c>
      <c r="B18369"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369" s="6">
        <v>312156</v>
      </c>
      <c r="D18369" s="5" t="s">
        <v>10</v>
      </c>
      <c r="E18369" s="5" t="str">
        <f t="shared" si="945"/>
        <v>ACTISALUD- PRENSA Y COMUNICACIONES-FANNY LORENA MAESTRE CARDENAS</v>
      </c>
      <c r="F18369" s="5"/>
      <c r="G18369" s="5"/>
    </row>
    <row r="18370" spans="1:7" ht="58.5" customHeight="1" x14ac:dyDescent="0.25">
      <c r="A18370" s="5" t="str">
        <f>"H0025750"</f>
        <v>H0025750</v>
      </c>
      <c r="B18370" s="5" t="str">
        <f>"CAMARA DE FOTOS Y VÍDEO DE 20 MP SOLO CUERPO, CON MEMORIA 16 GB CLASE 10, BOLSO, BATERÍA Y CARGADOR DE BATERÍA"</f>
        <v>CAMARA DE FOTOS Y VÍDEO DE 20 MP SOLO CUERPO, CON MEMORIA 16 GB CLASE 10, BOLSO, BATERÍA Y CARGADOR DE BATERÍA</v>
      </c>
      <c r="C18370" s="6">
        <v>3580710</v>
      </c>
      <c r="D18370" s="5" t="s">
        <v>795</v>
      </c>
      <c r="E18370" s="5" t="str">
        <f t="shared" si="945"/>
        <v>ACTISALUD- PRENSA Y COMUNICACIONES-FANNY LORENA MAESTRE CARDENAS</v>
      </c>
      <c r="F18370" s="5"/>
      <c r="G18370" s="5"/>
    </row>
    <row r="18371" spans="1:7" ht="58.5" customHeight="1" x14ac:dyDescent="0.25">
      <c r="A18371" s="5" t="str">
        <f>"H0025751"</f>
        <v>H0025751</v>
      </c>
      <c r="B18371" s="5" t="str">
        <f>"CAMARA DE FOTOS Y VÍDEO DE 24 MP CON LENTE 18 55, MEMORIA 16 GB CLASE 10, BOLSO, BATERÍA Y CARGADOR DE BATERÍA."</f>
        <v>CAMARA DE FOTOS Y VÍDEO DE 24 MP CON LENTE 18 55, MEMORIA 16 GB CLASE 10, BOLSO, BATERÍA Y CARGADOR DE BATERÍA.</v>
      </c>
      <c r="C18371" s="6">
        <v>2731050</v>
      </c>
      <c r="D18371" s="5" t="s">
        <v>795</v>
      </c>
      <c r="E18371" s="5" t="str">
        <f t="shared" si="945"/>
        <v>ACTISALUD- PRENSA Y COMUNICACIONES-FANNY LORENA MAESTRE CARDENAS</v>
      </c>
      <c r="F18371" s="5"/>
      <c r="G18371" s="5"/>
    </row>
    <row r="18372" spans="1:7" ht="58.5" customHeight="1" x14ac:dyDescent="0.25">
      <c r="A18372" s="5" t="str">
        <f>"H0025752"</f>
        <v>H0025752</v>
      </c>
      <c r="B18372" s="5" t="str">
        <f>"LENTE 18 200 F/3.5-6.3 DI II VC APTO PARA USAR EN CÁMARAS DE 20 Y 24 MP DE FOTOS Y VÍDEO"</f>
        <v>LENTE 18 200 F/3.5-6.3 DI II VC APTO PARA USAR EN CÁMARAS DE 20 Y 24 MP DE FOTOS Y VÍDEO</v>
      </c>
      <c r="C18372" s="6">
        <v>946764</v>
      </c>
      <c r="D18372" s="5" t="s">
        <v>795</v>
      </c>
      <c r="E18372" s="5" t="str">
        <f t="shared" si="945"/>
        <v>ACTISALUD- PRENSA Y COMUNICACIONES-FANNY LORENA MAESTRE CARDENAS</v>
      </c>
      <c r="F18372" s="5"/>
      <c r="G18372" s="5"/>
    </row>
    <row r="18373" spans="1:7" ht="58.5" customHeight="1" x14ac:dyDescent="0.25">
      <c r="A18373" s="5" t="str">
        <f>"H0025753"</f>
        <v>H0025753</v>
      </c>
      <c r="B18373" s="5" t="str">
        <f>"LUZ LED 300 III APTA PARA USARSE EN LAS CÁMARAS SOLICITADAS DE FOTOS Y VÍDEO"</f>
        <v>LUZ LED 300 III APTA PARA USARSE EN LAS CÁMARAS SOLICITADAS DE FOTOS Y VÍDEO</v>
      </c>
      <c r="C18373" s="6">
        <v>303450</v>
      </c>
      <c r="D18373" s="5" t="s">
        <v>795</v>
      </c>
      <c r="E18373" s="5" t="str">
        <f t="shared" si="945"/>
        <v>ACTISALUD- PRENSA Y COMUNICACIONES-FANNY LORENA MAESTRE CARDENAS</v>
      </c>
      <c r="F18373" s="5"/>
      <c r="G18373" s="5"/>
    </row>
    <row r="18374" spans="1:7" ht="58.5" customHeight="1" x14ac:dyDescent="0.25">
      <c r="A18374" s="5" t="str">
        <f>"H0025754"</f>
        <v>H0025754</v>
      </c>
      <c r="B18374" s="5" t="str">
        <f>"CARGADOR  Y  BATERÍA  PARA LUZ LED 300"</f>
        <v>CARGADOR  Y  BATERÍA  PARA LUZ LED 300</v>
      </c>
      <c r="C18374" s="6">
        <v>109242</v>
      </c>
      <c r="D18374" s="5" t="s">
        <v>833</v>
      </c>
      <c r="E18374" s="5" t="str">
        <f t="shared" si="945"/>
        <v>ACTISALUD- PRENSA Y COMUNICACIONES-FANNY LORENA MAESTRE CARDENAS</v>
      </c>
      <c r="F18374" s="5"/>
      <c r="G18374" s="5"/>
    </row>
    <row r="18375" spans="1:7" ht="58.5" customHeight="1" x14ac:dyDescent="0.25">
      <c r="A18375" s="5" t="str">
        <f>"H0025755"</f>
        <v>H0025755</v>
      </c>
      <c r="B18375" s="5" t="str">
        <f>"STUDIO DE AUDIO SEGUNDA GENERACIÓN QUE INCLUYA INTERFAZ DE AUDIO USB 2I2, MICRÓFONO DE CONDENSADOR, AURICULARES, 10 XLR CABLE DE MICRÓFONO Y CLIP DE SOPORTE DE MICRÓFONO"</f>
        <v>STUDIO DE AUDIO SEGUNDA GENERACIÓN QUE INCLUYA INTERFAZ DE AUDIO USB 2I2, MICRÓFONO DE CONDENSADOR, AURICULARES, 10 XLR CABLE DE MICRÓFONO Y CLIP DE SOPORTE DE MICRÓFONO</v>
      </c>
      <c r="C18375" s="6">
        <v>1007454</v>
      </c>
      <c r="D18375" s="5" t="s">
        <v>795</v>
      </c>
      <c r="E18375" s="5" t="str">
        <f t="shared" si="945"/>
        <v>ACTISALUD- PRENSA Y COMUNICACIONES-FANNY LORENA MAESTRE CARDENAS</v>
      </c>
      <c r="F18375" s="5"/>
      <c r="G18375" s="5"/>
    </row>
    <row r="18376" spans="1:7" ht="58.5" customHeight="1" x14ac:dyDescent="0.25">
      <c r="A18376" s="5" t="str">
        <f>"H0025756"</f>
        <v>H0025756</v>
      </c>
      <c r="B18376" s="5" t="str">
        <f>"MICROFONO DE SOLAPA INALÁMBRICO"</f>
        <v>MICROFONO DE SOLAPA INALÁMBRICO</v>
      </c>
      <c r="C18376" s="6">
        <v>1699320</v>
      </c>
      <c r="D18376" s="5" t="s">
        <v>833</v>
      </c>
      <c r="E18376" s="5" t="str">
        <f t="shared" si="945"/>
        <v>ACTISALUD- PRENSA Y COMUNICACIONES-FANNY LORENA MAESTRE CARDENAS</v>
      </c>
      <c r="F18376" s="5"/>
      <c r="G18376" s="5"/>
    </row>
    <row r="18377" spans="1:7" ht="58.5" customHeight="1" x14ac:dyDescent="0.25">
      <c r="A18377" s="5" t="str">
        <f>"H0025757"</f>
        <v>H0025757</v>
      </c>
      <c r="B18377" s="5" t="str">
        <f>"STEADYCAM DE MANO PARA CAMARAS DSLR"</f>
        <v>STEADYCAM DE MANO PARA CAMARAS DSLR</v>
      </c>
      <c r="C18377" s="6">
        <v>182070</v>
      </c>
      <c r="D18377" s="5" t="s">
        <v>833</v>
      </c>
      <c r="E18377" s="5" t="str">
        <f t="shared" si="945"/>
        <v>ACTISALUD- PRENSA Y COMUNICACIONES-FANNY LORENA MAESTRE CARDENAS</v>
      </c>
      <c r="F18377" s="5"/>
      <c r="G18377" s="5"/>
    </row>
    <row r="18378" spans="1:7" ht="58.5" customHeight="1" x14ac:dyDescent="0.25">
      <c r="A18378" s="5" t="str">
        <f>"H0025758"</f>
        <v>H0025758</v>
      </c>
      <c r="B18378" s="5" t="str">
        <f>"MICROFONO SHOTGUN (tipo boom)"</f>
        <v>MICROFONO SHOTGUN (tipo boom)</v>
      </c>
      <c r="C18378" s="6">
        <v>352002</v>
      </c>
      <c r="D18378" s="5" t="s">
        <v>795</v>
      </c>
      <c r="E18378" s="5" t="str">
        <f t="shared" si="945"/>
        <v>ACTISALUD- PRENSA Y COMUNICACIONES-FANNY LORENA MAESTRE CARDENAS</v>
      </c>
      <c r="F18378" s="5"/>
      <c r="G18378" s="5"/>
    </row>
    <row r="18379" spans="1:7" ht="58.5" customHeight="1" x14ac:dyDescent="0.25">
      <c r="A18379" s="5" t="str">
        <f>"H0029328"</f>
        <v>H0029328</v>
      </c>
      <c r="B18379" s="5" t="str">
        <f>"SILLA HERGONOMICA CON SISTEMA HIDRAULICO"</f>
        <v>SILLA HERGONOMICA CON SISTEMA HIDRAULICO</v>
      </c>
      <c r="C18379" s="6">
        <v>174900</v>
      </c>
      <c r="D18379" s="5" t="s">
        <v>89</v>
      </c>
      <c r="E18379" s="5" t="str">
        <f t="shared" si="945"/>
        <v>ACTISALUD- PRENSA Y COMUNICACIONES-FANNY LORENA MAESTRE CARDENAS</v>
      </c>
      <c r="F18379" s="5"/>
      <c r="G18379" s="5"/>
    </row>
    <row r="18380" spans="1:7" ht="58.5" customHeight="1" x14ac:dyDescent="0.25">
      <c r="A18380" s="5" t="str">
        <f>"H0029330"</f>
        <v>H0029330</v>
      </c>
      <c r="B18380" s="5" t="str">
        <f>"SILLA HERGONOMICA CON SISTEMA HIDRAULICO"</f>
        <v>SILLA HERGONOMICA CON SISTEMA HIDRAULICO</v>
      </c>
      <c r="C18380" s="6">
        <v>174900</v>
      </c>
      <c r="D18380" s="5" t="s">
        <v>89</v>
      </c>
      <c r="E18380" s="5" t="str">
        <f t="shared" si="945"/>
        <v>ACTISALUD- PRENSA Y COMUNICACIONES-FANNY LORENA MAESTRE CARDENAS</v>
      </c>
      <c r="F18380" s="5"/>
      <c r="G18380" s="5"/>
    </row>
    <row r="18381" spans="1:7" ht="58.5" customHeight="1" x14ac:dyDescent="0.25">
      <c r="A18381" s="5" t="str">
        <f>"H0029570"</f>
        <v>H0029570</v>
      </c>
      <c r="B1838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381" s="6">
        <v>252400.18</v>
      </c>
      <c r="D18381" s="5" t="s">
        <v>15</v>
      </c>
      <c r="E18381" s="5" t="str">
        <f t="shared" si="945"/>
        <v>ACTISALUD- PRENSA Y COMUNICACIONES-FANNY LORENA MAESTRE CARDENAS</v>
      </c>
      <c r="F18381" s="5"/>
      <c r="G18381" s="5"/>
    </row>
    <row r="18382" spans="1:7" ht="58.5" customHeight="1" x14ac:dyDescent="0.25">
      <c r="A18382" s="5" t="str">
        <f>"H0031163"</f>
        <v>H0031163</v>
      </c>
      <c r="B18382" s="5" t="str">
        <f>"Tarjeta de video PNY NVIDIA QUADRO P2000 5GB GDDR5"</f>
        <v>Tarjeta de video PNY NVIDIA QUADRO P2000 5GB GDDR5</v>
      </c>
      <c r="C18382" s="6">
        <v>2320500</v>
      </c>
      <c r="D18382" s="5" t="s">
        <v>229</v>
      </c>
      <c r="E18382" s="5" t="str">
        <f t="shared" si="945"/>
        <v>ACTISALUD- PRENSA Y COMUNICACIONES-FANNY LORENA MAESTRE CARDENAS</v>
      </c>
      <c r="F18382" s="5"/>
      <c r="G18382" s="5"/>
    </row>
    <row r="18383" spans="1:7" ht="58.5" customHeight="1" x14ac:dyDescent="0.25">
      <c r="A18383" s="5" t="str">
        <f>"H0031447"</f>
        <v>H0031447</v>
      </c>
      <c r="B1838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383" s="6">
        <v>3209500</v>
      </c>
      <c r="D18383" s="5" t="s">
        <v>16</v>
      </c>
      <c r="E18383" s="5" t="str">
        <f t="shared" si="945"/>
        <v>ACTISALUD- PRENSA Y COMUNICACIONES-FANNY LORENA MAESTRE CARDENAS</v>
      </c>
      <c r="F18383" s="5"/>
      <c r="G18383" s="5"/>
    </row>
    <row r="18384" spans="1:7" ht="58.5" customHeight="1" x14ac:dyDescent="0.25">
      <c r="A18384" s="5" t="str">
        <f>"H0035409"</f>
        <v>H0035409</v>
      </c>
      <c r="B18384" s="5" t="str">
        <f>"Computador de escritorio con las siguientes especificaciones: Procesador Intel Corei9 10900k (3.7-20m-10CORE),Board ASUS/Z490 -P.ATX. Usb 3.0, Cross AV R 4 DDR4, Memoria Ram de 32 GB (3000) CORSAIR"</f>
        <v>Computador de escritorio con las siguientes especificaciones: Procesador Intel Corei9 10900k (3.7-20m-10CORE),Board ASUS/Z490 -P.ATX. Usb 3.0, Cross AV R 4 DDR4, Memoria Ram de 32 GB (3000) CORSAIR</v>
      </c>
      <c r="C18384" s="6">
        <v>23800000</v>
      </c>
      <c r="D18384" s="5" t="s">
        <v>334</v>
      </c>
      <c r="E18384" s="5" t="str">
        <f t="shared" si="945"/>
        <v>ACTISALUD- PRENSA Y COMUNICACIONES-FANNY LORENA MAESTRE CARDENAS</v>
      </c>
      <c r="F18384" s="5"/>
      <c r="G18384" s="5"/>
    </row>
    <row r="18385" spans="1:7" ht="58.5" customHeight="1" x14ac:dyDescent="0.25">
      <c r="A18385" s="5" t="str">
        <f>"H0035410"</f>
        <v>H0035410</v>
      </c>
      <c r="B18385" s="5" t="str">
        <f>"Computador de escritorio con las siguientes especificaciones: Procesador Intel Corei9 10900k (3.7-20m-10CORE),Board ASUS/Z490 -P.ATX. Usb 3.0, Cross AV R 4 DDR4, Memoria Ram de 32 GB (3000) CORSAIR"</f>
        <v>Computador de escritorio con las siguientes especificaciones: Procesador Intel Corei9 10900k (3.7-20m-10CORE),Board ASUS/Z490 -P.ATX. Usb 3.0, Cross AV R 4 DDR4, Memoria Ram de 32 GB (3000) CORSAIR</v>
      </c>
      <c r="C18385" s="6">
        <v>23800000</v>
      </c>
      <c r="D18385" s="5" t="s">
        <v>197</v>
      </c>
      <c r="E18385" s="5" t="str">
        <f t="shared" si="945"/>
        <v>ACTISALUD- PRENSA Y COMUNICACIONES-FANNY LORENA MAESTRE CARDENAS</v>
      </c>
      <c r="F18385" s="5"/>
      <c r="G18385" s="5"/>
    </row>
    <row r="18386" spans="1:7" ht="58.5" customHeight="1" x14ac:dyDescent="0.25">
      <c r="A18386" s="5" t="str">
        <f>"H0035952"</f>
        <v>H0035952</v>
      </c>
      <c r="B18386" s="5" t="str">
        <f>"SILLA GERENTE NIZA MEC. BASCULANTE CON BRAZOS."</f>
        <v>SILLA GERENTE NIZA MEC. BASCULANTE CON BRAZOS.</v>
      </c>
      <c r="C18386" s="6">
        <v>639999.86</v>
      </c>
      <c r="D18386" s="5" t="s">
        <v>281</v>
      </c>
      <c r="E18386" s="5" t="str">
        <f t="shared" si="945"/>
        <v>ACTISALUD- PRENSA Y COMUNICACIONES-FANNY LORENA MAESTRE CARDENAS</v>
      </c>
      <c r="F18386" s="5"/>
      <c r="G18386" s="5"/>
    </row>
    <row r="18387" spans="1:7" ht="58.5" customHeight="1" x14ac:dyDescent="0.25">
      <c r="A18387" s="5" t="str">
        <f>"H0035954"</f>
        <v>H0035954</v>
      </c>
      <c r="B18387" s="5" t="str">
        <f>"SILLA GERENTE NIZA MEC. BASCULANTE CON BRAZOS."</f>
        <v>SILLA GERENTE NIZA MEC. BASCULANTE CON BRAZOS.</v>
      </c>
      <c r="C18387" s="6">
        <v>639999.86</v>
      </c>
      <c r="D18387" s="5" t="s">
        <v>281</v>
      </c>
      <c r="E18387" s="5" t="str">
        <f t="shared" si="945"/>
        <v>ACTISALUD- PRENSA Y COMUNICACIONES-FANNY LORENA MAESTRE CARDENAS</v>
      </c>
      <c r="F18387" s="5"/>
      <c r="G18387" s="5"/>
    </row>
    <row r="18388" spans="1:7" ht="58.5" customHeight="1" x14ac:dyDescent="0.25">
      <c r="A18388" s="5" t="str">
        <f>"H0036975"</f>
        <v>H0036975</v>
      </c>
      <c r="B18388" s="5" t="str">
        <f>"MONITOR DE 24' (HDMI - DISPLAYPORT)"</f>
        <v>MONITOR DE 24' (HDMI - DISPLAYPORT)</v>
      </c>
      <c r="C18388" s="6">
        <v>1416100</v>
      </c>
      <c r="D18388" s="5" t="s">
        <v>834</v>
      </c>
      <c r="E18388" s="5" t="str">
        <f t="shared" si="945"/>
        <v>ACTISALUD- PRENSA Y COMUNICACIONES-FANNY LORENA MAESTRE CARDENAS</v>
      </c>
      <c r="F18388" s="5"/>
      <c r="G18388" s="5"/>
    </row>
    <row r="18389" spans="1:7" ht="58.5" customHeight="1" x14ac:dyDescent="0.25">
      <c r="A18389" s="5" t="str">
        <f>"H0002111"</f>
        <v>H0002111</v>
      </c>
      <c r="B18389" s="5" t="str">
        <f>"CAMARA DE VIDEOVIGILANCIA"</f>
        <v>CAMARA DE VIDEOVIGILANCIA</v>
      </c>
      <c r="C18389" s="6">
        <v>441700</v>
      </c>
      <c r="D18389" s="5"/>
      <c r="E18389" s="5" t="str">
        <f t="shared" ref="E18389:E18420" si="946">"RECURSOS FISICOS-JOSE LUIS MORA VELANDIA"</f>
        <v>RECURSOS FISICOS-JOSE LUIS MORA VELANDIA</v>
      </c>
      <c r="F18389" s="5" t="str">
        <f>"Descripcion:CAMARA IP TIPO DOMO 3 MPX LENTE DE 2.8 mm PoE 1/3 Estado: Excelente Placa anterior: 000038181 Material: PASTA Y ACRILICO Color: BLANCO Referencia:  Observacion:  Placa padre:  Tipo adquisicion : Entidad"</f>
        <v>Descripcion:CAMARA IP TIPO DOMO 3 MPX LENTE DE 2.8 mm PoE 1/3 Estado: Excelente Placa anterior: 000038181 Material: PASTA Y ACRILICO Color: BLANCO Referencia:  Observacion:  Placa padre:  Tipo adquisicion : Entidad</v>
      </c>
      <c r="G18389" s="5" t="str">
        <f>"DS-2ED2132F-1"</f>
        <v>DS-2ED2132F-1</v>
      </c>
    </row>
    <row r="18390" spans="1:7" ht="58.5" customHeight="1" x14ac:dyDescent="0.25">
      <c r="A18390" s="5" t="str">
        <f>"H0002113"</f>
        <v>H0002113</v>
      </c>
      <c r="B18390" s="5" t="str">
        <f>"CAMARA DE VIDEOVIGILANCIA"</f>
        <v>CAMARA DE VIDEOVIGILANCIA</v>
      </c>
      <c r="C18390" s="6">
        <v>441700</v>
      </c>
      <c r="D18390" s="5"/>
      <c r="E18390" s="5" t="str">
        <f t="shared" si="946"/>
        <v>RECURSOS FISICOS-JOSE LUIS MORA VELANDIA</v>
      </c>
      <c r="F18390" s="5" t="str">
        <f>"Descripcion:CAMARA IP TIPO DOMO 3 MPX LENTE DE 2.8 mm PoE 1/3 Estado: Excelente Placa anterior: 000038183 Material: PASTA Y ACRILICO Color: BLANCO Referencia:  Observacion:  Placa padre:  Tipo adquisicion : Entidad"</f>
        <v>Descripcion:CAMARA IP TIPO DOMO 3 MPX LENTE DE 2.8 mm PoE 1/3 Estado: Excelente Placa anterior: 000038183 Material: PASTA Y ACRILICO Color: BLANCO Referencia:  Observacion:  Placa padre:  Tipo adquisicion : Entidad</v>
      </c>
      <c r="G18390" s="5" t="str">
        <f>"DS-2ED2132F-1"</f>
        <v>DS-2ED2132F-1</v>
      </c>
    </row>
    <row r="18391" spans="1:7" ht="58.5" customHeight="1" x14ac:dyDescent="0.25">
      <c r="A18391" s="5" t="str">
        <f>"H0003011"</f>
        <v>H0003011</v>
      </c>
      <c r="B18391" s="5" t="str">
        <f>"COMPUTADOR TODO EN UNO"</f>
        <v>COMPUTADOR TODO EN UNO</v>
      </c>
      <c r="C18391" s="6">
        <v>1200000</v>
      </c>
      <c r="D18391" s="5" t="s">
        <v>2</v>
      </c>
      <c r="E18391" s="5" t="str">
        <f t="shared" si="946"/>
        <v>RECURSOS FISICOS-JOSE LUIS MORA VELANDIA</v>
      </c>
      <c r="F18391" s="5" t="str">
        <f>"Descripcion: Intel pentiun G645 (2.9 Ghz/3MB/2 nucleos) RAM 4GB WEBCANPANTALLA LCD 19,5 PULGADAS Estado: Bueno Placa anterior: 000030801 Material: PLASTICO Color: NEGRO Referencia: C9K24LT#ABM Observacion:  Placa anterior:, Placa nueva=H0003013, Descripci"&amp; "on:OPTICO, Serial:672052-001, Marca:HP, Modelo:, Material:PLASTICO, Color:NEGRO,   Referencia:, Placa anterior:, Placa nueva=H0003012, Descripcion:., Serial:BCZZN0BVB4C2H5, Marca:HP, Modelo:KU-1156, Material:PLASTICO, Color:NEGRO,   Referencia:701424-161 "&amp; "Placa padre: Tipo adquisicion: Entidad"</f>
        <v>Descripcion: Intel pentiun G645 (2.9 Ghz/3MB/2 nucleos) RAM 4GB WEBCANPANTALLA LCD 19,5 PULGADAS Estado: Bueno Placa anterior: 000030801 Material: PLASTICO Color: NEGRO Referencia: C9K24LT#ABM Observacion:  Placa anterior:, Placa nueva=H0003013, Descripcion:OPTICO, Serial:672052-001, Marca:HP, Modelo:, Material:PLASTICO, Color:NEGRO,   Referencia:, Placa anterior:, Placa nueva=H0003012, Descripcion:., Serial:BCZZN0BVB4C2H5, Marca:HP, Modelo:KU-1156, Material:PLASTICO, Color:NEGRO,   Referencia:701424-161 Placa padre: Tipo adquisicion: Entidad</v>
      </c>
      <c r="G18391" s="5" t="str">
        <f>"HP COMPAQ PRO 4300"</f>
        <v>HP COMPAQ PRO 4300</v>
      </c>
    </row>
    <row r="18392" spans="1:7" ht="58.5" customHeight="1" x14ac:dyDescent="0.25">
      <c r="A18392" s="5" t="str">
        <f>"H0005097"</f>
        <v>H0005097</v>
      </c>
      <c r="B18392" s="5" t="str">
        <f>"TELEVISOR 50''"</f>
        <v>TELEVISOR 50''</v>
      </c>
      <c r="C18392" s="6">
        <v>1410000</v>
      </c>
      <c r="D18392" s="5" t="s">
        <v>835</v>
      </c>
      <c r="E18392" s="5" t="str">
        <f t="shared" si="946"/>
        <v>RECURSOS FISICOS-JOSE LUIS MORA VELANDIA</v>
      </c>
      <c r="F18392" s="5" t="str">
        <f>"Descripcion: USBFULL HDCONTROL Estado: Excelente Placa anterior: 000030360 Material: PLASTICO Color: NEGRO Referencia: 42LD420-MA AWCDLHR Observacion: UNIVERSIDAD PAMPLONA  FUNCIONARIO AUTORIZA SE CONCILIE CON PLACA    000030360 Placa padre: Tipo adquisic"&amp; "ion: Donacion"</f>
        <v>Descripcion: USBFULL HDCONTROL Estado: Excelente Placa anterior: 000030360 Material: PLASTICO Color: NEGRO Referencia: 42LD420-MA AWCDLHR Observacion: UNIVERSIDAD PAMPLONA  FUNCIONARIO AUTORIZA SE CONCILIE CON PLACA    000030360 Placa padre: Tipo adquisicion: Donacion</v>
      </c>
      <c r="G18392" s="5" t="str">
        <f>"42LD420-MA"</f>
        <v>42LD420-MA</v>
      </c>
    </row>
    <row r="18393" spans="1:7" ht="58.5" customHeight="1" x14ac:dyDescent="0.25">
      <c r="A18393" s="5" t="str">
        <f>"H0006063"</f>
        <v>H0006063</v>
      </c>
      <c r="B18393" s="5" t="str">
        <f>"SILLA ERGONOMICA TIPO SECRETARIA SIN BRAZOS"</f>
        <v>SILLA ERGONOMICA TIPO SECRETARIA SIN BRAZOS</v>
      </c>
      <c r="C18393" s="6">
        <v>285592</v>
      </c>
      <c r="D18393" s="5"/>
      <c r="E18393" s="5" t="str">
        <f t="shared" si="946"/>
        <v>RECURSOS FISICOS-JOSE LUIS MORA VELANDIA</v>
      </c>
      <c r="F18393" s="5" t="str">
        <f>"Descripcion: SILLA ERGONOMICA ROBIM MEDIA TIPO SECRETARIA SIN BRAZOS Estado: Bueno Placa anterior: 000025307 Material: TAPIZADA EN TELA  Color: AZUL Referencia:  Observacion:  Placa padre: Tipo adquisicion: Entidad"</f>
        <v>Descripcion: SILLA ERGONOMICA ROBIM MEDIA TIPO SECRETARIA SIN BRAZOS Estado: Bueno Placa anterior: 000025307 Material: TAPIZADA EN TELA  Color: AZUL Referencia:  Observacion:  Placa padre: Tipo adquisicion: Entidad</v>
      </c>
      <c r="G18393" s="5"/>
    </row>
    <row r="18394" spans="1:7" ht="58.5" customHeight="1" x14ac:dyDescent="0.25">
      <c r="A18394" s="5" t="str">
        <f>"H0007098"</f>
        <v>H0007098</v>
      </c>
      <c r="B18394" s="5" t="str">
        <f>"COMPUTADOR TODO EN UNO"</f>
        <v>COMPUTADOR TODO EN UNO</v>
      </c>
      <c r="C18394" s="6">
        <v>2470000</v>
      </c>
      <c r="D18394" s="5" t="s">
        <v>6</v>
      </c>
      <c r="E18394" s="5" t="str">
        <f t="shared" si="946"/>
        <v>RECURSOS FISICOS-JOSE LUIS MORA VELANDIA</v>
      </c>
      <c r="F18394" s="5" t="str">
        <f>"Descripcion: EQUIPO DE COMPUTO TODO EN UNO CON PROCESADOR INTEL i5 Estado: Excelente Placa anterior: 000036977 Material: PLASTICO Color: NEGRO Referencia: 10BD-00FDLS Observacion:  Placa anterior:, Placa nueva=H0007100, Descripcion:., Serial:8259047, Marc"&amp; "a:LENOVO, Modelo:KU-0225, Material:PLASTICO, Color:NEGRO,  Referencia:54Y9424, Placa anterior:, Placa nueva=H0007101, Descripcion:OPTICO, Serial:44PC952, Marca:LENOVO, Modelo:MOEUUOA, Material:PLASTICO, Color:NEGRO,  Referencia:SM50F76959 Placa padre: Tip"&amp; "o adquisicion: Entidad"</f>
        <v>Descripcion: EQUIPO DE COMPUTO TODO EN UNO CON PROCESADOR INTEL i5 Estado: Excelente Placa anterior: 000036977 Material: PLASTICO Color: NEGRO Referencia: 10BD-00FDLS Observacion:  Placa anterior:, Placa nueva=H0007100, Descripcion:., Serial:8259047, Marca:LENOVO, Modelo:KU-0225, Material:PLASTICO, Color:NEGRO,  Referencia:54Y9424, Placa anterior:, Placa nueva=H0007101, Descripcion:OPTICO, Serial:44PC952, Marca:LENOVO, Modelo:MOEUUOA, Material:PLASTICO, Color:NEGRO,  Referencia:SM50F76959 Placa padre: Tipo adquisicion: Entidad</v>
      </c>
      <c r="G18394" s="5" t="str">
        <f>"THINCENTRE"</f>
        <v>THINCENTRE</v>
      </c>
    </row>
    <row r="18395" spans="1:7" ht="58.5" customHeight="1" x14ac:dyDescent="0.25">
      <c r="A18395" s="5" t="str">
        <f>"H0007882"</f>
        <v>H0007882</v>
      </c>
      <c r="B18395" s="5" t="str">
        <f>"CAMARA DE VIDEOVIGILANCIA"</f>
        <v>CAMARA DE VIDEOVIGILANCIA</v>
      </c>
      <c r="C18395" s="6">
        <v>371000</v>
      </c>
      <c r="D18395" s="5" t="s">
        <v>213</v>
      </c>
      <c r="E18395" s="5" t="str">
        <f t="shared" si="946"/>
        <v>RECURSOS FISICOS-JOSE LUIS MORA VELANDIA</v>
      </c>
      <c r="F18395" s="5" t="str">
        <f>"Descripcion: CAMARA IP TIPO DOMO 2 MPX LENTE DE 2.8 mm PoE 1/3 (WI-FI) Estado: Bueno Placa anterior: 000038226 Material: PASTA Color: BLANCO Referencia:  Observacion:  Placa padre: Tipo adquisicion: Entidad"</f>
        <v>Descripcion: CAMARA IP TIPO DOMO 2 MPX LENTE DE 2.8 mm PoE 1/3 (WI-FI) Estado: Bueno Placa anterior: 000038226 Material: PASTA Color: BLANCO Referencia:  Observacion:  Placa padre: Tipo adquisicion: Entidad</v>
      </c>
      <c r="G18395" s="5"/>
    </row>
    <row r="18396" spans="1:7" ht="58.5" customHeight="1" x14ac:dyDescent="0.25">
      <c r="A18396" s="5" t="str">
        <f>"H0007886"</f>
        <v>H0007886</v>
      </c>
      <c r="B18396" s="5" t="str">
        <f>"GABINETE CONTRA INCENDIO"</f>
        <v>GABINETE CONTRA INCENDIO</v>
      </c>
      <c r="C18396" s="6">
        <v>171000</v>
      </c>
      <c r="D18396" s="5"/>
      <c r="E18396" s="5" t="str">
        <f t="shared" si="946"/>
        <v>RECURSOS FISICOS-JOSE LUIS MORA VELANDIA</v>
      </c>
      <c r="F18396" s="5" t="str">
        <f>"Descripcion: GABINETE CONTRA INCENDIO Estado: Bueno Placa anterior: 000019082 Material: METAL Color: ROJO Referencia:  Observacion:  Placa padre: Tipo adquisicion: Entidad"</f>
        <v>Descripcion: GABINETE CONTRA INCENDIO Estado: Bueno Placa anterior: 000019082 Material: METAL Color: ROJO Referencia:  Observacion:  Placa padre: Tipo adquisicion: Entidad</v>
      </c>
      <c r="G18396" s="5"/>
    </row>
    <row r="18397" spans="1:7" ht="58.5" customHeight="1" x14ac:dyDescent="0.25">
      <c r="A18397" s="5" t="str">
        <f>"H0007887"</f>
        <v>H0007887</v>
      </c>
      <c r="B18397" s="5" t="str">
        <f>"GABINETE CONTRA INCENDIO"</f>
        <v>GABINETE CONTRA INCENDIO</v>
      </c>
      <c r="C18397" s="6">
        <v>171000</v>
      </c>
      <c r="D18397" s="5"/>
      <c r="E18397" s="5" t="str">
        <f t="shared" si="946"/>
        <v>RECURSOS FISICOS-JOSE LUIS MORA VELANDIA</v>
      </c>
      <c r="F18397" s="5" t="str">
        <f>"Descripcion: GABINETE CONTRA INCENDIO Estado: Bueno Placa anterior: 000019083 Material: METAL Color: ROJO Referencia:  Observacion:  Placa padre: Tipo adquisicion: Entidad"</f>
        <v>Descripcion: GABINETE CONTRA INCENDIO Estado: Bueno Placa anterior: 000019083 Material: METAL Color: ROJO Referencia:  Observacion:  Placa padre: Tipo adquisicion: Entidad</v>
      </c>
      <c r="G18397" s="5"/>
    </row>
    <row r="18398" spans="1:7" ht="58.5" customHeight="1" x14ac:dyDescent="0.25">
      <c r="A18398" s="5" t="str">
        <f>"H0008086"</f>
        <v>H0008086</v>
      </c>
      <c r="B18398" s="5" t="str">
        <f>"LOCKER DE 6 COMPARTIMIENTOS"</f>
        <v>LOCKER DE 6 COMPARTIMIENTOS</v>
      </c>
      <c r="C18398" s="6">
        <v>585988</v>
      </c>
      <c r="D18398" s="5" t="s">
        <v>60</v>
      </c>
      <c r="E18398" s="5" t="str">
        <f t="shared" si="946"/>
        <v>RECURSOS FISICOS-JOSE LUIS MORA VELANDIA</v>
      </c>
      <c r="F18398" s="5" t="str">
        <f>"Descripcion: LOCKER DE LAMINA CALIBRE 22 C/6 CASILLEROS, PORTACANDADO, MANIJA PROFUNDIZADA MEDIDAS 1.80X1.90 DE ANCHO X 35 DE FONDO DE PINTURA Estado: Bueno Placa anterior: 000029195 Material: METALICO Color: GRIS Referencia:  Observacion:  Placa padre: T"&amp; "ipo adquisicion: Entidad"</f>
        <v>Descripcion: LOCKER DE LAMINA CALIBRE 22 C/6 CASILLEROS, PORTACANDADO, MANIJA PROFUNDIZADA MEDIDAS 1.80X1.90 DE ANCHO X 35 DE FONDO DE PINTURA Estado: Bueno Placa anterior: 000029195 Material: METALICO Color: GRIS Referencia:  Observacion:  Placa padre: Tipo adquisicion: Entidad</v>
      </c>
      <c r="G18398" s="5"/>
    </row>
    <row r="18399" spans="1:7" ht="58.5" customHeight="1" x14ac:dyDescent="0.25">
      <c r="A18399" s="5" t="str">
        <f>"H0008087"</f>
        <v>H0008087</v>
      </c>
      <c r="B18399" s="5" t="str">
        <f>"LOCKER DE 6 COMPARTIMIENTOS"</f>
        <v>LOCKER DE 6 COMPARTIMIENTOS</v>
      </c>
      <c r="C18399" s="6">
        <v>585988</v>
      </c>
      <c r="D18399" s="5" t="s">
        <v>60</v>
      </c>
      <c r="E18399" s="5" t="str">
        <f t="shared" si="946"/>
        <v>RECURSOS FISICOS-JOSE LUIS MORA VELANDIA</v>
      </c>
      <c r="F18399" s="5" t="str">
        <f>"Descripcion: LOCKER DE LAMINA CALIBRE 22 C/6 CASILLEROS, PORTACANDADO, MANIJA PROFUNDIZADA MEDIDAS 1.80X1.90 DE ANCHO X 35 DE FONDO DE PINTURA Estado: Bueno Placa anterior: 000029193 Material: METALICO Color: GRIS Referencia:  Observacion:  Placa padre: T"&amp; "ipo adquisicion: Entidad"</f>
        <v>Descripcion: LOCKER DE LAMINA CALIBRE 22 C/6 CASILLEROS, PORTACANDADO, MANIJA PROFUNDIZADA MEDIDAS 1.80X1.90 DE ANCHO X 35 DE FONDO DE PINTURA Estado: Bueno Placa anterior: 000029193 Material: METALICO Color: GRIS Referencia:  Observacion:  Placa padre: Tipo adquisicion: Entidad</v>
      </c>
      <c r="G18399" s="5"/>
    </row>
    <row r="18400" spans="1:7" ht="58.5" customHeight="1" x14ac:dyDescent="0.25">
      <c r="A18400" s="5" t="str">
        <f>"H0009190"</f>
        <v>H0009190</v>
      </c>
      <c r="B18400" s="5" t="str">
        <f>"MESA (CARRO) DE CURACIONES"</f>
        <v>MESA (CARRO) DE CURACIONES</v>
      </c>
      <c r="C18400" s="6">
        <v>336400</v>
      </c>
      <c r="D18400" s="5" t="s">
        <v>161</v>
      </c>
      <c r="E18400" s="5" t="str">
        <f t="shared" si="946"/>
        <v>RECURSOS FISICOS-JOSE LUIS MORA VELANDIA</v>
      </c>
      <c r="F18400" s="5" t="str">
        <f>"Descripcion: CARROS AUXILIARES(MESA AUXILIAR RODANTE)CON RODACHINES. Estructura fab. en tuberia de acero, plato superior e inferior para transp.de mat. e implementos, plato superior en acero inox. barandillas de seguridad en acero inox. Estado: Regular Pl"&amp; "aca anterior: 000031548 Material: ACERO Y METAL Color: PLATEADO Y BEIGE  Referencia:  Observacion: PARTES OXIDADAS Placa padre: Tipo adquisicion: Entidad"</f>
        <v>Descripcion: CARROS AUXILIARES(MESA AUXILIAR RODANTE)CON RODACHINES. Estructura fab. en tuberia de acero, plato superior e inferior para transp.de mat. e implementos, plato superior en acero inox. barandillas de seguridad en acero inox. Estado: Regular Placa anterior: 000031548 Material: ACERO Y METAL Color: PLATEADO Y BEIGE  Referencia:  Observacion: PARTES OXIDADAS Placa padre: Tipo adquisicion: Entidad</v>
      </c>
      <c r="G18400" s="5" t="str">
        <f>"181-22"</f>
        <v>181-22</v>
      </c>
    </row>
    <row r="18401" spans="1:7" ht="58.5" customHeight="1" x14ac:dyDescent="0.25">
      <c r="A18401" s="5" t="str">
        <f>"H0009687"</f>
        <v>H0009687</v>
      </c>
      <c r="B18401" s="5" t="str">
        <f>"GABINETE CONTRA INCENDIO"</f>
        <v>GABINETE CONTRA INCENDIO</v>
      </c>
      <c r="C18401" s="6">
        <v>171000</v>
      </c>
      <c r="D18401" s="5"/>
      <c r="E18401" s="5" t="str">
        <f t="shared" si="946"/>
        <v>RECURSOS FISICOS-JOSE LUIS MORA VELANDIA</v>
      </c>
      <c r="F18401" s="5" t="str">
        <f>"Descripcion: GABINETE CONTRA INCENDIO Estado: Bueno Placa anterior: 000019091 Material: METAL  Color: ROJO Referencia:  Observacion:  Placa padre: Tipo adquisicion: Entidad"</f>
        <v>Descripcion: GABINETE CONTRA INCENDIO Estado: Bueno Placa anterior: 000019091 Material: METAL  Color: ROJO Referencia:  Observacion:  Placa padre: Tipo adquisicion: Entidad</v>
      </c>
      <c r="G18401" s="5"/>
    </row>
    <row r="18402" spans="1:7" ht="58.5" customHeight="1" x14ac:dyDescent="0.25">
      <c r="A18402" s="5" t="str">
        <f>"H0009847"</f>
        <v>H0009847</v>
      </c>
      <c r="B18402" s="5" t="str">
        <f>"GABINETE CONTRA INCENDIO"</f>
        <v>GABINETE CONTRA INCENDIO</v>
      </c>
      <c r="C18402" s="6">
        <v>171000</v>
      </c>
      <c r="D18402" s="5"/>
      <c r="E18402" s="5" t="str">
        <f t="shared" si="946"/>
        <v>RECURSOS FISICOS-JOSE LUIS MORA VELANDIA</v>
      </c>
      <c r="F18402" s="5" t="str">
        <f>"Descripcion: GABINETE CONTRA INCENDIO Estado: Bueno Placa anterior: 000019092 Material: METAL  Color: ROJO Referencia:  Observacion:  Placa padre: Tipo adquisicion: Entidad"</f>
        <v>Descripcion: GABINETE CONTRA INCENDIO Estado: Bueno Placa anterior: 000019092 Material: METAL  Color: ROJO Referencia:  Observacion:  Placa padre: Tipo adquisicion: Entidad</v>
      </c>
      <c r="G18402" s="5"/>
    </row>
    <row r="18403" spans="1:7" ht="58.5" customHeight="1" x14ac:dyDescent="0.25">
      <c r="A18403" s="5" t="str">
        <f>"H0010673"</f>
        <v>H0010673</v>
      </c>
      <c r="B18403" s="5" t="str">
        <f>"COMPUTADOR TODO EN UNO"</f>
        <v>COMPUTADOR TODO EN UNO</v>
      </c>
      <c r="C18403" s="6">
        <v>2470000</v>
      </c>
      <c r="D18403" s="5" t="s">
        <v>6</v>
      </c>
      <c r="E18403" s="5" t="str">
        <f t="shared" si="946"/>
        <v>RECURSOS FISICOS-JOSE LUIS MORA VELANDIA</v>
      </c>
      <c r="F18403" s="5" t="str">
        <f>"Descripcion: EQUIPO DE COMPUTO TODO EN UNO CON PROCESADOR INTEL CORE i5, PANTALLA DE 21  Estado: Bueno Placa anterior: 000036963 Material: PASTA Color: NEGRO Referencia:  Observacion:  Placa anterior:, Placa nueva=H0010675, Descripcion:MOUSE USB DE 3 BOTO"&amp; "NES (RATON), Serial:44PD689, Marca:LENOVO, Modelo:MOEUUOA, Material:PASTA, Color:NEGRO,   Referencia:, Placa anterior:, Placa nueva=H0010674, Descripcion:TECLADO USB PARA COMPUTADOR , Serial:8259137, Marca:LENOVO, Modelo:KU-0225, Material:PASTA, Color:NEG"&amp; "RO,   Referencia: Placa padre: Tipo adquisicion: Entidad"</f>
        <v>Descripcion: EQUIPO DE COMPUTO TODO EN UNO CON PROCESADOR INTEL CORE i5, PANTALLA DE 21  Estado: Bueno Placa anterior: 000036963 Material: PASTA Color: NEGRO Referencia:  Observacion:  Placa anterior:, Placa nueva=H0010675, Descripcion:MOUSE USB DE 3 BOTONES (RATON), Serial:44PD689, Marca:LENOVO, Modelo:MOEUUOA, Material:PASTA, Color:NEGRO,   Referencia:, Placa anterior:, Placa nueva=H0010674, Descripcion:TECLADO USB PARA COMPUTADOR , Serial:8259137, Marca:LENOVO, Modelo:KU-0225, Material:PASTA, Color:NEGRO,   Referencia: Placa padre: Tipo adquisicion: Entidad</v>
      </c>
      <c r="G18403" s="5" t="str">
        <f>"00FDLS"</f>
        <v>00FDLS</v>
      </c>
    </row>
    <row r="18404" spans="1:7" ht="58.5" customHeight="1" x14ac:dyDescent="0.25">
      <c r="A18404" s="5" t="str">
        <f>"H0011791"</f>
        <v>H0011791</v>
      </c>
      <c r="B18404" s="5" t="str">
        <f>"CAMARA DE VIDEOVIGILANCIA"</f>
        <v>CAMARA DE VIDEOVIGILANCIA</v>
      </c>
      <c r="C18404" s="6">
        <v>441700</v>
      </c>
      <c r="D18404" s="5" t="s">
        <v>213</v>
      </c>
      <c r="E18404" s="5" t="str">
        <f t="shared" si="946"/>
        <v>RECURSOS FISICOS-JOSE LUIS MORA VELANDIA</v>
      </c>
      <c r="F18404" s="5" t="str">
        <f>"Descripcion: CAMARA IP TIPO DOMO 2 MPX LENTE DE 2.8 mm PoE 1/3 (WI-FI) Estado: Bueno Placa anterior: 000038180 Material: PLASTICO Color: BLANCO Referencia:  Observacion: AUTORIZADO CRUZAR POR SISTEMAS Placa padre: Tipo adquisicion: Entidad"</f>
        <v>Descripcion: CAMARA IP TIPO DOMO 2 MPX LENTE DE 2.8 mm PoE 1/3 (WI-FI) Estado: Bueno Placa anterior: 000038180 Material: PLASTICO Color: BLANCO Referencia:  Observacion: AUTORIZADO CRUZAR POR SISTEMAS Placa padre: Tipo adquisicion: Entidad</v>
      </c>
      <c r="G18404" s="5"/>
    </row>
    <row r="18405" spans="1:7" ht="58.5" customHeight="1" x14ac:dyDescent="0.25">
      <c r="A18405" s="5" t="str">
        <f>"H0013120"</f>
        <v>H0013120</v>
      </c>
      <c r="B18405" s="5" t="str">
        <f>"TELEVISOR LCD 40''"</f>
        <v>TELEVISOR LCD 40''</v>
      </c>
      <c r="C18405" s="6">
        <v>849900</v>
      </c>
      <c r="D18405" s="5" t="s">
        <v>58</v>
      </c>
      <c r="E18405" s="5" t="str">
        <f t="shared" si="946"/>
        <v>RECURSOS FISICOS-JOSE LUIS MORA VELANDIA</v>
      </c>
      <c r="F18405" s="5" t="str">
        <f>"Descripcion: T.V. SAMSUNG LCD Estado: Bueno Placa anterior:  Material:  Color: NEGRO Referencia:  Observacion:  Placa padre: Tipo adquisicion: Entidad"</f>
        <v>Descripcion: T.V. SAMSUNG LCD Estado: Bueno Placa anterior:  Material:  Color: NEGRO Referencia:  Observacion:  Placa padre: Tipo adquisicion: Entidad</v>
      </c>
      <c r="G18405" s="5" t="str">
        <f>"PL42C430A1XZL"</f>
        <v>PL42C430A1XZL</v>
      </c>
    </row>
    <row r="18406" spans="1:7" ht="58.5" customHeight="1" x14ac:dyDescent="0.25">
      <c r="A18406" s="5" t="str">
        <f>"H0013121"</f>
        <v>H0013121</v>
      </c>
      <c r="B18406" s="5" t="str">
        <f>"TELEVISOR LCD 40''"</f>
        <v>TELEVISOR LCD 40''</v>
      </c>
      <c r="C18406" s="6">
        <v>849900</v>
      </c>
      <c r="D18406" s="5"/>
      <c r="E18406" s="5" t="str">
        <f t="shared" si="946"/>
        <v>RECURSOS FISICOS-JOSE LUIS MORA VELANDIA</v>
      </c>
      <c r="F18406" s="5" t="str">
        <f>"Descripcion: TV SAMSUNG LCD Estado: Bueno Placa anterior:  Material: METALICO Color: NEGRO Referencia:  Observacion:  Placa padre: Tipo adquisicion: Entidad"</f>
        <v>Descripcion: TV SAMSUNG LCD Estado: Bueno Placa anterior:  Material: METALICO Color: NEGRO Referencia:  Observacion:  Placa padre: Tipo adquisicion: Entidad</v>
      </c>
      <c r="G18406" s="5" t="str">
        <f>"PLA 2C430A1X7L"</f>
        <v>PLA 2C430A1X7L</v>
      </c>
    </row>
    <row r="18407" spans="1:7" ht="58.5" customHeight="1" x14ac:dyDescent="0.25">
      <c r="A18407" s="5" t="str">
        <f>"H0013122"</f>
        <v>H0013122</v>
      </c>
      <c r="B18407" s="5" t="str">
        <f>"AIRE ACONDICIONADO TIPO SPLIT 12000 BTU"</f>
        <v>AIRE ACONDICIONADO TIPO SPLIT 12000 BTU</v>
      </c>
      <c r="C18407" s="6">
        <v>2004222</v>
      </c>
      <c r="D18407" s="5"/>
      <c r="E18407" s="5" t="str">
        <f t="shared" si="946"/>
        <v>RECURSOS FISICOS-JOSE LUIS MORA VELANDIA</v>
      </c>
      <c r="F18407" s="5" t="str">
        <f>"Descripcion: AIRE ACONDICIONADO Estado: Bueno Placa anterior: 000022786 Material: PASTA Color: BLANCO Referencia:  Observacion: NO SE EL SERIAL Placa padre: Tipo adquisicion: Entidad"</f>
        <v>Descripcion: AIRE ACONDICIONADO Estado: Bueno Placa anterior: 000022786 Material: PASTA Color: BLANCO Referencia:  Observacion: NO SE EL SERIAL Placa padre: Tipo adquisicion: Entidad</v>
      </c>
      <c r="G18407" s="5"/>
    </row>
    <row r="18408" spans="1:7" ht="58.5" customHeight="1" x14ac:dyDescent="0.25">
      <c r="A18408" s="5" t="str">
        <f>"H0016132"</f>
        <v>H0016132</v>
      </c>
      <c r="B18408" s="5" t="str">
        <f>"SILLA INTERLOCUTORA (FIJA) SIN BRAZOS"</f>
        <v>SILLA INTERLOCUTORA (FIJA) SIN BRAZOS</v>
      </c>
      <c r="C18408" s="6">
        <v>7480</v>
      </c>
      <c r="D18408" s="5"/>
      <c r="E18408" s="5" t="str">
        <f t="shared" si="946"/>
        <v>RECURSOS FISICOS-JOSE LUIS MORA VELANDIA</v>
      </c>
      <c r="F18408" s="5" t="str">
        <f>"Descripcion: TAPIZADA CUERO MARRON Estado: Malo Placa anterior: 000000760 Material: METALICO Color: MARRON Referencia:  Observacion: EL BIEN TIEN E PLACA ANTERIOR 000022982 FUNCIONARIO AUTORIZA SE CONCILIE CON PLACA 000000760 Placa padre: Tipo adquisicion"&amp; ": Entidad"</f>
        <v>Descripcion: TAPIZADA CUERO MARRON Estado: Malo Placa anterior: 000000760 Material: METALICO Color: MARRON Referencia:  Observacion: EL BIEN TIEN E PLACA ANTERIOR 000022982 FUNCIONARIO AUTORIZA SE CONCILIE CON PLACA 000000760 Placa padre: Tipo adquisicion: Entidad</v>
      </c>
      <c r="G18408" s="5"/>
    </row>
    <row r="18409" spans="1:7" ht="58.5" customHeight="1" x14ac:dyDescent="0.25">
      <c r="A18409" s="5" t="str">
        <f>"H0016390"</f>
        <v>H0016390</v>
      </c>
      <c r="B18409" s="5" t="str">
        <f>"CAMARA DE VIDEOVIGILANCIA"</f>
        <v>CAMARA DE VIDEOVIGILANCIA</v>
      </c>
      <c r="C18409" s="6">
        <v>371000</v>
      </c>
      <c r="D18409" s="5" t="s">
        <v>213</v>
      </c>
      <c r="E18409" s="5" t="str">
        <f t="shared" si="946"/>
        <v>RECURSOS FISICOS-JOSE LUIS MORA VELANDIA</v>
      </c>
      <c r="F18409" s="5" t="str">
        <f>"Descripcion: CAMARA IP TIPO DOMO 2 MPX LENTE DE 2.8 mm PoE 1/3 (WI-FI) Estado: Bueno Placa anterior: 000038212 Material: PASTA Color: BLANCO Referencia:  Observacion:  Placa padre: Tipo adquisicion: Entidad"</f>
        <v>Descripcion: CAMARA IP TIPO DOMO 2 MPX LENTE DE 2.8 mm PoE 1/3 (WI-FI) Estado: Bueno Placa anterior: 000038212 Material: PASTA Color: BLANCO Referencia:  Observacion:  Placa padre: Tipo adquisicion: Entidad</v>
      </c>
      <c r="G18409" s="5"/>
    </row>
    <row r="18410" spans="1:7" ht="58.5" customHeight="1" x14ac:dyDescent="0.25">
      <c r="A18410" s="5" t="str">
        <f>"H0016398"</f>
        <v>H0016398</v>
      </c>
      <c r="B18410" s="5" t="str">
        <f>"CAMARA DE VIDEOVIGILANCIA"</f>
        <v>CAMARA DE VIDEOVIGILANCIA</v>
      </c>
      <c r="C18410" s="6">
        <v>371000</v>
      </c>
      <c r="D18410" s="5" t="s">
        <v>213</v>
      </c>
      <c r="E18410" s="5" t="str">
        <f t="shared" si="946"/>
        <v>RECURSOS FISICOS-JOSE LUIS MORA VELANDIA</v>
      </c>
      <c r="F18410" s="5" t="str">
        <f>"Descripcion: CAMARA IP TIPO DOMO 2 MPX LENTE DE 2.8 mm PoE 1/3 (WI-FI) Estado: Bueno Placa anterior: 000038217 Material: PASTA Color: BLANCO Referencia:  Observacion:  Placa padre: Tipo adquisicion: Entidad"</f>
        <v>Descripcion: CAMARA IP TIPO DOMO 2 MPX LENTE DE 2.8 mm PoE 1/3 (WI-FI) Estado: Bueno Placa anterior: 000038217 Material: PASTA Color: BLANCO Referencia:  Observacion:  Placa padre: Tipo adquisicion: Entidad</v>
      </c>
      <c r="G18410" s="5"/>
    </row>
    <row r="18411" spans="1:7" ht="58.5" customHeight="1" x14ac:dyDescent="0.25">
      <c r="A18411" s="5" t="str">
        <f>"H0016444"</f>
        <v>H0016444</v>
      </c>
      <c r="B18411" s="5" t="str">
        <f>"PUESTO DE TRABAJO EN L CON 3 GAVETAS"</f>
        <v>PUESTO DE TRABAJO EN L CON 3 GAVETAS</v>
      </c>
      <c r="C18411" s="6">
        <v>610000</v>
      </c>
      <c r="D18411" s="5"/>
      <c r="E18411" s="5" t="str">
        <f t="shared" si="946"/>
        <v>RECURSOS FISICOS-JOSE LUIS MORA VELANDIA</v>
      </c>
      <c r="F18411" s="5" t="str">
        <f>"Descripcion: ESCRITORIO EN L. CON 3 GAVETAS, PORTA TECLADO EXTRAIBLE Estado: Bueno Placa anterior: 000033441 Material: METALICO, FORMICA Y PASTA Color: NEGRO Y MIEL Referencia:  Observacion:  Placa padre: Tipo adquisicion: Entidad"</f>
        <v>Descripcion: ESCRITORIO EN L. CON 3 GAVETAS, PORTA TECLADO EXTRAIBLE Estado: Bueno Placa anterior: 000033441 Material: METALICO, FORMICA Y PASTA Color: NEGRO Y MIEL Referencia:  Observacion:  Placa padre: Tipo adquisicion: Entidad</v>
      </c>
      <c r="G18411" s="5"/>
    </row>
    <row r="18412" spans="1:7" ht="58.5" customHeight="1" x14ac:dyDescent="0.25">
      <c r="A18412" s="5" t="str">
        <f>"H0016445"</f>
        <v>H0016445</v>
      </c>
      <c r="B18412" s="5" t="str">
        <f>"COSEDORA GRANDE CAPACIDAD MAYOR 140 HOJAS"</f>
        <v>COSEDORA GRANDE CAPACIDAD MAYOR 140 HOJAS</v>
      </c>
      <c r="C18412" s="6">
        <v>75400</v>
      </c>
      <c r="D18412" s="5"/>
      <c r="E18412" s="5" t="str">
        <f t="shared" si="946"/>
        <v>RECURSOS FISICOS-JOSE LUIS MORA VELANDIA</v>
      </c>
      <c r="F18412" s="5" t="str">
        <f>"Descripcion: COSEDORA INDUSTRIAL Estado: Bueno Placa anterior: 000000685 Material: METALICA Color: NEGRO Referencia:  Observacion:  Placa padre: Tipo adquisicion: Entidad"</f>
        <v>Descripcion: COSEDORA INDUSTRIAL Estado: Bueno Placa anterior: 000000685 Material: METALICA Color: NEGRO Referencia:  Observacion:  Placa padre: Tipo adquisicion: Entidad</v>
      </c>
      <c r="G18412" s="5"/>
    </row>
    <row r="18413" spans="1:7" ht="58.5" customHeight="1" x14ac:dyDescent="0.25">
      <c r="A18413" s="5" t="str">
        <f>"H0016451"</f>
        <v>H0016451</v>
      </c>
      <c r="B18413" s="5" t="str">
        <f>"ESTABILIZADOR (REGULADOR) DE ENERGIA 2KW"</f>
        <v>ESTABILIZADOR (REGULADOR) DE ENERGIA 2KW</v>
      </c>
      <c r="C18413" s="6">
        <v>200000</v>
      </c>
      <c r="D18413" s="5"/>
      <c r="E18413" s="5" t="str">
        <f t="shared" si="946"/>
        <v>RECURSOS FISICOS-JOSE LUIS MORA VELANDIA</v>
      </c>
      <c r="F18413" s="5" t="str">
        <f>"Descripcion: ESTABILIZADOR DE VOLTAGE DE 2000 W. CON 4 TOMAS DE SALIDAS Estado: Bueno Placa anterior: 000000691 Material: METALICO Color: GRIS Referencia:  Observacion:  Placa padre: Tipo adquisicion: Entidad"</f>
        <v>Descripcion: ESTABILIZADOR DE VOLTAGE DE 2000 W. CON 4 TOMAS DE SALIDAS Estado: Bueno Placa anterior: 000000691 Material: METALICO Color: GRIS Referencia:  Observacion:  Placa padre: Tipo adquisicion: Entidad</v>
      </c>
      <c r="G18413" s="5"/>
    </row>
    <row r="18414" spans="1:7" ht="58.5" customHeight="1" x14ac:dyDescent="0.25">
      <c r="A18414" s="5" t="str">
        <f>"H0016452"</f>
        <v>H0016452</v>
      </c>
      <c r="B18414" s="5" t="str">
        <f>"COMPUTADOR TODO EN UNO"</f>
        <v>COMPUTADOR TODO EN UNO</v>
      </c>
      <c r="C18414" s="6">
        <v>2470000</v>
      </c>
      <c r="D18414" s="5" t="s">
        <v>6</v>
      </c>
      <c r="E18414" s="5" t="str">
        <f t="shared" si="946"/>
        <v>RECURSOS FISICOS-JOSE LUIS MORA VELANDIA</v>
      </c>
      <c r="F18414" s="5" t="str">
        <f>"Descripcion: EQUIPO DE COMPUTO TODO EN UNO CON PROCESADOR INTEL i5. PANTALLA DE 20  Estado: Bueno Placa anterior: 000037029 Material: PLASTICO DE POLIPROPILENO Color: NEGRO Referencia:  Observacion:  Placa anterior:, Placa nueva=H0016458, Descripcion:MOUS"&amp; "E OPTICO, Serial:44MG193, Marca:LENOVO, Modelo:MOEUUOA, Material:PLASTICO DE POLIPROPILENO, Color:NEGRO,   Referencia:PN: SM50F76959, Placa anterior:, Placa nueva=H0018699, Descripcion:PARLANTE PARA COMPUTADOR , Serial:, Marca:COIN COMPUTER, Modelo:MS-582"&amp; ", Material:PLASTICO, Color:BEIS,   Referencia:, Placa anterior:, Placa nueva=H0016457, Descripcion:TECLADO , Serial:8258904, Marca:LENOVO, Modelo:KU-0225, Material:PLASTICO DE POLIPROPILENO, Color:NEGRO,   Referencia:PN:54Y9424 Placa padre: Tipo adquisici"&amp; "on: Entidad"</f>
        <v>Descripcion: EQUIPO DE COMPUTO TODO EN UNO CON PROCESADOR INTEL i5. PANTALLA DE 20  Estado: Bueno Placa anterior: 000037029 Material: PLASTICO DE POLIPROPILENO Color: NEGRO Referencia:  Observacion:  Placa anterior:, Placa nueva=H0016458, Descripcion:MOUSE OPTICO, Serial:44MG193, Marca:LENOVO, Modelo:MOEUUOA, Material:PLASTICO DE POLIPROPILENO, Color:NEGRO,   Referencia:PN: SM50F76959, Placa anterior:, Placa nueva=H0018699, Descripcion:PARLANTE PARA COMPUTADOR , Serial:, Marca:COIN COMPUTER, Modelo:MS-582, Material:PLASTICO, Color:BEIS,   Referencia:, Placa anterior:, Placa nueva=H0016457, Descripcion:TECLADO , Serial:8258904, Marca:LENOVO, Modelo:KU-0225, Material:PLASTICO DE POLIPROPILENO, Color:NEGRO,   Referencia:PN:54Y9424 Placa padre: Tipo adquisicion: Entidad</v>
      </c>
      <c r="G18414" s="5" t="str">
        <f>"THINKCENTRE"</f>
        <v>THINKCENTRE</v>
      </c>
    </row>
    <row r="18415" spans="1:7" ht="58.5" customHeight="1" x14ac:dyDescent="0.25">
      <c r="A18415" s="5" t="str">
        <f>"H0016467"</f>
        <v>H0016467</v>
      </c>
      <c r="B18415" s="5" t="str">
        <f>"MULTIMUEBLE DE MADERA"</f>
        <v>MULTIMUEBLE DE MADERA</v>
      </c>
      <c r="C18415" s="6">
        <v>1736000</v>
      </c>
      <c r="D18415" s="5"/>
      <c r="E18415" s="5" t="str">
        <f t="shared" si="946"/>
        <v>RECURSOS FISICOS-JOSE LUIS MORA VELANDIA</v>
      </c>
      <c r="F18415" s="5" t="str">
        <f>"Descripcion: MUEBLE EN FORMICA DE 213X156X40 CM. CON 6 ENTREPAÑOS, 9 COMPARTIMIENTOS.  Estado: Bueno Placa anterior: 000033343 Material: FORMICA Color: MIEL Referencia:  Observacion:  Placa anterior:, Placa nueva=H0016468, Descripcion:MUEBLE EN FORMICA DE"&amp; " 213X156X40 CM. CON 6 ENTREPAÑOS, 9 COMPARTIMIENTOS. , Serial:, Marca:, Modelo:, Material:FORMICA, Color:MIEL,   Referencia: Placa padre: Tipo adquisicion: Entidad"</f>
        <v>Descripcion: MUEBLE EN FORMICA DE 213X156X40 CM. CON 6 ENTREPAÑOS, 9 COMPARTIMIENTOS.  Estado: Bueno Placa anterior: 000033343 Material: FORMICA Color: MIEL Referencia:  Observacion:  Placa anterior:, Placa nueva=H0016468, Descripcion:MUEBLE EN FORMICA DE 213X156X40 CM. CON 6 ENTREPAÑOS, 9 COMPARTIMIENTOS. , Serial:, Marca:, Modelo:, Material:FORMICA, Color:MIEL,   Referencia: Placa padre: Tipo adquisicion: Entidad</v>
      </c>
      <c r="G18415" s="5"/>
    </row>
    <row r="18416" spans="1:7" ht="58.5" customHeight="1" x14ac:dyDescent="0.25">
      <c r="A18416" s="5" t="str">
        <f>"H0016472"</f>
        <v>H0016472</v>
      </c>
      <c r="B18416" s="5" t="str">
        <f>"MESA (SUPERFICIE) MODULAR"</f>
        <v>MESA (SUPERFICIE) MODULAR</v>
      </c>
      <c r="C18416" s="6">
        <v>9500</v>
      </c>
      <c r="D18416" s="5"/>
      <c r="E18416" s="5" t="str">
        <f t="shared" si="946"/>
        <v>RECURSOS FISICOS-JOSE LUIS MORA VELANDIA</v>
      </c>
      <c r="F18416" s="5" t="str">
        <f>"Descripcion: ESCRITORIO CON SUPERFICIE EN FORMICA, UN EXTREMO FIJADO A LA PARED Estado: Bueno Placa anterior: 000000721 Material: METALICO Y FORMICA Color: NEGRO Y MIEL Referencia:  Observacion:  Placa padre: Tipo adquisicion: Entidad"</f>
        <v>Descripcion: ESCRITORIO CON SUPERFICIE EN FORMICA, UN EXTREMO FIJADO A LA PARED Estado: Bueno Placa anterior: 000000721 Material: METALICO Y FORMICA Color: NEGRO Y MIEL Referencia:  Observacion:  Placa padre: Tipo adquisicion: Entidad</v>
      </c>
      <c r="G18416" s="5"/>
    </row>
    <row r="18417" spans="1:7" ht="58.5" customHeight="1" x14ac:dyDescent="0.25">
      <c r="A18417" s="5" t="str">
        <f>"H0016480"</f>
        <v>H0016480</v>
      </c>
      <c r="B18417" s="5" t="str">
        <f>"PUESTO DE TRABAJO EN L CON 3 GAVETAS"</f>
        <v>PUESTO DE TRABAJO EN L CON 3 GAVETAS</v>
      </c>
      <c r="C18417" s="6">
        <v>1273000</v>
      </c>
      <c r="D18417" s="5"/>
      <c r="E18417" s="5" t="str">
        <f t="shared" si="946"/>
        <v>RECURSOS FISICOS-JOSE LUIS MORA VELANDIA</v>
      </c>
      <c r="F18417" s="5" t="str">
        <f>"Descripcion: ESCRITORIO EN L. CON 3 GAVETAS, PORTA TECLADO EXTRAIBLE Estado: Bueno Placa anterior: 000033350 Material: METALICO, FORMICA Y PLASTICO Color: NEGRO Y MIEL Referencia:  Observacion:  Placa padre: Tipo adquisicion: Entidad"</f>
        <v>Descripcion: ESCRITORIO EN L. CON 3 GAVETAS, PORTA TECLADO EXTRAIBLE Estado: Bueno Placa anterior: 000033350 Material: METALICO, FORMICA Y PLASTICO Color: NEGRO Y MIEL Referencia:  Observacion:  Placa padre: Tipo adquisicion: Entidad</v>
      </c>
      <c r="G18417" s="5"/>
    </row>
    <row r="18418" spans="1:7" ht="58.5" customHeight="1" x14ac:dyDescent="0.25">
      <c r="A18418" s="5" t="str">
        <f>"H0016892"</f>
        <v>H0016892</v>
      </c>
      <c r="B18418" s="5" t="str">
        <f>"COMPUTADOR TODO EN UNO"</f>
        <v>COMPUTADOR TODO EN UNO</v>
      </c>
      <c r="C18418" s="6">
        <v>1572000</v>
      </c>
      <c r="D18418" s="5" t="s">
        <v>32</v>
      </c>
      <c r="E18418" s="5" t="str">
        <f t="shared" si="946"/>
        <v>RECURSOS FISICOS-JOSE LUIS MORA VELANDIA</v>
      </c>
      <c r="F18418" s="5" t="str">
        <f>"Descripcion:TODO EN UNO Estado: Bueno Placa anterior: 000030564 Material: PASTA Color: NEGRO Referencia:  Observacion:  Placa anterior:, Placa nueva=H0016894, Descripcion:MOUSE, Serial:, Marca:HP, Modelo:, Material:PASTA, Color:NEGRO,   Referencia:, Placa"&amp; " anterior:, Placa nueva=H0016893, Descripcion:TECLADO, Serial:BDMHE0CVB514JA, Marca:HP, Modelo:KU-1156, Material:PASTA, Color:NEGRO,   Referencia: Placa padre:  Tipo adquisicion : Entidad"</f>
        <v>Descripcion:TODO EN UNO Estado: Bueno Placa anterior: 000030564 Material: PASTA Color: NEGRO Referencia:  Observacion:  Placa anterior:, Placa nueva=H0016894, Descripcion:MOUSE, Serial:, Marca:HP, Modelo:, Material:PASTA, Color:NEGRO,   Referencia:, Placa anterior:, Placa nueva=H0016893, Descripcion:TECLADO, Serial:BDMHE0CVB514JA, Marca:HP, Modelo:KU-1156, Material:PASTA, Color:NEGRO,   Referencia: Placa padre:  Tipo adquisicion : Entidad</v>
      </c>
      <c r="G18418" s="5" t="str">
        <f>"C9G88LT"</f>
        <v>C9G88LT</v>
      </c>
    </row>
    <row r="18419" spans="1:7" ht="58.5" customHeight="1" x14ac:dyDescent="0.25">
      <c r="A18419" s="5" t="str">
        <f>"H0017233"</f>
        <v>H0017233</v>
      </c>
      <c r="B18419" s="5" t="str">
        <f>"ESTANTE METALICO 6 ENTREPAÑOS"</f>
        <v>ESTANTE METALICO 6 ENTREPAÑOS</v>
      </c>
      <c r="C18419" s="6">
        <v>8840.07</v>
      </c>
      <c r="D18419" s="5"/>
      <c r="E18419" s="5" t="str">
        <f t="shared" si="946"/>
        <v>RECURSOS FISICOS-JOSE LUIS MORA VELANDIA</v>
      </c>
      <c r="F18419" s="5" t="str">
        <f>"Descripcion: ESTANTE METALICO Estado: Bueno Placa anterior: 000002345 Material: METALICO Color: GRIS Referencia:  Observacion:  Placa padre: Tipo adquisicion: Entidad"</f>
        <v>Descripcion: ESTANTE METALICO Estado: Bueno Placa anterior: 000002345 Material: METALICO Color: GRIS Referencia:  Observacion:  Placa padre: Tipo adquisicion: Entidad</v>
      </c>
      <c r="G18419" s="5"/>
    </row>
    <row r="18420" spans="1:7" ht="58.5" customHeight="1" x14ac:dyDescent="0.25">
      <c r="A18420" s="5" t="str">
        <f>"H0017806"</f>
        <v>H0017806</v>
      </c>
      <c r="B18420" s="5" t="str">
        <f>"AIRE ACONDICIONADO TIPO SPLIT 12000 BTU"</f>
        <v>AIRE ACONDICIONADO TIPO SPLIT 12000 BTU</v>
      </c>
      <c r="C18420" s="6">
        <v>1063450</v>
      </c>
      <c r="D18420" s="5"/>
      <c r="E18420" s="5" t="str">
        <f t="shared" si="946"/>
        <v>RECURSOS FISICOS-JOSE LUIS MORA VELANDIA</v>
      </c>
      <c r="F18420" s="5" t="str">
        <f>"Descripcion: AIRE ACONDICIONADO DE 12000 BTU Estado: Bueno Placa anterior: 000033611 Material: PLASTICO DE POLIPROPILENO Color: BLANCO Referencia:  Observacion: EL BIEN TIENE PLACA ANTERIOR  000027592  AUTORIZADO CONCILIAR EN CRUCE GENERAL Placa padre: Ti"&amp; "po adquisicion: Entidad"</f>
        <v>Descripcion: AIRE ACONDICIONADO DE 12000 BTU Estado: Bueno Placa anterior: 000033611 Material: PLASTICO DE POLIPROPILENO Color: BLANCO Referencia:  Observacion: EL BIEN TIENE PLACA ANTERIOR  000027592  AUTORIZADO CONCILIAR EN CRUCE GENERAL Placa padre: Tipo adquisicion: Entidad</v>
      </c>
      <c r="G18420" s="5" t="str">
        <f>"S122CP"</f>
        <v>S122CP</v>
      </c>
    </row>
    <row r="18421" spans="1:7" ht="58.5" customHeight="1" x14ac:dyDescent="0.25">
      <c r="A18421" s="5" t="str">
        <f>"H0017814"</f>
        <v>H0017814</v>
      </c>
      <c r="B18421" s="5" t="str">
        <f>"SILLA INTERLOCUTORA (FIJA) SIN BRAZOS"</f>
        <v>SILLA INTERLOCUTORA (FIJA) SIN BRAZOS</v>
      </c>
      <c r="C18421" s="6">
        <v>7480</v>
      </c>
      <c r="D18421" s="5"/>
      <c r="E18421" s="5" t="str">
        <f t="shared" ref="E18421:E18452" si="947">"RECURSOS FISICOS-JOSE LUIS MORA VELANDIA"</f>
        <v>RECURSOS FISICOS-JOSE LUIS MORA VELANDIA</v>
      </c>
      <c r="F18421" s="5" t="str">
        <f>"Descripcion: SILLA FIJA TIPO A COLOR MARRON TAPIZADA EN CUERINA Estado: Bueno Placa anterior: 000024644 Material: METALICO Y CUERINA Color: GRIS Y MARRON Referencia:  Observacion:  Placa padre: Tipo adquisicion: Entidad"</f>
        <v>Descripcion: SILLA FIJA TIPO A COLOR MARRON TAPIZADA EN CUERINA Estado: Bueno Placa anterior: 000024644 Material: METALICO Y CUERINA Color: GRIS Y MARRON Referencia:  Observacion:  Placa padre: Tipo adquisicion: Entidad</v>
      </c>
      <c r="G18421" s="5"/>
    </row>
    <row r="18422" spans="1:7" ht="58.5" customHeight="1" x14ac:dyDescent="0.25">
      <c r="A18422" s="5" t="str">
        <f>"H0017817"</f>
        <v>H0017817</v>
      </c>
      <c r="B18422" s="5" t="str">
        <f>"PUESTO DE TRABAJO EN L CON 3 GAVETAS"</f>
        <v>PUESTO DE TRABAJO EN L CON 3 GAVETAS</v>
      </c>
      <c r="C18422" s="6">
        <v>1273000</v>
      </c>
      <c r="D18422" s="5"/>
      <c r="E18422" s="5" t="str">
        <f t="shared" si="947"/>
        <v>RECURSOS FISICOS-JOSE LUIS MORA VELANDIA</v>
      </c>
      <c r="F18422" s="5" t="str">
        <f>"Descripcion: PUESTO DE TRABAJO CON CUBIERTA EN FORMICA Y BASE METALICA Estado: Bueno Placa anterior: 000033341 Material: METALICO Y FORMICA Color: NEGRO Y MIEL Referencia:  Observacion:  Placa padre: Tipo adquisicion: Entidad"</f>
        <v>Descripcion: PUESTO DE TRABAJO CON CUBIERTA EN FORMICA Y BASE METALICA Estado: Bueno Placa anterior: 000033341 Material: METALICO Y FORMICA Color: NEGRO Y MIEL Referencia:  Observacion:  Placa padre: Tipo adquisicion: Entidad</v>
      </c>
      <c r="G18422" s="5"/>
    </row>
    <row r="18423" spans="1:7" ht="58.5" customHeight="1" x14ac:dyDescent="0.25">
      <c r="A18423" s="5" t="str">
        <f>"H0017818"</f>
        <v>H0017818</v>
      </c>
      <c r="B18423" s="5" t="str">
        <f>"SILLA ERGONOMICA TIPO SECRETARIA SIN BRAZOS"</f>
        <v>SILLA ERGONOMICA TIPO SECRETARIA SIN BRAZOS</v>
      </c>
      <c r="C18423" s="6">
        <v>211120</v>
      </c>
      <c r="D18423" s="5"/>
      <c r="E18423" s="5" t="str">
        <f t="shared" si="947"/>
        <v>RECURSOS FISICOS-JOSE LUIS MORA VELANDIA</v>
      </c>
      <c r="F18423" s="5" t="str">
        <f>"Descripcion: SILLA TAPIZADA EN LONA Estado: Bueno Placa anterior: 000025259 Material: METALICO, PASTA Y LONA Color: NEGRO Referencia:  Observacion:  Placa padre: Tipo adquisicion: Entidad"</f>
        <v>Descripcion: SILLA TAPIZADA EN LONA Estado: Bueno Placa anterior: 000025259 Material: METALICO, PASTA Y LONA Color: NEGRO Referencia:  Observacion:  Placa padre: Tipo adquisicion: Entidad</v>
      </c>
      <c r="G18423" s="5"/>
    </row>
    <row r="18424" spans="1:7" ht="58.5" customHeight="1" x14ac:dyDescent="0.25">
      <c r="A18424" s="5" t="str">
        <f>"H0017820"</f>
        <v>H0017820</v>
      </c>
      <c r="B18424" s="5" t="str">
        <f>"COMPUTADOR TODO EN UNO"</f>
        <v>COMPUTADOR TODO EN UNO</v>
      </c>
      <c r="C18424" s="6">
        <v>2470000</v>
      </c>
      <c r="D18424" s="5" t="s">
        <v>6</v>
      </c>
      <c r="E18424" s="5" t="str">
        <f t="shared" si="947"/>
        <v>RECURSOS FISICOS-JOSE LUIS MORA VELANDIA</v>
      </c>
      <c r="F18424" s="5" t="str">
        <f>"Descripcion: EQUIPO DE COMPUTO TODO EN UNO CON PROCESADOR INTEL i5 Estado: Bueno Placa anterior: 000037016 Material: PLASTICO DE POLIPROPILENO Color: NEGRO Referencia:  Observacion:  Placa anterior:, Placa nueva=H0017821, Descripcion:TECLADO, Serial:82590"&amp; "07, Marca:LENOVO, Modelo:KU-0225, Material:PLASTICO DE POLIPROPILENO, Color:NEGRO,   Referencia:P/N: 54Y9424, Placa anterior:, Placa nueva=H0017822, Descripcion:MOUSE OPTICO, Serial:44MG116    0515, Marca:LENOVO, Modelo:MOEUUOA, Material:PLASTICO DE POLIP"&amp; "ROPILENO, Color:NEGRO,   Referencia: Placa padre: Tipo adquisicion: Entidad"</f>
        <v>Descripcion: EQUIPO DE COMPUTO TODO EN UNO CON PROCESADOR INTEL i5 Estado: Bueno Placa anterior: 000037016 Material: PLASTICO DE POLIPROPILENO Color: NEGRO Referencia:  Observacion:  Placa anterior:, Placa nueva=H0017821, Descripcion:TECLADO, Serial:8259007, Marca:LENOVO, Modelo:KU-0225, Material:PLASTICO DE POLIPROPILENO, Color:NEGRO,   Referencia:P/N: 54Y9424, Placa anterior:, Placa nueva=H0017822, Descripcion:MOUSE OPTICO, Serial:44MG116    0515, Marca:LENOVO, Modelo:MOEUUOA, Material:PLASTICO DE POLIPROPILENO, Color:NEGRO,   Referencia: Placa padre: Tipo adquisicion: Entidad</v>
      </c>
      <c r="G18424" s="5" t="str">
        <f>"THINKCENTRE"</f>
        <v>THINKCENTRE</v>
      </c>
    </row>
    <row r="18425" spans="1:7" ht="58.5" customHeight="1" x14ac:dyDescent="0.25">
      <c r="A18425" s="5" t="str">
        <f>"H0017870"</f>
        <v>H0017870</v>
      </c>
      <c r="B18425" s="5" t="str">
        <f>"AIRE ACONDICIONADO TIPO VENTANA 18000 BTU"</f>
        <v>AIRE ACONDICIONADO TIPO VENTANA 18000 BTU</v>
      </c>
      <c r="C18425" s="6">
        <v>1740000</v>
      </c>
      <c r="D18425" s="5"/>
      <c r="E18425" s="5" t="str">
        <f t="shared" si="947"/>
        <v>RECURSOS FISICOS-JOSE LUIS MORA VELANDIA</v>
      </c>
      <c r="F18425" s="5" t="str">
        <f>"Descripcion:AIRE DE 18000BTU Estado: Bueno Placa anterior: 000025684 Material: METALICO Color: BLANCO Referencia:  Observacion: EL BIEN TIENE PLACA ANTERIOR 000023729  AUTORIZADO CONCILIAR EN CRUCE GENERAL Placa padre:  Tipo adquisicion : Entidad"</f>
        <v>Descripcion:AIRE DE 18000BTU Estado: Bueno Placa anterior: 000025684 Material: METALICO Color: BLANCO Referencia:  Observacion: EL BIEN TIENE PLACA ANTERIOR 000023729  AUTORIZADO CONCILIAR EN CRUCE GENERAL Placa padre:  Tipo adquisicion : Entidad</v>
      </c>
      <c r="G18425" s="5" t="str">
        <f>"W182CM"</f>
        <v>W182CM</v>
      </c>
    </row>
    <row r="18426" spans="1:7" ht="58.5" customHeight="1" x14ac:dyDescent="0.25">
      <c r="A18426" s="5" t="str">
        <f>"H0018080"</f>
        <v>H0018080</v>
      </c>
      <c r="B18426" s="5" t="str">
        <f>"MESA METALICA AUXILIAR"</f>
        <v>MESA METALICA AUXILIAR</v>
      </c>
      <c r="C18426" s="6">
        <v>15285</v>
      </c>
      <c r="D18426" s="5"/>
      <c r="E18426" s="5" t="str">
        <f t="shared" si="947"/>
        <v>RECURSOS FISICOS-JOSE LUIS MORA VELANDIA</v>
      </c>
      <c r="F18426" s="5" t="str">
        <f>"Descripcion:MESA AUXILIAR METALICA CON UNA GAVETA Estado: Bueno Placa anterior: 000000553 Material: METALICO Color: GRIS CON SUPERFICIE EN FORMICA Referencia:  Observacion:  Placa padre:  Tipo adquisicion : Entidad"</f>
        <v>Descripcion:MESA AUXILIAR METALICA CON UNA GAVETA Estado: Bueno Placa anterior: 000000553 Material: METALICO Color: GRIS CON SUPERFICIE EN FORMICA Referencia:  Observacion:  Placa padre:  Tipo adquisicion : Entidad</v>
      </c>
      <c r="G18426" s="5"/>
    </row>
    <row r="18427" spans="1:7" ht="58.5" customHeight="1" x14ac:dyDescent="0.25">
      <c r="A18427" s="5" t="str">
        <f>"H0018698"</f>
        <v>H0018698</v>
      </c>
      <c r="B18427" s="5" t="str">
        <f>"CAMARA DE VIDEOVIGILANCIA"</f>
        <v>CAMARA DE VIDEOVIGILANCIA</v>
      </c>
      <c r="C18427" s="6">
        <v>1600000</v>
      </c>
      <c r="D18427" s="5" t="s">
        <v>213</v>
      </c>
      <c r="E18427" s="5" t="str">
        <f t="shared" si="947"/>
        <v>RECURSOS FISICOS-JOSE LUIS MORA VELANDIA</v>
      </c>
      <c r="F18427" s="5" t="str">
        <f>"Descripcion: CAMARA DE VIDEOVIGILANCIA TIPO DOMO Estado: Bueno Placa anterior: 000038257 Material: PLASTICO Color: BLANCO Referencia:  Observacion: FUNCIONARIO MANIFIESTA SE ENCUENTRA EN EL PARQUEADERO, CONCILIAR CON ALMACEN Placa padre: Tipo adquisicion:"&amp; " Entidad"</f>
        <v>Descripcion: CAMARA DE VIDEOVIGILANCIA TIPO DOMO Estado: Bueno Placa anterior: 000038257 Material: PLASTICO Color: BLANCO Referencia:  Observacion: FUNCIONARIO MANIFIESTA SE ENCUENTRA EN EL PARQUEADERO, CONCILIAR CON ALMACEN Placa padre: Tipo adquisicion: Entidad</v>
      </c>
      <c r="G18427" s="5"/>
    </row>
    <row r="18428" spans="1:7" ht="58.5" customHeight="1" x14ac:dyDescent="0.25">
      <c r="A18428" s="5" t="str">
        <f>"H0018700"</f>
        <v>H0018700</v>
      </c>
      <c r="B18428" s="5" t="str">
        <f>"CAMARA DE VIDEOVIGILANCIA"</f>
        <v>CAMARA DE VIDEOVIGILANCIA</v>
      </c>
      <c r="C18428" s="6">
        <v>1600000</v>
      </c>
      <c r="D18428" s="5" t="s">
        <v>213</v>
      </c>
      <c r="E18428" s="5" t="str">
        <f t="shared" si="947"/>
        <v>RECURSOS FISICOS-JOSE LUIS MORA VELANDIA</v>
      </c>
      <c r="F18428" s="5" t="str">
        <f>"Descripcion: CAMARA DE VIDEOVIGILANCIA TIPO DOMO Estado: Bueno Placa anterior: 000038258 Material: PLASTICO Color: BLANCO Referencia:  Observacion: FUNCIONARIO MANIFIESTA SE ENCUENTRA EN EL PARQUEADERO, CONCILIAR CON ALMACEN   Placa padre: Tipo adquisicio"&amp; "n: Entidad"</f>
        <v>Descripcion: CAMARA DE VIDEOVIGILANCIA TIPO DOMO Estado: Bueno Placa anterior: 000038258 Material: PLASTICO Color: BLANCO Referencia:  Observacion: FUNCIONARIO MANIFIESTA SE ENCUENTRA EN EL PARQUEADERO, CONCILIAR CON ALMACEN   Placa padre: Tipo adquisicion: Entidad</v>
      </c>
      <c r="G18428" s="5"/>
    </row>
    <row r="18429" spans="1:7" ht="58.5" customHeight="1" x14ac:dyDescent="0.25">
      <c r="A18429" s="5" t="str">
        <f>"H0018778"</f>
        <v>H0018778</v>
      </c>
      <c r="B18429" s="5" t="str">
        <f>"GABINETE CONTRA INCENDIO"</f>
        <v>GABINETE CONTRA INCENDIO</v>
      </c>
      <c r="C18429" s="6">
        <v>171000</v>
      </c>
      <c r="D18429" s="5"/>
      <c r="E18429" s="5" t="str">
        <f t="shared" si="947"/>
        <v>RECURSOS FISICOS-JOSE LUIS MORA VELANDIA</v>
      </c>
      <c r="F18429" s="5" t="str">
        <f>"Descripcion:GABINETE CONTRA INCENDIO CON SU HACHA, MANGUERA, UNA PATA CABRA Y ESTINTOR Estado: Bueno Placa anterior: 000019111 Material: METALICO Color: ROJO Referencia:  Observacion:  Placa padre:  Tipo adquisicion : Entidad"</f>
        <v>Descripcion:GABINETE CONTRA INCENDIO CON SU HACHA, MANGUERA, UNA PATA CABRA Y ESTINTOR Estado: Bueno Placa anterior: 000019111 Material: METALICO Color: ROJO Referencia:  Observacion:  Placa padre:  Tipo adquisicion : Entidad</v>
      </c>
      <c r="G18429" s="5"/>
    </row>
    <row r="18430" spans="1:7" ht="58.5" customHeight="1" x14ac:dyDescent="0.25">
      <c r="A18430" s="5" t="str">
        <f>"H0018780"</f>
        <v>H0018780</v>
      </c>
      <c r="B18430" s="5" t="str">
        <f>"GABINETE CONTRA INCENDIO"</f>
        <v>GABINETE CONTRA INCENDIO</v>
      </c>
      <c r="C18430" s="6">
        <v>171000</v>
      </c>
      <c r="D18430" s="5"/>
      <c r="E18430" s="5" t="str">
        <f t="shared" si="947"/>
        <v>RECURSOS FISICOS-JOSE LUIS MORA VELANDIA</v>
      </c>
      <c r="F18430" s="5" t="str">
        <f>"Descripcion:GABINETE CONTRA INCENDIO CON SU MANGUERA, HACHA, PATA DE CABRA Y ESTINTOR Estado: Bueno Placa anterior: 000019100 Material: METALICO Color: BLANCO Referencia:  Observacion:  Placa padre:  Tipo adquisicion : Entidad"</f>
        <v>Descripcion:GABINETE CONTRA INCENDIO CON SU MANGUERA, HACHA, PATA DE CABRA Y ESTINTOR Estado: Bueno Placa anterior: 000019100 Material: METALICO Color: BLANCO Referencia:  Observacion:  Placa padre:  Tipo adquisicion : Entidad</v>
      </c>
      <c r="G18430" s="5"/>
    </row>
    <row r="18431" spans="1:7" ht="58.5" customHeight="1" x14ac:dyDescent="0.25">
      <c r="A18431" s="5" t="str">
        <f>"H0019860"</f>
        <v>H0019860</v>
      </c>
      <c r="B18431" s="5" t="str">
        <f>"LOCKER DE 8 COMPARTIMIENTOS"</f>
        <v>LOCKER DE 8 COMPARTIMIENTOS</v>
      </c>
      <c r="C18431" s="6">
        <v>585988</v>
      </c>
      <c r="D18431" s="5" t="s">
        <v>60</v>
      </c>
      <c r="E18431" s="5" t="str">
        <f t="shared" si="947"/>
        <v>RECURSOS FISICOS-JOSE LUIS MORA VELANDIA</v>
      </c>
      <c r="F18431" s="5" t="str">
        <f>"Descripcion: LOCKER DE LAMINA CALIBRE 22 C/6 CASILLEROS, PORTACANDADO, MANIJA PROFUNDIZADA MEDIDAS 1.80X1.90 DE ANCHO X 35 DE FONDO DE PINTURA Estado: Bueno Placa anterior: 000029172 Material: METALICO Color: GRIS Referencia:  Observacion:  Placa padre: T"&amp; "ipo adquisicion: Entidad"</f>
        <v>Descripcion: LOCKER DE LAMINA CALIBRE 22 C/6 CASILLEROS, PORTACANDADO, MANIJA PROFUNDIZADA MEDIDAS 1.80X1.90 DE ANCHO X 35 DE FONDO DE PINTURA Estado: Bueno Placa anterior: 000029172 Material: METALICO Color: GRIS Referencia:  Observacion:  Placa padre: Tipo adquisicion: Entidad</v>
      </c>
      <c r="G18431" s="5"/>
    </row>
    <row r="18432" spans="1:7" ht="58.5" customHeight="1" x14ac:dyDescent="0.25">
      <c r="A18432" s="5" t="str">
        <f>"H0020209"</f>
        <v>H0020209</v>
      </c>
      <c r="B18432" s="5" t="str">
        <f>"GABINETE CONTRA INCENDIO"</f>
        <v>GABINETE CONTRA INCENDIO</v>
      </c>
      <c r="C18432" s="6">
        <v>171000</v>
      </c>
      <c r="D18432" s="5"/>
      <c r="E18432" s="5" t="str">
        <f t="shared" si="947"/>
        <v>RECURSOS FISICOS-JOSE LUIS MORA VELANDIA</v>
      </c>
      <c r="F18432" s="5" t="str">
        <f>"Descripcion: GABINETE CONTRA INCENDIOS Estado: Bueno Placa anterior: 000019094 Material: METAL Color: ROJO Y AMARILLO Referencia:  Observacion:  Placa padre: Tipo adquisicion: Entidad"</f>
        <v>Descripcion: GABINETE CONTRA INCENDIOS Estado: Bueno Placa anterior: 000019094 Material: METAL Color: ROJO Y AMARILLO Referencia:  Observacion:  Placa padre: Tipo adquisicion: Entidad</v>
      </c>
      <c r="G18432" s="5"/>
    </row>
    <row r="18433" spans="1:7" ht="58.5" customHeight="1" x14ac:dyDescent="0.25">
      <c r="A18433" s="5" t="str">
        <f>"H0020366"</f>
        <v>H0020366</v>
      </c>
      <c r="B18433" s="5" t="str">
        <f>"AIRE ACONDICIONADO CENTRAL (INTEGRAL)"</f>
        <v>AIRE ACONDICIONADO CENTRAL (INTEGRAL)</v>
      </c>
      <c r="C18433" s="6">
        <v>2030000</v>
      </c>
      <c r="D18433" s="5"/>
      <c r="E18433" s="5" t="str">
        <f t="shared" si="947"/>
        <v>RECURSOS FISICOS-JOSE LUIS MORA VELANDIA</v>
      </c>
      <c r="F18433" s="5" t="str">
        <f>"Descripcion:AIRE ACONDICIONADO INTEGRAL ESTAN DESCONECTADO Y EN MAL ESTADO, ESTE AIRE PRESTABA SERVICIO DE ENFRIAMENTO A TOMOGRAFIA Estado: Malo Placa anterior:  Material: METALICO Color: BEIS Referencia:  Observacion: LA INFORMACION DE LA MARCA, MODELO Y"&amp; " SERIAL NO SE APRECIA CON CLARIDAD Placa padre:  Tipo adquisicion : Entidad"</f>
        <v>Descripcion:AIRE ACONDICIONADO INTEGRAL ESTAN DESCONECTADO Y EN MAL ESTADO, ESTE AIRE PRESTABA SERVICIO DE ENFRIAMENTO A TOMOGRAFIA Estado: Malo Placa anterior:  Material: METALICO Color: BEIS Referencia:  Observacion: LA INFORMACION DE LA MARCA, MODELO Y SERIAL NO SE APRECIA CON CLARIDAD Placa padre:  Tipo adquisicion : Entidad</v>
      </c>
      <c r="G18433" s="5"/>
    </row>
    <row r="18434" spans="1:7" ht="58.5" customHeight="1" x14ac:dyDescent="0.25">
      <c r="A18434" s="5" t="str">
        <f>"H0020679"</f>
        <v>H0020679</v>
      </c>
      <c r="B18434" s="5" t="str">
        <f>"AIRE ACONDICIONADO TIPO SPLIT 60000 BTU (5 TON)"</f>
        <v>AIRE ACONDICIONADO TIPO SPLIT 60000 BTU (5 TON)</v>
      </c>
      <c r="C18434" s="6">
        <v>8600000</v>
      </c>
      <c r="D18434" s="5"/>
      <c r="E18434" s="5" t="str">
        <f t="shared" si="947"/>
        <v>RECURSOS FISICOS-JOSE LUIS MORA VELANDIA</v>
      </c>
      <c r="F18434" s="5" t="str">
        <f>"Descripcion:AIRE ACONDICIONADO (CONDESADORA Y MANEJADORA) 60.000 BTU Estado: Bueno Placa anterior: 000032767 Material: METALICO Color: GRIS Referencia:  Observacion: SE MODIFICAN LOS SIGUIENTES CAMPOS PORQUE NO COINCIDEN CON LA INFORMACIÓN QUE SE OBSERVÓ:"&amp; "  *MODELO: 2TTB0060A1000BA.  *SERIAL: 8464M584F-6343LOU2B Placa anterior:000037607, Placa nueva=H0020694, Descripcion:CONDESADORA 7.5 TRANE DEL AIRE ACONDICIONADO CON PLACA NUEVA No.H0020679 Y PLACA ANTERIOR No.000032767* ADMINISTRATIVO, Serial:8464M584F,"&amp; " Marca:TRANE, Modelo:2TTB0060A1000BA, Material:METALICO, Color:GRIS,   Referencia: Placa padre:  Tipo adquisicion : Entidad"</f>
        <v>Descripcion:AIRE ACONDICIONADO (CONDESADORA Y MANEJADORA) 60.000 BTU Estado: Bueno Placa anterior: 000032767 Material: METALICO Color: GRIS Referencia:  Observacion: SE MODIFICAN LOS SIGUIENTES CAMPOS PORQUE NO COINCIDEN CON LA INFORMACIÓN QUE SE OBSERVÓ:  *MODELO: 2TTB0060A1000BA.  *SERIAL: 8464M584F-6343LOU2B Placa anterior:000037607, Placa nueva=H0020694, Descripcion:CONDESADORA 7.5 TRANE DEL AIRE ACONDICIONADO CON PLACA NUEVA No.H0020679 Y PLACA ANTERIOR No.000032767* ADMINISTRATIVO, Serial:8464M584F, Marca:TRANE, Modelo:2TTB0060A1000BA, Material:METALICO, Color:GRIS,   Referencia: Placa padre:  Tipo adquisicion : Entidad</v>
      </c>
      <c r="G18434" s="5" t="str">
        <f>"2TEC3F55A1000AA"</f>
        <v>2TEC3F55A1000AA</v>
      </c>
    </row>
    <row r="18435" spans="1:7" ht="58.5" customHeight="1" x14ac:dyDescent="0.25">
      <c r="A18435" s="5" t="str">
        <f>"H0020680"</f>
        <v>H0020680</v>
      </c>
      <c r="B18435" s="5" t="str">
        <f>"AIRE ACONDICIONADO TIPO SPLIT 60000 BTU (5 TON)"</f>
        <v>AIRE ACONDICIONADO TIPO SPLIT 60000 BTU (5 TON)</v>
      </c>
      <c r="C18435" s="6">
        <v>8600000</v>
      </c>
      <c r="D18435" s="5"/>
      <c r="E18435" s="5" t="str">
        <f t="shared" si="947"/>
        <v>RECURSOS FISICOS-JOSE LUIS MORA VELANDIA</v>
      </c>
      <c r="F18435" s="5" t="str">
        <f>"Descripcion:AIRE ACONDICIONADO (CONDESADORA Y MANEJADORA) 60.000 BTU Estado: Bueno Placa anterior: 000032768 Material: METALICO Color: GRIS Referencia:  Observacion: SE MODIFICAN LOS SIGUIENTES CAMPOS PORQUE NO COINCIDEN CON LA INFORMACIÓN QUE SE OBSERVÓ:"&amp; "  *MODELO: 2TTB0060A1000BA  *SERIAL: 8464MF54F-6244FF32B Placa anterior:, Placa nueva=H0020695, Descripcion:CONDESADORA TRANE DEL AIRE ACONDICIONADO CON PLACA NUEVA No.H0020680 Y PLACA ANTERIOR No.000032768* ADMINISTRATIVO, Serial:8464MF54F, Marca:TRANE, "&amp; "Modelo:2TTB0060A1000BA, Material:METALICO, Color:GRIS,   Referencia: Placa padre:  Tipo adquisicion : Entidad"</f>
        <v>Descripcion:AIRE ACONDICIONADO (CONDESADORA Y MANEJADORA) 60.000 BTU Estado: Bueno Placa anterior: 000032768 Material: METALICO Color: GRIS Referencia:  Observacion: SE MODIFICAN LOS SIGUIENTES CAMPOS PORQUE NO COINCIDEN CON LA INFORMACIÓN QUE SE OBSERVÓ:  *MODELO: 2TTB0060A1000BA  *SERIAL: 8464MF54F-6244FF32B Placa anterior:, Placa nueva=H0020695, Descripcion:CONDESADORA TRANE DEL AIRE ACONDICIONADO CON PLACA NUEVA No.H0020680 Y PLACA ANTERIOR No.000032768* ADMINISTRATIVO, Serial:8464MF54F, Marca:TRANE, Modelo:2TTB0060A1000BA, Material:METALICO, Color:GRIS,   Referencia: Placa padre:  Tipo adquisicion : Entidad</v>
      </c>
      <c r="G18435" s="5" t="str">
        <f>"2TEC3F55A1000AA"</f>
        <v>2TEC3F55A1000AA</v>
      </c>
    </row>
    <row r="18436" spans="1:7" ht="58.5" customHeight="1" x14ac:dyDescent="0.25">
      <c r="A18436" s="5" t="str">
        <f>"H0020692"</f>
        <v>H0020692</v>
      </c>
      <c r="B18436" s="5" t="str">
        <f>"CONDENSDORA (AIRE ACONDICIONADO)"</f>
        <v>CONDENSDORA (AIRE ACONDICIONADO)</v>
      </c>
      <c r="C18436" s="6">
        <v>10286000</v>
      </c>
      <c r="D18436" s="5"/>
      <c r="E18436" s="5" t="str">
        <f t="shared" si="947"/>
        <v>RECURSOS FISICOS-JOSE LUIS MORA VELANDIA</v>
      </c>
      <c r="F18436" s="5" t="str">
        <f>"Descripcion:CONDENSADOR DE MANEJADORA TRANE* ADMINISTRATIVO Estado: Bueno Placa anterior: 000033170 Material: METALICO Color: GRIS Referencia:  Observacion: AUTORIZADO CONCILIAR EN CRUCE GENERAL Placa padre:  Tipo adquisicion : Entidad"</f>
        <v>Descripcion:CONDENSADOR DE MANEJADORA TRANE* ADMINISTRATIVO Estado: Bueno Placa anterior: 000033170 Material: METALICO Color: GRIS Referencia:  Observacion: AUTORIZADO CONCILIAR EN CRUCE GENERAL Placa padre:  Tipo adquisicion : Entidad</v>
      </c>
      <c r="G18436" s="5" t="str">
        <f>"TTA120A400FA"</f>
        <v>TTA120A400FA</v>
      </c>
    </row>
    <row r="18437" spans="1:7" ht="58.5" customHeight="1" x14ac:dyDescent="0.25">
      <c r="A18437" s="5" t="str">
        <f>"H0020694"</f>
        <v>H0020694</v>
      </c>
      <c r="B18437" s="5" t="str">
        <f>"CONDENSDORA (AIRE ACONDICIONADO)"</f>
        <v>CONDENSDORA (AIRE ACONDICIONADO)</v>
      </c>
      <c r="C18437" s="6">
        <v>19000000</v>
      </c>
      <c r="D18437" s="5" t="s">
        <v>751</v>
      </c>
      <c r="E18437" s="5" t="str">
        <f t="shared" si="947"/>
        <v>RECURSOS FISICOS-JOSE LUIS MORA VELANDIA</v>
      </c>
      <c r="F18437" s="5" t="str">
        <f>"Descripcion:CONDESADORA 7.5 TRANE DEL AIRE ACONDICIONADO CON PLACA NUEVA No.H0020679 Y PLACA ANTERIOR No.000032767* ADMINISTRATIVO Estado: Bueno Placa anterior: 000037607 Material: METALICO Color: GRIS Referencia:  Observacion: AUTORIZADO CONCILIAR EN CRU"&amp; "CE GENERAL   Placa padre: H0020679 Tipo adquisicion : Entidad"</f>
        <v>Descripcion:CONDESADORA 7.5 TRANE DEL AIRE ACONDICIONADO CON PLACA NUEVA No.H0020679 Y PLACA ANTERIOR No.000032767* ADMINISTRATIVO Estado: Bueno Placa anterior: 000037607 Material: METALICO Color: GRIS Referencia:  Observacion: AUTORIZADO CONCILIAR EN CRUCE GENERAL   Placa padre: H0020679 Tipo adquisicion : Entidad</v>
      </c>
      <c r="G18437" s="5" t="str">
        <f>"2TTB0060A1000BA"</f>
        <v>2TTB0060A1000BA</v>
      </c>
    </row>
    <row r="18438" spans="1:7" ht="58.5" customHeight="1" x14ac:dyDescent="0.25">
      <c r="A18438" s="5" t="str">
        <f>"H0021436"</f>
        <v>H0021436</v>
      </c>
      <c r="B18438" s="5" t="str">
        <f>"EQUIPO DE AIRE ACONDICIONADO  MINISPLIT 12000 BTU INVERTER"</f>
        <v>EQUIPO DE AIRE ACONDICIONADO  MINISPLIT 12000 BTU INVERTER</v>
      </c>
      <c r="C18438" s="6">
        <v>1856000</v>
      </c>
      <c r="D18438" s="5" t="s">
        <v>176</v>
      </c>
      <c r="E18438" s="5" t="str">
        <f t="shared" si="947"/>
        <v>RECURSOS FISICOS-JOSE LUIS MORA VELANDIA</v>
      </c>
      <c r="F18438" s="5"/>
      <c r="G18438" s="5" t="str">
        <f>"VM122CE"</f>
        <v>VM122CE</v>
      </c>
    </row>
    <row r="18439" spans="1:7" ht="58.5" customHeight="1" x14ac:dyDescent="0.25">
      <c r="A18439" s="5" t="str">
        <f>"H0024137"</f>
        <v>H0024137</v>
      </c>
      <c r="B18439" s="5" t="str">
        <f>"EXTINTOR 20 lbs ABC MULTIPROPOSITO"</f>
        <v>EXTINTOR 20 lbs ABC MULTIPROPOSITO</v>
      </c>
      <c r="C18439" s="6">
        <v>90000.2</v>
      </c>
      <c r="D18439" s="5" t="s">
        <v>458</v>
      </c>
      <c r="E18439" s="5" t="str">
        <f t="shared" si="947"/>
        <v>RECURSOS FISICOS-JOSE LUIS MORA VELANDIA</v>
      </c>
      <c r="F18439" s="5"/>
      <c r="G18439" s="5"/>
    </row>
    <row r="18440" spans="1:7" ht="58.5" customHeight="1" x14ac:dyDescent="0.25">
      <c r="A18440" s="5" t="str">
        <f>"H0024149"</f>
        <v>H0024149</v>
      </c>
      <c r="B18440" s="5" t="str">
        <f>"EXTINTORES 3700 grs DE AGENTE LIMPIO"</f>
        <v>EXTINTORES 3700 grs DE AGENTE LIMPIO</v>
      </c>
      <c r="C18440" s="6">
        <v>330000.01</v>
      </c>
      <c r="D18440" s="5" t="s">
        <v>458</v>
      </c>
      <c r="E18440" s="5" t="str">
        <f t="shared" si="947"/>
        <v>RECURSOS FISICOS-JOSE LUIS MORA VELANDIA</v>
      </c>
      <c r="F18440" s="5"/>
      <c r="G18440" s="5"/>
    </row>
    <row r="18441" spans="1:7" ht="58.5" customHeight="1" x14ac:dyDescent="0.25">
      <c r="A18441" s="5" t="str">
        <f>"H0024150"</f>
        <v>H0024150</v>
      </c>
      <c r="B18441" s="5" t="str">
        <f>"EXTINTORES 3700 grs DE AGENTE LIMPIO"</f>
        <v>EXTINTORES 3700 grs DE AGENTE LIMPIO</v>
      </c>
      <c r="C18441" s="6">
        <v>330000.01</v>
      </c>
      <c r="D18441" s="5" t="s">
        <v>458</v>
      </c>
      <c r="E18441" s="5" t="str">
        <f t="shared" si="947"/>
        <v>RECURSOS FISICOS-JOSE LUIS MORA VELANDIA</v>
      </c>
      <c r="F18441" s="5"/>
      <c r="G18441" s="5"/>
    </row>
    <row r="18442" spans="1:7" ht="58.5" customHeight="1" x14ac:dyDescent="0.25">
      <c r="A18442" s="5" t="str">
        <f>"H0024196"</f>
        <v>H0024196</v>
      </c>
      <c r="B18442" s="5" t="str">
        <f>"AVISO CON ESTRUCTURA METALICA, SIN CANTONERA, ILUMINADO MEDIANTE REFLECTORES LED (10 UNIDADES).IMPRESION DE LONA BANNER TRASLUCIDA IMPRESION HD.LARGO 20 mts x ALTO:1.5 mts PARA LA FACHADA PRINCIPAL"</f>
        <v>AVISO CON ESTRUCTURA METALICA, SIN CANTONERA, ILUMINADO MEDIANTE REFLECTORES LED (10 UNIDADES).IMPRESION DE LONA BANNER TRASLUCIDA IMPRESION HD.LARGO 20 mts x ALTO:1.5 mts PARA LA FACHADA PRINCIPAL</v>
      </c>
      <c r="C18442" s="6">
        <v>5568000</v>
      </c>
      <c r="D18442" s="5" t="s">
        <v>836</v>
      </c>
      <c r="E18442" s="5" t="str">
        <f t="shared" si="947"/>
        <v>RECURSOS FISICOS-JOSE LUIS MORA VELANDIA</v>
      </c>
      <c r="F18442" s="5"/>
      <c r="G18442" s="5"/>
    </row>
    <row r="18443" spans="1:7" ht="58.5" customHeight="1" x14ac:dyDescent="0.25">
      <c r="A18443" s="5" t="str">
        <f>"H0025011"</f>
        <v>H0025011</v>
      </c>
      <c r="B18443" s="5" t="str">
        <f>"UNIDADES CONDENSADORAS ENFRIADAS POR AIRE, DESCARGA VERTICAL 240.000 BTU/HR (20 TR) ALTA EFICIENCIA. R-410, 60 HZ. TRIFÁSICAS"</f>
        <v>UNIDADES CONDENSADORAS ENFRIADAS POR AIRE, DESCARGA VERTICAL 240.000 BTU/HR (20 TR) ALTA EFICIENCIA. R-410, 60 HZ. TRIFÁSICAS</v>
      </c>
      <c r="C18443" s="6">
        <v>19439280</v>
      </c>
      <c r="D18443" s="5" t="s">
        <v>10</v>
      </c>
      <c r="E18443" s="5" t="str">
        <f t="shared" si="947"/>
        <v>RECURSOS FISICOS-JOSE LUIS MORA VELANDIA</v>
      </c>
      <c r="F18443" s="5"/>
      <c r="G18443" s="5"/>
    </row>
    <row r="18444" spans="1:7" ht="58.5" customHeight="1" x14ac:dyDescent="0.25">
      <c r="A18444" s="5" t="str">
        <f>"H0025012"</f>
        <v>H0025012</v>
      </c>
      <c r="B18444" s="5" t="str">
        <f>"UNIDADES CONDENSADORAS ENFRIADAS POR AIRE, DESCARGA VERTICAL 240.000 BTU/HR (20 TR) ALTA EFICIENCIA. R-410, 60 HZ. TRIFÁSICAS"</f>
        <v>UNIDADES CONDENSADORAS ENFRIADAS POR AIRE, DESCARGA VERTICAL 240.000 BTU/HR (20 TR) ALTA EFICIENCIA. R-410, 60 HZ. TRIFÁSICAS</v>
      </c>
      <c r="C18444" s="6">
        <v>19439280</v>
      </c>
      <c r="D18444" s="5" t="s">
        <v>10</v>
      </c>
      <c r="E18444" s="5" t="str">
        <f t="shared" si="947"/>
        <v>RECURSOS FISICOS-JOSE LUIS MORA VELANDIA</v>
      </c>
      <c r="F18444" s="5"/>
      <c r="G18444" s="5"/>
    </row>
    <row r="18445" spans="1:7" ht="58.5" customHeight="1" x14ac:dyDescent="0.25">
      <c r="A18445" s="5" t="str">
        <f>"H0025014"</f>
        <v>H0025014</v>
      </c>
      <c r="B18445" s="5" t="str">
        <f>"UNIDADES CONDENSADORAS ENFRIADAS POR AIRE, DESCARGA VERTICAL 180.000 BTU/HR (15 TR) ALTA EFICIENCIA. R-410, 60 HZ. TRIFÁSICAS"</f>
        <v>UNIDADES CONDENSADORAS ENFRIADAS POR AIRE, DESCARGA VERTICAL 180.000 BTU/HR (15 TR) ALTA EFICIENCIA. R-410, 60 HZ. TRIFÁSICAS</v>
      </c>
      <c r="C18445" s="6">
        <v>16968480</v>
      </c>
      <c r="D18445" s="5" t="s">
        <v>10</v>
      </c>
      <c r="E18445" s="5" t="str">
        <f t="shared" si="947"/>
        <v>RECURSOS FISICOS-JOSE LUIS MORA VELANDIA</v>
      </c>
      <c r="F18445" s="5"/>
      <c r="G18445" s="5" t="str">
        <f>"CV410A2C-180-4"</f>
        <v>CV410A2C-180-4</v>
      </c>
    </row>
    <row r="18446" spans="1:7" ht="58.5" customHeight="1" x14ac:dyDescent="0.25">
      <c r="A18446" s="5" t="str">
        <f>"H0025015"</f>
        <v>H0025015</v>
      </c>
      <c r="B18446" s="5" t="str">
        <f>"UNIDADES CONDENSADORAS ENFRIADAS POR AIRE, DESCARGA VERTICAL 180.000 BTU/HR (15 TR) ALTA EFICIENCIA. R-410, 60 HZ. TRIFÁSICAS"</f>
        <v>UNIDADES CONDENSADORAS ENFRIADAS POR AIRE, DESCARGA VERTICAL 180.000 BTU/HR (15 TR) ALTA EFICIENCIA. R-410, 60 HZ. TRIFÁSICAS</v>
      </c>
      <c r="C18446" s="6">
        <v>16968480</v>
      </c>
      <c r="D18446" s="5" t="s">
        <v>10</v>
      </c>
      <c r="E18446" s="5" t="str">
        <f t="shared" si="947"/>
        <v>RECURSOS FISICOS-JOSE LUIS MORA VELANDIA</v>
      </c>
      <c r="F18446" s="5"/>
      <c r="G18446" s="5" t="str">
        <f>"CV410A2L-180-4"</f>
        <v>CV410A2L-180-4</v>
      </c>
    </row>
    <row r="18447" spans="1:7" ht="58.5" customHeight="1" x14ac:dyDescent="0.25">
      <c r="A18447" s="5" t="str">
        <f>"H0025016"</f>
        <v>H0025016</v>
      </c>
      <c r="B18447" s="5" t="str">
        <f>"UNIDADES CONDENSADORAS ENFRIADAS POR AIRE, DESCARGA VERTICAL 180.000 BTU/HR (15 TR) ALTA EFICIENCIA. R-410, 60 HZ. TRIFÁSICAS"</f>
        <v>UNIDADES CONDENSADORAS ENFRIADAS POR AIRE, DESCARGA VERTICAL 180.000 BTU/HR (15 TR) ALTA EFICIENCIA. R-410, 60 HZ. TRIFÁSICAS</v>
      </c>
      <c r="C18447" s="6">
        <v>16968480</v>
      </c>
      <c r="D18447" s="5" t="s">
        <v>10</v>
      </c>
      <c r="E18447" s="5" t="str">
        <f t="shared" si="947"/>
        <v>RECURSOS FISICOS-JOSE LUIS MORA VELANDIA</v>
      </c>
      <c r="F18447" s="5"/>
      <c r="G18447" s="5"/>
    </row>
    <row r="18448" spans="1:7" ht="58.5" customHeight="1" x14ac:dyDescent="0.25">
      <c r="A18448" s="5" t="str">
        <f>"H0025017"</f>
        <v>H0025017</v>
      </c>
      <c r="B18448" s="5" t="str">
        <f>"UNIDADES CONDENSADORAS ENFRIADAS POR AIRE, DESCARGA VERTICAL 150.000 BTU/HR (12,5 TR) ALTA EFICIENCIA. R-410, 60 HZ. TRIFÁSICAS"</f>
        <v>UNIDADES CONDENSADORAS ENFRIADAS POR AIRE, DESCARGA VERTICAL 150.000 BTU/HR (12,5 TR) ALTA EFICIENCIA. R-410, 60 HZ. TRIFÁSICAS</v>
      </c>
      <c r="C18448" s="6">
        <v>15677400</v>
      </c>
      <c r="D18448" s="5" t="s">
        <v>10</v>
      </c>
      <c r="E18448" s="5" t="str">
        <f t="shared" si="947"/>
        <v>RECURSOS FISICOS-JOSE LUIS MORA VELANDIA</v>
      </c>
      <c r="F18448" s="5"/>
      <c r="G18448" s="5"/>
    </row>
    <row r="18449" spans="1:7" ht="58.5" customHeight="1" x14ac:dyDescent="0.25">
      <c r="A18449" s="5" t="str">
        <f>"H0025018"</f>
        <v>H0025018</v>
      </c>
      <c r="B18449" s="5" t="str">
        <f>"UNIDADES CONDENSADORAS ENFRIADAS POR AIRE, DESCARGA VERTICAL 150.000 BTU/HR (12,5 TR) ALTA EFICIENCIA. R-410, 60 HZ. TRIFÁSICAS"</f>
        <v>UNIDADES CONDENSADORAS ENFRIADAS POR AIRE, DESCARGA VERTICAL 150.000 BTU/HR (12,5 TR) ALTA EFICIENCIA. R-410, 60 HZ. TRIFÁSICAS</v>
      </c>
      <c r="C18449" s="6">
        <v>15677400</v>
      </c>
      <c r="D18449" s="5" t="s">
        <v>10</v>
      </c>
      <c r="E18449" s="5" t="str">
        <f t="shared" si="947"/>
        <v>RECURSOS FISICOS-JOSE LUIS MORA VELANDIA</v>
      </c>
      <c r="F18449" s="5"/>
      <c r="G18449" s="5"/>
    </row>
    <row r="18450" spans="1:7" ht="58.5" customHeight="1" x14ac:dyDescent="0.25">
      <c r="A18450" s="5" t="str">
        <f>"H0025019"</f>
        <v>H0025019</v>
      </c>
      <c r="B18450" s="5" t="str">
        <f>"UNIDADES CONDENSADORAS ENFRIADAS POR AIRE, DESCARGA VERTICAL 150.000 BTU/HR (12,5 TR) ALTA EFICIENCIA. R-410, 60 HZ. TRIFÁSICAS"</f>
        <v>UNIDADES CONDENSADORAS ENFRIADAS POR AIRE, DESCARGA VERTICAL 150.000 BTU/HR (12,5 TR) ALTA EFICIENCIA. R-410, 60 HZ. TRIFÁSICAS</v>
      </c>
      <c r="C18450" s="6">
        <v>15677400</v>
      </c>
      <c r="D18450" s="5" t="s">
        <v>10</v>
      </c>
      <c r="E18450" s="5" t="str">
        <f t="shared" si="947"/>
        <v>RECURSOS FISICOS-JOSE LUIS MORA VELANDIA</v>
      </c>
      <c r="F18450" s="5" t="str">
        <f>"COMP 1: 15KA0808L  COMP 2: 1514265AL  COMP 3: 14A5586FN    REFRIG: R-410A"</f>
        <v>COMP 1: 15KA0808L  COMP 2: 1514265AL  COMP 3: 14A5586FN    REFRIG: R-410A</v>
      </c>
      <c r="G18450" s="5" t="str">
        <f>"CV410A3C-150-4"</f>
        <v>CV410A3C-150-4</v>
      </c>
    </row>
    <row r="18451" spans="1:7" ht="58.5" customHeight="1" x14ac:dyDescent="0.25">
      <c r="A18451" s="5" t="str">
        <f>"H0025020"</f>
        <v>H0025020</v>
      </c>
      <c r="B18451" s="5" t="str">
        <f>"UNIDADES CONDENSADORAS ENFRIADAS POR AIRE, DESCARGA VERTICAL 150.000 BTU/HR (12,5 TR) ALTA EFICIENCIA. R-410, 60 HZ. TRIFÁSICAS"</f>
        <v>UNIDADES CONDENSADORAS ENFRIADAS POR AIRE, DESCARGA VERTICAL 150.000 BTU/HR (12,5 TR) ALTA EFICIENCIA. R-410, 60 HZ. TRIFÁSICAS</v>
      </c>
      <c r="C18451" s="6">
        <v>15677400</v>
      </c>
      <c r="D18451" s="5" t="s">
        <v>10</v>
      </c>
      <c r="E18451" s="5" t="str">
        <f t="shared" si="947"/>
        <v>RECURSOS FISICOS-JOSE LUIS MORA VELANDIA</v>
      </c>
      <c r="F18451" s="5"/>
      <c r="G18451" s="5"/>
    </row>
    <row r="18452" spans="1:7" ht="58.5" customHeight="1" x14ac:dyDescent="0.25">
      <c r="A18452" s="5" t="str">
        <f>"H0025021"</f>
        <v>H0025021</v>
      </c>
      <c r="B18452" s="5" t="str">
        <f>"UNIDADES CONDENSADORAS ENFRIADAS POR AIRE, DESCARGA VERTICAL 150.000 BTU/HR (12,5 TR) ALTA EFICIENCIA. R-410, 60 HZ. TRIFÁSICAS"</f>
        <v>UNIDADES CONDENSADORAS ENFRIADAS POR AIRE, DESCARGA VERTICAL 150.000 BTU/HR (12,5 TR) ALTA EFICIENCIA. R-410, 60 HZ. TRIFÁSICAS</v>
      </c>
      <c r="C18452" s="6">
        <v>15677400</v>
      </c>
      <c r="D18452" s="5" t="s">
        <v>10</v>
      </c>
      <c r="E18452" s="5" t="str">
        <f t="shared" si="947"/>
        <v>RECURSOS FISICOS-JOSE LUIS MORA VELANDIA</v>
      </c>
      <c r="F18452" s="5"/>
      <c r="G18452" s="5"/>
    </row>
    <row r="18453" spans="1:7" ht="58.5" customHeight="1" x14ac:dyDescent="0.25">
      <c r="A18453" s="5" t="str">
        <f>"H0025022"</f>
        <v>H0025022</v>
      </c>
      <c r="B18453" s="5" t="str">
        <f>"UNIDADES CONDENSADORAS ENFRIADAS POR AIRE, DESCARGA VERTICAL 144.000 BTU/HR (12 TR) ALTA EFICIENCIA. R-410, 60 HZ. TRIFÁSICAS"</f>
        <v>UNIDADES CONDENSADORAS ENFRIADAS POR AIRE, DESCARGA VERTICAL 144.000 BTU/HR (12 TR) ALTA EFICIENCIA. R-410, 60 HZ. TRIFÁSICAS</v>
      </c>
      <c r="C18453" s="6">
        <v>15424520</v>
      </c>
      <c r="D18453" s="5" t="s">
        <v>10</v>
      </c>
      <c r="E18453" s="5" t="str">
        <f t="shared" ref="E18453:E18484" si="948">"RECURSOS FISICOS-JOSE LUIS MORA VELANDIA"</f>
        <v>RECURSOS FISICOS-JOSE LUIS MORA VELANDIA</v>
      </c>
      <c r="F18453" s="5" t="str">
        <f>"COMP 1: 0284921DL  COMP 2: 0284921DL  COMP 3: 08CM0392L    REFRIG: R-410A"</f>
        <v>COMP 1: 0284921DL  COMP 2: 0284921DL  COMP 3: 08CM0392L    REFRIG: R-410A</v>
      </c>
      <c r="G18453" s="5" t="str">
        <f>"CV410A3C-144-4"</f>
        <v>CV410A3C-144-4</v>
      </c>
    </row>
    <row r="18454" spans="1:7" ht="58.5" customHeight="1" x14ac:dyDescent="0.25">
      <c r="A18454" s="5" t="str">
        <f>"H0025023"</f>
        <v>H0025023</v>
      </c>
      <c r="B18454" s="5" t="str">
        <f>"UNIDADES CONDENSADORAS ENFRIADAS POR AIRE, DESCARGA VERTICAL 144.000 BTU/HR (12 TR) ALTA EFICIENCIA. R-410, 60 HZ. TRIFÁSICAS"</f>
        <v>UNIDADES CONDENSADORAS ENFRIADAS POR AIRE, DESCARGA VERTICAL 144.000 BTU/HR (12 TR) ALTA EFICIENCIA. R-410, 60 HZ. TRIFÁSICAS</v>
      </c>
      <c r="C18454" s="6">
        <v>15424520</v>
      </c>
      <c r="D18454" s="5" t="s">
        <v>10</v>
      </c>
      <c r="E18454" s="5" t="str">
        <f t="shared" si="948"/>
        <v>RECURSOS FISICOS-JOSE LUIS MORA VELANDIA</v>
      </c>
      <c r="F18454" s="5"/>
      <c r="G18454" s="5"/>
    </row>
    <row r="18455" spans="1:7" ht="58.5" customHeight="1" x14ac:dyDescent="0.25">
      <c r="A18455" s="5" t="str">
        <f>"H0025024"</f>
        <v>H0025024</v>
      </c>
      <c r="B18455" s="5" t="str">
        <f>"UNIDADES CONDENSADORAS ENFRIADAS POR AIRE, DESCARGA VERTICAL 144.000 BTU/HR (12 TR) ALTA EFICIENCIA. R-410, 60 HZ. TRIFÁSICAS"</f>
        <v>UNIDADES CONDENSADORAS ENFRIADAS POR AIRE, DESCARGA VERTICAL 144.000 BTU/HR (12 TR) ALTA EFICIENCIA. R-410, 60 HZ. TRIFÁSICAS</v>
      </c>
      <c r="C18455" s="6">
        <v>15424520</v>
      </c>
      <c r="D18455" s="5" t="s">
        <v>10</v>
      </c>
      <c r="E18455" s="5" t="str">
        <f t="shared" si="948"/>
        <v>RECURSOS FISICOS-JOSE LUIS MORA VELANDIA</v>
      </c>
      <c r="F18455" s="5"/>
      <c r="G18455" s="5"/>
    </row>
    <row r="18456" spans="1:7" ht="58.5" customHeight="1" x14ac:dyDescent="0.25">
      <c r="A18456" s="5" t="str">
        <f>"H0025025"</f>
        <v>H0025025</v>
      </c>
      <c r="B18456" s="5" t="str">
        <f t="shared" ref="B18456:B18461" si="949">"UNIDADES CONDENSADORAS ENFRIADAS POR AIRE, DESCARGA VERTICAL 120.000 BTU/HR (10 TR) ALTA EFICIENCIA. R-410, 60 HZ. TRIFÁSICAS"</f>
        <v>UNIDADES CONDENSADORAS ENFRIADAS POR AIRE, DESCARGA VERTICAL 120.000 BTU/HR (10 TR) ALTA EFICIENCIA. R-410, 60 HZ. TRIFÁSICAS</v>
      </c>
      <c r="C18456" s="6">
        <v>13279680</v>
      </c>
      <c r="D18456" s="5" t="s">
        <v>10</v>
      </c>
      <c r="E18456" s="5" t="str">
        <f t="shared" si="948"/>
        <v>RECURSOS FISICOS-JOSE LUIS MORA VELANDIA</v>
      </c>
      <c r="F18456" s="5" t="str">
        <f>"COMP 1: 16KE9273L  COMP 2: 16KE9276L"</f>
        <v>COMP 1: 16KE9273L  COMP 2: 16KE9276L</v>
      </c>
      <c r="G18456" s="5" t="str">
        <f>"CV410A2C-120-4"</f>
        <v>CV410A2C-120-4</v>
      </c>
    </row>
    <row r="18457" spans="1:7" ht="58.5" customHeight="1" x14ac:dyDescent="0.25">
      <c r="A18457" s="5" t="str">
        <f>"H0025026"</f>
        <v>H0025026</v>
      </c>
      <c r="B18457" s="5" t="str">
        <f t="shared" si="949"/>
        <v>UNIDADES CONDENSADORAS ENFRIADAS POR AIRE, DESCARGA VERTICAL 120.000 BTU/HR (10 TR) ALTA EFICIENCIA. R-410, 60 HZ. TRIFÁSICAS</v>
      </c>
      <c r="C18457" s="6">
        <v>13279680</v>
      </c>
      <c r="D18457" s="5" t="s">
        <v>10</v>
      </c>
      <c r="E18457" s="5" t="str">
        <f t="shared" si="948"/>
        <v>RECURSOS FISICOS-JOSE LUIS MORA VELANDIA</v>
      </c>
      <c r="F18457" s="5"/>
      <c r="G18457" s="5" t="str">
        <f>"CV41JA2C-120-4"</f>
        <v>CV41JA2C-120-4</v>
      </c>
    </row>
    <row r="18458" spans="1:7" ht="58.5" customHeight="1" x14ac:dyDescent="0.25">
      <c r="A18458" s="5" t="str">
        <f>"H0025027"</f>
        <v>H0025027</v>
      </c>
      <c r="B18458" s="5" t="str">
        <f t="shared" si="949"/>
        <v>UNIDADES CONDENSADORAS ENFRIADAS POR AIRE, DESCARGA VERTICAL 120.000 BTU/HR (10 TR) ALTA EFICIENCIA. R-410, 60 HZ. TRIFÁSICAS</v>
      </c>
      <c r="C18458" s="6">
        <v>13279680</v>
      </c>
      <c r="D18458" s="5" t="s">
        <v>10</v>
      </c>
      <c r="E18458" s="5" t="str">
        <f t="shared" si="948"/>
        <v>RECURSOS FISICOS-JOSE LUIS MORA VELANDIA</v>
      </c>
      <c r="F18458" s="5"/>
      <c r="G18458" s="5" t="str">
        <f>"CV410A2C-120-4"</f>
        <v>CV410A2C-120-4</v>
      </c>
    </row>
    <row r="18459" spans="1:7" ht="58.5" customHeight="1" x14ac:dyDescent="0.25">
      <c r="A18459" s="5" t="str">
        <f>"H0025028"</f>
        <v>H0025028</v>
      </c>
      <c r="B18459" s="5" t="str">
        <f t="shared" si="949"/>
        <v>UNIDADES CONDENSADORAS ENFRIADAS POR AIRE, DESCARGA VERTICAL 120.000 BTU/HR (10 TR) ALTA EFICIENCIA. R-410, 60 HZ. TRIFÁSICAS</v>
      </c>
      <c r="C18459" s="6">
        <v>13279680</v>
      </c>
      <c r="D18459" s="5" t="s">
        <v>10</v>
      </c>
      <c r="E18459" s="5" t="str">
        <f t="shared" si="948"/>
        <v>RECURSOS FISICOS-JOSE LUIS MORA VELANDIA</v>
      </c>
      <c r="F18459" s="5"/>
      <c r="G18459" s="5" t="str">
        <f>"CV410A2C-120A"</f>
        <v>CV410A2C-120A</v>
      </c>
    </row>
    <row r="18460" spans="1:7" ht="58.5" customHeight="1" x14ac:dyDescent="0.25">
      <c r="A18460" s="5" t="str">
        <f>"H0025029"</f>
        <v>H0025029</v>
      </c>
      <c r="B18460" s="5" t="str">
        <f t="shared" si="949"/>
        <v>UNIDADES CONDENSADORAS ENFRIADAS POR AIRE, DESCARGA VERTICAL 120.000 BTU/HR (10 TR) ALTA EFICIENCIA. R-410, 60 HZ. TRIFÁSICAS</v>
      </c>
      <c r="C18460" s="6">
        <v>13279680</v>
      </c>
      <c r="D18460" s="5" t="s">
        <v>10</v>
      </c>
      <c r="E18460" s="5" t="str">
        <f t="shared" si="948"/>
        <v>RECURSOS FISICOS-JOSE LUIS MORA VELANDIA</v>
      </c>
      <c r="F18460" s="5"/>
      <c r="G18460" s="5" t="str">
        <f>"CV410A2C-120-4"</f>
        <v>CV410A2C-120-4</v>
      </c>
    </row>
    <row r="18461" spans="1:7" ht="58.5" customHeight="1" x14ac:dyDescent="0.25">
      <c r="A18461" s="5" t="str">
        <f>"H0025030"</f>
        <v>H0025030</v>
      </c>
      <c r="B18461" s="5" t="str">
        <f t="shared" si="949"/>
        <v>UNIDADES CONDENSADORAS ENFRIADAS POR AIRE, DESCARGA VERTICAL 120.000 BTU/HR (10 TR) ALTA EFICIENCIA. R-410, 60 HZ. TRIFÁSICAS</v>
      </c>
      <c r="C18461" s="6">
        <v>13279680</v>
      </c>
      <c r="D18461" s="5" t="s">
        <v>10</v>
      </c>
      <c r="E18461" s="5" t="str">
        <f t="shared" si="948"/>
        <v>RECURSOS FISICOS-JOSE LUIS MORA VELANDIA</v>
      </c>
      <c r="F18461" s="5"/>
      <c r="G18461" s="5" t="str">
        <f>"CV410A2C-120-4"</f>
        <v>CV410A2C-120-4</v>
      </c>
    </row>
    <row r="18462" spans="1:7" ht="58.5" customHeight="1" x14ac:dyDescent="0.25">
      <c r="A18462" s="5" t="str">
        <f>"H0025312"</f>
        <v>H0025312</v>
      </c>
      <c r="B1846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462" s="6">
        <v>312156</v>
      </c>
      <c r="D18462" s="5" t="s">
        <v>10</v>
      </c>
      <c r="E18462" s="5" t="str">
        <f t="shared" si="948"/>
        <v>RECURSOS FISICOS-JOSE LUIS MORA VELANDIA</v>
      </c>
      <c r="F18462" s="5"/>
      <c r="G18462" s="5"/>
    </row>
    <row r="18463" spans="1:7" ht="58.5" customHeight="1" x14ac:dyDescent="0.25">
      <c r="A18463" s="5" t="str">
        <f>"H0025326"</f>
        <v>H0025326</v>
      </c>
      <c r="B1846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463" s="6">
        <v>312156</v>
      </c>
      <c r="D18463" s="5" t="s">
        <v>10</v>
      </c>
      <c r="E18463" s="5" t="str">
        <f t="shared" si="948"/>
        <v>RECURSOS FISICOS-JOSE LUIS MORA VELANDIA</v>
      </c>
      <c r="F18463" s="5"/>
      <c r="G18463" s="5"/>
    </row>
    <row r="18464" spans="1:7" ht="58.5" customHeight="1" x14ac:dyDescent="0.25">
      <c r="A18464" s="5" t="str">
        <f>"H0025456"</f>
        <v>H0025456</v>
      </c>
      <c r="B1846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464" s="6">
        <v>312156</v>
      </c>
      <c r="D18464" s="5" t="s">
        <v>10</v>
      </c>
      <c r="E18464" s="5" t="str">
        <f t="shared" si="948"/>
        <v>RECURSOS FISICOS-JOSE LUIS MORA VELANDIA</v>
      </c>
      <c r="F18464" s="5"/>
      <c r="G18464" s="5"/>
    </row>
    <row r="18465" spans="1:7" ht="58.5" customHeight="1" x14ac:dyDescent="0.25">
      <c r="A18465" s="5" t="str">
        <f>"H0025561"</f>
        <v>H0025561</v>
      </c>
      <c r="B18465" s="5" t="str">
        <f>"SILLA DE RUEDAS"</f>
        <v>SILLA DE RUEDAS</v>
      </c>
      <c r="C18465" s="6">
        <v>600000</v>
      </c>
      <c r="D18465" s="5" t="s">
        <v>149</v>
      </c>
      <c r="E18465" s="5" t="str">
        <f t="shared" si="948"/>
        <v>RECURSOS FISICOS-JOSE LUIS MORA VELANDIA</v>
      </c>
      <c r="F18465" s="5"/>
      <c r="G18465" s="5"/>
    </row>
    <row r="18466" spans="1:7" ht="58.5" customHeight="1" x14ac:dyDescent="0.25">
      <c r="A18466" s="5" t="str">
        <f>"H0026803"</f>
        <v>H0026803</v>
      </c>
      <c r="B18466"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466" s="6">
        <v>3296300</v>
      </c>
      <c r="D18466" s="5" t="s">
        <v>37</v>
      </c>
      <c r="E18466" s="5" t="str">
        <f t="shared" si="948"/>
        <v>RECURSOS FISICOS-JOSE LUIS MORA VELANDIA</v>
      </c>
      <c r="F18466" s="5"/>
      <c r="G18466" s="5"/>
    </row>
    <row r="18467" spans="1:7" ht="58.5" customHeight="1" x14ac:dyDescent="0.25">
      <c r="A18467" s="5" t="str">
        <f>"H0028613"</f>
        <v>H0028613</v>
      </c>
      <c r="B18467" s="5" t="str">
        <f>"MÓDULO WIRELESS (CON 1 SIRENA 45W Y BATERÍA)"</f>
        <v>MÓDULO WIRELESS (CON 1 SIRENA 45W Y BATERÍA)</v>
      </c>
      <c r="C18467" s="6">
        <v>728280</v>
      </c>
      <c r="D18467" s="5" t="s">
        <v>87</v>
      </c>
      <c r="E18467" s="5" t="str">
        <f t="shared" si="948"/>
        <v>RECURSOS FISICOS-JOSE LUIS MORA VELANDIA</v>
      </c>
      <c r="F18467" s="5"/>
      <c r="G18467" s="5"/>
    </row>
    <row r="18468" spans="1:7" ht="58.5" customHeight="1" x14ac:dyDescent="0.25">
      <c r="A18468" s="5" t="str">
        <f>"H0028625"</f>
        <v>H0028625</v>
      </c>
      <c r="B18468" s="5" t="str">
        <f>"BALIZA ROTATIVA WIRELESS LUZ EMERGENCIA"</f>
        <v>BALIZA ROTATIVA WIRELESS LUZ EMERGENCIA</v>
      </c>
      <c r="C18468" s="6">
        <v>238000</v>
      </c>
      <c r="D18468" s="5" t="s">
        <v>837</v>
      </c>
      <c r="E18468" s="5" t="str">
        <f t="shared" si="948"/>
        <v>RECURSOS FISICOS-JOSE LUIS MORA VELANDIA</v>
      </c>
      <c r="F18468" s="5"/>
      <c r="G18468" s="5"/>
    </row>
    <row r="18469" spans="1:7" ht="58.5" customHeight="1" x14ac:dyDescent="0.25">
      <c r="A18469" s="5" t="str">
        <f>"H0028659"</f>
        <v>H0028659</v>
      </c>
      <c r="B18469" s="5" t="str">
        <f>"BOTÓN DE EMERGENCIA PÁNICO SOS FIJO WIRELESS"</f>
        <v>BOTÓN DE EMERGENCIA PÁNICO SOS FIJO WIRELESS</v>
      </c>
      <c r="C18469" s="6">
        <v>297500</v>
      </c>
      <c r="D18469" s="5" t="s">
        <v>87</v>
      </c>
      <c r="E18469" s="5" t="str">
        <f t="shared" si="948"/>
        <v>RECURSOS FISICOS-JOSE LUIS MORA VELANDIA</v>
      </c>
      <c r="F18469" s="5"/>
      <c r="G18469" s="5"/>
    </row>
    <row r="18470" spans="1:7" ht="58.5" customHeight="1" x14ac:dyDescent="0.25">
      <c r="A18470" s="5" t="str">
        <f>"H0028660"</f>
        <v>H0028660</v>
      </c>
      <c r="B18470" s="5" t="str">
        <f>"BOTÓN DE EMERGENCIA PÁNICO SOS FIJO WIRELESS"</f>
        <v>BOTÓN DE EMERGENCIA PÁNICO SOS FIJO WIRELESS</v>
      </c>
      <c r="C18470" s="6">
        <v>297500</v>
      </c>
      <c r="D18470" s="5" t="s">
        <v>87</v>
      </c>
      <c r="E18470" s="5" t="str">
        <f t="shared" si="948"/>
        <v>RECURSOS FISICOS-JOSE LUIS MORA VELANDIA</v>
      </c>
      <c r="F18470" s="5"/>
      <c r="G18470" s="5"/>
    </row>
    <row r="18471" spans="1:7" ht="58.5" customHeight="1" x14ac:dyDescent="0.25">
      <c r="A18471" s="5" t="str">
        <f>"H0028661"</f>
        <v>H0028661</v>
      </c>
      <c r="B18471" s="5" t="str">
        <f>"BOTÓN DE EMERGENCIA PÁNICO SOS FIJO WIRELESS"</f>
        <v>BOTÓN DE EMERGENCIA PÁNICO SOS FIJO WIRELESS</v>
      </c>
      <c r="C18471" s="6">
        <v>297500</v>
      </c>
      <c r="D18471" s="5" t="s">
        <v>737</v>
      </c>
      <c r="E18471" s="5" t="str">
        <f t="shared" si="948"/>
        <v>RECURSOS FISICOS-JOSE LUIS MORA VELANDIA</v>
      </c>
      <c r="F18471" s="5"/>
      <c r="G18471" s="5"/>
    </row>
    <row r="18472" spans="1:7" ht="58.5" customHeight="1" x14ac:dyDescent="0.25">
      <c r="A18472" s="5" t="str">
        <f>"H0028684"</f>
        <v>H0028684</v>
      </c>
      <c r="B18472" s="5" t="str">
        <f>"BOTÓN DE EMERGENCIA PÁNICO SOS MÓVIL WIRELESS"</f>
        <v>BOTÓN DE EMERGENCIA PÁNICO SOS MÓVIL WIRELESS</v>
      </c>
      <c r="C18472" s="6">
        <v>47600</v>
      </c>
      <c r="D18472" s="5" t="s">
        <v>87</v>
      </c>
      <c r="E18472" s="5" t="str">
        <f t="shared" si="948"/>
        <v>RECURSOS FISICOS-JOSE LUIS MORA VELANDIA</v>
      </c>
      <c r="F18472" s="5"/>
      <c r="G18472" s="5"/>
    </row>
    <row r="18473" spans="1:7" ht="58.5" customHeight="1" x14ac:dyDescent="0.25">
      <c r="A18473" s="5" t="str">
        <f>"H0028685"</f>
        <v>H0028685</v>
      </c>
      <c r="B18473" s="5" t="str">
        <f>"BOTÓN DE EMERGENCIA PÁNICO SOS MÓVIL WIRELESS"</f>
        <v>BOTÓN DE EMERGENCIA PÁNICO SOS MÓVIL WIRELESS</v>
      </c>
      <c r="C18473" s="6">
        <v>47600</v>
      </c>
      <c r="D18473" s="5" t="s">
        <v>87</v>
      </c>
      <c r="E18473" s="5" t="str">
        <f t="shared" si="948"/>
        <v>RECURSOS FISICOS-JOSE LUIS MORA VELANDIA</v>
      </c>
      <c r="F18473" s="5"/>
      <c r="G18473" s="5"/>
    </row>
    <row r="18474" spans="1:7" ht="58.5" customHeight="1" x14ac:dyDescent="0.25">
      <c r="A18474" s="5" t="str">
        <f>"H0028686"</f>
        <v>H0028686</v>
      </c>
      <c r="B18474" s="5" t="s">
        <v>838</v>
      </c>
      <c r="C18474" s="6">
        <v>8568000</v>
      </c>
      <c r="D18474" s="5" t="s">
        <v>87</v>
      </c>
      <c r="E18474" s="5" t="str">
        <f t="shared" si="948"/>
        <v>RECURSOS FISICOS-JOSE LUIS MORA VELANDIA</v>
      </c>
      <c r="F18474" s="5"/>
      <c r="G18474" s="5"/>
    </row>
    <row r="18475" spans="1:7" ht="58.5" customHeight="1" x14ac:dyDescent="0.25">
      <c r="A18475" s="5" t="str">
        <f>"H0028731"</f>
        <v>H0028731</v>
      </c>
      <c r="B18475" s="5" t="str">
        <f>"LÁMPARA RECARGABLE DE EMERGENCIA 60 BOMBILLOS LED LUZ BLANCA"</f>
        <v>LÁMPARA RECARGABLE DE EMERGENCIA 60 BOMBILLOS LED LUZ BLANCA</v>
      </c>
      <c r="C18475" s="6">
        <v>255850</v>
      </c>
      <c r="D18475" s="5" t="s">
        <v>87</v>
      </c>
      <c r="E18475" s="5" t="str">
        <f t="shared" si="948"/>
        <v>RECURSOS FISICOS-JOSE LUIS MORA VELANDIA</v>
      </c>
      <c r="F18475" s="5"/>
      <c r="G18475" s="5"/>
    </row>
    <row r="18476" spans="1:7" ht="58.5" customHeight="1" x14ac:dyDescent="0.25">
      <c r="A18476" s="5" t="str">
        <f>"H0028732"</f>
        <v>H0028732</v>
      </c>
      <c r="B18476" s="5" t="str">
        <f>"LÁMPARA RECARGABLE DE EMERGENCIA 60 BOMBILLOS LED LUZ BLANCA"</f>
        <v>LÁMPARA RECARGABLE DE EMERGENCIA 60 BOMBILLOS LED LUZ BLANCA</v>
      </c>
      <c r="C18476" s="6">
        <v>255850</v>
      </c>
      <c r="D18476" s="5" t="s">
        <v>87</v>
      </c>
      <c r="E18476" s="5" t="str">
        <f t="shared" si="948"/>
        <v>RECURSOS FISICOS-JOSE LUIS MORA VELANDIA</v>
      </c>
      <c r="F18476" s="5"/>
      <c r="G18476" s="5"/>
    </row>
    <row r="18477" spans="1:7" ht="58.5" customHeight="1" x14ac:dyDescent="0.25">
      <c r="A18477" s="5" t="str">
        <f>"H0028816"</f>
        <v>H0028816</v>
      </c>
      <c r="B18477" s="5" t="str">
        <f>"SILLA HERGONOMICA CON SISTEMA HIDRAULICO"</f>
        <v>SILLA HERGONOMICA CON SISTEMA HIDRAULICO</v>
      </c>
      <c r="C18477" s="6">
        <v>174900</v>
      </c>
      <c r="D18477" s="5" t="s">
        <v>39</v>
      </c>
      <c r="E18477" s="5" t="str">
        <f t="shared" si="948"/>
        <v>RECURSOS FISICOS-JOSE LUIS MORA VELANDIA</v>
      </c>
      <c r="F18477" s="5"/>
      <c r="G18477" s="5"/>
    </row>
    <row r="18478" spans="1:7" ht="58.5" customHeight="1" x14ac:dyDescent="0.25">
      <c r="A18478" s="5" t="str">
        <f>"H0029559"</f>
        <v>H0029559</v>
      </c>
      <c r="B1847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478" s="6">
        <v>252400.18</v>
      </c>
      <c r="D18478" s="5" t="s">
        <v>15</v>
      </c>
      <c r="E18478" s="5" t="str">
        <f t="shared" si="948"/>
        <v>RECURSOS FISICOS-JOSE LUIS MORA VELANDIA</v>
      </c>
      <c r="F18478" s="5"/>
      <c r="G18478" s="5"/>
    </row>
    <row r="18479" spans="1:7" ht="58.5" customHeight="1" x14ac:dyDescent="0.25">
      <c r="A18479" s="5" t="str">
        <f>"H0031593"</f>
        <v>H0031593</v>
      </c>
      <c r="B18479" s="5" t="s">
        <v>221</v>
      </c>
      <c r="C18479" s="6">
        <v>375382.64</v>
      </c>
      <c r="D18479" s="5" t="s">
        <v>16</v>
      </c>
      <c r="E18479" s="5" t="str">
        <f t="shared" si="948"/>
        <v>RECURSOS FISICOS-JOSE LUIS MORA VELANDIA</v>
      </c>
      <c r="F18479" s="5"/>
      <c r="G18479" s="5"/>
    </row>
    <row r="18480" spans="1:7" ht="58.5" customHeight="1" x14ac:dyDescent="0.25">
      <c r="A18480" s="5" t="str">
        <f>"H0031594"</f>
        <v>H0031594</v>
      </c>
      <c r="B18480" s="5" t="s">
        <v>221</v>
      </c>
      <c r="C18480" s="6">
        <v>375382.64</v>
      </c>
      <c r="D18480" s="5" t="s">
        <v>16</v>
      </c>
      <c r="E18480" s="5" t="str">
        <f t="shared" si="948"/>
        <v>RECURSOS FISICOS-JOSE LUIS MORA VELANDIA</v>
      </c>
      <c r="F18480" s="5"/>
      <c r="G18480" s="5"/>
    </row>
    <row r="18481" spans="1:7" ht="58.5" customHeight="1" x14ac:dyDescent="0.25">
      <c r="A18481" s="5" t="str">
        <f>"H0032060"</f>
        <v>H0032060</v>
      </c>
      <c r="B18481" s="5" t="str">
        <f>"CABINA DE DESINFECCION (DONACION)"</f>
        <v>CABINA DE DESINFECCION (DONACION)</v>
      </c>
      <c r="C18481" s="6">
        <v>2320500</v>
      </c>
      <c r="D18481" s="5" t="s">
        <v>523</v>
      </c>
      <c r="E18481" s="5" t="str">
        <f t="shared" si="948"/>
        <v>RECURSOS FISICOS-JOSE LUIS MORA VELANDIA</v>
      </c>
      <c r="F18481" s="5"/>
      <c r="G18481" s="5"/>
    </row>
    <row r="18482" spans="1:7" ht="58.5" customHeight="1" x14ac:dyDescent="0.25">
      <c r="A18482" s="5" t="str">
        <f>"H0032523"</f>
        <v>H0032523</v>
      </c>
      <c r="B18482" s="5" t="str">
        <f>"LAVAMANOS PORTATIL EN ACERO INOXIDABLE (DONACION)"</f>
        <v>LAVAMANOS PORTATIL EN ACERO INOXIDABLE (DONACION)</v>
      </c>
      <c r="C18482" s="6">
        <v>526900</v>
      </c>
      <c r="D18482" s="5" t="s">
        <v>112</v>
      </c>
      <c r="E18482" s="5" t="str">
        <f t="shared" si="948"/>
        <v>RECURSOS FISICOS-JOSE LUIS MORA VELANDIA</v>
      </c>
      <c r="F18482" s="5"/>
      <c r="G18482" s="5"/>
    </row>
    <row r="18483" spans="1:7" ht="58.5" customHeight="1" x14ac:dyDescent="0.25">
      <c r="A18483" s="5" t="str">
        <f>"H0032525"</f>
        <v>H0032525</v>
      </c>
      <c r="B18483" s="5" t="str">
        <f>"LAVAMANOS PORTATIL EN ACERO INOXIDABLE (DONACION)"</f>
        <v>LAVAMANOS PORTATIL EN ACERO INOXIDABLE (DONACION)</v>
      </c>
      <c r="C18483" s="6">
        <v>526900</v>
      </c>
      <c r="D18483" s="5" t="s">
        <v>839</v>
      </c>
      <c r="E18483" s="5" t="str">
        <f t="shared" si="948"/>
        <v>RECURSOS FISICOS-JOSE LUIS MORA VELANDIA</v>
      </c>
      <c r="F18483" s="5"/>
      <c r="G18483" s="5"/>
    </row>
    <row r="18484" spans="1:7" ht="58.5" customHeight="1" x14ac:dyDescent="0.25">
      <c r="A18484" s="5" t="str">
        <f>"H0033992"</f>
        <v>H0033992</v>
      </c>
      <c r="B18484" s="5" t="s">
        <v>329</v>
      </c>
      <c r="C18484" s="6">
        <v>258000</v>
      </c>
      <c r="D18484" s="5" t="s">
        <v>122</v>
      </c>
      <c r="E18484" s="5" t="str">
        <f t="shared" si="948"/>
        <v>RECURSOS FISICOS-JOSE LUIS MORA VELANDIA</v>
      </c>
      <c r="F18484" s="5"/>
      <c r="G18484" s="5"/>
    </row>
    <row r="18485" spans="1:7" ht="58.5" customHeight="1" x14ac:dyDescent="0.25">
      <c r="A18485" s="5" t="str">
        <f>"H0033994"</f>
        <v>H0033994</v>
      </c>
      <c r="B18485" s="5" t="s">
        <v>329</v>
      </c>
      <c r="C18485" s="6">
        <v>258000</v>
      </c>
      <c r="D18485" s="5" t="s">
        <v>122</v>
      </c>
      <c r="E18485" s="5" t="str">
        <f t="shared" ref="E18485:E18511" si="950">"RECURSOS FISICOS-JOSE LUIS MORA VELANDIA"</f>
        <v>RECURSOS FISICOS-JOSE LUIS MORA VELANDIA</v>
      </c>
      <c r="F18485" s="5"/>
      <c r="G18485" s="5"/>
    </row>
    <row r="18486" spans="1:7" ht="58.5" customHeight="1" x14ac:dyDescent="0.25">
      <c r="A18486" s="5" t="str">
        <f>"H0033995"</f>
        <v>H0033995</v>
      </c>
      <c r="B18486" s="5" t="s">
        <v>329</v>
      </c>
      <c r="C18486" s="6">
        <v>258000</v>
      </c>
      <c r="D18486" s="5" t="s">
        <v>122</v>
      </c>
      <c r="E18486" s="5" t="str">
        <f t="shared" si="950"/>
        <v>RECURSOS FISICOS-JOSE LUIS MORA VELANDIA</v>
      </c>
      <c r="F18486" s="5"/>
      <c r="G18486" s="5"/>
    </row>
    <row r="18487" spans="1:7" ht="58.5" customHeight="1" x14ac:dyDescent="0.25">
      <c r="A18487" s="5" t="str">
        <f>"H0033996"</f>
        <v>H0033996</v>
      </c>
      <c r="B18487" s="5" t="s">
        <v>329</v>
      </c>
      <c r="C18487" s="6">
        <v>258000</v>
      </c>
      <c r="D18487" s="5" t="s">
        <v>122</v>
      </c>
      <c r="E18487" s="5" t="str">
        <f t="shared" si="950"/>
        <v>RECURSOS FISICOS-JOSE LUIS MORA VELANDIA</v>
      </c>
      <c r="F18487" s="5"/>
      <c r="G18487" s="5"/>
    </row>
    <row r="18488" spans="1:7" ht="58.5" customHeight="1" x14ac:dyDescent="0.25">
      <c r="A18488" s="5" t="str">
        <f>"H0034030"</f>
        <v>H0034030</v>
      </c>
      <c r="B18488" s="5" t="s">
        <v>329</v>
      </c>
      <c r="C18488" s="6">
        <v>258000</v>
      </c>
      <c r="D18488" s="5" t="s">
        <v>122</v>
      </c>
      <c r="E18488" s="5" t="str">
        <f t="shared" si="950"/>
        <v>RECURSOS FISICOS-JOSE LUIS MORA VELANDIA</v>
      </c>
      <c r="F18488" s="5"/>
      <c r="G18488" s="5"/>
    </row>
    <row r="18489" spans="1:7" ht="58.5" customHeight="1" x14ac:dyDescent="0.25">
      <c r="A18489" s="5" t="str">
        <f>"H0034055"</f>
        <v>H0034055</v>
      </c>
      <c r="B18489" s="5" t="str">
        <f>"PANTALLA IPS DE 43'' FHD 450 NIT 24 HR ENTRADA HDMI INCLUYE BASE CON BRAZO EXTENSIBLE"</f>
        <v>PANTALLA IPS DE 43'' FHD 450 NIT 24 HR ENTRADA HDMI INCLUYE BASE CON BRAZO EXTENSIBLE</v>
      </c>
      <c r="C18489" s="6">
        <v>2625000</v>
      </c>
      <c r="D18489" s="5" t="s">
        <v>122</v>
      </c>
      <c r="E18489" s="5" t="str">
        <f t="shared" si="950"/>
        <v>RECURSOS FISICOS-JOSE LUIS MORA VELANDIA</v>
      </c>
      <c r="F18489" s="5"/>
      <c r="G18489" s="5"/>
    </row>
    <row r="18490" spans="1:7" ht="58.5" customHeight="1" x14ac:dyDescent="0.25">
      <c r="A18490" s="5" t="str">
        <f>"H0034056"</f>
        <v>H0034056</v>
      </c>
      <c r="B18490" s="5" t="str">
        <f>"PANTALLA IPS DE 43'' FHD 450 NIT 24 HR ENTRADA HDMI INCLUYE BASE CON BRAZO EXTENSIBLE"</f>
        <v>PANTALLA IPS DE 43'' FHD 450 NIT 24 HR ENTRADA HDMI INCLUYE BASE CON BRAZO EXTENSIBLE</v>
      </c>
      <c r="C18490" s="6">
        <v>2625000</v>
      </c>
      <c r="D18490" s="5" t="s">
        <v>122</v>
      </c>
      <c r="E18490" s="5" t="str">
        <f t="shared" si="950"/>
        <v>RECURSOS FISICOS-JOSE LUIS MORA VELANDIA</v>
      </c>
      <c r="F18490" s="5"/>
      <c r="G18490" s="5"/>
    </row>
    <row r="18491" spans="1:7" ht="58.5" customHeight="1" x14ac:dyDescent="0.25">
      <c r="A18491" s="5" t="str">
        <f>"H0034074"</f>
        <v>H0034074</v>
      </c>
      <c r="B18491" s="5" t="str">
        <f>"CONCENTRADOR DE OXIGENO (DONACION)"</f>
        <v>CONCENTRADOR DE OXIGENO (DONACION)</v>
      </c>
      <c r="C18491" s="6">
        <v>3209898</v>
      </c>
      <c r="D18491" s="5" t="s">
        <v>330</v>
      </c>
      <c r="E18491" s="5" t="str">
        <f t="shared" si="950"/>
        <v>RECURSOS FISICOS-JOSE LUIS MORA VELANDIA</v>
      </c>
      <c r="F18491" s="5"/>
      <c r="G18491" s="5"/>
    </row>
    <row r="18492" spans="1:7" ht="58.5" customHeight="1" x14ac:dyDescent="0.25">
      <c r="A18492" s="5" t="str">
        <f>"H0034826"</f>
        <v>H0034826</v>
      </c>
      <c r="B18492" s="5" t="str">
        <f>"Nebulizador para desinfección ultrasonido"</f>
        <v>Nebulizador para desinfección ultrasonido</v>
      </c>
      <c r="C18492" s="6">
        <v>2400000</v>
      </c>
      <c r="D18492" s="5" t="s">
        <v>21</v>
      </c>
      <c r="E18492" s="5" t="str">
        <f t="shared" si="950"/>
        <v>RECURSOS FISICOS-JOSE LUIS MORA VELANDIA</v>
      </c>
      <c r="F18492" s="5"/>
      <c r="G18492" s="5"/>
    </row>
    <row r="18493" spans="1:7" ht="58.5" customHeight="1" x14ac:dyDescent="0.25">
      <c r="A18493" s="5" t="str">
        <f>"H0034867"</f>
        <v>H0034867</v>
      </c>
      <c r="B18493" s="5" t="str">
        <f>"COMPUTADOR PORTATIL"</f>
        <v>COMPUTADOR PORTATIL</v>
      </c>
      <c r="C18493" s="6">
        <v>5308630.43</v>
      </c>
      <c r="D18493" s="5" t="s">
        <v>24</v>
      </c>
      <c r="E18493" s="5" t="str">
        <f t="shared" si="950"/>
        <v>RECURSOS FISICOS-JOSE LUIS MORA VELANDIA</v>
      </c>
      <c r="F18493" s="5"/>
      <c r="G18493" s="5"/>
    </row>
    <row r="18494" spans="1:7" ht="58.5" customHeight="1" x14ac:dyDescent="0.25">
      <c r="A18494" s="5" t="str">
        <f>"H0034987"</f>
        <v>H0034987</v>
      </c>
      <c r="B18494" s="5" t="s">
        <v>277</v>
      </c>
      <c r="C18494" s="6">
        <v>1044820</v>
      </c>
      <c r="D18494" s="5" t="s">
        <v>22</v>
      </c>
      <c r="E18494" s="5" t="str">
        <f t="shared" si="950"/>
        <v>RECURSOS FISICOS-JOSE LUIS MORA VELANDIA</v>
      </c>
      <c r="F18494" s="5"/>
      <c r="G18494" s="5"/>
    </row>
    <row r="18495" spans="1:7" ht="58.5" customHeight="1" x14ac:dyDescent="0.25">
      <c r="A18495" s="5" t="str">
        <f>"H0035302"</f>
        <v>H0035302</v>
      </c>
      <c r="B18495" s="5" t="str">
        <f>"AIRE ACONDICIONADO DUAL INVERTER DE 24.000 BTU MARCA LG CON KIT DE TUBERIA DE 3 METROS"</f>
        <v>AIRE ACONDICIONADO DUAL INVERTER DE 24.000 BTU MARCA LG CON KIT DE TUBERIA DE 3 METROS</v>
      </c>
      <c r="C18495" s="6">
        <v>3554530</v>
      </c>
      <c r="D18495" s="5" t="s">
        <v>158</v>
      </c>
      <c r="E18495" s="5" t="str">
        <f t="shared" si="950"/>
        <v>RECURSOS FISICOS-JOSE LUIS MORA VELANDIA</v>
      </c>
      <c r="F18495" s="5"/>
      <c r="G18495" s="5" t="str">
        <f>"011TAWMF7881"</f>
        <v>011TAWMF7881</v>
      </c>
    </row>
    <row r="18496" spans="1:7" ht="58.5" customHeight="1" x14ac:dyDescent="0.25">
      <c r="A18496" s="5" t="str">
        <f>"H0035711"</f>
        <v>H0035711</v>
      </c>
      <c r="B18496" s="5" t="str">
        <f>"SILLA GERENTE NIZA MEC. BASCULANTE CON BRAZOS."</f>
        <v>SILLA GERENTE NIZA MEC. BASCULANTE CON BRAZOS.</v>
      </c>
      <c r="C18496" s="6">
        <v>639999.86</v>
      </c>
      <c r="D18496" s="5" t="s">
        <v>235</v>
      </c>
      <c r="E18496" s="5" t="str">
        <f t="shared" si="950"/>
        <v>RECURSOS FISICOS-JOSE LUIS MORA VELANDIA</v>
      </c>
      <c r="F18496" s="5"/>
      <c r="G18496" s="5"/>
    </row>
    <row r="18497" spans="1:7" ht="58.5" customHeight="1" x14ac:dyDescent="0.25">
      <c r="A18497" s="5" t="str">
        <f>"H0035712"</f>
        <v>H0035712</v>
      </c>
      <c r="B18497" s="5" t="str">
        <f>"SILLA GERENTE NIZA MEC. BASCULANTE CON BRAZOS."</f>
        <v>SILLA GERENTE NIZA MEC. BASCULANTE CON BRAZOS.</v>
      </c>
      <c r="C18497" s="6">
        <v>639999.86</v>
      </c>
      <c r="D18497" s="5" t="s">
        <v>235</v>
      </c>
      <c r="E18497" s="5" t="str">
        <f t="shared" si="950"/>
        <v>RECURSOS FISICOS-JOSE LUIS MORA VELANDIA</v>
      </c>
      <c r="F18497" s="5"/>
      <c r="G18497" s="5"/>
    </row>
    <row r="18498" spans="1:7" ht="58.5" customHeight="1" x14ac:dyDescent="0.25">
      <c r="A18498" s="5" t="str">
        <f>"H0035713"</f>
        <v>H0035713</v>
      </c>
      <c r="B18498" s="5" t="str">
        <f>"SILLA GERENTE NIZA MEC. BASCULANTE CON BRAZOS."</f>
        <v>SILLA GERENTE NIZA MEC. BASCULANTE CON BRAZOS.</v>
      </c>
      <c r="C18498" s="6">
        <v>639999.86</v>
      </c>
      <c r="D18498" s="5" t="s">
        <v>235</v>
      </c>
      <c r="E18498" s="5" t="str">
        <f t="shared" si="950"/>
        <v>RECURSOS FISICOS-JOSE LUIS MORA VELANDIA</v>
      </c>
      <c r="F18498" s="5"/>
      <c r="G18498" s="5"/>
    </row>
    <row r="18499" spans="1:7" ht="58.5" customHeight="1" x14ac:dyDescent="0.25">
      <c r="A18499" s="5" t="str">
        <f>"H0035714"</f>
        <v>H0035714</v>
      </c>
      <c r="B18499" s="5" t="str">
        <f>"SILLA GERENTE NIZA MEC. BASCULANTE CON BRAZOS."</f>
        <v>SILLA GERENTE NIZA MEC. BASCULANTE CON BRAZOS.</v>
      </c>
      <c r="C18499" s="6">
        <v>639999.86</v>
      </c>
      <c r="D18499" s="5" t="s">
        <v>235</v>
      </c>
      <c r="E18499" s="5" t="str">
        <f t="shared" si="950"/>
        <v>RECURSOS FISICOS-JOSE LUIS MORA VELANDIA</v>
      </c>
      <c r="F18499" s="5"/>
      <c r="G18499" s="5"/>
    </row>
    <row r="18500" spans="1:7" ht="58.5" customHeight="1" x14ac:dyDescent="0.25">
      <c r="A18500" s="5" t="str">
        <f>"H0035955"</f>
        <v>H0035955</v>
      </c>
      <c r="B18500" s="5" t="str">
        <f>"SILLA GERENTE NIZA MEC. BASCULANTE CON BRAZOS."</f>
        <v>SILLA GERENTE NIZA MEC. BASCULANTE CON BRAZOS.</v>
      </c>
      <c r="C18500" s="6">
        <v>639999.86</v>
      </c>
      <c r="D18500" s="5" t="s">
        <v>840</v>
      </c>
      <c r="E18500" s="5" t="str">
        <f t="shared" si="950"/>
        <v>RECURSOS FISICOS-JOSE LUIS MORA VELANDIA</v>
      </c>
      <c r="F18500" s="5"/>
      <c r="G18500" s="5"/>
    </row>
    <row r="18501" spans="1:7" ht="58.5" customHeight="1" x14ac:dyDescent="0.25">
      <c r="A18501" s="5" t="str">
        <f>"H0036400"</f>
        <v>H0036400</v>
      </c>
      <c r="B18501" s="5" t="str">
        <f>"VENTILADOR DE PEDESTAL"</f>
        <v>VENTILADOR DE PEDESTAL</v>
      </c>
      <c r="C18501" s="6">
        <v>358260</v>
      </c>
      <c r="D18501" s="5" t="s">
        <v>131</v>
      </c>
      <c r="E18501" s="5" t="str">
        <f t="shared" si="950"/>
        <v>RECURSOS FISICOS-JOSE LUIS MORA VELANDIA</v>
      </c>
      <c r="F18501" s="5"/>
      <c r="G18501" s="5"/>
    </row>
    <row r="18502" spans="1:7" ht="58.5" customHeight="1" x14ac:dyDescent="0.25">
      <c r="A18502" s="5" t="str">
        <f>"H0036578"</f>
        <v>H0036578</v>
      </c>
      <c r="B18502" s="5" t="str">
        <f>"ESCANER DE ALTA VELOCIDAD 35 PPM"</f>
        <v>ESCANER DE ALTA VELOCIDAD 35 PPM</v>
      </c>
      <c r="C18502" s="6">
        <v>2401636.36</v>
      </c>
      <c r="D18502" s="5" t="s">
        <v>199</v>
      </c>
      <c r="E18502" s="5" t="str">
        <f t="shared" si="950"/>
        <v>RECURSOS FISICOS-JOSE LUIS MORA VELANDIA</v>
      </c>
      <c r="F18502" s="5"/>
      <c r="G18502" s="5"/>
    </row>
    <row r="18503" spans="1:7" ht="58.5" customHeight="1" x14ac:dyDescent="0.25">
      <c r="A18503" s="5" t="str">
        <f>"H0036899"</f>
        <v>H0036899</v>
      </c>
      <c r="B18503" s="5" t="str">
        <f>"AIRE ACONDICIONADO TIPO MINISPLIT CAPACIDAD 18.000 BTU TECNOLOGIA INVERTER DUAL"</f>
        <v>AIRE ACONDICIONADO TIPO MINISPLIT CAPACIDAD 18.000 BTU TECNOLOGIA INVERTER DUAL</v>
      </c>
      <c r="C18503" s="6">
        <v>3900000</v>
      </c>
      <c r="D18503" s="5" t="s">
        <v>28</v>
      </c>
      <c r="E18503" s="5" t="str">
        <f t="shared" si="950"/>
        <v>RECURSOS FISICOS-JOSE LUIS MORA VELANDIA</v>
      </c>
      <c r="F18503" s="5"/>
      <c r="G18503" s="5"/>
    </row>
    <row r="18504" spans="1:7" ht="58.5" customHeight="1" x14ac:dyDescent="0.25">
      <c r="A18504" s="5" t="str">
        <f>"H0036904"</f>
        <v>H0036904</v>
      </c>
      <c r="B18504" s="5" t="str">
        <f>"AIRE ACONDICIONADO TIPO MINISPLIT CAPACIDAD 18.000 BTU TECNOLOGIA INVERTER DUAL"</f>
        <v>AIRE ACONDICIONADO TIPO MINISPLIT CAPACIDAD 18.000 BTU TECNOLOGIA INVERTER DUAL</v>
      </c>
      <c r="C18504" s="6">
        <v>3900000</v>
      </c>
      <c r="D18504" s="5" t="s">
        <v>28</v>
      </c>
      <c r="E18504" s="5" t="str">
        <f t="shared" si="950"/>
        <v>RECURSOS FISICOS-JOSE LUIS MORA VELANDIA</v>
      </c>
      <c r="F18504" s="5"/>
      <c r="G18504" s="5"/>
    </row>
    <row r="18505" spans="1:7" ht="58.5" customHeight="1" x14ac:dyDescent="0.25">
      <c r="A18505" s="5" t="str">
        <f>"H0037579"</f>
        <v>H0037579</v>
      </c>
      <c r="B18505"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505" s="6">
        <v>1837598</v>
      </c>
      <c r="D18505" s="5" t="s">
        <v>29</v>
      </c>
      <c r="E18505" s="5" t="str">
        <f t="shared" si="950"/>
        <v>RECURSOS FISICOS-JOSE LUIS MORA VELANDIA</v>
      </c>
      <c r="F18505" s="5"/>
      <c r="G18505" s="5"/>
    </row>
    <row r="18506" spans="1:7" ht="58.5" customHeight="1" x14ac:dyDescent="0.25">
      <c r="A18506" s="5" t="str">
        <f>"H0037671"</f>
        <v>H0037671</v>
      </c>
      <c r="B18506" s="5" t="str">
        <f t="shared" ref="B18506:B18511" si="951">"SILLA GERENTE NIZA MEC. BASCULANTE CON BRAZOS."</f>
        <v>SILLA GERENTE NIZA MEC. BASCULANTE CON BRAZOS.</v>
      </c>
      <c r="C18506" s="6">
        <v>710000.01</v>
      </c>
      <c r="D18506" s="5" t="s">
        <v>30</v>
      </c>
      <c r="E18506" s="5" t="str">
        <f t="shared" si="950"/>
        <v>RECURSOS FISICOS-JOSE LUIS MORA VELANDIA</v>
      </c>
      <c r="F18506" s="5"/>
      <c r="G18506" s="5"/>
    </row>
    <row r="18507" spans="1:7" ht="58.5" customHeight="1" x14ac:dyDescent="0.25">
      <c r="A18507" s="5" t="str">
        <f>"H0037672"</f>
        <v>H0037672</v>
      </c>
      <c r="B18507" s="5" t="str">
        <f t="shared" si="951"/>
        <v>SILLA GERENTE NIZA MEC. BASCULANTE CON BRAZOS.</v>
      </c>
      <c r="C18507" s="6">
        <v>710000.01</v>
      </c>
      <c r="D18507" s="5" t="s">
        <v>30</v>
      </c>
      <c r="E18507" s="5" t="str">
        <f t="shared" si="950"/>
        <v>RECURSOS FISICOS-JOSE LUIS MORA VELANDIA</v>
      </c>
      <c r="F18507" s="5"/>
      <c r="G18507" s="5"/>
    </row>
    <row r="18508" spans="1:7" ht="58.5" customHeight="1" x14ac:dyDescent="0.25">
      <c r="A18508" s="5" t="str">
        <f>"H0037673"</f>
        <v>H0037673</v>
      </c>
      <c r="B18508" s="5" t="str">
        <f t="shared" si="951"/>
        <v>SILLA GERENTE NIZA MEC. BASCULANTE CON BRAZOS.</v>
      </c>
      <c r="C18508" s="6">
        <v>710000.01</v>
      </c>
      <c r="D18508" s="5" t="s">
        <v>30</v>
      </c>
      <c r="E18508" s="5" t="str">
        <f t="shared" si="950"/>
        <v>RECURSOS FISICOS-JOSE LUIS MORA VELANDIA</v>
      </c>
      <c r="F18508" s="5"/>
      <c r="G18508" s="5"/>
    </row>
    <row r="18509" spans="1:7" ht="58.5" customHeight="1" x14ac:dyDescent="0.25">
      <c r="A18509" s="5" t="str">
        <f>"H0037678"</f>
        <v>H0037678</v>
      </c>
      <c r="B18509" s="5" t="str">
        <f t="shared" si="951"/>
        <v>SILLA GERENTE NIZA MEC. BASCULANTE CON BRAZOS.</v>
      </c>
      <c r="C18509" s="6">
        <v>710000.01</v>
      </c>
      <c r="D18509" s="5" t="s">
        <v>30</v>
      </c>
      <c r="E18509" s="5" t="str">
        <f t="shared" si="950"/>
        <v>RECURSOS FISICOS-JOSE LUIS MORA VELANDIA</v>
      </c>
      <c r="F18509" s="5"/>
      <c r="G18509" s="5"/>
    </row>
    <row r="18510" spans="1:7" ht="58.5" customHeight="1" x14ac:dyDescent="0.25">
      <c r="A18510" s="5" t="str">
        <f>"H0037679"</f>
        <v>H0037679</v>
      </c>
      <c r="B18510" s="5" t="str">
        <f t="shared" si="951"/>
        <v>SILLA GERENTE NIZA MEC. BASCULANTE CON BRAZOS.</v>
      </c>
      <c r="C18510" s="6">
        <v>710000.01</v>
      </c>
      <c r="D18510" s="5" t="s">
        <v>30</v>
      </c>
      <c r="E18510" s="5" t="str">
        <f t="shared" si="950"/>
        <v>RECURSOS FISICOS-JOSE LUIS MORA VELANDIA</v>
      </c>
      <c r="F18510" s="5"/>
      <c r="G18510" s="5"/>
    </row>
    <row r="18511" spans="1:7" ht="58.5" customHeight="1" x14ac:dyDescent="0.25">
      <c r="A18511" s="5" t="str">
        <f>"H0037680"</f>
        <v>H0037680</v>
      </c>
      <c r="B18511" s="5" t="str">
        <f t="shared" si="951"/>
        <v>SILLA GERENTE NIZA MEC. BASCULANTE CON BRAZOS.</v>
      </c>
      <c r="C18511" s="6">
        <v>710000.01</v>
      </c>
      <c r="D18511" s="5" t="s">
        <v>30</v>
      </c>
      <c r="E18511" s="5" t="str">
        <f t="shared" si="950"/>
        <v>RECURSOS FISICOS-JOSE LUIS MORA VELANDIA</v>
      </c>
      <c r="F18511" s="5"/>
      <c r="G18511" s="5"/>
    </row>
    <row r="18512" spans="1:7" ht="58.5" customHeight="1" x14ac:dyDescent="0.25">
      <c r="A18512" s="5" t="str">
        <f>"B0004055"</f>
        <v>B0004055</v>
      </c>
      <c r="B18512" s="5" t="str">
        <f>"BALA OXIGENO"</f>
        <v>BALA OXIGENO</v>
      </c>
      <c r="C18512" s="6">
        <v>37323.339999999997</v>
      </c>
      <c r="D18512" s="5"/>
      <c r="E18512" s="5" t="str">
        <f t="shared" ref="E18512:E18543" si="952">"ALMACEN- SANDRA MILENA BUITRAGO ROJAS"</f>
        <v>ALMACEN- SANDRA MILENA BUITRAGO ROJAS</v>
      </c>
      <c r="F18512" s="5" t="str">
        <f>"Descripcion:BALA DE OXIGENO Estado: Bueno Placa anterior: 000002696 Material: METALICO Color: BLANCO Referencia:  Observacion:  Placa padre:  Tipo adquisicion : Entidad"</f>
        <v>Descripcion:BALA DE OXIGENO Estado: Bueno Placa anterior: 000002696 Material: METALICO Color: BLANCO Referencia:  Observacion:  Placa padre:  Tipo adquisicion : Entidad</v>
      </c>
      <c r="G18512" s="5"/>
    </row>
    <row r="18513" spans="1:7" ht="58.5" customHeight="1" x14ac:dyDescent="0.25">
      <c r="A18513" s="5" t="str">
        <f>"B0004502"</f>
        <v>B0004502</v>
      </c>
      <c r="B18513" s="5" t="str">
        <f>"LICENCIA OFFICE HOME AND BUSINEES"</f>
        <v>LICENCIA OFFICE HOME AND BUSINEES</v>
      </c>
      <c r="C18513" s="6">
        <v>440800</v>
      </c>
      <c r="D18513" s="5" t="s">
        <v>1</v>
      </c>
      <c r="E18513" s="5" t="str">
        <f t="shared" si="952"/>
        <v>ALMACEN- SANDRA MILENA BUITRAGO ROJAS</v>
      </c>
      <c r="F18513" s="5" t="str">
        <f>"Descripcion:LICENCIA OFFICE HOME AND BUSIMESS 2013 Estado: Bueno Placa anterior: 000030604 Material:  Color:  Referencia:  Observacion:  Placa padre:  Tipo adquisicion : Entidad"</f>
        <v>Descripcion:LICENCIA OFFICE HOME AND BUSIMESS 2013 Estado: Bueno Placa anterior: 000030604 Material:  Color:  Referencia:  Observacion:  Placa padre:  Tipo adquisicion : Entidad</v>
      </c>
      <c r="G18513" s="5"/>
    </row>
    <row r="18514" spans="1:7" ht="58.5" customHeight="1" x14ac:dyDescent="0.25">
      <c r="A18514" s="5" t="str">
        <f>"B0004506"</f>
        <v>B0004506</v>
      </c>
      <c r="B18514" s="5" t="str">
        <f>"LICENCIA OFFICE HOME AND BUSINEES"</f>
        <v>LICENCIA OFFICE HOME AND BUSINEES</v>
      </c>
      <c r="C18514" s="6">
        <v>440800</v>
      </c>
      <c r="D18514" s="5" t="s">
        <v>1</v>
      </c>
      <c r="E18514" s="5" t="str">
        <f t="shared" si="952"/>
        <v>ALMACEN- SANDRA MILENA BUITRAGO ROJAS</v>
      </c>
      <c r="F18514" s="5" t="str">
        <f>"Descripcion:LICENCIA OFFICE HOME AND BUSIMESS 2013 Estado: Bueno Placa anterior: 000030615 Material:  Color:  Referencia:  Observacion:  Placa padre:  Tipo adquisicion : Entidad"</f>
        <v>Descripcion:LICENCIA OFFICE HOME AND BUSIMESS 2013 Estado: Bueno Placa anterior: 000030615 Material:  Color:  Referencia:  Observacion:  Placa padre:  Tipo adquisicion : Entidad</v>
      </c>
      <c r="G18514" s="5"/>
    </row>
    <row r="18515" spans="1:7" ht="58.5" customHeight="1" x14ac:dyDescent="0.25">
      <c r="A18515" s="5" t="str">
        <f>"H0006739"</f>
        <v>H0006739</v>
      </c>
      <c r="B18515" s="5" t="str">
        <f>"BALANZA ANALOGA DE PISO (PESO) SIN TALLIMETRO"</f>
        <v>BALANZA ANALOGA DE PISO (PESO) SIN TALLIMETRO</v>
      </c>
      <c r="C18515" s="6">
        <v>98600</v>
      </c>
      <c r="D18515" s="5"/>
      <c r="E18515" s="5" t="str">
        <f t="shared" si="952"/>
        <v>ALMACEN- SANDRA MILENA BUITRAGO ROJAS</v>
      </c>
      <c r="F18515" s="5" t="str">
        <f>"Descripcion:BALANZA DE PISO Estado: Malo Placa anterior: 000033238 Material: METAL Color: AZUL Referencia:  Observacion:  Placa padre:  Tipo adquisicion : Entidad"</f>
        <v>Descripcion:BALANZA DE PISO Estado: Malo Placa anterior: 000033238 Material: METAL Color: AZUL Referencia:  Observacion:  Placa padre:  Tipo adquisicion : Entidad</v>
      </c>
      <c r="G18515" s="5"/>
    </row>
    <row r="18516" spans="1:7" ht="58.5" customHeight="1" x14ac:dyDescent="0.25">
      <c r="A18516" s="5" t="str">
        <f>"H0006740"</f>
        <v>H0006740</v>
      </c>
      <c r="B18516" s="5" t="str">
        <f>"ESTANTE METALICO 5 ENTREPAÑOS"</f>
        <v>ESTANTE METALICO 5 ENTREPAÑOS</v>
      </c>
      <c r="C18516" s="6">
        <v>8840.07</v>
      </c>
      <c r="D18516" s="5"/>
      <c r="E18516" s="5" t="str">
        <f t="shared" si="952"/>
        <v>ALMACEN- SANDRA MILENA BUITRAGO ROJAS</v>
      </c>
      <c r="F18516" s="5" t="str">
        <f>"Descripcion:ESTANTE METALICO DE 5 ENTREPAÑOS Estado: Bueno Placa anterior: 000002314 Material: METALICO Color: GRIS Referencia:  Observacion:  Placa padre:  Tipo adquisicion : Entidad"</f>
        <v>Descripcion:ESTANTE METALICO DE 5 ENTREPAÑOS Estado: Bueno Placa anterior: 000002314 Material: METALICO Color: GRIS Referencia:  Observacion:  Placa padre:  Tipo adquisicion : Entidad</v>
      </c>
      <c r="G18516" s="5"/>
    </row>
    <row r="18517" spans="1:7" ht="58.5" customHeight="1" x14ac:dyDescent="0.25">
      <c r="A18517" s="5" t="str">
        <f>"H0007892"</f>
        <v>H0007892</v>
      </c>
      <c r="B18517" s="5" t="str">
        <f>"SILLA INTERLOCUTORA (FIJA) SIN BRAZOS"</f>
        <v>SILLA INTERLOCUTORA (FIJA) SIN BRAZOS</v>
      </c>
      <c r="C18517" s="6">
        <v>9679.7000000000007</v>
      </c>
      <c r="D18517" s="5"/>
      <c r="E18517" s="5" t="str">
        <f t="shared" si="952"/>
        <v>ALMACEN- SANDRA MILENA BUITRAGO ROJAS</v>
      </c>
      <c r="F18517" s="5" t="str">
        <f>"Descripcion:SILLA Estado: Malo Placa anterior: 000000994 Material:  Color: MARRON Referencia:  Observacion: AUTORIZADO CONCILIAR EN CRUCE GENERAL Placa padre:  Tipo adquisicion : Entidad"</f>
        <v>Descripcion:SILLA Estado: Malo Placa anterior: 000000994 Material:  Color: MARRON Referencia:  Observacion: AUTORIZADO CONCILIAR EN CRUCE GENERAL Placa padre:  Tipo adquisicion : Entidad</v>
      </c>
      <c r="G18517" s="5"/>
    </row>
    <row r="18518" spans="1:7" ht="58.5" customHeight="1" x14ac:dyDescent="0.25">
      <c r="A18518" s="5" t="str">
        <f>"H0009029"</f>
        <v>H0009029</v>
      </c>
      <c r="B18518" s="5" t="str">
        <f>"ESTANTE METALICO 6 ENTREPAÑOS"</f>
        <v>ESTANTE METALICO 6 ENTREPAÑOS</v>
      </c>
      <c r="C18518" s="6">
        <v>8840.07</v>
      </c>
      <c r="D18518" s="5"/>
      <c r="E18518" s="5" t="str">
        <f t="shared" si="952"/>
        <v>ALMACEN- SANDRA MILENA BUITRAGO ROJAS</v>
      </c>
      <c r="F18518" s="5" t="str">
        <f>"Descripcion:ESTANTE METALICO DE 6 ENTREPAÑOS Estado: Bueno Placa anterior: 000002315 Material: METAL Color: GRIS Referencia:  Observacion:  Placa padre:  Tipo adquisicion : Entidad"</f>
        <v>Descripcion:ESTANTE METALICO DE 6 ENTREPAÑOS Estado: Bueno Placa anterior: 000002315 Material: METAL Color: GRIS Referencia:  Observacion:  Placa padre:  Tipo adquisicion : Entidad</v>
      </c>
      <c r="G18518" s="5"/>
    </row>
    <row r="18519" spans="1:7" ht="58.5" customHeight="1" x14ac:dyDescent="0.25">
      <c r="A18519" s="5" t="str">
        <f>"H0013280"</f>
        <v>H0013280</v>
      </c>
      <c r="B18519" s="5" t="str">
        <f>"MESA DE MADERA PARA COMPUTADOR"</f>
        <v>MESA DE MADERA PARA COMPUTADOR</v>
      </c>
      <c r="C18519" s="6">
        <v>151193.9</v>
      </c>
      <c r="D18519" s="5"/>
      <c r="E18519" s="5" t="str">
        <f t="shared" si="952"/>
        <v>ALMACEN- SANDRA MILENA BUITRAGO ROJAS</v>
      </c>
      <c r="F18519" s="5" t="str">
        <f>"Descripcion: MESA DE MADERA ESTRUCTURA METALICA MESON EN FORMICA74X1.50X60 CM Estado: Bueno Placa anterior: 000000791 Material: MADERA Color: COLOR MADERA CLARO Referencia:  Observacion:  Placa padre: Tipo adquisicion: Entidad"</f>
        <v>Descripcion: MESA DE MADERA ESTRUCTURA METALICA MESON EN FORMICA74X1.50X60 CM Estado: Bueno Placa anterior: 000000791 Material: MADERA Color: COLOR MADERA CLARO Referencia:  Observacion:  Placa padre: Tipo adquisicion: Entidad</v>
      </c>
      <c r="G18519" s="5"/>
    </row>
    <row r="18520" spans="1:7" ht="58.5" customHeight="1" x14ac:dyDescent="0.25">
      <c r="A18520" s="5" t="str">
        <f>"H0015821"</f>
        <v>H0015821</v>
      </c>
      <c r="B18520" s="5" t="str">
        <f>"CPU"</f>
        <v>CPU</v>
      </c>
      <c r="C18520" s="6">
        <v>1830900</v>
      </c>
      <c r="D18520" s="5"/>
      <c r="E18520" s="5" t="str">
        <f t="shared" si="952"/>
        <v>ALMACEN- SANDRA MILENA BUITRAGO ROJAS</v>
      </c>
      <c r="F18520" s="5" t="str">
        <f>"Descripcion:CPU Estado: Obsoleto Placa anterior: 000025212 Material: PASTA Color: NEGRO Y PLATEADO Referencia:  Observacion:  Placa padre:  Tipo adquisicion : Entidad"</f>
        <v>Descripcion:CPU Estado: Obsoleto Placa anterior: 000025212 Material: PASTA Color: NEGRO Y PLATEADO Referencia:  Observacion:  Placa padre:  Tipo adquisicion : Entidad</v>
      </c>
      <c r="G18520" s="5"/>
    </row>
    <row r="18521" spans="1:7" ht="58.5" customHeight="1" x14ac:dyDescent="0.25">
      <c r="A18521" s="5" t="str">
        <f>"H0016686"</f>
        <v>H0016686</v>
      </c>
      <c r="B18521" s="5" t="str">
        <f>"ESTANTE METALICO 5 ENTREPAÑOS"</f>
        <v>ESTANTE METALICO 5 ENTREPAÑOS</v>
      </c>
      <c r="C18521" s="6">
        <v>170000</v>
      </c>
      <c r="D18521" s="5"/>
      <c r="E18521" s="5" t="str">
        <f t="shared" si="952"/>
        <v>ALMACEN- SANDRA MILENA BUITRAGO ROJAS</v>
      </c>
      <c r="F18521" s="5" t="str">
        <f>"Descripcion:ESTANTE METALICO 5 ENTREPAÑOS Estado: Bueno Placa anterior: 000022184 Material: METALICO Color: GRIS Referencia:  Observacion:  Placa padre:  Tipo adquisicion : Entidad"</f>
        <v>Descripcion:ESTANTE METALICO 5 ENTREPAÑOS Estado: Bueno Placa anterior: 000022184 Material: METALICO Color: GRIS Referencia:  Observacion:  Placa padre:  Tipo adquisicion : Entidad</v>
      </c>
      <c r="G18521" s="5"/>
    </row>
    <row r="18522" spans="1:7" ht="58.5" customHeight="1" x14ac:dyDescent="0.25">
      <c r="A18522" s="5" t="str">
        <f>"H0016687"</f>
        <v>H0016687</v>
      </c>
      <c r="B18522" s="5" t="str">
        <f>"ESTANTE METALICO 6 ENTREPAÑOS"</f>
        <v>ESTANTE METALICO 6 ENTREPAÑOS</v>
      </c>
      <c r="C18522" s="6">
        <v>295800</v>
      </c>
      <c r="D18522" s="5"/>
      <c r="E18522" s="5" t="str">
        <f t="shared" si="952"/>
        <v>ALMACEN- SANDRA MILENA BUITRAGO ROJAS</v>
      </c>
      <c r="F18522" s="5" t="str">
        <f>"Descripcion:ESTANTES EN LAMINA M METALICOS 2.000X92X0.40 CON ENTREPAÑOS Estado: Bueno Placa anterior: 000026361 Material: METALICO Color: GRIS Referencia:  Observacion:  Placa padre:  Tipo adquisicion : Entidad"</f>
        <v>Descripcion:ESTANTES EN LAMINA M METALICOS 2.000X92X0.40 CON ENTREPAÑOS Estado: Bueno Placa anterior: 000026361 Material: METALICO Color: GRIS Referencia:  Observacion:  Placa padre:  Tipo adquisicion : Entidad</v>
      </c>
      <c r="G18522" s="5"/>
    </row>
    <row r="18523" spans="1:7" ht="58.5" customHeight="1" x14ac:dyDescent="0.25">
      <c r="A18523" s="5" t="str">
        <f>"H0016688"</f>
        <v>H0016688</v>
      </c>
      <c r="B18523" s="5" t="str">
        <f>"ESTANTE METALICO 6 ENTREPAÑOS"</f>
        <v>ESTANTE METALICO 6 ENTREPAÑOS</v>
      </c>
      <c r="C18523" s="6">
        <v>295800</v>
      </c>
      <c r="D18523" s="5"/>
      <c r="E18523" s="5" t="str">
        <f t="shared" si="952"/>
        <v>ALMACEN- SANDRA MILENA BUITRAGO ROJAS</v>
      </c>
      <c r="F18523" s="5" t="str">
        <f>"Descripcion:ESTANTES EN LAMINA M METALICOS 2.000X92X0.40 CON ENTREPAÑOS Estado: Bueno Placa anterior: 000026362 Material: METALICO Color: GRIS Referencia:  Observacion:  Placa padre:  Tipo adquisicion : Entidad"</f>
        <v>Descripcion:ESTANTES EN LAMINA M METALICOS 2.000X92X0.40 CON ENTREPAÑOS Estado: Bueno Placa anterior: 000026362 Material: METALICO Color: GRIS Referencia:  Observacion:  Placa padre:  Tipo adquisicion : Entidad</v>
      </c>
      <c r="G18523" s="5"/>
    </row>
    <row r="18524" spans="1:7" ht="58.5" customHeight="1" x14ac:dyDescent="0.25">
      <c r="A18524" s="5" t="str">
        <f>"H0016690"</f>
        <v>H0016690</v>
      </c>
      <c r="B18524" s="5" t="str">
        <f>"ESTANTE METALICO 5 ENTREPAÑOS"</f>
        <v>ESTANTE METALICO 5 ENTREPAÑOS</v>
      </c>
      <c r="C18524" s="6">
        <v>170000</v>
      </c>
      <c r="D18524" s="5"/>
      <c r="E18524" s="5" t="str">
        <f t="shared" si="952"/>
        <v>ALMACEN- SANDRA MILENA BUITRAGO ROJAS</v>
      </c>
      <c r="F18524" s="5" t="str">
        <f>"Descripcion:ESTANTE METALICO 5 ENTREPAÑOS Estado: Bueno Placa anterior: 000022182 Material: METALICO Color: GRIS Referencia:  Observacion:  Placa padre:  Tipo adquisicion : Entidad"</f>
        <v>Descripcion:ESTANTE METALICO 5 ENTREPAÑOS Estado: Bueno Placa anterior: 000022182 Material: METALICO Color: GRIS Referencia:  Observacion:  Placa padre:  Tipo adquisicion : Entidad</v>
      </c>
      <c r="G18524" s="5"/>
    </row>
    <row r="18525" spans="1:7" ht="58.5" customHeight="1" x14ac:dyDescent="0.25">
      <c r="A18525" s="5" t="str">
        <f>"H0016691"</f>
        <v>H0016691</v>
      </c>
      <c r="B18525" s="5" t="str">
        <f>"ESTANTE METALICO 5 ENTREPAÑOS"</f>
        <v>ESTANTE METALICO 5 ENTREPAÑOS</v>
      </c>
      <c r="C18525" s="6">
        <v>170000</v>
      </c>
      <c r="D18525" s="5"/>
      <c r="E18525" s="5" t="str">
        <f t="shared" si="952"/>
        <v>ALMACEN- SANDRA MILENA BUITRAGO ROJAS</v>
      </c>
      <c r="F18525" s="5" t="str">
        <f>"Descripcion:ESTANTE METALICO 5 ENTREPAÑOS Estado: Bueno Placa anterior: 000022183 Material: METALICO Color: GRIS Referencia:  Observacion:  Placa padre:  Tipo adquisicion : Entidad"</f>
        <v>Descripcion:ESTANTE METALICO 5 ENTREPAÑOS Estado: Bueno Placa anterior: 000022183 Material: METALICO Color: GRIS Referencia:  Observacion:  Placa padre:  Tipo adquisicion : Entidad</v>
      </c>
      <c r="G18525" s="5"/>
    </row>
    <row r="18526" spans="1:7" ht="58.5" customHeight="1" x14ac:dyDescent="0.25">
      <c r="A18526" s="5" t="str">
        <f>"H0016692"</f>
        <v>H0016692</v>
      </c>
      <c r="B18526" s="5" t="str">
        <f>"ESTANTE METALICO 6 ENTREPAÑOS"</f>
        <v>ESTANTE METALICO 6 ENTREPAÑOS</v>
      </c>
      <c r="C18526" s="6">
        <v>27590.38</v>
      </c>
      <c r="D18526" s="5"/>
      <c r="E18526" s="5" t="str">
        <f t="shared" si="952"/>
        <v>ALMACEN- SANDRA MILENA BUITRAGO ROJAS</v>
      </c>
      <c r="F18526" s="5" t="str">
        <f>"Descripcion:ESTANTES EN LAMINA M METALICOS 2.000X92X0.40 CON ENTREPAÑOS Estado: Bueno Placa anterior: 000001431 Material: METALICO Color: GRIS Referencia:  Observacion:  Placa padre:  Tipo adquisicion : Entidad"</f>
        <v>Descripcion:ESTANTES EN LAMINA M METALICOS 2.000X92X0.40 CON ENTREPAÑOS Estado: Bueno Placa anterior: 000001431 Material: METALICO Color: GRIS Referencia:  Observacion:  Placa padre:  Tipo adquisicion : Entidad</v>
      </c>
      <c r="G18526" s="5"/>
    </row>
    <row r="18527" spans="1:7" ht="58.5" customHeight="1" x14ac:dyDescent="0.25">
      <c r="A18527" s="5" t="str">
        <f>"H0016695"</f>
        <v>H0016695</v>
      </c>
      <c r="B18527" s="5" t="str">
        <f>"SILLA ERGONOMICA TIPO SECRETARIA CON BRAZOS"</f>
        <v>SILLA ERGONOMICA TIPO SECRETARIA CON BRAZOS</v>
      </c>
      <c r="C18527" s="6">
        <v>250000</v>
      </c>
      <c r="D18527" s="5" t="s">
        <v>807</v>
      </c>
      <c r="E18527" s="5" t="str">
        <f t="shared" si="952"/>
        <v>ALMACEN- SANDRA MILENA BUITRAGO ROJAS</v>
      </c>
      <c r="F18527" s="5" t="str">
        <f>"Descripcion:SILLA ERGONOMICA TIPO SECRETARIA CON BRAZOS TAPIZADO EN LONA NEGRA Estado: Bueno Placa anterior: 000028121 Material: PLASTICO Color: NEGRO Referencia:  Observacion:  Placa padre:  Tipo adquisicion : Entidad"</f>
        <v>Descripcion:SILLA ERGONOMICA TIPO SECRETARIA CON BRAZOS TAPIZADO EN LONA NEGRA Estado: Bueno Placa anterior: 000028121 Material: PLASTICO Color: NEGRO Referencia:  Observacion:  Placa padre:  Tipo adquisicion : Entidad</v>
      </c>
      <c r="G18527" s="5"/>
    </row>
    <row r="18528" spans="1:7" ht="58.5" customHeight="1" x14ac:dyDescent="0.25">
      <c r="A18528" s="5" t="str">
        <f>"H0016699"</f>
        <v>H0016699</v>
      </c>
      <c r="B18528" s="5" t="str">
        <f>"COMPUTADOR DE MESA"</f>
        <v>COMPUTADOR DE MESA</v>
      </c>
      <c r="C18528" s="6">
        <v>1807000</v>
      </c>
      <c r="D18528" s="5"/>
      <c r="E18528" s="5" t="str">
        <f t="shared" si="952"/>
        <v>ALMACEN- SANDRA MILENA BUITRAGO ROJAS</v>
      </c>
      <c r="F18528" s="5" t="str">
        <f>"Descripcion:COMPUTADOR DE ESCRITORIO CLON: INTEL CORECPU INTEL CORE 2 DUO Estado: Bueno Placa anterior: 000027793 Material: PLASTICO Color: NEGRO Referencia:  Observacion:  Placa anterior:000029407, Placa nueva=H0016700, Descripcion:MONITOR LCD 21 O SUPER"&amp; "IOR, Serial:009TPQJOD268, Marca:LG, Modelo:, Material:PLASTICO, Color:NEGRO,   Referencia: Placa padre:  Tipo adquisicion : Entidad"</f>
        <v>Descripcion:COMPUTADOR DE ESCRITORIO CLON: INTEL CORECPU INTEL CORE 2 DUO Estado: Bueno Placa anterior: 000027793 Material: PLASTICO Color: NEGRO Referencia:  Observacion:  Placa anterior:000029407, Placa nueva=H0016700, Descripcion:MONITOR LCD 21 O SUPERIOR, Serial:009TPQJOD268, Marca:LG, Modelo:, Material:PLASTICO, Color:NEGRO,   Referencia: Placa padre:  Tipo adquisicion : Entidad</v>
      </c>
      <c r="G18528" s="5"/>
    </row>
    <row r="18529" spans="1:7" ht="58.5" customHeight="1" x14ac:dyDescent="0.25">
      <c r="A18529" s="5" t="str">
        <f>"H0016700"</f>
        <v>H0016700</v>
      </c>
      <c r="B18529" s="5" t="str">
        <f>"MONITOR LCD"</f>
        <v>MONITOR LCD</v>
      </c>
      <c r="C18529" s="6">
        <v>925680</v>
      </c>
      <c r="D18529" s="5"/>
      <c r="E18529" s="5" t="str">
        <f t="shared" si="952"/>
        <v>ALMACEN- SANDRA MILENA BUITRAGO ROJAS</v>
      </c>
      <c r="F18529" s="5" t="str">
        <f>"Descripcion:MONITOR LCD 21 O SUPERIOR Estado: Bueno Placa anterior: 000029407 Material: PLASTICO Color: NEGRO Referencia:  Observacion:  Placa padre: H0016699 Tipo adquisicion : Entidad"</f>
        <v>Descripcion:MONITOR LCD 21 O SUPERIOR Estado: Bueno Placa anterior: 000029407 Material: PLASTICO Color: NEGRO Referencia:  Observacion:  Placa padre: H0016699 Tipo adquisicion : Entidad</v>
      </c>
      <c r="G18529" s="5"/>
    </row>
    <row r="18530" spans="1:7" ht="58.5" customHeight="1" x14ac:dyDescent="0.25">
      <c r="A18530" s="5" t="str">
        <f>"H0016932"</f>
        <v>H0016932</v>
      </c>
      <c r="B18530" s="5" t="str">
        <f>"ESTABILIZADOR  PARA COMPUTADOR"</f>
        <v>ESTABILIZADOR  PARA COMPUTADOR</v>
      </c>
      <c r="C18530" s="6">
        <v>72582.14</v>
      </c>
      <c r="D18530" s="5"/>
      <c r="E18530" s="5" t="str">
        <f t="shared" si="952"/>
        <v>ALMACEN- SANDRA MILENA BUITRAGO ROJAS</v>
      </c>
      <c r="F18530" s="5" t="str">
        <f>"Descripcion:ESTABILIZADOR PARA COMPUTADOR Estado: Malo Placa anterior: 000009663 Material: METAL Color: BEIGE Referencia:  Observacion:  Placa padre:  Tipo adquisicion : Entidad"</f>
        <v>Descripcion:ESTABILIZADOR PARA COMPUTADOR Estado: Malo Placa anterior: 000009663 Material: METAL Color: BEIGE Referencia:  Observacion:  Placa padre:  Tipo adquisicion : Entidad</v>
      </c>
      <c r="G18530" s="5"/>
    </row>
    <row r="18531" spans="1:7" ht="58.5" customHeight="1" x14ac:dyDescent="0.25">
      <c r="A18531" s="5" t="str">
        <f>"H0017135"</f>
        <v>H0017135</v>
      </c>
      <c r="B18531" s="5" t="str">
        <f>"LECTOR DE CODIGOS DE BARRA (ESCANER)"</f>
        <v>LECTOR DE CODIGOS DE BARRA (ESCANER)</v>
      </c>
      <c r="C18531" s="6">
        <v>130000</v>
      </c>
      <c r="D18531" s="5"/>
      <c r="E18531" s="5" t="str">
        <f t="shared" si="952"/>
        <v>ALMACEN- SANDRA MILENA BUITRAGO ROJAS</v>
      </c>
      <c r="F18531" s="5" t="str">
        <f>"Descripcion:LECTOR CODIGO DE BARRAS Estado: Excelente Placa anterior: 000036848 Material: PASTA Color: NEGRO Referencia:  Observacion:  Placa padre:  Tipo adquisicion : Donacion"</f>
        <v>Descripcion:LECTOR CODIGO DE BARRAS Estado: Excelente Placa anterior: 000036848 Material: PASTA Color: NEGRO Referencia:  Observacion:  Placa padre:  Tipo adquisicion : Donacion</v>
      </c>
      <c r="G18531" s="5"/>
    </row>
    <row r="18532" spans="1:7" ht="58.5" customHeight="1" x14ac:dyDescent="0.25">
      <c r="A18532" s="5" t="str">
        <f>"H0017192"</f>
        <v>H0017192</v>
      </c>
      <c r="B18532" s="5" t="str">
        <f>"ESTANTE METALICO 6 ENTREPAÑOS"</f>
        <v>ESTANTE METALICO 6 ENTREPAÑOS</v>
      </c>
      <c r="C18532" s="6">
        <v>8840.07</v>
      </c>
      <c r="D18532" s="5"/>
      <c r="E18532" s="5" t="str">
        <f t="shared" si="952"/>
        <v>ALMACEN- SANDRA MILENA BUITRAGO ROJAS</v>
      </c>
      <c r="F18532" s="5" t="str">
        <f>"Descripcion:ESTANTE METALICO - 6 ENTREPAÑOS Estado: Regular Placa anterior: 000002318 Material: METAL Color: GRIS Referencia:  Observacion:  Placa padre:  Tipo adquisicion : Entidad"</f>
        <v>Descripcion:ESTANTE METALICO - 6 ENTREPAÑOS Estado: Regular Placa anterior: 000002318 Material: METAL Color: GRIS Referencia:  Observacion:  Placa padre:  Tipo adquisicion : Entidad</v>
      </c>
      <c r="G18532" s="5"/>
    </row>
    <row r="18533" spans="1:7" ht="58.5" customHeight="1" x14ac:dyDescent="0.25">
      <c r="A18533" s="5" t="str">
        <f>"H0017193"</f>
        <v>H0017193</v>
      </c>
      <c r="B18533" s="5" t="str">
        <f>"ESTANTE METALICO 6 ENTREPAÑOS"</f>
        <v>ESTANTE METALICO 6 ENTREPAÑOS</v>
      </c>
      <c r="C18533" s="6">
        <v>8840.07</v>
      </c>
      <c r="D18533" s="5"/>
      <c r="E18533" s="5" t="str">
        <f t="shared" si="952"/>
        <v>ALMACEN- SANDRA MILENA BUITRAGO ROJAS</v>
      </c>
      <c r="F18533" s="5" t="str">
        <f>"Descripcion:ESTANTE METALICO - 6 ENTREPAÑOS Estado: Regular Placa anterior: 000002319 Material: METAL Color: GRIS Referencia:  Observacion:  Placa padre:  Tipo adquisicion : Entidad"</f>
        <v>Descripcion:ESTANTE METALICO - 6 ENTREPAÑOS Estado: Regular Placa anterior: 000002319 Material: METAL Color: GRIS Referencia:  Observacion:  Placa padre:  Tipo adquisicion : Entidad</v>
      </c>
      <c r="G18533" s="5"/>
    </row>
    <row r="18534" spans="1:7" ht="58.5" customHeight="1" x14ac:dyDescent="0.25">
      <c r="A18534" s="5" t="str">
        <f>"H0017194"</f>
        <v>H0017194</v>
      </c>
      <c r="B18534" s="5" t="str">
        <f>"ESTANTE METALICO 6 ENTREPAÑOS"</f>
        <v>ESTANTE METALICO 6 ENTREPAÑOS</v>
      </c>
      <c r="C18534" s="6">
        <v>8840.07</v>
      </c>
      <c r="D18534" s="5"/>
      <c r="E18534" s="5" t="str">
        <f t="shared" si="952"/>
        <v>ALMACEN- SANDRA MILENA BUITRAGO ROJAS</v>
      </c>
      <c r="F18534" s="5" t="str">
        <f>"Descripcion:ESTANTE METALICO - 6 ENTREPAÑOS Estado: Regular Placa anterior: 000002320 Material: METAL Color: GRIS Referencia:  Observacion:  Placa padre:  Tipo adquisicion : Entidad"</f>
        <v>Descripcion:ESTANTE METALICO - 6 ENTREPAÑOS Estado: Regular Placa anterior: 000002320 Material: METAL Color: GRIS Referencia:  Observacion:  Placa padre:  Tipo adquisicion : Entidad</v>
      </c>
      <c r="G18534" s="5"/>
    </row>
    <row r="18535" spans="1:7" ht="58.5" customHeight="1" x14ac:dyDescent="0.25">
      <c r="A18535" s="5" t="str">
        <f>"H0017480"</f>
        <v>H0017480</v>
      </c>
      <c r="B18535" s="5" t="str">
        <f>"ESTANTE METALICO 6 ENTREPAÑOS"</f>
        <v>ESTANTE METALICO 6 ENTREPAÑOS</v>
      </c>
      <c r="C18535" s="6">
        <v>8840.07</v>
      </c>
      <c r="D18535" s="5"/>
      <c r="E18535" s="5" t="str">
        <f t="shared" si="952"/>
        <v>ALMACEN- SANDRA MILENA BUITRAGO ROJAS</v>
      </c>
      <c r="F18535" s="5" t="str">
        <f>"Descripcion:ESTANTE METALICO Estado: Bueno Placa anterior: 000002329 Material:  Color:  Referencia:  Observacion:  Placa padre:  Tipo adquisicion : Entidad"</f>
        <v>Descripcion:ESTANTE METALICO Estado: Bueno Placa anterior: 000002329 Material:  Color:  Referencia:  Observacion:  Placa padre:  Tipo adquisicion : Entidad</v>
      </c>
      <c r="G18535" s="5"/>
    </row>
    <row r="18536" spans="1:7" ht="58.5" customHeight="1" x14ac:dyDescent="0.25">
      <c r="A18536" s="5" t="str">
        <f>"H0017603"</f>
        <v>H0017603</v>
      </c>
      <c r="B18536" s="5" t="str">
        <f>"SILLA ERGONOMICA TIPO GERENTE SIN BRAZOS"</f>
        <v>SILLA ERGONOMICA TIPO GERENTE SIN BRAZOS</v>
      </c>
      <c r="C18536" s="6">
        <v>116000</v>
      </c>
      <c r="D18536" s="5"/>
      <c r="E18536" s="5" t="str">
        <f t="shared" si="952"/>
        <v>ALMACEN- SANDRA MILENA BUITRAGO ROJAS</v>
      </c>
      <c r="F18536" s="5" t="str">
        <f>"Descripcion:SILLA ERGONOMICA TIPO GERENCIAL SIN BRAZOS Estado: Bueno Placa anterior: 000023707 Material: PLASTICO Color: NEGRO Referencia:  Observacion:  Placa padre:  Tipo adquisicion : Entidad"</f>
        <v>Descripcion:SILLA ERGONOMICA TIPO GERENCIAL SIN BRAZOS Estado: Bueno Placa anterior: 000023707 Material: PLASTICO Color: NEGRO Referencia:  Observacion:  Placa padre:  Tipo adquisicion : Entidad</v>
      </c>
      <c r="G18536" s="5"/>
    </row>
    <row r="18537" spans="1:7" ht="58.5" customHeight="1" x14ac:dyDescent="0.25">
      <c r="A18537" s="5" t="str">
        <f>"H0017605"</f>
        <v>H0017605</v>
      </c>
      <c r="B18537" s="5" t="str">
        <f>"ESTABILIZADOR (REGULADOR) DE ENERGIA 1KW"</f>
        <v>ESTABILIZADOR (REGULADOR) DE ENERGIA 1KW</v>
      </c>
      <c r="C18537" s="6">
        <v>92157.82</v>
      </c>
      <c r="D18537" s="5"/>
      <c r="E18537" s="5" t="str">
        <f t="shared" si="952"/>
        <v>ALMACEN- SANDRA MILENA BUITRAGO ROJAS</v>
      </c>
      <c r="F18537" s="5" t="str">
        <f>"Descripcion:ESTABILIZADOR Estado: Bueno Placa anterior: 000000740 Material: METALICO Color: NEGRO Referencia:  Observacion:  Placa padre:  Tipo adquisicion : Entidad"</f>
        <v>Descripcion:ESTABILIZADOR Estado: Bueno Placa anterior: 000000740 Material: METALICO Color: NEGRO Referencia:  Observacion:  Placa padre:  Tipo adquisicion : Entidad</v>
      </c>
      <c r="G18537" s="5"/>
    </row>
    <row r="18538" spans="1:7" ht="58.5" customHeight="1" x14ac:dyDescent="0.25">
      <c r="A18538" s="5" t="str">
        <f>"H0017607"</f>
        <v>H0017607</v>
      </c>
      <c r="B18538" s="5" t="str">
        <f>"MESA (SUPERFICIE) MODULAR"</f>
        <v>MESA (SUPERFICIE) MODULAR</v>
      </c>
      <c r="C18538" s="6">
        <v>103649.60000000001</v>
      </c>
      <c r="D18538" s="5"/>
      <c r="E18538" s="5" t="str">
        <f t="shared" si="952"/>
        <v>ALMACEN- SANDRA MILENA BUITRAGO ROJAS</v>
      </c>
      <c r="F18538" s="5" t="str">
        <f>"Descripcion:MESA PARA IMPRESORA Estado: Bueno Placa anterior: 000001491 Material: MADERA Color: MARRON CLARO Referencia:  Observacion:  Placa padre:  Tipo adquisicion : Entidad"</f>
        <v>Descripcion:MESA PARA IMPRESORA Estado: Bueno Placa anterior: 000001491 Material: MADERA Color: MARRON CLARO Referencia:  Observacion:  Placa padre:  Tipo adquisicion : Entidad</v>
      </c>
      <c r="G18538" s="5"/>
    </row>
    <row r="18539" spans="1:7" ht="58.5" customHeight="1" x14ac:dyDescent="0.25">
      <c r="A18539" s="5" t="str">
        <f>"H0017624"</f>
        <v>H0017624</v>
      </c>
      <c r="B18539" s="5" t="str">
        <f>"LARINGOSCOPIO ADULTO"</f>
        <v>LARINGOSCOPIO ADULTO</v>
      </c>
      <c r="C18539" s="6">
        <v>2354800</v>
      </c>
      <c r="D18539" s="5" t="s">
        <v>161</v>
      </c>
      <c r="E18539" s="5" t="str">
        <f t="shared" si="952"/>
        <v>ALMACEN- SANDRA MILENA BUITRAGO ROJAS</v>
      </c>
      <c r="F18539" s="5" t="str">
        <f>"Descripcion:LARINGOSCOPIO PARA ENTUBAR CON DOS HOJAS CURVAS: NUMERO 3 Y 4. AL MANDO LE FALTAN LAS BATERIAS Y EL LED. Y A LAS HOJAS LES HACE FALTA LOS LED. Estado: Inservible Placa anterior: 000031538 Material: METAL Color:  Referencia:  Observacion: AUTOR"&amp; "IZADO CONCILIAR EN CRUCE GENERAL Placa padre:  Tipo adquisicion : Entidad"</f>
        <v>Descripcion:LARINGOSCOPIO PARA ENTUBAR CON DOS HOJAS CURVAS: NUMERO 3 Y 4. AL MANDO LE FALTAN LAS BATERIAS Y EL LED. Y A LAS HOJAS LES HACE FALTA LOS LED. Estado: Inservible Placa anterior: 000031538 Material: METAL Color:  Referencia:  Observacion: AUTORIZADO CONCILIAR EN CRUCE GENERAL Placa padre:  Tipo adquisicion : Entidad</v>
      </c>
      <c r="G18539" s="5"/>
    </row>
    <row r="18540" spans="1:7" ht="58.5" customHeight="1" x14ac:dyDescent="0.25">
      <c r="A18540" s="5" t="str">
        <f>"H0017629"</f>
        <v>H0017629</v>
      </c>
      <c r="B18540" s="5" t="str">
        <f>"AIRE ACONDICIONADO 18000 BTU"</f>
        <v>AIRE ACONDICIONADO 18000 BTU</v>
      </c>
      <c r="C18540" s="6">
        <v>3009040</v>
      </c>
      <c r="D18540" s="5" t="s">
        <v>52</v>
      </c>
      <c r="E18540" s="5" t="str">
        <f t="shared" si="952"/>
        <v>ALMACEN- SANDRA MILENA BUITRAGO ROJAS</v>
      </c>
      <c r="F18540" s="5" t="str">
        <f>"Descripcion:EQUIPO AIRE ACONDICIONADO BTU 18000 Estado: Bueno Placa anterior: 000036398 Material: PLASTICO Color: BLANCO Referencia:  Observacion:  Placa padre:  Tipo adquisicion : Entidad"</f>
        <v>Descripcion:EQUIPO AIRE ACONDICIONADO BTU 18000 Estado: Bueno Placa anterior: 000036398 Material: PLASTICO Color: BLANCO Referencia:  Observacion:  Placa padre:  Tipo adquisicion : Entidad</v>
      </c>
      <c r="G18540" s="5" t="str">
        <f>"VM242CENC2"</f>
        <v>VM242CENC2</v>
      </c>
    </row>
    <row r="18541" spans="1:7" ht="58.5" customHeight="1" x14ac:dyDescent="0.25">
      <c r="A18541" s="5" t="str">
        <f>"H0017630"</f>
        <v>H0017630</v>
      </c>
      <c r="B18541" s="5" t="str">
        <f>"CPU"</f>
        <v>CPU</v>
      </c>
      <c r="C18541" s="6">
        <v>1940000</v>
      </c>
      <c r="D18541" s="5"/>
      <c r="E18541" s="5" t="str">
        <f t="shared" si="952"/>
        <v>ALMACEN- SANDRA MILENA BUITRAGO ROJAS</v>
      </c>
      <c r="F18541" s="5" t="str">
        <f>"Descripcion:COMPUTADOR CLON Estado: Inservible Placa anterior: 000032690 Material: METALICO Color:  Referencia:  Observacion:  Placa padre:  Tipo adquisicion : Entidad"</f>
        <v>Descripcion:COMPUTADOR CLON Estado: Inservible Placa anterior: 000032690 Material: METALICO Color:  Referencia:  Observacion:  Placa padre:  Tipo adquisicion : Entidad</v>
      </c>
      <c r="G18541" s="5"/>
    </row>
    <row r="18542" spans="1:7" ht="58.5" customHeight="1" x14ac:dyDescent="0.25">
      <c r="A18542" s="5" t="str">
        <f>"H0017631"</f>
        <v>H0017631</v>
      </c>
      <c r="B18542" s="5" t="str">
        <f>"TELEFONO DE SOBREMESA"</f>
        <v>TELEFONO DE SOBREMESA</v>
      </c>
      <c r="C18542" s="6">
        <v>9149.33</v>
      </c>
      <c r="D18542" s="5"/>
      <c r="E18542" s="5" t="str">
        <f t="shared" si="952"/>
        <v>ALMACEN- SANDRA MILENA BUITRAGO ROJAS</v>
      </c>
      <c r="F18542" s="5" t="str">
        <f>"Descripcion:TELEFONO DE MARCACION DISCAL Estado: Inservible Placa anterior: 000009670 Material: PLASTICO Color: NEGRO Referencia: DIABOX Observacion:  Placa padre:  Tipo adquisicion : Entidad"</f>
        <v>Descripcion:TELEFONO DE MARCACION DISCAL Estado: Inservible Placa anterior: 000009670 Material: PLASTICO Color: NEGRO Referencia: DIABOX Observacion:  Placa padre:  Tipo adquisicion : Entidad</v>
      </c>
      <c r="G18542" s="5"/>
    </row>
    <row r="18543" spans="1:7" ht="58.5" customHeight="1" x14ac:dyDescent="0.25">
      <c r="A18543" s="5" t="str">
        <f>"H0017637"</f>
        <v>H0017637</v>
      </c>
      <c r="B18543" s="5" t="str">
        <f>"MONITOR LCD"</f>
        <v>MONITOR LCD</v>
      </c>
      <c r="C18543" s="6">
        <v>574200</v>
      </c>
      <c r="D18543" s="5"/>
      <c r="E18543" s="5" t="str">
        <f t="shared" si="952"/>
        <v>ALMACEN- SANDRA MILENA BUITRAGO ROJAS</v>
      </c>
      <c r="F18543" s="5" t="str">
        <f>"Descripcion:MONITOR LCD 17 PULGADAS Estado: Inservible Placa anterior: 000026101 Material: PLASTICO Color: NEGRO Referencia:  Observacion: AUTORIZADO CRUZAR POR SISTEMAS Placa padre:  Tipo adquisicion : Entidad"</f>
        <v>Descripcion:MONITOR LCD 17 PULGADAS Estado: Inservible Placa anterior: 000026101 Material: PLASTICO Color: NEGRO Referencia:  Observacion: AUTORIZADO CRUZAR POR SISTEMAS Placa padre:  Tipo adquisicion : Entidad</v>
      </c>
      <c r="G18543" s="5" t="str">
        <f>"943NWX"</f>
        <v>943NWX</v>
      </c>
    </row>
    <row r="18544" spans="1:7" ht="58.5" customHeight="1" x14ac:dyDescent="0.25">
      <c r="A18544" s="5" t="str">
        <f>"H0017639"</f>
        <v>H0017639</v>
      </c>
      <c r="B18544" s="5" t="str">
        <f>"MONITOR LCD"</f>
        <v>MONITOR LCD</v>
      </c>
      <c r="C18544" s="6">
        <v>760000</v>
      </c>
      <c r="D18544" s="5"/>
      <c r="E18544" s="5" t="str">
        <f t="shared" ref="E18544:E18562" si="953">"ALMACEN- SANDRA MILENA BUITRAGO ROJAS"</f>
        <v>ALMACEN- SANDRA MILENA BUITRAGO ROJAS</v>
      </c>
      <c r="F18544" s="5" t="str">
        <f>"Descripcion:MONITOR LG DE 18.5 LCD Estado: Inservible Placa anterior: 000033538 Material: PLASTICO Color: NEGRO Referencia:  Observacion:  Placa padre: H0017638 Tipo adquisicion : Entidad"</f>
        <v>Descripcion:MONITOR LG DE 18.5 LCD Estado: Inservible Placa anterior: 000033538 Material: PLASTICO Color: NEGRO Referencia:  Observacion:  Placa padre: H0017638 Tipo adquisicion : Entidad</v>
      </c>
      <c r="G18544" s="5" t="str">
        <f>"W1943SI"</f>
        <v>W1943SI</v>
      </c>
    </row>
    <row r="18545" spans="1:7" ht="58.5" customHeight="1" x14ac:dyDescent="0.25">
      <c r="A18545" s="5" t="str">
        <f>"H0017667"</f>
        <v>H0017667</v>
      </c>
      <c r="B18545" s="5" t="str">
        <f>"COMPUTADOR TODO EN UNO"</f>
        <v>COMPUTADOR TODO EN UNO</v>
      </c>
      <c r="C18545" s="6">
        <v>1572000</v>
      </c>
      <c r="D18545" s="5" t="s">
        <v>346</v>
      </c>
      <c r="E18545" s="5" t="str">
        <f t="shared" si="953"/>
        <v>ALMACEN- SANDRA MILENA BUITRAGO ROJAS</v>
      </c>
      <c r="F18545" s="5" t="str">
        <f>"Descripcion:EQUIPOS DE COMPUTO TODO EN UNO PROCESADOR CORE 3.0 SUPERIOR CORPORATIVO WINDOWS 8 PRO- OFFICE 2013 SMALL BUSINES, TECNOLOGIA HT DE INTEL GARANTIA EXTENDIDA A 3 AÑOS Estado: Bueno Placa anterior: 000030687 Material: PLASTICO Color: NEGRO Refere"&amp; "ncia:  Observacion:  Placa anterior:, Placa nueva=H0017668, Descripcion:TECLADO USB, Serial:, Marca:MANHATTAN, Modelo:EKB-1, Material:PLASTICO, Color:NEGRO,   Referencia:, Placa anterior:, Placa nueva=H0017669, Descripcion:MOUSE USB, Serial:674316-001, Ma"&amp; "rca:HP, Modelo:, Material:PLASTICO, Color:NEGRO,   Referencia: Placa padre:  Tipo adquisicion : Entidad"</f>
        <v>Descripcion:EQUIPOS DE COMPUTO TODO EN UNO PROCESADOR CORE 3.0 SUPERIOR CORPORATIVO WINDOWS 8 PRO- OFFICE 2013 SMALL BUSINES, TECNOLOGIA HT DE INTEL GARANTIA EXTENDIDA A 3 AÑOS Estado: Bueno Placa anterior: 000030687 Material: PLASTICO Color: NEGRO Referencia:  Observacion:  Placa anterior:, Placa nueva=H0017668, Descripcion:TECLADO USB, Serial:, Marca:MANHATTAN, Modelo:EKB-1, Material:PLASTICO, Color:NEGRO,   Referencia:, Placa anterior:, Placa nueva=H0017669, Descripcion:MOUSE USB, Serial:674316-001, Marca:HP, Modelo:, Material:PLASTICO, Color:NEGRO,   Referencia: Placa padre:  Tipo adquisicion : Entidad</v>
      </c>
      <c r="G18545" s="5" t="str">
        <f>"HP COMPAQ PRO 4300"</f>
        <v>HP COMPAQ PRO 4300</v>
      </c>
    </row>
    <row r="18546" spans="1:7" ht="58.5" customHeight="1" x14ac:dyDescent="0.25">
      <c r="A18546" s="5" t="str">
        <f>"H0018249"</f>
        <v>H0018249</v>
      </c>
      <c r="B18546" s="5" t="str">
        <f>"ESTANTE METALICO 6 ENTREPAÑOS"</f>
        <v>ESTANTE METALICO 6 ENTREPAÑOS</v>
      </c>
      <c r="C18546" s="6">
        <v>8840.07</v>
      </c>
      <c r="D18546" s="5"/>
      <c r="E18546" s="5" t="str">
        <f t="shared" si="953"/>
        <v>ALMACEN- SANDRA MILENA BUITRAGO ROJAS</v>
      </c>
      <c r="F18546" s="5" t="str">
        <f>"Descripcion:ESTANTE METALICO Estado: Bueno Placa anterior: 000002330 Material: METAL Color: GRIS Referencia:  Observacion:  Placa padre:  Tipo adquisicion : Entidad"</f>
        <v>Descripcion:ESTANTE METALICO Estado: Bueno Placa anterior: 000002330 Material: METAL Color: GRIS Referencia:  Observacion:  Placa padre:  Tipo adquisicion : Entidad</v>
      </c>
      <c r="G18546" s="5"/>
    </row>
    <row r="18547" spans="1:7" ht="58.5" customHeight="1" x14ac:dyDescent="0.25">
      <c r="A18547" s="5" t="str">
        <f>"H0018250"</f>
        <v>H0018250</v>
      </c>
      <c r="B18547" s="5" t="str">
        <f>"ESTANTE METALICO 6 ENTREPAÑOS"</f>
        <v>ESTANTE METALICO 6 ENTREPAÑOS</v>
      </c>
      <c r="C18547" s="6">
        <v>8840.07</v>
      </c>
      <c r="D18547" s="5"/>
      <c r="E18547" s="5" t="str">
        <f t="shared" si="953"/>
        <v>ALMACEN- SANDRA MILENA BUITRAGO ROJAS</v>
      </c>
      <c r="F18547" s="5" t="str">
        <f>"Descripcion:ESTANTE METALICO Estado: Bueno Placa anterior: 000002331 Material: METAL Color: GRIS Referencia:  Observacion:  Placa padre:  Tipo adquisicion : Entidad"</f>
        <v>Descripcion:ESTANTE METALICO Estado: Bueno Placa anterior: 000002331 Material: METAL Color: GRIS Referencia:  Observacion:  Placa padre:  Tipo adquisicion : Entidad</v>
      </c>
      <c r="G18547" s="5"/>
    </row>
    <row r="18548" spans="1:7" ht="58.5" customHeight="1" x14ac:dyDescent="0.25">
      <c r="A18548" s="5" t="str">
        <f>"H0020978"</f>
        <v>H0020978</v>
      </c>
      <c r="B18548" s="5" t="str">
        <f>"IMPRESORA TERMICA"</f>
        <v>IMPRESORA TERMICA</v>
      </c>
      <c r="C18548" s="6">
        <v>1363234.6</v>
      </c>
      <c r="D18548" s="5" t="s">
        <v>841</v>
      </c>
      <c r="E18548" s="5" t="str">
        <f t="shared" si="953"/>
        <v>ALMACEN- SANDRA MILENA BUITRAGO ROJAS</v>
      </c>
      <c r="F18548" s="5"/>
      <c r="G18548" s="5"/>
    </row>
    <row r="18549" spans="1:7" ht="58.5" customHeight="1" x14ac:dyDescent="0.25">
      <c r="A18549" s="5" t="str">
        <f>"H0022595"</f>
        <v>H0022595</v>
      </c>
      <c r="B18549" s="5" t="str">
        <f>"CARRO TRANSPORTADOR"</f>
        <v>CARRO TRANSPORTADOR</v>
      </c>
      <c r="C18549" s="6">
        <v>120000</v>
      </c>
      <c r="D18549" s="5"/>
      <c r="E18549" s="5" t="str">
        <f t="shared" si="953"/>
        <v>ALMACEN- SANDRA MILENA BUITRAGO ROJAS</v>
      </c>
      <c r="F18549" s="5" t="str">
        <f>"Descripcion:CARRO TRANSPORTADOR CON PLATAFORMA Estado: Bueno Placa anterior: 000002253 Material: METALICO Color:  Referencia:  Observacion:  Placa padre:  Tipo adquisicion : Entidad"</f>
        <v>Descripcion:CARRO TRANSPORTADOR CON PLATAFORMA Estado: Bueno Placa anterior: 000002253 Material: METALICO Color:  Referencia:  Observacion:  Placa padre:  Tipo adquisicion : Entidad</v>
      </c>
      <c r="G18549" s="5"/>
    </row>
    <row r="18550" spans="1:7" ht="58.5" customHeight="1" x14ac:dyDescent="0.25">
      <c r="A18550" s="5" t="str">
        <f>"H0025451"</f>
        <v>H0025451</v>
      </c>
      <c r="B1855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550" s="6">
        <v>312156</v>
      </c>
      <c r="D18550" s="5" t="s">
        <v>10</v>
      </c>
      <c r="E18550" s="5" t="str">
        <f t="shared" si="953"/>
        <v>ALMACEN- SANDRA MILENA BUITRAGO ROJAS</v>
      </c>
      <c r="F18550" s="5"/>
      <c r="G18550" s="5"/>
    </row>
    <row r="18551" spans="1:7" ht="58.5" customHeight="1" x14ac:dyDescent="0.25">
      <c r="A18551" s="5" t="str">
        <f>"H0029254"</f>
        <v>H0029254</v>
      </c>
      <c r="B18551"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551" s="6">
        <v>2600000</v>
      </c>
      <c r="D18551" s="5" t="s">
        <v>625</v>
      </c>
      <c r="E18551" s="5" t="str">
        <f t="shared" si="953"/>
        <v>ALMACEN- SANDRA MILENA BUITRAGO ROJAS</v>
      </c>
      <c r="F18551" s="5"/>
      <c r="G18551" s="5"/>
    </row>
    <row r="18552" spans="1:7" ht="58.5" customHeight="1" x14ac:dyDescent="0.25">
      <c r="A18552" s="5" t="str">
        <f>"H0031449"</f>
        <v>H0031449</v>
      </c>
      <c r="B1855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552" s="6">
        <v>3209500</v>
      </c>
      <c r="D18552" s="5" t="s">
        <v>16</v>
      </c>
      <c r="E18552" s="5" t="str">
        <f t="shared" si="953"/>
        <v>ALMACEN- SANDRA MILENA BUITRAGO ROJAS</v>
      </c>
      <c r="F18552" s="5"/>
      <c r="G18552" s="5"/>
    </row>
    <row r="18553" spans="1:7" ht="58.5" customHeight="1" x14ac:dyDescent="0.25">
      <c r="A18553" s="5" t="str">
        <f>"H0031608"</f>
        <v>H0031608</v>
      </c>
      <c r="B18553" s="5" t="str">
        <f>"ESCRITORIO MULTIFUNCIONAL MATERIAL MELAMINA RH. LARGO 1.6 MTS, FONDO 0.60 MTS, ALTURA 0.76 MTS"</f>
        <v>ESCRITORIO MULTIFUNCIONAL MATERIAL MELAMINA RH. LARGO 1.6 MTS, FONDO 0.60 MTS, ALTURA 0.76 MTS</v>
      </c>
      <c r="C18553" s="6">
        <v>790000</v>
      </c>
      <c r="D18553" s="5" t="s">
        <v>42</v>
      </c>
      <c r="E18553" s="5" t="str">
        <f t="shared" si="953"/>
        <v>ALMACEN- SANDRA MILENA BUITRAGO ROJAS</v>
      </c>
      <c r="F18553" s="5"/>
      <c r="G18553" s="5"/>
    </row>
    <row r="18554" spans="1:7" ht="58.5" customHeight="1" x14ac:dyDescent="0.25">
      <c r="A18554" s="5" t="str">
        <f>"H0031609"</f>
        <v>H0031609</v>
      </c>
      <c r="B18554" s="5" t="str">
        <f>"ESCRITORIO MULTIFUNCIONAL MATERIAL MELAMINA RH. LARGO 1.6 MTS, FONDO 0.60 MTS, ALTURA 0.76 MTS"</f>
        <v>ESCRITORIO MULTIFUNCIONAL MATERIAL MELAMINA RH. LARGO 1.6 MTS, FONDO 0.60 MTS, ALTURA 0.76 MTS</v>
      </c>
      <c r="C18554" s="6">
        <v>790000</v>
      </c>
      <c r="D18554" s="5" t="s">
        <v>42</v>
      </c>
      <c r="E18554" s="5" t="str">
        <f t="shared" si="953"/>
        <v>ALMACEN- SANDRA MILENA BUITRAGO ROJAS</v>
      </c>
      <c r="F18554" s="5"/>
      <c r="G18554" s="5"/>
    </row>
    <row r="18555" spans="1:7" ht="58.5" customHeight="1" x14ac:dyDescent="0.25">
      <c r="A18555" s="5" t="str">
        <f>"h0031676"</f>
        <v>h0031676</v>
      </c>
      <c r="B18555" s="5" t="str">
        <f>"MESA SENCILLA MATERIAL MELAMINA RH MEDIDAS 0.80 MTS * 0.80 MTS * 0.76 MTS"</f>
        <v>MESA SENCILLA MATERIAL MELAMINA RH MEDIDAS 0.80 MTS * 0.80 MTS * 0.76 MTS</v>
      </c>
      <c r="C18555" s="6">
        <v>180000</v>
      </c>
      <c r="D18555" s="5" t="s">
        <v>156</v>
      </c>
      <c r="E18555" s="5" t="str">
        <f t="shared" si="953"/>
        <v>ALMACEN- SANDRA MILENA BUITRAGO ROJAS</v>
      </c>
      <c r="F18555" s="5"/>
      <c r="G18555" s="5"/>
    </row>
    <row r="18556" spans="1:7" ht="58.5" customHeight="1" x14ac:dyDescent="0.25">
      <c r="A18556" s="5" t="str">
        <f>"H0032863"</f>
        <v>H0032863</v>
      </c>
      <c r="B18556"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18556" s="6">
        <v>5604900</v>
      </c>
      <c r="D18556" s="5" t="s">
        <v>116</v>
      </c>
      <c r="E18556" s="5" t="str">
        <f t="shared" si="953"/>
        <v>ALMACEN- SANDRA MILENA BUITRAGO ROJAS</v>
      </c>
      <c r="F18556" s="5"/>
      <c r="G18556" s="5"/>
    </row>
    <row r="18557" spans="1:7" ht="58.5" customHeight="1" x14ac:dyDescent="0.25">
      <c r="A18557" s="5" t="str">
        <f>"H0035407"</f>
        <v>H0035407</v>
      </c>
      <c r="B18557" s="5" t="str">
        <f>"IMPRESORA MATRIZ DE PUNTOS"</f>
        <v>IMPRESORA MATRIZ DE PUNTOS</v>
      </c>
      <c r="C18557" s="6">
        <v>2975000</v>
      </c>
      <c r="D18557" s="5" t="s">
        <v>197</v>
      </c>
      <c r="E18557" s="5" t="str">
        <f t="shared" si="953"/>
        <v>ALMACEN- SANDRA MILENA BUITRAGO ROJAS</v>
      </c>
      <c r="F18557" s="5"/>
      <c r="G18557" s="5"/>
    </row>
    <row r="18558" spans="1:7" ht="58.5" customHeight="1" x14ac:dyDescent="0.25">
      <c r="A18558" s="5" t="str">
        <f>"H0035740"</f>
        <v>H0035740</v>
      </c>
      <c r="B18558" s="5" t="str">
        <f>"SILLA GERENTE NIZA MEC. BASCULANTE CON BRAZOS."</f>
        <v>SILLA GERENTE NIZA MEC. BASCULANTE CON BRAZOS.</v>
      </c>
      <c r="C18558" s="6">
        <v>639999.86</v>
      </c>
      <c r="D18558" s="5" t="s">
        <v>46</v>
      </c>
      <c r="E18558" s="5" t="str">
        <f t="shared" si="953"/>
        <v>ALMACEN- SANDRA MILENA BUITRAGO ROJAS</v>
      </c>
      <c r="F18558" s="5"/>
      <c r="G18558" s="5"/>
    </row>
    <row r="18559" spans="1:7" ht="58.5" customHeight="1" x14ac:dyDescent="0.25">
      <c r="A18559" s="5" t="str">
        <f>"H0035741"</f>
        <v>H0035741</v>
      </c>
      <c r="B18559" s="5" t="str">
        <f>"SILLA GERENTE NIZA MEC. BASCULANTE CON BRAZOS."</f>
        <v>SILLA GERENTE NIZA MEC. BASCULANTE CON BRAZOS.</v>
      </c>
      <c r="C18559" s="6">
        <v>639999.86</v>
      </c>
      <c r="D18559" s="5" t="s">
        <v>46</v>
      </c>
      <c r="E18559" s="5" t="str">
        <f t="shared" si="953"/>
        <v>ALMACEN- SANDRA MILENA BUITRAGO ROJAS</v>
      </c>
      <c r="F18559" s="5"/>
      <c r="G18559" s="5"/>
    </row>
    <row r="18560" spans="1:7" ht="58.5" customHeight="1" x14ac:dyDescent="0.25">
      <c r="A18560" s="5" t="str">
        <f>"H0037676"</f>
        <v>H0037676</v>
      </c>
      <c r="B18560" s="5" t="str">
        <f>"SILLA GERENTE NIZA MEC. BASCULANTE CON BRAZOS."</f>
        <v>SILLA GERENTE NIZA MEC. BASCULANTE CON BRAZOS.</v>
      </c>
      <c r="C18560" s="6">
        <v>710000.01</v>
      </c>
      <c r="D18560" s="5" t="s">
        <v>30</v>
      </c>
      <c r="E18560" s="5" t="str">
        <f t="shared" si="953"/>
        <v>ALMACEN- SANDRA MILENA BUITRAGO ROJAS</v>
      </c>
      <c r="F18560" s="5"/>
      <c r="G18560" s="5"/>
    </row>
    <row r="18561" spans="1:7" ht="58.5" customHeight="1" x14ac:dyDescent="0.25">
      <c r="A18561" s="5" t="str">
        <f>"H0037677"</f>
        <v>H0037677</v>
      </c>
      <c r="B18561" s="5" t="str">
        <f>"SILLA GERENTE NIZA MEC. BASCULANTE CON BRAZOS."</f>
        <v>SILLA GERENTE NIZA MEC. BASCULANTE CON BRAZOS.</v>
      </c>
      <c r="C18561" s="6">
        <v>710000.01</v>
      </c>
      <c r="D18561" s="5" t="s">
        <v>30</v>
      </c>
      <c r="E18561" s="5" t="str">
        <f t="shared" si="953"/>
        <v>ALMACEN- SANDRA MILENA BUITRAGO ROJAS</v>
      </c>
      <c r="F18561" s="5"/>
      <c r="G18561" s="5"/>
    </row>
    <row r="18562" spans="1:7" ht="58.5" customHeight="1" x14ac:dyDescent="0.25">
      <c r="A18562" s="5" t="str">
        <f>"H0038118"</f>
        <v>H0038118</v>
      </c>
      <c r="B18562" s="5" t="str">
        <f>"COMPUTADOR TODO EN UNO"</f>
        <v>COMPUTADOR TODO EN UNO</v>
      </c>
      <c r="C18562" s="6">
        <v>7497000</v>
      </c>
      <c r="D18562" s="5" t="s">
        <v>31</v>
      </c>
      <c r="E18562" s="5" t="str">
        <f t="shared" si="953"/>
        <v>ALMACEN- SANDRA MILENA BUITRAGO ROJAS</v>
      </c>
      <c r="F18562" s="5"/>
      <c r="G18562" s="5"/>
    </row>
    <row r="18563" spans="1:7" ht="58.5" customHeight="1" x14ac:dyDescent="0.25">
      <c r="A18563" s="5" t="str">
        <f>"C0000169"</f>
        <v>C0000169</v>
      </c>
      <c r="B18563" s="5" t="str">
        <f>"IMPRESORA TINTA"</f>
        <v>IMPRESORA TINTA</v>
      </c>
      <c r="C18563" s="6">
        <v>522000</v>
      </c>
      <c r="D18563" s="5"/>
      <c r="E18563" s="5" t="str">
        <f t="shared" ref="E18563:E18594" si="954">"ACTISALUD-WILLIAM ZUÑIGA-ELEMENTOS OFICINA"</f>
        <v>ACTISALUD-WILLIAM ZUÑIGA-ELEMENTOS OFICINA</v>
      </c>
      <c r="F18563" s="5" t="str">
        <f>"Descripcion:IMPRESORA HEWLETT PACKARD Estado: Malo Placa anterior: 000028681 Material: PASTA Color: GRIS CLARO Y OSCURO Referencia:  Observacion:  Placa padre:  Tipo adquisicion : Donacion"</f>
        <v>Descripcion:IMPRESORA HEWLETT PACKARD Estado: Malo Placa anterior: 000028681 Material: PASTA Color: GRIS CLARO Y OSCURO Referencia:  Observacion:  Placa padre:  Tipo adquisicion : Donacion</v>
      </c>
      <c r="G18563" s="5" t="str">
        <f>"DESKJET 3650"</f>
        <v>DESKJET 3650</v>
      </c>
    </row>
    <row r="18564" spans="1:7" ht="58.5" customHeight="1" x14ac:dyDescent="0.25">
      <c r="A18564" s="5" t="str">
        <f>"H0015752"</f>
        <v>H0015752</v>
      </c>
      <c r="B18564" s="5" t="str">
        <f t="shared" ref="B18564:B18592" si="955">"ESTANTE METALICO 6 ENTREPAÑOS"</f>
        <v>ESTANTE METALICO 6 ENTREPAÑOS</v>
      </c>
      <c r="C18564" s="6">
        <v>8840.07</v>
      </c>
      <c r="D18564" s="5"/>
      <c r="E18564" s="5" t="str">
        <f t="shared" si="954"/>
        <v>ACTISALUD-WILLIAM ZUÑIGA-ELEMENTOS OFICINA</v>
      </c>
      <c r="F18564" s="5" t="str">
        <f>"Descripcion:ESTANTE METALICO 6 ENTREPAÑOS Estado: Bueno Placa anterior: 000002287 Material: METAL Color: GRIS Referencia:  Observacion:  Placa padre:  Tipo adquisicion : Entidad"</f>
        <v>Descripcion:ESTANTE METALICO 6 ENTREPAÑOS Estado: Bueno Placa anterior: 000002287 Material: METAL Color: GRIS Referencia:  Observacion:  Placa padre:  Tipo adquisicion : Entidad</v>
      </c>
      <c r="G18564" s="5"/>
    </row>
    <row r="18565" spans="1:7" ht="58.5" customHeight="1" x14ac:dyDescent="0.25">
      <c r="A18565" s="5" t="str">
        <f>"H0015753"</f>
        <v>H0015753</v>
      </c>
      <c r="B18565" s="5" t="str">
        <f t="shared" si="955"/>
        <v>ESTANTE METALICO 6 ENTREPAÑOS</v>
      </c>
      <c r="C18565" s="6">
        <v>8840.07</v>
      </c>
      <c r="D18565" s="5"/>
      <c r="E18565" s="5" t="str">
        <f t="shared" si="954"/>
        <v>ACTISALUD-WILLIAM ZUÑIGA-ELEMENTOS OFICINA</v>
      </c>
      <c r="F18565" s="5" t="str">
        <f>"Descripcion:ESTANTE METALICO 6 ENTREPAÑOS Estado: Bueno Placa anterior: 000002284 Material: METAL Color: GRIS Referencia:  Observacion:  Placa padre:  Tipo adquisicion : Entidad"</f>
        <v>Descripcion:ESTANTE METALICO 6 ENTREPAÑOS Estado: Bueno Placa anterior: 000002284 Material: METAL Color: GRIS Referencia:  Observacion:  Placa padre:  Tipo adquisicion : Entidad</v>
      </c>
      <c r="G18565" s="5"/>
    </row>
    <row r="18566" spans="1:7" ht="58.5" customHeight="1" x14ac:dyDescent="0.25">
      <c r="A18566" s="5" t="str">
        <f>"H0015754"</f>
        <v>H0015754</v>
      </c>
      <c r="B18566" s="5" t="str">
        <f t="shared" si="955"/>
        <v>ESTANTE METALICO 6 ENTREPAÑOS</v>
      </c>
      <c r="C18566" s="6">
        <v>8840.07</v>
      </c>
      <c r="D18566" s="5"/>
      <c r="E18566" s="5" t="str">
        <f t="shared" si="954"/>
        <v>ACTISALUD-WILLIAM ZUÑIGA-ELEMENTOS OFICINA</v>
      </c>
      <c r="F18566" s="5" t="str">
        <f>"Descripcion:ESTANTE METALICO 6 ENTREPAÑOS Estado: Bueno Placa anterior: 000002285 Material: METAL Color: GRIS Referencia:  Observacion:  Placa padre:  Tipo adquisicion : Entidad"</f>
        <v>Descripcion:ESTANTE METALICO 6 ENTREPAÑOS Estado: Bueno Placa anterior: 000002285 Material: METAL Color: GRIS Referencia:  Observacion:  Placa padre:  Tipo adquisicion : Entidad</v>
      </c>
      <c r="G18566" s="5"/>
    </row>
    <row r="18567" spans="1:7" ht="58.5" customHeight="1" x14ac:dyDescent="0.25">
      <c r="A18567" s="5" t="str">
        <f>"H0015755"</f>
        <v>H0015755</v>
      </c>
      <c r="B18567" s="5" t="str">
        <f t="shared" si="955"/>
        <v>ESTANTE METALICO 6 ENTREPAÑOS</v>
      </c>
      <c r="C18567" s="6">
        <v>8840.07</v>
      </c>
      <c r="D18567" s="5"/>
      <c r="E18567" s="5" t="str">
        <f t="shared" si="954"/>
        <v>ACTISALUD-WILLIAM ZUÑIGA-ELEMENTOS OFICINA</v>
      </c>
      <c r="F18567" s="5" t="str">
        <f>"Descripcion:ESTANTE METALICO 6 ENTREPAÑOS Estado: Bueno Placa anterior: 000002286 Material: METAL Color: GRIS Referencia:  Observacion:  Placa padre:  Tipo adquisicion : Entidad"</f>
        <v>Descripcion:ESTANTE METALICO 6 ENTREPAÑOS Estado: Bueno Placa anterior: 000002286 Material: METAL Color: GRIS Referencia:  Observacion:  Placa padre:  Tipo adquisicion : Entidad</v>
      </c>
      <c r="G18567" s="5"/>
    </row>
    <row r="18568" spans="1:7" ht="58.5" customHeight="1" x14ac:dyDescent="0.25">
      <c r="A18568" s="5" t="str">
        <f>"H0015756"</f>
        <v>H0015756</v>
      </c>
      <c r="B18568" s="5" t="str">
        <f t="shared" si="955"/>
        <v>ESTANTE METALICO 6 ENTREPAÑOS</v>
      </c>
      <c r="C18568" s="6">
        <v>8840.07</v>
      </c>
      <c r="D18568" s="5"/>
      <c r="E18568" s="5" t="str">
        <f t="shared" si="954"/>
        <v>ACTISALUD-WILLIAM ZUÑIGA-ELEMENTOS OFICINA</v>
      </c>
      <c r="F18568" s="5" t="str">
        <f>"Descripcion:ESTANTE METALICO 6 ENTREPAÑOS Estado: Bueno Placa anterior: 000002283 Material: METAL Color: GRIS Referencia:  Observacion:  Placa padre:  Tipo adquisicion : Entidad"</f>
        <v>Descripcion:ESTANTE METALICO 6 ENTREPAÑOS Estado: Bueno Placa anterior: 000002283 Material: METAL Color: GRIS Referencia:  Observacion:  Placa padre:  Tipo adquisicion : Entidad</v>
      </c>
      <c r="G18568" s="5"/>
    </row>
    <row r="18569" spans="1:7" ht="58.5" customHeight="1" x14ac:dyDescent="0.25">
      <c r="A18569" s="5" t="str">
        <f>"H0015757"</f>
        <v>H0015757</v>
      </c>
      <c r="B18569" s="5" t="str">
        <f t="shared" si="955"/>
        <v>ESTANTE METALICO 6 ENTREPAÑOS</v>
      </c>
      <c r="C18569" s="6">
        <v>8840.07</v>
      </c>
      <c r="D18569" s="5"/>
      <c r="E18569" s="5" t="str">
        <f t="shared" si="954"/>
        <v>ACTISALUD-WILLIAM ZUÑIGA-ELEMENTOS OFICINA</v>
      </c>
      <c r="F18569" s="5" t="str">
        <f>"Descripcion:ESTANTE METALICO 6 ENTREPAÑOS Estado: Bueno Placa anterior: 000002282 Material: METAL Color: GRIS Referencia:  Observacion:  Placa padre:  Tipo adquisicion : Entidad"</f>
        <v>Descripcion:ESTANTE METALICO 6 ENTREPAÑOS Estado: Bueno Placa anterior: 000002282 Material: METAL Color: GRIS Referencia:  Observacion:  Placa padre:  Tipo adquisicion : Entidad</v>
      </c>
      <c r="G18569" s="5"/>
    </row>
    <row r="18570" spans="1:7" ht="58.5" customHeight="1" x14ac:dyDescent="0.25">
      <c r="A18570" s="5" t="str">
        <f>"H0015758"</f>
        <v>H0015758</v>
      </c>
      <c r="B18570" s="5" t="str">
        <f t="shared" si="955"/>
        <v>ESTANTE METALICO 6 ENTREPAÑOS</v>
      </c>
      <c r="C18570" s="6">
        <v>8840.07</v>
      </c>
      <c r="D18570" s="5"/>
      <c r="E18570" s="5" t="str">
        <f t="shared" si="954"/>
        <v>ACTISALUD-WILLIAM ZUÑIGA-ELEMENTOS OFICINA</v>
      </c>
      <c r="F18570" s="5" t="str">
        <f>"Descripcion:ESTANTE METALICO 6 ENTREPAÑOS Estado: Bueno Placa anterior: 000002281 Material: METAL Color: GRIS Referencia:  Observacion:  Placa padre:  Tipo adquisicion : Entidad"</f>
        <v>Descripcion:ESTANTE METALICO 6 ENTREPAÑOS Estado: Bueno Placa anterior: 000002281 Material: METAL Color: GRIS Referencia:  Observacion:  Placa padre:  Tipo adquisicion : Entidad</v>
      </c>
      <c r="G18570" s="5"/>
    </row>
    <row r="18571" spans="1:7" ht="58.5" customHeight="1" x14ac:dyDescent="0.25">
      <c r="A18571" s="5" t="str">
        <f>"H0015759"</f>
        <v>H0015759</v>
      </c>
      <c r="B18571" s="5" t="str">
        <f t="shared" si="955"/>
        <v>ESTANTE METALICO 6 ENTREPAÑOS</v>
      </c>
      <c r="C18571" s="6">
        <v>8840.07</v>
      </c>
      <c r="D18571" s="5"/>
      <c r="E18571" s="5" t="str">
        <f t="shared" si="954"/>
        <v>ACTISALUD-WILLIAM ZUÑIGA-ELEMENTOS OFICINA</v>
      </c>
      <c r="F18571" s="5" t="str">
        <f>"Descripcion:ESTANTE METALICO 6 ENTREPAÑOS Estado: Bueno Placa anterior: 000002278 Material: METAL Color: GRIS Referencia:  Observacion:  Placa padre:  Tipo adquisicion : Entidad"</f>
        <v>Descripcion:ESTANTE METALICO 6 ENTREPAÑOS Estado: Bueno Placa anterior: 000002278 Material: METAL Color: GRIS Referencia:  Observacion:  Placa padre:  Tipo adquisicion : Entidad</v>
      </c>
      <c r="G18571" s="5"/>
    </row>
    <row r="18572" spans="1:7" ht="58.5" customHeight="1" x14ac:dyDescent="0.25">
      <c r="A18572" s="5" t="str">
        <f>"H0015760"</f>
        <v>H0015760</v>
      </c>
      <c r="B18572" s="5" t="str">
        <f t="shared" si="955"/>
        <v>ESTANTE METALICO 6 ENTREPAÑOS</v>
      </c>
      <c r="C18572" s="6">
        <v>8840.07</v>
      </c>
      <c r="D18572" s="5"/>
      <c r="E18572" s="5" t="str">
        <f t="shared" si="954"/>
        <v>ACTISALUD-WILLIAM ZUÑIGA-ELEMENTOS OFICINA</v>
      </c>
      <c r="F18572" s="5" t="str">
        <f>"Descripcion:ESTANTE METALICO 6 ENTREPAÑOS Estado: Bueno Placa anterior: 000002279 Material: METAL Color: GRIS Referencia:  Observacion:  Placa padre:  Tipo adquisicion : Entidad"</f>
        <v>Descripcion:ESTANTE METALICO 6 ENTREPAÑOS Estado: Bueno Placa anterior: 000002279 Material: METAL Color: GRIS Referencia:  Observacion:  Placa padre:  Tipo adquisicion : Entidad</v>
      </c>
      <c r="G18572" s="5"/>
    </row>
    <row r="18573" spans="1:7" ht="58.5" customHeight="1" x14ac:dyDescent="0.25">
      <c r="A18573" s="5" t="str">
        <f>"H0015761"</f>
        <v>H0015761</v>
      </c>
      <c r="B18573" s="5" t="str">
        <f t="shared" si="955"/>
        <v>ESTANTE METALICO 6 ENTREPAÑOS</v>
      </c>
      <c r="C18573" s="6">
        <v>8840.07</v>
      </c>
      <c r="D18573" s="5"/>
      <c r="E18573" s="5" t="str">
        <f t="shared" si="954"/>
        <v>ACTISALUD-WILLIAM ZUÑIGA-ELEMENTOS OFICINA</v>
      </c>
      <c r="F18573" s="5" t="str">
        <f>"Descripcion:ESTANTE METALICO 6 ENTREPAÑOS Estado: Bueno Placa anterior: 000002280 Material: METAL Color: GRIS Referencia:  Observacion:  Placa padre:  Tipo adquisicion : Entidad"</f>
        <v>Descripcion:ESTANTE METALICO 6 ENTREPAÑOS Estado: Bueno Placa anterior: 000002280 Material: METAL Color: GRIS Referencia:  Observacion:  Placa padre:  Tipo adquisicion : Entidad</v>
      </c>
      <c r="G18573" s="5"/>
    </row>
    <row r="18574" spans="1:7" ht="58.5" customHeight="1" x14ac:dyDescent="0.25">
      <c r="A18574" s="5" t="str">
        <f>"H0015762"</f>
        <v>H0015762</v>
      </c>
      <c r="B18574" s="5" t="str">
        <f t="shared" si="955"/>
        <v>ESTANTE METALICO 6 ENTREPAÑOS</v>
      </c>
      <c r="C18574" s="6">
        <v>8840.07</v>
      </c>
      <c r="D18574" s="5"/>
      <c r="E18574" s="5" t="str">
        <f t="shared" si="954"/>
        <v>ACTISALUD-WILLIAM ZUÑIGA-ELEMENTOS OFICINA</v>
      </c>
      <c r="F18574" s="5" t="str">
        <f>"Descripcion:ESTANTE METALICO 6 ENTREPAÑOS Estado: Bueno Placa anterior: 000002277 Material: METAL Color: GRIS Referencia:  Observacion:  Placa padre:  Tipo adquisicion : Entidad"</f>
        <v>Descripcion:ESTANTE METALICO 6 ENTREPAÑOS Estado: Bueno Placa anterior: 000002277 Material: METAL Color: GRIS Referencia:  Observacion:  Placa padre:  Tipo adquisicion : Entidad</v>
      </c>
      <c r="G18574" s="5"/>
    </row>
    <row r="18575" spans="1:7" ht="58.5" customHeight="1" x14ac:dyDescent="0.25">
      <c r="A18575" s="5" t="str">
        <f>"H0015763"</f>
        <v>H0015763</v>
      </c>
      <c r="B18575" s="5" t="str">
        <f t="shared" si="955"/>
        <v>ESTANTE METALICO 6 ENTREPAÑOS</v>
      </c>
      <c r="C18575" s="6">
        <v>8840.07</v>
      </c>
      <c r="D18575" s="5"/>
      <c r="E18575" s="5" t="str">
        <f t="shared" si="954"/>
        <v>ACTISALUD-WILLIAM ZUÑIGA-ELEMENTOS OFICINA</v>
      </c>
      <c r="F18575" s="5" t="str">
        <f>"Descripcion:ESTANTE METALICO 6 ENTREPAÑOS Estado: Bueno Placa anterior: 000002276 Material: METAL Color: GRIS Referencia:  Observacion:  Placa padre:  Tipo adquisicion : Entidad"</f>
        <v>Descripcion:ESTANTE METALICO 6 ENTREPAÑOS Estado: Bueno Placa anterior: 000002276 Material: METAL Color: GRIS Referencia:  Observacion:  Placa padre:  Tipo adquisicion : Entidad</v>
      </c>
      <c r="G18575" s="5"/>
    </row>
    <row r="18576" spans="1:7" ht="58.5" customHeight="1" x14ac:dyDescent="0.25">
      <c r="A18576" s="5" t="str">
        <f>"H0015764"</f>
        <v>H0015764</v>
      </c>
      <c r="B18576" s="5" t="str">
        <f t="shared" si="955"/>
        <v>ESTANTE METALICO 6 ENTREPAÑOS</v>
      </c>
      <c r="C18576" s="6">
        <v>8840.07</v>
      </c>
      <c r="D18576" s="5"/>
      <c r="E18576" s="5" t="str">
        <f t="shared" si="954"/>
        <v>ACTISALUD-WILLIAM ZUÑIGA-ELEMENTOS OFICINA</v>
      </c>
      <c r="F18576" s="5" t="str">
        <f>"Descripcion:ESTANTE METALICO 6 ENTREPAÑOS Estado: Bueno Placa anterior: 000002275 Material: METAL Color: GRIS Referencia:  Observacion:  Placa padre:  Tipo adquisicion : Entidad"</f>
        <v>Descripcion:ESTANTE METALICO 6 ENTREPAÑOS Estado: Bueno Placa anterior: 000002275 Material: METAL Color: GRIS Referencia:  Observacion:  Placa padre:  Tipo adquisicion : Entidad</v>
      </c>
      <c r="G18576" s="5"/>
    </row>
    <row r="18577" spans="1:7" ht="58.5" customHeight="1" x14ac:dyDescent="0.25">
      <c r="A18577" s="5" t="str">
        <f>"H0015765"</f>
        <v>H0015765</v>
      </c>
      <c r="B18577" s="5" t="str">
        <f t="shared" si="955"/>
        <v>ESTANTE METALICO 6 ENTREPAÑOS</v>
      </c>
      <c r="C18577" s="6">
        <v>8840.07</v>
      </c>
      <c r="D18577" s="5"/>
      <c r="E18577" s="5" t="str">
        <f t="shared" si="954"/>
        <v>ACTISALUD-WILLIAM ZUÑIGA-ELEMENTOS OFICINA</v>
      </c>
      <c r="F18577" s="5" t="str">
        <f>"Descripcion:ESTANTE METALICO 6 ENTREPAÑOS Estado: Bueno Placa anterior: 000002272 Material: METAL Color: GRIS Referencia:  Observacion:  Placa padre:  Tipo adquisicion : Entidad"</f>
        <v>Descripcion:ESTANTE METALICO 6 ENTREPAÑOS Estado: Bueno Placa anterior: 000002272 Material: METAL Color: GRIS Referencia:  Observacion:  Placa padre:  Tipo adquisicion : Entidad</v>
      </c>
      <c r="G18577" s="5"/>
    </row>
    <row r="18578" spans="1:7" ht="58.5" customHeight="1" x14ac:dyDescent="0.25">
      <c r="A18578" s="5" t="str">
        <f>"H0015766"</f>
        <v>H0015766</v>
      </c>
      <c r="B18578" s="5" t="str">
        <f t="shared" si="955"/>
        <v>ESTANTE METALICO 6 ENTREPAÑOS</v>
      </c>
      <c r="C18578" s="6">
        <v>8840.07</v>
      </c>
      <c r="D18578" s="5"/>
      <c r="E18578" s="5" t="str">
        <f t="shared" si="954"/>
        <v>ACTISALUD-WILLIAM ZUÑIGA-ELEMENTOS OFICINA</v>
      </c>
      <c r="F18578" s="5" t="str">
        <f>"Descripcion:ESTANTE METALICO 6 ENTREPAÑOS Estado: Bueno Placa anterior: 000002273 Material: METAL Color: GRIS Referencia:  Observacion:  Placa padre:  Tipo adquisicion : Entidad"</f>
        <v>Descripcion:ESTANTE METALICO 6 ENTREPAÑOS Estado: Bueno Placa anterior: 000002273 Material: METAL Color: GRIS Referencia:  Observacion:  Placa padre:  Tipo adquisicion : Entidad</v>
      </c>
      <c r="G18578" s="5"/>
    </row>
    <row r="18579" spans="1:7" ht="58.5" customHeight="1" x14ac:dyDescent="0.25">
      <c r="A18579" s="5" t="str">
        <f>"H0015767"</f>
        <v>H0015767</v>
      </c>
      <c r="B18579" s="5" t="str">
        <f t="shared" si="955"/>
        <v>ESTANTE METALICO 6 ENTREPAÑOS</v>
      </c>
      <c r="C18579" s="6">
        <v>8840.07</v>
      </c>
      <c r="D18579" s="5"/>
      <c r="E18579" s="5" t="str">
        <f t="shared" si="954"/>
        <v>ACTISALUD-WILLIAM ZUÑIGA-ELEMENTOS OFICINA</v>
      </c>
      <c r="F18579" s="5" t="str">
        <f>"Descripcion:ESTANTE METALICO 6 ENTREPAÑOS Estado: Bueno Placa anterior: 000002274 Material: METAL Color: GRIS Referencia:  Observacion:  Placa padre:  Tipo adquisicion : Entidad"</f>
        <v>Descripcion:ESTANTE METALICO 6 ENTREPAÑOS Estado: Bueno Placa anterior: 000002274 Material: METAL Color: GRIS Referencia:  Observacion:  Placa padre:  Tipo adquisicion : Entidad</v>
      </c>
      <c r="G18579" s="5"/>
    </row>
    <row r="18580" spans="1:7" ht="58.5" customHeight="1" x14ac:dyDescent="0.25">
      <c r="A18580" s="5" t="str">
        <f>"H0015768"</f>
        <v>H0015768</v>
      </c>
      <c r="B18580" s="5" t="str">
        <f t="shared" si="955"/>
        <v>ESTANTE METALICO 6 ENTREPAÑOS</v>
      </c>
      <c r="C18580" s="6">
        <v>8840.07</v>
      </c>
      <c r="D18580" s="5"/>
      <c r="E18580" s="5" t="str">
        <f t="shared" si="954"/>
        <v>ACTISALUD-WILLIAM ZUÑIGA-ELEMENTOS OFICINA</v>
      </c>
      <c r="F18580" s="5" t="str">
        <f>"Descripcion:ESTANTE METALICO 6 ENTREPAÑOS Estado: Bueno Placa anterior: 000002263 Material: METAL Color: GRIS Referencia:  Observacion:  Placa padre:  Tipo adquisicion : Entidad"</f>
        <v>Descripcion:ESTANTE METALICO 6 ENTREPAÑOS Estado: Bueno Placa anterior: 000002263 Material: METAL Color: GRIS Referencia:  Observacion:  Placa padre:  Tipo adquisicion : Entidad</v>
      </c>
      <c r="G18580" s="5"/>
    </row>
    <row r="18581" spans="1:7" ht="58.5" customHeight="1" x14ac:dyDescent="0.25">
      <c r="A18581" s="5" t="str">
        <f>"H0015769"</f>
        <v>H0015769</v>
      </c>
      <c r="B18581" s="5" t="str">
        <f t="shared" si="955"/>
        <v>ESTANTE METALICO 6 ENTREPAÑOS</v>
      </c>
      <c r="C18581" s="6">
        <v>8840.07</v>
      </c>
      <c r="D18581" s="5"/>
      <c r="E18581" s="5" t="str">
        <f t="shared" si="954"/>
        <v>ACTISALUD-WILLIAM ZUÑIGA-ELEMENTOS OFICINA</v>
      </c>
      <c r="F18581" s="5" t="str">
        <f>"Descripcion:ESTANTE METALICO 6 ENTREPAÑOS Estado: Bueno Placa anterior: 000002264 Material: METAL Color: GRIS Referencia:  Observacion:  Placa padre:  Tipo adquisicion : Entidad"</f>
        <v>Descripcion:ESTANTE METALICO 6 ENTREPAÑOS Estado: Bueno Placa anterior: 000002264 Material: METAL Color: GRIS Referencia:  Observacion:  Placa padre:  Tipo adquisicion : Entidad</v>
      </c>
      <c r="G18581" s="5"/>
    </row>
    <row r="18582" spans="1:7" ht="58.5" customHeight="1" x14ac:dyDescent="0.25">
      <c r="A18582" s="5" t="str">
        <f>"H0015770"</f>
        <v>H0015770</v>
      </c>
      <c r="B18582" s="5" t="str">
        <f t="shared" si="955"/>
        <v>ESTANTE METALICO 6 ENTREPAÑOS</v>
      </c>
      <c r="C18582" s="6">
        <v>8840.07</v>
      </c>
      <c r="D18582" s="5"/>
      <c r="E18582" s="5" t="str">
        <f t="shared" si="954"/>
        <v>ACTISALUD-WILLIAM ZUÑIGA-ELEMENTOS OFICINA</v>
      </c>
      <c r="F18582" s="5" t="str">
        <f>"Descripcion:ESTANTE METALICO 6 ENTREPAÑOS Estado: Bueno Placa anterior: 000002265 Material: METAL Color: GRIS Referencia:  Observacion:  Placa padre:  Tipo adquisicion : Entidad"</f>
        <v>Descripcion:ESTANTE METALICO 6 ENTREPAÑOS Estado: Bueno Placa anterior: 000002265 Material: METAL Color: GRIS Referencia:  Observacion:  Placa padre:  Tipo adquisicion : Entidad</v>
      </c>
      <c r="G18582" s="5"/>
    </row>
    <row r="18583" spans="1:7" ht="58.5" customHeight="1" x14ac:dyDescent="0.25">
      <c r="A18583" s="5" t="str">
        <f>"H0015771"</f>
        <v>H0015771</v>
      </c>
      <c r="B18583" s="5" t="str">
        <f t="shared" si="955"/>
        <v>ESTANTE METALICO 6 ENTREPAÑOS</v>
      </c>
      <c r="C18583" s="6">
        <v>8840.07</v>
      </c>
      <c r="D18583" s="5"/>
      <c r="E18583" s="5" t="str">
        <f t="shared" si="954"/>
        <v>ACTISALUD-WILLIAM ZUÑIGA-ELEMENTOS OFICINA</v>
      </c>
      <c r="F18583" s="5" t="str">
        <f>"Descripcion:ESTANTE METALICO 6 ENTREPAÑOS Estado: Bueno Placa anterior: 000002266 Material: METAL Color: GRIS Referencia:  Observacion:  Placa padre:  Tipo adquisicion : Entidad"</f>
        <v>Descripcion:ESTANTE METALICO 6 ENTREPAÑOS Estado: Bueno Placa anterior: 000002266 Material: METAL Color: GRIS Referencia:  Observacion:  Placa padre:  Tipo adquisicion : Entidad</v>
      </c>
      <c r="G18583" s="5"/>
    </row>
    <row r="18584" spans="1:7" ht="58.5" customHeight="1" x14ac:dyDescent="0.25">
      <c r="A18584" s="5" t="str">
        <f>"H0015772"</f>
        <v>H0015772</v>
      </c>
      <c r="B18584" s="5" t="str">
        <f t="shared" si="955"/>
        <v>ESTANTE METALICO 6 ENTREPAÑOS</v>
      </c>
      <c r="C18584" s="6">
        <v>8840.07</v>
      </c>
      <c r="D18584" s="5"/>
      <c r="E18584" s="5" t="str">
        <f t="shared" si="954"/>
        <v>ACTISALUD-WILLIAM ZUÑIGA-ELEMENTOS OFICINA</v>
      </c>
      <c r="F18584" s="5" t="str">
        <f>"Descripcion:ESTANTE METALICO 6 ENTREPAÑOS Estado: Bueno Placa anterior: 000002267 Material: METAL Color: GRIS Referencia:  Observacion:  Placa padre:  Tipo adquisicion : Entidad"</f>
        <v>Descripcion:ESTANTE METALICO 6 ENTREPAÑOS Estado: Bueno Placa anterior: 000002267 Material: METAL Color: GRIS Referencia:  Observacion:  Placa padre:  Tipo adquisicion : Entidad</v>
      </c>
      <c r="G18584" s="5"/>
    </row>
    <row r="18585" spans="1:7" ht="58.5" customHeight="1" x14ac:dyDescent="0.25">
      <c r="A18585" s="5" t="str">
        <f>"H0015773"</f>
        <v>H0015773</v>
      </c>
      <c r="B18585" s="5" t="str">
        <f t="shared" si="955"/>
        <v>ESTANTE METALICO 6 ENTREPAÑOS</v>
      </c>
      <c r="C18585" s="6">
        <v>8840.07</v>
      </c>
      <c r="D18585" s="5"/>
      <c r="E18585" s="5" t="str">
        <f t="shared" si="954"/>
        <v>ACTISALUD-WILLIAM ZUÑIGA-ELEMENTOS OFICINA</v>
      </c>
      <c r="F18585" s="5" t="str">
        <f>"Descripcion:ESTANTE METALICO 6 ENTREPAÑOS Estado: Bueno Placa anterior: 000002268 Material: METAL Color: GRIS Referencia:  Observacion:  Placa padre:  Tipo adquisicion : Entidad"</f>
        <v>Descripcion:ESTANTE METALICO 6 ENTREPAÑOS Estado: Bueno Placa anterior: 000002268 Material: METAL Color: GRIS Referencia:  Observacion:  Placa padre:  Tipo adquisicion : Entidad</v>
      </c>
      <c r="G18585" s="5"/>
    </row>
    <row r="18586" spans="1:7" ht="58.5" customHeight="1" x14ac:dyDescent="0.25">
      <c r="A18586" s="5" t="str">
        <f>"H0015774"</f>
        <v>H0015774</v>
      </c>
      <c r="B18586" s="5" t="str">
        <f t="shared" si="955"/>
        <v>ESTANTE METALICO 6 ENTREPAÑOS</v>
      </c>
      <c r="C18586" s="6">
        <v>8840.07</v>
      </c>
      <c r="D18586" s="5"/>
      <c r="E18586" s="5" t="str">
        <f t="shared" si="954"/>
        <v>ACTISALUD-WILLIAM ZUÑIGA-ELEMENTOS OFICINA</v>
      </c>
      <c r="F18586" s="5" t="str">
        <f>"Descripcion:ESTANTE METALICO 6 ENTREPAÑOS Estado: Bueno Placa anterior: 000002269 Material: METAL Color: GRIS Referencia:  Observacion:  Placa padre:  Tipo adquisicion : Entidad"</f>
        <v>Descripcion:ESTANTE METALICO 6 ENTREPAÑOS Estado: Bueno Placa anterior: 000002269 Material: METAL Color: GRIS Referencia:  Observacion:  Placa padre:  Tipo adquisicion : Entidad</v>
      </c>
      <c r="G18586" s="5"/>
    </row>
    <row r="18587" spans="1:7" ht="58.5" customHeight="1" x14ac:dyDescent="0.25">
      <c r="A18587" s="5" t="str">
        <f>"H0015775"</f>
        <v>H0015775</v>
      </c>
      <c r="B18587" s="5" t="str">
        <f t="shared" si="955"/>
        <v>ESTANTE METALICO 6 ENTREPAÑOS</v>
      </c>
      <c r="C18587" s="6">
        <v>8840.07</v>
      </c>
      <c r="D18587" s="5"/>
      <c r="E18587" s="5" t="str">
        <f t="shared" si="954"/>
        <v>ACTISALUD-WILLIAM ZUÑIGA-ELEMENTOS OFICINA</v>
      </c>
      <c r="F18587" s="5" t="str">
        <f>"Descripcion:ESTANTE METALICO 6 ENTREPAÑOS Estado: Bueno Placa anterior: 000002270 Material: METAL Color: GRIS Referencia:  Observacion:  Placa padre:  Tipo adquisicion : Entidad"</f>
        <v>Descripcion:ESTANTE METALICO 6 ENTREPAÑOS Estado: Bueno Placa anterior: 000002270 Material: METAL Color: GRIS Referencia:  Observacion:  Placa padre:  Tipo adquisicion : Entidad</v>
      </c>
      <c r="G18587" s="5"/>
    </row>
    <row r="18588" spans="1:7" ht="58.5" customHeight="1" x14ac:dyDescent="0.25">
      <c r="A18588" s="5" t="str">
        <f>"H0015776"</f>
        <v>H0015776</v>
      </c>
      <c r="B18588" s="5" t="str">
        <f t="shared" si="955"/>
        <v>ESTANTE METALICO 6 ENTREPAÑOS</v>
      </c>
      <c r="C18588" s="6">
        <v>8840.07</v>
      </c>
      <c r="D18588" s="5"/>
      <c r="E18588" s="5" t="str">
        <f t="shared" si="954"/>
        <v>ACTISALUD-WILLIAM ZUÑIGA-ELEMENTOS OFICINA</v>
      </c>
      <c r="F18588" s="5" t="str">
        <f>"Descripcion:ESTANTE METALICO 6 ENTREPAÑOS Estado: Bueno Placa anterior: 000002271 Material: METAL Color: GRIS Referencia:  Observacion:  Placa padre:  Tipo adquisicion : Entidad"</f>
        <v>Descripcion:ESTANTE METALICO 6 ENTREPAÑOS Estado: Bueno Placa anterior: 000002271 Material: METAL Color: GRIS Referencia:  Observacion:  Placa padre:  Tipo adquisicion : Entidad</v>
      </c>
      <c r="G18588" s="5"/>
    </row>
    <row r="18589" spans="1:7" ht="58.5" customHeight="1" x14ac:dyDescent="0.25">
      <c r="A18589" s="5" t="str">
        <f>"H0015777"</f>
        <v>H0015777</v>
      </c>
      <c r="B18589" s="5" t="str">
        <f t="shared" si="955"/>
        <v>ESTANTE METALICO 6 ENTREPAÑOS</v>
      </c>
      <c r="C18589" s="6">
        <v>8840.07</v>
      </c>
      <c r="D18589" s="5"/>
      <c r="E18589" s="5" t="str">
        <f t="shared" si="954"/>
        <v>ACTISALUD-WILLIAM ZUÑIGA-ELEMENTOS OFICINA</v>
      </c>
      <c r="F18589" s="5" t="str">
        <f>"Descripcion:ESTANTE METALICO 6 ENTREPAÑOS Estado: Bueno Placa anterior: 000002299 Material: METAL Color: GRIS Referencia:  Observacion:  Placa padre:  Tipo adquisicion : Entidad"</f>
        <v>Descripcion:ESTANTE METALICO 6 ENTREPAÑOS Estado: Bueno Placa anterior: 000002299 Material: METAL Color: GRIS Referencia:  Observacion:  Placa padre:  Tipo adquisicion : Entidad</v>
      </c>
      <c r="G18589" s="5"/>
    </row>
    <row r="18590" spans="1:7" ht="58.5" customHeight="1" x14ac:dyDescent="0.25">
      <c r="A18590" s="5" t="str">
        <f>"H0015778"</f>
        <v>H0015778</v>
      </c>
      <c r="B18590" s="5" t="str">
        <f t="shared" si="955"/>
        <v>ESTANTE METALICO 6 ENTREPAÑOS</v>
      </c>
      <c r="C18590" s="6">
        <v>8840.07</v>
      </c>
      <c r="D18590" s="5"/>
      <c r="E18590" s="5" t="str">
        <f t="shared" si="954"/>
        <v>ACTISALUD-WILLIAM ZUÑIGA-ELEMENTOS OFICINA</v>
      </c>
      <c r="F18590" s="5" t="str">
        <f>"Descripcion:ESTANTE METALICO 6 ENTREPAÑOS Estado: Bueno Placa anterior: 000002300 Material: METAL Color: GRIS Referencia:  Observacion:  Placa padre:  Tipo adquisicion : Entidad"</f>
        <v>Descripcion:ESTANTE METALICO 6 ENTREPAÑOS Estado: Bueno Placa anterior: 000002300 Material: METAL Color: GRIS Referencia:  Observacion:  Placa padre:  Tipo adquisicion : Entidad</v>
      </c>
      <c r="G18590" s="5"/>
    </row>
    <row r="18591" spans="1:7" ht="58.5" customHeight="1" x14ac:dyDescent="0.25">
      <c r="A18591" s="5" t="str">
        <f>"H0015779"</f>
        <v>H0015779</v>
      </c>
      <c r="B18591" s="5" t="str">
        <f t="shared" si="955"/>
        <v>ESTANTE METALICO 6 ENTREPAÑOS</v>
      </c>
      <c r="C18591" s="6">
        <v>8840.07</v>
      </c>
      <c r="D18591" s="5"/>
      <c r="E18591" s="5" t="str">
        <f t="shared" si="954"/>
        <v>ACTISALUD-WILLIAM ZUÑIGA-ELEMENTOS OFICINA</v>
      </c>
      <c r="F18591" s="5" t="str">
        <f>"Descripcion:ESTANTE METALICO 6 ENTREPAÑOS Estado: Bueno Placa anterior: 000002301 Material: METAL Color: GRIS Referencia:  Observacion:  Placa padre:  Tipo adquisicion : Entidad"</f>
        <v>Descripcion:ESTANTE METALICO 6 ENTREPAÑOS Estado: Bueno Placa anterior: 000002301 Material: METAL Color: GRIS Referencia:  Observacion:  Placa padre:  Tipo adquisicion : Entidad</v>
      </c>
      <c r="G18591" s="5"/>
    </row>
    <row r="18592" spans="1:7" ht="58.5" customHeight="1" x14ac:dyDescent="0.25">
      <c r="A18592" s="5" t="str">
        <f>"H0015780"</f>
        <v>H0015780</v>
      </c>
      <c r="B18592" s="5" t="str">
        <f t="shared" si="955"/>
        <v>ESTANTE METALICO 6 ENTREPAÑOS</v>
      </c>
      <c r="C18592" s="6">
        <v>8840.07</v>
      </c>
      <c r="D18592" s="5"/>
      <c r="E18592" s="5" t="str">
        <f t="shared" si="954"/>
        <v>ACTISALUD-WILLIAM ZUÑIGA-ELEMENTOS OFICINA</v>
      </c>
      <c r="F18592" s="5" t="str">
        <f>"Descripcion:ESTANTE METALICO 6 ENTREPAÑOS Estado: Bueno Placa anterior: 000002302 Material: METAL Color: GRIS Referencia:  Observacion:  Placa padre:  Tipo adquisicion : Entidad"</f>
        <v>Descripcion:ESTANTE METALICO 6 ENTREPAÑOS Estado: Bueno Placa anterior: 000002302 Material: METAL Color: GRIS Referencia:  Observacion:  Placa padre:  Tipo adquisicion : Entidad</v>
      </c>
      <c r="G18592" s="5"/>
    </row>
    <row r="18593" spans="1:7" ht="58.5" customHeight="1" x14ac:dyDescent="0.25">
      <c r="A18593" s="5" t="str">
        <f>"H0015788"</f>
        <v>H0015788</v>
      </c>
      <c r="B18593" s="5" t="str">
        <f>"BUTACO GIRATORIO SIN RUEDAS"</f>
        <v>BUTACO GIRATORIO SIN RUEDAS</v>
      </c>
      <c r="C18593" s="6">
        <v>345000</v>
      </c>
      <c r="D18593" s="5"/>
      <c r="E18593" s="5" t="str">
        <f t="shared" si="954"/>
        <v>ACTISALUD-WILLIAM ZUÑIGA-ELEMENTOS OFICINA</v>
      </c>
      <c r="F18593" s="5" t="str">
        <f>"Descripcion:BUTACO Estado: Regular Placa anterior: 000033266 Material: METAL Y CUERINA Color: PLATEADO Y NEGRO Referencia:  Observacion:  Placa padre:  Tipo adquisicion : Entidad"</f>
        <v>Descripcion:BUTACO Estado: Regular Placa anterior: 000033266 Material: METAL Y CUERINA Color: PLATEADO Y NEGRO Referencia:  Observacion:  Placa padre:  Tipo adquisicion : Entidad</v>
      </c>
      <c r="G18593" s="5"/>
    </row>
    <row r="18594" spans="1:7" ht="58.5" customHeight="1" x14ac:dyDescent="0.25">
      <c r="A18594" s="5" t="str">
        <f>"H0015789"</f>
        <v>H0015789</v>
      </c>
      <c r="B18594" s="5" t="str">
        <f>"MESA METALICA AUXILIAR"</f>
        <v>MESA METALICA AUXILIAR</v>
      </c>
      <c r="C18594" s="6">
        <v>7853.5</v>
      </c>
      <c r="D18594" s="5"/>
      <c r="E18594" s="5" t="str">
        <f t="shared" si="954"/>
        <v>ACTISALUD-WILLIAM ZUÑIGA-ELEMENTOS OFICINA</v>
      </c>
      <c r="F18594" s="5" t="str">
        <f>"Descripcion:MESA MECANOGRAFA SIN ALA Estado: Bueno Placa anterior: 000009770 Material: METAL Y FORMICA Color: GRIS Y MADERA Referencia:  Observacion:  Placa padre:  Tipo adquisicion : Entidad"</f>
        <v>Descripcion:MESA MECANOGRAFA SIN ALA Estado: Bueno Placa anterior: 000009770 Material: METAL Y FORMICA Color: GRIS Y MADERA Referencia:  Observacion:  Placa padre:  Tipo adquisicion : Entidad</v>
      </c>
      <c r="G18594" s="5"/>
    </row>
    <row r="18595" spans="1:7" ht="58.5" customHeight="1" x14ac:dyDescent="0.25">
      <c r="A18595" s="5" t="str">
        <f>"H0015790"</f>
        <v>H0015790</v>
      </c>
      <c r="B18595" s="5" t="str">
        <f>"MESA DE MADERA PARA COMPUTADOR"</f>
        <v>MESA DE MADERA PARA COMPUTADOR</v>
      </c>
      <c r="C18595" s="6">
        <v>139832.56</v>
      </c>
      <c r="D18595" s="5"/>
      <c r="E18595" s="5" t="str">
        <f t="shared" ref="E18595:E18622" si="956">"ACTISALUD-WILLIAM ZUÑIGA-ELEMENTOS OFICINA"</f>
        <v>ACTISALUD-WILLIAM ZUÑIGA-ELEMENTOS OFICINA</v>
      </c>
      <c r="F18595" s="5" t="str">
        <f>"Descripcion:MESA PARA COMPUTADOR Estado: Bueno Placa anterior: 000006716 Material: MADERA Y FORMICA Color: NEGRO Y MADERA  Referencia:  Observacion:  Placa padre:  Tipo adquisicion : Entidad"</f>
        <v>Descripcion:MESA PARA COMPUTADOR Estado: Bueno Placa anterior: 000006716 Material: MADERA Y FORMICA Color: NEGRO Y MADERA  Referencia:  Observacion:  Placa padre:  Tipo adquisicion : Entidad</v>
      </c>
      <c r="G18595" s="5"/>
    </row>
    <row r="18596" spans="1:7" ht="58.5" customHeight="1" x14ac:dyDescent="0.25">
      <c r="A18596" s="5" t="str">
        <f>"H0015888"</f>
        <v>H0015888</v>
      </c>
      <c r="B18596" s="5" t="str">
        <f t="shared" ref="B18596:B18606" si="957">"ESTANTE METALICO 6 ENTREPAÑOS"</f>
        <v>ESTANTE METALICO 6 ENTREPAÑOS</v>
      </c>
      <c r="C18596" s="6">
        <v>8840.07</v>
      </c>
      <c r="D18596" s="5"/>
      <c r="E18596" s="5" t="str">
        <f t="shared" si="956"/>
        <v>ACTISALUD-WILLIAM ZUÑIGA-ELEMENTOS OFICINA</v>
      </c>
      <c r="F18596" s="5" t="str">
        <f>"Descripcion:ESTANTE METALICO 6 ENTREPAÑOS Estado: Bueno Placa anterior: 000002296 Material: METAL Color: GRIS Referencia:  Observacion:  Placa padre:  Tipo adquisicion : Entidad"</f>
        <v>Descripcion:ESTANTE METALICO 6 ENTREPAÑOS Estado: Bueno Placa anterior: 000002296 Material: METAL Color: GRIS Referencia:  Observacion:  Placa padre:  Tipo adquisicion : Entidad</v>
      </c>
      <c r="G18596" s="5"/>
    </row>
    <row r="18597" spans="1:7" ht="58.5" customHeight="1" x14ac:dyDescent="0.25">
      <c r="A18597" s="5" t="str">
        <f>"H0015889"</f>
        <v>H0015889</v>
      </c>
      <c r="B18597" s="5" t="str">
        <f t="shared" si="957"/>
        <v>ESTANTE METALICO 6 ENTREPAÑOS</v>
      </c>
      <c r="C18597" s="6">
        <v>8840.07</v>
      </c>
      <c r="D18597" s="5"/>
      <c r="E18597" s="5" t="str">
        <f t="shared" si="956"/>
        <v>ACTISALUD-WILLIAM ZUÑIGA-ELEMENTOS OFICINA</v>
      </c>
      <c r="F18597" s="5" t="str">
        <f>"Descripcion:ESTANTE METALICO 6 ENTREPAÑOS Estado: Bueno Placa anterior: 000002297 Material: METAL Color: GRIS Referencia:  Observacion:  Placa padre:  Tipo adquisicion : Entidad"</f>
        <v>Descripcion:ESTANTE METALICO 6 ENTREPAÑOS Estado: Bueno Placa anterior: 000002297 Material: METAL Color: GRIS Referencia:  Observacion:  Placa padre:  Tipo adquisicion : Entidad</v>
      </c>
      <c r="G18597" s="5"/>
    </row>
    <row r="18598" spans="1:7" ht="58.5" customHeight="1" x14ac:dyDescent="0.25">
      <c r="A18598" s="5" t="str">
        <f>"H0015890"</f>
        <v>H0015890</v>
      </c>
      <c r="B18598" s="5" t="str">
        <f t="shared" si="957"/>
        <v>ESTANTE METALICO 6 ENTREPAÑOS</v>
      </c>
      <c r="C18598" s="6">
        <v>8840.07</v>
      </c>
      <c r="D18598" s="5"/>
      <c r="E18598" s="5" t="str">
        <f t="shared" si="956"/>
        <v>ACTISALUD-WILLIAM ZUÑIGA-ELEMENTOS OFICINA</v>
      </c>
      <c r="F18598" s="5" t="str">
        <f>"Descripcion:ESTANTE METALICO 6 ENTREPAÑOS Estado: Bueno Placa anterior: 000002298 Material: METAL Color: GRIS Referencia:  Observacion:  Placa padre:  Tipo adquisicion : Entidad"</f>
        <v>Descripcion:ESTANTE METALICO 6 ENTREPAÑOS Estado: Bueno Placa anterior: 000002298 Material: METAL Color: GRIS Referencia:  Observacion:  Placa padre:  Tipo adquisicion : Entidad</v>
      </c>
      <c r="G18598" s="5"/>
    </row>
    <row r="18599" spans="1:7" ht="58.5" customHeight="1" x14ac:dyDescent="0.25">
      <c r="A18599" s="5" t="str">
        <f>"H0015891"</f>
        <v>H0015891</v>
      </c>
      <c r="B18599" s="5" t="str">
        <f t="shared" si="957"/>
        <v>ESTANTE METALICO 6 ENTREPAÑOS</v>
      </c>
      <c r="C18599" s="6">
        <v>8840.07</v>
      </c>
      <c r="D18599" s="5"/>
      <c r="E18599" s="5" t="str">
        <f t="shared" si="956"/>
        <v>ACTISALUD-WILLIAM ZUÑIGA-ELEMENTOS OFICINA</v>
      </c>
      <c r="F18599" s="5" t="str">
        <f>"Descripcion:ESTANTE METALICO 6 ENTREPAÑOS Estado: Bueno Placa anterior: 000002295 Material: METAL Color: GRIS Referencia:  Observacion:  Placa padre:  Tipo adquisicion : Entidad"</f>
        <v>Descripcion:ESTANTE METALICO 6 ENTREPAÑOS Estado: Bueno Placa anterior: 000002295 Material: METAL Color: GRIS Referencia:  Observacion:  Placa padre:  Tipo adquisicion : Entidad</v>
      </c>
      <c r="G18599" s="5"/>
    </row>
    <row r="18600" spans="1:7" ht="58.5" customHeight="1" x14ac:dyDescent="0.25">
      <c r="A18600" s="5" t="str">
        <f>"H0015892"</f>
        <v>H0015892</v>
      </c>
      <c r="B18600" s="5" t="str">
        <f t="shared" si="957"/>
        <v>ESTANTE METALICO 6 ENTREPAÑOS</v>
      </c>
      <c r="C18600" s="6">
        <v>8840.07</v>
      </c>
      <c r="D18600" s="5"/>
      <c r="E18600" s="5" t="str">
        <f t="shared" si="956"/>
        <v>ACTISALUD-WILLIAM ZUÑIGA-ELEMENTOS OFICINA</v>
      </c>
      <c r="F18600" s="5" t="str">
        <f>"Descripcion:ESTANTE METALICO 6 ENTREPAÑOS Estado: Bueno Placa anterior: 000002294 Material: METAL Color: GRIS Referencia:  Observacion:  Placa padre:  Tipo adquisicion : Entidad"</f>
        <v>Descripcion:ESTANTE METALICO 6 ENTREPAÑOS Estado: Bueno Placa anterior: 000002294 Material: METAL Color: GRIS Referencia:  Observacion:  Placa padre:  Tipo adquisicion : Entidad</v>
      </c>
      <c r="G18600" s="5"/>
    </row>
    <row r="18601" spans="1:7" ht="58.5" customHeight="1" x14ac:dyDescent="0.25">
      <c r="A18601" s="5" t="str">
        <f>"H0015893"</f>
        <v>H0015893</v>
      </c>
      <c r="B18601" s="5" t="str">
        <f t="shared" si="957"/>
        <v>ESTANTE METALICO 6 ENTREPAÑOS</v>
      </c>
      <c r="C18601" s="6">
        <v>8840.07</v>
      </c>
      <c r="D18601" s="5"/>
      <c r="E18601" s="5" t="str">
        <f t="shared" si="956"/>
        <v>ACTISALUD-WILLIAM ZUÑIGA-ELEMENTOS OFICINA</v>
      </c>
      <c r="F18601" s="5" t="str">
        <f>"Descripcion:ESTANTE METALICO 6 ENTREPAÑOS Estado: Bueno Placa anterior: 000002293 Material: METAL Color: GRIS Referencia:  Observacion:  Placa padre:  Tipo adquisicion : Entidad"</f>
        <v>Descripcion:ESTANTE METALICO 6 ENTREPAÑOS Estado: Bueno Placa anterior: 000002293 Material: METAL Color: GRIS Referencia:  Observacion:  Placa padre:  Tipo adquisicion : Entidad</v>
      </c>
      <c r="G18601" s="5"/>
    </row>
    <row r="18602" spans="1:7" ht="58.5" customHeight="1" x14ac:dyDescent="0.25">
      <c r="A18602" s="5" t="str">
        <f>"H0015895"</f>
        <v>H0015895</v>
      </c>
      <c r="B18602" s="5" t="str">
        <f t="shared" si="957"/>
        <v>ESTANTE METALICO 6 ENTREPAÑOS</v>
      </c>
      <c r="C18602" s="6">
        <v>8840.07</v>
      </c>
      <c r="D18602" s="5"/>
      <c r="E18602" s="5" t="str">
        <f t="shared" si="956"/>
        <v>ACTISALUD-WILLIAM ZUÑIGA-ELEMENTOS OFICINA</v>
      </c>
      <c r="F18602" s="5" t="str">
        <f>"Descripcion:ESTANTE METALICO 6 ENTREPAÑOS Estado: Bueno Placa anterior: 000002290 Material: METAL Color: GRIS Referencia:  Observacion:  Placa padre:  Tipo adquisicion : Entidad"</f>
        <v>Descripcion:ESTANTE METALICO 6 ENTREPAÑOS Estado: Bueno Placa anterior: 000002290 Material: METAL Color: GRIS Referencia:  Observacion:  Placa padre:  Tipo adquisicion : Entidad</v>
      </c>
      <c r="G18602" s="5"/>
    </row>
    <row r="18603" spans="1:7" ht="58.5" customHeight="1" x14ac:dyDescent="0.25">
      <c r="A18603" s="5" t="str">
        <f>"H0015896"</f>
        <v>H0015896</v>
      </c>
      <c r="B18603" s="5" t="str">
        <f t="shared" si="957"/>
        <v>ESTANTE METALICO 6 ENTREPAÑOS</v>
      </c>
      <c r="C18603" s="6">
        <v>8840.07</v>
      </c>
      <c r="D18603" s="5"/>
      <c r="E18603" s="5" t="str">
        <f t="shared" si="956"/>
        <v>ACTISALUD-WILLIAM ZUÑIGA-ELEMENTOS OFICINA</v>
      </c>
      <c r="F18603" s="5" t="str">
        <f>"Descripcion:ESTANTE METALICO 6 ENTREPAÑOS Estado: Bueno Placa anterior: 000002291 Material: METAL Color: GRIS Referencia:  Observacion:  Placa padre:  Tipo adquisicion : Entidad"</f>
        <v>Descripcion:ESTANTE METALICO 6 ENTREPAÑOS Estado: Bueno Placa anterior: 000002291 Material: METAL Color: GRIS Referencia:  Observacion:  Placa padre:  Tipo adquisicion : Entidad</v>
      </c>
      <c r="G18603" s="5"/>
    </row>
    <row r="18604" spans="1:7" ht="58.5" customHeight="1" x14ac:dyDescent="0.25">
      <c r="A18604" s="5" t="str">
        <f>"H0015897"</f>
        <v>H0015897</v>
      </c>
      <c r="B18604" s="5" t="str">
        <f t="shared" si="957"/>
        <v>ESTANTE METALICO 6 ENTREPAÑOS</v>
      </c>
      <c r="C18604" s="6">
        <v>8840.07</v>
      </c>
      <c r="D18604" s="5"/>
      <c r="E18604" s="5" t="str">
        <f t="shared" si="956"/>
        <v>ACTISALUD-WILLIAM ZUÑIGA-ELEMENTOS OFICINA</v>
      </c>
      <c r="F18604" s="5" t="str">
        <f>"Descripcion:ESTANTE METALICO 6 ENTREPAÑOS Estado: Bueno Placa anterior: 000002292 Material: METAL Color: GRIS Referencia:  Observacion:  Placa padre:  Tipo adquisicion : Entidad"</f>
        <v>Descripcion:ESTANTE METALICO 6 ENTREPAÑOS Estado: Bueno Placa anterior: 000002292 Material: METAL Color: GRIS Referencia:  Observacion:  Placa padre:  Tipo adquisicion : Entidad</v>
      </c>
      <c r="G18604" s="5"/>
    </row>
    <row r="18605" spans="1:7" ht="58.5" customHeight="1" x14ac:dyDescent="0.25">
      <c r="A18605" s="5" t="str">
        <f>"H0015898"</f>
        <v>H0015898</v>
      </c>
      <c r="B18605" s="5" t="str">
        <f t="shared" si="957"/>
        <v>ESTANTE METALICO 6 ENTREPAÑOS</v>
      </c>
      <c r="C18605" s="6">
        <v>8840.07</v>
      </c>
      <c r="D18605" s="5"/>
      <c r="E18605" s="5" t="str">
        <f t="shared" si="956"/>
        <v>ACTISALUD-WILLIAM ZUÑIGA-ELEMENTOS OFICINA</v>
      </c>
      <c r="F18605" s="5" t="str">
        <f>"Descripcion:ESTANTE METALICO 6 ENTREPAÑOS Estado: Bueno Placa anterior: 000002289 Material: METAL Color: GRIS Referencia:  Observacion:  Placa padre:  Tipo adquisicion : Entidad"</f>
        <v>Descripcion:ESTANTE METALICO 6 ENTREPAÑOS Estado: Bueno Placa anterior: 000002289 Material: METAL Color: GRIS Referencia:  Observacion:  Placa padre:  Tipo adquisicion : Entidad</v>
      </c>
      <c r="G18605" s="5"/>
    </row>
    <row r="18606" spans="1:7" ht="58.5" customHeight="1" x14ac:dyDescent="0.25">
      <c r="A18606" s="5" t="str">
        <f>"H0015900"</f>
        <v>H0015900</v>
      </c>
      <c r="B18606" s="5" t="str">
        <f t="shared" si="957"/>
        <v>ESTANTE METALICO 6 ENTREPAÑOS</v>
      </c>
      <c r="C18606" s="6">
        <v>8840.07</v>
      </c>
      <c r="D18606" s="5"/>
      <c r="E18606" s="5" t="str">
        <f t="shared" si="956"/>
        <v>ACTISALUD-WILLIAM ZUÑIGA-ELEMENTOS OFICINA</v>
      </c>
      <c r="F18606" s="5" t="str">
        <f>"Descripcion:ESTANTE METALICO 6 ENTREPAÑOS Estado: Bueno Placa anterior: 000002288 Material: METAL Color: GRIS Referencia:  Observacion:  Placa padre:  Tipo adquisicion : Entidad"</f>
        <v>Descripcion:ESTANTE METALICO 6 ENTREPAÑOS Estado: Bueno Placa anterior: 000002288 Material: METAL Color: GRIS Referencia:  Observacion:  Placa padre:  Tipo adquisicion : Entidad</v>
      </c>
      <c r="G18606" s="5"/>
    </row>
    <row r="18607" spans="1:7" ht="58.5" customHeight="1" x14ac:dyDescent="0.25">
      <c r="A18607" s="5" t="str">
        <f>"H0016923"</f>
        <v>H0016923</v>
      </c>
      <c r="B18607" s="5" t="str">
        <f>"ARMARIO"</f>
        <v>ARMARIO</v>
      </c>
      <c r="C18607" s="6">
        <v>571320</v>
      </c>
      <c r="D18607" s="5"/>
      <c r="E18607" s="5" t="str">
        <f t="shared" si="956"/>
        <v>ACTISALUD-WILLIAM ZUÑIGA-ELEMENTOS OFICINA</v>
      </c>
      <c r="F18607" s="5" t="str">
        <f>"Descripcion:ARMARIO METALICO CON CERRADURA Y PUERTAS, 4 ENTREPAÑOS Estado: Bueno Placa anterior: 000028675 Material: METAL Color: GRIS Referencia:  Observacion:  Placa padre:  Tipo adquisicion : Donacion"</f>
        <v>Descripcion:ARMARIO METALICO CON CERRADURA Y PUERTAS, 4 ENTREPAÑOS Estado: Bueno Placa anterior: 000028675 Material: METAL Color: GRIS Referencia:  Observacion:  Placa padre:  Tipo adquisicion : Donacion</v>
      </c>
      <c r="G18607" s="5"/>
    </row>
    <row r="18608" spans="1:7" ht="58.5" customHeight="1" x14ac:dyDescent="0.25">
      <c r="A18608" s="5" t="str">
        <f>"H0016933"</f>
        <v>H0016933</v>
      </c>
      <c r="B18608" s="5" t="str">
        <f>"AIRE ACONDICIONADO 18000 BTU"</f>
        <v>AIRE ACONDICIONADO 18000 BTU</v>
      </c>
      <c r="C18608" s="6">
        <v>3009040</v>
      </c>
      <c r="D18608" s="5" t="s">
        <v>52</v>
      </c>
      <c r="E18608" s="5" t="str">
        <f t="shared" si="956"/>
        <v>ACTISALUD-WILLIAM ZUÑIGA-ELEMENTOS OFICINA</v>
      </c>
      <c r="F18608" s="5" t="str">
        <f>"Descripcion:EQUIPO AIRE ACONDICIONADO BTU 18000 Estado: Bueno Placa anterior: 000036401 Material: PASTA Color: BLANCO Referencia:  Observacion: EL SERIAL VISUALIZADO ES EL  405HAC0000425   Y NO EL 407HACQ00435   Placa padre:  Tipo adquisicion : Entidad"</f>
        <v>Descripcion:EQUIPO AIRE ACONDICIONADO BTU 18000 Estado: Bueno Placa anterior: 000036401 Material: PASTA Color: BLANCO Referencia:  Observacion: EL SERIAL VISUALIZADO ES EL  405HAC0000425   Y NO EL 407HACQ00435   Placa padre:  Tipo adquisicion : Entidad</v>
      </c>
      <c r="G18608" s="5" t="str">
        <f>"VM242CENC2"</f>
        <v>VM242CENC2</v>
      </c>
    </row>
    <row r="18609" spans="1:7" ht="58.5" customHeight="1" x14ac:dyDescent="0.25">
      <c r="A18609" s="5" t="str">
        <f>"H0016934"</f>
        <v>H0016934</v>
      </c>
      <c r="B18609" s="5" t="str">
        <f>"AIRE ACONDICIONADO TIPO VENTANA 12000 BTU"</f>
        <v>AIRE ACONDICIONADO TIPO VENTANA 12000 BTU</v>
      </c>
      <c r="C18609" s="6">
        <v>910000</v>
      </c>
      <c r="D18609" s="5"/>
      <c r="E18609" s="5" t="str">
        <f t="shared" si="956"/>
        <v>ACTISALUD-WILLIAM ZUÑIGA-ELEMENTOS OFICINA</v>
      </c>
      <c r="F18609" s="5" t="str">
        <f>"Descripcion:AIRE ACONDICIONADO VENTANA LG LWC- 123CS 12.000 BTU CONTROL REMOTO Estado: Bueno Placa anterior: 000022923 Material: PASTA Color: BEIGE Referencia:  Observacion: NO TENIA PLACA ANTERIOR, POR MARCA SE ASOCIA CON LA PLACA 22923, NO SE VISUALIZAR"&amp; "ON SERIALES Placa padre:  Tipo adquisicion : Entidad"</f>
        <v>Descripcion:AIRE ACONDICIONADO VENTANA LG LWC- 123CS 12.000 BTU CONTROL REMOTO Estado: Bueno Placa anterior: 000022923 Material: PASTA Color: BEIGE Referencia:  Observacion: NO TENIA PLACA ANTERIOR, POR MARCA SE ASOCIA CON LA PLACA 22923, NO SE VISUALIZARON SERIALES Placa padre:  Tipo adquisicion : Entidad</v>
      </c>
      <c r="G18609" s="5" t="str">
        <f>"LWC123CSMK1"</f>
        <v>LWC123CSMK1</v>
      </c>
    </row>
    <row r="18610" spans="1:7" ht="58.5" customHeight="1" x14ac:dyDescent="0.25">
      <c r="A18610" s="5" t="str">
        <f>"H0016936"</f>
        <v>H0016936</v>
      </c>
      <c r="B18610" s="5" t="str">
        <f>"ESCALERILLA DE 2 PASOS"</f>
        <v>ESCALERILLA DE 2 PASOS</v>
      </c>
      <c r="C18610" s="6">
        <v>120000</v>
      </c>
      <c r="D18610" s="5" t="s">
        <v>63</v>
      </c>
      <c r="E18610" s="5" t="str">
        <f t="shared" si="956"/>
        <v>ACTISALUD-WILLIAM ZUÑIGA-ELEMENTOS OFICINA</v>
      </c>
      <c r="F18610" s="5" t="str">
        <f>"Descripcion:ESCALERILLA DE 2 PASOS Estado: Bueno Placa anterior: 000037798 Material: METAL Y FORMICA Color: GRIS Y BLANCO Referencia:  Observacion:  Placa padre:  Tipo adquisicion : Entidad"</f>
        <v>Descripcion:ESCALERILLA DE 2 PASOS Estado: Bueno Placa anterior: 000037798 Material: METAL Y FORMICA Color: GRIS Y BLANCO Referencia:  Observacion:  Placa padre:  Tipo adquisicion : Entidad</v>
      </c>
      <c r="G18610" s="5"/>
    </row>
    <row r="18611" spans="1:7" ht="58.5" customHeight="1" x14ac:dyDescent="0.25">
      <c r="A18611" s="5" t="str">
        <f>"H0029507"</f>
        <v>H0029507</v>
      </c>
      <c r="B1861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611" s="6">
        <v>257040</v>
      </c>
      <c r="D18611" s="5" t="s">
        <v>14</v>
      </c>
      <c r="E18611" s="5" t="str">
        <f t="shared" si="956"/>
        <v>ACTISALUD-WILLIAM ZUÑIGA-ELEMENTOS OFICINA</v>
      </c>
      <c r="F18611" s="5"/>
      <c r="G18611" s="5"/>
    </row>
    <row r="18612" spans="1:7" ht="58.5" customHeight="1" x14ac:dyDescent="0.25">
      <c r="A18612" s="5" t="str">
        <f>"H0031448"</f>
        <v>H0031448</v>
      </c>
      <c r="B1861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612" s="6">
        <v>3209500</v>
      </c>
      <c r="D18612" s="5" t="s">
        <v>16</v>
      </c>
      <c r="E18612" s="5" t="str">
        <f t="shared" si="956"/>
        <v>ACTISALUD-WILLIAM ZUÑIGA-ELEMENTOS OFICINA</v>
      </c>
      <c r="F18612" s="5"/>
      <c r="G18612" s="5"/>
    </row>
    <row r="18613" spans="1:7" ht="58.5" customHeight="1" x14ac:dyDescent="0.25">
      <c r="A18613" s="5" t="str">
        <f>"H0031596"</f>
        <v>H0031596</v>
      </c>
      <c r="B18613" s="5" t="s">
        <v>221</v>
      </c>
      <c r="C18613" s="6">
        <v>375382.64</v>
      </c>
      <c r="D18613" s="5" t="s">
        <v>16</v>
      </c>
      <c r="E18613" s="5" t="str">
        <f t="shared" si="956"/>
        <v>ACTISALUD-WILLIAM ZUÑIGA-ELEMENTOS OFICINA</v>
      </c>
      <c r="F18613" s="5"/>
      <c r="G18613" s="5"/>
    </row>
    <row r="18614" spans="1:7" ht="58.5" customHeight="1" x14ac:dyDescent="0.25">
      <c r="A18614" s="5" t="str">
        <f>"H0031597"</f>
        <v>H0031597</v>
      </c>
      <c r="B18614" s="5" t="s">
        <v>221</v>
      </c>
      <c r="C18614" s="6">
        <v>375382.64</v>
      </c>
      <c r="D18614" s="5" t="s">
        <v>16</v>
      </c>
      <c r="E18614" s="5" t="str">
        <f t="shared" si="956"/>
        <v>ACTISALUD-WILLIAM ZUÑIGA-ELEMENTOS OFICINA</v>
      </c>
      <c r="F18614" s="5"/>
      <c r="G18614" s="5"/>
    </row>
    <row r="18615" spans="1:7" ht="58.5" customHeight="1" x14ac:dyDescent="0.25">
      <c r="A18615" s="5" t="str">
        <f>"H0031598"</f>
        <v>H0031598</v>
      </c>
      <c r="B18615" s="5" t="s">
        <v>221</v>
      </c>
      <c r="C18615" s="6">
        <v>375382.64</v>
      </c>
      <c r="D18615" s="5" t="s">
        <v>16</v>
      </c>
      <c r="E18615" s="5" t="str">
        <f t="shared" si="956"/>
        <v>ACTISALUD-WILLIAM ZUÑIGA-ELEMENTOS OFICINA</v>
      </c>
      <c r="F18615" s="5"/>
      <c r="G18615" s="5"/>
    </row>
    <row r="18616" spans="1:7" ht="58.5" customHeight="1" x14ac:dyDescent="0.25">
      <c r="A18616" s="5" t="str">
        <f>"H0031599"</f>
        <v>H0031599</v>
      </c>
      <c r="B18616" s="5" t="s">
        <v>221</v>
      </c>
      <c r="C18616" s="6">
        <v>375382.64</v>
      </c>
      <c r="D18616" s="5" t="s">
        <v>16</v>
      </c>
      <c r="E18616" s="5" t="str">
        <f t="shared" si="956"/>
        <v>ACTISALUD-WILLIAM ZUÑIGA-ELEMENTOS OFICINA</v>
      </c>
      <c r="F18616" s="5"/>
      <c r="G18616" s="5"/>
    </row>
    <row r="18617" spans="1:7" ht="58.5" customHeight="1" x14ac:dyDescent="0.25">
      <c r="A18617" s="5" t="str">
        <f>"H0031600"</f>
        <v>H0031600</v>
      </c>
      <c r="B18617" s="5" t="s">
        <v>221</v>
      </c>
      <c r="C18617" s="6">
        <v>375382.64</v>
      </c>
      <c r="D18617" s="5" t="s">
        <v>16</v>
      </c>
      <c r="E18617" s="5" t="str">
        <f t="shared" si="956"/>
        <v>ACTISALUD-WILLIAM ZUÑIGA-ELEMENTOS OFICINA</v>
      </c>
      <c r="F18617" s="5"/>
      <c r="G18617" s="5"/>
    </row>
    <row r="18618" spans="1:7" ht="58.5" customHeight="1" x14ac:dyDescent="0.25">
      <c r="A18618" s="5" t="str">
        <f>"H0032000"</f>
        <v>H0032000</v>
      </c>
      <c r="B18618" s="5" t="str">
        <f>"CARRO DE TRANSPORTE PARA ENFERMERIA RODABLE EN PLASTICO 80*42*96"</f>
        <v>CARRO DE TRANSPORTE PARA ENFERMERIA RODABLE EN PLASTICO 80*42*96</v>
      </c>
      <c r="C18618" s="6">
        <v>586551</v>
      </c>
      <c r="D18618" s="5" t="s">
        <v>109</v>
      </c>
      <c r="E18618" s="5" t="str">
        <f t="shared" si="956"/>
        <v>ACTISALUD-WILLIAM ZUÑIGA-ELEMENTOS OFICINA</v>
      </c>
      <c r="F18618" s="5"/>
      <c r="G18618" s="5"/>
    </row>
    <row r="18619" spans="1:7" ht="58.5" customHeight="1" x14ac:dyDescent="0.25">
      <c r="A18619" s="5" t="str">
        <f>"H0032005"</f>
        <v>H0032005</v>
      </c>
      <c r="B18619" s="5" t="str">
        <f>"CARRO DE TRANSPORTE PARA INSTRUMENTAL ESTERIL RODABLE EN PLASTICO 103*50*98"</f>
        <v>CARRO DE TRANSPORTE PARA INSTRUMENTAL ESTERIL RODABLE EN PLASTICO 103*50*98</v>
      </c>
      <c r="C18619" s="6">
        <v>685797</v>
      </c>
      <c r="D18619" s="5" t="s">
        <v>109</v>
      </c>
      <c r="E18619" s="5" t="str">
        <f t="shared" si="956"/>
        <v>ACTISALUD-WILLIAM ZUÑIGA-ELEMENTOS OFICINA</v>
      </c>
      <c r="F18619" s="5"/>
      <c r="G18619" s="5"/>
    </row>
    <row r="18620" spans="1:7" ht="58.5" customHeight="1" x14ac:dyDescent="0.25">
      <c r="A18620" s="5" t="str">
        <f>"H0035010"</f>
        <v>H0035010</v>
      </c>
      <c r="B18620" s="5" t="str">
        <f>"Altavoces Estéreo Ac Logitech S120, Control Volumen / 3.5mm"</f>
        <v>Altavoces Estéreo Ac Logitech S120, Control Volumen / 3.5mm</v>
      </c>
      <c r="C18620" s="6">
        <v>83300</v>
      </c>
      <c r="D18620" s="5" t="s">
        <v>22</v>
      </c>
      <c r="E18620" s="5" t="str">
        <f t="shared" si="956"/>
        <v>ACTISALUD-WILLIAM ZUÑIGA-ELEMENTOS OFICINA</v>
      </c>
      <c r="F18620" s="5"/>
      <c r="G18620" s="5"/>
    </row>
    <row r="18621" spans="1:7" ht="58.5" customHeight="1" x14ac:dyDescent="0.25">
      <c r="A18621" s="5" t="str">
        <f>"H0037674"</f>
        <v>H0037674</v>
      </c>
      <c r="B18621" s="5" t="str">
        <f>"SILLA GERENTE NIZA MEC. BASCULANTE CON BRAZOS."</f>
        <v>SILLA GERENTE NIZA MEC. BASCULANTE CON BRAZOS.</v>
      </c>
      <c r="C18621" s="6">
        <v>710000.01</v>
      </c>
      <c r="D18621" s="5" t="s">
        <v>30</v>
      </c>
      <c r="E18621" s="5" t="str">
        <f t="shared" si="956"/>
        <v>ACTISALUD-WILLIAM ZUÑIGA-ELEMENTOS OFICINA</v>
      </c>
      <c r="F18621" s="5"/>
      <c r="G18621" s="5"/>
    </row>
    <row r="18622" spans="1:7" ht="58.5" customHeight="1" x14ac:dyDescent="0.25">
      <c r="A18622" s="5" t="str">
        <f>"H0037675"</f>
        <v>H0037675</v>
      </c>
      <c r="B18622" s="5" t="str">
        <f>"SILLA GERENTE NIZA MEC. BASCULANTE CON BRAZOS."</f>
        <v>SILLA GERENTE NIZA MEC. BASCULANTE CON BRAZOS.</v>
      </c>
      <c r="C18622" s="6">
        <v>710000.01</v>
      </c>
      <c r="D18622" s="5" t="s">
        <v>30</v>
      </c>
      <c r="E18622" s="5" t="str">
        <f t="shared" si="956"/>
        <v>ACTISALUD-WILLIAM ZUÑIGA-ELEMENTOS OFICINA</v>
      </c>
      <c r="F18622" s="5"/>
      <c r="G18622" s="5"/>
    </row>
    <row r="18623" spans="1:7" ht="58.5" customHeight="1" x14ac:dyDescent="0.25">
      <c r="A18623" s="5" t="str">
        <f>"B0003912"</f>
        <v>B0003912</v>
      </c>
      <c r="B18623" s="5" t="str">
        <f>"LLAVE INGLESA"</f>
        <v>LLAVE INGLESA</v>
      </c>
      <c r="C18623" s="6">
        <v>29070</v>
      </c>
      <c r="D18623" s="5"/>
      <c r="E18623" s="5" t="str">
        <f t="shared" ref="E18623:E18644" si="958">"MMTO EQUIPO MEDICO-JESUS ELIAS ALVAREZ ARCE"</f>
        <v>MMTO EQUIPO MEDICO-JESUS ELIAS ALVAREZ ARCE</v>
      </c>
      <c r="F18623" s="5" t="str">
        <f>"Descripcion:LLAVE INGLESA X 12  Estado: Bueno Placa anterior: 000024633 Material: ACERO Color: GRIS Referencia:  Observacion:  Placa padre:  Tipo adquisicion : Entidad"</f>
        <v>Descripcion:LLAVE INGLESA X 12  Estado: Bueno Placa anterior: 000024633 Material: ACERO Color: GRIS Referencia:  Observacion:  Placa padre:  Tipo adquisicion : Entidad</v>
      </c>
      <c r="G18623" s="5"/>
    </row>
    <row r="18624" spans="1:7" ht="58.5" customHeight="1" x14ac:dyDescent="0.25">
      <c r="A18624" s="5" t="str">
        <f>"B0003914"</f>
        <v>B0003914</v>
      </c>
      <c r="B18624" s="5" t="str">
        <f>"JUEGO LLAVES BRISTOL**"</f>
        <v>JUEGO LLAVES BRISTOL**</v>
      </c>
      <c r="C18624" s="6">
        <v>18500</v>
      </c>
      <c r="D18624" s="5"/>
      <c r="E18624" s="5" t="str">
        <f t="shared" si="958"/>
        <v>MMTO EQUIPO MEDICO-JESUS ELIAS ALVAREZ ARCE</v>
      </c>
      <c r="F18624" s="5" t="str">
        <f>"Descripcion:LLAVES BRISTOL STANLEY REF. 1/6 A 3/8 EN PULGADAS. CON 9 LLAVES Estado: Bueno Placa anterior: 000024923 Material: ACERO Color: NEGRO Referencia:  Observacion:  Placa padre:  Tipo adquisicion : Entidad"</f>
        <v>Descripcion:LLAVES BRISTOL STANLEY REF. 1/6 A 3/8 EN PULGADAS. CON 9 LLAVES Estado: Bueno Placa anterior: 000024923 Material: ACERO Color: NEGRO Referencia:  Observacion:  Placa padre:  Tipo adquisicion : Entidad</v>
      </c>
      <c r="G18624" s="5"/>
    </row>
    <row r="18625" spans="1:7" ht="58.5" customHeight="1" x14ac:dyDescent="0.25">
      <c r="A18625" s="5" t="str">
        <f>"H0017874"</f>
        <v>H0017874</v>
      </c>
      <c r="B18625" s="5" t="str">
        <f>"VENTILADOR DE PARED"</f>
        <v>VENTILADOR DE PARED</v>
      </c>
      <c r="C18625" s="6">
        <v>30709.81</v>
      </c>
      <c r="D18625" s="5"/>
      <c r="E18625" s="5" t="str">
        <f t="shared" si="958"/>
        <v>MMTO EQUIPO MEDICO-JESUS ELIAS ALVAREZ ARCE</v>
      </c>
      <c r="F18625" s="5" t="str">
        <f>"Descripcion:VENTILADOR DE PARED MCA CROWN Estado: Bueno Placa anterior: 000009667 Material: PLASTICO DE POLIPROPILENO Color: BEIS Referencia:  Observacion:  Placa padre:  Tipo adquisicion : Entidad"</f>
        <v>Descripcion:VENTILADOR DE PARED MCA CROWN Estado: Bueno Placa anterior: 000009667 Material: PLASTICO DE POLIPROPILENO Color: BEIS Referencia:  Observacion:  Placa padre:  Tipo adquisicion : Entidad</v>
      </c>
      <c r="G18625" s="5"/>
    </row>
    <row r="18626" spans="1:7" ht="58.5" customHeight="1" x14ac:dyDescent="0.25">
      <c r="A18626" s="5" t="str">
        <f>"H0017875"</f>
        <v>H0017875</v>
      </c>
      <c r="B18626" s="5" t="str">
        <f>"ANALIZADOR DE DESFIBRILADOR"</f>
        <v>ANALIZADOR DE DESFIBRILADOR</v>
      </c>
      <c r="C18626" s="6">
        <v>1156200</v>
      </c>
      <c r="D18626" s="5"/>
      <c r="E18626" s="5" t="str">
        <f t="shared" si="958"/>
        <v>MMTO EQUIPO MEDICO-JESUS ELIAS ALVAREZ ARCE</v>
      </c>
      <c r="F18626" s="5" t="str">
        <f>"Descripcion:ANALIZADOR DE DESFIBRILADOR MCA.DYNATECH Estado: Bueno Placa anterior: 000009672 Material: PLASTICO DE POLIPROPILENO Color: BLANCO Y AZUL Referencia:  Observacion:  Placa padre:  Tipo adquisicion : Entidad"</f>
        <v>Descripcion:ANALIZADOR DE DESFIBRILADOR MCA.DYNATECH Estado: Bueno Placa anterior: 000009672 Material: PLASTICO DE POLIPROPILENO Color: BLANCO Y AZUL Referencia:  Observacion:  Placa padre:  Tipo adquisicion : Entidad</v>
      </c>
      <c r="G18626" s="5" t="str">
        <f>"IMPULSE 3000"</f>
        <v>IMPULSE 3000</v>
      </c>
    </row>
    <row r="18627" spans="1:7" ht="58.5" customHeight="1" x14ac:dyDescent="0.25">
      <c r="A18627" s="5" t="str">
        <f>"H0017877"</f>
        <v>H0017877</v>
      </c>
      <c r="B18627" s="5" t="str">
        <f>"LOCKER DE 2 COMPARTIMIENTOS"</f>
        <v>LOCKER DE 2 COMPARTIMIENTOS</v>
      </c>
      <c r="C18627" s="6">
        <v>11440</v>
      </c>
      <c r="D18627" s="5"/>
      <c r="E18627" s="5" t="str">
        <f t="shared" si="958"/>
        <v>MMTO EQUIPO MEDICO-JESUS ELIAS ALVAREZ ARCE</v>
      </c>
      <c r="F18627" s="5" t="str">
        <f>"Descripcion:LOCKER TIPO C (2 PUESTOS) Estado: Regular Placa anterior: 000009675 Material: METALICO Color: GRIS Referencia:  Observacion:  Placa padre:  Tipo adquisicion : Entidad"</f>
        <v>Descripcion:LOCKER TIPO C (2 PUESTOS) Estado: Regular Placa anterior: 000009675 Material: METALICO Color: GRIS Referencia:  Observacion:  Placa padre:  Tipo adquisicion : Entidad</v>
      </c>
      <c r="G18627" s="5"/>
    </row>
    <row r="18628" spans="1:7" ht="58.5" customHeight="1" x14ac:dyDescent="0.25">
      <c r="A18628" s="5" t="str">
        <f>"H0017879"</f>
        <v>H0017879</v>
      </c>
      <c r="B18628" s="5" t="str">
        <f>"SILLA INTERLOCUTORA (FIJA) SIN BRAZOS"</f>
        <v>SILLA INTERLOCUTORA (FIJA) SIN BRAZOS</v>
      </c>
      <c r="C18628" s="6">
        <v>9487.5</v>
      </c>
      <c r="D18628" s="5"/>
      <c r="E18628" s="5" t="str">
        <f t="shared" si="958"/>
        <v>MMTO EQUIPO MEDICO-JESUS ELIAS ALVAREZ ARCE</v>
      </c>
      <c r="F18628" s="5" t="str">
        <f>"Descripcion:SILLA FIJA TIPO A COLOR MARRON TAPIZADA EN CUERINA Estado: Regular Placa anterior: 000009680 Material: METALICO Y CUERINA Color: GRIS Y MARRON Referencia:  Observacion: PRESENTA DAÑO EN EL TAPIZADO Y LA ESTRUCTURA Placa padre:  Tipo adquisicio"&amp; "n : Entidad"</f>
        <v>Descripcion:SILLA FIJA TIPO A COLOR MARRON TAPIZADA EN CUERINA Estado: Regular Placa anterior: 000009680 Material: METALICO Y CUERINA Color: GRIS Y MARRON Referencia:  Observacion: PRESENTA DAÑO EN EL TAPIZADO Y LA ESTRUCTURA Placa padre:  Tipo adquisicion : Entidad</v>
      </c>
      <c r="G18628" s="5"/>
    </row>
    <row r="18629" spans="1:7" ht="58.5" customHeight="1" x14ac:dyDescent="0.25">
      <c r="A18629" s="5" t="str">
        <f>"H0017881"</f>
        <v>H0017881</v>
      </c>
      <c r="B18629" s="5" t="str">
        <f>"BANCO DE PRUEBA"</f>
        <v>BANCO DE PRUEBA</v>
      </c>
      <c r="C18629" s="6">
        <v>300000</v>
      </c>
      <c r="D18629" s="5"/>
      <c r="E18629" s="5" t="str">
        <f t="shared" si="958"/>
        <v>MMTO EQUIPO MEDICO-JESUS ELIAS ALVAREZ ARCE</v>
      </c>
      <c r="F18629" s="5" t="str">
        <f>"Descripcion:BANCO DE PRUEBA CON TABLERO. CON 6 LAMPARAS FLORESENTES Y SUS CONECTORES DE TOMAS Estado: Malo Placa anterior: 000009711 Material: METALICO Color: GRIS Y NEGRO Referencia:  Observacion: EL FUNCIONARIO MANIFIESTA QUE LA FUENTE DE VOLTAJE ESTAN "&amp; "MALA Y LA SALIDAD DE 220 NO FUNCIONA Placa padre:  Tipo adquisicion : Entidad"</f>
        <v>Descripcion:BANCO DE PRUEBA CON TABLERO. CON 6 LAMPARAS FLORESENTES Y SUS CONECTORES DE TOMAS Estado: Malo Placa anterior: 000009711 Material: METALICO Color: GRIS Y NEGRO Referencia:  Observacion: EL FUNCIONARIO MANIFIESTA QUE LA FUENTE DE VOLTAJE ESTAN MALA Y LA SALIDAD DE 220 NO FUNCIONA Placa padre:  Tipo adquisicion : Entidad</v>
      </c>
      <c r="G18629" s="5"/>
    </row>
    <row r="18630" spans="1:7" ht="58.5" customHeight="1" x14ac:dyDescent="0.25">
      <c r="A18630" s="5" t="str">
        <f>"H0017882"</f>
        <v>H0017882</v>
      </c>
      <c r="B18630" s="5" t="str">
        <f>"BANCO DE PRUEBA"</f>
        <v>BANCO DE PRUEBA</v>
      </c>
      <c r="C18630" s="6">
        <v>300000</v>
      </c>
      <c r="D18630" s="5"/>
      <c r="E18630" s="5" t="str">
        <f t="shared" si="958"/>
        <v>MMTO EQUIPO MEDICO-JESUS ELIAS ALVAREZ ARCE</v>
      </c>
      <c r="F18630" s="5" t="str">
        <f>"Descripcion:BANCO DE PRUEBA CON TABLERO CON 6 LAMPARAS FLORESENTES Y SUS CONECTORES DE TOMAS Estado: Malo Placa anterior: 000009712 Material: METALICO Color: GRIS Y NEGRO Referencia:  Observacion: EL FUNCIONARIO MANIFIESTA QUE LA FUENTE DE VOLTAJE ESTAN M"&amp; "ALA Y LA SALIDAD DE 220 NO FUNCIONA   Placa padre:  Tipo adquisicion : Entidad"</f>
        <v>Descripcion:BANCO DE PRUEBA CON TABLERO CON 6 LAMPARAS FLORESENTES Y SUS CONECTORES DE TOMAS Estado: Malo Placa anterior: 000009712 Material: METALICO Color: GRIS Y NEGRO Referencia:  Observacion: EL FUNCIONARIO MANIFIESTA QUE LA FUENTE DE VOLTAJE ESTAN MALA Y LA SALIDAD DE 220 NO FUNCIONA   Placa padre:  Tipo adquisicion : Entidad</v>
      </c>
      <c r="G18630" s="5"/>
    </row>
    <row r="18631" spans="1:7" ht="58.5" customHeight="1" x14ac:dyDescent="0.25">
      <c r="A18631" s="5" t="str">
        <f>"H0017883"</f>
        <v>H0017883</v>
      </c>
      <c r="B18631" s="5" t="str">
        <f>"ALICATE**"</f>
        <v>ALICATE**</v>
      </c>
      <c r="C18631" s="6">
        <v>44532.5</v>
      </c>
      <c r="D18631" s="5"/>
      <c r="E18631" s="5" t="str">
        <f t="shared" si="958"/>
        <v>MMTO EQUIPO MEDICO-JESUS ELIAS ALVAREZ ARCE</v>
      </c>
      <c r="F18631" s="5" t="str">
        <f>"Descripcion:ALICATES DE PRESION ESPECIALES. (HOMBRE SOLO DE PUNTA) Estado: Bueno Placa anterior: 000010684 Material: ACERO Color: GRIS Referencia:  Observacion:  Placa padre:  Tipo adquisicion : Entidad"</f>
        <v>Descripcion:ALICATES DE PRESION ESPECIALES. (HOMBRE SOLO DE PUNTA) Estado: Bueno Placa anterior: 000010684 Material: ACERO Color: GRIS Referencia:  Observacion:  Placa padre:  Tipo adquisicion : Entidad</v>
      </c>
      <c r="G18631" s="5"/>
    </row>
    <row r="18632" spans="1:7" ht="58.5" customHeight="1" x14ac:dyDescent="0.25">
      <c r="A18632" s="5" t="str">
        <f>"H0017884"</f>
        <v>H0017884</v>
      </c>
      <c r="B18632" s="5" t="str">
        <f>"ALICATE**"</f>
        <v>ALICATE**</v>
      </c>
      <c r="C18632" s="6">
        <v>44532.5</v>
      </c>
      <c r="D18632" s="5"/>
      <c r="E18632" s="5" t="str">
        <f t="shared" si="958"/>
        <v>MMTO EQUIPO MEDICO-JESUS ELIAS ALVAREZ ARCE</v>
      </c>
      <c r="F18632" s="5" t="str">
        <f>"Descripcion:ALICATES DE PRESION ESPECIALES (HOMBRE SOLO) Estado: Bueno Placa anterior: 000010685 Material: ACERO Color: GRIS Referencia:  Observacion:  Placa padre:  Tipo adquisicion : Entidad"</f>
        <v>Descripcion:ALICATES DE PRESION ESPECIALES (HOMBRE SOLO) Estado: Bueno Placa anterior: 000010685 Material: ACERO Color: GRIS Referencia:  Observacion:  Placa padre:  Tipo adquisicion : Entidad</v>
      </c>
      <c r="G18632" s="5"/>
    </row>
    <row r="18633" spans="1:7" ht="58.5" customHeight="1" x14ac:dyDescent="0.25">
      <c r="A18633" s="5" t="str">
        <f>"H0017885"</f>
        <v>H0017885</v>
      </c>
      <c r="B18633" s="5" t="str">
        <f>"ESMERIL DE DOS DISCO"</f>
        <v>ESMERIL DE DOS DISCO</v>
      </c>
      <c r="C18633" s="6">
        <v>3192000</v>
      </c>
      <c r="D18633" s="5"/>
      <c r="E18633" s="5" t="str">
        <f t="shared" si="958"/>
        <v>MMTO EQUIPO MEDICO-JESUS ELIAS ALVAREZ ARCE</v>
      </c>
      <c r="F18633" s="5" t="str">
        <f>"Descripcion:MAQUINA AFILADORA INSTRUMENTAL DE DOS DISCO Estado: Bueno Placa anterior: 000010690 Material: ACERO Color: GRIS Referencia:  Observacion:  Placa padre:  Tipo adquisicion : Entidad"</f>
        <v>Descripcion:MAQUINA AFILADORA INSTRUMENTAL DE DOS DISCO Estado: Bueno Placa anterior: 000010690 Material: ACERO Color: GRIS Referencia:  Observacion:  Placa padre:  Tipo adquisicion : Entidad</v>
      </c>
      <c r="G18633" s="5" t="str">
        <f>"A1  300W"</f>
        <v>A1  300W</v>
      </c>
    </row>
    <row r="18634" spans="1:7" ht="58.5" customHeight="1" x14ac:dyDescent="0.25">
      <c r="A18634" s="5" t="str">
        <f>"H0017887"</f>
        <v>H0017887</v>
      </c>
      <c r="B18634" s="5" t="str">
        <f>"MAZA DE CAUCHO"</f>
        <v>MAZA DE CAUCHO</v>
      </c>
      <c r="C18634" s="6">
        <v>2000</v>
      </c>
      <c r="D18634" s="5"/>
      <c r="E18634" s="5" t="str">
        <f t="shared" si="958"/>
        <v>MMTO EQUIPO MEDICO-JESUS ELIAS ALVAREZ ARCE</v>
      </c>
      <c r="F18634" s="5" t="str">
        <f>"Descripcion:MAZA DE CAUCHO PEQUEÑA CON MANGO EN MADERA Estado: Bueno Placa anterior: 000010751 Material: MADERA Y PLASTICO DE POLIPROPILENO Color: MARRON Y GRIS Referencia:  Observacion:  Placa padre:  Tipo adquisicion : Entidad"</f>
        <v>Descripcion:MAZA DE CAUCHO PEQUEÑA CON MANGO EN MADERA Estado: Bueno Placa anterior: 000010751 Material: MADERA Y PLASTICO DE POLIPROPILENO Color: MARRON Y GRIS Referencia:  Observacion:  Placa padre:  Tipo adquisicion : Entidad</v>
      </c>
      <c r="G18634" s="5"/>
    </row>
    <row r="18635" spans="1:7" ht="58.5" customHeight="1" x14ac:dyDescent="0.25">
      <c r="A18635" s="5" t="str">
        <f>"H0017888"</f>
        <v>H0017888</v>
      </c>
      <c r="B18635" s="5" t="str">
        <f>"KIT DE DESTORNILLADORES"</f>
        <v>KIT DE DESTORNILLADORES</v>
      </c>
      <c r="C18635" s="6">
        <v>22499</v>
      </c>
      <c r="D18635" s="5"/>
      <c r="E18635" s="5" t="str">
        <f t="shared" si="958"/>
        <v>MMTO EQUIPO MEDICO-JESUS ELIAS ALVAREZ ARCE</v>
      </c>
      <c r="F18635" s="5" t="str">
        <f>"Descripcion:JUEGO DE DESTORNILLADORES X 6 PIEZAS REF. MIXTO STANLEY. EN SU ESTUCHE RESPECTIVO Estado: Bueno Placa anterior: 000024911 Material: ACERO Y PLASTICO DE POLIPROPILENO Color: GRIS Referencia:  Observacion:  Placa padre:  Tipo adquisicion : Entid"&amp; "ad"</f>
        <v>Descripcion:JUEGO DE DESTORNILLADORES X 6 PIEZAS REF. MIXTO STANLEY. EN SU ESTUCHE RESPECTIVO Estado: Bueno Placa anterior: 000024911 Material: ACERO Y PLASTICO DE POLIPROPILENO Color: GRIS Referencia:  Observacion:  Placa padre:  Tipo adquisicion : Entidad</v>
      </c>
      <c r="G18635" s="5"/>
    </row>
    <row r="18636" spans="1:7" ht="58.5" customHeight="1" x14ac:dyDescent="0.25">
      <c r="A18636" s="5" t="str">
        <f>"H0019661"</f>
        <v>H0019661</v>
      </c>
      <c r="B18636" s="5" t="str">
        <f>"EQUIPO SIMULADOR DE NIBP (SIMULADOR DE PRESION ARTERIAL)"</f>
        <v>EQUIPO SIMULADOR DE NIBP (SIMULADOR DE PRESION ARTERIAL)</v>
      </c>
      <c r="C18636" s="6">
        <v>20652640</v>
      </c>
      <c r="D18636" s="5" t="s">
        <v>842</v>
      </c>
      <c r="E18636" s="5" t="str">
        <f t="shared" si="958"/>
        <v>MMTO EQUIPO MEDICO-JESUS ELIAS ALVAREZ ARCE</v>
      </c>
      <c r="F18636" s="5" t="str">
        <f>"Descripcion:EQUIPO SIMULADOR DE NIBP MODELO BP-PIM-2L MCA. FLUKE BIOMEDICAL INCLUYE: CABLE AC* KIT DE CONECTORES* SFWARE ANSUR* CABLE SERIAL BLOQUEOS PLASTICOS. Estado: Bueno Placa anterior: 000029346 Material: METALICO Color: GRIS Referencia:  Observacio"&amp; "n:  Placa padre:  Tipo adquisicion : Entidad"</f>
        <v>Descripcion:EQUIPO SIMULADOR DE NIBP MODELO BP-PIM-2L MCA. FLUKE BIOMEDICAL INCLUYE: CABLE AC* KIT DE CONECTORES* SFWARE ANSUR* CABLE SERIAL BLOQUEOS PLASTICOS. Estado: Bueno Placa anterior: 000029346 Material: METALICO Color: GRIS Referencia:  Observacion:  Placa padre:  Tipo adquisicion : Entidad</v>
      </c>
      <c r="G18636" s="5" t="str">
        <f>"BP PUMP 2"</f>
        <v>BP PUMP 2</v>
      </c>
    </row>
    <row r="18637" spans="1:7" ht="58.5" customHeight="1" x14ac:dyDescent="0.25">
      <c r="A18637" s="5" t="str">
        <f>"H0019663"</f>
        <v>H0019663</v>
      </c>
      <c r="B18637" s="5" t="str">
        <f>"LLAVE TORX"</f>
        <v>LLAVE TORX</v>
      </c>
      <c r="C18637" s="6">
        <v>67999</v>
      </c>
      <c r="D18637" s="5"/>
      <c r="E18637" s="5" t="str">
        <f t="shared" si="958"/>
        <v>MMTO EQUIPO MEDICO-JESUS ELIAS ALVAREZ ARCE</v>
      </c>
      <c r="F18637" s="5" t="str">
        <f>"Descripcion:LLAVES TORK  TIPO NAVAJA  MILIMETRICA Estado: Bueno Placa anterior: 000024932 Material: ACERO Color: ROJO Referencia:  Observacion:  Placa padre:  Tipo adquisicion : Entidad"</f>
        <v>Descripcion:LLAVES TORK  TIPO NAVAJA  MILIMETRICA Estado: Bueno Placa anterior: 000024932 Material: ACERO Color: ROJO Referencia:  Observacion:  Placa padre:  Tipo adquisicion : Entidad</v>
      </c>
      <c r="G18637" s="5"/>
    </row>
    <row r="18638" spans="1:7" ht="58.5" customHeight="1" x14ac:dyDescent="0.25">
      <c r="A18638" s="5" t="str">
        <f>"H0019665"</f>
        <v>H0019665</v>
      </c>
      <c r="B18638" s="5" t="str">
        <f>"PRENSA DE BANCO"</f>
        <v>PRENSA DE BANCO</v>
      </c>
      <c r="C18638" s="6">
        <v>394878.07</v>
      </c>
      <c r="D18638" s="5" t="s">
        <v>843</v>
      </c>
      <c r="E18638" s="5" t="str">
        <f t="shared" si="958"/>
        <v>MMTO EQUIPO MEDICO-JESUS ELIAS ALVAREZ ARCE</v>
      </c>
      <c r="F18638" s="5" t="str">
        <f>"Descripcion:PRENSA DE BANCO T/PESADO Estado: Bueno Placa anterior: 000037243 Material: ACERO Color: GRIS Referencia:  Observacion:  Placa padre:  Tipo adquisicion : Entidad"</f>
        <v>Descripcion:PRENSA DE BANCO T/PESADO Estado: Bueno Placa anterior: 000037243 Material: ACERO Color: GRIS Referencia:  Observacion:  Placa padre:  Tipo adquisicion : Entidad</v>
      </c>
      <c r="G18638" s="5"/>
    </row>
    <row r="18639" spans="1:7" ht="58.5" customHeight="1" x14ac:dyDescent="0.25">
      <c r="A18639" s="5" t="str">
        <f>"H0019668"</f>
        <v>H0019668</v>
      </c>
      <c r="B18639" s="5" t="str">
        <f>"JUEGO DE LLAVES (HERRAMIENTA)"</f>
        <v>JUEGO DE LLAVES (HERRAMIENTA)</v>
      </c>
      <c r="C18639" s="6">
        <v>202920</v>
      </c>
      <c r="D18639" s="5"/>
      <c r="E18639" s="5" t="str">
        <f t="shared" si="958"/>
        <v>MMTO EQUIPO MEDICO-JESUS ELIAS ALVAREZ ARCE</v>
      </c>
      <c r="F18639" s="5" t="str">
        <f>"Descripcion:JUEGO DE LLAVE MIXTA. MILIMETRICA DE 7 A 24 MM CON 14 LLAVES   Estado: Bueno Placa anterior: 000010689 Material: ACERO Color: GRIS Referencia:  Observacion:  Placa padre:  Tipo adquisicion : Entidad"</f>
        <v>Descripcion:JUEGO DE LLAVE MIXTA. MILIMETRICA DE 7 A 24 MM CON 14 LLAVES   Estado: Bueno Placa anterior: 000010689 Material: ACERO Color: GRIS Referencia:  Observacion:  Placa padre:  Tipo adquisicion : Entidad</v>
      </c>
      <c r="G18639" s="5"/>
    </row>
    <row r="18640" spans="1:7" ht="58.5" customHeight="1" x14ac:dyDescent="0.25">
      <c r="A18640" s="5" t="str">
        <f>"H0019669"</f>
        <v>H0019669</v>
      </c>
      <c r="B18640" s="5" t="str">
        <f>"JUEGO DE LLAVES (HERRAMIENTA)"</f>
        <v>JUEGO DE LLAVES (HERRAMIENTA)</v>
      </c>
      <c r="C18640" s="6">
        <v>9020</v>
      </c>
      <c r="D18640" s="5"/>
      <c r="E18640" s="5" t="str">
        <f t="shared" si="958"/>
        <v>MMTO EQUIPO MEDICO-JESUS ELIAS ALVAREZ ARCE</v>
      </c>
      <c r="F18640" s="5" t="str">
        <f>"Descripcion:JUEGO DE LLAVE MIXTA. MILIMETRICA DE 7 A 24 MM CON 14 LLAVES   Estado: Bueno Placa anterior: 000019022 Material: ACERO Color: GRIS Referencia:  Observacion: LLAVE FIJA MIXTA   Placa padre:  Tipo adquisicion : Entidad"</f>
        <v>Descripcion:JUEGO DE LLAVE MIXTA. MILIMETRICA DE 7 A 24 MM CON 14 LLAVES   Estado: Bueno Placa anterior: 000019022 Material: ACERO Color: GRIS Referencia:  Observacion: LLAVE FIJA MIXTA   Placa padre:  Tipo adquisicion : Entidad</v>
      </c>
      <c r="G18640" s="5"/>
    </row>
    <row r="18641" spans="1:7" ht="58.5" customHeight="1" x14ac:dyDescent="0.25">
      <c r="A18641" s="5" t="str">
        <f>"H0021991"</f>
        <v>H0021991</v>
      </c>
      <c r="B18641" s="5" t="str">
        <f>"KIT DE DESTORNILLADORES"</f>
        <v>KIT DE DESTORNILLADORES</v>
      </c>
      <c r="C18641" s="6">
        <v>22499</v>
      </c>
      <c r="D18641" s="5"/>
      <c r="E18641" s="5" t="str">
        <f t="shared" si="958"/>
        <v>MMTO EQUIPO MEDICO-JESUS ELIAS ALVAREZ ARCE</v>
      </c>
      <c r="F18641" s="5" t="str">
        <f>"Descripcion:DESTORNILLADORES X 6 PIEZAS REF. MIXTO STANLEY Estado: Bueno Placa anterior: 000024915 Material: ACERO INOXIDABLE Color: GRIS Y NEGRO Referencia:  Observacion:  Placa padre:  Tipo adquisicion : Entidad"</f>
        <v>Descripcion:DESTORNILLADORES X 6 PIEZAS REF. MIXTO STANLEY Estado: Bueno Placa anterior: 000024915 Material: ACERO INOXIDABLE Color: GRIS Y NEGRO Referencia:  Observacion:  Placa padre:  Tipo adquisicion : Entidad</v>
      </c>
      <c r="G18641" s="5"/>
    </row>
    <row r="18642" spans="1:7" ht="58.5" customHeight="1" x14ac:dyDescent="0.25">
      <c r="A18642" s="5" t="str">
        <f>"H0024143"</f>
        <v>H0024143</v>
      </c>
      <c r="B18642" s="5" t="str">
        <f>"EXTINTORES 3700 grs DE AGENTE LIMPIO"</f>
        <v>EXTINTORES 3700 grs DE AGENTE LIMPIO</v>
      </c>
      <c r="C18642" s="6">
        <v>330000.01</v>
      </c>
      <c r="D18642" s="5" t="s">
        <v>458</v>
      </c>
      <c r="E18642" s="5" t="str">
        <f t="shared" si="958"/>
        <v>MMTO EQUIPO MEDICO-JESUS ELIAS ALVAREZ ARCE</v>
      </c>
      <c r="F18642" s="5"/>
      <c r="G18642" s="5"/>
    </row>
    <row r="18643" spans="1:7" ht="58.5" customHeight="1" x14ac:dyDescent="0.25">
      <c r="A18643" s="5" t="str">
        <f>"H0027043"</f>
        <v>H0027043</v>
      </c>
      <c r="B18643" s="5" t="str">
        <f>"PISTOLA DE AIRE CALIENTE"</f>
        <v>PISTOLA DE AIRE CALIENTE</v>
      </c>
      <c r="C18643" s="6">
        <v>338099.65</v>
      </c>
      <c r="D18643" s="5" t="s">
        <v>844</v>
      </c>
      <c r="E18643" s="5" t="str">
        <f t="shared" si="958"/>
        <v>MMTO EQUIPO MEDICO-JESUS ELIAS ALVAREZ ARCE</v>
      </c>
      <c r="F18643" s="5"/>
      <c r="G18643" s="5"/>
    </row>
    <row r="18644" spans="1:7" ht="58.5" customHeight="1" x14ac:dyDescent="0.25">
      <c r="A18644" s="5" t="str">
        <f>"H0038067"</f>
        <v>H0038067</v>
      </c>
      <c r="B18644" s="5" t="str">
        <f>"SILLA CAJERO KOPI"</f>
        <v>SILLA CAJERO KOPI</v>
      </c>
      <c r="C18644" s="6">
        <v>565000.01</v>
      </c>
      <c r="D18644" s="5" t="s">
        <v>30</v>
      </c>
      <c r="E18644" s="5" t="str">
        <f t="shared" si="958"/>
        <v>MMTO EQUIPO MEDICO-JESUS ELIAS ALVAREZ ARCE</v>
      </c>
      <c r="F18644" s="5"/>
      <c r="G18644" s="5"/>
    </row>
    <row r="18645" spans="1:7" ht="58.5" customHeight="1" x14ac:dyDescent="0.25">
      <c r="A18645" s="5" t="str">
        <f>"H0002108"</f>
        <v>H0002108</v>
      </c>
      <c r="B18645" s="5" t="str">
        <f>"MESA (SUPERFICIE) MODULAR"</f>
        <v>MESA (SUPERFICIE) MODULAR</v>
      </c>
      <c r="C18645" s="6">
        <v>1800</v>
      </c>
      <c r="D18645" s="5"/>
      <c r="E18645" s="5" t="str">
        <f t="shared" ref="E18645:E18676" si="959">"LAVANDERIA-ACTISALUD"</f>
        <v>LAVANDERIA-ACTISALUD</v>
      </c>
      <c r="F18645" s="5" t="str">
        <f>"Descripcion:MESA MECANOGRAFA EN MADERA Estado: Bueno Placa anterior: 000002247 Material: MADERA Color: MARRON CLARO Referencia:  Observacion:  Placa padre:  Tipo adquisicion : Entidad"</f>
        <v>Descripcion:MESA MECANOGRAFA EN MADERA Estado: Bueno Placa anterior: 000002247 Material: MADERA Color: MARRON CLARO Referencia:  Observacion:  Placa padre:  Tipo adquisicion : Entidad</v>
      </c>
      <c r="G18645" s="5"/>
    </row>
    <row r="18646" spans="1:7" ht="58.5" customHeight="1" x14ac:dyDescent="0.25">
      <c r="A18646" s="5" t="str">
        <f>"H0005982"</f>
        <v>H0005982</v>
      </c>
      <c r="B18646" s="5" t="str">
        <f>"MESA (CARRO) DE CURACIONES"</f>
        <v>MESA (CARRO) DE CURACIONES</v>
      </c>
      <c r="C18646" s="6">
        <v>11880</v>
      </c>
      <c r="D18646" s="5"/>
      <c r="E18646" s="5" t="str">
        <f t="shared" si="959"/>
        <v>LAVANDERIA-ACTISALUD</v>
      </c>
      <c r="F18646" s="5" t="str">
        <f>"Descripcion:MESA (CARRO) DE CURACIONES METALICA Estado: Bueno Placa anterior: 000003588 Material: METALICO Color: GRIS Referencia:  Observacion:  Placa padre:  Tipo adquisicion : Entidad"</f>
        <v>Descripcion:MESA (CARRO) DE CURACIONES METALICA Estado: Bueno Placa anterior: 000003588 Material: METALICO Color: GRIS Referencia:  Observacion:  Placa padre:  Tipo adquisicion : Entidad</v>
      </c>
      <c r="G18646" s="5"/>
    </row>
    <row r="18647" spans="1:7" ht="58.5" customHeight="1" x14ac:dyDescent="0.25">
      <c r="A18647" s="5" t="str">
        <f>"H0006328"</f>
        <v>H0006328</v>
      </c>
      <c r="B18647" s="5" t="str">
        <f>"LOCKER DE 2 COMPARTIMIENTOS"</f>
        <v>LOCKER DE 2 COMPARTIMIENTOS</v>
      </c>
      <c r="C18647" s="6">
        <v>10750</v>
      </c>
      <c r="D18647" s="5"/>
      <c r="E18647" s="5" t="str">
        <f t="shared" si="959"/>
        <v>LAVANDERIA-ACTISALUD</v>
      </c>
      <c r="F18647" s="5" t="str">
        <f>"Descripcion: LOCKER TIPO C (2 PUESTOS) Estado: Bueno Placa anterior: 000014701 Material: METALICO Color: GRIS Referencia:  Observacion: PLACA ANTERIOR No 00006328 NO TRAE INFORMACION,AUTORIZADO CONCILIAR EN CRUCE GENERAL Placa padre: Tipo adquisicion: Ent"&amp; "idad"</f>
        <v>Descripcion: LOCKER TIPO C (2 PUESTOS) Estado: Bueno Placa anterior: 000014701 Material: METALICO Color: GRIS Referencia:  Observacion: PLACA ANTERIOR No 00006328 NO TRAE INFORMACION,AUTORIZADO CONCILIAR EN CRUCE GENERAL Placa padre: Tipo adquisicion: Entidad</v>
      </c>
      <c r="G18647" s="5"/>
    </row>
    <row r="18648" spans="1:7" ht="58.5" customHeight="1" x14ac:dyDescent="0.25">
      <c r="A18648" s="5" t="str">
        <f>"H0006331"</f>
        <v>H0006331</v>
      </c>
      <c r="B18648" s="5" t="str">
        <f>"LOCKER DE 12 COMPARTIMIENTOS"</f>
        <v>LOCKER DE 12 COMPARTIMIENTOS</v>
      </c>
      <c r="C18648" s="6">
        <v>770000</v>
      </c>
      <c r="D18648" s="5" t="s">
        <v>383</v>
      </c>
      <c r="E18648" s="5" t="str">
        <f t="shared" si="959"/>
        <v>LAVANDERIA-ACTISALUD</v>
      </c>
      <c r="F18648" s="5" t="str">
        <f>"Descripcion: LOCKER DE 3 CUERPOS 12 COMPARTIMIENTOS Estado: Bueno Placa anterior:  Material: METALICO Color: GRIS Referencia:  Observacion: PLACA ANTERIOR No. 000026131 NO TRAE INFORMACION Placa padre: Tipo adquisicion: Entidad"</f>
        <v>Descripcion: LOCKER DE 3 CUERPOS 12 COMPARTIMIENTOS Estado: Bueno Placa anterior:  Material: METALICO Color: GRIS Referencia:  Observacion: PLACA ANTERIOR No. 000026131 NO TRAE INFORMACION Placa padre: Tipo adquisicion: Entidad</v>
      </c>
      <c r="G18648" s="5"/>
    </row>
    <row r="18649" spans="1:7" ht="58.5" customHeight="1" x14ac:dyDescent="0.25">
      <c r="A18649" s="5" t="str">
        <f>"H0006335"</f>
        <v>H0006335</v>
      </c>
      <c r="B18649" s="5" t="str">
        <f>"LOCKER DE 12 COMPARTIMIENTOS"</f>
        <v>LOCKER DE 12 COMPARTIMIENTOS</v>
      </c>
      <c r="C18649" s="6">
        <v>770000</v>
      </c>
      <c r="D18649" s="5" t="s">
        <v>383</v>
      </c>
      <c r="E18649" s="5" t="str">
        <f t="shared" si="959"/>
        <v>LAVANDERIA-ACTISALUD</v>
      </c>
      <c r="F18649" s="5" t="str">
        <f>"Descripcion: LOCKER DE 3 CUERPOS 12 COMPARTIMIENTOS Estado: Bueno Placa anterior:  Material: METALICO Color: GRIS Referencia:  Observacion: EL BIEN TIENE PLACA ANTERIOR  000026130 Placa padre: Tipo adquisicion: Entidad"</f>
        <v>Descripcion: LOCKER DE 3 CUERPOS 12 COMPARTIMIENTOS Estado: Bueno Placa anterior:  Material: METALICO Color: GRIS Referencia:  Observacion: EL BIEN TIENE PLACA ANTERIOR  000026130 Placa padre: Tipo adquisicion: Entidad</v>
      </c>
      <c r="G18649" s="5"/>
    </row>
    <row r="18650" spans="1:7" ht="58.5" customHeight="1" x14ac:dyDescent="0.25">
      <c r="A18650" s="5" t="str">
        <f>"H0006902"</f>
        <v>H0006902</v>
      </c>
      <c r="B18650" s="5" t="str">
        <f>"CAMARA DE VIDEOVIGILANCIA"</f>
        <v>CAMARA DE VIDEOVIGILANCIA</v>
      </c>
      <c r="C18650" s="6">
        <v>371000</v>
      </c>
      <c r="D18650" s="5" t="s">
        <v>213</v>
      </c>
      <c r="E18650" s="5" t="str">
        <f t="shared" si="959"/>
        <v>LAVANDERIA-ACTISALUD</v>
      </c>
      <c r="F18650" s="5" t="str">
        <f>"Descripcion:CAMARA IP TIPO DOMO 2 MPX LENTE DE 2.8 mm PoE 1/3 (WI-FI) Estado: Bueno Placa anterior: 000038220 Material: PLASTICO Y VIDRIO Color: BLANCA Referencia:  Observacion:  Placa padre:  Tipo adquisicion : Entidad"</f>
        <v>Descripcion:CAMARA IP TIPO DOMO 2 MPX LENTE DE 2.8 mm PoE 1/3 (WI-FI) Estado: Bueno Placa anterior: 000038220 Material: PLASTICO Y VIDRIO Color: BLANCA Referencia:  Observacion:  Placa padre:  Tipo adquisicion : Entidad</v>
      </c>
      <c r="G18650" s="5"/>
    </row>
    <row r="18651" spans="1:7" ht="58.5" customHeight="1" x14ac:dyDescent="0.25">
      <c r="A18651" s="5" t="str">
        <f>"H0008979"</f>
        <v>H0008979</v>
      </c>
      <c r="B18651" s="5" t="str">
        <f>"NEVERA 10 PIES (280LT)"</f>
        <v>NEVERA 10 PIES (280LT)</v>
      </c>
      <c r="C18651" s="6">
        <v>448276</v>
      </c>
      <c r="D18651" s="5" t="s">
        <v>845</v>
      </c>
      <c r="E18651" s="5" t="str">
        <f t="shared" si="959"/>
        <v>LAVANDERIA-ACTISALUD</v>
      </c>
      <c r="F18651" s="5" t="str">
        <f>"Descripcion: NEVERA ABBA RS-9 ALMENDRA Estado: Bueno Placa anterior: 000030334 Material: METALICO Color: BEIGE Referencia:  Observacion:  Placa padre: Tipo adquisicion: Donacion"</f>
        <v>Descripcion: NEVERA ABBA RS-9 ALMENDRA Estado: Bueno Placa anterior: 000030334 Material: METALICO Color: BEIGE Referencia:  Observacion:  Placa padre: Tipo adquisicion: Donacion</v>
      </c>
      <c r="G18651" s="5"/>
    </row>
    <row r="18652" spans="1:7" ht="58.5" customHeight="1" x14ac:dyDescent="0.25">
      <c r="A18652" s="5" t="str">
        <f>"H0010438"</f>
        <v>H0010438</v>
      </c>
      <c r="B18652" s="5" t="str">
        <f>"NEVERA 12 PIES (340LT)"</f>
        <v>NEVERA 12 PIES (340LT)</v>
      </c>
      <c r="C18652" s="6">
        <v>85888.09</v>
      </c>
      <c r="D18652" s="5"/>
      <c r="E18652" s="5" t="str">
        <f t="shared" si="959"/>
        <v>LAVANDERIA-ACTISALUD</v>
      </c>
      <c r="F18652" s="5" t="str">
        <f>"Descripcion: NEVERA MCA. ICASA DE VILLE II Estado: Malo Placa anterior: 000000270 Material: METALICO Color: BEIS Referencia:  Observacion: MANIFIESTA EL FUNCIONARIO QUE ESTA DADO DE BAJA, TAMBIEN INFORMA QUE TRABAJA PERO NO ENFRIA   Placa padre: Tipo adqu"&amp; "isicion: Entidad"</f>
        <v>Descripcion: NEVERA MCA. ICASA DE VILLE II Estado: Malo Placa anterior: 000000270 Material: METALICO Color: BEIS Referencia:  Observacion: MANIFIESTA EL FUNCIONARIO QUE ESTA DADO DE BAJA, TAMBIEN INFORMA QUE TRABAJA PERO NO ENFRIA   Placa padre: Tipo adquisicion: Entidad</v>
      </c>
      <c r="G18652" s="5" t="str">
        <f>"DV-11-13"</f>
        <v>DV-11-13</v>
      </c>
    </row>
    <row r="18653" spans="1:7" ht="58.5" customHeight="1" x14ac:dyDescent="0.25">
      <c r="A18653" s="5" t="str">
        <f>"H0010547"</f>
        <v>H0010547</v>
      </c>
      <c r="B18653" s="5" t="str">
        <f>"VITRINA DE 2 CUERPOS"</f>
        <v>VITRINA DE 2 CUERPOS</v>
      </c>
      <c r="C18653" s="6">
        <v>28390</v>
      </c>
      <c r="D18653" s="5"/>
      <c r="E18653" s="5" t="str">
        <f t="shared" si="959"/>
        <v>LAVANDERIA-ACTISALUD</v>
      </c>
      <c r="F18653" s="5" t="str">
        <f>"Descripcion: VITRINA DE 2 CUERPOS GRANDE Estado: Bueno Placa anterior: 000006202 Material: METALICO Color: BEIS Referencia:  Observacion:  Placa padre: Tipo adquisicion: Entidad"</f>
        <v>Descripcion: VITRINA DE 2 CUERPOS GRANDE Estado: Bueno Placa anterior: 000006202 Material: METALICO Color: BEIS Referencia:  Observacion:  Placa padre: Tipo adquisicion: Entidad</v>
      </c>
      <c r="G18653" s="5"/>
    </row>
    <row r="18654" spans="1:7" ht="58.5" customHeight="1" x14ac:dyDescent="0.25">
      <c r="A18654" s="5" t="str">
        <f>"H0016128"</f>
        <v>H0016128</v>
      </c>
      <c r="B18654" s="5" t="str">
        <f>"LOCKER DE 6 COMPARTIMIENTOS"</f>
        <v>LOCKER DE 6 COMPARTIMIENTOS</v>
      </c>
      <c r="C18654" s="6">
        <v>560000</v>
      </c>
      <c r="D18654" s="5"/>
      <c r="E18654" s="5" t="str">
        <f t="shared" si="959"/>
        <v>LAVANDERIA-ACTISALUD</v>
      </c>
      <c r="F18654" s="5" t="str">
        <f>"Descripcion: . Estado: Bueno Placa anterior: 000025470 Material: METALICO Color: GRIS Referencia:  Observacion:  Placa padre: Tipo adquisicion: Entidad"</f>
        <v>Descripcion: . Estado: Bueno Placa anterior: 000025470 Material: METALICO Color: GRIS Referencia:  Observacion:  Placa padre: Tipo adquisicion: Entidad</v>
      </c>
      <c r="G18654" s="5"/>
    </row>
    <row r="18655" spans="1:7" ht="58.5" customHeight="1" x14ac:dyDescent="0.25">
      <c r="A18655" s="5" t="str">
        <f>"H0017772"</f>
        <v>H0017772</v>
      </c>
      <c r="B18655" s="5" t="str">
        <f>"ESTANTE METALICO 6 ENTREPAÑOS"</f>
        <v>ESTANTE METALICO 6 ENTREPAÑOS</v>
      </c>
      <c r="C18655" s="6">
        <v>170000</v>
      </c>
      <c r="D18655" s="5"/>
      <c r="E18655" s="5" t="str">
        <f t="shared" si="959"/>
        <v>LAVANDERIA-ACTISALUD</v>
      </c>
      <c r="F18655" s="5" t="str">
        <f>"Descripcion:ESTANTE DE 6 ENTREPAÑOS Estado: Bueno Placa anterior: 000022179 Material: METALICO Color: GRIS Referencia:  Observacion:  Placa padre:  Tipo adquisicion : Entidad"</f>
        <v>Descripcion:ESTANTE DE 6 ENTREPAÑOS Estado: Bueno Placa anterior: 000022179 Material: METALICO Color: GRIS Referencia:  Observacion:  Placa padre:  Tipo adquisicion : Entidad</v>
      </c>
      <c r="G18655" s="5"/>
    </row>
    <row r="18656" spans="1:7" ht="58.5" customHeight="1" x14ac:dyDescent="0.25">
      <c r="A18656" s="5" t="str">
        <f>"H0017777"</f>
        <v>H0017777</v>
      </c>
      <c r="B18656" s="5" t="str">
        <f>"BALANZA"</f>
        <v>BALANZA</v>
      </c>
      <c r="C18656" s="6">
        <v>25289.15</v>
      </c>
      <c r="D18656" s="5"/>
      <c r="E18656" s="5" t="str">
        <f t="shared" si="959"/>
        <v>LAVANDERIA-ACTISALUD</v>
      </c>
      <c r="F18656" s="5" t="str">
        <f>"Descripcion:BALANZA DE PLATAFORMA MCA.DETECTO Estado: Bueno Placa anterior: 000009488 Material: METALICO Color: AZUL Referencia:  Observacion:  Placa padre:  Tipo adquisicion : Entidad"</f>
        <v>Descripcion:BALANZA DE PLATAFORMA MCA.DETECTO Estado: Bueno Placa anterior: 000009488 Material: METALICO Color: AZUL Referencia:  Observacion:  Placa padre:  Tipo adquisicion : Entidad</v>
      </c>
      <c r="G18656" s="5"/>
    </row>
    <row r="18657" spans="1:7" ht="58.5" customHeight="1" x14ac:dyDescent="0.25">
      <c r="A18657" s="5" t="str">
        <f>"H0017778"</f>
        <v>H0017778</v>
      </c>
      <c r="B18657" s="5" t="str">
        <f>"LAVADORA INDUSTRIAL"</f>
        <v>LAVADORA INDUSTRIAL</v>
      </c>
      <c r="C18657" s="6">
        <v>2760000</v>
      </c>
      <c r="D18657" s="5"/>
      <c r="E18657" s="5" t="str">
        <f t="shared" si="959"/>
        <v>LAVANDERIA-ACTISALUD</v>
      </c>
      <c r="F18657" s="5" t="str">
        <f>"Descripcion:LAVADORA EXTRACTORA 180 KG MOD.1102K Estado: Bueno Placa anterior: 000028164 Material: METALICO Color: AZUL Referencia:  Observacion:  Placa padre:  Tipo adquisicion : Entidad"</f>
        <v>Descripcion:LAVADORA EXTRACTORA 180 KG MOD.1102K Estado: Bueno Placa anterior: 000028164 Material: METALICO Color: AZUL Referencia:  Observacion:  Placa padre:  Tipo adquisicion : Entidad</v>
      </c>
      <c r="G18657" s="5" t="str">
        <f>"1102K"</f>
        <v>1102K</v>
      </c>
    </row>
    <row r="18658" spans="1:7" ht="58.5" customHeight="1" x14ac:dyDescent="0.25">
      <c r="A18658" s="5" t="str">
        <f>"H0017779"</f>
        <v>H0017779</v>
      </c>
      <c r="B18658" s="5" t="str">
        <f>"ESCALERA 3 PASOS TIPO TIJERA"</f>
        <v>ESCALERA 3 PASOS TIPO TIJERA</v>
      </c>
      <c r="C18658" s="6">
        <v>8085.03</v>
      </c>
      <c r="D18658" s="5"/>
      <c r="E18658" s="5" t="str">
        <f t="shared" si="959"/>
        <v>LAVANDERIA-ACTISALUD</v>
      </c>
      <c r="F18658" s="5" t="str">
        <f>"Descripcion:ESCALERA DE ALUMINIO TIPO TIJERA Estado: Bueno Placa anterior: 000028183 Material: METALICA Color: PLATEADO Referencia:  Observacion:  Placa padre:  Tipo adquisicion : Entidad"</f>
        <v>Descripcion:ESCALERA DE ALUMINIO TIPO TIJERA Estado: Bueno Placa anterior: 000028183 Material: METALICA Color: PLATEADO Referencia:  Observacion:  Placa padre:  Tipo adquisicion : Entidad</v>
      </c>
      <c r="G18658" s="5"/>
    </row>
    <row r="18659" spans="1:7" ht="58.5" customHeight="1" x14ac:dyDescent="0.25">
      <c r="A18659" s="5" t="str">
        <f>"H0017781"</f>
        <v>H0017781</v>
      </c>
      <c r="B18659" s="5" t="str">
        <f>"SECADORA INDUSTRIAL"</f>
        <v>SECADORA INDUSTRIAL</v>
      </c>
      <c r="C18659" s="6">
        <v>870000</v>
      </c>
      <c r="D18659" s="5"/>
      <c r="E18659" s="5" t="str">
        <f t="shared" si="959"/>
        <v>LAVANDERIA-ACTISALUD</v>
      </c>
      <c r="F18659" s="5" t="str">
        <f>"Descripcion:SECADORA DE 16 KG MOD.11410/2 Estado: Bueno Placa anterior: 000028166 Material: METALICO Color: VERDE Referencia:  Observacion:  Placa padre:  Tipo adquisicion : Entidad"</f>
        <v>Descripcion:SECADORA DE 16 KG MOD.11410/2 Estado: Bueno Placa anterior: 000028166 Material: METALICO Color: VERDE Referencia:  Observacion:  Placa padre:  Tipo adquisicion : Entidad</v>
      </c>
      <c r="G18659" s="5" t="str">
        <f>"11410/2"</f>
        <v>11410/2</v>
      </c>
    </row>
    <row r="18660" spans="1:7" ht="58.5" customHeight="1" x14ac:dyDescent="0.25">
      <c r="A18660" s="5" t="str">
        <f>"H0017783"</f>
        <v>H0017783</v>
      </c>
      <c r="B18660" s="5" t="str">
        <f>"SECADORA INDUSTRIAL"</f>
        <v>SECADORA INDUSTRIAL</v>
      </c>
      <c r="C18660" s="6">
        <v>35000</v>
      </c>
      <c r="D18660" s="5"/>
      <c r="E18660" s="5" t="str">
        <f t="shared" si="959"/>
        <v>LAVANDERIA-ACTISALUD</v>
      </c>
      <c r="F18660" s="5" t="str">
        <f>"Descripcion:SECADORA MODELO 37N30 Estado: Bueno Placa anterior: 000009577 Material: METALICO Color: AZUL Referencia:  Observacion:  Placa padre:  Tipo adquisicion : Entidad"</f>
        <v>Descripcion:SECADORA MODELO 37N30 Estado: Bueno Placa anterior: 000009577 Material: METALICO Color: AZUL Referencia:  Observacion:  Placa padre:  Tipo adquisicion : Entidad</v>
      </c>
      <c r="G18660" s="5" t="str">
        <f>"37N30"</f>
        <v>37N30</v>
      </c>
    </row>
    <row r="18661" spans="1:7" ht="58.5" customHeight="1" x14ac:dyDescent="0.25">
      <c r="A18661" s="5" t="str">
        <f>"H0017787"</f>
        <v>H0017787</v>
      </c>
      <c r="B18661" s="5" t="str">
        <f>"CARRO PARA TRANSPORTAR ROPA"</f>
        <v>CARRO PARA TRANSPORTAR ROPA</v>
      </c>
      <c r="C18661" s="6">
        <v>47740</v>
      </c>
      <c r="D18661" s="5"/>
      <c r="E18661" s="5" t="str">
        <f t="shared" si="959"/>
        <v>LAVANDERIA-ACTISALUD</v>
      </c>
      <c r="F18661" s="5" t="str">
        <f>"Descripcion:CARRO PARA TRANSPORTE DE ROPA SUCIA Estado: Bueno Placa anterior: 000028178 Material: METALICO Color: GRIS Referencia:  Observacion:  Placa padre:  Tipo adquisicion : Entidad"</f>
        <v>Descripcion:CARRO PARA TRANSPORTE DE ROPA SUCIA Estado: Bueno Placa anterior: 000028178 Material: METALICO Color: GRIS Referencia:  Observacion:  Placa padre:  Tipo adquisicion : Entidad</v>
      </c>
      <c r="G18661" s="5"/>
    </row>
    <row r="18662" spans="1:7" ht="58.5" customHeight="1" x14ac:dyDescent="0.25">
      <c r="A18662" s="5" t="str">
        <f>"H0017788"</f>
        <v>H0017788</v>
      </c>
      <c r="B18662" s="5" t="str">
        <f>"CARRO PARA TRANSPORTAR ROPA"</f>
        <v>CARRO PARA TRANSPORTAR ROPA</v>
      </c>
      <c r="C18662" s="6">
        <v>47740</v>
      </c>
      <c r="D18662" s="5"/>
      <c r="E18662" s="5" t="str">
        <f t="shared" si="959"/>
        <v>LAVANDERIA-ACTISALUD</v>
      </c>
      <c r="F18662" s="5" t="str">
        <f>"Descripcion:CARRO PARA TRANSPORTE DE ROPA SUCIA Estado: Bueno Placa anterior: 000028177 Material: METALICO Color: GRIS Referencia:  Observacion:  Placa padre:  Tipo adquisicion : Entidad"</f>
        <v>Descripcion:CARRO PARA TRANSPORTE DE ROPA SUCIA Estado: Bueno Placa anterior: 000028177 Material: METALICO Color: GRIS Referencia:  Observacion:  Placa padre:  Tipo adquisicion : Entidad</v>
      </c>
      <c r="G18662" s="5"/>
    </row>
    <row r="18663" spans="1:7" ht="58.5" customHeight="1" x14ac:dyDescent="0.25">
      <c r="A18663" s="5" t="str">
        <f>"H0017798"</f>
        <v>H0017798</v>
      </c>
      <c r="B18663" s="5" t="str">
        <f>"CARRO PARA TRANSPORTE TIPO CAMARERA"</f>
        <v>CARRO PARA TRANSPORTE TIPO CAMARERA</v>
      </c>
      <c r="C18663" s="6">
        <v>2727160</v>
      </c>
      <c r="D18663" s="5"/>
      <c r="E18663" s="5" t="str">
        <f t="shared" si="959"/>
        <v>LAVANDERIA-ACTISALUD</v>
      </c>
      <c r="F18663" s="5" t="str">
        <f>"Descripcion:CARRO CAMARERA (PARA LAVANDERIA)CARRO TRANSPORTADOR TIPO CAMARERA Estado: Bueno Placa anterior: 000028186 Material: PLASTICO Color: GRIS Referencia:  Observacion:  Placa padre:  Tipo adquisicion : Entidad"</f>
        <v>Descripcion:CARRO CAMARERA (PARA LAVANDERIA)CARRO TRANSPORTADOR TIPO CAMARERA Estado: Bueno Placa anterior: 000028186 Material: PLASTICO Color: GRIS Referencia:  Observacion:  Placa padre:  Tipo adquisicion : Entidad</v>
      </c>
      <c r="G18663" s="5"/>
    </row>
    <row r="18664" spans="1:7" ht="58.5" customHeight="1" x14ac:dyDescent="0.25">
      <c r="A18664" s="5" t="str">
        <f>"H0018127"</f>
        <v>H0018127</v>
      </c>
      <c r="B18664" s="5" t="str">
        <f>"ESTANTE METALICO 6 ENTREPAÑOS"</f>
        <v>ESTANTE METALICO 6 ENTREPAÑOS</v>
      </c>
      <c r="C18664" s="6">
        <v>5527.03</v>
      </c>
      <c r="D18664" s="5"/>
      <c r="E18664" s="5" t="str">
        <f t="shared" si="959"/>
        <v>LAVANDERIA-ACTISALUD</v>
      </c>
      <c r="F18664" s="5" t="str">
        <f>"Descripcion: ESTANTE METALICO 6 ENTREPAÑOS Estado: Bueno Placa anterior: 000028167 Material: METALICO Color: GRIS Referencia:  Observacion:  Placa padre: Tipo adquisicion: Entidad"</f>
        <v>Descripcion: ESTANTE METALICO 6 ENTREPAÑOS Estado: Bueno Placa anterior: 000028167 Material: METALICO Color: GRIS Referencia:  Observacion:  Placa padre: Tipo adquisicion: Entidad</v>
      </c>
      <c r="G18664" s="5"/>
    </row>
    <row r="18665" spans="1:7" ht="58.5" customHeight="1" x14ac:dyDescent="0.25">
      <c r="A18665" s="5" t="str">
        <f>"H0018128"</f>
        <v>H0018128</v>
      </c>
      <c r="B18665" s="5" t="str">
        <f>"ESTANTE METALICO 6 ENTREPAÑOS"</f>
        <v>ESTANTE METALICO 6 ENTREPAÑOS</v>
      </c>
      <c r="C18665" s="6">
        <v>8415.2800000000007</v>
      </c>
      <c r="D18665" s="5"/>
      <c r="E18665" s="5" t="str">
        <f t="shared" si="959"/>
        <v>LAVANDERIA-ACTISALUD</v>
      </c>
      <c r="F18665" s="5" t="str">
        <f>"Descripcion: ESTANTE METALICO 6 ENTREPAÑOS Estado: Bueno Placa anterior: 000014853 Material: METALICO Color: GRIS Referencia:  Observacion:  Placa padre: Tipo adquisicion: Entidad"</f>
        <v>Descripcion: ESTANTE METALICO 6 ENTREPAÑOS Estado: Bueno Placa anterior: 000014853 Material: METALICO Color: GRIS Referencia:  Observacion:  Placa padre: Tipo adquisicion: Entidad</v>
      </c>
      <c r="G18665" s="5"/>
    </row>
    <row r="18666" spans="1:7" ht="58.5" customHeight="1" x14ac:dyDescent="0.25">
      <c r="A18666" s="5" t="str">
        <f>"H0018281"</f>
        <v>H0018281</v>
      </c>
      <c r="B18666" s="5" t="str">
        <f>"MESA METALICA"</f>
        <v>MESA METALICA</v>
      </c>
      <c r="C18666" s="6">
        <v>29535</v>
      </c>
      <c r="D18666" s="5"/>
      <c r="E18666" s="5" t="str">
        <f t="shared" si="959"/>
        <v>LAVANDERIA-ACTISALUD</v>
      </c>
      <c r="F18666" s="5" t="str">
        <f>"Descripcion:MESA Estado: Bueno Placa anterior: 000028171 Material: METALICO Color: GRIS Referencia:  Observacion:  Placa padre:  Tipo adquisicion : Entidad"</f>
        <v>Descripcion:MESA Estado: Bueno Placa anterior: 000028171 Material: METALICO Color: GRIS Referencia:  Observacion:  Placa padre:  Tipo adquisicion : Entidad</v>
      </c>
      <c r="G18666" s="5"/>
    </row>
    <row r="18667" spans="1:7" ht="58.5" customHeight="1" x14ac:dyDescent="0.25">
      <c r="A18667" s="5" t="str">
        <f>"H0018282"</f>
        <v>H0018282</v>
      </c>
      <c r="B18667" s="5" t="str">
        <f>"MESA METALICA"</f>
        <v>MESA METALICA</v>
      </c>
      <c r="C18667" s="6">
        <v>29535</v>
      </c>
      <c r="D18667" s="5"/>
      <c r="E18667" s="5" t="str">
        <f t="shared" si="959"/>
        <v>LAVANDERIA-ACTISALUD</v>
      </c>
      <c r="F18667" s="5" t="str">
        <f>"Descripcion:MESA Estado: Bueno Placa anterior: 000028172 Material: METALICO Color: GRIS Referencia:  Observacion:  Placa padre:  Tipo adquisicion : Entidad"</f>
        <v>Descripcion:MESA Estado: Bueno Placa anterior: 000028172 Material: METALICO Color: GRIS Referencia:  Observacion:  Placa padre:  Tipo adquisicion : Entidad</v>
      </c>
      <c r="G18667" s="5"/>
    </row>
    <row r="18668" spans="1:7" ht="58.5" customHeight="1" x14ac:dyDescent="0.25">
      <c r="A18668" s="5" t="str">
        <f>"H0018284"</f>
        <v>H0018284</v>
      </c>
      <c r="B18668" s="5" t="str">
        <f>"MESA METALICA"</f>
        <v>MESA METALICA</v>
      </c>
      <c r="C18668" s="6">
        <v>29535</v>
      </c>
      <c r="D18668" s="5"/>
      <c r="E18668" s="5" t="str">
        <f t="shared" si="959"/>
        <v>LAVANDERIA-ACTISALUD</v>
      </c>
      <c r="F18668" s="5" t="str">
        <f>"Descripcion:MESA Estado: Bueno Placa anterior: 000028173 Material: METALICO Color: GRIS Referencia:  Observacion:  Placa padre:  Tipo adquisicion : Entidad"</f>
        <v>Descripcion:MESA Estado: Bueno Placa anterior: 000028173 Material: METALICO Color: GRIS Referencia:  Observacion:  Placa padre:  Tipo adquisicion : Entidad</v>
      </c>
      <c r="G18668" s="5"/>
    </row>
    <row r="18669" spans="1:7" ht="58.5" customHeight="1" x14ac:dyDescent="0.25">
      <c r="A18669" s="5" t="str">
        <f>"H0018285"</f>
        <v>H0018285</v>
      </c>
      <c r="B18669" s="5" t="str">
        <f>"MESA (SUPERFICIE) MODULAR"</f>
        <v>MESA (SUPERFICIE) MODULAR</v>
      </c>
      <c r="C18669" s="6">
        <v>8760</v>
      </c>
      <c r="D18669" s="5"/>
      <c r="E18669" s="5" t="str">
        <f t="shared" si="959"/>
        <v>LAVANDERIA-ACTISALUD</v>
      </c>
      <c r="F18669" s="5" t="str">
        <f>"Descripcion:MESA RECTANGULAR EN MADERA263X82X80 CM Estado: Bueno Placa anterior: 000023644 Material: MADERA Color: VERDE Referencia:  Observacion:  Placa padre:  Tipo adquisicion : Entidad"</f>
        <v>Descripcion:MESA RECTANGULAR EN MADERA263X82X80 CM Estado: Bueno Placa anterior: 000023644 Material: MADERA Color: VERDE Referencia:  Observacion:  Placa padre:  Tipo adquisicion : Entidad</v>
      </c>
      <c r="G18669" s="5"/>
    </row>
    <row r="18670" spans="1:7" ht="58.5" customHeight="1" x14ac:dyDescent="0.25">
      <c r="A18670" s="5" t="str">
        <f>"H0018289"</f>
        <v>H0018289</v>
      </c>
      <c r="B18670" s="5" t="str">
        <f>"TELEFONO DE SOBREMESA"</f>
        <v>TELEFONO DE SOBREMESA</v>
      </c>
      <c r="C18670" s="6">
        <v>9149.39</v>
      </c>
      <c r="D18670" s="5"/>
      <c r="E18670" s="5" t="str">
        <f t="shared" si="959"/>
        <v>LAVANDERIA-ACTISALUD</v>
      </c>
      <c r="F18670" s="5" t="str">
        <f>"Descripcion:TELEFONO DE MARCACION DISCAL Estado: Bueno Placa anterior: 000028189 Material: PLASTICO Color: ROJO CON NEGRO Referencia:  Observacion:  Placa padre:  Tipo adquisicion : Entidad"</f>
        <v>Descripcion:TELEFONO DE MARCACION DISCAL Estado: Bueno Placa anterior: 000028189 Material: PLASTICO Color: ROJO CON NEGRO Referencia:  Observacion:  Placa padre:  Tipo adquisicion : Entidad</v>
      </c>
      <c r="G18670" s="5"/>
    </row>
    <row r="18671" spans="1:7" ht="58.5" customHeight="1" x14ac:dyDescent="0.25">
      <c r="A18671" s="5" t="str">
        <f>"H0018291"</f>
        <v>H0018291</v>
      </c>
      <c r="B18671" s="5" t="str">
        <f t="shared" ref="B18671:B18683" si="960">"ESTANTE METALICO 6 ENTREPAÑOS"</f>
        <v>ESTANTE METALICO 6 ENTREPAÑOS</v>
      </c>
      <c r="C18671" s="6">
        <v>8916.85</v>
      </c>
      <c r="D18671" s="5"/>
      <c r="E18671" s="5" t="str">
        <f t="shared" si="959"/>
        <v>LAVANDERIA-ACTISALUD</v>
      </c>
      <c r="F18671" s="5" t="str">
        <f>"Descripcion:ESTANTE METALICOESTANTE DE 6 ENTREPAÑOS Estado: Bueno Placa anterior: 000028110 Material: METALICO Color: GRIS Referencia:  Observacion:  Placa padre:  Tipo adquisicion : Entidad"</f>
        <v>Descripcion:ESTANTE METALICOESTANTE DE 6 ENTREPAÑOS Estado: Bueno Placa anterior: 000028110 Material: METALICO Color: GRIS Referencia:  Observacion:  Placa padre:  Tipo adquisicion : Entidad</v>
      </c>
      <c r="G18671" s="5"/>
    </row>
    <row r="18672" spans="1:7" ht="58.5" customHeight="1" x14ac:dyDescent="0.25">
      <c r="A18672" s="5" t="str">
        <f>"H0018292"</f>
        <v>H0018292</v>
      </c>
      <c r="B18672" s="5" t="str">
        <f t="shared" si="960"/>
        <v>ESTANTE METALICO 6 ENTREPAÑOS</v>
      </c>
      <c r="C18672" s="6">
        <v>8916.85</v>
      </c>
      <c r="D18672" s="5"/>
      <c r="E18672" s="5" t="str">
        <f t="shared" si="959"/>
        <v>LAVANDERIA-ACTISALUD</v>
      </c>
      <c r="F18672" s="5" t="str">
        <f>"Descripcion:ESTANTE METALICO DE 6 ENTREPAÑOS Estado: Bueno Placa anterior: 000028111 Material: METALICO Color: GRIS Referencia:  Observacion:  Placa padre:  Tipo adquisicion : Entidad"</f>
        <v>Descripcion:ESTANTE METALICO DE 6 ENTREPAÑOS Estado: Bueno Placa anterior: 000028111 Material: METALICO Color: GRIS Referencia:  Observacion:  Placa padre:  Tipo adquisicion : Entidad</v>
      </c>
      <c r="G18672" s="5"/>
    </row>
    <row r="18673" spans="1:7" ht="58.5" customHeight="1" x14ac:dyDescent="0.25">
      <c r="A18673" s="5" t="str">
        <f>"H0018293"</f>
        <v>H0018293</v>
      </c>
      <c r="B18673" s="5" t="str">
        <f t="shared" si="960"/>
        <v>ESTANTE METALICO 6 ENTREPAÑOS</v>
      </c>
      <c r="C18673" s="6">
        <v>8916.85</v>
      </c>
      <c r="D18673" s="5"/>
      <c r="E18673" s="5" t="str">
        <f t="shared" si="959"/>
        <v>LAVANDERIA-ACTISALUD</v>
      </c>
      <c r="F18673" s="5" t="str">
        <f>"Descripcion:ESTANTE METALICO DE 6 ENTREPAÑOS Estado: Bueno Placa anterior: 000028112 Material: METALICO Color: GRIS Referencia:  Observacion:  Placa padre:  Tipo adquisicion : Entidad"</f>
        <v>Descripcion:ESTANTE METALICO DE 6 ENTREPAÑOS Estado: Bueno Placa anterior: 000028112 Material: METALICO Color: GRIS Referencia:  Observacion:  Placa padre:  Tipo adquisicion : Entidad</v>
      </c>
      <c r="G18673" s="5"/>
    </row>
    <row r="18674" spans="1:7" ht="58.5" customHeight="1" x14ac:dyDescent="0.25">
      <c r="A18674" s="5" t="str">
        <f>"H0018295"</f>
        <v>H0018295</v>
      </c>
      <c r="B18674" s="5" t="str">
        <f t="shared" si="960"/>
        <v>ESTANTE METALICO 6 ENTREPAÑOS</v>
      </c>
      <c r="C18674" s="6">
        <v>8916.85</v>
      </c>
      <c r="D18674" s="5"/>
      <c r="E18674" s="5" t="str">
        <f t="shared" si="959"/>
        <v>LAVANDERIA-ACTISALUD</v>
      </c>
      <c r="F18674" s="5" t="str">
        <f>"Descripcion:ESTANTE METALICO DE 6 ENTREPAÑOS Estado: Bueno Placa anterior: 000028114 Material: METALICO Color: GRIS Referencia:  Observacion:  Placa padre:  Tipo adquisicion : Entidad"</f>
        <v>Descripcion:ESTANTE METALICO DE 6 ENTREPAÑOS Estado: Bueno Placa anterior: 000028114 Material: METALICO Color: GRIS Referencia:  Observacion:  Placa padre:  Tipo adquisicion : Entidad</v>
      </c>
      <c r="G18674" s="5"/>
    </row>
    <row r="18675" spans="1:7" ht="58.5" customHeight="1" x14ac:dyDescent="0.25">
      <c r="A18675" s="5" t="str">
        <f>"H0018296"</f>
        <v>H0018296</v>
      </c>
      <c r="B18675" s="5" t="str">
        <f t="shared" si="960"/>
        <v>ESTANTE METALICO 6 ENTREPAÑOS</v>
      </c>
      <c r="C18675" s="6">
        <v>8916.85</v>
      </c>
      <c r="D18675" s="5"/>
      <c r="E18675" s="5" t="str">
        <f t="shared" si="959"/>
        <v>LAVANDERIA-ACTISALUD</v>
      </c>
      <c r="F18675" s="5" t="str">
        <f>"Descripcion:ESTANTE METALICO DE 6 ENTREPAÑOS Estado: Bueno Placa anterior: 000028115 Material: METALICO Color: GRIS Referencia:  Observacion:  Placa padre:  Tipo adquisicion : Entidad"</f>
        <v>Descripcion:ESTANTE METALICO DE 6 ENTREPAÑOS Estado: Bueno Placa anterior: 000028115 Material: METALICO Color: GRIS Referencia:  Observacion:  Placa padre:  Tipo adquisicion : Entidad</v>
      </c>
      <c r="G18675" s="5"/>
    </row>
    <row r="18676" spans="1:7" ht="58.5" customHeight="1" x14ac:dyDescent="0.25">
      <c r="A18676" s="5" t="str">
        <f>"H0018297"</f>
        <v>H0018297</v>
      </c>
      <c r="B18676" s="5" t="str">
        <f t="shared" si="960"/>
        <v>ESTANTE METALICO 6 ENTREPAÑOS</v>
      </c>
      <c r="C18676" s="6">
        <v>5527.03</v>
      </c>
      <c r="D18676" s="5"/>
      <c r="E18676" s="5" t="str">
        <f t="shared" si="959"/>
        <v>LAVANDERIA-ACTISALUD</v>
      </c>
      <c r="F18676" s="5" t="str">
        <f>"Descripcion:ESTANTE METALICO DE 6 ENTREPAÑOS Estado: Bueno Placa anterior: 000028153 Material: METALICO Color: GRIS Referencia:  Observacion:  Placa padre:  Tipo adquisicion : Entidad"</f>
        <v>Descripcion:ESTANTE METALICO DE 6 ENTREPAÑOS Estado: Bueno Placa anterior: 000028153 Material: METALICO Color: GRIS Referencia:  Observacion:  Placa padre:  Tipo adquisicion : Entidad</v>
      </c>
      <c r="G18676" s="5"/>
    </row>
    <row r="18677" spans="1:7" ht="58.5" customHeight="1" x14ac:dyDescent="0.25">
      <c r="A18677" s="5" t="str">
        <f>"H0018298"</f>
        <v>H0018298</v>
      </c>
      <c r="B18677" s="5" t="str">
        <f t="shared" si="960"/>
        <v>ESTANTE METALICO 6 ENTREPAÑOS</v>
      </c>
      <c r="C18677" s="6">
        <v>5527.03</v>
      </c>
      <c r="D18677" s="5"/>
      <c r="E18677" s="5" t="str">
        <f t="shared" ref="E18677:E18708" si="961">"LAVANDERIA-ACTISALUD"</f>
        <v>LAVANDERIA-ACTISALUD</v>
      </c>
      <c r="F18677" s="5" t="str">
        <f>"Descripcion:ESTANTE METALICO DE 6 ENTREPAÑOS Estado: Bueno Placa anterior: 000028154 Material: METALICO Color: GRIS Referencia:  Observacion:  Placa padre:  Tipo adquisicion : Entidad"</f>
        <v>Descripcion:ESTANTE METALICO DE 6 ENTREPAÑOS Estado: Bueno Placa anterior: 000028154 Material: METALICO Color: GRIS Referencia:  Observacion:  Placa padre:  Tipo adquisicion : Entidad</v>
      </c>
      <c r="G18677" s="5"/>
    </row>
    <row r="18678" spans="1:7" ht="58.5" customHeight="1" x14ac:dyDescent="0.25">
      <c r="A18678" s="5" t="str">
        <f>"H0018299"</f>
        <v>H0018299</v>
      </c>
      <c r="B18678" s="5" t="str">
        <f t="shared" si="960"/>
        <v>ESTANTE METALICO 6 ENTREPAÑOS</v>
      </c>
      <c r="C18678" s="6">
        <v>5527.03</v>
      </c>
      <c r="D18678" s="5"/>
      <c r="E18678" s="5" t="str">
        <f t="shared" si="961"/>
        <v>LAVANDERIA-ACTISALUD</v>
      </c>
      <c r="F18678" s="5" t="str">
        <f>"Descripcion:ESTANTE METALICO DE 6 ENTREPAÑOS Estado: Bueno Placa anterior: 000028155 Material: METALICO Color: GRIS Referencia:  Observacion:  Placa padre:  Tipo adquisicion : Entidad"</f>
        <v>Descripcion:ESTANTE METALICO DE 6 ENTREPAÑOS Estado: Bueno Placa anterior: 000028155 Material: METALICO Color: GRIS Referencia:  Observacion:  Placa padre:  Tipo adquisicion : Entidad</v>
      </c>
      <c r="G18678" s="5"/>
    </row>
    <row r="18679" spans="1:7" ht="58.5" customHeight="1" x14ac:dyDescent="0.25">
      <c r="A18679" s="5" t="str">
        <f>"H0018300"</f>
        <v>H0018300</v>
      </c>
      <c r="B18679" s="5" t="str">
        <f t="shared" si="960"/>
        <v>ESTANTE METALICO 6 ENTREPAÑOS</v>
      </c>
      <c r="C18679" s="6">
        <v>5527.03</v>
      </c>
      <c r="D18679" s="5"/>
      <c r="E18679" s="5" t="str">
        <f t="shared" si="961"/>
        <v>LAVANDERIA-ACTISALUD</v>
      </c>
      <c r="F18679" s="5" t="str">
        <f>"Descripcion:ESTANTE METALICO DE 6 ENTREPAÑOS Estado: Bueno Placa anterior: 000028156 Material: METALICO Color: GRIS Referencia:  Observacion:  Placa padre:  Tipo adquisicion : Entidad"</f>
        <v>Descripcion:ESTANTE METALICO DE 6 ENTREPAÑOS Estado: Bueno Placa anterior: 000028156 Material: METALICO Color: GRIS Referencia:  Observacion:  Placa padre:  Tipo adquisicion : Entidad</v>
      </c>
      <c r="G18679" s="5"/>
    </row>
    <row r="18680" spans="1:7" ht="58.5" customHeight="1" x14ac:dyDescent="0.25">
      <c r="A18680" s="5" t="str">
        <f>"H0018301"</f>
        <v>H0018301</v>
      </c>
      <c r="B18680" s="5" t="str">
        <f t="shared" si="960"/>
        <v>ESTANTE METALICO 6 ENTREPAÑOS</v>
      </c>
      <c r="C18680" s="6">
        <v>27590.38</v>
      </c>
      <c r="D18680" s="5"/>
      <c r="E18680" s="5" t="str">
        <f t="shared" si="961"/>
        <v>LAVANDERIA-ACTISALUD</v>
      </c>
      <c r="F18680" s="5" t="str">
        <f>"Descripcion:ESTANTE METALICO DE 6 ENTREPAÑOS Estado: Bueno Placa anterior: 000001434 Material: METALICO Color: GRIS Referencia:  Observacion: EL BIEN TIENE PLACA ANTERIOR  000028157 Placa padre:  Tipo adquisicion : Entidad"</f>
        <v>Descripcion:ESTANTE METALICO DE 6 ENTREPAÑOS Estado: Bueno Placa anterior: 000001434 Material: METALICO Color: GRIS Referencia:  Observacion: EL BIEN TIENE PLACA ANTERIOR  000028157 Placa padre:  Tipo adquisicion : Entidad</v>
      </c>
      <c r="G18680" s="5"/>
    </row>
    <row r="18681" spans="1:7" ht="58.5" customHeight="1" x14ac:dyDescent="0.25">
      <c r="A18681" s="5" t="str">
        <f>"H0018302"</f>
        <v>H0018302</v>
      </c>
      <c r="B18681" s="5" t="str">
        <f t="shared" si="960"/>
        <v>ESTANTE METALICO 6 ENTREPAÑOS</v>
      </c>
      <c r="C18681" s="6">
        <v>5527.03</v>
      </c>
      <c r="D18681" s="5"/>
      <c r="E18681" s="5" t="str">
        <f t="shared" si="961"/>
        <v>LAVANDERIA-ACTISALUD</v>
      </c>
      <c r="F18681" s="5" t="str">
        <f>"Descripcion:ESTANTE METALICO DE 6 ENTREPAÑOS Estado: Bueno Placa anterior: 000028158 Material: METALICO Color: GRIS Referencia:  Observacion:  Placa padre:  Tipo adquisicion : Entidad"</f>
        <v>Descripcion:ESTANTE METALICO DE 6 ENTREPAÑOS Estado: Bueno Placa anterior: 000028158 Material: METALICO Color: GRIS Referencia:  Observacion:  Placa padre:  Tipo adquisicion : Entidad</v>
      </c>
      <c r="G18681" s="5"/>
    </row>
    <row r="18682" spans="1:7" ht="58.5" customHeight="1" x14ac:dyDescent="0.25">
      <c r="A18682" s="5" t="str">
        <f>"H0018303"</f>
        <v>H0018303</v>
      </c>
      <c r="B18682" s="5" t="str">
        <f t="shared" si="960"/>
        <v>ESTANTE METALICO 6 ENTREPAÑOS</v>
      </c>
      <c r="C18682" s="6">
        <v>5527.03</v>
      </c>
      <c r="D18682" s="5"/>
      <c r="E18682" s="5" t="str">
        <f t="shared" si="961"/>
        <v>LAVANDERIA-ACTISALUD</v>
      </c>
      <c r="F18682" s="5" t="str">
        <f>"Descripcion:ESTANTE METALICO DE 6 ENTREPAÑOS Estado: Bueno Placa anterior: 000028159 Material: METALICO Color: GRIS Referencia:  Observacion:  Placa padre:  Tipo adquisicion : Entidad"</f>
        <v>Descripcion:ESTANTE METALICO DE 6 ENTREPAÑOS Estado: Bueno Placa anterior: 000028159 Material: METALICO Color: GRIS Referencia:  Observacion:  Placa padre:  Tipo adquisicion : Entidad</v>
      </c>
      <c r="G18682" s="5"/>
    </row>
    <row r="18683" spans="1:7" ht="58.5" customHeight="1" x14ac:dyDescent="0.25">
      <c r="A18683" s="5" t="str">
        <f>"H0018304"</f>
        <v>H0018304</v>
      </c>
      <c r="B18683" s="5" t="str">
        <f t="shared" si="960"/>
        <v>ESTANTE METALICO 6 ENTREPAÑOS</v>
      </c>
      <c r="C18683" s="6">
        <v>8916.85</v>
      </c>
      <c r="D18683" s="5"/>
      <c r="E18683" s="5" t="str">
        <f t="shared" si="961"/>
        <v>LAVANDERIA-ACTISALUD</v>
      </c>
      <c r="F18683" s="5" t="str">
        <f>"Descripcion:ESTANTE METALICO DE 6 ENTREPAÑOS Estado: Bueno Placa anterior: 000028162 Material: METALICO Color: GRIS Referencia:  Observacion:  Placa padre:  Tipo adquisicion : Entidad"</f>
        <v>Descripcion:ESTANTE METALICO DE 6 ENTREPAÑOS Estado: Bueno Placa anterior: 000028162 Material: METALICO Color: GRIS Referencia:  Observacion:  Placa padre:  Tipo adquisicion : Entidad</v>
      </c>
      <c r="G18683" s="5"/>
    </row>
    <row r="18684" spans="1:7" ht="58.5" customHeight="1" x14ac:dyDescent="0.25">
      <c r="A18684" s="5" t="str">
        <f>"H0018305"</f>
        <v>H0018305</v>
      </c>
      <c r="B18684" s="5" t="str">
        <f>"MESA METALICA"</f>
        <v>MESA METALICA</v>
      </c>
      <c r="C18684" s="6">
        <v>8635</v>
      </c>
      <c r="D18684" s="5"/>
      <c r="E18684" s="5" t="str">
        <f t="shared" si="961"/>
        <v>LAVANDERIA-ACTISALUD</v>
      </c>
      <c r="F18684" s="5" t="str">
        <f>"Descripcion:MESA CUADRADA AUXILIAR METALICA Estado: Bueno Placa anterior: 000028190 Material: METALICO Color: GRIS CON MARRON Referencia:  Observacion: EL BIEN TIENE PLACA ANTERIOR  000021177. EL FUNCIONARIO AUTORIZA SE CONCILIE CON PLACA No. 28190 Placa "&amp; "padre:  Tipo adquisicion : Entidad"</f>
        <v>Descripcion:MESA CUADRADA AUXILIAR METALICA Estado: Bueno Placa anterior: 000028190 Material: METALICO Color: GRIS CON MARRON Referencia:  Observacion: EL BIEN TIENE PLACA ANTERIOR  000021177. EL FUNCIONARIO AUTORIZA SE CONCILIE CON PLACA No. 28190 Placa padre:  Tipo adquisicion : Entidad</v>
      </c>
      <c r="G18684" s="5"/>
    </row>
    <row r="18685" spans="1:7" ht="58.5" customHeight="1" x14ac:dyDescent="0.25">
      <c r="A18685" s="5" t="str">
        <f>"H0018306"</f>
        <v>H0018306</v>
      </c>
      <c r="B18685" s="5" t="str">
        <f>"ESCALERILLA DE 2 PASOS"</f>
        <v>ESCALERILLA DE 2 PASOS</v>
      </c>
      <c r="C18685" s="6">
        <v>4455</v>
      </c>
      <c r="D18685" s="5"/>
      <c r="E18685" s="5" t="str">
        <f t="shared" si="961"/>
        <v>LAVANDERIA-ACTISALUD</v>
      </c>
      <c r="F18685" s="5" t="str">
        <f>"Descripcion:ESCALERILLA DE 2 PASOS Estado: Bueno Placa anterior: 000003155 Material: METALICO Color: NEGRO Referencia:  Observacion:  Placa padre:  Tipo adquisicion : Entidad"</f>
        <v>Descripcion:ESCALERILLA DE 2 PASOS Estado: Bueno Placa anterior: 000003155 Material: METALICO Color: NEGRO Referencia:  Observacion:  Placa padre:  Tipo adquisicion : Entidad</v>
      </c>
      <c r="G18685" s="5"/>
    </row>
    <row r="18686" spans="1:7" ht="58.5" customHeight="1" x14ac:dyDescent="0.25">
      <c r="A18686" s="5" t="str">
        <f>"H0018308"</f>
        <v>H0018308</v>
      </c>
      <c r="B18686" s="5" t="str">
        <f>"EXTINTOR DE AGUA A PRESION ACERO INOXIDABLE DE 2,58"</f>
        <v>EXTINTOR DE AGUA A PRESION ACERO INOXIDABLE DE 2,58</v>
      </c>
      <c r="C18686" s="6">
        <v>6833.34</v>
      </c>
      <c r="D18686" s="5"/>
      <c r="E18686" s="5" t="str">
        <f t="shared" si="961"/>
        <v>LAVANDERIA-ACTISALUD</v>
      </c>
      <c r="F18686" s="5" t="str">
        <f>"Descripcion:EXTINTOR TIPO A CAPAC 2.5 GALONES Estado: Bueno Placa anterior: 000028174 Material: METALICO Color: METAL Referencia:  Observacion:  Placa padre:  Tipo adquisicion : Entidad"</f>
        <v>Descripcion:EXTINTOR TIPO A CAPAC 2.5 GALONES Estado: Bueno Placa anterior: 000028174 Material: METALICO Color: METAL Referencia:  Observacion:  Placa padre:  Tipo adquisicion : Entidad</v>
      </c>
      <c r="G18686" s="5"/>
    </row>
    <row r="18687" spans="1:7" ht="58.5" customHeight="1" x14ac:dyDescent="0.25">
      <c r="A18687" s="5" t="str">
        <f>"H0018379"</f>
        <v>H0018379</v>
      </c>
      <c r="B18687" s="5" t="str">
        <f>"VITRINA DE 1 CUERPO"</f>
        <v>VITRINA DE 1 CUERPO</v>
      </c>
      <c r="C18687" s="6">
        <v>20790</v>
      </c>
      <c r="D18687" s="5"/>
      <c r="E18687" s="5" t="str">
        <f t="shared" si="961"/>
        <v>LAVANDERIA-ACTISALUD</v>
      </c>
      <c r="F18687" s="5" t="str">
        <f>"Descripcion:VITRINA DE UN CUERPO Estado: Bueno Placa anterior: 000004630 Material: METALICO Color: GRIS Referencia:  Observacion:  Placa padre:  Tipo adquisicion : Entidad"</f>
        <v>Descripcion:VITRINA DE UN CUERPO Estado: Bueno Placa anterior: 000004630 Material: METALICO Color: GRIS Referencia:  Observacion:  Placa padre:  Tipo adquisicion : Entidad</v>
      </c>
      <c r="G18687" s="5"/>
    </row>
    <row r="18688" spans="1:7" ht="58.5" customHeight="1" x14ac:dyDescent="0.25">
      <c r="A18688" s="5" t="str">
        <f>"H0018385"</f>
        <v>H0018385</v>
      </c>
      <c r="B18688" s="5" t="str">
        <f>"LOCKER DE 6 COMPARTIMIENTOS"</f>
        <v>LOCKER DE 6 COMPARTIMIENTOS</v>
      </c>
      <c r="C18688" s="6">
        <v>11440</v>
      </c>
      <c r="D18688" s="5"/>
      <c r="E18688" s="5" t="str">
        <f t="shared" si="961"/>
        <v>LAVANDERIA-ACTISALUD</v>
      </c>
      <c r="F18688" s="5" t="str">
        <f>"Descripcion:LOCKER TIPO A(6 PUESTOS METALICO) Estado: Regular Placa anterior: 000009544 Material: METALICO Color: GRIS Referencia:  Observacion:  Placa padre:  Tipo adquisicion : Entidad"</f>
        <v>Descripcion:LOCKER TIPO A(6 PUESTOS METALICO) Estado: Regular Placa anterior: 000009544 Material: METALICO Color: GRIS Referencia:  Observacion:  Placa padre:  Tipo adquisicion : Entidad</v>
      </c>
      <c r="G18688" s="5"/>
    </row>
    <row r="18689" spans="1:7" ht="58.5" customHeight="1" x14ac:dyDescent="0.25">
      <c r="A18689" s="5" t="str">
        <f>"H0018386"</f>
        <v>H0018386</v>
      </c>
      <c r="B18689" s="5" t="str">
        <f>"LOCKER DE 6 COMPARTIMIENTOS"</f>
        <v>LOCKER DE 6 COMPARTIMIENTOS</v>
      </c>
      <c r="C18689" s="6">
        <v>11440</v>
      </c>
      <c r="D18689" s="5"/>
      <c r="E18689" s="5" t="str">
        <f t="shared" si="961"/>
        <v>LAVANDERIA-ACTISALUD</v>
      </c>
      <c r="F18689" s="5" t="str">
        <f>"Descripcion:LOCKER TIPO A(6 PUESTOS METALICO) Estado: Regular Placa anterior: 000009545 Material: METALICO Color: GRIS Referencia:  Observacion:  Placa padre:  Tipo adquisicion : Entidad"</f>
        <v>Descripcion:LOCKER TIPO A(6 PUESTOS METALICO) Estado: Regular Placa anterior: 000009545 Material: METALICO Color: GRIS Referencia:  Observacion:  Placa padre:  Tipo adquisicion : Entidad</v>
      </c>
      <c r="G18689" s="5"/>
    </row>
    <row r="18690" spans="1:7" ht="58.5" customHeight="1" x14ac:dyDescent="0.25">
      <c r="A18690" s="5" t="str">
        <f>"H0018387"</f>
        <v>H0018387</v>
      </c>
      <c r="B18690" s="5" t="str">
        <f>"LOCKER DE 2 COMPARTIMIENTOS"</f>
        <v>LOCKER DE 2 COMPARTIMIENTOS</v>
      </c>
      <c r="C18690" s="6">
        <v>10384</v>
      </c>
      <c r="D18690" s="5"/>
      <c r="E18690" s="5" t="str">
        <f t="shared" si="961"/>
        <v>LAVANDERIA-ACTISALUD</v>
      </c>
      <c r="F18690" s="5" t="str">
        <f>"Descripcion:LOCKER TIPO C (2 PUESTOS) Estado: Inservible Placa anterior: 000008920 Material: METALICO Color: GRIS Referencia:  Observacion:  Placa padre:  Tipo adquisicion : Entidad"</f>
        <v>Descripcion:LOCKER TIPO C (2 PUESTOS) Estado: Inservible Placa anterior: 000008920 Material: METALICO Color: GRIS Referencia:  Observacion:  Placa padre:  Tipo adquisicion : Entidad</v>
      </c>
      <c r="G18690" s="5"/>
    </row>
    <row r="18691" spans="1:7" ht="58.5" customHeight="1" x14ac:dyDescent="0.25">
      <c r="A18691" s="5" t="str">
        <f>"H0018388"</f>
        <v>H0018388</v>
      </c>
      <c r="B18691" s="5" t="str">
        <f>"LOCKER DE 2 COMPARTIMIENTOS"</f>
        <v>LOCKER DE 2 COMPARTIMIENTOS</v>
      </c>
      <c r="C18691" s="6">
        <v>10384</v>
      </c>
      <c r="D18691" s="5"/>
      <c r="E18691" s="5" t="str">
        <f t="shared" si="961"/>
        <v>LAVANDERIA-ACTISALUD</v>
      </c>
      <c r="F18691" s="5" t="str">
        <f>"Descripcion:LOCKER TIPO C (2 PUESTOS) Estado: Inservible Placa anterior: 000008912 Material: METALICO Color: GRIS Referencia:  Observacion:  Placa padre:  Tipo adquisicion : Entidad"</f>
        <v>Descripcion:LOCKER TIPO C (2 PUESTOS) Estado: Inservible Placa anterior: 000008912 Material: METALICO Color: GRIS Referencia:  Observacion:  Placa padre:  Tipo adquisicion : Entidad</v>
      </c>
      <c r="G18691" s="5"/>
    </row>
    <row r="18692" spans="1:7" ht="58.5" customHeight="1" x14ac:dyDescent="0.25">
      <c r="A18692" s="5" t="str">
        <f>"H0018389"</f>
        <v>H0018389</v>
      </c>
      <c r="B18692" s="5" t="str">
        <f>"LOCKER DE 2 COMPARTIMIENTOS"</f>
        <v>LOCKER DE 2 COMPARTIMIENTOS</v>
      </c>
      <c r="C18692" s="6">
        <v>10384</v>
      </c>
      <c r="D18692" s="5"/>
      <c r="E18692" s="5" t="str">
        <f t="shared" si="961"/>
        <v>LAVANDERIA-ACTISALUD</v>
      </c>
      <c r="F18692" s="5" t="str">
        <f>"Descripcion:LOCKER TIPO C (2 PUESTOS) Estado: Inservible Placa anterior: 000008914 Material: METALICO Color: GRIS Referencia:  Observacion:  Placa padre:  Tipo adquisicion : Entidad"</f>
        <v>Descripcion:LOCKER TIPO C (2 PUESTOS) Estado: Inservible Placa anterior: 000008914 Material: METALICO Color: GRIS Referencia:  Observacion:  Placa padre:  Tipo adquisicion : Entidad</v>
      </c>
      <c r="G18692" s="5"/>
    </row>
    <row r="18693" spans="1:7" ht="58.5" customHeight="1" x14ac:dyDescent="0.25">
      <c r="A18693" s="5" t="str">
        <f>"H0018396"</f>
        <v>H0018396</v>
      </c>
      <c r="B18693" s="5" t="str">
        <f>"LOCKER DE 6 COMPARTIMIENTOS"</f>
        <v>LOCKER DE 6 COMPARTIMIENTOS</v>
      </c>
      <c r="C18693" s="6">
        <v>11440</v>
      </c>
      <c r="D18693" s="5"/>
      <c r="E18693" s="5" t="str">
        <f t="shared" si="961"/>
        <v>LAVANDERIA-ACTISALUD</v>
      </c>
      <c r="F18693" s="5" t="str">
        <f>"Descripcion:LOCKER TIPO A(6 PUESTOS METALICO) Estado: Bueno Placa anterior: 000009546 Material: METALICO Color: GRIS Referencia:  Observacion:  Placa padre:  Tipo adquisicion : Entidad"</f>
        <v>Descripcion:LOCKER TIPO A(6 PUESTOS METALICO) Estado: Bueno Placa anterior: 000009546 Material: METALICO Color: GRIS Referencia:  Observacion:  Placa padre:  Tipo adquisicion : Entidad</v>
      </c>
      <c r="G18693" s="5"/>
    </row>
    <row r="18694" spans="1:7" ht="58.5" customHeight="1" x14ac:dyDescent="0.25">
      <c r="A18694" s="5" t="str">
        <f>"H0018397"</f>
        <v>H0018397</v>
      </c>
      <c r="B18694" s="5" t="str">
        <f>"ESTANTE METALICO 7 ENTREPAÑOS"</f>
        <v>ESTANTE METALICO 7 ENTREPAÑOS</v>
      </c>
      <c r="C18694" s="6">
        <v>170000</v>
      </c>
      <c r="D18694" s="5"/>
      <c r="E18694" s="5" t="str">
        <f t="shared" si="961"/>
        <v>LAVANDERIA-ACTISALUD</v>
      </c>
      <c r="F18694" s="5" t="str">
        <f>"Descripcion:ESTANTE METALICO DE 7 ENTREPAÑOS Estado: Bueno Placa anterior: 000022178 Material: METALICO Color: GRIS Referencia:  Observacion:  Placa padre:  Tipo adquisicion : Entidad"</f>
        <v>Descripcion:ESTANTE METALICO DE 7 ENTREPAÑOS Estado: Bueno Placa anterior: 000022178 Material: METALICO Color: GRIS Referencia:  Observacion:  Placa padre:  Tipo adquisicion : Entidad</v>
      </c>
      <c r="G18694" s="5"/>
    </row>
    <row r="18695" spans="1:7" ht="58.5" customHeight="1" x14ac:dyDescent="0.25">
      <c r="A18695" s="5" t="str">
        <f>"H0018398"</f>
        <v>H0018398</v>
      </c>
      <c r="B18695" s="5" t="str">
        <f>"LOCKER DE 2 COMPARTIMIENTOS"</f>
        <v>LOCKER DE 2 COMPARTIMIENTOS</v>
      </c>
      <c r="C18695" s="6">
        <v>48720</v>
      </c>
      <c r="D18695" s="5"/>
      <c r="E18695" s="5" t="str">
        <f t="shared" si="961"/>
        <v>LAVANDERIA-ACTISALUD</v>
      </c>
      <c r="F18695" s="5" t="str">
        <f>"Descripcion:LOCKER DE 1 CUERPO Y 2 COMPARTIMIENTOS Estado: Regular Placa anterior: 000001056 Material: METALICO Color: GRIS Referencia:  Observacion: EL BIEN TIENE PLACA ANTERIOR   000012119 Placa padre:  Tipo adquisicion : Entidad"</f>
        <v>Descripcion:LOCKER DE 1 CUERPO Y 2 COMPARTIMIENTOS Estado: Regular Placa anterior: 000001056 Material: METALICO Color: GRIS Referencia:  Observacion: EL BIEN TIENE PLACA ANTERIOR   000012119 Placa padre:  Tipo adquisicion : Entidad</v>
      </c>
      <c r="G18695" s="5"/>
    </row>
    <row r="18696" spans="1:7" ht="58.5" customHeight="1" x14ac:dyDescent="0.25">
      <c r="A18696" s="5" t="str">
        <f>"H0018553"</f>
        <v>H0018553</v>
      </c>
      <c r="B18696" s="5" t="str">
        <f>"EXTRACTOR DE AIRE 12"</f>
        <v>EXTRACTOR DE AIRE 12</v>
      </c>
      <c r="C18696" s="6">
        <v>63635</v>
      </c>
      <c r="D18696" s="5"/>
      <c r="E18696" s="5" t="str">
        <f t="shared" si="961"/>
        <v>LAVANDERIA-ACTISALUD</v>
      </c>
      <c r="F18696" s="5" t="str">
        <f>"Descripcion:EXTRACTOR SIEMENS TIPO: Estado: Bueno Placa anterior: 000028179 Material: METALICO Color: GRIS Referencia:  Observacion:  Placa padre:  Tipo adquisicion : Entidad"</f>
        <v>Descripcion:EXTRACTOR SIEMENS TIPO: Estado: Bueno Placa anterior: 000028179 Material: METALICO Color: GRIS Referencia:  Observacion:  Placa padre:  Tipo adquisicion : Entidad</v>
      </c>
      <c r="G18696" s="5"/>
    </row>
    <row r="18697" spans="1:7" ht="58.5" customHeight="1" x14ac:dyDescent="0.25">
      <c r="A18697" s="5" t="str">
        <f>"H0018554"</f>
        <v>H0018554</v>
      </c>
      <c r="B18697" s="5" t="str">
        <f>"CARRO CONTENEDOR  (CANOA)"</f>
        <v>CARRO CONTENEDOR  (CANOA)</v>
      </c>
      <c r="C18697" s="6">
        <v>2909930</v>
      </c>
      <c r="D18697" s="5"/>
      <c r="E18697" s="5" t="str">
        <f t="shared" si="961"/>
        <v>LAVANDERIA-ACTISALUD</v>
      </c>
      <c r="F18697" s="5" t="str">
        <f>"Descripcion:CARRO CONTENEDOR CAP. 1.100 LTS. COLOR GRIS ALTO 1.13 CMS-ANCHO 82 CMS LARGO 1.82 CMS. Estado: Bueno Placa anterior: 000028188 Material: PLASTICO Color: GRIS Referencia:  Observacion:  Placa padre:  Tipo adquisicion : Entidad"</f>
        <v>Descripcion:CARRO CONTENEDOR CAP. 1.100 LTS. COLOR GRIS ALTO 1.13 CMS-ANCHO 82 CMS LARGO 1.82 CMS. Estado: Bueno Placa anterior: 000028188 Material: PLASTICO Color: GRIS Referencia:  Observacion:  Placa padre:  Tipo adquisicion : Entidad</v>
      </c>
      <c r="G18697" s="5"/>
    </row>
    <row r="18698" spans="1:7" ht="58.5" customHeight="1" x14ac:dyDescent="0.25">
      <c r="A18698" s="5" t="str">
        <f>"H0018555"</f>
        <v>H0018555</v>
      </c>
      <c r="B18698" s="5" t="str">
        <f>"CARRO CONTENEDOR  (CANOA)"</f>
        <v>CARRO CONTENEDOR  (CANOA)</v>
      </c>
      <c r="C18698" s="6">
        <v>2308400</v>
      </c>
      <c r="D18698" s="5"/>
      <c r="E18698" s="5" t="str">
        <f t="shared" si="961"/>
        <v>LAVANDERIA-ACTISALUD</v>
      </c>
      <c r="F18698" s="5" t="str">
        <f>"Descripcion:CONTENEDOR CANOA CAPACIDAD 1.000 LITROS Estado: Bueno Placa anterior: 000028187 Material: PLASTICO Color: VERDE Referencia:  Observacion:  Placa padre:  Tipo adquisicion : Entidad"</f>
        <v>Descripcion:CONTENEDOR CANOA CAPACIDAD 1.000 LITROS Estado: Bueno Placa anterior: 000028187 Material: PLASTICO Color: VERDE Referencia:  Observacion:  Placa padre:  Tipo adquisicion : Entidad</v>
      </c>
      <c r="G18698" s="5"/>
    </row>
    <row r="18699" spans="1:7" ht="58.5" customHeight="1" x14ac:dyDescent="0.25">
      <c r="A18699" s="5" t="str">
        <f>"H0018605"</f>
        <v>H0018605</v>
      </c>
      <c r="B18699" s="5" t="str">
        <f>"VITRINA DE 2 CUERPOS"</f>
        <v>VITRINA DE 2 CUERPOS</v>
      </c>
      <c r="C18699" s="6">
        <v>133013</v>
      </c>
      <c r="D18699" s="5"/>
      <c r="E18699" s="5" t="str">
        <f t="shared" si="961"/>
        <v>LAVANDERIA-ACTISALUD</v>
      </c>
      <c r="F18699" s="5" t="str">
        <f>"Descripcion: VITRINA DE 2 CUERPOS Estado: Bueno Placa anterior: 000002089 Material: METALICO Color: GRIS Referencia:  Observacion:  Placa padre: Tipo adquisicion: Entidad"</f>
        <v>Descripcion: VITRINA DE 2 CUERPOS Estado: Bueno Placa anterior: 000002089 Material: METALICO Color: GRIS Referencia:  Observacion:  Placa padre: Tipo adquisicion: Entidad</v>
      </c>
      <c r="G18699" s="5"/>
    </row>
    <row r="18700" spans="1:7" ht="58.5" customHeight="1" x14ac:dyDescent="0.25">
      <c r="A18700" s="5" t="str">
        <f>"H0019005"</f>
        <v>H0019005</v>
      </c>
      <c r="B18700" s="5" t="str">
        <f>"SILLA INTERLOCUTORA (FIJA) SIN BRAZOS"</f>
        <v>SILLA INTERLOCUTORA (FIJA) SIN BRAZOS</v>
      </c>
      <c r="C18700" s="6">
        <v>6121.53</v>
      </c>
      <c r="D18700" s="5"/>
      <c r="E18700" s="5" t="str">
        <f t="shared" si="961"/>
        <v>LAVANDERIA-ACTISALUD</v>
      </c>
      <c r="F18700" s="5" t="str">
        <f>"Descripcion: FALTA EL ASIENTOTAPIZADA EN CUERO MARRON Estado: Inservible Placa anterior: 000012199 Material: METALICO Color: MARRON Referencia:  Observacion: EL BIEN TIENE PLACA ANTERIOR  000009764  AUTORIZADO CONCILIAR EN CRUCE GENERAL Placa padre: Tipo "&amp; "adquisicion: Entidad"</f>
        <v>Descripcion: FALTA EL ASIENTOTAPIZADA EN CUERO MARRON Estado: Inservible Placa anterior: 000012199 Material: METALICO Color: MARRON Referencia:  Observacion: EL BIEN TIENE PLACA ANTERIOR  000009764  AUTORIZADO CONCILIAR EN CRUCE GENERAL Placa padre: Tipo adquisicion: Entidad</v>
      </c>
      <c r="G18700" s="5"/>
    </row>
    <row r="18701" spans="1:7" ht="58.5" customHeight="1" x14ac:dyDescent="0.25">
      <c r="A18701" s="5" t="str">
        <f>"H0020952"</f>
        <v>H0020952</v>
      </c>
      <c r="B18701" s="5" t="str">
        <f>"VENTILADOR INDUSTRIAL"</f>
        <v>VENTILADOR INDUSTRIAL</v>
      </c>
      <c r="C18701" s="6">
        <v>1867600</v>
      </c>
      <c r="D18701" s="5" t="s">
        <v>846</v>
      </c>
      <c r="E18701" s="5" t="str">
        <f t="shared" si="961"/>
        <v>LAVANDERIA-ACTISALUD</v>
      </c>
      <c r="F18701" s="5"/>
      <c r="G18701" s="5" t="str">
        <f>"CBP W 750"</f>
        <v>CBP W 750</v>
      </c>
    </row>
    <row r="18702" spans="1:7" ht="58.5" customHeight="1" x14ac:dyDescent="0.25">
      <c r="A18702" s="5" t="str">
        <f>"H0020953"</f>
        <v>H0020953</v>
      </c>
      <c r="B18702" s="5" t="str">
        <f>"VENTILADOR INDUSTRIAL"</f>
        <v>VENTILADOR INDUSTRIAL</v>
      </c>
      <c r="C18702" s="6">
        <v>1867600</v>
      </c>
      <c r="D18702" s="5" t="s">
        <v>847</v>
      </c>
      <c r="E18702" s="5" t="str">
        <f t="shared" si="961"/>
        <v>LAVANDERIA-ACTISALUD</v>
      </c>
      <c r="F18702" s="5"/>
      <c r="G18702" s="5" t="str">
        <f>"CBP W 750"</f>
        <v>CBP W 750</v>
      </c>
    </row>
    <row r="18703" spans="1:7" ht="58.5" customHeight="1" x14ac:dyDescent="0.25">
      <c r="A18703" s="5" t="str">
        <f>"H0020954"</f>
        <v>H0020954</v>
      </c>
      <c r="B18703" s="5" t="str">
        <f>"VENTILADOR INDUSTRIAL"</f>
        <v>VENTILADOR INDUSTRIAL</v>
      </c>
      <c r="C18703" s="6">
        <v>1867600</v>
      </c>
      <c r="D18703" s="5" t="s">
        <v>846</v>
      </c>
      <c r="E18703" s="5" t="str">
        <f t="shared" si="961"/>
        <v>LAVANDERIA-ACTISALUD</v>
      </c>
      <c r="F18703" s="5"/>
      <c r="G18703" s="5" t="str">
        <f>"CBP W 750"</f>
        <v>CBP W 750</v>
      </c>
    </row>
    <row r="18704" spans="1:7" ht="58.5" customHeight="1" x14ac:dyDescent="0.25">
      <c r="A18704" s="5" t="str">
        <f>"H0022142"</f>
        <v>H0022142</v>
      </c>
      <c r="B1870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704" s="6">
        <v>241999.99</v>
      </c>
      <c r="D18704" s="5" t="s">
        <v>499</v>
      </c>
      <c r="E18704" s="5" t="str">
        <f t="shared" si="961"/>
        <v>LAVANDERIA-ACTISALUD</v>
      </c>
      <c r="F18704" s="5"/>
      <c r="G18704" s="5"/>
    </row>
    <row r="18705" spans="1:7" ht="58.5" customHeight="1" x14ac:dyDescent="0.25">
      <c r="A18705" s="5" t="str">
        <f>"H0022143"</f>
        <v>H0022143</v>
      </c>
      <c r="B1870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705" s="6">
        <v>241999.99</v>
      </c>
      <c r="D18705" s="5" t="s">
        <v>499</v>
      </c>
      <c r="E18705" s="5" t="str">
        <f t="shared" si="961"/>
        <v>LAVANDERIA-ACTISALUD</v>
      </c>
      <c r="F18705" s="5"/>
      <c r="G18705" s="5"/>
    </row>
    <row r="18706" spans="1:7" ht="58.5" customHeight="1" x14ac:dyDescent="0.25">
      <c r="A18706" s="5" t="str">
        <f>"H0022144"</f>
        <v>H0022144</v>
      </c>
      <c r="B1870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706" s="6">
        <v>241999.99</v>
      </c>
      <c r="D18706" s="5" t="s">
        <v>499</v>
      </c>
      <c r="E18706" s="5" t="str">
        <f t="shared" si="961"/>
        <v>LAVANDERIA-ACTISALUD</v>
      </c>
      <c r="F18706" s="5"/>
      <c r="G18706" s="5"/>
    </row>
    <row r="18707" spans="1:7" ht="58.5" customHeight="1" x14ac:dyDescent="0.25">
      <c r="A18707" s="5" t="str">
        <f>"H0025319"</f>
        <v>H0025319</v>
      </c>
      <c r="B1870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707" s="6">
        <v>312156</v>
      </c>
      <c r="D18707" s="5" t="s">
        <v>10</v>
      </c>
      <c r="E18707" s="5" t="str">
        <f t="shared" si="961"/>
        <v>LAVANDERIA-ACTISALUD</v>
      </c>
      <c r="F18707" s="5"/>
      <c r="G18707" s="5"/>
    </row>
    <row r="18708" spans="1:7" ht="58.5" customHeight="1" x14ac:dyDescent="0.25">
      <c r="A18708" s="5" t="str">
        <f>"H0032061"</f>
        <v>H0032061</v>
      </c>
      <c r="B18708" s="5" t="str">
        <f>"LAVADORA 20 KILOS (DONACION)"</f>
        <v>LAVADORA 20 KILOS (DONACION)</v>
      </c>
      <c r="C18708" s="6">
        <v>3000343</v>
      </c>
      <c r="D18708" s="5" t="s">
        <v>523</v>
      </c>
      <c r="E18708" s="5" t="str">
        <f t="shared" si="961"/>
        <v>LAVANDERIA-ACTISALUD</v>
      </c>
      <c r="F18708" s="5"/>
      <c r="G18708" s="5" t="str">
        <f>"WF20M5500AW"</f>
        <v>WF20M5500AW</v>
      </c>
    </row>
    <row r="18709" spans="1:7" ht="58.5" customHeight="1" x14ac:dyDescent="0.25">
      <c r="A18709" s="5" t="str">
        <f>"H0034126"</f>
        <v>H0034126</v>
      </c>
      <c r="B18709" s="5" t="str">
        <f>"LAVADORA 20 KILOS (DONACION)"</f>
        <v>LAVADORA 20 KILOS (DONACION)</v>
      </c>
      <c r="C18709" s="6">
        <v>3000343</v>
      </c>
      <c r="D18709" s="5" t="s">
        <v>505</v>
      </c>
      <c r="E18709" s="5" t="str">
        <f t="shared" ref="E18709:E18721" si="962">"LAVANDERIA-ACTISALUD"</f>
        <v>LAVANDERIA-ACTISALUD</v>
      </c>
      <c r="F18709" s="5"/>
      <c r="G18709" s="5" t="str">
        <f>"WF20M5500AP"</f>
        <v>WF20M5500AP</v>
      </c>
    </row>
    <row r="18710" spans="1:7" ht="58.5" customHeight="1" x14ac:dyDescent="0.25">
      <c r="A18710" s="5" t="str">
        <f>"H0035129"</f>
        <v>H0035129</v>
      </c>
      <c r="B18710" s="5" t="str">
        <f>"VENTILADOR DE PARED"</f>
        <v>VENTILADOR DE PARED</v>
      </c>
      <c r="C18710" s="6">
        <v>130000.37</v>
      </c>
      <c r="D18710" s="5" t="s">
        <v>25</v>
      </c>
      <c r="E18710" s="5" t="str">
        <f t="shared" si="962"/>
        <v>LAVANDERIA-ACTISALUD</v>
      </c>
      <c r="F18710" s="5"/>
      <c r="G18710" s="5"/>
    </row>
    <row r="18711" spans="1:7" ht="58.5" customHeight="1" x14ac:dyDescent="0.25">
      <c r="A18711" s="5" t="str">
        <f>"H0035670"</f>
        <v>H0035670</v>
      </c>
      <c r="B18711" s="5" t="str">
        <f>"VENTILADOR INDUSTRIAL"</f>
        <v>VENTILADOR INDUSTRIAL</v>
      </c>
      <c r="C18711" s="6">
        <v>687400</v>
      </c>
      <c r="D18711" s="5" t="s">
        <v>131</v>
      </c>
      <c r="E18711" s="5" t="str">
        <f t="shared" si="962"/>
        <v>LAVANDERIA-ACTISALUD</v>
      </c>
      <c r="F18711" s="5"/>
      <c r="G18711" s="5"/>
    </row>
    <row r="18712" spans="1:7" ht="58.5" customHeight="1" x14ac:dyDescent="0.25">
      <c r="A18712" s="5" t="str">
        <f>"H0036318"</f>
        <v>H0036318</v>
      </c>
      <c r="B18712" s="5" t="str">
        <f>"VENTILADOR INDUSTRIAL"</f>
        <v>VENTILADOR INDUSTRIAL</v>
      </c>
      <c r="C18712" s="6">
        <v>687400</v>
      </c>
      <c r="D18712" s="5" t="s">
        <v>131</v>
      </c>
      <c r="E18712" s="5" t="str">
        <f t="shared" si="962"/>
        <v>LAVANDERIA-ACTISALUD</v>
      </c>
      <c r="F18712" s="5"/>
      <c r="G18712" s="5"/>
    </row>
    <row r="18713" spans="1:7" ht="58.5" customHeight="1" x14ac:dyDescent="0.25">
      <c r="A18713" s="5" t="str">
        <f>"H0036319"</f>
        <v>H0036319</v>
      </c>
      <c r="B18713" s="5" t="str">
        <f>"LAVADORA de Alta velocidad de centrifugado"</f>
        <v>LAVADORA de Alta velocidad de centrifugado</v>
      </c>
      <c r="C18713" s="6">
        <v>646526426</v>
      </c>
      <c r="D18713" s="5" t="s">
        <v>848</v>
      </c>
      <c r="E18713" s="5" t="str">
        <f t="shared" si="962"/>
        <v>LAVANDERIA-ACTISALUD</v>
      </c>
      <c r="F18713" s="5"/>
      <c r="G18713" s="5" t="str">
        <f>"UBC11XW0NAQU2DF0AA"</f>
        <v>UBC11XW0NAQU2DF0AA</v>
      </c>
    </row>
    <row r="18714" spans="1:7" ht="58.5" customHeight="1" x14ac:dyDescent="0.25">
      <c r="A18714" s="5" t="str">
        <f>"H0036320"</f>
        <v>H0036320</v>
      </c>
      <c r="B18714" s="5" t="str">
        <f>"Secadora Capacidad entre 50 y 95 kg Funcionamiento a vapor"</f>
        <v>Secadora Capacidad entre 50 y 95 kg Funcionamiento a vapor</v>
      </c>
      <c r="C18714" s="6">
        <v>109227031</v>
      </c>
      <c r="D18714" s="5" t="s">
        <v>848</v>
      </c>
      <c r="E18714" s="5" t="str">
        <f t="shared" si="962"/>
        <v>LAVANDERIA-ACTISALUD</v>
      </c>
      <c r="F18714" s="5"/>
      <c r="G18714" s="5"/>
    </row>
    <row r="18715" spans="1:7" ht="58.5" customHeight="1" x14ac:dyDescent="0.25">
      <c r="A18715" s="5" t="str">
        <f>"H0036321"</f>
        <v>H0036321</v>
      </c>
      <c r="B18715" s="5" t="str">
        <f>"Secadora Capacidad entre 50 y 95 kg Funcionamiento a vapor"</f>
        <v>Secadora Capacidad entre 50 y 95 kg Funcionamiento a vapor</v>
      </c>
      <c r="C18715" s="6">
        <v>109227031</v>
      </c>
      <c r="D18715" s="5" t="s">
        <v>848</v>
      </c>
      <c r="E18715" s="5" t="str">
        <f t="shared" si="962"/>
        <v>LAVANDERIA-ACTISALUD</v>
      </c>
      <c r="F18715" s="5"/>
      <c r="G18715" s="5" t="str">
        <f>"UG170S"</f>
        <v>UG170S</v>
      </c>
    </row>
    <row r="18716" spans="1:7" ht="58.5" customHeight="1" x14ac:dyDescent="0.25">
      <c r="A18716" s="5" t="str">
        <f>"H0036322"</f>
        <v>H0036322</v>
      </c>
      <c r="B18716" s="5" t="str">
        <f>"Planchadora Capacidad de producción con una humedad residual del 60%: mayor a 75 Kilos/Hora."</f>
        <v>Planchadora Capacidad de producción con una humedad residual del 60%: mayor a 75 Kilos/Hora.</v>
      </c>
      <c r="C18716" s="6">
        <v>190513436</v>
      </c>
      <c r="D18716" s="5" t="s">
        <v>848</v>
      </c>
      <c r="E18716" s="5" t="str">
        <f t="shared" si="962"/>
        <v>LAVANDERIA-ACTISALUD</v>
      </c>
      <c r="F18716" s="5"/>
      <c r="G18716" s="5"/>
    </row>
    <row r="18717" spans="1:7" ht="58.5" customHeight="1" x14ac:dyDescent="0.25">
      <c r="A18717" s="5" t="str">
        <f>"H0038643"</f>
        <v>H0038643</v>
      </c>
      <c r="B18717" s="5" t="str">
        <f>"CARRO PARA TRANSPORTE DE ROPA SUCIA"</f>
        <v>CARRO PARA TRANSPORTE DE ROPA SUCIA</v>
      </c>
      <c r="C18717" s="6">
        <v>4900000.0599999996</v>
      </c>
      <c r="D18717" s="5" t="s">
        <v>145</v>
      </c>
      <c r="E18717" s="5" t="str">
        <f t="shared" si="962"/>
        <v>LAVANDERIA-ACTISALUD</v>
      </c>
      <c r="F18717" s="5"/>
      <c r="G18717" s="5"/>
    </row>
    <row r="18718" spans="1:7" ht="58.5" customHeight="1" x14ac:dyDescent="0.25">
      <c r="A18718" s="5" t="str">
        <f>"H0038644"</f>
        <v>H0038644</v>
      </c>
      <c r="B18718" s="5" t="str">
        <f>"CARRO PARA TRANSPORTE DE ROPA SUCIA"</f>
        <v>CARRO PARA TRANSPORTE DE ROPA SUCIA</v>
      </c>
      <c r="C18718" s="6">
        <v>4900000.0599999996</v>
      </c>
      <c r="D18718" s="5" t="s">
        <v>145</v>
      </c>
      <c r="E18718" s="5" t="str">
        <f t="shared" si="962"/>
        <v>LAVANDERIA-ACTISALUD</v>
      </c>
      <c r="F18718" s="5"/>
      <c r="G18718" s="5"/>
    </row>
    <row r="18719" spans="1:7" ht="58.5" customHeight="1" x14ac:dyDescent="0.25">
      <c r="A18719" s="5" t="str">
        <f>"H0038645"</f>
        <v>H0038645</v>
      </c>
      <c r="B18719" s="5" t="str">
        <f>"CARRO PARA TRANSPORTAR ROPA"</f>
        <v>CARRO PARA TRANSPORTAR ROPA</v>
      </c>
      <c r="C18719" s="6">
        <v>5899999.8600000003</v>
      </c>
      <c r="D18719" s="5" t="s">
        <v>145</v>
      </c>
      <c r="E18719" s="5" t="str">
        <f t="shared" si="962"/>
        <v>LAVANDERIA-ACTISALUD</v>
      </c>
      <c r="F18719" s="5"/>
      <c r="G18719" s="5"/>
    </row>
    <row r="18720" spans="1:7" ht="58.5" customHeight="1" x14ac:dyDescent="0.25">
      <c r="A18720" s="5" t="str">
        <f>"H0038646"</f>
        <v>H0038646</v>
      </c>
      <c r="B18720" s="5" t="str">
        <f>"CARRO PARA TRANSPORTAR ROPA"</f>
        <v>CARRO PARA TRANSPORTAR ROPA</v>
      </c>
      <c r="C18720" s="6">
        <v>5899999.8600000003</v>
      </c>
      <c r="D18720" s="5" t="s">
        <v>145</v>
      </c>
      <c r="E18720" s="5" t="str">
        <f t="shared" si="962"/>
        <v>LAVANDERIA-ACTISALUD</v>
      </c>
      <c r="F18720" s="5"/>
      <c r="G18720" s="5"/>
    </row>
    <row r="18721" spans="1:7" ht="58.5" customHeight="1" x14ac:dyDescent="0.25">
      <c r="A18721" s="5" t="str">
        <f>"H0038647"</f>
        <v>H0038647</v>
      </c>
      <c r="B18721" s="5" t="str">
        <f>"CARRO PARA TRANSPORTAR ROPA"</f>
        <v>CARRO PARA TRANSPORTAR ROPA</v>
      </c>
      <c r="C18721" s="6">
        <v>5899999.8600000003</v>
      </c>
      <c r="D18721" s="5" t="s">
        <v>145</v>
      </c>
      <c r="E18721" s="5" t="str">
        <f t="shared" si="962"/>
        <v>LAVANDERIA-ACTISALUD</v>
      </c>
      <c r="F18721" s="5"/>
      <c r="G18721" s="5"/>
    </row>
    <row r="18722" spans="1:7" ht="58.5" customHeight="1" x14ac:dyDescent="0.25">
      <c r="A18722" s="5" t="str">
        <f>"B0005143"</f>
        <v>B0005143</v>
      </c>
      <c r="B18722" s="5" t="str">
        <f>"TIJERA"</f>
        <v>TIJERA</v>
      </c>
      <c r="C18722" s="6">
        <v>3652</v>
      </c>
      <c r="D18722" s="5"/>
      <c r="E18722" s="5" t="str">
        <f t="shared" ref="E18722:E18754" si="963">"ACTISALUD-ROPERIA"</f>
        <v>ACTISALUD-ROPERIA</v>
      </c>
      <c r="F18722" s="5" t="str">
        <f>"Descripcion:TIJERA PARA MODISTERIA Estado: Malo Placa anterior: 000009613 Material: METAL Color:  Referencia:  Observacion:  Placa padre:  Tipo adquisicion : Entidad"</f>
        <v>Descripcion:TIJERA PARA MODISTERIA Estado: Malo Placa anterior: 000009613 Material: METAL Color:  Referencia:  Observacion:  Placa padre:  Tipo adquisicion : Entidad</v>
      </c>
      <c r="G18722" s="5"/>
    </row>
    <row r="18723" spans="1:7" ht="58.5" customHeight="1" x14ac:dyDescent="0.25">
      <c r="A18723" s="5" t="str">
        <f>"B0005144"</f>
        <v>B0005144</v>
      </c>
      <c r="B18723" s="5" t="str">
        <f>"TIJERA"</f>
        <v>TIJERA</v>
      </c>
      <c r="C18723" s="6">
        <v>3652</v>
      </c>
      <c r="D18723" s="5"/>
      <c r="E18723" s="5" t="str">
        <f t="shared" si="963"/>
        <v>ACTISALUD-ROPERIA</v>
      </c>
      <c r="F18723" s="5" t="str">
        <f>"Descripcion:TIJERA PARA MODISTERIA Estado: Malo Placa anterior: 000009612 Material: METAL Color:  Referencia:  Observacion:  Placa padre:  Tipo adquisicion : Entidad"</f>
        <v>Descripcion:TIJERA PARA MODISTERIA Estado: Malo Placa anterior: 000009612 Material: METAL Color:  Referencia:  Observacion:  Placa padre:  Tipo adquisicion : Entidad</v>
      </c>
      <c r="G18723" s="5"/>
    </row>
    <row r="18724" spans="1:7" ht="58.5" customHeight="1" x14ac:dyDescent="0.25">
      <c r="A18724" s="5" t="str">
        <f>"B0005145"</f>
        <v>B0005145</v>
      </c>
      <c r="B18724" s="5" t="str">
        <f>"TIJERA"</f>
        <v>TIJERA</v>
      </c>
      <c r="C18724" s="6">
        <v>3652</v>
      </c>
      <c r="D18724" s="5"/>
      <c r="E18724" s="5" t="str">
        <f t="shared" si="963"/>
        <v>ACTISALUD-ROPERIA</v>
      </c>
      <c r="F18724" s="5" t="str">
        <f>"Descripcion:TIJERA PARA MODISTERIA Estado: Malo Placa anterior: 000009611 Material: METAL Color:  Referencia:  Observacion:  Placa padre:  Tipo adquisicion : Entidad"</f>
        <v>Descripcion:TIJERA PARA MODISTERIA Estado: Malo Placa anterior: 000009611 Material: METAL Color:  Referencia:  Observacion:  Placa padre:  Tipo adquisicion : Entidad</v>
      </c>
      <c r="G18724" s="5"/>
    </row>
    <row r="18725" spans="1:7" ht="58.5" customHeight="1" x14ac:dyDescent="0.25">
      <c r="A18725" s="5" t="str">
        <f>"B0005146"</f>
        <v>B0005146</v>
      </c>
      <c r="B18725" s="5" t="str">
        <f>"TIJERA"</f>
        <v>TIJERA</v>
      </c>
      <c r="C18725" s="6">
        <v>3652</v>
      </c>
      <c r="D18725" s="5"/>
      <c r="E18725" s="5" t="str">
        <f t="shared" si="963"/>
        <v>ACTISALUD-ROPERIA</v>
      </c>
      <c r="F18725" s="5" t="str">
        <f>"Descripcion:TIJERA PARA MODISTERIA Estado: Malo Placa anterior: 000009610 Material: METAL Color:  Referencia:  Observacion:  Placa padre:  Tipo adquisicion : Entidad"</f>
        <v>Descripcion:TIJERA PARA MODISTERIA Estado: Malo Placa anterior: 000009610 Material: METAL Color:  Referencia:  Observacion:  Placa padre:  Tipo adquisicion : Entidad</v>
      </c>
      <c r="G18725" s="5"/>
    </row>
    <row r="18726" spans="1:7" ht="58.5" customHeight="1" x14ac:dyDescent="0.25">
      <c r="A18726" s="5" t="str">
        <f>"B0005147"</f>
        <v>B0005147</v>
      </c>
      <c r="B18726" s="5" t="str">
        <f>"TIJERA"</f>
        <v>TIJERA</v>
      </c>
      <c r="C18726" s="6">
        <v>3652</v>
      </c>
      <c r="D18726" s="5"/>
      <c r="E18726" s="5" t="str">
        <f t="shared" si="963"/>
        <v>ACTISALUD-ROPERIA</v>
      </c>
      <c r="F18726" s="5" t="str">
        <f>"Descripcion:TIJERA PARA MODISTERIA Estado: Malo Placa anterior: 000009609 Material: METAL Color:  Referencia:  Observacion:  Placa padre:  Tipo adquisicion : Entidad"</f>
        <v>Descripcion:TIJERA PARA MODISTERIA Estado: Malo Placa anterior: 000009609 Material: METAL Color:  Referencia:  Observacion:  Placa padre:  Tipo adquisicion : Entidad</v>
      </c>
      <c r="G18726" s="5"/>
    </row>
    <row r="18727" spans="1:7" ht="58.5" customHeight="1" x14ac:dyDescent="0.25">
      <c r="A18727" s="5" t="str">
        <f>"H0008676"</f>
        <v>H0008676</v>
      </c>
      <c r="B18727" s="5" t="str">
        <f>"VENTILADOR DE PARED"</f>
        <v>VENTILADOR DE PARED</v>
      </c>
      <c r="C18727" s="6">
        <v>72477.5</v>
      </c>
      <c r="D18727" s="5" t="s">
        <v>54</v>
      </c>
      <c r="E18727" s="5" t="str">
        <f t="shared" si="963"/>
        <v>ACTISALUD-ROPERIA</v>
      </c>
      <c r="F18727" s="5" t="str">
        <f>"Descripcion: VENTILADOR DE PARED VENTILADOR DE PARED REF. 987181 SILENC. CON GARANTIA DE UN AÑO POR PARTE DEL FABRICANTE Estado: Bueno Placa anterior: 000037131 Material: PLASTICO Color: BLANCO Referencia:  Observacion:  Placa padre: Tipo adquisicion: Ent"&amp; "idad"</f>
        <v>Descripcion: VENTILADOR DE PARED VENTILADOR DE PARED REF. 987181 SILENC. CON GARANTIA DE UN AÑO POR PARTE DEL FABRICANTE Estado: Bueno Placa anterior: 000037131 Material: PLASTICO Color: BLANCO Referencia:  Observacion:  Placa padre: Tipo adquisicion: Entidad</v>
      </c>
      <c r="G18727" s="5" t="str">
        <f>"TURBO SILENCE MAXX"</f>
        <v>TURBO SILENCE MAXX</v>
      </c>
    </row>
    <row r="18728" spans="1:7" ht="58.5" customHeight="1" x14ac:dyDescent="0.25">
      <c r="A18728" s="5" t="str">
        <f>"H0017823"</f>
        <v>H0017823</v>
      </c>
      <c r="B18728" s="5" t="str">
        <f>"SILLA INTERLOCUTORA (FIJA) SIN BRAZOS"</f>
        <v>SILLA INTERLOCUTORA (FIJA) SIN BRAZOS</v>
      </c>
      <c r="C18728" s="6">
        <v>89552</v>
      </c>
      <c r="D18728" s="5"/>
      <c r="E18728" s="5" t="str">
        <f t="shared" si="963"/>
        <v>ACTISALUD-ROPERIA</v>
      </c>
      <c r="F18728" s="5" t="str">
        <f>"Descripcion: SILLAS FIJAS PRISMA TAPIZADA EN LONA Estado: Bueno Placa anterior: 000022557 Material: METALICO, PLASTICO DE POLIPROPILENO Y LONA Color: NEGRO Y VERDE Referencia:  Observacion:  Placa padre: Tipo adquisicion: Entidad"</f>
        <v>Descripcion: SILLAS FIJAS PRISMA TAPIZADA EN LONA Estado: Bueno Placa anterior: 000022557 Material: METALICO, PLASTICO DE POLIPROPILENO Y LONA Color: NEGRO Y VERDE Referencia:  Observacion:  Placa padre: Tipo adquisicion: Entidad</v>
      </c>
      <c r="G18728" s="5"/>
    </row>
    <row r="18729" spans="1:7" ht="58.5" customHeight="1" x14ac:dyDescent="0.25">
      <c r="A18729" s="5" t="str">
        <f>"H0017824"</f>
        <v>H0017824</v>
      </c>
      <c r="B18729" s="5" t="str">
        <f>"SILLA INTERLOCUTORA (FIJA) SIN BRAZOS"</f>
        <v>SILLA INTERLOCUTORA (FIJA) SIN BRAZOS</v>
      </c>
      <c r="C18729" s="6">
        <v>89552</v>
      </c>
      <c r="D18729" s="5"/>
      <c r="E18729" s="5" t="str">
        <f t="shared" si="963"/>
        <v>ACTISALUD-ROPERIA</v>
      </c>
      <c r="F18729" s="5" t="str">
        <f>"Descripcion: SILLAS FIJAS PRISMA TAPIZADA EN LONA Estado: Bueno Placa anterior: 000022554 Material: METALICO, PLASTICO Color: NEGRO Y VERDE Referencia:  Observacion:  Placa padre: Tipo adquisicion: Entidad"</f>
        <v>Descripcion: SILLAS FIJAS PRISMA TAPIZADA EN LONA Estado: Bueno Placa anterior: 000022554 Material: METALICO, PLASTICO Color: NEGRO Y VERDE Referencia:  Observacion:  Placa padre: Tipo adquisicion: Entidad</v>
      </c>
      <c r="G18729" s="5"/>
    </row>
    <row r="18730" spans="1:7" ht="58.5" customHeight="1" x14ac:dyDescent="0.25">
      <c r="A18730" s="5" t="str">
        <f>"H0018531"</f>
        <v>H0018531</v>
      </c>
      <c r="B18730" s="5" t="str">
        <f>"MESA PARA CORTE Y CONFECCION"</f>
        <v>MESA PARA CORTE Y CONFECCION</v>
      </c>
      <c r="C18730" s="6">
        <v>18150</v>
      </c>
      <c r="D18730" s="5"/>
      <c r="E18730" s="5" t="str">
        <f t="shared" si="963"/>
        <v>ACTISALUD-ROPERIA</v>
      </c>
      <c r="F18730" s="5" t="str">
        <f>"Descripcion:MESA PARA CORTE Y CONFECCION CON 15 GAVETAS Estado: Bueno Placa anterior: 000028160 Material: MADERA Color: VERDE Referencia:  Observacion: LA PLACA No. 28161 CORRESPONDE A LA MESA PARA CORTE DE 30 GAVETAS. UNIFICAR PLACAS ANTERIORES CON LA PL"&amp; "ACA NUEVA No, 18531 Placa padre:  Tipo adquisicion : Entidad"</f>
        <v>Descripcion:MESA PARA CORTE Y CONFECCION CON 15 GAVETAS Estado: Bueno Placa anterior: 000028160 Material: MADERA Color: VERDE Referencia:  Observacion: LA PLACA No. 28161 CORRESPONDE A LA MESA PARA CORTE DE 30 GAVETAS. UNIFICAR PLACAS ANTERIORES CON LA PLACA NUEVA No, 18531 Placa padre:  Tipo adquisicion : Entidad</v>
      </c>
      <c r="G18730" s="5"/>
    </row>
    <row r="18731" spans="1:7" ht="58.5" customHeight="1" x14ac:dyDescent="0.25">
      <c r="A18731" s="5" t="str">
        <f>"H0018532"</f>
        <v>H0018532</v>
      </c>
      <c r="B18731" s="5" t="str">
        <f>"MAQUINA DE COSER"</f>
        <v>MAQUINA DE COSER</v>
      </c>
      <c r="C18731" s="6">
        <v>198257</v>
      </c>
      <c r="D18731" s="5"/>
      <c r="E18731" s="5" t="str">
        <f t="shared" si="963"/>
        <v>ACTISALUD-ROPERIA</v>
      </c>
      <c r="F18731" s="5" t="str">
        <f>"Descripcion:MAQUINA DE COSER MCA.PFAFF Estado: Bueno Placa anterior: 000028100 Material: METALICO Color: BEIGE Referencia:  Observacion:  Placa padre:  Tipo adquisicion : Entidad"</f>
        <v>Descripcion:MAQUINA DE COSER MCA.PFAFF Estado: Bueno Placa anterior: 000028100 Material: METALICO Color: BEIGE Referencia:  Observacion:  Placa padre:  Tipo adquisicion : Entidad</v>
      </c>
      <c r="G18731" s="5" t="str">
        <f>"563"</f>
        <v>563</v>
      </c>
    </row>
    <row r="18732" spans="1:7" ht="58.5" customHeight="1" x14ac:dyDescent="0.25">
      <c r="A18732" s="5" t="str">
        <f>"H0018533"</f>
        <v>H0018533</v>
      </c>
      <c r="B18732" s="5" t="str">
        <f>"MAQUINA DE COSER"</f>
        <v>MAQUINA DE COSER</v>
      </c>
      <c r="C18732" s="6">
        <v>198257</v>
      </c>
      <c r="D18732" s="5"/>
      <c r="E18732" s="5" t="str">
        <f t="shared" si="963"/>
        <v>ACTISALUD-ROPERIA</v>
      </c>
      <c r="F18732" s="5" t="str">
        <f>"Descripcion:MAQUINA DE COSER SINGER Estado: Bueno Placa anterior: 000028103 Material: METALICO Color: BEIGE Referencia:  Observacion:  Placa padre:  Tipo adquisicion : Entidad"</f>
        <v>Descripcion:MAQUINA DE COSER SINGER Estado: Bueno Placa anterior: 000028103 Material: METALICO Color: BEIGE Referencia:  Observacion:  Placa padre:  Tipo adquisicion : Entidad</v>
      </c>
      <c r="G18732" s="5" t="str">
        <f>"191-D-3000AA"</f>
        <v>191-D-3000AA</v>
      </c>
    </row>
    <row r="18733" spans="1:7" ht="58.5" customHeight="1" x14ac:dyDescent="0.25">
      <c r="A18733" s="5" t="str">
        <f>"H0018535"</f>
        <v>H0018535</v>
      </c>
      <c r="B18733" s="5" t="str">
        <f>"SILLA INTERLOCUTORA (FIJA) SIN BRAZOS"</f>
        <v>SILLA INTERLOCUTORA (FIJA) SIN BRAZOS</v>
      </c>
      <c r="C18733" s="6">
        <v>5610</v>
      </c>
      <c r="D18733" s="5"/>
      <c r="E18733" s="5" t="str">
        <f t="shared" si="963"/>
        <v>ACTISALUD-ROPERIA</v>
      </c>
      <c r="F18733" s="5" t="str">
        <f>"Descripcion:SILLA FIJA TIPO A COLOR MARRON Estado: Bueno Placa anterior: 000028106 Material: METALICO Color: GRIS Y MARRON Referencia:  Observacion:  Placa padre:  Tipo adquisicion : Entidad"</f>
        <v>Descripcion:SILLA FIJA TIPO A COLOR MARRON Estado: Bueno Placa anterior: 000028106 Material: METALICO Color: GRIS Y MARRON Referencia:  Observacion:  Placa padre:  Tipo adquisicion : Entidad</v>
      </c>
      <c r="G18733" s="5"/>
    </row>
    <row r="18734" spans="1:7" ht="58.5" customHeight="1" x14ac:dyDescent="0.25">
      <c r="A18734" s="5" t="str">
        <f>"H0018536"</f>
        <v>H0018536</v>
      </c>
      <c r="B18734" s="5" t="str">
        <f>"MAQUINA DE COSTURA RECTA Y ZIG ZAG"</f>
        <v>MAQUINA DE COSTURA RECTA Y ZIG ZAG</v>
      </c>
      <c r="C18734" s="6">
        <v>1030400</v>
      </c>
      <c r="D18734" s="5"/>
      <c r="E18734" s="5" t="str">
        <f t="shared" si="963"/>
        <v>ACTISALUD-ROPERIA</v>
      </c>
      <c r="F18734" s="5" t="str">
        <f>"Descripcion:MAQUINA DE COSTURA RECTA Y ZIG ZAG 118-6/01 Estado: Bueno Placa anterior: 000028101 Material: METALICO Color: BEIGE Referencia:  Observacion:  Placa padre:  Tipo adquisicion : Entidad"</f>
        <v>Descripcion:MAQUINA DE COSTURA RECTA Y ZIG ZAG 118-6/01 Estado: Bueno Placa anterior: 000028101 Material: METALICO Color: BEIGE Referencia:  Observacion:  Placa padre:  Tipo adquisicion : Entidad</v>
      </c>
      <c r="G18734" s="5" t="str">
        <f>"118"</f>
        <v>118</v>
      </c>
    </row>
    <row r="18735" spans="1:7" ht="58.5" customHeight="1" x14ac:dyDescent="0.25">
      <c r="A18735" s="5" t="str">
        <f>"H0018537"</f>
        <v>H0018537</v>
      </c>
      <c r="B18735" s="5" t="str">
        <f>"MAQUINA PLANA DE COSTURA"</f>
        <v>MAQUINA PLANA DE COSTURA</v>
      </c>
      <c r="C18735" s="6">
        <v>698880</v>
      </c>
      <c r="D18735" s="5"/>
      <c r="E18735" s="5" t="str">
        <f t="shared" si="963"/>
        <v>ACTISALUD-ROPERIA</v>
      </c>
      <c r="F18735" s="5" t="str">
        <f>"Descripcion:MAQUINA PLANA DE COSTURA RECTA 901-0563-001/007 Estado: Malo Placa anterior: 000009536 Material: METALICO Color: BEIGE Referencia:  Observacion:  Placa padre:  Tipo adquisicion : Entidad"</f>
        <v>Descripcion:MAQUINA PLANA DE COSTURA RECTA 901-0563-001/007 Estado: Malo Placa anterior: 000009536 Material: METALICO Color: BEIGE Referencia:  Observacion:  Placa padre:  Tipo adquisicion : Entidad</v>
      </c>
      <c r="G18735" s="5" t="str">
        <f>"563"</f>
        <v>563</v>
      </c>
    </row>
    <row r="18736" spans="1:7" ht="58.5" customHeight="1" x14ac:dyDescent="0.25">
      <c r="A18736" s="5" t="str">
        <f>"H0018538"</f>
        <v>H0018538</v>
      </c>
      <c r="B18736" s="5" t="str">
        <f>"FILETEADORA"</f>
        <v>FILETEADORA</v>
      </c>
      <c r="C18736" s="6">
        <v>1647118</v>
      </c>
      <c r="D18736" s="5"/>
      <c r="E18736" s="5" t="str">
        <f t="shared" si="963"/>
        <v>ACTISALUD-ROPERIA</v>
      </c>
      <c r="F18736" s="5" t="str">
        <f>"Descripcion:FILETEADORA Estado: Bueno Placa anterior: 000028102 Material: METALICO Color: BEIGE Referencia:  Observacion:  Placa padre:  Tipo adquisicion : Entidad"</f>
        <v>Descripcion:FILETEADORA Estado: Bueno Placa anterior: 000028102 Material: METALICO Color: BEIGE Referencia:  Observacion:  Placa padre:  Tipo adquisicion : Entidad</v>
      </c>
      <c r="G18736" s="5" t="str">
        <f>"395B"</f>
        <v>395B</v>
      </c>
    </row>
    <row r="18737" spans="1:7" ht="58.5" customHeight="1" x14ac:dyDescent="0.25">
      <c r="A18737" s="5" t="str">
        <f>"H0018540"</f>
        <v>H0018540</v>
      </c>
      <c r="B18737" s="5" t="str">
        <f>"CORTADORA ELECTRICA"</f>
        <v>CORTADORA ELECTRICA</v>
      </c>
      <c r="C18737" s="6">
        <v>499400</v>
      </c>
      <c r="D18737" s="5"/>
      <c r="E18737" s="5" t="str">
        <f t="shared" si="963"/>
        <v>ACTISALUD-ROPERIA</v>
      </c>
      <c r="F18737" s="5" t="str">
        <f>"Descripcion:CORTADORA ELECTRICA MCA.PHAFF 700 Estado: Bueno Placa anterior: 000009514 Material: METALICO Color: PLATEADO Referencia:  Observacion:  Placa padre:  Tipo adquisicion : Entidad"</f>
        <v>Descripcion:CORTADORA ELECTRICA MCA.PHAFF 700 Estado: Bueno Placa anterior: 000009514 Material: METALICO Color: PLATEADO Referencia:  Observacion:  Placa padre:  Tipo adquisicion : Entidad</v>
      </c>
      <c r="G18737" s="5" t="str">
        <f>"SABRE 700"</f>
        <v>SABRE 700</v>
      </c>
    </row>
    <row r="18738" spans="1:7" ht="58.5" customHeight="1" x14ac:dyDescent="0.25">
      <c r="A18738" s="5" t="str">
        <f>"H0018541"</f>
        <v>H0018541</v>
      </c>
      <c r="B18738" s="5" t="str">
        <f>"VITRINA DE 2 CUERPOS"</f>
        <v>VITRINA DE 2 CUERPOS</v>
      </c>
      <c r="C18738" s="6">
        <v>56166</v>
      </c>
      <c r="D18738" s="5"/>
      <c r="E18738" s="5" t="str">
        <f t="shared" si="963"/>
        <v>ACTISALUD-ROPERIA</v>
      </c>
      <c r="F18738" s="5" t="str">
        <f>"Descripcion:VITRINA METALICA TIPO B ( DOS CUERPOS) Estado: Bueno Placa anterior: 000000248 Material: METALICO Color: GRIS Referencia:  Observacion:  Placa padre:  Tipo adquisicion : Entidad"</f>
        <v>Descripcion:VITRINA METALICA TIPO B ( DOS CUERPOS) Estado: Bueno Placa anterior: 000000248 Material: METALICO Color: GRIS Referencia:  Observacion:  Placa padre:  Tipo adquisicion : Entidad</v>
      </c>
      <c r="G18738" s="5"/>
    </row>
    <row r="18739" spans="1:7" ht="58.5" customHeight="1" x14ac:dyDescent="0.25">
      <c r="A18739" s="5" t="str">
        <f>"H0018542"</f>
        <v>H0018542</v>
      </c>
      <c r="B18739" s="5" t="str">
        <f>"LOCKER DE 2 COMPARTIMIENTOS"</f>
        <v>LOCKER DE 2 COMPARTIMIENTOS</v>
      </c>
      <c r="C18739" s="6">
        <v>10384</v>
      </c>
      <c r="D18739" s="5"/>
      <c r="E18739" s="5" t="str">
        <f t="shared" si="963"/>
        <v>ACTISALUD-ROPERIA</v>
      </c>
      <c r="F18739" s="5" t="str">
        <f>"Descripcion:LOCKER TIPO C (2 PUESTOS) Estado: Bueno Placa anterior: 000028191 Material: METALICO Color: GRIS Referencia:  Observacion:  Placa padre:  Tipo adquisicion : Entidad"</f>
        <v>Descripcion:LOCKER TIPO C (2 PUESTOS) Estado: Bueno Placa anterior: 000028191 Material: METALICO Color: GRIS Referencia:  Observacion:  Placa padre:  Tipo adquisicion : Entidad</v>
      </c>
      <c r="G18739" s="5"/>
    </row>
    <row r="18740" spans="1:7" ht="58.5" customHeight="1" x14ac:dyDescent="0.25">
      <c r="A18740" s="5" t="str">
        <f>"H0018544"</f>
        <v>H0018544</v>
      </c>
      <c r="B18740" s="5" t="str">
        <f t="shared" ref="B18740:B18746" si="964">"ESTANTE METALICO 6 ENTREPAÑOS"</f>
        <v>ESTANTE METALICO 6 ENTREPAÑOS</v>
      </c>
      <c r="C18740" s="6">
        <v>8916.85</v>
      </c>
      <c r="D18740" s="5"/>
      <c r="E18740" s="5" t="str">
        <f t="shared" si="963"/>
        <v>ACTISALUD-ROPERIA</v>
      </c>
      <c r="F18740" s="5" t="str">
        <f>"Descripcion:ESTANTE METALICO DE 6 ENTREPAÑOS Estado: Bueno Placa anterior: 000028092 Material: METALICO Color: GRIS Referencia:  Observacion:  Placa padre:  Tipo adquisicion : Entidad"</f>
        <v>Descripcion:ESTANTE METALICO DE 6 ENTREPAÑOS Estado: Bueno Placa anterior: 000028092 Material: METALICO Color: GRIS Referencia:  Observacion:  Placa padre:  Tipo adquisicion : Entidad</v>
      </c>
      <c r="G18740" s="5"/>
    </row>
    <row r="18741" spans="1:7" ht="58.5" customHeight="1" x14ac:dyDescent="0.25">
      <c r="A18741" s="5" t="str">
        <f>"H0018545"</f>
        <v>H0018545</v>
      </c>
      <c r="B18741" s="5" t="str">
        <f t="shared" si="964"/>
        <v>ESTANTE METALICO 6 ENTREPAÑOS</v>
      </c>
      <c r="C18741" s="6">
        <v>8916.85</v>
      </c>
      <c r="D18741" s="5"/>
      <c r="E18741" s="5" t="str">
        <f t="shared" si="963"/>
        <v>ACTISALUD-ROPERIA</v>
      </c>
      <c r="F18741" s="5" t="str">
        <f>"Descripcion:ESTANTE METALICO DE 7 ENTREPAÑOS Estado: Bueno Placa anterior: 000028091 Material: METALICO Color: GRIS Referencia:  Observacion:  Placa padre:  Tipo adquisicion : Entidad"</f>
        <v>Descripcion:ESTANTE METALICO DE 7 ENTREPAÑOS Estado: Bueno Placa anterior: 000028091 Material: METALICO Color: GRIS Referencia:  Observacion:  Placa padre:  Tipo adquisicion : Entidad</v>
      </c>
      <c r="G18741" s="5"/>
    </row>
    <row r="18742" spans="1:7" ht="58.5" customHeight="1" x14ac:dyDescent="0.25">
      <c r="A18742" s="5" t="str">
        <f>"H0018546"</f>
        <v>H0018546</v>
      </c>
      <c r="B18742" s="5" t="str">
        <f t="shared" si="964"/>
        <v>ESTANTE METALICO 6 ENTREPAÑOS</v>
      </c>
      <c r="C18742" s="6">
        <v>8916.85</v>
      </c>
      <c r="D18742" s="5"/>
      <c r="E18742" s="5" t="str">
        <f t="shared" si="963"/>
        <v>ACTISALUD-ROPERIA</v>
      </c>
      <c r="F18742" s="5" t="str">
        <f>"Descripcion:ESTANTE METALICO DE 7 ENTREPAÑOS Estado: Bueno Placa anterior: 000028093 Material: METALICO Color: GRIS Referencia:  Observacion:  Placa padre:  Tipo adquisicion : Entidad"</f>
        <v>Descripcion:ESTANTE METALICO DE 7 ENTREPAÑOS Estado: Bueno Placa anterior: 000028093 Material: METALICO Color: GRIS Referencia:  Observacion:  Placa padre:  Tipo adquisicion : Entidad</v>
      </c>
      <c r="G18742" s="5"/>
    </row>
    <row r="18743" spans="1:7" ht="58.5" customHeight="1" x14ac:dyDescent="0.25">
      <c r="A18743" s="5" t="str">
        <f>"H0018547"</f>
        <v>H0018547</v>
      </c>
      <c r="B18743" s="5" t="str">
        <f t="shared" si="964"/>
        <v>ESTANTE METALICO 6 ENTREPAÑOS</v>
      </c>
      <c r="C18743" s="6">
        <v>8916.85</v>
      </c>
      <c r="D18743" s="5"/>
      <c r="E18743" s="5" t="str">
        <f t="shared" si="963"/>
        <v>ACTISALUD-ROPERIA</v>
      </c>
      <c r="F18743" s="5" t="str">
        <f>"Descripcion:ESTANTE METALICO DE 6 ENTREPAÑOS Estado: Bueno Placa anterior: 000028094 Material: METALICO Color: GRIS Referencia:  Observacion:  Placa padre:  Tipo adquisicion : Entidad"</f>
        <v>Descripcion:ESTANTE METALICO DE 6 ENTREPAÑOS Estado: Bueno Placa anterior: 000028094 Material: METALICO Color: GRIS Referencia:  Observacion:  Placa padre:  Tipo adquisicion : Entidad</v>
      </c>
      <c r="G18743" s="5"/>
    </row>
    <row r="18744" spans="1:7" ht="58.5" customHeight="1" x14ac:dyDescent="0.25">
      <c r="A18744" s="5" t="str">
        <f>"H0018548"</f>
        <v>H0018548</v>
      </c>
      <c r="B18744" s="5" t="str">
        <f t="shared" si="964"/>
        <v>ESTANTE METALICO 6 ENTREPAÑOS</v>
      </c>
      <c r="C18744" s="6">
        <v>8916.85</v>
      </c>
      <c r="D18744" s="5"/>
      <c r="E18744" s="5" t="str">
        <f t="shared" si="963"/>
        <v>ACTISALUD-ROPERIA</v>
      </c>
      <c r="F18744" s="5" t="str">
        <f>"Descripcion:ESTANTE METALICO DE 6 ENTREPAÑOS Estado: Bueno Placa anterior: 000028095 Material: METALICO Color: GRIS Referencia:  Observacion:  Placa padre:  Tipo adquisicion : Entidad"</f>
        <v>Descripcion:ESTANTE METALICO DE 6 ENTREPAÑOS Estado: Bueno Placa anterior: 000028095 Material: METALICO Color: GRIS Referencia:  Observacion:  Placa padre:  Tipo adquisicion : Entidad</v>
      </c>
      <c r="G18744" s="5"/>
    </row>
    <row r="18745" spans="1:7" ht="58.5" customHeight="1" x14ac:dyDescent="0.25">
      <c r="A18745" s="5" t="str">
        <f>"H0018549"</f>
        <v>H0018549</v>
      </c>
      <c r="B18745" s="5" t="str">
        <f t="shared" si="964"/>
        <v>ESTANTE METALICO 6 ENTREPAÑOS</v>
      </c>
      <c r="C18745" s="6">
        <v>8916.85</v>
      </c>
      <c r="D18745" s="5"/>
      <c r="E18745" s="5" t="str">
        <f t="shared" si="963"/>
        <v>ACTISALUD-ROPERIA</v>
      </c>
      <c r="F18745" s="5" t="str">
        <f>"Descripcion:ESTANTE METALICO DE 6 ENTREPAÑOS Estado: Bueno Placa anterior: 000028098 Material: METALICO Color: GRIS Referencia:  Observacion:  Placa padre:  Tipo adquisicion : Entidad"</f>
        <v>Descripcion:ESTANTE METALICO DE 6 ENTREPAÑOS Estado: Bueno Placa anterior: 000028098 Material: METALICO Color: GRIS Referencia:  Observacion:  Placa padre:  Tipo adquisicion : Entidad</v>
      </c>
      <c r="G18745" s="5"/>
    </row>
    <row r="18746" spans="1:7" ht="58.5" customHeight="1" x14ac:dyDescent="0.25">
      <c r="A18746" s="5" t="str">
        <f>"H0018550"</f>
        <v>H0018550</v>
      </c>
      <c r="B18746" s="5" t="str">
        <f t="shared" si="964"/>
        <v>ESTANTE METALICO 6 ENTREPAÑOS</v>
      </c>
      <c r="C18746" s="6">
        <v>8916.85</v>
      </c>
      <c r="D18746" s="5"/>
      <c r="E18746" s="5" t="str">
        <f t="shared" si="963"/>
        <v>ACTISALUD-ROPERIA</v>
      </c>
      <c r="F18746" s="5" t="str">
        <f>"Descripcion:ESTANTE METALICO DE 6 ENTREPAÑOS Estado: Bueno Placa anterior: 000028097 Material: METALICO Color: GRIS Referencia:  Observacion:  Placa padre:  Tipo adquisicion : Entidad"</f>
        <v>Descripcion:ESTANTE METALICO DE 6 ENTREPAÑOS Estado: Bueno Placa anterior: 000028097 Material: METALICO Color: GRIS Referencia:  Observacion:  Placa padre:  Tipo adquisicion : Entidad</v>
      </c>
      <c r="G18746" s="5"/>
    </row>
    <row r="18747" spans="1:7" ht="58.5" customHeight="1" x14ac:dyDescent="0.25">
      <c r="A18747" s="5" t="str">
        <f>"H0018551"</f>
        <v>H0018551</v>
      </c>
      <c r="B18747" s="5" t="str">
        <f>"SILLA INTERLOCUTORA (FIJA) SIN BRAZOS"</f>
        <v>SILLA INTERLOCUTORA (FIJA) SIN BRAZOS</v>
      </c>
      <c r="C18747" s="6">
        <v>5610</v>
      </c>
      <c r="D18747" s="5"/>
      <c r="E18747" s="5" t="str">
        <f t="shared" si="963"/>
        <v>ACTISALUD-ROPERIA</v>
      </c>
      <c r="F18747" s="5" t="str">
        <f>"Descripcion:SILLA FIJA TIPO A COLOR MARRON Estado: Bueno Placa anterior: 000028107 Material: METALICO Color: GRIS Y MARRON Referencia:  Observacion:  Placa padre:  Tipo adquisicion : Entidad"</f>
        <v>Descripcion:SILLA FIJA TIPO A COLOR MARRON Estado: Bueno Placa anterior: 000028107 Material: METALICO Color: GRIS Y MARRON Referencia:  Observacion:  Placa padre:  Tipo adquisicion : Entidad</v>
      </c>
      <c r="G18747" s="5"/>
    </row>
    <row r="18748" spans="1:7" ht="58.5" customHeight="1" x14ac:dyDescent="0.25">
      <c r="A18748" s="5" t="str">
        <f>"H0021935"</f>
        <v>H0021935</v>
      </c>
      <c r="B18748" s="5" t="str">
        <f>"PLANCHA"</f>
        <v>PLANCHA</v>
      </c>
      <c r="C18748" s="6">
        <v>12100</v>
      </c>
      <c r="D18748" s="5"/>
      <c r="E18748" s="5" t="str">
        <f t="shared" si="963"/>
        <v>ACTISALUD-ROPERIA</v>
      </c>
      <c r="F18748" s="5" t="str">
        <f>"Descripcion:PLANCHA REF.VAPORELA SAMURAI DE VOLMO Estado: Malo Placa anterior: 000028163 Material: METAL Y PASTA Color: BLANCO Referencia:  Observacion:  Placa padre:  Tipo adquisicion : Entidad"</f>
        <v>Descripcion:PLANCHA REF.VAPORELA SAMURAI DE VOLMO Estado: Malo Placa anterior: 000028163 Material: METAL Y PASTA Color: BLANCO Referencia:  Observacion:  Placa padre:  Tipo adquisicion : Entidad</v>
      </c>
      <c r="G18748" s="5"/>
    </row>
    <row r="18749" spans="1:7" ht="58.5" customHeight="1" x14ac:dyDescent="0.25">
      <c r="A18749" s="5" t="str">
        <f>"H0024130"</f>
        <v>H0024130</v>
      </c>
      <c r="B18749" s="5" t="str">
        <f>"CUNA TIPO CANASTILLA"</f>
        <v>CUNA TIPO CANASTILLA</v>
      </c>
      <c r="C18749" s="6">
        <v>16005</v>
      </c>
      <c r="D18749" s="5"/>
      <c r="E18749" s="5" t="str">
        <f t="shared" si="963"/>
        <v>ACTISALUD-ROPERIA</v>
      </c>
      <c r="F18749" s="5" t="str">
        <f>"Descripcion:CUNA PEQUEÑA (CANASTILLA) Estado: Malo Placa anterior: 000026283 Material: METALICA Color:  Referencia:  Observacion: PASAR A ELEMENTOS PARA DAR DE BAJA   Placa padre:  Tipo adquisicion : Entidad"</f>
        <v>Descripcion:CUNA PEQUEÑA (CANASTILLA) Estado: Malo Placa anterior: 000026283 Material: METALICA Color:  Referencia:  Observacion: PASAR A ELEMENTOS PARA DAR DE BAJA   Placa padre:  Tipo adquisicion : Entidad</v>
      </c>
      <c r="G18749" s="5"/>
    </row>
    <row r="18750" spans="1:7" ht="58.5" customHeight="1" x14ac:dyDescent="0.25">
      <c r="A18750" s="5" t="str">
        <f>"H0029316"</f>
        <v>H0029316</v>
      </c>
      <c r="B18750" s="5" t="str">
        <f>"SILLA HERGONOMICA CON SISTEMA HIDRAULICO"</f>
        <v>SILLA HERGONOMICA CON SISTEMA HIDRAULICO</v>
      </c>
      <c r="C18750" s="6">
        <v>174900</v>
      </c>
      <c r="D18750" s="5" t="s">
        <v>89</v>
      </c>
      <c r="E18750" s="5" t="str">
        <f t="shared" si="963"/>
        <v>ACTISALUD-ROPERIA</v>
      </c>
      <c r="F18750" s="5"/>
      <c r="G18750" s="5"/>
    </row>
    <row r="18751" spans="1:7" ht="58.5" customHeight="1" x14ac:dyDescent="0.25">
      <c r="A18751" s="5" t="str">
        <f>"H0029317"</f>
        <v>H0029317</v>
      </c>
      <c r="B18751" s="5" t="str">
        <f>"SILLA HERGONOMICA CON SISTEMA HIDRAULICO"</f>
        <v>SILLA HERGONOMICA CON SISTEMA HIDRAULICO</v>
      </c>
      <c r="C18751" s="6">
        <v>174900</v>
      </c>
      <c r="D18751" s="5" t="s">
        <v>89</v>
      </c>
      <c r="E18751" s="5" t="str">
        <f t="shared" si="963"/>
        <v>ACTISALUD-ROPERIA</v>
      </c>
      <c r="F18751" s="5"/>
      <c r="G18751" s="5"/>
    </row>
    <row r="18752" spans="1:7" ht="58.5" customHeight="1" x14ac:dyDescent="0.25">
      <c r="A18752" s="5" t="str">
        <f>"H0030216"</f>
        <v>H0030216</v>
      </c>
      <c r="B18752" s="5" t="str">
        <f>"KIT ATORNILLADOR 12V"</f>
        <v>KIT ATORNILLADOR 12V</v>
      </c>
      <c r="C18752" s="6">
        <v>147999.75</v>
      </c>
      <c r="D18752" s="5" t="s">
        <v>362</v>
      </c>
      <c r="E18752" s="5" t="str">
        <f t="shared" si="963"/>
        <v>ACTISALUD-ROPERIA</v>
      </c>
      <c r="F18752" s="5"/>
      <c r="G18752" s="5"/>
    </row>
    <row r="18753" spans="1:7" ht="58.5" customHeight="1" x14ac:dyDescent="0.25">
      <c r="A18753" s="5" t="str">
        <f>"H0036323"</f>
        <v>H0036323</v>
      </c>
      <c r="B18753" s="5" t="str">
        <f>"VENTILADOR DE PARED"</f>
        <v>VENTILADOR DE PARED</v>
      </c>
      <c r="C18753" s="6">
        <v>295260</v>
      </c>
      <c r="D18753" s="5" t="s">
        <v>131</v>
      </c>
      <c r="E18753" s="5" t="str">
        <f t="shared" si="963"/>
        <v>ACTISALUD-ROPERIA</v>
      </c>
      <c r="F18753" s="5"/>
      <c r="G18753" s="5"/>
    </row>
    <row r="18754" spans="1:7" ht="58.5" customHeight="1" x14ac:dyDescent="0.25">
      <c r="A18754" s="5" t="str">
        <f>"H0036324"</f>
        <v>H0036324</v>
      </c>
      <c r="B18754" s="5" t="str">
        <f>"VENTILADOR DE PARED"</f>
        <v>VENTILADOR DE PARED</v>
      </c>
      <c r="C18754" s="6">
        <v>295260</v>
      </c>
      <c r="D18754" s="5" t="s">
        <v>131</v>
      </c>
      <c r="E18754" s="5" t="str">
        <f t="shared" si="963"/>
        <v>ACTISALUD-ROPERIA</v>
      </c>
      <c r="F18754" s="5"/>
      <c r="G18754" s="5"/>
    </row>
    <row r="18755" spans="1:7" ht="58.5" customHeight="1" x14ac:dyDescent="0.25">
      <c r="A18755" s="5" t="str">
        <f>"B0002024"</f>
        <v>B0002024</v>
      </c>
      <c r="B18755" s="5" t="str">
        <f>"PULMON DE PRUEBA PEDIATRICO"</f>
        <v>PULMON DE PRUEBA PEDIATRICO</v>
      </c>
      <c r="C18755" s="6">
        <v>68000</v>
      </c>
      <c r="D18755" s="5"/>
      <c r="E18755" s="5" t="str">
        <f t="shared" ref="E18755:E18786" si="965">"ACTISALUD - SERVICIO DE AMBULANCIA-MARGARITA LAZARO"</f>
        <v>ACTISALUD - SERVICIO DE AMBULANCIA-MARGARITA LAZARO</v>
      </c>
      <c r="F18755" s="5" t="str">
        <f>"Descripcion:PULMONES DE PRUEBA PEDIATRICO Resistencia: 5, 20, 50, 200 mbar/L/s Compliance: 1, 2, 3, 5 mL/mbar Estado: Excelente Placa anterior: 000037713 Material: CAUCHO Color: BEIGE Referencia:  Observacion:  Placa padre:  Tipo adquisicion : Entidad"</f>
        <v>Descripcion:PULMONES DE PRUEBA PEDIATRICO Resistencia: 5, 20, 50, 200 mbar/L/s Compliance: 1, 2, 3, 5 mL/mbar Estado: Excelente Placa anterior: 000037713 Material: CAUCHO Color: BEIGE Referencia:  Observacion:  Placa padre:  Tipo adquisicion : Entidad</v>
      </c>
      <c r="G18755" s="5"/>
    </row>
    <row r="18756" spans="1:7" ht="58.5" customHeight="1" x14ac:dyDescent="0.25">
      <c r="A18756" s="5" t="str">
        <f>"H0002054"</f>
        <v>H0002054</v>
      </c>
      <c r="B18756" s="5" t="str">
        <f>"BOMBA DE INFUSION"</f>
        <v>BOMBA DE INFUSION</v>
      </c>
      <c r="C18756" s="6">
        <v>2500000</v>
      </c>
      <c r="D18756" s="5" t="s">
        <v>802</v>
      </c>
      <c r="E18756" s="5" t="str">
        <f t="shared" si="965"/>
        <v>ACTISALUD - SERVICIO DE AMBULANCIA-MARGARITA LAZARO</v>
      </c>
      <c r="F18756" s="5" t="str">
        <f>"CONTRATO # 0016M-113"</f>
        <v>CONTRATO # 0016M-113</v>
      </c>
      <c r="G18756" s="5" t="str">
        <f>"Mindray SK-600 II"</f>
        <v>Mindray SK-600 II</v>
      </c>
    </row>
    <row r="18757" spans="1:7" ht="58.5" customHeight="1" x14ac:dyDescent="0.25">
      <c r="A18757" s="5" t="str">
        <f>"H0002763"</f>
        <v>H0002763</v>
      </c>
      <c r="B18757" s="5" t="str">
        <f>"PULMON DE PRUEBA PARA ADULTO"</f>
        <v>PULMON DE PRUEBA PARA ADULTO</v>
      </c>
      <c r="C18757" s="6">
        <v>68000</v>
      </c>
      <c r="D18757" s="5"/>
      <c r="E18757" s="5" t="str">
        <f t="shared" si="965"/>
        <v>ACTISALUD - SERVICIO DE AMBULANCIA-MARGARITA LAZARO</v>
      </c>
      <c r="F18757" s="5" t="str">
        <f>"Descripcion:PULMONES DE PRUEBA ADULTOS Resistencia: 20 mbar/L/s Compliance: 25 mL/mbar at Vt = 500 mL, PEEP = 0 mbar Volumen: 0 - 1000 mL (con bolsa de 1L) Estado: Excelente Placa anterior: 000037712 Material: PASTA Y CAUCHO Color: NEGRO Y BLANCO Referenc"&amp; "ia:  Observacion:  Placa padre:  Tipo adquisicion : Entidad"</f>
        <v>Descripcion:PULMONES DE PRUEBA ADULTOS Resistencia: 20 mbar/L/s Compliance: 25 mL/mbar at Vt = 500 mL, PEEP = 0 mbar Volumen: 0 - 1000 mL (con bolsa de 1L) Estado: Excelente Placa anterior: 000037712 Material: PASTA Y CAUCHO Color: NEGRO Y BLANCO Referencia:  Observacion:  Placa padre:  Tipo adquisicion : Entidad</v>
      </c>
      <c r="G18757" s="5" t="str">
        <f>"TEST LUNG 190"</f>
        <v>TEST LUNG 190</v>
      </c>
    </row>
    <row r="18758" spans="1:7" ht="58.5" customHeight="1" x14ac:dyDescent="0.25">
      <c r="A18758" s="5" t="str">
        <f>"H0007502"</f>
        <v>H0007502</v>
      </c>
      <c r="B18758" s="5" t="str">
        <f>"RADIO PORTATIL PARA COMUNICACIONES SIN GPS"</f>
        <v>RADIO PORTATIL PARA COMUNICACIONES SIN GPS</v>
      </c>
      <c r="C18758" s="6">
        <v>493000</v>
      </c>
      <c r="D18758" s="5" t="s">
        <v>849</v>
      </c>
      <c r="E18758" s="5" t="str">
        <f t="shared" si="965"/>
        <v>ACTISALUD - SERVICIO DE AMBULANCIA-MARGARITA LAZARO</v>
      </c>
      <c r="F18758" s="5" t="str">
        <f>"Descripcion:RADIO - BASE CARGA LI-ON BATERY - RADIO INALAMBRICO Estado: Bueno Placa anterior: 000030218 Material: PASTA Color: NEGRO Referencia: W081249 Observacion: SE  ENCUENTRA EN LA ENTRADA DE URGENCIA Placa padre:  Tipo adquisicion : Entidad"</f>
        <v>Descripcion:RADIO - BASE CARGA LI-ON BATERY - RADIO INALAMBRICO Estado: Bueno Placa anterior: 000030218 Material: PASTA Color: NEGRO Referencia: W081249 Observacion: SE  ENCUENTRA EN LA ENTRADA DE URGENCIA Placa padre:  Tipo adquisicion : Entidad</v>
      </c>
      <c r="G18758" s="5" t="str">
        <f>"KSC-355"</f>
        <v>KSC-355</v>
      </c>
    </row>
    <row r="18759" spans="1:7" ht="58.5" customHeight="1" x14ac:dyDescent="0.25">
      <c r="A18759" s="5" t="str">
        <f>"H0007503"</f>
        <v>H0007503</v>
      </c>
      <c r="B18759" s="5" t="str">
        <f>"RADIO PORTATIL PARA COMUNICACIONES SIN GPS"</f>
        <v>RADIO PORTATIL PARA COMUNICACIONES SIN GPS</v>
      </c>
      <c r="C18759" s="6">
        <v>493000</v>
      </c>
      <c r="D18759" s="5" t="s">
        <v>849</v>
      </c>
      <c r="E18759" s="5" t="str">
        <f t="shared" si="965"/>
        <v>ACTISALUD - SERVICIO DE AMBULANCIA-MARGARITA LAZARO</v>
      </c>
      <c r="F18759" s="5" t="str">
        <f>"Descripcion:RADIO - BASE CARGA LI-ON BATERY - RADIO INALAMBRICO Estado: Bueno Placa anterior: 000030217 Material: PASTA Color: NEGRO Referencia: W081249 Observacion: SE ENCUENTRA EN LA ENTRADA DE URGENCIAS Placa padre:  Tipo adquisicion : Entidad"</f>
        <v>Descripcion:RADIO - BASE CARGA LI-ON BATERY - RADIO INALAMBRICO Estado: Bueno Placa anterior: 000030217 Material: PASTA Color: NEGRO Referencia: W081249 Observacion: SE ENCUENTRA EN LA ENTRADA DE URGENCIAS Placa padre:  Tipo adquisicion : Entidad</v>
      </c>
      <c r="G18759" s="5" t="str">
        <f>"KSC-355"</f>
        <v>KSC-355</v>
      </c>
    </row>
    <row r="18760" spans="1:7" ht="58.5" customHeight="1" x14ac:dyDescent="0.25">
      <c r="A18760" s="5" t="str">
        <f>"H0007508"</f>
        <v>H0007508</v>
      </c>
      <c r="B18760" s="5" t="str">
        <f>"SILLA DE RUEDAS"</f>
        <v>SILLA DE RUEDAS</v>
      </c>
      <c r="C18760" s="6">
        <v>650000</v>
      </c>
      <c r="D18760" s="5"/>
      <c r="E18760" s="5" t="str">
        <f t="shared" si="965"/>
        <v>ACTISALUD - SERVICIO DE AMBULANCIA-MARGARITA LAZARO</v>
      </c>
      <c r="F18760" s="5" t="str">
        <f>"Descripcion:SILLA DE RUEDA ADULTO ESTANDAR CON BRAZOS Y DESCANSAPIES DESMONTABLES CON MARCO PLEGABLE CALIBRE 18 DE 7/8 Estado: Bueno Placa anterior: 000028679 Material: METAL Y CUERO Color: AZUL Referencia:  Observacion:  Placa padre:  Tipo adquisicion : "&amp; "Entidad"</f>
        <v>Descripcion:SILLA DE RUEDA ADULTO ESTANDAR CON BRAZOS Y DESCANSAPIES DESMONTABLES CON MARCO PLEGABLE CALIBRE 18 DE 7/8 Estado: Bueno Placa anterior: 000028679 Material: METAL Y CUERO Color: AZUL Referencia:  Observacion:  Placa padre:  Tipo adquisicion : Entidad</v>
      </c>
      <c r="G18760" s="5"/>
    </row>
    <row r="18761" spans="1:7" ht="58.5" customHeight="1" x14ac:dyDescent="0.25">
      <c r="A18761" s="5" t="str">
        <f>"H0007510"</f>
        <v>H0007510</v>
      </c>
      <c r="B18761" s="5" t="str">
        <f>"CAMILLA (LEVANTE) TELESCOPICA"</f>
        <v>CAMILLA (LEVANTE) TELESCOPICA</v>
      </c>
      <c r="C18761" s="6">
        <v>3400000</v>
      </c>
      <c r="D18761" s="5" t="s">
        <v>850</v>
      </c>
      <c r="E18761" s="5" t="str">
        <f t="shared" si="965"/>
        <v>ACTISALUD - SERVICIO DE AMBULANCIA-MARGARITA LAZARO</v>
      </c>
      <c r="F18761" s="5" t="str">
        <f>"Descripcion:CAMILLA ESPECIAL DE TRANSPORTE P/ AMBULANCIA RECLINABLE, AJUSTABLE Estado: Bueno Placa anterior: 000029337 Material: ALUMINIO Color: PLATEADO Referencia:  Observacion: CAMILLA DE TRANSPORTE  DESAJUSTADO SIN FRENOS, NO FUNCIONAN BARANDAS Placa "&amp; "padre: H0007511 Tipo adquisicion : Entidad"</f>
        <v>Descripcion:CAMILLA ESPECIAL DE TRANSPORTE P/ AMBULANCIA RECLINABLE, AJUSTABLE Estado: Bueno Placa anterior: 000029337 Material: ALUMINIO Color: PLATEADO Referencia:  Observacion: CAMILLA DE TRANSPORTE  DESAJUSTADO SIN FRENOS, NO FUNCIONAN BARANDAS Placa padre: H0007511 Tipo adquisicion : Entidad</v>
      </c>
      <c r="G18761" s="5"/>
    </row>
    <row r="18762" spans="1:7" ht="58.5" customHeight="1" x14ac:dyDescent="0.25">
      <c r="A18762" s="5" t="str">
        <f>"H0007511"</f>
        <v>H0007511</v>
      </c>
      <c r="B18762" s="5" t="str">
        <f>"AMBULANCIA TAB"</f>
        <v>AMBULANCIA TAB</v>
      </c>
      <c r="C18762" s="6">
        <v>103947600</v>
      </c>
      <c r="D18762" s="5"/>
      <c r="E18762" s="5" t="str">
        <f t="shared" si="965"/>
        <v>ACTISALUD - SERVICIO DE AMBULANCIA-MARGARITA LAZARO</v>
      </c>
      <c r="F18762" s="5" t="str">
        <f>"Descripcion:AMBULANCIA ASISTENCIAL BASICO (TAB) INCLUYE : CHASIS, CARROCERIA, DOTACION, AIRE ACONDICIONADO AREA CONDUCTOR Y PARTE TRASERA AREA PACIENTE, RADIO TELEFONO SOBRA HYUNDAY 4X2 2607 C.C. 8 VALVULAS Estado: Bueno Placa anterior: 000026116 Material"&amp; ": METALICO Color: BLANCO Referencia: CHASIS: KMJWVH78P8U814580       N°. MOTOR:  04887436269 Observacion:  Placa anterior:, Placa nueva=H0007513, Descripcion:SIRENA 1 RADIO, Serial:, Marca:ELECTRONIC SIREN, Modelo:, Material:METALICO, Color:NEGRO,   Refer"&amp; "encia:, Placa anterior:, Placa nueva=B0004084, Descripcion:KIT DE CARRETERA CON ESTUCHE NEGRO, Serial:, Marca:, Modelo:, Material:PASTA , Color:ROJO,   Referencia:, Placa anterior:, Placa nueva=H0009247, Descripcion:TABLA DE REANIMACION, Serial:, Marca:, "&amp; "Modelo:, Material:MADERA, Color:MADERA,   Referencia:, Placa anterior:, Placa nueva=H0009246, Descripcion:CAMILLA DE MOVILIZACION (TABLA)INCLUYE 4 TABLAS, Serial:, Marca:, Modelo:, Material:MADERA, Color:MADERA,   Referencia:, Placa anterior:, Placa nueva"&amp; "=H0007514, Descripcion:EXTINTOR MULTIPROPOSITO 10 LBS, Serial:, Marca:, Modelo:, Material:METALICO, Color:AMARILLO,   Referencia:, Placa anterior:, Placa nueva=H0009254, Descripcion:SILLA RECLINABLE, Serial:, Marca:, Modelo:, Material:METALICO Y CUERINA, "&amp; "Color:BLANCO Y AZUL,   Referencia:, Placa anterior:, Placa nueva=H0009251, Descripcion:CAMILLA PORTATIL EN TELA, Serial:, Marca:, Modelo:, Material:METALICO Y TELA, Color:VERDE Y PLATEADO,   Referencia:, Placa anterior:000033205, Placa nueva=H0009244, Des"&amp; "cripcion:MONITOR SIGNOS VITALES, Serial:MC22750A9, Marca:DATASCOPE, Modelo:, Material:PASTA , Color:BLANCO,   Referencia:0998-00-0600-4055R, Placa anterior:, Placa nueva=B0004408, Descripcion:BALA DE OXIGENO GRANDE, Serial:, Marca:, Modelo:, Material:META"&amp; "LICO, Color:BLANCO,   Referencia:, Placa anterior:, Placa nueva=H0009253, Descripcion:ASIENTO FIJO - 2 PUESTOS, Serial:, Marca:, Modelo:, Material:METALICO Y CUERINA, Color:BLANCO Y AZUL,   Referencia:, Placa ante"</f>
        <v>Descripcion:AMBULANCIA ASISTENCIAL BASICO (TAB) INCLUYE : CHASIS, CARROCERIA, DOTACION, AIRE ACONDICIONADO AREA CONDUCTOR Y PARTE TRASERA AREA PACIENTE, RADIO TELEFONO SOBRA HYUNDAY 4X2 2607 C.C. 8 VALVULAS Estado: Bueno Placa anterior: 000026116 Material: METALICO Color: BLANCO Referencia: CHASIS: KMJWVH78P8U814580       N°. MOTOR:  04887436269 Observacion:  Placa anterior:, Placa nueva=H0007513, Descripcion:SIRENA 1 RADIO, Serial:, Marca:ELECTRONIC SIREN, Modelo:, Material:METALICO, Color:NEGRO,   Referencia:, Placa anterior:, Placa nueva=B0004084, Descripcion:KIT DE CARRETERA CON ESTUCHE NEGRO, Serial:, Marca:, Modelo:, Material:PASTA , Color:ROJO,   Referencia:, Placa anterior:, Placa nueva=H0009247, Descripcion:TABLA DE REANIMACION, Serial:, Marca:, Modelo:, Material:MADERA, Color:MADERA,   Referencia:, Placa anterior:, Placa nueva=H0009246, Descripcion:CAMILLA DE MOVILIZACION (TABLA)INCLUYE 4 TABLAS, Serial:, Marca:, Modelo:, Material:MADERA, Color:MADERA,   Referencia:, Placa anterior:, Placa nueva=H0007514, Descripcion:EXTINTOR MULTIPROPOSITO 10 LBS, Serial:, Marca:, Modelo:, Material:METALICO, Color:AMARILLO,   Referencia:, Placa anterior:, Placa nueva=H0009254, Descripcion:SILLA RECLINABLE, Serial:, Marca:, Modelo:, Material:METALICO Y CUERINA, Color:BLANCO Y AZUL,   Referencia:, Placa anterior:, Placa nueva=H0009251, Descripcion:CAMILLA PORTATIL EN TELA, Serial:, Marca:, Modelo:, Material:METALICO Y TELA, Color:VERDE Y PLATEADO,   Referencia:, Placa anterior:000033205, Placa nueva=H0009244, Descripcion:MONITOR SIGNOS VITALES, Serial:MC22750A9, Marca:DATASCOPE, Modelo:, Material:PASTA , Color:BLANCO,   Referencia:0998-00-0600-4055R, Placa anterior:, Placa nueva=B0004408, Descripcion:BALA DE OXIGENO GRANDE, Serial:, Marca:, Modelo:, Material:METALICO, Color:BLANCO,   Referencia:, Placa anterior:, Placa nueva=H0009253, Descripcion:ASIENTO FIJO - 2 PUESTOS, Serial:, Marca:, Modelo:, Material:METALICO Y CUERINA, Color:BLANCO Y AZUL,   Referencia:, Placa ante</v>
      </c>
      <c r="G18762" s="5" t="str">
        <f>"2008-PLACA OWN-298"</f>
        <v>2008-PLACA OWN-298</v>
      </c>
    </row>
    <row r="18763" spans="1:7" ht="58.5" customHeight="1" x14ac:dyDescent="0.25">
      <c r="A18763" s="5" t="str">
        <f>"H0009233"</f>
        <v>H0009233</v>
      </c>
      <c r="B18763" s="5" t="str">
        <f>"COMPUTADOR TODO EN UNO"</f>
        <v>COMPUTADOR TODO EN UNO</v>
      </c>
      <c r="C18763" s="6">
        <v>2470000</v>
      </c>
      <c r="D18763" s="5" t="s">
        <v>6</v>
      </c>
      <c r="E18763" s="5" t="str">
        <f t="shared" si="965"/>
        <v>ACTISALUD - SERVICIO DE AMBULANCIA-MARGARITA LAZARO</v>
      </c>
      <c r="F18763" s="5" t="str">
        <f>"Descripcion:EQUIPO DE COMPUTO TODO EN UNO CON PROCESADOR INTEL i5 Estado: Bueno Placa anterior: 000037005 Material: PASTA Color: NEGRO Referencia:  Observacion:  Placa anterior:, Placa nueva=H0009234, Descripcion:TECLADO USB , Serial:BDMHE0CHH5VKD7, Marca"&amp; ":HP, Modelo:KB57211, Material:PASTA, Color:NEGRO,   Referencia:, Placa anterior:, Placa nueva=H0009235, Descripcion:MOUSE USB 3 BOTONES OPTICO, Serial:44PD005, Marca:LENOVO, Modelo:SM50F76959, Material:PASTA, Color:NEGRO,   Referencia: Placa padre:  Tipo "&amp; "adquisicion : Entidad"</f>
        <v>Descripcion:EQUIPO DE COMPUTO TODO EN UNO CON PROCESADOR INTEL i5 Estado: Bueno Placa anterior: 000037005 Material: PASTA Color: NEGRO Referencia:  Observacion:  Placa anterior:, Placa nueva=H0009234, Descripcion:TECLADO USB , Serial:BDMHE0CHH5VKD7, Marca:HP, Modelo:KB57211, Material:PASTA, Color:NEGRO,   Referencia:, Placa anterior:, Placa nueva=H0009235, Descripcion:MOUSE USB 3 BOTONES OPTICO, Serial:44PD005, Marca:LENOVO, Modelo:SM50F76959, Material:PASTA, Color:NEGRO,   Referencia: Placa padre:  Tipo adquisicion : Entidad</v>
      </c>
      <c r="G18763" s="5" t="str">
        <f>"00FDLS"</f>
        <v>00FDLS</v>
      </c>
    </row>
    <row r="18764" spans="1:7" ht="58.5" customHeight="1" x14ac:dyDescent="0.25">
      <c r="A18764" s="5" t="str">
        <f>"H0009255"</f>
        <v>H0009255</v>
      </c>
      <c r="B18764" s="5" t="str">
        <f>"AMBULANCIA TAB"</f>
        <v>AMBULANCIA TAB</v>
      </c>
      <c r="C18764" s="6">
        <v>103947600</v>
      </c>
      <c r="D18764" s="5"/>
      <c r="E18764" s="5" t="str">
        <f t="shared" si="965"/>
        <v>ACTISALUD - SERVICIO DE AMBULANCIA-MARGARITA LAZARO</v>
      </c>
      <c r="F18764" s="5" t="str">
        <f>"Descripcion:AMBULANCIA ASISTENCIAL BASICO (TAB) INCLUYE : CHASIS, CARROCERIA, DOTACION, AIRE ACONDICIONADO AREA CONDUCTOR Y PARTE TRASERA AREA PACIENTE, RADIO TELEFONO SOBRA HYUNDAY 4X2 2607 C.C. 8 VALVULAS Estado: Bueno Placa anterior: 000026117 Material"&amp; ": METALICO Color: BLANCO Referencia: CHASIS: KMJWV78P8U814589     N°. MOTOR:  0608001359644000 Observacion: AMBULANCIA -CAMIONETA LINEA H1 PLACA OWN299  3 PUESTOS TAPIZADA EN TELA GRIS, PUESTO DEL CHOFER ESTA DETERIORADO.  CAMIONETA TIPO PANEL 2 PUERTAS  "&amp; "CON RADIO FM  Placa anterior:, Placa nueva=H0009265, Descripcion:CAMILLA PORTATIL, Serial:, Marca:, Modelo:, Material:METALICO Y TELA, Color:VERDE,   Referencia:, Placa anterior:, Placa nueva=H0009268, Descripcion:SIRENA 1 RADIO, Serial:, Marca:JOHRES, Mo"&amp; "delo:, Material:METALICO, Color:NEGRO,   Referencia:, Placa anterior:, Placa nueva=H0009258, Descripcion:ASIENTO FIJO - 2 PUESTOS, Serial:, Marca:, Modelo:, Material:METALICO Y CUERINA, Color:BLANCO Y AZUL,   Referencia:, Placa anterior:, Placa nueva=H000"&amp; "9264, Descripcion:CAJA DE HERRAMIENTAS:  1 DESTORNILLADOR, 1 MARTILLO ROMPE VIDRIOS, 2 LLAVES MILIMETRICAS, JUEGO DE SEÑALES REFLECTIVAS, Serial:, Marca:, Modelo:, Material:METALICO Y PASTA, Color:PLATEADO Y ROJO ,   Referencia:, Placa anterior:, Placa nu"&amp; "eva=H0009256, Descripcion:CAMILLA DE MOVILIZACION (TABLA)TABLA ESPINAL LARGA, Serial:, Marca:, Modelo:, Material:MADERA, Color:MADERA,   Referencia:, Placa anterior:, Placa nueva=H0009259, Descripcion:SILLA RECLINABLE, Serial:, Marca:, Modelo:, Material:M"&amp; "ETALICO Y CUERINA, Color:BLANCO Y AZUL,   Referencia:, Placa anterior:, Placa nueva=H0009266, Descripcion:EXTINTOR MULTIPROPOSITO 5 LBS, Serial:, Marca:, Modelo:, Material:METALICO, Color:AMARILLO,   Referencia:, Placa anterior:, Placa nueva=H0009257, Des"&amp; "cripcion:PISINGO, Serial:, Marca:, Modelo:, Material:ACERO INOXIDABLE, Color:PLATEADO,   Referencia:, Placa anterior:, Placa nueva=H0009262, Descripcion:RIÑONERA, Serial:, Marca:, Modelo:, Material:ACERO INOXIDABLE,"</f>
        <v>Descripcion:AMBULANCIA ASISTENCIAL BASICO (TAB) INCLUYE : CHASIS, CARROCERIA, DOTACION, AIRE ACONDICIONADO AREA CONDUCTOR Y PARTE TRASERA AREA PACIENTE, RADIO TELEFONO SOBRA HYUNDAY 4X2 2607 C.C. 8 VALVULAS Estado: Bueno Placa anterior: 000026117 Material: METALICO Color: BLANCO Referencia: CHASIS: KMJWV78P8U814589     N°. MOTOR:  0608001359644000 Observacion: AMBULANCIA -CAMIONETA LINEA H1 PLACA OWN299  3 PUESTOS TAPIZADA EN TELA GRIS, PUESTO DEL CHOFER ESTA DETERIORADO.  CAMIONETA TIPO PANEL 2 PUERTAS  CON RADIO FM  Placa anterior:, Placa nueva=H0009265, Descripcion:CAMILLA PORTATIL, Serial:, Marca:, Modelo:, Material:METALICO Y TELA, Color:VERDE,   Referencia:, Placa anterior:, Placa nueva=H0009268, Descripcion:SIRENA 1 RADIO, Serial:, Marca:JOHRES, Modelo:, Material:METALICO, Color:NEGRO,   Referencia:, Placa anterior:, Placa nueva=H0009258, Descripcion:ASIENTO FIJO - 2 PUESTOS, Serial:, Marca:, Modelo:, Material:METALICO Y CUERINA, Color:BLANCO Y AZUL,   Referencia:, Placa anterior:, Placa nueva=H0009264, Descripcion:CAJA DE HERRAMIENTAS:  1 DESTORNILLADOR, 1 MARTILLO ROMPE VIDRIOS, 2 LLAVES MILIMETRICAS, JUEGO DE SEÑALES REFLECTIVAS, Serial:, Marca:, Modelo:, Material:METALICO Y PASTA, Color:PLATEADO Y ROJO ,   Referencia:, Placa anterior:, Placa nueva=H0009256, Descripcion:CAMILLA DE MOVILIZACION (TABLA)TABLA ESPINAL LARGA, Serial:, Marca:, Modelo:, Material:MADERA, Color:MADERA,   Referencia:, Placa anterior:, Placa nueva=H0009259, Descripcion:SILLA RECLINABLE, Serial:, Marca:, Modelo:, Material:METALICO Y CUERINA, Color:BLANCO Y AZUL,   Referencia:, Placa anterior:, Placa nueva=H0009266, Descripcion:EXTINTOR MULTIPROPOSITO 5 LBS, Serial:, Marca:, Modelo:, Material:METALICO, Color:AMARILLO,   Referencia:, Placa anterior:, Placa nueva=H0009257, Descripcion:PISINGO, Serial:, Marca:, Modelo:, Material:ACERO INOXIDABLE, Color:PLATEADO,   Referencia:, Placa anterior:, Placa nueva=H0009262, Descripcion:RIÑONERA, Serial:, Marca:, Modelo:, Material:ACERO INOXIDABLE,</v>
      </c>
      <c r="G18764" s="5" t="str">
        <f>"2008-PLACA OWN-299"</f>
        <v>2008-PLACA OWN-299</v>
      </c>
    </row>
    <row r="18765" spans="1:7" ht="58.5" customHeight="1" x14ac:dyDescent="0.25">
      <c r="A18765" s="5" t="str">
        <f>"H0009269"</f>
        <v>H0009269</v>
      </c>
      <c r="B18765" s="5" t="str">
        <f>"AMBULANCIA TAM"</f>
        <v>AMBULANCIA TAM</v>
      </c>
      <c r="C18765" s="6">
        <v>165874200</v>
      </c>
      <c r="D18765" s="5"/>
      <c r="E18765" s="5" t="str">
        <f t="shared" si="965"/>
        <v>ACTISALUD - SERVICIO DE AMBULANCIA-MARGARITA LAZARO</v>
      </c>
      <c r="F18765" s="5" t="str">
        <f>"Descripcion:AMBULANCIA ESPECIALIZADA 4X4 MOTOR No. G63672988 BLANCA 2009 MARCA MAZDA MODELO 2009 SERIAL G6372988 AMBULANCIA MEDICALIZADA 4X4 CONSTRUIDA EN ACERO PARA CREAR UNA ESTRUCTURA QUE RESITA LA TOPOGRAFIA COLOMBIA CONTIENE INVERSOR DE 1700, BATERIA"&amp; " 4D, 1 ALTE Estado: Bueno Placa anterior: 000032771 Material: METALICO Color: BLANCO Referencia: CHASIS: 9FJUN746490201570      N°. MOTOR:  G837298 Observacion: AMBULANCIA -CAMIONETA MAZDA  PLACA OES025  3 PUESTOS DELANTEROS TAPIZADA EN CUERINA GRIS Placa"&amp; " anterior:, Placa nueva=H0009287, Descripcion:ASIENTO FIJO - 3 PUESTOS, Serial:, Marca:, Modelo:, Material:METAL Y CUERINA, Color:BLANCO YAZUL,   Referencia:, Placa anterior:, Placa nueva=H0009290, Descripcion:CAMARA DE VIDEO, Serial:, Marca:, Modelo:, Ma"&amp; "terial:PASTA, Color:NEGRO,   Referencia:, Placa anterior:, Placa nueva=H0009271, Descripcion:SIRENA , Serial:, Marca:ELECTRONIC SIREN, Modelo:, Material:METALICO, Color:NEGRO,   Referencia:, Placa anterior:, Placa nueva=B0004407, Descripcion:BALA DE OXIGE"&amp; "NO GRANDE, Serial:, Marca:, Modelo:, Material:METAL, Color:,   Referencia:, Placa anterior:, Placa nueva=B0004337, Descripcion:BALA DE OXIGENO PORTATIL, Serial:, Marca:, Modelo:, Material:METALICO, Color:,   Referencia:, Placa anterior:, Placa nueva=B0004"&amp; "336, Descripcion:BALA DE OXIGENO PORTATIL, Serial:, Marca:, Modelo:, Material:METALICO, Color:,   Referencia:, Placa anterior:000022211, Placa nueva=H0009278, Descripcion:ASPIRADOR, Serial:, Marca:BEIGE Y BLANCO, Modelo:DC12V, Material:PASTA, Color:METAL "&amp; "Y PASTA,   Referencia:26748, Placa anterior:000036938, Placa nueva=C0000565, Descripcion:BOMBA DE INFUSION MULT/VOLT EMC SUREFUSION 220, Serial:13C1715BS, Marca:NIPRO, Modelo:SUPERFUSION, Material:PASTA, Color:VERDE CLARO,   Referencia:I-BF, Placa anterio"&amp; "r:, Placa nueva=H0009279, Descripcion:NEBULIZADOR, Serial:, Marca:THOMAS, Modelo:1121, Material:PASTA, Color:BEIGE,   Referencia:, Placa anterior:, Placa nueva=H0009274, Descripcion:ESCALERILLA 2 PASOS, Serial:, Ma"</f>
        <v>Descripcion:AMBULANCIA ESPECIALIZADA 4X4 MOTOR No. G63672988 BLANCA 2009 MARCA MAZDA MODELO 2009 SERIAL G6372988 AMBULANCIA MEDICALIZADA 4X4 CONSTRUIDA EN ACERO PARA CREAR UNA ESTRUCTURA QUE RESITA LA TOPOGRAFIA COLOMBIA CONTIENE INVERSOR DE 1700, BATERIA 4D, 1 ALTE Estado: Bueno Placa anterior: 000032771 Material: METALICO Color: BLANCO Referencia: CHASIS: 9FJUN746490201570      N°. MOTOR:  G837298 Observacion: AMBULANCIA -CAMIONETA MAZDA  PLACA OES025  3 PUESTOS DELANTEROS TAPIZADA EN CUERINA GRIS Placa anterior:, Placa nueva=H0009287, Descripcion:ASIENTO FIJO - 3 PUESTOS, Serial:, Marca:, Modelo:, Material:METAL Y CUERINA, Color:BLANCO YAZUL,   Referencia:, Placa anterior:, Placa nueva=H0009290, Descripcion:CAMARA DE VIDEO, Serial:, Marca:, Modelo:, Material:PASTA, Color:NEGRO,   Referencia:, Placa anterior:, Placa nueva=H0009271, Descripcion:SIRENA , Serial:, Marca:ELECTRONIC SIREN, Modelo:, Material:METALICO, Color:NEGRO,   Referencia:, Placa anterior:, Placa nueva=B0004407, Descripcion:BALA DE OXIGENO GRANDE, Serial:, Marca:, Modelo:, Material:METAL, Color:,   Referencia:, Placa anterior:, Placa nueva=B0004337, Descripcion:BALA DE OXIGENO PORTATIL, Serial:, Marca:, Modelo:, Material:METALICO, Color:,   Referencia:, Placa anterior:, Placa nueva=B0004336, Descripcion:BALA DE OXIGENO PORTATIL, Serial:, Marca:, Modelo:, Material:METALICO, Color:,   Referencia:, Placa anterior:000022211, Placa nueva=H0009278, Descripcion:ASPIRADOR, Serial:, Marca:BEIGE Y BLANCO, Modelo:DC12V, Material:PASTA, Color:METAL Y PASTA,   Referencia:26748, Placa anterior:000036938, Placa nueva=C0000565, Descripcion:BOMBA DE INFUSION MULT/VOLT EMC SUREFUSION 220, Serial:13C1715BS, Marca:NIPRO, Modelo:SUPERFUSION, Material:PASTA, Color:VERDE CLARO,   Referencia:I-BF, Placa anterior:, Placa nueva=H0009279, Descripcion:NEBULIZADOR, Serial:, Marca:THOMAS, Modelo:1121, Material:PASTA, Color:BEIGE,   Referencia:, Placa anterior:, Placa nueva=H0009274, Descripcion:ESCALERILLA 2 PASOS, Serial:, Ma</v>
      </c>
      <c r="G18765" s="5" t="str">
        <f>"2009-PLACA-OES-025"</f>
        <v>2009-PLACA-OES-025</v>
      </c>
    </row>
    <row r="18766" spans="1:7" ht="58.5" customHeight="1" x14ac:dyDescent="0.25">
      <c r="A18766" s="5" t="str">
        <f>"H0009270"</f>
        <v>H0009270</v>
      </c>
      <c r="B18766" s="5" t="str">
        <f>"EQUIPO DE RADIO"</f>
        <v>EQUIPO DE RADIO</v>
      </c>
      <c r="C18766" s="6">
        <v>2030000</v>
      </c>
      <c r="D18766" s="5"/>
      <c r="E18766" s="5" t="str">
        <f t="shared" si="965"/>
        <v>ACTISALUD - SERVICIO DE AMBULANCIA-MARGARITA LAZARO</v>
      </c>
      <c r="F18766" s="5" t="str">
        <f>"Descripcion:RADIO TELEFONO PORTATIL PARA AMBULANCIA MARCA KENWOOD CON FRECUENCIA Estado: Bueno Placa anterior: 000026167 Material: RADIO FM- FRECUENCIA SIN SEÑAL Color: PASTA  Referencia:  Observacion:  Placa padre: H0009269 Tipo adquisicion : Entidad"</f>
        <v>Descripcion:RADIO TELEFONO PORTATIL PARA AMBULANCIA MARCA KENWOOD CON FRECUENCIA Estado: Bueno Placa anterior: 000026167 Material: RADIO FM- FRECUENCIA SIN SEÑAL Color: PASTA  Referencia:  Observacion:  Placa padre: H0009269 Tipo adquisicion : Entidad</v>
      </c>
      <c r="G18766" s="5" t="str">
        <f>"COMPACT DISC"</f>
        <v>COMPACT DISC</v>
      </c>
    </row>
    <row r="18767" spans="1:7" ht="58.5" customHeight="1" x14ac:dyDescent="0.25">
      <c r="A18767" s="5" t="str">
        <f>"H0009276"</f>
        <v>H0009276</v>
      </c>
      <c r="B18767" s="5" t="str">
        <f>"DESFRIBILADOR"</f>
        <v>DESFRIBILADOR</v>
      </c>
      <c r="C18767" s="6">
        <v>14539017</v>
      </c>
      <c r="D18767" s="5" t="s">
        <v>497</v>
      </c>
      <c r="E18767" s="5" t="str">
        <f t="shared" si="965"/>
        <v>ACTISALUD - SERVICIO DE AMBULANCIA-MARGARITA LAZARO</v>
      </c>
      <c r="F18767" s="5" t="str">
        <f>"Descripcion:DESFIBRILADOR MONITOR DE ONDA BIFASICA CON MONITOREO MULTIPARAMETRICO. CON RANGO DE DESCARGA MAXIMA ENTRE 200J A 270J O SPERIOR. Para desfibrilacion manual y modo semiautomatico (modo DEA), cardioversion y monitoreo continuo integrado. Con sle"&amp; "lector de n Estado: Bueno Placa anterior: 000036494 Material: PASTA Color: BLANCO Y GRIS Referencia:  Observacion:  Placa padre: H0009269 Tipo adquisicion : Donacion"</f>
        <v>Descripcion:DESFIBRILADOR MONITOR DE ONDA BIFASICA CON MONITOREO MULTIPARAMETRICO. CON RANGO DE DESCARGA MAXIMA ENTRE 200J A 270J O SPERIOR. Para desfibrilacion manual y modo semiautomatico (modo DEA), cardioversion y monitoreo continuo integrado. Con slelector de n Estado: Bueno Placa anterior: 000036494 Material: PASTA Color: BLANCO Y GRIS Referencia:  Observacion:  Placa padre: H0009269 Tipo adquisicion : Donacion</v>
      </c>
      <c r="G18767" s="5" t="str">
        <f>"BENEHEART D3"</f>
        <v>BENEHEART D3</v>
      </c>
    </row>
    <row r="18768" spans="1:7" ht="58.5" customHeight="1" x14ac:dyDescent="0.25">
      <c r="A18768" s="5" t="str">
        <f>"H0009277"</f>
        <v>H0009277</v>
      </c>
      <c r="B18768" s="5" t="str">
        <f>"MONITOR DE SIGNOS VITALES"</f>
        <v>MONITOR DE SIGNOS VITALES</v>
      </c>
      <c r="C18768" s="6">
        <v>4002000</v>
      </c>
      <c r="D18768" s="5" t="s">
        <v>51</v>
      </c>
      <c r="E18768" s="5" t="str">
        <f t="shared" si="965"/>
        <v>ACTISALUD - SERVICIO DE AMBULANCIA-MARGARITA LAZARO</v>
      </c>
      <c r="F18768" s="5" t="str">
        <f>"Descripcion:MONITOR DE SIGNOS VITALES (DONACION DE ICOMMERCE) Estado: Bueno Placa anterior: 000028483 Material: PASTA Color: BLANCO Y GRIS Referencia:  Observacion:  Placa padre: H0009269 Tipo adquisicion : Donacion"</f>
        <v>Descripcion:MONITOR DE SIGNOS VITALES (DONACION DE ICOMMERCE) Estado: Bueno Placa anterior: 000028483 Material: PASTA Color: BLANCO Y GRIS Referencia:  Observacion:  Placa padre: H0009269 Tipo adquisicion : Donacion</v>
      </c>
      <c r="G18768" s="5" t="str">
        <f>"IMEC10"</f>
        <v>IMEC10</v>
      </c>
    </row>
    <row r="18769" spans="1:7" ht="58.5" customHeight="1" x14ac:dyDescent="0.25">
      <c r="A18769" s="5" t="str">
        <f>"H0009278"</f>
        <v>H0009278</v>
      </c>
      <c r="B18769" s="5" t="str">
        <f>"ASPIRADOR DE SECRECIONES"</f>
        <v>ASPIRADOR DE SECRECIONES</v>
      </c>
      <c r="C18769" s="6">
        <v>12474640</v>
      </c>
      <c r="D18769" s="5"/>
      <c r="E18769" s="5" t="str">
        <f t="shared" si="965"/>
        <v>ACTISALUD - SERVICIO DE AMBULANCIA-MARGARITA LAZARO</v>
      </c>
      <c r="F18769" s="5" t="str">
        <f>"Descripcion:ASPIRADOR Estado: Bueno Placa anterior: 000022211 Material: PASTA Color: METAL Y PASTA Referencia: 26748 Observacion: AUTORIZADO CONCILIAR EN CRUCE GENERAL Placa padre: H0009269 Tipo adquisicion : Entidad"</f>
        <v>Descripcion:ASPIRADOR Estado: Bueno Placa anterior: 000022211 Material: PASTA Color: METAL Y PASTA Referencia: 26748 Observacion: AUTORIZADO CONCILIAR EN CRUCE GENERAL Placa padre: H0009269 Tipo adquisicion : Entidad</v>
      </c>
      <c r="G18769" s="5" t="str">
        <f>"DC12V"</f>
        <v>DC12V</v>
      </c>
    </row>
    <row r="18770" spans="1:7" ht="58.5" customHeight="1" x14ac:dyDescent="0.25">
      <c r="A18770" s="5" t="str">
        <f>"H0009282"</f>
        <v>H0009282</v>
      </c>
      <c r="B18770" s="5" t="str">
        <f>"EQUIPO DE ORGANOS PORTATIL"</f>
        <v>EQUIPO DE ORGANOS PORTATIL</v>
      </c>
      <c r="C18770" s="6">
        <v>522000</v>
      </c>
      <c r="D18770" s="5"/>
      <c r="E18770" s="5" t="str">
        <f t="shared" si="965"/>
        <v>ACTISALUD - SERVICIO DE AMBULANCIA-MARGARITA LAZARO</v>
      </c>
      <c r="F18770" s="5" t="str">
        <f>"Descripcion:EQUIPO DE ORGANOS Estado: Bueno Placa anterior: 000026143 Material:  Color:  Referencia:  Observacion:  Placa padre: H0009269 Tipo adquisicion : Entidad"</f>
        <v>Descripcion:EQUIPO DE ORGANOS Estado: Bueno Placa anterior: 000026143 Material:  Color:  Referencia:  Observacion:  Placa padre: H0009269 Tipo adquisicion : Entidad</v>
      </c>
      <c r="G18770" s="5"/>
    </row>
    <row r="18771" spans="1:7" ht="58.5" customHeight="1" x14ac:dyDescent="0.25">
      <c r="A18771" s="5" t="str">
        <f>"H0011726"</f>
        <v>H0011726</v>
      </c>
      <c r="B18771" s="5" t="str">
        <f>"ASPIRADOR DE SECRECIONES"</f>
        <v>ASPIRADOR DE SECRECIONES</v>
      </c>
      <c r="C18771" s="6">
        <v>687125</v>
      </c>
      <c r="D18771" s="5"/>
      <c r="E18771" s="5" t="str">
        <f t="shared" si="965"/>
        <v>ACTISALUD - SERVICIO DE AMBULANCIA-MARGARITA LAZARO</v>
      </c>
      <c r="F18771" s="5" t="str">
        <f>"Descripcion: ASPIRADOR RODABLE.De succion continua de flujo regulado,alto,vacio,con presion de 0a 680 mmHg con filtro antibacterial de dos frascos de 2500 ml cada uno.Opcional con intercambiador,con pedal.Con conexion electrica a 120 vac y frecuencia de 6"&amp; "0 HZ para us Estado: Bueno Placa anterior: 000022020 Material: METALICO Color: GRIS Referencia:  Observacion:  Placa padre: Tipo adquisicion: Entidad"</f>
        <v>Descripcion: ASPIRADOR RODABLE.De succion continua de flujo regulado,alto,vacio,con presion de 0a 680 mmHg con filtro antibacterial de dos frascos de 2500 ml cada uno.Opcional con intercambiador,con pedal.Con conexion electrica a 120 vac y frecuencia de 60 HZ para us Estado: Bueno Placa anterior: 000022020 Material: METALICO Color: GRIS Referencia:  Observacion:  Placa padre: Tipo adquisicion: Entidad</v>
      </c>
      <c r="G18771" s="5" t="str">
        <f>"MEDI PUMP"</f>
        <v>MEDI PUMP</v>
      </c>
    </row>
    <row r="18772" spans="1:7" ht="58.5" customHeight="1" x14ac:dyDescent="0.25">
      <c r="A18772" s="5" t="str">
        <f>"H0017518"</f>
        <v>H0017518</v>
      </c>
      <c r="B18772" s="5" t="str">
        <f>"SILLA INTERLOCUTORA (FIJA) SIN BRAZOS"</f>
        <v>SILLA INTERLOCUTORA (FIJA) SIN BRAZOS</v>
      </c>
      <c r="C18772" s="6">
        <v>6600</v>
      </c>
      <c r="D18772" s="5"/>
      <c r="E18772" s="5" t="str">
        <f t="shared" si="965"/>
        <v>ACTISALUD - SERVICIO DE AMBULANCIA-MARGARITA LAZARO</v>
      </c>
      <c r="F18772" s="5" t="str">
        <f>"Descripcion:SILLA INTERLOCUTORA SIN BRAZOS Estado: Bueno Placa anterior: 000024047 Material: METALICO Y CUERO Color: GRIS Y MARRON Referencia:  Observacion:  Placa padre:  Tipo adquisicion : Entidad"</f>
        <v>Descripcion:SILLA INTERLOCUTORA SIN BRAZOS Estado: Bueno Placa anterior: 000024047 Material: METALICO Y CUERO Color: GRIS Y MARRON Referencia:  Observacion:  Placa padre:  Tipo adquisicion : Entidad</v>
      </c>
      <c r="G18772" s="5"/>
    </row>
    <row r="18773" spans="1:7" ht="58.5" customHeight="1" x14ac:dyDescent="0.25">
      <c r="A18773" s="5" t="str">
        <f>"H0021293"</f>
        <v>H0021293</v>
      </c>
      <c r="B18773" s="5" t="str">
        <f>"EQUIPO ORGANOS DE LOS SENTIDOS PORTATIL"</f>
        <v>EQUIPO ORGANOS DE LOS SENTIDOS PORTATIL</v>
      </c>
      <c r="C18773" s="6">
        <v>387800</v>
      </c>
      <c r="D18773" s="5"/>
      <c r="E18773" s="5" t="str">
        <f t="shared" si="965"/>
        <v>ACTISALUD - SERVICIO DE AMBULANCIA-MARGARITA LAZARO</v>
      </c>
      <c r="F18773" s="5" t="str">
        <f>"Descripcion: EQUIPO DE ORGANOS DE LOS SENTIDOS WELCH ALLYN Estado: Bueno Placa anterior: 000002823 Material: ACERO INOXIDABLE Color: PLATEADO Referencia:  Observacion:  Placa padre: Tipo adquisicion: Entidad"</f>
        <v>Descripcion: EQUIPO DE ORGANOS DE LOS SENTIDOS WELCH ALLYN Estado: Bueno Placa anterior: 000002823 Material: ACERO INOXIDABLE Color: PLATEADO Referencia:  Observacion:  Placa padre: Tipo adquisicion: Entidad</v>
      </c>
      <c r="G18773" s="5"/>
    </row>
    <row r="18774" spans="1:7" ht="58.5" customHeight="1" x14ac:dyDescent="0.25">
      <c r="A18774" s="5" t="str">
        <f>"H0021470"</f>
        <v>H0021470</v>
      </c>
      <c r="B18774" s="5" t="str">
        <f>"MONITOR DE SIGNOS VITALES"</f>
        <v>MONITOR DE SIGNOS VITALES</v>
      </c>
      <c r="C18774" s="6">
        <v>12760000</v>
      </c>
      <c r="D18774" s="5" t="s">
        <v>297</v>
      </c>
      <c r="E18774" s="5" t="str">
        <f t="shared" si="965"/>
        <v>ACTISALUD - SERVICIO DE AMBULANCIA-MARGARITA LAZARO</v>
      </c>
      <c r="F18774" s="5"/>
      <c r="G18774" s="5"/>
    </row>
    <row r="18775" spans="1:7" ht="58.5" customHeight="1" x14ac:dyDescent="0.25">
      <c r="A18775" s="5" t="str">
        <f>"H0022259"</f>
        <v>H0022259</v>
      </c>
      <c r="B18775" s="5" t="str">
        <f>"CAMILLA PRINCIPAL PARA AMBULANCIA HIUNDAY"</f>
        <v>CAMILLA PRINCIPAL PARA AMBULANCIA HIUNDAY</v>
      </c>
      <c r="C18775" s="6">
        <v>4060000</v>
      </c>
      <c r="D18775" s="5" t="s">
        <v>61</v>
      </c>
      <c r="E18775" s="5" t="str">
        <f t="shared" si="965"/>
        <v>ACTISALUD - SERVICIO DE AMBULANCIA-MARGARITA LAZARO</v>
      </c>
      <c r="F18775" s="5"/>
      <c r="G18775" s="5"/>
    </row>
    <row r="18776" spans="1:7" ht="58.5" customHeight="1" x14ac:dyDescent="0.25">
      <c r="A18776" s="5" t="str">
        <f>"H0022260"</f>
        <v>H0022260</v>
      </c>
      <c r="B18776" s="5" t="str">
        <f>"CAMILLA PRINCIPAL PARA AMBULANCIA MAZDA"</f>
        <v>CAMILLA PRINCIPAL PARA AMBULANCIA MAZDA</v>
      </c>
      <c r="C18776" s="6">
        <v>4060000</v>
      </c>
      <c r="D18776" s="5" t="s">
        <v>61</v>
      </c>
      <c r="E18776" s="5" t="str">
        <f t="shared" si="965"/>
        <v>ACTISALUD - SERVICIO DE AMBULANCIA-MARGARITA LAZARO</v>
      </c>
      <c r="F18776" s="5"/>
      <c r="G18776" s="5"/>
    </row>
    <row r="18777" spans="1:7" ht="58.5" customHeight="1" x14ac:dyDescent="0.25">
      <c r="A18777" s="5" t="str">
        <f>"H0022277"</f>
        <v>H0022277</v>
      </c>
      <c r="B18777" s="5" t="str">
        <f>"DESFRIBILADOR"</f>
        <v>DESFRIBILADOR</v>
      </c>
      <c r="C18777" s="6">
        <v>16657600</v>
      </c>
      <c r="D18777" s="5" t="s">
        <v>262</v>
      </c>
      <c r="E18777" s="5" t="str">
        <f t="shared" si="965"/>
        <v>ACTISALUD - SERVICIO DE AMBULANCIA-MARGARITA LAZARO</v>
      </c>
      <c r="F18777" s="5"/>
      <c r="G18777" s="5"/>
    </row>
    <row r="18778" spans="1:7" ht="58.5" customHeight="1" x14ac:dyDescent="0.25">
      <c r="A18778" s="5" t="str">
        <f>"H0022278"</f>
        <v>H0022278</v>
      </c>
      <c r="B18778" s="5" t="str">
        <f>"DESFRIBILADOR"</f>
        <v>DESFRIBILADOR</v>
      </c>
      <c r="C18778" s="6">
        <v>16657600</v>
      </c>
      <c r="D18778" s="5" t="s">
        <v>262</v>
      </c>
      <c r="E18778" s="5" t="str">
        <f t="shared" si="965"/>
        <v>ACTISALUD - SERVICIO DE AMBULANCIA-MARGARITA LAZARO</v>
      </c>
      <c r="F18778" s="5"/>
      <c r="G18778" s="5"/>
    </row>
    <row r="18779" spans="1:7" ht="58.5" customHeight="1" x14ac:dyDescent="0.25">
      <c r="A18779" s="5" t="str">
        <f>"H0025288"</f>
        <v>H0025288</v>
      </c>
      <c r="B18779" s="5" t="str">
        <f>"RADIO TRANSMISOR MOTOROLA EP450 16"</f>
        <v>RADIO TRANSMISOR MOTOROLA EP450 16</v>
      </c>
      <c r="C18779" s="6">
        <v>1085000</v>
      </c>
      <c r="D18779" s="5" t="s">
        <v>9</v>
      </c>
      <c r="E18779" s="5" t="str">
        <f t="shared" si="965"/>
        <v>ACTISALUD - SERVICIO DE AMBULANCIA-MARGARITA LAZARO</v>
      </c>
      <c r="F18779" s="5"/>
      <c r="G18779" s="5" t="str">
        <f>"EP450"</f>
        <v>EP450</v>
      </c>
    </row>
    <row r="18780" spans="1:7" ht="58.5" customHeight="1" x14ac:dyDescent="0.25">
      <c r="A18780" s="5" t="str">
        <f>"H0025289"</f>
        <v>H0025289</v>
      </c>
      <c r="B18780" s="5" t="str">
        <f>"RADIO BANDA VHF"</f>
        <v>RADIO BANDA VHF</v>
      </c>
      <c r="C18780" s="6">
        <v>1972000</v>
      </c>
      <c r="D18780" s="5" t="s">
        <v>9</v>
      </c>
      <c r="E18780" s="5" t="str">
        <f t="shared" si="965"/>
        <v>ACTISALUD - SERVICIO DE AMBULANCIA-MARGARITA LAZARO</v>
      </c>
      <c r="F18780" s="5"/>
      <c r="G18780" s="5"/>
    </row>
    <row r="18781" spans="1:7" ht="58.5" customHeight="1" x14ac:dyDescent="0.25">
      <c r="A18781" s="5" t="str">
        <f>"H0025290"</f>
        <v>H0025290</v>
      </c>
      <c r="B18781" s="5" t="str">
        <f>"FUENTE DE PODER 12 VOLTIOS 25 AMP.MARCA SAMLEX"</f>
        <v>FUENTE DE PODER 12 VOLTIOS 25 AMP.MARCA SAMLEX</v>
      </c>
      <c r="C18781" s="6">
        <v>750000</v>
      </c>
      <c r="D18781" s="5" t="s">
        <v>9</v>
      </c>
      <c r="E18781" s="5" t="str">
        <f t="shared" si="965"/>
        <v>ACTISALUD - SERVICIO DE AMBULANCIA-MARGARITA LAZARO</v>
      </c>
      <c r="F18781" s="5"/>
      <c r="G18781" s="5"/>
    </row>
    <row r="18782" spans="1:7" ht="58.5" customHeight="1" x14ac:dyDescent="0.25">
      <c r="A18782" s="5" t="str">
        <f>"H0025291"</f>
        <v>H0025291</v>
      </c>
      <c r="B18782" s="5" t="str">
        <f>"ANTENA IMNIDIRECCIONALES MARCA TRAM MODELO TR-1491 TIPO VELA DE 7.8 DB DE GANANCIAS HASTA 250 VATIOS SOPORTA VIENTOS HASTA DE 200 KM"</f>
        <v>ANTENA IMNIDIRECCIONALES MARCA TRAM MODELO TR-1491 TIPO VELA DE 7.8 DB DE GANANCIAS HASTA 250 VATIOS SOPORTA VIENTOS HASTA DE 200 KM</v>
      </c>
      <c r="C18782" s="6">
        <v>429200</v>
      </c>
      <c r="D18782" s="5" t="s">
        <v>9</v>
      </c>
      <c r="E18782" s="5" t="str">
        <f t="shared" si="965"/>
        <v>ACTISALUD - SERVICIO DE AMBULANCIA-MARGARITA LAZARO</v>
      </c>
      <c r="F18782" s="5"/>
      <c r="G18782" s="5" t="str">
        <f>"TR-1491"</f>
        <v>TR-1491</v>
      </c>
    </row>
    <row r="18783" spans="1:7" ht="58.5" customHeight="1" x14ac:dyDescent="0.25">
      <c r="A18783" s="5" t="str">
        <f>"H0025428"</f>
        <v>H0025428</v>
      </c>
      <c r="B1878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783" s="6">
        <v>312156</v>
      </c>
      <c r="D18783" s="5" t="s">
        <v>10</v>
      </c>
      <c r="E18783" s="5" t="str">
        <f t="shared" si="965"/>
        <v>ACTISALUD - SERVICIO DE AMBULANCIA-MARGARITA LAZARO</v>
      </c>
      <c r="F18783" s="5"/>
      <c r="G18783" s="5"/>
    </row>
    <row r="18784" spans="1:7" ht="58.5" customHeight="1" x14ac:dyDescent="0.25">
      <c r="A18784" s="5" t="str">
        <f>"H0025562"</f>
        <v>H0025562</v>
      </c>
      <c r="B18784" s="5" t="str">
        <f>"VENTILADOR PULMONAR PORTATIL"</f>
        <v>VENTILADOR PULMONAR PORTATIL</v>
      </c>
      <c r="C18784" s="6">
        <v>27965000</v>
      </c>
      <c r="D18784" s="5" t="s">
        <v>180</v>
      </c>
      <c r="E18784" s="5" t="str">
        <f t="shared" si="965"/>
        <v>ACTISALUD - SERVICIO DE AMBULANCIA-MARGARITA LAZARO</v>
      </c>
      <c r="F18784" s="5"/>
      <c r="G18784" s="5"/>
    </row>
    <row r="18785" spans="1:7" ht="58.5" customHeight="1" x14ac:dyDescent="0.25">
      <c r="A18785" s="5" t="str">
        <f>"H0025564"</f>
        <v>H0025564</v>
      </c>
      <c r="B18785" s="5" t="str">
        <f>"CAMARA DE HOOD NEONATAL"</f>
        <v>CAMARA DE HOOD NEONATAL</v>
      </c>
      <c r="C18785" s="6">
        <v>109634.8</v>
      </c>
      <c r="D18785" s="5" t="s">
        <v>180</v>
      </c>
      <c r="E18785" s="5" t="str">
        <f t="shared" si="965"/>
        <v>ACTISALUD - SERVICIO DE AMBULANCIA-MARGARITA LAZARO</v>
      </c>
      <c r="F18785" s="5"/>
      <c r="G18785" s="5"/>
    </row>
    <row r="18786" spans="1:7" ht="58.5" customHeight="1" x14ac:dyDescent="0.25">
      <c r="A18786" s="5" t="str">
        <f>"H0026810"</f>
        <v>H0026810</v>
      </c>
      <c r="B18786" s="5" t="str">
        <f>"BOMBA DE INFUSION"</f>
        <v>BOMBA DE INFUSION</v>
      </c>
      <c r="C18786" s="6">
        <v>1000000</v>
      </c>
      <c r="D18786" s="5" t="s">
        <v>351</v>
      </c>
      <c r="E18786" s="5" t="str">
        <f t="shared" si="965"/>
        <v>ACTISALUD - SERVICIO DE AMBULANCIA-MARGARITA LAZARO</v>
      </c>
      <c r="F18786" s="5"/>
      <c r="G18786" s="5"/>
    </row>
    <row r="18787" spans="1:7" ht="58.5" customHeight="1" x14ac:dyDescent="0.25">
      <c r="A18787" s="5" t="str">
        <f>"H0026812"</f>
        <v>H0026812</v>
      </c>
      <c r="B18787" s="5" t="str">
        <f>"BOMBA DE INFUSION"</f>
        <v>BOMBA DE INFUSION</v>
      </c>
      <c r="C18787" s="6">
        <v>1000000</v>
      </c>
      <c r="D18787" s="5" t="s">
        <v>351</v>
      </c>
      <c r="E18787" s="5" t="str">
        <f t="shared" ref="E18787:E18818" si="966">"ACTISALUD - SERVICIO DE AMBULANCIA-MARGARITA LAZARO"</f>
        <v>ACTISALUD - SERVICIO DE AMBULANCIA-MARGARITA LAZARO</v>
      </c>
      <c r="F18787" s="5"/>
      <c r="G18787" s="5"/>
    </row>
    <row r="18788" spans="1:7" ht="58.5" customHeight="1" x14ac:dyDescent="0.25">
      <c r="A18788" s="5" t="str">
        <f>"H0026814"</f>
        <v>H0026814</v>
      </c>
      <c r="B18788" s="5" t="str">
        <f>"BOMBA DE INFUSION"</f>
        <v>BOMBA DE INFUSION</v>
      </c>
      <c r="C18788" s="6">
        <v>1000000</v>
      </c>
      <c r="D18788" s="5" t="s">
        <v>351</v>
      </c>
      <c r="E18788" s="5" t="str">
        <f t="shared" si="966"/>
        <v>ACTISALUD - SERVICIO DE AMBULANCIA-MARGARITA LAZARO</v>
      </c>
      <c r="F18788" s="5"/>
      <c r="G18788" s="5"/>
    </row>
    <row r="18789" spans="1:7" ht="58.5" customHeight="1" x14ac:dyDescent="0.25">
      <c r="A18789" s="5" t="str">
        <f>"H0026818"</f>
        <v>H0026818</v>
      </c>
      <c r="B18789" s="5" t="str">
        <f>"BOMBA DE INFUSION"</f>
        <v>BOMBA DE INFUSION</v>
      </c>
      <c r="C18789" s="6">
        <v>1000000</v>
      </c>
      <c r="D18789" s="5" t="s">
        <v>351</v>
      </c>
      <c r="E18789" s="5" t="str">
        <f t="shared" si="966"/>
        <v>ACTISALUD - SERVICIO DE AMBULANCIA-MARGARITA LAZARO</v>
      </c>
      <c r="F18789" s="5"/>
      <c r="G18789" s="5"/>
    </row>
    <row r="18790" spans="1:7" ht="58.5" customHeight="1" x14ac:dyDescent="0.25">
      <c r="A18790" s="5" t="str">
        <f>"H0027004"</f>
        <v>H0027004</v>
      </c>
      <c r="B18790" s="5" t="str">
        <f>"EXTINTOR 5 LBS CO2"</f>
        <v>EXTINTOR 5 LBS CO2</v>
      </c>
      <c r="C18790" s="6">
        <v>380000.25</v>
      </c>
      <c r="D18790" s="5" t="s">
        <v>770</v>
      </c>
      <c r="E18790" s="5" t="str">
        <f t="shared" si="966"/>
        <v>ACTISALUD - SERVICIO DE AMBULANCIA-MARGARITA LAZARO</v>
      </c>
      <c r="F18790" s="5"/>
      <c r="G18790" s="5"/>
    </row>
    <row r="18791" spans="1:7" ht="58.5" customHeight="1" x14ac:dyDescent="0.25">
      <c r="A18791" s="5" t="str">
        <f>"H0027005"</f>
        <v>H0027005</v>
      </c>
      <c r="B18791" s="5" t="str">
        <f>"EXTINTOR 5 LBS CO2"</f>
        <v>EXTINTOR 5 LBS CO2</v>
      </c>
      <c r="C18791" s="6">
        <v>380000.25</v>
      </c>
      <c r="D18791" s="5" t="s">
        <v>770</v>
      </c>
      <c r="E18791" s="5" t="str">
        <f t="shared" si="966"/>
        <v>ACTISALUD - SERVICIO DE AMBULANCIA-MARGARITA LAZARO</v>
      </c>
      <c r="F18791" s="5"/>
      <c r="G18791" s="5"/>
    </row>
    <row r="18792" spans="1:7" ht="58.5" customHeight="1" x14ac:dyDescent="0.25">
      <c r="A18792" s="5" t="str">
        <f>"H0027006"</f>
        <v>H0027006</v>
      </c>
      <c r="B18792" s="5" t="str">
        <f>"EXTINTOR 5 LBS CO2"</f>
        <v>EXTINTOR 5 LBS CO2</v>
      </c>
      <c r="C18792" s="6">
        <v>380000.25</v>
      </c>
      <c r="D18792" s="5" t="s">
        <v>851</v>
      </c>
      <c r="E18792" s="5" t="str">
        <f t="shared" si="966"/>
        <v>ACTISALUD - SERVICIO DE AMBULANCIA-MARGARITA LAZARO</v>
      </c>
      <c r="F18792" s="5"/>
      <c r="G18792" s="5"/>
    </row>
    <row r="18793" spans="1:7" ht="58.5" customHeight="1" x14ac:dyDescent="0.25">
      <c r="A18793" s="5" t="str">
        <f>"H0027007"</f>
        <v>H0027007</v>
      </c>
      <c r="B18793" s="5" t="str">
        <f>"EXTINTOR 5 LBS CO2"</f>
        <v>EXTINTOR 5 LBS CO2</v>
      </c>
      <c r="C18793" s="6">
        <v>380000.25</v>
      </c>
      <c r="D18793" s="5" t="s">
        <v>851</v>
      </c>
      <c r="E18793" s="5" t="str">
        <f t="shared" si="966"/>
        <v>ACTISALUD - SERVICIO DE AMBULANCIA-MARGARITA LAZARO</v>
      </c>
      <c r="F18793" s="5"/>
      <c r="G18793" s="5"/>
    </row>
    <row r="18794" spans="1:7" ht="58.5" customHeight="1" x14ac:dyDescent="0.25">
      <c r="A18794" s="5" t="str">
        <f>"H0027186"</f>
        <v>H0027186</v>
      </c>
      <c r="B1879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794" s="6">
        <v>2641800</v>
      </c>
      <c r="D18794" s="5" t="s">
        <v>38</v>
      </c>
      <c r="E18794" s="5" t="str">
        <f t="shared" si="966"/>
        <v>ACTISALUD - SERVICIO DE AMBULANCIA-MARGARITA LAZARO</v>
      </c>
      <c r="F18794" s="5"/>
      <c r="G18794" s="5"/>
    </row>
    <row r="18795" spans="1:7" ht="58.5" customHeight="1" x14ac:dyDescent="0.25">
      <c r="A18795" s="5" t="str">
        <f>"H0027187"</f>
        <v>H0027187</v>
      </c>
      <c r="B1879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795" s="6">
        <v>2641800</v>
      </c>
      <c r="D18795" s="5" t="s">
        <v>38</v>
      </c>
      <c r="E18795" s="5" t="str">
        <f t="shared" si="966"/>
        <v>ACTISALUD - SERVICIO DE AMBULANCIA-MARGARITA LAZARO</v>
      </c>
      <c r="F18795" s="5"/>
      <c r="G18795" s="5"/>
    </row>
    <row r="18796" spans="1:7" ht="58.5" customHeight="1" x14ac:dyDescent="0.25">
      <c r="A18796" s="5" t="str">
        <f>"H0027567"</f>
        <v>H0027567</v>
      </c>
      <c r="B18796" s="5" t="str">
        <f>"LECTOR DE HUELLAS DIGITALES"</f>
        <v>LECTOR DE HUELLAS DIGITALES</v>
      </c>
      <c r="C18796" s="6">
        <v>234000.41</v>
      </c>
      <c r="D18796" s="5" t="s">
        <v>354</v>
      </c>
      <c r="E18796" s="5" t="str">
        <f t="shared" si="966"/>
        <v>ACTISALUD - SERVICIO DE AMBULANCIA-MARGARITA LAZARO</v>
      </c>
      <c r="F18796" s="5"/>
      <c r="G18796" s="5"/>
    </row>
    <row r="18797" spans="1:7" ht="58.5" customHeight="1" x14ac:dyDescent="0.25">
      <c r="A18797" s="5" t="str">
        <f>"H0027600"</f>
        <v>H0027600</v>
      </c>
      <c r="B18797" s="5" t="str">
        <f>"LARINGOSCOPIO ADULTO"</f>
        <v>LARINGOSCOPIO ADULTO</v>
      </c>
      <c r="C18797" s="6">
        <v>913920</v>
      </c>
      <c r="D18797" s="5" t="s">
        <v>84</v>
      </c>
      <c r="E18797" s="5" t="str">
        <f t="shared" si="966"/>
        <v>ACTISALUD - SERVICIO DE AMBULANCIA-MARGARITA LAZARO</v>
      </c>
      <c r="F18797" s="5"/>
      <c r="G18797" s="5"/>
    </row>
    <row r="18798" spans="1:7" ht="58.5" customHeight="1" x14ac:dyDescent="0.25">
      <c r="A18798" s="5" t="str">
        <f>"H0028765"</f>
        <v>H0028765</v>
      </c>
      <c r="B18798" s="5" t="str">
        <f>"SILLA HERGONOMICA CON SISTEMA HIDRAULICO"</f>
        <v>SILLA HERGONOMICA CON SISTEMA HIDRAULICO</v>
      </c>
      <c r="C18798" s="6">
        <v>174900</v>
      </c>
      <c r="D18798" s="5" t="s">
        <v>39</v>
      </c>
      <c r="E18798" s="5" t="str">
        <f t="shared" si="966"/>
        <v>ACTISALUD - SERVICIO DE AMBULANCIA-MARGARITA LAZARO</v>
      </c>
      <c r="F18798" s="5"/>
      <c r="G18798" s="5"/>
    </row>
    <row r="18799" spans="1:7" ht="58.5" customHeight="1" x14ac:dyDescent="0.25">
      <c r="A18799" s="5" t="str">
        <f>"H0029124"</f>
        <v>H0029124</v>
      </c>
      <c r="B18799" s="5" t="str">
        <f>"INCUBADORA CERRADA"</f>
        <v>INCUBADORA CERRADA</v>
      </c>
      <c r="C18799" s="6">
        <v>24611818</v>
      </c>
      <c r="D18799" s="5" t="s">
        <v>223</v>
      </c>
      <c r="E18799" s="5" t="str">
        <f t="shared" si="966"/>
        <v>ACTISALUD - SERVICIO DE AMBULANCIA-MARGARITA LAZARO</v>
      </c>
      <c r="F18799" s="5"/>
      <c r="G18799" s="5"/>
    </row>
    <row r="18800" spans="1:7" ht="58.5" customHeight="1" x14ac:dyDescent="0.25">
      <c r="A18800" s="5" t="str">
        <f>"H0029967"</f>
        <v>H0029967</v>
      </c>
      <c r="B18800" s="5" t="s">
        <v>273</v>
      </c>
      <c r="C18800" s="6">
        <v>1955894</v>
      </c>
      <c r="D18800" s="5" t="s">
        <v>225</v>
      </c>
      <c r="E18800" s="5" t="str">
        <f t="shared" si="966"/>
        <v>ACTISALUD - SERVICIO DE AMBULANCIA-MARGARITA LAZARO</v>
      </c>
      <c r="F18800" s="5"/>
      <c r="G18800" s="5"/>
    </row>
    <row r="18801" spans="1:7" ht="58.5" customHeight="1" x14ac:dyDescent="0.25">
      <c r="A18801" s="5" t="str">
        <f>"H0031450"</f>
        <v>H0031450</v>
      </c>
      <c r="B1880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801" s="6">
        <v>3209500</v>
      </c>
      <c r="D18801" s="5" t="s">
        <v>16</v>
      </c>
      <c r="E18801" s="5" t="str">
        <f t="shared" si="966"/>
        <v>ACTISALUD - SERVICIO DE AMBULANCIA-MARGARITA LAZARO</v>
      </c>
      <c r="F18801" s="5"/>
      <c r="G18801" s="5"/>
    </row>
    <row r="18802" spans="1:7" ht="58.5" customHeight="1" x14ac:dyDescent="0.25">
      <c r="A18802" s="5" t="str">
        <f>"H0031451"</f>
        <v>H0031451</v>
      </c>
      <c r="B1880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802" s="6">
        <v>3209500</v>
      </c>
      <c r="D18802" s="5" t="s">
        <v>16</v>
      </c>
      <c r="E18802" s="5" t="str">
        <f t="shared" si="966"/>
        <v>ACTISALUD - SERVICIO DE AMBULANCIA-MARGARITA LAZARO</v>
      </c>
      <c r="F18802" s="5"/>
      <c r="G18802" s="5"/>
    </row>
    <row r="18803" spans="1:7" ht="58.5" customHeight="1" x14ac:dyDescent="0.25">
      <c r="A18803" s="5" t="str">
        <f>"H0031518"</f>
        <v>H0031518</v>
      </c>
      <c r="B18803" s="5" t="s">
        <v>329</v>
      </c>
      <c r="C18803" s="6">
        <v>326041.09999999998</v>
      </c>
      <c r="D18803" s="5" t="s">
        <v>16</v>
      </c>
      <c r="E18803" s="5" t="str">
        <f t="shared" si="966"/>
        <v>ACTISALUD - SERVICIO DE AMBULANCIA-MARGARITA LAZARO</v>
      </c>
      <c r="F18803" s="5"/>
      <c r="G18803" s="5"/>
    </row>
    <row r="18804" spans="1:7" ht="58.5" customHeight="1" x14ac:dyDescent="0.25">
      <c r="A18804" s="5" t="str">
        <f>"H0031997"</f>
        <v>H0031997</v>
      </c>
      <c r="B18804" s="5" t="str">
        <f>"Ambulancia nissan frontier 4*4 diesel, color blanco modelo 2020, con todos los accesorios de equipos médicos (DONACION)"</f>
        <v>Ambulancia nissan frontier 4*4 diesel, color blanco modelo 2020, con todos los accesorios de equipos médicos (DONACION)</v>
      </c>
      <c r="C18804" s="6">
        <v>207417000</v>
      </c>
      <c r="D18804" s="5" t="s">
        <v>109</v>
      </c>
      <c r="E18804" s="5" t="str">
        <f t="shared" si="966"/>
        <v>ACTISALUD - SERVICIO DE AMBULANCIA-MARGARITA LAZARO</v>
      </c>
      <c r="F18804" s="5" t="str">
        <f>"PLACA:GWU065"</f>
        <v>PLACA:GWU065</v>
      </c>
      <c r="G18804" s="5" t="str">
        <f>"2020"</f>
        <v>2020</v>
      </c>
    </row>
    <row r="18805" spans="1:7" ht="58.5" customHeight="1" x14ac:dyDescent="0.25">
      <c r="A18805" s="5" t="str">
        <f>"H0032279"</f>
        <v>H0032279</v>
      </c>
      <c r="B18805" s="5" t="str">
        <f>"Ambulancia nissan frontier 4*4 diesel, color blanco modelo 2020, con todos los accesorios de equipos médicos (DONACION)"</f>
        <v>Ambulancia nissan frontier 4*4 diesel, color blanco modelo 2020, con todos los accesorios de equipos médicos (DONACION)</v>
      </c>
      <c r="C18805" s="6">
        <v>320000000</v>
      </c>
      <c r="D18805" s="5" t="s">
        <v>45</v>
      </c>
      <c r="E18805" s="5" t="str">
        <f t="shared" si="966"/>
        <v>ACTISALUD - SERVICIO DE AMBULANCIA-MARGARITA LAZARO</v>
      </c>
      <c r="F18805" s="5" t="str">
        <f>"PLACA:GWU072"</f>
        <v>PLACA:GWU072</v>
      </c>
      <c r="G18805" s="5" t="str">
        <f>"2020"</f>
        <v>2020</v>
      </c>
    </row>
    <row r="18806" spans="1:7" ht="58.5" customHeight="1" x14ac:dyDescent="0.25">
      <c r="A18806" s="5" t="str">
        <f>"H0032340"</f>
        <v>H0032340</v>
      </c>
      <c r="B18806" s="5" t="str">
        <f>"ventilador de transporte  (DONACION)"</f>
        <v>ventilador de transporte  (DONACION)</v>
      </c>
      <c r="C18806" s="6">
        <v>33406900</v>
      </c>
      <c r="D18806" s="5" t="s">
        <v>484</v>
      </c>
      <c r="E18806" s="5" t="str">
        <f t="shared" si="966"/>
        <v>ACTISALUD - SERVICIO DE AMBULANCIA-MARGARITA LAZARO</v>
      </c>
      <c r="F18806" s="5"/>
      <c r="G18806" s="5" t="str">
        <f>"MTV1000"</f>
        <v>MTV1000</v>
      </c>
    </row>
    <row r="18807" spans="1:7" ht="58.5" customHeight="1" x14ac:dyDescent="0.25">
      <c r="A18807" s="5" t="str">
        <f>"H0032506"</f>
        <v>H0032506</v>
      </c>
      <c r="B18807"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18807" s="6">
        <v>420090</v>
      </c>
      <c r="D18807" s="5" t="s">
        <v>17</v>
      </c>
      <c r="E18807" s="5" t="str">
        <f t="shared" si="966"/>
        <v>ACTISALUD - SERVICIO DE AMBULANCIA-MARGARITA LAZARO</v>
      </c>
      <c r="F18807" s="5"/>
      <c r="G18807" s="5"/>
    </row>
    <row r="18808" spans="1:7" ht="58.5" customHeight="1" x14ac:dyDescent="0.25">
      <c r="A18808" s="5" t="str">
        <f>"H0032592"</f>
        <v>H0032592</v>
      </c>
      <c r="B18808" s="5" t="str">
        <f>"DESFIBRILADOR (DONACION)"</f>
        <v>DESFIBRILADOR (DONACION)</v>
      </c>
      <c r="C18808" s="6">
        <v>20000000</v>
      </c>
      <c r="D18808" s="5" t="s">
        <v>113</v>
      </c>
      <c r="E18808" s="5" t="str">
        <f t="shared" si="966"/>
        <v>ACTISALUD - SERVICIO DE AMBULANCIA-MARGARITA LAZARO</v>
      </c>
      <c r="F18808" s="5"/>
      <c r="G18808" s="5"/>
    </row>
    <row r="18809" spans="1:7" ht="58.5" customHeight="1" x14ac:dyDescent="0.25">
      <c r="A18809" s="5" t="str">
        <f>"H0033098"</f>
        <v>H0033098</v>
      </c>
      <c r="B18809" s="5" t="str">
        <f>"MONITOR DE SIGNOS VITALES"</f>
        <v>MONITOR DE SIGNOS VITALES</v>
      </c>
      <c r="C18809" s="6">
        <v>9470000</v>
      </c>
      <c r="D18809" s="5" t="s">
        <v>119</v>
      </c>
      <c r="E18809" s="5" t="str">
        <f t="shared" si="966"/>
        <v>ACTISALUD - SERVICIO DE AMBULANCIA-MARGARITA LAZARO</v>
      </c>
      <c r="F18809" s="5"/>
      <c r="G18809" s="5"/>
    </row>
    <row r="18810" spans="1:7" ht="58.5" customHeight="1" x14ac:dyDescent="0.25">
      <c r="A18810" s="5" t="str">
        <f>"H0033249"</f>
        <v>H0033249</v>
      </c>
      <c r="B18810" s="5" t="str">
        <f>"MONITOR DE SIGNOS VITALES"</f>
        <v>MONITOR DE SIGNOS VITALES</v>
      </c>
      <c r="C18810" s="6">
        <v>9470000</v>
      </c>
      <c r="D18810" s="5" t="s">
        <v>119</v>
      </c>
      <c r="E18810" s="5" t="str">
        <f t="shared" si="966"/>
        <v>ACTISALUD - SERVICIO DE AMBULANCIA-MARGARITA LAZARO</v>
      </c>
      <c r="F18810" s="5"/>
      <c r="G18810" s="5"/>
    </row>
    <row r="18811" spans="1:7" ht="58.5" customHeight="1" x14ac:dyDescent="0.25">
      <c r="A18811" s="5" t="str">
        <f>"H0035284"</f>
        <v>H0035284</v>
      </c>
      <c r="B18811" s="5" t="s">
        <v>23</v>
      </c>
      <c r="C18811" s="6">
        <v>4403000</v>
      </c>
      <c r="D18811" s="5" t="s">
        <v>127</v>
      </c>
      <c r="E18811" s="5" t="str">
        <f t="shared" si="966"/>
        <v>ACTISALUD - SERVICIO DE AMBULANCIA-MARGARITA LAZARO</v>
      </c>
      <c r="F18811" s="5"/>
      <c r="G18811" s="5" t="str">
        <f>"HP LASER JET 521"</f>
        <v>HP LASER JET 521</v>
      </c>
    </row>
    <row r="18812" spans="1:7" ht="58.5" customHeight="1" x14ac:dyDescent="0.25">
      <c r="A18812" s="5" t="str">
        <f>"H0035690"</f>
        <v>H0035690</v>
      </c>
      <c r="B18812" s="5" t="str">
        <f t="shared" ref="B18812:B18817" si="967">"SILLA GERENTE NIZA MEC. BASCULANTE CON BRAZOS."</f>
        <v>SILLA GERENTE NIZA MEC. BASCULANTE CON BRAZOS.</v>
      </c>
      <c r="C18812" s="6">
        <v>639999.86</v>
      </c>
      <c r="D18812" s="5" t="s">
        <v>235</v>
      </c>
      <c r="E18812" s="5" t="str">
        <f t="shared" si="966"/>
        <v>ACTISALUD - SERVICIO DE AMBULANCIA-MARGARITA LAZARO</v>
      </c>
      <c r="F18812" s="5"/>
      <c r="G18812" s="5"/>
    </row>
    <row r="18813" spans="1:7" ht="58.5" customHeight="1" x14ac:dyDescent="0.25">
      <c r="A18813" s="5" t="str">
        <f>"H0035691"</f>
        <v>H0035691</v>
      </c>
      <c r="B18813" s="5" t="str">
        <f t="shared" si="967"/>
        <v>SILLA GERENTE NIZA MEC. BASCULANTE CON BRAZOS.</v>
      </c>
      <c r="C18813" s="6">
        <v>639999.86</v>
      </c>
      <c r="D18813" s="5" t="s">
        <v>235</v>
      </c>
      <c r="E18813" s="5" t="str">
        <f t="shared" si="966"/>
        <v>ACTISALUD - SERVICIO DE AMBULANCIA-MARGARITA LAZARO</v>
      </c>
      <c r="F18813" s="5"/>
      <c r="G18813" s="5"/>
    </row>
    <row r="18814" spans="1:7" ht="58.5" customHeight="1" x14ac:dyDescent="0.25">
      <c r="A18814" s="5" t="str">
        <f>"H0035700"</f>
        <v>H0035700</v>
      </c>
      <c r="B18814" s="5" t="str">
        <f t="shared" si="967"/>
        <v>SILLA GERENTE NIZA MEC. BASCULANTE CON BRAZOS.</v>
      </c>
      <c r="C18814" s="6">
        <v>639999.86</v>
      </c>
      <c r="D18814" s="5" t="s">
        <v>235</v>
      </c>
      <c r="E18814" s="5" t="str">
        <f t="shared" si="966"/>
        <v>ACTISALUD - SERVICIO DE AMBULANCIA-MARGARITA LAZARO</v>
      </c>
      <c r="F18814" s="5"/>
      <c r="G18814" s="5"/>
    </row>
    <row r="18815" spans="1:7" ht="58.5" customHeight="1" x14ac:dyDescent="0.25">
      <c r="A18815" s="5" t="str">
        <f>"H0035701"</f>
        <v>H0035701</v>
      </c>
      <c r="B18815" s="5" t="str">
        <f t="shared" si="967"/>
        <v>SILLA GERENTE NIZA MEC. BASCULANTE CON BRAZOS.</v>
      </c>
      <c r="C18815" s="6">
        <v>639999.86</v>
      </c>
      <c r="D18815" s="5" t="s">
        <v>235</v>
      </c>
      <c r="E18815" s="5" t="str">
        <f t="shared" si="966"/>
        <v>ACTISALUD - SERVICIO DE AMBULANCIA-MARGARITA LAZARO</v>
      </c>
      <c r="F18815" s="5"/>
      <c r="G18815" s="5"/>
    </row>
    <row r="18816" spans="1:7" ht="58.5" customHeight="1" x14ac:dyDescent="0.25">
      <c r="A18816" s="5" t="str">
        <f>"H0035702"</f>
        <v>H0035702</v>
      </c>
      <c r="B18816" s="5" t="str">
        <f t="shared" si="967"/>
        <v>SILLA GERENTE NIZA MEC. BASCULANTE CON BRAZOS.</v>
      </c>
      <c r="C18816" s="6">
        <v>639999.86</v>
      </c>
      <c r="D18816" s="5" t="s">
        <v>235</v>
      </c>
      <c r="E18816" s="5" t="str">
        <f t="shared" si="966"/>
        <v>ACTISALUD - SERVICIO DE AMBULANCIA-MARGARITA LAZARO</v>
      </c>
      <c r="F18816" s="5"/>
      <c r="G18816" s="5"/>
    </row>
    <row r="18817" spans="1:7" ht="58.5" customHeight="1" x14ac:dyDescent="0.25">
      <c r="A18817" s="5" t="str">
        <f>"H0035703"</f>
        <v>H0035703</v>
      </c>
      <c r="B18817" s="5" t="str">
        <f t="shared" si="967"/>
        <v>SILLA GERENTE NIZA MEC. BASCULANTE CON BRAZOS.</v>
      </c>
      <c r="C18817" s="6">
        <v>639999.86</v>
      </c>
      <c r="D18817" s="5" t="s">
        <v>235</v>
      </c>
      <c r="E18817" s="5" t="str">
        <f t="shared" si="966"/>
        <v>ACTISALUD - SERVICIO DE AMBULANCIA-MARGARITA LAZARO</v>
      </c>
      <c r="F18817" s="5"/>
      <c r="G18817" s="5"/>
    </row>
    <row r="18818" spans="1:7" ht="58.5" customHeight="1" x14ac:dyDescent="0.25">
      <c r="A18818" s="5" t="str">
        <f>"H0036479"</f>
        <v>H0036479</v>
      </c>
      <c r="B18818" s="5" t="str">
        <f>"EQUIPO DE ORGANOS PORTATIL"</f>
        <v>EQUIPO DE ORGANOS PORTATIL</v>
      </c>
      <c r="C18818" s="6">
        <v>900000</v>
      </c>
      <c r="D18818" s="5" t="s">
        <v>616</v>
      </c>
      <c r="E18818" s="5" t="str">
        <f t="shared" si="966"/>
        <v>ACTISALUD - SERVICIO DE AMBULANCIA-MARGARITA LAZARO</v>
      </c>
      <c r="F18818" s="5"/>
      <c r="G18818" s="5"/>
    </row>
    <row r="18819" spans="1:7" ht="58.5" customHeight="1" x14ac:dyDescent="0.25">
      <c r="A18819" s="5" t="str">
        <f>"H0036497"</f>
        <v>H0036497</v>
      </c>
      <c r="B18819" s="5" t="str">
        <f>"ASPIRADOR DE SECRECIONES"</f>
        <v>ASPIRADOR DE SECRECIONES</v>
      </c>
      <c r="C18819" s="6">
        <v>645000</v>
      </c>
      <c r="D18819" s="5" t="s">
        <v>132</v>
      </c>
      <c r="E18819" s="5" t="str">
        <f t="shared" ref="E18819:E18840" si="968">"ACTISALUD - SERVICIO DE AMBULANCIA-MARGARITA LAZARO"</f>
        <v>ACTISALUD - SERVICIO DE AMBULANCIA-MARGARITA LAZARO</v>
      </c>
      <c r="F18819" s="5"/>
      <c r="G18819" s="5"/>
    </row>
    <row r="18820" spans="1:7" ht="58.5" customHeight="1" x14ac:dyDescent="0.25">
      <c r="A18820" s="5" t="str">
        <f>"H0036501"</f>
        <v>H0036501</v>
      </c>
      <c r="B18820" s="5" t="str">
        <f>"ASPIRADOR DE SECRECIONES"</f>
        <v>ASPIRADOR DE SECRECIONES</v>
      </c>
      <c r="C18820" s="6">
        <v>645000</v>
      </c>
      <c r="D18820" s="5" t="s">
        <v>132</v>
      </c>
      <c r="E18820" s="5" t="str">
        <f t="shared" si="968"/>
        <v>ACTISALUD - SERVICIO DE AMBULANCIA-MARGARITA LAZARO</v>
      </c>
      <c r="F18820" s="5"/>
      <c r="G18820" s="5"/>
    </row>
    <row r="18821" spans="1:7" ht="58.5" customHeight="1" x14ac:dyDescent="0.25">
      <c r="A18821" s="5" t="str">
        <f>"H0036555"</f>
        <v>H0036555</v>
      </c>
      <c r="B18821" s="5" t="str">
        <f>"DESFIBRILADOR (DONACION)"</f>
        <v>DESFIBRILADOR (DONACION)</v>
      </c>
      <c r="C18821" s="6">
        <v>19285000</v>
      </c>
      <c r="D18821" s="5" t="s">
        <v>133</v>
      </c>
      <c r="E18821" s="5" t="str">
        <f t="shared" si="968"/>
        <v>ACTISALUD - SERVICIO DE AMBULANCIA-MARGARITA LAZARO</v>
      </c>
      <c r="F18821" s="5"/>
      <c r="G18821" s="5" t="str">
        <f>"BENEHEART-D3"</f>
        <v>BENEHEART-D3</v>
      </c>
    </row>
    <row r="18822" spans="1:7" ht="58.5" customHeight="1" x14ac:dyDescent="0.25">
      <c r="A18822" s="5" t="str">
        <f>"H0036843"</f>
        <v>H0036843</v>
      </c>
      <c r="B18822" s="5" t="str">
        <f>"CAMILLA PARA AMBULANCIA"</f>
        <v>CAMILLA PARA AMBULANCIA</v>
      </c>
      <c r="C18822" s="6">
        <v>8797649.8599999994</v>
      </c>
      <c r="D18822" s="5" t="s">
        <v>852</v>
      </c>
      <c r="E18822" s="5" t="str">
        <f t="shared" si="968"/>
        <v>ACTISALUD - SERVICIO DE AMBULANCIA-MARGARITA LAZARO</v>
      </c>
      <c r="F18822" s="5"/>
      <c r="G18822" s="5"/>
    </row>
    <row r="18823" spans="1:7" ht="58.5" customHeight="1" x14ac:dyDescent="0.25">
      <c r="A18823" s="5" t="str">
        <f>"H0036844"</f>
        <v>H0036844</v>
      </c>
      <c r="B18823" s="5" t="str">
        <f>"CAMILLA PARA AMBULANCIA"</f>
        <v>CAMILLA PARA AMBULANCIA</v>
      </c>
      <c r="C18823" s="6">
        <v>8797649.8599999994</v>
      </c>
      <c r="D18823" s="5" t="s">
        <v>852</v>
      </c>
      <c r="E18823" s="5" t="str">
        <f t="shared" si="968"/>
        <v>ACTISALUD - SERVICIO DE AMBULANCIA-MARGARITA LAZARO</v>
      </c>
      <c r="F18823" s="5"/>
      <c r="G18823" s="5"/>
    </row>
    <row r="18824" spans="1:7" ht="58.5" customHeight="1" x14ac:dyDescent="0.25">
      <c r="A18824" s="5" t="str">
        <f>"H0036845"</f>
        <v>H0036845</v>
      </c>
      <c r="B18824" s="5" t="str">
        <f>"CAMILLA PARA AMBULANCIA"</f>
        <v>CAMILLA PARA AMBULANCIA</v>
      </c>
      <c r="C18824" s="6">
        <v>8797649.8599999994</v>
      </c>
      <c r="D18824" s="5" t="s">
        <v>853</v>
      </c>
      <c r="E18824" s="5" t="str">
        <f t="shared" si="968"/>
        <v>ACTISALUD - SERVICIO DE AMBULANCIA-MARGARITA LAZARO</v>
      </c>
      <c r="F18824" s="5"/>
      <c r="G18824" s="5"/>
    </row>
    <row r="18825" spans="1:7" ht="58.5" customHeight="1" x14ac:dyDescent="0.25">
      <c r="A18825" s="5" t="str">
        <f>"H0036884"</f>
        <v>H0036884</v>
      </c>
      <c r="B18825" s="5" t="str">
        <f>"COMPUTADOR TODO EN UNO  LENOVO CON PROCESADOR INTEL CORE I5-10400T MEMORIA RAM 8GB DDR4 CON DISCO DURO 256GB SSD M.2"</f>
        <v>COMPUTADOR TODO EN UNO  LENOVO CON PROCESADOR INTEL CORE I5-10400T MEMORIA RAM 8GB DDR4 CON DISCO DURO 256GB SSD M.2</v>
      </c>
      <c r="C18825" s="6">
        <v>6307000</v>
      </c>
      <c r="D18825" s="5" t="s">
        <v>135</v>
      </c>
      <c r="E18825" s="5" t="str">
        <f t="shared" si="968"/>
        <v>ACTISALUD - SERVICIO DE AMBULANCIA-MARGARITA LAZARO</v>
      </c>
      <c r="F18825" s="5"/>
      <c r="G18825" s="5" t="str">
        <f>"V50A"</f>
        <v>V50A</v>
      </c>
    </row>
    <row r="18826" spans="1:7" ht="58.5" customHeight="1" x14ac:dyDescent="0.25">
      <c r="A18826" s="5" t="str">
        <f>"H0036922"</f>
        <v>H0036922</v>
      </c>
      <c r="B18826" s="5" t="str">
        <f>"AIRE ACONDICIONADO DE 24000 BTU CONVENCIONAL R410"</f>
        <v>AIRE ACONDICIONADO DE 24000 BTU CONVENCIONAL R410</v>
      </c>
      <c r="C18826" s="6">
        <v>4950000</v>
      </c>
      <c r="D18826" s="5" t="s">
        <v>496</v>
      </c>
      <c r="E18826" s="5" t="str">
        <f t="shared" si="968"/>
        <v>ACTISALUD - SERVICIO DE AMBULANCIA-MARGARITA LAZARO</v>
      </c>
      <c r="F18826" s="5"/>
      <c r="G18826" s="5"/>
    </row>
    <row r="18827" spans="1:7" ht="58.5" customHeight="1" x14ac:dyDescent="0.25">
      <c r="A18827" s="5" t="str">
        <f>"H0037366"</f>
        <v>H0037366</v>
      </c>
      <c r="B18827" s="5" t="str">
        <f>"VENTILADOR DE PARED"</f>
        <v>VENTILADOR DE PARED</v>
      </c>
      <c r="C18827" s="6">
        <v>286671</v>
      </c>
      <c r="D18827" s="5" t="s">
        <v>138</v>
      </c>
      <c r="E18827" s="5" t="str">
        <f t="shared" si="968"/>
        <v>ACTISALUD - SERVICIO DE AMBULANCIA-MARGARITA LAZARO</v>
      </c>
      <c r="F18827" s="5"/>
      <c r="G18827" s="5"/>
    </row>
    <row r="18828" spans="1:7" ht="58.5" customHeight="1" x14ac:dyDescent="0.25">
      <c r="A18828" s="5" t="str">
        <f>"H0037367"</f>
        <v>H0037367</v>
      </c>
      <c r="B18828" s="5" t="str">
        <f>"VENTILADOR DE PARED"</f>
        <v>VENTILADOR DE PARED</v>
      </c>
      <c r="C18828" s="6">
        <v>286671</v>
      </c>
      <c r="D18828" s="5" t="s">
        <v>138</v>
      </c>
      <c r="E18828" s="5" t="str">
        <f t="shared" si="968"/>
        <v>ACTISALUD - SERVICIO DE AMBULANCIA-MARGARITA LAZARO</v>
      </c>
      <c r="F18828" s="5"/>
      <c r="G18828" s="5"/>
    </row>
    <row r="18829" spans="1:7" ht="58.5" customHeight="1" x14ac:dyDescent="0.25">
      <c r="A18829" s="5" t="str">
        <f>"H0037565"</f>
        <v>H0037565</v>
      </c>
      <c r="B18829" s="5" t="str">
        <f>"REPETIDORA MARCA MOTOROLA MODELO SLR-5100"</f>
        <v>REPETIDORA MARCA MOTOROLA MODELO SLR-5100</v>
      </c>
      <c r="C18829" s="6">
        <v>25935098</v>
      </c>
      <c r="D18829" s="5" t="s">
        <v>29</v>
      </c>
      <c r="E18829" s="5" t="str">
        <f t="shared" si="968"/>
        <v>ACTISALUD - SERVICIO DE AMBULANCIA-MARGARITA LAZARO</v>
      </c>
      <c r="F18829" s="5"/>
      <c r="G18829" s="5"/>
    </row>
    <row r="18830" spans="1:7" ht="58.5" customHeight="1" x14ac:dyDescent="0.25">
      <c r="A18830" s="5" t="str">
        <f>"H0037566"</f>
        <v>H0037566</v>
      </c>
      <c r="B18830" s="5" t="str">
        <f>"RADIO BASE MARCA MOTOROLA MODELO DGM-5500E"</f>
        <v>RADIO BASE MARCA MOTOROLA MODELO DGM-5500E</v>
      </c>
      <c r="C18830" s="6">
        <v>6300098</v>
      </c>
      <c r="D18830" s="5" t="s">
        <v>29</v>
      </c>
      <c r="E18830" s="5" t="str">
        <f t="shared" si="968"/>
        <v>ACTISALUD - SERVICIO DE AMBULANCIA-MARGARITA LAZARO</v>
      </c>
      <c r="F18830" s="5"/>
      <c r="G18830" s="5"/>
    </row>
    <row r="18831" spans="1:7" ht="58.5" customHeight="1" x14ac:dyDescent="0.25">
      <c r="A18831" s="5" t="str">
        <f>"H0037567"</f>
        <v>H0037567</v>
      </c>
      <c r="B18831" s="5" t="str">
        <f>"RADIO TIPO MOVIL MARCA MOTOROLA MODELO DGM-8500E"</f>
        <v>RADIO TIPO MOVIL MARCA MOTOROLA MODELO DGM-8500E</v>
      </c>
      <c r="C18831" s="6">
        <v>4515098</v>
      </c>
      <c r="D18831" s="5" t="s">
        <v>29</v>
      </c>
      <c r="E18831" s="5" t="str">
        <f t="shared" si="968"/>
        <v>ACTISALUD - SERVICIO DE AMBULANCIA-MARGARITA LAZARO</v>
      </c>
      <c r="F18831" s="5"/>
      <c r="G18831" s="5"/>
    </row>
    <row r="18832" spans="1:7" ht="58.5" customHeight="1" x14ac:dyDescent="0.25">
      <c r="A18832" s="5" t="str">
        <f>"H0037568"</f>
        <v>H0037568</v>
      </c>
      <c r="B18832" s="5" t="str">
        <f>"RADIO TIPO MOVIL MARCA MOTOROLA MODELO DGM-8500E"</f>
        <v>RADIO TIPO MOVIL MARCA MOTOROLA MODELO DGM-8500E</v>
      </c>
      <c r="C18832" s="6">
        <v>4515098</v>
      </c>
      <c r="D18832" s="5" t="s">
        <v>29</v>
      </c>
      <c r="E18832" s="5" t="str">
        <f t="shared" si="968"/>
        <v>ACTISALUD - SERVICIO DE AMBULANCIA-MARGARITA LAZARO</v>
      </c>
      <c r="F18832" s="5"/>
      <c r="G18832" s="5"/>
    </row>
    <row r="18833" spans="1:7" ht="58.5" customHeight="1" x14ac:dyDescent="0.25">
      <c r="A18833" s="5" t="str">
        <f>"H0037569"</f>
        <v>H0037569</v>
      </c>
      <c r="B18833" s="5" t="str">
        <f>"RADIO TIPO MOVIL MARCA MOTOROLA MODELO DGM-8500E"</f>
        <v>RADIO TIPO MOVIL MARCA MOTOROLA MODELO DGM-8500E</v>
      </c>
      <c r="C18833" s="6">
        <v>4515098</v>
      </c>
      <c r="D18833" s="5" t="s">
        <v>29</v>
      </c>
      <c r="E18833" s="5" t="str">
        <f t="shared" si="968"/>
        <v>ACTISALUD - SERVICIO DE AMBULANCIA-MARGARITA LAZARO</v>
      </c>
      <c r="F18833" s="5"/>
      <c r="G18833" s="5"/>
    </row>
    <row r="18834" spans="1:7" ht="58.5" customHeight="1" x14ac:dyDescent="0.25">
      <c r="A18834" s="5" t="str">
        <f>"H0037570"</f>
        <v>H0037570</v>
      </c>
      <c r="B18834" s="5" t="str">
        <f>"RADIO TIPO MOVIL MARCA MOTOROLA MODELO DGM-8500E"</f>
        <v>RADIO TIPO MOVIL MARCA MOTOROLA MODELO DGM-8500E</v>
      </c>
      <c r="C18834" s="6">
        <v>4515098</v>
      </c>
      <c r="D18834" s="5" t="s">
        <v>29</v>
      </c>
      <c r="E18834" s="5" t="str">
        <f t="shared" si="968"/>
        <v>ACTISALUD - SERVICIO DE AMBULANCIA-MARGARITA LAZARO</v>
      </c>
      <c r="F18834" s="5"/>
      <c r="G18834" s="5"/>
    </row>
    <row r="18835" spans="1:7" ht="58.5" customHeight="1" x14ac:dyDescent="0.25">
      <c r="A18835" s="5" t="str">
        <f>"H0037571"</f>
        <v>H0037571</v>
      </c>
      <c r="B18835" s="5" t="str">
        <f>"RADIO TIPO MOVIL MARCA MOTOROLA MODELO DGM-8500E"</f>
        <v>RADIO TIPO MOVIL MARCA MOTOROLA MODELO DGM-8500E</v>
      </c>
      <c r="C18835" s="6">
        <v>4515098</v>
      </c>
      <c r="D18835" s="5" t="s">
        <v>29</v>
      </c>
      <c r="E18835" s="5" t="str">
        <f t="shared" si="968"/>
        <v>ACTISALUD - SERVICIO DE AMBULANCIA-MARGARITA LAZARO</v>
      </c>
      <c r="F18835" s="5"/>
      <c r="G18835" s="5"/>
    </row>
    <row r="18836" spans="1:7" ht="58.5" customHeight="1" x14ac:dyDescent="0.25">
      <c r="A18836" s="5" t="str">
        <f>"H0037572"</f>
        <v>H0037572</v>
      </c>
      <c r="B18836"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836" s="6">
        <v>1837598</v>
      </c>
      <c r="D18836" s="5" t="s">
        <v>29</v>
      </c>
      <c r="E18836" s="5" t="str">
        <f t="shared" si="968"/>
        <v>ACTISALUD - SERVICIO DE AMBULANCIA-MARGARITA LAZARO</v>
      </c>
      <c r="F18836" s="5"/>
      <c r="G18836" s="5"/>
    </row>
    <row r="18837" spans="1:7" ht="58.5" customHeight="1" x14ac:dyDescent="0.25">
      <c r="A18837" s="5" t="str">
        <f>"H0037573"</f>
        <v>H0037573</v>
      </c>
      <c r="B18837"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837" s="6">
        <v>1837598</v>
      </c>
      <c r="D18837" s="5" t="s">
        <v>29</v>
      </c>
      <c r="E18837" s="5" t="str">
        <f t="shared" si="968"/>
        <v>ACTISALUD - SERVICIO DE AMBULANCIA-MARGARITA LAZARO</v>
      </c>
      <c r="F18837" s="5"/>
      <c r="G18837" s="5"/>
    </row>
    <row r="18838" spans="1:7" ht="58.5" customHeight="1" x14ac:dyDescent="0.25">
      <c r="A18838" s="5" t="str">
        <f>"H0037574"</f>
        <v>H0037574</v>
      </c>
      <c r="B18838"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838" s="6">
        <v>1837598</v>
      </c>
      <c r="D18838" s="5" t="s">
        <v>29</v>
      </c>
      <c r="E18838" s="5" t="str">
        <f t="shared" si="968"/>
        <v>ACTISALUD - SERVICIO DE AMBULANCIA-MARGARITA LAZARO</v>
      </c>
      <c r="F18838" s="5"/>
      <c r="G18838" s="5"/>
    </row>
    <row r="18839" spans="1:7" ht="58.5" customHeight="1" x14ac:dyDescent="0.25">
      <c r="A18839" s="5" t="str">
        <f>"H0037581"</f>
        <v>H0037581</v>
      </c>
      <c r="B18839"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18839" s="6">
        <v>1837598</v>
      </c>
      <c r="D18839" s="5" t="s">
        <v>29</v>
      </c>
      <c r="E18839" s="5" t="str">
        <f t="shared" si="968"/>
        <v>ACTISALUD - SERVICIO DE AMBULANCIA-MARGARITA LAZARO</v>
      </c>
      <c r="F18839" s="5"/>
      <c r="G18839" s="5"/>
    </row>
    <row r="18840" spans="1:7" ht="58.5" customHeight="1" x14ac:dyDescent="0.25">
      <c r="A18840" s="5" t="str">
        <f>"H0037917"</f>
        <v>H0037917</v>
      </c>
      <c r="B18840" s="5" t="str">
        <f>"SILLA GERENTE NIZA MEC. BASCULANTE CON BRAZOS."</f>
        <v>SILLA GERENTE NIZA MEC. BASCULANTE CON BRAZOS.</v>
      </c>
      <c r="C18840" s="6">
        <v>710000.01</v>
      </c>
      <c r="D18840" s="5" t="s">
        <v>30</v>
      </c>
      <c r="E18840" s="5" t="str">
        <f t="shared" si="968"/>
        <v>ACTISALUD - SERVICIO DE AMBULANCIA-MARGARITA LAZARO</v>
      </c>
      <c r="F18840" s="5"/>
      <c r="G18840" s="5"/>
    </row>
    <row r="18841" spans="1:7" ht="58.5" customHeight="1" x14ac:dyDescent="0.25">
      <c r="A18841" s="5" t="str">
        <f>"H0005400"</f>
        <v>H0005400</v>
      </c>
      <c r="B18841" s="5" t="str">
        <f>"COMPUTADOR TODO EN UNO"</f>
        <v>COMPUTADOR TODO EN UNO</v>
      </c>
      <c r="C18841" s="6">
        <v>1200000</v>
      </c>
      <c r="D18841" s="5" t="s">
        <v>2</v>
      </c>
      <c r="E18841" s="5" t="str">
        <f t="shared" ref="E18841:E18851" si="969">"AUDITORIA DE CUENTAS"</f>
        <v>AUDITORIA DE CUENTAS</v>
      </c>
      <c r="F18841" s="5" t="str">
        <f>"Descripcion:COMPUTADOR TODO EN UNO PROCESADOR: Intel pentiun G645 (2.9 Ghz/3MB/2 nucleos) memoria RAM 4GB DDR3-1600 SODIMM (1X4GB) Disco duro 500GB 7200 RPMSATA-6G Multi DVD/RM Licencia win 8 pro 64 Downgrade to Win 7 pro 64 o supervisor USB Keyboard Usbe"&amp; " Optical, m Estado: Excelente Placa anterior: 000030793 Material: PLASTICO Color: NEGRO Referencia: C9K24LT#ABM Observacion:  Placa anterior:, Placa nueva=H0005404, Descripcion:OPTICO, Serial:, Marca:HP, Modelo:APOLLO OU, Material:PLASTICO, Color:NEGRO,  "&amp; " Referencia:672652-001, Placa anterior:, Placa nueva=H0005401, Descripcion:., Serial:BCZZN0BVB4C2E3, Marca:HP, Modelo:KU-1156, Material:PLASTICO, Color:NEGRO,   Referencia:672647-162LA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Excelente Placa anterior: 000030793 Material: PLASTICO Color: NEGRO Referencia: C9K24LT#ABM Observacion:  Placa anterior:, Placa nueva=H0005404, Descripcion:OPTICO, Serial:, Marca:HP, Modelo:APOLLO OU, Material:PLASTICO, Color:NEGRO,   Referencia:672652-001, Placa anterior:, Placa nueva=H0005401, Descripcion:., Serial:BCZZN0BVB4C2E3, Marca:HP, Modelo:KU-1156, Material:PLASTICO, Color:NEGRO,   Referencia:672647-162LA Placa padre:  Tipo adquisicion : Entidad</v>
      </c>
      <c r="G18841" s="5" t="str">
        <f>"HP CPMPAQ PRO 4300"</f>
        <v>HP CPMPAQ PRO 4300</v>
      </c>
    </row>
    <row r="18842" spans="1:7" ht="58.5" customHeight="1" x14ac:dyDescent="0.25">
      <c r="A18842" s="5" t="str">
        <f>"H0011019"</f>
        <v>H0011019</v>
      </c>
      <c r="B18842" s="5" t="str">
        <f>"MESA (SUPERFICIE) MODULAR"</f>
        <v>MESA (SUPERFICIE) MODULAR</v>
      </c>
      <c r="C18842" s="6">
        <v>134520</v>
      </c>
      <c r="D18842" s="5"/>
      <c r="E18842" s="5" t="str">
        <f t="shared" si="969"/>
        <v>AUDITORIA DE CUENTAS</v>
      </c>
      <c r="F18842" s="5" t="str">
        <f>"Descripcion: MESA PARA IMPRESORA Estado: Bueno Placa anterior: 000001166 Material: MADERA Color:  Referencia:  Observacion:  Placa padre: Tipo adquisicion: Entidad"</f>
        <v>Descripcion: MESA PARA IMPRESORA Estado: Bueno Placa anterior: 000001166 Material: MADERA Color:  Referencia:  Observacion:  Placa padre: Tipo adquisicion: Entidad</v>
      </c>
      <c r="G18842" s="5"/>
    </row>
    <row r="18843" spans="1:7" ht="58.5" customHeight="1" x14ac:dyDescent="0.25">
      <c r="A18843" s="5" t="str">
        <f>"H0011021"</f>
        <v>H0011021</v>
      </c>
      <c r="B18843" s="5" t="str">
        <f>"MONITOR LCD"</f>
        <v>MONITOR LCD</v>
      </c>
      <c r="C18843" s="6">
        <v>760000</v>
      </c>
      <c r="D18843" s="5"/>
      <c r="E18843" s="5" t="str">
        <f t="shared" si="969"/>
        <v>AUDITORIA DE CUENTAS</v>
      </c>
      <c r="F18843" s="5" t="str">
        <f>"Descripcion: MONITOR LCD DE 17 O SUPERIOR Estado: Bueno Placa anterior: 000029276 Material: PASTA Color: NEGRO Referencia:  Observacion:  Placa padre: Tipo adquisicion: Entidad"</f>
        <v>Descripcion: MONITOR LCD DE 17 O SUPERIOR Estado: Bueno Placa anterior: 000029276 Material: PASTA Color: NEGRO Referencia:  Observacion:  Placa padre: Tipo adquisicion: Entidad</v>
      </c>
      <c r="G18843" s="5" t="str">
        <f>"W1742ST"</f>
        <v>W1742ST</v>
      </c>
    </row>
    <row r="18844" spans="1:7" ht="58.5" customHeight="1" x14ac:dyDescent="0.25">
      <c r="A18844" s="5" t="str">
        <f>"H0018696"</f>
        <v>H0018696</v>
      </c>
      <c r="B18844" s="5" t="str">
        <f>"COMPUTADOR TODO EN UNO"</f>
        <v>COMPUTADOR TODO EN UNO</v>
      </c>
      <c r="C18844" s="6">
        <v>1200000</v>
      </c>
      <c r="D18844" s="5" t="s">
        <v>2</v>
      </c>
      <c r="E18844" s="5" t="str">
        <f t="shared" si="969"/>
        <v>AUDITORIA DE CUENTAS</v>
      </c>
      <c r="F18844"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000030800 Material: PLASTICO Color: NEGRO Referencia:  Observacion:  Placa anterior:, Placa nueva=H0018721, Descripcion:TECLADO USB, Serial:BCZZN0BVB4C34M, Marca:HP, Modelo:KU-1156, Material:PLASTICO, Color:NEGRO"&amp; ",   Referencia:, Placa anterior:, Placa nueva=H0018722, Descripcion:MOUSE USB, Serial:674316-001, Marca:HP, Modelo:, Material:PLASTICO, Color:NEGRO,   Referencia: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000030800 Material: PLASTICO Color: NEGRO Referencia:  Observacion:  Placa anterior:, Placa nueva=H0018721, Descripcion:TECLADO USB, Serial:BCZZN0BVB4C34M, Marca:HP, Modelo:KU-1156, Material:PLASTICO, Color:NEGRO,   Referencia:, Placa anterior:, Placa nueva=H0018722, Descripcion:MOUSE USB, Serial:674316-001, Marca:HP, Modelo:, Material:PLASTICO, Color:NEGRO,   Referencia: Placa padre: Tipo adquisicion: Entidad</v>
      </c>
      <c r="G18844" s="5" t="str">
        <f>"COMPAQ PRO 4300"</f>
        <v>COMPAQ PRO 4300</v>
      </c>
    </row>
    <row r="18845" spans="1:7" ht="58.5" customHeight="1" x14ac:dyDescent="0.25">
      <c r="A18845" s="5" t="str">
        <f>"H0031204"</f>
        <v>H0031204</v>
      </c>
      <c r="B1884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45" s="6">
        <v>246036.99</v>
      </c>
      <c r="D18845" s="5" t="s">
        <v>103</v>
      </c>
      <c r="E18845" s="5" t="str">
        <f t="shared" si="969"/>
        <v>AUDITORIA DE CUENTAS</v>
      </c>
      <c r="F18845" s="5"/>
      <c r="G18845" s="5"/>
    </row>
    <row r="18846" spans="1:7" ht="58.5" customHeight="1" x14ac:dyDescent="0.25">
      <c r="A18846" s="5" t="str">
        <f>"H0031205"</f>
        <v>H0031205</v>
      </c>
      <c r="B1884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46" s="6">
        <v>246036.99</v>
      </c>
      <c r="D18846" s="5" t="s">
        <v>103</v>
      </c>
      <c r="E18846" s="5" t="str">
        <f t="shared" si="969"/>
        <v>AUDITORIA DE CUENTAS</v>
      </c>
      <c r="F18846" s="5"/>
      <c r="G18846" s="5"/>
    </row>
    <row r="18847" spans="1:7" ht="58.5" customHeight="1" x14ac:dyDescent="0.25">
      <c r="A18847" s="5" t="str">
        <f>"H0031206"</f>
        <v>H0031206</v>
      </c>
      <c r="B1884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47" s="6">
        <v>246036.99</v>
      </c>
      <c r="D18847" s="5" t="s">
        <v>103</v>
      </c>
      <c r="E18847" s="5" t="str">
        <f t="shared" si="969"/>
        <v>AUDITORIA DE CUENTAS</v>
      </c>
      <c r="F18847" s="5"/>
      <c r="G18847" s="5"/>
    </row>
    <row r="18848" spans="1:7" ht="58.5" customHeight="1" x14ac:dyDescent="0.25">
      <c r="A18848" s="5" t="str">
        <f>"H0031207"</f>
        <v>H0031207</v>
      </c>
      <c r="B1884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48" s="6">
        <v>246036.99</v>
      </c>
      <c r="D18848" s="5" t="s">
        <v>103</v>
      </c>
      <c r="E18848" s="5" t="str">
        <f t="shared" si="969"/>
        <v>AUDITORIA DE CUENTAS</v>
      </c>
      <c r="F18848" s="5"/>
      <c r="G18848" s="5"/>
    </row>
    <row r="18849" spans="1:7" ht="58.5" customHeight="1" x14ac:dyDescent="0.25">
      <c r="A18849" s="5" t="str">
        <f>"H0031208"</f>
        <v>H0031208</v>
      </c>
      <c r="B1884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49" s="6">
        <v>246036.99</v>
      </c>
      <c r="D18849" s="5" t="s">
        <v>103</v>
      </c>
      <c r="E18849" s="5" t="str">
        <f t="shared" si="969"/>
        <v>AUDITORIA DE CUENTAS</v>
      </c>
      <c r="F18849" s="5"/>
      <c r="G18849" s="5"/>
    </row>
    <row r="18850" spans="1:7" ht="58.5" customHeight="1" x14ac:dyDescent="0.25">
      <c r="A18850" s="5" t="str">
        <f>"H0031456"</f>
        <v>H0031456</v>
      </c>
      <c r="B1885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850" s="6">
        <v>3209500</v>
      </c>
      <c r="D18850" s="5" t="s">
        <v>16</v>
      </c>
      <c r="E18850" s="5" t="str">
        <f t="shared" si="969"/>
        <v>AUDITORIA DE CUENTAS</v>
      </c>
      <c r="F18850" s="5"/>
      <c r="G18850" s="5"/>
    </row>
    <row r="18851" spans="1:7" ht="58.5" customHeight="1" x14ac:dyDescent="0.25">
      <c r="A18851" s="5" t="str">
        <f>"H0031887"</f>
        <v>H0031887</v>
      </c>
      <c r="B18851"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18851" s="6">
        <v>2647750</v>
      </c>
      <c r="D18851" s="5" t="s">
        <v>44</v>
      </c>
      <c r="E18851" s="5" t="str">
        <f t="shared" si="969"/>
        <v>AUDITORIA DE CUENTAS</v>
      </c>
      <c r="F18851" s="5"/>
      <c r="G18851" s="5" t="str">
        <f>"DS-870"</f>
        <v>DS-870</v>
      </c>
    </row>
    <row r="18852" spans="1:7" ht="58.5" customHeight="1" x14ac:dyDescent="0.25">
      <c r="A18852" s="5" t="str">
        <f>"H0017510"</f>
        <v>H0017510</v>
      </c>
      <c r="B18852" s="5" t="str">
        <f>"CAJA FUERTE"</f>
        <v>CAJA FUERTE</v>
      </c>
      <c r="C18852" s="6">
        <v>1682000</v>
      </c>
      <c r="D18852" s="5"/>
      <c r="E18852" s="5" t="str">
        <f t="shared" ref="E18852:E18883" si="970">"PAGADURIA -MARIA TERESA GELVEZ DUARTE"</f>
        <v>PAGADURIA -MARIA TERESA GELVEZ DUARTE</v>
      </c>
      <c r="F18852" s="5" t="str">
        <f>"Descripcion:CAJA FUERTE Estado: Bueno Placa anterior: 000012155 Material: ACERO Color: AZUL Referencia:  Observacion: INDUSTRIAS AMERICAN SAFETY Placa padre:  Tipo adquisicion : Entidad"</f>
        <v>Descripcion:CAJA FUERTE Estado: Bueno Placa anterior: 000012155 Material: ACERO Color: AZUL Referencia:  Observacion: INDUSTRIAS AMERICAN SAFETY Placa padre:  Tipo adquisicion : Entidad</v>
      </c>
      <c r="G18852" s="5"/>
    </row>
    <row r="18853" spans="1:7" ht="58.5" customHeight="1" x14ac:dyDescent="0.25">
      <c r="A18853" s="5" t="str">
        <f>"H0017521"</f>
        <v>H0017521</v>
      </c>
      <c r="B18853" s="5" t="str">
        <f>"CONTADORA DE BILLETES"</f>
        <v>CONTADORA DE BILLETES</v>
      </c>
      <c r="C18853" s="6">
        <v>2274500</v>
      </c>
      <c r="D18853" s="5"/>
      <c r="E18853" s="5" t="str">
        <f t="shared" si="970"/>
        <v>PAGADURIA -MARIA TERESA GELVEZ DUARTE</v>
      </c>
      <c r="F18853" s="5" t="str">
        <f>"Descripcion:CONTADORA DE BILLETES ACCUBANKE REF 01 AB111UV Estado: Bueno Placa anterior: 000026129 Material: PASTA Color: GRIS OSCURO Referencia:  Observacion:  Placa padre:  Tipo adquisicion : Entidad"</f>
        <v>Descripcion:CONTADORA DE BILLETES ACCUBANKE REF 01 AB111UV Estado: Bueno Placa anterior: 000026129 Material: PASTA Color: GRIS OSCURO Referencia:  Observacion:  Placa padre:  Tipo adquisicion : Entidad</v>
      </c>
      <c r="G18853" s="5" t="str">
        <f>"AB1100UV"</f>
        <v>AB1100UV</v>
      </c>
    </row>
    <row r="18854" spans="1:7" ht="58.5" customHeight="1" x14ac:dyDescent="0.25">
      <c r="A18854" s="5" t="str">
        <f>"H0017529"</f>
        <v>H0017529</v>
      </c>
      <c r="B18854" s="5" t="str">
        <f>"CAJA FUERTE"</f>
        <v>CAJA FUERTE</v>
      </c>
      <c r="C18854" s="6">
        <v>317657.81</v>
      </c>
      <c r="D18854" s="5"/>
      <c r="E18854" s="5" t="str">
        <f t="shared" si="970"/>
        <v>PAGADURIA -MARIA TERESA GELVEZ DUARTE</v>
      </c>
      <c r="F18854" s="5" t="str">
        <f>"Descripcion: CAJA DE SEGURIDAD REF. C-150 CON PUERTA DOBLE Estado: Bueno Placa anterior: 000001227 Material: ACERO Color: GRIS OSCURO Referencia:  Observacion:  Placa padre:  Tipo adquisicion : Entidad"</f>
        <v>Descripcion: CAJA DE SEGURIDAD REF. C-150 CON PUERTA DOBLE Estado: Bueno Placa anterior: 000001227 Material: ACERO Color: GRIS OSCURO Referencia:  Observacion:  Placa padre:  Tipo adquisicion : Entidad</v>
      </c>
      <c r="G18854" s="5"/>
    </row>
    <row r="18855" spans="1:7" ht="58.5" customHeight="1" x14ac:dyDescent="0.25">
      <c r="A18855" s="5" t="str">
        <f>"H0017532"</f>
        <v>H0017532</v>
      </c>
      <c r="B18855" s="5" t="str">
        <f>"SILLA INTERLOCUTORA (FIJA) SIN BRAZOS"</f>
        <v>SILLA INTERLOCUTORA (FIJA) SIN BRAZOS</v>
      </c>
      <c r="C18855" s="6">
        <v>5610</v>
      </c>
      <c r="D18855" s="5"/>
      <c r="E18855" s="5" t="str">
        <f t="shared" si="970"/>
        <v>PAGADURIA -MARIA TERESA GELVEZ DUARTE</v>
      </c>
      <c r="F18855" s="5" t="str">
        <f>"Descripcion:SILLA INTERLOCUTORA SIN BRAZOS Estado: Bueno Placa anterior: 000024048 Material: METALICO Y CUERO Color: GRIS Y MARRON Referencia:  Observacion:  Placa padre:  Tipo adquisicion : ENTIDAD"</f>
        <v>Descripcion:SILLA INTERLOCUTORA SIN BRAZOS Estado: Bueno Placa anterior: 000024048 Material: METALICO Y CUERO Color: GRIS Y MARRON Referencia:  Observacion:  Placa padre:  Tipo adquisicion : ENTIDAD</v>
      </c>
      <c r="G18855" s="5"/>
    </row>
    <row r="18856" spans="1:7" ht="58.5" customHeight="1" x14ac:dyDescent="0.25">
      <c r="A18856" s="5" t="str">
        <f>"H0017558"</f>
        <v>H0017558</v>
      </c>
      <c r="B18856" s="5" t="str">
        <f>"COMPUTADOR TODO EN UNO"</f>
        <v>COMPUTADOR TODO EN UNO</v>
      </c>
      <c r="C18856" s="6">
        <v>1572000</v>
      </c>
      <c r="D18856" s="5" t="s">
        <v>346</v>
      </c>
      <c r="E18856" s="5" t="str">
        <f t="shared" si="970"/>
        <v>PAGADURIA -MARIA TERESA GELVEZ DUARTE</v>
      </c>
      <c r="F18856" s="5" t="str">
        <f>"Descripcion:TODO EN UNO Estado: B Placa anterior: 000030693 Material: PASTA Color: NEGRO Referencia:  Observacion:  Placa padre:  Tipo adquisicion : ENTIDAD"</f>
        <v>Descripcion:TODO EN UNO Estado: B Placa anterior: 000030693 Material: PASTA Color: NEGRO Referencia:  Observacion:  Placa padre:  Tipo adquisicion : ENTIDAD</v>
      </c>
      <c r="G18856" s="5" t="str">
        <f>"COMPAQ PRO 4300"</f>
        <v>COMPAQ PRO 4300</v>
      </c>
    </row>
    <row r="18857" spans="1:7" ht="58.5" customHeight="1" x14ac:dyDescent="0.25">
      <c r="A18857" s="5" t="str">
        <f>"H0017561"</f>
        <v>H0017561</v>
      </c>
      <c r="B18857" s="5" t="str">
        <f>"VENTILADOR DE PARED"</f>
        <v>VENTILADOR DE PARED</v>
      </c>
      <c r="C18857" s="6">
        <v>95000</v>
      </c>
      <c r="D18857" s="5"/>
      <c r="E18857" s="5" t="str">
        <f t="shared" si="970"/>
        <v>PAGADURIA -MARIA TERESA GELVEZ DUARTE</v>
      </c>
      <c r="F18857" s="5" t="str">
        <f>"Descripcion:VENTILADOR DE PARED Estado: Bueno Placa anterior: 000021835 Material: PASTA Color: BLANCO Referencia:  Observacion: EL BIEN TIENE PLACA ANTERIOR  000028278. EL FUNCIONARIO AUTORIZA SE CONCILIE CON PLACA No. 000021835 Placa padre:  Tipo adquisi"&amp; "cion : Entidad"</f>
        <v>Descripcion:VENTILADOR DE PARED Estado: Bueno Placa anterior: 000021835 Material: PASTA Color: BLANCO Referencia:  Observacion: EL BIEN TIENE PLACA ANTERIOR  000028278. EL FUNCIONARIO AUTORIZA SE CONCILIE CON PLACA No. 000021835 Placa padre:  Tipo adquisicion : Entidad</v>
      </c>
      <c r="G18857" s="5"/>
    </row>
    <row r="18858" spans="1:7" ht="58.5" customHeight="1" x14ac:dyDescent="0.25">
      <c r="A18858" s="5" t="str">
        <f>"H0017939"</f>
        <v>H0017939</v>
      </c>
      <c r="B18858" s="5" t="str">
        <f>"MULTIMUEBLE DE MADERA"</f>
        <v>MULTIMUEBLE DE MADERA</v>
      </c>
      <c r="C18858" s="6">
        <v>1044000</v>
      </c>
      <c r="D18858" s="5" t="s">
        <v>546</v>
      </c>
      <c r="E18858" s="5" t="str">
        <f t="shared" si="970"/>
        <v>PAGADURIA -MARIA TERESA GELVEZ DUARTE</v>
      </c>
      <c r="F18858" s="5" t="str">
        <f>"Descripcion: MULTIMUEBLE EN MADERACON 5 ENTREPAÑOS Y DOS PUERTAS INFERIORES Estado: Bueno Placa anterior: 000028123 Material: MADERA Color: NEGRO Y BEIS Referencia:  Observacion:  Placa padre: Tipo adquisicion: Entidad"</f>
        <v>Descripcion: MULTIMUEBLE EN MADERACON 5 ENTREPAÑOS Y DOS PUERTAS INFERIORES Estado: Bueno Placa anterior: 000028123 Material: MADERA Color: NEGRO Y BEIS Referencia:  Observacion:  Placa padre: Tipo adquisicion: Entidad</v>
      </c>
      <c r="G18858" s="5"/>
    </row>
    <row r="18859" spans="1:7" ht="58.5" customHeight="1" x14ac:dyDescent="0.25">
      <c r="A18859" s="5" t="str">
        <f>"H0018056"</f>
        <v>H0018056</v>
      </c>
      <c r="B18859" s="5" t="str">
        <f>"MESA (SUPERFICIE) MODULAR"</f>
        <v>MESA (SUPERFICIE) MODULAR</v>
      </c>
      <c r="C18859" s="6">
        <v>110432</v>
      </c>
      <c r="D18859" s="5"/>
      <c r="E18859" s="5" t="str">
        <f t="shared" si="970"/>
        <v>PAGADURIA -MARIA TERESA GELVEZ DUARTE</v>
      </c>
      <c r="F18859" s="5" t="str">
        <f>"Descripcion:MESA AUXILIAR PARA IMPRESORA Estado: Bueno Placa anterior: 000000479 Material: MADERA Color: BEIS Y NEGRO Referencia:  Observacion:  Placa padre:  Tipo adquisicion : Entidad"</f>
        <v>Descripcion:MESA AUXILIAR PARA IMPRESORA Estado: Bueno Placa anterior: 000000479 Material: MADERA Color: BEIS Y NEGRO Referencia:  Observacion:  Placa padre:  Tipo adquisicion : Entidad</v>
      </c>
      <c r="G18859" s="5"/>
    </row>
    <row r="18860" spans="1:7" ht="58.5" customHeight="1" x14ac:dyDescent="0.25">
      <c r="A18860" s="5" t="str">
        <f>"H0018061"</f>
        <v>H0018061</v>
      </c>
      <c r="B18860" s="5" t="str">
        <f>"IMPRESORA MATRIZ DE PUNTOS"</f>
        <v>IMPRESORA MATRIZ DE PUNTOS</v>
      </c>
      <c r="C18860" s="6">
        <v>1252800</v>
      </c>
      <c r="D18860" s="5"/>
      <c r="E18860" s="5" t="str">
        <f t="shared" si="970"/>
        <v>PAGADURIA -MARIA TERESA GELVEZ DUARTE</v>
      </c>
      <c r="F18860" s="5" t="str">
        <f>"Descripcion:IMPRESORA MATRIZ DE PUNTO Estado: Bueno Placa anterior: 000025785 Material: PASTA Color: GRIS   Referencia:  Observacion:  Placa padre:  Tipo adquisicion : Entidad"</f>
        <v>Descripcion:IMPRESORA MATRIZ DE PUNTO Estado: Bueno Placa anterior: 000025785 Material: PASTA Color: GRIS   Referencia:  Observacion:  Placa padre:  Tipo adquisicion : Entidad</v>
      </c>
      <c r="G18860" s="5" t="str">
        <f>"FX-890P361A"</f>
        <v>FX-890P361A</v>
      </c>
    </row>
    <row r="18861" spans="1:7" ht="58.5" customHeight="1" x14ac:dyDescent="0.25">
      <c r="A18861" s="5" t="str">
        <f>"H0018073"</f>
        <v>H0018073</v>
      </c>
      <c r="B18861" s="5" t="str">
        <f>"ESTABILIZADOR  PARA COMPUTADOR"</f>
        <v>ESTABILIZADOR  PARA COMPUTADOR</v>
      </c>
      <c r="C18861" s="6">
        <v>137460</v>
      </c>
      <c r="D18861" s="5"/>
      <c r="E18861" s="5" t="str">
        <f t="shared" si="970"/>
        <v>PAGADURIA -MARIA TERESA GELVEZ DUARTE</v>
      </c>
      <c r="F18861" s="5" t="str">
        <f>"Descripcion:ESTABILIZADOR Estado: Bueno Placa anterior: 000022096 Material: METALICO Color: BLANCO Referencia:  Observacion:  Placa padre: H0018069 Tipo adquisicion : Entidad"</f>
        <v>Descripcion:ESTABILIZADOR Estado: Bueno Placa anterior: 000022096 Material: METALICO Color: BLANCO Referencia:  Observacion:  Placa padre: H0018069 Tipo adquisicion : Entidad</v>
      </c>
      <c r="G18861" s="5"/>
    </row>
    <row r="18862" spans="1:7" ht="58.5" customHeight="1" x14ac:dyDescent="0.25">
      <c r="A18862" s="5" t="str">
        <f>"H0018089"</f>
        <v>H0018089</v>
      </c>
      <c r="B18862" s="5" t="str">
        <f>"MULTIFUNCIONAL DE LASER"</f>
        <v>MULTIFUNCIONAL DE LASER</v>
      </c>
      <c r="C18862" s="6">
        <v>657102</v>
      </c>
      <c r="D18862" s="5" t="s">
        <v>240</v>
      </c>
      <c r="E18862" s="5" t="str">
        <f t="shared" si="970"/>
        <v>PAGADURIA -MARIA TERESA GELVEZ DUARTE</v>
      </c>
      <c r="F18862" s="5" t="str">
        <f>"Descripcion:IMPRESORA DE LASER Estado: Bueno Placa anterior: 000030004 Material: PASTA Color: NEGRO Referencia:  Observacion:  Placa padre:  Tipo adquisicion : Entidad"</f>
        <v>Descripcion:IMPRESORA DE LASER Estado: Bueno Placa anterior: 000030004 Material: PASTA Color: NEGRO Referencia:  Observacion:  Placa padre:  Tipo adquisicion : Entidad</v>
      </c>
      <c r="G18862" s="5" t="str">
        <f>"LASERJET P1606DN"</f>
        <v>LASERJET P1606DN</v>
      </c>
    </row>
    <row r="18863" spans="1:7" ht="58.5" customHeight="1" x14ac:dyDescent="0.25">
      <c r="A18863" s="5" t="str">
        <f>"H0018090"</f>
        <v>H0018090</v>
      </c>
      <c r="B18863" s="5" t="str">
        <f>"MESA (SUPERFICIE) MODULAR"</f>
        <v>MESA (SUPERFICIE) MODULAR</v>
      </c>
      <c r="C18863" s="6">
        <v>110432</v>
      </c>
      <c r="D18863" s="5"/>
      <c r="E18863" s="5" t="str">
        <f t="shared" si="970"/>
        <v>PAGADURIA -MARIA TERESA GELVEZ DUARTE</v>
      </c>
      <c r="F18863" s="5" t="str">
        <f>"Descripcion:MESA AUXILIAR PARA IMPRESORA Estado: Bueno Placa anterior: 000001260 Material: MADERA Color: BEIS Y NEGRO Referencia:  Observacion:  Placa padre:  Tipo adquisicion : Entidad"</f>
        <v>Descripcion:MESA AUXILIAR PARA IMPRESORA Estado: Bueno Placa anterior: 000001260 Material: MADERA Color: BEIS Y NEGRO Referencia:  Observacion:  Placa padre:  Tipo adquisicion : Entidad</v>
      </c>
      <c r="G18863" s="5"/>
    </row>
    <row r="18864" spans="1:7" ht="58.5" customHeight="1" x14ac:dyDescent="0.25">
      <c r="A18864" s="5" t="str">
        <f>"H0022146"</f>
        <v>H0022146</v>
      </c>
      <c r="B1886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64" s="6">
        <v>241999.99</v>
      </c>
      <c r="D18864" s="5" t="s">
        <v>499</v>
      </c>
      <c r="E18864" s="5" t="str">
        <f t="shared" si="970"/>
        <v>PAGADURIA -MARIA TERESA GELVEZ DUARTE</v>
      </c>
      <c r="F18864" s="5"/>
      <c r="G18864" s="5"/>
    </row>
    <row r="18865" spans="1:7" ht="58.5" customHeight="1" x14ac:dyDescent="0.25">
      <c r="A18865" s="5" t="str">
        <f>"H0022778"</f>
        <v>H0022778</v>
      </c>
      <c r="B18865" s="5" t="str">
        <f>"SILLA INTERLOCUTORA (FIJA) SIN BRAZOS"</f>
        <v>SILLA INTERLOCUTORA (FIJA) SIN BRAZOS</v>
      </c>
      <c r="C18865" s="6">
        <v>81200</v>
      </c>
      <c r="D18865" s="5" t="s">
        <v>34</v>
      </c>
      <c r="E18865" s="5" t="str">
        <f t="shared" si="970"/>
        <v>PAGADURIA -MARIA TERESA GELVEZ DUARTE</v>
      </c>
      <c r="F18865" s="5" t="str">
        <f>"Descripcion: SILLA PRISMA Estado: Bueno Placa anterior: 000030405 Material: METALICO Y PAÑO Color: NEGRO Referencia:  Observacion:  Placa padre: Tipo adquisicion: Entidad"</f>
        <v>Descripcion: SILLA PRISMA Estado: Bueno Placa anterior: 000030405 Material: METALICO Y PAÑO Color: NEGRO Referencia:  Observacion:  Placa padre: Tipo adquisicion: Entidad</v>
      </c>
      <c r="G18865" s="5"/>
    </row>
    <row r="18866" spans="1:7" ht="58.5" customHeight="1" x14ac:dyDescent="0.25">
      <c r="A18866" s="5" t="str">
        <f>"H0025334"</f>
        <v>H0025334</v>
      </c>
      <c r="B1886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866" s="6">
        <v>312156</v>
      </c>
      <c r="D18866" s="5" t="s">
        <v>10</v>
      </c>
      <c r="E18866" s="5" t="str">
        <f t="shared" si="970"/>
        <v>PAGADURIA -MARIA TERESA GELVEZ DUARTE</v>
      </c>
      <c r="F18866" s="5"/>
      <c r="G18866" s="5"/>
    </row>
    <row r="18867" spans="1:7" ht="58.5" customHeight="1" x14ac:dyDescent="0.25">
      <c r="A18867" s="5" t="str">
        <f>"H0025431"</f>
        <v>H0025431</v>
      </c>
      <c r="B18867"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867" s="6">
        <v>312156</v>
      </c>
      <c r="D18867" s="5" t="s">
        <v>10</v>
      </c>
      <c r="E18867" s="5" t="str">
        <f t="shared" si="970"/>
        <v>PAGADURIA -MARIA TERESA GELVEZ DUARTE</v>
      </c>
      <c r="F18867" s="5"/>
      <c r="G18867" s="5"/>
    </row>
    <row r="18868" spans="1:7" ht="58.5" customHeight="1" x14ac:dyDescent="0.25">
      <c r="A18868" s="5" t="str">
        <f>"H0025732"</f>
        <v>H0025732</v>
      </c>
      <c r="B18868" s="5" t="str">
        <f>"ESCANER DE ALTA VELOCIDAD 35 PPM"</f>
        <v>ESCANER DE ALTA VELOCIDAD 35 PPM</v>
      </c>
      <c r="C18868" s="6">
        <v>1666000</v>
      </c>
      <c r="D18868" s="5" t="s">
        <v>822</v>
      </c>
      <c r="E18868" s="5" t="str">
        <f t="shared" si="970"/>
        <v>PAGADURIA -MARIA TERESA GELVEZ DUARTE</v>
      </c>
      <c r="F18868" s="5"/>
      <c r="G18868" s="5"/>
    </row>
    <row r="18869" spans="1:7" ht="58.5" customHeight="1" x14ac:dyDescent="0.25">
      <c r="A18869" s="5" t="str">
        <f>"H0027210"</f>
        <v>H0027210</v>
      </c>
      <c r="B1886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869" s="6">
        <v>2641800</v>
      </c>
      <c r="D18869" s="5" t="s">
        <v>386</v>
      </c>
      <c r="E18869" s="5" t="str">
        <f t="shared" si="970"/>
        <v>PAGADURIA -MARIA TERESA GELVEZ DUARTE</v>
      </c>
      <c r="F18869" s="5"/>
      <c r="G18869" s="5"/>
    </row>
    <row r="18870" spans="1:7" ht="58.5" customHeight="1" x14ac:dyDescent="0.25">
      <c r="A18870" s="5" t="str">
        <f>"H0027251"</f>
        <v>H0027251</v>
      </c>
      <c r="B1887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18870" s="6">
        <v>2641800</v>
      </c>
      <c r="D18870" s="5" t="s">
        <v>38</v>
      </c>
      <c r="E18870" s="5" t="str">
        <f t="shared" si="970"/>
        <v>PAGADURIA -MARIA TERESA GELVEZ DUARTE</v>
      </c>
      <c r="F18870" s="5"/>
      <c r="G18870" s="5"/>
    </row>
    <row r="18871" spans="1:7" ht="58.5" customHeight="1" x14ac:dyDescent="0.25">
      <c r="A18871" s="5" t="str">
        <f>"H0027316"</f>
        <v>H0027316</v>
      </c>
      <c r="B18871" s="5" t="str">
        <f>"ESCANER DE ALTA VELOCIDAD 35 PPM"</f>
        <v>ESCANER DE ALTA VELOCIDAD 35 PPM</v>
      </c>
      <c r="C18871" s="6">
        <v>1237171.56</v>
      </c>
      <c r="D18871" s="5" t="s">
        <v>12</v>
      </c>
      <c r="E18871" s="5" t="str">
        <f t="shared" si="970"/>
        <v>PAGADURIA -MARIA TERESA GELVEZ DUARTE</v>
      </c>
      <c r="F18871" s="5"/>
      <c r="G18871" s="5"/>
    </row>
    <row r="18872" spans="1:7" ht="58.5" customHeight="1" x14ac:dyDescent="0.25">
      <c r="A18872" s="5" t="str">
        <f>"H0028297"</f>
        <v>H0028297</v>
      </c>
      <c r="B18872" s="5" t="str">
        <f>"ARCHIVADOR METÁLICO PARA BLOQUES DE PARAFINA, CON CAPACIDAD PARA 1.500 UNIDADES"</f>
        <v>ARCHIVADOR METÁLICO PARA BLOQUES DE PARAFINA, CON CAPACIDAD PARA 1.500 UNIDADES</v>
      </c>
      <c r="C18872" s="6">
        <v>1100750</v>
      </c>
      <c r="D18872" s="5" t="s">
        <v>663</v>
      </c>
      <c r="E18872" s="5" t="str">
        <f t="shared" si="970"/>
        <v>PAGADURIA -MARIA TERESA GELVEZ DUARTE</v>
      </c>
      <c r="F18872" s="5"/>
      <c r="G18872" s="5"/>
    </row>
    <row r="18873" spans="1:7" ht="58.5" customHeight="1" x14ac:dyDescent="0.25">
      <c r="A18873" s="5" t="str">
        <f>"H0028441"</f>
        <v>H0028441</v>
      </c>
      <c r="B18873" s="5" t="str">
        <f>"SILLA ERGONOMICA TIPO SECRETARIA SIN BRAZOS"</f>
        <v>SILLA ERGONOMICA TIPO SECRETARIA SIN BRAZOS</v>
      </c>
      <c r="C18873" s="6">
        <v>333200</v>
      </c>
      <c r="D18873" s="5" t="s">
        <v>246</v>
      </c>
      <c r="E18873" s="5" t="str">
        <f t="shared" si="970"/>
        <v>PAGADURIA -MARIA TERESA GELVEZ DUARTE</v>
      </c>
      <c r="F18873" s="5"/>
      <c r="G18873" s="5"/>
    </row>
    <row r="18874" spans="1:7" ht="58.5" customHeight="1" x14ac:dyDescent="0.25">
      <c r="A18874" s="5" t="str">
        <f>"H0029353"</f>
        <v>H0029353</v>
      </c>
      <c r="B18874" s="5" t="str">
        <f>"SILLA HERGONOMICA CON SISTEMA HIDRAULICO"</f>
        <v>SILLA HERGONOMICA CON SISTEMA HIDRAULICO</v>
      </c>
      <c r="C18874" s="6">
        <v>174900</v>
      </c>
      <c r="D18874" s="5" t="s">
        <v>89</v>
      </c>
      <c r="E18874" s="5" t="str">
        <f t="shared" si="970"/>
        <v>PAGADURIA -MARIA TERESA GELVEZ DUARTE</v>
      </c>
      <c r="F18874" s="5"/>
      <c r="G18874" s="5"/>
    </row>
    <row r="18875" spans="1:7" ht="58.5" customHeight="1" x14ac:dyDescent="0.25">
      <c r="A18875" s="5" t="str">
        <f>"H0029590"</f>
        <v>H0029590</v>
      </c>
      <c r="B18875" s="5" t="str">
        <f t="shared" ref="B18875:B18881" si="971">"ESTANTE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875" s="6">
        <v>252400.18</v>
      </c>
      <c r="D18875" s="5" t="s">
        <v>15</v>
      </c>
      <c r="E18875" s="5" t="str">
        <f t="shared" si="970"/>
        <v>PAGADURIA -MARIA TERESA GELVEZ DUARTE</v>
      </c>
      <c r="F18875" s="5"/>
      <c r="G18875" s="5"/>
    </row>
    <row r="18876" spans="1:7" ht="58.5" customHeight="1" x14ac:dyDescent="0.25">
      <c r="A18876" s="5" t="str">
        <f>"H0029591"</f>
        <v>H0029591</v>
      </c>
      <c r="B18876" s="5" t="str">
        <f t="shared" si="971"/>
        <v>ESTANTE CONSTRUIDOS EN LAMINAS METÁLICAS SOLIDAS, RESISTENTES Y ESTABLES CON TRATAMIENTO ANTICORROSIVO, CON 7 ENTREPAÑOS, DE 0.94 CMS DE ANCHO, CON ALTURA DE 2.20MTS Y CADA BANDEJA DEBE SOPORTAR UN PESO DE 100KG/MT LINEA</v>
      </c>
      <c r="C18876" s="6">
        <v>252400.18</v>
      </c>
      <c r="D18876" s="5" t="s">
        <v>15</v>
      </c>
      <c r="E18876" s="5" t="str">
        <f t="shared" si="970"/>
        <v>PAGADURIA -MARIA TERESA GELVEZ DUARTE</v>
      </c>
      <c r="F18876" s="5"/>
      <c r="G18876" s="5"/>
    </row>
    <row r="18877" spans="1:7" ht="58.5" customHeight="1" x14ac:dyDescent="0.25">
      <c r="A18877" s="5" t="str">
        <f>"H0029592"</f>
        <v>H0029592</v>
      </c>
      <c r="B18877" s="5" t="str">
        <f t="shared" si="971"/>
        <v>ESTANTE CONSTRUIDOS EN LAMINAS METÁLICAS SOLIDAS, RESISTENTES Y ESTABLES CON TRATAMIENTO ANTICORROSIVO, CON 7 ENTREPAÑOS, DE 0.94 CMS DE ANCHO, CON ALTURA DE 2.20MTS Y CADA BANDEJA DEBE SOPORTAR UN PESO DE 100KG/MT LINEA</v>
      </c>
      <c r="C18877" s="6">
        <v>252400.18</v>
      </c>
      <c r="D18877" s="5" t="s">
        <v>15</v>
      </c>
      <c r="E18877" s="5" t="str">
        <f t="shared" si="970"/>
        <v>PAGADURIA -MARIA TERESA GELVEZ DUARTE</v>
      </c>
      <c r="F18877" s="5"/>
      <c r="G18877" s="5"/>
    </row>
    <row r="18878" spans="1:7" ht="58.5" customHeight="1" x14ac:dyDescent="0.25">
      <c r="A18878" s="5" t="str">
        <f>"H0029608"</f>
        <v>H0029608</v>
      </c>
      <c r="B18878" s="5" t="str">
        <f t="shared" si="971"/>
        <v>ESTANTE CONSTRUIDOS EN LAMINAS METÁLICAS SOLIDAS, RESISTENTES Y ESTABLES CON TRATAMIENTO ANTICORROSIVO, CON 7 ENTREPAÑOS, DE 0.94 CMS DE ANCHO, CON ALTURA DE 2.20MTS Y CADA BANDEJA DEBE SOPORTAR UN PESO DE 100KG/MT LINEA</v>
      </c>
      <c r="C18878" s="6">
        <v>252400.18</v>
      </c>
      <c r="D18878" s="5" t="s">
        <v>15</v>
      </c>
      <c r="E18878" s="5" t="str">
        <f t="shared" si="970"/>
        <v>PAGADURIA -MARIA TERESA GELVEZ DUARTE</v>
      </c>
      <c r="F18878" s="5"/>
      <c r="G18878" s="5"/>
    </row>
    <row r="18879" spans="1:7" ht="58.5" customHeight="1" x14ac:dyDescent="0.25">
      <c r="A18879" s="5" t="str">
        <f>"H0029609"</f>
        <v>H0029609</v>
      </c>
      <c r="B18879" s="5" t="str">
        <f t="shared" si="971"/>
        <v>ESTANTE CONSTRUIDOS EN LAMINAS METÁLICAS SOLIDAS, RESISTENTES Y ESTABLES CON TRATAMIENTO ANTICORROSIVO, CON 7 ENTREPAÑOS, DE 0.94 CMS DE ANCHO, CON ALTURA DE 2.20MTS Y CADA BANDEJA DEBE SOPORTAR UN PESO DE 100KG/MT LINEA</v>
      </c>
      <c r="C18879" s="6">
        <v>252400.18</v>
      </c>
      <c r="D18879" s="5" t="s">
        <v>15</v>
      </c>
      <c r="E18879" s="5" t="str">
        <f t="shared" si="970"/>
        <v>PAGADURIA -MARIA TERESA GELVEZ DUARTE</v>
      </c>
      <c r="F18879" s="5"/>
      <c r="G18879" s="5"/>
    </row>
    <row r="18880" spans="1:7" ht="58.5" customHeight="1" x14ac:dyDescent="0.25">
      <c r="A18880" s="5" t="str">
        <f>"H0031222"</f>
        <v>H0031222</v>
      </c>
      <c r="B18880" s="5" t="str">
        <f t="shared" si="971"/>
        <v>ESTANTE CONSTRUIDOS EN LAMINAS METÁLICAS SOLIDAS, RESISTENTES Y ESTABLES CON TRATAMIENTO ANTICORROSIVO, CON 7 ENTREPAÑOS, DE 0.94 CMS DE ANCHO, CON ALTURA DE 2.20MTS Y CADA BANDEJA DEBE SOPORTAR UN PESO DE 100KG/MT LINEA</v>
      </c>
      <c r="C18880" s="6">
        <v>246036.99</v>
      </c>
      <c r="D18880" s="5" t="s">
        <v>103</v>
      </c>
      <c r="E18880" s="5" t="str">
        <f t="shared" si="970"/>
        <v>PAGADURIA -MARIA TERESA GELVEZ DUARTE</v>
      </c>
      <c r="F18880" s="5"/>
      <c r="G18880" s="5"/>
    </row>
    <row r="18881" spans="1:7" ht="58.5" customHeight="1" x14ac:dyDescent="0.25">
      <c r="A18881" s="5" t="str">
        <f>"H0031223"</f>
        <v>H0031223</v>
      </c>
      <c r="B18881" s="5" t="str">
        <f t="shared" si="971"/>
        <v>ESTANTE CONSTRUIDOS EN LAMINAS METÁLICAS SOLIDAS, RESISTENTES Y ESTABLES CON TRATAMIENTO ANTICORROSIVO, CON 7 ENTREPAÑOS, DE 0.94 CMS DE ANCHO, CON ALTURA DE 2.20MTS Y CADA BANDEJA DEBE SOPORTAR UN PESO DE 100KG/MT LINEA</v>
      </c>
      <c r="C18881" s="6">
        <v>246036.99</v>
      </c>
      <c r="D18881" s="5" t="s">
        <v>103</v>
      </c>
      <c r="E18881" s="5" t="str">
        <f t="shared" si="970"/>
        <v>PAGADURIA -MARIA TERESA GELVEZ DUARTE</v>
      </c>
      <c r="F18881" s="5"/>
      <c r="G18881" s="5"/>
    </row>
    <row r="18882" spans="1:7" ht="58.5" customHeight="1" x14ac:dyDescent="0.25">
      <c r="A18882" s="5" t="str">
        <f>"H0032485"</f>
        <v>H0032485</v>
      </c>
      <c r="B18882" s="5" t="str">
        <f>"PROTECTOR DE CHEQUES ELECTRONICO"</f>
        <v>PROTECTOR DE CHEQUES ELECTRONICO</v>
      </c>
      <c r="C18882" s="6">
        <v>2380000</v>
      </c>
      <c r="D18882" s="5" t="s">
        <v>17</v>
      </c>
      <c r="E18882" s="5" t="str">
        <f t="shared" si="970"/>
        <v>PAGADURIA -MARIA TERESA GELVEZ DUARTE</v>
      </c>
      <c r="F18882" s="5"/>
      <c r="G18882" s="5"/>
    </row>
    <row r="18883" spans="1:7" ht="58.5" customHeight="1" x14ac:dyDescent="0.25">
      <c r="A18883" s="5" t="str">
        <f>"H0033956"</f>
        <v>H0033956</v>
      </c>
      <c r="B18883" s="5" t="str">
        <f>"Persiana tipo black out de 2.60 mts largo x 1.30 mts ancho"</f>
        <v>Persiana tipo black out de 2.60 mts largo x 1.30 mts ancho</v>
      </c>
      <c r="C18883" s="6">
        <v>515000</v>
      </c>
      <c r="D18883" s="5" t="s">
        <v>819</v>
      </c>
      <c r="E18883" s="5" t="str">
        <f t="shared" si="970"/>
        <v>PAGADURIA -MARIA TERESA GELVEZ DUARTE</v>
      </c>
      <c r="F18883" s="5"/>
      <c r="G18883" s="5"/>
    </row>
    <row r="18884" spans="1:7" ht="58.5" customHeight="1" x14ac:dyDescent="0.25">
      <c r="A18884" s="5" t="str">
        <f>"H0033959"</f>
        <v>H0033959</v>
      </c>
      <c r="B18884" s="5" t="str">
        <f>"PERSIANA TIPO BLACK OUT 0.75 X 1.3"</f>
        <v>PERSIANA TIPO BLACK OUT 0.75 X 1.3</v>
      </c>
      <c r="C18884" s="6">
        <v>250000</v>
      </c>
      <c r="D18884" s="5" t="s">
        <v>819</v>
      </c>
      <c r="E18884" s="5" t="str">
        <f t="shared" ref="E18884:E18904" si="972">"PAGADURIA -MARIA TERESA GELVEZ DUARTE"</f>
        <v>PAGADURIA -MARIA TERESA GELVEZ DUARTE</v>
      </c>
      <c r="F18884" s="5"/>
      <c r="G18884" s="5"/>
    </row>
    <row r="18885" spans="1:7" ht="58.5" customHeight="1" x14ac:dyDescent="0.25">
      <c r="A18885" s="5" t="str">
        <f>"H0035101"</f>
        <v>H0035101</v>
      </c>
      <c r="B18885" s="5" t="str">
        <f>"VENTILADOR DE PARED"</f>
        <v>VENTILADOR DE PARED</v>
      </c>
      <c r="C18885" s="6">
        <v>130000.37</v>
      </c>
      <c r="D18885" s="5" t="s">
        <v>25</v>
      </c>
      <c r="E18885" s="5" t="str">
        <f t="shared" si="972"/>
        <v>PAGADURIA -MARIA TERESA GELVEZ DUARTE</v>
      </c>
      <c r="F18885" s="5"/>
      <c r="G18885" s="5"/>
    </row>
    <row r="18886" spans="1:7" ht="58.5" customHeight="1" x14ac:dyDescent="0.25">
      <c r="A18886" s="5" t="str">
        <f>"H0035143"</f>
        <v>H0035143</v>
      </c>
      <c r="B18886" s="5" t="str">
        <f>"NEVERA DE 66 LTS"</f>
        <v>NEVERA DE 66 LTS</v>
      </c>
      <c r="C18886" s="6">
        <v>544999.71</v>
      </c>
      <c r="D18886" s="5" t="s">
        <v>25</v>
      </c>
      <c r="E18886" s="5" t="str">
        <f t="shared" si="972"/>
        <v>PAGADURIA -MARIA TERESA GELVEZ DUARTE</v>
      </c>
      <c r="F18886" s="5"/>
      <c r="G18886" s="5"/>
    </row>
    <row r="18887" spans="1:7" ht="58.5" customHeight="1" x14ac:dyDescent="0.25">
      <c r="A18887" s="5" t="str">
        <f>"H0035347"</f>
        <v>H0035347</v>
      </c>
      <c r="B18887" s="5" t="s">
        <v>128</v>
      </c>
      <c r="C18887" s="6">
        <v>5462100</v>
      </c>
      <c r="D18887" s="5" t="s">
        <v>127</v>
      </c>
      <c r="E18887" s="5" t="str">
        <f t="shared" si="972"/>
        <v>PAGADURIA -MARIA TERESA GELVEZ DUARTE</v>
      </c>
      <c r="F18887" s="5"/>
      <c r="G18887" s="5"/>
    </row>
    <row r="18888" spans="1:7" ht="58.5" customHeight="1" x14ac:dyDescent="0.25">
      <c r="A18888" s="5" t="str">
        <f>"H0035739"</f>
        <v>H0035739</v>
      </c>
      <c r="B18888" s="5" t="str">
        <f>"SILLA GERENTE NIZA MEC. BASCULANTE CON BRAZOS."</f>
        <v>SILLA GERENTE NIZA MEC. BASCULANTE CON BRAZOS.</v>
      </c>
      <c r="C18888" s="6">
        <v>639999.86</v>
      </c>
      <c r="D18888" s="5" t="s">
        <v>46</v>
      </c>
      <c r="E18888" s="5" t="str">
        <f t="shared" si="972"/>
        <v>PAGADURIA -MARIA TERESA GELVEZ DUARTE</v>
      </c>
      <c r="F18888" s="5"/>
      <c r="G18888" s="5"/>
    </row>
    <row r="18889" spans="1:7" ht="58.5" customHeight="1" x14ac:dyDescent="0.25">
      <c r="A18889" s="5" t="str">
        <f>"H0035793"</f>
        <v>H0035793</v>
      </c>
      <c r="B18889" s="5" t="str">
        <f>"SILLA GERENTE NIZA MEC. BASCULANTE CON BRAZOS."</f>
        <v>SILLA GERENTE NIZA MEC. BASCULANTE CON BRAZOS.</v>
      </c>
      <c r="C18889" s="6">
        <v>640002.24</v>
      </c>
      <c r="D18889" s="5" t="s">
        <v>47</v>
      </c>
      <c r="E18889" s="5" t="str">
        <f t="shared" si="972"/>
        <v>PAGADURIA -MARIA TERESA GELVEZ DUARTE</v>
      </c>
      <c r="F18889" s="5"/>
      <c r="G18889" s="5"/>
    </row>
    <row r="18890" spans="1:7" ht="58.5" customHeight="1" x14ac:dyDescent="0.25">
      <c r="A18890" s="5" t="str">
        <f>"H0035794"</f>
        <v>H0035794</v>
      </c>
      <c r="B18890" s="5" t="str">
        <f>"SILLA GERENTE NIZA MEC. BASCULANTE CON BRAZOS."</f>
        <v>SILLA GERENTE NIZA MEC. BASCULANTE CON BRAZOS.</v>
      </c>
      <c r="C18890" s="6">
        <v>640002.24</v>
      </c>
      <c r="D18890" s="5" t="s">
        <v>47</v>
      </c>
      <c r="E18890" s="5" t="str">
        <f t="shared" si="972"/>
        <v>PAGADURIA -MARIA TERESA GELVEZ DUARTE</v>
      </c>
      <c r="F18890" s="5"/>
      <c r="G18890" s="5"/>
    </row>
    <row r="18891" spans="1:7" ht="58.5" customHeight="1" x14ac:dyDescent="0.25">
      <c r="A18891" s="5" t="str">
        <f>"H0036882"</f>
        <v>H0036882</v>
      </c>
      <c r="B18891" s="5" t="str">
        <f>"COMPUTADOR TODO EN UNO  LENOVO CON PROCESADOR INTEL CORE I5-10400T MEMORIA RAM 8GB DDR4 CON DISCO DURO 256GB SSD M.2"</f>
        <v>COMPUTADOR TODO EN UNO  LENOVO CON PROCESADOR INTEL CORE I5-10400T MEMORIA RAM 8GB DDR4 CON DISCO DURO 256GB SSD M.2</v>
      </c>
      <c r="C18891" s="6">
        <v>6307000</v>
      </c>
      <c r="D18891" s="5" t="s">
        <v>135</v>
      </c>
      <c r="E18891" s="5" t="str">
        <f t="shared" si="972"/>
        <v>PAGADURIA -MARIA TERESA GELVEZ DUARTE</v>
      </c>
      <c r="F18891" s="5"/>
      <c r="G18891" s="5" t="str">
        <f>"V50A"</f>
        <v>V50A</v>
      </c>
    </row>
    <row r="18892" spans="1:7" ht="58.5" customHeight="1" x14ac:dyDescent="0.25">
      <c r="A18892" s="5" t="str">
        <f>"H0036910"</f>
        <v>H0036910</v>
      </c>
      <c r="B18892" s="5" t="str">
        <f>"AIRE ACONDICIONADO DE 24000 BTU CONVENCIONAL R410"</f>
        <v>AIRE ACONDICIONADO DE 24000 BTU CONVENCIONAL R410</v>
      </c>
      <c r="C18892" s="6">
        <v>4950000</v>
      </c>
      <c r="D18892" s="5" t="s">
        <v>28</v>
      </c>
      <c r="E18892" s="5" t="str">
        <f t="shared" si="972"/>
        <v>PAGADURIA -MARIA TERESA GELVEZ DUARTE</v>
      </c>
      <c r="F18892" s="5"/>
      <c r="G18892" s="5"/>
    </row>
    <row r="18893" spans="1:7" ht="58.5" customHeight="1" x14ac:dyDescent="0.25">
      <c r="A18893" s="5" t="str">
        <f>"H0037445"</f>
        <v>H0037445</v>
      </c>
      <c r="B18893" s="5" t="str">
        <f>"AIRE ACONDICIONADO TIPO MINISPLIT CAPACIDAD 24.000 BTU TECNOLOGIA INVERTER DUAL"</f>
        <v>AIRE ACONDICIONADO TIPO MINISPLIT CAPACIDAD 24.000 BTU TECNOLOGIA INVERTER DUAL</v>
      </c>
      <c r="C18893" s="6">
        <v>5848909.5300000003</v>
      </c>
      <c r="D18893" s="5" t="s">
        <v>202</v>
      </c>
      <c r="E18893" s="5" t="str">
        <f t="shared" si="972"/>
        <v>PAGADURIA -MARIA TERESA GELVEZ DUARTE</v>
      </c>
      <c r="F18893" s="5"/>
      <c r="G18893" s="5"/>
    </row>
    <row r="18894" spans="1:7" ht="58.5" customHeight="1" x14ac:dyDescent="0.25">
      <c r="A18894" s="5" t="str">
        <f>"H0037944"</f>
        <v>H0037944</v>
      </c>
      <c r="B18894" s="5" t="str">
        <f t="shared" ref="B18894:B18899" si="973">"SILLA GERENTE NIZA MEC. BASCULANTE CON BRAZOS."</f>
        <v>SILLA GERENTE NIZA MEC. BASCULANTE CON BRAZOS.</v>
      </c>
      <c r="C18894" s="6">
        <v>710000.01</v>
      </c>
      <c r="D18894" s="5" t="s">
        <v>30</v>
      </c>
      <c r="E18894" s="5" t="str">
        <f t="shared" si="972"/>
        <v>PAGADURIA -MARIA TERESA GELVEZ DUARTE</v>
      </c>
      <c r="F18894" s="5"/>
      <c r="G18894" s="5"/>
    </row>
    <row r="18895" spans="1:7" ht="58.5" customHeight="1" x14ac:dyDescent="0.25">
      <c r="A18895" s="5" t="str">
        <f>"H0037945"</f>
        <v>H0037945</v>
      </c>
      <c r="B18895" s="5" t="str">
        <f t="shared" si="973"/>
        <v>SILLA GERENTE NIZA MEC. BASCULANTE CON BRAZOS.</v>
      </c>
      <c r="C18895" s="6">
        <v>710000.01</v>
      </c>
      <c r="D18895" s="5" t="s">
        <v>30</v>
      </c>
      <c r="E18895" s="5" t="str">
        <f t="shared" si="972"/>
        <v>PAGADURIA -MARIA TERESA GELVEZ DUARTE</v>
      </c>
      <c r="F18895" s="5"/>
      <c r="G18895" s="5"/>
    </row>
    <row r="18896" spans="1:7" ht="58.5" customHeight="1" x14ac:dyDescent="0.25">
      <c r="A18896" s="5" t="str">
        <f>"H0037946"</f>
        <v>H0037946</v>
      </c>
      <c r="B18896" s="5" t="str">
        <f t="shared" si="973"/>
        <v>SILLA GERENTE NIZA MEC. BASCULANTE CON BRAZOS.</v>
      </c>
      <c r="C18896" s="6">
        <v>710000.01</v>
      </c>
      <c r="D18896" s="5" t="s">
        <v>30</v>
      </c>
      <c r="E18896" s="5" t="str">
        <f t="shared" si="972"/>
        <v>PAGADURIA -MARIA TERESA GELVEZ DUARTE</v>
      </c>
      <c r="F18896" s="5"/>
      <c r="G18896" s="5"/>
    </row>
    <row r="18897" spans="1:7" ht="58.5" customHeight="1" x14ac:dyDescent="0.25">
      <c r="A18897" s="5" t="str">
        <f>"H0037947"</f>
        <v>H0037947</v>
      </c>
      <c r="B18897" s="5" t="str">
        <f t="shared" si="973"/>
        <v>SILLA GERENTE NIZA MEC. BASCULANTE CON BRAZOS.</v>
      </c>
      <c r="C18897" s="6">
        <v>710000.01</v>
      </c>
      <c r="D18897" s="5" t="s">
        <v>30</v>
      </c>
      <c r="E18897" s="5" t="str">
        <f t="shared" si="972"/>
        <v>PAGADURIA -MARIA TERESA GELVEZ DUARTE</v>
      </c>
      <c r="F18897" s="5"/>
      <c r="G18897" s="5"/>
    </row>
    <row r="18898" spans="1:7" ht="58.5" customHeight="1" x14ac:dyDescent="0.25">
      <c r="A18898" s="5" t="str">
        <f>"H0037948"</f>
        <v>H0037948</v>
      </c>
      <c r="B18898" s="5" t="str">
        <f t="shared" si="973"/>
        <v>SILLA GERENTE NIZA MEC. BASCULANTE CON BRAZOS.</v>
      </c>
      <c r="C18898" s="6">
        <v>710000.01</v>
      </c>
      <c r="D18898" s="5" t="s">
        <v>30</v>
      </c>
      <c r="E18898" s="5" t="str">
        <f t="shared" si="972"/>
        <v>PAGADURIA -MARIA TERESA GELVEZ DUARTE</v>
      </c>
      <c r="F18898" s="5"/>
      <c r="G18898" s="5"/>
    </row>
    <row r="18899" spans="1:7" ht="58.5" customHeight="1" x14ac:dyDescent="0.25">
      <c r="A18899" s="5" t="str">
        <f>"H0037949"</f>
        <v>H0037949</v>
      </c>
      <c r="B18899" s="5" t="str">
        <f t="shared" si="973"/>
        <v>SILLA GERENTE NIZA MEC. BASCULANTE CON BRAZOS.</v>
      </c>
      <c r="C18899" s="6">
        <v>710000.01</v>
      </c>
      <c r="D18899" s="5" t="s">
        <v>30</v>
      </c>
      <c r="E18899" s="5" t="str">
        <f t="shared" si="972"/>
        <v>PAGADURIA -MARIA TERESA GELVEZ DUARTE</v>
      </c>
      <c r="F18899" s="5"/>
      <c r="G18899" s="5"/>
    </row>
    <row r="18900" spans="1:7" ht="58.5" customHeight="1" x14ac:dyDescent="0.25">
      <c r="A18900" s="5" t="str">
        <f>"H0038120"</f>
        <v>H0038120</v>
      </c>
      <c r="B18900" s="5" t="str">
        <f>"COMPUTADOR TODO EN UNO"</f>
        <v>COMPUTADOR TODO EN UNO</v>
      </c>
      <c r="C18900" s="6">
        <v>7497000</v>
      </c>
      <c r="D18900" s="5" t="s">
        <v>31</v>
      </c>
      <c r="E18900" s="5" t="str">
        <f t="shared" si="972"/>
        <v>PAGADURIA -MARIA TERESA GELVEZ DUARTE</v>
      </c>
      <c r="F18900" s="5"/>
      <c r="G18900" s="5"/>
    </row>
    <row r="18901" spans="1:7" ht="58.5" customHeight="1" x14ac:dyDescent="0.25">
      <c r="A18901" s="5" t="str">
        <f>"H0038121"</f>
        <v>H0038121</v>
      </c>
      <c r="B18901" s="5" t="str">
        <f>"COMPUTADOR TODO EN UNO"</f>
        <v>COMPUTADOR TODO EN UNO</v>
      </c>
      <c r="C18901" s="6">
        <v>7497000</v>
      </c>
      <c r="D18901" s="5" t="s">
        <v>31</v>
      </c>
      <c r="E18901" s="5" t="str">
        <f t="shared" si="972"/>
        <v>PAGADURIA -MARIA TERESA GELVEZ DUARTE</v>
      </c>
      <c r="F18901" s="5"/>
      <c r="G18901" s="5"/>
    </row>
    <row r="18902" spans="1:7" ht="58.5" customHeight="1" x14ac:dyDescent="0.25">
      <c r="A18902" s="5" t="str">
        <f>"H0038124"</f>
        <v>H0038124</v>
      </c>
      <c r="B18902" s="5" t="str">
        <f>"COMPUTADOR TODO EN UNO"</f>
        <v>COMPUTADOR TODO EN UNO</v>
      </c>
      <c r="C18902" s="6">
        <v>7497000</v>
      </c>
      <c r="D18902" s="5" t="s">
        <v>31</v>
      </c>
      <c r="E18902" s="5" t="str">
        <f t="shared" si="972"/>
        <v>PAGADURIA -MARIA TERESA GELVEZ DUARTE</v>
      </c>
      <c r="F18902" s="5"/>
      <c r="G18902" s="5"/>
    </row>
    <row r="18903" spans="1:7" ht="58.5" customHeight="1" x14ac:dyDescent="0.25">
      <c r="A18903" s="5" t="str">
        <f>"H0038127"</f>
        <v>H0038127</v>
      </c>
      <c r="B18903" s="5" t="str">
        <f>"COMPUTADOR TODO EN UNO"</f>
        <v>COMPUTADOR TODO EN UNO</v>
      </c>
      <c r="C18903" s="6">
        <v>7497000</v>
      </c>
      <c r="D18903" s="5" t="s">
        <v>31</v>
      </c>
      <c r="E18903" s="5" t="str">
        <f t="shared" si="972"/>
        <v>PAGADURIA -MARIA TERESA GELVEZ DUARTE</v>
      </c>
      <c r="F18903" s="5"/>
      <c r="G18903" s="5"/>
    </row>
    <row r="18904" spans="1:7" ht="58.5" customHeight="1" x14ac:dyDescent="0.25">
      <c r="A18904" s="5" t="str">
        <f>"H0038131"</f>
        <v>H0038131</v>
      </c>
      <c r="B18904" s="5" t="str">
        <f>"COMPUTADOR TODO EN UNO"</f>
        <v>COMPUTADOR TODO EN UNO</v>
      </c>
      <c r="C18904" s="6">
        <v>7497000</v>
      </c>
      <c r="D18904" s="5" t="s">
        <v>31</v>
      </c>
      <c r="E18904" s="5" t="str">
        <f t="shared" si="972"/>
        <v>PAGADURIA -MARIA TERESA GELVEZ DUARTE</v>
      </c>
      <c r="F18904" s="5"/>
      <c r="G18904" s="5"/>
    </row>
    <row r="18905" spans="1:7" ht="58.5" customHeight="1" x14ac:dyDescent="0.25">
      <c r="A18905" s="5" t="str">
        <f>"B0004334"</f>
        <v>B0004334</v>
      </c>
      <c r="B18905" s="5" t="str">
        <f>"LICENCIA OFFICE HOME AND BUSINEES"</f>
        <v>LICENCIA OFFICE HOME AND BUSINEES</v>
      </c>
      <c r="C18905" s="6">
        <v>440800</v>
      </c>
      <c r="D18905" s="5" t="s">
        <v>1</v>
      </c>
      <c r="E18905" s="5" t="str">
        <f t="shared" ref="E18905:E18940" si="974">"RECURSOS FINANCIEROS - JHON ALEXANDER PEREZ JAIMES"</f>
        <v>RECURSOS FINANCIEROS - JHON ALEXANDER PEREZ JAIMES</v>
      </c>
      <c r="F18905" s="5" t="str">
        <f>"Descripcion: LICENCIA OFFICE HOME AND BUSIMESS 2013 Estado: Bueno Placa anterior: 000030626 Material:  Color:  Referencia:  Observacion:  Placa padre: Tipo adquisicion: Entidad"</f>
        <v>Descripcion: LICENCIA OFFICE HOME AND BUSIMESS 2013 Estado: Bueno Placa anterior: 000030626 Material:  Color:  Referencia:  Observacion:  Placa padre: Tipo adquisicion: Entidad</v>
      </c>
      <c r="G18905" s="5"/>
    </row>
    <row r="18906" spans="1:7" ht="58.5" customHeight="1" x14ac:dyDescent="0.25">
      <c r="A18906" s="5" t="str">
        <f>"B0004967"</f>
        <v>B0004967</v>
      </c>
      <c r="B18906" s="5" t="str">
        <f>"LICENCIA OFFICE HOME AND BUSINEES"</f>
        <v>LICENCIA OFFICE HOME AND BUSINEES</v>
      </c>
      <c r="C18906" s="6">
        <v>440800</v>
      </c>
      <c r="D18906" s="5" t="s">
        <v>1</v>
      </c>
      <c r="E18906" s="5" t="str">
        <f t="shared" si="974"/>
        <v>RECURSOS FINANCIEROS - JHON ALEXANDER PEREZ JAIMES</v>
      </c>
      <c r="F18906" s="5" t="str">
        <f>"Descripcion: LICENCIA OFFICE HOME AND BUSIMESS 2013 Estado: Bueno Placa anterior: 000030603 Material:  Color:  Referencia:  Observacion:  Placa padre: Tipo adquisicion: Entidad"</f>
        <v>Descripcion: LICENCIA OFFICE HOME AND BUSIMESS 2013 Estado: Bueno Placa anterior: 000030603 Material:  Color:  Referencia:  Observacion:  Placa padre: Tipo adquisicion: Entidad</v>
      </c>
      <c r="G18906" s="5"/>
    </row>
    <row r="18907" spans="1:7" ht="58.5" customHeight="1" x14ac:dyDescent="0.25">
      <c r="A18907" s="5" t="str">
        <f>"B0004968"</f>
        <v>B0004968</v>
      </c>
      <c r="B18907" s="5" t="str">
        <f>"LICENCIA OFFICE HOME AND BUSINEES"</f>
        <v>LICENCIA OFFICE HOME AND BUSINEES</v>
      </c>
      <c r="C18907" s="6">
        <v>440800</v>
      </c>
      <c r="D18907" s="5" t="s">
        <v>1</v>
      </c>
      <c r="E18907" s="5" t="str">
        <f t="shared" si="974"/>
        <v>RECURSOS FINANCIEROS - JHON ALEXANDER PEREZ JAIMES</v>
      </c>
      <c r="F18907" s="5" t="str">
        <f>"Descripcion: LICENCIA OFFICE HOME AND BUSIMESS 2013 Estado: Bueno Placa anterior: 000030605 Material:  Color:  Referencia:  Observacion:  Placa padre: Tipo adquisicion: Entidad"</f>
        <v>Descripcion: LICENCIA OFFICE HOME AND BUSIMESS 2013 Estado: Bueno Placa anterior: 000030605 Material:  Color:  Referencia:  Observacion:  Placa padre: Tipo adquisicion: Entidad</v>
      </c>
      <c r="G18907" s="5"/>
    </row>
    <row r="18908" spans="1:7" ht="58.5" customHeight="1" x14ac:dyDescent="0.25">
      <c r="A18908" s="5" t="str">
        <f>"B0004969"</f>
        <v>B0004969</v>
      </c>
      <c r="B18908" s="5" t="str">
        <f>"LICENCIA OFFICE HOME AND BUSINEES"</f>
        <v>LICENCIA OFFICE HOME AND BUSINEES</v>
      </c>
      <c r="C18908" s="6">
        <v>440800</v>
      </c>
      <c r="D18908" s="5" t="s">
        <v>1</v>
      </c>
      <c r="E18908" s="5" t="str">
        <f t="shared" si="974"/>
        <v>RECURSOS FINANCIEROS - JHON ALEXANDER PEREZ JAIMES</v>
      </c>
      <c r="F18908" s="5" t="str">
        <f>"Descripcion: LICENCIA OFFICE HOME AND BUSIMESS 2013 Estado: Bueno Placa anterior: 000030640 Material:  Color:  Referencia:  Observacion:  Placa padre: Tipo adquisicion: Entidad"</f>
        <v>Descripcion: LICENCIA OFFICE HOME AND BUSIMESS 2013 Estado: Bueno Placa anterior: 000030640 Material:  Color:  Referencia:  Observacion:  Placa padre: Tipo adquisicion: Entidad</v>
      </c>
      <c r="G18908" s="5"/>
    </row>
    <row r="18909" spans="1:7" ht="58.5" customHeight="1" x14ac:dyDescent="0.25">
      <c r="A18909" s="5" t="str">
        <f>"H0002661"</f>
        <v>H0002661</v>
      </c>
      <c r="B18909" s="5" t="str">
        <f>"ENRUTADOR (ROUTER) INALAMBRICO (ACCES POINT)"</f>
        <v>ENRUTADOR (ROUTER) INALAMBRICO (ACCES POINT)</v>
      </c>
      <c r="C18909" s="6">
        <v>323640</v>
      </c>
      <c r="D18909" s="5"/>
      <c r="E18909" s="5" t="str">
        <f t="shared" si="974"/>
        <v>RECURSOS FINANCIEROS - JHON ALEXANDER PEREZ JAIMES</v>
      </c>
      <c r="F18909" s="5" t="str">
        <f>"Descripcion:INDOOR ACCESS POINT, 3 ANTENAS DE COLOR GRIS, CABLE DE RED, CARGADOR Estado: Excelente Placa anterior: 000037063 Material: PASTA Color: BLANCO Y GRIS Referencia:  Observacion:  Placa padre:  Tipo adquisicion : Entidad"</f>
        <v>Descripcion:INDOOR ACCESS POINT, 3 ANTENAS DE COLOR GRIS, CABLE DE RED, CARGADOR Estado: Excelente Placa anterior: 000037063 Material: PASTA Color: BLANCO Y GRIS Referencia:  Observacion:  Placa padre:  Tipo adquisicion : Entidad</v>
      </c>
      <c r="G18909" s="5" t="str">
        <f>"TL-WA901ND"</f>
        <v>TL-WA901ND</v>
      </c>
    </row>
    <row r="18910" spans="1:7" ht="58.5" customHeight="1" x14ac:dyDescent="0.25">
      <c r="A18910" s="5" t="str">
        <f>"H0005116"</f>
        <v>H0005116</v>
      </c>
      <c r="B18910" s="5" t="str">
        <f>"ESTANTE METALICO 6 ENTREPAÑOS"</f>
        <v>ESTANTE METALICO 6 ENTREPAÑOS</v>
      </c>
      <c r="C18910" s="6">
        <v>37633</v>
      </c>
      <c r="D18910" s="5"/>
      <c r="E18910" s="5" t="str">
        <f t="shared" si="974"/>
        <v>RECURSOS FINANCIEROS - JHON ALEXANDER PEREZ JAIMES</v>
      </c>
      <c r="F18910" s="5" t="str">
        <f>"Descripcion:200X94X33 Estado: Bueno Placa anterior: 000000942 Material: METALICO Color: GRIS Referencia:  Observacion:  Placa padre:  Tipo adquisicion : Entidad"</f>
        <v>Descripcion:200X94X33 Estado: Bueno Placa anterior: 000000942 Material: METALICO Color: GRIS Referencia:  Observacion:  Placa padre:  Tipo adquisicion : Entidad</v>
      </c>
      <c r="G18910" s="5"/>
    </row>
    <row r="18911" spans="1:7" ht="58.5" customHeight="1" x14ac:dyDescent="0.25">
      <c r="A18911" s="5" t="str">
        <f>"H0005335"</f>
        <v>H0005335</v>
      </c>
      <c r="B18911" s="5" t="str">
        <f>"AIRE ACONDICIONADO DE 36000 BTU PISO TECHO"</f>
        <v>AIRE ACONDICIONADO DE 36000 BTU PISO TECHO</v>
      </c>
      <c r="C18911" s="6">
        <v>2750000</v>
      </c>
      <c r="D18911" s="5" t="s">
        <v>854</v>
      </c>
      <c r="E18911" s="5" t="str">
        <f t="shared" si="974"/>
        <v>RECURSOS FINANCIEROS - JHON ALEXANDER PEREZ JAIMES</v>
      </c>
      <c r="F18911" s="5" t="str">
        <f>"Descripcion:AIRE ACONDICIONADO DE 36000 BTU VOLTAJE 220V CON REFRIGERANTE Estado: Bueno Placa anterior: 000030503 Material: PLASTICO Color: BLANCO Referencia: AIR CONDITIONING Observacion:  Placa anterior:, Placa nueva=H0020688, Descripcion:CONDENSADOR DE"&amp; "L AIRE ACONDICIONADO CON PLACA NUEVA No. H0005335 Y PLACA ANTERIOR No. 000030503* PLANEACION, Serial:C14071112882, Marca:STARLIGHT, Modelo:CV036-1, Material:METALICO, Color:GRIS,   Referencia: Placa padre:  Tipo adquisicion : Entidad"</f>
        <v>Descripcion:AIRE ACONDICIONADO DE 36000 BTU VOLTAJE 220V CON REFRIGERANTE Estado: Bueno Placa anterior: 000030503 Material: PLASTICO Color: BLANCO Referencia: AIR CONDITIONING Observacion:  Placa anterior:, Placa nueva=H0020688, Descripcion:CONDENSADOR DEL AIRE ACONDICIONADO CON PLACA NUEVA No. H0005335 Y PLACA ANTERIOR No. 000030503* PLANEACION, Serial:C14071112882, Marca:STARLIGHT, Modelo:CV036-1, Material:METALICO, Color:GRIS,   Referencia: Placa padre:  Tipo adquisicion : Entidad</v>
      </c>
      <c r="G18911" s="5" t="str">
        <f>"MUA-36CR"</f>
        <v>MUA-36CR</v>
      </c>
    </row>
    <row r="18912" spans="1:7" ht="58.5" customHeight="1" x14ac:dyDescent="0.25">
      <c r="A18912" s="5" t="str">
        <f>"H0005428"</f>
        <v>H0005428</v>
      </c>
      <c r="B18912" s="5" t="str">
        <f>"SILLA ERGONOMICA TIPO GERENTE SIN BRAZOS"</f>
        <v>SILLA ERGONOMICA TIPO GERENTE SIN BRAZOS</v>
      </c>
      <c r="C18912" s="6">
        <v>420001</v>
      </c>
      <c r="D18912" s="5"/>
      <c r="E18912" s="5" t="str">
        <f t="shared" si="974"/>
        <v>RECURSOS FINANCIEROS - JHON ALEXANDER PEREZ JAIMES</v>
      </c>
      <c r="F18912" s="5" t="str">
        <f>"Descripcion: SILLA PRESIDENTE UN-47 BASE EN NILON DE 5 ASPAS CON RODACHINES EN TUBO DE 1 CAL. 18 CON LAMINA COLL ROLLED CAL. 18 Y CALI. 12 TAPIZADA EN PAÑO NEGRO Estado: Bueno Placa anterior: 000025468 Material: METALICO Color: NEGRO Referencia:  Observac"&amp; "ion:  Placa padre: Tipo adquisicion: Entidad"</f>
        <v>Descripcion: SILLA PRESIDENTE UN-47 BASE EN NILON DE 5 ASPAS CON RODACHINES EN TUBO DE 1 CAL. 18 CON LAMINA COLL ROLLED CAL. 18 Y CALI. 12 TAPIZADA EN PAÑO NEGRO Estado: Bueno Placa anterior: 000025468 Material: METALICO Color: NEGRO Referencia:  Observacion:  Placa padre: Tipo adquisicion: Entidad</v>
      </c>
      <c r="G18912" s="5"/>
    </row>
    <row r="18913" spans="1:7" ht="58.5" customHeight="1" x14ac:dyDescent="0.25">
      <c r="A18913" s="5" t="str">
        <f>"H0017682"</f>
        <v>H0017682</v>
      </c>
      <c r="B18913" s="5" t="str">
        <f>"MULTIFUNCIONAL DE TINTA"</f>
        <v>MULTIFUNCIONAL DE TINTA</v>
      </c>
      <c r="C18913" s="6">
        <v>1880000</v>
      </c>
      <c r="D18913" s="5" t="s">
        <v>684</v>
      </c>
      <c r="E18913" s="5" t="str">
        <f t="shared" si="974"/>
        <v>RECURSOS FINANCIEROS - JHON ALEXANDER PEREZ JAIMES</v>
      </c>
      <c r="F18913" s="5" t="str">
        <f>"Descripcion:IMPRESORA MULTIFUNCIONAL HP OFFICEJET PRO X 476NO ES LASER.MANEJA UNOS CARTUCHOS DE TINTA QUE NO SE ENCUENTRAN EN COLOMBIA. Estado: Bueno Placa anterior: 000037234 Material: PLASTICO Color: NEGRO Referencia:  Observacion:  Placa padre:  Tipo a"&amp; "dquisicion : Entidad"</f>
        <v>Descripcion:IMPRESORA MULTIFUNCIONAL HP OFFICEJET PRO X 476NO ES LASER.MANEJA UNOS CARTUCHOS DE TINTA QUE NO SE ENCUENTRAN EN COLOMBIA. Estado: Bueno Placa anterior: 000037234 Material: PLASTICO Color: NEGRO Referencia:  Observacion:  Placa padre:  Tipo adquisicion : Entidad</v>
      </c>
      <c r="G18913" s="5"/>
    </row>
    <row r="18914" spans="1:7" ht="58.5" customHeight="1" x14ac:dyDescent="0.25">
      <c r="A18914" s="5" t="str">
        <f>"H0017983"</f>
        <v>H0017983</v>
      </c>
      <c r="B18914" s="5" t="str">
        <f>"MESA DE NOCHE"</f>
        <v>MESA DE NOCHE</v>
      </c>
      <c r="C18914" s="6">
        <v>327586</v>
      </c>
      <c r="D18914" s="5"/>
      <c r="E18914" s="5" t="str">
        <f t="shared" si="974"/>
        <v>RECURSOS FINANCIEROS - JHON ALEXANDER PEREZ JAIMES</v>
      </c>
      <c r="F18914" s="5" t="str">
        <f>"Descripcion: MESA AUXILIAR DE NOCHE, CON TRES GAVETAS Y RODACHINES Estado: Bueno Placa anterior: 000033031 Material: MADERA Color: NEGRO Y CAFÉ Referencia:  Observacion: EL BIEN TIENE PLACA ANTERIOR  000028237, AUTORIZADO CONCILIAR EN CRUCE GENERAL Placa "&amp; "padre: Tipo adquisicion: Entidad"</f>
        <v>Descripcion: MESA AUXILIAR DE NOCHE, CON TRES GAVETAS Y RODACHINES Estado: Bueno Placa anterior: 000033031 Material: MADERA Color: NEGRO Y CAFÉ Referencia:  Observacion: EL BIEN TIENE PLACA ANTERIOR  000028237, AUTORIZADO CONCILIAR EN CRUCE GENERAL Placa padre: Tipo adquisicion: Entidad</v>
      </c>
      <c r="G18914" s="5"/>
    </row>
    <row r="18915" spans="1:7" ht="58.5" customHeight="1" x14ac:dyDescent="0.25">
      <c r="A18915" s="5" t="str">
        <f>"H0017984"</f>
        <v>H0017984</v>
      </c>
      <c r="B18915" s="5" t="str">
        <f>"SILLA ERGONOMICA TIPO GERENTE CON BRAZOS"</f>
        <v>SILLA ERGONOMICA TIPO GERENTE CON BRAZOS</v>
      </c>
      <c r="C18915" s="6">
        <v>846800</v>
      </c>
      <c r="D18915" s="5" t="s">
        <v>768</v>
      </c>
      <c r="E18915" s="5" t="str">
        <f t="shared" si="974"/>
        <v>RECURSOS FINANCIEROS - JHON ALEXANDER PEREZ JAIMES</v>
      </c>
      <c r="F18915" s="5" t="str">
        <f>"Descripcion: SILLA ERGONOMICA TIPO GERENCIAL CON BRAZOS Estado: Bueno Placa anterior: 000029786 Material: MALLA Y PAÑO Color: GRIS Y NEGRO Referencia:  Observacion:  Placa padre: Tipo adquisicion: Entidad"</f>
        <v>Descripcion: SILLA ERGONOMICA TIPO GERENCIAL CON BRAZOS Estado: Bueno Placa anterior: 000029786 Material: MALLA Y PAÑO Color: GRIS Y NEGRO Referencia:  Observacion:  Placa padre: Tipo adquisicion: Entidad</v>
      </c>
      <c r="G18915" s="5"/>
    </row>
    <row r="18916" spans="1:7" ht="58.5" customHeight="1" x14ac:dyDescent="0.25">
      <c r="A18916" s="5" t="str">
        <f>"H0018758"</f>
        <v>H0018758</v>
      </c>
      <c r="B18916" s="5" t="str">
        <f>"COMPUTADOR TODO EN UNO"</f>
        <v>COMPUTADOR TODO EN UNO</v>
      </c>
      <c r="C18916" s="6">
        <v>1200000</v>
      </c>
      <c r="D18916" s="5" t="s">
        <v>2</v>
      </c>
      <c r="E18916" s="5" t="str">
        <f t="shared" si="974"/>
        <v>RECURSOS FINANCIEROS - JHON ALEXANDER PEREZ JAIMES</v>
      </c>
      <c r="F18916" s="5" t="str">
        <f>"Descripcion:COMPUTADOR TODO EN UNO PROCESADOR: Intel pentiun G645 (2.9 Ghz/3MB/2 nucleos) memoria RAM 4GB DDR3-1600 SODIMM (1X4GB) Disco duro 500GB 7200 RPMSATA-6G Multi DVD/RM Licencia win 8 pro 64 Downgrade to Win 7 pro 64 o supervisor USB Keyboard Usbe"&amp; " Optical, m Estado: Bueno Placa anterior: 000030802 Material: PLASTICO Color: NEGRO Referencia:  Observacion:  Placa anterior:, Placa nueva=H0018759, Descripcion:TECLADO USB, Serial:BZZN0BVP4C36W, Marca:HP, Modelo:KU1156, Material:PLASTICO, Color:NEGRO,  "&amp; " Referencia:, Placa anterior:, Placa nueva=H0018760, Descripcion:MOUSE USB, Serial:674316-001, Marca:HP, Modelo:, Material:PLASTICO, Color:NEGRO,   Referencia: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Bueno Placa anterior: 000030802 Material: PLASTICO Color: NEGRO Referencia:  Observacion:  Placa anterior:, Placa nueva=H0018759, Descripcion:TECLADO USB, Serial:BZZN0BVP4C36W, Marca:HP, Modelo:KU1156, Material:PLASTICO, Color:NEGRO,   Referencia:, Placa anterior:, Placa nueva=H0018760, Descripcion:MOUSE USB, Serial:674316-001, Marca:HP, Modelo:, Material:PLASTICO, Color:NEGRO,   Referencia: Placa padre:  Tipo adquisicion : Entidad</v>
      </c>
      <c r="G18916" s="5"/>
    </row>
    <row r="18917" spans="1:7" ht="58.5" customHeight="1" x14ac:dyDescent="0.25">
      <c r="A18917" s="5" t="str">
        <f>"H0022145"</f>
        <v>H0022145</v>
      </c>
      <c r="B1891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18917" s="6">
        <v>241999.99</v>
      </c>
      <c r="D18917" s="5" t="s">
        <v>499</v>
      </c>
      <c r="E18917" s="5" t="str">
        <f t="shared" si="974"/>
        <v>RECURSOS FINANCIEROS - JHON ALEXANDER PEREZ JAIMES</v>
      </c>
      <c r="F18917" s="5"/>
      <c r="G18917" s="5"/>
    </row>
    <row r="18918" spans="1:7" ht="58.5" customHeight="1" x14ac:dyDescent="0.25">
      <c r="A18918" s="5" t="str">
        <f>"H0024554"</f>
        <v>H0024554</v>
      </c>
      <c r="B1891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918" s="6">
        <v>2600000</v>
      </c>
      <c r="D18918" s="5" t="s">
        <v>36</v>
      </c>
      <c r="E18918" s="5" t="str">
        <f t="shared" si="974"/>
        <v>RECURSOS FINANCIEROS - JHON ALEXANDER PEREZ JAIMES</v>
      </c>
      <c r="F18918" s="5"/>
      <c r="G18918" s="5"/>
    </row>
    <row r="18919" spans="1:7" ht="58.5" customHeight="1" x14ac:dyDescent="0.25">
      <c r="A18919" s="5" t="str">
        <f>"H0024587"</f>
        <v>H0024587</v>
      </c>
      <c r="B1891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18919" s="6">
        <v>2600000</v>
      </c>
      <c r="D18919" s="5" t="s">
        <v>36</v>
      </c>
      <c r="E18919" s="5" t="str">
        <f t="shared" si="974"/>
        <v>RECURSOS FINANCIEROS - JHON ALEXANDER PEREZ JAIMES</v>
      </c>
      <c r="F18919" s="5"/>
      <c r="G18919" s="5"/>
    </row>
    <row r="18920" spans="1:7" ht="58.5" customHeight="1" x14ac:dyDescent="0.25">
      <c r="A18920" s="5" t="str">
        <f>"H0025421"</f>
        <v>H0025421</v>
      </c>
      <c r="B1892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920" s="6">
        <v>312156</v>
      </c>
      <c r="D18920" s="5" t="s">
        <v>10</v>
      </c>
      <c r="E18920" s="5" t="str">
        <f t="shared" si="974"/>
        <v>RECURSOS FINANCIEROS - JHON ALEXANDER PEREZ JAIMES</v>
      </c>
      <c r="F18920" s="5"/>
      <c r="G18920" s="5"/>
    </row>
    <row r="18921" spans="1:7" ht="58.5" customHeight="1" x14ac:dyDescent="0.25">
      <c r="A18921" s="5" t="str">
        <f>"H0025422"</f>
        <v>H0025422</v>
      </c>
      <c r="B1892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921" s="6">
        <v>312156</v>
      </c>
      <c r="D18921" s="5" t="s">
        <v>10</v>
      </c>
      <c r="E18921" s="5" t="str">
        <f t="shared" si="974"/>
        <v>RECURSOS FINANCIEROS - JHON ALEXANDER PEREZ JAIMES</v>
      </c>
      <c r="F18921" s="5"/>
      <c r="G18921" s="5"/>
    </row>
    <row r="18922" spans="1:7" ht="58.5" customHeight="1" x14ac:dyDescent="0.25">
      <c r="A18922" s="5" t="str">
        <f>"H0029516"</f>
        <v>H0029516</v>
      </c>
      <c r="B1892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18922" s="6">
        <v>257040</v>
      </c>
      <c r="D18922" s="5" t="s">
        <v>14</v>
      </c>
      <c r="E18922" s="5" t="str">
        <f t="shared" si="974"/>
        <v>RECURSOS FINANCIEROS - JHON ALEXANDER PEREZ JAIMES</v>
      </c>
      <c r="F18922" s="5"/>
      <c r="G18922" s="5"/>
    </row>
    <row r="18923" spans="1:7" ht="58.5" customHeight="1" x14ac:dyDescent="0.25">
      <c r="A18923" s="5" t="str">
        <f>"H0031470"</f>
        <v>H0031470</v>
      </c>
      <c r="B1892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923" s="6">
        <v>3209500</v>
      </c>
      <c r="D18923" s="5" t="s">
        <v>16</v>
      </c>
      <c r="E18923" s="5" t="str">
        <f t="shared" si="974"/>
        <v>RECURSOS FINANCIEROS - JHON ALEXANDER PEREZ JAIMES</v>
      </c>
      <c r="F18923" s="5"/>
      <c r="G18923" s="5"/>
    </row>
    <row r="18924" spans="1:7" ht="58.5" customHeight="1" x14ac:dyDescent="0.25">
      <c r="A18924" s="5" t="str">
        <f>"H0031812"</f>
        <v>H0031812</v>
      </c>
      <c r="B18924" s="5" t="str">
        <f>"SILLA DE ACOMPAÑANTE"</f>
        <v>SILLA DE ACOMPAÑANTE</v>
      </c>
      <c r="C18924" s="6">
        <v>224002</v>
      </c>
      <c r="D18924" s="5" t="s">
        <v>43</v>
      </c>
      <c r="E18924" s="5" t="str">
        <f t="shared" si="974"/>
        <v>RECURSOS FINANCIEROS - JHON ALEXANDER PEREZ JAIMES</v>
      </c>
      <c r="F18924" s="5"/>
      <c r="G18924" s="5"/>
    </row>
    <row r="18925" spans="1:7" ht="58.5" customHeight="1" x14ac:dyDescent="0.25">
      <c r="A18925" s="5" t="str">
        <f>"H0031813"</f>
        <v>H0031813</v>
      </c>
      <c r="B18925" s="5" t="str">
        <f>"SILLA DE ACOMPAÑANTE"</f>
        <v>SILLA DE ACOMPAÑANTE</v>
      </c>
      <c r="C18925" s="6">
        <v>224002</v>
      </c>
      <c r="D18925" s="5" t="s">
        <v>43</v>
      </c>
      <c r="E18925" s="5" t="str">
        <f t="shared" si="974"/>
        <v>RECURSOS FINANCIEROS - JHON ALEXANDER PEREZ JAIMES</v>
      </c>
      <c r="F18925" s="5"/>
      <c r="G18925" s="5"/>
    </row>
    <row r="18926" spans="1:7" ht="58.5" customHeight="1" x14ac:dyDescent="0.25">
      <c r="A18926" s="5" t="str">
        <f>"H0032882"</f>
        <v>H0032882</v>
      </c>
      <c r="B18926"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18926" s="6">
        <v>4289950</v>
      </c>
      <c r="D18926" s="5" t="s">
        <v>117</v>
      </c>
      <c r="E18926" s="5" t="str">
        <f t="shared" si="974"/>
        <v>RECURSOS FINANCIEROS - JHON ALEXANDER PEREZ JAIMES</v>
      </c>
      <c r="F18926" s="5"/>
      <c r="G18926" s="5"/>
    </row>
    <row r="18927" spans="1:7" ht="58.5" customHeight="1" x14ac:dyDescent="0.25">
      <c r="A18927" s="5" t="str">
        <f>"H0034556"</f>
        <v>H0034556</v>
      </c>
      <c r="B18927" s="5" t="str">
        <f>"COMPRESOR SCROLL 4 HP 3PHH / 220 V"</f>
        <v>COMPRESOR SCROLL 4 HP 3PHH / 220 V</v>
      </c>
      <c r="C18927" s="6">
        <v>3500000.47</v>
      </c>
      <c r="D18927" s="5" t="s">
        <v>18</v>
      </c>
      <c r="E18927" s="5" t="str">
        <f t="shared" si="974"/>
        <v>RECURSOS FINANCIEROS - JHON ALEXANDER PEREZ JAIMES</v>
      </c>
      <c r="F18927" s="5"/>
      <c r="G18927" s="5"/>
    </row>
    <row r="18928" spans="1:7" ht="58.5" customHeight="1" x14ac:dyDescent="0.25">
      <c r="A18928" s="5" t="str">
        <f>"H0034861"</f>
        <v>H0034861</v>
      </c>
      <c r="B18928" s="5" t="str">
        <f>"COMPUTADOR PORTATIL"</f>
        <v>COMPUTADOR PORTATIL</v>
      </c>
      <c r="C18928" s="6">
        <v>5308630.43</v>
      </c>
      <c r="D18928" s="5" t="s">
        <v>24</v>
      </c>
      <c r="E18928" s="5" t="str">
        <f t="shared" si="974"/>
        <v>RECURSOS FINANCIEROS - JHON ALEXANDER PEREZ JAIMES</v>
      </c>
      <c r="F18928" s="5"/>
      <c r="G18928" s="5"/>
    </row>
    <row r="18929" spans="1:7" ht="58.5" customHeight="1" x14ac:dyDescent="0.25">
      <c r="A18929" s="5" t="str">
        <f>"H0035107"</f>
        <v>H0035107</v>
      </c>
      <c r="B18929" s="5" t="str">
        <f>"VENTILADOR DE PARED"</f>
        <v>VENTILADOR DE PARED</v>
      </c>
      <c r="C18929" s="6">
        <v>130000.37</v>
      </c>
      <c r="D18929" s="5" t="s">
        <v>25</v>
      </c>
      <c r="E18929" s="5" t="str">
        <f t="shared" si="974"/>
        <v>RECURSOS FINANCIEROS - JHON ALEXANDER PEREZ JAIMES</v>
      </c>
      <c r="F18929" s="5"/>
      <c r="G18929" s="5"/>
    </row>
    <row r="18930" spans="1:7" ht="58.5" customHeight="1" x14ac:dyDescent="0.25">
      <c r="A18930" s="5" t="str">
        <f>"H0035419"</f>
        <v>H0035419</v>
      </c>
      <c r="B18930" s="5" t="str">
        <f>"COMPUTADOR TODO EN UNO HP  200 G4 CORPORATIVO  21.5  Intel® Core™ i5-10210U 10ma generación), Disco Duro 1TB"</f>
        <v>COMPUTADOR TODO EN UNO HP  200 G4 CORPORATIVO  21.5  Intel® Core™ i5-10210U 10ma generación), Disco Duro 1TB</v>
      </c>
      <c r="C18930" s="6">
        <v>5343100</v>
      </c>
      <c r="D18930" s="5" t="s">
        <v>197</v>
      </c>
      <c r="E18930" s="5" t="str">
        <f t="shared" si="974"/>
        <v>RECURSOS FINANCIEROS - JHON ALEXANDER PEREZ JAIMES</v>
      </c>
      <c r="F18930" s="5"/>
      <c r="G18930" s="5"/>
    </row>
    <row r="18931" spans="1:7" ht="58.5" customHeight="1" x14ac:dyDescent="0.25">
      <c r="A18931" s="5" t="str">
        <f>"H0035548"</f>
        <v>H0035548</v>
      </c>
      <c r="B18931" s="5" t="str">
        <f>"Grabadora de voz"</f>
        <v>Grabadora de voz</v>
      </c>
      <c r="C18931" s="6">
        <v>400078</v>
      </c>
      <c r="D18931" s="5" t="s">
        <v>515</v>
      </c>
      <c r="E18931" s="5" t="str">
        <f t="shared" si="974"/>
        <v>RECURSOS FINANCIEROS - JHON ALEXANDER PEREZ JAIMES</v>
      </c>
      <c r="F18931" s="5"/>
      <c r="G18931" s="5"/>
    </row>
    <row r="18932" spans="1:7" ht="58.5" customHeight="1" x14ac:dyDescent="0.25">
      <c r="A18932" s="5" t="str">
        <f>"H0035747"</f>
        <v>H0035747</v>
      </c>
      <c r="B18932" s="5" t="str">
        <f>"SILLA GERENTE NIZA MEC. BASCULANTE CON BRAZOS."</f>
        <v>SILLA GERENTE NIZA MEC. BASCULANTE CON BRAZOS.</v>
      </c>
      <c r="C18932" s="6">
        <v>639999.86</v>
      </c>
      <c r="D18932" s="5" t="s">
        <v>46</v>
      </c>
      <c r="E18932" s="5" t="str">
        <f t="shared" si="974"/>
        <v>RECURSOS FINANCIEROS - JHON ALEXANDER PEREZ JAIMES</v>
      </c>
      <c r="F18932" s="5"/>
      <c r="G18932" s="5"/>
    </row>
    <row r="18933" spans="1:7" ht="58.5" customHeight="1" x14ac:dyDescent="0.25">
      <c r="A18933" s="5" t="str">
        <f>"H0035748"</f>
        <v>H0035748</v>
      </c>
      <c r="B18933" s="5" t="str">
        <f>"SILLA GERENTE NIZA MEC. BASCULANTE CON BRAZOS."</f>
        <v>SILLA GERENTE NIZA MEC. BASCULANTE CON BRAZOS.</v>
      </c>
      <c r="C18933" s="6">
        <v>639999.86</v>
      </c>
      <c r="D18933" s="5" t="s">
        <v>46</v>
      </c>
      <c r="E18933" s="5" t="str">
        <f t="shared" si="974"/>
        <v>RECURSOS FINANCIEROS - JHON ALEXANDER PEREZ JAIMES</v>
      </c>
      <c r="F18933" s="5"/>
      <c r="G18933" s="5"/>
    </row>
    <row r="18934" spans="1:7" ht="58.5" customHeight="1" x14ac:dyDescent="0.25">
      <c r="A18934" s="5" t="str">
        <f>"H0035749"</f>
        <v>H0035749</v>
      </c>
      <c r="B18934" s="5" t="str">
        <f>"SILLA GERENTE NIZA MEC. BASCULANTE CON BRAZOS."</f>
        <v>SILLA GERENTE NIZA MEC. BASCULANTE CON BRAZOS.</v>
      </c>
      <c r="C18934" s="6">
        <v>639999.86</v>
      </c>
      <c r="D18934" s="5" t="s">
        <v>46</v>
      </c>
      <c r="E18934" s="5" t="str">
        <f t="shared" si="974"/>
        <v>RECURSOS FINANCIEROS - JHON ALEXANDER PEREZ JAIMES</v>
      </c>
      <c r="F18934" s="5"/>
      <c r="G18934" s="5"/>
    </row>
    <row r="18935" spans="1:7" ht="58.5" customHeight="1" x14ac:dyDescent="0.25">
      <c r="A18935" s="5" t="str">
        <f>"H0035943"</f>
        <v>H0035943</v>
      </c>
      <c r="B18935" s="5" t="str">
        <f>"SILLA GERENTE NIZA MEC. BASCULANTE CON BRAZOS."</f>
        <v>SILLA GERENTE NIZA MEC. BASCULANTE CON BRAZOS.</v>
      </c>
      <c r="C18935" s="6">
        <v>639999.86</v>
      </c>
      <c r="D18935" s="5" t="s">
        <v>281</v>
      </c>
      <c r="E18935" s="5" t="str">
        <f t="shared" si="974"/>
        <v>RECURSOS FINANCIEROS - JHON ALEXANDER PEREZ JAIMES</v>
      </c>
      <c r="F18935" s="5"/>
      <c r="G18935" s="5"/>
    </row>
    <row r="18936" spans="1:7" ht="58.5" customHeight="1" x14ac:dyDescent="0.25">
      <c r="A18936" s="5" t="str">
        <f>"H0036316"</f>
        <v>H0036316</v>
      </c>
      <c r="B18936" s="5" t="str">
        <f>"CAJA FUERTE"</f>
        <v>CAJA FUERTE</v>
      </c>
      <c r="C18936" s="6">
        <v>125000.02</v>
      </c>
      <c r="D18936" s="5" t="s">
        <v>855</v>
      </c>
      <c r="E18936" s="5" t="str">
        <f t="shared" si="974"/>
        <v>RECURSOS FINANCIEROS - JHON ALEXANDER PEREZ JAIMES</v>
      </c>
      <c r="F18936" s="5"/>
      <c r="G18936" s="5"/>
    </row>
    <row r="18937" spans="1:7" ht="58.5" customHeight="1" x14ac:dyDescent="0.25">
      <c r="A18937" s="5" t="str">
        <f>"H0036551"</f>
        <v>H0036551</v>
      </c>
      <c r="B18937" s="5" t="str">
        <f>"ESCÁNER  EPSON WORKFORCE DS-870 VERTICAL ESCÁNER EPSON WORKFORCE DS-870 (A4)// TIPO DE ESCÁNER: ALIMENTACIÓN VERTICAL, ESCÁNER DÚPLEX A COLOR"</f>
        <v>ESCÁNER  EPSON WORKFORCE DS-870 VERTICAL ESCÁNER EPSON WORKFORCE DS-870 (A4)// TIPO DE ESCÁNER: ALIMENTACIÓN VERTICAL, ESCÁNER DÚPLEX A COLOR</v>
      </c>
      <c r="C18937" s="6">
        <v>4403000</v>
      </c>
      <c r="D18937" s="5" t="s">
        <v>48</v>
      </c>
      <c r="E18937" s="5" t="str">
        <f t="shared" si="974"/>
        <v>RECURSOS FINANCIEROS - JHON ALEXANDER PEREZ JAIMES</v>
      </c>
      <c r="F18937" s="5"/>
      <c r="G18937" s="5" t="str">
        <f>"DS-870"</f>
        <v>DS-870</v>
      </c>
    </row>
    <row r="18938" spans="1:7" ht="58.5" customHeight="1" x14ac:dyDescent="0.25">
      <c r="A18938" s="5" t="str">
        <f>"H0037553"</f>
        <v>H0037553</v>
      </c>
      <c r="B18938" s="5" t="str">
        <f>"VENTILADOR DE PEDESTAL"</f>
        <v>VENTILADOR DE PEDESTAL</v>
      </c>
      <c r="C18938" s="6">
        <v>305000.55</v>
      </c>
      <c r="D18938" s="5" t="s">
        <v>140</v>
      </c>
      <c r="E18938" s="5" t="str">
        <f t="shared" si="974"/>
        <v>RECURSOS FINANCIEROS - JHON ALEXANDER PEREZ JAIMES</v>
      </c>
      <c r="F18938" s="5"/>
      <c r="G18938" s="5"/>
    </row>
    <row r="18939" spans="1:7" ht="58.5" customHeight="1" x14ac:dyDescent="0.25">
      <c r="A18939" s="5" t="str">
        <f>"H0037683"</f>
        <v>H0037683</v>
      </c>
      <c r="B18939" s="5" t="str">
        <f>"SILLA GERENTE NIZA MEC. BASCULANTE CON BRAZOS."</f>
        <v>SILLA GERENTE NIZA MEC. BASCULANTE CON BRAZOS.</v>
      </c>
      <c r="C18939" s="6">
        <v>710000.01</v>
      </c>
      <c r="D18939" s="5" t="s">
        <v>30</v>
      </c>
      <c r="E18939" s="5" t="str">
        <f t="shared" si="974"/>
        <v>RECURSOS FINANCIEROS - JHON ALEXANDER PEREZ JAIMES</v>
      </c>
      <c r="F18939" s="5"/>
      <c r="G18939" s="5"/>
    </row>
    <row r="18940" spans="1:7" ht="58.5" customHeight="1" x14ac:dyDescent="0.25">
      <c r="A18940" s="5" t="str">
        <f>"H0037943"</f>
        <v>H0037943</v>
      </c>
      <c r="B18940" s="5" t="str">
        <f>"SILLA GERENTE NIZA MEC. BASCULANTE CON BRAZOS."</f>
        <v>SILLA GERENTE NIZA MEC. BASCULANTE CON BRAZOS.</v>
      </c>
      <c r="C18940" s="6">
        <v>710000.01</v>
      </c>
      <c r="D18940" s="5" t="s">
        <v>30</v>
      </c>
      <c r="E18940" s="5" t="str">
        <f t="shared" si="974"/>
        <v>RECURSOS FINANCIEROS - JHON ALEXANDER PEREZ JAIMES</v>
      </c>
      <c r="F18940" s="5"/>
      <c r="G18940" s="5"/>
    </row>
    <row r="18941" spans="1:7" ht="58.5" customHeight="1" x14ac:dyDescent="0.25">
      <c r="A18941" s="5" t="str">
        <f>"B0000293"</f>
        <v>B0000293</v>
      </c>
      <c r="B18941" s="5" t="str">
        <f t="shared" ref="B18941:B18947" si="975">"ADAPTADOR DUPLEX LC"</f>
        <v>ADAPTADOR DUPLEX LC</v>
      </c>
      <c r="C18941" s="6">
        <v>190000</v>
      </c>
      <c r="D18941" s="5"/>
      <c r="E18941" s="5" t="str">
        <f t="shared" ref="E18941:E19004" si="976">"SISTEMAS-GLOBALTRONIK SAS-SERGIO PATIÑO"</f>
        <v>SISTEMAS-GLOBALTRONIK SAS-SERGIO PATIÑO</v>
      </c>
      <c r="F18941" s="5" t="str">
        <f>"Descripcion:ADAPTADOR DUPLEX LC MODULO 6 PARES AMP-  Estado: Bueno Placa anterior: 000038929 Material: PASTA Color: VERDE AGUA Referencia:  Observacion: ESTA EN SISTEMAS Placa padre:  Tipo adquisicion : Entidad"</f>
        <v>Descripcion:ADAPTADOR DUPLEX LC MODULO 6 PARES AMP-  Estado: Bueno Placa anterior: 000038929 Material: PASTA Color: VERDE AGUA Referencia:  Observacion: ESTA EN SISTEMAS Placa padre:  Tipo adquisicion : Entidad</v>
      </c>
      <c r="G18941" s="5"/>
    </row>
    <row r="18942" spans="1:7" ht="58.5" customHeight="1" x14ac:dyDescent="0.25">
      <c r="A18942" s="5" t="str">
        <f>"B0000294"</f>
        <v>B0000294</v>
      </c>
      <c r="B18942" s="5" t="str">
        <f t="shared" si="975"/>
        <v>ADAPTADOR DUPLEX LC</v>
      </c>
      <c r="C18942" s="6">
        <v>190000</v>
      </c>
      <c r="D18942" s="5"/>
      <c r="E18942" s="5" t="str">
        <f t="shared" si="976"/>
        <v>SISTEMAS-GLOBALTRONIK SAS-SERGIO PATIÑO</v>
      </c>
      <c r="F18942" s="5" t="str">
        <f>"Descripcion:ADAPTADOR DUPLEX LC MODULO 6 PARES AMP-  Estado: Bueno Placa anterior: 000038930 Material: PASTA Color: VERDE AGUA Referencia:  Observacion: ESTA EN SISTEMAS Placa padre:  Tipo adquisicion : Entidad"</f>
        <v>Descripcion:ADAPTADOR DUPLEX LC MODULO 6 PARES AMP-  Estado: Bueno Placa anterior: 000038930 Material: PASTA Color: VERDE AGUA Referencia:  Observacion: ESTA EN SISTEMAS Placa padre:  Tipo adquisicion : Entidad</v>
      </c>
      <c r="G18942" s="5"/>
    </row>
    <row r="18943" spans="1:7" ht="58.5" customHeight="1" x14ac:dyDescent="0.25">
      <c r="A18943" s="5" t="str">
        <f>"B0000295"</f>
        <v>B0000295</v>
      </c>
      <c r="B18943" s="5" t="str">
        <f t="shared" si="975"/>
        <v>ADAPTADOR DUPLEX LC</v>
      </c>
      <c r="C18943" s="6">
        <v>190000</v>
      </c>
      <c r="D18943" s="5"/>
      <c r="E18943" s="5" t="str">
        <f t="shared" si="976"/>
        <v>SISTEMAS-GLOBALTRONIK SAS-SERGIO PATIÑO</v>
      </c>
      <c r="F18943" s="5" t="str">
        <f>"Descripcion:ADAPTADOR DUPLEX LC MODULO 6 PARES AMP-  Estado: Bueno Placa anterior: 000038931 Material: PASTA Color: VERDE AGUA Referencia:  Observacion: ESTA EN SISTEMAS Placa padre:  Tipo adquisicion : Entidad"</f>
        <v>Descripcion:ADAPTADOR DUPLEX LC MODULO 6 PARES AMP-  Estado: Bueno Placa anterior: 000038931 Material: PASTA Color: VERDE AGUA Referencia:  Observacion: ESTA EN SISTEMAS Placa padre:  Tipo adquisicion : Entidad</v>
      </c>
      <c r="G18943" s="5"/>
    </row>
    <row r="18944" spans="1:7" ht="58.5" customHeight="1" x14ac:dyDescent="0.25">
      <c r="A18944" s="5" t="str">
        <f>"B0000296"</f>
        <v>B0000296</v>
      </c>
      <c r="B18944" s="5" t="str">
        <f t="shared" si="975"/>
        <v>ADAPTADOR DUPLEX LC</v>
      </c>
      <c r="C18944" s="6">
        <v>190000</v>
      </c>
      <c r="D18944" s="5"/>
      <c r="E18944" s="5" t="str">
        <f t="shared" si="976"/>
        <v>SISTEMAS-GLOBALTRONIK SAS-SERGIO PATIÑO</v>
      </c>
      <c r="F18944" s="5" t="str">
        <f>"Descripcion:ADAPTADOR DUPLEX LC MODULO 6 PARES AMP-  Estado: Bueno Placa anterior: 000038932 Material: PASTA Color: VERDE AGUA Referencia:  Observacion: ESTA EN SISTEMAS Placa padre:  Tipo adquisicion : Entidad"</f>
        <v>Descripcion:ADAPTADOR DUPLEX LC MODULO 6 PARES AMP-  Estado: Bueno Placa anterior: 000038932 Material: PASTA Color: VERDE AGUA Referencia:  Observacion: ESTA EN SISTEMAS Placa padre:  Tipo adquisicion : Entidad</v>
      </c>
      <c r="G18944" s="5"/>
    </row>
    <row r="18945" spans="1:7" ht="58.5" customHeight="1" x14ac:dyDescent="0.25">
      <c r="A18945" s="5" t="str">
        <f>"B0000297"</f>
        <v>B0000297</v>
      </c>
      <c r="B18945" s="5" t="str">
        <f t="shared" si="975"/>
        <v>ADAPTADOR DUPLEX LC</v>
      </c>
      <c r="C18945" s="6">
        <v>190000</v>
      </c>
      <c r="D18945" s="5"/>
      <c r="E18945" s="5" t="str">
        <f t="shared" si="976"/>
        <v>SISTEMAS-GLOBALTRONIK SAS-SERGIO PATIÑO</v>
      </c>
      <c r="F18945" s="5" t="str">
        <f>"Descripcion:ADAPTADOR DUPLEX LC MODULO 6 PARES AMP-  Estado: Bueno Placa anterior: 000038933 Material: PASTA Color: VERDE AGUA Referencia:  Observacion: ESTA EN SISTEMAS Placa padre:  Tipo adquisicion : Entidad"</f>
        <v>Descripcion:ADAPTADOR DUPLEX LC MODULO 6 PARES AMP-  Estado: Bueno Placa anterior: 000038933 Material: PASTA Color: VERDE AGUA Referencia:  Observacion: ESTA EN SISTEMAS Placa padre:  Tipo adquisicion : Entidad</v>
      </c>
      <c r="G18945" s="5"/>
    </row>
    <row r="18946" spans="1:7" ht="58.5" customHeight="1" x14ac:dyDescent="0.25">
      <c r="A18946" s="5" t="str">
        <f>"B0000298"</f>
        <v>B0000298</v>
      </c>
      <c r="B18946" s="5" t="str">
        <f t="shared" si="975"/>
        <v>ADAPTADOR DUPLEX LC</v>
      </c>
      <c r="C18946" s="6">
        <v>190000</v>
      </c>
      <c r="D18946" s="5"/>
      <c r="E18946" s="5" t="str">
        <f t="shared" si="976"/>
        <v>SISTEMAS-GLOBALTRONIK SAS-SERGIO PATIÑO</v>
      </c>
      <c r="F18946" s="5" t="str">
        <f>"Descripcion:ADAPTADOR DUPLEX LC MODULO 6 PARES AMP-  Estado: Bueno Placa anterior: 000038934 Material: PASTA Color: VERDE AGUA Referencia:  Observacion: ESTA EN SISTEMAS Placa padre:  Tipo adquisicion : Entidad"</f>
        <v>Descripcion:ADAPTADOR DUPLEX LC MODULO 6 PARES AMP-  Estado: Bueno Placa anterior: 000038934 Material: PASTA Color: VERDE AGUA Referencia:  Observacion: ESTA EN SISTEMAS Placa padre:  Tipo adquisicion : Entidad</v>
      </c>
      <c r="G18946" s="5"/>
    </row>
    <row r="18947" spans="1:7" ht="58.5" customHeight="1" x14ac:dyDescent="0.25">
      <c r="A18947" s="5" t="str">
        <f>"B0000299"</f>
        <v>B0000299</v>
      </c>
      <c r="B18947" s="5" t="str">
        <f t="shared" si="975"/>
        <v>ADAPTADOR DUPLEX LC</v>
      </c>
      <c r="C18947" s="6">
        <v>190000</v>
      </c>
      <c r="D18947" s="5"/>
      <c r="E18947" s="5" t="str">
        <f t="shared" si="976"/>
        <v>SISTEMAS-GLOBALTRONIK SAS-SERGIO PATIÑO</v>
      </c>
      <c r="F18947" s="5" t="str">
        <f>"Descripcion:ADAPTADOR DUPLEX LC MODULO 6 PARES AMP-  Estado: Bueno Placa anterior: 000038935 Material: PASTA Color: VERDE AGUA Referencia:  Observacion: ESTA EN SISTEMAS Placa padre:  Tipo adquisicion : Entidad"</f>
        <v>Descripcion:ADAPTADOR DUPLEX LC MODULO 6 PARES AMP-  Estado: Bueno Placa anterior: 000038935 Material: PASTA Color: VERDE AGUA Referencia:  Observacion: ESTA EN SISTEMAS Placa padre:  Tipo adquisicion : Entidad</v>
      </c>
      <c r="G18947" s="5"/>
    </row>
    <row r="18948" spans="1:7" ht="58.5" customHeight="1" x14ac:dyDescent="0.25">
      <c r="A18948" s="5" t="str">
        <f>"B0001000"</f>
        <v>B0001000</v>
      </c>
      <c r="B18948" s="5" t="str">
        <f t="shared" ref="B18948:B19011" si="977">"ANTIVIRUS"</f>
        <v>ANTIVIRUS</v>
      </c>
      <c r="C18948" s="6">
        <v>63309.81</v>
      </c>
      <c r="D18948" s="5" t="s">
        <v>63</v>
      </c>
      <c r="E18948" s="5" t="str">
        <f t="shared" si="976"/>
        <v>SISTEMAS-GLOBALTRONIK SAS-SERGIO PATIÑO</v>
      </c>
      <c r="F18948" s="5" t="str">
        <f>"Descripcion:ANTIVIRUS ESET ENDPOINT SECURITY RENOVACIÓN (NOD32) Estado: Bueno Placa anterior: 000038597 Material:  Color:  Referencia:  Observacion:     Placa padre:  Tipo adquisicion : Entidad"</f>
        <v>Descripcion:ANTIVIRUS ESET ENDPOINT SECURITY RENOVACIÓN (NOD32) Estado: Bueno Placa anterior: 000038597 Material:  Color:  Referencia:  Observacion:     Placa padre:  Tipo adquisicion : Entidad</v>
      </c>
      <c r="G18948" s="5"/>
    </row>
    <row r="18949" spans="1:7" ht="58.5" customHeight="1" x14ac:dyDescent="0.25">
      <c r="A18949" s="5" t="str">
        <f>"B0001001"</f>
        <v>B0001001</v>
      </c>
      <c r="B18949" s="5" t="str">
        <f t="shared" si="977"/>
        <v>ANTIVIRUS</v>
      </c>
      <c r="C18949" s="6">
        <v>129970</v>
      </c>
      <c r="D18949" s="5" t="s">
        <v>63</v>
      </c>
      <c r="E18949" s="5" t="str">
        <f t="shared" si="976"/>
        <v>SISTEMAS-GLOBALTRONIK SAS-SERGIO PATIÑO</v>
      </c>
      <c r="F18949" s="5" t="str">
        <f>"Descripcion:ANTIVIRUS ESET ENDPOINT SECURITY (NOD32) Estado: Bueno Placa anterior: 000038032 Material:  Color:  Referencia:  Observacion:     Placa padre:  Tipo adquisicion : Entidad"</f>
        <v>Descripcion:ANTIVIRUS ESET ENDPOINT SECURITY (NOD32) Estado: Bueno Placa anterior: 000038032 Material:  Color:  Referencia:  Observacion:     Placa padre:  Tipo adquisicion : Entidad</v>
      </c>
      <c r="G18949" s="5"/>
    </row>
    <row r="18950" spans="1:7" ht="58.5" customHeight="1" x14ac:dyDescent="0.25">
      <c r="A18950" s="5" t="str">
        <f>"B0001002"</f>
        <v>B0001002</v>
      </c>
      <c r="B18950" s="5" t="str">
        <f t="shared" si="977"/>
        <v>ANTIVIRUS</v>
      </c>
      <c r="C18950" s="6">
        <v>63309.81</v>
      </c>
      <c r="D18950" s="5" t="s">
        <v>63</v>
      </c>
      <c r="E18950" s="5" t="str">
        <f t="shared" si="976"/>
        <v>SISTEMAS-GLOBALTRONIK SAS-SERGIO PATIÑO</v>
      </c>
      <c r="F18950" s="5" t="str">
        <f>"Descripcion:ANTIVIRUS ESET ENDPOINT SECURITY RENOVACIÓN (NOD32) Estado: Bueno Placa anterior: 000038661 Material:  Color:  Referencia:  Observacion:     Placa padre:  Tipo adquisicion : Entidad"</f>
        <v>Descripcion:ANTIVIRUS ESET ENDPOINT SECURITY RENOVACIÓN (NOD32) Estado: Bueno Placa anterior: 000038661 Material:  Color:  Referencia:  Observacion:     Placa padre:  Tipo adquisicion : Entidad</v>
      </c>
      <c r="G18950" s="5"/>
    </row>
    <row r="18951" spans="1:7" ht="58.5" customHeight="1" x14ac:dyDescent="0.25">
      <c r="A18951" s="5" t="str">
        <f>"B0001003"</f>
        <v>B0001003</v>
      </c>
      <c r="B18951" s="5" t="str">
        <f t="shared" si="977"/>
        <v>ANTIVIRUS</v>
      </c>
      <c r="C18951" s="6">
        <v>129970</v>
      </c>
      <c r="D18951" s="5" t="s">
        <v>63</v>
      </c>
      <c r="E18951" s="5" t="str">
        <f t="shared" si="976"/>
        <v>SISTEMAS-GLOBALTRONIK SAS-SERGIO PATIÑO</v>
      </c>
      <c r="F18951" s="5" t="str">
        <f>"Descripcion:ANTIVIRUS ESET ENDPOINT SECURITY (NOD32) Estado: Bueno Placa anterior: 000038137 Material:  Color:  Referencia:  Observacion:     Placa padre:  Tipo adquisicion : Entidad"</f>
        <v>Descripcion:ANTIVIRUS ESET ENDPOINT SECURITY (NOD32) Estado: Bueno Placa anterior: 000038137 Material:  Color:  Referencia:  Observacion:     Placa padre:  Tipo adquisicion : Entidad</v>
      </c>
      <c r="G18951" s="5"/>
    </row>
    <row r="18952" spans="1:7" ht="58.5" customHeight="1" x14ac:dyDescent="0.25">
      <c r="A18952" s="5" t="str">
        <f>"B0001004"</f>
        <v>B0001004</v>
      </c>
      <c r="B18952" s="5" t="str">
        <f t="shared" si="977"/>
        <v>ANTIVIRUS</v>
      </c>
      <c r="C18952" s="6">
        <v>63309.81</v>
      </c>
      <c r="D18952" s="5" t="s">
        <v>63</v>
      </c>
      <c r="E18952" s="5" t="str">
        <f t="shared" si="976"/>
        <v>SISTEMAS-GLOBALTRONIK SAS-SERGIO PATIÑO</v>
      </c>
      <c r="F18952" s="5" t="str">
        <f>"Descripcion:ANTIVIRUS ESET ENDPOINT SECURITY RENOVACIÓN (NOD32) Estado: Bueno Placa anterior: 000038546 Material:  Color:  Referencia:  Observacion:     Placa padre:  Tipo adquisicion : Entidad"</f>
        <v>Descripcion:ANTIVIRUS ESET ENDPOINT SECURITY RENOVACIÓN (NOD32) Estado: Bueno Placa anterior: 000038546 Material:  Color:  Referencia:  Observacion:     Placa padre:  Tipo adquisicion : Entidad</v>
      </c>
      <c r="G18952" s="5"/>
    </row>
    <row r="18953" spans="1:7" ht="58.5" customHeight="1" x14ac:dyDescent="0.25">
      <c r="A18953" s="5" t="str">
        <f>"B0001005"</f>
        <v>B0001005</v>
      </c>
      <c r="B18953" s="5" t="str">
        <f t="shared" si="977"/>
        <v>ANTIVIRUS</v>
      </c>
      <c r="C18953" s="6">
        <v>63309.81</v>
      </c>
      <c r="D18953" s="5" t="s">
        <v>63</v>
      </c>
      <c r="E18953" s="5" t="str">
        <f t="shared" si="976"/>
        <v>SISTEMAS-GLOBALTRONIK SAS-SERGIO PATIÑO</v>
      </c>
      <c r="F18953" s="5" t="str">
        <f>"Descripcion:ANTIVIRUS ESET ENDPOINT SECURITY RENOVACIÓN (NOD32) Estado: Bueno Placa anterior: 000038400 Material:  Color:  Referencia:  Observacion:     Placa padre:  Tipo adquisicion : Entidad"</f>
        <v>Descripcion:ANTIVIRUS ESET ENDPOINT SECURITY RENOVACIÓN (NOD32) Estado: Bueno Placa anterior: 000038400 Material:  Color:  Referencia:  Observacion:     Placa padre:  Tipo adquisicion : Entidad</v>
      </c>
      <c r="G18953" s="5"/>
    </row>
    <row r="18954" spans="1:7" ht="58.5" customHeight="1" x14ac:dyDescent="0.25">
      <c r="A18954" s="5" t="str">
        <f>"B0001006"</f>
        <v>B0001006</v>
      </c>
      <c r="B18954" s="5" t="str">
        <f t="shared" si="977"/>
        <v>ANTIVIRUS</v>
      </c>
      <c r="C18954" s="6">
        <v>63309.81</v>
      </c>
      <c r="D18954" s="5" t="s">
        <v>63</v>
      </c>
      <c r="E18954" s="5" t="str">
        <f t="shared" si="976"/>
        <v>SISTEMAS-GLOBALTRONIK SAS-SERGIO PATIÑO</v>
      </c>
      <c r="F18954" s="5" t="str">
        <f>"Descripcion:ANTIVIRUS ESET ENDPOINT SECURITY RENOVACIÓN (NOD32) Estado: Bueno Placa anterior: 000038403 Material:  Color:  Referencia:  Observacion:     Placa padre:  Tipo adquisicion : Entidad"</f>
        <v>Descripcion:ANTIVIRUS ESET ENDPOINT SECURITY RENOVACIÓN (NOD32) Estado: Bueno Placa anterior: 000038403 Material:  Color:  Referencia:  Observacion:     Placa padre:  Tipo adquisicion : Entidad</v>
      </c>
      <c r="G18954" s="5"/>
    </row>
    <row r="18955" spans="1:7" ht="58.5" customHeight="1" x14ac:dyDescent="0.25">
      <c r="A18955" s="5" t="str">
        <f>"B0001007"</f>
        <v>B0001007</v>
      </c>
      <c r="B18955" s="5" t="str">
        <f t="shared" si="977"/>
        <v>ANTIVIRUS</v>
      </c>
      <c r="C18955" s="6">
        <v>63309.81</v>
      </c>
      <c r="D18955" s="5" t="s">
        <v>63</v>
      </c>
      <c r="E18955" s="5" t="str">
        <f t="shared" si="976"/>
        <v>SISTEMAS-GLOBALTRONIK SAS-SERGIO PATIÑO</v>
      </c>
      <c r="F18955" s="5" t="str">
        <f>"Descripcion:ANTIVIRUS ESET ENDPOINT SECURITY RENOVACIÓN (NOD32) Estado: Bueno Placa anterior: 000038425 Material:  Color:  Referencia:  Observacion:     Placa padre:  Tipo adquisicion : Entidad"</f>
        <v>Descripcion:ANTIVIRUS ESET ENDPOINT SECURITY RENOVACIÓN (NOD32) Estado: Bueno Placa anterior: 000038425 Material:  Color:  Referencia:  Observacion:     Placa padre:  Tipo adquisicion : Entidad</v>
      </c>
      <c r="G18955" s="5"/>
    </row>
    <row r="18956" spans="1:7" ht="58.5" customHeight="1" x14ac:dyDescent="0.25">
      <c r="A18956" s="5" t="str">
        <f>"B0001008"</f>
        <v>B0001008</v>
      </c>
      <c r="B18956" s="5" t="str">
        <f t="shared" si="977"/>
        <v>ANTIVIRUS</v>
      </c>
      <c r="C18956" s="6">
        <v>63309.81</v>
      </c>
      <c r="D18956" s="5" t="s">
        <v>63</v>
      </c>
      <c r="E18956" s="5" t="str">
        <f t="shared" si="976"/>
        <v>SISTEMAS-GLOBALTRONIK SAS-SERGIO PATIÑO</v>
      </c>
      <c r="F18956" s="5" t="str">
        <f>"Descripcion:ANTIVIRUS ESET ENDPOINT SECURITY RENOVACIÓN (NOD32) Estado: Bueno Placa anterior: 000038783 Material:  Color:  Referencia:  Observacion:     Placa padre:  Tipo adquisicion : Entidad"</f>
        <v>Descripcion:ANTIVIRUS ESET ENDPOINT SECURITY RENOVACIÓN (NOD32) Estado: Bueno Placa anterior: 000038783 Material:  Color:  Referencia:  Observacion:     Placa padre:  Tipo adquisicion : Entidad</v>
      </c>
      <c r="G18956" s="5"/>
    </row>
    <row r="18957" spans="1:7" ht="58.5" customHeight="1" x14ac:dyDescent="0.25">
      <c r="A18957" s="5" t="str">
        <f>"B0001009"</f>
        <v>B0001009</v>
      </c>
      <c r="B18957" s="5" t="str">
        <f t="shared" si="977"/>
        <v>ANTIVIRUS</v>
      </c>
      <c r="C18957" s="6">
        <v>129970</v>
      </c>
      <c r="D18957" s="5" t="s">
        <v>63</v>
      </c>
      <c r="E18957" s="5" t="str">
        <f t="shared" si="976"/>
        <v>SISTEMAS-GLOBALTRONIK SAS-SERGIO PATIÑO</v>
      </c>
      <c r="F18957" s="5" t="str">
        <f>"Descripcion:ANTIVIRUS ESET ENDPOINT SECURITY (NOD32) Estado: Bueno Placa anterior: 000038058 Material:  Color:  Referencia:  Observacion:     Placa padre:  Tipo adquisicion : Entidad"</f>
        <v>Descripcion:ANTIVIRUS ESET ENDPOINT SECURITY (NOD32) Estado: Bueno Placa anterior: 000038058 Material:  Color:  Referencia:  Observacion:     Placa padre:  Tipo adquisicion : Entidad</v>
      </c>
      <c r="G18957" s="5"/>
    </row>
    <row r="18958" spans="1:7" ht="58.5" customHeight="1" x14ac:dyDescent="0.25">
      <c r="A18958" s="5" t="str">
        <f>"B0001010"</f>
        <v>B0001010</v>
      </c>
      <c r="B18958" s="5" t="str">
        <f t="shared" si="977"/>
        <v>ANTIVIRUS</v>
      </c>
      <c r="C18958" s="6">
        <v>129970</v>
      </c>
      <c r="D18958" s="5" t="s">
        <v>63</v>
      </c>
      <c r="E18958" s="5" t="str">
        <f t="shared" si="976"/>
        <v>SISTEMAS-GLOBALTRONIK SAS-SERGIO PATIÑO</v>
      </c>
      <c r="F18958" s="5" t="str">
        <f>"Descripcion:ANTIVIRUS ESET ENDPOINT SECURITY (NOD32) Estado: Bueno Placa anterior: 000038047 Material:  Color:  Referencia:  Observacion:     Placa padre:  Tipo adquisicion : Entidad"</f>
        <v>Descripcion:ANTIVIRUS ESET ENDPOINT SECURITY (NOD32) Estado: Bueno Placa anterior: 000038047 Material:  Color:  Referencia:  Observacion:     Placa padre:  Tipo adquisicion : Entidad</v>
      </c>
      <c r="G18958" s="5"/>
    </row>
    <row r="18959" spans="1:7" ht="58.5" customHeight="1" x14ac:dyDescent="0.25">
      <c r="A18959" s="5" t="str">
        <f>"B0001011"</f>
        <v>B0001011</v>
      </c>
      <c r="B18959" s="5" t="str">
        <f t="shared" si="977"/>
        <v>ANTIVIRUS</v>
      </c>
      <c r="C18959" s="6">
        <v>129970</v>
      </c>
      <c r="D18959" s="5" t="s">
        <v>63</v>
      </c>
      <c r="E18959" s="5" t="str">
        <f t="shared" si="976"/>
        <v>SISTEMAS-GLOBALTRONIK SAS-SERGIO PATIÑO</v>
      </c>
      <c r="F18959" s="5" t="str">
        <f>"Descripcion:ANTIVIRUS ESET ENDPOINT SECURITY (NOD32) Estado: Bueno Placa anterior: 000038053 Material:  Color:  Referencia:  Observacion:     Placa padre:  Tipo adquisicion : Entidad"</f>
        <v>Descripcion:ANTIVIRUS ESET ENDPOINT SECURITY (NOD32) Estado: Bueno Placa anterior: 000038053 Material:  Color:  Referencia:  Observacion:     Placa padre:  Tipo adquisicion : Entidad</v>
      </c>
      <c r="G18959" s="5"/>
    </row>
    <row r="18960" spans="1:7" ht="58.5" customHeight="1" x14ac:dyDescent="0.25">
      <c r="A18960" s="5" t="str">
        <f>"B0001012"</f>
        <v>B0001012</v>
      </c>
      <c r="B18960" s="5" t="str">
        <f t="shared" si="977"/>
        <v>ANTIVIRUS</v>
      </c>
      <c r="C18960" s="6">
        <v>63309.81</v>
      </c>
      <c r="D18960" s="5" t="s">
        <v>63</v>
      </c>
      <c r="E18960" s="5" t="str">
        <f t="shared" si="976"/>
        <v>SISTEMAS-GLOBALTRONIK SAS-SERGIO PATIÑO</v>
      </c>
      <c r="F18960" s="5" t="str">
        <f>"Descripcion:ANTIVIRUS ESET ENDPOINT SECURITY RENOVACIÓN (NOD32) Estado: Bueno Placa anterior: 000038470 Material:  Color:  Referencia:  Observacion:     Placa padre:  Tipo adquisicion : Entidad"</f>
        <v>Descripcion:ANTIVIRUS ESET ENDPOINT SECURITY RENOVACIÓN (NOD32) Estado: Bueno Placa anterior: 000038470 Material:  Color:  Referencia:  Observacion:     Placa padre:  Tipo adquisicion : Entidad</v>
      </c>
      <c r="G18960" s="5"/>
    </row>
    <row r="18961" spans="1:7" ht="58.5" customHeight="1" x14ac:dyDescent="0.25">
      <c r="A18961" s="5" t="str">
        <f>"B0001013"</f>
        <v>B0001013</v>
      </c>
      <c r="B18961" s="5" t="str">
        <f t="shared" si="977"/>
        <v>ANTIVIRUS</v>
      </c>
      <c r="C18961" s="6">
        <v>63309.81</v>
      </c>
      <c r="D18961" s="5" t="s">
        <v>63</v>
      </c>
      <c r="E18961" s="5" t="str">
        <f t="shared" si="976"/>
        <v>SISTEMAS-GLOBALTRONIK SAS-SERGIO PATIÑO</v>
      </c>
      <c r="F18961" s="5" t="str">
        <f>"Descripcion:ANTIVIRUS ESET ENDPOINT SECURITY RENOVACIÓN (NOD32) Estado: Bueno Placa anterior: 000038630 Material:  Color:  Referencia:  Observacion:     Placa padre:  Tipo adquisicion : Entidad"</f>
        <v>Descripcion:ANTIVIRUS ESET ENDPOINT SECURITY RENOVACIÓN (NOD32) Estado: Bueno Placa anterior: 000038630 Material:  Color:  Referencia:  Observacion:     Placa padre:  Tipo adquisicion : Entidad</v>
      </c>
      <c r="G18961" s="5"/>
    </row>
    <row r="18962" spans="1:7" ht="58.5" customHeight="1" x14ac:dyDescent="0.25">
      <c r="A18962" s="5" t="str">
        <f>"B0001014"</f>
        <v>B0001014</v>
      </c>
      <c r="B18962" s="5" t="str">
        <f t="shared" si="977"/>
        <v>ANTIVIRUS</v>
      </c>
      <c r="C18962" s="6">
        <v>63309.81</v>
      </c>
      <c r="D18962" s="5" t="s">
        <v>63</v>
      </c>
      <c r="E18962" s="5" t="str">
        <f t="shared" si="976"/>
        <v>SISTEMAS-GLOBALTRONIK SAS-SERGIO PATIÑO</v>
      </c>
      <c r="F18962" s="5" t="str">
        <f>"Descripcion:ANTIVIRUS ESET ENDPOINT SECURITY RENOVACIÓN (NOD32) Estado: Bueno Placa anterior: 000038544 Material:  Color:  Referencia:  Observacion:     Placa padre:  Tipo adquisicion : Entidad"</f>
        <v>Descripcion:ANTIVIRUS ESET ENDPOINT SECURITY RENOVACIÓN (NOD32) Estado: Bueno Placa anterior: 000038544 Material:  Color:  Referencia:  Observacion:     Placa padre:  Tipo adquisicion : Entidad</v>
      </c>
      <c r="G18962" s="5"/>
    </row>
    <row r="18963" spans="1:7" ht="58.5" customHeight="1" x14ac:dyDescent="0.25">
      <c r="A18963" s="5" t="str">
        <f>"B0001015"</f>
        <v>B0001015</v>
      </c>
      <c r="B18963" s="5" t="str">
        <f t="shared" si="977"/>
        <v>ANTIVIRUS</v>
      </c>
      <c r="C18963" s="6">
        <v>63309.81</v>
      </c>
      <c r="D18963" s="5" t="s">
        <v>63</v>
      </c>
      <c r="E18963" s="5" t="str">
        <f t="shared" si="976"/>
        <v>SISTEMAS-GLOBALTRONIK SAS-SERGIO PATIÑO</v>
      </c>
      <c r="F18963" s="5" t="str">
        <f>"Descripcion:ANTIVIRUS ESET ENDPOINT SECURITY RENOVACIÓN (NOD32) Estado: Bueno Placa anterior: 000038395 Material:  Color:  Referencia:  Observacion:     Placa padre:  Tipo adquisicion : Entidad"</f>
        <v>Descripcion:ANTIVIRUS ESET ENDPOINT SECURITY RENOVACIÓN (NOD32) Estado: Bueno Placa anterior: 000038395 Material:  Color:  Referencia:  Observacion:     Placa padre:  Tipo adquisicion : Entidad</v>
      </c>
      <c r="G18963" s="5"/>
    </row>
    <row r="18964" spans="1:7" ht="58.5" customHeight="1" x14ac:dyDescent="0.25">
      <c r="A18964" s="5" t="str">
        <f>"B0001016"</f>
        <v>B0001016</v>
      </c>
      <c r="B18964" s="5" t="str">
        <f t="shared" si="977"/>
        <v>ANTIVIRUS</v>
      </c>
      <c r="C18964" s="6">
        <v>63309.81</v>
      </c>
      <c r="D18964" s="5" t="s">
        <v>63</v>
      </c>
      <c r="E18964" s="5" t="str">
        <f t="shared" si="976"/>
        <v>SISTEMAS-GLOBALTRONIK SAS-SERGIO PATIÑO</v>
      </c>
      <c r="F18964" s="5" t="str">
        <f>"Descripcion:ANTIVIRUS ESET ENDPOINT SECURITY RENOVACIÓN (NOD32) Estado: Bueno Placa anterior: 000038449 Material:  Color:  Referencia:  Observacion:     Placa padre:  Tipo adquisicion : Entidad"</f>
        <v>Descripcion:ANTIVIRUS ESET ENDPOINT SECURITY RENOVACIÓN (NOD32) Estado: Bueno Placa anterior: 000038449 Material:  Color:  Referencia:  Observacion:     Placa padre:  Tipo adquisicion : Entidad</v>
      </c>
      <c r="G18964" s="5"/>
    </row>
    <row r="18965" spans="1:7" ht="58.5" customHeight="1" x14ac:dyDescent="0.25">
      <c r="A18965" s="5" t="str">
        <f>"B0001017"</f>
        <v>B0001017</v>
      </c>
      <c r="B18965" s="5" t="str">
        <f t="shared" si="977"/>
        <v>ANTIVIRUS</v>
      </c>
      <c r="C18965" s="6">
        <v>63309.81</v>
      </c>
      <c r="D18965" s="5" t="s">
        <v>63</v>
      </c>
      <c r="E18965" s="5" t="str">
        <f t="shared" si="976"/>
        <v>SISTEMAS-GLOBALTRONIK SAS-SERGIO PATIÑO</v>
      </c>
      <c r="F18965" s="5" t="str">
        <f>"Descripcion:ANTIVIRUS ESET ENDPOINT SECURITY RENOVACIÓN (NOD32) Estado: Bueno Placa anterior: 000038587 Material:  Color:  Referencia:  Observacion:     Placa padre:  Tipo adquisicion : Entidad"</f>
        <v>Descripcion:ANTIVIRUS ESET ENDPOINT SECURITY RENOVACIÓN (NOD32) Estado: Bueno Placa anterior: 000038587 Material:  Color:  Referencia:  Observacion:     Placa padre:  Tipo adquisicion : Entidad</v>
      </c>
      <c r="G18965" s="5"/>
    </row>
    <row r="18966" spans="1:7" ht="58.5" customHeight="1" x14ac:dyDescent="0.25">
      <c r="A18966" s="5" t="str">
        <f>"B0001018"</f>
        <v>B0001018</v>
      </c>
      <c r="B18966" s="5" t="str">
        <f t="shared" si="977"/>
        <v>ANTIVIRUS</v>
      </c>
      <c r="C18966" s="6">
        <v>129970</v>
      </c>
      <c r="D18966" s="5" t="s">
        <v>63</v>
      </c>
      <c r="E18966" s="5" t="str">
        <f t="shared" si="976"/>
        <v>SISTEMAS-GLOBALTRONIK SAS-SERGIO PATIÑO</v>
      </c>
      <c r="F18966" s="5" t="str">
        <f>"Descripcion:ANTIVIRUS ESET ENDPOINT SECURITY (NOD32) Estado: Bueno Placa anterior: 000038073 Material:  Color:  Referencia:  Observacion:     Placa padre:  Tipo adquisicion : Entidad"</f>
        <v>Descripcion:ANTIVIRUS ESET ENDPOINT SECURITY (NOD32) Estado: Bueno Placa anterior: 000038073 Material:  Color:  Referencia:  Observacion:     Placa padre:  Tipo adquisicion : Entidad</v>
      </c>
      <c r="G18966" s="5"/>
    </row>
    <row r="18967" spans="1:7" ht="58.5" customHeight="1" x14ac:dyDescent="0.25">
      <c r="A18967" s="5" t="str">
        <f>"B0001019"</f>
        <v>B0001019</v>
      </c>
      <c r="B18967" s="5" t="str">
        <f t="shared" si="977"/>
        <v>ANTIVIRUS</v>
      </c>
      <c r="C18967" s="6">
        <v>63309.81</v>
      </c>
      <c r="D18967" s="5" t="s">
        <v>63</v>
      </c>
      <c r="E18967" s="5" t="str">
        <f t="shared" si="976"/>
        <v>SISTEMAS-GLOBALTRONIK SAS-SERGIO PATIÑO</v>
      </c>
      <c r="F18967" s="5" t="str">
        <f>"Descripcion:ANTIVIRUS ESET ENDPOINT SECURITY RENOVACIÓN (NOD32) Estado: Bueno Placa anterior: 000038731 Material:  Color:  Referencia:  Observacion:     Placa padre:  Tipo adquisicion : Entidad"</f>
        <v>Descripcion:ANTIVIRUS ESET ENDPOINT SECURITY RENOVACIÓN (NOD32) Estado: Bueno Placa anterior: 000038731 Material:  Color:  Referencia:  Observacion:     Placa padre:  Tipo adquisicion : Entidad</v>
      </c>
      <c r="G18967" s="5"/>
    </row>
    <row r="18968" spans="1:7" ht="58.5" customHeight="1" x14ac:dyDescent="0.25">
      <c r="A18968" s="5" t="str">
        <f>"B0001020"</f>
        <v>B0001020</v>
      </c>
      <c r="B18968" s="5" t="str">
        <f t="shared" si="977"/>
        <v>ANTIVIRUS</v>
      </c>
      <c r="C18968" s="6">
        <v>63309.81</v>
      </c>
      <c r="D18968" s="5" t="s">
        <v>63</v>
      </c>
      <c r="E18968" s="5" t="str">
        <f t="shared" si="976"/>
        <v>SISTEMAS-GLOBALTRONIK SAS-SERGIO PATIÑO</v>
      </c>
      <c r="F18968" s="5" t="str">
        <f>"Descripcion:ANTIVIRUS ESET ENDPOINT SECURITY RENOVACIÓN (NOD32) Estado: Bueno Placa anterior: 000038607 Material:  Color:  Referencia:  Observacion:     Placa padre:  Tipo adquisicion : Entidad"</f>
        <v>Descripcion:ANTIVIRUS ESET ENDPOINT SECURITY RENOVACIÓN (NOD32) Estado: Bueno Placa anterior: 000038607 Material:  Color:  Referencia:  Observacion:     Placa padre:  Tipo adquisicion : Entidad</v>
      </c>
      <c r="G18968" s="5"/>
    </row>
    <row r="18969" spans="1:7" ht="58.5" customHeight="1" x14ac:dyDescent="0.25">
      <c r="A18969" s="5" t="str">
        <f>"B0001021"</f>
        <v>B0001021</v>
      </c>
      <c r="B18969" s="5" t="str">
        <f t="shared" si="977"/>
        <v>ANTIVIRUS</v>
      </c>
      <c r="C18969" s="6">
        <v>63309.81</v>
      </c>
      <c r="D18969" s="5" t="s">
        <v>63</v>
      </c>
      <c r="E18969" s="5" t="str">
        <f t="shared" si="976"/>
        <v>SISTEMAS-GLOBALTRONIK SAS-SERGIO PATIÑO</v>
      </c>
      <c r="F18969" s="5" t="str">
        <f>"Descripcion:ANTIVIRUS ESET ENDPOINT SECURITY RENOVACIÓN (NOD32) Estado: Bueno Placa anterior: 000038427 Material:  Color:  Referencia:  Observacion:     Placa padre:  Tipo adquisicion : Entidad"</f>
        <v>Descripcion:ANTIVIRUS ESET ENDPOINT SECURITY RENOVACIÓN (NOD32) Estado: Bueno Placa anterior: 000038427 Material:  Color:  Referencia:  Observacion:     Placa padre:  Tipo adquisicion : Entidad</v>
      </c>
      <c r="G18969" s="5"/>
    </row>
    <row r="18970" spans="1:7" ht="58.5" customHeight="1" x14ac:dyDescent="0.25">
      <c r="A18970" s="5" t="str">
        <f>"B0001022"</f>
        <v>B0001022</v>
      </c>
      <c r="B18970" s="5" t="str">
        <f t="shared" si="977"/>
        <v>ANTIVIRUS</v>
      </c>
      <c r="C18970" s="6">
        <v>129970</v>
      </c>
      <c r="D18970" s="5" t="s">
        <v>63</v>
      </c>
      <c r="E18970" s="5" t="str">
        <f t="shared" si="976"/>
        <v>SISTEMAS-GLOBALTRONIK SAS-SERGIO PATIÑO</v>
      </c>
      <c r="F18970" s="5" t="str">
        <f>"Descripcion:ANTIVIRUS ESET ENDPOINT SECURITY (NOD32) Estado: Bueno Placa anterior: 000038024 Material:  Color:  Referencia:  Observacion:     Placa padre:  Tipo adquisicion : Entidad"</f>
        <v>Descripcion:ANTIVIRUS ESET ENDPOINT SECURITY (NOD32) Estado: Bueno Placa anterior: 000038024 Material:  Color:  Referencia:  Observacion:     Placa padre:  Tipo adquisicion : Entidad</v>
      </c>
      <c r="G18970" s="5"/>
    </row>
    <row r="18971" spans="1:7" ht="58.5" customHeight="1" x14ac:dyDescent="0.25">
      <c r="A18971" s="5" t="str">
        <f>"B0001023"</f>
        <v>B0001023</v>
      </c>
      <c r="B18971" s="5" t="str">
        <f t="shared" si="977"/>
        <v>ANTIVIRUS</v>
      </c>
      <c r="C18971" s="6">
        <v>63309.81</v>
      </c>
      <c r="D18971" s="5" t="s">
        <v>63</v>
      </c>
      <c r="E18971" s="5" t="str">
        <f t="shared" si="976"/>
        <v>SISTEMAS-GLOBALTRONIK SAS-SERGIO PATIÑO</v>
      </c>
      <c r="F18971" s="5" t="str">
        <f>"Descripcion:ANTIVIRUS ESET ENDPOINT SECURITY RENOVACIÓN (NOD32) Estado: Bueno Placa anterior: 000038473 Material:  Color:  Referencia:  Observacion:     Placa padre:  Tipo adquisicion : Entidad"</f>
        <v>Descripcion:ANTIVIRUS ESET ENDPOINT SECURITY RENOVACIÓN (NOD32) Estado: Bueno Placa anterior: 000038473 Material:  Color:  Referencia:  Observacion:     Placa padre:  Tipo adquisicion : Entidad</v>
      </c>
      <c r="G18971" s="5"/>
    </row>
    <row r="18972" spans="1:7" ht="58.5" customHeight="1" x14ac:dyDescent="0.25">
      <c r="A18972" s="5" t="str">
        <f>"B0001024"</f>
        <v>B0001024</v>
      </c>
      <c r="B18972" s="5" t="str">
        <f t="shared" si="977"/>
        <v>ANTIVIRUS</v>
      </c>
      <c r="C18972" s="6">
        <v>63309.81</v>
      </c>
      <c r="D18972" s="5" t="s">
        <v>63</v>
      </c>
      <c r="E18972" s="5" t="str">
        <f t="shared" si="976"/>
        <v>SISTEMAS-GLOBALTRONIK SAS-SERGIO PATIÑO</v>
      </c>
      <c r="F18972" s="5" t="str">
        <f>"Descripcion:ANTIVIRUS ESET ENDPOINT SECURITY RENOVACIÓN (NOD32) Estado: Bueno Placa anterior: 000038651 Material:  Color:  Referencia:  Observacion:     Placa padre:  Tipo adquisicion : Entidad"</f>
        <v>Descripcion:ANTIVIRUS ESET ENDPOINT SECURITY RENOVACIÓN (NOD32) Estado: Bueno Placa anterior: 000038651 Material:  Color:  Referencia:  Observacion:     Placa padre:  Tipo adquisicion : Entidad</v>
      </c>
      <c r="G18972" s="5"/>
    </row>
    <row r="18973" spans="1:7" ht="58.5" customHeight="1" x14ac:dyDescent="0.25">
      <c r="A18973" s="5" t="str">
        <f>"B0001025"</f>
        <v>B0001025</v>
      </c>
      <c r="B18973" s="5" t="str">
        <f t="shared" si="977"/>
        <v>ANTIVIRUS</v>
      </c>
      <c r="C18973" s="6">
        <v>63309.81</v>
      </c>
      <c r="D18973" s="5" t="s">
        <v>63</v>
      </c>
      <c r="E18973" s="5" t="str">
        <f t="shared" si="976"/>
        <v>SISTEMAS-GLOBALTRONIK SAS-SERGIO PATIÑO</v>
      </c>
      <c r="F18973" s="5" t="str">
        <f>"Descripcion:ANTIVIRUS ESET ENDPOINT SECURITY RENOVACIÓN (NOD32) Estado: Bueno Placa anterior: 000038511 Material:  Color:  Referencia:  Observacion:     Placa padre:  Tipo adquisicion : Entidad"</f>
        <v>Descripcion:ANTIVIRUS ESET ENDPOINT SECURITY RENOVACIÓN (NOD32) Estado: Bueno Placa anterior: 000038511 Material:  Color:  Referencia:  Observacion:     Placa padre:  Tipo adquisicion : Entidad</v>
      </c>
      <c r="G18973" s="5"/>
    </row>
    <row r="18974" spans="1:7" ht="58.5" customHeight="1" x14ac:dyDescent="0.25">
      <c r="A18974" s="5" t="str">
        <f>"B0001026"</f>
        <v>B0001026</v>
      </c>
      <c r="B18974" s="5" t="str">
        <f t="shared" si="977"/>
        <v>ANTIVIRUS</v>
      </c>
      <c r="C18974" s="6">
        <v>63309.81</v>
      </c>
      <c r="D18974" s="5" t="s">
        <v>63</v>
      </c>
      <c r="E18974" s="5" t="str">
        <f t="shared" si="976"/>
        <v>SISTEMAS-GLOBALTRONIK SAS-SERGIO PATIÑO</v>
      </c>
      <c r="F18974" s="5" t="str">
        <f>"Descripcion:ANTIVIRUS ESET ENDPOINT SECURITY RENOVACIÓN (NOD32) Estado: Bueno Placa anterior: 000038537 Material:  Color:  Referencia:  Observacion:     Placa padre:  Tipo adquisicion : Entidad"</f>
        <v>Descripcion:ANTIVIRUS ESET ENDPOINT SECURITY RENOVACIÓN (NOD32) Estado: Bueno Placa anterior: 000038537 Material:  Color:  Referencia:  Observacion:     Placa padre:  Tipo adquisicion : Entidad</v>
      </c>
      <c r="G18974" s="5"/>
    </row>
    <row r="18975" spans="1:7" ht="58.5" customHeight="1" x14ac:dyDescent="0.25">
      <c r="A18975" s="5" t="str">
        <f>"B0001027"</f>
        <v>B0001027</v>
      </c>
      <c r="B18975" s="5" t="str">
        <f t="shared" si="977"/>
        <v>ANTIVIRUS</v>
      </c>
      <c r="C18975" s="6">
        <v>63309.81</v>
      </c>
      <c r="D18975" s="5" t="s">
        <v>63</v>
      </c>
      <c r="E18975" s="5" t="str">
        <f t="shared" si="976"/>
        <v>SISTEMAS-GLOBALTRONIK SAS-SERGIO PATIÑO</v>
      </c>
      <c r="F18975" s="5" t="str">
        <f>"Descripcion:ANTIVIRUS ESET ENDPOINT SECURITY RENOVACIÓN (NOD32) Estado: Bueno Placa anterior: 000038309 Material:  Color:  Referencia:  Observacion:     Placa padre:  Tipo adquisicion : Entidad"</f>
        <v>Descripcion:ANTIVIRUS ESET ENDPOINT SECURITY RENOVACIÓN (NOD32) Estado: Bueno Placa anterior: 000038309 Material:  Color:  Referencia:  Observacion:     Placa padre:  Tipo adquisicion : Entidad</v>
      </c>
      <c r="G18975" s="5"/>
    </row>
    <row r="18976" spans="1:7" ht="58.5" customHeight="1" x14ac:dyDescent="0.25">
      <c r="A18976" s="5" t="str">
        <f>"B0001028"</f>
        <v>B0001028</v>
      </c>
      <c r="B18976" s="5" t="str">
        <f t="shared" si="977"/>
        <v>ANTIVIRUS</v>
      </c>
      <c r="C18976" s="6">
        <v>63309.81</v>
      </c>
      <c r="D18976" s="5" t="s">
        <v>63</v>
      </c>
      <c r="E18976" s="5" t="str">
        <f t="shared" si="976"/>
        <v>SISTEMAS-GLOBALTRONIK SAS-SERGIO PATIÑO</v>
      </c>
      <c r="F18976" s="5" t="str">
        <f>"Descripcion:ANTIVIRUS ESET ENDPOINT SECURITY RENOVACIÓN (NOD32) Estado: Bueno Placa anterior: 000038660 Material:  Color:  Referencia:  Observacion:     Placa padre:  Tipo adquisicion : Entidad"</f>
        <v>Descripcion:ANTIVIRUS ESET ENDPOINT SECURITY RENOVACIÓN (NOD32) Estado: Bueno Placa anterior: 000038660 Material:  Color:  Referencia:  Observacion:     Placa padre:  Tipo adquisicion : Entidad</v>
      </c>
      <c r="G18976" s="5"/>
    </row>
    <row r="18977" spans="1:7" ht="58.5" customHeight="1" x14ac:dyDescent="0.25">
      <c r="A18977" s="5" t="str">
        <f>"B0001029"</f>
        <v>B0001029</v>
      </c>
      <c r="B18977" s="5" t="str">
        <f t="shared" si="977"/>
        <v>ANTIVIRUS</v>
      </c>
      <c r="C18977" s="6">
        <v>63309.81</v>
      </c>
      <c r="D18977" s="5" t="s">
        <v>63</v>
      </c>
      <c r="E18977" s="5" t="str">
        <f t="shared" si="976"/>
        <v>SISTEMAS-GLOBALTRONIK SAS-SERGIO PATIÑO</v>
      </c>
      <c r="F18977" s="5" t="str">
        <f>"Descripcion:ANTIVIRUS ESET ENDPOINT SECURITY RENOVACIÓN (NOD32) Estado: Bueno Placa anterior: 000038659 Material:  Color:  Referencia:  Observacion:     Placa padre:  Tipo adquisicion : Entidad"</f>
        <v>Descripcion:ANTIVIRUS ESET ENDPOINT SECURITY RENOVACIÓN (NOD32) Estado: Bueno Placa anterior: 000038659 Material:  Color:  Referencia:  Observacion:     Placa padre:  Tipo adquisicion : Entidad</v>
      </c>
      <c r="G18977" s="5"/>
    </row>
    <row r="18978" spans="1:7" ht="58.5" customHeight="1" x14ac:dyDescent="0.25">
      <c r="A18978" s="5" t="str">
        <f>"B0001030"</f>
        <v>B0001030</v>
      </c>
      <c r="B18978" s="5" t="str">
        <f t="shared" si="977"/>
        <v>ANTIVIRUS</v>
      </c>
      <c r="C18978" s="6">
        <v>129970</v>
      </c>
      <c r="D18978" s="5" t="s">
        <v>63</v>
      </c>
      <c r="E18978" s="5" t="str">
        <f t="shared" si="976"/>
        <v>SISTEMAS-GLOBALTRONIK SAS-SERGIO PATIÑO</v>
      </c>
      <c r="F18978" s="5" t="str">
        <f>"Descripcion:ANTIVIRUS ESET ENDPOINT SECURITY (NOD32) Estado: Bueno Placa anterior: 000038022 Material:  Color:  Referencia:  Observacion:     Placa padre:  Tipo adquisicion : Entidad"</f>
        <v>Descripcion:ANTIVIRUS ESET ENDPOINT SECURITY (NOD32) Estado: Bueno Placa anterior: 000038022 Material:  Color:  Referencia:  Observacion:     Placa padre:  Tipo adquisicion : Entidad</v>
      </c>
      <c r="G18978" s="5"/>
    </row>
    <row r="18979" spans="1:7" ht="58.5" customHeight="1" x14ac:dyDescent="0.25">
      <c r="A18979" s="5" t="str">
        <f>"B0001031"</f>
        <v>B0001031</v>
      </c>
      <c r="B18979" s="5" t="str">
        <f t="shared" si="977"/>
        <v>ANTIVIRUS</v>
      </c>
      <c r="C18979" s="6">
        <v>129970</v>
      </c>
      <c r="D18979" s="5" t="s">
        <v>63</v>
      </c>
      <c r="E18979" s="5" t="str">
        <f t="shared" si="976"/>
        <v>SISTEMAS-GLOBALTRONIK SAS-SERGIO PATIÑO</v>
      </c>
      <c r="F18979" s="5" t="str">
        <f>"Descripcion:ANTIVIRUS ESET ENDPOINT SECURITY (NOD32) Estado: Bueno Placa anterior: 000038026 Material:  Color:  Referencia:  Observacion:     Placa padre:  Tipo adquisicion : Entidad"</f>
        <v>Descripcion:ANTIVIRUS ESET ENDPOINT SECURITY (NOD32) Estado: Bueno Placa anterior: 000038026 Material:  Color:  Referencia:  Observacion:     Placa padre:  Tipo adquisicion : Entidad</v>
      </c>
      <c r="G18979" s="5"/>
    </row>
    <row r="18980" spans="1:7" ht="58.5" customHeight="1" x14ac:dyDescent="0.25">
      <c r="A18980" s="5" t="str">
        <f>"B0001032"</f>
        <v>B0001032</v>
      </c>
      <c r="B18980" s="5" t="str">
        <f t="shared" si="977"/>
        <v>ANTIVIRUS</v>
      </c>
      <c r="C18980" s="6">
        <v>63309.81</v>
      </c>
      <c r="D18980" s="5" t="s">
        <v>63</v>
      </c>
      <c r="E18980" s="5" t="str">
        <f t="shared" si="976"/>
        <v>SISTEMAS-GLOBALTRONIK SAS-SERGIO PATIÑO</v>
      </c>
      <c r="F18980" s="5" t="str">
        <f>"Descripcion:ANTIVIRUS ESET ENDPOINT SECURITY RENOVACIÓN (NOD32) Estado: Bueno Placa anterior: 000038333 Material:  Color:  Referencia:  Observacion:     Placa padre:  Tipo adquisicion : Entidad"</f>
        <v>Descripcion:ANTIVIRUS ESET ENDPOINT SECURITY RENOVACIÓN (NOD32) Estado: Bueno Placa anterior: 000038333 Material:  Color:  Referencia:  Observacion:     Placa padre:  Tipo adquisicion : Entidad</v>
      </c>
      <c r="G18980" s="5"/>
    </row>
    <row r="18981" spans="1:7" ht="58.5" customHeight="1" x14ac:dyDescent="0.25">
      <c r="A18981" s="5" t="str">
        <f>"B0001033"</f>
        <v>B0001033</v>
      </c>
      <c r="B18981" s="5" t="str">
        <f t="shared" si="977"/>
        <v>ANTIVIRUS</v>
      </c>
      <c r="C18981" s="6">
        <v>129970</v>
      </c>
      <c r="D18981" s="5" t="s">
        <v>63</v>
      </c>
      <c r="E18981" s="5" t="str">
        <f t="shared" si="976"/>
        <v>SISTEMAS-GLOBALTRONIK SAS-SERGIO PATIÑO</v>
      </c>
      <c r="F18981" s="5" t="str">
        <f>"Descripcion:ANTIVIRUS ESET ENDPOINT SECURITY (NOD32) Estado: Bueno Placa anterior: 000038061 Material:  Color:  Referencia:  Observacion:     Placa padre:  Tipo adquisicion : Entidad"</f>
        <v>Descripcion:ANTIVIRUS ESET ENDPOINT SECURITY (NOD32) Estado: Bueno Placa anterior: 000038061 Material:  Color:  Referencia:  Observacion:     Placa padre:  Tipo adquisicion : Entidad</v>
      </c>
      <c r="G18981" s="5"/>
    </row>
    <row r="18982" spans="1:7" ht="58.5" customHeight="1" x14ac:dyDescent="0.25">
      <c r="A18982" s="5" t="str">
        <f>"B0001034"</f>
        <v>B0001034</v>
      </c>
      <c r="B18982" s="5" t="str">
        <f t="shared" si="977"/>
        <v>ANTIVIRUS</v>
      </c>
      <c r="C18982" s="6">
        <v>63309.81</v>
      </c>
      <c r="D18982" s="5" t="s">
        <v>63</v>
      </c>
      <c r="E18982" s="5" t="str">
        <f t="shared" si="976"/>
        <v>SISTEMAS-GLOBALTRONIK SAS-SERGIO PATIÑO</v>
      </c>
      <c r="F18982" s="5" t="str">
        <f>"Descripcion:ANTIVIRUS ESET ENDPOINT SECURITY RENOVACIÓN (NOD32) Estado: Bueno Placa anterior: 000038483 Material:  Color:  Referencia:  Observacion:     Placa padre:  Tipo adquisicion : Entidad"</f>
        <v>Descripcion:ANTIVIRUS ESET ENDPOINT SECURITY RENOVACIÓN (NOD32) Estado: Bueno Placa anterior: 000038483 Material:  Color:  Referencia:  Observacion:     Placa padre:  Tipo adquisicion : Entidad</v>
      </c>
      <c r="G18982" s="5"/>
    </row>
    <row r="18983" spans="1:7" ht="58.5" customHeight="1" x14ac:dyDescent="0.25">
      <c r="A18983" s="5" t="str">
        <f>"B0001035"</f>
        <v>B0001035</v>
      </c>
      <c r="B18983" s="5" t="str">
        <f t="shared" si="977"/>
        <v>ANTIVIRUS</v>
      </c>
      <c r="C18983" s="6">
        <v>63309.81</v>
      </c>
      <c r="D18983" s="5" t="s">
        <v>63</v>
      </c>
      <c r="E18983" s="5" t="str">
        <f t="shared" si="976"/>
        <v>SISTEMAS-GLOBALTRONIK SAS-SERGIO PATIÑO</v>
      </c>
      <c r="F18983" s="5" t="str">
        <f>"Descripcion:ANTIVIRUS ESET ENDPOINT SECURITY RENOVACIÓN (NOD32) Estado: Bueno Placa anterior: 000038348 Material:  Color:  Referencia:  Observacion:     Placa padre:  Tipo adquisicion : Entidad"</f>
        <v>Descripcion:ANTIVIRUS ESET ENDPOINT SECURITY RENOVACIÓN (NOD32) Estado: Bueno Placa anterior: 000038348 Material:  Color:  Referencia:  Observacion:     Placa padre:  Tipo adquisicion : Entidad</v>
      </c>
      <c r="G18983" s="5"/>
    </row>
    <row r="18984" spans="1:7" ht="58.5" customHeight="1" x14ac:dyDescent="0.25">
      <c r="A18984" s="5" t="str">
        <f>"B0001036"</f>
        <v>B0001036</v>
      </c>
      <c r="B18984" s="5" t="str">
        <f t="shared" si="977"/>
        <v>ANTIVIRUS</v>
      </c>
      <c r="C18984" s="6">
        <v>63309.81</v>
      </c>
      <c r="D18984" s="5" t="s">
        <v>63</v>
      </c>
      <c r="E18984" s="5" t="str">
        <f t="shared" si="976"/>
        <v>SISTEMAS-GLOBALTRONIK SAS-SERGIO PATIÑO</v>
      </c>
      <c r="F18984" s="5" t="str">
        <f>"Descripcion:ANTIVIRUS ESET ENDPOINT SECURITY RENOVACIÓN (NOD32) Estado: Bueno Placa anterior: 000038447 Material:  Color:  Referencia:  Observacion:     Placa padre:  Tipo adquisicion : Entidad"</f>
        <v>Descripcion:ANTIVIRUS ESET ENDPOINT SECURITY RENOVACIÓN (NOD32) Estado: Bueno Placa anterior: 000038447 Material:  Color:  Referencia:  Observacion:     Placa padre:  Tipo adquisicion : Entidad</v>
      </c>
      <c r="G18984" s="5"/>
    </row>
    <row r="18985" spans="1:7" ht="58.5" customHeight="1" x14ac:dyDescent="0.25">
      <c r="A18985" s="5" t="str">
        <f>"B0001037"</f>
        <v>B0001037</v>
      </c>
      <c r="B18985" s="5" t="str">
        <f t="shared" si="977"/>
        <v>ANTIVIRUS</v>
      </c>
      <c r="C18985" s="6">
        <v>63309.81</v>
      </c>
      <c r="D18985" s="5" t="s">
        <v>63</v>
      </c>
      <c r="E18985" s="5" t="str">
        <f t="shared" si="976"/>
        <v>SISTEMAS-GLOBALTRONIK SAS-SERGIO PATIÑO</v>
      </c>
      <c r="F18985" s="5" t="str">
        <f>"Descripcion:ANTIVIRUS ESET ENDPOINT SECURITY RENOVACIÓN (NOD32) Estado: Bueno Placa anterior: 000038377 Material:  Color:  Referencia:  Observacion:     Placa padre:  Tipo adquisicion : Entidad"</f>
        <v>Descripcion:ANTIVIRUS ESET ENDPOINT SECURITY RENOVACIÓN (NOD32) Estado: Bueno Placa anterior: 000038377 Material:  Color:  Referencia:  Observacion:     Placa padre:  Tipo adquisicion : Entidad</v>
      </c>
      <c r="G18985" s="5"/>
    </row>
    <row r="18986" spans="1:7" ht="58.5" customHeight="1" x14ac:dyDescent="0.25">
      <c r="A18986" s="5" t="str">
        <f>"B0001038"</f>
        <v>B0001038</v>
      </c>
      <c r="B18986" s="5" t="str">
        <f t="shared" si="977"/>
        <v>ANTIVIRUS</v>
      </c>
      <c r="C18986" s="6">
        <v>63309.81</v>
      </c>
      <c r="D18986" s="5" t="s">
        <v>63</v>
      </c>
      <c r="E18986" s="5" t="str">
        <f t="shared" si="976"/>
        <v>SISTEMAS-GLOBALTRONIK SAS-SERGIO PATIÑO</v>
      </c>
      <c r="F18986" s="5" t="str">
        <f>"Descripcion:ANTIVIRUS ESET ENDPOINT SECURITY RENOVACIÓN (NOD32) Estado: Bueno Placa anterior: 000038437 Material:  Color:  Referencia:  Observacion:     Placa padre:  Tipo adquisicion : Entidad"</f>
        <v>Descripcion:ANTIVIRUS ESET ENDPOINT SECURITY RENOVACIÓN (NOD32) Estado: Bueno Placa anterior: 000038437 Material:  Color:  Referencia:  Observacion:     Placa padre:  Tipo adquisicion : Entidad</v>
      </c>
      <c r="G18986" s="5"/>
    </row>
    <row r="18987" spans="1:7" ht="58.5" customHeight="1" x14ac:dyDescent="0.25">
      <c r="A18987" s="5" t="str">
        <f>"B0001039"</f>
        <v>B0001039</v>
      </c>
      <c r="B18987" s="5" t="str">
        <f t="shared" si="977"/>
        <v>ANTIVIRUS</v>
      </c>
      <c r="C18987" s="6">
        <v>63309.81</v>
      </c>
      <c r="D18987" s="5" t="s">
        <v>63</v>
      </c>
      <c r="E18987" s="5" t="str">
        <f t="shared" si="976"/>
        <v>SISTEMAS-GLOBALTRONIK SAS-SERGIO PATIÑO</v>
      </c>
      <c r="F18987" s="5" t="str">
        <f>"Descripcion:ANTIVIRUS ESET ENDPOINT SECURITY RENOVACIÓN (NOD32) Estado: Bueno Placa anterior: 000038679 Material:  Color:  Referencia:  Observacion:     Placa padre:  Tipo adquisicion : Entidad"</f>
        <v>Descripcion:ANTIVIRUS ESET ENDPOINT SECURITY RENOVACIÓN (NOD32) Estado: Bueno Placa anterior: 000038679 Material:  Color:  Referencia:  Observacion:     Placa padre:  Tipo adquisicion : Entidad</v>
      </c>
      <c r="G18987" s="5"/>
    </row>
    <row r="18988" spans="1:7" ht="58.5" customHeight="1" x14ac:dyDescent="0.25">
      <c r="A18988" s="5" t="str">
        <f>"B0001040"</f>
        <v>B0001040</v>
      </c>
      <c r="B18988" s="5" t="str">
        <f t="shared" si="977"/>
        <v>ANTIVIRUS</v>
      </c>
      <c r="C18988" s="6">
        <v>63309.81</v>
      </c>
      <c r="D18988" s="5" t="s">
        <v>63</v>
      </c>
      <c r="E18988" s="5" t="str">
        <f t="shared" si="976"/>
        <v>SISTEMAS-GLOBALTRONIK SAS-SERGIO PATIÑO</v>
      </c>
      <c r="F18988" s="5" t="str">
        <f>"Descripcion:ANTIVIRUS ESET ENDPOINT SECURITY RENOVACIÓN (NOD32) Estado: Bueno Placa anterior: 000038476 Material:  Color:  Referencia:  Observacion:     Placa padre:  Tipo adquisicion : Entidad"</f>
        <v>Descripcion:ANTIVIRUS ESET ENDPOINT SECURITY RENOVACIÓN (NOD32) Estado: Bueno Placa anterior: 000038476 Material:  Color:  Referencia:  Observacion:     Placa padre:  Tipo adquisicion : Entidad</v>
      </c>
      <c r="G18988" s="5"/>
    </row>
    <row r="18989" spans="1:7" ht="58.5" customHeight="1" x14ac:dyDescent="0.25">
      <c r="A18989" s="5" t="str">
        <f>"B0001041"</f>
        <v>B0001041</v>
      </c>
      <c r="B18989" s="5" t="str">
        <f t="shared" si="977"/>
        <v>ANTIVIRUS</v>
      </c>
      <c r="C18989" s="6">
        <v>63309.81</v>
      </c>
      <c r="D18989" s="5" t="s">
        <v>63</v>
      </c>
      <c r="E18989" s="5" t="str">
        <f t="shared" si="976"/>
        <v>SISTEMAS-GLOBALTRONIK SAS-SERGIO PATIÑO</v>
      </c>
      <c r="F18989" s="5" t="str">
        <f>"Descripcion:ANTIVIRUS ESET ENDPOINT SECURITY RENOVACIÓN (NOD32) Estado: Bueno Placa anterior: 000038390 Material:  Color:  Referencia:  Observacion:     Placa padre:  Tipo adquisicion : Entidad"</f>
        <v>Descripcion:ANTIVIRUS ESET ENDPOINT SECURITY RENOVACIÓN (NOD32) Estado: Bueno Placa anterior: 000038390 Material:  Color:  Referencia:  Observacion:     Placa padre:  Tipo adquisicion : Entidad</v>
      </c>
      <c r="G18989" s="5"/>
    </row>
    <row r="18990" spans="1:7" ht="58.5" customHeight="1" x14ac:dyDescent="0.25">
      <c r="A18990" s="5" t="str">
        <f>"B0001042"</f>
        <v>B0001042</v>
      </c>
      <c r="B18990" s="5" t="str">
        <f t="shared" si="977"/>
        <v>ANTIVIRUS</v>
      </c>
      <c r="C18990" s="6">
        <v>129970</v>
      </c>
      <c r="D18990" s="5" t="s">
        <v>63</v>
      </c>
      <c r="E18990" s="5" t="str">
        <f t="shared" si="976"/>
        <v>SISTEMAS-GLOBALTRONIK SAS-SERGIO PATIÑO</v>
      </c>
      <c r="F18990" s="5" t="str">
        <f>"Descripcion:ANTIVIRUS ESET ENDPOINT SECURITY (NOD32) Estado: Bueno Placa anterior: 000038099 Material:  Color:  Referencia:  Observacion:     Placa padre:  Tipo adquisicion : Entidad"</f>
        <v>Descripcion:ANTIVIRUS ESET ENDPOINT SECURITY (NOD32) Estado: Bueno Placa anterior: 000038099 Material:  Color:  Referencia:  Observacion:     Placa padre:  Tipo adquisicion : Entidad</v>
      </c>
      <c r="G18990" s="5"/>
    </row>
    <row r="18991" spans="1:7" ht="58.5" customHeight="1" x14ac:dyDescent="0.25">
      <c r="A18991" s="5" t="str">
        <f>"B0001043"</f>
        <v>B0001043</v>
      </c>
      <c r="B18991" s="5" t="str">
        <f t="shared" si="977"/>
        <v>ANTIVIRUS</v>
      </c>
      <c r="C18991" s="6">
        <v>129970</v>
      </c>
      <c r="D18991" s="5" t="s">
        <v>63</v>
      </c>
      <c r="E18991" s="5" t="str">
        <f t="shared" si="976"/>
        <v>SISTEMAS-GLOBALTRONIK SAS-SERGIO PATIÑO</v>
      </c>
      <c r="F18991" s="5" t="str">
        <f>"Descripcion:ANTIVIRUS ESET ENDPOINT SECURITY (NOD32) Estado: Bueno Placa anterior: 000038039 Material:  Color:  Referencia:  Observacion:     Placa padre:  Tipo adquisicion : Entidad"</f>
        <v>Descripcion:ANTIVIRUS ESET ENDPOINT SECURITY (NOD32) Estado: Bueno Placa anterior: 000038039 Material:  Color:  Referencia:  Observacion:     Placa padre:  Tipo adquisicion : Entidad</v>
      </c>
      <c r="G18991" s="5"/>
    </row>
    <row r="18992" spans="1:7" ht="58.5" customHeight="1" x14ac:dyDescent="0.25">
      <c r="A18992" s="5" t="str">
        <f>"B0001044"</f>
        <v>B0001044</v>
      </c>
      <c r="B18992" s="5" t="str">
        <f t="shared" si="977"/>
        <v>ANTIVIRUS</v>
      </c>
      <c r="C18992" s="6">
        <v>63309.81</v>
      </c>
      <c r="D18992" s="5" t="s">
        <v>63</v>
      </c>
      <c r="E18992" s="5" t="str">
        <f t="shared" si="976"/>
        <v>SISTEMAS-GLOBALTRONIK SAS-SERGIO PATIÑO</v>
      </c>
      <c r="F18992" s="5" t="str">
        <f>"Descripcion:ANTIVIRUS ESET ENDPOINT SECURITY RENOVACIÓN (NOD32) Estado: Bueno Placa anterior: 000038696 Material:  Color:  Referencia:  Observacion:     Placa padre:  Tipo adquisicion : Entidad"</f>
        <v>Descripcion:ANTIVIRUS ESET ENDPOINT SECURITY RENOVACIÓN (NOD32) Estado: Bueno Placa anterior: 000038696 Material:  Color:  Referencia:  Observacion:     Placa padre:  Tipo adquisicion : Entidad</v>
      </c>
      <c r="G18992" s="5"/>
    </row>
    <row r="18993" spans="1:7" ht="58.5" customHeight="1" x14ac:dyDescent="0.25">
      <c r="A18993" s="5" t="str">
        <f>"B0001045"</f>
        <v>B0001045</v>
      </c>
      <c r="B18993" s="5" t="str">
        <f t="shared" si="977"/>
        <v>ANTIVIRUS</v>
      </c>
      <c r="C18993" s="6">
        <v>63309.81</v>
      </c>
      <c r="D18993" s="5" t="s">
        <v>63</v>
      </c>
      <c r="E18993" s="5" t="str">
        <f t="shared" si="976"/>
        <v>SISTEMAS-GLOBALTRONIK SAS-SERGIO PATIÑO</v>
      </c>
      <c r="F18993" s="5" t="str">
        <f>"Descripcion:ANTIVIRUS ESET ENDPOINT SECURITY RENOVACIÓN (NOD32) Estado: Bueno Placa anterior: 000038716 Material:  Color:  Referencia:  Observacion:     Placa padre:  Tipo adquisicion : Entidad"</f>
        <v>Descripcion:ANTIVIRUS ESET ENDPOINT SECURITY RENOVACIÓN (NOD32) Estado: Bueno Placa anterior: 000038716 Material:  Color:  Referencia:  Observacion:     Placa padre:  Tipo adquisicion : Entidad</v>
      </c>
      <c r="G18993" s="5"/>
    </row>
    <row r="18994" spans="1:7" ht="58.5" customHeight="1" x14ac:dyDescent="0.25">
      <c r="A18994" s="5" t="str">
        <f>"B0001046"</f>
        <v>B0001046</v>
      </c>
      <c r="B18994" s="5" t="str">
        <f t="shared" si="977"/>
        <v>ANTIVIRUS</v>
      </c>
      <c r="C18994" s="6">
        <v>63309.81</v>
      </c>
      <c r="D18994" s="5" t="s">
        <v>63</v>
      </c>
      <c r="E18994" s="5" t="str">
        <f t="shared" si="976"/>
        <v>SISTEMAS-GLOBALTRONIK SAS-SERGIO PATIÑO</v>
      </c>
      <c r="F18994" s="5" t="str">
        <f>"Descripcion:ANTIVIRUS ESET ENDPOINT SECURITY RENOVACIÓN (NOD32) Estado: Bueno Placa anterior: 000038626 Material:  Color:  Referencia:  Observacion:     Placa padre:  Tipo adquisicion : Entidad"</f>
        <v>Descripcion:ANTIVIRUS ESET ENDPOINT SECURITY RENOVACIÓN (NOD32) Estado: Bueno Placa anterior: 000038626 Material:  Color:  Referencia:  Observacion:     Placa padre:  Tipo adquisicion : Entidad</v>
      </c>
      <c r="G18994" s="5"/>
    </row>
    <row r="18995" spans="1:7" ht="58.5" customHeight="1" x14ac:dyDescent="0.25">
      <c r="A18995" s="5" t="str">
        <f>"B0001047"</f>
        <v>B0001047</v>
      </c>
      <c r="B18995" s="5" t="str">
        <f t="shared" si="977"/>
        <v>ANTIVIRUS</v>
      </c>
      <c r="C18995" s="6">
        <v>63309.81</v>
      </c>
      <c r="D18995" s="5" t="s">
        <v>63</v>
      </c>
      <c r="E18995" s="5" t="str">
        <f t="shared" si="976"/>
        <v>SISTEMAS-GLOBALTRONIK SAS-SERGIO PATIÑO</v>
      </c>
      <c r="F18995" s="5" t="str">
        <f>"Descripcion:ANTIVIRUS ESET ENDPOINT SECURITY RENOVACIÓN (NOD32) Estado: Bueno Placa anterior: 000038586 Material:  Color:  Referencia:  Observacion:     Placa padre:  Tipo adquisicion : Entidad"</f>
        <v>Descripcion:ANTIVIRUS ESET ENDPOINT SECURITY RENOVACIÓN (NOD32) Estado: Bueno Placa anterior: 000038586 Material:  Color:  Referencia:  Observacion:     Placa padre:  Tipo adquisicion : Entidad</v>
      </c>
      <c r="G18995" s="5"/>
    </row>
    <row r="18996" spans="1:7" ht="58.5" customHeight="1" x14ac:dyDescent="0.25">
      <c r="A18996" s="5" t="str">
        <f>"B0001048"</f>
        <v>B0001048</v>
      </c>
      <c r="B18996" s="5" t="str">
        <f t="shared" si="977"/>
        <v>ANTIVIRUS</v>
      </c>
      <c r="C18996" s="6">
        <v>129970</v>
      </c>
      <c r="D18996" s="5" t="s">
        <v>63</v>
      </c>
      <c r="E18996" s="5" t="str">
        <f t="shared" si="976"/>
        <v>SISTEMAS-GLOBALTRONIK SAS-SERGIO PATIÑO</v>
      </c>
      <c r="F18996" s="5" t="str">
        <f>"Descripcion:ANTIVIRUS ESET ENDPOINT SECURITY (NOD32) Estado: Bueno Placa anterior: 000038027 Material:  Color:  Referencia:  Observacion:     Placa padre:  Tipo adquisicion : Entidad"</f>
        <v>Descripcion:ANTIVIRUS ESET ENDPOINT SECURITY (NOD32) Estado: Bueno Placa anterior: 000038027 Material:  Color:  Referencia:  Observacion:     Placa padre:  Tipo adquisicion : Entidad</v>
      </c>
      <c r="G18996" s="5"/>
    </row>
    <row r="18997" spans="1:7" ht="58.5" customHeight="1" x14ac:dyDescent="0.25">
      <c r="A18997" s="5" t="str">
        <f>"B0001049"</f>
        <v>B0001049</v>
      </c>
      <c r="B18997" s="5" t="str">
        <f t="shared" si="977"/>
        <v>ANTIVIRUS</v>
      </c>
      <c r="C18997" s="6">
        <v>63309.81</v>
      </c>
      <c r="D18997" s="5" t="s">
        <v>63</v>
      </c>
      <c r="E18997" s="5" t="str">
        <f t="shared" si="976"/>
        <v>SISTEMAS-GLOBALTRONIK SAS-SERGIO PATIÑO</v>
      </c>
      <c r="F18997" s="5" t="str">
        <f>"Descripcion:ANTIVIRUS ESET ENDPOINT SECURITY RENOVACIÓN (NOD32) Estado: Bueno Placa anterior: 000038426 Material:  Color:  Referencia:  Observacion:     Placa padre:  Tipo adquisicion : Entidad"</f>
        <v>Descripcion:ANTIVIRUS ESET ENDPOINT SECURITY RENOVACIÓN (NOD32) Estado: Bueno Placa anterior: 000038426 Material:  Color:  Referencia:  Observacion:     Placa padre:  Tipo adquisicion : Entidad</v>
      </c>
      <c r="G18997" s="5"/>
    </row>
    <row r="18998" spans="1:7" ht="58.5" customHeight="1" x14ac:dyDescent="0.25">
      <c r="A18998" s="5" t="str">
        <f>"B0001050"</f>
        <v>B0001050</v>
      </c>
      <c r="B18998" s="5" t="str">
        <f t="shared" si="977"/>
        <v>ANTIVIRUS</v>
      </c>
      <c r="C18998" s="6">
        <v>63309.81</v>
      </c>
      <c r="D18998" s="5" t="s">
        <v>63</v>
      </c>
      <c r="E18998" s="5" t="str">
        <f t="shared" si="976"/>
        <v>SISTEMAS-GLOBALTRONIK SAS-SERGIO PATIÑO</v>
      </c>
      <c r="F18998" s="5" t="str">
        <f>"Descripcion:ANTIVIRUS ESET ENDPOINT SECURITY RENOVACIÓN (NOD32) Estado: Bueno Placa anterior: 000038384 Material:  Color:  Referencia:  Observacion:     Placa padre:  Tipo adquisicion : Entidad"</f>
        <v>Descripcion:ANTIVIRUS ESET ENDPOINT SECURITY RENOVACIÓN (NOD32) Estado: Bueno Placa anterior: 000038384 Material:  Color:  Referencia:  Observacion:     Placa padre:  Tipo adquisicion : Entidad</v>
      </c>
      <c r="G18998" s="5"/>
    </row>
    <row r="18999" spans="1:7" ht="58.5" customHeight="1" x14ac:dyDescent="0.25">
      <c r="A18999" s="5" t="str">
        <f>"B0001051"</f>
        <v>B0001051</v>
      </c>
      <c r="B18999" s="5" t="str">
        <f t="shared" si="977"/>
        <v>ANTIVIRUS</v>
      </c>
      <c r="C18999" s="6">
        <v>63309.81</v>
      </c>
      <c r="D18999" s="5" t="s">
        <v>63</v>
      </c>
      <c r="E18999" s="5" t="str">
        <f t="shared" si="976"/>
        <v>SISTEMAS-GLOBALTRONIK SAS-SERGIO PATIÑO</v>
      </c>
      <c r="F18999" s="5" t="str">
        <f>"Descripcion:ANTIVIRUS ESET ENDPOINT SECURITY RENOVACIÓN (NOD32) Estado: Bueno Placa anterior: 000038518 Material:  Color:  Referencia:  Observacion:     Placa padre:  Tipo adquisicion : Entidad"</f>
        <v>Descripcion:ANTIVIRUS ESET ENDPOINT SECURITY RENOVACIÓN (NOD32) Estado: Bueno Placa anterior: 000038518 Material:  Color:  Referencia:  Observacion:     Placa padre:  Tipo adquisicion : Entidad</v>
      </c>
      <c r="G18999" s="5"/>
    </row>
    <row r="19000" spans="1:7" ht="58.5" customHeight="1" x14ac:dyDescent="0.25">
      <c r="A19000" s="5" t="str">
        <f>"B0001052"</f>
        <v>B0001052</v>
      </c>
      <c r="B19000" s="5" t="str">
        <f t="shared" si="977"/>
        <v>ANTIVIRUS</v>
      </c>
      <c r="C19000" s="6">
        <v>63309.81</v>
      </c>
      <c r="D19000" s="5" t="s">
        <v>63</v>
      </c>
      <c r="E19000" s="5" t="str">
        <f t="shared" si="976"/>
        <v>SISTEMAS-GLOBALTRONIK SAS-SERGIO PATIÑO</v>
      </c>
      <c r="F19000" s="5" t="str">
        <f>"Descripcion:ANTIVIRUS ESET ENDPOINT SECURITY RENOVACIÓN (NOD32) Estado: Bueno Placa anterior: 000038501 Material:  Color:  Referencia:  Observacion:     Placa padre:  Tipo adquisicion : Entidad"</f>
        <v>Descripcion:ANTIVIRUS ESET ENDPOINT SECURITY RENOVACIÓN (NOD32) Estado: Bueno Placa anterior: 000038501 Material:  Color:  Referencia:  Observacion:     Placa padre:  Tipo adquisicion : Entidad</v>
      </c>
      <c r="G19000" s="5"/>
    </row>
    <row r="19001" spans="1:7" ht="58.5" customHeight="1" x14ac:dyDescent="0.25">
      <c r="A19001" s="5" t="str">
        <f>"B0001053"</f>
        <v>B0001053</v>
      </c>
      <c r="B19001" s="5" t="str">
        <f t="shared" si="977"/>
        <v>ANTIVIRUS</v>
      </c>
      <c r="C19001" s="6">
        <v>63309.81</v>
      </c>
      <c r="D19001" s="5" t="s">
        <v>63</v>
      </c>
      <c r="E19001" s="5" t="str">
        <f t="shared" si="976"/>
        <v>SISTEMAS-GLOBALTRONIK SAS-SERGIO PATIÑO</v>
      </c>
      <c r="F19001" s="5" t="str">
        <f>"Descripcion:ANTIVIRUS ESET ENDPOINT SECURITY RENOVACIÓN (NOD32) Estado: Bueno Placa anterior: 000038366 Material:  Color:  Referencia:  Observacion:     Placa padre:  Tipo adquisicion : Entidad"</f>
        <v>Descripcion:ANTIVIRUS ESET ENDPOINT SECURITY RENOVACIÓN (NOD32) Estado: Bueno Placa anterior: 000038366 Material:  Color:  Referencia:  Observacion:     Placa padre:  Tipo adquisicion : Entidad</v>
      </c>
      <c r="G19001" s="5"/>
    </row>
    <row r="19002" spans="1:7" ht="58.5" customHeight="1" x14ac:dyDescent="0.25">
      <c r="A19002" s="5" t="str">
        <f>"B0001054"</f>
        <v>B0001054</v>
      </c>
      <c r="B19002" s="5" t="str">
        <f t="shared" si="977"/>
        <v>ANTIVIRUS</v>
      </c>
      <c r="C19002" s="6">
        <v>63309.81</v>
      </c>
      <c r="D19002" s="5" t="s">
        <v>63</v>
      </c>
      <c r="E19002" s="5" t="str">
        <f t="shared" si="976"/>
        <v>SISTEMAS-GLOBALTRONIK SAS-SERGIO PATIÑO</v>
      </c>
      <c r="F19002" s="5" t="str">
        <f>"Descripcion:ANTIVIRUS ESET ENDPOINT SECURITY RENOVACIÓN (NOD32) Estado: Bueno Placa anterior: 000038373 Material:  Color:  Referencia:  Observacion:     Placa padre:  Tipo adquisicion : Entidad"</f>
        <v>Descripcion:ANTIVIRUS ESET ENDPOINT SECURITY RENOVACIÓN (NOD32) Estado: Bueno Placa anterior: 000038373 Material:  Color:  Referencia:  Observacion:     Placa padre:  Tipo adquisicion : Entidad</v>
      </c>
      <c r="G19002" s="5"/>
    </row>
    <row r="19003" spans="1:7" ht="58.5" customHeight="1" x14ac:dyDescent="0.25">
      <c r="A19003" s="5" t="str">
        <f>"B0001055"</f>
        <v>B0001055</v>
      </c>
      <c r="B19003" s="5" t="str">
        <f t="shared" si="977"/>
        <v>ANTIVIRUS</v>
      </c>
      <c r="C19003" s="6">
        <v>63309.81</v>
      </c>
      <c r="D19003" s="5" t="s">
        <v>63</v>
      </c>
      <c r="E19003" s="5" t="str">
        <f t="shared" si="976"/>
        <v>SISTEMAS-GLOBALTRONIK SAS-SERGIO PATIÑO</v>
      </c>
      <c r="F19003" s="5" t="str">
        <f>"Descripcion:ANTIVIRUS ESET ENDPOINT SECURITY RENOVACIÓN (NOD32) Estado: Bueno Placa anterior: 000038380 Material:  Color:  Referencia:  Observacion:     Placa padre:  Tipo adquisicion : Entidad"</f>
        <v>Descripcion:ANTIVIRUS ESET ENDPOINT SECURITY RENOVACIÓN (NOD32) Estado: Bueno Placa anterior: 000038380 Material:  Color:  Referencia:  Observacion:     Placa padre:  Tipo adquisicion : Entidad</v>
      </c>
      <c r="G19003" s="5"/>
    </row>
    <row r="19004" spans="1:7" ht="58.5" customHeight="1" x14ac:dyDescent="0.25">
      <c r="A19004" s="5" t="str">
        <f>"B0001056"</f>
        <v>B0001056</v>
      </c>
      <c r="B19004" s="5" t="str">
        <f t="shared" si="977"/>
        <v>ANTIVIRUS</v>
      </c>
      <c r="C19004" s="6">
        <v>129970</v>
      </c>
      <c r="D19004" s="5" t="s">
        <v>63</v>
      </c>
      <c r="E19004" s="5" t="str">
        <f t="shared" si="976"/>
        <v>SISTEMAS-GLOBALTRONIK SAS-SERGIO PATIÑO</v>
      </c>
      <c r="F19004" s="5" t="str">
        <f>"Descripcion:ANTIVIRUS ESET ENDPOINT SECURITY (NOD32) Estado: Bueno Placa anterior: 000038098 Material:  Color:  Referencia:  Observacion:     Placa padre:  Tipo adquisicion : Entidad"</f>
        <v>Descripcion:ANTIVIRUS ESET ENDPOINT SECURITY (NOD32) Estado: Bueno Placa anterior: 000038098 Material:  Color:  Referencia:  Observacion:     Placa padre:  Tipo adquisicion : Entidad</v>
      </c>
      <c r="G19004" s="5"/>
    </row>
    <row r="19005" spans="1:7" ht="58.5" customHeight="1" x14ac:dyDescent="0.25">
      <c r="A19005" s="5" t="str">
        <f>"B0001057"</f>
        <v>B0001057</v>
      </c>
      <c r="B19005" s="5" t="str">
        <f t="shared" si="977"/>
        <v>ANTIVIRUS</v>
      </c>
      <c r="C19005" s="6">
        <v>63309.81</v>
      </c>
      <c r="D19005" s="5" t="s">
        <v>63</v>
      </c>
      <c r="E19005" s="5" t="str">
        <f t="shared" ref="E19005:E19068" si="978">"SISTEMAS-GLOBALTRONIK SAS-SERGIO PATIÑO"</f>
        <v>SISTEMAS-GLOBALTRONIK SAS-SERGIO PATIÑO</v>
      </c>
      <c r="F19005" s="5" t="str">
        <f>"Descripcion:ANTIVIRUS ESET ENDPOINT SECURITY RENOVACIÓN (NOD32) Estado: Bueno Placa anterior: 000038340 Material:  Color:  Referencia:  Observacion:     Placa padre:  Tipo adquisicion : Entidad"</f>
        <v>Descripcion:ANTIVIRUS ESET ENDPOINT SECURITY RENOVACIÓN (NOD32) Estado: Bueno Placa anterior: 000038340 Material:  Color:  Referencia:  Observacion:     Placa padre:  Tipo adquisicion : Entidad</v>
      </c>
      <c r="G19005" s="5"/>
    </row>
    <row r="19006" spans="1:7" ht="58.5" customHeight="1" x14ac:dyDescent="0.25">
      <c r="A19006" s="5" t="str">
        <f>"B0001058"</f>
        <v>B0001058</v>
      </c>
      <c r="B19006" s="5" t="str">
        <f t="shared" si="977"/>
        <v>ANTIVIRUS</v>
      </c>
      <c r="C19006" s="6">
        <v>129970</v>
      </c>
      <c r="D19006" s="5" t="s">
        <v>63</v>
      </c>
      <c r="E19006" s="5" t="str">
        <f t="shared" si="978"/>
        <v>SISTEMAS-GLOBALTRONIK SAS-SERGIO PATIÑO</v>
      </c>
      <c r="F19006" s="5" t="str">
        <f>"Descripcion:ANTIVIRUS ESET ENDPOINT SECURITY (NOD32) Estado: Bueno Placa anterior: 000038069 Material:  Color:  Referencia:  Observacion:     Placa padre:  Tipo adquisicion : Entidad"</f>
        <v>Descripcion:ANTIVIRUS ESET ENDPOINT SECURITY (NOD32) Estado: Bueno Placa anterior: 000038069 Material:  Color:  Referencia:  Observacion:     Placa padre:  Tipo adquisicion : Entidad</v>
      </c>
      <c r="G19006" s="5"/>
    </row>
    <row r="19007" spans="1:7" ht="58.5" customHeight="1" x14ac:dyDescent="0.25">
      <c r="A19007" s="5" t="str">
        <f>"B0001059"</f>
        <v>B0001059</v>
      </c>
      <c r="B19007" s="5" t="str">
        <f t="shared" si="977"/>
        <v>ANTIVIRUS</v>
      </c>
      <c r="C19007" s="6">
        <v>63309.81</v>
      </c>
      <c r="D19007" s="5" t="s">
        <v>63</v>
      </c>
      <c r="E19007" s="5" t="str">
        <f t="shared" si="978"/>
        <v>SISTEMAS-GLOBALTRONIK SAS-SERGIO PATIÑO</v>
      </c>
      <c r="F19007" s="5" t="str">
        <f>"Descripcion:ANTIVIRUS ESET ENDPOINT SECURITY RENOVACIÓN (NOD32) Estado: Bueno Placa anterior: 000038583 Material:  Color:  Referencia:  Observacion:     Placa padre:  Tipo adquisicion : Entidad"</f>
        <v>Descripcion:ANTIVIRUS ESET ENDPOINT SECURITY RENOVACIÓN (NOD32) Estado: Bueno Placa anterior: 000038583 Material:  Color:  Referencia:  Observacion:     Placa padre:  Tipo adquisicion : Entidad</v>
      </c>
      <c r="G19007" s="5"/>
    </row>
    <row r="19008" spans="1:7" ht="58.5" customHeight="1" x14ac:dyDescent="0.25">
      <c r="A19008" s="5" t="str">
        <f>"B0001060"</f>
        <v>B0001060</v>
      </c>
      <c r="B19008" s="5" t="str">
        <f t="shared" si="977"/>
        <v>ANTIVIRUS</v>
      </c>
      <c r="C19008" s="6">
        <v>129970</v>
      </c>
      <c r="D19008" s="5" t="s">
        <v>63</v>
      </c>
      <c r="E19008" s="5" t="str">
        <f t="shared" si="978"/>
        <v>SISTEMAS-GLOBALTRONIK SAS-SERGIO PATIÑO</v>
      </c>
      <c r="F19008" s="5" t="str">
        <f>"Descripcion:ANTIVIRUS ESET ENDPOINT SECURITY (NOD32) Estado: Bueno Placa anterior: 000038114 Material:  Color:  Referencia:  Observacion:     Placa padre:  Tipo adquisicion : Entidad"</f>
        <v>Descripcion:ANTIVIRUS ESET ENDPOINT SECURITY (NOD32) Estado: Bueno Placa anterior: 000038114 Material:  Color:  Referencia:  Observacion:     Placa padre:  Tipo adquisicion : Entidad</v>
      </c>
      <c r="G19008" s="5"/>
    </row>
    <row r="19009" spans="1:7" ht="58.5" customHeight="1" x14ac:dyDescent="0.25">
      <c r="A19009" s="5" t="str">
        <f>"B0001061"</f>
        <v>B0001061</v>
      </c>
      <c r="B19009" s="5" t="str">
        <f t="shared" si="977"/>
        <v>ANTIVIRUS</v>
      </c>
      <c r="C19009" s="6">
        <v>63309.81</v>
      </c>
      <c r="D19009" s="5" t="s">
        <v>63</v>
      </c>
      <c r="E19009" s="5" t="str">
        <f t="shared" si="978"/>
        <v>SISTEMAS-GLOBALTRONIK SAS-SERGIO PATIÑO</v>
      </c>
      <c r="F19009" s="5" t="str">
        <f>"Descripcion:ANTIVIRUS ESET ENDPOINT SECURITY RENOVACIÓN (NOD32) Estado: Bueno Placa anterior: 000038409 Material:  Color:  Referencia:  Observacion:     Placa padre:  Tipo adquisicion : Entidad"</f>
        <v>Descripcion:ANTIVIRUS ESET ENDPOINT SECURITY RENOVACIÓN (NOD32) Estado: Bueno Placa anterior: 000038409 Material:  Color:  Referencia:  Observacion:     Placa padre:  Tipo adquisicion : Entidad</v>
      </c>
      <c r="G19009" s="5"/>
    </row>
    <row r="19010" spans="1:7" ht="58.5" customHeight="1" x14ac:dyDescent="0.25">
      <c r="A19010" s="5" t="str">
        <f>"B0001062"</f>
        <v>B0001062</v>
      </c>
      <c r="B19010" s="5" t="str">
        <f t="shared" si="977"/>
        <v>ANTIVIRUS</v>
      </c>
      <c r="C19010" s="6">
        <v>63309.81</v>
      </c>
      <c r="D19010" s="5" t="s">
        <v>63</v>
      </c>
      <c r="E19010" s="5" t="str">
        <f t="shared" si="978"/>
        <v>SISTEMAS-GLOBALTRONIK SAS-SERGIO PATIÑO</v>
      </c>
      <c r="F19010" s="5" t="str">
        <f>"Descripcion:ANTIVIRUS ESET ENDPOINT SECURITY RENOVACIÓN (NOD32) Estado: Bueno Placa anterior: 000038317 Material:  Color:  Referencia:  Observacion:     Placa padre:  Tipo adquisicion : Entidad"</f>
        <v>Descripcion:ANTIVIRUS ESET ENDPOINT SECURITY RENOVACIÓN (NOD32) Estado: Bueno Placa anterior: 000038317 Material:  Color:  Referencia:  Observacion:     Placa padre:  Tipo adquisicion : Entidad</v>
      </c>
      <c r="G19010" s="5"/>
    </row>
    <row r="19011" spans="1:7" ht="58.5" customHeight="1" x14ac:dyDescent="0.25">
      <c r="A19011" s="5" t="str">
        <f>"B0001063"</f>
        <v>B0001063</v>
      </c>
      <c r="B19011" s="5" t="str">
        <f t="shared" si="977"/>
        <v>ANTIVIRUS</v>
      </c>
      <c r="C19011" s="6">
        <v>63309.81</v>
      </c>
      <c r="D19011" s="5" t="s">
        <v>63</v>
      </c>
      <c r="E19011" s="5" t="str">
        <f t="shared" si="978"/>
        <v>SISTEMAS-GLOBALTRONIK SAS-SERGIO PATIÑO</v>
      </c>
      <c r="F19011" s="5" t="str">
        <f>"Descripcion:ANTIVIRUS ESET ENDPOINT SECURITY RENOVACIÓN (NOD32) Estado: Bueno Placa anterior: 000038344 Material:  Color:  Referencia:  Observacion:     Placa padre:  Tipo adquisicion : Entidad"</f>
        <v>Descripcion:ANTIVIRUS ESET ENDPOINT SECURITY RENOVACIÓN (NOD32) Estado: Bueno Placa anterior: 000038344 Material:  Color:  Referencia:  Observacion:     Placa padre:  Tipo adquisicion : Entidad</v>
      </c>
      <c r="G19011" s="5"/>
    </row>
    <row r="19012" spans="1:7" ht="58.5" customHeight="1" x14ac:dyDescent="0.25">
      <c r="A19012" s="5" t="str">
        <f>"B0001064"</f>
        <v>B0001064</v>
      </c>
      <c r="B19012" s="5" t="str">
        <f t="shared" ref="B19012:B19075" si="979">"ANTIVIRUS"</f>
        <v>ANTIVIRUS</v>
      </c>
      <c r="C19012" s="6">
        <v>63309.81</v>
      </c>
      <c r="D19012" s="5" t="s">
        <v>63</v>
      </c>
      <c r="E19012" s="5" t="str">
        <f t="shared" si="978"/>
        <v>SISTEMAS-GLOBALTRONIK SAS-SERGIO PATIÑO</v>
      </c>
      <c r="F19012" s="5" t="str">
        <f>"Descripcion:ANTIVIRUS ESET ENDPOINT SECURITY RENOVACIÓN (NOD32) Estado: Bueno Placa anterior: 000038633 Material:  Color:  Referencia:  Observacion:     Placa padre:  Tipo adquisicion : Entidad"</f>
        <v>Descripcion:ANTIVIRUS ESET ENDPOINT SECURITY RENOVACIÓN (NOD32) Estado: Bueno Placa anterior: 000038633 Material:  Color:  Referencia:  Observacion:     Placa padre:  Tipo adquisicion : Entidad</v>
      </c>
      <c r="G19012" s="5"/>
    </row>
    <row r="19013" spans="1:7" ht="58.5" customHeight="1" x14ac:dyDescent="0.25">
      <c r="A19013" s="5" t="str">
        <f>"B0001065"</f>
        <v>B0001065</v>
      </c>
      <c r="B19013" s="5" t="str">
        <f t="shared" si="979"/>
        <v>ANTIVIRUS</v>
      </c>
      <c r="C19013" s="6">
        <v>129970</v>
      </c>
      <c r="D19013" s="5" t="s">
        <v>63</v>
      </c>
      <c r="E19013" s="5" t="str">
        <f t="shared" si="978"/>
        <v>SISTEMAS-GLOBALTRONIK SAS-SERGIO PATIÑO</v>
      </c>
      <c r="F19013" s="5" t="str">
        <f>"Descripcion:ANTIVIRUS ESET ENDPOINT SECURITY (NOD32) Estado: Bueno Placa anterior: 000038033 Material:  Color:  Referencia:  Observacion:     Placa padre:  Tipo adquisicion : Entidad"</f>
        <v>Descripcion:ANTIVIRUS ESET ENDPOINT SECURITY (NOD32) Estado: Bueno Placa anterior: 000038033 Material:  Color:  Referencia:  Observacion:     Placa padre:  Tipo adquisicion : Entidad</v>
      </c>
      <c r="G19013" s="5"/>
    </row>
    <row r="19014" spans="1:7" ht="58.5" customHeight="1" x14ac:dyDescent="0.25">
      <c r="A19014" s="5" t="str">
        <f>"B0001066"</f>
        <v>B0001066</v>
      </c>
      <c r="B19014" s="5" t="str">
        <f t="shared" si="979"/>
        <v>ANTIVIRUS</v>
      </c>
      <c r="C19014" s="6">
        <v>63309.81</v>
      </c>
      <c r="D19014" s="5" t="s">
        <v>63</v>
      </c>
      <c r="E19014" s="5" t="str">
        <f t="shared" si="978"/>
        <v>SISTEMAS-GLOBALTRONIK SAS-SERGIO PATIÑO</v>
      </c>
      <c r="F19014" s="5" t="str">
        <f>"Descripcion:ANTIVIRUS ESET ENDPOINT SECURITY RENOVACIÓN (NOD32) Estado: Bueno Placa anterior: 000038445 Material:  Color:  Referencia:  Observacion:     Placa padre:  Tipo adquisicion : Entidad"</f>
        <v>Descripcion:ANTIVIRUS ESET ENDPOINT SECURITY RENOVACIÓN (NOD32) Estado: Bueno Placa anterior: 000038445 Material:  Color:  Referencia:  Observacion:     Placa padre:  Tipo adquisicion : Entidad</v>
      </c>
      <c r="G19014" s="5"/>
    </row>
    <row r="19015" spans="1:7" ht="58.5" customHeight="1" x14ac:dyDescent="0.25">
      <c r="A19015" s="5" t="str">
        <f>"B0001067"</f>
        <v>B0001067</v>
      </c>
      <c r="B19015" s="5" t="str">
        <f t="shared" si="979"/>
        <v>ANTIVIRUS</v>
      </c>
      <c r="C19015" s="6">
        <v>129970</v>
      </c>
      <c r="D19015" s="5" t="s">
        <v>63</v>
      </c>
      <c r="E19015" s="5" t="str">
        <f t="shared" si="978"/>
        <v>SISTEMAS-GLOBALTRONIK SAS-SERGIO PATIÑO</v>
      </c>
      <c r="F19015" s="5" t="str">
        <f>"Descripcion:ANTIVIRUS ESET ENDPOINT SECURITY (NOD32) Estado: Bueno Placa anterior: 000038055 Material:  Color:  Referencia:  Observacion:     Placa padre:  Tipo adquisicion : Entidad"</f>
        <v>Descripcion:ANTIVIRUS ESET ENDPOINT SECURITY (NOD32) Estado: Bueno Placa anterior: 000038055 Material:  Color:  Referencia:  Observacion:     Placa padre:  Tipo adquisicion : Entidad</v>
      </c>
      <c r="G19015" s="5"/>
    </row>
    <row r="19016" spans="1:7" ht="58.5" customHeight="1" x14ac:dyDescent="0.25">
      <c r="A19016" s="5" t="str">
        <f>"B0001068"</f>
        <v>B0001068</v>
      </c>
      <c r="B19016" s="5" t="str">
        <f t="shared" si="979"/>
        <v>ANTIVIRUS</v>
      </c>
      <c r="C19016" s="6">
        <v>129970</v>
      </c>
      <c r="D19016" s="5" t="s">
        <v>63</v>
      </c>
      <c r="E19016" s="5" t="str">
        <f t="shared" si="978"/>
        <v>SISTEMAS-GLOBALTRONIK SAS-SERGIO PATIÑO</v>
      </c>
      <c r="F19016" s="5" t="str">
        <f>"Descripcion:ANTIVIRUS ESET ENDPOINT SECURITY (NOD32) Estado: Bueno Placa anterior: 000038131 Material:  Color:  Referencia:  Observacion:     Placa padre:  Tipo adquisicion : Entidad"</f>
        <v>Descripcion:ANTIVIRUS ESET ENDPOINT SECURITY (NOD32) Estado: Bueno Placa anterior: 000038131 Material:  Color:  Referencia:  Observacion:     Placa padre:  Tipo adquisicion : Entidad</v>
      </c>
      <c r="G19016" s="5"/>
    </row>
    <row r="19017" spans="1:7" ht="58.5" customHeight="1" x14ac:dyDescent="0.25">
      <c r="A19017" s="5" t="str">
        <f>"B0001069"</f>
        <v>B0001069</v>
      </c>
      <c r="B19017" s="5" t="str">
        <f t="shared" si="979"/>
        <v>ANTIVIRUS</v>
      </c>
      <c r="C19017" s="6">
        <v>63309.81</v>
      </c>
      <c r="D19017" s="5" t="s">
        <v>63</v>
      </c>
      <c r="E19017" s="5" t="str">
        <f t="shared" si="978"/>
        <v>SISTEMAS-GLOBALTRONIK SAS-SERGIO PATIÑO</v>
      </c>
      <c r="F19017" s="5" t="str">
        <f>"Descripcion:ANTIVIRUS ESET ENDPOINT SECURITY RENOVACIÓN (NOD32) Estado: Bueno Placa anterior: 000038729 Material:  Color:  Referencia:  Observacion:     Placa padre:  Tipo adquisicion : Entidad"</f>
        <v>Descripcion:ANTIVIRUS ESET ENDPOINT SECURITY RENOVACIÓN (NOD32) Estado: Bueno Placa anterior: 000038729 Material:  Color:  Referencia:  Observacion:     Placa padre:  Tipo adquisicion : Entidad</v>
      </c>
      <c r="G19017" s="5"/>
    </row>
    <row r="19018" spans="1:7" ht="58.5" customHeight="1" x14ac:dyDescent="0.25">
      <c r="A19018" s="5" t="str">
        <f>"B0001070"</f>
        <v>B0001070</v>
      </c>
      <c r="B19018" s="5" t="str">
        <f t="shared" si="979"/>
        <v>ANTIVIRUS</v>
      </c>
      <c r="C19018" s="6">
        <v>63309.81</v>
      </c>
      <c r="D19018" s="5" t="s">
        <v>63</v>
      </c>
      <c r="E19018" s="5" t="str">
        <f t="shared" si="978"/>
        <v>SISTEMAS-GLOBALTRONIK SAS-SERGIO PATIÑO</v>
      </c>
      <c r="F19018" s="5" t="str">
        <f>"Descripcion:ANTIVIRUS ESET ENDPOINT SECURITY RENOVACIÓN (NOD32) Estado: Bueno Placa anterior: 000038456 Material:  Color:  Referencia:  Observacion:     Placa padre:  Tipo adquisicion : Entidad"</f>
        <v>Descripcion:ANTIVIRUS ESET ENDPOINT SECURITY RENOVACIÓN (NOD32) Estado: Bueno Placa anterior: 000038456 Material:  Color:  Referencia:  Observacion:     Placa padre:  Tipo adquisicion : Entidad</v>
      </c>
      <c r="G19018" s="5"/>
    </row>
    <row r="19019" spans="1:7" ht="58.5" customHeight="1" x14ac:dyDescent="0.25">
      <c r="A19019" s="5" t="str">
        <f>"B0001071"</f>
        <v>B0001071</v>
      </c>
      <c r="B19019" s="5" t="str">
        <f t="shared" si="979"/>
        <v>ANTIVIRUS</v>
      </c>
      <c r="C19019" s="6">
        <v>63309.81</v>
      </c>
      <c r="D19019" s="5" t="s">
        <v>63</v>
      </c>
      <c r="E19019" s="5" t="str">
        <f t="shared" si="978"/>
        <v>SISTEMAS-GLOBALTRONIK SAS-SERGIO PATIÑO</v>
      </c>
      <c r="F19019" s="5" t="str">
        <f>"Descripcion:ANTIVIRUS ESET ENDPOINT SECURITY RENOVACIÓN (NOD32) Estado: Bueno Placa anterior: 000038336 Material:  Color:  Referencia:  Observacion:     Placa padre:  Tipo adquisicion : Entidad"</f>
        <v>Descripcion:ANTIVIRUS ESET ENDPOINT SECURITY RENOVACIÓN (NOD32) Estado: Bueno Placa anterior: 000038336 Material:  Color:  Referencia:  Observacion:     Placa padre:  Tipo adquisicion : Entidad</v>
      </c>
      <c r="G19019" s="5"/>
    </row>
    <row r="19020" spans="1:7" ht="58.5" customHeight="1" x14ac:dyDescent="0.25">
      <c r="A19020" s="5" t="str">
        <f>"B0001072"</f>
        <v>B0001072</v>
      </c>
      <c r="B19020" s="5" t="str">
        <f t="shared" si="979"/>
        <v>ANTIVIRUS</v>
      </c>
      <c r="C19020" s="6">
        <v>63309.81</v>
      </c>
      <c r="D19020" s="5" t="s">
        <v>63</v>
      </c>
      <c r="E19020" s="5" t="str">
        <f t="shared" si="978"/>
        <v>SISTEMAS-GLOBALTRONIK SAS-SERGIO PATIÑO</v>
      </c>
      <c r="F19020" s="5" t="str">
        <f>"Descripcion:ANTIVIRUS ESET ENDPOINT SECURITY RENOVACIÓN (NOD32) Estado: Bueno Placa anterior: 000038761 Material:  Color:  Referencia:  Observacion:     Placa padre:  Tipo adquisicion : Entidad"</f>
        <v>Descripcion:ANTIVIRUS ESET ENDPOINT SECURITY RENOVACIÓN (NOD32) Estado: Bueno Placa anterior: 000038761 Material:  Color:  Referencia:  Observacion:     Placa padre:  Tipo adquisicion : Entidad</v>
      </c>
      <c r="G19020" s="5"/>
    </row>
    <row r="19021" spans="1:7" ht="58.5" customHeight="1" x14ac:dyDescent="0.25">
      <c r="A19021" s="5" t="str">
        <f>"B0001073"</f>
        <v>B0001073</v>
      </c>
      <c r="B19021" s="5" t="str">
        <f t="shared" si="979"/>
        <v>ANTIVIRUS</v>
      </c>
      <c r="C19021" s="6">
        <v>63309.81</v>
      </c>
      <c r="D19021" s="5" t="s">
        <v>63</v>
      </c>
      <c r="E19021" s="5" t="str">
        <f t="shared" si="978"/>
        <v>SISTEMAS-GLOBALTRONIK SAS-SERGIO PATIÑO</v>
      </c>
      <c r="F19021" s="5" t="str">
        <f>"Descripcion:ANTIVIRUS ESET ENDPOINT SECURITY RENOVACIÓN (NOD32) Estado: Bueno Placa anterior: 000038416 Material:  Color:  Referencia:  Observacion:     Placa padre:  Tipo adquisicion : Entidad"</f>
        <v>Descripcion:ANTIVIRUS ESET ENDPOINT SECURITY RENOVACIÓN (NOD32) Estado: Bueno Placa anterior: 000038416 Material:  Color:  Referencia:  Observacion:     Placa padre:  Tipo adquisicion : Entidad</v>
      </c>
      <c r="G19021" s="5"/>
    </row>
    <row r="19022" spans="1:7" ht="58.5" customHeight="1" x14ac:dyDescent="0.25">
      <c r="A19022" s="5" t="str">
        <f>"B0001074"</f>
        <v>B0001074</v>
      </c>
      <c r="B19022" s="5" t="str">
        <f t="shared" si="979"/>
        <v>ANTIVIRUS</v>
      </c>
      <c r="C19022" s="6">
        <v>129970</v>
      </c>
      <c r="D19022" s="5" t="s">
        <v>63</v>
      </c>
      <c r="E19022" s="5" t="str">
        <f t="shared" si="978"/>
        <v>SISTEMAS-GLOBALTRONIK SAS-SERGIO PATIÑO</v>
      </c>
      <c r="F19022" s="5" t="str">
        <f>"Descripcion:ANTIVIRUS ESET ENDPOINT SECURITY (NOD32) Estado: Bueno Placa anterior: 000038081 Material:  Color:  Referencia:  Observacion:     Placa padre:  Tipo adquisicion : Entidad"</f>
        <v>Descripcion:ANTIVIRUS ESET ENDPOINT SECURITY (NOD32) Estado: Bueno Placa anterior: 000038081 Material:  Color:  Referencia:  Observacion:     Placa padre:  Tipo adquisicion : Entidad</v>
      </c>
      <c r="G19022" s="5"/>
    </row>
    <row r="19023" spans="1:7" ht="58.5" customHeight="1" x14ac:dyDescent="0.25">
      <c r="A19023" s="5" t="str">
        <f>"B0001075"</f>
        <v>B0001075</v>
      </c>
      <c r="B19023" s="5" t="str">
        <f t="shared" si="979"/>
        <v>ANTIVIRUS</v>
      </c>
      <c r="C19023" s="6">
        <v>63309.81</v>
      </c>
      <c r="D19023" s="5" t="s">
        <v>63</v>
      </c>
      <c r="E19023" s="5" t="str">
        <f t="shared" si="978"/>
        <v>SISTEMAS-GLOBALTRONIK SAS-SERGIO PATIÑO</v>
      </c>
      <c r="F19023" s="5" t="str">
        <f>"Descripcion:ANTIVIRUS ESET ENDPOINT SECURITY RENOVACIÓN (NOD32) Estado: Bueno Placa anterior: 000038494 Material:  Color:  Referencia:  Observacion:     Placa padre:  Tipo adquisicion : Entidad"</f>
        <v>Descripcion:ANTIVIRUS ESET ENDPOINT SECURITY RENOVACIÓN (NOD32) Estado: Bueno Placa anterior: 000038494 Material:  Color:  Referencia:  Observacion:     Placa padre:  Tipo adquisicion : Entidad</v>
      </c>
      <c r="G19023" s="5"/>
    </row>
    <row r="19024" spans="1:7" ht="58.5" customHeight="1" x14ac:dyDescent="0.25">
      <c r="A19024" s="5" t="str">
        <f>"B0001076"</f>
        <v>B0001076</v>
      </c>
      <c r="B19024" s="5" t="str">
        <f t="shared" si="979"/>
        <v>ANTIVIRUS</v>
      </c>
      <c r="C19024" s="6">
        <v>63309.81</v>
      </c>
      <c r="D19024" s="5" t="s">
        <v>63</v>
      </c>
      <c r="E19024" s="5" t="str">
        <f t="shared" si="978"/>
        <v>SISTEMAS-GLOBALTRONIK SAS-SERGIO PATIÑO</v>
      </c>
      <c r="F19024" s="5" t="str">
        <f>"Descripcion:ANTIVIRUS ESET ENDPOINT SECURITY RENOVACIÓN (NOD32) Estado: Bueno Placa anterior: 000038358 Material:  Color:  Referencia:  Observacion:     Placa padre:  Tipo adquisicion : Entidad"</f>
        <v>Descripcion:ANTIVIRUS ESET ENDPOINT SECURITY RENOVACIÓN (NOD32) Estado: Bueno Placa anterior: 000038358 Material:  Color:  Referencia:  Observacion:     Placa padre:  Tipo adquisicion : Entidad</v>
      </c>
      <c r="G19024" s="5"/>
    </row>
    <row r="19025" spans="1:7" ht="58.5" customHeight="1" x14ac:dyDescent="0.25">
      <c r="A19025" s="5" t="str">
        <f>"B0001077"</f>
        <v>B0001077</v>
      </c>
      <c r="B19025" s="5" t="str">
        <f t="shared" si="979"/>
        <v>ANTIVIRUS</v>
      </c>
      <c r="C19025" s="6">
        <v>63309.81</v>
      </c>
      <c r="D19025" s="5" t="s">
        <v>63</v>
      </c>
      <c r="E19025" s="5" t="str">
        <f t="shared" si="978"/>
        <v>SISTEMAS-GLOBALTRONIK SAS-SERGIO PATIÑO</v>
      </c>
      <c r="F19025" s="5" t="str">
        <f>"Descripcion:ANTIVIRUS ESET ENDPOINT SECURITY RENOVACIÓN (NOD32) Estado: Bueno Placa anterior: 000038599 Material:  Color:  Referencia:  Observacion:     Placa padre:  Tipo adquisicion : Entidad"</f>
        <v>Descripcion:ANTIVIRUS ESET ENDPOINT SECURITY RENOVACIÓN (NOD32) Estado: Bueno Placa anterior: 000038599 Material:  Color:  Referencia:  Observacion:     Placa padre:  Tipo adquisicion : Entidad</v>
      </c>
      <c r="G19025" s="5"/>
    </row>
    <row r="19026" spans="1:7" ht="58.5" customHeight="1" x14ac:dyDescent="0.25">
      <c r="A19026" s="5" t="str">
        <f>"B0001078"</f>
        <v>B0001078</v>
      </c>
      <c r="B19026" s="5" t="str">
        <f t="shared" si="979"/>
        <v>ANTIVIRUS</v>
      </c>
      <c r="C19026" s="6">
        <v>63309.81</v>
      </c>
      <c r="D19026" s="5" t="s">
        <v>63</v>
      </c>
      <c r="E19026" s="5" t="str">
        <f t="shared" si="978"/>
        <v>SISTEMAS-GLOBALTRONIK SAS-SERGIO PATIÑO</v>
      </c>
      <c r="F19026" s="5" t="str">
        <f>"Descripcion:ANTIVIRUS ESET ENDPOINT SECURITY RENOVACIÓN (NOD32) Estado: Bueno Placa anterior: 000038708 Material:  Color:  Referencia:  Observacion:     Placa padre:  Tipo adquisicion : Entidad"</f>
        <v>Descripcion:ANTIVIRUS ESET ENDPOINT SECURITY RENOVACIÓN (NOD32) Estado: Bueno Placa anterior: 000038708 Material:  Color:  Referencia:  Observacion:     Placa padre:  Tipo adquisicion : Entidad</v>
      </c>
      <c r="G19026" s="5"/>
    </row>
    <row r="19027" spans="1:7" ht="58.5" customHeight="1" x14ac:dyDescent="0.25">
      <c r="A19027" s="5" t="str">
        <f>"B0001079"</f>
        <v>B0001079</v>
      </c>
      <c r="B19027" s="5" t="str">
        <f t="shared" si="979"/>
        <v>ANTIVIRUS</v>
      </c>
      <c r="C19027" s="6">
        <v>63309.81</v>
      </c>
      <c r="D19027" s="5" t="s">
        <v>63</v>
      </c>
      <c r="E19027" s="5" t="str">
        <f t="shared" si="978"/>
        <v>SISTEMAS-GLOBALTRONIK SAS-SERGIO PATIÑO</v>
      </c>
      <c r="F19027" s="5" t="str">
        <f>"Descripcion:ANTIVIRUS ESET ENDPOINT SECURITY RENOVACIÓN (NOD32) Estado: Bueno Placa anterior: 000038634 Material:  Color:  Referencia:  Observacion:     Placa padre:  Tipo adquisicion : Entidad"</f>
        <v>Descripcion:ANTIVIRUS ESET ENDPOINT SECURITY RENOVACIÓN (NOD32) Estado: Bueno Placa anterior: 000038634 Material:  Color:  Referencia:  Observacion:     Placa padre:  Tipo adquisicion : Entidad</v>
      </c>
      <c r="G19027" s="5"/>
    </row>
    <row r="19028" spans="1:7" ht="58.5" customHeight="1" x14ac:dyDescent="0.25">
      <c r="A19028" s="5" t="str">
        <f>"B0001080"</f>
        <v>B0001080</v>
      </c>
      <c r="B19028" s="5" t="str">
        <f t="shared" si="979"/>
        <v>ANTIVIRUS</v>
      </c>
      <c r="C19028" s="6">
        <v>129970</v>
      </c>
      <c r="D19028" s="5" t="s">
        <v>63</v>
      </c>
      <c r="E19028" s="5" t="str">
        <f t="shared" si="978"/>
        <v>SISTEMAS-GLOBALTRONIK SAS-SERGIO PATIÑO</v>
      </c>
      <c r="F19028" s="5" t="str">
        <f>"Descripcion:ANTIVIRUS ESET ENDPOINT SECURITY (NOD32) Estado: Bueno Placa anterior: 000038072 Material:  Color:  Referencia:  Observacion:     Placa padre:  Tipo adquisicion : Entidad"</f>
        <v>Descripcion:ANTIVIRUS ESET ENDPOINT SECURITY (NOD32) Estado: Bueno Placa anterior: 000038072 Material:  Color:  Referencia:  Observacion:     Placa padre:  Tipo adquisicion : Entidad</v>
      </c>
      <c r="G19028" s="5"/>
    </row>
    <row r="19029" spans="1:7" ht="58.5" customHeight="1" x14ac:dyDescent="0.25">
      <c r="A19029" s="5" t="str">
        <f>"B0001081"</f>
        <v>B0001081</v>
      </c>
      <c r="B19029" s="5" t="str">
        <f t="shared" si="979"/>
        <v>ANTIVIRUS</v>
      </c>
      <c r="C19029" s="6">
        <v>63309.81</v>
      </c>
      <c r="D19029" s="5" t="s">
        <v>63</v>
      </c>
      <c r="E19029" s="5" t="str">
        <f t="shared" si="978"/>
        <v>SISTEMAS-GLOBALTRONIK SAS-SERGIO PATIÑO</v>
      </c>
      <c r="F19029" s="5" t="str">
        <f>"Descripcion:ANTIVIRUS ESET ENDPOINT SECURITY RENOVACIÓN (NOD32) Estado: Bueno Placa anterior: 000038474 Material:  Color:  Referencia:  Observacion:     Placa padre:  Tipo adquisicion : Entidad"</f>
        <v>Descripcion:ANTIVIRUS ESET ENDPOINT SECURITY RENOVACIÓN (NOD32) Estado: Bueno Placa anterior: 000038474 Material:  Color:  Referencia:  Observacion:     Placa padre:  Tipo adquisicion : Entidad</v>
      </c>
      <c r="G19029" s="5"/>
    </row>
    <row r="19030" spans="1:7" ht="58.5" customHeight="1" x14ac:dyDescent="0.25">
      <c r="A19030" s="5" t="str">
        <f>"B0001082"</f>
        <v>B0001082</v>
      </c>
      <c r="B19030" s="5" t="str">
        <f t="shared" si="979"/>
        <v>ANTIVIRUS</v>
      </c>
      <c r="C19030" s="6">
        <v>129970</v>
      </c>
      <c r="D19030" s="5" t="s">
        <v>63</v>
      </c>
      <c r="E19030" s="5" t="str">
        <f t="shared" si="978"/>
        <v>SISTEMAS-GLOBALTRONIK SAS-SERGIO PATIÑO</v>
      </c>
      <c r="F19030" s="5" t="str">
        <f>"Descripcion:ANTIVIRUS ESET ENDPOINT SECURITY (NOD32) Estado: Bueno Placa anterior: 000038115 Material:  Color:  Referencia:  Observacion:     Placa padre:  Tipo adquisicion : Entidad"</f>
        <v>Descripcion:ANTIVIRUS ESET ENDPOINT SECURITY (NOD32) Estado: Bueno Placa anterior: 000038115 Material:  Color:  Referencia:  Observacion:     Placa padre:  Tipo adquisicion : Entidad</v>
      </c>
      <c r="G19030" s="5"/>
    </row>
    <row r="19031" spans="1:7" ht="58.5" customHeight="1" x14ac:dyDescent="0.25">
      <c r="A19031" s="5" t="str">
        <f>"B0001083"</f>
        <v>B0001083</v>
      </c>
      <c r="B19031" s="5" t="str">
        <f t="shared" si="979"/>
        <v>ANTIVIRUS</v>
      </c>
      <c r="C19031" s="6">
        <v>129970</v>
      </c>
      <c r="D19031" s="5" t="s">
        <v>63</v>
      </c>
      <c r="E19031" s="5" t="str">
        <f t="shared" si="978"/>
        <v>SISTEMAS-GLOBALTRONIK SAS-SERGIO PATIÑO</v>
      </c>
      <c r="F19031" s="5" t="str">
        <f>"Descripcion:ANTIVIRUS ESET ENDPOINT SECURITY (NOD32) Estado: Bueno Placa anterior: 000038063 Material:  Color:  Referencia:  Observacion:     Placa padre:  Tipo adquisicion : Entidad"</f>
        <v>Descripcion:ANTIVIRUS ESET ENDPOINT SECURITY (NOD32) Estado: Bueno Placa anterior: 000038063 Material:  Color:  Referencia:  Observacion:     Placa padre:  Tipo adquisicion : Entidad</v>
      </c>
      <c r="G19031" s="5"/>
    </row>
    <row r="19032" spans="1:7" ht="58.5" customHeight="1" x14ac:dyDescent="0.25">
      <c r="A19032" s="5" t="str">
        <f>"B0001084"</f>
        <v>B0001084</v>
      </c>
      <c r="B19032" s="5" t="str">
        <f t="shared" si="979"/>
        <v>ANTIVIRUS</v>
      </c>
      <c r="C19032" s="6">
        <v>129970</v>
      </c>
      <c r="D19032" s="5" t="s">
        <v>63</v>
      </c>
      <c r="E19032" s="5" t="str">
        <f t="shared" si="978"/>
        <v>SISTEMAS-GLOBALTRONIK SAS-SERGIO PATIÑO</v>
      </c>
      <c r="F19032" s="5" t="str">
        <f>"Descripcion:ANTIVIRUS ESET ENDPOINT SECURITY (NOD32) Estado: Bueno Placa anterior: 000038132 Material:  Color:  Referencia:  Observacion:     Placa padre:  Tipo adquisicion : Entidad"</f>
        <v>Descripcion:ANTIVIRUS ESET ENDPOINT SECURITY (NOD32) Estado: Bueno Placa anterior: 000038132 Material:  Color:  Referencia:  Observacion:     Placa padre:  Tipo adquisicion : Entidad</v>
      </c>
      <c r="G19032" s="5"/>
    </row>
    <row r="19033" spans="1:7" ht="58.5" customHeight="1" x14ac:dyDescent="0.25">
      <c r="A19033" s="5" t="str">
        <f>"B0001085"</f>
        <v>B0001085</v>
      </c>
      <c r="B19033" s="5" t="str">
        <f t="shared" si="979"/>
        <v>ANTIVIRUS</v>
      </c>
      <c r="C19033" s="6">
        <v>63309.81</v>
      </c>
      <c r="D19033" s="5" t="s">
        <v>63</v>
      </c>
      <c r="E19033" s="5" t="str">
        <f t="shared" si="978"/>
        <v>SISTEMAS-GLOBALTRONIK SAS-SERGIO PATIÑO</v>
      </c>
      <c r="F19033" s="5" t="str">
        <f>"Descripcion:ANTIVIRUS ESET ENDPOINT SECURITY RENOVACIÓN (NOD32) Estado: Bueno Placa anterior: 000038506 Material:  Color:  Referencia:  Observacion:     Placa padre:  Tipo adquisicion : Entidad"</f>
        <v>Descripcion:ANTIVIRUS ESET ENDPOINT SECURITY RENOVACIÓN (NOD32) Estado: Bueno Placa anterior: 000038506 Material:  Color:  Referencia:  Observacion:     Placa padre:  Tipo adquisicion : Entidad</v>
      </c>
      <c r="G19033" s="5"/>
    </row>
    <row r="19034" spans="1:7" ht="58.5" customHeight="1" x14ac:dyDescent="0.25">
      <c r="A19034" s="5" t="str">
        <f>"B0001086"</f>
        <v>B0001086</v>
      </c>
      <c r="B19034" s="5" t="str">
        <f t="shared" si="979"/>
        <v>ANTIVIRUS</v>
      </c>
      <c r="C19034" s="6">
        <v>63309.81</v>
      </c>
      <c r="D19034" s="5" t="s">
        <v>63</v>
      </c>
      <c r="E19034" s="5" t="str">
        <f t="shared" si="978"/>
        <v>SISTEMAS-GLOBALTRONIK SAS-SERGIO PATIÑO</v>
      </c>
      <c r="F19034" s="5" t="str">
        <f>"Descripcion:ANTIVIRUS ESET ENDPOINT SECURITY RENOVACIÓN (NOD32) Estado: Bueno Placa anterior: 000038535 Material:  Color:  Referencia:  Observacion:     Placa padre:  Tipo adquisicion : Entidad"</f>
        <v>Descripcion:ANTIVIRUS ESET ENDPOINT SECURITY RENOVACIÓN (NOD32) Estado: Bueno Placa anterior: 000038535 Material:  Color:  Referencia:  Observacion:     Placa padre:  Tipo adquisicion : Entidad</v>
      </c>
      <c r="G19034" s="5"/>
    </row>
    <row r="19035" spans="1:7" ht="58.5" customHeight="1" x14ac:dyDescent="0.25">
      <c r="A19035" s="5" t="str">
        <f>"B0001087"</f>
        <v>B0001087</v>
      </c>
      <c r="B19035" s="5" t="str">
        <f t="shared" si="979"/>
        <v>ANTIVIRUS</v>
      </c>
      <c r="C19035" s="6">
        <v>63309.81</v>
      </c>
      <c r="D19035" s="5" t="s">
        <v>63</v>
      </c>
      <c r="E19035" s="5" t="str">
        <f t="shared" si="978"/>
        <v>SISTEMAS-GLOBALTRONIK SAS-SERGIO PATIÑO</v>
      </c>
      <c r="F19035" s="5" t="str">
        <f>"Descripcion:ANTIVIRUS ESET ENDPOINT SECURITY RENOVACIÓN (NOD32) Estado: Bueno Placa anterior: 000038677 Material:  Color:  Referencia:  Observacion:     Placa padre:  Tipo adquisicion : Entidad"</f>
        <v>Descripcion:ANTIVIRUS ESET ENDPOINT SECURITY RENOVACIÓN (NOD32) Estado: Bueno Placa anterior: 000038677 Material:  Color:  Referencia:  Observacion:     Placa padre:  Tipo adquisicion : Entidad</v>
      </c>
      <c r="G19035" s="5"/>
    </row>
    <row r="19036" spans="1:7" ht="58.5" customHeight="1" x14ac:dyDescent="0.25">
      <c r="A19036" s="5" t="str">
        <f>"B0001088"</f>
        <v>B0001088</v>
      </c>
      <c r="B19036" s="5" t="str">
        <f t="shared" si="979"/>
        <v>ANTIVIRUS</v>
      </c>
      <c r="C19036" s="6">
        <v>63309.81</v>
      </c>
      <c r="D19036" s="5" t="s">
        <v>63</v>
      </c>
      <c r="E19036" s="5" t="str">
        <f t="shared" si="978"/>
        <v>SISTEMAS-GLOBALTRONIK SAS-SERGIO PATIÑO</v>
      </c>
      <c r="F19036" s="5" t="str">
        <f>"Descripcion:ANTIVIRUS ESET ENDPOINT SECURITY RENOVACIÓN (NOD32) Estado: Bueno Placa anterior: 000038776 Material:  Color:  Referencia:  Observacion:     Placa padre:  Tipo adquisicion : Entidad"</f>
        <v>Descripcion:ANTIVIRUS ESET ENDPOINT SECURITY RENOVACIÓN (NOD32) Estado: Bueno Placa anterior: 000038776 Material:  Color:  Referencia:  Observacion:     Placa padre:  Tipo adquisicion : Entidad</v>
      </c>
      <c r="G19036" s="5"/>
    </row>
    <row r="19037" spans="1:7" ht="58.5" customHeight="1" x14ac:dyDescent="0.25">
      <c r="A19037" s="5" t="str">
        <f>"B0001089"</f>
        <v>B0001089</v>
      </c>
      <c r="B19037" s="5" t="str">
        <f t="shared" si="979"/>
        <v>ANTIVIRUS</v>
      </c>
      <c r="C19037" s="6">
        <v>63309.81</v>
      </c>
      <c r="D19037" s="5" t="s">
        <v>63</v>
      </c>
      <c r="E19037" s="5" t="str">
        <f t="shared" si="978"/>
        <v>SISTEMAS-GLOBALTRONIK SAS-SERGIO PATIÑO</v>
      </c>
      <c r="F19037" s="5" t="str">
        <f>"Descripcion:ANTIVIRUS ESET ENDPOINT SECURITY RENOVACIÓN (NOD32) Estado: Bueno Placa anterior: 000038406 Material:  Color:  Referencia:  Observacion:     Placa padre:  Tipo adquisicion : Entidad"</f>
        <v>Descripcion:ANTIVIRUS ESET ENDPOINT SECURITY RENOVACIÓN (NOD32) Estado: Bueno Placa anterior: 000038406 Material:  Color:  Referencia:  Observacion:     Placa padre:  Tipo adquisicion : Entidad</v>
      </c>
      <c r="G19037" s="5"/>
    </row>
    <row r="19038" spans="1:7" ht="58.5" customHeight="1" x14ac:dyDescent="0.25">
      <c r="A19038" s="5" t="str">
        <f>"B0001090"</f>
        <v>B0001090</v>
      </c>
      <c r="B19038" s="5" t="str">
        <f t="shared" si="979"/>
        <v>ANTIVIRUS</v>
      </c>
      <c r="C19038" s="6">
        <v>63309.81</v>
      </c>
      <c r="D19038" s="5" t="s">
        <v>63</v>
      </c>
      <c r="E19038" s="5" t="str">
        <f t="shared" si="978"/>
        <v>SISTEMAS-GLOBALTRONIK SAS-SERGIO PATIÑO</v>
      </c>
      <c r="F19038" s="5" t="str">
        <f>"Descripcion:ANTIVIRUS ESET ENDPOINT SECURITY RENOVACIÓN (NOD32) Estado: Bueno Placa anterior: 000038378 Material:  Color:  Referencia:  Observacion:     Placa padre:  Tipo adquisicion : Entidad"</f>
        <v>Descripcion:ANTIVIRUS ESET ENDPOINT SECURITY RENOVACIÓN (NOD32) Estado: Bueno Placa anterior: 000038378 Material:  Color:  Referencia:  Observacion:     Placa padre:  Tipo adquisicion : Entidad</v>
      </c>
      <c r="G19038" s="5"/>
    </row>
    <row r="19039" spans="1:7" ht="58.5" customHeight="1" x14ac:dyDescent="0.25">
      <c r="A19039" s="5" t="str">
        <f>"B0001091"</f>
        <v>B0001091</v>
      </c>
      <c r="B19039" s="5" t="str">
        <f t="shared" si="979"/>
        <v>ANTIVIRUS</v>
      </c>
      <c r="C19039" s="6">
        <v>63309.81</v>
      </c>
      <c r="D19039" s="5" t="s">
        <v>63</v>
      </c>
      <c r="E19039" s="5" t="str">
        <f t="shared" si="978"/>
        <v>SISTEMAS-GLOBALTRONIK SAS-SERGIO PATIÑO</v>
      </c>
      <c r="F19039" s="5" t="str">
        <f>"Descripcion:ANTIVIRUS ESET ENDPOINT SECURITY RENOVACIÓN (NOD32) Estado: Bueno Placa anterior: 000038563 Material:  Color:  Referencia:  Observacion:     Placa padre:  Tipo adquisicion : Entidad"</f>
        <v>Descripcion:ANTIVIRUS ESET ENDPOINT SECURITY RENOVACIÓN (NOD32) Estado: Bueno Placa anterior: 000038563 Material:  Color:  Referencia:  Observacion:     Placa padre:  Tipo adquisicion : Entidad</v>
      </c>
      <c r="G19039" s="5"/>
    </row>
    <row r="19040" spans="1:7" ht="58.5" customHeight="1" x14ac:dyDescent="0.25">
      <c r="A19040" s="5" t="str">
        <f>"B0001092"</f>
        <v>B0001092</v>
      </c>
      <c r="B19040" s="5" t="str">
        <f t="shared" si="979"/>
        <v>ANTIVIRUS</v>
      </c>
      <c r="C19040" s="6">
        <v>129970</v>
      </c>
      <c r="D19040" s="5" t="s">
        <v>63</v>
      </c>
      <c r="E19040" s="5" t="str">
        <f t="shared" si="978"/>
        <v>SISTEMAS-GLOBALTRONIK SAS-SERGIO PATIÑO</v>
      </c>
      <c r="F19040" s="5" t="str">
        <f>"Descripcion:ANTIVIRUS ESET ENDPOINT SECURITY (NOD32) Estado: Bueno Placa anterior: 000038084 Material:  Color:  Referencia:  Observacion:     Placa padre:  Tipo adquisicion : Entidad"</f>
        <v>Descripcion:ANTIVIRUS ESET ENDPOINT SECURITY (NOD32) Estado: Bueno Placa anterior: 000038084 Material:  Color:  Referencia:  Observacion:     Placa padre:  Tipo adquisicion : Entidad</v>
      </c>
      <c r="G19040" s="5"/>
    </row>
    <row r="19041" spans="1:7" ht="58.5" customHeight="1" x14ac:dyDescent="0.25">
      <c r="A19041" s="5" t="str">
        <f>"B0001093"</f>
        <v>B0001093</v>
      </c>
      <c r="B19041" s="5" t="str">
        <f t="shared" si="979"/>
        <v>ANTIVIRUS</v>
      </c>
      <c r="C19041" s="6">
        <v>63309.81</v>
      </c>
      <c r="D19041" s="5" t="s">
        <v>63</v>
      </c>
      <c r="E19041" s="5" t="str">
        <f t="shared" si="978"/>
        <v>SISTEMAS-GLOBALTRONIK SAS-SERGIO PATIÑO</v>
      </c>
      <c r="F19041" s="5" t="str">
        <f>"Descripcion:ANTIVIRUS ESET ENDPOINT SECURITY RENOVACIÓN (NOD32) Estado: Bueno Placa anterior: 000038454 Material:  Color:  Referencia:  Observacion:     Placa padre:  Tipo adquisicion : Entidad"</f>
        <v>Descripcion:ANTIVIRUS ESET ENDPOINT SECURITY RENOVACIÓN (NOD32) Estado: Bueno Placa anterior: 000038454 Material:  Color:  Referencia:  Observacion:     Placa padre:  Tipo adquisicion : Entidad</v>
      </c>
      <c r="G19041" s="5"/>
    </row>
    <row r="19042" spans="1:7" ht="58.5" customHeight="1" x14ac:dyDescent="0.25">
      <c r="A19042" s="5" t="str">
        <f>"B0001094"</f>
        <v>B0001094</v>
      </c>
      <c r="B19042" s="5" t="str">
        <f t="shared" si="979"/>
        <v>ANTIVIRUS</v>
      </c>
      <c r="C19042" s="6">
        <v>63309.81</v>
      </c>
      <c r="D19042" s="5" t="s">
        <v>63</v>
      </c>
      <c r="E19042" s="5" t="str">
        <f t="shared" si="978"/>
        <v>SISTEMAS-GLOBALTRONIK SAS-SERGIO PATIÑO</v>
      </c>
      <c r="F19042" s="5" t="str">
        <f>"Descripcion:ANTIVIRUS ESET ENDPOINT SECURITY RENOVACIÓN (NOD32) Estado: Bueno Placa anterior: 000038386 Material:  Color:  Referencia:  Observacion:     Placa padre:  Tipo adquisicion : Entidad"</f>
        <v>Descripcion:ANTIVIRUS ESET ENDPOINT SECURITY RENOVACIÓN (NOD32) Estado: Bueno Placa anterior: 000038386 Material:  Color:  Referencia:  Observacion:     Placa padre:  Tipo adquisicion : Entidad</v>
      </c>
      <c r="G19042" s="5"/>
    </row>
    <row r="19043" spans="1:7" ht="58.5" customHeight="1" x14ac:dyDescent="0.25">
      <c r="A19043" s="5" t="str">
        <f>"B0001095"</f>
        <v>B0001095</v>
      </c>
      <c r="B19043" s="5" t="str">
        <f t="shared" si="979"/>
        <v>ANTIVIRUS</v>
      </c>
      <c r="C19043" s="6">
        <v>63309.81</v>
      </c>
      <c r="D19043" s="5" t="s">
        <v>63</v>
      </c>
      <c r="E19043" s="5" t="str">
        <f t="shared" si="978"/>
        <v>SISTEMAS-GLOBALTRONIK SAS-SERGIO PATIÑO</v>
      </c>
      <c r="F19043" s="5" t="str">
        <f>"Descripcion:ANTIVIRUS ESET ENDPOINT SECURITY RENOVACIÓN (NOD32) Estado: Bueno Placa anterior: 000038338 Material:  Color:  Referencia:  Observacion:     Placa padre:  Tipo adquisicion : Entidad"</f>
        <v>Descripcion:ANTIVIRUS ESET ENDPOINT SECURITY RENOVACIÓN (NOD32) Estado: Bueno Placa anterior: 000038338 Material:  Color:  Referencia:  Observacion:     Placa padre:  Tipo adquisicion : Entidad</v>
      </c>
      <c r="G19043" s="5"/>
    </row>
    <row r="19044" spans="1:7" ht="58.5" customHeight="1" x14ac:dyDescent="0.25">
      <c r="A19044" s="5" t="str">
        <f>"B0001096"</f>
        <v>B0001096</v>
      </c>
      <c r="B19044" s="5" t="str">
        <f t="shared" si="979"/>
        <v>ANTIVIRUS</v>
      </c>
      <c r="C19044" s="6">
        <v>129970</v>
      </c>
      <c r="D19044" s="5" t="s">
        <v>63</v>
      </c>
      <c r="E19044" s="5" t="str">
        <f t="shared" si="978"/>
        <v>SISTEMAS-GLOBALTRONIK SAS-SERGIO PATIÑO</v>
      </c>
      <c r="F19044" s="5" t="str">
        <f>"Descripcion:ANTIVIRUS ESET ENDPOINT SECURITY (NOD32) Estado: Bueno Placa anterior: 000038108 Material:  Color:  Referencia:  Observacion:     Placa padre:  Tipo adquisicion : Entidad"</f>
        <v>Descripcion:ANTIVIRUS ESET ENDPOINT SECURITY (NOD32) Estado: Bueno Placa anterior: 000038108 Material:  Color:  Referencia:  Observacion:     Placa padre:  Tipo adquisicion : Entidad</v>
      </c>
      <c r="G19044" s="5"/>
    </row>
    <row r="19045" spans="1:7" ht="58.5" customHeight="1" x14ac:dyDescent="0.25">
      <c r="A19045" s="5" t="str">
        <f>"B0001097"</f>
        <v>B0001097</v>
      </c>
      <c r="B19045" s="5" t="str">
        <f t="shared" si="979"/>
        <v>ANTIVIRUS</v>
      </c>
      <c r="C19045" s="6">
        <v>63309.81</v>
      </c>
      <c r="D19045" s="5" t="s">
        <v>63</v>
      </c>
      <c r="E19045" s="5" t="str">
        <f t="shared" si="978"/>
        <v>SISTEMAS-GLOBALTRONIK SAS-SERGIO PATIÑO</v>
      </c>
      <c r="F19045" s="5" t="str">
        <f>"Descripcion:ANTIVIRUS ESET ENDPOINT SECURITY RENOVACIÓN (NOD32) Estado: Bueno Placa anterior: 000038736 Material:  Color:  Referencia:  Observacion:     Placa padre:  Tipo adquisicion : Entidad"</f>
        <v>Descripcion:ANTIVIRUS ESET ENDPOINT SECURITY RENOVACIÓN (NOD32) Estado: Bueno Placa anterior: 000038736 Material:  Color:  Referencia:  Observacion:     Placa padre:  Tipo adquisicion : Entidad</v>
      </c>
      <c r="G19045" s="5"/>
    </row>
    <row r="19046" spans="1:7" ht="58.5" customHeight="1" x14ac:dyDescent="0.25">
      <c r="A19046" s="5" t="str">
        <f>"B0001098"</f>
        <v>B0001098</v>
      </c>
      <c r="B19046" s="5" t="str">
        <f t="shared" si="979"/>
        <v>ANTIVIRUS</v>
      </c>
      <c r="C19046" s="6">
        <v>63309.81</v>
      </c>
      <c r="D19046" s="5" t="s">
        <v>63</v>
      </c>
      <c r="E19046" s="5" t="str">
        <f t="shared" si="978"/>
        <v>SISTEMAS-GLOBALTRONIK SAS-SERGIO PATIÑO</v>
      </c>
      <c r="F19046" s="5" t="str">
        <f>"Descripcion:ANTIVIRUS ESET ENDPOINT SECURITY RENOVACIÓN (NOD32) Estado: Bueno Placa anterior: 000038683 Material:  Color:  Referencia:  Observacion:     Placa padre:  Tipo adquisicion : Entidad"</f>
        <v>Descripcion:ANTIVIRUS ESET ENDPOINT SECURITY RENOVACIÓN (NOD32) Estado: Bueno Placa anterior: 000038683 Material:  Color:  Referencia:  Observacion:     Placa padre:  Tipo adquisicion : Entidad</v>
      </c>
      <c r="G19046" s="5"/>
    </row>
    <row r="19047" spans="1:7" ht="58.5" customHeight="1" x14ac:dyDescent="0.25">
      <c r="A19047" s="5" t="str">
        <f>"B0001099"</f>
        <v>B0001099</v>
      </c>
      <c r="B19047" s="5" t="str">
        <f t="shared" si="979"/>
        <v>ANTIVIRUS</v>
      </c>
      <c r="C19047" s="6">
        <v>63309.81</v>
      </c>
      <c r="D19047" s="5" t="s">
        <v>63</v>
      </c>
      <c r="E19047" s="5" t="str">
        <f t="shared" si="978"/>
        <v>SISTEMAS-GLOBALTRONIK SAS-SERGIO PATIÑO</v>
      </c>
      <c r="F19047" s="5" t="str">
        <f>"Descripcion:ANTIVIRUS ESET ENDPOINT SECURITY RENOVACIÓN (NOD32) Estado: Bueno Placa anterior: 000038561 Material:  Color:  Referencia:  Observacion:     Placa padre:  Tipo adquisicion : Entidad"</f>
        <v>Descripcion:ANTIVIRUS ESET ENDPOINT SECURITY RENOVACIÓN (NOD32) Estado: Bueno Placa anterior: 000038561 Material:  Color:  Referencia:  Observacion:     Placa padre:  Tipo adquisicion : Entidad</v>
      </c>
      <c r="G19047" s="5"/>
    </row>
    <row r="19048" spans="1:7" ht="58.5" customHeight="1" x14ac:dyDescent="0.25">
      <c r="A19048" s="5" t="str">
        <f>"B0001100"</f>
        <v>B0001100</v>
      </c>
      <c r="B19048" s="5" t="str">
        <f t="shared" si="979"/>
        <v>ANTIVIRUS</v>
      </c>
      <c r="C19048" s="6">
        <v>129970</v>
      </c>
      <c r="D19048" s="5" t="s">
        <v>63</v>
      </c>
      <c r="E19048" s="5" t="str">
        <f t="shared" si="978"/>
        <v>SISTEMAS-GLOBALTRONIK SAS-SERGIO PATIÑO</v>
      </c>
      <c r="F19048" s="5" t="str">
        <f>"Descripcion:ANTIVIRUS ESET ENDPOINT SECURITY (NOD32) Estado: Bueno Placa anterior: 000038127 Material:  Color:  Referencia:  Observacion:     Placa padre:  Tipo adquisicion : Entidad"</f>
        <v>Descripcion:ANTIVIRUS ESET ENDPOINT SECURITY (NOD32) Estado: Bueno Placa anterior: 000038127 Material:  Color:  Referencia:  Observacion:     Placa padre:  Tipo adquisicion : Entidad</v>
      </c>
      <c r="G19048" s="5"/>
    </row>
    <row r="19049" spans="1:7" ht="58.5" customHeight="1" x14ac:dyDescent="0.25">
      <c r="A19049" s="5" t="str">
        <f>"B0001101"</f>
        <v>B0001101</v>
      </c>
      <c r="B19049" s="5" t="str">
        <f t="shared" si="979"/>
        <v>ANTIVIRUS</v>
      </c>
      <c r="C19049" s="6">
        <v>129970</v>
      </c>
      <c r="D19049" s="5" t="s">
        <v>63</v>
      </c>
      <c r="E19049" s="5" t="str">
        <f t="shared" si="978"/>
        <v>SISTEMAS-GLOBALTRONIK SAS-SERGIO PATIÑO</v>
      </c>
      <c r="F19049" s="5" t="str">
        <f>"Descripcion:ANTIVIRUS ESET ENDPOINT SECURITY (NOD32) Estado: Bueno Placa anterior: 000038076 Material:  Color:  Referencia:  Observacion:     Placa padre:  Tipo adquisicion : Entidad"</f>
        <v>Descripcion:ANTIVIRUS ESET ENDPOINT SECURITY (NOD32) Estado: Bueno Placa anterior: 000038076 Material:  Color:  Referencia:  Observacion:     Placa padre:  Tipo adquisicion : Entidad</v>
      </c>
      <c r="G19049" s="5"/>
    </row>
    <row r="19050" spans="1:7" ht="58.5" customHeight="1" x14ac:dyDescent="0.25">
      <c r="A19050" s="5" t="str">
        <f>"B0001102"</f>
        <v>B0001102</v>
      </c>
      <c r="B19050" s="5" t="str">
        <f t="shared" si="979"/>
        <v>ANTIVIRUS</v>
      </c>
      <c r="C19050" s="6">
        <v>129970</v>
      </c>
      <c r="D19050" s="5" t="s">
        <v>63</v>
      </c>
      <c r="E19050" s="5" t="str">
        <f t="shared" si="978"/>
        <v>SISTEMAS-GLOBALTRONIK SAS-SERGIO PATIÑO</v>
      </c>
      <c r="F19050" s="5" t="str">
        <f>"Descripcion:ANTIVIRUS ESET ENDPOINT SECURITY (NOD32) Estado: Bueno Placa anterior: 000038136 Material:  Color:  Referencia:  Observacion:     Placa padre:  Tipo adquisicion : Entidad"</f>
        <v>Descripcion:ANTIVIRUS ESET ENDPOINT SECURITY (NOD32) Estado: Bueno Placa anterior: 000038136 Material:  Color:  Referencia:  Observacion:     Placa padre:  Tipo adquisicion : Entidad</v>
      </c>
      <c r="G19050" s="5"/>
    </row>
    <row r="19051" spans="1:7" ht="58.5" customHeight="1" x14ac:dyDescent="0.25">
      <c r="A19051" s="5" t="str">
        <f>"B0001103"</f>
        <v>B0001103</v>
      </c>
      <c r="B19051" s="5" t="str">
        <f t="shared" si="979"/>
        <v>ANTIVIRUS</v>
      </c>
      <c r="C19051" s="6">
        <v>63309.81</v>
      </c>
      <c r="D19051" s="5" t="s">
        <v>63</v>
      </c>
      <c r="E19051" s="5" t="str">
        <f t="shared" si="978"/>
        <v>SISTEMAS-GLOBALTRONIK SAS-SERGIO PATIÑO</v>
      </c>
      <c r="F19051" s="5" t="str">
        <f>"Descripcion:ANTIVIRUS ESET ENDPOINT SECURITY RENOVACIÓN (NOD32) Estado: Bueno Placa anterior: 000038744 Material:  Color:  Referencia:  Observacion:     Placa padre:  Tipo adquisicion : Entidad"</f>
        <v>Descripcion:ANTIVIRUS ESET ENDPOINT SECURITY RENOVACIÓN (NOD32) Estado: Bueno Placa anterior: 000038744 Material:  Color:  Referencia:  Observacion:     Placa padre:  Tipo adquisicion : Entidad</v>
      </c>
      <c r="G19051" s="5"/>
    </row>
    <row r="19052" spans="1:7" ht="58.5" customHeight="1" x14ac:dyDescent="0.25">
      <c r="A19052" s="5" t="str">
        <f>"B0001104"</f>
        <v>B0001104</v>
      </c>
      <c r="B19052" s="5" t="str">
        <f t="shared" si="979"/>
        <v>ANTIVIRUS</v>
      </c>
      <c r="C19052" s="6">
        <v>63309.81</v>
      </c>
      <c r="D19052" s="5" t="s">
        <v>63</v>
      </c>
      <c r="E19052" s="5" t="str">
        <f t="shared" si="978"/>
        <v>SISTEMAS-GLOBALTRONIK SAS-SERGIO PATIÑO</v>
      </c>
      <c r="F19052" s="5" t="str">
        <f>"Descripcion:ANTIVIRUS ESET ENDPOINT SECURITY RENOVACIÓN (NOD32) Estado: Bueno Placa anterior: 000038407 Material:  Color:  Referencia:  Observacion:     Placa padre:  Tipo adquisicion : Entidad"</f>
        <v>Descripcion:ANTIVIRUS ESET ENDPOINT SECURITY RENOVACIÓN (NOD32) Estado: Bueno Placa anterior: 000038407 Material:  Color:  Referencia:  Observacion:     Placa padre:  Tipo adquisicion : Entidad</v>
      </c>
      <c r="G19052" s="5"/>
    </row>
    <row r="19053" spans="1:7" ht="58.5" customHeight="1" x14ac:dyDescent="0.25">
      <c r="A19053" s="5" t="str">
        <f>"B0001105"</f>
        <v>B0001105</v>
      </c>
      <c r="B19053" s="5" t="str">
        <f t="shared" si="979"/>
        <v>ANTIVIRUS</v>
      </c>
      <c r="C19053" s="6">
        <v>63309.81</v>
      </c>
      <c r="D19053" s="5" t="s">
        <v>63</v>
      </c>
      <c r="E19053" s="5" t="str">
        <f t="shared" si="978"/>
        <v>SISTEMAS-GLOBALTRONIK SAS-SERGIO PATIÑO</v>
      </c>
      <c r="F19053" s="5" t="str">
        <f>"Descripcion:ANTIVIRUS ESET ENDPOINT SECURITY RENOVACIÓN (NOD32) Estado: Bueno Placa anterior: 000038446 Material:  Color:  Referencia:  Observacion:     Placa padre:  Tipo adquisicion : Entidad"</f>
        <v>Descripcion:ANTIVIRUS ESET ENDPOINT SECURITY RENOVACIÓN (NOD32) Estado: Bueno Placa anterior: 000038446 Material:  Color:  Referencia:  Observacion:     Placa padre:  Tipo adquisicion : Entidad</v>
      </c>
      <c r="G19053" s="5"/>
    </row>
    <row r="19054" spans="1:7" ht="58.5" customHeight="1" x14ac:dyDescent="0.25">
      <c r="A19054" s="5" t="str">
        <f>"B0001106"</f>
        <v>B0001106</v>
      </c>
      <c r="B19054" s="5" t="str">
        <f t="shared" si="979"/>
        <v>ANTIVIRUS</v>
      </c>
      <c r="C19054" s="6">
        <v>63309.81</v>
      </c>
      <c r="D19054" s="5" t="s">
        <v>63</v>
      </c>
      <c r="E19054" s="5" t="str">
        <f t="shared" si="978"/>
        <v>SISTEMAS-GLOBALTRONIK SAS-SERGIO PATIÑO</v>
      </c>
      <c r="F19054" s="5" t="str">
        <f>"Descripcion:ANTIVIRUS ESET ENDPOINT SECURITY RENOVACIÓN (NOD32) Estado: Bueno Placa anterior: 000038402 Material:  Color:  Referencia:  Observacion:     Placa padre:  Tipo adquisicion : Entidad"</f>
        <v>Descripcion:ANTIVIRUS ESET ENDPOINT SECURITY RENOVACIÓN (NOD32) Estado: Bueno Placa anterior: 000038402 Material:  Color:  Referencia:  Observacion:     Placa padre:  Tipo adquisicion : Entidad</v>
      </c>
      <c r="G19054" s="5"/>
    </row>
    <row r="19055" spans="1:7" ht="58.5" customHeight="1" x14ac:dyDescent="0.25">
      <c r="A19055" s="5" t="str">
        <f>"B0001107"</f>
        <v>B0001107</v>
      </c>
      <c r="B19055" s="5" t="str">
        <f t="shared" si="979"/>
        <v>ANTIVIRUS</v>
      </c>
      <c r="C19055" s="6">
        <v>63309.81</v>
      </c>
      <c r="D19055" s="5" t="s">
        <v>63</v>
      </c>
      <c r="E19055" s="5" t="str">
        <f t="shared" si="978"/>
        <v>SISTEMAS-GLOBALTRONIK SAS-SERGIO PATIÑO</v>
      </c>
      <c r="F19055" s="5" t="str">
        <f>"Descripcion:ANTIVIRUS ESET ENDPOINT SECURITY RENOVACIÓN (NOD32) Estado: Bueno Placa anterior: 000038719 Material:  Color:  Referencia:  Observacion:     Placa padre:  Tipo adquisicion : Entidad"</f>
        <v>Descripcion:ANTIVIRUS ESET ENDPOINT SECURITY RENOVACIÓN (NOD32) Estado: Bueno Placa anterior: 000038719 Material:  Color:  Referencia:  Observacion:     Placa padre:  Tipo adquisicion : Entidad</v>
      </c>
      <c r="G19055" s="5"/>
    </row>
    <row r="19056" spans="1:7" ht="58.5" customHeight="1" x14ac:dyDescent="0.25">
      <c r="A19056" s="5" t="str">
        <f>"B0001108"</f>
        <v>B0001108</v>
      </c>
      <c r="B19056" s="5" t="str">
        <f t="shared" si="979"/>
        <v>ANTIVIRUS</v>
      </c>
      <c r="C19056" s="6">
        <v>129970</v>
      </c>
      <c r="D19056" s="5" t="s">
        <v>63</v>
      </c>
      <c r="E19056" s="5" t="str">
        <f t="shared" si="978"/>
        <v>SISTEMAS-GLOBALTRONIK SAS-SERGIO PATIÑO</v>
      </c>
      <c r="F19056" s="5" t="str">
        <f>"Descripcion:ANTIVIRUS ESET ENDPOINT SECURITY (NOD32) Estado: Bueno Placa anterior: 000038092 Material:  Color:  Referencia:  Observacion:     Placa padre:  Tipo adquisicion : Entidad"</f>
        <v>Descripcion:ANTIVIRUS ESET ENDPOINT SECURITY (NOD32) Estado: Bueno Placa anterior: 000038092 Material:  Color:  Referencia:  Observacion:     Placa padre:  Tipo adquisicion : Entidad</v>
      </c>
      <c r="G19056" s="5"/>
    </row>
    <row r="19057" spans="1:7" ht="58.5" customHeight="1" x14ac:dyDescent="0.25">
      <c r="A19057" s="5" t="str">
        <f>"B0001109"</f>
        <v>B0001109</v>
      </c>
      <c r="B19057" s="5" t="str">
        <f t="shared" si="979"/>
        <v>ANTIVIRUS</v>
      </c>
      <c r="C19057" s="6">
        <v>63309.81</v>
      </c>
      <c r="D19057" s="5" t="s">
        <v>63</v>
      </c>
      <c r="E19057" s="5" t="str">
        <f t="shared" si="978"/>
        <v>SISTEMAS-GLOBALTRONIK SAS-SERGIO PATIÑO</v>
      </c>
      <c r="F19057" s="5" t="str">
        <f>"Descripcion:ANTIVIRUS ESET ENDPOINT SECURITY RENOVACIÓN (NOD32) Estado: Bueno Placa anterior: 000038572 Material:  Color:  Referencia:  Observacion:     Placa padre:  Tipo adquisicion : Entidad"</f>
        <v>Descripcion:ANTIVIRUS ESET ENDPOINT SECURITY RENOVACIÓN (NOD32) Estado: Bueno Placa anterior: 000038572 Material:  Color:  Referencia:  Observacion:     Placa padre:  Tipo adquisicion : Entidad</v>
      </c>
      <c r="G19057" s="5"/>
    </row>
    <row r="19058" spans="1:7" ht="58.5" customHeight="1" x14ac:dyDescent="0.25">
      <c r="A19058" s="5" t="str">
        <f>"B0001110"</f>
        <v>B0001110</v>
      </c>
      <c r="B19058" s="5" t="str">
        <f t="shared" si="979"/>
        <v>ANTIVIRUS</v>
      </c>
      <c r="C19058" s="6">
        <v>63309.81</v>
      </c>
      <c r="D19058" s="5" t="s">
        <v>63</v>
      </c>
      <c r="E19058" s="5" t="str">
        <f t="shared" si="978"/>
        <v>SISTEMAS-GLOBALTRONIK SAS-SERGIO PATIÑO</v>
      </c>
      <c r="F19058" s="5" t="str">
        <f>"Descripcion:ANTIVIRUS ESET ENDPOINT SECURITY RENOVACIÓN (NOD32) Estado: Bueno Placa anterior: 000038778 Material:  Color:  Referencia:  Observacion:     Placa padre:  Tipo adquisicion : Entidad"</f>
        <v>Descripcion:ANTIVIRUS ESET ENDPOINT SECURITY RENOVACIÓN (NOD32) Estado: Bueno Placa anterior: 000038778 Material:  Color:  Referencia:  Observacion:     Placa padre:  Tipo adquisicion : Entidad</v>
      </c>
      <c r="G19058" s="5"/>
    </row>
    <row r="19059" spans="1:7" ht="58.5" customHeight="1" x14ac:dyDescent="0.25">
      <c r="A19059" s="5" t="str">
        <f>"B0001111"</f>
        <v>B0001111</v>
      </c>
      <c r="B19059" s="5" t="str">
        <f t="shared" si="979"/>
        <v>ANTIVIRUS</v>
      </c>
      <c r="C19059" s="6">
        <v>63309.81</v>
      </c>
      <c r="D19059" s="5" t="s">
        <v>63</v>
      </c>
      <c r="E19059" s="5" t="str">
        <f t="shared" si="978"/>
        <v>SISTEMAS-GLOBALTRONIK SAS-SERGIO PATIÑO</v>
      </c>
      <c r="F19059" s="5" t="str">
        <f>"Descripcion:ANTIVIRUS ESET ENDPOINT SECURITY RENOVACIÓN (NOD32) Estado: Bueno Placa anterior: 000038519 Material:  Color:  Referencia:  Observacion:     Placa padre:  Tipo adquisicion : Entidad"</f>
        <v>Descripcion:ANTIVIRUS ESET ENDPOINT SECURITY RENOVACIÓN (NOD32) Estado: Bueno Placa anterior: 000038519 Material:  Color:  Referencia:  Observacion:     Placa padre:  Tipo adquisicion : Entidad</v>
      </c>
      <c r="G19059" s="5"/>
    </row>
    <row r="19060" spans="1:7" ht="58.5" customHeight="1" x14ac:dyDescent="0.25">
      <c r="A19060" s="5" t="str">
        <f>"B0001112"</f>
        <v>B0001112</v>
      </c>
      <c r="B19060" s="5" t="str">
        <f t="shared" si="979"/>
        <v>ANTIVIRUS</v>
      </c>
      <c r="C19060" s="6">
        <v>63309.81</v>
      </c>
      <c r="D19060" s="5" t="s">
        <v>63</v>
      </c>
      <c r="E19060" s="5" t="str">
        <f t="shared" si="978"/>
        <v>SISTEMAS-GLOBALTRONIK SAS-SERGIO PATIÑO</v>
      </c>
      <c r="F19060" s="5" t="str">
        <f>"Descripcion:ANTIVIRUS ESET ENDPOINT SECURITY RENOVACIÓN (NOD32) Estado: Bueno Placa anterior: 000038504 Material:  Color:  Referencia:  Observacion:     Placa padre:  Tipo adquisicion : Entidad"</f>
        <v>Descripcion:ANTIVIRUS ESET ENDPOINT SECURITY RENOVACIÓN (NOD32) Estado: Bueno Placa anterior: 000038504 Material:  Color:  Referencia:  Observacion:     Placa padre:  Tipo adquisicion : Entidad</v>
      </c>
      <c r="G19060" s="5"/>
    </row>
    <row r="19061" spans="1:7" ht="58.5" customHeight="1" x14ac:dyDescent="0.25">
      <c r="A19061" s="5" t="str">
        <f>"B0001113"</f>
        <v>B0001113</v>
      </c>
      <c r="B19061" s="5" t="str">
        <f t="shared" si="979"/>
        <v>ANTIVIRUS</v>
      </c>
      <c r="C19061" s="6">
        <v>63309.81</v>
      </c>
      <c r="D19061" s="5" t="s">
        <v>63</v>
      </c>
      <c r="E19061" s="5" t="str">
        <f t="shared" si="978"/>
        <v>SISTEMAS-GLOBALTRONIK SAS-SERGIO PATIÑO</v>
      </c>
      <c r="F19061" s="5" t="str">
        <f>"Descripcion:ANTIVIRUS ESET ENDPOINT SECURITY RENOVACIÓN (NOD32) Estado: Bueno Placa anterior: 000038481 Material:  Color:  Referencia:  Observacion:     Placa padre:  Tipo adquisicion : Entidad"</f>
        <v>Descripcion:ANTIVIRUS ESET ENDPOINT SECURITY RENOVACIÓN (NOD32) Estado: Bueno Placa anterior: 000038481 Material:  Color:  Referencia:  Observacion:     Placa padre:  Tipo adquisicion : Entidad</v>
      </c>
      <c r="G19061" s="5"/>
    </row>
    <row r="19062" spans="1:7" ht="58.5" customHeight="1" x14ac:dyDescent="0.25">
      <c r="A19062" s="5" t="str">
        <f>"B0001114"</f>
        <v>B0001114</v>
      </c>
      <c r="B19062" s="5" t="str">
        <f t="shared" si="979"/>
        <v>ANTIVIRUS</v>
      </c>
      <c r="C19062" s="6">
        <v>63309.81</v>
      </c>
      <c r="D19062" s="5" t="s">
        <v>63</v>
      </c>
      <c r="E19062" s="5" t="str">
        <f t="shared" si="978"/>
        <v>SISTEMAS-GLOBALTRONIK SAS-SERGIO PATIÑO</v>
      </c>
      <c r="F19062" s="5" t="str">
        <f>"Descripcion:ANTIVIRUS ESET ENDPOINT SECURITY RENOVACIÓN (NOD32) Estado: Bueno Placa anterior: 000038692 Material:  Color:  Referencia:  Observacion:     Placa padre:  Tipo adquisicion : Entidad"</f>
        <v>Descripcion:ANTIVIRUS ESET ENDPOINT SECURITY RENOVACIÓN (NOD32) Estado: Bueno Placa anterior: 000038692 Material:  Color:  Referencia:  Observacion:     Placa padre:  Tipo adquisicion : Entidad</v>
      </c>
      <c r="G19062" s="5"/>
    </row>
    <row r="19063" spans="1:7" ht="58.5" customHeight="1" x14ac:dyDescent="0.25">
      <c r="A19063" s="5" t="str">
        <f>"B0001115"</f>
        <v>B0001115</v>
      </c>
      <c r="B19063" s="5" t="str">
        <f t="shared" si="979"/>
        <v>ANTIVIRUS</v>
      </c>
      <c r="C19063" s="6">
        <v>63309.81</v>
      </c>
      <c r="D19063" s="5" t="s">
        <v>63</v>
      </c>
      <c r="E19063" s="5" t="str">
        <f t="shared" si="978"/>
        <v>SISTEMAS-GLOBALTRONIK SAS-SERGIO PATIÑO</v>
      </c>
      <c r="F19063" s="5" t="str">
        <f>"Descripcion:ANTIVIRUS ESET ENDPOINT SECURITY RENOVACIÓN (NOD32) Estado: Bueno Placa anterior: 000038343 Material:  Color:  Referencia:  Observacion:     Placa padre:  Tipo adquisicion : Entidad"</f>
        <v>Descripcion:ANTIVIRUS ESET ENDPOINT SECURITY RENOVACIÓN (NOD32) Estado: Bueno Placa anterior: 000038343 Material:  Color:  Referencia:  Observacion:     Placa padre:  Tipo adquisicion : Entidad</v>
      </c>
      <c r="G19063" s="5"/>
    </row>
    <row r="19064" spans="1:7" ht="58.5" customHeight="1" x14ac:dyDescent="0.25">
      <c r="A19064" s="5" t="str">
        <f>"B0001116"</f>
        <v>B0001116</v>
      </c>
      <c r="B19064" s="5" t="str">
        <f t="shared" si="979"/>
        <v>ANTIVIRUS</v>
      </c>
      <c r="C19064" s="6">
        <v>63309.81</v>
      </c>
      <c r="D19064" s="5" t="s">
        <v>63</v>
      </c>
      <c r="E19064" s="5" t="str">
        <f t="shared" si="978"/>
        <v>SISTEMAS-GLOBALTRONIK SAS-SERGIO PATIÑO</v>
      </c>
      <c r="F19064" s="5" t="str">
        <f>"Descripcion:ANTIVIRUS ESET ENDPOINT SECURITY RENOVACIÓN (NOD32) Estado: Bueno Placa anterior: 000038614 Material:  Color:  Referencia:  Observacion:     Placa padre:  Tipo adquisicion : Entidad"</f>
        <v>Descripcion:ANTIVIRUS ESET ENDPOINT SECURITY RENOVACIÓN (NOD32) Estado: Bueno Placa anterior: 000038614 Material:  Color:  Referencia:  Observacion:     Placa padre:  Tipo adquisicion : Entidad</v>
      </c>
      <c r="G19064" s="5"/>
    </row>
    <row r="19065" spans="1:7" ht="58.5" customHeight="1" x14ac:dyDescent="0.25">
      <c r="A19065" s="5" t="str">
        <f>"B0001117"</f>
        <v>B0001117</v>
      </c>
      <c r="B19065" s="5" t="str">
        <f t="shared" si="979"/>
        <v>ANTIVIRUS</v>
      </c>
      <c r="C19065" s="6">
        <v>63309.81</v>
      </c>
      <c r="D19065" s="5" t="s">
        <v>63</v>
      </c>
      <c r="E19065" s="5" t="str">
        <f t="shared" si="978"/>
        <v>SISTEMAS-GLOBALTRONIK SAS-SERGIO PATIÑO</v>
      </c>
      <c r="F19065" s="5" t="str">
        <f>"Descripcion:ANTIVIRUS ESET ENDPOINT SECURITY RENOVACIÓN (NOD32) Estado: Bueno Placa anterior: 000038648 Material:  Color:  Referencia:  Observacion:     Placa padre:  Tipo adquisicion : Entidad"</f>
        <v>Descripcion:ANTIVIRUS ESET ENDPOINT SECURITY RENOVACIÓN (NOD32) Estado: Bueno Placa anterior: 000038648 Material:  Color:  Referencia:  Observacion:     Placa padre:  Tipo adquisicion : Entidad</v>
      </c>
      <c r="G19065" s="5"/>
    </row>
    <row r="19066" spans="1:7" ht="58.5" customHeight="1" x14ac:dyDescent="0.25">
      <c r="A19066" s="5" t="str">
        <f>"B0001118"</f>
        <v>B0001118</v>
      </c>
      <c r="B19066" s="5" t="str">
        <f t="shared" si="979"/>
        <v>ANTIVIRUS</v>
      </c>
      <c r="C19066" s="6">
        <v>63309.81</v>
      </c>
      <c r="D19066" s="5" t="s">
        <v>63</v>
      </c>
      <c r="E19066" s="5" t="str">
        <f t="shared" si="978"/>
        <v>SISTEMAS-GLOBALTRONIK SAS-SERGIO PATIÑO</v>
      </c>
      <c r="F19066" s="5" t="str">
        <f>"Descripcion:ANTIVIRUS ESET ENDPOINT SECURITY RENOVACIÓN (NOD32) Estado: Bueno Placa anterior: 000038467 Material:  Color:  Referencia:  Observacion:     Placa padre:  Tipo adquisicion : Entidad"</f>
        <v>Descripcion:ANTIVIRUS ESET ENDPOINT SECURITY RENOVACIÓN (NOD32) Estado: Bueno Placa anterior: 000038467 Material:  Color:  Referencia:  Observacion:     Placa padre:  Tipo adquisicion : Entidad</v>
      </c>
      <c r="G19066" s="5"/>
    </row>
    <row r="19067" spans="1:7" ht="58.5" customHeight="1" x14ac:dyDescent="0.25">
      <c r="A19067" s="5" t="str">
        <f>"B0001119"</f>
        <v>B0001119</v>
      </c>
      <c r="B19067" s="5" t="str">
        <f t="shared" si="979"/>
        <v>ANTIVIRUS</v>
      </c>
      <c r="C19067" s="6">
        <v>63309.81</v>
      </c>
      <c r="D19067" s="5" t="s">
        <v>63</v>
      </c>
      <c r="E19067" s="5" t="str">
        <f t="shared" si="978"/>
        <v>SISTEMAS-GLOBALTRONIK SAS-SERGIO PATIÑO</v>
      </c>
      <c r="F19067" s="5" t="str">
        <f>"Descripcion:ANTIVIRUS ESET ENDPOINT SECURITY RENOVACIÓN (NOD32) Estado: Bueno Placa anterior: 000038693 Material:  Color:  Referencia:  Observacion:     Placa padre:  Tipo adquisicion : Entidad"</f>
        <v>Descripcion:ANTIVIRUS ESET ENDPOINT SECURITY RENOVACIÓN (NOD32) Estado: Bueno Placa anterior: 000038693 Material:  Color:  Referencia:  Observacion:     Placa padre:  Tipo adquisicion : Entidad</v>
      </c>
      <c r="G19067" s="5"/>
    </row>
    <row r="19068" spans="1:7" ht="58.5" customHeight="1" x14ac:dyDescent="0.25">
      <c r="A19068" s="5" t="str">
        <f>"B0001120"</f>
        <v>B0001120</v>
      </c>
      <c r="B19068" s="5" t="str">
        <f t="shared" si="979"/>
        <v>ANTIVIRUS</v>
      </c>
      <c r="C19068" s="6">
        <v>63309.81</v>
      </c>
      <c r="D19068" s="5" t="s">
        <v>63</v>
      </c>
      <c r="E19068" s="5" t="str">
        <f t="shared" si="978"/>
        <v>SISTEMAS-GLOBALTRONIK SAS-SERGIO PATIÑO</v>
      </c>
      <c r="F19068" s="5" t="str">
        <f>"Descripcion:ANTIVIRUS ESET ENDPOINT SECURITY RENOVACIÓN (NOD32) Estado: Bueno Placa anterior: 000038665 Material:  Color:  Referencia:  Observacion:     Placa padre:  Tipo adquisicion : Entidad"</f>
        <v>Descripcion:ANTIVIRUS ESET ENDPOINT SECURITY RENOVACIÓN (NOD32) Estado: Bueno Placa anterior: 000038665 Material:  Color:  Referencia:  Observacion:     Placa padre:  Tipo adquisicion : Entidad</v>
      </c>
      <c r="G19068" s="5"/>
    </row>
    <row r="19069" spans="1:7" ht="58.5" customHeight="1" x14ac:dyDescent="0.25">
      <c r="A19069" s="5" t="str">
        <f>"B0001121"</f>
        <v>B0001121</v>
      </c>
      <c r="B19069" s="5" t="str">
        <f t="shared" si="979"/>
        <v>ANTIVIRUS</v>
      </c>
      <c r="C19069" s="6">
        <v>63309.81</v>
      </c>
      <c r="D19069" s="5" t="s">
        <v>63</v>
      </c>
      <c r="E19069" s="5" t="str">
        <f t="shared" ref="E19069:E19132" si="980">"SISTEMAS-GLOBALTRONIK SAS-SERGIO PATIÑO"</f>
        <v>SISTEMAS-GLOBALTRONIK SAS-SERGIO PATIÑO</v>
      </c>
      <c r="F19069" s="5" t="str">
        <f>"Descripcion:ANTIVIRUS ESET ENDPOINT SECURITY RENOVACIÓN (NOD32) Estado: Bueno Placa anterior: 000038533 Material:  Color:  Referencia:  Observacion:     Placa padre:  Tipo adquisicion : Entidad"</f>
        <v>Descripcion:ANTIVIRUS ESET ENDPOINT SECURITY RENOVACIÓN (NOD32) Estado: Bueno Placa anterior: 000038533 Material:  Color:  Referencia:  Observacion:     Placa padre:  Tipo adquisicion : Entidad</v>
      </c>
      <c r="G19069" s="5"/>
    </row>
    <row r="19070" spans="1:7" ht="58.5" customHeight="1" x14ac:dyDescent="0.25">
      <c r="A19070" s="5" t="str">
        <f>"B0001122"</f>
        <v>B0001122</v>
      </c>
      <c r="B19070" s="5" t="str">
        <f t="shared" si="979"/>
        <v>ANTIVIRUS</v>
      </c>
      <c r="C19070" s="6">
        <v>63309.81</v>
      </c>
      <c r="D19070" s="5" t="s">
        <v>63</v>
      </c>
      <c r="E19070" s="5" t="str">
        <f t="shared" si="980"/>
        <v>SISTEMAS-GLOBALTRONIK SAS-SERGIO PATIÑO</v>
      </c>
      <c r="F19070" s="5" t="str">
        <f>"Descripcion:ANTIVIRUS ESET ENDPOINT SECURITY RENOVACIÓN (NOD32) Estado: Bueno Placa anterior: 000038411 Material:  Color:  Referencia:  Observacion:     Placa padre:  Tipo adquisicion : Entidad"</f>
        <v>Descripcion:ANTIVIRUS ESET ENDPOINT SECURITY RENOVACIÓN (NOD32) Estado: Bueno Placa anterior: 000038411 Material:  Color:  Referencia:  Observacion:     Placa padre:  Tipo adquisicion : Entidad</v>
      </c>
      <c r="G19070" s="5"/>
    </row>
    <row r="19071" spans="1:7" ht="58.5" customHeight="1" x14ac:dyDescent="0.25">
      <c r="A19071" s="5" t="str">
        <f>"B0001123"</f>
        <v>B0001123</v>
      </c>
      <c r="B19071" s="5" t="str">
        <f t="shared" si="979"/>
        <v>ANTIVIRUS</v>
      </c>
      <c r="C19071" s="6">
        <v>63309.81</v>
      </c>
      <c r="D19071" s="5" t="s">
        <v>63</v>
      </c>
      <c r="E19071" s="5" t="str">
        <f t="shared" si="980"/>
        <v>SISTEMAS-GLOBALTRONIK SAS-SERGIO PATIÑO</v>
      </c>
      <c r="F19071" s="5" t="str">
        <f>"Descripcion:ANTIVIRUS ESET ENDPOINT SECURITY RENOVACIÓN (NOD32) Estado: Bueno Placa anterior: 000038532 Material:  Color:  Referencia:  Observacion:     Placa padre:  Tipo adquisicion : Entidad"</f>
        <v>Descripcion:ANTIVIRUS ESET ENDPOINT SECURITY RENOVACIÓN (NOD32) Estado: Bueno Placa anterior: 000038532 Material:  Color:  Referencia:  Observacion:     Placa padre:  Tipo adquisicion : Entidad</v>
      </c>
      <c r="G19071" s="5"/>
    </row>
    <row r="19072" spans="1:7" ht="58.5" customHeight="1" x14ac:dyDescent="0.25">
      <c r="A19072" s="5" t="str">
        <f>"B0001124"</f>
        <v>B0001124</v>
      </c>
      <c r="B19072" s="5" t="str">
        <f t="shared" si="979"/>
        <v>ANTIVIRUS</v>
      </c>
      <c r="C19072" s="6">
        <v>129970</v>
      </c>
      <c r="D19072" s="5" t="s">
        <v>63</v>
      </c>
      <c r="E19072" s="5" t="str">
        <f t="shared" si="980"/>
        <v>SISTEMAS-GLOBALTRONIK SAS-SERGIO PATIÑO</v>
      </c>
      <c r="F19072" s="5" t="str">
        <f>"Descripcion:ANTIVIRUS ESET ENDPOINT SECURITY (NOD32) Estado: Bueno Placa anterior: 000038120 Material:  Color:  Referencia:  Observacion:     Placa padre:  Tipo adquisicion : Entidad"</f>
        <v>Descripcion:ANTIVIRUS ESET ENDPOINT SECURITY (NOD32) Estado: Bueno Placa anterior: 000038120 Material:  Color:  Referencia:  Observacion:     Placa padre:  Tipo adquisicion : Entidad</v>
      </c>
      <c r="G19072" s="5"/>
    </row>
    <row r="19073" spans="1:7" ht="58.5" customHeight="1" x14ac:dyDescent="0.25">
      <c r="A19073" s="5" t="str">
        <f>"B0001125"</f>
        <v>B0001125</v>
      </c>
      <c r="B19073" s="5" t="str">
        <f t="shared" si="979"/>
        <v>ANTIVIRUS</v>
      </c>
      <c r="C19073" s="6">
        <v>63309.81</v>
      </c>
      <c r="D19073" s="5" t="s">
        <v>63</v>
      </c>
      <c r="E19073" s="5" t="str">
        <f t="shared" si="980"/>
        <v>SISTEMAS-GLOBALTRONIK SAS-SERGIO PATIÑO</v>
      </c>
      <c r="F19073" s="5" t="str">
        <f>"Descripcion:ANTIVIRUS ESET ENDPOINT SECURITY RENOVACIÓN (NOD32) Estado: Bueno Placa anterior: 000038750 Material:  Color:  Referencia:  Observacion:     Placa padre:  Tipo adquisicion : Entidad"</f>
        <v>Descripcion:ANTIVIRUS ESET ENDPOINT SECURITY RENOVACIÓN (NOD32) Estado: Bueno Placa anterior: 000038750 Material:  Color:  Referencia:  Observacion:     Placa padre:  Tipo adquisicion : Entidad</v>
      </c>
      <c r="G19073" s="5"/>
    </row>
    <row r="19074" spans="1:7" ht="58.5" customHeight="1" x14ac:dyDescent="0.25">
      <c r="A19074" s="5" t="str">
        <f>"B0001126"</f>
        <v>B0001126</v>
      </c>
      <c r="B19074" s="5" t="str">
        <f t="shared" si="979"/>
        <v>ANTIVIRUS</v>
      </c>
      <c r="C19074" s="6">
        <v>63309.81</v>
      </c>
      <c r="D19074" s="5" t="s">
        <v>63</v>
      </c>
      <c r="E19074" s="5" t="str">
        <f t="shared" si="980"/>
        <v>SISTEMAS-GLOBALTRONIK SAS-SERGIO PATIÑO</v>
      </c>
      <c r="F19074" s="5" t="str">
        <f>"Descripcion:ANTIVIRUS ESET ENDPOINT SECURITY RENOVACIÓN (NOD32) Estado: Bueno Placa anterior: 000038359 Material:  Color:  Referencia:  Observacion:     Placa padre:  Tipo adquisicion : Entidad"</f>
        <v>Descripcion:ANTIVIRUS ESET ENDPOINT SECURITY RENOVACIÓN (NOD32) Estado: Bueno Placa anterior: 000038359 Material:  Color:  Referencia:  Observacion:     Placa padre:  Tipo adquisicion : Entidad</v>
      </c>
      <c r="G19074" s="5"/>
    </row>
    <row r="19075" spans="1:7" ht="58.5" customHeight="1" x14ac:dyDescent="0.25">
      <c r="A19075" s="5" t="str">
        <f>"B0001127"</f>
        <v>B0001127</v>
      </c>
      <c r="B19075" s="5" t="str">
        <f t="shared" si="979"/>
        <v>ANTIVIRUS</v>
      </c>
      <c r="C19075" s="6">
        <v>63309.81</v>
      </c>
      <c r="D19075" s="5" t="s">
        <v>63</v>
      </c>
      <c r="E19075" s="5" t="str">
        <f t="shared" si="980"/>
        <v>SISTEMAS-GLOBALTRONIK SAS-SERGIO PATIÑO</v>
      </c>
      <c r="F19075" s="5" t="str">
        <f>"Descripcion:ANTIVIRUS ESET ENDPOINT SECURITY RENOVACIÓN (NOD32) Estado: Bueno Placa anterior: 000038396 Material:  Color:  Referencia:  Observacion:     Placa padre:  Tipo adquisicion : Entidad"</f>
        <v>Descripcion:ANTIVIRUS ESET ENDPOINT SECURITY RENOVACIÓN (NOD32) Estado: Bueno Placa anterior: 000038396 Material:  Color:  Referencia:  Observacion:     Placa padre:  Tipo adquisicion : Entidad</v>
      </c>
      <c r="G19075" s="5"/>
    </row>
    <row r="19076" spans="1:7" ht="58.5" customHeight="1" x14ac:dyDescent="0.25">
      <c r="A19076" s="5" t="str">
        <f>"B0001128"</f>
        <v>B0001128</v>
      </c>
      <c r="B19076" s="5" t="str">
        <f t="shared" ref="B19076:B19139" si="981">"ANTIVIRUS"</f>
        <v>ANTIVIRUS</v>
      </c>
      <c r="C19076" s="6">
        <v>63309.81</v>
      </c>
      <c r="D19076" s="5" t="s">
        <v>63</v>
      </c>
      <c r="E19076" s="5" t="str">
        <f t="shared" si="980"/>
        <v>SISTEMAS-GLOBALTRONIK SAS-SERGIO PATIÑO</v>
      </c>
      <c r="F19076" s="5" t="str">
        <f>"Descripcion:ANTIVIRUS ESET ENDPOINT SECURITY RENOVACIÓN (NOD32) Estado: Bueno Placa anterior: 000038592 Material:  Color:  Referencia:  Observacion:     Placa padre:  Tipo adquisicion : Entidad"</f>
        <v>Descripcion:ANTIVIRUS ESET ENDPOINT SECURITY RENOVACIÓN (NOD32) Estado: Bueno Placa anterior: 000038592 Material:  Color:  Referencia:  Observacion:     Placa padre:  Tipo adquisicion : Entidad</v>
      </c>
      <c r="G19076" s="5"/>
    </row>
    <row r="19077" spans="1:7" ht="58.5" customHeight="1" x14ac:dyDescent="0.25">
      <c r="A19077" s="5" t="str">
        <f>"B0001129"</f>
        <v>B0001129</v>
      </c>
      <c r="B19077" s="5" t="str">
        <f t="shared" si="981"/>
        <v>ANTIVIRUS</v>
      </c>
      <c r="C19077" s="6">
        <v>63309.81</v>
      </c>
      <c r="D19077" s="5" t="s">
        <v>63</v>
      </c>
      <c r="E19077" s="5" t="str">
        <f t="shared" si="980"/>
        <v>SISTEMAS-GLOBALTRONIK SAS-SERGIO PATIÑO</v>
      </c>
      <c r="F19077" s="5" t="str">
        <f>"Descripcion:ANTIVIRUS ESET ENDPOINT SECURITY RENOVACIÓN (NOD32) Estado: Bueno Placa anterior: 000038644 Material:  Color:  Referencia:  Observacion:     Placa padre:  Tipo adquisicion : Entidad"</f>
        <v>Descripcion:ANTIVIRUS ESET ENDPOINT SECURITY RENOVACIÓN (NOD32) Estado: Bueno Placa anterior: 000038644 Material:  Color:  Referencia:  Observacion:     Placa padre:  Tipo adquisicion : Entidad</v>
      </c>
      <c r="G19077" s="5"/>
    </row>
    <row r="19078" spans="1:7" ht="58.5" customHeight="1" x14ac:dyDescent="0.25">
      <c r="A19078" s="5" t="str">
        <f>"B0001130"</f>
        <v>B0001130</v>
      </c>
      <c r="B19078" s="5" t="str">
        <f t="shared" si="981"/>
        <v>ANTIVIRUS</v>
      </c>
      <c r="C19078" s="6">
        <v>63309.81</v>
      </c>
      <c r="D19078" s="5" t="s">
        <v>63</v>
      </c>
      <c r="E19078" s="5" t="str">
        <f t="shared" si="980"/>
        <v>SISTEMAS-GLOBALTRONIK SAS-SERGIO PATIÑO</v>
      </c>
      <c r="F19078" s="5" t="str">
        <f>"Descripcion:ANTIVIRUS ESET ENDPOINT SECURITY RENOVACIÓN (NOD32) Estado: Bueno Placa anterior: 000038354 Material:  Color:  Referencia:  Observacion:     Placa padre:  Tipo adquisicion : Entidad"</f>
        <v>Descripcion:ANTIVIRUS ESET ENDPOINT SECURITY RENOVACIÓN (NOD32) Estado: Bueno Placa anterior: 000038354 Material:  Color:  Referencia:  Observacion:     Placa padre:  Tipo adquisicion : Entidad</v>
      </c>
      <c r="G19078" s="5"/>
    </row>
    <row r="19079" spans="1:7" ht="58.5" customHeight="1" x14ac:dyDescent="0.25">
      <c r="A19079" s="5" t="str">
        <f>"B0001131"</f>
        <v>B0001131</v>
      </c>
      <c r="B19079" s="5" t="str">
        <f t="shared" si="981"/>
        <v>ANTIVIRUS</v>
      </c>
      <c r="C19079" s="6">
        <v>63309.81</v>
      </c>
      <c r="D19079" s="5" t="s">
        <v>63</v>
      </c>
      <c r="E19079" s="5" t="str">
        <f t="shared" si="980"/>
        <v>SISTEMAS-GLOBALTRONIK SAS-SERGIO PATIÑO</v>
      </c>
      <c r="F19079" s="5" t="str">
        <f>"Descripcion:ANTIVIRUS ESET ENDPOINT SECURITY RENOVACIÓN (NOD32) Estado: Bueno Placa anterior: 000038732 Material:  Color:  Referencia:  Observacion:     Placa padre:  Tipo adquisicion : Entidad"</f>
        <v>Descripcion:ANTIVIRUS ESET ENDPOINT SECURITY RENOVACIÓN (NOD32) Estado: Bueno Placa anterior: 000038732 Material:  Color:  Referencia:  Observacion:     Placa padre:  Tipo adquisicion : Entidad</v>
      </c>
      <c r="G19079" s="5"/>
    </row>
    <row r="19080" spans="1:7" ht="58.5" customHeight="1" x14ac:dyDescent="0.25">
      <c r="A19080" s="5" t="str">
        <f>"B0001132"</f>
        <v>B0001132</v>
      </c>
      <c r="B19080" s="5" t="str">
        <f t="shared" si="981"/>
        <v>ANTIVIRUS</v>
      </c>
      <c r="C19080" s="6">
        <v>129970</v>
      </c>
      <c r="D19080" s="5" t="s">
        <v>63</v>
      </c>
      <c r="E19080" s="5" t="str">
        <f t="shared" si="980"/>
        <v>SISTEMAS-GLOBALTRONIK SAS-SERGIO PATIÑO</v>
      </c>
      <c r="F19080" s="5" t="str">
        <f>"Descripcion:ANTIVIRUS ESET ENDPOINT SECURITY (NOD32) Estado: Bueno Placa anterior: 000038139 Material:  Color:  Referencia:  Observacion:     Placa padre:  Tipo adquisicion : Entidad"</f>
        <v>Descripcion:ANTIVIRUS ESET ENDPOINT SECURITY (NOD32) Estado: Bueno Placa anterior: 000038139 Material:  Color:  Referencia:  Observacion:     Placa padre:  Tipo adquisicion : Entidad</v>
      </c>
      <c r="G19080" s="5"/>
    </row>
    <row r="19081" spans="1:7" ht="58.5" customHeight="1" x14ac:dyDescent="0.25">
      <c r="A19081" s="5" t="str">
        <f>"B0001133"</f>
        <v>B0001133</v>
      </c>
      <c r="B19081" s="5" t="str">
        <f t="shared" si="981"/>
        <v>ANTIVIRUS</v>
      </c>
      <c r="C19081" s="6">
        <v>63309.81</v>
      </c>
      <c r="D19081" s="5" t="s">
        <v>63</v>
      </c>
      <c r="E19081" s="5" t="str">
        <f t="shared" si="980"/>
        <v>SISTEMAS-GLOBALTRONIK SAS-SERGIO PATIÑO</v>
      </c>
      <c r="F19081" s="5" t="str">
        <f>"Descripcion:ANTIVIRUS ESET ENDPOINT SECURITY RENOVACIÓN (NOD32) Estado: Bueno Placa anterior: 000038372 Material:  Color:  Referencia:  Observacion:     Placa padre:  Tipo adquisicion : Entidad"</f>
        <v>Descripcion:ANTIVIRUS ESET ENDPOINT SECURITY RENOVACIÓN (NOD32) Estado: Bueno Placa anterior: 000038372 Material:  Color:  Referencia:  Observacion:     Placa padre:  Tipo adquisicion : Entidad</v>
      </c>
      <c r="G19081" s="5"/>
    </row>
    <row r="19082" spans="1:7" ht="58.5" customHeight="1" x14ac:dyDescent="0.25">
      <c r="A19082" s="5" t="str">
        <f>"B0001134"</f>
        <v>B0001134</v>
      </c>
      <c r="B19082" s="5" t="str">
        <f t="shared" si="981"/>
        <v>ANTIVIRUS</v>
      </c>
      <c r="C19082" s="6">
        <v>63309.81</v>
      </c>
      <c r="D19082" s="5" t="s">
        <v>63</v>
      </c>
      <c r="E19082" s="5" t="str">
        <f t="shared" si="980"/>
        <v>SISTEMAS-GLOBALTRONIK SAS-SERGIO PATIÑO</v>
      </c>
      <c r="F19082" s="5" t="str">
        <f>"Descripcion:ANTIVIRUS ESET ENDPOINT SECURITY RENOVACIÓN (NOD32) Estado: Bueno Placa anterior: 000038772 Material:  Color:  Referencia:  Observacion:     Placa padre:  Tipo adquisicion : Entidad"</f>
        <v>Descripcion:ANTIVIRUS ESET ENDPOINT SECURITY RENOVACIÓN (NOD32) Estado: Bueno Placa anterior: 000038772 Material:  Color:  Referencia:  Observacion:     Placa padre:  Tipo adquisicion : Entidad</v>
      </c>
      <c r="G19082" s="5"/>
    </row>
    <row r="19083" spans="1:7" ht="58.5" customHeight="1" x14ac:dyDescent="0.25">
      <c r="A19083" s="5" t="str">
        <f>"B0001135"</f>
        <v>B0001135</v>
      </c>
      <c r="B19083" s="5" t="str">
        <f t="shared" si="981"/>
        <v>ANTIVIRUS</v>
      </c>
      <c r="C19083" s="6">
        <v>63309.81</v>
      </c>
      <c r="D19083" s="5" t="s">
        <v>63</v>
      </c>
      <c r="E19083" s="5" t="str">
        <f t="shared" si="980"/>
        <v>SISTEMAS-GLOBALTRONIK SAS-SERGIO PATIÑO</v>
      </c>
      <c r="F19083" s="5" t="str">
        <f>"Descripcion:ANTIVIRUS ESET ENDPOINT SECURITY RENOVACIÓN (NOD32) Estado: Bueno Placa anterior: 000038625 Material:  Color:  Referencia:  Observacion:     Placa padre:  Tipo adquisicion : Entidad"</f>
        <v>Descripcion:ANTIVIRUS ESET ENDPOINT SECURITY RENOVACIÓN (NOD32) Estado: Bueno Placa anterior: 000038625 Material:  Color:  Referencia:  Observacion:     Placa padre:  Tipo adquisicion : Entidad</v>
      </c>
      <c r="G19083" s="5"/>
    </row>
    <row r="19084" spans="1:7" ht="58.5" customHeight="1" x14ac:dyDescent="0.25">
      <c r="A19084" s="5" t="str">
        <f>"B0001136"</f>
        <v>B0001136</v>
      </c>
      <c r="B19084" s="5" t="str">
        <f t="shared" si="981"/>
        <v>ANTIVIRUS</v>
      </c>
      <c r="C19084" s="6">
        <v>129970</v>
      </c>
      <c r="D19084" s="5" t="s">
        <v>63</v>
      </c>
      <c r="E19084" s="5" t="str">
        <f t="shared" si="980"/>
        <v>SISTEMAS-GLOBALTRONIK SAS-SERGIO PATIÑO</v>
      </c>
      <c r="F19084" s="5" t="str">
        <f>"Descripcion:ANTIVIRUS ESET ENDPOINT SECURITY (NOD32) Estado: Bueno Placa anterior: 000038057 Material:  Color:  Referencia:  Observacion:     Placa padre:  Tipo adquisicion : Entidad"</f>
        <v>Descripcion:ANTIVIRUS ESET ENDPOINT SECURITY (NOD32) Estado: Bueno Placa anterior: 000038057 Material:  Color:  Referencia:  Observacion:     Placa padre:  Tipo adquisicion : Entidad</v>
      </c>
      <c r="G19084" s="5"/>
    </row>
    <row r="19085" spans="1:7" ht="58.5" customHeight="1" x14ac:dyDescent="0.25">
      <c r="A19085" s="5" t="str">
        <f>"B0001137"</f>
        <v>B0001137</v>
      </c>
      <c r="B19085" s="5" t="str">
        <f t="shared" si="981"/>
        <v>ANTIVIRUS</v>
      </c>
      <c r="C19085" s="6">
        <v>63309.81</v>
      </c>
      <c r="D19085" s="5" t="s">
        <v>63</v>
      </c>
      <c r="E19085" s="5" t="str">
        <f t="shared" si="980"/>
        <v>SISTEMAS-GLOBALTRONIK SAS-SERGIO PATIÑO</v>
      </c>
      <c r="F19085" s="5" t="str">
        <f>"Descripcion:ANTIVIRUS ESET ENDPOINT SECURITY RENOVACIÓN (NOD32) Estado: Bueno Placa anterior: 000038507 Material:  Color:  Referencia:  Observacion:     Placa padre:  Tipo adquisicion : Entidad"</f>
        <v>Descripcion:ANTIVIRUS ESET ENDPOINT SECURITY RENOVACIÓN (NOD32) Estado: Bueno Placa anterior: 000038507 Material:  Color:  Referencia:  Observacion:     Placa padre:  Tipo adquisicion : Entidad</v>
      </c>
      <c r="G19085" s="5"/>
    </row>
    <row r="19086" spans="1:7" ht="58.5" customHeight="1" x14ac:dyDescent="0.25">
      <c r="A19086" s="5" t="str">
        <f>"B0001138"</f>
        <v>B0001138</v>
      </c>
      <c r="B19086" s="5" t="str">
        <f t="shared" si="981"/>
        <v>ANTIVIRUS</v>
      </c>
      <c r="C19086" s="6">
        <v>63309.81</v>
      </c>
      <c r="D19086" s="5" t="s">
        <v>63</v>
      </c>
      <c r="E19086" s="5" t="str">
        <f t="shared" si="980"/>
        <v>SISTEMAS-GLOBALTRONIK SAS-SERGIO PATIÑO</v>
      </c>
      <c r="F19086" s="5" t="str">
        <f>"Descripcion:ANTIVIRUS ESET ENDPOINT SECURITY RENOVACIÓN (NOD32) Estado: Bueno Placa anterior: 000038319 Material:  Color:  Referencia:  Observacion:     Placa padre:  Tipo adquisicion : Entidad"</f>
        <v>Descripcion:ANTIVIRUS ESET ENDPOINT SECURITY RENOVACIÓN (NOD32) Estado: Bueno Placa anterior: 000038319 Material:  Color:  Referencia:  Observacion:     Placa padre:  Tipo adquisicion : Entidad</v>
      </c>
      <c r="G19086" s="5"/>
    </row>
    <row r="19087" spans="1:7" ht="58.5" customHeight="1" x14ac:dyDescent="0.25">
      <c r="A19087" s="5" t="str">
        <f>"B0001139"</f>
        <v>B0001139</v>
      </c>
      <c r="B19087" s="5" t="str">
        <f t="shared" si="981"/>
        <v>ANTIVIRUS</v>
      </c>
      <c r="C19087" s="6">
        <v>63309.81</v>
      </c>
      <c r="D19087" s="5" t="s">
        <v>63</v>
      </c>
      <c r="E19087" s="5" t="str">
        <f t="shared" si="980"/>
        <v>SISTEMAS-GLOBALTRONIK SAS-SERGIO PATIÑO</v>
      </c>
      <c r="F19087" s="5" t="str">
        <f>"Descripcion:ANTIVIRUS ESET ENDPOINT SECURITY RENOVACIÓN (NOD32) Estado: Bueno Placa anterior: 000038632 Material:  Color:  Referencia:  Observacion:     Placa padre:  Tipo adquisicion : Entidad"</f>
        <v>Descripcion:ANTIVIRUS ESET ENDPOINT SECURITY RENOVACIÓN (NOD32) Estado: Bueno Placa anterior: 000038632 Material:  Color:  Referencia:  Observacion:     Placa padre:  Tipo adquisicion : Entidad</v>
      </c>
      <c r="G19087" s="5"/>
    </row>
    <row r="19088" spans="1:7" ht="58.5" customHeight="1" x14ac:dyDescent="0.25">
      <c r="A19088" s="5" t="str">
        <f>"B0001140"</f>
        <v>B0001140</v>
      </c>
      <c r="B19088" s="5" t="str">
        <f t="shared" si="981"/>
        <v>ANTIVIRUS</v>
      </c>
      <c r="C19088" s="6">
        <v>129970</v>
      </c>
      <c r="D19088" s="5" t="s">
        <v>63</v>
      </c>
      <c r="E19088" s="5" t="str">
        <f t="shared" si="980"/>
        <v>SISTEMAS-GLOBALTRONIK SAS-SERGIO PATIÑO</v>
      </c>
      <c r="F19088" s="5" t="str">
        <f>"Descripcion:ANTIVIRUS ESET ENDPOINT SECURITY (NOD32) Estado: Bueno Placa anterior: 000038085 Material:  Color:  Referencia:  Observacion:     Placa padre:  Tipo adquisicion : Entidad"</f>
        <v>Descripcion:ANTIVIRUS ESET ENDPOINT SECURITY (NOD32) Estado: Bueno Placa anterior: 000038085 Material:  Color:  Referencia:  Observacion:     Placa padre:  Tipo adquisicion : Entidad</v>
      </c>
      <c r="G19088" s="5"/>
    </row>
    <row r="19089" spans="1:7" ht="58.5" customHeight="1" x14ac:dyDescent="0.25">
      <c r="A19089" s="5" t="str">
        <f>"B0001141"</f>
        <v>B0001141</v>
      </c>
      <c r="B19089" s="5" t="str">
        <f t="shared" si="981"/>
        <v>ANTIVIRUS</v>
      </c>
      <c r="C19089" s="6">
        <v>63309.81</v>
      </c>
      <c r="D19089" s="5" t="s">
        <v>63</v>
      </c>
      <c r="E19089" s="5" t="str">
        <f t="shared" si="980"/>
        <v>SISTEMAS-GLOBALTRONIK SAS-SERGIO PATIÑO</v>
      </c>
      <c r="F19089" s="5" t="str">
        <f>"Descripcion:ANTIVIRUS ESET ENDPOINT SECURITY RENOVACIÓN (NOD32) Estado: Bueno Placa anterior: 000038459 Material:  Color:  Referencia:  Observacion:     Placa padre:  Tipo adquisicion : Entidad"</f>
        <v>Descripcion:ANTIVIRUS ESET ENDPOINT SECURITY RENOVACIÓN (NOD32) Estado: Bueno Placa anterior: 000038459 Material:  Color:  Referencia:  Observacion:     Placa padre:  Tipo adquisicion : Entidad</v>
      </c>
      <c r="G19089" s="5"/>
    </row>
    <row r="19090" spans="1:7" ht="58.5" customHeight="1" x14ac:dyDescent="0.25">
      <c r="A19090" s="5" t="str">
        <f>"B0001142"</f>
        <v>B0001142</v>
      </c>
      <c r="B19090" s="5" t="str">
        <f t="shared" si="981"/>
        <v>ANTIVIRUS</v>
      </c>
      <c r="C19090" s="6">
        <v>63309.81</v>
      </c>
      <c r="D19090" s="5" t="s">
        <v>63</v>
      </c>
      <c r="E19090" s="5" t="str">
        <f t="shared" si="980"/>
        <v>SISTEMAS-GLOBALTRONIK SAS-SERGIO PATIÑO</v>
      </c>
      <c r="F19090" s="5" t="str">
        <f>"Descripcion:ANTIVIRUS ESET ENDPOINT SECURITY RENOVACIÓN (NOD32) Estado: Bueno Placa anterior: 000038531 Material:  Color:  Referencia:  Observacion:     Placa padre:  Tipo adquisicion : Entidad"</f>
        <v>Descripcion:ANTIVIRUS ESET ENDPOINT SECURITY RENOVACIÓN (NOD32) Estado: Bueno Placa anterior: 000038531 Material:  Color:  Referencia:  Observacion:     Placa padre:  Tipo adquisicion : Entidad</v>
      </c>
      <c r="G19090" s="5"/>
    </row>
    <row r="19091" spans="1:7" ht="58.5" customHeight="1" x14ac:dyDescent="0.25">
      <c r="A19091" s="5" t="str">
        <f>"B0001143"</f>
        <v>B0001143</v>
      </c>
      <c r="B19091" s="5" t="str">
        <f t="shared" si="981"/>
        <v>ANTIVIRUS</v>
      </c>
      <c r="C19091" s="6">
        <v>63309.81</v>
      </c>
      <c r="D19091" s="5" t="s">
        <v>63</v>
      </c>
      <c r="E19091" s="5" t="str">
        <f t="shared" si="980"/>
        <v>SISTEMAS-GLOBALTRONIK SAS-SERGIO PATIÑO</v>
      </c>
      <c r="F19091" s="5" t="str">
        <f>"Descripcion:ANTIVIRUS ESET ENDPOINT SECURITY RENOVACIÓN (NOD32) Estado: Bueno Placa anterior: 000038430 Material:  Color:  Referencia:  Observacion:     Placa padre:  Tipo adquisicion : Entidad"</f>
        <v>Descripcion:ANTIVIRUS ESET ENDPOINT SECURITY RENOVACIÓN (NOD32) Estado: Bueno Placa anterior: 000038430 Material:  Color:  Referencia:  Observacion:     Placa padre:  Tipo adquisicion : Entidad</v>
      </c>
      <c r="G19091" s="5"/>
    </row>
    <row r="19092" spans="1:7" ht="58.5" customHeight="1" x14ac:dyDescent="0.25">
      <c r="A19092" s="5" t="str">
        <f>"B0001144"</f>
        <v>B0001144</v>
      </c>
      <c r="B19092" s="5" t="str">
        <f t="shared" si="981"/>
        <v>ANTIVIRUS</v>
      </c>
      <c r="C19092" s="6">
        <v>63309.81</v>
      </c>
      <c r="D19092" s="5" t="s">
        <v>63</v>
      </c>
      <c r="E19092" s="5" t="str">
        <f t="shared" si="980"/>
        <v>SISTEMAS-GLOBALTRONIK SAS-SERGIO PATIÑO</v>
      </c>
      <c r="F19092" s="5" t="str">
        <f>"Descripcion:ANTIVIRUS ESET ENDPOINT SECURITY RENOVACIÓN (NOD32) Estado: Bueno Placa anterior: 000038321 Material:  Color:  Referencia:  Observacion:     Placa padre:  Tipo adquisicion : Entidad"</f>
        <v>Descripcion:ANTIVIRUS ESET ENDPOINT SECURITY RENOVACIÓN (NOD32) Estado: Bueno Placa anterior: 000038321 Material:  Color:  Referencia:  Observacion:     Placa padre:  Tipo adquisicion : Entidad</v>
      </c>
      <c r="G19092" s="5"/>
    </row>
    <row r="19093" spans="1:7" ht="58.5" customHeight="1" x14ac:dyDescent="0.25">
      <c r="A19093" s="5" t="str">
        <f>"B0001145"</f>
        <v>B0001145</v>
      </c>
      <c r="B19093" s="5" t="str">
        <f t="shared" si="981"/>
        <v>ANTIVIRUS</v>
      </c>
      <c r="C19093" s="6">
        <v>63309.81</v>
      </c>
      <c r="D19093" s="5" t="s">
        <v>63</v>
      </c>
      <c r="E19093" s="5" t="str">
        <f t="shared" si="980"/>
        <v>SISTEMAS-GLOBALTRONIK SAS-SERGIO PATIÑO</v>
      </c>
      <c r="F19093" s="5" t="str">
        <f>"Descripcion:ANTIVIRUS ESET ENDPOINT SECURITY RENOVACIÓN (NOD32) Estado: Bueno Placa anterior: 000038355 Material:  Color:  Referencia:  Observacion:     Placa padre:  Tipo adquisicion : Entidad"</f>
        <v>Descripcion:ANTIVIRUS ESET ENDPOINT SECURITY RENOVACIÓN (NOD32) Estado: Bueno Placa anterior: 000038355 Material:  Color:  Referencia:  Observacion:     Placa padre:  Tipo adquisicion : Entidad</v>
      </c>
      <c r="G19093" s="5"/>
    </row>
    <row r="19094" spans="1:7" ht="58.5" customHeight="1" x14ac:dyDescent="0.25">
      <c r="A19094" s="5" t="str">
        <f>"B0001146"</f>
        <v>B0001146</v>
      </c>
      <c r="B19094" s="5" t="str">
        <f t="shared" si="981"/>
        <v>ANTIVIRUS</v>
      </c>
      <c r="C19094" s="6">
        <v>63309.81</v>
      </c>
      <c r="D19094" s="5" t="s">
        <v>63</v>
      </c>
      <c r="E19094" s="5" t="str">
        <f t="shared" si="980"/>
        <v>SISTEMAS-GLOBALTRONIK SAS-SERGIO PATIÑO</v>
      </c>
      <c r="F19094" s="5" t="str">
        <f>"Descripcion:ANTIVIRUS ESET ENDPOINT SECURITY RENOVACIÓN (NOD32) Estado: Bueno Placa anterior: 000038764 Material:  Color:  Referencia:  Observacion:     Placa padre:  Tipo adquisicion : Entidad"</f>
        <v>Descripcion:ANTIVIRUS ESET ENDPOINT SECURITY RENOVACIÓN (NOD32) Estado: Bueno Placa anterior: 000038764 Material:  Color:  Referencia:  Observacion:     Placa padre:  Tipo adquisicion : Entidad</v>
      </c>
      <c r="G19094" s="5"/>
    </row>
    <row r="19095" spans="1:7" ht="58.5" customHeight="1" x14ac:dyDescent="0.25">
      <c r="A19095" s="5" t="str">
        <f>"B0001147"</f>
        <v>B0001147</v>
      </c>
      <c r="B19095" s="5" t="str">
        <f t="shared" si="981"/>
        <v>ANTIVIRUS</v>
      </c>
      <c r="C19095" s="6">
        <v>63309.81</v>
      </c>
      <c r="D19095" s="5" t="s">
        <v>63</v>
      </c>
      <c r="E19095" s="5" t="str">
        <f t="shared" si="980"/>
        <v>SISTEMAS-GLOBALTRONIK SAS-SERGIO PATIÑO</v>
      </c>
      <c r="F19095" s="5" t="str">
        <f>"Descripcion:ANTIVIRUS ESET ENDPOINT SECURITY RENOVACIÓN (NOD32) Estado: Bueno Placa anterior: 000038669 Material:  Color:  Referencia:  Observacion:     Placa padre:  Tipo adquisicion : Entidad"</f>
        <v>Descripcion:ANTIVIRUS ESET ENDPOINT SECURITY RENOVACIÓN (NOD32) Estado: Bueno Placa anterior: 000038669 Material:  Color:  Referencia:  Observacion:     Placa padre:  Tipo adquisicion : Entidad</v>
      </c>
      <c r="G19095" s="5"/>
    </row>
    <row r="19096" spans="1:7" ht="58.5" customHeight="1" x14ac:dyDescent="0.25">
      <c r="A19096" s="5" t="str">
        <f>"B0001148"</f>
        <v>B0001148</v>
      </c>
      <c r="B19096" s="5" t="str">
        <f t="shared" si="981"/>
        <v>ANTIVIRUS</v>
      </c>
      <c r="C19096" s="6">
        <v>63309.81</v>
      </c>
      <c r="D19096" s="5" t="s">
        <v>63</v>
      </c>
      <c r="E19096" s="5" t="str">
        <f t="shared" si="980"/>
        <v>SISTEMAS-GLOBALTRONIK SAS-SERGIO PATIÑO</v>
      </c>
      <c r="F19096" s="5" t="str">
        <f>"Descripcion:ANTIVIRUS ESET ENDPOINT SECURITY RENOVACIÓN (NOD32) Estado: Bueno Placa anterior: 000038770 Material:  Color:  Referencia:  Observacion:     Placa padre:  Tipo adquisicion : Entidad"</f>
        <v>Descripcion:ANTIVIRUS ESET ENDPOINT SECURITY RENOVACIÓN (NOD32) Estado: Bueno Placa anterior: 000038770 Material:  Color:  Referencia:  Observacion:     Placa padre:  Tipo adquisicion : Entidad</v>
      </c>
      <c r="G19096" s="5"/>
    </row>
    <row r="19097" spans="1:7" ht="58.5" customHeight="1" x14ac:dyDescent="0.25">
      <c r="A19097" s="5" t="str">
        <f>"B0001149"</f>
        <v>B0001149</v>
      </c>
      <c r="B19097" s="5" t="str">
        <f t="shared" si="981"/>
        <v>ANTIVIRUS</v>
      </c>
      <c r="C19097" s="6">
        <v>63309.81</v>
      </c>
      <c r="D19097" s="5" t="s">
        <v>63</v>
      </c>
      <c r="E19097" s="5" t="str">
        <f t="shared" si="980"/>
        <v>SISTEMAS-GLOBALTRONIK SAS-SERGIO PATIÑO</v>
      </c>
      <c r="F19097" s="5" t="str">
        <f>"Descripcion:ANTIVIRUS ESET ENDPOINT SECURITY RENOVACIÓN (NOD32) Estado: Bueno Placa anterior: 000038639 Material:  Color:  Referencia:  Observacion:     Placa padre:  Tipo adquisicion : Entidad"</f>
        <v>Descripcion:ANTIVIRUS ESET ENDPOINT SECURITY RENOVACIÓN (NOD32) Estado: Bueno Placa anterior: 000038639 Material:  Color:  Referencia:  Observacion:     Placa padre:  Tipo adquisicion : Entidad</v>
      </c>
      <c r="G19097" s="5"/>
    </row>
    <row r="19098" spans="1:7" ht="58.5" customHeight="1" x14ac:dyDescent="0.25">
      <c r="A19098" s="5" t="str">
        <f>"B0001150"</f>
        <v>B0001150</v>
      </c>
      <c r="B19098" s="5" t="str">
        <f t="shared" si="981"/>
        <v>ANTIVIRUS</v>
      </c>
      <c r="C19098" s="6">
        <v>129970</v>
      </c>
      <c r="D19098" s="5" t="s">
        <v>63</v>
      </c>
      <c r="E19098" s="5" t="str">
        <f t="shared" si="980"/>
        <v>SISTEMAS-GLOBALTRONIK SAS-SERGIO PATIÑO</v>
      </c>
      <c r="F19098" s="5" t="str">
        <f>"Descripcion:ANTIVIRUS ESET ENDPOINT SECURITY (NOD32) Estado: Bueno Placa anterior: 000038056 Material:  Color:  Referencia:  Observacion:     Placa padre:  Tipo adquisicion : Entidad"</f>
        <v>Descripcion:ANTIVIRUS ESET ENDPOINT SECURITY (NOD32) Estado: Bueno Placa anterior: 000038056 Material:  Color:  Referencia:  Observacion:     Placa padre:  Tipo adquisicion : Entidad</v>
      </c>
      <c r="G19098" s="5"/>
    </row>
    <row r="19099" spans="1:7" ht="58.5" customHeight="1" x14ac:dyDescent="0.25">
      <c r="A19099" s="5" t="str">
        <f>"B0001151"</f>
        <v>B0001151</v>
      </c>
      <c r="B19099" s="5" t="str">
        <f t="shared" si="981"/>
        <v>ANTIVIRUS</v>
      </c>
      <c r="C19099" s="6">
        <v>63309.81</v>
      </c>
      <c r="D19099" s="5" t="s">
        <v>63</v>
      </c>
      <c r="E19099" s="5" t="str">
        <f t="shared" si="980"/>
        <v>SISTEMAS-GLOBALTRONIK SAS-SERGIO PATIÑO</v>
      </c>
      <c r="F19099" s="5" t="str">
        <f>"Descripcion:ANTIVIRUS ESET ENDPOINT SECURITY RENOVACIÓN (NOD32) Estado: Bueno Placa anterior: 000038369 Material:  Color:  Referencia:  Observacion:     Placa padre:  Tipo adquisicion : Entidad"</f>
        <v>Descripcion:ANTIVIRUS ESET ENDPOINT SECURITY RENOVACIÓN (NOD32) Estado: Bueno Placa anterior: 000038369 Material:  Color:  Referencia:  Observacion:     Placa padre:  Tipo adquisicion : Entidad</v>
      </c>
      <c r="G19099" s="5"/>
    </row>
    <row r="19100" spans="1:7" ht="58.5" customHeight="1" x14ac:dyDescent="0.25">
      <c r="A19100" s="5" t="str">
        <f>"B0001152"</f>
        <v>B0001152</v>
      </c>
      <c r="B19100" s="5" t="str">
        <f t="shared" si="981"/>
        <v>ANTIVIRUS</v>
      </c>
      <c r="C19100" s="6">
        <v>129970</v>
      </c>
      <c r="D19100" s="5" t="s">
        <v>63</v>
      </c>
      <c r="E19100" s="5" t="str">
        <f t="shared" si="980"/>
        <v>SISTEMAS-GLOBALTRONIK SAS-SERGIO PATIÑO</v>
      </c>
      <c r="F19100" s="5" t="str">
        <f>"Descripcion:ANTIVIRUS ESET ENDPOINT SECURITY (NOD32) Estado: Bueno Placa anterior: 000038025 Material:  Color:  Referencia:  Observacion:     Placa padre:  Tipo adquisicion : Entidad"</f>
        <v>Descripcion:ANTIVIRUS ESET ENDPOINT SECURITY (NOD32) Estado: Bueno Placa anterior: 000038025 Material:  Color:  Referencia:  Observacion:     Placa padre:  Tipo adquisicion : Entidad</v>
      </c>
      <c r="G19100" s="5"/>
    </row>
    <row r="19101" spans="1:7" ht="58.5" customHeight="1" x14ac:dyDescent="0.25">
      <c r="A19101" s="5" t="str">
        <f>"B0001153"</f>
        <v>B0001153</v>
      </c>
      <c r="B19101" s="5" t="str">
        <f t="shared" si="981"/>
        <v>ANTIVIRUS</v>
      </c>
      <c r="C19101" s="6">
        <v>63309.81</v>
      </c>
      <c r="D19101" s="5" t="s">
        <v>63</v>
      </c>
      <c r="E19101" s="5" t="str">
        <f t="shared" si="980"/>
        <v>SISTEMAS-GLOBALTRONIK SAS-SERGIO PATIÑO</v>
      </c>
      <c r="F19101" s="5" t="str">
        <f>"Descripcion:ANTIVIRUS ESET ENDPOINT SECURITY RENOVACIÓN (NOD32) Estado: Bueno Placa anterior: 000038463 Material:  Color:  Referencia:  Observacion:     Placa padre:  Tipo adquisicion : Entidad"</f>
        <v>Descripcion:ANTIVIRUS ESET ENDPOINT SECURITY RENOVACIÓN (NOD32) Estado: Bueno Placa anterior: 000038463 Material:  Color:  Referencia:  Observacion:     Placa padre:  Tipo adquisicion : Entidad</v>
      </c>
      <c r="G19101" s="5"/>
    </row>
    <row r="19102" spans="1:7" ht="58.5" customHeight="1" x14ac:dyDescent="0.25">
      <c r="A19102" s="5" t="str">
        <f>"B0001154"</f>
        <v>B0001154</v>
      </c>
      <c r="B19102" s="5" t="str">
        <f t="shared" si="981"/>
        <v>ANTIVIRUS</v>
      </c>
      <c r="C19102" s="6">
        <v>63309.81</v>
      </c>
      <c r="D19102" s="5" t="s">
        <v>63</v>
      </c>
      <c r="E19102" s="5" t="str">
        <f t="shared" si="980"/>
        <v>SISTEMAS-GLOBALTRONIK SAS-SERGIO PATIÑO</v>
      </c>
      <c r="F19102" s="5" t="str">
        <f>"Descripcion:ANTIVIRUS ESET ENDPOINT SECURITY RENOVACIÓN (NOD32) Estado: Bueno Placa anterior: 000038615 Material:  Color:  Referencia:  Observacion:     Placa padre:  Tipo adquisicion : Entidad"</f>
        <v>Descripcion:ANTIVIRUS ESET ENDPOINT SECURITY RENOVACIÓN (NOD32) Estado: Bueno Placa anterior: 000038615 Material:  Color:  Referencia:  Observacion:     Placa padre:  Tipo adquisicion : Entidad</v>
      </c>
      <c r="G19102" s="5"/>
    </row>
    <row r="19103" spans="1:7" ht="58.5" customHeight="1" x14ac:dyDescent="0.25">
      <c r="A19103" s="5" t="str">
        <f>"B0001155"</f>
        <v>B0001155</v>
      </c>
      <c r="B19103" s="5" t="str">
        <f t="shared" si="981"/>
        <v>ANTIVIRUS</v>
      </c>
      <c r="C19103" s="6">
        <v>63309.81</v>
      </c>
      <c r="D19103" s="5" t="s">
        <v>63</v>
      </c>
      <c r="E19103" s="5" t="str">
        <f t="shared" si="980"/>
        <v>SISTEMAS-GLOBALTRONIK SAS-SERGIO PATIÑO</v>
      </c>
      <c r="F19103" s="5" t="str">
        <f>"Descripcion:ANTIVIRUS ESET ENDPOINT SECURITY RENOVACIÓN (NOD32) Estado: Bueno Placa anterior: 000038428 Material:  Color:  Referencia:  Observacion:     Placa padre:  Tipo adquisicion : Entidad"</f>
        <v>Descripcion:ANTIVIRUS ESET ENDPOINT SECURITY RENOVACIÓN (NOD32) Estado: Bueno Placa anterior: 000038428 Material:  Color:  Referencia:  Observacion:     Placa padre:  Tipo adquisicion : Entidad</v>
      </c>
      <c r="G19103" s="5"/>
    </row>
    <row r="19104" spans="1:7" ht="58.5" customHeight="1" x14ac:dyDescent="0.25">
      <c r="A19104" s="5" t="str">
        <f>"B0001156"</f>
        <v>B0001156</v>
      </c>
      <c r="B19104" s="5" t="str">
        <f t="shared" si="981"/>
        <v>ANTIVIRUS</v>
      </c>
      <c r="C19104" s="6">
        <v>63309.81</v>
      </c>
      <c r="D19104" s="5" t="s">
        <v>63</v>
      </c>
      <c r="E19104" s="5" t="str">
        <f t="shared" si="980"/>
        <v>SISTEMAS-GLOBALTRONIK SAS-SERGIO PATIÑO</v>
      </c>
      <c r="F19104" s="5" t="str">
        <f>"Descripcion:ANTIVIRUS ESET ENDPOINT SECURITY RENOVACIÓN (NOD32) Estado: Bueno Placa anterior: 000038472 Material:  Color:  Referencia:  Observacion:     Placa padre:  Tipo adquisicion : Entidad"</f>
        <v>Descripcion:ANTIVIRUS ESET ENDPOINT SECURITY RENOVACIÓN (NOD32) Estado: Bueno Placa anterior: 000038472 Material:  Color:  Referencia:  Observacion:     Placa padre:  Tipo adquisicion : Entidad</v>
      </c>
      <c r="G19104" s="5"/>
    </row>
    <row r="19105" spans="1:7" ht="58.5" customHeight="1" x14ac:dyDescent="0.25">
      <c r="A19105" s="5" t="str">
        <f>"B0001157"</f>
        <v>B0001157</v>
      </c>
      <c r="B19105" s="5" t="str">
        <f t="shared" si="981"/>
        <v>ANTIVIRUS</v>
      </c>
      <c r="C19105" s="6">
        <v>63309.81</v>
      </c>
      <c r="D19105" s="5" t="s">
        <v>63</v>
      </c>
      <c r="E19105" s="5" t="str">
        <f t="shared" si="980"/>
        <v>SISTEMAS-GLOBALTRONIK SAS-SERGIO PATIÑO</v>
      </c>
      <c r="F19105" s="5" t="str">
        <f>"Descripcion:ANTIVIRUS ESET ENDPOINT SECURITY RENOVACIÓN (NOD32) Estado: Bueno Placa anterior: 000038717 Material:  Color:  Referencia:  Observacion:     Placa padre:  Tipo adquisicion : Entidad"</f>
        <v>Descripcion:ANTIVIRUS ESET ENDPOINT SECURITY RENOVACIÓN (NOD32) Estado: Bueno Placa anterior: 000038717 Material:  Color:  Referencia:  Observacion:     Placa padre:  Tipo adquisicion : Entidad</v>
      </c>
      <c r="G19105" s="5"/>
    </row>
    <row r="19106" spans="1:7" ht="58.5" customHeight="1" x14ac:dyDescent="0.25">
      <c r="A19106" s="5" t="str">
        <f>"B0001158"</f>
        <v>B0001158</v>
      </c>
      <c r="B19106" s="5" t="str">
        <f t="shared" si="981"/>
        <v>ANTIVIRUS</v>
      </c>
      <c r="C19106" s="6">
        <v>63309.81</v>
      </c>
      <c r="D19106" s="5" t="s">
        <v>63</v>
      </c>
      <c r="E19106" s="5" t="str">
        <f t="shared" si="980"/>
        <v>SISTEMAS-GLOBALTRONIK SAS-SERGIO PATIÑO</v>
      </c>
      <c r="F19106" s="5" t="str">
        <f>"Descripcion:ANTIVIRUS ESET ENDPOINT SECURITY RENOVACIÓN (NOD32) Estado: Bueno Placa anterior: 000038690 Material:  Color:  Referencia:  Observacion:     Placa padre:  Tipo adquisicion : Entidad"</f>
        <v>Descripcion:ANTIVIRUS ESET ENDPOINT SECURITY RENOVACIÓN (NOD32) Estado: Bueno Placa anterior: 000038690 Material:  Color:  Referencia:  Observacion:     Placa padre:  Tipo adquisicion : Entidad</v>
      </c>
      <c r="G19106" s="5"/>
    </row>
    <row r="19107" spans="1:7" ht="58.5" customHeight="1" x14ac:dyDescent="0.25">
      <c r="A19107" s="5" t="str">
        <f>"B0001159"</f>
        <v>B0001159</v>
      </c>
      <c r="B19107" s="5" t="str">
        <f t="shared" si="981"/>
        <v>ANTIVIRUS</v>
      </c>
      <c r="C19107" s="6">
        <v>63309.81</v>
      </c>
      <c r="D19107" s="5" t="s">
        <v>63</v>
      </c>
      <c r="E19107" s="5" t="str">
        <f t="shared" si="980"/>
        <v>SISTEMAS-GLOBALTRONIK SAS-SERGIO PATIÑO</v>
      </c>
      <c r="F19107" s="5" t="str">
        <f>"Descripcion:ANTIVIRUS ESET ENDPOINT SECURITY RENOVACIÓN (NOD32) Estado: Bueno Placa anterior: 000038311 Material:  Color:  Referencia:  Observacion:     Placa padre:  Tipo adquisicion : Entidad"</f>
        <v>Descripcion:ANTIVIRUS ESET ENDPOINT SECURITY RENOVACIÓN (NOD32) Estado: Bueno Placa anterior: 000038311 Material:  Color:  Referencia:  Observacion:     Placa padre:  Tipo adquisicion : Entidad</v>
      </c>
      <c r="G19107" s="5"/>
    </row>
    <row r="19108" spans="1:7" ht="58.5" customHeight="1" x14ac:dyDescent="0.25">
      <c r="A19108" s="5" t="str">
        <f>"B0001160"</f>
        <v>B0001160</v>
      </c>
      <c r="B19108" s="5" t="str">
        <f t="shared" si="981"/>
        <v>ANTIVIRUS</v>
      </c>
      <c r="C19108" s="6">
        <v>129970</v>
      </c>
      <c r="D19108" s="5" t="s">
        <v>63</v>
      </c>
      <c r="E19108" s="5" t="str">
        <f t="shared" si="980"/>
        <v>SISTEMAS-GLOBALTRONIK SAS-SERGIO PATIÑO</v>
      </c>
      <c r="F19108" s="5" t="str">
        <f>"Descripcion:ANTIVIRUS ESET ENDPOINT SECURITY (NOD32) Estado: Bueno Placa anterior: 000038071 Material:  Color:  Referencia:  Observacion:     Placa padre:  Tipo adquisicion : Entidad"</f>
        <v>Descripcion:ANTIVIRUS ESET ENDPOINT SECURITY (NOD32) Estado: Bueno Placa anterior: 000038071 Material:  Color:  Referencia:  Observacion:     Placa padre:  Tipo adquisicion : Entidad</v>
      </c>
      <c r="G19108" s="5"/>
    </row>
    <row r="19109" spans="1:7" ht="58.5" customHeight="1" x14ac:dyDescent="0.25">
      <c r="A19109" s="5" t="str">
        <f>"B0001161"</f>
        <v>B0001161</v>
      </c>
      <c r="B19109" s="5" t="str">
        <f t="shared" si="981"/>
        <v>ANTIVIRUS</v>
      </c>
      <c r="C19109" s="6">
        <v>63309.81</v>
      </c>
      <c r="D19109" s="5" t="s">
        <v>63</v>
      </c>
      <c r="E19109" s="5" t="str">
        <f t="shared" si="980"/>
        <v>SISTEMAS-GLOBALTRONIK SAS-SERGIO PATIÑO</v>
      </c>
      <c r="F19109" s="5" t="str">
        <f>"Descripcion:ANTIVIRUS ESET ENDPOINT SECURITY RENOVACIÓN (NOD32) Estado: Bueno Placa anterior: 000038631 Material:  Color:  Referencia:  Observacion:     Placa padre:  Tipo adquisicion : Entidad"</f>
        <v>Descripcion:ANTIVIRUS ESET ENDPOINT SECURITY RENOVACIÓN (NOD32) Estado: Bueno Placa anterior: 000038631 Material:  Color:  Referencia:  Observacion:     Placa padre:  Tipo adquisicion : Entidad</v>
      </c>
      <c r="G19109" s="5"/>
    </row>
    <row r="19110" spans="1:7" ht="58.5" customHeight="1" x14ac:dyDescent="0.25">
      <c r="A19110" s="5" t="str">
        <f>"B0001162"</f>
        <v>B0001162</v>
      </c>
      <c r="B19110" s="5" t="str">
        <f t="shared" si="981"/>
        <v>ANTIVIRUS</v>
      </c>
      <c r="C19110" s="6">
        <v>63309.81</v>
      </c>
      <c r="D19110" s="5" t="s">
        <v>63</v>
      </c>
      <c r="E19110" s="5" t="str">
        <f t="shared" si="980"/>
        <v>SISTEMAS-GLOBALTRONIK SAS-SERGIO PATIÑO</v>
      </c>
      <c r="F19110" s="5" t="str">
        <f>"Descripcion:ANTIVIRUS ESET ENDPOINT SECURITY RENOVACIÓN (NOD32) Estado: Bueno Placa anterior: 000038706 Material:  Color:  Referencia:  Observacion:     Placa padre:  Tipo adquisicion : Entidad"</f>
        <v>Descripcion:ANTIVIRUS ESET ENDPOINT SECURITY RENOVACIÓN (NOD32) Estado: Bueno Placa anterior: 000038706 Material:  Color:  Referencia:  Observacion:     Placa padre:  Tipo adquisicion : Entidad</v>
      </c>
      <c r="G19110" s="5"/>
    </row>
    <row r="19111" spans="1:7" ht="58.5" customHeight="1" x14ac:dyDescent="0.25">
      <c r="A19111" s="5" t="str">
        <f>"B0001163"</f>
        <v>B0001163</v>
      </c>
      <c r="B19111" s="5" t="str">
        <f t="shared" si="981"/>
        <v>ANTIVIRUS</v>
      </c>
      <c r="C19111" s="6">
        <v>63309.81</v>
      </c>
      <c r="D19111" s="5" t="s">
        <v>63</v>
      </c>
      <c r="E19111" s="5" t="str">
        <f t="shared" si="980"/>
        <v>SISTEMAS-GLOBALTRONIK SAS-SERGIO PATIÑO</v>
      </c>
      <c r="F19111" s="5" t="str">
        <f>"Descripcion:ANTIVIRUS ESET ENDPOINT SECURITY RENOVACIÓN (NOD32) Estado: Bueno Placa anterior: 000038681 Material:  Color:  Referencia:  Observacion:     Placa padre:  Tipo adquisicion : Entidad"</f>
        <v>Descripcion:ANTIVIRUS ESET ENDPOINT SECURITY RENOVACIÓN (NOD32) Estado: Bueno Placa anterior: 000038681 Material:  Color:  Referencia:  Observacion:     Placa padre:  Tipo adquisicion : Entidad</v>
      </c>
      <c r="G19111" s="5"/>
    </row>
    <row r="19112" spans="1:7" ht="58.5" customHeight="1" x14ac:dyDescent="0.25">
      <c r="A19112" s="5" t="str">
        <f>"B0001164"</f>
        <v>B0001164</v>
      </c>
      <c r="B19112" s="5" t="str">
        <f t="shared" si="981"/>
        <v>ANTIVIRUS</v>
      </c>
      <c r="C19112" s="6">
        <v>63309.81</v>
      </c>
      <c r="D19112" s="5" t="s">
        <v>63</v>
      </c>
      <c r="E19112" s="5" t="str">
        <f t="shared" si="980"/>
        <v>SISTEMAS-GLOBALTRONIK SAS-SERGIO PATIÑO</v>
      </c>
      <c r="F19112" s="5" t="str">
        <f>"Descripcion:ANTIVIRUS ESET ENDPOINT SECURITY RENOVACIÓN (NOD32) Estado: Bueno Placa anterior: 000038542 Material:  Color:  Referencia:  Observacion:     Placa padre:  Tipo adquisicion : Entidad"</f>
        <v>Descripcion:ANTIVIRUS ESET ENDPOINT SECURITY RENOVACIÓN (NOD32) Estado: Bueno Placa anterior: 000038542 Material:  Color:  Referencia:  Observacion:     Placa padre:  Tipo adquisicion : Entidad</v>
      </c>
      <c r="G19112" s="5"/>
    </row>
    <row r="19113" spans="1:7" ht="58.5" customHeight="1" x14ac:dyDescent="0.25">
      <c r="A19113" s="5" t="str">
        <f>"B0001165"</f>
        <v>B0001165</v>
      </c>
      <c r="B19113" s="5" t="str">
        <f t="shared" si="981"/>
        <v>ANTIVIRUS</v>
      </c>
      <c r="C19113" s="6">
        <v>63309.81</v>
      </c>
      <c r="D19113" s="5" t="s">
        <v>63</v>
      </c>
      <c r="E19113" s="5" t="str">
        <f t="shared" si="980"/>
        <v>SISTEMAS-GLOBALTRONIK SAS-SERGIO PATIÑO</v>
      </c>
      <c r="F19113" s="5" t="str">
        <f>"Descripcion:ANTIVIRUS ESET ENDPOINT SECURITY RENOVACIÓN (NOD32) Estado: Bueno Placa anterior: 000038766 Material:  Color:  Referencia:  Observacion:     Placa padre:  Tipo adquisicion : Entidad"</f>
        <v>Descripcion:ANTIVIRUS ESET ENDPOINT SECURITY RENOVACIÓN (NOD32) Estado: Bueno Placa anterior: 000038766 Material:  Color:  Referencia:  Observacion:     Placa padre:  Tipo adquisicion : Entidad</v>
      </c>
      <c r="G19113" s="5"/>
    </row>
    <row r="19114" spans="1:7" ht="58.5" customHeight="1" x14ac:dyDescent="0.25">
      <c r="A19114" s="5" t="str">
        <f>"B0001166"</f>
        <v>B0001166</v>
      </c>
      <c r="B19114" s="5" t="str">
        <f t="shared" si="981"/>
        <v>ANTIVIRUS</v>
      </c>
      <c r="C19114" s="6">
        <v>63309.81</v>
      </c>
      <c r="D19114" s="5" t="s">
        <v>63</v>
      </c>
      <c r="E19114" s="5" t="str">
        <f t="shared" si="980"/>
        <v>SISTEMAS-GLOBALTRONIK SAS-SERGIO PATIÑO</v>
      </c>
      <c r="F19114" s="5" t="str">
        <f>"Descripcion:ANTIVIRUS ESET ENDPOINT SECURITY RENOVACIÓN (NOD32) Estado: Bueno Placa anterior: 000038779 Material:  Color:  Referencia:  Observacion:     Placa padre:  Tipo adquisicion : Entidad"</f>
        <v>Descripcion:ANTIVIRUS ESET ENDPOINT SECURITY RENOVACIÓN (NOD32) Estado: Bueno Placa anterior: 000038779 Material:  Color:  Referencia:  Observacion:     Placa padre:  Tipo adquisicion : Entidad</v>
      </c>
      <c r="G19114" s="5"/>
    </row>
    <row r="19115" spans="1:7" ht="58.5" customHeight="1" x14ac:dyDescent="0.25">
      <c r="A19115" s="5" t="str">
        <f>"B0001167"</f>
        <v>B0001167</v>
      </c>
      <c r="B19115" s="5" t="str">
        <f t="shared" si="981"/>
        <v>ANTIVIRUS</v>
      </c>
      <c r="C19115" s="6">
        <v>63309.81</v>
      </c>
      <c r="D19115" s="5" t="s">
        <v>63</v>
      </c>
      <c r="E19115" s="5" t="str">
        <f t="shared" si="980"/>
        <v>SISTEMAS-GLOBALTRONIK SAS-SERGIO PATIÑO</v>
      </c>
      <c r="F19115" s="5" t="str">
        <f>"Descripcion:ANTIVIRUS ESET ENDPOINT SECURITY RENOVACIÓN (NOD32) Estado: Bueno Placa anterior: 000038689 Material:  Color:  Referencia:  Observacion:     Placa padre:  Tipo adquisicion : Entidad"</f>
        <v>Descripcion:ANTIVIRUS ESET ENDPOINT SECURITY RENOVACIÓN (NOD32) Estado: Bueno Placa anterior: 000038689 Material:  Color:  Referencia:  Observacion:     Placa padre:  Tipo adquisicion : Entidad</v>
      </c>
      <c r="G19115" s="5"/>
    </row>
    <row r="19116" spans="1:7" ht="58.5" customHeight="1" x14ac:dyDescent="0.25">
      <c r="A19116" s="5" t="str">
        <f>"B0001168"</f>
        <v>B0001168</v>
      </c>
      <c r="B19116" s="5" t="str">
        <f t="shared" si="981"/>
        <v>ANTIVIRUS</v>
      </c>
      <c r="C19116" s="6">
        <v>63309.81</v>
      </c>
      <c r="D19116" s="5" t="s">
        <v>63</v>
      </c>
      <c r="E19116" s="5" t="str">
        <f t="shared" si="980"/>
        <v>SISTEMAS-GLOBALTRONIK SAS-SERGIO PATIÑO</v>
      </c>
      <c r="F19116" s="5" t="str">
        <f>"Descripcion:ANTIVIRUS ESET ENDPOINT SECURITY RENOVACIÓN (NOD32) Estado: Bueno Placa anterior: 000038771 Material:  Color:  Referencia:  Observacion:     Placa padre:  Tipo adquisicion : Entidad"</f>
        <v>Descripcion:ANTIVIRUS ESET ENDPOINT SECURITY RENOVACIÓN (NOD32) Estado: Bueno Placa anterior: 000038771 Material:  Color:  Referencia:  Observacion:     Placa padre:  Tipo adquisicion : Entidad</v>
      </c>
      <c r="G19116" s="5"/>
    </row>
    <row r="19117" spans="1:7" ht="58.5" customHeight="1" x14ac:dyDescent="0.25">
      <c r="A19117" s="5" t="str">
        <f>"B0001169"</f>
        <v>B0001169</v>
      </c>
      <c r="B19117" s="5" t="str">
        <f t="shared" si="981"/>
        <v>ANTIVIRUS</v>
      </c>
      <c r="C19117" s="6">
        <v>129970</v>
      </c>
      <c r="D19117" s="5" t="s">
        <v>63</v>
      </c>
      <c r="E19117" s="5" t="str">
        <f t="shared" si="980"/>
        <v>SISTEMAS-GLOBALTRONIK SAS-SERGIO PATIÑO</v>
      </c>
      <c r="F19117" s="5" t="str">
        <f>"Descripcion:ANTIVIRUS ESET ENDPOINT SECURITY (NOD32) Estado: Bueno Placa anterior: 000038124 Material:  Color:  Referencia:  Observacion:     Placa padre:  Tipo adquisicion : Entidad"</f>
        <v>Descripcion:ANTIVIRUS ESET ENDPOINT SECURITY (NOD32) Estado: Bueno Placa anterior: 000038124 Material:  Color:  Referencia:  Observacion:     Placa padre:  Tipo adquisicion : Entidad</v>
      </c>
      <c r="G19117" s="5"/>
    </row>
    <row r="19118" spans="1:7" ht="58.5" customHeight="1" x14ac:dyDescent="0.25">
      <c r="A19118" s="5" t="str">
        <f>"B0001170"</f>
        <v>B0001170</v>
      </c>
      <c r="B19118" s="5" t="str">
        <f t="shared" si="981"/>
        <v>ANTIVIRUS</v>
      </c>
      <c r="C19118" s="6">
        <v>63309.81</v>
      </c>
      <c r="D19118" s="5" t="s">
        <v>63</v>
      </c>
      <c r="E19118" s="5" t="str">
        <f t="shared" si="980"/>
        <v>SISTEMAS-GLOBALTRONIK SAS-SERGIO PATIÑO</v>
      </c>
      <c r="F19118" s="5" t="str">
        <f>"Descripcion:ANTIVIRUS ESET ENDPOINT SECURITY RENOVACIÓN (NOD32) Estado: Bueno Placa anterior: 000038699 Material:  Color:  Referencia:  Observacion:     Placa padre:  Tipo adquisicion : Entidad"</f>
        <v>Descripcion:ANTIVIRUS ESET ENDPOINT SECURITY RENOVACIÓN (NOD32) Estado: Bueno Placa anterior: 000038699 Material:  Color:  Referencia:  Observacion:     Placa padre:  Tipo adquisicion : Entidad</v>
      </c>
      <c r="G19118" s="5"/>
    </row>
    <row r="19119" spans="1:7" ht="58.5" customHeight="1" x14ac:dyDescent="0.25">
      <c r="A19119" s="5" t="str">
        <f>"B0001171"</f>
        <v>B0001171</v>
      </c>
      <c r="B19119" s="5" t="str">
        <f t="shared" si="981"/>
        <v>ANTIVIRUS</v>
      </c>
      <c r="C19119" s="6">
        <v>63309.81</v>
      </c>
      <c r="D19119" s="5" t="s">
        <v>63</v>
      </c>
      <c r="E19119" s="5" t="str">
        <f t="shared" si="980"/>
        <v>SISTEMAS-GLOBALTRONIK SAS-SERGIO PATIÑO</v>
      </c>
      <c r="F19119" s="5" t="str">
        <f>"Descripcion:ANTIVIRUS ESET ENDPOINT SECURITY RENOVACIÓN (NOD32) Estado: Bueno Placa anterior: 000038686 Material:  Color:  Referencia:  Observacion:     Placa padre:  Tipo adquisicion : Entidad"</f>
        <v>Descripcion:ANTIVIRUS ESET ENDPOINT SECURITY RENOVACIÓN (NOD32) Estado: Bueno Placa anterior: 000038686 Material:  Color:  Referencia:  Observacion:     Placa padre:  Tipo adquisicion : Entidad</v>
      </c>
      <c r="G19119" s="5"/>
    </row>
    <row r="19120" spans="1:7" ht="58.5" customHeight="1" x14ac:dyDescent="0.25">
      <c r="A19120" s="5" t="str">
        <f>"B0001172"</f>
        <v>B0001172</v>
      </c>
      <c r="B19120" s="5" t="str">
        <f t="shared" si="981"/>
        <v>ANTIVIRUS</v>
      </c>
      <c r="C19120" s="6">
        <v>63309.81</v>
      </c>
      <c r="D19120" s="5" t="s">
        <v>63</v>
      </c>
      <c r="E19120" s="5" t="str">
        <f t="shared" si="980"/>
        <v>SISTEMAS-GLOBALTRONIK SAS-SERGIO PATIÑO</v>
      </c>
      <c r="F19120" s="5" t="str">
        <f>"Descripcion:ANTIVIRUS ESET ENDPOINT SECURITY RENOVACIÓN (NOD32) Estado: Bueno Placa anterior: 000038374 Material:  Color:  Referencia:  Observacion:     Placa padre:  Tipo adquisicion : Entidad"</f>
        <v>Descripcion:ANTIVIRUS ESET ENDPOINT SECURITY RENOVACIÓN (NOD32) Estado: Bueno Placa anterior: 000038374 Material:  Color:  Referencia:  Observacion:     Placa padre:  Tipo adquisicion : Entidad</v>
      </c>
      <c r="G19120" s="5"/>
    </row>
    <row r="19121" spans="1:7" ht="58.5" customHeight="1" x14ac:dyDescent="0.25">
      <c r="A19121" s="5" t="str">
        <f>"B0001173"</f>
        <v>B0001173</v>
      </c>
      <c r="B19121" s="5" t="str">
        <f t="shared" si="981"/>
        <v>ANTIVIRUS</v>
      </c>
      <c r="C19121" s="6">
        <v>63309.81</v>
      </c>
      <c r="D19121" s="5" t="s">
        <v>63</v>
      </c>
      <c r="E19121" s="5" t="str">
        <f t="shared" si="980"/>
        <v>SISTEMAS-GLOBALTRONIK SAS-SERGIO PATIÑO</v>
      </c>
      <c r="F19121" s="5" t="str">
        <f>"Descripcion:ANTIVIRUS ESET ENDPOINT SECURITY RENOVACIÓN (NOD32) Estado: Bueno Placa anterior: 000038436 Material:  Color:  Referencia:  Observacion:     Placa padre:  Tipo adquisicion : Entidad"</f>
        <v>Descripcion:ANTIVIRUS ESET ENDPOINT SECURITY RENOVACIÓN (NOD32) Estado: Bueno Placa anterior: 000038436 Material:  Color:  Referencia:  Observacion:     Placa padre:  Tipo adquisicion : Entidad</v>
      </c>
      <c r="G19121" s="5"/>
    </row>
    <row r="19122" spans="1:7" ht="58.5" customHeight="1" x14ac:dyDescent="0.25">
      <c r="A19122" s="5" t="str">
        <f>"B0001174"</f>
        <v>B0001174</v>
      </c>
      <c r="B19122" s="5" t="str">
        <f t="shared" si="981"/>
        <v>ANTIVIRUS</v>
      </c>
      <c r="C19122" s="6">
        <v>63309.81</v>
      </c>
      <c r="D19122" s="5" t="s">
        <v>63</v>
      </c>
      <c r="E19122" s="5" t="str">
        <f t="shared" si="980"/>
        <v>SISTEMAS-GLOBALTRONIK SAS-SERGIO PATIÑO</v>
      </c>
      <c r="F19122" s="5" t="str">
        <f>"Descripcion:ANTIVIRUS ESET ENDPOINT SECURITY RENOVACIÓN (NOD32) Estado: Bueno Placa anterior: 000038710 Material:  Color:  Referencia:  Observacion:     Placa padre:  Tipo adquisicion : Entidad"</f>
        <v>Descripcion:ANTIVIRUS ESET ENDPOINT SECURITY RENOVACIÓN (NOD32) Estado: Bueno Placa anterior: 000038710 Material:  Color:  Referencia:  Observacion:     Placa padre:  Tipo adquisicion : Entidad</v>
      </c>
      <c r="G19122" s="5"/>
    </row>
    <row r="19123" spans="1:7" ht="58.5" customHeight="1" x14ac:dyDescent="0.25">
      <c r="A19123" s="5" t="str">
        <f>"B0001175"</f>
        <v>B0001175</v>
      </c>
      <c r="B19123" s="5" t="str">
        <f t="shared" si="981"/>
        <v>ANTIVIRUS</v>
      </c>
      <c r="C19123" s="6">
        <v>63309.81</v>
      </c>
      <c r="D19123" s="5" t="s">
        <v>63</v>
      </c>
      <c r="E19123" s="5" t="str">
        <f t="shared" si="980"/>
        <v>SISTEMAS-GLOBALTRONIK SAS-SERGIO PATIÑO</v>
      </c>
      <c r="F19123" s="5" t="str">
        <f>"Descripcion:ANTIVIRUS ESET ENDPOINT SECURITY RENOVACIÓN (NOD32) Estado: Bueno Placa anterior: 000038612 Material:  Color:  Referencia:  Observacion:     Placa padre:  Tipo adquisicion : Entidad"</f>
        <v>Descripcion:ANTIVIRUS ESET ENDPOINT SECURITY RENOVACIÓN (NOD32) Estado: Bueno Placa anterior: 000038612 Material:  Color:  Referencia:  Observacion:     Placa padre:  Tipo adquisicion : Entidad</v>
      </c>
      <c r="G19123" s="5"/>
    </row>
    <row r="19124" spans="1:7" ht="58.5" customHeight="1" x14ac:dyDescent="0.25">
      <c r="A19124" s="5" t="str">
        <f>"B0001176"</f>
        <v>B0001176</v>
      </c>
      <c r="B19124" s="5" t="str">
        <f t="shared" si="981"/>
        <v>ANTIVIRUS</v>
      </c>
      <c r="C19124" s="6">
        <v>63309.81</v>
      </c>
      <c r="D19124" s="5" t="s">
        <v>63</v>
      </c>
      <c r="E19124" s="5" t="str">
        <f t="shared" si="980"/>
        <v>SISTEMAS-GLOBALTRONIK SAS-SERGIO PATIÑO</v>
      </c>
      <c r="F19124" s="5" t="str">
        <f>"Descripcion:ANTIVIRUS ESET ENDPOINT SECURITY RENOVACIÓN (NOD32) Estado: Bueno Placa anterior: 000038541 Material:  Color:  Referencia:  Observacion:     Placa padre:  Tipo adquisicion : Entidad"</f>
        <v>Descripcion:ANTIVIRUS ESET ENDPOINT SECURITY RENOVACIÓN (NOD32) Estado: Bueno Placa anterior: 000038541 Material:  Color:  Referencia:  Observacion:     Placa padre:  Tipo adquisicion : Entidad</v>
      </c>
      <c r="G19124" s="5"/>
    </row>
    <row r="19125" spans="1:7" ht="58.5" customHeight="1" x14ac:dyDescent="0.25">
      <c r="A19125" s="5" t="str">
        <f>"B0001177"</f>
        <v>B0001177</v>
      </c>
      <c r="B19125" s="5" t="str">
        <f t="shared" si="981"/>
        <v>ANTIVIRUS</v>
      </c>
      <c r="C19125" s="6">
        <v>63309.81</v>
      </c>
      <c r="D19125" s="5" t="s">
        <v>63</v>
      </c>
      <c r="E19125" s="5" t="str">
        <f t="shared" si="980"/>
        <v>SISTEMAS-GLOBALTRONIK SAS-SERGIO PATIÑO</v>
      </c>
      <c r="F19125" s="5" t="str">
        <f>"Descripcion:ANTIVIRUS ESET ENDPOINT SECURITY RENOVACIÓN (NOD32) Estado: Bueno Placa anterior: 000038758 Material:  Color:  Referencia:  Observacion:     Placa padre:  Tipo adquisicion : Entidad"</f>
        <v>Descripcion:ANTIVIRUS ESET ENDPOINT SECURITY RENOVACIÓN (NOD32) Estado: Bueno Placa anterior: 000038758 Material:  Color:  Referencia:  Observacion:     Placa padre:  Tipo adquisicion : Entidad</v>
      </c>
      <c r="G19125" s="5"/>
    </row>
    <row r="19126" spans="1:7" ht="58.5" customHeight="1" x14ac:dyDescent="0.25">
      <c r="A19126" s="5" t="str">
        <f>"B0001178"</f>
        <v>B0001178</v>
      </c>
      <c r="B19126" s="5" t="str">
        <f t="shared" si="981"/>
        <v>ANTIVIRUS</v>
      </c>
      <c r="C19126" s="6">
        <v>63309.81</v>
      </c>
      <c r="D19126" s="5" t="s">
        <v>63</v>
      </c>
      <c r="E19126" s="5" t="str">
        <f t="shared" si="980"/>
        <v>SISTEMAS-GLOBALTRONIK SAS-SERGIO PATIÑO</v>
      </c>
      <c r="F19126" s="5" t="str">
        <f>"Descripcion:ANTIVIRUS ESET ENDPOINT SECURITY RENOVACIÓN (NOD32) Estado: Bueno Placa anterior: 000038740 Material:  Color:  Referencia:  Observacion:     Placa padre:  Tipo adquisicion : Entidad"</f>
        <v>Descripcion:ANTIVIRUS ESET ENDPOINT SECURITY RENOVACIÓN (NOD32) Estado: Bueno Placa anterior: 000038740 Material:  Color:  Referencia:  Observacion:     Placa padre:  Tipo adquisicion : Entidad</v>
      </c>
      <c r="G19126" s="5"/>
    </row>
    <row r="19127" spans="1:7" ht="58.5" customHeight="1" x14ac:dyDescent="0.25">
      <c r="A19127" s="5" t="str">
        <f>"B0001179"</f>
        <v>B0001179</v>
      </c>
      <c r="B19127" s="5" t="str">
        <f t="shared" si="981"/>
        <v>ANTIVIRUS</v>
      </c>
      <c r="C19127" s="6">
        <v>63309.81</v>
      </c>
      <c r="D19127" s="5" t="s">
        <v>63</v>
      </c>
      <c r="E19127" s="5" t="str">
        <f t="shared" si="980"/>
        <v>SISTEMAS-GLOBALTRONIK SAS-SERGIO PATIÑO</v>
      </c>
      <c r="F19127" s="5" t="str">
        <f>"Descripcion:ANTIVIRUS ESET ENDPOINT SECURITY RENOVACIÓN (NOD32) Estado: Bueno Placa anterior: 000038568 Material:  Color:  Referencia:  Observacion:     Placa padre:  Tipo adquisicion : Entidad"</f>
        <v>Descripcion:ANTIVIRUS ESET ENDPOINT SECURITY RENOVACIÓN (NOD32) Estado: Bueno Placa anterior: 000038568 Material:  Color:  Referencia:  Observacion:     Placa padre:  Tipo adquisicion : Entidad</v>
      </c>
      <c r="G19127" s="5"/>
    </row>
    <row r="19128" spans="1:7" ht="58.5" customHeight="1" x14ac:dyDescent="0.25">
      <c r="A19128" s="5" t="str">
        <f>"B0001180"</f>
        <v>B0001180</v>
      </c>
      <c r="B19128" s="5" t="str">
        <f t="shared" si="981"/>
        <v>ANTIVIRUS</v>
      </c>
      <c r="C19128" s="6">
        <v>63309.81</v>
      </c>
      <c r="D19128" s="5" t="s">
        <v>63</v>
      </c>
      <c r="E19128" s="5" t="str">
        <f t="shared" si="980"/>
        <v>SISTEMAS-GLOBALTRONIK SAS-SERGIO PATIÑO</v>
      </c>
      <c r="F19128" s="5" t="str">
        <f>"Descripcion:ANTIVIRUS ESET ENDPOINT SECURITY RENOVACIÓN (NOD32) Estado: Bueno Placa anterior: 000038694 Material:  Color:  Referencia:  Observacion:     Placa padre:  Tipo adquisicion : Entidad"</f>
        <v>Descripcion:ANTIVIRUS ESET ENDPOINT SECURITY RENOVACIÓN (NOD32) Estado: Bueno Placa anterior: 000038694 Material:  Color:  Referencia:  Observacion:     Placa padre:  Tipo adquisicion : Entidad</v>
      </c>
      <c r="G19128" s="5"/>
    </row>
    <row r="19129" spans="1:7" ht="58.5" customHeight="1" x14ac:dyDescent="0.25">
      <c r="A19129" s="5" t="str">
        <f>"B0001181"</f>
        <v>B0001181</v>
      </c>
      <c r="B19129" s="5" t="str">
        <f t="shared" si="981"/>
        <v>ANTIVIRUS</v>
      </c>
      <c r="C19129" s="6">
        <v>129970</v>
      </c>
      <c r="D19129" s="5" t="s">
        <v>63</v>
      </c>
      <c r="E19129" s="5" t="str">
        <f t="shared" si="980"/>
        <v>SISTEMAS-GLOBALTRONIK SAS-SERGIO PATIÑO</v>
      </c>
      <c r="F19129" s="5" t="str">
        <f>"Descripcion:ANTIVIRUS ESET ENDPOINT SECURITY (NOD32) Estado: Bueno Placa anterior: 000038028 Material:  Color:  Referencia:  Observacion:     Placa padre:  Tipo adquisicion : Entidad"</f>
        <v>Descripcion:ANTIVIRUS ESET ENDPOINT SECURITY (NOD32) Estado: Bueno Placa anterior: 000038028 Material:  Color:  Referencia:  Observacion:     Placa padre:  Tipo adquisicion : Entidad</v>
      </c>
      <c r="G19129" s="5"/>
    </row>
    <row r="19130" spans="1:7" ht="58.5" customHeight="1" x14ac:dyDescent="0.25">
      <c r="A19130" s="5" t="str">
        <f>"B0001182"</f>
        <v>B0001182</v>
      </c>
      <c r="B19130" s="5" t="str">
        <f t="shared" si="981"/>
        <v>ANTIVIRUS</v>
      </c>
      <c r="C19130" s="6">
        <v>63309.81</v>
      </c>
      <c r="D19130" s="5" t="s">
        <v>63</v>
      </c>
      <c r="E19130" s="5" t="str">
        <f t="shared" si="980"/>
        <v>SISTEMAS-GLOBALTRONIK SAS-SERGIO PATIÑO</v>
      </c>
      <c r="F19130" s="5" t="str">
        <f>"Descripcion:ANTIVIRUS ESET ENDPOINT SECURITY RENOVACIÓN (NOD32) Estado: Bueno Placa anterior: 000038780 Material:  Color:  Referencia:  Observacion:     Placa padre:  Tipo adquisicion : Entidad"</f>
        <v>Descripcion:ANTIVIRUS ESET ENDPOINT SECURITY RENOVACIÓN (NOD32) Estado: Bueno Placa anterior: 000038780 Material:  Color:  Referencia:  Observacion:     Placa padre:  Tipo adquisicion : Entidad</v>
      </c>
      <c r="G19130" s="5"/>
    </row>
    <row r="19131" spans="1:7" ht="58.5" customHeight="1" x14ac:dyDescent="0.25">
      <c r="A19131" s="5" t="str">
        <f>"B0001183"</f>
        <v>B0001183</v>
      </c>
      <c r="B19131" s="5" t="str">
        <f t="shared" si="981"/>
        <v>ANTIVIRUS</v>
      </c>
      <c r="C19131" s="6">
        <v>63309.81</v>
      </c>
      <c r="D19131" s="5" t="s">
        <v>63</v>
      </c>
      <c r="E19131" s="5" t="str">
        <f t="shared" si="980"/>
        <v>SISTEMAS-GLOBALTRONIK SAS-SERGIO PATIÑO</v>
      </c>
      <c r="F19131" s="5" t="str">
        <f>"Descripcion:ANTIVIRUS ESET ENDPOINT SECURITY RENOVACIÓN (NOD32) Estado: Bueno Placa anterior: 000038773 Material:  Color:  Referencia:  Observacion:     Placa padre:  Tipo adquisicion : Entidad"</f>
        <v>Descripcion:ANTIVIRUS ESET ENDPOINT SECURITY RENOVACIÓN (NOD32) Estado: Bueno Placa anterior: 000038773 Material:  Color:  Referencia:  Observacion:     Placa padre:  Tipo adquisicion : Entidad</v>
      </c>
      <c r="G19131" s="5"/>
    </row>
    <row r="19132" spans="1:7" ht="58.5" customHeight="1" x14ac:dyDescent="0.25">
      <c r="A19132" s="5" t="str">
        <f>"B0001184"</f>
        <v>B0001184</v>
      </c>
      <c r="B19132" s="5" t="str">
        <f t="shared" si="981"/>
        <v>ANTIVIRUS</v>
      </c>
      <c r="C19132" s="6">
        <v>63309.81</v>
      </c>
      <c r="D19132" s="5" t="s">
        <v>63</v>
      </c>
      <c r="E19132" s="5" t="str">
        <f t="shared" si="980"/>
        <v>SISTEMAS-GLOBALTRONIK SAS-SERGIO PATIÑO</v>
      </c>
      <c r="F19132" s="5" t="str">
        <f>"Descripcion:ANTIVIRUS ESET ENDPOINT SECURITY RENOVACIÓN (NOD32) Estado: Bueno Placa anterior: 000038325 Material:  Color:  Referencia:  Observacion:     Placa padre:  Tipo adquisicion : Entidad"</f>
        <v>Descripcion:ANTIVIRUS ESET ENDPOINT SECURITY RENOVACIÓN (NOD32) Estado: Bueno Placa anterior: 000038325 Material:  Color:  Referencia:  Observacion:     Placa padre:  Tipo adquisicion : Entidad</v>
      </c>
      <c r="G19132" s="5"/>
    </row>
    <row r="19133" spans="1:7" ht="58.5" customHeight="1" x14ac:dyDescent="0.25">
      <c r="A19133" s="5" t="str">
        <f>"B0001185"</f>
        <v>B0001185</v>
      </c>
      <c r="B19133" s="5" t="str">
        <f t="shared" si="981"/>
        <v>ANTIVIRUS</v>
      </c>
      <c r="C19133" s="6">
        <v>63309.81</v>
      </c>
      <c r="D19133" s="5" t="s">
        <v>63</v>
      </c>
      <c r="E19133" s="5" t="str">
        <f t="shared" ref="E19133:E19196" si="982">"SISTEMAS-GLOBALTRONIK SAS-SERGIO PATIÑO"</f>
        <v>SISTEMAS-GLOBALTRONIK SAS-SERGIO PATIÑO</v>
      </c>
      <c r="F19133" s="5" t="str">
        <f>"Descripcion:ANTIVIRUS ESET ENDPOINT SECURITY RENOVACIÓN (NOD32) Estado: Bueno Placa anterior: 000038673 Material:  Color:  Referencia:  Observacion:     Placa padre:  Tipo adquisicion : Entidad"</f>
        <v>Descripcion:ANTIVIRUS ESET ENDPOINT SECURITY RENOVACIÓN (NOD32) Estado: Bueno Placa anterior: 000038673 Material:  Color:  Referencia:  Observacion:     Placa padre:  Tipo adquisicion : Entidad</v>
      </c>
      <c r="G19133" s="5"/>
    </row>
    <row r="19134" spans="1:7" ht="58.5" customHeight="1" x14ac:dyDescent="0.25">
      <c r="A19134" s="5" t="str">
        <f>"B0001186"</f>
        <v>B0001186</v>
      </c>
      <c r="B19134" s="5" t="str">
        <f t="shared" si="981"/>
        <v>ANTIVIRUS</v>
      </c>
      <c r="C19134" s="6">
        <v>63309.81</v>
      </c>
      <c r="D19134" s="5" t="s">
        <v>63</v>
      </c>
      <c r="E19134" s="5" t="str">
        <f t="shared" si="982"/>
        <v>SISTEMAS-GLOBALTRONIK SAS-SERGIO PATIÑO</v>
      </c>
      <c r="F19134" s="5" t="str">
        <f>"Descripcion:ANTIVIRUS ESET ENDPOINT SECURITY RENOVACIÓN (NOD32) Estado: Bueno Placa anterior: 000038500 Material:  Color:  Referencia:  Observacion:     Placa padre:  Tipo adquisicion : Entidad"</f>
        <v>Descripcion:ANTIVIRUS ESET ENDPOINT SECURITY RENOVACIÓN (NOD32) Estado: Bueno Placa anterior: 000038500 Material:  Color:  Referencia:  Observacion:     Placa padre:  Tipo adquisicion : Entidad</v>
      </c>
      <c r="G19134" s="5"/>
    </row>
    <row r="19135" spans="1:7" ht="58.5" customHeight="1" x14ac:dyDescent="0.25">
      <c r="A19135" s="5" t="str">
        <f>"B0001187"</f>
        <v>B0001187</v>
      </c>
      <c r="B19135" s="5" t="str">
        <f t="shared" si="981"/>
        <v>ANTIVIRUS</v>
      </c>
      <c r="C19135" s="6">
        <v>129970</v>
      </c>
      <c r="D19135" s="5" t="s">
        <v>63</v>
      </c>
      <c r="E19135" s="5" t="str">
        <f t="shared" si="982"/>
        <v>SISTEMAS-GLOBALTRONIK SAS-SERGIO PATIÑO</v>
      </c>
      <c r="F19135" s="5" t="str">
        <f>"Descripcion:ANTIVIRUS ESET ENDPOINT SECURITY (NOD32) Estado: Bueno Placa anterior: 000038097 Material:  Color:  Referencia:  Observacion:     Placa padre:  Tipo adquisicion : Entidad"</f>
        <v>Descripcion:ANTIVIRUS ESET ENDPOINT SECURITY (NOD32) Estado: Bueno Placa anterior: 000038097 Material:  Color:  Referencia:  Observacion:     Placa padre:  Tipo adquisicion : Entidad</v>
      </c>
      <c r="G19135" s="5"/>
    </row>
    <row r="19136" spans="1:7" ht="58.5" customHeight="1" x14ac:dyDescent="0.25">
      <c r="A19136" s="5" t="str">
        <f>"B0001188"</f>
        <v>B0001188</v>
      </c>
      <c r="B19136" s="5" t="str">
        <f t="shared" si="981"/>
        <v>ANTIVIRUS</v>
      </c>
      <c r="C19136" s="6">
        <v>129970</v>
      </c>
      <c r="D19136" s="5" t="s">
        <v>63</v>
      </c>
      <c r="E19136" s="5" t="str">
        <f t="shared" si="982"/>
        <v>SISTEMAS-GLOBALTRONIK SAS-SERGIO PATIÑO</v>
      </c>
      <c r="F19136" s="5" t="str">
        <f>"Descripcion:ANTIVIRUS ESET ENDPOINT SECURITY (NOD32) Estado: Bueno Placa anterior: 000038023 Material:  Color:  Referencia:  Observacion:     Placa padre:  Tipo adquisicion : Entidad"</f>
        <v>Descripcion:ANTIVIRUS ESET ENDPOINT SECURITY (NOD32) Estado: Bueno Placa anterior: 000038023 Material:  Color:  Referencia:  Observacion:     Placa padre:  Tipo adquisicion : Entidad</v>
      </c>
      <c r="G19136" s="5"/>
    </row>
    <row r="19137" spans="1:7" ht="58.5" customHeight="1" x14ac:dyDescent="0.25">
      <c r="A19137" s="5" t="str">
        <f>"B0001189"</f>
        <v>B0001189</v>
      </c>
      <c r="B19137" s="5" t="str">
        <f t="shared" si="981"/>
        <v>ANTIVIRUS</v>
      </c>
      <c r="C19137" s="6">
        <v>63309.81</v>
      </c>
      <c r="D19137" s="5" t="s">
        <v>63</v>
      </c>
      <c r="E19137" s="5" t="str">
        <f t="shared" si="982"/>
        <v>SISTEMAS-GLOBALTRONIK SAS-SERGIO PATIÑO</v>
      </c>
      <c r="F19137" s="5" t="str">
        <f>"Descripcion:ANTIVIRUS ESET ENDPOINT SECURITY RENOVACIÓN (NOD32) Estado: Bueno Placa anterior: 000038461 Material:  Color:  Referencia:  Observacion:     Placa padre:  Tipo adquisicion : Entidad"</f>
        <v>Descripcion:ANTIVIRUS ESET ENDPOINT SECURITY RENOVACIÓN (NOD32) Estado: Bueno Placa anterior: 000038461 Material:  Color:  Referencia:  Observacion:     Placa padre:  Tipo adquisicion : Entidad</v>
      </c>
      <c r="G19137" s="5"/>
    </row>
    <row r="19138" spans="1:7" ht="58.5" customHeight="1" x14ac:dyDescent="0.25">
      <c r="A19138" s="5" t="str">
        <f>"B0001190"</f>
        <v>B0001190</v>
      </c>
      <c r="B19138" s="5" t="str">
        <f t="shared" si="981"/>
        <v>ANTIVIRUS</v>
      </c>
      <c r="C19138" s="6">
        <v>63309.81</v>
      </c>
      <c r="D19138" s="5" t="s">
        <v>63</v>
      </c>
      <c r="E19138" s="5" t="str">
        <f t="shared" si="982"/>
        <v>SISTEMAS-GLOBALTRONIK SAS-SERGIO PATIÑO</v>
      </c>
      <c r="F19138" s="5" t="str">
        <f>"Descripcion:ANTIVIRUS ESET ENDPOINT SECURITY RENOVACIÓN (NOD32) Estado: Bueno Placa anterior: 000038485 Material:  Color:  Referencia:  Observacion:     Placa padre:  Tipo adquisicion : Entidad"</f>
        <v>Descripcion:ANTIVIRUS ESET ENDPOINT SECURITY RENOVACIÓN (NOD32) Estado: Bueno Placa anterior: 000038485 Material:  Color:  Referencia:  Observacion:     Placa padre:  Tipo adquisicion : Entidad</v>
      </c>
      <c r="G19138" s="5"/>
    </row>
    <row r="19139" spans="1:7" ht="58.5" customHeight="1" x14ac:dyDescent="0.25">
      <c r="A19139" s="5" t="str">
        <f>"B0001191"</f>
        <v>B0001191</v>
      </c>
      <c r="B19139" s="5" t="str">
        <f t="shared" si="981"/>
        <v>ANTIVIRUS</v>
      </c>
      <c r="C19139" s="6">
        <v>63309.81</v>
      </c>
      <c r="D19139" s="5" t="s">
        <v>63</v>
      </c>
      <c r="E19139" s="5" t="str">
        <f t="shared" si="982"/>
        <v>SISTEMAS-GLOBALTRONIK SAS-SERGIO PATIÑO</v>
      </c>
      <c r="F19139" s="5" t="str">
        <f>"Descripcion:ANTIVIRUS ESET ENDPOINT SECURITY RENOVACIÓN (NOD32) Estado: Bueno Placa anterior: 000038484 Material:  Color:  Referencia:  Observacion:     Placa padre:  Tipo adquisicion : Entidad"</f>
        <v>Descripcion:ANTIVIRUS ESET ENDPOINT SECURITY RENOVACIÓN (NOD32) Estado: Bueno Placa anterior: 000038484 Material:  Color:  Referencia:  Observacion:     Placa padre:  Tipo adquisicion : Entidad</v>
      </c>
      <c r="G19139" s="5"/>
    </row>
    <row r="19140" spans="1:7" ht="58.5" customHeight="1" x14ac:dyDescent="0.25">
      <c r="A19140" s="5" t="str">
        <f>"B0001192"</f>
        <v>B0001192</v>
      </c>
      <c r="B19140" s="5" t="str">
        <f t="shared" ref="B19140:B19203" si="983">"ANTIVIRUS"</f>
        <v>ANTIVIRUS</v>
      </c>
      <c r="C19140" s="6">
        <v>129970</v>
      </c>
      <c r="D19140" s="5" t="s">
        <v>63</v>
      </c>
      <c r="E19140" s="5" t="str">
        <f t="shared" si="982"/>
        <v>SISTEMAS-GLOBALTRONIK SAS-SERGIO PATIÑO</v>
      </c>
      <c r="F19140" s="5" t="str">
        <f>"Descripcion:ANTIVIRUS ESET ENDPOINT SECURITY (NOD32) Estado: Bueno Placa anterior: 000038088 Material:  Color:  Referencia:  Observacion:     Placa padre:  Tipo adquisicion : Entidad"</f>
        <v>Descripcion:ANTIVIRUS ESET ENDPOINT SECURITY (NOD32) Estado: Bueno Placa anterior: 000038088 Material:  Color:  Referencia:  Observacion:     Placa padre:  Tipo adquisicion : Entidad</v>
      </c>
      <c r="G19140" s="5"/>
    </row>
    <row r="19141" spans="1:7" ht="58.5" customHeight="1" x14ac:dyDescent="0.25">
      <c r="A19141" s="5" t="str">
        <f>"B0001193"</f>
        <v>B0001193</v>
      </c>
      <c r="B19141" s="5" t="str">
        <f t="shared" si="983"/>
        <v>ANTIVIRUS</v>
      </c>
      <c r="C19141" s="6">
        <v>63309.81</v>
      </c>
      <c r="D19141" s="5" t="s">
        <v>63</v>
      </c>
      <c r="E19141" s="5" t="str">
        <f t="shared" si="982"/>
        <v>SISTEMAS-GLOBALTRONIK SAS-SERGIO PATIÑO</v>
      </c>
      <c r="F19141" s="5" t="str">
        <f>"Descripcion:ANTIVIRUS ESET ENDPOINT SECURITY RENOVACIÓN (NOD32) Estado: Bueno Placa anterior: 000038733 Material:  Color:  Referencia:  Observacion:     Placa padre:  Tipo adquisicion : Entidad"</f>
        <v>Descripcion:ANTIVIRUS ESET ENDPOINT SECURITY RENOVACIÓN (NOD32) Estado: Bueno Placa anterior: 000038733 Material:  Color:  Referencia:  Observacion:     Placa padre:  Tipo adquisicion : Entidad</v>
      </c>
      <c r="G19141" s="5"/>
    </row>
    <row r="19142" spans="1:7" ht="58.5" customHeight="1" x14ac:dyDescent="0.25">
      <c r="A19142" s="5" t="str">
        <f>"B0001194"</f>
        <v>B0001194</v>
      </c>
      <c r="B19142" s="5" t="str">
        <f t="shared" si="983"/>
        <v>ANTIVIRUS</v>
      </c>
      <c r="C19142" s="6">
        <v>63309.81</v>
      </c>
      <c r="D19142" s="5" t="s">
        <v>63</v>
      </c>
      <c r="E19142" s="5" t="str">
        <f t="shared" si="982"/>
        <v>SISTEMAS-GLOBALTRONIK SAS-SERGIO PATIÑO</v>
      </c>
      <c r="F19142" s="5" t="str">
        <f>"Descripcion:ANTIVIRUS ESET ENDPOINT SECURITY RENOVACIÓN (NOD32) Estado: Bueno Placa anterior: 000038767 Material:  Color:  Referencia:  Observacion:     Placa padre:  Tipo adquisicion : Entidad"</f>
        <v>Descripcion:ANTIVIRUS ESET ENDPOINT SECURITY RENOVACIÓN (NOD32) Estado: Bueno Placa anterior: 000038767 Material:  Color:  Referencia:  Observacion:     Placa padre:  Tipo adquisicion : Entidad</v>
      </c>
      <c r="G19142" s="5"/>
    </row>
    <row r="19143" spans="1:7" ht="58.5" customHeight="1" x14ac:dyDescent="0.25">
      <c r="A19143" s="5" t="str">
        <f>"B0001195"</f>
        <v>B0001195</v>
      </c>
      <c r="B19143" s="5" t="str">
        <f t="shared" si="983"/>
        <v>ANTIVIRUS</v>
      </c>
      <c r="C19143" s="6">
        <v>63309.81</v>
      </c>
      <c r="D19143" s="5" t="s">
        <v>63</v>
      </c>
      <c r="E19143" s="5" t="str">
        <f t="shared" si="982"/>
        <v>SISTEMAS-GLOBALTRONIK SAS-SERGIO PATIÑO</v>
      </c>
      <c r="F19143" s="5" t="str">
        <f>"Descripcion:ANTIVIRUS ESET ENDPOINT SECURITY RENOVACIÓN (NOD32) Estado: Bueno Placa anterior: 000038655 Material:  Color:  Referencia:  Observacion:     Placa padre:  Tipo adquisicion : Entidad"</f>
        <v>Descripcion:ANTIVIRUS ESET ENDPOINT SECURITY RENOVACIÓN (NOD32) Estado: Bueno Placa anterior: 000038655 Material:  Color:  Referencia:  Observacion:     Placa padre:  Tipo adquisicion : Entidad</v>
      </c>
      <c r="G19143" s="5"/>
    </row>
    <row r="19144" spans="1:7" ht="58.5" customHeight="1" x14ac:dyDescent="0.25">
      <c r="A19144" s="5" t="str">
        <f>"B0001196"</f>
        <v>B0001196</v>
      </c>
      <c r="B19144" s="5" t="str">
        <f t="shared" si="983"/>
        <v>ANTIVIRUS</v>
      </c>
      <c r="C19144" s="6">
        <v>63309.81</v>
      </c>
      <c r="D19144" s="5" t="s">
        <v>63</v>
      </c>
      <c r="E19144" s="5" t="str">
        <f t="shared" si="982"/>
        <v>SISTEMAS-GLOBALTRONIK SAS-SERGIO PATIÑO</v>
      </c>
      <c r="F19144" s="5" t="str">
        <f>"Descripcion:ANTIVIRUS ESET ENDPOINT SECURITY RENOVACIÓN (NOD32) Estado: Bueno Placa anterior: 000038600 Material:  Color:  Referencia:  Observacion:     Placa padre:  Tipo adquisicion : Entidad"</f>
        <v>Descripcion:ANTIVIRUS ESET ENDPOINT SECURITY RENOVACIÓN (NOD32) Estado: Bueno Placa anterior: 000038600 Material:  Color:  Referencia:  Observacion:     Placa padre:  Tipo adquisicion : Entidad</v>
      </c>
      <c r="G19144" s="5"/>
    </row>
    <row r="19145" spans="1:7" ht="58.5" customHeight="1" x14ac:dyDescent="0.25">
      <c r="A19145" s="5" t="str">
        <f>"B0001197"</f>
        <v>B0001197</v>
      </c>
      <c r="B19145" s="5" t="str">
        <f t="shared" si="983"/>
        <v>ANTIVIRUS</v>
      </c>
      <c r="C19145" s="6">
        <v>63309.81</v>
      </c>
      <c r="D19145" s="5" t="s">
        <v>63</v>
      </c>
      <c r="E19145" s="5" t="str">
        <f t="shared" si="982"/>
        <v>SISTEMAS-GLOBALTRONIK SAS-SERGIO PATIÑO</v>
      </c>
      <c r="F19145" s="5" t="str">
        <f>"Descripcion:ANTIVIRUS ESET ENDPOINT SECURITY RENOVACIÓN (NOD32) Estado: Bueno Placa anterior: 000038629 Material:  Color:  Referencia:  Observacion:     Placa padre:  Tipo adquisicion : Entidad"</f>
        <v>Descripcion:ANTIVIRUS ESET ENDPOINT SECURITY RENOVACIÓN (NOD32) Estado: Bueno Placa anterior: 000038629 Material:  Color:  Referencia:  Observacion:     Placa padre:  Tipo adquisicion : Entidad</v>
      </c>
      <c r="G19145" s="5"/>
    </row>
    <row r="19146" spans="1:7" ht="58.5" customHeight="1" x14ac:dyDescent="0.25">
      <c r="A19146" s="5" t="str">
        <f>"B0001198"</f>
        <v>B0001198</v>
      </c>
      <c r="B19146" s="5" t="str">
        <f t="shared" si="983"/>
        <v>ANTIVIRUS</v>
      </c>
      <c r="C19146" s="6">
        <v>129970</v>
      </c>
      <c r="D19146" s="5" t="s">
        <v>63</v>
      </c>
      <c r="E19146" s="5" t="str">
        <f t="shared" si="982"/>
        <v>SISTEMAS-GLOBALTRONIK SAS-SERGIO PATIÑO</v>
      </c>
      <c r="F19146" s="5" t="str">
        <f>"Descripcion:ANTIVIRUS ESET ENDPOINT SECURITY (NOD32) Estado: Bueno Placa anterior: 000038042 Material:  Color:  Referencia:  Observacion:     Placa padre:  Tipo adquisicion : Entidad"</f>
        <v>Descripcion:ANTIVIRUS ESET ENDPOINT SECURITY (NOD32) Estado: Bueno Placa anterior: 000038042 Material:  Color:  Referencia:  Observacion:     Placa padre:  Tipo adquisicion : Entidad</v>
      </c>
      <c r="G19146" s="5"/>
    </row>
    <row r="19147" spans="1:7" ht="58.5" customHeight="1" x14ac:dyDescent="0.25">
      <c r="A19147" s="5" t="str">
        <f>"B0001199"</f>
        <v>B0001199</v>
      </c>
      <c r="B19147" s="5" t="str">
        <f t="shared" si="983"/>
        <v>ANTIVIRUS</v>
      </c>
      <c r="C19147" s="6">
        <v>63309.81</v>
      </c>
      <c r="D19147" s="5" t="s">
        <v>63</v>
      </c>
      <c r="E19147" s="5" t="str">
        <f t="shared" si="982"/>
        <v>SISTEMAS-GLOBALTRONIK SAS-SERGIO PATIÑO</v>
      </c>
      <c r="F19147" s="5" t="str">
        <f>"Descripcion:ANTIVIRUS ESET ENDPOINT SECURITY RENOVACIÓN (NOD32) Estado: Bueno Placa anterior: 000038646 Material:  Color:  Referencia:  Observacion:     Placa padre:  Tipo adquisicion : Entidad"</f>
        <v>Descripcion:ANTIVIRUS ESET ENDPOINT SECURITY RENOVACIÓN (NOD32) Estado: Bueno Placa anterior: 000038646 Material:  Color:  Referencia:  Observacion:     Placa padre:  Tipo adquisicion : Entidad</v>
      </c>
      <c r="G19147" s="5"/>
    </row>
    <row r="19148" spans="1:7" ht="58.5" customHeight="1" x14ac:dyDescent="0.25">
      <c r="A19148" s="5" t="str">
        <f>"B0001200"</f>
        <v>B0001200</v>
      </c>
      <c r="B19148" s="5" t="str">
        <f t="shared" si="983"/>
        <v>ANTIVIRUS</v>
      </c>
      <c r="C19148" s="6">
        <v>63309.81</v>
      </c>
      <c r="D19148" s="5" t="s">
        <v>63</v>
      </c>
      <c r="E19148" s="5" t="str">
        <f t="shared" si="982"/>
        <v>SISTEMAS-GLOBALTRONIK SAS-SERGIO PATIÑO</v>
      </c>
      <c r="F19148" s="5" t="str">
        <f>"Descripcion:ANTIVIRUS ESET ENDPOINT SECURITY RENOVACIÓN (NOD32) Estado: Bueno Placa anterior: 000038509 Material:  Color:  Referencia:  Observacion:     Placa padre:  Tipo adquisicion : Entidad"</f>
        <v>Descripcion:ANTIVIRUS ESET ENDPOINT SECURITY RENOVACIÓN (NOD32) Estado: Bueno Placa anterior: 000038509 Material:  Color:  Referencia:  Observacion:     Placa padre:  Tipo adquisicion : Entidad</v>
      </c>
      <c r="G19148" s="5"/>
    </row>
    <row r="19149" spans="1:7" ht="58.5" customHeight="1" x14ac:dyDescent="0.25">
      <c r="A19149" s="5" t="str">
        <f>"B0001201"</f>
        <v>B0001201</v>
      </c>
      <c r="B19149" s="5" t="str">
        <f t="shared" si="983"/>
        <v>ANTIVIRUS</v>
      </c>
      <c r="C19149" s="6">
        <v>63309.81</v>
      </c>
      <c r="D19149" s="5" t="s">
        <v>63</v>
      </c>
      <c r="E19149" s="5" t="str">
        <f t="shared" si="982"/>
        <v>SISTEMAS-GLOBALTRONIK SAS-SERGIO PATIÑO</v>
      </c>
      <c r="F19149" s="5" t="str">
        <f>"Descripcion:ANTIVIRUS ESET ENDPOINT SECURITY RENOVACIÓN (NOD32) Estado: Bueno Placa anterior: 000038635 Material:  Color:  Referencia:  Observacion:     Placa padre:  Tipo adquisicion : Entidad"</f>
        <v>Descripcion:ANTIVIRUS ESET ENDPOINT SECURITY RENOVACIÓN (NOD32) Estado: Bueno Placa anterior: 000038635 Material:  Color:  Referencia:  Observacion:     Placa padre:  Tipo adquisicion : Entidad</v>
      </c>
      <c r="G19149" s="5"/>
    </row>
    <row r="19150" spans="1:7" ht="58.5" customHeight="1" x14ac:dyDescent="0.25">
      <c r="A19150" s="5" t="str">
        <f>"B0001202"</f>
        <v>B0001202</v>
      </c>
      <c r="B19150" s="5" t="str">
        <f t="shared" si="983"/>
        <v>ANTIVIRUS</v>
      </c>
      <c r="C19150" s="6">
        <v>129970</v>
      </c>
      <c r="D19150" s="5" t="s">
        <v>63</v>
      </c>
      <c r="E19150" s="5" t="str">
        <f t="shared" si="982"/>
        <v>SISTEMAS-GLOBALTRONIK SAS-SERGIO PATIÑO</v>
      </c>
      <c r="F19150" s="5" t="str">
        <f>"Descripcion:ANTIVIRUS ESET ENDPOINT SECURITY (NOD32) Estado: Bueno Placa anterior: 000038118 Material:  Color:  Referencia:  Observacion:     Placa padre:  Tipo adquisicion : Entidad"</f>
        <v>Descripcion:ANTIVIRUS ESET ENDPOINT SECURITY (NOD32) Estado: Bueno Placa anterior: 000038118 Material:  Color:  Referencia:  Observacion:     Placa padre:  Tipo adquisicion : Entidad</v>
      </c>
      <c r="G19150" s="5"/>
    </row>
    <row r="19151" spans="1:7" ht="58.5" customHeight="1" x14ac:dyDescent="0.25">
      <c r="A19151" s="5" t="str">
        <f>"B0001203"</f>
        <v>B0001203</v>
      </c>
      <c r="B19151" s="5" t="str">
        <f t="shared" si="983"/>
        <v>ANTIVIRUS</v>
      </c>
      <c r="C19151" s="6">
        <v>129970</v>
      </c>
      <c r="D19151" s="5" t="s">
        <v>63</v>
      </c>
      <c r="E19151" s="5" t="str">
        <f t="shared" si="982"/>
        <v>SISTEMAS-GLOBALTRONIK SAS-SERGIO PATIÑO</v>
      </c>
      <c r="F19151" s="5" t="str">
        <f>"Descripcion:ANTIVIRUS ESET ENDPOINT SECURITY (NOD32) Estado: Bueno Placa anterior: 000038095 Material:  Color:  Referencia:  Observacion:     Placa padre:  Tipo adquisicion : Entidad"</f>
        <v>Descripcion:ANTIVIRUS ESET ENDPOINT SECURITY (NOD32) Estado: Bueno Placa anterior: 000038095 Material:  Color:  Referencia:  Observacion:     Placa padre:  Tipo adquisicion : Entidad</v>
      </c>
      <c r="G19151" s="5"/>
    </row>
    <row r="19152" spans="1:7" ht="58.5" customHeight="1" x14ac:dyDescent="0.25">
      <c r="A19152" s="5" t="str">
        <f>"B0001204"</f>
        <v>B0001204</v>
      </c>
      <c r="B19152" s="5" t="str">
        <f t="shared" si="983"/>
        <v>ANTIVIRUS</v>
      </c>
      <c r="C19152" s="6">
        <v>63309.81</v>
      </c>
      <c r="D19152" s="5" t="s">
        <v>63</v>
      </c>
      <c r="E19152" s="5" t="str">
        <f t="shared" si="982"/>
        <v>SISTEMAS-GLOBALTRONIK SAS-SERGIO PATIÑO</v>
      </c>
      <c r="F19152" s="5" t="str">
        <f>"Descripcion:ANTIVIRUS ESET ENDPOINT SECURITY RENOVACIÓN (NOD32) Estado: Bueno Placa anterior: 000038442 Material:  Color:  Referencia:  Observacion:     Placa padre:  Tipo adquisicion : Entidad"</f>
        <v>Descripcion:ANTIVIRUS ESET ENDPOINT SECURITY RENOVACIÓN (NOD32) Estado: Bueno Placa anterior: 000038442 Material:  Color:  Referencia:  Observacion:     Placa padre:  Tipo adquisicion : Entidad</v>
      </c>
      <c r="G19152" s="5"/>
    </row>
    <row r="19153" spans="1:7" ht="58.5" customHeight="1" x14ac:dyDescent="0.25">
      <c r="A19153" s="5" t="str">
        <f>"B0001205"</f>
        <v>B0001205</v>
      </c>
      <c r="B19153" s="5" t="str">
        <f t="shared" si="983"/>
        <v>ANTIVIRUS</v>
      </c>
      <c r="C19153" s="6">
        <v>129970</v>
      </c>
      <c r="D19153" s="5" t="s">
        <v>63</v>
      </c>
      <c r="E19153" s="5" t="str">
        <f t="shared" si="982"/>
        <v>SISTEMAS-GLOBALTRONIK SAS-SERGIO PATIÑO</v>
      </c>
      <c r="F19153" s="5" t="str">
        <f>"Descripcion:ANTIVIRUS ESET ENDPOINT SECURITY (NOD32) Estado: Bueno Placa anterior: 000038079 Material:  Color:  Referencia:  Observacion:     Placa padre:  Tipo adquisicion : Entidad"</f>
        <v>Descripcion:ANTIVIRUS ESET ENDPOINT SECURITY (NOD32) Estado: Bueno Placa anterior: 000038079 Material:  Color:  Referencia:  Observacion:     Placa padre:  Tipo adquisicion : Entidad</v>
      </c>
      <c r="G19153" s="5"/>
    </row>
    <row r="19154" spans="1:7" ht="58.5" customHeight="1" x14ac:dyDescent="0.25">
      <c r="A19154" s="5" t="str">
        <f>"B0001206"</f>
        <v>B0001206</v>
      </c>
      <c r="B19154" s="5" t="str">
        <f t="shared" si="983"/>
        <v>ANTIVIRUS</v>
      </c>
      <c r="C19154" s="6">
        <v>63309.81</v>
      </c>
      <c r="D19154" s="5" t="s">
        <v>63</v>
      </c>
      <c r="E19154" s="5" t="str">
        <f t="shared" si="982"/>
        <v>SISTEMAS-GLOBALTRONIK SAS-SERGIO PATIÑO</v>
      </c>
      <c r="F19154" s="5" t="str">
        <f>"Descripcion:ANTIVIRUS ESET ENDPOINT SECURITY RENOVACIÓN (NOD32) Estado: Bueno Placa anterior: 000038328 Material:  Color:  Referencia:  Observacion:     Placa padre:  Tipo adquisicion : Entidad"</f>
        <v>Descripcion:ANTIVIRUS ESET ENDPOINT SECURITY RENOVACIÓN (NOD32) Estado: Bueno Placa anterior: 000038328 Material:  Color:  Referencia:  Observacion:     Placa padre:  Tipo adquisicion : Entidad</v>
      </c>
      <c r="G19154" s="5"/>
    </row>
    <row r="19155" spans="1:7" ht="58.5" customHeight="1" x14ac:dyDescent="0.25">
      <c r="A19155" s="5" t="str">
        <f>"B0001207"</f>
        <v>B0001207</v>
      </c>
      <c r="B19155" s="5" t="str">
        <f t="shared" si="983"/>
        <v>ANTIVIRUS</v>
      </c>
      <c r="C19155" s="6">
        <v>129970</v>
      </c>
      <c r="D19155" s="5" t="s">
        <v>63</v>
      </c>
      <c r="E19155" s="5" t="str">
        <f t="shared" si="982"/>
        <v>SISTEMAS-GLOBALTRONIK SAS-SERGIO PATIÑO</v>
      </c>
      <c r="F19155" s="5" t="str">
        <f>"Descripcion:ANTIVIRUS ESET ENDPOINT SECURITY (NOD32) Estado: Bueno Placa anterior: 000038021 Material:  Color:  Referencia:  Observacion:     Placa padre:  Tipo adquisicion : Entidad"</f>
        <v>Descripcion:ANTIVIRUS ESET ENDPOINT SECURITY (NOD32) Estado: Bueno Placa anterior: 000038021 Material:  Color:  Referencia:  Observacion:     Placa padre:  Tipo adquisicion : Entidad</v>
      </c>
      <c r="G19155" s="5"/>
    </row>
    <row r="19156" spans="1:7" ht="58.5" customHeight="1" x14ac:dyDescent="0.25">
      <c r="A19156" s="5" t="str">
        <f>"B0001208"</f>
        <v>B0001208</v>
      </c>
      <c r="B19156" s="5" t="str">
        <f t="shared" si="983"/>
        <v>ANTIVIRUS</v>
      </c>
      <c r="C19156" s="6">
        <v>63309.81</v>
      </c>
      <c r="D19156" s="5" t="s">
        <v>63</v>
      </c>
      <c r="E19156" s="5" t="str">
        <f t="shared" si="982"/>
        <v>SISTEMAS-GLOBALTRONIK SAS-SERGIO PATIÑO</v>
      </c>
      <c r="F19156" s="5" t="str">
        <f>"Descripcion:ANTIVIRUS ESET ENDPOINT SECURITY RENOVACIÓN (NOD32) Estado: Bueno Placa anterior: 000038726 Material:  Color:  Referencia:  Observacion:     Placa padre:  Tipo adquisicion : Entidad"</f>
        <v>Descripcion:ANTIVIRUS ESET ENDPOINT SECURITY RENOVACIÓN (NOD32) Estado: Bueno Placa anterior: 000038726 Material:  Color:  Referencia:  Observacion:     Placa padre:  Tipo adquisicion : Entidad</v>
      </c>
      <c r="G19156" s="5"/>
    </row>
    <row r="19157" spans="1:7" ht="58.5" customHeight="1" x14ac:dyDescent="0.25">
      <c r="A19157" s="5" t="str">
        <f>"B0001209"</f>
        <v>B0001209</v>
      </c>
      <c r="B19157" s="5" t="str">
        <f t="shared" si="983"/>
        <v>ANTIVIRUS</v>
      </c>
      <c r="C19157" s="6">
        <v>63309.81</v>
      </c>
      <c r="D19157" s="5" t="s">
        <v>63</v>
      </c>
      <c r="E19157" s="5" t="str">
        <f t="shared" si="982"/>
        <v>SISTEMAS-GLOBALTRONIK SAS-SERGIO PATIÑO</v>
      </c>
      <c r="F19157" s="5" t="str">
        <f>"Descripcion:ANTIVIRUS ESET ENDPOINT SECURITY RENOVACIÓN (NOD32) Estado: Bueno Placa anterior: 000038589 Material:  Color:  Referencia:  Observacion:     Placa padre:  Tipo adquisicion : Entidad"</f>
        <v>Descripcion:ANTIVIRUS ESET ENDPOINT SECURITY RENOVACIÓN (NOD32) Estado: Bueno Placa anterior: 000038589 Material:  Color:  Referencia:  Observacion:     Placa padre:  Tipo adquisicion : Entidad</v>
      </c>
      <c r="G19157" s="5"/>
    </row>
    <row r="19158" spans="1:7" ht="58.5" customHeight="1" x14ac:dyDescent="0.25">
      <c r="A19158" s="5" t="str">
        <f>"B0001210"</f>
        <v>B0001210</v>
      </c>
      <c r="B19158" s="5" t="str">
        <f t="shared" si="983"/>
        <v>ANTIVIRUS</v>
      </c>
      <c r="C19158" s="6">
        <v>129970</v>
      </c>
      <c r="D19158" s="5" t="s">
        <v>63</v>
      </c>
      <c r="E19158" s="5" t="str">
        <f t="shared" si="982"/>
        <v>SISTEMAS-GLOBALTRONIK SAS-SERGIO PATIÑO</v>
      </c>
      <c r="F19158" s="5" t="str">
        <f>"Descripcion:ANTIVIRUS ESET ENDPOINT SECURITY (NOD32) Estado: Bueno Placa anterior: 000038075 Material:  Color:  Referencia:  Observacion:     Placa padre:  Tipo adquisicion : Entidad"</f>
        <v>Descripcion:ANTIVIRUS ESET ENDPOINT SECURITY (NOD32) Estado: Bueno Placa anterior: 000038075 Material:  Color:  Referencia:  Observacion:     Placa padre:  Tipo adquisicion : Entidad</v>
      </c>
      <c r="G19158" s="5"/>
    </row>
    <row r="19159" spans="1:7" ht="58.5" customHeight="1" x14ac:dyDescent="0.25">
      <c r="A19159" s="5" t="str">
        <f>"B0001211"</f>
        <v>B0001211</v>
      </c>
      <c r="B19159" s="5" t="str">
        <f t="shared" si="983"/>
        <v>ANTIVIRUS</v>
      </c>
      <c r="C19159" s="6">
        <v>63309.81</v>
      </c>
      <c r="D19159" s="5" t="s">
        <v>63</v>
      </c>
      <c r="E19159" s="5" t="str">
        <f t="shared" si="982"/>
        <v>SISTEMAS-GLOBALTRONIK SAS-SERGIO PATIÑO</v>
      </c>
      <c r="F19159" s="5" t="str">
        <f>"Descripcion:ANTIVIRUS ESET ENDPOINT SECURITY RENOVACIÓN (NOD32) Estado: Bueno Placa anterior: 000038674 Material:  Color:  Referencia:  Observacion:     Placa padre:  Tipo adquisicion : Entidad"</f>
        <v>Descripcion:ANTIVIRUS ESET ENDPOINT SECURITY RENOVACIÓN (NOD32) Estado: Bueno Placa anterior: 000038674 Material:  Color:  Referencia:  Observacion:     Placa padre:  Tipo adquisicion : Entidad</v>
      </c>
      <c r="G19159" s="5"/>
    </row>
    <row r="19160" spans="1:7" ht="58.5" customHeight="1" x14ac:dyDescent="0.25">
      <c r="A19160" s="5" t="str">
        <f>"B0001212"</f>
        <v>B0001212</v>
      </c>
      <c r="B19160" s="5" t="str">
        <f t="shared" si="983"/>
        <v>ANTIVIRUS</v>
      </c>
      <c r="C19160" s="6">
        <v>63309.81</v>
      </c>
      <c r="D19160" s="5" t="s">
        <v>63</v>
      </c>
      <c r="E19160" s="5" t="str">
        <f t="shared" si="982"/>
        <v>SISTEMAS-GLOBALTRONIK SAS-SERGIO PATIÑO</v>
      </c>
      <c r="F19160" s="5" t="str">
        <f>"Descripcion:ANTIVIRUS ESET ENDPOINT SECURITY RENOVACIÓN (NOD32) Estado: Bueno Placa anterior: 000038419 Material:  Color:  Referencia:  Observacion:     Placa padre:  Tipo adquisicion : Entidad"</f>
        <v>Descripcion:ANTIVIRUS ESET ENDPOINT SECURITY RENOVACIÓN (NOD32) Estado: Bueno Placa anterior: 000038419 Material:  Color:  Referencia:  Observacion:     Placa padre:  Tipo adquisicion : Entidad</v>
      </c>
      <c r="G19160" s="5"/>
    </row>
    <row r="19161" spans="1:7" ht="58.5" customHeight="1" x14ac:dyDescent="0.25">
      <c r="A19161" s="5" t="str">
        <f>"B0001213"</f>
        <v>B0001213</v>
      </c>
      <c r="B19161" s="5" t="str">
        <f t="shared" si="983"/>
        <v>ANTIVIRUS</v>
      </c>
      <c r="C19161" s="6">
        <v>63309.81</v>
      </c>
      <c r="D19161" s="5" t="s">
        <v>63</v>
      </c>
      <c r="E19161" s="5" t="str">
        <f t="shared" si="982"/>
        <v>SISTEMAS-GLOBALTRONIK SAS-SERGIO PATIÑO</v>
      </c>
      <c r="F19161" s="5" t="str">
        <f>"Descripcion:ANTIVIRUS ESET ENDPOINT SECURITY RENOVACIÓN (NOD32) Estado: Bueno Placa anterior: 000038432 Material:  Color:  Referencia:  Observacion:     Placa padre:  Tipo adquisicion : Entidad"</f>
        <v>Descripcion:ANTIVIRUS ESET ENDPOINT SECURITY RENOVACIÓN (NOD32) Estado: Bueno Placa anterior: 000038432 Material:  Color:  Referencia:  Observacion:     Placa padre:  Tipo adquisicion : Entidad</v>
      </c>
      <c r="G19161" s="5"/>
    </row>
    <row r="19162" spans="1:7" ht="58.5" customHeight="1" x14ac:dyDescent="0.25">
      <c r="A19162" s="5" t="str">
        <f>"B0001214"</f>
        <v>B0001214</v>
      </c>
      <c r="B19162" s="5" t="str">
        <f t="shared" si="983"/>
        <v>ANTIVIRUS</v>
      </c>
      <c r="C19162" s="6">
        <v>63309.81</v>
      </c>
      <c r="D19162" s="5" t="s">
        <v>63</v>
      </c>
      <c r="E19162" s="5" t="str">
        <f t="shared" si="982"/>
        <v>SISTEMAS-GLOBALTRONIK SAS-SERGIO PATIÑO</v>
      </c>
      <c r="F19162" s="5" t="str">
        <f>"Descripcion:ANTIVIRUS ESET ENDPOINT SECURITY RENOVACIÓN (NOD32) Estado: Bueno Placa anterior: 000038590 Material:  Color:  Referencia:  Observacion:     Placa padre:  Tipo adquisicion : Entidad"</f>
        <v>Descripcion:ANTIVIRUS ESET ENDPOINT SECURITY RENOVACIÓN (NOD32) Estado: Bueno Placa anterior: 000038590 Material:  Color:  Referencia:  Observacion:     Placa padre:  Tipo adquisicion : Entidad</v>
      </c>
      <c r="G19162" s="5"/>
    </row>
    <row r="19163" spans="1:7" ht="58.5" customHeight="1" x14ac:dyDescent="0.25">
      <c r="A19163" s="5" t="str">
        <f>"B0001215"</f>
        <v>B0001215</v>
      </c>
      <c r="B19163" s="5" t="str">
        <f t="shared" si="983"/>
        <v>ANTIVIRUS</v>
      </c>
      <c r="C19163" s="6">
        <v>63309.81</v>
      </c>
      <c r="D19163" s="5" t="s">
        <v>63</v>
      </c>
      <c r="E19163" s="5" t="str">
        <f t="shared" si="982"/>
        <v>SISTEMAS-GLOBALTRONIK SAS-SERGIO PATIÑO</v>
      </c>
      <c r="F19163" s="5" t="str">
        <f>"Descripcion:ANTIVIRUS ESET ENDPOINT SECURITY RENOVACIÓN (NOD32) Estado: Bueno Placa anterior: 000038642 Material:  Color:  Referencia:  Observacion:     Placa padre:  Tipo adquisicion : Entidad"</f>
        <v>Descripcion:ANTIVIRUS ESET ENDPOINT SECURITY RENOVACIÓN (NOD32) Estado: Bueno Placa anterior: 000038642 Material:  Color:  Referencia:  Observacion:     Placa padre:  Tipo adquisicion : Entidad</v>
      </c>
      <c r="G19163" s="5"/>
    </row>
    <row r="19164" spans="1:7" ht="58.5" customHeight="1" x14ac:dyDescent="0.25">
      <c r="A19164" s="5" t="str">
        <f>"B0001216"</f>
        <v>B0001216</v>
      </c>
      <c r="B19164" s="5" t="str">
        <f t="shared" si="983"/>
        <v>ANTIVIRUS</v>
      </c>
      <c r="C19164" s="6">
        <v>63309.81</v>
      </c>
      <c r="D19164" s="5" t="s">
        <v>63</v>
      </c>
      <c r="E19164" s="5" t="str">
        <f t="shared" si="982"/>
        <v>SISTEMAS-GLOBALTRONIK SAS-SERGIO PATIÑO</v>
      </c>
      <c r="F19164" s="5" t="str">
        <f>"Descripcion:ANTIVIRUS ESET ENDPOINT SECURITY RENOVACIÓN (NOD32) Estado: Bueno Placa anterior: 000038429 Material:  Color:  Referencia:  Observacion:     Placa padre:  Tipo adquisicion : Entidad"</f>
        <v>Descripcion:ANTIVIRUS ESET ENDPOINT SECURITY RENOVACIÓN (NOD32) Estado: Bueno Placa anterior: 000038429 Material:  Color:  Referencia:  Observacion:     Placa padre:  Tipo adquisicion : Entidad</v>
      </c>
      <c r="G19164" s="5"/>
    </row>
    <row r="19165" spans="1:7" ht="58.5" customHeight="1" x14ac:dyDescent="0.25">
      <c r="A19165" s="5" t="str">
        <f>"B0001217"</f>
        <v>B0001217</v>
      </c>
      <c r="B19165" s="5" t="str">
        <f t="shared" si="983"/>
        <v>ANTIVIRUS</v>
      </c>
      <c r="C19165" s="6">
        <v>63309.81</v>
      </c>
      <c r="D19165" s="5" t="s">
        <v>63</v>
      </c>
      <c r="E19165" s="5" t="str">
        <f t="shared" si="982"/>
        <v>SISTEMAS-GLOBALTRONIK SAS-SERGIO PATIÑO</v>
      </c>
      <c r="F19165" s="5" t="str">
        <f>"Descripcion:ANTIVIRUS ESET ENDPOINT SECURITY RENOVACIÓN (NOD32) Estado: Bueno Placa anterior: 000038579 Material:  Color:  Referencia:  Observacion:     Placa padre:  Tipo adquisicion : Entidad"</f>
        <v>Descripcion:ANTIVIRUS ESET ENDPOINT SECURITY RENOVACIÓN (NOD32) Estado: Bueno Placa anterior: 000038579 Material:  Color:  Referencia:  Observacion:     Placa padre:  Tipo adquisicion : Entidad</v>
      </c>
      <c r="G19165" s="5"/>
    </row>
    <row r="19166" spans="1:7" ht="58.5" customHeight="1" x14ac:dyDescent="0.25">
      <c r="A19166" s="5" t="str">
        <f>"B0001218"</f>
        <v>B0001218</v>
      </c>
      <c r="B19166" s="5" t="str">
        <f t="shared" si="983"/>
        <v>ANTIVIRUS</v>
      </c>
      <c r="C19166" s="6">
        <v>63309.81</v>
      </c>
      <c r="D19166" s="5" t="s">
        <v>63</v>
      </c>
      <c r="E19166" s="5" t="str">
        <f t="shared" si="982"/>
        <v>SISTEMAS-GLOBALTRONIK SAS-SERGIO PATIÑO</v>
      </c>
      <c r="F19166" s="5" t="str">
        <f>"Descripcion:ANTIVIRUS ESET ENDPOINT SECURITY RENOVACIÓN (NOD32) Estado: Bueno Placa anterior: 000038413 Material:  Color:  Referencia:  Observacion:     Placa padre:  Tipo adquisicion : Entidad"</f>
        <v>Descripcion:ANTIVIRUS ESET ENDPOINT SECURITY RENOVACIÓN (NOD32) Estado: Bueno Placa anterior: 000038413 Material:  Color:  Referencia:  Observacion:     Placa padre:  Tipo adquisicion : Entidad</v>
      </c>
      <c r="G19166" s="5"/>
    </row>
    <row r="19167" spans="1:7" ht="58.5" customHeight="1" x14ac:dyDescent="0.25">
      <c r="A19167" s="5" t="str">
        <f>"B0001219"</f>
        <v>B0001219</v>
      </c>
      <c r="B19167" s="5" t="str">
        <f t="shared" si="983"/>
        <v>ANTIVIRUS</v>
      </c>
      <c r="C19167" s="6">
        <v>63309.81</v>
      </c>
      <c r="D19167" s="5" t="s">
        <v>63</v>
      </c>
      <c r="E19167" s="5" t="str">
        <f t="shared" si="982"/>
        <v>SISTEMAS-GLOBALTRONIK SAS-SERGIO PATIÑO</v>
      </c>
      <c r="F19167" s="5" t="str">
        <f>"Descripcion:ANTIVIRUS ESET ENDPOINT SECURITY RENOVACIÓN (NOD32) Estado: Bueno Placa anterior: 000038594 Material:  Color:  Referencia:  Observacion:     Placa padre:  Tipo adquisicion : Entidad"</f>
        <v>Descripcion:ANTIVIRUS ESET ENDPOINT SECURITY RENOVACIÓN (NOD32) Estado: Bueno Placa anterior: 000038594 Material:  Color:  Referencia:  Observacion:     Placa padre:  Tipo adquisicion : Entidad</v>
      </c>
      <c r="G19167" s="5"/>
    </row>
    <row r="19168" spans="1:7" ht="58.5" customHeight="1" x14ac:dyDescent="0.25">
      <c r="A19168" s="5" t="str">
        <f>"B0001220"</f>
        <v>B0001220</v>
      </c>
      <c r="B19168" s="5" t="str">
        <f t="shared" si="983"/>
        <v>ANTIVIRUS</v>
      </c>
      <c r="C19168" s="6">
        <v>63309.81</v>
      </c>
      <c r="D19168" s="5" t="s">
        <v>63</v>
      </c>
      <c r="E19168" s="5" t="str">
        <f t="shared" si="982"/>
        <v>SISTEMAS-GLOBALTRONIK SAS-SERGIO PATIÑO</v>
      </c>
      <c r="F19168" s="5" t="str">
        <f>"Descripcion:ANTIVIRUS ESET ENDPOINT SECURITY RENOVACIÓN (NOD32) Estado: Bueno Placa anterior: 000038578 Material:  Color:  Referencia:  Observacion:     Placa padre:  Tipo adquisicion : Entidad"</f>
        <v>Descripcion:ANTIVIRUS ESET ENDPOINT SECURITY RENOVACIÓN (NOD32) Estado: Bueno Placa anterior: 000038578 Material:  Color:  Referencia:  Observacion:     Placa padre:  Tipo adquisicion : Entidad</v>
      </c>
      <c r="G19168" s="5"/>
    </row>
    <row r="19169" spans="1:7" ht="58.5" customHeight="1" x14ac:dyDescent="0.25">
      <c r="A19169" s="5" t="str">
        <f>"B0001221"</f>
        <v>B0001221</v>
      </c>
      <c r="B19169" s="5" t="str">
        <f t="shared" si="983"/>
        <v>ANTIVIRUS</v>
      </c>
      <c r="C19169" s="6">
        <v>63309.81</v>
      </c>
      <c r="D19169" s="5" t="s">
        <v>63</v>
      </c>
      <c r="E19169" s="5" t="str">
        <f t="shared" si="982"/>
        <v>SISTEMAS-GLOBALTRONIK SAS-SERGIO PATIÑO</v>
      </c>
      <c r="F19169" s="5" t="str">
        <f>"Descripcion:ANTIVIRUS ESET ENDPOINT SECURITY RENOVACIÓN (NOD32) Estado: Bueno Placa anterior: 000038370 Material:  Color:  Referencia:  Observacion:     Placa padre:  Tipo adquisicion : Entidad"</f>
        <v>Descripcion:ANTIVIRUS ESET ENDPOINT SECURITY RENOVACIÓN (NOD32) Estado: Bueno Placa anterior: 000038370 Material:  Color:  Referencia:  Observacion:     Placa padre:  Tipo adquisicion : Entidad</v>
      </c>
      <c r="G19169" s="5"/>
    </row>
    <row r="19170" spans="1:7" ht="58.5" customHeight="1" x14ac:dyDescent="0.25">
      <c r="A19170" s="5" t="str">
        <f>"B0001222"</f>
        <v>B0001222</v>
      </c>
      <c r="B19170" s="5" t="str">
        <f t="shared" si="983"/>
        <v>ANTIVIRUS</v>
      </c>
      <c r="C19170" s="6">
        <v>63309.81</v>
      </c>
      <c r="D19170" s="5" t="s">
        <v>63</v>
      </c>
      <c r="E19170" s="5" t="str">
        <f t="shared" si="982"/>
        <v>SISTEMAS-GLOBALTRONIK SAS-SERGIO PATIÑO</v>
      </c>
      <c r="F19170" s="5" t="str">
        <f>"Descripcion:ANTIVIRUS ESET ENDPOINT SECURITY RENOVACIÓN (NOD32) Estado: Bueno Placa anterior: 000038703 Material:  Color:  Referencia:  Observacion:     Placa padre:  Tipo adquisicion : Entidad"</f>
        <v>Descripcion:ANTIVIRUS ESET ENDPOINT SECURITY RENOVACIÓN (NOD32) Estado: Bueno Placa anterior: 000038703 Material:  Color:  Referencia:  Observacion:     Placa padre:  Tipo adquisicion : Entidad</v>
      </c>
      <c r="G19170" s="5"/>
    </row>
    <row r="19171" spans="1:7" ht="58.5" customHeight="1" x14ac:dyDescent="0.25">
      <c r="A19171" s="5" t="str">
        <f>"B0001223"</f>
        <v>B0001223</v>
      </c>
      <c r="B19171" s="5" t="str">
        <f t="shared" si="983"/>
        <v>ANTIVIRUS</v>
      </c>
      <c r="C19171" s="6">
        <v>63309.81</v>
      </c>
      <c r="D19171" s="5" t="s">
        <v>63</v>
      </c>
      <c r="E19171" s="5" t="str">
        <f t="shared" si="982"/>
        <v>SISTEMAS-GLOBALTRONIK SAS-SERGIO PATIÑO</v>
      </c>
      <c r="F19171" s="5" t="str">
        <f>"Descripcion:ANTIVIRUS ESET ENDPOINT SECURITY RENOVACIÓN (NOD32) Estado: Bueno Placa anterior: 000038471 Material:  Color:  Referencia:  Observacion:     Placa padre:  Tipo adquisicion : Entidad"</f>
        <v>Descripcion:ANTIVIRUS ESET ENDPOINT SECURITY RENOVACIÓN (NOD32) Estado: Bueno Placa anterior: 000038471 Material:  Color:  Referencia:  Observacion:     Placa padre:  Tipo adquisicion : Entidad</v>
      </c>
      <c r="G19171" s="5"/>
    </row>
    <row r="19172" spans="1:7" ht="58.5" customHeight="1" x14ac:dyDescent="0.25">
      <c r="A19172" s="5" t="str">
        <f>"B0001224"</f>
        <v>B0001224</v>
      </c>
      <c r="B19172" s="5" t="str">
        <f t="shared" si="983"/>
        <v>ANTIVIRUS</v>
      </c>
      <c r="C19172" s="6">
        <v>129970</v>
      </c>
      <c r="D19172" s="5" t="s">
        <v>63</v>
      </c>
      <c r="E19172" s="5" t="str">
        <f t="shared" si="982"/>
        <v>SISTEMAS-GLOBALTRONIK SAS-SERGIO PATIÑO</v>
      </c>
      <c r="F19172" s="5" t="str">
        <f>"Descripcion:ANTIVIRUS ESET ENDPOINT SECURITY (NOD32) Estado: Bueno Placa anterior: 000038111 Material:  Color:  Referencia:  Observacion:     Placa padre:  Tipo adquisicion : Entidad"</f>
        <v>Descripcion:ANTIVIRUS ESET ENDPOINT SECURITY (NOD32) Estado: Bueno Placa anterior: 000038111 Material:  Color:  Referencia:  Observacion:     Placa padre:  Tipo adquisicion : Entidad</v>
      </c>
      <c r="G19172" s="5"/>
    </row>
    <row r="19173" spans="1:7" ht="58.5" customHeight="1" x14ac:dyDescent="0.25">
      <c r="A19173" s="5" t="str">
        <f>"B0001225"</f>
        <v>B0001225</v>
      </c>
      <c r="B19173" s="5" t="str">
        <f t="shared" si="983"/>
        <v>ANTIVIRUS</v>
      </c>
      <c r="C19173" s="6">
        <v>63309.81</v>
      </c>
      <c r="D19173" s="5" t="s">
        <v>63</v>
      </c>
      <c r="E19173" s="5" t="str">
        <f t="shared" si="982"/>
        <v>SISTEMAS-GLOBALTRONIK SAS-SERGIO PATIÑO</v>
      </c>
      <c r="F19173" s="5" t="str">
        <f>"Descripcion:ANTIVIRUS ESET ENDPOINT SECURITY RENOVACIÓN (NOD32) Estado: Bueno Placa anterior: 000038667 Material:  Color:  Referencia:  Observacion:     Placa padre:  Tipo adquisicion : Entidad"</f>
        <v>Descripcion:ANTIVIRUS ESET ENDPOINT SECURITY RENOVACIÓN (NOD32) Estado: Bueno Placa anterior: 000038667 Material:  Color:  Referencia:  Observacion:     Placa padre:  Tipo adquisicion : Entidad</v>
      </c>
      <c r="G19173" s="5"/>
    </row>
    <row r="19174" spans="1:7" ht="58.5" customHeight="1" x14ac:dyDescent="0.25">
      <c r="A19174" s="5" t="str">
        <f>"B0001226"</f>
        <v>B0001226</v>
      </c>
      <c r="B19174" s="5" t="str">
        <f t="shared" si="983"/>
        <v>ANTIVIRUS</v>
      </c>
      <c r="C19174" s="6">
        <v>129970</v>
      </c>
      <c r="D19174" s="5" t="s">
        <v>63</v>
      </c>
      <c r="E19174" s="5" t="str">
        <f t="shared" si="982"/>
        <v>SISTEMAS-GLOBALTRONIK SAS-SERGIO PATIÑO</v>
      </c>
      <c r="F19174" s="5" t="str">
        <f>"Descripcion:ANTIVIRUS ESET ENDPOINT SECURITY (NOD32) Estado: Bueno Placa anterior: 000038067 Material:  Color:  Referencia:  Observacion:     Placa padre:  Tipo adquisicion : Entidad"</f>
        <v>Descripcion:ANTIVIRUS ESET ENDPOINT SECURITY (NOD32) Estado: Bueno Placa anterior: 000038067 Material:  Color:  Referencia:  Observacion:     Placa padre:  Tipo adquisicion : Entidad</v>
      </c>
      <c r="G19174" s="5"/>
    </row>
    <row r="19175" spans="1:7" ht="58.5" customHeight="1" x14ac:dyDescent="0.25">
      <c r="A19175" s="5" t="str">
        <f>"B0001227"</f>
        <v>B0001227</v>
      </c>
      <c r="B19175" s="5" t="str">
        <f t="shared" si="983"/>
        <v>ANTIVIRUS</v>
      </c>
      <c r="C19175" s="6">
        <v>129970</v>
      </c>
      <c r="D19175" s="5" t="s">
        <v>63</v>
      </c>
      <c r="E19175" s="5" t="str">
        <f t="shared" si="982"/>
        <v>SISTEMAS-GLOBALTRONIK SAS-SERGIO PATIÑO</v>
      </c>
      <c r="F19175" s="5" t="str">
        <f>"Descripcion:ANTIVIRUS ESET ENDPOINT SECURITY (NOD32) Estado: Bueno Placa anterior: 000038068 Material:  Color:  Referencia:  Observacion:     Placa padre:  Tipo adquisicion : Entidad"</f>
        <v>Descripcion:ANTIVIRUS ESET ENDPOINT SECURITY (NOD32) Estado: Bueno Placa anterior: 000038068 Material:  Color:  Referencia:  Observacion:     Placa padre:  Tipo adquisicion : Entidad</v>
      </c>
      <c r="G19175" s="5"/>
    </row>
    <row r="19176" spans="1:7" ht="58.5" customHeight="1" x14ac:dyDescent="0.25">
      <c r="A19176" s="5" t="str">
        <f>"B0001228"</f>
        <v>B0001228</v>
      </c>
      <c r="B19176" s="5" t="str">
        <f t="shared" si="983"/>
        <v>ANTIVIRUS</v>
      </c>
      <c r="C19176" s="6">
        <v>63309.81</v>
      </c>
      <c r="D19176" s="5" t="s">
        <v>63</v>
      </c>
      <c r="E19176" s="5" t="str">
        <f t="shared" si="982"/>
        <v>SISTEMAS-GLOBALTRONIK SAS-SERGIO PATIÑO</v>
      </c>
      <c r="F19176" s="5" t="str">
        <f>"Descripcion:ANTIVIRUS ESET ENDPOINT SECURITY RENOVACIÓN (NOD32) Estado: Bueno Placa anterior: 000038709 Material:  Color:  Referencia:  Observacion:     Placa padre:  Tipo adquisicion : Entidad"</f>
        <v>Descripcion:ANTIVIRUS ESET ENDPOINT SECURITY RENOVACIÓN (NOD32) Estado: Bueno Placa anterior: 000038709 Material:  Color:  Referencia:  Observacion:     Placa padre:  Tipo adquisicion : Entidad</v>
      </c>
      <c r="G19176" s="5"/>
    </row>
    <row r="19177" spans="1:7" ht="58.5" customHeight="1" x14ac:dyDescent="0.25">
      <c r="A19177" s="5" t="str">
        <f>"B0001229"</f>
        <v>B0001229</v>
      </c>
      <c r="B19177" s="5" t="str">
        <f t="shared" si="983"/>
        <v>ANTIVIRUS</v>
      </c>
      <c r="C19177" s="6">
        <v>63309.81</v>
      </c>
      <c r="D19177" s="5" t="s">
        <v>63</v>
      </c>
      <c r="E19177" s="5" t="str">
        <f t="shared" si="982"/>
        <v>SISTEMAS-GLOBALTRONIK SAS-SERGIO PATIÑO</v>
      </c>
      <c r="F19177" s="5" t="str">
        <f>"Descripcion:ANTIVIRUS ESET ENDPOINT SECURITY RENOVACIÓN (NOD32) Estado: Bueno Placa anterior: 000038645 Material:  Color:  Referencia:  Observacion:     Placa padre:  Tipo adquisicion : Entidad"</f>
        <v>Descripcion:ANTIVIRUS ESET ENDPOINT SECURITY RENOVACIÓN (NOD32) Estado: Bueno Placa anterior: 000038645 Material:  Color:  Referencia:  Observacion:     Placa padre:  Tipo adquisicion : Entidad</v>
      </c>
      <c r="G19177" s="5"/>
    </row>
    <row r="19178" spans="1:7" ht="58.5" customHeight="1" x14ac:dyDescent="0.25">
      <c r="A19178" s="5" t="str">
        <f>"B0001230"</f>
        <v>B0001230</v>
      </c>
      <c r="B19178" s="5" t="str">
        <f t="shared" si="983"/>
        <v>ANTIVIRUS</v>
      </c>
      <c r="C19178" s="6">
        <v>63309.81</v>
      </c>
      <c r="D19178" s="5" t="s">
        <v>63</v>
      </c>
      <c r="E19178" s="5" t="str">
        <f t="shared" si="982"/>
        <v>SISTEMAS-GLOBALTRONIK SAS-SERGIO PATIÑO</v>
      </c>
      <c r="F19178" s="5" t="str">
        <f>"Descripcion:ANTIVIRUS ESET ENDPOINT SECURITY RENOVACIÓN (NOD32) Estado: Bueno Placa anterior: 000038448 Material:  Color:  Referencia:  Observacion:     Placa padre:  Tipo adquisicion : Entidad"</f>
        <v>Descripcion:ANTIVIRUS ESET ENDPOINT SECURITY RENOVACIÓN (NOD32) Estado: Bueno Placa anterior: 000038448 Material:  Color:  Referencia:  Observacion:     Placa padre:  Tipo adquisicion : Entidad</v>
      </c>
      <c r="G19178" s="5"/>
    </row>
    <row r="19179" spans="1:7" ht="58.5" customHeight="1" x14ac:dyDescent="0.25">
      <c r="A19179" s="5" t="str">
        <f>"B0001231"</f>
        <v>B0001231</v>
      </c>
      <c r="B19179" s="5" t="str">
        <f t="shared" si="983"/>
        <v>ANTIVIRUS</v>
      </c>
      <c r="C19179" s="6">
        <v>63309.81</v>
      </c>
      <c r="D19179" s="5" t="s">
        <v>63</v>
      </c>
      <c r="E19179" s="5" t="str">
        <f t="shared" si="982"/>
        <v>SISTEMAS-GLOBALTRONIK SAS-SERGIO PATIÑO</v>
      </c>
      <c r="F19179" s="5" t="str">
        <f>"Descripcion:ANTIVIRUS ESET ENDPOINT SECURITY RENOVACIÓN (NOD32) Estado: Bueno Placa anterior: 000038404 Material:  Color:  Referencia:  Observacion:     Placa padre:  Tipo adquisicion : Entidad"</f>
        <v>Descripcion:ANTIVIRUS ESET ENDPOINT SECURITY RENOVACIÓN (NOD32) Estado: Bueno Placa anterior: 000038404 Material:  Color:  Referencia:  Observacion:     Placa padre:  Tipo adquisicion : Entidad</v>
      </c>
      <c r="G19179" s="5"/>
    </row>
    <row r="19180" spans="1:7" ht="58.5" customHeight="1" x14ac:dyDescent="0.25">
      <c r="A19180" s="5" t="str">
        <f>"B0001232"</f>
        <v>B0001232</v>
      </c>
      <c r="B19180" s="5" t="str">
        <f t="shared" si="983"/>
        <v>ANTIVIRUS</v>
      </c>
      <c r="C19180" s="6">
        <v>63309.81</v>
      </c>
      <c r="D19180" s="5" t="s">
        <v>63</v>
      </c>
      <c r="E19180" s="5" t="str">
        <f t="shared" si="982"/>
        <v>SISTEMAS-GLOBALTRONIK SAS-SERGIO PATIÑO</v>
      </c>
      <c r="F19180" s="5" t="str">
        <f>"Descripcion:ANTIVIRUS ESET ENDPOINT SECURITY RENOVACIÓN (NOD32) Estado: Bueno Placa anterior: 000038491 Material:  Color:  Referencia:  Observacion:     Placa padre:  Tipo adquisicion : Entidad"</f>
        <v>Descripcion:ANTIVIRUS ESET ENDPOINT SECURITY RENOVACIÓN (NOD32) Estado: Bueno Placa anterior: 000038491 Material:  Color:  Referencia:  Observacion:     Placa padre:  Tipo adquisicion : Entidad</v>
      </c>
      <c r="G19180" s="5"/>
    </row>
    <row r="19181" spans="1:7" ht="58.5" customHeight="1" x14ac:dyDescent="0.25">
      <c r="A19181" s="5" t="str">
        <f>"B0001233"</f>
        <v>B0001233</v>
      </c>
      <c r="B19181" s="5" t="str">
        <f t="shared" si="983"/>
        <v>ANTIVIRUS</v>
      </c>
      <c r="C19181" s="6">
        <v>63309.81</v>
      </c>
      <c r="D19181" s="5" t="s">
        <v>63</v>
      </c>
      <c r="E19181" s="5" t="str">
        <f t="shared" si="982"/>
        <v>SISTEMAS-GLOBALTRONIK SAS-SERGIO PATIÑO</v>
      </c>
      <c r="F19181" s="5" t="str">
        <f>"Descripcion:ANTIVIRUS ESET ENDPOINT SECURITY RENOVACIÓN (NOD32) Estado: Bueno Placa anterior: 000038433 Material:  Color:  Referencia:  Observacion:     Placa padre:  Tipo adquisicion : Entidad"</f>
        <v>Descripcion:ANTIVIRUS ESET ENDPOINT SECURITY RENOVACIÓN (NOD32) Estado: Bueno Placa anterior: 000038433 Material:  Color:  Referencia:  Observacion:     Placa padre:  Tipo adquisicion : Entidad</v>
      </c>
      <c r="G19181" s="5"/>
    </row>
    <row r="19182" spans="1:7" ht="58.5" customHeight="1" x14ac:dyDescent="0.25">
      <c r="A19182" s="5" t="str">
        <f>"B0001234"</f>
        <v>B0001234</v>
      </c>
      <c r="B19182" s="5" t="str">
        <f t="shared" si="983"/>
        <v>ANTIVIRUS</v>
      </c>
      <c r="C19182" s="6">
        <v>63309.81</v>
      </c>
      <c r="D19182" s="5" t="s">
        <v>63</v>
      </c>
      <c r="E19182" s="5" t="str">
        <f t="shared" si="982"/>
        <v>SISTEMAS-GLOBALTRONIK SAS-SERGIO PATIÑO</v>
      </c>
      <c r="F19182" s="5" t="str">
        <f>"Descripcion:ANTIVIRUS ESET ENDPOINT SECURITY RENOVACIÓN (NOD32) Estado: Bueno Placa anterior: 000038721 Material:  Color:  Referencia:  Observacion:     Placa padre:  Tipo adquisicion : Entidad"</f>
        <v>Descripcion:ANTIVIRUS ESET ENDPOINT SECURITY RENOVACIÓN (NOD32) Estado: Bueno Placa anterior: 000038721 Material:  Color:  Referencia:  Observacion:     Placa padre:  Tipo adquisicion : Entidad</v>
      </c>
      <c r="G19182" s="5"/>
    </row>
    <row r="19183" spans="1:7" ht="58.5" customHeight="1" x14ac:dyDescent="0.25">
      <c r="A19183" s="5" t="str">
        <f>"B0001235"</f>
        <v>B0001235</v>
      </c>
      <c r="B19183" s="5" t="str">
        <f t="shared" si="983"/>
        <v>ANTIVIRUS</v>
      </c>
      <c r="C19183" s="6">
        <v>63309.81</v>
      </c>
      <c r="D19183" s="5" t="s">
        <v>63</v>
      </c>
      <c r="E19183" s="5" t="str">
        <f t="shared" si="982"/>
        <v>SISTEMAS-GLOBALTRONIK SAS-SERGIO PATIÑO</v>
      </c>
      <c r="F19183" s="5" t="str">
        <f>"Descripcion:ANTIVIRUS ESET ENDPOINT SECURITY RENOVACIÓN (NOD32) Estado: Bueno Placa anterior: 000038356 Material:  Color:  Referencia:  Observacion:     Placa padre:  Tipo adquisicion : Entidad"</f>
        <v>Descripcion:ANTIVIRUS ESET ENDPOINT SECURITY RENOVACIÓN (NOD32) Estado: Bueno Placa anterior: 000038356 Material:  Color:  Referencia:  Observacion:     Placa padre:  Tipo adquisicion : Entidad</v>
      </c>
      <c r="G19183" s="5"/>
    </row>
    <row r="19184" spans="1:7" ht="58.5" customHeight="1" x14ac:dyDescent="0.25">
      <c r="A19184" s="5" t="str">
        <f>"B0001236"</f>
        <v>B0001236</v>
      </c>
      <c r="B19184" s="5" t="str">
        <f t="shared" si="983"/>
        <v>ANTIVIRUS</v>
      </c>
      <c r="C19184" s="6">
        <v>129970</v>
      </c>
      <c r="D19184" s="5" t="s">
        <v>63</v>
      </c>
      <c r="E19184" s="5" t="str">
        <f t="shared" si="982"/>
        <v>SISTEMAS-GLOBALTRONIK SAS-SERGIO PATIÑO</v>
      </c>
      <c r="F19184" s="5" t="str">
        <f>"Descripcion:ANTIVIRUS ESET ENDPOINT SECURITY (NOD32) Estado: Bueno Placa anterior: 000038043 Material:  Color:  Referencia:  Observacion:     Placa padre:  Tipo adquisicion : Entidad"</f>
        <v>Descripcion:ANTIVIRUS ESET ENDPOINT SECURITY (NOD32) Estado: Bueno Placa anterior: 000038043 Material:  Color:  Referencia:  Observacion:     Placa padre:  Tipo adquisicion : Entidad</v>
      </c>
      <c r="G19184" s="5"/>
    </row>
    <row r="19185" spans="1:7" ht="58.5" customHeight="1" x14ac:dyDescent="0.25">
      <c r="A19185" s="5" t="str">
        <f>"B0001237"</f>
        <v>B0001237</v>
      </c>
      <c r="B19185" s="5" t="str">
        <f t="shared" si="983"/>
        <v>ANTIVIRUS</v>
      </c>
      <c r="C19185" s="6">
        <v>63309.81</v>
      </c>
      <c r="D19185" s="5" t="s">
        <v>63</v>
      </c>
      <c r="E19185" s="5" t="str">
        <f t="shared" si="982"/>
        <v>SISTEMAS-GLOBALTRONIK SAS-SERGIO PATIÑO</v>
      </c>
      <c r="F19185" s="5" t="str">
        <f>"Descripcion:ANTIVIRUS ESET ENDPOINT SECURITY RENOVACIÓN (NOD32) Estado: Bueno Placa anterior: 000038453 Material:  Color:  Referencia:  Observacion:     Placa padre:  Tipo adquisicion : Entidad"</f>
        <v>Descripcion:ANTIVIRUS ESET ENDPOINT SECURITY RENOVACIÓN (NOD32) Estado: Bueno Placa anterior: 000038453 Material:  Color:  Referencia:  Observacion:     Placa padre:  Tipo adquisicion : Entidad</v>
      </c>
      <c r="G19185" s="5"/>
    </row>
    <row r="19186" spans="1:7" ht="58.5" customHeight="1" x14ac:dyDescent="0.25">
      <c r="A19186" s="5" t="str">
        <f>"B0001238"</f>
        <v>B0001238</v>
      </c>
      <c r="B19186" s="5" t="str">
        <f t="shared" si="983"/>
        <v>ANTIVIRUS</v>
      </c>
      <c r="C19186" s="6">
        <v>129970</v>
      </c>
      <c r="D19186" s="5" t="s">
        <v>63</v>
      </c>
      <c r="E19186" s="5" t="str">
        <f t="shared" si="982"/>
        <v>SISTEMAS-GLOBALTRONIK SAS-SERGIO PATIÑO</v>
      </c>
      <c r="F19186" s="5" t="str">
        <f>"Descripcion:ANTIVIRUS ESET ENDPOINT SECURITY (NOD32) Estado: Bueno Placa anterior: 000038045 Material:  Color:  Referencia:  Observacion:     Placa padre:  Tipo adquisicion : Entidad"</f>
        <v>Descripcion:ANTIVIRUS ESET ENDPOINT SECURITY (NOD32) Estado: Bueno Placa anterior: 000038045 Material:  Color:  Referencia:  Observacion:     Placa padre:  Tipo adquisicion : Entidad</v>
      </c>
      <c r="G19186" s="5"/>
    </row>
    <row r="19187" spans="1:7" ht="58.5" customHeight="1" x14ac:dyDescent="0.25">
      <c r="A19187" s="5" t="str">
        <f>"B0001239"</f>
        <v>B0001239</v>
      </c>
      <c r="B19187" s="5" t="str">
        <f t="shared" si="983"/>
        <v>ANTIVIRUS</v>
      </c>
      <c r="C19187" s="6">
        <v>63309.81</v>
      </c>
      <c r="D19187" s="5" t="s">
        <v>63</v>
      </c>
      <c r="E19187" s="5" t="str">
        <f t="shared" si="982"/>
        <v>SISTEMAS-GLOBALTRONIK SAS-SERGIO PATIÑO</v>
      </c>
      <c r="F19187" s="5" t="str">
        <f>"Descripcion:ANTIVIRUS ESET ENDPOINT SECURITY RENOVACIÓN (NOD32) Estado: Bueno Placa anterior: 000038522 Material:  Color:  Referencia:  Observacion:     Placa padre:  Tipo adquisicion : Entidad"</f>
        <v>Descripcion:ANTIVIRUS ESET ENDPOINT SECURITY RENOVACIÓN (NOD32) Estado: Bueno Placa anterior: 000038522 Material:  Color:  Referencia:  Observacion:     Placa padre:  Tipo adquisicion : Entidad</v>
      </c>
      <c r="G19187" s="5"/>
    </row>
    <row r="19188" spans="1:7" ht="58.5" customHeight="1" x14ac:dyDescent="0.25">
      <c r="A19188" s="5" t="str">
        <f>"B0001240"</f>
        <v>B0001240</v>
      </c>
      <c r="B19188" s="5" t="str">
        <f t="shared" si="983"/>
        <v>ANTIVIRUS</v>
      </c>
      <c r="C19188" s="6">
        <v>63309.81</v>
      </c>
      <c r="D19188" s="5" t="s">
        <v>63</v>
      </c>
      <c r="E19188" s="5" t="str">
        <f t="shared" si="982"/>
        <v>SISTEMAS-GLOBALTRONIK SAS-SERGIO PATIÑO</v>
      </c>
      <c r="F19188" s="5" t="str">
        <f>"Descripcion:ANTIVIRUS ESET ENDPOINT SECURITY RENOVACIÓN (NOD32) Estado: Bueno Placa anterior: 000038705 Material:  Color:  Referencia:  Observacion:     Placa padre:  Tipo adquisicion : Entidad"</f>
        <v>Descripcion:ANTIVIRUS ESET ENDPOINT SECURITY RENOVACIÓN (NOD32) Estado: Bueno Placa anterior: 000038705 Material:  Color:  Referencia:  Observacion:     Placa padre:  Tipo adquisicion : Entidad</v>
      </c>
      <c r="G19188" s="5"/>
    </row>
    <row r="19189" spans="1:7" ht="58.5" customHeight="1" x14ac:dyDescent="0.25">
      <c r="A19189" s="5" t="str">
        <f>"B0001241"</f>
        <v>B0001241</v>
      </c>
      <c r="B19189" s="5" t="str">
        <f t="shared" si="983"/>
        <v>ANTIVIRUS</v>
      </c>
      <c r="C19189" s="6">
        <v>63309.81</v>
      </c>
      <c r="D19189" s="5" t="s">
        <v>63</v>
      </c>
      <c r="E19189" s="5" t="str">
        <f t="shared" si="982"/>
        <v>SISTEMAS-GLOBALTRONIK SAS-SERGIO PATIÑO</v>
      </c>
      <c r="F19189" s="5" t="str">
        <f>"Descripcion:ANTIVIRUS ESET ENDPOINT SECURITY RENOVACIÓN (NOD32) Estado: Bueno Placa anterior: 000038566 Material:  Color:  Referencia:  Observacion:     Placa padre:  Tipo adquisicion : Entidad"</f>
        <v>Descripcion:ANTIVIRUS ESET ENDPOINT SECURITY RENOVACIÓN (NOD32) Estado: Bueno Placa anterior: 000038566 Material:  Color:  Referencia:  Observacion:     Placa padre:  Tipo adquisicion : Entidad</v>
      </c>
      <c r="G19189" s="5"/>
    </row>
    <row r="19190" spans="1:7" ht="58.5" customHeight="1" x14ac:dyDescent="0.25">
      <c r="A19190" s="5" t="str">
        <f>"B0001242"</f>
        <v>B0001242</v>
      </c>
      <c r="B19190" s="5" t="str">
        <f t="shared" si="983"/>
        <v>ANTIVIRUS</v>
      </c>
      <c r="C19190" s="6">
        <v>63309.81</v>
      </c>
      <c r="D19190" s="5" t="s">
        <v>63</v>
      </c>
      <c r="E19190" s="5" t="str">
        <f t="shared" si="982"/>
        <v>SISTEMAS-GLOBALTRONIK SAS-SERGIO PATIÑO</v>
      </c>
      <c r="F19190" s="5" t="str">
        <f>"Descripcion:ANTIVIRUS ESET ENDPOINT SECURITY RENOVACIÓN (NOD32) Estado: Bueno Placa anterior: 000038687 Material:  Color:  Referencia:  Observacion:     Placa padre:  Tipo adquisicion : Entidad"</f>
        <v>Descripcion:ANTIVIRUS ESET ENDPOINT SECURITY RENOVACIÓN (NOD32) Estado: Bueno Placa anterior: 000038687 Material:  Color:  Referencia:  Observacion:     Placa padre:  Tipo adquisicion : Entidad</v>
      </c>
      <c r="G19190" s="5"/>
    </row>
    <row r="19191" spans="1:7" ht="58.5" customHeight="1" x14ac:dyDescent="0.25">
      <c r="A19191" s="5" t="str">
        <f>"B0001243"</f>
        <v>B0001243</v>
      </c>
      <c r="B19191" s="5" t="str">
        <f t="shared" si="983"/>
        <v>ANTIVIRUS</v>
      </c>
      <c r="C19191" s="6">
        <v>63309.81</v>
      </c>
      <c r="D19191" s="5" t="s">
        <v>63</v>
      </c>
      <c r="E19191" s="5" t="str">
        <f t="shared" si="982"/>
        <v>SISTEMAS-GLOBALTRONIK SAS-SERGIO PATIÑO</v>
      </c>
      <c r="F19191" s="5" t="str">
        <f>"Descripcion:ANTIVIRUS ESET ENDPOINT SECURITY RENOVACIÓN (NOD32) Estado: Bueno Placa anterior: 000038622 Material:  Color:  Referencia:  Observacion:     Placa padre:  Tipo adquisicion : Entidad"</f>
        <v>Descripcion:ANTIVIRUS ESET ENDPOINT SECURITY RENOVACIÓN (NOD32) Estado: Bueno Placa anterior: 000038622 Material:  Color:  Referencia:  Observacion:     Placa padre:  Tipo adquisicion : Entidad</v>
      </c>
      <c r="G19191" s="5"/>
    </row>
    <row r="19192" spans="1:7" ht="58.5" customHeight="1" x14ac:dyDescent="0.25">
      <c r="A19192" s="5" t="str">
        <f>"B0001244"</f>
        <v>B0001244</v>
      </c>
      <c r="B19192" s="5" t="str">
        <f t="shared" si="983"/>
        <v>ANTIVIRUS</v>
      </c>
      <c r="C19192" s="6">
        <v>129970</v>
      </c>
      <c r="D19192" s="5" t="s">
        <v>63</v>
      </c>
      <c r="E19192" s="5" t="str">
        <f t="shared" si="982"/>
        <v>SISTEMAS-GLOBALTRONIK SAS-SERGIO PATIÑO</v>
      </c>
      <c r="F19192" s="5" t="str">
        <f>"Descripcion:ANTIVIRUS ESET ENDPOINT SECURITY (NOD32) Estado: Bueno Placa anterior: 000038128 Material:  Color:  Referencia:  Observacion:     Placa padre:  Tipo adquisicion : Entidad"</f>
        <v>Descripcion:ANTIVIRUS ESET ENDPOINT SECURITY (NOD32) Estado: Bueno Placa anterior: 000038128 Material:  Color:  Referencia:  Observacion:     Placa padre:  Tipo adquisicion : Entidad</v>
      </c>
      <c r="G19192" s="5"/>
    </row>
    <row r="19193" spans="1:7" ht="58.5" customHeight="1" x14ac:dyDescent="0.25">
      <c r="A19193" s="5" t="str">
        <f>"B0001245"</f>
        <v>B0001245</v>
      </c>
      <c r="B19193" s="5" t="str">
        <f t="shared" si="983"/>
        <v>ANTIVIRUS</v>
      </c>
      <c r="C19193" s="6">
        <v>63309.81</v>
      </c>
      <c r="D19193" s="5" t="s">
        <v>63</v>
      </c>
      <c r="E19193" s="5" t="str">
        <f t="shared" si="982"/>
        <v>SISTEMAS-GLOBALTRONIK SAS-SERGIO PATIÑO</v>
      </c>
      <c r="F19193" s="5" t="str">
        <f>"Descripcion:ANTIVIRUS ESET ENDPOINT SECURITY RENOVACIÓN (NOD32) Estado: Bueno Placa anterior: 000038702 Material:  Color:  Referencia:  Observacion:     Placa padre:  Tipo adquisicion : Entidad"</f>
        <v>Descripcion:ANTIVIRUS ESET ENDPOINT SECURITY RENOVACIÓN (NOD32) Estado: Bueno Placa anterior: 000038702 Material:  Color:  Referencia:  Observacion:     Placa padre:  Tipo adquisicion : Entidad</v>
      </c>
      <c r="G19193" s="5"/>
    </row>
    <row r="19194" spans="1:7" ht="58.5" customHeight="1" x14ac:dyDescent="0.25">
      <c r="A19194" s="5" t="str">
        <f>"B0001246"</f>
        <v>B0001246</v>
      </c>
      <c r="B19194" s="5" t="str">
        <f t="shared" si="983"/>
        <v>ANTIVIRUS</v>
      </c>
      <c r="C19194" s="6">
        <v>129970</v>
      </c>
      <c r="D19194" s="5" t="s">
        <v>63</v>
      </c>
      <c r="E19194" s="5" t="str">
        <f t="shared" si="982"/>
        <v>SISTEMAS-GLOBALTRONIK SAS-SERGIO PATIÑO</v>
      </c>
      <c r="F19194" s="5" t="str">
        <f>"Descripcion:ANTIVIRUS ESET ENDPOINT SECURITY (NOD32) Estado: Bueno Placa anterior: 000038113 Material:  Color:  Referencia:  Observacion:     Placa padre:  Tipo adquisicion : Entidad"</f>
        <v>Descripcion:ANTIVIRUS ESET ENDPOINT SECURITY (NOD32) Estado: Bueno Placa anterior: 000038113 Material:  Color:  Referencia:  Observacion:     Placa padre:  Tipo adquisicion : Entidad</v>
      </c>
      <c r="G19194" s="5"/>
    </row>
    <row r="19195" spans="1:7" ht="58.5" customHeight="1" x14ac:dyDescent="0.25">
      <c r="A19195" s="5" t="str">
        <f>"B0001247"</f>
        <v>B0001247</v>
      </c>
      <c r="B19195" s="5" t="str">
        <f t="shared" si="983"/>
        <v>ANTIVIRUS</v>
      </c>
      <c r="C19195" s="6">
        <v>129970</v>
      </c>
      <c r="D19195" s="5" t="s">
        <v>63</v>
      </c>
      <c r="E19195" s="5" t="str">
        <f t="shared" si="982"/>
        <v>SISTEMAS-GLOBALTRONIK SAS-SERGIO PATIÑO</v>
      </c>
      <c r="F19195" s="5" t="str">
        <f>"Descripcion:ANTIVIRUS ESET ENDPOINT SECURITY (NOD32) Estado: Bueno Placa anterior: 000038083 Material:  Color:  Referencia:  Observacion:     Placa padre:  Tipo adquisicion : Entidad"</f>
        <v>Descripcion:ANTIVIRUS ESET ENDPOINT SECURITY (NOD32) Estado: Bueno Placa anterior: 000038083 Material:  Color:  Referencia:  Observacion:     Placa padre:  Tipo adquisicion : Entidad</v>
      </c>
      <c r="G19195" s="5"/>
    </row>
    <row r="19196" spans="1:7" ht="58.5" customHeight="1" x14ac:dyDescent="0.25">
      <c r="A19196" s="5" t="str">
        <f>"B0001248"</f>
        <v>B0001248</v>
      </c>
      <c r="B19196" s="5" t="str">
        <f t="shared" si="983"/>
        <v>ANTIVIRUS</v>
      </c>
      <c r="C19196" s="6">
        <v>129970</v>
      </c>
      <c r="D19196" s="5" t="s">
        <v>63</v>
      </c>
      <c r="E19196" s="5" t="str">
        <f t="shared" si="982"/>
        <v>SISTEMAS-GLOBALTRONIK SAS-SERGIO PATIÑO</v>
      </c>
      <c r="F19196" s="5" t="str">
        <f>"Descripcion:ANTIVIRUS ESET ENDPOINT SECURITY (NOD32) Estado: Bueno Placa anterior: 000038141 Material:  Color:  Referencia:  Observacion:     Placa padre:  Tipo adquisicion : Entidad"</f>
        <v>Descripcion:ANTIVIRUS ESET ENDPOINT SECURITY (NOD32) Estado: Bueno Placa anterior: 000038141 Material:  Color:  Referencia:  Observacion:     Placa padre:  Tipo adquisicion : Entidad</v>
      </c>
      <c r="G19196" s="5"/>
    </row>
    <row r="19197" spans="1:7" ht="58.5" customHeight="1" x14ac:dyDescent="0.25">
      <c r="A19197" s="5" t="str">
        <f>"B0001249"</f>
        <v>B0001249</v>
      </c>
      <c r="B19197" s="5" t="str">
        <f t="shared" si="983"/>
        <v>ANTIVIRUS</v>
      </c>
      <c r="C19197" s="6">
        <v>63309.81</v>
      </c>
      <c r="D19197" s="5" t="s">
        <v>63</v>
      </c>
      <c r="E19197" s="5" t="str">
        <f t="shared" ref="E19197:E19260" si="984">"SISTEMAS-GLOBALTRONIK SAS-SERGIO PATIÑO"</f>
        <v>SISTEMAS-GLOBALTRONIK SAS-SERGIO PATIÑO</v>
      </c>
      <c r="F19197" s="5" t="str">
        <f>"Descripcion:ANTIVIRUS ESET ENDPOINT SECURITY RENOVACIÓN (NOD32) Estado: Bueno Placa anterior: 000038581 Material:  Color:  Referencia:  Observacion:     Placa padre:  Tipo adquisicion : Entidad"</f>
        <v>Descripcion:ANTIVIRUS ESET ENDPOINT SECURITY RENOVACIÓN (NOD32) Estado: Bueno Placa anterior: 000038581 Material:  Color:  Referencia:  Observacion:     Placa padre:  Tipo adquisicion : Entidad</v>
      </c>
      <c r="G19197" s="5"/>
    </row>
    <row r="19198" spans="1:7" ht="58.5" customHeight="1" x14ac:dyDescent="0.25">
      <c r="A19198" s="5" t="str">
        <f>"B0001250"</f>
        <v>B0001250</v>
      </c>
      <c r="B19198" s="5" t="str">
        <f t="shared" si="983"/>
        <v>ANTIVIRUS</v>
      </c>
      <c r="C19198" s="6">
        <v>63309.81</v>
      </c>
      <c r="D19198" s="5" t="s">
        <v>63</v>
      </c>
      <c r="E19198" s="5" t="str">
        <f t="shared" si="984"/>
        <v>SISTEMAS-GLOBALTRONIK SAS-SERGIO PATIÑO</v>
      </c>
      <c r="F19198" s="5" t="str">
        <f>"Descripcion:ANTIVIRUS ESET ENDPOINT SECURITY RENOVACIÓN (NOD32) Estado: Bueno Placa anterior: 000038573 Material:  Color:  Referencia:  Observacion:     Placa padre:  Tipo adquisicion : Entidad"</f>
        <v>Descripcion:ANTIVIRUS ESET ENDPOINT SECURITY RENOVACIÓN (NOD32) Estado: Bueno Placa anterior: 000038573 Material:  Color:  Referencia:  Observacion:     Placa padre:  Tipo adquisicion : Entidad</v>
      </c>
      <c r="G19198" s="5"/>
    </row>
    <row r="19199" spans="1:7" ht="58.5" customHeight="1" x14ac:dyDescent="0.25">
      <c r="A19199" s="5" t="str">
        <f>"B0001251"</f>
        <v>B0001251</v>
      </c>
      <c r="B19199" s="5" t="str">
        <f t="shared" si="983"/>
        <v>ANTIVIRUS</v>
      </c>
      <c r="C19199" s="6">
        <v>63309.81</v>
      </c>
      <c r="D19199" s="5" t="s">
        <v>63</v>
      </c>
      <c r="E19199" s="5" t="str">
        <f t="shared" si="984"/>
        <v>SISTEMAS-GLOBALTRONIK SAS-SERGIO PATIÑO</v>
      </c>
      <c r="F19199" s="5" t="str">
        <f>"Descripcion:ANTIVIRUS ESET ENDPOINT SECURITY RENOVACIÓN (NOD32) Estado: Bueno Placa anterior: 000038543 Material:  Color:  Referencia:  Observacion:     Placa padre:  Tipo adquisicion : Entidad"</f>
        <v>Descripcion:ANTIVIRUS ESET ENDPOINT SECURITY RENOVACIÓN (NOD32) Estado: Bueno Placa anterior: 000038543 Material:  Color:  Referencia:  Observacion:     Placa padre:  Tipo adquisicion : Entidad</v>
      </c>
      <c r="G19199" s="5"/>
    </row>
    <row r="19200" spans="1:7" ht="58.5" customHeight="1" x14ac:dyDescent="0.25">
      <c r="A19200" s="5" t="str">
        <f>"B0001252"</f>
        <v>B0001252</v>
      </c>
      <c r="B19200" s="5" t="str">
        <f t="shared" si="983"/>
        <v>ANTIVIRUS</v>
      </c>
      <c r="C19200" s="6">
        <v>63309.81</v>
      </c>
      <c r="D19200" s="5" t="s">
        <v>63</v>
      </c>
      <c r="E19200" s="5" t="str">
        <f t="shared" si="984"/>
        <v>SISTEMAS-GLOBALTRONIK SAS-SERGIO PATIÑO</v>
      </c>
      <c r="F19200" s="5" t="str">
        <f>"Descripcion:ANTIVIRUS ESET ENDPOINT SECURITY RENOVACIÓN (NOD32) Estado: Bueno Placa anterior: 000038479 Material:  Color:  Referencia:  Observacion:     Placa padre:  Tipo adquisicion : Entidad"</f>
        <v>Descripcion:ANTIVIRUS ESET ENDPOINT SECURITY RENOVACIÓN (NOD32) Estado: Bueno Placa anterior: 000038479 Material:  Color:  Referencia:  Observacion:     Placa padre:  Tipo adquisicion : Entidad</v>
      </c>
      <c r="G19200" s="5"/>
    </row>
    <row r="19201" spans="1:7" ht="58.5" customHeight="1" x14ac:dyDescent="0.25">
      <c r="A19201" s="5" t="str">
        <f>"B0001253"</f>
        <v>B0001253</v>
      </c>
      <c r="B19201" s="5" t="str">
        <f t="shared" si="983"/>
        <v>ANTIVIRUS</v>
      </c>
      <c r="C19201" s="6">
        <v>63309.81</v>
      </c>
      <c r="D19201" s="5" t="s">
        <v>63</v>
      </c>
      <c r="E19201" s="5" t="str">
        <f t="shared" si="984"/>
        <v>SISTEMAS-GLOBALTRONIK SAS-SERGIO PATIÑO</v>
      </c>
      <c r="F19201" s="5" t="str">
        <f>"Descripcion:ANTIVIRUS ESET ENDPOINT SECURITY RENOVACIÓN (NOD32) Estado: Bueno Placa anterior: 000038443 Material:  Color:  Referencia:  Observacion:     Placa padre:  Tipo adquisicion : Entidad"</f>
        <v>Descripcion:ANTIVIRUS ESET ENDPOINT SECURITY RENOVACIÓN (NOD32) Estado: Bueno Placa anterior: 000038443 Material:  Color:  Referencia:  Observacion:     Placa padre:  Tipo adquisicion : Entidad</v>
      </c>
      <c r="G19201" s="5"/>
    </row>
    <row r="19202" spans="1:7" ht="58.5" customHeight="1" x14ac:dyDescent="0.25">
      <c r="A19202" s="5" t="str">
        <f>"B0001254"</f>
        <v>B0001254</v>
      </c>
      <c r="B19202" s="5" t="str">
        <f t="shared" si="983"/>
        <v>ANTIVIRUS</v>
      </c>
      <c r="C19202" s="6">
        <v>63309.81</v>
      </c>
      <c r="D19202" s="5" t="s">
        <v>63</v>
      </c>
      <c r="E19202" s="5" t="str">
        <f t="shared" si="984"/>
        <v>SISTEMAS-GLOBALTRONIK SAS-SERGIO PATIÑO</v>
      </c>
      <c r="F19202" s="5" t="str">
        <f>"Descripcion:ANTIVIRUS ESET ENDPOINT SECURITY RENOVACIÓN (NOD32) Estado: Bueno Placa anterior: 000038609 Material:  Color:  Referencia:  Observacion:     Placa padre:  Tipo adquisicion : Entidad"</f>
        <v>Descripcion:ANTIVIRUS ESET ENDPOINT SECURITY RENOVACIÓN (NOD32) Estado: Bueno Placa anterior: 000038609 Material:  Color:  Referencia:  Observacion:     Placa padre:  Tipo adquisicion : Entidad</v>
      </c>
      <c r="G19202" s="5"/>
    </row>
    <row r="19203" spans="1:7" ht="58.5" customHeight="1" x14ac:dyDescent="0.25">
      <c r="A19203" s="5" t="str">
        <f>"B0001255"</f>
        <v>B0001255</v>
      </c>
      <c r="B19203" s="5" t="str">
        <f t="shared" si="983"/>
        <v>ANTIVIRUS</v>
      </c>
      <c r="C19203" s="6">
        <v>63309.81</v>
      </c>
      <c r="D19203" s="5" t="s">
        <v>63</v>
      </c>
      <c r="E19203" s="5" t="str">
        <f t="shared" si="984"/>
        <v>SISTEMAS-GLOBALTRONIK SAS-SERGIO PATIÑO</v>
      </c>
      <c r="F19203" s="5" t="str">
        <f>"Descripcion:ANTIVIRUS ESET ENDPOINT SECURITY RENOVACIÓN (NOD32) Estado: Bueno Placa anterior: 000038431 Material:  Color:  Referencia:  Observacion:     Placa padre:  Tipo adquisicion : Entidad"</f>
        <v>Descripcion:ANTIVIRUS ESET ENDPOINT SECURITY RENOVACIÓN (NOD32) Estado: Bueno Placa anterior: 000038431 Material:  Color:  Referencia:  Observacion:     Placa padre:  Tipo adquisicion : Entidad</v>
      </c>
      <c r="G19203" s="5"/>
    </row>
    <row r="19204" spans="1:7" ht="58.5" customHeight="1" x14ac:dyDescent="0.25">
      <c r="A19204" s="5" t="str">
        <f>"B0001256"</f>
        <v>B0001256</v>
      </c>
      <c r="B19204" s="5" t="str">
        <f t="shared" ref="B19204:B19267" si="985">"ANTIVIRUS"</f>
        <v>ANTIVIRUS</v>
      </c>
      <c r="C19204" s="6">
        <v>63309.81</v>
      </c>
      <c r="D19204" s="5" t="s">
        <v>63</v>
      </c>
      <c r="E19204" s="5" t="str">
        <f t="shared" si="984"/>
        <v>SISTEMAS-GLOBALTRONIK SAS-SERGIO PATIÑO</v>
      </c>
      <c r="F19204" s="5" t="str">
        <f>"Descripcion:ANTIVIRUS ESET ENDPOINT SECURITY RENOVACIÓN (NOD32) Estado: Bueno Placa anterior: 000038422 Material:  Color:  Referencia:  Observacion:     Placa padre:  Tipo adquisicion : Entidad"</f>
        <v>Descripcion:ANTIVIRUS ESET ENDPOINT SECURITY RENOVACIÓN (NOD32) Estado: Bueno Placa anterior: 000038422 Material:  Color:  Referencia:  Observacion:     Placa padre:  Tipo adquisicion : Entidad</v>
      </c>
      <c r="G19204" s="5"/>
    </row>
    <row r="19205" spans="1:7" ht="58.5" customHeight="1" x14ac:dyDescent="0.25">
      <c r="A19205" s="5" t="str">
        <f>"B0001257"</f>
        <v>B0001257</v>
      </c>
      <c r="B19205" s="5" t="str">
        <f t="shared" si="985"/>
        <v>ANTIVIRUS</v>
      </c>
      <c r="C19205" s="6">
        <v>63309.81</v>
      </c>
      <c r="D19205" s="5" t="s">
        <v>63</v>
      </c>
      <c r="E19205" s="5" t="str">
        <f t="shared" si="984"/>
        <v>SISTEMAS-GLOBALTRONIK SAS-SERGIO PATIÑO</v>
      </c>
      <c r="F19205" s="5" t="str">
        <f>"Descripcion:ANTIVIRUS ESET ENDPOINT SECURITY RENOVACIÓN (NOD32) Estado: Bueno Placa anterior: 000038754 Material:  Color:  Referencia:  Observacion:     Placa padre:  Tipo adquisicion : Entidad"</f>
        <v>Descripcion:ANTIVIRUS ESET ENDPOINT SECURITY RENOVACIÓN (NOD32) Estado: Bueno Placa anterior: 000038754 Material:  Color:  Referencia:  Observacion:     Placa padre:  Tipo adquisicion : Entidad</v>
      </c>
      <c r="G19205" s="5"/>
    </row>
    <row r="19206" spans="1:7" ht="58.5" customHeight="1" x14ac:dyDescent="0.25">
      <c r="A19206" s="5" t="str">
        <f>"B0001258"</f>
        <v>B0001258</v>
      </c>
      <c r="B19206" s="5" t="str">
        <f t="shared" si="985"/>
        <v>ANTIVIRUS</v>
      </c>
      <c r="C19206" s="6">
        <v>63309.81</v>
      </c>
      <c r="D19206" s="5" t="s">
        <v>63</v>
      </c>
      <c r="E19206" s="5" t="str">
        <f t="shared" si="984"/>
        <v>SISTEMAS-GLOBALTRONIK SAS-SERGIO PATIÑO</v>
      </c>
      <c r="F19206" s="5" t="str">
        <f>"Descripcion:ANTIVIRUS ESET ENDPOINT SECURITY RENOVACIÓN (NOD32) Estado: Bueno Placa anterior: 000038435 Material:  Color:  Referencia:  Observacion:     Placa padre:  Tipo adquisicion : Entidad"</f>
        <v>Descripcion:ANTIVIRUS ESET ENDPOINT SECURITY RENOVACIÓN (NOD32) Estado: Bueno Placa anterior: 000038435 Material:  Color:  Referencia:  Observacion:     Placa padre:  Tipo adquisicion : Entidad</v>
      </c>
      <c r="G19206" s="5"/>
    </row>
    <row r="19207" spans="1:7" ht="58.5" customHeight="1" x14ac:dyDescent="0.25">
      <c r="A19207" s="5" t="str">
        <f>"B0001259"</f>
        <v>B0001259</v>
      </c>
      <c r="B19207" s="5" t="str">
        <f t="shared" si="985"/>
        <v>ANTIVIRUS</v>
      </c>
      <c r="C19207" s="6">
        <v>63309.81</v>
      </c>
      <c r="D19207" s="5" t="s">
        <v>63</v>
      </c>
      <c r="E19207" s="5" t="str">
        <f t="shared" si="984"/>
        <v>SISTEMAS-GLOBALTRONIK SAS-SERGIO PATIÑO</v>
      </c>
      <c r="F19207" s="5" t="str">
        <f>"Descripcion:ANTIVIRUS ESET ENDPOINT SECURITY RENOVACIÓN (NOD32) Estado: Bueno Placa anterior: 000038315 Material:  Color:  Referencia:  Observacion:     Placa padre:  Tipo adquisicion : Entidad"</f>
        <v>Descripcion:ANTIVIRUS ESET ENDPOINT SECURITY RENOVACIÓN (NOD32) Estado: Bueno Placa anterior: 000038315 Material:  Color:  Referencia:  Observacion:     Placa padre:  Tipo adquisicion : Entidad</v>
      </c>
      <c r="G19207" s="5"/>
    </row>
    <row r="19208" spans="1:7" ht="58.5" customHeight="1" x14ac:dyDescent="0.25">
      <c r="A19208" s="5" t="str">
        <f>"B0001260"</f>
        <v>B0001260</v>
      </c>
      <c r="B19208" s="5" t="str">
        <f t="shared" si="985"/>
        <v>ANTIVIRUS</v>
      </c>
      <c r="C19208" s="6">
        <v>63309.81</v>
      </c>
      <c r="D19208" s="5" t="s">
        <v>63</v>
      </c>
      <c r="E19208" s="5" t="str">
        <f t="shared" si="984"/>
        <v>SISTEMAS-GLOBALTRONIK SAS-SERGIO PATIÑO</v>
      </c>
      <c r="F19208" s="5" t="str">
        <f>"Descripcion:ANTIVIRUS ESET ENDPOINT SECURITY RENOVACIÓN (NOD32) Estado: Bueno Placa anterior: 000038316 Material:  Color:  Referencia:  Observacion:     Placa padre:  Tipo adquisicion : Entidad"</f>
        <v>Descripcion:ANTIVIRUS ESET ENDPOINT SECURITY RENOVACIÓN (NOD32) Estado: Bueno Placa anterior: 000038316 Material:  Color:  Referencia:  Observacion:     Placa padre:  Tipo adquisicion : Entidad</v>
      </c>
      <c r="G19208" s="5"/>
    </row>
    <row r="19209" spans="1:7" ht="58.5" customHeight="1" x14ac:dyDescent="0.25">
      <c r="A19209" s="5" t="str">
        <f>"B0001261"</f>
        <v>B0001261</v>
      </c>
      <c r="B19209" s="5" t="str">
        <f t="shared" si="985"/>
        <v>ANTIVIRUS</v>
      </c>
      <c r="C19209" s="6">
        <v>63309.81</v>
      </c>
      <c r="D19209" s="5" t="s">
        <v>63</v>
      </c>
      <c r="E19209" s="5" t="str">
        <f t="shared" si="984"/>
        <v>SISTEMAS-GLOBALTRONIK SAS-SERGIO PATIÑO</v>
      </c>
      <c r="F19209" s="5" t="str">
        <f>"Descripcion:ANTIVIRUS ESET ENDPOINT SECURITY RENOVACIÓN (NOD32) Estado: Bueno Placa anterior: 000038539 Material:  Color:  Referencia:  Observacion:     Placa padre:  Tipo adquisicion : Entidad"</f>
        <v>Descripcion:ANTIVIRUS ESET ENDPOINT SECURITY RENOVACIÓN (NOD32) Estado: Bueno Placa anterior: 000038539 Material:  Color:  Referencia:  Observacion:     Placa padre:  Tipo adquisicion : Entidad</v>
      </c>
      <c r="G19209" s="5"/>
    </row>
    <row r="19210" spans="1:7" ht="58.5" customHeight="1" x14ac:dyDescent="0.25">
      <c r="A19210" s="5" t="str">
        <f>"B0001262"</f>
        <v>B0001262</v>
      </c>
      <c r="B19210" s="5" t="str">
        <f t="shared" si="985"/>
        <v>ANTIVIRUS</v>
      </c>
      <c r="C19210" s="6">
        <v>63309.81</v>
      </c>
      <c r="D19210" s="5" t="s">
        <v>63</v>
      </c>
      <c r="E19210" s="5" t="str">
        <f t="shared" si="984"/>
        <v>SISTEMAS-GLOBALTRONIK SAS-SERGIO PATIÑO</v>
      </c>
      <c r="F19210" s="5" t="str">
        <f>"Descripcion:ANTIVIRUS ESET ENDPOINT SECURITY RENOVACIÓN (NOD32) Estado: Bueno Placa anterior: 000038424 Material:  Color:  Referencia:  Observacion:     Placa padre:  Tipo adquisicion : Entidad"</f>
        <v>Descripcion:ANTIVIRUS ESET ENDPOINT SECURITY RENOVACIÓN (NOD32) Estado: Bueno Placa anterior: 000038424 Material:  Color:  Referencia:  Observacion:     Placa padre:  Tipo adquisicion : Entidad</v>
      </c>
      <c r="G19210" s="5"/>
    </row>
    <row r="19211" spans="1:7" ht="58.5" customHeight="1" x14ac:dyDescent="0.25">
      <c r="A19211" s="5" t="str">
        <f>"B0001263"</f>
        <v>B0001263</v>
      </c>
      <c r="B19211" s="5" t="str">
        <f t="shared" si="985"/>
        <v>ANTIVIRUS</v>
      </c>
      <c r="C19211" s="6">
        <v>63309.81</v>
      </c>
      <c r="D19211" s="5" t="s">
        <v>63</v>
      </c>
      <c r="E19211" s="5" t="str">
        <f t="shared" si="984"/>
        <v>SISTEMAS-GLOBALTRONIK SAS-SERGIO PATIÑO</v>
      </c>
      <c r="F19211" s="5" t="str">
        <f>"Descripcion:ANTIVIRUS ESET ENDPOINT SECURITY RENOVACIÓN (NOD32) Estado: Bueno Placa anterior: 000038318 Material:  Color:  Referencia:  Observacion:     Placa padre:  Tipo adquisicion : Entidad"</f>
        <v>Descripcion:ANTIVIRUS ESET ENDPOINT SECURITY RENOVACIÓN (NOD32) Estado: Bueno Placa anterior: 000038318 Material:  Color:  Referencia:  Observacion:     Placa padre:  Tipo adquisicion : Entidad</v>
      </c>
      <c r="G19211" s="5"/>
    </row>
    <row r="19212" spans="1:7" ht="58.5" customHeight="1" x14ac:dyDescent="0.25">
      <c r="A19212" s="5" t="str">
        <f>"B0001264"</f>
        <v>B0001264</v>
      </c>
      <c r="B19212" s="5" t="str">
        <f t="shared" si="985"/>
        <v>ANTIVIRUS</v>
      </c>
      <c r="C19212" s="6">
        <v>63309.81</v>
      </c>
      <c r="D19212" s="5" t="s">
        <v>63</v>
      </c>
      <c r="E19212" s="5" t="str">
        <f t="shared" si="984"/>
        <v>SISTEMAS-GLOBALTRONIK SAS-SERGIO PATIÑO</v>
      </c>
      <c r="F19212" s="5" t="str">
        <f>"Descripcion:ANTIVIRUS ESET ENDPOINT SECURITY RENOVACIÓN (NOD32) Estado: Bueno Placa anterior: 000038331 Material:  Color:  Referencia:  Observacion:     Placa padre:  Tipo adquisicion : Entidad"</f>
        <v>Descripcion:ANTIVIRUS ESET ENDPOINT SECURITY RENOVACIÓN (NOD32) Estado: Bueno Placa anterior: 000038331 Material:  Color:  Referencia:  Observacion:     Placa padre:  Tipo adquisicion : Entidad</v>
      </c>
      <c r="G19212" s="5"/>
    </row>
    <row r="19213" spans="1:7" ht="58.5" customHeight="1" x14ac:dyDescent="0.25">
      <c r="A19213" s="5" t="str">
        <f>"B0001265"</f>
        <v>B0001265</v>
      </c>
      <c r="B19213" s="5" t="str">
        <f t="shared" si="985"/>
        <v>ANTIVIRUS</v>
      </c>
      <c r="C19213" s="6">
        <v>63309.81</v>
      </c>
      <c r="D19213" s="5" t="s">
        <v>63</v>
      </c>
      <c r="E19213" s="5" t="str">
        <f t="shared" si="984"/>
        <v>SISTEMAS-GLOBALTRONIK SAS-SERGIO PATIÑO</v>
      </c>
      <c r="F19213" s="5" t="str">
        <f>"Descripcion:ANTIVIRUS ESET ENDPOINT SECURITY RENOVACIÓN (NOD32) Estado: Bueno Placa anterior: 000038383 Material:  Color:  Referencia:  Observacion:     Placa padre:  Tipo adquisicion : Entidad"</f>
        <v>Descripcion:ANTIVIRUS ESET ENDPOINT SECURITY RENOVACIÓN (NOD32) Estado: Bueno Placa anterior: 000038383 Material:  Color:  Referencia:  Observacion:     Placa padre:  Tipo adquisicion : Entidad</v>
      </c>
      <c r="G19213" s="5"/>
    </row>
    <row r="19214" spans="1:7" ht="58.5" customHeight="1" x14ac:dyDescent="0.25">
      <c r="A19214" s="5" t="str">
        <f>"B0001266"</f>
        <v>B0001266</v>
      </c>
      <c r="B19214" s="5" t="str">
        <f t="shared" si="985"/>
        <v>ANTIVIRUS</v>
      </c>
      <c r="C19214" s="6">
        <v>129970</v>
      </c>
      <c r="D19214" s="5" t="s">
        <v>63</v>
      </c>
      <c r="E19214" s="5" t="str">
        <f t="shared" si="984"/>
        <v>SISTEMAS-GLOBALTRONIK SAS-SERGIO PATIÑO</v>
      </c>
      <c r="F19214" s="5" t="str">
        <f>"Descripcion:ANTIVIRUS ESET ENDPOINT SECURITY (NOD32) Estado: Bueno Placa anterior: 000038130 Material:  Color:  Referencia:  Observacion:     Placa padre:  Tipo adquisicion : Entidad"</f>
        <v>Descripcion:ANTIVIRUS ESET ENDPOINT SECURITY (NOD32) Estado: Bueno Placa anterior: 000038130 Material:  Color:  Referencia:  Observacion:     Placa padre:  Tipo adquisicion : Entidad</v>
      </c>
      <c r="G19214" s="5"/>
    </row>
    <row r="19215" spans="1:7" ht="58.5" customHeight="1" x14ac:dyDescent="0.25">
      <c r="A19215" s="5" t="str">
        <f>"B0001267"</f>
        <v>B0001267</v>
      </c>
      <c r="B19215" s="5" t="str">
        <f t="shared" si="985"/>
        <v>ANTIVIRUS</v>
      </c>
      <c r="C19215" s="6">
        <v>63309.81</v>
      </c>
      <c r="D19215" s="5" t="s">
        <v>63</v>
      </c>
      <c r="E19215" s="5" t="str">
        <f t="shared" si="984"/>
        <v>SISTEMAS-GLOBALTRONIK SAS-SERGIO PATIÑO</v>
      </c>
      <c r="F19215" s="5" t="str">
        <f>"Descripcion:ANTIVIRUS ESET ENDPOINT SECURITY RENOVACIÓN (NOD32) Estado: Bueno Placa anterior: 000038345 Material:  Color:  Referencia:  Observacion:     Placa padre:  Tipo adquisicion : Entidad"</f>
        <v>Descripcion:ANTIVIRUS ESET ENDPOINT SECURITY RENOVACIÓN (NOD32) Estado: Bueno Placa anterior: 000038345 Material:  Color:  Referencia:  Observacion:     Placa padre:  Tipo adquisicion : Entidad</v>
      </c>
      <c r="G19215" s="5"/>
    </row>
    <row r="19216" spans="1:7" ht="58.5" customHeight="1" x14ac:dyDescent="0.25">
      <c r="A19216" s="5" t="str">
        <f>"B0001268"</f>
        <v>B0001268</v>
      </c>
      <c r="B19216" s="5" t="str">
        <f t="shared" si="985"/>
        <v>ANTIVIRUS</v>
      </c>
      <c r="C19216" s="6">
        <v>63309.81</v>
      </c>
      <c r="D19216" s="5" t="s">
        <v>63</v>
      </c>
      <c r="E19216" s="5" t="str">
        <f t="shared" si="984"/>
        <v>SISTEMAS-GLOBALTRONIK SAS-SERGIO PATIÑO</v>
      </c>
      <c r="F19216" s="5" t="str">
        <f>"Descripcion:ANTIVIRUS ESET ENDPOINT SECURITY RENOVACIÓN (NOD32) Estado: Bueno Placa anterior: 000038398 Material:  Color:  Referencia:  Observacion:     Placa padre:  Tipo adquisicion : Entidad"</f>
        <v>Descripcion:ANTIVIRUS ESET ENDPOINT SECURITY RENOVACIÓN (NOD32) Estado: Bueno Placa anterior: 000038398 Material:  Color:  Referencia:  Observacion:     Placa padre:  Tipo adquisicion : Entidad</v>
      </c>
      <c r="G19216" s="5"/>
    </row>
    <row r="19217" spans="1:7" ht="58.5" customHeight="1" x14ac:dyDescent="0.25">
      <c r="A19217" s="5" t="str">
        <f>"B0001269"</f>
        <v>B0001269</v>
      </c>
      <c r="B19217" s="5" t="str">
        <f t="shared" si="985"/>
        <v>ANTIVIRUS</v>
      </c>
      <c r="C19217" s="6">
        <v>129970</v>
      </c>
      <c r="D19217" s="5" t="s">
        <v>63</v>
      </c>
      <c r="E19217" s="5" t="str">
        <f t="shared" si="984"/>
        <v>SISTEMAS-GLOBALTRONIK SAS-SERGIO PATIÑO</v>
      </c>
      <c r="F19217" s="5" t="str">
        <f>"Descripcion:ANTIVIRUS ESET ENDPOINT SECURITY (NOD32) Estado: Bueno Placa anterior: 000038103 Material:  Color:  Referencia:  Observacion:     Placa padre:  Tipo adquisicion : Entidad"</f>
        <v>Descripcion:ANTIVIRUS ESET ENDPOINT SECURITY (NOD32) Estado: Bueno Placa anterior: 000038103 Material:  Color:  Referencia:  Observacion:     Placa padre:  Tipo adquisicion : Entidad</v>
      </c>
      <c r="G19217" s="5"/>
    </row>
    <row r="19218" spans="1:7" ht="58.5" customHeight="1" x14ac:dyDescent="0.25">
      <c r="A19218" s="5" t="str">
        <f>"B0001270"</f>
        <v>B0001270</v>
      </c>
      <c r="B19218" s="5" t="str">
        <f t="shared" si="985"/>
        <v>ANTIVIRUS</v>
      </c>
      <c r="C19218" s="6">
        <v>63309.81</v>
      </c>
      <c r="D19218" s="5" t="s">
        <v>63</v>
      </c>
      <c r="E19218" s="5" t="str">
        <f t="shared" si="984"/>
        <v>SISTEMAS-GLOBALTRONIK SAS-SERGIO PATIÑO</v>
      </c>
      <c r="F19218" s="5" t="str">
        <f>"Descripcion:ANTIVIRUS ESET ENDPOINT SECURITY RENOVACIÓN (NOD32) Estado: Bueno Placa anterior: 000038785 Material:  Color:  Referencia:  Observacion:     Placa padre:  Tipo adquisicion : Entidad"</f>
        <v>Descripcion:ANTIVIRUS ESET ENDPOINT SECURITY RENOVACIÓN (NOD32) Estado: Bueno Placa anterior: 000038785 Material:  Color:  Referencia:  Observacion:     Placa padre:  Tipo adquisicion : Entidad</v>
      </c>
      <c r="G19218" s="5"/>
    </row>
    <row r="19219" spans="1:7" ht="58.5" customHeight="1" x14ac:dyDescent="0.25">
      <c r="A19219" s="5" t="str">
        <f>"B0001271"</f>
        <v>B0001271</v>
      </c>
      <c r="B19219" s="5" t="str">
        <f t="shared" si="985"/>
        <v>ANTIVIRUS</v>
      </c>
      <c r="C19219" s="6">
        <v>129970</v>
      </c>
      <c r="D19219" s="5" t="s">
        <v>63</v>
      </c>
      <c r="E19219" s="5" t="str">
        <f t="shared" si="984"/>
        <v>SISTEMAS-GLOBALTRONIK SAS-SERGIO PATIÑO</v>
      </c>
      <c r="F19219" s="5" t="str">
        <f>"Descripcion:ANTIVIRUS ESET ENDPOINT SECURITY (NOD32) Estado: Bueno Placa anterior: 000038093 Material:  Color:  Referencia:  Observacion:     Placa padre:  Tipo adquisicion : Entidad"</f>
        <v>Descripcion:ANTIVIRUS ESET ENDPOINT SECURITY (NOD32) Estado: Bueno Placa anterior: 000038093 Material:  Color:  Referencia:  Observacion:     Placa padre:  Tipo adquisicion : Entidad</v>
      </c>
      <c r="G19219" s="5"/>
    </row>
    <row r="19220" spans="1:7" ht="58.5" customHeight="1" x14ac:dyDescent="0.25">
      <c r="A19220" s="5" t="str">
        <f>"B0001272"</f>
        <v>B0001272</v>
      </c>
      <c r="B19220" s="5" t="str">
        <f t="shared" si="985"/>
        <v>ANTIVIRUS</v>
      </c>
      <c r="C19220" s="6">
        <v>63309.81</v>
      </c>
      <c r="D19220" s="5" t="s">
        <v>63</v>
      </c>
      <c r="E19220" s="5" t="str">
        <f t="shared" si="984"/>
        <v>SISTEMAS-GLOBALTRONIK SAS-SERGIO PATIÑO</v>
      </c>
      <c r="F19220" s="5" t="str">
        <f>"Descripcion:ANTIVIRUS ESET ENDPOINT SECURITY RENOVACIÓN (NOD32) Estado: Bueno Placa anterior: 000038650 Material:  Color:  Referencia:  Observacion:     Placa padre:  Tipo adquisicion : Entidad"</f>
        <v>Descripcion:ANTIVIRUS ESET ENDPOINT SECURITY RENOVACIÓN (NOD32) Estado: Bueno Placa anterior: 000038650 Material:  Color:  Referencia:  Observacion:     Placa padre:  Tipo adquisicion : Entidad</v>
      </c>
      <c r="G19220" s="5"/>
    </row>
    <row r="19221" spans="1:7" ht="58.5" customHeight="1" x14ac:dyDescent="0.25">
      <c r="A19221" s="5" t="str">
        <f>"B0001273"</f>
        <v>B0001273</v>
      </c>
      <c r="B19221" s="5" t="str">
        <f t="shared" si="985"/>
        <v>ANTIVIRUS</v>
      </c>
      <c r="C19221" s="6">
        <v>129970</v>
      </c>
      <c r="D19221" s="5" t="s">
        <v>63</v>
      </c>
      <c r="E19221" s="5" t="str">
        <f t="shared" si="984"/>
        <v>SISTEMAS-GLOBALTRONIK SAS-SERGIO PATIÑO</v>
      </c>
      <c r="F19221" s="5" t="str">
        <f>"Descripcion:ANTIVIRUS ESET ENDPOINT SECURITY (NOD32) Estado: Bueno Placa anterior: 000038100 Material:  Color:  Referencia:  Observacion:     Placa padre:  Tipo adquisicion : Entidad"</f>
        <v>Descripcion:ANTIVIRUS ESET ENDPOINT SECURITY (NOD32) Estado: Bueno Placa anterior: 000038100 Material:  Color:  Referencia:  Observacion:     Placa padre:  Tipo adquisicion : Entidad</v>
      </c>
      <c r="G19221" s="5"/>
    </row>
    <row r="19222" spans="1:7" ht="58.5" customHeight="1" x14ac:dyDescent="0.25">
      <c r="A19222" s="5" t="str">
        <f>"B0001274"</f>
        <v>B0001274</v>
      </c>
      <c r="B19222" s="5" t="str">
        <f t="shared" si="985"/>
        <v>ANTIVIRUS</v>
      </c>
      <c r="C19222" s="6">
        <v>63309.81</v>
      </c>
      <c r="D19222" s="5" t="s">
        <v>63</v>
      </c>
      <c r="E19222" s="5" t="str">
        <f t="shared" si="984"/>
        <v>SISTEMAS-GLOBALTRONIK SAS-SERGIO PATIÑO</v>
      </c>
      <c r="F19222" s="5" t="str">
        <f>"Descripcion:ANTIVIRUS ESET ENDPOINT SECURITY RENOVACIÓN (NOD32) Estado: Bueno Placa anterior: 000038704 Material:  Color:  Referencia:  Observacion:     Placa padre:  Tipo adquisicion : Entidad"</f>
        <v>Descripcion:ANTIVIRUS ESET ENDPOINT SECURITY RENOVACIÓN (NOD32) Estado: Bueno Placa anterior: 000038704 Material:  Color:  Referencia:  Observacion:     Placa padre:  Tipo adquisicion : Entidad</v>
      </c>
      <c r="G19222" s="5"/>
    </row>
    <row r="19223" spans="1:7" ht="58.5" customHeight="1" x14ac:dyDescent="0.25">
      <c r="A19223" s="5" t="str">
        <f>"B0001275"</f>
        <v>B0001275</v>
      </c>
      <c r="B19223" s="5" t="str">
        <f t="shared" si="985"/>
        <v>ANTIVIRUS</v>
      </c>
      <c r="C19223" s="6">
        <v>63309.81</v>
      </c>
      <c r="D19223" s="5" t="s">
        <v>63</v>
      </c>
      <c r="E19223" s="5" t="str">
        <f t="shared" si="984"/>
        <v>SISTEMAS-GLOBALTRONIK SAS-SERGIO PATIÑO</v>
      </c>
      <c r="F19223" s="5" t="str">
        <f>"Descripcion:ANTIVIRUS ESET ENDPOINT SECURITY RENOVACIÓN (NOD32) Estado: Bueno Placa anterior: 000038684 Material:  Color:  Referencia:  Observacion:     Placa padre:  Tipo adquisicion : Entidad"</f>
        <v>Descripcion:ANTIVIRUS ESET ENDPOINT SECURITY RENOVACIÓN (NOD32) Estado: Bueno Placa anterior: 000038684 Material:  Color:  Referencia:  Observacion:     Placa padre:  Tipo adquisicion : Entidad</v>
      </c>
      <c r="G19223" s="5"/>
    </row>
    <row r="19224" spans="1:7" ht="58.5" customHeight="1" x14ac:dyDescent="0.25">
      <c r="A19224" s="5" t="str">
        <f>"B0001276"</f>
        <v>B0001276</v>
      </c>
      <c r="B19224" s="5" t="str">
        <f t="shared" si="985"/>
        <v>ANTIVIRUS</v>
      </c>
      <c r="C19224" s="6">
        <v>63309.81</v>
      </c>
      <c r="D19224" s="5" t="s">
        <v>63</v>
      </c>
      <c r="E19224" s="5" t="str">
        <f t="shared" si="984"/>
        <v>SISTEMAS-GLOBALTRONIK SAS-SERGIO PATIÑO</v>
      </c>
      <c r="F19224" s="5" t="str">
        <f>"Descripcion:ANTIVIRUS ESET ENDPOINT SECURITY RENOVACIÓN (NOD32) Estado: Bueno Placa anterior: 000038666 Material:  Color:  Referencia:  Observacion:     Placa padre:  Tipo adquisicion : Entidad"</f>
        <v>Descripcion:ANTIVIRUS ESET ENDPOINT SECURITY RENOVACIÓN (NOD32) Estado: Bueno Placa anterior: 000038666 Material:  Color:  Referencia:  Observacion:     Placa padre:  Tipo adquisicion : Entidad</v>
      </c>
      <c r="G19224" s="5"/>
    </row>
    <row r="19225" spans="1:7" ht="58.5" customHeight="1" x14ac:dyDescent="0.25">
      <c r="A19225" s="5" t="str">
        <f>"B0001277"</f>
        <v>B0001277</v>
      </c>
      <c r="B19225" s="5" t="str">
        <f t="shared" si="985"/>
        <v>ANTIVIRUS</v>
      </c>
      <c r="C19225" s="6">
        <v>129970</v>
      </c>
      <c r="D19225" s="5" t="s">
        <v>63</v>
      </c>
      <c r="E19225" s="5" t="str">
        <f t="shared" si="984"/>
        <v>SISTEMAS-GLOBALTRONIK SAS-SERGIO PATIÑO</v>
      </c>
      <c r="F19225" s="5" t="str">
        <f>"Descripcion:ANTIVIRUS ESET ENDPOINT SECURITY (NOD32) Estado: Bueno Placa anterior: 000038094 Material:  Color:  Referencia:  Observacion:     Placa padre:  Tipo adquisicion : Entidad"</f>
        <v>Descripcion:ANTIVIRUS ESET ENDPOINT SECURITY (NOD32) Estado: Bueno Placa anterior: 000038094 Material:  Color:  Referencia:  Observacion:     Placa padre:  Tipo adquisicion : Entidad</v>
      </c>
      <c r="G19225" s="5"/>
    </row>
    <row r="19226" spans="1:7" ht="58.5" customHeight="1" x14ac:dyDescent="0.25">
      <c r="A19226" s="5" t="str">
        <f>"B0001278"</f>
        <v>B0001278</v>
      </c>
      <c r="B19226" s="5" t="str">
        <f t="shared" si="985"/>
        <v>ANTIVIRUS</v>
      </c>
      <c r="C19226" s="6">
        <v>129970</v>
      </c>
      <c r="D19226" s="5" t="s">
        <v>63</v>
      </c>
      <c r="E19226" s="5" t="str">
        <f t="shared" si="984"/>
        <v>SISTEMAS-GLOBALTRONIK SAS-SERGIO PATIÑO</v>
      </c>
      <c r="F19226" s="5" t="str">
        <f>"Descripcion:ANTIVIRUS ESET ENDPOINT SECURITY (NOD32) Estado: Bueno Placa anterior: 000038104 Material:  Color:  Referencia:  Observacion:     Placa padre:  Tipo adquisicion : Entidad"</f>
        <v>Descripcion:ANTIVIRUS ESET ENDPOINT SECURITY (NOD32) Estado: Bueno Placa anterior: 000038104 Material:  Color:  Referencia:  Observacion:     Placa padre:  Tipo adquisicion : Entidad</v>
      </c>
      <c r="G19226" s="5"/>
    </row>
    <row r="19227" spans="1:7" ht="58.5" customHeight="1" x14ac:dyDescent="0.25">
      <c r="A19227" s="5" t="str">
        <f>"B0001279"</f>
        <v>B0001279</v>
      </c>
      <c r="B19227" s="5" t="str">
        <f t="shared" si="985"/>
        <v>ANTIVIRUS</v>
      </c>
      <c r="C19227" s="6">
        <v>129970</v>
      </c>
      <c r="D19227" s="5" t="s">
        <v>63</v>
      </c>
      <c r="E19227" s="5" t="str">
        <f t="shared" si="984"/>
        <v>SISTEMAS-GLOBALTRONIK SAS-SERGIO PATIÑO</v>
      </c>
      <c r="F19227" s="5" t="str">
        <f>"Descripcion:ANTIVIRUS ESET ENDPOINT SECURITY (NOD32) Estado: Bueno Placa anterior: 000038051 Material:  Color:  Referencia:  Observacion:     Placa padre:  Tipo adquisicion : Entidad"</f>
        <v>Descripcion:ANTIVIRUS ESET ENDPOINT SECURITY (NOD32) Estado: Bueno Placa anterior: 000038051 Material:  Color:  Referencia:  Observacion:     Placa padre:  Tipo adquisicion : Entidad</v>
      </c>
      <c r="G19227" s="5"/>
    </row>
    <row r="19228" spans="1:7" ht="58.5" customHeight="1" x14ac:dyDescent="0.25">
      <c r="A19228" s="5" t="str">
        <f>"B0001280"</f>
        <v>B0001280</v>
      </c>
      <c r="B19228" s="5" t="str">
        <f t="shared" si="985"/>
        <v>ANTIVIRUS</v>
      </c>
      <c r="C19228" s="6">
        <v>63309.81</v>
      </c>
      <c r="D19228" s="5" t="s">
        <v>63</v>
      </c>
      <c r="E19228" s="5" t="str">
        <f t="shared" si="984"/>
        <v>SISTEMAS-GLOBALTRONIK SAS-SERGIO PATIÑO</v>
      </c>
      <c r="F19228" s="5" t="str">
        <f>"Descripcion:ANTIVIRUS ESET ENDPOINT SECURITY RENOVACIÓN (NOD32) Estado: Bueno Placa anterior: 000038490 Material:  Color:  Referencia:  Observacion:     Placa padre:  Tipo adquisicion : Entidad"</f>
        <v>Descripcion:ANTIVIRUS ESET ENDPOINT SECURITY RENOVACIÓN (NOD32) Estado: Bueno Placa anterior: 000038490 Material:  Color:  Referencia:  Observacion:     Placa padre:  Tipo adquisicion : Entidad</v>
      </c>
      <c r="G19228" s="5"/>
    </row>
    <row r="19229" spans="1:7" ht="58.5" customHeight="1" x14ac:dyDescent="0.25">
      <c r="A19229" s="5" t="str">
        <f>"B0001281"</f>
        <v>B0001281</v>
      </c>
      <c r="B19229" s="5" t="str">
        <f t="shared" si="985"/>
        <v>ANTIVIRUS</v>
      </c>
      <c r="C19229" s="6">
        <v>63309.81</v>
      </c>
      <c r="D19229" s="5" t="s">
        <v>63</v>
      </c>
      <c r="E19229" s="5" t="str">
        <f t="shared" si="984"/>
        <v>SISTEMAS-GLOBALTRONIK SAS-SERGIO PATIÑO</v>
      </c>
      <c r="F19229" s="5" t="str">
        <f>"Descripcion:ANTIVIRUS ESET ENDPOINT SECURITY RENOVACIÓN (NOD32) Estado: Bueno Placa anterior: 000038512 Material:  Color:  Referencia:  Observacion:     Placa padre:  Tipo adquisicion : Entidad"</f>
        <v>Descripcion:ANTIVIRUS ESET ENDPOINT SECURITY RENOVACIÓN (NOD32) Estado: Bueno Placa anterior: 000038512 Material:  Color:  Referencia:  Observacion:     Placa padre:  Tipo adquisicion : Entidad</v>
      </c>
      <c r="G19229" s="5"/>
    </row>
    <row r="19230" spans="1:7" ht="58.5" customHeight="1" x14ac:dyDescent="0.25">
      <c r="A19230" s="5" t="str">
        <f>"B0001282"</f>
        <v>B0001282</v>
      </c>
      <c r="B19230" s="5" t="str">
        <f t="shared" si="985"/>
        <v>ANTIVIRUS</v>
      </c>
      <c r="C19230" s="6">
        <v>63309.81</v>
      </c>
      <c r="D19230" s="5" t="s">
        <v>63</v>
      </c>
      <c r="E19230" s="5" t="str">
        <f t="shared" si="984"/>
        <v>SISTEMAS-GLOBALTRONIK SAS-SERGIO PATIÑO</v>
      </c>
      <c r="F19230" s="5" t="str">
        <f>"Descripcion:ANTIVIRUS ESET ENDPOINT SECURITY RENOVACIÓN (NOD32) Estado: Bueno Placa anterior: 000038508 Material:  Color:  Referencia:  Observacion:     Placa padre:  Tipo adquisicion : Entidad"</f>
        <v>Descripcion:ANTIVIRUS ESET ENDPOINT SECURITY RENOVACIÓN (NOD32) Estado: Bueno Placa anterior: 000038508 Material:  Color:  Referencia:  Observacion:     Placa padre:  Tipo adquisicion : Entidad</v>
      </c>
      <c r="G19230" s="5"/>
    </row>
    <row r="19231" spans="1:7" ht="58.5" customHeight="1" x14ac:dyDescent="0.25">
      <c r="A19231" s="5" t="str">
        <f>"B0001283"</f>
        <v>B0001283</v>
      </c>
      <c r="B19231" s="5" t="str">
        <f t="shared" si="985"/>
        <v>ANTIVIRUS</v>
      </c>
      <c r="C19231" s="6">
        <v>63309.81</v>
      </c>
      <c r="D19231" s="5" t="s">
        <v>63</v>
      </c>
      <c r="E19231" s="5" t="str">
        <f t="shared" si="984"/>
        <v>SISTEMAS-GLOBALTRONIK SAS-SERGIO PATIÑO</v>
      </c>
      <c r="F19231" s="5" t="str">
        <f>"Descripcion:ANTIVIRUS ESET ENDPOINT SECURITY RENOVACIÓN (NOD32) Estado: Bueno Placa anterior: 000038680 Material:  Color:  Referencia:  Observacion:     Placa padre:  Tipo adquisicion : Entidad"</f>
        <v>Descripcion:ANTIVIRUS ESET ENDPOINT SECURITY RENOVACIÓN (NOD32) Estado: Bueno Placa anterior: 000038680 Material:  Color:  Referencia:  Observacion:     Placa padre:  Tipo adquisicion : Entidad</v>
      </c>
      <c r="G19231" s="5"/>
    </row>
    <row r="19232" spans="1:7" ht="58.5" customHeight="1" x14ac:dyDescent="0.25">
      <c r="A19232" s="5" t="str">
        <f>"B0001284"</f>
        <v>B0001284</v>
      </c>
      <c r="B19232" s="5" t="str">
        <f t="shared" si="985"/>
        <v>ANTIVIRUS</v>
      </c>
      <c r="C19232" s="6">
        <v>63309.81</v>
      </c>
      <c r="D19232" s="5" t="s">
        <v>63</v>
      </c>
      <c r="E19232" s="5" t="str">
        <f t="shared" si="984"/>
        <v>SISTEMAS-GLOBALTRONIK SAS-SERGIO PATIÑO</v>
      </c>
      <c r="F19232" s="5" t="str">
        <f>"Descripcion:ANTIVIRUS ESET ENDPOINT SECURITY RENOVACIÓN (NOD32) Estado: Bueno Placa anterior: 000038393 Material:  Color:  Referencia:  Observacion:     Placa padre:  Tipo adquisicion : Entidad"</f>
        <v>Descripcion:ANTIVIRUS ESET ENDPOINT SECURITY RENOVACIÓN (NOD32) Estado: Bueno Placa anterior: 000038393 Material:  Color:  Referencia:  Observacion:     Placa padre:  Tipo adquisicion : Entidad</v>
      </c>
      <c r="G19232" s="5"/>
    </row>
    <row r="19233" spans="1:7" ht="58.5" customHeight="1" x14ac:dyDescent="0.25">
      <c r="A19233" s="5" t="str">
        <f>"B0001285"</f>
        <v>B0001285</v>
      </c>
      <c r="B19233" s="5" t="str">
        <f t="shared" si="985"/>
        <v>ANTIVIRUS</v>
      </c>
      <c r="C19233" s="6">
        <v>129970</v>
      </c>
      <c r="D19233" s="5" t="s">
        <v>63</v>
      </c>
      <c r="E19233" s="5" t="str">
        <f t="shared" si="984"/>
        <v>SISTEMAS-GLOBALTRONIK SAS-SERGIO PATIÑO</v>
      </c>
      <c r="F19233" s="5" t="str">
        <f>"Descripcion:ANTIVIRUS ESET ENDPOINT SECURITY (NOD32) Estado: Bueno Placa anterior: 000038034 Material:  Color:  Referencia:  Observacion:     Placa padre:  Tipo adquisicion : Entidad"</f>
        <v>Descripcion:ANTIVIRUS ESET ENDPOINT SECURITY (NOD32) Estado: Bueno Placa anterior: 000038034 Material:  Color:  Referencia:  Observacion:     Placa padre:  Tipo adquisicion : Entidad</v>
      </c>
      <c r="G19233" s="5"/>
    </row>
    <row r="19234" spans="1:7" ht="58.5" customHeight="1" x14ac:dyDescent="0.25">
      <c r="A19234" s="5" t="str">
        <f>"B0001286"</f>
        <v>B0001286</v>
      </c>
      <c r="B19234" s="5" t="str">
        <f t="shared" si="985"/>
        <v>ANTIVIRUS</v>
      </c>
      <c r="C19234" s="6">
        <v>63309.81</v>
      </c>
      <c r="D19234" s="5" t="s">
        <v>63</v>
      </c>
      <c r="E19234" s="5" t="str">
        <f t="shared" si="984"/>
        <v>SISTEMAS-GLOBALTRONIK SAS-SERGIO PATIÑO</v>
      </c>
      <c r="F19234" s="5" t="str">
        <f>"Descripcion:ANTIVIRUS ESET ENDPOINT SECURITY RENOVACIÓN (NOD32) Estado: Bueno Placa anterior: 000038530 Material:  Color:  Referencia:  Observacion:     Placa padre:  Tipo adquisicion : Entidad"</f>
        <v>Descripcion:ANTIVIRUS ESET ENDPOINT SECURITY RENOVACIÓN (NOD32) Estado: Bueno Placa anterior: 000038530 Material:  Color:  Referencia:  Observacion:     Placa padre:  Tipo adquisicion : Entidad</v>
      </c>
      <c r="G19234" s="5"/>
    </row>
    <row r="19235" spans="1:7" ht="58.5" customHeight="1" x14ac:dyDescent="0.25">
      <c r="A19235" s="5" t="str">
        <f>"B0001287"</f>
        <v>B0001287</v>
      </c>
      <c r="B19235" s="5" t="str">
        <f t="shared" si="985"/>
        <v>ANTIVIRUS</v>
      </c>
      <c r="C19235" s="6">
        <v>63309.81</v>
      </c>
      <c r="D19235" s="5" t="s">
        <v>63</v>
      </c>
      <c r="E19235" s="5" t="str">
        <f t="shared" si="984"/>
        <v>SISTEMAS-GLOBALTRONIK SAS-SERGIO PATIÑO</v>
      </c>
      <c r="F19235" s="5" t="str">
        <f>"Descripcion:ANTIVIRUS ESET ENDPOINT SECURITY RENOVACIÓN (NOD32) Estado: Bueno Placa anterior: 000038513 Material:  Color:  Referencia:  Observacion:     Placa padre:  Tipo adquisicion : Entidad"</f>
        <v>Descripcion:ANTIVIRUS ESET ENDPOINT SECURITY RENOVACIÓN (NOD32) Estado: Bueno Placa anterior: 000038513 Material:  Color:  Referencia:  Observacion:     Placa padre:  Tipo adquisicion : Entidad</v>
      </c>
      <c r="G19235" s="5"/>
    </row>
    <row r="19236" spans="1:7" ht="58.5" customHeight="1" x14ac:dyDescent="0.25">
      <c r="A19236" s="5" t="str">
        <f>"B0001288"</f>
        <v>B0001288</v>
      </c>
      <c r="B19236" s="5" t="str">
        <f t="shared" si="985"/>
        <v>ANTIVIRUS</v>
      </c>
      <c r="C19236" s="6">
        <v>63309.81</v>
      </c>
      <c r="D19236" s="5" t="s">
        <v>63</v>
      </c>
      <c r="E19236" s="5" t="str">
        <f t="shared" si="984"/>
        <v>SISTEMAS-GLOBALTRONIK SAS-SERGIO PATIÑO</v>
      </c>
      <c r="F19236" s="5" t="str">
        <f>"Descripcion:ANTIVIRUS ESET ENDPOINT SECURITY RENOVACIÓN (NOD32) Estado: Bueno Placa anterior: 000038722 Material:  Color:  Referencia:  Observacion:     Placa padre:  Tipo adquisicion : Entidad"</f>
        <v>Descripcion:ANTIVIRUS ESET ENDPOINT SECURITY RENOVACIÓN (NOD32) Estado: Bueno Placa anterior: 000038722 Material:  Color:  Referencia:  Observacion:     Placa padre:  Tipo adquisicion : Entidad</v>
      </c>
      <c r="G19236" s="5"/>
    </row>
    <row r="19237" spans="1:7" ht="58.5" customHeight="1" x14ac:dyDescent="0.25">
      <c r="A19237" s="5" t="str">
        <f>"B0001289"</f>
        <v>B0001289</v>
      </c>
      <c r="B19237" s="5" t="str">
        <f t="shared" si="985"/>
        <v>ANTIVIRUS</v>
      </c>
      <c r="C19237" s="6">
        <v>63309.81</v>
      </c>
      <c r="D19237" s="5" t="s">
        <v>63</v>
      </c>
      <c r="E19237" s="5" t="str">
        <f t="shared" si="984"/>
        <v>SISTEMAS-GLOBALTRONIK SAS-SERGIO PATIÑO</v>
      </c>
      <c r="F19237" s="5" t="str">
        <f>"Descripcion:ANTIVIRUS ESET ENDPOINT SECURITY RENOVACIÓN (NOD32) Estado: Bueno Placa anterior: 000038526 Material:  Color:  Referencia:  Observacion:     Placa padre:  Tipo adquisicion : Entidad"</f>
        <v>Descripcion:ANTIVIRUS ESET ENDPOINT SECURITY RENOVACIÓN (NOD32) Estado: Bueno Placa anterior: 000038526 Material:  Color:  Referencia:  Observacion:     Placa padre:  Tipo adquisicion : Entidad</v>
      </c>
      <c r="G19237" s="5"/>
    </row>
    <row r="19238" spans="1:7" ht="58.5" customHeight="1" x14ac:dyDescent="0.25">
      <c r="A19238" s="5" t="str">
        <f>"B0001290"</f>
        <v>B0001290</v>
      </c>
      <c r="B19238" s="5" t="str">
        <f t="shared" si="985"/>
        <v>ANTIVIRUS</v>
      </c>
      <c r="C19238" s="6">
        <v>63309.81</v>
      </c>
      <c r="D19238" s="5" t="s">
        <v>63</v>
      </c>
      <c r="E19238" s="5" t="str">
        <f t="shared" si="984"/>
        <v>SISTEMAS-GLOBALTRONIK SAS-SERGIO PATIÑO</v>
      </c>
      <c r="F19238" s="5" t="str">
        <f>"Descripcion:ANTIVIRUS ESET ENDPOINT SECURITY RENOVACIÓN (NOD32) Estado: Bueno Placa anterior: 000038574 Material:  Color:  Referencia:  Observacion:     Placa padre:  Tipo adquisicion : Entidad"</f>
        <v>Descripcion:ANTIVIRUS ESET ENDPOINT SECURITY RENOVACIÓN (NOD32) Estado: Bueno Placa anterior: 000038574 Material:  Color:  Referencia:  Observacion:     Placa padre:  Tipo adquisicion : Entidad</v>
      </c>
      <c r="G19238" s="5"/>
    </row>
    <row r="19239" spans="1:7" ht="58.5" customHeight="1" x14ac:dyDescent="0.25">
      <c r="A19239" s="5" t="str">
        <f>"B0001291"</f>
        <v>B0001291</v>
      </c>
      <c r="B19239" s="5" t="str">
        <f t="shared" si="985"/>
        <v>ANTIVIRUS</v>
      </c>
      <c r="C19239" s="6">
        <v>63309.81</v>
      </c>
      <c r="D19239" s="5" t="s">
        <v>63</v>
      </c>
      <c r="E19239" s="5" t="str">
        <f t="shared" si="984"/>
        <v>SISTEMAS-GLOBALTRONIK SAS-SERGIO PATIÑO</v>
      </c>
      <c r="F19239" s="5" t="str">
        <f>"Descripcion:ANTIVIRUS ESET ENDPOINT SECURITY RENOVACIÓN (NOD32) Estado: Bueno Placa anterior: 000038323 Material:  Color:  Referencia:  Observacion:     Placa padre:  Tipo adquisicion : Entidad"</f>
        <v>Descripcion:ANTIVIRUS ESET ENDPOINT SECURITY RENOVACIÓN (NOD32) Estado: Bueno Placa anterior: 000038323 Material:  Color:  Referencia:  Observacion:     Placa padre:  Tipo adquisicion : Entidad</v>
      </c>
      <c r="G19239" s="5"/>
    </row>
    <row r="19240" spans="1:7" ht="58.5" customHeight="1" x14ac:dyDescent="0.25">
      <c r="A19240" s="5" t="str">
        <f>"B0001292"</f>
        <v>B0001292</v>
      </c>
      <c r="B19240" s="5" t="str">
        <f t="shared" si="985"/>
        <v>ANTIVIRUS</v>
      </c>
      <c r="C19240" s="6">
        <v>63309.81</v>
      </c>
      <c r="D19240" s="5" t="s">
        <v>63</v>
      </c>
      <c r="E19240" s="5" t="str">
        <f t="shared" si="984"/>
        <v>SISTEMAS-GLOBALTRONIK SAS-SERGIO PATIÑO</v>
      </c>
      <c r="F19240" s="5" t="str">
        <f>"Descripcion:ANTIVIRUS ESET ENDPOINT SECURITY RENOVACIÓN (NOD32) Estado: Bueno Placa anterior: 000038460 Material:  Color:  Referencia:  Observacion:     Placa padre:  Tipo adquisicion : Entidad"</f>
        <v>Descripcion:ANTIVIRUS ESET ENDPOINT SECURITY RENOVACIÓN (NOD32) Estado: Bueno Placa anterior: 000038460 Material:  Color:  Referencia:  Observacion:     Placa padre:  Tipo adquisicion : Entidad</v>
      </c>
      <c r="G19240" s="5"/>
    </row>
    <row r="19241" spans="1:7" ht="58.5" customHeight="1" x14ac:dyDescent="0.25">
      <c r="A19241" s="5" t="str">
        <f>"B0001293"</f>
        <v>B0001293</v>
      </c>
      <c r="B19241" s="5" t="str">
        <f t="shared" si="985"/>
        <v>ANTIVIRUS</v>
      </c>
      <c r="C19241" s="6">
        <v>63309.81</v>
      </c>
      <c r="D19241" s="5" t="s">
        <v>63</v>
      </c>
      <c r="E19241" s="5" t="str">
        <f t="shared" si="984"/>
        <v>SISTEMAS-GLOBALTRONIK SAS-SERGIO PATIÑO</v>
      </c>
      <c r="F19241" s="5" t="str">
        <f>"Descripcion:ANTIVIRUS ESET ENDPOINT SECURITY RENOVACIÓN (NOD32) Estado: Bueno Placa anterior: 000038361 Material:  Color:  Referencia:  Observacion:     Placa padre:  Tipo adquisicion : Entidad"</f>
        <v>Descripcion:ANTIVIRUS ESET ENDPOINT SECURITY RENOVACIÓN (NOD32) Estado: Bueno Placa anterior: 000038361 Material:  Color:  Referencia:  Observacion:     Placa padre:  Tipo adquisicion : Entidad</v>
      </c>
      <c r="G19241" s="5"/>
    </row>
    <row r="19242" spans="1:7" ht="58.5" customHeight="1" x14ac:dyDescent="0.25">
      <c r="A19242" s="5" t="str">
        <f>"B0001294"</f>
        <v>B0001294</v>
      </c>
      <c r="B19242" s="5" t="str">
        <f t="shared" si="985"/>
        <v>ANTIVIRUS</v>
      </c>
      <c r="C19242" s="6">
        <v>63309.81</v>
      </c>
      <c r="D19242" s="5" t="s">
        <v>63</v>
      </c>
      <c r="E19242" s="5" t="str">
        <f t="shared" si="984"/>
        <v>SISTEMAS-GLOBALTRONIK SAS-SERGIO PATIÑO</v>
      </c>
      <c r="F19242" s="5" t="str">
        <f>"Descripcion:ANTIVIRUS ESET ENDPOINT SECURITY RENOVACIÓN (NOD32) Estado: Bueno Placa anterior: 000038657 Material:  Color:  Referencia:  Observacion:     Placa padre:  Tipo adquisicion : Entidad"</f>
        <v>Descripcion:ANTIVIRUS ESET ENDPOINT SECURITY RENOVACIÓN (NOD32) Estado: Bueno Placa anterior: 000038657 Material:  Color:  Referencia:  Observacion:     Placa padre:  Tipo adquisicion : Entidad</v>
      </c>
      <c r="G19242" s="5"/>
    </row>
    <row r="19243" spans="1:7" ht="58.5" customHeight="1" x14ac:dyDescent="0.25">
      <c r="A19243" s="5" t="str">
        <f>"B0001295"</f>
        <v>B0001295</v>
      </c>
      <c r="B19243" s="5" t="str">
        <f t="shared" si="985"/>
        <v>ANTIVIRUS</v>
      </c>
      <c r="C19243" s="6">
        <v>63309.81</v>
      </c>
      <c r="D19243" s="5" t="s">
        <v>63</v>
      </c>
      <c r="E19243" s="5" t="str">
        <f t="shared" si="984"/>
        <v>SISTEMAS-GLOBALTRONIK SAS-SERGIO PATIÑO</v>
      </c>
      <c r="F19243" s="5" t="str">
        <f>"Descripcion:ANTIVIRUS ESET ENDPOINT SECURITY RENOVACIÓN (NOD32) Estado: Bueno Placa anterior: 000038737 Material:  Color:  Referencia:  Observacion:     Placa padre:  Tipo adquisicion : Entidad"</f>
        <v>Descripcion:ANTIVIRUS ESET ENDPOINT SECURITY RENOVACIÓN (NOD32) Estado: Bueno Placa anterior: 000038737 Material:  Color:  Referencia:  Observacion:     Placa padre:  Tipo adquisicion : Entidad</v>
      </c>
      <c r="G19243" s="5"/>
    </row>
    <row r="19244" spans="1:7" ht="58.5" customHeight="1" x14ac:dyDescent="0.25">
      <c r="A19244" s="5" t="str">
        <f>"B0001296"</f>
        <v>B0001296</v>
      </c>
      <c r="B19244" s="5" t="str">
        <f t="shared" si="985"/>
        <v>ANTIVIRUS</v>
      </c>
      <c r="C19244" s="6">
        <v>63309.81</v>
      </c>
      <c r="D19244" s="5" t="s">
        <v>63</v>
      </c>
      <c r="E19244" s="5" t="str">
        <f t="shared" si="984"/>
        <v>SISTEMAS-GLOBALTRONIK SAS-SERGIO PATIÑO</v>
      </c>
      <c r="F19244" s="5" t="str">
        <f>"Descripcion:ANTIVIRUS ESET ENDPOINT SECURITY RENOVACIÓN (NOD32) Estado: Bueno Placa anterior: 000038727 Material:  Color:  Referencia:  Observacion:     Placa padre:  Tipo adquisicion : Entidad"</f>
        <v>Descripcion:ANTIVIRUS ESET ENDPOINT SECURITY RENOVACIÓN (NOD32) Estado: Bueno Placa anterior: 000038727 Material:  Color:  Referencia:  Observacion:     Placa padre:  Tipo adquisicion : Entidad</v>
      </c>
      <c r="G19244" s="5"/>
    </row>
    <row r="19245" spans="1:7" ht="58.5" customHeight="1" x14ac:dyDescent="0.25">
      <c r="A19245" s="5" t="str">
        <f>"B0001297"</f>
        <v>B0001297</v>
      </c>
      <c r="B19245" s="5" t="str">
        <f t="shared" si="985"/>
        <v>ANTIVIRUS</v>
      </c>
      <c r="C19245" s="6">
        <v>63309.81</v>
      </c>
      <c r="D19245" s="5" t="s">
        <v>63</v>
      </c>
      <c r="E19245" s="5" t="str">
        <f t="shared" si="984"/>
        <v>SISTEMAS-GLOBALTRONIK SAS-SERGIO PATIÑO</v>
      </c>
      <c r="F19245" s="5" t="str">
        <f>"Descripcion:ANTIVIRUS ESET ENDPOINT SECURITY RENOVACIÓN (NOD32) Estado: Bueno Placa anterior: 000038462 Material:  Color:  Referencia:  Observacion:     Placa padre:  Tipo adquisicion : Entidad"</f>
        <v>Descripcion:ANTIVIRUS ESET ENDPOINT SECURITY RENOVACIÓN (NOD32) Estado: Bueno Placa anterior: 000038462 Material:  Color:  Referencia:  Observacion:     Placa padre:  Tipo adquisicion : Entidad</v>
      </c>
      <c r="G19245" s="5"/>
    </row>
    <row r="19246" spans="1:7" ht="58.5" customHeight="1" x14ac:dyDescent="0.25">
      <c r="A19246" s="5" t="str">
        <f>"B0001298"</f>
        <v>B0001298</v>
      </c>
      <c r="B19246" s="5" t="str">
        <f t="shared" si="985"/>
        <v>ANTIVIRUS</v>
      </c>
      <c r="C19246" s="6">
        <v>63309.81</v>
      </c>
      <c r="D19246" s="5" t="s">
        <v>63</v>
      </c>
      <c r="E19246" s="5" t="str">
        <f t="shared" si="984"/>
        <v>SISTEMAS-GLOBALTRONIK SAS-SERGIO PATIÑO</v>
      </c>
      <c r="F19246" s="5" t="str">
        <f>"Descripcion:ANTIVIRUS ESET ENDPOINT SECURITY RENOVACIÓN (NOD32) Estado: Bueno Placa anterior: 000038596 Material:  Color:  Referencia:  Observacion:     Placa padre:  Tipo adquisicion : Entidad"</f>
        <v>Descripcion:ANTIVIRUS ESET ENDPOINT SECURITY RENOVACIÓN (NOD32) Estado: Bueno Placa anterior: 000038596 Material:  Color:  Referencia:  Observacion:     Placa padre:  Tipo adquisicion : Entidad</v>
      </c>
      <c r="G19246" s="5"/>
    </row>
    <row r="19247" spans="1:7" ht="58.5" customHeight="1" x14ac:dyDescent="0.25">
      <c r="A19247" s="5" t="str">
        <f>"B0001299"</f>
        <v>B0001299</v>
      </c>
      <c r="B19247" s="5" t="str">
        <f t="shared" si="985"/>
        <v>ANTIVIRUS</v>
      </c>
      <c r="C19247" s="6">
        <v>63309.81</v>
      </c>
      <c r="D19247" s="5" t="s">
        <v>63</v>
      </c>
      <c r="E19247" s="5" t="str">
        <f t="shared" si="984"/>
        <v>SISTEMAS-GLOBALTRONIK SAS-SERGIO PATIÑO</v>
      </c>
      <c r="F19247" s="5" t="str">
        <f>"Descripcion:ANTIVIRUS ESET ENDPOINT SECURITY RENOVACIÓN (NOD32) Estado: Bueno Placa anterior: 000038668 Material:  Color:  Referencia:  Observacion:     Placa padre:  Tipo adquisicion : Entidad"</f>
        <v>Descripcion:ANTIVIRUS ESET ENDPOINT SECURITY RENOVACIÓN (NOD32) Estado: Bueno Placa anterior: 000038668 Material:  Color:  Referencia:  Observacion:     Placa padre:  Tipo adquisicion : Entidad</v>
      </c>
      <c r="G19247" s="5"/>
    </row>
    <row r="19248" spans="1:7" ht="58.5" customHeight="1" x14ac:dyDescent="0.25">
      <c r="A19248" s="5" t="str">
        <f>"B0001300"</f>
        <v>B0001300</v>
      </c>
      <c r="B19248" s="5" t="str">
        <f t="shared" si="985"/>
        <v>ANTIVIRUS</v>
      </c>
      <c r="C19248" s="6">
        <v>129970</v>
      </c>
      <c r="D19248" s="5" t="s">
        <v>63</v>
      </c>
      <c r="E19248" s="5" t="str">
        <f t="shared" si="984"/>
        <v>SISTEMAS-GLOBALTRONIK SAS-SERGIO PATIÑO</v>
      </c>
      <c r="F19248" s="5" t="str">
        <f>"Descripcion:ANTIVIRUS ESET ENDPOINT SECURITY (NOD32) Estado: Bueno Placa anterior: 000038126 Material:  Color:  Referencia:  Observacion:     Placa padre:  Tipo adquisicion : Entidad"</f>
        <v>Descripcion:ANTIVIRUS ESET ENDPOINT SECURITY (NOD32) Estado: Bueno Placa anterior: 000038126 Material:  Color:  Referencia:  Observacion:     Placa padre:  Tipo adquisicion : Entidad</v>
      </c>
      <c r="G19248" s="5"/>
    </row>
    <row r="19249" spans="1:7" ht="58.5" customHeight="1" x14ac:dyDescent="0.25">
      <c r="A19249" s="5" t="str">
        <f>"B0001301"</f>
        <v>B0001301</v>
      </c>
      <c r="B19249" s="5" t="str">
        <f t="shared" si="985"/>
        <v>ANTIVIRUS</v>
      </c>
      <c r="C19249" s="6">
        <v>63309.81</v>
      </c>
      <c r="D19249" s="5" t="s">
        <v>63</v>
      </c>
      <c r="E19249" s="5" t="str">
        <f t="shared" si="984"/>
        <v>SISTEMAS-GLOBALTRONIK SAS-SERGIO PATIÑO</v>
      </c>
      <c r="F19249" s="5" t="str">
        <f>"Descripcion:ANTIVIRUS ESET ENDPOINT SECURITY RENOVACIÓN (NOD32) Estado: Bueno Placa anterior: 000038671 Material:  Color:  Referencia:  Observacion:     Placa padre:  Tipo adquisicion : Entidad"</f>
        <v>Descripcion:ANTIVIRUS ESET ENDPOINT SECURITY RENOVACIÓN (NOD32) Estado: Bueno Placa anterior: 000038671 Material:  Color:  Referencia:  Observacion:     Placa padre:  Tipo adquisicion : Entidad</v>
      </c>
      <c r="G19249" s="5"/>
    </row>
    <row r="19250" spans="1:7" ht="58.5" customHeight="1" x14ac:dyDescent="0.25">
      <c r="A19250" s="5" t="str">
        <f>"B0001302"</f>
        <v>B0001302</v>
      </c>
      <c r="B19250" s="5" t="str">
        <f t="shared" si="985"/>
        <v>ANTIVIRUS</v>
      </c>
      <c r="C19250" s="6">
        <v>63309.81</v>
      </c>
      <c r="D19250" s="5" t="s">
        <v>63</v>
      </c>
      <c r="E19250" s="5" t="str">
        <f t="shared" si="984"/>
        <v>SISTEMAS-GLOBALTRONIK SAS-SERGIO PATIÑO</v>
      </c>
      <c r="F19250" s="5" t="str">
        <f>"Descripcion:ANTIVIRUS ESET ENDPOINT SECURITY RENOVACIÓN (NOD32) Estado: Bueno Placa anterior: 000038601 Material:  Color:  Referencia:  Observacion:     Placa padre:  Tipo adquisicion : Entidad"</f>
        <v>Descripcion:ANTIVIRUS ESET ENDPOINT SECURITY RENOVACIÓN (NOD32) Estado: Bueno Placa anterior: 000038601 Material:  Color:  Referencia:  Observacion:     Placa padre:  Tipo adquisicion : Entidad</v>
      </c>
      <c r="G19250" s="5"/>
    </row>
    <row r="19251" spans="1:7" ht="58.5" customHeight="1" x14ac:dyDescent="0.25">
      <c r="A19251" s="5" t="str">
        <f>"B0001303"</f>
        <v>B0001303</v>
      </c>
      <c r="B19251" s="5" t="str">
        <f t="shared" si="985"/>
        <v>ANTIVIRUS</v>
      </c>
      <c r="C19251" s="6">
        <v>129970</v>
      </c>
      <c r="D19251" s="5" t="s">
        <v>63</v>
      </c>
      <c r="E19251" s="5" t="str">
        <f t="shared" si="984"/>
        <v>SISTEMAS-GLOBALTRONIK SAS-SERGIO PATIÑO</v>
      </c>
      <c r="F19251" s="5" t="str">
        <f>"Descripcion:ANTIVIRUS ESET ENDPOINT SECURITY (NOD32) Estado: Bueno Placa anterior: 000038080 Material:  Color:  Referencia:  Observacion:     Placa padre:  Tipo adquisicion : Entidad"</f>
        <v>Descripcion:ANTIVIRUS ESET ENDPOINT SECURITY (NOD32) Estado: Bueno Placa anterior: 000038080 Material:  Color:  Referencia:  Observacion:     Placa padre:  Tipo adquisicion : Entidad</v>
      </c>
      <c r="G19251" s="5"/>
    </row>
    <row r="19252" spans="1:7" ht="58.5" customHeight="1" x14ac:dyDescent="0.25">
      <c r="A19252" s="5" t="str">
        <f>"B0001304"</f>
        <v>B0001304</v>
      </c>
      <c r="B19252" s="5" t="str">
        <f t="shared" si="985"/>
        <v>ANTIVIRUS</v>
      </c>
      <c r="C19252" s="6">
        <v>63309.81</v>
      </c>
      <c r="D19252" s="5" t="s">
        <v>63</v>
      </c>
      <c r="E19252" s="5" t="str">
        <f t="shared" si="984"/>
        <v>SISTEMAS-GLOBALTRONIK SAS-SERGIO PATIÑO</v>
      </c>
      <c r="F19252" s="5" t="str">
        <f>"Descripcion:ANTIVIRUS ESET ENDPOINT SECURITY RENOVACIÓN (NOD32) Estado: Bueno Placa anterior: 000038364 Material:  Color:  Referencia:  Observacion:     Placa padre:  Tipo adquisicion : Entidad"</f>
        <v>Descripcion:ANTIVIRUS ESET ENDPOINT SECURITY RENOVACIÓN (NOD32) Estado: Bueno Placa anterior: 000038364 Material:  Color:  Referencia:  Observacion:     Placa padre:  Tipo adquisicion : Entidad</v>
      </c>
      <c r="G19252" s="5"/>
    </row>
    <row r="19253" spans="1:7" ht="58.5" customHeight="1" x14ac:dyDescent="0.25">
      <c r="A19253" s="5" t="str">
        <f>"B0001305"</f>
        <v>B0001305</v>
      </c>
      <c r="B19253" s="5" t="str">
        <f t="shared" si="985"/>
        <v>ANTIVIRUS</v>
      </c>
      <c r="C19253" s="6">
        <v>63309.81</v>
      </c>
      <c r="D19253" s="5" t="s">
        <v>63</v>
      </c>
      <c r="E19253" s="5" t="str">
        <f t="shared" si="984"/>
        <v>SISTEMAS-GLOBALTRONIK SAS-SERGIO PATIÑO</v>
      </c>
      <c r="F19253" s="5" t="str">
        <f>"Descripcion:ANTIVIRUS ESET ENDPOINT SECURITY RENOVACIÓN (NOD32) Estado: Bueno Placa anterior: 000038515 Material:  Color:  Referencia:  Observacion:     Placa padre:  Tipo adquisicion : Entidad"</f>
        <v>Descripcion:ANTIVIRUS ESET ENDPOINT SECURITY RENOVACIÓN (NOD32) Estado: Bueno Placa anterior: 000038515 Material:  Color:  Referencia:  Observacion:     Placa padre:  Tipo adquisicion : Entidad</v>
      </c>
      <c r="G19253" s="5"/>
    </row>
    <row r="19254" spans="1:7" ht="58.5" customHeight="1" x14ac:dyDescent="0.25">
      <c r="A19254" s="5" t="str">
        <f>"B0001306"</f>
        <v>B0001306</v>
      </c>
      <c r="B19254" s="5" t="str">
        <f t="shared" si="985"/>
        <v>ANTIVIRUS</v>
      </c>
      <c r="C19254" s="6">
        <v>63309.81</v>
      </c>
      <c r="D19254" s="5" t="s">
        <v>63</v>
      </c>
      <c r="E19254" s="5" t="str">
        <f t="shared" si="984"/>
        <v>SISTEMAS-GLOBALTRONIK SAS-SERGIO PATIÑO</v>
      </c>
      <c r="F19254" s="5" t="str">
        <f>"Descripcion:ANTIVIRUS ESET ENDPOINT SECURITY RENOVACIÓN (NOD32) Estado: Bueno Placa anterior: 000038724 Material:  Color:  Referencia:  Observacion:     Placa padre:  Tipo adquisicion : Entidad"</f>
        <v>Descripcion:ANTIVIRUS ESET ENDPOINT SECURITY RENOVACIÓN (NOD32) Estado: Bueno Placa anterior: 000038724 Material:  Color:  Referencia:  Observacion:     Placa padre:  Tipo adquisicion : Entidad</v>
      </c>
      <c r="G19254" s="5"/>
    </row>
    <row r="19255" spans="1:7" ht="58.5" customHeight="1" x14ac:dyDescent="0.25">
      <c r="A19255" s="5" t="str">
        <f>"B0001307"</f>
        <v>B0001307</v>
      </c>
      <c r="B19255" s="5" t="str">
        <f t="shared" si="985"/>
        <v>ANTIVIRUS</v>
      </c>
      <c r="C19255" s="6">
        <v>129970</v>
      </c>
      <c r="D19255" s="5" t="s">
        <v>63</v>
      </c>
      <c r="E19255" s="5" t="str">
        <f t="shared" si="984"/>
        <v>SISTEMAS-GLOBALTRONIK SAS-SERGIO PATIÑO</v>
      </c>
      <c r="F19255" s="5" t="str">
        <f>"Descripcion:ANTIVIRUS ESET ENDPOINT SECURITY (NOD32) Estado: Bueno Placa anterior: 000038064 Material:  Color:  Referencia:  Observacion:     Placa padre:  Tipo adquisicion : Entidad"</f>
        <v>Descripcion:ANTIVIRUS ESET ENDPOINT SECURITY (NOD32) Estado: Bueno Placa anterior: 000038064 Material:  Color:  Referencia:  Observacion:     Placa padre:  Tipo adquisicion : Entidad</v>
      </c>
      <c r="G19255" s="5"/>
    </row>
    <row r="19256" spans="1:7" ht="58.5" customHeight="1" x14ac:dyDescent="0.25">
      <c r="A19256" s="5" t="str">
        <f>"B0001308"</f>
        <v>B0001308</v>
      </c>
      <c r="B19256" s="5" t="str">
        <f t="shared" si="985"/>
        <v>ANTIVIRUS</v>
      </c>
      <c r="C19256" s="6">
        <v>63309.81</v>
      </c>
      <c r="D19256" s="5" t="s">
        <v>63</v>
      </c>
      <c r="E19256" s="5" t="str">
        <f t="shared" si="984"/>
        <v>SISTEMAS-GLOBALTRONIK SAS-SERGIO PATIÑO</v>
      </c>
      <c r="F19256" s="5" t="str">
        <f>"Descripcion:ANTIVIRUS ESET ENDPOINT SECURITY RENOVACIÓN (NOD32) Estado: Bueno Placa anterior: 000038775 Material:  Color:  Referencia:  Observacion:     Placa padre:  Tipo adquisicion : Entidad"</f>
        <v>Descripcion:ANTIVIRUS ESET ENDPOINT SECURITY RENOVACIÓN (NOD32) Estado: Bueno Placa anterior: 000038775 Material:  Color:  Referencia:  Observacion:     Placa padre:  Tipo adquisicion : Entidad</v>
      </c>
      <c r="G19256" s="5"/>
    </row>
    <row r="19257" spans="1:7" ht="58.5" customHeight="1" x14ac:dyDescent="0.25">
      <c r="A19257" s="5" t="str">
        <f>"B0001309"</f>
        <v>B0001309</v>
      </c>
      <c r="B19257" s="5" t="str">
        <f t="shared" si="985"/>
        <v>ANTIVIRUS</v>
      </c>
      <c r="C19257" s="6">
        <v>129970</v>
      </c>
      <c r="D19257" s="5" t="s">
        <v>63</v>
      </c>
      <c r="E19257" s="5" t="str">
        <f t="shared" si="984"/>
        <v>SISTEMAS-GLOBALTRONIK SAS-SERGIO PATIÑO</v>
      </c>
      <c r="F19257" s="5" t="str">
        <f>"Descripcion:ANTIVIRUS ESET ENDPOINT SECURITY (NOD32) Estado: Bueno Placa anterior: 000038041 Material:  Color:  Referencia:  Observacion:     Placa padre:  Tipo adquisicion : Entidad"</f>
        <v>Descripcion:ANTIVIRUS ESET ENDPOINT SECURITY (NOD32) Estado: Bueno Placa anterior: 000038041 Material:  Color:  Referencia:  Observacion:     Placa padre:  Tipo adquisicion : Entidad</v>
      </c>
      <c r="G19257" s="5"/>
    </row>
    <row r="19258" spans="1:7" ht="58.5" customHeight="1" x14ac:dyDescent="0.25">
      <c r="A19258" s="5" t="str">
        <f>"B0001310"</f>
        <v>B0001310</v>
      </c>
      <c r="B19258" s="5" t="str">
        <f t="shared" si="985"/>
        <v>ANTIVIRUS</v>
      </c>
      <c r="C19258" s="6">
        <v>129970</v>
      </c>
      <c r="D19258" s="5" t="s">
        <v>63</v>
      </c>
      <c r="E19258" s="5" t="str">
        <f t="shared" si="984"/>
        <v>SISTEMAS-GLOBALTRONIK SAS-SERGIO PATIÑO</v>
      </c>
      <c r="F19258" s="5" t="str">
        <f>"Descripcion:ANTIVIRUS ESET ENDPOINT SECURITY (NOD32) Estado: Bueno Placa anterior: 000038090 Material:  Color:  Referencia:  Observacion:     Placa padre:  Tipo adquisicion : Entidad"</f>
        <v>Descripcion:ANTIVIRUS ESET ENDPOINT SECURITY (NOD32) Estado: Bueno Placa anterior: 000038090 Material:  Color:  Referencia:  Observacion:     Placa padre:  Tipo adquisicion : Entidad</v>
      </c>
      <c r="G19258" s="5"/>
    </row>
    <row r="19259" spans="1:7" ht="58.5" customHeight="1" x14ac:dyDescent="0.25">
      <c r="A19259" s="5" t="str">
        <f>"B0001311"</f>
        <v>B0001311</v>
      </c>
      <c r="B19259" s="5" t="str">
        <f t="shared" si="985"/>
        <v>ANTIVIRUS</v>
      </c>
      <c r="C19259" s="6">
        <v>63309.81</v>
      </c>
      <c r="D19259" s="5" t="s">
        <v>63</v>
      </c>
      <c r="E19259" s="5" t="str">
        <f t="shared" si="984"/>
        <v>SISTEMAS-GLOBALTRONIK SAS-SERGIO PATIÑO</v>
      </c>
      <c r="F19259" s="5" t="str">
        <f>"Descripcion:ANTIVIRUS ESET ENDPOINT SECURITY RENOVACIÓN (NOD32) Estado: Bueno Placa anterior: 000038381 Material:  Color:  Referencia:  Observacion:     Placa padre:  Tipo adquisicion : Entidad"</f>
        <v>Descripcion:ANTIVIRUS ESET ENDPOINT SECURITY RENOVACIÓN (NOD32) Estado: Bueno Placa anterior: 000038381 Material:  Color:  Referencia:  Observacion:     Placa padre:  Tipo adquisicion : Entidad</v>
      </c>
      <c r="G19259" s="5"/>
    </row>
    <row r="19260" spans="1:7" ht="58.5" customHeight="1" x14ac:dyDescent="0.25">
      <c r="A19260" s="5" t="str">
        <f>"B0001312"</f>
        <v>B0001312</v>
      </c>
      <c r="B19260" s="5" t="str">
        <f t="shared" si="985"/>
        <v>ANTIVIRUS</v>
      </c>
      <c r="C19260" s="6">
        <v>63309.81</v>
      </c>
      <c r="D19260" s="5" t="s">
        <v>63</v>
      </c>
      <c r="E19260" s="5" t="str">
        <f t="shared" si="984"/>
        <v>SISTEMAS-GLOBALTRONIK SAS-SERGIO PATIÑO</v>
      </c>
      <c r="F19260" s="5" t="str">
        <f>"Descripcion:ANTIVIRUS ESET ENDPOINT SECURITY RENOVACIÓN (NOD32) Estado: Bueno Placa anterior: 000038367 Material:  Color:  Referencia:  Observacion:     Placa padre:  Tipo adquisicion : Entidad"</f>
        <v>Descripcion:ANTIVIRUS ESET ENDPOINT SECURITY RENOVACIÓN (NOD32) Estado: Bueno Placa anterior: 000038367 Material:  Color:  Referencia:  Observacion:     Placa padre:  Tipo adquisicion : Entidad</v>
      </c>
      <c r="G19260" s="5"/>
    </row>
    <row r="19261" spans="1:7" ht="58.5" customHeight="1" x14ac:dyDescent="0.25">
      <c r="A19261" s="5" t="str">
        <f>"B0001313"</f>
        <v>B0001313</v>
      </c>
      <c r="B19261" s="5" t="str">
        <f t="shared" si="985"/>
        <v>ANTIVIRUS</v>
      </c>
      <c r="C19261" s="6">
        <v>63309.81</v>
      </c>
      <c r="D19261" s="5" t="s">
        <v>63</v>
      </c>
      <c r="E19261" s="5" t="str">
        <f t="shared" ref="E19261:E19324" si="986">"SISTEMAS-GLOBALTRONIK SAS-SERGIO PATIÑO"</f>
        <v>SISTEMAS-GLOBALTRONIK SAS-SERGIO PATIÑO</v>
      </c>
      <c r="F19261" s="5" t="str">
        <f>"Descripcion:ANTIVIRUS ESET ENDPOINT SECURITY RENOVACIÓN (NOD32) Estado: Bueno Placa anterior: 000038457 Material:  Color:  Referencia:  Observacion:     Placa padre:  Tipo adquisicion : Entidad"</f>
        <v>Descripcion:ANTIVIRUS ESET ENDPOINT SECURITY RENOVACIÓN (NOD32) Estado: Bueno Placa anterior: 000038457 Material:  Color:  Referencia:  Observacion:     Placa padre:  Tipo adquisicion : Entidad</v>
      </c>
      <c r="G19261" s="5"/>
    </row>
    <row r="19262" spans="1:7" ht="58.5" customHeight="1" x14ac:dyDescent="0.25">
      <c r="A19262" s="5" t="str">
        <f>"B0001314"</f>
        <v>B0001314</v>
      </c>
      <c r="B19262" s="5" t="str">
        <f t="shared" si="985"/>
        <v>ANTIVIRUS</v>
      </c>
      <c r="C19262" s="6">
        <v>63309.81</v>
      </c>
      <c r="D19262" s="5" t="s">
        <v>63</v>
      </c>
      <c r="E19262" s="5" t="str">
        <f t="shared" si="986"/>
        <v>SISTEMAS-GLOBALTRONIK SAS-SERGIO PATIÑO</v>
      </c>
      <c r="F19262" s="5" t="str">
        <f>"Descripcion:ANTIVIRUS ESET ENDPOINT SECURITY RENOVACIÓN (NOD32) Estado: Bueno Placa anterior: 000038664 Material:  Color:  Referencia:  Observacion:     Placa padre:  Tipo adquisicion : Entidad"</f>
        <v>Descripcion:ANTIVIRUS ESET ENDPOINT SECURITY RENOVACIÓN (NOD32) Estado: Bueno Placa anterior: 000038664 Material:  Color:  Referencia:  Observacion:     Placa padre:  Tipo adquisicion : Entidad</v>
      </c>
      <c r="G19262" s="5"/>
    </row>
    <row r="19263" spans="1:7" ht="58.5" customHeight="1" x14ac:dyDescent="0.25">
      <c r="A19263" s="5" t="str">
        <f>"B0001315"</f>
        <v>B0001315</v>
      </c>
      <c r="B19263" s="5" t="str">
        <f t="shared" si="985"/>
        <v>ANTIVIRUS</v>
      </c>
      <c r="C19263" s="6">
        <v>129970</v>
      </c>
      <c r="D19263" s="5" t="s">
        <v>63</v>
      </c>
      <c r="E19263" s="5" t="str">
        <f t="shared" si="986"/>
        <v>SISTEMAS-GLOBALTRONIK SAS-SERGIO PATIÑO</v>
      </c>
      <c r="F19263" s="5" t="str">
        <f>"Descripcion:ANTIVIRUS ESET ENDPOINT SECURITY (NOD32) Estado: Bueno Placa anterior: 000038091 Material:  Color:  Referencia:  Observacion:     Placa padre:  Tipo adquisicion : Entidad"</f>
        <v>Descripcion:ANTIVIRUS ESET ENDPOINT SECURITY (NOD32) Estado: Bueno Placa anterior: 000038091 Material:  Color:  Referencia:  Observacion:     Placa padre:  Tipo adquisicion : Entidad</v>
      </c>
      <c r="G19263" s="5"/>
    </row>
    <row r="19264" spans="1:7" ht="58.5" customHeight="1" x14ac:dyDescent="0.25">
      <c r="A19264" s="5" t="str">
        <f>"B0001316"</f>
        <v>B0001316</v>
      </c>
      <c r="B19264" s="5" t="str">
        <f t="shared" si="985"/>
        <v>ANTIVIRUS</v>
      </c>
      <c r="C19264" s="6">
        <v>63309.81</v>
      </c>
      <c r="D19264" s="5" t="s">
        <v>63</v>
      </c>
      <c r="E19264" s="5" t="str">
        <f t="shared" si="986"/>
        <v>SISTEMAS-GLOBALTRONIK SAS-SERGIO PATIÑO</v>
      </c>
      <c r="F19264" s="5" t="str">
        <f>"Descripcion:ANTIVIRUS ESET ENDPOINT SECURITY RENOVACIÓN (NOD32) Estado: Bueno Placa anterior: 000038412 Material:  Color:  Referencia:  Observacion:     Placa padre:  Tipo adquisicion : Entidad"</f>
        <v>Descripcion:ANTIVIRUS ESET ENDPOINT SECURITY RENOVACIÓN (NOD32) Estado: Bueno Placa anterior: 000038412 Material:  Color:  Referencia:  Observacion:     Placa padre:  Tipo adquisicion : Entidad</v>
      </c>
      <c r="G19264" s="5"/>
    </row>
    <row r="19265" spans="1:7" ht="58.5" customHeight="1" x14ac:dyDescent="0.25">
      <c r="A19265" s="5" t="str">
        <f>"B0001317"</f>
        <v>B0001317</v>
      </c>
      <c r="B19265" s="5" t="str">
        <f t="shared" si="985"/>
        <v>ANTIVIRUS</v>
      </c>
      <c r="C19265" s="6">
        <v>63309.81</v>
      </c>
      <c r="D19265" s="5" t="s">
        <v>63</v>
      </c>
      <c r="E19265" s="5" t="str">
        <f t="shared" si="986"/>
        <v>SISTEMAS-GLOBALTRONIK SAS-SERGIO PATIÑO</v>
      </c>
      <c r="F19265" s="5" t="str">
        <f>"Descripcion:ANTIVIRUS ESET ENDPOINT SECURITY RENOVACIÓN (NOD32) Estado: Bueno Placa anterior: 000038438 Material:  Color:  Referencia:  Observacion:     Placa padre:  Tipo adquisicion : Entidad"</f>
        <v>Descripcion:ANTIVIRUS ESET ENDPOINT SECURITY RENOVACIÓN (NOD32) Estado: Bueno Placa anterior: 000038438 Material:  Color:  Referencia:  Observacion:     Placa padre:  Tipo adquisicion : Entidad</v>
      </c>
      <c r="G19265" s="5"/>
    </row>
    <row r="19266" spans="1:7" ht="58.5" customHeight="1" x14ac:dyDescent="0.25">
      <c r="A19266" s="5" t="str">
        <f>"B0001318"</f>
        <v>B0001318</v>
      </c>
      <c r="B19266" s="5" t="str">
        <f t="shared" si="985"/>
        <v>ANTIVIRUS</v>
      </c>
      <c r="C19266" s="6">
        <v>63309.81</v>
      </c>
      <c r="D19266" s="5" t="s">
        <v>63</v>
      </c>
      <c r="E19266" s="5" t="str">
        <f t="shared" si="986"/>
        <v>SISTEMAS-GLOBALTRONIK SAS-SERGIO PATIÑO</v>
      </c>
      <c r="F19266" s="5" t="str">
        <f>"Descripcion:ANTIVIRUS ESET ENDPOINT SECURITY RENOVACIÓN (NOD32) Estado: Bueno Placa anterior: 000038584 Material:  Color:  Referencia:  Observacion:     Placa padre:  Tipo adquisicion : Entidad"</f>
        <v>Descripcion:ANTIVIRUS ESET ENDPOINT SECURITY RENOVACIÓN (NOD32) Estado: Bueno Placa anterior: 000038584 Material:  Color:  Referencia:  Observacion:     Placa padre:  Tipo adquisicion : Entidad</v>
      </c>
      <c r="G19266" s="5"/>
    </row>
    <row r="19267" spans="1:7" ht="58.5" customHeight="1" x14ac:dyDescent="0.25">
      <c r="A19267" s="5" t="str">
        <f>"B0001319"</f>
        <v>B0001319</v>
      </c>
      <c r="B19267" s="5" t="str">
        <f t="shared" si="985"/>
        <v>ANTIVIRUS</v>
      </c>
      <c r="C19267" s="6">
        <v>63309.81</v>
      </c>
      <c r="D19267" s="5" t="s">
        <v>63</v>
      </c>
      <c r="E19267" s="5" t="str">
        <f t="shared" si="986"/>
        <v>SISTEMAS-GLOBALTRONIK SAS-SERGIO PATIÑO</v>
      </c>
      <c r="F19267" s="5" t="str">
        <f>"Descripcion:ANTIVIRUS ESET ENDPOINT SECURITY RENOVACIÓN (NOD32) Estado: Bueno Placa anterior: 000038502 Material:  Color:  Referencia:  Observacion:     Placa padre:  Tipo adquisicion : Entidad"</f>
        <v>Descripcion:ANTIVIRUS ESET ENDPOINT SECURITY RENOVACIÓN (NOD32) Estado: Bueno Placa anterior: 000038502 Material:  Color:  Referencia:  Observacion:     Placa padre:  Tipo adquisicion : Entidad</v>
      </c>
      <c r="G19267" s="5"/>
    </row>
    <row r="19268" spans="1:7" ht="58.5" customHeight="1" x14ac:dyDescent="0.25">
      <c r="A19268" s="5" t="str">
        <f>"B0001320"</f>
        <v>B0001320</v>
      </c>
      <c r="B19268" s="5" t="str">
        <f t="shared" ref="B19268:B19331" si="987">"ANTIVIRUS"</f>
        <v>ANTIVIRUS</v>
      </c>
      <c r="C19268" s="6">
        <v>129970</v>
      </c>
      <c r="D19268" s="5" t="s">
        <v>63</v>
      </c>
      <c r="E19268" s="5" t="str">
        <f t="shared" si="986"/>
        <v>SISTEMAS-GLOBALTRONIK SAS-SERGIO PATIÑO</v>
      </c>
      <c r="F19268" s="5" t="str">
        <f>"Descripcion:ANTIVIRUS ESET ENDPOINT SECURITY (NOD32) Estado: Bueno Placa anterior: 000038107 Material:  Color:  Referencia:  Observacion:     Placa padre:  Tipo adquisicion : Entidad"</f>
        <v>Descripcion:ANTIVIRUS ESET ENDPOINT SECURITY (NOD32) Estado: Bueno Placa anterior: 000038107 Material:  Color:  Referencia:  Observacion:     Placa padre:  Tipo adquisicion : Entidad</v>
      </c>
      <c r="G19268" s="5"/>
    </row>
    <row r="19269" spans="1:7" ht="58.5" customHeight="1" x14ac:dyDescent="0.25">
      <c r="A19269" s="5" t="str">
        <f>"B0001321"</f>
        <v>B0001321</v>
      </c>
      <c r="B19269" s="5" t="str">
        <f t="shared" si="987"/>
        <v>ANTIVIRUS</v>
      </c>
      <c r="C19269" s="6">
        <v>63309.81</v>
      </c>
      <c r="D19269" s="5" t="s">
        <v>63</v>
      </c>
      <c r="E19269" s="5" t="str">
        <f t="shared" si="986"/>
        <v>SISTEMAS-GLOBALTRONIK SAS-SERGIO PATIÑO</v>
      </c>
      <c r="F19269" s="5" t="str">
        <f>"Descripcion:ANTIVIRUS ESET ENDPOINT SECURITY RENOVACIÓN (NOD32) Estado: Bueno Placa anterior: 000038688 Material:  Color:  Referencia:  Observacion:     Placa padre:  Tipo adquisicion : Entidad"</f>
        <v>Descripcion:ANTIVIRUS ESET ENDPOINT SECURITY RENOVACIÓN (NOD32) Estado: Bueno Placa anterior: 000038688 Material:  Color:  Referencia:  Observacion:     Placa padre:  Tipo adquisicion : Entidad</v>
      </c>
      <c r="G19269" s="5"/>
    </row>
    <row r="19270" spans="1:7" ht="58.5" customHeight="1" x14ac:dyDescent="0.25">
      <c r="A19270" s="5" t="str">
        <f>"B0001322"</f>
        <v>B0001322</v>
      </c>
      <c r="B19270" s="5" t="str">
        <f t="shared" si="987"/>
        <v>ANTIVIRUS</v>
      </c>
      <c r="C19270" s="6">
        <v>63309.81</v>
      </c>
      <c r="D19270" s="5" t="s">
        <v>63</v>
      </c>
      <c r="E19270" s="5" t="str">
        <f t="shared" si="986"/>
        <v>SISTEMAS-GLOBALTRONIK SAS-SERGIO PATIÑO</v>
      </c>
      <c r="F19270" s="5" t="str">
        <f>"Descripcion:ANTIVIRUS ESET ENDPOINT SECURITY RENOVACIÓN (NOD32) Estado: Bueno Placa anterior: 000038745 Material:  Color:  Referencia:  Observacion:     Placa padre:  Tipo adquisicion : Entidad"</f>
        <v>Descripcion:ANTIVIRUS ESET ENDPOINT SECURITY RENOVACIÓN (NOD32) Estado: Bueno Placa anterior: 000038745 Material:  Color:  Referencia:  Observacion:     Placa padre:  Tipo adquisicion : Entidad</v>
      </c>
      <c r="G19270" s="5"/>
    </row>
    <row r="19271" spans="1:7" ht="58.5" customHeight="1" x14ac:dyDescent="0.25">
      <c r="A19271" s="5" t="str">
        <f>"B0001323"</f>
        <v>B0001323</v>
      </c>
      <c r="B19271" s="5" t="str">
        <f t="shared" si="987"/>
        <v>ANTIVIRUS</v>
      </c>
      <c r="C19271" s="6">
        <v>63309.81</v>
      </c>
      <c r="D19271" s="5" t="s">
        <v>63</v>
      </c>
      <c r="E19271" s="5" t="str">
        <f t="shared" si="986"/>
        <v>SISTEMAS-GLOBALTRONIK SAS-SERGIO PATIÑO</v>
      </c>
      <c r="F19271" s="5" t="str">
        <f>"Descripcion:ANTIVIRUS ESET ENDPOINT SECURITY RENOVACIÓN (NOD32) Estado: Bueno Placa anterior: 000038580 Material:  Color:  Referencia:  Observacion:     Placa padre:  Tipo adquisicion : Entidad"</f>
        <v>Descripcion:ANTIVIRUS ESET ENDPOINT SECURITY RENOVACIÓN (NOD32) Estado: Bueno Placa anterior: 000038580 Material:  Color:  Referencia:  Observacion:     Placa padre:  Tipo adquisicion : Entidad</v>
      </c>
      <c r="G19271" s="5"/>
    </row>
    <row r="19272" spans="1:7" ht="58.5" customHeight="1" x14ac:dyDescent="0.25">
      <c r="A19272" s="5" t="str">
        <f>"B0001324"</f>
        <v>B0001324</v>
      </c>
      <c r="B19272" s="5" t="str">
        <f t="shared" si="987"/>
        <v>ANTIVIRUS</v>
      </c>
      <c r="C19272" s="6">
        <v>129970</v>
      </c>
      <c r="D19272" s="5" t="s">
        <v>63</v>
      </c>
      <c r="E19272" s="5" t="str">
        <f t="shared" si="986"/>
        <v>SISTEMAS-GLOBALTRONIK SAS-SERGIO PATIÑO</v>
      </c>
      <c r="F19272" s="5" t="str">
        <f>"Descripcion:ANTIVIRUS ESET ENDPOINT SECURITY (NOD32) Estado: Bueno Placa anterior: 000038029 Material:  Color:  Referencia:  Observacion:     Placa padre:  Tipo adquisicion : Entidad"</f>
        <v>Descripcion:ANTIVIRUS ESET ENDPOINT SECURITY (NOD32) Estado: Bueno Placa anterior: 000038029 Material:  Color:  Referencia:  Observacion:     Placa padre:  Tipo adquisicion : Entidad</v>
      </c>
      <c r="G19272" s="5"/>
    </row>
    <row r="19273" spans="1:7" ht="58.5" customHeight="1" x14ac:dyDescent="0.25">
      <c r="A19273" s="5" t="str">
        <f>"B0001325"</f>
        <v>B0001325</v>
      </c>
      <c r="B19273" s="5" t="str">
        <f t="shared" si="987"/>
        <v>ANTIVIRUS</v>
      </c>
      <c r="C19273" s="6">
        <v>63309.81</v>
      </c>
      <c r="D19273" s="5" t="s">
        <v>63</v>
      </c>
      <c r="E19273" s="5" t="str">
        <f t="shared" si="986"/>
        <v>SISTEMAS-GLOBALTRONIK SAS-SERGIO PATIÑO</v>
      </c>
      <c r="F19273" s="5" t="str">
        <f>"Descripcion:ANTIVIRUS ESET ENDPOINT SECURITY RENOVACIÓN (NOD32) Estado: Bueno Placa anterior: 000038455 Material:  Color:  Referencia:  Observacion:     Placa padre:  Tipo adquisicion : Entidad"</f>
        <v>Descripcion:ANTIVIRUS ESET ENDPOINT SECURITY RENOVACIÓN (NOD32) Estado: Bueno Placa anterior: 000038455 Material:  Color:  Referencia:  Observacion:     Placa padre:  Tipo adquisicion : Entidad</v>
      </c>
      <c r="G19273" s="5"/>
    </row>
    <row r="19274" spans="1:7" ht="58.5" customHeight="1" x14ac:dyDescent="0.25">
      <c r="A19274" s="5" t="str">
        <f>"B0001326"</f>
        <v>B0001326</v>
      </c>
      <c r="B19274" s="5" t="str">
        <f t="shared" si="987"/>
        <v>ANTIVIRUS</v>
      </c>
      <c r="C19274" s="6">
        <v>63309.81</v>
      </c>
      <c r="D19274" s="5" t="s">
        <v>63</v>
      </c>
      <c r="E19274" s="5" t="str">
        <f t="shared" si="986"/>
        <v>SISTEMAS-GLOBALTRONIK SAS-SERGIO PATIÑO</v>
      </c>
      <c r="F19274" s="5" t="str">
        <f>"Descripcion:ANTIVIRUS ESET ENDPOINT SECURITY RENOVACIÓN (NOD32) Estado: Bueno Placa anterior: 000038747 Material:  Color:  Referencia:  Observacion:     Placa padre:  Tipo adquisicion : Entidad"</f>
        <v>Descripcion:ANTIVIRUS ESET ENDPOINT SECURITY RENOVACIÓN (NOD32) Estado: Bueno Placa anterior: 000038747 Material:  Color:  Referencia:  Observacion:     Placa padre:  Tipo adquisicion : Entidad</v>
      </c>
      <c r="G19274" s="5"/>
    </row>
    <row r="19275" spans="1:7" ht="58.5" customHeight="1" x14ac:dyDescent="0.25">
      <c r="A19275" s="5" t="str">
        <f>"B0001327"</f>
        <v>B0001327</v>
      </c>
      <c r="B19275" s="5" t="str">
        <f t="shared" si="987"/>
        <v>ANTIVIRUS</v>
      </c>
      <c r="C19275" s="6">
        <v>63309.81</v>
      </c>
      <c r="D19275" s="5" t="s">
        <v>63</v>
      </c>
      <c r="E19275" s="5" t="str">
        <f t="shared" si="986"/>
        <v>SISTEMAS-GLOBALTRONIK SAS-SERGIO PATIÑO</v>
      </c>
      <c r="F19275" s="5" t="str">
        <f>"Descripcion:ANTIVIRUS ESET ENDPOINT SECURITY RENOVACIÓN (NOD32) Estado: Bueno Placa anterior: 000038551 Material:  Color:  Referencia:  Observacion:     Placa padre:  Tipo adquisicion : Entidad"</f>
        <v>Descripcion:ANTIVIRUS ESET ENDPOINT SECURITY RENOVACIÓN (NOD32) Estado: Bueno Placa anterior: 000038551 Material:  Color:  Referencia:  Observacion:     Placa padre:  Tipo adquisicion : Entidad</v>
      </c>
      <c r="G19275" s="5"/>
    </row>
    <row r="19276" spans="1:7" ht="58.5" customHeight="1" x14ac:dyDescent="0.25">
      <c r="A19276" s="5" t="str">
        <f>"B0001328"</f>
        <v>B0001328</v>
      </c>
      <c r="B19276" s="5" t="str">
        <f t="shared" si="987"/>
        <v>ANTIVIRUS</v>
      </c>
      <c r="C19276" s="6">
        <v>63309.81</v>
      </c>
      <c r="D19276" s="5" t="s">
        <v>63</v>
      </c>
      <c r="E19276" s="5" t="str">
        <f t="shared" si="986"/>
        <v>SISTEMAS-GLOBALTRONIK SAS-SERGIO PATIÑO</v>
      </c>
      <c r="F19276" s="5" t="str">
        <f>"Descripcion:ANTIVIRUS ESET ENDPOINT SECURITY RENOVACIÓN (NOD32) Estado: Bueno Placa anterior: 000038420 Material:  Color:  Referencia:  Observacion:     Placa padre:  Tipo adquisicion : Entidad"</f>
        <v>Descripcion:ANTIVIRUS ESET ENDPOINT SECURITY RENOVACIÓN (NOD32) Estado: Bueno Placa anterior: 000038420 Material:  Color:  Referencia:  Observacion:     Placa padre:  Tipo adquisicion : Entidad</v>
      </c>
      <c r="G19276" s="5"/>
    </row>
    <row r="19277" spans="1:7" ht="58.5" customHeight="1" x14ac:dyDescent="0.25">
      <c r="A19277" s="5" t="str">
        <f>"B0001329"</f>
        <v>B0001329</v>
      </c>
      <c r="B19277" s="5" t="str">
        <f t="shared" si="987"/>
        <v>ANTIVIRUS</v>
      </c>
      <c r="C19277" s="6">
        <v>63309.81</v>
      </c>
      <c r="D19277" s="5" t="s">
        <v>63</v>
      </c>
      <c r="E19277" s="5" t="str">
        <f t="shared" si="986"/>
        <v>SISTEMAS-GLOBALTRONIK SAS-SERGIO PATIÑO</v>
      </c>
      <c r="F19277" s="5" t="str">
        <f>"Descripcion:ANTIVIRUS ESET ENDPOINT SECURITY RENOVACIÓN (NOD32) Estado: Bueno Placa anterior: 000038350 Material:  Color:  Referencia:  Observacion:     Placa padre:  Tipo adquisicion : Entidad"</f>
        <v>Descripcion:ANTIVIRUS ESET ENDPOINT SECURITY RENOVACIÓN (NOD32) Estado: Bueno Placa anterior: 000038350 Material:  Color:  Referencia:  Observacion:     Placa padre:  Tipo adquisicion : Entidad</v>
      </c>
      <c r="G19277" s="5"/>
    </row>
    <row r="19278" spans="1:7" ht="58.5" customHeight="1" x14ac:dyDescent="0.25">
      <c r="A19278" s="5" t="str">
        <f>"B0001330"</f>
        <v>B0001330</v>
      </c>
      <c r="B19278" s="5" t="str">
        <f t="shared" si="987"/>
        <v>ANTIVIRUS</v>
      </c>
      <c r="C19278" s="6">
        <v>63309.81</v>
      </c>
      <c r="D19278" s="5" t="s">
        <v>63</v>
      </c>
      <c r="E19278" s="5" t="str">
        <f t="shared" si="986"/>
        <v>SISTEMAS-GLOBALTRONIK SAS-SERGIO PATIÑO</v>
      </c>
      <c r="F19278" s="5" t="str">
        <f>"Descripcion:ANTIVIRUS ESET ENDPOINT SECURITY RENOVACIÓN (NOD32) Estado: Bueno Placa anterior: 000038523 Material:  Color:  Referencia:  Observacion:     Placa padre:  Tipo adquisicion : Entidad"</f>
        <v>Descripcion:ANTIVIRUS ESET ENDPOINT SECURITY RENOVACIÓN (NOD32) Estado: Bueno Placa anterior: 000038523 Material:  Color:  Referencia:  Observacion:     Placa padre:  Tipo adquisicion : Entidad</v>
      </c>
      <c r="G19278" s="5"/>
    </row>
    <row r="19279" spans="1:7" ht="58.5" customHeight="1" x14ac:dyDescent="0.25">
      <c r="A19279" s="5" t="str">
        <f>"B0001331"</f>
        <v>B0001331</v>
      </c>
      <c r="B19279" s="5" t="str">
        <f t="shared" si="987"/>
        <v>ANTIVIRUS</v>
      </c>
      <c r="C19279" s="6">
        <v>129970</v>
      </c>
      <c r="D19279" s="5" t="s">
        <v>63</v>
      </c>
      <c r="E19279" s="5" t="str">
        <f t="shared" si="986"/>
        <v>SISTEMAS-GLOBALTRONIK SAS-SERGIO PATIÑO</v>
      </c>
      <c r="F19279" s="5" t="str">
        <f>"Descripcion:ANTIVIRUS ESET ENDPOINT SECURITY (NOD32) Estado: Bueno Placa anterior: 000038054 Material:  Color:  Referencia:  Observacion:     Placa padre:  Tipo adquisicion : Entidad"</f>
        <v>Descripcion:ANTIVIRUS ESET ENDPOINT SECURITY (NOD32) Estado: Bueno Placa anterior: 000038054 Material:  Color:  Referencia:  Observacion:     Placa padre:  Tipo adquisicion : Entidad</v>
      </c>
      <c r="G19279" s="5"/>
    </row>
    <row r="19280" spans="1:7" ht="58.5" customHeight="1" x14ac:dyDescent="0.25">
      <c r="A19280" s="5" t="str">
        <f>"B0001332"</f>
        <v>B0001332</v>
      </c>
      <c r="B19280" s="5" t="str">
        <f t="shared" si="987"/>
        <v>ANTIVIRUS</v>
      </c>
      <c r="C19280" s="6">
        <v>129970</v>
      </c>
      <c r="D19280" s="5" t="s">
        <v>63</v>
      </c>
      <c r="E19280" s="5" t="str">
        <f t="shared" si="986"/>
        <v>SISTEMAS-GLOBALTRONIK SAS-SERGIO PATIÑO</v>
      </c>
      <c r="F19280" s="5" t="str">
        <f>"Descripcion:ANTIVIRUS ESET ENDPOINT SECURITY (NOD32) Estado: Bueno Placa anterior: 000038059 Material:  Color:  Referencia:  Observacion:     Placa padre:  Tipo adquisicion : Entidad"</f>
        <v>Descripcion:ANTIVIRUS ESET ENDPOINT SECURITY (NOD32) Estado: Bueno Placa anterior: 000038059 Material:  Color:  Referencia:  Observacion:     Placa padre:  Tipo adquisicion : Entidad</v>
      </c>
      <c r="G19280" s="5"/>
    </row>
    <row r="19281" spans="1:7" ht="58.5" customHeight="1" x14ac:dyDescent="0.25">
      <c r="A19281" s="5" t="str">
        <f>"B0001333"</f>
        <v>B0001333</v>
      </c>
      <c r="B19281" s="5" t="str">
        <f t="shared" si="987"/>
        <v>ANTIVIRUS</v>
      </c>
      <c r="C19281" s="6">
        <v>63309.81</v>
      </c>
      <c r="D19281" s="5" t="s">
        <v>63</v>
      </c>
      <c r="E19281" s="5" t="str">
        <f t="shared" si="986"/>
        <v>SISTEMAS-GLOBALTRONIK SAS-SERGIO PATIÑO</v>
      </c>
      <c r="F19281" s="5" t="str">
        <f>"Descripcion:ANTIVIRUS ESET ENDPOINT SECURITY RENOVACIÓN (NOD32) Estado: Bueno Placa anterior: 000038385 Material:  Color:  Referencia:  Observacion:     Placa padre:  Tipo adquisicion : Entidad"</f>
        <v>Descripcion:ANTIVIRUS ESET ENDPOINT SECURITY RENOVACIÓN (NOD32) Estado: Bueno Placa anterior: 000038385 Material:  Color:  Referencia:  Observacion:     Placa padre:  Tipo adquisicion : Entidad</v>
      </c>
      <c r="G19281" s="5"/>
    </row>
    <row r="19282" spans="1:7" ht="58.5" customHeight="1" x14ac:dyDescent="0.25">
      <c r="A19282" s="5" t="str">
        <f>"B0001334"</f>
        <v>B0001334</v>
      </c>
      <c r="B19282" s="5" t="str">
        <f t="shared" si="987"/>
        <v>ANTIVIRUS</v>
      </c>
      <c r="C19282" s="6">
        <v>63309.81</v>
      </c>
      <c r="D19282" s="5" t="s">
        <v>63</v>
      </c>
      <c r="E19282" s="5" t="str">
        <f t="shared" si="986"/>
        <v>SISTEMAS-GLOBALTRONIK SAS-SERGIO PATIÑO</v>
      </c>
      <c r="F19282" s="5" t="str">
        <f>"Descripcion:ANTIVIRUS ESET ENDPOINT SECURITY RENOVACIÓN (NOD32) Estado: Bueno Placa anterior: 000038663 Material:  Color:  Referencia:  Observacion:     Placa padre:  Tipo adquisicion : Entidad"</f>
        <v>Descripcion:ANTIVIRUS ESET ENDPOINT SECURITY RENOVACIÓN (NOD32) Estado: Bueno Placa anterior: 000038663 Material:  Color:  Referencia:  Observacion:     Placa padre:  Tipo adquisicion : Entidad</v>
      </c>
      <c r="G19282" s="5"/>
    </row>
    <row r="19283" spans="1:7" ht="58.5" customHeight="1" x14ac:dyDescent="0.25">
      <c r="A19283" s="5" t="str">
        <f>"B0001335"</f>
        <v>B0001335</v>
      </c>
      <c r="B19283" s="5" t="str">
        <f t="shared" si="987"/>
        <v>ANTIVIRUS</v>
      </c>
      <c r="C19283" s="6">
        <v>63309.81</v>
      </c>
      <c r="D19283" s="5" t="s">
        <v>63</v>
      </c>
      <c r="E19283" s="5" t="str">
        <f t="shared" si="986"/>
        <v>SISTEMAS-GLOBALTRONIK SAS-SERGIO PATIÑO</v>
      </c>
      <c r="F19283" s="5" t="str">
        <f>"Descripcion:ANTIVIRUS ESET ENDPOINT SECURITY RENOVACIÓN (NOD32) Estado: Bueno Placa anterior: 000038392 Material:  Color:  Referencia:  Observacion:     Placa padre:  Tipo adquisicion : Entidad"</f>
        <v>Descripcion:ANTIVIRUS ESET ENDPOINT SECURITY RENOVACIÓN (NOD32) Estado: Bueno Placa anterior: 000038392 Material:  Color:  Referencia:  Observacion:     Placa padre:  Tipo adquisicion : Entidad</v>
      </c>
      <c r="G19283" s="5"/>
    </row>
    <row r="19284" spans="1:7" ht="58.5" customHeight="1" x14ac:dyDescent="0.25">
      <c r="A19284" s="5" t="str">
        <f>"B0001336"</f>
        <v>B0001336</v>
      </c>
      <c r="B19284" s="5" t="str">
        <f t="shared" si="987"/>
        <v>ANTIVIRUS</v>
      </c>
      <c r="C19284" s="6">
        <v>63309.81</v>
      </c>
      <c r="D19284" s="5" t="s">
        <v>63</v>
      </c>
      <c r="E19284" s="5" t="str">
        <f t="shared" si="986"/>
        <v>SISTEMAS-GLOBALTRONIK SAS-SERGIO PATIÑO</v>
      </c>
      <c r="F19284" s="5" t="str">
        <f>"Descripcion:ANTIVIRUS ESET ENDPOINT SECURITY RENOVACIÓN (NOD32) Estado: Bueno Placa anterior: 000038658 Material:  Color:  Referencia:  Observacion:     Placa padre:  Tipo adquisicion : Entidad"</f>
        <v>Descripcion:ANTIVIRUS ESET ENDPOINT SECURITY RENOVACIÓN (NOD32) Estado: Bueno Placa anterior: 000038658 Material:  Color:  Referencia:  Observacion:     Placa padre:  Tipo adquisicion : Entidad</v>
      </c>
      <c r="G19284" s="5"/>
    </row>
    <row r="19285" spans="1:7" ht="58.5" customHeight="1" x14ac:dyDescent="0.25">
      <c r="A19285" s="5" t="str">
        <f>"B0001337"</f>
        <v>B0001337</v>
      </c>
      <c r="B19285" s="5" t="str">
        <f t="shared" si="987"/>
        <v>ANTIVIRUS</v>
      </c>
      <c r="C19285" s="6">
        <v>63309.81</v>
      </c>
      <c r="D19285" s="5" t="s">
        <v>63</v>
      </c>
      <c r="E19285" s="5" t="str">
        <f t="shared" si="986"/>
        <v>SISTEMAS-GLOBALTRONIK SAS-SERGIO PATIÑO</v>
      </c>
      <c r="F19285" s="5" t="str">
        <f>"Descripcion:ANTIVIRUS ESET ENDPOINT SECURITY RENOVACIÓN (NOD32) Estado: Bueno Placa anterior: 000038486 Material:  Color:  Referencia:  Observacion:     Placa padre:  Tipo adquisicion : Entidad"</f>
        <v>Descripcion:ANTIVIRUS ESET ENDPOINT SECURITY RENOVACIÓN (NOD32) Estado: Bueno Placa anterior: 000038486 Material:  Color:  Referencia:  Observacion:     Placa padre:  Tipo adquisicion : Entidad</v>
      </c>
      <c r="G19285" s="5"/>
    </row>
    <row r="19286" spans="1:7" ht="58.5" customHeight="1" x14ac:dyDescent="0.25">
      <c r="A19286" s="5" t="str">
        <f>"B0001338"</f>
        <v>B0001338</v>
      </c>
      <c r="B19286" s="5" t="str">
        <f t="shared" si="987"/>
        <v>ANTIVIRUS</v>
      </c>
      <c r="C19286" s="6">
        <v>63309.81</v>
      </c>
      <c r="D19286" s="5" t="s">
        <v>63</v>
      </c>
      <c r="E19286" s="5" t="str">
        <f t="shared" si="986"/>
        <v>SISTEMAS-GLOBALTRONIK SAS-SERGIO PATIÑO</v>
      </c>
      <c r="F19286" s="5" t="str">
        <f>"Descripcion:ANTIVIRUS ESET ENDPOINT SECURITY RENOVACIÓN (NOD32) Estado: Bueno Placa anterior: 000038591 Material:  Color:  Referencia:  Observacion:     Placa padre:  Tipo adquisicion : Entidad"</f>
        <v>Descripcion:ANTIVIRUS ESET ENDPOINT SECURITY RENOVACIÓN (NOD32) Estado: Bueno Placa anterior: 000038591 Material:  Color:  Referencia:  Observacion:     Placa padre:  Tipo adquisicion : Entidad</v>
      </c>
      <c r="G19286" s="5"/>
    </row>
    <row r="19287" spans="1:7" ht="58.5" customHeight="1" x14ac:dyDescent="0.25">
      <c r="A19287" s="5" t="str">
        <f>"B0001339"</f>
        <v>B0001339</v>
      </c>
      <c r="B19287" s="5" t="str">
        <f t="shared" si="987"/>
        <v>ANTIVIRUS</v>
      </c>
      <c r="C19287" s="6">
        <v>63309.81</v>
      </c>
      <c r="D19287" s="5" t="s">
        <v>63</v>
      </c>
      <c r="E19287" s="5" t="str">
        <f t="shared" si="986"/>
        <v>SISTEMAS-GLOBALTRONIK SAS-SERGIO PATIÑO</v>
      </c>
      <c r="F19287" s="5" t="str">
        <f>"Descripcion:ANTIVIRUS ESET ENDPOINT SECURITY RENOVACIÓN (NOD32) Estado: Bueno Placa anterior: 000038675 Material:  Color:  Referencia:  Observacion:     Placa padre:  Tipo adquisicion : Entidad"</f>
        <v>Descripcion:ANTIVIRUS ESET ENDPOINT SECURITY RENOVACIÓN (NOD32) Estado: Bueno Placa anterior: 000038675 Material:  Color:  Referencia:  Observacion:     Placa padre:  Tipo adquisicion : Entidad</v>
      </c>
      <c r="G19287" s="5"/>
    </row>
    <row r="19288" spans="1:7" ht="58.5" customHeight="1" x14ac:dyDescent="0.25">
      <c r="A19288" s="5" t="str">
        <f>"B0001340"</f>
        <v>B0001340</v>
      </c>
      <c r="B19288" s="5" t="str">
        <f t="shared" si="987"/>
        <v>ANTIVIRUS</v>
      </c>
      <c r="C19288" s="6">
        <v>63309.81</v>
      </c>
      <c r="D19288" s="5" t="s">
        <v>63</v>
      </c>
      <c r="E19288" s="5" t="str">
        <f t="shared" si="986"/>
        <v>SISTEMAS-GLOBALTRONIK SAS-SERGIO PATIÑO</v>
      </c>
      <c r="F19288" s="5" t="str">
        <f>"Descripcion:ANTIVIRUS ESET ENDPOINT SECURITY RENOVACIÓN (NOD32) Estado: Bueno Placa anterior: 000038450 Material:  Color:  Referencia:  Observacion:     Placa padre:  Tipo adquisicion : Entidad"</f>
        <v>Descripcion:ANTIVIRUS ESET ENDPOINT SECURITY RENOVACIÓN (NOD32) Estado: Bueno Placa anterior: 000038450 Material:  Color:  Referencia:  Observacion:     Placa padre:  Tipo adquisicion : Entidad</v>
      </c>
      <c r="G19288" s="5"/>
    </row>
    <row r="19289" spans="1:7" ht="58.5" customHeight="1" x14ac:dyDescent="0.25">
      <c r="A19289" s="5" t="str">
        <f>"B0001341"</f>
        <v>B0001341</v>
      </c>
      <c r="B19289" s="5" t="str">
        <f t="shared" si="987"/>
        <v>ANTIVIRUS</v>
      </c>
      <c r="C19289" s="6">
        <v>63309.81</v>
      </c>
      <c r="D19289" s="5" t="s">
        <v>63</v>
      </c>
      <c r="E19289" s="5" t="str">
        <f t="shared" si="986"/>
        <v>SISTEMAS-GLOBALTRONIK SAS-SERGIO PATIÑO</v>
      </c>
      <c r="F19289" s="5" t="str">
        <f>"Descripcion:ANTIVIRUS ESET ENDPOINT SECURITY RENOVACIÓN (NOD32) Estado: Bueno Placa anterior: 000038497 Material:  Color:  Referencia:  Observacion:     Placa padre:  Tipo adquisicion : Entidad"</f>
        <v>Descripcion:ANTIVIRUS ESET ENDPOINT SECURITY RENOVACIÓN (NOD32) Estado: Bueno Placa anterior: 000038497 Material:  Color:  Referencia:  Observacion:     Placa padre:  Tipo adquisicion : Entidad</v>
      </c>
      <c r="G19289" s="5"/>
    </row>
    <row r="19290" spans="1:7" ht="58.5" customHeight="1" x14ac:dyDescent="0.25">
      <c r="A19290" s="5" t="str">
        <f>"B0001342"</f>
        <v>B0001342</v>
      </c>
      <c r="B19290" s="5" t="str">
        <f t="shared" si="987"/>
        <v>ANTIVIRUS</v>
      </c>
      <c r="C19290" s="6">
        <v>63309.81</v>
      </c>
      <c r="D19290" s="5" t="s">
        <v>63</v>
      </c>
      <c r="E19290" s="5" t="str">
        <f t="shared" si="986"/>
        <v>SISTEMAS-GLOBALTRONIK SAS-SERGIO PATIÑO</v>
      </c>
      <c r="F19290" s="5" t="str">
        <f>"Descripcion:ANTIVIRUS ESET ENDPOINT SECURITY RENOVACIÓN (NOD32) Estado: Bueno Placa anterior: 000038415 Material:  Color:  Referencia:  Observacion:     Placa padre:  Tipo adquisicion : Entidad"</f>
        <v>Descripcion:ANTIVIRUS ESET ENDPOINT SECURITY RENOVACIÓN (NOD32) Estado: Bueno Placa anterior: 000038415 Material:  Color:  Referencia:  Observacion:     Placa padre:  Tipo adquisicion : Entidad</v>
      </c>
      <c r="G19290" s="5"/>
    </row>
    <row r="19291" spans="1:7" ht="58.5" customHeight="1" x14ac:dyDescent="0.25">
      <c r="A19291" s="5" t="str">
        <f>"B0001343"</f>
        <v>B0001343</v>
      </c>
      <c r="B19291" s="5" t="str">
        <f t="shared" si="987"/>
        <v>ANTIVIRUS</v>
      </c>
      <c r="C19291" s="6">
        <v>129970</v>
      </c>
      <c r="D19291" s="5" t="s">
        <v>63</v>
      </c>
      <c r="E19291" s="5" t="str">
        <f t="shared" si="986"/>
        <v>SISTEMAS-GLOBALTRONIK SAS-SERGIO PATIÑO</v>
      </c>
      <c r="F19291" s="5" t="str">
        <f>"Descripcion:ANTIVIRUS ESET ENDPOINT SECURITY (NOD32) Estado: Bueno Placa anterior: 000038089 Material:  Color:  Referencia:  Observacion:     Placa padre:  Tipo adquisicion : Entidad"</f>
        <v>Descripcion:ANTIVIRUS ESET ENDPOINT SECURITY (NOD32) Estado: Bueno Placa anterior: 000038089 Material:  Color:  Referencia:  Observacion:     Placa padre:  Tipo adquisicion : Entidad</v>
      </c>
      <c r="G19291" s="5"/>
    </row>
    <row r="19292" spans="1:7" ht="58.5" customHeight="1" x14ac:dyDescent="0.25">
      <c r="A19292" s="5" t="str">
        <f>"B0001344"</f>
        <v>B0001344</v>
      </c>
      <c r="B19292" s="5" t="str">
        <f t="shared" si="987"/>
        <v>ANTIVIRUS</v>
      </c>
      <c r="C19292" s="6">
        <v>63309.81</v>
      </c>
      <c r="D19292" s="5" t="s">
        <v>63</v>
      </c>
      <c r="E19292" s="5" t="str">
        <f t="shared" si="986"/>
        <v>SISTEMAS-GLOBALTRONIK SAS-SERGIO PATIÑO</v>
      </c>
      <c r="F19292" s="5" t="str">
        <f>"Descripcion:ANTIVIRUS ESET ENDPOINT SECURITY RENOVACIÓN (NOD32) Estado: Bueno Placa anterior: 000038720 Material:  Color:  Referencia:  Observacion:     Placa padre:  Tipo adquisicion : Entidad"</f>
        <v>Descripcion:ANTIVIRUS ESET ENDPOINT SECURITY RENOVACIÓN (NOD32) Estado: Bueno Placa anterior: 000038720 Material:  Color:  Referencia:  Observacion:     Placa padre:  Tipo adquisicion : Entidad</v>
      </c>
      <c r="G19292" s="5"/>
    </row>
    <row r="19293" spans="1:7" ht="58.5" customHeight="1" x14ac:dyDescent="0.25">
      <c r="A19293" s="5" t="str">
        <f>"B0001345"</f>
        <v>B0001345</v>
      </c>
      <c r="B19293" s="5" t="str">
        <f t="shared" si="987"/>
        <v>ANTIVIRUS</v>
      </c>
      <c r="C19293" s="6">
        <v>63309.81</v>
      </c>
      <c r="D19293" s="5" t="s">
        <v>63</v>
      </c>
      <c r="E19293" s="5" t="str">
        <f t="shared" si="986"/>
        <v>SISTEMAS-GLOBALTRONIK SAS-SERGIO PATIÑO</v>
      </c>
      <c r="F19293" s="5" t="str">
        <f>"Descripcion:ANTIVIRUS ESET ENDPOINT SECURITY RENOVACIÓN (NOD32) Estado: Bueno Placa anterior: 000038525 Material:  Color:  Referencia:  Observacion:     Placa padre:  Tipo adquisicion : Entidad"</f>
        <v>Descripcion:ANTIVIRUS ESET ENDPOINT SECURITY RENOVACIÓN (NOD32) Estado: Bueno Placa anterior: 000038525 Material:  Color:  Referencia:  Observacion:     Placa padre:  Tipo adquisicion : Entidad</v>
      </c>
      <c r="G19293" s="5"/>
    </row>
    <row r="19294" spans="1:7" ht="58.5" customHeight="1" x14ac:dyDescent="0.25">
      <c r="A19294" s="5" t="str">
        <f>"B0001346"</f>
        <v>B0001346</v>
      </c>
      <c r="B19294" s="5" t="str">
        <f t="shared" si="987"/>
        <v>ANTIVIRUS</v>
      </c>
      <c r="C19294" s="6">
        <v>63309.81</v>
      </c>
      <c r="D19294" s="5" t="s">
        <v>63</v>
      </c>
      <c r="E19294" s="5" t="str">
        <f t="shared" si="986"/>
        <v>SISTEMAS-GLOBALTRONIK SAS-SERGIO PATIÑO</v>
      </c>
      <c r="F19294" s="5" t="str">
        <f>"Descripcion:ANTIVIRUS ESET ENDPOINT SECURITY RENOVACIÓN (NOD32) Estado: Bueno Placa anterior: 000038538 Material:  Color:  Referencia:  Observacion:     Placa padre:  Tipo adquisicion : Entidad"</f>
        <v>Descripcion:ANTIVIRUS ESET ENDPOINT SECURITY RENOVACIÓN (NOD32) Estado: Bueno Placa anterior: 000038538 Material:  Color:  Referencia:  Observacion:     Placa padre:  Tipo adquisicion : Entidad</v>
      </c>
      <c r="G19294" s="5"/>
    </row>
    <row r="19295" spans="1:7" ht="58.5" customHeight="1" x14ac:dyDescent="0.25">
      <c r="A19295" s="5" t="str">
        <f>"B0001347"</f>
        <v>B0001347</v>
      </c>
      <c r="B19295" s="5" t="str">
        <f t="shared" si="987"/>
        <v>ANTIVIRUS</v>
      </c>
      <c r="C19295" s="6">
        <v>63309.81</v>
      </c>
      <c r="D19295" s="5" t="s">
        <v>63</v>
      </c>
      <c r="E19295" s="5" t="str">
        <f t="shared" si="986"/>
        <v>SISTEMAS-GLOBALTRONIK SAS-SERGIO PATIÑO</v>
      </c>
      <c r="F19295" s="5" t="str">
        <f>"Descripcion:ANTIVIRUS ESET ENDPOINT SECURITY RENOVACIÓN (NOD32) Estado: Bueno Placa anterior: 000038738 Material:  Color:  Referencia:  Observacion:     Placa padre:  Tipo adquisicion : Entidad"</f>
        <v>Descripcion:ANTIVIRUS ESET ENDPOINT SECURITY RENOVACIÓN (NOD32) Estado: Bueno Placa anterior: 000038738 Material:  Color:  Referencia:  Observacion:     Placa padre:  Tipo adquisicion : Entidad</v>
      </c>
      <c r="G19295" s="5"/>
    </row>
    <row r="19296" spans="1:7" ht="58.5" customHeight="1" x14ac:dyDescent="0.25">
      <c r="A19296" s="5" t="str">
        <f>"B0001348"</f>
        <v>B0001348</v>
      </c>
      <c r="B19296" s="5" t="str">
        <f t="shared" si="987"/>
        <v>ANTIVIRUS</v>
      </c>
      <c r="C19296" s="6">
        <v>63309.81</v>
      </c>
      <c r="D19296" s="5" t="s">
        <v>63</v>
      </c>
      <c r="E19296" s="5" t="str">
        <f t="shared" si="986"/>
        <v>SISTEMAS-GLOBALTRONIK SAS-SERGIO PATIÑO</v>
      </c>
      <c r="F19296" s="5" t="str">
        <f>"Descripcion:ANTIVIRUS ESET ENDPOINT SECURITY RENOVACIÓN (NOD32) Estado: Bueno Placa anterior: 000038715 Material:  Color:  Referencia:  Observacion:     Placa padre:  Tipo adquisicion : Entidad"</f>
        <v>Descripcion:ANTIVIRUS ESET ENDPOINT SECURITY RENOVACIÓN (NOD32) Estado: Bueno Placa anterior: 000038715 Material:  Color:  Referencia:  Observacion:     Placa padre:  Tipo adquisicion : Entidad</v>
      </c>
      <c r="G19296" s="5"/>
    </row>
    <row r="19297" spans="1:7" ht="58.5" customHeight="1" x14ac:dyDescent="0.25">
      <c r="A19297" s="5" t="str">
        <f>"B0001349"</f>
        <v>B0001349</v>
      </c>
      <c r="B19297" s="5" t="str">
        <f t="shared" si="987"/>
        <v>ANTIVIRUS</v>
      </c>
      <c r="C19297" s="6">
        <v>63309.81</v>
      </c>
      <c r="D19297" s="5" t="s">
        <v>63</v>
      </c>
      <c r="E19297" s="5" t="str">
        <f t="shared" si="986"/>
        <v>SISTEMAS-GLOBALTRONIK SAS-SERGIO PATIÑO</v>
      </c>
      <c r="F19297" s="5" t="str">
        <f>"Descripcion:ANTIVIRUS ESET ENDPOINT SECURITY RENOVACIÓN (NOD32) Estado: Bueno Placa anterior: 000038469 Material:  Color:  Referencia:  Observacion:     Placa padre:  Tipo adquisicion : Entidad"</f>
        <v>Descripcion:ANTIVIRUS ESET ENDPOINT SECURITY RENOVACIÓN (NOD32) Estado: Bueno Placa anterior: 000038469 Material:  Color:  Referencia:  Observacion:     Placa padre:  Tipo adquisicion : Entidad</v>
      </c>
      <c r="G19297" s="5"/>
    </row>
    <row r="19298" spans="1:7" ht="58.5" customHeight="1" x14ac:dyDescent="0.25">
      <c r="A19298" s="5" t="str">
        <f>"B0001350"</f>
        <v>B0001350</v>
      </c>
      <c r="B19298" s="5" t="str">
        <f t="shared" si="987"/>
        <v>ANTIVIRUS</v>
      </c>
      <c r="C19298" s="6">
        <v>63309.81</v>
      </c>
      <c r="D19298" s="5" t="s">
        <v>63</v>
      </c>
      <c r="E19298" s="5" t="str">
        <f t="shared" si="986"/>
        <v>SISTEMAS-GLOBALTRONIK SAS-SERGIO PATIÑO</v>
      </c>
      <c r="F19298" s="5" t="str">
        <f>"Descripcion:ANTIVIRUS ESET ENDPOINT SECURITY RENOVACIÓN (NOD32) Estado: Bueno Placa anterior: 000038495 Material:  Color:  Referencia:  Observacion:     Placa padre:  Tipo adquisicion : Entidad"</f>
        <v>Descripcion:ANTIVIRUS ESET ENDPOINT SECURITY RENOVACIÓN (NOD32) Estado: Bueno Placa anterior: 000038495 Material:  Color:  Referencia:  Observacion:     Placa padre:  Tipo adquisicion : Entidad</v>
      </c>
      <c r="G19298" s="5"/>
    </row>
    <row r="19299" spans="1:7" ht="58.5" customHeight="1" x14ac:dyDescent="0.25">
      <c r="A19299" s="5" t="str">
        <f>"B0001351"</f>
        <v>B0001351</v>
      </c>
      <c r="B19299" s="5" t="str">
        <f t="shared" si="987"/>
        <v>ANTIVIRUS</v>
      </c>
      <c r="C19299" s="6">
        <v>63309.81</v>
      </c>
      <c r="D19299" s="5" t="s">
        <v>63</v>
      </c>
      <c r="E19299" s="5" t="str">
        <f t="shared" si="986"/>
        <v>SISTEMAS-GLOBALTRONIK SAS-SERGIO PATIÑO</v>
      </c>
      <c r="F19299" s="5" t="str">
        <f>"Descripcion:ANTIVIRUS ESET ENDPOINT SECURITY RENOVACIÓN (NOD32) Estado: Bueno Placa anterior: 000038329 Material:  Color:  Referencia:  Observacion:     Placa padre:  Tipo adquisicion : Entidad"</f>
        <v>Descripcion:ANTIVIRUS ESET ENDPOINT SECURITY RENOVACIÓN (NOD32) Estado: Bueno Placa anterior: 000038329 Material:  Color:  Referencia:  Observacion:     Placa padre:  Tipo adquisicion : Entidad</v>
      </c>
      <c r="G19299" s="5"/>
    </row>
    <row r="19300" spans="1:7" ht="58.5" customHeight="1" x14ac:dyDescent="0.25">
      <c r="A19300" s="5" t="str">
        <f>"B0001352"</f>
        <v>B0001352</v>
      </c>
      <c r="B19300" s="5" t="str">
        <f t="shared" si="987"/>
        <v>ANTIVIRUS</v>
      </c>
      <c r="C19300" s="6">
        <v>63309.81</v>
      </c>
      <c r="D19300" s="5" t="s">
        <v>63</v>
      </c>
      <c r="E19300" s="5" t="str">
        <f t="shared" si="986"/>
        <v>SISTEMAS-GLOBALTRONIK SAS-SERGIO PATIÑO</v>
      </c>
      <c r="F19300" s="5" t="str">
        <f>"Descripcion:ANTIVIRUS ESET ENDPOINT SECURITY RENOVACIÓN (NOD32) Estado: Bueno Placa anterior: 000038536 Material:  Color:  Referencia:  Observacion:     Placa padre:  Tipo adquisicion : Entidad"</f>
        <v>Descripcion:ANTIVIRUS ESET ENDPOINT SECURITY RENOVACIÓN (NOD32) Estado: Bueno Placa anterior: 000038536 Material:  Color:  Referencia:  Observacion:     Placa padre:  Tipo adquisicion : Entidad</v>
      </c>
      <c r="G19300" s="5"/>
    </row>
    <row r="19301" spans="1:7" ht="58.5" customHeight="1" x14ac:dyDescent="0.25">
      <c r="A19301" s="5" t="str">
        <f>"B0001353"</f>
        <v>B0001353</v>
      </c>
      <c r="B19301" s="5" t="str">
        <f t="shared" si="987"/>
        <v>ANTIVIRUS</v>
      </c>
      <c r="C19301" s="6">
        <v>129970</v>
      </c>
      <c r="D19301" s="5" t="s">
        <v>63</v>
      </c>
      <c r="E19301" s="5" t="str">
        <f t="shared" si="986"/>
        <v>SISTEMAS-GLOBALTRONIK SAS-SERGIO PATIÑO</v>
      </c>
      <c r="F19301" s="5" t="str">
        <f>"Descripcion:ANTIVIRUS ESET ENDPOINT SECURITY (NOD32) Estado: Bueno Placa anterior: 000038040 Material:  Color:  Referencia:  Observacion:     Placa padre:  Tipo adquisicion : Entidad"</f>
        <v>Descripcion:ANTIVIRUS ESET ENDPOINT SECURITY (NOD32) Estado: Bueno Placa anterior: 000038040 Material:  Color:  Referencia:  Observacion:     Placa padre:  Tipo adquisicion : Entidad</v>
      </c>
      <c r="G19301" s="5"/>
    </row>
    <row r="19302" spans="1:7" ht="58.5" customHeight="1" x14ac:dyDescent="0.25">
      <c r="A19302" s="5" t="str">
        <f>"B0001354"</f>
        <v>B0001354</v>
      </c>
      <c r="B19302" s="5" t="str">
        <f t="shared" si="987"/>
        <v>ANTIVIRUS</v>
      </c>
      <c r="C19302" s="6">
        <v>129970</v>
      </c>
      <c r="D19302" s="5" t="s">
        <v>63</v>
      </c>
      <c r="E19302" s="5" t="str">
        <f t="shared" si="986"/>
        <v>SISTEMAS-GLOBALTRONIK SAS-SERGIO PATIÑO</v>
      </c>
      <c r="F19302" s="5" t="str">
        <f>"Descripcion:ANTIVIRUS ESET ENDPOINT SECURITY (NOD32) Estado: Bueno Placa anterior: 000038031 Material:  Color:  Referencia:  Observacion:     Placa padre:  Tipo adquisicion : Entidad"</f>
        <v>Descripcion:ANTIVIRUS ESET ENDPOINT SECURITY (NOD32) Estado: Bueno Placa anterior: 000038031 Material:  Color:  Referencia:  Observacion:     Placa padre:  Tipo adquisicion : Entidad</v>
      </c>
      <c r="G19302" s="5"/>
    </row>
    <row r="19303" spans="1:7" ht="58.5" customHeight="1" x14ac:dyDescent="0.25">
      <c r="A19303" s="5" t="str">
        <f>"B0001355"</f>
        <v>B0001355</v>
      </c>
      <c r="B19303" s="5" t="str">
        <f t="shared" si="987"/>
        <v>ANTIVIRUS</v>
      </c>
      <c r="C19303" s="6">
        <v>63309.81</v>
      </c>
      <c r="D19303" s="5" t="s">
        <v>63</v>
      </c>
      <c r="E19303" s="5" t="str">
        <f t="shared" si="986"/>
        <v>SISTEMAS-GLOBALTRONIK SAS-SERGIO PATIÑO</v>
      </c>
      <c r="F19303" s="5" t="str">
        <f>"Descripcion:ANTIVIRUS ESET ENDPOINT SECURITY RENOVACIÓN (NOD32) Estado: Bueno Placa anterior: 000038728 Material:  Color:  Referencia:  Observacion:     Placa padre:  Tipo adquisicion : Entidad"</f>
        <v>Descripcion:ANTIVIRUS ESET ENDPOINT SECURITY RENOVACIÓN (NOD32) Estado: Bueno Placa anterior: 000038728 Material:  Color:  Referencia:  Observacion:     Placa padre:  Tipo adquisicion : Entidad</v>
      </c>
      <c r="G19303" s="5"/>
    </row>
    <row r="19304" spans="1:7" ht="58.5" customHeight="1" x14ac:dyDescent="0.25">
      <c r="A19304" s="5" t="str">
        <f>"B0001356"</f>
        <v>B0001356</v>
      </c>
      <c r="B19304" s="5" t="str">
        <f t="shared" si="987"/>
        <v>ANTIVIRUS</v>
      </c>
      <c r="C19304" s="6">
        <v>63309.81</v>
      </c>
      <c r="D19304" s="5" t="s">
        <v>63</v>
      </c>
      <c r="E19304" s="5" t="str">
        <f t="shared" si="986"/>
        <v>SISTEMAS-GLOBALTRONIK SAS-SERGIO PATIÑO</v>
      </c>
      <c r="F19304" s="5" t="str">
        <f>"Descripcion:ANTIVIRUS ESET ENDPOINT SECURITY RENOVACIÓN (NOD32) Estado: Bueno Placa anterior: 000038324 Material:  Color:  Referencia:  Observacion:     Placa padre:  Tipo adquisicion : Entidad"</f>
        <v>Descripcion:ANTIVIRUS ESET ENDPOINT SECURITY RENOVACIÓN (NOD32) Estado: Bueno Placa anterior: 000038324 Material:  Color:  Referencia:  Observacion:     Placa padre:  Tipo adquisicion : Entidad</v>
      </c>
      <c r="G19304" s="5"/>
    </row>
    <row r="19305" spans="1:7" ht="58.5" customHeight="1" x14ac:dyDescent="0.25">
      <c r="A19305" s="5" t="str">
        <f>"B0001357"</f>
        <v>B0001357</v>
      </c>
      <c r="B19305" s="5" t="str">
        <f t="shared" si="987"/>
        <v>ANTIVIRUS</v>
      </c>
      <c r="C19305" s="6">
        <v>129970</v>
      </c>
      <c r="D19305" s="5" t="s">
        <v>63</v>
      </c>
      <c r="E19305" s="5" t="str">
        <f t="shared" si="986"/>
        <v>SISTEMAS-GLOBALTRONIK SAS-SERGIO PATIÑO</v>
      </c>
      <c r="F19305" s="5" t="str">
        <f>"Descripcion:ANTIVIRUS ESET ENDPOINT SECURITY (NOD32) Estado: Bueno Placa anterior: 000038138 Material:  Color:  Referencia:  Observacion:     Placa padre:  Tipo adquisicion : Entidad"</f>
        <v>Descripcion:ANTIVIRUS ESET ENDPOINT SECURITY (NOD32) Estado: Bueno Placa anterior: 000038138 Material:  Color:  Referencia:  Observacion:     Placa padre:  Tipo adquisicion : Entidad</v>
      </c>
      <c r="G19305" s="5"/>
    </row>
    <row r="19306" spans="1:7" ht="58.5" customHeight="1" x14ac:dyDescent="0.25">
      <c r="A19306" s="5" t="str">
        <f>"B0001358"</f>
        <v>B0001358</v>
      </c>
      <c r="B19306" s="5" t="str">
        <f t="shared" si="987"/>
        <v>ANTIVIRUS</v>
      </c>
      <c r="C19306" s="6">
        <v>63309.81</v>
      </c>
      <c r="D19306" s="5" t="s">
        <v>63</v>
      </c>
      <c r="E19306" s="5" t="str">
        <f t="shared" si="986"/>
        <v>SISTEMAS-GLOBALTRONIK SAS-SERGIO PATIÑO</v>
      </c>
      <c r="F19306" s="5" t="str">
        <f>"Descripcion:ANTIVIRUS ESET ENDPOINT SECURITY RENOVACIÓN (NOD32) Estado: Bueno Placa anterior: 000038376 Material:  Color:  Referencia:  Observacion:     Placa padre:  Tipo adquisicion : Entidad"</f>
        <v>Descripcion:ANTIVIRUS ESET ENDPOINT SECURITY RENOVACIÓN (NOD32) Estado: Bueno Placa anterior: 000038376 Material:  Color:  Referencia:  Observacion:     Placa padre:  Tipo adquisicion : Entidad</v>
      </c>
      <c r="G19306" s="5"/>
    </row>
    <row r="19307" spans="1:7" ht="58.5" customHeight="1" x14ac:dyDescent="0.25">
      <c r="A19307" s="5" t="str">
        <f>"B0001359"</f>
        <v>B0001359</v>
      </c>
      <c r="B19307" s="5" t="str">
        <f t="shared" si="987"/>
        <v>ANTIVIRUS</v>
      </c>
      <c r="C19307" s="6">
        <v>63309.81</v>
      </c>
      <c r="D19307" s="5" t="s">
        <v>63</v>
      </c>
      <c r="E19307" s="5" t="str">
        <f t="shared" si="986"/>
        <v>SISTEMAS-GLOBALTRONIK SAS-SERGIO PATIÑO</v>
      </c>
      <c r="F19307" s="5" t="str">
        <f>"Descripcion:ANTIVIRUS ESET ENDPOINT SECURITY RENOVACIÓN (NOD32) Estado: Bueno Placa anterior: 000038641 Material:  Color:  Referencia:  Observacion:     Placa padre:  Tipo adquisicion : Entidad"</f>
        <v>Descripcion:ANTIVIRUS ESET ENDPOINT SECURITY RENOVACIÓN (NOD32) Estado: Bueno Placa anterior: 000038641 Material:  Color:  Referencia:  Observacion:     Placa padre:  Tipo adquisicion : Entidad</v>
      </c>
      <c r="G19307" s="5"/>
    </row>
    <row r="19308" spans="1:7" ht="58.5" customHeight="1" x14ac:dyDescent="0.25">
      <c r="A19308" s="5" t="str">
        <f>"B0001360"</f>
        <v>B0001360</v>
      </c>
      <c r="B19308" s="5" t="str">
        <f t="shared" si="987"/>
        <v>ANTIVIRUS</v>
      </c>
      <c r="C19308" s="6">
        <v>129970</v>
      </c>
      <c r="D19308" s="5" t="s">
        <v>63</v>
      </c>
      <c r="E19308" s="5" t="str">
        <f t="shared" si="986"/>
        <v>SISTEMAS-GLOBALTRONIK SAS-SERGIO PATIÑO</v>
      </c>
      <c r="F19308" s="5" t="str">
        <f>"Descripcion:ANTIVIRUS ESET ENDPOINT SECURITY (NOD32) Estado: Bueno Placa anterior: 000038106 Material:  Color:  Referencia:  Observacion:     Placa padre:  Tipo adquisicion : Entidad"</f>
        <v>Descripcion:ANTIVIRUS ESET ENDPOINT SECURITY (NOD32) Estado: Bueno Placa anterior: 000038106 Material:  Color:  Referencia:  Observacion:     Placa padre:  Tipo adquisicion : Entidad</v>
      </c>
      <c r="G19308" s="5"/>
    </row>
    <row r="19309" spans="1:7" ht="58.5" customHeight="1" x14ac:dyDescent="0.25">
      <c r="A19309" s="5" t="str">
        <f>"B0001361"</f>
        <v>B0001361</v>
      </c>
      <c r="B19309" s="5" t="str">
        <f t="shared" si="987"/>
        <v>ANTIVIRUS</v>
      </c>
      <c r="C19309" s="6">
        <v>63309.81</v>
      </c>
      <c r="D19309" s="5" t="s">
        <v>63</v>
      </c>
      <c r="E19309" s="5" t="str">
        <f t="shared" si="986"/>
        <v>SISTEMAS-GLOBALTRONIK SAS-SERGIO PATIÑO</v>
      </c>
      <c r="F19309" s="5" t="str">
        <f>"Descripcion:ANTIVIRUS ESET ENDPOINT SECURITY RENOVACIÓN (NOD32) Estado: Bueno Placa anterior: 000038514 Material:  Color:  Referencia:  Observacion:     Placa padre:  Tipo adquisicion : Entidad"</f>
        <v>Descripcion:ANTIVIRUS ESET ENDPOINT SECURITY RENOVACIÓN (NOD32) Estado: Bueno Placa anterior: 000038514 Material:  Color:  Referencia:  Observacion:     Placa padre:  Tipo adquisicion : Entidad</v>
      </c>
      <c r="G19309" s="5"/>
    </row>
    <row r="19310" spans="1:7" ht="58.5" customHeight="1" x14ac:dyDescent="0.25">
      <c r="A19310" s="5" t="str">
        <f>"B0001362"</f>
        <v>B0001362</v>
      </c>
      <c r="B19310" s="5" t="str">
        <f t="shared" si="987"/>
        <v>ANTIVIRUS</v>
      </c>
      <c r="C19310" s="6">
        <v>63309.81</v>
      </c>
      <c r="D19310" s="5" t="s">
        <v>63</v>
      </c>
      <c r="E19310" s="5" t="str">
        <f t="shared" si="986"/>
        <v>SISTEMAS-GLOBALTRONIK SAS-SERGIO PATIÑO</v>
      </c>
      <c r="F19310" s="5" t="str">
        <f>"Descripcion:ANTIVIRUS ESET ENDPOINT SECURITY RENOVACIÓN (NOD32) Estado: Bueno Placa anterior: 000038678 Material:  Color:  Referencia:  Observacion:     Placa padre:  Tipo adquisicion : Entidad"</f>
        <v>Descripcion:ANTIVIRUS ESET ENDPOINT SECURITY RENOVACIÓN (NOD32) Estado: Bueno Placa anterior: 000038678 Material:  Color:  Referencia:  Observacion:     Placa padre:  Tipo adquisicion : Entidad</v>
      </c>
      <c r="G19310" s="5"/>
    </row>
    <row r="19311" spans="1:7" ht="58.5" customHeight="1" x14ac:dyDescent="0.25">
      <c r="A19311" s="5" t="str">
        <f>"B0001363"</f>
        <v>B0001363</v>
      </c>
      <c r="B19311" s="5" t="str">
        <f t="shared" si="987"/>
        <v>ANTIVIRUS</v>
      </c>
      <c r="C19311" s="6">
        <v>129970</v>
      </c>
      <c r="D19311" s="5" t="s">
        <v>63</v>
      </c>
      <c r="E19311" s="5" t="str">
        <f t="shared" si="986"/>
        <v>SISTEMAS-GLOBALTRONIK SAS-SERGIO PATIÑO</v>
      </c>
      <c r="F19311" s="5" t="str">
        <f>"Descripcion:ANTIVIRUS ESET ENDPOINT SECURITY (NOD32) Estado: Bueno Placa anterior: 000038062 Material:  Color:  Referencia:  Observacion:     Placa padre:  Tipo adquisicion : Entidad"</f>
        <v>Descripcion:ANTIVIRUS ESET ENDPOINT SECURITY (NOD32) Estado: Bueno Placa anterior: 000038062 Material:  Color:  Referencia:  Observacion:     Placa padre:  Tipo adquisicion : Entidad</v>
      </c>
      <c r="G19311" s="5"/>
    </row>
    <row r="19312" spans="1:7" ht="58.5" customHeight="1" x14ac:dyDescent="0.25">
      <c r="A19312" s="5" t="str">
        <f>"B0001364"</f>
        <v>B0001364</v>
      </c>
      <c r="B19312" s="5" t="str">
        <f t="shared" si="987"/>
        <v>ANTIVIRUS</v>
      </c>
      <c r="C19312" s="6">
        <v>63309.81</v>
      </c>
      <c r="D19312" s="5" t="s">
        <v>63</v>
      </c>
      <c r="E19312" s="5" t="str">
        <f t="shared" si="986"/>
        <v>SISTEMAS-GLOBALTRONIK SAS-SERGIO PATIÑO</v>
      </c>
      <c r="F19312" s="5" t="str">
        <f>"Descripcion:ANTIVIRUS ESET ENDPOINT SECURITY RENOVACIÓN (NOD32) Estado: Bueno Placa anterior: 000038349 Material:  Color:  Referencia:  Observacion:     Placa padre:  Tipo adquisicion : Entidad"</f>
        <v>Descripcion:ANTIVIRUS ESET ENDPOINT SECURITY RENOVACIÓN (NOD32) Estado: Bueno Placa anterior: 000038349 Material:  Color:  Referencia:  Observacion:     Placa padre:  Tipo adquisicion : Entidad</v>
      </c>
      <c r="G19312" s="5"/>
    </row>
    <row r="19313" spans="1:7" ht="58.5" customHeight="1" x14ac:dyDescent="0.25">
      <c r="A19313" s="5" t="str">
        <f>"B0001365"</f>
        <v>B0001365</v>
      </c>
      <c r="B19313" s="5" t="str">
        <f t="shared" si="987"/>
        <v>ANTIVIRUS</v>
      </c>
      <c r="C19313" s="6">
        <v>63309.81</v>
      </c>
      <c r="D19313" s="5" t="s">
        <v>63</v>
      </c>
      <c r="E19313" s="5" t="str">
        <f t="shared" si="986"/>
        <v>SISTEMAS-GLOBALTRONIK SAS-SERGIO PATIÑO</v>
      </c>
      <c r="F19313" s="5" t="str">
        <f>"Descripcion:ANTIVIRUS ESET ENDPOINT SECURITY RENOVACIÓN (NOD32) Estado: Bueno Placa anterior: 000038550 Material:  Color:  Referencia:  Observacion:     Placa padre:  Tipo adquisicion : Entidad"</f>
        <v>Descripcion:ANTIVIRUS ESET ENDPOINT SECURITY RENOVACIÓN (NOD32) Estado: Bueno Placa anterior: 000038550 Material:  Color:  Referencia:  Observacion:     Placa padre:  Tipo adquisicion : Entidad</v>
      </c>
      <c r="G19313" s="5"/>
    </row>
    <row r="19314" spans="1:7" ht="58.5" customHeight="1" x14ac:dyDescent="0.25">
      <c r="A19314" s="5" t="str">
        <f>"B0001366"</f>
        <v>B0001366</v>
      </c>
      <c r="B19314" s="5" t="str">
        <f t="shared" si="987"/>
        <v>ANTIVIRUS</v>
      </c>
      <c r="C19314" s="6">
        <v>63309.81</v>
      </c>
      <c r="D19314" s="5" t="s">
        <v>63</v>
      </c>
      <c r="E19314" s="5" t="str">
        <f t="shared" si="986"/>
        <v>SISTEMAS-GLOBALTRONIK SAS-SERGIO PATIÑO</v>
      </c>
      <c r="F19314" s="5" t="str">
        <f>"Descripcion:ANTIVIRUS ESET ENDPOINT SECURITY RENOVACIÓN (NOD32) Estado: Bueno Placa anterior: 000038662 Material:  Color:  Referencia:  Observacion:     Placa padre:  Tipo adquisicion : Entidad"</f>
        <v>Descripcion:ANTIVIRUS ESET ENDPOINT SECURITY RENOVACIÓN (NOD32) Estado: Bueno Placa anterior: 000038662 Material:  Color:  Referencia:  Observacion:     Placa padre:  Tipo adquisicion : Entidad</v>
      </c>
      <c r="G19314" s="5"/>
    </row>
    <row r="19315" spans="1:7" ht="58.5" customHeight="1" x14ac:dyDescent="0.25">
      <c r="A19315" s="5" t="str">
        <f>"B0001367"</f>
        <v>B0001367</v>
      </c>
      <c r="B19315" s="5" t="str">
        <f t="shared" si="987"/>
        <v>ANTIVIRUS</v>
      </c>
      <c r="C19315" s="6">
        <v>63309.81</v>
      </c>
      <c r="D19315" s="5" t="s">
        <v>63</v>
      </c>
      <c r="E19315" s="5" t="str">
        <f t="shared" si="986"/>
        <v>SISTEMAS-GLOBALTRONIK SAS-SERGIO PATIÑO</v>
      </c>
      <c r="F19315" s="5" t="str">
        <f>"Descripcion:ANTIVIRUS ESET ENDPOINT SECURITY RENOVACIÓN (NOD32) Estado: Bueno Placa anterior: 000038521 Material:  Color:  Referencia:  Observacion:     Placa padre:  Tipo adquisicion : Entidad"</f>
        <v>Descripcion:ANTIVIRUS ESET ENDPOINT SECURITY RENOVACIÓN (NOD32) Estado: Bueno Placa anterior: 000038521 Material:  Color:  Referencia:  Observacion:     Placa padre:  Tipo adquisicion : Entidad</v>
      </c>
      <c r="G19315" s="5"/>
    </row>
    <row r="19316" spans="1:7" ht="58.5" customHeight="1" x14ac:dyDescent="0.25">
      <c r="A19316" s="5" t="str">
        <f>"B0001368"</f>
        <v>B0001368</v>
      </c>
      <c r="B19316" s="5" t="str">
        <f t="shared" si="987"/>
        <v>ANTIVIRUS</v>
      </c>
      <c r="C19316" s="6">
        <v>129970</v>
      </c>
      <c r="D19316" s="5" t="s">
        <v>63</v>
      </c>
      <c r="E19316" s="5" t="str">
        <f t="shared" si="986"/>
        <v>SISTEMAS-GLOBALTRONIK SAS-SERGIO PATIÑO</v>
      </c>
      <c r="F19316" s="5" t="str">
        <f>"Descripcion:ANTIVIRUS ESET ENDPOINT SECURITY (NOD32) Estado: Bueno Placa anterior: 000038082 Material:  Color:  Referencia:  Observacion:     Placa padre:  Tipo adquisicion : Entidad"</f>
        <v>Descripcion:ANTIVIRUS ESET ENDPOINT SECURITY (NOD32) Estado: Bueno Placa anterior: 000038082 Material:  Color:  Referencia:  Observacion:     Placa padre:  Tipo adquisicion : Entidad</v>
      </c>
      <c r="G19316" s="5"/>
    </row>
    <row r="19317" spans="1:7" ht="58.5" customHeight="1" x14ac:dyDescent="0.25">
      <c r="A19317" s="5" t="str">
        <f>"B0001369"</f>
        <v>B0001369</v>
      </c>
      <c r="B19317" s="5" t="str">
        <f t="shared" si="987"/>
        <v>ANTIVIRUS</v>
      </c>
      <c r="C19317" s="6">
        <v>63309.81</v>
      </c>
      <c r="D19317" s="5" t="s">
        <v>63</v>
      </c>
      <c r="E19317" s="5" t="str">
        <f t="shared" si="986"/>
        <v>SISTEMAS-GLOBALTRONIK SAS-SERGIO PATIÑO</v>
      </c>
      <c r="F19317" s="5" t="str">
        <f>"Descripcion:ANTIVIRUS ESET ENDPOINT SECURITY RENOVACIÓN (NOD32) Estado: Bueno Placa anterior: 000038549 Material:  Color:  Referencia:  Observacion:     Placa padre:  Tipo adquisicion : Entidad"</f>
        <v>Descripcion:ANTIVIRUS ESET ENDPOINT SECURITY RENOVACIÓN (NOD32) Estado: Bueno Placa anterior: 000038549 Material:  Color:  Referencia:  Observacion:     Placa padre:  Tipo adquisicion : Entidad</v>
      </c>
      <c r="G19317" s="5"/>
    </row>
    <row r="19318" spans="1:7" ht="58.5" customHeight="1" x14ac:dyDescent="0.25">
      <c r="A19318" s="5" t="str">
        <f>"B0001370"</f>
        <v>B0001370</v>
      </c>
      <c r="B19318" s="5" t="str">
        <f t="shared" si="987"/>
        <v>ANTIVIRUS</v>
      </c>
      <c r="C19318" s="6">
        <v>63309.81</v>
      </c>
      <c r="D19318" s="5" t="s">
        <v>63</v>
      </c>
      <c r="E19318" s="5" t="str">
        <f t="shared" si="986"/>
        <v>SISTEMAS-GLOBALTRONIK SAS-SERGIO PATIÑO</v>
      </c>
      <c r="F19318" s="5" t="str">
        <f>"Descripcion:ANTIVIRUS ESET ENDPOINT SECURITY RENOVACIÓN (NOD32) Estado: Bueno Placa anterior: 000038611 Material:  Color:  Referencia:  Observacion:     Placa padre:  Tipo adquisicion : Entidad"</f>
        <v>Descripcion:ANTIVIRUS ESET ENDPOINT SECURITY RENOVACIÓN (NOD32) Estado: Bueno Placa anterior: 000038611 Material:  Color:  Referencia:  Observacion:     Placa padre:  Tipo adquisicion : Entidad</v>
      </c>
      <c r="G19318" s="5"/>
    </row>
    <row r="19319" spans="1:7" ht="58.5" customHeight="1" x14ac:dyDescent="0.25">
      <c r="A19319" s="5" t="str">
        <f>"B0001371"</f>
        <v>B0001371</v>
      </c>
      <c r="B19319" s="5" t="str">
        <f t="shared" si="987"/>
        <v>ANTIVIRUS</v>
      </c>
      <c r="C19319" s="6">
        <v>63309.81</v>
      </c>
      <c r="D19319" s="5" t="s">
        <v>63</v>
      </c>
      <c r="E19319" s="5" t="str">
        <f t="shared" si="986"/>
        <v>SISTEMAS-GLOBALTRONIK SAS-SERGIO PATIÑO</v>
      </c>
      <c r="F19319" s="5" t="str">
        <f>"Descripcion:ANTIVIRUS ESET ENDPOINT SECURITY RENOVACIÓN (NOD32) Estado: Bueno Placa anterior: 000038624 Material:  Color:  Referencia:  Observacion:     Placa padre:  Tipo adquisicion : Entidad"</f>
        <v>Descripcion:ANTIVIRUS ESET ENDPOINT SECURITY RENOVACIÓN (NOD32) Estado: Bueno Placa anterior: 000038624 Material:  Color:  Referencia:  Observacion:     Placa padre:  Tipo adquisicion : Entidad</v>
      </c>
      <c r="G19319" s="5"/>
    </row>
    <row r="19320" spans="1:7" ht="58.5" customHeight="1" x14ac:dyDescent="0.25">
      <c r="A19320" s="5" t="str">
        <f>"B0001372"</f>
        <v>B0001372</v>
      </c>
      <c r="B19320" s="5" t="str">
        <f t="shared" si="987"/>
        <v>ANTIVIRUS</v>
      </c>
      <c r="C19320" s="6">
        <v>63309.81</v>
      </c>
      <c r="D19320" s="5" t="s">
        <v>63</v>
      </c>
      <c r="E19320" s="5" t="str">
        <f t="shared" si="986"/>
        <v>SISTEMAS-GLOBALTRONIK SAS-SERGIO PATIÑO</v>
      </c>
      <c r="F19320" s="5" t="str">
        <f>"Descripcion:ANTIVIRUS ESET ENDPOINT SECURITY RENOVACIÓN (NOD32) Estado: Bueno Placa anterior: 000038387 Material:  Color:  Referencia:  Observacion:     Placa padre:  Tipo adquisicion : Entidad"</f>
        <v>Descripcion:ANTIVIRUS ESET ENDPOINT SECURITY RENOVACIÓN (NOD32) Estado: Bueno Placa anterior: 000038387 Material:  Color:  Referencia:  Observacion:     Placa padre:  Tipo adquisicion : Entidad</v>
      </c>
      <c r="G19320" s="5"/>
    </row>
    <row r="19321" spans="1:7" ht="58.5" customHeight="1" x14ac:dyDescent="0.25">
      <c r="A19321" s="5" t="str">
        <f>"B0001373"</f>
        <v>B0001373</v>
      </c>
      <c r="B19321" s="5" t="str">
        <f t="shared" si="987"/>
        <v>ANTIVIRUS</v>
      </c>
      <c r="C19321" s="6">
        <v>63309.81</v>
      </c>
      <c r="D19321" s="5" t="s">
        <v>63</v>
      </c>
      <c r="E19321" s="5" t="str">
        <f t="shared" si="986"/>
        <v>SISTEMAS-GLOBALTRONIK SAS-SERGIO PATIÑO</v>
      </c>
      <c r="F19321" s="5" t="str">
        <f>"Descripcion:ANTIVIRUS ESET ENDPOINT SECURITY RENOVACIÓN (NOD32) Estado: Bueno Placa anterior: 000038475 Material:  Color:  Referencia:  Observacion:     Placa padre:  Tipo adquisicion : Entidad"</f>
        <v>Descripcion:ANTIVIRUS ESET ENDPOINT SECURITY RENOVACIÓN (NOD32) Estado: Bueno Placa anterior: 000038475 Material:  Color:  Referencia:  Observacion:     Placa padre:  Tipo adquisicion : Entidad</v>
      </c>
      <c r="G19321" s="5"/>
    </row>
    <row r="19322" spans="1:7" ht="58.5" customHeight="1" x14ac:dyDescent="0.25">
      <c r="A19322" s="5" t="str">
        <f>"B0001374"</f>
        <v>B0001374</v>
      </c>
      <c r="B19322" s="5" t="str">
        <f t="shared" si="987"/>
        <v>ANTIVIRUS</v>
      </c>
      <c r="C19322" s="6">
        <v>63309.81</v>
      </c>
      <c r="D19322" s="5" t="s">
        <v>63</v>
      </c>
      <c r="E19322" s="5" t="str">
        <f t="shared" si="986"/>
        <v>SISTEMAS-GLOBALTRONIK SAS-SERGIO PATIÑO</v>
      </c>
      <c r="F19322" s="5" t="str">
        <f>"Descripcion:ANTIVIRUS ESET ENDPOINT SECURITY RENOVACIÓN (NOD32) Estado: Bueno Placa anterior: 000038774 Material:  Color:  Referencia:  Observacion:     Placa padre:  Tipo adquisicion : Entidad"</f>
        <v>Descripcion:ANTIVIRUS ESET ENDPOINT SECURITY RENOVACIÓN (NOD32) Estado: Bueno Placa anterior: 000038774 Material:  Color:  Referencia:  Observacion:     Placa padre:  Tipo adquisicion : Entidad</v>
      </c>
      <c r="G19322" s="5"/>
    </row>
    <row r="19323" spans="1:7" ht="58.5" customHeight="1" x14ac:dyDescent="0.25">
      <c r="A19323" s="5" t="str">
        <f>"B0001375"</f>
        <v>B0001375</v>
      </c>
      <c r="B19323" s="5" t="str">
        <f t="shared" si="987"/>
        <v>ANTIVIRUS</v>
      </c>
      <c r="C19323" s="6">
        <v>63309.81</v>
      </c>
      <c r="D19323" s="5" t="s">
        <v>63</v>
      </c>
      <c r="E19323" s="5" t="str">
        <f t="shared" si="986"/>
        <v>SISTEMAS-GLOBALTRONIK SAS-SERGIO PATIÑO</v>
      </c>
      <c r="F19323" s="5" t="str">
        <f>"Descripcion:ANTIVIRUS ESET ENDPOINT SECURITY RENOVACIÓN (NOD32) Estado: Bueno Placa anterior: 000038752 Material:  Color:  Referencia:  Observacion:     Placa padre:  Tipo adquisicion : Entidad"</f>
        <v>Descripcion:ANTIVIRUS ESET ENDPOINT SECURITY RENOVACIÓN (NOD32) Estado: Bueno Placa anterior: 000038752 Material:  Color:  Referencia:  Observacion:     Placa padre:  Tipo adquisicion : Entidad</v>
      </c>
      <c r="G19323" s="5"/>
    </row>
    <row r="19324" spans="1:7" ht="58.5" customHeight="1" x14ac:dyDescent="0.25">
      <c r="A19324" s="5" t="str">
        <f>"B0001376"</f>
        <v>B0001376</v>
      </c>
      <c r="B19324" s="5" t="str">
        <f t="shared" si="987"/>
        <v>ANTIVIRUS</v>
      </c>
      <c r="C19324" s="6">
        <v>63309.81</v>
      </c>
      <c r="D19324" s="5" t="s">
        <v>63</v>
      </c>
      <c r="E19324" s="5" t="str">
        <f t="shared" si="986"/>
        <v>SISTEMAS-GLOBALTRONIK SAS-SERGIO PATIÑO</v>
      </c>
      <c r="F19324" s="5" t="str">
        <f>"Descripcion:ANTIVIRUS ESET ENDPOINT SECURITY RENOVACIÓN (NOD32) Estado: Bueno Placa anterior: 000038725 Material:  Color:  Referencia:  Observacion:     Placa padre:  Tipo adquisicion : Entidad"</f>
        <v>Descripcion:ANTIVIRUS ESET ENDPOINT SECURITY RENOVACIÓN (NOD32) Estado: Bueno Placa anterior: 000038725 Material:  Color:  Referencia:  Observacion:     Placa padre:  Tipo adquisicion : Entidad</v>
      </c>
      <c r="G19324" s="5"/>
    </row>
    <row r="19325" spans="1:7" ht="58.5" customHeight="1" x14ac:dyDescent="0.25">
      <c r="A19325" s="5" t="str">
        <f>"B0001377"</f>
        <v>B0001377</v>
      </c>
      <c r="B19325" s="5" t="str">
        <f t="shared" si="987"/>
        <v>ANTIVIRUS</v>
      </c>
      <c r="C19325" s="6">
        <v>63309.81</v>
      </c>
      <c r="D19325" s="5" t="s">
        <v>63</v>
      </c>
      <c r="E19325" s="5" t="str">
        <f t="shared" ref="E19325:E19388" si="988">"SISTEMAS-GLOBALTRONIK SAS-SERGIO PATIÑO"</f>
        <v>SISTEMAS-GLOBALTRONIK SAS-SERGIO PATIÑO</v>
      </c>
      <c r="F19325" s="5" t="str">
        <f>"Descripcion:ANTIVIRUS ESET ENDPOINT SECURITY RENOVACIÓN (NOD32) Estado: Bueno Placa anterior: 000038480 Material:  Color:  Referencia:  Observacion:     Placa padre:  Tipo adquisicion : Entidad"</f>
        <v>Descripcion:ANTIVIRUS ESET ENDPOINT SECURITY RENOVACIÓN (NOD32) Estado: Bueno Placa anterior: 000038480 Material:  Color:  Referencia:  Observacion:     Placa padre:  Tipo adquisicion : Entidad</v>
      </c>
      <c r="G19325" s="5"/>
    </row>
    <row r="19326" spans="1:7" ht="58.5" customHeight="1" x14ac:dyDescent="0.25">
      <c r="A19326" s="5" t="str">
        <f>"B0001378"</f>
        <v>B0001378</v>
      </c>
      <c r="B19326" s="5" t="str">
        <f t="shared" si="987"/>
        <v>ANTIVIRUS</v>
      </c>
      <c r="C19326" s="6">
        <v>63309.81</v>
      </c>
      <c r="D19326" s="5" t="s">
        <v>63</v>
      </c>
      <c r="E19326" s="5" t="str">
        <f t="shared" si="988"/>
        <v>SISTEMAS-GLOBALTRONIK SAS-SERGIO PATIÑO</v>
      </c>
      <c r="F19326" s="5" t="str">
        <f>"Descripcion:ANTIVIRUS ESET ENDPOINT SECURITY RENOVACIÓN (NOD32) Estado: Bueno Placa anterior: 000038352 Material:  Color:  Referencia:  Observacion:     Placa padre:  Tipo adquisicion : Entidad"</f>
        <v>Descripcion:ANTIVIRUS ESET ENDPOINT SECURITY RENOVACIÓN (NOD32) Estado: Bueno Placa anterior: 000038352 Material:  Color:  Referencia:  Observacion:     Placa padre:  Tipo adquisicion : Entidad</v>
      </c>
      <c r="G19326" s="5"/>
    </row>
    <row r="19327" spans="1:7" ht="58.5" customHeight="1" x14ac:dyDescent="0.25">
      <c r="A19327" s="5" t="str">
        <f>"B0001379"</f>
        <v>B0001379</v>
      </c>
      <c r="B19327" s="5" t="str">
        <f t="shared" si="987"/>
        <v>ANTIVIRUS</v>
      </c>
      <c r="C19327" s="6">
        <v>63309.81</v>
      </c>
      <c r="D19327" s="5" t="s">
        <v>63</v>
      </c>
      <c r="E19327" s="5" t="str">
        <f t="shared" si="988"/>
        <v>SISTEMAS-GLOBALTRONIK SAS-SERGIO PATIÑO</v>
      </c>
      <c r="F19327" s="5" t="str">
        <f>"Descripcion:ANTIVIRUS ESET ENDPOINT SECURITY RENOVACIÓN (NOD32) Estado: Bueno Placa anterior: 000038751 Material:  Color:  Referencia:  Observacion:     Placa padre:  Tipo adquisicion : Entidad"</f>
        <v>Descripcion:ANTIVIRUS ESET ENDPOINT SECURITY RENOVACIÓN (NOD32) Estado: Bueno Placa anterior: 000038751 Material:  Color:  Referencia:  Observacion:     Placa padre:  Tipo adquisicion : Entidad</v>
      </c>
      <c r="G19327" s="5"/>
    </row>
    <row r="19328" spans="1:7" ht="58.5" customHeight="1" x14ac:dyDescent="0.25">
      <c r="A19328" s="5" t="str">
        <f>"B0001380"</f>
        <v>B0001380</v>
      </c>
      <c r="B19328" s="5" t="str">
        <f t="shared" si="987"/>
        <v>ANTIVIRUS</v>
      </c>
      <c r="C19328" s="6">
        <v>63309.81</v>
      </c>
      <c r="D19328" s="5" t="s">
        <v>63</v>
      </c>
      <c r="E19328" s="5" t="str">
        <f t="shared" si="988"/>
        <v>SISTEMAS-GLOBALTRONIK SAS-SERGIO PATIÑO</v>
      </c>
      <c r="F19328" s="5" t="str">
        <f>"Descripcion:ANTIVIRUS ESET ENDPOINT SECURITY RENOVACIÓN (NOD32) Estado: Bueno Placa anterior: 000038623 Material:  Color:  Referencia:  Observacion:     Placa padre:  Tipo adquisicion : Entidad"</f>
        <v>Descripcion:ANTIVIRUS ESET ENDPOINT SECURITY RENOVACIÓN (NOD32) Estado: Bueno Placa anterior: 000038623 Material:  Color:  Referencia:  Observacion:     Placa padre:  Tipo adquisicion : Entidad</v>
      </c>
      <c r="G19328" s="5"/>
    </row>
    <row r="19329" spans="1:7" ht="58.5" customHeight="1" x14ac:dyDescent="0.25">
      <c r="A19329" s="5" t="str">
        <f>"B0001381"</f>
        <v>B0001381</v>
      </c>
      <c r="B19329" s="5" t="str">
        <f t="shared" si="987"/>
        <v>ANTIVIRUS</v>
      </c>
      <c r="C19329" s="6">
        <v>129970</v>
      </c>
      <c r="D19329" s="5" t="s">
        <v>63</v>
      </c>
      <c r="E19329" s="5" t="str">
        <f t="shared" si="988"/>
        <v>SISTEMAS-GLOBALTRONIK SAS-SERGIO PATIÑO</v>
      </c>
      <c r="F19329" s="5" t="str">
        <f>"Descripcion:ANTIVIRUS ESET ENDPOINT SECURITY (NOD32) Estado: Bueno Placa anterior: 000038044 Material:  Color:  Referencia:  Observacion:     Placa padre:  Tipo adquisicion : Entidad"</f>
        <v>Descripcion:ANTIVIRUS ESET ENDPOINT SECURITY (NOD32) Estado: Bueno Placa anterior: 000038044 Material:  Color:  Referencia:  Observacion:     Placa padre:  Tipo adquisicion : Entidad</v>
      </c>
      <c r="G19329" s="5"/>
    </row>
    <row r="19330" spans="1:7" ht="58.5" customHeight="1" x14ac:dyDescent="0.25">
      <c r="A19330" s="5" t="str">
        <f>"B0001382"</f>
        <v>B0001382</v>
      </c>
      <c r="B19330" s="5" t="str">
        <f t="shared" si="987"/>
        <v>ANTIVIRUS</v>
      </c>
      <c r="C19330" s="6">
        <v>63309.81</v>
      </c>
      <c r="D19330" s="5" t="s">
        <v>63</v>
      </c>
      <c r="E19330" s="5" t="str">
        <f t="shared" si="988"/>
        <v>SISTEMAS-GLOBALTRONIK SAS-SERGIO PATIÑO</v>
      </c>
      <c r="F19330" s="5" t="str">
        <f>"Descripcion:ANTIVIRUS ESET ENDPOINT SECURITY RENOVACIÓN (NOD32) Estado: Bueno Placa anterior: 000038464 Material:  Color:  Referencia:  Observacion:     Placa padre:  Tipo adquisicion : Entidad"</f>
        <v>Descripcion:ANTIVIRUS ESET ENDPOINT SECURITY RENOVACIÓN (NOD32) Estado: Bueno Placa anterior: 000038464 Material:  Color:  Referencia:  Observacion:     Placa padre:  Tipo adquisicion : Entidad</v>
      </c>
      <c r="G19330" s="5"/>
    </row>
    <row r="19331" spans="1:7" ht="58.5" customHeight="1" x14ac:dyDescent="0.25">
      <c r="A19331" s="5" t="str">
        <f>"B0001383"</f>
        <v>B0001383</v>
      </c>
      <c r="B19331" s="5" t="str">
        <f t="shared" si="987"/>
        <v>ANTIVIRUS</v>
      </c>
      <c r="C19331" s="6">
        <v>63309.81</v>
      </c>
      <c r="D19331" s="5" t="s">
        <v>63</v>
      </c>
      <c r="E19331" s="5" t="str">
        <f t="shared" si="988"/>
        <v>SISTEMAS-GLOBALTRONIK SAS-SERGIO PATIÑO</v>
      </c>
      <c r="F19331" s="5" t="str">
        <f>"Descripcion:ANTIVIRUS ESET ENDPOINT SECURITY RENOVACIÓN (NOD32) Estado: Bueno Placa anterior: 000038558 Material:  Color:  Referencia:  Observacion:     Placa padre:  Tipo adquisicion : Entidad"</f>
        <v>Descripcion:ANTIVIRUS ESET ENDPOINT SECURITY RENOVACIÓN (NOD32) Estado: Bueno Placa anterior: 000038558 Material:  Color:  Referencia:  Observacion:     Placa padre:  Tipo adquisicion : Entidad</v>
      </c>
      <c r="G19331" s="5"/>
    </row>
    <row r="19332" spans="1:7" ht="58.5" customHeight="1" x14ac:dyDescent="0.25">
      <c r="A19332" s="5" t="str">
        <f>"B0001384"</f>
        <v>B0001384</v>
      </c>
      <c r="B19332" s="5" t="str">
        <f t="shared" ref="B19332:B19395" si="989">"ANTIVIRUS"</f>
        <v>ANTIVIRUS</v>
      </c>
      <c r="C19332" s="6">
        <v>63309.81</v>
      </c>
      <c r="D19332" s="5" t="s">
        <v>63</v>
      </c>
      <c r="E19332" s="5" t="str">
        <f t="shared" si="988"/>
        <v>SISTEMAS-GLOBALTRONIK SAS-SERGIO PATIÑO</v>
      </c>
      <c r="F19332" s="5" t="str">
        <f>"Descripcion:ANTIVIRUS ESET ENDPOINT SECURITY RENOVACIÓN (NOD32) Estado: Bueno Placa anterior: 000038510 Material:  Color:  Referencia:  Observacion:     Placa padre:  Tipo adquisicion : Entidad"</f>
        <v>Descripcion:ANTIVIRUS ESET ENDPOINT SECURITY RENOVACIÓN (NOD32) Estado: Bueno Placa anterior: 000038510 Material:  Color:  Referencia:  Observacion:     Placa padre:  Tipo adquisicion : Entidad</v>
      </c>
      <c r="G19332" s="5"/>
    </row>
    <row r="19333" spans="1:7" ht="58.5" customHeight="1" x14ac:dyDescent="0.25">
      <c r="A19333" s="5" t="str">
        <f>"B0001385"</f>
        <v>B0001385</v>
      </c>
      <c r="B19333" s="5" t="str">
        <f t="shared" si="989"/>
        <v>ANTIVIRUS</v>
      </c>
      <c r="C19333" s="6">
        <v>63309.81</v>
      </c>
      <c r="D19333" s="5" t="s">
        <v>63</v>
      </c>
      <c r="E19333" s="5" t="str">
        <f t="shared" si="988"/>
        <v>SISTEMAS-GLOBALTRONIK SAS-SERGIO PATIÑO</v>
      </c>
      <c r="F19333" s="5" t="str">
        <f>"Descripcion:ANTIVIRUS ESET ENDPOINT SECURITY RENOVACIÓN (NOD32) Estado: Bueno Placa anterior: 000038652 Material:  Color:  Referencia:  Observacion:     Placa padre:  Tipo adquisicion : Entidad"</f>
        <v>Descripcion:ANTIVIRUS ESET ENDPOINT SECURITY RENOVACIÓN (NOD32) Estado: Bueno Placa anterior: 000038652 Material:  Color:  Referencia:  Observacion:     Placa padre:  Tipo adquisicion : Entidad</v>
      </c>
      <c r="G19333" s="5"/>
    </row>
    <row r="19334" spans="1:7" ht="58.5" customHeight="1" x14ac:dyDescent="0.25">
      <c r="A19334" s="5" t="str">
        <f>"B0001386"</f>
        <v>B0001386</v>
      </c>
      <c r="B19334" s="5" t="str">
        <f t="shared" si="989"/>
        <v>ANTIVIRUS</v>
      </c>
      <c r="C19334" s="6">
        <v>63309.81</v>
      </c>
      <c r="D19334" s="5" t="s">
        <v>63</v>
      </c>
      <c r="E19334" s="5" t="str">
        <f t="shared" si="988"/>
        <v>SISTEMAS-GLOBALTRONIK SAS-SERGIO PATIÑO</v>
      </c>
      <c r="F19334" s="5" t="str">
        <f>"Descripcion:ANTIVIRUS ESET ENDPOINT SECURITY RENOVACIÓN (NOD32) Estado: Bueno Placa anterior: 000038610 Material:  Color:  Referencia:  Observacion:     Placa padre:  Tipo adquisicion : Entidad"</f>
        <v>Descripcion:ANTIVIRUS ESET ENDPOINT SECURITY RENOVACIÓN (NOD32) Estado: Bueno Placa anterior: 000038610 Material:  Color:  Referencia:  Observacion:     Placa padre:  Tipo adquisicion : Entidad</v>
      </c>
      <c r="G19334" s="5"/>
    </row>
    <row r="19335" spans="1:7" ht="58.5" customHeight="1" x14ac:dyDescent="0.25">
      <c r="A19335" s="5" t="str">
        <f>"B0001387"</f>
        <v>B0001387</v>
      </c>
      <c r="B19335" s="5" t="str">
        <f t="shared" si="989"/>
        <v>ANTIVIRUS</v>
      </c>
      <c r="C19335" s="6">
        <v>63309.81</v>
      </c>
      <c r="D19335" s="5" t="s">
        <v>63</v>
      </c>
      <c r="E19335" s="5" t="str">
        <f t="shared" si="988"/>
        <v>SISTEMAS-GLOBALTRONIK SAS-SERGIO PATIÑO</v>
      </c>
      <c r="F19335" s="5" t="str">
        <f>"Descripcion:ANTIVIRUS ESET ENDPOINT SECURITY RENOVACIÓN (NOD32) Estado: Bueno Placa anterior: 000038602 Material:  Color:  Referencia:  Observacion:     Placa padre:  Tipo adquisicion : Entidad"</f>
        <v>Descripcion:ANTIVIRUS ESET ENDPOINT SECURITY RENOVACIÓN (NOD32) Estado: Bueno Placa anterior: 000038602 Material:  Color:  Referencia:  Observacion:     Placa padre:  Tipo adquisicion : Entidad</v>
      </c>
      <c r="G19335" s="5"/>
    </row>
    <row r="19336" spans="1:7" ht="58.5" customHeight="1" x14ac:dyDescent="0.25">
      <c r="A19336" s="5" t="str">
        <f>"B0001388"</f>
        <v>B0001388</v>
      </c>
      <c r="B19336" s="5" t="str">
        <f t="shared" si="989"/>
        <v>ANTIVIRUS</v>
      </c>
      <c r="C19336" s="6">
        <v>63309.81</v>
      </c>
      <c r="D19336" s="5" t="s">
        <v>63</v>
      </c>
      <c r="E19336" s="5" t="str">
        <f t="shared" si="988"/>
        <v>SISTEMAS-GLOBALTRONIK SAS-SERGIO PATIÑO</v>
      </c>
      <c r="F19336" s="5" t="str">
        <f>"Descripcion:ANTIVIRUS ESET ENDPOINT SECURITY RENOVACIÓN (NOD32) Estado: Bueno Placa anterior: 000038517 Material:  Color:  Referencia:  Observacion:     Placa padre:  Tipo adquisicion : Entidad"</f>
        <v>Descripcion:ANTIVIRUS ESET ENDPOINT SECURITY RENOVACIÓN (NOD32) Estado: Bueno Placa anterior: 000038517 Material:  Color:  Referencia:  Observacion:     Placa padre:  Tipo adquisicion : Entidad</v>
      </c>
      <c r="G19336" s="5"/>
    </row>
    <row r="19337" spans="1:7" ht="58.5" customHeight="1" x14ac:dyDescent="0.25">
      <c r="A19337" s="5" t="str">
        <f>"B0001389"</f>
        <v>B0001389</v>
      </c>
      <c r="B19337" s="5" t="str">
        <f t="shared" si="989"/>
        <v>ANTIVIRUS</v>
      </c>
      <c r="C19337" s="6">
        <v>63309.81</v>
      </c>
      <c r="D19337" s="5" t="s">
        <v>63</v>
      </c>
      <c r="E19337" s="5" t="str">
        <f t="shared" si="988"/>
        <v>SISTEMAS-GLOBALTRONIK SAS-SERGIO PATIÑO</v>
      </c>
      <c r="F19337" s="5" t="str">
        <f>"Descripcion:ANTIVIRUS ESET ENDPOINT SECURITY RENOVACIÓN (NOD32) Estado: Bueno Placa anterior: 000038769 Material:  Color:  Referencia:  Observacion:     Placa padre:  Tipo adquisicion : Entidad"</f>
        <v>Descripcion:ANTIVIRUS ESET ENDPOINT SECURITY RENOVACIÓN (NOD32) Estado: Bueno Placa anterior: 000038769 Material:  Color:  Referencia:  Observacion:     Placa padre:  Tipo adquisicion : Entidad</v>
      </c>
      <c r="G19337" s="5"/>
    </row>
    <row r="19338" spans="1:7" ht="58.5" customHeight="1" x14ac:dyDescent="0.25">
      <c r="A19338" s="5" t="str">
        <f>"B0001390"</f>
        <v>B0001390</v>
      </c>
      <c r="B19338" s="5" t="str">
        <f t="shared" si="989"/>
        <v>ANTIVIRUS</v>
      </c>
      <c r="C19338" s="6">
        <v>63309.81</v>
      </c>
      <c r="D19338" s="5" t="s">
        <v>63</v>
      </c>
      <c r="E19338" s="5" t="str">
        <f t="shared" si="988"/>
        <v>SISTEMAS-GLOBALTRONIK SAS-SERGIO PATIÑO</v>
      </c>
      <c r="F19338" s="5" t="str">
        <f>"Descripcion:ANTIVIRUS ESET ENDPOINT SECURITY RENOVACIÓN (NOD32) Estado: Bueno Placa anterior: 000038620 Material:  Color:  Referencia:  Observacion:     Placa padre:  Tipo adquisicion : Entidad"</f>
        <v>Descripcion:ANTIVIRUS ESET ENDPOINT SECURITY RENOVACIÓN (NOD32) Estado: Bueno Placa anterior: 000038620 Material:  Color:  Referencia:  Observacion:     Placa padre:  Tipo adquisicion : Entidad</v>
      </c>
      <c r="G19338" s="5"/>
    </row>
    <row r="19339" spans="1:7" ht="58.5" customHeight="1" x14ac:dyDescent="0.25">
      <c r="A19339" s="5" t="str">
        <f>"B0001391"</f>
        <v>B0001391</v>
      </c>
      <c r="B19339" s="5" t="str">
        <f t="shared" si="989"/>
        <v>ANTIVIRUS</v>
      </c>
      <c r="C19339" s="6">
        <v>63309.81</v>
      </c>
      <c r="D19339" s="5" t="s">
        <v>63</v>
      </c>
      <c r="E19339" s="5" t="str">
        <f t="shared" si="988"/>
        <v>SISTEMAS-GLOBALTRONIK SAS-SERGIO PATIÑO</v>
      </c>
      <c r="F19339" s="5" t="str">
        <f>"Descripcion:ANTIVIRUS ESET ENDPOINT SECURITY RENOVACIÓN (NOD32) Estado: Bueno Placa anterior: 000038368 Material:  Color:  Referencia:  Observacion:     Placa padre:  Tipo adquisicion : Entidad"</f>
        <v>Descripcion:ANTIVIRUS ESET ENDPOINT SECURITY RENOVACIÓN (NOD32) Estado: Bueno Placa anterior: 000038368 Material:  Color:  Referencia:  Observacion:     Placa padre:  Tipo adquisicion : Entidad</v>
      </c>
      <c r="G19339" s="5"/>
    </row>
    <row r="19340" spans="1:7" ht="58.5" customHeight="1" x14ac:dyDescent="0.25">
      <c r="A19340" s="5" t="str">
        <f>"B0001392"</f>
        <v>B0001392</v>
      </c>
      <c r="B19340" s="5" t="str">
        <f t="shared" si="989"/>
        <v>ANTIVIRUS</v>
      </c>
      <c r="C19340" s="6">
        <v>63309.81</v>
      </c>
      <c r="D19340" s="5" t="s">
        <v>63</v>
      </c>
      <c r="E19340" s="5" t="str">
        <f t="shared" si="988"/>
        <v>SISTEMAS-GLOBALTRONIK SAS-SERGIO PATIÑO</v>
      </c>
      <c r="F19340" s="5" t="str">
        <f>"Descripcion:ANTIVIRUS ESET ENDPOINT SECURITY RENOVACIÓN (NOD32) Estado: Bueno Placa anterior: 000038527 Material:  Color:  Referencia:  Observacion:     Placa padre:  Tipo adquisicion : Entidad"</f>
        <v>Descripcion:ANTIVIRUS ESET ENDPOINT SECURITY RENOVACIÓN (NOD32) Estado: Bueno Placa anterior: 000038527 Material:  Color:  Referencia:  Observacion:     Placa padre:  Tipo adquisicion : Entidad</v>
      </c>
      <c r="G19340" s="5"/>
    </row>
    <row r="19341" spans="1:7" ht="58.5" customHeight="1" x14ac:dyDescent="0.25">
      <c r="A19341" s="5" t="str">
        <f>"B0001393"</f>
        <v>B0001393</v>
      </c>
      <c r="B19341" s="5" t="str">
        <f t="shared" si="989"/>
        <v>ANTIVIRUS</v>
      </c>
      <c r="C19341" s="6">
        <v>63309.81</v>
      </c>
      <c r="D19341" s="5" t="s">
        <v>63</v>
      </c>
      <c r="E19341" s="5" t="str">
        <f t="shared" si="988"/>
        <v>SISTEMAS-GLOBALTRONIK SAS-SERGIO PATIÑO</v>
      </c>
      <c r="F19341" s="5" t="str">
        <f>"Descripcion:ANTIVIRUS ESET ENDPOINT SECURITY RENOVACIÓN (NOD32) Estado: Bueno Placa anterior: 000038656 Material:  Color:  Referencia:  Observacion:     Placa padre:  Tipo adquisicion : Entidad"</f>
        <v>Descripcion:ANTIVIRUS ESET ENDPOINT SECURITY RENOVACIÓN (NOD32) Estado: Bueno Placa anterior: 000038656 Material:  Color:  Referencia:  Observacion:     Placa padre:  Tipo adquisicion : Entidad</v>
      </c>
      <c r="G19341" s="5"/>
    </row>
    <row r="19342" spans="1:7" ht="58.5" customHeight="1" x14ac:dyDescent="0.25">
      <c r="A19342" s="5" t="str">
        <f>"B0001394"</f>
        <v>B0001394</v>
      </c>
      <c r="B19342" s="5" t="str">
        <f t="shared" si="989"/>
        <v>ANTIVIRUS</v>
      </c>
      <c r="C19342" s="6">
        <v>63309.81</v>
      </c>
      <c r="D19342" s="5" t="s">
        <v>63</v>
      </c>
      <c r="E19342" s="5" t="str">
        <f t="shared" si="988"/>
        <v>SISTEMAS-GLOBALTRONIK SAS-SERGIO PATIÑO</v>
      </c>
      <c r="F19342" s="5" t="str">
        <f>"Descripcion:ANTIVIRUS ESET ENDPOINT SECURITY RENOVACIÓN (NOD32) Estado: Bueno Placa anterior: 000038676 Material:  Color:  Referencia:  Observacion:     Placa padre:  Tipo adquisicion : Entidad"</f>
        <v>Descripcion:ANTIVIRUS ESET ENDPOINT SECURITY RENOVACIÓN (NOD32) Estado: Bueno Placa anterior: 000038676 Material:  Color:  Referencia:  Observacion:     Placa padre:  Tipo adquisicion : Entidad</v>
      </c>
      <c r="G19342" s="5"/>
    </row>
    <row r="19343" spans="1:7" ht="58.5" customHeight="1" x14ac:dyDescent="0.25">
      <c r="A19343" s="5" t="str">
        <f>"B0001395"</f>
        <v>B0001395</v>
      </c>
      <c r="B19343" s="5" t="str">
        <f t="shared" si="989"/>
        <v>ANTIVIRUS</v>
      </c>
      <c r="C19343" s="6">
        <v>63309.81</v>
      </c>
      <c r="D19343" s="5" t="s">
        <v>63</v>
      </c>
      <c r="E19343" s="5" t="str">
        <f t="shared" si="988"/>
        <v>SISTEMAS-GLOBALTRONIK SAS-SERGIO PATIÑO</v>
      </c>
      <c r="F19343" s="5" t="str">
        <f>"Descripcion:ANTIVIRUS ESET ENDPOINT SECURITY RENOVACIÓN (NOD32) Estado: Bueno Placa anterior: 000038700 Material:  Color:  Referencia:  Observacion:     Placa padre:  Tipo adquisicion : Entidad"</f>
        <v>Descripcion:ANTIVIRUS ESET ENDPOINT SECURITY RENOVACIÓN (NOD32) Estado: Bueno Placa anterior: 000038700 Material:  Color:  Referencia:  Observacion:     Placa padre:  Tipo adquisicion : Entidad</v>
      </c>
      <c r="G19343" s="5"/>
    </row>
    <row r="19344" spans="1:7" ht="58.5" customHeight="1" x14ac:dyDescent="0.25">
      <c r="A19344" s="5" t="str">
        <f>"B0001396"</f>
        <v>B0001396</v>
      </c>
      <c r="B19344" s="5" t="str">
        <f t="shared" si="989"/>
        <v>ANTIVIRUS</v>
      </c>
      <c r="C19344" s="6">
        <v>63309.81</v>
      </c>
      <c r="D19344" s="5" t="s">
        <v>63</v>
      </c>
      <c r="E19344" s="5" t="str">
        <f t="shared" si="988"/>
        <v>SISTEMAS-GLOBALTRONIK SAS-SERGIO PATIÑO</v>
      </c>
      <c r="F19344" s="5" t="str">
        <f>"Descripcion:ANTIVIRUS ESET ENDPOINT SECURITY RENOVACIÓN (NOD32) Estado: Bueno Placa anterior: 000038534 Material:  Color:  Referencia:  Observacion:     Placa padre:  Tipo adquisicion : Entidad"</f>
        <v>Descripcion:ANTIVIRUS ESET ENDPOINT SECURITY RENOVACIÓN (NOD32) Estado: Bueno Placa anterior: 000038534 Material:  Color:  Referencia:  Observacion:     Placa padre:  Tipo adquisicion : Entidad</v>
      </c>
      <c r="G19344" s="5"/>
    </row>
    <row r="19345" spans="1:7" ht="58.5" customHeight="1" x14ac:dyDescent="0.25">
      <c r="A19345" s="5" t="str">
        <f>"B0001397"</f>
        <v>B0001397</v>
      </c>
      <c r="B19345" s="5" t="str">
        <f t="shared" si="989"/>
        <v>ANTIVIRUS</v>
      </c>
      <c r="C19345" s="6">
        <v>63309.81</v>
      </c>
      <c r="D19345" s="5" t="s">
        <v>63</v>
      </c>
      <c r="E19345" s="5" t="str">
        <f t="shared" si="988"/>
        <v>SISTEMAS-GLOBALTRONIK SAS-SERGIO PATIÑO</v>
      </c>
      <c r="F19345" s="5" t="str">
        <f>"Descripcion:ANTIVIRUS ESET ENDPOINT SECURITY RENOVACIÓN (NOD32) Estado: Bueno Placa anterior: 000038638 Material:  Color:  Referencia:  Observacion:     Placa padre:  Tipo adquisicion : Entidad"</f>
        <v>Descripcion:ANTIVIRUS ESET ENDPOINT SECURITY RENOVACIÓN (NOD32) Estado: Bueno Placa anterior: 000038638 Material:  Color:  Referencia:  Observacion:     Placa padre:  Tipo adquisicion : Entidad</v>
      </c>
      <c r="G19345" s="5"/>
    </row>
    <row r="19346" spans="1:7" ht="58.5" customHeight="1" x14ac:dyDescent="0.25">
      <c r="A19346" s="5" t="str">
        <f>"B0001398"</f>
        <v>B0001398</v>
      </c>
      <c r="B19346" s="5" t="str">
        <f t="shared" si="989"/>
        <v>ANTIVIRUS</v>
      </c>
      <c r="C19346" s="6">
        <v>63309.81</v>
      </c>
      <c r="D19346" s="5" t="s">
        <v>63</v>
      </c>
      <c r="E19346" s="5" t="str">
        <f t="shared" si="988"/>
        <v>SISTEMAS-GLOBALTRONIK SAS-SERGIO PATIÑO</v>
      </c>
      <c r="F19346" s="5" t="str">
        <f>"Descripcion:ANTIVIRUS ESET ENDPOINT SECURITY RENOVACIÓN (NOD32) Estado: Bueno Placa anterior: 000038524 Material:  Color:  Referencia:  Observacion:     Placa padre:  Tipo adquisicion : Entidad"</f>
        <v>Descripcion:ANTIVIRUS ESET ENDPOINT SECURITY RENOVACIÓN (NOD32) Estado: Bueno Placa anterior: 000038524 Material:  Color:  Referencia:  Observacion:     Placa padre:  Tipo adquisicion : Entidad</v>
      </c>
      <c r="G19346" s="5"/>
    </row>
    <row r="19347" spans="1:7" ht="58.5" customHeight="1" x14ac:dyDescent="0.25">
      <c r="A19347" s="5" t="str">
        <f>"B0001399"</f>
        <v>B0001399</v>
      </c>
      <c r="B19347" s="5" t="str">
        <f t="shared" si="989"/>
        <v>ANTIVIRUS</v>
      </c>
      <c r="C19347" s="6">
        <v>129970</v>
      </c>
      <c r="D19347" s="5" t="s">
        <v>63</v>
      </c>
      <c r="E19347" s="5" t="str">
        <f t="shared" si="988"/>
        <v>SISTEMAS-GLOBALTRONIK SAS-SERGIO PATIÑO</v>
      </c>
      <c r="F19347" s="5" t="str">
        <f>"Descripcion:ANTIVIRUS ESET ENDPOINT SECURITY (NOD32) Estado: Bueno Placa anterior: 000038066 Material:  Color:  Referencia:  Observacion:     Placa padre:  Tipo adquisicion : Entidad"</f>
        <v>Descripcion:ANTIVIRUS ESET ENDPOINT SECURITY (NOD32) Estado: Bueno Placa anterior: 000038066 Material:  Color:  Referencia:  Observacion:     Placa padre:  Tipo adquisicion : Entidad</v>
      </c>
      <c r="G19347" s="5"/>
    </row>
    <row r="19348" spans="1:7" ht="58.5" customHeight="1" x14ac:dyDescent="0.25">
      <c r="A19348" s="5" t="str">
        <f>"B0001400"</f>
        <v>B0001400</v>
      </c>
      <c r="B19348" s="5" t="str">
        <f t="shared" si="989"/>
        <v>ANTIVIRUS</v>
      </c>
      <c r="C19348" s="6">
        <v>63309.81</v>
      </c>
      <c r="D19348" s="5" t="s">
        <v>63</v>
      </c>
      <c r="E19348" s="5" t="str">
        <f t="shared" si="988"/>
        <v>SISTEMAS-GLOBALTRONIK SAS-SERGIO PATIÑO</v>
      </c>
      <c r="F19348" s="5" t="str">
        <f>"Descripcion:ANTIVIRUS ESET ENDPOINT SECURITY RENOVACIÓN (NOD32) Estado: Bueno Placa anterior: 000038423 Material:  Color:  Referencia:  Observacion:     Placa padre:  Tipo adquisicion : Entidad"</f>
        <v>Descripcion:ANTIVIRUS ESET ENDPOINT SECURITY RENOVACIÓN (NOD32) Estado: Bueno Placa anterior: 000038423 Material:  Color:  Referencia:  Observacion:     Placa padre:  Tipo adquisicion : Entidad</v>
      </c>
      <c r="G19348" s="5"/>
    </row>
    <row r="19349" spans="1:7" ht="58.5" customHeight="1" x14ac:dyDescent="0.25">
      <c r="A19349" s="5" t="str">
        <f>"B0001401"</f>
        <v>B0001401</v>
      </c>
      <c r="B19349" s="5" t="str">
        <f t="shared" si="989"/>
        <v>ANTIVIRUS</v>
      </c>
      <c r="C19349" s="6">
        <v>63309.81</v>
      </c>
      <c r="D19349" s="5" t="s">
        <v>63</v>
      </c>
      <c r="E19349" s="5" t="str">
        <f t="shared" si="988"/>
        <v>SISTEMAS-GLOBALTRONIK SAS-SERGIO PATIÑO</v>
      </c>
      <c r="F19349" s="5" t="str">
        <f>"Descripcion:ANTIVIRUS ESET ENDPOINT SECURITY RENOVACIÓN (NOD32) Estado: Bueno Placa anterior: 000038711 Material:  Color:  Referencia:  Observacion:     Placa padre:  Tipo adquisicion : Entidad"</f>
        <v>Descripcion:ANTIVIRUS ESET ENDPOINT SECURITY RENOVACIÓN (NOD32) Estado: Bueno Placa anterior: 000038711 Material:  Color:  Referencia:  Observacion:     Placa padre:  Tipo adquisicion : Entidad</v>
      </c>
      <c r="G19349" s="5"/>
    </row>
    <row r="19350" spans="1:7" ht="58.5" customHeight="1" x14ac:dyDescent="0.25">
      <c r="A19350" s="5" t="str">
        <f>"B0001402"</f>
        <v>B0001402</v>
      </c>
      <c r="B19350" s="5" t="str">
        <f t="shared" si="989"/>
        <v>ANTIVIRUS</v>
      </c>
      <c r="C19350" s="6">
        <v>63309.81</v>
      </c>
      <c r="D19350" s="5" t="s">
        <v>63</v>
      </c>
      <c r="E19350" s="5" t="str">
        <f t="shared" si="988"/>
        <v>SISTEMAS-GLOBALTRONIK SAS-SERGIO PATIÑO</v>
      </c>
      <c r="F19350" s="5" t="str">
        <f>"Descripcion:ANTIVIRUS ESET ENDPOINT SECURITY RENOVACIÓN (NOD32) Estado: Bueno Placa anterior: 000038492 Material:  Color:  Referencia:  Observacion:     Placa padre:  Tipo adquisicion : Entidad"</f>
        <v>Descripcion:ANTIVIRUS ESET ENDPOINT SECURITY RENOVACIÓN (NOD32) Estado: Bueno Placa anterior: 000038492 Material:  Color:  Referencia:  Observacion:     Placa padre:  Tipo adquisicion : Entidad</v>
      </c>
      <c r="G19350" s="5"/>
    </row>
    <row r="19351" spans="1:7" ht="58.5" customHeight="1" x14ac:dyDescent="0.25">
      <c r="A19351" s="5" t="str">
        <f>"B0001403"</f>
        <v>B0001403</v>
      </c>
      <c r="B19351" s="5" t="str">
        <f t="shared" si="989"/>
        <v>ANTIVIRUS</v>
      </c>
      <c r="C19351" s="6">
        <v>63309.81</v>
      </c>
      <c r="D19351" s="5" t="s">
        <v>63</v>
      </c>
      <c r="E19351" s="5" t="str">
        <f t="shared" si="988"/>
        <v>SISTEMAS-GLOBALTRONIK SAS-SERGIO PATIÑO</v>
      </c>
      <c r="F19351" s="5" t="str">
        <f>"Descripcion:ANTIVIRUS ESET ENDPOINT SECURITY RENOVACIÓN (NOD32) Estado: Bueno Placa anterior: 000038394 Material:  Color:  Referencia:  Observacion:     Placa padre:  Tipo adquisicion : Entidad"</f>
        <v>Descripcion:ANTIVIRUS ESET ENDPOINT SECURITY RENOVACIÓN (NOD32) Estado: Bueno Placa anterior: 000038394 Material:  Color:  Referencia:  Observacion:     Placa padre:  Tipo adquisicion : Entidad</v>
      </c>
      <c r="G19351" s="5"/>
    </row>
    <row r="19352" spans="1:7" ht="58.5" customHeight="1" x14ac:dyDescent="0.25">
      <c r="A19352" s="5" t="str">
        <f>"B0001404"</f>
        <v>B0001404</v>
      </c>
      <c r="B19352" s="5" t="str">
        <f t="shared" si="989"/>
        <v>ANTIVIRUS</v>
      </c>
      <c r="C19352" s="6">
        <v>63309.81</v>
      </c>
      <c r="D19352" s="5" t="s">
        <v>63</v>
      </c>
      <c r="E19352" s="5" t="str">
        <f t="shared" si="988"/>
        <v>SISTEMAS-GLOBALTRONIK SAS-SERGIO PATIÑO</v>
      </c>
      <c r="F19352" s="5" t="str">
        <f>"Descripcion:ANTIVIRUS ESET ENDPOINT SECURITY RENOVACIÓN (NOD32) Estado: Bueno Placa anterior: 000038365 Material:  Color:  Referencia:  Observacion:     Placa padre:  Tipo adquisicion : Entidad"</f>
        <v>Descripcion:ANTIVIRUS ESET ENDPOINT SECURITY RENOVACIÓN (NOD32) Estado: Bueno Placa anterior: 000038365 Material:  Color:  Referencia:  Observacion:     Placa padre:  Tipo adquisicion : Entidad</v>
      </c>
      <c r="G19352" s="5"/>
    </row>
    <row r="19353" spans="1:7" ht="58.5" customHeight="1" x14ac:dyDescent="0.25">
      <c r="A19353" s="5" t="str">
        <f>"B0001405"</f>
        <v>B0001405</v>
      </c>
      <c r="B19353" s="5" t="str">
        <f t="shared" si="989"/>
        <v>ANTIVIRUS</v>
      </c>
      <c r="C19353" s="6">
        <v>63309.81</v>
      </c>
      <c r="D19353" s="5" t="s">
        <v>63</v>
      </c>
      <c r="E19353" s="5" t="str">
        <f t="shared" si="988"/>
        <v>SISTEMAS-GLOBALTRONIK SAS-SERGIO PATIÑO</v>
      </c>
      <c r="F19353" s="5" t="str">
        <f>"Descripcion:ANTIVIRUS ESET ENDPOINT SECURITY RENOVACIÓN (NOD32) Estado: Bueno Placa anterior: 000038695 Material:  Color:  Referencia:  Observacion:     Placa padre:  Tipo adquisicion : Entidad"</f>
        <v>Descripcion:ANTIVIRUS ESET ENDPOINT SECURITY RENOVACIÓN (NOD32) Estado: Bueno Placa anterior: 000038695 Material:  Color:  Referencia:  Observacion:     Placa padre:  Tipo adquisicion : Entidad</v>
      </c>
      <c r="G19353" s="5"/>
    </row>
    <row r="19354" spans="1:7" ht="58.5" customHeight="1" x14ac:dyDescent="0.25">
      <c r="A19354" s="5" t="str">
        <f>"B0001406"</f>
        <v>B0001406</v>
      </c>
      <c r="B19354" s="5" t="str">
        <f t="shared" si="989"/>
        <v>ANTIVIRUS</v>
      </c>
      <c r="C19354" s="6">
        <v>63309.81</v>
      </c>
      <c r="D19354" s="5" t="s">
        <v>63</v>
      </c>
      <c r="E19354" s="5" t="str">
        <f t="shared" si="988"/>
        <v>SISTEMAS-GLOBALTRONIK SAS-SERGIO PATIÑO</v>
      </c>
      <c r="F19354" s="5" t="str">
        <f>"Descripcion:ANTIVIRUS ESET ENDPOINT SECURITY RENOVACIÓN (NOD32) Estado: Bueno Placa anterior: 000038598 Material:  Color:  Referencia:  Observacion:     Placa padre:  Tipo adquisicion : Entidad"</f>
        <v>Descripcion:ANTIVIRUS ESET ENDPOINT SECURITY RENOVACIÓN (NOD32) Estado: Bueno Placa anterior: 000038598 Material:  Color:  Referencia:  Observacion:     Placa padre:  Tipo adquisicion : Entidad</v>
      </c>
      <c r="G19354" s="5"/>
    </row>
    <row r="19355" spans="1:7" ht="58.5" customHeight="1" x14ac:dyDescent="0.25">
      <c r="A19355" s="5" t="str">
        <f>"B0001407"</f>
        <v>B0001407</v>
      </c>
      <c r="B19355" s="5" t="str">
        <f t="shared" si="989"/>
        <v>ANTIVIRUS</v>
      </c>
      <c r="C19355" s="6">
        <v>63309.81</v>
      </c>
      <c r="D19355" s="5" t="s">
        <v>63</v>
      </c>
      <c r="E19355" s="5" t="str">
        <f t="shared" si="988"/>
        <v>SISTEMAS-GLOBALTRONIK SAS-SERGIO PATIÑO</v>
      </c>
      <c r="F19355" s="5" t="str">
        <f>"Descripcion:ANTIVIRUS ESET ENDPOINT SECURITY RENOVACIÓN (NOD32) Estado: Bueno Placa anterior: 000038405 Material:  Color:  Referencia:  Observacion:     Placa padre:  Tipo adquisicion : Entidad"</f>
        <v>Descripcion:ANTIVIRUS ESET ENDPOINT SECURITY RENOVACIÓN (NOD32) Estado: Bueno Placa anterior: 000038405 Material:  Color:  Referencia:  Observacion:     Placa padre:  Tipo adquisicion : Entidad</v>
      </c>
      <c r="G19355" s="5"/>
    </row>
    <row r="19356" spans="1:7" ht="58.5" customHeight="1" x14ac:dyDescent="0.25">
      <c r="A19356" s="5" t="str">
        <f>"B0001408"</f>
        <v>B0001408</v>
      </c>
      <c r="B19356" s="5" t="str">
        <f t="shared" si="989"/>
        <v>ANTIVIRUS</v>
      </c>
      <c r="C19356" s="6">
        <v>63309.81</v>
      </c>
      <c r="D19356" s="5" t="s">
        <v>63</v>
      </c>
      <c r="E19356" s="5" t="str">
        <f t="shared" si="988"/>
        <v>SISTEMAS-GLOBALTRONIK SAS-SERGIO PATIÑO</v>
      </c>
      <c r="F19356" s="5" t="str">
        <f>"Descripcion:ANTIVIRUS ESET ENDPOINT SECURITY RENOVACIÓN (NOD32) Estado: Bueno Placa anterior: 000038640 Material:  Color:  Referencia:  Observacion:     Placa padre:  Tipo adquisicion : Entidad"</f>
        <v>Descripcion:ANTIVIRUS ESET ENDPOINT SECURITY RENOVACIÓN (NOD32) Estado: Bueno Placa anterior: 000038640 Material:  Color:  Referencia:  Observacion:     Placa padre:  Tipo adquisicion : Entidad</v>
      </c>
      <c r="G19356" s="5"/>
    </row>
    <row r="19357" spans="1:7" ht="58.5" customHeight="1" x14ac:dyDescent="0.25">
      <c r="A19357" s="5" t="str">
        <f>"B0001409"</f>
        <v>B0001409</v>
      </c>
      <c r="B19357" s="5" t="str">
        <f t="shared" si="989"/>
        <v>ANTIVIRUS</v>
      </c>
      <c r="C19357" s="6">
        <v>63309.81</v>
      </c>
      <c r="D19357" s="5" t="s">
        <v>63</v>
      </c>
      <c r="E19357" s="5" t="str">
        <f t="shared" si="988"/>
        <v>SISTEMAS-GLOBALTRONIK SAS-SERGIO PATIÑO</v>
      </c>
      <c r="F19357" s="5" t="str">
        <f>"Descripcion:ANTIVIRUS ESET ENDPOINT SECURITY RENOVACIÓN (NOD32) Estado: Bueno Placa anterior: 000038741 Material:  Color:  Referencia:  Observacion:     Placa padre:  Tipo adquisicion : Entidad"</f>
        <v>Descripcion:ANTIVIRUS ESET ENDPOINT SECURITY RENOVACIÓN (NOD32) Estado: Bueno Placa anterior: 000038741 Material:  Color:  Referencia:  Observacion:     Placa padre:  Tipo adquisicion : Entidad</v>
      </c>
      <c r="G19357" s="5"/>
    </row>
    <row r="19358" spans="1:7" ht="58.5" customHeight="1" x14ac:dyDescent="0.25">
      <c r="A19358" s="5" t="str">
        <f>"B0001410"</f>
        <v>B0001410</v>
      </c>
      <c r="B19358" s="5" t="str">
        <f t="shared" si="989"/>
        <v>ANTIVIRUS</v>
      </c>
      <c r="C19358" s="6">
        <v>63309.81</v>
      </c>
      <c r="D19358" s="5" t="s">
        <v>63</v>
      </c>
      <c r="E19358" s="5" t="str">
        <f t="shared" si="988"/>
        <v>SISTEMAS-GLOBALTRONIK SAS-SERGIO PATIÑO</v>
      </c>
      <c r="F19358" s="5" t="str">
        <f>"Descripcion:ANTIVIRUS ESET ENDPOINT SECURITY RENOVACIÓN (NOD32) Estado: Bueno Placa anterior: 000038593 Material:  Color:  Referencia:  Observacion:     Placa padre:  Tipo adquisicion : Entidad"</f>
        <v>Descripcion:ANTIVIRUS ESET ENDPOINT SECURITY RENOVACIÓN (NOD32) Estado: Bueno Placa anterior: 000038593 Material:  Color:  Referencia:  Observacion:     Placa padre:  Tipo adquisicion : Entidad</v>
      </c>
      <c r="G19358" s="5"/>
    </row>
    <row r="19359" spans="1:7" ht="58.5" customHeight="1" x14ac:dyDescent="0.25">
      <c r="A19359" s="5" t="str">
        <f>"B0001411"</f>
        <v>B0001411</v>
      </c>
      <c r="B19359" s="5" t="str">
        <f t="shared" si="989"/>
        <v>ANTIVIRUS</v>
      </c>
      <c r="C19359" s="6">
        <v>63309.81</v>
      </c>
      <c r="D19359" s="5" t="s">
        <v>63</v>
      </c>
      <c r="E19359" s="5" t="str">
        <f t="shared" si="988"/>
        <v>SISTEMAS-GLOBALTRONIK SAS-SERGIO PATIÑO</v>
      </c>
      <c r="F19359" s="5" t="str">
        <f>"Descripcion:ANTIVIRUS ESET ENDPOINT SECURITY RENOVACIÓN (NOD32) Estado: Bueno Placa anterior: 000038707 Material:  Color:  Referencia:  Observacion:     Placa padre:  Tipo adquisicion : Entidad"</f>
        <v>Descripcion:ANTIVIRUS ESET ENDPOINT SECURITY RENOVACIÓN (NOD32) Estado: Bueno Placa anterior: 000038707 Material:  Color:  Referencia:  Observacion:     Placa padre:  Tipo adquisicion : Entidad</v>
      </c>
      <c r="G19359" s="5"/>
    </row>
    <row r="19360" spans="1:7" ht="58.5" customHeight="1" x14ac:dyDescent="0.25">
      <c r="A19360" s="5" t="str">
        <f>"B0001412"</f>
        <v>B0001412</v>
      </c>
      <c r="B19360" s="5" t="str">
        <f t="shared" si="989"/>
        <v>ANTIVIRUS</v>
      </c>
      <c r="C19360" s="6">
        <v>63309.81</v>
      </c>
      <c r="D19360" s="5" t="s">
        <v>63</v>
      </c>
      <c r="E19360" s="5" t="str">
        <f t="shared" si="988"/>
        <v>SISTEMAS-GLOBALTRONIK SAS-SERGIO PATIÑO</v>
      </c>
      <c r="F19360" s="5" t="str">
        <f>"Descripcion:ANTIVIRUS ESET ENDPOINT SECURITY RENOVACIÓN (NOD32) Estado: Bueno Placa anterior: 000038569 Material:  Color:  Referencia:  Observacion:     Placa padre:  Tipo adquisicion : Entidad"</f>
        <v>Descripcion:ANTIVIRUS ESET ENDPOINT SECURITY RENOVACIÓN (NOD32) Estado: Bueno Placa anterior: 000038569 Material:  Color:  Referencia:  Observacion:     Placa padre:  Tipo adquisicion : Entidad</v>
      </c>
      <c r="G19360" s="5"/>
    </row>
    <row r="19361" spans="1:7" ht="58.5" customHeight="1" x14ac:dyDescent="0.25">
      <c r="A19361" s="5" t="str">
        <f>"B0001413"</f>
        <v>B0001413</v>
      </c>
      <c r="B19361" s="5" t="str">
        <f t="shared" si="989"/>
        <v>ANTIVIRUS</v>
      </c>
      <c r="C19361" s="6">
        <v>63309.81</v>
      </c>
      <c r="D19361" s="5" t="s">
        <v>63</v>
      </c>
      <c r="E19361" s="5" t="str">
        <f t="shared" si="988"/>
        <v>SISTEMAS-GLOBALTRONIK SAS-SERGIO PATIÑO</v>
      </c>
      <c r="F19361" s="5" t="str">
        <f>"Descripcion:ANTIVIRUS ESET ENDPOINT SECURITY RENOVACIÓN (NOD32) Estado: Bueno Placa anterior: 000038697 Material:  Color:  Referencia:  Observacion:     Placa padre:  Tipo adquisicion : Entidad"</f>
        <v>Descripcion:ANTIVIRUS ESET ENDPOINT SECURITY RENOVACIÓN (NOD32) Estado: Bueno Placa anterior: 000038697 Material:  Color:  Referencia:  Observacion:     Placa padre:  Tipo adquisicion : Entidad</v>
      </c>
      <c r="G19361" s="5"/>
    </row>
    <row r="19362" spans="1:7" ht="58.5" customHeight="1" x14ac:dyDescent="0.25">
      <c r="A19362" s="5" t="str">
        <f>"B0001414"</f>
        <v>B0001414</v>
      </c>
      <c r="B19362" s="5" t="str">
        <f t="shared" si="989"/>
        <v>ANTIVIRUS</v>
      </c>
      <c r="C19362" s="6">
        <v>63309.81</v>
      </c>
      <c r="D19362" s="5" t="s">
        <v>63</v>
      </c>
      <c r="E19362" s="5" t="str">
        <f t="shared" si="988"/>
        <v>SISTEMAS-GLOBALTRONIK SAS-SERGIO PATIÑO</v>
      </c>
      <c r="F19362" s="5" t="str">
        <f>"Descripcion:ANTIVIRUS ESET ENDPOINT SECURITY RENOVACIÓN (NOD32) Estado: Bueno Placa anterior: 000038759 Material:  Color:  Referencia:  Observacion:     Placa padre:  Tipo adquisicion : Entidad"</f>
        <v>Descripcion:ANTIVIRUS ESET ENDPOINT SECURITY RENOVACIÓN (NOD32) Estado: Bueno Placa anterior: 000038759 Material:  Color:  Referencia:  Observacion:     Placa padre:  Tipo adquisicion : Entidad</v>
      </c>
      <c r="G19362" s="5"/>
    </row>
    <row r="19363" spans="1:7" ht="58.5" customHeight="1" x14ac:dyDescent="0.25">
      <c r="A19363" s="5" t="str">
        <f>"B0001415"</f>
        <v>B0001415</v>
      </c>
      <c r="B19363" s="5" t="str">
        <f t="shared" si="989"/>
        <v>ANTIVIRUS</v>
      </c>
      <c r="C19363" s="6">
        <v>129970</v>
      </c>
      <c r="D19363" s="5" t="s">
        <v>63</v>
      </c>
      <c r="E19363" s="5" t="str">
        <f t="shared" si="988"/>
        <v>SISTEMAS-GLOBALTRONIK SAS-SERGIO PATIÑO</v>
      </c>
      <c r="F19363" s="5" t="str">
        <f>"Descripcion:ANTIVIRUS ESET ENDPOINT SECURITY (NOD32) Estado: Bueno Placa anterior: 000038049 Material:  Color:  Referencia:  Observacion:     Placa padre:  Tipo adquisicion : Entidad"</f>
        <v>Descripcion:ANTIVIRUS ESET ENDPOINT SECURITY (NOD32) Estado: Bueno Placa anterior: 000038049 Material:  Color:  Referencia:  Observacion:     Placa padre:  Tipo adquisicion : Entidad</v>
      </c>
      <c r="G19363" s="5"/>
    </row>
    <row r="19364" spans="1:7" ht="58.5" customHeight="1" x14ac:dyDescent="0.25">
      <c r="A19364" s="5" t="str">
        <f>"B0001416"</f>
        <v>B0001416</v>
      </c>
      <c r="B19364" s="5" t="str">
        <f t="shared" si="989"/>
        <v>ANTIVIRUS</v>
      </c>
      <c r="C19364" s="6">
        <v>63309.81</v>
      </c>
      <c r="D19364" s="5" t="s">
        <v>63</v>
      </c>
      <c r="E19364" s="5" t="str">
        <f t="shared" si="988"/>
        <v>SISTEMAS-GLOBALTRONIK SAS-SERGIO PATIÑO</v>
      </c>
      <c r="F19364" s="5" t="str">
        <f>"Descripcion:ANTIVIRUS ESET ENDPOINT SECURITY RENOVACIÓN (NOD32) Estado: Bueno Placa anterior: 000038335 Material:  Color:  Referencia:  Observacion:     Placa padre:  Tipo adquisicion : Entidad"</f>
        <v>Descripcion:ANTIVIRUS ESET ENDPOINT SECURITY RENOVACIÓN (NOD32) Estado: Bueno Placa anterior: 000038335 Material:  Color:  Referencia:  Observacion:     Placa padre:  Tipo adquisicion : Entidad</v>
      </c>
      <c r="G19364" s="5"/>
    </row>
    <row r="19365" spans="1:7" ht="58.5" customHeight="1" x14ac:dyDescent="0.25">
      <c r="A19365" s="5" t="str">
        <f>"B0001417"</f>
        <v>B0001417</v>
      </c>
      <c r="B19365" s="5" t="str">
        <f t="shared" si="989"/>
        <v>ANTIVIRUS</v>
      </c>
      <c r="C19365" s="6">
        <v>129970</v>
      </c>
      <c r="D19365" s="5" t="s">
        <v>63</v>
      </c>
      <c r="E19365" s="5" t="str">
        <f t="shared" si="988"/>
        <v>SISTEMAS-GLOBALTRONIK SAS-SERGIO PATIÑO</v>
      </c>
      <c r="F19365" s="5" t="str">
        <f>"Descripcion:ANTIVIRUS ESET ENDPOINT SECURITY (NOD32) Estado: Bueno Placa anterior: 000038140 Material:  Color:  Referencia:  Observacion:     Placa padre:  Tipo adquisicion : Entidad"</f>
        <v>Descripcion:ANTIVIRUS ESET ENDPOINT SECURITY (NOD32) Estado: Bueno Placa anterior: 000038140 Material:  Color:  Referencia:  Observacion:     Placa padre:  Tipo adquisicion : Entidad</v>
      </c>
      <c r="G19365" s="5"/>
    </row>
    <row r="19366" spans="1:7" ht="58.5" customHeight="1" x14ac:dyDescent="0.25">
      <c r="A19366" s="5" t="str">
        <f>"B0001418"</f>
        <v>B0001418</v>
      </c>
      <c r="B19366" s="5" t="str">
        <f t="shared" si="989"/>
        <v>ANTIVIRUS</v>
      </c>
      <c r="C19366" s="6">
        <v>129970</v>
      </c>
      <c r="D19366" s="5" t="s">
        <v>63</v>
      </c>
      <c r="E19366" s="5" t="str">
        <f t="shared" si="988"/>
        <v>SISTEMAS-GLOBALTRONIK SAS-SERGIO PATIÑO</v>
      </c>
      <c r="F19366" s="5" t="str">
        <f>"Descripcion:ANTIVIRUS ESET ENDPOINT SECURITY (NOD32) Estado: Bueno Placa anterior: 000038133 Material:  Color:  Referencia:  Observacion:     Placa padre:  Tipo adquisicion : Entidad"</f>
        <v>Descripcion:ANTIVIRUS ESET ENDPOINT SECURITY (NOD32) Estado: Bueno Placa anterior: 000038133 Material:  Color:  Referencia:  Observacion:     Placa padre:  Tipo adquisicion : Entidad</v>
      </c>
      <c r="G19366" s="5"/>
    </row>
    <row r="19367" spans="1:7" ht="58.5" customHeight="1" x14ac:dyDescent="0.25">
      <c r="A19367" s="5" t="str">
        <f>"B0001419"</f>
        <v>B0001419</v>
      </c>
      <c r="B19367" s="5" t="str">
        <f t="shared" si="989"/>
        <v>ANTIVIRUS</v>
      </c>
      <c r="C19367" s="6">
        <v>63309.81</v>
      </c>
      <c r="D19367" s="5" t="s">
        <v>63</v>
      </c>
      <c r="E19367" s="5" t="str">
        <f t="shared" si="988"/>
        <v>SISTEMAS-GLOBALTRONIK SAS-SERGIO PATIÑO</v>
      </c>
      <c r="F19367" s="5" t="str">
        <f>"Descripcion:ANTIVIRUS ESET ENDPOINT SECURITY RENOVACIÓN (NOD32) Estado: Bueno Placa anterior: 000038605 Material:  Color:  Referencia:  Observacion:     Placa padre:  Tipo adquisicion : Entidad"</f>
        <v>Descripcion:ANTIVIRUS ESET ENDPOINT SECURITY RENOVACIÓN (NOD32) Estado: Bueno Placa anterior: 000038605 Material:  Color:  Referencia:  Observacion:     Placa padre:  Tipo adquisicion : Entidad</v>
      </c>
      <c r="G19367" s="5"/>
    </row>
    <row r="19368" spans="1:7" ht="58.5" customHeight="1" x14ac:dyDescent="0.25">
      <c r="A19368" s="5" t="str">
        <f>"B0001420"</f>
        <v>B0001420</v>
      </c>
      <c r="B19368" s="5" t="str">
        <f t="shared" si="989"/>
        <v>ANTIVIRUS</v>
      </c>
      <c r="C19368" s="6">
        <v>63309.81</v>
      </c>
      <c r="D19368" s="5" t="s">
        <v>63</v>
      </c>
      <c r="E19368" s="5" t="str">
        <f t="shared" si="988"/>
        <v>SISTEMAS-GLOBALTRONIK SAS-SERGIO PATIÑO</v>
      </c>
      <c r="F19368" s="5" t="str">
        <f>"Descripcion:ANTIVIRUS ESET ENDPOINT SECURITY RENOVACIÓN (NOD32) Estado: Bueno Placa anterior: 000038330 Material:  Color:  Referencia:  Observacion:     Placa padre:  Tipo adquisicion : Entidad"</f>
        <v>Descripcion:ANTIVIRUS ESET ENDPOINT SECURITY RENOVACIÓN (NOD32) Estado: Bueno Placa anterior: 000038330 Material:  Color:  Referencia:  Observacion:     Placa padre:  Tipo adquisicion : Entidad</v>
      </c>
      <c r="G19368" s="5"/>
    </row>
    <row r="19369" spans="1:7" ht="58.5" customHeight="1" x14ac:dyDescent="0.25">
      <c r="A19369" s="5" t="str">
        <f>"B0001421"</f>
        <v>B0001421</v>
      </c>
      <c r="B19369" s="5" t="str">
        <f t="shared" si="989"/>
        <v>ANTIVIRUS</v>
      </c>
      <c r="C19369" s="6">
        <v>63309.81</v>
      </c>
      <c r="D19369" s="5" t="s">
        <v>63</v>
      </c>
      <c r="E19369" s="5" t="str">
        <f t="shared" si="988"/>
        <v>SISTEMAS-GLOBALTRONIK SAS-SERGIO PATIÑO</v>
      </c>
      <c r="F19369" s="5" t="str">
        <f>"Descripcion:ANTIVIRUS ESET ENDPOINT SECURITY RENOVACIÓN (NOD32) Estado: Bueno Placa anterior: 000038421 Material:  Color:  Referencia:  Observacion:     Placa padre:  Tipo adquisicion : Entidad"</f>
        <v>Descripcion:ANTIVIRUS ESET ENDPOINT SECURITY RENOVACIÓN (NOD32) Estado: Bueno Placa anterior: 000038421 Material:  Color:  Referencia:  Observacion:     Placa padre:  Tipo adquisicion : Entidad</v>
      </c>
      <c r="G19369" s="5"/>
    </row>
    <row r="19370" spans="1:7" ht="58.5" customHeight="1" x14ac:dyDescent="0.25">
      <c r="A19370" s="5" t="str">
        <f>"B0001422"</f>
        <v>B0001422</v>
      </c>
      <c r="B19370" s="5" t="str">
        <f t="shared" si="989"/>
        <v>ANTIVIRUS</v>
      </c>
      <c r="C19370" s="6">
        <v>63309.81</v>
      </c>
      <c r="D19370" s="5" t="s">
        <v>63</v>
      </c>
      <c r="E19370" s="5" t="str">
        <f t="shared" si="988"/>
        <v>SISTEMAS-GLOBALTRONIK SAS-SERGIO PATIÑO</v>
      </c>
      <c r="F19370" s="5" t="str">
        <f>"Descripcion:ANTIVIRUS ESET ENDPOINT SECURITY RENOVACIÓN (NOD32) Estado: Bueno Placa anterior: 000038375 Material:  Color:  Referencia:  Observacion:     Placa padre:  Tipo adquisicion : Entidad"</f>
        <v>Descripcion:ANTIVIRUS ESET ENDPOINT SECURITY RENOVACIÓN (NOD32) Estado: Bueno Placa anterior: 000038375 Material:  Color:  Referencia:  Observacion:     Placa padre:  Tipo adquisicion : Entidad</v>
      </c>
      <c r="G19370" s="5"/>
    </row>
    <row r="19371" spans="1:7" ht="58.5" customHeight="1" x14ac:dyDescent="0.25">
      <c r="A19371" s="5" t="str">
        <f>"B0001423"</f>
        <v>B0001423</v>
      </c>
      <c r="B19371" s="5" t="str">
        <f t="shared" si="989"/>
        <v>ANTIVIRUS</v>
      </c>
      <c r="C19371" s="6">
        <v>63309.81</v>
      </c>
      <c r="D19371" s="5" t="s">
        <v>63</v>
      </c>
      <c r="E19371" s="5" t="str">
        <f t="shared" si="988"/>
        <v>SISTEMAS-GLOBALTRONIK SAS-SERGIO PATIÑO</v>
      </c>
      <c r="F19371" s="5" t="str">
        <f>"Descripcion:ANTIVIRUS ESET ENDPOINT SECURITY RENOVACIÓN (NOD32) Estado: Bueno Placa anterior: 000038397 Material:  Color:  Referencia:  Observacion:     Placa padre:  Tipo adquisicion : Entidad"</f>
        <v>Descripcion:ANTIVIRUS ESET ENDPOINT SECURITY RENOVACIÓN (NOD32) Estado: Bueno Placa anterior: 000038397 Material:  Color:  Referencia:  Observacion:     Placa padre:  Tipo adquisicion : Entidad</v>
      </c>
      <c r="G19371" s="5"/>
    </row>
    <row r="19372" spans="1:7" ht="58.5" customHeight="1" x14ac:dyDescent="0.25">
      <c r="A19372" s="5" t="str">
        <f>"B0001424"</f>
        <v>B0001424</v>
      </c>
      <c r="B19372" s="5" t="str">
        <f t="shared" si="989"/>
        <v>ANTIVIRUS</v>
      </c>
      <c r="C19372" s="6">
        <v>63309.81</v>
      </c>
      <c r="D19372" s="5" t="s">
        <v>63</v>
      </c>
      <c r="E19372" s="5" t="str">
        <f t="shared" si="988"/>
        <v>SISTEMAS-GLOBALTRONIK SAS-SERGIO PATIÑO</v>
      </c>
      <c r="F19372" s="5" t="str">
        <f>"Descripcion:ANTIVIRUS ESET ENDPOINT SECURITY RENOVACIÓN (NOD32) Estado: Bueno Placa anterior: 000038466 Material:  Color:  Referencia:  Observacion:     Placa padre:  Tipo adquisicion : Entidad"</f>
        <v>Descripcion:ANTIVIRUS ESET ENDPOINT SECURITY RENOVACIÓN (NOD32) Estado: Bueno Placa anterior: 000038466 Material:  Color:  Referencia:  Observacion:     Placa padre:  Tipo adquisicion : Entidad</v>
      </c>
      <c r="G19372" s="5"/>
    </row>
    <row r="19373" spans="1:7" ht="58.5" customHeight="1" x14ac:dyDescent="0.25">
      <c r="A19373" s="5" t="str">
        <f>"B0001425"</f>
        <v>B0001425</v>
      </c>
      <c r="B19373" s="5" t="str">
        <f t="shared" si="989"/>
        <v>ANTIVIRUS</v>
      </c>
      <c r="C19373" s="6">
        <v>63309.81</v>
      </c>
      <c r="D19373" s="5" t="s">
        <v>63</v>
      </c>
      <c r="E19373" s="5" t="str">
        <f t="shared" si="988"/>
        <v>SISTEMAS-GLOBALTRONIK SAS-SERGIO PATIÑO</v>
      </c>
      <c r="F19373" s="5" t="str">
        <f>"Descripcion:ANTIVIRUS ESET ENDPOINT SECURITY RENOVACIÓN (NOD32) Estado: Bueno Placa anterior: 000038326 Material:  Color:  Referencia:  Observacion:     Placa padre:  Tipo adquisicion : Entidad"</f>
        <v>Descripcion:ANTIVIRUS ESET ENDPOINT SECURITY RENOVACIÓN (NOD32) Estado: Bueno Placa anterior: 000038326 Material:  Color:  Referencia:  Observacion:     Placa padre:  Tipo adquisicion : Entidad</v>
      </c>
      <c r="G19373" s="5"/>
    </row>
    <row r="19374" spans="1:7" ht="58.5" customHeight="1" x14ac:dyDescent="0.25">
      <c r="A19374" s="5" t="str">
        <f>"B0001426"</f>
        <v>B0001426</v>
      </c>
      <c r="B19374" s="5" t="str">
        <f t="shared" si="989"/>
        <v>ANTIVIRUS</v>
      </c>
      <c r="C19374" s="6">
        <v>63309.81</v>
      </c>
      <c r="D19374" s="5" t="s">
        <v>63</v>
      </c>
      <c r="E19374" s="5" t="str">
        <f t="shared" si="988"/>
        <v>SISTEMAS-GLOBALTRONIK SAS-SERGIO PATIÑO</v>
      </c>
      <c r="F19374" s="5" t="str">
        <f>"Descripcion:ANTIVIRUS ESET ENDPOINT SECURITY RENOVACIÓN (NOD32) Estado: Bueno Placa anterior: 000038520 Material:  Color:  Referencia:  Observacion:     Placa padre:  Tipo adquisicion : Entidad"</f>
        <v>Descripcion:ANTIVIRUS ESET ENDPOINT SECURITY RENOVACIÓN (NOD32) Estado: Bueno Placa anterior: 000038520 Material:  Color:  Referencia:  Observacion:     Placa padre:  Tipo adquisicion : Entidad</v>
      </c>
      <c r="G19374" s="5"/>
    </row>
    <row r="19375" spans="1:7" ht="58.5" customHeight="1" x14ac:dyDescent="0.25">
      <c r="A19375" s="5" t="str">
        <f>"B0001427"</f>
        <v>B0001427</v>
      </c>
      <c r="B19375" s="5" t="str">
        <f t="shared" si="989"/>
        <v>ANTIVIRUS</v>
      </c>
      <c r="C19375" s="6">
        <v>63309.81</v>
      </c>
      <c r="D19375" s="5" t="s">
        <v>63</v>
      </c>
      <c r="E19375" s="5" t="str">
        <f t="shared" si="988"/>
        <v>SISTEMAS-GLOBALTRONIK SAS-SERGIO PATIÑO</v>
      </c>
      <c r="F19375" s="5" t="str">
        <f>"Descripcion:ANTIVIRUS ESET ENDPOINT SECURITY RENOVACIÓN (NOD32) Estado: Bueno Placa anterior: 000038371 Material:  Color:  Referencia:  Observacion:     Placa padre:  Tipo adquisicion : Entidad"</f>
        <v>Descripcion:ANTIVIRUS ESET ENDPOINT SECURITY RENOVACIÓN (NOD32) Estado: Bueno Placa anterior: 000038371 Material:  Color:  Referencia:  Observacion:     Placa padre:  Tipo adquisicion : Entidad</v>
      </c>
      <c r="G19375" s="5"/>
    </row>
    <row r="19376" spans="1:7" ht="58.5" customHeight="1" x14ac:dyDescent="0.25">
      <c r="A19376" s="5" t="str">
        <f>"B0001428"</f>
        <v>B0001428</v>
      </c>
      <c r="B19376" s="5" t="str">
        <f t="shared" si="989"/>
        <v>ANTIVIRUS</v>
      </c>
      <c r="C19376" s="6">
        <v>63309.81</v>
      </c>
      <c r="D19376" s="5" t="s">
        <v>63</v>
      </c>
      <c r="E19376" s="5" t="str">
        <f t="shared" si="988"/>
        <v>SISTEMAS-GLOBALTRONIK SAS-SERGIO PATIÑO</v>
      </c>
      <c r="F19376" s="5" t="str">
        <f>"Descripcion:ANTIVIRUS ESET ENDPOINT SECURITY RENOVACIÓN (NOD32) Estado: Bueno Placa anterior: 000038608 Material:  Color:  Referencia:  Observacion:     Placa padre:  Tipo adquisicion : Entidad"</f>
        <v>Descripcion:ANTIVIRUS ESET ENDPOINT SECURITY RENOVACIÓN (NOD32) Estado: Bueno Placa anterior: 000038608 Material:  Color:  Referencia:  Observacion:     Placa padre:  Tipo adquisicion : Entidad</v>
      </c>
      <c r="G19376" s="5"/>
    </row>
    <row r="19377" spans="1:7" ht="58.5" customHeight="1" x14ac:dyDescent="0.25">
      <c r="A19377" s="5" t="str">
        <f>"B0001429"</f>
        <v>B0001429</v>
      </c>
      <c r="B19377" s="5" t="str">
        <f t="shared" si="989"/>
        <v>ANTIVIRUS</v>
      </c>
      <c r="C19377" s="6">
        <v>63309.81</v>
      </c>
      <c r="D19377" s="5" t="s">
        <v>63</v>
      </c>
      <c r="E19377" s="5" t="str">
        <f t="shared" si="988"/>
        <v>SISTEMAS-GLOBALTRONIK SAS-SERGIO PATIÑO</v>
      </c>
      <c r="F19377" s="5" t="str">
        <f>"Descripcion:ANTIVIRUS ESET ENDPOINT SECURITY RENOVACIÓN (NOD32) Estado: Bueno Placa anterior: 000038718 Material:  Color:  Referencia:  Observacion:     Placa padre:  Tipo adquisicion : Entidad"</f>
        <v>Descripcion:ANTIVIRUS ESET ENDPOINT SECURITY RENOVACIÓN (NOD32) Estado: Bueno Placa anterior: 000038718 Material:  Color:  Referencia:  Observacion:     Placa padre:  Tipo adquisicion : Entidad</v>
      </c>
      <c r="G19377" s="5"/>
    </row>
    <row r="19378" spans="1:7" ht="58.5" customHeight="1" x14ac:dyDescent="0.25">
      <c r="A19378" s="5" t="str">
        <f>"B0001430"</f>
        <v>B0001430</v>
      </c>
      <c r="B19378" s="5" t="str">
        <f t="shared" si="989"/>
        <v>ANTIVIRUS</v>
      </c>
      <c r="C19378" s="6">
        <v>63309.81</v>
      </c>
      <c r="D19378" s="5" t="s">
        <v>63</v>
      </c>
      <c r="E19378" s="5" t="str">
        <f t="shared" si="988"/>
        <v>SISTEMAS-GLOBALTRONIK SAS-SERGIO PATIÑO</v>
      </c>
      <c r="F19378" s="5" t="str">
        <f>"Descripcion:ANTIVIRUS ESET ENDPOINT SECURITY RENOVACIÓN (NOD32) Estado: Bueno Placa anterior: 000038314 Material:  Color:  Referencia:  Observacion:     Placa padre:  Tipo adquisicion : Entidad"</f>
        <v>Descripcion:ANTIVIRUS ESET ENDPOINT SECURITY RENOVACIÓN (NOD32) Estado: Bueno Placa anterior: 000038314 Material:  Color:  Referencia:  Observacion:     Placa padre:  Tipo adquisicion : Entidad</v>
      </c>
      <c r="G19378" s="5"/>
    </row>
    <row r="19379" spans="1:7" ht="58.5" customHeight="1" x14ac:dyDescent="0.25">
      <c r="A19379" s="5" t="str">
        <f>"B0001431"</f>
        <v>B0001431</v>
      </c>
      <c r="B19379" s="5" t="str">
        <f t="shared" si="989"/>
        <v>ANTIVIRUS</v>
      </c>
      <c r="C19379" s="6">
        <v>63309.81</v>
      </c>
      <c r="D19379" s="5" t="s">
        <v>63</v>
      </c>
      <c r="E19379" s="5" t="str">
        <f t="shared" si="988"/>
        <v>SISTEMAS-GLOBALTRONIK SAS-SERGIO PATIÑO</v>
      </c>
      <c r="F19379" s="5" t="str">
        <f>"Descripcion:ANTIVIRUS ESET ENDPOINT SECURITY RENOVACIÓN (NOD32) Estado: Bueno Placa anterior: 000038327 Material:  Color:  Referencia:  Observacion:     Placa padre:  Tipo adquisicion : Entidad"</f>
        <v>Descripcion:ANTIVIRUS ESET ENDPOINT SECURITY RENOVACIÓN (NOD32) Estado: Bueno Placa anterior: 000038327 Material:  Color:  Referencia:  Observacion:     Placa padre:  Tipo adquisicion : Entidad</v>
      </c>
      <c r="G19379" s="5"/>
    </row>
    <row r="19380" spans="1:7" ht="58.5" customHeight="1" x14ac:dyDescent="0.25">
      <c r="A19380" s="5" t="str">
        <f>"B0001432"</f>
        <v>B0001432</v>
      </c>
      <c r="B19380" s="5" t="str">
        <f t="shared" si="989"/>
        <v>ANTIVIRUS</v>
      </c>
      <c r="C19380" s="6">
        <v>63309.81</v>
      </c>
      <c r="D19380" s="5" t="s">
        <v>63</v>
      </c>
      <c r="E19380" s="5" t="str">
        <f t="shared" si="988"/>
        <v>SISTEMAS-GLOBALTRONIK SAS-SERGIO PATIÑO</v>
      </c>
      <c r="F19380" s="5" t="str">
        <f>"Descripcion:ANTIVIRUS ESET ENDPOINT SECURITY RENOVACIÓN (NOD32) Estado: Bueno Placa anterior: 000038388 Material:  Color:  Referencia:  Observacion:     Placa padre:  Tipo adquisicion : Entidad"</f>
        <v>Descripcion:ANTIVIRUS ESET ENDPOINT SECURITY RENOVACIÓN (NOD32) Estado: Bueno Placa anterior: 000038388 Material:  Color:  Referencia:  Observacion:     Placa padre:  Tipo adquisicion : Entidad</v>
      </c>
      <c r="G19380" s="5"/>
    </row>
    <row r="19381" spans="1:7" ht="58.5" customHeight="1" x14ac:dyDescent="0.25">
      <c r="A19381" s="5" t="str">
        <f>"B0001433"</f>
        <v>B0001433</v>
      </c>
      <c r="B19381" s="5" t="str">
        <f t="shared" si="989"/>
        <v>ANTIVIRUS</v>
      </c>
      <c r="C19381" s="6">
        <v>129970</v>
      </c>
      <c r="D19381" s="5" t="s">
        <v>63</v>
      </c>
      <c r="E19381" s="5" t="str">
        <f t="shared" si="988"/>
        <v>SISTEMAS-GLOBALTRONIK SAS-SERGIO PATIÑO</v>
      </c>
      <c r="F19381" s="5" t="str">
        <f>"Descripcion:ANTIVIRUS ESET ENDPOINT SECURITY (NOD32) Estado: Bueno Placa anterior: 000038123 Material:  Color:  Referencia:  Observacion:     Placa padre:  Tipo adquisicion : Entidad"</f>
        <v>Descripcion:ANTIVIRUS ESET ENDPOINT SECURITY (NOD32) Estado: Bueno Placa anterior: 000038123 Material:  Color:  Referencia:  Observacion:     Placa padre:  Tipo adquisicion : Entidad</v>
      </c>
      <c r="G19381" s="5"/>
    </row>
    <row r="19382" spans="1:7" ht="58.5" customHeight="1" x14ac:dyDescent="0.25">
      <c r="A19382" s="5" t="str">
        <f>"B0001434"</f>
        <v>B0001434</v>
      </c>
      <c r="B19382" s="5" t="str">
        <f t="shared" si="989"/>
        <v>ANTIVIRUS</v>
      </c>
      <c r="C19382" s="6">
        <v>63309.81</v>
      </c>
      <c r="D19382" s="5" t="s">
        <v>63</v>
      </c>
      <c r="E19382" s="5" t="str">
        <f t="shared" si="988"/>
        <v>SISTEMAS-GLOBALTRONIK SAS-SERGIO PATIÑO</v>
      </c>
      <c r="F19382" s="5" t="str">
        <f>"Descripcion:ANTIVIRUS ESET ENDPOINT SECURITY RENOVACIÓN (NOD32) Estado: Bueno Placa anterior: 000038391 Material:  Color:  Referencia:  Observacion:     Placa padre:  Tipo adquisicion : Entidad"</f>
        <v>Descripcion:ANTIVIRUS ESET ENDPOINT SECURITY RENOVACIÓN (NOD32) Estado: Bueno Placa anterior: 000038391 Material:  Color:  Referencia:  Observacion:     Placa padre:  Tipo adquisicion : Entidad</v>
      </c>
      <c r="G19382" s="5"/>
    </row>
    <row r="19383" spans="1:7" ht="58.5" customHeight="1" x14ac:dyDescent="0.25">
      <c r="A19383" s="5" t="str">
        <f>"B0001435"</f>
        <v>B0001435</v>
      </c>
      <c r="B19383" s="5" t="str">
        <f t="shared" si="989"/>
        <v>ANTIVIRUS</v>
      </c>
      <c r="C19383" s="6">
        <v>129970</v>
      </c>
      <c r="D19383" s="5" t="s">
        <v>63</v>
      </c>
      <c r="E19383" s="5" t="str">
        <f t="shared" si="988"/>
        <v>SISTEMAS-GLOBALTRONIK SAS-SERGIO PATIÑO</v>
      </c>
      <c r="F19383" s="5" t="str">
        <f>"Descripcion:ANTIVIRUS ESET ENDPOINT SECURITY (NOD32) Estado: Bueno Placa anterior: 000038037 Material:  Color:  Referencia:  Observacion:     Placa padre:  Tipo adquisicion : Entidad"</f>
        <v>Descripcion:ANTIVIRUS ESET ENDPOINT SECURITY (NOD32) Estado: Bueno Placa anterior: 000038037 Material:  Color:  Referencia:  Observacion:     Placa padre:  Tipo adquisicion : Entidad</v>
      </c>
      <c r="G19383" s="5"/>
    </row>
    <row r="19384" spans="1:7" ht="58.5" customHeight="1" x14ac:dyDescent="0.25">
      <c r="A19384" s="5" t="str">
        <f>"B0001436"</f>
        <v>B0001436</v>
      </c>
      <c r="B19384" s="5" t="str">
        <f t="shared" si="989"/>
        <v>ANTIVIRUS</v>
      </c>
      <c r="C19384" s="6">
        <v>63309.81</v>
      </c>
      <c r="D19384" s="5" t="s">
        <v>63</v>
      </c>
      <c r="E19384" s="5" t="str">
        <f t="shared" si="988"/>
        <v>SISTEMAS-GLOBALTRONIK SAS-SERGIO PATIÑO</v>
      </c>
      <c r="F19384" s="5" t="str">
        <f>"Descripcion:ANTIVIRUS ESET ENDPOINT SECURITY RENOVACIÓN (NOD32) Estado: Bueno Placa anterior: 000038482 Material:  Color:  Referencia:  Observacion:     Placa padre:  Tipo adquisicion : Entidad"</f>
        <v>Descripcion:ANTIVIRUS ESET ENDPOINT SECURITY RENOVACIÓN (NOD32) Estado: Bueno Placa anterior: 000038482 Material:  Color:  Referencia:  Observacion:     Placa padre:  Tipo adquisicion : Entidad</v>
      </c>
      <c r="G19384" s="5"/>
    </row>
    <row r="19385" spans="1:7" ht="58.5" customHeight="1" x14ac:dyDescent="0.25">
      <c r="A19385" s="5" t="str">
        <f>"B0001437"</f>
        <v>B0001437</v>
      </c>
      <c r="B19385" s="5" t="str">
        <f t="shared" si="989"/>
        <v>ANTIVIRUS</v>
      </c>
      <c r="C19385" s="6">
        <v>63309.81</v>
      </c>
      <c r="D19385" s="5" t="s">
        <v>63</v>
      </c>
      <c r="E19385" s="5" t="str">
        <f t="shared" si="988"/>
        <v>SISTEMAS-GLOBALTRONIK SAS-SERGIO PATIÑO</v>
      </c>
      <c r="F19385" s="5" t="str">
        <f>"Descripcion:ANTIVIRUS ESET ENDPOINT SECURITY RENOVACIÓN (NOD32) Estado: Bueno Placa anterior: 000038310 Material:  Color:  Referencia:  Observacion:     Placa padre:  Tipo adquisicion : Entidad"</f>
        <v>Descripcion:ANTIVIRUS ESET ENDPOINT SECURITY RENOVACIÓN (NOD32) Estado: Bueno Placa anterior: 000038310 Material:  Color:  Referencia:  Observacion:     Placa padre:  Tipo adquisicion : Entidad</v>
      </c>
      <c r="G19385" s="5"/>
    </row>
    <row r="19386" spans="1:7" ht="58.5" customHeight="1" x14ac:dyDescent="0.25">
      <c r="A19386" s="5" t="str">
        <f>"B0001438"</f>
        <v>B0001438</v>
      </c>
      <c r="B19386" s="5" t="str">
        <f t="shared" si="989"/>
        <v>ANTIVIRUS</v>
      </c>
      <c r="C19386" s="6">
        <v>63309.81</v>
      </c>
      <c r="D19386" s="5" t="s">
        <v>63</v>
      </c>
      <c r="E19386" s="5" t="str">
        <f t="shared" si="988"/>
        <v>SISTEMAS-GLOBALTRONIK SAS-SERGIO PATIÑO</v>
      </c>
      <c r="F19386" s="5" t="str">
        <f>"Descripcion:ANTIVIRUS ESET ENDPOINT SECURITY RENOVACIÓN (NOD32) Estado: Bueno Placa anterior: 000038749 Material:  Color:  Referencia:  Observacion:     Placa padre:  Tipo adquisicion : Entidad"</f>
        <v>Descripcion:ANTIVIRUS ESET ENDPOINT SECURITY RENOVACIÓN (NOD32) Estado: Bueno Placa anterior: 000038749 Material:  Color:  Referencia:  Observacion:     Placa padre:  Tipo adquisicion : Entidad</v>
      </c>
      <c r="G19386" s="5"/>
    </row>
    <row r="19387" spans="1:7" ht="58.5" customHeight="1" x14ac:dyDescent="0.25">
      <c r="A19387" s="5" t="str">
        <f>"B0001439"</f>
        <v>B0001439</v>
      </c>
      <c r="B19387" s="5" t="str">
        <f t="shared" si="989"/>
        <v>ANTIVIRUS</v>
      </c>
      <c r="C19387" s="6">
        <v>129970</v>
      </c>
      <c r="D19387" s="5" t="s">
        <v>63</v>
      </c>
      <c r="E19387" s="5" t="str">
        <f t="shared" si="988"/>
        <v>SISTEMAS-GLOBALTRONIK SAS-SERGIO PATIÑO</v>
      </c>
      <c r="F19387" s="5" t="str">
        <f>"Descripcion:ANTIVIRUS ESET ENDPOINT SECURITY (NOD32) Estado: Bueno Placa anterior: 000038048 Material:  Color:  Referencia:  Observacion:     Placa padre:  Tipo adquisicion : Entidad"</f>
        <v>Descripcion:ANTIVIRUS ESET ENDPOINT SECURITY (NOD32) Estado: Bueno Placa anterior: 000038048 Material:  Color:  Referencia:  Observacion:     Placa padre:  Tipo adquisicion : Entidad</v>
      </c>
      <c r="G19387" s="5"/>
    </row>
    <row r="19388" spans="1:7" ht="58.5" customHeight="1" x14ac:dyDescent="0.25">
      <c r="A19388" s="5" t="str">
        <f>"B0001440"</f>
        <v>B0001440</v>
      </c>
      <c r="B19388" s="5" t="str">
        <f t="shared" si="989"/>
        <v>ANTIVIRUS</v>
      </c>
      <c r="C19388" s="6">
        <v>63309.81</v>
      </c>
      <c r="D19388" s="5" t="s">
        <v>63</v>
      </c>
      <c r="E19388" s="5" t="str">
        <f t="shared" si="988"/>
        <v>SISTEMAS-GLOBALTRONIK SAS-SERGIO PATIÑO</v>
      </c>
      <c r="F19388" s="5" t="str">
        <f>"Descripcion:ANTIVIRUS ESET ENDPOINT SECURITY RENOVACIÓN (NOD32) Estado: Bueno Placa anterior: 000038585 Material:  Color:  Referencia:  Observacion:     Placa padre:  Tipo adquisicion : Entidad"</f>
        <v>Descripcion:ANTIVIRUS ESET ENDPOINT SECURITY RENOVACIÓN (NOD32) Estado: Bueno Placa anterior: 000038585 Material:  Color:  Referencia:  Observacion:     Placa padre:  Tipo adquisicion : Entidad</v>
      </c>
      <c r="G19388" s="5"/>
    </row>
    <row r="19389" spans="1:7" ht="58.5" customHeight="1" x14ac:dyDescent="0.25">
      <c r="A19389" s="5" t="str">
        <f>"B0001441"</f>
        <v>B0001441</v>
      </c>
      <c r="B19389" s="5" t="str">
        <f t="shared" si="989"/>
        <v>ANTIVIRUS</v>
      </c>
      <c r="C19389" s="6">
        <v>63309.81</v>
      </c>
      <c r="D19389" s="5" t="s">
        <v>63</v>
      </c>
      <c r="E19389" s="5" t="str">
        <f t="shared" ref="E19389:E19452" si="990">"SISTEMAS-GLOBALTRONIK SAS-SERGIO PATIÑO"</f>
        <v>SISTEMAS-GLOBALTRONIK SAS-SERGIO PATIÑO</v>
      </c>
      <c r="F19389" s="5" t="str">
        <f>"Descripcion:ANTIVIRUS ESET ENDPOINT SECURITY RENOVACIÓN (NOD32) Estado: Bueno Placa anterior: 000038505 Material:  Color:  Referencia:  Observacion:     Placa padre:  Tipo adquisicion : Entidad"</f>
        <v>Descripcion:ANTIVIRUS ESET ENDPOINT SECURITY RENOVACIÓN (NOD32) Estado: Bueno Placa anterior: 000038505 Material:  Color:  Referencia:  Observacion:     Placa padre:  Tipo adquisicion : Entidad</v>
      </c>
      <c r="G19389" s="5"/>
    </row>
    <row r="19390" spans="1:7" ht="58.5" customHeight="1" x14ac:dyDescent="0.25">
      <c r="A19390" s="5" t="str">
        <f>"B0001442"</f>
        <v>B0001442</v>
      </c>
      <c r="B19390" s="5" t="str">
        <f t="shared" si="989"/>
        <v>ANTIVIRUS</v>
      </c>
      <c r="C19390" s="6">
        <v>63309.81</v>
      </c>
      <c r="D19390" s="5" t="s">
        <v>63</v>
      </c>
      <c r="E19390" s="5" t="str">
        <f t="shared" si="990"/>
        <v>SISTEMAS-GLOBALTRONIK SAS-SERGIO PATIÑO</v>
      </c>
      <c r="F19390" s="5" t="str">
        <f>"Descripcion:ANTIVIRUS ESET ENDPOINT SECURITY RENOVACIÓN (NOD32) Estado: Bueno Placa anterior: 000038762 Material:  Color:  Referencia:  Observacion:     Placa padre:  Tipo adquisicion : Entidad"</f>
        <v>Descripcion:ANTIVIRUS ESET ENDPOINT SECURITY RENOVACIÓN (NOD32) Estado: Bueno Placa anterior: 000038762 Material:  Color:  Referencia:  Observacion:     Placa padre:  Tipo adquisicion : Entidad</v>
      </c>
      <c r="G19390" s="5"/>
    </row>
    <row r="19391" spans="1:7" ht="58.5" customHeight="1" x14ac:dyDescent="0.25">
      <c r="A19391" s="5" t="str">
        <f>"B0001443"</f>
        <v>B0001443</v>
      </c>
      <c r="B19391" s="5" t="str">
        <f t="shared" si="989"/>
        <v>ANTIVIRUS</v>
      </c>
      <c r="C19391" s="6">
        <v>63309.81</v>
      </c>
      <c r="D19391" s="5" t="s">
        <v>63</v>
      </c>
      <c r="E19391" s="5" t="str">
        <f t="shared" si="990"/>
        <v>SISTEMAS-GLOBALTRONIK SAS-SERGIO PATIÑO</v>
      </c>
      <c r="F19391" s="5" t="str">
        <f>"Descripcion:ANTIVIRUS ESET ENDPOINT SECURITY RENOVACIÓN (NOD32) Estado: Bueno Placa anterior: 000038362 Material:  Color:  Referencia:  Observacion:     Placa padre:  Tipo adquisicion : Entidad"</f>
        <v>Descripcion:ANTIVIRUS ESET ENDPOINT SECURITY RENOVACIÓN (NOD32) Estado: Bueno Placa anterior: 000038362 Material:  Color:  Referencia:  Observacion:     Placa padre:  Tipo adquisicion : Entidad</v>
      </c>
      <c r="G19391" s="5"/>
    </row>
    <row r="19392" spans="1:7" ht="58.5" customHeight="1" x14ac:dyDescent="0.25">
      <c r="A19392" s="5" t="str">
        <f>"B0001444"</f>
        <v>B0001444</v>
      </c>
      <c r="B19392" s="5" t="str">
        <f t="shared" si="989"/>
        <v>ANTIVIRUS</v>
      </c>
      <c r="C19392" s="6">
        <v>63309.81</v>
      </c>
      <c r="D19392" s="5" t="s">
        <v>63</v>
      </c>
      <c r="E19392" s="5" t="str">
        <f t="shared" si="990"/>
        <v>SISTEMAS-GLOBALTRONIK SAS-SERGIO PATIÑO</v>
      </c>
      <c r="F19392" s="5" t="str">
        <f>"Descripcion:ANTIVIRUS ESET ENDPOINT SECURITY RENOVACIÓN (NOD32) Estado: Bueno Placa anterior: 000038714 Material:  Color:  Referencia:  Observacion:     Placa padre:  Tipo adquisicion : Entidad"</f>
        <v>Descripcion:ANTIVIRUS ESET ENDPOINT SECURITY RENOVACIÓN (NOD32) Estado: Bueno Placa anterior: 000038714 Material:  Color:  Referencia:  Observacion:     Placa padre:  Tipo adquisicion : Entidad</v>
      </c>
      <c r="G19392" s="5"/>
    </row>
    <row r="19393" spans="1:7" ht="58.5" customHeight="1" x14ac:dyDescent="0.25">
      <c r="A19393" s="5" t="str">
        <f>"B0001445"</f>
        <v>B0001445</v>
      </c>
      <c r="B19393" s="5" t="str">
        <f t="shared" si="989"/>
        <v>ANTIVIRUS</v>
      </c>
      <c r="C19393" s="6">
        <v>63309.81</v>
      </c>
      <c r="D19393" s="5" t="s">
        <v>63</v>
      </c>
      <c r="E19393" s="5" t="str">
        <f t="shared" si="990"/>
        <v>SISTEMAS-GLOBALTRONIK SAS-SERGIO PATIÑO</v>
      </c>
      <c r="F19393" s="5" t="str">
        <f>"Descripcion:ANTIVIRUS ESET ENDPOINT SECURITY RENOVACIÓN (NOD32) Estado: Bueno Placa anterior: 000038636 Material:  Color:  Referencia:  Observacion:     Placa padre:  Tipo adquisicion : Entidad"</f>
        <v>Descripcion:ANTIVIRUS ESET ENDPOINT SECURITY RENOVACIÓN (NOD32) Estado: Bueno Placa anterior: 000038636 Material:  Color:  Referencia:  Observacion:     Placa padre:  Tipo adquisicion : Entidad</v>
      </c>
      <c r="G19393" s="5"/>
    </row>
    <row r="19394" spans="1:7" ht="58.5" customHeight="1" x14ac:dyDescent="0.25">
      <c r="A19394" s="5" t="str">
        <f>"B0001446"</f>
        <v>B0001446</v>
      </c>
      <c r="B19394" s="5" t="str">
        <f t="shared" si="989"/>
        <v>ANTIVIRUS</v>
      </c>
      <c r="C19394" s="6">
        <v>63309.81</v>
      </c>
      <c r="D19394" s="5" t="s">
        <v>63</v>
      </c>
      <c r="E19394" s="5" t="str">
        <f t="shared" si="990"/>
        <v>SISTEMAS-GLOBALTRONIK SAS-SERGIO PATIÑO</v>
      </c>
      <c r="F19394" s="5" t="str">
        <f>"Descripcion:ANTIVIRUS ESET ENDPOINT SECURITY RENOVACIÓN (NOD32) Estado: Bueno Placa anterior: 000038465 Material:  Color:  Referencia:  Observacion:     Placa padre:  Tipo adquisicion : Entidad"</f>
        <v>Descripcion:ANTIVIRUS ESET ENDPOINT SECURITY RENOVACIÓN (NOD32) Estado: Bueno Placa anterior: 000038465 Material:  Color:  Referencia:  Observacion:     Placa padre:  Tipo adquisicion : Entidad</v>
      </c>
      <c r="G19394" s="5"/>
    </row>
    <row r="19395" spans="1:7" ht="58.5" customHeight="1" x14ac:dyDescent="0.25">
      <c r="A19395" s="5" t="str">
        <f>"B0001447"</f>
        <v>B0001447</v>
      </c>
      <c r="B19395" s="5" t="str">
        <f t="shared" si="989"/>
        <v>ANTIVIRUS</v>
      </c>
      <c r="C19395" s="6">
        <v>63309.81</v>
      </c>
      <c r="D19395" s="5" t="s">
        <v>63</v>
      </c>
      <c r="E19395" s="5" t="str">
        <f t="shared" si="990"/>
        <v>SISTEMAS-GLOBALTRONIK SAS-SERGIO PATIÑO</v>
      </c>
      <c r="F19395" s="5" t="str">
        <f>"Descripcion:ANTIVIRUS ESET ENDPOINT SECURITY RENOVACIÓN (NOD32) Estado: Bueno Placa anterior: 000038458 Material:  Color:  Referencia:  Observacion:     Placa padre:  Tipo adquisicion : Entidad"</f>
        <v>Descripcion:ANTIVIRUS ESET ENDPOINT SECURITY RENOVACIÓN (NOD32) Estado: Bueno Placa anterior: 000038458 Material:  Color:  Referencia:  Observacion:     Placa padre:  Tipo adquisicion : Entidad</v>
      </c>
      <c r="G19395" s="5"/>
    </row>
    <row r="19396" spans="1:7" ht="58.5" customHeight="1" x14ac:dyDescent="0.25">
      <c r="A19396" s="5" t="str">
        <f>"B0001448"</f>
        <v>B0001448</v>
      </c>
      <c r="B19396" s="5" t="str">
        <f t="shared" ref="B19396:B19459" si="991">"ANTIVIRUS"</f>
        <v>ANTIVIRUS</v>
      </c>
      <c r="C19396" s="6">
        <v>63309.81</v>
      </c>
      <c r="D19396" s="5" t="s">
        <v>63</v>
      </c>
      <c r="E19396" s="5" t="str">
        <f t="shared" si="990"/>
        <v>SISTEMAS-GLOBALTRONIK SAS-SERGIO PATIÑO</v>
      </c>
      <c r="F19396" s="5" t="str">
        <f>"Descripcion:ANTIVIRUS ESET ENDPOINT SECURITY RENOVACIÓN (NOD32) Estado: Bueno Placa anterior: 000038322 Material:  Color:  Referencia:  Observacion:     Placa padre:  Tipo adquisicion : Entidad"</f>
        <v>Descripcion:ANTIVIRUS ESET ENDPOINT SECURITY RENOVACIÓN (NOD32) Estado: Bueno Placa anterior: 000038322 Material:  Color:  Referencia:  Observacion:     Placa padre:  Tipo adquisicion : Entidad</v>
      </c>
      <c r="G19396" s="5"/>
    </row>
    <row r="19397" spans="1:7" ht="58.5" customHeight="1" x14ac:dyDescent="0.25">
      <c r="A19397" s="5" t="str">
        <f>"B0001449"</f>
        <v>B0001449</v>
      </c>
      <c r="B19397" s="5" t="str">
        <f t="shared" si="991"/>
        <v>ANTIVIRUS</v>
      </c>
      <c r="C19397" s="6">
        <v>63309.81</v>
      </c>
      <c r="D19397" s="5" t="s">
        <v>63</v>
      </c>
      <c r="E19397" s="5" t="str">
        <f t="shared" si="990"/>
        <v>SISTEMAS-GLOBALTRONIK SAS-SERGIO PATIÑO</v>
      </c>
      <c r="F19397" s="5" t="str">
        <f>"Descripcion:ANTIVIRUS ESET ENDPOINT SECURITY RENOVACIÓN (NOD32) Estado: Bueno Placa anterior: 000038555 Material:  Color:  Referencia:  Observacion:     Placa padre:  Tipo adquisicion : Entidad"</f>
        <v>Descripcion:ANTIVIRUS ESET ENDPOINT SECURITY RENOVACIÓN (NOD32) Estado: Bueno Placa anterior: 000038555 Material:  Color:  Referencia:  Observacion:     Placa padre:  Tipo adquisicion : Entidad</v>
      </c>
      <c r="G19397" s="5"/>
    </row>
    <row r="19398" spans="1:7" ht="58.5" customHeight="1" x14ac:dyDescent="0.25">
      <c r="A19398" s="5" t="str">
        <f>"B0001450"</f>
        <v>B0001450</v>
      </c>
      <c r="B19398" s="5" t="str">
        <f t="shared" si="991"/>
        <v>ANTIVIRUS</v>
      </c>
      <c r="C19398" s="6">
        <v>63309.81</v>
      </c>
      <c r="D19398" s="5" t="s">
        <v>63</v>
      </c>
      <c r="E19398" s="5" t="str">
        <f t="shared" si="990"/>
        <v>SISTEMAS-GLOBALTRONIK SAS-SERGIO PATIÑO</v>
      </c>
      <c r="F19398" s="5" t="str">
        <f>"Descripcion:ANTIVIRUS ESET ENDPOINT SECURITY RENOVACIÓN (NOD32) Estado: Bueno Placa anterior: 000038559 Material:  Color:  Referencia:  Observacion:     Placa padre:  Tipo adquisicion : Entidad"</f>
        <v>Descripcion:ANTIVIRUS ESET ENDPOINT SECURITY RENOVACIÓN (NOD32) Estado: Bueno Placa anterior: 000038559 Material:  Color:  Referencia:  Observacion:     Placa padre:  Tipo adquisicion : Entidad</v>
      </c>
      <c r="G19398" s="5"/>
    </row>
    <row r="19399" spans="1:7" ht="58.5" customHeight="1" x14ac:dyDescent="0.25">
      <c r="A19399" s="5" t="str">
        <f>"B0001451"</f>
        <v>B0001451</v>
      </c>
      <c r="B19399" s="5" t="str">
        <f t="shared" si="991"/>
        <v>ANTIVIRUS</v>
      </c>
      <c r="C19399" s="6">
        <v>63309.81</v>
      </c>
      <c r="D19399" s="5" t="s">
        <v>63</v>
      </c>
      <c r="E19399" s="5" t="str">
        <f t="shared" si="990"/>
        <v>SISTEMAS-GLOBALTRONIK SAS-SERGIO PATIÑO</v>
      </c>
      <c r="F19399" s="5" t="str">
        <f>"Descripcion:ANTIVIRUS ESET ENDPOINT SECURITY RENOVACIÓN (NOD32) Estado: Bueno Placa anterior: 000038777 Material:  Color:  Referencia:  Observacion:     Placa padre:  Tipo adquisicion : Entidad"</f>
        <v>Descripcion:ANTIVIRUS ESET ENDPOINT SECURITY RENOVACIÓN (NOD32) Estado: Bueno Placa anterior: 000038777 Material:  Color:  Referencia:  Observacion:     Placa padre:  Tipo adquisicion : Entidad</v>
      </c>
      <c r="G19399" s="5"/>
    </row>
    <row r="19400" spans="1:7" ht="58.5" customHeight="1" x14ac:dyDescent="0.25">
      <c r="A19400" s="5" t="str">
        <f>"B0001452"</f>
        <v>B0001452</v>
      </c>
      <c r="B19400" s="5" t="str">
        <f t="shared" si="991"/>
        <v>ANTIVIRUS</v>
      </c>
      <c r="C19400" s="6">
        <v>63309.81</v>
      </c>
      <c r="D19400" s="5" t="s">
        <v>63</v>
      </c>
      <c r="E19400" s="5" t="str">
        <f t="shared" si="990"/>
        <v>SISTEMAS-GLOBALTRONIK SAS-SERGIO PATIÑO</v>
      </c>
      <c r="F19400" s="5" t="str">
        <f>"Descripcion:ANTIVIRUS ESET ENDPOINT SECURITY RENOVACIÓN (NOD32) Estado: Bueno Placa anterior: 000038757 Material:  Color:  Referencia:  Observacion:     Placa padre:  Tipo adquisicion : Entidad"</f>
        <v>Descripcion:ANTIVIRUS ESET ENDPOINT SECURITY RENOVACIÓN (NOD32) Estado: Bueno Placa anterior: 000038757 Material:  Color:  Referencia:  Observacion:     Placa padre:  Tipo adquisicion : Entidad</v>
      </c>
      <c r="G19400" s="5"/>
    </row>
    <row r="19401" spans="1:7" ht="58.5" customHeight="1" x14ac:dyDescent="0.25">
      <c r="A19401" s="5" t="str">
        <f>"B0001453"</f>
        <v>B0001453</v>
      </c>
      <c r="B19401" s="5" t="str">
        <f t="shared" si="991"/>
        <v>ANTIVIRUS</v>
      </c>
      <c r="C19401" s="6">
        <v>63309.81</v>
      </c>
      <c r="D19401" s="5" t="s">
        <v>63</v>
      </c>
      <c r="E19401" s="5" t="str">
        <f t="shared" si="990"/>
        <v>SISTEMAS-GLOBALTRONIK SAS-SERGIO PATIÑO</v>
      </c>
      <c r="F19401" s="5" t="str">
        <f>"Descripcion:ANTIVIRUS ESET ENDPOINT SECURITY RENOVACIÓN (NOD32) Estado: Bueno Placa anterior: 000038351 Material:  Color:  Referencia:  Observacion:     Placa padre:  Tipo adquisicion : Entidad"</f>
        <v>Descripcion:ANTIVIRUS ESET ENDPOINT SECURITY RENOVACIÓN (NOD32) Estado: Bueno Placa anterior: 000038351 Material:  Color:  Referencia:  Observacion:     Placa padre:  Tipo adquisicion : Entidad</v>
      </c>
      <c r="G19401" s="5"/>
    </row>
    <row r="19402" spans="1:7" ht="58.5" customHeight="1" x14ac:dyDescent="0.25">
      <c r="A19402" s="5" t="str">
        <f>"B0001454"</f>
        <v>B0001454</v>
      </c>
      <c r="B19402" s="5" t="str">
        <f t="shared" si="991"/>
        <v>ANTIVIRUS</v>
      </c>
      <c r="C19402" s="6">
        <v>63309.81</v>
      </c>
      <c r="D19402" s="5" t="s">
        <v>63</v>
      </c>
      <c r="E19402" s="5" t="str">
        <f t="shared" si="990"/>
        <v>SISTEMAS-GLOBALTRONIK SAS-SERGIO PATIÑO</v>
      </c>
      <c r="F19402" s="5" t="str">
        <f>"Descripcion:ANTIVIRUS ESET ENDPOINT SECURITY RENOVACIÓN (NOD32) Estado: Bueno Placa anterior: 000038713 Material:  Color:  Referencia:  Observacion:     Placa padre:  Tipo adquisicion : Entidad"</f>
        <v>Descripcion:ANTIVIRUS ESET ENDPOINT SECURITY RENOVACIÓN (NOD32) Estado: Bueno Placa anterior: 000038713 Material:  Color:  Referencia:  Observacion:     Placa padre:  Tipo adquisicion : Entidad</v>
      </c>
      <c r="G19402" s="5"/>
    </row>
    <row r="19403" spans="1:7" ht="58.5" customHeight="1" x14ac:dyDescent="0.25">
      <c r="A19403" s="5" t="str">
        <f>"B0001455"</f>
        <v>B0001455</v>
      </c>
      <c r="B19403" s="5" t="str">
        <f t="shared" si="991"/>
        <v>ANTIVIRUS</v>
      </c>
      <c r="C19403" s="6">
        <v>63309.81</v>
      </c>
      <c r="D19403" s="5" t="s">
        <v>63</v>
      </c>
      <c r="E19403" s="5" t="str">
        <f t="shared" si="990"/>
        <v>SISTEMAS-GLOBALTRONIK SAS-SERGIO PATIÑO</v>
      </c>
      <c r="F19403" s="5" t="str">
        <f>"Descripcion:ANTIVIRUS ESET ENDPOINT SECURITY RENOVACIÓN (NOD32) Estado: Bueno Placa anterior: 000038389 Material:  Color:  Referencia:  Observacion:     Placa padre:  Tipo adquisicion : Entidad"</f>
        <v>Descripcion:ANTIVIRUS ESET ENDPOINT SECURITY RENOVACIÓN (NOD32) Estado: Bueno Placa anterior: 000038389 Material:  Color:  Referencia:  Observacion:     Placa padre:  Tipo adquisicion : Entidad</v>
      </c>
      <c r="G19403" s="5"/>
    </row>
    <row r="19404" spans="1:7" ht="58.5" customHeight="1" x14ac:dyDescent="0.25">
      <c r="A19404" s="5" t="str">
        <f>"B0001456"</f>
        <v>B0001456</v>
      </c>
      <c r="B19404" s="5" t="str">
        <f t="shared" si="991"/>
        <v>ANTIVIRUS</v>
      </c>
      <c r="C19404" s="6">
        <v>63309.81</v>
      </c>
      <c r="D19404" s="5" t="s">
        <v>63</v>
      </c>
      <c r="E19404" s="5" t="str">
        <f t="shared" si="990"/>
        <v>SISTEMAS-GLOBALTRONIK SAS-SERGIO PATIÑO</v>
      </c>
      <c r="F19404" s="5" t="str">
        <f>"Descripcion:ANTIVIRUS ESET ENDPOINT SECURITY RENOVACIÓN (NOD32) Estado: Bueno Placa anterior: 000038565 Material:  Color:  Referencia:  Observacion:     Placa padre:  Tipo adquisicion : Entidad"</f>
        <v>Descripcion:ANTIVIRUS ESET ENDPOINT SECURITY RENOVACIÓN (NOD32) Estado: Bueno Placa anterior: 000038565 Material:  Color:  Referencia:  Observacion:     Placa padre:  Tipo adquisicion : Entidad</v>
      </c>
      <c r="G19404" s="5"/>
    </row>
    <row r="19405" spans="1:7" ht="58.5" customHeight="1" x14ac:dyDescent="0.25">
      <c r="A19405" s="5" t="str">
        <f>"B0001457"</f>
        <v>B0001457</v>
      </c>
      <c r="B19405" s="5" t="str">
        <f t="shared" si="991"/>
        <v>ANTIVIRUS</v>
      </c>
      <c r="C19405" s="6">
        <v>63309.81</v>
      </c>
      <c r="D19405" s="5" t="s">
        <v>63</v>
      </c>
      <c r="E19405" s="5" t="str">
        <f t="shared" si="990"/>
        <v>SISTEMAS-GLOBALTRONIK SAS-SERGIO PATIÑO</v>
      </c>
      <c r="F19405" s="5" t="str">
        <f>"Descripcion:ANTIVIRUS ESET ENDPOINT SECURITY RENOVACIÓN (NOD32) Estado: Bueno Placa anterior: 000038763 Material:  Color:  Referencia:  Observacion:     Placa padre:  Tipo adquisicion : Entidad"</f>
        <v>Descripcion:ANTIVIRUS ESET ENDPOINT SECURITY RENOVACIÓN (NOD32) Estado: Bueno Placa anterior: 000038763 Material:  Color:  Referencia:  Observacion:     Placa padre:  Tipo adquisicion : Entidad</v>
      </c>
      <c r="G19405" s="5"/>
    </row>
    <row r="19406" spans="1:7" ht="58.5" customHeight="1" x14ac:dyDescent="0.25">
      <c r="A19406" s="5" t="str">
        <f>"B0001458"</f>
        <v>B0001458</v>
      </c>
      <c r="B19406" s="5" t="str">
        <f t="shared" si="991"/>
        <v>ANTIVIRUS</v>
      </c>
      <c r="C19406" s="6">
        <v>129970</v>
      </c>
      <c r="D19406" s="5" t="s">
        <v>63</v>
      </c>
      <c r="E19406" s="5" t="str">
        <f t="shared" si="990"/>
        <v>SISTEMAS-GLOBALTRONIK SAS-SERGIO PATIÑO</v>
      </c>
      <c r="F19406" s="5" t="str">
        <f>"Descripcion:ANTIVIRUS ESET ENDPOINT SECURITY (NOD32) Estado: Bueno Placa anterior: 000038116 Material:  Color:  Referencia:  Observacion:     Placa padre:  Tipo adquisicion : Entidad"</f>
        <v>Descripcion:ANTIVIRUS ESET ENDPOINT SECURITY (NOD32) Estado: Bueno Placa anterior: 000038116 Material:  Color:  Referencia:  Observacion:     Placa padre:  Tipo adquisicion : Entidad</v>
      </c>
      <c r="G19406" s="5"/>
    </row>
    <row r="19407" spans="1:7" ht="58.5" customHeight="1" x14ac:dyDescent="0.25">
      <c r="A19407" s="5" t="str">
        <f>"B0001459"</f>
        <v>B0001459</v>
      </c>
      <c r="B19407" s="5" t="str">
        <f t="shared" si="991"/>
        <v>ANTIVIRUS</v>
      </c>
      <c r="C19407" s="6">
        <v>63309.81</v>
      </c>
      <c r="D19407" s="5" t="s">
        <v>63</v>
      </c>
      <c r="E19407" s="5" t="str">
        <f t="shared" si="990"/>
        <v>SISTEMAS-GLOBALTRONIK SAS-SERGIO PATIÑO</v>
      </c>
      <c r="F19407" s="5" t="str">
        <f>"Descripcion:ANTIVIRUS ESET ENDPOINT SECURITY RENOVACIÓN (NOD32) Estado: Bueno Placa anterior: 000038784 Material:  Color:  Referencia:  Observacion:     Placa padre:  Tipo adquisicion : Entidad"</f>
        <v>Descripcion:ANTIVIRUS ESET ENDPOINT SECURITY RENOVACIÓN (NOD32) Estado: Bueno Placa anterior: 000038784 Material:  Color:  Referencia:  Observacion:     Placa padre:  Tipo adquisicion : Entidad</v>
      </c>
      <c r="G19407" s="5"/>
    </row>
    <row r="19408" spans="1:7" ht="58.5" customHeight="1" x14ac:dyDescent="0.25">
      <c r="A19408" s="5" t="str">
        <f>"B0001460"</f>
        <v>B0001460</v>
      </c>
      <c r="B19408" s="5" t="str">
        <f t="shared" si="991"/>
        <v>ANTIVIRUS</v>
      </c>
      <c r="C19408" s="6">
        <v>63309.81</v>
      </c>
      <c r="D19408" s="5" t="s">
        <v>63</v>
      </c>
      <c r="E19408" s="5" t="str">
        <f t="shared" si="990"/>
        <v>SISTEMAS-GLOBALTRONIK SAS-SERGIO PATIÑO</v>
      </c>
      <c r="F19408" s="5" t="str">
        <f>"Descripcion:ANTIVIRUS ESET ENDPOINT SECURITY RENOVACIÓN (NOD32) Estado: Bueno Placa anterior: 000038621 Material:  Color:  Referencia:  Observacion:     Placa padre:  Tipo adquisicion : Entidad"</f>
        <v>Descripcion:ANTIVIRUS ESET ENDPOINT SECURITY RENOVACIÓN (NOD32) Estado: Bueno Placa anterior: 000038621 Material:  Color:  Referencia:  Observacion:     Placa padre:  Tipo adquisicion : Entidad</v>
      </c>
      <c r="G19408" s="5"/>
    </row>
    <row r="19409" spans="1:7" ht="58.5" customHeight="1" x14ac:dyDescent="0.25">
      <c r="A19409" s="5" t="str">
        <f>"B0001461"</f>
        <v>B0001461</v>
      </c>
      <c r="B19409" s="5" t="str">
        <f t="shared" si="991"/>
        <v>ANTIVIRUS</v>
      </c>
      <c r="C19409" s="6">
        <v>63309.81</v>
      </c>
      <c r="D19409" s="5" t="s">
        <v>63</v>
      </c>
      <c r="E19409" s="5" t="str">
        <f t="shared" si="990"/>
        <v>SISTEMAS-GLOBALTRONIK SAS-SERGIO PATIÑO</v>
      </c>
      <c r="F19409" s="5" t="str">
        <f>"Descripcion:ANTIVIRUS ESET ENDPOINT SECURITY RENOVACIÓN (NOD32) Estado: Bueno Placa anterior: 000038320 Material:  Color:  Referencia:  Observacion:     Placa padre:  Tipo adquisicion : Entidad"</f>
        <v>Descripcion:ANTIVIRUS ESET ENDPOINT SECURITY RENOVACIÓN (NOD32) Estado: Bueno Placa anterior: 000038320 Material:  Color:  Referencia:  Observacion:     Placa padre:  Tipo adquisicion : Entidad</v>
      </c>
      <c r="G19409" s="5"/>
    </row>
    <row r="19410" spans="1:7" ht="58.5" customHeight="1" x14ac:dyDescent="0.25">
      <c r="A19410" s="5" t="str">
        <f>"B0001462"</f>
        <v>B0001462</v>
      </c>
      <c r="B19410" s="5" t="str">
        <f t="shared" si="991"/>
        <v>ANTIVIRUS</v>
      </c>
      <c r="C19410" s="6">
        <v>63309.81</v>
      </c>
      <c r="D19410" s="5" t="s">
        <v>63</v>
      </c>
      <c r="E19410" s="5" t="str">
        <f t="shared" si="990"/>
        <v>SISTEMAS-GLOBALTRONIK SAS-SERGIO PATIÑO</v>
      </c>
      <c r="F19410" s="5" t="str">
        <f>"Descripcion:ANTIVIRUS ESET ENDPOINT SECURITY RENOVACIÓN (NOD32) Estado: Bueno Placa anterior: 000038781 Material:  Color:  Referencia:  Observacion:     Placa padre:  Tipo adquisicion : Entidad"</f>
        <v>Descripcion:ANTIVIRUS ESET ENDPOINT SECURITY RENOVACIÓN (NOD32) Estado: Bueno Placa anterior: 000038781 Material:  Color:  Referencia:  Observacion:     Placa padre:  Tipo adquisicion : Entidad</v>
      </c>
      <c r="G19410" s="5"/>
    </row>
    <row r="19411" spans="1:7" ht="58.5" customHeight="1" x14ac:dyDescent="0.25">
      <c r="A19411" s="5" t="str">
        <f>"B0001463"</f>
        <v>B0001463</v>
      </c>
      <c r="B19411" s="5" t="str">
        <f t="shared" si="991"/>
        <v>ANTIVIRUS</v>
      </c>
      <c r="C19411" s="6">
        <v>63309.81</v>
      </c>
      <c r="D19411" s="5" t="s">
        <v>63</v>
      </c>
      <c r="E19411" s="5" t="str">
        <f t="shared" si="990"/>
        <v>SISTEMAS-GLOBALTRONIK SAS-SERGIO PATIÑO</v>
      </c>
      <c r="F19411" s="5" t="str">
        <f>"Descripcion:ANTIVIRUS ESET ENDPOINT SECURITY RENOVACIÓN (NOD32) Estado: Bueno Placa anterior: 000038647 Material:  Color:  Referencia:  Observacion:     Placa padre:  Tipo adquisicion : Entidad"</f>
        <v>Descripcion:ANTIVIRUS ESET ENDPOINT SECURITY RENOVACIÓN (NOD32) Estado: Bueno Placa anterior: 000038647 Material:  Color:  Referencia:  Observacion:     Placa padre:  Tipo adquisicion : Entidad</v>
      </c>
      <c r="G19411" s="5"/>
    </row>
    <row r="19412" spans="1:7" ht="58.5" customHeight="1" x14ac:dyDescent="0.25">
      <c r="A19412" s="5" t="str">
        <f>"B0001464"</f>
        <v>B0001464</v>
      </c>
      <c r="B19412" s="5" t="str">
        <f t="shared" si="991"/>
        <v>ANTIVIRUS</v>
      </c>
      <c r="C19412" s="6">
        <v>63309.81</v>
      </c>
      <c r="D19412" s="5" t="s">
        <v>63</v>
      </c>
      <c r="E19412" s="5" t="str">
        <f t="shared" si="990"/>
        <v>SISTEMAS-GLOBALTRONIK SAS-SERGIO PATIÑO</v>
      </c>
      <c r="F19412" s="5" t="str">
        <f>"Descripcion:ANTIVIRUS ESET ENDPOINT SECURITY RENOVACIÓN (NOD32) Estado: Bueno Placa anterior: 000038496 Material:  Color:  Referencia:  Observacion:     Placa padre:  Tipo adquisicion : Entidad"</f>
        <v>Descripcion:ANTIVIRUS ESET ENDPOINT SECURITY RENOVACIÓN (NOD32) Estado: Bueno Placa anterior: 000038496 Material:  Color:  Referencia:  Observacion:     Placa padre:  Tipo adquisicion : Entidad</v>
      </c>
      <c r="G19412" s="5"/>
    </row>
    <row r="19413" spans="1:7" ht="58.5" customHeight="1" x14ac:dyDescent="0.25">
      <c r="A19413" s="5" t="str">
        <f>"B0001465"</f>
        <v>B0001465</v>
      </c>
      <c r="B19413" s="5" t="str">
        <f t="shared" si="991"/>
        <v>ANTIVIRUS</v>
      </c>
      <c r="C19413" s="6">
        <v>129970</v>
      </c>
      <c r="D19413" s="5" t="s">
        <v>63</v>
      </c>
      <c r="E19413" s="5" t="str">
        <f t="shared" si="990"/>
        <v>SISTEMAS-GLOBALTRONIK SAS-SERGIO PATIÑO</v>
      </c>
      <c r="F19413" s="5" t="str">
        <f>"Descripcion:ANTIVIRUS ESET ENDPOINT SECURITY (NOD32) Estado: Bueno Placa anterior: 000038101 Material:  Color:  Referencia:  Observacion:     Placa padre:  Tipo adquisicion : Entidad"</f>
        <v>Descripcion:ANTIVIRUS ESET ENDPOINT SECURITY (NOD32) Estado: Bueno Placa anterior: 000038101 Material:  Color:  Referencia:  Observacion:     Placa padre:  Tipo adquisicion : Entidad</v>
      </c>
      <c r="G19413" s="5"/>
    </row>
    <row r="19414" spans="1:7" ht="58.5" customHeight="1" x14ac:dyDescent="0.25">
      <c r="A19414" s="5" t="str">
        <f>"B0001466"</f>
        <v>B0001466</v>
      </c>
      <c r="B19414" s="5" t="str">
        <f t="shared" si="991"/>
        <v>ANTIVIRUS</v>
      </c>
      <c r="C19414" s="6">
        <v>63309.81</v>
      </c>
      <c r="D19414" s="5" t="s">
        <v>63</v>
      </c>
      <c r="E19414" s="5" t="str">
        <f t="shared" si="990"/>
        <v>SISTEMAS-GLOBALTRONIK SAS-SERGIO PATIÑO</v>
      </c>
      <c r="F19414" s="5" t="str">
        <f>"Descripcion:ANTIVIRUS ESET ENDPOINT SECURITY RENOVACIÓN (NOD32) Estado: Bueno Placa anterior: 000038488 Material:  Color:  Referencia:  Observacion:     Placa padre:  Tipo adquisicion : Entidad"</f>
        <v>Descripcion:ANTIVIRUS ESET ENDPOINT SECURITY RENOVACIÓN (NOD32) Estado: Bueno Placa anterior: 000038488 Material:  Color:  Referencia:  Observacion:     Placa padre:  Tipo adquisicion : Entidad</v>
      </c>
      <c r="G19414" s="5"/>
    </row>
    <row r="19415" spans="1:7" ht="58.5" customHeight="1" x14ac:dyDescent="0.25">
      <c r="A19415" s="5" t="str">
        <f>"B0001467"</f>
        <v>B0001467</v>
      </c>
      <c r="B19415" s="5" t="str">
        <f t="shared" si="991"/>
        <v>ANTIVIRUS</v>
      </c>
      <c r="C19415" s="6">
        <v>63309.81</v>
      </c>
      <c r="D19415" s="5" t="s">
        <v>63</v>
      </c>
      <c r="E19415" s="5" t="str">
        <f t="shared" si="990"/>
        <v>SISTEMAS-GLOBALTRONIK SAS-SERGIO PATIÑO</v>
      </c>
      <c r="F19415" s="5" t="str">
        <f>"Descripcion:ANTIVIRUS ESET ENDPOINT SECURITY RENOVACIÓN (NOD32) Estado: Bueno Placa anterior: 000038439 Material:  Color:  Referencia:  Observacion:     Placa padre:  Tipo adquisicion : Entidad"</f>
        <v>Descripcion:ANTIVIRUS ESET ENDPOINT SECURITY RENOVACIÓN (NOD32) Estado: Bueno Placa anterior: 000038439 Material:  Color:  Referencia:  Observacion:     Placa padre:  Tipo adquisicion : Entidad</v>
      </c>
      <c r="G19415" s="5"/>
    </row>
    <row r="19416" spans="1:7" ht="58.5" customHeight="1" x14ac:dyDescent="0.25">
      <c r="A19416" s="5" t="str">
        <f>"B0001468"</f>
        <v>B0001468</v>
      </c>
      <c r="B19416" s="5" t="str">
        <f t="shared" si="991"/>
        <v>ANTIVIRUS</v>
      </c>
      <c r="C19416" s="6">
        <v>63309.81</v>
      </c>
      <c r="D19416" s="5" t="s">
        <v>63</v>
      </c>
      <c r="E19416" s="5" t="str">
        <f t="shared" si="990"/>
        <v>SISTEMAS-GLOBALTRONIK SAS-SERGIO PATIÑO</v>
      </c>
      <c r="F19416" s="5" t="str">
        <f>"Descripcion:ANTIVIRUS ESET ENDPOINT SECURITY RENOVACIÓN (NOD32) Estado: Bueno Placa anterior: 000038417 Material:  Color:  Referencia:  Observacion:     Placa padre:  Tipo adquisicion : Entidad"</f>
        <v>Descripcion:ANTIVIRUS ESET ENDPOINT SECURITY RENOVACIÓN (NOD32) Estado: Bueno Placa anterior: 000038417 Material:  Color:  Referencia:  Observacion:     Placa padre:  Tipo adquisicion : Entidad</v>
      </c>
      <c r="G19416" s="5"/>
    </row>
    <row r="19417" spans="1:7" ht="58.5" customHeight="1" x14ac:dyDescent="0.25">
      <c r="A19417" s="5" t="str">
        <f>"B0001469"</f>
        <v>B0001469</v>
      </c>
      <c r="B19417" s="5" t="str">
        <f t="shared" si="991"/>
        <v>ANTIVIRUS</v>
      </c>
      <c r="C19417" s="6">
        <v>129970</v>
      </c>
      <c r="D19417" s="5" t="s">
        <v>63</v>
      </c>
      <c r="E19417" s="5" t="str">
        <f t="shared" si="990"/>
        <v>SISTEMAS-GLOBALTRONIK SAS-SERGIO PATIÑO</v>
      </c>
      <c r="F19417" s="5" t="str">
        <f>"Descripcion:ANTIVIRUS ESET ENDPOINT SECURITY (NOD32) Estado: Bueno Placa anterior: 000038105 Material:  Color:  Referencia:  Observacion:     Placa padre:  Tipo adquisicion : Entidad"</f>
        <v>Descripcion:ANTIVIRUS ESET ENDPOINT SECURITY (NOD32) Estado: Bueno Placa anterior: 000038105 Material:  Color:  Referencia:  Observacion:     Placa padre:  Tipo adquisicion : Entidad</v>
      </c>
      <c r="G19417" s="5"/>
    </row>
    <row r="19418" spans="1:7" ht="58.5" customHeight="1" x14ac:dyDescent="0.25">
      <c r="A19418" s="5" t="str">
        <f>"B0001470"</f>
        <v>B0001470</v>
      </c>
      <c r="B19418" s="5" t="str">
        <f t="shared" si="991"/>
        <v>ANTIVIRUS</v>
      </c>
      <c r="C19418" s="6">
        <v>63309.81</v>
      </c>
      <c r="D19418" s="5" t="s">
        <v>63</v>
      </c>
      <c r="E19418" s="5" t="str">
        <f t="shared" si="990"/>
        <v>SISTEMAS-GLOBALTRONIK SAS-SERGIO PATIÑO</v>
      </c>
      <c r="F19418" s="5" t="str">
        <f>"Descripcion:ANTIVIRUS ESET ENDPOINT SECURITY RENOVACIÓN (NOD32) Estado: Bueno Placa anterior: 000038353 Material:  Color:  Referencia:  Observacion:     Placa padre:  Tipo adquisicion : Entidad"</f>
        <v>Descripcion:ANTIVIRUS ESET ENDPOINT SECURITY RENOVACIÓN (NOD32) Estado: Bueno Placa anterior: 000038353 Material:  Color:  Referencia:  Observacion:     Placa padre:  Tipo adquisicion : Entidad</v>
      </c>
      <c r="G19418" s="5"/>
    </row>
    <row r="19419" spans="1:7" ht="58.5" customHeight="1" x14ac:dyDescent="0.25">
      <c r="A19419" s="5" t="str">
        <f>"B0001471"</f>
        <v>B0001471</v>
      </c>
      <c r="B19419" s="5" t="str">
        <f t="shared" si="991"/>
        <v>ANTIVIRUS</v>
      </c>
      <c r="C19419" s="6">
        <v>63309.81</v>
      </c>
      <c r="D19419" s="5" t="s">
        <v>63</v>
      </c>
      <c r="E19419" s="5" t="str">
        <f t="shared" si="990"/>
        <v>SISTEMAS-GLOBALTRONIK SAS-SERGIO PATIÑO</v>
      </c>
      <c r="F19419" s="5" t="str">
        <f>"Descripcion:ANTIVIRUS ESET ENDPOINT SECURITY RENOVACIÓN (NOD32) Estado: Bueno Placa anterior: 000038357 Material:  Color:  Referencia:  Observacion:     Placa padre:  Tipo adquisicion : Entidad"</f>
        <v>Descripcion:ANTIVIRUS ESET ENDPOINT SECURITY RENOVACIÓN (NOD32) Estado: Bueno Placa anterior: 000038357 Material:  Color:  Referencia:  Observacion:     Placa padre:  Tipo adquisicion : Entidad</v>
      </c>
      <c r="G19419" s="5"/>
    </row>
    <row r="19420" spans="1:7" ht="58.5" customHeight="1" x14ac:dyDescent="0.25">
      <c r="A19420" s="5" t="str">
        <f>"B0001472"</f>
        <v>B0001472</v>
      </c>
      <c r="B19420" s="5" t="str">
        <f t="shared" si="991"/>
        <v>ANTIVIRUS</v>
      </c>
      <c r="C19420" s="6">
        <v>129970</v>
      </c>
      <c r="D19420" s="5" t="s">
        <v>63</v>
      </c>
      <c r="E19420" s="5" t="str">
        <f t="shared" si="990"/>
        <v>SISTEMAS-GLOBALTRONIK SAS-SERGIO PATIÑO</v>
      </c>
      <c r="F19420" s="5" t="str">
        <f>"Descripcion:ANTIVIRUS ESET ENDPOINT SECURITY (NOD32) Estado: Bueno Placa anterior: 000038122 Material:  Color:  Referencia:  Observacion:     Placa padre:  Tipo adquisicion : Entidad"</f>
        <v>Descripcion:ANTIVIRUS ESET ENDPOINT SECURITY (NOD32) Estado: Bueno Placa anterior: 000038122 Material:  Color:  Referencia:  Observacion:     Placa padre:  Tipo adquisicion : Entidad</v>
      </c>
      <c r="G19420" s="5"/>
    </row>
    <row r="19421" spans="1:7" ht="58.5" customHeight="1" x14ac:dyDescent="0.25">
      <c r="A19421" s="5" t="str">
        <f>"B0001473"</f>
        <v>B0001473</v>
      </c>
      <c r="B19421" s="5" t="str">
        <f t="shared" si="991"/>
        <v>ANTIVIRUS</v>
      </c>
      <c r="C19421" s="6">
        <v>63309.81</v>
      </c>
      <c r="D19421" s="5" t="s">
        <v>63</v>
      </c>
      <c r="E19421" s="5" t="str">
        <f t="shared" si="990"/>
        <v>SISTEMAS-GLOBALTRONIK SAS-SERGIO PATIÑO</v>
      </c>
      <c r="F19421" s="5" t="str">
        <f>"Descripcion:ANTIVIRUS ESET ENDPOINT SECURITY RENOVACIÓN (NOD32) Estado: Bueno Placa anterior: 000038730 Material:  Color:  Referencia:  Observacion:     Placa padre:  Tipo adquisicion : Entidad"</f>
        <v>Descripcion:ANTIVIRUS ESET ENDPOINT SECURITY RENOVACIÓN (NOD32) Estado: Bueno Placa anterior: 000038730 Material:  Color:  Referencia:  Observacion:     Placa padre:  Tipo adquisicion : Entidad</v>
      </c>
      <c r="G19421" s="5"/>
    </row>
    <row r="19422" spans="1:7" ht="58.5" customHeight="1" x14ac:dyDescent="0.25">
      <c r="A19422" s="5" t="str">
        <f>"B0001474"</f>
        <v>B0001474</v>
      </c>
      <c r="B19422" s="5" t="str">
        <f t="shared" si="991"/>
        <v>ANTIVIRUS</v>
      </c>
      <c r="C19422" s="6">
        <v>63309.81</v>
      </c>
      <c r="D19422" s="5" t="s">
        <v>63</v>
      </c>
      <c r="E19422" s="5" t="str">
        <f t="shared" si="990"/>
        <v>SISTEMAS-GLOBALTRONIK SAS-SERGIO PATIÑO</v>
      </c>
      <c r="F19422" s="5" t="str">
        <f>"Descripcion:ANTIVIRUS ESET ENDPOINT SECURITY RENOVACIÓN (NOD32) Estado: Bueno Placa anterior: 000038760 Material:  Color:  Referencia:  Observacion:     Placa padre:  Tipo adquisicion : Entidad"</f>
        <v>Descripcion:ANTIVIRUS ESET ENDPOINT SECURITY RENOVACIÓN (NOD32) Estado: Bueno Placa anterior: 000038760 Material:  Color:  Referencia:  Observacion:     Placa padre:  Tipo adquisicion : Entidad</v>
      </c>
      <c r="G19422" s="5"/>
    </row>
    <row r="19423" spans="1:7" ht="58.5" customHeight="1" x14ac:dyDescent="0.25">
      <c r="A19423" s="5" t="str">
        <f>"B0001475"</f>
        <v>B0001475</v>
      </c>
      <c r="B19423" s="5" t="str">
        <f t="shared" si="991"/>
        <v>ANTIVIRUS</v>
      </c>
      <c r="C19423" s="6">
        <v>63309.81</v>
      </c>
      <c r="D19423" s="5" t="s">
        <v>63</v>
      </c>
      <c r="E19423" s="5" t="str">
        <f t="shared" si="990"/>
        <v>SISTEMAS-GLOBALTRONIK SAS-SERGIO PATIÑO</v>
      </c>
      <c r="F19423" s="5" t="str">
        <f>"Descripcion:ANTIVIRUS ESET ENDPOINT SECURITY RENOVACIÓN (NOD32) Estado: Bueno Placa anterior: 000038698 Material:  Color:  Referencia:  Observacion:     Placa padre:  Tipo adquisicion : Entidad"</f>
        <v>Descripcion:ANTIVIRUS ESET ENDPOINT SECURITY RENOVACIÓN (NOD32) Estado: Bueno Placa anterior: 000038698 Material:  Color:  Referencia:  Observacion:     Placa padre:  Tipo adquisicion : Entidad</v>
      </c>
      <c r="G19423" s="5"/>
    </row>
    <row r="19424" spans="1:7" ht="58.5" customHeight="1" x14ac:dyDescent="0.25">
      <c r="A19424" s="5" t="str">
        <f>"B0001476"</f>
        <v>B0001476</v>
      </c>
      <c r="B19424" s="5" t="str">
        <f t="shared" si="991"/>
        <v>ANTIVIRUS</v>
      </c>
      <c r="C19424" s="6">
        <v>63309.81</v>
      </c>
      <c r="D19424" s="5" t="s">
        <v>63</v>
      </c>
      <c r="E19424" s="5" t="str">
        <f t="shared" si="990"/>
        <v>SISTEMAS-GLOBALTRONIK SAS-SERGIO PATIÑO</v>
      </c>
      <c r="F19424" s="5" t="str">
        <f>"Descripcion:ANTIVIRUS ESET ENDPOINT SECURITY RENOVACIÓN (NOD32) Estado: Bueno Placa anterior: 000038577 Material:  Color:  Referencia:  Observacion:     Placa padre:  Tipo adquisicion : Entidad"</f>
        <v>Descripcion:ANTIVIRUS ESET ENDPOINT SECURITY RENOVACIÓN (NOD32) Estado: Bueno Placa anterior: 000038577 Material:  Color:  Referencia:  Observacion:     Placa padre:  Tipo adquisicion : Entidad</v>
      </c>
      <c r="G19424" s="5"/>
    </row>
    <row r="19425" spans="1:7" ht="58.5" customHeight="1" x14ac:dyDescent="0.25">
      <c r="A19425" s="5" t="str">
        <f>"B0001477"</f>
        <v>B0001477</v>
      </c>
      <c r="B19425" s="5" t="str">
        <f t="shared" si="991"/>
        <v>ANTIVIRUS</v>
      </c>
      <c r="C19425" s="6">
        <v>63309.81</v>
      </c>
      <c r="D19425" s="5" t="s">
        <v>63</v>
      </c>
      <c r="E19425" s="5" t="str">
        <f t="shared" si="990"/>
        <v>SISTEMAS-GLOBALTRONIK SAS-SERGIO PATIÑO</v>
      </c>
      <c r="F19425" s="5" t="str">
        <f>"Descripcion:ANTIVIRUS ESET ENDPOINT SECURITY RENOVACIÓN (NOD32) Estado: Bueno Placa anterior: 000038755 Material:  Color:  Referencia:  Observacion:     Placa padre:  Tipo adquisicion : Entidad"</f>
        <v>Descripcion:ANTIVIRUS ESET ENDPOINT SECURITY RENOVACIÓN (NOD32) Estado: Bueno Placa anterior: 000038755 Material:  Color:  Referencia:  Observacion:     Placa padre:  Tipo adquisicion : Entidad</v>
      </c>
      <c r="G19425" s="5"/>
    </row>
    <row r="19426" spans="1:7" ht="58.5" customHeight="1" x14ac:dyDescent="0.25">
      <c r="A19426" s="5" t="str">
        <f>"B0001478"</f>
        <v>B0001478</v>
      </c>
      <c r="B19426" s="5" t="str">
        <f t="shared" si="991"/>
        <v>ANTIVIRUS</v>
      </c>
      <c r="C19426" s="6">
        <v>63309.81</v>
      </c>
      <c r="D19426" s="5" t="s">
        <v>63</v>
      </c>
      <c r="E19426" s="5" t="str">
        <f t="shared" si="990"/>
        <v>SISTEMAS-GLOBALTRONIK SAS-SERGIO PATIÑO</v>
      </c>
      <c r="F19426" s="5" t="str">
        <f>"Descripcion:ANTIVIRUS ESET ENDPOINT SECURITY RENOVACIÓN (NOD32) Estado: Bueno Placa anterior: 000038735 Material:  Color:  Referencia:  Observacion:     Placa padre:  Tipo adquisicion : Entidad"</f>
        <v>Descripcion:ANTIVIRUS ESET ENDPOINT SECURITY RENOVACIÓN (NOD32) Estado: Bueno Placa anterior: 000038735 Material:  Color:  Referencia:  Observacion:     Placa padre:  Tipo adquisicion : Entidad</v>
      </c>
      <c r="G19426" s="5"/>
    </row>
    <row r="19427" spans="1:7" ht="58.5" customHeight="1" x14ac:dyDescent="0.25">
      <c r="A19427" s="5" t="str">
        <f>"B0001479"</f>
        <v>B0001479</v>
      </c>
      <c r="B19427" s="5" t="str">
        <f t="shared" si="991"/>
        <v>ANTIVIRUS</v>
      </c>
      <c r="C19427" s="6">
        <v>63309.81</v>
      </c>
      <c r="D19427" s="5" t="s">
        <v>63</v>
      </c>
      <c r="E19427" s="5" t="str">
        <f t="shared" si="990"/>
        <v>SISTEMAS-GLOBALTRONIK SAS-SERGIO PATIÑO</v>
      </c>
      <c r="F19427" s="5" t="str">
        <f>"Descripcion:ANTIVIRUS ESET ENDPOINT SECURITY RENOVACIÓN (NOD32) Estado: Bueno Placa anterior: 000038382 Material:  Color:  Referencia:  Observacion:     Placa padre:  Tipo adquisicion : Entidad"</f>
        <v>Descripcion:ANTIVIRUS ESET ENDPOINT SECURITY RENOVACIÓN (NOD32) Estado: Bueno Placa anterior: 000038382 Material:  Color:  Referencia:  Observacion:     Placa padre:  Tipo adquisicion : Entidad</v>
      </c>
      <c r="G19427" s="5"/>
    </row>
    <row r="19428" spans="1:7" ht="58.5" customHeight="1" x14ac:dyDescent="0.25">
      <c r="A19428" s="5" t="str">
        <f>"B0001480"</f>
        <v>B0001480</v>
      </c>
      <c r="B19428" s="5" t="str">
        <f t="shared" si="991"/>
        <v>ANTIVIRUS</v>
      </c>
      <c r="C19428" s="6">
        <v>63309.81</v>
      </c>
      <c r="D19428" s="5" t="s">
        <v>63</v>
      </c>
      <c r="E19428" s="5" t="str">
        <f t="shared" si="990"/>
        <v>SISTEMAS-GLOBALTRONIK SAS-SERGIO PATIÑO</v>
      </c>
      <c r="F19428" s="5" t="str">
        <f>"Descripcion:ANTIVIRUS ESET ENDPOINT SECURITY RENOVACIÓN (NOD32) Estado: Bueno Placa anterior: 000038498 Material:  Color:  Referencia:  Observacion:     Placa padre:  Tipo adquisicion : Entidad"</f>
        <v>Descripcion:ANTIVIRUS ESET ENDPOINT SECURITY RENOVACIÓN (NOD32) Estado: Bueno Placa anterior: 000038498 Material:  Color:  Referencia:  Observacion:     Placa padre:  Tipo adquisicion : Entidad</v>
      </c>
      <c r="G19428" s="5"/>
    </row>
    <row r="19429" spans="1:7" ht="58.5" customHeight="1" x14ac:dyDescent="0.25">
      <c r="A19429" s="5" t="str">
        <f>"B0001481"</f>
        <v>B0001481</v>
      </c>
      <c r="B19429" s="5" t="str">
        <f t="shared" si="991"/>
        <v>ANTIVIRUS</v>
      </c>
      <c r="C19429" s="6">
        <v>63309.81</v>
      </c>
      <c r="D19429" s="5" t="s">
        <v>63</v>
      </c>
      <c r="E19429" s="5" t="str">
        <f t="shared" si="990"/>
        <v>SISTEMAS-GLOBALTRONIK SAS-SERGIO PATIÑO</v>
      </c>
      <c r="F19429" s="5" t="str">
        <f>"Descripcion:ANTIVIRUS ESET ENDPOINT SECURITY RENOVACIÓN (NOD32) Estado: Bueno Placa anterior: 000038516 Material:  Color:  Referencia:  Observacion:     Placa padre:  Tipo adquisicion : Entidad"</f>
        <v>Descripcion:ANTIVIRUS ESET ENDPOINT SECURITY RENOVACIÓN (NOD32) Estado: Bueno Placa anterior: 000038516 Material:  Color:  Referencia:  Observacion:     Placa padre:  Tipo adquisicion : Entidad</v>
      </c>
      <c r="G19429" s="5"/>
    </row>
    <row r="19430" spans="1:7" ht="58.5" customHeight="1" x14ac:dyDescent="0.25">
      <c r="A19430" s="5" t="str">
        <f>"B0001482"</f>
        <v>B0001482</v>
      </c>
      <c r="B19430" s="5" t="str">
        <f t="shared" si="991"/>
        <v>ANTIVIRUS</v>
      </c>
      <c r="C19430" s="6">
        <v>63309.81</v>
      </c>
      <c r="D19430" s="5" t="s">
        <v>63</v>
      </c>
      <c r="E19430" s="5" t="str">
        <f t="shared" si="990"/>
        <v>SISTEMAS-GLOBALTRONIK SAS-SERGIO PATIÑO</v>
      </c>
      <c r="F19430" s="5" t="str">
        <f>"Descripcion:ANTIVIRUS ESET ENDPOINT SECURITY RENOVACIÓN (NOD32) Estado: Bueno Placa anterior: 000038682 Material:  Color:  Referencia:  Observacion:     Placa padre:  Tipo adquisicion : Entidad"</f>
        <v>Descripcion:ANTIVIRUS ESET ENDPOINT SECURITY RENOVACIÓN (NOD32) Estado: Bueno Placa anterior: 000038682 Material:  Color:  Referencia:  Observacion:     Placa padre:  Tipo adquisicion : Entidad</v>
      </c>
      <c r="G19430" s="5"/>
    </row>
    <row r="19431" spans="1:7" ht="58.5" customHeight="1" x14ac:dyDescent="0.25">
      <c r="A19431" s="5" t="str">
        <f>"B0001483"</f>
        <v>B0001483</v>
      </c>
      <c r="B19431" s="5" t="str">
        <f t="shared" si="991"/>
        <v>ANTIVIRUS</v>
      </c>
      <c r="C19431" s="6">
        <v>129970</v>
      </c>
      <c r="D19431" s="5" t="s">
        <v>63</v>
      </c>
      <c r="E19431" s="5" t="str">
        <f t="shared" si="990"/>
        <v>SISTEMAS-GLOBALTRONIK SAS-SERGIO PATIÑO</v>
      </c>
      <c r="F19431" s="5" t="str">
        <f>"Descripcion:ANTIVIRUS ESET ENDPOINT SECURITY (NOD32) Estado: Bueno Placa anterior: 000038074 Material:  Color:  Referencia:  Observacion:     Placa padre:  Tipo adquisicion : Entidad"</f>
        <v>Descripcion:ANTIVIRUS ESET ENDPOINT SECURITY (NOD32) Estado: Bueno Placa anterior: 000038074 Material:  Color:  Referencia:  Observacion:     Placa padre:  Tipo adquisicion : Entidad</v>
      </c>
      <c r="G19431" s="5"/>
    </row>
    <row r="19432" spans="1:7" ht="58.5" customHeight="1" x14ac:dyDescent="0.25">
      <c r="A19432" s="5" t="str">
        <f>"B0001484"</f>
        <v>B0001484</v>
      </c>
      <c r="B19432" s="5" t="str">
        <f t="shared" si="991"/>
        <v>ANTIVIRUS</v>
      </c>
      <c r="C19432" s="6">
        <v>63309.81</v>
      </c>
      <c r="D19432" s="5" t="s">
        <v>63</v>
      </c>
      <c r="E19432" s="5" t="str">
        <f t="shared" si="990"/>
        <v>SISTEMAS-GLOBALTRONIK SAS-SERGIO PATIÑO</v>
      </c>
      <c r="F19432" s="5" t="str">
        <f>"Descripcion:ANTIVIRUS ESET ENDPOINT SECURITY RENOVACIÓN (NOD32) Estado: Bueno Placa anterior: 000038553 Material:  Color:  Referencia:  Observacion:     Placa padre:  Tipo adquisicion : Entidad"</f>
        <v>Descripcion:ANTIVIRUS ESET ENDPOINT SECURITY RENOVACIÓN (NOD32) Estado: Bueno Placa anterior: 000038553 Material:  Color:  Referencia:  Observacion:     Placa padre:  Tipo adquisicion : Entidad</v>
      </c>
      <c r="G19432" s="5"/>
    </row>
    <row r="19433" spans="1:7" ht="58.5" customHeight="1" x14ac:dyDescent="0.25">
      <c r="A19433" s="5" t="str">
        <f>"B0001485"</f>
        <v>B0001485</v>
      </c>
      <c r="B19433" s="5" t="str">
        <f t="shared" si="991"/>
        <v>ANTIVIRUS</v>
      </c>
      <c r="C19433" s="6">
        <v>63309.81</v>
      </c>
      <c r="D19433" s="5" t="s">
        <v>63</v>
      </c>
      <c r="E19433" s="5" t="str">
        <f t="shared" si="990"/>
        <v>SISTEMAS-GLOBALTRONIK SAS-SERGIO PATIÑO</v>
      </c>
      <c r="F19433" s="5" t="str">
        <f>"Descripcion:ANTIVIRUS ESET ENDPOINT SECURITY RENOVACIÓN (NOD32) Estado: Bueno Placa anterior: 000038575 Material:  Color:  Referencia:  Observacion:     Placa padre:  Tipo adquisicion : Entidad"</f>
        <v>Descripcion:ANTIVIRUS ESET ENDPOINT SECURITY RENOVACIÓN (NOD32) Estado: Bueno Placa anterior: 000038575 Material:  Color:  Referencia:  Observacion:     Placa padre:  Tipo adquisicion : Entidad</v>
      </c>
      <c r="G19433" s="5"/>
    </row>
    <row r="19434" spans="1:7" ht="58.5" customHeight="1" x14ac:dyDescent="0.25">
      <c r="A19434" s="5" t="str">
        <f>"B0001486"</f>
        <v>B0001486</v>
      </c>
      <c r="B19434" s="5" t="str">
        <f t="shared" si="991"/>
        <v>ANTIVIRUS</v>
      </c>
      <c r="C19434" s="6">
        <v>63309.81</v>
      </c>
      <c r="D19434" s="5" t="s">
        <v>63</v>
      </c>
      <c r="E19434" s="5" t="str">
        <f t="shared" si="990"/>
        <v>SISTEMAS-GLOBALTRONIK SAS-SERGIO PATIÑO</v>
      </c>
      <c r="F19434" s="5" t="str">
        <f>"Descripcion:ANTIVIRUS ESET ENDPOINT SECURITY RENOVACIÓN (NOD32) Estado: Bueno Placa anterior: 000038734 Material:  Color:  Referencia:  Observacion:     Placa padre:  Tipo adquisicion : Entidad"</f>
        <v>Descripcion:ANTIVIRUS ESET ENDPOINT SECURITY RENOVACIÓN (NOD32) Estado: Bueno Placa anterior: 000038734 Material:  Color:  Referencia:  Observacion:     Placa padre:  Tipo adquisicion : Entidad</v>
      </c>
      <c r="G19434" s="5"/>
    </row>
    <row r="19435" spans="1:7" ht="58.5" customHeight="1" x14ac:dyDescent="0.25">
      <c r="A19435" s="5" t="str">
        <f>"B0001487"</f>
        <v>B0001487</v>
      </c>
      <c r="B19435" s="5" t="str">
        <f t="shared" si="991"/>
        <v>ANTIVIRUS</v>
      </c>
      <c r="C19435" s="6">
        <v>63309.81</v>
      </c>
      <c r="D19435" s="5" t="s">
        <v>63</v>
      </c>
      <c r="E19435" s="5" t="str">
        <f t="shared" si="990"/>
        <v>SISTEMAS-GLOBALTRONIK SAS-SERGIO PATIÑO</v>
      </c>
      <c r="F19435" s="5" t="str">
        <f>"Descripcion:ANTIVIRUS ESET ENDPOINT SECURITY RENOVACIÓN (NOD32) Estado: Bueno Placa anterior: 000038691 Material:  Color:  Referencia:  Observacion:     Placa padre:  Tipo adquisicion : Entidad"</f>
        <v>Descripcion:ANTIVIRUS ESET ENDPOINT SECURITY RENOVACIÓN (NOD32) Estado: Bueno Placa anterior: 000038691 Material:  Color:  Referencia:  Observacion:     Placa padre:  Tipo adquisicion : Entidad</v>
      </c>
      <c r="G19435" s="5"/>
    </row>
    <row r="19436" spans="1:7" ht="58.5" customHeight="1" x14ac:dyDescent="0.25">
      <c r="A19436" s="5" t="str">
        <f>"B0001488"</f>
        <v>B0001488</v>
      </c>
      <c r="B19436" s="5" t="str">
        <f t="shared" si="991"/>
        <v>ANTIVIRUS</v>
      </c>
      <c r="C19436" s="6">
        <v>63309.81</v>
      </c>
      <c r="D19436" s="5" t="s">
        <v>63</v>
      </c>
      <c r="E19436" s="5" t="str">
        <f t="shared" si="990"/>
        <v>SISTEMAS-GLOBALTRONIK SAS-SERGIO PATIÑO</v>
      </c>
      <c r="F19436" s="5" t="str">
        <f>"Descripcion:ANTIVIRUS ESET ENDPOINT SECURITY RENOVACIÓN (NOD32) Estado: Bueno Placa anterior: 000038477 Material:  Color:  Referencia:  Observacion:     Placa padre:  Tipo adquisicion : Entidad"</f>
        <v>Descripcion:ANTIVIRUS ESET ENDPOINT SECURITY RENOVACIÓN (NOD32) Estado: Bueno Placa anterior: 000038477 Material:  Color:  Referencia:  Observacion:     Placa padre:  Tipo adquisicion : Entidad</v>
      </c>
      <c r="G19436" s="5"/>
    </row>
    <row r="19437" spans="1:7" ht="58.5" customHeight="1" x14ac:dyDescent="0.25">
      <c r="A19437" s="5" t="str">
        <f>"B0001489"</f>
        <v>B0001489</v>
      </c>
      <c r="B19437" s="5" t="str">
        <f t="shared" si="991"/>
        <v>ANTIVIRUS</v>
      </c>
      <c r="C19437" s="6">
        <v>63309.81</v>
      </c>
      <c r="D19437" s="5" t="s">
        <v>63</v>
      </c>
      <c r="E19437" s="5" t="str">
        <f t="shared" si="990"/>
        <v>SISTEMAS-GLOBALTRONIK SAS-SERGIO PATIÑO</v>
      </c>
      <c r="F19437" s="5" t="str">
        <f>"Descripcion:ANTIVIRUS ESET ENDPOINT SECURITY RENOVACIÓN (NOD32) Estado: Bueno Placa anterior: 000038341 Material:  Color:  Referencia:  Observacion:     Placa padre:  Tipo adquisicion : Entidad"</f>
        <v>Descripcion:ANTIVIRUS ESET ENDPOINT SECURITY RENOVACIÓN (NOD32) Estado: Bueno Placa anterior: 000038341 Material:  Color:  Referencia:  Observacion:     Placa padre:  Tipo adquisicion : Entidad</v>
      </c>
      <c r="G19437" s="5"/>
    </row>
    <row r="19438" spans="1:7" ht="58.5" customHeight="1" x14ac:dyDescent="0.25">
      <c r="A19438" s="5" t="str">
        <f>"B0001490"</f>
        <v>B0001490</v>
      </c>
      <c r="B19438" s="5" t="str">
        <f t="shared" si="991"/>
        <v>ANTIVIRUS</v>
      </c>
      <c r="C19438" s="6">
        <v>63309.81</v>
      </c>
      <c r="D19438" s="5" t="s">
        <v>63</v>
      </c>
      <c r="E19438" s="5" t="str">
        <f t="shared" si="990"/>
        <v>SISTEMAS-GLOBALTRONIK SAS-SERGIO PATIÑO</v>
      </c>
      <c r="F19438" s="5" t="str">
        <f>"Descripcion:ANTIVIRUS ESET ENDPOINT SECURITY RENOVACIÓN (NOD32) Estado: Bueno Placa anterior: 000038540 Material:  Color:  Referencia:  Observacion:     Placa padre:  Tipo adquisicion : Entidad"</f>
        <v>Descripcion:ANTIVIRUS ESET ENDPOINT SECURITY RENOVACIÓN (NOD32) Estado: Bueno Placa anterior: 000038540 Material:  Color:  Referencia:  Observacion:     Placa padre:  Tipo adquisicion : Entidad</v>
      </c>
      <c r="G19438" s="5"/>
    </row>
    <row r="19439" spans="1:7" ht="58.5" customHeight="1" x14ac:dyDescent="0.25">
      <c r="A19439" s="5" t="str">
        <f>"B0001491"</f>
        <v>B0001491</v>
      </c>
      <c r="B19439" s="5" t="str">
        <f t="shared" si="991"/>
        <v>ANTIVIRUS</v>
      </c>
      <c r="C19439" s="6">
        <v>63309.81</v>
      </c>
      <c r="D19439" s="5" t="s">
        <v>63</v>
      </c>
      <c r="E19439" s="5" t="str">
        <f t="shared" si="990"/>
        <v>SISTEMAS-GLOBALTRONIK SAS-SERGIO PATIÑO</v>
      </c>
      <c r="F19439" s="5" t="str">
        <f>"Descripcion:ANTIVIRUS ESET ENDPOINT SECURITY RENOVACIÓN (NOD32) Estado: Bueno Placa anterior: 000038617 Material:  Color:  Referencia:  Observacion:     Placa padre:  Tipo adquisicion : Entidad"</f>
        <v>Descripcion:ANTIVIRUS ESET ENDPOINT SECURITY RENOVACIÓN (NOD32) Estado: Bueno Placa anterior: 000038617 Material:  Color:  Referencia:  Observacion:     Placa padre:  Tipo adquisicion : Entidad</v>
      </c>
      <c r="G19439" s="5"/>
    </row>
    <row r="19440" spans="1:7" ht="58.5" customHeight="1" x14ac:dyDescent="0.25">
      <c r="A19440" s="5" t="str">
        <f>"B0001492"</f>
        <v>B0001492</v>
      </c>
      <c r="B19440" s="5" t="str">
        <f t="shared" si="991"/>
        <v>ANTIVIRUS</v>
      </c>
      <c r="C19440" s="6">
        <v>63309.81</v>
      </c>
      <c r="D19440" s="5" t="s">
        <v>63</v>
      </c>
      <c r="E19440" s="5" t="str">
        <f t="shared" si="990"/>
        <v>SISTEMAS-GLOBALTRONIK SAS-SERGIO PATIÑO</v>
      </c>
      <c r="F19440" s="5" t="str">
        <f>"Descripcion:ANTIVIRUS ESET ENDPOINT SECURITY RENOVACIÓN (NOD32) Estado: Bueno Placa anterior: 000038576 Material:  Color:  Referencia:  Observacion:     Placa padre:  Tipo adquisicion : Entidad"</f>
        <v>Descripcion:ANTIVIRUS ESET ENDPOINT SECURITY RENOVACIÓN (NOD32) Estado: Bueno Placa anterior: 000038576 Material:  Color:  Referencia:  Observacion:     Placa padre:  Tipo adquisicion : Entidad</v>
      </c>
      <c r="G19440" s="5"/>
    </row>
    <row r="19441" spans="1:7" ht="58.5" customHeight="1" x14ac:dyDescent="0.25">
      <c r="A19441" s="5" t="str">
        <f>"B0001493"</f>
        <v>B0001493</v>
      </c>
      <c r="B19441" s="5" t="str">
        <f t="shared" si="991"/>
        <v>ANTIVIRUS</v>
      </c>
      <c r="C19441" s="6">
        <v>63309.81</v>
      </c>
      <c r="D19441" s="5" t="s">
        <v>63</v>
      </c>
      <c r="E19441" s="5" t="str">
        <f t="shared" si="990"/>
        <v>SISTEMAS-GLOBALTRONIK SAS-SERGIO PATIÑO</v>
      </c>
      <c r="F19441" s="5" t="str">
        <f>"Descripcion:ANTIVIRUS ESET ENDPOINT SECURITY RENOVACIÓN (NOD32) Estado: Bueno Placa anterior: 000038337 Material:  Color:  Referencia:  Observacion:     Placa padre:  Tipo adquisicion : Entidad"</f>
        <v>Descripcion:ANTIVIRUS ESET ENDPOINT SECURITY RENOVACIÓN (NOD32) Estado: Bueno Placa anterior: 000038337 Material:  Color:  Referencia:  Observacion:     Placa padre:  Tipo adquisicion : Entidad</v>
      </c>
      <c r="G19441" s="5"/>
    </row>
    <row r="19442" spans="1:7" ht="58.5" customHeight="1" x14ac:dyDescent="0.25">
      <c r="A19442" s="5" t="str">
        <f>"B0001494"</f>
        <v>B0001494</v>
      </c>
      <c r="B19442" s="5" t="str">
        <f t="shared" si="991"/>
        <v>ANTIVIRUS</v>
      </c>
      <c r="C19442" s="6">
        <v>63309.81</v>
      </c>
      <c r="D19442" s="5" t="s">
        <v>63</v>
      </c>
      <c r="E19442" s="5" t="str">
        <f t="shared" si="990"/>
        <v>SISTEMAS-GLOBALTRONIK SAS-SERGIO PATIÑO</v>
      </c>
      <c r="F19442" s="5" t="str">
        <f>"Descripcion:ANTIVIRUS ESET ENDPOINT SECURITY RENOVACIÓN (NOD32) Estado: Bueno Placa anterior: 000038342 Material:  Color:  Referencia:  Observacion:     Placa padre:  Tipo adquisicion : Entidad"</f>
        <v>Descripcion:ANTIVIRUS ESET ENDPOINT SECURITY RENOVACIÓN (NOD32) Estado: Bueno Placa anterior: 000038342 Material:  Color:  Referencia:  Observacion:     Placa padre:  Tipo adquisicion : Entidad</v>
      </c>
      <c r="G19442" s="5"/>
    </row>
    <row r="19443" spans="1:7" ht="58.5" customHeight="1" x14ac:dyDescent="0.25">
      <c r="A19443" s="5" t="str">
        <f>"B0001495"</f>
        <v>B0001495</v>
      </c>
      <c r="B19443" s="5" t="str">
        <f t="shared" si="991"/>
        <v>ANTIVIRUS</v>
      </c>
      <c r="C19443" s="6">
        <v>63309.81</v>
      </c>
      <c r="D19443" s="5" t="s">
        <v>63</v>
      </c>
      <c r="E19443" s="5" t="str">
        <f t="shared" si="990"/>
        <v>SISTEMAS-GLOBALTRONIK SAS-SERGIO PATIÑO</v>
      </c>
      <c r="F19443" s="5" t="str">
        <f>"Descripcion:ANTIVIRUS ESET ENDPOINT SECURITY RENOVACIÓN (NOD32) Estado: Bueno Placa anterior: 000038643 Material:  Color:  Referencia:  Observacion:     Placa padre:  Tipo adquisicion : Entidad"</f>
        <v>Descripcion:ANTIVIRUS ESET ENDPOINT SECURITY RENOVACIÓN (NOD32) Estado: Bueno Placa anterior: 000038643 Material:  Color:  Referencia:  Observacion:     Placa padre:  Tipo adquisicion : Entidad</v>
      </c>
      <c r="G19443" s="5"/>
    </row>
    <row r="19444" spans="1:7" ht="58.5" customHeight="1" x14ac:dyDescent="0.25">
      <c r="A19444" s="5" t="str">
        <f>"B0001496"</f>
        <v>B0001496</v>
      </c>
      <c r="B19444" s="5" t="str">
        <f t="shared" si="991"/>
        <v>ANTIVIRUS</v>
      </c>
      <c r="C19444" s="6">
        <v>129970</v>
      </c>
      <c r="D19444" s="5" t="s">
        <v>63</v>
      </c>
      <c r="E19444" s="5" t="str">
        <f t="shared" si="990"/>
        <v>SISTEMAS-GLOBALTRONIK SAS-SERGIO PATIÑO</v>
      </c>
      <c r="F19444" s="5" t="str">
        <f>"Descripcion:ANTIVIRUS ESET ENDPOINT SECURITY (NOD32) Estado: Bueno Placa anterior: 000038052 Material:  Color:  Referencia:  Observacion:     Placa padre:  Tipo adquisicion : Entidad"</f>
        <v>Descripcion:ANTIVIRUS ESET ENDPOINT SECURITY (NOD32) Estado: Bueno Placa anterior: 000038052 Material:  Color:  Referencia:  Observacion:     Placa padre:  Tipo adquisicion : Entidad</v>
      </c>
      <c r="G19444" s="5"/>
    </row>
    <row r="19445" spans="1:7" ht="58.5" customHeight="1" x14ac:dyDescent="0.25">
      <c r="A19445" s="5" t="str">
        <f>"B0001497"</f>
        <v>B0001497</v>
      </c>
      <c r="B19445" s="5" t="str">
        <f t="shared" si="991"/>
        <v>ANTIVIRUS</v>
      </c>
      <c r="C19445" s="6">
        <v>63309.81</v>
      </c>
      <c r="D19445" s="5" t="s">
        <v>63</v>
      </c>
      <c r="E19445" s="5" t="str">
        <f t="shared" si="990"/>
        <v>SISTEMAS-GLOBALTRONIK SAS-SERGIO PATIÑO</v>
      </c>
      <c r="F19445" s="5" t="str">
        <f>"Descripcion:ANTIVIRUS ESET ENDPOINT SECURITY RENOVACIÓN (NOD32) Estado: Bueno Placa anterior: 000038554 Material:  Color:  Referencia:  Observacion:     Placa padre:  Tipo adquisicion : Entidad"</f>
        <v>Descripcion:ANTIVIRUS ESET ENDPOINT SECURITY RENOVACIÓN (NOD32) Estado: Bueno Placa anterior: 000038554 Material:  Color:  Referencia:  Observacion:     Placa padre:  Tipo adquisicion : Entidad</v>
      </c>
      <c r="G19445" s="5"/>
    </row>
    <row r="19446" spans="1:7" ht="58.5" customHeight="1" x14ac:dyDescent="0.25">
      <c r="A19446" s="5" t="str">
        <f>"B0001498"</f>
        <v>B0001498</v>
      </c>
      <c r="B19446" s="5" t="str">
        <f t="shared" si="991"/>
        <v>ANTIVIRUS</v>
      </c>
      <c r="C19446" s="6">
        <v>129970</v>
      </c>
      <c r="D19446" s="5" t="s">
        <v>63</v>
      </c>
      <c r="E19446" s="5" t="str">
        <f t="shared" si="990"/>
        <v>SISTEMAS-GLOBALTRONIK SAS-SERGIO PATIÑO</v>
      </c>
      <c r="F19446" s="5" t="str">
        <f>"Descripcion:ANTIVIRUS ESET ENDPOINT SECURITY (NOD32) Estado: Bueno Placa anterior: 000038135 Material:  Color:  Referencia:  Observacion:     Placa padre:  Tipo adquisicion : Entidad"</f>
        <v>Descripcion:ANTIVIRUS ESET ENDPOINT SECURITY (NOD32) Estado: Bueno Placa anterior: 000038135 Material:  Color:  Referencia:  Observacion:     Placa padre:  Tipo adquisicion : Entidad</v>
      </c>
      <c r="G19446" s="5"/>
    </row>
    <row r="19447" spans="1:7" ht="58.5" customHeight="1" x14ac:dyDescent="0.25">
      <c r="A19447" s="5" t="str">
        <f>"B0001499"</f>
        <v>B0001499</v>
      </c>
      <c r="B19447" s="5" t="str">
        <f t="shared" si="991"/>
        <v>ANTIVIRUS</v>
      </c>
      <c r="C19447" s="6">
        <v>63309.81</v>
      </c>
      <c r="D19447" s="5" t="s">
        <v>63</v>
      </c>
      <c r="E19447" s="5" t="str">
        <f t="shared" si="990"/>
        <v>SISTEMAS-GLOBALTRONIK SAS-SERGIO PATIÑO</v>
      </c>
      <c r="F19447" s="5" t="str">
        <f>"Descripcion:ANTIVIRUS ESET ENDPOINT SECURITY RENOVACIÓN (NOD32) Estado: Bueno Placa anterior: 000038619 Material:  Color:  Referencia:  Observacion:     Placa padre:  Tipo adquisicion : Entidad"</f>
        <v>Descripcion:ANTIVIRUS ESET ENDPOINT SECURITY RENOVACIÓN (NOD32) Estado: Bueno Placa anterior: 000038619 Material:  Color:  Referencia:  Observacion:     Placa padre:  Tipo adquisicion : Entidad</v>
      </c>
      <c r="G19447" s="5"/>
    </row>
    <row r="19448" spans="1:7" ht="58.5" customHeight="1" x14ac:dyDescent="0.25">
      <c r="A19448" s="5" t="str">
        <f>"B0001500"</f>
        <v>B0001500</v>
      </c>
      <c r="B19448" s="5" t="str">
        <f t="shared" si="991"/>
        <v>ANTIVIRUS</v>
      </c>
      <c r="C19448" s="6">
        <v>63309.81</v>
      </c>
      <c r="D19448" s="5" t="s">
        <v>63</v>
      </c>
      <c r="E19448" s="5" t="str">
        <f t="shared" si="990"/>
        <v>SISTEMAS-GLOBALTRONIK SAS-SERGIO PATIÑO</v>
      </c>
      <c r="F19448" s="5" t="str">
        <f>"Descripcion:ANTIVIRUS ESET ENDPOINT SECURITY RENOVACIÓN (NOD32) Estado: Bueno Placa anterior: 000038786 Material:  Color:  Referencia:  Observacion:     Placa padre:  Tipo adquisicion : Entidad"</f>
        <v>Descripcion:ANTIVIRUS ESET ENDPOINT SECURITY RENOVACIÓN (NOD32) Estado: Bueno Placa anterior: 000038786 Material:  Color:  Referencia:  Observacion:     Placa padre:  Tipo adquisicion : Entidad</v>
      </c>
      <c r="G19448" s="5"/>
    </row>
    <row r="19449" spans="1:7" ht="58.5" customHeight="1" x14ac:dyDescent="0.25">
      <c r="A19449" s="5" t="str">
        <f>"B0001501"</f>
        <v>B0001501</v>
      </c>
      <c r="B19449" s="5" t="str">
        <f t="shared" si="991"/>
        <v>ANTIVIRUS</v>
      </c>
      <c r="C19449" s="6">
        <v>63309.81</v>
      </c>
      <c r="D19449" s="5" t="s">
        <v>63</v>
      </c>
      <c r="E19449" s="5" t="str">
        <f t="shared" si="990"/>
        <v>SISTEMAS-GLOBALTRONIK SAS-SERGIO PATIÑO</v>
      </c>
      <c r="F19449" s="5" t="str">
        <f>"Descripcion:ANTIVIRUS ESET ENDPOINT SECURITY RENOVACIÓN (NOD32) Estado: Bueno Placa anterior: 000038756 Material:  Color:  Referencia:  Observacion:     Placa padre:  Tipo adquisicion : Entidad"</f>
        <v>Descripcion:ANTIVIRUS ESET ENDPOINT SECURITY RENOVACIÓN (NOD32) Estado: Bueno Placa anterior: 000038756 Material:  Color:  Referencia:  Observacion:     Placa padre:  Tipo adquisicion : Entidad</v>
      </c>
      <c r="G19449" s="5"/>
    </row>
    <row r="19450" spans="1:7" ht="58.5" customHeight="1" x14ac:dyDescent="0.25">
      <c r="A19450" s="5" t="str">
        <f>"B0001502"</f>
        <v>B0001502</v>
      </c>
      <c r="B19450" s="5" t="str">
        <f t="shared" si="991"/>
        <v>ANTIVIRUS</v>
      </c>
      <c r="C19450" s="6">
        <v>63309.81</v>
      </c>
      <c r="D19450" s="5" t="s">
        <v>63</v>
      </c>
      <c r="E19450" s="5" t="str">
        <f t="shared" si="990"/>
        <v>SISTEMAS-GLOBALTRONIK SAS-SERGIO PATIÑO</v>
      </c>
      <c r="F19450" s="5" t="str">
        <f>"Descripcion:ANTIVIRUS ESET ENDPOINT SECURITY RENOVACIÓN (NOD32) Estado: Bueno Placa anterior: 000038552 Material:  Color:  Referencia:  Observacion:     Placa padre:  Tipo adquisicion : Entidad"</f>
        <v>Descripcion:ANTIVIRUS ESET ENDPOINT SECURITY RENOVACIÓN (NOD32) Estado: Bueno Placa anterior: 000038552 Material:  Color:  Referencia:  Observacion:     Placa padre:  Tipo adquisicion : Entidad</v>
      </c>
      <c r="G19450" s="5"/>
    </row>
    <row r="19451" spans="1:7" ht="58.5" customHeight="1" x14ac:dyDescent="0.25">
      <c r="A19451" s="5" t="str">
        <f>"B0001503"</f>
        <v>B0001503</v>
      </c>
      <c r="B19451" s="5" t="str">
        <f t="shared" si="991"/>
        <v>ANTIVIRUS</v>
      </c>
      <c r="C19451" s="6">
        <v>63309.81</v>
      </c>
      <c r="D19451" s="5" t="s">
        <v>63</v>
      </c>
      <c r="E19451" s="5" t="str">
        <f t="shared" si="990"/>
        <v>SISTEMAS-GLOBALTRONIK SAS-SERGIO PATIÑO</v>
      </c>
      <c r="F19451" s="5" t="str">
        <f>"Descripcion:ANTIVIRUS ESET ENDPOINT SECURITY RENOVACIÓN (NOD32) Estado: Bueno Placa anterior: 000038493 Material:  Color:  Referencia:  Observacion:     Placa padre:  Tipo adquisicion : Entidad"</f>
        <v>Descripcion:ANTIVIRUS ESET ENDPOINT SECURITY RENOVACIÓN (NOD32) Estado: Bueno Placa anterior: 000038493 Material:  Color:  Referencia:  Observacion:     Placa padre:  Tipo adquisicion : Entidad</v>
      </c>
      <c r="G19451" s="5"/>
    </row>
    <row r="19452" spans="1:7" ht="58.5" customHeight="1" x14ac:dyDescent="0.25">
      <c r="A19452" s="5" t="str">
        <f>"B0001504"</f>
        <v>B0001504</v>
      </c>
      <c r="B19452" s="5" t="str">
        <f t="shared" si="991"/>
        <v>ANTIVIRUS</v>
      </c>
      <c r="C19452" s="6">
        <v>63309.81</v>
      </c>
      <c r="D19452" s="5" t="s">
        <v>63</v>
      </c>
      <c r="E19452" s="5" t="str">
        <f t="shared" si="990"/>
        <v>SISTEMAS-GLOBALTRONIK SAS-SERGIO PATIÑO</v>
      </c>
      <c r="F19452" s="5" t="str">
        <f>"Descripcion:ANTIVIRUS ESET ENDPOINT SECURITY RENOVACIÓN (NOD32) Estado: Bueno Placa anterior: 000038742 Material:  Color:  Referencia:  Observacion:     Placa padre:  Tipo adquisicion : Entidad"</f>
        <v>Descripcion:ANTIVIRUS ESET ENDPOINT SECURITY RENOVACIÓN (NOD32) Estado: Bueno Placa anterior: 000038742 Material:  Color:  Referencia:  Observacion:     Placa padre:  Tipo adquisicion : Entidad</v>
      </c>
      <c r="G19452" s="5"/>
    </row>
    <row r="19453" spans="1:7" ht="58.5" customHeight="1" x14ac:dyDescent="0.25">
      <c r="A19453" s="5" t="str">
        <f>"B0001505"</f>
        <v>B0001505</v>
      </c>
      <c r="B19453" s="5" t="str">
        <f t="shared" si="991"/>
        <v>ANTIVIRUS</v>
      </c>
      <c r="C19453" s="6">
        <v>129970</v>
      </c>
      <c r="D19453" s="5" t="s">
        <v>63</v>
      </c>
      <c r="E19453" s="5" t="str">
        <f t="shared" ref="E19453:E19516" si="992">"SISTEMAS-GLOBALTRONIK SAS-SERGIO PATIÑO"</f>
        <v>SISTEMAS-GLOBALTRONIK SAS-SERGIO PATIÑO</v>
      </c>
      <c r="F19453" s="5" t="str">
        <f>"Descripcion:ANTIVIRUS ESET ENDPOINT SECURITY (NOD32) Estado: Bueno Placa anterior: 000038125 Material:  Color:  Referencia:  Observacion:     Placa padre:  Tipo adquisicion : Entidad"</f>
        <v>Descripcion:ANTIVIRUS ESET ENDPOINT SECURITY (NOD32) Estado: Bueno Placa anterior: 000038125 Material:  Color:  Referencia:  Observacion:     Placa padre:  Tipo adquisicion : Entidad</v>
      </c>
      <c r="G19453" s="5"/>
    </row>
    <row r="19454" spans="1:7" ht="58.5" customHeight="1" x14ac:dyDescent="0.25">
      <c r="A19454" s="5" t="str">
        <f>"B0001506"</f>
        <v>B0001506</v>
      </c>
      <c r="B19454" s="5" t="str">
        <f t="shared" si="991"/>
        <v>ANTIVIRUS</v>
      </c>
      <c r="C19454" s="6">
        <v>63309.81</v>
      </c>
      <c r="D19454" s="5" t="s">
        <v>63</v>
      </c>
      <c r="E19454" s="5" t="str">
        <f t="shared" si="992"/>
        <v>SISTEMAS-GLOBALTRONIK SAS-SERGIO PATIÑO</v>
      </c>
      <c r="F19454" s="5" t="str">
        <f>"Descripcion:ANTIVIRUS ESET ENDPOINT SECURITY RENOVACIÓN (NOD32) Estado: Bueno Placa anterior: 000038547 Material:  Color:  Referencia:  Observacion:     Placa padre:  Tipo adquisicion : Entidad"</f>
        <v>Descripcion:ANTIVIRUS ESET ENDPOINT SECURITY RENOVACIÓN (NOD32) Estado: Bueno Placa anterior: 000038547 Material:  Color:  Referencia:  Observacion:     Placa padre:  Tipo adquisicion : Entidad</v>
      </c>
      <c r="G19454" s="5"/>
    </row>
    <row r="19455" spans="1:7" ht="58.5" customHeight="1" x14ac:dyDescent="0.25">
      <c r="A19455" s="5" t="str">
        <f>"B0001507"</f>
        <v>B0001507</v>
      </c>
      <c r="B19455" s="5" t="str">
        <f t="shared" si="991"/>
        <v>ANTIVIRUS</v>
      </c>
      <c r="C19455" s="6">
        <v>129970</v>
      </c>
      <c r="D19455" s="5" t="s">
        <v>63</v>
      </c>
      <c r="E19455" s="5" t="str">
        <f t="shared" si="992"/>
        <v>SISTEMAS-GLOBALTRONIK SAS-SERGIO PATIÑO</v>
      </c>
      <c r="F19455" s="5" t="str">
        <f>"Descripcion:ANTIVIRUS ESET ENDPOINT SECURITY (NOD32) Estado: Bueno Placa anterior: 000038129 Material:  Color:  Referencia:  Observacion:     Placa padre:  Tipo adquisicion : Entidad"</f>
        <v>Descripcion:ANTIVIRUS ESET ENDPOINT SECURITY (NOD32) Estado: Bueno Placa anterior: 000038129 Material:  Color:  Referencia:  Observacion:     Placa padre:  Tipo adquisicion : Entidad</v>
      </c>
      <c r="G19455" s="5"/>
    </row>
    <row r="19456" spans="1:7" ht="58.5" customHeight="1" x14ac:dyDescent="0.25">
      <c r="A19456" s="5" t="str">
        <f>"B0001508"</f>
        <v>B0001508</v>
      </c>
      <c r="B19456" s="5" t="str">
        <f t="shared" si="991"/>
        <v>ANTIVIRUS</v>
      </c>
      <c r="C19456" s="6">
        <v>63309.81</v>
      </c>
      <c r="D19456" s="5" t="s">
        <v>63</v>
      </c>
      <c r="E19456" s="5" t="str">
        <f t="shared" si="992"/>
        <v>SISTEMAS-GLOBALTRONIK SAS-SERGIO PATIÑO</v>
      </c>
      <c r="F19456" s="5" t="str">
        <f>"Descripcion:ANTIVIRUS ESET ENDPOINT SECURITY RENOVACIÓN (NOD32) Estado: Bueno Placa anterior: 000038557 Material:  Color:  Referencia:  Observacion:     Placa padre:  Tipo adquisicion : Entidad"</f>
        <v>Descripcion:ANTIVIRUS ESET ENDPOINT SECURITY RENOVACIÓN (NOD32) Estado: Bueno Placa anterior: 000038557 Material:  Color:  Referencia:  Observacion:     Placa padre:  Tipo adquisicion : Entidad</v>
      </c>
      <c r="G19456" s="5"/>
    </row>
    <row r="19457" spans="1:7" ht="58.5" customHeight="1" x14ac:dyDescent="0.25">
      <c r="A19457" s="5" t="str">
        <f>"B0001509"</f>
        <v>B0001509</v>
      </c>
      <c r="B19457" s="5" t="str">
        <f t="shared" si="991"/>
        <v>ANTIVIRUS</v>
      </c>
      <c r="C19457" s="6">
        <v>63309.81</v>
      </c>
      <c r="D19457" s="5" t="s">
        <v>63</v>
      </c>
      <c r="E19457" s="5" t="str">
        <f t="shared" si="992"/>
        <v>SISTEMAS-GLOBALTRONIK SAS-SERGIO PATIÑO</v>
      </c>
      <c r="F19457" s="5" t="str">
        <f>"Descripcion:ANTIVIRUS ESET ENDPOINT SECURITY RENOVACIÓN (NOD32) Estado: Bueno Placa anterior: 000038654 Material:  Color:  Referencia:  Observacion:     Placa padre:  Tipo adquisicion : Entidad"</f>
        <v>Descripcion:ANTIVIRUS ESET ENDPOINT SECURITY RENOVACIÓN (NOD32) Estado: Bueno Placa anterior: 000038654 Material:  Color:  Referencia:  Observacion:     Placa padre:  Tipo adquisicion : Entidad</v>
      </c>
      <c r="G19457" s="5"/>
    </row>
    <row r="19458" spans="1:7" ht="58.5" customHeight="1" x14ac:dyDescent="0.25">
      <c r="A19458" s="5" t="str">
        <f>"B0001510"</f>
        <v>B0001510</v>
      </c>
      <c r="B19458" s="5" t="str">
        <f t="shared" si="991"/>
        <v>ANTIVIRUS</v>
      </c>
      <c r="C19458" s="6">
        <v>129970</v>
      </c>
      <c r="D19458" s="5" t="s">
        <v>63</v>
      </c>
      <c r="E19458" s="5" t="str">
        <f t="shared" si="992"/>
        <v>SISTEMAS-GLOBALTRONIK SAS-SERGIO PATIÑO</v>
      </c>
      <c r="F19458" s="5" t="str">
        <f>"Descripcion:ANTIVIRUS ESET ENDPOINT SECURITY (NOD32) Estado: Bueno Placa anterior: 000038112 Material:  Color:  Referencia:  Observacion:     Placa padre:  Tipo adquisicion : Entidad"</f>
        <v>Descripcion:ANTIVIRUS ESET ENDPOINT SECURITY (NOD32) Estado: Bueno Placa anterior: 000038112 Material:  Color:  Referencia:  Observacion:     Placa padre:  Tipo adquisicion : Entidad</v>
      </c>
      <c r="G19458" s="5"/>
    </row>
    <row r="19459" spans="1:7" ht="58.5" customHeight="1" x14ac:dyDescent="0.25">
      <c r="A19459" s="5" t="str">
        <f>"B0001511"</f>
        <v>B0001511</v>
      </c>
      <c r="B19459" s="5" t="str">
        <f t="shared" si="991"/>
        <v>ANTIVIRUS</v>
      </c>
      <c r="C19459" s="6">
        <v>63309.81</v>
      </c>
      <c r="D19459" s="5" t="s">
        <v>63</v>
      </c>
      <c r="E19459" s="5" t="str">
        <f t="shared" si="992"/>
        <v>SISTEMAS-GLOBALTRONIK SAS-SERGIO PATIÑO</v>
      </c>
      <c r="F19459" s="5" t="str">
        <f>"Descripcion:ANTIVIRUS ESET ENDPOINT SECURITY RENOVACIÓN (NOD32) Estado: Bueno Placa anterior: 000038334 Material:  Color:  Referencia:  Observacion:     Placa padre:  Tipo adquisicion : Entidad"</f>
        <v>Descripcion:ANTIVIRUS ESET ENDPOINT SECURITY RENOVACIÓN (NOD32) Estado: Bueno Placa anterior: 000038334 Material:  Color:  Referencia:  Observacion:     Placa padre:  Tipo adquisicion : Entidad</v>
      </c>
      <c r="G19459" s="5"/>
    </row>
    <row r="19460" spans="1:7" ht="58.5" customHeight="1" x14ac:dyDescent="0.25">
      <c r="A19460" s="5" t="str">
        <f>"B0001512"</f>
        <v>B0001512</v>
      </c>
      <c r="B19460" s="5" t="str">
        <f t="shared" ref="B19460:B19523" si="993">"ANTIVIRUS"</f>
        <v>ANTIVIRUS</v>
      </c>
      <c r="C19460" s="6">
        <v>63309.81</v>
      </c>
      <c r="D19460" s="5" t="s">
        <v>63</v>
      </c>
      <c r="E19460" s="5" t="str">
        <f t="shared" si="992"/>
        <v>SISTEMAS-GLOBALTRONIK SAS-SERGIO PATIÑO</v>
      </c>
      <c r="F19460" s="5" t="str">
        <f>"Descripcion:ANTIVIRUS ESET ENDPOINT SECURITY RENOVACIÓN (NOD32) Estado: Bueno Placa anterior: 000038604 Material:  Color:  Referencia:  Observacion:     Placa padre:  Tipo adquisicion : Entidad"</f>
        <v>Descripcion:ANTIVIRUS ESET ENDPOINT SECURITY RENOVACIÓN (NOD32) Estado: Bueno Placa anterior: 000038604 Material:  Color:  Referencia:  Observacion:     Placa padre:  Tipo adquisicion : Entidad</v>
      </c>
      <c r="G19460" s="5"/>
    </row>
    <row r="19461" spans="1:7" ht="58.5" customHeight="1" x14ac:dyDescent="0.25">
      <c r="A19461" s="5" t="str">
        <f>"B0001513"</f>
        <v>B0001513</v>
      </c>
      <c r="B19461" s="5" t="str">
        <f t="shared" si="993"/>
        <v>ANTIVIRUS</v>
      </c>
      <c r="C19461" s="6">
        <v>63309.81</v>
      </c>
      <c r="D19461" s="5" t="s">
        <v>63</v>
      </c>
      <c r="E19461" s="5" t="str">
        <f t="shared" si="992"/>
        <v>SISTEMAS-GLOBALTRONIK SAS-SERGIO PATIÑO</v>
      </c>
      <c r="F19461" s="5" t="str">
        <f>"Descripcion:ANTIVIRUS ESET ENDPOINT SECURITY RENOVACIÓN (NOD32) Estado: Bueno Placa anterior: 000038545 Material:  Color:  Referencia:  Observacion:     Placa padre:  Tipo adquisicion : Entidad"</f>
        <v>Descripcion:ANTIVIRUS ESET ENDPOINT SECURITY RENOVACIÓN (NOD32) Estado: Bueno Placa anterior: 000038545 Material:  Color:  Referencia:  Observacion:     Placa padre:  Tipo adquisicion : Entidad</v>
      </c>
      <c r="G19461" s="5"/>
    </row>
    <row r="19462" spans="1:7" ht="58.5" customHeight="1" x14ac:dyDescent="0.25">
      <c r="A19462" s="5" t="str">
        <f>"B0001514"</f>
        <v>B0001514</v>
      </c>
      <c r="B19462" s="5" t="str">
        <f t="shared" si="993"/>
        <v>ANTIVIRUS</v>
      </c>
      <c r="C19462" s="6">
        <v>129970</v>
      </c>
      <c r="D19462" s="5" t="s">
        <v>63</v>
      </c>
      <c r="E19462" s="5" t="str">
        <f t="shared" si="992"/>
        <v>SISTEMAS-GLOBALTRONIK SAS-SERGIO PATIÑO</v>
      </c>
      <c r="F19462" s="5" t="str">
        <f>"Descripcion:ANTIVIRUS ESET ENDPOINT SECURITY (NOD32) Estado: Bueno Placa anterior: 000038060 Material:  Color:  Referencia:  Observacion:     Placa padre:  Tipo adquisicion : Entidad"</f>
        <v>Descripcion:ANTIVIRUS ESET ENDPOINT SECURITY (NOD32) Estado: Bueno Placa anterior: 000038060 Material:  Color:  Referencia:  Observacion:     Placa padre:  Tipo adquisicion : Entidad</v>
      </c>
      <c r="G19462" s="5"/>
    </row>
    <row r="19463" spans="1:7" ht="58.5" customHeight="1" x14ac:dyDescent="0.25">
      <c r="A19463" s="5" t="str">
        <f>"B0001515"</f>
        <v>B0001515</v>
      </c>
      <c r="B19463" s="5" t="str">
        <f t="shared" si="993"/>
        <v>ANTIVIRUS</v>
      </c>
      <c r="C19463" s="6">
        <v>63309.81</v>
      </c>
      <c r="D19463" s="5" t="s">
        <v>63</v>
      </c>
      <c r="E19463" s="5" t="str">
        <f t="shared" si="992"/>
        <v>SISTEMAS-GLOBALTRONIK SAS-SERGIO PATIÑO</v>
      </c>
      <c r="F19463" s="5" t="str">
        <f>"Descripcion:ANTIVIRUS ESET ENDPOINT SECURITY RENOVACIÓN (NOD32) Estado: Bueno Placa anterior: 000038746 Material:  Color:  Referencia:  Observacion:     Placa padre:  Tipo adquisicion : Entidad"</f>
        <v>Descripcion:ANTIVIRUS ESET ENDPOINT SECURITY RENOVACIÓN (NOD32) Estado: Bueno Placa anterior: 000038746 Material:  Color:  Referencia:  Observacion:     Placa padre:  Tipo adquisicion : Entidad</v>
      </c>
      <c r="G19463" s="5"/>
    </row>
    <row r="19464" spans="1:7" ht="58.5" customHeight="1" x14ac:dyDescent="0.25">
      <c r="A19464" s="5" t="str">
        <f>"B0001516"</f>
        <v>B0001516</v>
      </c>
      <c r="B19464" s="5" t="str">
        <f t="shared" si="993"/>
        <v>ANTIVIRUS</v>
      </c>
      <c r="C19464" s="6">
        <v>63309.81</v>
      </c>
      <c r="D19464" s="5" t="s">
        <v>63</v>
      </c>
      <c r="E19464" s="5" t="str">
        <f t="shared" si="992"/>
        <v>SISTEMAS-GLOBALTRONIK SAS-SERGIO PATIÑO</v>
      </c>
      <c r="F19464" s="5" t="str">
        <f>"Descripcion:ANTIVIRUS ESET ENDPOINT SECURITY RENOVACIÓN (NOD32) Estado: Bueno Placa anterior: 000038418 Material:  Color:  Referencia:  Observacion:     Placa padre:  Tipo adquisicion : Entidad"</f>
        <v>Descripcion:ANTIVIRUS ESET ENDPOINT SECURITY RENOVACIÓN (NOD32) Estado: Bueno Placa anterior: 000038418 Material:  Color:  Referencia:  Observacion:     Placa padre:  Tipo adquisicion : Entidad</v>
      </c>
      <c r="G19464" s="5"/>
    </row>
    <row r="19465" spans="1:7" ht="58.5" customHeight="1" x14ac:dyDescent="0.25">
      <c r="A19465" s="5" t="str">
        <f>"B0001517"</f>
        <v>B0001517</v>
      </c>
      <c r="B19465" s="5" t="str">
        <f t="shared" si="993"/>
        <v>ANTIVIRUS</v>
      </c>
      <c r="C19465" s="6">
        <v>129970</v>
      </c>
      <c r="D19465" s="5" t="s">
        <v>63</v>
      </c>
      <c r="E19465" s="5" t="str">
        <f t="shared" si="992"/>
        <v>SISTEMAS-GLOBALTRONIK SAS-SERGIO PATIÑO</v>
      </c>
      <c r="F19465" s="5" t="str">
        <f>"Descripcion:ANTIVIRUS ESET ENDPOINT SECURITY (NOD32) Estado: Bueno Placa anterior: 000038087 Material:  Color:  Referencia:  Observacion:     Placa padre:  Tipo adquisicion : Entidad"</f>
        <v>Descripcion:ANTIVIRUS ESET ENDPOINT SECURITY (NOD32) Estado: Bueno Placa anterior: 000038087 Material:  Color:  Referencia:  Observacion:     Placa padre:  Tipo adquisicion : Entidad</v>
      </c>
      <c r="G19465" s="5"/>
    </row>
    <row r="19466" spans="1:7" ht="58.5" customHeight="1" x14ac:dyDescent="0.25">
      <c r="A19466" s="5" t="str">
        <f>"B0001518"</f>
        <v>B0001518</v>
      </c>
      <c r="B19466" s="5" t="str">
        <f t="shared" si="993"/>
        <v>ANTIVIRUS</v>
      </c>
      <c r="C19466" s="6">
        <v>63309.81</v>
      </c>
      <c r="D19466" s="5" t="s">
        <v>63</v>
      </c>
      <c r="E19466" s="5" t="str">
        <f t="shared" si="992"/>
        <v>SISTEMAS-GLOBALTRONIK SAS-SERGIO PATIÑO</v>
      </c>
      <c r="F19466" s="5" t="str">
        <f>"Descripcion:ANTIVIRUS ESET ENDPOINT SECURITY RENOVACIÓN (NOD32) Estado: Bueno Placa anterior: 000038562 Material:  Color:  Referencia:  Observacion:     Placa padre:  Tipo adquisicion : Entidad"</f>
        <v>Descripcion:ANTIVIRUS ESET ENDPOINT SECURITY RENOVACIÓN (NOD32) Estado: Bueno Placa anterior: 000038562 Material:  Color:  Referencia:  Observacion:     Placa padre:  Tipo adquisicion : Entidad</v>
      </c>
      <c r="G19466" s="5"/>
    </row>
    <row r="19467" spans="1:7" ht="58.5" customHeight="1" x14ac:dyDescent="0.25">
      <c r="A19467" s="5" t="str">
        <f>"B0001519"</f>
        <v>B0001519</v>
      </c>
      <c r="B19467" s="5" t="str">
        <f t="shared" si="993"/>
        <v>ANTIVIRUS</v>
      </c>
      <c r="C19467" s="6">
        <v>129970</v>
      </c>
      <c r="D19467" s="5" t="s">
        <v>63</v>
      </c>
      <c r="E19467" s="5" t="str">
        <f t="shared" si="992"/>
        <v>SISTEMAS-GLOBALTRONIK SAS-SERGIO PATIÑO</v>
      </c>
      <c r="F19467" s="5" t="str">
        <f>"Descripcion:ANTIVIRUS ESET ENDPOINT SECURITY (NOD32) Estado: Bueno Placa anterior: 000038096 Material:  Color:  Referencia:  Observacion:     Placa padre:  Tipo adquisicion : Entidad"</f>
        <v>Descripcion:ANTIVIRUS ESET ENDPOINT SECURITY (NOD32) Estado: Bueno Placa anterior: 000038096 Material:  Color:  Referencia:  Observacion:     Placa padre:  Tipo adquisicion : Entidad</v>
      </c>
      <c r="G19467" s="5"/>
    </row>
    <row r="19468" spans="1:7" ht="58.5" customHeight="1" x14ac:dyDescent="0.25">
      <c r="A19468" s="5" t="str">
        <f>"B0001520"</f>
        <v>B0001520</v>
      </c>
      <c r="B19468" s="5" t="str">
        <f t="shared" si="993"/>
        <v>ANTIVIRUS</v>
      </c>
      <c r="C19468" s="6">
        <v>63309.81</v>
      </c>
      <c r="D19468" s="5" t="s">
        <v>63</v>
      </c>
      <c r="E19468" s="5" t="str">
        <f t="shared" si="992"/>
        <v>SISTEMAS-GLOBALTRONIK SAS-SERGIO PATIÑO</v>
      </c>
      <c r="F19468" s="5" t="str">
        <f>"Descripcion:ANTIVIRUS ESET ENDPOINT SECURITY RENOVACIÓN (NOD32) Estado: Bueno Placa anterior: 000038313 Material:  Color:  Referencia:  Observacion:     Placa padre:  Tipo adquisicion : Entidad"</f>
        <v>Descripcion:ANTIVIRUS ESET ENDPOINT SECURITY RENOVACIÓN (NOD32) Estado: Bueno Placa anterior: 000038313 Material:  Color:  Referencia:  Observacion:     Placa padre:  Tipo adquisicion : Entidad</v>
      </c>
      <c r="G19468" s="5"/>
    </row>
    <row r="19469" spans="1:7" ht="58.5" customHeight="1" x14ac:dyDescent="0.25">
      <c r="A19469" s="5" t="str">
        <f>"B0001521"</f>
        <v>B0001521</v>
      </c>
      <c r="B19469" s="5" t="str">
        <f t="shared" si="993"/>
        <v>ANTIVIRUS</v>
      </c>
      <c r="C19469" s="6">
        <v>63309.81</v>
      </c>
      <c r="D19469" s="5" t="s">
        <v>63</v>
      </c>
      <c r="E19469" s="5" t="str">
        <f t="shared" si="992"/>
        <v>SISTEMAS-GLOBALTRONIK SAS-SERGIO PATIÑO</v>
      </c>
      <c r="F19469" s="5" t="str">
        <f>"Descripcion:ANTIVIRUS ESET ENDPOINT SECURITY RENOVACIÓN (NOD32) Estado: Bueno Placa anterior: 000038399 Material:  Color:  Referencia:  Observacion:     Placa padre:  Tipo adquisicion : Entidad"</f>
        <v>Descripcion:ANTIVIRUS ESET ENDPOINT SECURITY RENOVACIÓN (NOD32) Estado: Bueno Placa anterior: 000038399 Material:  Color:  Referencia:  Observacion:     Placa padre:  Tipo adquisicion : Entidad</v>
      </c>
      <c r="G19469" s="5"/>
    </row>
    <row r="19470" spans="1:7" ht="58.5" customHeight="1" x14ac:dyDescent="0.25">
      <c r="A19470" s="5" t="str">
        <f>"B0001522"</f>
        <v>B0001522</v>
      </c>
      <c r="B19470" s="5" t="str">
        <f t="shared" si="993"/>
        <v>ANTIVIRUS</v>
      </c>
      <c r="C19470" s="6">
        <v>129970</v>
      </c>
      <c r="D19470" s="5" t="s">
        <v>63</v>
      </c>
      <c r="E19470" s="5" t="str">
        <f t="shared" si="992"/>
        <v>SISTEMAS-GLOBALTRONIK SAS-SERGIO PATIÑO</v>
      </c>
      <c r="F19470" s="5" t="str">
        <f>"Descripcion:ANTIVIRUS ESET ENDPOINT SECURITY (NOD32) Estado: Bueno Placa anterior: 000038110 Material:  Color:  Referencia:  Observacion:     Placa padre:  Tipo adquisicion : Entidad"</f>
        <v>Descripcion:ANTIVIRUS ESET ENDPOINT SECURITY (NOD32) Estado: Bueno Placa anterior: 000038110 Material:  Color:  Referencia:  Observacion:     Placa padre:  Tipo adquisicion : Entidad</v>
      </c>
      <c r="G19470" s="5"/>
    </row>
    <row r="19471" spans="1:7" ht="58.5" customHeight="1" x14ac:dyDescent="0.25">
      <c r="A19471" s="5" t="str">
        <f>"B0001523"</f>
        <v>B0001523</v>
      </c>
      <c r="B19471" s="5" t="str">
        <f t="shared" si="993"/>
        <v>ANTIVIRUS</v>
      </c>
      <c r="C19471" s="6">
        <v>129970</v>
      </c>
      <c r="D19471" s="5" t="s">
        <v>63</v>
      </c>
      <c r="E19471" s="5" t="str">
        <f t="shared" si="992"/>
        <v>SISTEMAS-GLOBALTRONIK SAS-SERGIO PATIÑO</v>
      </c>
      <c r="F19471" s="5" t="str">
        <f>"Descripcion:ANTIVIRUS ESET ENDPOINT SECURITY (NOD32) Estado: Bueno Placa anterior: 000038046 Material:  Color:  Referencia:  Observacion:     Placa padre:  Tipo adquisicion : Entidad"</f>
        <v>Descripcion:ANTIVIRUS ESET ENDPOINT SECURITY (NOD32) Estado: Bueno Placa anterior: 000038046 Material:  Color:  Referencia:  Observacion:     Placa padre:  Tipo adquisicion : Entidad</v>
      </c>
      <c r="G19471" s="5"/>
    </row>
    <row r="19472" spans="1:7" ht="58.5" customHeight="1" x14ac:dyDescent="0.25">
      <c r="A19472" s="5" t="str">
        <f>"B0001524"</f>
        <v>B0001524</v>
      </c>
      <c r="B19472" s="5" t="str">
        <f t="shared" si="993"/>
        <v>ANTIVIRUS</v>
      </c>
      <c r="C19472" s="6">
        <v>63309.81</v>
      </c>
      <c r="D19472" s="5" t="s">
        <v>63</v>
      </c>
      <c r="E19472" s="5" t="str">
        <f t="shared" si="992"/>
        <v>SISTEMAS-GLOBALTRONIK SAS-SERGIO PATIÑO</v>
      </c>
      <c r="F19472" s="5" t="str">
        <f>"Descripcion:ANTIVIRUS ESET ENDPOINT SECURITY RENOVACIÓN (NOD32) Estado: Bueno Placa anterior: 000038603 Material:  Color:  Referencia:  Observacion:     Placa padre:  Tipo adquisicion : Entidad"</f>
        <v>Descripcion:ANTIVIRUS ESET ENDPOINT SECURITY RENOVACIÓN (NOD32) Estado: Bueno Placa anterior: 000038603 Material:  Color:  Referencia:  Observacion:     Placa padre:  Tipo adquisicion : Entidad</v>
      </c>
      <c r="G19472" s="5"/>
    </row>
    <row r="19473" spans="1:7" ht="58.5" customHeight="1" x14ac:dyDescent="0.25">
      <c r="A19473" s="5" t="str">
        <f>"B0001525"</f>
        <v>B0001525</v>
      </c>
      <c r="B19473" s="5" t="str">
        <f t="shared" si="993"/>
        <v>ANTIVIRUS</v>
      </c>
      <c r="C19473" s="6">
        <v>63309.81</v>
      </c>
      <c r="D19473" s="5" t="s">
        <v>63</v>
      </c>
      <c r="E19473" s="5" t="str">
        <f t="shared" si="992"/>
        <v>SISTEMAS-GLOBALTRONIK SAS-SERGIO PATIÑO</v>
      </c>
      <c r="F19473" s="5" t="str">
        <f>"Descripcion:ANTIVIRUS ESET ENDPOINT SECURITY RENOVACIÓN (NOD32) Estado: Bueno Placa anterior: 000038560 Material:  Color:  Referencia:  Observacion:     Placa padre:  Tipo adquisicion : Entidad"</f>
        <v>Descripcion:ANTIVIRUS ESET ENDPOINT SECURITY RENOVACIÓN (NOD32) Estado: Bueno Placa anterior: 000038560 Material:  Color:  Referencia:  Observacion:     Placa padre:  Tipo adquisicion : Entidad</v>
      </c>
      <c r="G19473" s="5"/>
    </row>
    <row r="19474" spans="1:7" ht="58.5" customHeight="1" x14ac:dyDescent="0.25">
      <c r="A19474" s="5" t="str">
        <f>"B0001526"</f>
        <v>B0001526</v>
      </c>
      <c r="B19474" s="5" t="str">
        <f t="shared" si="993"/>
        <v>ANTIVIRUS</v>
      </c>
      <c r="C19474" s="6">
        <v>63309.81</v>
      </c>
      <c r="D19474" s="5" t="s">
        <v>63</v>
      </c>
      <c r="E19474" s="5" t="str">
        <f t="shared" si="992"/>
        <v>SISTEMAS-GLOBALTRONIK SAS-SERGIO PATIÑO</v>
      </c>
      <c r="F19474" s="5" t="str">
        <f>"Descripcion:ANTIVIRUS ESET ENDPOINT SECURITY RENOVACIÓN (NOD32) Estado: Bueno Placa anterior: 000038548 Material:  Color:  Referencia:  Observacion:     Placa padre:  Tipo adquisicion : Entidad"</f>
        <v>Descripcion:ANTIVIRUS ESET ENDPOINT SECURITY RENOVACIÓN (NOD32) Estado: Bueno Placa anterior: 000038548 Material:  Color:  Referencia:  Observacion:     Placa padre:  Tipo adquisicion : Entidad</v>
      </c>
      <c r="G19474" s="5"/>
    </row>
    <row r="19475" spans="1:7" ht="58.5" customHeight="1" x14ac:dyDescent="0.25">
      <c r="A19475" s="5" t="str">
        <f>"B0001527"</f>
        <v>B0001527</v>
      </c>
      <c r="B19475" s="5" t="str">
        <f t="shared" si="993"/>
        <v>ANTIVIRUS</v>
      </c>
      <c r="C19475" s="6">
        <v>63309.81</v>
      </c>
      <c r="D19475" s="5" t="s">
        <v>63</v>
      </c>
      <c r="E19475" s="5" t="str">
        <f t="shared" si="992"/>
        <v>SISTEMAS-GLOBALTRONIK SAS-SERGIO PATIÑO</v>
      </c>
      <c r="F19475" s="5" t="str">
        <f>"Descripcion:ANTIVIRUS ESET ENDPOINT SECURITY RENOVACIÓN (NOD32) Estado: Bueno Placa anterior: 000038452 Material:  Color:  Referencia:  Observacion:     Placa padre:  Tipo adquisicion : Entidad"</f>
        <v>Descripcion:ANTIVIRUS ESET ENDPOINT SECURITY RENOVACIÓN (NOD32) Estado: Bueno Placa anterior: 000038452 Material:  Color:  Referencia:  Observacion:     Placa padre:  Tipo adquisicion : Entidad</v>
      </c>
      <c r="G19475" s="5"/>
    </row>
    <row r="19476" spans="1:7" ht="58.5" customHeight="1" x14ac:dyDescent="0.25">
      <c r="A19476" s="5" t="str">
        <f>"B0001528"</f>
        <v>B0001528</v>
      </c>
      <c r="B19476" s="5" t="str">
        <f t="shared" si="993"/>
        <v>ANTIVIRUS</v>
      </c>
      <c r="C19476" s="6">
        <v>63309.81</v>
      </c>
      <c r="D19476" s="5" t="s">
        <v>63</v>
      </c>
      <c r="E19476" s="5" t="str">
        <f t="shared" si="992"/>
        <v>SISTEMAS-GLOBALTRONIK SAS-SERGIO PATIÑO</v>
      </c>
      <c r="F19476" s="5" t="str">
        <f>"Descripcion:ANTIVIRUS ESET ENDPOINT SECURITY RENOVACIÓN (NOD32) Estado: Bueno Placa anterior: 000038712 Material:  Color:  Referencia:  Observacion:     Placa padre:  Tipo adquisicion : Entidad"</f>
        <v>Descripcion:ANTIVIRUS ESET ENDPOINT SECURITY RENOVACIÓN (NOD32) Estado: Bueno Placa anterior: 000038712 Material:  Color:  Referencia:  Observacion:     Placa padre:  Tipo adquisicion : Entidad</v>
      </c>
      <c r="G19476" s="5"/>
    </row>
    <row r="19477" spans="1:7" ht="58.5" customHeight="1" x14ac:dyDescent="0.25">
      <c r="A19477" s="5" t="str">
        <f>"B0001529"</f>
        <v>B0001529</v>
      </c>
      <c r="B19477" s="5" t="str">
        <f t="shared" si="993"/>
        <v>ANTIVIRUS</v>
      </c>
      <c r="C19477" s="6">
        <v>63309.81</v>
      </c>
      <c r="D19477" s="5" t="s">
        <v>63</v>
      </c>
      <c r="E19477" s="5" t="str">
        <f t="shared" si="992"/>
        <v>SISTEMAS-GLOBALTRONIK SAS-SERGIO PATIÑO</v>
      </c>
      <c r="F19477" s="5" t="str">
        <f>"Descripcion:ANTIVIRUS ESET ENDPOINT SECURITY RENOVACIÓN (NOD32) Estado: Bueno Placa anterior: 000038571 Material:  Color:  Referencia:  Observacion:     Placa padre:  Tipo adquisicion : Entidad"</f>
        <v>Descripcion:ANTIVIRUS ESET ENDPOINT SECURITY RENOVACIÓN (NOD32) Estado: Bueno Placa anterior: 000038571 Material:  Color:  Referencia:  Observacion:     Placa padre:  Tipo adquisicion : Entidad</v>
      </c>
      <c r="G19477" s="5"/>
    </row>
    <row r="19478" spans="1:7" ht="58.5" customHeight="1" x14ac:dyDescent="0.25">
      <c r="A19478" s="5" t="str">
        <f>"B0001530"</f>
        <v>B0001530</v>
      </c>
      <c r="B19478" s="5" t="str">
        <f t="shared" si="993"/>
        <v>ANTIVIRUS</v>
      </c>
      <c r="C19478" s="6">
        <v>63309.81</v>
      </c>
      <c r="D19478" s="5" t="s">
        <v>63</v>
      </c>
      <c r="E19478" s="5" t="str">
        <f t="shared" si="992"/>
        <v>SISTEMAS-GLOBALTRONIK SAS-SERGIO PATIÑO</v>
      </c>
      <c r="F19478" s="5" t="str">
        <f>"Descripcion:ANTIVIRUS ESET ENDPOINT SECURITY RENOVACIÓN (NOD32) Estado: Bueno Placa anterior: 000038743 Material:  Color:  Referencia:  Observacion:     Placa padre:  Tipo adquisicion : Entidad"</f>
        <v>Descripcion:ANTIVIRUS ESET ENDPOINT SECURITY RENOVACIÓN (NOD32) Estado: Bueno Placa anterior: 000038743 Material:  Color:  Referencia:  Observacion:     Placa padre:  Tipo adquisicion : Entidad</v>
      </c>
      <c r="G19478" s="5"/>
    </row>
    <row r="19479" spans="1:7" ht="58.5" customHeight="1" x14ac:dyDescent="0.25">
      <c r="A19479" s="5" t="str">
        <f>"B0001531"</f>
        <v>B0001531</v>
      </c>
      <c r="B19479" s="5" t="str">
        <f t="shared" si="993"/>
        <v>ANTIVIRUS</v>
      </c>
      <c r="C19479" s="6">
        <v>63309.81</v>
      </c>
      <c r="D19479" s="5" t="s">
        <v>63</v>
      </c>
      <c r="E19479" s="5" t="str">
        <f t="shared" si="992"/>
        <v>SISTEMAS-GLOBALTRONIK SAS-SERGIO PATIÑO</v>
      </c>
      <c r="F19479" s="5" t="str">
        <f>"Descripcion:ANTIVIRUS ESET ENDPOINT SECURITY RENOVACIÓN (NOD32) Estado: Bueno Placa anterior: 000038782 Material:  Color:  Referencia:  Observacion:     Placa padre:  Tipo adquisicion : Entidad"</f>
        <v>Descripcion:ANTIVIRUS ESET ENDPOINT SECURITY RENOVACIÓN (NOD32) Estado: Bueno Placa anterior: 000038782 Material:  Color:  Referencia:  Observacion:     Placa padre:  Tipo adquisicion : Entidad</v>
      </c>
      <c r="G19479" s="5"/>
    </row>
    <row r="19480" spans="1:7" ht="58.5" customHeight="1" x14ac:dyDescent="0.25">
      <c r="A19480" s="5" t="str">
        <f>"B0001532"</f>
        <v>B0001532</v>
      </c>
      <c r="B19480" s="5" t="str">
        <f t="shared" si="993"/>
        <v>ANTIVIRUS</v>
      </c>
      <c r="C19480" s="6">
        <v>63309.81</v>
      </c>
      <c r="D19480" s="5" t="s">
        <v>63</v>
      </c>
      <c r="E19480" s="5" t="str">
        <f t="shared" si="992"/>
        <v>SISTEMAS-GLOBALTRONIK SAS-SERGIO PATIÑO</v>
      </c>
      <c r="F19480" s="5" t="str">
        <f>"Descripcion:ANTIVIRUS ESET ENDPOINT SECURITY RENOVACIÓN (NOD32) Estado: Bueno Placa anterior: 000038468 Material:  Color:  Referencia:  Observacion:     Placa padre:  Tipo adquisicion : Entidad"</f>
        <v>Descripcion:ANTIVIRUS ESET ENDPOINT SECURITY RENOVACIÓN (NOD32) Estado: Bueno Placa anterior: 000038468 Material:  Color:  Referencia:  Observacion:     Placa padre:  Tipo adquisicion : Entidad</v>
      </c>
      <c r="G19480" s="5"/>
    </row>
    <row r="19481" spans="1:7" ht="58.5" customHeight="1" x14ac:dyDescent="0.25">
      <c r="A19481" s="5" t="str">
        <f>"B0001533"</f>
        <v>B0001533</v>
      </c>
      <c r="B19481" s="5" t="str">
        <f t="shared" si="993"/>
        <v>ANTIVIRUS</v>
      </c>
      <c r="C19481" s="6">
        <v>129970</v>
      </c>
      <c r="D19481" s="5" t="s">
        <v>63</v>
      </c>
      <c r="E19481" s="5" t="str">
        <f t="shared" si="992"/>
        <v>SISTEMAS-GLOBALTRONIK SAS-SERGIO PATIÑO</v>
      </c>
      <c r="F19481" s="5" t="str">
        <f>"Descripcion:ANTIVIRUS ESET ENDPOINT SECURITY (NOD32) Estado: Bueno Placa anterior: 000038077 Material:  Color:  Referencia:  Observacion:     Placa padre:  Tipo adquisicion : Entidad"</f>
        <v>Descripcion:ANTIVIRUS ESET ENDPOINT SECURITY (NOD32) Estado: Bueno Placa anterior: 000038077 Material:  Color:  Referencia:  Observacion:     Placa padre:  Tipo adquisicion : Entidad</v>
      </c>
      <c r="G19481" s="5"/>
    </row>
    <row r="19482" spans="1:7" ht="58.5" customHeight="1" x14ac:dyDescent="0.25">
      <c r="A19482" s="5" t="str">
        <f>"B0001534"</f>
        <v>B0001534</v>
      </c>
      <c r="B19482" s="5" t="str">
        <f t="shared" si="993"/>
        <v>ANTIVIRUS</v>
      </c>
      <c r="C19482" s="6">
        <v>63309.81</v>
      </c>
      <c r="D19482" s="5" t="s">
        <v>63</v>
      </c>
      <c r="E19482" s="5" t="str">
        <f t="shared" si="992"/>
        <v>SISTEMAS-GLOBALTRONIK SAS-SERGIO PATIÑO</v>
      </c>
      <c r="F19482" s="5" t="str">
        <f>"Descripcion:ANTIVIRUS ESET ENDPOINT SECURITY RENOVACIÓN (NOD32) Estado: Bueno Placa anterior: 000038401 Material:  Color:  Referencia:  Observacion:     Placa padre:  Tipo adquisicion : Entidad"</f>
        <v>Descripcion:ANTIVIRUS ESET ENDPOINT SECURITY RENOVACIÓN (NOD32) Estado: Bueno Placa anterior: 000038401 Material:  Color:  Referencia:  Observacion:     Placa padre:  Tipo adquisicion : Entidad</v>
      </c>
      <c r="G19482" s="5"/>
    </row>
    <row r="19483" spans="1:7" ht="58.5" customHeight="1" x14ac:dyDescent="0.25">
      <c r="A19483" s="5" t="str">
        <f>"B0001535"</f>
        <v>B0001535</v>
      </c>
      <c r="B19483" s="5" t="str">
        <f t="shared" si="993"/>
        <v>ANTIVIRUS</v>
      </c>
      <c r="C19483" s="6">
        <v>63309.81</v>
      </c>
      <c r="D19483" s="5" t="s">
        <v>63</v>
      </c>
      <c r="E19483" s="5" t="str">
        <f t="shared" si="992"/>
        <v>SISTEMAS-GLOBALTRONIK SAS-SERGIO PATIÑO</v>
      </c>
      <c r="F19483" s="5" t="str">
        <f>"Descripcion:ANTIVIRUS ESET ENDPOINT SECURITY RENOVACIÓN (NOD32) Estado: Bueno Placa anterior: 000038739 Material:  Color:  Referencia:  Observacion:     Placa padre:  Tipo adquisicion : Entidad"</f>
        <v>Descripcion:ANTIVIRUS ESET ENDPOINT SECURITY RENOVACIÓN (NOD32) Estado: Bueno Placa anterior: 000038739 Material:  Color:  Referencia:  Observacion:     Placa padre:  Tipo adquisicion : Entidad</v>
      </c>
      <c r="G19483" s="5"/>
    </row>
    <row r="19484" spans="1:7" ht="58.5" customHeight="1" x14ac:dyDescent="0.25">
      <c r="A19484" s="5" t="str">
        <f>"B0001536"</f>
        <v>B0001536</v>
      </c>
      <c r="B19484" s="5" t="str">
        <f t="shared" si="993"/>
        <v>ANTIVIRUS</v>
      </c>
      <c r="C19484" s="6">
        <v>129970</v>
      </c>
      <c r="D19484" s="5" t="s">
        <v>63</v>
      </c>
      <c r="E19484" s="5" t="str">
        <f t="shared" si="992"/>
        <v>SISTEMAS-GLOBALTRONIK SAS-SERGIO PATIÑO</v>
      </c>
      <c r="F19484" s="5" t="str">
        <f>"Descripcion:ANTIVIRUS ESET ENDPOINT SECURITY (NOD32) Estado: Bueno Placa anterior: 000038035 Material:  Color:  Referencia:  Observacion:     Placa padre:  Tipo adquisicion : Entidad"</f>
        <v>Descripcion:ANTIVIRUS ESET ENDPOINT SECURITY (NOD32) Estado: Bueno Placa anterior: 000038035 Material:  Color:  Referencia:  Observacion:     Placa padre:  Tipo adquisicion : Entidad</v>
      </c>
      <c r="G19484" s="5"/>
    </row>
    <row r="19485" spans="1:7" ht="58.5" customHeight="1" x14ac:dyDescent="0.25">
      <c r="A19485" s="5" t="str">
        <f>"B0001537"</f>
        <v>B0001537</v>
      </c>
      <c r="B19485" s="5" t="str">
        <f t="shared" si="993"/>
        <v>ANTIVIRUS</v>
      </c>
      <c r="C19485" s="6">
        <v>63309.81</v>
      </c>
      <c r="D19485" s="5" t="s">
        <v>63</v>
      </c>
      <c r="E19485" s="5" t="str">
        <f t="shared" si="992"/>
        <v>SISTEMAS-GLOBALTRONIK SAS-SERGIO PATIÑO</v>
      </c>
      <c r="F19485" s="5" t="str">
        <f>"Descripcion:ANTIVIRUS ESET ENDPOINT SECURITY RENOVACIÓN (NOD32) Estado: Bueno Placa anterior: 000038451 Material:  Color:  Referencia:  Observacion:     Placa padre:  Tipo adquisicion : Entidad"</f>
        <v>Descripcion:ANTIVIRUS ESET ENDPOINT SECURITY RENOVACIÓN (NOD32) Estado: Bueno Placa anterior: 000038451 Material:  Color:  Referencia:  Observacion:     Placa padre:  Tipo adquisicion : Entidad</v>
      </c>
      <c r="G19485" s="5"/>
    </row>
    <row r="19486" spans="1:7" ht="58.5" customHeight="1" x14ac:dyDescent="0.25">
      <c r="A19486" s="5" t="str">
        <f>"B0001538"</f>
        <v>B0001538</v>
      </c>
      <c r="B19486" s="5" t="str">
        <f t="shared" si="993"/>
        <v>ANTIVIRUS</v>
      </c>
      <c r="C19486" s="6">
        <v>63309.81</v>
      </c>
      <c r="D19486" s="5" t="s">
        <v>63</v>
      </c>
      <c r="E19486" s="5" t="str">
        <f t="shared" si="992"/>
        <v>SISTEMAS-GLOBALTRONIK SAS-SERGIO PATIÑO</v>
      </c>
      <c r="F19486" s="5" t="str">
        <f>"Descripcion:ANTIVIRUS ESET ENDPOINT SECURITY RENOVACIÓN (NOD32) Estado: Bueno Placa anterior: 000038753 Material:  Color:  Referencia:  Observacion:     Placa padre:  Tipo adquisicion : Entidad"</f>
        <v>Descripcion:ANTIVIRUS ESET ENDPOINT SECURITY RENOVACIÓN (NOD32) Estado: Bueno Placa anterior: 000038753 Material:  Color:  Referencia:  Observacion:     Placa padre:  Tipo adquisicion : Entidad</v>
      </c>
      <c r="G19486" s="5"/>
    </row>
    <row r="19487" spans="1:7" ht="58.5" customHeight="1" x14ac:dyDescent="0.25">
      <c r="A19487" s="5" t="str">
        <f>"B0001539"</f>
        <v>B0001539</v>
      </c>
      <c r="B19487" s="5" t="str">
        <f t="shared" si="993"/>
        <v>ANTIVIRUS</v>
      </c>
      <c r="C19487" s="6">
        <v>63309.81</v>
      </c>
      <c r="D19487" s="5" t="s">
        <v>63</v>
      </c>
      <c r="E19487" s="5" t="str">
        <f t="shared" si="992"/>
        <v>SISTEMAS-GLOBALTRONIK SAS-SERGIO PATIÑO</v>
      </c>
      <c r="F19487" s="5" t="str">
        <f>"Descripcion:ANTIVIRUS ESET ENDPOINT SECURITY RENOVACIÓN (NOD32) Estado: Bueno Placa anterior: 000038701 Material:  Color:  Referencia:  Observacion:     Placa padre:  Tipo adquisicion : Entidad"</f>
        <v>Descripcion:ANTIVIRUS ESET ENDPOINT SECURITY RENOVACIÓN (NOD32) Estado: Bueno Placa anterior: 000038701 Material:  Color:  Referencia:  Observacion:     Placa padre:  Tipo adquisicion : Entidad</v>
      </c>
      <c r="G19487" s="5"/>
    </row>
    <row r="19488" spans="1:7" ht="58.5" customHeight="1" x14ac:dyDescent="0.25">
      <c r="A19488" s="5" t="str">
        <f>"B0001540"</f>
        <v>B0001540</v>
      </c>
      <c r="B19488" s="5" t="str">
        <f t="shared" si="993"/>
        <v>ANTIVIRUS</v>
      </c>
      <c r="C19488" s="6">
        <v>129970</v>
      </c>
      <c r="D19488" s="5" t="s">
        <v>63</v>
      </c>
      <c r="E19488" s="5" t="str">
        <f t="shared" si="992"/>
        <v>SISTEMAS-GLOBALTRONIK SAS-SERGIO PATIÑO</v>
      </c>
      <c r="F19488" s="5" t="str">
        <f>"Descripcion:ANTIVIRUS ESET ENDPOINT SECURITY (NOD32) Estado: Bueno Placa anterior: 000038038 Material:  Color:  Referencia:  Observacion:     Placa padre:  Tipo adquisicion : Entidad"</f>
        <v>Descripcion:ANTIVIRUS ESET ENDPOINT SECURITY (NOD32) Estado: Bueno Placa anterior: 000038038 Material:  Color:  Referencia:  Observacion:     Placa padre:  Tipo adquisicion : Entidad</v>
      </c>
      <c r="G19488" s="5"/>
    </row>
    <row r="19489" spans="1:7" ht="58.5" customHeight="1" x14ac:dyDescent="0.25">
      <c r="A19489" s="5" t="str">
        <f>"B0001541"</f>
        <v>B0001541</v>
      </c>
      <c r="B19489" s="5" t="str">
        <f t="shared" si="993"/>
        <v>ANTIVIRUS</v>
      </c>
      <c r="C19489" s="6">
        <v>63309.81</v>
      </c>
      <c r="D19489" s="5" t="s">
        <v>63</v>
      </c>
      <c r="E19489" s="5" t="str">
        <f t="shared" si="992"/>
        <v>SISTEMAS-GLOBALTRONIK SAS-SERGIO PATIÑO</v>
      </c>
      <c r="F19489" s="5" t="str">
        <f>"Descripcion:ANTIVIRUS ESET ENDPOINT SECURITY RENOVACIÓN (NOD32) Estado: Bueno Placa anterior: 000038606 Material:  Color:  Referencia:  Observacion:     Placa padre:  Tipo adquisicion : Entidad"</f>
        <v>Descripcion:ANTIVIRUS ESET ENDPOINT SECURITY RENOVACIÓN (NOD32) Estado: Bueno Placa anterior: 000038606 Material:  Color:  Referencia:  Observacion:     Placa padre:  Tipo adquisicion : Entidad</v>
      </c>
      <c r="G19489" s="5"/>
    </row>
    <row r="19490" spans="1:7" ht="58.5" customHeight="1" x14ac:dyDescent="0.25">
      <c r="A19490" s="5" t="str">
        <f>"B0001542"</f>
        <v>B0001542</v>
      </c>
      <c r="B19490" s="5" t="str">
        <f t="shared" si="993"/>
        <v>ANTIVIRUS</v>
      </c>
      <c r="C19490" s="6">
        <v>63309.81</v>
      </c>
      <c r="D19490" s="5" t="s">
        <v>63</v>
      </c>
      <c r="E19490" s="5" t="str">
        <f t="shared" si="992"/>
        <v>SISTEMAS-GLOBALTRONIK SAS-SERGIO PATIÑO</v>
      </c>
      <c r="F19490" s="5" t="str">
        <f>"Descripcion:ANTIVIRUS ESET ENDPOINT SECURITY RENOVACIÓN (NOD32) Estado: Bueno Placa anterior: 000038410 Material:  Color:  Referencia:  Observacion:     Placa padre:  Tipo adquisicion : Entidad"</f>
        <v>Descripcion:ANTIVIRUS ESET ENDPOINT SECURITY RENOVACIÓN (NOD32) Estado: Bueno Placa anterior: 000038410 Material:  Color:  Referencia:  Observacion:     Placa padre:  Tipo adquisicion : Entidad</v>
      </c>
      <c r="G19490" s="5"/>
    </row>
    <row r="19491" spans="1:7" ht="58.5" customHeight="1" x14ac:dyDescent="0.25">
      <c r="A19491" s="5" t="str">
        <f>"B0001543"</f>
        <v>B0001543</v>
      </c>
      <c r="B19491" s="5" t="str">
        <f t="shared" si="993"/>
        <v>ANTIVIRUS</v>
      </c>
      <c r="C19491" s="6">
        <v>129970</v>
      </c>
      <c r="D19491" s="5" t="s">
        <v>63</v>
      </c>
      <c r="E19491" s="5" t="str">
        <f t="shared" si="992"/>
        <v>SISTEMAS-GLOBALTRONIK SAS-SERGIO PATIÑO</v>
      </c>
      <c r="F19491" s="5" t="str">
        <f>"Descripcion:ANTIVIRUS ESET ENDPOINT SECURITY (NOD32) Estado: Bueno Placa anterior: 000038117 Material:  Color:  Referencia:  Observacion:     Placa padre:  Tipo adquisicion : Entidad"</f>
        <v>Descripcion:ANTIVIRUS ESET ENDPOINT SECURITY (NOD32) Estado: Bueno Placa anterior: 000038117 Material:  Color:  Referencia:  Observacion:     Placa padre:  Tipo adquisicion : Entidad</v>
      </c>
      <c r="G19491" s="5"/>
    </row>
    <row r="19492" spans="1:7" ht="58.5" customHeight="1" x14ac:dyDescent="0.25">
      <c r="A19492" s="5" t="str">
        <f>"B0001544"</f>
        <v>B0001544</v>
      </c>
      <c r="B19492" s="5" t="str">
        <f t="shared" si="993"/>
        <v>ANTIVIRUS</v>
      </c>
      <c r="C19492" s="6">
        <v>63309.81</v>
      </c>
      <c r="D19492" s="5" t="s">
        <v>63</v>
      </c>
      <c r="E19492" s="5" t="str">
        <f t="shared" si="992"/>
        <v>SISTEMAS-GLOBALTRONIK SAS-SERGIO PATIÑO</v>
      </c>
      <c r="F19492" s="5" t="str">
        <f>"Descripcion:ANTIVIRUS ESET ENDPOINT SECURITY RENOVACIÓN (NOD32) Estado: Bueno Placa anterior: 000038628 Material:  Color:  Referencia:  Observacion:     Placa padre:  Tipo adquisicion : Entidad"</f>
        <v>Descripcion:ANTIVIRUS ESET ENDPOINT SECURITY RENOVACIÓN (NOD32) Estado: Bueno Placa anterior: 000038628 Material:  Color:  Referencia:  Observacion:     Placa padre:  Tipo adquisicion : Entidad</v>
      </c>
      <c r="G19492" s="5"/>
    </row>
    <row r="19493" spans="1:7" ht="58.5" customHeight="1" x14ac:dyDescent="0.25">
      <c r="A19493" s="5" t="str">
        <f>"B0001545"</f>
        <v>B0001545</v>
      </c>
      <c r="B19493" s="5" t="str">
        <f t="shared" si="993"/>
        <v>ANTIVIRUS</v>
      </c>
      <c r="C19493" s="6">
        <v>63309.81</v>
      </c>
      <c r="D19493" s="5" t="s">
        <v>63</v>
      </c>
      <c r="E19493" s="5" t="str">
        <f t="shared" si="992"/>
        <v>SISTEMAS-GLOBALTRONIK SAS-SERGIO PATIÑO</v>
      </c>
      <c r="F19493" s="5" t="str">
        <f>"Descripcion:ANTIVIRUS ESET ENDPOINT SECURITY RENOVACIÓN (NOD32) Estado: Bueno Placa anterior: 000038440 Material:  Color:  Referencia:  Observacion:     Placa padre:  Tipo adquisicion : Entidad"</f>
        <v>Descripcion:ANTIVIRUS ESET ENDPOINT SECURITY RENOVACIÓN (NOD32) Estado: Bueno Placa anterior: 000038440 Material:  Color:  Referencia:  Observacion:     Placa padre:  Tipo adquisicion : Entidad</v>
      </c>
      <c r="G19493" s="5"/>
    </row>
    <row r="19494" spans="1:7" ht="58.5" customHeight="1" x14ac:dyDescent="0.25">
      <c r="A19494" s="5" t="str">
        <f>"B0001546"</f>
        <v>B0001546</v>
      </c>
      <c r="B19494" s="5" t="str">
        <f t="shared" si="993"/>
        <v>ANTIVIRUS</v>
      </c>
      <c r="C19494" s="6">
        <v>63309.81</v>
      </c>
      <c r="D19494" s="5" t="s">
        <v>63</v>
      </c>
      <c r="E19494" s="5" t="str">
        <f t="shared" si="992"/>
        <v>SISTEMAS-GLOBALTRONIK SAS-SERGIO PATIÑO</v>
      </c>
      <c r="F19494" s="5" t="str">
        <f>"Descripcion:ANTIVIRUS ESET ENDPOINT SECURITY RENOVACIÓN (NOD32) Estado: Bueno Placa anterior: 000038499 Material:  Color:  Referencia:  Observacion:     Placa padre:  Tipo adquisicion : Entidad"</f>
        <v>Descripcion:ANTIVIRUS ESET ENDPOINT SECURITY RENOVACIÓN (NOD32) Estado: Bueno Placa anterior: 000038499 Material:  Color:  Referencia:  Observacion:     Placa padre:  Tipo adquisicion : Entidad</v>
      </c>
      <c r="G19494" s="5"/>
    </row>
    <row r="19495" spans="1:7" ht="58.5" customHeight="1" x14ac:dyDescent="0.25">
      <c r="A19495" s="5" t="str">
        <f>"B0001547"</f>
        <v>B0001547</v>
      </c>
      <c r="B19495" s="5" t="str">
        <f t="shared" si="993"/>
        <v>ANTIVIRUS</v>
      </c>
      <c r="C19495" s="6">
        <v>63309.81</v>
      </c>
      <c r="D19495" s="5" t="s">
        <v>63</v>
      </c>
      <c r="E19495" s="5" t="str">
        <f t="shared" si="992"/>
        <v>SISTEMAS-GLOBALTRONIK SAS-SERGIO PATIÑO</v>
      </c>
      <c r="F19495" s="5" t="str">
        <f>"Descripcion:ANTIVIRUS ESET ENDPOINT SECURITY RENOVACIÓN (NOD32) Estado: Bueno Placa anterior: 000038347 Material:  Color:  Referencia:  Observacion:     Placa padre:  Tipo adquisicion : Entidad"</f>
        <v>Descripcion:ANTIVIRUS ESET ENDPOINT SECURITY RENOVACIÓN (NOD32) Estado: Bueno Placa anterior: 000038347 Material:  Color:  Referencia:  Observacion:     Placa padre:  Tipo adquisicion : Entidad</v>
      </c>
      <c r="G19495" s="5"/>
    </row>
    <row r="19496" spans="1:7" ht="58.5" customHeight="1" x14ac:dyDescent="0.25">
      <c r="A19496" s="5" t="str">
        <f>"B0001548"</f>
        <v>B0001548</v>
      </c>
      <c r="B19496" s="5" t="str">
        <f t="shared" si="993"/>
        <v>ANTIVIRUS</v>
      </c>
      <c r="C19496" s="6">
        <v>129970</v>
      </c>
      <c r="D19496" s="5" t="s">
        <v>63</v>
      </c>
      <c r="E19496" s="5" t="str">
        <f t="shared" si="992"/>
        <v>SISTEMAS-GLOBALTRONIK SAS-SERGIO PATIÑO</v>
      </c>
      <c r="F19496" s="5" t="str">
        <f>"Descripcion:ANTIVIRUS ESET ENDPOINT SECURITY (NOD32) Estado: Bueno Placa anterior: 000038134 Material:  Color:  Referencia:  Observacion:     Placa padre:  Tipo adquisicion : Entidad"</f>
        <v>Descripcion:ANTIVIRUS ESET ENDPOINT SECURITY (NOD32) Estado: Bueno Placa anterior: 000038134 Material:  Color:  Referencia:  Observacion:     Placa padre:  Tipo adquisicion : Entidad</v>
      </c>
      <c r="G19496" s="5"/>
    </row>
    <row r="19497" spans="1:7" ht="58.5" customHeight="1" x14ac:dyDescent="0.25">
      <c r="A19497" s="5" t="str">
        <f>"B0001549"</f>
        <v>B0001549</v>
      </c>
      <c r="B19497" s="5" t="str">
        <f t="shared" si="993"/>
        <v>ANTIVIRUS</v>
      </c>
      <c r="C19497" s="6">
        <v>63309.81</v>
      </c>
      <c r="D19497" s="5" t="s">
        <v>63</v>
      </c>
      <c r="E19497" s="5" t="str">
        <f t="shared" si="992"/>
        <v>SISTEMAS-GLOBALTRONIK SAS-SERGIO PATIÑO</v>
      </c>
      <c r="F19497" s="5" t="str">
        <f>"Descripcion:ANTIVIRUS ESET ENDPOINT SECURITY RENOVACIÓN (NOD32) Estado: Bueno Placa anterior: 000038748 Material:  Color:  Referencia:  Observacion:     Placa padre:  Tipo adquisicion : Entidad"</f>
        <v>Descripcion:ANTIVIRUS ESET ENDPOINT SECURITY RENOVACIÓN (NOD32) Estado: Bueno Placa anterior: 000038748 Material:  Color:  Referencia:  Observacion:     Placa padre:  Tipo adquisicion : Entidad</v>
      </c>
      <c r="G19497" s="5"/>
    </row>
    <row r="19498" spans="1:7" ht="58.5" customHeight="1" x14ac:dyDescent="0.25">
      <c r="A19498" s="5" t="str">
        <f>"B0001550"</f>
        <v>B0001550</v>
      </c>
      <c r="B19498" s="5" t="str">
        <f t="shared" si="993"/>
        <v>ANTIVIRUS</v>
      </c>
      <c r="C19498" s="6">
        <v>63309.81</v>
      </c>
      <c r="D19498" s="5" t="s">
        <v>63</v>
      </c>
      <c r="E19498" s="5" t="str">
        <f t="shared" si="992"/>
        <v>SISTEMAS-GLOBALTRONIK SAS-SERGIO PATIÑO</v>
      </c>
      <c r="F19498" s="5" t="str">
        <f>"Descripcion:ANTIVIRUS ESET ENDPOINT SECURITY RENOVACIÓN (NOD32) Estado: Bueno Placa anterior: 000038627 Material:  Color:  Referencia:  Observacion:     Placa padre:  Tipo adquisicion : Entidad"</f>
        <v>Descripcion:ANTIVIRUS ESET ENDPOINT SECURITY RENOVACIÓN (NOD32) Estado: Bueno Placa anterior: 000038627 Material:  Color:  Referencia:  Observacion:     Placa padre:  Tipo adquisicion : Entidad</v>
      </c>
      <c r="G19498" s="5"/>
    </row>
    <row r="19499" spans="1:7" ht="58.5" customHeight="1" x14ac:dyDescent="0.25">
      <c r="A19499" s="5" t="str">
        <f>"B0001551"</f>
        <v>B0001551</v>
      </c>
      <c r="B19499" s="5" t="str">
        <f t="shared" si="993"/>
        <v>ANTIVIRUS</v>
      </c>
      <c r="C19499" s="6">
        <v>129970</v>
      </c>
      <c r="D19499" s="5" t="s">
        <v>63</v>
      </c>
      <c r="E19499" s="5" t="str">
        <f t="shared" si="992"/>
        <v>SISTEMAS-GLOBALTRONIK SAS-SERGIO PATIÑO</v>
      </c>
      <c r="F19499" s="5" t="str">
        <f>"Descripcion:ANTIVIRUS ESET ENDPOINT SECURITY (NOD32) Estado: Bueno Placa anterior: 000038036 Material:  Color:  Referencia:  Observacion:     Placa padre:  Tipo adquisicion : Entidad"</f>
        <v>Descripcion:ANTIVIRUS ESET ENDPOINT SECURITY (NOD32) Estado: Bueno Placa anterior: 000038036 Material:  Color:  Referencia:  Observacion:     Placa padre:  Tipo adquisicion : Entidad</v>
      </c>
      <c r="G19499" s="5"/>
    </row>
    <row r="19500" spans="1:7" ht="58.5" customHeight="1" x14ac:dyDescent="0.25">
      <c r="A19500" s="5" t="str">
        <f>"B0001552"</f>
        <v>B0001552</v>
      </c>
      <c r="B19500" s="5" t="str">
        <f t="shared" si="993"/>
        <v>ANTIVIRUS</v>
      </c>
      <c r="C19500" s="6">
        <v>63309.81</v>
      </c>
      <c r="D19500" s="5" t="s">
        <v>63</v>
      </c>
      <c r="E19500" s="5" t="str">
        <f t="shared" si="992"/>
        <v>SISTEMAS-GLOBALTRONIK SAS-SERGIO PATIÑO</v>
      </c>
      <c r="F19500" s="5" t="str">
        <f>"Descripcion:ANTIVIRUS ESET ENDPOINT SECURITY RENOVACIÓN (NOD32) Estado: Bueno Placa anterior: 000038312 Material:  Color:  Referencia:  Observacion:     Placa padre:  Tipo adquisicion : Entidad"</f>
        <v>Descripcion:ANTIVIRUS ESET ENDPOINT SECURITY RENOVACIÓN (NOD32) Estado: Bueno Placa anterior: 000038312 Material:  Color:  Referencia:  Observacion:     Placa padre:  Tipo adquisicion : Entidad</v>
      </c>
      <c r="G19500" s="5"/>
    </row>
    <row r="19501" spans="1:7" ht="58.5" customHeight="1" x14ac:dyDescent="0.25">
      <c r="A19501" s="5" t="str">
        <f>"B0001553"</f>
        <v>B0001553</v>
      </c>
      <c r="B19501" s="5" t="str">
        <f t="shared" si="993"/>
        <v>ANTIVIRUS</v>
      </c>
      <c r="C19501" s="6">
        <v>63309.81</v>
      </c>
      <c r="D19501" s="5" t="s">
        <v>63</v>
      </c>
      <c r="E19501" s="5" t="str">
        <f t="shared" si="992"/>
        <v>SISTEMAS-GLOBALTRONIK SAS-SERGIO PATIÑO</v>
      </c>
      <c r="F19501" s="5" t="str">
        <f>"Descripcion:ANTIVIRUS ESET ENDPOINT SECURITY RENOVACIÓN (NOD32) Estado: Bueno Placa anterior: 000038379 Material:  Color:  Referencia:  Observacion:     Placa padre:  Tipo adquisicion : Entidad"</f>
        <v>Descripcion:ANTIVIRUS ESET ENDPOINT SECURITY RENOVACIÓN (NOD32) Estado: Bueno Placa anterior: 000038379 Material:  Color:  Referencia:  Observacion:     Placa padre:  Tipo adquisicion : Entidad</v>
      </c>
      <c r="G19501" s="5"/>
    </row>
    <row r="19502" spans="1:7" ht="58.5" customHeight="1" x14ac:dyDescent="0.25">
      <c r="A19502" s="5" t="str">
        <f>"B0001554"</f>
        <v>B0001554</v>
      </c>
      <c r="B19502" s="5" t="str">
        <f t="shared" si="993"/>
        <v>ANTIVIRUS</v>
      </c>
      <c r="C19502" s="6">
        <v>63309.81</v>
      </c>
      <c r="D19502" s="5" t="s">
        <v>63</v>
      </c>
      <c r="E19502" s="5" t="str">
        <f t="shared" si="992"/>
        <v>SISTEMAS-GLOBALTRONIK SAS-SERGIO PATIÑO</v>
      </c>
      <c r="F19502" s="5" t="str">
        <f>"Descripcion:ANTIVIRUS ESET ENDPOINT SECURITY RENOVACIÓN (NOD32) Estado: Bueno Placa anterior: 000038685 Material:  Color:  Referencia:  Observacion:     Placa padre:  Tipo adquisicion : Entidad"</f>
        <v>Descripcion:ANTIVIRUS ESET ENDPOINT SECURITY RENOVACIÓN (NOD32) Estado: Bueno Placa anterior: 000038685 Material:  Color:  Referencia:  Observacion:     Placa padre:  Tipo adquisicion : Entidad</v>
      </c>
      <c r="G19502" s="5"/>
    </row>
    <row r="19503" spans="1:7" ht="58.5" customHeight="1" x14ac:dyDescent="0.25">
      <c r="A19503" s="5" t="str">
        <f>"B0001555"</f>
        <v>B0001555</v>
      </c>
      <c r="B19503" s="5" t="str">
        <f t="shared" si="993"/>
        <v>ANTIVIRUS</v>
      </c>
      <c r="C19503" s="6">
        <v>63309.81</v>
      </c>
      <c r="D19503" s="5" t="s">
        <v>63</v>
      </c>
      <c r="E19503" s="5" t="str">
        <f t="shared" si="992"/>
        <v>SISTEMAS-GLOBALTRONIK SAS-SERGIO PATIÑO</v>
      </c>
      <c r="F19503" s="5" t="str">
        <f>"Descripcion:ANTIVIRUS ESET ENDPOINT SECURITY RENOVACIÓN (NOD32) Estado: Bueno Placa anterior: 000038670 Material:  Color:  Referencia:  Observacion:     Placa padre:  Tipo adquisicion : Entidad"</f>
        <v>Descripcion:ANTIVIRUS ESET ENDPOINT SECURITY RENOVACIÓN (NOD32) Estado: Bueno Placa anterior: 000038670 Material:  Color:  Referencia:  Observacion:     Placa padre:  Tipo adquisicion : Entidad</v>
      </c>
      <c r="G19503" s="5"/>
    </row>
    <row r="19504" spans="1:7" ht="58.5" customHeight="1" x14ac:dyDescent="0.25">
      <c r="A19504" s="5" t="str">
        <f>"B0001556"</f>
        <v>B0001556</v>
      </c>
      <c r="B19504" s="5" t="str">
        <f t="shared" si="993"/>
        <v>ANTIVIRUS</v>
      </c>
      <c r="C19504" s="6">
        <v>63309.81</v>
      </c>
      <c r="D19504" s="5" t="s">
        <v>63</v>
      </c>
      <c r="E19504" s="5" t="str">
        <f t="shared" si="992"/>
        <v>SISTEMAS-GLOBALTRONIK SAS-SERGIO PATIÑO</v>
      </c>
      <c r="F19504" s="5" t="str">
        <f>"Descripcion:ANTIVIRUS ESET ENDPOINT SECURITY RENOVACIÓN (NOD32) Estado: Bueno Placa anterior: 000038768 Material:  Color:  Referencia:  Observacion:     Placa padre:  Tipo adquisicion : Entidad"</f>
        <v>Descripcion:ANTIVIRUS ESET ENDPOINT SECURITY RENOVACIÓN (NOD32) Estado: Bueno Placa anterior: 000038768 Material:  Color:  Referencia:  Observacion:     Placa padre:  Tipo adquisicion : Entidad</v>
      </c>
      <c r="G19504" s="5"/>
    </row>
    <row r="19505" spans="1:7" ht="58.5" customHeight="1" x14ac:dyDescent="0.25">
      <c r="A19505" s="5" t="str">
        <f>"B0001557"</f>
        <v>B0001557</v>
      </c>
      <c r="B19505" s="5" t="str">
        <f t="shared" si="993"/>
        <v>ANTIVIRUS</v>
      </c>
      <c r="C19505" s="6">
        <v>63309.81</v>
      </c>
      <c r="D19505" s="5" t="s">
        <v>63</v>
      </c>
      <c r="E19505" s="5" t="str">
        <f t="shared" si="992"/>
        <v>SISTEMAS-GLOBALTRONIK SAS-SERGIO PATIÑO</v>
      </c>
      <c r="F19505" s="5" t="str">
        <f>"Descripcion:ANTIVIRUS ESET ENDPOINT SECURITY RENOVACIÓN (NOD32) Estado: Bueno Placa anterior: 000038672 Material:  Color:  Referencia:  Observacion:     Placa padre:  Tipo adquisicion : Entidad"</f>
        <v>Descripcion:ANTIVIRUS ESET ENDPOINT SECURITY RENOVACIÓN (NOD32) Estado: Bueno Placa anterior: 000038672 Material:  Color:  Referencia:  Observacion:     Placa padre:  Tipo adquisicion : Entidad</v>
      </c>
      <c r="G19505" s="5"/>
    </row>
    <row r="19506" spans="1:7" ht="58.5" customHeight="1" x14ac:dyDescent="0.25">
      <c r="A19506" s="5" t="str">
        <f>"B0001558"</f>
        <v>B0001558</v>
      </c>
      <c r="B19506" s="5" t="str">
        <f t="shared" si="993"/>
        <v>ANTIVIRUS</v>
      </c>
      <c r="C19506" s="6">
        <v>129970</v>
      </c>
      <c r="D19506" s="5" t="s">
        <v>63</v>
      </c>
      <c r="E19506" s="5" t="str">
        <f t="shared" si="992"/>
        <v>SISTEMAS-GLOBALTRONIK SAS-SERGIO PATIÑO</v>
      </c>
      <c r="F19506" s="5" t="str">
        <f>"Descripcion:ANTIVIRUS ESET ENDPOINT SECURITY (NOD32) Estado: Bueno Placa anterior: 000038109 Material:  Color:  Referencia:  Observacion:     Placa padre:  Tipo adquisicion : Entidad"</f>
        <v>Descripcion:ANTIVIRUS ESET ENDPOINT SECURITY (NOD32) Estado: Bueno Placa anterior: 000038109 Material:  Color:  Referencia:  Observacion:     Placa padre:  Tipo adquisicion : Entidad</v>
      </c>
      <c r="G19506" s="5"/>
    </row>
    <row r="19507" spans="1:7" ht="58.5" customHeight="1" x14ac:dyDescent="0.25">
      <c r="A19507" s="5" t="str">
        <f>"B0001559"</f>
        <v>B0001559</v>
      </c>
      <c r="B19507" s="5" t="str">
        <f t="shared" si="993"/>
        <v>ANTIVIRUS</v>
      </c>
      <c r="C19507" s="6">
        <v>63309.81</v>
      </c>
      <c r="D19507" s="5" t="s">
        <v>63</v>
      </c>
      <c r="E19507" s="5" t="str">
        <f t="shared" si="992"/>
        <v>SISTEMAS-GLOBALTRONIK SAS-SERGIO PATIÑO</v>
      </c>
      <c r="F19507" s="5" t="str">
        <f>"Descripcion:ANTIVIRUS ESET ENDPOINT SECURITY RENOVACIÓN (NOD32) Estado: Bueno Placa anterior: 000038408 Material:  Color:  Referencia:  Observacion:     Placa padre:  Tipo adquisicion : Entidad"</f>
        <v>Descripcion:ANTIVIRUS ESET ENDPOINT SECURITY RENOVACIÓN (NOD32) Estado: Bueno Placa anterior: 000038408 Material:  Color:  Referencia:  Observacion:     Placa padre:  Tipo adquisicion : Entidad</v>
      </c>
      <c r="G19507" s="5"/>
    </row>
    <row r="19508" spans="1:7" ht="58.5" customHeight="1" x14ac:dyDescent="0.25">
      <c r="A19508" s="5" t="str">
        <f>"B0001560"</f>
        <v>B0001560</v>
      </c>
      <c r="B19508" s="5" t="str">
        <f t="shared" si="993"/>
        <v>ANTIVIRUS</v>
      </c>
      <c r="C19508" s="6">
        <v>63309.81</v>
      </c>
      <c r="D19508" s="5" t="s">
        <v>63</v>
      </c>
      <c r="E19508" s="5" t="str">
        <f t="shared" si="992"/>
        <v>SISTEMAS-GLOBALTRONIK SAS-SERGIO PATIÑO</v>
      </c>
      <c r="F19508" s="5" t="str">
        <f>"Descripcion:ANTIVIRUS ESET ENDPOINT SECURITY RENOVACIÓN (NOD32) Estado: Bueno Placa anterior: 000038649 Material:  Color:  Referencia:  Observacion:     Placa padre:  Tipo adquisicion : Entidad"</f>
        <v>Descripcion:ANTIVIRUS ESET ENDPOINT SECURITY RENOVACIÓN (NOD32) Estado: Bueno Placa anterior: 000038649 Material:  Color:  Referencia:  Observacion:     Placa padre:  Tipo adquisicion : Entidad</v>
      </c>
      <c r="G19508" s="5"/>
    </row>
    <row r="19509" spans="1:7" ht="58.5" customHeight="1" x14ac:dyDescent="0.25">
      <c r="A19509" s="5" t="str">
        <f>"B0001561"</f>
        <v>B0001561</v>
      </c>
      <c r="B19509" s="5" t="str">
        <f t="shared" si="993"/>
        <v>ANTIVIRUS</v>
      </c>
      <c r="C19509" s="6">
        <v>63309.81</v>
      </c>
      <c r="D19509" s="5" t="s">
        <v>63</v>
      </c>
      <c r="E19509" s="5" t="str">
        <f t="shared" si="992"/>
        <v>SISTEMAS-GLOBALTRONIK SAS-SERGIO PATIÑO</v>
      </c>
      <c r="F19509" s="5" t="str">
        <f>"Descripcion:ANTIVIRUS ESET ENDPOINT SECURITY RENOVACIÓN (NOD32) Estado: Bueno Placa anterior: 000038765 Material:  Color:  Referencia:  Observacion:     Placa padre:  Tipo adquisicion : Entidad"</f>
        <v>Descripcion:ANTIVIRUS ESET ENDPOINT SECURITY RENOVACIÓN (NOD32) Estado: Bueno Placa anterior: 000038765 Material:  Color:  Referencia:  Observacion:     Placa padre:  Tipo adquisicion : Entidad</v>
      </c>
      <c r="G19509" s="5"/>
    </row>
    <row r="19510" spans="1:7" ht="58.5" customHeight="1" x14ac:dyDescent="0.25">
      <c r="A19510" s="5" t="str">
        <f>"B0001562"</f>
        <v>B0001562</v>
      </c>
      <c r="B19510" s="5" t="str">
        <f t="shared" si="993"/>
        <v>ANTIVIRUS</v>
      </c>
      <c r="C19510" s="6">
        <v>63309.81</v>
      </c>
      <c r="D19510" s="5" t="s">
        <v>63</v>
      </c>
      <c r="E19510" s="5" t="str">
        <f t="shared" si="992"/>
        <v>SISTEMAS-GLOBALTRONIK SAS-SERGIO PATIÑO</v>
      </c>
      <c r="F19510" s="5" t="str">
        <f>"Descripcion:ANTIVIRUS ESET ENDPOINT SECURITY RENOVACIÓN (NOD32) Estado: Bueno Placa anterior: 000038489 Material:  Color:  Referencia:  Observacion:     Placa padre:  Tipo adquisicion : Entidad"</f>
        <v>Descripcion:ANTIVIRUS ESET ENDPOINT SECURITY RENOVACIÓN (NOD32) Estado: Bueno Placa anterior: 000038489 Material:  Color:  Referencia:  Observacion:     Placa padre:  Tipo adquisicion : Entidad</v>
      </c>
      <c r="G19510" s="5"/>
    </row>
    <row r="19511" spans="1:7" ht="58.5" customHeight="1" x14ac:dyDescent="0.25">
      <c r="A19511" s="5" t="str">
        <f>"B0001563"</f>
        <v>B0001563</v>
      </c>
      <c r="B19511" s="5" t="str">
        <f t="shared" si="993"/>
        <v>ANTIVIRUS</v>
      </c>
      <c r="C19511" s="6">
        <v>63309.81</v>
      </c>
      <c r="D19511" s="5" t="s">
        <v>63</v>
      </c>
      <c r="E19511" s="5" t="str">
        <f t="shared" si="992"/>
        <v>SISTEMAS-GLOBALTRONIK SAS-SERGIO PATIÑO</v>
      </c>
      <c r="F19511" s="5" t="str">
        <f>"Descripcion:ANTIVIRUS ESET ENDPOINT SECURITY RENOVACIÓN (NOD32) Estado: Bueno Placa anterior: 000038346 Material:  Color:  Referencia:  Observacion:     Placa padre:  Tipo adquisicion : Entidad"</f>
        <v>Descripcion:ANTIVIRUS ESET ENDPOINT SECURITY RENOVACIÓN (NOD32) Estado: Bueno Placa anterior: 000038346 Material:  Color:  Referencia:  Observacion:     Placa padre:  Tipo adquisicion : Entidad</v>
      </c>
      <c r="G19511" s="5"/>
    </row>
    <row r="19512" spans="1:7" ht="58.5" customHeight="1" x14ac:dyDescent="0.25">
      <c r="A19512" s="5" t="str">
        <f>"B0001564"</f>
        <v>B0001564</v>
      </c>
      <c r="B19512" s="5" t="str">
        <f t="shared" si="993"/>
        <v>ANTIVIRUS</v>
      </c>
      <c r="C19512" s="6">
        <v>63309.81</v>
      </c>
      <c r="D19512" s="5" t="s">
        <v>63</v>
      </c>
      <c r="E19512" s="5" t="str">
        <f t="shared" si="992"/>
        <v>SISTEMAS-GLOBALTRONIK SAS-SERGIO PATIÑO</v>
      </c>
      <c r="F19512" s="5" t="str">
        <f>"Descripcion:ANTIVIRUS ESET ENDPOINT SECURITY RENOVACIÓN (NOD32) Estado: Bueno Placa anterior: 000038360 Material:  Color:  Referencia:  Observacion:     Placa padre:  Tipo adquisicion : Entidad"</f>
        <v>Descripcion:ANTIVIRUS ESET ENDPOINT SECURITY RENOVACIÓN (NOD32) Estado: Bueno Placa anterior: 000038360 Material:  Color:  Referencia:  Observacion:     Placa padre:  Tipo adquisicion : Entidad</v>
      </c>
      <c r="G19512" s="5"/>
    </row>
    <row r="19513" spans="1:7" ht="58.5" customHeight="1" x14ac:dyDescent="0.25">
      <c r="A19513" s="5" t="str">
        <f>"B0001565"</f>
        <v>B0001565</v>
      </c>
      <c r="B19513" s="5" t="str">
        <f t="shared" si="993"/>
        <v>ANTIVIRUS</v>
      </c>
      <c r="C19513" s="6">
        <v>63309.81</v>
      </c>
      <c r="D19513" s="5" t="s">
        <v>63</v>
      </c>
      <c r="E19513" s="5" t="str">
        <f t="shared" si="992"/>
        <v>SISTEMAS-GLOBALTRONIK SAS-SERGIO PATIÑO</v>
      </c>
      <c r="F19513" s="5" t="str">
        <f>"Descripcion:ANTIVIRUS ESET ENDPOINT SECURITY RENOVACIÓN (NOD32) Estado: Bueno Placa anterior: 000038588 Material:  Color:  Referencia:  Observacion:     Placa padre:  Tipo adquisicion : Entidad"</f>
        <v>Descripcion:ANTIVIRUS ESET ENDPOINT SECURITY RENOVACIÓN (NOD32) Estado: Bueno Placa anterior: 000038588 Material:  Color:  Referencia:  Observacion:     Placa padre:  Tipo adquisicion : Entidad</v>
      </c>
      <c r="G19513" s="5"/>
    </row>
    <row r="19514" spans="1:7" ht="58.5" customHeight="1" x14ac:dyDescent="0.25">
      <c r="A19514" s="5" t="str">
        <f>"B0001566"</f>
        <v>B0001566</v>
      </c>
      <c r="B19514" s="5" t="str">
        <f t="shared" si="993"/>
        <v>ANTIVIRUS</v>
      </c>
      <c r="C19514" s="6">
        <v>63309.81</v>
      </c>
      <c r="D19514" s="5" t="s">
        <v>63</v>
      </c>
      <c r="E19514" s="5" t="str">
        <f t="shared" si="992"/>
        <v>SISTEMAS-GLOBALTRONIK SAS-SERGIO PATIÑO</v>
      </c>
      <c r="F19514" s="5" t="str">
        <f>"Descripcion:ANTIVIRUS ESET ENDPOINT SECURITY RENOVACIÓN (NOD32) Estado: Bueno Placa anterior: 000038528 Material:  Color:  Referencia:  Observacion:     Placa padre:  Tipo adquisicion : Entidad"</f>
        <v>Descripcion:ANTIVIRUS ESET ENDPOINT SECURITY RENOVACIÓN (NOD32) Estado: Bueno Placa anterior: 000038528 Material:  Color:  Referencia:  Observacion:     Placa padre:  Tipo adquisicion : Entidad</v>
      </c>
      <c r="G19514" s="5"/>
    </row>
    <row r="19515" spans="1:7" ht="58.5" customHeight="1" x14ac:dyDescent="0.25">
      <c r="A19515" s="5" t="str">
        <f>"B0001567"</f>
        <v>B0001567</v>
      </c>
      <c r="B19515" s="5" t="str">
        <f t="shared" si="993"/>
        <v>ANTIVIRUS</v>
      </c>
      <c r="C19515" s="6">
        <v>129970</v>
      </c>
      <c r="D19515" s="5" t="s">
        <v>63</v>
      </c>
      <c r="E19515" s="5" t="str">
        <f t="shared" si="992"/>
        <v>SISTEMAS-GLOBALTRONIK SAS-SERGIO PATIÑO</v>
      </c>
      <c r="F19515" s="5" t="str">
        <f>"Descripcion:ANTIVIRUS ESET ENDPOINT SECURITY (NOD32) Estado: Bueno Placa anterior: 000038121 Material:  Color:  Referencia:  Observacion:     Placa padre:  Tipo adquisicion : Entidad"</f>
        <v>Descripcion:ANTIVIRUS ESET ENDPOINT SECURITY (NOD32) Estado: Bueno Placa anterior: 000038121 Material:  Color:  Referencia:  Observacion:     Placa padre:  Tipo adquisicion : Entidad</v>
      </c>
      <c r="G19515" s="5"/>
    </row>
    <row r="19516" spans="1:7" ht="58.5" customHeight="1" x14ac:dyDescent="0.25">
      <c r="A19516" s="5" t="str">
        <f>"B0001568"</f>
        <v>B0001568</v>
      </c>
      <c r="B19516" s="5" t="str">
        <f t="shared" si="993"/>
        <v>ANTIVIRUS</v>
      </c>
      <c r="C19516" s="6">
        <v>63309.81</v>
      </c>
      <c r="D19516" s="5" t="s">
        <v>63</v>
      </c>
      <c r="E19516" s="5" t="str">
        <f t="shared" si="992"/>
        <v>SISTEMAS-GLOBALTRONIK SAS-SERGIO PATIÑO</v>
      </c>
      <c r="F19516" s="5" t="str">
        <f>"Descripcion:ANTIVIRUS ESET ENDPOINT SECURITY RENOVACIÓN (NOD32) Estado: Bueno Placa anterior: 000038613 Material:  Color:  Referencia:  Observacion:     Placa padre:  Tipo adquisicion : Entidad"</f>
        <v>Descripcion:ANTIVIRUS ESET ENDPOINT SECURITY RENOVACIÓN (NOD32) Estado: Bueno Placa anterior: 000038613 Material:  Color:  Referencia:  Observacion:     Placa padre:  Tipo adquisicion : Entidad</v>
      </c>
      <c r="G19516" s="5"/>
    </row>
    <row r="19517" spans="1:7" ht="58.5" customHeight="1" x14ac:dyDescent="0.25">
      <c r="A19517" s="5" t="str">
        <f>"B0001569"</f>
        <v>B0001569</v>
      </c>
      <c r="B19517" s="5" t="str">
        <f t="shared" si="993"/>
        <v>ANTIVIRUS</v>
      </c>
      <c r="C19517" s="6">
        <v>63309.81</v>
      </c>
      <c r="D19517" s="5" t="s">
        <v>63</v>
      </c>
      <c r="E19517" s="5" t="str">
        <f t="shared" ref="E19517:E19580" si="994">"SISTEMAS-GLOBALTRONIK SAS-SERGIO PATIÑO"</f>
        <v>SISTEMAS-GLOBALTRONIK SAS-SERGIO PATIÑO</v>
      </c>
      <c r="F19517" s="5" t="str">
        <f>"Descripcion:ANTIVIRUS ESET ENDPOINT SECURITY RENOVACIÓN (NOD32) Estado: Bueno Placa anterior: 000038564 Material:  Color:  Referencia:  Observacion:     Placa padre:  Tipo adquisicion : Entidad"</f>
        <v>Descripcion:ANTIVIRUS ESET ENDPOINT SECURITY RENOVACIÓN (NOD32) Estado: Bueno Placa anterior: 000038564 Material:  Color:  Referencia:  Observacion:     Placa padre:  Tipo adquisicion : Entidad</v>
      </c>
      <c r="G19517" s="5"/>
    </row>
    <row r="19518" spans="1:7" ht="58.5" customHeight="1" x14ac:dyDescent="0.25">
      <c r="A19518" s="5" t="str">
        <f>"B0001570"</f>
        <v>B0001570</v>
      </c>
      <c r="B19518" s="5" t="str">
        <f t="shared" si="993"/>
        <v>ANTIVIRUS</v>
      </c>
      <c r="C19518" s="6">
        <v>63309.81</v>
      </c>
      <c r="D19518" s="5" t="s">
        <v>63</v>
      </c>
      <c r="E19518" s="5" t="str">
        <f t="shared" si="994"/>
        <v>SISTEMAS-GLOBALTRONIK SAS-SERGIO PATIÑO</v>
      </c>
      <c r="F19518" s="5" t="str">
        <f>"Descripcion:ANTIVIRUS ESET ENDPOINT SECURITY RENOVACIÓN (NOD32) Estado: Bueno Placa anterior: 000038478 Material:  Color:  Referencia:  Observacion:     Placa padre:  Tipo adquisicion : Entidad"</f>
        <v>Descripcion:ANTIVIRUS ESET ENDPOINT SECURITY RENOVACIÓN (NOD32) Estado: Bueno Placa anterior: 000038478 Material:  Color:  Referencia:  Observacion:     Placa padre:  Tipo adquisicion : Entidad</v>
      </c>
      <c r="G19518" s="5"/>
    </row>
    <row r="19519" spans="1:7" ht="58.5" customHeight="1" x14ac:dyDescent="0.25">
      <c r="A19519" s="5" t="str">
        <f>"B0001571"</f>
        <v>B0001571</v>
      </c>
      <c r="B19519" s="5" t="str">
        <f t="shared" si="993"/>
        <v>ANTIVIRUS</v>
      </c>
      <c r="C19519" s="6">
        <v>63309.81</v>
      </c>
      <c r="D19519" s="5" t="s">
        <v>63</v>
      </c>
      <c r="E19519" s="5" t="str">
        <f t="shared" si="994"/>
        <v>SISTEMAS-GLOBALTRONIK SAS-SERGIO PATIÑO</v>
      </c>
      <c r="F19519" s="5" t="str">
        <f>"Descripcion:ANTIVIRUS ESET ENDPOINT SECURITY RENOVACIÓN (NOD32) Estado: Bueno Placa anterior: 000038434 Material:  Color:  Referencia:  Observacion:     Placa padre:  Tipo adquisicion : Entidad"</f>
        <v>Descripcion:ANTIVIRUS ESET ENDPOINT SECURITY RENOVACIÓN (NOD32) Estado: Bueno Placa anterior: 000038434 Material:  Color:  Referencia:  Observacion:     Placa padre:  Tipo adquisicion : Entidad</v>
      </c>
      <c r="G19519" s="5"/>
    </row>
    <row r="19520" spans="1:7" ht="58.5" customHeight="1" x14ac:dyDescent="0.25">
      <c r="A19520" s="5" t="str">
        <f>"B0001572"</f>
        <v>B0001572</v>
      </c>
      <c r="B19520" s="5" t="str">
        <f t="shared" si="993"/>
        <v>ANTIVIRUS</v>
      </c>
      <c r="C19520" s="6">
        <v>63309.81</v>
      </c>
      <c r="D19520" s="5" t="s">
        <v>63</v>
      </c>
      <c r="E19520" s="5" t="str">
        <f t="shared" si="994"/>
        <v>SISTEMAS-GLOBALTRONIK SAS-SERGIO PATIÑO</v>
      </c>
      <c r="F19520" s="5" t="str">
        <f>"Descripcion:ANTIVIRUS ESET ENDPOINT SECURITY RENOVACIÓN (NOD32) Estado: Bueno Placa anterior: 000038332 Material:  Color:  Referencia:  Observacion:     Placa padre:  Tipo adquisicion : Entidad"</f>
        <v>Descripcion:ANTIVIRUS ESET ENDPOINT SECURITY RENOVACIÓN (NOD32) Estado: Bueno Placa anterior: 000038332 Material:  Color:  Referencia:  Observacion:     Placa padre:  Tipo adquisicion : Entidad</v>
      </c>
      <c r="G19520" s="5"/>
    </row>
    <row r="19521" spans="1:7" ht="58.5" customHeight="1" x14ac:dyDescent="0.25">
      <c r="A19521" s="5" t="str">
        <f>"B0001573"</f>
        <v>B0001573</v>
      </c>
      <c r="B19521" s="5" t="str">
        <f t="shared" si="993"/>
        <v>ANTIVIRUS</v>
      </c>
      <c r="C19521" s="6">
        <v>129970</v>
      </c>
      <c r="D19521" s="5" t="s">
        <v>63</v>
      </c>
      <c r="E19521" s="5" t="str">
        <f t="shared" si="994"/>
        <v>SISTEMAS-GLOBALTRONIK SAS-SERGIO PATIÑO</v>
      </c>
      <c r="F19521" s="5" t="str">
        <f>"Descripcion:ANTIVIRUS ESET ENDPOINT SECURITY (NOD32) Estado: Bueno Placa anterior: 000038102 Material:  Color:  Referencia:  Observacion:     Placa padre:  Tipo adquisicion : Entidad"</f>
        <v>Descripcion:ANTIVIRUS ESET ENDPOINT SECURITY (NOD32) Estado: Bueno Placa anterior: 000038102 Material:  Color:  Referencia:  Observacion:     Placa padre:  Tipo adquisicion : Entidad</v>
      </c>
      <c r="G19521" s="5"/>
    </row>
    <row r="19522" spans="1:7" ht="58.5" customHeight="1" x14ac:dyDescent="0.25">
      <c r="A19522" s="5" t="str">
        <f>"B0001574"</f>
        <v>B0001574</v>
      </c>
      <c r="B19522" s="5" t="str">
        <f t="shared" si="993"/>
        <v>ANTIVIRUS</v>
      </c>
      <c r="C19522" s="6">
        <v>63309.81</v>
      </c>
      <c r="D19522" s="5" t="s">
        <v>63</v>
      </c>
      <c r="E19522" s="5" t="str">
        <f t="shared" si="994"/>
        <v>SISTEMAS-GLOBALTRONIK SAS-SERGIO PATIÑO</v>
      </c>
      <c r="F19522" s="5" t="str">
        <f>"Descripcion:ANTIVIRUS ESET ENDPOINT SECURITY RENOVACIÓN (NOD32) Estado: Bueno Placa anterior: 000038723 Material:  Color:  Referencia:  Observacion:     Placa padre:  Tipo adquisicion : Entidad"</f>
        <v>Descripcion:ANTIVIRUS ESET ENDPOINT SECURITY RENOVACIÓN (NOD32) Estado: Bueno Placa anterior: 000038723 Material:  Color:  Referencia:  Observacion:     Placa padre:  Tipo adquisicion : Entidad</v>
      </c>
      <c r="G19522" s="5"/>
    </row>
    <row r="19523" spans="1:7" ht="58.5" customHeight="1" x14ac:dyDescent="0.25">
      <c r="A19523" s="5" t="str">
        <f>"B0001575"</f>
        <v>B0001575</v>
      </c>
      <c r="B19523" s="5" t="str">
        <f t="shared" si="993"/>
        <v>ANTIVIRUS</v>
      </c>
      <c r="C19523" s="6">
        <v>129970</v>
      </c>
      <c r="D19523" s="5" t="s">
        <v>63</v>
      </c>
      <c r="E19523" s="5" t="str">
        <f t="shared" si="994"/>
        <v>SISTEMAS-GLOBALTRONIK SAS-SERGIO PATIÑO</v>
      </c>
      <c r="F19523" s="5" t="str">
        <f>"Descripcion:ANTIVIRUS ESET ENDPOINT SECURITY (NOD32) Estado: Bueno Placa anterior: 000038119 Material:  Color:  Referencia:  Observacion:     Placa padre:  Tipo adquisicion : Entidad"</f>
        <v>Descripcion:ANTIVIRUS ESET ENDPOINT SECURITY (NOD32) Estado: Bueno Placa anterior: 000038119 Material:  Color:  Referencia:  Observacion:     Placa padre:  Tipo adquisicion : Entidad</v>
      </c>
      <c r="G19523" s="5"/>
    </row>
    <row r="19524" spans="1:7" ht="58.5" customHeight="1" x14ac:dyDescent="0.25">
      <c r="A19524" s="5" t="str">
        <f>"B0001576"</f>
        <v>B0001576</v>
      </c>
      <c r="B19524" s="5" t="str">
        <f t="shared" ref="B19524:B19542" si="995">"ANTIVIRUS"</f>
        <v>ANTIVIRUS</v>
      </c>
      <c r="C19524" s="6">
        <v>63309.81</v>
      </c>
      <c r="D19524" s="5" t="s">
        <v>63</v>
      </c>
      <c r="E19524" s="5" t="str">
        <f t="shared" si="994"/>
        <v>SISTEMAS-GLOBALTRONIK SAS-SERGIO PATIÑO</v>
      </c>
      <c r="F19524" s="5" t="str">
        <f>"Descripcion:ANTIVIRUS ESET ENDPOINT SECURITY RENOVACIÓN (NOD32) Estado: Bueno Placa anterior: 000038503 Material:  Color:  Referencia:  Observacion:     Placa padre:  Tipo adquisicion : Entidad"</f>
        <v>Descripcion:ANTIVIRUS ESET ENDPOINT SECURITY RENOVACIÓN (NOD32) Estado: Bueno Placa anterior: 000038503 Material:  Color:  Referencia:  Observacion:     Placa padre:  Tipo adquisicion : Entidad</v>
      </c>
      <c r="G19524" s="5"/>
    </row>
    <row r="19525" spans="1:7" ht="58.5" customHeight="1" x14ac:dyDescent="0.25">
      <c r="A19525" s="5" t="str">
        <f>"B0001577"</f>
        <v>B0001577</v>
      </c>
      <c r="B19525" s="5" t="str">
        <f t="shared" si="995"/>
        <v>ANTIVIRUS</v>
      </c>
      <c r="C19525" s="6">
        <v>129970</v>
      </c>
      <c r="D19525" s="5" t="s">
        <v>63</v>
      </c>
      <c r="E19525" s="5" t="str">
        <f t="shared" si="994"/>
        <v>SISTEMAS-GLOBALTRONIK SAS-SERGIO PATIÑO</v>
      </c>
      <c r="F19525" s="5" t="str">
        <f>"Descripcion:ANTIVIRUS ESET ENDPOINT SECURITY (NOD32) Estado: Bueno Placa anterior: 000038086 Material:  Color:  Referencia:  Observacion:     Placa padre:  Tipo adquisicion : Entidad"</f>
        <v>Descripcion:ANTIVIRUS ESET ENDPOINT SECURITY (NOD32) Estado: Bueno Placa anterior: 000038086 Material:  Color:  Referencia:  Observacion:     Placa padre:  Tipo adquisicion : Entidad</v>
      </c>
      <c r="G19525" s="5"/>
    </row>
    <row r="19526" spans="1:7" ht="58.5" customHeight="1" x14ac:dyDescent="0.25">
      <c r="A19526" s="5" t="str">
        <f>"B0001578"</f>
        <v>B0001578</v>
      </c>
      <c r="B19526" s="5" t="str">
        <f t="shared" si="995"/>
        <v>ANTIVIRUS</v>
      </c>
      <c r="C19526" s="6">
        <v>63309.81</v>
      </c>
      <c r="D19526" s="5" t="s">
        <v>63</v>
      </c>
      <c r="E19526" s="5" t="str">
        <f t="shared" si="994"/>
        <v>SISTEMAS-GLOBALTRONIK SAS-SERGIO PATIÑO</v>
      </c>
      <c r="F19526" s="5" t="str">
        <f>"Descripcion:ANTIVIRUS ESET ENDPOINT SECURITY RENOVACIÓN (NOD32) Estado: Bueno Placa anterior: 000038595 Material:  Color:  Referencia:  Observacion:     Placa padre:  Tipo adquisicion : Entidad"</f>
        <v>Descripcion:ANTIVIRUS ESET ENDPOINT SECURITY RENOVACIÓN (NOD32) Estado: Bueno Placa anterior: 000038595 Material:  Color:  Referencia:  Observacion:     Placa padre:  Tipo adquisicion : Entidad</v>
      </c>
      <c r="G19526" s="5"/>
    </row>
    <row r="19527" spans="1:7" ht="58.5" customHeight="1" x14ac:dyDescent="0.25">
      <c r="A19527" s="5" t="str">
        <f>"B0001579"</f>
        <v>B0001579</v>
      </c>
      <c r="B19527" s="5" t="str">
        <f t="shared" si="995"/>
        <v>ANTIVIRUS</v>
      </c>
      <c r="C19527" s="6">
        <v>63309.81</v>
      </c>
      <c r="D19527" s="5" t="s">
        <v>63</v>
      </c>
      <c r="E19527" s="5" t="str">
        <f t="shared" si="994"/>
        <v>SISTEMAS-GLOBALTRONIK SAS-SERGIO PATIÑO</v>
      </c>
      <c r="F19527" s="5" t="str">
        <f>"Descripcion:ANTIVIRUS ESET ENDPOINT SECURITY RENOVACIÓN (NOD32) Estado: Bueno Placa anterior: 000038637 Material:  Color:  Referencia:  Observacion:     Placa padre:  Tipo adquisicion : Entidad"</f>
        <v>Descripcion:ANTIVIRUS ESET ENDPOINT SECURITY RENOVACIÓN (NOD32) Estado: Bueno Placa anterior: 000038637 Material:  Color:  Referencia:  Observacion:     Placa padre:  Tipo adquisicion : Entidad</v>
      </c>
      <c r="G19527" s="5"/>
    </row>
    <row r="19528" spans="1:7" ht="58.5" customHeight="1" x14ac:dyDescent="0.25">
      <c r="A19528" s="5" t="str">
        <f>"B0001580"</f>
        <v>B0001580</v>
      </c>
      <c r="B19528" s="5" t="str">
        <f t="shared" si="995"/>
        <v>ANTIVIRUS</v>
      </c>
      <c r="C19528" s="6">
        <v>63309.81</v>
      </c>
      <c r="D19528" s="5" t="s">
        <v>63</v>
      </c>
      <c r="E19528" s="5" t="str">
        <f t="shared" si="994"/>
        <v>SISTEMAS-GLOBALTRONIK SAS-SERGIO PATIÑO</v>
      </c>
      <c r="F19528" s="5" t="str">
        <f>"Descripcion:ANTIVIRUS ESET ENDPOINT SECURITY RENOVACIÓN (NOD32) Estado: Bueno Placa anterior: 000038567 Material:  Color:  Referencia:  Observacion:     Placa padre:  Tipo adquisicion : Entidad"</f>
        <v>Descripcion:ANTIVIRUS ESET ENDPOINT SECURITY RENOVACIÓN (NOD32) Estado: Bueno Placa anterior: 000038567 Material:  Color:  Referencia:  Observacion:     Placa padre:  Tipo adquisicion : Entidad</v>
      </c>
      <c r="G19528" s="5"/>
    </row>
    <row r="19529" spans="1:7" ht="58.5" customHeight="1" x14ac:dyDescent="0.25">
      <c r="A19529" s="5" t="str">
        <f>"B0001581"</f>
        <v>B0001581</v>
      </c>
      <c r="B19529" s="5" t="str">
        <f t="shared" si="995"/>
        <v>ANTIVIRUS</v>
      </c>
      <c r="C19529" s="6">
        <v>63309.81</v>
      </c>
      <c r="D19529" s="5" t="s">
        <v>63</v>
      </c>
      <c r="E19529" s="5" t="str">
        <f t="shared" si="994"/>
        <v>SISTEMAS-GLOBALTRONIK SAS-SERGIO PATIÑO</v>
      </c>
      <c r="F19529" s="5" t="str">
        <f>"Descripcion:ANTIVIRUS ESET ENDPOINT SECURITY RENOVACIÓN (NOD32) Estado: Bueno Placa anterior: 000038529 Material:  Color:  Referencia:  Observacion:     Placa padre:  Tipo adquisicion : Entidad"</f>
        <v>Descripcion:ANTIVIRUS ESET ENDPOINT SECURITY RENOVACIÓN (NOD32) Estado: Bueno Placa anterior: 000038529 Material:  Color:  Referencia:  Observacion:     Placa padre:  Tipo adquisicion : Entidad</v>
      </c>
      <c r="G19529" s="5"/>
    </row>
    <row r="19530" spans="1:7" ht="58.5" customHeight="1" x14ac:dyDescent="0.25">
      <c r="A19530" s="5" t="str">
        <f>"B0001582"</f>
        <v>B0001582</v>
      </c>
      <c r="B19530" s="5" t="str">
        <f t="shared" si="995"/>
        <v>ANTIVIRUS</v>
      </c>
      <c r="C19530" s="6">
        <v>63309.81</v>
      </c>
      <c r="D19530" s="5" t="s">
        <v>63</v>
      </c>
      <c r="E19530" s="5" t="str">
        <f t="shared" si="994"/>
        <v>SISTEMAS-GLOBALTRONIK SAS-SERGIO PATIÑO</v>
      </c>
      <c r="F19530" s="5" t="str">
        <f>"Descripcion:ANTIVIRUS ESET ENDPOINT SECURITY RENOVACIÓN (NOD32) Estado: Bueno Placa anterior: 000038414 Material:  Color:  Referencia:  Observacion:     Placa padre:  Tipo adquisicion : Entidad"</f>
        <v>Descripcion:ANTIVIRUS ESET ENDPOINT SECURITY RENOVACIÓN (NOD32) Estado: Bueno Placa anterior: 000038414 Material:  Color:  Referencia:  Observacion:     Placa padre:  Tipo adquisicion : Entidad</v>
      </c>
      <c r="G19530" s="5"/>
    </row>
    <row r="19531" spans="1:7" ht="58.5" customHeight="1" x14ac:dyDescent="0.25">
      <c r="A19531" s="5" t="str">
        <f>"B0001583"</f>
        <v>B0001583</v>
      </c>
      <c r="B19531" s="5" t="str">
        <f t="shared" si="995"/>
        <v>ANTIVIRUS</v>
      </c>
      <c r="C19531" s="6">
        <v>129970</v>
      </c>
      <c r="D19531" s="5" t="s">
        <v>63</v>
      </c>
      <c r="E19531" s="5" t="str">
        <f t="shared" si="994"/>
        <v>SISTEMAS-GLOBALTRONIK SAS-SERGIO PATIÑO</v>
      </c>
      <c r="F19531" s="5" t="str">
        <f>"Descripcion:ANTIVIRUS ESET ENDPOINT SECURITY (NOD32) Estado: Bueno Placa anterior: 000038078 Material:  Color:  Referencia:  Observacion:     Placa padre:  Tipo adquisicion : Entidad"</f>
        <v>Descripcion:ANTIVIRUS ESET ENDPOINT SECURITY (NOD32) Estado: Bueno Placa anterior: 000038078 Material:  Color:  Referencia:  Observacion:     Placa padre:  Tipo adquisicion : Entidad</v>
      </c>
      <c r="G19531" s="5"/>
    </row>
    <row r="19532" spans="1:7" ht="58.5" customHeight="1" x14ac:dyDescent="0.25">
      <c r="A19532" s="5" t="str">
        <f>"B0001584"</f>
        <v>B0001584</v>
      </c>
      <c r="B19532" s="5" t="str">
        <f t="shared" si="995"/>
        <v>ANTIVIRUS</v>
      </c>
      <c r="C19532" s="6">
        <v>63309.81</v>
      </c>
      <c r="D19532" s="5" t="s">
        <v>63</v>
      </c>
      <c r="E19532" s="5" t="str">
        <f t="shared" si="994"/>
        <v>SISTEMAS-GLOBALTRONIK SAS-SERGIO PATIÑO</v>
      </c>
      <c r="F19532" s="5" t="str">
        <f>"Descripcion:ANTIVIRUS ESET ENDPOINT SECURITY RENOVACIÓN (NOD32) Estado: Bueno Placa anterior: 000038618 Material:  Color:  Referencia:  Observacion:     Placa padre:  Tipo adquisicion : Entidad"</f>
        <v>Descripcion:ANTIVIRUS ESET ENDPOINT SECURITY RENOVACIÓN (NOD32) Estado: Bueno Placa anterior: 000038618 Material:  Color:  Referencia:  Observacion:     Placa padre:  Tipo adquisicion : Entidad</v>
      </c>
      <c r="G19532" s="5"/>
    </row>
    <row r="19533" spans="1:7" ht="58.5" customHeight="1" x14ac:dyDescent="0.25">
      <c r="A19533" s="5" t="str">
        <f>"B0001585"</f>
        <v>B0001585</v>
      </c>
      <c r="B19533" s="5" t="str">
        <f t="shared" si="995"/>
        <v>ANTIVIRUS</v>
      </c>
      <c r="C19533" s="6">
        <v>63309.81</v>
      </c>
      <c r="D19533" s="5" t="s">
        <v>63</v>
      </c>
      <c r="E19533" s="5" t="str">
        <f t="shared" si="994"/>
        <v>SISTEMAS-GLOBALTRONIK SAS-SERGIO PATIÑO</v>
      </c>
      <c r="F19533" s="5" t="str">
        <f>"Descripcion:ANTIVIRUS ESET ENDPOINT SECURITY RENOVACIÓN (NOD32) Estado: Bueno Placa anterior: 000038556 Material:  Color:  Referencia:  Observacion:     Placa padre:  Tipo adquisicion : Entidad"</f>
        <v>Descripcion:ANTIVIRUS ESET ENDPOINT SECURITY RENOVACIÓN (NOD32) Estado: Bueno Placa anterior: 000038556 Material:  Color:  Referencia:  Observacion:     Placa padre:  Tipo adquisicion : Entidad</v>
      </c>
      <c r="G19533" s="5"/>
    </row>
    <row r="19534" spans="1:7" ht="58.5" customHeight="1" x14ac:dyDescent="0.25">
      <c r="A19534" s="5" t="str">
        <f>"B0001586"</f>
        <v>B0001586</v>
      </c>
      <c r="B19534" s="5" t="str">
        <f t="shared" si="995"/>
        <v>ANTIVIRUS</v>
      </c>
      <c r="C19534" s="6">
        <v>129970</v>
      </c>
      <c r="D19534" s="5" t="s">
        <v>63</v>
      </c>
      <c r="E19534" s="5" t="str">
        <f t="shared" si="994"/>
        <v>SISTEMAS-GLOBALTRONIK SAS-SERGIO PATIÑO</v>
      </c>
      <c r="F19534" s="5" t="str">
        <f>"Descripcion:ANTIVIRUS ESET ENDPOINT SECURITY (NOD32) Estado: Bueno Placa anterior: 000038050 Material:  Color:  Referencia:  Observacion:     Placa padre:  Tipo adquisicion : Entidad"</f>
        <v>Descripcion:ANTIVIRUS ESET ENDPOINT SECURITY (NOD32) Estado: Bueno Placa anterior: 000038050 Material:  Color:  Referencia:  Observacion:     Placa padre:  Tipo adquisicion : Entidad</v>
      </c>
      <c r="G19534" s="5"/>
    </row>
    <row r="19535" spans="1:7" ht="58.5" customHeight="1" x14ac:dyDescent="0.25">
      <c r="A19535" s="5" t="str">
        <f>"B0001587"</f>
        <v>B0001587</v>
      </c>
      <c r="B19535" s="5" t="str">
        <f t="shared" si="995"/>
        <v>ANTIVIRUS</v>
      </c>
      <c r="C19535" s="6">
        <v>129970</v>
      </c>
      <c r="D19535" s="5" t="s">
        <v>63</v>
      </c>
      <c r="E19535" s="5" t="str">
        <f t="shared" si="994"/>
        <v>SISTEMAS-GLOBALTRONIK SAS-SERGIO PATIÑO</v>
      </c>
      <c r="F19535" s="5" t="str">
        <f>"Descripcion:ANTIVIRUS ESET ENDPOINT SECURITY (NOD32) Estado: Bueno Placa anterior: 000038030 Material:  Color:  Referencia:  Observacion:     Placa padre:  Tipo adquisicion : Entidad"</f>
        <v>Descripcion:ANTIVIRUS ESET ENDPOINT SECURITY (NOD32) Estado: Bueno Placa anterior: 000038030 Material:  Color:  Referencia:  Observacion:     Placa padre:  Tipo adquisicion : Entidad</v>
      </c>
      <c r="G19535" s="5"/>
    </row>
    <row r="19536" spans="1:7" ht="58.5" customHeight="1" x14ac:dyDescent="0.25">
      <c r="A19536" s="5" t="str">
        <f>"B0001588"</f>
        <v>B0001588</v>
      </c>
      <c r="B19536" s="5" t="str">
        <f t="shared" si="995"/>
        <v>ANTIVIRUS</v>
      </c>
      <c r="C19536" s="6">
        <v>63309.81</v>
      </c>
      <c r="D19536" s="5" t="s">
        <v>63</v>
      </c>
      <c r="E19536" s="5" t="str">
        <f t="shared" si="994"/>
        <v>SISTEMAS-GLOBALTRONIK SAS-SERGIO PATIÑO</v>
      </c>
      <c r="F19536" s="5" t="str">
        <f>"Descripcion:ANTIVIRUS ESET ENDPOINT SECURITY RENOVACIÓN (NOD32) Estado: Bueno Placa anterior: 000038582 Material:  Color:  Referencia:  Observacion:     Placa padre:  Tipo adquisicion : Entidad"</f>
        <v>Descripcion:ANTIVIRUS ESET ENDPOINT SECURITY RENOVACIÓN (NOD32) Estado: Bueno Placa anterior: 000038582 Material:  Color:  Referencia:  Observacion:     Placa padre:  Tipo adquisicion : Entidad</v>
      </c>
      <c r="G19536" s="5"/>
    </row>
    <row r="19537" spans="1:7" ht="58.5" customHeight="1" x14ac:dyDescent="0.25">
      <c r="A19537" s="5" t="str">
        <f>"B0001589"</f>
        <v>B0001589</v>
      </c>
      <c r="B19537" s="5" t="str">
        <f t="shared" si="995"/>
        <v>ANTIVIRUS</v>
      </c>
      <c r="C19537" s="6">
        <v>129970</v>
      </c>
      <c r="D19537" s="5" t="s">
        <v>63</v>
      </c>
      <c r="E19537" s="5" t="str">
        <f t="shared" si="994"/>
        <v>SISTEMAS-GLOBALTRONIK SAS-SERGIO PATIÑO</v>
      </c>
      <c r="F19537" s="5" t="str">
        <f>"Descripcion:ANTIVIRUS ESET ENDPOINT SECURITY (NOD32) Estado: Bueno Placa anterior: 000038070 Material:  Color:  Referencia:  Observacion:     Placa padre:  Tipo adquisicion : Entidad"</f>
        <v>Descripcion:ANTIVIRUS ESET ENDPOINT SECURITY (NOD32) Estado: Bueno Placa anterior: 000038070 Material:  Color:  Referencia:  Observacion:     Placa padre:  Tipo adquisicion : Entidad</v>
      </c>
      <c r="G19537" s="5"/>
    </row>
    <row r="19538" spans="1:7" ht="58.5" customHeight="1" x14ac:dyDescent="0.25">
      <c r="A19538" s="5" t="str">
        <f>"B0001590"</f>
        <v>B0001590</v>
      </c>
      <c r="B19538" s="5" t="str">
        <f t="shared" si="995"/>
        <v>ANTIVIRUS</v>
      </c>
      <c r="C19538" s="6">
        <v>129970</v>
      </c>
      <c r="D19538" s="5" t="s">
        <v>63</v>
      </c>
      <c r="E19538" s="5" t="str">
        <f t="shared" si="994"/>
        <v>SISTEMAS-GLOBALTRONIK SAS-SERGIO PATIÑO</v>
      </c>
      <c r="F19538" s="5" t="str">
        <f>"Descripcion:ANTIVIRUS ESET ENDPOINT SECURITY (NOD32) Estado: Bueno Placa anterior: 000038065 Material:  Color:  Referencia:  Observacion:     Placa padre:  Tipo adquisicion : Entidad"</f>
        <v>Descripcion:ANTIVIRUS ESET ENDPOINT SECURITY (NOD32) Estado: Bueno Placa anterior: 000038065 Material:  Color:  Referencia:  Observacion:     Placa padre:  Tipo adquisicion : Entidad</v>
      </c>
      <c r="G19538" s="5"/>
    </row>
    <row r="19539" spans="1:7" ht="58.5" customHeight="1" x14ac:dyDescent="0.25">
      <c r="A19539" s="5" t="str">
        <f>"B0001591"</f>
        <v>B0001591</v>
      </c>
      <c r="B19539" s="5" t="str">
        <f t="shared" si="995"/>
        <v>ANTIVIRUS</v>
      </c>
      <c r="C19539" s="6">
        <v>63309.81</v>
      </c>
      <c r="D19539" s="5" t="s">
        <v>63</v>
      </c>
      <c r="E19539" s="5" t="str">
        <f t="shared" si="994"/>
        <v>SISTEMAS-GLOBALTRONIK SAS-SERGIO PATIÑO</v>
      </c>
      <c r="F19539" s="5" t="str">
        <f>"Descripcion:ANTIVIRUS ESET ENDPOINT SECURITY RENOVACIÓN (NOD32) Estado: Bueno Placa anterior: 000038339 Material:  Color:  Referencia:  Observacion:     Placa padre:  Tipo adquisicion : Entidad"</f>
        <v>Descripcion:ANTIVIRUS ESET ENDPOINT SECURITY RENOVACIÓN (NOD32) Estado: Bueno Placa anterior: 000038339 Material:  Color:  Referencia:  Observacion:     Placa padre:  Tipo adquisicion : Entidad</v>
      </c>
      <c r="G19539" s="5"/>
    </row>
    <row r="19540" spans="1:7" ht="58.5" customHeight="1" x14ac:dyDescent="0.25">
      <c r="A19540" s="5" t="str">
        <f>"B0001592"</f>
        <v>B0001592</v>
      </c>
      <c r="B19540" s="5" t="str">
        <f t="shared" si="995"/>
        <v>ANTIVIRUS</v>
      </c>
      <c r="C19540" s="6">
        <v>63309.81</v>
      </c>
      <c r="D19540" s="5" t="s">
        <v>63</v>
      </c>
      <c r="E19540" s="5" t="str">
        <f t="shared" si="994"/>
        <v>SISTEMAS-GLOBALTRONIK SAS-SERGIO PATIÑO</v>
      </c>
      <c r="F19540" s="5" t="str">
        <f>"Descripcion:ANTIVIRUS ESET ENDPOINT SECURITY RENOVACIÓN (NOD32) Estado: Bueno Placa anterior: 000038653 Material:  Color:  Referencia:  Observacion:     Placa padre:  Tipo adquisicion : Entidad"</f>
        <v>Descripcion:ANTIVIRUS ESET ENDPOINT SECURITY RENOVACIÓN (NOD32) Estado: Bueno Placa anterior: 000038653 Material:  Color:  Referencia:  Observacion:     Placa padre:  Tipo adquisicion : Entidad</v>
      </c>
      <c r="G19540" s="5"/>
    </row>
    <row r="19541" spans="1:7" ht="58.5" customHeight="1" x14ac:dyDescent="0.25">
      <c r="A19541" s="5" t="str">
        <f>"B0001593"</f>
        <v>B0001593</v>
      </c>
      <c r="B19541" s="5" t="str">
        <f t="shared" si="995"/>
        <v>ANTIVIRUS</v>
      </c>
      <c r="C19541" s="6">
        <v>63309.81</v>
      </c>
      <c r="D19541" s="5" t="s">
        <v>63</v>
      </c>
      <c r="E19541" s="5" t="str">
        <f t="shared" si="994"/>
        <v>SISTEMAS-GLOBALTRONIK SAS-SERGIO PATIÑO</v>
      </c>
      <c r="F19541" s="5" t="str">
        <f>"Descripcion:ANTIVIRUS ESET ENDPOINT SECURITY RENOVACIÓN (NOD32) Estado: Bueno Placa anterior: 000038487 Material:  Color:  Referencia:  Observacion:     Placa padre:  Tipo adquisicion : Entidad"</f>
        <v>Descripcion:ANTIVIRUS ESET ENDPOINT SECURITY RENOVACIÓN (NOD32) Estado: Bueno Placa anterior: 000038487 Material:  Color:  Referencia:  Observacion:     Placa padre:  Tipo adquisicion : Entidad</v>
      </c>
      <c r="G19541" s="5"/>
    </row>
    <row r="19542" spans="1:7" ht="58.5" customHeight="1" x14ac:dyDescent="0.25">
      <c r="A19542" s="5" t="str">
        <f>"B0001594"</f>
        <v>B0001594</v>
      </c>
      <c r="B19542" s="5" t="str">
        <f t="shared" si="995"/>
        <v>ANTIVIRUS</v>
      </c>
      <c r="C19542" s="6">
        <v>63309.81</v>
      </c>
      <c r="D19542" s="5" t="s">
        <v>63</v>
      </c>
      <c r="E19542" s="5" t="str">
        <f t="shared" si="994"/>
        <v>SISTEMAS-GLOBALTRONIK SAS-SERGIO PATIÑO</v>
      </c>
      <c r="F19542" s="5" t="str">
        <f>"Descripcion:ANTIVIRUS ESET ENDPOINT SECURITY RENOVACIÓN (NOD32) Estado: Bueno Placa anterior: 000038570 Material:  Color:  Referencia:  Observacion:     Placa padre:  Tipo adquisicion : Entidad"</f>
        <v>Descripcion:ANTIVIRUS ESET ENDPOINT SECURITY RENOVACIÓN (NOD32) Estado: Bueno Placa anterior: 000038570 Material:  Color:  Referencia:  Observacion:     Placa padre:  Tipo adquisicion : Entidad</v>
      </c>
      <c r="G19542" s="5"/>
    </row>
    <row r="19543" spans="1:7" ht="58.5" customHeight="1" x14ac:dyDescent="0.25">
      <c r="A19543" s="5" t="str">
        <f>"B0004106"</f>
        <v>B0004106</v>
      </c>
      <c r="B19543" s="5" t="str">
        <f t="shared" ref="B19543:B19560" si="996">"ADAPTADOR DUPLEX LC"</f>
        <v>ADAPTADOR DUPLEX LC</v>
      </c>
      <c r="C19543" s="6">
        <v>190000</v>
      </c>
      <c r="D19543" s="5"/>
      <c r="E19543" s="5" t="str">
        <f t="shared" si="994"/>
        <v>SISTEMAS-GLOBALTRONIK SAS-SERGIO PATIÑO</v>
      </c>
      <c r="F19543" s="5" t="str">
        <f>"Descripcion:ADAPTADOR DUPLEX LC MODULO 6 PARES AMP-  Estado: Bueno Placa anterior: 000038936 Material: PASTA Color: VERDE AGUA Referencia:  Observacion: ESTA EN SISTEMAS Placa padre:  Tipo adquisicion : Entidad"</f>
        <v>Descripcion:ADAPTADOR DUPLEX LC MODULO 6 PARES AMP-  Estado: Bueno Placa anterior: 000038936 Material: PASTA Color: VERDE AGUA Referencia:  Observacion: ESTA EN SISTEMAS Placa padre:  Tipo adquisicion : Entidad</v>
      </c>
      <c r="G19543" s="5"/>
    </row>
    <row r="19544" spans="1:7" ht="58.5" customHeight="1" x14ac:dyDescent="0.25">
      <c r="A19544" s="5" t="str">
        <f>"B0004107"</f>
        <v>B0004107</v>
      </c>
      <c r="B19544" s="5" t="str">
        <f t="shared" si="996"/>
        <v>ADAPTADOR DUPLEX LC</v>
      </c>
      <c r="C19544" s="6">
        <v>190000</v>
      </c>
      <c r="D19544" s="5"/>
      <c r="E19544" s="5" t="str">
        <f t="shared" si="994"/>
        <v>SISTEMAS-GLOBALTRONIK SAS-SERGIO PATIÑO</v>
      </c>
      <c r="F19544" s="5" t="str">
        <f>"Descripcion:ADAPTADOR DUPLEX LC MODULO 6 PARES AMP-  Estado: Bueno Placa anterior: 000038937 Material: PASTA Color: VERDE AGUA Referencia:  Observacion: ESTA EN SISTEMAS Placa padre:  Tipo adquisicion : Entidad"</f>
        <v>Descripcion:ADAPTADOR DUPLEX LC MODULO 6 PARES AMP-  Estado: Bueno Placa anterior: 000038937 Material: PASTA Color: VERDE AGUA Referencia:  Observacion: ESTA EN SISTEMAS Placa padre:  Tipo adquisicion : Entidad</v>
      </c>
      <c r="G19544" s="5"/>
    </row>
    <row r="19545" spans="1:7" ht="58.5" customHeight="1" x14ac:dyDescent="0.25">
      <c r="A19545" s="5" t="str">
        <f>"B0004108"</f>
        <v>B0004108</v>
      </c>
      <c r="B19545" s="5" t="str">
        <f t="shared" si="996"/>
        <v>ADAPTADOR DUPLEX LC</v>
      </c>
      <c r="C19545" s="6">
        <v>190000</v>
      </c>
      <c r="D19545" s="5"/>
      <c r="E19545" s="5" t="str">
        <f t="shared" si="994"/>
        <v>SISTEMAS-GLOBALTRONIK SAS-SERGIO PATIÑO</v>
      </c>
      <c r="F19545" s="5" t="str">
        <f>"Descripcion:ADAPTADOR DUPLEX LC MODULO 6 PARES AMP-  Estado: Bueno Placa anterior: 000038938 Material: PASTA Color: VERDE AGUA Referencia:  Observacion: ESTA EN SISTEMAS Placa padre:  Tipo adquisicion : Entidad"</f>
        <v>Descripcion:ADAPTADOR DUPLEX LC MODULO 6 PARES AMP-  Estado: Bueno Placa anterior: 000038938 Material: PASTA Color: VERDE AGUA Referencia:  Observacion: ESTA EN SISTEMAS Placa padre:  Tipo adquisicion : Entidad</v>
      </c>
      <c r="G19545" s="5"/>
    </row>
    <row r="19546" spans="1:7" ht="58.5" customHeight="1" x14ac:dyDescent="0.25">
      <c r="A19546" s="5" t="str">
        <f>"B0004109"</f>
        <v>B0004109</v>
      </c>
      <c r="B19546" s="5" t="str">
        <f t="shared" si="996"/>
        <v>ADAPTADOR DUPLEX LC</v>
      </c>
      <c r="C19546" s="6">
        <v>190000</v>
      </c>
      <c r="D19546" s="5"/>
      <c r="E19546" s="5" t="str">
        <f t="shared" si="994"/>
        <v>SISTEMAS-GLOBALTRONIK SAS-SERGIO PATIÑO</v>
      </c>
      <c r="F19546" s="5" t="str">
        <f>"Descripcion:ADAPTADOR DUPLEX LC MODULO 6 PARES AMP-  Estado: Bueno Placa anterior: 000038926 Material: PASTA Color: VERDE AGUA Referencia:  Observacion: ESTA EN SISTEMAS Placa padre:  Tipo adquisicion : Entidad"</f>
        <v>Descripcion:ADAPTADOR DUPLEX LC MODULO 6 PARES AMP-  Estado: Bueno Placa anterior: 000038926 Material: PASTA Color: VERDE AGUA Referencia:  Observacion: ESTA EN SISTEMAS Placa padre:  Tipo adquisicion : Entidad</v>
      </c>
      <c r="G19546" s="5"/>
    </row>
    <row r="19547" spans="1:7" ht="58.5" customHeight="1" x14ac:dyDescent="0.25">
      <c r="A19547" s="5" t="str">
        <f>"B0004110"</f>
        <v>B0004110</v>
      </c>
      <c r="B19547" s="5" t="str">
        <f t="shared" si="996"/>
        <v>ADAPTADOR DUPLEX LC</v>
      </c>
      <c r="C19547" s="6">
        <v>190000</v>
      </c>
      <c r="D19547" s="5"/>
      <c r="E19547" s="5" t="str">
        <f t="shared" si="994"/>
        <v>SISTEMAS-GLOBALTRONIK SAS-SERGIO PATIÑO</v>
      </c>
      <c r="F19547" s="5" t="str">
        <f>"Descripcion:ADAPTADOR DUPLEX LC MODULO 6 PARES AMP-  Estado: Bueno Placa anterior: 000038940 Material: PASTA Color: VERDE AGUA Referencia:  Observacion: ESTA EN SISTEMAS Placa padre:  Tipo adquisicion : Entidad"</f>
        <v>Descripcion:ADAPTADOR DUPLEX LC MODULO 6 PARES AMP-  Estado: Bueno Placa anterior: 000038940 Material: PASTA Color: VERDE AGUA Referencia:  Observacion: ESTA EN SISTEMAS Placa padre:  Tipo adquisicion : Entidad</v>
      </c>
      <c r="G19547" s="5"/>
    </row>
    <row r="19548" spans="1:7" ht="58.5" customHeight="1" x14ac:dyDescent="0.25">
      <c r="A19548" s="5" t="str">
        <f>"B0004111"</f>
        <v>B0004111</v>
      </c>
      <c r="B19548" s="5" t="str">
        <f t="shared" si="996"/>
        <v>ADAPTADOR DUPLEX LC</v>
      </c>
      <c r="C19548" s="6">
        <v>190000</v>
      </c>
      <c r="D19548" s="5"/>
      <c r="E19548" s="5" t="str">
        <f t="shared" si="994"/>
        <v>SISTEMAS-GLOBALTRONIK SAS-SERGIO PATIÑO</v>
      </c>
      <c r="F19548" s="5" t="str">
        <f>"Descripcion:ADAPTADOR DUPLEX LC MODULO 6 PARES AMP-  Estado: Bueno Placa anterior: 000038941 Material: PASTA Color: VERDE AGUA Referencia:  Observacion: ESTA EN SISTEMAS Placa padre:  Tipo adquisicion : Entidad"</f>
        <v>Descripcion:ADAPTADOR DUPLEX LC MODULO 6 PARES AMP-  Estado: Bueno Placa anterior: 000038941 Material: PASTA Color: VERDE AGUA Referencia:  Observacion: ESTA EN SISTEMAS Placa padre:  Tipo adquisicion : Entidad</v>
      </c>
      <c r="G19548" s="5"/>
    </row>
    <row r="19549" spans="1:7" ht="58.5" customHeight="1" x14ac:dyDescent="0.25">
      <c r="A19549" s="5" t="str">
        <f>"B0004112"</f>
        <v>B0004112</v>
      </c>
      <c r="B19549" s="5" t="str">
        <f t="shared" si="996"/>
        <v>ADAPTADOR DUPLEX LC</v>
      </c>
      <c r="C19549" s="6">
        <v>190000</v>
      </c>
      <c r="D19549" s="5"/>
      <c r="E19549" s="5" t="str">
        <f t="shared" si="994"/>
        <v>SISTEMAS-GLOBALTRONIK SAS-SERGIO PATIÑO</v>
      </c>
      <c r="F19549" s="5" t="str">
        <f>"Descripcion:ADAPTADOR DUPLEX LC MODULO 6 PARES AMP-  Estado: Bueno Placa anterior: 000038942 Material: PASTA Color: VERDE AGUA Referencia:  Observacion: ESTA EN SISTEMAS Placa padre:  Tipo adquisicion : Entidad"</f>
        <v>Descripcion:ADAPTADOR DUPLEX LC MODULO 6 PARES AMP-  Estado: Bueno Placa anterior: 000038942 Material: PASTA Color: VERDE AGUA Referencia:  Observacion: ESTA EN SISTEMAS Placa padre:  Tipo adquisicion : Entidad</v>
      </c>
      <c r="G19549" s="5"/>
    </row>
    <row r="19550" spans="1:7" ht="58.5" customHeight="1" x14ac:dyDescent="0.25">
      <c r="A19550" s="5" t="str">
        <f>"B0004113"</f>
        <v>B0004113</v>
      </c>
      <c r="B19550" s="5" t="str">
        <f t="shared" si="996"/>
        <v>ADAPTADOR DUPLEX LC</v>
      </c>
      <c r="C19550" s="6">
        <v>190000</v>
      </c>
      <c r="D19550" s="5"/>
      <c r="E19550" s="5" t="str">
        <f t="shared" si="994"/>
        <v>SISTEMAS-GLOBALTRONIK SAS-SERGIO PATIÑO</v>
      </c>
      <c r="F19550" s="5" t="str">
        <f>"Descripcion:ADAPTADOR DUPLEX LC MODULO 6 PARES AMP-  Estado: Bueno Placa anterior: 000038943 Material: PASTA Color: VERDE AGUA Referencia:  Observacion: ESTA EN SISTEMAS Placa padre:  Tipo adquisicion : Entidad"</f>
        <v>Descripcion:ADAPTADOR DUPLEX LC MODULO 6 PARES AMP-  Estado: Bueno Placa anterior: 000038943 Material: PASTA Color: VERDE AGUA Referencia:  Observacion: ESTA EN SISTEMAS Placa padre:  Tipo adquisicion : Entidad</v>
      </c>
      <c r="G19550" s="5"/>
    </row>
    <row r="19551" spans="1:7" ht="58.5" customHeight="1" x14ac:dyDescent="0.25">
      <c r="A19551" s="5" t="str">
        <f>"B0004114"</f>
        <v>B0004114</v>
      </c>
      <c r="B19551" s="5" t="str">
        <f t="shared" si="996"/>
        <v>ADAPTADOR DUPLEX LC</v>
      </c>
      <c r="C19551" s="6">
        <v>190000</v>
      </c>
      <c r="D19551" s="5"/>
      <c r="E19551" s="5" t="str">
        <f t="shared" si="994"/>
        <v>SISTEMAS-GLOBALTRONIK SAS-SERGIO PATIÑO</v>
      </c>
      <c r="F19551" s="5" t="str">
        <f>"Descripcion:ADAPTADOR DUPLEX LC MODULO 6 PARES AMP-  Estado: Bueno Placa anterior: 000038944 Material: PASTA Color: VERDE AGUA Referencia:  Observacion: ESTA EN SISTEMAS Placa padre:  Tipo adquisicion : Entidad"</f>
        <v>Descripcion:ADAPTADOR DUPLEX LC MODULO 6 PARES AMP-  Estado: Bueno Placa anterior: 000038944 Material: PASTA Color: VERDE AGUA Referencia:  Observacion: ESTA EN SISTEMAS Placa padre:  Tipo adquisicion : Entidad</v>
      </c>
      <c r="G19551" s="5"/>
    </row>
    <row r="19552" spans="1:7" ht="58.5" customHeight="1" x14ac:dyDescent="0.25">
      <c r="A19552" s="5" t="str">
        <f>"B0004115"</f>
        <v>B0004115</v>
      </c>
      <c r="B19552" s="5" t="str">
        <f t="shared" si="996"/>
        <v>ADAPTADOR DUPLEX LC</v>
      </c>
      <c r="C19552" s="6">
        <v>190000</v>
      </c>
      <c r="D19552" s="5"/>
      <c r="E19552" s="5" t="str">
        <f t="shared" si="994"/>
        <v>SISTEMAS-GLOBALTRONIK SAS-SERGIO PATIÑO</v>
      </c>
      <c r="F19552" s="5" t="str">
        <f>"Descripcion:ADAPTADOR DUPLEX LC MODULO 6 PARES AMP-  Estado: Bueno Placa anterior: 000038945 Material: PASTA Color: VERDE AGUA Referencia:  Observacion: ESTA EN SISTEMAS Placa padre:  Tipo adquisicion : Entidad"</f>
        <v>Descripcion:ADAPTADOR DUPLEX LC MODULO 6 PARES AMP-  Estado: Bueno Placa anterior: 000038945 Material: PASTA Color: VERDE AGUA Referencia:  Observacion: ESTA EN SISTEMAS Placa padre:  Tipo adquisicion : Entidad</v>
      </c>
      <c r="G19552" s="5"/>
    </row>
    <row r="19553" spans="1:7" ht="58.5" customHeight="1" x14ac:dyDescent="0.25">
      <c r="A19553" s="5" t="str">
        <f>"B0004116"</f>
        <v>B0004116</v>
      </c>
      <c r="B19553" s="5" t="str">
        <f t="shared" si="996"/>
        <v>ADAPTADOR DUPLEX LC</v>
      </c>
      <c r="C19553" s="6">
        <v>190000</v>
      </c>
      <c r="D19553" s="5"/>
      <c r="E19553" s="5" t="str">
        <f t="shared" si="994"/>
        <v>SISTEMAS-GLOBALTRONIK SAS-SERGIO PATIÑO</v>
      </c>
      <c r="F19553" s="5" t="str">
        <f>"Descripcion:ADAPTADOR DUPLEX LC MODULO 6 PARES AMP-  Estado: Bueno Placa anterior: 000038946 Material: PASTA Color: VERDE AGUA Referencia:  Observacion: ESTA EN SISTEMAS Placa padre:  Tipo adquisicion : Entidad"</f>
        <v>Descripcion:ADAPTADOR DUPLEX LC MODULO 6 PARES AMP-  Estado: Bueno Placa anterior: 000038946 Material: PASTA Color: VERDE AGUA Referencia:  Observacion: ESTA EN SISTEMAS Placa padre:  Tipo adquisicion : Entidad</v>
      </c>
      <c r="G19553" s="5"/>
    </row>
    <row r="19554" spans="1:7" ht="58.5" customHeight="1" x14ac:dyDescent="0.25">
      <c r="A19554" s="5" t="str">
        <f>"B0004117"</f>
        <v>B0004117</v>
      </c>
      <c r="B19554" s="5" t="str">
        <f t="shared" si="996"/>
        <v>ADAPTADOR DUPLEX LC</v>
      </c>
      <c r="C19554" s="6">
        <v>190000</v>
      </c>
      <c r="D19554" s="5"/>
      <c r="E19554" s="5" t="str">
        <f t="shared" si="994"/>
        <v>SISTEMAS-GLOBALTRONIK SAS-SERGIO PATIÑO</v>
      </c>
      <c r="F19554" s="5" t="str">
        <f>"Descripcion:ADAPTADOR DUPLEX LC MODULO 6 PARES AMP-  Estado: Bueno Placa anterior: 000038947 Material: PASTA Color: VERDE AGUA Referencia:  Observacion: ESTA EN SISTEMAS Placa padre:  Tipo adquisicion : Entidad"</f>
        <v>Descripcion:ADAPTADOR DUPLEX LC MODULO 6 PARES AMP-  Estado: Bueno Placa anterior: 000038947 Material: PASTA Color: VERDE AGUA Referencia:  Observacion: ESTA EN SISTEMAS Placa padre:  Tipo adquisicion : Entidad</v>
      </c>
      <c r="G19554" s="5"/>
    </row>
    <row r="19555" spans="1:7" ht="58.5" customHeight="1" x14ac:dyDescent="0.25">
      <c r="A19555" s="5" t="str">
        <f>"B0004118"</f>
        <v>B0004118</v>
      </c>
      <c r="B19555" s="5" t="str">
        <f t="shared" si="996"/>
        <v>ADAPTADOR DUPLEX LC</v>
      </c>
      <c r="C19555" s="6">
        <v>190000</v>
      </c>
      <c r="D19555" s="5"/>
      <c r="E19555" s="5" t="str">
        <f t="shared" si="994"/>
        <v>SISTEMAS-GLOBALTRONIK SAS-SERGIO PATIÑO</v>
      </c>
      <c r="F19555" s="5" t="str">
        <f>"Descripcion:ADAPTADOR DUPLEX LC MODULO 6 PARES AMP-  Estado: Bueno Placa anterior: 000038948 Material: PASTA Color: VERDE AGUA Referencia:  Observacion: ESTA EN SISTEMAS Placa padre:  Tipo adquisicion : Entidad"</f>
        <v>Descripcion:ADAPTADOR DUPLEX LC MODULO 6 PARES AMP-  Estado: Bueno Placa anterior: 000038948 Material: PASTA Color: VERDE AGUA Referencia:  Observacion: ESTA EN SISTEMAS Placa padre:  Tipo adquisicion : Entidad</v>
      </c>
      <c r="G19555" s="5"/>
    </row>
    <row r="19556" spans="1:7" ht="58.5" customHeight="1" x14ac:dyDescent="0.25">
      <c r="A19556" s="5" t="str">
        <f>"B0004119"</f>
        <v>B0004119</v>
      </c>
      <c r="B19556" s="5" t="str">
        <f t="shared" si="996"/>
        <v>ADAPTADOR DUPLEX LC</v>
      </c>
      <c r="C19556" s="6">
        <v>190000</v>
      </c>
      <c r="D19556" s="5"/>
      <c r="E19556" s="5" t="str">
        <f t="shared" si="994"/>
        <v>SISTEMAS-GLOBALTRONIK SAS-SERGIO PATIÑO</v>
      </c>
      <c r="F19556" s="5" t="str">
        <f>"Descripcion:ADAPTADOR DUPLEX LC MODULO 6 PARES AMP-  Estado: Bueno Placa anterior: 000038949 Material: PASTA Color: VERDE AGUA Referencia:  Observacion: ESTA EN SISTEMAS Placa padre:  Tipo adquisicion : Entidad"</f>
        <v>Descripcion:ADAPTADOR DUPLEX LC MODULO 6 PARES AMP-  Estado: Bueno Placa anterior: 000038949 Material: PASTA Color: VERDE AGUA Referencia:  Observacion: ESTA EN SISTEMAS Placa padre:  Tipo adquisicion : Entidad</v>
      </c>
      <c r="G19556" s="5"/>
    </row>
    <row r="19557" spans="1:7" ht="58.5" customHeight="1" x14ac:dyDescent="0.25">
      <c r="A19557" s="5" t="str">
        <f>"B0004120"</f>
        <v>B0004120</v>
      </c>
      <c r="B19557" s="5" t="str">
        <f t="shared" si="996"/>
        <v>ADAPTADOR DUPLEX LC</v>
      </c>
      <c r="C19557" s="6">
        <v>190000</v>
      </c>
      <c r="D19557" s="5"/>
      <c r="E19557" s="5" t="str">
        <f t="shared" si="994"/>
        <v>SISTEMAS-GLOBALTRONIK SAS-SERGIO PATIÑO</v>
      </c>
      <c r="F19557" s="5" t="str">
        <f>"Descripcion:ADAPTADOR DUPLEX LC MODULO 6 PARES AMP-  Estado: Bueno Placa anterior: 000038927 Material: PASTA Color: VERDE AGUA Referencia:  Observacion: ESTA EN SISTEMAS Placa padre:  Tipo adquisicion : Entidad"</f>
        <v>Descripcion:ADAPTADOR DUPLEX LC MODULO 6 PARES AMP-  Estado: Bueno Placa anterior: 000038927 Material: PASTA Color: VERDE AGUA Referencia:  Observacion: ESTA EN SISTEMAS Placa padre:  Tipo adquisicion : Entidad</v>
      </c>
      <c r="G19557" s="5"/>
    </row>
    <row r="19558" spans="1:7" ht="58.5" customHeight="1" x14ac:dyDescent="0.25">
      <c r="A19558" s="5" t="str">
        <f>"B0004121"</f>
        <v>B0004121</v>
      </c>
      <c r="B19558" s="5" t="str">
        <f t="shared" si="996"/>
        <v>ADAPTADOR DUPLEX LC</v>
      </c>
      <c r="C19558" s="6">
        <v>190000</v>
      </c>
      <c r="D19558" s="5"/>
      <c r="E19558" s="5" t="str">
        <f t="shared" si="994"/>
        <v>SISTEMAS-GLOBALTRONIK SAS-SERGIO PATIÑO</v>
      </c>
      <c r="F19558" s="5" t="str">
        <f>"Descripcion:ADAPTADOR DUPLEX LC MODULO 6 PARES AMP-  Estado: Bueno Placa anterior: 000038950 Material: PASTA Color: VERDE AGUA Referencia:  Observacion: ESTA EN SISTEMAS Placa padre:  Tipo adquisicion : Entidad"</f>
        <v>Descripcion:ADAPTADOR DUPLEX LC MODULO 6 PARES AMP-  Estado: Bueno Placa anterior: 000038950 Material: PASTA Color: VERDE AGUA Referencia:  Observacion: ESTA EN SISTEMAS Placa padre:  Tipo adquisicion : Entidad</v>
      </c>
      <c r="G19558" s="5"/>
    </row>
    <row r="19559" spans="1:7" ht="58.5" customHeight="1" x14ac:dyDescent="0.25">
      <c r="A19559" s="5" t="str">
        <f>"B0004122"</f>
        <v>B0004122</v>
      </c>
      <c r="B19559" s="5" t="str">
        <f t="shared" si="996"/>
        <v>ADAPTADOR DUPLEX LC</v>
      </c>
      <c r="C19559" s="6">
        <v>190000</v>
      </c>
      <c r="D19559" s="5"/>
      <c r="E19559" s="5" t="str">
        <f t="shared" si="994"/>
        <v>SISTEMAS-GLOBALTRONIK SAS-SERGIO PATIÑO</v>
      </c>
      <c r="F19559" s="5" t="str">
        <f>"Descripcion:ADAPTADOR DUPLEX LC MODULO 6 PARES AMP-  Estado: Bueno Placa anterior: 000038939 Material: PASTA Color: VERDE AGUA Referencia:  Observacion: ESTA EN SISTEMAS Placa padre:  Tipo adquisicion : Entidad"</f>
        <v>Descripcion:ADAPTADOR DUPLEX LC MODULO 6 PARES AMP-  Estado: Bueno Placa anterior: 000038939 Material: PASTA Color: VERDE AGUA Referencia:  Observacion: ESTA EN SISTEMAS Placa padre:  Tipo adquisicion : Entidad</v>
      </c>
      <c r="G19559" s="5"/>
    </row>
    <row r="19560" spans="1:7" ht="58.5" customHeight="1" x14ac:dyDescent="0.25">
      <c r="A19560" s="5" t="str">
        <f>"B0004123"</f>
        <v>B0004123</v>
      </c>
      <c r="B19560" s="5" t="str">
        <f t="shared" si="996"/>
        <v>ADAPTADOR DUPLEX LC</v>
      </c>
      <c r="C19560" s="6">
        <v>190000</v>
      </c>
      <c r="D19560" s="5"/>
      <c r="E19560" s="5" t="str">
        <f t="shared" si="994"/>
        <v>SISTEMAS-GLOBALTRONIK SAS-SERGIO PATIÑO</v>
      </c>
      <c r="F19560" s="5" t="str">
        <f>"Descripcion:ADAPTADOR DUPLEX LC MODULO 6 PARES AMP-  Estado: Bueno Placa anterior: 000038928 Material: PASTA Color: VERDE AGUA Referencia:  Observacion: ESTA EN SISTEMAS Placa padre:  Tipo adquisicion : Entidad"</f>
        <v>Descripcion:ADAPTADOR DUPLEX LC MODULO 6 PARES AMP-  Estado: Bueno Placa anterior: 000038928 Material: PASTA Color: VERDE AGUA Referencia:  Observacion: ESTA EN SISTEMAS Placa padre:  Tipo adquisicion : Entidad</v>
      </c>
      <c r="G19560" s="5"/>
    </row>
    <row r="19561" spans="1:7" ht="58.5" customHeight="1" x14ac:dyDescent="0.25">
      <c r="A19561" s="5" t="str">
        <f>"B0004132"</f>
        <v>B0004132</v>
      </c>
      <c r="B19561" s="5" t="str">
        <f t="shared" ref="B19561:B19576" si="997">"TRANSCEIVER"</f>
        <v>TRANSCEIVER</v>
      </c>
      <c r="C19561" s="6">
        <v>650000</v>
      </c>
      <c r="D19561" s="5" t="s">
        <v>382</v>
      </c>
      <c r="E19561" s="5" t="str">
        <f t="shared" si="994"/>
        <v>SISTEMAS-GLOBALTRONIK SAS-SERGIO PATIÑO</v>
      </c>
      <c r="F19561" s="5" t="str">
        <f>"Descripcion:TRANSCEIVER SFP TRENDNET FIBRA OPTICA BASE 1000 TX-RX MULTIMODO CONECTOR LC Estado: Bueno Placa anterior: 000038913 Material: METAL Color: PLATEADO Referencia:  Observacion: ENTREGADOS A SISTEMAS - SERGIO PINTO Placa padre:  Tipo adquisicion :"&amp; " Entidad"</f>
        <v>Descripcion:TRANSCEIVER SFP TRENDNET FIBRA OPTICA BASE 1000 TX-RX MULTIMODO CONECTOR LC Estado: Bueno Placa anterior: 000038913 Material: METAL Color: PLATEADO Referencia:  Observacion: ENTREGADOS A SISTEMAS - SERGIO PINTO Placa padre:  Tipo adquisicion : Entidad</v>
      </c>
      <c r="G19561" s="5" t="str">
        <f t="shared" ref="G19561:G19575" si="998">"TL-SM311LM"</f>
        <v>TL-SM311LM</v>
      </c>
    </row>
    <row r="19562" spans="1:7" ht="58.5" customHeight="1" x14ac:dyDescent="0.25">
      <c r="A19562" s="5" t="str">
        <f>"B0004133"</f>
        <v>B0004133</v>
      </c>
      <c r="B19562" s="5" t="str">
        <f t="shared" si="997"/>
        <v>TRANSCEIVER</v>
      </c>
      <c r="C19562" s="6">
        <v>650000</v>
      </c>
      <c r="D19562" s="5" t="s">
        <v>382</v>
      </c>
      <c r="E19562" s="5" t="str">
        <f t="shared" si="994"/>
        <v>SISTEMAS-GLOBALTRONIK SAS-SERGIO PATIÑO</v>
      </c>
      <c r="F19562" s="5" t="str">
        <f>"Descripcion:TRANSCEIVER SFP TRENDNET FIBRA OPTICA BASE 1000 TX-RX MULTIMODO CONECTOR LC Estado: Bueno Placa anterior: 000038914 Material: METAL Color: PLATEADO Referencia:  Observacion: ENTREGADOS A SISTEMAS - SERGIO PINTO Placa padre:  Tipo adquisicion :"&amp; " Entidad"</f>
        <v>Descripcion:TRANSCEIVER SFP TRENDNET FIBRA OPTICA BASE 1000 TX-RX MULTIMODO CONECTOR LC Estado: Bueno Placa anterior: 000038914 Material: METAL Color: PLATEADO Referencia:  Observacion: ENTREGADOS A SISTEMAS - SERGIO PINTO Placa padre:  Tipo adquisicion : Entidad</v>
      </c>
      <c r="G19562" s="5" t="str">
        <f t="shared" si="998"/>
        <v>TL-SM311LM</v>
      </c>
    </row>
    <row r="19563" spans="1:7" ht="58.5" customHeight="1" x14ac:dyDescent="0.25">
      <c r="A19563" s="5" t="str">
        <f>"B0004134"</f>
        <v>B0004134</v>
      </c>
      <c r="B19563" s="5" t="str">
        <f t="shared" si="997"/>
        <v>TRANSCEIVER</v>
      </c>
      <c r="C19563" s="6">
        <v>650000</v>
      </c>
      <c r="D19563" s="5" t="s">
        <v>382</v>
      </c>
      <c r="E19563" s="5" t="str">
        <f t="shared" si="994"/>
        <v>SISTEMAS-GLOBALTRONIK SAS-SERGIO PATIÑO</v>
      </c>
      <c r="F19563" s="5" t="str">
        <f>"Descripcion:TRANSCEIVER SFP TRENDNET FIBRA OPTICA BASE 1000 TX-RX MULTIMODO CONECTOR LC Estado: Bueno Placa anterior: 000038915 Material: METAL Color: PLATEADO Referencia:  Observacion: ENTREGADOS A SISTEMAS - SERGIO PINTO Placa padre:  Tipo adquisicion :"&amp; " Entidad"</f>
        <v>Descripcion:TRANSCEIVER SFP TRENDNET FIBRA OPTICA BASE 1000 TX-RX MULTIMODO CONECTOR LC Estado: Bueno Placa anterior: 000038915 Material: METAL Color: PLATEADO Referencia:  Observacion: ENTREGADOS A SISTEMAS - SERGIO PINTO Placa padre:  Tipo adquisicion : Entidad</v>
      </c>
      <c r="G19563" s="5" t="str">
        <f t="shared" si="998"/>
        <v>TL-SM311LM</v>
      </c>
    </row>
    <row r="19564" spans="1:7" ht="58.5" customHeight="1" x14ac:dyDescent="0.25">
      <c r="A19564" s="5" t="str">
        <f>"B0004135"</f>
        <v>B0004135</v>
      </c>
      <c r="B19564" s="5" t="str">
        <f t="shared" si="997"/>
        <v>TRANSCEIVER</v>
      </c>
      <c r="C19564" s="6">
        <v>650000</v>
      </c>
      <c r="D19564" s="5" t="s">
        <v>382</v>
      </c>
      <c r="E19564" s="5" t="str">
        <f t="shared" si="994"/>
        <v>SISTEMAS-GLOBALTRONIK SAS-SERGIO PATIÑO</v>
      </c>
      <c r="F19564" s="5" t="str">
        <f>"Descripcion:TRANSCEIVER SFP TRENDNET FIBRA OPTICA BASE 1000 TX-RX MULTIMODO CONECTOR LC Estado: Bueno Placa anterior: 000038916 Material: METAL Color: PLATEADO Referencia:  Observacion: ENTREGADOS A SISTEMAS - SERGIO PINTO Placa padre:  Tipo adquisicion :"&amp; " Entidad"</f>
        <v>Descripcion:TRANSCEIVER SFP TRENDNET FIBRA OPTICA BASE 1000 TX-RX MULTIMODO CONECTOR LC Estado: Bueno Placa anterior: 000038916 Material: METAL Color: PLATEADO Referencia:  Observacion: ENTREGADOS A SISTEMAS - SERGIO PINTO Placa padre:  Tipo adquisicion : Entidad</v>
      </c>
      <c r="G19564" s="5" t="str">
        <f t="shared" si="998"/>
        <v>TL-SM311LM</v>
      </c>
    </row>
    <row r="19565" spans="1:7" ht="58.5" customHeight="1" x14ac:dyDescent="0.25">
      <c r="A19565" s="5" t="str">
        <f>"B0004136"</f>
        <v>B0004136</v>
      </c>
      <c r="B19565" s="5" t="str">
        <f t="shared" si="997"/>
        <v>TRANSCEIVER</v>
      </c>
      <c r="C19565" s="6">
        <v>650000</v>
      </c>
      <c r="D19565" s="5" t="s">
        <v>382</v>
      </c>
      <c r="E19565" s="5" t="str">
        <f t="shared" si="994"/>
        <v>SISTEMAS-GLOBALTRONIK SAS-SERGIO PATIÑO</v>
      </c>
      <c r="F19565" s="5" t="str">
        <f>"Descripcion:TRANSCEIVER SFP TRENDNET FIBRA OPTICA BASE 1000 TX-RX MULTIMODO CONECTOR LC Estado: Bueno Placa anterior: 000038917 Material: METAL Color: PLATEADO Referencia:  Observacion: ENTREGADO A SISTEMAS - SERGIO PINTO Placa padre:  Tipo adquisicion : "&amp; "Entidad"</f>
        <v>Descripcion:TRANSCEIVER SFP TRENDNET FIBRA OPTICA BASE 1000 TX-RX MULTIMODO CONECTOR LC Estado: Bueno Placa anterior: 000038917 Material: METAL Color: PLATEADO Referencia:  Observacion: ENTREGADO A SISTEMAS - SERGIO PINTO Placa padre:  Tipo adquisicion : Entidad</v>
      </c>
      <c r="G19565" s="5" t="str">
        <f t="shared" si="998"/>
        <v>TL-SM311LM</v>
      </c>
    </row>
    <row r="19566" spans="1:7" ht="58.5" customHeight="1" x14ac:dyDescent="0.25">
      <c r="A19566" s="5" t="str">
        <f>"B0004137"</f>
        <v>B0004137</v>
      </c>
      <c r="B19566" s="5" t="str">
        <f t="shared" si="997"/>
        <v>TRANSCEIVER</v>
      </c>
      <c r="C19566" s="6">
        <v>650000</v>
      </c>
      <c r="D19566" s="5" t="s">
        <v>382</v>
      </c>
      <c r="E19566" s="5" t="str">
        <f t="shared" si="994"/>
        <v>SISTEMAS-GLOBALTRONIK SAS-SERGIO PATIÑO</v>
      </c>
      <c r="F19566" s="5" t="str">
        <f>"Descripcion:TRANSCEIVER SFP TRENDNET FIBRA OPTICA BASE 1000 TX-RX MULTIMODO CONECTOR LC Estado: Bueno Placa anterior: 000038918 Material: METAL Color: PLATEADO Referencia:  Observacion: ENTREGADO A SISTEMAS - SERGIO PINTO Placa padre:  Tipo adquisicion : "&amp; "Entidad"</f>
        <v>Descripcion:TRANSCEIVER SFP TRENDNET FIBRA OPTICA BASE 1000 TX-RX MULTIMODO CONECTOR LC Estado: Bueno Placa anterior: 000038918 Material: METAL Color: PLATEADO Referencia:  Observacion: ENTREGADO A SISTEMAS - SERGIO PINTO Placa padre:  Tipo adquisicion : Entidad</v>
      </c>
      <c r="G19566" s="5" t="str">
        <f t="shared" si="998"/>
        <v>TL-SM311LM</v>
      </c>
    </row>
    <row r="19567" spans="1:7" ht="58.5" customHeight="1" x14ac:dyDescent="0.25">
      <c r="A19567" s="5" t="str">
        <f>"B0004138"</f>
        <v>B0004138</v>
      </c>
      <c r="B19567" s="5" t="str">
        <f t="shared" si="997"/>
        <v>TRANSCEIVER</v>
      </c>
      <c r="C19567" s="6">
        <v>650000</v>
      </c>
      <c r="D19567" s="5" t="s">
        <v>382</v>
      </c>
      <c r="E19567" s="5" t="str">
        <f t="shared" si="994"/>
        <v>SISTEMAS-GLOBALTRONIK SAS-SERGIO PATIÑO</v>
      </c>
      <c r="F19567" s="5" t="str">
        <f>"Descripcion:TRANSCEIVER SFP TRENDNET FIBRA OPTICA BASE 1000 TX-RX MULTIMODO CONECTOR LC Estado: Bueno Placa anterior: 000038910 Material: METAL Color: PLATEADO Referencia:  Observacion: ENTREGADO A SISTEMAS - SERGIO PINTO Placa padre:  Tipo adquisicion : "&amp; "Entidad"</f>
        <v>Descripcion:TRANSCEIVER SFP TRENDNET FIBRA OPTICA BASE 1000 TX-RX MULTIMODO CONECTOR LC Estado: Bueno Placa anterior: 000038910 Material: METAL Color: PLATEADO Referencia:  Observacion: ENTREGADO A SISTEMAS - SERGIO PINTO Placa padre:  Tipo adquisicion : Entidad</v>
      </c>
      <c r="G19567" s="5" t="str">
        <f t="shared" si="998"/>
        <v>TL-SM311LM</v>
      </c>
    </row>
    <row r="19568" spans="1:7" ht="58.5" customHeight="1" x14ac:dyDescent="0.25">
      <c r="A19568" s="5" t="str">
        <f>"B0004139"</f>
        <v>B0004139</v>
      </c>
      <c r="B19568" s="5" t="str">
        <f t="shared" si="997"/>
        <v>TRANSCEIVER</v>
      </c>
      <c r="C19568" s="6">
        <v>650000</v>
      </c>
      <c r="D19568" s="5" t="s">
        <v>382</v>
      </c>
      <c r="E19568" s="5" t="str">
        <f t="shared" si="994"/>
        <v>SISTEMAS-GLOBALTRONIK SAS-SERGIO PATIÑO</v>
      </c>
      <c r="F19568" s="5" t="str">
        <f>"Descripcion:TRANSCEIVER SFP TRENDNET FIBRA OPTICA BASE 1000 TX-RX MULTIMODO CONECTOR LC Estado: Bueno Placa anterior: 000038919 Material: METAL Color: PLATEADO Referencia:  Observacion: ENTREGADO A SISTEMAS - SERGIO PINTO Placa padre:  Tipo adquisicion : "&amp; "Entidad"</f>
        <v>Descripcion:TRANSCEIVER SFP TRENDNET FIBRA OPTICA BASE 1000 TX-RX MULTIMODO CONECTOR LC Estado: Bueno Placa anterior: 000038919 Material: METAL Color: PLATEADO Referencia:  Observacion: ENTREGADO A SISTEMAS - SERGIO PINTO Placa padre:  Tipo adquisicion : Entidad</v>
      </c>
      <c r="G19568" s="5" t="str">
        <f t="shared" si="998"/>
        <v>TL-SM311LM</v>
      </c>
    </row>
    <row r="19569" spans="1:7" ht="58.5" customHeight="1" x14ac:dyDescent="0.25">
      <c r="A19569" s="5" t="str">
        <f>"B0004140"</f>
        <v>B0004140</v>
      </c>
      <c r="B19569" s="5" t="str">
        <f t="shared" si="997"/>
        <v>TRANSCEIVER</v>
      </c>
      <c r="C19569" s="6">
        <v>650000</v>
      </c>
      <c r="D19569" s="5" t="s">
        <v>382</v>
      </c>
      <c r="E19569" s="5" t="str">
        <f t="shared" si="994"/>
        <v>SISTEMAS-GLOBALTRONIK SAS-SERGIO PATIÑO</v>
      </c>
      <c r="F19569" s="5" t="str">
        <f>"Descripcion:TRANSCEIVER SFP TRENDNET FIBRA OPTICA BASE 1000 TX-RX MULTIMODO CONECTOR LC Estado: Bueno Placa anterior: 000038920 Material: METAL Color: PLATEADO Referencia:  Observacion: ENTREGADO A SISTEMAS - SERGIO PINTO Placa padre:  Tipo adquisicion : "&amp; "Entidad"</f>
        <v>Descripcion:TRANSCEIVER SFP TRENDNET FIBRA OPTICA BASE 1000 TX-RX MULTIMODO CONECTOR LC Estado: Bueno Placa anterior: 000038920 Material: METAL Color: PLATEADO Referencia:  Observacion: ENTREGADO A SISTEMAS - SERGIO PINTO Placa padre:  Tipo adquisicion : Entidad</v>
      </c>
      <c r="G19569" s="5" t="str">
        <f t="shared" si="998"/>
        <v>TL-SM311LM</v>
      </c>
    </row>
    <row r="19570" spans="1:7" ht="58.5" customHeight="1" x14ac:dyDescent="0.25">
      <c r="A19570" s="5" t="str">
        <f>"B0004141"</f>
        <v>B0004141</v>
      </c>
      <c r="B19570" s="5" t="str">
        <f t="shared" si="997"/>
        <v>TRANSCEIVER</v>
      </c>
      <c r="C19570" s="6">
        <v>650000</v>
      </c>
      <c r="D19570" s="5" t="s">
        <v>382</v>
      </c>
      <c r="E19570" s="5" t="str">
        <f t="shared" si="994"/>
        <v>SISTEMAS-GLOBALTRONIK SAS-SERGIO PATIÑO</v>
      </c>
      <c r="F19570" s="5" t="str">
        <f>"Descripcion:TRANSCEIVER SFP TRENDNET FIBRA OPTICA BASE 1000 TX-RX MULTIMODO CONECTOR LC Estado: Bueno Placa anterior: 000038921 Material: METAL Color: PLATEADO Referencia:  Observacion: ENTREGADO A SISTEMAS - SERGIO PINTO Placa padre:  Tipo adquisicion : "&amp; "Entidad"</f>
        <v>Descripcion:TRANSCEIVER SFP TRENDNET FIBRA OPTICA BASE 1000 TX-RX MULTIMODO CONECTOR LC Estado: Bueno Placa anterior: 000038921 Material: METAL Color: PLATEADO Referencia:  Observacion: ENTREGADO A SISTEMAS - SERGIO PINTO Placa padre:  Tipo adquisicion : Entidad</v>
      </c>
      <c r="G19570" s="5" t="str">
        <f t="shared" si="998"/>
        <v>TL-SM311LM</v>
      </c>
    </row>
    <row r="19571" spans="1:7" ht="58.5" customHeight="1" x14ac:dyDescent="0.25">
      <c r="A19571" s="5" t="str">
        <f>"B0004142"</f>
        <v>B0004142</v>
      </c>
      <c r="B19571" s="5" t="str">
        <f t="shared" si="997"/>
        <v>TRANSCEIVER</v>
      </c>
      <c r="C19571" s="6">
        <v>650000</v>
      </c>
      <c r="D19571" s="5" t="s">
        <v>382</v>
      </c>
      <c r="E19571" s="5" t="str">
        <f t="shared" si="994"/>
        <v>SISTEMAS-GLOBALTRONIK SAS-SERGIO PATIÑO</v>
      </c>
      <c r="F19571" s="5" t="str">
        <f>"Descripcion:TRANSCEIVER SFP TRENDNET FIBRA OPTICA BASE 1000 TX-RX MULTIMODO CONECTOR LC Estado: Bueno Placa anterior: 000038922 Material: METAL Color: PLATEADO Referencia:  Observacion: ENTREGADO A SISTEMAS - SERGIO PINTO Placa padre:  Tipo adquisicion : "&amp; "Entidad"</f>
        <v>Descripcion:TRANSCEIVER SFP TRENDNET FIBRA OPTICA BASE 1000 TX-RX MULTIMODO CONECTOR LC Estado: Bueno Placa anterior: 000038922 Material: METAL Color: PLATEADO Referencia:  Observacion: ENTREGADO A SISTEMAS - SERGIO PINTO Placa padre:  Tipo adquisicion : Entidad</v>
      </c>
      <c r="G19571" s="5" t="str">
        <f t="shared" si="998"/>
        <v>TL-SM311LM</v>
      </c>
    </row>
    <row r="19572" spans="1:7" ht="58.5" customHeight="1" x14ac:dyDescent="0.25">
      <c r="A19572" s="5" t="str">
        <f>"B0004143"</f>
        <v>B0004143</v>
      </c>
      <c r="B19572" s="5" t="str">
        <f t="shared" si="997"/>
        <v>TRANSCEIVER</v>
      </c>
      <c r="C19572" s="6">
        <v>650000</v>
      </c>
      <c r="D19572" s="5" t="s">
        <v>382</v>
      </c>
      <c r="E19572" s="5" t="str">
        <f t="shared" si="994"/>
        <v>SISTEMAS-GLOBALTRONIK SAS-SERGIO PATIÑO</v>
      </c>
      <c r="F19572" s="5" t="str">
        <f>"Descripcion:TRANSCEIVER SFP TRENDNET FIBRA OPTICA BASE 1000 TX-RX MULTIMODO CONECTOR LC Estado: Bueno Placa anterior: 000038923 Material: METAL Color: PLATEADO Referencia:  Observacion: ENTREGADO A SISTEMAS - SERGIO PINTO Placa padre:  Tipo adquisicion : "&amp; "Entidad"</f>
        <v>Descripcion:TRANSCEIVER SFP TRENDNET FIBRA OPTICA BASE 1000 TX-RX MULTIMODO CONECTOR LC Estado: Bueno Placa anterior: 000038923 Material: METAL Color: PLATEADO Referencia:  Observacion: ENTREGADO A SISTEMAS - SERGIO PINTO Placa padre:  Tipo adquisicion : Entidad</v>
      </c>
      <c r="G19572" s="5" t="str">
        <f t="shared" si="998"/>
        <v>TL-SM311LM</v>
      </c>
    </row>
    <row r="19573" spans="1:7" ht="58.5" customHeight="1" x14ac:dyDescent="0.25">
      <c r="A19573" s="5" t="str">
        <f>"B0004144"</f>
        <v>B0004144</v>
      </c>
      <c r="B19573" s="5" t="str">
        <f t="shared" si="997"/>
        <v>TRANSCEIVER</v>
      </c>
      <c r="C19573" s="6">
        <v>650000</v>
      </c>
      <c r="D19573" s="5" t="s">
        <v>382</v>
      </c>
      <c r="E19573" s="5" t="str">
        <f t="shared" si="994"/>
        <v>SISTEMAS-GLOBALTRONIK SAS-SERGIO PATIÑO</v>
      </c>
      <c r="F19573" s="5" t="str">
        <f>"Descripcion:TRANSCEIVER SFP TRENDNET FIBRA OPTICA BASE 1000 TX-RX MULTIMODO CONECTOR LC Estado: Bueno Placa anterior: 000038924 Material: METAL Color: PLATEADO Referencia:  Observacion: ENTREGADO A SISTEMAS - SERGIO PINTO Placa padre:  Tipo adquisicion : "&amp; "Entidad"</f>
        <v>Descripcion:TRANSCEIVER SFP TRENDNET FIBRA OPTICA BASE 1000 TX-RX MULTIMODO CONECTOR LC Estado: Bueno Placa anterior: 000038924 Material: METAL Color: PLATEADO Referencia:  Observacion: ENTREGADO A SISTEMAS - SERGIO PINTO Placa padre:  Tipo adquisicion : Entidad</v>
      </c>
      <c r="G19573" s="5" t="str">
        <f t="shared" si="998"/>
        <v>TL-SM311LM</v>
      </c>
    </row>
    <row r="19574" spans="1:7" ht="58.5" customHeight="1" x14ac:dyDescent="0.25">
      <c r="A19574" s="5" t="str">
        <f>"B0004145"</f>
        <v>B0004145</v>
      </c>
      <c r="B19574" s="5" t="str">
        <f t="shared" si="997"/>
        <v>TRANSCEIVER</v>
      </c>
      <c r="C19574" s="6">
        <v>650000</v>
      </c>
      <c r="D19574" s="5" t="s">
        <v>382</v>
      </c>
      <c r="E19574" s="5" t="str">
        <f t="shared" si="994"/>
        <v>SISTEMAS-GLOBALTRONIK SAS-SERGIO PATIÑO</v>
      </c>
      <c r="F19574" s="5" t="str">
        <f>"Descripcion:TRANSCEIVER SFP TRENDNET FIBRA OPTICA BASE 1000 TX-RX MULTIMODO CONECTOR LC Estado: Bueno Placa anterior: 000038925 Material: METAL Color: PLATEADO Referencia:  Observacion: ENTREGADO A SISTEMAS - SERGIO PINTO Placa padre:  Tipo adquisicion : "&amp; "Entidad"</f>
        <v>Descripcion:TRANSCEIVER SFP TRENDNET FIBRA OPTICA BASE 1000 TX-RX MULTIMODO CONECTOR LC Estado: Bueno Placa anterior: 000038925 Material: METAL Color: PLATEADO Referencia:  Observacion: ENTREGADO A SISTEMAS - SERGIO PINTO Placa padre:  Tipo adquisicion : Entidad</v>
      </c>
      <c r="G19574" s="5" t="str">
        <f t="shared" si="998"/>
        <v>TL-SM311LM</v>
      </c>
    </row>
    <row r="19575" spans="1:7" ht="58.5" customHeight="1" x14ac:dyDescent="0.25">
      <c r="A19575" s="5" t="str">
        <f>"B0004146"</f>
        <v>B0004146</v>
      </c>
      <c r="B19575" s="5" t="str">
        <f t="shared" si="997"/>
        <v>TRANSCEIVER</v>
      </c>
      <c r="C19575" s="6">
        <v>650000</v>
      </c>
      <c r="D19575" s="5" t="s">
        <v>382</v>
      </c>
      <c r="E19575" s="5" t="str">
        <f t="shared" si="994"/>
        <v>SISTEMAS-GLOBALTRONIK SAS-SERGIO PATIÑO</v>
      </c>
      <c r="F19575" s="5" t="str">
        <f>"Descripcion:TRANSCEIVER SFP TRENDNET FIBRA OPTICA BASE 1000 TX-RX MULTIMODO CONECTOR LC Estado: Bueno Placa anterior: 000038911 Material: METAL Color: PLATEADO Referencia:  Observacion: ENTREGADO A SISTEMAS - SERGIO PINTO Placa padre:  Tipo adquisicion : "&amp; "Entidad"</f>
        <v>Descripcion:TRANSCEIVER SFP TRENDNET FIBRA OPTICA BASE 1000 TX-RX MULTIMODO CONECTOR LC Estado: Bueno Placa anterior: 000038911 Material: METAL Color: PLATEADO Referencia:  Observacion: ENTREGADO A SISTEMAS - SERGIO PINTO Placa padre:  Tipo adquisicion : Entidad</v>
      </c>
      <c r="G19575" s="5" t="str">
        <f t="shared" si="998"/>
        <v>TL-SM311LM</v>
      </c>
    </row>
    <row r="19576" spans="1:7" ht="58.5" customHeight="1" x14ac:dyDescent="0.25">
      <c r="A19576" s="5" t="str">
        <f>"B0004147"</f>
        <v>B0004147</v>
      </c>
      <c r="B19576" s="5" t="str">
        <f t="shared" si="997"/>
        <v>TRANSCEIVER</v>
      </c>
      <c r="C19576" s="6">
        <v>650000</v>
      </c>
      <c r="D19576" s="5" t="s">
        <v>382</v>
      </c>
      <c r="E19576" s="5" t="str">
        <f t="shared" si="994"/>
        <v>SISTEMAS-GLOBALTRONIK SAS-SERGIO PATIÑO</v>
      </c>
      <c r="F19576" s="5" t="str">
        <f>"Descripcion:TRANSCEIVER SFP TRENDNET FIBRA OPTICA BASE 1000 TX-RX MULTIMODO CONECTOR LC Estado: Bueno Placa anterior: 000038912 Material: METAL Color: PLATEADO Referencia:  Observacion: ENTREGADO A SISTEMAS - SERGIO PINTO Placa padre:  Tipo adquisicion : "&amp; "Entidad"</f>
        <v>Descripcion:TRANSCEIVER SFP TRENDNET FIBRA OPTICA BASE 1000 TX-RX MULTIMODO CONECTOR LC Estado: Bueno Placa anterior: 000038912 Material: METAL Color: PLATEADO Referencia:  Observacion: ENTREGADO A SISTEMAS - SERGIO PINTO Placa padre:  Tipo adquisicion : Entidad</v>
      </c>
      <c r="G19576" s="5" t="str">
        <f>"Tl-sm311lm"</f>
        <v>Tl-sm311lm</v>
      </c>
    </row>
    <row r="19577" spans="1:7" ht="58.5" customHeight="1" x14ac:dyDescent="0.25">
      <c r="A19577" s="5" t="str">
        <f>"B0004628"</f>
        <v>B0004628</v>
      </c>
      <c r="B19577" s="5" t="str">
        <f>"ANTIVIRUS"</f>
        <v>ANTIVIRUS</v>
      </c>
      <c r="C19577" s="6">
        <v>12701304</v>
      </c>
      <c r="D19577" s="5" t="s">
        <v>212</v>
      </c>
      <c r="E19577" s="5" t="str">
        <f t="shared" si="994"/>
        <v>SISTEMAS-GLOBALTRONIK SAS-SERGIO PATIÑO</v>
      </c>
      <c r="F19577" s="5" t="str">
        <f>"Descripcion:LICENCIA ANTIVIRUS NOD RENOVACION TIEMPOD E LICENCIMIENTO 1 AÑO SOPORTE NIVEL 1 (TELEFONICO 5X8 395 LICENCIAS CADA UNA A $27720) Estado: Bueno Placa anterior: 000030228 Material:  Color:  Referencia:  Observacion:  Placa padre:  Tipo adquisici"&amp; "on : Entidad"</f>
        <v>Descripcion:LICENCIA ANTIVIRUS NOD RENOVACION TIEMPOD E LICENCIMIENTO 1 AÑO SOPORTE NIVEL 1 (TELEFONICO 5X8 395 LICENCIAS CADA UNA A $27720) Estado: Bueno Placa anterior: 000030228 Material:  Color:  Referencia:  Observacion:  Placa padre:  Tipo adquisicion : Entidad</v>
      </c>
      <c r="G19577" s="5"/>
    </row>
    <row r="19578" spans="1:7" ht="58.5" customHeight="1" x14ac:dyDescent="0.25">
      <c r="A19578" s="5" t="str">
        <f>"B0004629"</f>
        <v>B0004629</v>
      </c>
      <c r="B19578" s="5" t="str">
        <f>"LICENCIA  SQL SERVER ESTANDAR 2008"</f>
        <v>LICENCIA  SQL SERVER ESTANDAR 2008</v>
      </c>
      <c r="C19578" s="6">
        <v>4500000</v>
      </c>
      <c r="D19578" s="5"/>
      <c r="E19578" s="5" t="str">
        <f t="shared" si="994"/>
        <v>SISTEMAS-GLOBALTRONIK SAS-SERGIO PATIÑO</v>
      </c>
      <c r="F19578" s="5" t="str">
        <f>"Descripcion:LICENCIA SQL SERVER ESTANDAR 2008 OLP: INCLUYA 4 CAL PARA 4 USUARIOS Estado: Bueno Placa anterior: 000029157 Material:  Color:  Referencia:  Observacion:  Placa padre:  Tipo adquisicion : Entidad"</f>
        <v>Descripcion:LICENCIA SQL SERVER ESTANDAR 2008 OLP: INCLUYA 4 CAL PARA 4 USUARIOS Estado: Bueno Placa anterior: 000029157 Material:  Color:  Referencia:  Observacion:  Placa padre:  Tipo adquisicion : Entidad</v>
      </c>
      <c r="G19578" s="5"/>
    </row>
    <row r="19579" spans="1:7" ht="58.5" customHeight="1" x14ac:dyDescent="0.25">
      <c r="A19579" s="5" t="str">
        <f>"B0004631"</f>
        <v>B0004631</v>
      </c>
      <c r="B19579" s="5" t="str">
        <f>"LICENCIA WINDOWS SERVER"</f>
        <v>LICENCIA WINDOWS SERVER</v>
      </c>
      <c r="C19579" s="6">
        <v>8004000</v>
      </c>
      <c r="D19579" s="5"/>
      <c r="E19579" s="5" t="str">
        <f t="shared" si="994"/>
        <v>SISTEMAS-GLOBALTRONIK SAS-SERGIO PATIÑO</v>
      </c>
      <c r="F19579" s="5" t="str">
        <f>"Descripcion:LICENCIA MOLP DE WINDOWS SERVER ENTREPROCE 2003 R2 SPANISI Estado: Bueno Placa anterior: 000025612 Material:  Color:  Referencia:  Observacion:  Placa padre:  Tipo adquisicion : Entidad"</f>
        <v>Descripcion:LICENCIA MOLP DE WINDOWS SERVER ENTREPROCE 2003 R2 SPANISI Estado: Bueno Placa anterior: 000025612 Material:  Color:  Referencia:  Observacion:  Placa padre:  Tipo adquisicion : Entidad</v>
      </c>
      <c r="G19579" s="5"/>
    </row>
    <row r="19580" spans="1:7" ht="58.5" customHeight="1" x14ac:dyDescent="0.25">
      <c r="A19580" s="5" t="str">
        <f>"B0004636"</f>
        <v>B0004636</v>
      </c>
      <c r="B19580" s="5" t="str">
        <f>"LICENCIA OFFICE HOME AND BUSINEES"</f>
        <v>LICENCIA OFFICE HOME AND BUSINEES</v>
      </c>
      <c r="C19580" s="6">
        <v>440800</v>
      </c>
      <c r="D19580" s="5" t="s">
        <v>1</v>
      </c>
      <c r="E19580" s="5" t="str">
        <f t="shared" si="994"/>
        <v>SISTEMAS-GLOBALTRONIK SAS-SERGIO PATIÑO</v>
      </c>
      <c r="F19580" s="5" t="str">
        <f>"Descripcion:LICENCIA OFFICE HOME AND BUSIMESS 2013 Estado: Bueno Placa anterior: 000030616 Material:  Color:  Referencia:  Observacion:  Placa padre:  Tipo adquisicion : Entidad"</f>
        <v>Descripcion:LICENCIA OFFICE HOME AND BUSIMESS 2013 Estado: Bueno Placa anterior: 000030616 Material:  Color:  Referencia:  Observacion:  Placa padre:  Tipo adquisicion : Entidad</v>
      </c>
      <c r="G19580" s="5"/>
    </row>
    <row r="19581" spans="1:7" ht="58.5" customHeight="1" x14ac:dyDescent="0.25">
      <c r="A19581" s="5" t="str">
        <f>"B0004637"</f>
        <v>B0004637</v>
      </c>
      <c r="B19581" s="5" t="str">
        <f>"LICENCIA OFFICE HOME AND BUSINEES"</f>
        <v>LICENCIA OFFICE HOME AND BUSINEES</v>
      </c>
      <c r="C19581" s="6">
        <v>440800</v>
      </c>
      <c r="D19581" s="5" t="s">
        <v>1</v>
      </c>
      <c r="E19581" s="5" t="str">
        <f t="shared" ref="E19581:E19644" si="999">"SISTEMAS-GLOBALTRONIK SAS-SERGIO PATIÑO"</f>
        <v>SISTEMAS-GLOBALTRONIK SAS-SERGIO PATIÑO</v>
      </c>
      <c r="F19581" s="5" t="str">
        <f>"Descripcion:LICENCIA OFFICE HOME AND BUSIMESS 2013 Estado: Bueno Placa anterior: 000030620 Material:  Color:  Referencia:  Observacion:  Placa padre:  Tipo adquisicion : Entidad"</f>
        <v>Descripcion:LICENCIA OFFICE HOME AND BUSIMESS 2013 Estado: Bueno Placa anterior: 000030620 Material:  Color:  Referencia:  Observacion:  Placa padre:  Tipo adquisicion : Entidad</v>
      </c>
      <c r="G19581" s="5"/>
    </row>
    <row r="19582" spans="1:7" ht="58.5" customHeight="1" x14ac:dyDescent="0.25">
      <c r="A19582" s="5" t="str">
        <f>"B0004638"</f>
        <v>B0004638</v>
      </c>
      <c r="B19582" s="5" t="str">
        <f>"LICENCIA OFFICE HOME AND BUSINEES"</f>
        <v>LICENCIA OFFICE HOME AND BUSINEES</v>
      </c>
      <c r="C19582" s="6">
        <v>440800</v>
      </c>
      <c r="D19582" s="5" t="s">
        <v>1</v>
      </c>
      <c r="E19582" s="5" t="str">
        <f t="shared" si="999"/>
        <v>SISTEMAS-GLOBALTRONIK SAS-SERGIO PATIÑO</v>
      </c>
      <c r="F19582" s="5" t="str">
        <f>"Descripcion:LICENCIA OFFICE HOME AND BUSIMESS 2013 Estado: Bueno Placa anterior: 000030625 Material:  Color:  Referencia:  Observacion:  Placa padre:  Tipo adquisicion : Entidad"</f>
        <v>Descripcion:LICENCIA OFFICE HOME AND BUSIMESS 2013 Estado: Bueno Placa anterior: 000030625 Material:  Color:  Referencia:  Observacion:  Placa padre:  Tipo adquisicion : Entidad</v>
      </c>
      <c r="G19582" s="5"/>
    </row>
    <row r="19583" spans="1:7" ht="58.5" customHeight="1" x14ac:dyDescent="0.25">
      <c r="A19583" s="5" t="str">
        <f>"B0004639"</f>
        <v>B0004639</v>
      </c>
      <c r="B19583" s="5" t="str">
        <f>"LICENCIA OFFICE HOME AND BUSINEES"</f>
        <v>LICENCIA OFFICE HOME AND BUSINEES</v>
      </c>
      <c r="C19583" s="6">
        <v>440800</v>
      </c>
      <c r="D19583" s="5" t="s">
        <v>1</v>
      </c>
      <c r="E19583" s="5" t="str">
        <f t="shared" si="999"/>
        <v>SISTEMAS-GLOBALTRONIK SAS-SERGIO PATIÑO</v>
      </c>
      <c r="F19583" s="5" t="str">
        <f>"Descripcion:LICENCIA OFFICE HOME AND BUSIMESS 2013 Estado: Bueno Placa anterior: 000030629 Material:  Color:  Referencia:  Observacion:  Placa padre:  Tipo adquisicion : Entidad"</f>
        <v>Descripcion:LICENCIA OFFICE HOME AND BUSIMESS 2013 Estado: Bueno Placa anterior: 000030629 Material:  Color:  Referencia:  Observacion:  Placa padre:  Tipo adquisicion : Entidad</v>
      </c>
      <c r="G19583" s="5"/>
    </row>
    <row r="19584" spans="1:7" ht="58.5" customHeight="1" x14ac:dyDescent="0.25">
      <c r="A19584" s="5" t="str">
        <f>"B0004640"</f>
        <v>B0004640</v>
      </c>
      <c r="B19584" s="5" t="str">
        <f>"LICENCIA OFFICE 2010 O SUPERIOR"</f>
        <v>LICENCIA OFFICE 2010 O SUPERIOR</v>
      </c>
      <c r="C19584" s="6">
        <v>415280</v>
      </c>
      <c r="D19584" s="5" t="s">
        <v>827</v>
      </c>
      <c r="E19584" s="5" t="str">
        <f t="shared" si="999"/>
        <v>SISTEMAS-GLOBALTRONIK SAS-SERGIO PATIÑO</v>
      </c>
      <c r="F19584" s="5" t="str">
        <f>"Descripcion:LICENCIA OFFICE 2010 O SUPERIOR T5D-00405 Estado: Bueno Placa anterior: 000030356 Material:  Color:  Referencia:  Observacion:  Placa padre:  Tipo adquisicion : Entidad"</f>
        <v>Descripcion:LICENCIA OFFICE 2010 O SUPERIOR T5D-00405 Estado: Bueno Placa anterior: 000030356 Material:  Color:  Referencia:  Observacion:  Placa padre:  Tipo adquisicion : Entidad</v>
      </c>
      <c r="G19584" s="5"/>
    </row>
    <row r="19585" spans="1:7" ht="58.5" customHeight="1" x14ac:dyDescent="0.25">
      <c r="A19585" s="5" t="str">
        <f>"B0004641"</f>
        <v>B0004641</v>
      </c>
      <c r="B19585" s="5" t="str">
        <f>"LICENCIA OFFICE 2010 O SUPERIOR"</f>
        <v>LICENCIA OFFICE 2010 O SUPERIOR</v>
      </c>
      <c r="C19585" s="6">
        <v>415280</v>
      </c>
      <c r="D19585" s="5" t="s">
        <v>827</v>
      </c>
      <c r="E19585" s="5" t="str">
        <f t="shared" si="999"/>
        <v>SISTEMAS-GLOBALTRONIK SAS-SERGIO PATIÑO</v>
      </c>
      <c r="F19585" s="5" t="str">
        <f>"Descripcion:LICENCIA OFFICE 2010 O SUPERIOR T5D-00405 Estado: Bueno Placa anterior: 000030357 Material:  Color:  Referencia:  Observacion:  Placa padre:  Tipo adquisicion : Entidad"</f>
        <v>Descripcion:LICENCIA OFFICE 2010 O SUPERIOR T5D-00405 Estado: Bueno Placa anterior: 000030357 Material:  Color:  Referencia:  Observacion:  Placa padre:  Tipo adquisicion : Entidad</v>
      </c>
      <c r="G19585" s="5"/>
    </row>
    <row r="19586" spans="1:7" ht="58.5" customHeight="1" x14ac:dyDescent="0.25">
      <c r="A19586" s="5" t="str">
        <f>"B0004642"</f>
        <v>B0004642</v>
      </c>
      <c r="B19586" s="5" t="str">
        <f>"LICENCIA OFFICE 2010 O SUPERIOR"</f>
        <v>LICENCIA OFFICE 2010 O SUPERIOR</v>
      </c>
      <c r="C19586" s="6">
        <v>415280</v>
      </c>
      <c r="D19586" s="5" t="s">
        <v>827</v>
      </c>
      <c r="E19586" s="5" t="str">
        <f t="shared" si="999"/>
        <v>SISTEMAS-GLOBALTRONIK SAS-SERGIO PATIÑO</v>
      </c>
      <c r="F19586" s="5" t="str">
        <f>"Descripcion:LICENCIA OFFICE 2010 O SUPERIOR T5D-00405 Estado: Bueno Placa anterior: 000030358 Material:  Color:  Referencia:  Observacion:  Placa padre:  Tipo adquisicion : Entidad"</f>
        <v>Descripcion:LICENCIA OFFICE 2010 O SUPERIOR T5D-00405 Estado: Bueno Placa anterior: 000030358 Material:  Color:  Referencia:  Observacion:  Placa padre:  Tipo adquisicion : Entidad</v>
      </c>
      <c r="G19586" s="5"/>
    </row>
    <row r="19587" spans="1:7" ht="58.5" customHeight="1" x14ac:dyDescent="0.25">
      <c r="A19587" s="5" t="str">
        <f>"B0004643"</f>
        <v>B0004643</v>
      </c>
      <c r="B19587" s="5" t="str">
        <f t="shared" ref="B19587:B19618" si="1000">"LICENCIA OFFICE 2013"</f>
        <v>LICENCIA OFFICE 2013</v>
      </c>
      <c r="C19587" s="6">
        <v>671524</v>
      </c>
      <c r="D19587" s="5" t="s">
        <v>856</v>
      </c>
      <c r="E19587" s="5" t="str">
        <f t="shared" si="999"/>
        <v>SISTEMAS-GLOBALTRONIK SAS-SERGIO PATIÑO</v>
      </c>
      <c r="F19587" s="5" t="str">
        <f>"Descripcion:LICENCIA OFFICE 2013 Estado: Bueno Placa anterior: 000037523 Material:  Color:  Referencia:  Observacion:  Placa padre:  Tipo adquisicion : Entidad"</f>
        <v>Descripcion:LICENCIA OFFICE 2013 Estado: Bueno Placa anterior: 000037523 Material:  Color:  Referencia:  Observacion:  Placa padre:  Tipo adquisicion : Entidad</v>
      </c>
      <c r="G19587" s="5"/>
    </row>
    <row r="19588" spans="1:7" ht="58.5" customHeight="1" x14ac:dyDescent="0.25">
      <c r="A19588" s="5" t="str">
        <f>"B0004644"</f>
        <v>B0004644</v>
      </c>
      <c r="B19588" s="5" t="str">
        <f t="shared" si="1000"/>
        <v>LICENCIA OFFICE 2013</v>
      </c>
      <c r="C19588" s="6">
        <v>671524</v>
      </c>
      <c r="D19588" s="5" t="s">
        <v>856</v>
      </c>
      <c r="E19588" s="5" t="str">
        <f t="shared" si="999"/>
        <v>SISTEMAS-GLOBALTRONIK SAS-SERGIO PATIÑO</v>
      </c>
      <c r="F19588" s="5" t="str">
        <f>"Descripcion:LICENCIA OFFICE 2013 Estado: Bueno Placa anterior: 000037524 Material:  Color:  Referencia:  Observacion:  Placa padre:  Tipo adquisicion : Entidad"</f>
        <v>Descripcion:LICENCIA OFFICE 2013 Estado: Bueno Placa anterior: 000037524 Material:  Color:  Referencia:  Observacion:  Placa padre:  Tipo adquisicion : Entidad</v>
      </c>
      <c r="G19588" s="5"/>
    </row>
    <row r="19589" spans="1:7" ht="58.5" customHeight="1" x14ac:dyDescent="0.25">
      <c r="A19589" s="5" t="str">
        <f>"B0004645"</f>
        <v>B0004645</v>
      </c>
      <c r="B19589" s="5" t="str">
        <f t="shared" si="1000"/>
        <v>LICENCIA OFFICE 2013</v>
      </c>
      <c r="C19589" s="6">
        <v>671524</v>
      </c>
      <c r="D19589" s="5" t="s">
        <v>856</v>
      </c>
      <c r="E19589" s="5" t="str">
        <f t="shared" si="999"/>
        <v>SISTEMAS-GLOBALTRONIK SAS-SERGIO PATIÑO</v>
      </c>
      <c r="F19589" s="5" t="str">
        <f>"Descripcion:LICENCIA OFFICE 2013 Estado: Bueno Placa anterior: 000037525 Material:  Color:  Referencia:  Observacion:  Placa padre:  Tipo adquisicion : Entidad"</f>
        <v>Descripcion:LICENCIA OFFICE 2013 Estado: Bueno Placa anterior: 000037525 Material:  Color:  Referencia:  Observacion:  Placa padre:  Tipo adquisicion : Entidad</v>
      </c>
      <c r="G19589" s="5"/>
    </row>
    <row r="19590" spans="1:7" ht="58.5" customHeight="1" x14ac:dyDescent="0.25">
      <c r="A19590" s="5" t="str">
        <f>"B0004646"</f>
        <v>B0004646</v>
      </c>
      <c r="B19590" s="5" t="str">
        <f t="shared" si="1000"/>
        <v>LICENCIA OFFICE 2013</v>
      </c>
      <c r="C19590" s="6">
        <v>671524</v>
      </c>
      <c r="D19590" s="5" t="s">
        <v>856</v>
      </c>
      <c r="E19590" s="5" t="str">
        <f t="shared" si="999"/>
        <v>SISTEMAS-GLOBALTRONIK SAS-SERGIO PATIÑO</v>
      </c>
      <c r="F19590" s="5" t="str">
        <f>"Descripcion:LICENCIA OFFICE 2013 Estado: Bueno Placa anterior: 000037526 Material:  Color:  Referencia:  Observacion:  Placa padre:  Tipo adquisicion : Entidad"</f>
        <v>Descripcion:LICENCIA OFFICE 2013 Estado: Bueno Placa anterior: 000037526 Material:  Color:  Referencia:  Observacion:  Placa padre:  Tipo adquisicion : Entidad</v>
      </c>
      <c r="G19590" s="5"/>
    </row>
    <row r="19591" spans="1:7" ht="58.5" customHeight="1" x14ac:dyDescent="0.25">
      <c r="A19591" s="5" t="str">
        <f>"B0004647"</f>
        <v>B0004647</v>
      </c>
      <c r="B19591" s="5" t="str">
        <f t="shared" si="1000"/>
        <v>LICENCIA OFFICE 2013</v>
      </c>
      <c r="C19591" s="6">
        <v>671524</v>
      </c>
      <c r="D19591" s="5" t="s">
        <v>856</v>
      </c>
      <c r="E19591" s="5" t="str">
        <f t="shared" si="999"/>
        <v>SISTEMAS-GLOBALTRONIK SAS-SERGIO PATIÑO</v>
      </c>
      <c r="F19591" s="5" t="str">
        <f>"Descripcion:LICENCIA OFFICE 2013 Estado: Bueno Placa anterior: 000037527 Material:  Color:  Referencia:  Observacion:  Placa padre:  Tipo adquisicion : Entidad"</f>
        <v>Descripcion:LICENCIA OFFICE 2013 Estado: Bueno Placa anterior: 000037527 Material:  Color:  Referencia:  Observacion:  Placa padre:  Tipo adquisicion : Entidad</v>
      </c>
      <c r="G19591" s="5"/>
    </row>
    <row r="19592" spans="1:7" ht="58.5" customHeight="1" x14ac:dyDescent="0.25">
      <c r="A19592" s="5" t="str">
        <f>"B0004648"</f>
        <v>B0004648</v>
      </c>
      <c r="B19592" s="5" t="str">
        <f t="shared" si="1000"/>
        <v>LICENCIA OFFICE 2013</v>
      </c>
      <c r="C19592" s="6">
        <v>671524</v>
      </c>
      <c r="D19592" s="5" t="s">
        <v>856</v>
      </c>
      <c r="E19592" s="5" t="str">
        <f t="shared" si="999"/>
        <v>SISTEMAS-GLOBALTRONIK SAS-SERGIO PATIÑO</v>
      </c>
      <c r="F19592" s="5" t="str">
        <f>"Descripcion:LICENCIA OFFICE 2013 Estado: Bueno Placa anterior: 000037528 Material:  Color:  Referencia:  Observacion:  Placa padre:  Tipo adquisicion : Entidad"</f>
        <v>Descripcion:LICENCIA OFFICE 2013 Estado: Bueno Placa anterior: 000037528 Material:  Color:  Referencia:  Observacion:  Placa padre:  Tipo adquisicion : Entidad</v>
      </c>
      <c r="G19592" s="5"/>
    </row>
    <row r="19593" spans="1:7" ht="58.5" customHeight="1" x14ac:dyDescent="0.25">
      <c r="A19593" s="5" t="str">
        <f>"B0004649"</f>
        <v>B0004649</v>
      </c>
      <c r="B19593" s="5" t="str">
        <f t="shared" si="1000"/>
        <v>LICENCIA OFFICE 2013</v>
      </c>
      <c r="C19593" s="6">
        <v>671524</v>
      </c>
      <c r="D19593" s="5" t="s">
        <v>856</v>
      </c>
      <c r="E19593" s="5" t="str">
        <f t="shared" si="999"/>
        <v>SISTEMAS-GLOBALTRONIK SAS-SERGIO PATIÑO</v>
      </c>
      <c r="F19593" s="5" t="str">
        <f>"Descripcion:LICENCIA OFFICE 2013 Estado: Bueno Placa anterior: 000037529 Material:  Color:  Referencia:  Observacion:  Placa padre:  Tipo adquisicion : Entidad"</f>
        <v>Descripcion:LICENCIA OFFICE 2013 Estado: Bueno Placa anterior: 000037529 Material:  Color:  Referencia:  Observacion:  Placa padre:  Tipo adquisicion : Entidad</v>
      </c>
      <c r="G19593" s="5"/>
    </row>
    <row r="19594" spans="1:7" ht="58.5" customHeight="1" x14ac:dyDescent="0.25">
      <c r="A19594" s="5" t="str">
        <f>"B0004650"</f>
        <v>B0004650</v>
      </c>
      <c r="B19594" s="5" t="str">
        <f t="shared" si="1000"/>
        <v>LICENCIA OFFICE 2013</v>
      </c>
      <c r="C19594" s="6">
        <v>671524</v>
      </c>
      <c r="D19594" s="5" t="s">
        <v>856</v>
      </c>
      <c r="E19594" s="5" t="str">
        <f t="shared" si="999"/>
        <v>SISTEMAS-GLOBALTRONIK SAS-SERGIO PATIÑO</v>
      </c>
      <c r="F19594" s="5" t="str">
        <f>"Descripcion:LICENCIA OFFICE 2013 Estado: Bueno Placa anterior: 000037530 Material:  Color:  Referencia:  Observacion:  Placa padre:  Tipo adquisicion : Entidad"</f>
        <v>Descripcion:LICENCIA OFFICE 2013 Estado: Bueno Placa anterior: 000037530 Material:  Color:  Referencia:  Observacion:  Placa padre:  Tipo adquisicion : Entidad</v>
      </c>
      <c r="G19594" s="5"/>
    </row>
    <row r="19595" spans="1:7" ht="58.5" customHeight="1" x14ac:dyDescent="0.25">
      <c r="A19595" s="5" t="str">
        <f>"B0004651"</f>
        <v>B0004651</v>
      </c>
      <c r="B19595" s="5" t="str">
        <f t="shared" si="1000"/>
        <v>LICENCIA OFFICE 2013</v>
      </c>
      <c r="C19595" s="6">
        <v>671524</v>
      </c>
      <c r="D19595" s="5" t="s">
        <v>856</v>
      </c>
      <c r="E19595" s="5" t="str">
        <f t="shared" si="999"/>
        <v>SISTEMAS-GLOBALTRONIK SAS-SERGIO PATIÑO</v>
      </c>
      <c r="F19595" s="5" t="str">
        <f>"Descripcion:LICENCIA OFFICE 2013 Estado: Bueno Placa anterior: 000037531 Material:  Color:  Referencia:  Observacion:  Placa padre:  Tipo adquisicion : Entidad"</f>
        <v>Descripcion:LICENCIA OFFICE 2013 Estado: Bueno Placa anterior: 000037531 Material:  Color:  Referencia:  Observacion:  Placa padre:  Tipo adquisicion : Entidad</v>
      </c>
      <c r="G19595" s="5"/>
    </row>
    <row r="19596" spans="1:7" ht="58.5" customHeight="1" x14ac:dyDescent="0.25">
      <c r="A19596" s="5" t="str">
        <f>"B0004652"</f>
        <v>B0004652</v>
      </c>
      <c r="B19596" s="5" t="str">
        <f t="shared" si="1000"/>
        <v>LICENCIA OFFICE 2013</v>
      </c>
      <c r="C19596" s="6">
        <v>671524</v>
      </c>
      <c r="D19596" s="5" t="s">
        <v>856</v>
      </c>
      <c r="E19596" s="5" t="str">
        <f t="shared" si="999"/>
        <v>SISTEMAS-GLOBALTRONIK SAS-SERGIO PATIÑO</v>
      </c>
      <c r="F19596" s="5" t="str">
        <f>"Descripcion:LICENCIA OFFICE 2013 Estado: Bueno Placa anterior: 000037532 Material:  Color:  Referencia:  Observacion:  Placa padre:  Tipo adquisicion : Entidad"</f>
        <v>Descripcion:LICENCIA OFFICE 2013 Estado: Bueno Placa anterior: 000037532 Material:  Color:  Referencia:  Observacion:  Placa padre:  Tipo adquisicion : Entidad</v>
      </c>
      <c r="G19596" s="5"/>
    </row>
    <row r="19597" spans="1:7" ht="58.5" customHeight="1" x14ac:dyDescent="0.25">
      <c r="A19597" s="5" t="str">
        <f>"B0004653"</f>
        <v>B0004653</v>
      </c>
      <c r="B19597" s="5" t="str">
        <f t="shared" si="1000"/>
        <v>LICENCIA OFFICE 2013</v>
      </c>
      <c r="C19597" s="6">
        <v>671524</v>
      </c>
      <c r="D19597" s="5" t="s">
        <v>856</v>
      </c>
      <c r="E19597" s="5" t="str">
        <f t="shared" si="999"/>
        <v>SISTEMAS-GLOBALTRONIK SAS-SERGIO PATIÑO</v>
      </c>
      <c r="F19597" s="5" t="str">
        <f>"Descripcion:LICENCIA OFFICE 2013 Estado: Bueno Placa anterior: 000037533 Material:  Color:  Referencia:  Observacion:  Placa padre:  Tipo adquisicion : Entidad"</f>
        <v>Descripcion:LICENCIA OFFICE 2013 Estado: Bueno Placa anterior: 000037533 Material:  Color:  Referencia:  Observacion:  Placa padre:  Tipo adquisicion : Entidad</v>
      </c>
      <c r="G19597" s="5"/>
    </row>
    <row r="19598" spans="1:7" ht="58.5" customHeight="1" x14ac:dyDescent="0.25">
      <c r="A19598" s="5" t="str">
        <f>"B0004654"</f>
        <v>B0004654</v>
      </c>
      <c r="B19598" s="5" t="str">
        <f t="shared" si="1000"/>
        <v>LICENCIA OFFICE 2013</v>
      </c>
      <c r="C19598" s="6">
        <v>671524</v>
      </c>
      <c r="D19598" s="5" t="s">
        <v>856</v>
      </c>
      <c r="E19598" s="5" t="str">
        <f t="shared" si="999"/>
        <v>SISTEMAS-GLOBALTRONIK SAS-SERGIO PATIÑO</v>
      </c>
      <c r="F19598" s="5" t="str">
        <f>"Descripcion:LICENCIA OFFICE 2013 Estado: Bueno Placa anterior: 000037534 Material:  Color:  Referencia:  Observacion:  Placa padre:  Tipo adquisicion : Entidad"</f>
        <v>Descripcion:LICENCIA OFFICE 2013 Estado: Bueno Placa anterior: 000037534 Material:  Color:  Referencia:  Observacion:  Placa padre:  Tipo adquisicion : Entidad</v>
      </c>
      <c r="G19598" s="5"/>
    </row>
    <row r="19599" spans="1:7" ht="58.5" customHeight="1" x14ac:dyDescent="0.25">
      <c r="A19599" s="5" t="str">
        <f>"B0004655"</f>
        <v>B0004655</v>
      </c>
      <c r="B19599" s="5" t="str">
        <f t="shared" si="1000"/>
        <v>LICENCIA OFFICE 2013</v>
      </c>
      <c r="C19599" s="6">
        <v>671524</v>
      </c>
      <c r="D19599" s="5" t="s">
        <v>856</v>
      </c>
      <c r="E19599" s="5" t="str">
        <f t="shared" si="999"/>
        <v>SISTEMAS-GLOBALTRONIK SAS-SERGIO PATIÑO</v>
      </c>
      <c r="F19599" s="5" t="str">
        <f>"Descripcion:LICENCIA OFFICE 2013 Estado: Bueno Placa anterior: 000037535 Material:  Color:  Referencia:  Observacion:  Placa padre:  Tipo adquisicion : Entidad"</f>
        <v>Descripcion:LICENCIA OFFICE 2013 Estado: Bueno Placa anterior: 000037535 Material:  Color:  Referencia:  Observacion:  Placa padre:  Tipo adquisicion : Entidad</v>
      </c>
      <c r="G19599" s="5"/>
    </row>
    <row r="19600" spans="1:7" ht="58.5" customHeight="1" x14ac:dyDescent="0.25">
      <c r="A19600" s="5" t="str">
        <f>"B0004656"</f>
        <v>B0004656</v>
      </c>
      <c r="B19600" s="5" t="str">
        <f t="shared" si="1000"/>
        <v>LICENCIA OFFICE 2013</v>
      </c>
      <c r="C19600" s="6">
        <v>671524</v>
      </c>
      <c r="D19600" s="5" t="s">
        <v>856</v>
      </c>
      <c r="E19600" s="5" t="str">
        <f t="shared" si="999"/>
        <v>SISTEMAS-GLOBALTRONIK SAS-SERGIO PATIÑO</v>
      </c>
      <c r="F19600" s="5" t="str">
        <f>"Descripcion:LICENCIA OFFICE 2013 Estado: Bueno Placa anterior: 000037536 Material:  Color:  Referencia:  Observacion:  Placa padre:  Tipo adquisicion : Entidad"</f>
        <v>Descripcion:LICENCIA OFFICE 2013 Estado: Bueno Placa anterior: 000037536 Material:  Color:  Referencia:  Observacion:  Placa padre:  Tipo adquisicion : Entidad</v>
      </c>
      <c r="G19600" s="5"/>
    </row>
    <row r="19601" spans="1:7" ht="58.5" customHeight="1" x14ac:dyDescent="0.25">
      <c r="A19601" s="5" t="str">
        <f>"B0004657"</f>
        <v>B0004657</v>
      </c>
      <c r="B19601" s="5" t="str">
        <f t="shared" si="1000"/>
        <v>LICENCIA OFFICE 2013</v>
      </c>
      <c r="C19601" s="6">
        <v>671524</v>
      </c>
      <c r="D19601" s="5" t="s">
        <v>856</v>
      </c>
      <c r="E19601" s="5" t="str">
        <f t="shared" si="999"/>
        <v>SISTEMAS-GLOBALTRONIK SAS-SERGIO PATIÑO</v>
      </c>
      <c r="F19601" s="5" t="str">
        <f>"Descripcion:LICENCIA OFFICE 2013 Estado: Bueno Placa anterior: 000037537 Material:  Color:  Referencia:  Observacion:  Placa padre:  Tipo adquisicion : Entidad"</f>
        <v>Descripcion:LICENCIA OFFICE 2013 Estado: Bueno Placa anterior: 000037537 Material:  Color:  Referencia:  Observacion:  Placa padre:  Tipo adquisicion : Entidad</v>
      </c>
      <c r="G19601" s="5"/>
    </row>
    <row r="19602" spans="1:7" ht="58.5" customHeight="1" x14ac:dyDescent="0.25">
      <c r="A19602" s="5" t="str">
        <f>"B0004658"</f>
        <v>B0004658</v>
      </c>
      <c r="B19602" s="5" t="str">
        <f t="shared" si="1000"/>
        <v>LICENCIA OFFICE 2013</v>
      </c>
      <c r="C19602" s="6">
        <v>671524</v>
      </c>
      <c r="D19602" s="5" t="s">
        <v>856</v>
      </c>
      <c r="E19602" s="5" t="str">
        <f t="shared" si="999"/>
        <v>SISTEMAS-GLOBALTRONIK SAS-SERGIO PATIÑO</v>
      </c>
      <c r="F19602" s="5" t="str">
        <f>"Descripcion:LICENCIA OFFICE 2013 Estado: Bueno Placa anterior: 000037538 Material:  Color:  Referencia:  Observacion:  Placa padre:  Tipo adquisicion : Entidad"</f>
        <v>Descripcion:LICENCIA OFFICE 2013 Estado: Bueno Placa anterior: 000037538 Material:  Color:  Referencia:  Observacion:  Placa padre:  Tipo adquisicion : Entidad</v>
      </c>
      <c r="G19602" s="5"/>
    </row>
    <row r="19603" spans="1:7" ht="58.5" customHeight="1" x14ac:dyDescent="0.25">
      <c r="A19603" s="5" t="str">
        <f>"B0004659"</f>
        <v>B0004659</v>
      </c>
      <c r="B19603" s="5" t="str">
        <f t="shared" si="1000"/>
        <v>LICENCIA OFFICE 2013</v>
      </c>
      <c r="C19603" s="6">
        <v>671524</v>
      </c>
      <c r="D19603" s="5" t="s">
        <v>856</v>
      </c>
      <c r="E19603" s="5" t="str">
        <f t="shared" si="999"/>
        <v>SISTEMAS-GLOBALTRONIK SAS-SERGIO PATIÑO</v>
      </c>
      <c r="F19603" s="5" t="str">
        <f>"Descripcion:LICENCIA OFFICE 2013 Estado: Bueno Placa anterior: 000037539 Material:  Color:  Referencia:  Observacion:  Placa padre:  Tipo adquisicion : Entidad"</f>
        <v>Descripcion:LICENCIA OFFICE 2013 Estado: Bueno Placa anterior: 000037539 Material:  Color:  Referencia:  Observacion:  Placa padre:  Tipo adquisicion : Entidad</v>
      </c>
      <c r="G19603" s="5"/>
    </row>
    <row r="19604" spans="1:7" ht="58.5" customHeight="1" x14ac:dyDescent="0.25">
      <c r="A19604" s="5" t="str">
        <f>"B0004660"</f>
        <v>B0004660</v>
      </c>
      <c r="B19604" s="5" t="str">
        <f t="shared" si="1000"/>
        <v>LICENCIA OFFICE 2013</v>
      </c>
      <c r="C19604" s="6">
        <v>671524</v>
      </c>
      <c r="D19604" s="5" t="s">
        <v>856</v>
      </c>
      <c r="E19604" s="5" t="str">
        <f t="shared" si="999"/>
        <v>SISTEMAS-GLOBALTRONIK SAS-SERGIO PATIÑO</v>
      </c>
      <c r="F19604" s="5" t="str">
        <f>"Descripcion:LICENCIA OFFICE 2013 Estado: Bueno Placa anterior: 000037540 Material:  Color:  Referencia:  Observacion:  Placa padre:  Tipo adquisicion : Entidad"</f>
        <v>Descripcion:LICENCIA OFFICE 2013 Estado: Bueno Placa anterior: 000037540 Material:  Color:  Referencia:  Observacion:  Placa padre:  Tipo adquisicion : Entidad</v>
      </c>
      <c r="G19604" s="5"/>
    </row>
    <row r="19605" spans="1:7" ht="58.5" customHeight="1" x14ac:dyDescent="0.25">
      <c r="A19605" s="5" t="str">
        <f>"B0004661"</f>
        <v>B0004661</v>
      </c>
      <c r="B19605" s="5" t="str">
        <f t="shared" si="1000"/>
        <v>LICENCIA OFFICE 2013</v>
      </c>
      <c r="C19605" s="6">
        <v>671524</v>
      </c>
      <c r="D19605" s="5" t="s">
        <v>856</v>
      </c>
      <c r="E19605" s="5" t="str">
        <f t="shared" si="999"/>
        <v>SISTEMAS-GLOBALTRONIK SAS-SERGIO PATIÑO</v>
      </c>
      <c r="F19605" s="5" t="str">
        <f>"Descripcion:LICENCIA OFFICE 2013 Estado: Bueno Placa anterior: 000037541 Material:  Color:  Referencia:  Observacion:  Placa padre:  Tipo adquisicion : Entidad"</f>
        <v>Descripcion:LICENCIA OFFICE 2013 Estado: Bueno Placa anterior: 000037541 Material:  Color:  Referencia:  Observacion:  Placa padre:  Tipo adquisicion : Entidad</v>
      </c>
      <c r="G19605" s="5"/>
    </row>
    <row r="19606" spans="1:7" ht="58.5" customHeight="1" x14ac:dyDescent="0.25">
      <c r="A19606" s="5" t="str">
        <f>"B0004662"</f>
        <v>B0004662</v>
      </c>
      <c r="B19606" s="5" t="str">
        <f t="shared" si="1000"/>
        <v>LICENCIA OFFICE 2013</v>
      </c>
      <c r="C19606" s="6">
        <v>671524</v>
      </c>
      <c r="D19606" s="5" t="s">
        <v>856</v>
      </c>
      <c r="E19606" s="5" t="str">
        <f t="shared" si="999"/>
        <v>SISTEMAS-GLOBALTRONIK SAS-SERGIO PATIÑO</v>
      </c>
      <c r="F19606" s="5" t="str">
        <f>"Descripcion:LICENCIA OFFICE 2013 Estado: Bueno Placa anterior: 000037542 Material:  Color:  Referencia:  Observacion:  Placa padre:  Tipo adquisicion : Entidad"</f>
        <v>Descripcion:LICENCIA OFFICE 2013 Estado: Bueno Placa anterior: 000037542 Material:  Color:  Referencia:  Observacion:  Placa padre:  Tipo adquisicion : Entidad</v>
      </c>
      <c r="G19606" s="5"/>
    </row>
    <row r="19607" spans="1:7" ht="58.5" customHeight="1" x14ac:dyDescent="0.25">
      <c r="A19607" s="5" t="str">
        <f>"B0004663"</f>
        <v>B0004663</v>
      </c>
      <c r="B19607" s="5" t="str">
        <f t="shared" si="1000"/>
        <v>LICENCIA OFFICE 2013</v>
      </c>
      <c r="C19607" s="6">
        <v>671524</v>
      </c>
      <c r="D19607" s="5" t="s">
        <v>856</v>
      </c>
      <c r="E19607" s="5" t="str">
        <f t="shared" si="999"/>
        <v>SISTEMAS-GLOBALTRONIK SAS-SERGIO PATIÑO</v>
      </c>
      <c r="F19607" s="5" t="str">
        <f>"Descripcion:LICENCIA OFFICE 2013 Estado: Bueno Placa anterior: 000037543 Material:  Color:  Referencia:  Observacion:  Placa padre:  Tipo adquisicion : Entidad"</f>
        <v>Descripcion:LICENCIA OFFICE 2013 Estado: Bueno Placa anterior: 000037543 Material:  Color:  Referencia:  Observacion:  Placa padre:  Tipo adquisicion : Entidad</v>
      </c>
      <c r="G19607" s="5"/>
    </row>
    <row r="19608" spans="1:7" ht="58.5" customHeight="1" x14ac:dyDescent="0.25">
      <c r="A19608" s="5" t="str">
        <f>"B0004664"</f>
        <v>B0004664</v>
      </c>
      <c r="B19608" s="5" t="str">
        <f t="shared" si="1000"/>
        <v>LICENCIA OFFICE 2013</v>
      </c>
      <c r="C19608" s="6">
        <v>671524</v>
      </c>
      <c r="D19608" s="5" t="s">
        <v>856</v>
      </c>
      <c r="E19608" s="5" t="str">
        <f t="shared" si="999"/>
        <v>SISTEMAS-GLOBALTRONIK SAS-SERGIO PATIÑO</v>
      </c>
      <c r="F19608" s="5" t="str">
        <f>"Descripcion:LICENCIA OFFICE 2013 Estado: Bueno Placa anterior: 000037544 Material:  Color:  Referencia:  Observacion:  Placa padre:  Tipo adquisicion : Entidad"</f>
        <v>Descripcion:LICENCIA OFFICE 2013 Estado: Bueno Placa anterior: 000037544 Material:  Color:  Referencia:  Observacion:  Placa padre:  Tipo adquisicion : Entidad</v>
      </c>
      <c r="G19608" s="5"/>
    </row>
    <row r="19609" spans="1:7" ht="58.5" customHeight="1" x14ac:dyDescent="0.25">
      <c r="A19609" s="5" t="str">
        <f>"B0004665"</f>
        <v>B0004665</v>
      </c>
      <c r="B19609" s="5" t="str">
        <f t="shared" si="1000"/>
        <v>LICENCIA OFFICE 2013</v>
      </c>
      <c r="C19609" s="6">
        <v>671524</v>
      </c>
      <c r="D19609" s="5" t="s">
        <v>856</v>
      </c>
      <c r="E19609" s="5" t="str">
        <f t="shared" si="999"/>
        <v>SISTEMAS-GLOBALTRONIK SAS-SERGIO PATIÑO</v>
      </c>
      <c r="F19609" s="5" t="str">
        <f>"Descripcion:LICENCIA OFFICE 2013 Estado: Bueno Placa anterior: 000037545 Material:  Color:  Referencia:  Observacion:  Placa padre:  Tipo adquisicion : Entidad"</f>
        <v>Descripcion:LICENCIA OFFICE 2013 Estado: Bueno Placa anterior: 000037545 Material:  Color:  Referencia:  Observacion:  Placa padre:  Tipo adquisicion : Entidad</v>
      </c>
      <c r="G19609" s="5"/>
    </row>
    <row r="19610" spans="1:7" ht="58.5" customHeight="1" x14ac:dyDescent="0.25">
      <c r="A19610" s="5" t="str">
        <f>"B0004666"</f>
        <v>B0004666</v>
      </c>
      <c r="B19610" s="5" t="str">
        <f t="shared" si="1000"/>
        <v>LICENCIA OFFICE 2013</v>
      </c>
      <c r="C19610" s="6">
        <v>671524</v>
      </c>
      <c r="D19610" s="5" t="s">
        <v>856</v>
      </c>
      <c r="E19610" s="5" t="str">
        <f t="shared" si="999"/>
        <v>SISTEMAS-GLOBALTRONIK SAS-SERGIO PATIÑO</v>
      </c>
      <c r="F19610" s="5" t="str">
        <f>"Descripcion:LICENCIA OFFICE 2013 Estado: Bueno Placa anterior: 000037546 Material:  Color:  Referencia:  Observacion:  Placa padre:  Tipo adquisicion : Entidad"</f>
        <v>Descripcion:LICENCIA OFFICE 2013 Estado: Bueno Placa anterior: 000037546 Material:  Color:  Referencia:  Observacion:  Placa padre:  Tipo adquisicion : Entidad</v>
      </c>
      <c r="G19610" s="5"/>
    </row>
    <row r="19611" spans="1:7" ht="58.5" customHeight="1" x14ac:dyDescent="0.25">
      <c r="A19611" s="5" t="str">
        <f>"B0004667"</f>
        <v>B0004667</v>
      </c>
      <c r="B19611" s="5" t="str">
        <f t="shared" si="1000"/>
        <v>LICENCIA OFFICE 2013</v>
      </c>
      <c r="C19611" s="6">
        <v>671524</v>
      </c>
      <c r="D19611" s="5" t="s">
        <v>856</v>
      </c>
      <c r="E19611" s="5" t="str">
        <f t="shared" si="999"/>
        <v>SISTEMAS-GLOBALTRONIK SAS-SERGIO PATIÑO</v>
      </c>
      <c r="F19611" s="5" t="str">
        <f>"Descripcion:LICENCIA OFFICE 2013 Estado: Bueno Placa anterior: 000037547 Material:  Color:  Referencia:  Observacion:  Placa padre:  Tipo adquisicion : Entidad"</f>
        <v>Descripcion:LICENCIA OFFICE 2013 Estado: Bueno Placa anterior: 000037547 Material:  Color:  Referencia:  Observacion:  Placa padre:  Tipo adquisicion : Entidad</v>
      </c>
      <c r="G19611" s="5"/>
    </row>
    <row r="19612" spans="1:7" ht="58.5" customHeight="1" x14ac:dyDescent="0.25">
      <c r="A19612" s="5" t="str">
        <f>"B0004668"</f>
        <v>B0004668</v>
      </c>
      <c r="B19612" s="5" t="str">
        <f t="shared" si="1000"/>
        <v>LICENCIA OFFICE 2013</v>
      </c>
      <c r="C19612" s="6">
        <v>671524</v>
      </c>
      <c r="D19612" s="5" t="s">
        <v>856</v>
      </c>
      <c r="E19612" s="5" t="str">
        <f t="shared" si="999"/>
        <v>SISTEMAS-GLOBALTRONIK SAS-SERGIO PATIÑO</v>
      </c>
      <c r="F19612" s="5" t="str">
        <f>"Descripcion:LICENCIA OFFICE 2013 Estado: Bueno Placa anterior: 000037548 Material:  Color:  Referencia:  Observacion:  Placa padre:  Tipo adquisicion : Entidad"</f>
        <v>Descripcion:LICENCIA OFFICE 2013 Estado: Bueno Placa anterior: 000037548 Material:  Color:  Referencia:  Observacion:  Placa padre:  Tipo adquisicion : Entidad</v>
      </c>
      <c r="G19612" s="5"/>
    </row>
    <row r="19613" spans="1:7" ht="58.5" customHeight="1" x14ac:dyDescent="0.25">
      <c r="A19613" s="5" t="str">
        <f>"B0004669"</f>
        <v>B0004669</v>
      </c>
      <c r="B19613" s="5" t="str">
        <f t="shared" si="1000"/>
        <v>LICENCIA OFFICE 2013</v>
      </c>
      <c r="C19613" s="6">
        <v>671524</v>
      </c>
      <c r="D19613" s="5" t="s">
        <v>856</v>
      </c>
      <c r="E19613" s="5" t="str">
        <f t="shared" si="999"/>
        <v>SISTEMAS-GLOBALTRONIK SAS-SERGIO PATIÑO</v>
      </c>
      <c r="F19613" s="5" t="str">
        <f>"Descripcion:LICENCIA OFFICE 2013 Estado: Bueno Placa anterior: 000037549 Material:  Color:  Referencia:  Observacion:  Placa padre:  Tipo adquisicion : Entidad"</f>
        <v>Descripcion:LICENCIA OFFICE 2013 Estado: Bueno Placa anterior: 000037549 Material:  Color:  Referencia:  Observacion:  Placa padre:  Tipo adquisicion : Entidad</v>
      </c>
      <c r="G19613" s="5"/>
    </row>
    <row r="19614" spans="1:7" ht="58.5" customHeight="1" x14ac:dyDescent="0.25">
      <c r="A19614" s="5" t="str">
        <f>"B0004670"</f>
        <v>B0004670</v>
      </c>
      <c r="B19614" s="5" t="str">
        <f t="shared" si="1000"/>
        <v>LICENCIA OFFICE 2013</v>
      </c>
      <c r="C19614" s="6">
        <v>671524</v>
      </c>
      <c r="D19614" s="5" t="s">
        <v>856</v>
      </c>
      <c r="E19614" s="5" t="str">
        <f t="shared" si="999"/>
        <v>SISTEMAS-GLOBALTRONIK SAS-SERGIO PATIÑO</v>
      </c>
      <c r="F19614" s="5" t="str">
        <f>"Descripcion:LICENCIA OFFICE 2013 Estado: Bueno Placa anterior: 000037550 Material:  Color:  Referencia:  Observacion:  Placa padre:  Tipo adquisicion : Entidad"</f>
        <v>Descripcion:LICENCIA OFFICE 2013 Estado: Bueno Placa anterior: 000037550 Material:  Color:  Referencia:  Observacion:  Placa padre:  Tipo adquisicion : Entidad</v>
      </c>
      <c r="G19614" s="5"/>
    </row>
    <row r="19615" spans="1:7" ht="58.5" customHeight="1" x14ac:dyDescent="0.25">
      <c r="A19615" s="5" t="str">
        <f>"B0004671"</f>
        <v>B0004671</v>
      </c>
      <c r="B19615" s="5" t="str">
        <f t="shared" si="1000"/>
        <v>LICENCIA OFFICE 2013</v>
      </c>
      <c r="C19615" s="6">
        <v>671524</v>
      </c>
      <c r="D19615" s="5" t="s">
        <v>856</v>
      </c>
      <c r="E19615" s="5" t="str">
        <f t="shared" si="999"/>
        <v>SISTEMAS-GLOBALTRONIK SAS-SERGIO PATIÑO</v>
      </c>
      <c r="F19615" s="5" t="str">
        <f>"Descripcion:LICENCIA OFFICE 2013 Estado: Bueno Placa anterior: 000037551 Material:  Color:  Referencia:  Observacion:  Placa padre:  Tipo adquisicion : Entidad"</f>
        <v>Descripcion:LICENCIA OFFICE 2013 Estado: Bueno Placa anterior: 000037551 Material:  Color:  Referencia:  Observacion:  Placa padre:  Tipo adquisicion : Entidad</v>
      </c>
      <c r="G19615" s="5"/>
    </row>
    <row r="19616" spans="1:7" ht="58.5" customHeight="1" x14ac:dyDescent="0.25">
      <c r="A19616" s="5" t="str">
        <f>"B0004672"</f>
        <v>B0004672</v>
      </c>
      <c r="B19616" s="5" t="str">
        <f t="shared" si="1000"/>
        <v>LICENCIA OFFICE 2013</v>
      </c>
      <c r="C19616" s="6">
        <v>671524</v>
      </c>
      <c r="D19616" s="5" t="s">
        <v>856</v>
      </c>
      <c r="E19616" s="5" t="str">
        <f t="shared" si="999"/>
        <v>SISTEMAS-GLOBALTRONIK SAS-SERGIO PATIÑO</v>
      </c>
      <c r="F19616" s="5" t="str">
        <f>"Descripcion:LICENCIA OFFICE 2013 Estado: Bueno Placa anterior: 000037552 Material:  Color:  Referencia:  Observacion:  Placa padre:  Tipo adquisicion : Entidad"</f>
        <v>Descripcion:LICENCIA OFFICE 2013 Estado: Bueno Placa anterior: 000037552 Material:  Color:  Referencia:  Observacion:  Placa padre:  Tipo adquisicion : Entidad</v>
      </c>
      <c r="G19616" s="5"/>
    </row>
    <row r="19617" spans="1:7" ht="58.5" customHeight="1" x14ac:dyDescent="0.25">
      <c r="A19617" s="5" t="str">
        <f>"B0004673"</f>
        <v>B0004673</v>
      </c>
      <c r="B19617" s="5" t="str">
        <f t="shared" si="1000"/>
        <v>LICENCIA OFFICE 2013</v>
      </c>
      <c r="C19617" s="6">
        <v>671524</v>
      </c>
      <c r="D19617" s="5" t="s">
        <v>856</v>
      </c>
      <c r="E19617" s="5" t="str">
        <f t="shared" si="999"/>
        <v>SISTEMAS-GLOBALTRONIK SAS-SERGIO PATIÑO</v>
      </c>
      <c r="F19617" s="5" t="str">
        <f>"Descripcion:LICENCIA OFFICE 2013 Estado: Bueno Placa anterior: 000037553 Material:  Color:  Referencia:  Observacion:  Placa padre:  Tipo adquisicion : Entidad"</f>
        <v>Descripcion:LICENCIA OFFICE 2013 Estado: Bueno Placa anterior: 000037553 Material:  Color:  Referencia:  Observacion:  Placa padre:  Tipo adquisicion : Entidad</v>
      </c>
      <c r="G19617" s="5"/>
    </row>
    <row r="19618" spans="1:7" ht="58.5" customHeight="1" x14ac:dyDescent="0.25">
      <c r="A19618" s="5" t="str">
        <f>"B0004674"</f>
        <v>B0004674</v>
      </c>
      <c r="B19618" s="5" t="str">
        <f t="shared" si="1000"/>
        <v>LICENCIA OFFICE 2013</v>
      </c>
      <c r="C19618" s="6">
        <v>671524</v>
      </c>
      <c r="D19618" s="5" t="s">
        <v>856</v>
      </c>
      <c r="E19618" s="5" t="str">
        <f t="shared" si="999"/>
        <v>SISTEMAS-GLOBALTRONIK SAS-SERGIO PATIÑO</v>
      </c>
      <c r="F19618" s="5" t="str">
        <f>"Descripcion:LICENCIA OFFICE 2013 Estado: Bueno Placa anterior: 000037554 Material:  Color:  Referencia:  Observacion:  Placa padre:  Tipo adquisicion : Entidad"</f>
        <v>Descripcion:LICENCIA OFFICE 2013 Estado: Bueno Placa anterior: 000037554 Material:  Color:  Referencia:  Observacion:  Placa padre:  Tipo adquisicion : Entidad</v>
      </c>
      <c r="G19618" s="5"/>
    </row>
    <row r="19619" spans="1:7" ht="58.5" customHeight="1" x14ac:dyDescent="0.25">
      <c r="A19619" s="5" t="str">
        <f>"B0004675"</f>
        <v>B0004675</v>
      </c>
      <c r="B19619" s="5" t="str">
        <f t="shared" ref="B19619:B19642" si="1001">"LICENCIA OFFICE 2013"</f>
        <v>LICENCIA OFFICE 2013</v>
      </c>
      <c r="C19619" s="6">
        <v>671524</v>
      </c>
      <c r="D19619" s="5" t="s">
        <v>856</v>
      </c>
      <c r="E19619" s="5" t="str">
        <f t="shared" si="999"/>
        <v>SISTEMAS-GLOBALTRONIK SAS-SERGIO PATIÑO</v>
      </c>
      <c r="F19619" s="5" t="str">
        <f>"Descripcion:LICENCIA OFFICE 2013 Estado: Bueno Placa anterior: 000037555 Material:  Color:  Referencia:  Observacion:  Placa padre:  Tipo adquisicion : Entidad"</f>
        <v>Descripcion:LICENCIA OFFICE 2013 Estado: Bueno Placa anterior: 000037555 Material:  Color:  Referencia:  Observacion:  Placa padre:  Tipo adquisicion : Entidad</v>
      </c>
      <c r="G19619" s="5"/>
    </row>
    <row r="19620" spans="1:7" ht="58.5" customHeight="1" x14ac:dyDescent="0.25">
      <c r="A19620" s="5" t="str">
        <f>"B0004676"</f>
        <v>B0004676</v>
      </c>
      <c r="B19620" s="5" t="str">
        <f t="shared" si="1001"/>
        <v>LICENCIA OFFICE 2013</v>
      </c>
      <c r="C19620" s="6">
        <v>671524</v>
      </c>
      <c r="D19620" s="5" t="s">
        <v>856</v>
      </c>
      <c r="E19620" s="5" t="str">
        <f t="shared" si="999"/>
        <v>SISTEMAS-GLOBALTRONIK SAS-SERGIO PATIÑO</v>
      </c>
      <c r="F19620" s="5" t="str">
        <f>"Descripcion:LICENCIA OFFICE 2013 Estado: Bueno Placa anterior: 000037556 Material:  Color:  Referencia:  Observacion:  Placa padre:  Tipo adquisicion : Entidad"</f>
        <v>Descripcion:LICENCIA OFFICE 2013 Estado: Bueno Placa anterior: 000037556 Material:  Color:  Referencia:  Observacion:  Placa padre:  Tipo adquisicion : Entidad</v>
      </c>
      <c r="G19620" s="5"/>
    </row>
    <row r="19621" spans="1:7" ht="58.5" customHeight="1" x14ac:dyDescent="0.25">
      <c r="A19621" s="5" t="str">
        <f>"B0004677"</f>
        <v>B0004677</v>
      </c>
      <c r="B19621" s="5" t="str">
        <f t="shared" si="1001"/>
        <v>LICENCIA OFFICE 2013</v>
      </c>
      <c r="C19621" s="6">
        <v>671524</v>
      </c>
      <c r="D19621" s="5" t="s">
        <v>856</v>
      </c>
      <c r="E19621" s="5" t="str">
        <f t="shared" si="999"/>
        <v>SISTEMAS-GLOBALTRONIK SAS-SERGIO PATIÑO</v>
      </c>
      <c r="F19621" s="5" t="str">
        <f>"Descripcion:LICENCIA OFFICE 2013 Estado: Bueno Placa anterior: 000037557 Material:  Color:  Referencia:  Observacion:  Placa padre:  Tipo adquisicion : Entidad"</f>
        <v>Descripcion:LICENCIA OFFICE 2013 Estado: Bueno Placa anterior: 000037557 Material:  Color:  Referencia:  Observacion:  Placa padre:  Tipo adquisicion : Entidad</v>
      </c>
      <c r="G19621" s="5"/>
    </row>
    <row r="19622" spans="1:7" ht="58.5" customHeight="1" x14ac:dyDescent="0.25">
      <c r="A19622" s="5" t="str">
        <f>"B0004678"</f>
        <v>B0004678</v>
      </c>
      <c r="B19622" s="5" t="str">
        <f t="shared" si="1001"/>
        <v>LICENCIA OFFICE 2013</v>
      </c>
      <c r="C19622" s="6">
        <v>671524</v>
      </c>
      <c r="D19622" s="5" t="s">
        <v>856</v>
      </c>
      <c r="E19622" s="5" t="str">
        <f t="shared" si="999"/>
        <v>SISTEMAS-GLOBALTRONIK SAS-SERGIO PATIÑO</v>
      </c>
      <c r="F19622" s="5" t="str">
        <f>"Descripcion:LICENCIA OFFICE 2013 Estado: Bueno Placa anterior: 000037558 Material:  Color:  Referencia:  Observacion:  Placa padre:  Tipo adquisicion : Entidad"</f>
        <v>Descripcion:LICENCIA OFFICE 2013 Estado: Bueno Placa anterior: 000037558 Material:  Color:  Referencia:  Observacion:  Placa padre:  Tipo adquisicion : Entidad</v>
      </c>
      <c r="G19622" s="5"/>
    </row>
    <row r="19623" spans="1:7" ht="58.5" customHeight="1" x14ac:dyDescent="0.25">
      <c r="A19623" s="5" t="str">
        <f>"B0004679"</f>
        <v>B0004679</v>
      </c>
      <c r="B19623" s="5" t="str">
        <f t="shared" si="1001"/>
        <v>LICENCIA OFFICE 2013</v>
      </c>
      <c r="C19623" s="6">
        <v>671524</v>
      </c>
      <c r="D19623" s="5" t="s">
        <v>856</v>
      </c>
      <c r="E19623" s="5" t="str">
        <f t="shared" si="999"/>
        <v>SISTEMAS-GLOBALTRONIK SAS-SERGIO PATIÑO</v>
      </c>
      <c r="F19623" s="5" t="str">
        <f>"Descripcion:LICENCIA OFFICE 2013 Estado: Bueno Placa anterior: 000037559 Material:  Color:  Referencia:  Observacion:  Placa padre:  Tipo adquisicion : Entidad"</f>
        <v>Descripcion:LICENCIA OFFICE 2013 Estado: Bueno Placa anterior: 000037559 Material:  Color:  Referencia:  Observacion:  Placa padre:  Tipo adquisicion : Entidad</v>
      </c>
      <c r="G19623" s="5"/>
    </row>
    <row r="19624" spans="1:7" ht="58.5" customHeight="1" x14ac:dyDescent="0.25">
      <c r="A19624" s="5" t="str">
        <f>"B0004680"</f>
        <v>B0004680</v>
      </c>
      <c r="B19624" s="5" t="str">
        <f t="shared" si="1001"/>
        <v>LICENCIA OFFICE 2013</v>
      </c>
      <c r="C19624" s="6">
        <v>671524</v>
      </c>
      <c r="D19624" s="5" t="s">
        <v>856</v>
      </c>
      <c r="E19624" s="5" t="str">
        <f t="shared" si="999"/>
        <v>SISTEMAS-GLOBALTRONIK SAS-SERGIO PATIÑO</v>
      </c>
      <c r="F19624" s="5" t="str">
        <f>"Descripcion:LICENCIA OFFICE 2013 Estado: Bueno Placa anterior: 000037560 Material:  Color:  Referencia:  Observacion:  Placa padre:  Tipo adquisicion : Entidad"</f>
        <v>Descripcion:LICENCIA OFFICE 2013 Estado: Bueno Placa anterior: 000037560 Material:  Color:  Referencia:  Observacion:  Placa padre:  Tipo adquisicion : Entidad</v>
      </c>
      <c r="G19624" s="5"/>
    </row>
    <row r="19625" spans="1:7" ht="58.5" customHeight="1" x14ac:dyDescent="0.25">
      <c r="A19625" s="5" t="str">
        <f>"B0004681"</f>
        <v>B0004681</v>
      </c>
      <c r="B19625" s="5" t="str">
        <f t="shared" si="1001"/>
        <v>LICENCIA OFFICE 2013</v>
      </c>
      <c r="C19625" s="6">
        <v>671524</v>
      </c>
      <c r="D19625" s="5" t="s">
        <v>856</v>
      </c>
      <c r="E19625" s="5" t="str">
        <f t="shared" si="999"/>
        <v>SISTEMAS-GLOBALTRONIK SAS-SERGIO PATIÑO</v>
      </c>
      <c r="F19625" s="5" t="str">
        <f>"Descripcion:LICENCIA OFFICE 2013 Estado: Bueno Placa anterior: 000037561 Material:  Color:  Referencia:  Observacion:  Placa padre:  Tipo adquisicion : Entidad"</f>
        <v>Descripcion:LICENCIA OFFICE 2013 Estado: Bueno Placa anterior: 000037561 Material:  Color:  Referencia:  Observacion:  Placa padre:  Tipo adquisicion : Entidad</v>
      </c>
      <c r="G19625" s="5"/>
    </row>
    <row r="19626" spans="1:7" ht="58.5" customHeight="1" x14ac:dyDescent="0.25">
      <c r="A19626" s="5" t="str">
        <f>"B0004682"</f>
        <v>B0004682</v>
      </c>
      <c r="B19626" s="5" t="str">
        <f t="shared" si="1001"/>
        <v>LICENCIA OFFICE 2013</v>
      </c>
      <c r="C19626" s="6">
        <v>671524</v>
      </c>
      <c r="D19626" s="5" t="s">
        <v>856</v>
      </c>
      <c r="E19626" s="5" t="str">
        <f t="shared" si="999"/>
        <v>SISTEMAS-GLOBALTRONIK SAS-SERGIO PATIÑO</v>
      </c>
      <c r="F19626" s="5" t="str">
        <f>"Descripcion:LICENCIA OFFICE 2013 Estado: Bueno Placa anterior: 000037562 Material:  Color:  Referencia:  Observacion:  Placa padre:  Tipo adquisicion : Entidad"</f>
        <v>Descripcion:LICENCIA OFFICE 2013 Estado: Bueno Placa anterior: 000037562 Material:  Color:  Referencia:  Observacion:  Placa padre:  Tipo adquisicion : Entidad</v>
      </c>
      <c r="G19626" s="5"/>
    </row>
    <row r="19627" spans="1:7" ht="58.5" customHeight="1" x14ac:dyDescent="0.25">
      <c r="A19627" s="5" t="str">
        <f>"B0004683"</f>
        <v>B0004683</v>
      </c>
      <c r="B19627" s="5" t="str">
        <f t="shared" si="1001"/>
        <v>LICENCIA OFFICE 2013</v>
      </c>
      <c r="C19627" s="6">
        <v>671524</v>
      </c>
      <c r="D19627" s="5" t="s">
        <v>856</v>
      </c>
      <c r="E19627" s="5" t="str">
        <f t="shared" si="999"/>
        <v>SISTEMAS-GLOBALTRONIK SAS-SERGIO PATIÑO</v>
      </c>
      <c r="F19627" s="5" t="str">
        <f>"Descripcion:LICENCIA OFFICE 2013 Estado: Bueno Placa anterior: 000037563 Material:  Color:  Referencia:  Observacion:  Placa padre:  Tipo adquisicion : Entidad"</f>
        <v>Descripcion:LICENCIA OFFICE 2013 Estado: Bueno Placa anterior: 000037563 Material:  Color:  Referencia:  Observacion:  Placa padre:  Tipo adquisicion : Entidad</v>
      </c>
      <c r="G19627" s="5"/>
    </row>
    <row r="19628" spans="1:7" ht="58.5" customHeight="1" x14ac:dyDescent="0.25">
      <c r="A19628" s="5" t="str">
        <f>"B0004684"</f>
        <v>B0004684</v>
      </c>
      <c r="B19628" s="5" t="str">
        <f t="shared" si="1001"/>
        <v>LICENCIA OFFICE 2013</v>
      </c>
      <c r="C19628" s="6">
        <v>671524</v>
      </c>
      <c r="D19628" s="5" t="s">
        <v>856</v>
      </c>
      <c r="E19628" s="5" t="str">
        <f t="shared" si="999"/>
        <v>SISTEMAS-GLOBALTRONIK SAS-SERGIO PATIÑO</v>
      </c>
      <c r="F19628" s="5" t="str">
        <f>"Descripcion:LICENCIA OFFICE 2013 Estado: Bueno Placa anterior: 000037564 Material:  Color:  Referencia:  Observacion:  Placa padre:  Tipo adquisicion : Entidad"</f>
        <v>Descripcion:LICENCIA OFFICE 2013 Estado: Bueno Placa anterior: 000037564 Material:  Color:  Referencia:  Observacion:  Placa padre:  Tipo adquisicion : Entidad</v>
      </c>
      <c r="G19628" s="5"/>
    </row>
    <row r="19629" spans="1:7" ht="58.5" customHeight="1" x14ac:dyDescent="0.25">
      <c r="A19629" s="5" t="str">
        <f>"B0004685"</f>
        <v>B0004685</v>
      </c>
      <c r="B19629" s="5" t="str">
        <f t="shared" si="1001"/>
        <v>LICENCIA OFFICE 2013</v>
      </c>
      <c r="C19629" s="6">
        <v>671524</v>
      </c>
      <c r="D19629" s="5" t="s">
        <v>856</v>
      </c>
      <c r="E19629" s="5" t="str">
        <f t="shared" si="999"/>
        <v>SISTEMAS-GLOBALTRONIK SAS-SERGIO PATIÑO</v>
      </c>
      <c r="F19629" s="5" t="str">
        <f>"Descripcion:LICENCIA OFFICE 2013 Estado: Bueno Placa anterior: 000037565 Material:  Color:  Referencia:  Observacion:  Placa padre:  Tipo adquisicion : Entidad"</f>
        <v>Descripcion:LICENCIA OFFICE 2013 Estado: Bueno Placa anterior: 000037565 Material:  Color:  Referencia:  Observacion:  Placa padre:  Tipo adquisicion : Entidad</v>
      </c>
      <c r="G19629" s="5"/>
    </row>
    <row r="19630" spans="1:7" ht="58.5" customHeight="1" x14ac:dyDescent="0.25">
      <c r="A19630" s="5" t="str">
        <f>"B0004686"</f>
        <v>B0004686</v>
      </c>
      <c r="B19630" s="5" t="str">
        <f t="shared" si="1001"/>
        <v>LICENCIA OFFICE 2013</v>
      </c>
      <c r="C19630" s="6">
        <v>671524</v>
      </c>
      <c r="D19630" s="5" t="s">
        <v>856</v>
      </c>
      <c r="E19630" s="5" t="str">
        <f t="shared" si="999"/>
        <v>SISTEMAS-GLOBALTRONIK SAS-SERGIO PATIÑO</v>
      </c>
      <c r="F19630" s="5" t="str">
        <f>"Descripcion:LICENCIA OFFICE 2013 Estado: Bueno Placa anterior: 000037566 Material:  Color:  Referencia:  Observacion:  Placa padre:  Tipo adquisicion : Entidad"</f>
        <v>Descripcion:LICENCIA OFFICE 2013 Estado: Bueno Placa anterior: 000037566 Material:  Color:  Referencia:  Observacion:  Placa padre:  Tipo adquisicion : Entidad</v>
      </c>
      <c r="G19630" s="5"/>
    </row>
    <row r="19631" spans="1:7" ht="58.5" customHeight="1" x14ac:dyDescent="0.25">
      <c r="A19631" s="5" t="str">
        <f>"B0004687"</f>
        <v>B0004687</v>
      </c>
      <c r="B19631" s="5" t="str">
        <f t="shared" si="1001"/>
        <v>LICENCIA OFFICE 2013</v>
      </c>
      <c r="C19631" s="6">
        <v>671524</v>
      </c>
      <c r="D19631" s="5" t="s">
        <v>856</v>
      </c>
      <c r="E19631" s="5" t="str">
        <f t="shared" si="999"/>
        <v>SISTEMAS-GLOBALTRONIK SAS-SERGIO PATIÑO</v>
      </c>
      <c r="F19631" s="5" t="str">
        <f>"Descripcion:LICENCIA OFFICE 2013 Estado: Bueno Placa anterior: 000037567 Material:  Color:  Referencia:  Observacion:  Placa padre:  Tipo adquisicion : Entidad"</f>
        <v>Descripcion:LICENCIA OFFICE 2013 Estado: Bueno Placa anterior: 000037567 Material:  Color:  Referencia:  Observacion:  Placa padre:  Tipo adquisicion : Entidad</v>
      </c>
      <c r="G19631" s="5"/>
    </row>
    <row r="19632" spans="1:7" ht="58.5" customHeight="1" x14ac:dyDescent="0.25">
      <c r="A19632" s="5" t="str">
        <f>"B0004688"</f>
        <v>B0004688</v>
      </c>
      <c r="B19632" s="5" t="str">
        <f t="shared" si="1001"/>
        <v>LICENCIA OFFICE 2013</v>
      </c>
      <c r="C19632" s="6">
        <v>671524</v>
      </c>
      <c r="D19632" s="5" t="s">
        <v>856</v>
      </c>
      <c r="E19632" s="5" t="str">
        <f t="shared" si="999"/>
        <v>SISTEMAS-GLOBALTRONIK SAS-SERGIO PATIÑO</v>
      </c>
      <c r="F19632" s="5" t="str">
        <f>"Descripcion:LICENCIA OFFICE 2013 Estado: Bueno Placa anterior: 000037568 Material:  Color:  Referencia:  Observacion:  Placa padre:  Tipo adquisicion : Entidad"</f>
        <v>Descripcion:LICENCIA OFFICE 2013 Estado: Bueno Placa anterior: 000037568 Material:  Color:  Referencia:  Observacion:  Placa padre:  Tipo adquisicion : Entidad</v>
      </c>
      <c r="G19632" s="5"/>
    </row>
    <row r="19633" spans="1:7" ht="58.5" customHeight="1" x14ac:dyDescent="0.25">
      <c r="A19633" s="5" t="str">
        <f>"B0004689"</f>
        <v>B0004689</v>
      </c>
      <c r="B19633" s="5" t="str">
        <f t="shared" si="1001"/>
        <v>LICENCIA OFFICE 2013</v>
      </c>
      <c r="C19633" s="6">
        <v>671524</v>
      </c>
      <c r="D19633" s="5" t="s">
        <v>856</v>
      </c>
      <c r="E19633" s="5" t="str">
        <f t="shared" si="999"/>
        <v>SISTEMAS-GLOBALTRONIK SAS-SERGIO PATIÑO</v>
      </c>
      <c r="F19633" s="5" t="str">
        <f>"Descripcion:LICENCIA OFFICE 2013 Estado: Bueno Placa anterior: 000037569 Material:  Color:  Referencia:  Observacion:  Placa padre:  Tipo adquisicion : Entidad"</f>
        <v>Descripcion:LICENCIA OFFICE 2013 Estado: Bueno Placa anterior: 000037569 Material:  Color:  Referencia:  Observacion:  Placa padre:  Tipo adquisicion : Entidad</v>
      </c>
      <c r="G19633" s="5"/>
    </row>
    <row r="19634" spans="1:7" ht="58.5" customHeight="1" x14ac:dyDescent="0.25">
      <c r="A19634" s="5" t="str">
        <f>"B0004690"</f>
        <v>B0004690</v>
      </c>
      <c r="B19634" s="5" t="str">
        <f t="shared" si="1001"/>
        <v>LICENCIA OFFICE 2013</v>
      </c>
      <c r="C19634" s="6">
        <v>671524</v>
      </c>
      <c r="D19634" s="5" t="s">
        <v>856</v>
      </c>
      <c r="E19634" s="5" t="str">
        <f t="shared" si="999"/>
        <v>SISTEMAS-GLOBALTRONIK SAS-SERGIO PATIÑO</v>
      </c>
      <c r="F19634" s="5" t="str">
        <f>"Descripcion:LICENCIA OFFICE 2013 Estado: Bueno Placa anterior: 000037570 Material:  Color:  Referencia:  Observacion:  Placa padre:  Tipo adquisicion : Entidad"</f>
        <v>Descripcion:LICENCIA OFFICE 2013 Estado: Bueno Placa anterior: 000037570 Material:  Color:  Referencia:  Observacion:  Placa padre:  Tipo adquisicion : Entidad</v>
      </c>
      <c r="G19634" s="5"/>
    </row>
    <row r="19635" spans="1:7" ht="58.5" customHeight="1" x14ac:dyDescent="0.25">
      <c r="A19635" s="5" t="str">
        <f>"B0004691"</f>
        <v>B0004691</v>
      </c>
      <c r="B19635" s="5" t="str">
        <f t="shared" si="1001"/>
        <v>LICENCIA OFFICE 2013</v>
      </c>
      <c r="C19635" s="6">
        <v>671524</v>
      </c>
      <c r="D19635" s="5" t="s">
        <v>856</v>
      </c>
      <c r="E19635" s="5" t="str">
        <f t="shared" si="999"/>
        <v>SISTEMAS-GLOBALTRONIK SAS-SERGIO PATIÑO</v>
      </c>
      <c r="F19635" s="5" t="str">
        <f>"Descripcion:LICENCIA OFFICE 2013 Estado: Bueno Placa anterior: 000037571 Material:  Color:  Referencia:  Observacion:  Placa padre:  Tipo adquisicion : Entidad"</f>
        <v>Descripcion:LICENCIA OFFICE 2013 Estado: Bueno Placa anterior: 000037571 Material:  Color:  Referencia:  Observacion:  Placa padre:  Tipo adquisicion : Entidad</v>
      </c>
      <c r="G19635" s="5"/>
    </row>
    <row r="19636" spans="1:7" ht="58.5" customHeight="1" x14ac:dyDescent="0.25">
      <c r="A19636" s="5" t="str">
        <f>"B0004692"</f>
        <v>B0004692</v>
      </c>
      <c r="B19636" s="5" t="str">
        <f t="shared" si="1001"/>
        <v>LICENCIA OFFICE 2013</v>
      </c>
      <c r="C19636" s="6">
        <v>671524</v>
      </c>
      <c r="D19636" s="5" t="s">
        <v>856</v>
      </c>
      <c r="E19636" s="5" t="str">
        <f t="shared" si="999"/>
        <v>SISTEMAS-GLOBALTRONIK SAS-SERGIO PATIÑO</v>
      </c>
      <c r="F19636" s="5" t="str">
        <f>"Descripcion:LICENCIA OFFICE 2013 Estado: Bueno Placa anterior: 000037572 Material:  Color:  Referencia:  Observacion:  Placa padre:  Tipo adquisicion : Entidad"</f>
        <v>Descripcion:LICENCIA OFFICE 2013 Estado: Bueno Placa anterior: 000037572 Material:  Color:  Referencia:  Observacion:  Placa padre:  Tipo adquisicion : Entidad</v>
      </c>
      <c r="G19636" s="5"/>
    </row>
    <row r="19637" spans="1:7" ht="58.5" customHeight="1" x14ac:dyDescent="0.25">
      <c r="A19637" s="5" t="str">
        <f>"B0004693"</f>
        <v>B0004693</v>
      </c>
      <c r="B19637" s="5" t="str">
        <f t="shared" si="1001"/>
        <v>LICENCIA OFFICE 2013</v>
      </c>
      <c r="C19637" s="6">
        <v>671524</v>
      </c>
      <c r="D19637" s="5" t="s">
        <v>856</v>
      </c>
      <c r="E19637" s="5" t="str">
        <f t="shared" si="999"/>
        <v>SISTEMAS-GLOBALTRONIK SAS-SERGIO PATIÑO</v>
      </c>
      <c r="F19637" s="5" t="str">
        <f>"Descripcion:LICENCIA OFFICE 2013 Estado: Bueno Placa anterior: 000037573 Material:  Color:  Referencia:  Observacion:  Placa padre:  Tipo adquisicion : Entidad"</f>
        <v>Descripcion:LICENCIA OFFICE 2013 Estado: Bueno Placa anterior: 000037573 Material:  Color:  Referencia:  Observacion:  Placa padre:  Tipo adquisicion : Entidad</v>
      </c>
      <c r="G19637" s="5"/>
    </row>
    <row r="19638" spans="1:7" ht="58.5" customHeight="1" x14ac:dyDescent="0.25">
      <c r="A19638" s="5" t="str">
        <f>"B0004694"</f>
        <v>B0004694</v>
      </c>
      <c r="B19638" s="5" t="str">
        <f t="shared" si="1001"/>
        <v>LICENCIA OFFICE 2013</v>
      </c>
      <c r="C19638" s="6">
        <v>671524</v>
      </c>
      <c r="D19638" s="5" t="s">
        <v>856</v>
      </c>
      <c r="E19638" s="5" t="str">
        <f t="shared" si="999"/>
        <v>SISTEMAS-GLOBALTRONIK SAS-SERGIO PATIÑO</v>
      </c>
      <c r="F19638" s="5" t="str">
        <f>"Descripcion:LICENCIA OFFICE 2013 Estado: Bueno Placa anterior: 000037574 Material:  Color:  Referencia:  Observacion:  Placa padre:  Tipo adquisicion : Entidad"</f>
        <v>Descripcion:LICENCIA OFFICE 2013 Estado: Bueno Placa anterior: 000037574 Material:  Color:  Referencia:  Observacion:  Placa padre:  Tipo adquisicion : Entidad</v>
      </c>
      <c r="G19638" s="5"/>
    </row>
    <row r="19639" spans="1:7" ht="58.5" customHeight="1" x14ac:dyDescent="0.25">
      <c r="A19639" s="5" t="str">
        <f>"B0004695"</f>
        <v>B0004695</v>
      </c>
      <c r="B19639" s="5" t="str">
        <f t="shared" si="1001"/>
        <v>LICENCIA OFFICE 2013</v>
      </c>
      <c r="C19639" s="6">
        <v>671524</v>
      </c>
      <c r="D19639" s="5" t="s">
        <v>856</v>
      </c>
      <c r="E19639" s="5" t="str">
        <f t="shared" si="999"/>
        <v>SISTEMAS-GLOBALTRONIK SAS-SERGIO PATIÑO</v>
      </c>
      <c r="F19639" s="5" t="str">
        <f>"Descripcion:LICENCIA OFFICE 2013 Estado: Bueno Placa anterior: 000037575 Material:  Color:  Referencia:  Observacion:  Placa padre:  Tipo adquisicion : Entidad"</f>
        <v>Descripcion:LICENCIA OFFICE 2013 Estado: Bueno Placa anterior: 000037575 Material:  Color:  Referencia:  Observacion:  Placa padre:  Tipo adquisicion : Entidad</v>
      </c>
      <c r="G19639" s="5"/>
    </row>
    <row r="19640" spans="1:7" ht="58.5" customHeight="1" x14ac:dyDescent="0.25">
      <c r="A19640" s="5" t="str">
        <f>"B0004696"</f>
        <v>B0004696</v>
      </c>
      <c r="B19640" s="5" t="str">
        <f t="shared" si="1001"/>
        <v>LICENCIA OFFICE 2013</v>
      </c>
      <c r="C19640" s="6">
        <v>671524</v>
      </c>
      <c r="D19640" s="5" t="s">
        <v>856</v>
      </c>
      <c r="E19640" s="5" t="str">
        <f t="shared" si="999"/>
        <v>SISTEMAS-GLOBALTRONIK SAS-SERGIO PATIÑO</v>
      </c>
      <c r="F19640" s="5" t="str">
        <f>"Descripcion:LICENCIA OFFICE 2013 Estado: Bueno Placa anterior: 000037576 Material:  Color:  Referencia:  Observacion:  Placa padre:  Tipo adquisicion : Entidad"</f>
        <v>Descripcion:LICENCIA OFFICE 2013 Estado: Bueno Placa anterior: 000037576 Material:  Color:  Referencia:  Observacion:  Placa padre:  Tipo adquisicion : Entidad</v>
      </c>
      <c r="G19640" s="5"/>
    </row>
    <row r="19641" spans="1:7" ht="58.5" customHeight="1" x14ac:dyDescent="0.25">
      <c r="A19641" s="5" t="str">
        <f>"B0004697"</f>
        <v>B0004697</v>
      </c>
      <c r="B19641" s="5" t="str">
        <f t="shared" si="1001"/>
        <v>LICENCIA OFFICE 2013</v>
      </c>
      <c r="C19641" s="6">
        <v>671524</v>
      </c>
      <c r="D19641" s="5" t="s">
        <v>856</v>
      </c>
      <c r="E19641" s="5" t="str">
        <f t="shared" si="999"/>
        <v>SISTEMAS-GLOBALTRONIK SAS-SERGIO PATIÑO</v>
      </c>
      <c r="F19641" s="5" t="str">
        <f>"Descripcion:LICENCIA OFFICE 2013 Estado: Bueno Placa anterior: 000037577 Material:  Color:  Referencia:  Observacion:  Placa padre:  Tipo adquisicion : Entidad"</f>
        <v>Descripcion:LICENCIA OFFICE 2013 Estado: Bueno Placa anterior: 000037577 Material:  Color:  Referencia:  Observacion:  Placa padre:  Tipo adquisicion : Entidad</v>
      </c>
      <c r="G19641" s="5"/>
    </row>
    <row r="19642" spans="1:7" ht="58.5" customHeight="1" x14ac:dyDescent="0.25">
      <c r="A19642" s="5" t="str">
        <f>"B0004698"</f>
        <v>B0004698</v>
      </c>
      <c r="B19642" s="5" t="str">
        <f t="shared" si="1001"/>
        <v>LICENCIA OFFICE 2013</v>
      </c>
      <c r="C19642" s="6">
        <v>671524</v>
      </c>
      <c r="D19642" s="5" t="s">
        <v>856</v>
      </c>
      <c r="E19642" s="5" t="str">
        <f t="shared" si="999"/>
        <v>SISTEMAS-GLOBALTRONIK SAS-SERGIO PATIÑO</v>
      </c>
      <c r="F19642" s="5" t="str">
        <f>"Descripcion:LICENCIA OFFICE 2013 Estado: Bueno Placa anterior: 000037578 Material:  Color:  Referencia:  Observacion:  Placa padre:  Tipo adquisicion : Entidad"</f>
        <v>Descripcion:LICENCIA OFFICE 2013 Estado: Bueno Placa anterior: 000037578 Material:  Color:  Referencia:  Observacion:  Placa padre:  Tipo adquisicion : Entidad</v>
      </c>
      <c r="G19642" s="5"/>
    </row>
    <row r="19643" spans="1:7" ht="58.5" customHeight="1" x14ac:dyDescent="0.25">
      <c r="A19643" s="5" t="str">
        <f>"B0004700"</f>
        <v>B0004700</v>
      </c>
      <c r="B19643" s="5" t="str">
        <f>"LICENCIA VISUAL FOX PRO"</f>
        <v>LICENCIA VISUAL FOX PRO</v>
      </c>
      <c r="C19643" s="6">
        <v>1863825</v>
      </c>
      <c r="D19643" s="5"/>
      <c r="E19643" s="5" t="str">
        <f t="shared" si="999"/>
        <v>SISTEMAS-GLOBALTRONIK SAS-SERGIO PATIÑO</v>
      </c>
      <c r="F19643" s="5" t="str">
        <f>"Descripcion:LICENCIA VISUAL FOX PRO VERSION 7.0 Estado: Bueno Placa anterior: 000021774 Material:  Color:  Referencia:  Observacion:  Placa padre:  Tipo adquisicion : Entidad"</f>
        <v>Descripcion:LICENCIA VISUAL FOX PRO VERSION 7.0 Estado: Bueno Placa anterior: 000021774 Material:  Color:  Referencia:  Observacion:  Placa padre:  Tipo adquisicion : Entidad</v>
      </c>
      <c r="G19643" s="5"/>
    </row>
    <row r="19644" spans="1:7" ht="58.5" customHeight="1" x14ac:dyDescent="0.25">
      <c r="A19644" s="5" t="str">
        <f>"B0004701"</f>
        <v>B0004701</v>
      </c>
      <c r="B19644" s="5" t="str">
        <f>"LICENCIA VISUAL FOX PRO"</f>
        <v>LICENCIA VISUAL FOX PRO</v>
      </c>
      <c r="C19644" s="6">
        <v>1863825</v>
      </c>
      <c r="D19644" s="5"/>
      <c r="E19644" s="5" t="str">
        <f t="shared" si="999"/>
        <v>SISTEMAS-GLOBALTRONIK SAS-SERGIO PATIÑO</v>
      </c>
      <c r="F19644" s="5" t="str">
        <f>"Descripcion:LICENCIA VISUAL FOX PRO VERSION 7.0 Estado: Bueno Placa anterior: 000021775 Material:  Color:  Referencia:  Observacion:  Placa padre:  Tipo adquisicion : Entidad"</f>
        <v>Descripcion:LICENCIA VISUAL FOX PRO VERSION 7.0 Estado: Bueno Placa anterior: 000021775 Material:  Color:  Referencia:  Observacion:  Placa padre:  Tipo adquisicion : Entidad</v>
      </c>
      <c r="G19644" s="5"/>
    </row>
    <row r="19645" spans="1:7" ht="58.5" customHeight="1" x14ac:dyDescent="0.25">
      <c r="A19645" s="5" t="str">
        <f>"B0004702"</f>
        <v>B0004702</v>
      </c>
      <c r="B19645" s="5" t="str">
        <f t="shared" ref="B19645:B19708" si="1002">"WINDOWS 8 PROFESIONAL"</f>
        <v>WINDOWS 8 PROFESIONAL</v>
      </c>
      <c r="C19645" s="6">
        <v>337247</v>
      </c>
      <c r="D19645" s="5" t="s">
        <v>856</v>
      </c>
      <c r="E19645" s="5" t="str">
        <f t="shared" ref="E19645:E19708" si="1003">"SISTEMAS-GLOBALTRONIK SAS-SERGIO PATIÑO"</f>
        <v>SISTEMAS-GLOBALTRONIK SAS-SERGIO PATIÑO</v>
      </c>
      <c r="F19645" s="5" t="str">
        <f>"Descripcion:LICENCIA WINDWS 8.1 Estado: Bueno Placa anterior: 000037301 Material:  Color:  Referencia:  Observacion:  Placa padre:  Tipo adquisicion : Entidad"</f>
        <v>Descripcion:LICENCIA WINDWS 8.1 Estado: Bueno Placa anterior: 000037301 Material:  Color:  Referencia:  Observacion:  Placa padre:  Tipo adquisicion : Entidad</v>
      </c>
      <c r="G19645" s="5"/>
    </row>
    <row r="19646" spans="1:7" ht="58.5" customHeight="1" x14ac:dyDescent="0.25">
      <c r="A19646" s="5" t="str">
        <f>"B0004703"</f>
        <v>B0004703</v>
      </c>
      <c r="B19646" s="5" t="str">
        <f t="shared" si="1002"/>
        <v>WINDOWS 8 PROFESIONAL</v>
      </c>
      <c r="C19646" s="6">
        <v>337247</v>
      </c>
      <c r="D19646" s="5" t="s">
        <v>856</v>
      </c>
      <c r="E19646" s="5" t="str">
        <f t="shared" si="1003"/>
        <v>SISTEMAS-GLOBALTRONIK SAS-SERGIO PATIÑO</v>
      </c>
      <c r="F19646" s="5" t="str">
        <f>"Descripcion:LICENCIA WINDWS 8.1 Estado: Bueno Placa anterior: 000037302 Material:  Color:  Referencia:  Observacion:  Placa padre:  Tipo adquisicion : Entidad"</f>
        <v>Descripcion:LICENCIA WINDWS 8.1 Estado: Bueno Placa anterior: 000037302 Material:  Color:  Referencia:  Observacion:  Placa padre:  Tipo adquisicion : Entidad</v>
      </c>
      <c r="G19646" s="5"/>
    </row>
    <row r="19647" spans="1:7" ht="58.5" customHeight="1" x14ac:dyDescent="0.25">
      <c r="A19647" s="5" t="str">
        <f>"B0004704"</f>
        <v>B0004704</v>
      </c>
      <c r="B19647" s="5" t="str">
        <f t="shared" si="1002"/>
        <v>WINDOWS 8 PROFESIONAL</v>
      </c>
      <c r="C19647" s="6">
        <v>337247</v>
      </c>
      <c r="D19647" s="5" t="s">
        <v>856</v>
      </c>
      <c r="E19647" s="5" t="str">
        <f t="shared" si="1003"/>
        <v>SISTEMAS-GLOBALTRONIK SAS-SERGIO PATIÑO</v>
      </c>
      <c r="F19647" s="5" t="str">
        <f>"Descripcion:LICENCIA WINDWS 8.1 Estado: Bueno Placa anterior: 000037303 Material:  Color:  Referencia:  Observacion:  Placa padre:  Tipo adquisicion : Entidad"</f>
        <v>Descripcion:LICENCIA WINDWS 8.1 Estado: Bueno Placa anterior: 000037303 Material:  Color:  Referencia:  Observacion:  Placa padre:  Tipo adquisicion : Entidad</v>
      </c>
      <c r="G19647" s="5"/>
    </row>
    <row r="19648" spans="1:7" ht="58.5" customHeight="1" x14ac:dyDescent="0.25">
      <c r="A19648" s="5" t="str">
        <f>"B0004705"</f>
        <v>B0004705</v>
      </c>
      <c r="B19648" s="5" t="str">
        <f t="shared" si="1002"/>
        <v>WINDOWS 8 PROFESIONAL</v>
      </c>
      <c r="C19648" s="6">
        <v>337247</v>
      </c>
      <c r="D19648" s="5" t="s">
        <v>856</v>
      </c>
      <c r="E19648" s="5" t="str">
        <f t="shared" si="1003"/>
        <v>SISTEMAS-GLOBALTRONIK SAS-SERGIO PATIÑO</v>
      </c>
      <c r="F19648" s="5" t="str">
        <f>"Descripcion:LICENCIA WINDWS 8.1 Estado: Bueno Placa anterior: 000037304 Material:  Color:  Referencia:  Observacion:  Placa padre:  Tipo adquisicion : Entidad"</f>
        <v>Descripcion:LICENCIA WINDWS 8.1 Estado: Bueno Placa anterior: 000037304 Material:  Color:  Referencia:  Observacion:  Placa padre:  Tipo adquisicion : Entidad</v>
      </c>
      <c r="G19648" s="5"/>
    </row>
    <row r="19649" spans="1:7" ht="58.5" customHeight="1" x14ac:dyDescent="0.25">
      <c r="A19649" s="5" t="str">
        <f>"B0004706"</f>
        <v>B0004706</v>
      </c>
      <c r="B19649" s="5" t="str">
        <f t="shared" si="1002"/>
        <v>WINDOWS 8 PROFESIONAL</v>
      </c>
      <c r="C19649" s="6">
        <v>337247</v>
      </c>
      <c r="D19649" s="5" t="s">
        <v>856</v>
      </c>
      <c r="E19649" s="5" t="str">
        <f t="shared" si="1003"/>
        <v>SISTEMAS-GLOBALTRONIK SAS-SERGIO PATIÑO</v>
      </c>
      <c r="F19649" s="5" t="str">
        <f>"Descripcion:LICENCIA WINDWS 8.1 Estado: Bueno Placa anterior: 000037305 Material:  Color:  Referencia:  Observacion:  Placa padre:  Tipo adquisicion : Entidad"</f>
        <v>Descripcion:LICENCIA WINDWS 8.1 Estado: Bueno Placa anterior: 000037305 Material:  Color:  Referencia:  Observacion:  Placa padre:  Tipo adquisicion : Entidad</v>
      </c>
      <c r="G19649" s="5"/>
    </row>
    <row r="19650" spans="1:7" ht="58.5" customHeight="1" x14ac:dyDescent="0.25">
      <c r="A19650" s="5" t="str">
        <f>"B0004707"</f>
        <v>B0004707</v>
      </c>
      <c r="B19650" s="5" t="str">
        <f t="shared" si="1002"/>
        <v>WINDOWS 8 PROFESIONAL</v>
      </c>
      <c r="C19650" s="6">
        <v>337247</v>
      </c>
      <c r="D19650" s="5" t="s">
        <v>856</v>
      </c>
      <c r="E19650" s="5" t="str">
        <f t="shared" si="1003"/>
        <v>SISTEMAS-GLOBALTRONIK SAS-SERGIO PATIÑO</v>
      </c>
      <c r="F19650" s="5" t="str">
        <f>"Descripcion:LICENCIA WINDWS 8.1 Estado: Bueno Placa anterior: 000037306 Material:  Color:  Referencia:  Observacion:  Placa padre:  Tipo adquisicion : Entidad"</f>
        <v>Descripcion:LICENCIA WINDWS 8.1 Estado: Bueno Placa anterior: 000037306 Material:  Color:  Referencia:  Observacion:  Placa padre:  Tipo adquisicion : Entidad</v>
      </c>
      <c r="G19650" s="5"/>
    </row>
    <row r="19651" spans="1:7" ht="58.5" customHeight="1" x14ac:dyDescent="0.25">
      <c r="A19651" s="5" t="str">
        <f>"B0004708"</f>
        <v>B0004708</v>
      </c>
      <c r="B19651" s="5" t="str">
        <f t="shared" si="1002"/>
        <v>WINDOWS 8 PROFESIONAL</v>
      </c>
      <c r="C19651" s="6">
        <v>337247</v>
      </c>
      <c r="D19651" s="5" t="s">
        <v>856</v>
      </c>
      <c r="E19651" s="5" t="str">
        <f t="shared" si="1003"/>
        <v>SISTEMAS-GLOBALTRONIK SAS-SERGIO PATIÑO</v>
      </c>
      <c r="F19651" s="5" t="str">
        <f>"Descripcion:LICENCIA WINDWS 8.1 Estado: Bueno Placa anterior: 000037308 Material:  Color:  Referencia:  Observacion:  Placa padre:  Tipo adquisicion : Entidad"</f>
        <v>Descripcion:LICENCIA WINDWS 8.1 Estado: Bueno Placa anterior: 000037308 Material:  Color:  Referencia:  Observacion:  Placa padre:  Tipo adquisicion : Entidad</v>
      </c>
      <c r="G19651" s="5"/>
    </row>
    <row r="19652" spans="1:7" ht="58.5" customHeight="1" x14ac:dyDescent="0.25">
      <c r="A19652" s="5" t="str">
        <f>"B0004709"</f>
        <v>B0004709</v>
      </c>
      <c r="B19652" s="5" t="str">
        <f t="shared" si="1002"/>
        <v>WINDOWS 8 PROFESIONAL</v>
      </c>
      <c r="C19652" s="6">
        <v>337247</v>
      </c>
      <c r="D19652" s="5" t="s">
        <v>856</v>
      </c>
      <c r="E19652" s="5" t="str">
        <f t="shared" si="1003"/>
        <v>SISTEMAS-GLOBALTRONIK SAS-SERGIO PATIÑO</v>
      </c>
      <c r="F19652" s="5" t="str">
        <f>"Descripcion:LICENCIA WINDWS 8.1 Estado: Bueno Placa anterior: 000037309 Material:  Color:  Referencia:  Observacion:  Placa padre:  Tipo adquisicion : Entidad"</f>
        <v>Descripcion:LICENCIA WINDWS 8.1 Estado: Bueno Placa anterior: 000037309 Material:  Color:  Referencia:  Observacion:  Placa padre:  Tipo adquisicion : Entidad</v>
      </c>
      <c r="G19652" s="5"/>
    </row>
    <row r="19653" spans="1:7" ht="58.5" customHeight="1" x14ac:dyDescent="0.25">
      <c r="A19653" s="5" t="str">
        <f>"B0004710"</f>
        <v>B0004710</v>
      </c>
      <c r="B19653" s="5" t="str">
        <f t="shared" si="1002"/>
        <v>WINDOWS 8 PROFESIONAL</v>
      </c>
      <c r="C19653" s="6">
        <v>337247</v>
      </c>
      <c r="D19653" s="5" t="s">
        <v>856</v>
      </c>
      <c r="E19653" s="5" t="str">
        <f t="shared" si="1003"/>
        <v>SISTEMAS-GLOBALTRONIK SAS-SERGIO PATIÑO</v>
      </c>
      <c r="F19653" s="5" t="str">
        <f>"Descripcion:LICENCIA WINDWS 8.1 Estado: Bueno Placa anterior: 000037310 Material:  Color:  Referencia:  Observacion:  Placa padre:  Tipo adquisicion : Entidad"</f>
        <v>Descripcion:LICENCIA WINDWS 8.1 Estado: Bueno Placa anterior: 000037310 Material:  Color:  Referencia:  Observacion:  Placa padre:  Tipo adquisicion : Entidad</v>
      </c>
      <c r="G19653" s="5"/>
    </row>
    <row r="19654" spans="1:7" ht="58.5" customHeight="1" x14ac:dyDescent="0.25">
      <c r="A19654" s="5" t="str">
        <f>"B0004711"</f>
        <v>B0004711</v>
      </c>
      <c r="B19654" s="5" t="str">
        <f t="shared" si="1002"/>
        <v>WINDOWS 8 PROFESIONAL</v>
      </c>
      <c r="C19654" s="6">
        <v>337247</v>
      </c>
      <c r="D19654" s="5" t="s">
        <v>856</v>
      </c>
      <c r="E19654" s="5" t="str">
        <f t="shared" si="1003"/>
        <v>SISTEMAS-GLOBALTRONIK SAS-SERGIO PATIÑO</v>
      </c>
      <c r="F19654" s="5" t="str">
        <f>"Descripcion:LICENCIA WINDWS 8.1 Estado: Bueno Placa anterior: 000037311 Material:  Color:  Referencia:  Observacion:  Placa padre:  Tipo adquisicion : Entidad"</f>
        <v>Descripcion:LICENCIA WINDWS 8.1 Estado: Bueno Placa anterior: 000037311 Material:  Color:  Referencia:  Observacion:  Placa padre:  Tipo adquisicion : Entidad</v>
      </c>
      <c r="G19654" s="5"/>
    </row>
    <row r="19655" spans="1:7" ht="58.5" customHeight="1" x14ac:dyDescent="0.25">
      <c r="A19655" s="5" t="str">
        <f>"B0004712"</f>
        <v>B0004712</v>
      </c>
      <c r="B19655" s="5" t="str">
        <f t="shared" si="1002"/>
        <v>WINDOWS 8 PROFESIONAL</v>
      </c>
      <c r="C19655" s="6">
        <v>337247</v>
      </c>
      <c r="D19655" s="5" t="s">
        <v>856</v>
      </c>
      <c r="E19655" s="5" t="str">
        <f t="shared" si="1003"/>
        <v>SISTEMAS-GLOBALTRONIK SAS-SERGIO PATIÑO</v>
      </c>
      <c r="F19655" s="5" t="str">
        <f>"Descripcion:LICENCIA WINDWS 8.1 Estado: Bueno Placa anterior: 000037312 Material:  Color:  Referencia:  Observacion:  Placa padre:  Tipo adquisicion : Entidad"</f>
        <v>Descripcion:LICENCIA WINDWS 8.1 Estado: Bueno Placa anterior: 000037312 Material:  Color:  Referencia:  Observacion:  Placa padre:  Tipo adquisicion : Entidad</v>
      </c>
      <c r="G19655" s="5"/>
    </row>
    <row r="19656" spans="1:7" ht="58.5" customHeight="1" x14ac:dyDescent="0.25">
      <c r="A19656" s="5" t="str">
        <f>"B0004713"</f>
        <v>B0004713</v>
      </c>
      <c r="B19656" s="5" t="str">
        <f t="shared" si="1002"/>
        <v>WINDOWS 8 PROFESIONAL</v>
      </c>
      <c r="C19656" s="6">
        <v>337247</v>
      </c>
      <c r="D19656" s="5" t="s">
        <v>856</v>
      </c>
      <c r="E19656" s="5" t="str">
        <f t="shared" si="1003"/>
        <v>SISTEMAS-GLOBALTRONIK SAS-SERGIO PATIÑO</v>
      </c>
      <c r="F19656" s="5" t="str">
        <f>"Descripcion:LICENCIA WINDWS 8.1 Estado: Bueno Placa anterior: 000037313 Material:  Color:  Referencia:  Observacion:  Placa padre:  Tipo adquisicion : Entidad"</f>
        <v>Descripcion:LICENCIA WINDWS 8.1 Estado: Bueno Placa anterior: 000037313 Material:  Color:  Referencia:  Observacion:  Placa padre:  Tipo adquisicion : Entidad</v>
      </c>
      <c r="G19656" s="5"/>
    </row>
    <row r="19657" spans="1:7" ht="58.5" customHeight="1" x14ac:dyDescent="0.25">
      <c r="A19657" s="5" t="str">
        <f>"B0004714"</f>
        <v>B0004714</v>
      </c>
      <c r="B19657" s="5" t="str">
        <f t="shared" si="1002"/>
        <v>WINDOWS 8 PROFESIONAL</v>
      </c>
      <c r="C19657" s="6">
        <v>337247</v>
      </c>
      <c r="D19657" s="5" t="s">
        <v>856</v>
      </c>
      <c r="E19657" s="5" t="str">
        <f t="shared" si="1003"/>
        <v>SISTEMAS-GLOBALTRONIK SAS-SERGIO PATIÑO</v>
      </c>
      <c r="F19657" s="5" t="str">
        <f>"Descripcion:LICENCIA WINDWS 8.1 Estado: Bueno Placa anterior: 000037314 Material:  Color:  Referencia:  Observacion:  Placa padre:  Tipo adquisicion : Entidad"</f>
        <v>Descripcion:LICENCIA WINDWS 8.1 Estado: Bueno Placa anterior: 000037314 Material:  Color:  Referencia:  Observacion:  Placa padre:  Tipo adquisicion : Entidad</v>
      </c>
      <c r="G19657" s="5"/>
    </row>
    <row r="19658" spans="1:7" ht="58.5" customHeight="1" x14ac:dyDescent="0.25">
      <c r="A19658" s="5" t="str">
        <f>"B0004715"</f>
        <v>B0004715</v>
      </c>
      <c r="B19658" s="5" t="str">
        <f t="shared" si="1002"/>
        <v>WINDOWS 8 PROFESIONAL</v>
      </c>
      <c r="C19658" s="6">
        <v>337247</v>
      </c>
      <c r="D19658" s="5" t="s">
        <v>856</v>
      </c>
      <c r="E19658" s="5" t="str">
        <f t="shared" si="1003"/>
        <v>SISTEMAS-GLOBALTRONIK SAS-SERGIO PATIÑO</v>
      </c>
      <c r="F19658" s="5" t="str">
        <f>"Descripcion:LICENCIA WINDWS 8.1 Estado: Bueno Placa anterior: 000037315 Material:  Color:  Referencia:  Observacion:  Placa padre:  Tipo adquisicion : Entidad"</f>
        <v>Descripcion:LICENCIA WINDWS 8.1 Estado: Bueno Placa anterior: 000037315 Material:  Color:  Referencia:  Observacion:  Placa padre:  Tipo adquisicion : Entidad</v>
      </c>
      <c r="G19658" s="5"/>
    </row>
    <row r="19659" spans="1:7" ht="58.5" customHeight="1" x14ac:dyDescent="0.25">
      <c r="A19659" s="5" t="str">
        <f>"B0004716"</f>
        <v>B0004716</v>
      </c>
      <c r="B19659" s="5" t="str">
        <f t="shared" si="1002"/>
        <v>WINDOWS 8 PROFESIONAL</v>
      </c>
      <c r="C19659" s="6">
        <v>337247</v>
      </c>
      <c r="D19659" s="5" t="s">
        <v>856</v>
      </c>
      <c r="E19659" s="5" t="str">
        <f t="shared" si="1003"/>
        <v>SISTEMAS-GLOBALTRONIK SAS-SERGIO PATIÑO</v>
      </c>
      <c r="F19659" s="5" t="str">
        <f>"Descripcion:LICENCIA WINDWS 8.1 Estado: Bueno Placa anterior: 000037316 Material:  Color:  Referencia:  Observacion:  Placa padre:  Tipo adquisicion : Entidad"</f>
        <v>Descripcion:LICENCIA WINDWS 8.1 Estado: Bueno Placa anterior: 000037316 Material:  Color:  Referencia:  Observacion:  Placa padre:  Tipo adquisicion : Entidad</v>
      </c>
      <c r="G19659" s="5"/>
    </row>
    <row r="19660" spans="1:7" ht="58.5" customHeight="1" x14ac:dyDescent="0.25">
      <c r="A19660" s="5" t="str">
        <f>"B0004717"</f>
        <v>B0004717</v>
      </c>
      <c r="B19660" s="5" t="str">
        <f t="shared" si="1002"/>
        <v>WINDOWS 8 PROFESIONAL</v>
      </c>
      <c r="C19660" s="6">
        <v>337247</v>
      </c>
      <c r="D19660" s="5" t="s">
        <v>856</v>
      </c>
      <c r="E19660" s="5" t="str">
        <f t="shared" si="1003"/>
        <v>SISTEMAS-GLOBALTRONIK SAS-SERGIO PATIÑO</v>
      </c>
      <c r="F19660" s="5" t="str">
        <f>"Descripcion:LICENCIA WINDWS 8.1 Estado: Bueno Placa anterior: 000037317 Material:  Color:  Referencia:  Observacion:  Placa padre:  Tipo adquisicion : Entidad"</f>
        <v>Descripcion:LICENCIA WINDWS 8.1 Estado: Bueno Placa anterior: 000037317 Material:  Color:  Referencia:  Observacion:  Placa padre:  Tipo adquisicion : Entidad</v>
      </c>
      <c r="G19660" s="5"/>
    </row>
    <row r="19661" spans="1:7" ht="58.5" customHeight="1" x14ac:dyDescent="0.25">
      <c r="A19661" s="5" t="str">
        <f>"B0004718"</f>
        <v>B0004718</v>
      </c>
      <c r="B19661" s="5" t="str">
        <f t="shared" si="1002"/>
        <v>WINDOWS 8 PROFESIONAL</v>
      </c>
      <c r="C19661" s="6">
        <v>337247</v>
      </c>
      <c r="D19661" s="5" t="s">
        <v>856</v>
      </c>
      <c r="E19661" s="5" t="str">
        <f t="shared" si="1003"/>
        <v>SISTEMAS-GLOBALTRONIK SAS-SERGIO PATIÑO</v>
      </c>
      <c r="F19661" s="5" t="str">
        <f>"Descripcion:LICENCIA WINDWS 8.1 Estado: Bueno Placa anterior: 000037318 Material:  Color:  Referencia:  Observacion:  Placa padre:  Tipo adquisicion : Entidad"</f>
        <v>Descripcion:LICENCIA WINDWS 8.1 Estado: Bueno Placa anterior: 000037318 Material:  Color:  Referencia:  Observacion:  Placa padre:  Tipo adquisicion : Entidad</v>
      </c>
      <c r="G19661" s="5"/>
    </row>
    <row r="19662" spans="1:7" ht="58.5" customHeight="1" x14ac:dyDescent="0.25">
      <c r="A19662" s="5" t="str">
        <f>"B0004719"</f>
        <v>B0004719</v>
      </c>
      <c r="B19662" s="5" t="str">
        <f t="shared" si="1002"/>
        <v>WINDOWS 8 PROFESIONAL</v>
      </c>
      <c r="C19662" s="6">
        <v>337247</v>
      </c>
      <c r="D19662" s="5" t="s">
        <v>856</v>
      </c>
      <c r="E19662" s="5" t="str">
        <f t="shared" si="1003"/>
        <v>SISTEMAS-GLOBALTRONIK SAS-SERGIO PATIÑO</v>
      </c>
      <c r="F19662" s="5" t="str">
        <f>"Descripcion:LICENCIA WINDWS 8.1 Estado: Bueno Placa anterior: 000037319 Material:  Color:  Referencia:  Observacion:  Placa padre:  Tipo adquisicion : Entidad"</f>
        <v>Descripcion:LICENCIA WINDWS 8.1 Estado: Bueno Placa anterior: 000037319 Material:  Color:  Referencia:  Observacion:  Placa padre:  Tipo adquisicion : Entidad</v>
      </c>
      <c r="G19662" s="5"/>
    </row>
    <row r="19663" spans="1:7" ht="58.5" customHeight="1" x14ac:dyDescent="0.25">
      <c r="A19663" s="5" t="str">
        <f>"B0004720"</f>
        <v>B0004720</v>
      </c>
      <c r="B19663" s="5" t="str">
        <f t="shared" si="1002"/>
        <v>WINDOWS 8 PROFESIONAL</v>
      </c>
      <c r="C19663" s="6">
        <v>337247</v>
      </c>
      <c r="D19663" s="5" t="s">
        <v>856</v>
      </c>
      <c r="E19663" s="5" t="str">
        <f t="shared" si="1003"/>
        <v>SISTEMAS-GLOBALTRONIK SAS-SERGIO PATIÑO</v>
      </c>
      <c r="F19663" s="5" t="str">
        <f>"Descripcion:LICENCIA WINDWS 8.1 Estado: Bueno Placa anterior: 000037320 Material:  Color:  Referencia:  Observacion:  Placa padre:  Tipo adquisicion : Entidad"</f>
        <v>Descripcion:LICENCIA WINDWS 8.1 Estado: Bueno Placa anterior: 000037320 Material:  Color:  Referencia:  Observacion:  Placa padre:  Tipo adquisicion : Entidad</v>
      </c>
      <c r="G19663" s="5"/>
    </row>
    <row r="19664" spans="1:7" ht="58.5" customHeight="1" x14ac:dyDescent="0.25">
      <c r="A19664" s="5" t="str">
        <f>"B0004721"</f>
        <v>B0004721</v>
      </c>
      <c r="B19664" s="5" t="str">
        <f t="shared" si="1002"/>
        <v>WINDOWS 8 PROFESIONAL</v>
      </c>
      <c r="C19664" s="6">
        <v>337247</v>
      </c>
      <c r="D19664" s="5" t="s">
        <v>856</v>
      </c>
      <c r="E19664" s="5" t="str">
        <f t="shared" si="1003"/>
        <v>SISTEMAS-GLOBALTRONIK SAS-SERGIO PATIÑO</v>
      </c>
      <c r="F19664" s="5" t="str">
        <f>"Descripcion:LICENCIA WINDWS 8.1 Estado: Bueno Placa anterior: 000037321 Material:  Color:  Referencia:  Observacion:  Placa padre:  Tipo adquisicion : Entidad"</f>
        <v>Descripcion:LICENCIA WINDWS 8.1 Estado: Bueno Placa anterior: 000037321 Material:  Color:  Referencia:  Observacion:  Placa padre:  Tipo adquisicion : Entidad</v>
      </c>
      <c r="G19664" s="5"/>
    </row>
    <row r="19665" spans="1:7" ht="58.5" customHeight="1" x14ac:dyDescent="0.25">
      <c r="A19665" s="5" t="str">
        <f>"B0004722"</f>
        <v>B0004722</v>
      </c>
      <c r="B19665" s="5" t="str">
        <f t="shared" si="1002"/>
        <v>WINDOWS 8 PROFESIONAL</v>
      </c>
      <c r="C19665" s="6">
        <v>337247</v>
      </c>
      <c r="D19665" s="5" t="s">
        <v>856</v>
      </c>
      <c r="E19665" s="5" t="str">
        <f t="shared" si="1003"/>
        <v>SISTEMAS-GLOBALTRONIK SAS-SERGIO PATIÑO</v>
      </c>
      <c r="F19665" s="5" t="str">
        <f>"Descripcion:LICENCIA WINDWS 8.1 Estado: Bueno Placa anterior: 000037322 Material:  Color:  Referencia:  Observacion:  Placa padre:  Tipo adquisicion : Entidad"</f>
        <v>Descripcion:LICENCIA WINDWS 8.1 Estado: Bueno Placa anterior: 000037322 Material:  Color:  Referencia:  Observacion:  Placa padre:  Tipo adquisicion : Entidad</v>
      </c>
      <c r="G19665" s="5"/>
    </row>
    <row r="19666" spans="1:7" ht="58.5" customHeight="1" x14ac:dyDescent="0.25">
      <c r="A19666" s="5" t="str">
        <f>"B0004723"</f>
        <v>B0004723</v>
      </c>
      <c r="B19666" s="5" t="str">
        <f t="shared" si="1002"/>
        <v>WINDOWS 8 PROFESIONAL</v>
      </c>
      <c r="C19666" s="6">
        <v>337247</v>
      </c>
      <c r="D19666" s="5" t="s">
        <v>856</v>
      </c>
      <c r="E19666" s="5" t="str">
        <f t="shared" si="1003"/>
        <v>SISTEMAS-GLOBALTRONIK SAS-SERGIO PATIÑO</v>
      </c>
      <c r="F19666" s="5" t="str">
        <f>"Descripcion:LICENCIA WINDWS 8.1 Estado: Bueno Placa anterior: 000037323 Material:  Color:  Referencia:  Observacion:  Placa padre:  Tipo adquisicion : Entidad"</f>
        <v>Descripcion:LICENCIA WINDWS 8.1 Estado: Bueno Placa anterior: 000037323 Material:  Color:  Referencia:  Observacion:  Placa padre:  Tipo adquisicion : Entidad</v>
      </c>
      <c r="G19666" s="5"/>
    </row>
    <row r="19667" spans="1:7" ht="58.5" customHeight="1" x14ac:dyDescent="0.25">
      <c r="A19667" s="5" t="str">
        <f>"B0004724"</f>
        <v>B0004724</v>
      </c>
      <c r="B19667" s="5" t="str">
        <f t="shared" si="1002"/>
        <v>WINDOWS 8 PROFESIONAL</v>
      </c>
      <c r="C19667" s="6">
        <v>337247</v>
      </c>
      <c r="D19667" s="5" t="s">
        <v>856</v>
      </c>
      <c r="E19667" s="5" t="str">
        <f t="shared" si="1003"/>
        <v>SISTEMAS-GLOBALTRONIK SAS-SERGIO PATIÑO</v>
      </c>
      <c r="F19667" s="5" t="str">
        <f>"Descripcion:LICENCIA WINDWS 8.1 Estado: Bueno Placa anterior: 000037324 Material:  Color:  Referencia:  Observacion:  Placa padre:  Tipo adquisicion : Entidad"</f>
        <v>Descripcion:LICENCIA WINDWS 8.1 Estado: Bueno Placa anterior: 000037324 Material:  Color:  Referencia:  Observacion:  Placa padre:  Tipo adquisicion : Entidad</v>
      </c>
      <c r="G19667" s="5"/>
    </row>
    <row r="19668" spans="1:7" ht="58.5" customHeight="1" x14ac:dyDescent="0.25">
      <c r="A19668" s="5" t="str">
        <f>"B0004725"</f>
        <v>B0004725</v>
      </c>
      <c r="B19668" s="5" t="str">
        <f t="shared" si="1002"/>
        <v>WINDOWS 8 PROFESIONAL</v>
      </c>
      <c r="C19668" s="6">
        <v>337247</v>
      </c>
      <c r="D19668" s="5" t="s">
        <v>856</v>
      </c>
      <c r="E19668" s="5" t="str">
        <f t="shared" si="1003"/>
        <v>SISTEMAS-GLOBALTRONIK SAS-SERGIO PATIÑO</v>
      </c>
      <c r="F19668" s="5" t="str">
        <f>"Descripcion:LICENCIA WINDWS 8.1 Estado: Bueno Placa anterior: 000037325 Material:  Color:  Referencia:  Observacion:  Placa padre:  Tipo adquisicion : Entidad"</f>
        <v>Descripcion:LICENCIA WINDWS 8.1 Estado: Bueno Placa anterior: 000037325 Material:  Color:  Referencia:  Observacion:  Placa padre:  Tipo adquisicion : Entidad</v>
      </c>
      <c r="G19668" s="5"/>
    </row>
    <row r="19669" spans="1:7" ht="58.5" customHeight="1" x14ac:dyDescent="0.25">
      <c r="A19669" s="5" t="str">
        <f>"B0004726"</f>
        <v>B0004726</v>
      </c>
      <c r="B19669" s="5" t="str">
        <f t="shared" si="1002"/>
        <v>WINDOWS 8 PROFESIONAL</v>
      </c>
      <c r="C19669" s="6">
        <v>337247</v>
      </c>
      <c r="D19669" s="5" t="s">
        <v>856</v>
      </c>
      <c r="E19669" s="5" t="str">
        <f t="shared" si="1003"/>
        <v>SISTEMAS-GLOBALTRONIK SAS-SERGIO PATIÑO</v>
      </c>
      <c r="F19669" s="5" t="str">
        <f>"Descripcion:LICENCIA WINDWS 8.1 Estado: Bueno Placa anterior: 000037326 Material:  Color:  Referencia:  Observacion:  Placa padre:  Tipo adquisicion : Entidad"</f>
        <v>Descripcion:LICENCIA WINDWS 8.1 Estado: Bueno Placa anterior: 000037326 Material:  Color:  Referencia:  Observacion:  Placa padre:  Tipo adquisicion : Entidad</v>
      </c>
      <c r="G19669" s="5"/>
    </row>
    <row r="19670" spans="1:7" ht="58.5" customHeight="1" x14ac:dyDescent="0.25">
      <c r="A19670" s="5" t="str">
        <f>"B0004727"</f>
        <v>B0004727</v>
      </c>
      <c r="B19670" s="5" t="str">
        <f t="shared" si="1002"/>
        <v>WINDOWS 8 PROFESIONAL</v>
      </c>
      <c r="C19670" s="6">
        <v>337247</v>
      </c>
      <c r="D19670" s="5" t="s">
        <v>856</v>
      </c>
      <c r="E19670" s="5" t="str">
        <f t="shared" si="1003"/>
        <v>SISTEMAS-GLOBALTRONIK SAS-SERGIO PATIÑO</v>
      </c>
      <c r="F19670" s="5" t="str">
        <f>"Descripcion:LICENCIA WINDWS 8.1 Estado: Bueno Placa anterior: 000037327 Material:  Color:  Referencia:  Observacion:  Placa padre:  Tipo adquisicion : Entidad"</f>
        <v>Descripcion:LICENCIA WINDWS 8.1 Estado: Bueno Placa anterior: 000037327 Material:  Color:  Referencia:  Observacion:  Placa padre:  Tipo adquisicion : Entidad</v>
      </c>
      <c r="G19670" s="5"/>
    </row>
    <row r="19671" spans="1:7" ht="58.5" customHeight="1" x14ac:dyDescent="0.25">
      <c r="A19671" s="5" t="str">
        <f>"B0004728"</f>
        <v>B0004728</v>
      </c>
      <c r="B19671" s="5" t="str">
        <f t="shared" si="1002"/>
        <v>WINDOWS 8 PROFESIONAL</v>
      </c>
      <c r="C19671" s="6">
        <v>337247</v>
      </c>
      <c r="D19671" s="5" t="s">
        <v>856</v>
      </c>
      <c r="E19671" s="5" t="str">
        <f t="shared" si="1003"/>
        <v>SISTEMAS-GLOBALTRONIK SAS-SERGIO PATIÑO</v>
      </c>
      <c r="F19671" s="5" t="str">
        <f>"Descripcion:LICENCIA WINDWS 8.1 Estado: Bueno Placa anterior: 000037328 Material:  Color:  Referencia:  Observacion:  Placa padre:  Tipo adquisicion : Entidad"</f>
        <v>Descripcion:LICENCIA WINDWS 8.1 Estado: Bueno Placa anterior: 000037328 Material:  Color:  Referencia:  Observacion:  Placa padre:  Tipo adquisicion : Entidad</v>
      </c>
      <c r="G19671" s="5"/>
    </row>
    <row r="19672" spans="1:7" ht="58.5" customHeight="1" x14ac:dyDescent="0.25">
      <c r="A19672" s="5" t="str">
        <f>"B0004729"</f>
        <v>B0004729</v>
      </c>
      <c r="B19672" s="5" t="str">
        <f t="shared" si="1002"/>
        <v>WINDOWS 8 PROFESIONAL</v>
      </c>
      <c r="C19672" s="6">
        <v>337247</v>
      </c>
      <c r="D19672" s="5" t="s">
        <v>856</v>
      </c>
      <c r="E19672" s="5" t="str">
        <f t="shared" si="1003"/>
        <v>SISTEMAS-GLOBALTRONIK SAS-SERGIO PATIÑO</v>
      </c>
      <c r="F19672" s="5" t="str">
        <f>"Descripcion:LICENCIA WINDWS 8.1 Estado: Bueno Placa anterior: 000037329 Material:  Color:  Referencia:  Observacion:  Placa padre:  Tipo adquisicion : Entidad"</f>
        <v>Descripcion:LICENCIA WINDWS 8.1 Estado: Bueno Placa anterior: 000037329 Material:  Color:  Referencia:  Observacion:  Placa padre:  Tipo adquisicion : Entidad</v>
      </c>
      <c r="G19672" s="5"/>
    </row>
    <row r="19673" spans="1:7" ht="58.5" customHeight="1" x14ac:dyDescent="0.25">
      <c r="A19673" s="5" t="str">
        <f>"B0004730"</f>
        <v>B0004730</v>
      </c>
      <c r="B19673" s="5" t="str">
        <f t="shared" si="1002"/>
        <v>WINDOWS 8 PROFESIONAL</v>
      </c>
      <c r="C19673" s="6">
        <v>337247</v>
      </c>
      <c r="D19673" s="5" t="s">
        <v>856</v>
      </c>
      <c r="E19673" s="5" t="str">
        <f t="shared" si="1003"/>
        <v>SISTEMAS-GLOBALTRONIK SAS-SERGIO PATIÑO</v>
      </c>
      <c r="F19673" s="5" t="str">
        <f>"Descripcion:LICENCIA WINDWS 8.1 Estado: Bueno Placa anterior: 000037330 Material:  Color:  Referencia:  Observacion:  Placa padre:  Tipo adquisicion : Entidad"</f>
        <v>Descripcion:LICENCIA WINDWS 8.1 Estado: Bueno Placa anterior: 000037330 Material:  Color:  Referencia:  Observacion:  Placa padre:  Tipo adquisicion : Entidad</v>
      </c>
      <c r="G19673" s="5"/>
    </row>
    <row r="19674" spans="1:7" ht="58.5" customHeight="1" x14ac:dyDescent="0.25">
      <c r="A19674" s="5" t="str">
        <f>"B0004731"</f>
        <v>B0004731</v>
      </c>
      <c r="B19674" s="5" t="str">
        <f t="shared" si="1002"/>
        <v>WINDOWS 8 PROFESIONAL</v>
      </c>
      <c r="C19674" s="6">
        <v>337247</v>
      </c>
      <c r="D19674" s="5" t="s">
        <v>856</v>
      </c>
      <c r="E19674" s="5" t="str">
        <f t="shared" si="1003"/>
        <v>SISTEMAS-GLOBALTRONIK SAS-SERGIO PATIÑO</v>
      </c>
      <c r="F19674" s="5" t="str">
        <f>"Descripcion:LICENCIA WINDWS 8.1 Estado: Bueno Placa anterior: 000037331 Material:  Color:  Referencia:  Observacion:  Placa padre:  Tipo adquisicion : Entidad"</f>
        <v>Descripcion:LICENCIA WINDWS 8.1 Estado: Bueno Placa anterior: 000037331 Material:  Color:  Referencia:  Observacion:  Placa padre:  Tipo adquisicion : Entidad</v>
      </c>
      <c r="G19674" s="5"/>
    </row>
    <row r="19675" spans="1:7" ht="58.5" customHeight="1" x14ac:dyDescent="0.25">
      <c r="A19675" s="5" t="str">
        <f>"B0004732"</f>
        <v>B0004732</v>
      </c>
      <c r="B19675" s="5" t="str">
        <f t="shared" si="1002"/>
        <v>WINDOWS 8 PROFESIONAL</v>
      </c>
      <c r="C19675" s="6">
        <v>337247</v>
      </c>
      <c r="D19675" s="5" t="s">
        <v>856</v>
      </c>
      <c r="E19675" s="5" t="str">
        <f t="shared" si="1003"/>
        <v>SISTEMAS-GLOBALTRONIK SAS-SERGIO PATIÑO</v>
      </c>
      <c r="F19675" s="5" t="str">
        <f>"Descripcion:LICENCIA WINDWS 8.1 Estado: Bueno Placa anterior: 000037332 Material:  Color:  Referencia:  Observacion:  Placa padre:  Tipo adquisicion : Entidad"</f>
        <v>Descripcion:LICENCIA WINDWS 8.1 Estado: Bueno Placa anterior: 000037332 Material:  Color:  Referencia:  Observacion:  Placa padre:  Tipo adquisicion : Entidad</v>
      </c>
      <c r="G19675" s="5"/>
    </row>
    <row r="19676" spans="1:7" ht="58.5" customHeight="1" x14ac:dyDescent="0.25">
      <c r="A19676" s="5" t="str">
        <f>"B0004733"</f>
        <v>B0004733</v>
      </c>
      <c r="B19676" s="5" t="str">
        <f t="shared" si="1002"/>
        <v>WINDOWS 8 PROFESIONAL</v>
      </c>
      <c r="C19676" s="6">
        <v>337247</v>
      </c>
      <c r="D19676" s="5" t="s">
        <v>856</v>
      </c>
      <c r="E19676" s="5" t="str">
        <f t="shared" si="1003"/>
        <v>SISTEMAS-GLOBALTRONIK SAS-SERGIO PATIÑO</v>
      </c>
      <c r="F19676" s="5" t="str">
        <f>"Descripcion:LICENCIA WINDWS 8.1 Estado: Bueno Placa anterior: 000037333 Material:  Color:  Referencia:  Observacion:  Placa padre:  Tipo adquisicion : Entidad"</f>
        <v>Descripcion:LICENCIA WINDWS 8.1 Estado: Bueno Placa anterior: 000037333 Material:  Color:  Referencia:  Observacion:  Placa padre:  Tipo adquisicion : Entidad</v>
      </c>
      <c r="G19676" s="5"/>
    </row>
    <row r="19677" spans="1:7" ht="58.5" customHeight="1" x14ac:dyDescent="0.25">
      <c r="A19677" s="5" t="str">
        <f>"B0004734"</f>
        <v>B0004734</v>
      </c>
      <c r="B19677" s="5" t="str">
        <f t="shared" si="1002"/>
        <v>WINDOWS 8 PROFESIONAL</v>
      </c>
      <c r="C19677" s="6">
        <v>337247</v>
      </c>
      <c r="D19677" s="5" t="s">
        <v>856</v>
      </c>
      <c r="E19677" s="5" t="str">
        <f t="shared" si="1003"/>
        <v>SISTEMAS-GLOBALTRONIK SAS-SERGIO PATIÑO</v>
      </c>
      <c r="F19677" s="5" t="str">
        <f>"Descripcion:LICENCIA WINDWS 8.1 Estado: Bueno Placa anterior: 000037334 Material:  Color:  Referencia:  Observacion:  Placa padre:  Tipo adquisicion : Entidad"</f>
        <v>Descripcion:LICENCIA WINDWS 8.1 Estado: Bueno Placa anterior: 000037334 Material:  Color:  Referencia:  Observacion:  Placa padre:  Tipo adquisicion : Entidad</v>
      </c>
      <c r="G19677" s="5"/>
    </row>
    <row r="19678" spans="1:7" ht="58.5" customHeight="1" x14ac:dyDescent="0.25">
      <c r="A19678" s="5" t="str">
        <f>"B0004735"</f>
        <v>B0004735</v>
      </c>
      <c r="B19678" s="5" t="str">
        <f t="shared" si="1002"/>
        <v>WINDOWS 8 PROFESIONAL</v>
      </c>
      <c r="C19678" s="6">
        <v>337247</v>
      </c>
      <c r="D19678" s="5" t="s">
        <v>856</v>
      </c>
      <c r="E19678" s="5" t="str">
        <f t="shared" si="1003"/>
        <v>SISTEMAS-GLOBALTRONIK SAS-SERGIO PATIÑO</v>
      </c>
      <c r="F19678" s="5" t="str">
        <f>"Descripcion:LICENCIA WINDWS 8.1 Estado: Bueno Placa anterior: 000037335 Material:  Color:  Referencia:  Observacion:  Placa padre:  Tipo adquisicion : Entidad"</f>
        <v>Descripcion:LICENCIA WINDWS 8.1 Estado: Bueno Placa anterior: 000037335 Material:  Color:  Referencia:  Observacion:  Placa padre:  Tipo adquisicion : Entidad</v>
      </c>
      <c r="G19678" s="5"/>
    </row>
    <row r="19679" spans="1:7" ht="58.5" customHeight="1" x14ac:dyDescent="0.25">
      <c r="A19679" s="5" t="str">
        <f>"B0004736"</f>
        <v>B0004736</v>
      </c>
      <c r="B19679" s="5" t="str">
        <f t="shared" si="1002"/>
        <v>WINDOWS 8 PROFESIONAL</v>
      </c>
      <c r="C19679" s="6">
        <v>337247</v>
      </c>
      <c r="D19679" s="5" t="s">
        <v>856</v>
      </c>
      <c r="E19679" s="5" t="str">
        <f t="shared" si="1003"/>
        <v>SISTEMAS-GLOBALTRONIK SAS-SERGIO PATIÑO</v>
      </c>
      <c r="F19679" s="5" t="str">
        <f>"Descripcion:LICENCIA WINDWS 8.1 Estado: Bueno Placa anterior: 000037336 Material:  Color:  Referencia:  Observacion:  Placa padre:  Tipo adquisicion : Entidad"</f>
        <v>Descripcion:LICENCIA WINDWS 8.1 Estado: Bueno Placa anterior: 000037336 Material:  Color:  Referencia:  Observacion:  Placa padre:  Tipo adquisicion : Entidad</v>
      </c>
      <c r="G19679" s="5"/>
    </row>
    <row r="19680" spans="1:7" ht="58.5" customHeight="1" x14ac:dyDescent="0.25">
      <c r="A19680" s="5" t="str">
        <f>"B0004737"</f>
        <v>B0004737</v>
      </c>
      <c r="B19680" s="5" t="str">
        <f t="shared" si="1002"/>
        <v>WINDOWS 8 PROFESIONAL</v>
      </c>
      <c r="C19680" s="6">
        <v>337247</v>
      </c>
      <c r="D19680" s="5" t="s">
        <v>856</v>
      </c>
      <c r="E19680" s="5" t="str">
        <f t="shared" si="1003"/>
        <v>SISTEMAS-GLOBALTRONIK SAS-SERGIO PATIÑO</v>
      </c>
      <c r="F19680" s="5" t="str">
        <f>"Descripcion:LICENCIA WINDWS 8.1 Estado: Bueno Placa anterior: 000037337 Material:  Color:  Referencia:  Observacion:  Placa padre:  Tipo adquisicion : Entidad"</f>
        <v>Descripcion:LICENCIA WINDWS 8.1 Estado: Bueno Placa anterior: 000037337 Material:  Color:  Referencia:  Observacion:  Placa padre:  Tipo adquisicion : Entidad</v>
      </c>
      <c r="G19680" s="5"/>
    </row>
    <row r="19681" spans="1:7" ht="58.5" customHeight="1" x14ac:dyDescent="0.25">
      <c r="A19681" s="5" t="str">
        <f>"B0004738"</f>
        <v>B0004738</v>
      </c>
      <c r="B19681" s="5" t="str">
        <f t="shared" si="1002"/>
        <v>WINDOWS 8 PROFESIONAL</v>
      </c>
      <c r="C19681" s="6">
        <v>337247</v>
      </c>
      <c r="D19681" s="5" t="s">
        <v>856</v>
      </c>
      <c r="E19681" s="5" t="str">
        <f t="shared" si="1003"/>
        <v>SISTEMAS-GLOBALTRONIK SAS-SERGIO PATIÑO</v>
      </c>
      <c r="F19681" s="5" t="str">
        <f>"Descripcion:LICENCIA WINDWS 8.1 Estado: Bueno Placa anterior: 000037338 Material:  Color:  Referencia:  Observacion:  Placa padre:  Tipo adquisicion : Entidad"</f>
        <v>Descripcion:LICENCIA WINDWS 8.1 Estado: Bueno Placa anterior: 000037338 Material:  Color:  Referencia:  Observacion:  Placa padre:  Tipo adquisicion : Entidad</v>
      </c>
      <c r="G19681" s="5"/>
    </row>
    <row r="19682" spans="1:7" ht="58.5" customHeight="1" x14ac:dyDescent="0.25">
      <c r="A19682" s="5" t="str">
        <f>"B0004739"</f>
        <v>B0004739</v>
      </c>
      <c r="B19682" s="5" t="str">
        <f t="shared" si="1002"/>
        <v>WINDOWS 8 PROFESIONAL</v>
      </c>
      <c r="C19682" s="6">
        <v>337247</v>
      </c>
      <c r="D19682" s="5" t="s">
        <v>856</v>
      </c>
      <c r="E19682" s="5" t="str">
        <f t="shared" si="1003"/>
        <v>SISTEMAS-GLOBALTRONIK SAS-SERGIO PATIÑO</v>
      </c>
      <c r="F19682" s="5" t="str">
        <f>"Descripcion:LICENCIA WINDWS 8.1 Estado: Bueno Placa anterior: 000037339 Material:  Color:  Referencia:  Observacion:  Placa padre:  Tipo adquisicion : Entidad"</f>
        <v>Descripcion:LICENCIA WINDWS 8.1 Estado: Bueno Placa anterior: 000037339 Material:  Color:  Referencia:  Observacion:  Placa padre:  Tipo adquisicion : Entidad</v>
      </c>
      <c r="G19682" s="5"/>
    </row>
    <row r="19683" spans="1:7" ht="58.5" customHeight="1" x14ac:dyDescent="0.25">
      <c r="A19683" s="5" t="str">
        <f>"B0004740"</f>
        <v>B0004740</v>
      </c>
      <c r="B19683" s="5" t="str">
        <f t="shared" si="1002"/>
        <v>WINDOWS 8 PROFESIONAL</v>
      </c>
      <c r="C19683" s="6">
        <v>337247</v>
      </c>
      <c r="D19683" s="5" t="s">
        <v>856</v>
      </c>
      <c r="E19683" s="5" t="str">
        <f t="shared" si="1003"/>
        <v>SISTEMAS-GLOBALTRONIK SAS-SERGIO PATIÑO</v>
      </c>
      <c r="F19683" s="5" t="str">
        <f>"Descripcion:LICENCIA WINDWS 8.1 Estado: Bueno Placa anterior: 000037340 Material:  Color:  Referencia:  Observacion:  Placa padre:  Tipo adquisicion : Entidad"</f>
        <v>Descripcion:LICENCIA WINDWS 8.1 Estado: Bueno Placa anterior: 000037340 Material:  Color:  Referencia:  Observacion:  Placa padre:  Tipo adquisicion : Entidad</v>
      </c>
      <c r="G19683" s="5"/>
    </row>
    <row r="19684" spans="1:7" ht="58.5" customHeight="1" x14ac:dyDescent="0.25">
      <c r="A19684" s="5" t="str">
        <f>"B0004741"</f>
        <v>B0004741</v>
      </c>
      <c r="B19684" s="5" t="str">
        <f t="shared" si="1002"/>
        <v>WINDOWS 8 PROFESIONAL</v>
      </c>
      <c r="C19684" s="6">
        <v>337247</v>
      </c>
      <c r="D19684" s="5" t="s">
        <v>856</v>
      </c>
      <c r="E19684" s="5" t="str">
        <f t="shared" si="1003"/>
        <v>SISTEMAS-GLOBALTRONIK SAS-SERGIO PATIÑO</v>
      </c>
      <c r="F19684" s="5" t="str">
        <f>"Descripcion:LICENCIA WINDWS 8.1 Estado: Bueno Placa anterior: 000037341 Material:  Color:  Referencia:  Observacion:  Placa padre:  Tipo adquisicion : Entidad"</f>
        <v>Descripcion:LICENCIA WINDWS 8.1 Estado: Bueno Placa anterior: 000037341 Material:  Color:  Referencia:  Observacion:  Placa padre:  Tipo adquisicion : Entidad</v>
      </c>
      <c r="G19684" s="5"/>
    </row>
    <row r="19685" spans="1:7" ht="58.5" customHeight="1" x14ac:dyDescent="0.25">
      <c r="A19685" s="5" t="str">
        <f>"B0004742"</f>
        <v>B0004742</v>
      </c>
      <c r="B19685" s="5" t="str">
        <f t="shared" si="1002"/>
        <v>WINDOWS 8 PROFESIONAL</v>
      </c>
      <c r="C19685" s="6">
        <v>337247</v>
      </c>
      <c r="D19685" s="5" t="s">
        <v>856</v>
      </c>
      <c r="E19685" s="5" t="str">
        <f t="shared" si="1003"/>
        <v>SISTEMAS-GLOBALTRONIK SAS-SERGIO PATIÑO</v>
      </c>
      <c r="F19685" s="5" t="str">
        <f>"Descripcion:LICENCIA WINDWS 8.1 Estado: Bueno Placa anterior: 000037342 Material:  Color:  Referencia:  Observacion:  Placa padre:  Tipo adquisicion : Entidad"</f>
        <v>Descripcion:LICENCIA WINDWS 8.1 Estado: Bueno Placa anterior: 000037342 Material:  Color:  Referencia:  Observacion:  Placa padre:  Tipo adquisicion : Entidad</v>
      </c>
      <c r="G19685" s="5"/>
    </row>
    <row r="19686" spans="1:7" ht="58.5" customHeight="1" x14ac:dyDescent="0.25">
      <c r="A19686" s="5" t="str">
        <f>"B0004743"</f>
        <v>B0004743</v>
      </c>
      <c r="B19686" s="5" t="str">
        <f t="shared" si="1002"/>
        <v>WINDOWS 8 PROFESIONAL</v>
      </c>
      <c r="C19686" s="6">
        <v>337247</v>
      </c>
      <c r="D19686" s="5" t="s">
        <v>856</v>
      </c>
      <c r="E19686" s="5" t="str">
        <f t="shared" si="1003"/>
        <v>SISTEMAS-GLOBALTRONIK SAS-SERGIO PATIÑO</v>
      </c>
      <c r="F19686" s="5" t="str">
        <f>"Descripcion:LICENCIA WINDWS 8.1 Estado: Bueno Placa anterior: 000037343 Material:  Color:  Referencia:  Observacion:  Placa padre:  Tipo adquisicion : Entidad"</f>
        <v>Descripcion:LICENCIA WINDWS 8.1 Estado: Bueno Placa anterior: 000037343 Material:  Color:  Referencia:  Observacion:  Placa padre:  Tipo adquisicion : Entidad</v>
      </c>
      <c r="G19686" s="5"/>
    </row>
    <row r="19687" spans="1:7" ht="58.5" customHeight="1" x14ac:dyDescent="0.25">
      <c r="A19687" s="5" t="str">
        <f>"B0004744"</f>
        <v>B0004744</v>
      </c>
      <c r="B19687" s="5" t="str">
        <f t="shared" si="1002"/>
        <v>WINDOWS 8 PROFESIONAL</v>
      </c>
      <c r="C19687" s="6">
        <v>337247</v>
      </c>
      <c r="D19687" s="5" t="s">
        <v>856</v>
      </c>
      <c r="E19687" s="5" t="str">
        <f t="shared" si="1003"/>
        <v>SISTEMAS-GLOBALTRONIK SAS-SERGIO PATIÑO</v>
      </c>
      <c r="F19687" s="5" t="str">
        <f>"Descripcion:LICENCIA WINDWS 8.1 Estado: Bueno Placa anterior: 000037344 Material:  Color:  Referencia:  Observacion:  Placa padre:  Tipo adquisicion : Entidad"</f>
        <v>Descripcion:LICENCIA WINDWS 8.1 Estado: Bueno Placa anterior: 000037344 Material:  Color:  Referencia:  Observacion:  Placa padre:  Tipo adquisicion : Entidad</v>
      </c>
      <c r="G19687" s="5"/>
    </row>
    <row r="19688" spans="1:7" ht="58.5" customHeight="1" x14ac:dyDescent="0.25">
      <c r="A19688" s="5" t="str">
        <f>"B0004745"</f>
        <v>B0004745</v>
      </c>
      <c r="B19688" s="5" t="str">
        <f t="shared" si="1002"/>
        <v>WINDOWS 8 PROFESIONAL</v>
      </c>
      <c r="C19688" s="6">
        <v>337247</v>
      </c>
      <c r="D19688" s="5" t="s">
        <v>856</v>
      </c>
      <c r="E19688" s="5" t="str">
        <f t="shared" si="1003"/>
        <v>SISTEMAS-GLOBALTRONIK SAS-SERGIO PATIÑO</v>
      </c>
      <c r="F19688" s="5" t="str">
        <f>"Descripcion:LICENCIA WINDWS 8.1 Estado: Bueno Placa anterior: 000037345 Material:  Color:  Referencia:  Observacion:  Placa padre:  Tipo adquisicion : Entidad"</f>
        <v>Descripcion:LICENCIA WINDWS 8.1 Estado: Bueno Placa anterior: 000037345 Material:  Color:  Referencia:  Observacion:  Placa padre:  Tipo adquisicion : Entidad</v>
      </c>
      <c r="G19688" s="5"/>
    </row>
    <row r="19689" spans="1:7" ht="58.5" customHeight="1" x14ac:dyDescent="0.25">
      <c r="A19689" s="5" t="str">
        <f>"B0004746"</f>
        <v>B0004746</v>
      </c>
      <c r="B19689" s="5" t="str">
        <f t="shared" si="1002"/>
        <v>WINDOWS 8 PROFESIONAL</v>
      </c>
      <c r="C19689" s="6">
        <v>337247</v>
      </c>
      <c r="D19689" s="5" t="s">
        <v>856</v>
      </c>
      <c r="E19689" s="5" t="str">
        <f t="shared" si="1003"/>
        <v>SISTEMAS-GLOBALTRONIK SAS-SERGIO PATIÑO</v>
      </c>
      <c r="F19689" s="5" t="str">
        <f>"Descripcion:LICENCIA WINDWS 8.1 Estado: Bueno Placa anterior: 000037346 Material:  Color:  Referencia:  Observacion:  Placa padre:  Tipo adquisicion : Entidad"</f>
        <v>Descripcion:LICENCIA WINDWS 8.1 Estado: Bueno Placa anterior: 000037346 Material:  Color:  Referencia:  Observacion:  Placa padre:  Tipo adquisicion : Entidad</v>
      </c>
      <c r="G19689" s="5"/>
    </row>
    <row r="19690" spans="1:7" ht="58.5" customHeight="1" x14ac:dyDescent="0.25">
      <c r="A19690" s="5" t="str">
        <f>"B0004747"</f>
        <v>B0004747</v>
      </c>
      <c r="B19690" s="5" t="str">
        <f t="shared" si="1002"/>
        <v>WINDOWS 8 PROFESIONAL</v>
      </c>
      <c r="C19690" s="6">
        <v>337247</v>
      </c>
      <c r="D19690" s="5" t="s">
        <v>856</v>
      </c>
      <c r="E19690" s="5" t="str">
        <f t="shared" si="1003"/>
        <v>SISTEMAS-GLOBALTRONIK SAS-SERGIO PATIÑO</v>
      </c>
      <c r="F19690" s="5" t="str">
        <f>"Descripcion:LICENCIA WINDWS 8.1 Estado: Bueno Placa anterior: 000037347 Material:  Color:  Referencia:  Observacion:  Placa padre:  Tipo adquisicion : Entidad"</f>
        <v>Descripcion:LICENCIA WINDWS 8.1 Estado: Bueno Placa anterior: 000037347 Material:  Color:  Referencia:  Observacion:  Placa padre:  Tipo adquisicion : Entidad</v>
      </c>
      <c r="G19690" s="5"/>
    </row>
    <row r="19691" spans="1:7" ht="58.5" customHeight="1" x14ac:dyDescent="0.25">
      <c r="A19691" s="5" t="str">
        <f>"B0004748"</f>
        <v>B0004748</v>
      </c>
      <c r="B19691" s="5" t="str">
        <f t="shared" si="1002"/>
        <v>WINDOWS 8 PROFESIONAL</v>
      </c>
      <c r="C19691" s="6">
        <v>337247</v>
      </c>
      <c r="D19691" s="5" t="s">
        <v>856</v>
      </c>
      <c r="E19691" s="5" t="str">
        <f t="shared" si="1003"/>
        <v>SISTEMAS-GLOBALTRONIK SAS-SERGIO PATIÑO</v>
      </c>
      <c r="F19691" s="5" t="str">
        <f>"Descripcion:LICENCIA WINDWS 8.1 Estado: Bueno Placa anterior: 000037348 Material:  Color:  Referencia:  Observacion:  Placa padre:  Tipo adquisicion : Entidad"</f>
        <v>Descripcion:LICENCIA WINDWS 8.1 Estado: Bueno Placa anterior: 000037348 Material:  Color:  Referencia:  Observacion:  Placa padre:  Tipo adquisicion : Entidad</v>
      </c>
      <c r="G19691" s="5"/>
    </row>
    <row r="19692" spans="1:7" ht="58.5" customHeight="1" x14ac:dyDescent="0.25">
      <c r="A19692" s="5" t="str">
        <f>"B0004749"</f>
        <v>B0004749</v>
      </c>
      <c r="B19692" s="5" t="str">
        <f t="shared" si="1002"/>
        <v>WINDOWS 8 PROFESIONAL</v>
      </c>
      <c r="C19692" s="6">
        <v>337247</v>
      </c>
      <c r="D19692" s="5" t="s">
        <v>856</v>
      </c>
      <c r="E19692" s="5" t="str">
        <f t="shared" si="1003"/>
        <v>SISTEMAS-GLOBALTRONIK SAS-SERGIO PATIÑO</v>
      </c>
      <c r="F19692" s="5" t="str">
        <f>"Descripcion:LICENCIA WINDWS 8.1 Estado: Bueno Placa anterior: 000037349 Material:  Color:  Referencia:  Observacion:  Placa padre:  Tipo adquisicion : Entidad"</f>
        <v>Descripcion:LICENCIA WINDWS 8.1 Estado: Bueno Placa anterior: 000037349 Material:  Color:  Referencia:  Observacion:  Placa padre:  Tipo adquisicion : Entidad</v>
      </c>
      <c r="G19692" s="5"/>
    </row>
    <row r="19693" spans="1:7" ht="58.5" customHeight="1" x14ac:dyDescent="0.25">
      <c r="A19693" s="5" t="str">
        <f>"B0004750"</f>
        <v>B0004750</v>
      </c>
      <c r="B19693" s="5" t="str">
        <f t="shared" si="1002"/>
        <v>WINDOWS 8 PROFESIONAL</v>
      </c>
      <c r="C19693" s="6">
        <v>337247</v>
      </c>
      <c r="D19693" s="5" t="s">
        <v>856</v>
      </c>
      <c r="E19693" s="5" t="str">
        <f t="shared" si="1003"/>
        <v>SISTEMAS-GLOBALTRONIK SAS-SERGIO PATIÑO</v>
      </c>
      <c r="F19693" s="5" t="str">
        <f>"Descripcion:LICENCIA WINDWS 8.1 Estado: Bueno Placa anterior: 000037350 Material:  Color:  Referencia:  Observacion:  Placa padre:  Tipo adquisicion : Entidad"</f>
        <v>Descripcion:LICENCIA WINDWS 8.1 Estado: Bueno Placa anterior: 000037350 Material:  Color:  Referencia:  Observacion:  Placa padre:  Tipo adquisicion : Entidad</v>
      </c>
      <c r="G19693" s="5"/>
    </row>
    <row r="19694" spans="1:7" ht="58.5" customHeight="1" x14ac:dyDescent="0.25">
      <c r="A19694" s="5" t="str">
        <f>"B0004751"</f>
        <v>B0004751</v>
      </c>
      <c r="B19694" s="5" t="str">
        <f t="shared" si="1002"/>
        <v>WINDOWS 8 PROFESIONAL</v>
      </c>
      <c r="C19694" s="6">
        <v>337247</v>
      </c>
      <c r="D19694" s="5" t="s">
        <v>856</v>
      </c>
      <c r="E19694" s="5" t="str">
        <f t="shared" si="1003"/>
        <v>SISTEMAS-GLOBALTRONIK SAS-SERGIO PATIÑO</v>
      </c>
      <c r="F19694" s="5" t="str">
        <f>"Descripcion:LICENCIA WINDWS 8.1 Estado: Bueno Placa anterior: 000037351 Material:  Color:  Referencia:  Observacion:  Placa padre:  Tipo adquisicion : Entidad"</f>
        <v>Descripcion:LICENCIA WINDWS 8.1 Estado: Bueno Placa anterior: 000037351 Material:  Color:  Referencia:  Observacion:  Placa padre:  Tipo adquisicion : Entidad</v>
      </c>
      <c r="G19694" s="5"/>
    </row>
    <row r="19695" spans="1:7" ht="58.5" customHeight="1" x14ac:dyDescent="0.25">
      <c r="A19695" s="5" t="str">
        <f>"B0004752"</f>
        <v>B0004752</v>
      </c>
      <c r="B19695" s="5" t="str">
        <f t="shared" si="1002"/>
        <v>WINDOWS 8 PROFESIONAL</v>
      </c>
      <c r="C19695" s="6">
        <v>337247</v>
      </c>
      <c r="D19695" s="5" t="s">
        <v>856</v>
      </c>
      <c r="E19695" s="5" t="str">
        <f t="shared" si="1003"/>
        <v>SISTEMAS-GLOBALTRONIK SAS-SERGIO PATIÑO</v>
      </c>
      <c r="F19695" s="5" t="str">
        <f>"Descripcion:LICENCIA WINDWS 8.1 Estado: Bueno Placa anterior: 000037352 Material:  Color:  Referencia:  Observacion:  Placa padre:  Tipo adquisicion : Entidad"</f>
        <v>Descripcion:LICENCIA WINDWS 8.1 Estado: Bueno Placa anterior: 000037352 Material:  Color:  Referencia:  Observacion:  Placa padre:  Tipo adquisicion : Entidad</v>
      </c>
      <c r="G19695" s="5"/>
    </row>
    <row r="19696" spans="1:7" ht="58.5" customHeight="1" x14ac:dyDescent="0.25">
      <c r="A19696" s="5" t="str">
        <f>"B0004753"</f>
        <v>B0004753</v>
      </c>
      <c r="B19696" s="5" t="str">
        <f t="shared" si="1002"/>
        <v>WINDOWS 8 PROFESIONAL</v>
      </c>
      <c r="C19696" s="6">
        <v>337247</v>
      </c>
      <c r="D19696" s="5" t="s">
        <v>856</v>
      </c>
      <c r="E19696" s="5" t="str">
        <f t="shared" si="1003"/>
        <v>SISTEMAS-GLOBALTRONIK SAS-SERGIO PATIÑO</v>
      </c>
      <c r="F19696" s="5" t="str">
        <f>"Descripcion:LICENCIA WINDWS 8.1 Estado: Bueno Placa anterior: 000037353 Material:  Color:  Referencia:  Observacion:  Placa padre:  Tipo adquisicion : Entidad"</f>
        <v>Descripcion:LICENCIA WINDWS 8.1 Estado: Bueno Placa anterior: 000037353 Material:  Color:  Referencia:  Observacion:  Placa padre:  Tipo adquisicion : Entidad</v>
      </c>
      <c r="G19696" s="5"/>
    </row>
    <row r="19697" spans="1:7" ht="58.5" customHeight="1" x14ac:dyDescent="0.25">
      <c r="A19697" s="5" t="str">
        <f>"B0004754"</f>
        <v>B0004754</v>
      </c>
      <c r="B19697" s="5" t="str">
        <f t="shared" si="1002"/>
        <v>WINDOWS 8 PROFESIONAL</v>
      </c>
      <c r="C19697" s="6">
        <v>337247</v>
      </c>
      <c r="D19697" s="5" t="s">
        <v>856</v>
      </c>
      <c r="E19697" s="5" t="str">
        <f t="shared" si="1003"/>
        <v>SISTEMAS-GLOBALTRONIK SAS-SERGIO PATIÑO</v>
      </c>
      <c r="F19697" s="5" t="str">
        <f>"Descripcion:LICENCIA WINDWS 8.1 Estado: Bueno Placa anterior: 000037354 Material:  Color:  Referencia:  Observacion:  Placa padre:  Tipo adquisicion : Entidad"</f>
        <v>Descripcion:LICENCIA WINDWS 8.1 Estado: Bueno Placa anterior: 000037354 Material:  Color:  Referencia:  Observacion:  Placa padre:  Tipo adquisicion : Entidad</v>
      </c>
      <c r="G19697" s="5"/>
    </row>
    <row r="19698" spans="1:7" ht="58.5" customHeight="1" x14ac:dyDescent="0.25">
      <c r="A19698" s="5" t="str">
        <f>"B0004755"</f>
        <v>B0004755</v>
      </c>
      <c r="B19698" s="5" t="str">
        <f t="shared" si="1002"/>
        <v>WINDOWS 8 PROFESIONAL</v>
      </c>
      <c r="C19698" s="6">
        <v>337247</v>
      </c>
      <c r="D19698" s="5" t="s">
        <v>856</v>
      </c>
      <c r="E19698" s="5" t="str">
        <f t="shared" si="1003"/>
        <v>SISTEMAS-GLOBALTRONIK SAS-SERGIO PATIÑO</v>
      </c>
      <c r="F19698" s="5" t="str">
        <f>"Descripcion:LICENCIA WINDWS 8.1 Estado: Bueno Placa anterior: 000037355 Material:  Color:  Referencia:  Observacion:  Placa padre:  Tipo adquisicion : Entidad"</f>
        <v>Descripcion:LICENCIA WINDWS 8.1 Estado: Bueno Placa anterior: 000037355 Material:  Color:  Referencia:  Observacion:  Placa padre:  Tipo adquisicion : Entidad</v>
      </c>
      <c r="G19698" s="5"/>
    </row>
    <row r="19699" spans="1:7" ht="58.5" customHeight="1" x14ac:dyDescent="0.25">
      <c r="A19699" s="5" t="str">
        <f>"B0004756"</f>
        <v>B0004756</v>
      </c>
      <c r="B19699" s="5" t="str">
        <f t="shared" si="1002"/>
        <v>WINDOWS 8 PROFESIONAL</v>
      </c>
      <c r="C19699" s="6">
        <v>337247</v>
      </c>
      <c r="D19699" s="5" t="s">
        <v>856</v>
      </c>
      <c r="E19699" s="5" t="str">
        <f t="shared" si="1003"/>
        <v>SISTEMAS-GLOBALTRONIK SAS-SERGIO PATIÑO</v>
      </c>
      <c r="F19699" s="5" t="str">
        <f>"Descripcion:LICENCIA WINDWS 8.1 Estado: Bueno Placa anterior: 000037356 Material:  Color:  Referencia:  Observacion:  Placa padre:  Tipo adquisicion : Entidad"</f>
        <v>Descripcion:LICENCIA WINDWS 8.1 Estado: Bueno Placa anterior: 000037356 Material:  Color:  Referencia:  Observacion:  Placa padre:  Tipo adquisicion : Entidad</v>
      </c>
      <c r="G19699" s="5"/>
    </row>
    <row r="19700" spans="1:7" ht="58.5" customHeight="1" x14ac:dyDescent="0.25">
      <c r="A19700" s="5" t="str">
        <f>"B0004757"</f>
        <v>B0004757</v>
      </c>
      <c r="B19700" s="5" t="str">
        <f t="shared" si="1002"/>
        <v>WINDOWS 8 PROFESIONAL</v>
      </c>
      <c r="C19700" s="6">
        <v>337247</v>
      </c>
      <c r="D19700" s="5" t="s">
        <v>856</v>
      </c>
      <c r="E19700" s="5" t="str">
        <f t="shared" si="1003"/>
        <v>SISTEMAS-GLOBALTRONIK SAS-SERGIO PATIÑO</v>
      </c>
      <c r="F19700" s="5" t="str">
        <f>"Descripcion:LICENCIA WINDWS 8.1 Estado: Bueno Placa anterior: 000037357 Material:  Color:  Referencia:  Observacion:  Placa padre:  Tipo adquisicion : Entidad"</f>
        <v>Descripcion:LICENCIA WINDWS 8.1 Estado: Bueno Placa anterior: 000037357 Material:  Color:  Referencia:  Observacion:  Placa padre:  Tipo adquisicion : Entidad</v>
      </c>
      <c r="G19700" s="5"/>
    </row>
    <row r="19701" spans="1:7" ht="58.5" customHeight="1" x14ac:dyDescent="0.25">
      <c r="A19701" s="5" t="str">
        <f>"B0004758"</f>
        <v>B0004758</v>
      </c>
      <c r="B19701" s="5" t="str">
        <f t="shared" si="1002"/>
        <v>WINDOWS 8 PROFESIONAL</v>
      </c>
      <c r="C19701" s="6">
        <v>337247</v>
      </c>
      <c r="D19701" s="5" t="s">
        <v>856</v>
      </c>
      <c r="E19701" s="5" t="str">
        <f t="shared" si="1003"/>
        <v>SISTEMAS-GLOBALTRONIK SAS-SERGIO PATIÑO</v>
      </c>
      <c r="F19701" s="5" t="str">
        <f>"Descripcion:LICENCIA WINDWS 8.1 Estado: Bueno Placa anterior: 000037358 Material:  Color:  Referencia:  Observacion:  Placa padre:  Tipo adquisicion : Entidad"</f>
        <v>Descripcion:LICENCIA WINDWS 8.1 Estado: Bueno Placa anterior: 000037358 Material:  Color:  Referencia:  Observacion:  Placa padre:  Tipo adquisicion : Entidad</v>
      </c>
      <c r="G19701" s="5"/>
    </row>
    <row r="19702" spans="1:7" ht="58.5" customHeight="1" x14ac:dyDescent="0.25">
      <c r="A19702" s="5" t="str">
        <f>"B0004759"</f>
        <v>B0004759</v>
      </c>
      <c r="B19702" s="5" t="str">
        <f t="shared" si="1002"/>
        <v>WINDOWS 8 PROFESIONAL</v>
      </c>
      <c r="C19702" s="6">
        <v>337247</v>
      </c>
      <c r="D19702" s="5" t="s">
        <v>856</v>
      </c>
      <c r="E19702" s="5" t="str">
        <f t="shared" si="1003"/>
        <v>SISTEMAS-GLOBALTRONIK SAS-SERGIO PATIÑO</v>
      </c>
      <c r="F19702" s="5" t="str">
        <f>"Descripcion:LICENCIA WINDWS 8.1 Estado: Bueno Placa anterior: 000037359 Material:  Color:  Referencia:  Observacion:  Placa padre:  Tipo adquisicion : Entidad"</f>
        <v>Descripcion:LICENCIA WINDWS 8.1 Estado: Bueno Placa anterior: 000037359 Material:  Color:  Referencia:  Observacion:  Placa padre:  Tipo adquisicion : Entidad</v>
      </c>
      <c r="G19702" s="5"/>
    </row>
    <row r="19703" spans="1:7" ht="58.5" customHeight="1" x14ac:dyDescent="0.25">
      <c r="A19703" s="5" t="str">
        <f>"B0004760"</f>
        <v>B0004760</v>
      </c>
      <c r="B19703" s="5" t="str">
        <f t="shared" si="1002"/>
        <v>WINDOWS 8 PROFESIONAL</v>
      </c>
      <c r="C19703" s="6">
        <v>337247</v>
      </c>
      <c r="D19703" s="5" t="s">
        <v>856</v>
      </c>
      <c r="E19703" s="5" t="str">
        <f t="shared" si="1003"/>
        <v>SISTEMAS-GLOBALTRONIK SAS-SERGIO PATIÑO</v>
      </c>
      <c r="F19703" s="5" t="str">
        <f>"Descripcion:LICENCIA WINDWS 8.1 Estado: Bueno Placa anterior: 000037360 Material:  Color:  Referencia:  Observacion:  Placa padre:  Tipo adquisicion : Entidad"</f>
        <v>Descripcion:LICENCIA WINDWS 8.1 Estado: Bueno Placa anterior: 000037360 Material:  Color:  Referencia:  Observacion:  Placa padre:  Tipo adquisicion : Entidad</v>
      </c>
      <c r="G19703" s="5"/>
    </row>
    <row r="19704" spans="1:7" ht="58.5" customHeight="1" x14ac:dyDescent="0.25">
      <c r="A19704" s="5" t="str">
        <f>"B0004761"</f>
        <v>B0004761</v>
      </c>
      <c r="B19704" s="5" t="str">
        <f t="shared" si="1002"/>
        <v>WINDOWS 8 PROFESIONAL</v>
      </c>
      <c r="C19704" s="6">
        <v>337247</v>
      </c>
      <c r="D19704" s="5" t="s">
        <v>856</v>
      </c>
      <c r="E19704" s="5" t="str">
        <f t="shared" si="1003"/>
        <v>SISTEMAS-GLOBALTRONIK SAS-SERGIO PATIÑO</v>
      </c>
      <c r="F19704" s="5" t="str">
        <f>"Descripcion:LICENCIA WINDWS 8.1 Estado: Bueno Placa anterior: 000037361 Material:  Color:  Referencia:  Observacion:  Placa padre:  Tipo adquisicion : Entidad"</f>
        <v>Descripcion:LICENCIA WINDWS 8.1 Estado: Bueno Placa anterior: 000037361 Material:  Color:  Referencia:  Observacion:  Placa padre:  Tipo adquisicion : Entidad</v>
      </c>
      <c r="G19704" s="5"/>
    </row>
    <row r="19705" spans="1:7" ht="58.5" customHeight="1" x14ac:dyDescent="0.25">
      <c r="A19705" s="5" t="str">
        <f>"B0004762"</f>
        <v>B0004762</v>
      </c>
      <c r="B19705" s="5" t="str">
        <f t="shared" si="1002"/>
        <v>WINDOWS 8 PROFESIONAL</v>
      </c>
      <c r="C19705" s="6">
        <v>337247</v>
      </c>
      <c r="D19705" s="5" t="s">
        <v>856</v>
      </c>
      <c r="E19705" s="5" t="str">
        <f t="shared" si="1003"/>
        <v>SISTEMAS-GLOBALTRONIK SAS-SERGIO PATIÑO</v>
      </c>
      <c r="F19705" s="5" t="str">
        <f>"Descripcion:LICENCIA WINDWS 8.1 Estado: Bueno Placa anterior: 000037362 Material:  Color:  Referencia:  Observacion:  Placa padre:  Tipo adquisicion : Entidad"</f>
        <v>Descripcion:LICENCIA WINDWS 8.1 Estado: Bueno Placa anterior: 000037362 Material:  Color:  Referencia:  Observacion:  Placa padre:  Tipo adquisicion : Entidad</v>
      </c>
      <c r="G19705" s="5"/>
    </row>
    <row r="19706" spans="1:7" ht="58.5" customHeight="1" x14ac:dyDescent="0.25">
      <c r="A19706" s="5" t="str">
        <f>"B0004763"</f>
        <v>B0004763</v>
      </c>
      <c r="B19706" s="5" t="str">
        <f t="shared" si="1002"/>
        <v>WINDOWS 8 PROFESIONAL</v>
      </c>
      <c r="C19706" s="6">
        <v>337247</v>
      </c>
      <c r="D19706" s="5" t="s">
        <v>856</v>
      </c>
      <c r="E19706" s="5" t="str">
        <f t="shared" si="1003"/>
        <v>SISTEMAS-GLOBALTRONIK SAS-SERGIO PATIÑO</v>
      </c>
      <c r="F19706" s="5" t="str">
        <f>"Descripcion:LICENCIA WINDWS 8.1 Estado: Bueno Placa anterior: 000037363 Material:  Color:  Referencia:  Observacion:  Placa padre:  Tipo adquisicion : Entidad"</f>
        <v>Descripcion:LICENCIA WINDWS 8.1 Estado: Bueno Placa anterior: 000037363 Material:  Color:  Referencia:  Observacion:  Placa padre:  Tipo adquisicion : Entidad</v>
      </c>
      <c r="G19706" s="5"/>
    </row>
    <row r="19707" spans="1:7" ht="58.5" customHeight="1" x14ac:dyDescent="0.25">
      <c r="A19707" s="5" t="str">
        <f>"B0004764"</f>
        <v>B0004764</v>
      </c>
      <c r="B19707" s="5" t="str">
        <f t="shared" si="1002"/>
        <v>WINDOWS 8 PROFESIONAL</v>
      </c>
      <c r="C19707" s="6">
        <v>337247</v>
      </c>
      <c r="D19707" s="5" t="s">
        <v>856</v>
      </c>
      <c r="E19707" s="5" t="str">
        <f t="shared" si="1003"/>
        <v>SISTEMAS-GLOBALTRONIK SAS-SERGIO PATIÑO</v>
      </c>
      <c r="F19707" s="5" t="str">
        <f>"Descripcion:LICENCIA WINDWS 8.1 Estado: Bueno Placa anterior: 000037364 Material:  Color:  Referencia:  Observacion:  Placa padre:  Tipo adquisicion : Entidad"</f>
        <v>Descripcion:LICENCIA WINDWS 8.1 Estado: Bueno Placa anterior: 000037364 Material:  Color:  Referencia:  Observacion:  Placa padre:  Tipo adquisicion : Entidad</v>
      </c>
      <c r="G19707" s="5"/>
    </row>
    <row r="19708" spans="1:7" ht="58.5" customHeight="1" x14ac:dyDescent="0.25">
      <c r="A19708" s="5" t="str">
        <f>"B0004765"</f>
        <v>B0004765</v>
      </c>
      <c r="B19708" s="5" t="str">
        <f t="shared" si="1002"/>
        <v>WINDOWS 8 PROFESIONAL</v>
      </c>
      <c r="C19708" s="6">
        <v>337247</v>
      </c>
      <c r="D19708" s="5" t="s">
        <v>856</v>
      </c>
      <c r="E19708" s="5" t="str">
        <f t="shared" si="1003"/>
        <v>SISTEMAS-GLOBALTRONIK SAS-SERGIO PATIÑO</v>
      </c>
      <c r="F19708" s="5" t="str">
        <f>"Descripcion:LICENCIA WINDWS 8.1 Estado: Bueno Placa anterior: 000037365 Material:  Color:  Referencia:  Observacion:  Placa padre:  Tipo adquisicion : Entidad"</f>
        <v>Descripcion:LICENCIA WINDWS 8.1 Estado: Bueno Placa anterior: 000037365 Material:  Color:  Referencia:  Observacion:  Placa padre:  Tipo adquisicion : Entidad</v>
      </c>
      <c r="G19708" s="5"/>
    </row>
    <row r="19709" spans="1:7" ht="58.5" customHeight="1" x14ac:dyDescent="0.25">
      <c r="A19709" s="5" t="str">
        <f>"B0004766"</f>
        <v>B0004766</v>
      </c>
      <c r="B19709" s="5" t="str">
        <f t="shared" ref="B19709:B19772" si="1004">"WINDOWS 8 PROFESIONAL"</f>
        <v>WINDOWS 8 PROFESIONAL</v>
      </c>
      <c r="C19709" s="6">
        <v>337247</v>
      </c>
      <c r="D19709" s="5" t="s">
        <v>856</v>
      </c>
      <c r="E19709" s="5" t="str">
        <f t="shared" ref="E19709:E19772" si="1005">"SISTEMAS-GLOBALTRONIK SAS-SERGIO PATIÑO"</f>
        <v>SISTEMAS-GLOBALTRONIK SAS-SERGIO PATIÑO</v>
      </c>
      <c r="F19709" s="5" t="str">
        <f>"Descripcion:LICENCIA WINDWS 8.1 Estado: Bueno Placa anterior: 000037366 Material:  Color:  Referencia:  Observacion:  Placa padre:  Tipo adquisicion : Entidad"</f>
        <v>Descripcion:LICENCIA WINDWS 8.1 Estado: Bueno Placa anterior: 000037366 Material:  Color:  Referencia:  Observacion:  Placa padre:  Tipo adquisicion : Entidad</v>
      </c>
      <c r="G19709" s="5"/>
    </row>
    <row r="19710" spans="1:7" ht="58.5" customHeight="1" x14ac:dyDescent="0.25">
      <c r="A19710" s="5" t="str">
        <f>"B0004767"</f>
        <v>B0004767</v>
      </c>
      <c r="B19710" s="5" t="str">
        <f t="shared" si="1004"/>
        <v>WINDOWS 8 PROFESIONAL</v>
      </c>
      <c r="C19710" s="6">
        <v>337247</v>
      </c>
      <c r="D19710" s="5" t="s">
        <v>856</v>
      </c>
      <c r="E19710" s="5" t="str">
        <f t="shared" si="1005"/>
        <v>SISTEMAS-GLOBALTRONIK SAS-SERGIO PATIÑO</v>
      </c>
      <c r="F19710" s="5" t="str">
        <f>"Descripcion:LICENCIA WINDWS 8.1 Estado: Bueno Placa anterior: 000037367 Material:  Color:  Referencia:  Observacion:  Placa padre:  Tipo adquisicion : Entidad"</f>
        <v>Descripcion:LICENCIA WINDWS 8.1 Estado: Bueno Placa anterior: 000037367 Material:  Color:  Referencia:  Observacion:  Placa padre:  Tipo adquisicion : Entidad</v>
      </c>
      <c r="G19710" s="5"/>
    </row>
    <row r="19711" spans="1:7" ht="58.5" customHeight="1" x14ac:dyDescent="0.25">
      <c r="A19711" s="5" t="str">
        <f>"B0004768"</f>
        <v>B0004768</v>
      </c>
      <c r="B19711" s="5" t="str">
        <f t="shared" si="1004"/>
        <v>WINDOWS 8 PROFESIONAL</v>
      </c>
      <c r="C19711" s="6">
        <v>337247</v>
      </c>
      <c r="D19711" s="5" t="s">
        <v>856</v>
      </c>
      <c r="E19711" s="5" t="str">
        <f t="shared" si="1005"/>
        <v>SISTEMAS-GLOBALTRONIK SAS-SERGIO PATIÑO</v>
      </c>
      <c r="F19711" s="5" t="str">
        <f>"Descripcion:LICENCIA WINDWS 8.1 Estado: Bueno Placa anterior: 000037368 Material:  Color:  Referencia:  Observacion:  Placa padre:  Tipo adquisicion : Entidad"</f>
        <v>Descripcion:LICENCIA WINDWS 8.1 Estado: Bueno Placa anterior: 000037368 Material:  Color:  Referencia:  Observacion:  Placa padre:  Tipo adquisicion : Entidad</v>
      </c>
      <c r="G19711" s="5"/>
    </row>
    <row r="19712" spans="1:7" ht="58.5" customHeight="1" x14ac:dyDescent="0.25">
      <c r="A19712" s="5" t="str">
        <f>"B0004769"</f>
        <v>B0004769</v>
      </c>
      <c r="B19712" s="5" t="str">
        <f t="shared" si="1004"/>
        <v>WINDOWS 8 PROFESIONAL</v>
      </c>
      <c r="C19712" s="6">
        <v>337247</v>
      </c>
      <c r="D19712" s="5" t="s">
        <v>856</v>
      </c>
      <c r="E19712" s="5" t="str">
        <f t="shared" si="1005"/>
        <v>SISTEMAS-GLOBALTRONIK SAS-SERGIO PATIÑO</v>
      </c>
      <c r="F19712" s="5" t="str">
        <f>"Descripcion:LICENCIA WINDWS 8.1 Estado: Bueno Placa anterior: 000037369 Material:  Color:  Referencia:  Observacion:  Placa padre:  Tipo adquisicion : Entidad"</f>
        <v>Descripcion:LICENCIA WINDWS 8.1 Estado: Bueno Placa anterior: 000037369 Material:  Color:  Referencia:  Observacion:  Placa padre:  Tipo adquisicion : Entidad</v>
      </c>
      <c r="G19712" s="5"/>
    </row>
    <row r="19713" spans="1:7" ht="58.5" customHeight="1" x14ac:dyDescent="0.25">
      <c r="A19713" s="5" t="str">
        <f>"B0004770"</f>
        <v>B0004770</v>
      </c>
      <c r="B19713" s="5" t="str">
        <f t="shared" si="1004"/>
        <v>WINDOWS 8 PROFESIONAL</v>
      </c>
      <c r="C19713" s="6">
        <v>337247</v>
      </c>
      <c r="D19713" s="5" t="s">
        <v>856</v>
      </c>
      <c r="E19713" s="5" t="str">
        <f t="shared" si="1005"/>
        <v>SISTEMAS-GLOBALTRONIK SAS-SERGIO PATIÑO</v>
      </c>
      <c r="F19713" s="5" t="str">
        <f>"Descripcion:LICENCIA WINDWS 8.1 Estado: Bueno Placa anterior: 000037370 Material:  Color:  Referencia:  Observacion:  Placa padre:  Tipo adquisicion : Entidad"</f>
        <v>Descripcion:LICENCIA WINDWS 8.1 Estado: Bueno Placa anterior: 000037370 Material:  Color:  Referencia:  Observacion:  Placa padre:  Tipo adquisicion : Entidad</v>
      </c>
      <c r="G19713" s="5"/>
    </row>
    <row r="19714" spans="1:7" ht="58.5" customHeight="1" x14ac:dyDescent="0.25">
      <c r="A19714" s="5" t="str">
        <f>"B0004771"</f>
        <v>B0004771</v>
      </c>
      <c r="B19714" s="5" t="str">
        <f t="shared" si="1004"/>
        <v>WINDOWS 8 PROFESIONAL</v>
      </c>
      <c r="C19714" s="6">
        <v>337247</v>
      </c>
      <c r="D19714" s="5" t="s">
        <v>856</v>
      </c>
      <c r="E19714" s="5" t="str">
        <f t="shared" si="1005"/>
        <v>SISTEMAS-GLOBALTRONIK SAS-SERGIO PATIÑO</v>
      </c>
      <c r="F19714" s="5" t="str">
        <f>"Descripcion:LICENCIA WINDWS 8.1 Estado: Bueno Placa anterior: 000037371 Material:  Color:  Referencia:  Observacion:  Placa padre:  Tipo adquisicion : Entidad"</f>
        <v>Descripcion:LICENCIA WINDWS 8.1 Estado: Bueno Placa anterior: 000037371 Material:  Color:  Referencia:  Observacion:  Placa padre:  Tipo adquisicion : Entidad</v>
      </c>
      <c r="G19714" s="5"/>
    </row>
    <row r="19715" spans="1:7" ht="58.5" customHeight="1" x14ac:dyDescent="0.25">
      <c r="A19715" s="5" t="str">
        <f>"B0004772"</f>
        <v>B0004772</v>
      </c>
      <c r="B19715" s="5" t="str">
        <f t="shared" si="1004"/>
        <v>WINDOWS 8 PROFESIONAL</v>
      </c>
      <c r="C19715" s="6">
        <v>337247</v>
      </c>
      <c r="D19715" s="5" t="s">
        <v>856</v>
      </c>
      <c r="E19715" s="5" t="str">
        <f t="shared" si="1005"/>
        <v>SISTEMAS-GLOBALTRONIK SAS-SERGIO PATIÑO</v>
      </c>
      <c r="F19715" s="5" t="str">
        <f>"Descripcion:LICENCIA WINDWS 8.1 Estado: Bueno Placa anterior: 000037372 Material:  Color:  Referencia:  Observacion:  Placa padre:  Tipo adquisicion : Entidad"</f>
        <v>Descripcion:LICENCIA WINDWS 8.1 Estado: Bueno Placa anterior: 000037372 Material:  Color:  Referencia:  Observacion:  Placa padre:  Tipo adquisicion : Entidad</v>
      </c>
      <c r="G19715" s="5"/>
    </row>
    <row r="19716" spans="1:7" ht="58.5" customHeight="1" x14ac:dyDescent="0.25">
      <c r="A19716" s="5" t="str">
        <f>"B0004773"</f>
        <v>B0004773</v>
      </c>
      <c r="B19716" s="5" t="str">
        <f t="shared" si="1004"/>
        <v>WINDOWS 8 PROFESIONAL</v>
      </c>
      <c r="C19716" s="6">
        <v>337247</v>
      </c>
      <c r="D19716" s="5" t="s">
        <v>856</v>
      </c>
      <c r="E19716" s="5" t="str">
        <f t="shared" si="1005"/>
        <v>SISTEMAS-GLOBALTRONIK SAS-SERGIO PATIÑO</v>
      </c>
      <c r="F19716" s="5" t="str">
        <f>"Descripcion:LICENCIA WINDWS 8.1 Estado: Bueno Placa anterior: 000037373 Material:  Color:  Referencia:  Observacion:  Placa padre:  Tipo adquisicion : Entidad"</f>
        <v>Descripcion:LICENCIA WINDWS 8.1 Estado: Bueno Placa anterior: 000037373 Material:  Color:  Referencia:  Observacion:  Placa padre:  Tipo adquisicion : Entidad</v>
      </c>
      <c r="G19716" s="5"/>
    </row>
    <row r="19717" spans="1:7" ht="58.5" customHeight="1" x14ac:dyDescent="0.25">
      <c r="A19717" s="5" t="str">
        <f>"B0004774"</f>
        <v>B0004774</v>
      </c>
      <c r="B19717" s="5" t="str">
        <f t="shared" si="1004"/>
        <v>WINDOWS 8 PROFESIONAL</v>
      </c>
      <c r="C19717" s="6">
        <v>337247</v>
      </c>
      <c r="D19717" s="5" t="s">
        <v>856</v>
      </c>
      <c r="E19717" s="5" t="str">
        <f t="shared" si="1005"/>
        <v>SISTEMAS-GLOBALTRONIK SAS-SERGIO PATIÑO</v>
      </c>
      <c r="F19717" s="5" t="str">
        <f>"Descripcion:LICENCIA WINDWS 8.1 Estado: Bueno Placa anterior: 000037374 Material:  Color:  Referencia:  Observacion:  Placa padre:  Tipo adquisicion : Entidad"</f>
        <v>Descripcion:LICENCIA WINDWS 8.1 Estado: Bueno Placa anterior: 000037374 Material:  Color:  Referencia:  Observacion:  Placa padre:  Tipo adquisicion : Entidad</v>
      </c>
      <c r="G19717" s="5"/>
    </row>
    <row r="19718" spans="1:7" ht="58.5" customHeight="1" x14ac:dyDescent="0.25">
      <c r="A19718" s="5" t="str">
        <f>"B0004775"</f>
        <v>B0004775</v>
      </c>
      <c r="B19718" s="5" t="str">
        <f t="shared" si="1004"/>
        <v>WINDOWS 8 PROFESIONAL</v>
      </c>
      <c r="C19718" s="6">
        <v>337247</v>
      </c>
      <c r="D19718" s="5" t="s">
        <v>856</v>
      </c>
      <c r="E19718" s="5" t="str">
        <f t="shared" si="1005"/>
        <v>SISTEMAS-GLOBALTRONIK SAS-SERGIO PATIÑO</v>
      </c>
      <c r="F19718" s="5" t="str">
        <f>"Descripcion:LICENCIA WINDWS 8.1 Estado: Bueno Placa anterior: 000037375 Material:  Color:  Referencia:  Observacion:  Placa padre:  Tipo adquisicion : Entidad"</f>
        <v>Descripcion:LICENCIA WINDWS 8.1 Estado: Bueno Placa anterior: 000037375 Material:  Color:  Referencia:  Observacion:  Placa padre:  Tipo adquisicion : Entidad</v>
      </c>
      <c r="G19718" s="5"/>
    </row>
    <row r="19719" spans="1:7" ht="58.5" customHeight="1" x14ac:dyDescent="0.25">
      <c r="A19719" s="5" t="str">
        <f>"B0004776"</f>
        <v>B0004776</v>
      </c>
      <c r="B19719" s="5" t="str">
        <f t="shared" si="1004"/>
        <v>WINDOWS 8 PROFESIONAL</v>
      </c>
      <c r="C19719" s="6">
        <v>337247</v>
      </c>
      <c r="D19719" s="5" t="s">
        <v>856</v>
      </c>
      <c r="E19719" s="5" t="str">
        <f t="shared" si="1005"/>
        <v>SISTEMAS-GLOBALTRONIK SAS-SERGIO PATIÑO</v>
      </c>
      <c r="F19719" s="5" t="str">
        <f>"Descripcion:LICENCIA WINDWS 8.1 Estado: Bueno Placa anterior: 000037376 Material:  Color:  Referencia:  Observacion:  Placa padre:  Tipo adquisicion : Entidad"</f>
        <v>Descripcion:LICENCIA WINDWS 8.1 Estado: Bueno Placa anterior: 000037376 Material:  Color:  Referencia:  Observacion:  Placa padre:  Tipo adquisicion : Entidad</v>
      </c>
      <c r="G19719" s="5"/>
    </row>
    <row r="19720" spans="1:7" ht="58.5" customHeight="1" x14ac:dyDescent="0.25">
      <c r="A19720" s="5" t="str">
        <f>"B0004777"</f>
        <v>B0004777</v>
      </c>
      <c r="B19720" s="5" t="str">
        <f t="shared" si="1004"/>
        <v>WINDOWS 8 PROFESIONAL</v>
      </c>
      <c r="C19720" s="6">
        <v>337247</v>
      </c>
      <c r="D19720" s="5" t="s">
        <v>856</v>
      </c>
      <c r="E19720" s="5" t="str">
        <f t="shared" si="1005"/>
        <v>SISTEMAS-GLOBALTRONIK SAS-SERGIO PATIÑO</v>
      </c>
      <c r="F19720" s="5" t="str">
        <f>"Descripcion:LICENCIA WINDWS 8.1 Estado: Bueno Placa anterior: 000037377 Material:  Color:  Referencia:  Observacion:  Placa padre:  Tipo adquisicion : Entidad"</f>
        <v>Descripcion:LICENCIA WINDWS 8.1 Estado: Bueno Placa anterior: 000037377 Material:  Color:  Referencia:  Observacion:  Placa padre:  Tipo adquisicion : Entidad</v>
      </c>
      <c r="G19720" s="5"/>
    </row>
    <row r="19721" spans="1:7" ht="58.5" customHeight="1" x14ac:dyDescent="0.25">
      <c r="A19721" s="5" t="str">
        <f>"B0004778"</f>
        <v>B0004778</v>
      </c>
      <c r="B19721" s="5" t="str">
        <f t="shared" si="1004"/>
        <v>WINDOWS 8 PROFESIONAL</v>
      </c>
      <c r="C19721" s="6">
        <v>337247</v>
      </c>
      <c r="D19721" s="5" t="s">
        <v>856</v>
      </c>
      <c r="E19721" s="5" t="str">
        <f t="shared" si="1005"/>
        <v>SISTEMAS-GLOBALTRONIK SAS-SERGIO PATIÑO</v>
      </c>
      <c r="F19721" s="5" t="str">
        <f>"Descripcion:LICENCIA WINDWS 8.1 Estado: Bueno Placa anterior: 000037378 Material:  Color:  Referencia:  Observacion:  Placa padre:  Tipo adquisicion : Entidad"</f>
        <v>Descripcion:LICENCIA WINDWS 8.1 Estado: Bueno Placa anterior: 000037378 Material:  Color:  Referencia:  Observacion:  Placa padre:  Tipo adquisicion : Entidad</v>
      </c>
      <c r="G19721" s="5"/>
    </row>
    <row r="19722" spans="1:7" ht="58.5" customHeight="1" x14ac:dyDescent="0.25">
      <c r="A19722" s="5" t="str">
        <f>"B0004779"</f>
        <v>B0004779</v>
      </c>
      <c r="B19722" s="5" t="str">
        <f t="shared" si="1004"/>
        <v>WINDOWS 8 PROFESIONAL</v>
      </c>
      <c r="C19722" s="6">
        <v>337247</v>
      </c>
      <c r="D19722" s="5" t="s">
        <v>856</v>
      </c>
      <c r="E19722" s="5" t="str">
        <f t="shared" si="1005"/>
        <v>SISTEMAS-GLOBALTRONIK SAS-SERGIO PATIÑO</v>
      </c>
      <c r="F19722" s="5" t="str">
        <f>"Descripcion:LICENCIA WINDWS 8.1 Estado: Bueno Placa anterior: 000037379 Material:  Color:  Referencia:  Observacion:  Placa padre:  Tipo adquisicion : Entidad"</f>
        <v>Descripcion:LICENCIA WINDWS 8.1 Estado: Bueno Placa anterior: 000037379 Material:  Color:  Referencia:  Observacion:  Placa padre:  Tipo adquisicion : Entidad</v>
      </c>
      <c r="G19722" s="5"/>
    </row>
    <row r="19723" spans="1:7" ht="58.5" customHeight="1" x14ac:dyDescent="0.25">
      <c r="A19723" s="5" t="str">
        <f>"B0004780"</f>
        <v>B0004780</v>
      </c>
      <c r="B19723" s="5" t="str">
        <f t="shared" si="1004"/>
        <v>WINDOWS 8 PROFESIONAL</v>
      </c>
      <c r="C19723" s="6">
        <v>337247</v>
      </c>
      <c r="D19723" s="5" t="s">
        <v>856</v>
      </c>
      <c r="E19723" s="5" t="str">
        <f t="shared" si="1005"/>
        <v>SISTEMAS-GLOBALTRONIK SAS-SERGIO PATIÑO</v>
      </c>
      <c r="F19723" s="5" t="str">
        <f>"Descripcion:LICENCIA WINDWS 8.1 Estado: Bueno Placa anterior: 000037380 Material:  Color:  Referencia:  Observacion:  Placa padre:  Tipo adquisicion : Entidad"</f>
        <v>Descripcion:LICENCIA WINDWS 8.1 Estado: Bueno Placa anterior: 000037380 Material:  Color:  Referencia:  Observacion:  Placa padre:  Tipo adquisicion : Entidad</v>
      </c>
      <c r="G19723" s="5"/>
    </row>
    <row r="19724" spans="1:7" ht="58.5" customHeight="1" x14ac:dyDescent="0.25">
      <c r="A19724" s="5" t="str">
        <f>"B0004781"</f>
        <v>B0004781</v>
      </c>
      <c r="B19724" s="5" t="str">
        <f t="shared" si="1004"/>
        <v>WINDOWS 8 PROFESIONAL</v>
      </c>
      <c r="C19724" s="6">
        <v>337247</v>
      </c>
      <c r="D19724" s="5" t="s">
        <v>856</v>
      </c>
      <c r="E19724" s="5" t="str">
        <f t="shared" si="1005"/>
        <v>SISTEMAS-GLOBALTRONIK SAS-SERGIO PATIÑO</v>
      </c>
      <c r="F19724" s="5" t="str">
        <f>"Descripcion:LICENCIA WINDWS 8.1 Estado: Bueno Placa anterior: 000037307 Material:  Color:  Referencia:  Observacion:  Placa padre:  Tipo adquisicion : Entidad"</f>
        <v>Descripcion:LICENCIA WINDWS 8.1 Estado: Bueno Placa anterior: 000037307 Material:  Color:  Referencia:  Observacion:  Placa padre:  Tipo adquisicion : Entidad</v>
      </c>
      <c r="G19724" s="5"/>
    </row>
    <row r="19725" spans="1:7" ht="58.5" customHeight="1" x14ac:dyDescent="0.25">
      <c r="A19725" s="5" t="str">
        <f>"B0004782"</f>
        <v>B0004782</v>
      </c>
      <c r="B19725" s="5" t="str">
        <f t="shared" si="1004"/>
        <v>WINDOWS 8 PROFESIONAL</v>
      </c>
      <c r="C19725" s="6">
        <v>337247</v>
      </c>
      <c r="D19725" s="5" t="s">
        <v>856</v>
      </c>
      <c r="E19725" s="5" t="str">
        <f t="shared" si="1005"/>
        <v>SISTEMAS-GLOBALTRONIK SAS-SERGIO PATIÑO</v>
      </c>
      <c r="F19725" s="5" t="str">
        <f>"Descripcion:LICENCIA WINDWS 8.1 Estado: Bueno Placa anterior: 000037381 Material:  Color:  Referencia:  Observacion:  Placa padre:  Tipo adquisicion : Entidad"</f>
        <v>Descripcion:LICENCIA WINDWS 8.1 Estado: Bueno Placa anterior: 000037381 Material:  Color:  Referencia:  Observacion:  Placa padre:  Tipo adquisicion : Entidad</v>
      </c>
      <c r="G19725" s="5"/>
    </row>
    <row r="19726" spans="1:7" ht="58.5" customHeight="1" x14ac:dyDescent="0.25">
      <c r="A19726" s="5" t="str">
        <f>"B0004783"</f>
        <v>B0004783</v>
      </c>
      <c r="B19726" s="5" t="str">
        <f t="shared" si="1004"/>
        <v>WINDOWS 8 PROFESIONAL</v>
      </c>
      <c r="C19726" s="6">
        <v>337247</v>
      </c>
      <c r="D19726" s="5" t="s">
        <v>856</v>
      </c>
      <c r="E19726" s="5" t="str">
        <f t="shared" si="1005"/>
        <v>SISTEMAS-GLOBALTRONIK SAS-SERGIO PATIÑO</v>
      </c>
      <c r="F19726" s="5" t="str">
        <f>"Descripcion:LICENCIA WINDWS 8.1 Estado: Bueno Placa anterior: 000037382 Material:  Color:  Referencia:  Observacion:  Placa padre:  Tipo adquisicion : Entidad"</f>
        <v>Descripcion:LICENCIA WINDWS 8.1 Estado: Bueno Placa anterior: 000037382 Material:  Color:  Referencia:  Observacion:  Placa padre:  Tipo adquisicion : Entidad</v>
      </c>
      <c r="G19726" s="5"/>
    </row>
    <row r="19727" spans="1:7" ht="58.5" customHeight="1" x14ac:dyDescent="0.25">
      <c r="A19727" s="5" t="str">
        <f>"B0004784"</f>
        <v>B0004784</v>
      </c>
      <c r="B19727" s="5" t="str">
        <f t="shared" si="1004"/>
        <v>WINDOWS 8 PROFESIONAL</v>
      </c>
      <c r="C19727" s="6">
        <v>337247</v>
      </c>
      <c r="D19727" s="5" t="s">
        <v>856</v>
      </c>
      <c r="E19727" s="5" t="str">
        <f t="shared" si="1005"/>
        <v>SISTEMAS-GLOBALTRONIK SAS-SERGIO PATIÑO</v>
      </c>
      <c r="F19727" s="5" t="str">
        <f>"Descripcion:LICENCIA WINDWS 8.1 Estado: Bueno Placa anterior: 000037383 Material:  Color:  Referencia:  Observacion:  Placa padre:  Tipo adquisicion : Entidad"</f>
        <v>Descripcion:LICENCIA WINDWS 8.1 Estado: Bueno Placa anterior: 000037383 Material:  Color:  Referencia:  Observacion:  Placa padre:  Tipo adquisicion : Entidad</v>
      </c>
      <c r="G19727" s="5"/>
    </row>
    <row r="19728" spans="1:7" ht="58.5" customHeight="1" x14ac:dyDescent="0.25">
      <c r="A19728" s="5" t="str">
        <f>"B0004785"</f>
        <v>B0004785</v>
      </c>
      <c r="B19728" s="5" t="str">
        <f t="shared" si="1004"/>
        <v>WINDOWS 8 PROFESIONAL</v>
      </c>
      <c r="C19728" s="6">
        <v>337247</v>
      </c>
      <c r="D19728" s="5" t="s">
        <v>856</v>
      </c>
      <c r="E19728" s="5" t="str">
        <f t="shared" si="1005"/>
        <v>SISTEMAS-GLOBALTRONIK SAS-SERGIO PATIÑO</v>
      </c>
      <c r="F19728" s="5" t="str">
        <f>"Descripcion:LICENCIA WINDWS 8.1 Estado: Bueno Placa anterior: 000037384 Material:  Color:  Referencia:  Observacion:  Placa padre:  Tipo adquisicion : Entidad"</f>
        <v>Descripcion:LICENCIA WINDWS 8.1 Estado: Bueno Placa anterior: 000037384 Material:  Color:  Referencia:  Observacion:  Placa padre:  Tipo adquisicion : Entidad</v>
      </c>
      <c r="G19728" s="5"/>
    </row>
    <row r="19729" spans="1:7" ht="58.5" customHeight="1" x14ac:dyDescent="0.25">
      <c r="A19729" s="5" t="str">
        <f>"B0004786"</f>
        <v>B0004786</v>
      </c>
      <c r="B19729" s="5" t="str">
        <f t="shared" si="1004"/>
        <v>WINDOWS 8 PROFESIONAL</v>
      </c>
      <c r="C19729" s="6">
        <v>337247</v>
      </c>
      <c r="D19729" s="5" t="s">
        <v>856</v>
      </c>
      <c r="E19729" s="5" t="str">
        <f t="shared" si="1005"/>
        <v>SISTEMAS-GLOBALTRONIK SAS-SERGIO PATIÑO</v>
      </c>
      <c r="F19729" s="5" t="str">
        <f>"Descripcion:LICENCIA WINDWS 8.1 Estado: Bueno Placa anterior: 000037385 Material:  Color:  Referencia:  Observacion:  Placa padre:  Tipo adquisicion : Entidad"</f>
        <v>Descripcion:LICENCIA WINDWS 8.1 Estado: Bueno Placa anterior: 000037385 Material:  Color:  Referencia:  Observacion:  Placa padre:  Tipo adquisicion : Entidad</v>
      </c>
      <c r="G19729" s="5"/>
    </row>
    <row r="19730" spans="1:7" ht="58.5" customHeight="1" x14ac:dyDescent="0.25">
      <c r="A19730" s="5" t="str">
        <f>"B0004787"</f>
        <v>B0004787</v>
      </c>
      <c r="B19730" s="5" t="str">
        <f t="shared" si="1004"/>
        <v>WINDOWS 8 PROFESIONAL</v>
      </c>
      <c r="C19730" s="6">
        <v>337247</v>
      </c>
      <c r="D19730" s="5" t="s">
        <v>856</v>
      </c>
      <c r="E19730" s="5" t="str">
        <f t="shared" si="1005"/>
        <v>SISTEMAS-GLOBALTRONIK SAS-SERGIO PATIÑO</v>
      </c>
      <c r="F19730" s="5" t="str">
        <f>"Descripcion:LICENCIA WINDWS 8.1 Estado: Bueno Placa anterior: 000037386 Material:  Color:  Referencia:  Observacion:  Placa padre:  Tipo adquisicion : Entidad"</f>
        <v>Descripcion:LICENCIA WINDWS 8.1 Estado: Bueno Placa anterior: 000037386 Material:  Color:  Referencia:  Observacion:  Placa padre:  Tipo adquisicion : Entidad</v>
      </c>
      <c r="G19730" s="5"/>
    </row>
    <row r="19731" spans="1:7" ht="58.5" customHeight="1" x14ac:dyDescent="0.25">
      <c r="A19731" s="5" t="str">
        <f>"B0004788"</f>
        <v>B0004788</v>
      </c>
      <c r="B19731" s="5" t="str">
        <f t="shared" si="1004"/>
        <v>WINDOWS 8 PROFESIONAL</v>
      </c>
      <c r="C19731" s="6">
        <v>337247</v>
      </c>
      <c r="D19731" s="5" t="s">
        <v>856</v>
      </c>
      <c r="E19731" s="5" t="str">
        <f t="shared" si="1005"/>
        <v>SISTEMAS-GLOBALTRONIK SAS-SERGIO PATIÑO</v>
      </c>
      <c r="F19731" s="5" t="str">
        <f>"Descripcion:LICENCIA WINDWS 8.1 Estado: Bueno Placa anterior: 000037387 Material:  Color:  Referencia:  Observacion:  Placa padre:  Tipo adquisicion : Entidad"</f>
        <v>Descripcion:LICENCIA WINDWS 8.1 Estado: Bueno Placa anterior: 000037387 Material:  Color:  Referencia:  Observacion:  Placa padre:  Tipo adquisicion : Entidad</v>
      </c>
      <c r="G19731" s="5"/>
    </row>
    <row r="19732" spans="1:7" ht="58.5" customHeight="1" x14ac:dyDescent="0.25">
      <c r="A19732" s="5" t="str">
        <f>"B0004789"</f>
        <v>B0004789</v>
      </c>
      <c r="B19732" s="5" t="str">
        <f t="shared" si="1004"/>
        <v>WINDOWS 8 PROFESIONAL</v>
      </c>
      <c r="C19732" s="6">
        <v>337247</v>
      </c>
      <c r="D19732" s="5" t="s">
        <v>856</v>
      </c>
      <c r="E19732" s="5" t="str">
        <f t="shared" si="1005"/>
        <v>SISTEMAS-GLOBALTRONIK SAS-SERGIO PATIÑO</v>
      </c>
      <c r="F19732" s="5" t="str">
        <f>"Descripcion:LICENCIA WINDWS 8.1 Estado: Bueno Placa anterior: 000037388 Material:  Color:  Referencia:  Observacion:  Placa padre:  Tipo adquisicion : Entidad"</f>
        <v>Descripcion:LICENCIA WINDWS 8.1 Estado: Bueno Placa anterior: 000037388 Material:  Color:  Referencia:  Observacion:  Placa padre:  Tipo adquisicion : Entidad</v>
      </c>
      <c r="G19732" s="5"/>
    </row>
    <row r="19733" spans="1:7" ht="58.5" customHeight="1" x14ac:dyDescent="0.25">
      <c r="A19733" s="5" t="str">
        <f>"B0004790"</f>
        <v>B0004790</v>
      </c>
      <c r="B19733" s="5" t="str">
        <f t="shared" si="1004"/>
        <v>WINDOWS 8 PROFESIONAL</v>
      </c>
      <c r="C19733" s="6">
        <v>337247</v>
      </c>
      <c r="D19733" s="5" t="s">
        <v>856</v>
      </c>
      <c r="E19733" s="5" t="str">
        <f t="shared" si="1005"/>
        <v>SISTEMAS-GLOBALTRONIK SAS-SERGIO PATIÑO</v>
      </c>
      <c r="F19733" s="5" t="str">
        <f>"Descripcion:LICENCIA WINDWS 8.1 Estado: Bueno Placa anterior: 000037389 Material:  Color:  Referencia:  Observacion:  Placa padre:  Tipo adquisicion : Entidad"</f>
        <v>Descripcion:LICENCIA WINDWS 8.1 Estado: Bueno Placa anterior: 000037389 Material:  Color:  Referencia:  Observacion:  Placa padre:  Tipo adquisicion : Entidad</v>
      </c>
      <c r="G19733" s="5"/>
    </row>
    <row r="19734" spans="1:7" ht="58.5" customHeight="1" x14ac:dyDescent="0.25">
      <c r="A19734" s="5" t="str">
        <f>"B0004791"</f>
        <v>B0004791</v>
      </c>
      <c r="B19734" s="5" t="str">
        <f t="shared" si="1004"/>
        <v>WINDOWS 8 PROFESIONAL</v>
      </c>
      <c r="C19734" s="6">
        <v>337247</v>
      </c>
      <c r="D19734" s="5" t="s">
        <v>856</v>
      </c>
      <c r="E19734" s="5" t="str">
        <f t="shared" si="1005"/>
        <v>SISTEMAS-GLOBALTRONIK SAS-SERGIO PATIÑO</v>
      </c>
      <c r="F19734" s="5" t="str">
        <f>"Descripcion:LICENCIA WINDWS 8.1 Estado: Bueno Placa anterior: 000037390 Material:  Color:  Referencia:  Observacion:  Placa padre:  Tipo adquisicion : Entidad"</f>
        <v>Descripcion:LICENCIA WINDWS 8.1 Estado: Bueno Placa anterior: 000037390 Material:  Color:  Referencia:  Observacion:  Placa padre:  Tipo adquisicion : Entidad</v>
      </c>
      <c r="G19734" s="5"/>
    </row>
    <row r="19735" spans="1:7" ht="58.5" customHeight="1" x14ac:dyDescent="0.25">
      <c r="A19735" s="5" t="str">
        <f>"B0004792"</f>
        <v>B0004792</v>
      </c>
      <c r="B19735" s="5" t="str">
        <f t="shared" si="1004"/>
        <v>WINDOWS 8 PROFESIONAL</v>
      </c>
      <c r="C19735" s="6">
        <v>337247</v>
      </c>
      <c r="D19735" s="5" t="s">
        <v>856</v>
      </c>
      <c r="E19735" s="5" t="str">
        <f t="shared" si="1005"/>
        <v>SISTEMAS-GLOBALTRONIK SAS-SERGIO PATIÑO</v>
      </c>
      <c r="F19735" s="5" t="str">
        <f>"Descripcion:LICENCIA WINDWS 8.1 Estado: Bueno Placa anterior: 000037391 Material:  Color:  Referencia:  Observacion:  Placa padre:  Tipo adquisicion : Entidad"</f>
        <v>Descripcion:LICENCIA WINDWS 8.1 Estado: Bueno Placa anterior: 000037391 Material:  Color:  Referencia:  Observacion:  Placa padre:  Tipo adquisicion : Entidad</v>
      </c>
      <c r="G19735" s="5"/>
    </row>
    <row r="19736" spans="1:7" ht="58.5" customHeight="1" x14ac:dyDescent="0.25">
      <c r="A19736" s="5" t="str">
        <f>"B0004793"</f>
        <v>B0004793</v>
      </c>
      <c r="B19736" s="5" t="str">
        <f t="shared" si="1004"/>
        <v>WINDOWS 8 PROFESIONAL</v>
      </c>
      <c r="C19736" s="6">
        <v>337247</v>
      </c>
      <c r="D19736" s="5" t="s">
        <v>856</v>
      </c>
      <c r="E19736" s="5" t="str">
        <f t="shared" si="1005"/>
        <v>SISTEMAS-GLOBALTRONIK SAS-SERGIO PATIÑO</v>
      </c>
      <c r="F19736" s="5" t="str">
        <f>"Descripcion:LICENCIA WINDWS 8.1 Estado: Bueno Placa anterior: 000037392 Material:  Color:  Referencia:  Observacion:  Placa padre:  Tipo adquisicion : Entidad"</f>
        <v>Descripcion:LICENCIA WINDWS 8.1 Estado: Bueno Placa anterior: 000037392 Material:  Color:  Referencia:  Observacion:  Placa padre:  Tipo adquisicion : Entidad</v>
      </c>
      <c r="G19736" s="5"/>
    </row>
    <row r="19737" spans="1:7" ht="58.5" customHeight="1" x14ac:dyDescent="0.25">
      <c r="A19737" s="5" t="str">
        <f>"B0004794"</f>
        <v>B0004794</v>
      </c>
      <c r="B19737" s="5" t="str">
        <f t="shared" si="1004"/>
        <v>WINDOWS 8 PROFESIONAL</v>
      </c>
      <c r="C19737" s="6">
        <v>337247</v>
      </c>
      <c r="D19737" s="5" t="s">
        <v>856</v>
      </c>
      <c r="E19737" s="5" t="str">
        <f t="shared" si="1005"/>
        <v>SISTEMAS-GLOBALTRONIK SAS-SERGIO PATIÑO</v>
      </c>
      <c r="F19737" s="5" t="str">
        <f>"Descripcion:LICENCIA WINDWS 8.1 Estado: Bueno Placa anterior: 000037393 Material:  Color:  Referencia:  Observacion:  Placa padre:  Tipo adquisicion : Entidad"</f>
        <v>Descripcion:LICENCIA WINDWS 8.1 Estado: Bueno Placa anterior: 000037393 Material:  Color:  Referencia:  Observacion:  Placa padre:  Tipo adquisicion : Entidad</v>
      </c>
      <c r="G19737" s="5"/>
    </row>
    <row r="19738" spans="1:7" ht="58.5" customHeight="1" x14ac:dyDescent="0.25">
      <c r="A19738" s="5" t="str">
        <f>"B0004795"</f>
        <v>B0004795</v>
      </c>
      <c r="B19738" s="5" t="str">
        <f t="shared" si="1004"/>
        <v>WINDOWS 8 PROFESIONAL</v>
      </c>
      <c r="C19738" s="6">
        <v>337247</v>
      </c>
      <c r="D19738" s="5" t="s">
        <v>856</v>
      </c>
      <c r="E19738" s="5" t="str">
        <f t="shared" si="1005"/>
        <v>SISTEMAS-GLOBALTRONIK SAS-SERGIO PATIÑO</v>
      </c>
      <c r="F19738" s="5" t="str">
        <f>"Descripcion:LICENCIA WINDWS 8.1 Estado: Bueno Placa anterior: 000037394 Material:  Color:  Referencia:  Observacion:  Placa padre:  Tipo adquisicion : Entidad"</f>
        <v>Descripcion:LICENCIA WINDWS 8.1 Estado: Bueno Placa anterior: 000037394 Material:  Color:  Referencia:  Observacion:  Placa padre:  Tipo adquisicion : Entidad</v>
      </c>
      <c r="G19738" s="5"/>
    </row>
    <row r="19739" spans="1:7" ht="58.5" customHeight="1" x14ac:dyDescent="0.25">
      <c r="A19739" s="5" t="str">
        <f>"B0004796"</f>
        <v>B0004796</v>
      </c>
      <c r="B19739" s="5" t="str">
        <f t="shared" si="1004"/>
        <v>WINDOWS 8 PROFESIONAL</v>
      </c>
      <c r="C19739" s="6">
        <v>337247</v>
      </c>
      <c r="D19739" s="5" t="s">
        <v>856</v>
      </c>
      <c r="E19739" s="5" t="str">
        <f t="shared" si="1005"/>
        <v>SISTEMAS-GLOBALTRONIK SAS-SERGIO PATIÑO</v>
      </c>
      <c r="F19739" s="5" t="str">
        <f>"Descripcion:LICENCIA WINDWS 8.1 Estado: Bueno Placa anterior: 000037395 Material:  Color:  Referencia:  Observacion:  Placa padre:  Tipo adquisicion : Entidad"</f>
        <v>Descripcion:LICENCIA WINDWS 8.1 Estado: Bueno Placa anterior: 000037395 Material:  Color:  Referencia:  Observacion:  Placa padre:  Tipo adquisicion : Entidad</v>
      </c>
      <c r="G19739" s="5"/>
    </row>
    <row r="19740" spans="1:7" ht="58.5" customHeight="1" x14ac:dyDescent="0.25">
      <c r="A19740" s="5" t="str">
        <f>"B0004797"</f>
        <v>B0004797</v>
      </c>
      <c r="B19740" s="5" t="str">
        <f t="shared" si="1004"/>
        <v>WINDOWS 8 PROFESIONAL</v>
      </c>
      <c r="C19740" s="6">
        <v>337247</v>
      </c>
      <c r="D19740" s="5" t="s">
        <v>856</v>
      </c>
      <c r="E19740" s="5" t="str">
        <f t="shared" si="1005"/>
        <v>SISTEMAS-GLOBALTRONIK SAS-SERGIO PATIÑO</v>
      </c>
      <c r="F19740" s="5" t="str">
        <f>"Descripcion:LICENCIA WINDWS 8.1 Estado: Bueno Placa anterior: 000037396 Material:  Color:  Referencia:  Observacion:  Placa padre:  Tipo adquisicion : Entidad"</f>
        <v>Descripcion:LICENCIA WINDWS 8.1 Estado: Bueno Placa anterior: 000037396 Material:  Color:  Referencia:  Observacion:  Placa padre:  Tipo adquisicion : Entidad</v>
      </c>
      <c r="G19740" s="5"/>
    </row>
    <row r="19741" spans="1:7" ht="58.5" customHeight="1" x14ac:dyDescent="0.25">
      <c r="A19741" s="5" t="str">
        <f>"B0004798"</f>
        <v>B0004798</v>
      </c>
      <c r="B19741" s="5" t="str">
        <f t="shared" si="1004"/>
        <v>WINDOWS 8 PROFESIONAL</v>
      </c>
      <c r="C19741" s="6">
        <v>337247</v>
      </c>
      <c r="D19741" s="5" t="s">
        <v>856</v>
      </c>
      <c r="E19741" s="5" t="str">
        <f t="shared" si="1005"/>
        <v>SISTEMAS-GLOBALTRONIK SAS-SERGIO PATIÑO</v>
      </c>
      <c r="F19741" s="5" t="str">
        <f>"Descripcion:LICENCIA WINDWS 8.1 Estado: Bueno Placa anterior: 000037397 Material:  Color:  Referencia:  Observacion:  Placa padre:  Tipo adquisicion : Entidad"</f>
        <v>Descripcion:LICENCIA WINDWS 8.1 Estado: Bueno Placa anterior: 000037397 Material:  Color:  Referencia:  Observacion:  Placa padre:  Tipo adquisicion : Entidad</v>
      </c>
      <c r="G19741" s="5"/>
    </row>
    <row r="19742" spans="1:7" ht="58.5" customHeight="1" x14ac:dyDescent="0.25">
      <c r="A19742" s="5" t="str">
        <f>"B0004799"</f>
        <v>B0004799</v>
      </c>
      <c r="B19742" s="5" t="str">
        <f t="shared" si="1004"/>
        <v>WINDOWS 8 PROFESIONAL</v>
      </c>
      <c r="C19742" s="6">
        <v>337247</v>
      </c>
      <c r="D19742" s="5" t="s">
        <v>856</v>
      </c>
      <c r="E19742" s="5" t="str">
        <f t="shared" si="1005"/>
        <v>SISTEMAS-GLOBALTRONIK SAS-SERGIO PATIÑO</v>
      </c>
      <c r="F19742" s="5" t="str">
        <f>"Descripcion:LICENCIA WINDWS 8.1 Estado: Bueno Placa anterior: 000037398 Material:  Color:  Referencia:  Observacion:  Placa padre:  Tipo adquisicion : Entidad"</f>
        <v>Descripcion:LICENCIA WINDWS 8.1 Estado: Bueno Placa anterior: 000037398 Material:  Color:  Referencia:  Observacion:  Placa padre:  Tipo adquisicion : Entidad</v>
      </c>
      <c r="G19742" s="5"/>
    </row>
    <row r="19743" spans="1:7" ht="58.5" customHeight="1" x14ac:dyDescent="0.25">
      <c r="A19743" s="5" t="str">
        <f>"B0004800"</f>
        <v>B0004800</v>
      </c>
      <c r="B19743" s="5" t="str">
        <f t="shared" si="1004"/>
        <v>WINDOWS 8 PROFESIONAL</v>
      </c>
      <c r="C19743" s="6">
        <v>337247</v>
      </c>
      <c r="D19743" s="5" t="s">
        <v>856</v>
      </c>
      <c r="E19743" s="5" t="str">
        <f t="shared" si="1005"/>
        <v>SISTEMAS-GLOBALTRONIK SAS-SERGIO PATIÑO</v>
      </c>
      <c r="F19743" s="5" t="str">
        <f>"Descripcion:LICENCIA WINDWS 8.1 Estado: Bueno Placa anterior: 000037399 Material:  Color:  Referencia:  Observacion:  Placa padre:  Tipo adquisicion : Entidad"</f>
        <v>Descripcion:LICENCIA WINDWS 8.1 Estado: Bueno Placa anterior: 000037399 Material:  Color:  Referencia:  Observacion:  Placa padre:  Tipo adquisicion : Entidad</v>
      </c>
      <c r="G19743" s="5"/>
    </row>
    <row r="19744" spans="1:7" ht="58.5" customHeight="1" x14ac:dyDescent="0.25">
      <c r="A19744" s="5" t="str">
        <f>"B0004801"</f>
        <v>B0004801</v>
      </c>
      <c r="B19744" s="5" t="str">
        <f t="shared" si="1004"/>
        <v>WINDOWS 8 PROFESIONAL</v>
      </c>
      <c r="C19744" s="6">
        <v>337247</v>
      </c>
      <c r="D19744" s="5" t="s">
        <v>856</v>
      </c>
      <c r="E19744" s="5" t="str">
        <f t="shared" si="1005"/>
        <v>SISTEMAS-GLOBALTRONIK SAS-SERGIO PATIÑO</v>
      </c>
      <c r="F19744" s="5" t="str">
        <f>"Descripcion:LICENCIA WINDWS 8.1 Estado: Bueno Placa anterior: 000037400 Material:  Color:  Referencia:  Observacion:  Placa padre:  Tipo adquisicion : Entidad"</f>
        <v>Descripcion:LICENCIA WINDWS 8.1 Estado: Bueno Placa anterior: 000037400 Material:  Color:  Referencia:  Observacion:  Placa padre:  Tipo adquisicion : Entidad</v>
      </c>
      <c r="G19744" s="5"/>
    </row>
    <row r="19745" spans="1:7" ht="58.5" customHeight="1" x14ac:dyDescent="0.25">
      <c r="A19745" s="5" t="str">
        <f>"B0004802"</f>
        <v>B0004802</v>
      </c>
      <c r="B19745" s="5" t="str">
        <f t="shared" si="1004"/>
        <v>WINDOWS 8 PROFESIONAL</v>
      </c>
      <c r="C19745" s="6">
        <v>337247</v>
      </c>
      <c r="D19745" s="5" t="s">
        <v>856</v>
      </c>
      <c r="E19745" s="5" t="str">
        <f t="shared" si="1005"/>
        <v>SISTEMAS-GLOBALTRONIK SAS-SERGIO PATIÑO</v>
      </c>
      <c r="F19745" s="5" t="str">
        <f>"Descripcion:LICENCIA WINDWS 8.1 Estado: Bueno Placa anterior: 000037401 Material:  Color:  Referencia:  Observacion:  Placa padre:  Tipo adquisicion : Entidad"</f>
        <v>Descripcion:LICENCIA WINDWS 8.1 Estado: Bueno Placa anterior: 000037401 Material:  Color:  Referencia:  Observacion:  Placa padre:  Tipo adquisicion : Entidad</v>
      </c>
      <c r="G19745" s="5"/>
    </row>
    <row r="19746" spans="1:7" ht="58.5" customHeight="1" x14ac:dyDescent="0.25">
      <c r="A19746" s="5" t="str">
        <f>"B0004803"</f>
        <v>B0004803</v>
      </c>
      <c r="B19746" s="5" t="str">
        <f t="shared" si="1004"/>
        <v>WINDOWS 8 PROFESIONAL</v>
      </c>
      <c r="C19746" s="6">
        <v>337247</v>
      </c>
      <c r="D19746" s="5" t="s">
        <v>856</v>
      </c>
      <c r="E19746" s="5" t="str">
        <f t="shared" si="1005"/>
        <v>SISTEMAS-GLOBALTRONIK SAS-SERGIO PATIÑO</v>
      </c>
      <c r="F19746" s="5" t="str">
        <f>"Descripcion:LICENCIA WINDWS 8.1 Estado: Bueno Placa anterior: 000037402 Material:  Color:  Referencia:  Observacion:  Placa padre:  Tipo adquisicion : Entidad"</f>
        <v>Descripcion:LICENCIA WINDWS 8.1 Estado: Bueno Placa anterior: 000037402 Material:  Color:  Referencia:  Observacion:  Placa padre:  Tipo adquisicion : Entidad</v>
      </c>
      <c r="G19746" s="5"/>
    </row>
    <row r="19747" spans="1:7" ht="58.5" customHeight="1" x14ac:dyDescent="0.25">
      <c r="A19747" s="5" t="str">
        <f>"B0004804"</f>
        <v>B0004804</v>
      </c>
      <c r="B19747" s="5" t="str">
        <f t="shared" si="1004"/>
        <v>WINDOWS 8 PROFESIONAL</v>
      </c>
      <c r="C19747" s="6">
        <v>337247</v>
      </c>
      <c r="D19747" s="5" t="s">
        <v>856</v>
      </c>
      <c r="E19747" s="5" t="str">
        <f t="shared" si="1005"/>
        <v>SISTEMAS-GLOBALTRONIK SAS-SERGIO PATIÑO</v>
      </c>
      <c r="F19747" s="5" t="str">
        <f>"Descripcion:LICENCIA WINDWS 8.1 Estado: Bueno Placa anterior: 000037403 Material:  Color:  Referencia:  Observacion:  Placa padre:  Tipo adquisicion : Entidad"</f>
        <v>Descripcion:LICENCIA WINDWS 8.1 Estado: Bueno Placa anterior: 000037403 Material:  Color:  Referencia:  Observacion:  Placa padre:  Tipo adquisicion : Entidad</v>
      </c>
      <c r="G19747" s="5"/>
    </row>
    <row r="19748" spans="1:7" ht="58.5" customHeight="1" x14ac:dyDescent="0.25">
      <c r="A19748" s="5" t="str">
        <f>"B0004805"</f>
        <v>B0004805</v>
      </c>
      <c r="B19748" s="5" t="str">
        <f t="shared" si="1004"/>
        <v>WINDOWS 8 PROFESIONAL</v>
      </c>
      <c r="C19748" s="6">
        <v>337247</v>
      </c>
      <c r="D19748" s="5" t="s">
        <v>856</v>
      </c>
      <c r="E19748" s="5" t="str">
        <f t="shared" si="1005"/>
        <v>SISTEMAS-GLOBALTRONIK SAS-SERGIO PATIÑO</v>
      </c>
      <c r="F19748" s="5" t="str">
        <f>"Descripcion:LICENCIA WINDWS 8.1 Estado: Bueno Placa anterior: 000037404 Material:  Color:  Referencia:  Observacion:  Placa padre:  Tipo adquisicion : Entidad"</f>
        <v>Descripcion:LICENCIA WINDWS 8.1 Estado: Bueno Placa anterior: 000037404 Material:  Color:  Referencia:  Observacion:  Placa padre:  Tipo adquisicion : Entidad</v>
      </c>
      <c r="G19748" s="5"/>
    </row>
    <row r="19749" spans="1:7" ht="58.5" customHeight="1" x14ac:dyDescent="0.25">
      <c r="A19749" s="5" t="str">
        <f>"B0004806"</f>
        <v>B0004806</v>
      </c>
      <c r="B19749" s="5" t="str">
        <f t="shared" si="1004"/>
        <v>WINDOWS 8 PROFESIONAL</v>
      </c>
      <c r="C19749" s="6">
        <v>337247</v>
      </c>
      <c r="D19749" s="5" t="s">
        <v>856</v>
      </c>
      <c r="E19749" s="5" t="str">
        <f t="shared" si="1005"/>
        <v>SISTEMAS-GLOBALTRONIK SAS-SERGIO PATIÑO</v>
      </c>
      <c r="F19749" s="5" t="str">
        <f>"Descripcion:LICENCIA WINDWS 8.1 Estado: Bueno Placa anterior: 000037405 Material:  Color:  Referencia:  Observacion:  Placa padre:  Tipo adquisicion : Entidad"</f>
        <v>Descripcion:LICENCIA WINDWS 8.1 Estado: Bueno Placa anterior: 000037405 Material:  Color:  Referencia:  Observacion:  Placa padre:  Tipo adquisicion : Entidad</v>
      </c>
      <c r="G19749" s="5"/>
    </row>
    <row r="19750" spans="1:7" ht="58.5" customHeight="1" x14ac:dyDescent="0.25">
      <c r="A19750" s="5" t="str">
        <f>"B0004807"</f>
        <v>B0004807</v>
      </c>
      <c r="B19750" s="5" t="str">
        <f t="shared" si="1004"/>
        <v>WINDOWS 8 PROFESIONAL</v>
      </c>
      <c r="C19750" s="6">
        <v>337247</v>
      </c>
      <c r="D19750" s="5" t="s">
        <v>856</v>
      </c>
      <c r="E19750" s="5" t="str">
        <f t="shared" si="1005"/>
        <v>SISTEMAS-GLOBALTRONIK SAS-SERGIO PATIÑO</v>
      </c>
      <c r="F19750" s="5" t="str">
        <f>"Descripcion:LICENCIA WINDWS 8.1 Estado: Bueno Placa anterior: 000037406 Material:  Color:  Referencia:  Observacion:  Placa padre:  Tipo adquisicion : Entidad"</f>
        <v>Descripcion:LICENCIA WINDWS 8.1 Estado: Bueno Placa anterior: 000037406 Material:  Color:  Referencia:  Observacion:  Placa padre:  Tipo adquisicion : Entidad</v>
      </c>
      <c r="G19750" s="5"/>
    </row>
    <row r="19751" spans="1:7" ht="58.5" customHeight="1" x14ac:dyDescent="0.25">
      <c r="A19751" s="5" t="str">
        <f>"B0004808"</f>
        <v>B0004808</v>
      </c>
      <c r="B19751" s="5" t="str">
        <f t="shared" si="1004"/>
        <v>WINDOWS 8 PROFESIONAL</v>
      </c>
      <c r="C19751" s="6">
        <v>337247</v>
      </c>
      <c r="D19751" s="5" t="s">
        <v>856</v>
      </c>
      <c r="E19751" s="5" t="str">
        <f t="shared" si="1005"/>
        <v>SISTEMAS-GLOBALTRONIK SAS-SERGIO PATIÑO</v>
      </c>
      <c r="F19751" s="5" t="str">
        <f>"Descripcion:LICENCIA WINDWS 8.1 Estado: Bueno Placa anterior: 000037407 Material:  Color:  Referencia:  Observacion:  Placa padre:  Tipo adquisicion : Entidad"</f>
        <v>Descripcion:LICENCIA WINDWS 8.1 Estado: Bueno Placa anterior: 000037407 Material:  Color:  Referencia:  Observacion:  Placa padre:  Tipo adquisicion : Entidad</v>
      </c>
      <c r="G19751" s="5"/>
    </row>
    <row r="19752" spans="1:7" ht="58.5" customHeight="1" x14ac:dyDescent="0.25">
      <c r="A19752" s="5" t="str">
        <f>"B0004809"</f>
        <v>B0004809</v>
      </c>
      <c r="B19752" s="5" t="str">
        <f t="shared" si="1004"/>
        <v>WINDOWS 8 PROFESIONAL</v>
      </c>
      <c r="C19752" s="6">
        <v>337247</v>
      </c>
      <c r="D19752" s="5" t="s">
        <v>856</v>
      </c>
      <c r="E19752" s="5" t="str">
        <f t="shared" si="1005"/>
        <v>SISTEMAS-GLOBALTRONIK SAS-SERGIO PATIÑO</v>
      </c>
      <c r="F19752" s="5" t="str">
        <f>"Descripcion:LICENCIA WINDWS 8.1 Estado: Bueno Placa anterior: 000037408 Material:  Color:  Referencia:  Observacion:  Placa padre:  Tipo adquisicion : Entidad"</f>
        <v>Descripcion:LICENCIA WINDWS 8.1 Estado: Bueno Placa anterior: 000037408 Material:  Color:  Referencia:  Observacion:  Placa padre:  Tipo adquisicion : Entidad</v>
      </c>
      <c r="G19752" s="5"/>
    </row>
    <row r="19753" spans="1:7" ht="58.5" customHeight="1" x14ac:dyDescent="0.25">
      <c r="A19753" s="5" t="str">
        <f>"B0004810"</f>
        <v>B0004810</v>
      </c>
      <c r="B19753" s="5" t="str">
        <f t="shared" si="1004"/>
        <v>WINDOWS 8 PROFESIONAL</v>
      </c>
      <c r="C19753" s="6">
        <v>337247</v>
      </c>
      <c r="D19753" s="5" t="s">
        <v>856</v>
      </c>
      <c r="E19753" s="5" t="str">
        <f t="shared" si="1005"/>
        <v>SISTEMAS-GLOBALTRONIK SAS-SERGIO PATIÑO</v>
      </c>
      <c r="F19753" s="5" t="str">
        <f>"Descripcion:LICENCIA WINDWS 8.1 Estado: Bueno Placa anterior: 000037409 Material:  Color:  Referencia:  Observacion:  Placa padre:  Tipo adquisicion : Entidad"</f>
        <v>Descripcion:LICENCIA WINDWS 8.1 Estado: Bueno Placa anterior: 000037409 Material:  Color:  Referencia:  Observacion:  Placa padre:  Tipo adquisicion : Entidad</v>
      </c>
      <c r="G19753" s="5"/>
    </row>
    <row r="19754" spans="1:7" ht="58.5" customHeight="1" x14ac:dyDescent="0.25">
      <c r="A19754" s="5" t="str">
        <f>"B0004811"</f>
        <v>B0004811</v>
      </c>
      <c r="B19754" s="5" t="str">
        <f t="shared" si="1004"/>
        <v>WINDOWS 8 PROFESIONAL</v>
      </c>
      <c r="C19754" s="6">
        <v>337247</v>
      </c>
      <c r="D19754" s="5" t="s">
        <v>856</v>
      </c>
      <c r="E19754" s="5" t="str">
        <f t="shared" si="1005"/>
        <v>SISTEMAS-GLOBALTRONIK SAS-SERGIO PATIÑO</v>
      </c>
      <c r="F19754" s="5" t="str">
        <f>"Descripcion:LICENCIA WINDWS 8.1 Estado: Bueno Placa anterior: 000037410 Material:  Color:  Referencia:  Observacion:  Placa padre:  Tipo adquisicion : Entidad"</f>
        <v>Descripcion:LICENCIA WINDWS 8.1 Estado: Bueno Placa anterior: 000037410 Material:  Color:  Referencia:  Observacion:  Placa padre:  Tipo adquisicion : Entidad</v>
      </c>
      <c r="G19754" s="5"/>
    </row>
    <row r="19755" spans="1:7" ht="58.5" customHeight="1" x14ac:dyDescent="0.25">
      <c r="A19755" s="5" t="str">
        <f>"B0004812"</f>
        <v>B0004812</v>
      </c>
      <c r="B19755" s="5" t="str">
        <f t="shared" si="1004"/>
        <v>WINDOWS 8 PROFESIONAL</v>
      </c>
      <c r="C19755" s="6">
        <v>337247</v>
      </c>
      <c r="D19755" s="5" t="s">
        <v>856</v>
      </c>
      <c r="E19755" s="5" t="str">
        <f t="shared" si="1005"/>
        <v>SISTEMAS-GLOBALTRONIK SAS-SERGIO PATIÑO</v>
      </c>
      <c r="F19755" s="5" t="str">
        <f>"Descripcion:LICENCIA WINDWS 8.1 Estado: Bueno Placa anterior: 000037411 Material:  Color:  Referencia:  Observacion:  Placa padre:  Tipo adquisicion : Entidad"</f>
        <v>Descripcion:LICENCIA WINDWS 8.1 Estado: Bueno Placa anterior: 000037411 Material:  Color:  Referencia:  Observacion:  Placa padre:  Tipo adquisicion : Entidad</v>
      </c>
      <c r="G19755" s="5"/>
    </row>
    <row r="19756" spans="1:7" ht="58.5" customHeight="1" x14ac:dyDescent="0.25">
      <c r="A19756" s="5" t="str">
        <f>"B0004813"</f>
        <v>B0004813</v>
      </c>
      <c r="B19756" s="5" t="str">
        <f t="shared" si="1004"/>
        <v>WINDOWS 8 PROFESIONAL</v>
      </c>
      <c r="C19756" s="6">
        <v>337247</v>
      </c>
      <c r="D19756" s="5" t="s">
        <v>856</v>
      </c>
      <c r="E19756" s="5" t="str">
        <f t="shared" si="1005"/>
        <v>SISTEMAS-GLOBALTRONIK SAS-SERGIO PATIÑO</v>
      </c>
      <c r="F19756" s="5" t="str">
        <f>"Descripcion:LICENCIA WINDWS 8.1 Estado: Bueno Placa anterior: 000037412 Material:  Color:  Referencia:  Observacion:  Placa padre:  Tipo adquisicion : Entidad"</f>
        <v>Descripcion:LICENCIA WINDWS 8.1 Estado: Bueno Placa anterior: 000037412 Material:  Color:  Referencia:  Observacion:  Placa padre:  Tipo adquisicion : Entidad</v>
      </c>
      <c r="G19756" s="5"/>
    </row>
    <row r="19757" spans="1:7" ht="58.5" customHeight="1" x14ac:dyDescent="0.25">
      <c r="A19757" s="5" t="str">
        <f>"B0004814"</f>
        <v>B0004814</v>
      </c>
      <c r="B19757" s="5" t="str">
        <f t="shared" si="1004"/>
        <v>WINDOWS 8 PROFESIONAL</v>
      </c>
      <c r="C19757" s="6">
        <v>337247</v>
      </c>
      <c r="D19757" s="5" t="s">
        <v>856</v>
      </c>
      <c r="E19757" s="5" t="str">
        <f t="shared" si="1005"/>
        <v>SISTEMAS-GLOBALTRONIK SAS-SERGIO PATIÑO</v>
      </c>
      <c r="F19757" s="5" t="str">
        <f>"Descripcion:LICENCIA WINDWS 8.1 Estado: Bueno Placa anterior: 000037413 Material:  Color:  Referencia:  Observacion:  Placa padre:  Tipo adquisicion : Entidad"</f>
        <v>Descripcion:LICENCIA WINDWS 8.1 Estado: Bueno Placa anterior: 000037413 Material:  Color:  Referencia:  Observacion:  Placa padre:  Tipo adquisicion : Entidad</v>
      </c>
      <c r="G19757" s="5"/>
    </row>
    <row r="19758" spans="1:7" ht="58.5" customHeight="1" x14ac:dyDescent="0.25">
      <c r="A19758" s="5" t="str">
        <f>"B0004815"</f>
        <v>B0004815</v>
      </c>
      <c r="B19758" s="5" t="str">
        <f t="shared" si="1004"/>
        <v>WINDOWS 8 PROFESIONAL</v>
      </c>
      <c r="C19758" s="6">
        <v>337247</v>
      </c>
      <c r="D19758" s="5" t="s">
        <v>856</v>
      </c>
      <c r="E19758" s="5" t="str">
        <f t="shared" si="1005"/>
        <v>SISTEMAS-GLOBALTRONIK SAS-SERGIO PATIÑO</v>
      </c>
      <c r="F19758" s="5" t="str">
        <f>"Descripcion:LICENCIA WINDWS 8.1 Estado: Bueno Placa anterior: 000037414 Material:  Color:  Referencia:  Observacion:  Placa padre:  Tipo adquisicion : Entidad"</f>
        <v>Descripcion:LICENCIA WINDWS 8.1 Estado: Bueno Placa anterior: 000037414 Material:  Color:  Referencia:  Observacion:  Placa padre:  Tipo adquisicion : Entidad</v>
      </c>
      <c r="G19758" s="5"/>
    </row>
    <row r="19759" spans="1:7" ht="58.5" customHeight="1" x14ac:dyDescent="0.25">
      <c r="A19759" s="5" t="str">
        <f>"B0004816"</f>
        <v>B0004816</v>
      </c>
      <c r="B19759" s="5" t="str">
        <f t="shared" si="1004"/>
        <v>WINDOWS 8 PROFESIONAL</v>
      </c>
      <c r="C19759" s="6">
        <v>337247</v>
      </c>
      <c r="D19759" s="5" t="s">
        <v>856</v>
      </c>
      <c r="E19759" s="5" t="str">
        <f t="shared" si="1005"/>
        <v>SISTEMAS-GLOBALTRONIK SAS-SERGIO PATIÑO</v>
      </c>
      <c r="F19759" s="5" t="str">
        <f>"Descripcion:LICENCIA WINDWS 8.1 Estado: Bueno Placa anterior: 000037415 Material:  Color:  Referencia:  Observacion:  Placa padre:  Tipo adquisicion : Entidad"</f>
        <v>Descripcion:LICENCIA WINDWS 8.1 Estado: Bueno Placa anterior: 000037415 Material:  Color:  Referencia:  Observacion:  Placa padre:  Tipo adquisicion : Entidad</v>
      </c>
      <c r="G19759" s="5"/>
    </row>
    <row r="19760" spans="1:7" ht="58.5" customHeight="1" x14ac:dyDescent="0.25">
      <c r="A19760" s="5" t="str">
        <f>"B0004817"</f>
        <v>B0004817</v>
      </c>
      <c r="B19760" s="5" t="str">
        <f t="shared" si="1004"/>
        <v>WINDOWS 8 PROFESIONAL</v>
      </c>
      <c r="C19760" s="6">
        <v>337247</v>
      </c>
      <c r="D19760" s="5" t="s">
        <v>856</v>
      </c>
      <c r="E19760" s="5" t="str">
        <f t="shared" si="1005"/>
        <v>SISTEMAS-GLOBALTRONIK SAS-SERGIO PATIÑO</v>
      </c>
      <c r="F19760" s="5" t="str">
        <f>"Descripcion:LICENCIA WINDWS 8.1 Estado: Bueno Placa anterior: 000037416 Material:  Color:  Referencia:  Observacion:  Placa padre:  Tipo adquisicion : Entidad"</f>
        <v>Descripcion:LICENCIA WINDWS 8.1 Estado: Bueno Placa anterior: 000037416 Material:  Color:  Referencia:  Observacion:  Placa padre:  Tipo adquisicion : Entidad</v>
      </c>
      <c r="G19760" s="5"/>
    </row>
    <row r="19761" spans="1:7" ht="58.5" customHeight="1" x14ac:dyDescent="0.25">
      <c r="A19761" s="5" t="str">
        <f>"B0004818"</f>
        <v>B0004818</v>
      </c>
      <c r="B19761" s="5" t="str">
        <f t="shared" si="1004"/>
        <v>WINDOWS 8 PROFESIONAL</v>
      </c>
      <c r="C19761" s="6">
        <v>337247</v>
      </c>
      <c r="D19761" s="5" t="s">
        <v>856</v>
      </c>
      <c r="E19761" s="5" t="str">
        <f t="shared" si="1005"/>
        <v>SISTEMAS-GLOBALTRONIK SAS-SERGIO PATIÑO</v>
      </c>
      <c r="F19761" s="5" t="str">
        <f>"Descripcion:LICENCIA WINDWS 8.1 Estado: Bueno Placa anterior: 000037417 Material:  Color:  Referencia:  Observacion:  Placa padre:  Tipo adquisicion : Entidad"</f>
        <v>Descripcion:LICENCIA WINDWS 8.1 Estado: Bueno Placa anterior: 000037417 Material:  Color:  Referencia:  Observacion:  Placa padre:  Tipo adquisicion : Entidad</v>
      </c>
      <c r="G19761" s="5"/>
    </row>
    <row r="19762" spans="1:7" ht="58.5" customHeight="1" x14ac:dyDescent="0.25">
      <c r="A19762" s="5" t="str">
        <f>"B0004819"</f>
        <v>B0004819</v>
      </c>
      <c r="B19762" s="5" t="str">
        <f t="shared" si="1004"/>
        <v>WINDOWS 8 PROFESIONAL</v>
      </c>
      <c r="C19762" s="6">
        <v>337247</v>
      </c>
      <c r="D19762" s="5" t="s">
        <v>856</v>
      </c>
      <c r="E19762" s="5" t="str">
        <f t="shared" si="1005"/>
        <v>SISTEMAS-GLOBALTRONIK SAS-SERGIO PATIÑO</v>
      </c>
      <c r="F19762" s="5" t="str">
        <f>"Descripcion:LICENCIA WINDWS 8.1 Estado: Bueno Placa anterior: 000037418 Material:  Color:  Referencia:  Observacion:  Placa padre:  Tipo adquisicion : Entidad"</f>
        <v>Descripcion:LICENCIA WINDWS 8.1 Estado: Bueno Placa anterior: 000037418 Material:  Color:  Referencia:  Observacion:  Placa padre:  Tipo adquisicion : Entidad</v>
      </c>
      <c r="G19762" s="5"/>
    </row>
    <row r="19763" spans="1:7" ht="58.5" customHeight="1" x14ac:dyDescent="0.25">
      <c r="A19763" s="5" t="str">
        <f>"B0004820"</f>
        <v>B0004820</v>
      </c>
      <c r="B19763" s="5" t="str">
        <f t="shared" si="1004"/>
        <v>WINDOWS 8 PROFESIONAL</v>
      </c>
      <c r="C19763" s="6">
        <v>337247</v>
      </c>
      <c r="D19763" s="5" t="s">
        <v>856</v>
      </c>
      <c r="E19763" s="5" t="str">
        <f t="shared" si="1005"/>
        <v>SISTEMAS-GLOBALTRONIK SAS-SERGIO PATIÑO</v>
      </c>
      <c r="F19763" s="5" t="str">
        <f>"Descripcion:LICENCIA WINDWS 8.1 Estado: Bueno Placa anterior: 000037419 Material:  Color:  Referencia:  Observacion:  Placa padre:  Tipo adquisicion : Entidad"</f>
        <v>Descripcion:LICENCIA WINDWS 8.1 Estado: Bueno Placa anterior: 000037419 Material:  Color:  Referencia:  Observacion:  Placa padre:  Tipo adquisicion : Entidad</v>
      </c>
      <c r="G19763" s="5"/>
    </row>
    <row r="19764" spans="1:7" ht="58.5" customHeight="1" x14ac:dyDescent="0.25">
      <c r="A19764" s="5" t="str">
        <f>"B0004821"</f>
        <v>B0004821</v>
      </c>
      <c r="B19764" s="5" t="str">
        <f t="shared" si="1004"/>
        <v>WINDOWS 8 PROFESIONAL</v>
      </c>
      <c r="C19764" s="6">
        <v>337247</v>
      </c>
      <c r="D19764" s="5" t="s">
        <v>856</v>
      </c>
      <c r="E19764" s="5" t="str">
        <f t="shared" si="1005"/>
        <v>SISTEMAS-GLOBALTRONIK SAS-SERGIO PATIÑO</v>
      </c>
      <c r="F19764" s="5" t="str">
        <f>"Descripcion:LICENCIA WINDWS 8.1 Estado: Bueno Placa anterior: 000037420 Material:  Color:  Referencia:  Observacion:  Placa padre:  Tipo adquisicion : Entidad"</f>
        <v>Descripcion:LICENCIA WINDWS 8.1 Estado: Bueno Placa anterior: 000037420 Material:  Color:  Referencia:  Observacion:  Placa padre:  Tipo adquisicion : Entidad</v>
      </c>
      <c r="G19764" s="5"/>
    </row>
    <row r="19765" spans="1:7" ht="58.5" customHeight="1" x14ac:dyDescent="0.25">
      <c r="A19765" s="5" t="str">
        <f>"B0004822"</f>
        <v>B0004822</v>
      </c>
      <c r="B19765" s="5" t="str">
        <f t="shared" si="1004"/>
        <v>WINDOWS 8 PROFESIONAL</v>
      </c>
      <c r="C19765" s="6">
        <v>337247</v>
      </c>
      <c r="D19765" s="5" t="s">
        <v>856</v>
      </c>
      <c r="E19765" s="5" t="str">
        <f t="shared" si="1005"/>
        <v>SISTEMAS-GLOBALTRONIK SAS-SERGIO PATIÑO</v>
      </c>
      <c r="F19765" s="5" t="str">
        <f>"Descripcion:LICENCIA WINDWS 8.1 Estado: Bueno Placa anterior: 000037421 Material:  Color:  Referencia:  Observacion:  Placa padre:  Tipo adquisicion : Entidad"</f>
        <v>Descripcion:LICENCIA WINDWS 8.1 Estado: Bueno Placa anterior: 000037421 Material:  Color:  Referencia:  Observacion:  Placa padre:  Tipo adquisicion : Entidad</v>
      </c>
      <c r="G19765" s="5"/>
    </row>
    <row r="19766" spans="1:7" ht="58.5" customHeight="1" x14ac:dyDescent="0.25">
      <c r="A19766" s="5" t="str">
        <f>"B0004823"</f>
        <v>B0004823</v>
      </c>
      <c r="B19766" s="5" t="str">
        <f t="shared" si="1004"/>
        <v>WINDOWS 8 PROFESIONAL</v>
      </c>
      <c r="C19766" s="6">
        <v>337247</v>
      </c>
      <c r="D19766" s="5" t="s">
        <v>856</v>
      </c>
      <c r="E19766" s="5" t="str">
        <f t="shared" si="1005"/>
        <v>SISTEMAS-GLOBALTRONIK SAS-SERGIO PATIÑO</v>
      </c>
      <c r="F19766" s="5" t="str">
        <f>"Descripcion:LICENCIA WINDWS 8.1 Estado: Bueno Placa anterior: 000037422 Material:  Color:  Referencia:  Observacion:  Placa padre:  Tipo adquisicion : Entidad"</f>
        <v>Descripcion:LICENCIA WINDWS 8.1 Estado: Bueno Placa anterior: 000037422 Material:  Color:  Referencia:  Observacion:  Placa padre:  Tipo adquisicion : Entidad</v>
      </c>
      <c r="G19766" s="5"/>
    </row>
    <row r="19767" spans="1:7" ht="58.5" customHeight="1" x14ac:dyDescent="0.25">
      <c r="A19767" s="5" t="str">
        <f>"B0004824"</f>
        <v>B0004824</v>
      </c>
      <c r="B19767" s="5" t="str">
        <f t="shared" si="1004"/>
        <v>WINDOWS 8 PROFESIONAL</v>
      </c>
      <c r="C19767" s="6">
        <v>337247</v>
      </c>
      <c r="D19767" s="5" t="s">
        <v>856</v>
      </c>
      <c r="E19767" s="5" t="str">
        <f t="shared" si="1005"/>
        <v>SISTEMAS-GLOBALTRONIK SAS-SERGIO PATIÑO</v>
      </c>
      <c r="F19767" s="5" t="str">
        <f>"Descripcion:LICENCIA WINDWS 8.1 Estado: Bueno Placa anterior: 000037423 Material:  Color:  Referencia:  Observacion:  Placa padre:  Tipo adquisicion : Entidad"</f>
        <v>Descripcion:LICENCIA WINDWS 8.1 Estado: Bueno Placa anterior: 000037423 Material:  Color:  Referencia:  Observacion:  Placa padre:  Tipo adquisicion : Entidad</v>
      </c>
      <c r="G19767" s="5"/>
    </row>
    <row r="19768" spans="1:7" ht="58.5" customHeight="1" x14ac:dyDescent="0.25">
      <c r="A19768" s="5" t="str">
        <f>"B0004825"</f>
        <v>B0004825</v>
      </c>
      <c r="B19768" s="5" t="str">
        <f t="shared" si="1004"/>
        <v>WINDOWS 8 PROFESIONAL</v>
      </c>
      <c r="C19768" s="6">
        <v>337247</v>
      </c>
      <c r="D19768" s="5" t="s">
        <v>856</v>
      </c>
      <c r="E19768" s="5" t="str">
        <f t="shared" si="1005"/>
        <v>SISTEMAS-GLOBALTRONIK SAS-SERGIO PATIÑO</v>
      </c>
      <c r="F19768" s="5" t="str">
        <f>"Descripcion:LICENCIA WINDWS 8.1 Estado: Bueno Placa anterior: 000037424 Material:  Color:  Referencia:  Observacion:  Placa padre:  Tipo adquisicion : Entidad"</f>
        <v>Descripcion:LICENCIA WINDWS 8.1 Estado: Bueno Placa anterior: 000037424 Material:  Color:  Referencia:  Observacion:  Placa padre:  Tipo adquisicion : Entidad</v>
      </c>
      <c r="G19768" s="5"/>
    </row>
    <row r="19769" spans="1:7" ht="58.5" customHeight="1" x14ac:dyDescent="0.25">
      <c r="A19769" s="5" t="str">
        <f>"B0004826"</f>
        <v>B0004826</v>
      </c>
      <c r="B19769" s="5" t="str">
        <f t="shared" si="1004"/>
        <v>WINDOWS 8 PROFESIONAL</v>
      </c>
      <c r="C19769" s="6">
        <v>337247</v>
      </c>
      <c r="D19769" s="5" t="s">
        <v>856</v>
      </c>
      <c r="E19769" s="5" t="str">
        <f t="shared" si="1005"/>
        <v>SISTEMAS-GLOBALTRONIK SAS-SERGIO PATIÑO</v>
      </c>
      <c r="F19769" s="5" t="str">
        <f>"Descripcion:LICENCIA WINDWS 8.1 Estado: Bueno Placa anterior: 000037425 Material:  Color:  Referencia:  Observacion:  Placa padre:  Tipo adquisicion : Entidad"</f>
        <v>Descripcion:LICENCIA WINDWS 8.1 Estado: Bueno Placa anterior: 000037425 Material:  Color:  Referencia:  Observacion:  Placa padre:  Tipo adquisicion : Entidad</v>
      </c>
      <c r="G19769" s="5"/>
    </row>
    <row r="19770" spans="1:7" ht="58.5" customHeight="1" x14ac:dyDescent="0.25">
      <c r="A19770" s="5" t="str">
        <f>"B0004827"</f>
        <v>B0004827</v>
      </c>
      <c r="B19770" s="5" t="str">
        <f t="shared" si="1004"/>
        <v>WINDOWS 8 PROFESIONAL</v>
      </c>
      <c r="C19770" s="6">
        <v>337247</v>
      </c>
      <c r="D19770" s="5" t="s">
        <v>856</v>
      </c>
      <c r="E19770" s="5" t="str">
        <f t="shared" si="1005"/>
        <v>SISTEMAS-GLOBALTRONIK SAS-SERGIO PATIÑO</v>
      </c>
      <c r="F19770" s="5" t="str">
        <f>"Descripcion:LICENCIA WINDWS 8.1 Estado: Bueno Placa anterior: 000037426 Material:  Color:  Referencia:  Observacion:  Placa padre:  Tipo adquisicion : Entidad"</f>
        <v>Descripcion:LICENCIA WINDWS 8.1 Estado: Bueno Placa anterior: 000037426 Material:  Color:  Referencia:  Observacion:  Placa padre:  Tipo adquisicion : Entidad</v>
      </c>
      <c r="G19770" s="5"/>
    </row>
    <row r="19771" spans="1:7" ht="58.5" customHeight="1" x14ac:dyDescent="0.25">
      <c r="A19771" s="5" t="str">
        <f>"B0004828"</f>
        <v>B0004828</v>
      </c>
      <c r="B19771" s="5" t="str">
        <f t="shared" si="1004"/>
        <v>WINDOWS 8 PROFESIONAL</v>
      </c>
      <c r="C19771" s="6">
        <v>337247</v>
      </c>
      <c r="D19771" s="5" t="s">
        <v>856</v>
      </c>
      <c r="E19771" s="5" t="str">
        <f t="shared" si="1005"/>
        <v>SISTEMAS-GLOBALTRONIK SAS-SERGIO PATIÑO</v>
      </c>
      <c r="F19771" s="5" t="str">
        <f>"Descripcion:LICENCIA WINDWS 8.1 Estado: Bueno Placa anterior: 000037427 Material:  Color:  Referencia:  Observacion:  Placa padre:  Tipo adquisicion : Entidad"</f>
        <v>Descripcion:LICENCIA WINDWS 8.1 Estado: Bueno Placa anterior: 000037427 Material:  Color:  Referencia:  Observacion:  Placa padre:  Tipo adquisicion : Entidad</v>
      </c>
      <c r="G19771" s="5"/>
    </row>
    <row r="19772" spans="1:7" ht="58.5" customHeight="1" x14ac:dyDescent="0.25">
      <c r="A19772" s="5" t="str">
        <f>"B0004829"</f>
        <v>B0004829</v>
      </c>
      <c r="B19772" s="5" t="str">
        <f t="shared" si="1004"/>
        <v>WINDOWS 8 PROFESIONAL</v>
      </c>
      <c r="C19772" s="6">
        <v>337247</v>
      </c>
      <c r="D19772" s="5" t="s">
        <v>856</v>
      </c>
      <c r="E19772" s="5" t="str">
        <f t="shared" si="1005"/>
        <v>SISTEMAS-GLOBALTRONIK SAS-SERGIO PATIÑO</v>
      </c>
      <c r="F19772" s="5" t="str">
        <f>"Descripcion:LICENCIA WINDWS 8.1 Estado: Bueno Placa anterior: 000037428 Material:  Color:  Referencia:  Observacion:  Placa padre:  Tipo adquisicion : Entidad"</f>
        <v>Descripcion:LICENCIA WINDWS 8.1 Estado: Bueno Placa anterior: 000037428 Material:  Color:  Referencia:  Observacion:  Placa padre:  Tipo adquisicion : Entidad</v>
      </c>
      <c r="G19772" s="5"/>
    </row>
    <row r="19773" spans="1:7" ht="58.5" customHeight="1" x14ac:dyDescent="0.25">
      <c r="A19773" s="5" t="str">
        <f>"B0004830"</f>
        <v>B0004830</v>
      </c>
      <c r="B19773" s="5" t="str">
        <f t="shared" ref="B19773:B19836" si="1006">"WINDOWS 8 PROFESIONAL"</f>
        <v>WINDOWS 8 PROFESIONAL</v>
      </c>
      <c r="C19773" s="6">
        <v>337247</v>
      </c>
      <c r="D19773" s="5" t="s">
        <v>856</v>
      </c>
      <c r="E19773" s="5" t="str">
        <f t="shared" ref="E19773:E19836" si="1007">"SISTEMAS-GLOBALTRONIK SAS-SERGIO PATIÑO"</f>
        <v>SISTEMAS-GLOBALTRONIK SAS-SERGIO PATIÑO</v>
      </c>
      <c r="F19773" s="5" t="str">
        <f>"Descripcion:LICENCIA WINDWS 8.1 Estado: Bueno Placa anterior: 000037429 Material:  Color:  Referencia:  Observacion:  Placa padre:  Tipo adquisicion : Entidad"</f>
        <v>Descripcion:LICENCIA WINDWS 8.1 Estado: Bueno Placa anterior: 000037429 Material:  Color:  Referencia:  Observacion:  Placa padre:  Tipo adquisicion : Entidad</v>
      </c>
      <c r="G19773" s="5"/>
    </row>
    <row r="19774" spans="1:7" ht="58.5" customHeight="1" x14ac:dyDescent="0.25">
      <c r="A19774" s="5" t="str">
        <f>"B0004831"</f>
        <v>B0004831</v>
      </c>
      <c r="B19774" s="5" t="str">
        <f t="shared" si="1006"/>
        <v>WINDOWS 8 PROFESIONAL</v>
      </c>
      <c r="C19774" s="6">
        <v>337247</v>
      </c>
      <c r="D19774" s="5" t="s">
        <v>856</v>
      </c>
      <c r="E19774" s="5" t="str">
        <f t="shared" si="1007"/>
        <v>SISTEMAS-GLOBALTRONIK SAS-SERGIO PATIÑO</v>
      </c>
      <c r="F19774" s="5" t="str">
        <f>"Descripcion:LICENCIA WINDWS 8.1 Estado: Bueno Placa anterior: 000037430 Material:  Color:  Referencia:  Observacion:  Placa padre:  Tipo adquisicion : Entidad"</f>
        <v>Descripcion:LICENCIA WINDWS 8.1 Estado: Bueno Placa anterior: 000037430 Material:  Color:  Referencia:  Observacion:  Placa padre:  Tipo adquisicion : Entidad</v>
      </c>
      <c r="G19774" s="5"/>
    </row>
    <row r="19775" spans="1:7" ht="58.5" customHeight="1" x14ac:dyDescent="0.25">
      <c r="A19775" s="5" t="str">
        <f>"B0004832"</f>
        <v>B0004832</v>
      </c>
      <c r="B19775" s="5" t="str">
        <f t="shared" si="1006"/>
        <v>WINDOWS 8 PROFESIONAL</v>
      </c>
      <c r="C19775" s="6">
        <v>337247</v>
      </c>
      <c r="D19775" s="5" t="s">
        <v>856</v>
      </c>
      <c r="E19775" s="5" t="str">
        <f t="shared" si="1007"/>
        <v>SISTEMAS-GLOBALTRONIK SAS-SERGIO PATIÑO</v>
      </c>
      <c r="F19775" s="5" t="str">
        <f>"Descripcion:LICENCIA WINDWS 8.1 Estado: Bueno Placa anterior: 000037431 Material:  Color:  Referencia:  Observacion:  Placa padre:  Tipo adquisicion : Entidad"</f>
        <v>Descripcion:LICENCIA WINDWS 8.1 Estado: Bueno Placa anterior: 000037431 Material:  Color:  Referencia:  Observacion:  Placa padre:  Tipo adquisicion : Entidad</v>
      </c>
      <c r="G19775" s="5"/>
    </row>
    <row r="19776" spans="1:7" ht="58.5" customHeight="1" x14ac:dyDescent="0.25">
      <c r="A19776" s="5" t="str">
        <f>"B0004833"</f>
        <v>B0004833</v>
      </c>
      <c r="B19776" s="5" t="str">
        <f t="shared" si="1006"/>
        <v>WINDOWS 8 PROFESIONAL</v>
      </c>
      <c r="C19776" s="6">
        <v>337247</v>
      </c>
      <c r="D19776" s="5" t="s">
        <v>856</v>
      </c>
      <c r="E19776" s="5" t="str">
        <f t="shared" si="1007"/>
        <v>SISTEMAS-GLOBALTRONIK SAS-SERGIO PATIÑO</v>
      </c>
      <c r="F19776" s="5" t="str">
        <f>"Descripcion:LICENCIA WINDWS 8.1 Estado: Bueno Placa anterior: 000037432 Material:  Color:  Referencia:  Observacion:  Placa padre:  Tipo adquisicion : Entidad"</f>
        <v>Descripcion:LICENCIA WINDWS 8.1 Estado: Bueno Placa anterior: 000037432 Material:  Color:  Referencia:  Observacion:  Placa padre:  Tipo adquisicion : Entidad</v>
      </c>
      <c r="G19776" s="5"/>
    </row>
    <row r="19777" spans="1:7" ht="58.5" customHeight="1" x14ac:dyDescent="0.25">
      <c r="A19777" s="5" t="str">
        <f>"B0004834"</f>
        <v>B0004834</v>
      </c>
      <c r="B19777" s="5" t="str">
        <f t="shared" si="1006"/>
        <v>WINDOWS 8 PROFESIONAL</v>
      </c>
      <c r="C19777" s="6">
        <v>337247</v>
      </c>
      <c r="D19777" s="5" t="s">
        <v>856</v>
      </c>
      <c r="E19777" s="5" t="str">
        <f t="shared" si="1007"/>
        <v>SISTEMAS-GLOBALTRONIK SAS-SERGIO PATIÑO</v>
      </c>
      <c r="F19777" s="5" t="str">
        <f>"Descripcion:LICENCIA WINDWS 8.1 Estado: Bueno Placa anterior: 000037433 Material:  Color:  Referencia:  Observacion:  Placa padre:  Tipo adquisicion : Entidad"</f>
        <v>Descripcion:LICENCIA WINDWS 8.1 Estado: Bueno Placa anterior: 000037433 Material:  Color:  Referencia:  Observacion:  Placa padre:  Tipo adquisicion : Entidad</v>
      </c>
      <c r="G19777" s="5"/>
    </row>
    <row r="19778" spans="1:7" ht="58.5" customHeight="1" x14ac:dyDescent="0.25">
      <c r="A19778" s="5" t="str">
        <f>"B0004835"</f>
        <v>B0004835</v>
      </c>
      <c r="B19778" s="5" t="str">
        <f t="shared" si="1006"/>
        <v>WINDOWS 8 PROFESIONAL</v>
      </c>
      <c r="C19778" s="6">
        <v>337247</v>
      </c>
      <c r="D19778" s="5" t="s">
        <v>856</v>
      </c>
      <c r="E19778" s="5" t="str">
        <f t="shared" si="1007"/>
        <v>SISTEMAS-GLOBALTRONIK SAS-SERGIO PATIÑO</v>
      </c>
      <c r="F19778" s="5" t="str">
        <f>"Descripcion:LICENCIA WINDWS 8.1 Estado: Bueno Placa anterior: 000037434 Material:  Color:  Referencia:  Observacion:  Placa padre:  Tipo adquisicion : Entidad"</f>
        <v>Descripcion:LICENCIA WINDWS 8.1 Estado: Bueno Placa anterior: 000037434 Material:  Color:  Referencia:  Observacion:  Placa padre:  Tipo adquisicion : Entidad</v>
      </c>
      <c r="G19778" s="5"/>
    </row>
    <row r="19779" spans="1:7" ht="58.5" customHeight="1" x14ac:dyDescent="0.25">
      <c r="A19779" s="5" t="str">
        <f>"B0004836"</f>
        <v>B0004836</v>
      </c>
      <c r="B19779" s="5" t="str">
        <f t="shared" si="1006"/>
        <v>WINDOWS 8 PROFESIONAL</v>
      </c>
      <c r="C19779" s="6">
        <v>337247</v>
      </c>
      <c r="D19779" s="5" t="s">
        <v>856</v>
      </c>
      <c r="E19779" s="5" t="str">
        <f t="shared" si="1007"/>
        <v>SISTEMAS-GLOBALTRONIK SAS-SERGIO PATIÑO</v>
      </c>
      <c r="F19779" s="5" t="str">
        <f>"Descripcion:LICENCIA WINDWS 8.1 Estado: Bueno Placa anterior: 000037435 Material:  Color:  Referencia:  Observacion:  Placa padre:  Tipo adquisicion : Entidad"</f>
        <v>Descripcion:LICENCIA WINDWS 8.1 Estado: Bueno Placa anterior: 000037435 Material:  Color:  Referencia:  Observacion:  Placa padre:  Tipo adquisicion : Entidad</v>
      </c>
      <c r="G19779" s="5"/>
    </row>
    <row r="19780" spans="1:7" ht="58.5" customHeight="1" x14ac:dyDescent="0.25">
      <c r="A19780" s="5" t="str">
        <f>"B0004837"</f>
        <v>B0004837</v>
      </c>
      <c r="B19780" s="5" t="str">
        <f t="shared" si="1006"/>
        <v>WINDOWS 8 PROFESIONAL</v>
      </c>
      <c r="C19780" s="6">
        <v>337247</v>
      </c>
      <c r="D19780" s="5" t="s">
        <v>856</v>
      </c>
      <c r="E19780" s="5" t="str">
        <f t="shared" si="1007"/>
        <v>SISTEMAS-GLOBALTRONIK SAS-SERGIO PATIÑO</v>
      </c>
      <c r="F19780" s="5" t="str">
        <f>"Descripcion:LICENCIA WINDWS 8.1 Estado: Bueno Placa anterior: 000037436 Material:  Color:  Referencia:  Observacion:  Placa padre:  Tipo adquisicion : Entidad"</f>
        <v>Descripcion:LICENCIA WINDWS 8.1 Estado: Bueno Placa anterior: 000037436 Material:  Color:  Referencia:  Observacion:  Placa padre:  Tipo adquisicion : Entidad</v>
      </c>
      <c r="G19780" s="5"/>
    </row>
    <row r="19781" spans="1:7" ht="58.5" customHeight="1" x14ac:dyDescent="0.25">
      <c r="A19781" s="5" t="str">
        <f>"B0004838"</f>
        <v>B0004838</v>
      </c>
      <c r="B19781" s="5" t="str">
        <f t="shared" si="1006"/>
        <v>WINDOWS 8 PROFESIONAL</v>
      </c>
      <c r="C19781" s="6">
        <v>337247</v>
      </c>
      <c r="D19781" s="5" t="s">
        <v>856</v>
      </c>
      <c r="E19781" s="5" t="str">
        <f t="shared" si="1007"/>
        <v>SISTEMAS-GLOBALTRONIK SAS-SERGIO PATIÑO</v>
      </c>
      <c r="F19781" s="5" t="str">
        <f>"Descripcion:LICENCIA WINDWS 8.1 Estado: Bueno Placa anterior: 000037437 Material:  Color:  Referencia:  Observacion:  Placa padre:  Tipo adquisicion : Entidad"</f>
        <v>Descripcion:LICENCIA WINDWS 8.1 Estado: Bueno Placa anterior: 000037437 Material:  Color:  Referencia:  Observacion:  Placa padre:  Tipo adquisicion : Entidad</v>
      </c>
      <c r="G19781" s="5"/>
    </row>
    <row r="19782" spans="1:7" ht="58.5" customHeight="1" x14ac:dyDescent="0.25">
      <c r="A19782" s="5" t="str">
        <f>"B0004839"</f>
        <v>B0004839</v>
      </c>
      <c r="B19782" s="5" t="str">
        <f t="shared" si="1006"/>
        <v>WINDOWS 8 PROFESIONAL</v>
      </c>
      <c r="C19782" s="6">
        <v>337247</v>
      </c>
      <c r="D19782" s="5" t="s">
        <v>856</v>
      </c>
      <c r="E19782" s="5" t="str">
        <f t="shared" si="1007"/>
        <v>SISTEMAS-GLOBALTRONIK SAS-SERGIO PATIÑO</v>
      </c>
      <c r="F19782" s="5" t="str">
        <f>"Descripcion:LICENCIA WINDWS 8.1 Estado: Bueno Placa anterior: 000037438 Material:  Color:  Referencia:  Observacion:  Placa padre:  Tipo adquisicion : Entidad"</f>
        <v>Descripcion:LICENCIA WINDWS 8.1 Estado: Bueno Placa anterior: 000037438 Material:  Color:  Referencia:  Observacion:  Placa padre:  Tipo adquisicion : Entidad</v>
      </c>
      <c r="G19782" s="5"/>
    </row>
    <row r="19783" spans="1:7" ht="58.5" customHeight="1" x14ac:dyDescent="0.25">
      <c r="A19783" s="5" t="str">
        <f>"B0004840"</f>
        <v>B0004840</v>
      </c>
      <c r="B19783" s="5" t="str">
        <f t="shared" si="1006"/>
        <v>WINDOWS 8 PROFESIONAL</v>
      </c>
      <c r="C19783" s="6">
        <v>337247</v>
      </c>
      <c r="D19783" s="5" t="s">
        <v>856</v>
      </c>
      <c r="E19783" s="5" t="str">
        <f t="shared" si="1007"/>
        <v>SISTEMAS-GLOBALTRONIK SAS-SERGIO PATIÑO</v>
      </c>
      <c r="F19783" s="5" t="str">
        <f>"Descripcion:LICENCIA WINDWS 8.1 Estado: Bueno Placa anterior: 000037439 Material:  Color:  Referencia:  Observacion:  Placa padre:  Tipo adquisicion : Entidad"</f>
        <v>Descripcion:LICENCIA WINDWS 8.1 Estado: Bueno Placa anterior: 000037439 Material:  Color:  Referencia:  Observacion:  Placa padre:  Tipo adquisicion : Entidad</v>
      </c>
      <c r="G19783" s="5"/>
    </row>
    <row r="19784" spans="1:7" ht="58.5" customHeight="1" x14ac:dyDescent="0.25">
      <c r="A19784" s="5" t="str">
        <f>"B0004841"</f>
        <v>B0004841</v>
      </c>
      <c r="B19784" s="5" t="str">
        <f t="shared" si="1006"/>
        <v>WINDOWS 8 PROFESIONAL</v>
      </c>
      <c r="C19784" s="6">
        <v>337247</v>
      </c>
      <c r="D19784" s="5" t="s">
        <v>856</v>
      </c>
      <c r="E19784" s="5" t="str">
        <f t="shared" si="1007"/>
        <v>SISTEMAS-GLOBALTRONIK SAS-SERGIO PATIÑO</v>
      </c>
      <c r="F19784" s="5" t="str">
        <f>"Descripcion:LICENCIA WINDWS 8.1 Estado: Bueno Placa anterior: 000037440 Material:  Color:  Referencia:  Observacion:  Placa padre:  Tipo adquisicion : Entidad"</f>
        <v>Descripcion:LICENCIA WINDWS 8.1 Estado: Bueno Placa anterior: 000037440 Material:  Color:  Referencia:  Observacion:  Placa padre:  Tipo adquisicion : Entidad</v>
      </c>
      <c r="G19784" s="5"/>
    </row>
    <row r="19785" spans="1:7" ht="58.5" customHeight="1" x14ac:dyDescent="0.25">
      <c r="A19785" s="5" t="str">
        <f>"B0004842"</f>
        <v>B0004842</v>
      </c>
      <c r="B19785" s="5" t="str">
        <f t="shared" si="1006"/>
        <v>WINDOWS 8 PROFESIONAL</v>
      </c>
      <c r="C19785" s="6">
        <v>337247</v>
      </c>
      <c r="D19785" s="5" t="s">
        <v>856</v>
      </c>
      <c r="E19785" s="5" t="str">
        <f t="shared" si="1007"/>
        <v>SISTEMAS-GLOBALTRONIK SAS-SERGIO PATIÑO</v>
      </c>
      <c r="F19785" s="5" t="str">
        <f>"Descripcion:LICENCIA WINDWS 8.1 Estado: Bueno Placa anterior: 000037441 Material:  Color:  Referencia:  Observacion:  Placa padre:  Tipo adquisicion : Entidad"</f>
        <v>Descripcion:LICENCIA WINDWS 8.1 Estado: Bueno Placa anterior: 000037441 Material:  Color:  Referencia:  Observacion:  Placa padre:  Tipo adquisicion : Entidad</v>
      </c>
      <c r="G19785" s="5"/>
    </row>
    <row r="19786" spans="1:7" ht="58.5" customHeight="1" x14ac:dyDescent="0.25">
      <c r="A19786" s="5" t="str">
        <f>"B0004843"</f>
        <v>B0004843</v>
      </c>
      <c r="B19786" s="5" t="str">
        <f t="shared" si="1006"/>
        <v>WINDOWS 8 PROFESIONAL</v>
      </c>
      <c r="C19786" s="6">
        <v>337247</v>
      </c>
      <c r="D19786" s="5" t="s">
        <v>856</v>
      </c>
      <c r="E19786" s="5" t="str">
        <f t="shared" si="1007"/>
        <v>SISTEMAS-GLOBALTRONIK SAS-SERGIO PATIÑO</v>
      </c>
      <c r="F19786" s="5" t="str">
        <f>"Descripcion:LICENCIA WINDWS 8.1 Estado: Bueno Placa anterior: 000037442 Material:  Color:  Referencia:  Observacion:  Placa padre:  Tipo adquisicion : Entidad"</f>
        <v>Descripcion:LICENCIA WINDWS 8.1 Estado: Bueno Placa anterior: 000037442 Material:  Color:  Referencia:  Observacion:  Placa padre:  Tipo adquisicion : Entidad</v>
      </c>
      <c r="G19786" s="5"/>
    </row>
    <row r="19787" spans="1:7" ht="58.5" customHeight="1" x14ac:dyDescent="0.25">
      <c r="A19787" s="5" t="str">
        <f>"B0004844"</f>
        <v>B0004844</v>
      </c>
      <c r="B19787" s="5" t="str">
        <f t="shared" si="1006"/>
        <v>WINDOWS 8 PROFESIONAL</v>
      </c>
      <c r="C19787" s="6">
        <v>337247</v>
      </c>
      <c r="D19787" s="5" t="s">
        <v>856</v>
      </c>
      <c r="E19787" s="5" t="str">
        <f t="shared" si="1007"/>
        <v>SISTEMAS-GLOBALTRONIK SAS-SERGIO PATIÑO</v>
      </c>
      <c r="F19787" s="5" t="str">
        <f>"Descripcion:LICENCIA WINDWS 8.1 Estado: Bueno Placa anterior: 000037443 Material:  Color:  Referencia:  Observacion:  Placa padre:  Tipo adquisicion : Entidad"</f>
        <v>Descripcion:LICENCIA WINDWS 8.1 Estado: Bueno Placa anterior: 000037443 Material:  Color:  Referencia:  Observacion:  Placa padre:  Tipo adquisicion : Entidad</v>
      </c>
      <c r="G19787" s="5"/>
    </row>
    <row r="19788" spans="1:7" ht="58.5" customHeight="1" x14ac:dyDescent="0.25">
      <c r="A19788" s="5" t="str">
        <f>"B0004845"</f>
        <v>B0004845</v>
      </c>
      <c r="B19788" s="5" t="str">
        <f t="shared" si="1006"/>
        <v>WINDOWS 8 PROFESIONAL</v>
      </c>
      <c r="C19788" s="6">
        <v>337247</v>
      </c>
      <c r="D19788" s="5" t="s">
        <v>856</v>
      </c>
      <c r="E19788" s="5" t="str">
        <f t="shared" si="1007"/>
        <v>SISTEMAS-GLOBALTRONIK SAS-SERGIO PATIÑO</v>
      </c>
      <c r="F19788" s="5" t="str">
        <f>"Descripcion:LICENCIA WINDWS 8.1 Estado: Bueno Placa anterior: 000037444 Material:  Color:  Referencia:  Observacion:  Placa padre:  Tipo adquisicion : Entidad"</f>
        <v>Descripcion:LICENCIA WINDWS 8.1 Estado: Bueno Placa anterior: 000037444 Material:  Color:  Referencia:  Observacion:  Placa padre:  Tipo adquisicion : Entidad</v>
      </c>
      <c r="G19788" s="5"/>
    </row>
    <row r="19789" spans="1:7" ht="58.5" customHeight="1" x14ac:dyDescent="0.25">
      <c r="A19789" s="5" t="str">
        <f>"B0004846"</f>
        <v>B0004846</v>
      </c>
      <c r="B19789" s="5" t="str">
        <f t="shared" si="1006"/>
        <v>WINDOWS 8 PROFESIONAL</v>
      </c>
      <c r="C19789" s="6">
        <v>337247</v>
      </c>
      <c r="D19789" s="5" t="s">
        <v>856</v>
      </c>
      <c r="E19789" s="5" t="str">
        <f t="shared" si="1007"/>
        <v>SISTEMAS-GLOBALTRONIK SAS-SERGIO PATIÑO</v>
      </c>
      <c r="F19789" s="5" t="str">
        <f>"Descripcion:LICENCIA WINDWS 8.1 Estado: Bueno Placa anterior: 000037445 Material:  Color:  Referencia:  Observacion:  Placa padre:  Tipo adquisicion : Entidad"</f>
        <v>Descripcion:LICENCIA WINDWS 8.1 Estado: Bueno Placa anterior: 000037445 Material:  Color:  Referencia:  Observacion:  Placa padre:  Tipo adquisicion : Entidad</v>
      </c>
      <c r="G19789" s="5"/>
    </row>
    <row r="19790" spans="1:7" ht="58.5" customHeight="1" x14ac:dyDescent="0.25">
      <c r="A19790" s="5" t="str">
        <f>"B0004847"</f>
        <v>B0004847</v>
      </c>
      <c r="B19790" s="5" t="str">
        <f t="shared" si="1006"/>
        <v>WINDOWS 8 PROFESIONAL</v>
      </c>
      <c r="C19790" s="6">
        <v>337247</v>
      </c>
      <c r="D19790" s="5" t="s">
        <v>856</v>
      </c>
      <c r="E19790" s="5" t="str">
        <f t="shared" si="1007"/>
        <v>SISTEMAS-GLOBALTRONIK SAS-SERGIO PATIÑO</v>
      </c>
      <c r="F19790" s="5" t="str">
        <f>"Descripcion:LICENCIA WINDWS 8.1 Estado: Bueno Placa anterior: 000037446 Material:  Color:  Referencia:  Observacion:  Placa padre:  Tipo adquisicion : Entidad"</f>
        <v>Descripcion:LICENCIA WINDWS 8.1 Estado: Bueno Placa anterior: 000037446 Material:  Color:  Referencia:  Observacion:  Placa padre:  Tipo adquisicion : Entidad</v>
      </c>
      <c r="G19790" s="5"/>
    </row>
    <row r="19791" spans="1:7" ht="58.5" customHeight="1" x14ac:dyDescent="0.25">
      <c r="A19791" s="5" t="str">
        <f>"B0004848"</f>
        <v>B0004848</v>
      </c>
      <c r="B19791" s="5" t="str">
        <f t="shared" si="1006"/>
        <v>WINDOWS 8 PROFESIONAL</v>
      </c>
      <c r="C19791" s="6">
        <v>337247</v>
      </c>
      <c r="D19791" s="5" t="s">
        <v>856</v>
      </c>
      <c r="E19791" s="5" t="str">
        <f t="shared" si="1007"/>
        <v>SISTEMAS-GLOBALTRONIK SAS-SERGIO PATIÑO</v>
      </c>
      <c r="F19791" s="5" t="str">
        <f>"Descripcion:LICENCIA WINDWS 8.1 Estado: Bueno Placa anterior: 000037447 Material:  Color:  Referencia:  Observacion:  Placa padre:  Tipo adquisicion : Entidad"</f>
        <v>Descripcion:LICENCIA WINDWS 8.1 Estado: Bueno Placa anterior: 000037447 Material:  Color:  Referencia:  Observacion:  Placa padre:  Tipo adquisicion : Entidad</v>
      </c>
      <c r="G19791" s="5"/>
    </row>
    <row r="19792" spans="1:7" ht="58.5" customHeight="1" x14ac:dyDescent="0.25">
      <c r="A19792" s="5" t="str">
        <f>"B0004849"</f>
        <v>B0004849</v>
      </c>
      <c r="B19792" s="5" t="str">
        <f t="shared" si="1006"/>
        <v>WINDOWS 8 PROFESIONAL</v>
      </c>
      <c r="C19792" s="6">
        <v>337247</v>
      </c>
      <c r="D19792" s="5" t="s">
        <v>856</v>
      </c>
      <c r="E19792" s="5" t="str">
        <f t="shared" si="1007"/>
        <v>SISTEMAS-GLOBALTRONIK SAS-SERGIO PATIÑO</v>
      </c>
      <c r="F19792" s="5" t="str">
        <f>"Descripcion:LICENCIA WINDWS 8.1 Estado: Bueno Placa anterior: 000037448 Material:  Color:  Referencia:  Observacion:  Placa padre:  Tipo adquisicion : Entidad"</f>
        <v>Descripcion:LICENCIA WINDWS 8.1 Estado: Bueno Placa anterior: 000037448 Material:  Color:  Referencia:  Observacion:  Placa padre:  Tipo adquisicion : Entidad</v>
      </c>
      <c r="G19792" s="5"/>
    </row>
    <row r="19793" spans="1:7" ht="58.5" customHeight="1" x14ac:dyDescent="0.25">
      <c r="A19793" s="5" t="str">
        <f>"B0004850"</f>
        <v>B0004850</v>
      </c>
      <c r="B19793" s="5" t="str">
        <f t="shared" si="1006"/>
        <v>WINDOWS 8 PROFESIONAL</v>
      </c>
      <c r="C19793" s="6">
        <v>337247</v>
      </c>
      <c r="D19793" s="5" t="s">
        <v>856</v>
      </c>
      <c r="E19793" s="5" t="str">
        <f t="shared" si="1007"/>
        <v>SISTEMAS-GLOBALTRONIK SAS-SERGIO PATIÑO</v>
      </c>
      <c r="F19793" s="5" t="str">
        <f>"Descripcion:LICENCIA WINDWS 8.1 Estado: Bueno Placa anterior: 000037449 Material:  Color:  Referencia:  Observacion:  Placa padre:  Tipo adquisicion : Entidad"</f>
        <v>Descripcion:LICENCIA WINDWS 8.1 Estado: Bueno Placa anterior: 000037449 Material:  Color:  Referencia:  Observacion:  Placa padre:  Tipo adquisicion : Entidad</v>
      </c>
      <c r="G19793" s="5"/>
    </row>
    <row r="19794" spans="1:7" ht="58.5" customHeight="1" x14ac:dyDescent="0.25">
      <c r="A19794" s="5" t="str">
        <f>"B0004851"</f>
        <v>B0004851</v>
      </c>
      <c r="B19794" s="5" t="str">
        <f t="shared" si="1006"/>
        <v>WINDOWS 8 PROFESIONAL</v>
      </c>
      <c r="C19794" s="6">
        <v>337247</v>
      </c>
      <c r="D19794" s="5" t="s">
        <v>856</v>
      </c>
      <c r="E19794" s="5" t="str">
        <f t="shared" si="1007"/>
        <v>SISTEMAS-GLOBALTRONIK SAS-SERGIO PATIÑO</v>
      </c>
      <c r="F19794" s="5" t="str">
        <f>"Descripcion:LICENCIA WINDWS 8.1 Estado: Bueno Placa anterior: 000037450 Material:  Color:  Referencia:  Observacion:  Placa padre:  Tipo adquisicion : Entidad"</f>
        <v>Descripcion:LICENCIA WINDWS 8.1 Estado: Bueno Placa anterior: 000037450 Material:  Color:  Referencia:  Observacion:  Placa padre:  Tipo adquisicion : Entidad</v>
      </c>
      <c r="G19794" s="5"/>
    </row>
    <row r="19795" spans="1:7" ht="58.5" customHeight="1" x14ac:dyDescent="0.25">
      <c r="A19795" s="5" t="str">
        <f>"B0004852"</f>
        <v>B0004852</v>
      </c>
      <c r="B19795" s="5" t="str">
        <f t="shared" si="1006"/>
        <v>WINDOWS 8 PROFESIONAL</v>
      </c>
      <c r="C19795" s="6">
        <v>337247</v>
      </c>
      <c r="D19795" s="5" t="s">
        <v>856</v>
      </c>
      <c r="E19795" s="5" t="str">
        <f t="shared" si="1007"/>
        <v>SISTEMAS-GLOBALTRONIK SAS-SERGIO PATIÑO</v>
      </c>
      <c r="F19795" s="5" t="str">
        <f>"Descripcion:LICENCIA WINDWS 8.1 Estado: Bueno Placa anterior: 000037451 Material:  Color:  Referencia:  Observacion:  Placa padre:  Tipo adquisicion : Entidad"</f>
        <v>Descripcion:LICENCIA WINDWS 8.1 Estado: Bueno Placa anterior: 000037451 Material:  Color:  Referencia:  Observacion:  Placa padre:  Tipo adquisicion : Entidad</v>
      </c>
      <c r="G19795" s="5"/>
    </row>
    <row r="19796" spans="1:7" ht="58.5" customHeight="1" x14ac:dyDescent="0.25">
      <c r="A19796" s="5" t="str">
        <f>"B0004853"</f>
        <v>B0004853</v>
      </c>
      <c r="B19796" s="5" t="str">
        <f t="shared" si="1006"/>
        <v>WINDOWS 8 PROFESIONAL</v>
      </c>
      <c r="C19796" s="6">
        <v>337247</v>
      </c>
      <c r="D19796" s="5" t="s">
        <v>856</v>
      </c>
      <c r="E19796" s="5" t="str">
        <f t="shared" si="1007"/>
        <v>SISTEMAS-GLOBALTRONIK SAS-SERGIO PATIÑO</v>
      </c>
      <c r="F19796" s="5" t="str">
        <f>"Descripcion:LICENCIA WINDWS 8.1 Estado: Bueno Placa anterior: 000037452 Material:  Color:  Referencia:  Observacion:  Placa padre:  Tipo adquisicion : Entidad"</f>
        <v>Descripcion:LICENCIA WINDWS 8.1 Estado: Bueno Placa anterior: 000037452 Material:  Color:  Referencia:  Observacion:  Placa padre:  Tipo adquisicion : Entidad</v>
      </c>
      <c r="G19796" s="5"/>
    </row>
    <row r="19797" spans="1:7" ht="58.5" customHeight="1" x14ac:dyDescent="0.25">
      <c r="A19797" s="5" t="str">
        <f>"B0004854"</f>
        <v>B0004854</v>
      </c>
      <c r="B19797" s="5" t="str">
        <f t="shared" si="1006"/>
        <v>WINDOWS 8 PROFESIONAL</v>
      </c>
      <c r="C19797" s="6">
        <v>337247</v>
      </c>
      <c r="D19797" s="5" t="s">
        <v>856</v>
      </c>
      <c r="E19797" s="5" t="str">
        <f t="shared" si="1007"/>
        <v>SISTEMAS-GLOBALTRONIK SAS-SERGIO PATIÑO</v>
      </c>
      <c r="F19797" s="5" t="str">
        <f>"Descripcion:LICENCIA WINDWS 8.1 Estado: Bueno Placa anterior: 000037453 Material:  Color:  Referencia:  Observacion:  Placa padre:  Tipo adquisicion : Entidad"</f>
        <v>Descripcion:LICENCIA WINDWS 8.1 Estado: Bueno Placa anterior: 000037453 Material:  Color:  Referencia:  Observacion:  Placa padre:  Tipo adquisicion : Entidad</v>
      </c>
      <c r="G19797" s="5"/>
    </row>
    <row r="19798" spans="1:7" ht="58.5" customHeight="1" x14ac:dyDescent="0.25">
      <c r="A19798" s="5" t="str">
        <f>"B0004855"</f>
        <v>B0004855</v>
      </c>
      <c r="B19798" s="5" t="str">
        <f t="shared" si="1006"/>
        <v>WINDOWS 8 PROFESIONAL</v>
      </c>
      <c r="C19798" s="6">
        <v>337247</v>
      </c>
      <c r="D19798" s="5" t="s">
        <v>856</v>
      </c>
      <c r="E19798" s="5" t="str">
        <f t="shared" si="1007"/>
        <v>SISTEMAS-GLOBALTRONIK SAS-SERGIO PATIÑO</v>
      </c>
      <c r="F19798" s="5" t="str">
        <f>"Descripcion:LICENCIA WINDWS 8.1 Estado: Bueno Placa anterior: 000037454 Material:  Color:  Referencia:  Observacion:  Placa padre:  Tipo adquisicion : Entidad"</f>
        <v>Descripcion:LICENCIA WINDWS 8.1 Estado: Bueno Placa anterior: 000037454 Material:  Color:  Referencia:  Observacion:  Placa padre:  Tipo adquisicion : Entidad</v>
      </c>
      <c r="G19798" s="5"/>
    </row>
    <row r="19799" spans="1:7" ht="58.5" customHeight="1" x14ac:dyDescent="0.25">
      <c r="A19799" s="5" t="str">
        <f>"B0004856"</f>
        <v>B0004856</v>
      </c>
      <c r="B19799" s="5" t="str">
        <f t="shared" si="1006"/>
        <v>WINDOWS 8 PROFESIONAL</v>
      </c>
      <c r="C19799" s="6">
        <v>337247</v>
      </c>
      <c r="D19799" s="5" t="s">
        <v>856</v>
      </c>
      <c r="E19799" s="5" t="str">
        <f t="shared" si="1007"/>
        <v>SISTEMAS-GLOBALTRONIK SAS-SERGIO PATIÑO</v>
      </c>
      <c r="F19799" s="5" t="str">
        <f>"Descripcion:LICENCIA WINDWS 8.1 Estado: Bueno Placa anterior: 000037455 Material:  Color:  Referencia:  Observacion:  Placa padre:  Tipo adquisicion : Entidad"</f>
        <v>Descripcion:LICENCIA WINDWS 8.1 Estado: Bueno Placa anterior: 000037455 Material:  Color:  Referencia:  Observacion:  Placa padre:  Tipo adquisicion : Entidad</v>
      </c>
      <c r="G19799" s="5"/>
    </row>
    <row r="19800" spans="1:7" ht="58.5" customHeight="1" x14ac:dyDescent="0.25">
      <c r="A19800" s="5" t="str">
        <f>"B0004857"</f>
        <v>B0004857</v>
      </c>
      <c r="B19800" s="5" t="str">
        <f t="shared" si="1006"/>
        <v>WINDOWS 8 PROFESIONAL</v>
      </c>
      <c r="C19800" s="6">
        <v>337247</v>
      </c>
      <c r="D19800" s="5" t="s">
        <v>856</v>
      </c>
      <c r="E19800" s="5" t="str">
        <f t="shared" si="1007"/>
        <v>SISTEMAS-GLOBALTRONIK SAS-SERGIO PATIÑO</v>
      </c>
      <c r="F19800" s="5" t="str">
        <f>"Descripcion:LICENCIA WINDWS 8.1 Estado: Bueno Placa anterior: 000037456 Material:  Color:  Referencia:  Observacion:  Placa padre:  Tipo adquisicion : Entidad"</f>
        <v>Descripcion:LICENCIA WINDWS 8.1 Estado: Bueno Placa anterior: 000037456 Material:  Color:  Referencia:  Observacion:  Placa padre:  Tipo adquisicion : Entidad</v>
      </c>
      <c r="G19800" s="5"/>
    </row>
    <row r="19801" spans="1:7" ht="58.5" customHeight="1" x14ac:dyDescent="0.25">
      <c r="A19801" s="5" t="str">
        <f>"B0004858"</f>
        <v>B0004858</v>
      </c>
      <c r="B19801" s="5" t="str">
        <f t="shared" si="1006"/>
        <v>WINDOWS 8 PROFESIONAL</v>
      </c>
      <c r="C19801" s="6">
        <v>337247</v>
      </c>
      <c r="D19801" s="5" t="s">
        <v>856</v>
      </c>
      <c r="E19801" s="5" t="str">
        <f t="shared" si="1007"/>
        <v>SISTEMAS-GLOBALTRONIK SAS-SERGIO PATIÑO</v>
      </c>
      <c r="F19801" s="5" t="str">
        <f>"Descripcion:LICENCIA WINDWS 8.1 Estado: Bueno Placa anterior: 000037457 Material:  Color:  Referencia:  Observacion:  Placa padre:  Tipo adquisicion : Entidad"</f>
        <v>Descripcion:LICENCIA WINDWS 8.1 Estado: Bueno Placa anterior: 000037457 Material:  Color:  Referencia:  Observacion:  Placa padre:  Tipo adquisicion : Entidad</v>
      </c>
      <c r="G19801" s="5"/>
    </row>
    <row r="19802" spans="1:7" ht="58.5" customHeight="1" x14ac:dyDescent="0.25">
      <c r="A19802" s="5" t="str">
        <f>"B0004859"</f>
        <v>B0004859</v>
      </c>
      <c r="B19802" s="5" t="str">
        <f t="shared" si="1006"/>
        <v>WINDOWS 8 PROFESIONAL</v>
      </c>
      <c r="C19802" s="6">
        <v>337247</v>
      </c>
      <c r="D19802" s="5" t="s">
        <v>856</v>
      </c>
      <c r="E19802" s="5" t="str">
        <f t="shared" si="1007"/>
        <v>SISTEMAS-GLOBALTRONIK SAS-SERGIO PATIÑO</v>
      </c>
      <c r="F19802" s="5" t="str">
        <f>"Descripcion:LICENCIA WINDWS 8.1 Estado: Bueno Placa anterior: 000037458 Material:  Color:  Referencia:  Observacion:  Placa padre:  Tipo adquisicion : Entidad"</f>
        <v>Descripcion:LICENCIA WINDWS 8.1 Estado: Bueno Placa anterior: 000037458 Material:  Color:  Referencia:  Observacion:  Placa padre:  Tipo adquisicion : Entidad</v>
      </c>
      <c r="G19802" s="5"/>
    </row>
    <row r="19803" spans="1:7" ht="58.5" customHeight="1" x14ac:dyDescent="0.25">
      <c r="A19803" s="5" t="str">
        <f>"B0004860"</f>
        <v>B0004860</v>
      </c>
      <c r="B19803" s="5" t="str">
        <f t="shared" si="1006"/>
        <v>WINDOWS 8 PROFESIONAL</v>
      </c>
      <c r="C19803" s="6">
        <v>337247</v>
      </c>
      <c r="D19803" s="5" t="s">
        <v>856</v>
      </c>
      <c r="E19803" s="5" t="str">
        <f t="shared" si="1007"/>
        <v>SISTEMAS-GLOBALTRONIK SAS-SERGIO PATIÑO</v>
      </c>
      <c r="F19803" s="5" t="str">
        <f>"Descripcion:LICENCIA WINDWS 8.1 Estado: Bueno Placa anterior: 000037459 Material:  Color:  Referencia:  Observacion:  Placa padre:  Tipo adquisicion : Entidad"</f>
        <v>Descripcion:LICENCIA WINDWS 8.1 Estado: Bueno Placa anterior: 000037459 Material:  Color:  Referencia:  Observacion:  Placa padre:  Tipo adquisicion : Entidad</v>
      </c>
      <c r="G19803" s="5"/>
    </row>
    <row r="19804" spans="1:7" ht="58.5" customHeight="1" x14ac:dyDescent="0.25">
      <c r="A19804" s="5" t="str">
        <f>"B0004861"</f>
        <v>B0004861</v>
      </c>
      <c r="B19804" s="5" t="str">
        <f t="shared" si="1006"/>
        <v>WINDOWS 8 PROFESIONAL</v>
      </c>
      <c r="C19804" s="6">
        <v>337247</v>
      </c>
      <c r="D19804" s="5" t="s">
        <v>856</v>
      </c>
      <c r="E19804" s="5" t="str">
        <f t="shared" si="1007"/>
        <v>SISTEMAS-GLOBALTRONIK SAS-SERGIO PATIÑO</v>
      </c>
      <c r="F19804" s="5" t="str">
        <f>"Descripcion:LICENCIA WINDWS 8.1 Estado: Bueno Placa anterior: 000037460 Material:  Color:  Referencia:  Observacion:  Placa padre:  Tipo adquisicion : Entidad"</f>
        <v>Descripcion:LICENCIA WINDWS 8.1 Estado: Bueno Placa anterior: 000037460 Material:  Color:  Referencia:  Observacion:  Placa padre:  Tipo adquisicion : Entidad</v>
      </c>
      <c r="G19804" s="5"/>
    </row>
    <row r="19805" spans="1:7" ht="58.5" customHeight="1" x14ac:dyDescent="0.25">
      <c r="A19805" s="5" t="str">
        <f>"B0004862"</f>
        <v>B0004862</v>
      </c>
      <c r="B19805" s="5" t="str">
        <f t="shared" si="1006"/>
        <v>WINDOWS 8 PROFESIONAL</v>
      </c>
      <c r="C19805" s="6">
        <v>337247</v>
      </c>
      <c r="D19805" s="5" t="s">
        <v>856</v>
      </c>
      <c r="E19805" s="5" t="str">
        <f t="shared" si="1007"/>
        <v>SISTEMAS-GLOBALTRONIK SAS-SERGIO PATIÑO</v>
      </c>
      <c r="F19805" s="5" t="str">
        <f>"Descripcion:LICENCIA WINDWS 8.1 Estado: Bueno Placa anterior: 000037461 Material:  Color:  Referencia:  Observacion:  Placa padre:  Tipo adquisicion : Entidad"</f>
        <v>Descripcion:LICENCIA WINDWS 8.1 Estado: Bueno Placa anterior: 000037461 Material:  Color:  Referencia:  Observacion:  Placa padre:  Tipo adquisicion : Entidad</v>
      </c>
      <c r="G19805" s="5"/>
    </row>
    <row r="19806" spans="1:7" ht="58.5" customHeight="1" x14ac:dyDescent="0.25">
      <c r="A19806" s="5" t="str">
        <f>"B0004863"</f>
        <v>B0004863</v>
      </c>
      <c r="B19806" s="5" t="str">
        <f t="shared" si="1006"/>
        <v>WINDOWS 8 PROFESIONAL</v>
      </c>
      <c r="C19806" s="6">
        <v>337247</v>
      </c>
      <c r="D19806" s="5" t="s">
        <v>856</v>
      </c>
      <c r="E19806" s="5" t="str">
        <f t="shared" si="1007"/>
        <v>SISTEMAS-GLOBALTRONIK SAS-SERGIO PATIÑO</v>
      </c>
      <c r="F19806" s="5" t="str">
        <f>"Descripcion:LICENCIA WINDWS 8.1 Estado: Bueno Placa anterior: 000037462 Material:  Color:  Referencia:  Observacion:  Placa padre:  Tipo adquisicion : Entidad"</f>
        <v>Descripcion:LICENCIA WINDWS 8.1 Estado: Bueno Placa anterior: 000037462 Material:  Color:  Referencia:  Observacion:  Placa padre:  Tipo adquisicion : Entidad</v>
      </c>
      <c r="G19806" s="5"/>
    </row>
    <row r="19807" spans="1:7" ht="58.5" customHeight="1" x14ac:dyDescent="0.25">
      <c r="A19807" s="5" t="str">
        <f>"B0004864"</f>
        <v>B0004864</v>
      </c>
      <c r="B19807" s="5" t="str">
        <f t="shared" si="1006"/>
        <v>WINDOWS 8 PROFESIONAL</v>
      </c>
      <c r="C19807" s="6">
        <v>337247</v>
      </c>
      <c r="D19807" s="5" t="s">
        <v>856</v>
      </c>
      <c r="E19807" s="5" t="str">
        <f t="shared" si="1007"/>
        <v>SISTEMAS-GLOBALTRONIK SAS-SERGIO PATIÑO</v>
      </c>
      <c r="F19807" s="5" t="str">
        <f>"Descripcion:LICENCIA WINDWS 8.1 Estado: Bueno Placa anterior: 000037463 Material:  Color:  Referencia:  Observacion:  Placa padre:  Tipo adquisicion : Entidad"</f>
        <v>Descripcion:LICENCIA WINDWS 8.1 Estado: Bueno Placa anterior: 000037463 Material:  Color:  Referencia:  Observacion:  Placa padre:  Tipo adquisicion : Entidad</v>
      </c>
      <c r="G19807" s="5"/>
    </row>
    <row r="19808" spans="1:7" ht="58.5" customHeight="1" x14ac:dyDescent="0.25">
      <c r="A19808" s="5" t="str">
        <f>"B0004865"</f>
        <v>B0004865</v>
      </c>
      <c r="B19808" s="5" t="str">
        <f t="shared" si="1006"/>
        <v>WINDOWS 8 PROFESIONAL</v>
      </c>
      <c r="C19808" s="6">
        <v>337247</v>
      </c>
      <c r="D19808" s="5" t="s">
        <v>856</v>
      </c>
      <c r="E19808" s="5" t="str">
        <f t="shared" si="1007"/>
        <v>SISTEMAS-GLOBALTRONIK SAS-SERGIO PATIÑO</v>
      </c>
      <c r="F19808" s="5" t="str">
        <f>"Descripcion:LICENCIA WINDWS 8.1 Estado: Bueno Placa anterior: 000037464 Material:  Color:  Referencia:  Observacion:  Placa padre:  Tipo adquisicion : Entidad"</f>
        <v>Descripcion:LICENCIA WINDWS 8.1 Estado: Bueno Placa anterior: 000037464 Material:  Color:  Referencia:  Observacion:  Placa padre:  Tipo adquisicion : Entidad</v>
      </c>
      <c r="G19808" s="5"/>
    </row>
    <row r="19809" spans="1:7" ht="58.5" customHeight="1" x14ac:dyDescent="0.25">
      <c r="A19809" s="5" t="str">
        <f>"B0004866"</f>
        <v>B0004866</v>
      </c>
      <c r="B19809" s="5" t="str">
        <f t="shared" si="1006"/>
        <v>WINDOWS 8 PROFESIONAL</v>
      </c>
      <c r="C19809" s="6">
        <v>337247</v>
      </c>
      <c r="D19809" s="5" t="s">
        <v>856</v>
      </c>
      <c r="E19809" s="5" t="str">
        <f t="shared" si="1007"/>
        <v>SISTEMAS-GLOBALTRONIK SAS-SERGIO PATIÑO</v>
      </c>
      <c r="F19809" s="5" t="str">
        <f>"Descripcion:LICENCIA WINDWS 8.1 Estado: Bueno Placa anterior: 000037465 Material:  Color:  Referencia:  Observacion:  Placa padre:  Tipo adquisicion : Entidad"</f>
        <v>Descripcion:LICENCIA WINDWS 8.1 Estado: Bueno Placa anterior: 000037465 Material:  Color:  Referencia:  Observacion:  Placa padre:  Tipo adquisicion : Entidad</v>
      </c>
      <c r="G19809" s="5"/>
    </row>
    <row r="19810" spans="1:7" ht="58.5" customHeight="1" x14ac:dyDescent="0.25">
      <c r="A19810" s="5" t="str">
        <f>"B0004867"</f>
        <v>B0004867</v>
      </c>
      <c r="B19810" s="5" t="str">
        <f t="shared" si="1006"/>
        <v>WINDOWS 8 PROFESIONAL</v>
      </c>
      <c r="C19810" s="6">
        <v>337247</v>
      </c>
      <c r="D19810" s="5" t="s">
        <v>856</v>
      </c>
      <c r="E19810" s="5" t="str">
        <f t="shared" si="1007"/>
        <v>SISTEMAS-GLOBALTRONIK SAS-SERGIO PATIÑO</v>
      </c>
      <c r="F19810" s="5" t="str">
        <f>"Descripcion:LICENCIA WINDWS 8.1 Estado: Bueno Placa anterior: 000037466 Material:  Color:  Referencia:  Observacion:  Placa padre:  Tipo adquisicion : Entidad"</f>
        <v>Descripcion:LICENCIA WINDWS 8.1 Estado: Bueno Placa anterior: 000037466 Material:  Color:  Referencia:  Observacion:  Placa padre:  Tipo adquisicion : Entidad</v>
      </c>
      <c r="G19810" s="5"/>
    </row>
    <row r="19811" spans="1:7" ht="58.5" customHeight="1" x14ac:dyDescent="0.25">
      <c r="A19811" s="5" t="str">
        <f>"B0004868"</f>
        <v>B0004868</v>
      </c>
      <c r="B19811" s="5" t="str">
        <f t="shared" si="1006"/>
        <v>WINDOWS 8 PROFESIONAL</v>
      </c>
      <c r="C19811" s="6">
        <v>337247</v>
      </c>
      <c r="D19811" s="5" t="s">
        <v>856</v>
      </c>
      <c r="E19811" s="5" t="str">
        <f t="shared" si="1007"/>
        <v>SISTEMAS-GLOBALTRONIK SAS-SERGIO PATIÑO</v>
      </c>
      <c r="F19811" s="5" t="str">
        <f>"Descripcion:LICENCIA WINDWS 8.1 Estado: Bueno Placa anterior: 000037467 Material:  Color:  Referencia:  Observacion:  Placa padre:  Tipo adquisicion : Entidad"</f>
        <v>Descripcion:LICENCIA WINDWS 8.1 Estado: Bueno Placa anterior: 000037467 Material:  Color:  Referencia:  Observacion:  Placa padre:  Tipo adquisicion : Entidad</v>
      </c>
      <c r="G19811" s="5"/>
    </row>
    <row r="19812" spans="1:7" ht="58.5" customHeight="1" x14ac:dyDescent="0.25">
      <c r="A19812" s="5" t="str">
        <f>"B0004869"</f>
        <v>B0004869</v>
      </c>
      <c r="B19812" s="5" t="str">
        <f t="shared" si="1006"/>
        <v>WINDOWS 8 PROFESIONAL</v>
      </c>
      <c r="C19812" s="6">
        <v>337247</v>
      </c>
      <c r="D19812" s="5" t="s">
        <v>856</v>
      </c>
      <c r="E19812" s="5" t="str">
        <f t="shared" si="1007"/>
        <v>SISTEMAS-GLOBALTRONIK SAS-SERGIO PATIÑO</v>
      </c>
      <c r="F19812" s="5" t="str">
        <f>"Descripcion:LICENCIA WINDWS 8.1 Estado: Bueno Placa anterior: 000037468 Material:  Color:  Referencia:  Observacion:  Placa padre:  Tipo adquisicion : Entidad"</f>
        <v>Descripcion:LICENCIA WINDWS 8.1 Estado: Bueno Placa anterior: 000037468 Material:  Color:  Referencia:  Observacion:  Placa padre:  Tipo adquisicion : Entidad</v>
      </c>
      <c r="G19812" s="5"/>
    </row>
    <row r="19813" spans="1:7" ht="58.5" customHeight="1" x14ac:dyDescent="0.25">
      <c r="A19813" s="5" t="str">
        <f>"B0004870"</f>
        <v>B0004870</v>
      </c>
      <c r="B19813" s="5" t="str">
        <f t="shared" si="1006"/>
        <v>WINDOWS 8 PROFESIONAL</v>
      </c>
      <c r="C19813" s="6">
        <v>337247</v>
      </c>
      <c r="D19813" s="5" t="s">
        <v>856</v>
      </c>
      <c r="E19813" s="5" t="str">
        <f t="shared" si="1007"/>
        <v>SISTEMAS-GLOBALTRONIK SAS-SERGIO PATIÑO</v>
      </c>
      <c r="F19813" s="5" t="str">
        <f>"Descripcion:LICENCIA WINDWS 8.1 Estado: Bueno Placa anterior: 000037469 Material:  Color:  Referencia:  Observacion:  Placa padre:  Tipo adquisicion : Entidad"</f>
        <v>Descripcion:LICENCIA WINDWS 8.1 Estado: Bueno Placa anterior: 000037469 Material:  Color:  Referencia:  Observacion:  Placa padre:  Tipo adquisicion : Entidad</v>
      </c>
      <c r="G19813" s="5"/>
    </row>
    <row r="19814" spans="1:7" ht="58.5" customHeight="1" x14ac:dyDescent="0.25">
      <c r="A19814" s="5" t="str">
        <f>"B0004871"</f>
        <v>B0004871</v>
      </c>
      <c r="B19814" s="5" t="str">
        <f t="shared" si="1006"/>
        <v>WINDOWS 8 PROFESIONAL</v>
      </c>
      <c r="C19814" s="6">
        <v>337247</v>
      </c>
      <c r="D19814" s="5" t="s">
        <v>856</v>
      </c>
      <c r="E19814" s="5" t="str">
        <f t="shared" si="1007"/>
        <v>SISTEMAS-GLOBALTRONIK SAS-SERGIO PATIÑO</v>
      </c>
      <c r="F19814" s="5" t="str">
        <f>"Descripcion:LICENCIA WINDWS 8.1 Estado: Bueno Placa anterior: 000037470 Material:  Color:  Referencia:  Observacion:  Placa padre:  Tipo adquisicion : Entidad"</f>
        <v>Descripcion:LICENCIA WINDWS 8.1 Estado: Bueno Placa anterior: 000037470 Material:  Color:  Referencia:  Observacion:  Placa padre:  Tipo adquisicion : Entidad</v>
      </c>
      <c r="G19814" s="5"/>
    </row>
    <row r="19815" spans="1:7" ht="58.5" customHeight="1" x14ac:dyDescent="0.25">
      <c r="A19815" s="5" t="str">
        <f>"B0004872"</f>
        <v>B0004872</v>
      </c>
      <c r="B19815" s="5" t="str">
        <f t="shared" si="1006"/>
        <v>WINDOWS 8 PROFESIONAL</v>
      </c>
      <c r="C19815" s="6">
        <v>337247</v>
      </c>
      <c r="D19815" s="5" t="s">
        <v>856</v>
      </c>
      <c r="E19815" s="5" t="str">
        <f t="shared" si="1007"/>
        <v>SISTEMAS-GLOBALTRONIK SAS-SERGIO PATIÑO</v>
      </c>
      <c r="F19815" s="5" t="str">
        <f>"Descripcion:LICENCIA WINDWS 8.1 Estado: Bueno Placa anterior: 000037471 Material:  Color:  Referencia:  Observacion:  Placa padre:  Tipo adquisicion : Entidad"</f>
        <v>Descripcion:LICENCIA WINDWS 8.1 Estado: Bueno Placa anterior: 000037471 Material:  Color:  Referencia:  Observacion:  Placa padre:  Tipo adquisicion : Entidad</v>
      </c>
      <c r="G19815" s="5"/>
    </row>
    <row r="19816" spans="1:7" ht="58.5" customHeight="1" x14ac:dyDescent="0.25">
      <c r="A19816" s="5" t="str">
        <f>"B0004873"</f>
        <v>B0004873</v>
      </c>
      <c r="B19816" s="5" t="str">
        <f t="shared" si="1006"/>
        <v>WINDOWS 8 PROFESIONAL</v>
      </c>
      <c r="C19816" s="6">
        <v>337247</v>
      </c>
      <c r="D19816" s="5" t="s">
        <v>856</v>
      </c>
      <c r="E19816" s="5" t="str">
        <f t="shared" si="1007"/>
        <v>SISTEMAS-GLOBALTRONIK SAS-SERGIO PATIÑO</v>
      </c>
      <c r="F19816" s="5" t="str">
        <f>"Descripcion:LICENCIA WINDWS 8.1 Estado: Bueno Placa anterior: 000037472 Material:  Color:  Referencia:  Observacion:  Placa padre:  Tipo adquisicion : Entidad"</f>
        <v>Descripcion:LICENCIA WINDWS 8.1 Estado: Bueno Placa anterior: 000037472 Material:  Color:  Referencia:  Observacion:  Placa padre:  Tipo adquisicion : Entidad</v>
      </c>
      <c r="G19816" s="5"/>
    </row>
    <row r="19817" spans="1:7" ht="58.5" customHeight="1" x14ac:dyDescent="0.25">
      <c r="A19817" s="5" t="str">
        <f>"B0004874"</f>
        <v>B0004874</v>
      </c>
      <c r="B19817" s="5" t="str">
        <f t="shared" si="1006"/>
        <v>WINDOWS 8 PROFESIONAL</v>
      </c>
      <c r="C19817" s="6">
        <v>337247</v>
      </c>
      <c r="D19817" s="5" t="s">
        <v>856</v>
      </c>
      <c r="E19817" s="5" t="str">
        <f t="shared" si="1007"/>
        <v>SISTEMAS-GLOBALTRONIK SAS-SERGIO PATIÑO</v>
      </c>
      <c r="F19817" s="5" t="str">
        <f>"Descripcion:LICENCIA WINDWS 8.1 Estado: Bueno Placa anterior: 000037473 Material:  Color:  Referencia:  Observacion:  Placa padre:  Tipo adquisicion : Entidad"</f>
        <v>Descripcion:LICENCIA WINDWS 8.1 Estado: Bueno Placa anterior: 000037473 Material:  Color:  Referencia:  Observacion:  Placa padre:  Tipo adquisicion : Entidad</v>
      </c>
      <c r="G19817" s="5"/>
    </row>
    <row r="19818" spans="1:7" ht="58.5" customHeight="1" x14ac:dyDescent="0.25">
      <c r="A19818" s="5" t="str">
        <f>"B0004875"</f>
        <v>B0004875</v>
      </c>
      <c r="B19818" s="5" t="str">
        <f t="shared" si="1006"/>
        <v>WINDOWS 8 PROFESIONAL</v>
      </c>
      <c r="C19818" s="6">
        <v>337247</v>
      </c>
      <c r="D19818" s="5" t="s">
        <v>856</v>
      </c>
      <c r="E19818" s="5" t="str">
        <f t="shared" si="1007"/>
        <v>SISTEMAS-GLOBALTRONIK SAS-SERGIO PATIÑO</v>
      </c>
      <c r="F19818" s="5" t="str">
        <f>"Descripcion:LICENCIA WINDWS 8.1 Estado: Bueno Placa anterior: 000037474 Material:  Color:  Referencia:  Observacion:  Placa padre:  Tipo adquisicion : Entidad"</f>
        <v>Descripcion:LICENCIA WINDWS 8.1 Estado: Bueno Placa anterior: 000037474 Material:  Color:  Referencia:  Observacion:  Placa padre:  Tipo adquisicion : Entidad</v>
      </c>
      <c r="G19818" s="5"/>
    </row>
    <row r="19819" spans="1:7" ht="58.5" customHeight="1" x14ac:dyDescent="0.25">
      <c r="A19819" s="5" t="str">
        <f>"B0004876"</f>
        <v>B0004876</v>
      </c>
      <c r="B19819" s="5" t="str">
        <f t="shared" si="1006"/>
        <v>WINDOWS 8 PROFESIONAL</v>
      </c>
      <c r="C19819" s="6">
        <v>337247</v>
      </c>
      <c r="D19819" s="5" t="s">
        <v>856</v>
      </c>
      <c r="E19819" s="5" t="str">
        <f t="shared" si="1007"/>
        <v>SISTEMAS-GLOBALTRONIK SAS-SERGIO PATIÑO</v>
      </c>
      <c r="F19819" s="5" t="str">
        <f>"Descripcion:LICENCIA WINDWS 8.1 Estado: Bueno Placa anterior: 000037475 Material:  Color:  Referencia:  Observacion:  Placa padre:  Tipo adquisicion : Entidad"</f>
        <v>Descripcion:LICENCIA WINDWS 8.1 Estado: Bueno Placa anterior: 000037475 Material:  Color:  Referencia:  Observacion:  Placa padre:  Tipo adquisicion : Entidad</v>
      </c>
      <c r="G19819" s="5"/>
    </row>
    <row r="19820" spans="1:7" ht="58.5" customHeight="1" x14ac:dyDescent="0.25">
      <c r="A19820" s="5" t="str">
        <f>"B0004877"</f>
        <v>B0004877</v>
      </c>
      <c r="B19820" s="5" t="str">
        <f t="shared" si="1006"/>
        <v>WINDOWS 8 PROFESIONAL</v>
      </c>
      <c r="C19820" s="6">
        <v>337247</v>
      </c>
      <c r="D19820" s="5" t="s">
        <v>856</v>
      </c>
      <c r="E19820" s="5" t="str">
        <f t="shared" si="1007"/>
        <v>SISTEMAS-GLOBALTRONIK SAS-SERGIO PATIÑO</v>
      </c>
      <c r="F19820" s="5" t="str">
        <f>"Descripcion:LICENCIA WINDWS 8.1 Estado: Bueno Placa anterior: 000037476 Material:  Color:  Referencia:  Observacion:  Placa padre:  Tipo adquisicion : Entidad"</f>
        <v>Descripcion:LICENCIA WINDWS 8.1 Estado: Bueno Placa anterior: 000037476 Material:  Color:  Referencia:  Observacion:  Placa padre:  Tipo adquisicion : Entidad</v>
      </c>
      <c r="G19820" s="5"/>
    </row>
    <row r="19821" spans="1:7" ht="58.5" customHeight="1" x14ac:dyDescent="0.25">
      <c r="A19821" s="5" t="str">
        <f>"B0004878"</f>
        <v>B0004878</v>
      </c>
      <c r="B19821" s="5" t="str">
        <f t="shared" si="1006"/>
        <v>WINDOWS 8 PROFESIONAL</v>
      </c>
      <c r="C19821" s="6">
        <v>337247</v>
      </c>
      <c r="D19821" s="5" t="s">
        <v>856</v>
      </c>
      <c r="E19821" s="5" t="str">
        <f t="shared" si="1007"/>
        <v>SISTEMAS-GLOBALTRONIK SAS-SERGIO PATIÑO</v>
      </c>
      <c r="F19821" s="5" t="str">
        <f>"Descripcion:LICENCIA WINDWS 8.1 Estado: Bueno Placa anterior: 000037477 Material:  Color:  Referencia:  Observacion:  Placa padre:  Tipo adquisicion : Entidad"</f>
        <v>Descripcion:LICENCIA WINDWS 8.1 Estado: Bueno Placa anterior: 000037477 Material:  Color:  Referencia:  Observacion:  Placa padre:  Tipo adquisicion : Entidad</v>
      </c>
      <c r="G19821" s="5"/>
    </row>
    <row r="19822" spans="1:7" ht="58.5" customHeight="1" x14ac:dyDescent="0.25">
      <c r="A19822" s="5" t="str">
        <f>"B0004879"</f>
        <v>B0004879</v>
      </c>
      <c r="B19822" s="5" t="str">
        <f t="shared" si="1006"/>
        <v>WINDOWS 8 PROFESIONAL</v>
      </c>
      <c r="C19822" s="6">
        <v>337247</v>
      </c>
      <c r="D19822" s="5" t="s">
        <v>856</v>
      </c>
      <c r="E19822" s="5" t="str">
        <f t="shared" si="1007"/>
        <v>SISTEMAS-GLOBALTRONIK SAS-SERGIO PATIÑO</v>
      </c>
      <c r="F19822" s="5" t="str">
        <f>"Descripcion:LICENCIA WINDWS 8.1 Estado: Bueno Placa anterior: 000037478 Material:  Color:  Referencia:  Observacion:  Placa padre:  Tipo adquisicion : Entidad"</f>
        <v>Descripcion:LICENCIA WINDWS 8.1 Estado: Bueno Placa anterior: 000037478 Material:  Color:  Referencia:  Observacion:  Placa padre:  Tipo adquisicion : Entidad</v>
      </c>
      <c r="G19822" s="5"/>
    </row>
    <row r="19823" spans="1:7" ht="58.5" customHeight="1" x14ac:dyDescent="0.25">
      <c r="A19823" s="5" t="str">
        <f>"B0004880"</f>
        <v>B0004880</v>
      </c>
      <c r="B19823" s="5" t="str">
        <f t="shared" si="1006"/>
        <v>WINDOWS 8 PROFESIONAL</v>
      </c>
      <c r="C19823" s="6">
        <v>337247</v>
      </c>
      <c r="D19823" s="5" t="s">
        <v>856</v>
      </c>
      <c r="E19823" s="5" t="str">
        <f t="shared" si="1007"/>
        <v>SISTEMAS-GLOBALTRONIK SAS-SERGIO PATIÑO</v>
      </c>
      <c r="F19823" s="5" t="str">
        <f>"Descripcion:LICENCIA WINDWS 8.1 Estado: Bueno Placa anterior: 000037479 Material:  Color:  Referencia:  Observacion:  Placa padre:  Tipo adquisicion : Entidad"</f>
        <v>Descripcion:LICENCIA WINDWS 8.1 Estado: Bueno Placa anterior: 000037479 Material:  Color:  Referencia:  Observacion:  Placa padre:  Tipo adquisicion : Entidad</v>
      </c>
      <c r="G19823" s="5"/>
    </row>
    <row r="19824" spans="1:7" ht="58.5" customHeight="1" x14ac:dyDescent="0.25">
      <c r="A19824" s="5" t="str">
        <f>"B0004881"</f>
        <v>B0004881</v>
      </c>
      <c r="B19824" s="5" t="str">
        <f t="shared" si="1006"/>
        <v>WINDOWS 8 PROFESIONAL</v>
      </c>
      <c r="C19824" s="6">
        <v>337247</v>
      </c>
      <c r="D19824" s="5" t="s">
        <v>856</v>
      </c>
      <c r="E19824" s="5" t="str">
        <f t="shared" si="1007"/>
        <v>SISTEMAS-GLOBALTRONIK SAS-SERGIO PATIÑO</v>
      </c>
      <c r="F19824" s="5" t="str">
        <f>"Descripcion:LICENCIA WINDWS 8.1 Estado: Bueno Placa anterior: 000037480 Material:  Color:  Referencia:  Observacion:  Placa padre:  Tipo adquisicion : Entidad"</f>
        <v>Descripcion:LICENCIA WINDWS 8.1 Estado: Bueno Placa anterior: 000037480 Material:  Color:  Referencia:  Observacion:  Placa padre:  Tipo adquisicion : Entidad</v>
      </c>
      <c r="G19824" s="5"/>
    </row>
    <row r="19825" spans="1:7" ht="58.5" customHeight="1" x14ac:dyDescent="0.25">
      <c r="A19825" s="5" t="str">
        <f>"B0004882"</f>
        <v>B0004882</v>
      </c>
      <c r="B19825" s="5" t="str">
        <f t="shared" si="1006"/>
        <v>WINDOWS 8 PROFESIONAL</v>
      </c>
      <c r="C19825" s="6">
        <v>337247</v>
      </c>
      <c r="D19825" s="5" t="s">
        <v>856</v>
      </c>
      <c r="E19825" s="5" t="str">
        <f t="shared" si="1007"/>
        <v>SISTEMAS-GLOBALTRONIK SAS-SERGIO PATIÑO</v>
      </c>
      <c r="F19825" s="5" t="str">
        <f>"Descripcion:LICENCIA WINDWS 8.1 Estado: Bueno Placa anterior: 000037481 Material:  Color:  Referencia:  Observacion:  Placa padre:  Tipo adquisicion : Entidad"</f>
        <v>Descripcion:LICENCIA WINDWS 8.1 Estado: Bueno Placa anterior: 000037481 Material:  Color:  Referencia:  Observacion:  Placa padre:  Tipo adquisicion : Entidad</v>
      </c>
      <c r="G19825" s="5"/>
    </row>
    <row r="19826" spans="1:7" ht="58.5" customHeight="1" x14ac:dyDescent="0.25">
      <c r="A19826" s="5" t="str">
        <f>"B0004883"</f>
        <v>B0004883</v>
      </c>
      <c r="B19826" s="5" t="str">
        <f t="shared" si="1006"/>
        <v>WINDOWS 8 PROFESIONAL</v>
      </c>
      <c r="C19826" s="6">
        <v>337247</v>
      </c>
      <c r="D19826" s="5" t="s">
        <v>856</v>
      </c>
      <c r="E19826" s="5" t="str">
        <f t="shared" si="1007"/>
        <v>SISTEMAS-GLOBALTRONIK SAS-SERGIO PATIÑO</v>
      </c>
      <c r="F19826" s="5" t="str">
        <f>"Descripcion:LICENCIA WINDWS 8.1 Estado: Bueno Placa anterior: 000037482 Material:  Color:  Referencia:  Observacion:  Placa padre:  Tipo adquisicion : Entidad"</f>
        <v>Descripcion:LICENCIA WINDWS 8.1 Estado: Bueno Placa anterior: 000037482 Material:  Color:  Referencia:  Observacion:  Placa padre:  Tipo adquisicion : Entidad</v>
      </c>
      <c r="G19826" s="5"/>
    </row>
    <row r="19827" spans="1:7" ht="58.5" customHeight="1" x14ac:dyDescent="0.25">
      <c r="A19827" s="5" t="str">
        <f>"B0004884"</f>
        <v>B0004884</v>
      </c>
      <c r="B19827" s="5" t="str">
        <f t="shared" si="1006"/>
        <v>WINDOWS 8 PROFESIONAL</v>
      </c>
      <c r="C19827" s="6">
        <v>337247</v>
      </c>
      <c r="D19827" s="5" t="s">
        <v>856</v>
      </c>
      <c r="E19827" s="5" t="str">
        <f t="shared" si="1007"/>
        <v>SISTEMAS-GLOBALTRONIK SAS-SERGIO PATIÑO</v>
      </c>
      <c r="F19827" s="5" t="str">
        <f>"Descripcion:LICENCIA WINDWS 8.1 Estado: Bueno Placa anterior: 000037483 Material:  Color:  Referencia:  Observacion:  Placa padre:  Tipo adquisicion : Entidad"</f>
        <v>Descripcion:LICENCIA WINDWS 8.1 Estado: Bueno Placa anterior: 000037483 Material:  Color:  Referencia:  Observacion:  Placa padre:  Tipo adquisicion : Entidad</v>
      </c>
      <c r="G19827" s="5"/>
    </row>
    <row r="19828" spans="1:7" ht="58.5" customHeight="1" x14ac:dyDescent="0.25">
      <c r="A19828" s="5" t="str">
        <f>"B0004885"</f>
        <v>B0004885</v>
      </c>
      <c r="B19828" s="5" t="str">
        <f t="shared" si="1006"/>
        <v>WINDOWS 8 PROFESIONAL</v>
      </c>
      <c r="C19828" s="6">
        <v>337247</v>
      </c>
      <c r="D19828" s="5" t="s">
        <v>856</v>
      </c>
      <c r="E19828" s="5" t="str">
        <f t="shared" si="1007"/>
        <v>SISTEMAS-GLOBALTRONIK SAS-SERGIO PATIÑO</v>
      </c>
      <c r="F19828" s="5" t="str">
        <f>"Descripcion:LICENCIA WINDWS 8.1 Estado: Bueno Placa anterior: 000037484 Material:  Color:  Referencia:  Observacion:  Placa padre:  Tipo adquisicion : Entidad"</f>
        <v>Descripcion:LICENCIA WINDWS 8.1 Estado: Bueno Placa anterior: 000037484 Material:  Color:  Referencia:  Observacion:  Placa padre:  Tipo adquisicion : Entidad</v>
      </c>
      <c r="G19828" s="5"/>
    </row>
    <row r="19829" spans="1:7" ht="58.5" customHeight="1" x14ac:dyDescent="0.25">
      <c r="A19829" s="5" t="str">
        <f>"B0004886"</f>
        <v>B0004886</v>
      </c>
      <c r="B19829" s="5" t="str">
        <f t="shared" si="1006"/>
        <v>WINDOWS 8 PROFESIONAL</v>
      </c>
      <c r="C19829" s="6">
        <v>337247</v>
      </c>
      <c r="D19829" s="5" t="s">
        <v>856</v>
      </c>
      <c r="E19829" s="5" t="str">
        <f t="shared" si="1007"/>
        <v>SISTEMAS-GLOBALTRONIK SAS-SERGIO PATIÑO</v>
      </c>
      <c r="F19829" s="5" t="str">
        <f>"Descripcion:LICENCIA WINDWS 8.1 Estado: Bueno Placa anterior: 000037485 Material:  Color:  Referencia:  Observacion:  Placa padre:  Tipo adquisicion : Entidad"</f>
        <v>Descripcion:LICENCIA WINDWS 8.1 Estado: Bueno Placa anterior: 000037485 Material:  Color:  Referencia:  Observacion:  Placa padre:  Tipo adquisicion : Entidad</v>
      </c>
      <c r="G19829" s="5"/>
    </row>
    <row r="19830" spans="1:7" ht="58.5" customHeight="1" x14ac:dyDescent="0.25">
      <c r="A19830" s="5" t="str">
        <f>"B0004887"</f>
        <v>B0004887</v>
      </c>
      <c r="B19830" s="5" t="str">
        <f t="shared" si="1006"/>
        <v>WINDOWS 8 PROFESIONAL</v>
      </c>
      <c r="C19830" s="6">
        <v>337247</v>
      </c>
      <c r="D19830" s="5" t="s">
        <v>856</v>
      </c>
      <c r="E19830" s="5" t="str">
        <f t="shared" si="1007"/>
        <v>SISTEMAS-GLOBALTRONIK SAS-SERGIO PATIÑO</v>
      </c>
      <c r="F19830" s="5" t="str">
        <f>"Descripcion:LICENCIA WINDWS 8.1 Estado: Bueno Placa anterior: 000037486 Material:  Color:  Referencia:  Observacion:  Placa padre:  Tipo adquisicion : Entidad"</f>
        <v>Descripcion:LICENCIA WINDWS 8.1 Estado: Bueno Placa anterior: 000037486 Material:  Color:  Referencia:  Observacion:  Placa padre:  Tipo adquisicion : Entidad</v>
      </c>
      <c r="G19830" s="5"/>
    </row>
    <row r="19831" spans="1:7" ht="58.5" customHeight="1" x14ac:dyDescent="0.25">
      <c r="A19831" s="5" t="str">
        <f>"B0004888"</f>
        <v>B0004888</v>
      </c>
      <c r="B19831" s="5" t="str">
        <f t="shared" si="1006"/>
        <v>WINDOWS 8 PROFESIONAL</v>
      </c>
      <c r="C19831" s="6">
        <v>337247</v>
      </c>
      <c r="D19831" s="5" t="s">
        <v>856</v>
      </c>
      <c r="E19831" s="5" t="str">
        <f t="shared" si="1007"/>
        <v>SISTEMAS-GLOBALTRONIK SAS-SERGIO PATIÑO</v>
      </c>
      <c r="F19831" s="5" t="str">
        <f>"Descripcion:LICENCIA WINDWS 8.1 Estado: Bueno Placa anterior: 000037487 Material:  Color:  Referencia:  Observacion:  Placa padre:  Tipo adquisicion : Entidad"</f>
        <v>Descripcion:LICENCIA WINDWS 8.1 Estado: Bueno Placa anterior: 000037487 Material:  Color:  Referencia:  Observacion:  Placa padre:  Tipo adquisicion : Entidad</v>
      </c>
      <c r="G19831" s="5"/>
    </row>
    <row r="19832" spans="1:7" ht="58.5" customHeight="1" x14ac:dyDescent="0.25">
      <c r="A19832" s="5" t="str">
        <f>"B0004889"</f>
        <v>B0004889</v>
      </c>
      <c r="B19832" s="5" t="str">
        <f t="shared" si="1006"/>
        <v>WINDOWS 8 PROFESIONAL</v>
      </c>
      <c r="C19832" s="6">
        <v>337247</v>
      </c>
      <c r="D19832" s="5" t="s">
        <v>856</v>
      </c>
      <c r="E19832" s="5" t="str">
        <f t="shared" si="1007"/>
        <v>SISTEMAS-GLOBALTRONIK SAS-SERGIO PATIÑO</v>
      </c>
      <c r="F19832" s="5" t="str">
        <f>"Descripcion:LICENCIA WINDWS 8.1 Estado: Bueno Placa anterior: 000037488 Material:  Color:  Referencia:  Observacion:  Placa padre:  Tipo adquisicion : Entidad"</f>
        <v>Descripcion:LICENCIA WINDWS 8.1 Estado: Bueno Placa anterior: 000037488 Material:  Color:  Referencia:  Observacion:  Placa padre:  Tipo adquisicion : Entidad</v>
      </c>
      <c r="G19832" s="5"/>
    </row>
    <row r="19833" spans="1:7" ht="58.5" customHeight="1" x14ac:dyDescent="0.25">
      <c r="A19833" s="5" t="str">
        <f>"B0004890"</f>
        <v>B0004890</v>
      </c>
      <c r="B19833" s="5" t="str">
        <f t="shared" si="1006"/>
        <v>WINDOWS 8 PROFESIONAL</v>
      </c>
      <c r="C19833" s="6">
        <v>337247</v>
      </c>
      <c r="D19833" s="5" t="s">
        <v>856</v>
      </c>
      <c r="E19833" s="5" t="str">
        <f t="shared" si="1007"/>
        <v>SISTEMAS-GLOBALTRONIK SAS-SERGIO PATIÑO</v>
      </c>
      <c r="F19833" s="5" t="str">
        <f>"Descripcion:LICENCIA WINDWS 8.1 Estado: Bueno Placa anterior: 000037489 Material:  Color:  Referencia:  Observacion:  Placa padre:  Tipo adquisicion : Entidad"</f>
        <v>Descripcion:LICENCIA WINDWS 8.1 Estado: Bueno Placa anterior: 000037489 Material:  Color:  Referencia:  Observacion:  Placa padre:  Tipo adquisicion : Entidad</v>
      </c>
      <c r="G19833" s="5"/>
    </row>
    <row r="19834" spans="1:7" ht="58.5" customHeight="1" x14ac:dyDescent="0.25">
      <c r="A19834" s="5" t="str">
        <f>"B0004891"</f>
        <v>B0004891</v>
      </c>
      <c r="B19834" s="5" t="str">
        <f t="shared" si="1006"/>
        <v>WINDOWS 8 PROFESIONAL</v>
      </c>
      <c r="C19834" s="6">
        <v>337247</v>
      </c>
      <c r="D19834" s="5" t="s">
        <v>856</v>
      </c>
      <c r="E19834" s="5" t="str">
        <f t="shared" si="1007"/>
        <v>SISTEMAS-GLOBALTRONIK SAS-SERGIO PATIÑO</v>
      </c>
      <c r="F19834" s="5" t="str">
        <f>"Descripcion:LICENCIA WINDWS 8.1 Estado: Bueno Placa anterior: 000037490 Material:  Color:  Referencia:  Observacion:  Placa padre:  Tipo adquisicion : Entidad"</f>
        <v>Descripcion:LICENCIA WINDWS 8.1 Estado: Bueno Placa anterior: 000037490 Material:  Color:  Referencia:  Observacion:  Placa padre:  Tipo adquisicion : Entidad</v>
      </c>
      <c r="G19834" s="5"/>
    </row>
    <row r="19835" spans="1:7" ht="58.5" customHeight="1" x14ac:dyDescent="0.25">
      <c r="A19835" s="5" t="str">
        <f>"B0004892"</f>
        <v>B0004892</v>
      </c>
      <c r="B19835" s="5" t="str">
        <f t="shared" si="1006"/>
        <v>WINDOWS 8 PROFESIONAL</v>
      </c>
      <c r="C19835" s="6">
        <v>337247</v>
      </c>
      <c r="D19835" s="5" t="s">
        <v>856</v>
      </c>
      <c r="E19835" s="5" t="str">
        <f t="shared" si="1007"/>
        <v>SISTEMAS-GLOBALTRONIK SAS-SERGIO PATIÑO</v>
      </c>
      <c r="F19835" s="5" t="str">
        <f>"Descripcion:LICENCIA WINDWS 8.1 Estado: Bueno Placa anterior: 000037491 Material:  Color:  Referencia:  Observacion:  Placa padre:  Tipo adquisicion : Entidad"</f>
        <v>Descripcion:LICENCIA WINDWS 8.1 Estado: Bueno Placa anterior: 000037491 Material:  Color:  Referencia:  Observacion:  Placa padre:  Tipo adquisicion : Entidad</v>
      </c>
      <c r="G19835" s="5"/>
    </row>
    <row r="19836" spans="1:7" ht="58.5" customHeight="1" x14ac:dyDescent="0.25">
      <c r="A19836" s="5" t="str">
        <f>"B0004893"</f>
        <v>B0004893</v>
      </c>
      <c r="B19836" s="5" t="str">
        <f t="shared" si="1006"/>
        <v>WINDOWS 8 PROFESIONAL</v>
      </c>
      <c r="C19836" s="6">
        <v>337247</v>
      </c>
      <c r="D19836" s="5" t="s">
        <v>856</v>
      </c>
      <c r="E19836" s="5" t="str">
        <f t="shared" si="1007"/>
        <v>SISTEMAS-GLOBALTRONIK SAS-SERGIO PATIÑO</v>
      </c>
      <c r="F19836" s="5" t="str">
        <f>"Descripcion:LICENCIA WINDWS 8.1 Estado: Bueno Placa anterior: 000037492 Material:  Color:  Referencia:  Observacion:  Placa padre:  Tipo adquisicion : Entidad"</f>
        <v>Descripcion:LICENCIA WINDWS 8.1 Estado: Bueno Placa anterior: 000037492 Material:  Color:  Referencia:  Observacion:  Placa padre:  Tipo adquisicion : Entidad</v>
      </c>
      <c r="G19836" s="5"/>
    </row>
    <row r="19837" spans="1:7" ht="58.5" customHeight="1" x14ac:dyDescent="0.25">
      <c r="A19837" s="5" t="str">
        <f>"B0004894"</f>
        <v>B0004894</v>
      </c>
      <c r="B19837" s="5" t="str">
        <f t="shared" ref="B19837:B19867" si="1008">"WINDOWS 8 PROFESIONAL"</f>
        <v>WINDOWS 8 PROFESIONAL</v>
      </c>
      <c r="C19837" s="6">
        <v>337247</v>
      </c>
      <c r="D19837" s="5" t="s">
        <v>856</v>
      </c>
      <c r="E19837" s="5" t="str">
        <f t="shared" ref="E19837:E19900" si="1009">"SISTEMAS-GLOBALTRONIK SAS-SERGIO PATIÑO"</f>
        <v>SISTEMAS-GLOBALTRONIK SAS-SERGIO PATIÑO</v>
      </c>
      <c r="F19837" s="5" t="str">
        <f>"Descripcion:LICENCIA WINDWS 8.1 Estado: Bueno Placa anterior: 000037493 Material:  Color:  Referencia:  Observacion:  Placa padre:  Tipo adquisicion : Entidad"</f>
        <v>Descripcion:LICENCIA WINDWS 8.1 Estado: Bueno Placa anterior: 000037493 Material:  Color:  Referencia:  Observacion:  Placa padre:  Tipo adquisicion : Entidad</v>
      </c>
      <c r="G19837" s="5"/>
    </row>
    <row r="19838" spans="1:7" ht="58.5" customHeight="1" x14ac:dyDescent="0.25">
      <c r="A19838" s="5" t="str">
        <f>"B0004895"</f>
        <v>B0004895</v>
      </c>
      <c r="B19838" s="5" t="str">
        <f t="shared" si="1008"/>
        <v>WINDOWS 8 PROFESIONAL</v>
      </c>
      <c r="C19838" s="6">
        <v>337247</v>
      </c>
      <c r="D19838" s="5" t="s">
        <v>856</v>
      </c>
      <c r="E19838" s="5" t="str">
        <f t="shared" si="1009"/>
        <v>SISTEMAS-GLOBALTRONIK SAS-SERGIO PATIÑO</v>
      </c>
      <c r="F19838" s="5" t="str">
        <f>"Descripcion:LICENCIA WINDWS 8.1 Estado: Bueno Placa anterior: 000037494 Material:  Color:  Referencia:  Observacion:  Placa padre:  Tipo adquisicion : Entidad"</f>
        <v>Descripcion:LICENCIA WINDWS 8.1 Estado: Bueno Placa anterior: 000037494 Material:  Color:  Referencia:  Observacion:  Placa padre:  Tipo adquisicion : Entidad</v>
      </c>
      <c r="G19838" s="5"/>
    </row>
    <row r="19839" spans="1:7" ht="58.5" customHeight="1" x14ac:dyDescent="0.25">
      <c r="A19839" s="5" t="str">
        <f>"B0004896"</f>
        <v>B0004896</v>
      </c>
      <c r="B19839" s="5" t="str">
        <f t="shared" si="1008"/>
        <v>WINDOWS 8 PROFESIONAL</v>
      </c>
      <c r="C19839" s="6">
        <v>337247</v>
      </c>
      <c r="D19839" s="5" t="s">
        <v>856</v>
      </c>
      <c r="E19839" s="5" t="str">
        <f t="shared" si="1009"/>
        <v>SISTEMAS-GLOBALTRONIK SAS-SERGIO PATIÑO</v>
      </c>
      <c r="F19839" s="5" t="str">
        <f>"Descripcion:LICENCIA WINDWS 8.1 Estado: Bueno Placa anterior: 000037495 Material:  Color:  Referencia:  Observacion:  Placa padre:  Tipo adquisicion : Entidad"</f>
        <v>Descripcion:LICENCIA WINDWS 8.1 Estado: Bueno Placa anterior: 000037495 Material:  Color:  Referencia:  Observacion:  Placa padre:  Tipo adquisicion : Entidad</v>
      </c>
      <c r="G19839" s="5"/>
    </row>
    <row r="19840" spans="1:7" ht="58.5" customHeight="1" x14ac:dyDescent="0.25">
      <c r="A19840" s="5" t="str">
        <f>"B0004897"</f>
        <v>B0004897</v>
      </c>
      <c r="B19840" s="5" t="str">
        <f t="shared" si="1008"/>
        <v>WINDOWS 8 PROFESIONAL</v>
      </c>
      <c r="C19840" s="6">
        <v>337247</v>
      </c>
      <c r="D19840" s="5" t="s">
        <v>856</v>
      </c>
      <c r="E19840" s="5" t="str">
        <f t="shared" si="1009"/>
        <v>SISTEMAS-GLOBALTRONIK SAS-SERGIO PATIÑO</v>
      </c>
      <c r="F19840" s="5" t="str">
        <f>"Descripcion:LICENCIA WINDWS 8.1 Estado: Bueno Placa anterior: 000037496 Material:  Color:  Referencia:  Observacion:  Placa padre:  Tipo adquisicion : Entidad"</f>
        <v>Descripcion:LICENCIA WINDWS 8.1 Estado: Bueno Placa anterior: 000037496 Material:  Color:  Referencia:  Observacion:  Placa padre:  Tipo adquisicion : Entidad</v>
      </c>
      <c r="G19840" s="5"/>
    </row>
    <row r="19841" spans="1:7" ht="58.5" customHeight="1" x14ac:dyDescent="0.25">
      <c r="A19841" s="5" t="str">
        <f>"B0004898"</f>
        <v>B0004898</v>
      </c>
      <c r="B19841" s="5" t="str">
        <f t="shared" si="1008"/>
        <v>WINDOWS 8 PROFESIONAL</v>
      </c>
      <c r="C19841" s="6">
        <v>337247</v>
      </c>
      <c r="D19841" s="5" t="s">
        <v>856</v>
      </c>
      <c r="E19841" s="5" t="str">
        <f t="shared" si="1009"/>
        <v>SISTEMAS-GLOBALTRONIK SAS-SERGIO PATIÑO</v>
      </c>
      <c r="F19841" s="5" t="str">
        <f>"Descripcion:LICENCIA WINDWS 8.1 Estado: Bueno Placa anterior: 000037497 Material:  Color:  Referencia:  Observacion:  Placa padre:  Tipo adquisicion : Entidad"</f>
        <v>Descripcion:LICENCIA WINDWS 8.1 Estado: Bueno Placa anterior: 000037497 Material:  Color:  Referencia:  Observacion:  Placa padre:  Tipo adquisicion : Entidad</v>
      </c>
      <c r="G19841" s="5"/>
    </row>
    <row r="19842" spans="1:7" ht="58.5" customHeight="1" x14ac:dyDescent="0.25">
      <c r="A19842" s="5" t="str">
        <f>"B0004899"</f>
        <v>B0004899</v>
      </c>
      <c r="B19842" s="5" t="str">
        <f t="shared" si="1008"/>
        <v>WINDOWS 8 PROFESIONAL</v>
      </c>
      <c r="C19842" s="6">
        <v>337247</v>
      </c>
      <c r="D19842" s="5" t="s">
        <v>856</v>
      </c>
      <c r="E19842" s="5" t="str">
        <f t="shared" si="1009"/>
        <v>SISTEMAS-GLOBALTRONIK SAS-SERGIO PATIÑO</v>
      </c>
      <c r="F19842" s="5" t="str">
        <f>"Descripcion:LICENCIA WINDWS 8.1 Estado: Bueno Placa anterior: 000037498 Material:  Color:  Referencia:  Observacion:  Placa padre:  Tipo adquisicion : Entidad"</f>
        <v>Descripcion:LICENCIA WINDWS 8.1 Estado: Bueno Placa anterior: 000037498 Material:  Color:  Referencia:  Observacion:  Placa padre:  Tipo adquisicion : Entidad</v>
      </c>
      <c r="G19842" s="5"/>
    </row>
    <row r="19843" spans="1:7" ht="58.5" customHeight="1" x14ac:dyDescent="0.25">
      <c r="A19843" s="5" t="str">
        <f>"B0004900"</f>
        <v>B0004900</v>
      </c>
      <c r="B19843" s="5" t="str">
        <f t="shared" si="1008"/>
        <v>WINDOWS 8 PROFESIONAL</v>
      </c>
      <c r="C19843" s="6">
        <v>337247</v>
      </c>
      <c r="D19843" s="5" t="s">
        <v>856</v>
      </c>
      <c r="E19843" s="5" t="str">
        <f t="shared" si="1009"/>
        <v>SISTEMAS-GLOBALTRONIK SAS-SERGIO PATIÑO</v>
      </c>
      <c r="F19843" s="5" t="str">
        <f>"Descripcion:LICENCIA WINDWS 8.1 Estado: Bueno Placa anterior: 000037499 Material:  Color:  Referencia:  Observacion:  Placa padre:  Tipo adquisicion : Entidad"</f>
        <v>Descripcion:LICENCIA WINDWS 8.1 Estado: Bueno Placa anterior: 000037499 Material:  Color:  Referencia:  Observacion:  Placa padre:  Tipo adquisicion : Entidad</v>
      </c>
      <c r="G19843" s="5"/>
    </row>
    <row r="19844" spans="1:7" ht="58.5" customHeight="1" x14ac:dyDescent="0.25">
      <c r="A19844" s="5" t="str">
        <f>"B0004901"</f>
        <v>B0004901</v>
      </c>
      <c r="B19844" s="5" t="str">
        <f t="shared" si="1008"/>
        <v>WINDOWS 8 PROFESIONAL</v>
      </c>
      <c r="C19844" s="6">
        <v>337247</v>
      </c>
      <c r="D19844" s="5" t="s">
        <v>856</v>
      </c>
      <c r="E19844" s="5" t="str">
        <f t="shared" si="1009"/>
        <v>SISTEMAS-GLOBALTRONIK SAS-SERGIO PATIÑO</v>
      </c>
      <c r="F19844" s="5" t="str">
        <f>"Descripcion:LICENCIA WINDWS 8.1 Estado: Bueno Placa anterior: 000037500 Material:  Color:  Referencia:  Observacion:  Placa padre:  Tipo adquisicion : Entidad"</f>
        <v>Descripcion:LICENCIA WINDWS 8.1 Estado: Bueno Placa anterior: 000037500 Material:  Color:  Referencia:  Observacion:  Placa padre:  Tipo adquisicion : Entidad</v>
      </c>
      <c r="G19844" s="5"/>
    </row>
    <row r="19845" spans="1:7" ht="58.5" customHeight="1" x14ac:dyDescent="0.25">
      <c r="A19845" s="5" t="str">
        <f>"B0004902"</f>
        <v>B0004902</v>
      </c>
      <c r="B19845" s="5" t="str">
        <f t="shared" si="1008"/>
        <v>WINDOWS 8 PROFESIONAL</v>
      </c>
      <c r="C19845" s="6">
        <v>337247</v>
      </c>
      <c r="D19845" s="5" t="s">
        <v>856</v>
      </c>
      <c r="E19845" s="5" t="str">
        <f t="shared" si="1009"/>
        <v>SISTEMAS-GLOBALTRONIK SAS-SERGIO PATIÑO</v>
      </c>
      <c r="F19845" s="5" t="str">
        <f>"Descripcion:LICENCIA WINDWS 8.1 Estado: Bueno Placa anterior: 000037501 Material:  Color:  Referencia:  Observacion:  Placa padre:  Tipo adquisicion : Entidad"</f>
        <v>Descripcion:LICENCIA WINDWS 8.1 Estado: Bueno Placa anterior: 000037501 Material:  Color:  Referencia:  Observacion:  Placa padre:  Tipo adquisicion : Entidad</v>
      </c>
      <c r="G19845" s="5"/>
    </row>
    <row r="19846" spans="1:7" ht="58.5" customHeight="1" x14ac:dyDescent="0.25">
      <c r="A19846" s="5" t="str">
        <f>"B0004903"</f>
        <v>B0004903</v>
      </c>
      <c r="B19846" s="5" t="str">
        <f t="shared" si="1008"/>
        <v>WINDOWS 8 PROFESIONAL</v>
      </c>
      <c r="C19846" s="6">
        <v>337247</v>
      </c>
      <c r="D19846" s="5" t="s">
        <v>856</v>
      </c>
      <c r="E19846" s="5" t="str">
        <f t="shared" si="1009"/>
        <v>SISTEMAS-GLOBALTRONIK SAS-SERGIO PATIÑO</v>
      </c>
      <c r="F19846" s="5" t="str">
        <f>"Descripcion:LICENCIA WINDWS 8.1 Estado: Bueno Placa anterior: 000037502 Material:  Color:  Referencia:  Observacion:  Placa padre:  Tipo adquisicion : Entidad"</f>
        <v>Descripcion:LICENCIA WINDWS 8.1 Estado: Bueno Placa anterior: 000037502 Material:  Color:  Referencia:  Observacion:  Placa padre:  Tipo adquisicion : Entidad</v>
      </c>
      <c r="G19846" s="5"/>
    </row>
    <row r="19847" spans="1:7" ht="58.5" customHeight="1" x14ac:dyDescent="0.25">
      <c r="A19847" s="5" t="str">
        <f>"B0004904"</f>
        <v>B0004904</v>
      </c>
      <c r="B19847" s="5" t="str">
        <f t="shared" si="1008"/>
        <v>WINDOWS 8 PROFESIONAL</v>
      </c>
      <c r="C19847" s="6">
        <v>337247</v>
      </c>
      <c r="D19847" s="5" t="s">
        <v>856</v>
      </c>
      <c r="E19847" s="5" t="str">
        <f t="shared" si="1009"/>
        <v>SISTEMAS-GLOBALTRONIK SAS-SERGIO PATIÑO</v>
      </c>
      <c r="F19847" s="5" t="str">
        <f>"Descripcion:LICENCIA WINDWS 8.1 Estado: Bueno Placa anterior: 000037503 Material:  Color:  Referencia:  Observacion:  Placa padre:  Tipo adquisicion : Entidad"</f>
        <v>Descripcion:LICENCIA WINDWS 8.1 Estado: Bueno Placa anterior: 000037503 Material:  Color:  Referencia:  Observacion:  Placa padre:  Tipo adquisicion : Entidad</v>
      </c>
      <c r="G19847" s="5"/>
    </row>
    <row r="19848" spans="1:7" ht="58.5" customHeight="1" x14ac:dyDescent="0.25">
      <c r="A19848" s="5" t="str">
        <f>"B0004905"</f>
        <v>B0004905</v>
      </c>
      <c r="B19848" s="5" t="str">
        <f t="shared" si="1008"/>
        <v>WINDOWS 8 PROFESIONAL</v>
      </c>
      <c r="C19848" s="6">
        <v>337247</v>
      </c>
      <c r="D19848" s="5" t="s">
        <v>856</v>
      </c>
      <c r="E19848" s="5" t="str">
        <f t="shared" si="1009"/>
        <v>SISTEMAS-GLOBALTRONIK SAS-SERGIO PATIÑO</v>
      </c>
      <c r="F19848" s="5" t="str">
        <f>"Descripcion:LICENCIA WINDWS 8.1 Estado: Bueno Placa anterior: 000037504 Material:  Color:  Referencia:  Observacion:  Placa padre:  Tipo adquisicion : Entidad"</f>
        <v>Descripcion:LICENCIA WINDWS 8.1 Estado: Bueno Placa anterior: 000037504 Material:  Color:  Referencia:  Observacion:  Placa padre:  Tipo adquisicion : Entidad</v>
      </c>
      <c r="G19848" s="5"/>
    </row>
    <row r="19849" spans="1:7" ht="58.5" customHeight="1" x14ac:dyDescent="0.25">
      <c r="A19849" s="5" t="str">
        <f>"B0004906"</f>
        <v>B0004906</v>
      </c>
      <c r="B19849" s="5" t="str">
        <f t="shared" si="1008"/>
        <v>WINDOWS 8 PROFESIONAL</v>
      </c>
      <c r="C19849" s="6">
        <v>337247</v>
      </c>
      <c r="D19849" s="5" t="s">
        <v>856</v>
      </c>
      <c r="E19849" s="5" t="str">
        <f t="shared" si="1009"/>
        <v>SISTEMAS-GLOBALTRONIK SAS-SERGIO PATIÑO</v>
      </c>
      <c r="F19849" s="5" t="str">
        <f>"Descripcion:LICENCIA WINDWS 8.1 Estado: Bueno Placa anterior: 000037505 Material:  Color:  Referencia:  Observacion:  Placa padre:  Tipo adquisicion : Entidad"</f>
        <v>Descripcion:LICENCIA WINDWS 8.1 Estado: Bueno Placa anterior: 000037505 Material:  Color:  Referencia:  Observacion:  Placa padre:  Tipo adquisicion : Entidad</v>
      </c>
      <c r="G19849" s="5"/>
    </row>
    <row r="19850" spans="1:7" ht="58.5" customHeight="1" x14ac:dyDescent="0.25">
      <c r="A19850" s="5" t="str">
        <f>"B0004907"</f>
        <v>B0004907</v>
      </c>
      <c r="B19850" s="5" t="str">
        <f t="shared" si="1008"/>
        <v>WINDOWS 8 PROFESIONAL</v>
      </c>
      <c r="C19850" s="6">
        <v>337247</v>
      </c>
      <c r="D19850" s="5" t="s">
        <v>856</v>
      </c>
      <c r="E19850" s="5" t="str">
        <f t="shared" si="1009"/>
        <v>SISTEMAS-GLOBALTRONIK SAS-SERGIO PATIÑO</v>
      </c>
      <c r="F19850" s="5" t="str">
        <f>"Descripcion:LICENCIA WINDWS 8.1 Estado: Bueno Placa anterior: 000037506 Material:  Color:  Referencia:  Observacion:  Placa padre:  Tipo adquisicion : Entidad"</f>
        <v>Descripcion:LICENCIA WINDWS 8.1 Estado: Bueno Placa anterior: 000037506 Material:  Color:  Referencia:  Observacion:  Placa padre:  Tipo adquisicion : Entidad</v>
      </c>
      <c r="G19850" s="5"/>
    </row>
    <row r="19851" spans="1:7" ht="58.5" customHeight="1" x14ac:dyDescent="0.25">
      <c r="A19851" s="5" t="str">
        <f>"B0004908"</f>
        <v>B0004908</v>
      </c>
      <c r="B19851" s="5" t="str">
        <f t="shared" si="1008"/>
        <v>WINDOWS 8 PROFESIONAL</v>
      </c>
      <c r="C19851" s="6">
        <v>337247</v>
      </c>
      <c r="D19851" s="5" t="s">
        <v>856</v>
      </c>
      <c r="E19851" s="5" t="str">
        <f t="shared" si="1009"/>
        <v>SISTEMAS-GLOBALTRONIK SAS-SERGIO PATIÑO</v>
      </c>
      <c r="F19851" s="5" t="str">
        <f>"Descripcion:LICENCIA WINDWS 8.1 Estado: Bueno Placa anterior: 000037507 Material:  Color:  Referencia:  Observacion:  Placa padre:  Tipo adquisicion : Entidad"</f>
        <v>Descripcion:LICENCIA WINDWS 8.1 Estado: Bueno Placa anterior: 000037507 Material:  Color:  Referencia:  Observacion:  Placa padre:  Tipo adquisicion : Entidad</v>
      </c>
      <c r="G19851" s="5"/>
    </row>
    <row r="19852" spans="1:7" ht="58.5" customHeight="1" x14ac:dyDescent="0.25">
      <c r="A19852" s="5" t="str">
        <f>"B0004909"</f>
        <v>B0004909</v>
      </c>
      <c r="B19852" s="5" t="str">
        <f t="shared" si="1008"/>
        <v>WINDOWS 8 PROFESIONAL</v>
      </c>
      <c r="C19852" s="6">
        <v>337247</v>
      </c>
      <c r="D19852" s="5" t="s">
        <v>856</v>
      </c>
      <c r="E19852" s="5" t="str">
        <f t="shared" si="1009"/>
        <v>SISTEMAS-GLOBALTRONIK SAS-SERGIO PATIÑO</v>
      </c>
      <c r="F19852" s="5" t="str">
        <f>"Descripcion:LICENCIA WINDWS 8.1 Estado: Bueno Placa anterior: 000037508 Material:  Color:  Referencia:  Observacion:  Placa padre:  Tipo adquisicion : Entidad"</f>
        <v>Descripcion:LICENCIA WINDWS 8.1 Estado: Bueno Placa anterior: 000037508 Material:  Color:  Referencia:  Observacion:  Placa padre:  Tipo adquisicion : Entidad</v>
      </c>
      <c r="G19852" s="5"/>
    </row>
    <row r="19853" spans="1:7" ht="58.5" customHeight="1" x14ac:dyDescent="0.25">
      <c r="A19853" s="5" t="str">
        <f>"B0004910"</f>
        <v>B0004910</v>
      </c>
      <c r="B19853" s="5" t="str">
        <f t="shared" si="1008"/>
        <v>WINDOWS 8 PROFESIONAL</v>
      </c>
      <c r="C19853" s="6">
        <v>337247</v>
      </c>
      <c r="D19853" s="5" t="s">
        <v>856</v>
      </c>
      <c r="E19853" s="5" t="str">
        <f t="shared" si="1009"/>
        <v>SISTEMAS-GLOBALTRONIK SAS-SERGIO PATIÑO</v>
      </c>
      <c r="F19853" s="5" t="str">
        <f>"Descripcion:LICENCIA WINDWS 8.1 Estado: Bueno Placa anterior: 000037509 Material:  Color:  Referencia:  Observacion:  Placa padre:  Tipo adquisicion : Entidad"</f>
        <v>Descripcion:LICENCIA WINDWS 8.1 Estado: Bueno Placa anterior: 000037509 Material:  Color:  Referencia:  Observacion:  Placa padre:  Tipo adquisicion : Entidad</v>
      </c>
      <c r="G19853" s="5"/>
    </row>
    <row r="19854" spans="1:7" ht="58.5" customHeight="1" x14ac:dyDescent="0.25">
      <c r="A19854" s="5" t="str">
        <f>"B0004911"</f>
        <v>B0004911</v>
      </c>
      <c r="B19854" s="5" t="str">
        <f t="shared" si="1008"/>
        <v>WINDOWS 8 PROFESIONAL</v>
      </c>
      <c r="C19854" s="6">
        <v>337247</v>
      </c>
      <c r="D19854" s="5" t="s">
        <v>856</v>
      </c>
      <c r="E19854" s="5" t="str">
        <f t="shared" si="1009"/>
        <v>SISTEMAS-GLOBALTRONIK SAS-SERGIO PATIÑO</v>
      </c>
      <c r="F19854" s="5" t="str">
        <f>"Descripcion:LICENCIA WINDWS 8.1 Estado: Bueno Placa anterior: 000037510 Material:  Color:  Referencia:  Observacion:  Placa padre:  Tipo adquisicion : Entidad"</f>
        <v>Descripcion:LICENCIA WINDWS 8.1 Estado: Bueno Placa anterior: 000037510 Material:  Color:  Referencia:  Observacion:  Placa padre:  Tipo adquisicion : Entidad</v>
      </c>
      <c r="G19854" s="5"/>
    </row>
    <row r="19855" spans="1:7" ht="58.5" customHeight="1" x14ac:dyDescent="0.25">
      <c r="A19855" s="5" t="str">
        <f>"B0004912"</f>
        <v>B0004912</v>
      </c>
      <c r="B19855" s="5" t="str">
        <f t="shared" si="1008"/>
        <v>WINDOWS 8 PROFESIONAL</v>
      </c>
      <c r="C19855" s="6">
        <v>337247</v>
      </c>
      <c r="D19855" s="5" t="s">
        <v>856</v>
      </c>
      <c r="E19855" s="5" t="str">
        <f t="shared" si="1009"/>
        <v>SISTEMAS-GLOBALTRONIK SAS-SERGIO PATIÑO</v>
      </c>
      <c r="F19855" s="5" t="str">
        <f>"Descripcion:LICENCIA WINDWS 8.1 Estado: Bueno Placa anterior: 000037511 Material:  Color:  Referencia:  Observacion:  Placa padre:  Tipo adquisicion : Entidad"</f>
        <v>Descripcion:LICENCIA WINDWS 8.1 Estado: Bueno Placa anterior: 000037511 Material:  Color:  Referencia:  Observacion:  Placa padre:  Tipo adquisicion : Entidad</v>
      </c>
      <c r="G19855" s="5"/>
    </row>
    <row r="19856" spans="1:7" ht="58.5" customHeight="1" x14ac:dyDescent="0.25">
      <c r="A19856" s="5" t="str">
        <f>"B0004913"</f>
        <v>B0004913</v>
      </c>
      <c r="B19856" s="5" t="str">
        <f t="shared" si="1008"/>
        <v>WINDOWS 8 PROFESIONAL</v>
      </c>
      <c r="C19856" s="6">
        <v>337247</v>
      </c>
      <c r="D19856" s="5" t="s">
        <v>856</v>
      </c>
      <c r="E19856" s="5" t="str">
        <f t="shared" si="1009"/>
        <v>SISTEMAS-GLOBALTRONIK SAS-SERGIO PATIÑO</v>
      </c>
      <c r="F19856" s="5" t="str">
        <f>"Descripcion:LICENCIA WINDWS 8.1 Estado: Bueno Placa anterior: 000037512 Material:  Color:  Referencia:  Observacion:  Placa padre:  Tipo adquisicion : Entidad"</f>
        <v>Descripcion:LICENCIA WINDWS 8.1 Estado: Bueno Placa anterior: 000037512 Material:  Color:  Referencia:  Observacion:  Placa padre:  Tipo adquisicion : Entidad</v>
      </c>
      <c r="G19856" s="5"/>
    </row>
    <row r="19857" spans="1:7" ht="58.5" customHeight="1" x14ac:dyDescent="0.25">
      <c r="A19857" s="5" t="str">
        <f>"B0004914"</f>
        <v>B0004914</v>
      </c>
      <c r="B19857" s="5" t="str">
        <f t="shared" si="1008"/>
        <v>WINDOWS 8 PROFESIONAL</v>
      </c>
      <c r="C19857" s="6">
        <v>337247</v>
      </c>
      <c r="D19857" s="5" t="s">
        <v>856</v>
      </c>
      <c r="E19857" s="5" t="str">
        <f t="shared" si="1009"/>
        <v>SISTEMAS-GLOBALTRONIK SAS-SERGIO PATIÑO</v>
      </c>
      <c r="F19857" s="5" t="str">
        <f>"Descripcion:LICENCIA WINDWS 8.1 Estado: Bueno Placa anterior: 000037513 Material:  Color:  Referencia:  Observacion:  Placa padre:  Tipo adquisicion : Entidad"</f>
        <v>Descripcion:LICENCIA WINDWS 8.1 Estado: Bueno Placa anterior: 000037513 Material:  Color:  Referencia:  Observacion:  Placa padre:  Tipo adquisicion : Entidad</v>
      </c>
      <c r="G19857" s="5"/>
    </row>
    <row r="19858" spans="1:7" ht="58.5" customHeight="1" x14ac:dyDescent="0.25">
      <c r="A19858" s="5" t="str">
        <f>"B0004915"</f>
        <v>B0004915</v>
      </c>
      <c r="B19858" s="5" t="str">
        <f t="shared" si="1008"/>
        <v>WINDOWS 8 PROFESIONAL</v>
      </c>
      <c r="C19858" s="6">
        <v>337247</v>
      </c>
      <c r="D19858" s="5" t="s">
        <v>856</v>
      </c>
      <c r="E19858" s="5" t="str">
        <f t="shared" si="1009"/>
        <v>SISTEMAS-GLOBALTRONIK SAS-SERGIO PATIÑO</v>
      </c>
      <c r="F19858" s="5" t="str">
        <f>"Descripcion:LICENCIA WINDWS 8.1 Estado: Bueno Placa anterior: 000037514 Material:  Color:  Referencia:  Observacion:  Placa padre:  Tipo adquisicion : Entidad"</f>
        <v>Descripcion:LICENCIA WINDWS 8.1 Estado: Bueno Placa anterior: 000037514 Material:  Color:  Referencia:  Observacion:  Placa padre:  Tipo adquisicion : Entidad</v>
      </c>
      <c r="G19858" s="5"/>
    </row>
    <row r="19859" spans="1:7" ht="58.5" customHeight="1" x14ac:dyDescent="0.25">
      <c r="A19859" s="5" t="str">
        <f>"B0004916"</f>
        <v>B0004916</v>
      </c>
      <c r="B19859" s="5" t="str">
        <f t="shared" si="1008"/>
        <v>WINDOWS 8 PROFESIONAL</v>
      </c>
      <c r="C19859" s="6">
        <v>337247</v>
      </c>
      <c r="D19859" s="5" t="s">
        <v>856</v>
      </c>
      <c r="E19859" s="5" t="str">
        <f t="shared" si="1009"/>
        <v>SISTEMAS-GLOBALTRONIK SAS-SERGIO PATIÑO</v>
      </c>
      <c r="F19859" s="5" t="str">
        <f>"Descripcion:LICENCIA WINDWS 8.1 Estado: Bueno Placa anterior: 000037515 Material:  Color:  Referencia:  Observacion:  Placa padre:  Tipo adquisicion : Entidad"</f>
        <v>Descripcion:LICENCIA WINDWS 8.1 Estado: Bueno Placa anterior: 000037515 Material:  Color:  Referencia:  Observacion:  Placa padre:  Tipo adquisicion : Entidad</v>
      </c>
      <c r="G19859" s="5"/>
    </row>
    <row r="19860" spans="1:7" ht="58.5" customHeight="1" x14ac:dyDescent="0.25">
      <c r="A19860" s="5" t="str">
        <f>"B0004917"</f>
        <v>B0004917</v>
      </c>
      <c r="B19860" s="5" t="str">
        <f t="shared" si="1008"/>
        <v>WINDOWS 8 PROFESIONAL</v>
      </c>
      <c r="C19860" s="6">
        <v>337247</v>
      </c>
      <c r="D19860" s="5" t="s">
        <v>856</v>
      </c>
      <c r="E19860" s="5" t="str">
        <f t="shared" si="1009"/>
        <v>SISTEMAS-GLOBALTRONIK SAS-SERGIO PATIÑO</v>
      </c>
      <c r="F19860" s="5" t="str">
        <f>"Descripcion:LICENCIA WINDWS 8.1 Estado: Bueno Placa anterior: 000037516 Material:  Color:  Referencia:  Observacion:  Placa padre:  Tipo adquisicion : Entidad"</f>
        <v>Descripcion:LICENCIA WINDWS 8.1 Estado: Bueno Placa anterior: 000037516 Material:  Color:  Referencia:  Observacion:  Placa padre:  Tipo adquisicion : Entidad</v>
      </c>
      <c r="G19860" s="5"/>
    </row>
    <row r="19861" spans="1:7" ht="58.5" customHeight="1" x14ac:dyDescent="0.25">
      <c r="A19861" s="5" t="str">
        <f>"B0004918"</f>
        <v>B0004918</v>
      </c>
      <c r="B19861" s="5" t="str">
        <f t="shared" si="1008"/>
        <v>WINDOWS 8 PROFESIONAL</v>
      </c>
      <c r="C19861" s="6">
        <v>337247</v>
      </c>
      <c r="D19861" s="5" t="s">
        <v>856</v>
      </c>
      <c r="E19861" s="5" t="str">
        <f t="shared" si="1009"/>
        <v>SISTEMAS-GLOBALTRONIK SAS-SERGIO PATIÑO</v>
      </c>
      <c r="F19861" s="5" t="str">
        <f>"Descripcion:LICENCIA WINDWS 8.1 Estado: Bueno Placa anterior: 000037517 Material:  Color:  Referencia:  Observacion:  Placa padre:  Tipo adquisicion : Entidad"</f>
        <v>Descripcion:LICENCIA WINDWS 8.1 Estado: Bueno Placa anterior: 000037517 Material:  Color:  Referencia:  Observacion:  Placa padre:  Tipo adquisicion : Entidad</v>
      </c>
      <c r="G19861" s="5"/>
    </row>
    <row r="19862" spans="1:7" ht="58.5" customHeight="1" x14ac:dyDescent="0.25">
      <c r="A19862" s="5" t="str">
        <f>"B0004919"</f>
        <v>B0004919</v>
      </c>
      <c r="B19862" s="5" t="str">
        <f t="shared" si="1008"/>
        <v>WINDOWS 8 PROFESIONAL</v>
      </c>
      <c r="C19862" s="6">
        <v>337247</v>
      </c>
      <c r="D19862" s="5" t="s">
        <v>856</v>
      </c>
      <c r="E19862" s="5" t="str">
        <f t="shared" si="1009"/>
        <v>SISTEMAS-GLOBALTRONIK SAS-SERGIO PATIÑO</v>
      </c>
      <c r="F19862" s="5" t="str">
        <f>"Descripcion:LICENCIA WINDWS 8.1 Estado: Bueno Placa anterior: 000037518 Material:  Color:  Referencia:  Observacion:  Placa padre:  Tipo adquisicion : Entidad"</f>
        <v>Descripcion:LICENCIA WINDWS 8.1 Estado: Bueno Placa anterior: 000037518 Material:  Color:  Referencia:  Observacion:  Placa padre:  Tipo adquisicion : Entidad</v>
      </c>
      <c r="G19862" s="5"/>
    </row>
    <row r="19863" spans="1:7" ht="58.5" customHeight="1" x14ac:dyDescent="0.25">
      <c r="A19863" s="5" t="str">
        <f>"B0004920"</f>
        <v>B0004920</v>
      </c>
      <c r="B19863" s="5" t="str">
        <f t="shared" si="1008"/>
        <v>WINDOWS 8 PROFESIONAL</v>
      </c>
      <c r="C19863" s="6">
        <v>337247</v>
      </c>
      <c r="D19863" s="5" t="s">
        <v>856</v>
      </c>
      <c r="E19863" s="5" t="str">
        <f t="shared" si="1009"/>
        <v>SISTEMAS-GLOBALTRONIK SAS-SERGIO PATIÑO</v>
      </c>
      <c r="F19863" s="5" t="str">
        <f>"Descripcion:LICENCIA WINDWS 8.1 Estado: Bueno Placa anterior: 000037519 Material:  Color:  Referencia:  Observacion:  Placa padre:  Tipo adquisicion : Entidad"</f>
        <v>Descripcion:LICENCIA WINDWS 8.1 Estado: Bueno Placa anterior: 000037519 Material:  Color:  Referencia:  Observacion:  Placa padre:  Tipo adquisicion : Entidad</v>
      </c>
      <c r="G19863" s="5"/>
    </row>
    <row r="19864" spans="1:7" ht="58.5" customHeight="1" x14ac:dyDescent="0.25">
      <c r="A19864" s="5" t="str">
        <f>"B0004921"</f>
        <v>B0004921</v>
      </c>
      <c r="B19864" s="5" t="str">
        <f t="shared" si="1008"/>
        <v>WINDOWS 8 PROFESIONAL</v>
      </c>
      <c r="C19864" s="6">
        <v>337247</v>
      </c>
      <c r="D19864" s="5" t="s">
        <v>856</v>
      </c>
      <c r="E19864" s="5" t="str">
        <f t="shared" si="1009"/>
        <v>SISTEMAS-GLOBALTRONIK SAS-SERGIO PATIÑO</v>
      </c>
      <c r="F19864" s="5" t="str">
        <f>"Descripcion:LICENCIA WINDWS 8.1 Estado: Bueno Placa anterior: 000037520 Material:  Color:  Referencia:  Observacion:  Placa padre:  Tipo adquisicion : Entidad"</f>
        <v>Descripcion:LICENCIA WINDWS 8.1 Estado: Bueno Placa anterior: 000037520 Material:  Color:  Referencia:  Observacion:  Placa padre:  Tipo adquisicion : Entidad</v>
      </c>
      <c r="G19864" s="5"/>
    </row>
    <row r="19865" spans="1:7" ht="58.5" customHeight="1" x14ac:dyDescent="0.25">
      <c r="A19865" s="5" t="str">
        <f>"B0004922"</f>
        <v>B0004922</v>
      </c>
      <c r="B19865" s="5" t="str">
        <f t="shared" si="1008"/>
        <v>WINDOWS 8 PROFESIONAL</v>
      </c>
      <c r="C19865" s="6">
        <v>337247</v>
      </c>
      <c r="D19865" s="5" t="s">
        <v>856</v>
      </c>
      <c r="E19865" s="5" t="str">
        <f t="shared" si="1009"/>
        <v>SISTEMAS-GLOBALTRONIK SAS-SERGIO PATIÑO</v>
      </c>
      <c r="F19865" s="5" t="str">
        <f>"Descripcion:LICENCIA WINDWS 8.1 Estado: Bueno Placa anterior: 000037521 Material:  Color:  Referencia:  Observacion:  Placa padre:  Tipo adquisicion : Entidad"</f>
        <v>Descripcion:LICENCIA WINDWS 8.1 Estado: Bueno Placa anterior: 000037521 Material:  Color:  Referencia:  Observacion:  Placa padre:  Tipo adquisicion : Entidad</v>
      </c>
      <c r="G19865" s="5"/>
    </row>
    <row r="19866" spans="1:7" ht="58.5" customHeight="1" x14ac:dyDescent="0.25">
      <c r="A19866" s="5" t="str">
        <f>"B0004927"</f>
        <v>B0004927</v>
      </c>
      <c r="B19866" s="5" t="str">
        <f t="shared" si="1008"/>
        <v>WINDOWS 8 PROFESIONAL</v>
      </c>
      <c r="C19866" s="6">
        <v>550000</v>
      </c>
      <c r="D19866" s="5"/>
      <c r="E19866" s="5" t="str">
        <f t="shared" si="1009"/>
        <v>SISTEMAS-GLOBALTRONIK SAS-SERGIO PATIÑO</v>
      </c>
      <c r="F19866" s="5" t="str">
        <f>"Descripcion:LICENCIAS WINDOWS XP PROFESIONAL Estado: Bueno Placa anterior: 000028868 Material:  Color:  Referencia:  Observacion:  Placa padre:  Tipo adquisicion : Entidad"</f>
        <v>Descripcion:LICENCIAS WINDOWS XP PROFESIONAL Estado: Bueno Placa anterior: 000028868 Material:  Color:  Referencia:  Observacion:  Placa padre:  Tipo adquisicion : Entidad</v>
      </c>
      <c r="G19866" s="5"/>
    </row>
    <row r="19867" spans="1:7" ht="58.5" customHeight="1" x14ac:dyDescent="0.25">
      <c r="A19867" s="5" t="str">
        <f>"B0004928"</f>
        <v>B0004928</v>
      </c>
      <c r="B19867" s="5" t="str">
        <f t="shared" si="1008"/>
        <v>WINDOWS 8 PROFESIONAL</v>
      </c>
      <c r="C19867" s="6">
        <v>550000</v>
      </c>
      <c r="D19867" s="5"/>
      <c r="E19867" s="5" t="str">
        <f t="shared" si="1009"/>
        <v>SISTEMAS-GLOBALTRONIK SAS-SERGIO PATIÑO</v>
      </c>
      <c r="F19867" s="5" t="str">
        <f>"Descripcion:LICENCIAS WINDOWS XP PROFESIONAL Estado: Bueno Placa anterior: 000032886 Material:  Color:  Referencia:  Observacion:  Placa padre:  Tipo adquisicion : Entidad"</f>
        <v>Descripcion:LICENCIAS WINDOWS XP PROFESIONAL Estado: Bueno Placa anterior: 000032886 Material:  Color:  Referencia:  Observacion:  Placa padre:  Tipo adquisicion : Entidad</v>
      </c>
      <c r="G19867" s="5"/>
    </row>
    <row r="19868" spans="1:7" ht="58.5" customHeight="1" x14ac:dyDescent="0.25">
      <c r="A19868" s="5" t="str">
        <f>"B0004931"</f>
        <v>B0004931</v>
      </c>
      <c r="B19868" s="5" t="str">
        <f>"SOFTWARE QA PLUS"</f>
        <v>SOFTWARE QA PLUS</v>
      </c>
      <c r="C19868" s="6">
        <v>696000</v>
      </c>
      <c r="D19868" s="5"/>
      <c r="E19868" s="5" t="str">
        <f t="shared" si="1009"/>
        <v>SISTEMAS-GLOBALTRONIK SAS-SERGIO PATIÑO</v>
      </c>
      <c r="F19868" s="5" t="str">
        <f>"Descripcion:SOFTWARE Qaplus (LICENCIAS 12 MESES) Estado: Bueno Placa anterior: 000025642 Material:  Color:  Referencia:  Observacion:  Placa padre:  Tipo adquisicion : Entidad"</f>
        <v>Descripcion:SOFTWARE Qaplus (LICENCIAS 12 MESES) Estado: Bueno Placa anterior: 000025642 Material:  Color:  Referencia:  Observacion:  Placa padre:  Tipo adquisicion : Entidad</v>
      </c>
      <c r="G19868" s="5"/>
    </row>
    <row r="19869" spans="1:7" ht="58.5" customHeight="1" x14ac:dyDescent="0.25">
      <c r="A19869" s="5" t="str">
        <f>"B0004932"</f>
        <v>B0004932</v>
      </c>
      <c r="B19869" s="5" t="str">
        <f>"LICENCIA WINDOWS SERVER"</f>
        <v>LICENCIA WINDOWS SERVER</v>
      </c>
      <c r="C19869" s="6">
        <v>2650000</v>
      </c>
      <c r="D19869" s="5"/>
      <c r="E19869" s="5" t="str">
        <f t="shared" si="1009"/>
        <v>SISTEMAS-GLOBALTRONIK SAS-SERGIO PATIÑO</v>
      </c>
      <c r="F19869" s="5" t="str">
        <f>"Descripcion:WINDOWS SVR 2008 STD ROK ESPAÑOL SW: (LICENCIA DE WINDOWS SERVER 2008, PLATAFORMA PC, OEM. Estado: Bueno Placa anterior: 000029156 Material:  Color:  Referencia:  Observacion:  Placa padre:  Tipo adquisicion : Entidad"</f>
        <v>Descripcion:WINDOWS SVR 2008 STD ROK ESPAÑOL SW: (LICENCIA DE WINDOWS SERVER 2008, PLATAFORMA PC, OEM. Estado: Bueno Placa anterior: 000029156 Material:  Color:  Referencia:  Observacion:  Placa padre:  Tipo adquisicion : Entidad</v>
      </c>
      <c r="G19869" s="5"/>
    </row>
    <row r="19870" spans="1:7" ht="58.5" customHeight="1" x14ac:dyDescent="0.25">
      <c r="A19870" s="5" t="str">
        <f>"B0005116"</f>
        <v>B0005116</v>
      </c>
      <c r="B19870" s="5" t="str">
        <f>"LICENCIA SIEP DOCUMENTAL"</f>
        <v>LICENCIA SIEP DOCUMENTAL</v>
      </c>
      <c r="C19870" s="6">
        <v>16200000</v>
      </c>
      <c r="D19870" s="5" t="s">
        <v>857</v>
      </c>
      <c r="E19870" s="5" t="str">
        <f t="shared" si="1009"/>
        <v>SISTEMAS-GLOBALTRONIK SAS-SERGIO PATIÑO</v>
      </c>
      <c r="F19870" s="5" t="str">
        <f>"Descripcion:SOFTWARE SIEP DOCUMENTAL IMPLEMENTACION-LICENCIA Estado: Bueno Placa anterior: 000030529 Material:  Color:  Referencia:  Observacion:  Placa padre:  Tipo adquisicion : Entidad"</f>
        <v>Descripcion:SOFTWARE SIEP DOCUMENTAL IMPLEMENTACION-LICENCIA Estado: Bueno Placa anterior: 000030529 Material:  Color:  Referencia:  Observacion:  Placa padre:  Tipo adquisicion : Entidad</v>
      </c>
      <c r="G19870" s="5"/>
    </row>
    <row r="19871" spans="1:7" ht="58.5" customHeight="1" x14ac:dyDescent="0.25">
      <c r="A19871" s="5" t="str">
        <f>"B0005131"</f>
        <v>B0005131</v>
      </c>
      <c r="B19871" s="5" t="str">
        <f t="shared" ref="B19871:B19876" si="1010">"DISCO DURO"</f>
        <v>DISCO DURO</v>
      </c>
      <c r="C19871" s="6">
        <v>2262000</v>
      </c>
      <c r="D19871" s="5"/>
      <c r="E19871" s="5" t="str">
        <f t="shared" si="1009"/>
        <v>SISTEMAS-GLOBALTRONIK SAS-SERGIO PATIÑO</v>
      </c>
      <c r="F19871" s="5" t="str">
        <f>"Descripcion:DISCO DURO HP146 GB SCSI HOT PLUG Estado: Bueno Placa anterior: 000025608 Material:  Color:  Referencia:  Observacion:  Placa padre:  Tipo adquisicion : Entidad"</f>
        <v>Descripcion:DISCO DURO HP146 GB SCSI HOT PLUG Estado: Bueno Placa anterior: 000025608 Material:  Color:  Referencia:  Observacion:  Placa padre:  Tipo adquisicion : Entidad</v>
      </c>
      <c r="G19871" s="5"/>
    </row>
    <row r="19872" spans="1:7" ht="58.5" customHeight="1" x14ac:dyDescent="0.25">
      <c r="A19872" s="5" t="str">
        <f>"B0005132"</f>
        <v>B0005132</v>
      </c>
      <c r="B19872" s="5" t="str">
        <f t="shared" si="1010"/>
        <v>DISCO DURO</v>
      </c>
      <c r="C19872" s="6">
        <v>2262000</v>
      </c>
      <c r="D19872" s="5"/>
      <c r="E19872" s="5" t="str">
        <f t="shared" si="1009"/>
        <v>SISTEMAS-GLOBALTRONIK SAS-SERGIO PATIÑO</v>
      </c>
      <c r="F19872" s="5" t="str">
        <f>"Descripcion:DISCO DURO HP146 GB SCSI HOT PLUG Estado: Bueno Placa anterior: 000025607 Material:  Color:  Referencia:  Observacion:  Placa padre:  Tipo adquisicion : Entidad"</f>
        <v>Descripcion:DISCO DURO HP146 GB SCSI HOT PLUG Estado: Bueno Placa anterior: 000025607 Material:  Color:  Referencia:  Observacion:  Placa padre:  Tipo adquisicion : Entidad</v>
      </c>
      <c r="G19872" s="5"/>
    </row>
    <row r="19873" spans="1:7" ht="58.5" customHeight="1" x14ac:dyDescent="0.25">
      <c r="A19873" s="5" t="str">
        <f>"B0005133"</f>
        <v>B0005133</v>
      </c>
      <c r="B19873" s="5" t="str">
        <f t="shared" si="1010"/>
        <v>DISCO DURO</v>
      </c>
      <c r="C19873" s="6">
        <v>2262000</v>
      </c>
      <c r="D19873" s="5"/>
      <c r="E19873" s="5" t="str">
        <f t="shared" si="1009"/>
        <v>SISTEMAS-GLOBALTRONIK SAS-SERGIO PATIÑO</v>
      </c>
      <c r="F19873" s="5" t="str">
        <f>"Descripcion:DISCO DURO HP146 GB SCSI HOT PLUG Estado: Bueno Placa anterior: 000025609 Material:  Color:  Referencia:  Observacion:  Placa padre:  Tipo adquisicion : Entidad"</f>
        <v>Descripcion:DISCO DURO HP146 GB SCSI HOT PLUG Estado: Bueno Placa anterior: 000025609 Material:  Color:  Referencia:  Observacion:  Placa padre:  Tipo adquisicion : Entidad</v>
      </c>
      <c r="G19873" s="5"/>
    </row>
    <row r="19874" spans="1:7" ht="58.5" customHeight="1" x14ac:dyDescent="0.25">
      <c r="A19874" s="5" t="str">
        <f>"B0005134"</f>
        <v>B0005134</v>
      </c>
      <c r="B19874" s="5" t="str">
        <f t="shared" si="1010"/>
        <v>DISCO DURO</v>
      </c>
      <c r="C19874" s="6">
        <v>2262000</v>
      </c>
      <c r="D19874" s="5"/>
      <c r="E19874" s="5" t="str">
        <f t="shared" si="1009"/>
        <v>SISTEMAS-GLOBALTRONIK SAS-SERGIO PATIÑO</v>
      </c>
      <c r="F19874" s="5" t="str">
        <f>"Descripcion:DISCO DURO HP146 GB SCSI HOT PLUG Estado: Bueno Placa anterior: 000025606 Material:  Color:  Referencia:  Observacion:  Placa padre:  Tipo adquisicion : Entidad"</f>
        <v>Descripcion:DISCO DURO HP146 GB SCSI HOT PLUG Estado: Bueno Placa anterior: 000025606 Material:  Color:  Referencia:  Observacion:  Placa padre:  Tipo adquisicion : Entidad</v>
      </c>
      <c r="G19874" s="5"/>
    </row>
    <row r="19875" spans="1:7" ht="58.5" customHeight="1" x14ac:dyDescent="0.25">
      <c r="A19875" s="5" t="str">
        <f>"B0005135"</f>
        <v>B0005135</v>
      </c>
      <c r="B19875" s="5" t="str">
        <f t="shared" si="1010"/>
        <v>DISCO DURO</v>
      </c>
      <c r="C19875" s="6">
        <v>2262000</v>
      </c>
      <c r="D19875" s="5"/>
      <c r="E19875" s="5" t="str">
        <f t="shared" si="1009"/>
        <v>SISTEMAS-GLOBALTRONIK SAS-SERGIO PATIÑO</v>
      </c>
      <c r="F19875" s="5" t="str">
        <f>"Descripcion:DISCO DURO HP146 GB SCSI HOT PLUG Estado: Bueno Placa anterior: 000025610 Material:  Color:  Referencia:  Observacion:  Placa padre:  Tipo adquisicion : Entidad"</f>
        <v>Descripcion:DISCO DURO HP146 GB SCSI HOT PLUG Estado: Bueno Placa anterior: 000025610 Material:  Color:  Referencia:  Observacion:  Placa padre:  Tipo adquisicion : Entidad</v>
      </c>
      <c r="G19875" s="5"/>
    </row>
    <row r="19876" spans="1:7" ht="58.5" customHeight="1" x14ac:dyDescent="0.25">
      <c r="A19876" s="5" t="str">
        <f>"B0005136"</f>
        <v>B0005136</v>
      </c>
      <c r="B19876" s="5" t="str">
        <f t="shared" si="1010"/>
        <v>DISCO DURO</v>
      </c>
      <c r="C19876" s="6">
        <v>2262000</v>
      </c>
      <c r="D19876" s="5"/>
      <c r="E19876" s="5" t="str">
        <f t="shared" si="1009"/>
        <v>SISTEMAS-GLOBALTRONIK SAS-SERGIO PATIÑO</v>
      </c>
      <c r="F19876" s="5" t="str">
        <f>"Descripcion:DISCO DURO HP146 GB SCSI HOT PLUG Estado: Bueno Placa anterior: 000025611 Material:  Color:  Referencia:  Observacion:  Placa padre:  Tipo adquisicion : Entidad"</f>
        <v>Descripcion:DISCO DURO HP146 GB SCSI HOT PLUG Estado: Bueno Placa anterior: 000025611 Material:  Color:  Referencia:  Observacion:  Placa padre:  Tipo adquisicion : Entidad</v>
      </c>
      <c r="G19876" s="5"/>
    </row>
    <row r="19877" spans="1:7" ht="58.5" customHeight="1" x14ac:dyDescent="0.25">
      <c r="A19877" s="5" t="str">
        <f>"B0005137"</f>
        <v>B0005137</v>
      </c>
      <c r="B19877" s="5" t="str">
        <f>"SOFTWARE DEL TAPE BACKUP"</f>
        <v>SOFTWARE DEL TAPE BACKUP</v>
      </c>
      <c r="C19877" s="6">
        <v>5630000</v>
      </c>
      <c r="D19877" s="5"/>
      <c r="E19877" s="5" t="str">
        <f t="shared" si="1009"/>
        <v>SISTEMAS-GLOBALTRONIK SAS-SERGIO PATIÑO</v>
      </c>
      <c r="F19877" s="5" t="str">
        <f>"Descripcion:REAL APLICATION CLUSTER SOFTWARE DE REPLICACION EN LINEA Estado: Bueno Placa anterior: 000025760 Material: CD Color:  Referencia:  Observacion: SOFTWARE DE REPLICACION EN TIEMPO REAL BIT A BIT REPLISTOR WORKGROUP EDITION WITH ASM    CORRESPOND"&amp; "E AL SOFWTARE DEL TAPE BACKUP. NUNCA FUNCIONÓ Placa padre: H0017750 Tipo adquisicion : Entidad"</f>
        <v>Descripcion:REAL APLICATION CLUSTER SOFTWARE DE REPLICACION EN LINEA Estado: Bueno Placa anterior: 000025760 Material: CD Color:  Referencia:  Observacion: SOFTWARE DE REPLICACION EN TIEMPO REAL BIT A BIT REPLISTOR WORKGROUP EDITION WITH ASM    CORRESPONDE AL SOFWTARE DEL TAPE BACKUP. NUNCA FUNCIONÓ Placa padre: H0017750 Tipo adquisicion : Entidad</v>
      </c>
      <c r="G19877" s="5"/>
    </row>
    <row r="19878" spans="1:7" ht="58.5" customHeight="1" x14ac:dyDescent="0.25">
      <c r="A19878" s="5" t="str">
        <f>"B0005159"</f>
        <v>B0005159</v>
      </c>
      <c r="B19878" s="5" t="str">
        <f>"TARJETA DE RED"</f>
        <v>TARJETA DE RED</v>
      </c>
      <c r="C19878" s="6">
        <v>290000</v>
      </c>
      <c r="D19878" s="5"/>
      <c r="E19878" s="5" t="str">
        <f t="shared" si="1009"/>
        <v>SISTEMAS-GLOBALTRONIK SAS-SERGIO PATIÑO</v>
      </c>
      <c r="F19878" s="5" t="str">
        <f>"Descripcion:TARJETA DE RED GIGABIT- SX NIC SERVER MARCA 3COM: REF. 3C996-SX Estado: Bueno Placa anterior: 000025616 Material:  Color:  Referencia:  Observacion: SE ENCUENTRA INTERNAMENTE EN EL SERVIDOR Placa padre:  Tipo adquisicion : Entidad"</f>
        <v>Descripcion:TARJETA DE RED GIGABIT- SX NIC SERVER MARCA 3COM: REF. 3C996-SX Estado: Bueno Placa anterior: 000025616 Material:  Color:  Referencia:  Observacion: SE ENCUENTRA INTERNAMENTE EN EL SERVIDOR Placa padre:  Tipo adquisicion : Entidad</v>
      </c>
      <c r="G19878" s="5"/>
    </row>
    <row r="19879" spans="1:7" ht="58.5" customHeight="1" x14ac:dyDescent="0.25">
      <c r="A19879" s="5" t="str">
        <f>"B0005160"</f>
        <v>B0005160</v>
      </c>
      <c r="B19879" s="5" t="str">
        <f>"TARJETA DE RED"</f>
        <v>TARJETA DE RED</v>
      </c>
      <c r="C19879" s="6">
        <v>2030000</v>
      </c>
      <c r="D19879" s="5"/>
      <c r="E19879" s="5" t="str">
        <f t="shared" si="1009"/>
        <v>SISTEMAS-GLOBALTRONIK SAS-SERGIO PATIÑO</v>
      </c>
      <c r="F19879" s="5" t="str">
        <f>"Descripcion:TARJETA DE RED OPTICA DE GIGA PARA SERVIDOR Estado: Bueno Placa anterior: 000022011 Material:  Color:  Referencia:  Observacion: SE ENCUENTRA INTERNAMENTE EN EL SERVIDOR Placa padre:  Tipo adquisicion : Entidad"</f>
        <v>Descripcion:TARJETA DE RED OPTICA DE GIGA PARA SERVIDOR Estado: Bueno Placa anterior: 000022011 Material:  Color:  Referencia:  Observacion: SE ENCUENTRA INTERNAMENTE EN EL SERVIDOR Placa padre:  Tipo adquisicion : Entidad</v>
      </c>
      <c r="G19879" s="5"/>
    </row>
    <row r="19880" spans="1:7" ht="58.5" customHeight="1" x14ac:dyDescent="0.25">
      <c r="A19880" s="5" t="str">
        <f>"B0005161"</f>
        <v>B0005161</v>
      </c>
      <c r="B19880" s="5" t="str">
        <f t="shared" ref="B19880:B19887" si="1011">"TRANSCEIVER"</f>
        <v>TRANSCEIVER</v>
      </c>
      <c r="C19880" s="6">
        <v>850000</v>
      </c>
      <c r="D19880" s="5"/>
      <c r="E19880" s="5" t="str">
        <f t="shared" si="1009"/>
        <v>SISTEMAS-GLOBALTRONIK SAS-SERGIO PATIÑO</v>
      </c>
      <c r="F19880" s="5" t="str">
        <f>"Descripcion:TRANSCEIVER PARA FIBRA OPTICA: CONEXION 1000BASE-SX Estado: Bueno Placa anterior: 000029162 Material: METALICO Color: GRIS Referencia:  Observacion: SE ENCUENTRA EN LOS PUERTOS DEL SERVIDOR Placa padre:  Tipo adquisicion : Entidad"</f>
        <v>Descripcion:TRANSCEIVER PARA FIBRA OPTICA: CONEXION 1000BASE-SX Estado: Bueno Placa anterior: 000029162 Material: METALICO Color: GRIS Referencia:  Observacion: SE ENCUENTRA EN LOS PUERTOS DEL SERVIDOR Placa padre:  Tipo adquisicion : Entidad</v>
      </c>
      <c r="G19880" s="5"/>
    </row>
    <row r="19881" spans="1:7" ht="58.5" customHeight="1" x14ac:dyDescent="0.25">
      <c r="A19881" s="5" t="str">
        <f>"B0005162"</f>
        <v>B0005162</v>
      </c>
      <c r="B19881" s="5" t="str">
        <f t="shared" si="1011"/>
        <v>TRANSCEIVER</v>
      </c>
      <c r="C19881" s="6">
        <v>850000</v>
      </c>
      <c r="D19881" s="5"/>
      <c r="E19881" s="5" t="str">
        <f t="shared" si="1009"/>
        <v>SISTEMAS-GLOBALTRONIK SAS-SERGIO PATIÑO</v>
      </c>
      <c r="F19881" s="5" t="str">
        <f>"Descripcion:TRANSCEIVER PARA FIBRA OPTICA: CONEXION 1000BASE-SX Estado: Bueno Placa anterior: 000029159 Material: METALICO Color: GRIS Referencia:  Observacion: SE ENCUENTRA EN LOS PUERTOS DEL SERVIDOR Placa padre:  Tipo adquisicion : Entidad"</f>
        <v>Descripcion:TRANSCEIVER PARA FIBRA OPTICA: CONEXION 1000BASE-SX Estado: Bueno Placa anterior: 000029159 Material: METALICO Color: GRIS Referencia:  Observacion: SE ENCUENTRA EN LOS PUERTOS DEL SERVIDOR Placa padre:  Tipo adquisicion : Entidad</v>
      </c>
      <c r="G19881" s="5"/>
    </row>
    <row r="19882" spans="1:7" ht="58.5" customHeight="1" x14ac:dyDescent="0.25">
      <c r="A19882" s="5" t="str">
        <f>"B0005163"</f>
        <v>B0005163</v>
      </c>
      <c r="B19882" s="5" t="str">
        <f t="shared" si="1011"/>
        <v>TRANSCEIVER</v>
      </c>
      <c r="C19882" s="6">
        <v>850000</v>
      </c>
      <c r="D19882" s="5"/>
      <c r="E19882" s="5" t="str">
        <f t="shared" si="1009"/>
        <v>SISTEMAS-GLOBALTRONIK SAS-SERGIO PATIÑO</v>
      </c>
      <c r="F19882" s="5" t="str">
        <f>"Descripcion:TRANSCEIVER PARA FIBRA OPTICA: CONEXION 1000BASE-SX Estado: Bueno Placa anterior: 000029161 Material: METALICO Color: GRIS Referencia:  Observacion: SE ENCUENTRA EN LOS PUERTOS DEL SERVIDOR Placa padre:  Tipo adquisicion : Entidad"</f>
        <v>Descripcion:TRANSCEIVER PARA FIBRA OPTICA: CONEXION 1000BASE-SX Estado: Bueno Placa anterior: 000029161 Material: METALICO Color: GRIS Referencia:  Observacion: SE ENCUENTRA EN LOS PUERTOS DEL SERVIDOR Placa padre:  Tipo adquisicion : Entidad</v>
      </c>
      <c r="G19882" s="5"/>
    </row>
    <row r="19883" spans="1:7" ht="58.5" customHeight="1" x14ac:dyDescent="0.25">
      <c r="A19883" s="5" t="str">
        <f>"B0005164"</f>
        <v>B0005164</v>
      </c>
      <c r="B19883" s="5" t="str">
        <f t="shared" si="1011"/>
        <v>TRANSCEIVER</v>
      </c>
      <c r="C19883" s="6">
        <v>850000</v>
      </c>
      <c r="D19883" s="5"/>
      <c r="E19883" s="5" t="str">
        <f t="shared" si="1009"/>
        <v>SISTEMAS-GLOBALTRONIK SAS-SERGIO PATIÑO</v>
      </c>
      <c r="F19883" s="5" t="str">
        <f>"Descripcion:TRANSCEIVER PARA FIBRA OPTICA: CONEXION 1000BASE-SX Estado: Bueno Placa anterior: 000029160 Material: METALICO Color: GRIS Referencia:  Observacion: SE ENCUENTRA EN LOS PUERTOS DEL SERVIDOR Placa padre:  Tipo adquisicion : Entidad"</f>
        <v>Descripcion:TRANSCEIVER PARA FIBRA OPTICA: CONEXION 1000BASE-SX Estado: Bueno Placa anterior: 000029160 Material: METALICO Color: GRIS Referencia:  Observacion: SE ENCUENTRA EN LOS PUERTOS DEL SERVIDOR Placa padre:  Tipo adquisicion : Entidad</v>
      </c>
      <c r="G19883" s="5"/>
    </row>
    <row r="19884" spans="1:7" ht="58.5" customHeight="1" x14ac:dyDescent="0.25">
      <c r="A19884" s="5" t="str">
        <f>"B0005165"</f>
        <v>B0005165</v>
      </c>
      <c r="B19884" s="5" t="str">
        <f t="shared" si="1011"/>
        <v>TRANSCEIVER</v>
      </c>
      <c r="C19884" s="6">
        <v>850000</v>
      </c>
      <c r="D19884" s="5"/>
      <c r="E19884" s="5" t="str">
        <f t="shared" si="1009"/>
        <v>SISTEMAS-GLOBALTRONIK SAS-SERGIO PATIÑO</v>
      </c>
      <c r="F19884" s="5" t="str">
        <f>"Descripcion:TRANSCEVER PARA FIBRA OPTICA Estado: Bueno Placa anterior: 000033541 Material: METALICO Color: GRIS Referencia:  Observacion: SE ENCUENTRA EN LOS PUERTOS DEL SWITCH DE ALMACEN Placa padre:  Tipo adquisicion : Entidad"</f>
        <v>Descripcion:TRANSCEVER PARA FIBRA OPTICA Estado: Bueno Placa anterior: 000033541 Material: METALICO Color: GRIS Referencia:  Observacion: SE ENCUENTRA EN LOS PUERTOS DEL SWITCH DE ALMACEN Placa padre:  Tipo adquisicion : Entidad</v>
      </c>
      <c r="G19884" s="5"/>
    </row>
    <row r="19885" spans="1:7" ht="58.5" customHeight="1" x14ac:dyDescent="0.25">
      <c r="A19885" s="5" t="str">
        <f>"B0005166"</f>
        <v>B0005166</v>
      </c>
      <c r="B19885" s="5" t="str">
        <f t="shared" si="1011"/>
        <v>TRANSCEIVER</v>
      </c>
      <c r="C19885" s="6">
        <v>850000</v>
      </c>
      <c r="D19885" s="5"/>
      <c r="E19885" s="5" t="str">
        <f t="shared" si="1009"/>
        <v>SISTEMAS-GLOBALTRONIK SAS-SERGIO PATIÑO</v>
      </c>
      <c r="F19885" s="5" t="str">
        <f>"Descripcion:TRANSCEVER PARA FIBRA OPTICA Estado: Bueno Placa anterior: 000029052 Material: METALICO Color: GRIS Referencia:  Observacion: SE ENCUENTRA EN LOS PUERTOS DEL SWITCH DE ALMACEN Placa padre:  Tipo adquisicion : Entidad"</f>
        <v>Descripcion:TRANSCEVER PARA FIBRA OPTICA Estado: Bueno Placa anterior: 000029052 Material: METALICO Color: GRIS Referencia:  Observacion: SE ENCUENTRA EN LOS PUERTOS DEL SWITCH DE ALMACEN Placa padre:  Tipo adquisicion : Entidad</v>
      </c>
      <c r="G19885" s="5"/>
    </row>
    <row r="19886" spans="1:7" ht="58.5" customHeight="1" x14ac:dyDescent="0.25">
      <c r="A19886" s="5" t="str">
        <f>"B0005487"</f>
        <v>B0005487</v>
      </c>
      <c r="B19886" s="5" t="str">
        <f t="shared" si="1011"/>
        <v>TRANSCEIVER</v>
      </c>
      <c r="C19886" s="6">
        <v>850000</v>
      </c>
      <c r="D19886" s="5"/>
      <c r="E19886" s="5" t="str">
        <f t="shared" si="1009"/>
        <v>SISTEMAS-GLOBALTRONIK SAS-SERGIO PATIÑO</v>
      </c>
      <c r="F19886" s="5" t="str">
        <f>"Descripcion:TRANSCEVER PARA FIBRA OPTICA Estado: Bueno Placa anterior: 000029058 Material: METALICO Color: GRIS Referencia:  Observacion: SE ENCUENTRAN INTERNAMENTE EN LOS SERVIDORES Placa padre:  Tipo adquisicion : Entidad"</f>
        <v>Descripcion:TRANSCEVER PARA FIBRA OPTICA Estado: Bueno Placa anterior: 000029058 Material: METALICO Color: GRIS Referencia:  Observacion: SE ENCUENTRAN INTERNAMENTE EN LOS SERVIDORES Placa padre:  Tipo adquisicion : Entidad</v>
      </c>
      <c r="G19886" s="5"/>
    </row>
    <row r="19887" spans="1:7" ht="58.5" customHeight="1" x14ac:dyDescent="0.25">
      <c r="A19887" s="5" t="str">
        <f>"B0005488"</f>
        <v>B0005488</v>
      </c>
      <c r="B19887" s="5" t="str">
        <f t="shared" si="1011"/>
        <v>TRANSCEIVER</v>
      </c>
      <c r="C19887" s="6">
        <v>850000</v>
      </c>
      <c r="D19887" s="5"/>
      <c r="E19887" s="5" t="str">
        <f t="shared" si="1009"/>
        <v>SISTEMAS-GLOBALTRONIK SAS-SERGIO PATIÑO</v>
      </c>
      <c r="F19887" s="5" t="str">
        <f>"Descripcion:TRANSCEVER PARA FIBRA OPTICA Estado: Bueno Placa anterior: 000029059 Material: METALICO Color: GRIS Referencia:  Observacion: SE ENCUENTRA INTERNAMENTE EN LOS SERVIDORES Placa padre:  Tipo adquisicion : Entidad"</f>
        <v>Descripcion:TRANSCEVER PARA FIBRA OPTICA Estado: Bueno Placa anterior: 000029059 Material: METALICO Color: GRIS Referencia:  Observacion: SE ENCUENTRA INTERNAMENTE EN LOS SERVIDORES Placa padre:  Tipo adquisicion : Entidad</v>
      </c>
      <c r="G19887" s="5"/>
    </row>
    <row r="19888" spans="1:7" ht="58.5" customHeight="1" x14ac:dyDescent="0.25">
      <c r="A19888" s="5" t="str">
        <f>"B0005699"</f>
        <v>B0005699</v>
      </c>
      <c r="B19888" s="5" t="str">
        <f>"SOFTWARE DEL TAPE BACKUP"</f>
        <v>SOFTWARE DEL TAPE BACKUP</v>
      </c>
      <c r="C19888" s="6">
        <v>3480000</v>
      </c>
      <c r="D19888" s="5"/>
      <c r="E19888" s="5" t="str">
        <f t="shared" si="1009"/>
        <v>SISTEMAS-GLOBALTRONIK SAS-SERGIO PATIÑO</v>
      </c>
      <c r="F19888" s="5" t="str">
        <f>"Descripcion:REAL APLICATION CLUSTER SOFTWARE DE REPLICACION EN LINEA Estado: Bueno Placa anterior: 000025617 Material:  Color:  Referencia:  Observacion: CORRESPONDE AL SOFWTARE DEL TAPE BACKUP. Placa padre: H0018671 Tipo adquisicion : Entidad"</f>
        <v>Descripcion:REAL APLICATION CLUSTER SOFTWARE DE REPLICACION EN LINEA Estado: Bueno Placa anterior: 000025617 Material:  Color:  Referencia:  Observacion: CORRESPONDE AL SOFWTARE DEL TAPE BACKUP. Placa padre: H0018671 Tipo adquisicion : Entidad</v>
      </c>
      <c r="G19888" s="5"/>
    </row>
    <row r="19889" spans="1:7" ht="58.5" customHeight="1" x14ac:dyDescent="0.25">
      <c r="A19889" s="5" t="str">
        <f>"H0002112"</f>
        <v>H0002112</v>
      </c>
      <c r="B19889" s="5" t="str">
        <f t="shared" ref="B19889:B19930" si="1012">"CAMARA DE VIDEOVIGILANCIA"</f>
        <v>CAMARA DE VIDEOVIGILANCIA</v>
      </c>
      <c r="C19889" s="6">
        <v>441700</v>
      </c>
      <c r="D19889" s="5"/>
      <c r="E19889" s="5" t="str">
        <f t="shared" si="1009"/>
        <v>SISTEMAS-GLOBALTRONIK SAS-SERGIO PATIÑO</v>
      </c>
      <c r="F19889" s="5" t="str">
        <f>"Descripcion:CAMARA IP TIPO DOMO 3 MPX LENTE DE 2.8 mm PoE 1/3 Estado: Excelente Placa anterior: 000038182 Material: PASTA Y ACRILICO Color: BLANCO Referencia:  Observacion:  Placa padre:  Tipo adquisicion : Entidad"</f>
        <v>Descripcion:CAMARA IP TIPO DOMO 3 MPX LENTE DE 2.8 mm PoE 1/3 Estado: Excelente Placa anterior: 000038182 Material: PASTA Y ACRILICO Color: BLANCO Referencia:  Observacion:  Placa padre:  Tipo adquisicion : Entidad</v>
      </c>
      <c r="G19889" s="5" t="str">
        <f t="shared" ref="G19889:G19906" si="1013">"DS-2ED2132F-1"</f>
        <v>DS-2ED2132F-1</v>
      </c>
    </row>
    <row r="19890" spans="1:7" ht="58.5" customHeight="1" x14ac:dyDescent="0.25">
      <c r="A19890" s="5" t="str">
        <f>"H0002119"</f>
        <v>H0002119</v>
      </c>
      <c r="B19890" s="5" t="str">
        <f t="shared" si="1012"/>
        <v>CAMARA DE VIDEOVIGILANCIA</v>
      </c>
      <c r="C19890" s="6">
        <v>441700</v>
      </c>
      <c r="D19890" s="5"/>
      <c r="E19890" s="5" t="str">
        <f t="shared" si="1009"/>
        <v>SISTEMAS-GLOBALTRONIK SAS-SERGIO PATIÑO</v>
      </c>
      <c r="F19890" s="5" t="str">
        <f>"Descripcion:CAMARA IP TIPO DOMO 3 MPX LENTE DE 2.8 mm PoE 1/3 Estado: Excelente Placa anterior: 000038189 Material: PASTA Y ACRILICO Color: BLANCO Referencia:  Observacion:  Placa padre:  Tipo adquisicion : Entidad"</f>
        <v>Descripcion:CAMARA IP TIPO DOMO 3 MPX LENTE DE 2.8 mm PoE 1/3 Estado: Excelente Placa anterior: 000038189 Material: PASTA Y ACRILICO Color: BLANCO Referencia:  Observacion:  Placa padre:  Tipo adquisicion : Entidad</v>
      </c>
      <c r="G19890" s="5" t="str">
        <f t="shared" si="1013"/>
        <v>DS-2ED2132F-1</v>
      </c>
    </row>
    <row r="19891" spans="1:7" ht="58.5" customHeight="1" x14ac:dyDescent="0.25">
      <c r="A19891" s="5" t="str">
        <f>"H0002120"</f>
        <v>H0002120</v>
      </c>
      <c r="B19891" s="5" t="str">
        <f t="shared" si="1012"/>
        <v>CAMARA DE VIDEOVIGILANCIA</v>
      </c>
      <c r="C19891" s="6">
        <v>441700</v>
      </c>
      <c r="D19891" s="5"/>
      <c r="E19891" s="5" t="str">
        <f t="shared" si="1009"/>
        <v>SISTEMAS-GLOBALTRONIK SAS-SERGIO PATIÑO</v>
      </c>
      <c r="F19891" s="5" t="str">
        <f>"Descripcion:CAMARA IP TIPO DOMO 3 MPX LENTE DE 2.8 mm PoE 1/3 Estado: Excelente Placa anterior: 000038190 Material: PASTA Y ACRILICO Color: BLANCO Referencia:  Observacion:  Placa padre:  Tipo adquisicion : Entidad"</f>
        <v>Descripcion:CAMARA IP TIPO DOMO 3 MPX LENTE DE 2.8 mm PoE 1/3 Estado: Excelente Placa anterior: 000038190 Material: PASTA Y ACRILICO Color: BLANCO Referencia:  Observacion:  Placa padre:  Tipo adquisicion : Entidad</v>
      </c>
      <c r="G19891" s="5" t="str">
        <f t="shared" si="1013"/>
        <v>DS-2ED2132F-1</v>
      </c>
    </row>
    <row r="19892" spans="1:7" ht="58.5" customHeight="1" x14ac:dyDescent="0.25">
      <c r="A19892" s="5" t="str">
        <f>"H0002121"</f>
        <v>H0002121</v>
      </c>
      <c r="B19892" s="5" t="str">
        <f t="shared" si="1012"/>
        <v>CAMARA DE VIDEOVIGILANCIA</v>
      </c>
      <c r="C19892" s="6">
        <v>441700</v>
      </c>
      <c r="D19892" s="5"/>
      <c r="E19892" s="5" t="str">
        <f t="shared" si="1009"/>
        <v>SISTEMAS-GLOBALTRONIK SAS-SERGIO PATIÑO</v>
      </c>
      <c r="F19892" s="5" t="str">
        <f>"Descripcion:CAMARA IP TIPO DOMO 3 MPX LENTE DE 2.8 mm PoE 1/3 Estado: Excelente Placa anterior: 000038191 Material: PASTA Y ACRILICO Color: BLANCO Referencia:  Observacion:  Placa padre:  Tipo adquisicion : Entidad"</f>
        <v>Descripcion:CAMARA IP TIPO DOMO 3 MPX LENTE DE 2.8 mm PoE 1/3 Estado: Excelente Placa anterior: 000038191 Material: PASTA Y ACRILICO Color: BLANCO Referencia:  Observacion:  Placa padre:  Tipo adquisicion : Entidad</v>
      </c>
      <c r="G19892" s="5" t="str">
        <f t="shared" si="1013"/>
        <v>DS-2ED2132F-1</v>
      </c>
    </row>
    <row r="19893" spans="1:7" ht="58.5" customHeight="1" x14ac:dyDescent="0.25">
      <c r="A19893" s="5" t="str">
        <f>"H0002122"</f>
        <v>H0002122</v>
      </c>
      <c r="B19893" s="5" t="str">
        <f t="shared" si="1012"/>
        <v>CAMARA DE VIDEOVIGILANCIA</v>
      </c>
      <c r="C19893" s="6">
        <v>441700</v>
      </c>
      <c r="D19893" s="5"/>
      <c r="E19893" s="5" t="str">
        <f t="shared" si="1009"/>
        <v>SISTEMAS-GLOBALTRONIK SAS-SERGIO PATIÑO</v>
      </c>
      <c r="F19893" s="5" t="str">
        <f>"Descripcion:CAMARA IP TIPO DOMO 3 MPX LENTE DE 2.8 mm PoE 1/3 Estado: Excelente Placa anterior: 000038192 Material: PASTA Y ACRILICO Color: BLANCO Referencia:  Observacion:  Placa padre:  Tipo adquisicion : Entidad"</f>
        <v>Descripcion:CAMARA IP TIPO DOMO 3 MPX LENTE DE 2.8 mm PoE 1/3 Estado: Excelente Placa anterior: 000038192 Material: PASTA Y ACRILICO Color: BLANCO Referencia:  Observacion:  Placa padre:  Tipo adquisicion : Entidad</v>
      </c>
      <c r="G19893" s="5" t="str">
        <f t="shared" si="1013"/>
        <v>DS-2ED2132F-1</v>
      </c>
    </row>
    <row r="19894" spans="1:7" ht="58.5" customHeight="1" x14ac:dyDescent="0.25">
      <c r="A19894" s="5" t="str">
        <f>"H0002123"</f>
        <v>H0002123</v>
      </c>
      <c r="B19894" s="5" t="str">
        <f t="shared" si="1012"/>
        <v>CAMARA DE VIDEOVIGILANCIA</v>
      </c>
      <c r="C19894" s="6">
        <v>441700</v>
      </c>
      <c r="D19894" s="5"/>
      <c r="E19894" s="5" t="str">
        <f t="shared" si="1009"/>
        <v>SISTEMAS-GLOBALTRONIK SAS-SERGIO PATIÑO</v>
      </c>
      <c r="F19894" s="5" t="str">
        <f>"Descripcion:CAMARA IP TIPO DOMO 3 MPX LENTE DE 2.8 mm PoE 1/3 Estado: Excelente Placa anterior: 000038193 Material: PASTA Y ACRILICO Color: BLANCO Referencia:  Observacion:  Placa padre:  Tipo adquisicion : Entidad"</f>
        <v>Descripcion:CAMARA IP TIPO DOMO 3 MPX LENTE DE 2.8 mm PoE 1/3 Estado: Excelente Placa anterior: 000038193 Material: PASTA Y ACRILICO Color: BLANCO Referencia:  Observacion:  Placa padre:  Tipo adquisicion : Entidad</v>
      </c>
      <c r="G19894" s="5" t="str">
        <f t="shared" si="1013"/>
        <v>DS-2ED2132F-1</v>
      </c>
    </row>
    <row r="19895" spans="1:7" ht="58.5" customHeight="1" x14ac:dyDescent="0.25">
      <c r="A19895" s="5" t="str">
        <f>"H0002124"</f>
        <v>H0002124</v>
      </c>
      <c r="B19895" s="5" t="str">
        <f t="shared" si="1012"/>
        <v>CAMARA DE VIDEOVIGILANCIA</v>
      </c>
      <c r="C19895" s="6">
        <v>441700</v>
      </c>
      <c r="D19895" s="5"/>
      <c r="E19895" s="5" t="str">
        <f t="shared" si="1009"/>
        <v>SISTEMAS-GLOBALTRONIK SAS-SERGIO PATIÑO</v>
      </c>
      <c r="F19895" s="5" t="str">
        <f>"Descripcion:CAMARA IP TIPO DOMO 3 MPX LENTE DE 2.8 mm PoE 1/3 Estado: Excelente Placa anterior: 000038194 Material: PASTA Y ACRILICO Color: BLANCO Referencia:  Observacion:  Placa padre:  Tipo adquisicion : Entidad"</f>
        <v>Descripcion:CAMARA IP TIPO DOMO 3 MPX LENTE DE 2.8 mm PoE 1/3 Estado: Excelente Placa anterior: 000038194 Material: PASTA Y ACRILICO Color: BLANCO Referencia:  Observacion:  Placa padre:  Tipo adquisicion : Entidad</v>
      </c>
      <c r="G19895" s="5" t="str">
        <f t="shared" si="1013"/>
        <v>DS-2ED2132F-1</v>
      </c>
    </row>
    <row r="19896" spans="1:7" ht="58.5" customHeight="1" x14ac:dyDescent="0.25">
      <c r="A19896" s="5" t="str">
        <f>"H0002125"</f>
        <v>H0002125</v>
      </c>
      <c r="B19896" s="5" t="str">
        <f t="shared" si="1012"/>
        <v>CAMARA DE VIDEOVIGILANCIA</v>
      </c>
      <c r="C19896" s="6">
        <v>441700</v>
      </c>
      <c r="D19896" s="5"/>
      <c r="E19896" s="5" t="str">
        <f t="shared" si="1009"/>
        <v>SISTEMAS-GLOBALTRONIK SAS-SERGIO PATIÑO</v>
      </c>
      <c r="F19896" s="5" t="str">
        <f>"Descripcion:CAMARA IP TIPO DOMO 3 MPX LENTE DE 2.8 mm PoE 1/3 Estado: Excelente Placa anterior: 000038195 Material: PASTA Y ACRILICO Color: BLANCO Referencia:  Observacion:  Placa padre:  Tipo adquisicion : Entidad"</f>
        <v>Descripcion:CAMARA IP TIPO DOMO 3 MPX LENTE DE 2.8 mm PoE 1/3 Estado: Excelente Placa anterior: 000038195 Material: PASTA Y ACRILICO Color: BLANCO Referencia:  Observacion:  Placa padre:  Tipo adquisicion : Entidad</v>
      </c>
      <c r="G19896" s="5" t="str">
        <f t="shared" si="1013"/>
        <v>DS-2ED2132F-1</v>
      </c>
    </row>
    <row r="19897" spans="1:7" ht="58.5" customHeight="1" x14ac:dyDescent="0.25">
      <c r="A19897" s="5" t="str">
        <f>"H0002126"</f>
        <v>H0002126</v>
      </c>
      <c r="B19897" s="5" t="str">
        <f t="shared" si="1012"/>
        <v>CAMARA DE VIDEOVIGILANCIA</v>
      </c>
      <c r="C19897" s="6">
        <v>441700</v>
      </c>
      <c r="D19897" s="5"/>
      <c r="E19897" s="5" t="str">
        <f t="shared" si="1009"/>
        <v>SISTEMAS-GLOBALTRONIK SAS-SERGIO PATIÑO</v>
      </c>
      <c r="F19897" s="5" t="str">
        <f>"Descripcion:CAMARA IP TIPO DOMO 3 MPX LENTE DE 2.8 mm PoE 1/3 Estado: Excelente Placa anterior: 000038196 Material: PASTA Y ACRILICO Color: BLANCO Referencia:  Observacion:  Placa padre:  Tipo adquisicion : Entidad"</f>
        <v>Descripcion:CAMARA IP TIPO DOMO 3 MPX LENTE DE 2.8 mm PoE 1/3 Estado: Excelente Placa anterior: 000038196 Material: PASTA Y ACRILICO Color: BLANCO Referencia:  Observacion:  Placa padre:  Tipo adquisicion : Entidad</v>
      </c>
      <c r="G19897" s="5" t="str">
        <f t="shared" si="1013"/>
        <v>DS-2ED2132F-1</v>
      </c>
    </row>
    <row r="19898" spans="1:7" ht="58.5" customHeight="1" x14ac:dyDescent="0.25">
      <c r="A19898" s="5" t="str">
        <f>"H0002127"</f>
        <v>H0002127</v>
      </c>
      <c r="B19898" s="5" t="str">
        <f t="shared" si="1012"/>
        <v>CAMARA DE VIDEOVIGILANCIA</v>
      </c>
      <c r="C19898" s="6">
        <v>441700</v>
      </c>
      <c r="D19898" s="5"/>
      <c r="E19898" s="5" t="str">
        <f t="shared" si="1009"/>
        <v>SISTEMAS-GLOBALTRONIK SAS-SERGIO PATIÑO</v>
      </c>
      <c r="F19898" s="5" t="str">
        <f>"Descripcion:CAMARA IP TIPO DOMO 3 MPX LENTE DE 2.8 mm PoE 1/3 Estado: Excelente Placa anterior: 000038197 Material: PASTA Y ACRILICO Color: BLANCO Referencia:  Observacion:  Placa padre:  Tipo adquisicion : Entidad"</f>
        <v>Descripcion:CAMARA IP TIPO DOMO 3 MPX LENTE DE 2.8 mm PoE 1/3 Estado: Excelente Placa anterior: 000038197 Material: PASTA Y ACRILICO Color: BLANCO Referencia:  Observacion:  Placa padre:  Tipo adquisicion : Entidad</v>
      </c>
      <c r="G19898" s="5" t="str">
        <f t="shared" si="1013"/>
        <v>DS-2ED2132F-1</v>
      </c>
    </row>
    <row r="19899" spans="1:7" ht="58.5" customHeight="1" x14ac:dyDescent="0.25">
      <c r="A19899" s="5" t="str">
        <f>"H0002128"</f>
        <v>H0002128</v>
      </c>
      <c r="B19899" s="5" t="str">
        <f t="shared" si="1012"/>
        <v>CAMARA DE VIDEOVIGILANCIA</v>
      </c>
      <c r="C19899" s="6">
        <v>441700</v>
      </c>
      <c r="D19899" s="5"/>
      <c r="E19899" s="5" t="str">
        <f t="shared" si="1009"/>
        <v>SISTEMAS-GLOBALTRONIK SAS-SERGIO PATIÑO</v>
      </c>
      <c r="F19899" s="5" t="str">
        <f>"Descripcion:CAMARA IP TIPO DOMO 3 MPX LENTE DE 2.8 mm PoE 1/3 Estado: Excelente Placa anterior: 000038198 Material: PASTA Y ACRILICO Color: BLANCO Referencia:  Observacion:  Placa padre:  Tipo adquisicion : Entidad"</f>
        <v>Descripcion:CAMARA IP TIPO DOMO 3 MPX LENTE DE 2.8 mm PoE 1/3 Estado: Excelente Placa anterior: 000038198 Material: PASTA Y ACRILICO Color: BLANCO Referencia:  Observacion:  Placa padre:  Tipo adquisicion : Entidad</v>
      </c>
      <c r="G19899" s="5" t="str">
        <f t="shared" si="1013"/>
        <v>DS-2ED2132F-1</v>
      </c>
    </row>
    <row r="19900" spans="1:7" ht="58.5" customHeight="1" x14ac:dyDescent="0.25">
      <c r="A19900" s="5" t="str">
        <f>"H0002129"</f>
        <v>H0002129</v>
      </c>
      <c r="B19900" s="5" t="str">
        <f t="shared" si="1012"/>
        <v>CAMARA DE VIDEOVIGILANCIA</v>
      </c>
      <c r="C19900" s="6">
        <v>441700</v>
      </c>
      <c r="D19900" s="5"/>
      <c r="E19900" s="5" t="str">
        <f t="shared" si="1009"/>
        <v>SISTEMAS-GLOBALTRONIK SAS-SERGIO PATIÑO</v>
      </c>
      <c r="F19900" s="5" t="str">
        <f>"Descripcion:CAMARA IP TIPO DOMO 3 MPX LENTE DE 2.8 mm PoE 1/3 Estado: Excelente Placa anterior: 000038199 Material: PASTA Y ACRILICO Color: BLANCO Referencia:  Observacion:  Placa padre:  Tipo adquisicion : Entidad"</f>
        <v>Descripcion:CAMARA IP TIPO DOMO 3 MPX LENTE DE 2.8 mm PoE 1/3 Estado: Excelente Placa anterior: 000038199 Material: PASTA Y ACRILICO Color: BLANCO Referencia:  Observacion:  Placa padre:  Tipo adquisicion : Entidad</v>
      </c>
      <c r="G19900" s="5" t="str">
        <f t="shared" si="1013"/>
        <v>DS-2ED2132F-1</v>
      </c>
    </row>
    <row r="19901" spans="1:7" ht="58.5" customHeight="1" x14ac:dyDescent="0.25">
      <c r="A19901" s="5" t="str">
        <f>"H0002130"</f>
        <v>H0002130</v>
      </c>
      <c r="B19901" s="5" t="str">
        <f t="shared" si="1012"/>
        <v>CAMARA DE VIDEOVIGILANCIA</v>
      </c>
      <c r="C19901" s="6">
        <v>441700</v>
      </c>
      <c r="D19901" s="5"/>
      <c r="E19901" s="5" t="str">
        <f t="shared" ref="E19901:E19964" si="1014">"SISTEMAS-GLOBALTRONIK SAS-SERGIO PATIÑO"</f>
        <v>SISTEMAS-GLOBALTRONIK SAS-SERGIO PATIÑO</v>
      </c>
      <c r="F19901" s="5" t="str">
        <f>"Descripcion:CAMARA IP TIPO DOMO 3 MPX LENTE DE 2.8 mm PoE 1/3 Estado: Excelente Placa anterior: 000038200 Material: PASTA Y ACRILICO Color: BLANCO Referencia:  Observacion:  Placa padre:  Tipo adquisicion : Entidad"</f>
        <v>Descripcion:CAMARA IP TIPO DOMO 3 MPX LENTE DE 2.8 mm PoE 1/3 Estado: Excelente Placa anterior: 000038200 Material: PASTA Y ACRILICO Color: BLANCO Referencia:  Observacion:  Placa padre:  Tipo adquisicion : Entidad</v>
      </c>
      <c r="G19901" s="5" t="str">
        <f t="shared" si="1013"/>
        <v>DS-2ED2132F-1</v>
      </c>
    </row>
    <row r="19902" spans="1:7" ht="58.5" customHeight="1" x14ac:dyDescent="0.25">
      <c r="A19902" s="5" t="str">
        <f>"H0002131"</f>
        <v>H0002131</v>
      </c>
      <c r="B19902" s="5" t="str">
        <f t="shared" si="1012"/>
        <v>CAMARA DE VIDEOVIGILANCIA</v>
      </c>
      <c r="C19902" s="6">
        <v>441700</v>
      </c>
      <c r="D19902" s="5"/>
      <c r="E19902" s="5" t="str">
        <f t="shared" si="1014"/>
        <v>SISTEMAS-GLOBALTRONIK SAS-SERGIO PATIÑO</v>
      </c>
      <c r="F19902" s="5" t="str">
        <f>"Descripcion:CAMARA IP TIPO DOMO 3 MPX LENTE DE 2.8 mm PoE 1/3 Estado: Excelente Placa anterior: 000038202 Material: PASTA Y ACRILICO Color: BLANCO Referencia:  Observacion:  Placa padre:  Tipo adquisicion : Entidad"</f>
        <v>Descripcion:CAMARA IP TIPO DOMO 3 MPX LENTE DE 2.8 mm PoE 1/3 Estado: Excelente Placa anterior: 000038202 Material: PASTA Y ACRILICO Color: BLANCO Referencia:  Observacion:  Placa padre:  Tipo adquisicion : Entidad</v>
      </c>
      <c r="G19902" s="5" t="str">
        <f t="shared" si="1013"/>
        <v>DS-2ED2132F-1</v>
      </c>
    </row>
    <row r="19903" spans="1:7" ht="58.5" customHeight="1" x14ac:dyDescent="0.25">
      <c r="A19903" s="5" t="str">
        <f>"H0002132"</f>
        <v>H0002132</v>
      </c>
      <c r="B19903" s="5" t="str">
        <f t="shared" si="1012"/>
        <v>CAMARA DE VIDEOVIGILANCIA</v>
      </c>
      <c r="C19903" s="6">
        <v>441700</v>
      </c>
      <c r="D19903" s="5"/>
      <c r="E19903" s="5" t="str">
        <f t="shared" si="1014"/>
        <v>SISTEMAS-GLOBALTRONIK SAS-SERGIO PATIÑO</v>
      </c>
      <c r="F19903" s="5" t="str">
        <f>"Descripcion:CAMARA IP TIPO DOMO 3 MPX LENTE DE 2.8 mm PoE 1/3 Estado: Excelente Placa anterior: 000038201 Material: PASTA Y ACRILICO Color: BLANCO Referencia:  Observacion:  Placa padre:  Tipo adquisicion : Entidad"</f>
        <v>Descripcion:CAMARA IP TIPO DOMO 3 MPX LENTE DE 2.8 mm PoE 1/3 Estado: Excelente Placa anterior: 000038201 Material: PASTA Y ACRILICO Color: BLANCO Referencia:  Observacion:  Placa padre:  Tipo adquisicion : Entidad</v>
      </c>
      <c r="G19903" s="5" t="str">
        <f t="shared" si="1013"/>
        <v>DS-2ED2132F-1</v>
      </c>
    </row>
    <row r="19904" spans="1:7" ht="58.5" customHeight="1" x14ac:dyDescent="0.25">
      <c r="A19904" s="5" t="str">
        <f>"H0002133"</f>
        <v>H0002133</v>
      </c>
      <c r="B19904" s="5" t="str">
        <f t="shared" si="1012"/>
        <v>CAMARA DE VIDEOVIGILANCIA</v>
      </c>
      <c r="C19904" s="6">
        <v>441700</v>
      </c>
      <c r="D19904" s="5"/>
      <c r="E19904" s="5" t="str">
        <f t="shared" si="1014"/>
        <v>SISTEMAS-GLOBALTRONIK SAS-SERGIO PATIÑO</v>
      </c>
      <c r="F19904" s="5" t="str">
        <f>"Descripcion:CAMARA IP TIPO DOMO 3 MPX LENTE DE 2.8 mm PoE 1/3 Estado: Excelente Placa anterior: 000038203 Material: PASTA Y ACRILICO Color: BLANCO Referencia:  Observacion:  Placa padre:  Tipo adquisicion : Entidad"</f>
        <v>Descripcion:CAMARA IP TIPO DOMO 3 MPX LENTE DE 2.8 mm PoE 1/3 Estado: Excelente Placa anterior: 000038203 Material: PASTA Y ACRILICO Color: BLANCO Referencia:  Observacion:  Placa padre:  Tipo adquisicion : Entidad</v>
      </c>
      <c r="G19904" s="5" t="str">
        <f t="shared" si="1013"/>
        <v>DS-2ED2132F-1</v>
      </c>
    </row>
    <row r="19905" spans="1:7" ht="58.5" customHeight="1" x14ac:dyDescent="0.25">
      <c r="A19905" s="5" t="str">
        <f>"H0002134"</f>
        <v>H0002134</v>
      </c>
      <c r="B19905" s="5" t="str">
        <f t="shared" si="1012"/>
        <v>CAMARA DE VIDEOVIGILANCIA</v>
      </c>
      <c r="C19905" s="6">
        <v>441700</v>
      </c>
      <c r="D19905" s="5"/>
      <c r="E19905" s="5" t="str">
        <f t="shared" si="1014"/>
        <v>SISTEMAS-GLOBALTRONIK SAS-SERGIO PATIÑO</v>
      </c>
      <c r="F19905" s="5" t="str">
        <f>"Descripcion:CAMARA IP TIPO DOMO 3 MPX LENTE DE 2.8 mm PoE 1/3 Estado: Excelente Placa anterior: 000038204 Material: PASTA Y ACRILICO Color: BLANCO Referencia:  Observacion:  Placa padre:  Tipo adquisicion : Entidad"</f>
        <v>Descripcion:CAMARA IP TIPO DOMO 3 MPX LENTE DE 2.8 mm PoE 1/3 Estado: Excelente Placa anterior: 000038204 Material: PASTA Y ACRILICO Color: BLANCO Referencia:  Observacion:  Placa padre:  Tipo adquisicion : Entidad</v>
      </c>
      <c r="G19905" s="5" t="str">
        <f t="shared" si="1013"/>
        <v>DS-2ED2132F-1</v>
      </c>
    </row>
    <row r="19906" spans="1:7" ht="58.5" customHeight="1" x14ac:dyDescent="0.25">
      <c r="A19906" s="5" t="str">
        <f>"H0002135"</f>
        <v>H0002135</v>
      </c>
      <c r="B19906" s="5" t="str">
        <f t="shared" si="1012"/>
        <v>CAMARA DE VIDEOVIGILANCIA</v>
      </c>
      <c r="C19906" s="6">
        <v>441700</v>
      </c>
      <c r="D19906" s="5"/>
      <c r="E19906" s="5" t="str">
        <f t="shared" si="1014"/>
        <v>SISTEMAS-GLOBALTRONIK SAS-SERGIO PATIÑO</v>
      </c>
      <c r="F19906" s="5" t="str">
        <f>"Descripcion:CAMARA IP TIPO DOMO 3 MPX LENTE DE 2.8 mm PoE 1/3 Estado: Excelente Placa anterior: 000038205 Material: PASTA Y ACRILICO Color: BLANCO Referencia:  Observacion:  Placa padre:  Tipo adquisicion : Entidad"</f>
        <v>Descripcion:CAMARA IP TIPO DOMO 3 MPX LENTE DE 2.8 mm PoE 1/3 Estado: Excelente Placa anterior: 000038205 Material: PASTA Y ACRILICO Color: BLANCO Referencia:  Observacion:  Placa padre:  Tipo adquisicion : Entidad</v>
      </c>
      <c r="G19906" s="5" t="str">
        <f t="shared" si="1013"/>
        <v>DS-2ED2132F-1</v>
      </c>
    </row>
    <row r="19907" spans="1:7" ht="58.5" customHeight="1" x14ac:dyDescent="0.25">
      <c r="A19907" s="5" t="str">
        <f>"H0002323"</f>
        <v>H0002323</v>
      </c>
      <c r="B19907" s="5" t="str">
        <f t="shared" si="1012"/>
        <v>CAMARA DE VIDEOVIGILANCIA</v>
      </c>
      <c r="C19907" s="6">
        <v>371000</v>
      </c>
      <c r="D19907" s="5"/>
      <c r="E19907" s="5" t="str">
        <f t="shared" si="1014"/>
        <v>SISTEMAS-GLOBALTRONIK SAS-SERGIO PATIÑO</v>
      </c>
      <c r="F19907" s="5" t="str">
        <f>"Descripcion:CAMARA IP TIPO DOMO 2 MPX LENTE DE 2.8 mm PoE 1/3 (WI-FI) Estado: Excelente Placa anterior: 000038231 Material: PASTA Y VIDRIO Color: BLANCO Referencia:  Observacion:  Placa padre:  Tipo adquisicion : Entidad"</f>
        <v>Descripcion:CAMARA IP TIPO DOMO 2 MPX LENTE DE 2.8 mm PoE 1/3 (WI-FI) Estado: Excelente Placa anterior: 000038231 Material: PASTA Y VIDRIO Color: BLANCO Referencia:  Observacion:  Placa padre:  Tipo adquisicion : Entidad</v>
      </c>
      <c r="G19907" s="5"/>
    </row>
    <row r="19908" spans="1:7" ht="58.5" customHeight="1" x14ac:dyDescent="0.25">
      <c r="A19908" s="5" t="str">
        <f>"H0002325"</f>
        <v>H0002325</v>
      </c>
      <c r="B19908" s="5" t="str">
        <f t="shared" si="1012"/>
        <v>CAMARA DE VIDEOVIGILANCIA</v>
      </c>
      <c r="C19908" s="6">
        <v>371000</v>
      </c>
      <c r="D19908" s="5"/>
      <c r="E19908" s="5" t="str">
        <f t="shared" si="1014"/>
        <v>SISTEMAS-GLOBALTRONIK SAS-SERGIO PATIÑO</v>
      </c>
      <c r="F19908" s="5" t="str">
        <f>"Descripcion:CAMARA IP TIPO DOMO 2 MPX LENTE DE 2.8 mm PoE 1/3 (WI-FI) Estado: Excelente Placa anterior: 000038233 Material:  Color:  Referencia:  Observacion:  Placa padre:  Tipo adquisicion : Entidad"</f>
        <v>Descripcion:CAMARA IP TIPO DOMO 2 MPX LENTE DE 2.8 mm PoE 1/3 (WI-FI) Estado: Excelente Placa anterior: 000038233 Material:  Color:  Referencia:  Observacion:  Placa padre:  Tipo adquisicion : Entidad</v>
      </c>
      <c r="G19908" s="5"/>
    </row>
    <row r="19909" spans="1:7" ht="58.5" customHeight="1" x14ac:dyDescent="0.25">
      <c r="A19909" s="5" t="str">
        <f>"H0002326"</f>
        <v>H0002326</v>
      </c>
      <c r="B19909" s="5" t="str">
        <f t="shared" si="1012"/>
        <v>CAMARA DE VIDEOVIGILANCIA</v>
      </c>
      <c r="C19909" s="6">
        <v>371000</v>
      </c>
      <c r="D19909" s="5"/>
      <c r="E19909" s="5" t="str">
        <f t="shared" si="1014"/>
        <v>SISTEMAS-GLOBALTRONIK SAS-SERGIO PATIÑO</v>
      </c>
      <c r="F19909" s="5" t="str">
        <f>"Descripcion:CAMARA IP TIPO DOMO 2 MPX LENTE DE 2.8 mm PoE 1/3 (WI-FI) Estado: Excelente Placa anterior: 000038234 Material:  Color:  Referencia:  Observacion:  Placa padre:  Tipo adquisicion : Entidad"</f>
        <v>Descripcion:CAMARA IP TIPO DOMO 2 MPX LENTE DE 2.8 mm PoE 1/3 (WI-FI) Estado: Excelente Placa anterior: 000038234 Material:  Color:  Referencia:  Observacion:  Placa padre:  Tipo adquisicion : Entidad</v>
      </c>
      <c r="G19909" s="5"/>
    </row>
    <row r="19910" spans="1:7" ht="58.5" customHeight="1" x14ac:dyDescent="0.25">
      <c r="A19910" s="5" t="str">
        <f>"H0002327"</f>
        <v>H0002327</v>
      </c>
      <c r="B19910" s="5" t="str">
        <f t="shared" si="1012"/>
        <v>CAMARA DE VIDEOVIGILANCIA</v>
      </c>
      <c r="C19910" s="6">
        <v>371000</v>
      </c>
      <c r="D19910" s="5"/>
      <c r="E19910" s="5" t="str">
        <f t="shared" si="1014"/>
        <v>SISTEMAS-GLOBALTRONIK SAS-SERGIO PATIÑO</v>
      </c>
      <c r="F19910" s="5" t="str">
        <f>"Descripcion:CAMARA IP TIPO DOMO 2 MPX LENTE DE 2.8 mm PoE 1/3 (WI-FI) Estado: Excelente Placa anterior: 000038235 Material: PASTA Y VIDRIO Color: BLANCO Referencia:  Observacion:  Placa padre:  Tipo adquisicion : Entidad"</f>
        <v>Descripcion:CAMARA IP TIPO DOMO 2 MPX LENTE DE 2.8 mm PoE 1/3 (WI-FI) Estado: Excelente Placa anterior: 000038235 Material: PASTA Y VIDRIO Color: BLANCO Referencia:  Observacion:  Placa padre:  Tipo adquisicion : Entidad</v>
      </c>
      <c r="G19910" s="5"/>
    </row>
    <row r="19911" spans="1:7" ht="58.5" customHeight="1" x14ac:dyDescent="0.25">
      <c r="A19911" s="5" t="str">
        <f>"H0002328"</f>
        <v>H0002328</v>
      </c>
      <c r="B19911" s="5" t="str">
        <f t="shared" si="1012"/>
        <v>CAMARA DE VIDEOVIGILANCIA</v>
      </c>
      <c r="C19911" s="6">
        <v>371000</v>
      </c>
      <c r="D19911" s="5"/>
      <c r="E19911" s="5" t="str">
        <f t="shared" si="1014"/>
        <v>SISTEMAS-GLOBALTRONIK SAS-SERGIO PATIÑO</v>
      </c>
      <c r="F19911" s="5" t="str">
        <f>"Descripcion:CAMARA IP TIPO DOMO 2 MPX LENTE DE 2.8 mm PoE 1/3 (WI-FI) Estado: Excelente Placa anterior: 000038236 Material: PASTA Y VIDRIO Color: BLANCO Referencia:  Observacion:  Placa padre:  Tipo adquisicion : Entidad"</f>
        <v>Descripcion:CAMARA IP TIPO DOMO 2 MPX LENTE DE 2.8 mm PoE 1/3 (WI-FI) Estado: Excelente Placa anterior: 000038236 Material: PASTA Y VIDRIO Color: BLANCO Referencia:  Observacion:  Placa padre:  Tipo adquisicion : Entidad</v>
      </c>
      <c r="G19911" s="5"/>
    </row>
    <row r="19912" spans="1:7" ht="58.5" customHeight="1" x14ac:dyDescent="0.25">
      <c r="A19912" s="5" t="str">
        <f>"H0002330"</f>
        <v>H0002330</v>
      </c>
      <c r="B19912" s="5" t="str">
        <f t="shared" si="1012"/>
        <v>CAMARA DE VIDEOVIGILANCIA</v>
      </c>
      <c r="C19912" s="6">
        <v>371000</v>
      </c>
      <c r="D19912" s="5"/>
      <c r="E19912" s="5" t="str">
        <f t="shared" si="1014"/>
        <v>SISTEMAS-GLOBALTRONIK SAS-SERGIO PATIÑO</v>
      </c>
      <c r="F19912" s="5" t="str">
        <f>"Descripcion:CAMARA IP TIPO DOMO 2 MPX LENTE DE 2.8 mm PoE 1/3 (WI-FI) Estado: Excelente Placa anterior: 000038238 Material: PASTA Y VIDRIO Color: BLANCO Referencia:  Observacion:  Placa padre:  Tipo adquisicion : Entidad"</f>
        <v>Descripcion:CAMARA IP TIPO DOMO 2 MPX LENTE DE 2.8 mm PoE 1/3 (WI-FI) Estado: Excelente Placa anterior: 000038238 Material: PASTA Y VIDRIO Color: BLANCO Referencia:  Observacion:  Placa padre:  Tipo adquisicion : Entidad</v>
      </c>
      <c r="G19912" s="5"/>
    </row>
    <row r="19913" spans="1:7" ht="58.5" customHeight="1" x14ac:dyDescent="0.25">
      <c r="A19913" s="5" t="str">
        <f>"H0002331"</f>
        <v>H0002331</v>
      </c>
      <c r="B19913" s="5" t="str">
        <f t="shared" si="1012"/>
        <v>CAMARA DE VIDEOVIGILANCIA</v>
      </c>
      <c r="C19913" s="6">
        <v>371000</v>
      </c>
      <c r="D19913" s="5"/>
      <c r="E19913" s="5" t="str">
        <f t="shared" si="1014"/>
        <v>SISTEMAS-GLOBALTRONIK SAS-SERGIO PATIÑO</v>
      </c>
      <c r="F19913" s="5" t="str">
        <f>"Descripcion:CAMARA IP TIPO DOMO 2 MPX LENTE DE 2.8 mm PoE 1/3 (WI-FI) Estado: Excelente Placa anterior: 000038239 Material: PASTA Y VIDRIO Color: BLANCO Referencia:  Observacion:  Placa padre:  Tipo adquisicion : Entidad"</f>
        <v>Descripcion:CAMARA IP TIPO DOMO 2 MPX LENTE DE 2.8 mm PoE 1/3 (WI-FI) Estado: Excelente Placa anterior: 000038239 Material: PASTA Y VIDRIO Color: BLANCO Referencia:  Observacion:  Placa padre:  Tipo adquisicion : Entidad</v>
      </c>
      <c r="G19913" s="5"/>
    </row>
    <row r="19914" spans="1:7" ht="58.5" customHeight="1" x14ac:dyDescent="0.25">
      <c r="A19914" s="5" t="str">
        <f>"H0002332"</f>
        <v>H0002332</v>
      </c>
      <c r="B19914" s="5" t="str">
        <f t="shared" si="1012"/>
        <v>CAMARA DE VIDEOVIGILANCIA</v>
      </c>
      <c r="C19914" s="6">
        <v>371000</v>
      </c>
      <c r="D19914" s="5"/>
      <c r="E19914" s="5" t="str">
        <f t="shared" si="1014"/>
        <v>SISTEMAS-GLOBALTRONIK SAS-SERGIO PATIÑO</v>
      </c>
      <c r="F19914" s="5" t="str">
        <f>"Descripcion:CAMARA IP TIPO DOMO 2 MPX LENTE DE 2.8 mm PoE 1/3 (WI-FI) Estado: Excelente Placa anterior: 000038240 Material: PASTA Y VIDRIO Color: BLANCO Referencia:  Observacion:  Placa padre:  Tipo adquisicion : Entidad"</f>
        <v>Descripcion:CAMARA IP TIPO DOMO 2 MPX LENTE DE 2.8 mm PoE 1/3 (WI-FI) Estado: Excelente Placa anterior: 000038240 Material: PASTA Y VIDRIO Color: BLANCO Referencia:  Observacion:  Placa padre:  Tipo adquisicion : Entidad</v>
      </c>
      <c r="G19914" s="5"/>
    </row>
    <row r="19915" spans="1:7" ht="58.5" customHeight="1" x14ac:dyDescent="0.25">
      <c r="A19915" s="5" t="str">
        <f>"H0002333"</f>
        <v>H0002333</v>
      </c>
      <c r="B19915" s="5" t="str">
        <f t="shared" si="1012"/>
        <v>CAMARA DE VIDEOVIGILANCIA</v>
      </c>
      <c r="C19915" s="6">
        <v>371000</v>
      </c>
      <c r="D19915" s="5"/>
      <c r="E19915" s="5" t="str">
        <f t="shared" si="1014"/>
        <v>SISTEMAS-GLOBALTRONIK SAS-SERGIO PATIÑO</v>
      </c>
      <c r="F19915" s="5" t="str">
        <f>"Descripcion:CAMARA IP TIPO DOMO 2 MPX LENTE DE 2.8 mm PoE 1/3 (WI-FI) Estado: Excelente Placa anterior: 000038241 Material: PASTA Y VIDRIO Color: BLANCO Referencia:  Observacion:  Placa padre:  Tipo adquisicion : Entidad"</f>
        <v>Descripcion:CAMARA IP TIPO DOMO 2 MPX LENTE DE 2.8 mm PoE 1/3 (WI-FI) Estado: Excelente Placa anterior: 000038241 Material: PASTA Y VIDRIO Color: BLANCO Referencia:  Observacion:  Placa padre:  Tipo adquisicion : Entidad</v>
      </c>
      <c r="G19915" s="5"/>
    </row>
    <row r="19916" spans="1:7" ht="58.5" customHeight="1" x14ac:dyDescent="0.25">
      <c r="A19916" s="5" t="str">
        <f>"H0002334"</f>
        <v>H0002334</v>
      </c>
      <c r="B19916" s="5" t="str">
        <f t="shared" si="1012"/>
        <v>CAMARA DE VIDEOVIGILANCIA</v>
      </c>
      <c r="C19916" s="6">
        <v>371000</v>
      </c>
      <c r="D19916" s="5"/>
      <c r="E19916" s="5" t="str">
        <f t="shared" si="1014"/>
        <v>SISTEMAS-GLOBALTRONIK SAS-SERGIO PATIÑO</v>
      </c>
      <c r="F19916" s="5" t="str">
        <f>"Descripcion:CAMARA IP TIPO DOMO 2 MPX LENTE DE 2.8 mm PoE 1/3 (WI-FI) Estado: Excelente Placa anterior: 000038242 Material: PASTA Y VIDRIO Color: BLANCO Referencia:  Observacion:  Placa padre:  Tipo adquisicion : Entidad"</f>
        <v>Descripcion:CAMARA IP TIPO DOMO 2 MPX LENTE DE 2.8 mm PoE 1/3 (WI-FI) Estado: Excelente Placa anterior: 000038242 Material: PASTA Y VIDRIO Color: BLANCO Referencia:  Observacion:  Placa padre:  Tipo adquisicion : Entidad</v>
      </c>
      <c r="G19916" s="5"/>
    </row>
    <row r="19917" spans="1:7" ht="58.5" customHeight="1" x14ac:dyDescent="0.25">
      <c r="A19917" s="5" t="str">
        <f>"H0002335"</f>
        <v>H0002335</v>
      </c>
      <c r="B19917" s="5" t="str">
        <f t="shared" si="1012"/>
        <v>CAMARA DE VIDEOVIGILANCIA</v>
      </c>
      <c r="C19917" s="6">
        <v>371000</v>
      </c>
      <c r="D19917" s="5"/>
      <c r="E19917" s="5" t="str">
        <f t="shared" si="1014"/>
        <v>SISTEMAS-GLOBALTRONIK SAS-SERGIO PATIÑO</v>
      </c>
      <c r="F19917" s="5" t="str">
        <f>"Descripcion:CAMARA IP TIPO DOMO 2 MPX LENTE DE 2.8 mm PoE 1/3 (WI-FI) Estado: Excelente Placa anterior: 000038243 Material: PASTA Y VIDRIO Color: BLANCO Referencia:  Observacion:  Placa padre:  Tipo adquisicion : Entidad"</f>
        <v>Descripcion:CAMARA IP TIPO DOMO 2 MPX LENTE DE 2.8 mm PoE 1/3 (WI-FI) Estado: Excelente Placa anterior: 000038243 Material: PASTA Y VIDRIO Color: BLANCO Referencia:  Observacion:  Placa padre:  Tipo adquisicion : Entidad</v>
      </c>
      <c r="G19917" s="5"/>
    </row>
    <row r="19918" spans="1:7" ht="58.5" customHeight="1" x14ac:dyDescent="0.25">
      <c r="A19918" s="5" t="str">
        <f>"H0002336"</f>
        <v>H0002336</v>
      </c>
      <c r="B19918" s="5" t="str">
        <f t="shared" si="1012"/>
        <v>CAMARA DE VIDEOVIGILANCIA</v>
      </c>
      <c r="C19918" s="6">
        <v>371000</v>
      </c>
      <c r="D19918" s="5"/>
      <c r="E19918" s="5" t="str">
        <f t="shared" si="1014"/>
        <v>SISTEMAS-GLOBALTRONIK SAS-SERGIO PATIÑO</v>
      </c>
      <c r="F19918" s="5" t="str">
        <f>"Descripcion:CAMARA IP TIPO DOMO 2 MPX LENTE DE 2.8 mm PoE 1/3 (WI-FI) Estado: Excelente Placa anterior: 000038244 Material: PASTA Y VIDRIO Color: BLANCO Referencia:  Observacion:  Placa padre:  Tipo adquisicion : Entidad"</f>
        <v>Descripcion:CAMARA IP TIPO DOMO 2 MPX LENTE DE 2.8 mm PoE 1/3 (WI-FI) Estado: Excelente Placa anterior: 000038244 Material: PASTA Y VIDRIO Color: BLANCO Referencia:  Observacion:  Placa padre:  Tipo adquisicion : Entidad</v>
      </c>
      <c r="G19918" s="5"/>
    </row>
    <row r="19919" spans="1:7" ht="58.5" customHeight="1" x14ac:dyDescent="0.25">
      <c r="A19919" s="5" t="str">
        <f>"H0002337"</f>
        <v>H0002337</v>
      </c>
      <c r="B19919" s="5" t="str">
        <f t="shared" si="1012"/>
        <v>CAMARA DE VIDEOVIGILANCIA</v>
      </c>
      <c r="C19919" s="6">
        <v>371000</v>
      </c>
      <c r="D19919" s="5"/>
      <c r="E19919" s="5" t="str">
        <f t="shared" si="1014"/>
        <v>SISTEMAS-GLOBALTRONIK SAS-SERGIO PATIÑO</v>
      </c>
      <c r="F19919" s="5" t="str">
        <f>"Descripcion:CAMARA IP TIPO DOMO 2 MPX LENTE DE 2.8 mm PoE 1/3 (WI-FI) Estado: Excelente Placa anterior: 000038245 Material: PASTA Y VIDRIO Color: BLANCO Referencia:  Observacion:  Placa padre:  Tipo adquisicion : Entidad"</f>
        <v>Descripcion:CAMARA IP TIPO DOMO 2 MPX LENTE DE 2.8 mm PoE 1/3 (WI-FI) Estado: Excelente Placa anterior: 000038245 Material: PASTA Y VIDRIO Color: BLANCO Referencia:  Observacion:  Placa padre:  Tipo adquisicion : Entidad</v>
      </c>
      <c r="G19919" s="5"/>
    </row>
    <row r="19920" spans="1:7" ht="58.5" customHeight="1" x14ac:dyDescent="0.25">
      <c r="A19920" s="5" t="str">
        <f>"H0002338"</f>
        <v>H0002338</v>
      </c>
      <c r="B19920" s="5" t="str">
        <f t="shared" si="1012"/>
        <v>CAMARA DE VIDEOVIGILANCIA</v>
      </c>
      <c r="C19920" s="6">
        <v>371000</v>
      </c>
      <c r="D19920" s="5"/>
      <c r="E19920" s="5" t="str">
        <f t="shared" si="1014"/>
        <v>SISTEMAS-GLOBALTRONIK SAS-SERGIO PATIÑO</v>
      </c>
      <c r="F19920" s="5" t="str">
        <f>"Descripcion:CAMARA IP TIPO DOMO 2 MPX LENTE DE 2.8 mm PoE 1/3 (WI-FI) Estado: Excelente Placa anterior: 000038246 Material: PASTA Y VIDRIO Color: BLANCO Referencia:  Observacion:  Placa padre:  Tipo adquisicion : Entidad"</f>
        <v>Descripcion:CAMARA IP TIPO DOMO 2 MPX LENTE DE 2.8 mm PoE 1/3 (WI-FI) Estado: Excelente Placa anterior: 000038246 Material: PASTA Y VIDRIO Color: BLANCO Referencia:  Observacion:  Placa padre:  Tipo adquisicion : Entidad</v>
      </c>
      <c r="G19920" s="5"/>
    </row>
    <row r="19921" spans="1:7" ht="58.5" customHeight="1" x14ac:dyDescent="0.25">
      <c r="A19921" s="5" t="str">
        <f>"H0002339"</f>
        <v>H0002339</v>
      </c>
      <c r="B19921" s="5" t="str">
        <f t="shared" si="1012"/>
        <v>CAMARA DE VIDEOVIGILANCIA</v>
      </c>
      <c r="C19921" s="6">
        <v>371000</v>
      </c>
      <c r="D19921" s="5"/>
      <c r="E19921" s="5" t="str">
        <f t="shared" si="1014"/>
        <v>SISTEMAS-GLOBALTRONIK SAS-SERGIO PATIÑO</v>
      </c>
      <c r="F19921" s="5" t="str">
        <f>"Descripcion:CAMARA IP TIPO DOMO 2 MPX LENTE DE 2.8 mm PoE 1/3 (WI-FI) Estado: Excelente Placa anterior: 000038247 Material: PASTA Y VIDRIO Color: BLANCO Referencia:  Observacion:  Placa padre:  Tipo adquisicion : Entidad"</f>
        <v>Descripcion:CAMARA IP TIPO DOMO 2 MPX LENTE DE 2.8 mm PoE 1/3 (WI-FI) Estado: Excelente Placa anterior: 000038247 Material: PASTA Y VIDRIO Color: BLANCO Referencia:  Observacion:  Placa padre:  Tipo adquisicion : Entidad</v>
      </c>
      <c r="G19921" s="5"/>
    </row>
    <row r="19922" spans="1:7" ht="58.5" customHeight="1" x14ac:dyDescent="0.25">
      <c r="A19922" s="5" t="str">
        <f>"H0002340"</f>
        <v>H0002340</v>
      </c>
      <c r="B19922" s="5" t="str">
        <f t="shared" si="1012"/>
        <v>CAMARA DE VIDEOVIGILANCIA</v>
      </c>
      <c r="C19922" s="6">
        <v>371000</v>
      </c>
      <c r="D19922" s="5"/>
      <c r="E19922" s="5" t="str">
        <f t="shared" si="1014"/>
        <v>SISTEMAS-GLOBALTRONIK SAS-SERGIO PATIÑO</v>
      </c>
      <c r="F19922" s="5" t="str">
        <f>"Descripcion:CAMARA IP TIPO DOMO 2 MPX LENTE DE 2.8 mm PoE 1/3 (WI-FI) Estado: Excelente Placa anterior: 000038248 Material: PASTA Y VIDRIO Color: BLANCO Referencia:  Observacion:  Placa padre:  Tipo adquisicion : Entidad"</f>
        <v>Descripcion:CAMARA IP TIPO DOMO 2 MPX LENTE DE 2.8 mm PoE 1/3 (WI-FI) Estado: Excelente Placa anterior: 000038248 Material: PASTA Y VIDRIO Color: BLANCO Referencia:  Observacion:  Placa padre:  Tipo adquisicion : Entidad</v>
      </c>
      <c r="G19922" s="5"/>
    </row>
    <row r="19923" spans="1:7" ht="58.5" customHeight="1" x14ac:dyDescent="0.25">
      <c r="A19923" s="5" t="str">
        <f>"H0002341"</f>
        <v>H0002341</v>
      </c>
      <c r="B19923" s="5" t="str">
        <f t="shared" si="1012"/>
        <v>CAMARA DE VIDEOVIGILANCIA</v>
      </c>
      <c r="C19923" s="6">
        <v>371000</v>
      </c>
      <c r="D19923" s="5"/>
      <c r="E19923" s="5" t="str">
        <f t="shared" si="1014"/>
        <v>SISTEMAS-GLOBALTRONIK SAS-SERGIO PATIÑO</v>
      </c>
      <c r="F19923" s="5" t="str">
        <f>"Descripcion:CAMARA IP TIPO DOMO 2 MPX LENTE DE 2.8 mm PoE 1/3 (WI-FI) Estado: Excelente Placa anterior: 000038249 Material: PASTA Y VIDRIO Color: BLANCO Referencia:  Observacion:  Placa padre:  Tipo adquisicion : Entidad"</f>
        <v>Descripcion:CAMARA IP TIPO DOMO 2 MPX LENTE DE 2.8 mm PoE 1/3 (WI-FI) Estado: Excelente Placa anterior: 000038249 Material: PASTA Y VIDRIO Color: BLANCO Referencia:  Observacion:  Placa padre:  Tipo adquisicion : Entidad</v>
      </c>
      <c r="G19923" s="5"/>
    </row>
    <row r="19924" spans="1:7" ht="58.5" customHeight="1" x14ac:dyDescent="0.25">
      <c r="A19924" s="5" t="str">
        <f>"H0002342"</f>
        <v>H0002342</v>
      </c>
      <c r="B19924" s="5" t="str">
        <f t="shared" si="1012"/>
        <v>CAMARA DE VIDEOVIGILANCIA</v>
      </c>
      <c r="C19924" s="6">
        <v>371000</v>
      </c>
      <c r="D19924" s="5"/>
      <c r="E19924" s="5" t="str">
        <f t="shared" si="1014"/>
        <v>SISTEMAS-GLOBALTRONIK SAS-SERGIO PATIÑO</v>
      </c>
      <c r="F19924" s="5" t="str">
        <f>"Descripcion:CAMARA IP TIPO DOMO 2 MPX LENTE DE 2.8 mm PoE 1/3 (WI-FI) Estado: Excelente Placa anterior: 000038250 Material: PASTA Y VIDRIO Color: BLANCO Referencia:  Observacion:  Placa padre:  Tipo adquisicion : Entidad"</f>
        <v>Descripcion:CAMARA IP TIPO DOMO 2 MPX LENTE DE 2.8 mm PoE 1/3 (WI-FI) Estado: Excelente Placa anterior: 000038250 Material: PASTA Y VIDRIO Color: BLANCO Referencia:  Observacion:  Placa padre:  Tipo adquisicion : Entidad</v>
      </c>
      <c r="G19924" s="5"/>
    </row>
    <row r="19925" spans="1:7" ht="58.5" customHeight="1" x14ac:dyDescent="0.25">
      <c r="A19925" s="5" t="str">
        <f>"H0002343"</f>
        <v>H0002343</v>
      </c>
      <c r="B19925" s="5" t="str">
        <f t="shared" si="1012"/>
        <v>CAMARA DE VIDEOVIGILANCIA</v>
      </c>
      <c r="C19925" s="6">
        <v>371000</v>
      </c>
      <c r="D19925" s="5"/>
      <c r="E19925" s="5" t="str">
        <f t="shared" si="1014"/>
        <v>SISTEMAS-GLOBALTRONIK SAS-SERGIO PATIÑO</v>
      </c>
      <c r="F19925" s="5" t="str">
        <f>"Descripcion:CAMARA IP TIPO DOMO 2 MPX LENTE DE 2.8 mm PoE 1/3 (WI-FI) Estado: Excelente Placa anterior: 000038251 Material: PASTA Y VIDRIO Color: BLANCO Referencia:  Observacion:  Placa padre:  Tipo adquisicion : Entidad"</f>
        <v>Descripcion:CAMARA IP TIPO DOMO 2 MPX LENTE DE 2.8 mm PoE 1/3 (WI-FI) Estado: Excelente Placa anterior: 000038251 Material: PASTA Y VIDRIO Color: BLANCO Referencia:  Observacion:  Placa padre:  Tipo adquisicion : Entidad</v>
      </c>
      <c r="G19925" s="5"/>
    </row>
    <row r="19926" spans="1:7" ht="58.5" customHeight="1" x14ac:dyDescent="0.25">
      <c r="A19926" s="5" t="str">
        <f>"H0002344"</f>
        <v>H0002344</v>
      </c>
      <c r="B19926" s="5" t="str">
        <f t="shared" si="1012"/>
        <v>CAMARA DE VIDEOVIGILANCIA</v>
      </c>
      <c r="C19926" s="6">
        <v>371000</v>
      </c>
      <c r="D19926" s="5"/>
      <c r="E19926" s="5" t="str">
        <f t="shared" si="1014"/>
        <v>SISTEMAS-GLOBALTRONIK SAS-SERGIO PATIÑO</v>
      </c>
      <c r="F19926" s="5" t="str">
        <f>"Descripcion:CAMARA IP TIPO DOMO 2 MPX LENTE DE 2.8 mm PoE 1/3 (WI-FI) Estado: Excelente Placa anterior: 000038252 Material: PASTA Y VIDRIO Color: BLANCO Referencia:  Observacion:  Placa padre:  Tipo adquisicion : Entidad"</f>
        <v>Descripcion:CAMARA IP TIPO DOMO 2 MPX LENTE DE 2.8 mm PoE 1/3 (WI-FI) Estado: Excelente Placa anterior: 000038252 Material: PASTA Y VIDRIO Color: BLANCO Referencia:  Observacion:  Placa padre:  Tipo adquisicion : Entidad</v>
      </c>
      <c r="G19926" s="5"/>
    </row>
    <row r="19927" spans="1:7" ht="58.5" customHeight="1" x14ac:dyDescent="0.25">
      <c r="A19927" s="5" t="str">
        <f>"H0002345"</f>
        <v>H0002345</v>
      </c>
      <c r="B19927" s="5" t="str">
        <f t="shared" si="1012"/>
        <v>CAMARA DE VIDEOVIGILANCIA</v>
      </c>
      <c r="C19927" s="6">
        <v>371000</v>
      </c>
      <c r="D19927" s="5"/>
      <c r="E19927" s="5" t="str">
        <f t="shared" si="1014"/>
        <v>SISTEMAS-GLOBALTRONIK SAS-SERGIO PATIÑO</v>
      </c>
      <c r="F19927" s="5" t="str">
        <f>"Descripcion:CAMARA IP TIPO DOMO 2 MPX LENTE DE 2.8 mm PoE 1/3 (WI-FI) Estado: Excelente Placa anterior: 000038253 Material: PASTA Y VIDRIO Color: BLANCO Referencia:  Observacion:  Placa padre:  Tipo adquisicion : Entidad"</f>
        <v>Descripcion:CAMARA IP TIPO DOMO 2 MPX LENTE DE 2.8 mm PoE 1/3 (WI-FI) Estado: Excelente Placa anterior: 000038253 Material: PASTA Y VIDRIO Color: BLANCO Referencia:  Observacion:  Placa padre:  Tipo adquisicion : Entidad</v>
      </c>
      <c r="G19927" s="5"/>
    </row>
    <row r="19928" spans="1:7" ht="58.5" customHeight="1" x14ac:dyDescent="0.25">
      <c r="A19928" s="5" t="str">
        <f>"H0002346"</f>
        <v>H0002346</v>
      </c>
      <c r="B19928" s="5" t="str">
        <f t="shared" si="1012"/>
        <v>CAMARA DE VIDEOVIGILANCIA</v>
      </c>
      <c r="C19928" s="6">
        <v>371000</v>
      </c>
      <c r="D19928" s="5"/>
      <c r="E19928" s="5" t="str">
        <f t="shared" si="1014"/>
        <v>SISTEMAS-GLOBALTRONIK SAS-SERGIO PATIÑO</v>
      </c>
      <c r="F19928" s="5" t="str">
        <f>"Descripcion:CAMARA IP TIPO DOMO 2 MPX LENTE DE 2.8 mm PoE 1/3 (WI-FI) Estado: Excelente Placa anterior: 000038254 Material: PASTA Y VIDRIO Color: BLANCO Referencia:  Observacion:  Placa padre:  Tipo adquisicion : Entidad"</f>
        <v>Descripcion:CAMARA IP TIPO DOMO 2 MPX LENTE DE 2.8 mm PoE 1/3 (WI-FI) Estado: Excelente Placa anterior: 000038254 Material: PASTA Y VIDRIO Color: BLANCO Referencia:  Observacion:  Placa padre:  Tipo adquisicion : Entidad</v>
      </c>
      <c r="G19928" s="5"/>
    </row>
    <row r="19929" spans="1:7" ht="58.5" customHeight="1" x14ac:dyDescent="0.25">
      <c r="A19929" s="5" t="str">
        <f>"H0002347"</f>
        <v>H0002347</v>
      </c>
      <c r="B19929" s="5" t="str">
        <f t="shared" si="1012"/>
        <v>CAMARA DE VIDEOVIGILANCIA</v>
      </c>
      <c r="C19929" s="6">
        <v>371000</v>
      </c>
      <c r="D19929" s="5"/>
      <c r="E19929" s="5" t="str">
        <f t="shared" si="1014"/>
        <v>SISTEMAS-GLOBALTRONIK SAS-SERGIO PATIÑO</v>
      </c>
      <c r="F19929" s="5" t="str">
        <f>"Descripcion:CAMARA IP TIPO DOMO 2 MPX LENTE DE 2.8 mm PoE 1/3 (WI-FI) Estado: Excelente Placa anterior: 000038255 Material: PASTA Y VIDRIO Color: BLANCO Referencia:  Observacion:  Placa padre:  Tipo adquisicion : Entidad"</f>
        <v>Descripcion:CAMARA IP TIPO DOMO 2 MPX LENTE DE 2.8 mm PoE 1/3 (WI-FI) Estado: Excelente Placa anterior: 000038255 Material: PASTA Y VIDRIO Color: BLANCO Referencia:  Observacion:  Placa padre:  Tipo adquisicion : Entidad</v>
      </c>
      <c r="G19929" s="5"/>
    </row>
    <row r="19930" spans="1:7" ht="58.5" customHeight="1" x14ac:dyDescent="0.25">
      <c r="A19930" s="5" t="str">
        <f>"H0002348"</f>
        <v>H0002348</v>
      </c>
      <c r="B19930" s="5" t="str">
        <f t="shared" si="1012"/>
        <v>CAMARA DE VIDEOVIGILANCIA</v>
      </c>
      <c r="C19930" s="6">
        <v>371000</v>
      </c>
      <c r="D19930" s="5"/>
      <c r="E19930" s="5" t="str">
        <f t="shared" si="1014"/>
        <v>SISTEMAS-GLOBALTRONIK SAS-SERGIO PATIÑO</v>
      </c>
      <c r="F19930" s="5" t="str">
        <f>"Descripcion:CAMARA IP TIPO DOMO 2 MPX LENTE DE 2.8 mm PoE 1/3 (WI-FI) Estado: Excelente Placa anterior: 000038256 Material: PASTA Y VIDRIO Color: BLANCO Referencia:  Observacion:  Placa padre:  Tipo adquisicion : Entidad"</f>
        <v>Descripcion:CAMARA IP TIPO DOMO 2 MPX LENTE DE 2.8 mm PoE 1/3 (WI-FI) Estado: Excelente Placa anterior: 000038256 Material: PASTA Y VIDRIO Color: BLANCO Referencia:  Observacion:  Placa padre:  Tipo adquisicion : Entidad</v>
      </c>
      <c r="G19930" s="5"/>
    </row>
    <row r="19931" spans="1:7" ht="58.5" customHeight="1" x14ac:dyDescent="0.25">
      <c r="A19931" s="5" t="str">
        <f>"H0002380"</f>
        <v>H0002380</v>
      </c>
      <c r="B19931" s="5" t="str">
        <f t="shared" ref="B19931:B19936" si="1015">"UNIDAD ININTERRUMPIDA DE POTENCIA (UPS) 1KW"</f>
        <v>UNIDAD ININTERRUMPIDA DE POTENCIA (UPS) 1KW</v>
      </c>
      <c r="C19931" s="6">
        <v>1276000</v>
      </c>
      <c r="D19931" s="5"/>
      <c r="E19931" s="5" t="str">
        <f t="shared" si="1014"/>
        <v>SISTEMAS-GLOBALTRONIK SAS-SERGIO PATIÑO</v>
      </c>
      <c r="F19931" s="5" t="str">
        <f>"Descripcion:UPS U-1200 4 TOMAS - UPS DE 1Kva MONTAJE EN RACK Estado: Excelente Placa anterior: 000037091 Material: PASTA Color: NEGRO Referencia: UPS U-1200 Observacion:  Placa padre:  Tipo adquisicion : Entidad"</f>
        <v>Descripcion:UPS U-1200 4 TOMAS - UPS DE 1Kva MONTAJE EN RACK Estado: Excelente Placa anterior: 000037091 Material: PASTA Color: NEGRO Referencia: UPS U-1200 Observacion:  Placa padre:  Tipo adquisicion : Entidad</v>
      </c>
      <c r="G19931" s="5" t="str">
        <f t="shared" ref="G19931:G19936" si="1016">"U-1200"</f>
        <v>U-1200</v>
      </c>
    </row>
    <row r="19932" spans="1:7" ht="58.5" customHeight="1" x14ac:dyDescent="0.25">
      <c r="A19932" s="5" t="str">
        <f>"H0002381"</f>
        <v>H0002381</v>
      </c>
      <c r="B19932" s="5" t="str">
        <f t="shared" si="1015"/>
        <v>UNIDAD ININTERRUMPIDA DE POTENCIA (UPS) 1KW</v>
      </c>
      <c r="C19932" s="6">
        <v>1276000</v>
      </c>
      <c r="D19932" s="5"/>
      <c r="E19932" s="5" t="str">
        <f t="shared" si="1014"/>
        <v>SISTEMAS-GLOBALTRONIK SAS-SERGIO PATIÑO</v>
      </c>
      <c r="F19932" s="5" t="str">
        <f>"Descripcion:UPS U-1200 4 TOMAS - UPS DE 1Kva MONTAJE EN RACK  Estado: Excelente Placa anterior: 000037092 Material: PASTA Color: NEGRO Referencia: UPS U-1200 Observacion:  Placa padre:  Tipo adquisicion : Entidad"</f>
        <v>Descripcion:UPS U-1200 4 TOMAS - UPS DE 1Kva MONTAJE EN RACK  Estado: Excelente Placa anterior: 000037092 Material: PASTA Color: NEGRO Referencia: UPS U-1200 Observacion:  Placa padre:  Tipo adquisicion : Entidad</v>
      </c>
      <c r="G19932" s="5" t="str">
        <f t="shared" si="1016"/>
        <v>U-1200</v>
      </c>
    </row>
    <row r="19933" spans="1:7" ht="58.5" customHeight="1" x14ac:dyDescent="0.25">
      <c r="A19933" s="5" t="str">
        <f>"H0002387"</f>
        <v>H0002387</v>
      </c>
      <c r="B19933" s="5" t="str">
        <f t="shared" si="1015"/>
        <v>UNIDAD ININTERRUMPIDA DE POTENCIA (UPS) 1KW</v>
      </c>
      <c r="C19933" s="6">
        <v>1276000</v>
      </c>
      <c r="D19933" s="5"/>
      <c r="E19933" s="5" t="str">
        <f t="shared" si="1014"/>
        <v>SISTEMAS-GLOBALTRONIK SAS-SERGIO PATIÑO</v>
      </c>
      <c r="F19933" s="5" t="str">
        <f>"Descripcion:UPS U-1200 4 TOMAS - UPS DE 1Kva MONTAJE EN RACK  Estado: Excelente Placa anterior: 000037098 Material: PASTA Color: NEGRO Referencia: UPS U-1200 Observacion:  Placa padre:  Tipo adquisicion : Entidad"</f>
        <v>Descripcion:UPS U-1200 4 TOMAS - UPS DE 1Kva MONTAJE EN RACK  Estado: Excelente Placa anterior: 000037098 Material: PASTA Color: NEGRO Referencia: UPS U-1200 Observacion:  Placa padre:  Tipo adquisicion : Entidad</v>
      </c>
      <c r="G19933" s="5" t="str">
        <f t="shared" si="1016"/>
        <v>U-1200</v>
      </c>
    </row>
    <row r="19934" spans="1:7" ht="58.5" customHeight="1" x14ac:dyDescent="0.25">
      <c r="A19934" s="5" t="str">
        <f>"H0002388"</f>
        <v>H0002388</v>
      </c>
      <c r="B19934" s="5" t="str">
        <f t="shared" si="1015"/>
        <v>UNIDAD ININTERRUMPIDA DE POTENCIA (UPS) 1KW</v>
      </c>
      <c r="C19934" s="6">
        <v>1276000</v>
      </c>
      <c r="D19934" s="5"/>
      <c r="E19934" s="5" t="str">
        <f t="shared" si="1014"/>
        <v>SISTEMAS-GLOBALTRONIK SAS-SERGIO PATIÑO</v>
      </c>
      <c r="F19934" s="5" t="str">
        <f>"Descripcion:UPS U-1200 4 TOMAS - UPS DE 1Kva MONTAJE EN RACK  Estado: Excelente Placa anterior: 000037099 Material: PASTA Color: NEGRO Referencia: UPS U-1200 Observacion:  Placa padre:  Tipo adquisicion : Entidad"</f>
        <v>Descripcion:UPS U-1200 4 TOMAS - UPS DE 1Kva MONTAJE EN RACK  Estado: Excelente Placa anterior: 000037099 Material: PASTA Color: NEGRO Referencia: UPS U-1200 Observacion:  Placa padre:  Tipo adquisicion : Entidad</v>
      </c>
      <c r="G19934" s="5" t="str">
        <f t="shared" si="1016"/>
        <v>U-1200</v>
      </c>
    </row>
    <row r="19935" spans="1:7" ht="58.5" customHeight="1" x14ac:dyDescent="0.25">
      <c r="A19935" s="5" t="str">
        <f>"H0002391"</f>
        <v>H0002391</v>
      </c>
      <c r="B19935" s="5" t="str">
        <f t="shared" si="1015"/>
        <v>UNIDAD ININTERRUMPIDA DE POTENCIA (UPS) 1KW</v>
      </c>
      <c r="C19935" s="6">
        <v>1276000</v>
      </c>
      <c r="D19935" s="5"/>
      <c r="E19935" s="5" t="str">
        <f t="shared" si="1014"/>
        <v>SISTEMAS-GLOBALTRONIK SAS-SERGIO PATIÑO</v>
      </c>
      <c r="F19935" s="5" t="str">
        <f>"Descripcion:UPS U-1200 4 TOMAS - UPS DE 1Kva MONTAJE EN RACK  Estado: Excelente Placa anterior: 000037102 Material: PASTA Color: NEGRO Referencia: UPS U-1200 Observacion:  Placa padre:  Tipo adquisicion : Entidad"</f>
        <v>Descripcion:UPS U-1200 4 TOMAS - UPS DE 1Kva MONTAJE EN RACK  Estado: Excelente Placa anterior: 000037102 Material: PASTA Color: NEGRO Referencia: UPS U-1200 Observacion:  Placa padre:  Tipo adquisicion : Entidad</v>
      </c>
      <c r="G19935" s="5" t="str">
        <f t="shared" si="1016"/>
        <v>U-1200</v>
      </c>
    </row>
    <row r="19936" spans="1:7" ht="58.5" customHeight="1" x14ac:dyDescent="0.25">
      <c r="A19936" s="5" t="str">
        <f>"H0002393"</f>
        <v>H0002393</v>
      </c>
      <c r="B19936" s="5" t="str">
        <f t="shared" si="1015"/>
        <v>UNIDAD ININTERRUMPIDA DE POTENCIA (UPS) 1KW</v>
      </c>
      <c r="C19936" s="6">
        <v>1276000</v>
      </c>
      <c r="D19936" s="5"/>
      <c r="E19936" s="5" t="str">
        <f t="shared" si="1014"/>
        <v>SISTEMAS-GLOBALTRONIK SAS-SERGIO PATIÑO</v>
      </c>
      <c r="F19936" s="5" t="str">
        <f>"Descripcion:UPS U-1200 4 TOMAS - UPS DE 1Kva MONTAJE EN RACK  Estado: Excelente Placa anterior: 000037255 Material: PASTA Color: NEGRO Referencia: UPS U-1200 Observacion:  Placa padre:  Tipo adquisicion : Entidad"</f>
        <v>Descripcion:UPS U-1200 4 TOMAS - UPS DE 1Kva MONTAJE EN RACK  Estado: Excelente Placa anterior: 000037255 Material: PASTA Color: NEGRO Referencia: UPS U-1200 Observacion:  Placa padre:  Tipo adquisicion : Entidad</v>
      </c>
      <c r="G19936" s="5" t="str">
        <f t="shared" si="1016"/>
        <v>U-1200</v>
      </c>
    </row>
    <row r="19937" spans="1:7" ht="58.5" customHeight="1" x14ac:dyDescent="0.25">
      <c r="A19937" s="5" t="str">
        <f>"H0002406"</f>
        <v>H0002406</v>
      </c>
      <c r="B19937" s="5" t="str">
        <f>"COMPUTADOR TODO EN UNO"</f>
        <v>COMPUTADOR TODO EN UNO</v>
      </c>
      <c r="C19937" s="6">
        <v>2470000</v>
      </c>
      <c r="D19937" s="5"/>
      <c r="E19937" s="5" t="str">
        <f t="shared" si="1014"/>
        <v>SISTEMAS-GLOBALTRONIK SAS-SERGIO PATIÑO</v>
      </c>
      <c r="F19937" s="5" t="str">
        <f>"Descripcion:EQUIPO DE COMPUTO TODO EN UNO CON PROCESADOR INTEL i5 Estado: Excelente Placa anterior: 000037277 Material: PASTA Color: NEGRO Referencia: 10BDFDLS Observacion:  Placa anterior:, Placa nueva=H0002407, Descripcion:TECLADO USB LENOVO, Serial:825"&amp; "9065, Marca:LENOVO, Modelo:KU-0225, Material:PASTA, Color:NEGRO,   Referencia:54Y9424, Placa anterior:, Placa nueva=H0002408, Descripcion:MOUSE USB  3 BOTONES, Serial:44PD032, Marca:LENOVO, Modelo:45J4889, Material:PASTA, Color:NEGRO,   Referencia: Placa "&amp; "padre:  Tipo adquisicion : Entidad"</f>
        <v>Descripcion:EQUIPO DE COMPUTO TODO EN UNO CON PROCESADOR INTEL i5 Estado: Excelente Placa anterior: 000037277 Material: PASTA Color: NEGRO Referencia: 10BDFDLS Observacion:  Placa anterior:, Placa nueva=H0002407, Descripcion:TECLADO USB LENOVO, Serial:8259065, Marca:LENOVO, Modelo:KU-0225, Material:PASTA, Color:NEGRO,   Referencia:54Y9424, Placa anterior:, Placa nueva=H0002408, Descripcion:MOUSE USB  3 BOTONES, Serial:44PD032, Marca:LENOVO, Modelo:45J4889, Material:PASTA, Color:NEGRO,   Referencia: Placa padre:  Tipo adquisicion : Entidad</v>
      </c>
      <c r="G19937" s="5" t="str">
        <f>"00FDLS"</f>
        <v>00FDLS</v>
      </c>
    </row>
    <row r="19938" spans="1:7" ht="58.5" customHeight="1" x14ac:dyDescent="0.25">
      <c r="A19938" s="5" t="str">
        <f>"H0002659"</f>
        <v>H0002659</v>
      </c>
      <c r="B19938" s="5" t="str">
        <f t="shared" ref="B19938:B19949" si="1017">"ENRUTADOR (ROUTER) INALAMBRICO (ACCES POINT)"</f>
        <v>ENRUTADOR (ROUTER) INALAMBRICO (ACCES POINT)</v>
      </c>
      <c r="C19938" s="6">
        <v>323640</v>
      </c>
      <c r="D19938" s="5"/>
      <c r="E19938" s="5" t="str">
        <f t="shared" si="1014"/>
        <v>SISTEMAS-GLOBALTRONIK SAS-SERGIO PATIÑO</v>
      </c>
      <c r="F19938" s="5" t="str">
        <f>"Descripcion:INDOOR ACCESS POINT, 3 ANTENAS DE COLOR GRIS, CABLE DE RED, CARGADOR Estado: Excelente Placa anterior: 000037060 Material: PASTA Color: BLANCO Y GRIS Referencia:  Observacion:  Placa padre:  Tipo adquisicion : Entidad"</f>
        <v>Descripcion:INDOOR ACCESS POINT, 3 ANTENAS DE COLOR GRIS, CABLE DE RED, CARGADOR Estado: Excelente Placa anterior: 000037060 Material: PASTA Color: BLANCO Y GRIS Referencia:  Observacion:  Placa padre:  Tipo adquisicion : Entidad</v>
      </c>
      <c r="G19938" s="5" t="str">
        <f t="shared" ref="G19938:G19949" si="1018">"TL-WA901ND"</f>
        <v>TL-WA901ND</v>
      </c>
    </row>
    <row r="19939" spans="1:7" ht="58.5" customHeight="1" x14ac:dyDescent="0.25">
      <c r="A19939" s="5" t="str">
        <f>"H0002660"</f>
        <v>H0002660</v>
      </c>
      <c r="B19939" s="5" t="str">
        <f t="shared" si="1017"/>
        <v>ENRUTADOR (ROUTER) INALAMBRICO (ACCES POINT)</v>
      </c>
      <c r="C19939" s="6">
        <v>323640</v>
      </c>
      <c r="D19939" s="5"/>
      <c r="E19939" s="5" t="str">
        <f t="shared" si="1014"/>
        <v>SISTEMAS-GLOBALTRONIK SAS-SERGIO PATIÑO</v>
      </c>
      <c r="F19939" s="5" t="str">
        <f>"Descripcion:INDOOR ACCESS POINTINDOOR ACCESS POINT, 3 ANTENAS DE COLOR GRIS, CABLE DE RED, CARGADOR Estado: Excelente Placa anterior: 000037061 Material: PASTA Color: BLANCO Y GRIS Referencia:  Observacion:  Placa padre:  Tipo adquisicion : Entidad"</f>
        <v>Descripcion:INDOOR ACCESS POINTINDOOR ACCESS POINT, 3 ANTENAS DE COLOR GRIS, CABLE DE RED, CARGADOR Estado: Excelente Placa anterior: 000037061 Material: PASTA Color: BLANCO Y GRIS Referencia:  Observacion:  Placa padre:  Tipo adquisicion : Entidad</v>
      </c>
      <c r="G19939" s="5" t="str">
        <f t="shared" si="1018"/>
        <v>TL-WA901ND</v>
      </c>
    </row>
    <row r="19940" spans="1:7" ht="58.5" customHeight="1" x14ac:dyDescent="0.25">
      <c r="A19940" s="5" t="str">
        <f>"H0002662"</f>
        <v>H0002662</v>
      </c>
      <c r="B19940" s="5" t="str">
        <f t="shared" si="1017"/>
        <v>ENRUTADOR (ROUTER) INALAMBRICO (ACCES POINT)</v>
      </c>
      <c r="C19940" s="6">
        <v>323640</v>
      </c>
      <c r="D19940" s="5"/>
      <c r="E19940" s="5" t="str">
        <f t="shared" si="1014"/>
        <v>SISTEMAS-GLOBALTRONIK SAS-SERGIO PATIÑO</v>
      </c>
      <c r="F19940" s="5" t="str">
        <f>"Descripcion:INDOOR ACCESS POINT, 3 ANTENAS DE COLOR GRIS, CABLE DE RED, CARGADOR Estado: Excelente Placa anterior: 000037062 Material: PASTA Color: BLANCO Y GRIS Referencia:  Observacion:  Placa padre:  Tipo adquisicion : Entidad"</f>
        <v>Descripcion:INDOOR ACCESS POINT, 3 ANTENAS DE COLOR GRIS, CABLE DE RED, CARGADOR Estado: Excelente Placa anterior: 000037062 Material: PASTA Color: BLANCO Y GRIS Referencia:  Observacion:  Placa padre:  Tipo adquisicion : Entidad</v>
      </c>
      <c r="G19940" s="5" t="str">
        <f t="shared" si="1018"/>
        <v>TL-WA901ND</v>
      </c>
    </row>
    <row r="19941" spans="1:7" ht="58.5" customHeight="1" x14ac:dyDescent="0.25">
      <c r="A19941" s="5" t="str">
        <f>"H0002663"</f>
        <v>H0002663</v>
      </c>
      <c r="B19941" s="5" t="str">
        <f t="shared" si="1017"/>
        <v>ENRUTADOR (ROUTER) INALAMBRICO (ACCES POINT)</v>
      </c>
      <c r="C19941" s="6">
        <v>323640</v>
      </c>
      <c r="D19941" s="5"/>
      <c r="E19941" s="5" t="str">
        <f t="shared" si="1014"/>
        <v>SISTEMAS-GLOBALTRONIK SAS-SERGIO PATIÑO</v>
      </c>
      <c r="F19941" s="5" t="str">
        <f>"Descripcion:INDOOR ACCESS POINT, 3 ANTENAS DE COLOR GRIS, CABLE DE RED, CARGADOR Estado: Excelente Placa anterior: 000037064 Material: PASTA Color: BLANCO Y GRIS Referencia:  Observacion:  Placa padre:  Tipo adquisicion : Entidad"</f>
        <v>Descripcion:INDOOR ACCESS POINT, 3 ANTENAS DE COLOR GRIS, CABLE DE RED, CARGADOR Estado: Excelente Placa anterior: 000037064 Material: PASTA Color: BLANCO Y GRIS Referencia:  Observacion:  Placa padre:  Tipo adquisicion : Entidad</v>
      </c>
      <c r="G19941" s="5" t="str">
        <f t="shared" si="1018"/>
        <v>TL-WA901ND</v>
      </c>
    </row>
    <row r="19942" spans="1:7" ht="58.5" customHeight="1" x14ac:dyDescent="0.25">
      <c r="A19942" s="5" t="str">
        <f>"H0002664"</f>
        <v>H0002664</v>
      </c>
      <c r="B19942" s="5" t="str">
        <f t="shared" si="1017"/>
        <v>ENRUTADOR (ROUTER) INALAMBRICO (ACCES POINT)</v>
      </c>
      <c r="C19942" s="6">
        <v>323640</v>
      </c>
      <c r="D19942" s="5"/>
      <c r="E19942" s="5" t="str">
        <f t="shared" si="1014"/>
        <v>SISTEMAS-GLOBALTRONIK SAS-SERGIO PATIÑO</v>
      </c>
      <c r="F19942" s="5" t="str">
        <f>"Descripcion:INDOOR ACCESS POINT, 3 ANTENAS DE COLOR GRIS, CABLE DE RED, CARGADOR Estado: Excelente Placa anterior: 000037065 Material: PASTA Color: BLANCO Y GRIS Referencia:  Observacion:  Placa padre:  Tipo adquisicion : Entidad"</f>
        <v>Descripcion:INDOOR ACCESS POINT, 3 ANTENAS DE COLOR GRIS, CABLE DE RED, CARGADOR Estado: Excelente Placa anterior: 000037065 Material: PASTA Color: BLANCO Y GRIS Referencia:  Observacion:  Placa padre:  Tipo adquisicion : Entidad</v>
      </c>
      <c r="G19942" s="5" t="str">
        <f t="shared" si="1018"/>
        <v>TL-WA901ND</v>
      </c>
    </row>
    <row r="19943" spans="1:7" ht="58.5" customHeight="1" x14ac:dyDescent="0.25">
      <c r="A19943" s="5" t="str">
        <f>"H0002666"</f>
        <v>H0002666</v>
      </c>
      <c r="B19943" s="5" t="str">
        <f t="shared" si="1017"/>
        <v>ENRUTADOR (ROUTER) INALAMBRICO (ACCES POINT)</v>
      </c>
      <c r="C19943" s="6">
        <v>323640</v>
      </c>
      <c r="D19943" s="5"/>
      <c r="E19943" s="5" t="str">
        <f t="shared" si="1014"/>
        <v>SISTEMAS-GLOBALTRONIK SAS-SERGIO PATIÑO</v>
      </c>
      <c r="F19943" s="5" t="str">
        <f>"Descripcion:INDOOR ACCESS POINT, 3 ANTENAS DE COLOR GRIS, CABLE DE RED, CARGADOR Estado: Excelente Placa anterior: 000037067 Material: PASTA Color: BLANCO Y GRIS Referencia:  Observacion:  Placa padre:  Tipo adquisicion : Entidad"</f>
        <v>Descripcion:INDOOR ACCESS POINT, 3 ANTENAS DE COLOR GRIS, CABLE DE RED, CARGADOR Estado: Excelente Placa anterior: 000037067 Material: PASTA Color: BLANCO Y GRIS Referencia:  Observacion:  Placa padre:  Tipo adquisicion : Entidad</v>
      </c>
      <c r="G19943" s="5" t="str">
        <f t="shared" si="1018"/>
        <v>TL-WA901ND</v>
      </c>
    </row>
    <row r="19944" spans="1:7" ht="58.5" customHeight="1" x14ac:dyDescent="0.25">
      <c r="A19944" s="5" t="str">
        <f>"H0002667"</f>
        <v>H0002667</v>
      </c>
      <c r="B19944" s="5" t="str">
        <f t="shared" si="1017"/>
        <v>ENRUTADOR (ROUTER) INALAMBRICO (ACCES POINT)</v>
      </c>
      <c r="C19944" s="6">
        <v>323640</v>
      </c>
      <c r="D19944" s="5"/>
      <c r="E19944" s="5" t="str">
        <f t="shared" si="1014"/>
        <v>SISTEMAS-GLOBALTRONIK SAS-SERGIO PATIÑO</v>
      </c>
      <c r="F19944" s="5" t="str">
        <f>"Descripcion:INDOOR ACCESS POINT, 3 ANTENAS DE COLOR GRIS, CABLE DE RED, CARGADOR Estado: Excelente Placa anterior: 000037068 Material: PASTA Color: BLANCO Y GRIS Referencia:  Observacion:  Placa padre:  Tipo adquisicion : Entidad"</f>
        <v>Descripcion:INDOOR ACCESS POINT, 3 ANTENAS DE COLOR GRIS, CABLE DE RED, CARGADOR Estado: Excelente Placa anterior: 000037068 Material: PASTA Color: BLANCO Y GRIS Referencia:  Observacion:  Placa padre:  Tipo adquisicion : Entidad</v>
      </c>
      <c r="G19944" s="5" t="str">
        <f t="shared" si="1018"/>
        <v>TL-WA901ND</v>
      </c>
    </row>
    <row r="19945" spans="1:7" ht="58.5" customHeight="1" x14ac:dyDescent="0.25">
      <c r="A19945" s="5" t="str">
        <f>"H0002671"</f>
        <v>H0002671</v>
      </c>
      <c r="B19945" s="5" t="str">
        <f t="shared" si="1017"/>
        <v>ENRUTADOR (ROUTER) INALAMBRICO (ACCES POINT)</v>
      </c>
      <c r="C19945" s="6">
        <v>323640</v>
      </c>
      <c r="D19945" s="5"/>
      <c r="E19945" s="5" t="str">
        <f t="shared" si="1014"/>
        <v>SISTEMAS-GLOBALTRONIK SAS-SERGIO PATIÑO</v>
      </c>
      <c r="F19945" s="5" t="str">
        <f>"Descripcion:INDOOR ACCESS POINT, 3 ANTENAS DE COLOR GRIS, CABLE DE RED, CARGADOR Estado: Excelente Placa anterior: 000037072 Material: PASTA Color: BLANCO Y GRIS Referencia:  Observacion:  Placa padre:  Tipo adquisicion : Entidad"</f>
        <v>Descripcion:INDOOR ACCESS POINT, 3 ANTENAS DE COLOR GRIS, CABLE DE RED, CARGADOR Estado: Excelente Placa anterior: 000037072 Material: PASTA Color: BLANCO Y GRIS Referencia:  Observacion:  Placa padre:  Tipo adquisicion : Entidad</v>
      </c>
      <c r="G19945" s="5" t="str">
        <f t="shared" si="1018"/>
        <v>TL-WA901ND</v>
      </c>
    </row>
    <row r="19946" spans="1:7" ht="58.5" customHeight="1" x14ac:dyDescent="0.25">
      <c r="A19946" s="5" t="str">
        <f>"H0002673"</f>
        <v>H0002673</v>
      </c>
      <c r="B19946" s="5" t="str">
        <f t="shared" si="1017"/>
        <v>ENRUTADOR (ROUTER) INALAMBRICO (ACCES POINT)</v>
      </c>
      <c r="C19946" s="6">
        <v>323640</v>
      </c>
      <c r="D19946" s="5"/>
      <c r="E19946" s="5" t="str">
        <f t="shared" si="1014"/>
        <v>SISTEMAS-GLOBALTRONIK SAS-SERGIO PATIÑO</v>
      </c>
      <c r="F19946" s="5" t="str">
        <f>"Descripcion:INDOOR ACCESS POINT, 3 ANTENAS DE COLOR GRIS, CABLE DE RED, CARGADOR Estado: Excelente Placa anterior: 000037074 Material: PASTA Color: BLANCO Y GRIS Referencia:  Observacion:  Placa padre:  Tipo adquisicion : Entidad"</f>
        <v>Descripcion:INDOOR ACCESS POINT, 3 ANTENAS DE COLOR GRIS, CABLE DE RED, CARGADOR Estado: Excelente Placa anterior: 000037074 Material: PASTA Color: BLANCO Y GRIS Referencia:  Observacion:  Placa padre:  Tipo adquisicion : Entidad</v>
      </c>
      <c r="G19946" s="5" t="str">
        <f t="shared" si="1018"/>
        <v>TL-WA901ND</v>
      </c>
    </row>
    <row r="19947" spans="1:7" ht="58.5" customHeight="1" x14ac:dyDescent="0.25">
      <c r="A19947" s="5" t="str">
        <f>"H0002679"</f>
        <v>H0002679</v>
      </c>
      <c r="B19947" s="5" t="str">
        <f t="shared" si="1017"/>
        <v>ENRUTADOR (ROUTER) INALAMBRICO (ACCES POINT)</v>
      </c>
      <c r="C19947" s="6">
        <v>323640</v>
      </c>
      <c r="D19947" s="5"/>
      <c r="E19947" s="5" t="str">
        <f t="shared" si="1014"/>
        <v>SISTEMAS-GLOBALTRONIK SAS-SERGIO PATIÑO</v>
      </c>
      <c r="F19947" s="5" t="str">
        <f>"Descripcion:INDOOR ACCESS POINT, 3 ANTENAS DE COLOR GRIS, CABLE DE RED, CARGADOR Estado: Excelente Placa anterior: 000037080 Material: PASTA Color: BLANCO Y GRIS Referencia:  Observacion:  Placa padre:  Tipo adquisicion : Entidad"</f>
        <v>Descripcion:INDOOR ACCESS POINT, 3 ANTENAS DE COLOR GRIS, CABLE DE RED, CARGADOR Estado: Excelente Placa anterior: 000037080 Material: PASTA Color: BLANCO Y GRIS Referencia:  Observacion:  Placa padre:  Tipo adquisicion : Entidad</v>
      </c>
      <c r="G19947" s="5" t="str">
        <f t="shared" si="1018"/>
        <v>TL-WA901ND</v>
      </c>
    </row>
    <row r="19948" spans="1:7" ht="58.5" customHeight="1" x14ac:dyDescent="0.25">
      <c r="A19948" s="5" t="str">
        <f>"H0002680"</f>
        <v>H0002680</v>
      </c>
      <c r="B19948" s="5" t="str">
        <f t="shared" si="1017"/>
        <v>ENRUTADOR (ROUTER) INALAMBRICO (ACCES POINT)</v>
      </c>
      <c r="C19948" s="6">
        <v>323640</v>
      </c>
      <c r="D19948" s="5"/>
      <c r="E19948" s="5" t="str">
        <f t="shared" si="1014"/>
        <v>SISTEMAS-GLOBALTRONIK SAS-SERGIO PATIÑO</v>
      </c>
      <c r="F19948" s="5" t="str">
        <f>"Descripcion:INDOOR ACCESS POINT, 3 ANTENAS DE COLOR GRIS, CABLE DE RED, CARGADOR Estado: Excelente Placa anterior: 000037081 Material: PASTA Color: BLANCO Y GRIS Referencia:  Observacion:  Placa padre:  Tipo adquisicion : Entidad"</f>
        <v>Descripcion:INDOOR ACCESS POINT, 3 ANTENAS DE COLOR GRIS, CABLE DE RED, CARGADOR Estado: Excelente Placa anterior: 000037081 Material: PASTA Color: BLANCO Y GRIS Referencia:  Observacion:  Placa padre:  Tipo adquisicion : Entidad</v>
      </c>
      <c r="G19948" s="5" t="str">
        <f t="shared" si="1018"/>
        <v>TL-WA901ND</v>
      </c>
    </row>
    <row r="19949" spans="1:7" ht="58.5" customHeight="1" x14ac:dyDescent="0.25">
      <c r="A19949" s="5" t="str">
        <f>"H0002683"</f>
        <v>H0002683</v>
      </c>
      <c r="B19949" s="5" t="str">
        <f t="shared" si="1017"/>
        <v>ENRUTADOR (ROUTER) INALAMBRICO (ACCES POINT)</v>
      </c>
      <c r="C19949" s="6">
        <v>323640</v>
      </c>
      <c r="D19949" s="5"/>
      <c r="E19949" s="5" t="str">
        <f t="shared" si="1014"/>
        <v>SISTEMAS-GLOBALTRONIK SAS-SERGIO PATIÑO</v>
      </c>
      <c r="F19949" s="5" t="str">
        <f>"Descripcion:INDOOR ACCESS POINTINDOOR ACCESS POINT, 3 ANTENAS DE COLOR GRIS, CABLE DE RED, CARGADOR Estado: Excelente Placa anterior: 000037084 Material: PASTA Color: BLANCO Y GRIS Referencia:  Observacion:  Placa padre:  Tipo adquisicion : Entidad"</f>
        <v>Descripcion:INDOOR ACCESS POINTINDOOR ACCESS POINT, 3 ANTENAS DE COLOR GRIS, CABLE DE RED, CARGADOR Estado: Excelente Placa anterior: 000037084 Material: PASTA Color: BLANCO Y GRIS Referencia:  Observacion:  Placa padre:  Tipo adquisicion : Entidad</v>
      </c>
      <c r="G19949" s="5" t="str">
        <f t="shared" si="1018"/>
        <v>TL-WA901ND</v>
      </c>
    </row>
    <row r="19950" spans="1:7" ht="58.5" customHeight="1" x14ac:dyDescent="0.25">
      <c r="A19950" s="5" t="str">
        <f>"H0002695"</f>
        <v>H0002695</v>
      </c>
      <c r="B19950" s="5" t="str">
        <f>"GRABADORA DE VIDEO EN RED (NVR)"</f>
        <v>GRABADORA DE VIDEO EN RED (NVR)</v>
      </c>
      <c r="C19950" s="6">
        <v>1690500</v>
      </c>
      <c r="D19950" s="5"/>
      <c r="E19950" s="5" t="str">
        <f t="shared" si="1014"/>
        <v>SISTEMAS-GLOBALTRONIK SAS-SERGIO PATIÑO</v>
      </c>
      <c r="F19950" s="5" t="str">
        <f>"Descripcion:NVR DE 32 CH CON DOBLE LAN - CONTIENE MOUSE Y CONTROL Estado: Excelente Placa anterior: 000038175 Material: METALICO Color: NEGRO Referencia:  Observacion:  Placa anterior:, Placa nueva=H0002696, Descripcion:MOUSE 3 BOTONES OPTICO - DEL NVR , "&amp; "Serial:, Marca:, Modelo:, Material:PASTA, Color:NEGRO Y GRIS,   Referencia: Placa padre:  Tipo adquisicion : Entidad"</f>
        <v>Descripcion:NVR DE 32 CH CON DOBLE LAN - CONTIENE MOUSE Y CONTROL Estado: Excelente Placa anterior: 000038175 Material: METALICO Color: NEGRO Referencia:  Observacion:  Placa anterior:, Placa nueva=H0002696, Descripcion:MOUSE 3 BOTONES OPTICO - DEL NVR , Serial:, Marca:, Modelo:, Material:PASTA, Color:NEGRO Y GRIS,   Referencia: Placa padre:  Tipo adquisicion : Entidad</v>
      </c>
      <c r="G19950" s="5" t="str">
        <f>"DS7732NI-E4"</f>
        <v>DS7732NI-E4</v>
      </c>
    </row>
    <row r="19951" spans="1:7" ht="58.5" customHeight="1" x14ac:dyDescent="0.25">
      <c r="A19951" s="5" t="str">
        <f>"H0002697"</f>
        <v>H0002697</v>
      </c>
      <c r="B19951" s="5" t="str">
        <f>"GRABADORA DE VIDEO EN RED (NVR)"</f>
        <v>GRABADORA DE VIDEO EN RED (NVR)</v>
      </c>
      <c r="C19951" s="6">
        <v>1690500</v>
      </c>
      <c r="D19951" s="5"/>
      <c r="E19951" s="5" t="str">
        <f t="shared" si="1014"/>
        <v>SISTEMAS-GLOBALTRONIK SAS-SERGIO PATIÑO</v>
      </c>
      <c r="F19951" s="5" t="str">
        <f>"Descripcion:NVR DE 32 CH CON DOBLE LAN - CONTIENE MOUSE Y CONTROL Estado: Excelente Placa anterior: 000038174 Material: METALICO Color: NEGRO Referencia:  Observacion:  Placa anterior:, Placa nueva=H0002698, Descripcion:MOUSE 3 BOTONES OPTICO - DEL NVR, S"&amp; "erial:, Marca:, Modelo:, Material:PASTA, Color:NEGRO Y GRIS,   Referencia: Placa padre:  Tipo adquisicion : Entidad"</f>
        <v>Descripcion:NVR DE 32 CH CON DOBLE LAN - CONTIENE MOUSE Y CONTROL Estado: Excelente Placa anterior: 000038174 Material: METALICO Color: NEGRO Referencia:  Observacion:  Placa anterior:, Placa nueva=H0002698, Descripcion:MOUSE 3 BOTONES OPTICO - DEL NVR, Serial:, Marca:, Modelo:, Material:PASTA, Color:NEGRO Y GRIS,   Referencia: Placa padre:  Tipo adquisicion : Entidad</v>
      </c>
      <c r="G19951" s="5" t="str">
        <f>"DS7732NI-E4"</f>
        <v>DS7732NI-E4</v>
      </c>
    </row>
    <row r="19952" spans="1:7" ht="58.5" customHeight="1" x14ac:dyDescent="0.25">
      <c r="A19952" s="5" t="str">
        <f>"H0002771"</f>
        <v>H0002771</v>
      </c>
      <c r="B19952" s="5" t="str">
        <f>"SWITCH 24 PUERTOS"</f>
        <v>SWITCH 24 PUERTOS</v>
      </c>
      <c r="C19952" s="6">
        <v>2378000</v>
      </c>
      <c r="D19952" s="5"/>
      <c r="E19952" s="5" t="str">
        <f t="shared" si="1014"/>
        <v>SISTEMAS-GLOBALTRONIK SAS-SERGIO PATIÑO</v>
      </c>
      <c r="F19952" s="5" t="str">
        <f>"Descripcion:Switch 24G-PoE (365W) 24 PUERTOS Estado: Excelente Placa anterior: 000037088 Material: METAL Y PASTA Color: NEGRO Referencia:  Observacion:  Placa padre:  Tipo adquisicion : Entidad"</f>
        <v>Descripcion:Switch 24G-PoE (365W) 24 PUERTOS Estado: Excelente Placa anterior: 000037088 Material: METAL Y PASTA Color: NEGRO Referencia:  Observacion:  Placa padre:  Tipo adquisicion : Entidad</v>
      </c>
      <c r="G19952" s="5" t="str">
        <f>"HP-1910-24"</f>
        <v>HP-1910-24</v>
      </c>
    </row>
    <row r="19953" spans="1:7" ht="58.5" customHeight="1" x14ac:dyDescent="0.25">
      <c r="A19953" s="5" t="str">
        <f>"H0004140"</f>
        <v>H0004140</v>
      </c>
      <c r="B19953" s="5" t="str">
        <f>"SWITCH 24 PUERTOS"</f>
        <v>SWITCH 24 PUERTOS</v>
      </c>
      <c r="C19953" s="6">
        <v>6942600</v>
      </c>
      <c r="D19953" s="5"/>
      <c r="E19953" s="5" t="str">
        <f t="shared" si="1014"/>
        <v>SISTEMAS-GLOBALTRONIK SAS-SERGIO PATIÑO</v>
      </c>
      <c r="F19953" s="5" t="str">
        <f>"Descripcion:SWITCH DE 24 PUERTOS Estado: Bueno Placa anterior:  Material: PLASTICO Color: BLANCO Referencia: SUPERSTACK3 Observacion: SE ENCUENTRA EN PISO 1 -RAYOS X Placa padre:  Tipo adquisicion : Entidad"</f>
        <v>Descripcion:SWITCH DE 24 PUERTOS Estado: Bueno Placa anterior:  Material: PLASTICO Color: BLANCO Referencia: SUPERSTACK3 Observacion: SE ENCUENTRA EN PISO 1 -RAYOS X Placa padre:  Tipo adquisicion : Entidad</v>
      </c>
      <c r="G19953" s="5" t="str">
        <f>"4400"</f>
        <v>4400</v>
      </c>
    </row>
    <row r="19954" spans="1:7" ht="58.5" customHeight="1" x14ac:dyDescent="0.25">
      <c r="A19954" s="5" t="str">
        <f>"H0004141"</f>
        <v>H0004141</v>
      </c>
      <c r="B19954" s="5" t="str">
        <f>"PATCH PANEL 24 PUERTOS"</f>
        <v>PATCH PANEL 24 PUERTOS</v>
      </c>
      <c r="C19954" s="6">
        <v>342200</v>
      </c>
      <c r="D19954" s="5"/>
      <c r="E19954" s="5" t="str">
        <f t="shared" si="1014"/>
        <v>SISTEMAS-GLOBALTRONIK SAS-SERGIO PATIÑO</v>
      </c>
      <c r="F19954" s="5" t="str">
        <f>"Descripcion:PATCH PANEL 24 PORT AIM Estado: Bueno Placa anterior: 000022002 Material: METALICA Color:  Referencia:  Observacion: ESTA UBICADO EN PISO 1 - RAYOS X Placa padre: H0004379 Tipo adquisicion : Entidad"</f>
        <v>Descripcion:PATCH PANEL 24 PORT AIM Estado: Bueno Placa anterior: 000022002 Material: METALICA Color:  Referencia:  Observacion: ESTA UBICADO EN PISO 1 - RAYOS X Placa padre: H0004379 Tipo adquisicion : Entidad</v>
      </c>
      <c r="G19954" s="5"/>
    </row>
    <row r="19955" spans="1:7" ht="58.5" customHeight="1" x14ac:dyDescent="0.25">
      <c r="A19955" s="5" t="str">
        <f>"H0004142"</f>
        <v>H0004142</v>
      </c>
      <c r="B19955" s="5" t="str">
        <f>"PATCH PANEL 24 PUERTOS"</f>
        <v>PATCH PANEL 24 PUERTOS</v>
      </c>
      <c r="C19955" s="6">
        <v>342200</v>
      </c>
      <c r="D19955" s="5"/>
      <c r="E19955" s="5" t="str">
        <f t="shared" si="1014"/>
        <v>SISTEMAS-GLOBALTRONIK SAS-SERGIO PATIÑO</v>
      </c>
      <c r="F19955" s="5" t="str">
        <f>"Descripcion:PATCH PANEL 24 PORT AIM Estado: Bueno Placa anterior: 000022003 Material: METALICA Color: GRIS Referencia:  Observacion: ESTA UBICADO EN PISO 1 - RAYOS X Placa padre: H0004379 Tipo adquisicion : Entidad"</f>
        <v>Descripcion:PATCH PANEL 24 PORT AIM Estado: Bueno Placa anterior: 000022003 Material: METALICA Color: GRIS Referencia:  Observacion: ESTA UBICADO EN PISO 1 - RAYOS X Placa padre: H0004379 Tipo adquisicion : Entidad</v>
      </c>
      <c r="G19955" s="5"/>
    </row>
    <row r="19956" spans="1:7" ht="58.5" customHeight="1" x14ac:dyDescent="0.25">
      <c r="A19956" s="5" t="str">
        <f>"H0004207"</f>
        <v>H0004207</v>
      </c>
      <c r="B19956" s="5" t="str">
        <f>"UNIDAD ININTERRUMPIDA DE POTENCIA (UPS) 2.2KW"</f>
        <v>UNIDAD ININTERRUMPIDA DE POTENCIA (UPS) 2.2KW</v>
      </c>
      <c r="C19956" s="6">
        <v>1740000</v>
      </c>
      <c r="D19956" s="5" t="s">
        <v>858</v>
      </c>
      <c r="E19956" s="5" t="str">
        <f t="shared" si="1014"/>
        <v>SISTEMAS-GLOBALTRONIK SAS-SERGIO PATIÑO</v>
      </c>
      <c r="F19956" s="5" t="str">
        <f>"Descripcion: UPS ON LINE 2KVA MONOFASICA 120 VAC MARCA TITAN Estado: Bueno Placa anterior: 000036559 Material: METAL Color: NEGRO Referencia:  Observacion:  Placa padre: Tipo adquisicion: Entidad"</f>
        <v>Descripcion: UPS ON LINE 2KVA MONOFASICA 120 VAC MARCA TITAN Estado: Bueno Placa anterior: 000036559 Material: METAL Color: NEGRO Referencia:  Observacion:  Placa padre: Tipo adquisicion: Entidad</v>
      </c>
      <c r="G19956" s="5" t="str">
        <f>"TITAN 2K"</f>
        <v>TITAN 2K</v>
      </c>
    </row>
    <row r="19957" spans="1:7" ht="58.5" customHeight="1" x14ac:dyDescent="0.25">
      <c r="A19957" s="5" t="str">
        <f>"H0004679"</f>
        <v>H0004679</v>
      </c>
      <c r="B19957" s="5" t="str">
        <f>"ARCHIVADOR METALICO 4 GAVETAS"</f>
        <v>ARCHIVADOR METALICO 4 GAVETAS</v>
      </c>
      <c r="C19957" s="6">
        <v>121820.58</v>
      </c>
      <c r="D19957" s="5"/>
      <c r="E19957" s="5" t="str">
        <f t="shared" si="1014"/>
        <v>SISTEMAS-GLOBALTRONIK SAS-SERGIO PATIÑO</v>
      </c>
      <c r="F19957" s="5" t="str">
        <f>"Descripcion:ARCHIVADOR, MEDIDAS: 133X47X69 CM Estado: Bueno Placa anterior: 000002207 Material: METALICO Color: GRIS Referencia:  Observacion:  Placa padre:  Tipo adquisicion : Entidad"</f>
        <v>Descripcion:ARCHIVADOR, MEDIDAS: 133X47X69 CM Estado: Bueno Placa anterior: 000002207 Material: METALICO Color: GRIS Referencia:  Observacion:  Placa padre:  Tipo adquisicion : Entidad</v>
      </c>
      <c r="G19957" s="5"/>
    </row>
    <row r="19958" spans="1:7" ht="58.5" customHeight="1" x14ac:dyDescent="0.25">
      <c r="A19958" s="5" t="str">
        <f>"H0005357"</f>
        <v>H0005357</v>
      </c>
      <c r="B19958" s="5" t="str">
        <f>"COMPUTADOR DE MESA"</f>
        <v>COMPUTADOR DE MESA</v>
      </c>
      <c r="C19958" s="6">
        <v>1940000</v>
      </c>
      <c r="D19958" s="5"/>
      <c r="E19958" s="5" t="str">
        <f t="shared" si="1014"/>
        <v>SISTEMAS-GLOBALTRONIK SAS-SERGIO PATIÑO</v>
      </c>
      <c r="F19958" s="5" t="str">
        <f>"Descripcion:COMPUTADOR DE ESCRITORIO CLON PROCESADOR CORE DUO DE 7400, MEMORIA DE 2GB, DISCO DURO 320 GB. UTILECTOR DE MEMORIAS, TECLADO MUTIMEDIA MICROSOFT A PRUEBA DE DERRAME LIQUIDO, MOUSE OPTIMO MICROSOFT MONITOR LCD 19 MARCA SAMSUNG 943 NWX Estado: B"&amp; "ueno Placa anterior: 000032815 Material: METALICO Color: NEGRO, GRIS Referencia:  Observacion:  Placa anterior:, Placa nueva=H0005360, Descripcion:., Serial:CM20H9LS222598M, Marca:GENIUS, Modelo:GK-070006/U, Material:PLASTICO, Color:NEGRO,   Referencia:SL"&amp; "IMSTAR 110, Placa anterior:, Placa nueva=H0005361, Descripcion:OPTICO, Serial:, Marca:STARTEC, Modelo:, Material:PLASTICO, Color:NEGRO,   Referencia:3D OPTICAL MOUSE, Placa anterior:, Placa nueva=H0005359, Descripcion:20 PULGADAS, Serial:CM20H9LS222598M, "&amp; "Marca:SAMSUNG, Modelo:SYNC MASTER 2033, Material:PLASTICO, Color:NEGRO,   Referencia: Placa padre:  Tipo adquisicion : Entidad"</f>
        <v>Descripcion:COMPUTADOR DE ESCRITORIO CLON PROCESADOR CORE DUO DE 7400, MEMORIA DE 2GB, DISCO DURO 320 GB. UTILECTOR DE MEMORIAS, TECLADO MUTIMEDIA MICROSOFT A PRUEBA DE DERRAME LIQUIDO, MOUSE OPTIMO MICROSOFT MONITOR LCD 19 MARCA SAMSUNG 943 NWX Estado: Bueno Placa anterior: 000032815 Material: METALICO Color: NEGRO, GRIS Referencia:  Observacion:  Placa anterior:, Placa nueva=H0005360, Descripcion:., Serial:CM20H9LS222598M, Marca:GENIUS, Modelo:GK-070006/U, Material:PLASTICO, Color:NEGRO,   Referencia:SLIMSTAR 110, Placa anterior:, Placa nueva=H0005361, Descripcion:OPTICO, Serial:, Marca:STARTEC, Modelo:, Material:PLASTICO, Color:NEGRO,   Referencia:3D OPTICAL MOUSE, Placa anterior:, Placa nueva=H0005359, Descripcion:20 PULGADAS, Serial:CM20H9LS222598M, Marca:SAMSUNG, Modelo:SYNC MASTER 2033, Material:PLASTICO, Color:NEGRO,   Referencia: Placa padre:  Tipo adquisicion : Entidad</v>
      </c>
      <c r="G19958" s="5"/>
    </row>
    <row r="19959" spans="1:7" ht="58.5" customHeight="1" x14ac:dyDescent="0.25">
      <c r="A19959" s="5" t="str">
        <f>"H0005880"</f>
        <v>H0005880</v>
      </c>
      <c r="B19959" s="5" t="str">
        <f>"UNIDAD ININTERRUMPIDA DE POTENCIA (UPS) 2.2KW"</f>
        <v>UNIDAD ININTERRUMPIDA DE POTENCIA (UPS) 2.2KW</v>
      </c>
      <c r="C19959" s="6">
        <v>220400</v>
      </c>
      <c r="D19959" s="5"/>
      <c r="E19959" s="5" t="str">
        <f t="shared" si="1014"/>
        <v>SISTEMAS-GLOBALTRONIK SAS-SERGIO PATIÑO</v>
      </c>
      <c r="F19959" s="5" t="str">
        <f>"Descripcion: UNIDAD ININTERRUMPIDA DE POTENCIA (UPS) 2.2KW  Estado: Bueno Placa anterior: 000025446 Material: METALICO Color: NEGRO Referencia:  Observacion: AUTORIZADO CRUZAR POR SISTEMAS Placa padre: Tipo adquisicion: Entidad"</f>
        <v>Descripcion: UNIDAD ININTERRUMPIDA DE POTENCIA (UPS) 2.2KW  Estado: Bueno Placa anterior: 000025446 Material: METALICO Color: NEGRO Referencia:  Observacion: AUTORIZADO CRUZAR POR SISTEMAS Placa padre: Tipo adquisicion: Entidad</v>
      </c>
      <c r="G19959" s="5" t="str">
        <f>"VGD 2000 DL"</f>
        <v>VGD 2000 DL</v>
      </c>
    </row>
    <row r="19960" spans="1:7" ht="58.5" customHeight="1" x14ac:dyDescent="0.25">
      <c r="A19960" s="5" t="str">
        <f>"H0005990"</f>
        <v>H0005990</v>
      </c>
      <c r="B19960" s="5" t="str">
        <f>"COMPUTADOR PORTATIL"</f>
        <v>COMPUTADOR PORTATIL</v>
      </c>
      <c r="C19960" s="6">
        <v>2668000</v>
      </c>
      <c r="D19960" s="5"/>
      <c r="E19960" s="5" t="str">
        <f t="shared" si="1014"/>
        <v>SISTEMAS-GLOBALTRONIK SAS-SERGIO PATIÑO</v>
      </c>
      <c r="F19960" s="5" t="str">
        <f>"Descripcion: COMPUTADOR PORTATIL LENOVO WINDOWS 7 PRO INTEL CORE i5 (LA PANTALLA NO ABRE COMPLETAMENTE) Estado: Regular Placa anterior: 000030229 Material: PLASTICO Color: NEGRO Referencia:  Observacion: EL BIEN TIENE PLACA ANTERIOR  000030229, LA CUAL CO"&amp; "RRESPONDE A UN PORTATIL HP. FUNCIONARIO AUTORIZA SE CONCILIE CON PLACA 000030229. Placa anterior:, Placa nueva=H0005991, Descripcion:MOUSE OPTICO, Serial:X4H88381001311, Marca:GENIUS, Modelo:, Material:PLASTINO, Color:NEGRO ,   Referencia: Placa padre: Ti"&amp; "po adquisicion: Entidad"</f>
        <v>Descripcion: COMPUTADOR PORTATIL LENOVO WINDOWS 7 PRO INTEL CORE i5 (LA PANTALLA NO ABRE COMPLETAMENTE) Estado: Regular Placa anterior: 000030229 Material: PLASTICO Color: NEGRO Referencia:  Observacion: EL BIEN TIENE PLACA ANTERIOR  000030229, LA CUAL CORRESPONDE A UN PORTATIL HP. FUNCIONARIO AUTORIZA SE CONCILIE CON PLACA 000030229. Placa anterior:, Placa nueva=H0005991, Descripcion:MOUSE OPTICO, Serial:X4H88381001311, Marca:GENIUS, Modelo:, Material:PLASTINO, Color:NEGRO ,   Referencia: Placa padre: Tipo adquisicion: Entidad</v>
      </c>
      <c r="G19960" s="5" t="str">
        <f>"THINKPAD"</f>
        <v>THINKPAD</v>
      </c>
    </row>
    <row r="19961" spans="1:7" ht="58.5" customHeight="1" x14ac:dyDescent="0.25">
      <c r="A19961" s="5" t="str">
        <f>"H0007125"</f>
        <v>H0007125</v>
      </c>
      <c r="B19961" s="5" t="str">
        <f>"SILLA INTERLOCUTORA (FIJA) SIN BRAZOS"</f>
        <v>SILLA INTERLOCUTORA (FIJA) SIN BRAZOS</v>
      </c>
      <c r="C19961" s="6">
        <v>220400</v>
      </c>
      <c r="D19961" s="5" t="s">
        <v>5</v>
      </c>
      <c r="E19961" s="5" t="str">
        <f t="shared" si="1014"/>
        <v>SISTEMAS-GLOBALTRONIK SAS-SERGIO PATIÑO</v>
      </c>
      <c r="F19961" s="5" t="str">
        <f>"Descripcion: SILLAS INTERLOCUTORAS TAPIZADO DE ALTA DENSIDAD EN ASIENTO Y ESPALDAR PAÑO AZUL Estado: Bueno Placa anterior: 000029521 Material: METALICO Color: AZUL Referencia:  Observacion:  Placa padre: Tipo adquisicion: Entidad"</f>
        <v>Descripcion: SILLAS INTERLOCUTORAS TAPIZADO DE ALTA DENSIDAD EN ASIENTO Y ESPALDAR PAÑO AZUL Estado: Bueno Placa anterior: 000029521 Material: METALICO Color: AZUL Referencia:  Observacion:  Placa padre: Tipo adquisicion: Entidad</v>
      </c>
      <c r="G19961" s="5"/>
    </row>
    <row r="19962" spans="1:7" ht="58.5" customHeight="1" x14ac:dyDescent="0.25">
      <c r="A19962" s="5" t="str">
        <f>"H0007137"</f>
        <v>H0007137</v>
      </c>
      <c r="B19962" s="5" t="str">
        <f>"PUESTO DE TRABAJO EN L"</f>
        <v>PUESTO DE TRABAJO EN L</v>
      </c>
      <c r="C19962" s="6">
        <v>1368800</v>
      </c>
      <c r="D19962" s="5" t="s">
        <v>285</v>
      </c>
      <c r="E19962" s="5" t="str">
        <f t="shared" si="1014"/>
        <v>SISTEMAS-GLOBALTRONIK SAS-SERGIO PATIÑO</v>
      </c>
      <c r="F19962" s="5" t="str">
        <f>"Descripcion: ESCRITORIO LINE ANEXUM EJECUTIVO Estado: Excelente Placa anterior: 000030151 Material: FORMICA Color: NEGRO Referencia:  Observacion:  Placa padre: Tipo adquisicion: Entidad"</f>
        <v>Descripcion: ESCRITORIO LINE ANEXUM EJECUTIVO Estado: Excelente Placa anterior: 000030151 Material: FORMICA Color: NEGRO Referencia:  Observacion:  Placa padre: Tipo adquisicion: Entidad</v>
      </c>
      <c r="G19962" s="5"/>
    </row>
    <row r="19963" spans="1:7" ht="58.5" customHeight="1" x14ac:dyDescent="0.25">
      <c r="A19963" s="5" t="str">
        <f>"H0007524"</f>
        <v>H0007524</v>
      </c>
      <c r="B19963" s="5" t="str">
        <f>"LECTOR DE HUELLAS DIGITALES"</f>
        <v>LECTOR DE HUELLAS DIGITALES</v>
      </c>
      <c r="C19963" s="6">
        <v>852600</v>
      </c>
      <c r="D19963" s="5" t="s">
        <v>519</v>
      </c>
      <c r="E19963" s="5" t="str">
        <f t="shared" si="1014"/>
        <v>SISTEMAS-GLOBALTRONIK SAS-SERGIO PATIÑO</v>
      </c>
      <c r="F19963" s="5" t="str">
        <f>"Descripcion: EQUIPO CONTROL BIOMETRICO CON WI-FI LECTOR DE PROXIMIDAD Y BATERIA DE 4-6 HORAS PARA 3.000 USUARIOS Estado: Bueno Placa anterior: 000030197 Material: PASTA Color: NEGRO Referencia:  Observacion: UBICADO EN URGENCIAS PEDIATRICAS Placa padre: T"&amp; "ipo adquisicion: Entidad"</f>
        <v>Descripcion: EQUIPO CONTROL BIOMETRICO CON WI-FI LECTOR DE PROXIMIDAD Y BATERIA DE 4-6 HORAS PARA 3.000 USUARIOS Estado: Bueno Placa anterior: 000030197 Material: PASTA Color: NEGRO Referencia:  Observacion: UBICADO EN URGENCIAS PEDIATRICAS Placa padre: Tipo adquisicion: Entidad</v>
      </c>
      <c r="G19963" s="5"/>
    </row>
    <row r="19964" spans="1:7" ht="58.5" customHeight="1" x14ac:dyDescent="0.25">
      <c r="A19964" s="5" t="str">
        <f>"H0009626"</f>
        <v>H0009626</v>
      </c>
      <c r="B19964" s="5" t="str">
        <f>"CAMARA DE VIDEOVIGILANCIA"</f>
        <v>CAMARA DE VIDEOVIGILANCIA</v>
      </c>
      <c r="C19964" s="6">
        <v>371000</v>
      </c>
      <c r="D19964" s="5" t="s">
        <v>213</v>
      </c>
      <c r="E19964" s="5" t="str">
        <f t="shared" si="1014"/>
        <v>SISTEMAS-GLOBALTRONIK SAS-SERGIO PATIÑO</v>
      </c>
      <c r="F19964" s="5" t="str">
        <f>"Descripcion: CAMARA DE VIDEOVIGILANCIA Estado: Bueno Placa anterior: 000038207 Material: PASTA Color: BLANCO Referencia:  Observacion:  Placa padre: Tipo adquisicion: Entidad"</f>
        <v>Descripcion: CAMARA DE VIDEOVIGILANCIA Estado: Bueno Placa anterior: 000038207 Material: PASTA Color: BLANCO Referencia:  Observacion:  Placa padre: Tipo adquisicion: Entidad</v>
      </c>
      <c r="G19964" s="5"/>
    </row>
    <row r="19965" spans="1:7" ht="58.5" customHeight="1" x14ac:dyDescent="0.25">
      <c r="A19965" s="5" t="str">
        <f>"H0010723"</f>
        <v>H0010723</v>
      </c>
      <c r="B19965" s="5" t="str">
        <f>"MESA METALICA AUXILIAR"</f>
        <v>MESA METALICA AUXILIAR</v>
      </c>
      <c r="C19965" s="6">
        <v>41886</v>
      </c>
      <c r="D19965" s="5"/>
      <c r="E19965" s="5" t="str">
        <f t="shared" ref="E19965:E20028" si="1019">"SISTEMAS-GLOBALTRONIK SAS-SERGIO PATIÑO"</f>
        <v>SISTEMAS-GLOBALTRONIK SAS-SERGIO PATIÑO</v>
      </c>
      <c r="F19965" s="5" t="str">
        <f>"Descripcion:MESA DE LECTURA Estado: Bueno Placa anterior: 000025503 Material: METALICO Color: GRIS Referencia:  Observacion: SE ENCUENTRA UBICADO EN EL AREA DE RADICACION PISO 2 Placa padre:  Tipo adquisicion : Entidad"</f>
        <v>Descripcion:MESA DE LECTURA Estado: Bueno Placa anterior: 000025503 Material: METALICO Color: GRIS Referencia:  Observacion: SE ENCUENTRA UBICADO EN EL AREA DE RADICACION PISO 2 Placa padre:  Tipo adquisicion : Entidad</v>
      </c>
      <c r="G19965" s="5"/>
    </row>
    <row r="19966" spans="1:7" ht="58.5" customHeight="1" x14ac:dyDescent="0.25">
      <c r="A19966" s="5" t="str">
        <f>"H0012502"</f>
        <v>H0012502</v>
      </c>
      <c r="B19966" s="5" t="str">
        <f>"CAMARA DE VIDEOVIGILANCIA"</f>
        <v>CAMARA DE VIDEOVIGILANCIA</v>
      </c>
      <c r="C19966" s="6">
        <v>371000</v>
      </c>
      <c r="D19966" s="5" t="s">
        <v>213</v>
      </c>
      <c r="E19966" s="5" t="str">
        <f t="shared" si="1019"/>
        <v>SISTEMAS-GLOBALTRONIK SAS-SERGIO PATIÑO</v>
      </c>
      <c r="F19966" s="5" t="str">
        <f>"Descripcion: CAMARA IP TIPO DOMO 2 MPX LENTE DE 2.8 mm PoE 1/3 (WI-FI) Estado: Bueno Placa anterior: 000038218 Material: PLASTICO Color: BLANCO Referencia:  Observacion:  Placa padre: Tipo adquisicion: Entidad"</f>
        <v>Descripcion: CAMARA IP TIPO DOMO 2 MPX LENTE DE 2.8 mm PoE 1/3 (WI-FI) Estado: Bueno Placa anterior: 000038218 Material: PLASTICO Color: BLANCO Referencia:  Observacion:  Placa padre: Tipo adquisicion: Entidad</v>
      </c>
      <c r="G19966" s="5"/>
    </row>
    <row r="19967" spans="1:7" ht="58.5" customHeight="1" x14ac:dyDescent="0.25">
      <c r="A19967" s="5" t="str">
        <f>"H0016347"</f>
        <v>H0016347</v>
      </c>
      <c r="B19967" s="5" t="str">
        <f>"IMPRESORA MATRIZ DE PUNTOS"</f>
        <v>IMPRESORA MATRIZ DE PUNTOS</v>
      </c>
      <c r="C19967" s="6">
        <v>2146000</v>
      </c>
      <c r="D19967" s="5"/>
      <c r="E19967" s="5" t="str">
        <f t="shared" si="1019"/>
        <v>SISTEMAS-GLOBALTRONIK SAS-SERGIO PATIÑO</v>
      </c>
      <c r="F19967" s="5" t="str">
        <f>"Descripcion: IMPRESORA EPSON FX 2190 CARRO ANCHO Estado: Regular Placa anterior: 000026334 Material: PASTA Color: GRIS Referencia: P362U Observacion:  Placa padre: Tipo adquisicion: Entidad"</f>
        <v>Descripcion: IMPRESORA EPSON FX 2190 CARRO ANCHO Estado: Regular Placa anterior: 000026334 Material: PASTA Color: GRIS Referencia: P362U Observacion:  Placa padre: Tipo adquisicion: Entidad</v>
      </c>
      <c r="G19967" s="5" t="str">
        <f>"FX 2190"</f>
        <v>FX 2190</v>
      </c>
    </row>
    <row r="19968" spans="1:7" ht="58.5" customHeight="1" x14ac:dyDescent="0.25">
      <c r="A19968" s="5" t="str">
        <f>"H0016377"</f>
        <v>H0016377</v>
      </c>
      <c r="B19968" s="5" t="str">
        <f>"LECTOR DE HUELLAS DIGITALES"</f>
        <v>LECTOR DE HUELLAS DIGITALES</v>
      </c>
      <c r="C19968" s="6">
        <v>852600</v>
      </c>
      <c r="D19968" s="5" t="s">
        <v>519</v>
      </c>
      <c r="E19968" s="5" t="str">
        <f t="shared" si="1019"/>
        <v>SISTEMAS-GLOBALTRONIK SAS-SERGIO PATIÑO</v>
      </c>
      <c r="F19968" s="5" t="str">
        <f>"Descripcion: LECTOR HUELLAS Estado: Bueno Placa anterior: 000030195 Material: PASTA Color: NEGRO Referencia:  Observacion: CONSULTA EXTERNA  RESPONSABILIDAD DE TALENTO HUMANO Placa padre: Tipo adquisicion: Entidad"</f>
        <v>Descripcion: LECTOR HUELLAS Estado: Bueno Placa anterior: 000030195 Material: PASTA Color: NEGRO Referencia:  Observacion: CONSULTA EXTERNA  RESPONSABILIDAD DE TALENTO HUMANO Placa padre: Tipo adquisicion: Entidad</v>
      </c>
      <c r="G19968" s="5"/>
    </row>
    <row r="19969" spans="1:7" ht="58.5" customHeight="1" x14ac:dyDescent="0.25">
      <c r="A19969" s="5" t="str">
        <f>"H0016715"</f>
        <v>H0016715</v>
      </c>
      <c r="B19969" s="5" t="str">
        <f>"IMPRESORA MATRIZ DE PUNTOS"</f>
        <v>IMPRESORA MATRIZ DE PUNTOS</v>
      </c>
      <c r="C19969" s="6">
        <v>2146000</v>
      </c>
      <c r="D19969" s="5"/>
      <c r="E19969" s="5" t="str">
        <f t="shared" si="1019"/>
        <v>SISTEMAS-GLOBALTRONIK SAS-SERGIO PATIÑO</v>
      </c>
      <c r="F19969" s="5" t="str">
        <f>"Descripcion: IMPRESORA EPSON FX 2190 DE CARRO ANCHO Estado: Bueno Placa anterior: 000033507 Material: PASTA Color: GRIS Referencia: P362U Observacion:  Placa padre: Tipo adquisicion: Entidad"</f>
        <v>Descripcion: IMPRESORA EPSON FX 2190 DE CARRO ANCHO Estado: Bueno Placa anterior: 000033507 Material: PASTA Color: GRIS Referencia: P362U Observacion:  Placa padre: Tipo adquisicion: Entidad</v>
      </c>
      <c r="G19969" s="5" t="str">
        <f>"FX 2190"</f>
        <v>FX 2190</v>
      </c>
    </row>
    <row r="19970" spans="1:7" ht="58.5" customHeight="1" x14ac:dyDescent="0.25">
      <c r="A19970" s="5" t="str">
        <f>"H0017645"</f>
        <v>H0017645</v>
      </c>
      <c r="B19970" s="5" t="str">
        <f>"SWITCH 24 PUERTOS"</f>
        <v>SWITCH 24 PUERTOS</v>
      </c>
      <c r="C19970" s="6">
        <v>915000</v>
      </c>
      <c r="D19970" s="5" t="s">
        <v>51</v>
      </c>
      <c r="E19970" s="5" t="str">
        <f t="shared" si="1019"/>
        <v>SISTEMAS-GLOBALTRONIK SAS-SERGIO PATIÑO</v>
      </c>
      <c r="F19970" s="5" t="str">
        <f>"Descripcion:SWTCH 1910 24 PTOS GIGA CAPA 3 ADMINISTRABLE Estado: Bueno Placa anterior: 000032659 Material: METALICO Color:  Referencia:  Observacion: ESTA UBICADO EN ALMACEN Placa padre:  Tipo adquisicion : Entidad"</f>
        <v>Descripcion:SWTCH 1910 24 PTOS GIGA CAPA 3 ADMINISTRABLE Estado: Bueno Placa anterior: 000032659 Material: METALICO Color:  Referencia:  Observacion: ESTA UBICADO EN ALMACEN Placa padre:  Tipo adquisicion : Entidad</v>
      </c>
      <c r="G19970" s="5" t="str">
        <f>"B1910-24G JE006A"</f>
        <v>B1910-24G JE006A</v>
      </c>
    </row>
    <row r="19971" spans="1:7" ht="58.5" customHeight="1" x14ac:dyDescent="0.25">
      <c r="A19971" s="5" t="str">
        <f>"H0017646"</f>
        <v>H0017646</v>
      </c>
      <c r="B19971" s="5" t="str">
        <f>"SWITCH 24 PUERTOS"</f>
        <v>SWITCH 24 PUERTOS</v>
      </c>
      <c r="C19971" s="6">
        <v>6942600</v>
      </c>
      <c r="D19971" s="5"/>
      <c r="E19971" s="5" t="str">
        <f t="shared" si="1019"/>
        <v>SISTEMAS-GLOBALTRONIK SAS-SERGIO PATIÑO</v>
      </c>
      <c r="F19971" s="5" t="str">
        <f>"Descripcion:SWITH 3 COM 24 PORT 3300 100 BASET Estado: Bueno Placa anterior: 000022010 Material: METALICO Color: PLATEADO Referencia:  Observacion: ESTA UBICADO EN ALMACEN Placa padre:  Tipo adquisicion : Entidad"</f>
        <v>Descripcion:SWITH 3 COM 24 PORT 3300 100 BASET Estado: Bueno Placa anterior: 000022010 Material: METALICO Color: PLATEADO Referencia:  Observacion: ESTA UBICADO EN ALMACEN Placa padre:  Tipo adquisicion : Entidad</v>
      </c>
      <c r="G19971" s="5"/>
    </row>
    <row r="19972" spans="1:7" ht="58.5" customHeight="1" x14ac:dyDescent="0.25">
      <c r="A19972" s="5" t="str">
        <f>"H0017647"</f>
        <v>H0017647</v>
      </c>
      <c r="B19972" s="5" t="str">
        <f>"PATCH PANEL 24 PUERTOS"</f>
        <v>PATCH PANEL 24 PUERTOS</v>
      </c>
      <c r="C19972" s="6">
        <v>342200</v>
      </c>
      <c r="D19972" s="5"/>
      <c r="E19972" s="5" t="str">
        <f t="shared" si="1019"/>
        <v>SISTEMAS-GLOBALTRONIK SAS-SERGIO PATIÑO</v>
      </c>
      <c r="F19972" s="5" t="str">
        <f>"Descripcion:PATCH PANEL 24 PORT AIM Estado: Bueno Placa anterior: 000022004 Material: METALICO Color: NEGRO Referencia:  Observacion: SE ENCUENTRA EN ALMACEN Placa padre:  Tipo adquisicion : Entidad"</f>
        <v>Descripcion:PATCH PANEL 24 PORT AIM Estado: Bueno Placa anterior: 000022004 Material: METALICO Color: NEGRO Referencia:  Observacion: SE ENCUENTRA EN ALMACEN Placa padre:  Tipo adquisicion : Entidad</v>
      </c>
      <c r="G19972" s="5"/>
    </row>
    <row r="19973" spans="1:7" ht="58.5" customHeight="1" x14ac:dyDescent="0.25">
      <c r="A19973" s="5" t="str">
        <f>"H0017648"</f>
        <v>H0017648</v>
      </c>
      <c r="B19973" s="5" t="str">
        <f>"PATCH PANEL 24 PUERTOS"</f>
        <v>PATCH PANEL 24 PUERTOS</v>
      </c>
      <c r="C19973" s="6">
        <v>342200</v>
      </c>
      <c r="D19973" s="5"/>
      <c r="E19973" s="5" t="str">
        <f t="shared" si="1019"/>
        <v>SISTEMAS-GLOBALTRONIK SAS-SERGIO PATIÑO</v>
      </c>
      <c r="F19973" s="5" t="str">
        <f>"Descripcion:PATCH PANEL 24 PORT AIM Estado: Bueno Placa anterior: 000022000 Material: METALICO Color: NEGRO Referencia:  Observacion: SE ENCUENTRA EN ALMACEN  FUNCIONARIO AUTORIZA SE CONCILIE CON PLACA 000022000 Placa padre:  Tipo adquisicion : Entidad"</f>
        <v>Descripcion:PATCH PANEL 24 PORT AIM Estado: Bueno Placa anterior: 000022000 Material: METALICO Color: NEGRO Referencia:  Observacion: SE ENCUENTRA EN ALMACEN  FUNCIONARIO AUTORIZA SE CONCILIE CON PLACA 000022000 Placa padre:  Tipo adquisicion : Entidad</v>
      </c>
      <c r="G19973" s="5"/>
    </row>
    <row r="19974" spans="1:7" ht="58.5" customHeight="1" x14ac:dyDescent="0.25">
      <c r="A19974" s="5" t="str">
        <f>"H0017649"</f>
        <v>H0017649</v>
      </c>
      <c r="B19974" s="5" t="str">
        <f>"RACK (GABINETE) DE SOBREMURO"</f>
        <v>RACK (GABINETE) DE SOBREMURO</v>
      </c>
      <c r="C19974" s="6">
        <v>1276000</v>
      </c>
      <c r="D19974" s="5"/>
      <c r="E19974" s="5" t="str">
        <f t="shared" si="1019"/>
        <v>SISTEMAS-GLOBALTRONIK SAS-SERGIO PATIÑO</v>
      </c>
      <c r="F19974" s="5" t="str">
        <f>"Descripcion:RACJ (GABINETE DONDE SE COLOCAN SWICHES)GAVINETE AEREO  CON CHAPA DE SEGURIDAD Estado: Bueno Placa anterior: 000022006 Material: METALICO Color: BEIGE Referencia:  Observacion: SE ENCUENTRA EN ALMACEN Placa padre:  Tipo adquisicion : Entidad"</f>
        <v>Descripcion:RACJ (GABINETE DONDE SE COLOCAN SWICHES)GAVINETE AEREO  CON CHAPA DE SEGURIDAD Estado: Bueno Placa anterior: 000022006 Material: METALICO Color: BEIGE Referencia:  Observacion: SE ENCUENTRA EN ALMACEN Placa padre:  Tipo adquisicion : Entidad</v>
      </c>
      <c r="G19974" s="5"/>
    </row>
    <row r="19975" spans="1:7" ht="58.5" customHeight="1" x14ac:dyDescent="0.25">
      <c r="A19975" s="5" t="str">
        <f>"H0017680"</f>
        <v>H0017680</v>
      </c>
      <c r="B19975" s="5" t="str">
        <f>"SWITCH 24 PUERTOS"</f>
        <v>SWITCH 24 PUERTOS</v>
      </c>
      <c r="C19975" s="6">
        <v>6942600</v>
      </c>
      <c r="D19975" s="5"/>
      <c r="E19975" s="5" t="str">
        <f t="shared" si="1019"/>
        <v>SISTEMAS-GLOBALTRONIK SAS-SERGIO PATIÑO</v>
      </c>
      <c r="F19975" s="5" t="str">
        <f>"Descripcion:SWITCH DE FIBRA OPTICA Estado: Bueno Placa anterior:  Material: METALICO Color: GRIS Referencia:  Observacion:  Placa padre:  Tipo adquisicion : Entidad"</f>
        <v>Descripcion:SWITCH DE FIBRA OPTICA Estado: Bueno Placa anterior:  Material: METALICO Color: GRIS Referencia:  Observacion:  Placa padre:  Tipo adquisicion : Entidad</v>
      </c>
      <c r="G19975" s="5"/>
    </row>
    <row r="19976" spans="1:7" ht="58.5" customHeight="1" x14ac:dyDescent="0.25">
      <c r="A19976" s="5" t="str">
        <f>"H0017726"</f>
        <v>H0017726</v>
      </c>
      <c r="B19976" s="5" t="str">
        <f>"COMPUTADOR TODO EN UNO"</f>
        <v>COMPUTADOR TODO EN UNO</v>
      </c>
      <c r="C19976" s="6">
        <v>1755000</v>
      </c>
      <c r="D19976" s="5" t="s">
        <v>519</v>
      </c>
      <c r="E19976" s="5" t="str">
        <f t="shared" si="1019"/>
        <v>SISTEMAS-GLOBALTRONIK SAS-SERGIO PATIÑO</v>
      </c>
      <c r="F19976" s="5" t="str">
        <f>"Descripcion:EQUIPO DE COMPUTO INTELL PENTIUM DOBLE NUCLEO 2.6 GHZ DDR3 1 TB DE DD TODO EN UNO Estado: Bueno Placa anterior: 000030187 Material: PLASTICO Color: NEGRO Referencia:  Observacion: ESTE EQUIPO SE ENCUENTRA EN SISTEMAS PERO ES DE OTRA DEPENDENCI"&amp; "A Placa anterior:, Placa nueva=H0017727, Descripcion:TECLADO USB, Serial:BDMHG0C5Y5X1DQ, Marca:HP, Modelo:KU-1156, Material:PLASTICO, Color:NEGRO,   Referencia:, Placa anterior:, Placa nueva=H0017728, Descripcion:MOUSE USB, Serial:674316-001, Marca:HP, Mo"&amp; "delo:, Material:PLASTICO, Color:NEGRO,   Referencia: Placa padre:  Tipo adquisicion : Entidad"</f>
        <v>Descripcion:EQUIPO DE COMPUTO INTELL PENTIUM DOBLE NUCLEO 2.6 GHZ DDR3 1 TB DE DD TODO EN UNO Estado: Bueno Placa anterior: 000030187 Material: PLASTICO Color: NEGRO Referencia:  Observacion: ESTE EQUIPO SE ENCUENTRA EN SISTEMAS PERO ES DE OTRA DEPENDENCIA Placa anterior:, Placa nueva=H0017727, Descripcion:TECLADO USB, Serial:BDMHG0C5Y5X1DQ, Marca:HP, Modelo:KU-1156, Material:PLASTICO, Color:NEGRO,   Referencia:, Placa anterior:, Placa nueva=H0017728, Descripcion:MOUSE USB, Serial:674316-001, Marca:HP, Modelo:, Material:PLASTICO, Color:NEGRO,   Referencia: Placa padre:  Tipo adquisicion : Entidad</v>
      </c>
      <c r="G19976" s="5" t="str">
        <f>"120-1122LA"</f>
        <v>120-1122LA</v>
      </c>
    </row>
    <row r="19977" spans="1:7" ht="58.5" customHeight="1" x14ac:dyDescent="0.25">
      <c r="A19977" s="5" t="str">
        <f>"H0017743"</f>
        <v>H0017743</v>
      </c>
      <c r="B19977" s="5" t="str">
        <f>"SILLA ERGONOMICA TIPO SECRETARIA SIN BRAZOS"</f>
        <v>SILLA ERGONOMICA TIPO SECRETARIA SIN BRAZOS</v>
      </c>
      <c r="C19977" s="6">
        <v>285592</v>
      </c>
      <c r="D19977" s="5"/>
      <c r="E19977" s="5" t="str">
        <f t="shared" si="1019"/>
        <v>SISTEMAS-GLOBALTRONIK SAS-SERGIO PATIÑO</v>
      </c>
      <c r="F19977" s="5" t="str">
        <f>"Descripcion:SILLA ERGONOMICA ROBIM MEDIA Estado: Bueno Placa anterior: 000025306 Material: PLASTICO Color: AZUL Referencia:  Observacion:  Placa padre:  Tipo adquisicion : Entidad"</f>
        <v>Descripcion:SILLA ERGONOMICA ROBIM MEDIA Estado: Bueno Placa anterior: 000025306 Material: PLASTICO Color: AZUL Referencia:  Observacion:  Placa padre:  Tipo adquisicion : Entidad</v>
      </c>
      <c r="G19977" s="5"/>
    </row>
    <row r="19978" spans="1:7" ht="58.5" customHeight="1" x14ac:dyDescent="0.25">
      <c r="A19978" s="5" t="str">
        <f>"H0017747"</f>
        <v>H0017747</v>
      </c>
      <c r="B19978" s="5" t="str">
        <f>"ESTABILIZADOR  PARA COMPUTADOR"</f>
        <v>ESTABILIZADOR  PARA COMPUTADOR</v>
      </c>
      <c r="C19978" s="6">
        <v>1750000</v>
      </c>
      <c r="D19978" s="5"/>
      <c r="E19978" s="5" t="str">
        <f t="shared" si="1019"/>
        <v>SISTEMAS-GLOBALTRONIK SAS-SERGIO PATIÑO</v>
      </c>
      <c r="F19978" s="5" t="str">
        <f>"Descripcion:ESTABILIZADOR DE VOLTAGE  DE 4 TOMAS Estado: Bueno Placa anterior: 000006824 Material: PLASTICO Color: NEGRO Referencia:  Observacion: FUNCIONARIO AUTORIZA SE CONCILIE CON PLACA 000006824 Placa padre:  Tipo adquisicion : Entidad"</f>
        <v>Descripcion:ESTABILIZADOR DE VOLTAGE  DE 4 TOMAS Estado: Bueno Placa anterior: 000006824 Material: PLASTICO Color: NEGRO Referencia:  Observacion: FUNCIONARIO AUTORIZA SE CONCILIE CON PLACA 000006824 Placa padre:  Tipo adquisicion : Entidad</v>
      </c>
      <c r="G19978" s="5"/>
    </row>
    <row r="19979" spans="1:7" ht="58.5" customHeight="1" x14ac:dyDescent="0.25">
      <c r="A19979" s="5" t="str">
        <f>"H0017758"</f>
        <v>H0017758</v>
      </c>
      <c r="B19979" s="5" t="str">
        <f>"TABLERO ACRILICO"</f>
        <v>TABLERO ACRILICO</v>
      </c>
      <c r="C19979" s="6">
        <v>580000</v>
      </c>
      <c r="D19979" s="5"/>
      <c r="E19979" s="5" t="str">
        <f t="shared" si="1019"/>
        <v>SISTEMAS-GLOBALTRONIK SAS-SERGIO PATIÑO</v>
      </c>
      <c r="F19979" s="5" t="str">
        <f>"Descripcion:TABLERO ACRILICO 100X120 CM Estado: Bueno Placa anterior: 000028996 Material: ACRILICO Color: BLANCO Referencia:  Observacion:  Placa padre:  Tipo adquisicion : Entidad"</f>
        <v>Descripcion:TABLERO ACRILICO 100X120 CM Estado: Bueno Placa anterior: 000028996 Material: ACRILICO Color: BLANCO Referencia:  Observacion:  Placa padre:  Tipo adquisicion : Entidad</v>
      </c>
      <c r="G19979" s="5"/>
    </row>
    <row r="19980" spans="1:7" ht="58.5" customHeight="1" x14ac:dyDescent="0.25">
      <c r="A19980" s="5" t="str">
        <f>"H0017760"</f>
        <v>H0017760</v>
      </c>
      <c r="B19980" s="5" t="str">
        <f>"AIRE ACONDICIONADO DE 36000 BTU PISO TECHO"</f>
        <v>AIRE ACONDICIONADO DE 36000 BTU PISO TECHO</v>
      </c>
      <c r="C19980" s="6">
        <v>2750000</v>
      </c>
      <c r="D19980" s="5" t="s">
        <v>516</v>
      </c>
      <c r="E19980" s="5" t="str">
        <f t="shared" si="1019"/>
        <v>SISTEMAS-GLOBALTRONIK SAS-SERGIO PATIÑO</v>
      </c>
      <c r="F19980" s="5" t="str">
        <f>"Descripcion:AIRE ACONDICIONADO DE 36.000 BTU Estado: Bueno Placa anterior: 000030662 Material: PLASTICO Color: BLANCO Referencia:  Observacion:  Placa anterior:, Placa nueva=H0020690, Descripcion:CONDENSADOR DEL AIRE ACONDICIONADO CON PLACA NUEVA No. H001"&amp; "7760 Y PLACA ANTERIOR No.000030662* SISTEMAS, Serial:C14071112888, Marca:STARLIGHT, Modelo:CV036-1, Material:METALICO, Color:GRIS,   Referencia: Placa padre:  Tipo adquisicion : Entidad"</f>
        <v>Descripcion:AIRE ACONDICIONADO DE 36.000 BTU Estado: Bueno Placa anterior: 000030662 Material: PLASTICO Color: BLANCO Referencia:  Observacion:  Placa anterior:, Placa nueva=H0020690, Descripcion:CONDENSADOR DEL AIRE ACONDICIONADO CON PLACA NUEVA No. H0017760 Y PLACA ANTERIOR No.000030662* SISTEMAS, Serial:C14071112888, Marca:STARLIGHT, Modelo:CV036-1, Material:METALICO, Color:GRIS,   Referencia: Placa padre:  Tipo adquisicion : Entidad</v>
      </c>
      <c r="G19980" s="5" t="str">
        <f>"STARLIGHT"</f>
        <v>STARLIGHT</v>
      </c>
    </row>
    <row r="19981" spans="1:7" ht="58.5" customHeight="1" x14ac:dyDescent="0.25">
      <c r="A19981" s="5" t="str">
        <f>"H0017761"</f>
        <v>H0017761</v>
      </c>
      <c r="B19981" s="5" t="str">
        <f>"CAMARA DE VIDEOVIGILANCIA"</f>
        <v>CAMARA DE VIDEOVIGILANCIA</v>
      </c>
      <c r="C19981" s="6">
        <v>441700</v>
      </c>
      <c r="D19981" s="5" t="s">
        <v>213</v>
      </c>
      <c r="E19981" s="5" t="str">
        <f t="shared" si="1019"/>
        <v>SISTEMAS-GLOBALTRONIK SAS-SERGIO PATIÑO</v>
      </c>
      <c r="F19981" s="5" t="str">
        <f>"Descripcion:CAMARA TIPO DOMO IP 3 MEGAPIXELES Estado: Bueno Placa anterior: 000038177 Material: PLASTICO Color: BLANCO Referencia:  Observacion:  Placa padre:  Tipo adquisicion : Entidad"</f>
        <v>Descripcion:CAMARA TIPO DOMO IP 3 MEGAPIXELES Estado: Bueno Placa anterior: 000038177 Material: PLASTICO Color: BLANCO Referencia:  Observacion:  Placa padre:  Tipo adquisicion : Entidad</v>
      </c>
      <c r="G19981" s="5"/>
    </row>
    <row r="19982" spans="1:7" ht="58.5" customHeight="1" x14ac:dyDescent="0.25">
      <c r="A19982" s="5" t="str">
        <f>"H0017844"</f>
        <v>H0017844</v>
      </c>
      <c r="B19982" s="5" t="str">
        <f>"LECTOR DE HUELLAS DIGITALES"</f>
        <v>LECTOR DE HUELLAS DIGITALES</v>
      </c>
      <c r="C19982" s="6">
        <v>852600</v>
      </c>
      <c r="D19982" s="5" t="s">
        <v>519</v>
      </c>
      <c r="E19982" s="5" t="str">
        <f t="shared" si="1019"/>
        <v>SISTEMAS-GLOBALTRONIK SAS-SERGIO PATIÑO</v>
      </c>
      <c r="F19982" s="5" t="str">
        <f>"Descripcion: EQUIPO CONTROL BIOMETRICO CON WI-FI LECTOR DE PROXIMIDAD Y BATERIA DE 4-6 HORAS PARA 3.000 USUARIOS Estado: Bueno Placa anterior: 000030196 Material: PASTA Color: NEGRO Referencia:  Observacion: UBICADO EN LA SALIDA A MANTENIMIENTO Placa padr"&amp; "e: Tipo adquisicion: Entidad"</f>
        <v>Descripcion: EQUIPO CONTROL BIOMETRICO CON WI-FI LECTOR DE PROXIMIDAD Y BATERIA DE 4-6 HORAS PARA 3.000 USUARIOS Estado: Bueno Placa anterior: 000030196 Material: PASTA Color: NEGRO Referencia:  Observacion: UBICADO EN LA SALIDA A MANTENIMIENTO Placa padre: Tipo adquisicion: Entidad</v>
      </c>
      <c r="G19982" s="5"/>
    </row>
    <row r="19983" spans="1:7" ht="58.5" customHeight="1" x14ac:dyDescent="0.25">
      <c r="A19983" s="5" t="str">
        <f>"H0017964"</f>
        <v>H0017964</v>
      </c>
      <c r="B19983" s="5" t="str">
        <f>"MONITOR LCD"</f>
        <v>MONITOR LCD</v>
      </c>
      <c r="C19983" s="6">
        <v>695000</v>
      </c>
      <c r="D19983" s="5"/>
      <c r="E19983" s="5" t="str">
        <f t="shared" si="1019"/>
        <v>SISTEMAS-GLOBALTRONIK SAS-SERGIO PATIÑO</v>
      </c>
      <c r="F19983" s="5" t="str">
        <f>"Descripcion: MONITOR Estado: Bueno Placa anterior: 000033589 Material: PASTA Color: NEGRO Y GRIS Referencia:  Observacion:  Placa padre: H0017962Tipo adquisicion: Entidad"</f>
        <v>Descripcion: MONITOR Estado: Bueno Placa anterior: 000033589 Material: PASTA Color: NEGRO Y GRIS Referencia:  Observacion:  Placa padre: H0017962Tipo adquisicion: Entidad</v>
      </c>
      <c r="G19983" s="5" t="str">
        <f>"E2200HDALCD"</f>
        <v>E2200HDALCD</v>
      </c>
    </row>
    <row r="19984" spans="1:7" ht="58.5" customHeight="1" x14ac:dyDescent="0.25">
      <c r="A19984" s="5" t="str">
        <f>"H0018311"</f>
        <v>H0018311</v>
      </c>
      <c r="B19984" s="5" t="str">
        <f>"TRANSCEIVER"</f>
        <v>TRANSCEIVER</v>
      </c>
      <c r="C19984" s="6">
        <v>850000</v>
      </c>
      <c r="D19984" s="5"/>
      <c r="E19984" s="5" t="str">
        <f t="shared" si="1019"/>
        <v>SISTEMAS-GLOBALTRONIK SAS-SERGIO PATIÑO</v>
      </c>
      <c r="F19984" s="5" t="str">
        <f>"Descripcion:TRANSEIVER DE RJ45 A FIBRA OPTICA Estado: Bueno Placa anterior:  Material: PLASTICO Color: GRIS OSCURO Referencia:  Observacion:  Placa padre:  Tipo adquisicion : Entidad"</f>
        <v>Descripcion:TRANSEIVER DE RJ45 A FIBRA OPTICA Estado: Bueno Placa anterior:  Material: PLASTICO Color: GRIS OSCURO Referencia:  Observacion:  Placa padre:  Tipo adquisicion : Entidad</v>
      </c>
      <c r="G19984" s="5"/>
    </row>
    <row r="19985" spans="1:7" ht="58.5" customHeight="1" x14ac:dyDescent="0.25">
      <c r="A19985" s="5" t="str">
        <f>"H0018312"</f>
        <v>H0018312</v>
      </c>
      <c r="B19985" s="5" t="str">
        <f>"TRANSCEIVER"</f>
        <v>TRANSCEIVER</v>
      </c>
      <c r="C19985" s="6">
        <v>850000</v>
      </c>
      <c r="D19985" s="5"/>
      <c r="E19985" s="5" t="str">
        <f t="shared" si="1019"/>
        <v>SISTEMAS-GLOBALTRONIK SAS-SERGIO PATIÑO</v>
      </c>
      <c r="F19985" s="5" t="str">
        <f>"Descripcion:TRANSEIVER DE RJ45 A FIBRA OPTICA Estado: Bueno Placa anterior: 000029045 Material: PLASTICO Color: GRIS OSCURO Referencia:  Observacion:  Placa padre:  Tipo adquisicion : Entidad"</f>
        <v>Descripcion:TRANSEIVER DE RJ45 A FIBRA OPTICA Estado: Bueno Placa anterior: 000029045 Material: PLASTICO Color: GRIS OSCURO Referencia:  Observacion:  Placa padre:  Tipo adquisicion : Entidad</v>
      </c>
      <c r="G19985" s="5"/>
    </row>
    <row r="19986" spans="1:7" ht="58.5" customHeight="1" x14ac:dyDescent="0.25">
      <c r="A19986" s="5" t="str">
        <f>"H0018328"</f>
        <v>H0018328</v>
      </c>
      <c r="B19986" s="5" t="str">
        <f>"CPU"</f>
        <v>CPU</v>
      </c>
      <c r="C19986" s="6">
        <v>2264085</v>
      </c>
      <c r="D19986" s="5"/>
      <c r="E19986" s="5" t="str">
        <f t="shared" si="1019"/>
        <v>SISTEMAS-GLOBALTRONIK SAS-SERGIO PATIÑO</v>
      </c>
      <c r="F19986" s="5" t="str">
        <f>"Descripcion:CPU Estado: Bueno Placa anterior: 000025001 Material: PLASTICO Color: NEGRO Referencia:  Observacion: ESTAN PARA TRASLADAR A ALMACEN POR CAMBIO DE TECNOLOGIA Placa padre:  Tipo adquisicion : Entidad"</f>
        <v>Descripcion:CPU Estado: Bueno Placa anterior: 000025001 Material: PLASTICO Color: NEGRO Referencia:  Observacion: ESTAN PARA TRASLADAR A ALMACEN POR CAMBIO DE TECNOLOGIA Placa padre:  Tipo adquisicion : Entidad</v>
      </c>
      <c r="G19986" s="5"/>
    </row>
    <row r="19987" spans="1:7" ht="58.5" customHeight="1" x14ac:dyDescent="0.25">
      <c r="A19987" s="5" t="str">
        <f>"H0018353"</f>
        <v>H0018353</v>
      </c>
      <c r="B19987" s="5" t="str">
        <f>"LOCKER DE 3 COMPARTIMIENTOS"</f>
        <v>LOCKER DE 3 COMPARTIMIENTOS</v>
      </c>
      <c r="C19987" s="6">
        <v>9130</v>
      </c>
      <c r="D19987" s="5"/>
      <c r="E19987" s="5" t="str">
        <f t="shared" si="1019"/>
        <v>SISTEMAS-GLOBALTRONIK SAS-SERGIO PATIÑO</v>
      </c>
      <c r="F19987" s="5" t="str">
        <f>"Descripcion:LOCKER TIPO B (3 PUESTOS) Estado: Bueno Placa anterior: 000008313 Material: METALICO Color: GRIS Referencia:  Observacion:  Placa padre:  Tipo adquisicion : Entidad"</f>
        <v>Descripcion:LOCKER TIPO B (3 PUESTOS) Estado: Bueno Placa anterior: 000008313 Material: METALICO Color: GRIS Referencia:  Observacion:  Placa padre:  Tipo adquisicion : Entidad</v>
      </c>
      <c r="G19987" s="5"/>
    </row>
    <row r="19988" spans="1:7" ht="58.5" customHeight="1" x14ac:dyDescent="0.25">
      <c r="A19988" s="5" t="str">
        <f>"H0018354"</f>
        <v>H0018354</v>
      </c>
      <c r="B19988" s="5" t="str">
        <f>"ESTANTE METALICO 5 ENTREPAÑOS"</f>
        <v>ESTANTE METALICO 5 ENTREPAÑOS</v>
      </c>
      <c r="C19988" s="6">
        <v>10167.52</v>
      </c>
      <c r="D19988" s="5"/>
      <c r="E19988" s="5" t="str">
        <f t="shared" si="1019"/>
        <v>SISTEMAS-GLOBALTRONIK SAS-SERGIO PATIÑO</v>
      </c>
      <c r="F19988" s="5" t="str">
        <f>"Descripcion:ESTANTE METALICO Estado: Bueno Placa anterior: 000012551 Material: METALICO Color: GRIS Referencia:  Observacion: FUNCIONARIO AUTORIZA SE CONCILIE CON PLACA 000012551 Placa padre:  Tipo adquisicion : Entidad"</f>
        <v>Descripcion:ESTANTE METALICO Estado: Bueno Placa anterior: 000012551 Material: METALICO Color: GRIS Referencia:  Observacion: FUNCIONARIO AUTORIZA SE CONCILIE CON PLACA 000012551 Placa padre:  Tipo adquisicion : Entidad</v>
      </c>
      <c r="G19988" s="5"/>
    </row>
    <row r="19989" spans="1:7" ht="58.5" customHeight="1" x14ac:dyDescent="0.25">
      <c r="A19989" s="5" t="str">
        <f>"H0018356"</f>
        <v>H0018356</v>
      </c>
      <c r="B19989" s="5" t="str">
        <f>"TALADRO"</f>
        <v>TALADRO</v>
      </c>
      <c r="C19989" s="6">
        <v>1049900.21</v>
      </c>
      <c r="D19989" s="5" t="s">
        <v>752</v>
      </c>
      <c r="E19989" s="5" t="str">
        <f t="shared" si="1019"/>
        <v>SISTEMAS-GLOBALTRONIK SAS-SERGIO PATIÑO</v>
      </c>
      <c r="F19989" s="5" t="str">
        <f>"Descripcion:TALADRO PERCUTOR INALABRICO 1/2 18V DCD950KX (MANTENIMIENTO SISTEMAS) Estado: Bueno Placa anterior: 000036505 Material: PLASTICO Color: AMARILLO CON NEGRO Referencia:  Observacion:  Placa padre:  Tipo adquisicion : Entidad"</f>
        <v>Descripcion:TALADRO PERCUTOR INALABRICO 1/2 18V DCD950KX (MANTENIMIENTO SISTEMAS) Estado: Bueno Placa anterior: 000036505 Material: PLASTICO Color: AMARILLO CON NEGRO Referencia:  Observacion:  Placa padre:  Tipo adquisicion : Entidad</v>
      </c>
      <c r="G19989" s="5"/>
    </row>
    <row r="19990" spans="1:7" ht="58.5" customHeight="1" x14ac:dyDescent="0.25">
      <c r="A19990" s="5" t="str">
        <f>"H0018358"</f>
        <v>H0018358</v>
      </c>
      <c r="B19990" s="5" t="str">
        <f>"MONITOR LCD"</f>
        <v>MONITOR LCD</v>
      </c>
      <c r="C19990" s="6">
        <v>760000</v>
      </c>
      <c r="D19990" s="5"/>
      <c r="E19990" s="5" t="str">
        <f t="shared" si="1019"/>
        <v>SISTEMAS-GLOBALTRONIK SAS-SERGIO PATIÑO</v>
      </c>
      <c r="F19990" s="5" t="str">
        <f>"Descripcion:MONITOR LG DE 18.5 LCD Estado: Bueno Placa anterior: 000033543 Material: PLASTICO Color: NEGRO Referencia:  Observacion:  Placa padre:  Tipo adquisicion : Entidad"</f>
        <v>Descripcion:MONITOR LG DE 18.5 LCD Estado: Bueno Placa anterior: 000033543 Material: PLASTICO Color: NEGRO Referencia:  Observacion:  Placa padre:  Tipo adquisicion : Entidad</v>
      </c>
      <c r="G19990" s="5"/>
    </row>
    <row r="19991" spans="1:7" ht="58.5" customHeight="1" x14ac:dyDescent="0.25">
      <c r="A19991" s="5" t="str">
        <f>"H0018362"</f>
        <v>H0018362</v>
      </c>
      <c r="B19991" s="5" t="str">
        <f>"SILLA ERGONOMICA TIPO SECRETARIA SIN BRAZOS"</f>
        <v>SILLA ERGONOMICA TIPO SECRETARIA SIN BRAZOS</v>
      </c>
      <c r="C19991" s="6">
        <v>211120</v>
      </c>
      <c r="D19991" s="5"/>
      <c r="E19991" s="5" t="str">
        <f t="shared" si="1019"/>
        <v>SISTEMAS-GLOBALTRONIK SAS-SERGIO PATIÑO</v>
      </c>
      <c r="F19991" s="5" t="str">
        <f>"Descripcion:SILLA ERGONOMICA AT 02 (TA-SECRETARIAL) Estado: Bueno Placa anterior: 000025247 Material: PLASTICO Color: NEGRO Referencia:  Observacion:  Placa padre:  Tipo adquisicion : Entidad"</f>
        <v>Descripcion:SILLA ERGONOMICA AT 02 (TA-SECRETARIAL) Estado: Bueno Placa anterior: 000025247 Material: PLASTICO Color: NEGRO Referencia:  Observacion:  Placa padre:  Tipo adquisicion : Entidad</v>
      </c>
      <c r="G19991" s="5"/>
    </row>
    <row r="19992" spans="1:7" ht="58.5" customHeight="1" x14ac:dyDescent="0.25">
      <c r="A19992" s="5" t="str">
        <f>"H0018502"</f>
        <v>H0018502</v>
      </c>
      <c r="B19992" s="5" t="str">
        <f>"CAMARA DE VIDEOVIGILANCIA"</f>
        <v>CAMARA DE VIDEOVIGILANCIA</v>
      </c>
      <c r="C19992" s="6">
        <v>441700</v>
      </c>
      <c r="D19992" s="5" t="s">
        <v>213</v>
      </c>
      <c r="E19992" s="5" t="str">
        <f t="shared" si="1019"/>
        <v>SISTEMAS-GLOBALTRONIK SAS-SERGIO PATIÑO</v>
      </c>
      <c r="F19992" s="5" t="str">
        <f>"Descripcion:CAMARA DE VIDEO DOMO BLANCA DE IP Estado: Bueno Placa anterior: 000038178 Material: PLASTICO Color: BLANCO Referencia:  Observacion:  Placa padre:  Tipo adquisicion : Entidad"</f>
        <v>Descripcion:CAMARA DE VIDEO DOMO BLANCA DE IP Estado: Bueno Placa anterior: 000038178 Material: PLASTICO Color: BLANCO Referencia:  Observacion:  Placa padre:  Tipo adquisicion : Entidad</v>
      </c>
      <c r="G19992" s="5"/>
    </row>
    <row r="19993" spans="1:7" ht="58.5" customHeight="1" x14ac:dyDescent="0.25">
      <c r="A19993" s="5" t="str">
        <f>"H0018503"</f>
        <v>H0018503</v>
      </c>
      <c r="B19993" s="5" t="str">
        <f>"AIRE ACONDICIONADO TIPO VENTANA 18000 BTU"</f>
        <v>AIRE ACONDICIONADO TIPO VENTANA 18000 BTU</v>
      </c>
      <c r="C19993" s="6">
        <v>1280000</v>
      </c>
      <c r="D19993" s="5" t="s">
        <v>859</v>
      </c>
      <c r="E19993" s="5" t="str">
        <f t="shared" si="1019"/>
        <v>SISTEMAS-GLOBALTRONIK SAS-SERGIO PATIÑO</v>
      </c>
      <c r="F19993" s="5" t="str">
        <f>"Descripcion:AIRE ACONDICIONADO DE 18.000 BTU TIPO VENTANA MACA LG CON CONTROL REMOTO Estado: Bueno Placa anterior: 000029199 Material: PLASTICO Color: BLANCO Referencia:  Observacion:  Placa padre:  Tipo adquisicion : Entidad"</f>
        <v>Descripcion:AIRE ACONDICIONADO DE 18.000 BTU TIPO VENTANA MACA LG CON CONTROL REMOTO Estado: Bueno Placa anterior: 000029199 Material: PLASTICO Color: BLANCO Referencia:  Observacion:  Placa padre:  Tipo adquisicion : Entidad</v>
      </c>
      <c r="G19993" s="5" t="str">
        <f>"GOLD"</f>
        <v>GOLD</v>
      </c>
    </row>
    <row r="19994" spans="1:7" ht="58.5" customHeight="1" x14ac:dyDescent="0.25">
      <c r="A19994" s="5" t="str">
        <f>"H0018507"</f>
        <v>H0018507</v>
      </c>
      <c r="B19994" s="5" t="str">
        <f>"SERVIDOR"</f>
        <v>SERVIDOR</v>
      </c>
      <c r="C19994" s="6">
        <v>17980000</v>
      </c>
      <c r="D19994" s="5"/>
      <c r="E19994" s="5" t="str">
        <f t="shared" si="1019"/>
        <v>SISTEMAS-GLOBALTRONIK SAS-SERGIO PATIÑO</v>
      </c>
      <c r="F19994" s="5" t="str">
        <f>"Descripcion:SERVIDOR MARCA HP. TIPO RACK PROLIANT DL 380 G5 PROCESADOR INTEL XEON 5160 Estado: Bueno Placa anterior: 000025600 Material: METALICO Color: PLATEADO Referencia:  Observacion:  Placa padre:  Tipo adquisicion : Entidad"</f>
        <v>Descripcion:SERVIDOR MARCA HP. TIPO RACK PROLIANT DL 380 G5 PROCESADOR INTEL XEON 5160 Estado: Bueno Placa anterior: 000025600 Material: METALICO Color: PLATEADO Referencia:  Observacion:  Placa padre:  Tipo adquisicion : Entidad</v>
      </c>
      <c r="G19994" s="5" t="str">
        <f>"PROLIANT DL 380 G5"</f>
        <v>PROLIANT DL 380 G5</v>
      </c>
    </row>
    <row r="19995" spans="1:7" ht="58.5" customHeight="1" x14ac:dyDescent="0.25">
      <c r="A19995" s="5" t="str">
        <f>"H0018509"</f>
        <v>H0018509</v>
      </c>
      <c r="B19995" s="5" t="str">
        <f>"SWITCH 10 PUERTOS"</f>
        <v>SWITCH 10 PUERTOS</v>
      </c>
      <c r="C19995" s="6">
        <v>17516000</v>
      </c>
      <c r="D19995" s="5" t="s">
        <v>860</v>
      </c>
      <c r="E19995" s="5" t="str">
        <f t="shared" si="1019"/>
        <v>SISTEMAS-GLOBALTRONIK SAS-SERGIO PATIÑO</v>
      </c>
      <c r="F19995" s="5" t="str">
        <f>"Descripcion:EQUIPO Y/O LICENCIAS FORTINET (APPLIANCE FORTIGATE 300 BUNDIE - 40X10/100/1000 RJ45SWITCH DE 10 PUERTOS Estado: Bueno Placa anterior: 000030836 Material: PLASTICO Color: BLANCO Referencia:  Observacion:  Placa padre:  Tipo adquisicion : Entida"&amp; "d"</f>
        <v>Descripcion:EQUIPO Y/O LICENCIAS FORTINET (APPLIANCE FORTIGATE 300 BUNDIE - 40X10/100/1000 RJ45SWITCH DE 10 PUERTOS Estado: Bueno Placa anterior: 000030836 Material: PLASTICO Color: BLANCO Referencia:  Observacion:  Placa padre:  Tipo adquisicion : Entidad</v>
      </c>
      <c r="G19995" s="5" t="str">
        <f>"SKU:FG-300C-BDL"</f>
        <v>SKU:FG-300C-BDL</v>
      </c>
    </row>
    <row r="19996" spans="1:7" ht="58.5" customHeight="1" x14ac:dyDescent="0.25">
      <c r="A19996" s="5" t="str">
        <f>"H0018512"</f>
        <v>H0018512</v>
      </c>
      <c r="B19996" s="5" t="str">
        <f>"SERVIDOR"</f>
        <v>SERVIDOR</v>
      </c>
      <c r="C19996" s="6">
        <v>1700000</v>
      </c>
      <c r="D19996" s="5"/>
      <c r="E19996" s="5" t="str">
        <f t="shared" si="1019"/>
        <v>SISTEMAS-GLOBALTRONIK SAS-SERGIO PATIÑO</v>
      </c>
      <c r="F19996" s="5" t="str">
        <f>"Descripcion:SERVIDOR MCA HP REF. ML 110 CPU PROC. MEMORIA DE 4GB, DISCO DURO DE 160 GB SATA. UNIDA QUEMADORA DE DVS Estado: Bueno Placa anterior: 000033437 Material: PLASTICO Color: NEGRO Referencia:  Observacion:  Placa padre:  Tipo adquisicion : Entidad"&amp; ""</f>
        <v>Descripcion:SERVIDOR MCA HP REF. ML 110 CPU PROC. MEMORIA DE 4GB, DISCO DURO DE 160 GB SATA. UNIDA QUEMADORA DE DVS Estado: Bueno Placa anterior: 000033437 Material: PLASTICO Color: NEGRO Referencia:  Observacion:  Placa padre:  Tipo adquisicion : Entidad</v>
      </c>
      <c r="G19996" s="5" t="str">
        <f>"PROLIANT ML110"</f>
        <v>PROLIANT ML110</v>
      </c>
    </row>
    <row r="19997" spans="1:7" ht="58.5" customHeight="1" x14ac:dyDescent="0.25">
      <c r="A19997" s="5" t="str">
        <f>"H0018513"</f>
        <v>H0018513</v>
      </c>
      <c r="B19997" s="5" t="str">
        <f>"SWITCH 24 PUERTOS"</f>
        <v>SWITCH 24 PUERTOS</v>
      </c>
      <c r="C19997" s="6">
        <v>1450000</v>
      </c>
      <c r="D19997" s="5"/>
      <c r="E19997" s="5" t="str">
        <f t="shared" si="1019"/>
        <v>SISTEMAS-GLOBALTRONIK SAS-SERGIO PATIÑO</v>
      </c>
      <c r="F19997" s="5" t="str">
        <f>"Descripcion:SWITCH DE 24 PUERTOS Estado: Bueno Placa anterior: 000025602 Material: PLASTICO Color: BLANCO Referencia:  Observacion: FUNCIONARIO AUTORIZA SE CONCILIE CON PLACA 000025602 Placa padre:  Tipo adquisicion : Entidad"</f>
        <v>Descripcion:SWITCH DE 24 PUERTOS Estado: Bueno Placa anterior: 000025602 Material: PLASTICO Color: BLANCO Referencia:  Observacion: FUNCIONARIO AUTORIZA SE CONCILIE CON PLACA 000025602 Placa padre:  Tipo adquisicion : Entidad</v>
      </c>
      <c r="G19997" s="5" t="str">
        <f>"4200G"</f>
        <v>4200G</v>
      </c>
    </row>
    <row r="19998" spans="1:7" ht="58.5" customHeight="1" x14ac:dyDescent="0.25">
      <c r="A19998" s="5" t="str">
        <f>"H0018514"</f>
        <v>H0018514</v>
      </c>
      <c r="B19998" s="5" t="str">
        <f>"SERVIDOR"</f>
        <v>SERVIDOR</v>
      </c>
      <c r="C19998" s="6">
        <v>8352000</v>
      </c>
      <c r="D19998" s="5" t="s">
        <v>861</v>
      </c>
      <c r="E19998" s="5" t="str">
        <f t="shared" si="1019"/>
        <v>SISTEMAS-GLOBALTRONIK SAS-SERGIO PATIÑO</v>
      </c>
      <c r="F19998" s="5" t="str">
        <f>"Descripcion:SERVIDOR HP EQUIPO DE COMPUTO ALTA DISPONIBILIDAD PROCESADOR AMD AM3 + FX tm / pHENONM tm II / aTHLON tm II/ sEPROM tm 100 SERIES Memoria: 4 x DIMM, Max 32 GB Almacenamiento: AMS SB950 Controlador 6 X SATA 6 gB/ S DE PUERTO (s) rojo soporte RA"&amp; "ID 0, 1,5,  Estado: Bueno Placa anterior: 000030558 Material: PLASTICO Color: NEGRO Referencia:  Observacion: DESCRIPCION REAL:  ES UN SERVIDOR HP ML380 G8 CON PROCESADOR INTEL XEON Placa padre:  Tipo adquisicion : Entidad"</f>
        <v>Descripcion:SERVIDOR HP EQUIPO DE COMPUTO ALTA DISPONIBILIDAD PROCESADOR AMD AM3 + FX tm / pHENONM tm II / aTHLON tm II/ sEPROM tm 100 SERIES Memoria: 4 x DIMM, Max 32 GB Almacenamiento: AMS SB950 Controlador 6 X SATA 6 gB/ S DE PUERTO (s) rojo soporte RAID 0, 1,5,  Estado: Bueno Placa anterior: 000030558 Material: PLASTICO Color: NEGRO Referencia:  Observacion: DESCRIPCION REAL:  ES UN SERVIDOR HP ML380 G8 CON PROCESADOR INTEL XEON Placa padre:  Tipo adquisicion : Entidad</v>
      </c>
      <c r="G19998" s="5" t="str">
        <f>"ML350E GEN 8 E5-240"</f>
        <v>ML350E GEN 8 E5-240</v>
      </c>
    </row>
    <row r="19999" spans="1:7" ht="58.5" customHeight="1" x14ac:dyDescent="0.25">
      <c r="A19999" s="5" t="str">
        <f>"H0018515"</f>
        <v>H0018515</v>
      </c>
      <c r="B19999" s="5" t="str">
        <f>"SERVIDOR"</f>
        <v>SERVIDOR</v>
      </c>
      <c r="C19999" s="6">
        <v>8352000</v>
      </c>
      <c r="D19999" s="5" t="s">
        <v>861</v>
      </c>
      <c r="E19999" s="5" t="str">
        <f t="shared" si="1019"/>
        <v>SISTEMAS-GLOBALTRONIK SAS-SERGIO PATIÑO</v>
      </c>
      <c r="F19999" s="5" t="str">
        <f>"Descripcion:SERVIDOR HP EQUIPO DE COMPUTO ALTA DISPONIBILIDAD PROCESADOR AMD AM3 + FX tm / pHENONM tm II / aTHLON tm II/ sEPROM tm 100 SERIES Memoria: 4 x DIMM, Max 32 GB Almacenamiento: AMS SB950 Controlador 6 X SATA 6 gB/ S DE PUERTO (s) rojo soporte RA"&amp; "ID 0, 1,5,  Estado: Bueno Placa anterior: 000030557 Material: PLASTICO Color: NEGRO Referencia:  Observacion:  Placa padre:  Tipo adquisicion : Entidad"</f>
        <v>Descripcion:SERVIDOR HP EQUIPO DE COMPUTO ALTA DISPONIBILIDAD PROCESADOR AMD AM3 + FX tm / pHENONM tm II / aTHLON tm II/ sEPROM tm 100 SERIES Memoria: 4 x DIMM, Max 32 GB Almacenamiento: AMS SB950 Controlador 6 X SATA 6 gB/ S DE PUERTO (s) rojo soporte RAID 0, 1,5,  Estado: Bueno Placa anterior: 000030557 Material: PLASTICO Color: NEGRO Referencia:  Observacion:  Placa padre:  Tipo adquisicion : Entidad</v>
      </c>
      <c r="G19999" s="5" t="str">
        <f>"ML350E GEN 8 E5-240"</f>
        <v>ML350E GEN 8 E5-240</v>
      </c>
    </row>
    <row r="20000" spans="1:7" ht="58.5" customHeight="1" x14ac:dyDescent="0.25">
      <c r="A20000" s="5" t="str">
        <f>"H0018516"</f>
        <v>H0018516</v>
      </c>
      <c r="B20000" s="5" t="str">
        <f>"UNIDAD ININTERRUMPIDA DE POTENCIA (UPS) 3KW"</f>
        <v>UNIDAD ININTERRUMPIDA DE POTENCIA (UPS) 3KW</v>
      </c>
      <c r="C20000" s="6">
        <v>3700000</v>
      </c>
      <c r="D20000" s="5"/>
      <c r="E20000" s="5" t="str">
        <f t="shared" si="1019"/>
        <v>SISTEMAS-GLOBALTRONIK SAS-SERGIO PATIÑO</v>
      </c>
      <c r="F20000" s="5" t="str">
        <f>"Descripcion:UPS TRIFASICA MARCA APC 3 KVA Estado: Bueno Placa anterior: 000033090 Material: METALICO Color: NEGRO Referencia:  Observacion:  Placa padre:  Tipo adquisicion : Entidad"</f>
        <v>Descripcion:UPS TRIFASICA MARCA APC 3 KVA Estado: Bueno Placa anterior: 000033090 Material: METALICO Color: NEGRO Referencia:  Observacion:  Placa padre:  Tipo adquisicion : Entidad</v>
      </c>
      <c r="G20000" s="5" t="str">
        <f>"3KVA MONO"</f>
        <v>3KVA MONO</v>
      </c>
    </row>
    <row r="20001" spans="1:7" ht="58.5" customHeight="1" x14ac:dyDescent="0.25">
      <c r="A20001" s="5" t="str">
        <f>"H0018517"</f>
        <v>H0018517</v>
      </c>
      <c r="B20001" s="5" t="str">
        <f>"UNIDAD ININTERRUMPIDA DE POTENCIA (UPS) 3KW"</f>
        <v>UNIDAD ININTERRUMPIDA DE POTENCIA (UPS) 3KW</v>
      </c>
      <c r="C20001" s="6">
        <v>2946400</v>
      </c>
      <c r="D20001" s="5"/>
      <c r="E20001" s="5" t="str">
        <f t="shared" si="1019"/>
        <v>SISTEMAS-GLOBALTRONIK SAS-SERGIO PATIÑO</v>
      </c>
      <c r="F20001" s="5" t="str">
        <f>"Descripcion:UPS MARCA APC: SMART-UPS, 3000VA/2700W Entrada 120 V/ salida 120V. interface port DB-9rs232, Smartstor, topoñogia: Regulada linea interactiva duracion tipica de reserva: media carga 13.6 minutos- carga completa 6.5 Estado: Bueno Placa anterior"&amp; ": 000025776 Material: METALICO Color: NEGRO Referencia:  Observacion:  Placa padre:  Tipo adquisicion : Entidad"</f>
        <v>Descripcion:UPS MARCA APC: SMART-UPS, 3000VA/2700W Entrada 120 V/ salida 120V. interface port DB-9rs232, Smartstor, topoñogia: Regulada linea interactiva duracion tipica de reserva: media carga 13.6 minutos- carga completa 6.5 Estado: Bueno Placa anterior: 000025776 Material: METALICO Color: NEGRO Referencia:  Observacion:  Placa padre:  Tipo adquisicion : Entidad</v>
      </c>
      <c r="G20001" s="5" t="str">
        <f>"3000 VA MONO"</f>
        <v>3000 VA MONO</v>
      </c>
    </row>
    <row r="20002" spans="1:7" ht="58.5" customHeight="1" x14ac:dyDescent="0.25">
      <c r="A20002" s="5" t="str">
        <f>"H0018518"</f>
        <v>H0018518</v>
      </c>
      <c r="B20002" s="5" t="str">
        <f>"ENRUTADOR (ROUTER) INALAMBRICO (ACCES POINT)"</f>
        <v>ENRUTADOR (ROUTER) INALAMBRICO (ACCES POINT)</v>
      </c>
      <c r="C20002" s="6">
        <v>4732800</v>
      </c>
      <c r="D20002" s="5" t="s">
        <v>174</v>
      </c>
      <c r="E20002" s="5" t="str">
        <f t="shared" si="1019"/>
        <v>SISTEMAS-GLOBALTRONIK SAS-SERGIO PATIÑO</v>
      </c>
      <c r="F20002" s="5" t="str">
        <f>"Descripcion:Router GE 2 EHWIC slots 256MB Estado: Bueno Placa anterior: 000037086 Material: METALICO Color: NEGRO Referencia:  Observacion:  Placa padre:  Tipo adquisicion : Entidad"</f>
        <v>Descripcion:Router GE 2 EHWIC slots 256MB Estado: Bueno Placa anterior: 000037086 Material: METALICO Color: NEGRO Referencia:  Observacion:  Placa padre:  Tipo adquisicion : Entidad</v>
      </c>
      <c r="G20002" s="5" t="str">
        <f>"CISCO1941"</f>
        <v>CISCO1941</v>
      </c>
    </row>
    <row r="20003" spans="1:7" ht="58.5" customHeight="1" x14ac:dyDescent="0.25">
      <c r="A20003" s="5" t="str">
        <f>"H0018519"</f>
        <v>H0018519</v>
      </c>
      <c r="B20003" s="5" t="str">
        <f>"GRABADORA DE VIDEO EN RED (NVR)"</f>
        <v>GRABADORA DE VIDEO EN RED (NVR)</v>
      </c>
      <c r="C20003" s="6">
        <v>1690500</v>
      </c>
      <c r="D20003" s="5" t="s">
        <v>213</v>
      </c>
      <c r="E20003" s="5" t="str">
        <f t="shared" si="1019"/>
        <v>SISTEMAS-GLOBALTRONIK SAS-SERGIO PATIÑO</v>
      </c>
      <c r="F20003" s="5" t="str">
        <f>"Descripcion:NVR DE 32 CH CON DOBLE LAN Estado: Bueno Placa anterior: 000038173 Material: PLASTICO Color: NEGRO Referencia:  Observacion:  Placa padre:  Tipo adquisicion : Entidad"</f>
        <v>Descripcion:NVR DE 32 CH CON DOBLE LAN Estado: Bueno Placa anterior: 000038173 Material: PLASTICO Color: NEGRO Referencia:  Observacion:  Placa padre:  Tipo adquisicion : Entidad</v>
      </c>
      <c r="G20003" s="5" t="str">
        <f>"DS-7732NI-E4"</f>
        <v>DS-7732NI-E4</v>
      </c>
    </row>
    <row r="20004" spans="1:7" ht="58.5" customHeight="1" x14ac:dyDescent="0.25">
      <c r="A20004" s="5" t="str">
        <f>"H0018522"</f>
        <v>H0018522</v>
      </c>
      <c r="B20004" s="5" t="str">
        <f>"VITRINA DE 2 CUERPOS"</f>
        <v>VITRINA DE 2 CUERPOS</v>
      </c>
      <c r="C20004" s="6">
        <v>11935</v>
      </c>
      <c r="D20004" s="5"/>
      <c r="E20004" s="5" t="str">
        <f t="shared" si="1019"/>
        <v>SISTEMAS-GLOBALTRONIK SAS-SERGIO PATIÑO</v>
      </c>
      <c r="F20004" s="5" t="str">
        <f>"Descripcion:BIBLIOTECA TIPO B (2 CUERPOS) Estado: Bueno Placa anterior: 000006731 Material: VIDRIO Y METALICO Color: BEIGE Referencia:  Observacion:  Placa padre:  Tipo adquisicion : Entidad"</f>
        <v>Descripcion:BIBLIOTECA TIPO B (2 CUERPOS) Estado: Bueno Placa anterior: 000006731 Material: VIDRIO Y METALICO Color: BEIGE Referencia:  Observacion:  Placa padre:  Tipo adquisicion : Entidad</v>
      </c>
      <c r="G20004" s="5"/>
    </row>
    <row r="20005" spans="1:7" ht="58.5" customHeight="1" x14ac:dyDescent="0.25">
      <c r="A20005" s="5" t="str">
        <f>"H0018525"</f>
        <v>H0018525</v>
      </c>
      <c r="B20005" s="5" t="str">
        <f>"NEVERA DE 66 LTS"</f>
        <v>NEVERA DE 66 LTS</v>
      </c>
      <c r="C20005" s="6">
        <v>249500</v>
      </c>
      <c r="D20005" s="5"/>
      <c r="E20005" s="5" t="str">
        <f t="shared" si="1019"/>
        <v>SISTEMAS-GLOBALTRONIK SAS-SERGIO PATIÑO</v>
      </c>
      <c r="F20005" s="5" t="str">
        <f>"Descripcion:NEVERA MCA PHILIPS ESTANDAR Estado: Bueno Placa anterior: 000002197 Material: METALICO Color: BEIGE Referencia:  Observacion:  Placa padre:  Tipo adquisicion : Entidad"</f>
        <v>Descripcion:NEVERA MCA PHILIPS ESTANDAR Estado: Bueno Placa anterior: 000002197 Material: METALICO Color: BEIGE Referencia:  Observacion:  Placa padre:  Tipo adquisicion : Entidad</v>
      </c>
      <c r="G20005" s="5"/>
    </row>
    <row r="20006" spans="1:7" ht="58.5" customHeight="1" x14ac:dyDescent="0.25">
      <c r="A20006" s="5" t="str">
        <f>"H0018526"</f>
        <v>H0018526</v>
      </c>
      <c r="B20006" s="5" t="str">
        <f>"CAMARA DE VIDEOVIGILANCIA"</f>
        <v>CAMARA DE VIDEOVIGILANCIA</v>
      </c>
      <c r="C20006" s="6">
        <v>441700</v>
      </c>
      <c r="D20006" s="5" t="s">
        <v>213</v>
      </c>
      <c r="E20006" s="5" t="str">
        <f t="shared" si="1019"/>
        <v>SISTEMAS-GLOBALTRONIK SAS-SERGIO PATIÑO</v>
      </c>
      <c r="F20006" s="5" t="str">
        <f>"Descripcion:CAMARA DE VIGILANCIA DOMO TIPO IP Estado: Bueno Placa anterior: 000038176 Material: PLASTICO Color: BLANCO Referencia:  Observacion:  Placa padre:  Tipo adquisicion : Entidad"</f>
        <v>Descripcion:CAMARA DE VIGILANCIA DOMO TIPO IP Estado: Bueno Placa anterior: 000038176 Material: PLASTICO Color: BLANCO Referencia:  Observacion:  Placa padre:  Tipo adquisicion : Entidad</v>
      </c>
      <c r="G20006" s="5"/>
    </row>
    <row r="20007" spans="1:7" ht="58.5" customHeight="1" x14ac:dyDescent="0.25">
      <c r="A20007" s="5" t="str">
        <f>"H0018559"</f>
        <v>H0018559</v>
      </c>
      <c r="B20007" s="5" t="str">
        <f>"SWITCH 48 PUERTOS ADMINISTRABLE"</f>
        <v>SWITCH 48 PUERTOS ADMINISTRABLE</v>
      </c>
      <c r="C20007" s="6">
        <v>11900500</v>
      </c>
      <c r="D20007" s="5"/>
      <c r="E20007" s="5" t="str">
        <f t="shared" si="1019"/>
        <v>SISTEMAS-GLOBALTRONIK SAS-SERGIO PATIÑO</v>
      </c>
      <c r="F20007" s="5" t="str">
        <f>"Descripcion:SWITCH DE 48 PUERTOS Estado: Bueno Placa anterior: 000033089 Material: METALICO Color: NEGRO Referencia: 5500G-EI Observacion: SE ENCUENTRA EN MERCADEO  FUNCIONARIO AUTORIZA SE CONCILIE CON PLACA 000033089 Placa padre:  Tipo adquisicion : Enti"&amp; "dad"</f>
        <v>Descripcion:SWITCH DE 48 PUERTOS Estado: Bueno Placa anterior: 000033089 Material: METALICO Color: NEGRO Referencia: 5500G-EI Observacion: SE ENCUENTRA EN MERCADEO  FUNCIONARIO AUTORIZA SE CONCILIE CON PLACA 000033089 Placa padre:  Tipo adquisicion : Entidad</v>
      </c>
      <c r="G20007" s="5"/>
    </row>
    <row r="20008" spans="1:7" ht="58.5" customHeight="1" x14ac:dyDescent="0.25">
      <c r="A20008" s="5" t="str">
        <f>"H0018565"</f>
        <v>H0018565</v>
      </c>
      <c r="B20008" s="5" t="str">
        <f>"SWITCH 24 PUERTOS"</f>
        <v>SWITCH 24 PUERTOS</v>
      </c>
      <c r="C20008" s="6">
        <v>2378000</v>
      </c>
      <c r="D20008" s="5" t="s">
        <v>174</v>
      </c>
      <c r="E20008" s="5" t="str">
        <f t="shared" si="1019"/>
        <v>SISTEMAS-GLOBALTRONIK SAS-SERGIO PATIÑO</v>
      </c>
      <c r="F20008" s="5" t="str">
        <f>"Descripcion:SWITCH DE 24 PUERTOS Estado: Bueno Placa anterior: 000037087 Material: METALICO Color: NEGRO Referencia:  Observacion: SE ENCUENTRA EN PISO 2- STAR DE ENFERMERIA  FUNCIONARIO AUTORIZA SE CONCILIE CON PLACA 000037087 Placa padre:  Tipo adquisic"&amp; "ion : Entidad"</f>
        <v>Descripcion:SWITCH DE 24 PUERTOS Estado: Bueno Placa anterior: 000037087 Material: METALICO Color: NEGRO Referencia:  Observacion: SE ENCUENTRA EN PISO 2- STAR DE ENFERMERIA  FUNCIONARIO AUTORIZA SE CONCILIE CON PLACA 000037087 Placa padre:  Tipo adquisicion : Entidad</v>
      </c>
      <c r="G20008" s="5" t="str">
        <f>"JG539A"</f>
        <v>JG539A</v>
      </c>
    </row>
    <row r="20009" spans="1:7" ht="58.5" customHeight="1" x14ac:dyDescent="0.25">
      <c r="A20009" s="5" t="str">
        <f>"H0018567"</f>
        <v>H0018567</v>
      </c>
      <c r="B20009" s="5" t="str">
        <f>"SWITCH 48 PUERTOS ADMINISTRABLE"</f>
        <v>SWITCH 48 PUERTOS ADMINISTRABLE</v>
      </c>
      <c r="C20009" s="6">
        <v>8950000</v>
      </c>
      <c r="D20009" s="5"/>
      <c r="E20009" s="5" t="str">
        <f t="shared" si="1019"/>
        <v>SISTEMAS-GLOBALTRONIK SAS-SERGIO PATIÑO</v>
      </c>
      <c r="F20009" s="5" t="str">
        <f>"Descripcion:SWITCH DE 48 PUERTOS Estado: Bueno Placa anterior: 000033088 Material: METALICO Color: NEGRO Referencia:  Observacion: SE ENCUENTRA EN PISO 2- STAR DE ENFEREMRIA  FUNCIONARIO AUTORIZA SE CONCILIE CON PLACA 000033088 Placa padre:  Tipo adquisic"&amp; "ion : Entidad"</f>
        <v>Descripcion:SWITCH DE 48 PUERTOS Estado: Bueno Placa anterior: 000033088 Material: METALICO Color: NEGRO Referencia:  Observacion: SE ENCUENTRA EN PISO 2- STAR DE ENFEREMRIA  FUNCIONARIO AUTORIZA SE CONCILIE CON PLACA 000033088 Placa padre:  Tipo adquisicion : Entidad</v>
      </c>
      <c r="G20009" s="5"/>
    </row>
    <row r="20010" spans="1:7" ht="58.5" customHeight="1" x14ac:dyDescent="0.25">
      <c r="A20010" s="5" t="str">
        <f>"H0018569"</f>
        <v>H0018569</v>
      </c>
      <c r="B20010" s="5" t="str">
        <f>"PATCH PANEL 24 PUERTOS"</f>
        <v>PATCH PANEL 24 PUERTOS</v>
      </c>
      <c r="C20010" s="6">
        <v>342200</v>
      </c>
      <c r="D20010" s="5"/>
      <c r="E20010" s="5" t="str">
        <f t="shared" si="1019"/>
        <v>SISTEMAS-GLOBALTRONIK SAS-SERGIO PATIÑO</v>
      </c>
      <c r="F20010" s="5" t="str">
        <f>"Descripcion:PATCH PANEL DE 24 PUERTO CATEGORIA 5E Estado: Bueno Placa anterior: 000021998 Material: PLASTICO Color: NEGRO Referencia:  Observacion: SE ENCUENTRA EN PISO 2- STAR DE ENFERMERIA  FUNCIONARIO AUTORIZA SE CONCILIE CON PLACA 000021998 Placa padr"&amp; "e:  Tipo adquisicion : Entidad"</f>
        <v>Descripcion:PATCH PANEL DE 24 PUERTO CATEGORIA 5E Estado: Bueno Placa anterior: 000021998 Material: PLASTICO Color: NEGRO Referencia:  Observacion: SE ENCUENTRA EN PISO 2- STAR DE ENFERMERIA  FUNCIONARIO AUTORIZA SE CONCILIE CON PLACA 000021998 Placa padre:  Tipo adquisicion : Entidad</v>
      </c>
      <c r="G20010" s="5" t="str">
        <f>"NPP1024"</f>
        <v>NPP1024</v>
      </c>
    </row>
    <row r="20011" spans="1:7" ht="58.5" customHeight="1" x14ac:dyDescent="0.25">
      <c r="A20011" s="5" t="str">
        <f>"H0018570"</f>
        <v>H0018570</v>
      </c>
      <c r="B20011" s="5" t="str">
        <f>"PATCH PANEL 24 PUERTOS"</f>
        <v>PATCH PANEL 24 PUERTOS</v>
      </c>
      <c r="C20011" s="6">
        <v>342200</v>
      </c>
      <c r="D20011" s="5"/>
      <c r="E20011" s="5" t="str">
        <f t="shared" si="1019"/>
        <v>SISTEMAS-GLOBALTRONIK SAS-SERGIO PATIÑO</v>
      </c>
      <c r="F20011" s="5" t="str">
        <f>"Descripcion:PATCH PANEL DE 24 PUERTO CATEGORIA 5E Estado: Bueno Placa anterior: 000021997 Material: PLASTICO Color: NEGRO Referencia:  Observacion: SE ENCUENTRA EN PISO 2- STAR DE ENFERMERIA  FUNCIONARIO AUTORIZA SE CONCILIE CON PLACA 000021997 Placa padr"&amp; "e:  Tipo adquisicion : Entidad"</f>
        <v>Descripcion:PATCH PANEL DE 24 PUERTO CATEGORIA 5E Estado: Bueno Placa anterior: 000021997 Material: PLASTICO Color: NEGRO Referencia:  Observacion: SE ENCUENTRA EN PISO 2- STAR DE ENFERMERIA  FUNCIONARIO AUTORIZA SE CONCILIE CON PLACA 000021997 Placa padre:  Tipo adquisicion : Entidad</v>
      </c>
      <c r="G20011" s="5" t="str">
        <f>"NPP1024"</f>
        <v>NPP1024</v>
      </c>
    </row>
    <row r="20012" spans="1:7" ht="58.5" customHeight="1" x14ac:dyDescent="0.25">
      <c r="A20012" s="5" t="str">
        <f>"H0018571"</f>
        <v>H0018571</v>
      </c>
      <c r="B20012" s="5" t="str">
        <f>"PATCH PANEL 24 PUERTOS"</f>
        <v>PATCH PANEL 24 PUERTOS</v>
      </c>
      <c r="C20012" s="6">
        <v>537625</v>
      </c>
      <c r="D20012" s="5"/>
      <c r="E20012" s="5" t="str">
        <f t="shared" si="1019"/>
        <v>SISTEMAS-GLOBALTRONIK SAS-SERGIO PATIÑO</v>
      </c>
      <c r="F20012" s="5" t="str">
        <f>"Descripcion:PATCH PANEL DE 24 PUERTO CATEGORIA 5E Estado: Bueno Placa anterior: 000006830 Material: PLASTICO Color: NEGRO Referencia:  Observacion: SE ENCUENTRA EN PISO 2- STAR DE ENFERMERIA  FUNCIONARIO AUTORIZA SE CONCILIE CON PLACA 000006830 Placa padr"&amp; "e:  Tipo adquisicion : Entidad"</f>
        <v>Descripcion:PATCH PANEL DE 24 PUERTO CATEGORIA 5E Estado: Bueno Placa anterior: 000006830 Material: PLASTICO Color: NEGRO Referencia:  Observacion: SE ENCUENTRA EN PISO 2- STAR DE ENFERMERIA  FUNCIONARIO AUTORIZA SE CONCILIE CON PLACA 000006830 Placa padre:  Tipo adquisicion : Entidad</v>
      </c>
      <c r="G20012" s="5" t="str">
        <f>"NPP1024"</f>
        <v>NPP1024</v>
      </c>
    </row>
    <row r="20013" spans="1:7" ht="58.5" customHeight="1" x14ac:dyDescent="0.25">
      <c r="A20013" s="5" t="str">
        <f>"H0018575"</f>
        <v>H0018575</v>
      </c>
      <c r="B20013" s="5" t="str">
        <f>"SWITCH 48 PUERTOS ADMINISTRABLE"</f>
        <v>SWITCH 48 PUERTOS ADMINISTRABLE</v>
      </c>
      <c r="C20013" s="6">
        <v>7540000</v>
      </c>
      <c r="D20013" s="5"/>
      <c r="E20013" s="5" t="str">
        <f t="shared" si="1019"/>
        <v>SISTEMAS-GLOBALTRONIK SAS-SERGIO PATIÑO</v>
      </c>
      <c r="F20013" s="5" t="str">
        <f>"Descripcion:SWITCH DE 48 PUERTOS Estado: Bueno Placa anterior: 000025601 Material: PLASTICO Color: BLANCO Referencia:  Observacion: SE ENCUENTRA EN PISO 1 - PATOLOGIA  FUNCIONARIO AUTORIZA SE CONCILIE CON PLACA 000025601 Placa padre:  Tipo adquisicion : E"&amp; "ntidad"</f>
        <v>Descripcion:SWITCH DE 48 PUERTOS Estado: Bueno Placa anterior: 000025601 Material: PLASTICO Color: BLANCO Referencia:  Observacion: SE ENCUENTRA EN PISO 1 - PATOLOGIA  FUNCIONARIO AUTORIZA SE CONCILIE CON PLACA 000025601 Placa padre:  Tipo adquisicion : Entidad</v>
      </c>
      <c r="G20013" s="5" t="str">
        <f>"4400"</f>
        <v>4400</v>
      </c>
    </row>
    <row r="20014" spans="1:7" ht="58.5" customHeight="1" x14ac:dyDescent="0.25">
      <c r="A20014" s="5" t="str">
        <f>"H0018581"</f>
        <v>H0018581</v>
      </c>
      <c r="B20014" s="5" t="str">
        <f>"PATCH PANEL 24 PUERTOS"</f>
        <v>PATCH PANEL 24 PUERTOS</v>
      </c>
      <c r="C20014" s="6">
        <v>537625</v>
      </c>
      <c r="D20014" s="5"/>
      <c r="E20014" s="5" t="str">
        <f t="shared" si="1019"/>
        <v>SISTEMAS-GLOBALTRONIK SAS-SERGIO PATIÑO</v>
      </c>
      <c r="F20014" s="5" t="str">
        <f>"Descripcion:PATCH PANEL DE 24 PUERTO CATEGORIA 5E Estado: Bueno Placa anterior: 000006838 Material: PLASTICO Color: NEGRO Referencia:  Observacion: SE ENCUENTRA EN PISO 1- PATOLOGIA  FUNCIONARIO AUTORIZA SE CONCILIE CON PLACA 000006838 Placa padre:  Tipo "&amp; "adquisicion : Entidad"</f>
        <v>Descripcion:PATCH PANEL DE 24 PUERTO CATEGORIA 5E Estado: Bueno Placa anterior: 000006838 Material: PLASTICO Color: NEGRO Referencia:  Observacion: SE ENCUENTRA EN PISO 1- PATOLOGIA  FUNCIONARIO AUTORIZA SE CONCILIE CON PLACA 000006838 Placa padre:  Tipo adquisicion : Entidad</v>
      </c>
      <c r="G20014" s="5" t="str">
        <f>"NPP1024"</f>
        <v>NPP1024</v>
      </c>
    </row>
    <row r="20015" spans="1:7" ht="58.5" customHeight="1" x14ac:dyDescent="0.25">
      <c r="A20015" s="5" t="str">
        <f>"H0018582"</f>
        <v>H0018582</v>
      </c>
      <c r="B20015" s="5" t="str">
        <f>"PATCH PANEL 24 PUERTOS"</f>
        <v>PATCH PANEL 24 PUERTOS</v>
      </c>
      <c r="C20015" s="6">
        <v>537625</v>
      </c>
      <c r="D20015" s="5"/>
      <c r="E20015" s="5" t="str">
        <f t="shared" si="1019"/>
        <v>SISTEMAS-GLOBALTRONIK SAS-SERGIO PATIÑO</v>
      </c>
      <c r="F20015" s="5" t="str">
        <f>"Descripcion:PATCH PANEL DE 24 PUERTO CATEGORIA 5E Estado: Bueno Placa anterior: 000006827 Material: PLASTICO Color: NEGRO Referencia:  Observacion: SE ENCUENTRA EN PISO 1- PATOLOGIA  FUNCIONARIO AUTORIZA SE CONCILIE CON PLACA 000006827 Placa padre:  Tipo "&amp; "adquisicion : Entidad"</f>
        <v>Descripcion:PATCH PANEL DE 24 PUERTO CATEGORIA 5E Estado: Bueno Placa anterior: 000006827 Material: PLASTICO Color: NEGRO Referencia:  Observacion: SE ENCUENTRA EN PISO 1- PATOLOGIA  FUNCIONARIO AUTORIZA SE CONCILIE CON PLACA 000006827 Placa padre:  Tipo adquisicion : Entidad</v>
      </c>
      <c r="G20015" s="5"/>
    </row>
    <row r="20016" spans="1:7" ht="58.5" customHeight="1" x14ac:dyDescent="0.25">
      <c r="A20016" s="5" t="str">
        <f>"H0018583"</f>
        <v>H0018583</v>
      </c>
      <c r="B20016" s="5" t="str">
        <f>"PATCH PANEL 24 PUERTOS"</f>
        <v>PATCH PANEL 24 PUERTOS</v>
      </c>
      <c r="C20016" s="6">
        <v>537625</v>
      </c>
      <c r="D20016" s="5"/>
      <c r="E20016" s="5" t="str">
        <f t="shared" si="1019"/>
        <v>SISTEMAS-GLOBALTRONIK SAS-SERGIO PATIÑO</v>
      </c>
      <c r="F20016" s="5" t="str">
        <f>"Descripcion:PATCH PANEL DE 24 PUERTO CATEGORIA 5E Estado: Bueno Placa anterior: 000006822 Material: PLASTICO Color: NEGRO Referencia:  Observacion: SE ENCUENTRA EN PISO 1- PATOLOGIA  FUNCIONARIO AUTORIZA SE CONCILIE CON PLACA 000006822 Placa padre:  Tipo "&amp; "adquisicion : Entidad"</f>
        <v>Descripcion:PATCH PANEL DE 24 PUERTO CATEGORIA 5E Estado: Bueno Placa anterior: 000006822 Material: PLASTICO Color: NEGRO Referencia:  Observacion: SE ENCUENTRA EN PISO 1- PATOLOGIA  FUNCIONARIO AUTORIZA SE CONCILIE CON PLACA 000006822 Placa padre:  Tipo adquisicion : Entidad</v>
      </c>
      <c r="G20016" s="5"/>
    </row>
    <row r="20017" spans="1:7" ht="58.5" customHeight="1" x14ac:dyDescent="0.25">
      <c r="A20017" s="5" t="str">
        <f>"H0018584"</f>
        <v>H0018584</v>
      </c>
      <c r="B20017" s="5" t="str">
        <f>"PATCH PANEL 24 PUERTOS"</f>
        <v>PATCH PANEL 24 PUERTOS</v>
      </c>
      <c r="C20017" s="6">
        <v>232000</v>
      </c>
      <c r="D20017" s="5"/>
      <c r="E20017" s="5" t="str">
        <f t="shared" si="1019"/>
        <v>SISTEMAS-GLOBALTRONIK SAS-SERGIO PATIÑO</v>
      </c>
      <c r="F20017" s="5" t="str">
        <f>"Descripcion:PATCH PANEL DE 24 PUERTO CATEGORIA 5E Estado: Bueno Placa anterior: 000025603 Material: PLASTICO Color: NEGRO Referencia:  Observacion: SE ENCUENTRA EN PISO 1- PATOLOGIA  FUNCIONARIO AUTORIZA SE CONCILIE CON PLACA 000025603 Placa padre:  Tipo "&amp; "adquisicion : Entidad"</f>
        <v>Descripcion:PATCH PANEL DE 24 PUERTO CATEGORIA 5E Estado: Bueno Placa anterior: 000025603 Material: PLASTICO Color: NEGRO Referencia:  Observacion: SE ENCUENTRA EN PISO 1- PATOLOGIA  FUNCIONARIO AUTORIZA SE CONCILIE CON PLACA 000025603 Placa padre:  Tipo adquisicion : Entidad</v>
      </c>
      <c r="G20017" s="5"/>
    </row>
    <row r="20018" spans="1:7" ht="58.5" customHeight="1" x14ac:dyDescent="0.25">
      <c r="A20018" s="5" t="str">
        <f>"H0018585"</f>
        <v>H0018585</v>
      </c>
      <c r="B20018" s="5" t="str">
        <f>"SWITCH 24 PUERTOS"</f>
        <v>SWITCH 24 PUERTOS</v>
      </c>
      <c r="C20018" s="6">
        <v>6942600</v>
      </c>
      <c r="D20018" s="5"/>
      <c r="E20018" s="5" t="str">
        <f t="shared" si="1019"/>
        <v>SISTEMAS-GLOBALTRONIK SAS-SERGIO PATIÑO</v>
      </c>
      <c r="F20018" s="5" t="str">
        <f>"Descripcion:SWITCH DE 24 PUERTOS Estado: Bueno Placa anterior:  Material: PLASTICO Color: BLANCO Referencia:  Observacion: SE ENCUENTRA EN PISO 1 - PATOLOGIA Placa padre:  Tipo adquisicion : Entidad"</f>
        <v>Descripcion:SWITCH DE 24 PUERTOS Estado: Bueno Placa anterior:  Material: PLASTICO Color: BLANCO Referencia:  Observacion: SE ENCUENTRA EN PISO 1 - PATOLOGIA Placa padre:  Tipo adquisicion : Entidad</v>
      </c>
      <c r="G20018" s="5" t="str">
        <f>"4400"</f>
        <v>4400</v>
      </c>
    </row>
    <row r="20019" spans="1:7" ht="58.5" customHeight="1" x14ac:dyDescent="0.25">
      <c r="A20019" s="5" t="str">
        <f>"H0018587"</f>
        <v>H0018587</v>
      </c>
      <c r="B20019" s="5" t="str">
        <f>"UNIDAD ININTERRUMPIDA DE POTENCIA (UPS)"</f>
        <v>UNIDAD ININTERRUMPIDA DE POTENCIA (UPS)</v>
      </c>
      <c r="C20019" s="6">
        <v>1740000</v>
      </c>
      <c r="D20019" s="5"/>
      <c r="E20019" s="5" t="str">
        <f t="shared" si="1019"/>
        <v>SISTEMAS-GLOBALTRONIK SAS-SERGIO PATIÑO</v>
      </c>
      <c r="F20019" s="5" t="str">
        <f>"Descripcion:UPS NEW LINE NL 10000 REGULADOR DE VOLTAGE Estado: Bueno Placa anterior: 000008718 Material: METALICO Color: BEIGE Referencia:  Observacion: SE ENCUENTRA EN PISO 1- PATOLOGIA Placa padre:  Tipo adquisicion : Entidad"</f>
        <v>Descripcion:UPS NEW LINE NL 10000 REGULADOR DE VOLTAGE Estado: Bueno Placa anterior: 000008718 Material: METALICO Color: BEIGE Referencia:  Observacion: SE ENCUENTRA EN PISO 1- PATOLOGIA Placa padre:  Tipo adquisicion : Entidad</v>
      </c>
      <c r="G20019" s="5"/>
    </row>
    <row r="20020" spans="1:7" ht="58.5" customHeight="1" x14ac:dyDescent="0.25">
      <c r="A20020" s="5" t="str">
        <f>"H0018592"</f>
        <v>H0018592</v>
      </c>
      <c r="B20020" s="5" t="str">
        <f>"SWITCH 48 PUERTOS ADMINISTRABLE"</f>
        <v>SWITCH 48 PUERTOS ADMINISTRABLE</v>
      </c>
      <c r="C20020" s="6">
        <v>9106000</v>
      </c>
      <c r="D20020" s="5"/>
      <c r="E20020" s="5" t="str">
        <f t="shared" si="1019"/>
        <v>SISTEMAS-GLOBALTRONIK SAS-SERGIO PATIÑO</v>
      </c>
      <c r="F20020" s="5" t="str">
        <f>"Descripcion:SWITCH 3 COM DE 48 PUERTOS RJ45 CON 1 MODULO FIBRA OPTICA No. Parte 3CR 17162-91 Estado: Bueno Placa anterior: 000026139 Material: METALICO Color: GRIS Referencia:  Observacion: SE ENCUENTRA EN PISO 1 - ARCHIVO Y ESTADISTICAS Placa padre:  Tip"&amp; "o adquisicion : Entidad"</f>
        <v>Descripcion:SWITCH 3 COM DE 48 PUERTOS RJ45 CON 1 MODULO FIBRA OPTICA No. Parte 3CR 17162-91 Estado: Bueno Placa anterior: 000026139 Material: METALICO Color: GRIS Referencia:  Observacion: SE ENCUENTRA EN PISO 1 - ARCHIVO Y ESTADISTICAS Placa padre:  Tipo adquisicion : Entidad</v>
      </c>
      <c r="G20020" s="5" t="str">
        <f>"5500"</f>
        <v>5500</v>
      </c>
    </row>
    <row r="20021" spans="1:7" ht="58.5" customHeight="1" x14ac:dyDescent="0.25">
      <c r="A20021" s="5" t="str">
        <f>"H0018593"</f>
        <v>H0018593</v>
      </c>
      <c r="B20021" s="5" t="str">
        <f>"PATCH PANEL 24 PUERTOS"</f>
        <v>PATCH PANEL 24 PUERTOS</v>
      </c>
      <c r="C20021" s="6">
        <v>342200</v>
      </c>
      <c r="D20021" s="5"/>
      <c r="E20021" s="5" t="str">
        <f t="shared" si="1019"/>
        <v>SISTEMAS-GLOBALTRONIK SAS-SERGIO PATIÑO</v>
      </c>
      <c r="F20021" s="5" t="str">
        <f>"Descripcion:PATCH PANEL 24 PORT AIM Estado: Bueno Placa anterior: 000021996 Material: PLASTICO Color: NEGRO Referencia:  Observacion: SE ENCUENTRA EN PISO 1- ARCHIVO Y ESTADISTICAS Placa padre:  Tipo adquisicion : Entidad"</f>
        <v>Descripcion:PATCH PANEL 24 PORT AIM Estado: Bueno Placa anterior: 000021996 Material: PLASTICO Color: NEGRO Referencia:  Observacion: SE ENCUENTRA EN PISO 1- ARCHIVO Y ESTADISTICAS Placa padre:  Tipo adquisicion : Entidad</v>
      </c>
      <c r="G20021" s="5" t="str">
        <f>"NPP1024"</f>
        <v>NPP1024</v>
      </c>
    </row>
    <row r="20022" spans="1:7" ht="58.5" customHeight="1" x14ac:dyDescent="0.25">
      <c r="A20022" s="5" t="str">
        <f>"H0018594"</f>
        <v>H0018594</v>
      </c>
      <c r="B20022" s="5" t="str">
        <f>"PATCH PANEL 24 PUERTOS"</f>
        <v>PATCH PANEL 24 PUERTOS</v>
      </c>
      <c r="C20022" s="6">
        <v>342200</v>
      </c>
      <c r="D20022" s="5"/>
      <c r="E20022" s="5" t="str">
        <f t="shared" si="1019"/>
        <v>SISTEMAS-GLOBALTRONIK SAS-SERGIO PATIÑO</v>
      </c>
      <c r="F20022" s="5" t="str">
        <f>"Descripcion:PATCH PANEL 24 PORT AIM Estado: Bueno Placa anterior: 000021999 Material: PLASTICO Color: NEGRO Referencia:  Observacion: SE ENCUENTRA EN PISO 1- ARCHIVO Y ESTADISTICAS  FUNCIONARIO AUTORIZA SE CONCILIE CON PLACA 000021999 Placa padre:  Tipo a"&amp; "dquisicion : Entidad"</f>
        <v>Descripcion:PATCH PANEL 24 PORT AIM Estado: Bueno Placa anterior: 000021999 Material: PLASTICO Color: NEGRO Referencia:  Observacion: SE ENCUENTRA EN PISO 1- ARCHIVO Y ESTADISTICAS  FUNCIONARIO AUTORIZA SE CONCILIE CON PLACA 000021999 Placa padre:  Tipo adquisicion : Entidad</v>
      </c>
      <c r="G20022" s="5" t="str">
        <f>"NPP1024"</f>
        <v>NPP1024</v>
      </c>
    </row>
    <row r="20023" spans="1:7" ht="58.5" customHeight="1" x14ac:dyDescent="0.25">
      <c r="A20023" s="5" t="str">
        <f>"H0018596"</f>
        <v>H0018596</v>
      </c>
      <c r="B20023" s="5" t="str">
        <f>"RACK (GABINETE) DE SOBREMURO"</f>
        <v>RACK (GABINETE) DE SOBREMURO</v>
      </c>
      <c r="C20023" s="6">
        <v>1276000</v>
      </c>
      <c r="D20023" s="5"/>
      <c r="E20023" s="5" t="str">
        <f t="shared" si="1019"/>
        <v>SISTEMAS-GLOBALTRONIK SAS-SERGIO PATIÑO</v>
      </c>
      <c r="F20023" s="5" t="str">
        <f>"Descripcion:RACk (GABINETE DONDE SE COLOCAN SWICHES) Estado: Bueno Placa anterior: 000022005 Material: METALICO Color: BEIGE Referencia:  Observacion: SE ENCUENTRA EN PISO 1- ARCHIVO Y ESTADISTICAS Placa padre:  Tipo adquisicion : Entidad"</f>
        <v>Descripcion:RACk (GABINETE DONDE SE COLOCAN SWICHES) Estado: Bueno Placa anterior: 000022005 Material: METALICO Color: BEIGE Referencia:  Observacion: SE ENCUENTRA EN PISO 1- ARCHIVO Y ESTADISTICAS Placa padre:  Tipo adquisicion : Entidad</v>
      </c>
      <c r="G20023" s="5"/>
    </row>
    <row r="20024" spans="1:7" ht="58.5" customHeight="1" x14ac:dyDescent="0.25">
      <c r="A20024" s="5" t="str">
        <f>"H0018597"</f>
        <v>H0018597</v>
      </c>
      <c r="B20024" s="5" t="str">
        <f>"SWITCH 24 PUERTOS"</f>
        <v>SWITCH 24 PUERTOS</v>
      </c>
      <c r="C20024" s="6">
        <v>4155000</v>
      </c>
      <c r="D20024" s="5"/>
      <c r="E20024" s="5" t="str">
        <f t="shared" si="1019"/>
        <v>SISTEMAS-GLOBALTRONIK SAS-SERGIO PATIÑO</v>
      </c>
      <c r="F20024" s="5" t="str">
        <f>"Descripcion:SWITCH DE 24 PUERTOS Estado: Bueno Placa anterior: 000033440 Material: PLASTICO Color: BLANCO Referencia:  Observacion: SE ENCUENTRA EN PISO 1 - URGENCIAS PEDIATRIA  FUNCIONARIO AUTORIZA SE CONCILIE CON PLACA 000033440 Placa padre:  Tipo adqui"&amp; "sicion : Entidad"</f>
        <v>Descripcion:SWITCH DE 24 PUERTOS Estado: Bueno Placa anterior: 000033440 Material: PLASTICO Color: BLANCO Referencia:  Observacion: SE ENCUENTRA EN PISO 1 - URGENCIAS PEDIATRIA  FUNCIONARIO AUTORIZA SE CONCILIE CON PLACA 000033440 Placa padre:  Tipo adquisicion : Entidad</v>
      </c>
      <c r="G20024" s="5" t="str">
        <f>"HP V191024G"</f>
        <v>HP V191024G</v>
      </c>
    </row>
    <row r="20025" spans="1:7" ht="58.5" customHeight="1" x14ac:dyDescent="0.25">
      <c r="A20025" s="5" t="str">
        <f>"H0018662"</f>
        <v>H0018662</v>
      </c>
      <c r="B20025" s="5" t="str">
        <f>"RACK (GABINETE) DE SOBREMURO"</f>
        <v>RACK (GABINETE) DE SOBREMURO</v>
      </c>
      <c r="C20025" s="6">
        <v>313200</v>
      </c>
      <c r="D20025" s="5" t="s">
        <v>862</v>
      </c>
      <c r="E20025" s="5" t="str">
        <f t="shared" si="1019"/>
        <v>SISTEMAS-GLOBALTRONIK SAS-SERGIO PATIÑO</v>
      </c>
      <c r="F20025" s="5" t="str">
        <f>"Descripcion:GABINETE PARA PARED COLOR ALMENDRA O BEIGE CON 10RMS DE RACK Estado: Bueno Placa anterior: 000030373 Material: METALICO Color: NEGRO Referencia:  Observacion: SE ENCUENTRA EN PISO 1 - AL LADO DE LA MAQUINA DE CAFE Placa padre:  Tipo adquisicio"&amp; "n : Entidad"</f>
        <v>Descripcion:GABINETE PARA PARED COLOR ALMENDRA O BEIGE CON 10RMS DE RACK Estado: Bueno Placa anterior: 000030373 Material: METALICO Color: NEGRO Referencia:  Observacion: SE ENCUENTRA EN PISO 1 - AL LADO DE LA MAQUINA DE CAFE Placa padre:  Tipo adquisicion : Entidad</v>
      </c>
      <c r="G20025" s="5"/>
    </row>
    <row r="20026" spans="1:7" ht="58.5" customHeight="1" x14ac:dyDescent="0.25">
      <c r="A20026" s="5" t="str">
        <f>"H0018666"</f>
        <v>H0018666</v>
      </c>
      <c r="B20026" s="5" t="str">
        <f>"SERVIDOR"</f>
        <v>SERVIDOR</v>
      </c>
      <c r="C20026" s="6">
        <v>21094012</v>
      </c>
      <c r="D20026" s="5" t="s">
        <v>863</v>
      </c>
      <c r="E20026" s="5" t="str">
        <f t="shared" si="1019"/>
        <v>SISTEMAS-GLOBALTRONIK SAS-SERGIO PATIÑO</v>
      </c>
      <c r="F20026" s="5" t="str">
        <f>"Descripcion:SERVIDOR Estado: Bueno Placa anterior:  Material: METALICO Color: NEGRO Referencia:  Observacion: SE ENCUENTRA EN PISO 1 - RADIOTERAPIA Placa padre:  Tipo adquisicion : Entidad"</f>
        <v>Descripcion:SERVIDOR Estado: Bueno Placa anterior:  Material: METALICO Color: NEGRO Referencia:  Observacion: SE ENCUENTRA EN PISO 1 - RADIOTERAPIA Placa padre:  Tipo adquisicion : Entidad</v>
      </c>
      <c r="G20026" s="5" t="str">
        <f>"POWER EYE R720"</f>
        <v>POWER EYE R720</v>
      </c>
    </row>
    <row r="20027" spans="1:7" ht="58.5" customHeight="1" x14ac:dyDescent="0.25">
      <c r="A20027" s="5" t="str">
        <f>"H0018667"</f>
        <v>H0018667</v>
      </c>
      <c r="B20027" s="5" t="str">
        <f>"SERVIDOR"</f>
        <v>SERVIDOR</v>
      </c>
      <c r="C20027" s="6">
        <v>21094012</v>
      </c>
      <c r="D20027" s="5" t="s">
        <v>863</v>
      </c>
      <c r="E20027" s="5" t="str">
        <f t="shared" si="1019"/>
        <v>SISTEMAS-GLOBALTRONIK SAS-SERGIO PATIÑO</v>
      </c>
      <c r="F20027" s="5" t="str">
        <f>"Descripcion:SERVIDOR Estado: Bueno Placa anterior:  Material: METALICO Color: NEGRO Referencia:  Observacion: SE ENCUENTRA EN PISO 1 - RADIOTERAPIA Placa padre:  Tipo adquisicion : Entidad"</f>
        <v>Descripcion:SERVIDOR Estado: Bueno Placa anterior:  Material: METALICO Color: NEGRO Referencia:  Observacion: SE ENCUENTRA EN PISO 1 - RADIOTERAPIA Placa padre:  Tipo adquisicion : Entidad</v>
      </c>
      <c r="G20027" s="5" t="str">
        <f>"POWER EYE R720"</f>
        <v>POWER EYE R720</v>
      </c>
    </row>
    <row r="20028" spans="1:7" ht="58.5" customHeight="1" x14ac:dyDescent="0.25">
      <c r="A20028" s="5" t="str">
        <f>"H0018668"</f>
        <v>H0018668</v>
      </c>
      <c r="B20028" s="5" t="str">
        <f>"MONITOR LCD"</f>
        <v>MONITOR LCD</v>
      </c>
      <c r="C20028" s="6">
        <v>695000</v>
      </c>
      <c r="D20028" s="5"/>
      <c r="E20028" s="5" t="str">
        <f t="shared" si="1019"/>
        <v>SISTEMAS-GLOBALTRONIK SAS-SERGIO PATIÑO</v>
      </c>
      <c r="F20028" s="5" t="str">
        <f>"Descripcion:MONITOR DE 18 PULGADAS Estado: Bueno Placa anterior:  Material: PLASTICO Color: NEGRO Referencia:  Observacion: SE ENCUENTRA EN PISO 1 - RADIOTERAPIA Placa padre:  Tipo adquisicion : Entidad"</f>
        <v>Descripcion:MONITOR DE 18 PULGADAS Estado: Bueno Placa anterior:  Material: PLASTICO Color: NEGRO Referencia:  Observacion: SE ENCUENTRA EN PISO 1 - RADIOTERAPIA Placa padre:  Tipo adquisicion : Entidad</v>
      </c>
      <c r="G20028" s="5"/>
    </row>
    <row r="20029" spans="1:7" ht="58.5" customHeight="1" x14ac:dyDescent="0.25">
      <c r="A20029" s="5" t="str">
        <f>"H0018670"</f>
        <v>H0018670</v>
      </c>
      <c r="B20029" s="5" t="str">
        <f>"SWITCH 24 PUERTOS"</f>
        <v>SWITCH 24 PUERTOS</v>
      </c>
      <c r="C20029" s="6">
        <v>915000</v>
      </c>
      <c r="D20029" s="5" t="s">
        <v>51</v>
      </c>
      <c r="E20029" s="5" t="str">
        <f t="shared" ref="E20029:E20092" si="1020">"SISTEMAS-GLOBALTRONIK SAS-SERGIO PATIÑO"</f>
        <v>SISTEMAS-GLOBALTRONIK SAS-SERGIO PATIÑO</v>
      </c>
      <c r="F20029" s="5" t="str">
        <f>"Descripcion:SWTCH 1910 24 PTOS GIGA CAPA 3 ADMINISTRABLE Estado: Bueno Placa anterior: 000032661 Material: PLASTICO Color: NEGRO Referencia:  Observacion: SE ENCUENTRA EN PISO 1 - RADIOTERAPIA Placa padre:  Tipo adquisicion : Entidad"</f>
        <v>Descripcion:SWTCH 1910 24 PTOS GIGA CAPA 3 ADMINISTRABLE Estado: Bueno Placa anterior: 000032661 Material: PLASTICO Color: NEGRO Referencia:  Observacion: SE ENCUENTRA EN PISO 1 - RADIOTERAPIA Placa padre:  Tipo adquisicion : Entidad</v>
      </c>
      <c r="G20029" s="5" t="str">
        <f>"V1910-24G"</f>
        <v>V1910-24G</v>
      </c>
    </row>
    <row r="20030" spans="1:7" ht="58.5" customHeight="1" x14ac:dyDescent="0.25">
      <c r="A20030" s="5" t="str">
        <f>"H0018672"</f>
        <v>H0018672</v>
      </c>
      <c r="B20030" s="5" t="str">
        <f>"UNIDAD ININTERRUMPIDA DE POTENCIA (UPS)"</f>
        <v>UNIDAD ININTERRUMPIDA DE POTENCIA (UPS)</v>
      </c>
      <c r="C20030" s="6">
        <v>2937990</v>
      </c>
      <c r="D20030" s="5"/>
      <c r="E20030" s="5" t="str">
        <f t="shared" si="1020"/>
        <v>SISTEMAS-GLOBALTRONIK SAS-SERGIO PATIÑO</v>
      </c>
      <c r="F20030" s="5" t="str">
        <f>"Descripcion:UPS 3 KVA Estado: Bueno Placa anterior: 000033096 Material: PLASTICO Color: NEGRO Referencia:  Observacion: SE ENCUENTRA EN PISO 1 - RADIOTERAPIA  AUTORIZADO CRUZAR POR SISTEMAS Placa padre:  Tipo adquisicion : Entidad"</f>
        <v>Descripcion:UPS 3 KVA Estado: Bueno Placa anterior: 000033096 Material: PLASTICO Color: NEGRO Referencia:  Observacion: SE ENCUENTRA EN PISO 1 - RADIOTERAPIA  AUTORIZADO CRUZAR POR SISTEMAS Placa padre:  Tipo adquisicion : Entidad</v>
      </c>
      <c r="G20030" s="5"/>
    </row>
    <row r="20031" spans="1:7" ht="58.5" customHeight="1" x14ac:dyDescent="0.25">
      <c r="A20031" s="5" t="str">
        <f>"H0018718"</f>
        <v>H0018718</v>
      </c>
      <c r="B20031" s="5" t="str">
        <f>"PATCH PANEL 24 PUERTOS"</f>
        <v>PATCH PANEL 24 PUERTOS</v>
      </c>
      <c r="C20031" s="6">
        <v>342200</v>
      </c>
      <c r="D20031" s="5"/>
      <c r="E20031" s="5" t="str">
        <f t="shared" si="1020"/>
        <v>SISTEMAS-GLOBALTRONIK SAS-SERGIO PATIÑO</v>
      </c>
      <c r="F20031" s="5" t="str">
        <f>"Descripcion:PATCH PANEL 24 PORT AIM Estado: Bueno Placa anterior: 000022001 Material: PLASTICO Color: NEGRO Referencia:  Observacion: SSE ENCUENTRA EN PISO 1 - CONTABILIDAD Y COSTOS  FUNCIONARIO AUTORIZA SE CONCILIE CON PLACA 000022001 Placa padre:  Tipo "&amp; "adquisicion : Entidad"</f>
        <v>Descripcion:PATCH PANEL 24 PORT AIM Estado: Bueno Placa anterior: 000022001 Material: PLASTICO Color: NEGRO Referencia:  Observacion: SSE ENCUENTRA EN PISO 1 - CONTABILIDAD Y COSTOS  FUNCIONARIO AUTORIZA SE CONCILIE CON PLACA 000022001 Placa padre:  Tipo adquisicion : Entidad</v>
      </c>
      <c r="G20031" s="5" t="str">
        <f>"NPP1024"</f>
        <v>NPP1024</v>
      </c>
    </row>
    <row r="20032" spans="1:7" ht="58.5" customHeight="1" x14ac:dyDescent="0.25">
      <c r="A20032" s="5" t="str">
        <f>"H0018719"</f>
        <v>H0018719</v>
      </c>
      <c r="B20032" s="5" t="str">
        <f>"PATCH PANEL 24 PUERTOS"</f>
        <v>PATCH PANEL 24 PUERTOS</v>
      </c>
      <c r="C20032" s="6">
        <v>232000</v>
      </c>
      <c r="D20032" s="5"/>
      <c r="E20032" s="5" t="str">
        <f t="shared" si="1020"/>
        <v>SISTEMAS-GLOBALTRONIK SAS-SERGIO PATIÑO</v>
      </c>
      <c r="F20032" s="5" t="str">
        <f>"Descripcion:PATCH PANEL 24 PORT AIM Estado: Bueno Placa anterior: 000025604 Material: PLASTICO Color: NEGRO Referencia:  Observacion: SSE ENCUENTRA EN PISO 1 - CONTABILIDAD Y COSTOS  FUNCIONARIO AUTORIZA SE CONCILIE CON PLACA 000025604 Placa padre:  Tipo "&amp; "adquisicion : Entidad"</f>
        <v>Descripcion:PATCH PANEL 24 PORT AIM Estado: Bueno Placa anterior: 000025604 Material: PLASTICO Color: NEGRO Referencia:  Observacion: SSE ENCUENTRA EN PISO 1 - CONTABILIDAD Y COSTOS  FUNCIONARIO AUTORIZA SE CONCILIE CON PLACA 000025604 Placa padre:  Tipo adquisicion : Entidad</v>
      </c>
      <c r="G20032" s="5"/>
    </row>
    <row r="20033" spans="1:7" ht="58.5" customHeight="1" x14ac:dyDescent="0.25">
      <c r="A20033" s="5" t="str">
        <f>"H0019628"</f>
        <v>H0019628</v>
      </c>
      <c r="B20033" s="5" t="str">
        <f>"ESTANTE METALICO 6 ENTREPAÑOS"</f>
        <v>ESTANTE METALICO 6 ENTREPAÑOS</v>
      </c>
      <c r="C20033" s="6">
        <v>6916.85</v>
      </c>
      <c r="D20033" s="5"/>
      <c r="E20033" s="5" t="str">
        <f t="shared" si="1020"/>
        <v>SISTEMAS-GLOBALTRONIK SAS-SERGIO PATIÑO</v>
      </c>
      <c r="F20033" s="5" t="str">
        <f>"Descripcion:ESTANTE METALICO Estado: Bueno Placa anterior: 000010624 Material: METALICO Color: GRIS Referencia:  Observacion:  Placa padre:  Tipo adquisicion : Entidad"</f>
        <v>Descripcion:ESTANTE METALICO Estado: Bueno Placa anterior: 000010624 Material: METALICO Color: GRIS Referencia:  Observacion:  Placa padre:  Tipo adquisicion : Entidad</v>
      </c>
      <c r="G20033" s="5"/>
    </row>
    <row r="20034" spans="1:7" ht="58.5" customHeight="1" x14ac:dyDescent="0.25">
      <c r="A20034" s="5" t="str">
        <f>"H0020385"</f>
        <v>H0020385</v>
      </c>
      <c r="B20034" s="5" t="str">
        <f>"FOLDERAMA METALICO"</f>
        <v>FOLDERAMA METALICO</v>
      </c>
      <c r="C20034" s="6">
        <v>321320</v>
      </c>
      <c r="D20034" s="5"/>
      <c r="E20034" s="5" t="str">
        <f t="shared" si="1020"/>
        <v>SISTEMAS-GLOBALTRONIK SAS-SERGIO PATIÑO</v>
      </c>
      <c r="F20034" s="5" t="str">
        <f>"Descripcion:FOLDERAMA METALICO ENTREPAÑOS 15 DIVISIONES 1.58X1.05X0.48 Estado: Inservible Placa anterior: 000006730 Material: METALICO Color: BEIGE Referencia:  Observacion: ESTE EQUIPO SE ENCONTRABA EN EL CUARTO DE DEPOSITO QUE ESTÁ AL LADO DE LA MAQUINA"&amp; " DE CAFE. Placa padre:  Tipo adquisicion : Entidad"</f>
        <v>Descripcion:FOLDERAMA METALICO ENTREPAÑOS 15 DIVISIONES 1.58X1.05X0.48 Estado: Inservible Placa anterior: 000006730 Material: METALICO Color: BEIGE Referencia:  Observacion: ESTE EQUIPO SE ENCONTRABA EN EL CUARTO DE DEPOSITO QUE ESTÁ AL LADO DE LA MAQUINA DE CAFE. Placa padre:  Tipo adquisicion : Entidad</v>
      </c>
      <c r="G20034" s="5"/>
    </row>
    <row r="20035" spans="1:7" ht="58.5" customHeight="1" x14ac:dyDescent="0.25">
      <c r="A20035" s="5" t="str">
        <f>"H0020597"</f>
        <v>H0020597</v>
      </c>
      <c r="B20035" s="5" t="str">
        <f>"CAJA DE EMPALME DE FIBRA OPTICA"</f>
        <v>CAJA DE EMPALME DE FIBRA OPTICA</v>
      </c>
      <c r="C20035" s="6">
        <v>495000</v>
      </c>
      <c r="D20035" s="5" t="s">
        <v>382</v>
      </c>
      <c r="E20035" s="5" t="str">
        <f t="shared" si="1020"/>
        <v>SISTEMAS-GLOBALTRONIK SAS-SERGIO PATIÑO</v>
      </c>
      <c r="F20035" s="5" t="str">
        <f>"Descripcion:CAJA DE EMPALME TIPO DOMO INTEMPERIE SOPORTA ALTAS TEMPERATURAS DERIVACION DE TRONCALES FIBRA OPTICA. (CONTIENE 2 PAQUETES DE ACCESORIOS) Estado: Bueno Placa anterior: 000038907 Material: PASTA Color: NEGRO Referencia:  Observacion: ESTA EN SI"&amp; "STEMAS Placa padre:  Tipo adquisicion : Entidad"</f>
        <v>Descripcion:CAJA DE EMPALME TIPO DOMO INTEMPERIE SOPORTA ALTAS TEMPERATURAS DERIVACION DE TRONCALES FIBRA OPTICA. (CONTIENE 2 PAQUETES DE ACCESORIOS) Estado: Bueno Placa anterior: 000038907 Material: PASTA Color: NEGRO Referencia:  Observacion: ESTA EN SISTEMAS Placa padre:  Tipo adquisicion : Entidad</v>
      </c>
      <c r="G20035" s="5"/>
    </row>
    <row r="20036" spans="1:7" ht="58.5" customHeight="1" x14ac:dyDescent="0.25">
      <c r="A20036" s="5" t="str">
        <f>"H0020598"</f>
        <v>H0020598</v>
      </c>
      <c r="B20036" s="5" t="str">
        <f>"CAJA DE EMPALME DE FIBRA OPTICA"</f>
        <v>CAJA DE EMPALME DE FIBRA OPTICA</v>
      </c>
      <c r="C20036" s="6">
        <v>495000</v>
      </c>
      <c r="D20036" s="5" t="s">
        <v>382</v>
      </c>
      <c r="E20036" s="5" t="str">
        <f t="shared" si="1020"/>
        <v>SISTEMAS-GLOBALTRONIK SAS-SERGIO PATIÑO</v>
      </c>
      <c r="F20036" s="5" t="str">
        <f>"Descripcion:CAJA DE EMPALME TIPO DOMO INTEMPERIE SOPORTA ALTAS TEMPERATURAS DERIVACION DE TRONCALES FIBRA OPTICA (CONTIENE 2 PAQUETES DE ACCESORIOS) Estado: Bueno Placa anterior: 000038908 Material: PASTA Color: NEGRO Referencia:  Observacion: ESTA EN SIS"&amp; "TEMAS Placa padre:  Tipo adquisicion : Entidad"</f>
        <v>Descripcion:CAJA DE EMPALME TIPO DOMO INTEMPERIE SOPORTA ALTAS TEMPERATURAS DERIVACION DE TRONCALES FIBRA OPTICA (CONTIENE 2 PAQUETES DE ACCESORIOS) Estado: Bueno Placa anterior: 000038908 Material: PASTA Color: NEGRO Referencia:  Observacion: ESTA EN SISTEMAS Placa padre:  Tipo adquisicion : Entidad</v>
      </c>
      <c r="G20036" s="5"/>
    </row>
    <row r="20037" spans="1:7" ht="58.5" customHeight="1" x14ac:dyDescent="0.25">
      <c r="A20037" s="5" t="str">
        <f>"H0020599"</f>
        <v>H0020599</v>
      </c>
      <c r="B20037" s="5" t="str">
        <f>"CAJA DE EMPALME DE FIBRA OPTICA"</f>
        <v>CAJA DE EMPALME DE FIBRA OPTICA</v>
      </c>
      <c r="C20037" s="6">
        <v>495000</v>
      </c>
      <c r="D20037" s="5" t="s">
        <v>382</v>
      </c>
      <c r="E20037" s="5" t="str">
        <f t="shared" si="1020"/>
        <v>SISTEMAS-GLOBALTRONIK SAS-SERGIO PATIÑO</v>
      </c>
      <c r="F20037" s="5" t="str">
        <f>"Descripcion:CAJA DE EMPALME TIPO DOMO INTEMPERIE SOPORTA ALTAS TEMPERATURAS DERIVACION DE TRONCALES FIBRA OPTICA Estado: Bueno Placa anterior: 000038909 Material: PASTA Color: NEGRO Referencia:  Observacion: ESTA EN SISTEMAS Placa padre:  Tipo adquisicion"&amp; " : Entidad"</f>
        <v>Descripcion:CAJA DE EMPALME TIPO DOMO INTEMPERIE SOPORTA ALTAS TEMPERATURAS DERIVACION DE TRONCALES FIBRA OPTICA Estado: Bueno Placa anterior: 000038909 Material: PASTA Color: NEGRO Referencia:  Observacion: ESTA EN SISTEMAS Placa padre:  Tipo adquisicion : Entidad</v>
      </c>
      <c r="G20037" s="5"/>
    </row>
    <row r="20038" spans="1:7" ht="58.5" customHeight="1" x14ac:dyDescent="0.25">
      <c r="A20038" s="5" t="str">
        <f>"H0020634"</f>
        <v>H0020634</v>
      </c>
      <c r="B20038" s="5" t="str">
        <f>"ESTANTE METALICO 6 ENTREPAÑOS"</f>
        <v>ESTANTE METALICO 6 ENTREPAÑOS</v>
      </c>
      <c r="C20038" s="6">
        <v>22189.18</v>
      </c>
      <c r="D20038" s="5"/>
      <c r="E20038" s="5" t="str">
        <f t="shared" si="1020"/>
        <v>SISTEMAS-GLOBALTRONIK SAS-SERGIO PATIÑO</v>
      </c>
      <c r="F20038" s="5" t="str">
        <f>"Descripcion: ESTANTE METALICO Estado: Regular Placa anterior: 000009337 Material: METALICO Color: GRIS Referencia:  Observacion:  Placa padre: Tipo adquisicion: Entidad"</f>
        <v>Descripcion: ESTANTE METALICO Estado: Regular Placa anterior: 000009337 Material: METALICO Color: GRIS Referencia:  Observacion:  Placa padre: Tipo adquisicion: Entidad</v>
      </c>
      <c r="G20038" s="5"/>
    </row>
    <row r="20039" spans="1:7" ht="58.5" customHeight="1" x14ac:dyDescent="0.25">
      <c r="A20039" s="5" t="str">
        <f>"H0020635"</f>
        <v>H0020635</v>
      </c>
      <c r="B20039" s="5" t="str">
        <f>"ESTANTE METALICO 6 ENTREPAÑOS"</f>
        <v>ESTANTE METALICO 6 ENTREPAÑOS</v>
      </c>
      <c r="C20039" s="6">
        <v>22189.18</v>
      </c>
      <c r="D20039" s="5"/>
      <c r="E20039" s="5" t="str">
        <f t="shared" si="1020"/>
        <v>SISTEMAS-GLOBALTRONIK SAS-SERGIO PATIÑO</v>
      </c>
      <c r="F20039" s="5" t="str">
        <f>"Descripcion: ESTANTE METALICO Estado: Regular Placa anterior: 000009338 Material: METALICO Color: GRIS Referencia:  Observacion:  Placa padre: Tipo adquisicion: Entidad"</f>
        <v>Descripcion: ESTANTE METALICO Estado: Regular Placa anterior: 000009338 Material: METALICO Color: GRIS Referencia:  Observacion:  Placa padre: Tipo adquisicion: Entidad</v>
      </c>
      <c r="G20039" s="5"/>
    </row>
    <row r="20040" spans="1:7" ht="58.5" customHeight="1" x14ac:dyDescent="0.25">
      <c r="A20040" s="5" t="str">
        <f>"H0021542"</f>
        <v>H0021542</v>
      </c>
      <c r="B20040" s="5" t="str">
        <f>"PERFORADORA GRANDE 2 HUECOS 70 HOJAS"</f>
        <v>PERFORADORA GRANDE 2 HUECOS 70 HOJAS</v>
      </c>
      <c r="C20040" s="6">
        <v>48500</v>
      </c>
      <c r="D20040" s="5"/>
      <c r="E20040" s="5" t="str">
        <f t="shared" si="1020"/>
        <v>SISTEMAS-GLOBALTRONIK SAS-SERGIO PATIÑO</v>
      </c>
      <c r="F20040" s="5" t="str">
        <f>"Descripcion:PERFORADORA INDUSTRIAL Estado: Bueno Placa anterior: 000006765 Material: METALICO Color: AZUL Referencia:  Observacion:  Placa padre:  Tipo adquisicion : Entidad"</f>
        <v>Descripcion:PERFORADORA INDUSTRIAL Estado: Bueno Placa anterior: 000006765 Material: METALICO Color: AZUL Referencia:  Observacion:  Placa padre:  Tipo adquisicion : Entidad</v>
      </c>
      <c r="G20040" s="5" t="str">
        <f>"SAX 608"</f>
        <v>SAX 608</v>
      </c>
    </row>
    <row r="20041" spans="1:7" ht="58.5" customHeight="1" x14ac:dyDescent="0.25">
      <c r="A20041" s="5" t="str">
        <f>"H0021543"</f>
        <v>H0021543</v>
      </c>
      <c r="B20041" s="5" t="str">
        <f>"PULIDORA (CORTE Y PULIDO)"</f>
        <v>PULIDORA (CORTE Y PULIDO)</v>
      </c>
      <c r="C20041" s="6">
        <v>629900.24</v>
      </c>
      <c r="D20041" s="5" t="s">
        <v>752</v>
      </c>
      <c r="E20041" s="5" t="str">
        <f t="shared" si="1020"/>
        <v>SISTEMAS-GLOBALTRONIK SAS-SERGIO PATIÑO</v>
      </c>
      <c r="F20041" s="5" t="str">
        <f>"Descripcion:ROTOMARTILLO SDS PLUS 1 D25123K + PULIDORA 4 1/2 DWE4010 Estado: Bueno Placa anterior: 000036506 Material: PASTA Color: NEGRO Y AZUL Referencia:  Observacion: BIEN TIENE PLACA ANTERIOR 000035537  FUNCIONARIO AUTORIZA SE CONCILIE CON PLACA 0000"&amp; "36506 Placa padre: H0018527 Tipo adquisicion : Entidad"</f>
        <v>Descripcion:ROTOMARTILLO SDS PLUS 1 D25123K + PULIDORA 4 1/2 DWE4010 Estado: Bueno Placa anterior: 000036506 Material: PASTA Color: NEGRO Y AZUL Referencia:  Observacion: BIEN TIENE PLACA ANTERIOR 000035537  FUNCIONARIO AUTORIZA SE CONCILIE CON PLACA 000036506 Placa padre: H0018527 Tipo adquisicion : Entidad</v>
      </c>
      <c r="G20041" s="5" t="str">
        <f>"DWE 4020 - B3"</f>
        <v>DWE 4020 - B3</v>
      </c>
    </row>
    <row r="20042" spans="1:7" ht="58.5" customHeight="1" x14ac:dyDescent="0.25">
      <c r="A20042" s="5" t="str">
        <f>"H0021544"</f>
        <v>H0021544</v>
      </c>
      <c r="B20042" s="5" t="str">
        <f>"ROTULADORA"</f>
        <v>ROTULADORA</v>
      </c>
      <c r="C20042" s="6">
        <v>55000</v>
      </c>
      <c r="D20042" s="5"/>
      <c r="E20042" s="5" t="str">
        <f t="shared" si="1020"/>
        <v>SISTEMAS-GLOBALTRONIK SAS-SERGIO PATIÑO</v>
      </c>
      <c r="F20042" s="5" t="str">
        <f>"Descripcion:IMPRESORA DIMO LETRA TAG Estado: Bueno Placa anterior: 000033537 Material: PASTA Color: AZUL Referencia:  Observacion:  Placa padre:  Tipo adquisicion : Entidad"</f>
        <v>Descripcion:IMPRESORA DIMO LETRA TAG Estado: Bueno Placa anterior: 000033537 Material: PASTA Color: AZUL Referencia:  Observacion:  Placa padre:  Tipo adquisicion : Entidad</v>
      </c>
      <c r="G20042" s="5" t="str">
        <f>"LABEL BUDDY"</f>
        <v>LABEL BUDDY</v>
      </c>
    </row>
    <row r="20043" spans="1:7" ht="58.5" customHeight="1" x14ac:dyDescent="0.25">
      <c r="A20043" s="5" t="str">
        <f>"H0021546"</f>
        <v>H0021546</v>
      </c>
      <c r="B20043" s="5" t="str">
        <f>"KIT DE DESTORNILLADORES"</f>
        <v>KIT DE DESTORNILLADORES</v>
      </c>
      <c r="C20043" s="6">
        <v>68700.14</v>
      </c>
      <c r="D20043" s="5" t="s">
        <v>752</v>
      </c>
      <c r="E20043" s="5" t="str">
        <f t="shared" si="1020"/>
        <v>SISTEMAS-GLOBALTRONIK SAS-SERGIO PATIÑO</v>
      </c>
      <c r="F20043" s="5" t="str">
        <f>"Descripcion:JUEGO DE DESTORNILLADORES AISLADOS 100V MAXSTEEL 65-980 (INCOMPLETO, SOLO TIENE 3 DESORNILLADORES) Estado: Bueno Placa anterior: 000036509 Material: METAL Color: ROJO Referencia:  Observacion:  Placa padre:  Tipo adquisicion : Entidad"</f>
        <v>Descripcion:JUEGO DE DESTORNILLADORES AISLADOS 100V MAXSTEEL 65-980 (INCOMPLETO, SOLO TIENE 3 DESORNILLADORES) Estado: Bueno Placa anterior: 000036509 Material: METAL Color: ROJO Referencia:  Observacion:  Placa padre:  Tipo adquisicion : Entidad</v>
      </c>
      <c r="G20043" s="5"/>
    </row>
    <row r="20044" spans="1:7" ht="58.5" customHeight="1" x14ac:dyDescent="0.25">
      <c r="A20044" s="5" t="str">
        <f>"H0021547"</f>
        <v>H0021547</v>
      </c>
      <c r="B20044" s="5" t="str">
        <f>"KIT DE DESTORNILLADORES"</f>
        <v>KIT DE DESTORNILLADORES</v>
      </c>
      <c r="C20044" s="6">
        <v>68700.14</v>
      </c>
      <c r="D20044" s="5" t="s">
        <v>752</v>
      </c>
      <c r="E20044" s="5" t="str">
        <f t="shared" si="1020"/>
        <v>SISTEMAS-GLOBALTRONIK SAS-SERGIO PATIÑO</v>
      </c>
      <c r="F20044" s="5" t="str">
        <f>"Descripcion:JUEGO DE DESTORNILLADORES AISLADOS 100V MAXSTEEL 65-980   (INCOMPLETO, SOLO TIENE 1 DESORNILLADOR DE PALA) Estado: Bueno Placa anterior: 000036507 Material: METAL Color: ROJO Referencia:  Observacion:  Placa padre:  Tipo adquisicion : Entidad"</f>
        <v>Descripcion:JUEGO DE DESTORNILLADORES AISLADOS 100V MAXSTEEL 65-980   (INCOMPLETO, SOLO TIENE 1 DESORNILLADOR DE PALA) Estado: Bueno Placa anterior: 000036507 Material: METAL Color: ROJO Referencia:  Observacion:  Placa padre:  Tipo adquisicion : Entidad</v>
      </c>
      <c r="G20044" s="5"/>
    </row>
    <row r="20045" spans="1:7" ht="58.5" customHeight="1" x14ac:dyDescent="0.25">
      <c r="A20045" s="5" t="str">
        <f>"H0021548"</f>
        <v>H0021548</v>
      </c>
      <c r="B20045" s="5" t="str">
        <f t="shared" ref="B20045:B20053" si="1021">"TRANSCEIVER"</f>
        <v>TRANSCEIVER</v>
      </c>
      <c r="C20045" s="6">
        <v>850000</v>
      </c>
      <c r="D20045" s="5"/>
      <c r="E20045" s="5" t="str">
        <f t="shared" si="1020"/>
        <v>SISTEMAS-GLOBALTRONIK SAS-SERGIO PATIÑO</v>
      </c>
      <c r="F20045" s="5" t="str">
        <f>"Descripcion:TRANSCEVER PARA FIBRA OPTICA Estado: Bueno Placa anterior: 000033542 Material: METALICO Color: GRIS Referencia:  Observacion:  Placa padre:  Tipo adquisicion : Entidad"</f>
        <v>Descripcion:TRANSCEVER PARA FIBRA OPTICA Estado: Bueno Placa anterior: 000033542 Material: METALICO Color: GRIS Referencia:  Observacion:  Placa padre:  Tipo adquisicion : Entidad</v>
      </c>
      <c r="G20045" s="5" t="str">
        <f t="shared" ref="G20045:G20053" si="1022">"AFBR-57R5APZ"</f>
        <v>AFBR-57R5APZ</v>
      </c>
    </row>
    <row r="20046" spans="1:7" ht="58.5" customHeight="1" x14ac:dyDescent="0.25">
      <c r="A20046" s="5" t="str">
        <f>"H0021549"</f>
        <v>H0021549</v>
      </c>
      <c r="B20046" s="5" t="str">
        <f t="shared" si="1021"/>
        <v>TRANSCEIVER</v>
      </c>
      <c r="C20046" s="6">
        <v>850000</v>
      </c>
      <c r="D20046" s="5"/>
      <c r="E20046" s="5" t="str">
        <f t="shared" si="1020"/>
        <v>SISTEMAS-GLOBALTRONIK SAS-SERGIO PATIÑO</v>
      </c>
      <c r="F20046" s="5" t="str">
        <f>"Descripcion:TRANSCEVER PARA FIBRA OPTICA Estado: Bueno Placa anterior: 000029054 Material: METALICO Color: GRIS Referencia:  Observacion:  Placa padre:  Tipo adquisicion : Entidad"</f>
        <v>Descripcion:TRANSCEVER PARA FIBRA OPTICA Estado: Bueno Placa anterior: 000029054 Material: METALICO Color: GRIS Referencia:  Observacion:  Placa padre:  Tipo adquisicion : Entidad</v>
      </c>
      <c r="G20046" s="5" t="str">
        <f t="shared" si="1022"/>
        <v>AFBR-57R5APZ</v>
      </c>
    </row>
    <row r="20047" spans="1:7" ht="58.5" customHeight="1" x14ac:dyDescent="0.25">
      <c r="A20047" s="5" t="str">
        <f>"H0021550"</f>
        <v>H0021550</v>
      </c>
      <c r="B20047" s="5" t="str">
        <f t="shared" si="1021"/>
        <v>TRANSCEIVER</v>
      </c>
      <c r="C20047" s="6">
        <v>850000</v>
      </c>
      <c r="D20047" s="5"/>
      <c r="E20047" s="5" t="str">
        <f t="shared" si="1020"/>
        <v>SISTEMAS-GLOBALTRONIK SAS-SERGIO PATIÑO</v>
      </c>
      <c r="F20047" s="5" t="str">
        <f>"Descripcion:TRANSCEVER PARA FIBRA OPTICA Estado: Bueno Placa anterior: 000029051 Material: METALICO Color: GRIS Referencia:  Observacion:  Placa padre:  Tipo adquisicion : Entidad"</f>
        <v>Descripcion:TRANSCEVER PARA FIBRA OPTICA Estado: Bueno Placa anterior: 000029051 Material: METALICO Color: GRIS Referencia:  Observacion:  Placa padre:  Tipo adquisicion : Entidad</v>
      </c>
      <c r="G20047" s="5" t="str">
        <f t="shared" si="1022"/>
        <v>AFBR-57R5APZ</v>
      </c>
    </row>
    <row r="20048" spans="1:7" ht="58.5" customHeight="1" x14ac:dyDescent="0.25">
      <c r="A20048" s="5" t="str">
        <f>"H0021551"</f>
        <v>H0021551</v>
      </c>
      <c r="B20048" s="5" t="str">
        <f t="shared" si="1021"/>
        <v>TRANSCEIVER</v>
      </c>
      <c r="C20048" s="6">
        <v>850000</v>
      </c>
      <c r="D20048" s="5"/>
      <c r="E20048" s="5" t="str">
        <f t="shared" si="1020"/>
        <v>SISTEMAS-GLOBALTRONIK SAS-SERGIO PATIÑO</v>
      </c>
      <c r="F20048" s="5" t="str">
        <f>"Descripcion:TRANSCEVER PARA FIBRA OPTICA Estado: Bueno Placa anterior: 000029049 Material: METALICO Color: GRIS Referencia:  Observacion:  Placa padre:  Tipo adquisicion : Entidad"</f>
        <v>Descripcion:TRANSCEVER PARA FIBRA OPTICA Estado: Bueno Placa anterior: 000029049 Material: METALICO Color: GRIS Referencia:  Observacion:  Placa padre:  Tipo adquisicion : Entidad</v>
      </c>
      <c r="G20048" s="5" t="str">
        <f t="shared" si="1022"/>
        <v>AFBR-57R5APZ</v>
      </c>
    </row>
    <row r="20049" spans="1:7" ht="58.5" customHeight="1" x14ac:dyDescent="0.25">
      <c r="A20049" s="5" t="str">
        <f>"H0021552"</f>
        <v>H0021552</v>
      </c>
      <c r="B20049" s="5" t="str">
        <f t="shared" si="1021"/>
        <v>TRANSCEIVER</v>
      </c>
      <c r="C20049" s="6">
        <v>850000</v>
      </c>
      <c r="D20049" s="5"/>
      <c r="E20049" s="5" t="str">
        <f t="shared" si="1020"/>
        <v>SISTEMAS-GLOBALTRONIK SAS-SERGIO PATIÑO</v>
      </c>
      <c r="F20049" s="5" t="str">
        <f>"Descripcion:TRANSCEVER PARA FIBRA OPTICA Estado: Bueno Placa anterior: 000029053 Material: METALICO Color: GRIS Referencia:  Observacion:  Placa padre:  Tipo adquisicion : Entidad"</f>
        <v>Descripcion:TRANSCEVER PARA FIBRA OPTICA Estado: Bueno Placa anterior: 000029053 Material: METALICO Color: GRIS Referencia:  Observacion:  Placa padre:  Tipo adquisicion : Entidad</v>
      </c>
      <c r="G20049" s="5" t="str">
        <f t="shared" si="1022"/>
        <v>AFBR-57R5APZ</v>
      </c>
    </row>
    <row r="20050" spans="1:7" ht="58.5" customHeight="1" x14ac:dyDescent="0.25">
      <c r="A20050" s="5" t="str">
        <f>"H0021553"</f>
        <v>H0021553</v>
      </c>
      <c r="B20050" s="5" t="str">
        <f t="shared" si="1021"/>
        <v>TRANSCEIVER</v>
      </c>
      <c r="C20050" s="6">
        <v>850000</v>
      </c>
      <c r="D20050" s="5"/>
      <c r="E20050" s="5" t="str">
        <f t="shared" si="1020"/>
        <v>SISTEMAS-GLOBALTRONIK SAS-SERGIO PATIÑO</v>
      </c>
      <c r="F20050" s="5" t="str">
        <f>"Descripcion:TRANSCEVER PARA FIBRA OPTICA Estado: Bueno Placa anterior: 000029055 Material: METALICO Color: GRIS Referencia:  Observacion:  Placa padre:  Tipo adquisicion : Entidad"</f>
        <v>Descripcion:TRANSCEVER PARA FIBRA OPTICA Estado: Bueno Placa anterior: 000029055 Material: METALICO Color: GRIS Referencia:  Observacion:  Placa padre:  Tipo adquisicion : Entidad</v>
      </c>
      <c r="G20050" s="5" t="str">
        <f t="shared" si="1022"/>
        <v>AFBR-57R5APZ</v>
      </c>
    </row>
    <row r="20051" spans="1:7" ht="58.5" customHeight="1" x14ac:dyDescent="0.25">
      <c r="A20051" s="5" t="str">
        <f>"H0021554"</f>
        <v>H0021554</v>
      </c>
      <c r="B20051" s="5" t="str">
        <f t="shared" si="1021"/>
        <v>TRANSCEIVER</v>
      </c>
      <c r="C20051" s="6">
        <v>850000</v>
      </c>
      <c r="D20051" s="5"/>
      <c r="E20051" s="5" t="str">
        <f t="shared" si="1020"/>
        <v>SISTEMAS-GLOBALTRONIK SAS-SERGIO PATIÑO</v>
      </c>
      <c r="F20051" s="5" t="str">
        <f>"Descripcion:TRANSCEVER PARA FIBRA OPTICA Estado: Bueno Placa anterior: 000033535 Material: METALICO Color: GRIS Referencia:  Observacion:  Placa padre:  Tipo adquisicion : Entidad"</f>
        <v>Descripcion:TRANSCEVER PARA FIBRA OPTICA Estado: Bueno Placa anterior: 000033535 Material: METALICO Color: GRIS Referencia:  Observacion:  Placa padre:  Tipo adquisicion : Entidad</v>
      </c>
      <c r="G20051" s="5" t="str">
        <f t="shared" si="1022"/>
        <v>AFBR-57R5APZ</v>
      </c>
    </row>
    <row r="20052" spans="1:7" ht="58.5" customHeight="1" x14ac:dyDescent="0.25">
      <c r="A20052" s="5" t="str">
        <f>"H0021555"</f>
        <v>H0021555</v>
      </c>
      <c r="B20052" s="5" t="str">
        <f t="shared" si="1021"/>
        <v>TRANSCEIVER</v>
      </c>
      <c r="C20052" s="6">
        <v>850000</v>
      </c>
      <c r="D20052" s="5"/>
      <c r="E20052" s="5" t="str">
        <f t="shared" si="1020"/>
        <v>SISTEMAS-GLOBALTRONIK SAS-SERGIO PATIÑO</v>
      </c>
      <c r="F20052" s="5" t="str">
        <f>"Descripcion:TRANSCEVER PARA FIBRA OPTICA Estado: Bueno Placa anterior: 000029057 Material: METALICO Color: GRIS Referencia:  Observacion:  Placa padre:  Tipo adquisicion : Entidad"</f>
        <v>Descripcion:TRANSCEVER PARA FIBRA OPTICA Estado: Bueno Placa anterior: 000029057 Material: METALICO Color: GRIS Referencia:  Observacion:  Placa padre:  Tipo adquisicion : Entidad</v>
      </c>
      <c r="G20052" s="5" t="str">
        <f t="shared" si="1022"/>
        <v>AFBR-57R5APZ</v>
      </c>
    </row>
    <row r="20053" spans="1:7" ht="58.5" customHeight="1" x14ac:dyDescent="0.25">
      <c r="A20053" s="5" t="str">
        <f>"H0021556"</f>
        <v>H0021556</v>
      </c>
      <c r="B20053" s="5" t="str">
        <f t="shared" si="1021"/>
        <v>TRANSCEIVER</v>
      </c>
      <c r="C20053" s="6">
        <v>850000</v>
      </c>
      <c r="D20053" s="5"/>
      <c r="E20053" s="5" t="str">
        <f t="shared" si="1020"/>
        <v>SISTEMAS-GLOBALTRONIK SAS-SERGIO PATIÑO</v>
      </c>
      <c r="F20053" s="5" t="str">
        <f>"Descripcion:TRANSCEVER PARA FIBRA OPTICA Estado: Bueno Placa anterior: 000029050 Material: METALICO Color: GRIS Referencia:  Observacion:  Placa padre:  Tipo adquisicion : Entidad"</f>
        <v>Descripcion:TRANSCEVER PARA FIBRA OPTICA Estado: Bueno Placa anterior: 000029050 Material: METALICO Color: GRIS Referencia:  Observacion:  Placa padre:  Tipo adquisicion : Entidad</v>
      </c>
      <c r="G20053" s="5" t="str">
        <f t="shared" si="1022"/>
        <v>AFBR-57R5APZ</v>
      </c>
    </row>
    <row r="20054" spans="1:7" ht="58.5" customHeight="1" x14ac:dyDescent="0.25">
      <c r="A20054" s="5" t="str">
        <f>"H0021559"</f>
        <v>H0021559</v>
      </c>
      <c r="B20054" s="5" t="str">
        <f>"ENRUTADOR (ROUTER)"</f>
        <v>ENRUTADOR (ROUTER)</v>
      </c>
      <c r="C20054" s="6">
        <v>11455000</v>
      </c>
      <c r="D20054" s="5"/>
      <c r="E20054" s="5" t="str">
        <f t="shared" si="1020"/>
        <v>SISTEMAS-GLOBALTRONIK SAS-SERGIO PATIÑO</v>
      </c>
      <c r="F20054" s="5" t="str">
        <f>"Descripcion:ROUTER MCA.CISCO 2610 MODULAR CON: Estado: Bueno Placa anterior: 000022248A Material: PASTA Color: NEGRO Referencia: 39025519 Observacion:  Placa padre:  Tipo adquisicion : Entidad"</f>
        <v>Descripcion:ROUTER MCA.CISCO 2610 MODULAR CON: Estado: Bueno Placa anterior: 000022248A Material: PASTA Color: NEGRO Referencia: 39025519 Observacion:  Placa padre:  Tipo adquisicion : Entidad</v>
      </c>
      <c r="G20054" s="5"/>
    </row>
    <row r="20055" spans="1:7" ht="58.5" customHeight="1" x14ac:dyDescent="0.25">
      <c r="A20055" s="5" t="str">
        <f>"H0021560"</f>
        <v>H0021560</v>
      </c>
      <c r="B20055" s="5" t="str">
        <f>"PONCHADORA"</f>
        <v>PONCHADORA</v>
      </c>
      <c r="C20055" s="6">
        <v>220400</v>
      </c>
      <c r="D20055" s="5"/>
      <c r="E20055" s="5" t="str">
        <f t="shared" si="1020"/>
        <v>SISTEMAS-GLOBALTRONIK SAS-SERGIO PATIÑO</v>
      </c>
      <c r="F20055" s="5" t="str">
        <f>"Descripcion:PONCHADORA DE IMPACTO S110 Estado: Bueno Placa anterior: 000022427 Material: PASTA Color: NEGRO Y AMARILLO Referencia:  Observacion:  Placa padre:  Tipo adquisicion : Entidad"</f>
        <v>Descripcion:PONCHADORA DE IMPACTO S110 Estado: Bueno Placa anterior: 000022427 Material: PASTA Color: NEGRO Y AMARILLO Referencia:  Observacion:  Placa padre:  Tipo adquisicion : Entidad</v>
      </c>
      <c r="G20055" s="5" t="str">
        <f>"S-TOD"</f>
        <v>S-TOD</v>
      </c>
    </row>
    <row r="20056" spans="1:7" ht="58.5" customHeight="1" x14ac:dyDescent="0.25">
      <c r="A20056" s="5" t="str">
        <f>"H0021561"</f>
        <v>H0021561</v>
      </c>
      <c r="B20056" s="5" t="str">
        <f>"SILLA INTERLOCUTORA (FIJA) SIN BRAZOS"</f>
        <v>SILLA INTERLOCUTORA (FIJA) SIN BRAZOS</v>
      </c>
      <c r="C20056" s="6">
        <v>5610</v>
      </c>
      <c r="D20056" s="5"/>
      <c r="E20056" s="5" t="str">
        <f t="shared" si="1020"/>
        <v>SISTEMAS-GLOBALTRONIK SAS-SERGIO PATIÑO</v>
      </c>
      <c r="F20056" s="5" t="str">
        <f>"Descripcion:SILLA FIJA TIPO A COLOR MARRON Estado: Bueno Placa anterior: 000006743 Material: METALICO Y CUERO Color: GRIS Y MARRON Referencia:  Observacion: FUNCIONARIO AUTORIZA SE CONCILIE CON PLACA 000006743 Placa padre:  Tipo adquisicion : Entidad"</f>
        <v>Descripcion:SILLA FIJA TIPO A COLOR MARRON Estado: Bueno Placa anterior: 000006743 Material: METALICO Y CUERO Color: GRIS Y MARRON Referencia:  Observacion: FUNCIONARIO AUTORIZA SE CONCILIE CON PLACA 000006743 Placa padre:  Tipo adquisicion : Entidad</v>
      </c>
      <c r="G20056" s="5"/>
    </row>
    <row r="20057" spans="1:7" ht="58.5" customHeight="1" x14ac:dyDescent="0.25">
      <c r="A20057" s="5" t="str">
        <f>"H0021562"</f>
        <v>H0021562</v>
      </c>
      <c r="B20057" s="5" t="str">
        <f>"SILLA INTERLOCUTORA (FIJA) SIN BRAZOS"</f>
        <v>SILLA INTERLOCUTORA (FIJA) SIN BRAZOS</v>
      </c>
      <c r="C20057" s="6">
        <v>5610</v>
      </c>
      <c r="D20057" s="5"/>
      <c r="E20057" s="5" t="str">
        <f t="shared" si="1020"/>
        <v>SISTEMAS-GLOBALTRONIK SAS-SERGIO PATIÑO</v>
      </c>
      <c r="F20057" s="5" t="str">
        <f>"Descripcion:SILLA FIJA TIPO A COLOR MARRON Estado: Bueno Placa anterior: 000006742 Material: METALICO Y CUERO Color: GRIS Y MARRON Referencia:  Observacion: FUNCIONARIO AUTORIZA SE CONCILIE CON PLACA 000006742 Placa padre:  Tipo adquisicion : Entidad"</f>
        <v>Descripcion:SILLA FIJA TIPO A COLOR MARRON Estado: Bueno Placa anterior: 000006742 Material: METALICO Y CUERO Color: GRIS Y MARRON Referencia:  Observacion: FUNCIONARIO AUTORIZA SE CONCILIE CON PLACA 000006742 Placa padre:  Tipo adquisicion : Entidad</v>
      </c>
      <c r="G20057" s="5"/>
    </row>
    <row r="20058" spans="1:7" ht="58.5" customHeight="1" x14ac:dyDescent="0.25">
      <c r="A20058" s="5" t="str">
        <f>"H0021563"</f>
        <v>H0021563</v>
      </c>
      <c r="B20058" s="5" t="str">
        <f>"SILLA INTERLOCUTORA (FIJA) SIN BRAZOS"</f>
        <v>SILLA INTERLOCUTORA (FIJA) SIN BRAZOS</v>
      </c>
      <c r="C20058" s="6">
        <v>5610</v>
      </c>
      <c r="D20058" s="5"/>
      <c r="E20058" s="5" t="str">
        <f t="shared" si="1020"/>
        <v>SISTEMAS-GLOBALTRONIK SAS-SERGIO PATIÑO</v>
      </c>
      <c r="F20058" s="5" t="str">
        <f>"Descripcion:SILLA FIJA TIPO A COLOR MARRON Estado: Bueno Placa anterior: 000006740 Material: METALICO Y CUERO Color: GRIS Y MARRON Referencia:  Observacion: FUNCIONARIO AUTORIZA SE CONCILIE CON PLACA 000006740 Placa padre:  Tipo adquisicion : Entidad"</f>
        <v>Descripcion:SILLA FIJA TIPO A COLOR MARRON Estado: Bueno Placa anterior: 000006740 Material: METALICO Y CUERO Color: GRIS Y MARRON Referencia:  Observacion: FUNCIONARIO AUTORIZA SE CONCILIE CON PLACA 000006740 Placa padre:  Tipo adquisicion : Entidad</v>
      </c>
      <c r="G20058" s="5"/>
    </row>
    <row r="20059" spans="1:7" ht="58.5" customHeight="1" x14ac:dyDescent="0.25">
      <c r="A20059" s="5" t="str">
        <f>"H0021982"</f>
        <v>H0021982</v>
      </c>
      <c r="B20059" s="5" t="str">
        <f>"TRANSCEIVER"</f>
        <v>TRANSCEIVER</v>
      </c>
      <c r="C20059" s="6">
        <v>850000</v>
      </c>
      <c r="D20059" s="5"/>
      <c r="E20059" s="5" t="str">
        <f t="shared" si="1020"/>
        <v>SISTEMAS-GLOBALTRONIK SAS-SERGIO PATIÑO</v>
      </c>
      <c r="F20059" s="5" t="str">
        <f>"Descripcion:TRANSCEVER PARA FIBRA OPTICA Estado: Bueno Placa anterior: 000033539 Material: METALICO Color: GRIS Referencia:  Observacion: SE ENCUENTRA PARA USO EN EL SWITCH DE ALMACEN Placa padre:  Tipo adquisicion : Entidad"</f>
        <v>Descripcion:TRANSCEVER PARA FIBRA OPTICA Estado: Bueno Placa anterior: 000033539 Material: METALICO Color: GRIS Referencia:  Observacion: SE ENCUENTRA PARA USO EN EL SWITCH DE ALMACEN Placa padre:  Tipo adquisicion : Entidad</v>
      </c>
      <c r="G20059" s="5"/>
    </row>
    <row r="20060" spans="1:7" ht="58.5" customHeight="1" x14ac:dyDescent="0.25">
      <c r="A20060" s="5" t="str">
        <f>"H0021983"</f>
        <v>H0021983</v>
      </c>
      <c r="B20060" s="5" t="str">
        <f>"CIZALLA GRANDE"</f>
        <v>CIZALLA GRANDE</v>
      </c>
      <c r="C20060" s="6">
        <v>500000</v>
      </c>
      <c r="D20060" s="5"/>
      <c r="E20060" s="5" t="str">
        <f t="shared" si="1020"/>
        <v>SISTEMAS-GLOBALTRONIK SAS-SERGIO PATIÑO</v>
      </c>
      <c r="F20060" s="5" t="str">
        <f>"Descripcion:PINZA CORTADORA DE CABLE FIL Estado: Bueno Placa anterior: 000033403 Material: METALICA Color: ROJA Referencia:  Observacion: SE ENCUENTRA UBICADA EN EL CUARTO AL LADO DE VIGILANCIA Placa padre:  Tipo adquisicion : Entidad"</f>
        <v>Descripcion:PINZA CORTADORA DE CABLE FIL Estado: Bueno Placa anterior: 000033403 Material: METALICA Color: ROJA Referencia:  Observacion: SE ENCUENTRA UBICADA EN EL CUARTO AL LADO DE VIGILANCIA Placa padre:  Tipo adquisicion : Entidad</v>
      </c>
      <c r="G20060" s="5"/>
    </row>
    <row r="20061" spans="1:7" ht="58.5" customHeight="1" x14ac:dyDescent="0.25">
      <c r="A20061" s="5" t="str">
        <f>"H0021984"</f>
        <v>H0021984</v>
      </c>
      <c r="B20061" s="5" t="str">
        <f>"SWITCH 48 PUERTOS ADMINISTRABLE"</f>
        <v>SWITCH 48 PUERTOS ADMINISTRABLE</v>
      </c>
      <c r="C20061" s="6">
        <v>2274064</v>
      </c>
      <c r="D20061" s="5" t="s">
        <v>864</v>
      </c>
      <c r="E20061" s="5" t="str">
        <f t="shared" si="1020"/>
        <v>SISTEMAS-GLOBALTRONIK SAS-SERGIO PATIÑO</v>
      </c>
      <c r="F20061" s="5" t="str">
        <f>"Descripcion:SWITCHE DE 48 PUERTOS 10/100/1000 CON 4 PUERTOS SFP.ADMINISTRABLE CAPA3 Estado: Bueno Placa anterior: 000030346 Material: PASTA Color: NEGRO Referencia:  Observacion:  Placa padre:  Tipo adquisicion : Entidad"</f>
        <v>Descripcion:SWITCHE DE 48 PUERTOS 10/100/1000 CON 4 PUERTOS SFP.ADMINISTRABLE CAPA3 Estado: Bueno Placa anterior: 000030346 Material: PASTA Color: NEGRO Referencia:  Observacion:  Placa padre:  Tipo adquisicion : Entidad</v>
      </c>
      <c r="G20061" s="5" t="str">
        <f>"HP 1910-48"</f>
        <v>HP 1910-48</v>
      </c>
    </row>
    <row r="20062" spans="1:7" ht="58.5" customHeight="1" x14ac:dyDescent="0.25">
      <c r="A20062" s="5" t="str">
        <f>"H0021993"</f>
        <v>H0021993</v>
      </c>
      <c r="B20062" s="5" t="str">
        <f>"CAMARA DE VIDEOVIGILANCIA"</f>
        <v>CAMARA DE VIDEOVIGILANCIA</v>
      </c>
      <c r="C20062" s="6">
        <v>150000</v>
      </c>
      <c r="D20062" s="5" t="s">
        <v>210</v>
      </c>
      <c r="E20062" s="5" t="str">
        <f t="shared" si="1020"/>
        <v>SISTEMAS-GLOBALTRONIK SAS-SERGIO PATIÑO</v>
      </c>
      <c r="F20062" s="5" t="str">
        <f>"Descripcion:MINIDOMO HIKVISION 700TVL LENTE 2.8MM Estado: Excelente Placa anterior: 000030721 Material: PASTA Color: BLANCO Referencia:  Observacion:  Placa padre:  Tipo adquisicion : Entidad"</f>
        <v>Descripcion:MINIDOMO HIKVISION 700TVL LENTE 2.8MM Estado: Excelente Placa anterior: 000030721 Material: PASTA Color: BLANCO Referencia:  Observacion:  Placa padre:  Tipo adquisicion : Entidad</v>
      </c>
      <c r="G20062" s="5" t="str">
        <f>"DS-2CE55A2N-IRM"</f>
        <v>DS-2CE55A2N-IRM</v>
      </c>
    </row>
    <row r="20063" spans="1:7" ht="58.5" customHeight="1" x14ac:dyDescent="0.25">
      <c r="A20063" s="5" t="str">
        <f>"H0022318"</f>
        <v>H0022318</v>
      </c>
      <c r="B20063" s="5" t="str">
        <f>"CAMARA DE VIDEOVIGILANCIA"</f>
        <v>CAMARA DE VIDEOVIGILANCIA</v>
      </c>
      <c r="C20063" s="6">
        <v>371000</v>
      </c>
      <c r="D20063" s="5" t="s">
        <v>213</v>
      </c>
      <c r="E20063" s="5" t="str">
        <f t="shared" si="1020"/>
        <v>SISTEMAS-GLOBALTRONIK SAS-SERGIO PATIÑO</v>
      </c>
      <c r="F20063" s="5" t="str">
        <f>"Descripcion:CAMARA IP TIPO DOMO 2 MPX LENTE DE 2.8 mm PoE 1/3 (WI-FI) Estado: Bueno Placa anterior: 000038222 Material: PASTA Color: NEGRO Referencia:  Observacion: SE ENCUENTRA EN EL PASILLO AL FRENTE DE LA OFICINA DE SISTEMAS Placa padre:  Tipo adquisic"&amp; "ion : Entidad"</f>
        <v>Descripcion:CAMARA IP TIPO DOMO 2 MPX LENTE DE 2.8 mm PoE 1/3 (WI-FI) Estado: Bueno Placa anterior: 000038222 Material: PASTA Color: NEGRO Referencia:  Observacion: SE ENCUENTRA EN EL PASILLO AL FRENTE DE LA OFICINA DE SISTEMAS Placa padre:  Tipo adquisicion : Entidad</v>
      </c>
      <c r="G20063" s="5"/>
    </row>
    <row r="20064" spans="1:7" ht="58.5" customHeight="1" x14ac:dyDescent="0.25">
      <c r="A20064" s="5" t="str">
        <f>"H0022357"</f>
        <v>H0022357</v>
      </c>
      <c r="B20064" s="5" t="str">
        <f>"LICENCIA FORTIGATE-300C UTM Bundle (24x7 FortiCare plus NGFW, AV, Web Filtering and Antispam Services) P/N:FC-10-00302-950-02-12"</f>
        <v>LICENCIA FORTIGATE-300C UTM Bundle (24x7 FortiCare plus NGFW, AV, Web Filtering and Antispam Services) P/N:FC-10-00302-950-02-12</v>
      </c>
      <c r="C20064" s="6">
        <v>11910200</v>
      </c>
      <c r="D20064" s="5" t="s">
        <v>712</v>
      </c>
      <c r="E20064" s="5" t="str">
        <f t="shared" si="1020"/>
        <v>SISTEMAS-GLOBALTRONIK SAS-SERGIO PATIÑO</v>
      </c>
      <c r="F20064" s="5"/>
      <c r="G20064" s="5"/>
    </row>
    <row r="20065" spans="1:7" ht="58.5" customHeight="1" x14ac:dyDescent="0.25">
      <c r="A20065" s="5" t="str">
        <f>"h0022364"</f>
        <v>h0022364</v>
      </c>
      <c r="B20065" s="5" t="str">
        <f>"COMPUTADOR CORE I7 SEXTA GENERACIÓN, RAM 16 GB DDR4, DISCO DURO 256 GB SSD, DISCO DURO 1 TB, TARJETA DE VIDEO K2200 4 GB, MONITOR 24” LED"</f>
        <v>COMPUTADOR CORE I7 SEXTA GENERACIÓN, RAM 16 GB DDR4, DISCO DURO 256 GB SSD, DISCO DURO 1 TB, TARJETA DE VIDEO K2200 4 GB, MONITOR 24” LED</v>
      </c>
      <c r="C20065" s="6">
        <v>10788896.5</v>
      </c>
      <c r="D20065" s="5" t="s">
        <v>865</v>
      </c>
      <c r="E20065" s="5" t="str">
        <f t="shared" si="1020"/>
        <v>SISTEMAS-GLOBALTRONIK SAS-SERGIO PATIÑO</v>
      </c>
      <c r="F20065" s="5"/>
      <c r="G20065" s="5"/>
    </row>
    <row r="20066" spans="1:7" ht="58.5" customHeight="1" x14ac:dyDescent="0.25">
      <c r="A20066" s="5" t="str">
        <f>"H0022366"</f>
        <v>H0022366</v>
      </c>
      <c r="B20066" s="5" t="str">
        <f>"COMPUTADOR CORE I7 SEXTA GENERACIÓN, RAM 16 GB DDR4, DISCO DURO 256 GB SSD, DISCO DURO 1 TB, TARJETA DE VIDEO K2200 4 GB, MONITOR 24” LED"</f>
        <v>COMPUTADOR CORE I7 SEXTA GENERACIÓN, RAM 16 GB DDR4, DISCO DURO 256 GB SSD, DISCO DURO 1 TB, TARJETA DE VIDEO K2200 4 GB, MONITOR 24” LED</v>
      </c>
      <c r="C20066" s="6">
        <v>10788896.5</v>
      </c>
      <c r="D20066" s="5" t="s">
        <v>699</v>
      </c>
      <c r="E20066" s="5" t="str">
        <f t="shared" si="1020"/>
        <v>SISTEMAS-GLOBALTRONIK SAS-SERGIO PATIÑO</v>
      </c>
      <c r="F20066" s="5"/>
      <c r="G20066" s="5"/>
    </row>
    <row r="20067" spans="1:7" ht="58.5" customHeight="1" x14ac:dyDescent="0.25">
      <c r="A20067" s="5" t="str">
        <f>"H0024400"</f>
        <v>H0024400</v>
      </c>
      <c r="B20067" s="5" t="str">
        <f t="shared" ref="B20067:B20075" si="1023">"ACCES POINT INALAMBRICO PARA INTERIORES.BANDA 2.4 y 5 Ghz. 3x3 ANTENAS MIMO. 2 PUERTOS DE RED.INCLUYE FUENTE DE ALIMENTACIÓN. PUERTO USB"</f>
        <v>ACCES POINT INALAMBRICO PARA INTERIORES.BANDA 2.4 y 5 Ghz. 3x3 ANTENAS MIMO. 2 PUERTOS DE RED.INCLUYE FUENTE DE ALIMENTACIÓN. PUERTO USB</v>
      </c>
      <c r="C20067" s="6">
        <v>3364000</v>
      </c>
      <c r="D20067" s="5" t="s">
        <v>791</v>
      </c>
      <c r="E20067" s="5" t="str">
        <f t="shared" si="1020"/>
        <v>SISTEMAS-GLOBALTRONIK SAS-SERGIO PATIÑO</v>
      </c>
      <c r="F20067" s="5"/>
      <c r="G20067" s="5"/>
    </row>
    <row r="20068" spans="1:7" ht="58.5" customHeight="1" x14ac:dyDescent="0.25">
      <c r="A20068" s="5" t="str">
        <f>"H0024401"</f>
        <v>H0024401</v>
      </c>
      <c r="B20068" s="5" t="str">
        <f t="shared" si="1023"/>
        <v>ACCES POINT INALAMBRICO PARA INTERIORES.BANDA 2.4 y 5 Ghz. 3x3 ANTENAS MIMO. 2 PUERTOS DE RED.INCLUYE FUENTE DE ALIMENTACIÓN. PUERTO USB</v>
      </c>
      <c r="C20068" s="6">
        <v>3364000</v>
      </c>
      <c r="D20068" s="5" t="s">
        <v>791</v>
      </c>
      <c r="E20068" s="5" t="str">
        <f t="shared" si="1020"/>
        <v>SISTEMAS-GLOBALTRONIK SAS-SERGIO PATIÑO</v>
      </c>
      <c r="F20068" s="5"/>
      <c r="G20068" s="5"/>
    </row>
    <row r="20069" spans="1:7" ht="58.5" customHeight="1" x14ac:dyDescent="0.25">
      <c r="A20069" s="5" t="str">
        <f>"H0024403"</f>
        <v>H0024403</v>
      </c>
      <c r="B20069" s="5" t="str">
        <f t="shared" si="1023"/>
        <v>ACCES POINT INALAMBRICO PARA INTERIORES.BANDA 2.4 y 5 Ghz. 3x3 ANTENAS MIMO. 2 PUERTOS DE RED.INCLUYE FUENTE DE ALIMENTACIÓN. PUERTO USB</v>
      </c>
      <c r="C20069" s="6">
        <v>3364000</v>
      </c>
      <c r="D20069" s="5" t="s">
        <v>791</v>
      </c>
      <c r="E20069" s="5" t="str">
        <f t="shared" si="1020"/>
        <v>SISTEMAS-GLOBALTRONIK SAS-SERGIO PATIÑO</v>
      </c>
      <c r="F20069" s="5"/>
      <c r="G20069" s="5"/>
    </row>
    <row r="20070" spans="1:7" ht="58.5" customHeight="1" x14ac:dyDescent="0.25">
      <c r="A20070" s="5" t="str">
        <f>"H0024404"</f>
        <v>H0024404</v>
      </c>
      <c r="B20070" s="5" t="str">
        <f t="shared" si="1023"/>
        <v>ACCES POINT INALAMBRICO PARA INTERIORES.BANDA 2.4 y 5 Ghz. 3x3 ANTENAS MIMO. 2 PUERTOS DE RED.INCLUYE FUENTE DE ALIMENTACIÓN. PUERTO USB</v>
      </c>
      <c r="C20070" s="6">
        <v>3364000</v>
      </c>
      <c r="D20070" s="5" t="s">
        <v>791</v>
      </c>
      <c r="E20070" s="5" t="str">
        <f t="shared" si="1020"/>
        <v>SISTEMAS-GLOBALTRONIK SAS-SERGIO PATIÑO</v>
      </c>
      <c r="F20070" s="5"/>
      <c r="G20070" s="5"/>
    </row>
    <row r="20071" spans="1:7" ht="58.5" customHeight="1" x14ac:dyDescent="0.25">
      <c r="A20071" s="5" t="str">
        <f>"H0024405"</f>
        <v>H0024405</v>
      </c>
      <c r="B20071" s="5" t="str">
        <f t="shared" si="1023"/>
        <v>ACCES POINT INALAMBRICO PARA INTERIORES.BANDA 2.4 y 5 Ghz. 3x3 ANTENAS MIMO. 2 PUERTOS DE RED.INCLUYE FUENTE DE ALIMENTACIÓN. PUERTO USB</v>
      </c>
      <c r="C20071" s="6">
        <v>3364000</v>
      </c>
      <c r="D20071" s="5" t="s">
        <v>791</v>
      </c>
      <c r="E20071" s="5" t="str">
        <f t="shared" si="1020"/>
        <v>SISTEMAS-GLOBALTRONIK SAS-SERGIO PATIÑO</v>
      </c>
      <c r="F20071" s="5"/>
      <c r="G20071" s="5"/>
    </row>
    <row r="20072" spans="1:7" ht="58.5" customHeight="1" x14ac:dyDescent="0.25">
      <c r="A20072" s="5" t="str">
        <f>"H0024406"</f>
        <v>H0024406</v>
      </c>
      <c r="B20072" s="5" t="str">
        <f t="shared" si="1023"/>
        <v>ACCES POINT INALAMBRICO PARA INTERIORES.BANDA 2.4 y 5 Ghz. 3x3 ANTENAS MIMO. 2 PUERTOS DE RED.INCLUYE FUENTE DE ALIMENTACIÓN. PUERTO USB</v>
      </c>
      <c r="C20072" s="6">
        <v>3364000</v>
      </c>
      <c r="D20072" s="5" t="s">
        <v>791</v>
      </c>
      <c r="E20072" s="5" t="str">
        <f t="shared" si="1020"/>
        <v>SISTEMAS-GLOBALTRONIK SAS-SERGIO PATIÑO</v>
      </c>
      <c r="F20072" s="5"/>
      <c r="G20072" s="5"/>
    </row>
    <row r="20073" spans="1:7" ht="58.5" customHeight="1" x14ac:dyDescent="0.25">
      <c r="A20073" s="5" t="str">
        <f>"H0024407"</f>
        <v>H0024407</v>
      </c>
      <c r="B20073" s="5" t="str">
        <f t="shared" si="1023"/>
        <v>ACCES POINT INALAMBRICO PARA INTERIORES.BANDA 2.4 y 5 Ghz. 3x3 ANTENAS MIMO. 2 PUERTOS DE RED.INCLUYE FUENTE DE ALIMENTACIÓN. PUERTO USB</v>
      </c>
      <c r="C20073" s="6">
        <v>3364000</v>
      </c>
      <c r="D20073" s="5" t="s">
        <v>791</v>
      </c>
      <c r="E20073" s="5" t="str">
        <f t="shared" si="1020"/>
        <v>SISTEMAS-GLOBALTRONIK SAS-SERGIO PATIÑO</v>
      </c>
      <c r="F20073" s="5"/>
      <c r="G20073" s="5"/>
    </row>
    <row r="20074" spans="1:7" ht="58.5" customHeight="1" x14ac:dyDescent="0.25">
      <c r="A20074" s="5" t="str">
        <f>"H0024408"</f>
        <v>H0024408</v>
      </c>
      <c r="B20074" s="5" t="str">
        <f t="shared" si="1023"/>
        <v>ACCES POINT INALAMBRICO PARA INTERIORES.BANDA 2.4 y 5 Ghz. 3x3 ANTENAS MIMO. 2 PUERTOS DE RED.INCLUYE FUENTE DE ALIMENTACIÓN. PUERTO USB</v>
      </c>
      <c r="C20074" s="6">
        <v>3364000</v>
      </c>
      <c r="D20074" s="5" t="s">
        <v>791</v>
      </c>
      <c r="E20074" s="5" t="str">
        <f t="shared" si="1020"/>
        <v>SISTEMAS-GLOBALTRONIK SAS-SERGIO PATIÑO</v>
      </c>
      <c r="F20074" s="5"/>
      <c r="G20074" s="5"/>
    </row>
    <row r="20075" spans="1:7" ht="58.5" customHeight="1" x14ac:dyDescent="0.25">
      <c r="A20075" s="5" t="str">
        <f>"H0024409"</f>
        <v>H0024409</v>
      </c>
      <c r="B20075" s="5" t="str">
        <f t="shared" si="1023"/>
        <v>ACCES POINT INALAMBRICO PARA INTERIORES.BANDA 2.4 y 5 Ghz. 3x3 ANTENAS MIMO. 2 PUERTOS DE RED.INCLUYE FUENTE DE ALIMENTACIÓN. PUERTO USB</v>
      </c>
      <c r="C20075" s="6">
        <v>3364000</v>
      </c>
      <c r="D20075" s="5" t="s">
        <v>791</v>
      </c>
      <c r="E20075" s="5" t="str">
        <f t="shared" si="1020"/>
        <v>SISTEMAS-GLOBALTRONIK SAS-SERGIO PATIÑO</v>
      </c>
      <c r="F20075" s="5"/>
      <c r="G20075" s="5"/>
    </row>
    <row r="20076" spans="1:7" ht="58.5" customHeight="1" x14ac:dyDescent="0.25">
      <c r="A20076" s="5" t="str">
        <f>"H0024410"</f>
        <v>H0024410</v>
      </c>
      <c r="B20076" s="5" t="str">
        <f t="shared" ref="B20076:B20082" si="1024">"MODULO DE FIBRA SFP+ DE 10 DE DOS PUERTOS PARA SWITCH"</f>
        <v>MODULO DE FIBRA SFP+ DE 10 DE DOS PUERTOS PARA SWITCH</v>
      </c>
      <c r="C20076" s="6">
        <v>2436000</v>
      </c>
      <c r="D20076" s="5" t="s">
        <v>791</v>
      </c>
      <c r="E20076" s="5" t="str">
        <f t="shared" si="1020"/>
        <v>SISTEMAS-GLOBALTRONIK SAS-SERGIO PATIÑO</v>
      </c>
      <c r="F20076" s="5"/>
      <c r="G20076" s="5"/>
    </row>
    <row r="20077" spans="1:7" ht="58.5" customHeight="1" x14ac:dyDescent="0.25">
      <c r="A20077" s="5" t="str">
        <f>"H0024411"</f>
        <v>H0024411</v>
      </c>
      <c r="B20077" s="5" t="str">
        <f t="shared" si="1024"/>
        <v>MODULO DE FIBRA SFP+ DE 10 DE DOS PUERTOS PARA SWITCH</v>
      </c>
      <c r="C20077" s="6">
        <v>2436000</v>
      </c>
      <c r="D20077" s="5" t="s">
        <v>791</v>
      </c>
      <c r="E20077" s="5" t="str">
        <f t="shared" si="1020"/>
        <v>SISTEMAS-GLOBALTRONIK SAS-SERGIO PATIÑO</v>
      </c>
      <c r="F20077" s="5"/>
      <c r="G20077" s="5"/>
    </row>
    <row r="20078" spans="1:7" ht="58.5" customHeight="1" x14ac:dyDescent="0.25">
      <c r="A20078" s="5" t="str">
        <f>"H0024412"</f>
        <v>H0024412</v>
      </c>
      <c r="B20078" s="5" t="str">
        <f t="shared" si="1024"/>
        <v>MODULO DE FIBRA SFP+ DE 10 DE DOS PUERTOS PARA SWITCH</v>
      </c>
      <c r="C20078" s="6">
        <v>2436000</v>
      </c>
      <c r="D20078" s="5" t="s">
        <v>791</v>
      </c>
      <c r="E20078" s="5" t="str">
        <f t="shared" si="1020"/>
        <v>SISTEMAS-GLOBALTRONIK SAS-SERGIO PATIÑO</v>
      </c>
      <c r="F20078" s="5"/>
      <c r="G20078" s="5"/>
    </row>
    <row r="20079" spans="1:7" ht="58.5" customHeight="1" x14ac:dyDescent="0.25">
      <c r="A20079" s="5" t="str">
        <f>"H0024413"</f>
        <v>H0024413</v>
      </c>
      <c r="B20079" s="5" t="str">
        <f t="shared" si="1024"/>
        <v>MODULO DE FIBRA SFP+ DE 10 DE DOS PUERTOS PARA SWITCH</v>
      </c>
      <c r="C20079" s="6">
        <v>2436000</v>
      </c>
      <c r="D20079" s="5" t="s">
        <v>791</v>
      </c>
      <c r="E20079" s="5" t="str">
        <f t="shared" si="1020"/>
        <v>SISTEMAS-GLOBALTRONIK SAS-SERGIO PATIÑO</v>
      </c>
      <c r="F20079" s="5"/>
      <c r="G20079" s="5"/>
    </row>
    <row r="20080" spans="1:7" ht="58.5" customHeight="1" x14ac:dyDescent="0.25">
      <c r="A20080" s="5" t="str">
        <f>"H0024414"</f>
        <v>H0024414</v>
      </c>
      <c r="B20080" s="5" t="str">
        <f t="shared" si="1024"/>
        <v>MODULO DE FIBRA SFP+ DE 10 DE DOS PUERTOS PARA SWITCH</v>
      </c>
      <c r="C20080" s="6">
        <v>2436000</v>
      </c>
      <c r="D20080" s="5" t="s">
        <v>791</v>
      </c>
      <c r="E20080" s="5" t="str">
        <f t="shared" si="1020"/>
        <v>SISTEMAS-GLOBALTRONIK SAS-SERGIO PATIÑO</v>
      </c>
      <c r="F20080" s="5"/>
      <c r="G20080" s="5"/>
    </row>
    <row r="20081" spans="1:7" ht="58.5" customHeight="1" x14ac:dyDescent="0.25">
      <c r="A20081" s="5" t="str">
        <f>"H0024415"</f>
        <v>H0024415</v>
      </c>
      <c r="B20081" s="5" t="str">
        <f t="shared" si="1024"/>
        <v>MODULO DE FIBRA SFP+ DE 10 DE DOS PUERTOS PARA SWITCH</v>
      </c>
      <c r="C20081" s="6">
        <v>2436000</v>
      </c>
      <c r="D20081" s="5" t="s">
        <v>791</v>
      </c>
      <c r="E20081" s="5" t="str">
        <f t="shared" si="1020"/>
        <v>SISTEMAS-GLOBALTRONIK SAS-SERGIO PATIÑO</v>
      </c>
      <c r="F20081" s="5"/>
      <c r="G20081" s="5"/>
    </row>
    <row r="20082" spans="1:7" ht="58.5" customHeight="1" x14ac:dyDescent="0.25">
      <c r="A20082" s="5" t="str">
        <f>"H0024416"</f>
        <v>H0024416</v>
      </c>
      <c r="B20082" s="5" t="str">
        <f t="shared" si="1024"/>
        <v>MODULO DE FIBRA SFP+ DE 10 DE DOS PUERTOS PARA SWITCH</v>
      </c>
      <c r="C20082" s="6">
        <v>2436000</v>
      </c>
      <c r="D20082" s="5" t="s">
        <v>866</v>
      </c>
      <c r="E20082" s="5" t="str">
        <f t="shared" si="1020"/>
        <v>SISTEMAS-GLOBALTRONIK SAS-SERGIO PATIÑO</v>
      </c>
      <c r="F20082" s="5"/>
      <c r="G20082" s="5"/>
    </row>
    <row r="20083" spans="1:7" ht="58.5" customHeight="1" x14ac:dyDescent="0.25">
      <c r="A20083" s="5" t="str">
        <f>"H0024417"</f>
        <v>H0024417</v>
      </c>
      <c r="B20083" s="5" t="str">
        <f t="shared" ref="B20083:B20089" si="1025">"MODULO PARA APILADO DE DOS PUERTOS PARA SWITCH"</f>
        <v>MODULO PARA APILADO DE DOS PUERTOS PARA SWITCH</v>
      </c>
      <c r="C20083" s="6">
        <v>2459200</v>
      </c>
      <c r="D20083" s="5" t="s">
        <v>791</v>
      </c>
      <c r="E20083" s="5" t="str">
        <f t="shared" si="1020"/>
        <v>SISTEMAS-GLOBALTRONIK SAS-SERGIO PATIÑO</v>
      </c>
      <c r="F20083" s="5"/>
      <c r="G20083" s="5"/>
    </row>
    <row r="20084" spans="1:7" ht="58.5" customHeight="1" x14ac:dyDescent="0.25">
      <c r="A20084" s="5" t="str">
        <f>"H0024418"</f>
        <v>H0024418</v>
      </c>
      <c r="B20084" s="5" t="str">
        <f t="shared" si="1025"/>
        <v>MODULO PARA APILADO DE DOS PUERTOS PARA SWITCH</v>
      </c>
      <c r="C20084" s="6">
        <v>2459200</v>
      </c>
      <c r="D20084" s="5" t="s">
        <v>791</v>
      </c>
      <c r="E20084" s="5" t="str">
        <f t="shared" si="1020"/>
        <v>SISTEMAS-GLOBALTRONIK SAS-SERGIO PATIÑO</v>
      </c>
      <c r="F20084" s="5"/>
      <c r="G20084" s="5"/>
    </row>
    <row r="20085" spans="1:7" ht="58.5" customHeight="1" x14ac:dyDescent="0.25">
      <c r="A20085" s="5" t="str">
        <f>"H0024419"</f>
        <v>H0024419</v>
      </c>
      <c r="B20085" s="5" t="str">
        <f t="shared" si="1025"/>
        <v>MODULO PARA APILADO DE DOS PUERTOS PARA SWITCH</v>
      </c>
      <c r="C20085" s="6">
        <v>2459200</v>
      </c>
      <c r="D20085" s="5" t="s">
        <v>866</v>
      </c>
      <c r="E20085" s="5" t="str">
        <f t="shared" si="1020"/>
        <v>SISTEMAS-GLOBALTRONIK SAS-SERGIO PATIÑO</v>
      </c>
      <c r="F20085" s="5"/>
      <c r="G20085" s="5"/>
    </row>
    <row r="20086" spans="1:7" ht="58.5" customHeight="1" x14ac:dyDescent="0.25">
      <c r="A20086" s="5" t="str">
        <f>"H0024420"</f>
        <v>H0024420</v>
      </c>
      <c r="B20086" s="5" t="str">
        <f t="shared" si="1025"/>
        <v>MODULO PARA APILADO DE DOS PUERTOS PARA SWITCH</v>
      </c>
      <c r="C20086" s="6">
        <v>2459200</v>
      </c>
      <c r="D20086" s="5" t="s">
        <v>791</v>
      </c>
      <c r="E20086" s="5" t="str">
        <f t="shared" si="1020"/>
        <v>SISTEMAS-GLOBALTRONIK SAS-SERGIO PATIÑO</v>
      </c>
      <c r="F20086" s="5"/>
      <c r="G20086" s="5"/>
    </row>
    <row r="20087" spans="1:7" ht="58.5" customHeight="1" x14ac:dyDescent="0.25">
      <c r="A20087" s="5" t="str">
        <f>"H0024421"</f>
        <v>H0024421</v>
      </c>
      <c r="B20087" s="5" t="str">
        <f t="shared" si="1025"/>
        <v>MODULO PARA APILADO DE DOS PUERTOS PARA SWITCH</v>
      </c>
      <c r="C20087" s="6">
        <v>2459200</v>
      </c>
      <c r="D20087" s="5" t="s">
        <v>791</v>
      </c>
      <c r="E20087" s="5" t="str">
        <f t="shared" si="1020"/>
        <v>SISTEMAS-GLOBALTRONIK SAS-SERGIO PATIÑO</v>
      </c>
      <c r="F20087" s="5"/>
      <c r="G20087" s="5"/>
    </row>
    <row r="20088" spans="1:7" ht="58.5" customHeight="1" x14ac:dyDescent="0.25">
      <c r="A20088" s="5" t="str">
        <f>"H0024422"</f>
        <v>H0024422</v>
      </c>
      <c r="B20088" s="5" t="str">
        <f t="shared" si="1025"/>
        <v>MODULO PARA APILADO DE DOS PUERTOS PARA SWITCH</v>
      </c>
      <c r="C20088" s="6">
        <v>2459200</v>
      </c>
      <c r="D20088" s="5" t="s">
        <v>866</v>
      </c>
      <c r="E20088" s="5" t="str">
        <f t="shared" si="1020"/>
        <v>SISTEMAS-GLOBALTRONIK SAS-SERGIO PATIÑO</v>
      </c>
      <c r="F20088" s="5"/>
      <c r="G20088" s="5"/>
    </row>
    <row r="20089" spans="1:7" ht="58.5" customHeight="1" x14ac:dyDescent="0.25">
      <c r="A20089" s="5" t="str">
        <f>"H0024423"</f>
        <v>H0024423</v>
      </c>
      <c r="B20089" s="5" t="str">
        <f t="shared" si="1025"/>
        <v>MODULO PARA APILADO DE DOS PUERTOS PARA SWITCH</v>
      </c>
      <c r="C20089" s="6">
        <v>2459200</v>
      </c>
      <c r="D20089" s="5" t="s">
        <v>791</v>
      </c>
      <c r="E20089" s="5" t="str">
        <f t="shared" si="1020"/>
        <v>SISTEMAS-GLOBALTRONIK SAS-SERGIO PATIÑO</v>
      </c>
      <c r="F20089" s="5"/>
      <c r="G20089" s="5"/>
    </row>
    <row r="20090" spans="1:7" ht="58.5" customHeight="1" x14ac:dyDescent="0.25">
      <c r="A20090" s="5" t="str">
        <f>"H0024424"</f>
        <v>H0024424</v>
      </c>
      <c r="B20090" s="5" t="str">
        <f>"SWITCH DE 48 PUERTOS 10/100/1000 CAPA3 CON RANURAS DE EXPANSIÓN. RAM 512 MB.BUFER 10 MB.SWITCHING 150 Gbps. FUENTE MODULAR"</f>
        <v>SWITCH DE 48 PUERTOS 10/100/1000 CAPA3 CON RANURAS DE EXPANSIÓN. RAM 512 MB.BUFER 10 MB.SWITCHING 150 Gbps. FUENTE MODULAR</v>
      </c>
      <c r="C20090" s="6">
        <v>7505200</v>
      </c>
      <c r="D20090" s="5" t="s">
        <v>791</v>
      </c>
      <c r="E20090" s="5" t="str">
        <f t="shared" si="1020"/>
        <v>SISTEMAS-GLOBALTRONIK SAS-SERGIO PATIÑO</v>
      </c>
      <c r="F20090" s="5"/>
      <c r="G20090" s="5"/>
    </row>
    <row r="20091" spans="1:7" ht="58.5" customHeight="1" x14ac:dyDescent="0.25">
      <c r="A20091" s="5" t="str">
        <f>"H0024425"</f>
        <v>H0024425</v>
      </c>
      <c r="B20091" s="5" t="str">
        <f>"SWITCH DE 48 PUERTOS 10/100/1000 CAPA3 CON RANURAS DE EXPANSIÓN. RAM 512 MB.BUFER 10 MB.SWITCHING 150 Gbps. FUENTE MODULAR"</f>
        <v>SWITCH DE 48 PUERTOS 10/100/1000 CAPA3 CON RANURAS DE EXPANSIÓN. RAM 512 MB.BUFER 10 MB.SWITCHING 150 Gbps. FUENTE MODULAR</v>
      </c>
      <c r="C20091" s="6">
        <v>7505200</v>
      </c>
      <c r="D20091" s="5" t="s">
        <v>791</v>
      </c>
      <c r="E20091" s="5" t="str">
        <f t="shared" si="1020"/>
        <v>SISTEMAS-GLOBALTRONIK SAS-SERGIO PATIÑO</v>
      </c>
      <c r="F20091" s="5"/>
      <c r="G20091" s="5"/>
    </row>
    <row r="20092" spans="1:7" ht="58.5" customHeight="1" x14ac:dyDescent="0.25">
      <c r="A20092" s="5" t="str">
        <f>"H0024426"</f>
        <v>H0024426</v>
      </c>
      <c r="B20092" s="5" t="str">
        <f>"SWITCH DE 48 PUERTOS 10/100/1000 CAPA3 CON RANURAS DE EXPANSIÓN. RAM 512 MB.BUFER 10 MB.SWITCHING 150 Gbps. FUENTE MODULAR"</f>
        <v>SWITCH DE 48 PUERTOS 10/100/1000 CAPA3 CON RANURAS DE EXPANSIÓN. RAM 512 MB.BUFER 10 MB.SWITCHING 150 Gbps. FUENTE MODULAR</v>
      </c>
      <c r="C20092" s="6">
        <v>7505200</v>
      </c>
      <c r="D20092" s="5" t="s">
        <v>866</v>
      </c>
      <c r="E20092" s="5" t="str">
        <f t="shared" si="1020"/>
        <v>SISTEMAS-GLOBALTRONIK SAS-SERGIO PATIÑO</v>
      </c>
      <c r="F20092" s="5"/>
      <c r="G20092" s="5"/>
    </row>
    <row r="20093" spans="1:7" ht="58.5" customHeight="1" x14ac:dyDescent="0.25">
      <c r="A20093" s="5" t="str">
        <f>"H0024428"</f>
        <v>H0024428</v>
      </c>
      <c r="B20093" s="5" t="str">
        <f>"SWITCH DE 48 PUERTOS 10/100/1000 CAPA3 CON RANURAS DE EXPANSIÓN. RAM 512 MB.BUFER 10 MB.SWITCHING 150 Gbps. FUENTE MODULAR"</f>
        <v>SWITCH DE 48 PUERTOS 10/100/1000 CAPA3 CON RANURAS DE EXPANSIÓN. RAM 512 MB.BUFER 10 MB.SWITCHING 150 Gbps. FUENTE MODULAR</v>
      </c>
      <c r="C20093" s="6">
        <v>7505200</v>
      </c>
      <c r="D20093" s="5" t="s">
        <v>791</v>
      </c>
      <c r="E20093" s="5" t="str">
        <f t="shared" ref="E20093:E20156" si="1026">"SISTEMAS-GLOBALTRONIK SAS-SERGIO PATIÑO"</f>
        <v>SISTEMAS-GLOBALTRONIK SAS-SERGIO PATIÑO</v>
      </c>
      <c r="F20093" s="5"/>
      <c r="G20093" s="5"/>
    </row>
    <row r="20094" spans="1:7" ht="58.5" customHeight="1" x14ac:dyDescent="0.25">
      <c r="A20094" s="5" t="str">
        <f>"H0024429"</f>
        <v>H0024429</v>
      </c>
      <c r="B20094" s="5" t="str">
        <f>"SWITCH PoE+ DE 48 PUERTOS 10/100/1000 CAPA 3 RANURAS DE EXPANSIÓN. RAM 512 MB.BUFER 10 MB. Switching 150 Gbps. FUENTE MODULAR"</f>
        <v>SWITCH PoE+ DE 48 PUERTOS 10/100/1000 CAPA 3 RANURAS DE EXPANSIÓN. RAM 512 MB.BUFER 10 MB. Switching 150 Gbps. FUENTE MODULAR</v>
      </c>
      <c r="C20094" s="6">
        <v>10034000</v>
      </c>
      <c r="D20094" s="5" t="s">
        <v>866</v>
      </c>
      <c r="E20094" s="5" t="str">
        <f t="shared" si="1026"/>
        <v>SISTEMAS-GLOBALTRONIK SAS-SERGIO PATIÑO</v>
      </c>
      <c r="F20094" s="5"/>
      <c r="G20094" s="5"/>
    </row>
    <row r="20095" spans="1:7" ht="58.5" customHeight="1" x14ac:dyDescent="0.25">
      <c r="A20095" s="5" t="str">
        <f>"H0024430"</f>
        <v>H0024430</v>
      </c>
      <c r="B20095" s="5" t="str">
        <f>"SWITCH PoE+ DE 48 PUERTOS 10/100/1000 CAPA 3 RANURAS DE EXPANSIÓN. RAM 512 MB.BUFER 10 MB. Switching 150 Gbps. FUENTE MODULAR"</f>
        <v>SWITCH PoE+ DE 48 PUERTOS 10/100/1000 CAPA 3 RANURAS DE EXPANSIÓN. RAM 512 MB.BUFER 10 MB. Switching 150 Gbps. FUENTE MODULAR</v>
      </c>
      <c r="C20095" s="6">
        <v>10034000</v>
      </c>
      <c r="D20095" s="5" t="s">
        <v>791</v>
      </c>
      <c r="E20095" s="5" t="str">
        <f t="shared" si="1026"/>
        <v>SISTEMAS-GLOBALTRONIK SAS-SERGIO PATIÑO</v>
      </c>
      <c r="F20095" s="5"/>
      <c r="G20095" s="5"/>
    </row>
    <row r="20096" spans="1:7" ht="58.5" customHeight="1" x14ac:dyDescent="0.25">
      <c r="A20096" s="5" t="str">
        <f>"H0024431"</f>
        <v>H0024431</v>
      </c>
      <c r="B20096" s="5" t="str">
        <f t="shared" ref="B20096:B20102" si="1027">"TRANSCEIVER 10G SFP+ LC SR PARA SWITCH"</f>
        <v>TRANSCEIVER 10G SFP+ LC SR PARA SWITCH</v>
      </c>
      <c r="C20096" s="6">
        <v>1531200</v>
      </c>
      <c r="D20096" s="5" t="s">
        <v>866</v>
      </c>
      <c r="E20096" s="5" t="str">
        <f t="shared" si="1026"/>
        <v>SISTEMAS-GLOBALTRONIK SAS-SERGIO PATIÑO</v>
      </c>
      <c r="F20096" s="5"/>
      <c r="G20096" s="5"/>
    </row>
    <row r="20097" spans="1:7" ht="58.5" customHeight="1" x14ac:dyDescent="0.25">
      <c r="A20097" s="5" t="str">
        <f>"H0024432"</f>
        <v>H0024432</v>
      </c>
      <c r="B20097" s="5" t="str">
        <f t="shared" si="1027"/>
        <v>TRANSCEIVER 10G SFP+ LC SR PARA SWITCH</v>
      </c>
      <c r="C20097" s="6">
        <v>1531200</v>
      </c>
      <c r="D20097" s="5" t="s">
        <v>791</v>
      </c>
      <c r="E20097" s="5" t="str">
        <f t="shared" si="1026"/>
        <v>SISTEMAS-GLOBALTRONIK SAS-SERGIO PATIÑO</v>
      </c>
      <c r="F20097" s="5"/>
      <c r="G20097" s="5"/>
    </row>
    <row r="20098" spans="1:7" ht="58.5" customHeight="1" x14ac:dyDescent="0.25">
      <c r="A20098" s="5" t="str">
        <f>"H0024433"</f>
        <v>H0024433</v>
      </c>
      <c r="B20098" s="5" t="str">
        <f t="shared" si="1027"/>
        <v>TRANSCEIVER 10G SFP+ LC SR PARA SWITCH</v>
      </c>
      <c r="C20098" s="6">
        <v>1531200</v>
      </c>
      <c r="D20098" s="5" t="s">
        <v>791</v>
      </c>
      <c r="E20098" s="5" t="str">
        <f t="shared" si="1026"/>
        <v>SISTEMAS-GLOBALTRONIK SAS-SERGIO PATIÑO</v>
      </c>
      <c r="F20098" s="5"/>
      <c r="G20098" s="5"/>
    </row>
    <row r="20099" spans="1:7" ht="58.5" customHeight="1" x14ac:dyDescent="0.25">
      <c r="A20099" s="5" t="str">
        <f>"H0024434"</f>
        <v>H0024434</v>
      </c>
      <c r="B20099" s="5" t="str">
        <f t="shared" si="1027"/>
        <v>TRANSCEIVER 10G SFP+ LC SR PARA SWITCH</v>
      </c>
      <c r="C20099" s="6">
        <v>1531200</v>
      </c>
      <c r="D20099" s="5" t="s">
        <v>791</v>
      </c>
      <c r="E20099" s="5" t="str">
        <f t="shared" si="1026"/>
        <v>SISTEMAS-GLOBALTRONIK SAS-SERGIO PATIÑO</v>
      </c>
      <c r="F20099" s="5"/>
      <c r="G20099" s="5"/>
    </row>
    <row r="20100" spans="1:7" ht="58.5" customHeight="1" x14ac:dyDescent="0.25">
      <c r="A20100" s="5" t="str">
        <f>"H0024435"</f>
        <v>H0024435</v>
      </c>
      <c r="B20100" s="5" t="str">
        <f t="shared" si="1027"/>
        <v>TRANSCEIVER 10G SFP+ LC SR PARA SWITCH</v>
      </c>
      <c r="C20100" s="6">
        <v>1531200</v>
      </c>
      <c r="D20100" s="5" t="s">
        <v>866</v>
      </c>
      <c r="E20100" s="5" t="str">
        <f t="shared" si="1026"/>
        <v>SISTEMAS-GLOBALTRONIK SAS-SERGIO PATIÑO</v>
      </c>
      <c r="F20100" s="5"/>
      <c r="G20100" s="5"/>
    </row>
    <row r="20101" spans="1:7" ht="58.5" customHeight="1" x14ac:dyDescent="0.25">
      <c r="A20101" s="5" t="str">
        <f>"H0024436"</f>
        <v>H0024436</v>
      </c>
      <c r="B20101" s="5" t="str">
        <f t="shared" si="1027"/>
        <v>TRANSCEIVER 10G SFP+ LC SR PARA SWITCH</v>
      </c>
      <c r="C20101" s="6">
        <v>1531200</v>
      </c>
      <c r="D20101" s="5" t="s">
        <v>866</v>
      </c>
      <c r="E20101" s="5" t="str">
        <f t="shared" si="1026"/>
        <v>SISTEMAS-GLOBALTRONIK SAS-SERGIO PATIÑO</v>
      </c>
      <c r="F20101" s="5"/>
      <c r="G20101" s="5"/>
    </row>
    <row r="20102" spans="1:7" ht="58.5" customHeight="1" x14ac:dyDescent="0.25">
      <c r="A20102" s="5" t="str">
        <f>"H0024437"</f>
        <v>H0024437</v>
      </c>
      <c r="B20102" s="5" t="str">
        <f t="shared" si="1027"/>
        <v>TRANSCEIVER 10G SFP+ LC SR PARA SWITCH</v>
      </c>
      <c r="C20102" s="6">
        <v>1531200</v>
      </c>
      <c r="D20102" s="5" t="s">
        <v>791</v>
      </c>
      <c r="E20102" s="5" t="str">
        <f t="shared" si="1026"/>
        <v>SISTEMAS-GLOBALTRONIK SAS-SERGIO PATIÑO</v>
      </c>
      <c r="F20102" s="5"/>
      <c r="G20102" s="5"/>
    </row>
    <row r="20103" spans="1:7" ht="58.5" customHeight="1" x14ac:dyDescent="0.25">
      <c r="A20103" s="5" t="str">
        <f>"H0024615"</f>
        <v>H0024615</v>
      </c>
      <c r="B20103" s="5" t="str">
        <f>"EQUIPO PORTÁTIL con Procesador Intel core i5 de quinta generación de 2.2 Ghz o superior. Memoria RAM 4 GB DDR3 o DDR4 o superior. 1 disco duro de 500 GB 5400 rpm o superior. Puerto Ethernet RJ45 Base 1000. Tarjeta inalámbrica compatible 802.11ac. Pantalla"&amp; " de 14” HD en adelante. Unidad de DVD-RW. Teclado USB distribución Latinoamérica. Cámara Web 1 MP con micrófono. 1  Puerto USB 3.0. 2 puertos USB 2.0. Salida audífonos y microfono 3.5 mm. LICENCIA DE MICROSOFT WINDOWS 10 PROFESIONAL 64 Bits. 3 años de gar"&amp; "antía con fabricante"</f>
        <v>EQUIPO PORTÁTIL con Procesador Intel core i5 de quinta generación de 2.2 Ghz o superior. Memoria RAM 4 GB DDR3 o DDR4 o superior. 1 disco duro de 500 GB 5400 rpm o superior. Puerto Ethernet RJ45 Base 1000. Tarjeta inalámbrica compatible 802.11ac. Pantalla de 14” HD en adelante. Unidad de DVD-RW. Teclado USB distribución Latinoamérica. Cámara Web 1 MP con micrófono. 1  Puerto USB 3.0. 2 puertos USB 2.0. Salida audífonos y microfono 3.5 mm. LICENCIA DE MICROSOFT WINDOWS 10 PROFESIONAL 64 Bits. 3 años de garantía con fabricante</v>
      </c>
      <c r="C20103" s="6">
        <v>2050000</v>
      </c>
      <c r="D20103" s="5" t="s">
        <v>36</v>
      </c>
      <c r="E20103" s="5" t="str">
        <f t="shared" si="1026"/>
        <v>SISTEMAS-GLOBALTRONIK SAS-SERGIO PATIÑO</v>
      </c>
      <c r="F20103" s="5"/>
      <c r="G20103" s="5"/>
    </row>
    <row r="20104" spans="1:7" ht="58.5" customHeight="1" x14ac:dyDescent="0.25">
      <c r="A20104" s="5" t="str">
        <f>"H0024970"</f>
        <v>H0024970</v>
      </c>
      <c r="B20104" s="5" t="str">
        <f>"COMPROBADOR DE CABLEADO ESTRUCTURADO LINKRUNNER AT 2000 CON BATERÍA LI-ION, IDENTIFICACIÓN DE CABLE WIREVIEW N°. 1 A 6, ACOPLADOR RJ-45, CD CON EL SOFTWARE LINKRUNNER AT MANAGER, CABLE USB, FUNDA, INTELLITONE 200 PROBE Y UN MALETÍN DE TRANSPORTE DE LUJO."</f>
        <v>COMPROBADOR DE CABLEADO ESTRUCTURADO LINKRUNNER AT 2000 CON BATERÍA LI-ION, IDENTIFICACIÓN DE CABLE WIREVIEW N°. 1 A 6, ACOPLADOR RJ-45, CD CON EL SOFTWARE LINKRUNNER AT MANAGER, CABLE USB, FUNDA, INTELLITONE 200 PROBE Y UN MALETÍN DE TRANSPORTE DE LUJO.</v>
      </c>
      <c r="C20104" s="6">
        <v>14268000</v>
      </c>
      <c r="D20104" s="5" t="s">
        <v>644</v>
      </c>
      <c r="E20104" s="5" t="str">
        <f t="shared" si="1026"/>
        <v>SISTEMAS-GLOBALTRONIK SAS-SERGIO PATIÑO</v>
      </c>
      <c r="F20104" s="5"/>
      <c r="G20104" s="5"/>
    </row>
    <row r="20105" spans="1:7" ht="58.5" customHeight="1" x14ac:dyDescent="0.25">
      <c r="A20105" s="5" t="str">
        <f>"H0025383"</f>
        <v>H0025383</v>
      </c>
      <c r="B2010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0105" s="6">
        <v>312156</v>
      </c>
      <c r="D20105" s="5" t="s">
        <v>10</v>
      </c>
      <c r="E20105" s="5" t="str">
        <f t="shared" si="1026"/>
        <v>SISTEMAS-GLOBALTRONIK SAS-SERGIO PATIÑO</v>
      </c>
      <c r="F20105" s="5"/>
      <c r="G20105" s="5"/>
    </row>
    <row r="20106" spans="1:7" ht="58.5" customHeight="1" x14ac:dyDescent="0.25">
      <c r="A20106" s="5" t="str">
        <f>"H0025459"</f>
        <v>H0025459</v>
      </c>
      <c r="B20106" s="5" t="str">
        <f>"GATEWAY ANALÓGICO CON 4 PUERTOS ANALÓGICOS RJ11. 2 PUERTOS ETHERNET RJ45 10/100 MBPS. COMPRESIÓN DE VOZ. QoS. FUENTE DE VOLTAJE"</f>
        <v>GATEWAY ANALÓGICO CON 4 PUERTOS ANALÓGICOS RJ11. 2 PUERTOS ETHERNET RJ45 10/100 MBPS. COMPRESIÓN DE VOZ. QoS. FUENTE DE VOLTAJE</v>
      </c>
      <c r="C20106" s="6">
        <v>678136</v>
      </c>
      <c r="D20106" s="5" t="s">
        <v>10</v>
      </c>
      <c r="E20106" s="5" t="str">
        <f t="shared" si="1026"/>
        <v>SISTEMAS-GLOBALTRONIK SAS-SERGIO PATIÑO</v>
      </c>
      <c r="F20106" s="5"/>
      <c r="G20106" s="5" t="str">
        <f>"GXW4004"</f>
        <v>GXW4004</v>
      </c>
    </row>
    <row r="20107" spans="1:7" ht="58.5" customHeight="1" x14ac:dyDescent="0.25">
      <c r="A20107" s="5" t="str">
        <f>"H0025464"</f>
        <v>H0025464</v>
      </c>
      <c r="B20107" s="5" t="str">
        <f>"SERVIDOR DE MESA con Procesador Intel Xeon (6-Core), Memoria RAM 1x8 GB DDR. 2 discos duros de 2 TB 7200 rpm. Tarjeta de red de 2 puertos base 10/100/1000. 3 años de garantía con fabricante"</f>
        <v>SERVIDOR DE MESA con Procesador Intel Xeon (6-Core), Memoria RAM 1x8 GB DDR. 2 discos duros de 2 TB 7200 rpm. Tarjeta de red de 2 puertos base 10/100/1000. 3 años de garantía con fabricante</v>
      </c>
      <c r="C20107" s="6">
        <v>5749772</v>
      </c>
      <c r="D20107" s="5" t="s">
        <v>10</v>
      </c>
      <c r="E20107" s="5" t="str">
        <f t="shared" si="1026"/>
        <v>SISTEMAS-GLOBALTRONIK SAS-SERGIO PATIÑO</v>
      </c>
      <c r="F20107" s="5"/>
      <c r="G20107" s="5" t="str">
        <f>"ML110 GEN.9"</f>
        <v>ML110 GEN.9</v>
      </c>
    </row>
    <row r="20108" spans="1:7" ht="58.5" customHeight="1" x14ac:dyDescent="0.25">
      <c r="A20108" s="5" t="str">
        <f>"H0025465"</f>
        <v>H0025465</v>
      </c>
      <c r="B20108" s="5" t="str">
        <f>"ROUTER con 10 puertos de red Base 1000. 1 puerto USB. 1 puerto serial RJ45. Memoria RAM de 1 GB. de Procesador 1.4 GHz"</f>
        <v>ROUTER con 10 puertos de red Base 1000. 1 puerto USB. 1 puerto serial RJ45. Memoria RAM de 1 GB. de Procesador 1.4 GHz</v>
      </c>
      <c r="C20108" s="6">
        <v>1216840</v>
      </c>
      <c r="D20108" s="5" t="s">
        <v>10</v>
      </c>
      <c r="E20108" s="5" t="str">
        <f t="shared" si="1026"/>
        <v>SISTEMAS-GLOBALTRONIK SAS-SERGIO PATIÑO</v>
      </c>
      <c r="F20108" s="5"/>
      <c r="G20108" s="5"/>
    </row>
    <row r="20109" spans="1:7" ht="58.5" customHeight="1" x14ac:dyDescent="0.25">
      <c r="A20109" s="5" t="str">
        <f>"H0025466"</f>
        <v>H0025466</v>
      </c>
      <c r="B20109" s="5" t="str">
        <f>"TARJETA ASTERISK PCI Express con 4-24 puertos analógicos. Conexión a módulos FXO y FXS. Cancelación de eco"</f>
        <v>TARJETA ASTERISK PCI Express con 4-24 puertos analógicos. Conexión a módulos FXO y FXS. Cancelación de eco</v>
      </c>
      <c r="C20109" s="6">
        <v>9566520</v>
      </c>
      <c r="D20109" s="5" t="s">
        <v>10</v>
      </c>
      <c r="E20109" s="5" t="str">
        <f t="shared" si="1026"/>
        <v>SISTEMAS-GLOBALTRONIK SAS-SERGIO PATIÑO</v>
      </c>
      <c r="F20109" s="5"/>
      <c r="G20109" s="5"/>
    </row>
    <row r="20110" spans="1:7" ht="58.5" customHeight="1" x14ac:dyDescent="0.25">
      <c r="A20110" s="5" t="str">
        <f>"H0025681"</f>
        <v>H0025681</v>
      </c>
      <c r="B20110" s="5" t="str">
        <f>"LICENCIA MODULO ADMINISTRACIÓN CALLCENTER INFORME COLAS Y CONTROL MINUTOS"</f>
        <v>LICENCIA MODULO ADMINISTRACIÓN CALLCENTER INFORME COLAS Y CONTROL MINUTOS</v>
      </c>
      <c r="C20110" s="6">
        <v>4760000</v>
      </c>
      <c r="D20110" s="5" t="s">
        <v>794</v>
      </c>
      <c r="E20110" s="5" t="str">
        <f t="shared" si="1026"/>
        <v>SISTEMAS-GLOBALTRONIK SAS-SERGIO PATIÑO</v>
      </c>
      <c r="F20110" s="5"/>
      <c r="G20110" s="5"/>
    </row>
    <row r="20111" spans="1:7" ht="58.5" customHeight="1" x14ac:dyDescent="0.25">
      <c r="A20111" s="5" t="str">
        <f>"H0026068"</f>
        <v>H0026068</v>
      </c>
      <c r="B20111" s="5" t="str">
        <f>"NVR 32 CANALES CON DISCO DURO DE 4 TB HOMOLOGADOS PARA CCTV MARCA HIKVISION"</f>
        <v>NVR 32 CANALES CON DISCO DURO DE 4 TB HOMOLOGADOS PARA CCTV MARCA HIKVISION</v>
      </c>
      <c r="C20111" s="6">
        <v>2009244</v>
      </c>
      <c r="D20111" s="5" t="s">
        <v>220</v>
      </c>
      <c r="E20111" s="5" t="str">
        <f t="shared" si="1026"/>
        <v>SISTEMAS-GLOBALTRONIK SAS-SERGIO PATIÑO</v>
      </c>
      <c r="F20111" s="5"/>
      <c r="G20111" s="5"/>
    </row>
    <row r="20112" spans="1:7" ht="58.5" customHeight="1" x14ac:dyDescent="0.25">
      <c r="A20112" s="5" t="str">
        <f>"H0026070"</f>
        <v>H0026070</v>
      </c>
      <c r="B20112" s="5" t="s">
        <v>221</v>
      </c>
      <c r="C20112" s="6">
        <v>281763</v>
      </c>
      <c r="D20112" s="5" t="s">
        <v>220</v>
      </c>
      <c r="E20112" s="5" t="str">
        <f t="shared" si="1026"/>
        <v>SISTEMAS-GLOBALTRONIK SAS-SERGIO PATIÑO</v>
      </c>
      <c r="F20112" s="5"/>
      <c r="G20112" s="5"/>
    </row>
    <row r="20113" spans="1:7" ht="58.5" customHeight="1" x14ac:dyDescent="0.25">
      <c r="A20113" s="5" t="str">
        <f>"H0026071"</f>
        <v>H0026071</v>
      </c>
      <c r="B20113" s="5" t="s">
        <v>221</v>
      </c>
      <c r="C20113" s="6">
        <v>281763</v>
      </c>
      <c r="D20113" s="5" t="s">
        <v>220</v>
      </c>
      <c r="E20113" s="5" t="str">
        <f t="shared" si="1026"/>
        <v>SISTEMAS-GLOBALTRONIK SAS-SERGIO PATIÑO</v>
      </c>
      <c r="F20113" s="5"/>
      <c r="G20113" s="5"/>
    </row>
    <row r="20114" spans="1:7" ht="58.5" customHeight="1" x14ac:dyDescent="0.25">
      <c r="A20114" s="5" t="str">
        <f>"H0026072"</f>
        <v>H0026072</v>
      </c>
      <c r="B20114" s="5" t="s">
        <v>221</v>
      </c>
      <c r="C20114" s="6">
        <v>281763</v>
      </c>
      <c r="D20114" s="5" t="s">
        <v>220</v>
      </c>
      <c r="E20114" s="5" t="str">
        <f t="shared" si="1026"/>
        <v>SISTEMAS-GLOBALTRONIK SAS-SERGIO PATIÑO</v>
      </c>
      <c r="F20114" s="5"/>
      <c r="G20114" s="5"/>
    </row>
    <row r="20115" spans="1:7" ht="58.5" customHeight="1" x14ac:dyDescent="0.25">
      <c r="A20115" s="5" t="str">
        <f>"H0026073"</f>
        <v>H0026073</v>
      </c>
      <c r="B20115" s="5" t="s">
        <v>221</v>
      </c>
      <c r="C20115" s="6">
        <v>281763</v>
      </c>
      <c r="D20115" s="5" t="s">
        <v>220</v>
      </c>
      <c r="E20115" s="5" t="str">
        <f t="shared" si="1026"/>
        <v>SISTEMAS-GLOBALTRONIK SAS-SERGIO PATIÑO</v>
      </c>
      <c r="F20115" s="5"/>
      <c r="G20115" s="5"/>
    </row>
    <row r="20116" spans="1:7" ht="58.5" customHeight="1" x14ac:dyDescent="0.25">
      <c r="A20116" s="5" t="str">
        <f>"H0026074"</f>
        <v>H0026074</v>
      </c>
      <c r="B20116" s="5" t="s">
        <v>221</v>
      </c>
      <c r="C20116" s="6">
        <v>281763</v>
      </c>
      <c r="D20116" s="5" t="s">
        <v>220</v>
      </c>
      <c r="E20116" s="5" t="str">
        <f t="shared" si="1026"/>
        <v>SISTEMAS-GLOBALTRONIK SAS-SERGIO PATIÑO</v>
      </c>
      <c r="F20116" s="5"/>
      <c r="G20116" s="5"/>
    </row>
    <row r="20117" spans="1:7" ht="58.5" customHeight="1" x14ac:dyDescent="0.25">
      <c r="A20117" s="5" t="str">
        <f>"H0026075"</f>
        <v>H0026075</v>
      </c>
      <c r="B20117" s="5" t="s">
        <v>221</v>
      </c>
      <c r="C20117" s="6">
        <v>281763</v>
      </c>
      <c r="D20117" s="5" t="s">
        <v>220</v>
      </c>
      <c r="E20117" s="5" t="str">
        <f t="shared" si="1026"/>
        <v>SISTEMAS-GLOBALTRONIK SAS-SERGIO PATIÑO</v>
      </c>
      <c r="F20117" s="5"/>
      <c r="G20117" s="5"/>
    </row>
    <row r="20118" spans="1:7" ht="58.5" customHeight="1" x14ac:dyDescent="0.25">
      <c r="A20118" s="5" t="str">
        <f>"H0026076"</f>
        <v>H0026076</v>
      </c>
      <c r="B20118" s="5" t="s">
        <v>221</v>
      </c>
      <c r="C20118" s="6">
        <v>281763</v>
      </c>
      <c r="D20118" s="5" t="s">
        <v>867</v>
      </c>
      <c r="E20118" s="5" t="str">
        <f t="shared" si="1026"/>
        <v>SISTEMAS-GLOBALTRONIK SAS-SERGIO PATIÑO</v>
      </c>
      <c r="F20118" s="5"/>
      <c r="G20118" s="5"/>
    </row>
    <row r="20119" spans="1:7" ht="58.5" customHeight="1" x14ac:dyDescent="0.25">
      <c r="A20119" s="5" t="str">
        <f>"H0026077"</f>
        <v>H0026077</v>
      </c>
      <c r="B20119" s="5" t="s">
        <v>221</v>
      </c>
      <c r="C20119" s="6">
        <v>281763</v>
      </c>
      <c r="D20119" s="5" t="s">
        <v>220</v>
      </c>
      <c r="E20119" s="5" t="str">
        <f t="shared" si="1026"/>
        <v>SISTEMAS-GLOBALTRONIK SAS-SERGIO PATIÑO</v>
      </c>
      <c r="F20119" s="5"/>
      <c r="G20119" s="5"/>
    </row>
    <row r="20120" spans="1:7" ht="58.5" customHeight="1" x14ac:dyDescent="0.25">
      <c r="A20120" s="5" t="str">
        <f>"H0026078"</f>
        <v>H0026078</v>
      </c>
      <c r="B20120" s="5" t="s">
        <v>221</v>
      </c>
      <c r="C20120" s="6">
        <v>281763</v>
      </c>
      <c r="D20120" s="5" t="s">
        <v>220</v>
      </c>
      <c r="E20120" s="5" t="str">
        <f t="shared" si="1026"/>
        <v>SISTEMAS-GLOBALTRONIK SAS-SERGIO PATIÑO</v>
      </c>
      <c r="F20120" s="5"/>
      <c r="G20120" s="5"/>
    </row>
    <row r="20121" spans="1:7" ht="58.5" customHeight="1" x14ac:dyDescent="0.25">
      <c r="A20121" s="5" t="str">
        <f>"H0026079"</f>
        <v>H0026079</v>
      </c>
      <c r="B20121" s="5" t="s">
        <v>221</v>
      </c>
      <c r="C20121" s="6">
        <v>281763</v>
      </c>
      <c r="D20121" s="5" t="s">
        <v>220</v>
      </c>
      <c r="E20121" s="5" t="str">
        <f t="shared" si="1026"/>
        <v>SISTEMAS-GLOBALTRONIK SAS-SERGIO PATIÑO</v>
      </c>
      <c r="F20121" s="5"/>
      <c r="G20121" s="5"/>
    </row>
    <row r="20122" spans="1:7" ht="58.5" customHeight="1" x14ac:dyDescent="0.25">
      <c r="A20122" s="5" t="str">
        <f>"H0026080"</f>
        <v>H0026080</v>
      </c>
      <c r="B20122" s="5" t="s">
        <v>221</v>
      </c>
      <c r="C20122" s="6">
        <v>281763</v>
      </c>
      <c r="D20122" s="5" t="s">
        <v>220</v>
      </c>
      <c r="E20122" s="5" t="str">
        <f t="shared" si="1026"/>
        <v>SISTEMAS-GLOBALTRONIK SAS-SERGIO PATIÑO</v>
      </c>
      <c r="F20122" s="5"/>
      <c r="G20122" s="5"/>
    </row>
    <row r="20123" spans="1:7" ht="58.5" customHeight="1" x14ac:dyDescent="0.25">
      <c r="A20123" s="5" t="str">
        <f>"H0026081"</f>
        <v>H0026081</v>
      </c>
      <c r="B20123" s="5" t="s">
        <v>221</v>
      </c>
      <c r="C20123" s="6">
        <v>281763</v>
      </c>
      <c r="D20123" s="5" t="s">
        <v>220</v>
      </c>
      <c r="E20123" s="5" t="str">
        <f t="shared" si="1026"/>
        <v>SISTEMAS-GLOBALTRONIK SAS-SERGIO PATIÑO</v>
      </c>
      <c r="F20123" s="5"/>
      <c r="G20123" s="5"/>
    </row>
    <row r="20124" spans="1:7" ht="58.5" customHeight="1" x14ac:dyDescent="0.25">
      <c r="A20124" s="5" t="str">
        <f>"H0026082"</f>
        <v>H0026082</v>
      </c>
      <c r="B20124" s="5" t="s">
        <v>221</v>
      </c>
      <c r="C20124" s="6">
        <v>281763</v>
      </c>
      <c r="D20124" s="5" t="s">
        <v>220</v>
      </c>
      <c r="E20124" s="5" t="str">
        <f t="shared" si="1026"/>
        <v>SISTEMAS-GLOBALTRONIK SAS-SERGIO PATIÑO</v>
      </c>
      <c r="F20124" s="5"/>
      <c r="G20124" s="5"/>
    </row>
    <row r="20125" spans="1:7" ht="58.5" customHeight="1" x14ac:dyDescent="0.25">
      <c r="A20125" s="5" t="str">
        <f>"H0026083"</f>
        <v>H0026083</v>
      </c>
      <c r="B20125" s="5" t="s">
        <v>221</v>
      </c>
      <c r="C20125" s="6">
        <v>281763</v>
      </c>
      <c r="D20125" s="5" t="s">
        <v>220</v>
      </c>
      <c r="E20125" s="5" t="str">
        <f t="shared" si="1026"/>
        <v>SISTEMAS-GLOBALTRONIK SAS-SERGIO PATIÑO</v>
      </c>
      <c r="F20125" s="5"/>
      <c r="G20125" s="5"/>
    </row>
    <row r="20126" spans="1:7" ht="58.5" customHeight="1" x14ac:dyDescent="0.25">
      <c r="A20126" s="5" t="str">
        <f>"H0026084"</f>
        <v>H0026084</v>
      </c>
      <c r="B20126" s="5" t="s">
        <v>221</v>
      </c>
      <c r="C20126" s="6">
        <v>281763</v>
      </c>
      <c r="D20126" s="5" t="s">
        <v>220</v>
      </c>
      <c r="E20126" s="5" t="str">
        <f t="shared" si="1026"/>
        <v>SISTEMAS-GLOBALTRONIK SAS-SERGIO PATIÑO</v>
      </c>
      <c r="F20126" s="5"/>
      <c r="G20126" s="5"/>
    </row>
    <row r="20127" spans="1:7" ht="58.5" customHeight="1" x14ac:dyDescent="0.25">
      <c r="A20127" s="5" t="str">
        <f>"H0026085"</f>
        <v>H0026085</v>
      </c>
      <c r="B20127" s="5" t="s">
        <v>221</v>
      </c>
      <c r="C20127" s="6">
        <v>281763</v>
      </c>
      <c r="D20127" s="5" t="s">
        <v>220</v>
      </c>
      <c r="E20127" s="5" t="str">
        <f t="shared" si="1026"/>
        <v>SISTEMAS-GLOBALTRONIK SAS-SERGIO PATIÑO</v>
      </c>
      <c r="F20127" s="5"/>
      <c r="G20127" s="5"/>
    </row>
    <row r="20128" spans="1:7" ht="58.5" customHeight="1" x14ac:dyDescent="0.25">
      <c r="A20128" s="5" t="str">
        <f>"H0026087"</f>
        <v>H0026087</v>
      </c>
      <c r="B20128" s="5" t="s">
        <v>221</v>
      </c>
      <c r="C20128" s="6">
        <v>281763</v>
      </c>
      <c r="D20128" s="5" t="s">
        <v>220</v>
      </c>
      <c r="E20128" s="5" t="str">
        <f t="shared" si="1026"/>
        <v>SISTEMAS-GLOBALTRONIK SAS-SERGIO PATIÑO</v>
      </c>
      <c r="F20128" s="5"/>
      <c r="G20128" s="5"/>
    </row>
    <row r="20129" spans="1:7" ht="58.5" customHeight="1" x14ac:dyDescent="0.25">
      <c r="A20129" s="5" t="str">
        <f>"H0026088"</f>
        <v>H0026088</v>
      </c>
      <c r="B20129" s="5" t="s">
        <v>221</v>
      </c>
      <c r="C20129" s="6">
        <v>281763</v>
      </c>
      <c r="D20129" s="5" t="s">
        <v>220</v>
      </c>
      <c r="E20129" s="5" t="str">
        <f t="shared" si="1026"/>
        <v>SISTEMAS-GLOBALTRONIK SAS-SERGIO PATIÑO</v>
      </c>
      <c r="F20129" s="5"/>
      <c r="G20129" s="5"/>
    </row>
    <row r="20130" spans="1:7" ht="58.5" customHeight="1" x14ac:dyDescent="0.25">
      <c r="A20130" s="5" t="str">
        <f>"H0026089"</f>
        <v>H0026089</v>
      </c>
      <c r="B20130" s="5" t="s">
        <v>221</v>
      </c>
      <c r="C20130" s="6">
        <v>281763</v>
      </c>
      <c r="D20130" s="5" t="s">
        <v>220</v>
      </c>
      <c r="E20130" s="5" t="str">
        <f t="shared" si="1026"/>
        <v>SISTEMAS-GLOBALTRONIK SAS-SERGIO PATIÑO</v>
      </c>
      <c r="F20130" s="5"/>
      <c r="G20130" s="5"/>
    </row>
    <row r="20131" spans="1:7" ht="58.5" customHeight="1" x14ac:dyDescent="0.25">
      <c r="A20131" s="5" t="str">
        <f>"H0026090"</f>
        <v>H0026090</v>
      </c>
      <c r="B20131" s="5" t="s">
        <v>221</v>
      </c>
      <c r="C20131" s="6">
        <v>281763</v>
      </c>
      <c r="D20131" s="5" t="s">
        <v>220</v>
      </c>
      <c r="E20131" s="5" t="str">
        <f t="shared" si="1026"/>
        <v>SISTEMAS-GLOBALTRONIK SAS-SERGIO PATIÑO</v>
      </c>
      <c r="F20131" s="5"/>
      <c r="G20131" s="5"/>
    </row>
    <row r="20132" spans="1:7" ht="58.5" customHeight="1" x14ac:dyDescent="0.25">
      <c r="A20132" s="5" t="str">
        <f>"H0026091"</f>
        <v>H0026091</v>
      </c>
      <c r="B20132" s="5" t="s">
        <v>221</v>
      </c>
      <c r="C20132" s="6">
        <v>281763</v>
      </c>
      <c r="D20132" s="5" t="s">
        <v>220</v>
      </c>
      <c r="E20132" s="5" t="str">
        <f t="shared" si="1026"/>
        <v>SISTEMAS-GLOBALTRONIK SAS-SERGIO PATIÑO</v>
      </c>
      <c r="F20132" s="5"/>
      <c r="G20132" s="5"/>
    </row>
    <row r="20133" spans="1:7" ht="58.5" customHeight="1" x14ac:dyDescent="0.25">
      <c r="A20133" s="5" t="str">
        <f>"H0026710"</f>
        <v>H0026710</v>
      </c>
      <c r="B20133" s="5" t="str">
        <f t="shared" ref="B20133:B20145" si="1028">"UNIDAD DE LLAMADO DE ENFERMERIA PARA CAMA O BAÑO"</f>
        <v>UNIDAD DE LLAMADO DE ENFERMERIA PARA CAMA O BAÑO</v>
      </c>
      <c r="C20133" s="6">
        <v>131671.12</v>
      </c>
      <c r="D20133" s="5" t="s">
        <v>78</v>
      </c>
      <c r="E20133" s="5" t="str">
        <f t="shared" si="1026"/>
        <v>SISTEMAS-GLOBALTRONIK SAS-SERGIO PATIÑO</v>
      </c>
      <c r="F20133" s="5"/>
      <c r="G20133" s="5"/>
    </row>
    <row r="20134" spans="1:7" ht="58.5" customHeight="1" x14ac:dyDescent="0.25">
      <c r="A20134" s="5" t="str">
        <f>"H0026711"</f>
        <v>H0026711</v>
      </c>
      <c r="B20134" s="5" t="str">
        <f t="shared" si="1028"/>
        <v>UNIDAD DE LLAMADO DE ENFERMERIA PARA CAMA O BAÑO</v>
      </c>
      <c r="C20134" s="6">
        <v>131671.12</v>
      </c>
      <c r="D20134" s="5" t="s">
        <v>78</v>
      </c>
      <c r="E20134" s="5" t="str">
        <f t="shared" si="1026"/>
        <v>SISTEMAS-GLOBALTRONIK SAS-SERGIO PATIÑO</v>
      </c>
      <c r="F20134" s="5"/>
      <c r="G20134" s="5"/>
    </row>
    <row r="20135" spans="1:7" ht="58.5" customHeight="1" x14ac:dyDescent="0.25">
      <c r="A20135" s="5" t="str">
        <f>"H0026712"</f>
        <v>H0026712</v>
      </c>
      <c r="B20135" s="5" t="str">
        <f t="shared" si="1028"/>
        <v>UNIDAD DE LLAMADO DE ENFERMERIA PARA CAMA O BAÑO</v>
      </c>
      <c r="C20135" s="6">
        <v>131671.12</v>
      </c>
      <c r="D20135" s="5" t="s">
        <v>78</v>
      </c>
      <c r="E20135" s="5" t="str">
        <f t="shared" si="1026"/>
        <v>SISTEMAS-GLOBALTRONIK SAS-SERGIO PATIÑO</v>
      </c>
      <c r="F20135" s="5"/>
      <c r="G20135" s="5"/>
    </row>
    <row r="20136" spans="1:7" ht="58.5" customHeight="1" x14ac:dyDescent="0.25">
      <c r="A20136" s="5" t="str">
        <f>"H0026713"</f>
        <v>H0026713</v>
      </c>
      <c r="B20136" s="5" t="str">
        <f t="shared" si="1028"/>
        <v>UNIDAD DE LLAMADO DE ENFERMERIA PARA CAMA O BAÑO</v>
      </c>
      <c r="C20136" s="6">
        <v>131671.12</v>
      </c>
      <c r="D20136" s="5" t="s">
        <v>78</v>
      </c>
      <c r="E20136" s="5" t="str">
        <f t="shared" si="1026"/>
        <v>SISTEMAS-GLOBALTRONIK SAS-SERGIO PATIÑO</v>
      </c>
      <c r="F20136" s="5"/>
      <c r="G20136" s="5"/>
    </row>
    <row r="20137" spans="1:7" ht="58.5" customHeight="1" x14ac:dyDescent="0.25">
      <c r="A20137" s="5" t="str">
        <f>"H0026714"</f>
        <v>H0026714</v>
      </c>
      <c r="B20137" s="5" t="str">
        <f t="shared" si="1028"/>
        <v>UNIDAD DE LLAMADO DE ENFERMERIA PARA CAMA O BAÑO</v>
      </c>
      <c r="C20137" s="6">
        <v>131671.12</v>
      </c>
      <c r="D20137" s="5" t="s">
        <v>78</v>
      </c>
      <c r="E20137" s="5" t="str">
        <f t="shared" si="1026"/>
        <v>SISTEMAS-GLOBALTRONIK SAS-SERGIO PATIÑO</v>
      </c>
      <c r="F20137" s="5"/>
      <c r="G20137" s="5"/>
    </row>
    <row r="20138" spans="1:7" ht="58.5" customHeight="1" x14ac:dyDescent="0.25">
      <c r="A20138" s="5" t="str">
        <f>"H0026715"</f>
        <v>H0026715</v>
      </c>
      <c r="B20138" s="5" t="str">
        <f t="shared" si="1028"/>
        <v>UNIDAD DE LLAMADO DE ENFERMERIA PARA CAMA O BAÑO</v>
      </c>
      <c r="C20138" s="6">
        <v>131671.12</v>
      </c>
      <c r="D20138" s="5" t="s">
        <v>78</v>
      </c>
      <c r="E20138" s="5" t="str">
        <f t="shared" si="1026"/>
        <v>SISTEMAS-GLOBALTRONIK SAS-SERGIO PATIÑO</v>
      </c>
      <c r="F20138" s="5"/>
      <c r="G20138" s="5"/>
    </row>
    <row r="20139" spans="1:7" ht="58.5" customHeight="1" x14ac:dyDescent="0.25">
      <c r="A20139" s="5" t="str">
        <f>"H0026716"</f>
        <v>H0026716</v>
      </c>
      <c r="B20139" s="5" t="str">
        <f t="shared" si="1028"/>
        <v>UNIDAD DE LLAMADO DE ENFERMERIA PARA CAMA O BAÑO</v>
      </c>
      <c r="C20139" s="6">
        <v>131671.12</v>
      </c>
      <c r="D20139" s="5" t="s">
        <v>78</v>
      </c>
      <c r="E20139" s="5" t="str">
        <f t="shared" si="1026"/>
        <v>SISTEMAS-GLOBALTRONIK SAS-SERGIO PATIÑO</v>
      </c>
      <c r="F20139" s="5"/>
      <c r="G20139" s="5"/>
    </row>
    <row r="20140" spans="1:7" ht="58.5" customHeight="1" x14ac:dyDescent="0.25">
      <c r="A20140" s="5" t="str">
        <f>"H0026717"</f>
        <v>H0026717</v>
      </c>
      <c r="B20140" s="5" t="str">
        <f t="shared" si="1028"/>
        <v>UNIDAD DE LLAMADO DE ENFERMERIA PARA CAMA O BAÑO</v>
      </c>
      <c r="C20140" s="6">
        <v>131671.12</v>
      </c>
      <c r="D20140" s="5" t="s">
        <v>78</v>
      </c>
      <c r="E20140" s="5" t="str">
        <f t="shared" si="1026"/>
        <v>SISTEMAS-GLOBALTRONIK SAS-SERGIO PATIÑO</v>
      </c>
      <c r="F20140" s="5"/>
      <c r="G20140" s="5"/>
    </row>
    <row r="20141" spans="1:7" ht="58.5" customHeight="1" x14ac:dyDescent="0.25">
      <c r="A20141" s="5" t="str">
        <f>"H0026718"</f>
        <v>H0026718</v>
      </c>
      <c r="B20141" s="5" t="str">
        <f t="shared" si="1028"/>
        <v>UNIDAD DE LLAMADO DE ENFERMERIA PARA CAMA O BAÑO</v>
      </c>
      <c r="C20141" s="6">
        <v>131671.12</v>
      </c>
      <c r="D20141" s="5" t="s">
        <v>78</v>
      </c>
      <c r="E20141" s="5" t="str">
        <f t="shared" si="1026"/>
        <v>SISTEMAS-GLOBALTRONIK SAS-SERGIO PATIÑO</v>
      </c>
      <c r="F20141" s="5"/>
      <c r="G20141" s="5"/>
    </row>
    <row r="20142" spans="1:7" ht="58.5" customHeight="1" x14ac:dyDescent="0.25">
      <c r="A20142" s="5" t="str">
        <f>"H0026719"</f>
        <v>H0026719</v>
      </c>
      <c r="B20142" s="5" t="str">
        <f t="shared" si="1028"/>
        <v>UNIDAD DE LLAMADO DE ENFERMERIA PARA CAMA O BAÑO</v>
      </c>
      <c r="C20142" s="6">
        <v>131671.12</v>
      </c>
      <c r="D20142" s="5" t="s">
        <v>78</v>
      </c>
      <c r="E20142" s="5" t="str">
        <f t="shared" si="1026"/>
        <v>SISTEMAS-GLOBALTRONIK SAS-SERGIO PATIÑO</v>
      </c>
      <c r="F20142" s="5"/>
      <c r="G20142" s="5"/>
    </row>
    <row r="20143" spans="1:7" ht="58.5" customHeight="1" x14ac:dyDescent="0.25">
      <c r="A20143" s="5" t="str">
        <f>"H0026720"</f>
        <v>H0026720</v>
      </c>
      <c r="B20143" s="5" t="str">
        <f t="shared" si="1028"/>
        <v>UNIDAD DE LLAMADO DE ENFERMERIA PARA CAMA O BAÑO</v>
      </c>
      <c r="C20143" s="6">
        <v>131671.12</v>
      </c>
      <c r="D20143" s="5" t="s">
        <v>78</v>
      </c>
      <c r="E20143" s="5" t="str">
        <f t="shared" si="1026"/>
        <v>SISTEMAS-GLOBALTRONIK SAS-SERGIO PATIÑO</v>
      </c>
      <c r="F20143" s="5"/>
      <c r="G20143" s="5"/>
    </row>
    <row r="20144" spans="1:7" ht="58.5" customHeight="1" x14ac:dyDescent="0.25">
      <c r="A20144" s="5" t="str">
        <f>"H0026721"</f>
        <v>H0026721</v>
      </c>
      <c r="B20144" s="5" t="str">
        <f t="shared" si="1028"/>
        <v>UNIDAD DE LLAMADO DE ENFERMERIA PARA CAMA O BAÑO</v>
      </c>
      <c r="C20144" s="6">
        <v>131671.12</v>
      </c>
      <c r="D20144" s="5" t="s">
        <v>78</v>
      </c>
      <c r="E20144" s="5" t="str">
        <f t="shared" si="1026"/>
        <v>SISTEMAS-GLOBALTRONIK SAS-SERGIO PATIÑO</v>
      </c>
      <c r="F20144" s="5"/>
      <c r="G20144" s="5"/>
    </row>
    <row r="20145" spans="1:7" ht="58.5" customHeight="1" x14ac:dyDescent="0.25">
      <c r="A20145" s="5" t="str">
        <f>"H0026722"</f>
        <v>H0026722</v>
      </c>
      <c r="B20145" s="5" t="str">
        <f t="shared" si="1028"/>
        <v>UNIDAD DE LLAMADO DE ENFERMERIA PARA CAMA O BAÑO</v>
      </c>
      <c r="C20145" s="6">
        <v>131671.12</v>
      </c>
      <c r="D20145" s="5" t="s">
        <v>78</v>
      </c>
      <c r="E20145" s="5" t="str">
        <f t="shared" si="1026"/>
        <v>SISTEMAS-GLOBALTRONIK SAS-SERGIO PATIÑO</v>
      </c>
      <c r="F20145" s="5"/>
      <c r="G20145" s="5"/>
    </row>
    <row r="20146" spans="1:7" ht="58.5" customHeight="1" x14ac:dyDescent="0.25">
      <c r="A20146" s="5" t="str">
        <f>"H0026759"</f>
        <v>H0026759</v>
      </c>
      <c r="B20146" s="5" t="str">
        <f>"LAMPARA DE PASILLO DE LLAMADO DE ENFERMERIA"</f>
        <v>LAMPARA DE PASILLO DE LLAMADO DE ENFERMERIA</v>
      </c>
      <c r="C20146" s="6">
        <v>523510.75</v>
      </c>
      <c r="D20146" s="5" t="s">
        <v>78</v>
      </c>
      <c r="E20146" s="5" t="str">
        <f t="shared" si="1026"/>
        <v>SISTEMAS-GLOBALTRONIK SAS-SERGIO PATIÑO</v>
      </c>
      <c r="F20146" s="5"/>
      <c r="G20146" s="5"/>
    </row>
    <row r="20147" spans="1:7" ht="58.5" customHeight="1" x14ac:dyDescent="0.25">
      <c r="A20147" s="5" t="str">
        <f>"H0026762"</f>
        <v>H0026762</v>
      </c>
      <c r="B20147" s="5" t="str">
        <f>"LAMPARA DE PASILLO DE LLAMADO DE ENFERMERIA"</f>
        <v>LAMPARA DE PASILLO DE LLAMADO DE ENFERMERIA</v>
      </c>
      <c r="C20147" s="6">
        <v>523510.75</v>
      </c>
      <c r="D20147" s="5" t="s">
        <v>78</v>
      </c>
      <c r="E20147" s="5" t="str">
        <f t="shared" si="1026"/>
        <v>SISTEMAS-GLOBALTRONIK SAS-SERGIO PATIÑO</v>
      </c>
      <c r="F20147" s="5"/>
      <c r="G20147" s="5"/>
    </row>
    <row r="20148" spans="1:7" ht="58.5" customHeight="1" x14ac:dyDescent="0.25">
      <c r="A20148" s="5" t="str">
        <f>"H0027154"</f>
        <v>H0027154</v>
      </c>
      <c r="B20148" s="5" t="s">
        <v>869</v>
      </c>
      <c r="C20148" s="6">
        <v>3272500</v>
      </c>
      <c r="D20148" s="5" t="s">
        <v>868</v>
      </c>
      <c r="E20148" s="5" t="str">
        <f t="shared" si="1026"/>
        <v>SISTEMAS-GLOBALTRONIK SAS-SERGIO PATIÑO</v>
      </c>
      <c r="F20148" s="5"/>
      <c r="G20148" s="5" t="str">
        <f>"D11S"</f>
        <v>D11S</v>
      </c>
    </row>
    <row r="20149" spans="1:7" ht="58.5" customHeight="1" x14ac:dyDescent="0.25">
      <c r="A20149" s="5" t="str">
        <f>"H0027278"</f>
        <v>H0027278</v>
      </c>
      <c r="B20149" s="5" t="str">
        <f>"LEGISMOVIL-INTERNET, COMENTADOS, ESTATUTO GENERAL DE CONTRATACIÓN, REGIMÉN DEL EMPLEADO OFICIAL, CÓDIGO CONTENCIOSO ADMINISTRATIVO, COLECCIÓN DE JURISPRUDENCIA COLOMBIANA, COLECCIÓN DE LEGISLACIÓN COLOMBIANA, MINUTAS Y MODELOS"</f>
        <v>LEGISMOVIL-INTERNET, COMENTADOS, ESTATUTO GENERAL DE CONTRATACIÓN, REGIMÉN DEL EMPLEADO OFICIAL, CÓDIGO CONTENCIOSO ADMINISTRATIVO, COLECCIÓN DE JURISPRUDENCIA COLOMBIANA, COLECCIÓN DE LEGISLACIÓN COLOMBIANA, MINUTAS Y MODELOS</v>
      </c>
      <c r="C20149" s="6">
        <v>4620000</v>
      </c>
      <c r="D20149" s="5" t="s">
        <v>870</v>
      </c>
      <c r="E20149" s="5" t="str">
        <f t="shared" si="1026"/>
        <v>SISTEMAS-GLOBALTRONIK SAS-SERGIO PATIÑO</v>
      </c>
      <c r="F20149" s="5"/>
      <c r="G20149" s="5"/>
    </row>
    <row r="20150" spans="1:7" ht="58.5" customHeight="1" x14ac:dyDescent="0.25">
      <c r="A20150" s="5" t="str">
        <f>"H0027279"</f>
        <v>H0027279</v>
      </c>
      <c r="B20150" s="5" t="s">
        <v>871</v>
      </c>
      <c r="C20150" s="6">
        <v>4617200</v>
      </c>
      <c r="D20150" s="5" t="s">
        <v>38</v>
      </c>
      <c r="E20150" s="5" t="str">
        <f t="shared" si="1026"/>
        <v>SISTEMAS-GLOBALTRONIK SAS-SERGIO PATIÑO</v>
      </c>
      <c r="F20150" s="5"/>
      <c r="G20150" s="5"/>
    </row>
    <row r="20151" spans="1:7" ht="58.5" customHeight="1" x14ac:dyDescent="0.25">
      <c r="A20151" s="5" t="str">
        <f>"H0027318"</f>
        <v>H0027318</v>
      </c>
      <c r="B20151" s="5" t="str">
        <f>"TRANSCEIVER"</f>
        <v>TRANSCEIVER</v>
      </c>
      <c r="C20151" s="6">
        <v>480000</v>
      </c>
      <c r="D20151" s="5" t="s">
        <v>872</v>
      </c>
      <c r="E20151" s="5" t="str">
        <f t="shared" si="1026"/>
        <v>SISTEMAS-GLOBALTRONIK SAS-SERGIO PATIÑO</v>
      </c>
      <c r="F20151" s="5"/>
      <c r="G20151" s="5"/>
    </row>
    <row r="20152" spans="1:7" ht="58.5" customHeight="1" x14ac:dyDescent="0.25">
      <c r="A20152" s="5" t="str">
        <f>"H0027319"</f>
        <v>H0027319</v>
      </c>
      <c r="B20152" s="5" t="str">
        <f>"TRANSCEIVER"</f>
        <v>TRANSCEIVER</v>
      </c>
      <c r="C20152" s="6">
        <v>480000</v>
      </c>
      <c r="D20152" s="5" t="s">
        <v>405</v>
      </c>
      <c r="E20152" s="5" t="str">
        <f t="shared" si="1026"/>
        <v>SISTEMAS-GLOBALTRONIK SAS-SERGIO PATIÑO</v>
      </c>
      <c r="F20152" s="5"/>
      <c r="G20152" s="5"/>
    </row>
    <row r="20153" spans="1:7" ht="58.5" customHeight="1" x14ac:dyDescent="0.25">
      <c r="A20153" s="5" t="str">
        <f>"H0027359"</f>
        <v>H0027359</v>
      </c>
      <c r="B20153" s="5" t="str">
        <f>"LECTOR DE HUELLAS DIGITALES"</f>
        <v>LECTOR DE HUELLAS DIGITALES</v>
      </c>
      <c r="C20153" s="6">
        <v>234000.41</v>
      </c>
      <c r="D20153" s="5" t="s">
        <v>83</v>
      </c>
      <c r="E20153" s="5" t="str">
        <f t="shared" si="1026"/>
        <v>SISTEMAS-GLOBALTRONIK SAS-SERGIO PATIÑO</v>
      </c>
      <c r="F20153" s="5"/>
      <c r="G20153" s="5"/>
    </row>
    <row r="20154" spans="1:7" ht="58.5" customHeight="1" x14ac:dyDescent="0.25">
      <c r="A20154" s="5" t="str">
        <f>"H0027360"</f>
        <v>H0027360</v>
      </c>
      <c r="B20154" s="5" t="str">
        <f>"LECTOR DE HUELLAS DIGITALES"</f>
        <v>LECTOR DE HUELLAS DIGITALES</v>
      </c>
      <c r="C20154" s="6">
        <v>234000.41</v>
      </c>
      <c r="D20154" s="5" t="s">
        <v>83</v>
      </c>
      <c r="E20154" s="5" t="str">
        <f t="shared" si="1026"/>
        <v>SISTEMAS-GLOBALTRONIK SAS-SERGIO PATIÑO</v>
      </c>
      <c r="F20154" s="5"/>
      <c r="G20154" s="5"/>
    </row>
    <row r="20155" spans="1:7" ht="58.5" customHeight="1" x14ac:dyDescent="0.25">
      <c r="A20155" s="5" t="str">
        <f>"H0027361"</f>
        <v>H0027361</v>
      </c>
      <c r="B20155" s="5" t="str">
        <f>"LECTOR DE HUELLAS DIGITALES"</f>
        <v>LECTOR DE HUELLAS DIGITALES</v>
      </c>
      <c r="C20155" s="6">
        <v>234000.41</v>
      </c>
      <c r="D20155" s="5" t="s">
        <v>83</v>
      </c>
      <c r="E20155" s="5" t="str">
        <f t="shared" si="1026"/>
        <v>SISTEMAS-GLOBALTRONIK SAS-SERGIO PATIÑO</v>
      </c>
      <c r="F20155" s="5"/>
      <c r="G20155" s="5"/>
    </row>
    <row r="20156" spans="1:7" ht="58.5" customHeight="1" x14ac:dyDescent="0.25">
      <c r="A20156" s="5" t="str">
        <f>"H0027378"</f>
        <v>H0027378</v>
      </c>
      <c r="B20156" s="5" t="str">
        <f>"LECTOR DE CÓDIGO DE BARRAS BIDIMENSIONAL MARCA HONEYWELL con Interface USB, Protección IP41, Soporte para descanso, Nivel lumínico de 100.000 lux, Alcance de lectura para código QR de 45 cm"</f>
        <v>LECTOR DE CÓDIGO DE BARRAS BIDIMENSIONAL MARCA HONEYWELL con Interface USB, Protección IP41, Soporte para descanso, Nivel lumínico de 100.000 lux, Alcance de lectura para código QR de 45 cm</v>
      </c>
      <c r="C20156" s="6">
        <v>589999.67000000004</v>
      </c>
      <c r="D20156" s="5" t="s">
        <v>83</v>
      </c>
      <c r="E20156" s="5" t="str">
        <f t="shared" si="1026"/>
        <v>SISTEMAS-GLOBALTRONIK SAS-SERGIO PATIÑO</v>
      </c>
      <c r="F20156" s="5"/>
      <c r="G20156" s="5"/>
    </row>
    <row r="20157" spans="1:7" ht="58.5" customHeight="1" x14ac:dyDescent="0.25">
      <c r="A20157" s="5" t="str">
        <f>"H0027456"</f>
        <v>H0027456</v>
      </c>
      <c r="B20157" s="5" t="str">
        <f>"LECTOR DE HUELLAS DIGITALES"</f>
        <v>LECTOR DE HUELLAS DIGITALES</v>
      </c>
      <c r="C20157" s="6">
        <v>234000.41</v>
      </c>
      <c r="D20157" s="5" t="s">
        <v>83</v>
      </c>
      <c r="E20157" s="5" t="str">
        <f t="shared" ref="E20157:E20220" si="1029">"SISTEMAS-GLOBALTRONIK SAS-SERGIO PATIÑO"</f>
        <v>SISTEMAS-GLOBALTRONIK SAS-SERGIO PATIÑO</v>
      </c>
      <c r="F20157" s="5"/>
      <c r="G20157" s="5"/>
    </row>
    <row r="20158" spans="1:7" ht="58.5" customHeight="1" x14ac:dyDescent="0.25">
      <c r="A20158" s="5" t="str">
        <f>"H0027485"</f>
        <v>H0027485</v>
      </c>
      <c r="B20158" s="5" t="str">
        <f>"LECTOR DE HUELLAS DIGITALES"</f>
        <v>LECTOR DE HUELLAS DIGITALES</v>
      </c>
      <c r="C20158" s="6">
        <v>234000.41</v>
      </c>
      <c r="D20158" s="5" t="s">
        <v>83</v>
      </c>
      <c r="E20158" s="5" t="str">
        <f t="shared" si="1029"/>
        <v>SISTEMAS-GLOBALTRONIK SAS-SERGIO PATIÑO</v>
      </c>
      <c r="F20158" s="5"/>
      <c r="G20158" s="5"/>
    </row>
    <row r="20159" spans="1:7" ht="58.5" customHeight="1" x14ac:dyDescent="0.25">
      <c r="A20159" s="5" t="str">
        <f>"H0027490"</f>
        <v>H0027490</v>
      </c>
      <c r="B20159" s="5" t="str">
        <f>"LECTOR DE HUELLAS DIGITALES"</f>
        <v>LECTOR DE HUELLAS DIGITALES</v>
      </c>
      <c r="C20159" s="6">
        <v>234000.41</v>
      </c>
      <c r="D20159" s="5" t="s">
        <v>83</v>
      </c>
      <c r="E20159" s="5" t="str">
        <f t="shared" si="1029"/>
        <v>SISTEMAS-GLOBALTRONIK SAS-SERGIO PATIÑO</v>
      </c>
      <c r="F20159" s="5"/>
      <c r="G20159" s="5"/>
    </row>
    <row r="20160" spans="1:7" ht="58.5" customHeight="1" x14ac:dyDescent="0.25">
      <c r="A20160" s="5" t="str">
        <f>"H0027549"</f>
        <v>H0027549</v>
      </c>
      <c r="B20160" s="5" t="str">
        <f>"LECTOR DE HUELLAS DIGITALES"</f>
        <v>LECTOR DE HUELLAS DIGITALES</v>
      </c>
      <c r="C20160" s="6">
        <v>234000.41</v>
      </c>
      <c r="D20160" s="5" t="s">
        <v>83</v>
      </c>
      <c r="E20160" s="5" t="str">
        <f t="shared" si="1029"/>
        <v>SISTEMAS-GLOBALTRONIK SAS-SERGIO PATIÑO</v>
      </c>
      <c r="F20160" s="5"/>
      <c r="G20160" s="5"/>
    </row>
    <row r="20161" spans="1:7" ht="58.5" customHeight="1" x14ac:dyDescent="0.25">
      <c r="A20161" s="5" t="str">
        <f>"H0027559"</f>
        <v>H0027559</v>
      </c>
      <c r="B20161" s="5" t="str">
        <f>"LECTOR DE HUELLAS DIGITALES"</f>
        <v>LECTOR DE HUELLAS DIGITALES</v>
      </c>
      <c r="C20161" s="6">
        <v>234000.41</v>
      </c>
      <c r="D20161" s="5" t="s">
        <v>83</v>
      </c>
      <c r="E20161" s="5" t="str">
        <f t="shared" si="1029"/>
        <v>SISTEMAS-GLOBALTRONIK SAS-SERGIO PATIÑO</v>
      </c>
      <c r="F20161" s="5"/>
      <c r="G20161" s="5"/>
    </row>
    <row r="20162" spans="1:7" ht="58.5" customHeight="1" x14ac:dyDescent="0.25">
      <c r="A20162" s="5" t="str">
        <f>"H0027649"</f>
        <v>H0027649</v>
      </c>
      <c r="B20162"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0162" s="6">
        <v>2580000</v>
      </c>
      <c r="D20162" s="5" t="s">
        <v>359</v>
      </c>
      <c r="E20162" s="5" t="str">
        <f t="shared" si="1029"/>
        <v>SISTEMAS-GLOBALTRONIK SAS-SERGIO PATIÑO</v>
      </c>
      <c r="F20162" s="5"/>
      <c r="G20162" s="5"/>
    </row>
    <row r="20163" spans="1:7" ht="58.5" customHeight="1" x14ac:dyDescent="0.25">
      <c r="A20163" s="5" t="str">
        <f>"H0027666"</f>
        <v>H0027666</v>
      </c>
      <c r="B20163" s="5" t="str">
        <f t="shared" ref="B20163:B20226" si="1030">"LICENCIA DE ANTIVIRUS ESET ENDPOINT POR UN (1) AÑO - RENOVACIÓN"</f>
        <v>LICENCIA DE ANTIVIRUS ESET ENDPOINT POR UN (1) AÑO - RENOVACIÓN</v>
      </c>
      <c r="C20163" s="6">
        <v>25073.3</v>
      </c>
      <c r="D20163" s="5" t="s">
        <v>873</v>
      </c>
      <c r="E20163" s="5" t="str">
        <f t="shared" si="1029"/>
        <v>SISTEMAS-GLOBALTRONIK SAS-SERGIO PATIÑO</v>
      </c>
      <c r="F20163" s="5"/>
      <c r="G20163" s="5"/>
    </row>
    <row r="20164" spans="1:7" ht="58.5" customHeight="1" x14ac:dyDescent="0.25">
      <c r="A20164" s="5" t="str">
        <f>"H0027667"</f>
        <v>H0027667</v>
      </c>
      <c r="B20164" s="5" t="str">
        <f t="shared" si="1030"/>
        <v>LICENCIA DE ANTIVIRUS ESET ENDPOINT POR UN (1) AÑO - RENOVACIÓN</v>
      </c>
      <c r="C20164" s="6">
        <v>25073.3</v>
      </c>
      <c r="D20164" s="5" t="s">
        <v>873</v>
      </c>
      <c r="E20164" s="5" t="str">
        <f t="shared" si="1029"/>
        <v>SISTEMAS-GLOBALTRONIK SAS-SERGIO PATIÑO</v>
      </c>
      <c r="F20164" s="5"/>
      <c r="G20164" s="5"/>
    </row>
    <row r="20165" spans="1:7" ht="58.5" customHeight="1" x14ac:dyDescent="0.25">
      <c r="A20165" s="5" t="str">
        <f>"H0027668"</f>
        <v>H0027668</v>
      </c>
      <c r="B20165" s="5" t="str">
        <f t="shared" si="1030"/>
        <v>LICENCIA DE ANTIVIRUS ESET ENDPOINT POR UN (1) AÑO - RENOVACIÓN</v>
      </c>
      <c r="C20165" s="6">
        <v>25073.3</v>
      </c>
      <c r="D20165" s="5" t="s">
        <v>873</v>
      </c>
      <c r="E20165" s="5" t="str">
        <f t="shared" si="1029"/>
        <v>SISTEMAS-GLOBALTRONIK SAS-SERGIO PATIÑO</v>
      </c>
      <c r="F20165" s="5"/>
      <c r="G20165" s="5"/>
    </row>
    <row r="20166" spans="1:7" ht="58.5" customHeight="1" x14ac:dyDescent="0.25">
      <c r="A20166" s="5" t="str">
        <f>"H0027669"</f>
        <v>H0027669</v>
      </c>
      <c r="B20166" s="5" t="str">
        <f t="shared" si="1030"/>
        <v>LICENCIA DE ANTIVIRUS ESET ENDPOINT POR UN (1) AÑO - RENOVACIÓN</v>
      </c>
      <c r="C20166" s="6">
        <v>25073.3</v>
      </c>
      <c r="D20166" s="5" t="s">
        <v>873</v>
      </c>
      <c r="E20166" s="5" t="str">
        <f t="shared" si="1029"/>
        <v>SISTEMAS-GLOBALTRONIK SAS-SERGIO PATIÑO</v>
      </c>
      <c r="F20166" s="5"/>
      <c r="G20166" s="5"/>
    </row>
    <row r="20167" spans="1:7" ht="58.5" customHeight="1" x14ac:dyDescent="0.25">
      <c r="A20167" s="5" t="str">
        <f>"H0027670"</f>
        <v>H0027670</v>
      </c>
      <c r="B20167" s="5" t="str">
        <f t="shared" si="1030"/>
        <v>LICENCIA DE ANTIVIRUS ESET ENDPOINT POR UN (1) AÑO - RENOVACIÓN</v>
      </c>
      <c r="C20167" s="6">
        <v>25073.3</v>
      </c>
      <c r="D20167" s="5" t="s">
        <v>873</v>
      </c>
      <c r="E20167" s="5" t="str">
        <f t="shared" si="1029"/>
        <v>SISTEMAS-GLOBALTRONIK SAS-SERGIO PATIÑO</v>
      </c>
      <c r="F20167" s="5"/>
      <c r="G20167" s="5"/>
    </row>
    <row r="20168" spans="1:7" ht="58.5" customHeight="1" x14ac:dyDescent="0.25">
      <c r="A20168" s="5" t="str">
        <f>"H0027671"</f>
        <v>H0027671</v>
      </c>
      <c r="B20168" s="5" t="str">
        <f t="shared" si="1030"/>
        <v>LICENCIA DE ANTIVIRUS ESET ENDPOINT POR UN (1) AÑO - RENOVACIÓN</v>
      </c>
      <c r="C20168" s="6">
        <v>25073.3</v>
      </c>
      <c r="D20168" s="5" t="s">
        <v>873</v>
      </c>
      <c r="E20168" s="5" t="str">
        <f t="shared" si="1029"/>
        <v>SISTEMAS-GLOBALTRONIK SAS-SERGIO PATIÑO</v>
      </c>
      <c r="F20168" s="5"/>
      <c r="G20168" s="5"/>
    </row>
    <row r="20169" spans="1:7" ht="58.5" customHeight="1" x14ac:dyDescent="0.25">
      <c r="A20169" s="5" t="str">
        <f>"H0027672"</f>
        <v>H0027672</v>
      </c>
      <c r="B20169" s="5" t="str">
        <f t="shared" si="1030"/>
        <v>LICENCIA DE ANTIVIRUS ESET ENDPOINT POR UN (1) AÑO - RENOVACIÓN</v>
      </c>
      <c r="C20169" s="6">
        <v>25073.3</v>
      </c>
      <c r="D20169" s="5" t="s">
        <v>873</v>
      </c>
      <c r="E20169" s="5" t="str">
        <f t="shared" si="1029"/>
        <v>SISTEMAS-GLOBALTRONIK SAS-SERGIO PATIÑO</v>
      </c>
      <c r="F20169" s="5"/>
      <c r="G20169" s="5"/>
    </row>
    <row r="20170" spans="1:7" ht="58.5" customHeight="1" x14ac:dyDescent="0.25">
      <c r="A20170" s="5" t="str">
        <f>"H0027673"</f>
        <v>H0027673</v>
      </c>
      <c r="B20170" s="5" t="str">
        <f t="shared" si="1030"/>
        <v>LICENCIA DE ANTIVIRUS ESET ENDPOINT POR UN (1) AÑO - RENOVACIÓN</v>
      </c>
      <c r="C20170" s="6">
        <v>25073.3</v>
      </c>
      <c r="D20170" s="5" t="s">
        <v>873</v>
      </c>
      <c r="E20170" s="5" t="str">
        <f t="shared" si="1029"/>
        <v>SISTEMAS-GLOBALTRONIK SAS-SERGIO PATIÑO</v>
      </c>
      <c r="F20170" s="5"/>
      <c r="G20170" s="5"/>
    </row>
    <row r="20171" spans="1:7" ht="58.5" customHeight="1" x14ac:dyDescent="0.25">
      <c r="A20171" s="5" t="str">
        <f>"H0027674"</f>
        <v>H0027674</v>
      </c>
      <c r="B20171" s="5" t="str">
        <f t="shared" si="1030"/>
        <v>LICENCIA DE ANTIVIRUS ESET ENDPOINT POR UN (1) AÑO - RENOVACIÓN</v>
      </c>
      <c r="C20171" s="6">
        <v>25073.3</v>
      </c>
      <c r="D20171" s="5" t="s">
        <v>874</v>
      </c>
      <c r="E20171" s="5" t="str">
        <f t="shared" si="1029"/>
        <v>SISTEMAS-GLOBALTRONIK SAS-SERGIO PATIÑO</v>
      </c>
      <c r="F20171" s="5"/>
      <c r="G20171" s="5"/>
    </row>
    <row r="20172" spans="1:7" ht="58.5" customHeight="1" x14ac:dyDescent="0.25">
      <c r="A20172" s="5" t="str">
        <f>"H0027675"</f>
        <v>H0027675</v>
      </c>
      <c r="B20172" s="5" t="str">
        <f t="shared" si="1030"/>
        <v>LICENCIA DE ANTIVIRUS ESET ENDPOINT POR UN (1) AÑO - RENOVACIÓN</v>
      </c>
      <c r="C20172" s="6">
        <v>25073.3</v>
      </c>
      <c r="D20172" s="5" t="s">
        <v>873</v>
      </c>
      <c r="E20172" s="5" t="str">
        <f t="shared" si="1029"/>
        <v>SISTEMAS-GLOBALTRONIK SAS-SERGIO PATIÑO</v>
      </c>
      <c r="F20172" s="5"/>
      <c r="G20172" s="5"/>
    </row>
    <row r="20173" spans="1:7" ht="58.5" customHeight="1" x14ac:dyDescent="0.25">
      <c r="A20173" s="5" t="str">
        <f>"H0027676"</f>
        <v>H0027676</v>
      </c>
      <c r="B20173" s="5" t="str">
        <f t="shared" si="1030"/>
        <v>LICENCIA DE ANTIVIRUS ESET ENDPOINT POR UN (1) AÑO - RENOVACIÓN</v>
      </c>
      <c r="C20173" s="6">
        <v>25073.3</v>
      </c>
      <c r="D20173" s="5" t="s">
        <v>873</v>
      </c>
      <c r="E20173" s="5" t="str">
        <f t="shared" si="1029"/>
        <v>SISTEMAS-GLOBALTRONIK SAS-SERGIO PATIÑO</v>
      </c>
      <c r="F20173" s="5"/>
      <c r="G20173" s="5"/>
    </row>
    <row r="20174" spans="1:7" ht="58.5" customHeight="1" x14ac:dyDescent="0.25">
      <c r="A20174" s="5" t="str">
        <f>"H0027677"</f>
        <v>H0027677</v>
      </c>
      <c r="B20174" s="5" t="str">
        <f t="shared" si="1030"/>
        <v>LICENCIA DE ANTIVIRUS ESET ENDPOINT POR UN (1) AÑO - RENOVACIÓN</v>
      </c>
      <c r="C20174" s="6">
        <v>25073.3</v>
      </c>
      <c r="D20174" s="5" t="s">
        <v>873</v>
      </c>
      <c r="E20174" s="5" t="str">
        <f t="shared" si="1029"/>
        <v>SISTEMAS-GLOBALTRONIK SAS-SERGIO PATIÑO</v>
      </c>
      <c r="F20174" s="5"/>
      <c r="G20174" s="5"/>
    </row>
    <row r="20175" spans="1:7" ht="58.5" customHeight="1" x14ac:dyDescent="0.25">
      <c r="A20175" s="5" t="str">
        <f>"H0027678"</f>
        <v>H0027678</v>
      </c>
      <c r="B20175" s="5" t="str">
        <f t="shared" si="1030"/>
        <v>LICENCIA DE ANTIVIRUS ESET ENDPOINT POR UN (1) AÑO - RENOVACIÓN</v>
      </c>
      <c r="C20175" s="6">
        <v>25073.3</v>
      </c>
      <c r="D20175" s="5" t="s">
        <v>873</v>
      </c>
      <c r="E20175" s="5" t="str">
        <f t="shared" si="1029"/>
        <v>SISTEMAS-GLOBALTRONIK SAS-SERGIO PATIÑO</v>
      </c>
      <c r="F20175" s="5"/>
      <c r="G20175" s="5"/>
    </row>
    <row r="20176" spans="1:7" ht="58.5" customHeight="1" x14ac:dyDescent="0.25">
      <c r="A20176" s="5" t="str">
        <f>"H0027679"</f>
        <v>H0027679</v>
      </c>
      <c r="B20176" s="5" t="str">
        <f t="shared" si="1030"/>
        <v>LICENCIA DE ANTIVIRUS ESET ENDPOINT POR UN (1) AÑO - RENOVACIÓN</v>
      </c>
      <c r="C20176" s="6">
        <v>25073.3</v>
      </c>
      <c r="D20176" s="5" t="s">
        <v>873</v>
      </c>
      <c r="E20176" s="5" t="str">
        <f t="shared" si="1029"/>
        <v>SISTEMAS-GLOBALTRONIK SAS-SERGIO PATIÑO</v>
      </c>
      <c r="F20176" s="5"/>
      <c r="G20176" s="5"/>
    </row>
    <row r="20177" spans="1:7" ht="58.5" customHeight="1" x14ac:dyDescent="0.25">
      <c r="A20177" s="5" t="str">
        <f>"H0027680"</f>
        <v>H0027680</v>
      </c>
      <c r="B20177" s="5" t="str">
        <f t="shared" si="1030"/>
        <v>LICENCIA DE ANTIVIRUS ESET ENDPOINT POR UN (1) AÑO - RENOVACIÓN</v>
      </c>
      <c r="C20177" s="6">
        <v>25073.3</v>
      </c>
      <c r="D20177" s="5" t="s">
        <v>873</v>
      </c>
      <c r="E20177" s="5" t="str">
        <f t="shared" si="1029"/>
        <v>SISTEMAS-GLOBALTRONIK SAS-SERGIO PATIÑO</v>
      </c>
      <c r="F20177" s="5"/>
      <c r="G20177" s="5"/>
    </row>
    <row r="20178" spans="1:7" ht="58.5" customHeight="1" x14ac:dyDescent="0.25">
      <c r="A20178" s="5" t="str">
        <f>"H0027681"</f>
        <v>H0027681</v>
      </c>
      <c r="B20178" s="5" t="str">
        <f t="shared" si="1030"/>
        <v>LICENCIA DE ANTIVIRUS ESET ENDPOINT POR UN (1) AÑO - RENOVACIÓN</v>
      </c>
      <c r="C20178" s="6">
        <v>25073.3</v>
      </c>
      <c r="D20178" s="5" t="s">
        <v>873</v>
      </c>
      <c r="E20178" s="5" t="str">
        <f t="shared" si="1029"/>
        <v>SISTEMAS-GLOBALTRONIK SAS-SERGIO PATIÑO</v>
      </c>
      <c r="F20178" s="5"/>
      <c r="G20178" s="5"/>
    </row>
    <row r="20179" spans="1:7" ht="58.5" customHeight="1" x14ac:dyDescent="0.25">
      <c r="A20179" s="5" t="str">
        <f>"H0027682"</f>
        <v>H0027682</v>
      </c>
      <c r="B20179" s="5" t="str">
        <f t="shared" si="1030"/>
        <v>LICENCIA DE ANTIVIRUS ESET ENDPOINT POR UN (1) AÑO - RENOVACIÓN</v>
      </c>
      <c r="C20179" s="6">
        <v>25073.3</v>
      </c>
      <c r="D20179" s="5" t="s">
        <v>359</v>
      </c>
      <c r="E20179" s="5" t="str">
        <f t="shared" si="1029"/>
        <v>SISTEMAS-GLOBALTRONIK SAS-SERGIO PATIÑO</v>
      </c>
      <c r="F20179" s="5"/>
      <c r="G20179" s="5"/>
    </row>
    <row r="20180" spans="1:7" ht="58.5" customHeight="1" x14ac:dyDescent="0.25">
      <c r="A20180" s="5" t="str">
        <f>"H0027683"</f>
        <v>H0027683</v>
      </c>
      <c r="B20180" s="5" t="str">
        <f t="shared" si="1030"/>
        <v>LICENCIA DE ANTIVIRUS ESET ENDPOINT POR UN (1) AÑO - RENOVACIÓN</v>
      </c>
      <c r="C20180" s="6">
        <v>25073.3</v>
      </c>
      <c r="D20180" s="5" t="s">
        <v>873</v>
      </c>
      <c r="E20180" s="5" t="str">
        <f t="shared" si="1029"/>
        <v>SISTEMAS-GLOBALTRONIK SAS-SERGIO PATIÑO</v>
      </c>
      <c r="F20180" s="5"/>
      <c r="G20180" s="5"/>
    </row>
    <row r="20181" spans="1:7" ht="58.5" customHeight="1" x14ac:dyDescent="0.25">
      <c r="A20181" s="5" t="str">
        <f>"H0027684"</f>
        <v>H0027684</v>
      </c>
      <c r="B20181" s="5" t="str">
        <f t="shared" si="1030"/>
        <v>LICENCIA DE ANTIVIRUS ESET ENDPOINT POR UN (1) AÑO - RENOVACIÓN</v>
      </c>
      <c r="C20181" s="6">
        <v>25073.3</v>
      </c>
      <c r="D20181" s="5" t="s">
        <v>873</v>
      </c>
      <c r="E20181" s="5" t="str">
        <f t="shared" si="1029"/>
        <v>SISTEMAS-GLOBALTRONIK SAS-SERGIO PATIÑO</v>
      </c>
      <c r="F20181" s="5"/>
      <c r="G20181" s="5"/>
    </row>
    <row r="20182" spans="1:7" ht="58.5" customHeight="1" x14ac:dyDescent="0.25">
      <c r="A20182" s="5" t="str">
        <f>"H0027685"</f>
        <v>H0027685</v>
      </c>
      <c r="B20182" s="5" t="str">
        <f t="shared" si="1030"/>
        <v>LICENCIA DE ANTIVIRUS ESET ENDPOINT POR UN (1) AÑO - RENOVACIÓN</v>
      </c>
      <c r="C20182" s="6">
        <v>25073.3</v>
      </c>
      <c r="D20182" s="5" t="s">
        <v>873</v>
      </c>
      <c r="E20182" s="5" t="str">
        <f t="shared" si="1029"/>
        <v>SISTEMAS-GLOBALTRONIK SAS-SERGIO PATIÑO</v>
      </c>
      <c r="F20182" s="5"/>
      <c r="G20182" s="5"/>
    </row>
    <row r="20183" spans="1:7" ht="58.5" customHeight="1" x14ac:dyDescent="0.25">
      <c r="A20183" s="5" t="str">
        <f>"H0027686"</f>
        <v>H0027686</v>
      </c>
      <c r="B20183" s="5" t="str">
        <f t="shared" si="1030"/>
        <v>LICENCIA DE ANTIVIRUS ESET ENDPOINT POR UN (1) AÑO - RENOVACIÓN</v>
      </c>
      <c r="C20183" s="6">
        <v>25073.3</v>
      </c>
      <c r="D20183" s="5" t="s">
        <v>873</v>
      </c>
      <c r="E20183" s="5" t="str">
        <f t="shared" si="1029"/>
        <v>SISTEMAS-GLOBALTRONIK SAS-SERGIO PATIÑO</v>
      </c>
      <c r="F20183" s="5"/>
      <c r="G20183" s="5"/>
    </row>
    <row r="20184" spans="1:7" ht="58.5" customHeight="1" x14ac:dyDescent="0.25">
      <c r="A20184" s="5" t="str">
        <f>"H0027687"</f>
        <v>H0027687</v>
      </c>
      <c r="B20184" s="5" t="str">
        <f t="shared" si="1030"/>
        <v>LICENCIA DE ANTIVIRUS ESET ENDPOINT POR UN (1) AÑO - RENOVACIÓN</v>
      </c>
      <c r="C20184" s="6">
        <v>25073.3</v>
      </c>
      <c r="D20184" s="5" t="s">
        <v>873</v>
      </c>
      <c r="E20184" s="5" t="str">
        <f t="shared" si="1029"/>
        <v>SISTEMAS-GLOBALTRONIK SAS-SERGIO PATIÑO</v>
      </c>
      <c r="F20184" s="5"/>
      <c r="G20184" s="5"/>
    </row>
    <row r="20185" spans="1:7" ht="58.5" customHeight="1" x14ac:dyDescent="0.25">
      <c r="A20185" s="5" t="str">
        <f>"H0027688"</f>
        <v>H0027688</v>
      </c>
      <c r="B20185" s="5" t="str">
        <f t="shared" si="1030"/>
        <v>LICENCIA DE ANTIVIRUS ESET ENDPOINT POR UN (1) AÑO - RENOVACIÓN</v>
      </c>
      <c r="C20185" s="6">
        <v>25073.3</v>
      </c>
      <c r="D20185" s="5" t="s">
        <v>873</v>
      </c>
      <c r="E20185" s="5" t="str">
        <f t="shared" si="1029"/>
        <v>SISTEMAS-GLOBALTRONIK SAS-SERGIO PATIÑO</v>
      </c>
      <c r="F20185" s="5"/>
      <c r="G20185" s="5"/>
    </row>
    <row r="20186" spans="1:7" ht="58.5" customHeight="1" x14ac:dyDescent="0.25">
      <c r="A20186" s="5" t="str">
        <f>"H0027689"</f>
        <v>H0027689</v>
      </c>
      <c r="B20186" s="5" t="str">
        <f t="shared" si="1030"/>
        <v>LICENCIA DE ANTIVIRUS ESET ENDPOINT POR UN (1) AÑO - RENOVACIÓN</v>
      </c>
      <c r="C20186" s="6">
        <v>25073.3</v>
      </c>
      <c r="D20186" s="5" t="s">
        <v>873</v>
      </c>
      <c r="E20186" s="5" t="str">
        <f t="shared" si="1029"/>
        <v>SISTEMAS-GLOBALTRONIK SAS-SERGIO PATIÑO</v>
      </c>
      <c r="F20186" s="5"/>
      <c r="G20186" s="5"/>
    </row>
    <row r="20187" spans="1:7" ht="58.5" customHeight="1" x14ac:dyDescent="0.25">
      <c r="A20187" s="5" t="str">
        <f>"H0027690"</f>
        <v>H0027690</v>
      </c>
      <c r="B20187" s="5" t="str">
        <f t="shared" si="1030"/>
        <v>LICENCIA DE ANTIVIRUS ESET ENDPOINT POR UN (1) AÑO - RENOVACIÓN</v>
      </c>
      <c r="C20187" s="6">
        <v>25073.3</v>
      </c>
      <c r="D20187" s="5" t="s">
        <v>873</v>
      </c>
      <c r="E20187" s="5" t="str">
        <f t="shared" si="1029"/>
        <v>SISTEMAS-GLOBALTRONIK SAS-SERGIO PATIÑO</v>
      </c>
      <c r="F20187" s="5"/>
      <c r="G20187" s="5"/>
    </row>
    <row r="20188" spans="1:7" ht="58.5" customHeight="1" x14ac:dyDescent="0.25">
      <c r="A20188" s="5" t="str">
        <f>"H0027691"</f>
        <v>H0027691</v>
      </c>
      <c r="B20188" s="5" t="str">
        <f t="shared" si="1030"/>
        <v>LICENCIA DE ANTIVIRUS ESET ENDPOINT POR UN (1) AÑO - RENOVACIÓN</v>
      </c>
      <c r="C20188" s="6">
        <v>25073.3</v>
      </c>
      <c r="D20188" s="5" t="s">
        <v>873</v>
      </c>
      <c r="E20188" s="5" t="str">
        <f t="shared" si="1029"/>
        <v>SISTEMAS-GLOBALTRONIK SAS-SERGIO PATIÑO</v>
      </c>
      <c r="F20188" s="5"/>
      <c r="G20188" s="5"/>
    </row>
    <row r="20189" spans="1:7" ht="58.5" customHeight="1" x14ac:dyDescent="0.25">
      <c r="A20189" s="5" t="str">
        <f>"H0027692"</f>
        <v>H0027692</v>
      </c>
      <c r="B20189" s="5" t="str">
        <f t="shared" si="1030"/>
        <v>LICENCIA DE ANTIVIRUS ESET ENDPOINT POR UN (1) AÑO - RENOVACIÓN</v>
      </c>
      <c r="C20189" s="6">
        <v>25073.3</v>
      </c>
      <c r="D20189" s="5" t="s">
        <v>873</v>
      </c>
      <c r="E20189" s="5" t="str">
        <f t="shared" si="1029"/>
        <v>SISTEMAS-GLOBALTRONIK SAS-SERGIO PATIÑO</v>
      </c>
      <c r="F20189" s="5"/>
      <c r="G20189" s="5"/>
    </row>
    <row r="20190" spans="1:7" ht="58.5" customHeight="1" x14ac:dyDescent="0.25">
      <c r="A20190" s="5" t="str">
        <f>"H0027693"</f>
        <v>H0027693</v>
      </c>
      <c r="B20190" s="5" t="str">
        <f t="shared" si="1030"/>
        <v>LICENCIA DE ANTIVIRUS ESET ENDPOINT POR UN (1) AÑO - RENOVACIÓN</v>
      </c>
      <c r="C20190" s="6">
        <v>25073.3</v>
      </c>
      <c r="D20190" s="5" t="s">
        <v>873</v>
      </c>
      <c r="E20190" s="5" t="str">
        <f t="shared" si="1029"/>
        <v>SISTEMAS-GLOBALTRONIK SAS-SERGIO PATIÑO</v>
      </c>
      <c r="F20190" s="5"/>
      <c r="G20190" s="5"/>
    </row>
    <row r="20191" spans="1:7" ht="58.5" customHeight="1" x14ac:dyDescent="0.25">
      <c r="A20191" s="5" t="str">
        <f>"H0027694"</f>
        <v>H0027694</v>
      </c>
      <c r="B20191" s="5" t="str">
        <f t="shared" si="1030"/>
        <v>LICENCIA DE ANTIVIRUS ESET ENDPOINT POR UN (1) AÑO - RENOVACIÓN</v>
      </c>
      <c r="C20191" s="6">
        <v>25073.3</v>
      </c>
      <c r="D20191" s="5" t="s">
        <v>873</v>
      </c>
      <c r="E20191" s="5" t="str">
        <f t="shared" si="1029"/>
        <v>SISTEMAS-GLOBALTRONIK SAS-SERGIO PATIÑO</v>
      </c>
      <c r="F20191" s="5"/>
      <c r="G20191" s="5"/>
    </row>
    <row r="20192" spans="1:7" ht="58.5" customHeight="1" x14ac:dyDescent="0.25">
      <c r="A20192" s="5" t="str">
        <f>"H0027695"</f>
        <v>H0027695</v>
      </c>
      <c r="B20192" s="5" t="str">
        <f t="shared" si="1030"/>
        <v>LICENCIA DE ANTIVIRUS ESET ENDPOINT POR UN (1) AÑO - RENOVACIÓN</v>
      </c>
      <c r="C20192" s="6">
        <v>25073.3</v>
      </c>
      <c r="D20192" s="5" t="s">
        <v>873</v>
      </c>
      <c r="E20192" s="5" t="str">
        <f t="shared" si="1029"/>
        <v>SISTEMAS-GLOBALTRONIK SAS-SERGIO PATIÑO</v>
      </c>
      <c r="F20192" s="5"/>
      <c r="G20192" s="5"/>
    </row>
    <row r="20193" spans="1:7" ht="58.5" customHeight="1" x14ac:dyDescent="0.25">
      <c r="A20193" s="5" t="str">
        <f>"H0027696"</f>
        <v>H0027696</v>
      </c>
      <c r="B20193" s="5" t="str">
        <f t="shared" si="1030"/>
        <v>LICENCIA DE ANTIVIRUS ESET ENDPOINT POR UN (1) AÑO - RENOVACIÓN</v>
      </c>
      <c r="C20193" s="6">
        <v>25073.3</v>
      </c>
      <c r="D20193" s="5" t="s">
        <v>873</v>
      </c>
      <c r="E20193" s="5" t="str">
        <f t="shared" si="1029"/>
        <v>SISTEMAS-GLOBALTRONIK SAS-SERGIO PATIÑO</v>
      </c>
      <c r="F20193" s="5"/>
      <c r="G20193" s="5"/>
    </row>
    <row r="20194" spans="1:7" ht="58.5" customHeight="1" x14ac:dyDescent="0.25">
      <c r="A20194" s="5" t="str">
        <f>"H0027697"</f>
        <v>H0027697</v>
      </c>
      <c r="B20194" s="5" t="str">
        <f t="shared" si="1030"/>
        <v>LICENCIA DE ANTIVIRUS ESET ENDPOINT POR UN (1) AÑO - RENOVACIÓN</v>
      </c>
      <c r="C20194" s="6">
        <v>25073.3</v>
      </c>
      <c r="D20194" s="5" t="s">
        <v>873</v>
      </c>
      <c r="E20194" s="5" t="str">
        <f t="shared" si="1029"/>
        <v>SISTEMAS-GLOBALTRONIK SAS-SERGIO PATIÑO</v>
      </c>
      <c r="F20194" s="5"/>
      <c r="G20194" s="5"/>
    </row>
    <row r="20195" spans="1:7" ht="58.5" customHeight="1" x14ac:dyDescent="0.25">
      <c r="A20195" s="5" t="str">
        <f>"H0027698"</f>
        <v>H0027698</v>
      </c>
      <c r="B20195" s="5" t="str">
        <f t="shared" si="1030"/>
        <v>LICENCIA DE ANTIVIRUS ESET ENDPOINT POR UN (1) AÑO - RENOVACIÓN</v>
      </c>
      <c r="C20195" s="6">
        <v>25073.3</v>
      </c>
      <c r="D20195" s="5" t="s">
        <v>873</v>
      </c>
      <c r="E20195" s="5" t="str">
        <f t="shared" si="1029"/>
        <v>SISTEMAS-GLOBALTRONIK SAS-SERGIO PATIÑO</v>
      </c>
      <c r="F20195" s="5"/>
      <c r="G20195" s="5"/>
    </row>
    <row r="20196" spans="1:7" ht="58.5" customHeight="1" x14ac:dyDescent="0.25">
      <c r="A20196" s="5" t="str">
        <f>"H0027699"</f>
        <v>H0027699</v>
      </c>
      <c r="B20196" s="5" t="str">
        <f t="shared" si="1030"/>
        <v>LICENCIA DE ANTIVIRUS ESET ENDPOINT POR UN (1) AÑO - RENOVACIÓN</v>
      </c>
      <c r="C20196" s="6">
        <v>25073.3</v>
      </c>
      <c r="D20196" s="5" t="s">
        <v>873</v>
      </c>
      <c r="E20196" s="5" t="str">
        <f t="shared" si="1029"/>
        <v>SISTEMAS-GLOBALTRONIK SAS-SERGIO PATIÑO</v>
      </c>
      <c r="F20196" s="5"/>
      <c r="G20196" s="5"/>
    </row>
    <row r="20197" spans="1:7" ht="58.5" customHeight="1" x14ac:dyDescent="0.25">
      <c r="A20197" s="5" t="str">
        <f>"H0027700"</f>
        <v>H0027700</v>
      </c>
      <c r="B20197" s="5" t="str">
        <f t="shared" si="1030"/>
        <v>LICENCIA DE ANTIVIRUS ESET ENDPOINT POR UN (1) AÑO - RENOVACIÓN</v>
      </c>
      <c r="C20197" s="6">
        <v>25073.3</v>
      </c>
      <c r="D20197" s="5" t="s">
        <v>873</v>
      </c>
      <c r="E20197" s="5" t="str">
        <f t="shared" si="1029"/>
        <v>SISTEMAS-GLOBALTRONIK SAS-SERGIO PATIÑO</v>
      </c>
      <c r="F20197" s="5"/>
      <c r="G20197" s="5"/>
    </row>
    <row r="20198" spans="1:7" ht="58.5" customHeight="1" x14ac:dyDescent="0.25">
      <c r="A20198" s="5" t="str">
        <f>"H0027701"</f>
        <v>H0027701</v>
      </c>
      <c r="B20198" s="5" t="str">
        <f t="shared" si="1030"/>
        <v>LICENCIA DE ANTIVIRUS ESET ENDPOINT POR UN (1) AÑO - RENOVACIÓN</v>
      </c>
      <c r="C20198" s="6">
        <v>25073.3</v>
      </c>
      <c r="D20198" s="5" t="s">
        <v>873</v>
      </c>
      <c r="E20198" s="5" t="str">
        <f t="shared" si="1029"/>
        <v>SISTEMAS-GLOBALTRONIK SAS-SERGIO PATIÑO</v>
      </c>
      <c r="F20198" s="5"/>
      <c r="G20198" s="5"/>
    </row>
    <row r="20199" spans="1:7" ht="58.5" customHeight="1" x14ac:dyDescent="0.25">
      <c r="A20199" s="5" t="str">
        <f>"H0027702"</f>
        <v>H0027702</v>
      </c>
      <c r="B20199" s="5" t="str">
        <f t="shared" si="1030"/>
        <v>LICENCIA DE ANTIVIRUS ESET ENDPOINT POR UN (1) AÑO - RENOVACIÓN</v>
      </c>
      <c r="C20199" s="6">
        <v>25073.3</v>
      </c>
      <c r="D20199" s="5" t="s">
        <v>873</v>
      </c>
      <c r="E20199" s="5" t="str">
        <f t="shared" si="1029"/>
        <v>SISTEMAS-GLOBALTRONIK SAS-SERGIO PATIÑO</v>
      </c>
      <c r="F20199" s="5"/>
      <c r="G20199" s="5"/>
    </row>
    <row r="20200" spans="1:7" ht="58.5" customHeight="1" x14ac:dyDescent="0.25">
      <c r="A20200" s="5" t="str">
        <f>"H0027703"</f>
        <v>H0027703</v>
      </c>
      <c r="B20200" s="5" t="str">
        <f t="shared" si="1030"/>
        <v>LICENCIA DE ANTIVIRUS ESET ENDPOINT POR UN (1) AÑO - RENOVACIÓN</v>
      </c>
      <c r="C20200" s="6">
        <v>25073.3</v>
      </c>
      <c r="D20200" s="5" t="s">
        <v>873</v>
      </c>
      <c r="E20200" s="5" t="str">
        <f t="shared" si="1029"/>
        <v>SISTEMAS-GLOBALTRONIK SAS-SERGIO PATIÑO</v>
      </c>
      <c r="F20200" s="5"/>
      <c r="G20200" s="5"/>
    </row>
    <row r="20201" spans="1:7" ht="58.5" customHeight="1" x14ac:dyDescent="0.25">
      <c r="A20201" s="5" t="str">
        <f>"H0027704"</f>
        <v>H0027704</v>
      </c>
      <c r="B20201" s="5" t="str">
        <f t="shared" si="1030"/>
        <v>LICENCIA DE ANTIVIRUS ESET ENDPOINT POR UN (1) AÑO - RENOVACIÓN</v>
      </c>
      <c r="C20201" s="6">
        <v>25073.3</v>
      </c>
      <c r="D20201" s="5" t="s">
        <v>873</v>
      </c>
      <c r="E20201" s="5" t="str">
        <f t="shared" si="1029"/>
        <v>SISTEMAS-GLOBALTRONIK SAS-SERGIO PATIÑO</v>
      </c>
      <c r="F20201" s="5"/>
      <c r="G20201" s="5"/>
    </row>
    <row r="20202" spans="1:7" ht="58.5" customHeight="1" x14ac:dyDescent="0.25">
      <c r="A20202" s="5" t="str">
        <f>"H0027705"</f>
        <v>H0027705</v>
      </c>
      <c r="B20202" s="5" t="str">
        <f t="shared" si="1030"/>
        <v>LICENCIA DE ANTIVIRUS ESET ENDPOINT POR UN (1) AÑO - RENOVACIÓN</v>
      </c>
      <c r="C20202" s="6">
        <v>25073.3</v>
      </c>
      <c r="D20202" s="5" t="s">
        <v>873</v>
      </c>
      <c r="E20202" s="5" t="str">
        <f t="shared" si="1029"/>
        <v>SISTEMAS-GLOBALTRONIK SAS-SERGIO PATIÑO</v>
      </c>
      <c r="F20202" s="5"/>
      <c r="G20202" s="5"/>
    </row>
    <row r="20203" spans="1:7" ht="58.5" customHeight="1" x14ac:dyDescent="0.25">
      <c r="A20203" s="5" t="str">
        <f>"H0027706"</f>
        <v>H0027706</v>
      </c>
      <c r="B20203" s="5" t="str">
        <f t="shared" si="1030"/>
        <v>LICENCIA DE ANTIVIRUS ESET ENDPOINT POR UN (1) AÑO - RENOVACIÓN</v>
      </c>
      <c r="C20203" s="6">
        <v>25073.3</v>
      </c>
      <c r="D20203" s="5" t="s">
        <v>873</v>
      </c>
      <c r="E20203" s="5" t="str">
        <f t="shared" si="1029"/>
        <v>SISTEMAS-GLOBALTRONIK SAS-SERGIO PATIÑO</v>
      </c>
      <c r="F20203" s="5"/>
      <c r="G20203" s="5"/>
    </row>
    <row r="20204" spans="1:7" ht="58.5" customHeight="1" x14ac:dyDescent="0.25">
      <c r="A20204" s="5" t="str">
        <f>"H0027707"</f>
        <v>H0027707</v>
      </c>
      <c r="B20204" s="5" t="str">
        <f t="shared" si="1030"/>
        <v>LICENCIA DE ANTIVIRUS ESET ENDPOINT POR UN (1) AÑO - RENOVACIÓN</v>
      </c>
      <c r="C20204" s="6">
        <v>25073.3</v>
      </c>
      <c r="D20204" s="5" t="s">
        <v>873</v>
      </c>
      <c r="E20204" s="5" t="str">
        <f t="shared" si="1029"/>
        <v>SISTEMAS-GLOBALTRONIK SAS-SERGIO PATIÑO</v>
      </c>
      <c r="F20204" s="5"/>
      <c r="G20204" s="5"/>
    </row>
    <row r="20205" spans="1:7" ht="58.5" customHeight="1" x14ac:dyDescent="0.25">
      <c r="A20205" s="5" t="str">
        <f>"H0027708"</f>
        <v>H0027708</v>
      </c>
      <c r="B20205" s="5" t="str">
        <f t="shared" si="1030"/>
        <v>LICENCIA DE ANTIVIRUS ESET ENDPOINT POR UN (1) AÑO - RENOVACIÓN</v>
      </c>
      <c r="C20205" s="6">
        <v>25073.3</v>
      </c>
      <c r="D20205" s="5" t="s">
        <v>873</v>
      </c>
      <c r="E20205" s="5" t="str">
        <f t="shared" si="1029"/>
        <v>SISTEMAS-GLOBALTRONIK SAS-SERGIO PATIÑO</v>
      </c>
      <c r="F20205" s="5"/>
      <c r="G20205" s="5"/>
    </row>
    <row r="20206" spans="1:7" ht="58.5" customHeight="1" x14ac:dyDescent="0.25">
      <c r="A20206" s="5" t="str">
        <f>"H0027709"</f>
        <v>H0027709</v>
      </c>
      <c r="B20206" s="5" t="str">
        <f t="shared" si="1030"/>
        <v>LICENCIA DE ANTIVIRUS ESET ENDPOINT POR UN (1) AÑO - RENOVACIÓN</v>
      </c>
      <c r="C20206" s="6">
        <v>25073.3</v>
      </c>
      <c r="D20206" s="5" t="s">
        <v>873</v>
      </c>
      <c r="E20206" s="5" t="str">
        <f t="shared" si="1029"/>
        <v>SISTEMAS-GLOBALTRONIK SAS-SERGIO PATIÑO</v>
      </c>
      <c r="F20206" s="5"/>
      <c r="G20206" s="5"/>
    </row>
    <row r="20207" spans="1:7" ht="58.5" customHeight="1" x14ac:dyDescent="0.25">
      <c r="A20207" s="5" t="str">
        <f>"H0027710"</f>
        <v>H0027710</v>
      </c>
      <c r="B20207" s="5" t="str">
        <f t="shared" si="1030"/>
        <v>LICENCIA DE ANTIVIRUS ESET ENDPOINT POR UN (1) AÑO - RENOVACIÓN</v>
      </c>
      <c r="C20207" s="6">
        <v>25073.3</v>
      </c>
      <c r="D20207" s="5" t="s">
        <v>873</v>
      </c>
      <c r="E20207" s="5" t="str">
        <f t="shared" si="1029"/>
        <v>SISTEMAS-GLOBALTRONIK SAS-SERGIO PATIÑO</v>
      </c>
      <c r="F20207" s="5"/>
      <c r="G20207" s="5"/>
    </row>
    <row r="20208" spans="1:7" ht="58.5" customHeight="1" x14ac:dyDescent="0.25">
      <c r="A20208" s="5" t="str">
        <f>"H0027711"</f>
        <v>H0027711</v>
      </c>
      <c r="B20208" s="5" t="str">
        <f t="shared" si="1030"/>
        <v>LICENCIA DE ANTIVIRUS ESET ENDPOINT POR UN (1) AÑO - RENOVACIÓN</v>
      </c>
      <c r="C20208" s="6">
        <v>25073.3</v>
      </c>
      <c r="D20208" s="5" t="s">
        <v>873</v>
      </c>
      <c r="E20208" s="5" t="str">
        <f t="shared" si="1029"/>
        <v>SISTEMAS-GLOBALTRONIK SAS-SERGIO PATIÑO</v>
      </c>
      <c r="F20208" s="5"/>
      <c r="G20208" s="5"/>
    </row>
    <row r="20209" spans="1:7" ht="58.5" customHeight="1" x14ac:dyDescent="0.25">
      <c r="A20209" s="5" t="str">
        <f>"H0027712"</f>
        <v>H0027712</v>
      </c>
      <c r="B20209" s="5" t="str">
        <f t="shared" si="1030"/>
        <v>LICENCIA DE ANTIVIRUS ESET ENDPOINT POR UN (1) AÑO - RENOVACIÓN</v>
      </c>
      <c r="C20209" s="6">
        <v>25073.3</v>
      </c>
      <c r="D20209" s="5" t="s">
        <v>873</v>
      </c>
      <c r="E20209" s="5" t="str">
        <f t="shared" si="1029"/>
        <v>SISTEMAS-GLOBALTRONIK SAS-SERGIO PATIÑO</v>
      </c>
      <c r="F20209" s="5"/>
      <c r="G20209" s="5"/>
    </row>
    <row r="20210" spans="1:7" ht="58.5" customHeight="1" x14ac:dyDescent="0.25">
      <c r="A20210" s="5" t="str">
        <f>"H0027713"</f>
        <v>H0027713</v>
      </c>
      <c r="B20210" s="5" t="str">
        <f t="shared" si="1030"/>
        <v>LICENCIA DE ANTIVIRUS ESET ENDPOINT POR UN (1) AÑO - RENOVACIÓN</v>
      </c>
      <c r="C20210" s="6">
        <v>25073.3</v>
      </c>
      <c r="D20210" s="5" t="s">
        <v>873</v>
      </c>
      <c r="E20210" s="5" t="str">
        <f t="shared" si="1029"/>
        <v>SISTEMAS-GLOBALTRONIK SAS-SERGIO PATIÑO</v>
      </c>
      <c r="F20210" s="5"/>
      <c r="G20210" s="5"/>
    </row>
    <row r="20211" spans="1:7" ht="58.5" customHeight="1" x14ac:dyDescent="0.25">
      <c r="A20211" s="5" t="str">
        <f>"H0027714"</f>
        <v>H0027714</v>
      </c>
      <c r="B20211" s="5" t="str">
        <f t="shared" si="1030"/>
        <v>LICENCIA DE ANTIVIRUS ESET ENDPOINT POR UN (1) AÑO - RENOVACIÓN</v>
      </c>
      <c r="C20211" s="6">
        <v>25073.3</v>
      </c>
      <c r="D20211" s="5" t="s">
        <v>873</v>
      </c>
      <c r="E20211" s="5" t="str">
        <f t="shared" si="1029"/>
        <v>SISTEMAS-GLOBALTRONIK SAS-SERGIO PATIÑO</v>
      </c>
      <c r="F20211" s="5"/>
      <c r="G20211" s="5"/>
    </row>
    <row r="20212" spans="1:7" ht="58.5" customHeight="1" x14ac:dyDescent="0.25">
      <c r="A20212" s="5" t="str">
        <f>"H0027715"</f>
        <v>H0027715</v>
      </c>
      <c r="B20212" s="5" t="str">
        <f t="shared" si="1030"/>
        <v>LICENCIA DE ANTIVIRUS ESET ENDPOINT POR UN (1) AÑO - RENOVACIÓN</v>
      </c>
      <c r="C20212" s="6">
        <v>25073.3</v>
      </c>
      <c r="D20212" s="5" t="s">
        <v>873</v>
      </c>
      <c r="E20212" s="5" t="str">
        <f t="shared" si="1029"/>
        <v>SISTEMAS-GLOBALTRONIK SAS-SERGIO PATIÑO</v>
      </c>
      <c r="F20212" s="5"/>
      <c r="G20212" s="5"/>
    </row>
    <row r="20213" spans="1:7" ht="58.5" customHeight="1" x14ac:dyDescent="0.25">
      <c r="A20213" s="5" t="str">
        <f>"H0027716"</f>
        <v>H0027716</v>
      </c>
      <c r="B20213" s="5" t="str">
        <f t="shared" si="1030"/>
        <v>LICENCIA DE ANTIVIRUS ESET ENDPOINT POR UN (1) AÑO - RENOVACIÓN</v>
      </c>
      <c r="C20213" s="6">
        <v>25073.3</v>
      </c>
      <c r="D20213" s="5" t="s">
        <v>873</v>
      </c>
      <c r="E20213" s="5" t="str">
        <f t="shared" si="1029"/>
        <v>SISTEMAS-GLOBALTRONIK SAS-SERGIO PATIÑO</v>
      </c>
      <c r="F20213" s="5"/>
      <c r="G20213" s="5"/>
    </row>
    <row r="20214" spans="1:7" ht="58.5" customHeight="1" x14ac:dyDescent="0.25">
      <c r="A20214" s="5" t="str">
        <f>"H0027717"</f>
        <v>H0027717</v>
      </c>
      <c r="B20214" s="5" t="str">
        <f t="shared" si="1030"/>
        <v>LICENCIA DE ANTIVIRUS ESET ENDPOINT POR UN (1) AÑO - RENOVACIÓN</v>
      </c>
      <c r="C20214" s="6">
        <v>25073.3</v>
      </c>
      <c r="D20214" s="5" t="s">
        <v>873</v>
      </c>
      <c r="E20214" s="5" t="str">
        <f t="shared" si="1029"/>
        <v>SISTEMAS-GLOBALTRONIK SAS-SERGIO PATIÑO</v>
      </c>
      <c r="F20214" s="5"/>
      <c r="G20214" s="5"/>
    </row>
    <row r="20215" spans="1:7" ht="58.5" customHeight="1" x14ac:dyDescent="0.25">
      <c r="A20215" s="5" t="str">
        <f>"H0027718"</f>
        <v>H0027718</v>
      </c>
      <c r="B20215" s="5" t="str">
        <f t="shared" si="1030"/>
        <v>LICENCIA DE ANTIVIRUS ESET ENDPOINT POR UN (1) AÑO - RENOVACIÓN</v>
      </c>
      <c r="C20215" s="6">
        <v>25073.3</v>
      </c>
      <c r="D20215" s="5" t="s">
        <v>873</v>
      </c>
      <c r="E20215" s="5" t="str">
        <f t="shared" si="1029"/>
        <v>SISTEMAS-GLOBALTRONIK SAS-SERGIO PATIÑO</v>
      </c>
      <c r="F20215" s="5"/>
      <c r="G20215" s="5"/>
    </row>
    <row r="20216" spans="1:7" ht="58.5" customHeight="1" x14ac:dyDescent="0.25">
      <c r="A20216" s="5" t="str">
        <f>"H0027719"</f>
        <v>H0027719</v>
      </c>
      <c r="B20216" s="5" t="str">
        <f t="shared" si="1030"/>
        <v>LICENCIA DE ANTIVIRUS ESET ENDPOINT POR UN (1) AÑO - RENOVACIÓN</v>
      </c>
      <c r="C20216" s="6">
        <v>25073.3</v>
      </c>
      <c r="D20216" s="5" t="s">
        <v>873</v>
      </c>
      <c r="E20216" s="5" t="str">
        <f t="shared" si="1029"/>
        <v>SISTEMAS-GLOBALTRONIK SAS-SERGIO PATIÑO</v>
      </c>
      <c r="F20216" s="5"/>
      <c r="G20216" s="5"/>
    </row>
    <row r="20217" spans="1:7" ht="58.5" customHeight="1" x14ac:dyDescent="0.25">
      <c r="A20217" s="5" t="str">
        <f>"H0027720"</f>
        <v>H0027720</v>
      </c>
      <c r="B20217" s="5" t="str">
        <f t="shared" si="1030"/>
        <v>LICENCIA DE ANTIVIRUS ESET ENDPOINT POR UN (1) AÑO - RENOVACIÓN</v>
      </c>
      <c r="C20217" s="6">
        <v>25073.3</v>
      </c>
      <c r="D20217" s="5" t="s">
        <v>873</v>
      </c>
      <c r="E20217" s="5" t="str">
        <f t="shared" si="1029"/>
        <v>SISTEMAS-GLOBALTRONIK SAS-SERGIO PATIÑO</v>
      </c>
      <c r="F20217" s="5"/>
      <c r="G20217" s="5"/>
    </row>
    <row r="20218" spans="1:7" ht="58.5" customHeight="1" x14ac:dyDescent="0.25">
      <c r="A20218" s="5" t="str">
        <f>"H0027721"</f>
        <v>H0027721</v>
      </c>
      <c r="B20218" s="5" t="str">
        <f t="shared" si="1030"/>
        <v>LICENCIA DE ANTIVIRUS ESET ENDPOINT POR UN (1) AÑO - RENOVACIÓN</v>
      </c>
      <c r="C20218" s="6">
        <v>25073.3</v>
      </c>
      <c r="D20218" s="5" t="s">
        <v>873</v>
      </c>
      <c r="E20218" s="5" t="str">
        <f t="shared" si="1029"/>
        <v>SISTEMAS-GLOBALTRONIK SAS-SERGIO PATIÑO</v>
      </c>
      <c r="F20218" s="5"/>
      <c r="G20218" s="5"/>
    </row>
    <row r="20219" spans="1:7" ht="58.5" customHeight="1" x14ac:dyDescent="0.25">
      <c r="A20219" s="5" t="str">
        <f>"H0027722"</f>
        <v>H0027722</v>
      </c>
      <c r="B20219" s="5" t="str">
        <f t="shared" si="1030"/>
        <v>LICENCIA DE ANTIVIRUS ESET ENDPOINT POR UN (1) AÑO - RENOVACIÓN</v>
      </c>
      <c r="C20219" s="6">
        <v>25073.3</v>
      </c>
      <c r="D20219" s="5" t="s">
        <v>873</v>
      </c>
      <c r="E20219" s="5" t="str">
        <f t="shared" si="1029"/>
        <v>SISTEMAS-GLOBALTRONIK SAS-SERGIO PATIÑO</v>
      </c>
      <c r="F20219" s="5"/>
      <c r="G20219" s="5"/>
    </row>
    <row r="20220" spans="1:7" ht="58.5" customHeight="1" x14ac:dyDescent="0.25">
      <c r="A20220" s="5" t="str">
        <f>"H0027723"</f>
        <v>H0027723</v>
      </c>
      <c r="B20220" s="5" t="str">
        <f t="shared" si="1030"/>
        <v>LICENCIA DE ANTIVIRUS ESET ENDPOINT POR UN (1) AÑO - RENOVACIÓN</v>
      </c>
      <c r="C20220" s="6">
        <v>25073.3</v>
      </c>
      <c r="D20220" s="5" t="s">
        <v>873</v>
      </c>
      <c r="E20220" s="5" t="str">
        <f t="shared" si="1029"/>
        <v>SISTEMAS-GLOBALTRONIK SAS-SERGIO PATIÑO</v>
      </c>
      <c r="F20220" s="5"/>
      <c r="G20220" s="5"/>
    </row>
    <row r="20221" spans="1:7" ht="58.5" customHeight="1" x14ac:dyDescent="0.25">
      <c r="A20221" s="5" t="str">
        <f>"H0027724"</f>
        <v>H0027724</v>
      </c>
      <c r="B20221" s="5" t="str">
        <f t="shared" si="1030"/>
        <v>LICENCIA DE ANTIVIRUS ESET ENDPOINT POR UN (1) AÑO - RENOVACIÓN</v>
      </c>
      <c r="C20221" s="6">
        <v>25073.3</v>
      </c>
      <c r="D20221" s="5" t="s">
        <v>873</v>
      </c>
      <c r="E20221" s="5" t="str">
        <f t="shared" ref="E20221:E20284" si="1031">"SISTEMAS-GLOBALTRONIK SAS-SERGIO PATIÑO"</f>
        <v>SISTEMAS-GLOBALTRONIK SAS-SERGIO PATIÑO</v>
      </c>
      <c r="F20221" s="5"/>
      <c r="G20221" s="5"/>
    </row>
    <row r="20222" spans="1:7" ht="58.5" customHeight="1" x14ac:dyDescent="0.25">
      <c r="A20222" s="5" t="str">
        <f>"H0027725"</f>
        <v>H0027725</v>
      </c>
      <c r="B20222" s="5" t="str">
        <f t="shared" si="1030"/>
        <v>LICENCIA DE ANTIVIRUS ESET ENDPOINT POR UN (1) AÑO - RENOVACIÓN</v>
      </c>
      <c r="C20222" s="6">
        <v>25073.3</v>
      </c>
      <c r="D20222" s="5" t="s">
        <v>873</v>
      </c>
      <c r="E20222" s="5" t="str">
        <f t="shared" si="1031"/>
        <v>SISTEMAS-GLOBALTRONIK SAS-SERGIO PATIÑO</v>
      </c>
      <c r="F20222" s="5"/>
      <c r="G20222" s="5"/>
    </row>
    <row r="20223" spans="1:7" ht="58.5" customHeight="1" x14ac:dyDescent="0.25">
      <c r="A20223" s="5" t="str">
        <f>"H0027726"</f>
        <v>H0027726</v>
      </c>
      <c r="B20223" s="5" t="str">
        <f t="shared" si="1030"/>
        <v>LICENCIA DE ANTIVIRUS ESET ENDPOINT POR UN (1) AÑO - RENOVACIÓN</v>
      </c>
      <c r="C20223" s="6">
        <v>25073.3</v>
      </c>
      <c r="D20223" s="5" t="s">
        <v>873</v>
      </c>
      <c r="E20223" s="5" t="str">
        <f t="shared" si="1031"/>
        <v>SISTEMAS-GLOBALTRONIK SAS-SERGIO PATIÑO</v>
      </c>
      <c r="F20223" s="5"/>
      <c r="G20223" s="5"/>
    </row>
    <row r="20224" spans="1:7" ht="58.5" customHeight="1" x14ac:dyDescent="0.25">
      <c r="A20224" s="5" t="str">
        <f>"H0027727"</f>
        <v>H0027727</v>
      </c>
      <c r="B20224" s="5" t="str">
        <f t="shared" si="1030"/>
        <v>LICENCIA DE ANTIVIRUS ESET ENDPOINT POR UN (1) AÑO - RENOVACIÓN</v>
      </c>
      <c r="C20224" s="6">
        <v>25073.3</v>
      </c>
      <c r="D20224" s="5" t="s">
        <v>873</v>
      </c>
      <c r="E20224" s="5" t="str">
        <f t="shared" si="1031"/>
        <v>SISTEMAS-GLOBALTRONIK SAS-SERGIO PATIÑO</v>
      </c>
      <c r="F20224" s="5"/>
      <c r="G20224" s="5"/>
    </row>
    <row r="20225" spans="1:7" ht="58.5" customHeight="1" x14ac:dyDescent="0.25">
      <c r="A20225" s="5" t="str">
        <f>"H0027728"</f>
        <v>H0027728</v>
      </c>
      <c r="B20225" s="5" t="str">
        <f t="shared" si="1030"/>
        <v>LICENCIA DE ANTIVIRUS ESET ENDPOINT POR UN (1) AÑO - RENOVACIÓN</v>
      </c>
      <c r="C20225" s="6">
        <v>25073.3</v>
      </c>
      <c r="D20225" s="5" t="s">
        <v>873</v>
      </c>
      <c r="E20225" s="5" t="str">
        <f t="shared" si="1031"/>
        <v>SISTEMAS-GLOBALTRONIK SAS-SERGIO PATIÑO</v>
      </c>
      <c r="F20225" s="5"/>
      <c r="G20225" s="5"/>
    </row>
    <row r="20226" spans="1:7" ht="58.5" customHeight="1" x14ac:dyDescent="0.25">
      <c r="A20226" s="5" t="str">
        <f>"H0027729"</f>
        <v>H0027729</v>
      </c>
      <c r="B20226" s="5" t="str">
        <f t="shared" si="1030"/>
        <v>LICENCIA DE ANTIVIRUS ESET ENDPOINT POR UN (1) AÑO - RENOVACIÓN</v>
      </c>
      <c r="C20226" s="6">
        <v>25073.3</v>
      </c>
      <c r="D20226" s="5" t="s">
        <v>873</v>
      </c>
      <c r="E20226" s="5" t="str">
        <f t="shared" si="1031"/>
        <v>SISTEMAS-GLOBALTRONIK SAS-SERGIO PATIÑO</v>
      </c>
      <c r="F20226" s="5"/>
      <c r="G20226" s="5"/>
    </row>
    <row r="20227" spans="1:7" ht="58.5" customHeight="1" x14ac:dyDescent="0.25">
      <c r="A20227" s="5" t="str">
        <f>"H0027730"</f>
        <v>H0027730</v>
      </c>
      <c r="B20227" s="5" t="str">
        <f t="shared" ref="B20227:B20290" si="1032">"LICENCIA DE ANTIVIRUS ESET ENDPOINT POR UN (1) AÑO - RENOVACIÓN"</f>
        <v>LICENCIA DE ANTIVIRUS ESET ENDPOINT POR UN (1) AÑO - RENOVACIÓN</v>
      </c>
      <c r="C20227" s="6">
        <v>25073.3</v>
      </c>
      <c r="D20227" s="5" t="s">
        <v>873</v>
      </c>
      <c r="E20227" s="5" t="str">
        <f t="shared" si="1031"/>
        <v>SISTEMAS-GLOBALTRONIK SAS-SERGIO PATIÑO</v>
      </c>
      <c r="F20227" s="5"/>
      <c r="G20227" s="5"/>
    </row>
    <row r="20228" spans="1:7" ht="58.5" customHeight="1" x14ac:dyDescent="0.25">
      <c r="A20228" s="5" t="str">
        <f>"H0027731"</f>
        <v>H0027731</v>
      </c>
      <c r="B20228" s="5" t="str">
        <f t="shared" si="1032"/>
        <v>LICENCIA DE ANTIVIRUS ESET ENDPOINT POR UN (1) AÑO - RENOVACIÓN</v>
      </c>
      <c r="C20228" s="6">
        <v>25073.3</v>
      </c>
      <c r="D20228" s="5" t="s">
        <v>873</v>
      </c>
      <c r="E20228" s="5" t="str">
        <f t="shared" si="1031"/>
        <v>SISTEMAS-GLOBALTRONIK SAS-SERGIO PATIÑO</v>
      </c>
      <c r="F20228" s="5"/>
      <c r="G20228" s="5"/>
    </row>
    <row r="20229" spans="1:7" ht="58.5" customHeight="1" x14ac:dyDescent="0.25">
      <c r="A20229" s="5" t="str">
        <f>"H0027732"</f>
        <v>H0027732</v>
      </c>
      <c r="B20229" s="5" t="str">
        <f t="shared" si="1032"/>
        <v>LICENCIA DE ANTIVIRUS ESET ENDPOINT POR UN (1) AÑO - RENOVACIÓN</v>
      </c>
      <c r="C20229" s="6">
        <v>25073.3</v>
      </c>
      <c r="D20229" s="5" t="s">
        <v>873</v>
      </c>
      <c r="E20229" s="5" t="str">
        <f t="shared" si="1031"/>
        <v>SISTEMAS-GLOBALTRONIK SAS-SERGIO PATIÑO</v>
      </c>
      <c r="F20229" s="5"/>
      <c r="G20229" s="5"/>
    </row>
    <row r="20230" spans="1:7" ht="58.5" customHeight="1" x14ac:dyDescent="0.25">
      <c r="A20230" s="5" t="str">
        <f>"H0027733"</f>
        <v>H0027733</v>
      </c>
      <c r="B20230" s="5" t="str">
        <f t="shared" si="1032"/>
        <v>LICENCIA DE ANTIVIRUS ESET ENDPOINT POR UN (1) AÑO - RENOVACIÓN</v>
      </c>
      <c r="C20230" s="6">
        <v>25073.3</v>
      </c>
      <c r="D20230" s="5" t="s">
        <v>873</v>
      </c>
      <c r="E20230" s="5" t="str">
        <f t="shared" si="1031"/>
        <v>SISTEMAS-GLOBALTRONIK SAS-SERGIO PATIÑO</v>
      </c>
      <c r="F20230" s="5"/>
      <c r="G20230" s="5"/>
    </row>
    <row r="20231" spans="1:7" ht="58.5" customHeight="1" x14ac:dyDescent="0.25">
      <c r="A20231" s="5" t="str">
        <f>"H0027734"</f>
        <v>H0027734</v>
      </c>
      <c r="B20231" s="5" t="str">
        <f t="shared" si="1032"/>
        <v>LICENCIA DE ANTIVIRUS ESET ENDPOINT POR UN (1) AÑO - RENOVACIÓN</v>
      </c>
      <c r="C20231" s="6">
        <v>25073.3</v>
      </c>
      <c r="D20231" s="5" t="s">
        <v>873</v>
      </c>
      <c r="E20231" s="5" t="str">
        <f t="shared" si="1031"/>
        <v>SISTEMAS-GLOBALTRONIK SAS-SERGIO PATIÑO</v>
      </c>
      <c r="F20231" s="5"/>
      <c r="G20231" s="5"/>
    </row>
    <row r="20232" spans="1:7" ht="58.5" customHeight="1" x14ac:dyDescent="0.25">
      <c r="A20232" s="5" t="str">
        <f>"H0027735"</f>
        <v>H0027735</v>
      </c>
      <c r="B20232" s="5" t="str">
        <f t="shared" si="1032"/>
        <v>LICENCIA DE ANTIVIRUS ESET ENDPOINT POR UN (1) AÑO - RENOVACIÓN</v>
      </c>
      <c r="C20232" s="6">
        <v>25073.3</v>
      </c>
      <c r="D20232" s="5" t="s">
        <v>873</v>
      </c>
      <c r="E20232" s="5" t="str">
        <f t="shared" si="1031"/>
        <v>SISTEMAS-GLOBALTRONIK SAS-SERGIO PATIÑO</v>
      </c>
      <c r="F20232" s="5"/>
      <c r="G20232" s="5"/>
    </row>
    <row r="20233" spans="1:7" ht="58.5" customHeight="1" x14ac:dyDescent="0.25">
      <c r="A20233" s="5" t="str">
        <f>"H0027736"</f>
        <v>H0027736</v>
      </c>
      <c r="B20233" s="5" t="str">
        <f t="shared" si="1032"/>
        <v>LICENCIA DE ANTIVIRUS ESET ENDPOINT POR UN (1) AÑO - RENOVACIÓN</v>
      </c>
      <c r="C20233" s="6">
        <v>25073.3</v>
      </c>
      <c r="D20233" s="5" t="s">
        <v>873</v>
      </c>
      <c r="E20233" s="5" t="str">
        <f t="shared" si="1031"/>
        <v>SISTEMAS-GLOBALTRONIK SAS-SERGIO PATIÑO</v>
      </c>
      <c r="F20233" s="5"/>
      <c r="G20233" s="5"/>
    </row>
    <row r="20234" spans="1:7" ht="58.5" customHeight="1" x14ac:dyDescent="0.25">
      <c r="A20234" s="5" t="str">
        <f>"H0027737"</f>
        <v>H0027737</v>
      </c>
      <c r="B20234" s="5" t="str">
        <f t="shared" si="1032"/>
        <v>LICENCIA DE ANTIVIRUS ESET ENDPOINT POR UN (1) AÑO - RENOVACIÓN</v>
      </c>
      <c r="C20234" s="6">
        <v>25073.3</v>
      </c>
      <c r="D20234" s="5" t="s">
        <v>873</v>
      </c>
      <c r="E20234" s="5" t="str">
        <f t="shared" si="1031"/>
        <v>SISTEMAS-GLOBALTRONIK SAS-SERGIO PATIÑO</v>
      </c>
      <c r="F20234" s="5"/>
      <c r="G20234" s="5"/>
    </row>
    <row r="20235" spans="1:7" ht="58.5" customHeight="1" x14ac:dyDescent="0.25">
      <c r="A20235" s="5" t="str">
        <f>"H0027738"</f>
        <v>H0027738</v>
      </c>
      <c r="B20235" s="5" t="str">
        <f t="shared" si="1032"/>
        <v>LICENCIA DE ANTIVIRUS ESET ENDPOINT POR UN (1) AÑO - RENOVACIÓN</v>
      </c>
      <c r="C20235" s="6">
        <v>25073.3</v>
      </c>
      <c r="D20235" s="5" t="s">
        <v>873</v>
      </c>
      <c r="E20235" s="5" t="str">
        <f t="shared" si="1031"/>
        <v>SISTEMAS-GLOBALTRONIK SAS-SERGIO PATIÑO</v>
      </c>
      <c r="F20235" s="5"/>
      <c r="G20235" s="5"/>
    </row>
    <row r="20236" spans="1:7" ht="58.5" customHeight="1" x14ac:dyDescent="0.25">
      <c r="A20236" s="5" t="str">
        <f>"H0027739"</f>
        <v>H0027739</v>
      </c>
      <c r="B20236" s="5" t="str">
        <f t="shared" si="1032"/>
        <v>LICENCIA DE ANTIVIRUS ESET ENDPOINT POR UN (1) AÑO - RENOVACIÓN</v>
      </c>
      <c r="C20236" s="6">
        <v>25073.3</v>
      </c>
      <c r="D20236" s="5" t="s">
        <v>873</v>
      </c>
      <c r="E20236" s="5" t="str">
        <f t="shared" si="1031"/>
        <v>SISTEMAS-GLOBALTRONIK SAS-SERGIO PATIÑO</v>
      </c>
      <c r="F20236" s="5"/>
      <c r="G20236" s="5"/>
    </row>
    <row r="20237" spans="1:7" ht="58.5" customHeight="1" x14ac:dyDescent="0.25">
      <c r="A20237" s="5" t="str">
        <f>"H0027740"</f>
        <v>H0027740</v>
      </c>
      <c r="B20237" s="5" t="str">
        <f t="shared" si="1032"/>
        <v>LICENCIA DE ANTIVIRUS ESET ENDPOINT POR UN (1) AÑO - RENOVACIÓN</v>
      </c>
      <c r="C20237" s="6">
        <v>25073.3</v>
      </c>
      <c r="D20237" s="5" t="s">
        <v>873</v>
      </c>
      <c r="E20237" s="5" t="str">
        <f t="shared" si="1031"/>
        <v>SISTEMAS-GLOBALTRONIK SAS-SERGIO PATIÑO</v>
      </c>
      <c r="F20237" s="5"/>
      <c r="G20237" s="5"/>
    </row>
    <row r="20238" spans="1:7" ht="58.5" customHeight="1" x14ac:dyDescent="0.25">
      <c r="A20238" s="5" t="str">
        <f>"H0027741"</f>
        <v>H0027741</v>
      </c>
      <c r="B20238" s="5" t="str">
        <f t="shared" si="1032"/>
        <v>LICENCIA DE ANTIVIRUS ESET ENDPOINT POR UN (1) AÑO - RENOVACIÓN</v>
      </c>
      <c r="C20238" s="6">
        <v>25073.3</v>
      </c>
      <c r="D20238" s="5" t="s">
        <v>873</v>
      </c>
      <c r="E20238" s="5" t="str">
        <f t="shared" si="1031"/>
        <v>SISTEMAS-GLOBALTRONIK SAS-SERGIO PATIÑO</v>
      </c>
      <c r="F20238" s="5"/>
      <c r="G20238" s="5"/>
    </row>
    <row r="20239" spans="1:7" ht="58.5" customHeight="1" x14ac:dyDescent="0.25">
      <c r="A20239" s="5" t="str">
        <f>"H0027742"</f>
        <v>H0027742</v>
      </c>
      <c r="B20239" s="5" t="str">
        <f t="shared" si="1032"/>
        <v>LICENCIA DE ANTIVIRUS ESET ENDPOINT POR UN (1) AÑO - RENOVACIÓN</v>
      </c>
      <c r="C20239" s="6">
        <v>25073.3</v>
      </c>
      <c r="D20239" s="5" t="s">
        <v>873</v>
      </c>
      <c r="E20239" s="5" t="str">
        <f t="shared" si="1031"/>
        <v>SISTEMAS-GLOBALTRONIK SAS-SERGIO PATIÑO</v>
      </c>
      <c r="F20239" s="5"/>
      <c r="G20239" s="5"/>
    </row>
    <row r="20240" spans="1:7" ht="58.5" customHeight="1" x14ac:dyDescent="0.25">
      <c r="A20240" s="5" t="str">
        <f>"h0027743"</f>
        <v>h0027743</v>
      </c>
      <c r="B20240" s="5" t="str">
        <f t="shared" si="1032"/>
        <v>LICENCIA DE ANTIVIRUS ESET ENDPOINT POR UN (1) AÑO - RENOVACIÓN</v>
      </c>
      <c r="C20240" s="6">
        <v>25073.3</v>
      </c>
      <c r="D20240" s="5" t="s">
        <v>873</v>
      </c>
      <c r="E20240" s="5" t="str">
        <f t="shared" si="1031"/>
        <v>SISTEMAS-GLOBALTRONIK SAS-SERGIO PATIÑO</v>
      </c>
      <c r="F20240" s="5"/>
      <c r="G20240" s="5"/>
    </row>
    <row r="20241" spans="1:7" ht="58.5" customHeight="1" x14ac:dyDescent="0.25">
      <c r="A20241" s="5" t="str">
        <f>"h0027744"</f>
        <v>h0027744</v>
      </c>
      <c r="B20241" s="5" t="str">
        <f t="shared" si="1032"/>
        <v>LICENCIA DE ANTIVIRUS ESET ENDPOINT POR UN (1) AÑO - RENOVACIÓN</v>
      </c>
      <c r="C20241" s="6">
        <v>25073.3</v>
      </c>
      <c r="D20241" s="5" t="s">
        <v>873</v>
      </c>
      <c r="E20241" s="5" t="str">
        <f t="shared" si="1031"/>
        <v>SISTEMAS-GLOBALTRONIK SAS-SERGIO PATIÑO</v>
      </c>
      <c r="F20241" s="5"/>
      <c r="G20241" s="5"/>
    </row>
    <row r="20242" spans="1:7" ht="58.5" customHeight="1" x14ac:dyDescent="0.25">
      <c r="A20242" s="5" t="str">
        <f>"h0027745"</f>
        <v>h0027745</v>
      </c>
      <c r="B20242" s="5" t="str">
        <f t="shared" si="1032"/>
        <v>LICENCIA DE ANTIVIRUS ESET ENDPOINT POR UN (1) AÑO - RENOVACIÓN</v>
      </c>
      <c r="C20242" s="6">
        <v>25073.3</v>
      </c>
      <c r="D20242" s="5" t="s">
        <v>873</v>
      </c>
      <c r="E20242" s="5" t="str">
        <f t="shared" si="1031"/>
        <v>SISTEMAS-GLOBALTRONIK SAS-SERGIO PATIÑO</v>
      </c>
      <c r="F20242" s="5"/>
      <c r="G20242" s="5"/>
    </row>
    <row r="20243" spans="1:7" ht="58.5" customHeight="1" x14ac:dyDescent="0.25">
      <c r="A20243" s="5" t="str">
        <f>"h0027746"</f>
        <v>h0027746</v>
      </c>
      <c r="B20243" s="5" t="str">
        <f t="shared" si="1032"/>
        <v>LICENCIA DE ANTIVIRUS ESET ENDPOINT POR UN (1) AÑO - RENOVACIÓN</v>
      </c>
      <c r="C20243" s="6">
        <v>25073.3</v>
      </c>
      <c r="D20243" s="5" t="s">
        <v>873</v>
      </c>
      <c r="E20243" s="5" t="str">
        <f t="shared" si="1031"/>
        <v>SISTEMAS-GLOBALTRONIK SAS-SERGIO PATIÑO</v>
      </c>
      <c r="F20243" s="5"/>
      <c r="G20243" s="5"/>
    </row>
    <row r="20244" spans="1:7" ht="58.5" customHeight="1" x14ac:dyDescent="0.25">
      <c r="A20244" s="5" t="str">
        <f>"h0027747"</f>
        <v>h0027747</v>
      </c>
      <c r="B20244" s="5" t="str">
        <f t="shared" si="1032"/>
        <v>LICENCIA DE ANTIVIRUS ESET ENDPOINT POR UN (1) AÑO - RENOVACIÓN</v>
      </c>
      <c r="C20244" s="6">
        <v>25073.3</v>
      </c>
      <c r="D20244" s="5" t="s">
        <v>873</v>
      </c>
      <c r="E20244" s="5" t="str">
        <f t="shared" si="1031"/>
        <v>SISTEMAS-GLOBALTRONIK SAS-SERGIO PATIÑO</v>
      </c>
      <c r="F20244" s="5"/>
      <c r="G20244" s="5"/>
    </row>
    <row r="20245" spans="1:7" ht="58.5" customHeight="1" x14ac:dyDescent="0.25">
      <c r="A20245" s="5" t="str">
        <f>"h0027748"</f>
        <v>h0027748</v>
      </c>
      <c r="B20245" s="5" t="str">
        <f t="shared" si="1032"/>
        <v>LICENCIA DE ANTIVIRUS ESET ENDPOINT POR UN (1) AÑO - RENOVACIÓN</v>
      </c>
      <c r="C20245" s="6">
        <v>25073.3</v>
      </c>
      <c r="D20245" s="5" t="s">
        <v>873</v>
      </c>
      <c r="E20245" s="5" t="str">
        <f t="shared" si="1031"/>
        <v>SISTEMAS-GLOBALTRONIK SAS-SERGIO PATIÑO</v>
      </c>
      <c r="F20245" s="5"/>
      <c r="G20245" s="5"/>
    </row>
    <row r="20246" spans="1:7" ht="58.5" customHeight="1" x14ac:dyDescent="0.25">
      <c r="A20246" s="5" t="str">
        <f>"h0027749"</f>
        <v>h0027749</v>
      </c>
      <c r="B20246" s="5" t="str">
        <f t="shared" si="1032"/>
        <v>LICENCIA DE ANTIVIRUS ESET ENDPOINT POR UN (1) AÑO - RENOVACIÓN</v>
      </c>
      <c r="C20246" s="6">
        <v>25073.3</v>
      </c>
      <c r="D20246" s="5" t="s">
        <v>873</v>
      </c>
      <c r="E20246" s="5" t="str">
        <f t="shared" si="1031"/>
        <v>SISTEMAS-GLOBALTRONIK SAS-SERGIO PATIÑO</v>
      </c>
      <c r="F20246" s="5"/>
      <c r="G20246" s="5"/>
    </row>
    <row r="20247" spans="1:7" ht="58.5" customHeight="1" x14ac:dyDescent="0.25">
      <c r="A20247" s="5" t="str">
        <f>"h0027750"</f>
        <v>h0027750</v>
      </c>
      <c r="B20247" s="5" t="str">
        <f t="shared" si="1032"/>
        <v>LICENCIA DE ANTIVIRUS ESET ENDPOINT POR UN (1) AÑO - RENOVACIÓN</v>
      </c>
      <c r="C20247" s="6">
        <v>25073.3</v>
      </c>
      <c r="D20247" s="5" t="s">
        <v>873</v>
      </c>
      <c r="E20247" s="5" t="str">
        <f t="shared" si="1031"/>
        <v>SISTEMAS-GLOBALTRONIK SAS-SERGIO PATIÑO</v>
      </c>
      <c r="F20247" s="5"/>
      <c r="G20247" s="5"/>
    </row>
    <row r="20248" spans="1:7" ht="58.5" customHeight="1" x14ac:dyDescent="0.25">
      <c r="A20248" s="5" t="str">
        <f>"h0027751"</f>
        <v>h0027751</v>
      </c>
      <c r="B20248" s="5" t="str">
        <f t="shared" si="1032"/>
        <v>LICENCIA DE ANTIVIRUS ESET ENDPOINT POR UN (1) AÑO - RENOVACIÓN</v>
      </c>
      <c r="C20248" s="6">
        <v>25073.3</v>
      </c>
      <c r="D20248" s="5" t="s">
        <v>873</v>
      </c>
      <c r="E20248" s="5" t="str">
        <f t="shared" si="1031"/>
        <v>SISTEMAS-GLOBALTRONIK SAS-SERGIO PATIÑO</v>
      </c>
      <c r="F20248" s="5"/>
      <c r="G20248" s="5"/>
    </row>
    <row r="20249" spans="1:7" ht="58.5" customHeight="1" x14ac:dyDescent="0.25">
      <c r="A20249" s="5" t="str">
        <f>"h0027752"</f>
        <v>h0027752</v>
      </c>
      <c r="B20249" s="5" t="str">
        <f t="shared" si="1032"/>
        <v>LICENCIA DE ANTIVIRUS ESET ENDPOINT POR UN (1) AÑO - RENOVACIÓN</v>
      </c>
      <c r="C20249" s="6">
        <v>25073.3</v>
      </c>
      <c r="D20249" s="5" t="s">
        <v>873</v>
      </c>
      <c r="E20249" s="5" t="str">
        <f t="shared" si="1031"/>
        <v>SISTEMAS-GLOBALTRONIK SAS-SERGIO PATIÑO</v>
      </c>
      <c r="F20249" s="5"/>
      <c r="G20249" s="5"/>
    </row>
    <row r="20250" spans="1:7" ht="58.5" customHeight="1" x14ac:dyDescent="0.25">
      <c r="A20250" s="5" t="str">
        <f>"H0027753"</f>
        <v>H0027753</v>
      </c>
      <c r="B20250" s="5" t="str">
        <f t="shared" si="1032"/>
        <v>LICENCIA DE ANTIVIRUS ESET ENDPOINT POR UN (1) AÑO - RENOVACIÓN</v>
      </c>
      <c r="C20250" s="6">
        <v>25073.3</v>
      </c>
      <c r="D20250" s="5" t="s">
        <v>873</v>
      </c>
      <c r="E20250" s="5" t="str">
        <f t="shared" si="1031"/>
        <v>SISTEMAS-GLOBALTRONIK SAS-SERGIO PATIÑO</v>
      </c>
      <c r="F20250" s="5"/>
      <c r="G20250" s="5"/>
    </row>
    <row r="20251" spans="1:7" ht="58.5" customHeight="1" x14ac:dyDescent="0.25">
      <c r="A20251" s="5" t="str">
        <f>"H0027754"</f>
        <v>H0027754</v>
      </c>
      <c r="B20251" s="5" t="str">
        <f t="shared" si="1032"/>
        <v>LICENCIA DE ANTIVIRUS ESET ENDPOINT POR UN (1) AÑO - RENOVACIÓN</v>
      </c>
      <c r="C20251" s="6">
        <v>25073.3</v>
      </c>
      <c r="D20251" s="5" t="s">
        <v>873</v>
      </c>
      <c r="E20251" s="5" t="str">
        <f t="shared" si="1031"/>
        <v>SISTEMAS-GLOBALTRONIK SAS-SERGIO PATIÑO</v>
      </c>
      <c r="F20251" s="5"/>
      <c r="G20251" s="5"/>
    </row>
    <row r="20252" spans="1:7" ht="58.5" customHeight="1" x14ac:dyDescent="0.25">
      <c r="A20252" s="5" t="str">
        <f>"H0027755"</f>
        <v>H0027755</v>
      </c>
      <c r="B20252" s="5" t="str">
        <f t="shared" si="1032"/>
        <v>LICENCIA DE ANTIVIRUS ESET ENDPOINT POR UN (1) AÑO - RENOVACIÓN</v>
      </c>
      <c r="C20252" s="6">
        <v>25073.3</v>
      </c>
      <c r="D20252" s="5" t="s">
        <v>873</v>
      </c>
      <c r="E20252" s="5" t="str">
        <f t="shared" si="1031"/>
        <v>SISTEMAS-GLOBALTRONIK SAS-SERGIO PATIÑO</v>
      </c>
      <c r="F20252" s="5"/>
      <c r="G20252" s="5"/>
    </row>
    <row r="20253" spans="1:7" ht="58.5" customHeight="1" x14ac:dyDescent="0.25">
      <c r="A20253" s="5" t="str">
        <f>"H0027756"</f>
        <v>H0027756</v>
      </c>
      <c r="B20253" s="5" t="str">
        <f t="shared" si="1032"/>
        <v>LICENCIA DE ANTIVIRUS ESET ENDPOINT POR UN (1) AÑO - RENOVACIÓN</v>
      </c>
      <c r="C20253" s="6">
        <v>25073.3</v>
      </c>
      <c r="D20253" s="5" t="s">
        <v>873</v>
      </c>
      <c r="E20253" s="5" t="str">
        <f t="shared" si="1031"/>
        <v>SISTEMAS-GLOBALTRONIK SAS-SERGIO PATIÑO</v>
      </c>
      <c r="F20253" s="5"/>
      <c r="G20253" s="5"/>
    </row>
    <row r="20254" spans="1:7" ht="58.5" customHeight="1" x14ac:dyDescent="0.25">
      <c r="A20254" s="5" t="str">
        <f>"H0027757"</f>
        <v>H0027757</v>
      </c>
      <c r="B20254" s="5" t="str">
        <f t="shared" si="1032"/>
        <v>LICENCIA DE ANTIVIRUS ESET ENDPOINT POR UN (1) AÑO - RENOVACIÓN</v>
      </c>
      <c r="C20254" s="6">
        <v>25073.3</v>
      </c>
      <c r="D20254" s="5" t="s">
        <v>873</v>
      </c>
      <c r="E20254" s="5" t="str">
        <f t="shared" si="1031"/>
        <v>SISTEMAS-GLOBALTRONIK SAS-SERGIO PATIÑO</v>
      </c>
      <c r="F20254" s="5"/>
      <c r="G20254" s="5"/>
    </row>
    <row r="20255" spans="1:7" ht="58.5" customHeight="1" x14ac:dyDescent="0.25">
      <c r="A20255" s="5" t="str">
        <f>"H0027758"</f>
        <v>H0027758</v>
      </c>
      <c r="B20255" s="5" t="str">
        <f t="shared" si="1032"/>
        <v>LICENCIA DE ANTIVIRUS ESET ENDPOINT POR UN (1) AÑO - RENOVACIÓN</v>
      </c>
      <c r="C20255" s="6">
        <v>25073.3</v>
      </c>
      <c r="D20255" s="5" t="s">
        <v>873</v>
      </c>
      <c r="E20255" s="5" t="str">
        <f t="shared" si="1031"/>
        <v>SISTEMAS-GLOBALTRONIK SAS-SERGIO PATIÑO</v>
      </c>
      <c r="F20255" s="5"/>
      <c r="G20255" s="5"/>
    </row>
    <row r="20256" spans="1:7" ht="58.5" customHeight="1" x14ac:dyDescent="0.25">
      <c r="A20256" s="5" t="str">
        <f>"H0027759"</f>
        <v>H0027759</v>
      </c>
      <c r="B20256" s="5" t="str">
        <f t="shared" si="1032"/>
        <v>LICENCIA DE ANTIVIRUS ESET ENDPOINT POR UN (1) AÑO - RENOVACIÓN</v>
      </c>
      <c r="C20256" s="6">
        <v>25073.3</v>
      </c>
      <c r="D20256" s="5" t="s">
        <v>873</v>
      </c>
      <c r="E20256" s="5" t="str">
        <f t="shared" si="1031"/>
        <v>SISTEMAS-GLOBALTRONIK SAS-SERGIO PATIÑO</v>
      </c>
      <c r="F20256" s="5"/>
      <c r="G20256" s="5"/>
    </row>
    <row r="20257" spans="1:7" ht="58.5" customHeight="1" x14ac:dyDescent="0.25">
      <c r="A20257" s="5" t="str">
        <f>"H0027760"</f>
        <v>H0027760</v>
      </c>
      <c r="B20257" s="5" t="str">
        <f t="shared" si="1032"/>
        <v>LICENCIA DE ANTIVIRUS ESET ENDPOINT POR UN (1) AÑO - RENOVACIÓN</v>
      </c>
      <c r="C20257" s="6">
        <v>25073.3</v>
      </c>
      <c r="D20257" s="5" t="s">
        <v>873</v>
      </c>
      <c r="E20257" s="5" t="str">
        <f t="shared" si="1031"/>
        <v>SISTEMAS-GLOBALTRONIK SAS-SERGIO PATIÑO</v>
      </c>
      <c r="F20257" s="5"/>
      <c r="G20257" s="5"/>
    </row>
    <row r="20258" spans="1:7" ht="58.5" customHeight="1" x14ac:dyDescent="0.25">
      <c r="A20258" s="5" t="str">
        <f>"H0027761"</f>
        <v>H0027761</v>
      </c>
      <c r="B20258" s="5" t="str">
        <f t="shared" si="1032"/>
        <v>LICENCIA DE ANTIVIRUS ESET ENDPOINT POR UN (1) AÑO - RENOVACIÓN</v>
      </c>
      <c r="C20258" s="6">
        <v>25073.3</v>
      </c>
      <c r="D20258" s="5" t="s">
        <v>873</v>
      </c>
      <c r="E20258" s="5" t="str">
        <f t="shared" si="1031"/>
        <v>SISTEMAS-GLOBALTRONIK SAS-SERGIO PATIÑO</v>
      </c>
      <c r="F20258" s="5"/>
      <c r="G20258" s="5"/>
    </row>
    <row r="20259" spans="1:7" ht="58.5" customHeight="1" x14ac:dyDescent="0.25">
      <c r="A20259" s="5" t="str">
        <f>"H0027762"</f>
        <v>H0027762</v>
      </c>
      <c r="B20259" s="5" t="str">
        <f t="shared" si="1032"/>
        <v>LICENCIA DE ANTIVIRUS ESET ENDPOINT POR UN (1) AÑO - RENOVACIÓN</v>
      </c>
      <c r="C20259" s="6">
        <v>25073.3</v>
      </c>
      <c r="D20259" s="5" t="s">
        <v>873</v>
      </c>
      <c r="E20259" s="5" t="str">
        <f t="shared" si="1031"/>
        <v>SISTEMAS-GLOBALTRONIK SAS-SERGIO PATIÑO</v>
      </c>
      <c r="F20259" s="5"/>
      <c r="G20259" s="5"/>
    </row>
    <row r="20260" spans="1:7" ht="58.5" customHeight="1" x14ac:dyDescent="0.25">
      <c r="A20260" s="5" t="str">
        <f>"H0027763"</f>
        <v>H0027763</v>
      </c>
      <c r="B20260" s="5" t="str">
        <f t="shared" si="1032"/>
        <v>LICENCIA DE ANTIVIRUS ESET ENDPOINT POR UN (1) AÑO - RENOVACIÓN</v>
      </c>
      <c r="C20260" s="6">
        <v>25073.3</v>
      </c>
      <c r="D20260" s="5" t="s">
        <v>873</v>
      </c>
      <c r="E20260" s="5" t="str">
        <f t="shared" si="1031"/>
        <v>SISTEMAS-GLOBALTRONIK SAS-SERGIO PATIÑO</v>
      </c>
      <c r="F20260" s="5"/>
      <c r="G20260" s="5"/>
    </row>
    <row r="20261" spans="1:7" ht="58.5" customHeight="1" x14ac:dyDescent="0.25">
      <c r="A20261" s="5" t="str">
        <f>"H0027764"</f>
        <v>H0027764</v>
      </c>
      <c r="B20261" s="5" t="str">
        <f t="shared" si="1032"/>
        <v>LICENCIA DE ANTIVIRUS ESET ENDPOINT POR UN (1) AÑO - RENOVACIÓN</v>
      </c>
      <c r="C20261" s="6">
        <v>25073.3</v>
      </c>
      <c r="D20261" s="5" t="s">
        <v>873</v>
      </c>
      <c r="E20261" s="5" t="str">
        <f t="shared" si="1031"/>
        <v>SISTEMAS-GLOBALTRONIK SAS-SERGIO PATIÑO</v>
      </c>
      <c r="F20261" s="5"/>
      <c r="G20261" s="5"/>
    </row>
    <row r="20262" spans="1:7" ht="58.5" customHeight="1" x14ac:dyDescent="0.25">
      <c r="A20262" s="5" t="str">
        <f>"H0027765"</f>
        <v>H0027765</v>
      </c>
      <c r="B20262" s="5" t="str">
        <f t="shared" si="1032"/>
        <v>LICENCIA DE ANTIVIRUS ESET ENDPOINT POR UN (1) AÑO - RENOVACIÓN</v>
      </c>
      <c r="C20262" s="6">
        <v>25073.3</v>
      </c>
      <c r="D20262" s="5" t="s">
        <v>873</v>
      </c>
      <c r="E20262" s="5" t="str">
        <f t="shared" si="1031"/>
        <v>SISTEMAS-GLOBALTRONIK SAS-SERGIO PATIÑO</v>
      </c>
      <c r="F20262" s="5"/>
      <c r="G20262" s="5"/>
    </row>
    <row r="20263" spans="1:7" ht="58.5" customHeight="1" x14ac:dyDescent="0.25">
      <c r="A20263" s="5" t="str">
        <f>"H0027766"</f>
        <v>H0027766</v>
      </c>
      <c r="B20263" s="5" t="str">
        <f t="shared" si="1032"/>
        <v>LICENCIA DE ANTIVIRUS ESET ENDPOINT POR UN (1) AÑO - RENOVACIÓN</v>
      </c>
      <c r="C20263" s="6">
        <v>25073.3</v>
      </c>
      <c r="D20263" s="5" t="s">
        <v>873</v>
      </c>
      <c r="E20263" s="5" t="str">
        <f t="shared" si="1031"/>
        <v>SISTEMAS-GLOBALTRONIK SAS-SERGIO PATIÑO</v>
      </c>
      <c r="F20263" s="5"/>
      <c r="G20263" s="5"/>
    </row>
    <row r="20264" spans="1:7" ht="58.5" customHeight="1" x14ac:dyDescent="0.25">
      <c r="A20264" s="5" t="str">
        <f>"H0027767"</f>
        <v>H0027767</v>
      </c>
      <c r="B20264" s="5" t="str">
        <f t="shared" si="1032"/>
        <v>LICENCIA DE ANTIVIRUS ESET ENDPOINT POR UN (1) AÑO - RENOVACIÓN</v>
      </c>
      <c r="C20264" s="6">
        <v>25073.3</v>
      </c>
      <c r="D20264" s="5" t="s">
        <v>873</v>
      </c>
      <c r="E20264" s="5" t="str">
        <f t="shared" si="1031"/>
        <v>SISTEMAS-GLOBALTRONIK SAS-SERGIO PATIÑO</v>
      </c>
      <c r="F20264" s="5"/>
      <c r="G20264" s="5"/>
    </row>
    <row r="20265" spans="1:7" ht="58.5" customHeight="1" x14ac:dyDescent="0.25">
      <c r="A20265" s="5" t="str">
        <f>"H0027768"</f>
        <v>H0027768</v>
      </c>
      <c r="B20265" s="5" t="str">
        <f t="shared" si="1032"/>
        <v>LICENCIA DE ANTIVIRUS ESET ENDPOINT POR UN (1) AÑO - RENOVACIÓN</v>
      </c>
      <c r="C20265" s="6">
        <v>25073.3</v>
      </c>
      <c r="D20265" s="5" t="s">
        <v>873</v>
      </c>
      <c r="E20265" s="5" t="str">
        <f t="shared" si="1031"/>
        <v>SISTEMAS-GLOBALTRONIK SAS-SERGIO PATIÑO</v>
      </c>
      <c r="F20265" s="5"/>
      <c r="G20265" s="5"/>
    </row>
    <row r="20266" spans="1:7" ht="58.5" customHeight="1" x14ac:dyDescent="0.25">
      <c r="A20266" s="5" t="str">
        <f>"H0027769"</f>
        <v>H0027769</v>
      </c>
      <c r="B20266" s="5" t="str">
        <f t="shared" si="1032"/>
        <v>LICENCIA DE ANTIVIRUS ESET ENDPOINT POR UN (1) AÑO - RENOVACIÓN</v>
      </c>
      <c r="C20266" s="6">
        <v>25073.3</v>
      </c>
      <c r="D20266" s="5" t="s">
        <v>873</v>
      </c>
      <c r="E20266" s="5" t="str">
        <f t="shared" si="1031"/>
        <v>SISTEMAS-GLOBALTRONIK SAS-SERGIO PATIÑO</v>
      </c>
      <c r="F20266" s="5"/>
      <c r="G20266" s="5"/>
    </row>
    <row r="20267" spans="1:7" ht="58.5" customHeight="1" x14ac:dyDescent="0.25">
      <c r="A20267" s="5" t="str">
        <f>"H0027770"</f>
        <v>H0027770</v>
      </c>
      <c r="B20267" s="5" t="str">
        <f t="shared" si="1032"/>
        <v>LICENCIA DE ANTIVIRUS ESET ENDPOINT POR UN (1) AÑO - RENOVACIÓN</v>
      </c>
      <c r="C20267" s="6">
        <v>25073.3</v>
      </c>
      <c r="D20267" s="5" t="s">
        <v>873</v>
      </c>
      <c r="E20267" s="5" t="str">
        <f t="shared" si="1031"/>
        <v>SISTEMAS-GLOBALTRONIK SAS-SERGIO PATIÑO</v>
      </c>
      <c r="F20267" s="5"/>
      <c r="G20267" s="5"/>
    </row>
    <row r="20268" spans="1:7" ht="58.5" customHeight="1" x14ac:dyDescent="0.25">
      <c r="A20268" s="5" t="str">
        <f>"H0027771"</f>
        <v>H0027771</v>
      </c>
      <c r="B20268" s="5" t="str">
        <f t="shared" si="1032"/>
        <v>LICENCIA DE ANTIVIRUS ESET ENDPOINT POR UN (1) AÑO - RENOVACIÓN</v>
      </c>
      <c r="C20268" s="6">
        <v>25073.3</v>
      </c>
      <c r="D20268" s="5" t="s">
        <v>873</v>
      </c>
      <c r="E20268" s="5" t="str">
        <f t="shared" si="1031"/>
        <v>SISTEMAS-GLOBALTRONIK SAS-SERGIO PATIÑO</v>
      </c>
      <c r="F20268" s="5"/>
      <c r="G20268" s="5"/>
    </row>
    <row r="20269" spans="1:7" ht="58.5" customHeight="1" x14ac:dyDescent="0.25">
      <c r="A20269" s="5" t="str">
        <f>"H0027772"</f>
        <v>H0027772</v>
      </c>
      <c r="B20269" s="5" t="str">
        <f t="shared" si="1032"/>
        <v>LICENCIA DE ANTIVIRUS ESET ENDPOINT POR UN (1) AÑO - RENOVACIÓN</v>
      </c>
      <c r="C20269" s="6">
        <v>25073.3</v>
      </c>
      <c r="D20269" s="5" t="s">
        <v>873</v>
      </c>
      <c r="E20269" s="5" t="str">
        <f t="shared" si="1031"/>
        <v>SISTEMAS-GLOBALTRONIK SAS-SERGIO PATIÑO</v>
      </c>
      <c r="F20269" s="5"/>
      <c r="G20269" s="5"/>
    </row>
    <row r="20270" spans="1:7" ht="58.5" customHeight="1" x14ac:dyDescent="0.25">
      <c r="A20270" s="5" t="str">
        <f>"H0027773"</f>
        <v>H0027773</v>
      </c>
      <c r="B20270" s="5" t="str">
        <f t="shared" si="1032"/>
        <v>LICENCIA DE ANTIVIRUS ESET ENDPOINT POR UN (1) AÑO - RENOVACIÓN</v>
      </c>
      <c r="C20270" s="6">
        <v>25073.3</v>
      </c>
      <c r="D20270" s="5" t="s">
        <v>873</v>
      </c>
      <c r="E20270" s="5" t="str">
        <f t="shared" si="1031"/>
        <v>SISTEMAS-GLOBALTRONIK SAS-SERGIO PATIÑO</v>
      </c>
      <c r="F20270" s="5"/>
      <c r="G20270" s="5"/>
    </row>
    <row r="20271" spans="1:7" ht="58.5" customHeight="1" x14ac:dyDescent="0.25">
      <c r="A20271" s="5" t="str">
        <f>"H0027774"</f>
        <v>H0027774</v>
      </c>
      <c r="B20271" s="5" t="str">
        <f t="shared" si="1032"/>
        <v>LICENCIA DE ANTIVIRUS ESET ENDPOINT POR UN (1) AÑO - RENOVACIÓN</v>
      </c>
      <c r="C20271" s="6">
        <v>25073.3</v>
      </c>
      <c r="D20271" s="5" t="s">
        <v>873</v>
      </c>
      <c r="E20271" s="5" t="str">
        <f t="shared" si="1031"/>
        <v>SISTEMAS-GLOBALTRONIK SAS-SERGIO PATIÑO</v>
      </c>
      <c r="F20271" s="5"/>
      <c r="G20271" s="5"/>
    </row>
    <row r="20272" spans="1:7" ht="58.5" customHeight="1" x14ac:dyDescent="0.25">
      <c r="A20272" s="5" t="str">
        <f>"H0027775"</f>
        <v>H0027775</v>
      </c>
      <c r="B20272" s="5" t="str">
        <f t="shared" si="1032"/>
        <v>LICENCIA DE ANTIVIRUS ESET ENDPOINT POR UN (1) AÑO - RENOVACIÓN</v>
      </c>
      <c r="C20272" s="6">
        <v>25073.3</v>
      </c>
      <c r="D20272" s="5" t="s">
        <v>873</v>
      </c>
      <c r="E20272" s="5" t="str">
        <f t="shared" si="1031"/>
        <v>SISTEMAS-GLOBALTRONIK SAS-SERGIO PATIÑO</v>
      </c>
      <c r="F20272" s="5"/>
      <c r="G20272" s="5"/>
    </row>
    <row r="20273" spans="1:7" ht="58.5" customHeight="1" x14ac:dyDescent="0.25">
      <c r="A20273" s="5" t="str">
        <f>"H0027776"</f>
        <v>H0027776</v>
      </c>
      <c r="B20273" s="5" t="str">
        <f t="shared" si="1032"/>
        <v>LICENCIA DE ANTIVIRUS ESET ENDPOINT POR UN (1) AÑO - RENOVACIÓN</v>
      </c>
      <c r="C20273" s="6">
        <v>25073.3</v>
      </c>
      <c r="D20273" s="5" t="s">
        <v>873</v>
      </c>
      <c r="E20273" s="5" t="str">
        <f t="shared" si="1031"/>
        <v>SISTEMAS-GLOBALTRONIK SAS-SERGIO PATIÑO</v>
      </c>
      <c r="F20273" s="5"/>
      <c r="G20273" s="5"/>
    </row>
    <row r="20274" spans="1:7" ht="58.5" customHeight="1" x14ac:dyDescent="0.25">
      <c r="A20274" s="5" t="str">
        <f>"H0027777"</f>
        <v>H0027777</v>
      </c>
      <c r="B20274" s="5" t="str">
        <f t="shared" si="1032"/>
        <v>LICENCIA DE ANTIVIRUS ESET ENDPOINT POR UN (1) AÑO - RENOVACIÓN</v>
      </c>
      <c r="C20274" s="6">
        <v>25073.3</v>
      </c>
      <c r="D20274" s="5" t="s">
        <v>873</v>
      </c>
      <c r="E20274" s="5" t="str">
        <f t="shared" si="1031"/>
        <v>SISTEMAS-GLOBALTRONIK SAS-SERGIO PATIÑO</v>
      </c>
      <c r="F20274" s="5"/>
      <c r="G20274" s="5"/>
    </row>
    <row r="20275" spans="1:7" ht="58.5" customHeight="1" x14ac:dyDescent="0.25">
      <c r="A20275" s="5" t="str">
        <f>"H0027778"</f>
        <v>H0027778</v>
      </c>
      <c r="B20275" s="5" t="str">
        <f t="shared" si="1032"/>
        <v>LICENCIA DE ANTIVIRUS ESET ENDPOINT POR UN (1) AÑO - RENOVACIÓN</v>
      </c>
      <c r="C20275" s="6">
        <v>25073.3</v>
      </c>
      <c r="D20275" s="5" t="s">
        <v>873</v>
      </c>
      <c r="E20275" s="5" t="str">
        <f t="shared" si="1031"/>
        <v>SISTEMAS-GLOBALTRONIK SAS-SERGIO PATIÑO</v>
      </c>
      <c r="F20275" s="5"/>
      <c r="G20275" s="5"/>
    </row>
    <row r="20276" spans="1:7" ht="58.5" customHeight="1" x14ac:dyDescent="0.25">
      <c r="A20276" s="5" t="str">
        <f>"H0027779"</f>
        <v>H0027779</v>
      </c>
      <c r="B20276" s="5" t="str">
        <f t="shared" si="1032"/>
        <v>LICENCIA DE ANTIVIRUS ESET ENDPOINT POR UN (1) AÑO - RENOVACIÓN</v>
      </c>
      <c r="C20276" s="6">
        <v>25073.3</v>
      </c>
      <c r="D20276" s="5" t="s">
        <v>873</v>
      </c>
      <c r="E20276" s="5" t="str">
        <f t="shared" si="1031"/>
        <v>SISTEMAS-GLOBALTRONIK SAS-SERGIO PATIÑO</v>
      </c>
      <c r="F20276" s="5"/>
      <c r="G20276" s="5"/>
    </row>
    <row r="20277" spans="1:7" ht="58.5" customHeight="1" x14ac:dyDescent="0.25">
      <c r="A20277" s="5" t="str">
        <f>"H0027780"</f>
        <v>H0027780</v>
      </c>
      <c r="B20277" s="5" t="str">
        <f t="shared" si="1032"/>
        <v>LICENCIA DE ANTIVIRUS ESET ENDPOINT POR UN (1) AÑO - RENOVACIÓN</v>
      </c>
      <c r="C20277" s="6">
        <v>25073.3</v>
      </c>
      <c r="D20277" s="5" t="s">
        <v>873</v>
      </c>
      <c r="E20277" s="5" t="str">
        <f t="shared" si="1031"/>
        <v>SISTEMAS-GLOBALTRONIK SAS-SERGIO PATIÑO</v>
      </c>
      <c r="F20277" s="5"/>
      <c r="G20277" s="5"/>
    </row>
    <row r="20278" spans="1:7" ht="58.5" customHeight="1" x14ac:dyDescent="0.25">
      <c r="A20278" s="5" t="str">
        <f>"H0027781"</f>
        <v>H0027781</v>
      </c>
      <c r="B20278" s="5" t="str">
        <f t="shared" si="1032"/>
        <v>LICENCIA DE ANTIVIRUS ESET ENDPOINT POR UN (1) AÑO - RENOVACIÓN</v>
      </c>
      <c r="C20278" s="6">
        <v>25073.3</v>
      </c>
      <c r="D20278" s="5" t="s">
        <v>873</v>
      </c>
      <c r="E20278" s="5" t="str">
        <f t="shared" si="1031"/>
        <v>SISTEMAS-GLOBALTRONIK SAS-SERGIO PATIÑO</v>
      </c>
      <c r="F20278" s="5"/>
      <c r="G20278" s="5"/>
    </row>
    <row r="20279" spans="1:7" ht="58.5" customHeight="1" x14ac:dyDescent="0.25">
      <c r="A20279" s="5" t="str">
        <f>"H0027782"</f>
        <v>H0027782</v>
      </c>
      <c r="B20279" s="5" t="str">
        <f t="shared" si="1032"/>
        <v>LICENCIA DE ANTIVIRUS ESET ENDPOINT POR UN (1) AÑO - RENOVACIÓN</v>
      </c>
      <c r="C20279" s="6">
        <v>25073.3</v>
      </c>
      <c r="D20279" s="5" t="s">
        <v>873</v>
      </c>
      <c r="E20279" s="5" t="str">
        <f t="shared" si="1031"/>
        <v>SISTEMAS-GLOBALTRONIK SAS-SERGIO PATIÑO</v>
      </c>
      <c r="F20279" s="5"/>
      <c r="G20279" s="5"/>
    </row>
    <row r="20280" spans="1:7" ht="58.5" customHeight="1" x14ac:dyDescent="0.25">
      <c r="A20280" s="5" t="str">
        <f>"H0027783"</f>
        <v>H0027783</v>
      </c>
      <c r="B20280" s="5" t="str">
        <f t="shared" si="1032"/>
        <v>LICENCIA DE ANTIVIRUS ESET ENDPOINT POR UN (1) AÑO - RENOVACIÓN</v>
      </c>
      <c r="C20280" s="6">
        <v>25073.3</v>
      </c>
      <c r="D20280" s="5" t="s">
        <v>873</v>
      </c>
      <c r="E20280" s="5" t="str">
        <f t="shared" si="1031"/>
        <v>SISTEMAS-GLOBALTRONIK SAS-SERGIO PATIÑO</v>
      </c>
      <c r="F20280" s="5"/>
      <c r="G20280" s="5"/>
    </row>
    <row r="20281" spans="1:7" ht="58.5" customHeight="1" x14ac:dyDescent="0.25">
      <c r="A20281" s="5" t="str">
        <f>"H0027784"</f>
        <v>H0027784</v>
      </c>
      <c r="B20281" s="5" t="str">
        <f t="shared" si="1032"/>
        <v>LICENCIA DE ANTIVIRUS ESET ENDPOINT POR UN (1) AÑO - RENOVACIÓN</v>
      </c>
      <c r="C20281" s="6">
        <v>25073.3</v>
      </c>
      <c r="D20281" s="5" t="s">
        <v>873</v>
      </c>
      <c r="E20281" s="5" t="str">
        <f t="shared" si="1031"/>
        <v>SISTEMAS-GLOBALTRONIK SAS-SERGIO PATIÑO</v>
      </c>
      <c r="F20281" s="5"/>
      <c r="G20281" s="5"/>
    </row>
    <row r="20282" spans="1:7" ht="58.5" customHeight="1" x14ac:dyDescent="0.25">
      <c r="A20282" s="5" t="str">
        <f>"H0027785"</f>
        <v>H0027785</v>
      </c>
      <c r="B20282" s="5" t="str">
        <f t="shared" si="1032"/>
        <v>LICENCIA DE ANTIVIRUS ESET ENDPOINT POR UN (1) AÑO - RENOVACIÓN</v>
      </c>
      <c r="C20282" s="6">
        <v>25073.3</v>
      </c>
      <c r="D20282" s="5" t="s">
        <v>873</v>
      </c>
      <c r="E20282" s="5" t="str">
        <f t="shared" si="1031"/>
        <v>SISTEMAS-GLOBALTRONIK SAS-SERGIO PATIÑO</v>
      </c>
      <c r="F20282" s="5"/>
      <c r="G20282" s="5"/>
    </row>
    <row r="20283" spans="1:7" ht="58.5" customHeight="1" x14ac:dyDescent="0.25">
      <c r="A20283" s="5" t="str">
        <f>"H0027786"</f>
        <v>H0027786</v>
      </c>
      <c r="B20283" s="5" t="str">
        <f t="shared" si="1032"/>
        <v>LICENCIA DE ANTIVIRUS ESET ENDPOINT POR UN (1) AÑO - RENOVACIÓN</v>
      </c>
      <c r="C20283" s="6">
        <v>25073.3</v>
      </c>
      <c r="D20283" s="5" t="s">
        <v>873</v>
      </c>
      <c r="E20283" s="5" t="str">
        <f t="shared" si="1031"/>
        <v>SISTEMAS-GLOBALTRONIK SAS-SERGIO PATIÑO</v>
      </c>
      <c r="F20283" s="5"/>
      <c r="G20283" s="5"/>
    </row>
    <row r="20284" spans="1:7" ht="58.5" customHeight="1" x14ac:dyDescent="0.25">
      <c r="A20284" s="5" t="str">
        <f>"H0027787"</f>
        <v>H0027787</v>
      </c>
      <c r="B20284" s="5" t="str">
        <f t="shared" si="1032"/>
        <v>LICENCIA DE ANTIVIRUS ESET ENDPOINT POR UN (1) AÑO - RENOVACIÓN</v>
      </c>
      <c r="C20284" s="6">
        <v>25073.3</v>
      </c>
      <c r="D20284" s="5" t="s">
        <v>873</v>
      </c>
      <c r="E20284" s="5" t="str">
        <f t="shared" si="1031"/>
        <v>SISTEMAS-GLOBALTRONIK SAS-SERGIO PATIÑO</v>
      </c>
      <c r="F20284" s="5"/>
      <c r="G20284" s="5"/>
    </row>
    <row r="20285" spans="1:7" ht="58.5" customHeight="1" x14ac:dyDescent="0.25">
      <c r="A20285" s="5" t="str">
        <f>"H0027788"</f>
        <v>H0027788</v>
      </c>
      <c r="B20285" s="5" t="str">
        <f t="shared" si="1032"/>
        <v>LICENCIA DE ANTIVIRUS ESET ENDPOINT POR UN (1) AÑO - RENOVACIÓN</v>
      </c>
      <c r="C20285" s="6">
        <v>25073.3</v>
      </c>
      <c r="D20285" s="5" t="s">
        <v>873</v>
      </c>
      <c r="E20285" s="5" t="str">
        <f t="shared" ref="E20285:E20348" si="1033">"SISTEMAS-GLOBALTRONIK SAS-SERGIO PATIÑO"</f>
        <v>SISTEMAS-GLOBALTRONIK SAS-SERGIO PATIÑO</v>
      </c>
      <c r="F20285" s="5"/>
      <c r="G20285" s="5"/>
    </row>
    <row r="20286" spans="1:7" ht="58.5" customHeight="1" x14ac:dyDescent="0.25">
      <c r="A20286" s="5" t="str">
        <f>"H0027789"</f>
        <v>H0027789</v>
      </c>
      <c r="B20286" s="5" t="str">
        <f t="shared" si="1032"/>
        <v>LICENCIA DE ANTIVIRUS ESET ENDPOINT POR UN (1) AÑO - RENOVACIÓN</v>
      </c>
      <c r="C20286" s="6">
        <v>25073.3</v>
      </c>
      <c r="D20286" s="5" t="s">
        <v>873</v>
      </c>
      <c r="E20286" s="5" t="str">
        <f t="shared" si="1033"/>
        <v>SISTEMAS-GLOBALTRONIK SAS-SERGIO PATIÑO</v>
      </c>
      <c r="F20286" s="5"/>
      <c r="G20286" s="5"/>
    </row>
    <row r="20287" spans="1:7" ht="58.5" customHeight="1" x14ac:dyDescent="0.25">
      <c r="A20287" s="5" t="str">
        <f>"H0027790"</f>
        <v>H0027790</v>
      </c>
      <c r="B20287" s="5" t="str">
        <f t="shared" si="1032"/>
        <v>LICENCIA DE ANTIVIRUS ESET ENDPOINT POR UN (1) AÑO - RENOVACIÓN</v>
      </c>
      <c r="C20287" s="6">
        <v>25073.3</v>
      </c>
      <c r="D20287" s="5" t="s">
        <v>873</v>
      </c>
      <c r="E20287" s="5" t="str">
        <f t="shared" si="1033"/>
        <v>SISTEMAS-GLOBALTRONIK SAS-SERGIO PATIÑO</v>
      </c>
      <c r="F20287" s="5"/>
      <c r="G20287" s="5"/>
    </row>
    <row r="20288" spans="1:7" ht="58.5" customHeight="1" x14ac:dyDescent="0.25">
      <c r="A20288" s="5" t="str">
        <f>"H0027791"</f>
        <v>H0027791</v>
      </c>
      <c r="B20288" s="5" t="str">
        <f t="shared" si="1032"/>
        <v>LICENCIA DE ANTIVIRUS ESET ENDPOINT POR UN (1) AÑO - RENOVACIÓN</v>
      </c>
      <c r="C20288" s="6">
        <v>25073.3</v>
      </c>
      <c r="D20288" s="5" t="s">
        <v>873</v>
      </c>
      <c r="E20288" s="5" t="str">
        <f t="shared" si="1033"/>
        <v>SISTEMAS-GLOBALTRONIK SAS-SERGIO PATIÑO</v>
      </c>
      <c r="F20288" s="5"/>
      <c r="G20288" s="5"/>
    </row>
    <row r="20289" spans="1:7" ht="58.5" customHeight="1" x14ac:dyDescent="0.25">
      <c r="A20289" s="5" t="str">
        <f>"H0027792"</f>
        <v>H0027792</v>
      </c>
      <c r="B20289" s="5" t="str">
        <f t="shared" si="1032"/>
        <v>LICENCIA DE ANTIVIRUS ESET ENDPOINT POR UN (1) AÑO - RENOVACIÓN</v>
      </c>
      <c r="C20289" s="6">
        <v>25073.3</v>
      </c>
      <c r="D20289" s="5" t="s">
        <v>873</v>
      </c>
      <c r="E20289" s="5" t="str">
        <f t="shared" si="1033"/>
        <v>SISTEMAS-GLOBALTRONIK SAS-SERGIO PATIÑO</v>
      </c>
      <c r="F20289" s="5"/>
      <c r="G20289" s="5"/>
    </row>
    <row r="20290" spans="1:7" ht="58.5" customHeight="1" x14ac:dyDescent="0.25">
      <c r="A20290" s="5" t="str">
        <f>"H0027793"</f>
        <v>H0027793</v>
      </c>
      <c r="B20290" s="5" t="str">
        <f t="shared" si="1032"/>
        <v>LICENCIA DE ANTIVIRUS ESET ENDPOINT POR UN (1) AÑO - RENOVACIÓN</v>
      </c>
      <c r="C20290" s="6">
        <v>25073.3</v>
      </c>
      <c r="D20290" s="5" t="s">
        <v>873</v>
      </c>
      <c r="E20290" s="5" t="str">
        <f t="shared" si="1033"/>
        <v>SISTEMAS-GLOBALTRONIK SAS-SERGIO PATIÑO</v>
      </c>
      <c r="F20290" s="5"/>
      <c r="G20290" s="5"/>
    </row>
    <row r="20291" spans="1:7" ht="58.5" customHeight="1" x14ac:dyDescent="0.25">
      <c r="A20291" s="5" t="str">
        <f>"H0027794"</f>
        <v>H0027794</v>
      </c>
      <c r="B20291" s="5" t="str">
        <f t="shared" ref="B20291:B20354" si="1034">"LICENCIA DE ANTIVIRUS ESET ENDPOINT POR UN (1) AÑO - RENOVACIÓN"</f>
        <v>LICENCIA DE ANTIVIRUS ESET ENDPOINT POR UN (1) AÑO - RENOVACIÓN</v>
      </c>
      <c r="C20291" s="6">
        <v>25073.3</v>
      </c>
      <c r="D20291" s="5" t="s">
        <v>873</v>
      </c>
      <c r="E20291" s="5" t="str">
        <f t="shared" si="1033"/>
        <v>SISTEMAS-GLOBALTRONIK SAS-SERGIO PATIÑO</v>
      </c>
      <c r="F20291" s="5"/>
      <c r="G20291" s="5"/>
    </row>
    <row r="20292" spans="1:7" ht="58.5" customHeight="1" x14ac:dyDescent="0.25">
      <c r="A20292" s="5" t="str">
        <f>"H0027795"</f>
        <v>H0027795</v>
      </c>
      <c r="B20292" s="5" t="str">
        <f t="shared" si="1034"/>
        <v>LICENCIA DE ANTIVIRUS ESET ENDPOINT POR UN (1) AÑO - RENOVACIÓN</v>
      </c>
      <c r="C20292" s="6">
        <v>25073.3</v>
      </c>
      <c r="D20292" s="5" t="s">
        <v>873</v>
      </c>
      <c r="E20292" s="5" t="str">
        <f t="shared" si="1033"/>
        <v>SISTEMAS-GLOBALTRONIK SAS-SERGIO PATIÑO</v>
      </c>
      <c r="F20292" s="5"/>
      <c r="G20292" s="5"/>
    </row>
    <row r="20293" spans="1:7" ht="58.5" customHeight="1" x14ac:dyDescent="0.25">
      <c r="A20293" s="5" t="str">
        <f>"H0027796"</f>
        <v>H0027796</v>
      </c>
      <c r="B20293" s="5" t="str">
        <f t="shared" si="1034"/>
        <v>LICENCIA DE ANTIVIRUS ESET ENDPOINT POR UN (1) AÑO - RENOVACIÓN</v>
      </c>
      <c r="C20293" s="6">
        <v>25073.3</v>
      </c>
      <c r="D20293" s="5" t="s">
        <v>873</v>
      </c>
      <c r="E20293" s="5" t="str">
        <f t="shared" si="1033"/>
        <v>SISTEMAS-GLOBALTRONIK SAS-SERGIO PATIÑO</v>
      </c>
      <c r="F20293" s="5"/>
      <c r="G20293" s="5"/>
    </row>
    <row r="20294" spans="1:7" ht="58.5" customHeight="1" x14ac:dyDescent="0.25">
      <c r="A20294" s="5" t="str">
        <f>"H0027797"</f>
        <v>H0027797</v>
      </c>
      <c r="B20294" s="5" t="str">
        <f t="shared" si="1034"/>
        <v>LICENCIA DE ANTIVIRUS ESET ENDPOINT POR UN (1) AÑO - RENOVACIÓN</v>
      </c>
      <c r="C20294" s="6">
        <v>25073.3</v>
      </c>
      <c r="D20294" s="5" t="s">
        <v>873</v>
      </c>
      <c r="E20294" s="5" t="str">
        <f t="shared" si="1033"/>
        <v>SISTEMAS-GLOBALTRONIK SAS-SERGIO PATIÑO</v>
      </c>
      <c r="F20294" s="5"/>
      <c r="G20294" s="5"/>
    </row>
    <row r="20295" spans="1:7" ht="58.5" customHeight="1" x14ac:dyDescent="0.25">
      <c r="A20295" s="5" t="str">
        <f>"H0027798"</f>
        <v>H0027798</v>
      </c>
      <c r="B20295" s="5" t="str">
        <f t="shared" si="1034"/>
        <v>LICENCIA DE ANTIVIRUS ESET ENDPOINT POR UN (1) AÑO - RENOVACIÓN</v>
      </c>
      <c r="C20295" s="6">
        <v>25073.3</v>
      </c>
      <c r="D20295" s="5" t="s">
        <v>873</v>
      </c>
      <c r="E20295" s="5" t="str">
        <f t="shared" si="1033"/>
        <v>SISTEMAS-GLOBALTRONIK SAS-SERGIO PATIÑO</v>
      </c>
      <c r="F20295" s="5"/>
      <c r="G20295" s="5"/>
    </row>
    <row r="20296" spans="1:7" ht="58.5" customHeight="1" x14ac:dyDescent="0.25">
      <c r="A20296" s="5" t="str">
        <f>"H0027799"</f>
        <v>H0027799</v>
      </c>
      <c r="B20296" s="5" t="str">
        <f t="shared" si="1034"/>
        <v>LICENCIA DE ANTIVIRUS ESET ENDPOINT POR UN (1) AÑO - RENOVACIÓN</v>
      </c>
      <c r="C20296" s="6">
        <v>25073.3</v>
      </c>
      <c r="D20296" s="5" t="s">
        <v>873</v>
      </c>
      <c r="E20296" s="5" t="str">
        <f t="shared" si="1033"/>
        <v>SISTEMAS-GLOBALTRONIK SAS-SERGIO PATIÑO</v>
      </c>
      <c r="F20296" s="5"/>
      <c r="G20296" s="5"/>
    </row>
    <row r="20297" spans="1:7" ht="58.5" customHeight="1" x14ac:dyDescent="0.25">
      <c r="A20297" s="5" t="str">
        <f>"H0027800"</f>
        <v>H0027800</v>
      </c>
      <c r="B20297" s="5" t="str">
        <f t="shared" si="1034"/>
        <v>LICENCIA DE ANTIVIRUS ESET ENDPOINT POR UN (1) AÑO - RENOVACIÓN</v>
      </c>
      <c r="C20297" s="6">
        <v>25073.3</v>
      </c>
      <c r="D20297" s="5" t="s">
        <v>874</v>
      </c>
      <c r="E20297" s="5" t="str">
        <f t="shared" si="1033"/>
        <v>SISTEMAS-GLOBALTRONIK SAS-SERGIO PATIÑO</v>
      </c>
      <c r="F20297" s="5"/>
      <c r="G20297" s="5"/>
    </row>
    <row r="20298" spans="1:7" ht="58.5" customHeight="1" x14ac:dyDescent="0.25">
      <c r="A20298" s="5" t="str">
        <f>"H0027801"</f>
        <v>H0027801</v>
      </c>
      <c r="B20298" s="5" t="str">
        <f t="shared" si="1034"/>
        <v>LICENCIA DE ANTIVIRUS ESET ENDPOINT POR UN (1) AÑO - RENOVACIÓN</v>
      </c>
      <c r="C20298" s="6">
        <v>25073.3</v>
      </c>
      <c r="D20298" s="5" t="s">
        <v>873</v>
      </c>
      <c r="E20298" s="5" t="str">
        <f t="shared" si="1033"/>
        <v>SISTEMAS-GLOBALTRONIK SAS-SERGIO PATIÑO</v>
      </c>
      <c r="F20298" s="5"/>
      <c r="G20298" s="5"/>
    </row>
    <row r="20299" spans="1:7" ht="58.5" customHeight="1" x14ac:dyDescent="0.25">
      <c r="A20299" s="5" t="str">
        <f>"H0027802"</f>
        <v>H0027802</v>
      </c>
      <c r="B20299" s="5" t="str">
        <f t="shared" si="1034"/>
        <v>LICENCIA DE ANTIVIRUS ESET ENDPOINT POR UN (1) AÑO - RENOVACIÓN</v>
      </c>
      <c r="C20299" s="6">
        <v>25073.3</v>
      </c>
      <c r="D20299" s="5" t="s">
        <v>873</v>
      </c>
      <c r="E20299" s="5" t="str">
        <f t="shared" si="1033"/>
        <v>SISTEMAS-GLOBALTRONIK SAS-SERGIO PATIÑO</v>
      </c>
      <c r="F20299" s="5"/>
      <c r="G20299" s="5"/>
    </row>
    <row r="20300" spans="1:7" ht="58.5" customHeight="1" x14ac:dyDescent="0.25">
      <c r="A20300" s="5" t="str">
        <f>"H0027803"</f>
        <v>H0027803</v>
      </c>
      <c r="B20300" s="5" t="str">
        <f t="shared" si="1034"/>
        <v>LICENCIA DE ANTIVIRUS ESET ENDPOINT POR UN (1) AÑO - RENOVACIÓN</v>
      </c>
      <c r="C20300" s="6">
        <v>25073.3</v>
      </c>
      <c r="D20300" s="5" t="s">
        <v>873</v>
      </c>
      <c r="E20300" s="5" t="str">
        <f t="shared" si="1033"/>
        <v>SISTEMAS-GLOBALTRONIK SAS-SERGIO PATIÑO</v>
      </c>
      <c r="F20300" s="5"/>
      <c r="G20300" s="5"/>
    </row>
    <row r="20301" spans="1:7" ht="58.5" customHeight="1" x14ac:dyDescent="0.25">
      <c r="A20301" s="5" t="str">
        <f>"H0027804"</f>
        <v>H0027804</v>
      </c>
      <c r="B20301" s="5" t="str">
        <f t="shared" si="1034"/>
        <v>LICENCIA DE ANTIVIRUS ESET ENDPOINT POR UN (1) AÑO - RENOVACIÓN</v>
      </c>
      <c r="C20301" s="6">
        <v>25073.3</v>
      </c>
      <c r="D20301" s="5" t="s">
        <v>873</v>
      </c>
      <c r="E20301" s="5" t="str">
        <f t="shared" si="1033"/>
        <v>SISTEMAS-GLOBALTRONIK SAS-SERGIO PATIÑO</v>
      </c>
      <c r="F20301" s="5"/>
      <c r="G20301" s="5"/>
    </row>
    <row r="20302" spans="1:7" ht="58.5" customHeight="1" x14ac:dyDescent="0.25">
      <c r="A20302" s="5" t="str">
        <f>"H0027805"</f>
        <v>H0027805</v>
      </c>
      <c r="B20302" s="5" t="str">
        <f t="shared" si="1034"/>
        <v>LICENCIA DE ANTIVIRUS ESET ENDPOINT POR UN (1) AÑO - RENOVACIÓN</v>
      </c>
      <c r="C20302" s="6">
        <v>25073.3</v>
      </c>
      <c r="D20302" s="5" t="s">
        <v>873</v>
      </c>
      <c r="E20302" s="5" t="str">
        <f t="shared" si="1033"/>
        <v>SISTEMAS-GLOBALTRONIK SAS-SERGIO PATIÑO</v>
      </c>
      <c r="F20302" s="5"/>
      <c r="G20302" s="5"/>
    </row>
    <row r="20303" spans="1:7" ht="58.5" customHeight="1" x14ac:dyDescent="0.25">
      <c r="A20303" s="5" t="str">
        <f>"H0027806"</f>
        <v>H0027806</v>
      </c>
      <c r="B20303" s="5" t="str">
        <f t="shared" si="1034"/>
        <v>LICENCIA DE ANTIVIRUS ESET ENDPOINT POR UN (1) AÑO - RENOVACIÓN</v>
      </c>
      <c r="C20303" s="6">
        <v>25073.3</v>
      </c>
      <c r="D20303" s="5" t="s">
        <v>873</v>
      </c>
      <c r="E20303" s="5" t="str">
        <f t="shared" si="1033"/>
        <v>SISTEMAS-GLOBALTRONIK SAS-SERGIO PATIÑO</v>
      </c>
      <c r="F20303" s="5"/>
      <c r="G20303" s="5"/>
    </row>
    <row r="20304" spans="1:7" ht="58.5" customHeight="1" x14ac:dyDescent="0.25">
      <c r="A20304" s="5" t="str">
        <f>"H0027807"</f>
        <v>H0027807</v>
      </c>
      <c r="B20304" s="5" t="str">
        <f t="shared" si="1034"/>
        <v>LICENCIA DE ANTIVIRUS ESET ENDPOINT POR UN (1) AÑO - RENOVACIÓN</v>
      </c>
      <c r="C20304" s="6">
        <v>25073.3</v>
      </c>
      <c r="D20304" s="5" t="s">
        <v>873</v>
      </c>
      <c r="E20304" s="5" t="str">
        <f t="shared" si="1033"/>
        <v>SISTEMAS-GLOBALTRONIK SAS-SERGIO PATIÑO</v>
      </c>
      <c r="F20304" s="5"/>
      <c r="G20304" s="5"/>
    </row>
    <row r="20305" spans="1:7" ht="58.5" customHeight="1" x14ac:dyDescent="0.25">
      <c r="A20305" s="5" t="str">
        <f>"H0027808"</f>
        <v>H0027808</v>
      </c>
      <c r="B20305" s="5" t="str">
        <f t="shared" si="1034"/>
        <v>LICENCIA DE ANTIVIRUS ESET ENDPOINT POR UN (1) AÑO - RENOVACIÓN</v>
      </c>
      <c r="C20305" s="6">
        <v>25073.3</v>
      </c>
      <c r="D20305" s="5" t="s">
        <v>873</v>
      </c>
      <c r="E20305" s="5" t="str">
        <f t="shared" si="1033"/>
        <v>SISTEMAS-GLOBALTRONIK SAS-SERGIO PATIÑO</v>
      </c>
      <c r="F20305" s="5"/>
      <c r="G20305" s="5"/>
    </row>
    <row r="20306" spans="1:7" ht="58.5" customHeight="1" x14ac:dyDescent="0.25">
      <c r="A20306" s="5" t="str">
        <f>"H0027809"</f>
        <v>H0027809</v>
      </c>
      <c r="B20306" s="5" t="str">
        <f t="shared" si="1034"/>
        <v>LICENCIA DE ANTIVIRUS ESET ENDPOINT POR UN (1) AÑO - RENOVACIÓN</v>
      </c>
      <c r="C20306" s="6">
        <v>25073.3</v>
      </c>
      <c r="D20306" s="5" t="s">
        <v>874</v>
      </c>
      <c r="E20306" s="5" t="str">
        <f t="shared" si="1033"/>
        <v>SISTEMAS-GLOBALTRONIK SAS-SERGIO PATIÑO</v>
      </c>
      <c r="F20306" s="5"/>
      <c r="G20306" s="5"/>
    </row>
    <row r="20307" spans="1:7" ht="58.5" customHeight="1" x14ac:dyDescent="0.25">
      <c r="A20307" s="5" t="str">
        <f>"H0027810"</f>
        <v>H0027810</v>
      </c>
      <c r="B20307" s="5" t="str">
        <f t="shared" si="1034"/>
        <v>LICENCIA DE ANTIVIRUS ESET ENDPOINT POR UN (1) AÑO - RENOVACIÓN</v>
      </c>
      <c r="C20307" s="6">
        <v>25073.3</v>
      </c>
      <c r="D20307" s="5" t="s">
        <v>873</v>
      </c>
      <c r="E20307" s="5" t="str">
        <f t="shared" si="1033"/>
        <v>SISTEMAS-GLOBALTRONIK SAS-SERGIO PATIÑO</v>
      </c>
      <c r="F20307" s="5"/>
      <c r="G20307" s="5"/>
    </row>
    <row r="20308" spans="1:7" ht="58.5" customHeight="1" x14ac:dyDescent="0.25">
      <c r="A20308" s="5" t="str">
        <f>"H0027811"</f>
        <v>H0027811</v>
      </c>
      <c r="B20308" s="5" t="str">
        <f t="shared" si="1034"/>
        <v>LICENCIA DE ANTIVIRUS ESET ENDPOINT POR UN (1) AÑO - RENOVACIÓN</v>
      </c>
      <c r="C20308" s="6">
        <v>25073.3</v>
      </c>
      <c r="D20308" s="5" t="s">
        <v>873</v>
      </c>
      <c r="E20308" s="5" t="str">
        <f t="shared" si="1033"/>
        <v>SISTEMAS-GLOBALTRONIK SAS-SERGIO PATIÑO</v>
      </c>
      <c r="F20308" s="5"/>
      <c r="G20308" s="5"/>
    </row>
    <row r="20309" spans="1:7" ht="58.5" customHeight="1" x14ac:dyDescent="0.25">
      <c r="A20309" s="5" t="str">
        <f>"H0027812"</f>
        <v>H0027812</v>
      </c>
      <c r="B20309" s="5" t="str">
        <f t="shared" si="1034"/>
        <v>LICENCIA DE ANTIVIRUS ESET ENDPOINT POR UN (1) AÑO - RENOVACIÓN</v>
      </c>
      <c r="C20309" s="6">
        <v>25073.3</v>
      </c>
      <c r="D20309" s="5" t="s">
        <v>873</v>
      </c>
      <c r="E20309" s="5" t="str">
        <f t="shared" si="1033"/>
        <v>SISTEMAS-GLOBALTRONIK SAS-SERGIO PATIÑO</v>
      </c>
      <c r="F20309" s="5"/>
      <c r="G20309" s="5"/>
    </row>
    <row r="20310" spans="1:7" ht="58.5" customHeight="1" x14ac:dyDescent="0.25">
      <c r="A20310" s="5" t="str">
        <f>"H0027813"</f>
        <v>H0027813</v>
      </c>
      <c r="B20310" s="5" t="str">
        <f t="shared" si="1034"/>
        <v>LICENCIA DE ANTIVIRUS ESET ENDPOINT POR UN (1) AÑO - RENOVACIÓN</v>
      </c>
      <c r="C20310" s="6">
        <v>25073.3</v>
      </c>
      <c r="D20310" s="5" t="s">
        <v>873</v>
      </c>
      <c r="E20310" s="5" t="str">
        <f t="shared" si="1033"/>
        <v>SISTEMAS-GLOBALTRONIK SAS-SERGIO PATIÑO</v>
      </c>
      <c r="F20310" s="5"/>
      <c r="G20310" s="5"/>
    </row>
    <row r="20311" spans="1:7" ht="58.5" customHeight="1" x14ac:dyDescent="0.25">
      <c r="A20311" s="5" t="str">
        <f>"H0027814"</f>
        <v>H0027814</v>
      </c>
      <c r="B20311" s="5" t="str">
        <f t="shared" si="1034"/>
        <v>LICENCIA DE ANTIVIRUS ESET ENDPOINT POR UN (1) AÑO - RENOVACIÓN</v>
      </c>
      <c r="C20311" s="6">
        <v>25073.3</v>
      </c>
      <c r="D20311" s="5" t="s">
        <v>873</v>
      </c>
      <c r="E20311" s="5" t="str">
        <f t="shared" si="1033"/>
        <v>SISTEMAS-GLOBALTRONIK SAS-SERGIO PATIÑO</v>
      </c>
      <c r="F20311" s="5"/>
      <c r="G20311" s="5"/>
    </row>
    <row r="20312" spans="1:7" ht="58.5" customHeight="1" x14ac:dyDescent="0.25">
      <c r="A20312" s="5" t="str">
        <f>"H0027815"</f>
        <v>H0027815</v>
      </c>
      <c r="B20312" s="5" t="str">
        <f t="shared" si="1034"/>
        <v>LICENCIA DE ANTIVIRUS ESET ENDPOINT POR UN (1) AÑO - RENOVACIÓN</v>
      </c>
      <c r="C20312" s="6">
        <v>25073.3</v>
      </c>
      <c r="D20312" s="5" t="s">
        <v>873</v>
      </c>
      <c r="E20312" s="5" t="str">
        <f t="shared" si="1033"/>
        <v>SISTEMAS-GLOBALTRONIK SAS-SERGIO PATIÑO</v>
      </c>
      <c r="F20312" s="5"/>
      <c r="G20312" s="5"/>
    </row>
    <row r="20313" spans="1:7" ht="58.5" customHeight="1" x14ac:dyDescent="0.25">
      <c r="A20313" s="5" t="str">
        <f>"H0027816"</f>
        <v>H0027816</v>
      </c>
      <c r="B20313" s="5" t="str">
        <f t="shared" si="1034"/>
        <v>LICENCIA DE ANTIVIRUS ESET ENDPOINT POR UN (1) AÑO - RENOVACIÓN</v>
      </c>
      <c r="C20313" s="6">
        <v>25073.3</v>
      </c>
      <c r="D20313" s="5" t="s">
        <v>873</v>
      </c>
      <c r="E20313" s="5" t="str">
        <f t="shared" si="1033"/>
        <v>SISTEMAS-GLOBALTRONIK SAS-SERGIO PATIÑO</v>
      </c>
      <c r="F20313" s="5"/>
      <c r="G20313" s="5"/>
    </row>
    <row r="20314" spans="1:7" ht="58.5" customHeight="1" x14ac:dyDescent="0.25">
      <c r="A20314" s="5" t="str">
        <f>"H0027817"</f>
        <v>H0027817</v>
      </c>
      <c r="B20314" s="5" t="str">
        <f t="shared" si="1034"/>
        <v>LICENCIA DE ANTIVIRUS ESET ENDPOINT POR UN (1) AÑO - RENOVACIÓN</v>
      </c>
      <c r="C20314" s="6">
        <v>25073.3</v>
      </c>
      <c r="D20314" s="5" t="s">
        <v>873</v>
      </c>
      <c r="E20314" s="5" t="str">
        <f t="shared" si="1033"/>
        <v>SISTEMAS-GLOBALTRONIK SAS-SERGIO PATIÑO</v>
      </c>
      <c r="F20314" s="5"/>
      <c r="G20314" s="5"/>
    </row>
    <row r="20315" spans="1:7" ht="58.5" customHeight="1" x14ac:dyDescent="0.25">
      <c r="A20315" s="5" t="str">
        <f>"H0027818"</f>
        <v>H0027818</v>
      </c>
      <c r="B20315" s="5" t="str">
        <f t="shared" si="1034"/>
        <v>LICENCIA DE ANTIVIRUS ESET ENDPOINT POR UN (1) AÑO - RENOVACIÓN</v>
      </c>
      <c r="C20315" s="6">
        <v>25073.3</v>
      </c>
      <c r="D20315" s="5" t="s">
        <v>873</v>
      </c>
      <c r="E20315" s="5" t="str">
        <f t="shared" si="1033"/>
        <v>SISTEMAS-GLOBALTRONIK SAS-SERGIO PATIÑO</v>
      </c>
      <c r="F20315" s="5"/>
      <c r="G20315" s="5"/>
    </row>
    <row r="20316" spans="1:7" ht="58.5" customHeight="1" x14ac:dyDescent="0.25">
      <c r="A20316" s="5" t="str">
        <f>"H0027819"</f>
        <v>H0027819</v>
      </c>
      <c r="B20316" s="5" t="str">
        <f t="shared" si="1034"/>
        <v>LICENCIA DE ANTIVIRUS ESET ENDPOINT POR UN (1) AÑO - RENOVACIÓN</v>
      </c>
      <c r="C20316" s="6">
        <v>25073.3</v>
      </c>
      <c r="D20316" s="5" t="s">
        <v>873</v>
      </c>
      <c r="E20316" s="5" t="str">
        <f t="shared" si="1033"/>
        <v>SISTEMAS-GLOBALTRONIK SAS-SERGIO PATIÑO</v>
      </c>
      <c r="F20316" s="5"/>
      <c r="G20316" s="5"/>
    </row>
    <row r="20317" spans="1:7" ht="58.5" customHeight="1" x14ac:dyDescent="0.25">
      <c r="A20317" s="5" t="str">
        <f>"H0027820"</f>
        <v>H0027820</v>
      </c>
      <c r="B20317" s="5" t="str">
        <f t="shared" si="1034"/>
        <v>LICENCIA DE ANTIVIRUS ESET ENDPOINT POR UN (1) AÑO - RENOVACIÓN</v>
      </c>
      <c r="C20317" s="6">
        <v>25073.3</v>
      </c>
      <c r="D20317" s="5" t="s">
        <v>873</v>
      </c>
      <c r="E20317" s="5" t="str">
        <f t="shared" si="1033"/>
        <v>SISTEMAS-GLOBALTRONIK SAS-SERGIO PATIÑO</v>
      </c>
      <c r="F20317" s="5"/>
      <c r="G20317" s="5"/>
    </row>
    <row r="20318" spans="1:7" ht="58.5" customHeight="1" x14ac:dyDescent="0.25">
      <c r="A20318" s="5" t="str">
        <f>"H0027821"</f>
        <v>H0027821</v>
      </c>
      <c r="B20318" s="5" t="str">
        <f t="shared" si="1034"/>
        <v>LICENCIA DE ANTIVIRUS ESET ENDPOINT POR UN (1) AÑO - RENOVACIÓN</v>
      </c>
      <c r="C20318" s="6">
        <v>25073.3</v>
      </c>
      <c r="D20318" s="5" t="s">
        <v>873</v>
      </c>
      <c r="E20318" s="5" t="str">
        <f t="shared" si="1033"/>
        <v>SISTEMAS-GLOBALTRONIK SAS-SERGIO PATIÑO</v>
      </c>
      <c r="F20318" s="5"/>
      <c r="G20318" s="5"/>
    </row>
    <row r="20319" spans="1:7" ht="58.5" customHeight="1" x14ac:dyDescent="0.25">
      <c r="A20319" s="5" t="str">
        <f>"H0027822"</f>
        <v>H0027822</v>
      </c>
      <c r="B20319" s="5" t="str">
        <f t="shared" si="1034"/>
        <v>LICENCIA DE ANTIVIRUS ESET ENDPOINT POR UN (1) AÑO - RENOVACIÓN</v>
      </c>
      <c r="C20319" s="6">
        <v>25073.3</v>
      </c>
      <c r="D20319" s="5" t="s">
        <v>873</v>
      </c>
      <c r="E20319" s="5" t="str">
        <f t="shared" si="1033"/>
        <v>SISTEMAS-GLOBALTRONIK SAS-SERGIO PATIÑO</v>
      </c>
      <c r="F20319" s="5"/>
      <c r="G20319" s="5"/>
    </row>
    <row r="20320" spans="1:7" ht="58.5" customHeight="1" x14ac:dyDescent="0.25">
      <c r="A20320" s="5" t="str">
        <f>"H0027823"</f>
        <v>H0027823</v>
      </c>
      <c r="B20320" s="5" t="str">
        <f t="shared" si="1034"/>
        <v>LICENCIA DE ANTIVIRUS ESET ENDPOINT POR UN (1) AÑO - RENOVACIÓN</v>
      </c>
      <c r="C20320" s="6">
        <v>25073.3</v>
      </c>
      <c r="D20320" s="5" t="s">
        <v>873</v>
      </c>
      <c r="E20320" s="5" t="str">
        <f t="shared" si="1033"/>
        <v>SISTEMAS-GLOBALTRONIK SAS-SERGIO PATIÑO</v>
      </c>
      <c r="F20320" s="5"/>
      <c r="G20320" s="5"/>
    </row>
    <row r="20321" spans="1:7" ht="58.5" customHeight="1" x14ac:dyDescent="0.25">
      <c r="A20321" s="5" t="str">
        <f>"H0027824"</f>
        <v>H0027824</v>
      </c>
      <c r="B20321" s="5" t="str">
        <f t="shared" si="1034"/>
        <v>LICENCIA DE ANTIVIRUS ESET ENDPOINT POR UN (1) AÑO - RENOVACIÓN</v>
      </c>
      <c r="C20321" s="6">
        <v>25073.3</v>
      </c>
      <c r="D20321" s="5" t="s">
        <v>873</v>
      </c>
      <c r="E20321" s="5" t="str">
        <f t="shared" si="1033"/>
        <v>SISTEMAS-GLOBALTRONIK SAS-SERGIO PATIÑO</v>
      </c>
      <c r="F20321" s="5"/>
      <c r="G20321" s="5"/>
    </row>
    <row r="20322" spans="1:7" ht="58.5" customHeight="1" x14ac:dyDescent="0.25">
      <c r="A20322" s="5" t="str">
        <f>"H0027825"</f>
        <v>H0027825</v>
      </c>
      <c r="B20322" s="5" t="str">
        <f t="shared" si="1034"/>
        <v>LICENCIA DE ANTIVIRUS ESET ENDPOINT POR UN (1) AÑO - RENOVACIÓN</v>
      </c>
      <c r="C20322" s="6">
        <v>25073.3</v>
      </c>
      <c r="D20322" s="5" t="s">
        <v>873</v>
      </c>
      <c r="E20322" s="5" t="str">
        <f t="shared" si="1033"/>
        <v>SISTEMAS-GLOBALTRONIK SAS-SERGIO PATIÑO</v>
      </c>
      <c r="F20322" s="5"/>
      <c r="G20322" s="5"/>
    </row>
    <row r="20323" spans="1:7" ht="58.5" customHeight="1" x14ac:dyDescent="0.25">
      <c r="A20323" s="5" t="str">
        <f>"H0027826"</f>
        <v>H0027826</v>
      </c>
      <c r="B20323" s="5" t="str">
        <f t="shared" si="1034"/>
        <v>LICENCIA DE ANTIVIRUS ESET ENDPOINT POR UN (1) AÑO - RENOVACIÓN</v>
      </c>
      <c r="C20323" s="6">
        <v>25073.3</v>
      </c>
      <c r="D20323" s="5" t="s">
        <v>873</v>
      </c>
      <c r="E20323" s="5" t="str">
        <f t="shared" si="1033"/>
        <v>SISTEMAS-GLOBALTRONIK SAS-SERGIO PATIÑO</v>
      </c>
      <c r="F20323" s="5"/>
      <c r="G20323" s="5"/>
    </row>
    <row r="20324" spans="1:7" ht="58.5" customHeight="1" x14ac:dyDescent="0.25">
      <c r="A20324" s="5" t="str">
        <f>"H0027827"</f>
        <v>H0027827</v>
      </c>
      <c r="B20324" s="5" t="str">
        <f t="shared" si="1034"/>
        <v>LICENCIA DE ANTIVIRUS ESET ENDPOINT POR UN (1) AÑO - RENOVACIÓN</v>
      </c>
      <c r="C20324" s="6">
        <v>25073.3</v>
      </c>
      <c r="D20324" s="5" t="s">
        <v>873</v>
      </c>
      <c r="E20324" s="5" t="str">
        <f t="shared" si="1033"/>
        <v>SISTEMAS-GLOBALTRONIK SAS-SERGIO PATIÑO</v>
      </c>
      <c r="F20324" s="5"/>
      <c r="G20324" s="5"/>
    </row>
    <row r="20325" spans="1:7" ht="58.5" customHeight="1" x14ac:dyDescent="0.25">
      <c r="A20325" s="5" t="str">
        <f>"H0027828"</f>
        <v>H0027828</v>
      </c>
      <c r="B20325" s="5" t="str">
        <f t="shared" si="1034"/>
        <v>LICENCIA DE ANTIVIRUS ESET ENDPOINT POR UN (1) AÑO - RENOVACIÓN</v>
      </c>
      <c r="C20325" s="6">
        <v>25073.3</v>
      </c>
      <c r="D20325" s="5" t="s">
        <v>873</v>
      </c>
      <c r="E20325" s="5" t="str">
        <f t="shared" si="1033"/>
        <v>SISTEMAS-GLOBALTRONIK SAS-SERGIO PATIÑO</v>
      </c>
      <c r="F20325" s="5"/>
      <c r="G20325" s="5"/>
    </row>
    <row r="20326" spans="1:7" ht="58.5" customHeight="1" x14ac:dyDescent="0.25">
      <c r="A20326" s="5" t="str">
        <f>"H0027829"</f>
        <v>H0027829</v>
      </c>
      <c r="B20326" s="5" t="str">
        <f t="shared" si="1034"/>
        <v>LICENCIA DE ANTIVIRUS ESET ENDPOINT POR UN (1) AÑO - RENOVACIÓN</v>
      </c>
      <c r="C20326" s="6">
        <v>25073.3</v>
      </c>
      <c r="D20326" s="5" t="s">
        <v>873</v>
      </c>
      <c r="E20326" s="5" t="str">
        <f t="shared" si="1033"/>
        <v>SISTEMAS-GLOBALTRONIK SAS-SERGIO PATIÑO</v>
      </c>
      <c r="F20326" s="5"/>
      <c r="G20326" s="5"/>
    </row>
    <row r="20327" spans="1:7" ht="58.5" customHeight="1" x14ac:dyDescent="0.25">
      <c r="A20327" s="5" t="str">
        <f>"H0027830"</f>
        <v>H0027830</v>
      </c>
      <c r="B20327" s="5" t="str">
        <f t="shared" si="1034"/>
        <v>LICENCIA DE ANTIVIRUS ESET ENDPOINT POR UN (1) AÑO - RENOVACIÓN</v>
      </c>
      <c r="C20327" s="6">
        <v>25073.3</v>
      </c>
      <c r="D20327" s="5" t="s">
        <v>873</v>
      </c>
      <c r="E20327" s="5" t="str">
        <f t="shared" si="1033"/>
        <v>SISTEMAS-GLOBALTRONIK SAS-SERGIO PATIÑO</v>
      </c>
      <c r="F20327" s="5"/>
      <c r="G20327" s="5"/>
    </row>
    <row r="20328" spans="1:7" ht="58.5" customHeight="1" x14ac:dyDescent="0.25">
      <c r="A20328" s="5" t="str">
        <f>"H0027831"</f>
        <v>H0027831</v>
      </c>
      <c r="B20328" s="5" t="str">
        <f t="shared" si="1034"/>
        <v>LICENCIA DE ANTIVIRUS ESET ENDPOINT POR UN (1) AÑO - RENOVACIÓN</v>
      </c>
      <c r="C20328" s="6">
        <v>25073.3</v>
      </c>
      <c r="D20328" s="5" t="s">
        <v>873</v>
      </c>
      <c r="E20328" s="5" t="str">
        <f t="shared" si="1033"/>
        <v>SISTEMAS-GLOBALTRONIK SAS-SERGIO PATIÑO</v>
      </c>
      <c r="F20328" s="5"/>
      <c r="G20328" s="5"/>
    </row>
    <row r="20329" spans="1:7" ht="58.5" customHeight="1" x14ac:dyDescent="0.25">
      <c r="A20329" s="5" t="str">
        <f>"H0027832"</f>
        <v>H0027832</v>
      </c>
      <c r="B20329" s="5" t="str">
        <f t="shared" si="1034"/>
        <v>LICENCIA DE ANTIVIRUS ESET ENDPOINT POR UN (1) AÑO - RENOVACIÓN</v>
      </c>
      <c r="C20329" s="6">
        <v>25073.3</v>
      </c>
      <c r="D20329" s="5" t="s">
        <v>873</v>
      </c>
      <c r="E20329" s="5" t="str">
        <f t="shared" si="1033"/>
        <v>SISTEMAS-GLOBALTRONIK SAS-SERGIO PATIÑO</v>
      </c>
      <c r="F20329" s="5"/>
      <c r="G20329" s="5"/>
    </row>
    <row r="20330" spans="1:7" ht="58.5" customHeight="1" x14ac:dyDescent="0.25">
      <c r="A20330" s="5" t="str">
        <f>"H0027833"</f>
        <v>H0027833</v>
      </c>
      <c r="B20330" s="5" t="str">
        <f t="shared" si="1034"/>
        <v>LICENCIA DE ANTIVIRUS ESET ENDPOINT POR UN (1) AÑO - RENOVACIÓN</v>
      </c>
      <c r="C20330" s="6">
        <v>25073.3</v>
      </c>
      <c r="D20330" s="5" t="s">
        <v>873</v>
      </c>
      <c r="E20330" s="5" t="str">
        <f t="shared" si="1033"/>
        <v>SISTEMAS-GLOBALTRONIK SAS-SERGIO PATIÑO</v>
      </c>
      <c r="F20330" s="5"/>
      <c r="G20330" s="5"/>
    </row>
    <row r="20331" spans="1:7" ht="58.5" customHeight="1" x14ac:dyDescent="0.25">
      <c r="A20331" s="5" t="str">
        <f>"H0027834"</f>
        <v>H0027834</v>
      </c>
      <c r="B20331" s="5" t="str">
        <f t="shared" si="1034"/>
        <v>LICENCIA DE ANTIVIRUS ESET ENDPOINT POR UN (1) AÑO - RENOVACIÓN</v>
      </c>
      <c r="C20331" s="6">
        <v>25073.3</v>
      </c>
      <c r="D20331" s="5" t="s">
        <v>873</v>
      </c>
      <c r="E20331" s="5" t="str">
        <f t="shared" si="1033"/>
        <v>SISTEMAS-GLOBALTRONIK SAS-SERGIO PATIÑO</v>
      </c>
      <c r="F20331" s="5"/>
      <c r="G20331" s="5"/>
    </row>
    <row r="20332" spans="1:7" ht="58.5" customHeight="1" x14ac:dyDescent="0.25">
      <c r="A20332" s="5" t="str">
        <f>"H0027835"</f>
        <v>H0027835</v>
      </c>
      <c r="B20332" s="5" t="str">
        <f t="shared" si="1034"/>
        <v>LICENCIA DE ANTIVIRUS ESET ENDPOINT POR UN (1) AÑO - RENOVACIÓN</v>
      </c>
      <c r="C20332" s="6">
        <v>25073.3</v>
      </c>
      <c r="D20332" s="5" t="s">
        <v>873</v>
      </c>
      <c r="E20332" s="5" t="str">
        <f t="shared" si="1033"/>
        <v>SISTEMAS-GLOBALTRONIK SAS-SERGIO PATIÑO</v>
      </c>
      <c r="F20332" s="5"/>
      <c r="G20332" s="5"/>
    </row>
    <row r="20333" spans="1:7" ht="58.5" customHeight="1" x14ac:dyDescent="0.25">
      <c r="A20333" s="5" t="str">
        <f>"H0027836"</f>
        <v>H0027836</v>
      </c>
      <c r="B20333" s="5" t="str">
        <f t="shared" si="1034"/>
        <v>LICENCIA DE ANTIVIRUS ESET ENDPOINT POR UN (1) AÑO - RENOVACIÓN</v>
      </c>
      <c r="C20333" s="6">
        <v>25073.3</v>
      </c>
      <c r="D20333" s="5" t="s">
        <v>873</v>
      </c>
      <c r="E20333" s="5" t="str">
        <f t="shared" si="1033"/>
        <v>SISTEMAS-GLOBALTRONIK SAS-SERGIO PATIÑO</v>
      </c>
      <c r="F20333" s="5"/>
      <c r="G20333" s="5"/>
    </row>
    <row r="20334" spans="1:7" ht="58.5" customHeight="1" x14ac:dyDescent="0.25">
      <c r="A20334" s="5" t="str">
        <f>"H0027837"</f>
        <v>H0027837</v>
      </c>
      <c r="B20334" s="5" t="str">
        <f t="shared" si="1034"/>
        <v>LICENCIA DE ANTIVIRUS ESET ENDPOINT POR UN (1) AÑO - RENOVACIÓN</v>
      </c>
      <c r="C20334" s="6">
        <v>25073.3</v>
      </c>
      <c r="D20334" s="5" t="s">
        <v>873</v>
      </c>
      <c r="E20334" s="5" t="str">
        <f t="shared" si="1033"/>
        <v>SISTEMAS-GLOBALTRONIK SAS-SERGIO PATIÑO</v>
      </c>
      <c r="F20334" s="5"/>
      <c r="G20334" s="5"/>
    </row>
    <row r="20335" spans="1:7" ht="58.5" customHeight="1" x14ac:dyDescent="0.25">
      <c r="A20335" s="5" t="str">
        <f>"H0027838"</f>
        <v>H0027838</v>
      </c>
      <c r="B20335" s="5" t="str">
        <f t="shared" si="1034"/>
        <v>LICENCIA DE ANTIVIRUS ESET ENDPOINT POR UN (1) AÑO - RENOVACIÓN</v>
      </c>
      <c r="C20335" s="6">
        <v>25073.3</v>
      </c>
      <c r="D20335" s="5" t="s">
        <v>873</v>
      </c>
      <c r="E20335" s="5" t="str">
        <f t="shared" si="1033"/>
        <v>SISTEMAS-GLOBALTRONIK SAS-SERGIO PATIÑO</v>
      </c>
      <c r="F20335" s="5"/>
      <c r="G20335" s="5"/>
    </row>
    <row r="20336" spans="1:7" ht="58.5" customHeight="1" x14ac:dyDescent="0.25">
      <c r="A20336" s="5" t="str">
        <f>"H0027839"</f>
        <v>H0027839</v>
      </c>
      <c r="B20336" s="5" t="str">
        <f t="shared" si="1034"/>
        <v>LICENCIA DE ANTIVIRUS ESET ENDPOINT POR UN (1) AÑO - RENOVACIÓN</v>
      </c>
      <c r="C20336" s="6">
        <v>25073.3</v>
      </c>
      <c r="D20336" s="5" t="s">
        <v>873</v>
      </c>
      <c r="E20336" s="5" t="str">
        <f t="shared" si="1033"/>
        <v>SISTEMAS-GLOBALTRONIK SAS-SERGIO PATIÑO</v>
      </c>
      <c r="F20336" s="5"/>
      <c r="G20336" s="5"/>
    </row>
    <row r="20337" spans="1:7" ht="58.5" customHeight="1" x14ac:dyDescent="0.25">
      <c r="A20337" s="5" t="str">
        <f>"H0027840"</f>
        <v>H0027840</v>
      </c>
      <c r="B20337" s="5" t="str">
        <f t="shared" si="1034"/>
        <v>LICENCIA DE ANTIVIRUS ESET ENDPOINT POR UN (1) AÑO - RENOVACIÓN</v>
      </c>
      <c r="C20337" s="6">
        <v>25073.3</v>
      </c>
      <c r="D20337" s="5" t="s">
        <v>873</v>
      </c>
      <c r="E20337" s="5" t="str">
        <f t="shared" si="1033"/>
        <v>SISTEMAS-GLOBALTRONIK SAS-SERGIO PATIÑO</v>
      </c>
      <c r="F20337" s="5"/>
      <c r="G20337" s="5"/>
    </row>
    <row r="20338" spans="1:7" ht="58.5" customHeight="1" x14ac:dyDescent="0.25">
      <c r="A20338" s="5" t="str">
        <f>"H0027841"</f>
        <v>H0027841</v>
      </c>
      <c r="B20338" s="5" t="str">
        <f t="shared" si="1034"/>
        <v>LICENCIA DE ANTIVIRUS ESET ENDPOINT POR UN (1) AÑO - RENOVACIÓN</v>
      </c>
      <c r="C20338" s="6">
        <v>25073.3</v>
      </c>
      <c r="D20338" s="5" t="s">
        <v>873</v>
      </c>
      <c r="E20338" s="5" t="str">
        <f t="shared" si="1033"/>
        <v>SISTEMAS-GLOBALTRONIK SAS-SERGIO PATIÑO</v>
      </c>
      <c r="F20338" s="5"/>
      <c r="G20338" s="5"/>
    </row>
    <row r="20339" spans="1:7" ht="58.5" customHeight="1" x14ac:dyDescent="0.25">
      <c r="A20339" s="5" t="str">
        <f>"H0027842"</f>
        <v>H0027842</v>
      </c>
      <c r="B20339" s="5" t="str">
        <f t="shared" si="1034"/>
        <v>LICENCIA DE ANTIVIRUS ESET ENDPOINT POR UN (1) AÑO - RENOVACIÓN</v>
      </c>
      <c r="C20339" s="6">
        <v>25073.3</v>
      </c>
      <c r="D20339" s="5" t="s">
        <v>873</v>
      </c>
      <c r="E20339" s="5" t="str">
        <f t="shared" si="1033"/>
        <v>SISTEMAS-GLOBALTRONIK SAS-SERGIO PATIÑO</v>
      </c>
      <c r="F20339" s="5"/>
      <c r="G20339" s="5"/>
    </row>
    <row r="20340" spans="1:7" ht="58.5" customHeight="1" x14ac:dyDescent="0.25">
      <c r="A20340" s="5" t="str">
        <f>"H0027843"</f>
        <v>H0027843</v>
      </c>
      <c r="B20340" s="5" t="str">
        <f t="shared" si="1034"/>
        <v>LICENCIA DE ANTIVIRUS ESET ENDPOINT POR UN (1) AÑO - RENOVACIÓN</v>
      </c>
      <c r="C20340" s="6">
        <v>25073.3</v>
      </c>
      <c r="D20340" s="5" t="s">
        <v>873</v>
      </c>
      <c r="E20340" s="5" t="str">
        <f t="shared" si="1033"/>
        <v>SISTEMAS-GLOBALTRONIK SAS-SERGIO PATIÑO</v>
      </c>
      <c r="F20340" s="5"/>
      <c r="G20340" s="5"/>
    </row>
    <row r="20341" spans="1:7" ht="58.5" customHeight="1" x14ac:dyDescent="0.25">
      <c r="A20341" s="5" t="str">
        <f>"H0027844"</f>
        <v>H0027844</v>
      </c>
      <c r="B20341" s="5" t="str">
        <f t="shared" si="1034"/>
        <v>LICENCIA DE ANTIVIRUS ESET ENDPOINT POR UN (1) AÑO - RENOVACIÓN</v>
      </c>
      <c r="C20341" s="6">
        <v>25073.3</v>
      </c>
      <c r="D20341" s="5" t="s">
        <v>875</v>
      </c>
      <c r="E20341" s="5" t="str">
        <f t="shared" si="1033"/>
        <v>SISTEMAS-GLOBALTRONIK SAS-SERGIO PATIÑO</v>
      </c>
      <c r="F20341" s="5"/>
      <c r="G20341" s="5"/>
    </row>
    <row r="20342" spans="1:7" ht="58.5" customHeight="1" x14ac:dyDescent="0.25">
      <c r="A20342" s="5" t="str">
        <f>"H0027845"</f>
        <v>H0027845</v>
      </c>
      <c r="B20342" s="5" t="str">
        <f t="shared" si="1034"/>
        <v>LICENCIA DE ANTIVIRUS ESET ENDPOINT POR UN (1) AÑO - RENOVACIÓN</v>
      </c>
      <c r="C20342" s="6">
        <v>25073.3</v>
      </c>
      <c r="D20342" s="5" t="s">
        <v>873</v>
      </c>
      <c r="E20342" s="5" t="str">
        <f t="shared" si="1033"/>
        <v>SISTEMAS-GLOBALTRONIK SAS-SERGIO PATIÑO</v>
      </c>
      <c r="F20342" s="5"/>
      <c r="G20342" s="5"/>
    </row>
    <row r="20343" spans="1:7" ht="58.5" customHeight="1" x14ac:dyDescent="0.25">
      <c r="A20343" s="5" t="str">
        <f>"H0027846"</f>
        <v>H0027846</v>
      </c>
      <c r="B20343" s="5" t="str">
        <f t="shared" si="1034"/>
        <v>LICENCIA DE ANTIVIRUS ESET ENDPOINT POR UN (1) AÑO - RENOVACIÓN</v>
      </c>
      <c r="C20343" s="6">
        <v>25073.3</v>
      </c>
      <c r="D20343" s="5" t="s">
        <v>873</v>
      </c>
      <c r="E20343" s="5" t="str">
        <f t="shared" si="1033"/>
        <v>SISTEMAS-GLOBALTRONIK SAS-SERGIO PATIÑO</v>
      </c>
      <c r="F20343" s="5"/>
      <c r="G20343" s="5"/>
    </row>
    <row r="20344" spans="1:7" ht="58.5" customHeight="1" x14ac:dyDescent="0.25">
      <c r="A20344" s="5" t="str">
        <f>"H0027847"</f>
        <v>H0027847</v>
      </c>
      <c r="B20344" s="5" t="str">
        <f t="shared" si="1034"/>
        <v>LICENCIA DE ANTIVIRUS ESET ENDPOINT POR UN (1) AÑO - RENOVACIÓN</v>
      </c>
      <c r="C20344" s="6">
        <v>25073.3</v>
      </c>
      <c r="D20344" s="5" t="s">
        <v>873</v>
      </c>
      <c r="E20344" s="5" t="str">
        <f t="shared" si="1033"/>
        <v>SISTEMAS-GLOBALTRONIK SAS-SERGIO PATIÑO</v>
      </c>
      <c r="F20344" s="5"/>
      <c r="G20344" s="5"/>
    </row>
    <row r="20345" spans="1:7" ht="58.5" customHeight="1" x14ac:dyDescent="0.25">
      <c r="A20345" s="5" t="str">
        <f>"H0027848"</f>
        <v>H0027848</v>
      </c>
      <c r="B20345" s="5" t="str">
        <f t="shared" si="1034"/>
        <v>LICENCIA DE ANTIVIRUS ESET ENDPOINT POR UN (1) AÑO - RENOVACIÓN</v>
      </c>
      <c r="C20345" s="6">
        <v>25073.3</v>
      </c>
      <c r="D20345" s="5" t="s">
        <v>873</v>
      </c>
      <c r="E20345" s="5" t="str">
        <f t="shared" si="1033"/>
        <v>SISTEMAS-GLOBALTRONIK SAS-SERGIO PATIÑO</v>
      </c>
      <c r="F20345" s="5"/>
      <c r="G20345" s="5"/>
    </row>
    <row r="20346" spans="1:7" ht="58.5" customHeight="1" x14ac:dyDescent="0.25">
      <c r="A20346" s="5" t="str">
        <f>"H0027849"</f>
        <v>H0027849</v>
      </c>
      <c r="B20346" s="5" t="str">
        <f t="shared" si="1034"/>
        <v>LICENCIA DE ANTIVIRUS ESET ENDPOINT POR UN (1) AÑO - RENOVACIÓN</v>
      </c>
      <c r="C20346" s="6">
        <v>25073.3</v>
      </c>
      <c r="D20346" s="5" t="s">
        <v>873</v>
      </c>
      <c r="E20346" s="5" t="str">
        <f t="shared" si="1033"/>
        <v>SISTEMAS-GLOBALTRONIK SAS-SERGIO PATIÑO</v>
      </c>
      <c r="F20346" s="5"/>
      <c r="G20346" s="5"/>
    </row>
    <row r="20347" spans="1:7" ht="58.5" customHeight="1" x14ac:dyDescent="0.25">
      <c r="A20347" s="5" t="str">
        <f>"H0027850"</f>
        <v>H0027850</v>
      </c>
      <c r="B20347" s="5" t="str">
        <f t="shared" si="1034"/>
        <v>LICENCIA DE ANTIVIRUS ESET ENDPOINT POR UN (1) AÑO - RENOVACIÓN</v>
      </c>
      <c r="C20347" s="6">
        <v>25073.3</v>
      </c>
      <c r="D20347" s="5" t="s">
        <v>873</v>
      </c>
      <c r="E20347" s="5" t="str">
        <f t="shared" si="1033"/>
        <v>SISTEMAS-GLOBALTRONIK SAS-SERGIO PATIÑO</v>
      </c>
      <c r="F20347" s="5"/>
      <c r="G20347" s="5"/>
    </row>
    <row r="20348" spans="1:7" ht="58.5" customHeight="1" x14ac:dyDescent="0.25">
      <c r="A20348" s="5" t="str">
        <f>"H0027851"</f>
        <v>H0027851</v>
      </c>
      <c r="B20348" s="5" t="str">
        <f t="shared" si="1034"/>
        <v>LICENCIA DE ANTIVIRUS ESET ENDPOINT POR UN (1) AÑO - RENOVACIÓN</v>
      </c>
      <c r="C20348" s="6">
        <v>25073.3</v>
      </c>
      <c r="D20348" s="5" t="s">
        <v>873</v>
      </c>
      <c r="E20348" s="5" t="str">
        <f t="shared" si="1033"/>
        <v>SISTEMAS-GLOBALTRONIK SAS-SERGIO PATIÑO</v>
      </c>
      <c r="F20348" s="5"/>
      <c r="G20348" s="5"/>
    </row>
    <row r="20349" spans="1:7" ht="58.5" customHeight="1" x14ac:dyDescent="0.25">
      <c r="A20349" s="5" t="str">
        <f>"H0027852"</f>
        <v>H0027852</v>
      </c>
      <c r="B20349" s="5" t="str">
        <f t="shared" si="1034"/>
        <v>LICENCIA DE ANTIVIRUS ESET ENDPOINT POR UN (1) AÑO - RENOVACIÓN</v>
      </c>
      <c r="C20349" s="6">
        <v>25073.3</v>
      </c>
      <c r="D20349" s="5" t="s">
        <v>875</v>
      </c>
      <c r="E20349" s="5" t="str">
        <f t="shared" ref="E20349:E20412" si="1035">"SISTEMAS-GLOBALTRONIK SAS-SERGIO PATIÑO"</f>
        <v>SISTEMAS-GLOBALTRONIK SAS-SERGIO PATIÑO</v>
      </c>
      <c r="F20349" s="5"/>
      <c r="G20349" s="5"/>
    </row>
    <row r="20350" spans="1:7" ht="58.5" customHeight="1" x14ac:dyDescent="0.25">
      <c r="A20350" s="5" t="str">
        <f>"H0027853"</f>
        <v>H0027853</v>
      </c>
      <c r="B20350" s="5" t="str">
        <f t="shared" si="1034"/>
        <v>LICENCIA DE ANTIVIRUS ESET ENDPOINT POR UN (1) AÑO - RENOVACIÓN</v>
      </c>
      <c r="C20350" s="6">
        <v>25073.3</v>
      </c>
      <c r="D20350" s="5" t="s">
        <v>873</v>
      </c>
      <c r="E20350" s="5" t="str">
        <f t="shared" si="1035"/>
        <v>SISTEMAS-GLOBALTRONIK SAS-SERGIO PATIÑO</v>
      </c>
      <c r="F20350" s="5"/>
      <c r="G20350" s="5"/>
    </row>
    <row r="20351" spans="1:7" ht="58.5" customHeight="1" x14ac:dyDescent="0.25">
      <c r="A20351" s="5" t="str">
        <f>"H0027854"</f>
        <v>H0027854</v>
      </c>
      <c r="B20351" s="5" t="str">
        <f t="shared" si="1034"/>
        <v>LICENCIA DE ANTIVIRUS ESET ENDPOINT POR UN (1) AÑO - RENOVACIÓN</v>
      </c>
      <c r="C20351" s="6">
        <v>25073.3</v>
      </c>
      <c r="D20351" s="5" t="s">
        <v>873</v>
      </c>
      <c r="E20351" s="5" t="str">
        <f t="shared" si="1035"/>
        <v>SISTEMAS-GLOBALTRONIK SAS-SERGIO PATIÑO</v>
      </c>
      <c r="F20351" s="5"/>
      <c r="G20351" s="5"/>
    </row>
    <row r="20352" spans="1:7" ht="58.5" customHeight="1" x14ac:dyDescent="0.25">
      <c r="A20352" s="5" t="str">
        <f>"H0027855"</f>
        <v>H0027855</v>
      </c>
      <c r="B20352" s="5" t="str">
        <f t="shared" si="1034"/>
        <v>LICENCIA DE ANTIVIRUS ESET ENDPOINT POR UN (1) AÑO - RENOVACIÓN</v>
      </c>
      <c r="C20352" s="6">
        <v>25073.3</v>
      </c>
      <c r="D20352" s="5" t="s">
        <v>873</v>
      </c>
      <c r="E20352" s="5" t="str">
        <f t="shared" si="1035"/>
        <v>SISTEMAS-GLOBALTRONIK SAS-SERGIO PATIÑO</v>
      </c>
      <c r="F20352" s="5"/>
      <c r="G20352" s="5"/>
    </row>
    <row r="20353" spans="1:7" ht="58.5" customHeight="1" x14ac:dyDescent="0.25">
      <c r="A20353" s="5" t="str">
        <f>"H0027856"</f>
        <v>H0027856</v>
      </c>
      <c r="B20353" s="5" t="str">
        <f t="shared" si="1034"/>
        <v>LICENCIA DE ANTIVIRUS ESET ENDPOINT POR UN (1) AÑO - RENOVACIÓN</v>
      </c>
      <c r="C20353" s="6">
        <v>25073.3</v>
      </c>
      <c r="D20353" s="5" t="s">
        <v>873</v>
      </c>
      <c r="E20353" s="5" t="str">
        <f t="shared" si="1035"/>
        <v>SISTEMAS-GLOBALTRONIK SAS-SERGIO PATIÑO</v>
      </c>
      <c r="F20353" s="5"/>
      <c r="G20353" s="5"/>
    </row>
    <row r="20354" spans="1:7" ht="58.5" customHeight="1" x14ac:dyDescent="0.25">
      <c r="A20354" s="5" t="str">
        <f>"H0027857"</f>
        <v>H0027857</v>
      </c>
      <c r="B20354" s="5" t="str">
        <f t="shared" si="1034"/>
        <v>LICENCIA DE ANTIVIRUS ESET ENDPOINT POR UN (1) AÑO - RENOVACIÓN</v>
      </c>
      <c r="C20354" s="6">
        <v>25073.3</v>
      </c>
      <c r="D20354" s="5" t="s">
        <v>873</v>
      </c>
      <c r="E20354" s="5" t="str">
        <f t="shared" si="1035"/>
        <v>SISTEMAS-GLOBALTRONIK SAS-SERGIO PATIÑO</v>
      </c>
      <c r="F20354" s="5"/>
      <c r="G20354" s="5"/>
    </row>
    <row r="20355" spans="1:7" ht="58.5" customHeight="1" x14ac:dyDescent="0.25">
      <c r="A20355" s="5" t="str">
        <f>"H0027858"</f>
        <v>H0027858</v>
      </c>
      <c r="B20355" s="5" t="str">
        <f t="shared" ref="B20355:B20418" si="1036">"LICENCIA DE ANTIVIRUS ESET ENDPOINT POR UN (1) AÑO - RENOVACIÓN"</f>
        <v>LICENCIA DE ANTIVIRUS ESET ENDPOINT POR UN (1) AÑO - RENOVACIÓN</v>
      </c>
      <c r="C20355" s="6">
        <v>25073.3</v>
      </c>
      <c r="D20355" s="5" t="s">
        <v>873</v>
      </c>
      <c r="E20355" s="5" t="str">
        <f t="shared" si="1035"/>
        <v>SISTEMAS-GLOBALTRONIK SAS-SERGIO PATIÑO</v>
      </c>
      <c r="F20355" s="5"/>
      <c r="G20355" s="5"/>
    </row>
    <row r="20356" spans="1:7" ht="58.5" customHeight="1" x14ac:dyDescent="0.25">
      <c r="A20356" s="5" t="str">
        <f>"H0027859"</f>
        <v>H0027859</v>
      </c>
      <c r="B20356" s="5" t="str">
        <f t="shared" si="1036"/>
        <v>LICENCIA DE ANTIVIRUS ESET ENDPOINT POR UN (1) AÑO - RENOVACIÓN</v>
      </c>
      <c r="C20356" s="6">
        <v>25073.3</v>
      </c>
      <c r="D20356" s="5" t="s">
        <v>873</v>
      </c>
      <c r="E20356" s="5" t="str">
        <f t="shared" si="1035"/>
        <v>SISTEMAS-GLOBALTRONIK SAS-SERGIO PATIÑO</v>
      </c>
      <c r="F20356" s="5"/>
      <c r="G20356" s="5"/>
    </row>
    <row r="20357" spans="1:7" ht="58.5" customHeight="1" x14ac:dyDescent="0.25">
      <c r="A20357" s="5" t="str">
        <f>"H0027860"</f>
        <v>H0027860</v>
      </c>
      <c r="B20357" s="5" t="str">
        <f t="shared" si="1036"/>
        <v>LICENCIA DE ANTIVIRUS ESET ENDPOINT POR UN (1) AÑO - RENOVACIÓN</v>
      </c>
      <c r="C20357" s="6">
        <v>25073.3</v>
      </c>
      <c r="D20357" s="5" t="s">
        <v>873</v>
      </c>
      <c r="E20357" s="5" t="str">
        <f t="shared" si="1035"/>
        <v>SISTEMAS-GLOBALTRONIK SAS-SERGIO PATIÑO</v>
      </c>
      <c r="F20357" s="5"/>
      <c r="G20357" s="5"/>
    </row>
    <row r="20358" spans="1:7" ht="58.5" customHeight="1" x14ac:dyDescent="0.25">
      <c r="A20358" s="5" t="str">
        <f>"H0027861"</f>
        <v>H0027861</v>
      </c>
      <c r="B20358" s="5" t="str">
        <f t="shared" si="1036"/>
        <v>LICENCIA DE ANTIVIRUS ESET ENDPOINT POR UN (1) AÑO - RENOVACIÓN</v>
      </c>
      <c r="C20358" s="6">
        <v>25073.3</v>
      </c>
      <c r="D20358" s="5" t="s">
        <v>873</v>
      </c>
      <c r="E20358" s="5" t="str">
        <f t="shared" si="1035"/>
        <v>SISTEMAS-GLOBALTRONIK SAS-SERGIO PATIÑO</v>
      </c>
      <c r="F20358" s="5"/>
      <c r="G20358" s="5"/>
    </row>
    <row r="20359" spans="1:7" ht="58.5" customHeight="1" x14ac:dyDescent="0.25">
      <c r="A20359" s="5" t="str">
        <f>"H0027862"</f>
        <v>H0027862</v>
      </c>
      <c r="B20359" s="5" t="str">
        <f t="shared" si="1036"/>
        <v>LICENCIA DE ANTIVIRUS ESET ENDPOINT POR UN (1) AÑO - RENOVACIÓN</v>
      </c>
      <c r="C20359" s="6">
        <v>25073.3</v>
      </c>
      <c r="D20359" s="5" t="s">
        <v>873</v>
      </c>
      <c r="E20359" s="5" t="str">
        <f t="shared" si="1035"/>
        <v>SISTEMAS-GLOBALTRONIK SAS-SERGIO PATIÑO</v>
      </c>
      <c r="F20359" s="5"/>
      <c r="G20359" s="5"/>
    </row>
    <row r="20360" spans="1:7" ht="58.5" customHeight="1" x14ac:dyDescent="0.25">
      <c r="A20360" s="5" t="str">
        <f>"H0027863"</f>
        <v>H0027863</v>
      </c>
      <c r="B20360" s="5" t="str">
        <f t="shared" si="1036"/>
        <v>LICENCIA DE ANTIVIRUS ESET ENDPOINT POR UN (1) AÑO - RENOVACIÓN</v>
      </c>
      <c r="C20360" s="6">
        <v>25073.3</v>
      </c>
      <c r="D20360" s="5" t="s">
        <v>873</v>
      </c>
      <c r="E20360" s="5" t="str">
        <f t="shared" si="1035"/>
        <v>SISTEMAS-GLOBALTRONIK SAS-SERGIO PATIÑO</v>
      </c>
      <c r="F20360" s="5"/>
      <c r="G20360" s="5"/>
    </row>
    <row r="20361" spans="1:7" ht="58.5" customHeight="1" x14ac:dyDescent="0.25">
      <c r="A20361" s="5" t="str">
        <f>"H0027864"</f>
        <v>H0027864</v>
      </c>
      <c r="B20361" s="5" t="str">
        <f t="shared" si="1036"/>
        <v>LICENCIA DE ANTIVIRUS ESET ENDPOINT POR UN (1) AÑO - RENOVACIÓN</v>
      </c>
      <c r="C20361" s="6">
        <v>25073.3</v>
      </c>
      <c r="D20361" s="5" t="s">
        <v>873</v>
      </c>
      <c r="E20361" s="5" t="str">
        <f t="shared" si="1035"/>
        <v>SISTEMAS-GLOBALTRONIK SAS-SERGIO PATIÑO</v>
      </c>
      <c r="F20361" s="5"/>
      <c r="G20361" s="5"/>
    </row>
    <row r="20362" spans="1:7" ht="58.5" customHeight="1" x14ac:dyDescent="0.25">
      <c r="A20362" s="5" t="str">
        <f>"H0027865"</f>
        <v>H0027865</v>
      </c>
      <c r="B20362" s="5" t="str">
        <f t="shared" si="1036"/>
        <v>LICENCIA DE ANTIVIRUS ESET ENDPOINT POR UN (1) AÑO - RENOVACIÓN</v>
      </c>
      <c r="C20362" s="6">
        <v>25073.3</v>
      </c>
      <c r="D20362" s="5" t="s">
        <v>873</v>
      </c>
      <c r="E20362" s="5" t="str">
        <f t="shared" si="1035"/>
        <v>SISTEMAS-GLOBALTRONIK SAS-SERGIO PATIÑO</v>
      </c>
      <c r="F20362" s="5"/>
      <c r="G20362" s="5"/>
    </row>
    <row r="20363" spans="1:7" ht="58.5" customHeight="1" x14ac:dyDescent="0.25">
      <c r="A20363" s="5" t="str">
        <f>"H0027866"</f>
        <v>H0027866</v>
      </c>
      <c r="B20363" s="5" t="str">
        <f t="shared" si="1036"/>
        <v>LICENCIA DE ANTIVIRUS ESET ENDPOINT POR UN (1) AÑO - RENOVACIÓN</v>
      </c>
      <c r="C20363" s="6">
        <v>25073.3</v>
      </c>
      <c r="D20363" s="5" t="s">
        <v>873</v>
      </c>
      <c r="E20363" s="5" t="str">
        <f t="shared" si="1035"/>
        <v>SISTEMAS-GLOBALTRONIK SAS-SERGIO PATIÑO</v>
      </c>
      <c r="F20363" s="5"/>
      <c r="G20363" s="5"/>
    </row>
    <row r="20364" spans="1:7" ht="58.5" customHeight="1" x14ac:dyDescent="0.25">
      <c r="A20364" s="5" t="str">
        <f>"H0027867"</f>
        <v>H0027867</v>
      </c>
      <c r="B20364" s="5" t="str">
        <f t="shared" si="1036"/>
        <v>LICENCIA DE ANTIVIRUS ESET ENDPOINT POR UN (1) AÑO - RENOVACIÓN</v>
      </c>
      <c r="C20364" s="6">
        <v>25073.3</v>
      </c>
      <c r="D20364" s="5" t="s">
        <v>873</v>
      </c>
      <c r="E20364" s="5" t="str">
        <f t="shared" si="1035"/>
        <v>SISTEMAS-GLOBALTRONIK SAS-SERGIO PATIÑO</v>
      </c>
      <c r="F20364" s="5"/>
      <c r="G20364" s="5"/>
    </row>
    <row r="20365" spans="1:7" ht="58.5" customHeight="1" x14ac:dyDescent="0.25">
      <c r="A20365" s="5" t="str">
        <f>"H0027868"</f>
        <v>H0027868</v>
      </c>
      <c r="B20365" s="5" t="str">
        <f t="shared" si="1036"/>
        <v>LICENCIA DE ANTIVIRUS ESET ENDPOINT POR UN (1) AÑO - RENOVACIÓN</v>
      </c>
      <c r="C20365" s="6">
        <v>25073.3</v>
      </c>
      <c r="D20365" s="5" t="s">
        <v>873</v>
      </c>
      <c r="E20365" s="5" t="str">
        <f t="shared" si="1035"/>
        <v>SISTEMAS-GLOBALTRONIK SAS-SERGIO PATIÑO</v>
      </c>
      <c r="F20365" s="5"/>
      <c r="G20365" s="5"/>
    </row>
    <row r="20366" spans="1:7" ht="58.5" customHeight="1" x14ac:dyDescent="0.25">
      <c r="A20366" s="5" t="str">
        <f>"H0027869"</f>
        <v>H0027869</v>
      </c>
      <c r="B20366" s="5" t="str">
        <f t="shared" si="1036"/>
        <v>LICENCIA DE ANTIVIRUS ESET ENDPOINT POR UN (1) AÑO - RENOVACIÓN</v>
      </c>
      <c r="C20366" s="6">
        <v>25073.3</v>
      </c>
      <c r="D20366" s="5" t="s">
        <v>873</v>
      </c>
      <c r="E20366" s="5" t="str">
        <f t="shared" si="1035"/>
        <v>SISTEMAS-GLOBALTRONIK SAS-SERGIO PATIÑO</v>
      </c>
      <c r="F20366" s="5"/>
      <c r="G20366" s="5"/>
    </row>
    <row r="20367" spans="1:7" ht="58.5" customHeight="1" x14ac:dyDescent="0.25">
      <c r="A20367" s="5" t="str">
        <f>"H0027870"</f>
        <v>H0027870</v>
      </c>
      <c r="B20367" s="5" t="str">
        <f t="shared" si="1036"/>
        <v>LICENCIA DE ANTIVIRUS ESET ENDPOINT POR UN (1) AÑO - RENOVACIÓN</v>
      </c>
      <c r="C20367" s="6">
        <v>25073.3</v>
      </c>
      <c r="D20367" s="5" t="s">
        <v>873</v>
      </c>
      <c r="E20367" s="5" t="str">
        <f t="shared" si="1035"/>
        <v>SISTEMAS-GLOBALTRONIK SAS-SERGIO PATIÑO</v>
      </c>
      <c r="F20367" s="5"/>
      <c r="G20367" s="5"/>
    </row>
    <row r="20368" spans="1:7" ht="58.5" customHeight="1" x14ac:dyDescent="0.25">
      <c r="A20368" s="5" t="str">
        <f>"H0027871"</f>
        <v>H0027871</v>
      </c>
      <c r="B20368" s="5" t="str">
        <f t="shared" si="1036"/>
        <v>LICENCIA DE ANTIVIRUS ESET ENDPOINT POR UN (1) AÑO - RENOVACIÓN</v>
      </c>
      <c r="C20368" s="6">
        <v>25073.3</v>
      </c>
      <c r="D20368" s="5" t="s">
        <v>873</v>
      </c>
      <c r="E20368" s="5" t="str">
        <f t="shared" si="1035"/>
        <v>SISTEMAS-GLOBALTRONIK SAS-SERGIO PATIÑO</v>
      </c>
      <c r="F20368" s="5"/>
      <c r="G20368" s="5"/>
    </row>
    <row r="20369" spans="1:7" ht="58.5" customHeight="1" x14ac:dyDescent="0.25">
      <c r="A20369" s="5" t="str">
        <f>"H0027872"</f>
        <v>H0027872</v>
      </c>
      <c r="B20369" s="5" t="str">
        <f t="shared" si="1036"/>
        <v>LICENCIA DE ANTIVIRUS ESET ENDPOINT POR UN (1) AÑO - RENOVACIÓN</v>
      </c>
      <c r="C20369" s="6">
        <v>25073.3</v>
      </c>
      <c r="D20369" s="5" t="s">
        <v>873</v>
      </c>
      <c r="E20369" s="5" t="str">
        <f t="shared" si="1035"/>
        <v>SISTEMAS-GLOBALTRONIK SAS-SERGIO PATIÑO</v>
      </c>
      <c r="F20369" s="5"/>
      <c r="G20369" s="5"/>
    </row>
    <row r="20370" spans="1:7" ht="58.5" customHeight="1" x14ac:dyDescent="0.25">
      <c r="A20370" s="5" t="str">
        <f>"H0027873"</f>
        <v>H0027873</v>
      </c>
      <c r="B20370" s="5" t="str">
        <f t="shared" si="1036"/>
        <v>LICENCIA DE ANTIVIRUS ESET ENDPOINT POR UN (1) AÑO - RENOVACIÓN</v>
      </c>
      <c r="C20370" s="6">
        <v>25073.3</v>
      </c>
      <c r="D20370" s="5" t="s">
        <v>873</v>
      </c>
      <c r="E20370" s="5" t="str">
        <f t="shared" si="1035"/>
        <v>SISTEMAS-GLOBALTRONIK SAS-SERGIO PATIÑO</v>
      </c>
      <c r="F20370" s="5"/>
      <c r="G20370" s="5"/>
    </row>
    <row r="20371" spans="1:7" ht="58.5" customHeight="1" x14ac:dyDescent="0.25">
      <c r="A20371" s="5" t="str">
        <f>"H0027874"</f>
        <v>H0027874</v>
      </c>
      <c r="B20371" s="5" t="str">
        <f t="shared" si="1036"/>
        <v>LICENCIA DE ANTIVIRUS ESET ENDPOINT POR UN (1) AÑO - RENOVACIÓN</v>
      </c>
      <c r="C20371" s="6">
        <v>25073.3</v>
      </c>
      <c r="D20371" s="5" t="s">
        <v>873</v>
      </c>
      <c r="E20371" s="5" t="str">
        <f t="shared" si="1035"/>
        <v>SISTEMAS-GLOBALTRONIK SAS-SERGIO PATIÑO</v>
      </c>
      <c r="F20371" s="5"/>
      <c r="G20371" s="5"/>
    </row>
    <row r="20372" spans="1:7" ht="58.5" customHeight="1" x14ac:dyDescent="0.25">
      <c r="A20372" s="5" t="str">
        <f>"H0027875"</f>
        <v>H0027875</v>
      </c>
      <c r="B20372" s="5" t="str">
        <f t="shared" si="1036"/>
        <v>LICENCIA DE ANTIVIRUS ESET ENDPOINT POR UN (1) AÑO - RENOVACIÓN</v>
      </c>
      <c r="C20372" s="6">
        <v>25073.3</v>
      </c>
      <c r="D20372" s="5" t="s">
        <v>873</v>
      </c>
      <c r="E20372" s="5" t="str">
        <f t="shared" si="1035"/>
        <v>SISTEMAS-GLOBALTRONIK SAS-SERGIO PATIÑO</v>
      </c>
      <c r="F20372" s="5"/>
      <c r="G20372" s="5"/>
    </row>
    <row r="20373" spans="1:7" ht="58.5" customHeight="1" x14ac:dyDescent="0.25">
      <c r="A20373" s="5" t="str">
        <f>"H0027876"</f>
        <v>H0027876</v>
      </c>
      <c r="B20373" s="5" t="str">
        <f t="shared" si="1036"/>
        <v>LICENCIA DE ANTIVIRUS ESET ENDPOINT POR UN (1) AÑO - RENOVACIÓN</v>
      </c>
      <c r="C20373" s="6">
        <v>25073.3</v>
      </c>
      <c r="D20373" s="5" t="s">
        <v>873</v>
      </c>
      <c r="E20373" s="5" t="str">
        <f t="shared" si="1035"/>
        <v>SISTEMAS-GLOBALTRONIK SAS-SERGIO PATIÑO</v>
      </c>
      <c r="F20373" s="5"/>
      <c r="G20373" s="5"/>
    </row>
    <row r="20374" spans="1:7" ht="58.5" customHeight="1" x14ac:dyDescent="0.25">
      <c r="A20374" s="5" t="str">
        <f>"H0027877"</f>
        <v>H0027877</v>
      </c>
      <c r="B20374" s="5" t="str">
        <f t="shared" si="1036"/>
        <v>LICENCIA DE ANTIVIRUS ESET ENDPOINT POR UN (1) AÑO - RENOVACIÓN</v>
      </c>
      <c r="C20374" s="6">
        <v>25073.3</v>
      </c>
      <c r="D20374" s="5" t="s">
        <v>873</v>
      </c>
      <c r="E20374" s="5" t="str">
        <f t="shared" si="1035"/>
        <v>SISTEMAS-GLOBALTRONIK SAS-SERGIO PATIÑO</v>
      </c>
      <c r="F20374" s="5"/>
      <c r="G20374" s="5"/>
    </row>
    <row r="20375" spans="1:7" ht="58.5" customHeight="1" x14ac:dyDescent="0.25">
      <c r="A20375" s="5" t="str">
        <f>"H0027878"</f>
        <v>H0027878</v>
      </c>
      <c r="B20375" s="5" t="str">
        <f t="shared" si="1036"/>
        <v>LICENCIA DE ANTIVIRUS ESET ENDPOINT POR UN (1) AÑO - RENOVACIÓN</v>
      </c>
      <c r="C20375" s="6">
        <v>25073.3</v>
      </c>
      <c r="D20375" s="5" t="s">
        <v>873</v>
      </c>
      <c r="E20375" s="5" t="str">
        <f t="shared" si="1035"/>
        <v>SISTEMAS-GLOBALTRONIK SAS-SERGIO PATIÑO</v>
      </c>
      <c r="F20375" s="5"/>
      <c r="G20375" s="5"/>
    </row>
    <row r="20376" spans="1:7" ht="58.5" customHeight="1" x14ac:dyDescent="0.25">
      <c r="A20376" s="5" t="str">
        <f>"H0027879"</f>
        <v>H0027879</v>
      </c>
      <c r="B20376" s="5" t="str">
        <f t="shared" si="1036"/>
        <v>LICENCIA DE ANTIVIRUS ESET ENDPOINT POR UN (1) AÑO - RENOVACIÓN</v>
      </c>
      <c r="C20376" s="6">
        <v>25073.3</v>
      </c>
      <c r="D20376" s="5" t="s">
        <v>873</v>
      </c>
      <c r="E20376" s="5" t="str">
        <f t="shared" si="1035"/>
        <v>SISTEMAS-GLOBALTRONIK SAS-SERGIO PATIÑO</v>
      </c>
      <c r="F20376" s="5"/>
      <c r="G20376" s="5"/>
    </row>
    <row r="20377" spans="1:7" ht="58.5" customHeight="1" x14ac:dyDescent="0.25">
      <c r="A20377" s="5" t="str">
        <f>"H0027880"</f>
        <v>H0027880</v>
      </c>
      <c r="B20377" s="5" t="str">
        <f t="shared" si="1036"/>
        <v>LICENCIA DE ANTIVIRUS ESET ENDPOINT POR UN (1) AÑO - RENOVACIÓN</v>
      </c>
      <c r="C20377" s="6">
        <v>25073.3</v>
      </c>
      <c r="D20377" s="5" t="s">
        <v>873</v>
      </c>
      <c r="E20377" s="5" t="str">
        <f t="shared" si="1035"/>
        <v>SISTEMAS-GLOBALTRONIK SAS-SERGIO PATIÑO</v>
      </c>
      <c r="F20377" s="5"/>
      <c r="G20377" s="5"/>
    </row>
    <row r="20378" spans="1:7" ht="58.5" customHeight="1" x14ac:dyDescent="0.25">
      <c r="A20378" s="5" t="str">
        <f>"H0027881"</f>
        <v>H0027881</v>
      </c>
      <c r="B20378" s="5" t="str">
        <f t="shared" si="1036"/>
        <v>LICENCIA DE ANTIVIRUS ESET ENDPOINT POR UN (1) AÑO - RENOVACIÓN</v>
      </c>
      <c r="C20378" s="6">
        <v>25073.3</v>
      </c>
      <c r="D20378" s="5" t="s">
        <v>873</v>
      </c>
      <c r="E20378" s="5" t="str">
        <f t="shared" si="1035"/>
        <v>SISTEMAS-GLOBALTRONIK SAS-SERGIO PATIÑO</v>
      </c>
      <c r="F20378" s="5"/>
      <c r="G20378" s="5"/>
    </row>
    <row r="20379" spans="1:7" ht="58.5" customHeight="1" x14ac:dyDescent="0.25">
      <c r="A20379" s="5" t="str">
        <f>"H0027882"</f>
        <v>H0027882</v>
      </c>
      <c r="B20379" s="5" t="str">
        <f t="shared" si="1036"/>
        <v>LICENCIA DE ANTIVIRUS ESET ENDPOINT POR UN (1) AÑO - RENOVACIÓN</v>
      </c>
      <c r="C20379" s="6">
        <v>25073.3</v>
      </c>
      <c r="D20379" s="5" t="s">
        <v>873</v>
      </c>
      <c r="E20379" s="5" t="str">
        <f t="shared" si="1035"/>
        <v>SISTEMAS-GLOBALTRONIK SAS-SERGIO PATIÑO</v>
      </c>
      <c r="F20379" s="5"/>
      <c r="G20379" s="5"/>
    </row>
    <row r="20380" spans="1:7" ht="58.5" customHeight="1" x14ac:dyDescent="0.25">
      <c r="A20380" s="5" t="str">
        <f>"H0027883"</f>
        <v>H0027883</v>
      </c>
      <c r="B20380" s="5" t="str">
        <f t="shared" si="1036"/>
        <v>LICENCIA DE ANTIVIRUS ESET ENDPOINT POR UN (1) AÑO - RENOVACIÓN</v>
      </c>
      <c r="C20380" s="6">
        <v>25073.3</v>
      </c>
      <c r="D20380" s="5" t="s">
        <v>873</v>
      </c>
      <c r="E20380" s="5" t="str">
        <f t="shared" si="1035"/>
        <v>SISTEMAS-GLOBALTRONIK SAS-SERGIO PATIÑO</v>
      </c>
      <c r="F20380" s="5"/>
      <c r="G20380" s="5"/>
    </row>
    <row r="20381" spans="1:7" ht="58.5" customHeight="1" x14ac:dyDescent="0.25">
      <c r="A20381" s="5" t="str">
        <f>"H0027884"</f>
        <v>H0027884</v>
      </c>
      <c r="B20381" s="5" t="str">
        <f t="shared" si="1036"/>
        <v>LICENCIA DE ANTIVIRUS ESET ENDPOINT POR UN (1) AÑO - RENOVACIÓN</v>
      </c>
      <c r="C20381" s="6">
        <v>25073.3</v>
      </c>
      <c r="D20381" s="5" t="s">
        <v>873</v>
      </c>
      <c r="E20381" s="5" t="str">
        <f t="shared" si="1035"/>
        <v>SISTEMAS-GLOBALTRONIK SAS-SERGIO PATIÑO</v>
      </c>
      <c r="F20381" s="5"/>
      <c r="G20381" s="5"/>
    </row>
    <row r="20382" spans="1:7" ht="58.5" customHeight="1" x14ac:dyDescent="0.25">
      <c r="A20382" s="5" t="str">
        <f>"H0027885"</f>
        <v>H0027885</v>
      </c>
      <c r="B20382" s="5" t="str">
        <f t="shared" si="1036"/>
        <v>LICENCIA DE ANTIVIRUS ESET ENDPOINT POR UN (1) AÑO - RENOVACIÓN</v>
      </c>
      <c r="C20382" s="6">
        <v>25073.3</v>
      </c>
      <c r="D20382" s="5" t="s">
        <v>873</v>
      </c>
      <c r="E20382" s="5" t="str">
        <f t="shared" si="1035"/>
        <v>SISTEMAS-GLOBALTRONIK SAS-SERGIO PATIÑO</v>
      </c>
      <c r="F20382" s="5"/>
      <c r="G20382" s="5"/>
    </row>
    <row r="20383" spans="1:7" ht="58.5" customHeight="1" x14ac:dyDescent="0.25">
      <c r="A20383" s="5" t="str">
        <f>"H0027886"</f>
        <v>H0027886</v>
      </c>
      <c r="B20383" s="5" t="str">
        <f t="shared" si="1036"/>
        <v>LICENCIA DE ANTIVIRUS ESET ENDPOINT POR UN (1) AÑO - RENOVACIÓN</v>
      </c>
      <c r="C20383" s="6">
        <v>25073.3</v>
      </c>
      <c r="D20383" s="5" t="s">
        <v>873</v>
      </c>
      <c r="E20383" s="5" t="str">
        <f t="shared" si="1035"/>
        <v>SISTEMAS-GLOBALTRONIK SAS-SERGIO PATIÑO</v>
      </c>
      <c r="F20383" s="5"/>
      <c r="G20383" s="5"/>
    </row>
    <row r="20384" spans="1:7" ht="58.5" customHeight="1" x14ac:dyDescent="0.25">
      <c r="A20384" s="5" t="str">
        <f>"H0027887"</f>
        <v>H0027887</v>
      </c>
      <c r="B20384" s="5" t="str">
        <f t="shared" si="1036"/>
        <v>LICENCIA DE ANTIVIRUS ESET ENDPOINT POR UN (1) AÑO - RENOVACIÓN</v>
      </c>
      <c r="C20384" s="6">
        <v>25073.3</v>
      </c>
      <c r="D20384" s="5" t="s">
        <v>873</v>
      </c>
      <c r="E20384" s="5" t="str">
        <f t="shared" si="1035"/>
        <v>SISTEMAS-GLOBALTRONIK SAS-SERGIO PATIÑO</v>
      </c>
      <c r="F20384" s="5"/>
      <c r="G20384" s="5"/>
    </row>
    <row r="20385" spans="1:7" ht="58.5" customHeight="1" x14ac:dyDescent="0.25">
      <c r="A20385" s="5" t="str">
        <f>"H0027888"</f>
        <v>H0027888</v>
      </c>
      <c r="B20385" s="5" t="str">
        <f t="shared" si="1036"/>
        <v>LICENCIA DE ANTIVIRUS ESET ENDPOINT POR UN (1) AÑO - RENOVACIÓN</v>
      </c>
      <c r="C20385" s="6">
        <v>25073.3</v>
      </c>
      <c r="D20385" s="5" t="s">
        <v>873</v>
      </c>
      <c r="E20385" s="5" t="str">
        <f t="shared" si="1035"/>
        <v>SISTEMAS-GLOBALTRONIK SAS-SERGIO PATIÑO</v>
      </c>
      <c r="F20385" s="5"/>
      <c r="G20385" s="5"/>
    </row>
    <row r="20386" spans="1:7" ht="58.5" customHeight="1" x14ac:dyDescent="0.25">
      <c r="A20386" s="5" t="str">
        <f>"H0027889"</f>
        <v>H0027889</v>
      </c>
      <c r="B20386" s="5" t="str">
        <f t="shared" si="1036"/>
        <v>LICENCIA DE ANTIVIRUS ESET ENDPOINT POR UN (1) AÑO - RENOVACIÓN</v>
      </c>
      <c r="C20386" s="6">
        <v>25073.3</v>
      </c>
      <c r="D20386" s="5" t="s">
        <v>873</v>
      </c>
      <c r="E20386" s="5" t="str">
        <f t="shared" si="1035"/>
        <v>SISTEMAS-GLOBALTRONIK SAS-SERGIO PATIÑO</v>
      </c>
      <c r="F20386" s="5"/>
      <c r="G20386" s="5"/>
    </row>
    <row r="20387" spans="1:7" ht="58.5" customHeight="1" x14ac:dyDescent="0.25">
      <c r="A20387" s="5" t="str">
        <f>"H0027890"</f>
        <v>H0027890</v>
      </c>
      <c r="B20387" s="5" t="str">
        <f t="shared" si="1036"/>
        <v>LICENCIA DE ANTIVIRUS ESET ENDPOINT POR UN (1) AÑO - RENOVACIÓN</v>
      </c>
      <c r="C20387" s="6">
        <v>25073.3</v>
      </c>
      <c r="D20387" s="5" t="s">
        <v>873</v>
      </c>
      <c r="E20387" s="5" t="str">
        <f t="shared" si="1035"/>
        <v>SISTEMAS-GLOBALTRONIK SAS-SERGIO PATIÑO</v>
      </c>
      <c r="F20387" s="5"/>
      <c r="G20387" s="5"/>
    </row>
    <row r="20388" spans="1:7" ht="58.5" customHeight="1" x14ac:dyDescent="0.25">
      <c r="A20388" s="5" t="str">
        <f>"H0027891"</f>
        <v>H0027891</v>
      </c>
      <c r="B20388" s="5" t="str">
        <f t="shared" si="1036"/>
        <v>LICENCIA DE ANTIVIRUS ESET ENDPOINT POR UN (1) AÑO - RENOVACIÓN</v>
      </c>
      <c r="C20388" s="6">
        <v>25073.3</v>
      </c>
      <c r="D20388" s="5" t="s">
        <v>873</v>
      </c>
      <c r="E20388" s="5" t="str">
        <f t="shared" si="1035"/>
        <v>SISTEMAS-GLOBALTRONIK SAS-SERGIO PATIÑO</v>
      </c>
      <c r="F20388" s="5"/>
      <c r="G20388" s="5"/>
    </row>
    <row r="20389" spans="1:7" ht="58.5" customHeight="1" x14ac:dyDescent="0.25">
      <c r="A20389" s="5" t="str">
        <f>"H0027892"</f>
        <v>H0027892</v>
      </c>
      <c r="B20389" s="5" t="str">
        <f t="shared" si="1036"/>
        <v>LICENCIA DE ANTIVIRUS ESET ENDPOINT POR UN (1) AÑO - RENOVACIÓN</v>
      </c>
      <c r="C20389" s="6">
        <v>25073.3</v>
      </c>
      <c r="D20389" s="5" t="s">
        <v>873</v>
      </c>
      <c r="E20389" s="5" t="str">
        <f t="shared" si="1035"/>
        <v>SISTEMAS-GLOBALTRONIK SAS-SERGIO PATIÑO</v>
      </c>
      <c r="F20389" s="5"/>
      <c r="G20389" s="5"/>
    </row>
    <row r="20390" spans="1:7" ht="58.5" customHeight="1" x14ac:dyDescent="0.25">
      <c r="A20390" s="5" t="str">
        <f>"H0027893"</f>
        <v>H0027893</v>
      </c>
      <c r="B20390" s="5" t="str">
        <f t="shared" si="1036"/>
        <v>LICENCIA DE ANTIVIRUS ESET ENDPOINT POR UN (1) AÑO - RENOVACIÓN</v>
      </c>
      <c r="C20390" s="6">
        <v>25073.3</v>
      </c>
      <c r="D20390" s="5" t="s">
        <v>873</v>
      </c>
      <c r="E20390" s="5" t="str">
        <f t="shared" si="1035"/>
        <v>SISTEMAS-GLOBALTRONIK SAS-SERGIO PATIÑO</v>
      </c>
      <c r="F20390" s="5"/>
      <c r="G20390" s="5"/>
    </row>
    <row r="20391" spans="1:7" ht="58.5" customHeight="1" x14ac:dyDescent="0.25">
      <c r="A20391" s="5" t="str">
        <f>"H0027894"</f>
        <v>H0027894</v>
      </c>
      <c r="B20391" s="5" t="str">
        <f t="shared" si="1036"/>
        <v>LICENCIA DE ANTIVIRUS ESET ENDPOINT POR UN (1) AÑO - RENOVACIÓN</v>
      </c>
      <c r="C20391" s="6">
        <v>25073.3</v>
      </c>
      <c r="D20391" s="5" t="s">
        <v>874</v>
      </c>
      <c r="E20391" s="5" t="str">
        <f t="shared" si="1035"/>
        <v>SISTEMAS-GLOBALTRONIK SAS-SERGIO PATIÑO</v>
      </c>
      <c r="F20391" s="5"/>
      <c r="G20391" s="5"/>
    </row>
    <row r="20392" spans="1:7" ht="58.5" customHeight="1" x14ac:dyDescent="0.25">
      <c r="A20392" s="5" t="str">
        <f>"H0027895"</f>
        <v>H0027895</v>
      </c>
      <c r="B20392" s="5" t="str">
        <f t="shared" si="1036"/>
        <v>LICENCIA DE ANTIVIRUS ESET ENDPOINT POR UN (1) AÑO - RENOVACIÓN</v>
      </c>
      <c r="C20392" s="6">
        <v>25073.3</v>
      </c>
      <c r="D20392" s="5" t="s">
        <v>873</v>
      </c>
      <c r="E20392" s="5" t="str">
        <f t="shared" si="1035"/>
        <v>SISTEMAS-GLOBALTRONIK SAS-SERGIO PATIÑO</v>
      </c>
      <c r="F20392" s="5"/>
      <c r="G20392" s="5"/>
    </row>
    <row r="20393" spans="1:7" ht="58.5" customHeight="1" x14ac:dyDescent="0.25">
      <c r="A20393" s="5" t="str">
        <f>"H0027896"</f>
        <v>H0027896</v>
      </c>
      <c r="B20393" s="5" t="str">
        <f t="shared" si="1036"/>
        <v>LICENCIA DE ANTIVIRUS ESET ENDPOINT POR UN (1) AÑO - RENOVACIÓN</v>
      </c>
      <c r="C20393" s="6">
        <v>25073.3</v>
      </c>
      <c r="D20393" s="5" t="s">
        <v>873</v>
      </c>
      <c r="E20393" s="5" t="str">
        <f t="shared" si="1035"/>
        <v>SISTEMAS-GLOBALTRONIK SAS-SERGIO PATIÑO</v>
      </c>
      <c r="F20393" s="5"/>
      <c r="G20393" s="5"/>
    </row>
    <row r="20394" spans="1:7" ht="58.5" customHeight="1" x14ac:dyDescent="0.25">
      <c r="A20394" s="5" t="str">
        <f>"H0027897"</f>
        <v>H0027897</v>
      </c>
      <c r="B20394" s="5" t="str">
        <f t="shared" si="1036"/>
        <v>LICENCIA DE ANTIVIRUS ESET ENDPOINT POR UN (1) AÑO - RENOVACIÓN</v>
      </c>
      <c r="C20394" s="6">
        <v>25073.3</v>
      </c>
      <c r="D20394" s="5" t="s">
        <v>873</v>
      </c>
      <c r="E20394" s="5" t="str">
        <f t="shared" si="1035"/>
        <v>SISTEMAS-GLOBALTRONIK SAS-SERGIO PATIÑO</v>
      </c>
      <c r="F20394" s="5"/>
      <c r="G20394" s="5"/>
    </row>
    <row r="20395" spans="1:7" ht="58.5" customHeight="1" x14ac:dyDescent="0.25">
      <c r="A20395" s="5" t="str">
        <f>"H0027898"</f>
        <v>H0027898</v>
      </c>
      <c r="B20395" s="5" t="str">
        <f t="shared" si="1036"/>
        <v>LICENCIA DE ANTIVIRUS ESET ENDPOINT POR UN (1) AÑO - RENOVACIÓN</v>
      </c>
      <c r="C20395" s="6">
        <v>25073.3</v>
      </c>
      <c r="D20395" s="5" t="s">
        <v>873</v>
      </c>
      <c r="E20395" s="5" t="str">
        <f t="shared" si="1035"/>
        <v>SISTEMAS-GLOBALTRONIK SAS-SERGIO PATIÑO</v>
      </c>
      <c r="F20395" s="5"/>
      <c r="G20395" s="5"/>
    </row>
    <row r="20396" spans="1:7" ht="58.5" customHeight="1" x14ac:dyDescent="0.25">
      <c r="A20396" s="5" t="str">
        <f>"H0027899"</f>
        <v>H0027899</v>
      </c>
      <c r="B20396" s="5" t="str">
        <f t="shared" si="1036"/>
        <v>LICENCIA DE ANTIVIRUS ESET ENDPOINT POR UN (1) AÑO - RENOVACIÓN</v>
      </c>
      <c r="C20396" s="6">
        <v>25073.3</v>
      </c>
      <c r="D20396" s="5" t="s">
        <v>873</v>
      </c>
      <c r="E20396" s="5" t="str">
        <f t="shared" si="1035"/>
        <v>SISTEMAS-GLOBALTRONIK SAS-SERGIO PATIÑO</v>
      </c>
      <c r="F20396" s="5"/>
      <c r="G20396" s="5"/>
    </row>
    <row r="20397" spans="1:7" ht="58.5" customHeight="1" x14ac:dyDescent="0.25">
      <c r="A20397" s="5" t="str">
        <f>"H0027900"</f>
        <v>H0027900</v>
      </c>
      <c r="B20397" s="5" t="str">
        <f t="shared" si="1036"/>
        <v>LICENCIA DE ANTIVIRUS ESET ENDPOINT POR UN (1) AÑO - RENOVACIÓN</v>
      </c>
      <c r="C20397" s="6">
        <v>25073.3</v>
      </c>
      <c r="D20397" s="5" t="s">
        <v>873</v>
      </c>
      <c r="E20397" s="5" t="str">
        <f t="shared" si="1035"/>
        <v>SISTEMAS-GLOBALTRONIK SAS-SERGIO PATIÑO</v>
      </c>
      <c r="F20397" s="5"/>
      <c r="G20397" s="5"/>
    </row>
    <row r="20398" spans="1:7" ht="58.5" customHeight="1" x14ac:dyDescent="0.25">
      <c r="A20398" s="5" t="str">
        <f>"H0027901"</f>
        <v>H0027901</v>
      </c>
      <c r="B20398" s="5" t="str">
        <f t="shared" si="1036"/>
        <v>LICENCIA DE ANTIVIRUS ESET ENDPOINT POR UN (1) AÑO - RENOVACIÓN</v>
      </c>
      <c r="C20398" s="6">
        <v>25073.3</v>
      </c>
      <c r="D20398" s="5" t="s">
        <v>873</v>
      </c>
      <c r="E20398" s="5" t="str">
        <f t="shared" si="1035"/>
        <v>SISTEMAS-GLOBALTRONIK SAS-SERGIO PATIÑO</v>
      </c>
      <c r="F20398" s="5"/>
      <c r="G20398" s="5"/>
    </row>
    <row r="20399" spans="1:7" ht="58.5" customHeight="1" x14ac:dyDescent="0.25">
      <c r="A20399" s="5" t="str">
        <f>"H0027902"</f>
        <v>H0027902</v>
      </c>
      <c r="B20399" s="5" t="str">
        <f t="shared" si="1036"/>
        <v>LICENCIA DE ANTIVIRUS ESET ENDPOINT POR UN (1) AÑO - RENOVACIÓN</v>
      </c>
      <c r="C20399" s="6">
        <v>25073.3</v>
      </c>
      <c r="D20399" s="5" t="s">
        <v>873</v>
      </c>
      <c r="E20399" s="5" t="str">
        <f t="shared" si="1035"/>
        <v>SISTEMAS-GLOBALTRONIK SAS-SERGIO PATIÑO</v>
      </c>
      <c r="F20399" s="5"/>
      <c r="G20399" s="5"/>
    </row>
    <row r="20400" spans="1:7" ht="58.5" customHeight="1" x14ac:dyDescent="0.25">
      <c r="A20400" s="5" t="str">
        <f>"H0027903"</f>
        <v>H0027903</v>
      </c>
      <c r="B20400" s="5" t="str">
        <f t="shared" si="1036"/>
        <v>LICENCIA DE ANTIVIRUS ESET ENDPOINT POR UN (1) AÑO - RENOVACIÓN</v>
      </c>
      <c r="C20400" s="6">
        <v>25073.3</v>
      </c>
      <c r="D20400" s="5" t="s">
        <v>873</v>
      </c>
      <c r="E20400" s="5" t="str">
        <f t="shared" si="1035"/>
        <v>SISTEMAS-GLOBALTRONIK SAS-SERGIO PATIÑO</v>
      </c>
      <c r="F20400" s="5"/>
      <c r="G20400" s="5"/>
    </row>
    <row r="20401" spans="1:7" ht="58.5" customHeight="1" x14ac:dyDescent="0.25">
      <c r="A20401" s="5" t="str">
        <f>"H0027904"</f>
        <v>H0027904</v>
      </c>
      <c r="B20401" s="5" t="str">
        <f t="shared" si="1036"/>
        <v>LICENCIA DE ANTIVIRUS ESET ENDPOINT POR UN (1) AÑO - RENOVACIÓN</v>
      </c>
      <c r="C20401" s="6">
        <v>25073.3</v>
      </c>
      <c r="D20401" s="5" t="s">
        <v>873</v>
      </c>
      <c r="E20401" s="5" t="str">
        <f t="shared" si="1035"/>
        <v>SISTEMAS-GLOBALTRONIK SAS-SERGIO PATIÑO</v>
      </c>
      <c r="F20401" s="5"/>
      <c r="G20401" s="5"/>
    </row>
    <row r="20402" spans="1:7" ht="58.5" customHeight="1" x14ac:dyDescent="0.25">
      <c r="A20402" s="5" t="str">
        <f>"H0027905"</f>
        <v>H0027905</v>
      </c>
      <c r="B20402" s="5" t="str">
        <f t="shared" si="1036"/>
        <v>LICENCIA DE ANTIVIRUS ESET ENDPOINT POR UN (1) AÑO - RENOVACIÓN</v>
      </c>
      <c r="C20402" s="6">
        <v>25073.3</v>
      </c>
      <c r="D20402" s="5" t="s">
        <v>873</v>
      </c>
      <c r="E20402" s="5" t="str">
        <f t="shared" si="1035"/>
        <v>SISTEMAS-GLOBALTRONIK SAS-SERGIO PATIÑO</v>
      </c>
      <c r="F20402" s="5"/>
      <c r="G20402" s="5"/>
    </row>
    <row r="20403" spans="1:7" ht="58.5" customHeight="1" x14ac:dyDescent="0.25">
      <c r="A20403" s="5" t="str">
        <f>"H0027906"</f>
        <v>H0027906</v>
      </c>
      <c r="B20403" s="5" t="str">
        <f t="shared" si="1036"/>
        <v>LICENCIA DE ANTIVIRUS ESET ENDPOINT POR UN (1) AÑO - RENOVACIÓN</v>
      </c>
      <c r="C20403" s="6">
        <v>25073.3</v>
      </c>
      <c r="D20403" s="5" t="s">
        <v>873</v>
      </c>
      <c r="E20403" s="5" t="str">
        <f t="shared" si="1035"/>
        <v>SISTEMAS-GLOBALTRONIK SAS-SERGIO PATIÑO</v>
      </c>
      <c r="F20403" s="5"/>
      <c r="G20403" s="5"/>
    </row>
    <row r="20404" spans="1:7" ht="58.5" customHeight="1" x14ac:dyDescent="0.25">
      <c r="A20404" s="5" t="str">
        <f>"H0027907"</f>
        <v>H0027907</v>
      </c>
      <c r="B20404" s="5" t="str">
        <f t="shared" si="1036"/>
        <v>LICENCIA DE ANTIVIRUS ESET ENDPOINT POR UN (1) AÑO - RENOVACIÓN</v>
      </c>
      <c r="C20404" s="6">
        <v>25073.3</v>
      </c>
      <c r="D20404" s="5" t="s">
        <v>873</v>
      </c>
      <c r="E20404" s="5" t="str">
        <f t="shared" si="1035"/>
        <v>SISTEMAS-GLOBALTRONIK SAS-SERGIO PATIÑO</v>
      </c>
      <c r="F20404" s="5"/>
      <c r="G20404" s="5"/>
    </row>
    <row r="20405" spans="1:7" ht="58.5" customHeight="1" x14ac:dyDescent="0.25">
      <c r="A20405" s="5" t="str">
        <f>"H0027908"</f>
        <v>H0027908</v>
      </c>
      <c r="B20405" s="5" t="str">
        <f t="shared" si="1036"/>
        <v>LICENCIA DE ANTIVIRUS ESET ENDPOINT POR UN (1) AÑO - RENOVACIÓN</v>
      </c>
      <c r="C20405" s="6">
        <v>25073.3</v>
      </c>
      <c r="D20405" s="5" t="s">
        <v>873</v>
      </c>
      <c r="E20405" s="5" t="str">
        <f t="shared" si="1035"/>
        <v>SISTEMAS-GLOBALTRONIK SAS-SERGIO PATIÑO</v>
      </c>
      <c r="F20405" s="5"/>
      <c r="G20405" s="5"/>
    </row>
    <row r="20406" spans="1:7" ht="58.5" customHeight="1" x14ac:dyDescent="0.25">
      <c r="A20406" s="5" t="str">
        <f>"H0027909"</f>
        <v>H0027909</v>
      </c>
      <c r="B20406" s="5" t="str">
        <f t="shared" si="1036"/>
        <v>LICENCIA DE ANTIVIRUS ESET ENDPOINT POR UN (1) AÑO - RENOVACIÓN</v>
      </c>
      <c r="C20406" s="6">
        <v>25073.3</v>
      </c>
      <c r="D20406" s="5" t="s">
        <v>873</v>
      </c>
      <c r="E20406" s="5" t="str">
        <f t="shared" si="1035"/>
        <v>SISTEMAS-GLOBALTRONIK SAS-SERGIO PATIÑO</v>
      </c>
      <c r="F20406" s="5"/>
      <c r="G20406" s="5"/>
    </row>
    <row r="20407" spans="1:7" ht="58.5" customHeight="1" x14ac:dyDescent="0.25">
      <c r="A20407" s="5" t="str">
        <f>"H0027910"</f>
        <v>H0027910</v>
      </c>
      <c r="B20407" s="5" t="str">
        <f t="shared" si="1036"/>
        <v>LICENCIA DE ANTIVIRUS ESET ENDPOINT POR UN (1) AÑO - RENOVACIÓN</v>
      </c>
      <c r="C20407" s="6">
        <v>25073.3</v>
      </c>
      <c r="D20407" s="5" t="s">
        <v>873</v>
      </c>
      <c r="E20407" s="5" t="str">
        <f t="shared" si="1035"/>
        <v>SISTEMAS-GLOBALTRONIK SAS-SERGIO PATIÑO</v>
      </c>
      <c r="F20407" s="5"/>
      <c r="G20407" s="5"/>
    </row>
    <row r="20408" spans="1:7" ht="58.5" customHeight="1" x14ac:dyDescent="0.25">
      <c r="A20408" s="5" t="str">
        <f>"H0027911"</f>
        <v>H0027911</v>
      </c>
      <c r="B20408" s="5" t="str">
        <f t="shared" si="1036"/>
        <v>LICENCIA DE ANTIVIRUS ESET ENDPOINT POR UN (1) AÑO - RENOVACIÓN</v>
      </c>
      <c r="C20408" s="6">
        <v>25073.3</v>
      </c>
      <c r="D20408" s="5" t="s">
        <v>873</v>
      </c>
      <c r="E20408" s="5" t="str">
        <f t="shared" si="1035"/>
        <v>SISTEMAS-GLOBALTRONIK SAS-SERGIO PATIÑO</v>
      </c>
      <c r="F20408" s="5"/>
      <c r="G20408" s="5"/>
    </row>
    <row r="20409" spans="1:7" ht="58.5" customHeight="1" x14ac:dyDescent="0.25">
      <c r="A20409" s="5" t="str">
        <f>"H0027912"</f>
        <v>H0027912</v>
      </c>
      <c r="B20409" s="5" t="str">
        <f t="shared" si="1036"/>
        <v>LICENCIA DE ANTIVIRUS ESET ENDPOINT POR UN (1) AÑO - RENOVACIÓN</v>
      </c>
      <c r="C20409" s="6">
        <v>25073.3</v>
      </c>
      <c r="D20409" s="5" t="s">
        <v>873</v>
      </c>
      <c r="E20409" s="5" t="str">
        <f t="shared" si="1035"/>
        <v>SISTEMAS-GLOBALTRONIK SAS-SERGIO PATIÑO</v>
      </c>
      <c r="F20409" s="5"/>
      <c r="G20409" s="5"/>
    </row>
    <row r="20410" spans="1:7" ht="58.5" customHeight="1" x14ac:dyDescent="0.25">
      <c r="A20410" s="5" t="str">
        <f>"H0027913"</f>
        <v>H0027913</v>
      </c>
      <c r="B20410" s="5" t="str">
        <f t="shared" si="1036"/>
        <v>LICENCIA DE ANTIVIRUS ESET ENDPOINT POR UN (1) AÑO - RENOVACIÓN</v>
      </c>
      <c r="C20410" s="6">
        <v>25073.3</v>
      </c>
      <c r="D20410" s="5" t="s">
        <v>873</v>
      </c>
      <c r="E20410" s="5" t="str">
        <f t="shared" si="1035"/>
        <v>SISTEMAS-GLOBALTRONIK SAS-SERGIO PATIÑO</v>
      </c>
      <c r="F20410" s="5"/>
      <c r="G20410" s="5"/>
    </row>
    <row r="20411" spans="1:7" ht="58.5" customHeight="1" x14ac:dyDescent="0.25">
      <c r="A20411" s="5" t="str">
        <f>"H0027914"</f>
        <v>H0027914</v>
      </c>
      <c r="B20411" s="5" t="str">
        <f t="shared" si="1036"/>
        <v>LICENCIA DE ANTIVIRUS ESET ENDPOINT POR UN (1) AÑO - RENOVACIÓN</v>
      </c>
      <c r="C20411" s="6">
        <v>25073.3</v>
      </c>
      <c r="D20411" s="5" t="s">
        <v>873</v>
      </c>
      <c r="E20411" s="5" t="str">
        <f t="shared" si="1035"/>
        <v>SISTEMAS-GLOBALTRONIK SAS-SERGIO PATIÑO</v>
      </c>
      <c r="F20411" s="5"/>
      <c r="G20411" s="5"/>
    </row>
    <row r="20412" spans="1:7" ht="58.5" customHeight="1" x14ac:dyDescent="0.25">
      <c r="A20412" s="5" t="str">
        <f>"H0027915"</f>
        <v>H0027915</v>
      </c>
      <c r="B20412" s="5" t="str">
        <f t="shared" si="1036"/>
        <v>LICENCIA DE ANTIVIRUS ESET ENDPOINT POR UN (1) AÑO - RENOVACIÓN</v>
      </c>
      <c r="C20412" s="6">
        <v>25073.3</v>
      </c>
      <c r="D20412" s="5" t="s">
        <v>873</v>
      </c>
      <c r="E20412" s="5" t="str">
        <f t="shared" si="1035"/>
        <v>SISTEMAS-GLOBALTRONIK SAS-SERGIO PATIÑO</v>
      </c>
      <c r="F20412" s="5"/>
      <c r="G20412" s="5"/>
    </row>
    <row r="20413" spans="1:7" ht="58.5" customHeight="1" x14ac:dyDescent="0.25">
      <c r="A20413" s="5" t="str">
        <f>"H0027916"</f>
        <v>H0027916</v>
      </c>
      <c r="B20413" s="5" t="str">
        <f t="shared" si="1036"/>
        <v>LICENCIA DE ANTIVIRUS ESET ENDPOINT POR UN (1) AÑO - RENOVACIÓN</v>
      </c>
      <c r="C20413" s="6">
        <v>25073.3</v>
      </c>
      <c r="D20413" s="5" t="s">
        <v>873</v>
      </c>
      <c r="E20413" s="5" t="str">
        <f t="shared" ref="E20413:E20476" si="1037">"SISTEMAS-GLOBALTRONIK SAS-SERGIO PATIÑO"</f>
        <v>SISTEMAS-GLOBALTRONIK SAS-SERGIO PATIÑO</v>
      </c>
      <c r="F20413" s="5"/>
      <c r="G20413" s="5"/>
    </row>
    <row r="20414" spans="1:7" ht="58.5" customHeight="1" x14ac:dyDescent="0.25">
      <c r="A20414" s="5" t="str">
        <f>"H0027917"</f>
        <v>H0027917</v>
      </c>
      <c r="B20414" s="5" t="str">
        <f t="shared" si="1036"/>
        <v>LICENCIA DE ANTIVIRUS ESET ENDPOINT POR UN (1) AÑO - RENOVACIÓN</v>
      </c>
      <c r="C20414" s="6">
        <v>25073.3</v>
      </c>
      <c r="D20414" s="5" t="s">
        <v>873</v>
      </c>
      <c r="E20414" s="5" t="str">
        <f t="shared" si="1037"/>
        <v>SISTEMAS-GLOBALTRONIK SAS-SERGIO PATIÑO</v>
      </c>
      <c r="F20414" s="5"/>
      <c r="G20414" s="5"/>
    </row>
    <row r="20415" spans="1:7" ht="58.5" customHeight="1" x14ac:dyDescent="0.25">
      <c r="A20415" s="5" t="str">
        <f>"H0027918"</f>
        <v>H0027918</v>
      </c>
      <c r="B20415" s="5" t="str">
        <f t="shared" si="1036"/>
        <v>LICENCIA DE ANTIVIRUS ESET ENDPOINT POR UN (1) AÑO - RENOVACIÓN</v>
      </c>
      <c r="C20415" s="6">
        <v>25073.3</v>
      </c>
      <c r="D20415" s="5" t="s">
        <v>873</v>
      </c>
      <c r="E20415" s="5" t="str">
        <f t="shared" si="1037"/>
        <v>SISTEMAS-GLOBALTRONIK SAS-SERGIO PATIÑO</v>
      </c>
      <c r="F20415" s="5"/>
      <c r="G20415" s="5"/>
    </row>
    <row r="20416" spans="1:7" ht="58.5" customHeight="1" x14ac:dyDescent="0.25">
      <c r="A20416" s="5" t="str">
        <f>"H0027919"</f>
        <v>H0027919</v>
      </c>
      <c r="B20416" s="5" t="str">
        <f t="shared" si="1036"/>
        <v>LICENCIA DE ANTIVIRUS ESET ENDPOINT POR UN (1) AÑO - RENOVACIÓN</v>
      </c>
      <c r="C20416" s="6">
        <v>25073.3</v>
      </c>
      <c r="D20416" s="5" t="s">
        <v>873</v>
      </c>
      <c r="E20416" s="5" t="str">
        <f t="shared" si="1037"/>
        <v>SISTEMAS-GLOBALTRONIK SAS-SERGIO PATIÑO</v>
      </c>
      <c r="F20416" s="5"/>
      <c r="G20416" s="5"/>
    </row>
    <row r="20417" spans="1:7" ht="58.5" customHeight="1" x14ac:dyDescent="0.25">
      <c r="A20417" s="5" t="str">
        <f>"H0027920"</f>
        <v>H0027920</v>
      </c>
      <c r="B20417" s="5" t="str">
        <f t="shared" si="1036"/>
        <v>LICENCIA DE ANTIVIRUS ESET ENDPOINT POR UN (1) AÑO - RENOVACIÓN</v>
      </c>
      <c r="C20417" s="6">
        <v>25073.3</v>
      </c>
      <c r="D20417" s="5" t="s">
        <v>873</v>
      </c>
      <c r="E20417" s="5" t="str">
        <f t="shared" si="1037"/>
        <v>SISTEMAS-GLOBALTRONIK SAS-SERGIO PATIÑO</v>
      </c>
      <c r="F20417" s="5"/>
      <c r="G20417" s="5"/>
    </row>
    <row r="20418" spans="1:7" ht="58.5" customHeight="1" x14ac:dyDescent="0.25">
      <c r="A20418" s="5" t="str">
        <f>"H0027921"</f>
        <v>H0027921</v>
      </c>
      <c r="B20418" s="5" t="str">
        <f t="shared" si="1036"/>
        <v>LICENCIA DE ANTIVIRUS ESET ENDPOINT POR UN (1) AÑO - RENOVACIÓN</v>
      </c>
      <c r="C20418" s="6">
        <v>25073.3</v>
      </c>
      <c r="D20418" s="5" t="s">
        <v>873</v>
      </c>
      <c r="E20418" s="5" t="str">
        <f t="shared" si="1037"/>
        <v>SISTEMAS-GLOBALTRONIK SAS-SERGIO PATIÑO</v>
      </c>
      <c r="F20418" s="5"/>
      <c r="G20418" s="5"/>
    </row>
    <row r="20419" spans="1:7" ht="58.5" customHeight="1" x14ac:dyDescent="0.25">
      <c r="A20419" s="5" t="str">
        <f>"H0027922"</f>
        <v>H0027922</v>
      </c>
      <c r="B20419" s="5" t="str">
        <f t="shared" ref="B20419:B20482" si="1038">"LICENCIA DE ANTIVIRUS ESET ENDPOINT POR UN (1) AÑO - RENOVACIÓN"</f>
        <v>LICENCIA DE ANTIVIRUS ESET ENDPOINT POR UN (1) AÑO - RENOVACIÓN</v>
      </c>
      <c r="C20419" s="6">
        <v>25073.3</v>
      </c>
      <c r="D20419" s="5" t="s">
        <v>873</v>
      </c>
      <c r="E20419" s="5" t="str">
        <f t="shared" si="1037"/>
        <v>SISTEMAS-GLOBALTRONIK SAS-SERGIO PATIÑO</v>
      </c>
      <c r="F20419" s="5"/>
      <c r="G20419" s="5"/>
    </row>
    <row r="20420" spans="1:7" ht="58.5" customHeight="1" x14ac:dyDescent="0.25">
      <c r="A20420" s="5" t="str">
        <f>"H0027923"</f>
        <v>H0027923</v>
      </c>
      <c r="B20420" s="5" t="str">
        <f t="shared" si="1038"/>
        <v>LICENCIA DE ANTIVIRUS ESET ENDPOINT POR UN (1) AÑO - RENOVACIÓN</v>
      </c>
      <c r="C20420" s="6">
        <v>25073.3</v>
      </c>
      <c r="D20420" s="5" t="s">
        <v>873</v>
      </c>
      <c r="E20420" s="5" t="str">
        <f t="shared" si="1037"/>
        <v>SISTEMAS-GLOBALTRONIK SAS-SERGIO PATIÑO</v>
      </c>
      <c r="F20420" s="5"/>
      <c r="G20420" s="5"/>
    </row>
    <row r="20421" spans="1:7" ht="58.5" customHeight="1" x14ac:dyDescent="0.25">
      <c r="A20421" s="5" t="str">
        <f>"H0027924"</f>
        <v>H0027924</v>
      </c>
      <c r="B20421" s="5" t="str">
        <f t="shared" si="1038"/>
        <v>LICENCIA DE ANTIVIRUS ESET ENDPOINT POR UN (1) AÑO - RENOVACIÓN</v>
      </c>
      <c r="C20421" s="6">
        <v>25073.3</v>
      </c>
      <c r="D20421" s="5" t="s">
        <v>873</v>
      </c>
      <c r="E20421" s="5" t="str">
        <f t="shared" si="1037"/>
        <v>SISTEMAS-GLOBALTRONIK SAS-SERGIO PATIÑO</v>
      </c>
      <c r="F20421" s="5"/>
      <c r="G20421" s="5"/>
    </row>
    <row r="20422" spans="1:7" ht="58.5" customHeight="1" x14ac:dyDescent="0.25">
      <c r="A20422" s="5" t="str">
        <f>"H0027925"</f>
        <v>H0027925</v>
      </c>
      <c r="B20422" s="5" t="str">
        <f t="shared" si="1038"/>
        <v>LICENCIA DE ANTIVIRUS ESET ENDPOINT POR UN (1) AÑO - RENOVACIÓN</v>
      </c>
      <c r="C20422" s="6">
        <v>25073.3</v>
      </c>
      <c r="D20422" s="5" t="s">
        <v>873</v>
      </c>
      <c r="E20422" s="5" t="str">
        <f t="shared" si="1037"/>
        <v>SISTEMAS-GLOBALTRONIK SAS-SERGIO PATIÑO</v>
      </c>
      <c r="F20422" s="5"/>
      <c r="G20422" s="5"/>
    </row>
    <row r="20423" spans="1:7" ht="58.5" customHeight="1" x14ac:dyDescent="0.25">
      <c r="A20423" s="5" t="str">
        <f>"H0027926"</f>
        <v>H0027926</v>
      </c>
      <c r="B20423" s="5" t="str">
        <f t="shared" si="1038"/>
        <v>LICENCIA DE ANTIVIRUS ESET ENDPOINT POR UN (1) AÑO - RENOVACIÓN</v>
      </c>
      <c r="C20423" s="6">
        <v>25073.3</v>
      </c>
      <c r="D20423" s="5" t="s">
        <v>873</v>
      </c>
      <c r="E20423" s="5" t="str">
        <f t="shared" si="1037"/>
        <v>SISTEMAS-GLOBALTRONIK SAS-SERGIO PATIÑO</v>
      </c>
      <c r="F20423" s="5"/>
      <c r="G20423" s="5"/>
    </row>
    <row r="20424" spans="1:7" ht="58.5" customHeight="1" x14ac:dyDescent="0.25">
      <c r="A20424" s="5" t="str">
        <f>"H0027927"</f>
        <v>H0027927</v>
      </c>
      <c r="B20424" s="5" t="str">
        <f t="shared" si="1038"/>
        <v>LICENCIA DE ANTIVIRUS ESET ENDPOINT POR UN (1) AÑO - RENOVACIÓN</v>
      </c>
      <c r="C20424" s="6">
        <v>25073.3</v>
      </c>
      <c r="D20424" s="5" t="s">
        <v>873</v>
      </c>
      <c r="E20424" s="5" t="str">
        <f t="shared" si="1037"/>
        <v>SISTEMAS-GLOBALTRONIK SAS-SERGIO PATIÑO</v>
      </c>
      <c r="F20424" s="5"/>
      <c r="G20424" s="5"/>
    </row>
    <row r="20425" spans="1:7" ht="58.5" customHeight="1" x14ac:dyDescent="0.25">
      <c r="A20425" s="5" t="str">
        <f>"H0027928"</f>
        <v>H0027928</v>
      </c>
      <c r="B20425" s="5" t="str">
        <f t="shared" si="1038"/>
        <v>LICENCIA DE ANTIVIRUS ESET ENDPOINT POR UN (1) AÑO - RENOVACIÓN</v>
      </c>
      <c r="C20425" s="6">
        <v>25073.3</v>
      </c>
      <c r="D20425" s="5" t="s">
        <v>873</v>
      </c>
      <c r="E20425" s="5" t="str">
        <f t="shared" si="1037"/>
        <v>SISTEMAS-GLOBALTRONIK SAS-SERGIO PATIÑO</v>
      </c>
      <c r="F20425" s="5"/>
      <c r="G20425" s="5"/>
    </row>
    <row r="20426" spans="1:7" ht="58.5" customHeight="1" x14ac:dyDescent="0.25">
      <c r="A20426" s="5" t="str">
        <f>"H0027929"</f>
        <v>H0027929</v>
      </c>
      <c r="B20426" s="5" t="str">
        <f t="shared" si="1038"/>
        <v>LICENCIA DE ANTIVIRUS ESET ENDPOINT POR UN (1) AÑO - RENOVACIÓN</v>
      </c>
      <c r="C20426" s="6">
        <v>25073.3</v>
      </c>
      <c r="D20426" s="5" t="s">
        <v>873</v>
      </c>
      <c r="E20426" s="5" t="str">
        <f t="shared" si="1037"/>
        <v>SISTEMAS-GLOBALTRONIK SAS-SERGIO PATIÑO</v>
      </c>
      <c r="F20426" s="5"/>
      <c r="G20426" s="5"/>
    </row>
    <row r="20427" spans="1:7" ht="58.5" customHeight="1" x14ac:dyDescent="0.25">
      <c r="A20427" s="5" t="str">
        <f>"H0027930"</f>
        <v>H0027930</v>
      </c>
      <c r="B20427" s="5" t="str">
        <f t="shared" si="1038"/>
        <v>LICENCIA DE ANTIVIRUS ESET ENDPOINT POR UN (1) AÑO - RENOVACIÓN</v>
      </c>
      <c r="C20427" s="6">
        <v>25073.3</v>
      </c>
      <c r="D20427" s="5" t="s">
        <v>873</v>
      </c>
      <c r="E20427" s="5" t="str">
        <f t="shared" si="1037"/>
        <v>SISTEMAS-GLOBALTRONIK SAS-SERGIO PATIÑO</v>
      </c>
      <c r="F20427" s="5"/>
      <c r="G20427" s="5"/>
    </row>
    <row r="20428" spans="1:7" ht="58.5" customHeight="1" x14ac:dyDescent="0.25">
      <c r="A20428" s="5" t="str">
        <f>"H0027931"</f>
        <v>H0027931</v>
      </c>
      <c r="B20428" s="5" t="str">
        <f t="shared" si="1038"/>
        <v>LICENCIA DE ANTIVIRUS ESET ENDPOINT POR UN (1) AÑO - RENOVACIÓN</v>
      </c>
      <c r="C20428" s="6">
        <v>25073.3</v>
      </c>
      <c r="D20428" s="5" t="s">
        <v>873</v>
      </c>
      <c r="E20428" s="5" t="str">
        <f t="shared" si="1037"/>
        <v>SISTEMAS-GLOBALTRONIK SAS-SERGIO PATIÑO</v>
      </c>
      <c r="F20428" s="5"/>
      <c r="G20428" s="5"/>
    </row>
    <row r="20429" spans="1:7" ht="58.5" customHeight="1" x14ac:dyDescent="0.25">
      <c r="A20429" s="5" t="str">
        <f>"H0027932"</f>
        <v>H0027932</v>
      </c>
      <c r="B20429" s="5" t="str">
        <f t="shared" si="1038"/>
        <v>LICENCIA DE ANTIVIRUS ESET ENDPOINT POR UN (1) AÑO - RENOVACIÓN</v>
      </c>
      <c r="C20429" s="6">
        <v>25073.3</v>
      </c>
      <c r="D20429" s="5" t="s">
        <v>873</v>
      </c>
      <c r="E20429" s="5" t="str">
        <f t="shared" si="1037"/>
        <v>SISTEMAS-GLOBALTRONIK SAS-SERGIO PATIÑO</v>
      </c>
      <c r="F20429" s="5"/>
      <c r="G20429" s="5"/>
    </row>
    <row r="20430" spans="1:7" ht="58.5" customHeight="1" x14ac:dyDescent="0.25">
      <c r="A20430" s="5" t="str">
        <f>"H0027933"</f>
        <v>H0027933</v>
      </c>
      <c r="B20430" s="5" t="str">
        <f t="shared" si="1038"/>
        <v>LICENCIA DE ANTIVIRUS ESET ENDPOINT POR UN (1) AÑO - RENOVACIÓN</v>
      </c>
      <c r="C20430" s="6">
        <v>25073.3</v>
      </c>
      <c r="D20430" s="5" t="s">
        <v>873</v>
      </c>
      <c r="E20430" s="5" t="str">
        <f t="shared" si="1037"/>
        <v>SISTEMAS-GLOBALTRONIK SAS-SERGIO PATIÑO</v>
      </c>
      <c r="F20430" s="5"/>
      <c r="G20430" s="5"/>
    </row>
    <row r="20431" spans="1:7" ht="58.5" customHeight="1" x14ac:dyDescent="0.25">
      <c r="A20431" s="5" t="str">
        <f>"H0027934"</f>
        <v>H0027934</v>
      </c>
      <c r="B20431" s="5" t="str">
        <f t="shared" si="1038"/>
        <v>LICENCIA DE ANTIVIRUS ESET ENDPOINT POR UN (1) AÑO - RENOVACIÓN</v>
      </c>
      <c r="C20431" s="6">
        <v>25073.3</v>
      </c>
      <c r="D20431" s="5" t="s">
        <v>873</v>
      </c>
      <c r="E20431" s="5" t="str">
        <f t="shared" si="1037"/>
        <v>SISTEMAS-GLOBALTRONIK SAS-SERGIO PATIÑO</v>
      </c>
      <c r="F20431" s="5"/>
      <c r="G20431" s="5"/>
    </row>
    <row r="20432" spans="1:7" ht="58.5" customHeight="1" x14ac:dyDescent="0.25">
      <c r="A20432" s="5" t="str">
        <f>"H0027935"</f>
        <v>H0027935</v>
      </c>
      <c r="B20432" s="5" t="str">
        <f t="shared" si="1038"/>
        <v>LICENCIA DE ANTIVIRUS ESET ENDPOINT POR UN (1) AÑO - RENOVACIÓN</v>
      </c>
      <c r="C20432" s="6">
        <v>25073.3</v>
      </c>
      <c r="D20432" s="5" t="s">
        <v>873</v>
      </c>
      <c r="E20432" s="5" t="str">
        <f t="shared" si="1037"/>
        <v>SISTEMAS-GLOBALTRONIK SAS-SERGIO PATIÑO</v>
      </c>
      <c r="F20432" s="5"/>
      <c r="G20432" s="5"/>
    </row>
    <row r="20433" spans="1:7" ht="58.5" customHeight="1" x14ac:dyDescent="0.25">
      <c r="A20433" s="5" t="str">
        <f>"H0027936"</f>
        <v>H0027936</v>
      </c>
      <c r="B20433" s="5" t="str">
        <f t="shared" si="1038"/>
        <v>LICENCIA DE ANTIVIRUS ESET ENDPOINT POR UN (1) AÑO - RENOVACIÓN</v>
      </c>
      <c r="C20433" s="6">
        <v>25073.3</v>
      </c>
      <c r="D20433" s="5" t="s">
        <v>873</v>
      </c>
      <c r="E20433" s="5" t="str">
        <f t="shared" si="1037"/>
        <v>SISTEMAS-GLOBALTRONIK SAS-SERGIO PATIÑO</v>
      </c>
      <c r="F20433" s="5"/>
      <c r="G20433" s="5"/>
    </row>
    <row r="20434" spans="1:7" ht="58.5" customHeight="1" x14ac:dyDescent="0.25">
      <c r="A20434" s="5" t="str">
        <f>"H0027937"</f>
        <v>H0027937</v>
      </c>
      <c r="B20434" s="5" t="str">
        <f t="shared" si="1038"/>
        <v>LICENCIA DE ANTIVIRUS ESET ENDPOINT POR UN (1) AÑO - RENOVACIÓN</v>
      </c>
      <c r="C20434" s="6">
        <v>25073.3</v>
      </c>
      <c r="D20434" s="5" t="s">
        <v>873</v>
      </c>
      <c r="E20434" s="5" t="str">
        <f t="shared" si="1037"/>
        <v>SISTEMAS-GLOBALTRONIK SAS-SERGIO PATIÑO</v>
      </c>
      <c r="F20434" s="5"/>
      <c r="G20434" s="5"/>
    </row>
    <row r="20435" spans="1:7" ht="58.5" customHeight="1" x14ac:dyDescent="0.25">
      <c r="A20435" s="5" t="str">
        <f>"H0027938"</f>
        <v>H0027938</v>
      </c>
      <c r="B20435" s="5" t="str">
        <f t="shared" si="1038"/>
        <v>LICENCIA DE ANTIVIRUS ESET ENDPOINT POR UN (1) AÑO - RENOVACIÓN</v>
      </c>
      <c r="C20435" s="6">
        <v>25073.3</v>
      </c>
      <c r="D20435" s="5" t="s">
        <v>873</v>
      </c>
      <c r="E20435" s="5" t="str">
        <f t="shared" si="1037"/>
        <v>SISTEMAS-GLOBALTRONIK SAS-SERGIO PATIÑO</v>
      </c>
      <c r="F20435" s="5"/>
      <c r="G20435" s="5"/>
    </row>
    <row r="20436" spans="1:7" ht="58.5" customHeight="1" x14ac:dyDescent="0.25">
      <c r="A20436" s="5" t="str">
        <f>"H0027939"</f>
        <v>H0027939</v>
      </c>
      <c r="B20436" s="5" t="str">
        <f t="shared" si="1038"/>
        <v>LICENCIA DE ANTIVIRUS ESET ENDPOINT POR UN (1) AÑO - RENOVACIÓN</v>
      </c>
      <c r="C20436" s="6">
        <v>25073.3</v>
      </c>
      <c r="D20436" s="5" t="s">
        <v>873</v>
      </c>
      <c r="E20436" s="5" t="str">
        <f t="shared" si="1037"/>
        <v>SISTEMAS-GLOBALTRONIK SAS-SERGIO PATIÑO</v>
      </c>
      <c r="F20436" s="5"/>
      <c r="G20436" s="5"/>
    </row>
    <row r="20437" spans="1:7" ht="58.5" customHeight="1" x14ac:dyDescent="0.25">
      <c r="A20437" s="5" t="str">
        <f>"H0027940"</f>
        <v>H0027940</v>
      </c>
      <c r="B20437" s="5" t="str">
        <f t="shared" si="1038"/>
        <v>LICENCIA DE ANTIVIRUS ESET ENDPOINT POR UN (1) AÑO - RENOVACIÓN</v>
      </c>
      <c r="C20437" s="6">
        <v>25073.3</v>
      </c>
      <c r="D20437" s="5" t="s">
        <v>873</v>
      </c>
      <c r="E20437" s="5" t="str">
        <f t="shared" si="1037"/>
        <v>SISTEMAS-GLOBALTRONIK SAS-SERGIO PATIÑO</v>
      </c>
      <c r="F20437" s="5"/>
      <c r="G20437" s="5"/>
    </row>
    <row r="20438" spans="1:7" ht="58.5" customHeight="1" x14ac:dyDescent="0.25">
      <c r="A20438" s="5" t="str">
        <f>"H0027941"</f>
        <v>H0027941</v>
      </c>
      <c r="B20438" s="5" t="str">
        <f t="shared" si="1038"/>
        <v>LICENCIA DE ANTIVIRUS ESET ENDPOINT POR UN (1) AÑO - RENOVACIÓN</v>
      </c>
      <c r="C20438" s="6">
        <v>25073.3</v>
      </c>
      <c r="D20438" s="5" t="s">
        <v>873</v>
      </c>
      <c r="E20438" s="5" t="str">
        <f t="shared" si="1037"/>
        <v>SISTEMAS-GLOBALTRONIK SAS-SERGIO PATIÑO</v>
      </c>
      <c r="F20438" s="5"/>
      <c r="G20438" s="5"/>
    </row>
    <row r="20439" spans="1:7" ht="58.5" customHeight="1" x14ac:dyDescent="0.25">
      <c r="A20439" s="5" t="str">
        <f>"H0027942"</f>
        <v>H0027942</v>
      </c>
      <c r="B20439" s="5" t="str">
        <f t="shared" si="1038"/>
        <v>LICENCIA DE ANTIVIRUS ESET ENDPOINT POR UN (1) AÑO - RENOVACIÓN</v>
      </c>
      <c r="C20439" s="6">
        <v>25073.3</v>
      </c>
      <c r="D20439" s="5" t="s">
        <v>873</v>
      </c>
      <c r="E20439" s="5" t="str">
        <f t="shared" si="1037"/>
        <v>SISTEMAS-GLOBALTRONIK SAS-SERGIO PATIÑO</v>
      </c>
      <c r="F20439" s="5"/>
      <c r="G20439" s="5"/>
    </row>
    <row r="20440" spans="1:7" ht="58.5" customHeight="1" x14ac:dyDescent="0.25">
      <c r="A20440" s="5" t="str">
        <f>"H0027943"</f>
        <v>H0027943</v>
      </c>
      <c r="B20440" s="5" t="str">
        <f t="shared" si="1038"/>
        <v>LICENCIA DE ANTIVIRUS ESET ENDPOINT POR UN (1) AÑO - RENOVACIÓN</v>
      </c>
      <c r="C20440" s="6">
        <v>25073.3</v>
      </c>
      <c r="D20440" s="5" t="s">
        <v>873</v>
      </c>
      <c r="E20440" s="5" t="str">
        <f t="shared" si="1037"/>
        <v>SISTEMAS-GLOBALTRONIK SAS-SERGIO PATIÑO</v>
      </c>
      <c r="F20440" s="5"/>
      <c r="G20440" s="5"/>
    </row>
    <row r="20441" spans="1:7" ht="58.5" customHeight="1" x14ac:dyDescent="0.25">
      <c r="A20441" s="5" t="str">
        <f>"H0027944"</f>
        <v>H0027944</v>
      </c>
      <c r="B20441" s="5" t="str">
        <f t="shared" si="1038"/>
        <v>LICENCIA DE ANTIVIRUS ESET ENDPOINT POR UN (1) AÑO - RENOVACIÓN</v>
      </c>
      <c r="C20441" s="6">
        <v>25073.3</v>
      </c>
      <c r="D20441" s="5" t="s">
        <v>873</v>
      </c>
      <c r="E20441" s="5" t="str">
        <f t="shared" si="1037"/>
        <v>SISTEMAS-GLOBALTRONIK SAS-SERGIO PATIÑO</v>
      </c>
      <c r="F20441" s="5"/>
      <c r="G20441" s="5"/>
    </row>
    <row r="20442" spans="1:7" ht="58.5" customHeight="1" x14ac:dyDescent="0.25">
      <c r="A20442" s="5" t="str">
        <f>"H0027945"</f>
        <v>H0027945</v>
      </c>
      <c r="B20442" s="5" t="str">
        <f t="shared" si="1038"/>
        <v>LICENCIA DE ANTIVIRUS ESET ENDPOINT POR UN (1) AÑO - RENOVACIÓN</v>
      </c>
      <c r="C20442" s="6">
        <v>25073.3</v>
      </c>
      <c r="D20442" s="5" t="s">
        <v>873</v>
      </c>
      <c r="E20442" s="5" t="str">
        <f t="shared" si="1037"/>
        <v>SISTEMAS-GLOBALTRONIK SAS-SERGIO PATIÑO</v>
      </c>
      <c r="F20442" s="5"/>
      <c r="G20442" s="5"/>
    </row>
    <row r="20443" spans="1:7" ht="58.5" customHeight="1" x14ac:dyDescent="0.25">
      <c r="A20443" s="5" t="str">
        <f>"H0027946"</f>
        <v>H0027946</v>
      </c>
      <c r="B20443" s="5" t="str">
        <f t="shared" si="1038"/>
        <v>LICENCIA DE ANTIVIRUS ESET ENDPOINT POR UN (1) AÑO - RENOVACIÓN</v>
      </c>
      <c r="C20443" s="6">
        <v>25073.3</v>
      </c>
      <c r="D20443" s="5" t="s">
        <v>873</v>
      </c>
      <c r="E20443" s="5" t="str">
        <f t="shared" si="1037"/>
        <v>SISTEMAS-GLOBALTRONIK SAS-SERGIO PATIÑO</v>
      </c>
      <c r="F20443" s="5"/>
      <c r="G20443" s="5"/>
    </row>
    <row r="20444" spans="1:7" ht="58.5" customHeight="1" x14ac:dyDescent="0.25">
      <c r="A20444" s="5" t="str">
        <f>"H0027947"</f>
        <v>H0027947</v>
      </c>
      <c r="B20444" s="5" t="str">
        <f t="shared" si="1038"/>
        <v>LICENCIA DE ANTIVIRUS ESET ENDPOINT POR UN (1) AÑO - RENOVACIÓN</v>
      </c>
      <c r="C20444" s="6">
        <v>25073.3</v>
      </c>
      <c r="D20444" s="5" t="s">
        <v>873</v>
      </c>
      <c r="E20444" s="5" t="str">
        <f t="shared" si="1037"/>
        <v>SISTEMAS-GLOBALTRONIK SAS-SERGIO PATIÑO</v>
      </c>
      <c r="F20444" s="5"/>
      <c r="G20444" s="5"/>
    </row>
    <row r="20445" spans="1:7" ht="58.5" customHeight="1" x14ac:dyDescent="0.25">
      <c r="A20445" s="5" t="str">
        <f>"H0027948"</f>
        <v>H0027948</v>
      </c>
      <c r="B20445" s="5" t="str">
        <f t="shared" si="1038"/>
        <v>LICENCIA DE ANTIVIRUS ESET ENDPOINT POR UN (1) AÑO - RENOVACIÓN</v>
      </c>
      <c r="C20445" s="6">
        <v>25073.3</v>
      </c>
      <c r="D20445" s="5" t="s">
        <v>873</v>
      </c>
      <c r="E20445" s="5" t="str">
        <f t="shared" si="1037"/>
        <v>SISTEMAS-GLOBALTRONIK SAS-SERGIO PATIÑO</v>
      </c>
      <c r="F20445" s="5"/>
      <c r="G20445" s="5"/>
    </row>
    <row r="20446" spans="1:7" ht="58.5" customHeight="1" x14ac:dyDescent="0.25">
      <c r="A20446" s="5" t="str">
        <f>"H0027949"</f>
        <v>H0027949</v>
      </c>
      <c r="B20446" s="5" t="str">
        <f t="shared" si="1038"/>
        <v>LICENCIA DE ANTIVIRUS ESET ENDPOINT POR UN (1) AÑO - RENOVACIÓN</v>
      </c>
      <c r="C20446" s="6">
        <v>25073.3</v>
      </c>
      <c r="D20446" s="5" t="s">
        <v>873</v>
      </c>
      <c r="E20446" s="5" t="str">
        <f t="shared" si="1037"/>
        <v>SISTEMAS-GLOBALTRONIK SAS-SERGIO PATIÑO</v>
      </c>
      <c r="F20446" s="5"/>
      <c r="G20446" s="5"/>
    </row>
    <row r="20447" spans="1:7" ht="58.5" customHeight="1" x14ac:dyDescent="0.25">
      <c r="A20447" s="5" t="str">
        <f>"H0027950"</f>
        <v>H0027950</v>
      </c>
      <c r="B20447" s="5" t="str">
        <f t="shared" si="1038"/>
        <v>LICENCIA DE ANTIVIRUS ESET ENDPOINT POR UN (1) AÑO - RENOVACIÓN</v>
      </c>
      <c r="C20447" s="6">
        <v>25073.3</v>
      </c>
      <c r="D20447" s="5" t="s">
        <v>873</v>
      </c>
      <c r="E20447" s="5" t="str">
        <f t="shared" si="1037"/>
        <v>SISTEMAS-GLOBALTRONIK SAS-SERGIO PATIÑO</v>
      </c>
      <c r="F20447" s="5"/>
      <c r="G20447" s="5"/>
    </row>
    <row r="20448" spans="1:7" ht="58.5" customHeight="1" x14ac:dyDescent="0.25">
      <c r="A20448" s="5" t="str">
        <f>"H0027951"</f>
        <v>H0027951</v>
      </c>
      <c r="B20448" s="5" t="str">
        <f t="shared" si="1038"/>
        <v>LICENCIA DE ANTIVIRUS ESET ENDPOINT POR UN (1) AÑO - RENOVACIÓN</v>
      </c>
      <c r="C20448" s="6">
        <v>25073.3</v>
      </c>
      <c r="D20448" s="5" t="s">
        <v>873</v>
      </c>
      <c r="E20448" s="5" t="str">
        <f t="shared" si="1037"/>
        <v>SISTEMAS-GLOBALTRONIK SAS-SERGIO PATIÑO</v>
      </c>
      <c r="F20448" s="5"/>
      <c r="G20448" s="5"/>
    </row>
    <row r="20449" spans="1:7" ht="58.5" customHeight="1" x14ac:dyDescent="0.25">
      <c r="A20449" s="5" t="str">
        <f>"H0027952"</f>
        <v>H0027952</v>
      </c>
      <c r="B20449" s="5" t="str">
        <f t="shared" si="1038"/>
        <v>LICENCIA DE ANTIVIRUS ESET ENDPOINT POR UN (1) AÑO - RENOVACIÓN</v>
      </c>
      <c r="C20449" s="6">
        <v>25073.3</v>
      </c>
      <c r="D20449" s="5" t="s">
        <v>873</v>
      </c>
      <c r="E20449" s="5" t="str">
        <f t="shared" si="1037"/>
        <v>SISTEMAS-GLOBALTRONIK SAS-SERGIO PATIÑO</v>
      </c>
      <c r="F20449" s="5"/>
      <c r="G20449" s="5"/>
    </row>
    <row r="20450" spans="1:7" ht="58.5" customHeight="1" x14ac:dyDescent="0.25">
      <c r="A20450" s="5" t="str">
        <f>"H0027953"</f>
        <v>H0027953</v>
      </c>
      <c r="B20450" s="5" t="str">
        <f t="shared" si="1038"/>
        <v>LICENCIA DE ANTIVIRUS ESET ENDPOINT POR UN (1) AÑO - RENOVACIÓN</v>
      </c>
      <c r="C20450" s="6">
        <v>25073.3</v>
      </c>
      <c r="D20450" s="5" t="s">
        <v>873</v>
      </c>
      <c r="E20450" s="5" t="str">
        <f t="shared" si="1037"/>
        <v>SISTEMAS-GLOBALTRONIK SAS-SERGIO PATIÑO</v>
      </c>
      <c r="F20450" s="5"/>
      <c r="G20450" s="5"/>
    </row>
    <row r="20451" spans="1:7" ht="58.5" customHeight="1" x14ac:dyDescent="0.25">
      <c r="A20451" s="5" t="str">
        <f>"H0027954"</f>
        <v>H0027954</v>
      </c>
      <c r="B20451" s="5" t="str">
        <f t="shared" si="1038"/>
        <v>LICENCIA DE ANTIVIRUS ESET ENDPOINT POR UN (1) AÑO - RENOVACIÓN</v>
      </c>
      <c r="C20451" s="6">
        <v>25073.3</v>
      </c>
      <c r="D20451" s="5" t="s">
        <v>873</v>
      </c>
      <c r="E20451" s="5" t="str">
        <f t="shared" si="1037"/>
        <v>SISTEMAS-GLOBALTRONIK SAS-SERGIO PATIÑO</v>
      </c>
      <c r="F20451" s="5"/>
      <c r="G20451" s="5"/>
    </row>
    <row r="20452" spans="1:7" ht="58.5" customHeight="1" x14ac:dyDescent="0.25">
      <c r="A20452" s="5" t="str">
        <f>"H0027955"</f>
        <v>H0027955</v>
      </c>
      <c r="B20452" s="5" t="str">
        <f t="shared" si="1038"/>
        <v>LICENCIA DE ANTIVIRUS ESET ENDPOINT POR UN (1) AÑO - RENOVACIÓN</v>
      </c>
      <c r="C20452" s="6">
        <v>25073.3</v>
      </c>
      <c r="D20452" s="5" t="s">
        <v>873</v>
      </c>
      <c r="E20452" s="5" t="str">
        <f t="shared" si="1037"/>
        <v>SISTEMAS-GLOBALTRONIK SAS-SERGIO PATIÑO</v>
      </c>
      <c r="F20452" s="5"/>
      <c r="G20452" s="5"/>
    </row>
    <row r="20453" spans="1:7" ht="58.5" customHeight="1" x14ac:dyDescent="0.25">
      <c r="A20453" s="5" t="str">
        <f>"H0027956"</f>
        <v>H0027956</v>
      </c>
      <c r="B20453" s="5" t="str">
        <f t="shared" si="1038"/>
        <v>LICENCIA DE ANTIVIRUS ESET ENDPOINT POR UN (1) AÑO - RENOVACIÓN</v>
      </c>
      <c r="C20453" s="6">
        <v>25073.3</v>
      </c>
      <c r="D20453" s="5" t="s">
        <v>873</v>
      </c>
      <c r="E20453" s="5" t="str">
        <f t="shared" si="1037"/>
        <v>SISTEMAS-GLOBALTRONIK SAS-SERGIO PATIÑO</v>
      </c>
      <c r="F20453" s="5"/>
      <c r="G20453" s="5"/>
    </row>
    <row r="20454" spans="1:7" ht="58.5" customHeight="1" x14ac:dyDescent="0.25">
      <c r="A20454" s="5" t="str">
        <f>"H0027957"</f>
        <v>H0027957</v>
      </c>
      <c r="B20454" s="5" t="str">
        <f t="shared" si="1038"/>
        <v>LICENCIA DE ANTIVIRUS ESET ENDPOINT POR UN (1) AÑO - RENOVACIÓN</v>
      </c>
      <c r="C20454" s="6">
        <v>25073.3</v>
      </c>
      <c r="D20454" s="5" t="s">
        <v>873</v>
      </c>
      <c r="E20454" s="5" t="str">
        <f t="shared" si="1037"/>
        <v>SISTEMAS-GLOBALTRONIK SAS-SERGIO PATIÑO</v>
      </c>
      <c r="F20454" s="5"/>
      <c r="G20454" s="5"/>
    </row>
    <row r="20455" spans="1:7" ht="58.5" customHeight="1" x14ac:dyDescent="0.25">
      <c r="A20455" s="5" t="str">
        <f>"H0027958"</f>
        <v>H0027958</v>
      </c>
      <c r="B20455" s="5" t="str">
        <f t="shared" si="1038"/>
        <v>LICENCIA DE ANTIVIRUS ESET ENDPOINT POR UN (1) AÑO - RENOVACIÓN</v>
      </c>
      <c r="C20455" s="6">
        <v>25073.3</v>
      </c>
      <c r="D20455" s="5" t="s">
        <v>873</v>
      </c>
      <c r="E20455" s="5" t="str">
        <f t="shared" si="1037"/>
        <v>SISTEMAS-GLOBALTRONIK SAS-SERGIO PATIÑO</v>
      </c>
      <c r="F20455" s="5"/>
      <c r="G20455" s="5"/>
    </row>
    <row r="20456" spans="1:7" ht="58.5" customHeight="1" x14ac:dyDescent="0.25">
      <c r="A20456" s="5" t="str">
        <f>"H0027959"</f>
        <v>H0027959</v>
      </c>
      <c r="B20456" s="5" t="str">
        <f t="shared" si="1038"/>
        <v>LICENCIA DE ANTIVIRUS ESET ENDPOINT POR UN (1) AÑO - RENOVACIÓN</v>
      </c>
      <c r="C20456" s="6">
        <v>25073.3</v>
      </c>
      <c r="D20456" s="5" t="s">
        <v>873</v>
      </c>
      <c r="E20456" s="5" t="str">
        <f t="shared" si="1037"/>
        <v>SISTEMAS-GLOBALTRONIK SAS-SERGIO PATIÑO</v>
      </c>
      <c r="F20456" s="5"/>
      <c r="G20456" s="5"/>
    </row>
    <row r="20457" spans="1:7" ht="58.5" customHeight="1" x14ac:dyDescent="0.25">
      <c r="A20457" s="5" t="str">
        <f>"H0027960"</f>
        <v>H0027960</v>
      </c>
      <c r="B20457" s="5" t="str">
        <f t="shared" si="1038"/>
        <v>LICENCIA DE ANTIVIRUS ESET ENDPOINT POR UN (1) AÑO - RENOVACIÓN</v>
      </c>
      <c r="C20457" s="6">
        <v>25073.3</v>
      </c>
      <c r="D20457" s="5" t="s">
        <v>873</v>
      </c>
      <c r="E20457" s="5" t="str">
        <f t="shared" si="1037"/>
        <v>SISTEMAS-GLOBALTRONIK SAS-SERGIO PATIÑO</v>
      </c>
      <c r="F20457" s="5"/>
      <c r="G20457" s="5"/>
    </row>
    <row r="20458" spans="1:7" ht="58.5" customHeight="1" x14ac:dyDescent="0.25">
      <c r="A20458" s="5" t="str">
        <f>"H0027961"</f>
        <v>H0027961</v>
      </c>
      <c r="B20458" s="5" t="str">
        <f t="shared" si="1038"/>
        <v>LICENCIA DE ANTIVIRUS ESET ENDPOINT POR UN (1) AÑO - RENOVACIÓN</v>
      </c>
      <c r="C20458" s="6">
        <v>25073.3</v>
      </c>
      <c r="D20458" s="5" t="s">
        <v>873</v>
      </c>
      <c r="E20458" s="5" t="str">
        <f t="shared" si="1037"/>
        <v>SISTEMAS-GLOBALTRONIK SAS-SERGIO PATIÑO</v>
      </c>
      <c r="F20458" s="5"/>
      <c r="G20458" s="5"/>
    </row>
    <row r="20459" spans="1:7" ht="58.5" customHeight="1" x14ac:dyDescent="0.25">
      <c r="A20459" s="5" t="str">
        <f>"H0027962"</f>
        <v>H0027962</v>
      </c>
      <c r="B20459" s="5" t="str">
        <f t="shared" si="1038"/>
        <v>LICENCIA DE ANTIVIRUS ESET ENDPOINT POR UN (1) AÑO - RENOVACIÓN</v>
      </c>
      <c r="C20459" s="6">
        <v>25073.3</v>
      </c>
      <c r="D20459" s="5" t="s">
        <v>873</v>
      </c>
      <c r="E20459" s="5" t="str">
        <f t="shared" si="1037"/>
        <v>SISTEMAS-GLOBALTRONIK SAS-SERGIO PATIÑO</v>
      </c>
      <c r="F20459" s="5"/>
      <c r="G20459" s="5"/>
    </row>
    <row r="20460" spans="1:7" ht="58.5" customHeight="1" x14ac:dyDescent="0.25">
      <c r="A20460" s="5" t="str">
        <f>"H0027963"</f>
        <v>H0027963</v>
      </c>
      <c r="B20460" s="5" t="str">
        <f t="shared" si="1038"/>
        <v>LICENCIA DE ANTIVIRUS ESET ENDPOINT POR UN (1) AÑO - RENOVACIÓN</v>
      </c>
      <c r="C20460" s="6">
        <v>25073.3</v>
      </c>
      <c r="D20460" s="5" t="s">
        <v>873</v>
      </c>
      <c r="E20460" s="5" t="str">
        <f t="shared" si="1037"/>
        <v>SISTEMAS-GLOBALTRONIK SAS-SERGIO PATIÑO</v>
      </c>
      <c r="F20460" s="5"/>
      <c r="G20460" s="5"/>
    </row>
    <row r="20461" spans="1:7" ht="58.5" customHeight="1" x14ac:dyDescent="0.25">
      <c r="A20461" s="5" t="str">
        <f>"H0027964"</f>
        <v>H0027964</v>
      </c>
      <c r="B20461" s="5" t="str">
        <f t="shared" si="1038"/>
        <v>LICENCIA DE ANTIVIRUS ESET ENDPOINT POR UN (1) AÑO - RENOVACIÓN</v>
      </c>
      <c r="C20461" s="6">
        <v>25073.3</v>
      </c>
      <c r="D20461" s="5" t="s">
        <v>873</v>
      </c>
      <c r="E20461" s="5" t="str">
        <f t="shared" si="1037"/>
        <v>SISTEMAS-GLOBALTRONIK SAS-SERGIO PATIÑO</v>
      </c>
      <c r="F20461" s="5"/>
      <c r="G20461" s="5"/>
    </row>
    <row r="20462" spans="1:7" ht="58.5" customHeight="1" x14ac:dyDescent="0.25">
      <c r="A20462" s="5" t="str">
        <f>"H0027965"</f>
        <v>H0027965</v>
      </c>
      <c r="B20462" s="5" t="str">
        <f t="shared" si="1038"/>
        <v>LICENCIA DE ANTIVIRUS ESET ENDPOINT POR UN (1) AÑO - RENOVACIÓN</v>
      </c>
      <c r="C20462" s="6">
        <v>25073.3</v>
      </c>
      <c r="D20462" s="5" t="s">
        <v>873</v>
      </c>
      <c r="E20462" s="5" t="str">
        <f t="shared" si="1037"/>
        <v>SISTEMAS-GLOBALTRONIK SAS-SERGIO PATIÑO</v>
      </c>
      <c r="F20462" s="5"/>
      <c r="G20462" s="5"/>
    </row>
    <row r="20463" spans="1:7" ht="58.5" customHeight="1" x14ac:dyDescent="0.25">
      <c r="A20463" s="5" t="str">
        <f>"H0027966"</f>
        <v>H0027966</v>
      </c>
      <c r="B20463" s="5" t="str">
        <f t="shared" si="1038"/>
        <v>LICENCIA DE ANTIVIRUS ESET ENDPOINT POR UN (1) AÑO - RENOVACIÓN</v>
      </c>
      <c r="C20463" s="6">
        <v>25073.3</v>
      </c>
      <c r="D20463" s="5" t="s">
        <v>873</v>
      </c>
      <c r="E20463" s="5" t="str">
        <f t="shared" si="1037"/>
        <v>SISTEMAS-GLOBALTRONIK SAS-SERGIO PATIÑO</v>
      </c>
      <c r="F20463" s="5"/>
      <c r="G20463" s="5"/>
    </row>
    <row r="20464" spans="1:7" ht="58.5" customHeight="1" x14ac:dyDescent="0.25">
      <c r="A20464" s="5" t="str">
        <f>"H0027967"</f>
        <v>H0027967</v>
      </c>
      <c r="B20464" s="5" t="str">
        <f t="shared" si="1038"/>
        <v>LICENCIA DE ANTIVIRUS ESET ENDPOINT POR UN (1) AÑO - RENOVACIÓN</v>
      </c>
      <c r="C20464" s="6">
        <v>25073.3</v>
      </c>
      <c r="D20464" s="5" t="s">
        <v>873</v>
      </c>
      <c r="E20464" s="5" t="str">
        <f t="shared" si="1037"/>
        <v>SISTEMAS-GLOBALTRONIK SAS-SERGIO PATIÑO</v>
      </c>
      <c r="F20464" s="5"/>
      <c r="G20464" s="5"/>
    </row>
    <row r="20465" spans="1:7" ht="58.5" customHeight="1" x14ac:dyDescent="0.25">
      <c r="A20465" s="5" t="str">
        <f>"H0027968"</f>
        <v>H0027968</v>
      </c>
      <c r="B20465" s="5" t="str">
        <f t="shared" si="1038"/>
        <v>LICENCIA DE ANTIVIRUS ESET ENDPOINT POR UN (1) AÑO - RENOVACIÓN</v>
      </c>
      <c r="C20465" s="6">
        <v>25073.3</v>
      </c>
      <c r="D20465" s="5" t="s">
        <v>873</v>
      </c>
      <c r="E20465" s="5" t="str">
        <f t="shared" si="1037"/>
        <v>SISTEMAS-GLOBALTRONIK SAS-SERGIO PATIÑO</v>
      </c>
      <c r="F20465" s="5"/>
      <c r="G20465" s="5"/>
    </row>
    <row r="20466" spans="1:7" ht="58.5" customHeight="1" x14ac:dyDescent="0.25">
      <c r="A20466" s="5" t="str">
        <f>"H0027969"</f>
        <v>H0027969</v>
      </c>
      <c r="B20466" s="5" t="str">
        <f t="shared" si="1038"/>
        <v>LICENCIA DE ANTIVIRUS ESET ENDPOINT POR UN (1) AÑO - RENOVACIÓN</v>
      </c>
      <c r="C20466" s="6">
        <v>25073.3</v>
      </c>
      <c r="D20466" s="5" t="s">
        <v>873</v>
      </c>
      <c r="E20466" s="5" t="str">
        <f t="shared" si="1037"/>
        <v>SISTEMAS-GLOBALTRONIK SAS-SERGIO PATIÑO</v>
      </c>
      <c r="F20466" s="5"/>
      <c r="G20466" s="5"/>
    </row>
    <row r="20467" spans="1:7" ht="58.5" customHeight="1" x14ac:dyDescent="0.25">
      <c r="A20467" s="5" t="str">
        <f>"H0027970"</f>
        <v>H0027970</v>
      </c>
      <c r="B20467" s="5" t="str">
        <f t="shared" si="1038"/>
        <v>LICENCIA DE ANTIVIRUS ESET ENDPOINT POR UN (1) AÑO - RENOVACIÓN</v>
      </c>
      <c r="C20467" s="6">
        <v>25073.3</v>
      </c>
      <c r="D20467" s="5" t="s">
        <v>873</v>
      </c>
      <c r="E20467" s="5" t="str">
        <f t="shared" si="1037"/>
        <v>SISTEMAS-GLOBALTRONIK SAS-SERGIO PATIÑO</v>
      </c>
      <c r="F20467" s="5"/>
      <c r="G20467" s="5"/>
    </row>
    <row r="20468" spans="1:7" ht="58.5" customHeight="1" x14ac:dyDescent="0.25">
      <c r="A20468" s="5" t="str">
        <f>"H0027971"</f>
        <v>H0027971</v>
      </c>
      <c r="B20468" s="5" t="str">
        <f t="shared" si="1038"/>
        <v>LICENCIA DE ANTIVIRUS ESET ENDPOINT POR UN (1) AÑO - RENOVACIÓN</v>
      </c>
      <c r="C20468" s="6">
        <v>25073.3</v>
      </c>
      <c r="D20468" s="5" t="s">
        <v>873</v>
      </c>
      <c r="E20468" s="5" t="str">
        <f t="shared" si="1037"/>
        <v>SISTEMAS-GLOBALTRONIK SAS-SERGIO PATIÑO</v>
      </c>
      <c r="F20468" s="5"/>
      <c r="G20468" s="5"/>
    </row>
    <row r="20469" spans="1:7" ht="58.5" customHeight="1" x14ac:dyDescent="0.25">
      <c r="A20469" s="5" t="str">
        <f>"H0027972"</f>
        <v>H0027972</v>
      </c>
      <c r="B20469" s="5" t="str">
        <f t="shared" si="1038"/>
        <v>LICENCIA DE ANTIVIRUS ESET ENDPOINT POR UN (1) AÑO - RENOVACIÓN</v>
      </c>
      <c r="C20469" s="6">
        <v>25073.3</v>
      </c>
      <c r="D20469" s="5" t="s">
        <v>873</v>
      </c>
      <c r="E20469" s="5" t="str">
        <f t="shared" si="1037"/>
        <v>SISTEMAS-GLOBALTRONIK SAS-SERGIO PATIÑO</v>
      </c>
      <c r="F20469" s="5"/>
      <c r="G20469" s="5"/>
    </row>
    <row r="20470" spans="1:7" ht="58.5" customHeight="1" x14ac:dyDescent="0.25">
      <c r="A20470" s="5" t="str">
        <f>"H0027973"</f>
        <v>H0027973</v>
      </c>
      <c r="B20470" s="5" t="str">
        <f t="shared" si="1038"/>
        <v>LICENCIA DE ANTIVIRUS ESET ENDPOINT POR UN (1) AÑO - RENOVACIÓN</v>
      </c>
      <c r="C20470" s="6">
        <v>25073.3</v>
      </c>
      <c r="D20470" s="5" t="s">
        <v>873</v>
      </c>
      <c r="E20470" s="5" t="str">
        <f t="shared" si="1037"/>
        <v>SISTEMAS-GLOBALTRONIK SAS-SERGIO PATIÑO</v>
      </c>
      <c r="F20470" s="5"/>
      <c r="G20470" s="5"/>
    </row>
    <row r="20471" spans="1:7" ht="58.5" customHeight="1" x14ac:dyDescent="0.25">
      <c r="A20471" s="5" t="str">
        <f>"H0027974"</f>
        <v>H0027974</v>
      </c>
      <c r="B20471" s="5" t="str">
        <f t="shared" si="1038"/>
        <v>LICENCIA DE ANTIVIRUS ESET ENDPOINT POR UN (1) AÑO - RENOVACIÓN</v>
      </c>
      <c r="C20471" s="6">
        <v>25073.3</v>
      </c>
      <c r="D20471" s="5" t="s">
        <v>873</v>
      </c>
      <c r="E20471" s="5" t="str">
        <f t="shared" si="1037"/>
        <v>SISTEMAS-GLOBALTRONIK SAS-SERGIO PATIÑO</v>
      </c>
      <c r="F20471" s="5"/>
      <c r="G20471" s="5"/>
    </row>
    <row r="20472" spans="1:7" ht="58.5" customHeight="1" x14ac:dyDescent="0.25">
      <c r="A20472" s="5" t="str">
        <f>"H0027975"</f>
        <v>H0027975</v>
      </c>
      <c r="B20472" s="5" t="str">
        <f t="shared" si="1038"/>
        <v>LICENCIA DE ANTIVIRUS ESET ENDPOINT POR UN (1) AÑO - RENOVACIÓN</v>
      </c>
      <c r="C20472" s="6">
        <v>25073.3</v>
      </c>
      <c r="D20472" s="5" t="s">
        <v>873</v>
      </c>
      <c r="E20472" s="5" t="str">
        <f t="shared" si="1037"/>
        <v>SISTEMAS-GLOBALTRONIK SAS-SERGIO PATIÑO</v>
      </c>
      <c r="F20472" s="5"/>
      <c r="G20472" s="5"/>
    </row>
    <row r="20473" spans="1:7" ht="58.5" customHeight="1" x14ac:dyDescent="0.25">
      <c r="A20473" s="5" t="str">
        <f>"H0027976"</f>
        <v>H0027976</v>
      </c>
      <c r="B20473" s="5" t="str">
        <f t="shared" si="1038"/>
        <v>LICENCIA DE ANTIVIRUS ESET ENDPOINT POR UN (1) AÑO - RENOVACIÓN</v>
      </c>
      <c r="C20473" s="6">
        <v>25073.3</v>
      </c>
      <c r="D20473" s="5" t="s">
        <v>873</v>
      </c>
      <c r="E20473" s="5" t="str">
        <f t="shared" si="1037"/>
        <v>SISTEMAS-GLOBALTRONIK SAS-SERGIO PATIÑO</v>
      </c>
      <c r="F20473" s="5"/>
      <c r="G20473" s="5"/>
    </row>
    <row r="20474" spans="1:7" ht="58.5" customHeight="1" x14ac:dyDescent="0.25">
      <c r="A20474" s="5" t="str">
        <f>"H0027977"</f>
        <v>H0027977</v>
      </c>
      <c r="B20474" s="5" t="str">
        <f t="shared" si="1038"/>
        <v>LICENCIA DE ANTIVIRUS ESET ENDPOINT POR UN (1) AÑO - RENOVACIÓN</v>
      </c>
      <c r="C20474" s="6">
        <v>25073.3</v>
      </c>
      <c r="D20474" s="5" t="s">
        <v>873</v>
      </c>
      <c r="E20474" s="5" t="str">
        <f t="shared" si="1037"/>
        <v>SISTEMAS-GLOBALTRONIK SAS-SERGIO PATIÑO</v>
      </c>
      <c r="F20474" s="5"/>
      <c r="G20474" s="5"/>
    </row>
    <row r="20475" spans="1:7" ht="58.5" customHeight="1" x14ac:dyDescent="0.25">
      <c r="A20475" s="5" t="str">
        <f>"H0027978"</f>
        <v>H0027978</v>
      </c>
      <c r="B20475" s="5" t="str">
        <f t="shared" si="1038"/>
        <v>LICENCIA DE ANTIVIRUS ESET ENDPOINT POR UN (1) AÑO - RENOVACIÓN</v>
      </c>
      <c r="C20475" s="6">
        <v>25073.3</v>
      </c>
      <c r="D20475" s="5" t="s">
        <v>873</v>
      </c>
      <c r="E20475" s="5" t="str">
        <f t="shared" si="1037"/>
        <v>SISTEMAS-GLOBALTRONIK SAS-SERGIO PATIÑO</v>
      </c>
      <c r="F20475" s="5"/>
      <c r="G20475" s="5"/>
    </row>
    <row r="20476" spans="1:7" ht="58.5" customHeight="1" x14ac:dyDescent="0.25">
      <c r="A20476" s="5" t="str">
        <f>"H0027979"</f>
        <v>H0027979</v>
      </c>
      <c r="B20476" s="5" t="str">
        <f t="shared" si="1038"/>
        <v>LICENCIA DE ANTIVIRUS ESET ENDPOINT POR UN (1) AÑO - RENOVACIÓN</v>
      </c>
      <c r="C20476" s="6">
        <v>25073.3</v>
      </c>
      <c r="D20476" s="5" t="s">
        <v>873</v>
      </c>
      <c r="E20476" s="5" t="str">
        <f t="shared" si="1037"/>
        <v>SISTEMAS-GLOBALTRONIK SAS-SERGIO PATIÑO</v>
      </c>
      <c r="F20476" s="5"/>
      <c r="G20476" s="5"/>
    </row>
    <row r="20477" spans="1:7" ht="58.5" customHeight="1" x14ac:dyDescent="0.25">
      <c r="A20477" s="5" t="str">
        <f>"H0027980"</f>
        <v>H0027980</v>
      </c>
      <c r="B20477" s="5" t="str">
        <f t="shared" si="1038"/>
        <v>LICENCIA DE ANTIVIRUS ESET ENDPOINT POR UN (1) AÑO - RENOVACIÓN</v>
      </c>
      <c r="C20477" s="6">
        <v>25073.3</v>
      </c>
      <c r="D20477" s="5" t="s">
        <v>873</v>
      </c>
      <c r="E20477" s="5" t="str">
        <f t="shared" ref="E20477:E20540" si="1039">"SISTEMAS-GLOBALTRONIK SAS-SERGIO PATIÑO"</f>
        <v>SISTEMAS-GLOBALTRONIK SAS-SERGIO PATIÑO</v>
      </c>
      <c r="F20477" s="5"/>
      <c r="G20477" s="5"/>
    </row>
    <row r="20478" spans="1:7" ht="58.5" customHeight="1" x14ac:dyDescent="0.25">
      <c r="A20478" s="5" t="str">
        <f>"H0027981"</f>
        <v>H0027981</v>
      </c>
      <c r="B20478" s="5" t="str">
        <f t="shared" si="1038"/>
        <v>LICENCIA DE ANTIVIRUS ESET ENDPOINT POR UN (1) AÑO - RENOVACIÓN</v>
      </c>
      <c r="C20478" s="6">
        <v>25073.3</v>
      </c>
      <c r="D20478" s="5" t="s">
        <v>873</v>
      </c>
      <c r="E20478" s="5" t="str">
        <f t="shared" si="1039"/>
        <v>SISTEMAS-GLOBALTRONIK SAS-SERGIO PATIÑO</v>
      </c>
      <c r="F20478" s="5"/>
      <c r="G20478" s="5"/>
    </row>
    <row r="20479" spans="1:7" ht="58.5" customHeight="1" x14ac:dyDescent="0.25">
      <c r="A20479" s="5" t="str">
        <f>"H0027982"</f>
        <v>H0027982</v>
      </c>
      <c r="B20479" s="5" t="str">
        <f t="shared" si="1038"/>
        <v>LICENCIA DE ANTIVIRUS ESET ENDPOINT POR UN (1) AÑO - RENOVACIÓN</v>
      </c>
      <c r="C20479" s="6">
        <v>25073.3</v>
      </c>
      <c r="D20479" s="5" t="s">
        <v>873</v>
      </c>
      <c r="E20479" s="5" t="str">
        <f t="shared" si="1039"/>
        <v>SISTEMAS-GLOBALTRONIK SAS-SERGIO PATIÑO</v>
      </c>
      <c r="F20479" s="5"/>
      <c r="G20479" s="5"/>
    </row>
    <row r="20480" spans="1:7" ht="58.5" customHeight="1" x14ac:dyDescent="0.25">
      <c r="A20480" s="5" t="str">
        <f>"H0027983"</f>
        <v>H0027983</v>
      </c>
      <c r="B20480" s="5" t="str">
        <f t="shared" si="1038"/>
        <v>LICENCIA DE ANTIVIRUS ESET ENDPOINT POR UN (1) AÑO - RENOVACIÓN</v>
      </c>
      <c r="C20480" s="6">
        <v>25073.3</v>
      </c>
      <c r="D20480" s="5" t="s">
        <v>873</v>
      </c>
      <c r="E20480" s="5" t="str">
        <f t="shared" si="1039"/>
        <v>SISTEMAS-GLOBALTRONIK SAS-SERGIO PATIÑO</v>
      </c>
      <c r="F20480" s="5"/>
      <c r="G20480" s="5"/>
    </row>
    <row r="20481" spans="1:7" ht="58.5" customHeight="1" x14ac:dyDescent="0.25">
      <c r="A20481" s="5" t="str">
        <f>"H0027984"</f>
        <v>H0027984</v>
      </c>
      <c r="B20481" s="5" t="str">
        <f t="shared" si="1038"/>
        <v>LICENCIA DE ANTIVIRUS ESET ENDPOINT POR UN (1) AÑO - RENOVACIÓN</v>
      </c>
      <c r="C20481" s="6">
        <v>25073.3</v>
      </c>
      <c r="D20481" s="5" t="s">
        <v>873</v>
      </c>
      <c r="E20481" s="5" t="str">
        <f t="shared" si="1039"/>
        <v>SISTEMAS-GLOBALTRONIK SAS-SERGIO PATIÑO</v>
      </c>
      <c r="F20481" s="5"/>
      <c r="G20481" s="5"/>
    </row>
    <row r="20482" spans="1:7" ht="58.5" customHeight="1" x14ac:dyDescent="0.25">
      <c r="A20482" s="5" t="str">
        <f>"H0027985"</f>
        <v>H0027985</v>
      </c>
      <c r="B20482" s="5" t="str">
        <f t="shared" si="1038"/>
        <v>LICENCIA DE ANTIVIRUS ESET ENDPOINT POR UN (1) AÑO - RENOVACIÓN</v>
      </c>
      <c r="C20482" s="6">
        <v>25073.3</v>
      </c>
      <c r="D20482" s="5" t="s">
        <v>873</v>
      </c>
      <c r="E20482" s="5" t="str">
        <f t="shared" si="1039"/>
        <v>SISTEMAS-GLOBALTRONIK SAS-SERGIO PATIÑO</v>
      </c>
      <c r="F20482" s="5"/>
      <c r="G20482" s="5"/>
    </row>
    <row r="20483" spans="1:7" ht="58.5" customHeight="1" x14ac:dyDescent="0.25">
      <c r="A20483" s="5" t="str">
        <f>"H0027986"</f>
        <v>H0027986</v>
      </c>
      <c r="B20483" s="5" t="str">
        <f t="shared" ref="B20483:B20546" si="1040">"LICENCIA DE ANTIVIRUS ESET ENDPOINT POR UN (1) AÑO - RENOVACIÓN"</f>
        <v>LICENCIA DE ANTIVIRUS ESET ENDPOINT POR UN (1) AÑO - RENOVACIÓN</v>
      </c>
      <c r="C20483" s="6">
        <v>25073.3</v>
      </c>
      <c r="D20483" s="5" t="s">
        <v>873</v>
      </c>
      <c r="E20483" s="5" t="str">
        <f t="shared" si="1039"/>
        <v>SISTEMAS-GLOBALTRONIK SAS-SERGIO PATIÑO</v>
      </c>
      <c r="F20483" s="5"/>
      <c r="G20483" s="5"/>
    </row>
    <row r="20484" spans="1:7" ht="58.5" customHeight="1" x14ac:dyDescent="0.25">
      <c r="A20484" s="5" t="str">
        <f>"H0027987"</f>
        <v>H0027987</v>
      </c>
      <c r="B20484" s="5" t="str">
        <f t="shared" si="1040"/>
        <v>LICENCIA DE ANTIVIRUS ESET ENDPOINT POR UN (1) AÑO - RENOVACIÓN</v>
      </c>
      <c r="C20484" s="6">
        <v>25073.3</v>
      </c>
      <c r="D20484" s="5" t="s">
        <v>873</v>
      </c>
      <c r="E20484" s="5" t="str">
        <f t="shared" si="1039"/>
        <v>SISTEMAS-GLOBALTRONIK SAS-SERGIO PATIÑO</v>
      </c>
      <c r="F20484" s="5"/>
      <c r="G20484" s="5"/>
    </row>
    <row r="20485" spans="1:7" ht="58.5" customHeight="1" x14ac:dyDescent="0.25">
      <c r="A20485" s="5" t="str">
        <f>"H0027988"</f>
        <v>H0027988</v>
      </c>
      <c r="B20485" s="5" t="str">
        <f t="shared" si="1040"/>
        <v>LICENCIA DE ANTIVIRUS ESET ENDPOINT POR UN (1) AÑO - RENOVACIÓN</v>
      </c>
      <c r="C20485" s="6">
        <v>25073.3</v>
      </c>
      <c r="D20485" s="5" t="s">
        <v>873</v>
      </c>
      <c r="E20485" s="5" t="str">
        <f t="shared" si="1039"/>
        <v>SISTEMAS-GLOBALTRONIK SAS-SERGIO PATIÑO</v>
      </c>
      <c r="F20485" s="5"/>
      <c r="G20485" s="5"/>
    </row>
    <row r="20486" spans="1:7" ht="58.5" customHeight="1" x14ac:dyDescent="0.25">
      <c r="A20486" s="5" t="str">
        <f>"H0027989"</f>
        <v>H0027989</v>
      </c>
      <c r="B20486" s="5" t="str">
        <f t="shared" si="1040"/>
        <v>LICENCIA DE ANTIVIRUS ESET ENDPOINT POR UN (1) AÑO - RENOVACIÓN</v>
      </c>
      <c r="C20486" s="6">
        <v>25073.3</v>
      </c>
      <c r="D20486" s="5" t="s">
        <v>873</v>
      </c>
      <c r="E20486" s="5" t="str">
        <f t="shared" si="1039"/>
        <v>SISTEMAS-GLOBALTRONIK SAS-SERGIO PATIÑO</v>
      </c>
      <c r="F20486" s="5"/>
      <c r="G20486" s="5"/>
    </row>
    <row r="20487" spans="1:7" ht="58.5" customHeight="1" x14ac:dyDescent="0.25">
      <c r="A20487" s="5" t="str">
        <f>"H0027990"</f>
        <v>H0027990</v>
      </c>
      <c r="B20487" s="5" t="str">
        <f t="shared" si="1040"/>
        <v>LICENCIA DE ANTIVIRUS ESET ENDPOINT POR UN (1) AÑO - RENOVACIÓN</v>
      </c>
      <c r="C20487" s="6">
        <v>25073.3</v>
      </c>
      <c r="D20487" s="5" t="s">
        <v>873</v>
      </c>
      <c r="E20487" s="5" t="str">
        <f t="shared" si="1039"/>
        <v>SISTEMAS-GLOBALTRONIK SAS-SERGIO PATIÑO</v>
      </c>
      <c r="F20487" s="5"/>
      <c r="G20487" s="5"/>
    </row>
    <row r="20488" spans="1:7" ht="58.5" customHeight="1" x14ac:dyDescent="0.25">
      <c r="A20488" s="5" t="str">
        <f>"H0027991"</f>
        <v>H0027991</v>
      </c>
      <c r="B20488" s="5" t="str">
        <f t="shared" si="1040"/>
        <v>LICENCIA DE ANTIVIRUS ESET ENDPOINT POR UN (1) AÑO - RENOVACIÓN</v>
      </c>
      <c r="C20488" s="6">
        <v>25073.3</v>
      </c>
      <c r="D20488" s="5" t="s">
        <v>873</v>
      </c>
      <c r="E20488" s="5" t="str">
        <f t="shared" si="1039"/>
        <v>SISTEMAS-GLOBALTRONIK SAS-SERGIO PATIÑO</v>
      </c>
      <c r="F20488" s="5"/>
      <c r="G20488" s="5"/>
    </row>
    <row r="20489" spans="1:7" ht="58.5" customHeight="1" x14ac:dyDescent="0.25">
      <c r="A20489" s="5" t="str">
        <f>"H0027992"</f>
        <v>H0027992</v>
      </c>
      <c r="B20489" s="5" t="str">
        <f t="shared" si="1040"/>
        <v>LICENCIA DE ANTIVIRUS ESET ENDPOINT POR UN (1) AÑO - RENOVACIÓN</v>
      </c>
      <c r="C20489" s="6">
        <v>25073.3</v>
      </c>
      <c r="D20489" s="5" t="s">
        <v>873</v>
      </c>
      <c r="E20489" s="5" t="str">
        <f t="shared" si="1039"/>
        <v>SISTEMAS-GLOBALTRONIK SAS-SERGIO PATIÑO</v>
      </c>
      <c r="F20489" s="5"/>
      <c r="G20489" s="5"/>
    </row>
    <row r="20490" spans="1:7" ht="58.5" customHeight="1" x14ac:dyDescent="0.25">
      <c r="A20490" s="5" t="str">
        <f>"H0027993"</f>
        <v>H0027993</v>
      </c>
      <c r="B20490" s="5" t="str">
        <f t="shared" si="1040"/>
        <v>LICENCIA DE ANTIVIRUS ESET ENDPOINT POR UN (1) AÑO - RENOVACIÓN</v>
      </c>
      <c r="C20490" s="6">
        <v>25073.3</v>
      </c>
      <c r="D20490" s="5" t="s">
        <v>873</v>
      </c>
      <c r="E20490" s="5" t="str">
        <f t="shared" si="1039"/>
        <v>SISTEMAS-GLOBALTRONIK SAS-SERGIO PATIÑO</v>
      </c>
      <c r="F20490" s="5"/>
      <c r="G20490" s="5"/>
    </row>
    <row r="20491" spans="1:7" ht="58.5" customHeight="1" x14ac:dyDescent="0.25">
      <c r="A20491" s="5" t="str">
        <f>"H0027994"</f>
        <v>H0027994</v>
      </c>
      <c r="B20491" s="5" t="str">
        <f t="shared" si="1040"/>
        <v>LICENCIA DE ANTIVIRUS ESET ENDPOINT POR UN (1) AÑO - RENOVACIÓN</v>
      </c>
      <c r="C20491" s="6">
        <v>25073.3</v>
      </c>
      <c r="D20491" s="5" t="s">
        <v>873</v>
      </c>
      <c r="E20491" s="5" t="str">
        <f t="shared" si="1039"/>
        <v>SISTEMAS-GLOBALTRONIK SAS-SERGIO PATIÑO</v>
      </c>
      <c r="F20491" s="5"/>
      <c r="G20491" s="5"/>
    </row>
    <row r="20492" spans="1:7" ht="58.5" customHeight="1" x14ac:dyDescent="0.25">
      <c r="A20492" s="5" t="str">
        <f>"H0027995"</f>
        <v>H0027995</v>
      </c>
      <c r="B20492" s="5" t="str">
        <f t="shared" si="1040"/>
        <v>LICENCIA DE ANTIVIRUS ESET ENDPOINT POR UN (1) AÑO - RENOVACIÓN</v>
      </c>
      <c r="C20492" s="6">
        <v>25073.3</v>
      </c>
      <c r="D20492" s="5" t="s">
        <v>873</v>
      </c>
      <c r="E20492" s="5" t="str">
        <f t="shared" si="1039"/>
        <v>SISTEMAS-GLOBALTRONIK SAS-SERGIO PATIÑO</v>
      </c>
      <c r="F20492" s="5"/>
      <c r="G20492" s="5"/>
    </row>
    <row r="20493" spans="1:7" ht="58.5" customHeight="1" x14ac:dyDescent="0.25">
      <c r="A20493" s="5" t="str">
        <f>"H0027996"</f>
        <v>H0027996</v>
      </c>
      <c r="B20493" s="5" t="str">
        <f t="shared" si="1040"/>
        <v>LICENCIA DE ANTIVIRUS ESET ENDPOINT POR UN (1) AÑO - RENOVACIÓN</v>
      </c>
      <c r="C20493" s="6">
        <v>25073.3</v>
      </c>
      <c r="D20493" s="5" t="s">
        <v>873</v>
      </c>
      <c r="E20493" s="5" t="str">
        <f t="shared" si="1039"/>
        <v>SISTEMAS-GLOBALTRONIK SAS-SERGIO PATIÑO</v>
      </c>
      <c r="F20493" s="5"/>
      <c r="G20493" s="5"/>
    </row>
    <row r="20494" spans="1:7" ht="58.5" customHeight="1" x14ac:dyDescent="0.25">
      <c r="A20494" s="5" t="str">
        <f>"H0027997"</f>
        <v>H0027997</v>
      </c>
      <c r="B20494" s="5" t="str">
        <f t="shared" si="1040"/>
        <v>LICENCIA DE ANTIVIRUS ESET ENDPOINT POR UN (1) AÑO - RENOVACIÓN</v>
      </c>
      <c r="C20494" s="6">
        <v>25073.3</v>
      </c>
      <c r="D20494" s="5" t="s">
        <v>873</v>
      </c>
      <c r="E20494" s="5" t="str">
        <f t="shared" si="1039"/>
        <v>SISTEMAS-GLOBALTRONIK SAS-SERGIO PATIÑO</v>
      </c>
      <c r="F20494" s="5"/>
      <c r="G20494" s="5"/>
    </row>
    <row r="20495" spans="1:7" ht="58.5" customHeight="1" x14ac:dyDescent="0.25">
      <c r="A20495" s="5" t="str">
        <f>"H0027998"</f>
        <v>H0027998</v>
      </c>
      <c r="B20495" s="5" t="str">
        <f t="shared" si="1040"/>
        <v>LICENCIA DE ANTIVIRUS ESET ENDPOINT POR UN (1) AÑO - RENOVACIÓN</v>
      </c>
      <c r="C20495" s="6">
        <v>25073.3</v>
      </c>
      <c r="D20495" s="5" t="s">
        <v>873</v>
      </c>
      <c r="E20495" s="5" t="str">
        <f t="shared" si="1039"/>
        <v>SISTEMAS-GLOBALTRONIK SAS-SERGIO PATIÑO</v>
      </c>
      <c r="F20495" s="5"/>
      <c r="G20495" s="5"/>
    </row>
    <row r="20496" spans="1:7" ht="58.5" customHeight="1" x14ac:dyDescent="0.25">
      <c r="A20496" s="5" t="str">
        <f>"H0027999"</f>
        <v>H0027999</v>
      </c>
      <c r="B20496" s="5" t="str">
        <f t="shared" si="1040"/>
        <v>LICENCIA DE ANTIVIRUS ESET ENDPOINT POR UN (1) AÑO - RENOVACIÓN</v>
      </c>
      <c r="C20496" s="6">
        <v>25073.3</v>
      </c>
      <c r="D20496" s="5" t="s">
        <v>873</v>
      </c>
      <c r="E20496" s="5" t="str">
        <f t="shared" si="1039"/>
        <v>SISTEMAS-GLOBALTRONIK SAS-SERGIO PATIÑO</v>
      </c>
      <c r="F20496" s="5"/>
      <c r="G20496" s="5"/>
    </row>
    <row r="20497" spans="1:7" ht="58.5" customHeight="1" x14ac:dyDescent="0.25">
      <c r="A20497" s="5" t="str">
        <f>"H0028000"</f>
        <v>H0028000</v>
      </c>
      <c r="B20497" s="5" t="str">
        <f t="shared" si="1040"/>
        <v>LICENCIA DE ANTIVIRUS ESET ENDPOINT POR UN (1) AÑO - RENOVACIÓN</v>
      </c>
      <c r="C20497" s="6">
        <v>25073.3</v>
      </c>
      <c r="D20497" s="5" t="s">
        <v>873</v>
      </c>
      <c r="E20497" s="5" t="str">
        <f t="shared" si="1039"/>
        <v>SISTEMAS-GLOBALTRONIK SAS-SERGIO PATIÑO</v>
      </c>
      <c r="F20497" s="5"/>
      <c r="G20497" s="5"/>
    </row>
    <row r="20498" spans="1:7" ht="58.5" customHeight="1" x14ac:dyDescent="0.25">
      <c r="A20498" s="5" t="str">
        <f>"H0028001"</f>
        <v>H0028001</v>
      </c>
      <c r="B20498" s="5" t="str">
        <f t="shared" si="1040"/>
        <v>LICENCIA DE ANTIVIRUS ESET ENDPOINT POR UN (1) AÑO - RENOVACIÓN</v>
      </c>
      <c r="C20498" s="6">
        <v>25073.3</v>
      </c>
      <c r="D20498" s="5" t="s">
        <v>873</v>
      </c>
      <c r="E20498" s="5" t="str">
        <f t="shared" si="1039"/>
        <v>SISTEMAS-GLOBALTRONIK SAS-SERGIO PATIÑO</v>
      </c>
      <c r="F20498" s="5"/>
      <c r="G20498" s="5"/>
    </row>
    <row r="20499" spans="1:7" ht="58.5" customHeight="1" x14ac:dyDescent="0.25">
      <c r="A20499" s="5" t="str">
        <f>"H0028002"</f>
        <v>H0028002</v>
      </c>
      <c r="B20499" s="5" t="str">
        <f t="shared" si="1040"/>
        <v>LICENCIA DE ANTIVIRUS ESET ENDPOINT POR UN (1) AÑO - RENOVACIÓN</v>
      </c>
      <c r="C20499" s="6">
        <v>25073.3</v>
      </c>
      <c r="D20499" s="5" t="s">
        <v>873</v>
      </c>
      <c r="E20499" s="5" t="str">
        <f t="shared" si="1039"/>
        <v>SISTEMAS-GLOBALTRONIK SAS-SERGIO PATIÑO</v>
      </c>
      <c r="F20499" s="5"/>
      <c r="G20499" s="5"/>
    </row>
    <row r="20500" spans="1:7" ht="58.5" customHeight="1" x14ac:dyDescent="0.25">
      <c r="A20500" s="5" t="str">
        <f>"H0028003"</f>
        <v>H0028003</v>
      </c>
      <c r="B20500" s="5" t="str">
        <f t="shared" si="1040"/>
        <v>LICENCIA DE ANTIVIRUS ESET ENDPOINT POR UN (1) AÑO - RENOVACIÓN</v>
      </c>
      <c r="C20500" s="6">
        <v>25073.3</v>
      </c>
      <c r="D20500" s="5" t="s">
        <v>873</v>
      </c>
      <c r="E20500" s="5" t="str">
        <f t="shared" si="1039"/>
        <v>SISTEMAS-GLOBALTRONIK SAS-SERGIO PATIÑO</v>
      </c>
      <c r="F20500" s="5"/>
      <c r="G20500" s="5"/>
    </row>
    <row r="20501" spans="1:7" ht="58.5" customHeight="1" x14ac:dyDescent="0.25">
      <c r="A20501" s="5" t="str">
        <f>"H0028004"</f>
        <v>H0028004</v>
      </c>
      <c r="B20501" s="5" t="str">
        <f t="shared" si="1040"/>
        <v>LICENCIA DE ANTIVIRUS ESET ENDPOINT POR UN (1) AÑO - RENOVACIÓN</v>
      </c>
      <c r="C20501" s="6">
        <v>25073.3</v>
      </c>
      <c r="D20501" s="5" t="s">
        <v>873</v>
      </c>
      <c r="E20501" s="5" t="str">
        <f t="shared" si="1039"/>
        <v>SISTEMAS-GLOBALTRONIK SAS-SERGIO PATIÑO</v>
      </c>
      <c r="F20501" s="5"/>
      <c r="G20501" s="5"/>
    </row>
    <row r="20502" spans="1:7" ht="58.5" customHeight="1" x14ac:dyDescent="0.25">
      <c r="A20502" s="5" t="str">
        <f>"H0028005"</f>
        <v>H0028005</v>
      </c>
      <c r="B20502" s="5" t="str">
        <f t="shared" si="1040"/>
        <v>LICENCIA DE ANTIVIRUS ESET ENDPOINT POR UN (1) AÑO - RENOVACIÓN</v>
      </c>
      <c r="C20502" s="6">
        <v>25073.3</v>
      </c>
      <c r="D20502" s="5" t="s">
        <v>873</v>
      </c>
      <c r="E20502" s="5" t="str">
        <f t="shared" si="1039"/>
        <v>SISTEMAS-GLOBALTRONIK SAS-SERGIO PATIÑO</v>
      </c>
      <c r="F20502" s="5"/>
      <c r="G20502" s="5"/>
    </row>
    <row r="20503" spans="1:7" ht="58.5" customHeight="1" x14ac:dyDescent="0.25">
      <c r="A20503" s="5" t="str">
        <f>"H0028006"</f>
        <v>H0028006</v>
      </c>
      <c r="B20503" s="5" t="str">
        <f t="shared" si="1040"/>
        <v>LICENCIA DE ANTIVIRUS ESET ENDPOINT POR UN (1) AÑO - RENOVACIÓN</v>
      </c>
      <c r="C20503" s="6">
        <v>25073.3</v>
      </c>
      <c r="D20503" s="5" t="s">
        <v>873</v>
      </c>
      <c r="E20503" s="5" t="str">
        <f t="shared" si="1039"/>
        <v>SISTEMAS-GLOBALTRONIK SAS-SERGIO PATIÑO</v>
      </c>
      <c r="F20503" s="5"/>
      <c r="G20503" s="5"/>
    </row>
    <row r="20504" spans="1:7" ht="58.5" customHeight="1" x14ac:dyDescent="0.25">
      <c r="A20504" s="5" t="str">
        <f>"H0028007"</f>
        <v>H0028007</v>
      </c>
      <c r="B20504" s="5" t="str">
        <f t="shared" si="1040"/>
        <v>LICENCIA DE ANTIVIRUS ESET ENDPOINT POR UN (1) AÑO - RENOVACIÓN</v>
      </c>
      <c r="C20504" s="6">
        <v>25073.3</v>
      </c>
      <c r="D20504" s="5" t="s">
        <v>873</v>
      </c>
      <c r="E20504" s="5" t="str">
        <f t="shared" si="1039"/>
        <v>SISTEMAS-GLOBALTRONIK SAS-SERGIO PATIÑO</v>
      </c>
      <c r="F20504" s="5"/>
      <c r="G20504" s="5"/>
    </row>
    <row r="20505" spans="1:7" ht="58.5" customHeight="1" x14ac:dyDescent="0.25">
      <c r="A20505" s="5" t="str">
        <f>"H0028008"</f>
        <v>H0028008</v>
      </c>
      <c r="B20505" s="5" t="str">
        <f t="shared" si="1040"/>
        <v>LICENCIA DE ANTIVIRUS ESET ENDPOINT POR UN (1) AÑO - RENOVACIÓN</v>
      </c>
      <c r="C20505" s="6">
        <v>25073.3</v>
      </c>
      <c r="D20505" s="5" t="s">
        <v>873</v>
      </c>
      <c r="E20505" s="5" t="str">
        <f t="shared" si="1039"/>
        <v>SISTEMAS-GLOBALTRONIK SAS-SERGIO PATIÑO</v>
      </c>
      <c r="F20505" s="5"/>
      <c r="G20505" s="5"/>
    </row>
    <row r="20506" spans="1:7" ht="58.5" customHeight="1" x14ac:dyDescent="0.25">
      <c r="A20506" s="5" t="str">
        <f>"H0028009"</f>
        <v>H0028009</v>
      </c>
      <c r="B20506" s="5" t="str">
        <f t="shared" si="1040"/>
        <v>LICENCIA DE ANTIVIRUS ESET ENDPOINT POR UN (1) AÑO - RENOVACIÓN</v>
      </c>
      <c r="C20506" s="6">
        <v>25073.3</v>
      </c>
      <c r="D20506" s="5" t="s">
        <v>873</v>
      </c>
      <c r="E20506" s="5" t="str">
        <f t="shared" si="1039"/>
        <v>SISTEMAS-GLOBALTRONIK SAS-SERGIO PATIÑO</v>
      </c>
      <c r="F20506" s="5"/>
      <c r="G20506" s="5"/>
    </row>
    <row r="20507" spans="1:7" ht="58.5" customHeight="1" x14ac:dyDescent="0.25">
      <c r="A20507" s="5" t="str">
        <f>"H0028010"</f>
        <v>H0028010</v>
      </c>
      <c r="B20507" s="5" t="str">
        <f t="shared" si="1040"/>
        <v>LICENCIA DE ANTIVIRUS ESET ENDPOINT POR UN (1) AÑO - RENOVACIÓN</v>
      </c>
      <c r="C20507" s="6">
        <v>25073.3</v>
      </c>
      <c r="D20507" s="5" t="s">
        <v>873</v>
      </c>
      <c r="E20507" s="5" t="str">
        <f t="shared" si="1039"/>
        <v>SISTEMAS-GLOBALTRONIK SAS-SERGIO PATIÑO</v>
      </c>
      <c r="F20507" s="5"/>
      <c r="G20507" s="5"/>
    </row>
    <row r="20508" spans="1:7" ht="58.5" customHeight="1" x14ac:dyDescent="0.25">
      <c r="A20508" s="5" t="str">
        <f>"H0028011"</f>
        <v>H0028011</v>
      </c>
      <c r="B20508" s="5" t="str">
        <f t="shared" si="1040"/>
        <v>LICENCIA DE ANTIVIRUS ESET ENDPOINT POR UN (1) AÑO - RENOVACIÓN</v>
      </c>
      <c r="C20508" s="6">
        <v>25073.3</v>
      </c>
      <c r="D20508" s="5" t="s">
        <v>873</v>
      </c>
      <c r="E20508" s="5" t="str">
        <f t="shared" si="1039"/>
        <v>SISTEMAS-GLOBALTRONIK SAS-SERGIO PATIÑO</v>
      </c>
      <c r="F20508" s="5"/>
      <c r="G20508" s="5"/>
    </row>
    <row r="20509" spans="1:7" ht="58.5" customHeight="1" x14ac:dyDescent="0.25">
      <c r="A20509" s="5" t="str">
        <f>"H0028012"</f>
        <v>H0028012</v>
      </c>
      <c r="B20509" s="5" t="str">
        <f t="shared" si="1040"/>
        <v>LICENCIA DE ANTIVIRUS ESET ENDPOINT POR UN (1) AÑO - RENOVACIÓN</v>
      </c>
      <c r="C20509" s="6">
        <v>25073.3</v>
      </c>
      <c r="D20509" s="5" t="s">
        <v>873</v>
      </c>
      <c r="E20509" s="5" t="str">
        <f t="shared" si="1039"/>
        <v>SISTEMAS-GLOBALTRONIK SAS-SERGIO PATIÑO</v>
      </c>
      <c r="F20509" s="5"/>
      <c r="G20509" s="5"/>
    </row>
    <row r="20510" spans="1:7" ht="58.5" customHeight="1" x14ac:dyDescent="0.25">
      <c r="A20510" s="5" t="str">
        <f>"H0028013"</f>
        <v>H0028013</v>
      </c>
      <c r="B20510" s="5" t="str">
        <f t="shared" si="1040"/>
        <v>LICENCIA DE ANTIVIRUS ESET ENDPOINT POR UN (1) AÑO - RENOVACIÓN</v>
      </c>
      <c r="C20510" s="6">
        <v>25073.3</v>
      </c>
      <c r="D20510" s="5" t="s">
        <v>873</v>
      </c>
      <c r="E20510" s="5" t="str">
        <f t="shared" si="1039"/>
        <v>SISTEMAS-GLOBALTRONIK SAS-SERGIO PATIÑO</v>
      </c>
      <c r="F20510" s="5"/>
      <c r="G20510" s="5"/>
    </row>
    <row r="20511" spans="1:7" ht="58.5" customHeight="1" x14ac:dyDescent="0.25">
      <c r="A20511" s="5" t="str">
        <f>"H0028014"</f>
        <v>H0028014</v>
      </c>
      <c r="B20511" s="5" t="str">
        <f t="shared" si="1040"/>
        <v>LICENCIA DE ANTIVIRUS ESET ENDPOINT POR UN (1) AÑO - RENOVACIÓN</v>
      </c>
      <c r="C20511" s="6">
        <v>25073.3</v>
      </c>
      <c r="D20511" s="5" t="s">
        <v>873</v>
      </c>
      <c r="E20511" s="5" t="str">
        <f t="shared" si="1039"/>
        <v>SISTEMAS-GLOBALTRONIK SAS-SERGIO PATIÑO</v>
      </c>
      <c r="F20511" s="5"/>
      <c r="G20511" s="5"/>
    </row>
    <row r="20512" spans="1:7" ht="58.5" customHeight="1" x14ac:dyDescent="0.25">
      <c r="A20512" s="5" t="str">
        <f>"H0028015"</f>
        <v>H0028015</v>
      </c>
      <c r="B20512" s="5" t="str">
        <f t="shared" si="1040"/>
        <v>LICENCIA DE ANTIVIRUS ESET ENDPOINT POR UN (1) AÑO - RENOVACIÓN</v>
      </c>
      <c r="C20512" s="6">
        <v>25073.3</v>
      </c>
      <c r="D20512" s="5" t="s">
        <v>873</v>
      </c>
      <c r="E20512" s="5" t="str">
        <f t="shared" si="1039"/>
        <v>SISTEMAS-GLOBALTRONIK SAS-SERGIO PATIÑO</v>
      </c>
      <c r="F20512" s="5"/>
      <c r="G20512" s="5"/>
    </row>
    <row r="20513" spans="1:7" ht="58.5" customHeight="1" x14ac:dyDescent="0.25">
      <c r="A20513" s="5" t="str">
        <f>"H0028016"</f>
        <v>H0028016</v>
      </c>
      <c r="B20513" s="5" t="str">
        <f t="shared" si="1040"/>
        <v>LICENCIA DE ANTIVIRUS ESET ENDPOINT POR UN (1) AÑO - RENOVACIÓN</v>
      </c>
      <c r="C20513" s="6">
        <v>25073.3</v>
      </c>
      <c r="D20513" s="5" t="s">
        <v>873</v>
      </c>
      <c r="E20513" s="5" t="str">
        <f t="shared" si="1039"/>
        <v>SISTEMAS-GLOBALTRONIK SAS-SERGIO PATIÑO</v>
      </c>
      <c r="F20513" s="5"/>
      <c r="G20513" s="5"/>
    </row>
    <row r="20514" spans="1:7" ht="58.5" customHeight="1" x14ac:dyDescent="0.25">
      <c r="A20514" s="5" t="str">
        <f>"H0028017"</f>
        <v>H0028017</v>
      </c>
      <c r="B20514" s="5" t="str">
        <f t="shared" si="1040"/>
        <v>LICENCIA DE ANTIVIRUS ESET ENDPOINT POR UN (1) AÑO - RENOVACIÓN</v>
      </c>
      <c r="C20514" s="6">
        <v>25073.3</v>
      </c>
      <c r="D20514" s="5" t="s">
        <v>873</v>
      </c>
      <c r="E20514" s="5" t="str">
        <f t="shared" si="1039"/>
        <v>SISTEMAS-GLOBALTRONIK SAS-SERGIO PATIÑO</v>
      </c>
      <c r="F20514" s="5"/>
      <c r="G20514" s="5"/>
    </row>
    <row r="20515" spans="1:7" ht="58.5" customHeight="1" x14ac:dyDescent="0.25">
      <c r="A20515" s="5" t="str">
        <f>"H0028018"</f>
        <v>H0028018</v>
      </c>
      <c r="B20515" s="5" t="str">
        <f t="shared" si="1040"/>
        <v>LICENCIA DE ANTIVIRUS ESET ENDPOINT POR UN (1) AÑO - RENOVACIÓN</v>
      </c>
      <c r="C20515" s="6">
        <v>25073.3</v>
      </c>
      <c r="D20515" s="5" t="s">
        <v>873</v>
      </c>
      <c r="E20515" s="5" t="str">
        <f t="shared" si="1039"/>
        <v>SISTEMAS-GLOBALTRONIK SAS-SERGIO PATIÑO</v>
      </c>
      <c r="F20515" s="5"/>
      <c r="G20515" s="5"/>
    </row>
    <row r="20516" spans="1:7" ht="58.5" customHeight="1" x14ac:dyDescent="0.25">
      <c r="A20516" s="5" t="str">
        <f>"H0028019"</f>
        <v>H0028019</v>
      </c>
      <c r="B20516" s="5" t="str">
        <f t="shared" si="1040"/>
        <v>LICENCIA DE ANTIVIRUS ESET ENDPOINT POR UN (1) AÑO - RENOVACIÓN</v>
      </c>
      <c r="C20516" s="6">
        <v>25073.3</v>
      </c>
      <c r="D20516" s="5" t="s">
        <v>873</v>
      </c>
      <c r="E20516" s="5" t="str">
        <f t="shared" si="1039"/>
        <v>SISTEMAS-GLOBALTRONIK SAS-SERGIO PATIÑO</v>
      </c>
      <c r="F20516" s="5"/>
      <c r="G20516" s="5"/>
    </row>
    <row r="20517" spans="1:7" ht="58.5" customHeight="1" x14ac:dyDescent="0.25">
      <c r="A20517" s="5" t="str">
        <f>"H0028020"</f>
        <v>H0028020</v>
      </c>
      <c r="B20517" s="5" t="str">
        <f t="shared" si="1040"/>
        <v>LICENCIA DE ANTIVIRUS ESET ENDPOINT POR UN (1) AÑO - RENOVACIÓN</v>
      </c>
      <c r="C20517" s="6">
        <v>25073.3</v>
      </c>
      <c r="D20517" s="5" t="s">
        <v>873</v>
      </c>
      <c r="E20517" s="5" t="str">
        <f t="shared" si="1039"/>
        <v>SISTEMAS-GLOBALTRONIK SAS-SERGIO PATIÑO</v>
      </c>
      <c r="F20517" s="5"/>
      <c r="G20517" s="5"/>
    </row>
    <row r="20518" spans="1:7" ht="58.5" customHeight="1" x14ac:dyDescent="0.25">
      <c r="A20518" s="5" t="str">
        <f>"H0028021"</f>
        <v>H0028021</v>
      </c>
      <c r="B20518" s="5" t="str">
        <f t="shared" si="1040"/>
        <v>LICENCIA DE ANTIVIRUS ESET ENDPOINT POR UN (1) AÑO - RENOVACIÓN</v>
      </c>
      <c r="C20518" s="6">
        <v>25073.3</v>
      </c>
      <c r="D20518" s="5" t="s">
        <v>873</v>
      </c>
      <c r="E20518" s="5" t="str">
        <f t="shared" si="1039"/>
        <v>SISTEMAS-GLOBALTRONIK SAS-SERGIO PATIÑO</v>
      </c>
      <c r="F20518" s="5"/>
      <c r="G20518" s="5"/>
    </row>
    <row r="20519" spans="1:7" ht="58.5" customHeight="1" x14ac:dyDescent="0.25">
      <c r="A20519" s="5" t="str">
        <f>"H0028022"</f>
        <v>H0028022</v>
      </c>
      <c r="B20519" s="5" t="str">
        <f t="shared" si="1040"/>
        <v>LICENCIA DE ANTIVIRUS ESET ENDPOINT POR UN (1) AÑO - RENOVACIÓN</v>
      </c>
      <c r="C20519" s="6">
        <v>25073.3</v>
      </c>
      <c r="D20519" s="5" t="s">
        <v>873</v>
      </c>
      <c r="E20519" s="5" t="str">
        <f t="shared" si="1039"/>
        <v>SISTEMAS-GLOBALTRONIK SAS-SERGIO PATIÑO</v>
      </c>
      <c r="F20519" s="5"/>
      <c r="G20519" s="5"/>
    </row>
    <row r="20520" spans="1:7" ht="58.5" customHeight="1" x14ac:dyDescent="0.25">
      <c r="A20520" s="5" t="str">
        <f>"H0028023"</f>
        <v>H0028023</v>
      </c>
      <c r="B20520" s="5" t="str">
        <f t="shared" si="1040"/>
        <v>LICENCIA DE ANTIVIRUS ESET ENDPOINT POR UN (1) AÑO - RENOVACIÓN</v>
      </c>
      <c r="C20520" s="6">
        <v>25073.3</v>
      </c>
      <c r="D20520" s="5" t="s">
        <v>873</v>
      </c>
      <c r="E20520" s="5" t="str">
        <f t="shared" si="1039"/>
        <v>SISTEMAS-GLOBALTRONIK SAS-SERGIO PATIÑO</v>
      </c>
      <c r="F20520" s="5"/>
      <c r="G20520" s="5"/>
    </row>
    <row r="20521" spans="1:7" ht="58.5" customHeight="1" x14ac:dyDescent="0.25">
      <c r="A20521" s="5" t="str">
        <f>"H0028024"</f>
        <v>H0028024</v>
      </c>
      <c r="B20521" s="5" t="str">
        <f t="shared" si="1040"/>
        <v>LICENCIA DE ANTIVIRUS ESET ENDPOINT POR UN (1) AÑO - RENOVACIÓN</v>
      </c>
      <c r="C20521" s="6">
        <v>25073.3</v>
      </c>
      <c r="D20521" s="5" t="s">
        <v>873</v>
      </c>
      <c r="E20521" s="5" t="str">
        <f t="shared" si="1039"/>
        <v>SISTEMAS-GLOBALTRONIK SAS-SERGIO PATIÑO</v>
      </c>
      <c r="F20521" s="5"/>
      <c r="G20521" s="5"/>
    </row>
    <row r="20522" spans="1:7" ht="58.5" customHeight="1" x14ac:dyDescent="0.25">
      <c r="A20522" s="5" t="str">
        <f>"H0028025"</f>
        <v>H0028025</v>
      </c>
      <c r="B20522" s="5" t="str">
        <f t="shared" si="1040"/>
        <v>LICENCIA DE ANTIVIRUS ESET ENDPOINT POR UN (1) AÑO - RENOVACIÓN</v>
      </c>
      <c r="C20522" s="6">
        <v>25073.3</v>
      </c>
      <c r="D20522" s="5" t="s">
        <v>873</v>
      </c>
      <c r="E20522" s="5" t="str">
        <f t="shared" si="1039"/>
        <v>SISTEMAS-GLOBALTRONIK SAS-SERGIO PATIÑO</v>
      </c>
      <c r="F20522" s="5"/>
      <c r="G20522" s="5"/>
    </row>
    <row r="20523" spans="1:7" ht="58.5" customHeight="1" x14ac:dyDescent="0.25">
      <c r="A20523" s="5" t="str">
        <f>"H0028026"</f>
        <v>H0028026</v>
      </c>
      <c r="B20523" s="5" t="str">
        <f t="shared" si="1040"/>
        <v>LICENCIA DE ANTIVIRUS ESET ENDPOINT POR UN (1) AÑO - RENOVACIÓN</v>
      </c>
      <c r="C20523" s="6">
        <v>25073.3</v>
      </c>
      <c r="D20523" s="5" t="s">
        <v>873</v>
      </c>
      <c r="E20523" s="5" t="str">
        <f t="shared" si="1039"/>
        <v>SISTEMAS-GLOBALTRONIK SAS-SERGIO PATIÑO</v>
      </c>
      <c r="F20523" s="5"/>
      <c r="G20523" s="5"/>
    </row>
    <row r="20524" spans="1:7" ht="58.5" customHeight="1" x14ac:dyDescent="0.25">
      <c r="A20524" s="5" t="str">
        <f>"H0028027"</f>
        <v>H0028027</v>
      </c>
      <c r="B20524" s="5" t="str">
        <f t="shared" si="1040"/>
        <v>LICENCIA DE ANTIVIRUS ESET ENDPOINT POR UN (1) AÑO - RENOVACIÓN</v>
      </c>
      <c r="C20524" s="6">
        <v>25073.3</v>
      </c>
      <c r="D20524" s="5" t="s">
        <v>873</v>
      </c>
      <c r="E20524" s="5" t="str">
        <f t="shared" si="1039"/>
        <v>SISTEMAS-GLOBALTRONIK SAS-SERGIO PATIÑO</v>
      </c>
      <c r="F20524" s="5"/>
      <c r="G20524" s="5"/>
    </row>
    <row r="20525" spans="1:7" ht="58.5" customHeight="1" x14ac:dyDescent="0.25">
      <c r="A20525" s="5" t="str">
        <f>"H0028028"</f>
        <v>H0028028</v>
      </c>
      <c r="B20525" s="5" t="str">
        <f t="shared" si="1040"/>
        <v>LICENCIA DE ANTIVIRUS ESET ENDPOINT POR UN (1) AÑO - RENOVACIÓN</v>
      </c>
      <c r="C20525" s="6">
        <v>25073.3</v>
      </c>
      <c r="D20525" s="5" t="s">
        <v>873</v>
      </c>
      <c r="E20525" s="5" t="str">
        <f t="shared" si="1039"/>
        <v>SISTEMAS-GLOBALTRONIK SAS-SERGIO PATIÑO</v>
      </c>
      <c r="F20525" s="5"/>
      <c r="G20525" s="5"/>
    </row>
    <row r="20526" spans="1:7" ht="58.5" customHeight="1" x14ac:dyDescent="0.25">
      <c r="A20526" s="5" t="str">
        <f>"H0028029"</f>
        <v>H0028029</v>
      </c>
      <c r="B20526" s="5" t="str">
        <f t="shared" si="1040"/>
        <v>LICENCIA DE ANTIVIRUS ESET ENDPOINT POR UN (1) AÑO - RENOVACIÓN</v>
      </c>
      <c r="C20526" s="6">
        <v>25073.3</v>
      </c>
      <c r="D20526" s="5" t="s">
        <v>873</v>
      </c>
      <c r="E20526" s="5" t="str">
        <f t="shared" si="1039"/>
        <v>SISTEMAS-GLOBALTRONIK SAS-SERGIO PATIÑO</v>
      </c>
      <c r="F20526" s="5"/>
      <c r="G20526" s="5"/>
    </row>
    <row r="20527" spans="1:7" ht="58.5" customHeight="1" x14ac:dyDescent="0.25">
      <c r="A20527" s="5" t="str">
        <f>"H0028030"</f>
        <v>H0028030</v>
      </c>
      <c r="B20527" s="5" t="str">
        <f t="shared" si="1040"/>
        <v>LICENCIA DE ANTIVIRUS ESET ENDPOINT POR UN (1) AÑO - RENOVACIÓN</v>
      </c>
      <c r="C20527" s="6">
        <v>25073.3</v>
      </c>
      <c r="D20527" s="5" t="s">
        <v>873</v>
      </c>
      <c r="E20527" s="5" t="str">
        <f t="shared" si="1039"/>
        <v>SISTEMAS-GLOBALTRONIK SAS-SERGIO PATIÑO</v>
      </c>
      <c r="F20527" s="5"/>
      <c r="G20527" s="5"/>
    </row>
    <row r="20528" spans="1:7" ht="58.5" customHeight="1" x14ac:dyDescent="0.25">
      <c r="A20528" s="5" t="str">
        <f>"H0028031"</f>
        <v>H0028031</v>
      </c>
      <c r="B20528" s="5" t="str">
        <f t="shared" si="1040"/>
        <v>LICENCIA DE ANTIVIRUS ESET ENDPOINT POR UN (1) AÑO - RENOVACIÓN</v>
      </c>
      <c r="C20528" s="6">
        <v>25073.3</v>
      </c>
      <c r="D20528" s="5" t="s">
        <v>873</v>
      </c>
      <c r="E20528" s="5" t="str">
        <f t="shared" si="1039"/>
        <v>SISTEMAS-GLOBALTRONIK SAS-SERGIO PATIÑO</v>
      </c>
      <c r="F20528" s="5"/>
      <c r="G20528" s="5"/>
    </row>
    <row r="20529" spans="1:7" ht="58.5" customHeight="1" x14ac:dyDescent="0.25">
      <c r="A20529" s="5" t="str">
        <f>"H0028032"</f>
        <v>H0028032</v>
      </c>
      <c r="B20529" s="5" t="str">
        <f t="shared" si="1040"/>
        <v>LICENCIA DE ANTIVIRUS ESET ENDPOINT POR UN (1) AÑO - RENOVACIÓN</v>
      </c>
      <c r="C20529" s="6">
        <v>25073.3</v>
      </c>
      <c r="D20529" s="5" t="s">
        <v>873</v>
      </c>
      <c r="E20529" s="5" t="str">
        <f t="shared" si="1039"/>
        <v>SISTEMAS-GLOBALTRONIK SAS-SERGIO PATIÑO</v>
      </c>
      <c r="F20529" s="5"/>
      <c r="G20529" s="5"/>
    </row>
    <row r="20530" spans="1:7" ht="58.5" customHeight="1" x14ac:dyDescent="0.25">
      <c r="A20530" s="5" t="str">
        <f>"H0028033"</f>
        <v>H0028033</v>
      </c>
      <c r="B20530" s="5" t="str">
        <f t="shared" si="1040"/>
        <v>LICENCIA DE ANTIVIRUS ESET ENDPOINT POR UN (1) AÑO - RENOVACIÓN</v>
      </c>
      <c r="C20530" s="6">
        <v>25073.3</v>
      </c>
      <c r="D20530" s="5" t="s">
        <v>873</v>
      </c>
      <c r="E20530" s="5" t="str">
        <f t="shared" si="1039"/>
        <v>SISTEMAS-GLOBALTRONIK SAS-SERGIO PATIÑO</v>
      </c>
      <c r="F20530" s="5"/>
      <c r="G20530" s="5"/>
    </row>
    <row r="20531" spans="1:7" ht="58.5" customHeight="1" x14ac:dyDescent="0.25">
      <c r="A20531" s="5" t="str">
        <f>"H0028034"</f>
        <v>H0028034</v>
      </c>
      <c r="B20531" s="5" t="str">
        <f t="shared" si="1040"/>
        <v>LICENCIA DE ANTIVIRUS ESET ENDPOINT POR UN (1) AÑO - RENOVACIÓN</v>
      </c>
      <c r="C20531" s="6">
        <v>25073.3</v>
      </c>
      <c r="D20531" s="5" t="s">
        <v>873</v>
      </c>
      <c r="E20531" s="5" t="str">
        <f t="shared" si="1039"/>
        <v>SISTEMAS-GLOBALTRONIK SAS-SERGIO PATIÑO</v>
      </c>
      <c r="F20531" s="5"/>
      <c r="G20531" s="5"/>
    </row>
    <row r="20532" spans="1:7" ht="58.5" customHeight="1" x14ac:dyDescent="0.25">
      <c r="A20532" s="5" t="str">
        <f>"H0028035"</f>
        <v>H0028035</v>
      </c>
      <c r="B20532" s="5" t="str">
        <f t="shared" si="1040"/>
        <v>LICENCIA DE ANTIVIRUS ESET ENDPOINT POR UN (1) AÑO - RENOVACIÓN</v>
      </c>
      <c r="C20532" s="6">
        <v>25073.3</v>
      </c>
      <c r="D20532" s="5" t="s">
        <v>873</v>
      </c>
      <c r="E20532" s="5" t="str">
        <f t="shared" si="1039"/>
        <v>SISTEMAS-GLOBALTRONIK SAS-SERGIO PATIÑO</v>
      </c>
      <c r="F20532" s="5"/>
      <c r="G20532" s="5"/>
    </row>
    <row r="20533" spans="1:7" ht="58.5" customHeight="1" x14ac:dyDescent="0.25">
      <c r="A20533" s="5" t="str">
        <f>"H0028036"</f>
        <v>H0028036</v>
      </c>
      <c r="B20533" s="5" t="str">
        <f t="shared" si="1040"/>
        <v>LICENCIA DE ANTIVIRUS ESET ENDPOINT POR UN (1) AÑO - RENOVACIÓN</v>
      </c>
      <c r="C20533" s="6">
        <v>25073.3</v>
      </c>
      <c r="D20533" s="5" t="s">
        <v>873</v>
      </c>
      <c r="E20533" s="5" t="str">
        <f t="shared" si="1039"/>
        <v>SISTEMAS-GLOBALTRONIK SAS-SERGIO PATIÑO</v>
      </c>
      <c r="F20533" s="5"/>
      <c r="G20533" s="5"/>
    </row>
    <row r="20534" spans="1:7" ht="58.5" customHeight="1" x14ac:dyDescent="0.25">
      <c r="A20534" s="5" t="str">
        <f>"H0028037"</f>
        <v>H0028037</v>
      </c>
      <c r="B20534" s="5" t="str">
        <f t="shared" si="1040"/>
        <v>LICENCIA DE ANTIVIRUS ESET ENDPOINT POR UN (1) AÑO - RENOVACIÓN</v>
      </c>
      <c r="C20534" s="6">
        <v>25073.3</v>
      </c>
      <c r="D20534" s="5" t="s">
        <v>873</v>
      </c>
      <c r="E20534" s="5" t="str">
        <f t="shared" si="1039"/>
        <v>SISTEMAS-GLOBALTRONIK SAS-SERGIO PATIÑO</v>
      </c>
      <c r="F20534" s="5"/>
      <c r="G20534" s="5"/>
    </row>
    <row r="20535" spans="1:7" ht="58.5" customHeight="1" x14ac:dyDescent="0.25">
      <c r="A20535" s="5" t="str">
        <f>"H0028038"</f>
        <v>H0028038</v>
      </c>
      <c r="B20535" s="5" t="str">
        <f t="shared" si="1040"/>
        <v>LICENCIA DE ANTIVIRUS ESET ENDPOINT POR UN (1) AÑO - RENOVACIÓN</v>
      </c>
      <c r="C20535" s="6">
        <v>25073.3</v>
      </c>
      <c r="D20535" s="5" t="s">
        <v>873</v>
      </c>
      <c r="E20535" s="5" t="str">
        <f t="shared" si="1039"/>
        <v>SISTEMAS-GLOBALTRONIK SAS-SERGIO PATIÑO</v>
      </c>
      <c r="F20535" s="5"/>
      <c r="G20535" s="5"/>
    </row>
    <row r="20536" spans="1:7" ht="58.5" customHeight="1" x14ac:dyDescent="0.25">
      <c r="A20536" s="5" t="str">
        <f>"H0028039"</f>
        <v>H0028039</v>
      </c>
      <c r="B20536" s="5" t="str">
        <f t="shared" si="1040"/>
        <v>LICENCIA DE ANTIVIRUS ESET ENDPOINT POR UN (1) AÑO - RENOVACIÓN</v>
      </c>
      <c r="C20536" s="6">
        <v>25073.3</v>
      </c>
      <c r="D20536" s="5" t="s">
        <v>873</v>
      </c>
      <c r="E20536" s="5" t="str">
        <f t="shared" si="1039"/>
        <v>SISTEMAS-GLOBALTRONIK SAS-SERGIO PATIÑO</v>
      </c>
      <c r="F20536" s="5"/>
      <c r="G20536" s="5"/>
    </row>
    <row r="20537" spans="1:7" ht="58.5" customHeight="1" x14ac:dyDescent="0.25">
      <c r="A20537" s="5" t="str">
        <f>"H0028040"</f>
        <v>H0028040</v>
      </c>
      <c r="B20537" s="5" t="str">
        <f t="shared" si="1040"/>
        <v>LICENCIA DE ANTIVIRUS ESET ENDPOINT POR UN (1) AÑO - RENOVACIÓN</v>
      </c>
      <c r="C20537" s="6">
        <v>25073.3</v>
      </c>
      <c r="D20537" s="5" t="s">
        <v>873</v>
      </c>
      <c r="E20537" s="5" t="str">
        <f t="shared" si="1039"/>
        <v>SISTEMAS-GLOBALTRONIK SAS-SERGIO PATIÑO</v>
      </c>
      <c r="F20537" s="5"/>
      <c r="G20537" s="5"/>
    </row>
    <row r="20538" spans="1:7" ht="58.5" customHeight="1" x14ac:dyDescent="0.25">
      <c r="A20538" s="5" t="str">
        <f>"H0028041"</f>
        <v>H0028041</v>
      </c>
      <c r="B20538" s="5" t="str">
        <f t="shared" si="1040"/>
        <v>LICENCIA DE ANTIVIRUS ESET ENDPOINT POR UN (1) AÑO - RENOVACIÓN</v>
      </c>
      <c r="C20538" s="6">
        <v>25073.3</v>
      </c>
      <c r="D20538" s="5" t="s">
        <v>873</v>
      </c>
      <c r="E20538" s="5" t="str">
        <f t="shared" si="1039"/>
        <v>SISTEMAS-GLOBALTRONIK SAS-SERGIO PATIÑO</v>
      </c>
      <c r="F20538" s="5"/>
      <c r="G20538" s="5"/>
    </row>
    <row r="20539" spans="1:7" ht="58.5" customHeight="1" x14ac:dyDescent="0.25">
      <c r="A20539" s="5" t="str">
        <f>"H0028042"</f>
        <v>H0028042</v>
      </c>
      <c r="B20539" s="5" t="str">
        <f t="shared" si="1040"/>
        <v>LICENCIA DE ANTIVIRUS ESET ENDPOINT POR UN (1) AÑO - RENOVACIÓN</v>
      </c>
      <c r="C20539" s="6">
        <v>25073.3</v>
      </c>
      <c r="D20539" s="5" t="s">
        <v>873</v>
      </c>
      <c r="E20539" s="5" t="str">
        <f t="shared" si="1039"/>
        <v>SISTEMAS-GLOBALTRONIK SAS-SERGIO PATIÑO</v>
      </c>
      <c r="F20539" s="5"/>
      <c r="G20539" s="5"/>
    </row>
    <row r="20540" spans="1:7" ht="58.5" customHeight="1" x14ac:dyDescent="0.25">
      <c r="A20540" s="5" t="str">
        <f>"H0028043"</f>
        <v>H0028043</v>
      </c>
      <c r="B20540" s="5" t="str">
        <f t="shared" si="1040"/>
        <v>LICENCIA DE ANTIVIRUS ESET ENDPOINT POR UN (1) AÑO - RENOVACIÓN</v>
      </c>
      <c r="C20540" s="6">
        <v>25073.3</v>
      </c>
      <c r="D20540" s="5" t="s">
        <v>873</v>
      </c>
      <c r="E20540" s="5" t="str">
        <f t="shared" si="1039"/>
        <v>SISTEMAS-GLOBALTRONIK SAS-SERGIO PATIÑO</v>
      </c>
      <c r="F20540" s="5"/>
      <c r="G20540" s="5"/>
    </row>
    <row r="20541" spans="1:7" ht="58.5" customHeight="1" x14ac:dyDescent="0.25">
      <c r="A20541" s="5" t="str">
        <f>"H0028044"</f>
        <v>H0028044</v>
      </c>
      <c r="B20541" s="5" t="str">
        <f t="shared" si="1040"/>
        <v>LICENCIA DE ANTIVIRUS ESET ENDPOINT POR UN (1) AÑO - RENOVACIÓN</v>
      </c>
      <c r="C20541" s="6">
        <v>25073.3</v>
      </c>
      <c r="D20541" s="5" t="s">
        <v>873</v>
      </c>
      <c r="E20541" s="5" t="str">
        <f t="shared" ref="E20541:E20604" si="1041">"SISTEMAS-GLOBALTRONIK SAS-SERGIO PATIÑO"</f>
        <v>SISTEMAS-GLOBALTRONIK SAS-SERGIO PATIÑO</v>
      </c>
      <c r="F20541" s="5"/>
      <c r="G20541" s="5"/>
    </row>
    <row r="20542" spans="1:7" ht="58.5" customHeight="1" x14ac:dyDescent="0.25">
      <c r="A20542" s="5" t="str">
        <f>"H0028045"</f>
        <v>H0028045</v>
      </c>
      <c r="B20542" s="5" t="str">
        <f t="shared" si="1040"/>
        <v>LICENCIA DE ANTIVIRUS ESET ENDPOINT POR UN (1) AÑO - RENOVACIÓN</v>
      </c>
      <c r="C20542" s="6">
        <v>25073.3</v>
      </c>
      <c r="D20542" s="5" t="s">
        <v>873</v>
      </c>
      <c r="E20542" s="5" t="str">
        <f t="shared" si="1041"/>
        <v>SISTEMAS-GLOBALTRONIK SAS-SERGIO PATIÑO</v>
      </c>
      <c r="F20542" s="5"/>
      <c r="G20542" s="5"/>
    </row>
    <row r="20543" spans="1:7" ht="58.5" customHeight="1" x14ac:dyDescent="0.25">
      <c r="A20543" s="5" t="str">
        <f>"H0028046"</f>
        <v>H0028046</v>
      </c>
      <c r="B20543" s="5" t="str">
        <f t="shared" si="1040"/>
        <v>LICENCIA DE ANTIVIRUS ESET ENDPOINT POR UN (1) AÑO - RENOVACIÓN</v>
      </c>
      <c r="C20543" s="6">
        <v>25073.3</v>
      </c>
      <c r="D20543" s="5" t="s">
        <v>873</v>
      </c>
      <c r="E20543" s="5" t="str">
        <f t="shared" si="1041"/>
        <v>SISTEMAS-GLOBALTRONIK SAS-SERGIO PATIÑO</v>
      </c>
      <c r="F20543" s="5"/>
      <c r="G20543" s="5"/>
    </row>
    <row r="20544" spans="1:7" ht="58.5" customHeight="1" x14ac:dyDescent="0.25">
      <c r="A20544" s="5" t="str">
        <f>"H0028047"</f>
        <v>H0028047</v>
      </c>
      <c r="B20544" s="5" t="str">
        <f t="shared" si="1040"/>
        <v>LICENCIA DE ANTIVIRUS ESET ENDPOINT POR UN (1) AÑO - RENOVACIÓN</v>
      </c>
      <c r="C20544" s="6">
        <v>25073.3</v>
      </c>
      <c r="D20544" s="5" t="s">
        <v>873</v>
      </c>
      <c r="E20544" s="5" t="str">
        <f t="shared" si="1041"/>
        <v>SISTEMAS-GLOBALTRONIK SAS-SERGIO PATIÑO</v>
      </c>
      <c r="F20544" s="5"/>
      <c r="G20544" s="5"/>
    </row>
    <row r="20545" spans="1:7" ht="58.5" customHeight="1" x14ac:dyDescent="0.25">
      <c r="A20545" s="5" t="str">
        <f>"H0028048"</f>
        <v>H0028048</v>
      </c>
      <c r="B20545" s="5" t="str">
        <f t="shared" si="1040"/>
        <v>LICENCIA DE ANTIVIRUS ESET ENDPOINT POR UN (1) AÑO - RENOVACIÓN</v>
      </c>
      <c r="C20545" s="6">
        <v>25073.3</v>
      </c>
      <c r="D20545" s="5" t="s">
        <v>873</v>
      </c>
      <c r="E20545" s="5" t="str">
        <f t="shared" si="1041"/>
        <v>SISTEMAS-GLOBALTRONIK SAS-SERGIO PATIÑO</v>
      </c>
      <c r="F20545" s="5"/>
      <c r="G20545" s="5"/>
    </row>
    <row r="20546" spans="1:7" ht="58.5" customHeight="1" x14ac:dyDescent="0.25">
      <c r="A20546" s="5" t="str">
        <f>"H0028049"</f>
        <v>H0028049</v>
      </c>
      <c r="B20546" s="5" t="str">
        <f t="shared" si="1040"/>
        <v>LICENCIA DE ANTIVIRUS ESET ENDPOINT POR UN (1) AÑO - RENOVACIÓN</v>
      </c>
      <c r="C20546" s="6">
        <v>25073.3</v>
      </c>
      <c r="D20546" s="5" t="s">
        <v>873</v>
      </c>
      <c r="E20546" s="5" t="str">
        <f t="shared" si="1041"/>
        <v>SISTEMAS-GLOBALTRONIK SAS-SERGIO PATIÑO</v>
      </c>
      <c r="F20546" s="5"/>
      <c r="G20546" s="5"/>
    </row>
    <row r="20547" spans="1:7" ht="58.5" customHeight="1" x14ac:dyDescent="0.25">
      <c r="A20547" s="5" t="str">
        <f>"H0028050"</f>
        <v>H0028050</v>
      </c>
      <c r="B20547" s="5" t="str">
        <f t="shared" ref="B20547:B20610" si="1042">"LICENCIA DE ANTIVIRUS ESET ENDPOINT POR UN (1) AÑO - RENOVACIÓN"</f>
        <v>LICENCIA DE ANTIVIRUS ESET ENDPOINT POR UN (1) AÑO - RENOVACIÓN</v>
      </c>
      <c r="C20547" s="6">
        <v>25073.3</v>
      </c>
      <c r="D20547" s="5" t="s">
        <v>873</v>
      </c>
      <c r="E20547" s="5" t="str">
        <f t="shared" si="1041"/>
        <v>SISTEMAS-GLOBALTRONIK SAS-SERGIO PATIÑO</v>
      </c>
      <c r="F20547" s="5"/>
      <c r="G20547" s="5"/>
    </row>
    <row r="20548" spans="1:7" ht="58.5" customHeight="1" x14ac:dyDescent="0.25">
      <c r="A20548" s="5" t="str">
        <f>"H0028051"</f>
        <v>H0028051</v>
      </c>
      <c r="B20548" s="5" t="str">
        <f t="shared" si="1042"/>
        <v>LICENCIA DE ANTIVIRUS ESET ENDPOINT POR UN (1) AÑO - RENOVACIÓN</v>
      </c>
      <c r="C20548" s="6">
        <v>25073.3</v>
      </c>
      <c r="D20548" s="5" t="s">
        <v>873</v>
      </c>
      <c r="E20548" s="5" t="str">
        <f t="shared" si="1041"/>
        <v>SISTEMAS-GLOBALTRONIK SAS-SERGIO PATIÑO</v>
      </c>
      <c r="F20548" s="5"/>
      <c r="G20548" s="5"/>
    </row>
    <row r="20549" spans="1:7" ht="58.5" customHeight="1" x14ac:dyDescent="0.25">
      <c r="A20549" s="5" t="str">
        <f>"H0028052"</f>
        <v>H0028052</v>
      </c>
      <c r="B20549" s="5" t="str">
        <f t="shared" si="1042"/>
        <v>LICENCIA DE ANTIVIRUS ESET ENDPOINT POR UN (1) AÑO - RENOVACIÓN</v>
      </c>
      <c r="C20549" s="6">
        <v>25073.3</v>
      </c>
      <c r="D20549" s="5" t="s">
        <v>873</v>
      </c>
      <c r="E20549" s="5" t="str">
        <f t="shared" si="1041"/>
        <v>SISTEMAS-GLOBALTRONIK SAS-SERGIO PATIÑO</v>
      </c>
      <c r="F20549" s="5"/>
      <c r="G20549" s="5"/>
    </row>
    <row r="20550" spans="1:7" ht="58.5" customHeight="1" x14ac:dyDescent="0.25">
      <c r="A20550" s="5" t="str">
        <f>"H0028053"</f>
        <v>H0028053</v>
      </c>
      <c r="B20550" s="5" t="str">
        <f t="shared" si="1042"/>
        <v>LICENCIA DE ANTIVIRUS ESET ENDPOINT POR UN (1) AÑO - RENOVACIÓN</v>
      </c>
      <c r="C20550" s="6">
        <v>25073.3</v>
      </c>
      <c r="D20550" s="5" t="s">
        <v>873</v>
      </c>
      <c r="E20550" s="5" t="str">
        <f t="shared" si="1041"/>
        <v>SISTEMAS-GLOBALTRONIK SAS-SERGIO PATIÑO</v>
      </c>
      <c r="F20550" s="5"/>
      <c r="G20550" s="5"/>
    </row>
    <row r="20551" spans="1:7" ht="58.5" customHeight="1" x14ac:dyDescent="0.25">
      <c r="A20551" s="5" t="str">
        <f>"H0028054"</f>
        <v>H0028054</v>
      </c>
      <c r="B20551" s="5" t="str">
        <f t="shared" si="1042"/>
        <v>LICENCIA DE ANTIVIRUS ESET ENDPOINT POR UN (1) AÑO - RENOVACIÓN</v>
      </c>
      <c r="C20551" s="6">
        <v>25073.3</v>
      </c>
      <c r="D20551" s="5" t="s">
        <v>876</v>
      </c>
      <c r="E20551" s="5" t="str">
        <f t="shared" si="1041"/>
        <v>SISTEMAS-GLOBALTRONIK SAS-SERGIO PATIÑO</v>
      </c>
      <c r="F20551" s="5"/>
      <c r="G20551" s="5"/>
    </row>
    <row r="20552" spans="1:7" ht="58.5" customHeight="1" x14ac:dyDescent="0.25">
      <c r="A20552" s="5" t="str">
        <f>"H0028055"</f>
        <v>H0028055</v>
      </c>
      <c r="B20552" s="5" t="str">
        <f t="shared" si="1042"/>
        <v>LICENCIA DE ANTIVIRUS ESET ENDPOINT POR UN (1) AÑO - RENOVACIÓN</v>
      </c>
      <c r="C20552" s="6">
        <v>25073.3</v>
      </c>
      <c r="D20552" s="5" t="s">
        <v>875</v>
      </c>
      <c r="E20552" s="5" t="str">
        <f t="shared" si="1041"/>
        <v>SISTEMAS-GLOBALTRONIK SAS-SERGIO PATIÑO</v>
      </c>
      <c r="F20552" s="5"/>
      <c r="G20552" s="5"/>
    </row>
    <row r="20553" spans="1:7" ht="58.5" customHeight="1" x14ac:dyDescent="0.25">
      <c r="A20553" s="5" t="str">
        <f>"H0028056"</f>
        <v>H0028056</v>
      </c>
      <c r="B20553" s="5" t="str">
        <f t="shared" si="1042"/>
        <v>LICENCIA DE ANTIVIRUS ESET ENDPOINT POR UN (1) AÑO - RENOVACIÓN</v>
      </c>
      <c r="C20553" s="6">
        <v>25073.3</v>
      </c>
      <c r="D20553" s="5" t="s">
        <v>873</v>
      </c>
      <c r="E20553" s="5" t="str">
        <f t="shared" si="1041"/>
        <v>SISTEMAS-GLOBALTRONIK SAS-SERGIO PATIÑO</v>
      </c>
      <c r="F20553" s="5"/>
      <c r="G20553" s="5"/>
    </row>
    <row r="20554" spans="1:7" ht="58.5" customHeight="1" x14ac:dyDescent="0.25">
      <c r="A20554" s="5" t="str">
        <f>"H0028057"</f>
        <v>H0028057</v>
      </c>
      <c r="B20554" s="5" t="str">
        <f t="shared" si="1042"/>
        <v>LICENCIA DE ANTIVIRUS ESET ENDPOINT POR UN (1) AÑO - RENOVACIÓN</v>
      </c>
      <c r="C20554" s="6">
        <v>25073.3</v>
      </c>
      <c r="D20554" s="5" t="s">
        <v>873</v>
      </c>
      <c r="E20554" s="5" t="str">
        <f t="shared" si="1041"/>
        <v>SISTEMAS-GLOBALTRONIK SAS-SERGIO PATIÑO</v>
      </c>
      <c r="F20554" s="5"/>
      <c r="G20554" s="5"/>
    </row>
    <row r="20555" spans="1:7" ht="58.5" customHeight="1" x14ac:dyDescent="0.25">
      <c r="A20555" s="5" t="str">
        <f>"H0028058"</f>
        <v>H0028058</v>
      </c>
      <c r="B20555" s="5" t="str">
        <f t="shared" si="1042"/>
        <v>LICENCIA DE ANTIVIRUS ESET ENDPOINT POR UN (1) AÑO - RENOVACIÓN</v>
      </c>
      <c r="C20555" s="6">
        <v>25073.3</v>
      </c>
      <c r="D20555" s="5" t="s">
        <v>873</v>
      </c>
      <c r="E20555" s="5" t="str">
        <f t="shared" si="1041"/>
        <v>SISTEMAS-GLOBALTRONIK SAS-SERGIO PATIÑO</v>
      </c>
      <c r="F20555" s="5"/>
      <c r="G20555" s="5"/>
    </row>
    <row r="20556" spans="1:7" ht="58.5" customHeight="1" x14ac:dyDescent="0.25">
      <c r="A20556" s="5" t="str">
        <f>"H0028059"</f>
        <v>H0028059</v>
      </c>
      <c r="B20556" s="5" t="str">
        <f t="shared" si="1042"/>
        <v>LICENCIA DE ANTIVIRUS ESET ENDPOINT POR UN (1) AÑO - RENOVACIÓN</v>
      </c>
      <c r="C20556" s="6">
        <v>25073.3</v>
      </c>
      <c r="D20556" s="5" t="s">
        <v>873</v>
      </c>
      <c r="E20556" s="5" t="str">
        <f t="shared" si="1041"/>
        <v>SISTEMAS-GLOBALTRONIK SAS-SERGIO PATIÑO</v>
      </c>
      <c r="F20556" s="5"/>
      <c r="G20556" s="5"/>
    </row>
    <row r="20557" spans="1:7" ht="58.5" customHeight="1" x14ac:dyDescent="0.25">
      <c r="A20557" s="5" t="str">
        <f>"H0028060"</f>
        <v>H0028060</v>
      </c>
      <c r="B20557" s="5" t="str">
        <f t="shared" si="1042"/>
        <v>LICENCIA DE ANTIVIRUS ESET ENDPOINT POR UN (1) AÑO - RENOVACIÓN</v>
      </c>
      <c r="C20557" s="6">
        <v>25073.3</v>
      </c>
      <c r="D20557" s="5" t="s">
        <v>873</v>
      </c>
      <c r="E20557" s="5" t="str">
        <f t="shared" si="1041"/>
        <v>SISTEMAS-GLOBALTRONIK SAS-SERGIO PATIÑO</v>
      </c>
      <c r="F20557" s="5"/>
      <c r="G20557" s="5"/>
    </row>
    <row r="20558" spans="1:7" ht="58.5" customHeight="1" x14ac:dyDescent="0.25">
      <c r="A20558" s="5" t="str">
        <f>"H0028061"</f>
        <v>H0028061</v>
      </c>
      <c r="B20558" s="5" t="str">
        <f t="shared" si="1042"/>
        <v>LICENCIA DE ANTIVIRUS ESET ENDPOINT POR UN (1) AÑO - RENOVACIÓN</v>
      </c>
      <c r="C20558" s="6">
        <v>25073.3</v>
      </c>
      <c r="D20558" s="5" t="s">
        <v>873</v>
      </c>
      <c r="E20558" s="5" t="str">
        <f t="shared" si="1041"/>
        <v>SISTEMAS-GLOBALTRONIK SAS-SERGIO PATIÑO</v>
      </c>
      <c r="F20558" s="5"/>
      <c r="G20558" s="5"/>
    </row>
    <row r="20559" spans="1:7" ht="58.5" customHeight="1" x14ac:dyDescent="0.25">
      <c r="A20559" s="5" t="str">
        <f>"H0028062"</f>
        <v>H0028062</v>
      </c>
      <c r="B20559" s="5" t="str">
        <f t="shared" si="1042"/>
        <v>LICENCIA DE ANTIVIRUS ESET ENDPOINT POR UN (1) AÑO - RENOVACIÓN</v>
      </c>
      <c r="C20559" s="6">
        <v>25073.3</v>
      </c>
      <c r="D20559" s="5" t="s">
        <v>873</v>
      </c>
      <c r="E20559" s="5" t="str">
        <f t="shared" si="1041"/>
        <v>SISTEMAS-GLOBALTRONIK SAS-SERGIO PATIÑO</v>
      </c>
      <c r="F20559" s="5"/>
      <c r="G20559" s="5"/>
    </row>
    <row r="20560" spans="1:7" ht="58.5" customHeight="1" x14ac:dyDescent="0.25">
      <c r="A20560" s="5" t="str">
        <f>"H0028063"</f>
        <v>H0028063</v>
      </c>
      <c r="B20560" s="5" t="str">
        <f t="shared" si="1042"/>
        <v>LICENCIA DE ANTIVIRUS ESET ENDPOINT POR UN (1) AÑO - RENOVACIÓN</v>
      </c>
      <c r="C20560" s="6">
        <v>25073.3</v>
      </c>
      <c r="D20560" s="5" t="s">
        <v>873</v>
      </c>
      <c r="E20560" s="5" t="str">
        <f t="shared" si="1041"/>
        <v>SISTEMAS-GLOBALTRONIK SAS-SERGIO PATIÑO</v>
      </c>
      <c r="F20560" s="5"/>
      <c r="G20560" s="5"/>
    </row>
    <row r="20561" spans="1:7" ht="58.5" customHeight="1" x14ac:dyDescent="0.25">
      <c r="A20561" s="5" t="str">
        <f>"H0028064"</f>
        <v>H0028064</v>
      </c>
      <c r="B20561" s="5" t="str">
        <f t="shared" si="1042"/>
        <v>LICENCIA DE ANTIVIRUS ESET ENDPOINT POR UN (1) AÑO - RENOVACIÓN</v>
      </c>
      <c r="C20561" s="6">
        <v>25073.3</v>
      </c>
      <c r="D20561" s="5" t="s">
        <v>873</v>
      </c>
      <c r="E20561" s="5" t="str">
        <f t="shared" si="1041"/>
        <v>SISTEMAS-GLOBALTRONIK SAS-SERGIO PATIÑO</v>
      </c>
      <c r="F20561" s="5"/>
      <c r="G20561" s="5"/>
    </row>
    <row r="20562" spans="1:7" ht="58.5" customHeight="1" x14ac:dyDescent="0.25">
      <c r="A20562" s="5" t="str">
        <f>"H0028065"</f>
        <v>H0028065</v>
      </c>
      <c r="B20562" s="5" t="str">
        <f t="shared" si="1042"/>
        <v>LICENCIA DE ANTIVIRUS ESET ENDPOINT POR UN (1) AÑO - RENOVACIÓN</v>
      </c>
      <c r="C20562" s="6">
        <v>25073.3</v>
      </c>
      <c r="D20562" s="5" t="s">
        <v>873</v>
      </c>
      <c r="E20562" s="5" t="str">
        <f t="shared" si="1041"/>
        <v>SISTEMAS-GLOBALTRONIK SAS-SERGIO PATIÑO</v>
      </c>
      <c r="F20562" s="5"/>
      <c r="G20562" s="5"/>
    </row>
    <row r="20563" spans="1:7" ht="58.5" customHeight="1" x14ac:dyDescent="0.25">
      <c r="A20563" s="5" t="str">
        <f>"H0028066"</f>
        <v>H0028066</v>
      </c>
      <c r="B20563" s="5" t="str">
        <f t="shared" si="1042"/>
        <v>LICENCIA DE ANTIVIRUS ESET ENDPOINT POR UN (1) AÑO - RENOVACIÓN</v>
      </c>
      <c r="C20563" s="6">
        <v>25073.3</v>
      </c>
      <c r="D20563" s="5" t="s">
        <v>873</v>
      </c>
      <c r="E20563" s="5" t="str">
        <f t="shared" si="1041"/>
        <v>SISTEMAS-GLOBALTRONIK SAS-SERGIO PATIÑO</v>
      </c>
      <c r="F20563" s="5"/>
      <c r="G20563" s="5"/>
    </row>
    <row r="20564" spans="1:7" ht="58.5" customHeight="1" x14ac:dyDescent="0.25">
      <c r="A20564" s="5" t="str">
        <f>"H0028067"</f>
        <v>H0028067</v>
      </c>
      <c r="B20564" s="5" t="str">
        <f t="shared" si="1042"/>
        <v>LICENCIA DE ANTIVIRUS ESET ENDPOINT POR UN (1) AÑO - RENOVACIÓN</v>
      </c>
      <c r="C20564" s="6">
        <v>25073.3</v>
      </c>
      <c r="D20564" s="5" t="s">
        <v>873</v>
      </c>
      <c r="E20564" s="5" t="str">
        <f t="shared" si="1041"/>
        <v>SISTEMAS-GLOBALTRONIK SAS-SERGIO PATIÑO</v>
      </c>
      <c r="F20564" s="5"/>
      <c r="G20564" s="5"/>
    </row>
    <row r="20565" spans="1:7" ht="58.5" customHeight="1" x14ac:dyDescent="0.25">
      <c r="A20565" s="5" t="str">
        <f>"H0028068"</f>
        <v>H0028068</v>
      </c>
      <c r="B20565" s="5" t="str">
        <f t="shared" si="1042"/>
        <v>LICENCIA DE ANTIVIRUS ESET ENDPOINT POR UN (1) AÑO - RENOVACIÓN</v>
      </c>
      <c r="C20565" s="6">
        <v>25073.3</v>
      </c>
      <c r="D20565" s="5" t="s">
        <v>873</v>
      </c>
      <c r="E20565" s="5" t="str">
        <f t="shared" si="1041"/>
        <v>SISTEMAS-GLOBALTRONIK SAS-SERGIO PATIÑO</v>
      </c>
      <c r="F20565" s="5"/>
      <c r="G20565" s="5"/>
    </row>
    <row r="20566" spans="1:7" ht="58.5" customHeight="1" x14ac:dyDescent="0.25">
      <c r="A20566" s="5" t="str">
        <f>"H0028069"</f>
        <v>H0028069</v>
      </c>
      <c r="B20566" s="5" t="str">
        <f t="shared" si="1042"/>
        <v>LICENCIA DE ANTIVIRUS ESET ENDPOINT POR UN (1) AÑO - RENOVACIÓN</v>
      </c>
      <c r="C20566" s="6">
        <v>25073.3</v>
      </c>
      <c r="D20566" s="5" t="s">
        <v>873</v>
      </c>
      <c r="E20566" s="5" t="str">
        <f t="shared" si="1041"/>
        <v>SISTEMAS-GLOBALTRONIK SAS-SERGIO PATIÑO</v>
      </c>
      <c r="F20566" s="5"/>
      <c r="G20566" s="5"/>
    </row>
    <row r="20567" spans="1:7" ht="58.5" customHeight="1" x14ac:dyDescent="0.25">
      <c r="A20567" s="5" t="str">
        <f>"H0028070"</f>
        <v>H0028070</v>
      </c>
      <c r="B20567" s="5" t="str">
        <f t="shared" si="1042"/>
        <v>LICENCIA DE ANTIVIRUS ESET ENDPOINT POR UN (1) AÑO - RENOVACIÓN</v>
      </c>
      <c r="C20567" s="6">
        <v>25073.3</v>
      </c>
      <c r="D20567" s="5" t="s">
        <v>873</v>
      </c>
      <c r="E20567" s="5" t="str">
        <f t="shared" si="1041"/>
        <v>SISTEMAS-GLOBALTRONIK SAS-SERGIO PATIÑO</v>
      </c>
      <c r="F20567" s="5"/>
      <c r="G20567" s="5"/>
    </row>
    <row r="20568" spans="1:7" ht="58.5" customHeight="1" x14ac:dyDescent="0.25">
      <c r="A20568" s="5" t="str">
        <f>"H0028071"</f>
        <v>H0028071</v>
      </c>
      <c r="B20568" s="5" t="str">
        <f t="shared" si="1042"/>
        <v>LICENCIA DE ANTIVIRUS ESET ENDPOINT POR UN (1) AÑO - RENOVACIÓN</v>
      </c>
      <c r="C20568" s="6">
        <v>25073.3</v>
      </c>
      <c r="D20568" s="5" t="s">
        <v>873</v>
      </c>
      <c r="E20568" s="5" t="str">
        <f t="shared" si="1041"/>
        <v>SISTEMAS-GLOBALTRONIK SAS-SERGIO PATIÑO</v>
      </c>
      <c r="F20568" s="5"/>
      <c r="G20568" s="5"/>
    </row>
    <row r="20569" spans="1:7" ht="58.5" customHeight="1" x14ac:dyDescent="0.25">
      <c r="A20569" s="5" t="str">
        <f>"H0028072"</f>
        <v>H0028072</v>
      </c>
      <c r="B20569" s="5" t="str">
        <f t="shared" si="1042"/>
        <v>LICENCIA DE ANTIVIRUS ESET ENDPOINT POR UN (1) AÑO - RENOVACIÓN</v>
      </c>
      <c r="C20569" s="6">
        <v>25073.3</v>
      </c>
      <c r="D20569" s="5" t="s">
        <v>873</v>
      </c>
      <c r="E20569" s="5" t="str">
        <f t="shared" si="1041"/>
        <v>SISTEMAS-GLOBALTRONIK SAS-SERGIO PATIÑO</v>
      </c>
      <c r="F20569" s="5"/>
      <c r="G20569" s="5"/>
    </row>
    <row r="20570" spans="1:7" ht="58.5" customHeight="1" x14ac:dyDescent="0.25">
      <c r="A20570" s="5" t="str">
        <f>"H0028073"</f>
        <v>H0028073</v>
      </c>
      <c r="B20570" s="5" t="str">
        <f t="shared" si="1042"/>
        <v>LICENCIA DE ANTIVIRUS ESET ENDPOINT POR UN (1) AÑO - RENOVACIÓN</v>
      </c>
      <c r="C20570" s="6">
        <v>25073.3</v>
      </c>
      <c r="D20570" s="5" t="s">
        <v>873</v>
      </c>
      <c r="E20570" s="5" t="str">
        <f t="shared" si="1041"/>
        <v>SISTEMAS-GLOBALTRONIK SAS-SERGIO PATIÑO</v>
      </c>
      <c r="F20570" s="5"/>
      <c r="G20570" s="5"/>
    </row>
    <row r="20571" spans="1:7" ht="58.5" customHeight="1" x14ac:dyDescent="0.25">
      <c r="A20571" s="5" t="str">
        <f>"H0028074"</f>
        <v>H0028074</v>
      </c>
      <c r="B20571" s="5" t="str">
        <f t="shared" si="1042"/>
        <v>LICENCIA DE ANTIVIRUS ESET ENDPOINT POR UN (1) AÑO - RENOVACIÓN</v>
      </c>
      <c r="C20571" s="6">
        <v>25073.3</v>
      </c>
      <c r="D20571" s="5" t="s">
        <v>873</v>
      </c>
      <c r="E20571" s="5" t="str">
        <f t="shared" si="1041"/>
        <v>SISTEMAS-GLOBALTRONIK SAS-SERGIO PATIÑO</v>
      </c>
      <c r="F20571" s="5"/>
      <c r="G20571" s="5"/>
    </row>
    <row r="20572" spans="1:7" ht="58.5" customHeight="1" x14ac:dyDescent="0.25">
      <c r="A20572" s="5" t="str">
        <f>"H0028075"</f>
        <v>H0028075</v>
      </c>
      <c r="B20572" s="5" t="str">
        <f t="shared" si="1042"/>
        <v>LICENCIA DE ANTIVIRUS ESET ENDPOINT POR UN (1) AÑO - RENOVACIÓN</v>
      </c>
      <c r="C20572" s="6">
        <v>25073.3</v>
      </c>
      <c r="D20572" s="5" t="s">
        <v>873</v>
      </c>
      <c r="E20572" s="5" t="str">
        <f t="shared" si="1041"/>
        <v>SISTEMAS-GLOBALTRONIK SAS-SERGIO PATIÑO</v>
      </c>
      <c r="F20572" s="5"/>
      <c r="G20572" s="5"/>
    </row>
    <row r="20573" spans="1:7" ht="58.5" customHeight="1" x14ac:dyDescent="0.25">
      <c r="A20573" s="5" t="str">
        <f>"H0028076"</f>
        <v>H0028076</v>
      </c>
      <c r="B20573" s="5" t="str">
        <f t="shared" si="1042"/>
        <v>LICENCIA DE ANTIVIRUS ESET ENDPOINT POR UN (1) AÑO - RENOVACIÓN</v>
      </c>
      <c r="C20573" s="6">
        <v>25073.3</v>
      </c>
      <c r="D20573" s="5" t="s">
        <v>873</v>
      </c>
      <c r="E20573" s="5" t="str">
        <f t="shared" si="1041"/>
        <v>SISTEMAS-GLOBALTRONIK SAS-SERGIO PATIÑO</v>
      </c>
      <c r="F20573" s="5"/>
      <c r="G20573" s="5"/>
    </row>
    <row r="20574" spans="1:7" ht="58.5" customHeight="1" x14ac:dyDescent="0.25">
      <c r="A20574" s="5" t="str">
        <f>"H0028077"</f>
        <v>H0028077</v>
      </c>
      <c r="B20574" s="5" t="str">
        <f t="shared" si="1042"/>
        <v>LICENCIA DE ANTIVIRUS ESET ENDPOINT POR UN (1) AÑO - RENOVACIÓN</v>
      </c>
      <c r="C20574" s="6">
        <v>25073.3</v>
      </c>
      <c r="D20574" s="5" t="s">
        <v>873</v>
      </c>
      <c r="E20574" s="5" t="str">
        <f t="shared" si="1041"/>
        <v>SISTEMAS-GLOBALTRONIK SAS-SERGIO PATIÑO</v>
      </c>
      <c r="F20574" s="5"/>
      <c r="G20574" s="5"/>
    </row>
    <row r="20575" spans="1:7" ht="58.5" customHeight="1" x14ac:dyDescent="0.25">
      <c r="A20575" s="5" t="str">
        <f>"H0028078"</f>
        <v>H0028078</v>
      </c>
      <c r="B20575" s="5" t="str">
        <f t="shared" si="1042"/>
        <v>LICENCIA DE ANTIVIRUS ESET ENDPOINT POR UN (1) AÑO - RENOVACIÓN</v>
      </c>
      <c r="C20575" s="6">
        <v>25073.3</v>
      </c>
      <c r="D20575" s="5" t="s">
        <v>873</v>
      </c>
      <c r="E20575" s="5" t="str">
        <f t="shared" si="1041"/>
        <v>SISTEMAS-GLOBALTRONIK SAS-SERGIO PATIÑO</v>
      </c>
      <c r="F20575" s="5"/>
      <c r="G20575" s="5"/>
    </row>
    <row r="20576" spans="1:7" ht="58.5" customHeight="1" x14ac:dyDescent="0.25">
      <c r="A20576" s="5" t="str">
        <f>"H0028079"</f>
        <v>H0028079</v>
      </c>
      <c r="B20576" s="5" t="str">
        <f t="shared" si="1042"/>
        <v>LICENCIA DE ANTIVIRUS ESET ENDPOINT POR UN (1) AÑO - RENOVACIÓN</v>
      </c>
      <c r="C20576" s="6">
        <v>25073.3</v>
      </c>
      <c r="D20576" s="5" t="s">
        <v>873</v>
      </c>
      <c r="E20576" s="5" t="str">
        <f t="shared" si="1041"/>
        <v>SISTEMAS-GLOBALTRONIK SAS-SERGIO PATIÑO</v>
      </c>
      <c r="F20576" s="5"/>
      <c r="G20576" s="5"/>
    </row>
    <row r="20577" spans="1:7" ht="58.5" customHeight="1" x14ac:dyDescent="0.25">
      <c r="A20577" s="5" t="str">
        <f>"h0028080"</f>
        <v>h0028080</v>
      </c>
      <c r="B20577" s="5" t="str">
        <f t="shared" si="1042"/>
        <v>LICENCIA DE ANTIVIRUS ESET ENDPOINT POR UN (1) AÑO - RENOVACIÓN</v>
      </c>
      <c r="C20577" s="6">
        <v>25073.3</v>
      </c>
      <c r="D20577" s="5" t="s">
        <v>873</v>
      </c>
      <c r="E20577" s="5" t="str">
        <f t="shared" si="1041"/>
        <v>SISTEMAS-GLOBALTRONIK SAS-SERGIO PATIÑO</v>
      </c>
      <c r="F20577" s="5"/>
      <c r="G20577" s="5"/>
    </row>
    <row r="20578" spans="1:7" ht="58.5" customHeight="1" x14ac:dyDescent="0.25">
      <c r="A20578" s="5" t="str">
        <f>"H0028081"</f>
        <v>H0028081</v>
      </c>
      <c r="B20578" s="5" t="str">
        <f t="shared" si="1042"/>
        <v>LICENCIA DE ANTIVIRUS ESET ENDPOINT POR UN (1) AÑO - RENOVACIÓN</v>
      </c>
      <c r="C20578" s="6">
        <v>25073.3</v>
      </c>
      <c r="D20578" s="5" t="s">
        <v>873</v>
      </c>
      <c r="E20578" s="5" t="str">
        <f t="shared" si="1041"/>
        <v>SISTEMAS-GLOBALTRONIK SAS-SERGIO PATIÑO</v>
      </c>
      <c r="F20578" s="5"/>
      <c r="G20578" s="5"/>
    </row>
    <row r="20579" spans="1:7" ht="58.5" customHeight="1" x14ac:dyDescent="0.25">
      <c r="A20579" s="5" t="str">
        <f>"H0028082"</f>
        <v>H0028082</v>
      </c>
      <c r="B20579" s="5" t="str">
        <f t="shared" si="1042"/>
        <v>LICENCIA DE ANTIVIRUS ESET ENDPOINT POR UN (1) AÑO - RENOVACIÓN</v>
      </c>
      <c r="C20579" s="6">
        <v>25073.3</v>
      </c>
      <c r="D20579" s="5" t="s">
        <v>873</v>
      </c>
      <c r="E20579" s="5" t="str">
        <f t="shared" si="1041"/>
        <v>SISTEMAS-GLOBALTRONIK SAS-SERGIO PATIÑO</v>
      </c>
      <c r="F20579" s="5"/>
      <c r="G20579" s="5"/>
    </row>
    <row r="20580" spans="1:7" ht="58.5" customHeight="1" x14ac:dyDescent="0.25">
      <c r="A20580" s="5" t="str">
        <f>"H0028083"</f>
        <v>H0028083</v>
      </c>
      <c r="B20580" s="5" t="str">
        <f t="shared" si="1042"/>
        <v>LICENCIA DE ANTIVIRUS ESET ENDPOINT POR UN (1) AÑO - RENOVACIÓN</v>
      </c>
      <c r="C20580" s="6">
        <v>25073.3</v>
      </c>
      <c r="D20580" s="5" t="s">
        <v>873</v>
      </c>
      <c r="E20580" s="5" t="str">
        <f t="shared" si="1041"/>
        <v>SISTEMAS-GLOBALTRONIK SAS-SERGIO PATIÑO</v>
      </c>
      <c r="F20580" s="5"/>
      <c r="G20580" s="5"/>
    </row>
    <row r="20581" spans="1:7" ht="58.5" customHeight="1" x14ac:dyDescent="0.25">
      <c r="A20581" s="5" t="str">
        <f>"H0028084"</f>
        <v>H0028084</v>
      </c>
      <c r="B20581" s="5" t="str">
        <f t="shared" si="1042"/>
        <v>LICENCIA DE ANTIVIRUS ESET ENDPOINT POR UN (1) AÑO - RENOVACIÓN</v>
      </c>
      <c r="C20581" s="6">
        <v>25073.3</v>
      </c>
      <c r="D20581" s="5" t="s">
        <v>873</v>
      </c>
      <c r="E20581" s="5" t="str">
        <f t="shared" si="1041"/>
        <v>SISTEMAS-GLOBALTRONIK SAS-SERGIO PATIÑO</v>
      </c>
      <c r="F20581" s="5"/>
      <c r="G20581" s="5"/>
    </row>
    <row r="20582" spans="1:7" ht="58.5" customHeight="1" x14ac:dyDescent="0.25">
      <c r="A20582" s="5" t="str">
        <f>"H0028085"</f>
        <v>H0028085</v>
      </c>
      <c r="B20582" s="5" t="str">
        <f t="shared" si="1042"/>
        <v>LICENCIA DE ANTIVIRUS ESET ENDPOINT POR UN (1) AÑO - RENOVACIÓN</v>
      </c>
      <c r="C20582" s="6">
        <v>25073.3</v>
      </c>
      <c r="D20582" s="5" t="s">
        <v>873</v>
      </c>
      <c r="E20582" s="5" t="str">
        <f t="shared" si="1041"/>
        <v>SISTEMAS-GLOBALTRONIK SAS-SERGIO PATIÑO</v>
      </c>
      <c r="F20582" s="5"/>
      <c r="G20582" s="5"/>
    </row>
    <row r="20583" spans="1:7" ht="58.5" customHeight="1" x14ac:dyDescent="0.25">
      <c r="A20583" s="5" t="str">
        <f>"H0028086"</f>
        <v>H0028086</v>
      </c>
      <c r="B20583" s="5" t="str">
        <f t="shared" si="1042"/>
        <v>LICENCIA DE ANTIVIRUS ESET ENDPOINT POR UN (1) AÑO - RENOVACIÓN</v>
      </c>
      <c r="C20583" s="6">
        <v>25073.3</v>
      </c>
      <c r="D20583" s="5" t="s">
        <v>873</v>
      </c>
      <c r="E20583" s="5" t="str">
        <f t="shared" si="1041"/>
        <v>SISTEMAS-GLOBALTRONIK SAS-SERGIO PATIÑO</v>
      </c>
      <c r="F20583" s="5"/>
      <c r="G20583" s="5"/>
    </row>
    <row r="20584" spans="1:7" ht="58.5" customHeight="1" x14ac:dyDescent="0.25">
      <c r="A20584" s="5" t="str">
        <f>"H0028087"</f>
        <v>H0028087</v>
      </c>
      <c r="B20584" s="5" t="str">
        <f t="shared" si="1042"/>
        <v>LICENCIA DE ANTIVIRUS ESET ENDPOINT POR UN (1) AÑO - RENOVACIÓN</v>
      </c>
      <c r="C20584" s="6">
        <v>25073.3</v>
      </c>
      <c r="D20584" s="5" t="s">
        <v>873</v>
      </c>
      <c r="E20584" s="5" t="str">
        <f t="shared" si="1041"/>
        <v>SISTEMAS-GLOBALTRONIK SAS-SERGIO PATIÑO</v>
      </c>
      <c r="F20584" s="5"/>
      <c r="G20584" s="5"/>
    </row>
    <row r="20585" spans="1:7" ht="58.5" customHeight="1" x14ac:dyDescent="0.25">
      <c r="A20585" s="5" t="str">
        <f>"H0028088"</f>
        <v>H0028088</v>
      </c>
      <c r="B20585" s="5" t="str">
        <f t="shared" si="1042"/>
        <v>LICENCIA DE ANTIVIRUS ESET ENDPOINT POR UN (1) AÑO - RENOVACIÓN</v>
      </c>
      <c r="C20585" s="6">
        <v>25073.3</v>
      </c>
      <c r="D20585" s="5" t="s">
        <v>873</v>
      </c>
      <c r="E20585" s="5" t="str">
        <f t="shared" si="1041"/>
        <v>SISTEMAS-GLOBALTRONIK SAS-SERGIO PATIÑO</v>
      </c>
      <c r="F20585" s="5"/>
      <c r="G20585" s="5"/>
    </row>
    <row r="20586" spans="1:7" ht="58.5" customHeight="1" x14ac:dyDescent="0.25">
      <c r="A20586" s="5" t="str">
        <f>"H0028089"</f>
        <v>H0028089</v>
      </c>
      <c r="B20586" s="5" t="str">
        <f t="shared" si="1042"/>
        <v>LICENCIA DE ANTIVIRUS ESET ENDPOINT POR UN (1) AÑO - RENOVACIÓN</v>
      </c>
      <c r="C20586" s="6">
        <v>25073.3</v>
      </c>
      <c r="D20586" s="5" t="s">
        <v>873</v>
      </c>
      <c r="E20586" s="5" t="str">
        <f t="shared" si="1041"/>
        <v>SISTEMAS-GLOBALTRONIK SAS-SERGIO PATIÑO</v>
      </c>
      <c r="F20586" s="5"/>
      <c r="G20586" s="5"/>
    </row>
    <row r="20587" spans="1:7" ht="58.5" customHeight="1" x14ac:dyDescent="0.25">
      <c r="A20587" s="5" t="str">
        <f>"H0028090"</f>
        <v>H0028090</v>
      </c>
      <c r="B20587" s="5" t="str">
        <f t="shared" si="1042"/>
        <v>LICENCIA DE ANTIVIRUS ESET ENDPOINT POR UN (1) AÑO - RENOVACIÓN</v>
      </c>
      <c r="C20587" s="6">
        <v>25073.3</v>
      </c>
      <c r="D20587" s="5" t="s">
        <v>873</v>
      </c>
      <c r="E20587" s="5" t="str">
        <f t="shared" si="1041"/>
        <v>SISTEMAS-GLOBALTRONIK SAS-SERGIO PATIÑO</v>
      </c>
      <c r="F20587" s="5"/>
      <c r="G20587" s="5"/>
    </row>
    <row r="20588" spans="1:7" ht="58.5" customHeight="1" x14ac:dyDescent="0.25">
      <c r="A20588" s="5" t="str">
        <f>"H0028091"</f>
        <v>H0028091</v>
      </c>
      <c r="B20588" s="5" t="str">
        <f t="shared" si="1042"/>
        <v>LICENCIA DE ANTIVIRUS ESET ENDPOINT POR UN (1) AÑO - RENOVACIÓN</v>
      </c>
      <c r="C20588" s="6">
        <v>25073.3</v>
      </c>
      <c r="D20588" s="5" t="s">
        <v>873</v>
      </c>
      <c r="E20588" s="5" t="str">
        <f t="shared" si="1041"/>
        <v>SISTEMAS-GLOBALTRONIK SAS-SERGIO PATIÑO</v>
      </c>
      <c r="F20588" s="5"/>
      <c r="G20588" s="5"/>
    </row>
    <row r="20589" spans="1:7" ht="58.5" customHeight="1" x14ac:dyDescent="0.25">
      <c r="A20589" s="5" t="str">
        <f>"H0028092"</f>
        <v>H0028092</v>
      </c>
      <c r="B20589" s="5" t="str">
        <f t="shared" si="1042"/>
        <v>LICENCIA DE ANTIVIRUS ESET ENDPOINT POR UN (1) AÑO - RENOVACIÓN</v>
      </c>
      <c r="C20589" s="6">
        <v>25073.3</v>
      </c>
      <c r="D20589" s="5" t="s">
        <v>873</v>
      </c>
      <c r="E20589" s="5" t="str">
        <f t="shared" si="1041"/>
        <v>SISTEMAS-GLOBALTRONIK SAS-SERGIO PATIÑO</v>
      </c>
      <c r="F20589" s="5"/>
      <c r="G20589" s="5"/>
    </row>
    <row r="20590" spans="1:7" ht="58.5" customHeight="1" x14ac:dyDescent="0.25">
      <c r="A20590" s="5" t="str">
        <f>"H0028093"</f>
        <v>H0028093</v>
      </c>
      <c r="B20590" s="5" t="str">
        <f t="shared" si="1042"/>
        <v>LICENCIA DE ANTIVIRUS ESET ENDPOINT POR UN (1) AÑO - RENOVACIÓN</v>
      </c>
      <c r="C20590" s="6">
        <v>25073.3</v>
      </c>
      <c r="D20590" s="5" t="s">
        <v>873</v>
      </c>
      <c r="E20590" s="5" t="str">
        <f t="shared" si="1041"/>
        <v>SISTEMAS-GLOBALTRONIK SAS-SERGIO PATIÑO</v>
      </c>
      <c r="F20590" s="5"/>
      <c r="G20590" s="5"/>
    </row>
    <row r="20591" spans="1:7" ht="58.5" customHeight="1" x14ac:dyDescent="0.25">
      <c r="A20591" s="5" t="str">
        <f>"H0028094"</f>
        <v>H0028094</v>
      </c>
      <c r="B20591" s="5" t="str">
        <f t="shared" si="1042"/>
        <v>LICENCIA DE ANTIVIRUS ESET ENDPOINT POR UN (1) AÑO - RENOVACIÓN</v>
      </c>
      <c r="C20591" s="6">
        <v>25073.3</v>
      </c>
      <c r="D20591" s="5" t="s">
        <v>873</v>
      </c>
      <c r="E20591" s="5" t="str">
        <f t="shared" si="1041"/>
        <v>SISTEMAS-GLOBALTRONIK SAS-SERGIO PATIÑO</v>
      </c>
      <c r="F20591" s="5"/>
      <c r="G20591" s="5"/>
    </row>
    <row r="20592" spans="1:7" ht="58.5" customHeight="1" x14ac:dyDescent="0.25">
      <c r="A20592" s="5" t="str">
        <f>"H0028095"</f>
        <v>H0028095</v>
      </c>
      <c r="B20592" s="5" t="str">
        <f t="shared" si="1042"/>
        <v>LICENCIA DE ANTIVIRUS ESET ENDPOINT POR UN (1) AÑO - RENOVACIÓN</v>
      </c>
      <c r="C20592" s="6">
        <v>25073.3</v>
      </c>
      <c r="D20592" s="5" t="s">
        <v>873</v>
      </c>
      <c r="E20592" s="5" t="str">
        <f t="shared" si="1041"/>
        <v>SISTEMAS-GLOBALTRONIK SAS-SERGIO PATIÑO</v>
      </c>
      <c r="F20592" s="5"/>
      <c r="G20592" s="5"/>
    </row>
    <row r="20593" spans="1:7" ht="58.5" customHeight="1" x14ac:dyDescent="0.25">
      <c r="A20593" s="5" t="str">
        <f>"H0028096"</f>
        <v>H0028096</v>
      </c>
      <c r="B20593" s="5" t="str">
        <f t="shared" si="1042"/>
        <v>LICENCIA DE ANTIVIRUS ESET ENDPOINT POR UN (1) AÑO - RENOVACIÓN</v>
      </c>
      <c r="C20593" s="6">
        <v>25073.3</v>
      </c>
      <c r="D20593" s="5" t="s">
        <v>873</v>
      </c>
      <c r="E20593" s="5" t="str">
        <f t="shared" si="1041"/>
        <v>SISTEMAS-GLOBALTRONIK SAS-SERGIO PATIÑO</v>
      </c>
      <c r="F20593" s="5"/>
      <c r="G20593" s="5"/>
    </row>
    <row r="20594" spans="1:7" ht="58.5" customHeight="1" x14ac:dyDescent="0.25">
      <c r="A20594" s="5" t="str">
        <f>"H0028097"</f>
        <v>H0028097</v>
      </c>
      <c r="B20594" s="5" t="str">
        <f t="shared" si="1042"/>
        <v>LICENCIA DE ANTIVIRUS ESET ENDPOINT POR UN (1) AÑO - RENOVACIÓN</v>
      </c>
      <c r="C20594" s="6">
        <v>25073.3</v>
      </c>
      <c r="D20594" s="5" t="s">
        <v>873</v>
      </c>
      <c r="E20594" s="5" t="str">
        <f t="shared" si="1041"/>
        <v>SISTEMAS-GLOBALTRONIK SAS-SERGIO PATIÑO</v>
      </c>
      <c r="F20594" s="5"/>
      <c r="G20594" s="5"/>
    </row>
    <row r="20595" spans="1:7" ht="58.5" customHeight="1" x14ac:dyDescent="0.25">
      <c r="A20595" s="5" t="str">
        <f>"H0028098"</f>
        <v>H0028098</v>
      </c>
      <c r="B20595" s="5" t="str">
        <f t="shared" si="1042"/>
        <v>LICENCIA DE ANTIVIRUS ESET ENDPOINT POR UN (1) AÑO - RENOVACIÓN</v>
      </c>
      <c r="C20595" s="6">
        <v>25073.3</v>
      </c>
      <c r="D20595" s="5" t="s">
        <v>873</v>
      </c>
      <c r="E20595" s="5" t="str">
        <f t="shared" si="1041"/>
        <v>SISTEMAS-GLOBALTRONIK SAS-SERGIO PATIÑO</v>
      </c>
      <c r="F20595" s="5"/>
      <c r="G20595" s="5"/>
    </row>
    <row r="20596" spans="1:7" ht="58.5" customHeight="1" x14ac:dyDescent="0.25">
      <c r="A20596" s="5" t="str">
        <f>"H0028099"</f>
        <v>H0028099</v>
      </c>
      <c r="B20596" s="5" t="str">
        <f t="shared" si="1042"/>
        <v>LICENCIA DE ANTIVIRUS ESET ENDPOINT POR UN (1) AÑO - RENOVACIÓN</v>
      </c>
      <c r="C20596" s="6">
        <v>25073.3</v>
      </c>
      <c r="D20596" s="5" t="s">
        <v>873</v>
      </c>
      <c r="E20596" s="5" t="str">
        <f t="shared" si="1041"/>
        <v>SISTEMAS-GLOBALTRONIK SAS-SERGIO PATIÑO</v>
      </c>
      <c r="F20596" s="5"/>
      <c r="G20596" s="5"/>
    </row>
    <row r="20597" spans="1:7" ht="58.5" customHeight="1" x14ac:dyDescent="0.25">
      <c r="A20597" s="5" t="str">
        <f>"H0028100"</f>
        <v>H0028100</v>
      </c>
      <c r="B20597" s="5" t="str">
        <f t="shared" si="1042"/>
        <v>LICENCIA DE ANTIVIRUS ESET ENDPOINT POR UN (1) AÑO - RENOVACIÓN</v>
      </c>
      <c r="C20597" s="6">
        <v>25073.3</v>
      </c>
      <c r="D20597" s="5" t="s">
        <v>873</v>
      </c>
      <c r="E20597" s="5" t="str">
        <f t="shared" si="1041"/>
        <v>SISTEMAS-GLOBALTRONIK SAS-SERGIO PATIÑO</v>
      </c>
      <c r="F20597" s="5"/>
      <c r="G20597" s="5"/>
    </row>
    <row r="20598" spans="1:7" ht="58.5" customHeight="1" x14ac:dyDescent="0.25">
      <c r="A20598" s="5" t="str">
        <f>"H0028101"</f>
        <v>H0028101</v>
      </c>
      <c r="B20598" s="5" t="str">
        <f t="shared" si="1042"/>
        <v>LICENCIA DE ANTIVIRUS ESET ENDPOINT POR UN (1) AÑO - RENOVACIÓN</v>
      </c>
      <c r="C20598" s="6">
        <v>25073.3</v>
      </c>
      <c r="D20598" s="5" t="s">
        <v>873</v>
      </c>
      <c r="E20598" s="5" t="str">
        <f t="shared" si="1041"/>
        <v>SISTEMAS-GLOBALTRONIK SAS-SERGIO PATIÑO</v>
      </c>
      <c r="F20598" s="5"/>
      <c r="G20598" s="5"/>
    </row>
    <row r="20599" spans="1:7" ht="58.5" customHeight="1" x14ac:dyDescent="0.25">
      <c r="A20599" s="5" t="str">
        <f>"H0028102"</f>
        <v>H0028102</v>
      </c>
      <c r="B20599" s="5" t="str">
        <f t="shared" si="1042"/>
        <v>LICENCIA DE ANTIVIRUS ESET ENDPOINT POR UN (1) AÑO - RENOVACIÓN</v>
      </c>
      <c r="C20599" s="6">
        <v>25073.3</v>
      </c>
      <c r="D20599" s="5" t="s">
        <v>873</v>
      </c>
      <c r="E20599" s="5" t="str">
        <f t="shared" si="1041"/>
        <v>SISTEMAS-GLOBALTRONIK SAS-SERGIO PATIÑO</v>
      </c>
      <c r="F20599" s="5"/>
      <c r="G20599" s="5"/>
    </row>
    <row r="20600" spans="1:7" ht="58.5" customHeight="1" x14ac:dyDescent="0.25">
      <c r="A20600" s="5" t="str">
        <f>"H0028103"</f>
        <v>H0028103</v>
      </c>
      <c r="B20600" s="5" t="str">
        <f t="shared" si="1042"/>
        <v>LICENCIA DE ANTIVIRUS ESET ENDPOINT POR UN (1) AÑO - RENOVACIÓN</v>
      </c>
      <c r="C20600" s="6">
        <v>25073.3</v>
      </c>
      <c r="D20600" s="5" t="s">
        <v>873</v>
      </c>
      <c r="E20600" s="5" t="str">
        <f t="shared" si="1041"/>
        <v>SISTEMAS-GLOBALTRONIK SAS-SERGIO PATIÑO</v>
      </c>
      <c r="F20600" s="5"/>
      <c r="G20600" s="5"/>
    </row>
    <row r="20601" spans="1:7" ht="58.5" customHeight="1" x14ac:dyDescent="0.25">
      <c r="A20601" s="5" t="str">
        <f>"H0028104"</f>
        <v>H0028104</v>
      </c>
      <c r="B20601" s="5" t="str">
        <f t="shared" si="1042"/>
        <v>LICENCIA DE ANTIVIRUS ESET ENDPOINT POR UN (1) AÑO - RENOVACIÓN</v>
      </c>
      <c r="C20601" s="6">
        <v>25073.3</v>
      </c>
      <c r="D20601" s="5" t="s">
        <v>873</v>
      </c>
      <c r="E20601" s="5" t="str">
        <f t="shared" si="1041"/>
        <v>SISTEMAS-GLOBALTRONIK SAS-SERGIO PATIÑO</v>
      </c>
      <c r="F20601" s="5"/>
      <c r="G20601" s="5"/>
    </row>
    <row r="20602" spans="1:7" ht="58.5" customHeight="1" x14ac:dyDescent="0.25">
      <c r="A20602" s="5" t="str">
        <f>"H0028105"</f>
        <v>H0028105</v>
      </c>
      <c r="B20602" s="5" t="str">
        <f t="shared" si="1042"/>
        <v>LICENCIA DE ANTIVIRUS ESET ENDPOINT POR UN (1) AÑO - RENOVACIÓN</v>
      </c>
      <c r="C20602" s="6">
        <v>25073.3</v>
      </c>
      <c r="D20602" s="5" t="s">
        <v>873</v>
      </c>
      <c r="E20602" s="5" t="str">
        <f t="shared" si="1041"/>
        <v>SISTEMAS-GLOBALTRONIK SAS-SERGIO PATIÑO</v>
      </c>
      <c r="F20602" s="5"/>
      <c r="G20602" s="5"/>
    </row>
    <row r="20603" spans="1:7" ht="58.5" customHeight="1" x14ac:dyDescent="0.25">
      <c r="A20603" s="5" t="str">
        <f>"H0028106"</f>
        <v>H0028106</v>
      </c>
      <c r="B20603" s="5" t="str">
        <f t="shared" si="1042"/>
        <v>LICENCIA DE ANTIVIRUS ESET ENDPOINT POR UN (1) AÑO - RENOVACIÓN</v>
      </c>
      <c r="C20603" s="6">
        <v>25073.3</v>
      </c>
      <c r="D20603" s="5" t="s">
        <v>873</v>
      </c>
      <c r="E20603" s="5" t="str">
        <f t="shared" si="1041"/>
        <v>SISTEMAS-GLOBALTRONIK SAS-SERGIO PATIÑO</v>
      </c>
      <c r="F20603" s="5"/>
      <c r="G20603" s="5"/>
    </row>
    <row r="20604" spans="1:7" ht="58.5" customHeight="1" x14ac:dyDescent="0.25">
      <c r="A20604" s="5" t="str">
        <f>"H0028107"</f>
        <v>H0028107</v>
      </c>
      <c r="B20604" s="5" t="str">
        <f t="shared" si="1042"/>
        <v>LICENCIA DE ANTIVIRUS ESET ENDPOINT POR UN (1) AÑO - RENOVACIÓN</v>
      </c>
      <c r="C20604" s="6">
        <v>25073.3</v>
      </c>
      <c r="D20604" s="5" t="s">
        <v>873</v>
      </c>
      <c r="E20604" s="5" t="str">
        <f t="shared" si="1041"/>
        <v>SISTEMAS-GLOBALTRONIK SAS-SERGIO PATIÑO</v>
      </c>
      <c r="F20604" s="5"/>
      <c r="G20604" s="5"/>
    </row>
    <row r="20605" spans="1:7" ht="58.5" customHeight="1" x14ac:dyDescent="0.25">
      <c r="A20605" s="5" t="str">
        <f>"H0028108"</f>
        <v>H0028108</v>
      </c>
      <c r="B20605" s="5" t="str">
        <f t="shared" si="1042"/>
        <v>LICENCIA DE ANTIVIRUS ESET ENDPOINT POR UN (1) AÑO - RENOVACIÓN</v>
      </c>
      <c r="C20605" s="6">
        <v>25073.3</v>
      </c>
      <c r="D20605" s="5" t="s">
        <v>873</v>
      </c>
      <c r="E20605" s="5" t="str">
        <f t="shared" ref="E20605:E20668" si="1043">"SISTEMAS-GLOBALTRONIK SAS-SERGIO PATIÑO"</f>
        <v>SISTEMAS-GLOBALTRONIK SAS-SERGIO PATIÑO</v>
      </c>
      <c r="F20605" s="5"/>
      <c r="G20605" s="5"/>
    </row>
    <row r="20606" spans="1:7" ht="58.5" customHeight="1" x14ac:dyDescent="0.25">
      <c r="A20606" s="5" t="str">
        <f>"H0028109"</f>
        <v>H0028109</v>
      </c>
      <c r="B20606" s="5" t="str">
        <f t="shared" si="1042"/>
        <v>LICENCIA DE ANTIVIRUS ESET ENDPOINT POR UN (1) AÑO - RENOVACIÓN</v>
      </c>
      <c r="C20606" s="6">
        <v>25073.3</v>
      </c>
      <c r="D20606" s="5" t="s">
        <v>873</v>
      </c>
      <c r="E20606" s="5" t="str">
        <f t="shared" si="1043"/>
        <v>SISTEMAS-GLOBALTRONIK SAS-SERGIO PATIÑO</v>
      </c>
      <c r="F20606" s="5"/>
      <c r="G20606" s="5"/>
    </row>
    <row r="20607" spans="1:7" ht="58.5" customHeight="1" x14ac:dyDescent="0.25">
      <c r="A20607" s="5" t="str">
        <f>"H0028110"</f>
        <v>H0028110</v>
      </c>
      <c r="B20607" s="5" t="str">
        <f t="shared" si="1042"/>
        <v>LICENCIA DE ANTIVIRUS ESET ENDPOINT POR UN (1) AÑO - RENOVACIÓN</v>
      </c>
      <c r="C20607" s="6">
        <v>25073.3</v>
      </c>
      <c r="D20607" s="5" t="s">
        <v>873</v>
      </c>
      <c r="E20607" s="5" t="str">
        <f t="shared" si="1043"/>
        <v>SISTEMAS-GLOBALTRONIK SAS-SERGIO PATIÑO</v>
      </c>
      <c r="F20607" s="5"/>
      <c r="G20607" s="5"/>
    </row>
    <row r="20608" spans="1:7" ht="58.5" customHeight="1" x14ac:dyDescent="0.25">
      <c r="A20608" s="5" t="str">
        <f>"H0028111"</f>
        <v>H0028111</v>
      </c>
      <c r="B20608" s="5" t="str">
        <f t="shared" si="1042"/>
        <v>LICENCIA DE ANTIVIRUS ESET ENDPOINT POR UN (1) AÑO - RENOVACIÓN</v>
      </c>
      <c r="C20608" s="6">
        <v>25073.3</v>
      </c>
      <c r="D20608" s="5" t="s">
        <v>873</v>
      </c>
      <c r="E20608" s="5" t="str">
        <f t="shared" si="1043"/>
        <v>SISTEMAS-GLOBALTRONIK SAS-SERGIO PATIÑO</v>
      </c>
      <c r="F20608" s="5"/>
      <c r="G20608" s="5"/>
    </row>
    <row r="20609" spans="1:7" ht="58.5" customHeight="1" x14ac:dyDescent="0.25">
      <c r="A20609" s="5" t="str">
        <f>"H0028112"</f>
        <v>H0028112</v>
      </c>
      <c r="B20609" s="5" t="str">
        <f t="shared" si="1042"/>
        <v>LICENCIA DE ANTIVIRUS ESET ENDPOINT POR UN (1) AÑO - RENOVACIÓN</v>
      </c>
      <c r="C20609" s="6">
        <v>25073.3</v>
      </c>
      <c r="D20609" s="5" t="s">
        <v>873</v>
      </c>
      <c r="E20609" s="5" t="str">
        <f t="shared" si="1043"/>
        <v>SISTEMAS-GLOBALTRONIK SAS-SERGIO PATIÑO</v>
      </c>
      <c r="F20609" s="5"/>
      <c r="G20609" s="5"/>
    </row>
    <row r="20610" spans="1:7" ht="58.5" customHeight="1" x14ac:dyDescent="0.25">
      <c r="A20610" s="5" t="str">
        <f>"H0028113"</f>
        <v>H0028113</v>
      </c>
      <c r="B20610" s="5" t="str">
        <f t="shared" si="1042"/>
        <v>LICENCIA DE ANTIVIRUS ESET ENDPOINT POR UN (1) AÑO - RENOVACIÓN</v>
      </c>
      <c r="C20610" s="6">
        <v>25073.3</v>
      </c>
      <c r="D20610" s="5" t="s">
        <v>873</v>
      </c>
      <c r="E20610" s="5" t="str">
        <f t="shared" si="1043"/>
        <v>SISTEMAS-GLOBALTRONIK SAS-SERGIO PATIÑO</v>
      </c>
      <c r="F20610" s="5"/>
      <c r="G20610" s="5"/>
    </row>
    <row r="20611" spans="1:7" ht="58.5" customHeight="1" x14ac:dyDescent="0.25">
      <c r="A20611" s="5" t="str">
        <f>"H0028114"</f>
        <v>H0028114</v>
      </c>
      <c r="B20611" s="5" t="str">
        <f t="shared" ref="B20611:B20674" si="1044">"LICENCIA DE ANTIVIRUS ESET ENDPOINT POR UN (1) AÑO - RENOVACIÓN"</f>
        <v>LICENCIA DE ANTIVIRUS ESET ENDPOINT POR UN (1) AÑO - RENOVACIÓN</v>
      </c>
      <c r="C20611" s="6">
        <v>25073.3</v>
      </c>
      <c r="D20611" s="5" t="s">
        <v>873</v>
      </c>
      <c r="E20611" s="5" t="str">
        <f t="shared" si="1043"/>
        <v>SISTEMAS-GLOBALTRONIK SAS-SERGIO PATIÑO</v>
      </c>
      <c r="F20611" s="5"/>
      <c r="G20611" s="5"/>
    </row>
    <row r="20612" spans="1:7" ht="58.5" customHeight="1" x14ac:dyDescent="0.25">
      <c r="A20612" s="5" t="str">
        <f>"H0028115"</f>
        <v>H0028115</v>
      </c>
      <c r="B20612" s="5" t="str">
        <f t="shared" si="1044"/>
        <v>LICENCIA DE ANTIVIRUS ESET ENDPOINT POR UN (1) AÑO - RENOVACIÓN</v>
      </c>
      <c r="C20612" s="6">
        <v>25073.3</v>
      </c>
      <c r="D20612" s="5" t="s">
        <v>873</v>
      </c>
      <c r="E20612" s="5" t="str">
        <f t="shared" si="1043"/>
        <v>SISTEMAS-GLOBALTRONIK SAS-SERGIO PATIÑO</v>
      </c>
      <c r="F20612" s="5"/>
      <c r="G20612" s="5"/>
    </row>
    <row r="20613" spans="1:7" ht="58.5" customHeight="1" x14ac:dyDescent="0.25">
      <c r="A20613" s="5" t="str">
        <f>"H0028116"</f>
        <v>H0028116</v>
      </c>
      <c r="B20613" s="5" t="str">
        <f t="shared" si="1044"/>
        <v>LICENCIA DE ANTIVIRUS ESET ENDPOINT POR UN (1) AÑO - RENOVACIÓN</v>
      </c>
      <c r="C20613" s="6">
        <v>25073.3</v>
      </c>
      <c r="D20613" s="5" t="s">
        <v>873</v>
      </c>
      <c r="E20613" s="5" t="str">
        <f t="shared" si="1043"/>
        <v>SISTEMAS-GLOBALTRONIK SAS-SERGIO PATIÑO</v>
      </c>
      <c r="F20613" s="5"/>
      <c r="G20613" s="5"/>
    </row>
    <row r="20614" spans="1:7" ht="58.5" customHeight="1" x14ac:dyDescent="0.25">
      <c r="A20614" s="5" t="str">
        <f>"H0028117"</f>
        <v>H0028117</v>
      </c>
      <c r="B20614" s="5" t="str">
        <f t="shared" si="1044"/>
        <v>LICENCIA DE ANTIVIRUS ESET ENDPOINT POR UN (1) AÑO - RENOVACIÓN</v>
      </c>
      <c r="C20614" s="6">
        <v>25073.3</v>
      </c>
      <c r="D20614" s="5" t="s">
        <v>873</v>
      </c>
      <c r="E20614" s="5" t="str">
        <f t="shared" si="1043"/>
        <v>SISTEMAS-GLOBALTRONIK SAS-SERGIO PATIÑO</v>
      </c>
      <c r="F20614" s="5"/>
      <c r="G20614" s="5"/>
    </row>
    <row r="20615" spans="1:7" ht="58.5" customHeight="1" x14ac:dyDescent="0.25">
      <c r="A20615" s="5" t="str">
        <f>"H0028118"</f>
        <v>H0028118</v>
      </c>
      <c r="B20615" s="5" t="str">
        <f t="shared" si="1044"/>
        <v>LICENCIA DE ANTIVIRUS ESET ENDPOINT POR UN (1) AÑO - RENOVACIÓN</v>
      </c>
      <c r="C20615" s="6">
        <v>25073.3</v>
      </c>
      <c r="D20615" s="5" t="s">
        <v>873</v>
      </c>
      <c r="E20615" s="5" t="str">
        <f t="shared" si="1043"/>
        <v>SISTEMAS-GLOBALTRONIK SAS-SERGIO PATIÑO</v>
      </c>
      <c r="F20615" s="5"/>
      <c r="G20615" s="5"/>
    </row>
    <row r="20616" spans="1:7" ht="58.5" customHeight="1" x14ac:dyDescent="0.25">
      <c r="A20616" s="5" t="str">
        <f>"H0028119"</f>
        <v>H0028119</v>
      </c>
      <c r="B20616" s="5" t="str">
        <f t="shared" si="1044"/>
        <v>LICENCIA DE ANTIVIRUS ESET ENDPOINT POR UN (1) AÑO - RENOVACIÓN</v>
      </c>
      <c r="C20616" s="6">
        <v>25073.3</v>
      </c>
      <c r="D20616" s="5" t="s">
        <v>873</v>
      </c>
      <c r="E20616" s="5" t="str">
        <f t="shared" si="1043"/>
        <v>SISTEMAS-GLOBALTRONIK SAS-SERGIO PATIÑO</v>
      </c>
      <c r="F20616" s="5"/>
      <c r="G20616" s="5"/>
    </row>
    <row r="20617" spans="1:7" ht="58.5" customHeight="1" x14ac:dyDescent="0.25">
      <c r="A20617" s="5" t="str">
        <f>"H0028120"</f>
        <v>H0028120</v>
      </c>
      <c r="B20617" s="5" t="str">
        <f t="shared" si="1044"/>
        <v>LICENCIA DE ANTIVIRUS ESET ENDPOINT POR UN (1) AÑO - RENOVACIÓN</v>
      </c>
      <c r="C20617" s="6">
        <v>25073.3</v>
      </c>
      <c r="D20617" s="5" t="s">
        <v>873</v>
      </c>
      <c r="E20617" s="5" t="str">
        <f t="shared" si="1043"/>
        <v>SISTEMAS-GLOBALTRONIK SAS-SERGIO PATIÑO</v>
      </c>
      <c r="F20617" s="5"/>
      <c r="G20617" s="5"/>
    </row>
    <row r="20618" spans="1:7" ht="58.5" customHeight="1" x14ac:dyDescent="0.25">
      <c r="A20618" s="5" t="str">
        <f>"H0028121"</f>
        <v>H0028121</v>
      </c>
      <c r="B20618" s="5" t="str">
        <f t="shared" si="1044"/>
        <v>LICENCIA DE ANTIVIRUS ESET ENDPOINT POR UN (1) AÑO - RENOVACIÓN</v>
      </c>
      <c r="C20618" s="6">
        <v>25073.3</v>
      </c>
      <c r="D20618" s="5" t="s">
        <v>873</v>
      </c>
      <c r="E20618" s="5" t="str">
        <f t="shared" si="1043"/>
        <v>SISTEMAS-GLOBALTRONIK SAS-SERGIO PATIÑO</v>
      </c>
      <c r="F20618" s="5"/>
      <c r="G20618" s="5"/>
    </row>
    <row r="20619" spans="1:7" ht="58.5" customHeight="1" x14ac:dyDescent="0.25">
      <c r="A20619" s="5" t="str">
        <f>"H0028122"</f>
        <v>H0028122</v>
      </c>
      <c r="B20619" s="5" t="str">
        <f t="shared" si="1044"/>
        <v>LICENCIA DE ANTIVIRUS ESET ENDPOINT POR UN (1) AÑO - RENOVACIÓN</v>
      </c>
      <c r="C20619" s="6">
        <v>25073.3</v>
      </c>
      <c r="D20619" s="5" t="s">
        <v>873</v>
      </c>
      <c r="E20619" s="5" t="str">
        <f t="shared" si="1043"/>
        <v>SISTEMAS-GLOBALTRONIK SAS-SERGIO PATIÑO</v>
      </c>
      <c r="F20619" s="5"/>
      <c r="G20619" s="5"/>
    </row>
    <row r="20620" spans="1:7" ht="58.5" customHeight="1" x14ac:dyDescent="0.25">
      <c r="A20620" s="5" t="str">
        <f>"H0028123"</f>
        <v>H0028123</v>
      </c>
      <c r="B20620" s="5" t="str">
        <f t="shared" si="1044"/>
        <v>LICENCIA DE ANTIVIRUS ESET ENDPOINT POR UN (1) AÑO - RENOVACIÓN</v>
      </c>
      <c r="C20620" s="6">
        <v>25073.3</v>
      </c>
      <c r="D20620" s="5" t="s">
        <v>873</v>
      </c>
      <c r="E20620" s="5" t="str">
        <f t="shared" si="1043"/>
        <v>SISTEMAS-GLOBALTRONIK SAS-SERGIO PATIÑO</v>
      </c>
      <c r="F20620" s="5"/>
      <c r="G20620" s="5"/>
    </row>
    <row r="20621" spans="1:7" ht="58.5" customHeight="1" x14ac:dyDescent="0.25">
      <c r="A20621" s="5" t="str">
        <f>"H0028124"</f>
        <v>H0028124</v>
      </c>
      <c r="B20621" s="5" t="str">
        <f t="shared" si="1044"/>
        <v>LICENCIA DE ANTIVIRUS ESET ENDPOINT POR UN (1) AÑO - RENOVACIÓN</v>
      </c>
      <c r="C20621" s="6">
        <v>25073.3</v>
      </c>
      <c r="D20621" s="5" t="s">
        <v>873</v>
      </c>
      <c r="E20621" s="5" t="str">
        <f t="shared" si="1043"/>
        <v>SISTEMAS-GLOBALTRONIK SAS-SERGIO PATIÑO</v>
      </c>
      <c r="F20621" s="5"/>
      <c r="G20621" s="5"/>
    </row>
    <row r="20622" spans="1:7" ht="58.5" customHeight="1" x14ac:dyDescent="0.25">
      <c r="A20622" s="5" t="str">
        <f>"H0028125"</f>
        <v>H0028125</v>
      </c>
      <c r="B20622" s="5" t="str">
        <f t="shared" si="1044"/>
        <v>LICENCIA DE ANTIVIRUS ESET ENDPOINT POR UN (1) AÑO - RENOVACIÓN</v>
      </c>
      <c r="C20622" s="6">
        <v>25073.3</v>
      </c>
      <c r="D20622" s="5" t="s">
        <v>873</v>
      </c>
      <c r="E20622" s="5" t="str">
        <f t="shared" si="1043"/>
        <v>SISTEMAS-GLOBALTRONIK SAS-SERGIO PATIÑO</v>
      </c>
      <c r="F20622" s="5"/>
      <c r="G20622" s="5"/>
    </row>
    <row r="20623" spans="1:7" ht="58.5" customHeight="1" x14ac:dyDescent="0.25">
      <c r="A20623" s="5" t="str">
        <f>"H0028126"</f>
        <v>H0028126</v>
      </c>
      <c r="B20623" s="5" t="str">
        <f t="shared" si="1044"/>
        <v>LICENCIA DE ANTIVIRUS ESET ENDPOINT POR UN (1) AÑO - RENOVACIÓN</v>
      </c>
      <c r="C20623" s="6">
        <v>25073.3</v>
      </c>
      <c r="D20623" s="5" t="s">
        <v>873</v>
      </c>
      <c r="E20623" s="5" t="str">
        <f t="shared" si="1043"/>
        <v>SISTEMAS-GLOBALTRONIK SAS-SERGIO PATIÑO</v>
      </c>
      <c r="F20623" s="5"/>
      <c r="G20623" s="5"/>
    </row>
    <row r="20624" spans="1:7" ht="58.5" customHeight="1" x14ac:dyDescent="0.25">
      <c r="A20624" s="5" t="str">
        <f>"H0028127"</f>
        <v>H0028127</v>
      </c>
      <c r="B20624" s="5" t="str">
        <f t="shared" si="1044"/>
        <v>LICENCIA DE ANTIVIRUS ESET ENDPOINT POR UN (1) AÑO - RENOVACIÓN</v>
      </c>
      <c r="C20624" s="6">
        <v>25073.3</v>
      </c>
      <c r="D20624" s="5" t="s">
        <v>873</v>
      </c>
      <c r="E20624" s="5" t="str">
        <f t="shared" si="1043"/>
        <v>SISTEMAS-GLOBALTRONIK SAS-SERGIO PATIÑO</v>
      </c>
      <c r="F20624" s="5"/>
      <c r="G20624" s="5"/>
    </row>
    <row r="20625" spans="1:7" ht="58.5" customHeight="1" x14ac:dyDescent="0.25">
      <c r="A20625" s="5" t="str">
        <f>"H0028128"</f>
        <v>H0028128</v>
      </c>
      <c r="B20625" s="5" t="str">
        <f t="shared" si="1044"/>
        <v>LICENCIA DE ANTIVIRUS ESET ENDPOINT POR UN (1) AÑO - RENOVACIÓN</v>
      </c>
      <c r="C20625" s="6">
        <v>25073.3</v>
      </c>
      <c r="D20625" s="5" t="s">
        <v>873</v>
      </c>
      <c r="E20625" s="5" t="str">
        <f t="shared" si="1043"/>
        <v>SISTEMAS-GLOBALTRONIK SAS-SERGIO PATIÑO</v>
      </c>
      <c r="F20625" s="5"/>
      <c r="G20625" s="5"/>
    </row>
    <row r="20626" spans="1:7" ht="58.5" customHeight="1" x14ac:dyDescent="0.25">
      <c r="A20626" s="5" t="str">
        <f>"H0028129"</f>
        <v>H0028129</v>
      </c>
      <c r="B20626" s="5" t="str">
        <f t="shared" si="1044"/>
        <v>LICENCIA DE ANTIVIRUS ESET ENDPOINT POR UN (1) AÑO - RENOVACIÓN</v>
      </c>
      <c r="C20626" s="6">
        <v>25073.3</v>
      </c>
      <c r="D20626" s="5" t="s">
        <v>873</v>
      </c>
      <c r="E20626" s="5" t="str">
        <f t="shared" si="1043"/>
        <v>SISTEMAS-GLOBALTRONIK SAS-SERGIO PATIÑO</v>
      </c>
      <c r="F20626" s="5"/>
      <c r="G20626" s="5"/>
    </row>
    <row r="20627" spans="1:7" ht="58.5" customHeight="1" x14ac:dyDescent="0.25">
      <c r="A20627" s="5" t="str">
        <f>"H0028130"</f>
        <v>H0028130</v>
      </c>
      <c r="B20627" s="5" t="str">
        <f t="shared" si="1044"/>
        <v>LICENCIA DE ANTIVIRUS ESET ENDPOINT POR UN (1) AÑO - RENOVACIÓN</v>
      </c>
      <c r="C20627" s="6">
        <v>25073.3</v>
      </c>
      <c r="D20627" s="5" t="s">
        <v>873</v>
      </c>
      <c r="E20627" s="5" t="str">
        <f t="shared" si="1043"/>
        <v>SISTEMAS-GLOBALTRONIK SAS-SERGIO PATIÑO</v>
      </c>
      <c r="F20627" s="5"/>
      <c r="G20627" s="5"/>
    </row>
    <row r="20628" spans="1:7" ht="58.5" customHeight="1" x14ac:dyDescent="0.25">
      <c r="A20628" s="5" t="str">
        <f>"H0028131"</f>
        <v>H0028131</v>
      </c>
      <c r="B20628" s="5" t="str">
        <f t="shared" si="1044"/>
        <v>LICENCIA DE ANTIVIRUS ESET ENDPOINT POR UN (1) AÑO - RENOVACIÓN</v>
      </c>
      <c r="C20628" s="6">
        <v>25073.3</v>
      </c>
      <c r="D20628" s="5" t="s">
        <v>873</v>
      </c>
      <c r="E20628" s="5" t="str">
        <f t="shared" si="1043"/>
        <v>SISTEMAS-GLOBALTRONIK SAS-SERGIO PATIÑO</v>
      </c>
      <c r="F20628" s="5"/>
      <c r="G20628" s="5"/>
    </row>
    <row r="20629" spans="1:7" ht="58.5" customHeight="1" x14ac:dyDescent="0.25">
      <c r="A20629" s="5" t="str">
        <f>"H0028132"</f>
        <v>H0028132</v>
      </c>
      <c r="B20629" s="5" t="str">
        <f t="shared" si="1044"/>
        <v>LICENCIA DE ANTIVIRUS ESET ENDPOINT POR UN (1) AÑO - RENOVACIÓN</v>
      </c>
      <c r="C20629" s="6">
        <v>25073.3</v>
      </c>
      <c r="D20629" s="5" t="s">
        <v>873</v>
      </c>
      <c r="E20629" s="5" t="str">
        <f t="shared" si="1043"/>
        <v>SISTEMAS-GLOBALTRONIK SAS-SERGIO PATIÑO</v>
      </c>
      <c r="F20629" s="5"/>
      <c r="G20629" s="5"/>
    </row>
    <row r="20630" spans="1:7" ht="58.5" customHeight="1" x14ac:dyDescent="0.25">
      <c r="A20630" s="5" t="str">
        <f>"H0028133"</f>
        <v>H0028133</v>
      </c>
      <c r="B20630" s="5" t="str">
        <f t="shared" si="1044"/>
        <v>LICENCIA DE ANTIVIRUS ESET ENDPOINT POR UN (1) AÑO - RENOVACIÓN</v>
      </c>
      <c r="C20630" s="6">
        <v>25073.3</v>
      </c>
      <c r="D20630" s="5" t="s">
        <v>873</v>
      </c>
      <c r="E20630" s="5" t="str">
        <f t="shared" si="1043"/>
        <v>SISTEMAS-GLOBALTRONIK SAS-SERGIO PATIÑO</v>
      </c>
      <c r="F20630" s="5"/>
      <c r="G20630" s="5"/>
    </row>
    <row r="20631" spans="1:7" ht="58.5" customHeight="1" x14ac:dyDescent="0.25">
      <c r="A20631" s="5" t="str">
        <f>"H0028134"</f>
        <v>H0028134</v>
      </c>
      <c r="B20631" s="5" t="str">
        <f t="shared" si="1044"/>
        <v>LICENCIA DE ANTIVIRUS ESET ENDPOINT POR UN (1) AÑO - RENOVACIÓN</v>
      </c>
      <c r="C20631" s="6">
        <v>25073.3</v>
      </c>
      <c r="D20631" s="5" t="s">
        <v>873</v>
      </c>
      <c r="E20631" s="5" t="str">
        <f t="shared" si="1043"/>
        <v>SISTEMAS-GLOBALTRONIK SAS-SERGIO PATIÑO</v>
      </c>
      <c r="F20631" s="5"/>
      <c r="G20631" s="5"/>
    </row>
    <row r="20632" spans="1:7" ht="58.5" customHeight="1" x14ac:dyDescent="0.25">
      <c r="A20632" s="5" t="str">
        <f>"H0028135"</f>
        <v>H0028135</v>
      </c>
      <c r="B20632" s="5" t="str">
        <f t="shared" si="1044"/>
        <v>LICENCIA DE ANTIVIRUS ESET ENDPOINT POR UN (1) AÑO - RENOVACIÓN</v>
      </c>
      <c r="C20632" s="6">
        <v>25073.3</v>
      </c>
      <c r="D20632" s="5" t="s">
        <v>873</v>
      </c>
      <c r="E20632" s="5" t="str">
        <f t="shared" si="1043"/>
        <v>SISTEMAS-GLOBALTRONIK SAS-SERGIO PATIÑO</v>
      </c>
      <c r="F20632" s="5"/>
      <c r="G20632" s="5"/>
    </row>
    <row r="20633" spans="1:7" ht="58.5" customHeight="1" x14ac:dyDescent="0.25">
      <c r="A20633" s="5" t="str">
        <f>"H0028136"</f>
        <v>H0028136</v>
      </c>
      <c r="B20633" s="5" t="str">
        <f t="shared" si="1044"/>
        <v>LICENCIA DE ANTIVIRUS ESET ENDPOINT POR UN (1) AÑO - RENOVACIÓN</v>
      </c>
      <c r="C20633" s="6">
        <v>25073.3</v>
      </c>
      <c r="D20633" s="5" t="s">
        <v>873</v>
      </c>
      <c r="E20633" s="5" t="str">
        <f t="shared" si="1043"/>
        <v>SISTEMAS-GLOBALTRONIK SAS-SERGIO PATIÑO</v>
      </c>
      <c r="F20633" s="5"/>
      <c r="G20633" s="5"/>
    </row>
    <row r="20634" spans="1:7" ht="58.5" customHeight="1" x14ac:dyDescent="0.25">
      <c r="A20634" s="5" t="str">
        <f>"H0028137"</f>
        <v>H0028137</v>
      </c>
      <c r="B20634" s="5" t="str">
        <f t="shared" si="1044"/>
        <v>LICENCIA DE ANTIVIRUS ESET ENDPOINT POR UN (1) AÑO - RENOVACIÓN</v>
      </c>
      <c r="C20634" s="6">
        <v>25073.3</v>
      </c>
      <c r="D20634" s="5" t="s">
        <v>873</v>
      </c>
      <c r="E20634" s="5" t="str">
        <f t="shared" si="1043"/>
        <v>SISTEMAS-GLOBALTRONIK SAS-SERGIO PATIÑO</v>
      </c>
      <c r="F20634" s="5"/>
      <c r="G20634" s="5"/>
    </row>
    <row r="20635" spans="1:7" ht="58.5" customHeight="1" x14ac:dyDescent="0.25">
      <c r="A20635" s="5" t="str">
        <f>"H0028138"</f>
        <v>H0028138</v>
      </c>
      <c r="B20635" s="5" t="str">
        <f t="shared" si="1044"/>
        <v>LICENCIA DE ANTIVIRUS ESET ENDPOINT POR UN (1) AÑO - RENOVACIÓN</v>
      </c>
      <c r="C20635" s="6">
        <v>25073.3</v>
      </c>
      <c r="D20635" s="5" t="s">
        <v>873</v>
      </c>
      <c r="E20635" s="5" t="str">
        <f t="shared" si="1043"/>
        <v>SISTEMAS-GLOBALTRONIK SAS-SERGIO PATIÑO</v>
      </c>
      <c r="F20635" s="5"/>
      <c r="G20635" s="5"/>
    </row>
    <row r="20636" spans="1:7" ht="58.5" customHeight="1" x14ac:dyDescent="0.25">
      <c r="A20636" s="5" t="str">
        <f>"H0028139"</f>
        <v>H0028139</v>
      </c>
      <c r="B20636" s="5" t="str">
        <f t="shared" si="1044"/>
        <v>LICENCIA DE ANTIVIRUS ESET ENDPOINT POR UN (1) AÑO - RENOVACIÓN</v>
      </c>
      <c r="C20636" s="6">
        <v>25073.3</v>
      </c>
      <c r="D20636" s="5" t="s">
        <v>873</v>
      </c>
      <c r="E20636" s="5" t="str">
        <f t="shared" si="1043"/>
        <v>SISTEMAS-GLOBALTRONIK SAS-SERGIO PATIÑO</v>
      </c>
      <c r="F20636" s="5"/>
      <c r="G20636" s="5"/>
    </row>
    <row r="20637" spans="1:7" ht="58.5" customHeight="1" x14ac:dyDescent="0.25">
      <c r="A20637" s="5" t="str">
        <f>"H0028140"</f>
        <v>H0028140</v>
      </c>
      <c r="B20637" s="5" t="str">
        <f t="shared" si="1044"/>
        <v>LICENCIA DE ANTIVIRUS ESET ENDPOINT POR UN (1) AÑO - RENOVACIÓN</v>
      </c>
      <c r="C20637" s="6">
        <v>25073.3</v>
      </c>
      <c r="D20637" s="5" t="s">
        <v>873</v>
      </c>
      <c r="E20637" s="5" t="str">
        <f t="shared" si="1043"/>
        <v>SISTEMAS-GLOBALTRONIK SAS-SERGIO PATIÑO</v>
      </c>
      <c r="F20637" s="5"/>
      <c r="G20637" s="5"/>
    </row>
    <row r="20638" spans="1:7" ht="58.5" customHeight="1" x14ac:dyDescent="0.25">
      <c r="A20638" s="5" t="str">
        <f>"H0028141"</f>
        <v>H0028141</v>
      </c>
      <c r="B20638" s="5" t="str">
        <f t="shared" si="1044"/>
        <v>LICENCIA DE ANTIVIRUS ESET ENDPOINT POR UN (1) AÑO - RENOVACIÓN</v>
      </c>
      <c r="C20638" s="6">
        <v>25073.3</v>
      </c>
      <c r="D20638" s="5" t="s">
        <v>873</v>
      </c>
      <c r="E20638" s="5" t="str">
        <f t="shared" si="1043"/>
        <v>SISTEMAS-GLOBALTRONIK SAS-SERGIO PATIÑO</v>
      </c>
      <c r="F20638" s="5"/>
      <c r="G20638" s="5"/>
    </row>
    <row r="20639" spans="1:7" ht="58.5" customHeight="1" x14ac:dyDescent="0.25">
      <c r="A20639" s="5" t="str">
        <f>"H0028142"</f>
        <v>H0028142</v>
      </c>
      <c r="B20639" s="5" t="str">
        <f t="shared" si="1044"/>
        <v>LICENCIA DE ANTIVIRUS ESET ENDPOINT POR UN (1) AÑO - RENOVACIÓN</v>
      </c>
      <c r="C20639" s="6">
        <v>25073.3</v>
      </c>
      <c r="D20639" s="5" t="s">
        <v>873</v>
      </c>
      <c r="E20639" s="5" t="str">
        <f t="shared" si="1043"/>
        <v>SISTEMAS-GLOBALTRONIK SAS-SERGIO PATIÑO</v>
      </c>
      <c r="F20639" s="5"/>
      <c r="G20639" s="5"/>
    </row>
    <row r="20640" spans="1:7" ht="58.5" customHeight="1" x14ac:dyDescent="0.25">
      <c r="A20640" s="5" t="str">
        <f>"H0028143"</f>
        <v>H0028143</v>
      </c>
      <c r="B20640" s="5" t="str">
        <f t="shared" si="1044"/>
        <v>LICENCIA DE ANTIVIRUS ESET ENDPOINT POR UN (1) AÑO - RENOVACIÓN</v>
      </c>
      <c r="C20640" s="6">
        <v>25073.3</v>
      </c>
      <c r="D20640" s="5" t="s">
        <v>873</v>
      </c>
      <c r="E20640" s="5" t="str">
        <f t="shared" si="1043"/>
        <v>SISTEMAS-GLOBALTRONIK SAS-SERGIO PATIÑO</v>
      </c>
      <c r="F20640" s="5"/>
      <c r="G20640" s="5"/>
    </row>
    <row r="20641" spans="1:7" ht="58.5" customHeight="1" x14ac:dyDescent="0.25">
      <c r="A20641" s="5" t="str">
        <f>"H0028144"</f>
        <v>H0028144</v>
      </c>
      <c r="B20641" s="5" t="str">
        <f t="shared" si="1044"/>
        <v>LICENCIA DE ANTIVIRUS ESET ENDPOINT POR UN (1) AÑO - RENOVACIÓN</v>
      </c>
      <c r="C20641" s="6">
        <v>25073.3</v>
      </c>
      <c r="D20641" s="5" t="s">
        <v>873</v>
      </c>
      <c r="E20641" s="5" t="str">
        <f t="shared" si="1043"/>
        <v>SISTEMAS-GLOBALTRONIK SAS-SERGIO PATIÑO</v>
      </c>
      <c r="F20641" s="5"/>
      <c r="G20641" s="5"/>
    </row>
    <row r="20642" spans="1:7" ht="58.5" customHeight="1" x14ac:dyDescent="0.25">
      <c r="A20642" s="5" t="str">
        <f>"H0028145"</f>
        <v>H0028145</v>
      </c>
      <c r="B20642" s="5" t="str">
        <f t="shared" si="1044"/>
        <v>LICENCIA DE ANTIVIRUS ESET ENDPOINT POR UN (1) AÑO - RENOVACIÓN</v>
      </c>
      <c r="C20642" s="6">
        <v>25073.3</v>
      </c>
      <c r="D20642" s="5" t="s">
        <v>873</v>
      </c>
      <c r="E20642" s="5" t="str">
        <f t="shared" si="1043"/>
        <v>SISTEMAS-GLOBALTRONIK SAS-SERGIO PATIÑO</v>
      </c>
      <c r="F20642" s="5"/>
      <c r="G20642" s="5"/>
    </row>
    <row r="20643" spans="1:7" ht="58.5" customHeight="1" x14ac:dyDescent="0.25">
      <c r="A20643" s="5" t="str">
        <f>"H0028146"</f>
        <v>H0028146</v>
      </c>
      <c r="B20643" s="5" t="str">
        <f t="shared" si="1044"/>
        <v>LICENCIA DE ANTIVIRUS ESET ENDPOINT POR UN (1) AÑO - RENOVACIÓN</v>
      </c>
      <c r="C20643" s="6">
        <v>25073.3</v>
      </c>
      <c r="D20643" s="5" t="s">
        <v>873</v>
      </c>
      <c r="E20643" s="5" t="str">
        <f t="shared" si="1043"/>
        <v>SISTEMAS-GLOBALTRONIK SAS-SERGIO PATIÑO</v>
      </c>
      <c r="F20643" s="5"/>
      <c r="G20643" s="5"/>
    </row>
    <row r="20644" spans="1:7" ht="58.5" customHeight="1" x14ac:dyDescent="0.25">
      <c r="A20644" s="5" t="str">
        <f>"H0028147"</f>
        <v>H0028147</v>
      </c>
      <c r="B20644" s="5" t="str">
        <f t="shared" si="1044"/>
        <v>LICENCIA DE ANTIVIRUS ESET ENDPOINT POR UN (1) AÑO - RENOVACIÓN</v>
      </c>
      <c r="C20644" s="6">
        <v>25073.3</v>
      </c>
      <c r="D20644" s="5" t="s">
        <v>873</v>
      </c>
      <c r="E20644" s="5" t="str">
        <f t="shared" si="1043"/>
        <v>SISTEMAS-GLOBALTRONIK SAS-SERGIO PATIÑO</v>
      </c>
      <c r="F20644" s="5"/>
      <c r="G20644" s="5"/>
    </row>
    <row r="20645" spans="1:7" ht="58.5" customHeight="1" x14ac:dyDescent="0.25">
      <c r="A20645" s="5" t="str">
        <f>"H0028148"</f>
        <v>H0028148</v>
      </c>
      <c r="B20645" s="5" t="str">
        <f t="shared" si="1044"/>
        <v>LICENCIA DE ANTIVIRUS ESET ENDPOINT POR UN (1) AÑO - RENOVACIÓN</v>
      </c>
      <c r="C20645" s="6">
        <v>25073.3</v>
      </c>
      <c r="D20645" s="5" t="s">
        <v>873</v>
      </c>
      <c r="E20645" s="5" t="str">
        <f t="shared" si="1043"/>
        <v>SISTEMAS-GLOBALTRONIK SAS-SERGIO PATIÑO</v>
      </c>
      <c r="F20645" s="5"/>
      <c r="G20645" s="5"/>
    </row>
    <row r="20646" spans="1:7" ht="58.5" customHeight="1" x14ac:dyDescent="0.25">
      <c r="A20646" s="5" t="str">
        <f>"H0028149"</f>
        <v>H0028149</v>
      </c>
      <c r="B20646" s="5" t="str">
        <f t="shared" si="1044"/>
        <v>LICENCIA DE ANTIVIRUS ESET ENDPOINT POR UN (1) AÑO - RENOVACIÓN</v>
      </c>
      <c r="C20646" s="6">
        <v>25073.3</v>
      </c>
      <c r="D20646" s="5" t="s">
        <v>873</v>
      </c>
      <c r="E20646" s="5" t="str">
        <f t="shared" si="1043"/>
        <v>SISTEMAS-GLOBALTRONIK SAS-SERGIO PATIÑO</v>
      </c>
      <c r="F20646" s="5"/>
      <c r="G20646" s="5"/>
    </row>
    <row r="20647" spans="1:7" ht="58.5" customHeight="1" x14ac:dyDescent="0.25">
      <c r="A20647" s="5" t="str">
        <f>"H0028150"</f>
        <v>H0028150</v>
      </c>
      <c r="B20647" s="5" t="str">
        <f t="shared" si="1044"/>
        <v>LICENCIA DE ANTIVIRUS ESET ENDPOINT POR UN (1) AÑO - RENOVACIÓN</v>
      </c>
      <c r="C20647" s="6">
        <v>25073.3</v>
      </c>
      <c r="D20647" s="5" t="s">
        <v>873</v>
      </c>
      <c r="E20647" s="5" t="str">
        <f t="shared" si="1043"/>
        <v>SISTEMAS-GLOBALTRONIK SAS-SERGIO PATIÑO</v>
      </c>
      <c r="F20647" s="5"/>
      <c r="G20647" s="5"/>
    </row>
    <row r="20648" spans="1:7" ht="58.5" customHeight="1" x14ac:dyDescent="0.25">
      <c r="A20648" s="5" t="str">
        <f>"H0028151"</f>
        <v>H0028151</v>
      </c>
      <c r="B20648" s="5" t="str">
        <f t="shared" si="1044"/>
        <v>LICENCIA DE ANTIVIRUS ESET ENDPOINT POR UN (1) AÑO - RENOVACIÓN</v>
      </c>
      <c r="C20648" s="6">
        <v>25073.3</v>
      </c>
      <c r="D20648" s="5" t="s">
        <v>873</v>
      </c>
      <c r="E20648" s="5" t="str">
        <f t="shared" si="1043"/>
        <v>SISTEMAS-GLOBALTRONIK SAS-SERGIO PATIÑO</v>
      </c>
      <c r="F20648" s="5"/>
      <c r="G20648" s="5"/>
    </row>
    <row r="20649" spans="1:7" ht="58.5" customHeight="1" x14ac:dyDescent="0.25">
      <c r="A20649" s="5" t="str">
        <f>"H0028152"</f>
        <v>H0028152</v>
      </c>
      <c r="B20649" s="5" t="str">
        <f t="shared" si="1044"/>
        <v>LICENCIA DE ANTIVIRUS ESET ENDPOINT POR UN (1) AÑO - RENOVACIÓN</v>
      </c>
      <c r="C20649" s="6">
        <v>25073.3</v>
      </c>
      <c r="D20649" s="5" t="s">
        <v>873</v>
      </c>
      <c r="E20649" s="5" t="str">
        <f t="shared" si="1043"/>
        <v>SISTEMAS-GLOBALTRONIK SAS-SERGIO PATIÑO</v>
      </c>
      <c r="F20649" s="5"/>
      <c r="G20649" s="5"/>
    </row>
    <row r="20650" spans="1:7" ht="58.5" customHeight="1" x14ac:dyDescent="0.25">
      <c r="A20650" s="5" t="str">
        <f>"H0028153"</f>
        <v>H0028153</v>
      </c>
      <c r="B20650" s="5" t="str">
        <f t="shared" si="1044"/>
        <v>LICENCIA DE ANTIVIRUS ESET ENDPOINT POR UN (1) AÑO - RENOVACIÓN</v>
      </c>
      <c r="C20650" s="6">
        <v>25073.3</v>
      </c>
      <c r="D20650" s="5" t="s">
        <v>873</v>
      </c>
      <c r="E20650" s="5" t="str">
        <f t="shared" si="1043"/>
        <v>SISTEMAS-GLOBALTRONIK SAS-SERGIO PATIÑO</v>
      </c>
      <c r="F20650" s="5"/>
      <c r="G20650" s="5"/>
    </row>
    <row r="20651" spans="1:7" ht="58.5" customHeight="1" x14ac:dyDescent="0.25">
      <c r="A20651" s="5" t="str">
        <f>"H0028154"</f>
        <v>H0028154</v>
      </c>
      <c r="B20651" s="5" t="str">
        <f t="shared" si="1044"/>
        <v>LICENCIA DE ANTIVIRUS ESET ENDPOINT POR UN (1) AÑO - RENOVACIÓN</v>
      </c>
      <c r="C20651" s="6">
        <v>25073.3</v>
      </c>
      <c r="D20651" s="5" t="s">
        <v>873</v>
      </c>
      <c r="E20651" s="5" t="str">
        <f t="shared" si="1043"/>
        <v>SISTEMAS-GLOBALTRONIK SAS-SERGIO PATIÑO</v>
      </c>
      <c r="F20651" s="5"/>
      <c r="G20651" s="5"/>
    </row>
    <row r="20652" spans="1:7" ht="58.5" customHeight="1" x14ac:dyDescent="0.25">
      <c r="A20652" s="5" t="str">
        <f>"H0028155"</f>
        <v>H0028155</v>
      </c>
      <c r="B20652" s="5" t="str">
        <f t="shared" si="1044"/>
        <v>LICENCIA DE ANTIVIRUS ESET ENDPOINT POR UN (1) AÑO - RENOVACIÓN</v>
      </c>
      <c r="C20652" s="6">
        <v>25073.3</v>
      </c>
      <c r="D20652" s="5" t="s">
        <v>873</v>
      </c>
      <c r="E20652" s="5" t="str">
        <f t="shared" si="1043"/>
        <v>SISTEMAS-GLOBALTRONIK SAS-SERGIO PATIÑO</v>
      </c>
      <c r="F20652" s="5"/>
      <c r="G20652" s="5"/>
    </row>
    <row r="20653" spans="1:7" ht="58.5" customHeight="1" x14ac:dyDescent="0.25">
      <c r="A20653" s="5" t="str">
        <f>"H0028156"</f>
        <v>H0028156</v>
      </c>
      <c r="B20653" s="5" t="str">
        <f t="shared" si="1044"/>
        <v>LICENCIA DE ANTIVIRUS ESET ENDPOINT POR UN (1) AÑO - RENOVACIÓN</v>
      </c>
      <c r="C20653" s="6">
        <v>25073.3</v>
      </c>
      <c r="D20653" s="5" t="s">
        <v>873</v>
      </c>
      <c r="E20653" s="5" t="str">
        <f t="shared" si="1043"/>
        <v>SISTEMAS-GLOBALTRONIK SAS-SERGIO PATIÑO</v>
      </c>
      <c r="F20653" s="5"/>
      <c r="G20653" s="5"/>
    </row>
    <row r="20654" spans="1:7" ht="58.5" customHeight="1" x14ac:dyDescent="0.25">
      <c r="A20654" s="5" t="str">
        <f>"H0028157"</f>
        <v>H0028157</v>
      </c>
      <c r="B20654" s="5" t="str">
        <f t="shared" si="1044"/>
        <v>LICENCIA DE ANTIVIRUS ESET ENDPOINT POR UN (1) AÑO - RENOVACIÓN</v>
      </c>
      <c r="C20654" s="6">
        <v>25073.3</v>
      </c>
      <c r="D20654" s="5" t="s">
        <v>873</v>
      </c>
      <c r="E20654" s="5" t="str">
        <f t="shared" si="1043"/>
        <v>SISTEMAS-GLOBALTRONIK SAS-SERGIO PATIÑO</v>
      </c>
      <c r="F20654" s="5"/>
      <c r="G20654" s="5"/>
    </row>
    <row r="20655" spans="1:7" ht="58.5" customHeight="1" x14ac:dyDescent="0.25">
      <c r="A20655" s="5" t="str">
        <f>"H0028158"</f>
        <v>H0028158</v>
      </c>
      <c r="B20655" s="5" t="str">
        <f t="shared" si="1044"/>
        <v>LICENCIA DE ANTIVIRUS ESET ENDPOINT POR UN (1) AÑO - RENOVACIÓN</v>
      </c>
      <c r="C20655" s="6">
        <v>25073.3</v>
      </c>
      <c r="D20655" s="5" t="s">
        <v>873</v>
      </c>
      <c r="E20655" s="5" t="str">
        <f t="shared" si="1043"/>
        <v>SISTEMAS-GLOBALTRONIK SAS-SERGIO PATIÑO</v>
      </c>
      <c r="F20655" s="5"/>
      <c r="G20655" s="5"/>
    </row>
    <row r="20656" spans="1:7" ht="58.5" customHeight="1" x14ac:dyDescent="0.25">
      <c r="A20656" s="5" t="str">
        <f>"H0028159"</f>
        <v>H0028159</v>
      </c>
      <c r="B20656" s="5" t="str">
        <f t="shared" si="1044"/>
        <v>LICENCIA DE ANTIVIRUS ESET ENDPOINT POR UN (1) AÑO - RENOVACIÓN</v>
      </c>
      <c r="C20656" s="6">
        <v>25073.3</v>
      </c>
      <c r="D20656" s="5" t="s">
        <v>873</v>
      </c>
      <c r="E20656" s="5" t="str">
        <f t="shared" si="1043"/>
        <v>SISTEMAS-GLOBALTRONIK SAS-SERGIO PATIÑO</v>
      </c>
      <c r="F20656" s="5"/>
      <c r="G20656" s="5"/>
    </row>
    <row r="20657" spans="1:7" ht="58.5" customHeight="1" x14ac:dyDescent="0.25">
      <c r="A20657" s="5" t="str">
        <f>"H0028160"</f>
        <v>H0028160</v>
      </c>
      <c r="B20657" s="5" t="str">
        <f t="shared" si="1044"/>
        <v>LICENCIA DE ANTIVIRUS ESET ENDPOINT POR UN (1) AÑO - RENOVACIÓN</v>
      </c>
      <c r="C20657" s="6">
        <v>25073.3</v>
      </c>
      <c r="D20657" s="5" t="s">
        <v>873</v>
      </c>
      <c r="E20657" s="5" t="str">
        <f t="shared" si="1043"/>
        <v>SISTEMAS-GLOBALTRONIK SAS-SERGIO PATIÑO</v>
      </c>
      <c r="F20657" s="5"/>
      <c r="G20657" s="5"/>
    </row>
    <row r="20658" spans="1:7" ht="58.5" customHeight="1" x14ac:dyDescent="0.25">
      <c r="A20658" s="5" t="str">
        <f>"H0028161"</f>
        <v>H0028161</v>
      </c>
      <c r="B20658" s="5" t="str">
        <f t="shared" si="1044"/>
        <v>LICENCIA DE ANTIVIRUS ESET ENDPOINT POR UN (1) AÑO - RENOVACIÓN</v>
      </c>
      <c r="C20658" s="6">
        <v>25073.3</v>
      </c>
      <c r="D20658" s="5" t="s">
        <v>873</v>
      </c>
      <c r="E20658" s="5" t="str">
        <f t="shared" si="1043"/>
        <v>SISTEMAS-GLOBALTRONIK SAS-SERGIO PATIÑO</v>
      </c>
      <c r="F20658" s="5"/>
      <c r="G20658" s="5"/>
    </row>
    <row r="20659" spans="1:7" ht="58.5" customHeight="1" x14ac:dyDescent="0.25">
      <c r="A20659" s="5" t="str">
        <f>"H0028162"</f>
        <v>H0028162</v>
      </c>
      <c r="B20659" s="5" t="str">
        <f t="shared" si="1044"/>
        <v>LICENCIA DE ANTIVIRUS ESET ENDPOINT POR UN (1) AÑO - RENOVACIÓN</v>
      </c>
      <c r="C20659" s="6">
        <v>25073.3</v>
      </c>
      <c r="D20659" s="5" t="s">
        <v>873</v>
      </c>
      <c r="E20659" s="5" t="str">
        <f t="shared" si="1043"/>
        <v>SISTEMAS-GLOBALTRONIK SAS-SERGIO PATIÑO</v>
      </c>
      <c r="F20659" s="5"/>
      <c r="G20659" s="5"/>
    </row>
    <row r="20660" spans="1:7" ht="58.5" customHeight="1" x14ac:dyDescent="0.25">
      <c r="A20660" s="5" t="str">
        <f>"H0028163"</f>
        <v>H0028163</v>
      </c>
      <c r="B20660" s="5" t="str">
        <f t="shared" si="1044"/>
        <v>LICENCIA DE ANTIVIRUS ESET ENDPOINT POR UN (1) AÑO - RENOVACIÓN</v>
      </c>
      <c r="C20660" s="6">
        <v>25073.3</v>
      </c>
      <c r="D20660" s="5" t="s">
        <v>873</v>
      </c>
      <c r="E20660" s="5" t="str">
        <f t="shared" si="1043"/>
        <v>SISTEMAS-GLOBALTRONIK SAS-SERGIO PATIÑO</v>
      </c>
      <c r="F20660" s="5"/>
      <c r="G20660" s="5"/>
    </row>
    <row r="20661" spans="1:7" ht="58.5" customHeight="1" x14ac:dyDescent="0.25">
      <c r="A20661" s="5" t="str">
        <f>"H0028164"</f>
        <v>H0028164</v>
      </c>
      <c r="B20661" s="5" t="str">
        <f t="shared" si="1044"/>
        <v>LICENCIA DE ANTIVIRUS ESET ENDPOINT POR UN (1) AÑO - RENOVACIÓN</v>
      </c>
      <c r="C20661" s="6">
        <v>25073.3</v>
      </c>
      <c r="D20661" s="5" t="s">
        <v>873</v>
      </c>
      <c r="E20661" s="5" t="str">
        <f t="shared" si="1043"/>
        <v>SISTEMAS-GLOBALTRONIK SAS-SERGIO PATIÑO</v>
      </c>
      <c r="F20661" s="5"/>
      <c r="G20661" s="5"/>
    </row>
    <row r="20662" spans="1:7" ht="58.5" customHeight="1" x14ac:dyDescent="0.25">
      <c r="A20662" s="5" t="str">
        <f>"H0028165"</f>
        <v>H0028165</v>
      </c>
      <c r="B20662" s="5" t="str">
        <f t="shared" si="1044"/>
        <v>LICENCIA DE ANTIVIRUS ESET ENDPOINT POR UN (1) AÑO - RENOVACIÓN</v>
      </c>
      <c r="C20662" s="6">
        <v>25073.3</v>
      </c>
      <c r="D20662" s="5" t="s">
        <v>873</v>
      </c>
      <c r="E20662" s="5" t="str">
        <f t="shared" si="1043"/>
        <v>SISTEMAS-GLOBALTRONIK SAS-SERGIO PATIÑO</v>
      </c>
      <c r="F20662" s="5"/>
      <c r="G20662" s="5"/>
    </row>
    <row r="20663" spans="1:7" ht="58.5" customHeight="1" x14ac:dyDescent="0.25">
      <c r="A20663" s="5" t="str">
        <f>"H0028166"</f>
        <v>H0028166</v>
      </c>
      <c r="B20663" s="5" t="str">
        <f t="shared" si="1044"/>
        <v>LICENCIA DE ANTIVIRUS ESET ENDPOINT POR UN (1) AÑO - RENOVACIÓN</v>
      </c>
      <c r="C20663" s="6">
        <v>25073.3</v>
      </c>
      <c r="D20663" s="5" t="s">
        <v>873</v>
      </c>
      <c r="E20663" s="5" t="str">
        <f t="shared" si="1043"/>
        <v>SISTEMAS-GLOBALTRONIK SAS-SERGIO PATIÑO</v>
      </c>
      <c r="F20663" s="5"/>
      <c r="G20663" s="5"/>
    </row>
    <row r="20664" spans="1:7" ht="58.5" customHeight="1" x14ac:dyDescent="0.25">
      <c r="A20664" s="5" t="str">
        <f>"H0028167"</f>
        <v>H0028167</v>
      </c>
      <c r="B20664" s="5" t="str">
        <f t="shared" si="1044"/>
        <v>LICENCIA DE ANTIVIRUS ESET ENDPOINT POR UN (1) AÑO - RENOVACIÓN</v>
      </c>
      <c r="C20664" s="6">
        <v>25073.3</v>
      </c>
      <c r="D20664" s="5" t="s">
        <v>873</v>
      </c>
      <c r="E20664" s="5" t="str">
        <f t="shared" si="1043"/>
        <v>SISTEMAS-GLOBALTRONIK SAS-SERGIO PATIÑO</v>
      </c>
      <c r="F20664" s="5"/>
      <c r="G20664" s="5"/>
    </row>
    <row r="20665" spans="1:7" ht="58.5" customHeight="1" x14ac:dyDescent="0.25">
      <c r="A20665" s="5" t="str">
        <f>"H0028168"</f>
        <v>H0028168</v>
      </c>
      <c r="B20665" s="5" t="str">
        <f t="shared" si="1044"/>
        <v>LICENCIA DE ANTIVIRUS ESET ENDPOINT POR UN (1) AÑO - RENOVACIÓN</v>
      </c>
      <c r="C20665" s="6">
        <v>25073.3</v>
      </c>
      <c r="D20665" s="5" t="s">
        <v>873</v>
      </c>
      <c r="E20665" s="5" t="str">
        <f t="shared" si="1043"/>
        <v>SISTEMAS-GLOBALTRONIK SAS-SERGIO PATIÑO</v>
      </c>
      <c r="F20665" s="5"/>
      <c r="G20665" s="5"/>
    </row>
    <row r="20666" spans="1:7" ht="58.5" customHeight="1" x14ac:dyDescent="0.25">
      <c r="A20666" s="5" t="str">
        <f>"H0028169"</f>
        <v>H0028169</v>
      </c>
      <c r="B20666" s="5" t="str">
        <f t="shared" si="1044"/>
        <v>LICENCIA DE ANTIVIRUS ESET ENDPOINT POR UN (1) AÑO - RENOVACIÓN</v>
      </c>
      <c r="C20666" s="6">
        <v>25073.3</v>
      </c>
      <c r="D20666" s="5" t="s">
        <v>873</v>
      </c>
      <c r="E20666" s="5" t="str">
        <f t="shared" si="1043"/>
        <v>SISTEMAS-GLOBALTRONIK SAS-SERGIO PATIÑO</v>
      </c>
      <c r="F20666" s="5"/>
      <c r="G20666" s="5"/>
    </row>
    <row r="20667" spans="1:7" ht="58.5" customHeight="1" x14ac:dyDescent="0.25">
      <c r="A20667" s="5" t="str">
        <f>"H0028170"</f>
        <v>H0028170</v>
      </c>
      <c r="B20667" s="5" t="str">
        <f t="shared" si="1044"/>
        <v>LICENCIA DE ANTIVIRUS ESET ENDPOINT POR UN (1) AÑO - RENOVACIÓN</v>
      </c>
      <c r="C20667" s="6">
        <v>25073.3</v>
      </c>
      <c r="D20667" s="5" t="s">
        <v>873</v>
      </c>
      <c r="E20667" s="5" t="str">
        <f t="shared" si="1043"/>
        <v>SISTEMAS-GLOBALTRONIK SAS-SERGIO PATIÑO</v>
      </c>
      <c r="F20667" s="5"/>
      <c r="G20667" s="5"/>
    </row>
    <row r="20668" spans="1:7" ht="58.5" customHeight="1" x14ac:dyDescent="0.25">
      <c r="A20668" s="5" t="str">
        <f>"H0028171"</f>
        <v>H0028171</v>
      </c>
      <c r="B20668" s="5" t="str">
        <f t="shared" si="1044"/>
        <v>LICENCIA DE ANTIVIRUS ESET ENDPOINT POR UN (1) AÑO - RENOVACIÓN</v>
      </c>
      <c r="C20668" s="6">
        <v>25073.3</v>
      </c>
      <c r="D20668" s="5" t="s">
        <v>873</v>
      </c>
      <c r="E20668" s="5" t="str">
        <f t="shared" si="1043"/>
        <v>SISTEMAS-GLOBALTRONIK SAS-SERGIO PATIÑO</v>
      </c>
      <c r="F20668" s="5"/>
      <c r="G20668" s="5"/>
    </row>
    <row r="20669" spans="1:7" ht="58.5" customHeight="1" x14ac:dyDescent="0.25">
      <c r="A20669" s="5" t="str">
        <f>"H0028172"</f>
        <v>H0028172</v>
      </c>
      <c r="B20669" s="5" t="str">
        <f t="shared" si="1044"/>
        <v>LICENCIA DE ANTIVIRUS ESET ENDPOINT POR UN (1) AÑO - RENOVACIÓN</v>
      </c>
      <c r="C20669" s="6">
        <v>25073.3</v>
      </c>
      <c r="D20669" s="5" t="s">
        <v>873</v>
      </c>
      <c r="E20669" s="5" t="str">
        <f t="shared" ref="E20669:E20732" si="1045">"SISTEMAS-GLOBALTRONIK SAS-SERGIO PATIÑO"</f>
        <v>SISTEMAS-GLOBALTRONIK SAS-SERGIO PATIÑO</v>
      </c>
      <c r="F20669" s="5"/>
      <c r="G20669" s="5"/>
    </row>
    <row r="20670" spans="1:7" ht="58.5" customHeight="1" x14ac:dyDescent="0.25">
      <c r="A20670" s="5" t="str">
        <f>"H0028173"</f>
        <v>H0028173</v>
      </c>
      <c r="B20670" s="5" t="str">
        <f t="shared" si="1044"/>
        <v>LICENCIA DE ANTIVIRUS ESET ENDPOINT POR UN (1) AÑO - RENOVACIÓN</v>
      </c>
      <c r="C20670" s="6">
        <v>25073.3</v>
      </c>
      <c r="D20670" s="5" t="s">
        <v>873</v>
      </c>
      <c r="E20670" s="5" t="str">
        <f t="shared" si="1045"/>
        <v>SISTEMAS-GLOBALTRONIK SAS-SERGIO PATIÑO</v>
      </c>
      <c r="F20670" s="5"/>
      <c r="G20670" s="5"/>
    </row>
    <row r="20671" spans="1:7" ht="58.5" customHeight="1" x14ac:dyDescent="0.25">
      <c r="A20671" s="5" t="str">
        <f>"H0028174"</f>
        <v>H0028174</v>
      </c>
      <c r="B20671" s="5" t="str">
        <f t="shared" si="1044"/>
        <v>LICENCIA DE ANTIVIRUS ESET ENDPOINT POR UN (1) AÑO - RENOVACIÓN</v>
      </c>
      <c r="C20671" s="6">
        <v>25073.3</v>
      </c>
      <c r="D20671" s="5" t="s">
        <v>873</v>
      </c>
      <c r="E20671" s="5" t="str">
        <f t="shared" si="1045"/>
        <v>SISTEMAS-GLOBALTRONIK SAS-SERGIO PATIÑO</v>
      </c>
      <c r="F20671" s="5"/>
      <c r="G20671" s="5"/>
    </row>
    <row r="20672" spans="1:7" ht="58.5" customHeight="1" x14ac:dyDescent="0.25">
      <c r="A20672" s="5" t="str">
        <f>"H0028175"</f>
        <v>H0028175</v>
      </c>
      <c r="B20672" s="5" t="str">
        <f t="shared" si="1044"/>
        <v>LICENCIA DE ANTIVIRUS ESET ENDPOINT POR UN (1) AÑO - RENOVACIÓN</v>
      </c>
      <c r="C20672" s="6">
        <v>25073.3</v>
      </c>
      <c r="D20672" s="5" t="s">
        <v>873</v>
      </c>
      <c r="E20672" s="5" t="str">
        <f t="shared" si="1045"/>
        <v>SISTEMAS-GLOBALTRONIK SAS-SERGIO PATIÑO</v>
      </c>
      <c r="F20672" s="5"/>
      <c r="G20672" s="5"/>
    </row>
    <row r="20673" spans="1:7" ht="58.5" customHeight="1" x14ac:dyDescent="0.25">
      <c r="A20673" s="5" t="str">
        <f>"H0028176"</f>
        <v>H0028176</v>
      </c>
      <c r="B20673" s="5" t="str">
        <f t="shared" si="1044"/>
        <v>LICENCIA DE ANTIVIRUS ESET ENDPOINT POR UN (1) AÑO - RENOVACIÓN</v>
      </c>
      <c r="C20673" s="6">
        <v>25073.3</v>
      </c>
      <c r="D20673" s="5" t="s">
        <v>873</v>
      </c>
      <c r="E20673" s="5" t="str">
        <f t="shared" si="1045"/>
        <v>SISTEMAS-GLOBALTRONIK SAS-SERGIO PATIÑO</v>
      </c>
      <c r="F20673" s="5"/>
      <c r="G20673" s="5"/>
    </row>
    <row r="20674" spans="1:7" ht="58.5" customHeight="1" x14ac:dyDescent="0.25">
      <c r="A20674" s="5" t="str">
        <f>"H0028177"</f>
        <v>H0028177</v>
      </c>
      <c r="B20674" s="5" t="str">
        <f t="shared" si="1044"/>
        <v>LICENCIA DE ANTIVIRUS ESET ENDPOINT POR UN (1) AÑO - RENOVACIÓN</v>
      </c>
      <c r="C20674" s="6">
        <v>25073.3</v>
      </c>
      <c r="D20674" s="5" t="s">
        <v>873</v>
      </c>
      <c r="E20674" s="5" t="str">
        <f t="shared" si="1045"/>
        <v>SISTEMAS-GLOBALTRONIK SAS-SERGIO PATIÑO</v>
      </c>
      <c r="F20674" s="5"/>
      <c r="G20674" s="5"/>
    </row>
    <row r="20675" spans="1:7" ht="58.5" customHeight="1" x14ac:dyDescent="0.25">
      <c r="A20675" s="5" t="str">
        <f>"H0028178"</f>
        <v>H0028178</v>
      </c>
      <c r="B20675" s="5" t="str">
        <f t="shared" ref="B20675:B20738" si="1046">"LICENCIA DE ANTIVIRUS ESET ENDPOINT POR UN (1) AÑO - RENOVACIÓN"</f>
        <v>LICENCIA DE ANTIVIRUS ESET ENDPOINT POR UN (1) AÑO - RENOVACIÓN</v>
      </c>
      <c r="C20675" s="6">
        <v>25073.3</v>
      </c>
      <c r="D20675" s="5" t="s">
        <v>873</v>
      </c>
      <c r="E20675" s="5" t="str">
        <f t="shared" si="1045"/>
        <v>SISTEMAS-GLOBALTRONIK SAS-SERGIO PATIÑO</v>
      </c>
      <c r="F20675" s="5"/>
      <c r="G20675" s="5"/>
    </row>
    <row r="20676" spans="1:7" ht="58.5" customHeight="1" x14ac:dyDescent="0.25">
      <c r="A20676" s="5" t="str">
        <f>"H0028179"</f>
        <v>H0028179</v>
      </c>
      <c r="B20676" s="5" t="str">
        <f t="shared" si="1046"/>
        <v>LICENCIA DE ANTIVIRUS ESET ENDPOINT POR UN (1) AÑO - RENOVACIÓN</v>
      </c>
      <c r="C20676" s="6">
        <v>25073.3</v>
      </c>
      <c r="D20676" s="5" t="s">
        <v>873</v>
      </c>
      <c r="E20676" s="5" t="str">
        <f t="shared" si="1045"/>
        <v>SISTEMAS-GLOBALTRONIK SAS-SERGIO PATIÑO</v>
      </c>
      <c r="F20676" s="5"/>
      <c r="G20676" s="5"/>
    </row>
    <row r="20677" spans="1:7" ht="58.5" customHeight="1" x14ac:dyDescent="0.25">
      <c r="A20677" s="5" t="str">
        <f>"H0028180"</f>
        <v>H0028180</v>
      </c>
      <c r="B20677" s="5" t="str">
        <f t="shared" si="1046"/>
        <v>LICENCIA DE ANTIVIRUS ESET ENDPOINT POR UN (1) AÑO - RENOVACIÓN</v>
      </c>
      <c r="C20677" s="6">
        <v>25073.3</v>
      </c>
      <c r="D20677" s="5" t="s">
        <v>873</v>
      </c>
      <c r="E20677" s="5" t="str">
        <f t="shared" si="1045"/>
        <v>SISTEMAS-GLOBALTRONIK SAS-SERGIO PATIÑO</v>
      </c>
      <c r="F20677" s="5"/>
      <c r="G20677" s="5"/>
    </row>
    <row r="20678" spans="1:7" ht="58.5" customHeight="1" x14ac:dyDescent="0.25">
      <c r="A20678" s="5" t="str">
        <f>"H0028181"</f>
        <v>H0028181</v>
      </c>
      <c r="B20678" s="5" t="str">
        <f t="shared" si="1046"/>
        <v>LICENCIA DE ANTIVIRUS ESET ENDPOINT POR UN (1) AÑO - RENOVACIÓN</v>
      </c>
      <c r="C20678" s="6">
        <v>25073.3</v>
      </c>
      <c r="D20678" s="5" t="s">
        <v>873</v>
      </c>
      <c r="E20678" s="5" t="str">
        <f t="shared" si="1045"/>
        <v>SISTEMAS-GLOBALTRONIK SAS-SERGIO PATIÑO</v>
      </c>
      <c r="F20678" s="5"/>
      <c r="G20678" s="5"/>
    </row>
    <row r="20679" spans="1:7" ht="58.5" customHeight="1" x14ac:dyDescent="0.25">
      <c r="A20679" s="5" t="str">
        <f>"H0028182"</f>
        <v>H0028182</v>
      </c>
      <c r="B20679" s="5" t="str">
        <f t="shared" si="1046"/>
        <v>LICENCIA DE ANTIVIRUS ESET ENDPOINT POR UN (1) AÑO - RENOVACIÓN</v>
      </c>
      <c r="C20679" s="6">
        <v>25073.3</v>
      </c>
      <c r="D20679" s="5" t="s">
        <v>873</v>
      </c>
      <c r="E20679" s="5" t="str">
        <f t="shared" si="1045"/>
        <v>SISTEMAS-GLOBALTRONIK SAS-SERGIO PATIÑO</v>
      </c>
      <c r="F20679" s="5"/>
      <c r="G20679" s="5"/>
    </row>
    <row r="20680" spans="1:7" ht="58.5" customHeight="1" x14ac:dyDescent="0.25">
      <c r="A20680" s="5" t="str">
        <f>"H0028183"</f>
        <v>H0028183</v>
      </c>
      <c r="B20680" s="5" t="str">
        <f t="shared" si="1046"/>
        <v>LICENCIA DE ANTIVIRUS ESET ENDPOINT POR UN (1) AÑO - RENOVACIÓN</v>
      </c>
      <c r="C20680" s="6">
        <v>25073.3</v>
      </c>
      <c r="D20680" s="5" t="s">
        <v>873</v>
      </c>
      <c r="E20680" s="5" t="str">
        <f t="shared" si="1045"/>
        <v>SISTEMAS-GLOBALTRONIK SAS-SERGIO PATIÑO</v>
      </c>
      <c r="F20680" s="5"/>
      <c r="G20680" s="5"/>
    </row>
    <row r="20681" spans="1:7" ht="58.5" customHeight="1" x14ac:dyDescent="0.25">
      <c r="A20681" s="5" t="str">
        <f>"H0028184"</f>
        <v>H0028184</v>
      </c>
      <c r="B20681" s="5" t="str">
        <f t="shared" si="1046"/>
        <v>LICENCIA DE ANTIVIRUS ESET ENDPOINT POR UN (1) AÑO - RENOVACIÓN</v>
      </c>
      <c r="C20681" s="6">
        <v>25073.3</v>
      </c>
      <c r="D20681" s="5" t="s">
        <v>873</v>
      </c>
      <c r="E20681" s="5" t="str">
        <f t="shared" si="1045"/>
        <v>SISTEMAS-GLOBALTRONIK SAS-SERGIO PATIÑO</v>
      </c>
      <c r="F20681" s="5"/>
      <c r="G20681" s="5"/>
    </row>
    <row r="20682" spans="1:7" ht="58.5" customHeight="1" x14ac:dyDescent="0.25">
      <c r="A20682" s="5" t="str">
        <f>"H0028185"</f>
        <v>H0028185</v>
      </c>
      <c r="B20682" s="5" t="str">
        <f t="shared" si="1046"/>
        <v>LICENCIA DE ANTIVIRUS ESET ENDPOINT POR UN (1) AÑO - RENOVACIÓN</v>
      </c>
      <c r="C20682" s="6">
        <v>25073.3</v>
      </c>
      <c r="D20682" s="5" t="s">
        <v>873</v>
      </c>
      <c r="E20682" s="5" t="str">
        <f t="shared" si="1045"/>
        <v>SISTEMAS-GLOBALTRONIK SAS-SERGIO PATIÑO</v>
      </c>
      <c r="F20682" s="5"/>
      <c r="G20682" s="5"/>
    </row>
    <row r="20683" spans="1:7" ht="58.5" customHeight="1" x14ac:dyDescent="0.25">
      <c r="A20683" s="5" t="str">
        <f>"H0028186"</f>
        <v>H0028186</v>
      </c>
      <c r="B20683" s="5" t="str">
        <f t="shared" si="1046"/>
        <v>LICENCIA DE ANTIVIRUS ESET ENDPOINT POR UN (1) AÑO - RENOVACIÓN</v>
      </c>
      <c r="C20683" s="6">
        <v>25073.3</v>
      </c>
      <c r="D20683" s="5" t="s">
        <v>873</v>
      </c>
      <c r="E20683" s="5" t="str">
        <f t="shared" si="1045"/>
        <v>SISTEMAS-GLOBALTRONIK SAS-SERGIO PATIÑO</v>
      </c>
      <c r="F20683" s="5"/>
      <c r="G20683" s="5"/>
    </row>
    <row r="20684" spans="1:7" ht="58.5" customHeight="1" x14ac:dyDescent="0.25">
      <c r="A20684" s="5" t="str">
        <f>"H0028187"</f>
        <v>H0028187</v>
      </c>
      <c r="B20684" s="5" t="str">
        <f t="shared" si="1046"/>
        <v>LICENCIA DE ANTIVIRUS ESET ENDPOINT POR UN (1) AÑO - RENOVACIÓN</v>
      </c>
      <c r="C20684" s="6">
        <v>25073.3</v>
      </c>
      <c r="D20684" s="5" t="s">
        <v>873</v>
      </c>
      <c r="E20684" s="5" t="str">
        <f t="shared" si="1045"/>
        <v>SISTEMAS-GLOBALTRONIK SAS-SERGIO PATIÑO</v>
      </c>
      <c r="F20684" s="5"/>
      <c r="G20684" s="5"/>
    </row>
    <row r="20685" spans="1:7" ht="58.5" customHeight="1" x14ac:dyDescent="0.25">
      <c r="A20685" s="5" t="str">
        <f>"H0028188"</f>
        <v>H0028188</v>
      </c>
      <c r="B20685" s="5" t="str">
        <f t="shared" si="1046"/>
        <v>LICENCIA DE ANTIVIRUS ESET ENDPOINT POR UN (1) AÑO - RENOVACIÓN</v>
      </c>
      <c r="C20685" s="6">
        <v>25073.3</v>
      </c>
      <c r="D20685" s="5" t="s">
        <v>873</v>
      </c>
      <c r="E20685" s="5" t="str">
        <f t="shared" si="1045"/>
        <v>SISTEMAS-GLOBALTRONIK SAS-SERGIO PATIÑO</v>
      </c>
      <c r="F20685" s="5"/>
      <c r="G20685" s="5"/>
    </row>
    <row r="20686" spans="1:7" ht="58.5" customHeight="1" x14ac:dyDescent="0.25">
      <c r="A20686" s="5" t="str">
        <f>"H0028189"</f>
        <v>H0028189</v>
      </c>
      <c r="B20686" s="5" t="str">
        <f t="shared" si="1046"/>
        <v>LICENCIA DE ANTIVIRUS ESET ENDPOINT POR UN (1) AÑO - RENOVACIÓN</v>
      </c>
      <c r="C20686" s="6">
        <v>25073.3</v>
      </c>
      <c r="D20686" s="5" t="s">
        <v>873</v>
      </c>
      <c r="E20686" s="5" t="str">
        <f t="shared" si="1045"/>
        <v>SISTEMAS-GLOBALTRONIK SAS-SERGIO PATIÑO</v>
      </c>
      <c r="F20686" s="5"/>
      <c r="G20686" s="5"/>
    </row>
    <row r="20687" spans="1:7" ht="58.5" customHeight="1" x14ac:dyDescent="0.25">
      <c r="A20687" s="5" t="str">
        <f>"H0028190"</f>
        <v>H0028190</v>
      </c>
      <c r="B20687" s="5" t="str">
        <f t="shared" si="1046"/>
        <v>LICENCIA DE ANTIVIRUS ESET ENDPOINT POR UN (1) AÑO - RENOVACIÓN</v>
      </c>
      <c r="C20687" s="6">
        <v>25073.3</v>
      </c>
      <c r="D20687" s="5" t="s">
        <v>873</v>
      </c>
      <c r="E20687" s="5" t="str">
        <f t="shared" si="1045"/>
        <v>SISTEMAS-GLOBALTRONIK SAS-SERGIO PATIÑO</v>
      </c>
      <c r="F20687" s="5"/>
      <c r="G20687" s="5"/>
    </row>
    <row r="20688" spans="1:7" ht="58.5" customHeight="1" x14ac:dyDescent="0.25">
      <c r="A20688" s="5" t="str">
        <f>"H0028191"</f>
        <v>H0028191</v>
      </c>
      <c r="B20688" s="5" t="str">
        <f t="shared" si="1046"/>
        <v>LICENCIA DE ANTIVIRUS ESET ENDPOINT POR UN (1) AÑO - RENOVACIÓN</v>
      </c>
      <c r="C20688" s="6">
        <v>25073.3</v>
      </c>
      <c r="D20688" s="5" t="s">
        <v>873</v>
      </c>
      <c r="E20688" s="5" t="str">
        <f t="shared" si="1045"/>
        <v>SISTEMAS-GLOBALTRONIK SAS-SERGIO PATIÑO</v>
      </c>
      <c r="F20688" s="5"/>
      <c r="G20688" s="5"/>
    </row>
    <row r="20689" spans="1:7" ht="58.5" customHeight="1" x14ac:dyDescent="0.25">
      <c r="A20689" s="5" t="str">
        <f>"H0028192"</f>
        <v>H0028192</v>
      </c>
      <c r="B20689" s="5" t="str">
        <f t="shared" si="1046"/>
        <v>LICENCIA DE ANTIVIRUS ESET ENDPOINT POR UN (1) AÑO - RENOVACIÓN</v>
      </c>
      <c r="C20689" s="6">
        <v>25073.3</v>
      </c>
      <c r="D20689" s="5" t="s">
        <v>873</v>
      </c>
      <c r="E20689" s="5" t="str">
        <f t="shared" si="1045"/>
        <v>SISTEMAS-GLOBALTRONIK SAS-SERGIO PATIÑO</v>
      </c>
      <c r="F20689" s="5"/>
      <c r="G20689" s="5"/>
    </row>
    <row r="20690" spans="1:7" ht="58.5" customHeight="1" x14ac:dyDescent="0.25">
      <c r="A20690" s="5" t="str">
        <f>"H0028193"</f>
        <v>H0028193</v>
      </c>
      <c r="B20690" s="5" t="str">
        <f t="shared" si="1046"/>
        <v>LICENCIA DE ANTIVIRUS ESET ENDPOINT POR UN (1) AÑO - RENOVACIÓN</v>
      </c>
      <c r="C20690" s="6">
        <v>25073.3</v>
      </c>
      <c r="D20690" s="5" t="s">
        <v>873</v>
      </c>
      <c r="E20690" s="5" t="str">
        <f t="shared" si="1045"/>
        <v>SISTEMAS-GLOBALTRONIK SAS-SERGIO PATIÑO</v>
      </c>
      <c r="F20690" s="5"/>
      <c r="G20690" s="5"/>
    </row>
    <row r="20691" spans="1:7" ht="58.5" customHeight="1" x14ac:dyDescent="0.25">
      <c r="A20691" s="5" t="str">
        <f>"H0028194"</f>
        <v>H0028194</v>
      </c>
      <c r="B20691" s="5" t="str">
        <f t="shared" si="1046"/>
        <v>LICENCIA DE ANTIVIRUS ESET ENDPOINT POR UN (1) AÑO - RENOVACIÓN</v>
      </c>
      <c r="C20691" s="6">
        <v>25073.3</v>
      </c>
      <c r="D20691" s="5" t="s">
        <v>873</v>
      </c>
      <c r="E20691" s="5" t="str">
        <f t="shared" si="1045"/>
        <v>SISTEMAS-GLOBALTRONIK SAS-SERGIO PATIÑO</v>
      </c>
      <c r="F20691" s="5"/>
      <c r="G20691" s="5"/>
    </row>
    <row r="20692" spans="1:7" ht="58.5" customHeight="1" x14ac:dyDescent="0.25">
      <c r="A20692" s="5" t="str">
        <f>"H0028195"</f>
        <v>H0028195</v>
      </c>
      <c r="B20692" s="5" t="str">
        <f t="shared" si="1046"/>
        <v>LICENCIA DE ANTIVIRUS ESET ENDPOINT POR UN (1) AÑO - RENOVACIÓN</v>
      </c>
      <c r="C20692" s="6">
        <v>25073.3</v>
      </c>
      <c r="D20692" s="5" t="s">
        <v>873</v>
      </c>
      <c r="E20692" s="5" t="str">
        <f t="shared" si="1045"/>
        <v>SISTEMAS-GLOBALTRONIK SAS-SERGIO PATIÑO</v>
      </c>
      <c r="F20692" s="5"/>
      <c r="G20692" s="5"/>
    </row>
    <row r="20693" spans="1:7" ht="58.5" customHeight="1" x14ac:dyDescent="0.25">
      <c r="A20693" s="5" t="str">
        <f>"H0028196"</f>
        <v>H0028196</v>
      </c>
      <c r="B20693" s="5" t="str">
        <f t="shared" si="1046"/>
        <v>LICENCIA DE ANTIVIRUS ESET ENDPOINT POR UN (1) AÑO - RENOVACIÓN</v>
      </c>
      <c r="C20693" s="6">
        <v>25073.3</v>
      </c>
      <c r="D20693" s="5" t="s">
        <v>873</v>
      </c>
      <c r="E20693" s="5" t="str">
        <f t="shared" si="1045"/>
        <v>SISTEMAS-GLOBALTRONIK SAS-SERGIO PATIÑO</v>
      </c>
      <c r="F20693" s="5"/>
      <c r="G20693" s="5"/>
    </row>
    <row r="20694" spans="1:7" ht="58.5" customHeight="1" x14ac:dyDescent="0.25">
      <c r="A20694" s="5" t="str">
        <f>"H0028197"</f>
        <v>H0028197</v>
      </c>
      <c r="B20694" s="5" t="str">
        <f t="shared" si="1046"/>
        <v>LICENCIA DE ANTIVIRUS ESET ENDPOINT POR UN (1) AÑO - RENOVACIÓN</v>
      </c>
      <c r="C20694" s="6">
        <v>25073.3</v>
      </c>
      <c r="D20694" s="5" t="s">
        <v>873</v>
      </c>
      <c r="E20694" s="5" t="str">
        <f t="shared" si="1045"/>
        <v>SISTEMAS-GLOBALTRONIK SAS-SERGIO PATIÑO</v>
      </c>
      <c r="F20694" s="5"/>
      <c r="G20694" s="5"/>
    </row>
    <row r="20695" spans="1:7" ht="58.5" customHeight="1" x14ac:dyDescent="0.25">
      <c r="A20695" s="5" t="str">
        <f>"H0028198"</f>
        <v>H0028198</v>
      </c>
      <c r="B20695" s="5" t="str">
        <f t="shared" si="1046"/>
        <v>LICENCIA DE ANTIVIRUS ESET ENDPOINT POR UN (1) AÑO - RENOVACIÓN</v>
      </c>
      <c r="C20695" s="6">
        <v>25073.3</v>
      </c>
      <c r="D20695" s="5" t="s">
        <v>873</v>
      </c>
      <c r="E20695" s="5" t="str">
        <f t="shared" si="1045"/>
        <v>SISTEMAS-GLOBALTRONIK SAS-SERGIO PATIÑO</v>
      </c>
      <c r="F20695" s="5"/>
      <c r="G20695" s="5"/>
    </row>
    <row r="20696" spans="1:7" ht="58.5" customHeight="1" x14ac:dyDescent="0.25">
      <c r="A20696" s="5" t="str">
        <f>"H0028199"</f>
        <v>H0028199</v>
      </c>
      <c r="B20696" s="5" t="str">
        <f t="shared" si="1046"/>
        <v>LICENCIA DE ANTIVIRUS ESET ENDPOINT POR UN (1) AÑO - RENOVACIÓN</v>
      </c>
      <c r="C20696" s="6">
        <v>25073.3</v>
      </c>
      <c r="D20696" s="5" t="s">
        <v>873</v>
      </c>
      <c r="E20696" s="5" t="str">
        <f t="shared" si="1045"/>
        <v>SISTEMAS-GLOBALTRONIK SAS-SERGIO PATIÑO</v>
      </c>
      <c r="F20696" s="5"/>
      <c r="G20696" s="5"/>
    </row>
    <row r="20697" spans="1:7" ht="58.5" customHeight="1" x14ac:dyDescent="0.25">
      <c r="A20697" s="5" t="str">
        <f>"H0028200"</f>
        <v>H0028200</v>
      </c>
      <c r="B20697" s="5" t="str">
        <f t="shared" si="1046"/>
        <v>LICENCIA DE ANTIVIRUS ESET ENDPOINT POR UN (1) AÑO - RENOVACIÓN</v>
      </c>
      <c r="C20697" s="6">
        <v>25073.3</v>
      </c>
      <c r="D20697" s="5" t="s">
        <v>873</v>
      </c>
      <c r="E20697" s="5" t="str">
        <f t="shared" si="1045"/>
        <v>SISTEMAS-GLOBALTRONIK SAS-SERGIO PATIÑO</v>
      </c>
      <c r="F20697" s="5"/>
      <c r="G20697" s="5"/>
    </row>
    <row r="20698" spans="1:7" ht="58.5" customHeight="1" x14ac:dyDescent="0.25">
      <c r="A20698" s="5" t="str">
        <f>"H0028201"</f>
        <v>H0028201</v>
      </c>
      <c r="B20698" s="5" t="str">
        <f t="shared" si="1046"/>
        <v>LICENCIA DE ANTIVIRUS ESET ENDPOINT POR UN (1) AÑO - RENOVACIÓN</v>
      </c>
      <c r="C20698" s="6">
        <v>25073.3</v>
      </c>
      <c r="D20698" s="5" t="s">
        <v>873</v>
      </c>
      <c r="E20698" s="5" t="str">
        <f t="shared" si="1045"/>
        <v>SISTEMAS-GLOBALTRONIK SAS-SERGIO PATIÑO</v>
      </c>
      <c r="F20698" s="5"/>
      <c r="G20698" s="5"/>
    </row>
    <row r="20699" spans="1:7" ht="58.5" customHeight="1" x14ac:dyDescent="0.25">
      <c r="A20699" s="5" t="str">
        <f>"H0028202"</f>
        <v>H0028202</v>
      </c>
      <c r="B20699" s="5" t="str">
        <f t="shared" si="1046"/>
        <v>LICENCIA DE ANTIVIRUS ESET ENDPOINT POR UN (1) AÑO - RENOVACIÓN</v>
      </c>
      <c r="C20699" s="6">
        <v>25073.3</v>
      </c>
      <c r="D20699" s="5" t="s">
        <v>873</v>
      </c>
      <c r="E20699" s="5" t="str">
        <f t="shared" si="1045"/>
        <v>SISTEMAS-GLOBALTRONIK SAS-SERGIO PATIÑO</v>
      </c>
      <c r="F20699" s="5"/>
      <c r="G20699" s="5"/>
    </row>
    <row r="20700" spans="1:7" ht="58.5" customHeight="1" x14ac:dyDescent="0.25">
      <c r="A20700" s="5" t="str">
        <f>"H0028203"</f>
        <v>H0028203</v>
      </c>
      <c r="B20700" s="5" t="str">
        <f t="shared" si="1046"/>
        <v>LICENCIA DE ANTIVIRUS ESET ENDPOINT POR UN (1) AÑO - RENOVACIÓN</v>
      </c>
      <c r="C20700" s="6">
        <v>25073.3</v>
      </c>
      <c r="D20700" s="5" t="s">
        <v>873</v>
      </c>
      <c r="E20700" s="5" t="str">
        <f t="shared" si="1045"/>
        <v>SISTEMAS-GLOBALTRONIK SAS-SERGIO PATIÑO</v>
      </c>
      <c r="F20700" s="5"/>
      <c r="G20700" s="5"/>
    </row>
    <row r="20701" spans="1:7" ht="58.5" customHeight="1" x14ac:dyDescent="0.25">
      <c r="A20701" s="5" t="str">
        <f>"H0028204"</f>
        <v>H0028204</v>
      </c>
      <c r="B20701" s="5" t="str">
        <f t="shared" si="1046"/>
        <v>LICENCIA DE ANTIVIRUS ESET ENDPOINT POR UN (1) AÑO - RENOVACIÓN</v>
      </c>
      <c r="C20701" s="6">
        <v>25073.3</v>
      </c>
      <c r="D20701" s="5" t="s">
        <v>873</v>
      </c>
      <c r="E20701" s="5" t="str">
        <f t="shared" si="1045"/>
        <v>SISTEMAS-GLOBALTRONIK SAS-SERGIO PATIÑO</v>
      </c>
      <c r="F20701" s="5"/>
      <c r="G20701" s="5"/>
    </row>
    <row r="20702" spans="1:7" ht="58.5" customHeight="1" x14ac:dyDescent="0.25">
      <c r="A20702" s="5" t="str">
        <f>"H0028205"</f>
        <v>H0028205</v>
      </c>
      <c r="B20702" s="5" t="str">
        <f t="shared" si="1046"/>
        <v>LICENCIA DE ANTIVIRUS ESET ENDPOINT POR UN (1) AÑO - RENOVACIÓN</v>
      </c>
      <c r="C20702" s="6">
        <v>25073.3</v>
      </c>
      <c r="D20702" s="5" t="s">
        <v>873</v>
      </c>
      <c r="E20702" s="5" t="str">
        <f t="shared" si="1045"/>
        <v>SISTEMAS-GLOBALTRONIK SAS-SERGIO PATIÑO</v>
      </c>
      <c r="F20702" s="5"/>
      <c r="G20702" s="5"/>
    </row>
    <row r="20703" spans="1:7" ht="58.5" customHeight="1" x14ac:dyDescent="0.25">
      <c r="A20703" s="5" t="str">
        <f>"H0028206"</f>
        <v>H0028206</v>
      </c>
      <c r="B20703" s="5" t="str">
        <f t="shared" si="1046"/>
        <v>LICENCIA DE ANTIVIRUS ESET ENDPOINT POR UN (1) AÑO - RENOVACIÓN</v>
      </c>
      <c r="C20703" s="6">
        <v>25073.3</v>
      </c>
      <c r="D20703" s="5" t="s">
        <v>873</v>
      </c>
      <c r="E20703" s="5" t="str">
        <f t="shared" si="1045"/>
        <v>SISTEMAS-GLOBALTRONIK SAS-SERGIO PATIÑO</v>
      </c>
      <c r="F20703" s="5"/>
      <c r="G20703" s="5"/>
    </row>
    <row r="20704" spans="1:7" ht="58.5" customHeight="1" x14ac:dyDescent="0.25">
      <c r="A20704" s="5" t="str">
        <f>"H0028207"</f>
        <v>H0028207</v>
      </c>
      <c r="B20704" s="5" t="str">
        <f t="shared" si="1046"/>
        <v>LICENCIA DE ANTIVIRUS ESET ENDPOINT POR UN (1) AÑO - RENOVACIÓN</v>
      </c>
      <c r="C20704" s="6">
        <v>25073.3</v>
      </c>
      <c r="D20704" s="5" t="s">
        <v>873</v>
      </c>
      <c r="E20704" s="5" t="str">
        <f t="shared" si="1045"/>
        <v>SISTEMAS-GLOBALTRONIK SAS-SERGIO PATIÑO</v>
      </c>
      <c r="F20704" s="5"/>
      <c r="G20704" s="5"/>
    </row>
    <row r="20705" spans="1:7" ht="58.5" customHeight="1" x14ac:dyDescent="0.25">
      <c r="A20705" s="5" t="str">
        <f>"H0028208"</f>
        <v>H0028208</v>
      </c>
      <c r="B20705" s="5" t="str">
        <f t="shared" si="1046"/>
        <v>LICENCIA DE ANTIVIRUS ESET ENDPOINT POR UN (1) AÑO - RENOVACIÓN</v>
      </c>
      <c r="C20705" s="6">
        <v>25073.3</v>
      </c>
      <c r="D20705" s="5" t="s">
        <v>873</v>
      </c>
      <c r="E20705" s="5" t="str">
        <f t="shared" si="1045"/>
        <v>SISTEMAS-GLOBALTRONIK SAS-SERGIO PATIÑO</v>
      </c>
      <c r="F20705" s="5"/>
      <c r="G20705" s="5"/>
    </row>
    <row r="20706" spans="1:7" ht="58.5" customHeight="1" x14ac:dyDescent="0.25">
      <c r="A20706" s="5" t="str">
        <f>"H0028209"</f>
        <v>H0028209</v>
      </c>
      <c r="B20706" s="5" t="str">
        <f t="shared" si="1046"/>
        <v>LICENCIA DE ANTIVIRUS ESET ENDPOINT POR UN (1) AÑO - RENOVACIÓN</v>
      </c>
      <c r="C20706" s="6">
        <v>25073.3</v>
      </c>
      <c r="D20706" s="5" t="s">
        <v>873</v>
      </c>
      <c r="E20706" s="5" t="str">
        <f t="shared" si="1045"/>
        <v>SISTEMAS-GLOBALTRONIK SAS-SERGIO PATIÑO</v>
      </c>
      <c r="F20706" s="5"/>
      <c r="G20706" s="5"/>
    </row>
    <row r="20707" spans="1:7" ht="58.5" customHeight="1" x14ac:dyDescent="0.25">
      <c r="A20707" s="5" t="str">
        <f>"H0028210"</f>
        <v>H0028210</v>
      </c>
      <c r="B20707" s="5" t="str">
        <f t="shared" si="1046"/>
        <v>LICENCIA DE ANTIVIRUS ESET ENDPOINT POR UN (1) AÑO - RENOVACIÓN</v>
      </c>
      <c r="C20707" s="6">
        <v>25073.3</v>
      </c>
      <c r="D20707" s="5" t="s">
        <v>873</v>
      </c>
      <c r="E20707" s="5" t="str">
        <f t="shared" si="1045"/>
        <v>SISTEMAS-GLOBALTRONIK SAS-SERGIO PATIÑO</v>
      </c>
      <c r="F20707" s="5"/>
      <c r="G20707" s="5"/>
    </row>
    <row r="20708" spans="1:7" ht="58.5" customHeight="1" x14ac:dyDescent="0.25">
      <c r="A20708" s="5" t="str">
        <f>"H0028211"</f>
        <v>H0028211</v>
      </c>
      <c r="B20708" s="5" t="str">
        <f t="shared" si="1046"/>
        <v>LICENCIA DE ANTIVIRUS ESET ENDPOINT POR UN (1) AÑO - RENOVACIÓN</v>
      </c>
      <c r="C20708" s="6">
        <v>25073.3</v>
      </c>
      <c r="D20708" s="5" t="s">
        <v>873</v>
      </c>
      <c r="E20708" s="5" t="str">
        <f t="shared" si="1045"/>
        <v>SISTEMAS-GLOBALTRONIK SAS-SERGIO PATIÑO</v>
      </c>
      <c r="F20708" s="5"/>
      <c r="G20708" s="5"/>
    </row>
    <row r="20709" spans="1:7" ht="58.5" customHeight="1" x14ac:dyDescent="0.25">
      <c r="A20709" s="5" t="str">
        <f>"H0028212"</f>
        <v>H0028212</v>
      </c>
      <c r="B20709" s="5" t="str">
        <f t="shared" si="1046"/>
        <v>LICENCIA DE ANTIVIRUS ESET ENDPOINT POR UN (1) AÑO - RENOVACIÓN</v>
      </c>
      <c r="C20709" s="6">
        <v>25073.3</v>
      </c>
      <c r="D20709" s="5" t="s">
        <v>873</v>
      </c>
      <c r="E20709" s="5" t="str">
        <f t="shared" si="1045"/>
        <v>SISTEMAS-GLOBALTRONIK SAS-SERGIO PATIÑO</v>
      </c>
      <c r="F20709" s="5"/>
      <c r="G20709" s="5"/>
    </row>
    <row r="20710" spans="1:7" ht="58.5" customHeight="1" x14ac:dyDescent="0.25">
      <c r="A20710" s="5" t="str">
        <f>"H0028213"</f>
        <v>H0028213</v>
      </c>
      <c r="B20710" s="5" t="str">
        <f t="shared" si="1046"/>
        <v>LICENCIA DE ANTIVIRUS ESET ENDPOINT POR UN (1) AÑO - RENOVACIÓN</v>
      </c>
      <c r="C20710" s="6">
        <v>25073.3</v>
      </c>
      <c r="D20710" s="5" t="s">
        <v>873</v>
      </c>
      <c r="E20710" s="5" t="str">
        <f t="shared" si="1045"/>
        <v>SISTEMAS-GLOBALTRONIK SAS-SERGIO PATIÑO</v>
      </c>
      <c r="F20710" s="5"/>
      <c r="G20710" s="5"/>
    </row>
    <row r="20711" spans="1:7" ht="58.5" customHeight="1" x14ac:dyDescent="0.25">
      <c r="A20711" s="5" t="str">
        <f>"H0028214"</f>
        <v>H0028214</v>
      </c>
      <c r="B20711" s="5" t="str">
        <f t="shared" si="1046"/>
        <v>LICENCIA DE ANTIVIRUS ESET ENDPOINT POR UN (1) AÑO - RENOVACIÓN</v>
      </c>
      <c r="C20711" s="6">
        <v>25073.3</v>
      </c>
      <c r="D20711" s="5" t="s">
        <v>873</v>
      </c>
      <c r="E20711" s="5" t="str">
        <f t="shared" si="1045"/>
        <v>SISTEMAS-GLOBALTRONIK SAS-SERGIO PATIÑO</v>
      </c>
      <c r="F20711" s="5"/>
      <c r="G20711" s="5"/>
    </row>
    <row r="20712" spans="1:7" ht="58.5" customHeight="1" x14ac:dyDescent="0.25">
      <c r="A20712" s="5" t="str">
        <f>"H0028215"</f>
        <v>H0028215</v>
      </c>
      <c r="B20712" s="5" t="str">
        <f t="shared" si="1046"/>
        <v>LICENCIA DE ANTIVIRUS ESET ENDPOINT POR UN (1) AÑO - RENOVACIÓN</v>
      </c>
      <c r="C20712" s="6">
        <v>25073.3</v>
      </c>
      <c r="D20712" s="5" t="s">
        <v>873</v>
      </c>
      <c r="E20712" s="5" t="str">
        <f t="shared" si="1045"/>
        <v>SISTEMAS-GLOBALTRONIK SAS-SERGIO PATIÑO</v>
      </c>
      <c r="F20712" s="5"/>
      <c r="G20712" s="5"/>
    </row>
    <row r="20713" spans="1:7" ht="58.5" customHeight="1" x14ac:dyDescent="0.25">
      <c r="A20713" s="5" t="str">
        <f>"H0028216"</f>
        <v>H0028216</v>
      </c>
      <c r="B20713" s="5" t="str">
        <f t="shared" si="1046"/>
        <v>LICENCIA DE ANTIVIRUS ESET ENDPOINT POR UN (1) AÑO - RENOVACIÓN</v>
      </c>
      <c r="C20713" s="6">
        <v>25073.3</v>
      </c>
      <c r="D20713" s="5" t="s">
        <v>873</v>
      </c>
      <c r="E20713" s="5" t="str">
        <f t="shared" si="1045"/>
        <v>SISTEMAS-GLOBALTRONIK SAS-SERGIO PATIÑO</v>
      </c>
      <c r="F20713" s="5"/>
      <c r="G20713" s="5"/>
    </row>
    <row r="20714" spans="1:7" ht="58.5" customHeight="1" x14ac:dyDescent="0.25">
      <c r="A20714" s="5" t="str">
        <f>"H0028217"</f>
        <v>H0028217</v>
      </c>
      <c r="B20714" s="5" t="str">
        <f t="shared" si="1046"/>
        <v>LICENCIA DE ANTIVIRUS ESET ENDPOINT POR UN (1) AÑO - RENOVACIÓN</v>
      </c>
      <c r="C20714" s="6">
        <v>25073.3</v>
      </c>
      <c r="D20714" s="5" t="s">
        <v>873</v>
      </c>
      <c r="E20714" s="5" t="str">
        <f t="shared" si="1045"/>
        <v>SISTEMAS-GLOBALTRONIK SAS-SERGIO PATIÑO</v>
      </c>
      <c r="F20714" s="5"/>
      <c r="G20714" s="5"/>
    </row>
    <row r="20715" spans="1:7" ht="58.5" customHeight="1" x14ac:dyDescent="0.25">
      <c r="A20715" s="5" t="str">
        <f>"H0028218"</f>
        <v>H0028218</v>
      </c>
      <c r="B20715" s="5" t="str">
        <f t="shared" si="1046"/>
        <v>LICENCIA DE ANTIVIRUS ESET ENDPOINT POR UN (1) AÑO - RENOVACIÓN</v>
      </c>
      <c r="C20715" s="6">
        <v>25073.3</v>
      </c>
      <c r="D20715" s="5" t="s">
        <v>873</v>
      </c>
      <c r="E20715" s="5" t="str">
        <f t="shared" si="1045"/>
        <v>SISTEMAS-GLOBALTRONIK SAS-SERGIO PATIÑO</v>
      </c>
      <c r="F20715" s="5"/>
      <c r="G20715" s="5"/>
    </row>
    <row r="20716" spans="1:7" ht="58.5" customHeight="1" x14ac:dyDescent="0.25">
      <c r="A20716" s="5" t="str">
        <f>"H0028219"</f>
        <v>H0028219</v>
      </c>
      <c r="B20716" s="5" t="str">
        <f t="shared" si="1046"/>
        <v>LICENCIA DE ANTIVIRUS ESET ENDPOINT POR UN (1) AÑO - RENOVACIÓN</v>
      </c>
      <c r="C20716" s="6">
        <v>25073.3</v>
      </c>
      <c r="D20716" s="5" t="s">
        <v>873</v>
      </c>
      <c r="E20716" s="5" t="str">
        <f t="shared" si="1045"/>
        <v>SISTEMAS-GLOBALTRONIK SAS-SERGIO PATIÑO</v>
      </c>
      <c r="F20716" s="5"/>
      <c r="G20716" s="5"/>
    </row>
    <row r="20717" spans="1:7" ht="58.5" customHeight="1" x14ac:dyDescent="0.25">
      <c r="A20717" s="5" t="str">
        <f>"H0028220"</f>
        <v>H0028220</v>
      </c>
      <c r="B20717" s="5" t="str">
        <f t="shared" si="1046"/>
        <v>LICENCIA DE ANTIVIRUS ESET ENDPOINT POR UN (1) AÑO - RENOVACIÓN</v>
      </c>
      <c r="C20717" s="6">
        <v>25073.3</v>
      </c>
      <c r="D20717" s="5" t="s">
        <v>873</v>
      </c>
      <c r="E20717" s="5" t="str">
        <f t="shared" si="1045"/>
        <v>SISTEMAS-GLOBALTRONIK SAS-SERGIO PATIÑO</v>
      </c>
      <c r="F20717" s="5"/>
      <c r="G20717" s="5"/>
    </row>
    <row r="20718" spans="1:7" ht="58.5" customHeight="1" x14ac:dyDescent="0.25">
      <c r="A20718" s="5" t="str">
        <f>"H0028221"</f>
        <v>H0028221</v>
      </c>
      <c r="B20718" s="5" t="str">
        <f t="shared" si="1046"/>
        <v>LICENCIA DE ANTIVIRUS ESET ENDPOINT POR UN (1) AÑO - RENOVACIÓN</v>
      </c>
      <c r="C20718" s="6">
        <v>25073.3</v>
      </c>
      <c r="D20718" s="5" t="s">
        <v>873</v>
      </c>
      <c r="E20718" s="5" t="str">
        <f t="shared" si="1045"/>
        <v>SISTEMAS-GLOBALTRONIK SAS-SERGIO PATIÑO</v>
      </c>
      <c r="F20718" s="5"/>
      <c r="G20718" s="5"/>
    </row>
    <row r="20719" spans="1:7" ht="58.5" customHeight="1" x14ac:dyDescent="0.25">
      <c r="A20719" s="5" t="str">
        <f>"H0028222"</f>
        <v>H0028222</v>
      </c>
      <c r="B20719" s="5" t="str">
        <f t="shared" si="1046"/>
        <v>LICENCIA DE ANTIVIRUS ESET ENDPOINT POR UN (1) AÑO - RENOVACIÓN</v>
      </c>
      <c r="C20719" s="6">
        <v>25073.3</v>
      </c>
      <c r="D20719" s="5" t="s">
        <v>86</v>
      </c>
      <c r="E20719" s="5" t="str">
        <f t="shared" si="1045"/>
        <v>SISTEMAS-GLOBALTRONIK SAS-SERGIO PATIÑO</v>
      </c>
      <c r="F20719" s="5"/>
      <c r="G20719" s="5"/>
    </row>
    <row r="20720" spans="1:7" ht="58.5" customHeight="1" x14ac:dyDescent="0.25">
      <c r="A20720" s="5" t="str">
        <f>"H0028223"</f>
        <v>H0028223</v>
      </c>
      <c r="B20720" s="5" t="str">
        <f t="shared" si="1046"/>
        <v>LICENCIA DE ANTIVIRUS ESET ENDPOINT POR UN (1) AÑO - RENOVACIÓN</v>
      </c>
      <c r="C20720" s="6">
        <v>25073.3</v>
      </c>
      <c r="D20720" s="5" t="s">
        <v>873</v>
      </c>
      <c r="E20720" s="5" t="str">
        <f t="shared" si="1045"/>
        <v>SISTEMAS-GLOBALTRONIK SAS-SERGIO PATIÑO</v>
      </c>
      <c r="F20720" s="5"/>
      <c r="G20720" s="5"/>
    </row>
    <row r="20721" spans="1:7" ht="58.5" customHeight="1" x14ac:dyDescent="0.25">
      <c r="A20721" s="5" t="str">
        <f>"H0028224"</f>
        <v>H0028224</v>
      </c>
      <c r="B20721" s="5" t="str">
        <f t="shared" si="1046"/>
        <v>LICENCIA DE ANTIVIRUS ESET ENDPOINT POR UN (1) AÑO - RENOVACIÓN</v>
      </c>
      <c r="C20721" s="6">
        <v>25073.3</v>
      </c>
      <c r="D20721" s="5" t="s">
        <v>873</v>
      </c>
      <c r="E20721" s="5" t="str">
        <f t="shared" si="1045"/>
        <v>SISTEMAS-GLOBALTRONIK SAS-SERGIO PATIÑO</v>
      </c>
      <c r="F20721" s="5"/>
      <c r="G20721" s="5"/>
    </row>
    <row r="20722" spans="1:7" ht="58.5" customHeight="1" x14ac:dyDescent="0.25">
      <c r="A20722" s="5" t="str">
        <f>"H0028225"</f>
        <v>H0028225</v>
      </c>
      <c r="B20722" s="5" t="str">
        <f t="shared" si="1046"/>
        <v>LICENCIA DE ANTIVIRUS ESET ENDPOINT POR UN (1) AÑO - RENOVACIÓN</v>
      </c>
      <c r="C20722" s="6">
        <v>25073.3</v>
      </c>
      <c r="D20722" s="5" t="s">
        <v>873</v>
      </c>
      <c r="E20722" s="5" t="str">
        <f t="shared" si="1045"/>
        <v>SISTEMAS-GLOBALTRONIK SAS-SERGIO PATIÑO</v>
      </c>
      <c r="F20722" s="5"/>
      <c r="G20722" s="5"/>
    </row>
    <row r="20723" spans="1:7" ht="58.5" customHeight="1" x14ac:dyDescent="0.25">
      <c r="A20723" s="5" t="str">
        <f>"H0028226"</f>
        <v>H0028226</v>
      </c>
      <c r="B20723" s="5" t="str">
        <f t="shared" si="1046"/>
        <v>LICENCIA DE ANTIVIRUS ESET ENDPOINT POR UN (1) AÑO - RENOVACIÓN</v>
      </c>
      <c r="C20723" s="6">
        <v>25073.3</v>
      </c>
      <c r="D20723" s="5" t="s">
        <v>873</v>
      </c>
      <c r="E20723" s="5" t="str">
        <f t="shared" si="1045"/>
        <v>SISTEMAS-GLOBALTRONIK SAS-SERGIO PATIÑO</v>
      </c>
      <c r="F20723" s="5"/>
      <c r="G20723" s="5"/>
    </row>
    <row r="20724" spans="1:7" ht="58.5" customHeight="1" x14ac:dyDescent="0.25">
      <c r="A20724" s="5" t="str">
        <f>"H0028227"</f>
        <v>H0028227</v>
      </c>
      <c r="B20724" s="5" t="str">
        <f t="shared" si="1046"/>
        <v>LICENCIA DE ANTIVIRUS ESET ENDPOINT POR UN (1) AÑO - RENOVACIÓN</v>
      </c>
      <c r="C20724" s="6">
        <v>25073.3</v>
      </c>
      <c r="D20724" s="5" t="s">
        <v>873</v>
      </c>
      <c r="E20724" s="5" t="str">
        <f t="shared" si="1045"/>
        <v>SISTEMAS-GLOBALTRONIK SAS-SERGIO PATIÑO</v>
      </c>
      <c r="F20724" s="5"/>
      <c r="G20724" s="5"/>
    </row>
    <row r="20725" spans="1:7" ht="58.5" customHeight="1" x14ac:dyDescent="0.25">
      <c r="A20725" s="5" t="str">
        <f>"H0028228"</f>
        <v>H0028228</v>
      </c>
      <c r="B20725" s="5" t="str">
        <f t="shared" si="1046"/>
        <v>LICENCIA DE ANTIVIRUS ESET ENDPOINT POR UN (1) AÑO - RENOVACIÓN</v>
      </c>
      <c r="C20725" s="6">
        <v>25073.3</v>
      </c>
      <c r="D20725" s="5" t="s">
        <v>873</v>
      </c>
      <c r="E20725" s="5" t="str">
        <f t="shared" si="1045"/>
        <v>SISTEMAS-GLOBALTRONIK SAS-SERGIO PATIÑO</v>
      </c>
      <c r="F20725" s="5"/>
      <c r="G20725" s="5"/>
    </row>
    <row r="20726" spans="1:7" ht="58.5" customHeight="1" x14ac:dyDescent="0.25">
      <c r="A20726" s="5" t="str">
        <f>"H0028229"</f>
        <v>H0028229</v>
      </c>
      <c r="B20726" s="5" t="str">
        <f t="shared" si="1046"/>
        <v>LICENCIA DE ANTIVIRUS ESET ENDPOINT POR UN (1) AÑO - RENOVACIÓN</v>
      </c>
      <c r="C20726" s="6">
        <v>25073.3</v>
      </c>
      <c r="D20726" s="5" t="s">
        <v>873</v>
      </c>
      <c r="E20726" s="5" t="str">
        <f t="shared" si="1045"/>
        <v>SISTEMAS-GLOBALTRONIK SAS-SERGIO PATIÑO</v>
      </c>
      <c r="F20726" s="5"/>
      <c r="G20726" s="5"/>
    </row>
    <row r="20727" spans="1:7" ht="58.5" customHeight="1" x14ac:dyDescent="0.25">
      <c r="A20727" s="5" t="str">
        <f>"H0028230"</f>
        <v>H0028230</v>
      </c>
      <c r="B20727" s="5" t="str">
        <f t="shared" si="1046"/>
        <v>LICENCIA DE ANTIVIRUS ESET ENDPOINT POR UN (1) AÑO - RENOVACIÓN</v>
      </c>
      <c r="C20727" s="6">
        <v>25073.3</v>
      </c>
      <c r="D20727" s="5" t="s">
        <v>873</v>
      </c>
      <c r="E20727" s="5" t="str">
        <f t="shared" si="1045"/>
        <v>SISTEMAS-GLOBALTRONIK SAS-SERGIO PATIÑO</v>
      </c>
      <c r="F20727" s="5"/>
      <c r="G20727" s="5"/>
    </row>
    <row r="20728" spans="1:7" ht="58.5" customHeight="1" x14ac:dyDescent="0.25">
      <c r="A20728" s="5" t="str">
        <f>"H0028231"</f>
        <v>H0028231</v>
      </c>
      <c r="B20728" s="5" t="str">
        <f t="shared" si="1046"/>
        <v>LICENCIA DE ANTIVIRUS ESET ENDPOINT POR UN (1) AÑO - RENOVACIÓN</v>
      </c>
      <c r="C20728" s="6">
        <v>25073.3</v>
      </c>
      <c r="D20728" s="5" t="s">
        <v>873</v>
      </c>
      <c r="E20728" s="5" t="str">
        <f t="shared" si="1045"/>
        <v>SISTEMAS-GLOBALTRONIK SAS-SERGIO PATIÑO</v>
      </c>
      <c r="F20728" s="5"/>
      <c r="G20728" s="5"/>
    </row>
    <row r="20729" spans="1:7" ht="58.5" customHeight="1" x14ac:dyDescent="0.25">
      <c r="A20729" s="5" t="str">
        <f>"H0028232"</f>
        <v>H0028232</v>
      </c>
      <c r="B20729" s="5" t="str">
        <f t="shared" si="1046"/>
        <v>LICENCIA DE ANTIVIRUS ESET ENDPOINT POR UN (1) AÑO - RENOVACIÓN</v>
      </c>
      <c r="C20729" s="6">
        <v>25073.3</v>
      </c>
      <c r="D20729" s="5" t="s">
        <v>873</v>
      </c>
      <c r="E20729" s="5" t="str">
        <f t="shared" si="1045"/>
        <v>SISTEMAS-GLOBALTRONIK SAS-SERGIO PATIÑO</v>
      </c>
      <c r="F20729" s="5"/>
      <c r="G20729" s="5"/>
    </row>
    <row r="20730" spans="1:7" ht="58.5" customHeight="1" x14ac:dyDescent="0.25">
      <c r="A20730" s="5" t="str">
        <f>"H0028233"</f>
        <v>H0028233</v>
      </c>
      <c r="B20730" s="5" t="str">
        <f t="shared" si="1046"/>
        <v>LICENCIA DE ANTIVIRUS ESET ENDPOINT POR UN (1) AÑO - RENOVACIÓN</v>
      </c>
      <c r="C20730" s="6">
        <v>25073.3</v>
      </c>
      <c r="D20730" s="5" t="s">
        <v>873</v>
      </c>
      <c r="E20730" s="5" t="str">
        <f t="shared" si="1045"/>
        <v>SISTEMAS-GLOBALTRONIK SAS-SERGIO PATIÑO</v>
      </c>
      <c r="F20730" s="5"/>
      <c r="G20730" s="5"/>
    </row>
    <row r="20731" spans="1:7" ht="58.5" customHeight="1" x14ac:dyDescent="0.25">
      <c r="A20731" s="5" t="str">
        <f>"H0028234"</f>
        <v>H0028234</v>
      </c>
      <c r="B20731" s="5" t="str">
        <f t="shared" si="1046"/>
        <v>LICENCIA DE ANTIVIRUS ESET ENDPOINT POR UN (1) AÑO - RENOVACIÓN</v>
      </c>
      <c r="C20731" s="6">
        <v>25073.3</v>
      </c>
      <c r="D20731" s="5" t="s">
        <v>873</v>
      </c>
      <c r="E20731" s="5" t="str">
        <f t="shared" si="1045"/>
        <v>SISTEMAS-GLOBALTRONIK SAS-SERGIO PATIÑO</v>
      </c>
      <c r="F20731" s="5"/>
      <c r="G20731" s="5"/>
    </row>
    <row r="20732" spans="1:7" ht="58.5" customHeight="1" x14ac:dyDescent="0.25">
      <c r="A20732" s="5" t="str">
        <f>"H0028235"</f>
        <v>H0028235</v>
      </c>
      <c r="B20732" s="5" t="str">
        <f t="shared" si="1046"/>
        <v>LICENCIA DE ANTIVIRUS ESET ENDPOINT POR UN (1) AÑO - RENOVACIÓN</v>
      </c>
      <c r="C20732" s="6">
        <v>25073.3</v>
      </c>
      <c r="D20732" s="5" t="s">
        <v>873</v>
      </c>
      <c r="E20732" s="5" t="str">
        <f t="shared" si="1045"/>
        <v>SISTEMAS-GLOBALTRONIK SAS-SERGIO PATIÑO</v>
      </c>
      <c r="F20732" s="5"/>
      <c r="G20732" s="5"/>
    </row>
    <row r="20733" spans="1:7" ht="58.5" customHeight="1" x14ac:dyDescent="0.25">
      <c r="A20733" s="5" t="str">
        <f>"H0028236"</f>
        <v>H0028236</v>
      </c>
      <c r="B20733" s="5" t="str">
        <f t="shared" si="1046"/>
        <v>LICENCIA DE ANTIVIRUS ESET ENDPOINT POR UN (1) AÑO - RENOVACIÓN</v>
      </c>
      <c r="C20733" s="6">
        <v>25073.3</v>
      </c>
      <c r="D20733" s="5" t="s">
        <v>873</v>
      </c>
      <c r="E20733" s="5" t="str">
        <f t="shared" ref="E20733:E20796" si="1047">"SISTEMAS-GLOBALTRONIK SAS-SERGIO PATIÑO"</f>
        <v>SISTEMAS-GLOBALTRONIK SAS-SERGIO PATIÑO</v>
      </c>
      <c r="F20733" s="5"/>
      <c r="G20733" s="5"/>
    </row>
    <row r="20734" spans="1:7" ht="58.5" customHeight="1" x14ac:dyDescent="0.25">
      <c r="A20734" s="5" t="str">
        <f>"H0028237"</f>
        <v>H0028237</v>
      </c>
      <c r="B20734" s="5" t="str">
        <f t="shared" si="1046"/>
        <v>LICENCIA DE ANTIVIRUS ESET ENDPOINT POR UN (1) AÑO - RENOVACIÓN</v>
      </c>
      <c r="C20734" s="6">
        <v>25073.3</v>
      </c>
      <c r="D20734" s="5" t="s">
        <v>873</v>
      </c>
      <c r="E20734" s="5" t="str">
        <f t="shared" si="1047"/>
        <v>SISTEMAS-GLOBALTRONIK SAS-SERGIO PATIÑO</v>
      </c>
      <c r="F20734" s="5"/>
      <c r="G20734" s="5"/>
    </row>
    <row r="20735" spans="1:7" ht="58.5" customHeight="1" x14ac:dyDescent="0.25">
      <c r="A20735" s="5" t="str">
        <f>"H0028238"</f>
        <v>H0028238</v>
      </c>
      <c r="B20735" s="5" t="str">
        <f t="shared" si="1046"/>
        <v>LICENCIA DE ANTIVIRUS ESET ENDPOINT POR UN (1) AÑO - RENOVACIÓN</v>
      </c>
      <c r="C20735" s="6">
        <v>25073.3</v>
      </c>
      <c r="D20735" s="5" t="s">
        <v>873</v>
      </c>
      <c r="E20735" s="5" t="str">
        <f t="shared" si="1047"/>
        <v>SISTEMAS-GLOBALTRONIK SAS-SERGIO PATIÑO</v>
      </c>
      <c r="F20735" s="5"/>
      <c r="G20735" s="5"/>
    </row>
    <row r="20736" spans="1:7" ht="58.5" customHeight="1" x14ac:dyDescent="0.25">
      <c r="A20736" s="5" t="str">
        <f>"H0028239"</f>
        <v>H0028239</v>
      </c>
      <c r="B20736" s="5" t="str">
        <f t="shared" si="1046"/>
        <v>LICENCIA DE ANTIVIRUS ESET ENDPOINT POR UN (1) AÑO - RENOVACIÓN</v>
      </c>
      <c r="C20736" s="6">
        <v>25073.3</v>
      </c>
      <c r="D20736" s="5" t="s">
        <v>873</v>
      </c>
      <c r="E20736" s="5" t="str">
        <f t="shared" si="1047"/>
        <v>SISTEMAS-GLOBALTRONIK SAS-SERGIO PATIÑO</v>
      </c>
      <c r="F20736" s="5"/>
      <c r="G20736" s="5"/>
    </row>
    <row r="20737" spans="1:7" ht="58.5" customHeight="1" x14ac:dyDescent="0.25">
      <c r="A20737" s="5" t="str">
        <f>"H0028240"</f>
        <v>H0028240</v>
      </c>
      <c r="B20737" s="5" t="str">
        <f t="shared" si="1046"/>
        <v>LICENCIA DE ANTIVIRUS ESET ENDPOINT POR UN (1) AÑO - RENOVACIÓN</v>
      </c>
      <c r="C20737" s="6">
        <v>25073.3</v>
      </c>
      <c r="D20737" s="5" t="s">
        <v>873</v>
      </c>
      <c r="E20737" s="5" t="str">
        <f t="shared" si="1047"/>
        <v>SISTEMAS-GLOBALTRONIK SAS-SERGIO PATIÑO</v>
      </c>
      <c r="F20737" s="5"/>
      <c r="G20737" s="5"/>
    </row>
    <row r="20738" spans="1:7" ht="58.5" customHeight="1" x14ac:dyDescent="0.25">
      <c r="A20738" s="5" t="str">
        <f>"H0028241"</f>
        <v>H0028241</v>
      </c>
      <c r="B20738" s="5" t="str">
        <f t="shared" si="1046"/>
        <v>LICENCIA DE ANTIVIRUS ESET ENDPOINT POR UN (1) AÑO - RENOVACIÓN</v>
      </c>
      <c r="C20738" s="6">
        <v>25073.3</v>
      </c>
      <c r="D20738" s="5" t="s">
        <v>873</v>
      </c>
      <c r="E20738" s="5" t="str">
        <f t="shared" si="1047"/>
        <v>SISTEMAS-GLOBALTRONIK SAS-SERGIO PATIÑO</v>
      </c>
      <c r="F20738" s="5"/>
      <c r="G20738" s="5"/>
    </row>
    <row r="20739" spans="1:7" ht="58.5" customHeight="1" x14ac:dyDescent="0.25">
      <c r="A20739" s="5" t="str">
        <f>"H0028242"</f>
        <v>H0028242</v>
      </c>
      <c r="B20739" s="5" t="str">
        <f t="shared" ref="B20739:B20762" si="1048">"LICENCIA DE ANTIVIRUS ESET ENDPOINT POR UN (1) AÑO - RENOVACIÓN"</f>
        <v>LICENCIA DE ANTIVIRUS ESET ENDPOINT POR UN (1) AÑO - RENOVACIÓN</v>
      </c>
      <c r="C20739" s="6">
        <v>25073.3</v>
      </c>
      <c r="D20739" s="5" t="s">
        <v>873</v>
      </c>
      <c r="E20739" s="5" t="str">
        <f t="shared" si="1047"/>
        <v>SISTEMAS-GLOBALTRONIK SAS-SERGIO PATIÑO</v>
      </c>
      <c r="F20739" s="5"/>
      <c r="G20739" s="5"/>
    </row>
    <row r="20740" spans="1:7" ht="58.5" customHeight="1" x14ac:dyDescent="0.25">
      <c r="A20740" s="5" t="str">
        <f>"H0028243"</f>
        <v>H0028243</v>
      </c>
      <c r="B20740" s="5" t="str">
        <f t="shared" si="1048"/>
        <v>LICENCIA DE ANTIVIRUS ESET ENDPOINT POR UN (1) AÑO - RENOVACIÓN</v>
      </c>
      <c r="C20740" s="6">
        <v>25073.3</v>
      </c>
      <c r="D20740" s="5" t="s">
        <v>873</v>
      </c>
      <c r="E20740" s="5" t="str">
        <f t="shared" si="1047"/>
        <v>SISTEMAS-GLOBALTRONIK SAS-SERGIO PATIÑO</v>
      </c>
      <c r="F20740" s="5"/>
      <c r="G20740" s="5"/>
    </row>
    <row r="20741" spans="1:7" ht="58.5" customHeight="1" x14ac:dyDescent="0.25">
      <c r="A20741" s="5" t="str">
        <f>"H0028244"</f>
        <v>H0028244</v>
      </c>
      <c r="B20741" s="5" t="str">
        <f t="shared" si="1048"/>
        <v>LICENCIA DE ANTIVIRUS ESET ENDPOINT POR UN (1) AÑO - RENOVACIÓN</v>
      </c>
      <c r="C20741" s="6">
        <v>25073.3</v>
      </c>
      <c r="D20741" s="5" t="s">
        <v>873</v>
      </c>
      <c r="E20741" s="5" t="str">
        <f t="shared" si="1047"/>
        <v>SISTEMAS-GLOBALTRONIK SAS-SERGIO PATIÑO</v>
      </c>
      <c r="F20741" s="5"/>
      <c r="G20741" s="5"/>
    </row>
    <row r="20742" spans="1:7" ht="58.5" customHeight="1" x14ac:dyDescent="0.25">
      <c r="A20742" s="5" t="str">
        <f>"H0028245"</f>
        <v>H0028245</v>
      </c>
      <c r="B20742" s="5" t="str">
        <f t="shared" si="1048"/>
        <v>LICENCIA DE ANTIVIRUS ESET ENDPOINT POR UN (1) AÑO - RENOVACIÓN</v>
      </c>
      <c r="C20742" s="6">
        <v>25073.3</v>
      </c>
      <c r="D20742" s="5" t="s">
        <v>873</v>
      </c>
      <c r="E20742" s="5" t="str">
        <f t="shared" si="1047"/>
        <v>SISTEMAS-GLOBALTRONIK SAS-SERGIO PATIÑO</v>
      </c>
      <c r="F20742" s="5"/>
      <c r="G20742" s="5"/>
    </row>
    <row r="20743" spans="1:7" ht="58.5" customHeight="1" x14ac:dyDescent="0.25">
      <c r="A20743" s="5" t="str">
        <f>"H0028246"</f>
        <v>H0028246</v>
      </c>
      <c r="B20743" s="5" t="str">
        <f t="shared" si="1048"/>
        <v>LICENCIA DE ANTIVIRUS ESET ENDPOINT POR UN (1) AÑO - RENOVACIÓN</v>
      </c>
      <c r="C20743" s="6">
        <v>25073.3</v>
      </c>
      <c r="D20743" s="5" t="s">
        <v>873</v>
      </c>
      <c r="E20743" s="5" t="str">
        <f t="shared" si="1047"/>
        <v>SISTEMAS-GLOBALTRONIK SAS-SERGIO PATIÑO</v>
      </c>
      <c r="F20743" s="5"/>
      <c r="G20743" s="5"/>
    </row>
    <row r="20744" spans="1:7" ht="58.5" customHeight="1" x14ac:dyDescent="0.25">
      <c r="A20744" s="5" t="str">
        <f>"H0028247"</f>
        <v>H0028247</v>
      </c>
      <c r="B20744" s="5" t="str">
        <f t="shared" si="1048"/>
        <v>LICENCIA DE ANTIVIRUS ESET ENDPOINT POR UN (1) AÑO - RENOVACIÓN</v>
      </c>
      <c r="C20744" s="6">
        <v>25073.3</v>
      </c>
      <c r="D20744" s="5" t="s">
        <v>873</v>
      </c>
      <c r="E20744" s="5" t="str">
        <f t="shared" si="1047"/>
        <v>SISTEMAS-GLOBALTRONIK SAS-SERGIO PATIÑO</v>
      </c>
      <c r="F20744" s="5"/>
      <c r="G20744" s="5"/>
    </row>
    <row r="20745" spans="1:7" ht="58.5" customHeight="1" x14ac:dyDescent="0.25">
      <c r="A20745" s="5" t="str">
        <f>"H0028248"</f>
        <v>H0028248</v>
      </c>
      <c r="B20745" s="5" t="str">
        <f t="shared" si="1048"/>
        <v>LICENCIA DE ANTIVIRUS ESET ENDPOINT POR UN (1) AÑO - RENOVACIÓN</v>
      </c>
      <c r="C20745" s="6">
        <v>25073.3</v>
      </c>
      <c r="D20745" s="5" t="s">
        <v>874</v>
      </c>
      <c r="E20745" s="5" t="str">
        <f t="shared" si="1047"/>
        <v>SISTEMAS-GLOBALTRONIK SAS-SERGIO PATIÑO</v>
      </c>
      <c r="F20745" s="5"/>
      <c r="G20745" s="5"/>
    </row>
    <row r="20746" spans="1:7" ht="58.5" customHeight="1" x14ac:dyDescent="0.25">
      <c r="A20746" s="5" t="str">
        <f>"H0028249"</f>
        <v>H0028249</v>
      </c>
      <c r="B20746" s="5" t="str">
        <f t="shared" si="1048"/>
        <v>LICENCIA DE ANTIVIRUS ESET ENDPOINT POR UN (1) AÑO - RENOVACIÓN</v>
      </c>
      <c r="C20746" s="6">
        <v>25073.3</v>
      </c>
      <c r="D20746" s="5" t="s">
        <v>873</v>
      </c>
      <c r="E20746" s="5" t="str">
        <f t="shared" si="1047"/>
        <v>SISTEMAS-GLOBALTRONIK SAS-SERGIO PATIÑO</v>
      </c>
      <c r="F20746" s="5"/>
      <c r="G20746" s="5"/>
    </row>
    <row r="20747" spans="1:7" ht="58.5" customHeight="1" x14ac:dyDescent="0.25">
      <c r="A20747" s="5" t="str">
        <f>"H0028250"</f>
        <v>H0028250</v>
      </c>
      <c r="B20747" s="5" t="str">
        <f t="shared" si="1048"/>
        <v>LICENCIA DE ANTIVIRUS ESET ENDPOINT POR UN (1) AÑO - RENOVACIÓN</v>
      </c>
      <c r="C20747" s="6">
        <v>25073.3</v>
      </c>
      <c r="D20747" s="5" t="s">
        <v>873</v>
      </c>
      <c r="E20747" s="5" t="str">
        <f t="shared" si="1047"/>
        <v>SISTEMAS-GLOBALTRONIK SAS-SERGIO PATIÑO</v>
      </c>
      <c r="F20747" s="5"/>
      <c r="G20747" s="5"/>
    </row>
    <row r="20748" spans="1:7" ht="58.5" customHeight="1" x14ac:dyDescent="0.25">
      <c r="A20748" s="5" t="str">
        <f>"H0028251"</f>
        <v>H0028251</v>
      </c>
      <c r="B20748" s="5" t="str">
        <f t="shared" si="1048"/>
        <v>LICENCIA DE ANTIVIRUS ESET ENDPOINT POR UN (1) AÑO - RENOVACIÓN</v>
      </c>
      <c r="C20748" s="6">
        <v>25073.3</v>
      </c>
      <c r="D20748" s="5" t="s">
        <v>874</v>
      </c>
      <c r="E20748" s="5" t="str">
        <f t="shared" si="1047"/>
        <v>SISTEMAS-GLOBALTRONIK SAS-SERGIO PATIÑO</v>
      </c>
      <c r="F20748" s="5"/>
      <c r="G20748" s="5"/>
    </row>
    <row r="20749" spans="1:7" ht="58.5" customHeight="1" x14ac:dyDescent="0.25">
      <c r="A20749" s="5" t="str">
        <f>"H0028252"</f>
        <v>H0028252</v>
      </c>
      <c r="B20749" s="5" t="str">
        <f t="shared" si="1048"/>
        <v>LICENCIA DE ANTIVIRUS ESET ENDPOINT POR UN (1) AÑO - RENOVACIÓN</v>
      </c>
      <c r="C20749" s="6">
        <v>25073.3</v>
      </c>
      <c r="D20749" s="5" t="s">
        <v>873</v>
      </c>
      <c r="E20749" s="5" t="str">
        <f t="shared" si="1047"/>
        <v>SISTEMAS-GLOBALTRONIK SAS-SERGIO PATIÑO</v>
      </c>
      <c r="F20749" s="5"/>
      <c r="G20749" s="5"/>
    </row>
    <row r="20750" spans="1:7" ht="58.5" customHeight="1" x14ac:dyDescent="0.25">
      <c r="A20750" s="5" t="str">
        <f>"H0028253"</f>
        <v>H0028253</v>
      </c>
      <c r="B20750" s="5" t="str">
        <f t="shared" si="1048"/>
        <v>LICENCIA DE ANTIVIRUS ESET ENDPOINT POR UN (1) AÑO - RENOVACIÓN</v>
      </c>
      <c r="C20750" s="6">
        <v>25073.3</v>
      </c>
      <c r="D20750" s="5" t="s">
        <v>873</v>
      </c>
      <c r="E20750" s="5" t="str">
        <f t="shared" si="1047"/>
        <v>SISTEMAS-GLOBALTRONIK SAS-SERGIO PATIÑO</v>
      </c>
      <c r="F20750" s="5"/>
      <c r="G20750" s="5"/>
    </row>
    <row r="20751" spans="1:7" ht="58.5" customHeight="1" x14ac:dyDescent="0.25">
      <c r="A20751" s="5" t="str">
        <f>"H0028254"</f>
        <v>H0028254</v>
      </c>
      <c r="B20751" s="5" t="str">
        <f t="shared" si="1048"/>
        <v>LICENCIA DE ANTIVIRUS ESET ENDPOINT POR UN (1) AÑO - RENOVACIÓN</v>
      </c>
      <c r="C20751" s="6">
        <v>25073.3</v>
      </c>
      <c r="D20751" s="5" t="s">
        <v>873</v>
      </c>
      <c r="E20751" s="5" t="str">
        <f t="shared" si="1047"/>
        <v>SISTEMAS-GLOBALTRONIK SAS-SERGIO PATIÑO</v>
      </c>
      <c r="F20751" s="5"/>
      <c r="G20751" s="5"/>
    </row>
    <row r="20752" spans="1:7" ht="58.5" customHeight="1" x14ac:dyDescent="0.25">
      <c r="A20752" s="5" t="str">
        <f>"H0028255"</f>
        <v>H0028255</v>
      </c>
      <c r="B20752" s="5" t="str">
        <f t="shared" si="1048"/>
        <v>LICENCIA DE ANTIVIRUS ESET ENDPOINT POR UN (1) AÑO - RENOVACIÓN</v>
      </c>
      <c r="C20752" s="6">
        <v>25073.3</v>
      </c>
      <c r="D20752" s="5" t="s">
        <v>873</v>
      </c>
      <c r="E20752" s="5" t="str">
        <f t="shared" si="1047"/>
        <v>SISTEMAS-GLOBALTRONIK SAS-SERGIO PATIÑO</v>
      </c>
      <c r="F20752" s="5"/>
      <c r="G20752" s="5"/>
    </row>
    <row r="20753" spans="1:7" ht="58.5" customHeight="1" x14ac:dyDescent="0.25">
      <c r="A20753" s="5" t="str">
        <f>"H0028256"</f>
        <v>H0028256</v>
      </c>
      <c r="B20753" s="5" t="str">
        <f t="shared" si="1048"/>
        <v>LICENCIA DE ANTIVIRUS ESET ENDPOINT POR UN (1) AÑO - RENOVACIÓN</v>
      </c>
      <c r="C20753" s="6">
        <v>25073.3</v>
      </c>
      <c r="D20753" s="5" t="s">
        <v>873</v>
      </c>
      <c r="E20753" s="5" t="str">
        <f t="shared" si="1047"/>
        <v>SISTEMAS-GLOBALTRONIK SAS-SERGIO PATIÑO</v>
      </c>
      <c r="F20753" s="5"/>
      <c r="G20753" s="5"/>
    </row>
    <row r="20754" spans="1:7" ht="58.5" customHeight="1" x14ac:dyDescent="0.25">
      <c r="A20754" s="5" t="str">
        <f>"H0028257"</f>
        <v>H0028257</v>
      </c>
      <c r="B20754" s="5" t="str">
        <f t="shared" si="1048"/>
        <v>LICENCIA DE ANTIVIRUS ESET ENDPOINT POR UN (1) AÑO - RENOVACIÓN</v>
      </c>
      <c r="C20754" s="6">
        <v>25073.3</v>
      </c>
      <c r="D20754" s="5" t="s">
        <v>873</v>
      </c>
      <c r="E20754" s="5" t="str">
        <f t="shared" si="1047"/>
        <v>SISTEMAS-GLOBALTRONIK SAS-SERGIO PATIÑO</v>
      </c>
      <c r="F20754" s="5"/>
      <c r="G20754" s="5"/>
    </row>
    <row r="20755" spans="1:7" ht="58.5" customHeight="1" x14ac:dyDescent="0.25">
      <c r="A20755" s="5" t="str">
        <f>"H0028258"</f>
        <v>H0028258</v>
      </c>
      <c r="B20755" s="5" t="str">
        <f t="shared" si="1048"/>
        <v>LICENCIA DE ANTIVIRUS ESET ENDPOINT POR UN (1) AÑO - RENOVACIÓN</v>
      </c>
      <c r="C20755" s="6">
        <v>25073.3</v>
      </c>
      <c r="D20755" s="5" t="s">
        <v>873</v>
      </c>
      <c r="E20755" s="5" t="str">
        <f t="shared" si="1047"/>
        <v>SISTEMAS-GLOBALTRONIK SAS-SERGIO PATIÑO</v>
      </c>
      <c r="F20755" s="5"/>
      <c r="G20755" s="5"/>
    </row>
    <row r="20756" spans="1:7" ht="58.5" customHeight="1" x14ac:dyDescent="0.25">
      <c r="A20756" s="5" t="str">
        <f>"H0028259"</f>
        <v>H0028259</v>
      </c>
      <c r="B20756" s="5" t="str">
        <f t="shared" si="1048"/>
        <v>LICENCIA DE ANTIVIRUS ESET ENDPOINT POR UN (1) AÑO - RENOVACIÓN</v>
      </c>
      <c r="C20756" s="6">
        <v>25073.3</v>
      </c>
      <c r="D20756" s="5" t="s">
        <v>873</v>
      </c>
      <c r="E20756" s="5" t="str">
        <f t="shared" si="1047"/>
        <v>SISTEMAS-GLOBALTRONIK SAS-SERGIO PATIÑO</v>
      </c>
      <c r="F20756" s="5"/>
      <c r="G20756" s="5"/>
    </row>
    <row r="20757" spans="1:7" ht="58.5" customHeight="1" x14ac:dyDescent="0.25">
      <c r="A20757" s="5" t="str">
        <f>"H0028260"</f>
        <v>H0028260</v>
      </c>
      <c r="B20757" s="5" t="str">
        <f t="shared" si="1048"/>
        <v>LICENCIA DE ANTIVIRUS ESET ENDPOINT POR UN (1) AÑO - RENOVACIÓN</v>
      </c>
      <c r="C20757" s="6">
        <v>25073.3</v>
      </c>
      <c r="D20757" s="5" t="s">
        <v>873</v>
      </c>
      <c r="E20757" s="5" t="str">
        <f t="shared" si="1047"/>
        <v>SISTEMAS-GLOBALTRONIK SAS-SERGIO PATIÑO</v>
      </c>
      <c r="F20757" s="5"/>
      <c r="G20757" s="5"/>
    </row>
    <row r="20758" spans="1:7" ht="58.5" customHeight="1" x14ac:dyDescent="0.25">
      <c r="A20758" s="5" t="str">
        <f>"H0028261"</f>
        <v>H0028261</v>
      </c>
      <c r="B20758" s="5" t="str">
        <f t="shared" si="1048"/>
        <v>LICENCIA DE ANTIVIRUS ESET ENDPOINT POR UN (1) AÑO - RENOVACIÓN</v>
      </c>
      <c r="C20758" s="6">
        <v>25073.3</v>
      </c>
      <c r="D20758" s="5" t="s">
        <v>873</v>
      </c>
      <c r="E20758" s="5" t="str">
        <f t="shared" si="1047"/>
        <v>SISTEMAS-GLOBALTRONIK SAS-SERGIO PATIÑO</v>
      </c>
      <c r="F20758" s="5"/>
      <c r="G20758" s="5"/>
    </row>
    <row r="20759" spans="1:7" ht="58.5" customHeight="1" x14ac:dyDescent="0.25">
      <c r="A20759" s="5" t="str">
        <f>"H0028262"</f>
        <v>H0028262</v>
      </c>
      <c r="B20759" s="5" t="str">
        <f t="shared" si="1048"/>
        <v>LICENCIA DE ANTIVIRUS ESET ENDPOINT POR UN (1) AÑO - RENOVACIÓN</v>
      </c>
      <c r="C20759" s="6">
        <v>25073.3</v>
      </c>
      <c r="D20759" s="5" t="s">
        <v>873</v>
      </c>
      <c r="E20759" s="5" t="str">
        <f t="shared" si="1047"/>
        <v>SISTEMAS-GLOBALTRONIK SAS-SERGIO PATIÑO</v>
      </c>
      <c r="F20759" s="5"/>
      <c r="G20759" s="5"/>
    </row>
    <row r="20760" spans="1:7" ht="58.5" customHeight="1" x14ac:dyDescent="0.25">
      <c r="A20760" s="5" t="str">
        <f>"H0028263"</f>
        <v>H0028263</v>
      </c>
      <c r="B20760" s="5" t="str">
        <f t="shared" si="1048"/>
        <v>LICENCIA DE ANTIVIRUS ESET ENDPOINT POR UN (1) AÑO - RENOVACIÓN</v>
      </c>
      <c r="C20760" s="6">
        <v>25073.3</v>
      </c>
      <c r="D20760" s="5" t="s">
        <v>873</v>
      </c>
      <c r="E20760" s="5" t="str">
        <f t="shared" si="1047"/>
        <v>SISTEMAS-GLOBALTRONIK SAS-SERGIO PATIÑO</v>
      </c>
      <c r="F20760" s="5"/>
      <c r="G20760" s="5"/>
    </row>
    <row r="20761" spans="1:7" ht="58.5" customHeight="1" x14ac:dyDescent="0.25">
      <c r="A20761" s="5" t="str">
        <f>"H0028264"</f>
        <v>H0028264</v>
      </c>
      <c r="B20761" s="5" t="str">
        <f t="shared" si="1048"/>
        <v>LICENCIA DE ANTIVIRUS ESET ENDPOINT POR UN (1) AÑO - RENOVACIÓN</v>
      </c>
      <c r="C20761" s="6">
        <v>25073.3</v>
      </c>
      <c r="D20761" s="5" t="s">
        <v>873</v>
      </c>
      <c r="E20761" s="5" t="str">
        <f t="shared" si="1047"/>
        <v>SISTEMAS-GLOBALTRONIK SAS-SERGIO PATIÑO</v>
      </c>
      <c r="F20761" s="5"/>
      <c r="G20761" s="5"/>
    </row>
    <row r="20762" spans="1:7" ht="58.5" customHeight="1" x14ac:dyDescent="0.25">
      <c r="A20762" s="5" t="str">
        <f>"H0028265"</f>
        <v>H0028265</v>
      </c>
      <c r="B20762" s="5" t="str">
        <f t="shared" si="1048"/>
        <v>LICENCIA DE ANTIVIRUS ESET ENDPOINT POR UN (1) AÑO - RENOVACIÓN</v>
      </c>
      <c r="C20762" s="6">
        <v>25073.3</v>
      </c>
      <c r="D20762" s="5" t="s">
        <v>873</v>
      </c>
      <c r="E20762" s="5" t="str">
        <f t="shared" si="1047"/>
        <v>SISTEMAS-GLOBALTRONIK SAS-SERGIO PATIÑO</v>
      </c>
      <c r="F20762" s="5"/>
      <c r="G20762" s="5"/>
    </row>
    <row r="20763" spans="1:7" ht="58.5" customHeight="1" x14ac:dyDescent="0.25">
      <c r="A20763" s="5" t="str">
        <f>"H0028268"</f>
        <v>H0028268</v>
      </c>
      <c r="B20763" s="5" t="str">
        <f t="shared" ref="B20763:B20777" si="1049">"LICENCIA ANTIVIRUS SOPHOS PARA SERVIDOR CON CENTRAL INTERCEPTX POR UN (1) AÑO – EXCLUIDO DE IVA - INSTALACIÓN"</f>
        <v>LICENCIA ANTIVIRUS SOPHOS PARA SERVIDOR CON CENTRAL INTERCEPTX POR UN (1) AÑO – EXCLUIDO DE IVA - INSTALACIÓN</v>
      </c>
      <c r="C20763" s="6">
        <v>148680</v>
      </c>
      <c r="D20763" s="5" t="s">
        <v>873</v>
      </c>
      <c r="E20763" s="5" t="str">
        <f t="shared" si="1047"/>
        <v>SISTEMAS-GLOBALTRONIK SAS-SERGIO PATIÑO</v>
      </c>
      <c r="F20763" s="5"/>
      <c r="G20763" s="5"/>
    </row>
    <row r="20764" spans="1:7" ht="58.5" customHeight="1" x14ac:dyDescent="0.25">
      <c r="A20764" s="5" t="str">
        <f>"H0028269"</f>
        <v>H0028269</v>
      </c>
      <c r="B20764" s="5" t="str">
        <f t="shared" si="1049"/>
        <v>LICENCIA ANTIVIRUS SOPHOS PARA SERVIDOR CON CENTRAL INTERCEPTX POR UN (1) AÑO – EXCLUIDO DE IVA - INSTALACIÓN</v>
      </c>
      <c r="C20764" s="6">
        <v>148680</v>
      </c>
      <c r="D20764" s="5" t="s">
        <v>873</v>
      </c>
      <c r="E20764" s="5" t="str">
        <f t="shared" si="1047"/>
        <v>SISTEMAS-GLOBALTRONIK SAS-SERGIO PATIÑO</v>
      </c>
      <c r="F20764" s="5"/>
      <c r="G20764" s="5"/>
    </row>
    <row r="20765" spans="1:7" ht="58.5" customHeight="1" x14ac:dyDescent="0.25">
      <c r="A20765" s="5" t="str">
        <f>"H0028270"</f>
        <v>H0028270</v>
      </c>
      <c r="B20765" s="5" t="str">
        <f t="shared" si="1049"/>
        <v>LICENCIA ANTIVIRUS SOPHOS PARA SERVIDOR CON CENTRAL INTERCEPTX POR UN (1) AÑO – EXCLUIDO DE IVA - INSTALACIÓN</v>
      </c>
      <c r="C20765" s="6">
        <v>148680</v>
      </c>
      <c r="D20765" s="5" t="s">
        <v>873</v>
      </c>
      <c r="E20765" s="5" t="str">
        <f t="shared" si="1047"/>
        <v>SISTEMAS-GLOBALTRONIK SAS-SERGIO PATIÑO</v>
      </c>
      <c r="F20765" s="5"/>
      <c r="G20765" s="5"/>
    </row>
    <row r="20766" spans="1:7" ht="58.5" customHeight="1" x14ac:dyDescent="0.25">
      <c r="A20766" s="5" t="str">
        <f>"H0028271"</f>
        <v>H0028271</v>
      </c>
      <c r="B20766" s="5" t="str">
        <f t="shared" si="1049"/>
        <v>LICENCIA ANTIVIRUS SOPHOS PARA SERVIDOR CON CENTRAL INTERCEPTX POR UN (1) AÑO – EXCLUIDO DE IVA - INSTALACIÓN</v>
      </c>
      <c r="C20766" s="6">
        <v>148680</v>
      </c>
      <c r="D20766" s="5" t="s">
        <v>873</v>
      </c>
      <c r="E20766" s="5" t="str">
        <f t="shared" si="1047"/>
        <v>SISTEMAS-GLOBALTRONIK SAS-SERGIO PATIÑO</v>
      </c>
      <c r="F20766" s="5"/>
      <c r="G20766" s="5"/>
    </row>
    <row r="20767" spans="1:7" ht="58.5" customHeight="1" x14ac:dyDescent="0.25">
      <c r="A20767" s="5" t="str">
        <f>"H0028272"</f>
        <v>H0028272</v>
      </c>
      <c r="B20767" s="5" t="str">
        <f t="shared" si="1049"/>
        <v>LICENCIA ANTIVIRUS SOPHOS PARA SERVIDOR CON CENTRAL INTERCEPTX POR UN (1) AÑO – EXCLUIDO DE IVA - INSTALACIÓN</v>
      </c>
      <c r="C20767" s="6">
        <v>148680</v>
      </c>
      <c r="D20767" s="5" t="s">
        <v>873</v>
      </c>
      <c r="E20767" s="5" t="str">
        <f t="shared" si="1047"/>
        <v>SISTEMAS-GLOBALTRONIK SAS-SERGIO PATIÑO</v>
      </c>
      <c r="F20767" s="5"/>
      <c r="G20767" s="5"/>
    </row>
    <row r="20768" spans="1:7" ht="58.5" customHeight="1" x14ac:dyDescent="0.25">
      <c r="A20768" s="5" t="str">
        <f>"H0028273"</f>
        <v>H0028273</v>
      </c>
      <c r="B20768" s="5" t="str">
        <f t="shared" si="1049"/>
        <v>LICENCIA ANTIVIRUS SOPHOS PARA SERVIDOR CON CENTRAL INTERCEPTX POR UN (1) AÑO – EXCLUIDO DE IVA - INSTALACIÓN</v>
      </c>
      <c r="C20768" s="6">
        <v>148680</v>
      </c>
      <c r="D20768" s="5" t="s">
        <v>874</v>
      </c>
      <c r="E20768" s="5" t="str">
        <f t="shared" si="1047"/>
        <v>SISTEMAS-GLOBALTRONIK SAS-SERGIO PATIÑO</v>
      </c>
      <c r="F20768" s="5"/>
      <c r="G20768" s="5"/>
    </row>
    <row r="20769" spans="1:7" ht="58.5" customHeight="1" x14ac:dyDescent="0.25">
      <c r="A20769" s="5" t="str">
        <f>"H0028274"</f>
        <v>H0028274</v>
      </c>
      <c r="B20769" s="5" t="str">
        <f t="shared" si="1049"/>
        <v>LICENCIA ANTIVIRUS SOPHOS PARA SERVIDOR CON CENTRAL INTERCEPTX POR UN (1) AÑO – EXCLUIDO DE IVA - INSTALACIÓN</v>
      </c>
      <c r="C20769" s="6">
        <v>148680</v>
      </c>
      <c r="D20769" s="5" t="s">
        <v>873</v>
      </c>
      <c r="E20769" s="5" t="str">
        <f t="shared" si="1047"/>
        <v>SISTEMAS-GLOBALTRONIK SAS-SERGIO PATIÑO</v>
      </c>
      <c r="F20769" s="5"/>
      <c r="G20769" s="5"/>
    </row>
    <row r="20770" spans="1:7" ht="58.5" customHeight="1" x14ac:dyDescent="0.25">
      <c r="A20770" s="5" t="str">
        <f>"H0028275"</f>
        <v>H0028275</v>
      </c>
      <c r="B20770" s="5" t="str">
        <f t="shared" si="1049"/>
        <v>LICENCIA ANTIVIRUS SOPHOS PARA SERVIDOR CON CENTRAL INTERCEPTX POR UN (1) AÑO – EXCLUIDO DE IVA - INSTALACIÓN</v>
      </c>
      <c r="C20770" s="6">
        <v>148680</v>
      </c>
      <c r="D20770" s="5" t="s">
        <v>873</v>
      </c>
      <c r="E20770" s="5" t="str">
        <f t="shared" si="1047"/>
        <v>SISTEMAS-GLOBALTRONIK SAS-SERGIO PATIÑO</v>
      </c>
      <c r="F20770" s="5"/>
      <c r="G20770" s="5"/>
    </row>
    <row r="20771" spans="1:7" ht="58.5" customHeight="1" x14ac:dyDescent="0.25">
      <c r="A20771" s="5" t="str">
        <f>"H0028276"</f>
        <v>H0028276</v>
      </c>
      <c r="B20771" s="5" t="str">
        <f t="shared" si="1049"/>
        <v>LICENCIA ANTIVIRUS SOPHOS PARA SERVIDOR CON CENTRAL INTERCEPTX POR UN (1) AÑO – EXCLUIDO DE IVA - INSTALACIÓN</v>
      </c>
      <c r="C20771" s="6">
        <v>148680</v>
      </c>
      <c r="D20771" s="5" t="s">
        <v>873</v>
      </c>
      <c r="E20771" s="5" t="str">
        <f t="shared" si="1047"/>
        <v>SISTEMAS-GLOBALTRONIK SAS-SERGIO PATIÑO</v>
      </c>
      <c r="F20771" s="5"/>
      <c r="G20771" s="5"/>
    </row>
    <row r="20772" spans="1:7" ht="58.5" customHeight="1" x14ac:dyDescent="0.25">
      <c r="A20772" s="5" t="str">
        <f>"H0028277"</f>
        <v>H0028277</v>
      </c>
      <c r="B20772" s="5" t="str">
        <f t="shared" si="1049"/>
        <v>LICENCIA ANTIVIRUS SOPHOS PARA SERVIDOR CON CENTRAL INTERCEPTX POR UN (1) AÑO – EXCLUIDO DE IVA - INSTALACIÓN</v>
      </c>
      <c r="C20772" s="6">
        <v>148680</v>
      </c>
      <c r="D20772" s="5" t="s">
        <v>873</v>
      </c>
      <c r="E20772" s="5" t="str">
        <f t="shared" si="1047"/>
        <v>SISTEMAS-GLOBALTRONIK SAS-SERGIO PATIÑO</v>
      </c>
      <c r="F20772" s="5"/>
      <c r="G20772" s="5"/>
    </row>
    <row r="20773" spans="1:7" ht="58.5" customHeight="1" x14ac:dyDescent="0.25">
      <c r="A20773" s="5" t="str">
        <f>"H0028278"</f>
        <v>H0028278</v>
      </c>
      <c r="B20773" s="5" t="str">
        <f t="shared" si="1049"/>
        <v>LICENCIA ANTIVIRUS SOPHOS PARA SERVIDOR CON CENTRAL INTERCEPTX POR UN (1) AÑO – EXCLUIDO DE IVA - INSTALACIÓN</v>
      </c>
      <c r="C20773" s="6">
        <v>148680</v>
      </c>
      <c r="D20773" s="5" t="s">
        <v>873</v>
      </c>
      <c r="E20773" s="5" t="str">
        <f t="shared" si="1047"/>
        <v>SISTEMAS-GLOBALTRONIK SAS-SERGIO PATIÑO</v>
      </c>
      <c r="F20773" s="5"/>
      <c r="G20773" s="5"/>
    </row>
    <row r="20774" spans="1:7" ht="58.5" customHeight="1" x14ac:dyDescent="0.25">
      <c r="A20774" s="5" t="str">
        <f>"H0028279"</f>
        <v>H0028279</v>
      </c>
      <c r="B20774" s="5" t="str">
        <f t="shared" si="1049"/>
        <v>LICENCIA ANTIVIRUS SOPHOS PARA SERVIDOR CON CENTRAL INTERCEPTX POR UN (1) AÑO – EXCLUIDO DE IVA - INSTALACIÓN</v>
      </c>
      <c r="C20774" s="6">
        <v>148680</v>
      </c>
      <c r="D20774" s="5" t="s">
        <v>873</v>
      </c>
      <c r="E20774" s="5" t="str">
        <f t="shared" si="1047"/>
        <v>SISTEMAS-GLOBALTRONIK SAS-SERGIO PATIÑO</v>
      </c>
      <c r="F20774" s="5"/>
      <c r="G20774" s="5"/>
    </row>
    <row r="20775" spans="1:7" ht="58.5" customHeight="1" x14ac:dyDescent="0.25">
      <c r="A20775" s="5" t="str">
        <f>"H0028280"</f>
        <v>H0028280</v>
      </c>
      <c r="B20775" s="5" t="str">
        <f t="shared" si="1049"/>
        <v>LICENCIA ANTIVIRUS SOPHOS PARA SERVIDOR CON CENTRAL INTERCEPTX POR UN (1) AÑO – EXCLUIDO DE IVA - INSTALACIÓN</v>
      </c>
      <c r="C20775" s="6">
        <v>148680</v>
      </c>
      <c r="D20775" s="5" t="s">
        <v>873</v>
      </c>
      <c r="E20775" s="5" t="str">
        <f t="shared" si="1047"/>
        <v>SISTEMAS-GLOBALTRONIK SAS-SERGIO PATIÑO</v>
      </c>
      <c r="F20775" s="5"/>
      <c r="G20775" s="5"/>
    </row>
    <row r="20776" spans="1:7" ht="58.5" customHeight="1" x14ac:dyDescent="0.25">
      <c r="A20776" s="5" t="str">
        <f>"H0028281"</f>
        <v>H0028281</v>
      </c>
      <c r="B20776" s="5" t="str">
        <f t="shared" si="1049"/>
        <v>LICENCIA ANTIVIRUS SOPHOS PARA SERVIDOR CON CENTRAL INTERCEPTX POR UN (1) AÑO – EXCLUIDO DE IVA - INSTALACIÓN</v>
      </c>
      <c r="C20776" s="6">
        <v>148680</v>
      </c>
      <c r="D20776" s="5" t="s">
        <v>873</v>
      </c>
      <c r="E20776" s="5" t="str">
        <f t="shared" si="1047"/>
        <v>SISTEMAS-GLOBALTRONIK SAS-SERGIO PATIÑO</v>
      </c>
      <c r="F20776" s="5"/>
      <c r="G20776" s="5"/>
    </row>
    <row r="20777" spans="1:7" ht="58.5" customHeight="1" x14ac:dyDescent="0.25">
      <c r="A20777" s="5" t="str">
        <f>"H0028282"</f>
        <v>H0028282</v>
      </c>
      <c r="B20777" s="5" t="str">
        <f t="shared" si="1049"/>
        <v>LICENCIA ANTIVIRUS SOPHOS PARA SERVIDOR CON CENTRAL INTERCEPTX POR UN (1) AÑO – EXCLUIDO DE IVA - INSTALACIÓN</v>
      </c>
      <c r="C20777" s="6">
        <v>148680</v>
      </c>
      <c r="D20777" s="5" t="s">
        <v>873</v>
      </c>
      <c r="E20777" s="5" t="str">
        <f t="shared" si="1047"/>
        <v>SISTEMAS-GLOBALTRONIK SAS-SERGIO PATIÑO</v>
      </c>
      <c r="F20777" s="5"/>
      <c r="G20777" s="5"/>
    </row>
    <row r="20778" spans="1:7" ht="58.5" customHeight="1" x14ac:dyDescent="0.25">
      <c r="A20778" s="5" t="str">
        <f>"H0028729"</f>
        <v>H0028729</v>
      </c>
      <c r="B20778" s="5" t="str">
        <f>"LÁMPARA RECARGABLE DE EMERGENCIA 60 BOMBILLOS LED LUZ BLANCA"</f>
        <v>LÁMPARA RECARGABLE DE EMERGENCIA 60 BOMBILLOS LED LUZ BLANCA</v>
      </c>
      <c r="C20778" s="6">
        <v>255850</v>
      </c>
      <c r="D20778" s="5" t="s">
        <v>87</v>
      </c>
      <c r="E20778" s="5" t="str">
        <f t="shared" si="1047"/>
        <v>SISTEMAS-GLOBALTRONIK SAS-SERGIO PATIÑO</v>
      </c>
      <c r="F20778" s="5"/>
      <c r="G20778" s="5"/>
    </row>
    <row r="20779" spans="1:7" ht="58.5" customHeight="1" x14ac:dyDescent="0.25">
      <c r="A20779" s="5" t="str">
        <f>"H0028730"</f>
        <v>H0028730</v>
      </c>
      <c r="B20779" s="5" t="str">
        <f>"LÁMPARA RECARGABLE DE EMERGENCIA 60 BOMBILLOS LED LUZ BLANCA"</f>
        <v>LÁMPARA RECARGABLE DE EMERGENCIA 60 BOMBILLOS LED LUZ BLANCA</v>
      </c>
      <c r="C20779" s="6">
        <v>255850</v>
      </c>
      <c r="D20779" s="5" t="s">
        <v>87</v>
      </c>
      <c r="E20779" s="5" t="str">
        <f t="shared" si="1047"/>
        <v>SISTEMAS-GLOBALTRONIK SAS-SERGIO PATIÑO</v>
      </c>
      <c r="F20779" s="5"/>
      <c r="G20779" s="5"/>
    </row>
    <row r="20780" spans="1:7" ht="58.5" customHeight="1" x14ac:dyDescent="0.25">
      <c r="A20780" s="5" t="str">
        <f>"H0029151"</f>
        <v>H0029151</v>
      </c>
      <c r="B2078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0780" s="6">
        <v>2902000</v>
      </c>
      <c r="D20780" s="5" t="s">
        <v>13</v>
      </c>
      <c r="E20780" s="5" t="str">
        <f t="shared" si="1047"/>
        <v>SISTEMAS-GLOBALTRONIK SAS-SERGIO PATIÑO</v>
      </c>
      <c r="F20780" s="5"/>
      <c r="G20780" s="5"/>
    </row>
    <row r="20781" spans="1:7" ht="58.5" customHeight="1" x14ac:dyDescent="0.25">
      <c r="A20781" s="5" t="str">
        <f>"H0029159"</f>
        <v>H0029159</v>
      </c>
      <c r="B20781"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0781" s="6">
        <v>2425000</v>
      </c>
      <c r="D20781" s="5" t="s">
        <v>13</v>
      </c>
      <c r="E20781" s="5" t="str">
        <f t="shared" si="1047"/>
        <v>SISTEMAS-GLOBALTRONIK SAS-SERGIO PATIÑO</v>
      </c>
      <c r="F20781" s="5"/>
      <c r="G20781" s="5"/>
    </row>
    <row r="20782" spans="1:7" ht="58.5" customHeight="1" x14ac:dyDescent="0.25">
      <c r="A20782" s="5" t="str">
        <f>"H0029245"</f>
        <v>H0029245</v>
      </c>
      <c r="B20782" s="5" t="str">
        <f>"SWITCH DE BORDE administrable: 48 puertos RJ45 10/100/1000 Mbps de dúplex completo/semidúplex. 4 Puertos SFP 10 Gb BASE-SR. Capacidad conmutación de 150 Gbps. Fuente de poder redundante a 110 a 220V 50/60 Hz. Memoria CPU de 1 GB. Buffer de 4 MB. Apilado V"&amp; "irtual. Configuración WEB. Compatible SNMP v1/v2c/v3. Temperatura de operación superior a 40 °C. 1 transceiver SFP+ 10 Gb BASE-SR LC. 1 cable de conexión directa SFP+ a SFP+ 10 Gb de 1 metro. 5 años de garantía 7x24 en sitio."</f>
        <v>SWITCH DE BORDE administrable: 48 puertos RJ45 10/100/1000 Mbps de dúplex completo/semidúplex. 4 Puertos SFP 10 Gb BASE-SR. Capacidad conmutación de 150 Gbps. Fuente de poder redundante a 110 a 220V 50/60 Hz. Memoria CPU de 1 GB. Buffer de 4 MB. Apilado Virtual. Configuración WEB. Compatible SNMP v1/v2c/v3. Temperatura de operación superior a 40 °C. 1 transceiver SFP+ 10 Gb BASE-SR LC. 1 cable de conexión directa SFP+ a SFP+ 10 Gb de 1 metro. 5 años de garantía 7x24 en sitio.</v>
      </c>
      <c r="C20782" s="6">
        <v>3832692.6</v>
      </c>
      <c r="D20782" s="5" t="s">
        <v>877</v>
      </c>
      <c r="E20782" s="5" t="str">
        <f t="shared" si="1047"/>
        <v>SISTEMAS-GLOBALTRONIK SAS-SERGIO PATIÑO</v>
      </c>
      <c r="F20782" s="5"/>
      <c r="G20782" s="5"/>
    </row>
    <row r="20783" spans="1:7" ht="58.5" customHeight="1" x14ac:dyDescent="0.25">
      <c r="A20783" s="5" t="str">
        <f>"H0029246"</f>
        <v>H0029246</v>
      </c>
      <c r="B20783" s="5" t="str">
        <f>"SWITCH DE BORDE administrable: 48 puertos RJ45 10/100/1000 Mbps de dúplex completo/semidúplex. 4 Puertos SFP 10 Gb BASE-SR. Capacidad conmutación de 150 Gbps. Fuente de poder redundante a 110 a 220V 50/60 Hz. Memoria CPU de 1 GB. Buffer de 4 MB. Apilado V"&amp; "irtual. Configuración WEB. Compatible SNMP v1/v2c/v3. Temperatura de operación superior a 40 °C. 1 transceiver SFP+ 10 Gb BASE-SR LC. 1 cable de conexión directa SFP+ a SFP+ 10 Gb de 1 metro. 5 años de garantía 7x24 en sitio."</f>
        <v>SWITCH DE BORDE administrable: 48 puertos RJ45 10/100/1000 Mbps de dúplex completo/semidúplex. 4 Puertos SFP 10 Gb BASE-SR. Capacidad conmutación de 150 Gbps. Fuente de poder redundante a 110 a 220V 50/60 Hz. Memoria CPU de 1 GB. Buffer de 4 MB. Apilado Virtual. Configuración WEB. Compatible SNMP v1/v2c/v3. Temperatura de operación superior a 40 °C. 1 transceiver SFP+ 10 Gb BASE-SR LC. 1 cable de conexión directa SFP+ a SFP+ 10 Gb de 1 metro. 5 años de garantía 7x24 en sitio.</v>
      </c>
      <c r="C20783" s="6">
        <v>3832692.6</v>
      </c>
      <c r="D20783" s="5" t="s">
        <v>877</v>
      </c>
      <c r="E20783" s="5" t="str">
        <f t="shared" si="1047"/>
        <v>SISTEMAS-GLOBALTRONIK SAS-SERGIO PATIÑO</v>
      </c>
      <c r="F20783" s="5"/>
      <c r="G20783" s="5"/>
    </row>
    <row r="20784" spans="1:7" ht="58.5" customHeight="1" x14ac:dyDescent="0.25">
      <c r="A20784" s="5" t="str">
        <f>"H0029247"</f>
        <v>H0029247</v>
      </c>
      <c r="B20784" s="5" t="str">
        <f>"SWITCH DE BORDE administrable: 48 puertos RJ45 10/100/1000 Mbps de dúplex completo/semidúplex. 4 Puertos SFP 10 Gb BASE-SR. Capacidad conmutación de 150 Gbps. Fuente de poder redundante a 110 a 220V 50/60 Hz. Memoria CPU de 1 GB. Buffer de 4 MB. Apilado V"&amp; "irtual. Configuración WEB. Compatible SNMP v1/v2c/v3. Temperatura de operación superior a 40 °C. 1 transceiver SFP+ 10 Gb BASE-SR LC. 1 cable de conexión directa SFP+ a SFP+ 10 Gb de 1 metro. 5 años de garantía 7x24 en sitio."</f>
        <v>SWITCH DE BORDE administrable: 48 puertos RJ45 10/100/1000 Mbps de dúplex completo/semidúplex. 4 Puertos SFP 10 Gb BASE-SR. Capacidad conmutación de 150 Gbps. Fuente de poder redundante a 110 a 220V 50/60 Hz. Memoria CPU de 1 GB. Buffer de 4 MB. Apilado Virtual. Configuración WEB. Compatible SNMP v1/v2c/v3. Temperatura de operación superior a 40 °C. 1 transceiver SFP+ 10 Gb BASE-SR LC. 1 cable de conexión directa SFP+ a SFP+ 10 Gb de 1 metro. 5 años de garantía 7x24 en sitio.</v>
      </c>
      <c r="C20784" s="6">
        <v>3832692.6</v>
      </c>
      <c r="D20784" s="5" t="s">
        <v>877</v>
      </c>
      <c r="E20784" s="5" t="str">
        <f t="shared" si="1047"/>
        <v>SISTEMAS-GLOBALTRONIK SAS-SERGIO PATIÑO</v>
      </c>
      <c r="F20784" s="5"/>
      <c r="G20784" s="5"/>
    </row>
    <row r="20785" spans="1:7" ht="58.5" customHeight="1" x14ac:dyDescent="0.25">
      <c r="A20785" s="5" t="str">
        <f>"H0029248"</f>
        <v>H0029248</v>
      </c>
      <c r="B20785" s="5" t="str">
        <f>"SWITCH DE BORDE administrable: 48 puertos RJ45 10/100/1000 Mbps de dúplex completo/semidúplex. 4 Puertos SFP 10 Gb BASE-SR. Capacidad conmutación de 150 Gbps. Fuente de poder redundante a 110 a 220V 50/60 Hz. Memoria CPU de 1 GB. Buffer de 4 MB. Apilado V"&amp; "irtual. Configuración WEB. Compatible SNMP v1/v2c/v3. Temperatura de operación superior a 40 °C. 1 transceiver SFP+ 10 Gb BASE-SR LC. 1 cable de conexión directa SFP+ a SFP+ 10 Gb de 1 metro. 5 años de garantía 7x24 en sitio."</f>
        <v>SWITCH DE BORDE administrable: 48 puertos RJ45 10/100/1000 Mbps de dúplex completo/semidúplex. 4 Puertos SFP 10 Gb BASE-SR. Capacidad conmutación de 150 Gbps. Fuente de poder redundante a 110 a 220V 50/60 Hz. Memoria CPU de 1 GB. Buffer de 4 MB. Apilado Virtual. Configuración WEB. Compatible SNMP v1/v2c/v3. Temperatura de operación superior a 40 °C. 1 transceiver SFP+ 10 Gb BASE-SR LC. 1 cable de conexión directa SFP+ a SFP+ 10 Gb de 1 metro. 5 años de garantía 7x24 en sitio.</v>
      </c>
      <c r="C20785" s="6">
        <v>3832692.6</v>
      </c>
      <c r="D20785" s="5" t="s">
        <v>877</v>
      </c>
      <c r="E20785" s="5" t="str">
        <f t="shared" si="1047"/>
        <v>SISTEMAS-GLOBALTRONIK SAS-SERGIO PATIÑO</v>
      </c>
      <c r="F20785" s="5"/>
      <c r="G20785" s="5"/>
    </row>
    <row r="20786" spans="1:7" ht="58.5" customHeight="1" x14ac:dyDescent="0.25">
      <c r="A20786" s="5" t="str">
        <f>"H0029249"</f>
        <v>H0029249</v>
      </c>
      <c r="B20786" s="5" t="str">
        <f>"SWITCH DE BORDE administrable: 48 puertos RJ45 10/100/1000 Mbps de dúplex completo/semidúplex. 4 Puertos SFP 10 Gb BASE-SR. Capacidad conmutación de 150 Gbps. Fuente de poder redundante a 110 a 220V 50/60 Hz. Memoria CPU de 1 GB. Buffer de 4 MB. Apilado V"&amp; "irtual. Configuración WEB. Compatible SNMP v1/v2c/v3. Temperatura de operación superior a 40 °C. 1 transceiver SFP+ 10 Gb BASE-SR LC. 1 cable de conexión directa SFP+ a SFP+ 10 Gb de 1 metro. 5 años de garantía 7x24 en sitio."</f>
        <v>SWITCH DE BORDE administrable: 48 puertos RJ45 10/100/1000 Mbps de dúplex completo/semidúplex. 4 Puertos SFP 10 Gb BASE-SR. Capacidad conmutación de 150 Gbps. Fuente de poder redundante a 110 a 220V 50/60 Hz. Memoria CPU de 1 GB. Buffer de 4 MB. Apilado Virtual. Configuración WEB. Compatible SNMP v1/v2c/v3. Temperatura de operación superior a 40 °C. 1 transceiver SFP+ 10 Gb BASE-SR LC. 1 cable de conexión directa SFP+ a SFP+ 10 Gb de 1 metro. 5 años de garantía 7x24 en sitio.</v>
      </c>
      <c r="C20786" s="6">
        <v>3832692.6</v>
      </c>
      <c r="D20786" s="5" t="s">
        <v>877</v>
      </c>
      <c r="E20786" s="5" t="str">
        <f t="shared" si="1047"/>
        <v>SISTEMAS-GLOBALTRONIK SAS-SERGIO PATIÑO</v>
      </c>
      <c r="F20786" s="5"/>
      <c r="G20786" s="5"/>
    </row>
    <row r="20787" spans="1:7" ht="58.5" customHeight="1" x14ac:dyDescent="0.25">
      <c r="A20787" s="5" t="str">
        <f>"H0029250"</f>
        <v>H0029250</v>
      </c>
      <c r="B20787" s="5" t="str">
        <f>"SWITCH CORE Administrable: 24 puertos COMPATIBLES CON 1 Gb SFP BASE SX / 10 Gb SFP+ BASE SR / 1000 BASE-T. 2 Puertos QSFP 100 Gb. Conmutación de 900 Gbps. Throughtput de 700 Mbps. Fuentes de poder redundante a 110 a 220V 50/60 Hz. 1 Extractor. Memoria  CP"&amp; "U de 4 GB. Buffer de 10 MB. Apilado Virtual. Configuración WEB. Compatible SNMP v1/v2c/v3. Capa 3. 5 transceiver SFP+ 10 Gb BASE-SR. 5 transceiver SFP 1 Gb BASE-SX. 1 transceiver SFP 1000 BASE-T. 1 cable de conexión directa QSFP a QSFP 100 Gb de 1 metro. "&amp; "5 años de garantía 7x24 en sitio."</f>
        <v>SWITCH CORE Administrable: 24 puertos COMPATIBLES CON 1 Gb SFP BASE SX / 10 Gb SFP+ BASE SR / 1000 BASE-T. 2 Puertos QSFP 100 Gb. Conmutación de 900 Gbps. Throughtput de 700 Mbps. Fuentes de poder redundante a 110 a 220V 50/60 Hz. 1 Extractor. Memoria  CPU de 4 GB. Buffer de 10 MB. Apilado Virtual. Configuración WEB. Compatible SNMP v1/v2c/v3. Capa 3. 5 transceiver SFP+ 10 Gb BASE-SR. 5 transceiver SFP 1 Gb BASE-SX. 1 transceiver SFP 1000 BASE-T. 1 cable de conexión directa QSFP a QSFP 100 Gb de 1 metro. 5 años de garantía 7x24 en sitio.</v>
      </c>
      <c r="C20787" s="6">
        <v>27304550</v>
      </c>
      <c r="D20787" s="5" t="s">
        <v>877</v>
      </c>
      <c r="E20787" s="5" t="str">
        <f t="shared" si="1047"/>
        <v>SISTEMAS-GLOBALTRONIK SAS-SERGIO PATIÑO</v>
      </c>
      <c r="F20787" s="5"/>
      <c r="G20787" s="5"/>
    </row>
    <row r="20788" spans="1:7" ht="58.5" customHeight="1" x14ac:dyDescent="0.25">
      <c r="A20788" s="5" t="str">
        <f>"H0029251"</f>
        <v>H0029251</v>
      </c>
      <c r="B20788" s="5" t="str">
        <f>"SWITCH CORE Administrable: 24 puertos COMPATIBLES CON 1 Gb SFP BASE SX / 10 Gb SFP+ BASE SR / 1000 BASE-T. 2 Puertos QSFP 100 Gb. Conmutación de 900 Gbps. Throughtput de 700 Mbps. Fuentes de poder redundante a 110 a 220V 50/60 Hz. 1 Extractor. Memoria  CP"&amp; "U de 4 GB. Buffer de 10 MB. Apilado Virtual. Configuración WEB. Compatible SNMP v1/v2c/v3. Capa 3. 5 transceiver SFP+ 10 Gb BASE-SR. 5 transceiver SFP 1 Gb BASE-SX. 1 transceiver SFP 1000 BASE-T. 1 cable de conexión directa QSFP a QSFP 100 Gb de 1 metro. "&amp; "5 años de garantía 7x24 en sitio."</f>
        <v>SWITCH CORE Administrable: 24 puertos COMPATIBLES CON 1 Gb SFP BASE SX / 10 Gb SFP+ BASE SR / 1000 BASE-T. 2 Puertos QSFP 100 Gb. Conmutación de 900 Gbps. Throughtput de 700 Mbps. Fuentes de poder redundante a 110 a 220V 50/60 Hz. 1 Extractor. Memoria  CPU de 4 GB. Buffer de 10 MB. Apilado Virtual. Configuración WEB. Compatible SNMP v1/v2c/v3. Capa 3. 5 transceiver SFP+ 10 Gb BASE-SR. 5 transceiver SFP 1 Gb BASE-SX. 1 transceiver SFP 1000 BASE-T. 1 cable de conexión directa QSFP a QSFP 100 Gb de 1 metro. 5 años de garantía 7x24 en sitio.</v>
      </c>
      <c r="C20788" s="6">
        <v>27304550</v>
      </c>
      <c r="D20788" s="5" t="s">
        <v>877</v>
      </c>
      <c r="E20788" s="5" t="str">
        <f t="shared" si="1047"/>
        <v>SISTEMAS-GLOBALTRONIK SAS-SERGIO PATIÑO</v>
      </c>
      <c r="F20788" s="5"/>
      <c r="G20788" s="5"/>
    </row>
    <row r="20789" spans="1:7" ht="58.5" customHeight="1" x14ac:dyDescent="0.25">
      <c r="A20789" s="5" t="str">
        <f>"H0029252"</f>
        <v>H0029252</v>
      </c>
      <c r="B20789" s="5" t="str">
        <f>"Servidor PACS: 1 Procesador Intel Xeon con 8 Cores a 2.1 Ghz y 10 MB en cache L3. 64 GB RAM DDR4. 14 DD SAS 10K 1.2 TB a 12 Gbps. Controladora RAID. 2 puertos SFP+ 10 Gb. 2 Puertos 1 Gb Base T. 1 cable de conexión directa SFP+ a SFP+ 10 Gb de 5 m. 1 GPU N"&amp; "VIDIA Tesla K80. Sistema Operativo Windows Server 2019 Estándar. uente de poder redundante a 110 a 220V 50/60 Hz. 5 años de garantía 7x24 en sitio."</f>
        <v>Servidor PACS: 1 Procesador Intel Xeon con 8 Cores a 2.1 Ghz y 10 MB en cache L3. 64 GB RAM DDR4. 14 DD SAS 10K 1.2 TB a 12 Gbps. Controladora RAID. 2 puertos SFP+ 10 Gb. 2 Puertos 1 Gb Base T. 1 cable de conexión directa SFP+ a SFP+ 10 Gb de 5 m. 1 GPU NVIDIA Tesla K80. Sistema Operativo Windows Server 2019 Estándar. uente de poder redundante a 110 a 220V 50/60 Hz. 5 años de garantía 7x24 en sitio.</v>
      </c>
      <c r="C20789" s="6">
        <v>68181050</v>
      </c>
      <c r="D20789" s="5" t="s">
        <v>877</v>
      </c>
      <c r="E20789" s="5" t="str">
        <f t="shared" si="1047"/>
        <v>SISTEMAS-GLOBALTRONIK SAS-SERGIO PATIÑO</v>
      </c>
      <c r="F20789" s="5"/>
      <c r="G20789" s="5"/>
    </row>
    <row r="20790" spans="1:7" ht="58.5" customHeight="1" x14ac:dyDescent="0.25">
      <c r="A20790" s="5" t="str">
        <f>"H0029253"</f>
        <v>H0029253</v>
      </c>
      <c r="B20790" s="5" t="str">
        <f>"Servidor NAS. Procesador Intel Xeon con 1 procesador físico y 8 Cores a 1.7 Ghz y 10 MB en cache L3. 32 GB RAM DDR4.  8 DD SATA 7.200 RPM de 4 TB a 12 Gbps.  2 DD SAS 10K RPM de 600 Gb a 12Gbps (para S.O). Controladora RAID. 2 puertos SFP+ 10 Gb. 2 Puerto"&amp; "s 1 Gb Base T. 1 cable de conexión directa SFP+ a SFP+ 10 Gb de 5 metros. Sistema Operativo Windows Server 2016 STORAGE. Fuente de poder redundante a 110 a 220V 50/60 Hz. 5 años de garantía 7x24 en sitio."</f>
        <v>Servidor NAS. Procesador Intel Xeon con 1 procesador físico y 8 Cores a 1.7 Ghz y 10 MB en cache L3. 32 GB RAM DDR4.  8 DD SATA 7.200 RPM de 4 TB a 12 Gbps.  2 DD SAS 10K RPM de 600 Gb a 12Gbps (para S.O). Controladora RAID. 2 puertos SFP+ 10 Gb. 2 Puertos 1 Gb Base T. 1 cable de conexión directa SFP+ a SFP+ 10 Gb de 5 metros. Sistema Operativo Windows Server 2016 STORAGE. Fuente de poder redundante a 110 a 220V 50/60 Hz. 5 años de garantía 7x24 en sitio.</v>
      </c>
      <c r="C20790" s="6">
        <v>48117293</v>
      </c>
      <c r="D20790" s="5" t="s">
        <v>877</v>
      </c>
      <c r="E20790" s="5" t="str">
        <f t="shared" si="1047"/>
        <v>SISTEMAS-GLOBALTRONIK SAS-SERGIO PATIÑO</v>
      </c>
      <c r="F20790" s="5"/>
      <c r="G20790" s="5"/>
    </row>
    <row r="20791" spans="1:7" ht="58.5" customHeight="1" x14ac:dyDescent="0.25">
      <c r="A20791" s="5" t="str">
        <f>"H0029271"</f>
        <v>H0029271</v>
      </c>
      <c r="B20791" s="5" t="str">
        <f>"SILLA HERGONOMICA CON SISTEMA HIDRAULICO"</f>
        <v>SILLA HERGONOMICA CON SISTEMA HIDRAULICO</v>
      </c>
      <c r="C20791" s="6">
        <v>174900</v>
      </c>
      <c r="D20791" s="5" t="s">
        <v>89</v>
      </c>
      <c r="E20791" s="5" t="str">
        <f t="shared" si="1047"/>
        <v>SISTEMAS-GLOBALTRONIK SAS-SERGIO PATIÑO</v>
      </c>
      <c r="F20791" s="5"/>
      <c r="G20791" s="5"/>
    </row>
    <row r="20792" spans="1:7" ht="58.5" customHeight="1" x14ac:dyDescent="0.25">
      <c r="A20792" s="5" t="str">
        <f>"H0029366"</f>
        <v>H0029366</v>
      </c>
      <c r="B20792" s="5" t="str">
        <f>"SILLA HERGONOMICA CON SISTEMA HIDRAULICO"</f>
        <v>SILLA HERGONOMICA CON SISTEMA HIDRAULICO</v>
      </c>
      <c r="C20792" s="6">
        <v>174900</v>
      </c>
      <c r="D20792" s="5" t="s">
        <v>89</v>
      </c>
      <c r="E20792" s="5" t="str">
        <f t="shared" si="1047"/>
        <v>SISTEMAS-GLOBALTRONIK SAS-SERGIO PATIÑO</v>
      </c>
      <c r="F20792" s="5"/>
      <c r="G20792" s="5"/>
    </row>
    <row r="20793" spans="1:7" ht="58.5" customHeight="1" x14ac:dyDescent="0.25">
      <c r="A20793" s="5" t="str">
        <f>"H0029374"</f>
        <v>H0029374</v>
      </c>
      <c r="B20793" s="5" t="str">
        <f>"SILLA HERGONOMICA CON SISTEMA HIDRAULICO"</f>
        <v>SILLA HERGONOMICA CON SISTEMA HIDRAULICO</v>
      </c>
      <c r="C20793" s="6">
        <v>174900</v>
      </c>
      <c r="D20793" s="5" t="s">
        <v>89</v>
      </c>
      <c r="E20793" s="5" t="str">
        <f t="shared" si="1047"/>
        <v>SISTEMAS-GLOBALTRONIK SAS-SERGIO PATIÑO</v>
      </c>
      <c r="F20793" s="5"/>
      <c r="G20793" s="5"/>
    </row>
    <row r="20794" spans="1:7" ht="58.5" customHeight="1" x14ac:dyDescent="0.25">
      <c r="A20794" s="5" t="str">
        <f>"H0029486"</f>
        <v>H0029486</v>
      </c>
      <c r="B20794" s="5" t="str">
        <f>"TABLETA DIGITALIZADORA DE 200 x 160 x 8.8 mm RESOLUCIÓN DE 2540 lpi. 4096 PUNTOS DE PRESIÓN. VELOCIDAD DE LECTURA DE 133 pps. TECNOLOGÍA DE RESONANCIA ELECTROMAGNÉTICA. CONEXIÓN MICRO USB. INCLUYE LAPICERO"</f>
        <v>TABLETA DIGITALIZADORA DE 200 x 160 x 8.8 mm RESOLUCIÓN DE 2540 lpi. 4096 PUNTOS DE PRESIÓN. VELOCIDAD DE LECTURA DE 133 pps. TECNOLOGÍA DE RESONANCIA ELECTROMAGNÉTICA. CONEXIÓN MICRO USB. INCLUYE LAPICERO</v>
      </c>
      <c r="C20794" s="6">
        <v>291550</v>
      </c>
      <c r="D20794" s="5" t="s">
        <v>14</v>
      </c>
      <c r="E20794" s="5" t="str">
        <f t="shared" si="1047"/>
        <v>SISTEMAS-GLOBALTRONIK SAS-SERGIO PATIÑO</v>
      </c>
      <c r="F20794" s="5"/>
      <c r="G20794" s="5"/>
    </row>
    <row r="20795" spans="1:7" ht="58.5" customHeight="1" x14ac:dyDescent="0.25">
      <c r="A20795" s="5" t="str">
        <f>"H0029488"</f>
        <v>H0029488</v>
      </c>
      <c r="B20795" s="5" t="str">
        <f>"TABLETA DIGITALIZADORA DE 200 x 160 x 8.8 mm RESOLUCIÓN DE 2540 lpi. 4096 PUNTOS DE PRESIÓN. VELOCIDAD DE LECTURA DE 133 pps. TECNOLOGÍA DE RESONANCIA ELECTROMAGNÉTICA. CONEXIÓN MICRO USB. INCLUYE LAPICERO"</f>
        <v>TABLETA DIGITALIZADORA DE 200 x 160 x 8.8 mm RESOLUCIÓN DE 2540 lpi. 4096 PUNTOS DE PRESIÓN. VELOCIDAD DE LECTURA DE 133 pps. TECNOLOGÍA DE RESONANCIA ELECTROMAGNÉTICA. CONEXIÓN MICRO USB. INCLUYE LAPICERO</v>
      </c>
      <c r="C20795" s="6">
        <v>291550</v>
      </c>
      <c r="D20795" s="5" t="s">
        <v>14</v>
      </c>
      <c r="E20795" s="5" t="str">
        <f t="shared" si="1047"/>
        <v>SISTEMAS-GLOBALTRONIK SAS-SERGIO PATIÑO</v>
      </c>
      <c r="F20795" s="5"/>
      <c r="G20795" s="5"/>
    </row>
    <row r="20796" spans="1:7" ht="58.5" customHeight="1" x14ac:dyDescent="0.25">
      <c r="A20796" s="5" t="str">
        <f>"H0029489"</f>
        <v>H0029489</v>
      </c>
      <c r="B20796" s="5" t="str">
        <f>"TABLETA DIGITALIZADORA DE 200 x 160 x 8.8 mm RESOLUCIÓN DE 2540 lpi. 4096 PUNTOS DE PRESIÓN. VELOCIDAD DE LECTURA DE 133 pps. TECNOLOGÍA DE RESONANCIA ELECTROMAGNÉTICA. CONEXIÓN MICRO USB. INCLUYE LAPICERO"</f>
        <v>TABLETA DIGITALIZADORA DE 200 x 160 x 8.8 mm RESOLUCIÓN DE 2540 lpi. 4096 PUNTOS DE PRESIÓN. VELOCIDAD DE LECTURA DE 133 pps. TECNOLOGÍA DE RESONANCIA ELECTROMAGNÉTICA. CONEXIÓN MICRO USB. INCLUYE LAPICERO</v>
      </c>
      <c r="C20796" s="6">
        <v>291550</v>
      </c>
      <c r="D20796" s="5" t="s">
        <v>14</v>
      </c>
      <c r="E20796" s="5" t="str">
        <f t="shared" si="1047"/>
        <v>SISTEMAS-GLOBALTRONIK SAS-SERGIO PATIÑO</v>
      </c>
      <c r="F20796" s="5"/>
      <c r="G20796" s="5"/>
    </row>
    <row r="20797" spans="1:7" ht="58.5" customHeight="1" x14ac:dyDescent="0.25">
      <c r="A20797" s="5" t="str">
        <f>"H0029524"</f>
        <v>H0029524</v>
      </c>
      <c r="B20797" s="5" t="str">
        <f>"MONITOR LED"</f>
        <v>MONITOR LED</v>
      </c>
      <c r="C20797" s="6">
        <v>283220</v>
      </c>
      <c r="D20797" s="5" t="s">
        <v>14</v>
      </c>
      <c r="E20797" s="5" t="str">
        <f t="shared" ref="E20797:E20860" si="1050">"SISTEMAS-GLOBALTRONIK SAS-SERGIO PATIÑO"</f>
        <v>SISTEMAS-GLOBALTRONIK SAS-SERGIO PATIÑO</v>
      </c>
      <c r="F20797" s="5"/>
      <c r="G20797" s="5"/>
    </row>
    <row r="20798" spans="1:7" ht="58.5" customHeight="1" x14ac:dyDescent="0.25">
      <c r="A20798" s="5" t="str">
        <f>"H0029525"</f>
        <v>H0029525</v>
      </c>
      <c r="B20798" s="5" t="str">
        <f>"MONITOR LED"</f>
        <v>MONITOR LED</v>
      </c>
      <c r="C20798" s="6">
        <v>283220</v>
      </c>
      <c r="D20798" s="5" t="s">
        <v>14</v>
      </c>
      <c r="E20798" s="5" t="str">
        <f t="shared" si="1050"/>
        <v>SISTEMAS-GLOBALTRONIK SAS-SERGIO PATIÑO</v>
      </c>
      <c r="F20798" s="5"/>
      <c r="G20798" s="5"/>
    </row>
    <row r="20799" spans="1:7" ht="58.5" customHeight="1" x14ac:dyDescent="0.25">
      <c r="A20799" s="5" t="str">
        <f>"H0029526"</f>
        <v>H0029526</v>
      </c>
      <c r="B20799" s="5" t="str">
        <f>"MONITOR LED"</f>
        <v>MONITOR LED</v>
      </c>
      <c r="C20799" s="6">
        <v>283220</v>
      </c>
      <c r="D20799" s="5" t="s">
        <v>14</v>
      </c>
      <c r="E20799" s="5" t="str">
        <f t="shared" si="1050"/>
        <v>SISTEMAS-GLOBALTRONIK SAS-SERGIO PATIÑO</v>
      </c>
      <c r="F20799" s="5"/>
      <c r="G20799" s="5"/>
    </row>
    <row r="20800" spans="1:7" ht="58.5" customHeight="1" x14ac:dyDescent="0.25">
      <c r="A20800" s="5" t="str">
        <f>"H0029529"</f>
        <v>H0029529</v>
      </c>
      <c r="B20800" s="5" t="s">
        <v>878</v>
      </c>
      <c r="C20800" s="6">
        <v>398650</v>
      </c>
      <c r="D20800" s="5" t="s">
        <v>14</v>
      </c>
      <c r="E20800" s="5" t="str">
        <f t="shared" si="1050"/>
        <v>SISTEMAS-GLOBALTRONIK SAS-SERGIO PATIÑO</v>
      </c>
      <c r="F20800" s="5"/>
      <c r="G20800" s="5"/>
    </row>
    <row r="20801" spans="1:7" ht="58.5" customHeight="1" x14ac:dyDescent="0.25">
      <c r="A20801" s="5" t="str">
        <f>"H0029627"</f>
        <v>H0029627</v>
      </c>
      <c r="B20801" s="5" t="str">
        <f>"SWITCH DE CONEXIÓN HIPERCONVERGENCIA. Conexión en alta disponibilidad. 20 puertos 10 GB para conector SFP+. 2 puertos de 100 GB para Stack. 6 Cables tipo conexión directa para conexión a los nodos SFP+ 10GB de 2 m. 1 Cable tipo conexión directa para conex"&amp; "ión entre switch de Hiperconvergencia (STACK) de 100 Gb. 20 cables FIbra OM4 LC/LC de 5 Mts (conexiónes). 12 transceiver SFP 1000BASE-T. 4 transceiver SFP+ 10 GbE, SR. 2 Fuentes de poder redundante a 220V. 2 Cables de potencia. 2 Ventiladores. Capacidad m"&amp; "ínima de conmutación de 900 Gbps. Throughtput mínimo de 700 Mbps. 3 años de garantía 7x24 en sitio."</f>
        <v>SWITCH DE CONEXIÓN HIPERCONVERGENCIA. Conexión en alta disponibilidad. 20 puertos 10 GB para conector SFP+. 2 puertos de 100 GB para Stack. 6 Cables tipo conexión directa para conexión a los nodos SFP+ 10GB de 2 m. 1 Cable tipo conexión directa para conexión entre switch de Hiperconvergencia (STACK) de 100 Gb. 20 cables FIbra OM4 LC/LC de 5 Mts (conexiónes). 12 transceiver SFP 1000BASE-T. 4 transceiver SFP+ 10 GbE, SR. 2 Fuentes de poder redundante a 220V. 2 Cables de potencia. 2 Ventiladores. Capacidad mínima de conmutación de 900 Gbps. Throughtput mínimo de 700 Mbps. 3 años de garantía 7x24 en sitio.</v>
      </c>
      <c r="C20801" s="6">
        <v>19969509</v>
      </c>
      <c r="D20801" s="5" t="s">
        <v>639</v>
      </c>
      <c r="E20801" s="5" t="str">
        <f t="shared" si="1050"/>
        <v>SISTEMAS-GLOBALTRONIK SAS-SERGIO PATIÑO</v>
      </c>
      <c r="F20801" s="5"/>
      <c r="G20801" s="5"/>
    </row>
    <row r="20802" spans="1:7" ht="58.5" customHeight="1" x14ac:dyDescent="0.25">
      <c r="A20802" s="5" t="str">
        <f>"H0029628"</f>
        <v>H0029628</v>
      </c>
      <c r="B20802" s="5" t="str">
        <f>"SWITCH DE CONEXIÓN HIPERCONVERGENCIA. Conexión en alta disponibilidad. 20 puertos 10 GB para conector SFP+. 2 puertos de 100 GB para Stack. 6 Cables tipo conexión directa para conexión a los nodos SFP+ 10GB de 2 m. 1 Cable tipo conexión directa para conex"&amp; "ión entre switch de Hiperconvergencia (STACK) de 100 Gb. 20 cables FIbra OM4 LC/LC de 5 Mts (conexiónes). 12 transceiver SFP 1000BASE-T. 4 transceiver SFP+ 10 GbE, SR. 2 Fuentes de poder redundante a 220V. 2 Cables de potencia. 2 Ventiladores. Capacidad m"&amp; "ínima de conmutación de 900 Gbps. Throughtput mínimo de 700 Mbps. 3 años de garantía 7x24 en sitio."</f>
        <v>SWITCH DE CONEXIÓN HIPERCONVERGENCIA. Conexión en alta disponibilidad. 20 puertos 10 GB para conector SFP+. 2 puertos de 100 GB para Stack. 6 Cables tipo conexión directa para conexión a los nodos SFP+ 10GB de 2 m. 1 Cable tipo conexión directa para conexión entre switch de Hiperconvergencia (STACK) de 100 Gb. 20 cables FIbra OM4 LC/LC de 5 Mts (conexiónes). 12 transceiver SFP 1000BASE-T. 4 transceiver SFP+ 10 GbE, SR. 2 Fuentes de poder redundante a 220V. 2 Cables de potencia. 2 Ventiladores. Capacidad mínima de conmutación de 900 Gbps. Throughtput mínimo de 700 Mbps. 3 años de garantía 7x24 en sitio.</v>
      </c>
      <c r="C20802" s="6">
        <v>19969509</v>
      </c>
      <c r="D20802" s="5" t="s">
        <v>639</v>
      </c>
      <c r="E20802" s="5" t="str">
        <f t="shared" si="1050"/>
        <v>SISTEMAS-GLOBALTRONIK SAS-SERGIO PATIÑO</v>
      </c>
      <c r="F20802" s="5"/>
      <c r="G20802" s="5"/>
    </row>
    <row r="20803" spans="1:7" ht="58.5" customHeight="1" x14ac:dyDescent="0.25">
      <c r="A20803" s="5" t="str">
        <f>"H0029629"</f>
        <v>H0029629</v>
      </c>
      <c r="B20803" s="5" t="str">
        <f>"SERVIDOR PARA HIPERCONVERGENCIA con las siguientes características MÍNIMAS: -   Procesador Intel Xeon con 2 Procesadores físicos y cada uno con 12 core Instalados a 2.00 GHz y 30 MB de Cache L3. Cuarta Generación. -   128 GB Memoria RAM DDR4 a 2400 Mhz en"&amp; " módulos de 32 GB. -   4 discos duros de 800GB SSD Enterprise level. -   12 Disco Duros SAS 10K 1.2 TB. -   Controladora de almacenamiento con capacidad para manejar dos arreglos RAID, (0, 5, 6, 10+1, 10+2) entre nodos. -   Kits de cableado de controlador"&amp; "a. -   4 puertos SFP+ 1/10 Gb. -   4 módulos SFP+ LC SR. -   Fuentes de poder redundante a 110V. -   Cables de potencia NEMA 5-15P. -   3 años de garantía 7x24 en sitio. -   4 Patch cord LC-LC multimodo OM3 de 5m"</f>
        <v>SERVIDOR PARA HIPERCONVERGENCIA con las siguientes características MÍNIMAS: -   Procesador Intel Xeon con 2 Procesadores físicos y cada uno con 12 core Instalados a 2.00 GHz y 30 MB de Cache L3. Cuarta Generación. -   128 GB Memoria RAM DDR4 a 2400 Mhz en módulos de 32 GB. -   4 discos duros de 800GB SSD Enterprise level. -   12 Disco Duros SAS 10K 1.2 TB. -   Controladora de almacenamiento con capacidad para manejar dos arreglos RAID, (0, 5, 6, 10+1, 10+2) entre nodos. -   Kits de cableado de controladora. -   4 puertos SFP+ 1/10 Gb. -   4 módulos SFP+ LC SR. -   Fuentes de poder redundante a 110V. -   Cables de potencia NEMA 5-15P. -   3 años de garantía 7x24 en sitio. -   4 Patch cord LC-LC multimodo OM3 de 5m</v>
      </c>
      <c r="C20803" s="6">
        <v>95386949</v>
      </c>
      <c r="D20803" s="5" t="s">
        <v>639</v>
      </c>
      <c r="E20803" s="5" t="str">
        <f t="shared" si="1050"/>
        <v>SISTEMAS-GLOBALTRONIK SAS-SERGIO PATIÑO</v>
      </c>
      <c r="F20803" s="5"/>
      <c r="G20803" s="5"/>
    </row>
    <row r="20804" spans="1:7" ht="58.5" customHeight="1" x14ac:dyDescent="0.25">
      <c r="A20804" s="5" t="str">
        <f>"H0029630"</f>
        <v>H0029630</v>
      </c>
      <c r="B20804" s="5" t="str">
        <f>"SERVIDOR PARA HIPERCONVERGENCIA con las siguientes características MÍNIMAS: -   Procesador Intel Xeon con 2 Procesadores físicos y cada uno con 12 core Instalados a 2.00 GHz y 30 MB de Cache L3. Cuarta Generación. -   128 GB Memoria RAM DDR4 a 2400 Mhz en"&amp; " módulos de 32 GB. -   4 discos duros de 800GB SSD Enterprise level. -   12 Disco Duros SAS 10K 1.2 TB. -   Controladora de almacenamiento con capacidad para manejar dos arreglos RAID, (0, 5, 6, 10+1, 10+2) entre nodos. -   Kits de cableado de controlador"&amp; "a. -   4 puertos SFP+ 1/10 Gb. -   4 módulos SFP+ LC SR. -   Fuentes de poder redundante a 110V. -   Cables de potencia NEMA 5-15P. -   3 años de garantía 7x24 en sitio. -   4 Patch cord LC-LC multimodo OM3 de 5m"</f>
        <v>SERVIDOR PARA HIPERCONVERGENCIA con las siguientes características MÍNIMAS: -   Procesador Intel Xeon con 2 Procesadores físicos y cada uno con 12 core Instalados a 2.00 GHz y 30 MB de Cache L3. Cuarta Generación. -   128 GB Memoria RAM DDR4 a 2400 Mhz en módulos de 32 GB. -   4 discos duros de 800GB SSD Enterprise level. -   12 Disco Duros SAS 10K 1.2 TB. -   Controladora de almacenamiento con capacidad para manejar dos arreglos RAID, (0, 5, 6, 10+1, 10+2) entre nodos. -   Kits de cableado de controladora. -   4 puertos SFP+ 1/10 Gb. -   4 módulos SFP+ LC SR. -   Fuentes de poder redundante a 110V. -   Cables de potencia NEMA 5-15P. -   3 años de garantía 7x24 en sitio. -   4 Patch cord LC-LC multimodo OM3 de 5m</v>
      </c>
      <c r="C20804" s="6">
        <v>95386949</v>
      </c>
      <c r="D20804" s="5" t="s">
        <v>639</v>
      </c>
      <c r="E20804" s="5" t="str">
        <f t="shared" si="1050"/>
        <v>SISTEMAS-GLOBALTRONIK SAS-SERGIO PATIÑO</v>
      </c>
      <c r="F20804" s="5"/>
      <c r="G20804" s="5"/>
    </row>
    <row r="20805" spans="1:7" ht="58.5" customHeight="1" x14ac:dyDescent="0.25">
      <c r="A20805" s="5" t="str">
        <f>"H0029631"</f>
        <v>H0029631</v>
      </c>
      <c r="B20805" s="5" t="str">
        <f>"SERVIDOR PARA HIPERCONVERGENCIA con las siguientes características MÍNIMAS: -   Procesador Intel Xeon con 2 Procesadores físicos y cada uno con 12 core Instalados a 2.00 GHz y 30 MB de Cache L3. Cuarta Generación. -   128 GB Memoria RAM DDR4 a 2400 Mhz en"&amp; " módulos de 32 GB. -   4 discos duros de 800GB SSD Enterprise level. -   12 Disco Duros SAS 10K 1.2 TB. -   Controladora de almacenamiento con capacidad para manejar dos arreglos RAID, (0, 5, 6, 10+1, 10+2) entre nodos. -   Kits de cableado de controlador"&amp; "a. -   4 puertos SFP+ 1/10 Gb. -   4 módulos SFP+ LC SR. -   Fuentes de poder redundante a 110V. -   Cables de potencia NEMA 5-15P. -   3 años de garantía 7x24 en sitio. -   4 Patch cord LC-LC multimodo OM3 de 5m"</f>
        <v>SERVIDOR PARA HIPERCONVERGENCIA con las siguientes características MÍNIMAS: -   Procesador Intel Xeon con 2 Procesadores físicos y cada uno con 12 core Instalados a 2.00 GHz y 30 MB de Cache L3. Cuarta Generación. -   128 GB Memoria RAM DDR4 a 2400 Mhz en módulos de 32 GB. -   4 discos duros de 800GB SSD Enterprise level. -   12 Disco Duros SAS 10K 1.2 TB. -   Controladora de almacenamiento con capacidad para manejar dos arreglos RAID, (0, 5, 6, 10+1, 10+2) entre nodos. -   Kits de cableado de controladora. -   4 puertos SFP+ 1/10 Gb. -   4 módulos SFP+ LC SR. -   Fuentes de poder redundante a 110V. -   Cables de potencia NEMA 5-15P. -   3 años de garantía 7x24 en sitio. -   4 Patch cord LC-LC multimodo OM3 de 5m</v>
      </c>
      <c r="C20805" s="6">
        <v>95386949</v>
      </c>
      <c r="D20805" s="5" t="s">
        <v>639</v>
      </c>
      <c r="E20805" s="5" t="str">
        <f t="shared" si="1050"/>
        <v>SISTEMAS-GLOBALTRONIK SAS-SERGIO PATIÑO</v>
      </c>
      <c r="F20805" s="5"/>
      <c r="G20805" s="5"/>
    </row>
    <row r="20806" spans="1:7" ht="58.5" customHeight="1" x14ac:dyDescent="0.25">
      <c r="A20806" s="5" t="str">
        <f>"H0029865"</f>
        <v>H0029865</v>
      </c>
      <c r="B20806" s="5" t="s">
        <v>879</v>
      </c>
      <c r="C20806" s="6">
        <v>2750000</v>
      </c>
      <c r="D20806" s="5" t="s">
        <v>225</v>
      </c>
      <c r="E20806" s="5" t="str">
        <f t="shared" si="1050"/>
        <v>SISTEMAS-GLOBALTRONIK SAS-SERGIO PATIÑO</v>
      </c>
      <c r="F20806" s="5"/>
      <c r="G20806" s="5" t="str">
        <f>"HP PAV 570-P002LA"</f>
        <v>HP PAV 570-P002LA</v>
      </c>
    </row>
    <row r="20807" spans="1:7" ht="58.5" customHeight="1" x14ac:dyDescent="0.25">
      <c r="A20807" s="5" t="str">
        <f>"H0029971"</f>
        <v>H0029971</v>
      </c>
      <c r="B20807" s="5" t="s">
        <v>273</v>
      </c>
      <c r="C20807" s="6">
        <v>1955894</v>
      </c>
      <c r="D20807" s="5" t="s">
        <v>225</v>
      </c>
      <c r="E20807" s="5" t="str">
        <f t="shared" si="1050"/>
        <v>SISTEMAS-GLOBALTRONIK SAS-SERGIO PATIÑO</v>
      </c>
      <c r="F20807" s="5"/>
      <c r="G20807" s="5"/>
    </row>
    <row r="20808" spans="1:7" ht="58.5" customHeight="1" x14ac:dyDescent="0.25">
      <c r="A20808" s="5" t="str">
        <f>"H0029999"</f>
        <v>H0029999</v>
      </c>
      <c r="B20808" s="5" t="str">
        <f>"PARLANTE IP FULL DUPLEX PoE"</f>
        <v>PARLANTE IP FULL DUPLEX PoE</v>
      </c>
      <c r="C20808" s="6">
        <v>636928</v>
      </c>
      <c r="D20808" s="5" t="s">
        <v>225</v>
      </c>
      <c r="E20808" s="5" t="str">
        <f t="shared" si="1050"/>
        <v>SISTEMAS-GLOBALTRONIK SAS-SERGIO PATIÑO</v>
      </c>
      <c r="F20808" s="5"/>
      <c r="G20808" s="5"/>
    </row>
    <row r="20809" spans="1:7" ht="58.5" customHeight="1" x14ac:dyDescent="0.25">
      <c r="A20809" s="5" t="str">
        <f>"H0030000"</f>
        <v>H0030000</v>
      </c>
      <c r="B20809" s="5" t="str">
        <f>"PARLANTE IP FULL DUPLEX PoE"</f>
        <v>PARLANTE IP FULL DUPLEX PoE</v>
      </c>
      <c r="C20809" s="6">
        <v>636928</v>
      </c>
      <c r="D20809" s="5" t="s">
        <v>225</v>
      </c>
      <c r="E20809" s="5" t="str">
        <f t="shared" si="1050"/>
        <v>SISTEMAS-GLOBALTRONIK SAS-SERGIO PATIÑO</v>
      </c>
      <c r="F20809" s="5"/>
      <c r="G20809" s="5"/>
    </row>
    <row r="20810" spans="1:7" ht="58.5" customHeight="1" x14ac:dyDescent="0.25">
      <c r="A20810" s="5" t="str">
        <f>"H0030005"</f>
        <v>H0030005</v>
      </c>
      <c r="B20810" s="5" t="str">
        <f>"Fortigate 300E. 18 puertos RJ45 x 1GB ports, 16 x GE SFP slots, SPU NP6 and CP9 hardware accelerated; 3 años 24x7 FortiCare and FortiGuard Unified (UTM) Protection: 24x7 FortiCare plus Application Control, IPS, AV, Web Filtering and Antispam, FortiSandbox"&amp; " Cloud"</f>
        <v>Fortigate 300E. 18 puertos RJ45 x 1GB ports, 16 x GE SFP slots, SPU NP6 and CP9 hardware accelerated; 3 años 24x7 FortiCare and FortiGuard Unified (UTM) Protection: 24x7 FortiCare plus Application Control, IPS, AV, Web Filtering and Antispam, FortiSandbox Cloud</v>
      </c>
      <c r="C20810" s="6">
        <v>44596450</v>
      </c>
      <c r="D20810" s="5" t="s">
        <v>801</v>
      </c>
      <c r="E20810" s="5" t="str">
        <f t="shared" si="1050"/>
        <v>SISTEMAS-GLOBALTRONIK SAS-SERGIO PATIÑO</v>
      </c>
      <c r="F20810" s="5"/>
      <c r="G20810" s="5"/>
    </row>
    <row r="20811" spans="1:7" ht="58.5" customHeight="1" x14ac:dyDescent="0.25">
      <c r="A20811" s="5" t="str">
        <f>"H0030503"</f>
        <v>H0030503</v>
      </c>
      <c r="B20811" s="5" t="str">
        <f t="shared" ref="B20811:B20820" si="1051">"LICENCIA ANTIVIRUS SOPHOS PARA SERVIDOR CON CENTRAL INTERCEPTX POR TRES (3) AÑOS - RENOVACIÓN"</f>
        <v>LICENCIA ANTIVIRUS SOPHOS PARA SERVIDOR CON CENTRAL INTERCEPTX POR TRES (3) AÑOS - RENOVACIÓN</v>
      </c>
      <c r="C20811" s="6">
        <v>284000</v>
      </c>
      <c r="D20811" s="5" t="s">
        <v>362</v>
      </c>
      <c r="E20811" s="5" t="str">
        <f t="shared" si="1050"/>
        <v>SISTEMAS-GLOBALTRONIK SAS-SERGIO PATIÑO</v>
      </c>
      <c r="F20811" s="5"/>
      <c r="G20811" s="5"/>
    </row>
    <row r="20812" spans="1:7" ht="58.5" customHeight="1" x14ac:dyDescent="0.25">
      <c r="A20812" s="5" t="str">
        <f>"H0030504"</f>
        <v>H0030504</v>
      </c>
      <c r="B20812" s="5" t="str">
        <f t="shared" si="1051"/>
        <v>LICENCIA ANTIVIRUS SOPHOS PARA SERVIDOR CON CENTRAL INTERCEPTX POR TRES (3) AÑOS - RENOVACIÓN</v>
      </c>
      <c r="C20812" s="6">
        <v>284000</v>
      </c>
      <c r="D20812" s="5" t="s">
        <v>362</v>
      </c>
      <c r="E20812" s="5" t="str">
        <f t="shared" si="1050"/>
        <v>SISTEMAS-GLOBALTRONIK SAS-SERGIO PATIÑO</v>
      </c>
      <c r="F20812" s="5"/>
      <c r="G20812" s="5"/>
    </row>
    <row r="20813" spans="1:7" ht="58.5" customHeight="1" x14ac:dyDescent="0.25">
      <c r="A20813" s="5" t="str">
        <f>"H0030505"</f>
        <v>H0030505</v>
      </c>
      <c r="B20813" s="5" t="str">
        <f t="shared" si="1051"/>
        <v>LICENCIA ANTIVIRUS SOPHOS PARA SERVIDOR CON CENTRAL INTERCEPTX POR TRES (3) AÑOS - RENOVACIÓN</v>
      </c>
      <c r="C20813" s="6">
        <v>284000</v>
      </c>
      <c r="D20813" s="5" t="s">
        <v>362</v>
      </c>
      <c r="E20813" s="5" t="str">
        <f t="shared" si="1050"/>
        <v>SISTEMAS-GLOBALTRONIK SAS-SERGIO PATIÑO</v>
      </c>
      <c r="F20813" s="5"/>
      <c r="G20813" s="5"/>
    </row>
    <row r="20814" spans="1:7" ht="58.5" customHeight="1" x14ac:dyDescent="0.25">
      <c r="A20814" s="5" t="str">
        <f>"H0030506"</f>
        <v>H0030506</v>
      </c>
      <c r="B20814" s="5" t="str">
        <f t="shared" si="1051"/>
        <v>LICENCIA ANTIVIRUS SOPHOS PARA SERVIDOR CON CENTRAL INTERCEPTX POR TRES (3) AÑOS - RENOVACIÓN</v>
      </c>
      <c r="C20814" s="6">
        <v>284000</v>
      </c>
      <c r="D20814" s="5" t="s">
        <v>362</v>
      </c>
      <c r="E20814" s="5" t="str">
        <f t="shared" si="1050"/>
        <v>SISTEMAS-GLOBALTRONIK SAS-SERGIO PATIÑO</v>
      </c>
      <c r="F20814" s="5"/>
      <c r="G20814" s="5"/>
    </row>
    <row r="20815" spans="1:7" ht="58.5" customHeight="1" x14ac:dyDescent="0.25">
      <c r="A20815" s="5" t="str">
        <f>"H0030507"</f>
        <v>H0030507</v>
      </c>
      <c r="B20815" s="5" t="str">
        <f t="shared" si="1051"/>
        <v>LICENCIA ANTIVIRUS SOPHOS PARA SERVIDOR CON CENTRAL INTERCEPTX POR TRES (3) AÑOS - RENOVACIÓN</v>
      </c>
      <c r="C20815" s="6">
        <v>284000</v>
      </c>
      <c r="D20815" s="5" t="s">
        <v>362</v>
      </c>
      <c r="E20815" s="5" t="str">
        <f t="shared" si="1050"/>
        <v>SISTEMAS-GLOBALTRONIK SAS-SERGIO PATIÑO</v>
      </c>
      <c r="F20815" s="5"/>
      <c r="G20815" s="5"/>
    </row>
    <row r="20816" spans="1:7" ht="58.5" customHeight="1" x14ac:dyDescent="0.25">
      <c r="A20816" s="5" t="str">
        <f>"H0030508"</f>
        <v>H0030508</v>
      </c>
      <c r="B20816" s="5" t="str">
        <f t="shared" si="1051"/>
        <v>LICENCIA ANTIVIRUS SOPHOS PARA SERVIDOR CON CENTRAL INTERCEPTX POR TRES (3) AÑOS - RENOVACIÓN</v>
      </c>
      <c r="C20816" s="6">
        <v>284000</v>
      </c>
      <c r="D20816" s="5" t="s">
        <v>362</v>
      </c>
      <c r="E20816" s="5" t="str">
        <f t="shared" si="1050"/>
        <v>SISTEMAS-GLOBALTRONIK SAS-SERGIO PATIÑO</v>
      </c>
      <c r="F20816" s="5"/>
      <c r="G20816" s="5"/>
    </row>
    <row r="20817" spans="1:7" ht="58.5" customHeight="1" x14ac:dyDescent="0.25">
      <c r="A20817" s="5" t="str">
        <f>"H0030509"</f>
        <v>H0030509</v>
      </c>
      <c r="B20817" s="5" t="str">
        <f t="shared" si="1051"/>
        <v>LICENCIA ANTIVIRUS SOPHOS PARA SERVIDOR CON CENTRAL INTERCEPTX POR TRES (3) AÑOS - RENOVACIÓN</v>
      </c>
      <c r="C20817" s="6">
        <v>284000</v>
      </c>
      <c r="D20817" s="5" t="s">
        <v>362</v>
      </c>
      <c r="E20817" s="5" t="str">
        <f t="shared" si="1050"/>
        <v>SISTEMAS-GLOBALTRONIK SAS-SERGIO PATIÑO</v>
      </c>
      <c r="F20817" s="5"/>
      <c r="G20817" s="5"/>
    </row>
    <row r="20818" spans="1:7" ht="58.5" customHeight="1" x14ac:dyDescent="0.25">
      <c r="A20818" s="5" t="str">
        <f>"H0030510"</f>
        <v>H0030510</v>
      </c>
      <c r="B20818" s="5" t="str">
        <f t="shared" si="1051"/>
        <v>LICENCIA ANTIVIRUS SOPHOS PARA SERVIDOR CON CENTRAL INTERCEPTX POR TRES (3) AÑOS - RENOVACIÓN</v>
      </c>
      <c r="C20818" s="6">
        <v>284000</v>
      </c>
      <c r="D20818" s="5" t="s">
        <v>362</v>
      </c>
      <c r="E20818" s="5" t="str">
        <f t="shared" si="1050"/>
        <v>SISTEMAS-GLOBALTRONIK SAS-SERGIO PATIÑO</v>
      </c>
      <c r="F20818" s="5"/>
      <c r="G20818" s="5"/>
    </row>
    <row r="20819" spans="1:7" ht="58.5" customHeight="1" x14ac:dyDescent="0.25">
      <c r="A20819" s="5" t="str">
        <f>"H0030511"</f>
        <v>H0030511</v>
      </c>
      <c r="B20819" s="5" t="str">
        <f t="shared" si="1051"/>
        <v>LICENCIA ANTIVIRUS SOPHOS PARA SERVIDOR CON CENTRAL INTERCEPTX POR TRES (3) AÑOS - RENOVACIÓN</v>
      </c>
      <c r="C20819" s="6">
        <v>284000</v>
      </c>
      <c r="D20819" s="5" t="s">
        <v>362</v>
      </c>
      <c r="E20819" s="5" t="str">
        <f t="shared" si="1050"/>
        <v>SISTEMAS-GLOBALTRONIK SAS-SERGIO PATIÑO</v>
      </c>
      <c r="F20819" s="5"/>
      <c r="G20819" s="5"/>
    </row>
    <row r="20820" spans="1:7" ht="58.5" customHeight="1" x14ac:dyDescent="0.25">
      <c r="A20820" s="5" t="str">
        <f>"H0030512"</f>
        <v>H0030512</v>
      </c>
      <c r="B20820" s="5" t="str">
        <f t="shared" si="1051"/>
        <v>LICENCIA ANTIVIRUS SOPHOS PARA SERVIDOR CON CENTRAL INTERCEPTX POR TRES (3) AÑOS - RENOVACIÓN</v>
      </c>
      <c r="C20820" s="6">
        <v>284000</v>
      </c>
      <c r="D20820" s="5" t="s">
        <v>362</v>
      </c>
      <c r="E20820" s="5" t="str">
        <f t="shared" si="1050"/>
        <v>SISTEMAS-GLOBALTRONIK SAS-SERGIO PATIÑO</v>
      </c>
      <c r="F20820" s="5"/>
      <c r="G20820" s="5"/>
    </row>
    <row r="20821" spans="1:7" ht="58.5" customHeight="1" x14ac:dyDescent="0.25">
      <c r="A20821" s="5" t="str">
        <f>"H0030513"</f>
        <v>H0030513</v>
      </c>
      <c r="B20821" s="5" t="str">
        <f t="shared" ref="B20821:B20884" si="1052">"LICENCIA DE ANTIVIRUS ESET ENDPOINT POR TRES (3) AÑOS - RENOVACIÓN"</f>
        <v>LICENCIA DE ANTIVIRUS ESET ENDPOINT POR TRES (3) AÑOS - RENOVACIÓN</v>
      </c>
      <c r="C20821" s="6">
        <v>50000</v>
      </c>
      <c r="D20821" s="5" t="s">
        <v>880</v>
      </c>
      <c r="E20821" s="5" t="str">
        <f t="shared" si="1050"/>
        <v>SISTEMAS-GLOBALTRONIK SAS-SERGIO PATIÑO</v>
      </c>
      <c r="F20821" s="5"/>
      <c r="G20821" s="5"/>
    </row>
    <row r="20822" spans="1:7" ht="58.5" customHeight="1" x14ac:dyDescent="0.25">
      <c r="A20822" s="5" t="str">
        <f>"H0030514"</f>
        <v>H0030514</v>
      </c>
      <c r="B20822" s="5" t="str">
        <f t="shared" si="1052"/>
        <v>LICENCIA DE ANTIVIRUS ESET ENDPOINT POR TRES (3) AÑOS - RENOVACIÓN</v>
      </c>
      <c r="C20822" s="6">
        <v>50000</v>
      </c>
      <c r="D20822" s="5" t="s">
        <v>362</v>
      </c>
      <c r="E20822" s="5" t="str">
        <f t="shared" si="1050"/>
        <v>SISTEMAS-GLOBALTRONIK SAS-SERGIO PATIÑO</v>
      </c>
      <c r="F20822" s="5"/>
      <c r="G20822" s="5"/>
    </row>
    <row r="20823" spans="1:7" ht="58.5" customHeight="1" x14ac:dyDescent="0.25">
      <c r="A20823" s="5" t="str">
        <f>"H0030515"</f>
        <v>H0030515</v>
      </c>
      <c r="B20823" s="5" t="str">
        <f t="shared" si="1052"/>
        <v>LICENCIA DE ANTIVIRUS ESET ENDPOINT POR TRES (3) AÑOS - RENOVACIÓN</v>
      </c>
      <c r="C20823" s="6">
        <v>50000</v>
      </c>
      <c r="D20823" s="5" t="s">
        <v>362</v>
      </c>
      <c r="E20823" s="5" t="str">
        <f t="shared" si="1050"/>
        <v>SISTEMAS-GLOBALTRONIK SAS-SERGIO PATIÑO</v>
      </c>
      <c r="F20823" s="5"/>
      <c r="G20823" s="5"/>
    </row>
    <row r="20824" spans="1:7" ht="58.5" customHeight="1" x14ac:dyDescent="0.25">
      <c r="A20824" s="5" t="str">
        <f>"H0030516"</f>
        <v>H0030516</v>
      </c>
      <c r="B20824" s="5" t="str">
        <f t="shared" si="1052"/>
        <v>LICENCIA DE ANTIVIRUS ESET ENDPOINT POR TRES (3) AÑOS - RENOVACIÓN</v>
      </c>
      <c r="C20824" s="6">
        <v>50000</v>
      </c>
      <c r="D20824" s="5" t="s">
        <v>362</v>
      </c>
      <c r="E20824" s="5" t="str">
        <f t="shared" si="1050"/>
        <v>SISTEMAS-GLOBALTRONIK SAS-SERGIO PATIÑO</v>
      </c>
      <c r="F20824" s="5"/>
      <c r="G20824" s="5"/>
    </row>
    <row r="20825" spans="1:7" ht="58.5" customHeight="1" x14ac:dyDescent="0.25">
      <c r="A20825" s="5" t="str">
        <f>"H0030517"</f>
        <v>H0030517</v>
      </c>
      <c r="B20825" s="5" t="str">
        <f t="shared" si="1052"/>
        <v>LICENCIA DE ANTIVIRUS ESET ENDPOINT POR TRES (3) AÑOS - RENOVACIÓN</v>
      </c>
      <c r="C20825" s="6">
        <v>50000</v>
      </c>
      <c r="D20825" s="5" t="s">
        <v>362</v>
      </c>
      <c r="E20825" s="5" t="str">
        <f t="shared" si="1050"/>
        <v>SISTEMAS-GLOBALTRONIK SAS-SERGIO PATIÑO</v>
      </c>
      <c r="F20825" s="5"/>
      <c r="G20825" s="5"/>
    </row>
    <row r="20826" spans="1:7" ht="58.5" customHeight="1" x14ac:dyDescent="0.25">
      <c r="A20826" s="5" t="str">
        <f>"H0030518"</f>
        <v>H0030518</v>
      </c>
      <c r="B20826" s="5" t="str">
        <f t="shared" si="1052"/>
        <v>LICENCIA DE ANTIVIRUS ESET ENDPOINT POR TRES (3) AÑOS - RENOVACIÓN</v>
      </c>
      <c r="C20826" s="6">
        <v>50000</v>
      </c>
      <c r="D20826" s="5" t="s">
        <v>362</v>
      </c>
      <c r="E20826" s="5" t="str">
        <f t="shared" si="1050"/>
        <v>SISTEMAS-GLOBALTRONIK SAS-SERGIO PATIÑO</v>
      </c>
      <c r="F20826" s="5"/>
      <c r="G20826" s="5"/>
    </row>
    <row r="20827" spans="1:7" ht="58.5" customHeight="1" x14ac:dyDescent="0.25">
      <c r="A20827" s="5" t="str">
        <f>"H0030519"</f>
        <v>H0030519</v>
      </c>
      <c r="B20827" s="5" t="str">
        <f t="shared" si="1052"/>
        <v>LICENCIA DE ANTIVIRUS ESET ENDPOINT POR TRES (3) AÑOS - RENOVACIÓN</v>
      </c>
      <c r="C20827" s="6">
        <v>50000</v>
      </c>
      <c r="D20827" s="5" t="s">
        <v>362</v>
      </c>
      <c r="E20827" s="5" t="str">
        <f t="shared" si="1050"/>
        <v>SISTEMAS-GLOBALTRONIK SAS-SERGIO PATIÑO</v>
      </c>
      <c r="F20827" s="5"/>
      <c r="G20827" s="5"/>
    </row>
    <row r="20828" spans="1:7" ht="58.5" customHeight="1" x14ac:dyDescent="0.25">
      <c r="A20828" s="5" t="str">
        <f>"H0030520"</f>
        <v>H0030520</v>
      </c>
      <c r="B20828" s="5" t="str">
        <f t="shared" si="1052"/>
        <v>LICENCIA DE ANTIVIRUS ESET ENDPOINT POR TRES (3) AÑOS - RENOVACIÓN</v>
      </c>
      <c r="C20828" s="6">
        <v>50000</v>
      </c>
      <c r="D20828" s="5" t="s">
        <v>362</v>
      </c>
      <c r="E20828" s="5" t="str">
        <f t="shared" si="1050"/>
        <v>SISTEMAS-GLOBALTRONIK SAS-SERGIO PATIÑO</v>
      </c>
      <c r="F20828" s="5"/>
      <c r="G20828" s="5"/>
    </row>
    <row r="20829" spans="1:7" ht="58.5" customHeight="1" x14ac:dyDescent="0.25">
      <c r="A20829" s="5" t="str">
        <f>"H0030521"</f>
        <v>H0030521</v>
      </c>
      <c r="B20829" s="5" t="str">
        <f t="shared" si="1052"/>
        <v>LICENCIA DE ANTIVIRUS ESET ENDPOINT POR TRES (3) AÑOS - RENOVACIÓN</v>
      </c>
      <c r="C20829" s="6">
        <v>50000</v>
      </c>
      <c r="D20829" s="5" t="s">
        <v>362</v>
      </c>
      <c r="E20829" s="5" t="str">
        <f t="shared" si="1050"/>
        <v>SISTEMAS-GLOBALTRONIK SAS-SERGIO PATIÑO</v>
      </c>
      <c r="F20829" s="5"/>
      <c r="G20829" s="5"/>
    </row>
    <row r="20830" spans="1:7" ht="58.5" customHeight="1" x14ac:dyDescent="0.25">
      <c r="A20830" s="5" t="str">
        <f>"H0030522"</f>
        <v>H0030522</v>
      </c>
      <c r="B20830" s="5" t="str">
        <f t="shared" si="1052"/>
        <v>LICENCIA DE ANTIVIRUS ESET ENDPOINT POR TRES (3) AÑOS - RENOVACIÓN</v>
      </c>
      <c r="C20830" s="6">
        <v>50000</v>
      </c>
      <c r="D20830" s="5" t="s">
        <v>362</v>
      </c>
      <c r="E20830" s="5" t="str">
        <f t="shared" si="1050"/>
        <v>SISTEMAS-GLOBALTRONIK SAS-SERGIO PATIÑO</v>
      </c>
      <c r="F20830" s="5"/>
      <c r="G20830" s="5"/>
    </row>
    <row r="20831" spans="1:7" ht="58.5" customHeight="1" x14ac:dyDescent="0.25">
      <c r="A20831" s="5" t="str">
        <f>"H0030523"</f>
        <v>H0030523</v>
      </c>
      <c r="B20831" s="5" t="str">
        <f t="shared" si="1052"/>
        <v>LICENCIA DE ANTIVIRUS ESET ENDPOINT POR TRES (3) AÑOS - RENOVACIÓN</v>
      </c>
      <c r="C20831" s="6">
        <v>50000</v>
      </c>
      <c r="D20831" s="5" t="s">
        <v>362</v>
      </c>
      <c r="E20831" s="5" t="str">
        <f t="shared" si="1050"/>
        <v>SISTEMAS-GLOBALTRONIK SAS-SERGIO PATIÑO</v>
      </c>
      <c r="F20831" s="5"/>
      <c r="G20831" s="5"/>
    </row>
    <row r="20832" spans="1:7" ht="58.5" customHeight="1" x14ac:dyDescent="0.25">
      <c r="A20832" s="5" t="str">
        <f>"H0030524"</f>
        <v>H0030524</v>
      </c>
      <c r="B20832" s="5" t="str">
        <f t="shared" si="1052"/>
        <v>LICENCIA DE ANTIVIRUS ESET ENDPOINT POR TRES (3) AÑOS - RENOVACIÓN</v>
      </c>
      <c r="C20832" s="6">
        <v>50000</v>
      </c>
      <c r="D20832" s="5" t="s">
        <v>362</v>
      </c>
      <c r="E20832" s="5" t="str">
        <f t="shared" si="1050"/>
        <v>SISTEMAS-GLOBALTRONIK SAS-SERGIO PATIÑO</v>
      </c>
      <c r="F20832" s="5"/>
      <c r="G20832" s="5"/>
    </row>
    <row r="20833" spans="1:7" ht="58.5" customHeight="1" x14ac:dyDescent="0.25">
      <c r="A20833" s="5" t="str">
        <f>"H0030525"</f>
        <v>H0030525</v>
      </c>
      <c r="B20833" s="5" t="str">
        <f t="shared" si="1052"/>
        <v>LICENCIA DE ANTIVIRUS ESET ENDPOINT POR TRES (3) AÑOS - RENOVACIÓN</v>
      </c>
      <c r="C20833" s="6">
        <v>50000</v>
      </c>
      <c r="D20833" s="5" t="s">
        <v>362</v>
      </c>
      <c r="E20833" s="5" t="str">
        <f t="shared" si="1050"/>
        <v>SISTEMAS-GLOBALTRONIK SAS-SERGIO PATIÑO</v>
      </c>
      <c r="F20833" s="5"/>
      <c r="G20833" s="5"/>
    </row>
    <row r="20834" spans="1:7" ht="58.5" customHeight="1" x14ac:dyDescent="0.25">
      <c r="A20834" s="5" t="str">
        <f>"H0030526"</f>
        <v>H0030526</v>
      </c>
      <c r="B20834" s="5" t="str">
        <f t="shared" si="1052"/>
        <v>LICENCIA DE ANTIVIRUS ESET ENDPOINT POR TRES (3) AÑOS - RENOVACIÓN</v>
      </c>
      <c r="C20834" s="6">
        <v>50000</v>
      </c>
      <c r="D20834" s="5" t="s">
        <v>362</v>
      </c>
      <c r="E20834" s="5" t="str">
        <f t="shared" si="1050"/>
        <v>SISTEMAS-GLOBALTRONIK SAS-SERGIO PATIÑO</v>
      </c>
      <c r="F20834" s="5"/>
      <c r="G20834" s="5"/>
    </row>
    <row r="20835" spans="1:7" ht="58.5" customHeight="1" x14ac:dyDescent="0.25">
      <c r="A20835" s="5" t="str">
        <f>"H0030527"</f>
        <v>H0030527</v>
      </c>
      <c r="B20835" s="5" t="str">
        <f t="shared" si="1052"/>
        <v>LICENCIA DE ANTIVIRUS ESET ENDPOINT POR TRES (3) AÑOS - RENOVACIÓN</v>
      </c>
      <c r="C20835" s="6">
        <v>50000</v>
      </c>
      <c r="D20835" s="5" t="s">
        <v>362</v>
      </c>
      <c r="E20835" s="5" t="str">
        <f t="shared" si="1050"/>
        <v>SISTEMAS-GLOBALTRONIK SAS-SERGIO PATIÑO</v>
      </c>
      <c r="F20835" s="5"/>
      <c r="G20835" s="5"/>
    </row>
    <row r="20836" spans="1:7" ht="58.5" customHeight="1" x14ac:dyDescent="0.25">
      <c r="A20836" s="5" t="str">
        <f>"H0030528"</f>
        <v>H0030528</v>
      </c>
      <c r="B20836" s="5" t="str">
        <f t="shared" si="1052"/>
        <v>LICENCIA DE ANTIVIRUS ESET ENDPOINT POR TRES (3) AÑOS - RENOVACIÓN</v>
      </c>
      <c r="C20836" s="6">
        <v>50000</v>
      </c>
      <c r="D20836" s="5" t="s">
        <v>362</v>
      </c>
      <c r="E20836" s="5" t="str">
        <f t="shared" si="1050"/>
        <v>SISTEMAS-GLOBALTRONIK SAS-SERGIO PATIÑO</v>
      </c>
      <c r="F20836" s="5"/>
      <c r="G20836" s="5"/>
    </row>
    <row r="20837" spans="1:7" ht="58.5" customHeight="1" x14ac:dyDescent="0.25">
      <c r="A20837" s="5" t="str">
        <f>"H0030529"</f>
        <v>H0030529</v>
      </c>
      <c r="B20837" s="5" t="str">
        <f t="shared" si="1052"/>
        <v>LICENCIA DE ANTIVIRUS ESET ENDPOINT POR TRES (3) AÑOS - RENOVACIÓN</v>
      </c>
      <c r="C20837" s="6">
        <v>50000</v>
      </c>
      <c r="D20837" s="5" t="s">
        <v>881</v>
      </c>
      <c r="E20837" s="5" t="str">
        <f t="shared" si="1050"/>
        <v>SISTEMAS-GLOBALTRONIK SAS-SERGIO PATIÑO</v>
      </c>
      <c r="F20837" s="5"/>
      <c r="G20837" s="5"/>
    </row>
    <row r="20838" spans="1:7" ht="58.5" customHeight="1" x14ac:dyDescent="0.25">
      <c r="A20838" s="5" t="str">
        <f>"H0030530"</f>
        <v>H0030530</v>
      </c>
      <c r="B20838" s="5" t="str">
        <f t="shared" si="1052"/>
        <v>LICENCIA DE ANTIVIRUS ESET ENDPOINT POR TRES (3) AÑOS - RENOVACIÓN</v>
      </c>
      <c r="C20838" s="6">
        <v>50000</v>
      </c>
      <c r="D20838" s="5" t="s">
        <v>362</v>
      </c>
      <c r="E20838" s="5" t="str">
        <f t="shared" si="1050"/>
        <v>SISTEMAS-GLOBALTRONIK SAS-SERGIO PATIÑO</v>
      </c>
      <c r="F20838" s="5"/>
      <c r="G20838" s="5"/>
    </row>
    <row r="20839" spans="1:7" ht="58.5" customHeight="1" x14ac:dyDescent="0.25">
      <c r="A20839" s="5" t="str">
        <f>"H0030531"</f>
        <v>H0030531</v>
      </c>
      <c r="B20839" s="5" t="str">
        <f t="shared" si="1052"/>
        <v>LICENCIA DE ANTIVIRUS ESET ENDPOINT POR TRES (3) AÑOS - RENOVACIÓN</v>
      </c>
      <c r="C20839" s="6">
        <v>50000</v>
      </c>
      <c r="D20839" s="5" t="s">
        <v>362</v>
      </c>
      <c r="E20839" s="5" t="str">
        <f t="shared" si="1050"/>
        <v>SISTEMAS-GLOBALTRONIK SAS-SERGIO PATIÑO</v>
      </c>
      <c r="F20839" s="5"/>
      <c r="G20839" s="5"/>
    </row>
    <row r="20840" spans="1:7" ht="58.5" customHeight="1" x14ac:dyDescent="0.25">
      <c r="A20840" s="5" t="str">
        <f>"H0030532"</f>
        <v>H0030532</v>
      </c>
      <c r="B20840" s="5" t="str">
        <f t="shared" si="1052"/>
        <v>LICENCIA DE ANTIVIRUS ESET ENDPOINT POR TRES (3) AÑOS - RENOVACIÓN</v>
      </c>
      <c r="C20840" s="6">
        <v>50000</v>
      </c>
      <c r="D20840" s="5" t="s">
        <v>362</v>
      </c>
      <c r="E20840" s="5" t="str">
        <f t="shared" si="1050"/>
        <v>SISTEMAS-GLOBALTRONIK SAS-SERGIO PATIÑO</v>
      </c>
      <c r="F20840" s="5"/>
      <c r="G20840" s="5"/>
    </row>
    <row r="20841" spans="1:7" ht="58.5" customHeight="1" x14ac:dyDescent="0.25">
      <c r="A20841" s="5" t="str">
        <f>"H0030533"</f>
        <v>H0030533</v>
      </c>
      <c r="B20841" s="5" t="str">
        <f t="shared" si="1052"/>
        <v>LICENCIA DE ANTIVIRUS ESET ENDPOINT POR TRES (3) AÑOS - RENOVACIÓN</v>
      </c>
      <c r="C20841" s="6">
        <v>50000</v>
      </c>
      <c r="D20841" s="5" t="s">
        <v>362</v>
      </c>
      <c r="E20841" s="5" t="str">
        <f t="shared" si="1050"/>
        <v>SISTEMAS-GLOBALTRONIK SAS-SERGIO PATIÑO</v>
      </c>
      <c r="F20841" s="5"/>
      <c r="G20841" s="5"/>
    </row>
    <row r="20842" spans="1:7" ht="58.5" customHeight="1" x14ac:dyDescent="0.25">
      <c r="A20842" s="5" t="str">
        <f>"H0030534"</f>
        <v>H0030534</v>
      </c>
      <c r="B20842" s="5" t="str">
        <f t="shared" si="1052"/>
        <v>LICENCIA DE ANTIVIRUS ESET ENDPOINT POR TRES (3) AÑOS - RENOVACIÓN</v>
      </c>
      <c r="C20842" s="6">
        <v>50000</v>
      </c>
      <c r="D20842" s="5" t="s">
        <v>362</v>
      </c>
      <c r="E20842" s="5" t="str">
        <f t="shared" si="1050"/>
        <v>SISTEMAS-GLOBALTRONIK SAS-SERGIO PATIÑO</v>
      </c>
      <c r="F20842" s="5"/>
      <c r="G20842" s="5"/>
    </row>
    <row r="20843" spans="1:7" ht="58.5" customHeight="1" x14ac:dyDescent="0.25">
      <c r="A20843" s="5" t="str">
        <f>"H0030535"</f>
        <v>H0030535</v>
      </c>
      <c r="B20843" s="5" t="str">
        <f t="shared" si="1052"/>
        <v>LICENCIA DE ANTIVIRUS ESET ENDPOINT POR TRES (3) AÑOS - RENOVACIÓN</v>
      </c>
      <c r="C20843" s="6">
        <v>50000</v>
      </c>
      <c r="D20843" s="5" t="s">
        <v>362</v>
      </c>
      <c r="E20843" s="5" t="str">
        <f t="shared" si="1050"/>
        <v>SISTEMAS-GLOBALTRONIK SAS-SERGIO PATIÑO</v>
      </c>
      <c r="F20843" s="5"/>
      <c r="G20843" s="5"/>
    </row>
    <row r="20844" spans="1:7" ht="58.5" customHeight="1" x14ac:dyDescent="0.25">
      <c r="A20844" s="5" t="str">
        <f>"H0030536"</f>
        <v>H0030536</v>
      </c>
      <c r="B20844" s="5" t="str">
        <f t="shared" si="1052"/>
        <v>LICENCIA DE ANTIVIRUS ESET ENDPOINT POR TRES (3) AÑOS - RENOVACIÓN</v>
      </c>
      <c r="C20844" s="6">
        <v>50000</v>
      </c>
      <c r="D20844" s="5" t="s">
        <v>362</v>
      </c>
      <c r="E20844" s="5" t="str">
        <f t="shared" si="1050"/>
        <v>SISTEMAS-GLOBALTRONIK SAS-SERGIO PATIÑO</v>
      </c>
      <c r="F20844" s="5"/>
      <c r="G20844" s="5"/>
    </row>
    <row r="20845" spans="1:7" ht="58.5" customHeight="1" x14ac:dyDescent="0.25">
      <c r="A20845" s="5" t="str">
        <f>"H0030537"</f>
        <v>H0030537</v>
      </c>
      <c r="B20845" s="5" t="str">
        <f t="shared" si="1052"/>
        <v>LICENCIA DE ANTIVIRUS ESET ENDPOINT POR TRES (3) AÑOS - RENOVACIÓN</v>
      </c>
      <c r="C20845" s="6">
        <v>50000</v>
      </c>
      <c r="D20845" s="5" t="s">
        <v>362</v>
      </c>
      <c r="E20845" s="5" t="str">
        <f t="shared" si="1050"/>
        <v>SISTEMAS-GLOBALTRONIK SAS-SERGIO PATIÑO</v>
      </c>
      <c r="F20845" s="5"/>
      <c r="G20845" s="5"/>
    </row>
    <row r="20846" spans="1:7" ht="58.5" customHeight="1" x14ac:dyDescent="0.25">
      <c r="A20846" s="5" t="str">
        <f>"H0030538"</f>
        <v>H0030538</v>
      </c>
      <c r="B20846" s="5" t="str">
        <f t="shared" si="1052"/>
        <v>LICENCIA DE ANTIVIRUS ESET ENDPOINT POR TRES (3) AÑOS - RENOVACIÓN</v>
      </c>
      <c r="C20846" s="6">
        <v>50000</v>
      </c>
      <c r="D20846" s="5" t="s">
        <v>362</v>
      </c>
      <c r="E20846" s="5" t="str">
        <f t="shared" si="1050"/>
        <v>SISTEMAS-GLOBALTRONIK SAS-SERGIO PATIÑO</v>
      </c>
      <c r="F20846" s="5"/>
      <c r="G20846" s="5"/>
    </row>
    <row r="20847" spans="1:7" ht="58.5" customHeight="1" x14ac:dyDescent="0.25">
      <c r="A20847" s="5" t="str">
        <f>"H0030539"</f>
        <v>H0030539</v>
      </c>
      <c r="B20847" s="5" t="str">
        <f t="shared" si="1052"/>
        <v>LICENCIA DE ANTIVIRUS ESET ENDPOINT POR TRES (3) AÑOS - RENOVACIÓN</v>
      </c>
      <c r="C20847" s="6">
        <v>50000</v>
      </c>
      <c r="D20847" s="5" t="s">
        <v>362</v>
      </c>
      <c r="E20847" s="5" t="str">
        <f t="shared" si="1050"/>
        <v>SISTEMAS-GLOBALTRONIK SAS-SERGIO PATIÑO</v>
      </c>
      <c r="F20847" s="5"/>
      <c r="G20847" s="5"/>
    </row>
    <row r="20848" spans="1:7" ht="58.5" customHeight="1" x14ac:dyDescent="0.25">
      <c r="A20848" s="5" t="str">
        <f>"H0030540"</f>
        <v>H0030540</v>
      </c>
      <c r="B20848" s="5" t="str">
        <f t="shared" si="1052"/>
        <v>LICENCIA DE ANTIVIRUS ESET ENDPOINT POR TRES (3) AÑOS - RENOVACIÓN</v>
      </c>
      <c r="C20848" s="6">
        <v>50000</v>
      </c>
      <c r="D20848" s="5" t="s">
        <v>362</v>
      </c>
      <c r="E20848" s="5" t="str">
        <f t="shared" si="1050"/>
        <v>SISTEMAS-GLOBALTRONIK SAS-SERGIO PATIÑO</v>
      </c>
      <c r="F20848" s="5"/>
      <c r="G20848" s="5"/>
    </row>
    <row r="20849" spans="1:7" ht="58.5" customHeight="1" x14ac:dyDescent="0.25">
      <c r="A20849" s="5" t="str">
        <f>"H0030541"</f>
        <v>H0030541</v>
      </c>
      <c r="B20849" s="5" t="str">
        <f t="shared" si="1052"/>
        <v>LICENCIA DE ANTIVIRUS ESET ENDPOINT POR TRES (3) AÑOS - RENOVACIÓN</v>
      </c>
      <c r="C20849" s="6">
        <v>50000</v>
      </c>
      <c r="D20849" s="5" t="s">
        <v>362</v>
      </c>
      <c r="E20849" s="5" t="str">
        <f t="shared" si="1050"/>
        <v>SISTEMAS-GLOBALTRONIK SAS-SERGIO PATIÑO</v>
      </c>
      <c r="F20849" s="5"/>
      <c r="G20849" s="5"/>
    </row>
    <row r="20850" spans="1:7" ht="58.5" customHeight="1" x14ac:dyDescent="0.25">
      <c r="A20850" s="5" t="str">
        <f>"H0030542"</f>
        <v>H0030542</v>
      </c>
      <c r="B20850" s="5" t="str">
        <f t="shared" si="1052"/>
        <v>LICENCIA DE ANTIVIRUS ESET ENDPOINT POR TRES (3) AÑOS - RENOVACIÓN</v>
      </c>
      <c r="C20850" s="6">
        <v>50000</v>
      </c>
      <c r="D20850" s="5" t="s">
        <v>362</v>
      </c>
      <c r="E20850" s="5" t="str">
        <f t="shared" si="1050"/>
        <v>SISTEMAS-GLOBALTRONIK SAS-SERGIO PATIÑO</v>
      </c>
      <c r="F20850" s="5"/>
      <c r="G20850" s="5"/>
    </row>
    <row r="20851" spans="1:7" ht="58.5" customHeight="1" x14ac:dyDescent="0.25">
      <c r="A20851" s="5" t="str">
        <f>"H0030543"</f>
        <v>H0030543</v>
      </c>
      <c r="B20851" s="5" t="str">
        <f t="shared" si="1052"/>
        <v>LICENCIA DE ANTIVIRUS ESET ENDPOINT POR TRES (3) AÑOS - RENOVACIÓN</v>
      </c>
      <c r="C20851" s="6">
        <v>50000</v>
      </c>
      <c r="D20851" s="5" t="s">
        <v>362</v>
      </c>
      <c r="E20851" s="5" t="str">
        <f t="shared" si="1050"/>
        <v>SISTEMAS-GLOBALTRONIK SAS-SERGIO PATIÑO</v>
      </c>
      <c r="F20851" s="5"/>
      <c r="G20851" s="5"/>
    </row>
    <row r="20852" spans="1:7" ht="58.5" customHeight="1" x14ac:dyDescent="0.25">
      <c r="A20852" s="5" t="str">
        <f>"H0030544"</f>
        <v>H0030544</v>
      </c>
      <c r="B20852" s="5" t="str">
        <f t="shared" si="1052"/>
        <v>LICENCIA DE ANTIVIRUS ESET ENDPOINT POR TRES (3) AÑOS - RENOVACIÓN</v>
      </c>
      <c r="C20852" s="6">
        <v>50000</v>
      </c>
      <c r="D20852" s="5" t="s">
        <v>362</v>
      </c>
      <c r="E20852" s="5" t="str">
        <f t="shared" si="1050"/>
        <v>SISTEMAS-GLOBALTRONIK SAS-SERGIO PATIÑO</v>
      </c>
      <c r="F20852" s="5"/>
      <c r="G20852" s="5"/>
    </row>
    <row r="20853" spans="1:7" ht="58.5" customHeight="1" x14ac:dyDescent="0.25">
      <c r="A20853" s="5" t="str">
        <f>"H0030545"</f>
        <v>H0030545</v>
      </c>
      <c r="B20853" s="5" t="str">
        <f t="shared" si="1052"/>
        <v>LICENCIA DE ANTIVIRUS ESET ENDPOINT POR TRES (3) AÑOS - RENOVACIÓN</v>
      </c>
      <c r="C20853" s="6">
        <v>50000</v>
      </c>
      <c r="D20853" s="5" t="s">
        <v>362</v>
      </c>
      <c r="E20853" s="5" t="str">
        <f t="shared" si="1050"/>
        <v>SISTEMAS-GLOBALTRONIK SAS-SERGIO PATIÑO</v>
      </c>
      <c r="F20853" s="5"/>
      <c r="G20853" s="5"/>
    </row>
    <row r="20854" spans="1:7" ht="58.5" customHeight="1" x14ac:dyDescent="0.25">
      <c r="A20854" s="5" t="str">
        <f>"H0030546"</f>
        <v>H0030546</v>
      </c>
      <c r="B20854" s="5" t="str">
        <f t="shared" si="1052"/>
        <v>LICENCIA DE ANTIVIRUS ESET ENDPOINT POR TRES (3) AÑOS - RENOVACIÓN</v>
      </c>
      <c r="C20854" s="6">
        <v>50000</v>
      </c>
      <c r="D20854" s="5" t="s">
        <v>362</v>
      </c>
      <c r="E20854" s="5" t="str">
        <f t="shared" si="1050"/>
        <v>SISTEMAS-GLOBALTRONIK SAS-SERGIO PATIÑO</v>
      </c>
      <c r="F20854" s="5"/>
      <c r="G20854" s="5"/>
    </row>
    <row r="20855" spans="1:7" ht="58.5" customHeight="1" x14ac:dyDescent="0.25">
      <c r="A20855" s="5" t="str">
        <f>"H0030547"</f>
        <v>H0030547</v>
      </c>
      <c r="B20855" s="5" t="str">
        <f t="shared" si="1052"/>
        <v>LICENCIA DE ANTIVIRUS ESET ENDPOINT POR TRES (3) AÑOS - RENOVACIÓN</v>
      </c>
      <c r="C20855" s="6">
        <v>50000</v>
      </c>
      <c r="D20855" s="5" t="s">
        <v>362</v>
      </c>
      <c r="E20855" s="5" t="str">
        <f t="shared" si="1050"/>
        <v>SISTEMAS-GLOBALTRONIK SAS-SERGIO PATIÑO</v>
      </c>
      <c r="F20855" s="5"/>
      <c r="G20855" s="5"/>
    </row>
    <row r="20856" spans="1:7" ht="58.5" customHeight="1" x14ac:dyDescent="0.25">
      <c r="A20856" s="5" t="str">
        <f>"H0030548"</f>
        <v>H0030548</v>
      </c>
      <c r="B20856" s="5" t="str">
        <f t="shared" si="1052"/>
        <v>LICENCIA DE ANTIVIRUS ESET ENDPOINT POR TRES (3) AÑOS - RENOVACIÓN</v>
      </c>
      <c r="C20856" s="6">
        <v>50000</v>
      </c>
      <c r="D20856" s="5" t="s">
        <v>362</v>
      </c>
      <c r="E20856" s="5" t="str">
        <f t="shared" si="1050"/>
        <v>SISTEMAS-GLOBALTRONIK SAS-SERGIO PATIÑO</v>
      </c>
      <c r="F20856" s="5"/>
      <c r="G20856" s="5"/>
    </row>
    <row r="20857" spans="1:7" ht="58.5" customHeight="1" x14ac:dyDescent="0.25">
      <c r="A20857" s="5" t="str">
        <f>"H0030549"</f>
        <v>H0030549</v>
      </c>
      <c r="B20857" s="5" t="str">
        <f t="shared" si="1052"/>
        <v>LICENCIA DE ANTIVIRUS ESET ENDPOINT POR TRES (3) AÑOS - RENOVACIÓN</v>
      </c>
      <c r="C20857" s="6">
        <v>50000</v>
      </c>
      <c r="D20857" s="5" t="s">
        <v>362</v>
      </c>
      <c r="E20857" s="5" t="str">
        <f t="shared" si="1050"/>
        <v>SISTEMAS-GLOBALTRONIK SAS-SERGIO PATIÑO</v>
      </c>
      <c r="F20857" s="5"/>
      <c r="G20857" s="5"/>
    </row>
    <row r="20858" spans="1:7" ht="58.5" customHeight="1" x14ac:dyDescent="0.25">
      <c r="A20858" s="5" t="str">
        <f>"H0030550"</f>
        <v>H0030550</v>
      </c>
      <c r="B20858" s="5" t="str">
        <f t="shared" si="1052"/>
        <v>LICENCIA DE ANTIVIRUS ESET ENDPOINT POR TRES (3) AÑOS - RENOVACIÓN</v>
      </c>
      <c r="C20858" s="6">
        <v>50000</v>
      </c>
      <c r="D20858" s="5" t="s">
        <v>362</v>
      </c>
      <c r="E20858" s="5" t="str">
        <f t="shared" si="1050"/>
        <v>SISTEMAS-GLOBALTRONIK SAS-SERGIO PATIÑO</v>
      </c>
      <c r="F20858" s="5"/>
      <c r="G20858" s="5"/>
    </row>
    <row r="20859" spans="1:7" ht="58.5" customHeight="1" x14ac:dyDescent="0.25">
      <c r="A20859" s="5" t="str">
        <f>"H0030551"</f>
        <v>H0030551</v>
      </c>
      <c r="B20859" s="5" t="str">
        <f t="shared" si="1052"/>
        <v>LICENCIA DE ANTIVIRUS ESET ENDPOINT POR TRES (3) AÑOS - RENOVACIÓN</v>
      </c>
      <c r="C20859" s="6">
        <v>50000</v>
      </c>
      <c r="D20859" s="5" t="s">
        <v>362</v>
      </c>
      <c r="E20859" s="5" t="str">
        <f t="shared" si="1050"/>
        <v>SISTEMAS-GLOBALTRONIK SAS-SERGIO PATIÑO</v>
      </c>
      <c r="F20859" s="5"/>
      <c r="G20859" s="5"/>
    </row>
    <row r="20860" spans="1:7" ht="58.5" customHeight="1" x14ac:dyDescent="0.25">
      <c r="A20860" s="5" t="str">
        <f>"H0030552"</f>
        <v>H0030552</v>
      </c>
      <c r="B20860" s="5" t="str">
        <f t="shared" si="1052"/>
        <v>LICENCIA DE ANTIVIRUS ESET ENDPOINT POR TRES (3) AÑOS - RENOVACIÓN</v>
      </c>
      <c r="C20860" s="6">
        <v>50000</v>
      </c>
      <c r="D20860" s="5" t="s">
        <v>362</v>
      </c>
      <c r="E20860" s="5" t="str">
        <f t="shared" si="1050"/>
        <v>SISTEMAS-GLOBALTRONIK SAS-SERGIO PATIÑO</v>
      </c>
      <c r="F20860" s="5"/>
      <c r="G20860" s="5"/>
    </row>
    <row r="20861" spans="1:7" ht="58.5" customHeight="1" x14ac:dyDescent="0.25">
      <c r="A20861" s="5" t="str">
        <f>"H0030553"</f>
        <v>H0030553</v>
      </c>
      <c r="B20861" s="5" t="str">
        <f t="shared" si="1052"/>
        <v>LICENCIA DE ANTIVIRUS ESET ENDPOINT POR TRES (3) AÑOS - RENOVACIÓN</v>
      </c>
      <c r="C20861" s="6">
        <v>50000</v>
      </c>
      <c r="D20861" s="5" t="s">
        <v>362</v>
      </c>
      <c r="E20861" s="5" t="str">
        <f t="shared" ref="E20861:E20924" si="1053">"SISTEMAS-GLOBALTRONIK SAS-SERGIO PATIÑO"</f>
        <v>SISTEMAS-GLOBALTRONIK SAS-SERGIO PATIÑO</v>
      </c>
      <c r="F20861" s="5"/>
      <c r="G20861" s="5"/>
    </row>
    <row r="20862" spans="1:7" ht="58.5" customHeight="1" x14ac:dyDescent="0.25">
      <c r="A20862" s="5" t="str">
        <f>"H0030554"</f>
        <v>H0030554</v>
      </c>
      <c r="B20862" s="5" t="str">
        <f t="shared" si="1052"/>
        <v>LICENCIA DE ANTIVIRUS ESET ENDPOINT POR TRES (3) AÑOS - RENOVACIÓN</v>
      </c>
      <c r="C20862" s="6">
        <v>50000</v>
      </c>
      <c r="D20862" s="5" t="s">
        <v>362</v>
      </c>
      <c r="E20862" s="5" t="str">
        <f t="shared" si="1053"/>
        <v>SISTEMAS-GLOBALTRONIK SAS-SERGIO PATIÑO</v>
      </c>
      <c r="F20862" s="5"/>
      <c r="G20862" s="5"/>
    </row>
    <row r="20863" spans="1:7" ht="58.5" customHeight="1" x14ac:dyDescent="0.25">
      <c r="A20863" s="5" t="str">
        <f>"H0030555"</f>
        <v>H0030555</v>
      </c>
      <c r="B20863" s="5" t="str">
        <f t="shared" si="1052"/>
        <v>LICENCIA DE ANTIVIRUS ESET ENDPOINT POR TRES (3) AÑOS - RENOVACIÓN</v>
      </c>
      <c r="C20863" s="6">
        <v>50000</v>
      </c>
      <c r="D20863" s="5" t="s">
        <v>362</v>
      </c>
      <c r="E20863" s="5" t="str">
        <f t="shared" si="1053"/>
        <v>SISTEMAS-GLOBALTRONIK SAS-SERGIO PATIÑO</v>
      </c>
      <c r="F20863" s="5"/>
      <c r="G20863" s="5"/>
    </row>
    <row r="20864" spans="1:7" ht="58.5" customHeight="1" x14ac:dyDescent="0.25">
      <c r="A20864" s="5" t="str">
        <f>"H0030556"</f>
        <v>H0030556</v>
      </c>
      <c r="B20864" s="5" t="str">
        <f t="shared" si="1052"/>
        <v>LICENCIA DE ANTIVIRUS ESET ENDPOINT POR TRES (3) AÑOS - RENOVACIÓN</v>
      </c>
      <c r="C20864" s="6">
        <v>50000</v>
      </c>
      <c r="D20864" s="5" t="s">
        <v>362</v>
      </c>
      <c r="E20864" s="5" t="str">
        <f t="shared" si="1053"/>
        <v>SISTEMAS-GLOBALTRONIK SAS-SERGIO PATIÑO</v>
      </c>
      <c r="F20864" s="5"/>
      <c r="G20864" s="5"/>
    </row>
    <row r="20865" spans="1:7" ht="58.5" customHeight="1" x14ac:dyDescent="0.25">
      <c r="A20865" s="5" t="str">
        <f>"H0030557"</f>
        <v>H0030557</v>
      </c>
      <c r="B20865" s="5" t="str">
        <f t="shared" si="1052"/>
        <v>LICENCIA DE ANTIVIRUS ESET ENDPOINT POR TRES (3) AÑOS - RENOVACIÓN</v>
      </c>
      <c r="C20865" s="6">
        <v>50000</v>
      </c>
      <c r="D20865" s="5" t="s">
        <v>362</v>
      </c>
      <c r="E20865" s="5" t="str">
        <f t="shared" si="1053"/>
        <v>SISTEMAS-GLOBALTRONIK SAS-SERGIO PATIÑO</v>
      </c>
      <c r="F20865" s="5"/>
      <c r="G20865" s="5"/>
    </row>
    <row r="20866" spans="1:7" ht="58.5" customHeight="1" x14ac:dyDescent="0.25">
      <c r="A20866" s="5" t="str">
        <f>"H0030558"</f>
        <v>H0030558</v>
      </c>
      <c r="B20866" s="5" t="str">
        <f t="shared" si="1052"/>
        <v>LICENCIA DE ANTIVIRUS ESET ENDPOINT POR TRES (3) AÑOS - RENOVACIÓN</v>
      </c>
      <c r="C20866" s="6">
        <v>50000</v>
      </c>
      <c r="D20866" s="5" t="s">
        <v>362</v>
      </c>
      <c r="E20866" s="5" t="str">
        <f t="shared" si="1053"/>
        <v>SISTEMAS-GLOBALTRONIK SAS-SERGIO PATIÑO</v>
      </c>
      <c r="F20866" s="5"/>
      <c r="G20866" s="5"/>
    </row>
    <row r="20867" spans="1:7" ht="58.5" customHeight="1" x14ac:dyDescent="0.25">
      <c r="A20867" s="5" t="str">
        <f>"H0030560"</f>
        <v>H0030560</v>
      </c>
      <c r="B20867" s="5" t="str">
        <f t="shared" si="1052"/>
        <v>LICENCIA DE ANTIVIRUS ESET ENDPOINT POR TRES (3) AÑOS - RENOVACIÓN</v>
      </c>
      <c r="C20867" s="6">
        <v>50000</v>
      </c>
      <c r="D20867" s="5" t="s">
        <v>362</v>
      </c>
      <c r="E20867" s="5" t="str">
        <f t="shared" si="1053"/>
        <v>SISTEMAS-GLOBALTRONIK SAS-SERGIO PATIÑO</v>
      </c>
      <c r="F20867" s="5"/>
      <c r="G20867" s="5"/>
    </row>
    <row r="20868" spans="1:7" ht="58.5" customHeight="1" x14ac:dyDescent="0.25">
      <c r="A20868" s="5" t="str">
        <f>"H0030561"</f>
        <v>H0030561</v>
      </c>
      <c r="B20868" s="5" t="str">
        <f t="shared" si="1052"/>
        <v>LICENCIA DE ANTIVIRUS ESET ENDPOINT POR TRES (3) AÑOS - RENOVACIÓN</v>
      </c>
      <c r="C20868" s="6">
        <v>50000</v>
      </c>
      <c r="D20868" s="5" t="s">
        <v>362</v>
      </c>
      <c r="E20868" s="5" t="str">
        <f t="shared" si="1053"/>
        <v>SISTEMAS-GLOBALTRONIK SAS-SERGIO PATIÑO</v>
      </c>
      <c r="F20868" s="5"/>
      <c r="G20868" s="5"/>
    </row>
    <row r="20869" spans="1:7" ht="58.5" customHeight="1" x14ac:dyDescent="0.25">
      <c r="A20869" s="5" t="str">
        <f>"H0030562"</f>
        <v>H0030562</v>
      </c>
      <c r="B20869" s="5" t="str">
        <f t="shared" si="1052"/>
        <v>LICENCIA DE ANTIVIRUS ESET ENDPOINT POR TRES (3) AÑOS - RENOVACIÓN</v>
      </c>
      <c r="C20869" s="6">
        <v>50000</v>
      </c>
      <c r="D20869" s="5" t="s">
        <v>362</v>
      </c>
      <c r="E20869" s="5" t="str">
        <f t="shared" si="1053"/>
        <v>SISTEMAS-GLOBALTRONIK SAS-SERGIO PATIÑO</v>
      </c>
      <c r="F20869" s="5"/>
      <c r="G20869" s="5"/>
    </row>
    <row r="20870" spans="1:7" ht="58.5" customHeight="1" x14ac:dyDescent="0.25">
      <c r="A20870" s="5" t="str">
        <f>"H0030563"</f>
        <v>H0030563</v>
      </c>
      <c r="B20870" s="5" t="str">
        <f t="shared" si="1052"/>
        <v>LICENCIA DE ANTIVIRUS ESET ENDPOINT POR TRES (3) AÑOS - RENOVACIÓN</v>
      </c>
      <c r="C20870" s="6">
        <v>50000</v>
      </c>
      <c r="D20870" s="5" t="s">
        <v>362</v>
      </c>
      <c r="E20870" s="5" t="str">
        <f t="shared" si="1053"/>
        <v>SISTEMAS-GLOBALTRONIK SAS-SERGIO PATIÑO</v>
      </c>
      <c r="F20870" s="5"/>
      <c r="G20870" s="5"/>
    </row>
    <row r="20871" spans="1:7" ht="58.5" customHeight="1" x14ac:dyDescent="0.25">
      <c r="A20871" s="5" t="str">
        <f>"H0030564"</f>
        <v>H0030564</v>
      </c>
      <c r="B20871" s="5" t="str">
        <f t="shared" si="1052"/>
        <v>LICENCIA DE ANTIVIRUS ESET ENDPOINT POR TRES (3) AÑOS - RENOVACIÓN</v>
      </c>
      <c r="C20871" s="6">
        <v>50000</v>
      </c>
      <c r="D20871" s="5" t="s">
        <v>362</v>
      </c>
      <c r="E20871" s="5" t="str">
        <f t="shared" si="1053"/>
        <v>SISTEMAS-GLOBALTRONIK SAS-SERGIO PATIÑO</v>
      </c>
      <c r="F20871" s="5"/>
      <c r="G20871" s="5"/>
    </row>
    <row r="20872" spans="1:7" ht="58.5" customHeight="1" x14ac:dyDescent="0.25">
      <c r="A20872" s="5" t="str">
        <f>"H0030565"</f>
        <v>H0030565</v>
      </c>
      <c r="B20872" s="5" t="str">
        <f t="shared" si="1052"/>
        <v>LICENCIA DE ANTIVIRUS ESET ENDPOINT POR TRES (3) AÑOS - RENOVACIÓN</v>
      </c>
      <c r="C20872" s="6">
        <v>50000</v>
      </c>
      <c r="D20872" s="5" t="s">
        <v>362</v>
      </c>
      <c r="E20872" s="5" t="str">
        <f t="shared" si="1053"/>
        <v>SISTEMAS-GLOBALTRONIK SAS-SERGIO PATIÑO</v>
      </c>
      <c r="F20872" s="5"/>
      <c r="G20872" s="5"/>
    </row>
    <row r="20873" spans="1:7" ht="58.5" customHeight="1" x14ac:dyDescent="0.25">
      <c r="A20873" s="5" t="str">
        <f>"H0030566"</f>
        <v>H0030566</v>
      </c>
      <c r="B20873" s="5" t="str">
        <f t="shared" si="1052"/>
        <v>LICENCIA DE ANTIVIRUS ESET ENDPOINT POR TRES (3) AÑOS - RENOVACIÓN</v>
      </c>
      <c r="C20873" s="6">
        <v>50000</v>
      </c>
      <c r="D20873" s="5" t="s">
        <v>362</v>
      </c>
      <c r="E20873" s="5" t="str">
        <f t="shared" si="1053"/>
        <v>SISTEMAS-GLOBALTRONIK SAS-SERGIO PATIÑO</v>
      </c>
      <c r="F20873" s="5"/>
      <c r="G20873" s="5"/>
    </row>
    <row r="20874" spans="1:7" ht="58.5" customHeight="1" x14ac:dyDescent="0.25">
      <c r="A20874" s="5" t="str">
        <f>"H0030567"</f>
        <v>H0030567</v>
      </c>
      <c r="B20874" s="5" t="str">
        <f t="shared" si="1052"/>
        <v>LICENCIA DE ANTIVIRUS ESET ENDPOINT POR TRES (3) AÑOS - RENOVACIÓN</v>
      </c>
      <c r="C20874" s="6">
        <v>50000</v>
      </c>
      <c r="D20874" s="5" t="s">
        <v>362</v>
      </c>
      <c r="E20874" s="5" t="str">
        <f t="shared" si="1053"/>
        <v>SISTEMAS-GLOBALTRONIK SAS-SERGIO PATIÑO</v>
      </c>
      <c r="F20874" s="5"/>
      <c r="G20874" s="5"/>
    </row>
    <row r="20875" spans="1:7" ht="58.5" customHeight="1" x14ac:dyDescent="0.25">
      <c r="A20875" s="5" t="str">
        <f>"H0030568"</f>
        <v>H0030568</v>
      </c>
      <c r="B20875" s="5" t="str">
        <f t="shared" si="1052"/>
        <v>LICENCIA DE ANTIVIRUS ESET ENDPOINT POR TRES (3) AÑOS - RENOVACIÓN</v>
      </c>
      <c r="C20875" s="6">
        <v>50000</v>
      </c>
      <c r="D20875" s="5" t="s">
        <v>362</v>
      </c>
      <c r="E20875" s="5" t="str">
        <f t="shared" si="1053"/>
        <v>SISTEMAS-GLOBALTRONIK SAS-SERGIO PATIÑO</v>
      </c>
      <c r="F20875" s="5"/>
      <c r="G20875" s="5"/>
    </row>
    <row r="20876" spans="1:7" ht="58.5" customHeight="1" x14ac:dyDescent="0.25">
      <c r="A20876" s="5" t="str">
        <f>"H0030569"</f>
        <v>H0030569</v>
      </c>
      <c r="B20876" s="5" t="str">
        <f t="shared" si="1052"/>
        <v>LICENCIA DE ANTIVIRUS ESET ENDPOINT POR TRES (3) AÑOS - RENOVACIÓN</v>
      </c>
      <c r="C20876" s="6">
        <v>50000</v>
      </c>
      <c r="D20876" s="5" t="s">
        <v>362</v>
      </c>
      <c r="E20876" s="5" t="str">
        <f t="shared" si="1053"/>
        <v>SISTEMAS-GLOBALTRONIK SAS-SERGIO PATIÑO</v>
      </c>
      <c r="F20876" s="5"/>
      <c r="G20876" s="5"/>
    </row>
    <row r="20877" spans="1:7" ht="58.5" customHeight="1" x14ac:dyDescent="0.25">
      <c r="A20877" s="5" t="str">
        <f>"H0030570"</f>
        <v>H0030570</v>
      </c>
      <c r="B20877" s="5" t="str">
        <f t="shared" si="1052"/>
        <v>LICENCIA DE ANTIVIRUS ESET ENDPOINT POR TRES (3) AÑOS - RENOVACIÓN</v>
      </c>
      <c r="C20877" s="6">
        <v>50000</v>
      </c>
      <c r="D20877" s="5" t="s">
        <v>362</v>
      </c>
      <c r="E20877" s="5" t="str">
        <f t="shared" si="1053"/>
        <v>SISTEMAS-GLOBALTRONIK SAS-SERGIO PATIÑO</v>
      </c>
      <c r="F20877" s="5"/>
      <c r="G20877" s="5"/>
    </row>
    <row r="20878" spans="1:7" ht="58.5" customHeight="1" x14ac:dyDescent="0.25">
      <c r="A20878" s="5" t="str">
        <f>"H0030571"</f>
        <v>H0030571</v>
      </c>
      <c r="B20878" s="5" t="str">
        <f t="shared" si="1052"/>
        <v>LICENCIA DE ANTIVIRUS ESET ENDPOINT POR TRES (3) AÑOS - RENOVACIÓN</v>
      </c>
      <c r="C20878" s="6">
        <v>50000</v>
      </c>
      <c r="D20878" s="5" t="s">
        <v>362</v>
      </c>
      <c r="E20878" s="5" t="str">
        <f t="shared" si="1053"/>
        <v>SISTEMAS-GLOBALTRONIK SAS-SERGIO PATIÑO</v>
      </c>
      <c r="F20878" s="5"/>
      <c r="G20878" s="5"/>
    </row>
    <row r="20879" spans="1:7" ht="58.5" customHeight="1" x14ac:dyDescent="0.25">
      <c r="A20879" s="5" t="str">
        <f>"H0030572"</f>
        <v>H0030572</v>
      </c>
      <c r="B20879" s="5" t="str">
        <f t="shared" si="1052"/>
        <v>LICENCIA DE ANTIVIRUS ESET ENDPOINT POR TRES (3) AÑOS - RENOVACIÓN</v>
      </c>
      <c r="C20879" s="6">
        <v>50000</v>
      </c>
      <c r="D20879" s="5" t="s">
        <v>362</v>
      </c>
      <c r="E20879" s="5" t="str">
        <f t="shared" si="1053"/>
        <v>SISTEMAS-GLOBALTRONIK SAS-SERGIO PATIÑO</v>
      </c>
      <c r="F20879" s="5"/>
      <c r="G20879" s="5"/>
    </row>
    <row r="20880" spans="1:7" ht="58.5" customHeight="1" x14ac:dyDescent="0.25">
      <c r="A20880" s="5" t="str">
        <f>"H0030575"</f>
        <v>H0030575</v>
      </c>
      <c r="B20880" s="5" t="str">
        <f t="shared" si="1052"/>
        <v>LICENCIA DE ANTIVIRUS ESET ENDPOINT POR TRES (3) AÑOS - RENOVACIÓN</v>
      </c>
      <c r="C20880" s="6">
        <v>50000</v>
      </c>
      <c r="D20880" s="5" t="s">
        <v>362</v>
      </c>
      <c r="E20880" s="5" t="str">
        <f t="shared" si="1053"/>
        <v>SISTEMAS-GLOBALTRONIK SAS-SERGIO PATIÑO</v>
      </c>
      <c r="F20880" s="5"/>
      <c r="G20880" s="5"/>
    </row>
    <row r="20881" spans="1:7" ht="58.5" customHeight="1" x14ac:dyDescent="0.25">
      <c r="A20881" s="5" t="str">
        <f>"H0030576"</f>
        <v>H0030576</v>
      </c>
      <c r="B20881" s="5" t="str">
        <f t="shared" si="1052"/>
        <v>LICENCIA DE ANTIVIRUS ESET ENDPOINT POR TRES (3) AÑOS - RENOVACIÓN</v>
      </c>
      <c r="C20881" s="6">
        <v>50000</v>
      </c>
      <c r="D20881" s="5" t="s">
        <v>362</v>
      </c>
      <c r="E20881" s="5" t="str">
        <f t="shared" si="1053"/>
        <v>SISTEMAS-GLOBALTRONIK SAS-SERGIO PATIÑO</v>
      </c>
      <c r="F20881" s="5"/>
      <c r="G20881" s="5"/>
    </row>
    <row r="20882" spans="1:7" ht="58.5" customHeight="1" x14ac:dyDescent="0.25">
      <c r="A20882" s="5" t="str">
        <f>"H0030577"</f>
        <v>H0030577</v>
      </c>
      <c r="B20882" s="5" t="str">
        <f t="shared" si="1052"/>
        <v>LICENCIA DE ANTIVIRUS ESET ENDPOINT POR TRES (3) AÑOS - RENOVACIÓN</v>
      </c>
      <c r="C20882" s="6">
        <v>50000</v>
      </c>
      <c r="D20882" s="5" t="s">
        <v>362</v>
      </c>
      <c r="E20882" s="5" t="str">
        <f t="shared" si="1053"/>
        <v>SISTEMAS-GLOBALTRONIK SAS-SERGIO PATIÑO</v>
      </c>
      <c r="F20882" s="5"/>
      <c r="G20882" s="5"/>
    </row>
    <row r="20883" spans="1:7" ht="58.5" customHeight="1" x14ac:dyDescent="0.25">
      <c r="A20883" s="5" t="str">
        <f>"H0030578"</f>
        <v>H0030578</v>
      </c>
      <c r="B20883" s="5" t="str">
        <f t="shared" si="1052"/>
        <v>LICENCIA DE ANTIVIRUS ESET ENDPOINT POR TRES (3) AÑOS - RENOVACIÓN</v>
      </c>
      <c r="C20883" s="6">
        <v>50000</v>
      </c>
      <c r="D20883" s="5" t="s">
        <v>362</v>
      </c>
      <c r="E20883" s="5" t="str">
        <f t="shared" si="1053"/>
        <v>SISTEMAS-GLOBALTRONIK SAS-SERGIO PATIÑO</v>
      </c>
      <c r="F20883" s="5"/>
      <c r="G20883" s="5"/>
    </row>
    <row r="20884" spans="1:7" ht="58.5" customHeight="1" x14ac:dyDescent="0.25">
      <c r="A20884" s="5" t="str">
        <f>"H0030579"</f>
        <v>H0030579</v>
      </c>
      <c r="B20884" s="5" t="str">
        <f t="shared" si="1052"/>
        <v>LICENCIA DE ANTIVIRUS ESET ENDPOINT POR TRES (3) AÑOS - RENOVACIÓN</v>
      </c>
      <c r="C20884" s="6">
        <v>50000</v>
      </c>
      <c r="D20884" s="5" t="s">
        <v>362</v>
      </c>
      <c r="E20884" s="5" t="str">
        <f t="shared" si="1053"/>
        <v>SISTEMAS-GLOBALTRONIK SAS-SERGIO PATIÑO</v>
      </c>
      <c r="F20884" s="5"/>
      <c r="G20884" s="5"/>
    </row>
    <row r="20885" spans="1:7" ht="58.5" customHeight="1" x14ac:dyDescent="0.25">
      <c r="A20885" s="5" t="str">
        <f>"H0030580"</f>
        <v>H0030580</v>
      </c>
      <c r="B20885" s="5" t="str">
        <f t="shared" ref="B20885:B20948" si="1054">"LICENCIA DE ANTIVIRUS ESET ENDPOINT POR TRES (3) AÑOS - RENOVACIÓN"</f>
        <v>LICENCIA DE ANTIVIRUS ESET ENDPOINT POR TRES (3) AÑOS - RENOVACIÓN</v>
      </c>
      <c r="C20885" s="6">
        <v>50000</v>
      </c>
      <c r="D20885" s="5" t="s">
        <v>362</v>
      </c>
      <c r="E20885" s="5" t="str">
        <f t="shared" si="1053"/>
        <v>SISTEMAS-GLOBALTRONIK SAS-SERGIO PATIÑO</v>
      </c>
      <c r="F20885" s="5"/>
      <c r="G20885" s="5"/>
    </row>
    <row r="20886" spans="1:7" ht="58.5" customHeight="1" x14ac:dyDescent="0.25">
      <c r="A20886" s="5" t="str">
        <f>"H0030581"</f>
        <v>H0030581</v>
      </c>
      <c r="B20886" s="5" t="str">
        <f t="shared" si="1054"/>
        <v>LICENCIA DE ANTIVIRUS ESET ENDPOINT POR TRES (3) AÑOS - RENOVACIÓN</v>
      </c>
      <c r="C20886" s="6">
        <v>50000</v>
      </c>
      <c r="D20886" s="5" t="s">
        <v>362</v>
      </c>
      <c r="E20886" s="5" t="str">
        <f t="shared" si="1053"/>
        <v>SISTEMAS-GLOBALTRONIK SAS-SERGIO PATIÑO</v>
      </c>
      <c r="F20886" s="5"/>
      <c r="G20886" s="5"/>
    </row>
    <row r="20887" spans="1:7" ht="58.5" customHeight="1" x14ac:dyDescent="0.25">
      <c r="A20887" s="5" t="str">
        <f>"H0030582"</f>
        <v>H0030582</v>
      </c>
      <c r="B20887" s="5" t="str">
        <f t="shared" si="1054"/>
        <v>LICENCIA DE ANTIVIRUS ESET ENDPOINT POR TRES (3) AÑOS - RENOVACIÓN</v>
      </c>
      <c r="C20887" s="6">
        <v>50000</v>
      </c>
      <c r="D20887" s="5" t="s">
        <v>362</v>
      </c>
      <c r="E20887" s="5" t="str">
        <f t="shared" si="1053"/>
        <v>SISTEMAS-GLOBALTRONIK SAS-SERGIO PATIÑO</v>
      </c>
      <c r="F20887" s="5"/>
      <c r="G20887" s="5"/>
    </row>
    <row r="20888" spans="1:7" ht="58.5" customHeight="1" x14ac:dyDescent="0.25">
      <c r="A20888" s="5" t="str">
        <f>"H0030583"</f>
        <v>H0030583</v>
      </c>
      <c r="B20888" s="5" t="str">
        <f t="shared" si="1054"/>
        <v>LICENCIA DE ANTIVIRUS ESET ENDPOINT POR TRES (3) AÑOS - RENOVACIÓN</v>
      </c>
      <c r="C20888" s="6">
        <v>50000</v>
      </c>
      <c r="D20888" s="5" t="s">
        <v>362</v>
      </c>
      <c r="E20888" s="5" t="str">
        <f t="shared" si="1053"/>
        <v>SISTEMAS-GLOBALTRONIK SAS-SERGIO PATIÑO</v>
      </c>
      <c r="F20888" s="5"/>
      <c r="G20888" s="5"/>
    </row>
    <row r="20889" spans="1:7" ht="58.5" customHeight="1" x14ac:dyDescent="0.25">
      <c r="A20889" s="5" t="str">
        <f>"H0030584"</f>
        <v>H0030584</v>
      </c>
      <c r="B20889" s="5" t="str">
        <f t="shared" si="1054"/>
        <v>LICENCIA DE ANTIVIRUS ESET ENDPOINT POR TRES (3) AÑOS - RENOVACIÓN</v>
      </c>
      <c r="C20889" s="6">
        <v>50000</v>
      </c>
      <c r="D20889" s="5" t="s">
        <v>362</v>
      </c>
      <c r="E20889" s="5" t="str">
        <f t="shared" si="1053"/>
        <v>SISTEMAS-GLOBALTRONIK SAS-SERGIO PATIÑO</v>
      </c>
      <c r="F20889" s="5"/>
      <c r="G20889" s="5"/>
    </row>
    <row r="20890" spans="1:7" ht="58.5" customHeight="1" x14ac:dyDescent="0.25">
      <c r="A20890" s="5" t="str">
        <f>"H0030585"</f>
        <v>H0030585</v>
      </c>
      <c r="B20890" s="5" t="str">
        <f t="shared" si="1054"/>
        <v>LICENCIA DE ANTIVIRUS ESET ENDPOINT POR TRES (3) AÑOS - RENOVACIÓN</v>
      </c>
      <c r="C20890" s="6">
        <v>50000</v>
      </c>
      <c r="D20890" s="5" t="s">
        <v>362</v>
      </c>
      <c r="E20890" s="5" t="str">
        <f t="shared" si="1053"/>
        <v>SISTEMAS-GLOBALTRONIK SAS-SERGIO PATIÑO</v>
      </c>
      <c r="F20890" s="5"/>
      <c r="G20890" s="5"/>
    </row>
    <row r="20891" spans="1:7" ht="58.5" customHeight="1" x14ac:dyDescent="0.25">
      <c r="A20891" s="5" t="str">
        <f>"H0030586"</f>
        <v>H0030586</v>
      </c>
      <c r="B20891" s="5" t="str">
        <f t="shared" si="1054"/>
        <v>LICENCIA DE ANTIVIRUS ESET ENDPOINT POR TRES (3) AÑOS - RENOVACIÓN</v>
      </c>
      <c r="C20891" s="6">
        <v>50000</v>
      </c>
      <c r="D20891" s="5" t="s">
        <v>362</v>
      </c>
      <c r="E20891" s="5" t="str">
        <f t="shared" si="1053"/>
        <v>SISTEMAS-GLOBALTRONIK SAS-SERGIO PATIÑO</v>
      </c>
      <c r="F20891" s="5"/>
      <c r="G20891" s="5"/>
    </row>
    <row r="20892" spans="1:7" ht="58.5" customHeight="1" x14ac:dyDescent="0.25">
      <c r="A20892" s="5" t="str">
        <f>"H0030587"</f>
        <v>H0030587</v>
      </c>
      <c r="B20892" s="5" t="str">
        <f t="shared" si="1054"/>
        <v>LICENCIA DE ANTIVIRUS ESET ENDPOINT POR TRES (3) AÑOS - RENOVACIÓN</v>
      </c>
      <c r="C20892" s="6">
        <v>50000</v>
      </c>
      <c r="D20892" s="5" t="s">
        <v>362</v>
      </c>
      <c r="E20892" s="5" t="str">
        <f t="shared" si="1053"/>
        <v>SISTEMAS-GLOBALTRONIK SAS-SERGIO PATIÑO</v>
      </c>
      <c r="F20892" s="5"/>
      <c r="G20892" s="5"/>
    </row>
    <row r="20893" spans="1:7" ht="58.5" customHeight="1" x14ac:dyDescent="0.25">
      <c r="A20893" s="5" t="str">
        <f>"H0030588"</f>
        <v>H0030588</v>
      </c>
      <c r="B20893" s="5" t="str">
        <f t="shared" si="1054"/>
        <v>LICENCIA DE ANTIVIRUS ESET ENDPOINT POR TRES (3) AÑOS - RENOVACIÓN</v>
      </c>
      <c r="C20893" s="6">
        <v>50000</v>
      </c>
      <c r="D20893" s="5" t="s">
        <v>362</v>
      </c>
      <c r="E20893" s="5" t="str">
        <f t="shared" si="1053"/>
        <v>SISTEMAS-GLOBALTRONIK SAS-SERGIO PATIÑO</v>
      </c>
      <c r="F20893" s="5"/>
      <c r="G20893" s="5"/>
    </row>
    <row r="20894" spans="1:7" ht="58.5" customHeight="1" x14ac:dyDescent="0.25">
      <c r="A20894" s="5" t="str">
        <f>"H0030589"</f>
        <v>H0030589</v>
      </c>
      <c r="B20894" s="5" t="str">
        <f t="shared" si="1054"/>
        <v>LICENCIA DE ANTIVIRUS ESET ENDPOINT POR TRES (3) AÑOS - RENOVACIÓN</v>
      </c>
      <c r="C20894" s="6">
        <v>50000</v>
      </c>
      <c r="D20894" s="5" t="s">
        <v>362</v>
      </c>
      <c r="E20894" s="5" t="str">
        <f t="shared" si="1053"/>
        <v>SISTEMAS-GLOBALTRONIK SAS-SERGIO PATIÑO</v>
      </c>
      <c r="F20894" s="5"/>
      <c r="G20894" s="5"/>
    </row>
    <row r="20895" spans="1:7" ht="58.5" customHeight="1" x14ac:dyDescent="0.25">
      <c r="A20895" s="5" t="str">
        <f>"H0030590"</f>
        <v>H0030590</v>
      </c>
      <c r="B20895" s="5" t="str">
        <f t="shared" si="1054"/>
        <v>LICENCIA DE ANTIVIRUS ESET ENDPOINT POR TRES (3) AÑOS - RENOVACIÓN</v>
      </c>
      <c r="C20895" s="6">
        <v>50000</v>
      </c>
      <c r="D20895" s="5" t="s">
        <v>362</v>
      </c>
      <c r="E20895" s="5" t="str">
        <f t="shared" si="1053"/>
        <v>SISTEMAS-GLOBALTRONIK SAS-SERGIO PATIÑO</v>
      </c>
      <c r="F20895" s="5"/>
      <c r="G20895" s="5"/>
    </row>
    <row r="20896" spans="1:7" ht="58.5" customHeight="1" x14ac:dyDescent="0.25">
      <c r="A20896" s="5" t="str">
        <f>"H0030591"</f>
        <v>H0030591</v>
      </c>
      <c r="B20896" s="5" t="str">
        <f t="shared" si="1054"/>
        <v>LICENCIA DE ANTIVIRUS ESET ENDPOINT POR TRES (3) AÑOS - RENOVACIÓN</v>
      </c>
      <c r="C20896" s="6">
        <v>50000</v>
      </c>
      <c r="D20896" s="5" t="s">
        <v>362</v>
      </c>
      <c r="E20896" s="5" t="str">
        <f t="shared" si="1053"/>
        <v>SISTEMAS-GLOBALTRONIK SAS-SERGIO PATIÑO</v>
      </c>
      <c r="F20896" s="5"/>
      <c r="G20896" s="5"/>
    </row>
    <row r="20897" spans="1:7" ht="58.5" customHeight="1" x14ac:dyDescent="0.25">
      <c r="A20897" s="5" t="str">
        <f>"H0030592"</f>
        <v>H0030592</v>
      </c>
      <c r="B20897" s="5" t="str">
        <f t="shared" si="1054"/>
        <v>LICENCIA DE ANTIVIRUS ESET ENDPOINT POR TRES (3) AÑOS - RENOVACIÓN</v>
      </c>
      <c r="C20897" s="6">
        <v>50000</v>
      </c>
      <c r="D20897" s="5" t="s">
        <v>362</v>
      </c>
      <c r="E20897" s="5" t="str">
        <f t="shared" si="1053"/>
        <v>SISTEMAS-GLOBALTRONIK SAS-SERGIO PATIÑO</v>
      </c>
      <c r="F20897" s="5"/>
      <c r="G20897" s="5"/>
    </row>
    <row r="20898" spans="1:7" ht="58.5" customHeight="1" x14ac:dyDescent="0.25">
      <c r="A20898" s="5" t="str">
        <f>"H0030593"</f>
        <v>H0030593</v>
      </c>
      <c r="B20898" s="5" t="str">
        <f t="shared" si="1054"/>
        <v>LICENCIA DE ANTIVIRUS ESET ENDPOINT POR TRES (3) AÑOS - RENOVACIÓN</v>
      </c>
      <c r="C20898" s="6">
        <v>50000</v>
      </c>
      <c r="D20898" s="5" t="s">
        <v>362</v>
      </c>
      <c r="E20898" s="5" t="str">
        <f t="shared" si="1053"/>
        <v>SISTEMAS-GLOBALTRONIK SAS-SERGIO PATIÑO</v>
      </c>
      <c r="F20898" s="5"/>
      <c r="G20898" s="5"/>
    </row>
    <row r="20899" spans="1:7" ht="58.5" customHeight="1" x14ac:dyDescent="0.25">
      <c r="A20899" s="5" t="str">
        <f>"H0030594"</f>
        <v>H0030594</v>
      </c>
      <c r="B20899" s="5" t="str">
        <f t="shared" si="1054"/>
        <v>LICENCIA DE ANTIVIRUS ESET ENDPOINT POR TRES (3) AÑOS - RENOVACIÓN</v>
      </c>
      <c r="C20899" s="6">
        <v>50000</v>
      </c>
      <c r="D20899" s="5" t="s">
        <v>362</v>
      </c>
      <c r="E20899" s="5" t="str">
        <f t="shared" si="1053"/>
        <v>SISTEMAS-GLOBALTRONIK SAS-SERGIO PATIÑO</v>
      </c>
      <c r="F20899" s="5"/>
      <c r="G20899" s="5"/>
    </row>
    <row r="20900" spans="1:7" ht="58.5" customHeight="1" x14ac:dyDescent="0.25">
      <c r="A20900" s="5" t="str">
        <f>"H0030595"</f>
        <v>H0030595</v>
      </c>
      <c r="B20900" s="5" t="str">
        <f t="shared" si="1054"/>
        <v>LICENCIA DE ANTIVIRUS ESET ENDPOINT POR TRES (3) AÑOS - RENOVACIÓN</v>
      </c>
      <c r="C20900" s="6">
        <v>50000</v>
      </c>
      <c r="D20900" s="5" t="s">
        <v>362</v>
      </c>
      <c r="E20900" s="5" t="str">
        <f t="shared" si="1053"/>
        <v>SISTEMAS-GLOBALTRONIK SAS-SERGIO PATIÑO</v>
      </c>
      <c r="F20900" s="5"/>
      <c r="G20900" s="5"/>
    </row>
    <row r="20901" spans="1:7" ht="58.5" customHeight="1" x14ac:dyDescent="0.25">
      <c r="A20901" s="5" t="str">
        <f>"H0030596"</f>
        <v>H0030596</v>
      </c>
      <c r="B20901" s="5" t="str">
        <f t="shared" si="1054"/>
        <v>LICENCIA DE ANTIVIRUS ESET ENDPOINT POR TRES (3) AÑOS - RENOVACIÓN</v>
      </c>
      <c r="C20901" s="6">
        <v>50000</v>
      </c>
      <c r="D20901" s="5" t="s">
        <v>362</v>
      </c>
      <c r="E20901" s="5" t="str">
        <f t="shared" si="1053"/>
        <v>SISTEMAS-GLOBALTRONIK SAS-SERGIO PATIÑO</v>
      </c>
      <c r="F20901" s="5"/>
      <c r="G20901" s="5"/>
    </row>
    <row r="20902" spans="1:7" ht="58.5" customHeight="1" x14ac:dyDescent="0.25">
      <c r="A20902" s="5" t="str">
        <f>"H0030597"</f>
        <v>H0030597</v>
      </c>
      <c r="B20902" s="5" t="str">
        <f t="shared" si="1054"/>
        <v>LICENCIA DE ANTIVIRUS ESET ENDPOINT POR TRES (3) AÑOS - RENOVACIÓN</v>
      </c>
      <c r="C20902" s="6">
        <v>50000</v>
      </c>
      <c r="D20902" s="5" t="s">
        <v>362</v>
      </c>
      <c r="E20902" s="5" t="str">
        <f t="shared" si="1053"/>
        <v>SISTEMAS-GLOBALTRONIK SAS-SERGIO PATIÑO</v>
      </c>
      <c r="F20902" s="5"/>
      <c r="G20902" s="5"/>
    </row>
    <row r="20903" spans="1:7" ht="58.5" customHeight="1" x14ac:dyDescent="0.25">
      <c r="A20903" s="5" t="str">
        <f>"H0030598"</f>
        <v>H0030598</v>
      </c>
      <c r="B20903" s="5" t="str">
        <f t="shared" si="1054"/>
        <v>LICENCIA DE ANTIVIRUS ESET ENDPOINT POR TRES (3) AÑOS - RENOVACIÓN</v>
      </c>
      <c r="C20903" s="6">
        <v>50000</v>
      </c>
      <c r="D20903" s="5" t="s">
        <v>362</v>
      </c>
      <c r="E20903" s="5" t="str">
        <f t="shared" si="1053"/>
        <v>SISTEMAS-GLOBALTRONIK SAS-SERGIO PATIÑO</v>
      </c>
      <c r="F20903" s="5"/>
      <c r="G20903" s="5"/>
    </row>
    <row r="20904" spans="1:7" ht="58.5" customHeight="1" x14ac:dyDescent="0.25">
      <c r="A20904" s="5" t="str">
        <f>"H0030599"</f>
        <v>H0030599</v>
      </c>
      <c r="B20904" s="5" t="str">
        <f t="shared" si="1054"/>
        <v>LICENCIA DE ANTIVIRUS ESET ENDPOINT POR TRES (3) AÑOS - RENOVACIÓN</v>
      </c>
      <c r="C20904" s="6">
        <v>50000</v>
      </c>
      <c r="D20904" s="5" t="s">
        <v>362</v>
      </c>
      <c r="E20904" s="5" t="str">
        <f t="shared" si="1053"/>
        <v>SISTEMAS-GLOBALTRONIK SAS-SERGIO PATIÑO</v>
      </c>
      <c r="F20904" s="5"/>
      <c r="G20904" s="5"/>
    </row>
    <row r="20905" spans="1:7" ht="58.5" customHeight="1" x14ac:dyDescent="0.25">
      <c r="A20905" s="5" t="str">
        <f>"H0030600"</f>
        <v>H0030600</v>
      </c>
      <c r="B20905" s="5" t="str">
        <f t="shared" si="1054"/>
        <v>LICENCIA DE ANTIVIRUS ESET ENDPOINT POR TRES (3) AÑOS - RENOVACIÓN</v>
      </c>
      <c r="C20905" s="6">
        <v>50000</v>
      </c>
      <c r="D20905" s="5" t="s">
        <v>362</v>
      </c>
      <c r="E20905" s="5" t="str">
        <f t="shared" si="1053"/>
        <v>SISTEMAS-GLOBALTRONIK SAS-SERGIO PATIÑO</v>
      </c>
      <c r="F20905" s="5"/>
      <c r="G20905" s="5"/>
    </row>
    <row r="20906" spans="1:7" ht="58.5" customHeight="1" x14ac:dyDescent="0.25">
      <c r="A20906" s="5" t="str">
        <f>"H0030601"</f>
        <v>H0030601</v>
      </c>
      <c r="B20906" s="5" t="str">
        <f t="shared" si="1054"/>
        <v>LICENCIA DE ANTIVIRUS ESET ENDPOINT POR TRES (3) AÑOS - RENOVACIÓN</v>
      </c>
      <c r="C20906" s="6">
        <v>50000</v>
      </c>
      <c r="D20906" s="5" t="s">
        <v>362</v>
      </c>
      <c r="E20906" s="5" t="str">
        <f t="shared" si="1053"/>
        <v>SISTEMAS-GLOBALTRONIK SAS-SERGIO PATIÑO</v>
      </c>
      <c r="F20906" s="5"/>
      <c r="G20906" s="5"/>
    </row>
    <row r="20907" spans="1:7" ht="58.5" customHeight="1" x14ac:dyDescent="0.25">
      <c r="A20907" s="5" t="str">
        <f>"H0030602"</f>
        <v>H0030602</v>
      </c>
      <c r="B20907" s="5" t="str">
        <f t="shared" si="1054"/>
        <v>LICENCIA DE ANTIVIRUS ESET ENDPOINT POR TRES (3) AÑOS - RENOVACIÓN</v>
      </c>
      <c r="C20907" s="6">
        <v>50000</v>
      </c>
      <c r="D20907" s="5" t="s">
        <v>362</v>
      </c>
      <c r="E20907" s="5" t="str">
        <f t="shared" si="1053"/>
        <v>SISTEMAS-GLOBALTRONIK SAS-SERGIO PATIÑO</v>
      </c>
      <c r="F20907" s="5"/>
      <c r="G20907" s="5"/>
    </row>
    <row r="20908" spans="1:7" ht="58.5" customHeight="1" x14ac:dyDescent="0.25">
      <c r="A20908" s="5" t="str">
        <f>"H0030603"</f>
        <v>H0030603</v>
      </c>
      <c r="B20908" s="5" t="str">
        <f t="shared" si="1054"/>
        <v>LICENCIA DE ANTIVIRUS ESET ENDPOINT POR TRES (3) AÑOS - RENOVACIÓN</v>
      </c>
      <c r="C20908" s="6">
        <v>50000</v>
      </c>
      <c r="D20908" s="5" t="s">
        <v>362</v>
      </c>
      <c r="E20908" s="5" t="str">
        <f t="shared" si="1053"/>
        <v>SISTEMAS-GLOBALTRONIK SAS-SERGIO PATIÑO</v>
      </c>
      <c r="F20908" s="5"/>
      <c r="G20908" s="5"/>
    </row>
    <row r="20909" spans="1:7" ht="58.5" customHeight="1" x14ac:dyDescent="0.25">
      <c r="A20909" s="5" t="str">
        <f>"H0030604"</f>
        <v>H0030604</v>
      </c>
      <c r="B20909" s="5" t="str">
        <f t="shared" si="1054"/>
        <v>LICENCIA DE ANTIVIRUS ESET ENDPOINT POR TRES (3) AÑOS - RENOVACIÓN</v>
      </c>
      <c r="C20909" s="6">
        <v>50000</v>
      </c>
      <c r="D20909" s="5" t="s">
        <v>362</v>
      </c>
      <c r="E20909" s="5" t="str">
        <f t="shared" si="1053"/>
        <v>SISTEMAS-GLOBALTRONIK SAS-SERGIO PATIÑO</v>
      </c>
      <c r="F20909" s="5"/>
      <c r="G20909" s="5"/>
    </row>
    <row r="20910" spans="1:7" ht="58.5" customHeight="1" x14ac:dyDescent="0.25">
      <c r="A20910" s="5" t="str">
        <f>"H0030605"</f>
        <v>H0030605</v>
      </c>
      <c r="B20910" s="5" t="str">
        <f t="shared" si="1054"/>
        <v>LICENCIA DE ANTIVIRUS ESET ENDPOINT POR TRES (3) AÑOS - RENOVACIÓN</v>
      </c>
      <c r="C20910" s="6">
        <v>50000</v>
      </c>
      <c r="D20910" s="5" t="s">
        <v>362</v>
      </c>
      <c r="E20910" s="5" t="str">
        <f t="shared" si="1053"/>
        <v>SISTEMAS-GLOBALTRONIK SAS-SERGIO PATIÑO</v>
      </c>
      <c r="F20910" s="5"/>
      <c r="G20910" s="5"/>
    </row>
    <row r="20911" spans="1:7" ht="58.5" customHeight="1" x14ac:dyDescent="0.25">
      <c r="A20911" s="5" t="str">
        <f>"H0030606"</f>
        <v>H0030606</v>
      </c>
      <c r="B20911" s="5" t="str">
        <f t="shared" si="1054"/>
        <v>LICENCIA DE ANTIVIRUS ESET ENDPOINT POR TRES (3) AÑOS - RENOVACIÓN</v>
      </c>
      <c r="C20911" s="6">
        <v>50000</v>
      </c>
      <c r="D20911" s="5" t="s">
        <v>362</v>
      </c>
      <c r="E20911" s="5" t="str">
        <f t="shared" si="1053"/>
        <v>SISTEMAS-GLOBALTRONIK SAS-SERGIO PATIÑO</v>
      </c>
      <c r="F20911" s="5"/>
      <c r="G20911" s="5"/>
    </row>
    <row r="20912" spans="1:7" ht="58.5" customHeight="1" x14ac:dyDescent="0.25">
      <c r="A20912" s="5" t="str">
        <f>"H0030607"</f>
        <v>H0030607</v>
      </c>
      <c r="B20912" s="5" t="str">
        <f t="shared" si="1054"/>
        <v>LICENCIA DE ANTIVIRUS ESET ENDPOINT POR TRES (3) AÑOS - RENOVACIÓN</v>
      </c>
      <c r="C20912" s="6">
        <v>50000</v>
      </c>
      <c r="D20912" s="5" t="s">
        <v>362</v>
      </c>
      <c r="E20912" s="5" t="str">
        <f t="shared" si="1053"/>
        <v>SISTEMAS-GLOBALTRONIK SAS-SERGIO PATIÑO</v>
      </c>
      <c r="F20912" s="5"/>
      <c r="G20912" s="5"/>
    </row>
    <row r="20913" spans="1:7" ht="58.5" customHeight="1" x14ac:dyDescent="0.25">
      <c r="A20913" s="5" t="str">
        <f>"H0030608"</f>
        <v>H0030608</v>
      </c>
      <c r="B20913" s="5" t="str">
        <f t="shared" si="1054"/>
        <v>LICENCIA DE ANTIVIRUS ESET ENDPOINT POR TRES (3) AÑOS - RENOVACIÓN</v>
      </c>
      <c r="C20913" s="6">
        <v>50000</v>
      </c>
      <c r="D20913" s="5" t="s">
        <v>362</v>
      </c>
      <c r="E20913" s="5" t="str">
        <f t="shared" si="1053"/>
        <v>SISTEMAS-GLOBALTRONIK SAS-SERGIO PATIÑO</v>
      </c>
      <c r="F20913" s="5"/>
      <c r="G20913" s="5"/>
    </row>
    <row r="20914" spans="1:7" ht="58.5" customHeight="1" x14ac:dyDescent="0.25">
      <c r="A20914" s="5" t="str">
        <f>"H0030609"</f>
        <v>H0030609</v>
      </c>
      <c r="B20914" s="5" t="str">
        <f t="shared" si="1054"/>
        <v>LICENCIA DE ANTIVIRUS ESET ENDPOINT POR TRES (3) AÑOS - RENOVACIÓN</v>
      </c>
      <c r="C20914" s="6">
        <v>50000</v>
      </c>
      <c r="D20914" s="5" t="s">
        <v>362</v>
      </c>
      <c r="E20914" s="5" t="str">
        <f t="shared" si="1053"/>
        <v>SISTEMAS-GLOBALTRONIK SAS-SERGIO PATIÑO</v>
      </c>
      <c r="F20914" s="5"/>
      <c r="G20914" s="5"/>
    </row>
    <row r="20915" spans="1:7" ht="58.5" customHeight="1" x14ac:dyDescent="0.25">
      <c r="A20915" s="5" t="str">
        <f>"H0030610"</f>
        <v>H0030610</v>
      </c>
      <c r="B20915" s="5" t="str">
        <f t="shared" si="1054"/>
        <v>LICENCIA DE ANTIVIRUS ESET ENDPOINT POR TRES (3) AÑOS - RENOVACIÓN</v>
      </c>
      <c r="C20915" s="6">
        <v>50000</v>
      </c>
      <c r="D20915" s="5" t="s">
        <v>882</v>
      </c>
      <c r="E20915" s="5" t="str">
        <f t="shared" si="1053"/>
        <v>SISTEMAS-GLOBALTRONIK SAS-SERGIO PATIÑO</v>
      </c>
      <c r="F20915" s="5"/>
      <c r="G20915" s="5"/>
    </row>
    <row r="20916" spans="1:7" ht="58.5" customHeight="1" x14ac:dyDescent="0.25">
      <c r="A20916" s="5" t="str">
        <f>"H0030611"</f>
        <v>H0030611</v>
      </c>
      <c r="B20916" s="5" t="str">
        <f t="shared" si="1054"/>
        <v>LICENCIA DE ANTIVIRUS ESET ENDPOINT POR TRES (3) AÑOS - RENOVACIÓN</v>
      </c>
      <c r="C20916" s="6">
        <v>50000</v>
      </c>
      <c r="D20916" s="5" t="s">
        <v>362</v>
      </c>
      <c r="E20916" s="5" t="str">
        <f t="shared" si="1053"/>
        <v>SISTEMAS-GLOBALTRONIK SAS-SERGIO PATIÑO</v>
      </c>
      <c r="F20916" s="5"/>
      <c r="G20916" s="5"/>
    </row>
    <row r="20917" spans="1:7" ht="58.5" customHeight="1" x14ac:dyDescent="0.25">
      <c r="A20917" s="5" t="str">
        <f>"H0030612"</f>
        <v>H0030612</v>
      </c>
      <c r="B20917" s="5" t="str">
        <f t="shared" si="1054"/>
        <v>LICENCIA DE ANTIVIRUS ESET ENDPOINT POR TRES (3) AÑOS - RENOVACIÓN</v>
      </c>
      <c r="C20917" s="6">
        <v>50000</v>
      </c>
      <c r="D20917" s="5" t="s">
        <v>362</v>
      </c>
      <c r="E20917" s="5" t="str">
        <f t="shared" si="1053"/>
        <v>SISTEMAS-GLOBALTRONIK SAS-SERGIO PATIÑO</v>
      </c>
      <c r="F20917" s="5"/>
      <c r="G20917" s="5"/>
    </row>
    <row r="20918" spans="1:7" ht="58.5" customHeight="1" x14ac:dyDescent="0.25">
      <c r="A20918" s="5" t="str">
        <f>"H0030613"</f>
        <v>H0030613</v>
      </c>
      <c r="B20918" s="5" t="str">
        <f t="shared" si="1054"/>
        <v>LICENCIA DE ANTIVIRUS ESET ENDPOINT POR TRES (3) AÑOS - RENOVACIÓN</v>
      </c>
      <c r="C20918" s="6">
        <v>50000</v>
      </c>
      <c r="D20918" s="5" t="s">
        <v>362</v>
      </c>
      <c r="E20918" s="5" t="str">
        <f t="shared" si="1053"/>
        <v>SISTEMAS-GLOBALTRONIK SAS-SERGIO PATIÑO</v>
      </c>
      <c r="F20918" s="5"/>
      <c r="G20918" s="5"/>
    </row>
    <row r="20919" spans="1:7" ht="58.5" customHeight="1" x14ac:dyDescent="0.25">
      <c r="A20919" s="5" t="str">
        <f>"H0030614"</f>
        <v>H0030614</v>
      </c>
      <c r="B20919" s="5" t="str">
        <f t="shared" si="1054"/>
        <v>LICENCIA DE ANTIVIRUS ESET ENDPOINT POR TRES (3) AÑOS - RENOVACIÓN</v>
      </c>
      <c r="C20919" s="6">
        <v>50000</v>
      </c>
      <c r="D20919" s="5" t="s">
        <v>362</v>
      </c>
      <c r="E20919" s="5" t="str">
        <f t="shared" si="1053"/>
        <v>SISTEMAS-GLOBALTRONIK SAS-SERGIO PATIÑO</v>
      </c>
      <c r="F20919" s="5"/>
      <c r="G20919" s="5"/>
    </row>
    <row r="20920" spans="1:7" ht="58.5" customHeight="1" x14ac:dyDescent="0.25">
      <c r="A20920" s="5" t="str">
        <f>"H0030615"</f>
        <v>H0030615</v>
      </c>
      <c r="B20920" s="5" t="str">
        <f t="shared" si="1054"/>
        <v>LICENCIA DE ANTIVIRUS ESET ENDPOINT POR TRES (3) AÑOS - RENOVACIÓN</v>
      </c>
      <c r="C20920" s="6">
        <v>50000</v>
      </c>
      <c r="D20920" s="5" t="s">
        <v>362</v>
      </c>
      <c r="E20920" s="5" t="str">
        <f t="shared" si="1053"/>
        <v>SISTEMAS-GLOBALTRONIK SAS-SERGIO PATIÑO</v>
      </c>
      <c r="F20920" s="5"/>
      <c r="G20920" s="5"/>
    </row>
    <row r="20921" spans="1:7" ht="58.5" customHeight="1" x14ac:dyDescent="0.25">
      <c r="A20921" s="5" t="str">
        <f>"H0030616"</f>
        <v>H0030616</v>
      </c>
      <c r="B20921" s="5" t="str">
        <f t="shared" si="1054"/>
        <v>LICENCIA DE ANTIVIRUS ESET ENDPOINT POR TRES (3) AÑOS - RENOVACIÓN</v>
      </c>
      <c r="C20921" s="6">
        <v>50000</v>
      </c>
      <c r="D20921" s="5" t="s">
        <v>362</v>
      </c>
      <c r="E20921" s="5" t="str">
        <f t="shared" si="1053"/>
        <v>SISTEMAS-GLOBALTRONIK SAS-SERGIO PATIÑO</v>
      </c>
      <c r="F20921" s="5"/>
      <c r="G20921" s="5"/>
    </row>
    <row r="20922" spans="1:7" ht="58.5" customHeight="1" x14ac:dyDescent="0.25">
      <c r="A20922" s="5" t="str">
        <f>"H0030617"</f>
        <v>H0030617</v>
      </c>
      <c r="B20922" s="5" t="str">
        <f t="shared" si="1054"/>
        <v>LICENCIA DE ANTIVIRUS ESET ENDPOINT POR TRES (3) AÑOS - RENOVACIÓN</v>
      </c>
      <c r="C20922" s="6">
        <v>50000</v>
      </c>
      <c r="D20922" s="5" t="s">
        <v>362</v>
      </c>
      <c r="E20922" s="5" t="str">
        <f t="shared" si="1053"/>
        <v>SISTEMAS-GLOBALTRONIK SAS-SERGIO PATIÑO</v>
      </c>
      <c r="F20922" s="5"/>
      <c r="G20922" s="5"/>
    </row>
    <row r="20923" spans="1:7" ht="58.5" customHeight="1" x14ac:dyDescent="0.25">
      <c r="A20923" s="5" t="str">
        <f>"H0030618"</f>
        <v>H0030618</v>
      </c>
      <c r="B20923" s="5" t="str">
        <f t="shared" si="1054"/>
        <v>LICENCIA DE ANTIVIRUS ESET ENDPOINT POR TRES (3) AÑOS - RENOVACIÓN</v>
      </c>
      <c r="C20923" s="6">
        <v>50000</v>
      </c>
      <c r="D20923" s="5" t="s">
        <v>362</v>
      </c>
      <c r="E20923" s="5" t="str">
        <f t="shared" si="1053"/>
        <v>SISTEMAS-GLOBALTRONIK SAS-SERGIO PATIÑO</v>
      </c>
      <c r="F20923" s="5"/>
      <c r="G20923" s="5"/>
    </row>
    <row r="20924" spans="1:7" ht="58.5" customHeight="1" x14ac:dyDescent="0.25">
      <c r="A20924" s="5" t="str">
        <f>"H0030619"</f>
        <v>H0030619</v>
      </c>
      <c r="B20924" s="5" t="str">
        <f t="shared" si="1054"/>
        <v>LICENCIA DE ANTIVIRUS ESET ENDPOINT POR TRES (3) AÑOS - RENOVACIÓN</v>
      </c>
      <c r="C20924" s="6">
        <v>50000</v>
      </c>
      <c r="D20924" s="5" t="s">
        <v>362</v>
      </c>
      <c r="E20924" s="5" t="str">
        <f t="shared" si="1053"/>
        <v>SISTEMAS-GLOBALTRONIK SAS-SERGIO PATIÑO</v>
      </c>
      <c r="F20924" s="5"/>
      <c r="G20924" s="5"/>
    </row>
    <row r="20925" spans="1:7" ht="58.5" customHeight="1" x14ac:dyDescent="0.25">
      <c r="A20925" s="5" t="str">
        <f>"H0030620"</f>
        <v>H0030620</v>
      </c>
      <c r="B20925" s="5" t="str">
        <f t="shared" si="1054"/>
        <v>LICENCIA DE ANTIVIRUS ESET ENDPOINT POR TRES (3) AÑOS - RENOVACIÓN</v>
      </c>
      <c r="C20925" s="6">
        <v>50000</v>
      </c>
      <c r="D20925" s="5" t="s">
        <v>362</v>
      </c>
      <c r="E20925" s="5" t="str">
        <f t="shared" ref="E20925:E20988" si="1055">"SISTEMAS-GLOBALTRONIK SAS-SERGIO PATIÑO"</f>
        <v>SISTEMAS-GLOBALTRONIK SAS-SERGIO PATIÑO</v>
      </c>
      <c r="F20925" s="5"/>
      <c r="G20925" s="5"/>
    </row>
    <row r="20926" spans="1:7" ht="58.5" customHeight="1" x14ac:dyDescent="0.25">
      <c r="A20926" s="5" t="str">
        <f>"H0030621"</f>
        <v>H0030621</v>
      </c>
      <c r="B20926" s="5" t="str">
        <f t="shared" si="1054"/>
        <v>LICENCIA DE ANTIVIRUS ESET ENDPOINT POR TRES (3) AÑOS - RENOVACIÓN</v>
      </c>
      <c r="C20926" s="6">
        <v>50000</v>
      </c>
      <c r="D20926" s="5" t="s">
        <v>362</v>
      </c>
      <c r="E20926" s="5" t="str">
        <f t="shared" si="1055"/>
        <v>SISTEMAS-GLOBALTRONIK SAS-SERGIO PATIÑO</v>
      </c>
      <c r="F20926" s="5"/>
      <c r="G20926" s="5"/>
    </row>
    <row r="20927" spans="1:7" ht="58.5" customHeight="1" x14ac:dyDescent="0.25">
      <c r="A20927" s="5" t="str">
        <f>"H0030622"</f>
        <v>H0030622</v>
      </c>
      <c r="B20927" s="5" t="str">
        <f t="shared" si="1054"/>
        <v>LICENCIA DE ANTIVIRUS ESET ENDPOINT POR TRES (3) AÑOS - RENOVACIÓN</v>
      </c>
      <c r="C20927" s="6">
        <v>50000</v>
      </c>
      <c r="D20927" s="5" t="s">
        <v>362</v>
      </c>
      <c r="E20927" s="5" t="str">
        <f t="shared" si="1055"/>
        <v>SISTEMAS-GLOBALTRONIK SAS-SERGIO PATIÑO</v>
      </c>
      <c r="F20927" s="5"/>
      <c r="G20927" s="5"/>
    </row>
    <row r="20928" spans="1:7" ht="58.5" customHeight="1" x14ac:dyDescent="0.25">
      <c r="A20928" s="5" t="str">
        <f>"H0030623"</f>
        <v>H0030623</v>
      </c>
      <c r="B20928" s="5" t="str">
        <f t="shared" si="1054"/>
        <v>LICENCIA DE ANTIVIRUS ESET ENDPOINT POR TRES (3) AÑOS - RENOVACIÓN</v>
      </c>
      <c r="C20928" s="6">
        <v>50000</v>
      </c>
      <c r="D20928" s="5" t="s">
        <v>100</v>
      </c>
      <c r="E20928" s="5" t="str">
        <f t="shared" si="1055"/>
        <v>SISTEMAS-GLOBALTRONIK SAS-SERGIO PATIÑO</v>
      </c>
      <c r="F20928" s="5"/>
      <c r="G20928" s="5"/>
    </row>
    <row r="20929" spans="1:7" ht="58.5" customHeight="1" x14ac:dyDescent="0.25">
      <c r="A20929" s="5" t="str">
        <f>"H0030624"</f>
        <v>H0030624</v>
      </c>
      <c r="B20929" s="5" t="str">
        <f t="shared" si="1054"/>
        <v>LICENCIA DE ANTIVIRUS ESET ENDPOINT POR TRES (3) AÑOS - RENOVACIÓN</v>
      </c>
      <c r="C20929" s="6">
        <v>50000</v>
      </c>
      <c r="D20929" s="5" t="s">
        <v>362</v>
      </c>
      <c r="E20929" s="5" t="str">
        <f t="shared" si="1055"/>
        <v>SISTEMAS-GLOBALTRONIK SAS-SERGIO PATIÑO</v>
      </c>
      <c r="F20929" s="5"/>
      <c r="G20929" s="5"/>
    </row>
    <row r="20930" spans="1:7" ht="58.5" customHeight="1" x14ac:dyDescent="0.25">
      <c r="A20930" s="5" t="str">
        <f>"H0030625"</f>
        <v>H0030625</v>
      </c>
      <c r="B20930" s="5" t="str">
        <f t="shared" si="1054"/>
        <v>LICENCIA DE ANTIVIRUS ESET ENDPOINT POR TRES (3) AÑOS - RENOVACIÓN</v>
      </c>
      <c r="C20930" s="6">
        <v>50000</v>
      </c>
      <c r="D20930" s="5" t="s">
        <v>362</v>
      </c>
      <c r="E20930" s="5" t="str">
        <f t="shared" si="1055"/>
        <v>SISTEMAS-GLOBALTRONIK SAS-SERGIO PATIÑO</v>
      </c>
      <c r="F20930" s="5"/>
      <c r="G20930" s="5"/>
    </row>
    <row r="20931" spans="1:7" ht="58.5" customHeight="1" x14ac:dyDescent="0.25">
      <c r="A20931" s="5" t="str">
        <f>"H0030626"</f>
        <v>H0030626</v>
      </c>
      <c r="B20931" s="5" t="str">
        <f t="shared" si="1054"/>
        <v>LICENCIA DE ANTIVIRUS ESET ENDPOINT POR TRES (3) AÑOS - RENOVACIÓN</v>
      </c>
      <c r="C20931" s="6">
        <v>50000</v>
      </c>
      <c r="D20931" s="5" t="s">
        <v>362</v>
      </c>
      <c r="E20931" s="5" t="str">
        <f t="shared" si="1055"/>
        <v>SISTEMAS-GLOBALTRONIK SAS-SERGIO PATIÑO</v>
      </c>
      <c r="F20931" s="5"/>
      <c r="G20931" s="5"/>
    </row>
    <row r="20932" spans="1:7" ht="58.5" customHeight="1" x14ac:dyDescent="0.25">
      <c r="A20932" s="5" t="str">
        <f>"H0030627"</f>
        <v>H0030627</v>
      </c>
      <c r="B20932" s="5" t="str">
        <f t="shared" si="1054"/>
        <v>LICENCIA DE ANTIVIRUS ESET ENDPOINT POR TRES (3) AÑOS - RENOVACIÓN</v>
      </c>
      <c r="C20932" s="6">
        <v>50000</v>
      </c>
      <c r="D20932" s="5" t="s">
        <v>362</v>
      </c>
      <c r="E20932" s="5" t="str">
        <f t="shared" si="1055"/>
        <v>SISTEMAS-GLOBALTRONIK SAS-SERGIO PATIÑO</v>
      </c>
      <c r="F20932" s="5"/>
      <c r="G20932" s="5"/>
    </row>
    <row r="20933" spans="1:7" ht="58.5" customHeight="1" x14ac:dyDescent="0.25">
      <c r="A20933" s="5" t="str">
        <f>"H0030628"</f>
        <v>H0030628</v>
      </c>
      <c r="B20933" s="5" t="str">
        <f t="shared" si="1054"/>
        <v>LICENCIA DE ANTIVIRUS ESET ENDPOINT POR TRES (3) AÑOS - RENOVACIÓN</v>
      </c>
      <c r="C20933" s="6">
        <v>50000</v>
      </c>
      <c r="D20933" s="5" t="s">
        <v>362</v>
      </c>
      <c r="E20933" s="5" t="str">
        <f t="shared" si="1055"/>
        <v>SISTEMAS-GLOBALTRONIK SAS-SERGIO PATIÑO</v>
      </c>
      <c r="F20933" s="5"/>
      <c r="G20933" s="5"/>
    </row>
    <row r="20934" spans="1:7" ht="58.5" customHeight="1" x14ac:dyDescent="0.25">
      <c r="A20934" s="5" t="str">
        <f>"H0030629"</f>
        <v>H0030629</v>
      </c>
      <c r="B20934" s="5" t="str">
        <f t="shared" si="1054"/>
        <v>LICENCIA DE ANTIVIRUS ESET ENDPOINT POR TRES (3) AÑOS - RENOVACIÓN</v>
      </c>
      <c r="C20934" s="6">
        <v>50000</v>
      </c>
      <c r="D20934" s="5" t="s">
        <v>362</v>
      </c>
      <c r="E20934" s="5" t="str">
        <f t="shared" si="1055"/>
        <v>SISTEMAS-GLOBALTRONIK SAS-SERGIO PATIÑO</v>
      </c>
      <c r="F20934" s="5"/>
      <c r="G20934" s="5"/>
    </row>
    <row r="20935" spans="1:7" ht="58.5" customHeight="1" x14ac:dyDescent="0.25">
      <c r="A20935" s="5" t="str">
        <f>"H0030630"</f>
        <v>H0030630</v>
      </c>
      <c r="B20935" s="5" t="str">
        <f t="shared" si="1054"/>
        <v>LICENCIA DE ANTIVIRUS ESET ENDPOINT POR TRES (3) AÑOS - RENOVACIÓN</v>
      </c>
      <c r="C20935" s="6">
        <v>50000</v>
      </c>
      <c r="D20935" s="5" t="s">
        <v>362</v>
      </c>
      <c r="E20935" s="5" t="str">
        <f t="shared" si="1055"/>
        <v>SISTEMAS-GLOBALTRONIK SAS-SERGIO PATIÑO</v>
      </c>
      <c r="F20935" s="5"/>
      <c r="G20935" s="5"/>
    </row>
    <row r="20936" spans="1:7" ht="58.5" customHeight="1" x14ac:dyDescent="0.25">
      <c r="A20936" s="5" t="str">
        <f>"H0030631"</f>
        <v>H0030631</v>
      </c>
      <c r="B20936" s="5" t="str">
        <f t="shared" si="1054"/>
        <v>LICENCIA DE ANTIVIRUS ESET ENDPOINT POR TRES (3) AÑOS - RENOVACIÓN</v>
      </c>
      <c r="C20936" s="6">
        <v>50000</v>
      </c>
      <c r="D20936" s="5" t="s">
        <v>362</v>
      </c>
      <c r="E20936" s="5" t="str">
        <f t="shared" si="1055"/>
        <v>SISTEMAS-GLOBALTRONIK SAS-SERGIO PATIÑO</v>
      </c>
      <c r="F20936" s="5"/>
      <c r="G20936" s="5"/>
    </row>
    <row r="20937" spans="1:7" ht="58.5" customHeight="1" x14ac:dyDescent="0.25">
      <c r="A20937" s="5" t="str">
        <f>"H0030632"</f>
        <v>H0030632</v>
      </c>
      <c r="B20937" s="5" t="str">
        <f t="shared" si="1054"/>
        <v>LICENCIA DE ANTIVIRUS ESET ENDPOINT POR TRES (3) AÑOS - RENOVACIÓN</v>
      </c>
      <c r="C20937" s="6">
        <v>50000</v>
      </c>
      <c r="D20937" s="5" t="s">
        <v>362</v>
      </c>
      <c r="E20937" s="5" t="str">
        <f t="shared" si="1055"/>
        <v>SISTEMAS-GLOBALTRONIK SAS-SERGIO PATIÑO</v>
      </c>
      <c r="F20937" s="5"/>
      <c r="G20937" s="5"/>
    </row>
    <row r="20938" spans="1:7" ht="58.5" customHeight="1" x14ac:dyDescent="0.25">
      <c r="A20938" s="5" t="str">
        <f>"H0030633"</f>
        <v>H0030633</v>
      </c>
      <c r="B20938" s="5" t="str">
        <f t="shared" si="1054"/>
        <v>LICENCIA DE ANTIVIRUS ESET ENDPOINT POR TRES (3) AÑOS - RENOVACIÓN</v>
      </c>
      <c r="C20938" s="6">
        <v>50000</v>
      </c>
      <c r="D20938" s="5" t="s">
        <v>362</v>
      </c>
      <c r="E20938" s="5" t="str">
        <f t="shared" si="1055"/>
        <v>SISTEMAS-GLOBALTRONIK SAS-SERGIO PATIÑO</v>
      </c>
      <c r="F20938" s="5"/>
      <c r="G20938" s="5"/>
    </row>
    <row r="20939" spans="1:7" ht="58.5" customHeight="1" x14ac:dyDescent="0.25">
      <c r="A20939" s="5" t="str">
        <f>"H0030634"</f>
        <v>H0030634</v>
      </c>
      <c r="B20939" s="5" t="str">
        <f t="shared" si="1054"/>
        <v>LICENCIA DE ANTIVIRUS ESET ENDPOINT POR TRES (3) AÑOS - RENOVACIÓN</v>
      </c>
      <c r="C20939" s="6">
        <v>50000</v>
      </c>
      <c r="D20939" s="5" t="s">
        <v>362</v>
      </c>
      <c r="E20939" s="5" t="str">
        <f t="shared" si="1055"/>
        <v>SISTEMAS-GLOBALTRONIK SAS-SERGIO PATIÑO</v>
      </c>
      <c r="F20939" s="5"/>
      <c r="G20939" s="5"/>
    </row>
    <row r="20940" spans="1:7" ht="58.5" customHeight="1" x14ac:dyDescent="0.25">
      <c r="A20940" s="5" t="str">
        <f>"H0030635"</f>
        <v>H0030635</v>
      </c>
      <c r="B20940" s="5" t="str">
        <f t="shared" si="1054"/>
        <v>LICENCIA DE ANTIVIRUS ESET ENDPOINT POR TRES (3) AÑOS - RENOVACIÓN</v>
      </c>
      <c r="C20940" s="6">
        <v>50000</v>
      </c>
      <c r="D20940" s="5" t="s">
        <v>362</v>
      </c>
      <c r="E20940" s="5" t="str">
        <f t="shared" si="1055"/>
        <v>SISTEMAS-GLOBALTRONIK SAS-SERGIO PATIÑO</v>
      </c>
      <c r="F20940" s="5"/>
      <c r="G20940" s="5"/>
    </row>
    <row r="20941" spans="1:7" ht="58.5" customHeight="1" x14ac:dyDescent="0.25">
      <c r="A20941" s="5" t="str">
        <f>"H0030636"</f>
        <v>H0030636</v>
      </c>
      <c r="B20941" s="5" t="str">
        <f t="shared" si="1054"/>
        <v>LICENCIA DE ANTIVIRUS ESET ENDPOINT POR TRES (3) AÑOS - RENOVACIÓN</v>
      </c>
      <c r="C20941" s="6">
        <v>50000</v>
      </c>
      <c r="D20941" s="5" t="s">
        <v>362</v>
      </c>
      <c r="E20941" s="5" t="str">
        <f t="shared" si="1055"/>
        <v>SISTEMAS-GLOBALTRONIK SAS-SERGIO PATIÑO</v>
      </c>
      <c r="F20941" s="5"/>
      <c r="G20941" s="5"/>
    </row>
    <row r="20942" spans="1:7" ht="58.5" customHeight="1" x14ac:dyDescent="0.25">
      <c r="A20942" s="5" t="str">
        <f>"H0030637"</f>
        <v>H0030637</v>
      </c>
      <c r="B20942" s="5" t="str">
        <f t="shared" si="1054"/>
        <v>LICENCIA DE ANTIVIRUS ESET ENDPOINT POR TRES (3) AÑOS - RENOVACIÓN</v>
      </c>
      <c r="C20942" s="6">
        <v>50000</v>
      </c>
      <c r="D20942" s="5" t="s">
        <v>362</v>
      </c>
      <c r="E20942" s="5" t="str">
        <f t="shared" si="1055"/>
        <v>SISTEMAS-GLOBALTRONIK SAS-SERGIO PATIÑO</v>
      </c>
      <c r="F20942" s="5"/>
      <c r="G20942" s="5"/>
    </row>
    <row r="20943" spans="1:7" ht="58.5" customHeight="1" x14ac:dyDescent="0.25">
      <c r="A20943" s="5" t="str">
        <f>"H0030638"</f>
        <v>H0030638</v>
      </c>
      <c r="B20943" s="5" t="str">
        <f t="shared" si="1054"/>
        <v>LICENCIA DE ANTIVIRUS ESET ENDPOINT POR TRES (3) AÑOS - RENOVACIÓN</v>
      </c>
      <c r="C20943" s="6">
        <v>50000</v>
      </c>
      <c r="D20943" s="5" t="s">
        <v>362</v>
      </c>
      <c r="E20943" s="5" t="str">
        <f t="shared" si="1055"/>
        <v>SISTEMAS-GLOBALTRONIK SAS-SERGIO PATIÑO</v>
      </c>
      <c r="F20943" s="5"/>
      <c r="G20943" s="5"/>
    </row>
    <row r="20944" spans="1:7" ht="58.5" customHeight="1" x14ac:dyDescent="0.25">
      <c r="A20944" s="5" t="str">
        <f>"H0030639"</f>
        <v>H0030639</v>
      </c>
      <c r="B20944" s="5" t="str">
        <f t="shared" si="1054"/>
        <v>LICENCIA DE ANTIVIRUS ESET ENDPOINT POR TRES (3) AÑOS - RENOVACIÓN</v>
      </c>
      <c r="C20944" s="6">
        <v>50000</v>
      </c>
      <c r="D20944" s="5" t="s">
        <v>362</v>
      </c>
      <c r="E20944" s="5" t="str">
        <f t="shared" si="1055"/>
        <v>SISTEMAS-GLOBALTRONIK SAS-SERGIO PATIÑO</v>
      </c>
      <c r="F20944" s="5"/>
      <c r="G20944" s="5"/>
    </row>
    <row r="20945" spans="1:7" ht="58.5" customHeight="1" x14ac:dyDescent="0.25">
      <c r="A20945" s="5" t="str">
        <f>"H0030640"</f>
        <v>H0030640</v>
      </c>
      <c r="B20945" s="5" t="str">
        <f t="shared" si="1054"/>
        <v>LICENCIA DE ANTIVIRUS ESET ENDPOINT POR TRES (3) AÑOS - RENOVACIÓN</v>
      </c>
      <c r="C20945" s="6">
        <v>50000</v>
      </c>
      <c r="D20945" s="5" t="s">
        <v>362</v>
      </c>
      <c r="E20945" s="5" t="str">
        <f t="shared" si="1055"/>
        <v>SISTEMAS-GLOBALTRONIK SAS-SERGIO PATIÑO</v>
      </c>
      <c r="F20945" s="5"/>
      <c r="G20945" s="5"/>
    </row>
    <row r="20946" spans="1:7" ht="58.5" customHeight="1" x14ac:dyDescent="0.25">
      <c r="A20946" s="5" t="str">
        <f>"H0030641"</f>
        <v>H0030641</v>
      </c>
      <c r="B20946" s="5" t="str">
        <f t="shared" si="1054"/>
        <v>LICENCIA DE ANTIVIRUS ESET ENDPOINT POR TRES (3) AÑOS - RENOVACIÓN</v>
      </c>
      <c r="C20946" s="6">
        <v>50000</v>
      </c>
      <c r="D20946" s="5" t="s">
        <v>362</v>
      </c>
      <c r="E20946" s="5" t="str">
        <f t="shared" si="1055"/>
        <v>SISTEMAS-GLOBALTRONIK SAS-SERGIO PATIÑO</v>
      </c>
      <c r="F20946" s="5"/>
      <c r="G20946" s="5"/>
    </row>
    <row r="20947" spans="1:7" ht="58.5" customHeight="1" x14ac:dyDescent="0.25">
      <c r="A20947" s="5" t="str">
        <f>"H0030642"</f>
        <v>H0030642</v>
      </c>
      <c r="B20947" s="5" t="str">
        <f t="shared" si="1054"/>
        <v>LICENCIA DE ANTIVIRUS ESET ENDPOINT POR TRES (3) AÑOS - RENOVACIÓN</v>
      </c>
      <c r="C20947" s="6">
        <v>50000</v>
      </c>
      <c r="D20947" s="5" t="s">
        <v>362</v>
      </c>
      <c r="E20947" s="5" t="str">
        <f t="shared" si="1055"/>
        <v>SISTEMAS-GLOBALTRONIK SAS-SERGIO PATIÑO</v>
      </c>
      <c r="F20947" s="5"/>
      <c r="G20947" s="5"/>
    </row>
    <row r="20948" spans="1:7" ht="58.5" customHeight="1" x14ac:dyDescent="0.25">
      <c r="A20948" s="5" t="str">
        <f>"H0030643"</f>
        <v>H0030643</v>
      </c>
      <c r="B20948" s="5" t="str">
        <f t="shared" si="1054"/>
        <v>LICENCIA DE ANTIVIRUS ESET ENDPOINT POR TRES (3) AÑOS - RENOVACIÓN</v>
      </c>
      <c r="C20948" s="6">
        <v>50000</v>
      </c>
      <c r="D20948" s="5" t="s">
        <v>362</v>
      </c>
      <c r="E20948" s="5" t="str">
        <f t="shared" si="1055"/>
        <v>SISTEMAS-GLOBALTRONIK SAS-SERGIO PATIÑO</v>
      </c>
      <c r="F20948" s="5"/>
      <c r="G20948" s="5"/>
    </row>
    <row r="20949" spans="1:7" ht="58.5" customHeight="1" x14ac:dyDescent="0.25">
      <c r="A20949" s="5" t="str">
        <f>"H0030644"</f>
        <v>H0030644</v>
      </c>
      <c r="B20949" s="5" t="str">
        <f t="shared" ref="B20949:B21012" si="1056">"LICENCIA DE ANTIVIRUS ESET ENDPOINT POR TRES (3) AÑOS - RENOVACIÓN"</f>
        <v>LICENCIA DE ANTIVIRUS ESET ENDPOINT POR TRES (3) AÑOS - RENOVACIÓN</v>
      </c>
      <c r="C20949" s="6">
        <v>50000</v>
      </c>
      <c r="D20949" s="5" t="s">
        <v>362</v>
      </c>
      <c r="E20949" s="5" t="str">
        <f t="shared" si="1055"/>
        <v>SISTEMAS-GLOBALTRONIK SAS-SERGIO PATIÑO</v>
      </c>
      <c r="F20949" s="5"/>
      <c r="G20949" s="5"/>
    </row>
    <row r="20950" spans="1:7" ht="58.5" customHeight="1" x14ac:dyDescent="0.25">
      <c r="A20950" s="5" t="str">
        <f>"H0030646"</f>
        <v>H0030646</v>
      </c>
      <c r="B20950" s="5" t="str">
        <f t="shared" si="1056"/>
        <v>LICENCIA DE ANTIVIRUS ESET ENDPOINT POR TRES (3) AÑOS - RENOVACIÓN</v>
      </c>
      <c r="C20950" s="6">
        <v>50000</v>
      </c>
      <c r="D20950" s="5" t="s">
        <v>362</v>
      </c>
      <c r="E20950" s="5" t="str">
        <f t="shared" si="1055"/>
        <v>SISTEMAS-GLOBALTRONIK SAS-SERGIO PATIÑO</v>
      </c>
      <c r="F20950" s="5"/>
      <c r="G20950" s="5"/>
    </row>
    <row r="20951" spans="1:7" ht="58.5" customHeight="1" x14ac:dyDescent="0.25">
      <c r="A20951" s="5" t="str">
        <f>"H0030647"</f>
        <v>H0030647</v>
      </c>
      <c r="B20951" s="5" t="str">
        <f t="shared" si="1056"/>
        <v>LICENCIA DE ANTIVIRUS ESET ENDPOINT POR TRES (3) AÑOS - RENOVACIÓN</v>
      </c>
      <c r="C20951" s="6">
        <v>50000</v>
      </c>
      <c r="D20951" s="5" t="s">
        <v>362</v>
      </c>
      <c r="E20951" s="5" t="str">
        <f t="shared" si="1055"/>
        <v>SISTEMAS-GLOBALTRONIK SAS-SERGIO PATIÑO</v>
      </c>
      <c r="F20951" s="5"/>
      <c r="G20951" s="5"/>
    </row>
    <row r="20952" spans="1:7" ht="58.5" customHeight="1" x14ac:dyDescent="0.25">
      <c r="A20952" s="5" t="str">
        <f>"H0030648"</f>
        <v>H0030648</v>
      </c>
      <c r="B20952" s="5" t="str">
        <f t="shared" si="1056"/>
        <v>LICENCIA DE ANTIVIRUS ESET ENDPOINT POR TRES (3) AÑOS - RENOVACIÓN</v>
      </c>
      <c r="C20952" s="6">
        <v>50000</v>
      </c>
      <c r="D20952" s="5" t="s">
        <v>362</v>
      </c>
      <c r="E20952" s="5" t="str">
        <f t="shared" si="1055"/>
        <v>SISTEMAS-GLOBALTRONIK SAS-SERGIO PATIÑO</v>
      </c>
      <c r="F20952" s="5"/>
      <c r="G20952" s="5"/>
    </row>
    <row r="20953" spans="1:7" ht="58.5" customHeight="1" x14ac:dyDescent="0.25">
      <c r="A20953" s="5" t="str">
        <f>"H0030649"</f>
        <v>H0030649</v>
      </c>
      <c r="B20953" s="5" t="str">
        <f t="shared" si="1056"/>
        <v>LICENCIA DE ANTIVIRUS ESET ENDPOINT POR TRES (3) AÑOS - RENOVACIÓN</v>
      </c>
      <c r="C20953" s="6">
        <v>50000</v>
      </c>
      <c r="D20953" s="5" t="s">
        <v>362</v>
      </c>
      <c r="E20953" s="5" t="str">
        <f t="shared" si="1055"/>
        <v>SISTEMAS-GLOBALTRONIK SAS-SERGIO PATIÑO</v>
      </c>
      <c r="F20953" s="5"/>
      <c r="G20953" s="5"/>
    </row>
    <row r="20954" spans="1:7" ht="58.5" customHeight="1" x14ac:dyDescent="0.25">
      <c r="A20954" s="5" t="str">
        <f>"H0030650"</f>
        <v>H0030650</v>
      </c>
      <c r="B20954" s="5" t="str">
        <f t="shared" si="1056"/>
        <v>LICENCIA DE ANTIVIRUS ESET ENDPOINT POR TRES (3) AÑOS - RENOVACIÓN</v>
      </c>
      <c r="C20954" s="6">
        <v>50000</v>
      </c>
      <c r="D20954" s="5" t="s">
        <v>362</v>
      </c>
      <c r="E20954" s="5" t="str">
        <f t="shared" si="1055"/>
        <v>SISTEMAS-GLOBALTRONIK SAS-SERGIO PATIÑO</v>
      </c>
      <c r="F20954" s="5"/>
      <c r="G20954" s="5"/>
    </row>
    <row r="20955" spans="1:7" ht="58.5" customHeight="1" x14ac:dyDescent="0.25">
      <c r="A20955" s="5" t="str">
        <f>"H0030651"</f>
        <v>H0030651</v>
      </c>
      <c r="B20955" s="5" t="str">
        <f t="shared" si="1056"/>
        <v>LICENCIA DE ANTIVIRUS ESET ENDPOINT POR TRES (3) AÑOS - RENOVACIÓN</v>
      </c>
      <c r="C20955" s="6">
        <v>50000</v>
      </c>
      <c r="D20955" s="5" t="s">
        <v>362</v>
      </c>
      <c r="E20955" s="5" t="str">
        <f t="shared" si="1055"/>
        <v>SISTEMAS-GLOBALTRONIK SAS-SERGIO PATIÑO</v>
      </c>
      <c r="F20955" s="5"/>
      <c r="G20955" s="5"/>
    </row>
    <row r="20956" spans="1:7" ht="58.5" customHeight="1" x14ac:dyDescent="0.25">
      <c r="A20956" s="5" t="str">
        <f>"H0030652"</f>
        <v>H0030652</v>
      </c>
      <c r="B20956" s="5" t="str">
        <f t="shared" si="1056"/>
        <v>LICENCIA DE ANTIVIRUS ESET ENDPOINT POR TRES (3) AÑOS - RENOVACIÓN</v>
      </c>
      <c r="C20956" s="6">
        <v>50000</v>
      </c>
      <c r="D20956" s="5" t="s">
        <v>362</v>
      </c>
      <c r="E20956" s="5" t="str">
        <f t="shared" si="1055"/>
        <v>SISTEMAS-GLOBALTRONIK SAS-SERGIO PATIÑO</v>
      </c>
      <c r="F20956" s="5"/>
      <c r="G20956" s="5"/>
    </row>
    <row r="20957" spans="1:7" ht="58.5" customHeight="1" x14ac:dyDescent="0.25">
      <c r="A20957" s="5" t="str">
        <f>"H0030653"</f>
        <v>H0030653</v>
      </c>
      <c r="B20957" s="5" t="str">
        <f t="shared" si="1056"/>
        <v>LICENCIA DE ANTIVIRUS ESET ENDPOINT POR TRES (3) AÑOS - RENOVACIÓN</v>
      </c>
      <c r="C20957" s="6">
        <v>50000</v>
      </c>
      <c r="D20957" s="5" t="s">
        <v>362</v>
      </c>
      <c r="E20957" s="5" t="str">
        <f t="shared" si="1055"/>
        <v>SISTEMAS-GLOBALTRONIK SAS-SERGIO PATIÑO</v>
      </c>
      <c r="F20957" s="5"/>
      <c r="G20957" s="5"/>
    </row>
    <row r="20958" spans="1:7" ht="58.5" customHeight="1" x14ac:dyDescent="0.25">
      <c r="A20958" s="5" t="str">
        <f>"H0030654"</f>
        <v>H0030654</v>
      </c>
      <c r="B20958" s="5" t="str">
        <f t="shared" si="1056"/>
        <v>LICENCIA DE ANTIVIRUS ESET ENDPOINT POR TRES (3) AÑOS - RENOVACIÓN</v>
      </c>
      <c r="C20958" s="6">
        <v>50000</v>
      </c>
      <c r="D20958" s="5" t="s">
        <v>362</v>
      </c>
      <c r="E20958" s="5" t="str">
        <f t="shared" si="1055"/>
        <v>SISTEMAS-GLOBALTRONIK SAS-SERGIO PATIÑO</v>
      </c>
      <c r="F20958" s="5"/>
      <c r="G20958" s="5"/>
    </row>
    <row r="20959" spans="1:7" ht="58.5" customHeight="1" x14ac:dyDescent="0.25">
      <c r="A20959" s="5" t="str">
        <f>"H0030655"</f>
        <v>H0030655</v>
      </c>
      <c r="B20959" s="5" t="str">
        <f t="shared" si="1056"/>
        <v>LICENCIA DE ANTIVIRUS ESET ENDPOINT POR TRES (3) AÑOS - RENOVACIÓN</v>
      </c>
      <c r="C20959" s="6">
        <v>50000</v>
      </c>
      <c r="D20959" s="5" t="s">
        <v>362</v>
      </c>
      <c r="E20959" s="5" t="str">
        <f t="shared" si="1055"/>
        <v>SISTEMAS-GLOBALTRONIK SAS-SERGIO PATIÑO</v>
      </c>
      <c r="F20959" s="5"/>
      <c r="G20959" s="5"/>
    </row>
    <row r="20960" spans="1:7" ht="58.5" customHeight="1" x14ac:dyDescent="0.25">
      <c r="A20960" s="5" t="str">
        <f>"H0030656"</f>
        <v>H0030656</v>
      </c>
      <c r="B20960" s="5" t="str">
        <f t="shared" si="1056"/>
        <v>LICENCIA DE ANTIVIRUS ESET ENDPOINT POR TRES (3) AÑOS - RENOVACIÓN</v>
      </c>
      <c r="C20960" s="6">
        <v>50000</v>
      </c>
      <c r="D20960" s="5" t="s">
        <v>362</v>
      </c>
      <c r="E20960" s="5" t="str">
        <f t="shared" si="1055"/>
        <v>SISTEMAS-GLOBALTRONIK SAS-SERGIO PATIÑO</v>
      </c>
      <c r="F20960" s="5"/>
      <c r="G20960" s="5"/>
    </row>
    <row r="20961" spans="1:7" ht="58.5" customHeight="1" x14ac:dyDescent="0.25">
      <c r="A20961" s="5" t="str">
        <f>"H0030657"</f>
        <v>H0030657</v>
      </c>
      <c r="B20961" s="5" t="str">
        <f t="shared" si="1056"/>
        <v>LICENCIA DE ANTIVIRUS ESET ENDPOINT POR TRES (3) AÑOS - RENOVACIÓN</v>
      </c>
      <c r="C20961" s="6">
        <v>50000</v>
      </c>
      <c r="D20961" s="5" t="s">
        <v>362</v>
      </c>
      <c r="E20961" s="5" t="str">
        <f t="shared" si="1055"/>
        <v>SISTEMAS-GLOBALTRONIK SAS-SERGIO PATIÑO</v>
      </c>
      <c r="F20961" s="5"/>
      <c r="G20961" s="5"/>
    </row>
    <row r="20962" spans="1:7" ht="58.5" customHeight="1" x14ac:dyDescent="0.25">
      <c r="A20962" s="5" t="str">
        <f>"H0030658"</f>
        <v>H0030658</v>
      </c>
      <c r="B20962" s="5" t="str">
        <f t="shared" si="1056"/>
        <v>LICENCIA DE ANTIVIRUS ESET ENDPOINT POR TRES (3) AÑOS - RENOVACIÓN</v>
      </c>
      <c r="C20962" s="6">
        <v>50000</v>
      </c>
      <c r="D20962" s="5" t="s">
        <v>362</v>
      </c>
      <c r="E20962" s="5" t="str">
        <f t="shared" si="1055"/>
        <v>SISTEMAS-GLOBALTRONIK SAS-SERGIO PATIÑO</v>
      </c>
      <c r="F20962" s="5"/>
      <c r="G20962" s="5"/>
    </row>
    <row r="20963" spans="1:7" ht="58.5" customHeight="1" x14ac:dyDescent="0.25">
      <c r="A20963" s="5" t="str">
        <f>"H0030659"</f>
        <v>H0030659</v>
      </c>
      <c r="B20963" s="5" t="str">
        <f t="shared" si="1056"/>
        <v>LICENCIA DE ANTIVIRUS ESET ENDPOINT POR TRES (3) AÑOS - RENOVACIÓN</v>
      </c>
      <c r="C20963" s="6">
        <v>50000</v>
      </c>
      <c r="D20963" s="5" t="s">
        <v>362</v>
      </c>
      <c r="E20963" s="5" t="str">
        <f t="shared" si="1055"/>
        <v>SISTEMAS-GLOBALTRONIK SAS-SERGIO PATIÑO</v>
      </c>
      <c r="F20963" s="5"/>
      <c r="G20963" s="5"/>
    </row>
    <row r="20964" spans="1:7" ht="58.5" customHeight="1" x14ac:dyDescent="0.25">
      <c r="A20964" s="5" t="str">
        <f>"H0030660"</f>
        <v>H0030660</v>
      </c>
      <c r="B20964" s="5" t="str">
        <f t="shared" si="1056"/>
        <v>LICENCIA DE ANTIVIRUS ESET ENDPOINT POR TRES (3) AÑOS - RENOVACIÓN</v>
      </c>
      <c r="C20964" s="6">
        <v>50000</v>
      </c>
      <c r="D20964" s="5" t="s">
        <v>362</v>
      </c>
      <c r="E20964" s="5" t="str">
        <f t="shared" si="1055"/>
        <v>SISTEMAS-GLOBALTRONIK SAS-SERGIO PATIÑO</v>
      </c>
      <c r="F20964" s="5"/>
      <c r="G20964" s="5"/>
    </row>
    <row r="20965" spans="1:7" ht="58.5" customHeight="1" x14ac:dyDescent="0.25">
      <c r="A20965" s="5" t="str">
        <f>"H0030661"</f>
        <v>H0030661</v>
      </c>
      <c r="B20965" s="5" t="str">
        <f t="shared" si="1056"/>
        <v>LICENCIA DE ANTIVIRUS ESET ENDPOINT POR TRES (3) AÑOS - RENOVACIÓN</v>
      </c>
      <c r="C20965" s="6">
        <v>50000</v>
      </c>
      <c r="D20965" s="5" t="s">
        <v>362</v>
      </c>
      <c r="E20965" s="5" t="str">
        <f t="shared" si="1055"/>
        <v>SISTEMAS-GLOBALTRONIK SAS-SERGIO PATIÑO</v>
      </c>
      <c r="F20965" s="5"/>
      <c r="G20965" s="5"/>
    </row>
    <row r="20966" spans="1:7" ht="58.5" customHeight="1" x14ac:dyDescent="0.25">
      <c r="A20966" s="5" t="str">
        <f>"H0030662"</f>
        <v>H0030662</v>
      </c>
      <c r="B20966" s="5" t="str">
        <f t="shared" si="1056"/>
        <v>LICENCIA DE ANTIVIRUS ESET ENDPOINT POR TRES (3) AÑOS - RENOVACIÓN</v>
      </c>
      <c r="C20966" s="6">
        <v>50000</v>
      </c>
      <c r="D20966" s="5" t="s">
        <v>362</v>
      </c>
      <c r="E20966" s="5" t="str">
        <f t="shared" si="1055"/>
        <v>SISTEMAS-GLOBALTRONIK SAS-SERGIO PATIÑO</v>
      </c>
      <c r="F20966" s="5"/>
      <c r="G20966" s="5"/>
    </row>
    <row r="20967" spans="1:7" ht="58.5" customHeight="1" x14ac:dyDescent="0.25">
      <c r="A20967" s="5" t="str">
        <f>"H0030663"</f>
        <v>H0030663</v>
      </c>
      <c r="B20967" s="5" t="str">
        <f t="shared" si="1056"/>
        <v>LICENCIA DE ANTIVIRUS ESET ENDPOINT POR TRES (3) AÑOS - RENOVACIÓN</v>
      </c>
      <c r="C20967" s="6">
        <v>50000</v>
      </c>
      <c r="D20967" s="5" t="s">
        <v>362</v>
      </c>
      <c r="E20967" s="5" t="str">
        <f t="shared" si="1055"/>
        <v>SISTEMAS-GLOBALTRONIK SAS-SERGIO PATIÑO</v>
      </c>
      <c r="F20967" s="5"/>
      <c r="G20967" s="5"/>
    </row>
    <row r="20968" spans="1:7" ht="58.5" customHeight="1" x14ac:dyDescent="0.25">
      <c r="A20968" s="5" t="str">
        <f>"H0030664"</f>
        <v>H0030664</v>
      </c>
      <c r="B20968" s="5" t="str">
        <f t="shared" si="1056"/>
        <v>LICENCIA DE ANTIVIRUS ESET ENDPOINT POR TRES (3) AÑOS - RENOVACIÓN</v>
      </c>
      <c r="C20968" s="6">
        <v>50000</v>
      </c>
      <c r="D20968" s="5" t="s">
        <v>362</v>
      </c>
      <c r="E20968" s="5" t="str">
        <f t="shared" si="1055"/>
        <v>SISTEMAS-GLOBALTRONIK SAS-SERGIO PATIÑO</v>
      </c>
      <c r="F20968" s="5"/>
      <c r="G20968" s="5"/>
    </row>
    <row r="20969" spans="1:7" ht="58.5" customHeight="1" x14ac:dyDescent="0.25">
      <c r="A20969" s="5" t="str">
        <f>"H0030665"</f>
        <v>H0030665</v>
      </c>
      <c r="B20969" s="5" t="str">
        <f t="shared" si="1056"/>
        <v>LICENCIA DE ANTIVIRUS ESET ENDPOINT POR TRES (3) AÑOS - RENOVACIÓN</v>
      </c>
      <c r="C20969" s="6">
        <v>50000</v>
      </c>
      <c r="D20969" s="5" t="s">
        <v>362</v>
      </c>
      <c r="E20969" s="5" t="str">
        <f t="shared" si="1055"/>
        <v>SISTEMAS-GLOBALTRONIK SAS-SERGIO PATIÑO</v>
      </c>
      <c r="F20969" s="5"/>
      <c r="G20969" s="5"/>
    </row>
    <row r="20970" spans="1:7" ht="58.5" customHeight="1" x14ac:dyDescent="0.25">
      <c r="A20970" s="5" t="str">
        <f>"H0030666"</f>
        <v>H0030666</v>
      </c>
      <c r="B20970" s="5" t="str">
        <f t="shared" si="1056"/>
        <v>LICENCIA DE ANTIVIRUS ESET ENDPOINT POR TRES (3) AÑOS - RENOVACIÓN</v>
      </c>
      <c r="C20970" s="6">
        <v>50000</v>
      </c>
      <c r="D20970" s="5" t="s">
        <v>362</v>
      </c>
      <c r="E20970" s="5" t="str">
        <f t="shared" si="1055"/>
        <v>SISTEMAS-GLOBALTRONIK SAS-SERGIO PATIÑO</v>
      </c>
      <c r="F20970" s="5"/>
      <c r="G20970" s="5"/>
    </row>
    <row r="20971" spans="1:7" ht="58.5" customHeight="1" x14ac:dyDescent="0.25">
      <c r="A20971" s="5" t="str">
        <f>"H0030667"</f>
        <v>H0030667</v>
      </c>
      <c r="B20971" s="5" t="str">
        <f t="shared" si="1056"/>
        <v>LICENCIA DE ANTIVIRUS ESET ENDPOINT POR TRES (3) AÑOS - RENOVACIÓN</v>
      </c>
      <c r="C20971" s="6">
        <v>50000</v>
      </c>
      <c r="D20971" s="5" t="s">
        <v>362</v>
      </c>
      <c r="E20971" s="5" t="str">
        <f t="shared" si="1055"/>
        <v>SISTEMAS-GLOBALTRONIK SAS-SERGIO PATIÑO</v>
      </c>
      <c r="F20971" s="5"/>
      <c r="G20971" s="5"/>
    </row>
    <row r="20972" spans="1:7" ht="58.5" customHeight="1" x14ac:dyDescent="0.25">
      <c r="A20972" s="5" t="str">
        <f>"H0030668"</f>
        <v>H0030668</v>
      </c>
      <c r="B20972" s="5" t="str">
        <f t="shared" si="1056"/>
        <v>LICENCIA DE ANTIVIRUS ESET ENDPOINT POR TRES (3) AÑOS - RENOVACIÓN</v>
      </c>
      <c r="C20972" s="6">
        <v>50000</v>
      </c>
      <c r="D20972" s="5" t="s">
        <v>362</v>
      </c>
      <c r="E20972" s="5" t="str">
        <f t="shared" si="1055"/>
        <v>SISTEMAS-GLOBALTRONIK SAS-SERGIO PATIÑO</v>
      </c>
      <c r="F20972" s="5"/>
      <c r="G20972" s="5"/>
    </row>
    <row r="20973" spans="1:7" ht="58.5" customHeight="1" x14ac:dyDescent="0.25">
      <c r="A20973" s="5" t="str">
        <f>"H0030669"</f>
        <v>H0030669</v>
      </c>
      <c r="B20973" s="5" t="str">
        <f t="shared" si="1056"/>
        <v>LICENCIA DE ANTIVIRUS ESET ENDPOINT POR TRES (3) AÑOS - RENOVACIÓN</v>
      </c>
      <c r="C20973" s="6">
        <v>50000</v>
      </c>
      <c r="D20973" s="5" t="s">
        <v>362</v>
      </c>
      <c r="E20973" s="5" t="str">
        <f t="shared" si="1055"/>
        <v>SISTEMAS-GLOBALTRONIK SAS-SERGIO PATIÑO</v>
      </c>
      <c r="F20973" s="5"/>
      <c r="G20973" s="5"/>
    </row>
    <row r="20974" spans="1:7" ht="58.5" customHeight="1" x14ac:dyDescent="0.25">
      <c r="A20974" s="5" t="str">
        <f>"H0030670"</f>
        <v>H0030670</v>
      </c>
      <c r="B20974" s="5" t="str">
        <f t="shared" si="1056"/>
        <v>LICENCIA DE ANTIVIRUS ESET ENDPOINT POR TRES (3) AÑOS - RENOVACIÓN</v>
      </c>
      <c r="C20974" s="6">
        <v>50000</v>
      </c>
      <c r="D20974" s="5" t="s">
        <v>362</v>
      </c>
      <c r="E20974" s="5" t="str">
        <f t="shared" si="1055"/>
        <v>SISTEMAS-GLOBALTRONIK SAS-SERGIO PATIÑO</v>
      </c>
      <c r="F20974" s="5"/>
      <c r="G20974" s="5"/>
    </row>
    <row r="20975" spans="1:7" ht="58.5" customHeight="1" x14ac:dyDescent="0.25">
      <c r="A20975" s="5" t="str">
        <f>"H0030671"</f>
        <v>H0030671</v>
      </c>
      <c r="B20975" s="5" t="str">
        <f t="shared" si="1056"/>
        <v>LICENCIA DE ANTIVIRUS ESET ENDPOINT POR TRES (3) AÑOS - RENOVACIÓN</v>
      </c>
      <c r="C20975" s="6">
        <v>50000</v>
      </c>
      <c r="D20975" s="5" t="s">
        <v>362</v>
      </c>
      <c r="E20975" s="5" t="str">
        <f t="shared" si="1055"/>
        <v>SISTEMAS-GLOBALTRONIK SAS-SERGIO PATIÑO</v>
      </c>
      <c r="F20975" s="5"/>
      <c r="G20975" s="5"/>
    </row>
    <row r="20976" spans="1:7" ht="58.5" customHeight="1" x14ac:dyDescent="0.25">
      <c r="A20976" s="5" t="str">
        <f>"H0030672"</f>
        <v>H0030672</v>
      </c>
      <c r="B20976" s="5" t="str">
        <f t="shared" si="1056"/>
        <v>LICENCIA DE ANTIVIRUS ESET ENDPOINT POR TRES (3) AÑOS - RENOVACIÓN</v>
      </c>
      <c r="C20976" s="6">
        <v>50000</v>
      </c>
      <c r="D20976" s="5" t="s">
        <v>362</v>
      </c>
      <c r="E20976" s="5" t="str">
        <f t="shared" si="1055"/>
        <v>SISTEMAS-GLOBALTRONIK SAS-SERGIO PATIÑO</v>
      </c>
      <c r="F20976" s="5"/>
      <c r="G20976" s="5"/>
    </row>
    <row r="20977" spans="1:7" ht="58.5" customHeight="1" x14ac:dyDescent="0.25">
      <c r="A20977" s="5" t="str">
        <f>"H0030673"</f>
        <v>H0030673</v>
      </c>
      <c r="B20977" s="5" t="str">
        <f t="shared" si="1056"/>
        <v>LICENCIA DE ANTIVIRUS ESET ENDPOINT POR TRES (3) AÑOS - RENOVACIÓN</v>
      </c>
      <c r="C20977" s="6">
        <v>50000</v>
      </c>
      <c r="D20977" s="5" t="s">
        <v>362</v>
      </c>
      <c r="E20977" s="5" t="str">
        <f t="shared" si="1055"/>
        <v>SISTEMAS-GLOBALTRONIK SAS-SERGIO PATIÑO</v>
      </c>
      <c r="F20977" s="5"/>
      <c r="G20977" s="5"/>
    </row>
    <row r="20978" spans="1:7" ht="58.5" customHeight="1" x14ac:dyDescent="0.25">
      <c r="A20978" s="5" t="str">
        <f>"H0030674"</f>
        <v>H0030674</v>
      </c>
      <c r="B20978" s="5" t="str">
        <f t="shared" si="1056"/>
        <v>LICENCIA DE ANTIVIRUS ESET ENDPOINT POR TRES (3) AÑOS - RENOVACIÓN</v>
      </c>
      <c r="C20978" s="6">
        <v>50000</v>
      </c>
      <c r="D20978" s="5" t="s">
        <v>362</v>
      </c>
      <c r="E20978" s="5" t="str">
        <f t="shared" si="1055"/>
        <v>SISTEMAS-GLOBALTRONIK SAS-SERGIO PATIÑO</v>
      </c>
      <c r="F20978" s="5"/>
      <c r="G20978" s="5"/>
    </row>
    <row r="20979" spans="1:7" ht="58.5" customHeight="1" x14ac:dyDescent="0.25">
      <c r="A20979" s="5" t="str">
        <f>"H0030675"</f>
        <v>H0030675</v>
      </c>
      <c r="B20979" s="5" t="str">
        <f t="shared" si="1056"/>
        <v>LICENCIA DE ANTIVIRUS ESET ENDPOINT POR TRES (3) AÑOS - RENOVACIÓN</v>
      </c>
      <c r="C20979" s="6">
        <v>50000</v>
      </c>
      <c r="D20979" s="5" t="s">
        <v>362</v>
      </c>
      <c r="E20979" s="5" t="str">
        <f t="shared" si="1055"/>
        <v>SISTEMAS-GLOBALTRONIK SAS-SERGIO PATIÑO</v>
      </c>
      <c r="F20979" s="5"/>
      <c r="G20979" s="5"/>
    </row>
    <row r="20980" spans="1:7" ht="58.5" customHeight="1" x14ac:dyDescent="0.25">
      <c r="A20980" s="5" t="str">
        <f>"H0030676"</f>
        <v>H0030676</v>
      </c>
      <c r="B20980" s="5" t="str">
        <f t="shared" si="1056"/>
        <v>LICENCIA DE ANTIVIRUS ESET ENDPOINT POR TRES (3) AÑOS - RENOVACIÓN</v>
      </c>
      <c r="C20980" s="6">
        <v>50000</v>
      </c>
      <c r="D20980" s="5" t="s">
        <v>362</v>
      </c>
      <c r="E20980" s="5" t="str">
        <f t="shared" si="1055"/>
        <v>SISTEMAS-GLOBALTRONIK SAS-SERGIO PATIÑO</v>
      </c>
      <c r="F20980" s="5"/>
      <c r="G20980" s="5"/>
    </row>
    <row r="20981" spans="1:7" ht="58.5" customHeight="1" x14ac:dyDescent="0.25">
      <c r="A20981" s="5" t="str">
        <f>"H0030677"</f>
        <v>H0030677</v>
      </c>
      <c r="B20981" s="5" t="str">
        <f t="shared" si="1056"/>
        <v>LICENCIA DE ANTIVIRUS ESET ENDPOINT POR TRES (3) AÑOS - RENOVACIÓN</v>
      </c>
      <c r="C20981" s="6">
        <v>50000</v>
      </c>
      <c r="D20981" s="5" t="s">
        <v>362</v>
      </c>
      <c r="E20981" s="5" t="str">
        <f t="shared" si="1055"/>
        <v>SISTEMAS-GLOBALTRONIK SAS-SERGIO PATIÑO</v>
      </c>
      <c r="F20981" s="5"/>
      <c r="G20981" s="5"/>
    </row>
    <row r="20982" spans="1:7" ht="58.5" customHeight="1" x14ac:dyDescent="0.25">
      <c r="A20982" s="5" t="str">
        <f>"H0030678"</f>
        <v>H0030678</v>
      </c>
      <c r="B20982" s="5" t="str">
        <f t="shared" si="1056"/>
        <v>LICENCIA DE ANTIVIRUS ESET ENDPOINT POR TRES (3) AÑOS - RENOVACIÓN</v>
      </c>
      <c r="C20982" s="6">
        <v>50000</v>
      </c>
      <c r="D20982" s="5" t="s">
        <v>362</v>
      </c>
      <c r="E20982" s="5" t="str">
        <f t="shared" si="1055"/>
        <v>SISTEMAS-GLOBALTRONIK SAS-SERGIO PATIÑO</v>
      </c>
      <c r="F20982" s="5"/>
      <c r="G20982" s="5"/>
    </row>
    <row r="20983" spans="1:7" ht="58.5" customHeight="1" x14ac:dyDescent="0.25">
      <c r="A20983" s="5" t="str">
        <f>"H0030679"</f>
        <v>H0030679</v>
      </c>
      <c r="B20983" s="5" t="str">
        <f t="shared" si="1056"/>
        <v>LICENCIA DE ANTIVIRUS ESET ENDPOINT POR TRES (3) AÑOS - RENOVACIÓN</v>
      </c>
      <c r="C20983" s="6">
        <v>50000</v>
      </c>
      <c r="D20983" s="5" t="s">
        <v>362</v>
      </c>
      <c r="E20983" s="5" t="str">
        <f t="shared" si="1055"/>
        <v>SISTEMAS-GLOBALTRONIK SAS-SERGIO PATIÑO</v>
      </c>
      <c r="F20983" s="5"/>
      <c r="G20983" s="5"/>
    </row>
    <row r="20984" spans="1:7" ht="58.5" customHeight="1" x14ac:dyDescent="0.25">
      <c r="A20984" s="5" t="str">
        <f>"H0030680"</f>
        <v>H0030680</v>
      </c>
      <c r="B20984" s="5" t="str">
        <f t="shared" si="1056"/>
        <v>LICENCIA DE ANTIVIRUS ESET ENDPOINT POR TRES (3) AÑOS - RENOVACIÓN</v>
      </c>
      <c r="C20984" s="6">
        <v>50000</v>
      </c>
      <c r="D20984" s="5" t="s">
        <v>362</v>
      </c>
      <c r="E20984" s="5" t="str">
        <f t="shared" si="1055"/>
        <v>SISTEMAS-GLOBALTRONIK SAS-SERGIO PATIÑO</v>
      </c>
      <c r="F20984" s="5"/>
      <c r="G20984" s="5"/>
    </row>
    <row r="20985" spans="1:7" ht="58.5" customHeight="1" x14ac:dyDescent="0.25">
      <c r="A20985" s="5" t="str">
        <f>"H0030681"</f>
        <v>H0030681</v>
      </c>
      <c r="B20985" s="5" t="str">
        <f t="shared" si="1056"/>
        <v>LICENCIA DE ANTIVIRUS ESET ENDPOINT POR TRES (3) AÑOS - RENOVACIÓN</v>
      </c>
      <c r="C20985" s="6">
        <v>50000</v>
      </c>
      <c r="D20985" s="5" t="s">
        <v>362</v>
      </c>
      <c r="E20985" s="5" t="str">
        <f t="shared" si="1055"/>
        <v>SISTEMAS-GLOBALTRONIK SAS-SERGIO PATIÑO</v>
      </c>
      <c r="F20985" s="5"/>
      <c r="G20985" s="5"/>
    </row>
    <row r="20986" spans="1:7" ht="58.5" customHeight="1" x14ac:dyDescent="0.25">
      <c r="A20986" s="5" t="str">
        <f>"H0030682"</f>
        <v>H0030682</v>
      </c>
      <c r="B20986" s="5" t="str">
        <f t="shared" si="1056"/>
        <v>LICENCIA DE ANTIVIRUS ESET ENDPOINT POR TRES (3) AÑOS - RENOVACIÓN</v>
      </c>
      <c r="C20986" s="6">
        <v>50000</v>
      </c>
      <c r="D20986" s="5" t="s">
        <v>362</v>
      </c>
      <c r="E20986" s="5" t="str">
        <f t="shared" si="1055"/>
        <v>SISTEMAS-GLOBALTRONIK SAS-SERGIO PATIÑO</v>
      </c>
      <c r="F20986" s="5"/>
      <c r="G20986" s="5"/>
    </row>
    <row r="20987" spans="1:7" ht="58.5" customHeight="1" x14ac:dyDescent="0.25">
      <c r="A20987" s="5" t="str">
        <f>"H0030683"</f>
        <v>H0030683</v>
      </c>
      <c r="B20987" s="5" t="str">
        <f t="shared" si="1056"/>
        <v>LICENCIA DE ANTIVIRUS ESET ENDPOINT POR TRES (3) AÑOS - RENOVACIÓN</v>
      </c>
      <c r="C20987" s="6">
        <v>50000</v>
      </c>
      <c r="D20987" s="5" t="s">
        <v>362</v>
      </c>
      <c r="E20987" s="5" t="str">
        <f t="shared" si="1055"/>
        <v>SISTEMAS-GLOBALTRONIK SAS-SERGIO PATIÑO</v>
      </c>
      <c r="F20987" s="5"/>
      <c r="G20987" s="5"/>
    </row>
    <row r="20988" spans="1:7" ht="58.5" customHeight="1" x14ac:dyDescent="0.25">
      <c r="A20988" s="5" t="str">
        <f>"H0030684"</f>
        <v>H0030684</v>
      </c>
      <c r="B20988" s="5" t="str">
        <f t="shared" si="1056"/>
        <v>LICENCIA DE ANTIVIRUS ESET ENDPOINT POR TRES (3) AÑOS - RENOVACIÓN</v>
      </c>
      <c r="C20988" s="6">
        <v>50000</v>
      </c>
      <c r="D20988" s="5" t="s">
        <v>362</v>
      </c>
      <c r="E20988" s="5" t="str">
        <f t="shared" si="1055"/>
        <v>SISTEMAS-GLOBALTRONIK SAS-SERGIO PATIÑO</v>
      </c>
      <c r="F20988" s="5"/>
      <c r="G20988" s="5"/>
    </row>
    <row r="20989" spans="1:7" ht="58.5" customHeight="1" x14ac:dyDescent="0.25">
      <c r="A20989" s="5" t="str">
        <f>"H0030685"</f>
        <v>H0030685</v>
      </c>
      <c r="B20989" s="5" t="str">
        <f t="shared" si="1056"/>
        <v>LICENCIA DE ANTIVIRUS ESET ENDPOINT POR TRES (3) AÑOS - RENOVACIÓN</v>
      </c>
      <c r="C20989" s="6">
        <v>50000</v>
      </c>
      <c r="D20989" s="5" t="s">
        <v>362</v>
      </c>
      <c r="E20989" s="5" t="str">
        <f t="shared" ref="E20989:E21052" si="1057">"SISTEMAS-GLOBALTRONIK SAS-SERGIO PATIÑO"</f>
        <v>SISTEMAS-GLOBALTRONIK SAS-SERGIO PATIÑO</v>
      </c>
      <c r="F20989" s="5"/>
      <c r="G20989" s="5"/>
    </row>
    <row r="20990" spans="1:7" ht="58.5" customHeight="1" x14ac:dyDescent="0.25">
      <c r="A20990" s="5" t="str">
        <f>"H0030686"</f>
        <v>H0030686</v>
      </c>
      <c r="B20990" s="5" t="str">
        <f t="shared" si="1056"/>
        <v>LICENCIA DE ANTIVIRUS ESET ENDPOINT POR TRES (3) AÑOS - RENOVACIÓN</v>
      </c>
      <c r="C20990" s="6">
        <v>50000</v>
      </c>
      <c r="D20990" s="5" t="s">
        <v>362</v>
      </c>
      <c r="E20990" s="5" t="str">
        <f t="shared" si="1057"/>
        <v>SISTEMAS-GLOBALTRONIK SAS-SERGIO PATIÑO</v>
      </c>
      <c r="F20990" s="5"/>
      <c r="G20990" s="5"/>
    </row>
    <row r="20991" spans="1:7" ht="58.5" customHeight="1" x14ac:dyDescent="0.25">
      <c r="A20991" s="5" t="str">
        <f>"H0030687"</f>
        <v>H0030687</v>
      </c>
      <c r="B20991" s="5" t="str">
        <f t="shared" si="1056"/>
        <v>LICENCIA DE ANTIVIRUS ESET ENDPOINT POR TRES (3) AÑOS - RENOVACIÓN</v>
      </c>
      <c r="C20991" s="6">
        <v>50000</v>
      </c>
      <c r="D20991" s="5" t="s">
        <v>362</v>
      </c>
      <c r="E20991" s="5" t="str">
        <f t="shared" si="1057"/>
        <v>SISTEMAS-GLOBALTRONIK SAS-SERGIO PATIÑO</v>
      </c>
      <c r="F20991" s="5"/>
      <c r="G20991" s="5"/>
    </row>
    <row r="20992" spans="1:7" ht="58.5" customHeight="1" x14ac:dyDescent="0.25">
      <c r="A20992" s="5" t="str">
        <f>"H0030688"</f>
        <v>H0030688</v>
      </c>
      <c r="B20992" s="5" t="str">
        <f t="shared" si="1056"/>
        <v>LICENCIA DE ANTIVIRUS ESET ENDPOINT POR TRES (3) AÑOS - RENOVACIÓN</v>
      </c>
      <c r="C20992" s="6">
        <v>50000</v>
      </c>
      <c r="D20992" s="5" t="s">
        <v>362</v>
      </c>
      <c r="E20992" s="5" t="str">
        <f t="shared" si="1057"/>
        <v>SISTEMAS-GLOBALTRONIK SAS-SERGIO PATIÑO</v>
      </c>
      <c r="F20992" s="5"/>
      <c r="G20992" s="5"/>
    </row>
    <row r="20993" spans="1:7" ht="58.5" customHeight="1" x14ac:dyDescent="0.25">
      <c r="A20993" s="5" t="str">
        <f>"H0030689"</f>
        <v>H0030689</v>
      </c>
      <c r="B20993" s="5" t="str">
        <f t="shared" si="1056"/>
        <v>LICENCIA DE ANTIVIRUS ESET ENDPOINT POR TRES (3) AÑOS - RENOVACIÓN</v>
      </c>
      <c r="C20993" s="6">
        <v>50000</v>
      </c>
      <c r="D20993" s="5" t="s">
        <v>362</v>
      </c>
      <c r="E20993" s="5" t="str">
        <f t="shared" si="1057"/>
        <v>SISTEMAS-GLOBALTRONIK SAS-SERGIO PATIÑO</v>
      </c>
      <c r="F20993" s="5"/>
      <c r="G20993" s="5"/>
    </row>
    <row r="20994" spans="1:7" ht="58.5" customHeight="1" x14ac:dyDescent="0.25">
      <c r="A20994" s="5" t="str">
        <f>"H0030690"</f>
        <v>H0030690</v>
      </c>
      <c r="B20994" s="5" t="str">
        <f t="shared" si="1056"/>
        <v>LICENCIA DE ANTIVIRUS ESET ENDPOINT POR TRES (3) AÑOS - RENOVACIÓN</v>
      </c>
      <c r="C20994" s="6">
        <v>50000</v>
      </c>
      <c r="D20994" s="5" t="s">
        <v>362</v>
      </c>
      <c r="E20994" s="5" t="str">
        <f t="shared" si="1057"/>
        <v>SISTEMAS-GLOBALTRONIK SAS-SERGIO PATIÑO</v>
      </c>
      <c r="F20994" s="5"/>
      <c r="G20994" s="5"/>
    </row>
    <row r="20995" spans="1:7" ht="58.5" customHeight="1" x14ac:dyDescent="0.25">
      <c r="A20995" s="5" t="str">
        <f>"H0030691"</f>
        <v>H0030691</v>
      </c>
      <c r="B20995" s="5" t="str">
        <f t="shared" si="1056"/>
        <v>LICENCIA DE ANTIVIRUS ESET ENDPOINT POR TRES (3) AÑOS - RENOVACIÓN</v>
      </c>
      <c r="C20995" s="6">
        <v>50000</v>
      </c>
      <c r="D20995" s="5" t="s">
        <v>362</v>
      </c>
      <c r="E20995" s="5" t="str">
        <f t="shared" si="1057"/>
        <v>SISTEMAS-GLOBALTRONIK SAS-SERGIO PATIÑO</v>
      </c>
      <c r="F20995" s="5"/>
      <c r="G20995" s="5"/>
    </row>
    <row r="20996" spans="1:7" ht="58.5" customHeight="1" x14ac:dyDescent="0.25">
      <c r="A20996" s="5" t="str">
        <f>"H0030692"</f>
        <v>H0030692</v>
      </c>
      <c r="B20996" s="5" t="str">
        <f t="shared" si="1056"/>
        <v>LICENCIA DE ANTIVIRUS ESET ENDPOINT POR TRES (3) AÑOS - RENOVACIÓN</v>
      </c>
      <c r="C20996" s="6">
        <v>50000</v>
      </c>
      <c r="D20996" s="5" t="s">
        <v>883</v>
      </c>
      <c r="E20996" s="5" t="str">
        <f t="shared" si="1057"/>
        <v>SISTEMAS-GLOBALTRONIK SAS-SERGIO PATIÑO</v>
      </c>
      <c r="F20996" s="5"/>
      <c r="G20996" s="5"/>
    </row>
    <row r="20997" spans="1:7" ht="58.5" customHeight="1" x14ac:dyDescent="0.25">
      <c r="A20997" s="5" t="str">
        <f>"H0030693"</f>
        <v>H0030693</v>
      </c>
      <c r="B20997" s="5" t="str">
        <f t="shared" si="1056"/>
        <v>LICENCIA DE ANTIVIRUS ESET ENDPOINT POR TRES (3) AÑOS - RENOVACIÓN</v>
      </c>
      <c r="C20997" s="6">
        <v>50000</v>
      </c>
      <c r="D20997" s="5" t="s">
        <v>362</v>
      </c>
      <c r="E20997" s="5" t="str">
        <f t="shared" si="1057"/>
        <v>SISTEMAS-GLOBALTRONIK SAS-SERGIO PATIÑO</v>
      </c>
      <c r="F20997" s="5"/>
      <c r="G20997" s="5"/>
    </row>
    <row r="20998" spans="1:7" ht="58.5" customHeight="1" x14ac:dyDescent="0.25">
      <c r="A20998" s="5" t="str">
        <f>"H0030694"</f>
        <v>H0030694</v>
      </c>
      <c r="B20998" s="5" t="str">
        <f t="shared" si="1056"/>
        <v>LICENCIA DE ANTIVIRUS ESET ENDPOINT POR TRES (3) AÑOS - RENOVACIÓN</v>
      </c>
      <c r="C20998" s="6">
        <v>50000</v>
      </c>
      <c r="D20998" s="5" t="s">
        <v>362</v>
      </c>
      <c r="E20998" s="5" t="str">
        <f t="shared" si="1057"/>
        <v>SISTEMAS-GLOBALTRONIK SAS-SERGIO PATIÑO</v>
      </c>
      <c r="F20998" s="5"/>
      <c r="G20998" s="5"/>
    </row>
    <row r="20999" spans="1:7" ht="58.5" customHeight="1" x14ac:dyDescent="0.25">
      <c r="A20999" s="5" t="str">
        <f>"H0030695"</f>
        <v>H0030695</v>
      </c>
      <c r="B20999" s="5" t="str">
        <f t="shared" si="1056"/>
        <v>LICENCIA DE ANTIVIRUS ESET ENDPOINT POR TRES (3) AÑOS - RENOVACIÓN</v>
      </c>
      <c r="C20999" s="6">
        <v>50000</v>
      </c>
      <c r="D20999" s="5" t="s">
        <v>362</v>
      </c>
      <c r="E20999" s="5" t="str">
        <f t="shared" si="1057"/>
        <v>SISTEMAS-GLOBALTRONIK SAS-SERGIO PATIÑO</v>
      </c>
      <c r="F20999" s="5"/>
      <c r="G20999" s="5"/>
    </row>
    <row r="21000" spans="1:7" ht="58.5" customHeight="1" x14ac:dyDescent="0.25">
      <c r="A21000" s="5" t="str">
        <f>"H0030696"</f>
        <v>H0030696</v>
      </c>
      <c r="B21000" s="5" t="str">
        <f t="shared" si="1056"/>
        <v>LICENCIA DE ANTIVIRUS ESET ENDPOINT POR TRES (3) AÑOS - RENOVACIÓN</v>
      </c>
      <c r="C21000" s="6">
        <v>50000</v>
      </c>
      <c r="D21000" s="5" t="s">
        <v>362</v>
      </c>
      <c r="E21000" s="5" t="str">
        <f t="shared" si="1057"/>
        <v>SISTEMAS-GLOBALTRONIK SAS-SERGIO PATIÑO</v>
      </c>
      <c r="F21000" s="5"/>
      <c r="G21000" s="5"/>
    </row>
    <row r="21001" spans="1:7" ht="58.5" customHeight="1" x14ac:dyDescent="0.25">
      <c r="A21001" s="5" t="str">
        <f>"H0030697"</f>
        <v>H0030697</v>
      </c>
      <c r="B21001" s="5" t="str">
        <f t="shared" si="1056"/>
        <v>LICENCIA DE ANTIVIRUS ESET ENDPOINT POR TRES (3) AÑOS - RENOVACIÓN</v>
      </c>
      <c r="C21001" s="6">
        <v>50000</v>
      </c>
      <c r="D21001" s="5" t="s">
        <v>362</v>
      </c>
      <c r="E21001" s="5" t="str">
        <f t="shared" si="1057"/>
        <v>SISTEMAS-GLOBALTRONIK SAS-SERGIO PATIÑO</v>
      </c>
      <c r="F21001" s="5"/>
      <c r="G21001" s="5"/>
    </row>
    <row r="21002" spans="1:7" ht="58.5" customHeight="1" x14ac:dyDescent="0.25">
      <c r="A21002" s="5" t="str">
        <f>"H0030698"</f>
        <v>H0030698</v>
      </c>
      <c r="B21002" s="5" t="str">
        <f t="shared" si="1056"/>
        <v>LICENCIA DE ANTIVIRUS ESET ENDPOINT POR TRES (3) AÑOS - RENOVACIÓN</v>
      </c>
      <c r="C21002" s="6">
        <v>50000</v>
      </c>
      <c r="D21002" s="5" t="s">
        <v>362</v>
      </c>
      <c r="E21002" s="5" t="str">
        <f t="shared" si="1057"/>
        <v>SISTEMAS-GLOBALTRONIK SAS-SERGIO PATIÑO</v>
      </c>
      <c r="F21002" s="5"/>
      <c r="G21002" s="5"/>
    </row>
    <row r="21003" spans="1:7" ht="58.5" customHeight="1" x14ac:dyDescent="0.25">
      <c r="A21003" s="5" t="str">
        <f>"H0030699"</f>
        <v>H0030699</v>
      </c>
      <c r="B21003" s="5" t="str">
        <f t="shared" si="1056"/>
        <v>LICENCIA DE ANTIVIRUS ESET ENDPOINT POR TRES (3) AÑOS - RENOVACIÓN</v>
      </c>
      <c r="C21003" s="6">
        <v>50000</v>
      </c>
      <c r="D21003" s="5" t="s">
        <v>362</v>
      </c>
      <c r="E21003" s="5" t="str">
        <f t="shared" si="1057"/>
        <v>SISTEMAS-GLOBALTRONIK SAS-SERGIO PATIÑO</v>
      </c>
      <c r="F21003" s="5"/>
      <c r="G21003" s="5"/>
    </row>
    <row r="21004" spans="1:7" ht="58.5" customHeight="1" x14ac:dyDescent="0.25">
      <c r="A21004" s="5" t="str">
        <f>"H0030700"</f>
        <v>H0030700</v>
      </c>
      <c r="B21004" s="5" t="str">
        <f t="shared" si="1056"/>
        <v>LICENCIA DE ANTIVIRUS ESET ENDPOINT POR TRES (3) AÑOS - RENOVACIÓN</v>
      </c>
      <c r="C21004" s="6">
        <v>50000</v>
      </c>
      <c r="D21004" s="5" t="s">
        <v>362</v>
      </c>
      <c r="E21004" s="5" t="str">
        <f t="shared" si="1057"/>
        <v>SISTEMAS-GLOBALTRONIK SAS-SERGIO PATIÑO</v>
      </c>
      <c r="F21004" s="5"/>
      <c r="G21004" s="5"/>
    </row>
    <row r="21005" spans="1:7" ht="58.5" customHeight="1" x14ac:dyDescent="0.25">
      <c r="A21005" s="5" t="str">
        <f>"H0030701"</f>
        <v>H0030701</v>
      </c>
      <c r="B21005" s="5" t="str">
        <f t="shared" si="1056"/>
        <v>LICENCIA DE ANTIVIRUS ESET ENDPOINT POR TRES (3) AÑOS - RENOVACIÓN</v>
      </c>
      <c r="C21005" s="6">
        <v>50000</v>
      </c>
      <c r="D21005" s="5" t="s">
        <v>362</v>
      </c>
      <c r="E21005" s="5" t="str">
        <f t="shared" si="1057"/>
        <v>SISTEMAS-GLOBALTRONIK SAS-SERGIO PATIÑO</v>
      </c>
      <c r="F21005" s="5"/>
      <c r="G21005" s="5"/>
    </row>
    <row r="21006" spans="1:7" ht="58.5" customHeight="1" x14ac:dyDescent="0.25">
      <c r="A21006" s="5" t="str">
        <f>"H0030702"</f>
        <v>H0030702</v>
      </c>
      <c r="B21006" s="5" t="str">
        <f t="shared" si="1056"/>
        <v>LICENCIA DE ANTIVIRUS ESET ENDPOINT POR TRES (3) AÑOS - RENOVACIÓN</v>
      </c>
      <c r="C21006" s="6">
        <v>50000</v>
      </c>
      <c r="D21006" s="5" t="s">
        <v>362</v>
      </c>
      <c r="E21006" s="5" t="str">
        <f t="shared" si="1057"/>
        <v>SISTEMAS-GLOBALTRONIK SAS-SERGIO PATIÑO</v>
      </c>
      <c r="F21006" s="5"/>
      <c r="G21006" s="5"/>
    </row>
    <row r="21007" spans="1:7" ht="58.5" customHeight="1" x14ac:dyDescent="0.25">
      <c r="A21007" s="5" t="str">
        <f>"H0030703"</f>
        <v>H0030703</v>
      </c>
      <c r="B21007" s="5" t="str">
        <f t="shared" si="1056"/>
        <v>LICENCIA DE ANTIVIRUS ESET ENDPOINT POR TRES (3) AÑOS - RENOVACIÓN</v>
      </c>
      <c r="C21007" s="6">
        <v>50000</v>
      </c>
      <c r="D21007" s="5" t="s">
        <v>362</v>
      </c>
      <c r="E21007" s="5" t="str">
        <f t="shared" si="1057"/>
        <v>SISTEMAS-GLOBALTRONIK SAS-SERGIO PATIÑO</v>
      </c>
      <c r="F21007" s="5"/>
      <c r="G21007" s="5"/>
    </row>
    <row r="21008" spans="1:7" ht="58.5" customHeight="1" x14ac:dyDescent="0.25">
      <c r="A21008" s="5" t="str">
        <f>"H0030704"</f>
        <v>H0030704</v>
      </c>
      <c r="B21008" s="5" t="str">
        <f t="shared" si="1056"/>
        <v>LICENCIA DE ANTIVIRUS ESET ENDPOINT POR TRES (3) AÑOS - RENOVACIÓN</v>
      </c>
      <c r="C21008" s="6">
        <v>50000</v>
      </c>
      <c r="D21008" s="5" t="s">
        <v>362</v>
      </c>
      <c r="E21008" s="5" t="str">
        <f t="shared" si="1057"/>
        <v>SISTEMAS-GLOBALTRONIK SAS-SERGIO PATIÑO</v>
      </c>
      <c r="F21008" s="5"/>
      <c r="G21008" s="5"/>
    </row>
    <row r="21009" spans="1:7" ht="58.5" customHeight="1" x14ac:dyDescent="0.25">
      <c r="A21009" s="5" t="str">
        <f>"H0030705"</f>
        <v>H0030705</v>
      </c>
      <c r="B21009" s="5" t="str">
        <f t="shared" si="1056"/>
        <v>LICENCIA DE ANTIVIRUS ESET ENDPOINT POR TRES (3) AÑOS - RENOVACIÓN</v>
      </c>
      <c r="C21009" s="6">
        <v>50000</v>
      </c>
      <c r="D21009" s="5" t="s">
        <v>362</v>
      </c>
      <c r="E21009" s="5" t="str">
        <f t="shared" si="1057"/>
        <v>SISTEMAS-GLOBALTRONIK SAS-SERGIO PATIÑO</v>
      </c>
      <c r="F21009" s="5"/>
      <c r="G21009" s="5"/>
    </row>
    <row r="21010" spans="1:7" ht="58.5" customHeight="1" x14ac:dyDescent="0.25">
      <c r="A21010" s="5" t="str">
        <f>"H0030706"</f>
        <v>H0030706</v>
      </c>
      <c r="B21010" s="5" t="str">
        <f t="shared" si="1056"/>
        <v>LICENCIA DE ANTIVIRUS ESET ENDPOINT POR TRES (3) AÑOS - RENOVACIÓN</v>
      </c>
      <c r="C21010" s="6">
        <v>50000</v>
      </c>
      <c r="D21010" s="5" t="s">
        <v>362</v>
      </c>
      <c r="E21010" s="5" t="str">
        <f t="shared" si="1057"/>
        <v>SISTEMAS-GLOBALTRONIK SAS-SERGIO PATIÑO</v>
      </c>
      <c r="F21010" s="5"/>
      <c r="G21010" s="5"/>
    </row>
    <row r="21011" spans="1:7" ht="58.5" customHeight="1" x14ac:dyDescent="0.25">
      <c r="A21011" s="5" t="str">
        <f>"H0030707"</f>
        <v>H0030707</v>
      </c>
      <c r="B21011" s="5" t="str">
        <f t="shared" si="1056"/>
        <v>LICENCIA DE ANTIVIRUS ESET ENDPOINT POR TRES (3) AÑOS - RENOVACIÓN</v>
      </c>
      <c r="C21011" s="6">
        <v>50000</v>
      </c>
      <c r="D21011" s="5" t="s">
        <v>362</v>
      </c>
      <c r="E21011" s="5" t="str">
        <f t="shared" si="1057"/>
        <v>SISTEMAS-GLOBALTRONIK SAS-SERGIO PATIÑO</v>
      </c>
      <c r="F21011" s="5"/>
      <c r="G21011" s="5"/>
    </row>
    <row r="21012" spans="1:7" ht="58.5" customHeight="1" x14ac:dyDescent="0.25">
      <c r="A21012" s="5" t="str">
        <f>"H0030708"</f>
        <v>H0030708</v>
      </c>
      <c r="B21012" s="5" t="str">
        <f t="shared" si="1056"/>
        <v>LICENCIA DE ANTIVIRUS ESET ENDPOINT POR TRES (3) AÑOS - RENOVACIÓN</v>
      </c>
      <c r="C21012" s="6">
        <v>50000</v>
      </c>
      <c r="D21012" s="5" t="s">
        <v>362</v>
      </c>
      <c r="E21012" s="5" t="str">
        <f t="shared" si="1057"/>
        <v>SISTEMAS-GLOBALTRONIK SAS-SERGIO PATIÑO</v>
      </c>
      <c r="F21012" s="5"/>
      <c r="G21012" s="5"/>
    </row>
    <row r="21013" spans="1:7" ht="58.5" customHeight="1" x14ac:dyDescent="0.25">
      <c r="A21013" s="5" t="str">
        <f>"H0030709"</f>
        <v>H0030709</v>
      </c>
      <c r="B21013" s="5" t="str">
        <f t="shared" ref="B21013:B21076" si="1058">"LICENCIA DE ANTIVIRUS ESET ENDPOINT POR TRES (3) AÑOS - RENOVACIÓN"</f>
        <v>LICENCIA DE ANTIVIRUS ESET ENDPOINT POR TRES (3) AÑOS - RENOVACIÓN</v>
      </c>
      <c r="C21013" s="6">
        <v>50000</v>
      </c>
      <c r="D21013" s="5" t="s">
        <v>362</v>
      </c>
      <c r="E21013" s="5" t="str">
        <f t="shared" si="1057"/>
        <v>SISTEMAS-GLOBALTRONIK SAS-SERGIO PATIÑO</v>
      </c>
      <c r="F21013" s="5"/>
      <c r="G21013" s="5"/>
    </row>
    <row r="21014" spans="1:7" ht="58.5" customHeight="1" x14ac:dyDescent="0.25">
      <c r="A21014" s="5" t="str">
        <f>"H0030710"</f>
        <v>H0030710</v>
      </c>
      <c r="B21014" s="5" t="str">
        <f t="shared" si="1058"/>
        <v>LICENCIA DE ANTIVIRUS ESET ENDPOINT POR TRES (3) AÑOS - RENOVACIÓN</v>
      </c>
      <c r="C21014" s="6">
        <v>50000</v>
      </c>
      <c r="D21014" s="5" t="s">
        <v>362</v>
      </c>
      <c r="E21014" s="5" t="str">
        <f t="shared" si="1057"/>
        <v>SISTEMAS-GLOBALTRONIK SAS-SERGIO PATIÑO</v>
      </c>
      <c r="F21014" s="5"/>
      <c r="G21014" s="5"/>
    </row>
    <row r="21015" spans="1:7" ht="58.5" customHeight="1" x14ac:dyDescent="0.25">
      <c r="A21015" s="5" t="str">
        <f>"H0030711"</f>
        <v>H0030711</v>
      </c>
      <c r="B21015" s="5" t="str">
        <f t="shared" si="1058"/>
        <v>LICENCIA DE ANTIVIRUS ESET ENDPOINT POR TRES (3) AÑOS - RENOVACIÓN</v>
      </c>
      <c r="C21015" s="6">
        <v>50000</v>
      </c>
      <c r="D21015" s="5" t="s">
        <v>362</v>
      </c>
      <c r="E21015" s="5" t="str">
        <f t="shared" si="1057"/>
        <v>SISTEMAS-GLOBALTRONIK SAS-SERGIO PATIÑO</v>
      </c>
      <c r="F21015" s="5"/>
      <c r="G21015" s="5"/>
    </row>
    <row r="21016" spans="1:7" ht="58.5" customHeight="1" x14ac:dyDescent="0.25">
      <c r="A21016" s="5" t="str">
        <f>"H0030712"</f>
        <v>H0030712</v>
      </c>
      <c r="B21016" s="5" t="str">
        <f t="shared" si="1058"/>
        <v>LICENCIA DE ANTIVIRUS ESET ENDPOINT POR TRES (3) AÑOS - RENOVACIÓN</v>
      </c>
      <c r="C21016" s="6">
        <v>50000</v>
      </c>
      <c r="D21016" s="5" t="s">
        <v>362</v>
      </c>
      <c r="E21016" s="5" t="str">
        <f t="shared" si="1057"/>
        <v>SISTEMAS-GLOBALTRONIK SAS-SERGIO PATIÑO</v>
      </c>
      <c r="F21016" s="5"/>
      <c r="G21016" s="5"/>
    </row>
    <row r="21017" spans="1:7" ht="58.5" customHeight="1" x14ac:dyDescent="0.25">
      <c r="A21017" s="5" t="str">
        <f>"H0030713"</f>
        <v>H0030713</v>
      </c>
      <c r="B21017" s="5" t="str">
        <f t="shared" si="1058"/>
        <v>LICENCIA DE ANTIVIRUS ESET ENDPOINT POR TRES (3) AÑOS - RENOVACIÓN</v>
      </c>
      <c r="C21017" s="6">
        <v>50000</v>
      </c>
      <c r="D21017" s="5" t="s">
        <v>362</v>
      </c>
      <c r="E21017" s="5" t="str">
        <f t="shared" si="1057"/>
        <v>SISTEMAS-GLOBALTRONIK SAS-SERGIO PATIÑO</v>
      </c>
      <c r="F21017" s="5"/>
      <c r="G21017" s="5"/>
    </row>
    <row r="21018" spans="1:7" ht="58.5" customHeight="1" x14ac:dyDescent="0.25">
      <c r="A21018" s="5" t="str">
        <f>"H0030714"</f>
        <v>H0030714</v>
      </c>
      <c r="B21018" s="5" t="str">
        <f t="shared" si="1058"/>
        <v>LICENCIA DE ANTIVIRUS ESET ENDPOINT POR TRES (3) AÑOS - RENOVACIÓN</v>
      </c>
      <c r="C21018" s="6">
        <v>50000</v>
      </c>
      <c r="D21018" s="5" t="s">
        <v>362</v>
      </c>
      <c r="E21018" s="5" t="str">
        <f t="shared" si="1057"/>
        <v>SISTEMAS-GLOBALTRONIK SAS-SERGIO PATIÑO</v>
      </c>
      <c r="F21018" s="5"/>
      <c r="G21018" s="5"/>
    </row>
    <row r="21019" spans="1:7" ht="58.5" customHeight="1" x14ac:dyDescent="0.25">
      <c r="A21019" s="5" t="str">
        <f>"H0030715"</f>
        <v>H0030715</v>
      </c>
      <c r="B21019" s="5" t="str">
        <f t="shared" si="1058"/>
        <v>LICENCIA DE ANTIVIRUS ESET ENDPOINT POR TRES (3) AÑOS - RENOVACIÓN</v>
      </c>
      <c r="C21019" s="6">
        <v>50000</v>
      </c>
      <c r="D21019" s="5" t="s">
        <v>362</v>
      </c>
      <c r="E21019" s="5" t="str">
        <f t="shared" si="1057"/>
        <v>SISTEMAS-GLOBALTRONIK SAS-SERGIO PATIÑO</v>
      </c>
      <c r="F21019" s="5"/>
      <c r="G21019" s="5"/>
    </row>
    <row r="21020" spans="1:7" ht="58.5" customHeight="1" x14ac:dyDescent="0.25">
      <c r="A21020" s="5" t="str">
        <f>"H0030716"</f>
        <v>H0030716</v>
      </c>
      <c r="B21020" s="5" t="str">
        <f t="shared" si="1058"/>
        <v>LICENCIA DE ANTIVIRUS ESET ENDPOINT POR TRES (3) AÑOS - RENOVACIÓN</v>
      </c>
      <c r="C21020" s="6">
        <v>50000</v>
      </c>
      <c r="D21020" s="5" t="s">
        <v>362</v>
      </c>
      <c r="E21020" s="5" t="str">
        <f t="shared" si="1057"/>
        <v>SISTEMAS-GLOBALTRONIK SAS-SERGIO PATIÑO</v>
      </c>
      <c r="F21020" s="5"/>
      <c r="G21020" s="5"/>
    </row>
    <row r="21021" spans="1:7" ht="58.5" customHeight="1" x14ac:dyDescent="0.25">
      <c r="A21021" s="5" t="str">
        <f>"H0030717"</f>
        <v>H0030717</v>
      </c>
      <c r="B21021" s="5" t="str">
        <f t="shared" si="1058"/>
        <v>LICENCIA DE ANTIVIRUS ESET ENDPOINT POR TRES (3) AÑOS - RENOVACIÓN</v>
      </c>
      <c r="C21021" s="6">
        <v>50000</v>
      </c>
      <c r="D21021" s="5" t="s">
        <v>362</v>
      </c>
      <c r="E21021" s="5" t="str">
        <f t="shared" si="1057"/>
        <v>SISTEMAS-GLOBALTRONIK SAS-SERGIO PATIÑO</v>
      </c>
      <c r="F21021" s="5"/>
      <c r="G21021" s="5"/>
    </row>
    <row r="21022" spans="1:7" ht="58.5" customHeight="1" x14ac:dyDescent="0.25">
      <c r="A21022" s="5" t="str">
        <f>"H0030718"</f>
        <v>H0030718</v>
      </c>
      <c r="B21022" s="5" t="str">
        <f t="shared" si="1058"/>
        <v>LICENCIA DE ANTIVIRUS ESET ENDPOINT POR TRES (3) AÑOS - RENOVACIÓN</v>
      </c>
      <c r="C21022" s="6">
        <v>50000</v>
      </c>
      <c r="D21022" s="5" t="s">
        <v>362</v>
      </c>
      <c r="E21022" s="5" t="str">
        <f t="shared" si="1057"/>
        <v>SISTEMAS-GLOBALTRONIK SAS-SERGIO PATIÑO</v>
      </c>
      <c r="F21022" s="5"/>
      <c r="G21022" s="5"/>
    </row>
    <row r="21023" spans="1:7" ht="58.5" customHeight="1" x14ac:dyDescent="0.25">
      <c r="A21023" s="5" t="str">
        <f>"H0030719"</f>
        <v>H0030719</v>
      </c>
      <c r="B21023" s="5" t="str">
        <f t="shared" si="1058"/>
        <v>LICENCIA DE ANTIVIRUS ESET ENDPOINT POR TRES (3) AÑOS - RENOVACIÓN</v>
      </c>
      <c r="C21023" s="6">
        <v>50000</v>
      </c>
      <c r="D21023" s="5" t="s">
        <v>362</v>
      </c>
      <c r="E21023" s="5" t="str">
        <f t="shared" si="1057"/>
        <v>SISTEMAS-GLOBALTRONIK SAS-SERGIO PATIÑO</v>
      </c>
      <c r="F21023" s="5"/>
      <c r="G21023" s="5"/>
    </row>
    <row r="21024" spans="1:7" ht="58.5" customHeight="1" x14ac:dyDescent="0.25">
      <c r="A21024" s="5" t="str">
        <f>"H0030720"</f>
        <v>H0030720</v>
      </c>
      <c r="B21024" s="5" t="str">
        <f t="shared" si="1058"/>
        <v>LICENCIA DE ANTIVIRUS ESET ENDPOINT POR TRES (3) AÑOS - RENOVACIÓN</v>
      </c>
      <c r="C21024" s="6">
        <v>50000</v>
      </c>
      <c r="D21024" s="5" t="s">
        <v>362</v>
      </c>
      <c r="E21024" s="5" t="str">
        <f t="shared" si="1057"/>
        <v>SISTEMAS-GLOBALTRONIK SAS-SERGIO PATIÑO</v>
      </c>
      <c r="F21024" s="5"/>
      <c r="G21024" s="5"/>
    </row>
    <row r="21025" spans="1:7" ht="58.5" customHeight="1" x14ac:dyDescent="0.25">
      <c r="A21025" s="5" t="str">
        <f>"H0030721"</f>
        <v>H0030721</v>
      </c>
      <c r="B21025" s="5" t="str">
        <f t="shared" si="1058"/>
        <v>LICENCIA DE ANTIVIRUS ESET ENDPOINT POR TRES (3) AÑOS - RENOVACIÓN</v>
      </c>
      <c r="C21025" s="6">
        <v>50000</v>
      </c>
      <c r="D21025" s="5" t="s">
        <v>362</v>
      </c>
      <c r="E21025" s="5" t="str">
        <f t="shared" si="1057"/>
        <v>SISTEMAS-GLOBALTRONIK SAS-SERGIO PATIÑO</v>
      </c>
      <c r="F21025" s="5"/>
      <c r="G21025" s="5"/>
    </row>
    <row r="21026" spans="1:7" ht="58.5" customHeight="1" x14ac:dyDescent="0.25">
      <c r="A21026" s="5" t="str">
        <f>"H0030722"</f>
        <v>H0030722</v>
      </c>
      <c r="B21026" s="5" t="str">
        <f t="shared" si="1058"/>
        <v>LICENCIA DE ANTIVIRUS ESET ENDPOINT POR TRES (3) AÑOS - RENOVACIÓN</v>
      </c>
      <c r="C21026" s="6">
        <v>50000</v>
      </c>
      <c r="D21026" s="5" t="s">
        <v>362</v>
      </c>
      <c r="E21026" s="5" t="str">
        <f t="shared" si="1057"/>
        <v>SISTEMAS-GLOBALTRONIK SAS-SERGIO PATIÑO</v>
      </c>
      <c r="F21026" s="5"/>
      <c r="G21026" s="5"/>
    </row>
    <row r="21027" spans="1:7" ht="58.5" customHeight="1" x14ac:dyDescent="0.25">
      <c r="A21027" s="5" t="str">
        <f>"H0030723"</f>
        <v>H0030723</v>
      </c>
      <c r="B21027" s="5" t="str">
        <f t="shared" si="1058"/>
        <v>LICENCIA DE ANTIVIRUS ESET ENDPOINT POR TRES (3) AÑOS - RENOVACIÓN</v>
      </c>
      <c r="C21027" s="6">
        <v>50000</v>
      </c>
      <c r="D21027" s="5" t="s">
        <v>362</v>
      </c>
      <c r="E21027" s="5" t="str">
        <f t="shared" si="1057"/>
        <v>SISTEMAS-GLOBALTRONIK SAS-SERGIO PATIÑO</v>
      </c>
      <c r="F21027" s="5"/>
      <c r="G21027" s="5"/>
    </row>
    <row r="21028" spans="1:7" ht="58.5" customHeight="1" x14ac:dyDescent="0.25">
      <c r="A21028" s="5" t="str">
        <f>"H0030724"</f>
        <v>H0030724</v>
      </c>
      <c r="B21028" s="5" t="str">
        <f t="shared" si="1058"/>
        <v>LICENCIA DE ANTIVIRUS ESET ENDPOINT POR TRES (3) AÑOS - RENOVACIÓN</v>
      </c>
      <c r="C21028" s="6">
        <v>50000</v>
      </c>
      <c r="D21028" s="5" t="s">
        <v>362</v>
      </c>
      <c r="E21028" s="5" t="str">
        <f t="shared" si="1057"/>
        <v>SISTEMAS-GLOBALTRONIK SAS-SERGIO PATIÑO</v>
      </c>
      <c r="F21028" s="5"/>
      <c r="G21028" s="5"/>
    </row>
    <row r="21029" spans="1:7" ht="58.5" customHeight="1" x14ac:dyDescent="0.25">
      <c r="A21029" s="5" t="str">
        <f>"H0030725"</f>
        <v>H0030725</v>
      </c>
      <c r="B21029" s="5" t="str">
        <f t="shared" si="1058"/>
        <v>LICENCIA DE ANTIVIRUS ESET ENDPOINT POR TRES (3) AÑOS - RENOVACIÓN</v>
      </c>
      <c r="C21029" s="6">
        <v>50000</v>
      </c>
      <c r="D21029" s="5" t="s">
        <v>362</v>
      </c>
      <c r="E21029" s="5" t="str">
        <f t="shared" si="1057"/>
        <v>SISTEMAS-GLOBALTRONIK SAS-SERGIO PATIÑO</v>
      </c>
      <c r="F21029" s="5"/>
      <c r="G21029" s="5"/>
    </row>
    <row r="21030" spans="1:7" ht="58.5" customHeight="1" x14ac:dyDescent="0.25">
      <c r="A21030" s="5" t="str">
        <f>"H0030726"</f>
        <v>H0030726</v>
      </c>
      <c r="B21030" s="5" t="str">
        <f t="shared" si="1058"/>
        <v>LICENCIA DE ANTIVIRUS ESET ENDPOINT POR TRES (3) AÑOS - RENOVACIÓN</v>
      </c>
      <c r="C21030" s="6">
        <v>50000</v>
      </c>
      <c r="D21030" s="5" t="s">
        <v>362</v>
      </c>
      <c r="E21030" s="5" t="str">
        <f t="shared" si="1057"/>
        <v>SISTEMAS-GLOBALTRONIK SAS-SERGIO PATIÑO</v>
      </c>
      <c r="F21030" s="5"/>
      <c r="G21030" s="5"/>
    </row>
    <row r="21031" spans="1:7" ht="58.5" customHeight="1" x14ac:dyDescent="0.25">
      <c r="A21031" s="5" t="str">
        <f>"H0030727"</f>
        <v>H0030727</v>
      </c>
      <c r="B21031" s="5" t="str">
        <f t="shared" si="1058"/>
        <v>LICENCIA DE ANTIVIRUS ESET ENDPOINT POR TRES (3) AÑOS - RENOVACIÓN</v>
      </c>
      <c r="C21031" s="6">
        <v>50000</v>
      </c>
      <c r="D21031" s="5" t="s">
        <v>362</v>
      </c>
      <c r="E21031" s="5" t="str">
        <f t="shared" si="1057"/>
        <v>SISTEMAS-GLOBALTRONIK SAS-SERGIO PATIÑO</v>
      </c>
      <c r="F21031" s="5"/>
      <c r="G21031" s="5"/>
    </row>
    <row r="21032" spans="1:7" ht="58.5" customHeight="1" x14ac:dyDescent="0.25">
      <c r="A21032" s="5" t="str">
        <f>"H0030728"</f>
        <v>H0030728</v>
      </c>
      <c r="B21032" s="5" t="str">
        <f t="shared" si="1058"/>
        <v>LICENCIA DE ANTIVIRUS ESET ENDPOINT POR TRES (3) AÑOS - RENOVACIÓN</v>
      </c>
      <c r="C21032" s="6">
        <v>50000</v>
      </c>
      <c r="D21032" s="5" t="s">
        <v>362</v>
      </c>
      <c r="E21032" s="5" t="str">
        <f t="shared" si="1057"/>
        <v>SISTEMAS-GLOBALTRONIK SAS-SERGIO PATIÑO</v>
      </c>
      <c r="F21032" s="5"/>
      <c r="G21032" s="5"/>
    </row>
    <row r="21033" spans="1:7" ht="58.5" customHeight="1" x14ac:dyDescent="0.25">
      <c r="A21033" s="5" t="str">
        <f>"H0030729"</f>
        <v>H0030729</v>
      </c>
      <c r="B21033" s="5" t="str">
        <f t="shared" si="1058"/>
        <v>LICENCIA DE ANTIVIRUS ESET ENDPOINT POR TRES (3) AÑOS - RENOVACIÓN</v>
      </c>
      <c r="C21033" s="6">
        <v>50000</v>
      </c>
      <c r="D21033" s="5" t="s">
        <v>362</v>
      </c>
      <c r="E21033" s="5" t="str">
        <f t="shared" si="1057"/>
        <v>SISTEMAS-GLOBALTRONIK SAS-SERGIO PATIÑO</v>
      </c>
      <c r="F21033" s="5"/>
      <c r="G21033" s="5"/>
    </row>
    <row r="21034" spans="1:7" ht="58.5" customHeight="1" x14ac:dyDescent="0.25">
      <c r="A21034" s="5" t="str">
        <f>"H0030730"</f>
        <v>H0030730</v>
      </c>
      <c r="B21034" s="5" t="str">
        <f t="shared" si="1058"/>
        <v>LICENCIA DE ANTIVIRUS ESET ENDPOINT POR TRES (3) AÑOS - RENOVACIÓN</v>
      </c>
      <c r="C21034" s="6">
        <v>50000</v>
      </c>
      <c r="D21034" s="5" t="s">
        <v>362</v>
      </c>
      <c r="E21034" s="5" t="str">
        <f t="shared" si="1057"/>
        <v>SISTEMAS-GLOBALTRONIK SAS-SERGIO PATIÑO</v>
      </c>
      <c r="F21034" s="5"/>
      <c r="G21034" s="5"/>
    </row>
    <row r="21035" spans="1:7" ht="58.5" customHeight="1" x14ac:dyDescent="0.25">
      <c r="A21035" s="5" t="str">
        <f>"H0030731"</f>
        <v>H0030731</v>
      </c>
      <c r="B21035" s="5" t="str">
        <f t="shared" si="1058"/>
        <v>LICENCIA DE ANTIVIRUS ESET ENDPOINT POR TRES (3) AÑOS - RENOVACIÓN</v>
      </c>
      <c r="C21035" s="6">
        <v>50000</v>
      </c>
      <c r="D21035" s="5" t="s">
        <v>362</v>
      </c>
      <c r="E21035" s="5" t="str">
        <f t="shared" si="1057"/>
        <v>SISTEMAS-GLOBALTRONIK SAS-SERGIO PATIÑO</v>
      </c>
      <c r="F21035" s="5"/>
      <c r="G21035" s="5"/>
    </row>
    <row r="21036" spans="1:7" ht="58.5" customHeight="1" x14ac:dyDescent="0.25">
      <c r="A21036" s="5" t="str">
        <f>"H0030732"</f>
        <v>H0030732</v>
      </c>
      <c r="B21036" s="5" t="str">
        <f t="shared" si="1058"/>
        <v>LICENCIA DE ANTIVIRUS ESET ENDPOINT POR TRES (3) AÑOS - RENOVACIÓN</v>
      </c>
      <c r="C21036" s="6">
        <v>50000</v>
      </c>
      <c r="D21036" s="5" t="s">
        <v>362</v>
      </c>
      <c r="E21036" s="5" t="str">
        <f t="shared" si="1057"/>
        <v>SISTEMAS-GLOBALTRONIK SAS-SERGIO PATIÑO</v>
      </c>
      <c r="F21036" s="5"/>
      <c r="G21036" s="5"/>
    </row>
    <row r="21037" spans="1:7" ht="58.5" customHeight="1" x14ac:dyDescent="0.25">
      <c r="A21037" s="5" t="str">
        <f>"H0030733"</f>
        <v>H0030733</v>
      </c>
      <c r="B21037" s="5" t="str">
        <f t="shared" si="1058"/>
        <v>LICENCIA DE ANTIVIRUS ESET ENDPOINT POR TRES (3) AÑOS - RENOVACIÓN</v>
      </c>
      <c r="C21037" s="6">
        <v>50000</v>
      </c>
      <c r="D21037" s="5" t="s">
        <v>362</v>
      </c>
      <c r="E21037" s="5" t="str">
        <f t="shared" si="1057"/>
        <v>SISTEMAS-GLOBALTRONIK SAS-SERGIO PATIÑO</v>
      </c>
      <c r="F21037" s="5"/>
      <c r="G21037" s="5"/>
    </row>
    <row r="21038" spans="1:7" ht="58.5" customHeight="1" x14ac:dyDescent="0.25">
      <c r="A21038" s="5" t="str">
        <f>"H0030734"</f>
        <v>H0030734</v>
      </c>
      <c r="B21038" s="5" t="str">
        <f t="shared" si="1058"/>
        <v>LICENCIA DE ANTIVIRUS ESET ENDPOINT POR TRES (3) AÑOS - RENOVACIÓN</v>
      </c>
      <c r="C21038" s="6">
        <v>50000</v>
      </c>
      <c r="D21038" s="5" t="s">
        <v>362</v>
      </c>
      <c r="E21038" s="5" t="str">
        <f t="shared" si="1057"/>
        <v>SISTEMAS-GLOBALTRONIK SAS-SERGIO PATIÑO</v>
      </c>
      <c r="F21038" s="5"/>
      <c r="G21038" s="5"/>
    </row>
    <row r="21039" spans="1:7" ht="58.5" customHeight="1" x14ac:dyDescent="0.25">
      <c r="A21039" s="5" t="str">
        <f>"H0030735"</f>
        <v>H0030735</v>
      </c>
      <c r="B21039" s="5" t="str">
        <f t="shared" si="1058"/>
        <v>LICENCIA DE ANTIVIRUS ESET ENDPOINT POR TRES (3) AÑOS - RENOVACIÓN</v>
      </c>
      <c r="C21039" s="6">
        <v>50000</v>
      </c>
      <c r="D21039" s="5" t="s">
        <v>362</v>
      </c>
      <c r="E21039" s="5" t="str">
        <f t="shared" si="1057"/>
        <v>SISTEMAS-GLOBALTRONIK SAS-SERGIO PATIÑO</v>
      </c>
      <c r="F21039" s="5"/>
      <c r="G21039" s="5"/>
    </row>
    <row r="21040" spans="1:7" ht="58.5" customHeight="1" x14ac:dyDescent="0.25">
      <c r="A21040" s="5" t="str">
        <f>"H0030736"</f>
        <v>H0030736</v>
      </c>
      <c r="B21040" s="5" t="str">
        <f t="shared" si="1058"/>
        <v>LICENCIA DE ANTIVIRUS ESET ENDPOINT POR TRES (3) AÑOS - RENOVACIÓN</v>
      </c>
      <c r="C21040" s="6">
        <v>50000</v>
      </c>
      <c r="D21040" s="5" t="s">
        <v>362</v>
      </c>
      <c r="E21040" s="5" t="str">
        <f t="shared" si="1057"/>
        <v>SISTEMAS-GLOBALTRONIK SAS-SERGIO PATIÑO</v>
      </c>
      <c r="F21040" s="5"/>
      <c r="G21040" s="5"/>
    </row>
    <row r="21041" spans="1:7" ht="58.5" customHeight="1" x14ac:dyDescent="0.25">
      <c r="A21041" s="5" t="str">
        <f>"H0030737"</f>
        <v>H0030737</v>
      </c>
      <c r="B21041" s="5" t="str">
        <f t="shared" si="1058"/>
        <v>LICENCIA DE ANTIVIRUS ESET ENDPOINT POR TRES (3) AÑOS - RENOVACIÓN</v>
      </c>
      <c r="C21041" s="6">
        <v>50000</v>
      </c>
      <c r="D21041" s="5" t="s">
        <v>362</v>
      </c>
      <c r="E21041" s="5" t="str">
        <f t="shared" si="1057"/>
        <v>SISTEMAS-GLOBALTRONIK SAS-SERGIO PATIÑO</v>
      </c>
      <c r="F21041" s="5"/>
      <c r="G21041" s="5"/>
    </row>
    <row r="21042" spans="1:7" ht="58.5" customHeight="1" x14ac:dyDescent="0.25">
      <c r="A21042" s="5" t="str">
        <f>"H0030738"</f>
        <v>H0030738</v>
      </c>
      <c r="B21042" s="5" t="str">
        <f t="shared" si="1058"/>
        <v>LICENCIA DE ANTIVIRUS ESET ENDPOINT POR TRES (3) AÑOS - RENOVACIÓN</v>
      </c>
      <c r="C21042" s="6">
        <v>50000</v>
      </c>
      <c r="D21042" s="5" t="s">
        <v>362</v>
      </c>
      <c r="E21042" s="5" t="str">
        <f t="shared" si="1057"/>
        <v>SISTEMAS-GLOBALTRONIK SAS-SERGIO PATIÑO</v>
      </c>
      <c r="F21042" s="5"/>
      <c r="G21042" s="5"/>
    </row>
    <row r="21043" spans="1:7" ht="58.5" customHeight="1" x14ac:dyDescent="0.25">
      <c r="A21043" s="5" t="str">
        <f>"H0030739"</f>
        <v>H0030739</v>
      </c>
      <c r="B21043" s="5" t="str">
        <f t="shared" si="1058"/>
        <v>LICENCIA DE ANTIVIRUS ESET ENDPOINT POR TRES (3) AÑOS - RENOVACIÓN</v>
      </c>
      <c r="C21043" s="6">
        <v>50000</v>
      </c>
      <c r="D21043" s="5" t="s">
        <v>362</v>
      </c>
      <c r="E21043" s="5" t="str">
        <f t="shared" si="1057"/>
        <v>SISTEMAS-GLOBALTRONIK SAS-SERGIO PATIÑO</v>
      </c>
      <c r="F21043" s="5"/>
      <c r="G21043" s="5"/>
    </row>
    <row r="21044" spans="1:7" ht="58.5" customHeight="1" x14ac:dyDescent="0.25">
      <c r="A21044" s="5" t="str">
        <f>"H0030740"</f>
        <v>H0030740</v>
      </c>
      <c r="B21044" s="5" t="str">
        <f t="shared" si="1058"/>
        <v>LICENCIA DE ANTIVIRUS ESET ENDPOINT POR TRES (3) AÑOS - RENOVACIÓN</v>
      </c>
      <c r="C21044" s="6">
        <v>50000</v>
      </c>
      <c r="D21044" s="5" t="s">
        <v>362</v>
      </c>
      <c r="E21044" s="5" t="str">
        <f t="shared" si="1057"/>
        <v>SISTEMAS-GLOBALTRONIK SAS-SERGIO PATIÑO</v>
      </c>
      <c r="F21044" s="5"/>
      <c r="G21044" s="5"/>
    </row>
    <row r="21045" spans="1:7" ht="58.5" customHeight="1" x14ac:dyDescent="0.25">
      <c r="A21045" s="5" t="str">
        <f>"H0030741"</f>
        <v>H0030741</v>
      </c>
      <c r="B21045" s="5" t="str">
        <f t="shared" si="1058"/>
        <v>LICENCIA DE ANTIVIRUS ESET ENDPOINT POR TRES (3) AÑOS - RENOVACIÓN</v>
      </c>
      <c r="C21045" s="6">
        <v>50000</v>
      </c>
      <c r="D21045" s="5" t="s">
        <v>362</v>
      </c>
      <c r="E21045" s="5" t="str">
        <f t="shared" si="1057"/>
        <v>SISTEMAS-GLOBALTRONIK SAS-SERGIO PATIÑO</v>
      </c>
      <c r="F21045" s="5"/>
      <c r="G21045" s="5"/>
    </row>
    <row r="21046" spans="1:7" ht="58.5" customHeight="1" x14ac:dyDescent="0.25">
      <c r="A21046" s="5" t="str">
        <f>"H0030742"</f>
        <v>H0030742</v>
      </c>
      <c r="B21046" s="5" t="str">
        <f t="shared" si="1058"/>
        <v>LICENCIA DE ANTIVIRUS ESET ENDPOINT POR TRES (3) AÑOS - RENOVACIÓN</v>
      </c>
      <c r="C21046" s="6">
        <v>50000</v>
      </c>
      <c r="D21046" s="5" t="s">
        <v>362</v>
      </c>
      <c r="E21046" s="5" t="str">
        <f t="shared" si="1057"/>
        <v>SISTEMAS-GLOBALTRONIK SAS-SERGIO PATIÑO</v>
      </c>
      <c r="F21046" s="5"/>
      <c r="G21046" s="5"/>
    </row>
    <row r="21047" spans="1:7" ht="58.5" customHeight="1" x14ac:dyDescent="0.25">
      <c r="A21047" s="5" t="str">
        <f>"H0030743"</f>
        <v>H0030743</v>
      </c>
      <c r="B21047" s="5" t="str">
        <f t="shared" si="1058"/>
        <v>LICENCIA DE ANTIVIRUS ESET ENDPOINT POR TRES (3) AÑOS - RENOVACIÓN</v>
      </c>
      <c r="C21047" s="6">
        <v>50000</v>
      </c>
      <c r="D21047" s="5" t="s">
        <v>362</v>
      </c>
      <c r="E21047" s="5" t="str">
        <f t="shared" si="1057"/>
        <v>SISTEMAS-GLOBALTRONIK SAS-SERGIO PATIÑO</v>
      </c>
      <c r="F21047" s="5"/>
      <c r="G21047" s="5"/>
    </row>
    <row r="21048" spans="1:7" ht="58.5" customHeight="1" x14ac:dyDescent="0.25">
      <c r="A21048" s="5" t="str">
        <f>"H0030744"</f>
        <v>H0030744</v>
      </c>
      <c r="B21048" s="5" t="str">
        <f t="shared" si="1058"/>
        <v>LICENCIA DE ANTIVIRUS ESET ENDPOINT POR TRES (3) AÑOS - RENOVACIÓN</v>
      </c>
      <c r="C21048" s="6">
        <v>50000</v>
      </c>
      <c r="D21048" s="5" t="s">
        <v>362</v>
      </c>
      <c r="E21048" s="5" t="str">
        <f t="shared" si="1057"/>
        <v>SISTEMAS-GLOBALTRONIK SAS-SERGIO PATIÑO</v>
      </c>
      <c r="F21048" s="5"/>
      <c r="G21048" s="5"/>
    </row>
    <row r="21049" spans="1:7" ht="58.5" customHeight="1" x14ac:dyDescent="0.25">
      <c r="A21049" s="5" t="str">
        <f>"H0030745"</f>
        <v>H0030745</v>
      </c>
      <c r="B21049" s="5" t="str">
        <f t="shared" si="1058"/>
        <v>LICENCIA DE ANTIVIRUS ESET ENDPOINT POR TRES (3) AÑOS - RENOVACIÓN</v>
      </c>
      <c r="C21049" s="6">
        <v>50000</v>
      </c>
      <c r="D21049" s="5" t="s">
        <v>362</v>
      </c>
      <c r="E21049" s="5" t="str">
        <f t="shared" si="1057"/>
        <v>SISTEMAS-GLOBALTRONIK SAS-SERGIO PATIÑO</v>
      </c>
      <c r="F21049" s="5"/>
      <c r="G21049" s="5"/>
    </row>
    <row r="21050" spans="1:7" ht="58.5" customHeight="1" x14ac:dyDescent="0.25">
      <c r="A21050" s="5" t="str">
        <f>"H0030746"</f>
        <v>H0030746</v>
      </c>
      <c r="B21050" s="5" t="str">
        <f t="shared" si="1058"/>
        <v>LICENCIA DE ANTIVIRUS ESET ENDPOINT POR TRES (3) AÑOS - RENOVACIÓN</v>
      </c>
      <c r="C21050" s="6">
        <v>50000</v>
      </c>
      <c r="D21050" s="5" t="s">
        <v>881</v>
      </c>
      <c r="E21050" s="5" t="str">
        <f t="shared" si="1057"/>
        <v>SISTEMAS-GLOBALTRONIK SAS-SERGIO PATIÑO</v>
      </c>
      <c r="F21050" s="5"/>
      <c r="G21050" s="5"/>
    </row>
    <row r="21051" spans="1:7" ht="58.5" customHeight="1" x14ac:dyDescent="0.25">
      <c r="A21051" s="5" t="str">
        <f>"H0030747"</f>
        <v>H0030747</v>
      </c>
      <c r="B21051" s="5" t="str">
        <f t="shared" si="1058"/>
        <v>LICENCIA DE ANTIVIRUS ESET ENDPOINT POR TRES (3) AÑOS - RENOVACIÓN</v>
      </c>
      <c r="C21051" s="6">
        <v>50000</v>
      </c>
      <c r="D21051" s="5" t="s">
        <v>362</v>
      </c>
      <c r="E21051" s="5" t="str">
        <f t="shared" si="1057"/>
        <v>SISTEMAS-GLOBALTRONIK SAS-SERGIO PATIÑO</v>
      </c>
      <c r="F21051" s="5"/>
      <c r="G21051" s="5"/>
    </row>
    <row r="21052" spans="1:7" ht="58.5" customHeight="1" x14ac:dyDescent="0.25">
      <c r="A21052" s="5" t="str">
        <f>"H0030748"</f>
        <v>H0030748</v>
      </c>
      <c r="B21052" s="5" t="str">
        <f t="shared" si="1058"/>
        <v>LICENCIA DE ANTIVIRUS ESET ENDPOINT POR TRES (3) AÑOS - RENOVACIÓN</v>
      </c>
      <c r="C21052" s="6">
        <v>50000</v>
      </c>
      <c r="D21052" s="5" t="s">
        <v>362</v>
      </c>
      <c r="E21052" s="5" t="str">
        <f t="shared" si="1057"/>
        <v>SISTEMAS-GLOBALTRONIK SAS-SERGIO PATIÑO</v>
      </c>
      <c r="F21052" s="5"/>
      <c r="G21052" s="5"/>
    </row>
    <row r="21053" spans="1:7" ht="58.5" customHeight="1" x14ac:dyDescent="0.25">
      <c r="A21053" s="5" t="str">
        <f>"H0030749"</f>
        <v>H0030749</v>
      </c>
      <c r="B21053" s="5" t="str">
        <f t="shared" si="1058"/>
        <v>LICENCIA DE ANTIVIRUS ESET ENDPOINT POR TRES (3) AÑOS - RENOVACIÓN</v>
      </c>
      <c r="C21053" s="6">
        <v>50000</v>
      </c>
      <c r="D21053" s="5" t="s">
        <v>362</v>
      </c>
      <c r="E21053" s="5" t="str">
        <f t="shared" ref="E21053:E21116" si="1059">"SISTEMAS-GLOBALTRONIK SAS-SERGIO PATIÑO"</f>
        <v>SISTEMAS-GLOBALTRONIK SAS-SERGIO PATIÑO</v>
      </c>
      <c r="F21053" s="5"/>
      <c r="G21053" s="5"/>
    </row>
    <row r="21054" spans="1:7" ht="58.5" customHeight="1" x14ac:dyDescent="0.25">
      <c r="A21054" s="5" t="str">
        <f>"H0030750"</f>
        <v>H0030750</v>
      </c>
      <c r="B21054" s="5" t="str">
        <f t="shared" si="1058"/>
        <v>LICENCIA DE ANTIVIRUS ESET ENDPOINT POR TRES (3) AÑOS - RENOVACIÓN</v>
      </c>
      <c r="C21054" s="6">
        <v>50000</v>
      </c>
      <c r="D21054" s="5" t="s">
        <v>362</v>
      </c>
      <c r="E21054" s="5" t="str">
        <f t="shared" si="1059"/>
        <v>SISTEMAS-GLOBALTRONIK SAS-SERGIO PATIÑO</v>
      </c>
      <c r="F21054" s="5"/>
      <c r="G21054" s="5"/>
    </row>
    <row r="21055" spans="1:7" ht="58.5" customHeight="1" x14ac:dyDescent="0.25">
      <c r="A21055" s="5" t="str">
        <f>"H0030751"</f>
        <v>H0030751</v>
      </c>
      <c r="B21055" s="5" t="str">
        <f t="shared" si="1058"/>
        <v>LICENCIA DE ANTIVIRUS ESET ENDPOINT POR TRES (3) AÑOS - RENOVACIÓN</v>
      </c>
      <c r="C21055" s="6">
        <v>50000</v>
      </c>
      <c r="D21055" s="5" t="s">
        <v>362</v>
      </c>
      <c r="E21055" s="5" t="str">
        <f t="shared" si="1059"/>
        <v>SISTEMAS-GLOBALTRONIK SAS-SERGIO PATIÑO</v>
      </c>
      <c r="F21055" s="5"/>
      <c r="G21055" s="5"/>
    </row>
    <row r="21056" spans="1:7" ht="58.5" customHeight="1" x14ac:dyDescent="0.25">
      <c r="A21056" s="5" t="str">
        <f>"H0030752"</f>
        <v>H0030752</v>
      </c>
      <c r="B21056" s="5" t="str">
        <f t="shared" si="1058"/>
        <v>LICENCIA DE ANTIVIRUS ESET ENDPOINT POR TRES (3) AÑOS - RENOVACIÓN</v>
      </c>
      <c r="C21056" s="6">
        <v>50000</v>
      </c>
      <c r="D21056" s="5" t="s">
        <v>362</v>
      </c>
      <c r="E21056" s="5" t="str">
        <f t="shared" si="1059"/>
        <v>SISTEMAS-GLOBALTRONIK SAS-SERGIO PATIÑO</v>
      </c>
      <c r="F21056" s="5"/>
      <c r="G21056" s="5"/>
    </row>
    <row r="21057" spans="1:7" ht="58.5" customHeight="1" x14ac:dyDescent="0.25">
      <c r="A21057" s="5" t="str">
        <f>"H0030753"</f>
        <v>H0030753</v>
      </c>
      <c r="B21057" s="5" t="str">
        <f t="shared" si="1058"/>
        <v>LICENCIA DE ANTIVIRUS ESET ENDPOINT POR TRES (3) AÑOS - RENOVACIÓN</v>
      </c>
      <c r="C21057" s="6">
        <v>50000</v>
      </c>
      <c r="D21057" s="5" t="s">
        <v>362</v>
      </c>
      <c r="E21057" s="5" t="str">
        <f t="shared" si="1059"/>
        <v>SISTEMAS-GLOBALTRONIK SAS-SERGIO PATIÑO</v>
      </c>
      <c r="F21057" s="5"/>
      <c r="G21057" s="5"/>
    </row>
    <row r="21058" spans="1:7" ht="58.5" customHeight="1" x14ac:dyDescent="0.25">
      <c r="A21058" s="5" t="str">
        <f>"H0030754"</f>
        <v>H0030754</v>
      </c>
      <c r="B21058" s="5" t="str">
        <f t="shared" si="1058"/>
        <v>LICENCIA DE ANTIVIRUS ESET ENDPOINT POR TRES (3) AÑOS - RENOVACIÓN</v>
      </c>
      <c r="C21058" s="6">
        <v>50000</v>
      </c>
      <c r="D21058" s="5" t="s">
        <v>362</v>
      </c>
      <c r="E21058" s="5" t="str">
        <f t="shared" si="1059"/>
        <v>SISTEMAS-GLOBALTRONIK SAS-SERGIO PATIÑO</v>
      </c>
      <c r="F21058" s="5"/>
      <c r="G21058" s="5"/>
    </row>
    <row r="21059" spans="1:7" ht="58.5" customHeight="1" x14ac:dyDescent="0.25">
      <c r="A21059" s="5" t="str">
        <f>"H0030755"</f>
        <v>H0030755</v>
      </c>
      <c r="B21059" s="5" t="str">
        <f t="shared" si="1058"/>
        <v>LICENCIA DE ANTIVIRUS ESET ENDPOINT POR TRES (3) AÑOS - RENOVACIÓN</v>
      </c>
      <c r="C21059" s="6">
        <v>50000</v>
      </c>
      <c r="D21059" s="5" t="s">
        <v>362</v>
      </c>
      <c r="E21059" s="5" t="str">
        <f t="shared" si="1059"/>
        <v>SISTEMAS-GLOBALTRONIK SAS-SERGIO PATIÑO</v>
      </c>
      <c r="F21059" s="5"/>
      <c r="G21059" s="5"/>
    </row>
    <row r="21060" spans="1:7" ht="58.5" customHeight="1" x14ac:dyDescent="0.25">
      <c r="A21060" s="5" t="str">
        <f>"H0030756"</f>
        <v>H0030756</v>
      </c>
      <c r="B21060" s="5" t="str">
        <f t="shared" si="1058"/>
        <v>LICENCIA DE ANTIVIRUS ESET ENDPOINT POR TRES (3) AÑOS - RENOVACIÓN</v>
      </c>
      <c r="C21060" s="6">
        <v>50000</v>
      </c>
      <c r="D21060" s="5" t="s">
        <v>362</v>
      </c>
      <c r="E21060" s="5" t="str">
        <f t="shared" si="1059"/>
        <v>SISTEMAS-GLOBALTRONIK SAS-SERGIO PATIÑO</v>
      </c>
      <c r="F21060" s="5"/>
      <c r="G21060" s="5"/>
    </row>
    <row r="21061" spans="1:7" ht="58.5" customHeight="1" x14ac:dyDescent="0.25">
      <c r="A21061" s="5" t="str">
        <f>"H0030757"</f>
        <v>H0030757</v>
      </c>
      <c r="B21061" s="5" t="str">
        <f t="shared" si="1058"/>
        <v>LICENCIA DE ANTIVIRUS ESET ENDPOINT POR TRES (3) AÑOS - RENOVACIÓN</v>
      </c>
      <c r="C21061" s="6">
        <v>50000</v>
      </c>
      <c r="D21061" s="5" t="s">
        <v>362</v>
      </c>
      <c r="E21061" s="5" t="str">
        <f t="shared" si="1059"/>
        <v>SISTEMAS-GLOBALTRONIK SAS-SERGIO PATIÑO</v>
      </c>
      <c r="F21061" s="5"/>
      <c r="G21061" s="5"/>
    </row>
    <row r="21062" spans="1:7" ht="58.5" customHeight="1" x14ac:dyDescent="0.25">
      <c r="A21062" s="5" t="str">
        <f>"H0030758"</f>
        <v>H0030758</v>
      </c>
      <c r="B21062" s="5" t="str">
        <f t="shared" si="1058"/>
        <v>LICENCIA DE ANTIVIRUS ESET ENDPOINT POR TRES (3) AÑOS - RENOVACIÓN</v>
      </c>
      <c r="C21062" s="6">
        <v>50000</v>
      </c>
      <c r="D21062" s="5" t="s">
        <v>362</v>
      </c>
      <c r="E21062" s="5" t="str">
        <f t="shared" si="1059"/>
        <v>SISTEMAS-GLOBALTRONIK SAS-SERGIO PATIÑO</v>
      </c>
      <c r="F21062" s="5"/>
      <c r="G21062" s="5"/>
    </row>
    <row r="21063" spans="1:7" ht="58.5" customHeight="1" x14ac:dyDescent="0.25">
      <c r="A21063" s="5" t="str">
        <f>"H0030759"</f>
        <v>H0030759</v>
      </c>
      <c r="B21063" s="5" t="str">
        <f t="shared" si="1058"/>
        <v>LICENCIA DE ANTIVIRUS ESET ENDPOINT POR TRES (3) AÑOS - RENOVACIÓN</v>
      </c>
      <c r="C21063" s="6">
        <v>50000</v>
      </c>
      <c r="D21063" s="5" t="s">
        <v>362</v>
      </c>
      <c r="E21063" s="5" t="str">
        <f t="shared" si="1059"/>
        <v>SISTEMAS-GLOBALTRONIK SAS-SERGIO PATIÑO</v>
      </c>
      <c r="F21063" s="5"/>
      <c r="G21063" s="5"/>
    </row>
    <row r="21064" spans="1:7" ht="58.5" customHeight="1" x14ac:dyDescent="0.25">
      <c r="A21064" s="5" t="str">
        <f>"H0030760"</f>
        <v>H0030760</v>
      </c>
      <c r="B21064" s="5" t="str">
        <f t="shared" si="1058"/>
        <v>LICENCIA DE ANTIVIRUS ESET ENDPOINT POR TRES (3) AÑOS - RENOVACIÓN</v>
      </c>
      <c r="C21064" s="6">
        <v>50000</v>
      </c>
      <c r="D21064" s="5" t="s">
        <v>362</v>
      </c>
      <c r="E21064" s="5" t="str">
        <f t="shared" si="1059"/>
        <v>SISTEMAS-GLOBALTRONIK SAS-SERGIO PATIÑO</v>
      </c>
      <c r="F21064" s="5"/>
      <c r="G21064" s="5"/>
    </row>
    <row r="21065" spans="1:7" ht="58.5" customHeight="1" x14ac:dyDescent="0.25">
      <c r="A21065" s="5" t="str">
        <f>"H0030761"</f>
        <v>H0030761</v>
      </c>
      <c r="B21065" s="5" t="str">
        <f t="shared" si="1058"/>
        <v>LICENCIA DE ANTIVIRUS ESET ENDPOINT POR TRES (3) AÑOS - RENOVACIÓN</v>
      </c>
      <c r="C21065" s="6">
        <v>50000</v>
      </c>
      <c r="D21065" s="5" t="s">
        <v>362</v>
      </c>
      <c r="E21065" s="5" t="str">
        <f t="shared" si="1059"/>
        <v>SISTEMAS-GLOBALTRONIK SAS-SERGIO PATIÑO</v>
      </c>
      <c r="F21065" s="5"/>
      <c r="G21065" s="5"/>
    </row>
    <row r="21066" spans="1:7" ht="58.5" customHeight="1" x14ac:dyDescent="0.25">
      <c r="A21066" s="5" t="str">
        <f>"H0030762"</f>
        <v>H0030762</v>
      </c>
      <c r="B21066" s="5" t="str">
        <f t="shared" si="1058"/>
        <v>LICENCIA DE ANTIVIRUS ESET ENDPOINT POR TRES (3) AÑOS - RENOVACIÓN</v>
      </c>
      <c r="C21066" s="6">
        <v>50000</v>
      </c>
      <c r="D21066" s="5" t="s">
        <v>362</v>
      </c>
      <c r="E21066" s="5" t="str">
        <f t="shared" si="1059"/>
        <v>SISTEMAS-GLOBALTRONIK SAS-SERGIO PATIÑO</v>
      </c>
      <c r="F21066" s="5"/>
      <c r="G21066" s="5"/>
    </row>
    <row r="21067" spans="1:7" ht="58.5" customHeight="1" x14ac:dyDescent="0.25">
      <c r="A21067" s="5" t="str">
        <f>"H0030763"</f>
        <v>H0030763</v>
      </c>
      <c r="B21067" s="5" t="str">
        <f t="shared" si="1058"/>
        <v>LICENCIA DE ANTIVIRUS ESET ENDPOINT POR TRES (3) AÑOS - RENOVACIÓN</v>
      </c>
      <c r="C21067" s="6">
        <v>50000</v>
      </c>
      <c r="D21067" s="5" t="s">
        <v>362</v>
      </c>
      <c r="E21067" s="5" t="str">
        <f t="shared" si="1059"/>
        <v>SISTEMAS-GLOBALTRONIK SAS-SERGIO PATIÑO</v>
      </c>
      <c r="F21067" s="5"/>
      <c r="G21067" s="5"/>
    </row>
    <row r="21068" spans="1:7" ht="58.5" customHeight="1" x14ac:dyDescent="0.25">
      <c r="A21068" s="5" t="str">
        <f>"H0030764"</f>
        <v>H0030764</v>
      </c>
      <c r="B21068" s="5" t="str">
        <f t="shared" si="1058"/>
        <v>LICENCIA DE ANTIVIRUS ESET ENDPOINT POR TRES (3) AÑOS - RENOVACIÓN</v>
      </c>
      <c r="C21068" s="6">
        <v>50000</v>
      </c>
      <c r="D21068" s="5" t="s">
        <v>362</v>
      </c>
      <c r="E21068" s="5" t="str">
        <f t="shared" si="1059"/>
        <v>SISTEMAS-GLOBALTRONIK SAS-SERGIO PATIÑO</v>
      </c>
      <c r="F21068" s="5"/>
      <c r="G21068" s="5"/>
    </row>
    <row r="21069" spans="1:7" ht="58.5" customHeight="1" x14ac:dyDescent="0.25">
      <c r="A21069" s="5" t="str">
        <f>"H0030765"</f>
        <v>H0030765</v>
      </c>
      <c r="B21069" s="5" t="str">
        <f t="shared" si="1058"/>
        <v>LICENCIA DE ANTIVIRUS ESET ENDPOINT POR TRES (3) AÑOS - RENOVACIÓN</v>
      </c>
      <c r="C21069" s="6">
        <v>50000</v>
      </c>
      <c r="D21069" s="5" t="s">
        <v>362</v>
      </c>
      <c r="E21069" s="5" t="str">
        <f t="shared" si="1059"/>
        <v>SISTEMAS-GLOBALTRONIK SAS-SERGIO PATIÑO</v>
      </c>
      <c r="F21069" s="5"/>
      <c r="G21069" s="5"/>
    </row>
    <row r="21070" spans="1:7" ht="58.5" customHeight="1" x14ac:dyDescent="0.25">
      <c r="A21070" s="5" t="str">
        <f>"H0030766"</f>
        <v>H0030766</v>
      </c>
      <c r="B21070" s="5" t="str">
        <f t="shared" si="1058"/>
        <v>LICENCIA DE ANTIVIRUS ESET ENDPOINT POR TRES (3) AÑOS - RENOVACIÓN</v>
      </c>
      <c r="C21070" s="6">
        <v>50000</v>
      </c>
      <c r="D21070" s="5" t="s">
        <v>362</v>
      </c>
      <c r="E21070" s="5" t="str">
        <f t="shared" si="1059"/>
        <v>SISTEMAS-GLOBALTRONIK SAS-SERGIO PATIÑO</v>
      </c>
      <c r="F21070" s="5"/>
      <c r="G21070" s="5"/>
    </row>
    <row r="21071" spans="1:7" ht="58.5" customHeight="1" x14ac:dyDescent="0.25">
      <c r="A21071" s="5" t="str">
        <f>"H0030767"</f>
        <v>H0030767</v>
      </c>
      <c r="B21071" s="5" t="str">
        <f t="shared" si="1058"/>
        <v>LICENCIA DE ANTIVIRUS ESET ENDPOINT POR TRES (3) AÑOS - RENOVACIÓN</v>
      </c>
      <c r="C21071" s="6">
        <v>50000</v>
      </c>
      <c r="D21071" s="5" t="s">
        <v>362</v>
      </c>
      <c r="E21071" s="5" t="str">
        <f t="shared" si="1059"/>
        <v>SISTEMAS-GLOBALTRONIK SAS-SERGIO PATIÑO</v>
      </c>
      <c r="F21071" s="5"/>
      <c r="G21071" s="5"/>
    </row>
    <row r="21072" spans="1:7" ht="58.5" customHeight="1" x14ac:dyDescent="0.25">
      <c r="A21072" s="5" t="str">
        <f>"H0030768"</f>
        <v>H0030768</v>
      </c>
      <c r="B21072" s="5" t="str">
        <f t="shared" si="1058"/>
        <v>LICENCIA DE ANTIVIRUS ESET ENDPOINT POR TRES (3) AÑOS - RENOVACIÓN</v>
      </c>
      <c r="C21072" s="6">
        <v>50000</v>
      </c>
      <c r="D21072" s="5" t="s">
        <v>362</v>
      </c>
      <c r="E21072" s="5" t="str">
        <f t="shared" si="1059"/>
        <v>SISTEMAS-GLOBALTRONIK SAS-SERGIO PATIÑO</v>
      </c>
      <c r="F21072" s="5"/>
      <c r="G21072" s="5"/>
    </row>
    <row r="21073" spans="1:7" ht="58.5" customHeight="1" x14ac:dyDescent="0.25">
      <c r="A21073" s="5" t="str">
        <f>"H0030769"</f>
        <v>H0030769</v>
      </c>
      <c r="B21073" s="5" t="str">
        <f t="shared" si="1058"/>
        <v>LICENCIA DE ANTIVIRUS ESET ENDPOINT POR TRES (3) AÑOS - RENOVACIÓN</v>
      </c>
      <c r="C21073" s="6">
        <v>50000</v>
      </c>
      <c r="D21073" s="5" t="s">
        <v>362</v>
      </c>
      <c r="E21073" s="5" t="str">
        <f t="shared" si="1059"/>
        <v>SISTEMAS-GLOBALTRONIK SAS-SERGIO PATIÑO</v>
      </c>
      <c r="F21073" s="5"/>
      <c r="G21073" s="5"/>
    </row>
    <row r="21074" spans="1:7" ht="58.5" customHeight="1" x14ac:dyDescent="0.25">
      <c r="A21074" s="5" t="str">
        <f>"H0030770"</f>
        <v>H0030770</v>
      </c>
      <c r="B21074" s="5" t="str">
        <f t="shared" si="1058"/>
        <v>LICENCIA DE ANTIVIRUS ESET ENDPOINT POR TRES (3) AÑOS - RENOVACIÓN</v>
      </c>
      <c r="C21074" s="6">
        <v>50000</v>
      </c>
      <c r="D21074" s="5" t="s">
        <v>362</v>
      </c>
      <c r="E21074" s="5" t="str">
        <f t="shared" si="1059"/>
        <v>SISTEMAS-GLOBALTRONIK SAS-SERGIO PATIÑO</v>
      </c>
      <c r="F21074" s="5"/>
      <c r="G21074" s="5"/>
    </row>
    <row r="21075" spans="1:7" ht="58.5" customHeight="1" x14ac:dyDescent="0.25">
      <c r="A21075" s="5" t="str">
        <f>"H0030771"</f>
        <v>H0030771</v>
      </c>
      <c r="B21075" s="5" t="str">
        <f t="shared" si="1058"/>
        <v>LICENCIA DE ANTIVIRUS ESET ENDPOINT POR TRES (3) AÑOS - RENOVACIÓN</v>
      </c>
      <c r="C21075" s="6">
        <v>50000</v>
      </c>
      <c r="D21075" s="5" t="s">
        <v>362</v>
      </c>
      <c r="E21075" s="5" t="str">
        <f t="shared" si="1059"/>
        <v>SISTEMAS-GLOBALTRONIK SAS-SERGIO PATIÑO</v>
      </c>
      <c r="F21075" s="5"/>
      <c r="G21075" s="5"/>
    </row>
    <row r="21076" spans="1:7" ht="58.5" customHeight="1" x14ac:dyDescent="0.25">
      <c r="A21076" s="5" t="str">
        <f>"H0030772"</f>
        <v>H0030772</v>
      </c>
      <c r="B21076" s="5" t="str">
        <f t="shared" si="1058"/>
        <v>LICENCIA DE ANTIVIRUS ESET ENDPOINT POR TRES (3) AÑOS - RENOVACIÓN</v>
      </c>
      <c r="C21076" s="6">
        <v>50000</v>
      </c>
      <c r="D21076" s="5" t="s">
        <v>362</v>
      </c>
      <c r="E21076" s="5" t="str">
        <f t="shared" si="1059"/>
        <v>SISTEMAS-GLOBALTRONIK SAS-SERGIO PATIÑO</v>
      </c>
      <c r="F21076" s="5"/>
      <c r="G21076" s="5"/>
    </row>
    <row r="21077" spans="1:7" ht="58.5" customHeight="1" x14ac:dyDescent="0.25">
      <c r="A21077" s="5" t="str">
        <f>"H0030773"</f>
        <v>H0030773</v>
      </c>
      <c r="B21077" s="5" t="str">
        <f t="shared" ref="B21077:B21140" si="1060">"LICENCIA DE ANTIVIRUS ESET ENDPOINT POR TRES (3) AÑOS - RENOVACIÓN"</f>
        <v>LICENCIA DE ANTIVIRUS ESET ENDPOINT POR TRES (3) AÑOS - RENOVACIÓN</v>
      </c>
      <c r="C21077" s="6">
        <v>50000</v>
      </c>
      <c r="D21077" s="5" t="s">
        <v>362</v>
      </c>
      <c r="E21077" s="5" t="str">
        <f t="shared" si="1059"/>
        <v>SISTEMAS-GLOBALTRONIK SAS-SERGIO PATIÑO</v>
      </c>
      <c r="F21077" s="5"/>
      <c r="G21077" s="5"/>
    </row>
    <row r="21078" spans="1:7" ht="58.5" customHeight="1" x14ac:dyDescent="0.25">
      <c r="A21078" s="5" t="str">
        <f>"H0030774"</f>
        <v>H0030774</v>
      </c>
      <c r="B21078" s="5" t="str">
        <f t="shared" si="1060"/>
        <v>LICENCIA DE ANTIVIRUS ESET ENDPOINT POR TRES (3) AÑOS - RENOVACIÓN</v>
      </c>
      <c r="C21078" s="6">
        <v>50000</v>
      </c>
      <c r="D21078" s="5" t="s">
        <v>362</v>
      </c>
      <c r="E21078" s="5" t="str">
        <f t="shared" si="1059"/>
        <v>SISTEMAS-GLOBALTRONIK SAS-SERGIO PATIÑO</v>
      </c>
      <c r="F21078" s="5"/>
      <c r="G21078" s="5"/>
    </row>
    <row r="21079" spans="1:7" ht="58.5" customHeight="1" x14ac:dyDescent="0.25">
      <c r="A21079" s="5" t="str">
        <f>"H0030775"</f>
        <v>H0030775</v>
      </c>
      <c r="B21079" s="5" t="str">
        <f t="shared" si="1060"/>
        <v>LICENCIA DE ANTIVIRUS ESET ENDPOINT POR TRES (3) AÑOS - RENOVACIÓN</v>
      </c>
      <c r="C21079" s="6">
        <v>50000</v>
      </c>
      <c r="D21079" s="5" t="s">
        <v>362</v>
      </c>
      <c r="E21079" s="5" t="str">
        <f t="shared" si="1059"/>
        <v>SISTEMAS-GLOBALTRONIK SAS-SERGIO PATIÑO</v>
      </c>
      <c r="F21079" s="5"/>
      <c r="G21079" s="5"/>
    </row>
    <row r="21080" spans="1:7" ht="58.5" customHeight="1" x14ac:dyDescent="0.25">
      <c r="A21080" s="5" t="str">
        <f>"H0030776"</f>
        <v>H0030776</v>
      </c>
      <c r="B21080" s="5" t="str">
        <f t="shared" si="1060"/>
        <v>LICENCIA DE ANTIVIRUS ESET ENDPOINT POR TRES (3) AÑOS - RENOVACIÓN</v>
      </c>
      <c r="C21080" s="6">
        <v>50000</v>
      </c>
      <c r="D21080" s="5" t="s">
        <v>362</v>
      </c>
      <c r="E21080" s="5" t="str">
        <f t="shared" si="1059"/>
        <v>SISTEMAS-GLOBALTRONIK SAS-SERGIO PATIÑO</v>
      </c>
      <c r="F21080" s="5"/>
      <c r="G21080" s="5"/>
    </row>
    <row r="21081" spans="1:7" ht="58.5" customHeight="1" x14ac:dyDescent="0.25">
      <c r="A21081" s="5" t="str">
        <f>"H0030777"</f>
        <v>H0030777</v>
      </c>
      <c r="B21081" s="5" t="str">
        <f t="shared" si="1060"/>
        <v>LICENCIA DE ANTIVIRUS ESET ENDPOINT POR TRES (3) AÑOS - RENOVACIÓN</v>
      </c>
      <c r="C21081" s="6">
        <v>50000</v>
      </c>
      <c r="D21081" s="5" t="s">
        <v>362</v>
      </c>
      <c r="E21081" s="5" t="str">
        <f t="shared" si="1059"/>
        <v>SISTEMAS-GLOBALTRONIK SAS-SERGIO PATIÑO</v>
      </c>
      <c r="F21081" s="5"/>
      <c r="G21081" s="5"/>
    </row>
    <row r="21082" spans="1:7" ht="58.5" customHeight="1" x14ac:dyDescent="0.25">
      <c r="A21082" s="5" t="str">
        <f>"H0030778"</f>
        <v>H0030778</v>
      </c>
      <c r="B21082" s="5" t="str">
        <f t="shared" si="1060"/>
        <v>LICENCIA DE ANTIVIRUS ESET ENDPOINT POR TRES (3) AÑOS - RENOVACIÓN</v>
      </c>
      <c r="C21082" s="6">
        <v>50000</v>
      </c>
      <c r="D21082" s="5" t="s">
        <v>362</v>
      </c>
      <c r="E21082" s="5" t="str">
        <f t="shared" si="1059"/>
        <v>SISTEMAS-GLOBALTRONIK SAS-SERGIO PATIÑO</v>
      </c>
      <c r="F21082" s="5"/>
      <c r="G21082" s="5"/>
    </row>
    <row r="21083" spans="1:7" ht="58.5" customHeight="1" x14ac:dyDescent="0.25">
      <c r="A21083" s="5" t="str">
        <f>"H0030779"</f>
        <v>H0030779</v>
      </c>
      <c r="B21083" s="5" t="str">
        <f t="shared" si="1060"/>
        <v>LICENCIA DE ANTIVIRUS ESET ENDPOINT POR TRES (3) AÑOS - RENOVACIÓN</v>
      </c>
      <c r="C21083" s="6">
        <v>50000</v>
      </c>
      <c r="D21083" s="5" t="s">
        <v>362</v>
      </c>
      <c r="E21083" s="5" t="str">
        <f t="shared" si="1059"/>
        <v>SISTEMAS-GLOBALTRONIK SAS-SERGIO PATIÑO</v>
      </c>
      <c r="F21083" s="5"/>
      <c r="G21083" s="5"/>
    </row>
    <row r="21084" spans="1:7" ht="58.5" customHeight="1" x14ac:dyDescent="0.25">
      <c r="A21084" s="5" t="str">
        <f>"H0030780"</f>
        <v>H0030780</v>
      </c>
      <c r="B21084" s="5" t="str">
        <f t="shared" si="1060"/>
        <v>LICENCIA DE ANTIVIRUS ESET ENDPOINT POR TRES (3) AÑOS - RENOVACIÓN</v>
      </c>
      <c r="C21084" s="6">
        <v>50000</v>
      </c>
      <c r="D21084" s="5" t="s">
        <v>362</v>
      </c>
      <c r="E21084" s="5" t="str">
        <f t="shared" si="1059"/>
        <v>SISTEMAS-GLOBALTRONIK SAS-SERGIO PATIÑO</v>
      </c>
      <c r="F21084" s="5"/>
      <c r="G21084" s="5"/>
    </row>
    <row r="21085" spans="1:7" ht="58.5" customHeight="1" x14ac:dyDescent="0.25">
      <c r="A21085" s="5" t="str">
        <f>"H0030781"</f>
        <v>H0030781</v>
      </c>
      <c r="B21085" s="5" t="str">
        <f t="shared" si="1060"/>
        <v>LICENCIA DE ANTIVIRUS ESET ENDPOINT POR TRES (3) AÑOS - RENOVACIÓN</v>
      </c>
      <c r="C21085" s="6">
        <v>50000</v>
      </c>
      <c r="D21085" s="5" t="s">
        <v>883</v>
      </c>
      <c r="E21085" s="5" t="str">
        <f t="shared" si="1059"/>
        <v>SISTEMAS-GLOBALTRONIK SAS-SERGIO PATIÑO</v>
      </c>
      <c r="F21085" s="5"/>
      <c r="G21085" s="5"/>
    </row>
    <row r="21086" spans="1:7" ht="58.5" customHeight="1" x14ac:dyDescent="0.25">
      <c r="A21086" s="5" t="str">
        <f>"H0030782"</f>
        <v>H0030782</v>
      </c>
      <c r="B21086" s="5" t="str">
        <f t="shared" si="1060"/>
        <v>LICENCIA DE ANTIVIRUS ESET ENDPOINT POR TRES (3) AÑOS - RENOVACIÓN</v>
      </c>
      <c r="C21086" s="6">
        <v>50000</v>
      </c>
      <c r="D21086" s="5" t="s">
        <v>362</v>
      </c>
      <c r="E21086" s="5" t="str">
        <f t="shared" si="1059"/>
        <v>SISTEMAS-GLOBALTRONIK SAS-SERGIO PATIÑO</v>
      </c>
      <c r="F21086" s="5"/>
      <c r="G21086" s="5"/>
    </row>
    <row r="21087" spans="1:7" ht="58.5" customHeight="1" x14ac:dyDescent="0.25">
      <c r="A21087" s="5" t="str">
        <f>"H0030783"</f>
        <v>H0030783</v>
      </c>
      <c r="B21087" s="5" t="str">
        <f t="shared" si="1060"/>
        <v>LICENCIA DE ANTIVIRUS ESET ENDPOINT POR TRES (3) AÑOS - RENOVACIÓN</v>
      </c>
      <c r="C21087" s="6">
        <v>50000</v>
      </c>
      <c r="D21087" s="5" t="s">
        <v>362</v>
      </c>
      <c r="E21087" s="5" t="str">
        <f t="shared" si="1059"/>
        <v>SISTEMAS-GLOBALTRONIK SAS-SERGIO PATIÑO</v>
      </c>
      <c r="F21087" s="5"/>
      <c r="G21087" s="5"/>
    </row>
    <row r="21088" spans="1:7" ht="58.5" customHeight="1" x14ac:dyDescent="0.25">
      <c r="A21088" s="5" t="str">
        <f>"H0030784"</f>
        <v>H0030784</v>
      </c>
      <c r="B21088" s="5" t="str">
        <f t="shared" si="1060"/>
        <v>LICENCIA DE ANTIVIRUS ESET ENDPOINT POR TRES (3) AÑOS - RENOVACIÓN</v>
      </c>
      <c r="C21088" s="6">
        <v>50000</v>
      </c>
      <c r="D21088" s="5" t="s">
        <v>362</v>
      </c>
      <c r="E21088" s="5" t="str">
        <f t="shared" si="1059"/>
        <v>SISTEMAS-GLOBALTRONIK SAS-SERGIO PATIÑO</v>
      </c>
      <c r="F21088" s="5"/>
      <c r="G21088" s="5"/>
    </row>
    <row r="21089" spans="1:7" ht="58.5" customHeight="1" x14ac:dyDescent="0.25">
      <c r="A21089" s="5" t="str">
        <f>"H0030785"</f>
        <v>H0030785</v>
      </c>
      <c r="B21089" s="5" t="str">
        <f t="shared" si="1060"/>
        <v>LICENCIA DE ANTIVIRUS ESET ENDPOINT POR TRES (3) AÑOS - RENOVACIÓN</v>
      </c>
      <c r="C21089" s="6">
        <v>50000</v>
      </c>
      <c r="D21089" s="5" t="s">
        <v>362</v>
      </c>
      <c r="E21089" s="5" t="str">
        <f t="shared" si="1059"/>
        <v>SISTEMAS-GLOBALTRONIK SAS-SERGIO PATIÑO</v>
      </c>
      <c r="F21089" s="5"/>
      <c r="G21089" s="5"/>
    </row>
    <row r="21090" spans="1:7" ht="58.5" customHeight="1" x14ac:dyDescent="0.25">
      <c r="A21090" s="5" t="str">
        <f>"H0030787"</f>
        <v>H0030787</v>
      </c>
      <c r="B21090" s="5" t="str">
        <f t="shared" si="1060"/>
        <v>LICENCIA DE ANTIVIRUS ESET ENDPOINT POR TRES (3) AÑOS - RENOVACIÓN</v>
      </c>
      <c r="C21090" s="6">
        <v>50000</v>
      </c>
      <c r="D21090" s="5" t="s">
        <v>362</v>
      </c>
      <c r="E21090" s="5" t="str">
        <f t="shared" si="1059"/>
        <v>SISTEMAS-GLOBALTRONIK SAS-SERGIO PATIÑO</v>
      </c>
      <c r="F21090" s="5"/>
      <c r="G21090" s="5"/>
    </row>
    <row r="21091" spans="1:7" ht="58.5" customHeight="1" x14ac:dyDescent="0.25">
      <c r="A21091" s="5" t="str">
        <f>"H0030788"</f>
        <v>H0030788</v>
      </c>
      <c r="B21091" s="5" t="str">
        <f t="shared" si="1060"/>
        <v>LICENCIA DE ANTIVIRUS ESET ENDPOINT POR TRES (3) AÑOS - RENOVACIÓN</v>
      </c>
      <c r="C21091" s="6">
        <v>50000</v>
      </c>
      <c r="D21091" s="5" t="s">
        <v>362</v>
      </c>
      <c r="E21091" s="5" t="str">
        <f t="shared" si="1059"/>
        <v>SISTEMAS-GLOBALTRONIK SAS-SERGIO PATIÑO</v>
      </c>
      <c r="F21091" s="5"/>
      <c r="G21091" s="5"/>
    </row>
    <row r="21092" spans="1:7" ht="58.5" customHeight="1" x14ac:dyDescent="0.25">
      <c r="A21092" s="5" t="str">
        <f>"H0030789"</f>
        <v>H0030789</v>
      </c>
      <c r="B21092" s="5" t="str">
        <f t="shared" si="1060"/>
        <v>LICENCIA DE ANTIVIRUS ESET ENDPOINT POR TRES (3) AÑOS - RENOVACIÓN</v>
      </c>
      <c r="C21092" s="6">
        <v>50000</v>
      </c>
      <c r="D21092" s="5" t="s">
        <v>362</v>
      </c>
      <c r="E21092" s="5" t="str">
        <f t="shared" si="1059"/>
        <v>SISTEMAS-GLOBALTRONIK SAS-SERGIO PATIÑO</v>
      </c>
      <c r="F21092" s="5"/>
      <c r="G21092" s="5"/>
    </row>
    <row r="21093" spans="1:7" ht="58.5" customHeight="1" x14ac:dyDescent="0.25">
      <c r="A21093" s="5" t="str">
        <f>"H0030790"</f>
        <v>H0030790</v>
      </c>
      <c r="B21093" s="5" t="str">
        <f t="shared" si="1060"/>
        <v>LICENCIA DE ANTIVIRUS ESET ENDPOINT POR TRES (3) AÑOS - RENOVACIÓN</v>
      </c>
      <c r="C21093" s="6">
        <v>50000</v>
      </c>
      <c r="D21093" s="5" t="s">
        <v>362</v>
      </c>
      <c r="E21093" s="5" t="str">
        <f t="shared" si="1059"/>
        <v>SISTEMAS-GLOBALTRONIK SAS-SERGIO PATIÑO</v>
      </c>
      <c r="F21093" s="5"/>
      <c r="G21093" s="5"/>
    </row>
    <row r="21094" spans="1:7" ht="58.5" customHeight="1" x14ac:dyDescent="0.25">
      <c r="A21094" s="5" t="str">
        <f>"H0030791"</f>
        <v>H0030791</v>
      </c>
      <c r="B21094" s="5" t="str">
        <f t="shared" si="1060"/>
        <v>LICENCIA DE ANTIVIRUS ESET ENDPOINT POR TRES (3) AÑOS - RENOVACIÓN</v>
      </c>
      <c r="C21094" s="6">
        <v>50000</v>
      </c>
      <c r="D21094" s="5" t="s">
        <v>362</v>
      </c>
      <c r="E21094" s="5" t="str">
        <f t="shared" si="1059"/>
        <v>SISTEMAS-GLOBALTRONIK SAS-SERGIO PATIÑO</v>
      </c>
      <c r="F21094" s="5"/>
      <c r="G21094" s="5"/>
    </row>
    <row r="21095" spans="1:7" ht="58.5" customHeight="1" x14ac:dyDescent="0.25">
      <c r="A21095" s="5" t="str">
        <f>"H0030792"</f>
        <v>H0030792</v>
      </c>
      <c r="B21095" s="5" t="str">
        <f t="shared" si="1060"/>
        <v>LICENCIA DE ANTIVIRUS ESET ENDPOINT POR TRES (3) AÑOS - RENOVACIÓN</v>
      </c>
      <c r="C21095" s="6">
        <v>50000</v>
      </c>
      <c r="D21095" s="5" t="s">
        <v>362</v>
      </c>
      <c r="E21095" s="5" t="str">
        <f t="shared" si="1059"/>
        <v>SISTEMAS-GLOBALTRONIK SAS-SERGIO PATIÑO</v>
      </c>
      <c r="F21095" s="5"/>
      <c r="G21095" s="5"/>
    </row>
    <row r="21096" spans="1:7" ht="58.5" customHeight="1" x14ac:dyDescent="0.25">
      <c r="A21096" s="5" t="str">
        <f>"H0030793"</f>
        <v>H0030793</v>
      </c>
      <c r="B21096" s="5" t="str">
        <f t="shared" si="1060"/>
        <v>LICENCIA DE ANTIVIRUS ESET ENDPOINT POR TRES (3) AÑOS - RENOVACIÓN</v>
      </c>
      <c r="C21096" s="6">
        <v>50000</v>
      </c>
      <c r="D21096" s="5" t="s">
        <v>362</v>
      </c>
      <c r="E21096" s="5" t="str">
        <f t="shared" si="1059"/>
        <v>SISTEMAS-GLOBALTRONIK SAS-SERGIO PATIÑO</v>
      </c>
      <c r="F21096" s="5"/>
      <c r="G21096" s="5"/>
    </row>
    <row r="21097" spans="1:7" ht="58.5" customHeight="1" x14ac:dyDescent="0.25">
      <c r="A21097" s="5" t="str">
        <f>"H0030794"</f>
        <v>H0030794</v>
      </c>
      <c r="B21097" s="5" t="str">
        <f t="shared" si="1060"/>
        <v>LICENCIA DE ANTIVIRUS ESET ENDPOINT POR TRES (3) AÑOS - RENOVACIÓN</v>
      </c>
      <c r="C21097" s="6">
        <v>50000</v>
      </c>
      <c r="D21097" s="5" t="s">
        <v>362</v>
      </c>
      <c r="E21097" s="5" t="str">
        <f t="shared" si="1059"/>
        <v>SISTEMAS-GLOBALTRONIK SAS-SERGIO PATIÑO</v>
      </c>
      <c r="F21097" s="5"/>
      <c r="G21097" s="5"/>
    </row>
    <row r="21098" spans="1:7" ht="58.5" customHeight="1" x14ac:dyDescent="0.25">
      <c r="A21098" s="5" t="str">
        <f>"H0030795"</f>
        <v>H0030795</v>
      </c>
      <c r="B21098" s="5" t="str">
        <f t="shared" si="1060"/>
        <v>LICENCIA DE ANTIVIRUS ESET ENDPOINT POR TRES (3) AÑOS - RENOVACIÓN</v>
      </c>
      <c r="C21098" s="6">
        <v>50000</v>
      </c>
      <c r="D21098" s="5" t="s">
        <v>362</v>
      </c>
      <c r="E21098" s="5" t="str">
        <f t="shared" si="1059"/>
        <v>SISTEMAS-GLOBALTRONIK SAS-SERGIO PATIÑO</v>
      </c>
      <c r="F21098" s="5"/>
      <c r="G21098" s="5"/>
    </row>
    <row r="21099" spans="1:7" ht="58.5" customHeight="1" x14ac:dyDescent="0.25">
      <c r="A21099" s="5" t="str">
        <f>"H0030796"</f>
        <v>H0030796</v>
      </c>
      <c r="B21099" s="5" t="str">
        <f t="shared" si="1060"/>
        <v>LICENCIA DE ANTIVIRUS ESET ENDPOINT POR TRES (3) AÑOS - RENOVACIÓN</v>
      </c>
      <c r="C21099" s="6">
        <v>50000</v>
      </c>
      <c r="D21099" s="5" t="s">
        <v>362</v>
      </c>
      <c r="E21099" s="5" t="str">
        <f t="shared" si="1059"/>
        <v>SISTEMAS-GLOBALTRONIK SAS-SERGIO PATIÑO</v>
      </c>
      <c r="F21099" s="5"/>
      <c r="G21099" s="5"/>
    </row>
    <row r="21100" spans="1:7" ht="58.5" customHeight="1" x14ac:dyDescent="0.25">
      <c r="A21100" s="5" t="str">
        <f>"H0030797"</f>
        <v>H0030797</v>
      </c>
      <c r="B21100" s="5" t="str">
        <f t="shared" si="1060"/>
        <v>LICENCIA DE ANTIVIRUS ESET ENDPOINT POR TRES (3) AÑOS - RENOVACIÓN</v>
      </c>
      <c r="C21100" s="6">
        <v>50000</v>
      </c>
      <c r="D21100" s="5" t="s">
        <v>362</v>
      </c>
      <c r="E21100" s="5" t="str">
        <f t="shared" si="1059"/>
        <v>SISTEMAS-GLOBALTRONIK SAS-SERGIO PATIÑO</v>
      </c>
      <c r="F21100" s="5"/>
      <c r="G21100" s="5"/>
    </row>
    <row r="21101" spans="1:7" ht="58.5" customHeight="1" x14ac:dyDescent="0.25">
      <c r="A21101" s="5" t="str">
        <f>"H0030798"</f>
        <v>H0030798</v>
      </c>
      <c r="B21101" s="5" t="str">
        <f t="shared" si="1060"/>
        <v>LICENCIA DE ANTIVIRUS ESET ENDPOINT POR TRES (3) AÑOS - RENOVACIÓN</v>
      </c>
      <c r="C21101" s="6">
        <v>50000</v>
      </c>
      <c r="D21101" s="5" t="s">
        <v>362</v>
      </c>
      <c r="E21101" s="5" t="str">
        <f t="shared" si="1059"/>
        <v>SISTEMAS-GLOBALTRONIK SAS-SERGIO PATIÑO</v>
      </c>
      <c r="F21101" s="5"/>
      <c r="G21101" s="5"/>
    </row>
    <row r="21102" spans="1:7" ht="58.5" customHeight="1" x14ac:dyDescent="0.25">
      <c r="A21102" s="5" t="str">
        <f>"H0030799"</f>
        <v>H0030799</v>
      </c>
      <c r="B21102" s="5" t="str">
        <f t="shared" si="1060"/>
        <v>LICENCIA DE ANTIVIRUS ESET ENDPOINT POR TRES (3) AÑOS - RENOVACIÓN</v>
      </c>
      <c r="C21102" s="6">
        <v>50000</v>
      </c>
      <c r="D21102" s="5" t="s">
        <v>362</v>
      </c>
      <c r="E21102" s="5" t="str">
        <f t="shared" si="1059"/>
        <v>SISTEMAS-GLOBALTRONIK SAS-SERGIO PATIÑO</v>
      </c>
      <c r="F21102" s="5"/>
      <c r="G21102" s="5"/>
    </row>
    <row r="21103" spans="1:7" ht="58.5" customHeight="1" x14ac:dyDescent="0.25">
      <c r="A21103" s="5" t="str">
        <f>"H0030800"</f>
        <v>H0030800</v>
      </c>
      <c r="B21103" s="5" t="str">
        <f t="shared" si="1060"/>
        <v>LICENCIA DE ANTIVIRUS ESET ENDPOINT POR TRES (3) AÑOS - RENOVACIÓN</v>
      </c>
      <c r="C21103" s="6">
        <v>50000</v>
      </c>
      <c r="D21103" s="5" t="s">
        <v>362</v>
      </c>
      <c r="E21103" s="5" t="str">
        <f t="shared" si="1059"/>
        <v>SISTEMAS-GLOBALTRONIK SAS-SERGIO PATIÑO</v>
      </c>
      <c r="F21103" s="5"/>
      <c r="G21103" s="5"/>
    </row>
    <row r="21104" spans="1:7" ht="58.5" customHeight="1" x14ac:dyDescent="0.25">
      <c r="A21104" s="5" t="str">
        <f>"H0030801"</f>
        <v>H0030801</v>
      </c>
      <c r="B21104" s="5" t="str">
        <f t="shared" si="1060"/>
        <v>LICENCIA DE ANTIVIRUS ESET ENDPOINT POR TRES (3) AÑOS - RENOVACIÓN</v>
      </c>
      <c r="C21104" s="6">
        <v>50000</v>
      </c>
      <c r="D21104" s="5" t="s">
        <v>362</v>
      </c>
      <c r="E21104" s="5" t="str">
        <f t="shared" si="1059"/>
        <v>SISTEMAS-GLOBALTRONIK SAS-SERGIO PATIÑO</v>
      </c>
      <c r="F21104" s="5"/>
      <c r="G21104" s="5"/>
    </row>
    <row r="21105" spans="1:7" ht="58.5" customHeight="1" x14ac:dyDescent="0.25">
      <c r="A21105" s="5" t="str">
        <f>"H0030802"</f>
        <v>H0030802</v>
      </c>
      <c r="B21105" s="5" t="str">
        <f t="shared" si="1060"/>
        <v>LICENCIA DE ANTIVIRUS ESET ENDPOINT POR TRES (3) AÑOS - RENOVACIÓN</v>
      </c>
      <c r="C21105" s="6">
        <v>50000</v>
      </c>
      <c r="D21105" s="5" t="s">
        <v>362</v>
      </c>
      <c r="E21105" s="5" t="str">
        <f t="shared" si="1059"/>
        <v>SISTEMAS-GLOBALTRONIK SAS-SERGIO PATIÑO</v>
      </c>
      <c r="F21105" s="5"/>
      <c r="G21105" s="5"/>
    </row>
    <row r="21106" spans="1:7" ht="58.5" customHeight="1" x14ac:dyDescent="0.25">
      <c r="A21106" s="5" t="str">
        <f>"H0030803"</f>
        <v>H0030803</v>
      </c>
      <c r="B21106" s="5" t="str">
        <f t="shared" si="1060"/>
        <v>LICENCIA DE ANTIVIRUS ESET ENDPOINT POR TRES (3) AÑOS - RENOVACIÓN</v>
      </c>
      <c r="C21106" s="6">
        <v>50000</v>
      </c>
      <c r="D21106" s="5" t="s">
        <v>362</v>
      </c>
      <c r="E21106" s="5" t="str">
        <f t="shared" si="1059"/>
        <v>SISTEMAS-GLOBALTRONIK SAS-SERGIO PATIÑO</v>
      </c>
      <c r="F21106" s="5"/>
      <c r="G21106" s="5"/>
    </row>
    <row r="21107" spans="1:7" ht="58.5" customHeight="1" x14ac:dyDescent="0.25">
      <c r="A21107" s="5" t="str">
        <f>"H0030804"</f>
        <v>H0030804</v>
      </c>
      <c r="B21107" s="5" t="str">
        <f t="shared" si="1060"/>
        <v>LICENCIA DE ANTIVIRUS ESET ENDPOINT POR TRES (3) AÑOS - RENOVACIÓN</v>
      </c>
      <c r="C21107" s="6">
        <v>50000</v>
      </c>
      <c r="D21107" s="5" t="s">
        <v>362</v>
      </c>
      <c r="E21107" s="5" t="str">
        <f t="shared" si="1059"/>
        <v>SISTEMAS-GLOBALTRONIK SAS-SERGIO PATIÑO</v>
      </c>
      <c r="F21107" s="5"/>
      <c r="G21107" s="5"/>
    </row>
    <row r="21108" spans="1:7" ht="58.5" customHeight="1" x14ac:dyDescent="0.25">
      <c r="A21108" s="5" t="str">
        <f>"H0030805"</f>
        <v>H0030805</v>
      </c>
      <c r="B21108" s="5" t="str">
        <f t="shared" si="1060"/>
        <v>LICENCIA DE ANTIVIRUS ESET ENDPOINT POR TRES (3) AÑOS - RENOVACIÓN</v>
      </c>
      <c r="C21108" s="6">
        <v>50000</v>
      </c>
      <c r="D21108" s="5" t="s">
        <v>362</v>
      </c>
      <c r="E21108" s="5" t="str">
        <f t="shared" si="1059"/>
        <v>SISTEMAS-GLOBALTRONIK SAS-SERGIO PATIÑO</v>
      </c>
      <c r="F21108" s="5"/>
      <c r="G21108" s="5"/>
    </row>
    <row r="21109" spans="1:7" ht="58.5" customHeight="1" x14ac:dyDescent="0.25">
      <c r="A21109" s="5" t="str">
        <f>"H0030806"</f>
        <v>H0030806</v>
      </c>
      <c r="B21109" s="5" t="str">
        <f t="shared" si="1060"/>
        <v>LICENCIA DE ANTIVIRUS ESET ENDPOINT POR TRES (3) AÑOS - RENOVACIÓN</v>
      </c>
      <c r="C21109" s="6">
        <v>50000</v>
      </c>
      <c r="D21109" s="5" t="s">
        <v>362</v>
      </c>
      <c r="E21109" s="5" t="str">
        <f t="shared" si="1059"/>
        <v>SISTEMAS-GLOBALTRONIK SAS-SERGIO PATIÑO</v>
      </c>
      <c r="F21109" s="5"/>
      <c r="G21109" s="5"/>
    </row>
    <row r="21110" spans="1:7" ht="58.5" customHeight="1" x14ac:dyDescent="0.25">
      <c r="A21110" s="5" t="str">
        <f>"H0030807"</f>
        <v>H0030807</v>
      </c>
      <c r="B21110" s="5" t="str">
        <f t="shared" si="1060"/>
        <v>LICENCIA DE ANTIVIRUS ESET ENDPOINT POR TRES (3) AÑOS - RENOVACIÓN</v>
      </c>
      <c r="C21110" s="6">
        <v>50000</v>
      </c>
      <c r="D21110" s="5" t="s">
        <v>882</v>
      </c>
      <c r="E21110" s="5" t="str">
        <f t="shared" si="1059"/>
        <v>SISTEMAS-GLOBALTRONIK SAS-SERGIO PATIÑO</v>
      </c>
      <c r="F21110" s="5"/>
      <c r="G21110" s="5"/>
    </row>
    <row r="21111" spans="1:7" ht="58.5" customHeight="1" x14ac:dyDescent="0.25">
      <c r="A21111" s="5" t="str">
        <f>"H0030808"</f>
        <v>H0030808</v>
      </c>
      <c r="B21111" s="5" t="str">
        <f t="shared" si="1060"/>
        <v>LICENCIA DE ANTIVIRUS ESET ENDPOINT POR TRES (3) AÑOS - RENOVACIÓN</v>
      </c>
      <c r="C21111" s="6">
        <v>50000</v>
      </c>
      <c r="D21111" s="5" t="s">
        <v>362</v>
      </c>
      <c r="E21111" s="5" t="str">
        <f t="shared" si="1059"/>
        <v>SISTEMAS-GLOBALTRONIK SAS-SERGIO PATIÑO</v>
      </c>
      <c r="F21111" s="5"/>
      <c r="G21111" s="5"/>
    </row>
    <row r="21112" spans="1:7" ht="58.5" customHeight="1" x14ac:dyDescent="0.25">
      <c r="A21112" s="5" t="str">
        <f>"H0030809"</f>
        <v>H0030809</v>
      </c>
      <c r="B21112" s="5" t="str">
        <f t="shared" si="1060"/>
        <v>LICENCIA DE ANTIVIRUS ESET ENDPOINT POR TRES (3) AÑOS - RENOVACIÓN</v>
      </c>
      <c r="C21112" s="6">
        <v>50000</v>
      </c>
      <c r="D21112" s="5" t="s">
        <v>362</v>
      </c>
      <c r="E21112" s="5" t="str">
        <f t="shared" si="1059"/>
        <v>SISTEMAS-GLOBALTRONIK SAS-SERGIO PATIÑO</v>
      </c>
      <c r="F21112" s="5"/>
      <c r="G21112" s="5"/>
    </row>
    <row r="21113" spans="1:7" ht="58.5" customHeight="1" x14ac:dyDescent="0.25">
      <c r="A21113" s="5" t="str">
        <f>"H0030810"</f>
        <v>H0030810</v>
      </c>
      <c r="B21113" s="5" t="str">
        <f t="shared" si="1060"/>
        <v>LICENCIA DE ANTIVIRUS ESET ENDPOINT POR TRES (3) AÑOS - RENOVACIÓN</v>
      </c>
      <c r="C21113" s="6">
        <v>50000</v>
      </c>
      <c r="D21113" s="5" t="s">
        <v>362</v>
      </c>
      <c r="E21113" s="5" t="str">
        <f t="shared" si="1059"/>
        <v>SISTEMAS-GLOBALTRONIK SAS-SERGIO PATIÑO</v>
      </c>
      <c r="F21113" s="5"/>
      <c r="G21113" s="5"/>
    </row>
    <row r="21114" spans="1:7" ht="58.5" customHeight="1" x14ac:dyDescent="0.25">
      <c r="A21114" s="5" t="str">
        <f>"H0030811"</f>
        <v>H0030811</v>
      </c>
      <c r="B21114" s="5" t="str">
        <f t="shared" si="1060"/>
        <v>LICENCIA DE ANTIVIRUS ESET ENDPOINT POR TRES (3) AÑOS - RENOVACIÓN</v>
      </c>
      <c r="C21114" s="6">
        <v>50000</v>
      </c>
      <c r="D21114" s="5" t="s">
        <v>362</v>
      </c>
      <c r="E21114" s="5" t="str">
        <f t="shared" si="1059"/>
        <v>SISTEMAS-GLOBALTRONIK SAS-SERGIO PATIÑO</v>
      </c>
      <c r="F21114" s="5"/>
      <c r="G21114" s="5"/>
    </row>
    <row r="21115" spans="1:7" ht="58.5" customHeight="1" x14ac:dyDescent="0.25">
      <c r="A21115" s="5" t="str">
        <f>"H0030812"</f>
        <v>H0030812</v>
      </c>
      <c r="B21115" s="5" t="str">
        <f t="shared" si="1060"/>
        <v>LICENCIA DE ANTIVIRUS ESET ENDPOINT POR TRES (3) AÑOS - RENOVACIÓN</v>
      </c>
      <c r="C21115" s="6">
        <v>50000</v>
      </c>
      <c r="D21115" s="5" t="s">
        <v>362</v>
      </c>
      <c r="E21115" s="5" t="str">
        <f t="shared" si="1059"/>
        <v>SISTEMAS-GLOBALTRONIK SAS-SERGIO PATIÑO</v>
      </c>
      <c r="F21115" s="5"/>
      <c r="G21115" s="5"/>
    </row>
    <row r="21116" spans="1:7" ht="58.5" customHeight="1" x14ac:dyDescent="0.25">
      <c r="A21116" s="5" t="str">
        <f>"H0030813"</f>
        <v>H0030813</v>
      </c>
      <c r="B21116" s="5" t="str">
        <f t="shared" si="1060"/>
        <v>LICENCIA DE ANTIVIRUS ESET ENDPOINT POR TRES (3) AÑOS - RENOVACIÓN</v>
      </c>
      <c r="C21116" s="6">
        <v>50000</v>
      </c>
      <c r="D21116" s="5" t="s">
        <v>362</v>
      </c>
      <c r="E21116" s="5" t="str">
        <f t="shared" si="1059"/>
        <v>SISTEMAS-GLOBALTRONIK SAS-SERGIO PATIÑO</v>
      </c>
      <c r="F21116" s="5"/>
      <c r="G21116" s="5"/>
    </row>
    <row r="21117" spans="1:7" ht="58.5" customHeight="1" x14ac:dyDescent="0.25">
      <c r="A21117" s="5" t="str">
        <f>"H0030814"</f>
        <v>H0030814</v>
      </c>
      <c r="B21117" s="5" t="str">
        <f t="shared" si="1060"/>
        <v>LICENCIA DE ANTIVIRUS ESET ENDPOINT POR TRES (3) AÑOS - RENOVACIÓN</v>
      </c>
      <c r="C21117" s="6">
        <v>50000</v>
      </c>
      <c r="D21117" s="5" t="s">
        <v>362</v>
      </c>
      <c r="E21117" s="5" t="str">
        <f t="shared" ref="E21117:E21180" si="1061">"SISTEMAS-GLOBALTRONIK SAS-SERGIO PATIÑO"</f>
        <v>SISTEMAS-GLOBALTRONIK SAS-SERGIO PATIÑO</v>
      </c>
      <c r="F21117" s="5"/>
      <c r="G21117" s="5"/>
    </row>
    <row r="21118" spans="1:7" ht="58.5" customHeight="1" x14ac:dyDescent="0.25">
      <c r="A21118" s="5" t="str">
        <f>"H0030815"</f>
        <v>H0030815</v>
      </c>
      <c r="B21118" s="5" t="str">
        <f t="shared" si="1060"/>
        <v>LICENCIA DE ANTIVIRUS ESET ENDPOINT POR TRES (3) AÑOS - RENOVACIÓN</v>
      </c>
      <c r="C21118" s="6">
        <v>50000</v>
      </c>
      <c r="D21118" s="5" t="s">
        <v>362</v>
      </c>
      <c r="E21118" s="5" t="str">
        <f t="shared" si="1061"/>
        <v>SISTEMAS-GLOBALTRONIK SAS-SERGIO PATIÑO</v>
      </c>
      <c r="F21118" s="5"/>
      <c r="G21118" s="5"/>
    </row>
    <row r="21119" spans="1:7" ht="58.5" customHeight="1" x14ac:dyDescent="0.25">
      <c r="A21119" s="5" t="str">
        <f>"H0030816"</f>
        <v>H0030816</v>
      </c>
      <c r="B21119" s="5" t="str">
        <f t="shared" si="1060"/>
        <v>LICENCIA DE ANTIVIRUS ESET ENDPOINT POR TRES (3) AÑOS - RENOVACIÓN</v>
      </c>
      <c r="C21119" s="6">
        <v>50000</v>
      </c>
      <c r="D21119" s="5" t="s">
        <v>362</v>
      </c>
      <c r="E21119" s="5" t="str">
        <f t="shared" si="1061"/>
        <v>SISTEMAS-GLOBALTRONIK SAS-SERGIO PATIÑO</v>
      </c>
      <c r="F21119" s="5"/>
      <c r="G21119" s="5"/>
    </row>
    <row r="21120" spans="1:7" ht="58.5" customHeight="1" x14ac:dyDescent="0.25">
      <c r="A21120" s="5" t="str">
        <f>"H0030817"</f>
        <v>H0030817</v>
      </c>
      <c r="B21120" s="5" t="str">
        <f t="shared" si="1060"/>
        <v>LICENCIA DE ANTIVIRUS ESET ENDPOINT POR TRES (3) AÑOS - RENOVACIÓN</v>
      </c>
      <c r="C21120" s="6">
        <v>50000</v>
      </c>
      <c r="D21120" s="5" t="s">
        <v>362</v>
      </c>
      <c r="E21120" s="5" t="str">
        <f t="shared" si="1061"/>
        <v>SISTEMAS-GLOBALTRONIK SAS-SERGIO PATIÑO</v>
      </c>
      <c r="F21120" s="5"/>
      <c r="G21120" s="5"/>
    </row>
    <row r="21121" spans="1:7" ht="58.5" customHeight="1" x14ac:dyDescent="0.25">
      <c r="A21121" s="5" t="str">
        <f>"H0030818"</f>
        <v>H0030818</v>
      </c>
      <c r="B21121" s="5" t="str">
        <f t="shared" si="1060"/>
        <v>LICENCIA DE ANTIVIRUS ESET ENDPOINT POR TRES (3) AÑOS - RENOVACIÓN</v>
      </c>
      <c r="C21121" s="6">
        <v>50000</v>
      </c>
      <c r="D21121" s="5" t="s">
        <v>362</v>
      </c>
      <c r="E21121" s="5" t="str">
        <f t="shared" si="1061"/>
        <v>SISTEMAS-GLOBALTRONIK SAS-SERGIO PATIÑO</v>
      </c>
      <c r="F21121" s="5"/>
      <c r="G21121" s="5"/>
    </row>
    <row r="21122" spans="1:7" ht="58.5" customHeight="1" x14ac:dyDescent="0.25">
      <c r="A21122" s="5" t="str">
        <f>"H0030819"</f>
        <v>H0030819</v>
      </c>
      <c r="B21122" s="5" t="str">
        <f t="shared" si="1060"/>
        <v>LICENCIA DE ANTIVIRUS ESET ENDPOINT POR TRES (3) AÑOS - RENOVACIÓN</v>
      </c>
      <c r="C21122" s="6">
        <v>50000</v>
      </c>
      <c r="D21122" s="5" t="s">
        <v>362</v>
      </c>
      <c r="E21122" s="5" t="str">
        <f t="shared" si="1061"/>
        <v>SISTEMAS-GLOBALTRONIK SAS-SERGIO PATIÑO</v>
      </c>
      <c r="F21122" s="5"/>
      <c r="G21122" s="5"/>
    </row>
    <row r="21123" spans="1:7" ht="58.5" customHeight="1" x14ac:dyDescent="0.25">
      <c r="A21123" s="5" t="str">
        <f>"H0030820"</f>
        <v>H0030820</v>
      </c>
      <c r="B21123" s="5" t="str">
        <f t="shared" si="1060"/>
        <v>LICENCIA DE ANTIVIRUS ESET ENDPOINT POR TRES (3) AÑOS - RENOVACIÓN</v>
      </c>
      <c r="C21123" s="6">
        <v>50000</v>
      </c>
      <c r="D21123" s="5" t="s">
        <v>881</v>
      </c>
      <c r="E21123" s="5" t="str">
        <f t="shared" si="1061"/>
        <v>SISTEMAS-GLOBALTRONIK SAS-SERGIO PATIÑO</v>
      </c>
      <c r="F21123" s="5"/>
      <c r="G21123" s="5"/>
    </row>
    <row r="21124" spans="1:7" ht="58.5" customHeight="1" x14ac:dyDescent="0.25">
      <c r="A21124" s="5" t="str">
        <f>"H0030821"</f>
        <v>H0030821</v>
      </c>
      <c r="B21124" s="5" t="str">
        <f t="shared" si="1060"/>
        <v>LICENCIA DE ANTIVIRUS ESET ENDPOINT POR TRES (3) AÑOS - RENOVACIÓN</v>
      </c>
      <c r="C21124" s="6">
        <v>50000</v>
      </c>
      <c r="D21124" s="5" t="s">
        <v>362</v>
      </c>
      <c r="E21124" s="5" t="str">
        <f t="shared" si="1061"/>
        <v>SISTEMAS-GLOBALTRONIK SAS-SERGIO PATIÑO</v>
      </c>
      <c r="F21124" s="5"/>
      <c r="G21124" s="5"/>
    </row>
    <row r="21125" spans="1:7" ht="58.5" customHeight="1" x14ac:dyDescent="0.25">
      <c r="A21125" s="5" t="str">
        <f>"H0030822"</f>
        <v>H0030822</v>
      </c>
      <c r="B21125" s="5" t="str">
        <f t="shared" si="1060"/>
        <v>LICENCIA DE ANTIVIRUS ESET ENDPOINT POR TRES (3) AÑOS - RENOVACIÓN</v>
      </c>
      <c r="C21125" s="6">
        <v>50000</v>
      </c>
      <c r="D21125" s="5" t="s">
        <v>362</v>
      </c>
      <c r="E21125" s="5" t="str">
        <f t="shared" si="1061"/>
        <v>SISTEMAS-GLOBALTRONIK SAS-SERGIO PATIÑO</v>
      </c>
      <c r="F21125" s="5"/>
      <c r="G21125" s="5"/>
    </row>
    <row r="21126" spans="1:7" ht="58.5" customHeight="1" x14ac:dyDescent="0.25">
      <c r="A21126" s="5" t="str">
        <f>"H0030823"</f>
        <v>H0030823</v>
      </c>
      <c r="B21126" s="5" t="str">
        <f t="shared" si="1060"/>
        <v>LICENCIA DE ANTIVIRUS ESET ENDPOINT POR TRES (3) AÑOS - RENOVACIÓN</v>
      </c>
      <c r="C21126" s="6">
        <v>50000</v>
      </c>
      <c r="D21126" s="5" t="s">
        <v>362</v>
      </c>
      <c r="E21126" s="5" t="str">
        <f t="shared" si="1061"/>
        <v>SISTEMAS-GLOBALTRONIK SAS-SERGIO PATIÑO</v>
      </c>
      <c r="F21126" s="5"/>
      <c r="G21126" s="5"/>
    </row>
    <row r="21127" spans="1:7" ht="58.5" customHeight="1" x14ac:dyDescent="0.25">
      <c r="A21127" s="5" t="str">
        <f>"H0030824"</f>
        <v>H0030824</v>
      </c>
      <c r="B21127" s="5" t="str">
        <f t="shared" si="1060"/>
        <v>LICENCIA DE ANTIVIRUS ESET ENDPOINT POR TRES (3) AÑOS - RENOVACIÓN</v>
      </c>
      <c r="C21127" s="6">
        <v>50000</v>
      </c>
      <c r="D21127" s="5" t="s">
        <v>362</v>
      </c>
      <c r="E21127" s="5" t="str">
        <f t="shared" si="1061"/>
        <v>SISTEMAS-GLOBALTRONIK SAS-SERGIO PATIÑO</v>
      </c>
      <c r="F21127" s="5"/>
      <c r="G21127" s="5"/>
    </row>
    <row r="21128" spans="1:7" ht="58.5" customHeight="1" x14ac:dyDescent="0.25">
      <c r="A21128" s="5" t="str">
        <f>"H0030825"</f>
        <v>H0030825</v>
      </c>
      <c r="B21128" s="5" t="str">
        <f t="shared" si="1060"/>
        <v>LICENCIA DE ANTIVIRUS ESET ENDPOINT POR TRES (3) AÑOS - RENOVACIÓN</v>
      </c>
      <c r="C21128" s="6">
        <v>50000</v>
      </c>
      <c r="D21128" s="5" t="s">
        <v>362</v>
      </c>
      <c r="E21128" s="5" t="str">
        <f t="shared" si="1061"/>
        <v>SISTEMAS-GLOBALTRONIK SAS-SERGIO PATIÑO</v>
      </c>
      <c r="F21128" s="5"/>
      <c r="G21128" s="5"/>
    </row>
    <row r="21129" spans="1:7" ht="58.5" customHeight="1" x14ac:dyDescent="0.25">
      <c r="A21129" s="5" t="str">
        <f>"H0030826"</f>
        <v>H0030826</v>
      </c>
      <c r="B21129" s="5" t="str">
        <f t="shared" si="1060"/>
        <v>LICENCIA DE ANTIVIRUS ESET ENDPOINT POR TRES (3) AÑOS - RENOVACIÓN</v>
      </c>
      <c r="C21129" s="6">
        <v>50000</v>
      </c>
      <c r="D21129" s="5" t="s">
        <v>362</v>
      </c>
      <c r="E21129" s="5" t="str">
        <f t="shared" si="1061"/>
        <v>SISTEMAS-GLOBALTRONIK SAS-SERGIO PATIÑO</v>
      </c>
      <c r="F21129" s="5"/>
      <c r="G21129" s="5"/>
    </row>
    <row r="21130" spans="1:7" ht="58.5" customHeight="1" x14ac:dyDescent="0.25">
      <c r="A21130" s="5" t="str">
        <f>"H0030827"</f>
        <v>H0030827</v>
      </c>
      <c r="B21130" s="5" t="str">
        <f t="shared" si="1060"/>
        <v>LICENCIA DE ANTIVIRUS ESET ENDPOINT POR TRES (3) AÑOS - RENOVACIÓN</v>
      </c>
      <c r="C21130" s="6">
        <v>50000</v>
      </c>
      <c r="D21130" s="5" t="s">
        <v>362</v>
      </c>
      <c r="E21130" s="5" t="str">
        <f t="shared" si="1061"/>
        <v>SISTEMAS-GLOBALTRONIK SAS-SERGIO PATIÑO</v>
      </c>
      <c r="F21130" s="5"/>
      <c r="G21130" s="5"/>
    </row>
    <row r="21131" spans="1:7" ht="58.5" customHeight="1" x14ac:dyDescent="0.25">
      <c r="A21131" s="5" t="str">
        <f>"H0030828"</f>
        <v>H0030828</v>
      </c>
      <c r="B21131" s="5" t="str">
        <f t="shared" si="1060"/>
        <v>LICENCIA DE ANTIVIRUS ESET ENDPOINT POR TRES (3) AÑOS - RENOVACIÓN</v>
      </c>
      <c r="C21131" s="6">
        <v>50000</v>
      </c>
      <c r="D21131" s="5" t="s">
        <v>362</v>
      </c>
      <c r="E21131" s="5" t="str">
        <f t="shared" si="1061"/>
        <v>SISTEMAS-GLOBALTRONIK SAS-SERGIO PATIÑO</v>
      </c>
      <c r="F21131" s="5"/>
      <c r="G21131" s="5"/>
    </row>
    <row r="21132" spans="1:7" ht="58.5" customHeight="1" x14ac:dyDescent="0.25">
      <c r="A21132" s="5" t="str">
        <f>"H0030829"</f>
        <v>H0030829</v>
      </c>
      <c r="B21132" s="5" t="str">
        <f t="shared" si="1060"/>
        <v>LICENCIA DE ANTIVIRUS ESET ENDPOINT POR TRES (3) AÑOS - RENOVACIÓN</v>
      </c>
      <c r="C21132" s="6">
        <v>50000</v>
      </c>
      <c r="D21132" s="5" t="s">
        <v>362</v>
      </c>
      <c r="E21132" s="5" t="str">
        <f t="shared" si="1061"/>
        <v>SISTEMAS-GLOBALTRONIK SAS-SERGIO PATIÑO</v>
      </c>
      <c r="F21132" s="5"/>
      <c r="G21132" s="5"/>
    </row>
    <row r="21133" spans="1:7" ht="58.5" customHeight="1" x14ac:dyDescent="0.25">
      <c r="A21133" s="5" t="str">
        <f>"H0030830"</f>
        <v>H0030830</v>
      </c>
      <c r="B21133" s="5" t="str">
        <f t="shared" si="1060"/>
        <v>LICENCIA DE ANTIVIRUS ESET ENDPOINT POR TRES (3) AÑOS - RENOVACIÓN</v>
      </c>
      <c r="C21133" s="6">
        <v>50000</v>
      </c>
      <c r="D21133" s="5" t="s">
        <v>362</v>
      </c>
      <c r="E21133" s="5" t="str">
        <f t="shared" si="1061"/>
        <v>SISTEMAS-GLOBALTRONIK SAS-SERGIO PATIÑO</v>
      </c>
      <c r="F21133" s="5"/>
      <c r="G21133" s="5"/>
    </row>
    <row r="21134" spans="1:7" ht="58.5" customHeight="1" x14ac:dyDescent="0.25">
      <c r="A21134" s="5" t="str">
        <f>"H0030831"</f>
        <v>H0030831</v>
      </c>
      <c r="B21134" s="5" t="str">
        <f t="shared" si="1060"/>
        <v>LICENCIA DE ANTIVIRUS ESET ENDPOINT POR TRES (3) AÑOS - RENOVACIÓN</v>
      </c>
      <c r="C21134" s="6">
        <v>50000</v>
      </c>
      <c r="D21134" s="5" t="s">
        <v>362</v>
      </c>
      <c r="E21134" s="5" t="str">
        <f t="shared" si="1061"/>
        <v>SISTEMAS-GLOBALTRONIK SAS-SERGIO PATIÑO</v>
      </c>
      <c r="F21134" s="5"/>
      <c r="G21134" s="5"/>
    </row>
    <row r="21135" spans="1:7" ht="58.5" customHeight="1" x14ac:dyDescent="0.25">
      <c r="A21135" s="5" t="str">
        <f>"H0030832"</f>
        <v>H0030832</v>
      </c>
      <c r="B21135" s="5" t="str">
        <f t="shared" si="1060"/>
        <v>LICENCIA DE ANTIVIRUS ESET ENDPOINT POR TRES (3) AÑOS - RENOVACIÓN</v>
      </c>
      <c r="C21135" s="6">
        <v>50000</v>
      </c>
      <c r="D21135" s="5" t="s">
        <v>362</v>
      </c>
      <c r="E21135" s="5" t="str">
        <f t="shared" si="1061"/>
        <v>SISTEMAS-GLOBALTRONIK SAS-SERGIO PATIÑO</v>
      </c>
      <c r="F21135" s="5"/>
      <c r="G21135" s="5"/>
    </row>
    <row r="21136" spans="1:7" ht="58.5" customHeight="1" x14ac:dyDescent="0.25">
      <c r="A21136" s="5" t="str">
        <f>"H0030833"</f>
        <v>H0030833</v>
      </c>
      <c r="B21136" s="5" t="str">
        <f t="shared" si="1060"/>
        <v>LICENCIA DE ANTIVIRUS ESET ENDPOINT POR TRES (3) AÑOS - RENOVACIÓN</v>
      </c>
      <c r="C21136" s="6">
        <v>50000</v>
      </c>
      <c r="D21136" s="5" t="s">
        <v>362</v>
      </c>
      <c r="E21136" s="5" t="str">
        <f t="shared" si="1061"/>
        <v>SISTEMAS-GLOBALTRONIK SAS-SERGIO PATIÑO</v>
      </c>
      <c r="F21136" s="5"/>
      <c r="G21136" s="5"/>
    </row>
    <row r="21137" spans="1:7" ht="58.5" customHeight="1" x14ac:dyDescent="0.25">
      <c r="A21137" s="5" t="str">
        <f>"H0030834"</f>
        <v>H0030834</v>
      </c>
      <c r="B21137" s="5" t="str">
        <f t="shared" si="1060"/>
        <v>LICENCIA DE ANTIVIRUS ESET ENDPOINT POR TRES (3) AÑOS - RENOVACIÓN</v>
      </c>
      <c r="C21137" s="6">
        <v>50000</v>
      </c>
      <c r="D21137" s="5" t="s">
        <v>362</v>
      </c>
      <c r="E21137" s="5" t="str">
        <f t="shared" si="1061"/>
        <v>SISTEMAS-GLOBALTRONIK SAS-SERGIO PATIÑO</v>
      </c>
      <c r="F21137" s="5"/>
      <c r="G21137" s="5"/>
    </row>
    <row r="21138" spans="1:7" ht="58.5" customHeight="1" x14ac:dyDescent="0.25">
      <c r="A21138" s="5" t="str">
        <f>"H0030835"</f>
        <v>H0030835</v>
      </c>
      <c r="B21138" s="5" t="str">
        <f t="shared" si="1060"/>
        <v>LICENCIA DE ANTIVIRUS ESET ENDPOINT POR TRES (3) AÑOS - RENOVACIÓN</v>
      </c>
      <c r="C21138" s="6">
        <v>50000</v>
      </c>
      <c r="D21138" s="5" t="s">
        <v>362</v>
      </c>
      <c r="E21138" s="5" t="str">
        <f t="shared" si="1061"/>
        <v>SISTEMAS-GLOBALTRONIK SAS-SERGIO PATIÑO</v>
      </c>
      <c r="F21138" s="5"/>
      <c r="G21138" s="5"/>
    </row>
    <row r="21139" spans="1:7" ht="58.5" customHeight="1" x14ac:dyDescent="0.25">
      <c r="A21139" s="5" t="str">
        <f>"H0030836"</f>
        <v>H0030836</v>
      </c>
      <c r="B21139" s="5" t="str">
        <f t="shared" si="1060"/>
        <v>LICENCIA DE ANTIVIRUS ESET ENDPOINT POR TRES (3) AÑOS - RENOVACIÓN</v>
      </c>
      <c r="C21139" s="6">
        <v>50000</v>
      </c>
      <c r="D21139" s="5" t="s">
        <v>362</v>
      </c>
      <c r="E21139" s="5" t="str">
        <f t="shared" si="1061"/>
        <v>SISTEMAS-GLOBALTRONIK SAS-SERGIO PATIÑO</v>
      </c>
      <c r="F21139" s="5"/>
      <c r="G21139" s="5"/>
    </row>
    <row r="21140" spans="1:7" ht="58.5" customHeight="1" x14ac:dyDescent="0.25">
      <c r="A21140" s="5" t="str">
        <f>"H0030837"</f>
        <v>H0030837</v>
      </c>
      <c r="B21140" s="5" t="str">
        <f t="shared" si="1060"/>
        <v>LICENCIA DE ANTIVIRUS ESET ENDPOINT POR TRES (3) AÑOS - RENOVACIÓN</v>
      </c>
      <c r="C21140" s="6">
        <v>50000</v>
      </c>
      <c r="D21140" s="5" t="s">
        <v>362</v>
      </c>
      <c r="E21140" s="5" t="str">
        <f t="shared" si="1061"/>
        <v>SISTEMAS-GLOBALTRONIK SAS-SERGIO PATIÑO</v>
      </c>
      <c r="F21140" s="5"/>
      <c r="G21140" s="5"/>
    </row>
    <row r="21141" spans="1:7" ht="58.5" customHeight="1" x14ac:dyDescent="0.25">
      <c r="A21141" s="5" t="str">
        <f>"H0030838"</f>
        <v>H0030838</v>
      </c>
      <c r="B21141" s="5" t="str">
        <f t="shared" ref="B21141:B21204" si="1062">"LICENCIA DE ANTIVIRUS ESET ENDPOINT POR TRES (3) AÑOS - RENOVACIÓN"</f>
        <v>LICENCIA DE ANTIVIRUS ESET ENDPOINT POR TRES (3) AÑOS - RENOVACIÓN</v>
      </c>
      <c r="C21141" s="6">
        <v>50000</v>
      </c>
      <c r="D21141" s="5" t="s">
        <v>362</v>
      </c>
      <c r="E21141" s="5" t="str">
        <f t="shared" si="1061"/>
        <v>SISTEMAS-GLOBALTRONIK SAS-SERGIO PATIÑO</v>
      </c>
      <c r="F21141" s="5"/>
      <c r="G21141" s="5"/>
    </row>
    <row r="21142" spans="1:7" ht="58.5" customHeight="1" x14ac:dyDescent="0.25">
      <c r="A21142" s="5" t="str">
        <f>"H0030839"</f>
        <v>H0030839</v>
      </c>
      <c r="B21142" s="5" t="str">
        <f t="shared" si="1062"/>
        <v>LICENCIA DE ANTIVIRUS ESET ENDPOINT POR TRES (3) AÑOS - RENOVACIÓN</v>
      </c>
      <c r="C21142" s="6">
        <v>50000</v>
      </c>
      <c r="D21142" s="5" t="s">
        <v>362</v>
      </c>
      <c r="E21142" s="5" t="str">
        <f t="shared" si="1061"/>
        <v>SISTEMAS-GLOBALTRONIK SAS-SERGIO PATIÑO</v>
      </c>
      <c r="F21142" s="5"/>
      <c r="G21142" s="5"/>
    </row>
    <row r="21143" spans="1:7" ht="58.5" customHeight="1" x14ac:dyDescent="0.25">
      <c r="A21143" s="5" t="str">
        <f>"H0030840"</f>
        <v>H0030840</v>
      </c>
      <c r="B21143" s="5" t="str">
        <f t="shared" si="1062"/>
        <v>LICENCIA DE ANTIVIRUS ESET ENDPOINT POR TRES (3) AÑOS - RENOVACIÓN</v>
      </c>
      <c r="C21143" s="6">
        <v>50000</v>
      </c>
      <c r="D21143" s="5" t="s">
        <v>362</v>
      </c>
      <c r="E21143" s="5" t="str">
        <f t="shared" si="1061"/>
        <v>SISTEMAS-GLOBALTRONIK SAS-SERGIO PATIÑO</v>
      </c>
      <c r="F21143" s="5"/>
      <c r="G21143" s="5"/>
    </row>
    <row r="21144" spans="1:7" ht="58.5" customHeight="1" x14ac:dyDescent="0.25">
      <c r="A21144" s="5" t="str">
        <f>"H0030841"</f>
        <v>H0030841</v>
      </c>
      <c r="B21144" s="5" t="str">
        <f t="shared" si="1062"/>
        <v>LICENCIA DE ANTIVIRUS ESET ENDPOINT POR TRES (3) AÑOS - RENOVACIÓN</v>
      </c>
      <c r="C21144" s="6">
        <v>50000</v>
      </c>
      <c r="D21144" s="5" t="s">
        <v>362</v>
      </c>
      <c r="E21144" s="5" t="str">
        <f t="shared" si="1061"/>
        <v>SISTEMAS-GLOBALTRONIK SAS-SERGIO PATIÑO</v>
      </c>
      <c r="F21144" s="5"/>
      <c r="G21144" s="5"/>
    </row>
    <row r="21145" spans="1:7" ht="58.5" customHeight="1" x14ac:dyDescent="0.25">
      <c r="A21145" s="5" t="str">
        <f>"H0030842"</f>
        <v>H0030842</v>
      </c>
      <c r="B21145" s="5" t="str">
        <f t="shared" si="1062"/>
        <v>LICENCIA DE ANTIVIRUS ESET ENDPOINT POR TRES (3) AÑOS - RENOVACIÓN</v>
      </c>
      <c r="C21145" s="6">
        <v>50000</v>
      </c>
      <c r="D21145" s="5" t="s">
        <v>362</v>
      </c>
      <c r="E21145" s="5" t="str">
        <f t="shared" si="1061"/>
        <v>SISTEMAS-GLOBALTRONIK SAS-SERGIO PATIÑO</v>
      </c>
      <c r="F21145" s="5"/>
      <c r="G21145" s="5"/>
    </row>
    <row r="21146" spans="1:7" ht="58.5" customHeight="1" x14ac:dyDescent="0.25">
      <c r="A21146" s="5" t="str">
        <f>"H0030843"</f>
        <v>H0030843</v>
      </c>
      <c r="B21146" s="5" t="str">
        <f t="shared" si="1062"/>
        <v>LICENCIA DE ANTIVIRUS ESET ENDPOINT POR TRES (3) AÑOS - RENOVACIÓN</v>
      </c>
      <c r="C21146" s="6">
        <v>50000</v>
      </c>
      <c r="D21146" s="5" t="s">
        <v>362</v>
      </c>
      <c r="E21146" s="5" t="str">
        <f t="shared" si="1061"/>
        <v>SISTEMAS-GLOBALTRONIK SAS-SERGIO PATIÑO</v>
      </c>
      <c r="F21146" s="5"/>
      <c r="G21146" s="5"/>
    </row>
    <row r="21147" spans="1:7" ht="58.5" customHeight="1" x14ac:dyDescent="0.25">
      <c r="A21147" s="5" t="str">
        <f>"H0030844"</f>
        <v>H0030844</v>
      </c>
      <c r="B21147" s="5" t="str">
        <f t="shared" si="1062"/>
        <v>LICENCIA DE ANTIVIRUS ESET ENDPOINT POR TRES (3) AÑOS - RENOVACIÓN</v>
      </c>
      <c r="C21147" s="6">
        <v>50000</v>
      </c>
      <c r="D21147" s="5" t="s">
        <v>362</v>
      </c>
      <c r="E21147" s="5" t="str">
        <f t="shared" si="1061"/>
        <v>SISTEMAS-GLOBALTRONIK SAS-SERGIO PATIÑO</v>
      </c>
      <c r="F21147" s="5"/>
      <c r="G21147" s="5"/>
    </row>
    <row r="21148" spans="1:7" ht="58.5" customHeight="1" x14ac:dyDescent="0.25">
      <c r="A21148" s="5" t="str">
        <f>"H0030845"</f>
        <v>H0030845</v>
      </c>
      <c r="B21148" s="5" t="str">
        <f t="shared" si="1062"/>
        <v>LICENCIA DE ANTIVIRUS ESET ENDPOINT POR TRES (3) AÑOS - RENOVACIÓN</v>
      </c>
      <c r="C21148" s="6">
        <v>50000</v>
      </c>
      <c r="D21148" s="5" t="s">
        <v>362</v>
      </c>
      <c r="E21148" s="5" t="str">
        <f t="shared" si="1061"/>
        <v>SISTEMAS-GLOBALTRONIK SAS-SERGIO PATIÑO</v>
      </c>
      <c r="F21148" s="5"/>
      <c r="G21148" s="5"/>
    </row>
    <row r="21149" spans="1:7" ht="58.5" customHeight="1" x14ac:dyDescent="0.25">
      <c r="A21149" s="5" t="str">
        <f>"H0030846"</f>
        <v>H0030846</v>
      </c>
      <c r="B21149" s="5" t="str">
        <f t="shared" si="1062"/>
        <v>LICENCIA DE ANTIVIRUS ESET ENDPOINT POR TRES (3) AÑOS - RENOVACIÓN</v>
      </c>
      <c r="C21149" s="6">
        <v>50000</v>
      </c>
      <c r="D21149" s="5" t="s">
        <v>362</v>
      </c>
      <c r="E21149" s="5" t="str">
        <f t="shared" si="1061"/>
        <v>SISTEMAS-GLOBALTRONIK SAS-SERGIO PATIÑO</v>
      </c>
      <c r="F21149" s="5"/>
      <c r="G21149" s="5"/>
    </row>
    <row r="21150" spans="1:7" ht="58.5" customHeight="1" x14ac:dyDescent="0.25">
      <c r="A21150" s="5" t="str">
        <f>"H0030847"</f>
        <v>H0030847</v>
      </c>
      <c r="B21150" s="5" t="str">
        <f t="shared" si="1062"/>
        <v>LICENCIA DE ANTIVIRUS ESET ENDPOINT POR TRES (3) AÑOS - RENOVACIÓN</v>
      </c>
      <c r="C21150" s="6">
        <v>50000</v>
      </c>
      <c r="D21150" s="5" t="s">
        <v>362</v>
      </c>
      <c r="E21150" s="5" t="str">
        <f t="shared" si="1061"/>
        <v>SISTEMAS-GLOBALTRONIK SAS-SERGIO PATIÑO</v>
      </c>
      <c r="F21150" s="5"/>
      <c r="G21150" s="5"/>
    </row>
    <row r="21151" spans="1:7" ht="58.5" customHeight="1" x14ac:dyDescent="0.25">
      <c r="A21151" s="5" t="str">
        <f>"H0030848"</f>
        <v>H0030848</v>
      </c>
      <c r="B21151" s="5" t="str">
        <f t="shared" si="1062"/>
        <v>LICENCIA DE ANTIVIRUS ESET ENDPOINT POR TRES (3) AÑOS - RENOVACIÓN</v>
      </c>
      <c r="C21151" s="6">
        <v>50000</v>
      </c>
      <c r="D21151" s="5" t="s">
        <v>362</v>
      </c>
      <c r="E21151" s="5" t="str">
        <f t="shared" si="1061"/>
        <v>SISTEMAS-GLOBALTRONIK SAS-SERGIO PATIÑO</v>
      </c>
      <c r="F21151" s="5"/>
      <c r="G21151" s="5"/>
    </row>
    <row r="21152" spans="1:7" ht="58.5" customHeight="1" x14ac:dyDescent="0.25">
      <c r="A21152" s="5" t="str">
        <f>"H0030849"</f>
        <v>H0030849</v>
      </c>
      <c r="B21152" s="5" t="str">
        <f t="shared" si="1062"/>
        <v>LICENCIA DE ANTIVIRUS ESET ENDPOINT POR TRES (3) AÑOS - RENOVACIÓN</v>
      </c>
      <c r="C21152" s="6">
        <v>50000</v>
      </c>
      <c r="D21152" s="5" t="s">
        <v>362</v>
      </c>
      <c r="E21152" s="5" t="str">
        <f t="shared" si="1061"/>
        <v>SISTEMAS-GLOBALTRONIK SAS-SERGIO PATIÑO</v>
      </c>
      <c r="F21152" s="5"/>
      <c r="G21152" s="5"/>
    </row>
    <row r="21153" spans="1:7" ht="58.5" customHeight="1" x14ac:dyDescent="0.25">
      <c r="A21153" s="5" t="str">
        <f>"H0030850"</f>
        <v>H0030850</v>
      </c>
      <c r="B21153" s="5" t="str">
        <f t="shared" si="1062"/>
        <v>LICENCIA DE ANTIVIRUS ESET ENDPOINT POR TRES (3) AÑOS - RENOVACIÓN</v>
      </c>
      <c r="C21153" s="6">
        <v>50000</v>
      </c>
      <c r="D21153" s="5" t="s">
        <v>362</v>
      </c>
      <c r="E21153" s="5" t="str">
        <f t="shared" si="1061"/>
        <v>SISTEMAS-GLOBALTRONIK SAS-SERGIO PATIÑO</v>
      </c>
      <c r="F21153" s="5"/>
      <c r="G21153" s="5"/>
    </row>
    <row r="21154" spans="1:7" ht="58.5" customHeight="1" x14ac:dyDescent="0.25">
      <c r="A21154" s="5" t="str">
        <f>"H0030851"</f>
        <v>H0030851</v>
      </c>
      <c r="B21154" s="5" t="str">
        <f t="shared" si="1062"/>
        <v>LICENCIA DE ANTIVIRUS ESET ENDPOINT POR TRES (3) AÑOS - RENOVACIÓN</v>
      </c>
      <c r="C21154" s="6">
        <v>50000</v>
      </c>
      <c r="D21154" s="5" t="s">
        <v>362</v>
      </c>
      <c r="E21154" s="5" t="str">
        <f t="shared" si="1061"/>
        <v>SISTEMAS-GLOBALTRONIK SAS-SERGIO PATIÑO</v>
      </c>
      <c r="F21154" s="5"/>
      <c r="G21154" s="5"/>
    </row>
    <row r="21155" spans="1:7" ht="58.5" customHeight="1" x14ac:dyDescent="0.25">
      <c r="A21155" s="5" t="str">
        <f>"H0030852"</f>
        <v>H0030852</v>
      </c>
      <c r="B21155" s="5" t="str">
        <f t="shared" si="1062"/>
        <v>LICENCIA DE ANTIVIRUS ESET ENDPOINT POR TRES (3) AÑOS - RENOVACIÓN</v>
      </c>
      <c r="C21155" s="6">
        <v>50000</v>
      </c>
      <c r="D21155" s="5" t="s">
        <v>362</v>
      </c>
      <c r="E21155" s="5" t="str">
        <f t="shared" si="1061"/>
        <v>SISTEMAS-GLOBALTRONIK SAS-SERGIO PATIÑO</v>
      </c>
      <c r="F21155" s="5"/>
      <c r="G21155" s="5"/>
    </row>
    <row r="21156" spans="1:7" ht="58.5" customHeight="1" x14ac:dyDescent="0.25">
      <c r="A21156" s="5" t="str">
        <f>"H0030853"</f>
        <v>H0030853</v>
      </c>
      <c r="B21156" s="5" t="str">
        <f t="shared" si="1062"/>
        <v>LICENCIA DE ANTIVIRUS ESET ENDPOINT POR TRES (3) AÑOS - RENOVACIÓN</v>
      </c>
      <c r="C21156" s="6">
        <v>50000</v>
      </c>
      <c r="D21156" s="5" t="s">
        <v>362</v>
      </c>
      <c r="E21156" s="5" t="str">
        <f t="shared" si="1061"/>
        <v>SISTEMAS-GLOBALTRONIK SAS-SERGIO PATIÑO</v>
      </c>
      <c r="F21156" s="5"/>
      <c r="G21156" s="5"/>
    </row>
    <row r="21157" spans="1:7" ht="58.5" customHeight="1" x14ac:dyDescent="0.25">
      <c r="A21157" s="5" t="str">
        <f>"H0030854"</f>
        <v>H0030854</v>
      </c>
      <c r="B21157" s="5" t="str">
        <f t="shared" si="1062"/>
        <v>LICENCIA DE ANTIVIRUS ESET ENDPOINT POR TRES (3) AÑOS - RENOVACIÓN</v>
      </c>
      <c r="C21157" s="6">
        <v>50000</v>
      </c>
      <c r="D21157" s="5" t="s">
        <v>362</v>
      </c>
      <c r="E21157" s="5" t="str">
        <f t="shared" si="1061"/>
        <v>SISTEMAS-GLOBALTRONIK SAS-SERGIO PATIÑO</v>
      </c>
      <c r="F21157" s="5"/>
      <c r="G21157" s="5"/>
    </row>
    <row r="21158" spans="1:7" ht="58.5" customHeight="1" x14ac:dyDescent="0.25">
      <c r="A21158" s="5" t="str">
        <f>"H0030855"</f>
        <v>H0030855</v>
      </c>
      <c r="B21158" s="5" t="str">
        <f t="shared" si="1062"/>
        <v>LICENCIA DE ANTIVIRUS ESET ENDPOINT POR TRES (3) AÑOS - RENOVACIÓN</v>
      </c>
      <c r="C21158" s="6">
        <v>50000</v>
      </c>
      <c r="D21158" s="5" t="s">
        <v>362</v>
      </c>
      <c r="E21158" s="5" t="str">
        <f t="shared" si="1061"/>
        <v>SISTEMAS-GLOBALTRONIK SAS-SERGIO PATIÑO</v>
      </c>
      <c r="F21158" s="5"/>
      <c r="G21158" s="5"/>
    </row>
    <row r="21159" spans="1:7" ht="58.5" customHeight="1" x14ac:dyDescent="0.25">
      <c r="A21159" s="5" t="str">
        <f>"H0030856"</f>
        <v>H0030856</v>
      </c>
      <c r="B21159" s="5" t="str">
        <f t="shared" si="1062"/>
        <v>LICENCIA DE ANTIVIRUS ESET ENDPOINT POR TRES (3) AÑOS - RENOVACIÓN</v>
      </c>
      <c r="C21159" s="6">
        <v>50000</v>
      </c>
      <c r="D21159" s="5" t="s">
        <v>362</v>
      </c>
      <c r="E21159" s="5" t="str">
        <f t="shared" si="1061"/>
        <v>SISTEMAS-GLOBALTRONIK SAS-SERGIO PATIÑO</v>
      </c>
      <c r="F21159" s="5"/>
      <c r="G21159" s="5"/>
    </row>
    <row r="21160" spans="1:7" ht="58.5" customHeight="1" x14ac:dyDescent="0.25">
      <c r="A21160" s="5" t="str">
        <f>"H0030857"</f>
        <v>H0030857</v>
      </c>
      <c r="B21160" s="5" t="str">
        <f t="shared" si="1062"/>
        <v>LICENCIA DE ANTIVIRUS ESET ENDPOINT POR TRES (3) AÑOS - RENOVACIÓN</v>
      </c>
      <c r="C21160" s="6">
        <v>50000</v>
      </c>
      <c r="D21160" s="5" t="s">
        <v>362</v>
      </c>
      <c r="E21160" s="5" t="str">
        <f t="shared" si="1061"/>
        <v>SISTEMAS-GLOBALTRONIK SAS-SERGIO PATIÑO</v>
      </c>
      <c r="F21160" s="5"/>
      <c r="G21160" s="5"/>
    </row>
    <row r="21161" spans="1:7" ht="58.5" customHeight="1" x14ac:dyDescent="0.25">
      <c r="A21161" s="5" t="str">
        <f>"H0030858"</f>
        <v>H0030858</v>
      </c>
      <c r="B21161" s="5" t="str">
        <f t="shared" si="1062"/>
        <v>LICENCIA DE ANTIVIRUS ESET ENDPOINT POR TRES (3) AÑOS - RENOVACIÓN</v>
      </c>
      <c r="C21161" s="6">
        <v>50000</v>
      </c>
      <c r="D21161" s="5" t="s">
        <v>362</v>
      </c>
      <c r="E21161" s="5" t="str">
        <f t="shared" si="1061"/>
        <v>SISTEMAS-GLOBALTRONIK SAS-SERGIO PATIÑO</v>
      </c>
      <c r="F21161" s="5"/>
      <c r="G21161" s="5"/>
    </row>
    <row r="21162" spans="1:7" ht="58.5" customHeight="1" x14ac:dyDescent="0.25">
      <c r="A21162" s="5" t="str">
        <f>"H0030859"</f>
        <v>H0030859</v>
      </c>
      <c r="B21162" s="5" t="str">
        <f t="shared" si="1062"/>
        <v>LICENCIA DE ANTIVIRUS ESET ENDPOINT POR TRES (3) AÑOS - RENOVACIÓN</v>
      </c>
      <c r="C21162" s="6">
        <v>50000</v>
      </c>
      <c r="D21162" s="5" t="s">
        <v>362</v>
      </c>
      <c r="E21162" s="5" t="str">
        <f t="shared" si="1061"/>
        <v>SISTEMAS-GLOBALTRONIK SAS-SERGIO PATIÑO</v>
      </c>
      <c r="F21162" s="5"/>
      <c r="G21162" s="5"/>
    </row>
    <row r="21163" spans="1:7" ht="58.5" customHeight="1" x14ac:dyDescent="0.25">
      <c r="A21163" s="5" t="str">
        <f>"H0030860"</f>
        <v>H0030860</v>
      </c>
      <c r="B21163" s="5" t="str">
        <f t="shared" si="1062"/>
        <v>LICENCIA DE ANTIVIRUS ESET ENDPOINT POR TRES (3) AÑOS - RENOVACIÓN</v>
      </c>
      <c r="C21163" s="6">
        <v>50000</v>
      </c>
      <c r="D21163" s="5" t="s">
        <v>362</v>
      </c>
      <c r="E21163" s="5" t="str">
        <f t="shared" si="1061"/>
        <v>SISTEMAS-GLOBALTRONIK SAS-SERGIO PATIÑO</v>
      </c>
      <c r="F21163" s="5"/>
      <c r="G21163" s="5"/>
    </row>
    <row r="21164" spans="1:7" ht="58.5" customHeight="1" x14ac:dyDescent="0.25">
      <c r="A21164" s="5" t="str">
        <f>"H0030861"</f>
        <v>H0030861</v>
      </c>
      <c r="B21164" s="5" t="str">
        <f t="shared" si="1062"/>
        <v>LICENCIA DE ANTIVIRUS ESET ENDPOINT POR TRES (3) AÑOS - RENOVACIÓN</v>
      </c>
      <c r="C21164" s="6">
        <v>50000</v>
      </c>
      <c r="D21164" s="5" t="s">
        <v>362</v>
      </c>
      <c r="E21164" s="5" t="str">
        <f t="shared" si="1061"/>
        <v>SISTEMAS-GLOBALTRONIK SAS-SERGIO PATIÑO</v>
      </c>
      <c r="F21164" s="5"/>
      <c r="G21164" s="5"/>
    </row>
    <row r="21165" spans="1:7" ht="58.5" customHeight="1" x14ac:dyDescent="0.25">
      <c r="A21165" s="5" t="str">
        <f>"H0030862"</f>
        <v>H0030862</v>
      </c>
      <c r="B21165" s="5" t="str">
        <f t="shared" si="1062"/>
        <v>LICENCIA DE ANTIVIRUS ESET ENDPOINT POR TRES (3) AÑOS - RENOVACIÓN</v>
      </c>
      <c r="C21165" s="6">
        <v>50000</v>
      </c>
      <c r="D21165" s="5" t="s">
        <v>362</v>
      </c>
      <c r="E21165" s="5" t="str">
        <f t="shared" si="1061"/>
        <v>SISTEMAS-GLOBALTRONIK SAS-SERGIO PATIÑO</v>
      </c>
      <c r="F21165" s="5"/>
      <c r="G21165" s="5"/>
    </row>
    <row r="21166" spans="1:7" ht="58.5" customHeight="1" x14ac:dyDescent="0.25">
      <c r="A21166" s="5" t="str">
        <f>"H0030863"</f>
        <v>H0030863</v>
      </c>
      <c r="B21166" s="5" t="str">
        <f t="shared" si="1062"/>
        <v>LICENCIA DE ANTIVIRUS ESET ENDPOINT POR TRES (3) AÑOS - RENOVACIÓN</v>
      </c>
      <c r="C21166" s="6">
        <v>50000</v>
      </c>
      <c r="D21166" s="5" t="s">
        <v>362</v>
      </c>
      <c r="E21166" s="5" t="str">
        <f t="shared" si="1061"/>
        <v>SISTEMAS-GLOBALTRONIK SAS-SERGIO PATIÑO</v>
      </c>
      <c r="F21166" s="5"/>
      <c r="G21166" s="5"/>
    </row>
    <row r="21167" spans="1:7" ht="58.5" customHeight="1" x14ac:dyDescent="0.25">
      <c r="A21167" s="5" t="str">
        <f>"H0030864"</f>
        <v>H0030864</v>
      </c>
      <c r="B21167" s="5" t="str">
        <f t="shared" si="1062"/>
        <v>LICENCIA DE ANTIVIRUS ESET ENDPOINT POR TRES (3) AÑOS - RENOVACIÓN</v>
      </c>
      <c r="C21167" s="6">
        <v>50000</v>
      </c>
      <c r="D21167" s="5" t="s">
        <v>362</v>
      </c>
      <c r="E21167" s="5" t="str">
        <f t="shared" si="1061"/>
        <v>SISTEMAS-GLOBALTRONIK SAS-SERGIO PATIÑO</v>
      </c>
      <c r="F21167" s="5"/>
      <c r="G21167" s="5"/>
    </row>
    <row r="21168" spans="1:7" ht="58.5" customHeight="1" x14ac:dyDescent="0.25">
      <c r="A21168" s="5" t="str">
        <f>"H0030865"</f>
        <v>H0030865</v>
      </c>
      <c r="B21168" s="5" t="str">
        <f t="shared" si="1062"/>
        <v>LICENCIA DE ANTIVIRUS ESET ENDPOINT POR TRES (3) AÑOS - RENOVACIÓN</v>
      </c>
      <c r="C21168" s="6">
        <v>50000</v>
      </c>
      <c r="D21168" s="5" t="s">
        <v>362</v>
      </c>
      <c r="E21168" s="5" t="str">
        <f t="shared" si="1061"/>
        <v>SISTEMAS-GLOBALTRONIK SAS-SERGIO PATIÑO</v>
      </c>
      <c r="F21168" s="5"/>
      <c r="G21168" s="5"/>
    </row>
    <row r="21169" spans="1:7" ht="58.5" customHeight="1" x14ac:dyDescent="0.25">
      <c r="A21169" s="5" t="str">
        <f>"H0030866"</f>
        <v>H0030866</v>
      </c>
      <c r="B21169" s="5" t="str">
        <f t="shared" si="1062"/>
        <v>LICENCIA DE ANTIVIRUS ESET ENDPOINT POR TRES (3) AÑOS - RENOVACIÓN</v>
      </c>
      <c r="C21169" s="6">
        <v>50000</v>
      </c>
      <c r="D21169" s="5" t="s">
        <v>362</v>
      </c>
      <c r="E21169" s="5" t="str">
        <f t="shared" si="1061"/>
        <v>SISTEMAS-GLOBALTRONIK SAS-SERGIO PATIÑO</v>
      </c>
      <c r="F21169" s="5"/>
      <c r="G21169" s="5"/>
    </row>
    <row r="21170" spans="1:7" ht="58.5" customHeight="1" x14ac:dyDescent="0.25">
      <c r="A21170" s="5" t="str">
        <f>"H0030867"</f>
        <v>H0030867</v>
      </c>
      <c r="B21170" s="5" t="str">
        <f t="shared" si="1062"/>
        <v>LICENCIA DE ANTIVIRUS ESET ENDPOINT POR TRES (3) AÑOS - RENOVACIÓN</v>
      </c>
      <c r="C21170" s="6">
        <v>50000</v>
      </c>
      <c r="D21170" s="5" t="s">
        <v>362</v>
      </c>
      <c r="E21170" s="5" t="str">
        <f t="shared" si="1061"/>
        <v>SISTEMAS-GLOBALTRONIK SAS-SERGIO PATIÑO</v>
      </c>
      <c r="F21170" s="5"/>
      <c r="G21170" s="5"/>
    </row>
    <row r="21171" spans="1:7" ht="58.5" customHeight="1" x14ac:dyDescent="0.25">
      <c r="A21171" s="5" t="str">
        <f>"H0030868"</f>
        <v>H0030868</v>
      </c>
      <c r="B21171" s="5" t="str">
        <f t="shared" si="1062"/>
        <v>LICENCIA DE ANTIVIRUS ESET ENDPOINT POR TRES (3) AÑOS - RENOVACIÓN</v>
      </c>
      <c r="C21171" s="6">
        <v>50000</v>
      </c>
      <c r="D21171" s="5" t="s">
        <v>362</v>
      </c>
      <c r="E21171" s="5" t="str">
        <f t="shared" si="1061"/>
        <v>SISTEMAS-GLOBALTRONIK SAS-SERGIO PATIÑO</v>
      </c>
      <c r="F21171" s="5"/>
      <c r="G21171" s="5"/>
    </row>
    <row r="21172" spans="1:7" ht="58.5" customHeight="1" x14ac:dyDescent="0.25">
      <c r="A21172" s="5" t="str">
        <f>"H0030869"</f>
        <v>H0030869</v>
      </c>
      <c r="B21172" s="5" t="str">
        <f t="shared" si="1062"/>
        <v>LICENCIA DE ANTIVIRUS ESET ENDPOINT POR TRES (3) AÑOS - RENOVACIÓN</v>
      </c>
      <c r="C21172" s="6">
        <v>50000</v>
      </c>
      <c r="D21172" s="5" t="s">
        <v>362</v>
      </c>
      <c r="E21172" s="5" t="str">
        <f t="shared" si="1061"/>
        <v>SISTEMAS-GLOBALTRONIK SAS-SERGIO PATIÑO</v>
      </c>
      <c r="F21172" s="5"/>
      <c r="G21172" s="5"/>
    </row>
    <row r="21173" spans="1:7" ht="58.5" customHeight="1" x14ac:dyDescent="0.25">
      <c r="A21173" s="5" t="str">
        <f>"H0030870"</f>
        <v>H0030870</v>
      </c>
      <c r="B21173" s="5" t="str">
        <f t="shared" si="1062"/>
        <v>LICENCIA DE ANTIVIRUS ESET ENDPOINT POR TRES (3) AÑOS - RENOVACIÓN</v>
      </c>
      <c r="C21173" s="6">
        <v>50000</v>
      </c>
      <c r="D21173" s="5" t="s">
        <v>362</v>
      </c>
      <c r="E21173" s="5" t="str">
        <f t="shared" si="1061"/>
        <v>SISTEMAS-GLOBALTRONIK SAS-SERGIO PATIÑO</v>
      </c>
      <c r="F21173" s="5"/>
      <c r="G21173" s="5"/>
    </row>
    <row r="21174" spans="1:7" ht="58.5" customHeight="1" x14ac:dyDescent="0.25">
      <c r="A21174" s="5" t="str">
        <f>"H0030871"</f>
        <v>H0030871</v>
      </c>
      <c r="B21174" s="5" t="str">
        <f t="shared" si="1062"/>
        <v>LICENCIA DE ANTIVIRUS ESET ENDPOINT POR TRES (3) AÑOS - RENOVACIÓN</v>
      </c>
      <c r="C21174" s="6">
        <v>50000</v>
      </c>
      <c r="D21174" s="5" t="s">
        <v>362</v>
      </c>
      <c r="E21174" s="5" t="str">
        <f t="shared" si="1061"/>
        <v>SISTEMAS-GLOBALTRONIK SAS-SERGIO PATIÑO</v>
      </c>
      <c r="F21174" s="5"/>
      <c r="G21174" s="5"/>
    </row>
    <row r="21175" spans="1:7" ht="58.5" customHeight="1" x14ac:dyDescent="0.25">
      <c r="A21175" s="5" t="str">
        <f>"H0030872"</f>
        <v>H0030872</v>
      </c>
      <c r="B21175" s="5" t="str">
        <f t="shared" si="1062"/>
        <v>LICENCIA DE ANTIVIRUS ESET ENDPOINT POR TRES (3) AÑOS - RENOVACIÓN</v>
      </c>
      <c r="C21175" s="6">
        <v>50000</v>
      </c>
      <c r="D21175" s="5" t="s">
        <v>362</v>
      </c>
      <c r="E21175" s="5" t="str">
        <f t="shared" si="1061"/>
        <v>SISTEMAS-GLOBALTRONIK SAS-SERGIO PATIÑO</v>
      </c>
      <c r="F21175" s="5"/>
      <c r="G21175" s="5"/>
    </row>
    <row r="21176" spans="1:7" ht="58.5" customHeight="1" x14ac:dyDescent="0.25">
      <c r="A21176" s="5" t="str">
        <f>"H0030873"</f>
        <v>H0030873</v>
      </c>
      <c r="B21176" s="5" t="str">
        <f t="shared" si="1062"/>
        <v>LICENCIA DE ANTIVIRUS ESET ENDPOINT POR TRES (3) AÑOS - RENOVACIÓN</v>
      </c>
      <c r="C21176" s="6">
        <v>50000</v>
      </c>
      <c r="D21176" s="5" t="s">
        <v>362</v>
      </c>
      <c r="E21176" s="5" t="str">
        <f t="shared" si="1061"/>
        <v>SISTEMAS-GLOBALTRONIK SAS-SERGIO PATIÑO</v>
      </c>
      <c r="F21176" s="5"/>
      <c r="G21176" s="5"/>
    </row>
    <row r="21177" spans="1:7" ht="58.5" customHeight="1" x14ac:dyDescent="0.25">
      <c r="A21177" s="5" t="str">
        <f>"H0030874"</f>
        <v>H0030874</v>
      </c>
      <c r="B21177" s="5" t="str">
        <f t="shared" si="1062"/>
        <v>LICENCIA DE ANTIVIRUS ESET ENDPOINT POR TRES (3) AÑOS - RENOVACIÓN</v>
      </c>
      <c r="C21177" s="6">
        <v>50000</v>
      </c>
      <c r="D21177" s="5" t="s">
        <v>362</v>
      </c>
      <c r="E21177" s="5" t="str">
        <f t="shared" si="1061"/>
        <v>SISTEMAS-GLOBALTRONIK SAS-SERGIO PATIÑO</v>
      </c>
      <c r="F21177" s="5"/>
      <c r="G21177" s="5"/>
    </row>
    <row r="21178" spans="1:7" ht="58.5" customHeight="1" x14ac:dyDescent="0.25">
      <c r="A21178" s="5" t="str">
        <f>"H0030875"</f>
        <v>H0030875</v>
      </c>
      <c r="B21178" s="5" t="str">
        <f t="shared" si="1062"/>
        <v>LICENCIA DE ANTIVIRUS ESET ENDPOINT POR TRES (3) AÑOS - RENOVACIÓN</v>
      </c>
      <c r="C21178" s="6">
        <v>50000</v>
      </c>
      <c r="D21178" s="5" t="s">
        <v>362</v>
      </c>
      <c r="E21178" s="5" t="str">
        <f t="shared" si="1061"/>
        <v>SISTEMAS-GLOBALTRONIK SAS-SERGIO PATIÑO</v>
      </c>
      <c r="F21178" s="5"/>
      <c r="G21178" s="5"/>
    </row>
    <row r="21179" spans="1:7" ht="58.5" customHeight="1" x14ac:dyDescent="0.25">
      <c r="A21179" s="5" t="str">
        <f>"H0030876"</f>
        <v>H0030876</v>
      </c>
      <c r="B21179" s="5" t="str">
        <f t="shared" si="1062"/>
        <v>LICENCIA DE ANTIVIRUS ESET ENDPOINT POR TRES (3) AÑOS - RENOVACIÓN</v>
      </c>
      <c r="C21179" s="6">
        <v>50000</v>
      </c>
      <c r="D21179" s="5" t="s">
        <v>362</v>
      </c>
      <c r="E21179" s="5" t="str">
        <f t="shared" si="1061"/>
        <v>SISTEMAS-GLOBALTRONIK SAS-SERGIO PATIÑO</v>
      </c>
      <c r="F21179" s="5"/>
      <c r="G21179" s="5"/>
    </row>
    <row r="21180" spans="1:7" ht="58.5" customHeight="1" x14ac:dyDescent="0.25">
      <c r="A21180" s="5" t="str">
        <f>"H0030877"</f>
        <v>H0030877</v>
      </c>
      <c r="B21180" s="5" t="str">
        <f t="shared" si="1062"/>
        <v>LICENCIA DE ANTIVIRUS ESET ENDPOINT POR TRES (3) AÑOS - RENOVACIÓN</v>
      </c>
      <c r="C21180" s="6">
        <v>50000</v>
      </c>
      <c r="D21180" s="5" t="s">
        <v>362</v>
      </c>
      <c r="E21180" s="5" t="str">
        <f t="shared" si="1061"/>
        <v>SISTEMAS-GLOBALTRONIK SAS-SERGIO PATIÑO</v>
      </c>
      <c r="F21180" s="5"/>
      <c r="G21180" s="5"/>
    </row>
    <row r="21181" spans="1:7" ht="58.5" customHeight="1" x14ac:dyDescent="0.25">
      <c r="A21181" s="5" t="str">
        <f>"H0030878"</f>
        <v>H0030878</v>
      </c>
      <c r="B21181" s="5" t="str">
        <f t="shared" si="1062"/>
        <v>LICENCIA DE ANTIVIRUS ESET ENDPOINT POR TRES (3) AÑOS - RENOVACIÓN</v>
      </c>
      <c r="C21181" s="6">
        <v>50000</v>
      </c>
      <c r="D21181" s="5" t="s">
        <v>362</v>
      </c>
      <c r="E21181" s="5" t="str">
        <f t="shared" ref="E21181:E21244" si="1063">"SISTEMAS-GLOBALTRONIK SAS-SERGIO PATIÑO"</f>
        <v>SISTEMAS-GLOBALTRONIK SAS-SERGIO PATIÑO</v>
      </c>
      <c r="F21181" s="5"/>
      <c r="G21181" s="5"/>
    </row>
    <row r="21182" spans="1:7" ht="58.5" customHeight="1" x14ac:dyDescent="0.25">
      <c r="A21182" s="5" t="str">
        <f>"H0030879"</f>
        <v>H0030879</v>
      </c>
      <c r="B21182" s="5" t="str">
        <f t="shared" si="1062"/>
        <v>LICENCIA DE ANTIVIRUS ESET ENDPOINT POR TRES (3) AÑOS - RENOVACIÓN</v>
      </c>
      <c r="C21182" s="6">
        <v>50000</v>
      </c>
      <c r="D21182" s="5" t="s">
        <v>362</v>
      </c>
      <c r="E21182" s="5" t="str">
        <f t="shared" si="1063"/>
        <v>SISTEMAS-GLOBALTRONIK SAS-SERGIO PATIÑO</v>
      </c>
      <c r="F21182" s="5"/>
      <c r="G21182" s="5"/>
    </row>
    <row r="21183" spans="1:7" ht="58.5" customHeight="1" x14ac:dyDescent="0.25">
      <c r="A21183" s="5" t="str">
        <f>"H0030880"</f>
        <v>H0030880</v>
      </c>
      <c r="B21183" s="5" t="str">
        <f t="shared" si="1062"/>
        <v>LICENCIA DE ANTIVIRUS ESET ENDPOINT POR TRES (3) AÑOS - RENOVACIÓN</v>
      </c>
      <c r="C21183" s="6">
        <v>50000</v>
      </c>
      <c r="D21183" s="5" t="s">
        <v>362</v>
      </c>
      <c r="E21183" s="5" t="str">
        <f t="shared" si="1063"/>
        <v>SISTEMAS-GLOBALTRONIK SAS-SERGIO PATIÑO</v>
      </c>
      <c r="F21183" s="5"/>
      <c r="G21183" s="5"/>
    </row>
    <row r="21184" spans="1:7" ht="58.5" customHeight="1" x14ac:dyDescent="0.25">
      <c r="A21184" s="5" t="str">
        <f>"H0030881"</f>
        <v>H0030881</v>
      </c>
      <c r="B21184" s="5" t="str">
        <f t="shared" si="1062"/>
        <v>LICENCIA DE ANTIVIRUS ESET ENDPOINT POR TRES (3) AÑOS - RENOVACIÓN</v>
      </c>
      <c r="C21184" s="6">
        <v>50000</v>
      </c>
      <c r="D21184" s="5" t="s">
        <v>362</v>
      </c>
      <c r="E21184" s="5" t="str">
        <f t="shared" si="1063"/>
        <v>SISTEMAS-GLOBALTRONIK SAS-SERGIO PATIÑO</v>
      </c>
      <c r="F21184" s="5"/>
      <c r="G21184" s="5"/>
    </row>
    <row r="21185" spans="1:7" ht="58.5" customHeight="1" x14ac:dyDescent="0.25">
      <c r="A21185" s="5" t="str">
        <f>"H0030882"</f>
        <v>H0030882</v>
      </c>
      <c r="B21185" s="5" t="str">
        <f t="shared" si="1062"/>
        <v>LICENCIA DE ANTIVIRUS ESET ENDPOINT POR TRES (3) AÑOS - RENOVACIÓN</v>
      </c>
      <c r="C21185" s="6">
        <v>50000</v>
      </c>
      <c r="D21185" s="5" t="s">
        <v>882</v>
      </c>
      <c r="E21185" s="5" t="str">
        <f t="shared" si="1063"/>
        <v>SISTEMAS-GLOBALTRONIK SAS-SERGIO PATIÑO</v>
      </c>
      <c r="F21185" s="5"/>
      <c r="G21185" s="5"/>
    </row>
    <row r="21186" spans="1:7" ht="58.5" customHeight="1" x14ac:dyDescent="0.25">
      <c r="A21186" s="5" t="str">
        <f>"H0030883"</f>
        <v>H0030883</v>
      </c>
      <c r="B21186" s="5" t="str">
        <f t="shared" si="1062"/>
        <v>LICENCIA DE ANTIVIRUS ESET ENDPOINT POR TRES (3) AÑOS - RENOVACIÓN</v>
      </c>
      <c r="C21186" s="6">
        <v>50000</v>
      </c>
      <c r="D21186" s="5" t="s">
        <v>362</v>
      </c>
      <c r="E21186" s="5" t="str">
        <f t="shared" si="1063"/>
        <v>SISTEMAS-GLOBALTRONIK SAS-SERGIO PATIÑO</v>
      </c>
      <c r="F21186" s="5"/>
      <c r="G21186" s="5"/>
    </row>
    <row r="21187" spans="1:7" ht="58.5" customHeight="1" x14ac:dyDescent="0.25">
      <c r="A21187" s="5" t="str">
        <f>"H0030884"</f>
        <v>H0030884</v>
      </c>
      <c r="B21187" s="5" t="str">
        <f t="shared" si="1062"/>
        <v>LICENCIA DE ANTIVIRUS ESET ENDPOINT POR TRES (3) AÑOS - RENOVACIÓN</v>
      </c>
      <c r="C21187" s="6">
        <v>50000</v>
      </c>
      <c r="D21187" s="5" t="s">
        <v>362</v>
      </c>
      <c r="E21187" s="5" t="str">
        <f t="shared" si="1063"/>
        <v>SISTEMAS-GLOBALTRONIK SAS-SERGIO PATIÑO</v>
      </c>
      <c r="F21187" s="5"/>
      <c r="G21187" s="5"/>
    </row>
    <row r="21188" spans="1:7" ht="58.5" customHeight="1" x14ac:dyDescent="0.25">
      <c r="A21188" s="5" t="str">
        <f>"H0030885"</f>
        <v>H0030885</v>
      </c>
      <c r="B21188" s="5" t="str">
        <f t="shared" si="1062"/>
        <v>LICENCIA DE ANTIVIRUS ESET ENDPOINT POR TRES (3) AÑOS - RENOVACIÓN</v>
      </c>
      <c r="C21188" s="6">
        <v>50000</v>
      </c>
      <c r="D21188" s="5" t="s">
        <v>362</v>
      </c>
      <c r="E21188" s="5" t="str">
        <f t="shared" si="1063"/>
        <v>SISTEMAS-GLOBALTRONIK SAS-SERGIO PATIÑO</v>
      </c>
      <c r="F21188" s="5"/>
      <c r="G21188" s="5"/>
    </row>
    <row r="21189" spans="1:7" ht="58.5" customHeight="1" x14ac:dyDescent="0.25">
      <c r="A21189" s="5" t="str">
        <f>"H0030886"</f>
        <v>H0030886</v>
      </c>
      <c r="B21189" s="5" t="str">
        <f t="shared" si="1062"/>
        <v>LICENCIA DE ANTIVIRUS ESET ENDPOINT POR TRES (3) AÑOS - RENOVACIÓN</v>
      </c>
      <c r="C21189" s="6">
        <v>50000</v>
      </c>
      <c r="D21189" s="5" t="s">
        <v>362</v>
      </c>
      <c r="E21189" s="5" t="str">
        <f t="shared" si="1063"/>
        <v>SISTEMAS-GLOBALTRONIK SAS-SERGIO PATIÑO</v>
      </c>
      <c r="F21189" s="5"/>
      <c r="G21189" s="5"/>
    </row>
    <row r="21190" spans="1:7" ht="58.5" customHeight="1" x14ac:dyDescent="0.25">
      <c r="A21190" s="5" t="str">
        <f>"H0030887"</f>
        <v>H0030887</v>
      </c>
      <c r="B21190" s="5" t="str">
        <f t="shared" si="1062"/>
        <v>LICENCIA DE ANTIVIRUS ESET ENDPOINT POR TRES (3) AÑOS - RENOVACIÓN</v>
      </c>
      <c r="C21190" s="6">
        <v>50000</v>
      </c>
      <c r="D21190" s="5" t="s">
        <v>362</v>
      </c>
      <c r="E21190" s="5" t="str">
        <f t="shared" si="1063"/>
        <v>SISTEMAS-GLOBALTRONIK SAS-SERGIO PATIÑO</v>
      </c>
      <c r="F21190" s="5"/>
      <c r="G21190" s="5"/>
    </row>
    <row r="21191" spans="1:7" ht="58.5" customHeight="1" x14ac:dyDescent="0.25">
      <c r="A21191" s="5" t="str">
        <f>"H0030888"</f>
        <v>H0030888</v>
      </c>
      <c r="B21191" s="5" t="str">
        <f t="shared" si="1062"/>
        <v>LICENCIA DE ANTIVIRUS ESET ENDPOINT POR TRES (3) AÑOS - RENOVACIÓN</v>
      </c>
      <c r="C21191" s="6">
        <v>50000</v>
      </c>
      <c r="D21191" s="5" t="s">
        <v>362</v>
      </c>
      <c r="E21191" s="5" t="str">
        <f t="shared" si="1063"/>
        <v>SISTEMAS-GLOBALTRONIK SAS-SERGIO PATIÑO</v>
      </c>
      <c r="F21191" s="5"/>
      <c r="G21191" s="5"/>
    </row>
    <row r="21192" spans="1:7" ht="58.5" customHeight="1" x14ac:dyDescent="0.25">
      <c r="A21192" s="5" t="str">
        <f>"H0030889"</f>
        <v>H0030889</v>
      </c>
      <c r="B21192" s="5" t="str">
        <f t="shared" si="1062"/>
        <v>LICENCIA DE ANTIVIRUS ESET ENDPOINT POR TRES (3) AÑOS - RENOVACIÓN</v>
      </c>
      <c r="C21192" s="6">
        <v>50000</v>
      </c>
      <c r="D21192" s="5" t="s">
        <v>362</v>
      </c>
      <c r="E21192" s="5" t="str">
        <f t="shared" si="1063"/>
        <v>SISTEMAS-GLOBALTRONIK SAS-SERGIO PATIÑO</v>
      </c>
      <c r="F21192" s="5"/>
      <c r="G21192" s="5"/>
    </row>
    <row r="21193" spans="1:7" ht="58.5" customHeight="1" x14ac:dyDescent="0.25">
      <c r="A21193" s="5" t="str">
        <f>"H0030890"</f>
        <v>H0030890</v>
      </c>
      <c r="B21193" s="5" t="str">
        <f t="shared" si="1062"/>
        <v>LICENCIA DE ANTIVIRUS ESET ENDPOINT POR TRES (3) AÑOS - RENOVACIÓN</v>
      </c>
      <c r="C21193" s="6">
        <v>50000</v>
      </c>
      <c r="D21193" s="5" t="s">
        <v>362</v>
      </c>
      <c r="E21193" s="5" t="str">
        <f t="shared" si="1063"/>
        <v>SISTEMAS-GLOBALTRONIK SAS-SERGIO PATIÑO</v>
      </c>
      <c r="F21193" s="5"/>
      <c r="G21193" s="5"/>
    </row>
    <row r="21194" spans="1:7" ht="58.5" customHeight="1" x14ac:dyDescent="0.25">
      <c r="A21194" s="5" t="str">
        <f>"H0030891"</f>
        <v>H0030891</v>
      </c>
      <c r="B21194" s="5" t="str">
        <f t="shared" si="1062"/>
        <v>LICENCIA DE ANTIVIRUS ESET ENDPOINT POR TRES (3) AÑOS - RENOVACIÓN</v>
      </c>
      <c r="C21194" s="6">
        <v>50000</v>
      </c>
      <c r="D21194" s="5" t="s">
        <v>362</v>
      </c>
      <c r="E21194" s="5" t="str">
        <f t="shared" si="1063"/>
        <v>SISTEMAS-GLOBALTRONIK SAS-SERGIO PATIÑO</v>
      </c>
      <c r="F21194" s="5"/>
      <c r="G21194" s="5"/>
    </row>
    <row r="21195" spans="1:7" ht="58.5" customHeight="1" x14ac:dyDescent="0.25">
      <c r="A21195" s="5" t="str">
        <f>"H0030892"</f>
        <v>H0030892</v>
      </c>
      <c r="B21195" s="5" t="str">
        <f t="shared" si="1062"/>
        <v>LICENCIA DE ANTIVIRUS ESET ENDPOINT POR TRES (3) AÑOS - RENOVACIÓN</v>
      </c>
      <c r="C21195" s="6">
        <v>50000</v>
      </c>
      <c r="D21195" s="5" t="s">
        <v>362</v>
      </c>
      <c r="E21195" s="5" t="str">
        <f t="shared" si="1063"/>
        <v>SISTEMAS-GLOBALTRONIK SAS-SERGIO PATIÑO</v>
      </c>
      <c r="F21195" s="5"/>
      <c r="G21195" s="5"/>
    </row>
    <row r="21196" spans="1:7" ht="58.5" customHeight="1" x14ac:dyDescent="0.25">
      <c r="A21196" s="5" t="str">
        <f>"H0030893"</f>
        <v>H0030893</v>
      </c>
      <c r="B21196" s="5" t="str">
        <f t="shared" si="1062"/>
        <v>LICENCIA DE ANTIVIRUS ESET ENDPOINT POR TRES (3) AÑOS - RENOVACIÓN</v>
      </c>
      <c r="C21196" s="6">
        <v>50000</v>
      </c>
      <c r="D21196" s="5" t="s">
        <v>362</v>
      </c>
      <c r="E21196" s="5" t="str">
        <f t="shared" si="1063"/>
        <v>SISTEMAS-GLOBALTRONIK SAS-SERGIO PATIÑO</v>
      </c>
      <c r="F21196" s="5"/>
      <c r="G21196" s="5"/>
    </row>
    <row r="21197" spans="1:7" ht="58.5" customHeight="1" x14ac:dyDescent="0.25">
      <c r="A21197" s="5" t="str">
        <f>"H0030894"</f>
        <v>H0030894</v>
      </c>
      <c r="B21197" s="5" t="str">
        <f t="shared" si="1062"/>
        <v>LICENCIA DE ANTIVIRUS ESET ENDPOINT POR TRES (3) AÑOS - RENOVACIÓN</v>
      </c>
      <c r="C21197" s="6">
        <v>50000</v>
      </c>
      <c r="D21197" s="5" t="s">
        <v>362</v>
      </c>
      <c r="E21197" s="5" t="str">
        <f t="shared" si="1063"/>
        <v>SISTEMAS-GLOBALTRONIK SAS-SERGIO PATIÑO</v>
      </c>
      <c r="F21197" s="5"/>
      <c r="G21197" s="5"/>
    </row>
    <row r="21198" spans="1:7" ht="58.5" customHeight="1" x14ac:dyDescent="0.25">
      <c r="A21198" s="5" t="str">
        <f>"H0030895"</f>
        <v>H0030895</v>
      </c>
      <c r="B21198" s="5" t="str">
        <f t="shared" si="1062"/>
        <v>LICENCIA DE ANTIVIRUS ESET ENDPOINT POR TRES (3) AÑOS - RENOVACIÓN</v>
      </c>
      <c r="C21198" s="6">
        <v>50000</v>
      </c>
      <c r="D21198" s="5" t="s">
        <v>362</v>
      </c>
      <c r="E21198" s="5" t="str">
        <f t="shared" si="1063"/>
        <v>SISTEMAS-GLOBALTRONIK SAS-SERGIO PATIÑO</v>
      </c>
      <c r="F21198" s="5"/>
      <c r="G21198" s="5"/>
    </row>
    <row r="21199" spans="1:7" ht="58.5" customHeight="1" x14ac:dyDescent="0.25">
      <c r="A21199" s="5" t="str">
        <f>"H0030896"</f>
        <v>H0030896</v>
      </c>
      <c r="B21199" s="5" t="str">
        <f t="shared" si="1062"/>
        <v>LICENCIA DE ANTIVIRUS ESET ENDPOINT POR TRES (3) AÑOS - RENOVACIÓN</v>
      </c>
      <c r="C21199" s="6">
        <v>50000</v>
      </c>
      <c r="D21199" s="5" t="s">
        <v>362</v>
      </c>
      <c r="E21199" s="5" t="str">
        <f t="shared" si="1063"/>
        <v>SISTEMAS-GLOBALTRONIK SAS-SERGIO PATIÑO</v>
      </c>
      <c r="F21199" s="5"/>
      <c r="G21199" s="5"/>
    </row>
    <row r="21200" spans="1:7" ht="58.5" customHeight="1" x14ac:dyDescent="0.25">
      <c r="A21200" s="5" t="str">
        <f>"H0030897"</f>
        <v>H0030897</v>
      </c>
      <c r="B21200" s="5" t="str">
        <f t="shared" si="1062"/>
        <v>LICENCIA DE ANTIVIRUS ESET ENDPOINT POR TRES (3) AÑOS - RENOVACIÓN</v>
      </c>
      <c r="C21200" s="6">
        <v>50000</v>
      </c>
      <c r="D21200" s="5" t="s">
        <v>362</v>
      </c>
      <c r="E21200" s="5" t="str">
        <f t="shared" si="1063"/>
        <v>SISTEMAS-GLOBALTRONIK SAS-SERGIO PATIÑO</v>
      </c>
      <c r="F21200" s="5"/>
      <c r="G21200" s="5"/>
    </row>
    <row r="21201" spans="1:7" ht="58.5" customHeight="1" x14ac:dyDescent="0.25">
      <c r="A21201" s="5" t="str">
        <f>"H0030898"</f>
        <v>H0030898</v>
      </c>
      <c r="B21201" s="5" t="str">
        <f t="shared" si="1062"/>
        <v>LICENCIA DE ANTIVIRUS ESET ENDPOINT POR TRES (3) AÑOS - RENOVACIÓN</v>
      </c>
      <c r="C21201" s="6">
        <v>50000</v>
      </c>
      <c r="D21201" s="5" t="s">
        <v>362</v>
      </c>
      <c r="E21201" s="5" t="str">
        <f t="shared" si="1063"/>
        <v>SISTEMAS-GLOBALTRONIK SAS-SERGIO PATIÑO</v>
      </c>
      <c r="F21201" s="5"/>
      <c r="G21201" s="5"/>
    </row>
    <row r="21202" spans="1:7" ht="58.5" customHeight="1" x14ac:dyDescent="0.25">
      <c r="A21202" s="5" t="str">
        <f>"H0030899"</f>
        <v>H0030899</v>
      </c>
      <c r="B21202" s="5" t="str">
        <f t="shared" si="1062"/>
        <v>LICENCIA DE ANTIVIRUS ESET ENDPOINT POR TRES (3) AÑOS - RENOVACIÓN</v>
      </c>
      <c r="C21202" s="6">
        <v>50000</v>
      </c>
      <c r="D21202" s="5" t="s">
        <v>362</v>
      </c>
      <c r="E21202" s="5" t="str">
        <f t="shared" si="1063"/>
        <v>SISTEMAS-GLOBALTRONIK SAS-SERGIO PATIÑO</v>
      </c>
      <c r="F21202" s="5"/>
      <c r="G21202" s="5"/>
    </row>
    <row r="21203" spans="1:7" ht="58.5" customHeight="1" x14ac:dyDescent="0.25">
      <c r="A21203" s="5" t="str">
        <f>"H0030900"</f>
        <v>H0030900</v>
      </c>
      <c r="B21203" s="5" t="str">
        <f t="shared" si="1062"/>
        <v>LICENCIA DE ANTIVIRUS ESET ENDPOINT POR TRES (3) AÑOS - RENOVACIÓN</v>
      </c>
      <c r="C21203" s="6">
        <v>50000</v>
      </c>
      <c r="D21203" s="5" t="s">
        <v>362</v>
      </c>
      <c r="E21203" s="5" t="str">
        <f t="shared" si="1063"/>
        <v>SISTEMAS-GLOBALTRONIK SAS-SERGIO PATIÑO</v>
      </c>
      <c r="F21203" s="5"/>
      <c r="G21203" s="5"/>
    </row>
    <row r="21204" spans="1:7" ht="58.5" customHeight="1" x14ac:dyDescent="0.25">
      <c r="A21204" s="5" t="str">
        <f>"H0030901"</f>
        <v>H0030901</v>
      </c>
      <c r="B21204" s="5" t="str">
        <f t="shared" si="1062"/>
        <v>LICENCIA DE ANTIVIRUS ESET ENDPOINT POR TRES (3) AÑOS - RENOVACIÓN</v>
      </c>
      <c r="C21204" s="6">
        <v>50000</v>
      </c>
      <c r="D21204" s="5" t="s">
        <v>362</v>
      </c>
      <c r="E21204" s="5" t="str">
        <f t="shared" si="1063"/>
        <v>SISTEMAS-GLOBALTRONIK SAS-SERGIO PATIÑO</v>
      </c>
      <c r="F21204" s="5"/>
      <c r="G21204" s="5"/>
    </row>
    <row r="21205" spans="1:7" ht="58.5" customHeight="1" x14ac:dyDescent="0.25">
      <c r="A21205" s="5" t="str">
        <f>"H0030902"</f>
        <v>H0030902</v>
      </c>
      <c r="B21205" s="5" t="str">
        <f t="shared" ref="B21205:B21268" si="1064">"LICENCIA DE ANTIVIRUS ESET ENDPOINT POR TRES (3) AÑOS - RENOVACIÓN"</f>
        <v>LICENCIA DE ANTIVIRUS ESET ENDPOINT POR TRES (3) AÑOS - RENOVACIÓN</v>
      </c>
      <c r="C21205" s="6">
        <v>50000</v>
      </c>
      <c r="D21205" s="5" t="s">
        <v>362</v>
      </c>
      <c r="E21205" s="5" t="str">
        <f t="shared" si="1063"/>
        <v>SISTEMAS-GLOBALTRONIK SAS-SERGIO PATIÑO</v>
      </c>
      <c r="F21205" s="5"/>
      <c r="G21205" s="5"/>
    </row>
    <row r="21206" spans="1:7" ht="58.5" customHeight="1" x14ac:dyDescent="0.25">
      <c r="A21206" s="5" t="str">
        <f>"H0030903"</f>
        <v>H0030903</v>
      </c>
      <c r="B21206" s="5" t="str">
        <f t="shared" si="1064"/>
        <v>LICENCIA DE ANTIVIRUS ESET ENDPOINT POR TRES (3) AÑOS - RENOVACIÓN</v>
      </c>
      <c r="C21206" s="6">
        <v>50000</v>
      </c>
      <c r="D21206" s="5" t="s">
        <v>362</v>
      </c>
      <c r="E21206" s="5" t="str">
        <f t="shared" si="1063"/>
        <v>SISTEMAS-GLOBALTRONIK SAS-SERGIO PATIÑO</v>
      </c>
      <c r="F21206" s="5"/>
      <c r="G21206" s="5"/>
    </row>
    <row r="21207" spans="1:7" ht="58.5" customHeight="1" x14ac:dyDescent="0.25">
      <c r="A21207" s="5" t="str">
        <f>"H0030904"</f>
        <v>H0030904</v>
      </c>
      <c r="B21207" s="5" t="str">
        <f t="shared" si="1064"/>
        <v>LICENCIA DE ANTIVIRUS ESET ENDPOINT POR TRES (3) AÑOS - RENOVACIÓN</v>
      </c>
      <c r="C21207" s="6">
        <v>50000</v>
      </c>
      <c r="D21207" s="5" t="s">
        <v>362</v>
      </c>
      <c r="E21207" s="5" t="str">
        <f t="shared" si="1063"/>
        <v>SISTEMAS-GLOBALTRONIK SAS-SERGIO PATIÑO</v>
      </c>
      <c r="F21207" s="5"/>
      <c r="G21207" s="5"/>
    </row>
    <row r="21208" spans="1:7" ht="58.5" customHeight="1" x14ac:dyDescent="0.25">
      <c r="A21208" s="5" t="str">
        <f>"H0030905"</f>
        <v>H0030905</v>
      </c>
      <c r="B21208" s="5" t="str">
        <f t="shared" si="1064"/>
        <v>LICENCIA DE ANTIVIRUS ESET ENDPOINT POR TRES (3) AÑOS - RENOVACIÓN</v>
      </c>
      <c r="C21208" s="6">
        <v>50000</v>
      </c>
      <c r="D21208" s="5" t="s">
        <v>362</v>
      </c>
      <c r="E21208" s="5" t="str">
        <f t="shared" si="1063"/>
        <v>SISTEMAS-GLOBALTRONIK SAS-SERGIO PATIÑO</v>
      </c>
      <c r="F21208" s="5"/>
      <c r="G21208" s="5"/>
    </row>
    <row r="21209" spans="1:7" ht="58.5" customHeight="1" x14ac:dyDescent="0.25">
      <c r="A21209" s="5" t="str">
        <f>"H0030906"</f>
        <v>H0030906</v>
      </c>
      <c r="B21209" s="5" t="str">
        <f t="shared" si="1064"/>
        <v>LICENCIA DE ANTIVIRUS ESET ENDPOINT POR TRES (3) AÑOS - RENOVACIÓN</v>
      </c>
      <c r="C21209" s="6">
        <v>50000</v>
      </c>
      <c r="D21209" s="5" t="s">
        <v>362</v>
      </c>
      <c r="E21209" s="5" t="str">
        <f t="shared" si="1063"/>
        <v>SISTEMAS-GLOBALTRONIK SAS-SERGIO PATIÑO</v>
      </c>
      <c r="F21209" s="5"/>
      <c r="G21209" s="5"/>
    </row>
    <row r="21210" spans="1:7" ht="58.5" customHeight="1" x14ac:dyDescent="0.25">
      <c r="A21210" s="5" t="str">
        <f>"H0030907"</f>
        <v>H0030907</v>
      </c>
      <c r="B21210" s="5" t="str">
        <f t="shared" si="1064"/>
        <v>LICENCIA DE ANTIVIRUS ESET ENDPOINT POR TRES (3) AÑOS - RENOVACIÓN</v>
      </c>
      <c r="C21210" s="6">
        <v>50000</v>
      </c>
      <c r="D21210" s="5" t="s">
        <v>362</v>
      </c>
      <c r="E21210" s="5" t="str">
        <f t="shared" si="1063"/>
        <v>SISTEMAS-GLOBALTRONIK SAS-SERGIO PATIÑO</v>
      </c>
      <c r="F21210" s="5"/>
      <c r="G21210" s="5"/>
    </row>
    <row r="21211" spans="1:7" ht="58.5" customHeight="1" x14ac:dyDescent="0.25">
      <c r="A21211" s="5" t="str">
        <f>"H0030908"</f>
        <v>H0030908</v>
      </c>
      <c r="B21211" s="5" t="str">
        <f t="shared" si="1064"/>
        <v>LICENCIA DE ANTIVIRUS ESET ENDPOINT POR TRES (3) AÑOS - RENOVACIÓN</v>
      </c>
      <c r="C21211" s="6">
        <v>50000</v>
      </c>
      <c r="D21211" s="5" t="s">
        <v>362</v>
      </c>
      <c r="E21211" s="5" t="str">
        <f t="shared" si="1063"/>
        <v>SISTEMAS-GLOBALTRONIK SAS-SERGIO PATIÑO</v>
      </c>
      <c r="F21211" s="5"/>
      <c r="G21211" s="5"/>
    </row>
    <row r="21212" spans="1:7" ht="58.5" customHeight="1" x14ac:dyDescent="0.25">
      <c r="A21212" s="5" t="str">
        <f>"H0030909"</f>
        <v>H0030909</v>
      </c>
      <c r="B21212" s="5" t="str">
        <f t="shared" si="1064"/>
        <v>LICENCIA DE ANTIVIRUS ESET ENDPOINT POR TRES (3) AÑOS - RENOVACIÓN</v>
      </c>
      <c r="C21212" s="6">
        <v>50000</v>
      </c>
      <c r="D21212" s="5" t="s">
        <v>362</v>
      </c>
      <c r="E21212" s="5" t="str">
        <f t="shared" si="1063"/>
        <v>SISTEMAS-GLOBALTRONIK SAS-SERGIO PATIÑO</v>
      </c>
      <c r="F21212" s="5"/>
      <c r="G21212" s="5"/>
    </row>
    <row r="21213" spans="1:7" ht="58.5" customHeight="1" x14ac:dyDescent="0.25">
      <c r="A21213" s="5" t="str">
        <f>"H0030910"</f>
        <v>H0030910</v>
      </c>
      <c r="B21213" s="5" t="str">
        <f t="shared" si="1064"/>
        <v>LICENCIA DE ANTIVIRUS ESET ENDPOINT POR TRES (3) AÑOS - RENOVACIÓN</v>
      </c>
      <c r="C21213" s="6">
        <v>50000</v>
      </c>
      <c r="D21213" s="5" t="s">
        <v>362</v>
      </c>
      <c r="E21213" s="5" t="str">
        <f t="shared" si="1063"/>
        <v>SISTEMAS-GLOBALTRONIK SAS-SERGIO PATIÑO</v>
      </c>
      <c r="F21213" s="5"/>
      <c r="G21213" s="5"/>
    </row>
    <row r="21214" spans="1:7" ht="58.5" customHeight="1" x14ac:dyDescent="0.25">
      <c r="A21214" s="5" t="str">
        <f>"H0030911"</f>
        <v>H0030911</v>
      </c>
      <c r="B21214" s="5" t="str">
        <f t="shared" si="1064"/>
        <v>LICENCIA DE ANTIVIRUS ESET ENDPOINT POR TRES (3) AÑOS - RENOVACIÓN</v>
      </c>
      <c r="C21214" s="6">
        <v>50000</v>
      </c>
      <c r="D21214" s="5" t="s">
        <v>362</v>
      </c>
      <c r="E21214" s="5" t="str">
        <f t="shared" si="1063"/>
        <v>SISTEMAS-GLOBALTRONIK SAS-SERGIO PATIÑO</v>
      </c>
      <c r="F21214" s="5"/>
      <c r="G21214" s="5"/>
    </row>
    <row r="21215" spans="1:7" ht="58.5" customHeight="1" x14ac:dyDescent="0.25">
      <c r="A21215" s="5" t="str">
        <f>"H0030912"</f>
        <v>H0030912</v>
      </c>
      <c r="B21215" s="5" t="str">
        <f t="shared" si="1064"/>
        <v>LICENCIA DE ANTIVIRUS ESET ENDPOINT POR TRES (3) AÑOS - RENOVACIÓN</v>
      </c>
      <c r="C21215" s="6">
        <v>50000</v>
      </c>
      <c r="D21215" s="5" t="s">
        <v>362</v>
      </c>
      <c r="E21215" s="5" t="str">
        <f t="shared" si="1063"/>
        <v>SISTEMAS-GLOBALTRONIK SAS-SERGIO PATIÑO</v>
      </c>
      <c r="F21215" s="5"/>
      <c r="G21215" s="5"/>
    </row>
    <row r="21216" spans="1:7" ht="58.5" customHeight="1" x14ac:dyDescent="0.25">
      <c r="A21216" s="5" t="str">
        <f>"H0030913"</f>
        <v>H0030913</v>
      </c>
      <c r="B21216" s="5" t="str">
        <f t="shared" si="1064"/>
        <v>LICENCIA DE ANTIVIRUS ESET ENDPOINT POR TRES (3) AÑOS - RENOVACIÓN</v>
      </c>
      <c r="C21216" s="6">
        <v>50000</v>
      </c>
      <c r="D21216" s="5" t="s">
        <v>362</v>
      </c>
      <c r="E21216" s="5" t="str">
        <f t="shared" si="1063"/>
        <v>SISTEMAS-GLOBALTRONIK SAS-SERGIO PATIÑO</v>
      </c>
      <c r="F21216" s="5"/>
      <c r="G21216" s="5"/>
    </row>
    <row r="21217" spans="1:7" ht="58.5" customHeight="1" x14ac:dyDescent="0.25">
      <c r="A21217" s="5" t="str">
        <f>"H0030914"</f>
        <v>H0030914</v>
      </c>
      <c r="B21217" s="5" t="str">
        <f t="shared" si="1064"/>
        <v>LICENCIA DE ANTIVIRUS ESET ENDPOINT POR TRES (3) AÑOS - RENOVACIÓN</v>
      </c>
      <c r="C21217" s="6">
        <v>50000</v>
      </c>
      <c r="D21217" s="5" t="s">
        <v>362</v>
      </c>
      <c r="E21217" s="5" t="str">
        <f t="shared" si="1063"/>
        <v>SISTEMAS-GLOBALTRONIK SAS-SERGIO PATIÑO</v>
      </c>
      <c r="F21217" s="5"/>
      <c r="G21217" s="5"/>
    </row>
    <row r="21218" spans="1:7" ht="58.5" customHeight="1" x14ac:dyDescent="0.25">
      <c r="A21218" s="5" t="str">
        <f>"H0030915"</f>
        <v>H0030915</v>
      </c>
      <c r="B21218" s="5" t="str">
        <f t="shared" si="1064"/>
        <v>LICENCIA DE ANTIVIRUS ESET ENDPOINT POR TRES (3) AÑOS - RENOVACIÓN</v>
      </c>
      <c r="C21218" s="6">
        <v>50000</v>
      </c>
      <c r="D21218" s="5" t="s">
        <v>362</v>
      </c>
      <c r="E21218" s="5" t="str">
        <f t="shared" si="1063"/>
        <v>SISTEMAS-GLOBALTRONIK SAS-SERGIO PATIÑO</v>
      </c>
      <c r="F21218" s="5"/>
      <c r="G21218" s="5"/>
    </row>
    <row r="21219" spans="1:7" ht="58.5" customHeight="1" x14ac:dyDescent="0.25">
      <c r="A21219" s="5" t="str">
        <f>"H0030916"</f>
        <v>H0030916</v>
      </c>
      <c r="B21219" s="5" t="str">
        <f t="shared" si="1064"/>
        <v>LICENCIA DE ANTIVIRUS ESET ENDPOINT POR TRES (3) AÑOS - RENOVACIÓN</v>
      </c>
      <c r="C21219" s="6">
        <v>50000</v>
      </c>
      <c r="D21219" s="5" t="s">
        <v>362</v>
      </c>
      <c r="E21219" s="5" t="str">
        <f t="shared" si="1063"/>
        <v>SISTEMAS-GLOBALTRONIK SAS-SERGIO PATIÑO</v>
      </c>
      <c r="F21219" s="5"/>
      <c r="G21219" s="5"/>
    </row>
    <row r="21220" spans="1:7" ht="58.5" customHeight="1" x14ac:dyDescent="0.25">
      <c r="A21220" s="5" t="str">
        <f>"H0030917"</f>
        <v>H0030917</v>
      </c>
      <c r="B21220" s="5" t="str">
        <f t="shared" si="1064"/>
        <v>LICENCIA DE ANTIVIRUS ESET ENDPOINT POR TRES (3) AÑOS - RENOVACIÓN</v>
      </c>
      <c r="C21220" s="6">
        <v>50000</v>
      </c>
      <c r="D21220" s="5" t="s">
        <v>362</v>
      </c>
      <c r="E21220" s="5" t="str">
        <f t="shared" si="1063"/>
        <v>SISTEMAS-GLOBALTRONIK SAS-SERGIO PATIÑO</v>
      </c>
      <c r="F21220" s="5"/>
      <c r="G21220" s="5"/>
    </row>
    <row r="21221" spans="1:7" ht="58.5" customHeight="1" x14ac:dyDescent="0.25">
      <c r="A21221" s="5" t="str">
        <f>"H0030918"</f>
        <v>H0030918</v>
      </c>
      <c r="B21221" s="5" t="str">
        <f t="shared" si="1064"/>
        <v>LICENCIA DE ANTIVIRUS ESET ENDPOINT POR TRES (3) AÑOS - RENOVACIÓN</v>
      </c>
      <c r="C21221" s="6">
        <v>50000</v>
      </c>
      <c r="D21221" s="5" t="s">
        <v>362</v>
      </c>
      <c r="E21221" s="5" t="str">
        <f t="shared" si="1063"/>
        <v>SISTEMAS-GLOBALTRONIK SAS-SERGIO PATIÑO</v>
      </c>
      <c r="F21221" s="5"/>
      <c r="G21221" s="5"/>
    </row>
    <row r="21222" spans="1:7" ht="58.5" customHeight="1" x14ac:dyDescent="0.25">
      <c r="A21222" s="5" t="str">
        <f>"H0030919"</f>
        <v>H0030919</v>
      </c>
      <c r="B21222" s="5" t="str">
        <f t="shared" si="1064"/>
        <v>LICENCIA DE ANTIVIRUS ESET ENDPOINT POR TRES (3) AÑOS - RENOVACIÓN</v>
      </c>
      <c r="C21222" s="6">
        <v>50000</v>
      </c>
      <c r="D21222" s="5" t="s">
        <v>362</v>
      </c>
      <c r="E21222" s="5" t="str">
        <f t="shared" si="1063"/>
        <v>SISTEMAS-GLOBALTRONIK SAS-SERGIO PATIÑO</v>
      </c>
      <c r="F21222" s="5"/>
      <c r="G21222" s="5"/>
    </row>
    <row r="21223" spans="1:7" ht="58.5" customHeight="1" x14ac:dyDescent="0.25">
      <c r="A21223" s="5" t="str">
        <f>"H0030920"</f>
        <v>H0030920</v>
      </c>
      <c r="B21223" s="5" t="str">
        <f t="shared" si="1064"/>
        <v>LICENCIA DE ANTIVIRUS ESET ENDPOINT POR TRES (3) AÑOS - RENOVACIÓN</v>
      </c>
      <c r="C21223" s="6">
        <v>50000</v>
      </c>
      <c r="D21223" s="5" t="s">
        <v>362</v>
      </c>
      <c r="E21223" s="5" t="str">
        <f t="shared" si="1063"/>
        <v>SISTEMAS-GLOBALTRONIK SAS-SERGIO PATIÑO</v>
      </c>
      <c r="F21223" s="5"/>
      <c r="G21223" s="5"/>
    </row>
    <row r="21224" spans="1:7" ht="58.5" customHeight="1" x14ac:dyDescent="0.25">
      <c r="A21224" s="5" t="str">
        <f>"H0030921"</f>
        <v>H0030921</v>
      </c>
      <c r="B21224" s="5" t="str">
        <f t="shared" si="1064"/>
        <v>LICENCIA DE ANTIVIRUS ESET ENDPOINT POR TRES (3) AÑOS - RENOVACIÓN</v>
      </c>
      <c r="C21224" s="6">
        <v>50000</v>
      </c>
      <c r="D21224" s="5" t="s">
        <v>362</v>
      </c>
      <c r="E21224" s="5" t="str">
        <f t="shared" si="1063"/>
        <v>SISTEMAS-GLOBALTRONIK SAS-SERGIO PATIÑO</v>
      </c>
      <c r="F21224" s="5"/>
      <c r="G21224" s="5"/>
    </row>
    <row r="21225" spans="1:7" ht="58.5" customHeight="1" x14ac:dyDescent="0.25">
      <c r="A21225" s="5" t="str">
        <f>"H0030922"</f>
        <v>H0030922</v>
      </c>
      <c r="B21225" s="5" t="str">
        <f t="shared" si="1064"/>
        <v>LICENCIA DE ANTIVIRUS ESET ENDPOINT POR TRES (3) AÑOS - RENOVACIÓN</v>
      </c>
      <c r="C21225" s="6">
        <v>50000</v>
      </c>
      <c r="D21225" s="5" t="s">
        <v>362</v>
      </c>
      <c r="E21225" s="5" t="str">
        <f t="shared" si="1063"/>
        <v>SISTEMAS-GLOBALTRONIK SAS-SERGIO PATIÑO</v>
      </c>
      <c r="F21225" s="5"/>
      <c r="G21225" s="5"/>
    </row>
    <row r="21226" spans="1:7" ht="58.5" customHeight="1" x14ac:dyDescent="0.25">
      <c r="A21226" s="5" t="str">
        <f>"H0030923"</f>
        <v>H0030923</v>
      </c>
      <c r="B21226" s="5" t="str">
        <f t="shared" si="1064"/>
        <v>LICENCIA DE ANTIVIRUS ESET ENDPOINT POR TRES (3) AÑOS - RENOVACIÓN</v>
      </c>
      <c r="C21226" s="6">
        <v>50000</v>
      </c>
      <c r="D21226" s="5" t="s">
        <v>362</v>
      </c>
      <c r="E21226" s="5" t="str">
        <f t="shared" si="1063"/>
        <v>SISTEMAS-GLOBALTRONIK SAS-SERGIO PATIÑO</v>
      </c>
      <c r="F21226" s="5"/>
      <c r="G21226" s="5"/>
    </row>
    <row r="21227" spans="1:7" ht="58.5" customHeight="1" x14ac:dyDescent="0.25">
      <c r="A21227" s="5" t="str">
        <f>"H0030924"</f>
        <v>H0030924</v>
      </c>
      <c r="B21227" s="5" t="str">
        <f t="shared" si="1064"/>
        <v>LICENCIA DE ANTIVIRUS ESET ENDPOINT POR TRES (3) AÑOS - RENOVACIÓN</v>
      </c>
      <c r="C21227" s="6">
        <v>50000</v>
      </c>
      <c r="D21227" s="5" t="s">
        <v>362</v>
      </c>
      <c r="E21227" s="5" t="str">
        <f t="shared" si="1063"/>
        <v>SISTEMAS-GLOBALTRONIK SAS-SERGIO PATIÑO</v>
      </c>
      <c r="F21227" s="5"/>
      <c r="G21227" s="5"/>
    </row>
    <row r="21228" spans="1:7" ht="58.5" customHeight="1" x14ac:dyDescent="0.25">
      <c r="A21228" s="5" t="str">
        <f>"H0030925"</f>
        <v>H0030925</v>
      </c>
      <c r="B21228" s="5" t="str">
        <f t="shared" si="1064"/>
        <v>LICENCIA DE ANTIVIRUS ESET ENDPOINT POR TRES (3) AÑOS - RENOVACIÓN</v>
      </c>
      <c r="C21228" s="6">
        <v>50000</v>
      </c>
      <c r="D21228" s="5" t="s">
        <v>362</v>
      </c>
      <c r="E21228" s="5" t="str">
        <f t="shared" si="1063"/>
        <v>SISTEMAS-GLOBALTRONIK SAS-SERGIO PATIÑO</v>
      </c>
      <c r="F21228" s="5"/>
      <c r="G21228" s="5"/>
    </row>
    <row r="21229" spans="1:7" ht="58.5" customHeight="1" x14ac:dyDescent="0.25">
      <c r="A21229" s="5" t="str">
        <f>"H0030926"</f>
        <v>H0030926</v>
      </c>
      <c r="B21229" s="5" t="str">
        <f t="shared" si="1064"/>
        <v>LICENCIA DE ANTIVIRUS ESET ENDPOINT POR TRES (3) AÑOS - RENOVACIÓN</v>
      </c>
      <c r="C21229" s="6">
        <v>50000</v>
      </c>
      <c r="D21229" s="5" t="s">
        <v>362</v>
      </c>
      <c r="E21229" s="5" t="str">
        <f t="shared" si="1063"/>
        <v>SISTEMAS-GLOBALTRONIK SAS-SERGIO PATIÑO</v>
      </c>
      <c r="F21229" s="5"/>
      <c r="G21229" s="5"/>
    </row>
    <row r="21230" spans="1:7" ht="58.5" customHeight="1" x14ac:dyDescent="0.25">
      <c r="A21230" s="5" t="str">
        <f>"H0030927"</f>
        <v>H0030927</v>
      </c>
      <c r="B21230" s="5" t="str">
        <f t="shared" si="1064"/>
        <v>LICENCIA DE ANTIVIRUS ESET ENDPOINT POR TRES (3) AÑOS - RENOVACIÓN</v>
      </c>
      <c r="C21230" s="6">
        <v>50000</v>
      </c>
      <c r="D21230" s="5" t="s">
        <v>362</v>
      </c>
      <c r="E21230" s="5" t="str">
        <f t="shared" si="1063"/>
        <v>SISTEMAS-GLOBALTRONIK SAS-SERGIO PATIÑO</v>
      </c>
      <c r="F21230" s="5"/>
      <c r="G21230" s="5"/>
    </row>
    <row r="21231" spans="1:7" ht="58.5" customHeight="1" x14ac:dyDescent="0.25">
      <c r="A21231" s="5" t="str">
        <f>"H0030928"</f>
        <v>H0030928</v>
      </c>
      <c r="B21231" s="5" t="str">
        <f t="shared" si="1064"/>
        <v>LICENCIA DE ANTIVIRUS ESET ENDPOINT POR TRES (3) AÑOS - RENOVACIÓN</v>
      </c>
      <c r="C21231" s="6">
        <v>50000</v>
      </c>
      <c r="D21231" s="5" t="s">
        <v>362</v>
      </c>
      <c r="E21231" s="5" t="str">
        <f t="shared" si="1063"/>
        <v>SISTEMAS-GLOBALTRONIK SAS-SERGIO PATIÑO</v>
      </c>
      <c r="F21231" s="5"/>
      <c r="G21231" s="5"/>
    </row>
    <row r="21232" spans="1:7" ht="58.5" customHeight="1" x14ac:dyDescent="0.25">
      <c r="A21232" s="5" t="str">
        <f>"H0030929"</f>
        <v>H0030929</v>
      </c>
      <c r="B21232" s="5" t="str">
        <f t="shared" si="1064"/>
        <v>LICENCIA DE ANTIVIRUS ESET ENDPOINT POR TRES (3) AÑOS - RENOVACIÓN</v>
      </c>
      <c r="C21232" s="6">
        <v>50000</v>
      </c>
      <c r="D21232" s="5" t="s">
        <v>362</v>
      </c>
      <c r="E21232" s="5" t="str">
        <f t="shared" si="1063"/>
        <v>SISTEMAS-GLOBALTRONIK SAS-SERGIO PATIÑO</v>
      </c>
      <c r="F21232" s="5"/>
      <c r="G21232" s="5"/>
    </row>
    <row r="21233" spans="1:7" ht="58.5" customHeight="1" x14ac:dyDescent="0.25">
      <c r="A21233" s="5" t="str">
        <f>"H0030930"</f>
        <v>H0030930</v>
      </c>
      <c r="B21233" s="5" t="str">
        <f t="shared" si="1064"/>
        <v>LICENCIA DE ANTIVIRUS ESET ENDPOINT POR TRES (3) AÑOS - RENOVACIÓN</v>
      </c>
      <c r="C21233" s="6">
        <v>50000</v>
      </c>
      <c r="D21233" s="5" t="s">
        <v>362</v>
      </c>
      <c r="E21233" s="5" t="str">
        <f t="shared" si="1063"/>
        <v>SISTEMAS-GLOBALTRONIK SAS-SERGIO PATIÑO</v>
      </c>
      <c r="F21233" s="5"/>
      <c r="G21233" s="5"/>
    </row>
    <row r="21234" spans="1:7" ht="58.5" customHeight="1" x14ac:dyDescent="0.25">
      <c r="A21234" s="5" t="str">
        <f>"H0030931"</f>
        <v>H0030931</v>
      </c>
      <c r="B21234" s="5" t="str">
        <f t="shared" si="1064"/>
        <v>LICENCIA DE ANTIVIRUS ESET ENDPOINT POR TRES (3) AÑOS - RENOVACIÓN</v>
      </c>
      <c r="C21234" s="6">
        <v>50000</v>
      </c>
      <c r="D21234" s="5" t="s">
        <v>362</v>
      </c>
      <c r="E21234" s="5" t="str">
        <f t="shared" si="1063"/>
        <v>SISTEMAS-GLOBALTRONIK SAS-SERGIO PATIÑO</v>
      </c>
      <c r="F21234" s="5"/>
      <c r="G21234" s="5"/>
    </row>
    <row r="21235" spans="1:7" ht="58.5" customHeight="1" x14ac:dyDescent="0.25">
      <c r="A21235" s="5" t="str">
        <f>"H0030932"</f>
        <v>H0030932</v>
      </c>
      <c r="B21235" s="5" t="str">
        <f t="shared" si="1064"/>
        <v>LICENCIA DE ANTIVIRUS ESET ENDPOINT POR TRES (3) AÑOS - RENOVACIÓN</v>
      </c>
      <c r="C21235" s="6">
        <v>50000</v>
      </c>
      <c r="D21235" s="5" t="s">
        <v>362</v>
      </c>
      <c r="E21235" s="5" t="str">
        <f t="shared" si="1063"/>
        <v>SISTEMAS-GLOBALTRONIK SAS-SERGIO PATIÑO</v>
      </c>
      <c r="F21235" s="5"/>
      <c r="G21235" s="5"/>
    </row>
    <row r="21236" spans="1:7" ht="58.5" customHeight="1" x14ac:dyDescent="0.25">
      <c r="A21236" s="5" t="str">
        <f>"H0030933"</f>
        <v>H0030933</v>
      </c>
      <c r="B21236" s="5" t="str">
        <f t="shared" si="1064"/>
        <v>LICENCIA DE ANTIVIRUS ESET ENDPOINT POR TRES (3) AÑOS - RENOVACIÓN</v>
      </c>
      <c r="C21236" s="6">
        <v>50000</v>
      </c>
      <c r="D21236" s="5" t="s">
        <v>362</v>
      </c>
      <c r="E21236" s="5" t="str">
        <f t="shared" si="1063"/>
        <v>SISTEMAS-GLOBALTRONIK SAS-SERGIO PATIÑO</v>
      </c>
      <c r="F21236" s="5"/>
      <c r="G21236" s="5"/>
    </row>
    <row r="21237" spans="1:7" ht="58.5" customHeight="1" x14ac:dyDescent="0.25">
      <c r="A21237" s="5" t="str">
        <f>"H0030934"</f>
        <v>H0030934</v>
      </c>
      <c r="B21237" s="5" t="str">
        <f t="shared" si="1064"/>
        <v>LICENCIA DE ANTIVIRUS ESET ENDPOINT POR TRES (3) AÑOS - RENOVACIÓN</v>
      </c>
      <c r="C21237" s="6">
        <v>50000</v>
      </c>
      <c r="D21237" s="5" t="s">
        <v>362</v>
      </c>
      <c r="E21237" s="5" t="str">
        <f t="shared" si="1063"/>
        <v>SISTEMAS-GLOBALTRONIK SAS-SERGIO PATIÑO</v>
      </c>
      <c r="F21237" s="5"/>
      <c r="G21237" s="5"/>
    </row>
    <row r="21238" spans="1:7" ht="58.5" customHeight="1" x14ac:dyDescent="0.25">
      <c r="A21238" s="5" t="str">
        <f>"H0030935"</f>
        <v>H0030935</v>
      </c>
      <c r="B21238" s="5" t="str">
        <f t="shared" si="1064"/>
        <v>LICENCIA DE ANTIVIRUS ESET ENDPOINT POR TRES (3) AÑOS - RENOVACIÓN</v>
      </c>
      <c r="C21238" s="6">
        <v>50000</v>
      </c>
      <c r="D21238" s="5" t="s">
        <v>362</v>
      </c>
      <c r="E21238" s="5" t="str">
        <f t="shared" si="1063"/>
        <v>SISTEMAS-GLOBALTRONIK SAS-SERGIO PATIÑO</v>
      </c>
      <c r="F21238" s="5"/>
      <c r="G21238" s="5"/>
    </row>
    <row r="21239" spans="1:7" ht="58.5" customHeight="1" x14ac:dyDescent="0.25">
      <c r="A21239" s="5" t="str">
        <f>"H0030936"</f>
        <v>H0030936</v>
      </c>
      <c r="B21239" s="5" t="str">
        <f t="shared" si="1064"/>
        <v>LICENCIA DE ANTIVIRUS ESET ENDPOINT POR TRES (3) AÑOS - RENOVACIÓN</v>
      </c>
      <c r="C21239" s="6">
        <v>50000</v>
      </c>
      <c r="D21239" s="5" t="s">
        <v>362</v>
      </c>
      <c r="E21239" s="5" t="str">
        <f t="shared" si="1063"/>
        <v>SISTEMAS-GLOBALTRONIK SAS-SERGIO PATIÑO</v>
      </c>
      <c r="F21239" s="5"/>
      <c r="G21239" s="5"/>
    </row>
    <row r="21240" spans="1:7" ht="58.5" customHeight="1" x14ac:dyDescent="0.25">
      <c r="A21240" s="5" t="str">
        <f>"H0030937"</f>
        <v>H0030937</v>
      </c>
      <c r="B21240" s="5" t="str">
        <f t="shared" si="1064"/>
        <v>LICENCIA DE ANTIVIRUS ESET ENDPOINT POR TRES (3) AÑOS - RENOVACIÓN</v>
      </c>
      <c r="C21240" s="6">
        <v>50000</v>
      </c>
      <c r="D21240" s="5" t="s">
        <v>362</v>
      </c>
      <c r="E21240" s="5" t="str">
        <f t="shared" si="1063"/>
        <v>SISTEMAS-GLOBALTRONIK SAS-SERGIO PATIÑO</v>
      </c>
      <c r="F21240" s="5"/>
      <c r="G21240" s="5"/>
    </row>
    <row r="21241" spans="1:7" ht="58.5" customHeight="1" x14ac:dyDescent="0.25">
      <c r="A21241" s="5" t="str">
        <f>"H0030938"</f>
        <v>H0030938</v>
      </c>
      <c r="B21241" s="5" t="str">
        <f t="shared" si="1064"/>
        <v>LICENCIA DE ANTIVIRUS ESET ENDPOINT POR TRES (3) AÑOS - RENOVACIÓN</v>
      </c>
      <c r="C21241" s="6">
        <v>50000</v>
      </c>
      <c r="D21241" s="5" t="s">
        <v>362</v>
      </c>
      <c r="E21241" s="5" t="str">
        <f t="shared" si="1063"/>
        <v>SISTEMAS-GLOBALTRONIK SAS-SERGIO PATIÑO</v>
      </c>
      <c r="F21241" s="5"/>
      <c r="G21241" s="5"/>
    </row>
    <row r="21242" spans="1:7" ht="58.5" customHeight="1" x14ac:dyDescent="0.25">
      <c r="A21242" s="5" t="str">
        <f>"H0030939"</f>
        <v>H0030939</v>
      </c>
      <c r="B21242" s="5" t="str">
        <f t="shared" si="1064"/>
        <v>LICENCIA DE ANTIVIRUS ESET ENDPOINT POR TRES (3) AÑOS - RENOVACIÓN</v>
      </c>
      <c r="C21242" s="6">
        <v>50000</v>
      </c>
      <c r="D21242" s="5" t="s">
        <v>362</v>
      </c>
      <c r="E21242" s="5" t="str">
        <f t="shared" si="1063"/>
        <v>SISTEMAS-GLOBALTRONIK SAS-SERGIO PATIÑO</v>
      </c>
      <c r="F21242" s="5"/>
      <c r="G21242" s="5"/>
    </row>
    <row r="21243" spans="1:7" ht="58.5" customHeight="1" x14ac:dyDescent="0.25">
      <c r="A21243" s="5" t="str">
        <f>"H0030940"</f>
        <v>H0030940</v>
      </c>
      <c r="B21243" s="5" t="str">
        <f t="shared" si="1064"/>
        <v>LICENCIA DE ANTIVIRUS ESET ENDPOINT POR TRES (3) AÑOS - RENOVACIÓN</v>
      </c>
      <c r="C21243" s="6">
        <v>50000</v>
      </c>
      <c r="D21243" s="5" t="s">
        <v>362</v>
      </c>
      <c r="E21243" s="5" t="str">
        <f t="shared" si="1063"/>
        <v>SISTEMAS-GLOBALTRONIK SAS-SERGIO PATIÑO</v>
      </c>
      <c r="F21243" s="5"/>
      <c r="G21243" s="5"/>
    </row>
    <row r="21244" spans="1:7" ht="58.5" customHeight="1" x14ac:dyDescent="0.25">
      <c r="A21244" s="5" t="str">
        <f>"H0030941"</f>
        <v>H0030941</v>
      </c>
      <c r="B21244" s="5" t="str">
        <f t="shared" si="1064"/>
        <v>LICENCIA DE ANTIVIRUS ESET ENDPOINT POR TRES (3) AÑOS - RENOVACIÓN</v>
      </c>
      <c r="C21244" s="6">
        <v>50000</v>
      </c>
      <c r="D21244" s="5" t="s">
        <v>882</v>
      </c>
      <c r="E21244" s="5" t="str">
        <f t="shared" si="1063"/>
        <v>SISTEMAS-GLOBALTRONIK SAS-SERGIO PATIÑO</v>
      </c>
      <c r="F21244" s="5"/>
      <c r="G21244" s="5"/>
    </row>
    <row r="21245" spans="1:7" ht="58.5" customHeight="1" x14ac:dyDescent="0.25">
      <c r="A21245" s="5" t="str">
        <f>"H0030942"</f>
        <v>H0030942</v>
      </c>
      <c r="B21245" s="5" t="str">
        <f t="shared" si="1064"/>
        <v>LICENCIA DE ANTIVIRUS ESET ENDPOINT POR TRES (3) AÑOS - RENOVACIÓN</v>
      </c>
      <c r="C21245" s="6">
        <v>50000</v>
      </c>
      <c r="D21245" s="5" t="s">
        <v>362</v>
      </c>
      <c r="E21245" s="5" t="str">
        <f t="shared" ref="E21245:E21308" si="1065">"SISTEMAS-GLOBALTRONIK SAS-SERGIO PATIÑO"</f>
        <v>SISTEMAS-GLOBALTRONIK SAS-SERGIO PATIÑO</v>
      </c>
      <c r="F21245" s="5"/>
      <c r="G21245" s="5"/>
    </row>
    <row r="21246" spans="1:7" ht="58.5" customHeight="1" x14ac:dyDescent="0.25">
      <c r="A21246" s="5" t="str">
        <f>"H0030943"</f>
        <v>H0030943</v>
      </c>
      <c r="B21246" s="5" t="str">
        <f t="shared" si="1064"/>
        <v>LICENCIA DE ANTIVIRUS ESET ENDPOINT POR TRES (3) AÑOS - RENOVACIÓN</v>
      </c>
      <c r="C21246" s="6">
        <v>50000</v>
      </c>
      <c r="D21246" s="5" t="s">
        <v>362</v>
      </c>
      <c r="E21246" s="5" t="str">
        <f t="shared" si="1065"/>
        <v>SISTEMAS-GLOBALTRONIK SAS-SERGIO PATIÑO</v>
      </c>
      <c r="F21246" s="5"/>
      <c r="G21246" s="5"/>
    </row>
    <row r="21247" spans="1:7" ht="58.5" customHeight="1" x14ac:dyDescent="0.25">
      <c r="A21247" s="5" t="str">
        <f>"H0030944"</f>
        <v>H0030944</v>
      </c>
      <c r="B21247" s="5" t="str">
        <f t="shared" si="1064"/>
        <v>LICENCIA DE ANTIVIRUS ESET ENDPOINT POR TRES (3) AÑOS - RENOVACIÓN</v>
      </c>
      <c r="C21247" s="6">
        <v>50000</v>
      </c>
      <c r="D21247" s="5" t="s">
        <v>362</v>
      </c>
      <c r="E21247" s="5" t="str">
        <f t="shared" si="1065"/>
        <v>SISTEMAS-GLOBALTRONIK SAS-SERGIO PATIÑO</v>
      </c>
      <c r="F21247" s="5"/>
      <c r="G21247" s="5"/>
    </row>
    <row r="21248" spans="1:7" ht="58.5" customHeight="1" x14ac:dyDescent="0.25">
      <c r="A21248" s="5" t="str">
        <f>"H0030945"</f>
        <v>H0030945</v>
      </c>
      <c r="B21248" s="5" t="str">
        <f t="shared" si="1064"/>
        <v>LICENCIA DE ANTIVIRUS ESET ENDPOINT POR TRES (3) AÑOS - RENOVACIÓN</v>
      </c>
      <c r="C21248" s="6">
        <v>50000</v>
      </c>
      <c r="D21248" s="5" t="s">
        <v>362</v>
      </c>
      <c r="E21248" s="5" t="str">
        <f t="shared" si="1065"/>
        <v>SISTEMAS-GLOBALTRONIK SAS-SERGIO PATIÑO</v>
      </c>
      <c r="F21248" s="5"/>
      <c r="G21248" s="5"/>
    </row>
    <row r="21249" spans="1:7" ht="58.5" customHeight="1" x14ac:dyDescent="0.25">
      <c r="A21249" s="5" t="str">
        <f>"H0030946"</f>
        <v>H0030946</v>
      </c>
      <c r="B21249" s="5" t="str">
        <f t="shared" si="1064"/>
        <v>LICENCIA DE ANTIVIRUS ESET ENDPOINT POR TRES (3) AÑOS - RENOVACIÓN</v>
      </c>
      <c r="C21249" s="6">
        <v>50000</v>
      </c>
      <c r="D21249" s="5" t="s">
        <v>362</v>
      </c>
      <c r="E21249" s="5" t="str">
        <f t="shared" si="1065"/>
        <v>SISTEMAS-GLOBALTRONIK SAS-SERGIO PATIÑO</v>
      </c>
      <c r="F21249" s="5"/>
      <c r="G21249" s="5"/>
    </row>
    <row r="21250" spans="1:7" ht="58.5" customHeight="1" x14ac:dyDescent="0.25">
      <c r="A21250" s="5" t="str">
        <f>"H0030947"</f>
        <v>H0030947</v>
      </c>
      <c r="B21250" s="5" t="str">
        <f t="shared" si="1064"/>
        <v>LICENCIA DE ANTIVIRUS ESET ENDPOINT POR TRES (3) AÑOS - RENOVACIÓN</v>
      </c>
      <c r="C21250" s="6">
        <v>50000</v>
      </c>
      <c r="D21250" s="5" t="s">
        <v>362</v>
      </c>
      <c r="E21250" s="5" t="str">
        <f t="shared" si="1065"/>
        <v>SISTEMAS-GLOBALTRONIK SAS-SERGIO PATIÑO</v>
      </c>
      <c r="F21250" s="5"/>
      <c r="G21250" s="5"/>
    </row>
    <row r="21251" spans="1:7" ht="58.5" customHeight="1" x14ac:dyDescent="0.25">
      <c r="A21251" s="5" t="str">
        <f>"H0030948"</f>
        <v>H0030948</v>
      </c>
      <c r="B21251" s="5" t="str">
        <f t="shared" si="1064"/>
        <v>LICENCIA DE ANTIVIRUS ESET ENDPOINT POR TRES (3) AÑOS - RENOVACIÓN</v>
      </c>
      <c r="C21251" s="6">
        <v>50000</v>
      </c>
      <c r="D21251" s="5" t="s">
        <v>362</v>
      </c>
      <c r="E21251" s="5" t="str">
        <f t="shared" si="1065"/>
        <v>SISTEMAS-GLOBALTRONIK SAS-SERGIO PATIÑO</v>
      </c>
      <c r="F21251" s="5"/>
      <c r="G21251" s="5"/>
    </row>
    <row r="21252" spans="1:7" ht="58.5" customHeight="1" x14ac:dyDescent="0.25">
      <c r="A21252" s="5" t="str">
        <f>"H0030949"</f>
        <v>H0030949</v>
      </c>
      <c r="B21252" s="5" t="str">
        <f t="shared" si="1064"/>
        <v>LICENCIA DE ANTIVIRUS ESET ENDPOINT POR TRES (3) AÑOS - RENOVACIÓN</v>
      </c>
      <c r="C21252" s="6">
        <v>50000</v>
      </c>
      <c r="D21252" s="5" t="s">
        <v>362</v>
      </c>
      <c r="E21252" s="5" t="str">
        <f t="shared" si="1065"/>
        <v>SISTEMAS-GLOBALTRONIK SAS-SERGIO PATIÑO</v>
      </c>
      <c r="F21252" s="5"/>
      <c r="G21252" s="5"/>
    </row>
    <row r="21253" spans="1:7" ht="58.5" customHeight="1" x14ac:dyDescent="0.25">
      <c r="A21253" s="5" t="str">
        <f>"H0030950"</f>
        <v>H0030950</v>
      </c>
      <c r="B21253" s="5" t="str">
        <f t="shared" si="1064"/>
        <v>LICENCIA DE ANTIVIRUS ESET ENDPOINT POR TRES (3) AÑOS - RENOVACIÓN</v>
      </c>
      <c r="C21253" s="6">
        <v>50000</v>
      </c>
      <c r="D21253" s="5" t="s">
        <v>362</v>
      </c>
      <c r="E21253" s="5" t="str">
        <f t="shared" si="1065"/>
        <v>SISTEMAS-GLOBALTRONIK SAS-SERGIO PATIÑO</v>
      </c>
      <c r="F21253" s="5"/>
      <c r="G21253" s="5"/>
    </row>
    <row r="21254" spans="1:7" ht="58.5" customHeight="1" x14ac:dyDescent="0.25">
      <c r="A21254" s="5" t="str">
        <f>"H0030951"</f>
        <v>H0030951</v>
      </c>
      <c r="B21254" s="5" t="str">
        <f t="shared" si="1064"/>
        <v>LICENCIA DE ANTIVIRUS ESET ENDPOINT POR TRES (3) AÑOS - RENOVACIÓN</v>
      </c>
      <c r="C21254" s="6">
        <v>50000</v>
      </c>
      <c r="D21254" s="5" t="s">
        <v>362</v>
      </c>
      <c r="E21254" s="5" t="str">
        <f t="shared" si="1065"/>
        <v>SISTEMAS-GLOBALTRONIK SAS-SERGIO PATIÑO</v>
      </c>
      <c r="F21254" s="5"/>
      <c r="G21254" s="5"/>
    </row>
    <row r="21255" spans="1:7" ht="58.5" customHeight="1" x14ac:dyDescent="0.25">
      <c r="A21255" s="5" t="str">
        <f>"H0030952"</f>
        <v>H0030952</v>
      </c>
      <c r="B21255" s="5" t="str">
        <f t="shared" si="1064"/>
        <v>LICENCIA DE ANTIVIRUS ESET ENDPOINT POR TRES (3) AÑOS - RENOVACIÓN</v>
      </c>
      <c r="C21255" s="6">
        <v>50000</v>
      </c>
      <c r="D21255" s="5" t="s">
        <v>362</v>
      </c>
      <c r="E21255" s="5" t="str">
        <f t="shared" si="1065"/>
        <v>SISTEMAS-GLOBALTRONIK SAS-SERGIO PATIÑO</v>
      </c>
      <c r="F21255" s="5"/>
      <c r="G21255" s="5"/>
    </row>
    <row r="21256" spans="1:7" ht="58.5" customHeight="1" x14ac:dyDescent="0.25">
      <c r="A21256" s="5" t="str">
        <f>"H0030953"</f>
        <v>H0030953</v>
      </c>
      <c r="B21256" s="5" t="str">
        <f t="shared" si="1064"/>
        <v>LICENCIA DE ANTIVIRUS ESET ENDPOINT POR TRES (3) AÑOS - RENOVACIÓN</v>
      </c>
      <c r="C21256" s="6">
        <v>50000</v>
      </c>
      <c r="D21256" s="5" t="s">
        <v>362</v>
      </c>
      <c r="E21256" s="5" t="str">
        <f t="shared" si="1065"/>
        <v>SISTEMAS-GLOBALTRONIK SAS-SERGIO PATIÑO</v>
      </c>
      <c r="F21256" s="5"/>
      <c r="G21256" s="5"/>
    </row>
    <row r="21257" spans="1:7" ht="58.5" customHeight="1" x14ac:dyDescent="0.25">
      <c r="A21257" s="5" t="str">
        <f>"H0030954"</f>
        <v>H0030954</v>
      </c>
      <c r="B21257" s="5" t="str">
        <f t="shared" si="1064"/>
        <v>LICENCIA DE ANTIVIRUS ESET ENDPOINT POR TRES (3) AÑOS - RENOVACIÓN</v>
      </c>
      <c r="C21257" s="6">
        <v>50000</v>
      </c>
      <c r="D21257" s="5" t="s">
        <v>362</v>
      </c>
      <c r="E21257" s="5" t="str">
        <f t="shared" si="1065"/>
        <v>SISTEMAS-GLOBALTRONIK SAS-SERGIO PATIÑO</v>
      </c>
      <c r="F21257" s="5"/>
      <c r="G21257" s="5"/>
    </row>
    <row r="21258" spans="1:7" ht="58.5" customHeight="1" x14ac:dyDescent="0.25">
      <c r="A21258" s="5" t="str">
        <f>"H0030955"</f>
        <v>H0030955</v>
      </c>
      <c r="B21258" s="5" t="str">
        <f t="shared" si="1064"/>
        <v>LICENCIA DE ANTIVIRUS ESET ENDPOINT POR TRES (3) AÑOS - RENOVACIÓN</v>
      </c>
      <c r="C21258" s="6">
        <v>50000</v>
      </c>
      <c r="D21258" s="5" t="s">
        <v>362</v>
      </c>
      <c r="E21258" s="5" t="str">
        <f t="shared" si="1065"/>
        <v>SISTEMAS-GLOBALTRONIK SAS-SERGIO PATIÑO</v>
      </c>
      <c r="F21258" s="5"/>
      <c r="G21258" s="5"/>
    </row>
    <row r="21259" spans="1:7" ht="58.5" customHeight="1" x14ac:dyDescent="0.25">
      <c r="A21259" s="5" t="str">
        <f>"H0030956"</f>
        <v>H0030956</v>
      </c>
      <c r="B21259" s="5" t="str">
        <f t="shared" si="1064"/>
        <v>LICENCIA DE ANTIVIRUS ESET ENDPOINT POR TRES (3) AÑOS - RENOVACIÓN</v>
      </c>
      <c r="C21259" s="6">
        <v>50000</v>
      </c>
      <c r="D21259" s="5" t="s">
        <v>362</v>
      </c>
      <c r="E21259" s="5" t="str">
        <f t="shared" si="1065"/>
        <v>SISTEMAS-GLOBALTRONIK SAS-SERGIO PATIÑO</v>
      </c>
      <c r="F21259" s="5"/>
      <c r="G21259" s="5"/>
    </row>
    <row r="21260" spans="1:7" ht="58.5" customHeight="1" x14ac:dyDescent="0.25">
      <c r="A21260" s="5" t="str">
        <f>"H0030957"</f>
        <v>H0030957</v>
      </c>
      <c r="B21260" s="5" t="str">
        <f t="shared" si="1064"/>
        <v>LICENCIA DE ANTIVIRUS ESET ENDPOINT POR TRES (3) AÑOS - RENOVACIÓN</v>
      </c>
      <c r="C21260" s="6">
        <v>50000</v>
      </c>
      <c r="D21260" s="5" t="s">
        <v>362</v>
      </c>
      <c r="E21260" s="5" t="str">
        <f t="shared" si="1065"/>
        <v>SISTEMAS-GLOBALTRONIK SAS-SERGIO PATIÑO</v>
      </c>
      <c r="F21260" s="5"/>
      <c r="G21260" s="5"/>
    </row>
    <row r="21261" spans="1:7" ht="58.5" customHeight="1" x14ac:dyDescent="0.25">
      <c r="A21261" s="5" t="str">
        <f>"H0030958"</f>
        <v>H0030958</v>
      </c>
      <c r="B21261" s="5" t="str">
        <f t="shared" si="1064"/>
        <v>LICENCIA DE ANTIVIRUS ESET ENDPOINT POR TRES (3) AÑOS - RENOVACIÓN</v>
      </c>
      <c r="C21261" s="6">
        <v>50000</v>
      </c>
      <c r="D21261" s="5" t="s">
        <v>362</v>
      </c>
      <c r="E21261" s="5" t="str">
        <f t="shared" si="1065"/>
        <v>SISTEMAS-GLOBALTRONIK SAS-SERGIO PATIÑO</v>
      </c>
      <c r="F21261" s="5"/>
      <c r="G21261" s="5"/>
    </row>
    <row r="21262" spans="1:7" ht="58.5" customHeight="1" x14ac:dyDescent="0.25">
      <c r="A21262" s="5" t="str">
        <f>"H0030959"</f>
        <v>H0030959</v>
      </c>
      <c r="B21262" s="5" t="str">
        <f t="shared" si="1064"/>
        <v>LICENCIA DE ANTIVIRUS ESET ENDPOINT POR TRES (3) AÑOS - RENOVACIÓN</v>
      </c>
      <c r="C21262" s="6">
        <v>50000</v>
      </c>
      <c r="D21262" s="5" t="s">
        <v>362</v>
      </c>
      <c r="E21262" s="5" t="str">
        <f t="shared" si="1065"/>
        <v>SISTEMAS-GLOBALTRONIK SAS-SERGIO PATIÑO</v>
      </c>
      <c r="F21262" s="5"/>
      <c r="G21262" s="5"/>
    </row>
    <row r="21263" spans="1:7" ht="58.5" customHeight="1" x14ac:dyDescent="0.25">
      <c r="A21263" s="5" t="str">
        <f>"H0030960"</f>
        <v>H0030960</v>
      </c>
      <c r="B21263" s="5" t="str">
        <f t="shared" si="1064"/>
        <v>LICENCIA DE ANTIVIRUS ESET ENDPOINT POR TRES (3) AÑOS - RENOVACIÓN</v>
      </c>
      <c r="C21263" s="6">
        <v>50000</v>
      </c>
      <c r="D21263" s="5" t="s">
        <v>362</v>
      </c>
      <c r="E21263" s="5" t="str">
        <f t="shared" si="1065"/>
        <v>SISTEMAS-GLOBALTRONIK SAS-SERGIO PATIÑO</v>
      </c>
      <c r="F21263" s="5"/>
      <c r="G21263" s="5"/>
    </row>
    <row r="21264" spans="1:7" ht="58.5" customHeight="1" x14ac:dyDescent="0.25">
      <c r="A21264" s="5" t="str">
        <f>"H0030961"</f>
        <v>H0030961</v>
      </c>
      <c r="B21264" s="5" t="str">
        <f t="shared" si="1064"/>
        <v>LICENCIA DE ANTIVIRUS ESET ENDPOINT POR TRES (3) AÑOS - RENOVACIÓN</v>
      </c>
      <c r="C21264" s="6">
        <v>50000</v>
      </c>
      <c r="D21264" s="5" t="s">
        <v>362</v>
      </c>
      <c r="E21264" s="5" t="str">
        <f t="shared" si="1065"/>
        <v>SISTEMAS-GLOBALTRONIK SAS-SERGIO PATIÑO</v>
      </c>
      <c r="F21264" s="5"/>
      <c r="G21264" s="5"/>
    </row>
    <row r="21265" spans="1:7" ht="58.5" customHeight="1" x14ac:dyDescent="0.25">
      <c r="A21265" s="5" t="str">
        <f>"H0030962"</f>
        <v>H0030962</v>
      </c>
      <c r="B21265" s="5" t="str">
        <f t="shared" si="1064"/>
        <v>LICENCIA DE ANTIVIRUS ESET ENDPOINT POR TRES (3) AÑOS - RENOVACIÓN</v>
      </c>
      <c r="C21265" s="6">
        <v>50000</v>
      </c>
      <c r="D21265" s="5" t="s">
        <v>362</v>
      </c>
      <c r="E21265" s="5" t="str">
        <f t="shared" si="1065"/>
        <v>SISTEMAS-GLOBALTRONIK SAS-SERGIO PATIÑO</v>
      </c>
      <c r="F21265" s="5"/>
      <c r="G21265" s="5"/>
    </row>
    <row r="21266" spans="1:7" ht="58.5" customHeight="1" x14ac:dyDescent="0.25">
      <c r="A21266" s="5" t="str">
        <f>"H0030963"</f>
        <v>H0030963</v>
      </c>
      <c r="B21266" s="5" t="str">
        <f t="shared" si="1064"/>
        <v>LICENCIA DE ANTIVIRUS ESET ENDPOINT POR TRES (3) AÑOS - RENOVACIÓN</v>
      </c>
      <c r="C21266" s="6">
        <v>50000</v>
      </c>
      <c r="D21266" s="5" t="s">
        <v>362</v>
      </c>
      <c r="E21266" s="5" t="str">
        <f t="shared" si="1065"/>
        <v>SISTEMAS-GLOBALTRONIK SAS-SERGIO PATIÑO</v>
      </c>
      <c r="F21266" s="5"/>
      <c r="G21266" s="5"/>
    </row>
    <row r="21267" spans="1:7" ht="58.5" customHeight="1" x14ac:dyDescent="0.25">
      <c r="A21267" s="5" t="str">
        <f>"H0030964"</f>
        <v>H0030964</v>
      </c>
      <c r="B21267" s="5" t="str">
        <f t="shared" si="1064"/>
        <v>LICENCIA DE ANTIVIRUS ESET ENDPOINT POR TRES (3) AÑOS - RENOVACIÓN</v>
      </c>
      <c r="C21267" s="6">
        <v>50000</v>
      </c>
      <c r="D21267" s="5" t="s">
        <v>362</v>
      </c>
      <c r="E21267" s="5" t="str">
        <f t="shared" si="1065"/>
        <v>SISTEMAS-GLOBALTRONIK SAS-SERGIO PATIÑO</v>
      </c>
      <c r="F21267" s="5"/>
      <c r="G21267" s="5"/>
    </row>
    <row r="21268" spans="1:7" ht="58.5" customHeight="1" x14ac:dyDescent="0.25">
      <c r="A21268" s="5" t="str">
        <f>"H0030965"</f>
        <v>H0030965</v>
      </c>
      <c r="B21268" s="5" t="str">
        <f t="shared" si="1064"/>
        <v>LICENCIA DE ANTIVIRUS ESET ENDPOINT POR TRES (3) AÑOS - RENOVACIÓN</v>
      </c>
      <c r="C21268" s="6">
        <v>50000</v>
      </c>
      <c r="D21268" s="5" t="s">
        <v>362</v>
      </c>
      <c r="E21268" s="5" t="str">
        <f t="shared" si="1065"/>
        <v>SISTEMAS-GLOBALTRONIK SAS-SERGIO PATIÑO</v>
      </c>
      <c r="F21268" s="5"/>
      <c r="G21268" s="5"/>
    </row>
    <row r="21269" spans="1:7" ht="58.5" customHeight="1" x14ac:dyDescent="0.25">
      <c r="A21269" s="5" t="str">
        <f>"H0030966"</f>
        <v>H0030966</v>
      </c>
      <c r="B21269" s="5" t="str">
        <f t="shared" ref="B21269:B21332" si="1066">"LICENCIA DE ANTIVIRUS ESET ENDPOINT POR TRES (3) AÑOS - RENOVACIÓN"</f>
        <v>LICENCIA DE ANTIVIRUS ESET ENDPOINT POR TRES (3) AÑOS - RENOVACIÓN</v>
      </c>
      <c r="C21269" s="6">
        <v>50000</v>
      </c>
      <c r="D21269" s="5" t="s">
        <v>882</v>
      </c>
      <c r="E21269" s="5" t="str">
        <f t="shared" si="1065"/>
        <v>SISTEMAS-GLOBALTRONIK SAS-SERGIO PATIÑO</v>
      </c>
      <c r="F21269" s="5"/>
      <c r="G21269" s="5"/>
    </row>
    <row r="21270" spans="1:7" ht="58.5" customHeight="1" x14ac:dyDescent="0.25">
      <c r="A21270" s="5" t="str">
        <f>"H0030967"</f>
        <v>H0030967</v>
      </c>
      <c r="B21270" s="5" t="str">
        <f t="shared" si="1066"/>
        <v>LICENCIA DE ANTIVIRUS ESET ENDPOINT POR TRES (3) AÑOS - RENOVACIÓN</v>
      </c>
      <c r="C21270" s="6">
        <v>50000</v>
      </c>
      <c r="D21270" s="5" t="s">
        <v>362</v>
      </c>
      <c r="E21270" s="5" t="str">
        <f t="shared" si="1065"/>
        <v>SISTEMAS-GLOBALTRONIK SAS-SERGIO PATIÑO</v>
      </c>
      <c r="F21270" s="5"/>
      <c r="G21270" s="5"/>
    </row>
    <row r="21271" spans="1:7" ht="58.5" customHeight="1" x14ac:dyDescent="0.25">
      <c r="A21271" s="5" t="str">
        <f>"H0030968"</f>
        <v>H0030968</v>
      </c>
      <c r="B21271" s="5" t="str">
        <f t="shared" si="1066"/>
        <v>LICENCIA DE ANTIVIRUS ESET ENDPOINT POR TRES (3) AÑOS - RENOVACIÓN</v>
      </c>
      <c r="C21271" s="6">
        <v>50000</v>
      </c>
      <c r="D21271" s="5" t="s">
        <v>362</v>
      </c>
      <c r="E21271" s="5" t="str">
        <f t="shared" si="1065"/>
        <v>SISTEMAS-GLOBALTRONIK SAS-SERGIO PATIÑO</v>
      </c>
      <c r="F21271" s="5"/>
      <c r="G21271" s="5"/>
    </row>
    <row r="21272" spans="1:7" ht="58.5" customHeight="1" x14ac:dyDescent="0.25">
      <c r="A21272" s="5" t="str">
        <f>"H0030969"</f>
        <v>H0030969</v>
      </c>
      <c r="B21272" s="5" t="str">
        <f t="shared" si="1066"/>
        <v>LICENCIA DE ANTIVIRUS ESET ENDPOINT POR TRES (3) AÑOS - RENOVACIÓN</v>
      </c>
      <c r="C21272" s="6">
        <v>50000</v>
      </c>
      <c r="D21272" s="5" t="s">
        <v>362</v>
      </c>
      <c r="E21272" s="5" t="str">
        <f t="shared" si="1065"/>
        <v>SISTEMAS-GLOBALTRONIK SAS-SERGIO PATIÑO</v>
      </c>
      <c r="F21272" s="5"/>
      <c r="G21272" s="5"/>
    </row>
    <row r="21273" spans="1:7" ht="58.5" customHeight="1" x14ac:dyDescent="0.25">
      <c r="A21273" s="5" t="str">
        <f>"H0030970"</f>
        <v>H0030970</v>
      </c>
      <c r="B21273" s="5" t="str">
        <f t="shared" si="1066"/>
        <v>LICENCIA DE ANTIVIRUS ESET ENDPOINT POR TRES (3) AÑOS - RENOVACIÓN</v>
      </c>
      <c r="C21273" s="6">
        <v>50000</v>
      </c>
      <c r="D21273" s="5" t="s">
        <v>362</v>
      </c>
      <c r="E21273" s="5" t="str">
        <f t="shared" si="1065"/>
        <v>SISTEMAS-GLOBALTRONIK SAS-SERGIO PATIÑO</v>
      </c>
      <c r="F21273" s="5"/>
      <c r="G21273" s="5"/>
    </row>
    <row r="21274" spans="1:7" ht="58.5" customHeight="1" x14ac:dyDescent="0.25">
      <c r="A21274" s="5" t="str">
        <f>"H0030971"</f>
        <v>H0030971</v>
      </c>
      <c r="B21274" s="5" t="str">
        <f t="shared" si="1066"/>
        <v>LICENCIA DE ANTIVIRUS ESET ENDPOINT POR TRES (3) AÑOS - RENOVACIÓN</v>
      </c>
      <c r="C21274" s="6">
        <v>50000</v>
      </c>
      <c r="D21274" s="5" t="s">
        <v>362</v>
      </c>
      <c r="E21274" s="5" t="str">
        <f t="shared" si="1065"/>
        <v>SISTEMAS-GLOBALTRONIK SAS-SERGIO PATIÑO</v>
      </c>
      <c r="F21274" s="5"/>
      <c r="G21274" s="5"/>
    </row>
    <row r="21275" spans="1:7" ht="58.5" customHeight="1" x14ac:dyDescent="0.25">
      <c r="A21275" s="5" t="str">
        <f>"H0030972"</f>
        <v>H0030972</v>
      </c>
      <c r="B21275" s="5" t="str">
        <f t="shared" si="1066"/>
        <v>LICENCIA DE ANTIVIRUS ESET ENDPOINT POR TRES (3) AÑOS - RENOVACIÓN</v>
      </c>
      <c r="C21275" s="6">
        <v>50000</v>
      </c>
      <c r="D21275" s="5" t="s">
        <v>362</v>
      </c>
      <c r="E21275" s="5" t="str">
        <f t="shared" si="1065"/>
        <v>SISTEMAS-GLOBALTRONIK SAS-SERGIO PATIÑO</v>
      </c>
      <c r="F21275" s="5"/>
      <c r="G21275" s="5"/>
    </row>
    <row r="21276" spans="1:7" ht="58.5" customHeight="1" x14ac:dyDescent="0.25">
      <c r="A21276" s="5" t="str">
        <f>"H0030973"</f>
        <v>H0030973</v>
      </c>
      <c r="B21276" s="5" t="str">
        <f t="shared" si="1066"/>
        <v>LICENCIA DE ANTIVIRUS ESET ENDPOINT POR TRES (3) AÑOS - RENOVACIÓN</v>
      </c>
      <c r="C21276" s="6">
        <v>50000</v>
      </c>
      <c r="D21276" s="5" t="s">
        <v>362</v>
      </c>
      <c r="E21276" s="5" t="str">
        <f t="shared" si="1065"/>
        <v>SISTEMAS-GLOBALTRONIK SAS-SERGIO PATIÑO</v>
      </c>
      <c r="F21276" s="5"/>
      <c r="G21276" s="5"/>
    </row>
    <row r="21277" spans="1:7" ht="58.5" customHeight="1" x14ac:dyDescent="0.25">
      <c r="A21277" s="5" t="str">
        <f>"H0030974"</f>
        <v>H0030974</v>
      </c>
      <c r="B21277" s="5" t="str">
        <f t="shared" si="1066"/>
        <v>LICENCIA DE ANTIVIRUS ESET ENDPOINT POR TRES (3) AÑOS - RENOVACIÓN</v>
      </c>
      <c r="C21277" s="6">
        <v>50000</v>
      </c>
      <c r="D21277" s="5" t="s">
        <v>362</v>
      </c>
      <c r="E21277" s="5" t="str">
        <f t="shared" si="1065"/>
        <v>SISTEMAS-GLOBALTRONIK SAS-SERGIO PATIÑO</v>
      </c>
      <c r="F21277" s="5"/>
      <c r="G21277" s="5"/>
    </row>
    <row r="21278" spans="1:7" ht="58.5" customHeight="1" x14ac:dyDescent="0.25">
      <c r="A21278" s="5" t="str">
        <f>"H0030975"</f>
        <v>H0030975</v>
      </c>
      <c r="B21278" s="5" t="str">
        <f t="shared" si="1066"/>
        <v>LICENCIA DE ANTIVIRUS ESET ENDPOINT POR TRES (3) AÑOS - RENOVACIÓN</v>
      </c>
      <c r="C21278" s="6">
        <v>50000</v>
      </c>
      <c r="D21278" s="5" t="s">
        <v>362</v>
      </c>
      <c r="E21278" s="5" t="str">
        <f t="shared" si="1065"/>
        <v>SISTEMAS-GLOBALTRONIK SAS-SERGIO PATIÑO</v>
      </c>
      <c r="F21278" s="5"/>
      <c r="G21278" s="5"/>
    </row>
    <row r="21279" spans="1:7" ht="58.5" customHeight="1" x14ac:dyDescent="0.25">
      <c r="A21279" s="5" t="str">
        <f>"H0030976"</f>
        <v>H0030976</v>
      </c>
      <c r="B21279" s="5" t="str">
        <f t="shared" si="1066"/>
        <v>LICENCIA DE ANTIVIRUS ESET ENDPOINT POR TRES (3) AÑOS - RENOVACIÓN</v>
      </c>
      <c r="C21279" s="6">
        <v>50000</v>
      </c>
      <c r="D21279" s="5" t="s">
        <v>362</v>
      </c>
      <c r="E21279" s="5" t="str">
        <f t="shared" si="1065"/>
        <v>SISTEMAS-GLOBALTRONIK SAS-SERGIO PATIÑO</v>
      </c>
      <c r="F21279" s="5"/>
      <c r="G21279" s="5"/>
    </row>
    <row r="21280" spans="1:7" ht="58.5" customHeight="1" x14ac:dyDescent="0.25">
      <c r="A21280" s="5" t="str">
        <f>"H0030977"</f>
        <v>H0030977</v>
      </c>
      <c r="B21280" s="5" t="str">
        <f t="shared" si="1066"/>
        <v>LICENCIA DE ANTIVIRUS ESET ENDPOINT POR TRES (3) AÑOS - RENOVACIÓN</v>
      </c>
      <c r="C21280" s="6">
        <v>50000</v>
      </c>
      <c r="D21280" s="5" t="s">
        <v>362</v>
      </c>
      <c r="E21280" s="5" t="str">
        <f t="shared" si="1065"/>
        <v>SISTEMAS-GLOBALTRONIK SAS-SERGIO PATIÑO</v>
      </c>
      <c r="F21280" s="5"/>
      <c r="G21280" s="5"/>
    </row>
    <row r="21281" spans="1:7" ht="58.5" customHeight="1" x14ac:dyDescent="0.25">
      <c r="A21281" s="5" t="str">
        <f>"H0030978"</f>
        <v>H0030978</v>
      </c>
      <c r="B21281" s="5" t="str">
        <f t="shared" si="1066"/>
        <v>LICENCIA DE ANTIVIRUS ESET ENDPOINT POR TRES (3) AÑOS - RENOVACIÓN</v>
      </c>
      <c r="C21281" s="6">
        <v>50000</v>
      </c>
      <c r="D21281" s="5" t="s">
        <v>362</v>
      </c>
      <c r="E21281" s="5" t="str">
        <f t="shared" si="1065"/>
        <v>SISTEMAS-GLOBALTRONIK SAS-SERGIO PATIÑO</v>
      </c>
      <c r="F21281" s="5"/>
      <c r="G21281" s="5"/>
    </row>
    <row r="21282" spans="1:7" ht="58.5" customHeight="1" x14ac:dyDescent="0.25">
      <c r="A21282" s="5" t="str">
        <f>"H0030979"</f>
        <v>H0030979</v>
      </c>
      <c r="B21282" s="5" t="str">
        <f t="shared" si="1066"/>
        <v>LICENCIA DE ANTIVIRUS ESET ENDPOINT POR TRES (3) AÑOS - RENOVACIÓN</v>
      </c>
      <c r="C21282" s="6">
        <v>50000</v>
      </c>
      <c r="D21282" s="5" t="s">
        <v>362</v>
      </c>
      <c r="E21282" s="5" t="str">
        <f t="shared" si="1065"/>
        <v>SISTEMAS-GLOBALTRONIK SAS-SERGIO PATIÑO</v>
      </c>
      <c r="F21282" s="5"/>
      <c r="G21282" s="5"/>
    </row>
    <row r="21283" spans="1:7" ht="58.5" customHeight="1" x14ac:dyDescent="0.25">
      <c r="A21283" s="5" t="str">
        <f>"H0030980"</f>
        <v>H0030980</v>
      </c>
      <c r="B21283" s="5" t="str">
        <f t="shared" si="1066"/>
        <v>LICENCIA DE ANTIVIRUS ESET ENDPOINT POR TRES (3) AÑOS - RENOVACIÓN</v>
      </c>
      <c r="C21283" s="6">
        <v>50000</v>
      </c>
      <c r="D21283" s="5" t="s">
        <v>362</v>
      </c>
      <c r="E21283" s="5" t="str">
        <f t="shared" si="1065"/>
        <v>SISTEMAS-GLOBALTRONIK SAS-SERGIO PATIÑO</v>
      </c>
      <c r="F21283" s="5"/>
      <c r="G21283" s="5"/>
    </row>
    <row r="21284" spans="1:7" ht="58.5" customHeight="1" x14ac:dyDescent="0.25">
      <c r="A21284" s="5" t="str">
        <f>"H0030981"</f>
        <v>H0030981</v>
      </c>
      <c r="B21284" s="5" t="str">
        <f t="shared" si="1066"/>
        <v>LICENCIA DE ANTIVIRUS ESET ENDPOINT POR TRES (3) AÑOS - RENOVACIÓN</v>
      </c>
      <c r="C21284" s="6">
        <v>50000</v>
      </c>
      <c r="D21284" s="5" t="s">
        <v>362</v>
      </c>
      <c r="E21284" s="5" t="str">
        <f t="shared" si="1065"/>
        <v>SISTEMAS-GLOBALTRONIK SAS-SERGIO PATIÑO</v>
      </c>
      <c r="F21284" s="5"/>
      <c r="G21284" s="5"/>
    </row>
    <row r="21285" spans="1:7" ht="58.5" customHeight="1" x14ac:dyDescent="0.25">
      <c r="A21285" s="5" t="str">
        <f>"H0030982"</f>
        <v>H0030982</v>
      </c>
      <c r="B21285" s="5" t="str">
        <f t="shared" si="1066"/>
        <v>LICENCIA DE ANTIVIRUS ESET ENDPOINT POR TRES (3) AÑOS - RENOVACIÓN</v>
      </c>
      <c r="C21285" s="6">
        <v>50000</v>
      </c>
      <c r="D21285" s="5" t="s">
        <v>362</v>
      </c>
      <c r="E21285" s="5" t="str">
        <f t="shared" si="1065"/>
        <v>SISTEMAS-GLOBALTRONIK SAS-SERGIO PATIÑO</v>
      </c>
      <c r="F21285" s="5"/>
      <c r="G21285" s="5"/>
    </row>
    <row r="21286" spans="1:7" ht="58.5" customHeight="1" x14ac:dyDescent="0.25">
      <c r="A21286" s="5" t="str">
        <f>"H0030983"</f>
        <v>H0030983</v>
      </c>
      <c r="B21286" s="5" t="str">
        <f t="shared" si="1066"/>
        <v>LICENCIA DE ANTIVIRUS ESET ENDPOINT POR TRES (3) AÑOS - RENOVACIÓN</v>
      </c>
      <c r="C21286" s="6">
        <v>50000</v>
      </c>
      <c r="D21286" s="5" t="s">
        <v>362</v>
      </c>
      <c r="E21286" s="5" t="str">
        <f t="shared" si="1065"/>
        <v>SISTEMAS-GLOBALTRONIK SAS-SERGIO PATIÑO</v>
      </c>
      <c r="F21286" s="5"/>
      <c r="G21286" s="5"/>
    </row>
    <row r="21287" spans="1:7" ht="58.5" customHeight="1" x14ac:dyDescent="0.25">
      <c r="A21287" s="5" t="str">
        <f>"H0030984"</f>
        <v>H0030984</v>
      </c>
      <c r="B21287" s="5" t="str">
        <f t="shared" si="1066"/>
        <v>LICENCIA DE ANTIVIRUS ESET ENDPOINT POR TRES (3) AÑOS - RENOVACIÓN</v>
      </c>
      <c r="C21287" s="6">
        <v>50000</v>
      </c>
      <c r="D21287" s="5" t="s">
        <v>362</v>
      </c>
      <c r="E21287" s="5" t="str">
        <f t="shared" si="1065"/>
        <v>SISTEMAS-GLOBALTRONIK SAS-SERGIO PATIÑO</v>
      </c>
      <c r="F21287" s="5"/>
      <c r="G21287" s="5"/>
    </row>
    <row r="21288" spans="1:7" ht="58.5" customHeight="1" x14ac:dyDescent="0.25">
      <c r="A21288" s="5" t="str">
        <f>"H0030985"</f>
        <v>H0030985</v>
      </c>
      <c r="B21288" s="5" t="str">
        <f t="shared" si="1066"/>
        <v>LICENCIA DE ANTIVIRUS ESET ENDPOINT POR TRES (3) AÑOS - RENOVACIÓN</v>
      </c>
      <c r="C21288" s="6">
        <v>50000</v>
      </c>
      <c r="D21288" s="5" t="s">
        <v>362</v>
      </c>
      <c r="E21288" s="5" t="str">
        <f t="shared" si="1065"/>
        <v>SISTEMAS-GLOBALTRONIK SAS-SERGIO PATIÑO</v>
      </c>
      <c r="F21288" s="5"/>
      <c r="G21288" s="5"/>
    </row>
    <row r="21289" spans="1:7" ht="58.5" customHeight="1" x14ac:dyDescent="0.25">
      <c r="A21289" s="5" t="str">
        <f>"H0030986"</f>
        <v>H0030986</v>
      </c>
      <c r="B21289" s="5" t="str">
        <f t="shared" si="1066"/>
        <v>LICENCIA DE ANTIVIRUS ESET ENDPOINT POR TRES (3) AÑOS - RENOVACIÓN</v>
      </c>
      <c r="C21289" s="6">
        <v>50000</v>
      </c>
      <c r="D21289" s="5" t="s">
        <v>362</v>
      </c>
      <c r="E21289" s="5" t="str">
        <f t="shared" si="1065"/>
        <v>SISTEMAS-GLOBALTRONIK SAS-SERGIO PATIÑO</v>
      </c>
      <c r="F21289" s="5"/>
      <c r="G21289" s="5"/>
    </row>
    <row r="21290" spans="1:7" ht="58.5" customHeight="1" x14ac:dyDescent="0.25">
      <c r="A21290" s="5" t="str">
        <f>"H0030987"</f>
        <v>H0030987</v>
      </c>
      <c r="B21290" s="5" t="str">
        <f t="shared" si="1066"/>
        <v>LICENCIA DE ANTIVIRUS ESET ENDPOINT POR TRES (3) AÑOS - RENOVACIÓN</v>
      </c>
      <c r="C21290" s="6">
        <v>50000</v>
      </c>
      <c r="D21290" s="5" t="s">
        <v>362</v>
      </c>
      <c r="E21290" s="5" t="str">
        <f t="shared" si="1065"/>
        <v>SISTEMAS-GLOBALTRONIK SAS-SERGIO PATIÑO</v>
      </c>
      <c r="F21290" s="5"/>
      <c r="G21290" s="5"/>
    </row>
    <row r="21291" spans="1:7" ht="58.5" customHeight="1" x14ac:dyDescent="0.25">
      <c r="A21291" s="5" t="str">
        <f>"H0030988"</f>
        <v>H0030988</v>
      </c>
      <c r="B21291" s="5" t="str">
        <f t="shared" si="1066"/>
        <v>LICENCIA DE ANTIVIRUS ESET ENDPOINT POR TRES (3) AÑOS - RENOVACIÓN</v>
      </c>
      <c r="C21291" s="6">
        <v>50000</v>
      </c>
      <c r="D21291" s="5" t="s">
        <v>362</v>
      </c>
      <c r="E21291" s="5" t="str">
        <f t="shared" si="1065"/>
        <v>SISTEMAS-GLOBALTRONIK SAS-SERGIO PATIÑO</v>
      </c>
      <c r="F21291" s="5"/>
      <c r="G21291" s="5"/>
    </row>
    <row r="21292" spans="1:7" ht="58.5" customHeight="1" x14ac:dyDescent="0.25">
      <c r="A21292" s="5" t="str">
        <f>"H0030989"</f>
        <v>H0030989</v>
      </c>
      <c r="B21292" s="5" t="str">
        <f t="shared" si="1066"/>
        <v>LICENCIA DE ANTIVIRUS ESET ENDPOINT POR TRES (3) AÑOS - RENOVACIÓN</v>
      </c>
      <c r="C21292" s="6">
        <v>50000</v>
      </c>
      <c r="D21292" s="5" t="s">
        <v>362</v>
      </c>
      <c r="E21292" s="5" t="str">
        <f t="shared" si="1065"/>
        <v>SISTEMAS-GLOBALTRONIK SAS-SERGIO PATIÑO</v>
      </c>
      <c r="F21292" s="5"/>
      <c r="G21292" s="5"/>
    </row>
    <row r="21293" spans="1:7" ht="58.5" customHeight="1" x14ac:dyDescent="0.25">
      <c r="A21293" s="5" t="str">
        <f>"H0030990"</f>
        <v>H0030990</v>
      </c>
      <c r="B21293" s="5" t="str">
        <f t="shared" si="1066"/>
        <v>LICENCIA DE ANTIVIRUS ESET ENDPOINT POR TRES (3) AÑOS - RENOVACIÓN</v>
      </c>
      <c r="C21293" s="6">
        <v>50000</v>
      </c>
      <c r="D21293" s="5" t="s">
        <v>362</v>
      </c>
      <c r="E21293" s="5" t="str">
        <f t="shared" si="1065"/>
        <v>SISTEMAS-GLOBALTRONIK SAS-SERGIO PATIÑO</v>
      </c>
      <c r="F21293" s="5"/>
      <c r="G21293" s="5"/>
    </row>
    <row r="21294" spans="1:7" ht="58.5" customHeight="1" x14ac:dyDescent="0.25">
      <c r="A21294" s="5" t="str">
        <f>"H0030991"</f>
        <v>H0030991</v>
      </c>
      <c r="B21294" s="5" t="str">
        <f t="shared" si="1066"/>
        <v>LICENCIA DE ANTIVIRUS ESET ENDPOINT POR TRES (3) AÑOS - RENOVACIÓN</v>
      </c>
      <c r="C21294" s="6">
        <v>50000</v>
      </c>
      <c r="D21294" s="5" t="s">
        <v>362</v>
      </c>
      <c r="E21294" s="5" t="str">
        <f t="shared" si="1065"/>
        <v>SISTEMAS-GLOBALTRONIK SAS-SERGIO PATIÑO</v>
      </c>
      <c r="F21294" s="5"/>
      <c r="G21294" s="5"/>
    </row>
    <row r="21295" spans="1:7" ht="58.5" customHeight="1" x14ac:dyDescent="0.25">
      <c r="A21295" s="5" t="str">
        <f>"H0030992"</f>
        <v>H0030992</v>
      </c>
      <c r="B21295" s="5" t="str">
        <f t="shared" si="1066"/>
        <v>LICENCIA DE ANTIVIRUS ESET ENDPOINT POR TRES (3) AÑOS - RENOVACIÓN</v>
      </c>
      <c r="C21295" s="6">
        <v>50000</v>
      </c>
      <c r="D21295" s="5" t="s">
        <v>362</v>
      </c>
      <c r="E21295" s="5" t="str">
        <f t="shared" si="1065"/>
        <v>SISTEMAS-GLOBALTRONIK SAS-SERGIO PATIÑO</v>
      </c>
      <c r="F21295" s="5"/>
      <c r="G21295" s="5"/>
    </row>
    <row r="21296" spans="1:7" ht="58.5" customHeight="1" x14ac:dyDescent="0.25">
      <c r="A21296" s="5" t="str">
        <f>"H0030993"</f>
        <v>H0030993</v>
      </c>
      <c r="B21296" s="5" t="str">
        <f t="shared" si="1066"/>
        <v>LICENCIA DE ANTIVIRUS ESET ENDPOINT POR TRES (3) AÑOS - RENOVACIÓN</v>
      </c>
      <c r="C21296" s="6">
        <v>50000</v>
      </c>
      <c r="D21296" s="5" t="s">
        <v>362</v>
      </c>
      <c r="E21296" s="5" t="str">
        <f t="shared" si="1065"/>
        <v>SISTEMAS-GLOBALTRONIK SAS-SERGIO PATIÑO</v>
      </c>
      <c r="F21296" s="5"/>
      <c r="G21296" s="5"/>
    </row>
    <row r="21297" spans="1:7" ht="58.5" customHeight="1" x14ac:dyDescent="0.25">
      <c r="A21297" s="5" t="str">
        <f>"H0030994"</f>
        <v>H0030994</v>
      </c>
      <c r="B21297" s="5" t="str">
        <f t="shared" si="1066"/>
        <v>LICENCIA DE ANTIVIRUS ESET ENDPOINT POR TRES (3) AÑOS - RENOVACIÓN</v>
      </c>
      <c r="C21297" s="6">
        <v>50000</v>
      </c>
      <c r="D21297" s="5" t="s">
        <v>362</v>
      </c>
      <c r="E21297" s="5" t="str">
        <f t="shared" si="1065"/>
        <v>SISTEMAS-GLOBALTRONIK SAS-SERGIO PATIÑO</v>
      </c>
      <c r="F21297" s="5"/>
      <c r="G21297" s="5"/>
    </row>
    <row r="21298" spans="1:7" ht="58.5" customHeight="1" x14ac:dyDescent="0.25">
      <c r="A21298" s="5" t="str">
        <f>"H0030995"</f>
        <v>H0030995</v>
      </c>
      <c r="B21298" s="5" t="str">
        <f t="shared" si="1066"/>
        <v>LICENCIA DE ANTIVIRUS ESET ENDPOINT POR TRES (3) AÑOS - RENOVACIÓN</v>
      </c>
      <c r="C21298" s="6">
        <v>50000</v>
      </c>
      <c r="D21298" s="5" t="s">
        <v>362</v>
      </c>
      <c r="E21298" s="5" t="str">
        <f t="shared" si="1065"/>
        <v>SISTEMAS-GLOBALTRONIK SAS-SERGIO PATIÑO</v>
      </c>
      <c r="F21298" s="5"/>
      <c r="G21298" s="5"/>
    </row>
    <row r="21299" spans="1:7" ht="58.5" customHeight="1" x14ac:dyDescent="0.25">
      <c r="A21299" s="5" t="str">
        <f>"H0030996"</f>
        <v>H0030996</v>
      </c>
      <c r="B21299" s="5" t="str">
        <f t="shared" si="1066"/>
        <v>LICENCIA DE ANTIVIRUS ESET ENDPOINT POR TRES (3) AÑOS - RENOVACIÓN</v>
      </c>
      <c r="C21299" s="6">
        <v>50000</v>
      </c>
      <c r="D21299" s="5" t="s">
        <v>362</v>
      </c>
      <c r="E21299" s="5" t="str">
        <f t="shared" si="1065"/>
        <v>SISTEMAS-GLOBALTRONIK SAS-SERGIO PATIÑO</v>
      </c>
      <c r="F21299" s="5"/>
      <c r="G21299" s="5"/>
    </row>
    <row r="21300" spans="1:7" ht="58.5" customHeight="1" x14ac:dyDescent="0.25">
      <c r="A21300" s="5" t="str">
        <f>"H0030997"</f>
        <v>H0030997</v>
      </c>
      <c r="B21300" s="5" t="str">
        <f t="shared" si="1066"/>
        <v>LICENCIA DE ANTIVIRUS ESET ENDPOINT POR TRES (3) AÑOS - RENOVACIÓN</v>
      </c>
      <c r="C21300" s="6">
        <v>50000</v>
      </c>
      <c r="D21300" s="5" t="s">
        <v>362</v>
      </c>
      <c r="E21300" s="5" t="str">
        <f t="shared" si="1065"/>
        <v>SISTEMAS-GLOBALTRONIK SAS-SERGIO PATIÑO</v>
      </c>
      <c r="F21300" s="5"/>
      <c r="G21300" s="5"/>
    </row>
    <row r="21301" spans="1:7" ht="58.5" customHeight="1" x14ac:dyDescent="0.25">
      <c r="A21301" s="5" t="str">
        <f>"H0030998"</f>
        <v>H0030998</v>
      </c>
      <c r="B21301" s="5" t="str">
        <f t="shared" si="1066"/>
        <v>LICENCIA DE ANTIVIRUS ESET ENDPOINT POR TRES (3) AÑOS - RENOVACIÓN</v>
      </c>
      <c r="C21301" s="6">
        <v>50000</v>
      </c>
      <c r="D21301" s="5" t="s">
        <v>362</v>
      </c>
      <c r="E21301" s="5" t="str">
        <f t="shared" si="1065"/>
        <v>SISTEMAS-GLOBALTRONIK SAS-SERGIO PATIÑO</v>
      </c>
      <c r="F21301" s="5"/>
      <c r="G21301" s="5"/>
    </row>
    <row r="21302" spans="1:7" ht="58.5" customHeight="1" x14ac:dyDescent="0.25">
      <c r="A21302" s="5" t="str">
        <f>"H0030999"</f>
        <v>H0030999</v>
      </c>
      <c r="B21302" s="5" t="str">
        <f t="shared" si="1066"/>
        <v>LICENCIA DE ANTIVIRUS ESET ENDPOINT POR TRES (3) AÑOS - RENOVACIÓN</v>
      </c>
      <c r="C21302" s="6">
        <v>50000</v>
      </c>
      <c r="D21302" s="5" t="s">
        <v>362</v>
      </c>
      <c r="E21302" s="5" t="str">
        <f t="shared" si="1065"/>
        <v>SISTEMAS-GLOBALTRONIK SAS-SERGIO PATIÑO</v>
      </c>
      <c r="F21302" s="5"/>
      <c r="G21302" s="5"/>
    </row>
    <row r="21303" spans="1:7" ht="58.5" customHeight="1" x14ac:dyDescent="0.25">
      <c r="A21303" s="5" t="str">
        <f>"H0031000"</f>
        <v>H0031000</v>
      </c>
      <c r="B21303" s="5" t="str">
        <f t="shared" si="1066"/>
        <v>LICENCIA DE ANTIVIRUS ESET ENDPOINT POR TRES (3) AÑOS - RENOVACIÓN</v>
      </c>
      <c r="C21303" s="6">
        <v>50000</v>
      </c>
      <c r="D21303" s="5" t="s">
        <v>362</v>
      </c>
      <c r="E21303" s="5" t="str">
        <f t="shared" si="1065"/>
        <v>SISTEMAS-GLOBALTRONIK SAS-SERGIO PATIÑO</v>
      </c>
      <c r="F21303" s="5"/>
      <c r="G21303" s="5"/>
    </row>
    <row r="21304" spans="1:7" ht="58.5" customHeight="1" x14ac:dyDescent="0.25">
      <c r="A21304" s="5" t="str">
        <f>"H0031001"</f>
        <v>H0031001</v>
      </c>
      <c r="B21304" s="5" t="str">
        <f t="shared" si="1066"/>
        <v>LICENCIA DE ANTIVIRUS ESET ENDPOINT POR TRES (3) AÑOS - RENOVACIÓN</v>
      </c>
      <c r="C21304" s="6">
        <v>50000</v>
      </c>
      <c r="D21304" s="5" t="s">
        <v>362</v>
      </c>
      <c r="E21304" s="5" t="str">
        <f t="shared" si="1065"/>
        <v>SISTEMAS-GLOBALTRONIK SAS-SERGIO PATIÑO</v>
      </c>
      <c r="F21304" s="5"/>
      <c r="G21304" s="5"/>
    </row>
    <row r="21305" spans="1:7" ht="58.5" customHeight="1" x14ac:dyDescent="0.25">
      <c r="A21305" s="5" t="str">
        <f>"H0031002"</f>
        <v>H0031002</v>
      </c>
      <c r="B21305" s="5" t="str">
        <f t="shared" si="1066"/>
        <v>LICENCIA DE ANTIVIRUS ESET ENDPOINT POR TRES (3) AÑOS - RENOVACIÓN</v>
      </c>
      <c r="C21305" s="6">
        <v>50000</v>
      </c>
      <c r="D21305" s="5" t="s">
        <v>362</v>
      </c>
      <c r="E21305" s="5" t="str">
        <f t="shared" si="1065"/>
        <v>SISTEMAS-GLOBALTRONIK SAS-SERGIO PATIÑO</v>
      </c>
      <c r="F21305" s="5"/>
      <c r="G21305" s="5"/>
    </row>
    <row r="21306" spans="1:7" ht="58.5" customHeight="1" x14ac:dyDescent="0.25">
      <c r="A21306" s="5" t="str">
        <f>"H0031003"</f>
        <v>H0031003</v>
      </c>
      <c r="B21306" s="5" t="str">
        <f t="shared" si="1066"/>
        <v>LICENCIA DE ANTIVIRUS ESET ENDPOINT POR TRES (3) AÑOS - RENOVACIÓN</v>
      </c>
      <c r="C21306" s="6">
        <v>50000</v>
      </c>
      <c r="D21306" s="5" t="s">
        <v>362</v>
      </c>
      <c r="E21306" s="5" t="str">
        <f t="shared" si="1065"/>
        <v>SISTEMAS-GLOBALTRONIK SAS-SERGIO PATIÑO</v>
      </c>
      <c r="F21306" s="5"/>
      <c r="G21306" s="5"/>
    </row>
    <row r="21307" spans="1:7" ht="58.5" customHeight="1" x14ac:dyDescent="0.25">
      <c r="A21307" s="5" t="str">
        <f>"H0031004"</f>
        <v>H0031004</v>
      </c>
      <c r="B21307" s="5" t="str">
        <f t="shared" si="1066"/>
        <v>LICENCIA DE ANTIVIRUS ESET ENDPOINT POR TRES (3) AÑOS - RENOVACIÓN</v>
      </c>
      <c r="C21307" s="6">
        <v>50000</v>
      </c>
      <c r="D21307" s="5" t="s">
        <v>362</v>
      </c>
      <c r="E21307" s="5" t="str">
        <f t="shared" si="1065"/>
        <v>SISTEMAS-GLOBALTRONIK SAS-SERGIO PATIÑO</v>
      </c>
      <c r="F21307" s="5"/>
      <c r="G21307" s="5"/>
    </row>
    <row r="21308" spans="1:7" ht="58.5" customHeight="1" x14ac:dyDescent="0.25">
      <c r="A21308" s="5" t="str">
        <f>"H0031005"</f>
        <v>H0031005</v>
      </c>
      <c r="B21308" s="5" t="str">
        <f t="shared" si="1066"/>
        <v>LICENCIA DE ANTIVIRUS ESET ENDPOINT POR TRES (3) AÑOS - RENOVACIÓN</v>
      </c>
      <c r="C21308" s="6">
        <v>50000</v>
      </c>
      <c r="D21308" s="5" t="s">
        <v>362</v>
      </c>
      <c r="E21308" s="5" t="str">
        <f t="shared" si="1065"/>
        <v>SISTEMAS-GLOBALTRONIK SAS-SERGIO PATIÑO</v>
      </c>
      <c r="F21308" s="5"/>
      <c r="G21308" s="5"/>
    </row>
    <row r="21309" spans="1:7" ht="58.5" customHeight="1" x14ac:dyDescent="0.25">
      <c r="A21309" s="5" t="str">
        <f>"H0031006"</f>
        <v>H0031006</v>
      </c>
      <c r="B21309" s="5" t="str">
        <f t="shared" si="1066"/>
        <v>LICENCIA DE ANTIVIRUS ESET ENDPOINT POR TRES (3) AÑOS - RENOVACIÓN</v>
      </c>
      <c r="C21309" s="6">
        <v>50000</v>
      </c>
      <c r="D21309" s="5" t="s">
        <v>362</v>
      </c>
      <c r="E21309" s="5" t="str">
        <f t="shared" ref="E21309:E21372" si="1067">"SISTEMAS-GLOBALTRONIK SAS-SERGIO PATIÑO"</f>
        <v>SISTEMAS-GLOBALTRONIK SAS-SERGIO PATIÑO</v>
      </c>
      <c r="F21309" s="5"/>
      <c r="G21309" s="5"/>
    </row>
    <row r="21310" spans="1:7" ht="58.5" customHeight="1" x14ac:dyDescent="0.25">
      <c r="A21310" s="5" t="str">
        <f>"H0031007"</f>
        <v>H0031007</v>
      </c>
      <c r="B21310" s="5" t="str">
        <f t="shared" si="1066"/>
        <v>LICENCIA DE ANTIVIRUS ESET ENDPOINT POR TRES (3) AÑOS - RENOVACIÓN</v>
      </c>
      <c r="C21310" s="6">
        <v>50000</v>
      </c>
      <c r="D21310" s="5" t="s">
        <v>362</v>
      </c>
      <c r="E21310" s="5" t="str">
        <f t="shared" si="1067"/>
        <v>SISTEMAS-GLOBALTRONIK SAS-SERGIO PATIÑO</v>
      </c>
      <c r="F21310" s="5"/>
      <c r="G21310" s="5"/>
    </row>
    <row r="21311" spans="1:7" ht="58.5" customHeight="1" x14ac:dyDescent="0.25">
      <c r="A21311" s="5" t="str">
        <f>"H0031008"</f>
        <v>H0031008</v>
      </c>
      <c r="B21311" s="5" t="str">
        <f t="shared" si="1066"/>
        <v>LICENCIA DE ANTIVIRUS ESET ENDPOINT POR TRES (3) AÑOS - RENOVACIÓN</v>
      </c>
      <c r="C21311" s="6">
        <v>50000</v>
      </c>
      <c r="D21311" s="5" t="s">
        <v>362</v>
      </c>
      <c r="E21311" s="5" t="str">
        <f t="shared" si="1067"/>
        <v>SISTEMAS-GLOBALTRONIK SAS-SERGIO PATIÑO</v>
      </c>
      <c r="F21311" s="5"/>
      <c r="G21311" s="5"/>
    </row>
    <row r="21312" spans="1:7" ht="58.5" customHeight="1" x14ac:dyDescent="0.25">
      <c r="A21312" s="5" t="str">
        <f>"H0031009"</f>
        <v>H0031009</v>
      </c>
      <c r="B21312" s="5" t="str">
        <f t="shared" si="1066"/>
        <v>LICENCIA DE ANTIVIRUS ESET ENDPOINT POR TRES (3) AÑOS - RENOVACIÓN</v>
      </c>
      <c r="C21312" s="6">
        <v>50000</v>
      </c>
      <c r="D21312" s="5" t="s">
        <v>362</v>
      </c>
      <c r="E21312" s="5" t="str">
        <f t="shared" si="1067"/>
        <v>SISTEMAS-GLOBALTRONIK SAS-SERGIO PATIÑO</v>
      </c>
      <c r="F21312" s="5"/>
      <c r="G21312" s="5"/>
    </row>
    <row r="21313" spans="1:7" ht="58.5" customHeight="1" x14ac:dyDescent="0.25">
      <c r="A21313" s="5" t="str">
        <f>"H0031010"</f>
        <v>H0031010</v>
      </c>
      <c r="B21313" s="5" t="str">
        <f t="shared" si="1066"/>
        <v>LICENCIA DE ANTIVIRUS ESET ENDPOINT POR TRES (3) AÑOS - RENOVACIÓN</v>
      </c>
      <c r="C21313" s="6">
        <v>50000</v>
      </c>
      <c r="D21313" s="5" t="s">
        <v>362</v>
      </c>
      <c r="E21313" s="5" t="str">
        <f t="shared" si="1067"/>
        <v>SISTEMAS-GLOBALTRONIK SAS-SERGIO PATIÑO</v>
      </c>
      <c r="F21313" s="5"/>
      <c r="G21313" s="5"/>
    </row>
    <row r="21314" spans="1:7" ht="58.5" customHeight="1" x14ac:dyDescent="0.25">
      <c r="A21314" s="5" t="str">
        <f>"H0031011"</f>
        <v>H0031011</v>
      </c>
      <c r="B21314" s="5" t="str">
        <f t="shared" si="1066"/>
        <v>LICENCIA DE ANTIVIRUS ESET ENDPOINT POR TRES (3) AÑOS - RENOVACIÓN</v>
      </c>
      <c r="C21314" s="6">
        <v>50000</v>
      </c>
      <c r="D21314" s="5" t="s">
        <v>362</v>
      </c>
      <c r="E21314" s="5" t="str">
        <f t="shared" si="1067"/>
        <v>SISTEMAS-GLOBALTRONIK SAS-SERGIO PATIÑO</v>
      </c>
      <c r="F21314" s="5"/>
      <c r="G21314" s="5"/>
    </row>
    <row r="21315" spans="1:7" ht="58.5" customHeight="1" x14ac:dyDescent="0.25">
      <c r="A21315" s="5" t="str">
        <f>"H0031012"</f>
        <v>H0031012</v>
      </c>
      <c r="B21315" s="5" t="str">
        <f t="shared" si="1066"/>
        <v>LICENCIA DE ANTIVIRUS ESET ENDPOINT POR TRES (3) AÑOS - RENOVACIÓN</v>
      </c>
      <c r="C21315" s="6">
        <v>50000</v>
      </c>
      <c r="D21315" s="5" t="s">
        <v>362</v>
      </c>
      <c r="E21315" s="5" t="str">
        <f t="shared" si="1067"/>
        <v>SISTEMAS-GLOBALTRONIK SAS-SERGIO PATIÑO</v>
      </c>
      <c r="F21315" s="5"/>
      <c r="G21315" s="5"/>
    </row>
    <row r="21316" spans="1:7" ht="58.5" customHeight="1" x14ac:dyDescent="0.25">
      <c r="A21316" s="5" t="str">
        <f>"H0031013"</f>
        <v>H0031013</v>
      </c>
      <c r="B21316" s="5" t="str">
        <f t="shared" si="1066"/>
        <v>LICENCIA DE ANTIVIRUS ESET ENDPOINT POR TRES (3) AÑOS - RENOVACIÓN</v>
      </c>
      <c r="C21316" s="6">
        <v>50000</v>
      </c>
      <c r="D21316" s="5" t="s">
        <v>362</v>
      </c>
      <c r="E21316" s="5" t="str">
        <f t="shared" si="1067"/>
        <v>SISTEMAS-GLOBALTRONIK SAS-SERGIO PATIÑO</v>
      </c>
      <c r="F21316" s="5"/>
      <c r="G21316" s="5"/>
    </row>
    <row r="21317" spans="1:7" ht="58.5" customHeight="1" x14ac:dyDescent="0.25">
      <c r="A21317" s="5" t="str">
        <f>"H0031014"</f>
        <v>H0031014</v>
      </c>
      <c r="B21317" s="5" t="str">
        <f t="shared" si="1066"/>
        <v>LICENCIA DE ANTIVIRUS ESET ENDPOINT POR TRES (3) AÑOS - RENOVACIÓN</v>
      </c>
      <c r="C21317" s="6">
        <v>50000</v>
      </c>
      <c r="D21317" s="5" t="s">
        <v>362</v>
      </c>
      <c r="E21317" s="5" t="str">
        <f t="shared" si="1067"/>
        <v>SISTEMAS-GLOBALTRONIK SAS-SERGIO PATIÑO</v>
      </c>
      <c r="F21317" s="5"/>
      <c r="G21317" s="5"/>
    </row>
    <row r="21318" spans="1:7" ht="58.5" customHeight="1" x14ac:dyDescent="0.25">
      <c r="A21318" s="5" t="str">
        <f>"H0031015"</f>
        <v>H0031015</v>
      </c>
      <c r="B21318" s="5" t="str">
        <f t="shared" si="1066"/>
        <v>LICENCIA DE ANTIVIRUS ESET ENDPOINT POR TRES (3) AÑOS - RENOVACIÓN</v>
      </c>
      <c r="C21318" s="6">
        <v>50000</v>
      </c>
      <c r="D21318" s="5" t="s">
        <v>362</v>
      </c>
      <c r="E21318" s="5" t="str">
        <f t="shared" si="1067"/>
        <v>SISTEMAS-GLOBALTRONIK SAS-SERGIO PATIÑO</v>
      </c>
      <c r="F21318" s="5"/>
      <c r="G21318" s="5"/>
    </row>
    <row r="21319" spans="1:7" ht="58.5" customHeight="1" x14ac:dyDescent="0.25">
      <c r="A21319" s="5" t="str">
        <f>"H0031016"</f>
        <v>H0031016</v>
      </c>
      <c r="B21319" s="5" t="str">
        <f t="shared" si="1066"/>
        <v>LICENCIA DE ANTIVIRUS ESET ENDPOINT POR TRES (3) AÑOS - RENOVACIÓN</v>
      </c>
      <c r="C21319" s="6">
        <v>50000</v>
      </c>
      <c r="D21319" s="5" t="s">
        <v>362</v>
      </c>
      <c r="E21319" s="5" t="str">
        <f t="shared" si="1067"/>
        <v>SISTEMAS-GLOBALTRONIK SAS-SERGIO PATIÑO</v>
      </c>
      <c r="F21319" s="5"/>
      <c r="G21319" s="5"/>
    </row>
    <row r="21320" spans="1:7" ht="58.5" customHeight="1" x14ac:dyDescent="0.25">
      <c r="A21320" s="5" t="str">
        <f>"H0031017"</f>
        <v>H0031017</v>
      </c>
      <c r="B21320" s="5" t="str">
        <f t="shared" si="1066"/>
        <v>LICENCIA DE ANTIVIRUS ESET ENDPOINT POR TRES (3) AÑOS - RENOVACIÓN</v>
      </c>
      <c r="C21320" s="6">
        <v>50000</v>
      </c>
      <c r="D21320" s="5" t="s">
        <v>362</v>
      </c>
      <c r="E21320" s="5" t="str">
        <f t="shared" si="1067"/>
        <v>SISTEMAS-GLOBALTRONIK SAS-SERGIO PATIÑO</v>
      </c>
      <c r="F21320" s="5"/>
      <c r="G21320" s="5"/>
    </row>
    <row r="21321" spans="1:7" ht="58.5" customHeight="1" x14ac:dyDescent="0.25">
      <c r="A21321" s="5" t="str">
        <f>"H0031018"</f>
        <v>H0031018</v>
      </c>
      <c r="B21321" s="5" t="str">
        <f t="shared" si="1066"/>
        <v>LICENCIA DE ANTIVIRUS ESET ENDPOINT POR TRES (3) AÑOS - RENOVACIÓN</v>
      </c>
      <c r="C21321" s="6">
        <v>50000</v>
      </c>
      <c r="D21321" s="5" t="s">
        <v>362</v>
      </c>
      <c r="E21321" s="5" t="str">
        <f t="shared" si="1067"/>
        <v>SISTEMAS-GLOBALTRONIK SAS-SERGIO PATIÑO</v>
      </c>
      <c r="F21321" s="5"/>
      <c r="G21321" s="5"/>
    </row>
    <row r="21322" spans="1:7" ht="58.5" customHeight="1" x14ac:dyDescent="0.25">
      <c r="A21322" s="5" t="str">
        <f>"H0031019"</f>
        <v>H0031019</v>
      </c>
      <c r="B21322" s="5" t="str">
        <f t="shared" si="1066"/>
        <v>LICENCIA DE ANTIVIRUS ESET ENDPOINT POR TRES (3) AÑOS - RENOVACIÓN</v>
      </c>
      <c r="C21322" s="6">
        <v>50000</v>
      </c>
      <c r="D21322" s="5" t="s">
        <v>362</v>
      </c>
      <c r="E21322" s="5" t="str">
        <f t="shared" si="1067"/>
        <v>SISTEMAS-GLOBALTRONIK SAS-SERGIO PATIÑO</v>
      </c>
      <c r="F21322" s="5"/>
      <c r="G21322" s="5"/>
    </row>
    <row r="21323" spans="1:7" ht="58.5" customHeight="1" x14ac:dyDescent="0.25">
      <c r="A21323" s="5" t="str">
        <f>"H0031020"</f>
        <v>H0031020</v>
      </c>
      <c r="B21323" s="5" t="str">
        <f t="shared" si="1066"/>
        <v>LICENCIA DE ANTIVIRUS ESET ENDPOINT POR TRES (3) AÑOS - RENOVACIÓN</v>
      </c>
      <c r="C21323" s="6">
        <v>50000</v>
      </c>
      <c r="D21323" s="5" t="s">
        <v>362</v>
      </c>
      <c r="E21323" s="5" t="str">
        <f t="shared" si="1067"/>
        <v>SISTEMAS-GLOBALTRONIK SAS-SERGIO PATIÑO</v>
      </c>
      <c r="F21323" s="5"/>
      <c r="G21323" s="5"/>
    </row>
    <row r="21324" spans="1:7" ht="58.5" customHeight="1" x14ac:dyDescent="0.25">
      <c r="A21324" s="5" t="str">
        <f>"H0031021"</f>
        <v>H0031021</v>
      </c>
      <c r="B21324" s="5" t="str">
        <f t="shared" si="1066"/>
        <v>LICENCIA DE ANTIVIRUS ESET ENDPOINT POR TRES (3) AÑOS - RENOVACIÓN</v>
      </c>
      <c r="C21324" s="6">
        <v>50000</v>
      </c>
      <c r="D21324" s="5" t="s">
        <v>362</v>
      </c>
      <c r="E21324" s="5" t="str">
        <f t="shared" si="1067"/>
        <v>SISTEMAS-GLOBALTRONIK SAS-SERGIO PATIÑO</v>
      </c>
      <c r="F21324" s="5"/>
      <c r="G21324" s="5"/>
    </row>
    <row r="21325" spans="1:7" ht="58.5" customHeight="1" x14ac:dyDescent="0.25">
      <c r="A21325" s="5" t="str">
        <f>"H0031022"</f>
        <v>H0031022</v>
      </c>
      <c r="B21325" s="5" t="str">
        <f t="shared" si="1066"/>
        <v>LICENCIA DE ANTIVIRUS ESET ENDPOINT POR TRES (3) AÑOS - RENOVACIÓN</v>
      </c>
      <c r="C21325" s="6">
        <v>50000</v>
      </c>
      <c r="D21325" s="5" t="s">
        <v>882</v>
      </c>
      <c r="E21325" s="5" t="str">
        <f t="shared" si="1067"/>
        <v>SISTEMAS-GLOBALTRONIK SAS-SERGIO PATIÑO</v>
      </c>
      <c r="F21325" s="5"/>
      <c r="G21325" s="5"/>
    </row>
    <row r="21326" spans="1:7" ht="58.5" customHeight="1" x14ac:dyDescent="0.25">
      <c r="A21326" s="5" t="str">
        <f>"H0031023"</f>
        <v>H0031023</v>
      </c>
      <c r="B21326" s="5" t="str">
        <f t="shared" si="1066"/>
        <v>LICENCIA DE ANTIVIRUS ESET ENDPOINT POR TRES (3) AÑOS - RENOVACIÓN</v>
      </c>
      <c r="C21326" s="6">
        <v>50000</v>
      </c>
      <c r="D21326" s="5" t="s">
        <v>362</v>
      </c>
      <c r="E21326" s="5" t="str">
        <f t="shared" si="1067"/>
        <v>SISTEMAS-GLOBALTRONIK SAS-SERGIO PATIÑO</v>
      </c>
      <c r="F21326" s="5"/>
      <c r="G21326" s="5"/>
    </row>
    <row r="21327" spans="1:7" ht="58.5" customHeight="1" x14ac:dyDescent="0.25">
      <c r="A21327" s="5" t="str">
        <f>"H0031024"</f>
        <v>H0031024</v>
      </c>
      <c r="B21327" s="5" t="str">
        <f t="shared" si="1066"/>
        <v>LICENCIA DE ANTIVIRUS ESET ENDPOINT POR TRES (3) AÑOS - RENOVACIÓN</v>
      </c>
      <c r="C21327" s="6">
        <v>50000</v>
      </c>
      <c r="D21327" s="5" t="s">
        <v>362</v>
      </c>
      <c r="E21327" s="5" t="str">
        <f t="shared" si="1067"/>
        <v>SISTEMAS-GLOBALTRONIK SAS-SERGIO PATIÑO</v>
      </c>
      <c r="F21327" s="5"/>
      <c r="G21327" s="5"/>
    </row>
    <row r="21328" spans="1:7" ht="58.5" customHeight="1" x14ac:dyDescent="0.25">
      <c r="A21328" s="5" t="str">
        <f>"H0031025"</f>
        <v>H0031025</v>
      </c>
      <c r="B21328" s="5" t="str">
        <f t="shared" si="1066"/>
        <v>LICENCIA DE ANTIVIRUS ESET ENDPOINT POR TRES (3) AÑOS - RENOVACIÓN</v>
      </c>
      <c r="C21328" s="6">
        <v>50000</v>
      </c>
      <c r="D21328" s="5" t="s">
        <v>362</v>
      </c>
      <c r="E21328" s="5" t="str">
        <f t="shared" si="1067"/>
        <v>SISTEMAS-GLOBALTRONIK SAS-SERGIO PATIÑO</v>
      </c>
      <c r="F21328" s="5"/>
      <c r="G21328" s="5"/>
    </row>
    <row r="21329" spans="1:7" ht="58.5" customHeight="1" x14ac:dyDescent="0.25">
      <c r="A21329" s="5" t="str">
        <f>"H0031026"</f>
        <v>H0031026</v>
      </c>
      <c r="B21329" s="5" t="str">
        <f t="shared" si="1066"/>
        <v>LICENCIA DE ANTIVIRUS ESET ENDPOINT POR TRES (3) AÑOS - RENOVACIÓN</v>
      </c>
      <c r="C21329" s="6">
        <v>50000</v>
      </c>
      <c r="D21329" s="5" t="s">
        <v>362</v>
      </c>
      <c r="E21329" s="5" t="str">
        <f t="shared" si="1067"/>
        <v>SISTEMAS-GLOBALTRONIK SAS-SERGIO PATIÑO</v>
      </c>
      <c r="F21329" s="5"/>
      <c r="G21329" s="5"/>
    </row>
    <row r="21330" spans="1:7" ht="58.5" customHeight="1" x14ac:dyDescent="0.25">
      <c r="A21330" s="5" t="str">
        <f>"H0031027"</f>
        <v>H0031027</v>
      </c>
      <c r="B21330" s="5" t="str">
        <f t="shared" si="1066"/>
        <v>LICENCIA DE ANTIVIRUS ESET ENDPOINT POR TRES (3) AÑOS - RENOVACIÓN</v>
      </c>
      <c r="C21330" s="6">
        <v>50000</v>
      </c>
      <c r="D21330" s="5" t="s">
        <v>362</v>
      </c>
      <c r="E21330" s="5" t="str">
        <f t="shared" si="1067"/>
        <v>SISTEMAS-GLOBALTRONIK SAS-SERGIO PATIÑO</v>
      </c>
      <c r="F21330" s="5"/>
      <c r="G21330" s="5"/>
    </row>
    <row r="21331" spans="1:7" ht="58.5" customHeight="1" x14ac:dyDescent="0.25">
      <c r="A21331" s="5" t="str">
        <f>"H0031028"</f>
        <v>H0031028</v>
      </c>
      <c r="B21331" s="5" t="str">
        <f t="shared" si="1066"/>
        <v>LICENCIA DE ANTIVIRUS ESET ENDPOINT POR TRES (3) AÑOS - RENOVACIÓN</v>
      </c>
      <c r="C21331" s="6">
        <v>50000</v>
      </c>
      <c r="D21331" s="5" t="s">
        <v>362</v>
      </c>
      <c r="E21331" s="5" t="str">
        <f t="shared" si="1067"/>
        <v>SISTEMAS-GLOBALTRONIK SAS-SERGIO PATIÑO</v>
      </c>
      <c r="F21331" s="5"/>
      <c r="G21331" s="5"/>
    </row>
    <row r="21332" spans="1:7" ht="58.5" customHeight="1" x14ac:dyDescent="0.25">
      <c r="A21332" s="5" t="str">
        <f>"H0031029"</f>
        <v>H0031029</v>
      </c>
      <c r="B21332" s="5" t="str">
        <f t="shared" si="1066"/>
        <v>LICENCIA DE ANTIVIRUS ESET ENDPOINT POR TRES (3) AÑOS - RENOVACIÓN</v>
      </c>
      <c r="C21332" s="6">
        <v>50000</v>
      </c>
      <c r="D21332" s="5" t="s">
        <v>362</v>
      </c>
      <c r="E21332" s="5" t="str">
        <f t="shared" si="1067"/>
        <v>SISTEMAS-GLOBALTRONIK SAS-SERGIO PATIÑO</v>
      </c>
      <c r="F21332" s="5"/>
      <c r="G21332" s="5"/>
    </row>
    <row r="21333" spans="1:7" ht="58.5" customHeight="1" x14ac:dyDescent="0.25">
      <c r="A21333" s="5" t="str">
        <f>"H0031030"</f>
        <v>H0031030</v>
      </c>
      <c r="B21333" s="5" t="str">
        <f t="shared" ref="B21333:B21396" si="1068">"LICENCIA DE ANTIVIRUS ESET ENDPOINT POR TRES (3) AÑOS - RENOVACIÓN"</f>
        <v>LICENCIA DE ANTIVIRUS ESET ENDPOINT POR TRES (3) AÑOS - RENOVACIÓN</v>
      </c>
      <c r="C21333" s="6">
        <v>50000</v>
      </c>
      <c r="D21333" s="5" t="s">
        <v>362</v>
      </c>
      <c r="E21333" s="5" t="str">
        <f t="shared" si="1067"/>
        <v>SISTEMAS-GLOBALTRONIK SAS-SERGIO PATIÑO</v>
      </c>
      <c r="F21333" s="5"/>
      <c r="G21333" s="5"/>
    </row>
    <row r="21334" spans="1:7" ht="58.5" customHeight="1" x14ac:dyDescent="0.25">
      <c r="A21334" s="5" t="str">
        <f>"H0031031"</f>
        <v>H0031031</v>
      </c>
      <c r="B21334" s="5" t="str">
        <f t="shared" si="1068"/>
        <v>LICENCIA DE ANTIVIRUS ESET ENDPOINT POR TRES (3) AÑOS - RENOVACIÓN</v>
      </c>
      <c r="C21334" s="6">
        <v>50000</v>
      </c>
      <c r="D21334" s="5" t="s">
        <v>362</v>
      </c>
      <c r="E21334" s="5" t="str">
        <f t="shared" si="1067"/>
        <v>SISTEMAS-GLOBALTRONIK SAS-SERGIO PATIÑO</v>
      </c>
      <c r="F21334" s="5"/>
      <c r="G21334" s="5"/>
    </row>
    <row r="21335" spans="1:7" ht="58.5" customHeight="1" x14ac:dyDescent="0.25">
      <c r="A21335" s="5" t="str">
        <f>"H0031032"</f>
        <v>H0031032</v>
      </c>
      <c r="B21335" s="5" t="str">
        <f t="shared" si="1068"/>
        <v>LICENCIA DE ANTIVIRUS ESET ENDPOINT POR TRES (3) AÑOS - RENOVACIÓN</v>
      </c>
      <c r="C21335" s="6">
        <v>50000</v>
      </c>
      <c r="D21335" s="5" t="s">
        <v>362</v>
      </c>
      <c r="E21335" s="5" t="str">
        <f t="shared" si="1067"/>
        <v>SISTEMAS-GLOBALTRONIK SAS-SERGIO PATIÑO</v>
      </c>
      <c r="F21335" s="5"/>
      <c r="G21335" s="5"/>
    </row>
    <row r="21336" spans="1:7" ht="58.5" customHeight="1" x14ac:dyDescent="0.25">
      <c r="A21336" s="5" t="str">
        <f>"H0031033"</f>
        <v>H0031033</v>
      </c>
      <c r="B21336" s="5" t="str">
        <f t="shared" si="1068"/>
        <v>LICENCIA DE ANTIVIRUS ESET ENDPOINT POR TRES (3) AÑOS - RENOVACIÓN</v>
      </c>
      <c r="C21336" s="6">
        <v>50000</v>
      </c>
      <c r="D21336" s="5" t="s">
        <v>883</v>
      </c>
      <c r="E21336" s="5" t="str">
        <f t="shared" si="1067"/>
        <v>SISTEMAS-GLOBALTRONIK SAS-SERGIO PATIÑO</v>
      </c>
      <c r="F21336" s="5"/>
      <c r="G21336" s="5"/>
    </row>
    <row r="21337" spans="1:7" ht="58.5" customHeight="1" x14ac:dyDescent="0.25">
      <c r="A21337" s="5" t="str">
        <f>"H0031034"</f>
        <v>H0031034</v>
      </c>
      <c r="B21337" s="5" t="str">
        <f t="shared" si="1068"/>
        <v>LICENCIA DE ANTIVIRUS ESET ENDPOINT POR TRES (3) AÑOS - RENOVACIÓN</v>
      </c>
      <c r="C21337" s="6">
        <v>50000</v>
      </c>
      <c r="D21337" s="5" t="s">
        <v>362</v>
      </c>
      <c r="E21337" s="5" t="str">
        <f t="shared" si="1067"/>
        <v>SISTEMAS-GLOBALTRONIK SAS-SERGIO PATIÑO</v>
      </c>
      <c r="F21337" s="5"/>
      <c r="G21337" s="5"/>
    </row>
    <row r="21338" spans="1:7" ht="58.5" customHeight="1" x14ac:dyDescent="0.25">
      <c r="A21338" s="5" t="str">
        <f>"H0031035"</f>
        <v>H0031035</v>
      </c>
      <c r="B21338" s="5" t="str">
        <f t="shared" si="1068"/>
        <v>LICENCIA DE ANTIVIRUS ESET ENDPOINT POR TRES (3) AÑOS - RENOVACIÓN</v>
      </c>
      <c r="C21338" s="6">
        <v>50000</v>
      </c>
      <c r="D21338" s="5" t="s">
        <v>362</v>
      </c>
      <c r="E21338" s="5" t="str">
        <f t="shared" si="1067"/>
        <v>SISTEMAS-GLOBALTRONIK SAS-SERGIO PATIÑO</v>
      </c>
      <c r="F21338" s="5"/>
      <c r="G21338" s="5"/>
    </row>
    <row r="21339" spans="1:7" ht="58.5" customHeight="1" x14ac:dyDescent="0.25">
      <c r="A21339" s="5" t="str">
        <f>"H0031036"</f>
        <v>H0031036</v>
      </c>
      <c r="B21339" s="5" t="str">
        <f t="shared" si="1068"/>
        <v>LICENCIA DE ANTIVIRUS ESET ENDPOINT POR TRES (3) AÑOS - RENOVACIÓN</v>
      </c>
      <c r="C21339" s="6">
        <v>50000</v>
      </c>
      <c r="D21339" s="5" t="s">
        <v>362</v>
      </c>
      <c r="E21339" s="5" t="str">
        <f t="shared" si="1067"/>
        <v>SISTEMAS-GLOBALTRONIK SAS-SERGIO PATIÑO</v>
      </c>
      <c r="F21339" s="5"/>
      <c r="G21339" s="5"/>
    </row>
    <row r="21340" spans="1:7" ht="58.5" customHeight="1" x14ac:dyDescent="0.25">
      <c r="A21340" s="5" t="str">
        <f>"H0031037"</f>
        <v>H0031037</v>
      </c>
      <c r="B21340" s="5" t="str">
        <f t="shared" si="1068"/>
        <v>LICENCIA DE ANTIVIRUS ESET ENDPOINT POR TRES (3) AÑOS - RENOVACIÓN</v>
      </c>
      <c r="C21340" s="6">
        <v>50000</v>
      </c>
      <c r="D21340" s="5" t="s">
        <v>362</v>
      </c>
      <c r="E21340" s="5" t="str">
        <f t="shared" si="1067"/>
        <v>SISTEMAS-GLOBALTRONIK SAS-SERGIO PATIÑO</v>
      </c>
      <c r="F21340" s="5"/>
      <c r="G21340" s="5"/>
    </row>
    <row r="21341" spans="1:7" ht="58.5" customHeight="1" x14ac:dyDescent="0.25">
      <c r="A21341" s="5" t="str">
        <f>"H0031038"</f>
        <v>H0031038</v>
      </c>
      <c r="B21341" s="5" t="str">
        <f t="shared" si="1068"/>
        <v>LICENCIA DE ANTIVIRUS ESET ENDPOINT POR TRES (3) AÑOS - RENOVACIÓN</v>
      </c>
      <c r="C21341" s="6">
        <v>50000</v>
      </c>
      <c r="D21341" s="5" t="s">
        <v>362</v>
      </c>
      <c r="E21341" s="5" t="str">
        <f t="shared" si="1067"/>
        <v>SISTEMAS-GLOBALTRONIK SAS-SERGIO PATIÑO</v>
      </c>
      <c r="F21341" s="5"/>
      <c r="G21341" s="5"/>
    </row>
    <row r="21342" spans="1:7" ht="58.5" customHeight="1" x14ac:dyDescent="0.25">
      <c r="A21342" s="5" t="str">
        <f>"H0031039"</f>
        <v>H0031039</v>
      </c>
      <c r="B21342" s="5" t="str">
        <f t="shared" si="1068"/>
        <v>LICENCIA DE ANTIVIRUS ESET ENDPOINT POR TRES (3) AÑOS - RENOVACIÓN</v>
      </c>
      <c r="C21342" s="6">
        <v>50000</v>
      </c>
      <c r="D21342" s="5" t="s">
        <v>362</v>
      </c>
      <c r="E21342" s="5" t="str">
        <f t="shared" si="1067"/>
        <v>SISTEMAS-GLOBALTRONIK SAS-SERGIO PATIÑO</v>
      </c>
      <c r="F21342" s="5"/>
      <c r="G21342" s="5"/>
    </row>
    <row r="21343" spans="1:7" ht="58.5" customHeight="1" x14ac:dyDescent="0.25">
      <c r="A21343" s="5" t="str">
        <f>"H0031040"</f>
        <v>H0031040</v>
      </c>
      <c r="B21343" s="5" t="str">
        <f t="shared" si="1068"/>
        <v>LICENCIA DE ANTIVIRUS ESET ENDPOINT POR TRES (3) AÑOS - RENOVACIÓN</v>
      </c>
      <c r="C21343" s="6">
        <v>50000</v>
      </c>
      <c r="D21343" s="5" t="s">
        <v>362</v>
      </c>
      <c r="E21343" s="5" t="str">
        <f t="shared" si="1067"/>
        <v>SISTEMAS-GLOBALTRONIK SAS-SERGIO PATIÑO</v>
      </c>
      <c r="F21343" s="5"/>
      <c r="G21343" s="5"/>
    </row>
    <row r="21344" spans="1:7" ht="58.5" customHeight="1" x14ac:dyDescent="0.25">
      <c r="A21344" s="5" t="str">
        <f>"H0031041"</f>
        <v>H0031041</v>
      </c>
      <c r="B21344" s="5" t="str">
        <f t="shared" si="1068"/>
        <v>LICENCIA DE ANTIVIRUS ESET ENDPOINT POR TRES (3) AÑOS - RENOVACIÓN</v>
      </c>
      <c r="C21344" s="6">
        <v>50000</v>
      </c>
      <c r="D21344" s="5" t="s">
        <v>362</v>
      </c>
      <c r="E21344" s="5" t="str">
        <f t="shared" si="1067"/>
        <v>SISTEMAS-GLOBALTRONIK SAS-SERGIO PATIÑO</v>
      </c>
      <c r="F21344" s="5"/>
      <c r="G21344" s="5"/>
    </row>
    <row r="21345" spans="1:7" ht="58.5" customHeight="1" x14ac:dyDescent="0.25">
      <c r="A21345" s="5" t="str">
        <f>"H0031042"</f>
        <v>H0031042</v>
      </c>
      <c r="B21345" s="5" t="str">
        <f t="shared" si="1068"/>
        <v>LICENCIA DE ANTIVIRUS ESET ENDPOINT POR TRES (3) AÑOS - RENOVACIÓN</v>
      </c>
      <c r="C21345" s="6">
        <v>50000</v>
      </c>
      <c r="D21345" s="5" t="s">
        <v>362</v>
      </c>
      <c r="E21345" s="5" t="str">
        <f t="shared" si="1067"/>
        <v>SISTEMAS-GLOBALTRONIK SAS-SERGIO PATIÑO</v>
      </c>
      <c r="F21345" s="5"/>
      <c r="G21345" s="5"/>
    </row>
    <row r="21346" spans="1:7" ht="58.5" customHeight="1" x14ac:dyDescent="0.25">
      <c r="A21346" s="5" t="str">
        <f>"H0031043"</f>
        <v>H0031043</v>
      </c>
      <c r="B21346" s="5" t="str">
        <f t="shared" si="1068"/>
        <v>LICENCIA DE ANTIVIRUS ESET ENDPOINT POR TRES (3) AÑOS - RENOVACIÓN</v>
      </c>
      <c r="C21346" s="6">
        <v>50000</v>
      </c>
      <c r="D21346" s="5" t="s">
        <v>362</v>
      </c>
      <c r="E21346" s="5" t="str">
        <f t="shared" si="1067"/>
        <v>SISTEMAS-GLOBALTRONIK SAS-SERGIO PATIÑO</v>
      </c>
      <c r="F21346" s="5"/>
      <c r="G21346" s="5"/>
    </row>
    <row r="21347" spans="1:7" ht="58.5" customHeight="1" x14ac:dyDescent="0.25">
      <c r="A21347" s="5" t="str">
        <f>"H0031044"</f>
        <v>H0031044</v>
      </c>
      <c r="B21347" s="5" t="str">
        <f t="shared" si="1068"/>
        <v>LICENCIA DE ANTIVIRUS ESET ENDPOINT POR TRES (3) AÑOS - RENOVACIÓN</v>
      </c>
      <c r="C21347" s="6">
        <v>50000</v>
      </c>
      <c r="D21347" s="5" t="s">
        <v>362</v>
      </c>
      <c r="E21347" s="5" t="str">
        <f t="shared" si="1067"/>
        <v>SISTEMAS-GLOBALTRONIK SAS-SERGIO PATIÑO</v>
      </c>
      <c r="F21347" s="5"/>
      <c r="G21347" s="5"/>
    </row>
    <row r="21348" spans="1:7" ht="58.5" customHeight="1" x14ac:dyDescent="0.25">
      <c r="A21348" s="5" t="str">
        <f>"H0031045"</f>
        <v>H0031045</v>
      </c>
      <c r="B21348" s="5" t="str">
        <f t="shared" si="1068"/>
        <v>LICENCIA DE ANTIVIRUS ESET ENDPOINT POR TRES (3) AÑOS - RENOVACIÓN</v>
      </c>
      <c r="C21348" s="6">
        <v>50000</v>
      </c>
      <c r="D21348" s="5" t="s">
        <v>362</v>
      </c>
      <c r="E21348" s="5" t="str">
        <f t="shared" si="1067"/>
        <v>SISTEMAS-GLOBALTRONIK SAS-SERGIO PATIÑO</v>
      </c>
      <c r="F21348" s="5"/>
      <c r="G21348" s="5"/>
    </row>
    <row r="21349" spans="1:7" ht="58.5" customHeight="1" x14ac:dyDescent="0.25">
      <c r="A21349" s="5" t="str">
        <f>"H0031046"</f>
        <v>H0031046</v>
      </c>
      <c r="B21349" s="5" t="str">
        <f t="shared" si="1068"/>
        <v>LICENCIA DE ANTIVIRUS ESET ENDPOINT POR TRES (3) AÑOS - RENOVACIÓN</v>
      </c>
      <c r="C21349" s="6">
        <v>50000</v>
      </c>
      <c r="D21349" s="5" t="s">
        <v>362</v>
      </c>
      <c r="E21349" s="5" t="str">
        <f t="shared" si="1067"/>
        <v>SISTEMAS-GLOBALTRONIK SAS-SERGIO PATIÑO</v>
      </c>
      <c r="F21349" s="5"/>
      <c r="G21349" s="5"/>
    </row>
    <row r="21350" spans="1:7" ht="58.5" customHeight="1" x14ac:dyDescent="0.25">
      <c r="A21350" s="5" t="str">
        <f>"H0031047"</f>
        <v>H0031047</v>
      </c>
      <c r="B21350" s="5" t="str">
        <f t="shared" si="1068"/>
        <v>LICENCIA DE ANTIVIRUS ESET ENDPOINT POR TRES (3) AÑOS - RENOVACIÓN</v>
      </c>
      <c r="C21350" s="6">
        <v>50000</v>
      </c>
      <c r="D21350" s="5" t="s">
        <v>362</v>
      </c>
      <c r="E21350" s="5" t="str">
        <f t="shared" si="1067"/>
        <v>SISTEMAS-GLOBALTRONIK SAS-SERGIO PATIÑO</v>
      </c>
      <c r="F21350" s="5"/>
      <c r="G21350" s="5"/>
    </row>
    <row r="21351" spans="1:7" ht="58.5" customHeight="1" x14ac:dyDescent="0.25">
      <c r="A21351" s="5" t="str">
        <f>"H0031048"</f>
        <v>H0031048</v>
      </c>
      <c r="B21351" s="5" t="str">
        <f t="shared" si="1068"/>
        <v>LICENCIA DE ANTIVIRUS ESET ENDPOINT POR TRES (3) AÑOS - RENOVACIÓN</v>
      </c>
      <c r="C21351" s="6">
        <v>50000</v>
      </c>
      <c r="D21351" s="5" t="s">
        <v>362</v>
      </c>
      <c r="E21351" s="5" t="str">
        <f t="shared" si="1067"/>
        <v>SISTEMAS-GLOBALTRONIK SAS-SERGIO PATIÑO</v>
      </c>
      <c r="F21351" s="5"/>
      <c r="G21351" s="5"/>
    </row>
    <row r="21352" spans="1:7" ht="58.5" customHeight="1" x14ac:dyDescent="0.25">
      <c r="A21352" s="5" t="str">
        <f>"H0031049"</f>
        <v>H0031049</v>
      </c>
      <c r="B21352" s="5" t="str">
        <f t="shared" si="1068"/>
        <v>LICENCIA DE ANTIVIRUS ESET ENDPOINT POR TRES (3) AÑOS - RENOVACIÓN</v>
      </c>
      <c r="C21352" s="6">
        <v>50000</v>
      </c>
      <c r="D21352" s="5" t="s">
        <v>362</v>
      </c>
      <c r="E21352" s="5" t="str">
        <f t="shared" si="1067"/>
        <v>SISTEMAS-GLOBALTRONIK SAS-SERGIO PATIÑO</v>
      </c>
      <c r="F21352" s="5"/>
      <c r="G21352" s="5"/>
    </row>
    <row r="21353" spans="1:7" ht="58.5" customHeight="1" x14ac:dyDescent="0.25">
      <c r="A21353" s="5" t="str">
        <f>"H0031050"</f>
        <v>H0031050</v>
      </c>
      <c r="B21353" s="5" t="str">
        <f t="shared" si="1068"/>
        <v>LICENCIA DE ANTIVIRUS ESET ENDPOINT POR TRES (3) AÑOS - RENOVACIÓN</v>
      </c>
      <c r="C21353" s="6">
        <v>50000</v>
      </c>
      <c r="D21353" s="5" t="s">
        <v>362</v>
      </c>
      <c r="E21353" s="5" t="str">
        <f t="shared" si="1067"/>
        <v>SISTEMAS-GLOBALTRONIK SAS-SERGIO PATIÑO</v>
      </c>
      <c r="F21353" s="5"/>
      <c r="G21353" s="5"/>
    </row>
    <row r="21354" spans="1:7" ht="58.5" customHeight="1" x14ac:dyDescent="0.25">
      <c r="A21354" s="5" t="str">
        <f>"H0031051"</f>
        <v>H0031051</v>
      </c>
      <c r="B21354" s="5" t="str">
        <f t="shared" si="1068"/>
        <v>LICENCIA DE ANTIVIRUS ESET ENDPOINT POR TRES (3) AÑOS - RENOVACIÓN</v>
      </c>
      <c r="C21354" s="6">
        <v>50000</v>
      </c>
      <c r="D21354" s="5" t="s">
        <v>362</v>
      </c>
      <c r="E21354" s="5" t="str">
        <f t="shared" si="1067"/>
        <v>SISTEMAS-GLOBALTRONIK SAS-SERGIO PATIÑO</v>
      </c>
      <c r="F21354" s="5"/>
      <c r="G21354" s="5"/>
    </row>
    <row r="21355" spans="1:7" ht="58.5" customHeight="1" x14ac:dyDescent="0.25">
      <c r="A21355" s="5" t="str">
        <f>"H0031052"</f>
        <v>H0031052</v>
      </c>
      <c r="B21355" s="5" t="str">
        <f t="shared" si="1068"/>
        <v>LICENCIA DE ANTIVIRUS ESET ENDPOINT POR TRES (3) AÑOS - RENOVACIÓN</v>
      </c>
      <c r="C21355" s="6">
        <v>50000</v>
      </c>
      <c r="D21355" s="5" t="s">
        <v>362</v>
      </c>
      <c r="E21355" s="5" t="str">
        <f t="shared" si="1067"/>
        <v>SISTEMAS-GLOBALTRONIK SAS-SERGIO PATIÑO</v>
      </c>
      <c r="F21355" s="5"/>
      <c r="G21355" s="5"/>
    </row>
    <row r="21356" spans="1:7" ht="58.5" customHeight="1" x14ac:dyDescent="0.25">
      <c r="A21356" s="5" t="str">
        <f>"H0031053"</f>
        <v>H0031053</v>
      </c>
      <c r="B21356" s="5" t="str">
        <f t="shared" si="1068"/>
        <v>LICENCIA DE ANTIVIRUS ESET ENDPOINT POR TRES (3) AÑOS - RENOVACIÓN</v>
      </c>
      <c r="C21356" s="6">
        <v>50000</v>
      </c>
      <c r="D21356" s="5" t="s">
        <v>362</v>
      </c>
      <c r="E21356" s="5" t="str">
        <f t="shared" si="1067"/>
        <v>SISTEMAS-GLOBALTRONIK SAS-SERGIO PATIÑO</v>
      </c>
      <c r="F21356" s="5"/>
      <c r="G21356" s="5"/>
    </row>
    <row r="21357" spans="1:7" ht="58.5" customHeight="1" x14ac:dyDescent="0.25">
      <c r="A21357" s="5" t="str">
        <f>"H0031054"</f>
        <v>H0031054</v>
      </c>
      <c r="B21357" s="5" t="str">
        <f t="shared" si="1068"/>
        <v>LICENCIA DE ANTIVIRUS ESET ENDPOINT POR TRES (3) AÑOS - RENOVACIÓN</v>
      </c>
      <c r="C21357" s="6">
        <v>50000</v>
      </c>
      <c r="D21357" s="5" t="s">
        <v>362</v>
      </c>
      <c r="E21357" s="5" t="str">
        <f t="shared" si="1067"/>
        <v>SISTEMAS-GLOBALTRONIK SAS-SERGIO PATIÑO</v>
      </c>
      <c r="F21357" s="5"/>
      <c r="G21357" s="5"/>
    </row>
    <row r="21358" spans="1:7" ht="58.5" customHeight="1" x14ac:dyDescent="0.25">
      <c r="A21358" s="5" t="str">
        <f>"H0031055"</f>
        <v>H0031055</v>
      </c>
      <c r="B21358" s="5" t="str">
        <f t="shared" si="1068"/>
        <v>LICENCIA DE ANTIVIRUS ESET ENDPOINT POR TRES (3) AÑOS - RENOVACIÓN</v>
      </c>
      <c r="C21358" s="6">
        <v>50000</v>
      </c>
      <c r="D21358" s="5" t="s">
        <v>362</v>
      </c>
      <c r="E21358" s="5" t="str">
        <f t="shared" si="1067"/>
        <v>SISTEMAS-GLOBALTRONIK SAS-SERGIO PATIÑO</v>
      </c>
      <c r="F21358" s="5"/>
      <c r="G21358" s="5"/>
    </row>
    <row r="21359" spans="1:7" ht="58.5" customHeight="1" x14ac:dyDescent="0.25">
      <c r="A21359" s="5" t="str">
        <f>"H0031056"</f>
        <v>H0031056</v>
      </c>
      <c r="B21359" s="5" t="str">
        <f t="shared" si="1068"/>
        <v>LICENCIA DE ANTIVIRUS ESET ENDPOINT POR TRES (3) AÑOS - RENOVACIÓN</v>
      </c>
      <c r="C21359" s="6">
        <v>50000</v>
      </c>
      <c r="D21359" s="5" t="s">
        <v>362</v>
      </c>
      <c r="E21359" s="5" t="str">
        <f t="shared" si="1067"/>
        <v>SISTEMAS-GLOBALTRONIK SAS-SERGIO PATIÑO</v>
      </c>
      <c r="F21359" s="5"/>
      <c r="G21359" s="5"/>
    </row>
    <row r="21360" spans="1:7" ht="58.5" customHeight="1" x14ac:dyDescent="0.25">
      <c r="A21360" s="5" t="str">
        <f>"H0031057"</f>
        <v>H0031057</v>
      </c>
      <c r="B21360" s="5" t="str">
        <f t="shared" si="1068"/>
        <v>LICENCIA DE ANTIVIRUS ESET ENDPOINT POR TRES (3) AÑOS - RENOVACIÓN</v>
      </c>
      <c r="C21360" s="6">
        <v>50000</v>
      </c>
      <c r="D21360" s="5" t="s">
        <v>362</v>
      </c>
      <c r="E21360" s="5" t="str">
        <f t="shared" si="1067"/>
        <v>SISTEMAS-GLOBALTRONIK SAS-SERGIO PATIÑO</v>
      </c>
      <c r="F21360" s="5"/>
      <c r="G21360" s="5"/>
    </row>
    <row r="21361" spans="1:7" ht="58.5" customHeight="1" x14ac:dyDescent="0.25">
      <c r="A21361" s="5" t="str">
        <f>"H0031058"</f>
        <v>H0031058</v>
      </c>
      <c r="B21361" s="5" t="str">
        <f t="shared" si="1068"/>
        <v>LICENCIA DE ANTIVIRUS ESET ENDPOINT POR TRES (3) AÑOS - RENOVACIÓN</v>
      </c>
      <c r="C21361" s="6">
        <v>50000</v>
      </c>
      <c r="D21361" s="5" t="s">
        <v>362</v>
      </c>
      <c r="E21361" s="5" t="str">
        <f t="shared" si="1067"/>
        <v>SISTEMAS-GLOBALTRONIK SAS-SERGIO PATIÑO</v>
      </c>
      <c r="F21361" s="5"/>
      <c r="G21361" s="5"/>
    </row>
    <row r="21362" spans="1:7" ht="58.5" customHeight="1" x14ac:dyDescent="0.25">
      <c r="A21362" s="5" t="str">
        <f>"H0031059"</f>
        <v>H0031059</v>
      </c>
      <c r="B21362" s="5" t="str">
        <f t="shared" si="1068"/>
        <v>LICENCIA DE ANTIVIRUS ESET ENDPOINT POR TRES (3) AÑOS - RENOVACIÓN</v>
      </c>
      <c r="C21362" s="6">
        <v>50000</v>
      </c>
      <c r="D21362" s="5" t="s">
        <v>362</v>
      </c>
      <c r="E21362" s="5" t="str">
        <f t="shared" si="1067"/>
        <v>SISTEMAS-GLOBALTRONIK SAS-SERGIO PATIÑO</v>
      </c>
      <c r="F21362" s="5"/>
      <c r="G21362" s="5"/>
    </row>
    <row r="21363" spans="1:7" ht="58.5" customHeight="1" x14ac:dyDescent="0.25">
      <c r="A21363" s="5" t="str">
        <f>"H0031060"</f>
        <v>H0031060</v>
      </c>
      <c r="B21363" s="5" t="str">
        <f t="shared" si="1068"/>
        <v>LICENCIA DE ANTIVIRUS ESET ENDPOINT POR TRES (3) AÑOS - RENOVACIÓN</v>
      </c>
      <c r="C21363" s="6">
        <v>50000</v>
      </c>
      <c r="D21363" s="5" t="s">
        <v>362</v>
      </c>
      <c r="E21363" s="5" t="str">
        <f t="shared" si="1067"/>
        <v>SISTEMAS-GLOBALTRONIK SAS-SERGIO PATIÑO</v>
      </c>
      <c r="F21363" s="5"/>
      <c r="G21363" s="5"/>
    </row>
    <row r="21364" spans="1:7" ht="58.5" customHeight="1" x14ac:dyDescent="0.25">
      <c r="A21364" s="5" t="str">
        <f>"H0031061"</f>
        <v>H0031061</v>
      </c>
      <c r="B21364" s="5" t="str">
        <f t="shared" si="1068"/>
        <v>LICENCIA DE ANTIVIRUS ESET ENDPOINT POR TRES (3) AÑOS - RENOVACIÓN</v>
      </c>
      <c r="C21364" s="6">
        <v>50000</v>
      </c>
      <c r="D21364" s="5" t="s">
        <v>362</v>
      </c>
      <c r="E21364" s="5" t="str">
        <f t="shared" si="1067"/>
        <v>SISTEMAS-GLOBALTRONIK SAS-SERGIO PATIÑO</v>
      </c>
      <c r="F21364" s="5"/>
      <c r="G21364" s="5"/>
    </row>
    <row r="21365" spans="1:7" ht="58.5" customHeight="1" x14ac:dyDescent="0.25">
      <c r="A21365" s="5" t="str">
        <f>"H0031062"</f>
        <v>H0031062</v>
      </c>
      <c r="B21365" s="5" t="str">
        <f t="shared" si="1068"/>
        <v>LICENCIA DE ANTIVIRUS ESET ENDPOINT POR TRES (3) AÑOS - RENOVACIÓN</v>
      </c>
      <c r="C21365" s="6">
        <v>50000</v>
      </c>
      <c r="D21365" s="5" t="s">
        <v>362</v>
      </c>
      <c r="E21365" s="5" t="str">
        <f t="shared" si="1067"/>
        <v>SISTEMAS-GLOBALTRONIK SAS-SERGIO PATIÑO</v>
      </c>
      <c r="F21365" s="5"/>
      <c r="G21365" s="5"/>
    </row>
    <row r="21366" spans="1:7" ht="58.5" customHeight="1" x14ac:dyDescent="0.25">
      <c r="A21366" s="5" t="str">
        <f>"H0031063"</f>
        <v>H0031063</v>
      </c>
      <c r="B21366" s="5" t="str">
        <f t="shared" si="1068"/>
        <v>LICENCIA DE ANTIVIRUS ESET ENDPOINT POR TRES (3) AÑOS - RENOVACIÓN</v>
      </c>
      <c r="C21366" s="6">
        <v>50000</v>
      </c>
      <c r="D21366" s="5" t="s">
        <v>362</v>
      </c>
      <c r="E21366" s="5" t="str">
        <f t="shared" si="1067"/>
        <v>SISTEMAS-GLOBALTRONIK SAS-SERGIO PATIÑO</v>
      </c>
      <c r="F21366" s="5"/>
      <c r="G21366" s="5"/>
    </row>
    <row r="21367" spans="1:7" ht="58.5" customHeight="1" x14ac:dyDescent="0.25">
      <c r="A21367" s="5" t="str">
        <f>"H0031064"</f>
        <v>H0031064</v>
      </c>
      <c r="B21367" s="5" t="str">
        <f t="shared" si="1068"/>
        <v>LICENCIA DE ANTIVIRUS ESET ENDPOINT POR TRES (3) AÑOS - RENOVACIÓN</v>
      </c>
      <c r="C21367" s="6">
        <v>50000</v>
      </c>
      <c r="D21367" s="5" t="s">
        <v>362</v>
      </c>
      <c r="E21367" s="5" t="str">
        <f t="shared" si="1067"/>
        <v>SISTEMAS-GLOBALTRONIK SAS-SERGIO PATIÑO</v>
      </c>
      <c r="F21367" s="5"/>
      <c r="G21367" s="5"/>
    </row>
    <row r="21368" spans="1:7" ht="58.5" customHeight="1" x14ac:dyDescent="0.25">
      <c r="A21368" s="5" t="str">
        <f>"H0031065"</f>
        <v>H0031065</v>
      </c>
      <c r="B21368" s="5" t="str">
        <f t="shared" si="1068"/>
        <v>LICENCIA DE ANTIVIRUS ESET ENDPOINT POR TRES (3) AÑOS - RENOVACIÓN</v>
      </c>
      <c r="C21368" s="6">
        <v>50000</v>
      </c>
      <c r="D21368" s="5" t="s">
        <v>362</v>
      </c>
      <c r="E21368" s="5" t="str">
        <f t="shared" si="1067"/>
        <v>SISTEMAS-GLOBALTRONIK SAS-SERGIO PATIÑO</v>
      </c>
      <c r="F21368" s="5"/>
      <c r="G21368" s="5"/>
    </row>
    <row r="21369" spans="1:7" ht="58.5" customHeight="1" x14ac:dyDescent="0.25">
      <c r="A21369" s="5" t="str">
        <f>"H0031066"</f>
        <v>H0031066</v>
      </c>
      <c r="B21369" s="5" t="str">
        <f t="shared" si="1068"/>
        <v>LICENCIA DE ANTIVIRUS ESET ENDPOINT POR TRES (3) AÑOS - RENOVACIÓN</v>
      </c>
      <c r="C21369" s="6">
        <v>50000</v>
      </c>
      <c r="D21369" s="5" t="s">
        <v>362</v>
      </c>
      <c r="E21369" s="5" t="str">
        <f t="shared" si="1067"/>
        <v>SISTEMAS-GLOBALTRONIK SAS-SERGIO PATIÑO</v>
      </c>
      <c r="F21369" s="5"/>
      <c r="G21369" s="5"/>
    </row>
    <row r="21370" spans="1:7" ht="58.5" customHeight="1" x14ac:dyDescent="0.25">
      <c r="A21370" s="5" t="str">
        <f>"H0031067"</f>
        <v>H0031067</v>
      </c>
      <c r="B21370" s="5" t="str">
        <f t="shared" si="1068"/>
        <v>LICENCIA DE ANTIVIRUS ESET ENDPOINT POR TRES (3) AÑOS - RENOVACIÓN</v>
      </c>
      <c r="C21370" s="6">
        <v>50000</v>
      </c>
      <c r="D21370" s="5" t="s">
        <v>362</v>
      </c>
      <c r="E21370" s="5" t="str">
        <f t="shared" si="1067"/>
        <v>SISTEMAS-GLOBALTRONIK SAS-SERGIO PATIÑO</v>
      </c>
      <c r="F21370" s="5"/>
      <c r="G21370" s="5"/>
    </row>
    <row r="21371" spans="1:7" ht="58.5" customHeight="1" x14ac:dyDescent="0.25">
      <c r="A21371" s="5" t="str">
        <f>"H0031068"</f>
        <v>H0031068</v>
      </c>
      <c r="B21371" s="5" t="str">
        <f t="shared" si="1068"/>
        <v>LICENCIA DE ANTIVIRUS ESET ENDPOINT POR TRES (3) AÑOS - RENOVACIÓN</v>
      </c>
      <c r="C21371" s="6">
        <v>50000</v>
      </c>
      <c r="D21371" s="5" t="s">
        <v>362</v>
      </c>
      <c r="E21371" s="5" t="str">
        <f t="shared" si="1067"/>
        <v>SISTEMAS-GLOBALTRONIK SAS-SERGIO PATIÑO</v>
      </c>
      <c r="F21371" s="5"/>
      <c r="G21371" s="5"/>
    </row>
    <row r="21372" spans="1:7" ht="58.5" customHeight="1" x14ac:dyDescent="0.25">
      <c r="A21372" s="5" t="str">
        <f>"H0031069"</f>
        <v>H0031069</v>
      </c>
      <c r="B21372" s="5" t="str">
        <f t="shared" si="1068"/>
        <v>LICENCIA DE ANTIVIRUS ESET ENDPOINT POR TRES (3) AÑOS - RENOVACIÓN</v>
      </c>
      <c r="C21372" s="6">
        <v>50000</v>
      </c>
      <c r="D21372" s="5" t="s">
        <v>362</v>
      </c>
      <c r="E21372" s="5" t="str">
        <f t="shared" si="1067"/>
        <v>SISTEMAS-GLOBALTRONIK SAS-SERGIO PATIÑO</v>
      </c>
      <c r="F21372" s="5"/>
      <c r="G21372" s="5"/>
    </row>
    <row r="21373" spans="1:7" ht="58.5" customHeight="1" x14ac:dyDescent="0.25">
      <c r="A21373" s="5" t="str">
        <f>"H0031070"</f>
        <v>H0031070</v>
      </c>
      <c r="B21373" s="5" t="str">
        <f t="shared" si="1068"/>
        <v>LICENCIA DE ANTIVIRUS ESET ENDPOINT POR TRES (3) AÑOS - RENOVACIÓN</v>
      </c>
      <c r="C21373" s="6">
        <v>50000</v>
      </c>
      <c r="D21373" s="5" t="s">
        <v>362</v>
      </c>
      <c r="E21373" s="5" t="str">
        <f t="shared" ref="E21373:E21436" si="1069">"SISTEMAS-GLOBALTRONIK SAS-SERGIO PATIÑO"</f>
        <v>SISTEMAS-GLOBALTRONIK SAS-SERGIO PATIÑO</v>
      </c>
      <c r="F21373" s="5"/>
      <c r="G21373" s="5"/>
    </row>
    <row r="21374" spans="1:7" ht="58.5" customHeight="1" x14ac:dyDescent="0.25">
      <c r="A21374" s="5" t="str">
        <f>"H0031071"</f>
        <v>H0031071</v>
      </c>
      <c r="B21374" s="5" t="str">
        <f t="shared" si="1068"/>
        <v>LICENCIA DE ANTIVIRUS ESET ENDPOINT POR TRES (3) AÑOS - RENOVACIÓN</v>
      </c>
      <c r="C21374" s="6">
        <v>50000</v>
      </c>
      <c r="D21374" s="5" t="s">
        <v>362</v>
      </c>
      <c r="E21374" s="5" t="str">
        <f t="shared" si="1069"/>
        <v>SISTEMAS-GLOBALTRONIK SAS-SERGIO PATIÑO</v>
      </c>
      <c r="F21374" s="5"/>
      <c r="G21374" s="5"/>
    </row>
    <row r="21375" spans="1:7" ht="58.5" customHeight="1" x14ac:dyDescent="0.25">
      <c r="A21375" s="5" t="str">
        <f>"H0031072"</f>
        <v>H0031072</v>
      </c>
      <c r="B21375" s="5" t="str">
        <f t="shared" si="1068"/>
        <v>LICENCIA DE ANTIVIRUS ESET ENDPOINT POR TRES (3) AÑOS - RENOVACIÓN</v>
      </c>
      <c r="C21375" s="6">
        <v>50000</v>
      </c>
      <c r="D21375" s="5" t="s">
        <v>362</v>
      </c>
      <c r="E21375" s="5" t="str">
        <f t="shared" si="1069"/>
        <v>SISTEMAS-GLOBALTRONIK SAS-SERGIO PATIÑO</v>
      </c>
      <c r="F21375" s="5"/>
      <c r="G21375" s="5"/>
    </row>
    <row r="21376" spans="1:7" ht="58.5" customHeight="1" x14ac:dyDescent="0.25">
      <c r="A21376" s="5" t="str">
        <f>"H0031073"</f>
        <v>H0031073</v>
      </c>
      <c r="B21376" s="5" t="str">
        <f t="shared" si="1068"/>
        <v>LICENCIA DE ANTIVIRUS ESET ENDPOINT POR TRES (3) AÑOS - RENOVACIÓN</v>
      </c>
      <c r="C21376" s="6">
        <v>50000</v>
      </c>
      <c r="D21376" s="5" t="s">
        <v>362</v>
      </c>
      <c r="E21376" s="5" t="str">
        <f t="shared" si="1069"/>
        <v>SISTEMAS-GLOBALTRONIK SAS-SERGIO PATIÑO</v>
      </c>
      <c r="F21376" s="5"/>
      <c r="G21376" s="5"/>
    </row>
    <row r="21377" spans="1:7" ht="58.5" customHeight="1" x14ac:dyDescent="0.25">
      <c r="A21377" s="5" t="str">
        <f>"H0031074"</f>
        <v>H0031074</v>
      </c>
      <c r="B21377" s="5" t="str">
        <f t="shared" si="1068"/>
        <v>LICENCIA DE ANTIVIRUS ESET ENDPOINT POR TRES (3) AÑOS - RENOVACIÓN</v>
      </c>
      <c r="C21377" s="6">
        <v>50000</v>
      </c>
      <c r="D21377" s="5" t="s">
        <v>362</v>
      </c>
      <c r="E21377" s="5" t="str">
        <f t="shared" si="1069"/>
        <v>SISTEMAS-GLOBALTRONIK SAS-SERGIO PATIÑO</v>
      </c>
      <c r="F21377" s="5"/>
      <c r="G21377" s="5"/>
    </row>
    <row r="21378" spans="1:7" ht="58.5" customHeight="1" x14ac:dyDescent="0.25">
      <c r="A21378" s="5" t="str">
        <f>"H0031075"</f>
        <v>H0031075</v>
      </c>
      <c r="B21378" s="5" t="str">
        <f t="shared" si="1068"/>
        <v>LICENCIA DE ANTIVIRUS ESET ENDPOINT POR TRES (3) AÑOS - RENOVACIÓN</v>
      </c>
      <c r="C21378" s="6">
        <v>50000</v>
      </c>
      <c r="D21378" s="5" t="s">
        <v>362</v>
      </c>
      <c r="E21378" s="5" t="str">
        <f t="shared" si="1069"/>
        <v>SISTEMAS-GLOBALTRONIK SAS-SERGIO PATIÑO</v>
      </c>
      <c r="F21378" s="5"/>
      <c r="G21378" s="5"/>
    </row>
    <row r="21379" spans="1:7" ht="58.5" customHeight="1" x14ac:dyDescent="0.25">
      <c r="A21379" s="5" t="str">
        <f>"H0031076"</f>
        <v>H0031076</v>
      </c>
      <c r="B21379" s="5" t="str">
        <f t="shared" si="1068"/>
        <v>LICENCIA DE ANTIVIRUS ESET ENDPOINT POR TRES (3) AÑOS - RENOVACIÓN</v>
      </c>
      <c r="C21379" s="6">
        <v>50000</v>
      </c>
      <c r="D21379" s="5" t="s">
        <v>362</v>
      </c>
      <c r="E21379" s="5" t="str">
        <f t="shared" si="1069"/>
        <v>SISTEMAS-GLOBALTRONIK SAS-SERGIO PATIÑO</v>
      </c>
      <c r="F21379" s="5"/>
      <c r="G21379" s="5"/>
    </row>
    <row r="21380" spans="1:7" ht="58.5" customHeight="1" x14ac:dyDescent="0.25">
      <c r="A21380" s="5" t="str">
        <f>"H0031077"</f>
        <v>H0031077</v>
      </c>
      <c r="B21380" s="5" t="str">
        <f t="shared" si="1068"/>
        <v>LICENCIA DE ANTIVIRUS ESET ENDPOINT POR TRES (3) AÑOS - RENOVACIÓN</v>
      </c>
      <c r="C21380" s="6">
        <v>50000</v>
      </c>
      <c r="D21380" s="5" t="s">
        <v>362</v>
      </c>
      <c r="E21380" s="5" t="str">
        <f t="shared" si="1069"/>
        <v>SISTEMAS-GLOBALTRONIK SAS-SERGIO PATIÑO</v>
      </c>
      <c r="F21380" s="5"/>
      <c r="G21380" s="5"/>
    </row>
    <row r="21381" spans="1:7" ht="58.5" customHeight="1" x14ac:dyDescent="0.25">
      <c r="A21381" s="5" t="str">
        <f>"H0031078"</f>
        <v>H0031078</v>
      </c>
      <c r="B21381" s="5" t="str">
        <f t="shared" si="1068"/>
        <v>LICENCIA DE ANTIVIRUS ESET ENDPOINT POR TRES (3) AÑOS - RENOVACIÓN</v>
      </c>
      <c r="C21381" s="6">
        <v>50000</v>
      </c>
      <c r="D21381" s="5" t="s">
        <v>362</v>
      </c>
      <c r="E21381" s="5" t="str">
        <f t="shared" si="1069"/>
        <v>SISTEMAS-GLOBALTRONIK SAS-SERGIO PATIÑO</v>
      </c>
      <c r="F21381" s="5"/>
      <c r="G21381" s="5"/>
    </row>
    <row r="21382" spans="1:7" ht="58.5" customHeight="1" x14ac:dyDescent="0.25">
      <c r="A21382" s="5" t="str">
        <f>"H0031079"</f>
        <v>H0031079</v>
      </c>
      <c r="B21382" s="5" t="str">
        <f t="shared" si="1068"/>
        <v>LICENCIA DE ANTIVIRUS ESET ENDPOINT POR TRES (3) AÑOS - RENOVACIÓN</v>
      </c>
      <c r="C21382" s="6">
        <v>50000</v>
      </c>
      <c r="D21382" s="5" t="s">
        <v>362</v>
      </c>
      <c r="E21382" s="5" t="str">
        <f t="shared" si="1069"/>
        <v>SISTEMAS-GLOBALTRONIK SAS-SERGIO PATIÑO</v>
      </c>
      <c r="F21382" s="5"/>
      <c r="G21382" s="5"/>
    </row>
    <row r="21383" spans="1:7" ht="58.5" customHeight="1" x14ac:dyDescent="0.25">
      <c r="A21383" s="5" t="str">
        <f>"H0031080"</f>
        <v>H0031080</v>
      </c>
      <c r="B21383" s="5" t="str">
        <f t="shared" si="1068"/>
        <v>LICENCIA DE ANTIVIRUS ESET ENDPOINT POR TRES (3) AÑOS - RENOVACIÓN</v>
      </c>
      <c r="C21383" s="6">
        <v>50000</v>
      </c>
      <c r="D21383" s="5" t="s">
        <v>362</v>
      </c>
      <c r="E21383" s="5" t="str">
        <f t="shared" si="1069"/>
        <v>SISTEMAS-GLOBALTRONIK SAS-SERGIO PATIÑO</v>
      </c>
      <c r="F21383" s="5"/>
      <c r="G21383" s="5"/>
    </row>
    <row r="21384" spans="1:7" ht="58.5" customHeight="1" x14ac:dyDescent="0.25">
      <c r="A21384" s="5" t="str">
        <f>"H0031081"</f>
        <v>H0031081</v>
      </c>
      <c r="B21384" s="5" t="str">
        <f t="shared" si="1068"/>
        <v>LICENCIA DE ANTIVIRUS ESET ENDPOINT POR TRES (3) AÑOS - RENOVACIÓN</v>
      </c>
      <c r="C21384" s="6">
        <v>50000</v>
      </c>
      <c r="D21384" s="5" t="s">
        <v>362</v>
      </c>
      <c r="E21384" s="5" t="str">
        <f t="shared" si="1069"/>
        <v>SISTEMAS-GLOBALTRONIK SAS-SERGIO PATIÑO</v>
      </c>
      <c r="F21384" s="5"/>
      <c r="G21384" s="5"/>
    </row>
    <row r="21385" spans="1:7" ht="58.5" customHeight="1" x14ac:dyDescent="0.25">
      <c r="A21385" s="5" t="str">
        <f>"H0031082"</f>
        <v>H0031082</v>
      </c>
      <c r="B21385" s="5" t="str">
        <f t="shared" si="1068"/>
        <v>LICENCIA DE ANTIVIRUS ESET ENDPOINT POR TRES (3) AÑOS - RENOVACIÓN</v>
      </c>
      <c r="C21385" s="6">
        <v>50000</v>
      </c>
      <c r="D21385" s="5" t="s">
        <v>362</v>
      </c>
      <c r="E21385" s="5" t="str">
        <f t="shared" si="1069"/>
        <v>SISTEMAS-GLOBALTRONIK SAS-SERGIO PATIÑO</v>
      </c>
      <c r="F21385" s="5"/>
      <c r="G21385" s="5"/>
    </row>
    <row r="21386" spans="1:7" ht="58.5" customHeight="1" x14ac:dyDescent="0.25">
      <c r="A21386" s="5" t="str">
        <f>"H0031083"</f>
        <v>H0031083</v>
      </c>
      <c r="B21386" s="5" t="str">
        <f t="shared" si="1068"/>
        <v>LICENCIA DE ANTIVIRUS ESET ENDPOINT POR TRES (3) AÑOS - RENOVACIÓN</v>
      </c>
      <c r="C21386" s="6">
        <v>50000</v>
      </c>
      <c r="D21386" s="5" t="s">
        <v>362</v>
      </c>
      <c r="E21386" s="5" t="str">
        <f t="shared" si="1069"/>
        <v>SISTEMAS-GLOBALTRONIK SAS-SERGIO PATIÑO</v>
      </c>
      <c r="F21386" s="5"/>
      <c r="G21386" s="5"/>
    </row>
    <row r="21387" spans="1:7" ht="58.5" customHeight="1" x14ac:dyDescent="0.25">
      <c r="A21387" s="5" t="str">
        <f>"H0031084"</f>
        <v>H0031084</v>
      </c>
      <c r="B21387" s="5" t="str">
        <f t="shared" si="1068"/>
        <v>LICENCIA DE ANTIVIRUS ESET ENDPOINT POR TRES (3) AÑOS - RENOVACIÓN</v>
      </c>
      <c r="C21387" s="6">
        <v>50000</v>
      </c>
      <c r="D21387" s="5" t="s">
        <v>362</v>
      </c>
      <c r="E21387" s="5" t="str">
        <f t="shared" si="1069"/>
        <v>SISTEMAS-GLOBALTRONIK SAS-SERGIO PATIÑO</v>
      </c>
      <c r="F21387" s="5"/>
      <c r="G21387" s="5"/>
    </row>
    <row r="21388" spans="1:7" ht="58.5" customHeight="1" x14ac:dyDescent="0.25">
      <c r="A21388" s="5" t="str">
        <f>"H0031085"</f>
        <v>H0031085</v>
      </c>
      <c r="B21388" s="5" t="str">
        <f t="shared" si="1068"/>
        <v>LICENCIA DE ANTIVIRUS ESET ENDPOINT POR TRES (3) AÑOS - RENOVACIÓN</v>
      </c>
      <c r="C21388" s="6">
        <v>50000</v>
      </c>
      <c r="D21388" s="5" t="s">
        <v>362</v>
      </c>
      <c r="E21388" s="5" t="str">
        <f t="shared" si="1069"/>
        <v>SISTEMAS-GLOBALTRONIK SAS-SERGIO PATIÑO</v>
      </c>
      <c r="F21388" s="5"/>
      <c r="G21388" s="5"/>
    </row>
    <row r="21389" spans="1:7" ht="58.5" customHeight="1" x14ac:dyDescent="0.25">
      <c r="A21389" s="5" t="str">
        <f>"H0031086"</f>
        <v>H0031086</v>
      </c>
      <c r="B21389" s="5" t="str">
        <f t="shared" si="1068"/>
        <v>LICENCIA DE ANTIVIRUS ESET ENDPOINT POR TRES (3) AÑOS - RENOVACIÓN</v>
      </c>
      <c r="C21389" s="6">
        <v>50000</v>
      </c>
      <c r="D21389" s="5" t="s">
        <v>362</v>
      </c>
      <c r="E21389" s="5" t="str">
        <f t="shared" si="1069"/>
        <v>SISTEMAS-GLOBALTRONIK SAS-SERGIO PATIÑO</v>
      </c>
      <c r="F21389" s="5"/>
      <c r="G21389" s="5"/>
    </row>
    <row r="21390" spans="1:7" ht="58.5" customHeight="1" x14ac:dyDescent="0.25">
      <c r="A21390" s="5" t="str">
        <f>"H0031087"</f>
        <v>H0031087</v>
      </c>
      <c r="B21390" s="5" t="str">
        <f t="shared" si="1068"/>
        <v>LICENCIA DE ANTIVIRUS ESET ENDPOINT POR TRES (3) AÑOS - RENOVACIÓN</v>
      </c>
      <c r="C21390" s="6">
        <v>50000</v>
      </c>
      <c r="D21390" s="5" t="s">
        <v>362</v>
      </c>
      <c r="E21390" s="5" t="str">
        <f t="shared" si="1069"/>
        <v>SISTEMAS-GLOBALTRONIK SAS-SERGIO PATIÑO</v>
      </c>
      <c r="F21390" s="5"/>
      <c r="G21390" s="5"/>
    </row>
    <row r="21391" spans="1:7" ht="58.5" customHeight="1" x14ac:dyDescent="0.25">
      <c r="A21391" s="5" t="str">
        <f>"H0031088"</f>
        <v>H0031088</v>
      </c>
      <c r="B21391" s="5" t="str">
        <f t="shared" si="1068"/>
        <v>LICENCIA DE ANTIVIRUS ESET ENDPOINT POR TRES (3) AÑOS - RENOVACIÓN</v>
      </c>
      <c r="C21391" s="6">
        <v>50000</v>
      </c>
      <c r="D21391" s="5" t="s">
        <v>362</v>
      </c>
      <c r="E21391" s="5" t="str">
        <f t="shared" si="1069"/>
        <v>SISTEMAS-GLOBALTRONIK SAS-SERGIO PATIÑO</v>
      </c>
      <c r="F21391" s="5"/>
      <c r="G21391" s="5"/>
    </row>
    <row r="21392" spans="1:7" ht="58.5" customHeight="1" x14ac:dyDescent="0.25">
      <c r="A21392" s="5" t="str">
        <f>"H0031089"</f>
        <v>H0031089</v>
      </c>
      <c r="B21392" s="5" t="str">
        <f t="shared" si="1068"/>
        <v>LICENCIA DE ANTIVIRUS ESET ENDPOINT POR TRES (3) AÑOS - RENOVACIÓN</v>
      </c>
      <c r="C21392" s="6">
        <v>50000</v>
      </c>
      <c r="D21392" s="5" t="s">
        <v>362</v>
      </c>
      <c r="E21392" s="5" t="str">
        <f t="shared" si="1069"/>
        <v>SISTEMAS-GLOBALTRONIK SAS-SERGIO PATIÑO</v>
      </c>
      <c r="F21392" s="5"/>
      <c r="G21392" s="5"/>
    </row>
    <row r="21393" spans="1:7" ht="58.5" customHeight="1" x14ac:dyDescent="0.25">
      <c r="A21393" s="5" t="str">
        <f>"H0031090"</f>
        <v>H0031090</v>
      </c>
      <c r="B21393" s="5" t="str">
        <f t="shared" si="1068"/>
        <v>LICENCIA DE ANTIVIRUS ESET ENDPOINT POR TRES (3) AÑOS - RENOVACIÓN</v>
      </c>
      <c r="C21393" s="6">
        <v>50000</v>
      </c>
      <c r="D21393" s="5" t="s">
        <v>362</v>
      </c>
      <c r="E21393" s="5" t="str">
        <f t="shared" si="1069"/>
        <v>SISTEMAS-GLOBALTRONIK SAS-SERGIO PATIÑO</v>
      </c>
      <c r="F21393" s="5"/>
      <c r="G21393" s="5"/>
    </row>
    <row r="21394" spans="1:7" ht="58.5" customHeight="1" x14ac:dyDescent="0.25">
      <c r="A21394" s="5" t="str">
        <f>"H0031091"</f>
        <v>H0031091</v>
      </c>
      <c r="B21394" s="5" t="str">
        <f t="shared" si="1068"/>
        <v>LICENCIA DE ANTIVIRUS ESET ENDPOINT POR TRES (3) AÑOS - RENOVACIÓN</v>
      </c>
      <c r="C21394" s="6">
        <v>50000</v>
      </c>
      <c r="D21394" s="5" t="s">
        <v>362</v>
      </c>
      <c r="E21394" s="5" t="str">
        <f t="shared" si="1069"/>
        <v>SISTEMAS-GLOBALTRONIK SAS-SERGIO PATIÑO</v>
      </c>
      <c r="F21394" s="5"/>
      <c r="G21394" s="5"/>
    </row>
    <row r="21395" spans="1:7" ht="58.5" customHeight="1" x14ac:dyDescent="0.25">
      <c r="A21395" s="5" t="str">
        <f>"H0031092"</f>
        <v>H0031092</v>
      </c>
      <c r="B21395" s="5" t="str">
        <f t="shared" si="1068"/>
        <v>LICENCIA DE ANTIVIRUS ESET ENDPOINT POR TRES (3) AÑOS - RENOVACIÓN</v>
      </c>
      <c r="C21395" s="6">
        <v>50000</v>
      </c>
      <c r="D21395" s="5" t="s">
        <v>362</v>
      </c>
      <c r="E21395" s="5" t="str">
        <f t="shared" si="1069"/>
        <v>SISTEMAS-GLOBALTRONIK SAS-SERGIO PATIÑO</v>
      </c>
      <c r="F21395" s="5"/>
      <c r="G21395" s="5"/>
    </row>
    <row r="21396" spans="1:7" ht="58.5" customHeight="1" x14ac:dyDescent="0.25">
      <c r="A21396" s="5" t="str">
        <f>"H0031093"</f>
        <v>H0031093</v>
      </c>
      <c r="B21396" s="5" t="str">
        <f t="shared" si="1068"/>
        <v>LICENCIA DE ANTIVIRUS ESET ENDPOINT POR TRES (3) AÑOS - RENOVACIÓN</v>
      </c>
      <c r="C21396" s="6">
        <v>50000</v>
      </c>
      <c r="D21396" s="5" t="s">
        <v>362</v>
      </c>
      <c r="E21396" s="5" t="str">
        <f t="shared" si="1069"/>
        <v>SISTEMAS-GLOBALTRONIK SAS-SERGIO PATIÑO</v>
      </c>
      <c r="F21396" s="5"/>
      <c r="G21396" s="5"/>
    </row>
    <row r="21397" spans="1:7" ht="58.5" customHeight="1" x14ac:dyDescent="0.25">
      <c r="A21397" s="5" t="str">
        <f>"H0031094"</f>
        <v>H0031094</v>
      </c>
      <c r="B21397" s="5" t="str">
        <f t="shared" ref="B21397:B21465" si="1070">"LICENCIA DE ANTIVIRUS ESET ENDPOINT POR TRES (3) AÑOS - RENOVACIÓN"</f>
        <v>LICENCIA DE ANTIVIRUS ESET ENDPOINT POR TRES (3) AÑOS - RENOVACIÓN</v>
      </c>
      <c r="C21397" s="6">
        <v>50000</v>
      </c>
      <c r="D21397" s="5" t="s">
        <v>362</v>
      </c>
      <c r="E21397" s="5" t="str">
        <f t="shared" si="1069"/>
        <v>SISTEMAS-GLOBALTRONIK SAS-SERGIO PATIÑO</v>
      </c>
      <c r="F21397" s="5"/>
      <c r="G21397" s="5"/>
    </row>
    <row r="21398" spans="1:7" ht="58.5" customHeight="1" x14ac:dyDescent="0.25">
      <c r="A21398" s="5" t="str">
        <f>"H0031095"</f>
        <v>H0031095</v>
      </c>
      <c r="B21398" s="5" t="str">
        <f t="shared" si="1070"/>
        <v>LICENCIA DE ANTIVIRUS ESET ENDPOINT POR TRES (3) AÑOS - RENOVACIÓN</v>
      </c>
      <c r="C21398" s="6">
        <v>50000</v>
      </c>
      <c r="D21398" s="5" t="s">
        <v>362</v>
      </c>
      <c r="E21398" s="5" t="str">
        <f t="shared" si="1069"/>
        <v>SISTEMAS-GLOBALTRONIK SAS-SERGIO PATIÑO</v>
      </c>
      <c r="F21398" s="5"/>
      <c r="G21398" s="5"/>
    </row>
    <row r="21399" spans="1:7" ht="58.5" customHeight="1" x14ac:dyDescent="0.25">
      <c r="A21399" s="5" t="str">
        <f>"H0031096"</f>
        <v>H0031096</v>
      </c>
      <c r="B21399" s="5" t="str">
        <f t="shared" si="1070"/>
        <v>LICENCIA DE ANTIVIRUS ESET ENDPOINT POR TRES (3) AÑOS - RENOVACIÓN</v>
      </c>
      <c r="C21399" s="6">
        <v>50000</v>
      </c>
      <c r="D21399" s="5" t="s">
        <v>362</v>
      </c>
      <c r="E21399" s="5" t="str">
        <f t="shared" si="1069"/>
        <v>SISTEMAS-GLOBALTRONIK SAS-SERGIO PATIÑO</v>
      </c>
      <c r="F21399" s="5"/>
      <c r="G21399" s="5"/>
    </row>
    <row r="21400" spans="1:7" ht="58.5" customHeight="1" x14ac:dyDescent="0.25">
      <c r="A21400" s="5" t="str">
        <f>"H0031097"</f>
        <v>H0031097</v>
      </c>
      <c r="B21400" s="5" t="str">
        <f t="shared" si="1070"/>
        <v>LICENCIA DE ANTIVIRUS ESET ENDPOINT POR TRES (3) AÑOS - RENOVACIÓN</v>
      </c>
      <c r="C21400" s="6">
        <v>50000</v>
      </c>
      <c r="D21400" s="5" t="s">
        <v>362</v>
      </c>
      <c r="E21400" s="5" t="str">
        <f t="shared" si="1069"/>
        <v>SISTEMAS-GLOBALTRONIK SAS-SERGIO PATIÑO</v>
      </c>
      <c r="F21400" s="5"/>
      <c r="G21400" s="5"/>
    </row>
    <row r="21401" spans="1:7" ht="58.5" customHeight="1" x14ac:dyDescent="0.25">
      <c r="A21401" s="5" t="str">
        <f>"H0031098"</f>
        <v>H0031098</v>
      </c>
      <c r="B21401" s="5" t="str">
        <f t="shared" si="1070"/>
        <v>LICENCIA DE ANTIVIRUS ESET ENDPOINT POR TRES (3) AÑOS - RENOVACIÓN</v>
      </c>
      <c r="C21401" s="6">
        <v>50000</v>
      </c>
      <c r="D21401" s="5" t="s">
        <v>362</v>
      </c>
      <c r="E21401" s="5" t="str">
        <f t="shared" si="1069"/>
        <v>SISTEMAS-GLOBALTRONIK SAS-SERGIO PATIÑO</v>
      </c>
      <c r="F21401" s="5"/>
      <c r="G21401" s="5"/>
    </row>
    <row r="21402" spans="1:7" ht="58.5" customHeight="1" x14ac:dyDescent="0.25">
      <c r="A21402" s="5" t="str">
        <f>"H0031099"</f>
        <v>H0031099</v>
      </c>
      <c r="B21402" s="5" t="str">
        <f t="shared" si="1070"/>
        <v>LICENCIA DE ANTIVIRUS ESET ENDPOINT POR TRES (3) AÑOS - RENOVACIÓN</v>
      </c>
      <c r="C21402" s="6">
        <v>50000</v>
      </c>
      <c r="D21402" s="5" t="s">
        <v>362</v>
      </c>
      <c r="E21402" s="5" t="str">
        <f t="shared" si="1069"/>
        <v>SISTEMAS-GLOBALTRONIK SAS-SERGIO PATIÑO</v>
      </c>
      <c r="F21402" s="5"/>
      <c r="G21402" s="5"/>
    </row>
    <row r="21403" spans="1:7" ht="58.5" customHeight="1" x14ac:dyDescent="0.25">
      <c r="A21403" s="5" t="str">
        <f>"H0031100"</f>
        <v>H0031100</v>
      </c>
      <c r="B21403" s="5" t="str">
        <f t="shared" si="1070"/>
        <v>LICENCIA DE ANTIVIRUS ESET ENDPOINT POR TRES (3) AÑOS - RENOVACIÓN</v>
      </c>
      <c r="C21403" s="6">
        <v>50000</v>
      </c>
      <c r="D21403" s="5" t="s">
        <v>362</v>
      </c>
      <c r="E21403" s="5" t="str">
        <f t="shared" si="1069"/>
        <v>SISTEMAS-GLOBALTRONIK SAS-SERGIO PATIÑO</v>
      </c>
      <c r="F21403" s="5"/>
      <c r="G21403" s="5"/>
    </row>
    <row r="21404" spans="1:7" ht="58.5" customHeight="1" x14ac:dyDescent="0.25">
      <c r="A21404" s="5" t="str">
        <f>"H0031101"</f>
        <v>H0031101</v>
      </c>
      <c r="B21404" s="5" t="str">
        <f t="shared" si="1070"/>
        <v>LICENCIA DE ANTIVIRUS ESET ENDPOINT POR TRES (3) AÑOS - RENOVACIÓN</v>
      </c>
      <c r="C21404" s="6">
        <v>50000</v>
      </c>
      <c r="D21404" s="5" t="s">
        <v>362</v>
      </c>
      <c r="E21404" s="5" t="str">
        <f t="shared" si="1069"/>
        <v>SISTEMAS-GLOBALTRONIK SAS-SERGIO PATIÑO</v>
      </c>
      <c r="F21404" s="5"/>
      <c r="G21404" s="5"/>
    </row>
    <row r="21405" spans="1:7" ht="58.5" customHeight="1" x14ac:dyDescent="0.25">
      <c r="A21405" s="5" t="str">
        <f>"H0031102"</f>
        <v>H0031102</v>
      </c>
      <c r="B21405" s="5" t="str">
        <f t="shared" si="1070"/>
        <v>LICENCIA DE ANTIVIRUS ESET ENDPOINT POR TRES (3) AÑOS - RENOVACIÓN</v>
      </c>
      <c r="C21405" s="6">
        <v>50000</v>
      </c>
      <c r="D21405" s="5" t="s">
        <v>362</v>
      </c>
      <c r="E21405" s="5" t="str">
        <f t="shared" si="1069"/>
        <v>SISTEMAS-GLOBALTRONIK SAS-SERGIO PATIÑO</v>
      </c>
      <c r="F21405" s="5"/>
      <c r="G21405" s="5"/>
    </row>
    <row r="21406" spans="1:7" ht="58.5" customHeight="1" x14ac:dyDescent="0.25">
      <c r="A21406" s="5" t="str">
        <f>"H0031103"</f>
        <v>H0031103</v>
      </c>
      <c r="B21406" s="5" t="str">
        <f t="shared" si="1070"/>
        <v>LICENCIA DE ANTIVIRUS ESET ENDPOINT POR TRES (3) AÑOS - RENOVACIÓN</v>
      </c>
      <c r="C21406" s="6">
        <v>50000</v>
      </c>
      <c r="D21406" s="5" t="s">
        <v>362</v>
      </c>
      <c r="E21406" s="5" t="str">
        <f t="shared" si="1069"/>
        <v>SISTEMAS-GLOBALTRONIK SAS-SERGIO PATIÑO</v>
      </c>
      <c r="F21406" s="5"/>
      <c r="G21406" s="5"/>
    </row>
    <row r="21407" spans="1:7" ht="58.5" customHeight="1" x14ac:dyDescent="0.25">
      <c r="A21407" s="5" t="str">
        <f>"H0031104"</f>
        <v>H0031104</v>
      </c>
      <c r="B21407" s="5" t="str">
        <f t="shared" si="1070"/>
        <v>LICENCIA DE ANTIVIRUS ESET ENDPOINT POR TRES (3) AÑOS - RENOVACIÓN</v>
      </c>
      <c r="C21407" s="6">
        <v>50000</v>
      </c>
      <c r="D21407" s="5" t="s">
        <v>362</v>
      </c>
      <c r="E21407" s="5" t="str">
        <f t="shared" si="1069"/>
        <v>SISTEMAS-GLOBALTRONIK SAS-SERGIO PATIÑO</v>
      </c>
      <c r="F21407" s="5"/>
      <c r="G21407" s="5"/>
    </row>
    <row r="21408" spans="1:7" ht="58.5" customHeight="1" x14ac:dyDescent="0.25">
      <c r="A21408" s="5" t="str">
        <f>"H0031105"</f>
        <v>H0031105</v>
      </c>
      <c r="B21408" s="5" t="str">
        <f t="shared" si="1070"/>
        <v>LICENCIA DE ANTIVIRUS ESET ENDPOINT POR TRES (3) AÑOS - RENOVACIÓN</v>
      </c>
      <c r="C21408" s="6">
        <v>50000</v>
      </c>
      <c r="D21408" s="5" t="s">
        <v>362</v>
      </c>
      <c r="E21408" s="5" t="str">
        <f t="shared" si="1069"/>
        <v>SISTEMAS-GLOBALTRONIK SAS-SERGIO PATIÑO</v>
      </c>
      <c r="F21408" s="5"/>
      <c r="G21408" s="5"/>
    </row>
    <row r="21409" spans="1:7" ht="58.5" customHeight="1" x14ac:dyDescent="0.25">
      <c r="A21409" s="5" t="str">
        <f>"H0031106"</f>
        <v>H0031106</v>
      </c>
      <c r="B21409" s="5" t="str">
        <f t="shared" si="1070"/>
        <v>LICENCIA DE ANTIVIRUS ESET ENDPOINT POR TRES (3) AÑOS - RENOVACIÓN</v>
      </c>
      <c r="C21409" s="6">
        <v>50000</v>
      </c>
      <c r="D21409" s="5" t="s">
        <v>362</v>
      </c>
      <c r="E21409" s="5" t="str">
        <f t="shared" si="1069"/>
        <v>SISTEMAS-GLOBALTRONIK SAS-SERGIO PATIÑO</v>
      </c>
      <c r="F21409" s="5"/>
      <c r="G21409" s="5"/>
    </row>
    <row r="21410" spans="1:7" ht="58.5" customHeight="1" x14ac:dyDescent="0.25">
      <c r="A21410" s="5" t="str">
        <f>"H0031107"</f>
        <v>H0031107</v>
      </c>
      <c r="B21410" s="5" t="str">
        <f t="shared" si="1070"/>
        <v>LICENCIA DE ANTIVIRUS ESET ENDPOINT POR TRES (3) AÑOS - RENOVACIÓN</v>
      </c>
      <c r="C21410" s="6">
        <v>50000</v>
      </c>
      <c r="D21410" s="5" t="s">
        <v>362</v>
      </c>
      <c r="E21410" s="5" t="str">
        <f t="shared" si="1069"/>
        <v>SISTEMAS-GLOBALTRONIK SAS-SERGIO PATIÑO</v>
      </c>
      <c r="F21410" s="5"/>
      <c r="G21410" s="5"/>
    </row>
    <row r="21411" spans="1:7" ht="58.5" customHeight="1" x14ac:dyDescent="0.25">
      <c r="A21411" s="5" t="str">
        <f>"H0031108"</f>
        <v>H0031108</v>
      </c>
      <c r="B21411" s="5" t="str">
        <f t="shared" si="1070"/>
        <v>LICENCIA DE ANTIVIRUS ESET ENDPOINT POR TRES (3) AÑOS - RENOVACIÓN</v>
      </c>
      <c r="C21411" s="6">
        <v>50000</v>
      </c>
      <c r="D21411" s="5" t="s">
        <v>362</v>
      </c>
      <c r="E21411" s="5" t="str">
        <f t="shared" si="1069"/>
        <v>SISTEMAS-GLOBALTRONIK SAS-SERGIO PATIÑO</v>
      </c>
      <c r="F21411" s="5"/>
      <c r="G21411" s="5"/>
    </row>
    <row r="21412" spans="1:7" ht="58.5" customHeight="1" x14ac:dyDescent="0.25">
      <c r="A21412" s="5" t="str">
        <f>"H0031109"</f>
        <v>H0031109</v>
      </c>
      <c r="B21412" s="5" t="str">
        <f t="shared" si="1070"/>
        <v>LICENCIA DE ANTIVIRUS ESET ENDPOINT POR TRES (3) AÑOS - RENOVACIÓN</v>
      </c>
      <c r="C21412" s="6">
        <v>50000</v>
      </c>
      <c r="D21412" s="5" t="s">
        <v>362</v>
      </c>
      <c r="E21412" s="5" t="str">
        <f t="shared" si="1069"/>
        <v>SISTEMAS-GLOBALTRONIK SAS-SERGIO PATIÑO</v>
      </c>
      <c r="F21412" s="5"/>
      <c r="G21412" s="5"/>
    </row>
    <row r="21413" spans="1:7" ht="58.5" customHeight="1" x14ac:dyDescent="0.25">
      <c r="A21413" s="5" t="str">
        <f>"H0031110"</f>
        <v>H0031110</v>
      </c>
      <c r="B21413" s="5" t="str">
        <f t="shared" si="1070"/>
        <v>LICENCIA DE ANTIVIRUS ESET ENDPOINT POR TRES (3) AÑOS - RENOVACIÓN</v>
      </c>
      <c r="C21413" s="6">
        <v>50000</v>
      </c>
      <c r="D21413" s="5" t="s">
        <v>362</v>
      </c>
      <c r="E21413" s="5" t="str">
        <f t="shared" si="1069"/>
        <v>SISTEMAS-GLOBALTRONIK SAS-SERGIO PATIÑO</v>
      </c>
      <c r="F21413" s="5"/>
      <c r="G21413" s="5"/>
    </row>
    <row r="21414" spans="1:7" ht="58.5" customHeight="1" x14ac:dyDescent="0.25">
      <c r="A21414" s="5" t="str">
        <f>"H0031111"</f>
        <v>H0031111</v>
      </c>
      <c r="B21414" s="5" t="str">
        <f t="shared" si="1070"/>
        <v>LICENCIA DE ANTIVIRUS ESET ENDPOINT POR TRES (3) AÑOS - RENOVACIÓN</v>
      </c>
      <c r="C21414" s="6">
        <v>50000</v>
      </c>
      <c r="D21414" s="5" t="s">
        <v>362</v>
      </c>
      <c r="E21414" s="5" t="str">
        <f t="shared" si="1069"/>
        <v>SISTEMAS-GLOBALTRONIK SAS-SERGIO PATIÑO</v>
      </c>
      <c r="F21414" s="5"/>
      <c r="G21414" s="5"/>
    </row>
    <row r="21415" spans="1:7" ht="58.5" customHeight="1" x14ac:dyDescent="0.25">
      <c r="A21415" s="5" t="str">
        <f>"H0031112"</f>
        <v>H0031112</v>
      </c>
      <c r="B21415" s="5" t="str">
        <f t="shared" si="1070"/>
        <v>LICENCIA DE ANTIVIRUS ESET ENDPOINT POR TRES (3) AÑOS - RENOVACIÓN</v>
      </c>
      <c r="C21415" s="6">
        <v>50000</v>
      </c>
      <c r="D21415" s="5" t="s">
        <v>362</v>
      </c>
      <c r="E21415" s="5" t="str">
        <f t="shared" si="1069"/>
        <v>SISTEMAS-GLOBALTRONIK SAS-SERGIO PATIÑO</v>
      </c>
      <c r="F21415" s="5"/>
      <c r="G21415" s="5"/>
    </row>
    <row r="21416" spans="1:7" ht="58.5" customHeight="1" x14ac:dyDescent="0.25">
      <c r="A21416" s="5" t="str">
        <f>"H0031113"</f>
        <v>H0031113</v>
      </c>
      <c r="B21416" s="5" t="str">
        <f t="shared" si="1070"/>
        <v>LICENCIA DE ANTIVIRUS ESET ENDPOINT POR TRES (3) AÑOS - RENOVACIÓN</v>
      </c>
      <c r="C21416" s="6">
        <v>50000</v>
      </c>
      <c r="D21416" s="5" t="s">
        <v>362</v>
      </c>
      <c r="E21416" s="5" t="str">
        <f t="shared" si="1069"/>
        <v>SISTEMAS-GLOBALTRONIK SAS-SERGIO PATIÑO</v>
      </c>
      <c r="F21416" s="5"/>
      <c r="G21416" s="5"/>
    </row>
    <row r="21417" spans="1:7" ht="58.5" customHeight="1" x14ac:dyDescent="0.25">
      <c r="A21417" s="5" t="str">
        <f>"H0031114"</f>
        <v>H0031114</v>
      </c>
      <c r="B21417" s="5" t="str">
        <f t="shared" si="1070"/>
        <v>LICENCIA DE ANTIVIRUS ESET ENDPOINT POR TRES (3) AÑOS - RENOVACIÓN</v>
      </c>
      <c r="C21417" s="6">
        <v>50000</v>
      </c>
      <c r="D21417" s="5" t="s">
        <v>362</v>
      </c>
      <c r="E21417" s="5" t="str">
        <f t="shared" si="1069"/>
        <v>SISTEMAS-GLOBALTRONIK SAS-SERGIO PATIÑO</v>
      </c>
      <c r="F21417" s="5"/>
      <c r="G21417" s="5"/>
    </row>
    <row r="21418" spans="1:7" ht="58.5" customHeight="1" x14ac:dyDescent="0.25">
      <c r="A21418" s="5" t="str">
        <f>"H0031115"</f>
        <v>H0031115</v>
      </c>
      <c r="B21418" s="5" t="str">
        <f t="shared" si="1070"/>
        <v>LICENCIA DE ANTIVIRUS ESET ENDPOINT POR TRES (3) AÑOS - RENOVACIÓN</v>
      </c>
      <c r="C21418" s="6">
        <v>50000</v>
      </c>
      <c r="D21418" s="5" t="s">
        <v>362</v>
      </c>
      <c r="E21418" s="5" t="str">
        <f t="shared" si="1069"/>
        <v>SISTEMAS-GLOBALTRONIK SAS-SERGIO PATIÑO</v>
      </c>
      <c r="F21418" s="5"/>
      <c r="G21418" s="5"/>
    </row>
    <row r="21419" spans="1:7" ht="58.5" customHeight="1" x14ac:dyDescent="0.25">
      <c r="A21419" s="5" t="str">
        <f>"H0031116"</f>
        <v>H0031116</v>
      </c>
      <c r="B21419" s="5" t="str">
        <f t="shared" si="1070"/>
        <v>LICENCIA DE ANTIVIRUS ESET ENDPOINT POR TRES (3) AÑOS - RENOVACIÓN</v>
      </c>
      <c r="C21419" s="6">
        <v>50000</v>
      </c>
      <c r="D21419" s="5" t="s">
        <v>362</v>
      </c>
      <c r="E21419" s="5" t="str">
        <f t="shared" si="1069"/>
        <v>SISTEMAS-GLOBALTRONIK SAS-SERGIO PATIÑO</v>
      </c>
      <c r="F21419" s="5"/>
      <c r="G21419" s="5"/>
    </row>
    <row r="21420" spans="1:7" ht="58.5" customHeight="1" x14ac:dyDescent="0.25">
      <c r="A21420" s="5" t="str">
        <f>"H0031117"</f>
        <v>H0031117</v>
      </c>
      <c r="B21420" s="5" t="str">
        <f t="shared" si="1070"/>
        <v>LICENCIA DE ANTIVIRUS ESET ENDPOINT POR TRES (3) AÑOS - RENOVACIÓN</v>
      </c>
      <c r="C21420" s="6">
        <v>50000</v>
      </c>
      <c r="D21420" s="5" t="s">
        <v>362</v>
      </c>
      <c r="E21420" s="5" t="str">
        <f t="shared" si="1069"/>
        <v>SISTEMAS-GLOBALTRONIK SAS-SERGIO PATIÑO</v>
      </c>
      <c r="F21420" s="5"/>
      <c r="G21420" s="5"/>
    </row>
    <row r="21421" spans="1:7" ht="58.5" customHeight="1" x14ac:dyDescent="0.25">
      <c r="A21421" s="5" t="str">
        <f>"H0031118"</f>
        <v>H0031118</v>
      </c>
      <c r="B21421" s="5" t="str">
        <f t="shared" si="1070"/>
        <v>LICENCIA DE ANTIVIRUS ESET ENDPOINT POR TRES (3) AÑOS - RENOVACIÓN</v>
      </c>
      <c r="C21421" s="6">
        <v>50000</v>
      </c>
      <c r="D21421" s="5" t="s">
        <v>362</v>
      </c>
      <c r="E21421" s="5" t="str">
        <f t="shared" si="1069"/>
        <v>SISTEMAS-GLOBALTRONIK SAS-SERGIO PATIÑO</v>
      </c>
      <c r="F21421" s="5"/>
      <c r="G21421" s="5"/>
    </row>
    <row r="21422" spans="1:7" ht="58.5" customHeight="1" x14ac:dyDescent="0.25">
      <c r="A21422" s="5" t="str">
        <f>"H0031119"</f>
        <v>H0031119</v>
      </c>
      <c r="B21422" s="5" t="str">
        <f t="shared" si="1070"/>
        <v>LICENCIA DE ANTIVIRUS ESET ENDPOINT POR TRES (3) AÑOS - RENOVACIÓN</v>
      </c>
      <c r="C21422" s="6">
        <v>50000</v>
      </c>
      <c r="D21422" s="5" t="s">
        <v>362</v>
      </c>
      <c r="E21422" s="5" t="str">
        <f t="shared" si="1069"/>
        <v>SISTEMAS-GLOBALTRONIK SAS-SERGIO PATIÑO</v>
      </c>
      <c r="F21422" s="5"/>
      <c r="G21422" s="5"/>
    </row>
    <row r="21423" spans="1:7" ht="58.5" customHeight="1" x14ac:dyDescent="0.25">
      <c r="A21423" s="5" t="str">
        <f>"H0031120"</f>
        <v>H0031120</v>
      </c>
      <c r="B21423" s="5" t="str">
        <f t="shared" si="1070"/>
        <v>LICENCIA DE ANTIVIRUS ESET ENDPOINT POR TRES (3) AÑOS - RENOVACIÓN</v>
      </c>
      <c r="C21423" s="6">
        <v>50000</v>
      </c>
      <c r="D21423" s="5" t="s">
        <v>362</v>
      </c>
      <c r="E21423" s="5" t="str">
        <f t="shared" si="1069"/>
        <v>SISTEMAS-GLOBALTRONIK SAS-SERGIO PATIÑO</v>
      </c>
      <c r="F21423" s="5"/>
      <c r="G21423" s="5"/>
    </row>
    <row r="21424" spans="1:7" ht="58.5" customHeight="1" x14ac:dyDescent="0.25">
      <c r="A21424" s="5" t="str">
        <f>"H0031121"</f>
        <v>H0031121</v>
      </c>
      <c r="B21424" s="5" t="str">
        <f t="shared" si="1070"/>
        <v>LICENCIA DE ANTIVIRUS ESET ENDPOINT POR TRES (3) AÑOS - RENOVACIÓN</v>
      </c>
      <c r="C21424" s="6">
        <v>50000</v>
      </c>
      <c r="D21424" s="5" t="s">
        <v>362</v>
      </c>
      <c r="E21424" s="5" t="str">
        <f t="shared" si="1069"/>
        <v>SISTEMAS-GLOBALTRONIK SAS-SERGIO PATIÑO</v>
      </c>
      <c r="F21424" s="5"/>
      <c r="G21424" s="5"/>
    </row>
    <row r="21425" spans="1:7" ht="58.5" customHeight="1" x14ac:dyDescent="0.25">
      <c r="A21425" s="5" t="str">
        <f>"H0031122"</f>
        <v>H0031122</v>
      </c>
      <c r="B21425" s="5" t="str">
        <f t="shared" si="1070"/>
        <v>LICENCIA DE ANTIVIRUS ESET ENDPOINT POR TRES (3) AÑOS - RENOVACIÓN</v>
      </c>
      <c r="C21425" s="6">
        <v>50000</v>
      </c>
      <c r="D21425" s="5" t="s">
        <v>362</v>
      </c>
      <c r="E21425" s="5" t="str">
        <f t="shared" si="1069"/>
        <v>SISTEMAS-GLOBALTRONIK SAS-SERGIO PATIÑO</v>
      </c>
      <c r="F21425" s="5"/>
      <c r="G21425" s="5"/>
    </row>
    <row r="21426" spans="1:7" ht="58.5" customHeight="1" x14ac:dyDescent="0.25">
      <c r="A21426" s="5" t="str">
        <f>"H0031123"</f>
        <v>H0031123</v>
      </c>
      <c r="B21426" s="5" t="str">
        <f t="shared" si="1070"/>
        <v>LICENCIA DE ANTIVIRUS ESET ENDPOINT POR TRES (3) AÑOS - RENOVACIÓN</v>
      </c>
      <c r="C21426" s="6">
        <v>50000</v>
      </c>
      <c r="D21426" s="5" t="s">
        <v>362</v>
      </c>
      <c r="E21426" s="5" t="str">
        <f t="shared" si="1069"/>
        <v>SISTEMAS-GLOBALTRONIK SAS-SERGIO PATIÑO</v>
      </c>
      <c r="F21426" s="5"/>
      <c r="G21426" s="5"/>
    </row>
    <row r="21427" spans="1:7" ht="58.5" customHeight="1" x14ac:dyDescent="0.25">
      <c r="A21427" s="5" t="str">
        <f>"H0031124"</f>
        <v>H0031124</v>
      </c>
      <c r="B21427" s="5" t="str">
        <f t="shared" si="1070"/>
        <v>LICENCIA DE ANTIVIRUS ESET ENDPOINT POR TRES (3) AÑOS - RENOVACIÓN</v>
      </c>
      <c r="C21427" s="6">
        <v>50000</v>
      </c>
      <c r="D21427" s="5" t="s">
        <v>362</v>
      </c>
      <c r="E21427" s="5" t="str">
        <f t="shared" si="1069"/>
        <v>SISTEMAS-GLOBALTRONIK SAS-SERGIO PATIÑO</v>
      </c>
      <c r="F21427" s="5"/>
      <c r="G21427" s="5"/>
    </row>
    <row r="21428" spans="1:7" ht="58.5" customHeight="1" x14ac:dyDescent="0.25">
      <c r="A21428" s="5" t="str">
        <f>"H0031125"</f>
        <v>H0031125</v>
      </c>
      <c r="B21428" s="5" t="str">
        <f t="shared" si="1070"/>
        <v>LICENCIA DE ANTIVIRUS ESET ENDPOINT POR TRES (3) AÑOS - RENOVACIÓN</v>
      </c>
      <c r="C21428" s="6">
        <v>50000</v>
      </c>
      <c r="D21428" s="5" t="s">
        <v>362</v>
      </c>
      <c r="E21428" s="5" t="str">
        <f t="shared" si="1069"/>
        <v>SISTEMAS-GLOBALTRONIK SAS-SERGIO PATIÑO</v>
      </c>
      <c r="F21428" s="5"/>
      <c r="G21428" s="5"/>
    </row>
    <row r="21429" spans="1:7" ht="58.5" customHeight="1" x14ac:dyDescent="0.25">
      <c r="A21429" s="5" t="str">
        <f>"H0031126"</f>
        <v>H0031126</v>
      </c>
      <c r="B21429" s="5" t="str">
        <f t="shared" si="1070"/>
        <v>LICENCIA DE ANTIVIRUS ESET ENDPOINT POR TRES (3) AÑOS - RENOVACIÓN</v>
      </c>
      <c r="C21429" s="6">
        <v>50000</v>
      </c>
      <c r="D21429" s="5" t="s">
        <v>362</v>
      </c>
      <c r="E21429" s="5" t="str">
        <f t="shared" si="1069"/>
        <v>SISTEMAS-GLOBALTRONIK SAS-SERGIO PATIÑO</v>
      </c>
      <c r="F21429" s="5"/>
      <c r="G21429" s="5"/>
    </row>
    <row r="21430" spans="1:7" ht="58.5" customHeight="1" x14ac:dyDescent="0.25">
      <c r="A21430" s="5" t="str">
        <f>"H0031127"</f>
        <v>H0031127</v>
      </c>
      <c r="B21430" s="5" t="str">
        <f t="shared" si="1070"/>
        <v>LICENCIA DE ANTIVIRUS ESET ENDPOINT POR TRES (3) AÑOS - RENOVACIÓN</v>
      </c>
      <c r="C21430" s="6">
        <v>50000</v>
      </c>
      <c r="D21430" s="5" t="s">
        <v>362</v>
      </c>
      <c r="E21430" s="5" t="str">
        <f t="shared" si="1069"/>
        <v>SISTEMAS-GLOBALTRONIK SAS-SERGIO PATIÑO</v>
      </c>
      <c r="F21430" s="5"/>
      <c r="G21430" s="5"/>
    </row>
    <row r="21431" spans="1:7" ht="58.5" customHeight="1" x14ac:dyDescent="0.25">
      <c r="A21431" s="5" t="str">
        <f>"H0031128"</f>
        <v>H0031128</v>
      </c>
      <c r="B21431" s="5" t="str">
        <f t="shared" si="1070"/>
        <v>LICENCIA DE ANTIVIRUS ESET ENDPOINT POR TRES (3) AÑOS - RENOVACIÓN</v>
      </c>
      <c r="C21431" s="6">
        <v>50000</v>
      </c>
      <c r="D21431" s="5" t="s">
        <v>362</v>
      </c>
      <c r="E21431" s="5" t="str">
        <f t="shared" si="1069"/>
        <v>SISTEMAS-GLOBALTRONIK SAS-SERGIO PATIÑO</v>
      </c>
      <c r="F21431" s="5"/>
      <c r="G21431" s="5"/>
    </row>
    <row r="21432" spans="1:7" ht="58.5" customHeight="1" x14ac:dyDescent="0.25">
      <c r="A21432" s="5" t="str">
        <f>"H0031129"</f>
        <v>H0031129</v>
      </c>
      <c r="B21432" s="5" t="str">
        <f t="shared" si="1070"/>
        <v>LICENCIA DE ANTIVIRUS ESET ENDPOINT POR TRES (3) AÑOS - RENOVACIÓN</v>
      </c>
      <c r="C21432" s="6">
        <v>50000</v>
      </c>
      <c r="D21432" s="5" t="s">
        <v>362</v>
      </c>
      <c r="E21432" s="5" t="str">
        <f t="shared" si="1069"/>
        <v>SISTEMAS-GLOBALTRONIK SAS-SERGIO PATIÑO</v>
      </c>
      <c r="F21432" s="5"/>
      <c r="G21432" s="5"/>
    </row>
    <row r="21433" spans="1:7" ht="58.5" customHeight="1" x14ac:dyDescent="0.25">
      <c r="A21433" s="5" t="str">
        <f>"H0031130"</f>
        <v>H0031130</v>
      </c>
      <c r="B21433" s="5" t="str">
        <f t="shared" si="1070"/>
        <v>LICENCIA DE ANTIVIRUS ESET ENDPOINT POR TRES (3) AÑOS - RENOVACIÓN</v>
      </c>
      <c r="C21433" s="6">
        <v>50000</v>
      </c>
      <c r="D21433" s="5" t="s">
        <v>362</v>
      </c>
      <c r="E21433" s="5" t="str">
        <f t="shared" si="1069"/>
        <v>SISTEMAS-GLOBALTRONIK SAS-SERGIO PATIÑO</v>
      </c>
      <c r="F21433" s="5"/>
      <c r="G21433" s="5"/>
    </row>
    <row r="21434" spans="1:7" ht="58.5" customHeight="1" x14ac:dyDescent="0.25">
      <c r="A21434" s="5" t="str">
        <f>"H0031131"</f>
        <v>H0031131</v>
      </c>
      <c r="B21434" s="5" t="str">
        <f t="shared" si="1070"/>
        <v>LICENCIA DE ANTIVIRUS ESET ENDPOINT POR TRES (3) AÑOS - RENOVACIÓN</v>
      </c>
      <c r="C21434" s="6">
        <v>50000</v>
      </c>
      <c r="D21434" s="5" t="s">
        <v>362</v>
      </c>
      <c r="E21434" s="5" t="str">
        <f t="shared" si="1069"/>
        <v>SISTEMAS-GLOBALTRONIK SAS-SERGIO PATIÑO</v>
      </c>
      <c r="F21434" s="5"/>
      <c r="G21434" s="5"/>
    </row>
    <row r="21435" spans="1:7" ht="58.5" customHeight="1" x14ac:dyDescent="0.25">
      <c r="A21435" s="5" t="str">
        <f>"H0031132"</f>
        <v>H0031132</v>
      </c>
      <c r="B21435" s="5" t="str">
        <f t="shared" si="1070"/>
        <v>LICENCIA DE ANTIVIRUS ESET ENDPOINT POR TRES (3) AÑOS - RENOVACIÓN</v>
      </c>
      <c r="C21435" s="6">
        <v>50000</v>
      </c>
      <c r="D21435" s="5" t="s">
        <v>362</v>
      </c>
      <c r="E21435" s="5" t="str">
        <f t="shared" si="1069"/>
        <v>SISTEMAS-GLOBALTRONIK SAS-SERGIO PATIÑO</v>
      </c>
      <c r="F21435" s="5"/>
      <c r="G21435" s="5"/>
    </row>
    <row r="21436" spans="1:7" ht="58.5" customHeight="1" x14ac:dyDescent="0.25">
      <c r="A21436" s="5" t="str">
        <f>"H0031133"</f>
        <v>H0031133</v>
      </c>
      <c r="B21436" s="5" t="str">
        <f t="shared" si="1070"/>
        <v>LICENCIA DE ANTIVIRUS ESET ENDPOINT POR TRES (3) AÑOS - RENOVACIÓN</v>
      </c>
      <c r="C21436" s="6">
        <v>50000</v>
      </c>
      <c r="D21436" s="5" t="s">
        <v>362</v>
      </c>
      <c r="E21436" s="5" t="str">
        <f t="shared" si="1069"/>
        <v>SISTEMAS-GLOBALTRONIK SAS-SERGIO PATIÑO</v>
      </c>
      <c r="F21436" s="5"/>
      <c r="G21436" s="5"/>
    </row>
    <row r="21437" spans="1:7" ht="58.5" customHeight="1" x14ac:dyDescent="0.25">
      <c r="A21437" s="5" t="str">
        <f>"H0031134"</f>
        <v>H0031134</v>
      </c>
      <c r="B21437" s="5" t="str">
        <f t="shared" si="1070"/>
        <v>LICENCIA DE ANTIVIRUS ESET ENDPOINT POR TRES (3) AÑOS - RENOVACIÓN</v>
      </c>
      <c r="C21437" s="6">
        <v>50000</v>
      </c>
      <c r="D21437" s="5" t="s">
        <v>362</v>
      </c>
      <c r="E21437" s="5" t="str">
        <f t="shared" ref="E21437:E21500" si="1071">"SISTEMAS-GLOBALTRONIK SAS-SERGIO PATIÑO"</f>
        <v>SISTEMAS-GLOBALTRONIK SAS-SERGIO PATIÑO</v>
      </c>
      <c r="F21437" s="5"/>
      <c r="G21437" s="5"/>
    </row>
    <row r="21438" spans="1:7" ht="58.5" customHeight="1" x14ac:dyDescent="0.25">
      <c r="A21438" s="5" t="str">
        <f>"H0031135"</f>
        <v>H0031135</v>
      </c>
      <c r="B21438" s="5" t="str">
        <f t="shared" si="1070"/>
        <v>LICENCIA DE ANTIVIRUS ESET ENDPOINT POR TRES (3) AÑOS - RENOVACIÓN</v>
      </c>
      <c r="C21438" s="6">
        <v>50000</v>
      </c>
      <c r="D21438" s="5" t="s">
        <v>362</v>
      </c>
      <c r="E21438" s="5" t="str">
        <f t="shared" si="1071"/>
        <v>SISTEMAS-GLOBALTRONIK SAS-SERGIO PATIÑO</v>
      </c>
      <c r="F21438" s="5"/>
      <c r="G21438" s="5"/>
    </row>
    <row r="21439" spans="1:7" ht="58.5" customHeight="1" x14ac:dyDescent="0.25">
      <c r="A21439" s="5" t="str">
        <f>"H0031136"</f>
        <v>H0031136</v>
      </c>
      <c r="B21439" s="5" t="str">
        <f t="shared" si="1070"/>
        <v>LICENCIA DE ANTIVIRUS ESET ENDPOINT POR TRES (3) AÑOS - RENOVACIÓN</v>
      </c>
      <c r="C21439" s="6">
        <v>50000</v>
      </c>
      <c r="D21439" s="5" t="s">
        <v>362</v>
      </c>
      <c r="E21439" s="5" t="str">
        <f t="shared" si="1071"/>
        <v>SISTEMAS-GLOBALTRONIK SAS-SERGIO PATIÑO</v>
      </c>
      <c r="F21439" s="5"/>
      <c r="G21439" s="5"/>
    </row>
    <row r="21440" spans="1:7" ht="58.5" customHeight="1" x14ac:dyDescent="0.25">
      <c r="A21440" s="5" t="str">
        <f>"H0031137"</f>
        <v>H0031137</v>
      </c>
      <c r="B21440" s="5" t="str">
        <f t="shared" si="1070"/>
        <v>LICENCIA DE ANTIVIRUS ESET ENDPOINT POR TRES (3) AÑOS - RENOVACIÓN</v>
      </c>
      <c r="C21440" s="6">
        <v>50000</v>
      </c>
      <c r="D21440" s="5" t="s">
        <v>362</v>
      </c>
      <c r="E21440" s="5" t="str">
        <f t="shared" si="1071"/>
        <v>SISTEMAS-GLOBALTRONIK SAS-SERGIO PATIÑO</v>
      </c>
      <c r="F21440" s="5"/>
      <c r="G21440" s="5"/>
    </row>
    <row r="21441" spans="1:7" ht="58.5" customHeight="1" x14ac:dyDescent="0.25">
      <c r="A21441" s="5" t="str">
        <f>"H0031138"</f>
        <v>H0031138</v>
      </c>
      <c r="B21441" s="5" t="str">
        <f t="shared" si="1070"/>
        <v>LICENCIA DE ANTIVIRUS ESET ENDPOINT POR TRES (3) AÑOS - RENOVACIÓN</v>
      </c>
      <c r="C21441" s="6">
        <v>50000</v>
      </c>
      <c r="D21441" s="5" t="s">
        <v>362</v>
      </c>
      <c r="E21441" s="5" t="str">
        <f t="shared" si="1071"/>
        <v>SISTEMAS-GLOBALTRONIK SAS-SERGIO PATIÑO</v>
      </c>
      <c r="F21441" s="5"/>
      <c r="G21441" s="5"/>
    </row>
    <row r="21442" spans="1:7" ht="58.5" customHeight="1" x14ac:dyDescent="0.25">
      <c r="A21442" s="5" t="str">
        <f>"H0031139"</f>
        <v>H0031139</v>
      </c>
      <c r="B21442" s="5" t="str">
        <f t="shared" si="1070"/>
        <v>LICENCIA DE ANTIVIRUS ESET ENDPOINT POR TRES (3) AÑOS - RENOVACIÓN</v>
      </c>
      <c r="C21442" s="6">
        <v>50000</v>
      </c>
      <c r="D21442" s="5" t="s">
        <v>362</v>
      </c>
      <c r="E21442" s="5" t="str">
        <f t="shared" si="1071"/>
        <v>SISTEMAS-GLOBALTRONIK SAS-SERGIO PATIÑO</v>
      </c>
      <c r="F21442" s="5"/>
      <c r="G21442" s="5"/>
    </row>
    <row r="21443" spans="1:7" ht="58.5" customHeight="1" x14ac:dyDescent="0.25">
      <c r="A21443" s="5" t="str">
        <f>"H0031140"</f>
        <v>H0031140</v>
      </c>
      <c r="B21443" s="5" t="str">
        <f t="shared" si="1070"/>
        <v>LICENCIA DE ANTIVIRUS ESET ENDPOINT POR TRES (3) AÑOS - RENOVACIÓN</v>
      </c>
      <c r="C21443" s="6">
        <v>50000</v>
      </c>
      <c r="D21443" s="5" t="s">
        <v>362</v>
      </c>
      <c r="E21443" s="5" t="str">
        <f t="shared" si="1071"/>
        <v>SISTEMAS-GLOBALTRONIK SAS-SERGIO PATIÑO</v>
      </c>
      <c r="F21443" s="5"/>
      <c r="G21443" s="5"/>
    </row>
    <row r="21444" spans="1:7" ht="58.5" customHeight="1" x14ac:dyDescent="0.25">
      <c r="A21444" s="5" t="str">
        <f>"H0031141"</f>
        <v>H0031141</v>
      </c>
      <c r="B21444" s="5" t="str">
        <f t="shared" si="1070"/>
        <v>LICENCIA DE ANTIVIRUS ESET ENDPOINT POR TRES (3) AÑOS - RENOVACIÓN</v>
      </c>
      <c r="C21444" s="6">
        <v>50000</v>
      </c>
      <c r="D21444" s="5" t="s">
        <v>362</v>
      </c>
      <c r="E21444" s="5" t="str">
        <f t="shared" si="1071"/>
        <v>SISTEMAS-GLOBALTRONIK SAS-SERGIO PATIÑO</v>
      </c>
      <c r="F21444" s="5"/>
      <c r="G21444" s="5"/>
    </row>
    <row r="21445" spans="1:7" ht="58.5" customHeight="1" x14ac:dyDescent="0.25">
      <c r="A21445" s="5" t="str">
        <f>"H0031142"</f>
        <v>H0031142</v>
      </c>
      <c r="B21445" s="5" t="str">
        <f t="shared" si="1070"/>
        <v>LICENCIA DE ANTIVIRUS ESET ENDPOINT POR TRES (3) AÑOS - RENOVACIÓN</v>
      </c>
      <c r="C21445" s="6">
        <v>50000</v>
      </c>
      <c r="D21445" s="5" t="s">
        <v>362</v>
      </c>
      <c r="E21445" s="5" t="str">
        <f t="shared" si="1071"/>
        <v>SISTEMAS-GLOBALTRONIK SAS-SERGIO PATIÑO</v>
      </c>
      <c r="F21445" s="5"/>
      <c r="G21445" s="5"/>
    </row>
    <row r="21446" spans="1:7" ht="58.5" customHeight="1" x14ac:dyDescent="0.25">
      <c r="A21446" s="5" t="str">
        <f>"H0031143"</f>
        <v>H0031143</v>
      </c>
      <c r="B21446" s="5" t="str">
        <f t="shared" si="1070"/>
        <v>LICENCIA DE ANTIVIRUS ESET ENDPOINT POR TRES (3) AÑOS - RENOVACIÓN</v>
      </c>
      <c r="C21446" s="6">
        <v>50000</v>
      </c>
      <c r="D21446" s="5" t="s">
        <v>362</v>
      </c>
      <c r="E21446" s="5" t="str">
        <f t="shared" si="1071"/>
        <v>SISTEMAS-GLOBALTRONIK SAS-SERGIO PATIÑO</v>
      </c>
      <c r="F21446" s="5"/>
      <c r="G21446" s="5"/>
    </row>
    <row r="21447" spans="1:7" ht="58.5" customHeight="1" x14ac:dyDescent="0.25">
      <c r="A21447" s="5" t="str">
        <f>"H0031144"</f>
        <v>H0031144</v>
      </c>
      <c r="B21447" s="5" t="str">
        <f t="shared" si="1070"/>
        <v>LICENCIA DE ANTIVIRUS ESET ENDPOINT POR TRES (3) AÑOS - RENOVACIÓN</v>
      </c>
      <c r="C21447" s="6">
        <v>50000</v>
      </c>
      <c r="D21447" s="5" t="s">
        <v>362</v>
      </c>
      <c r="E21447" s="5" t="str">
        <f t="shared" si="1071"/>
        <v>SISTEMAS-GLOBALTRONIK SAS-SERGIO PATIÑO</v>
      </c>
      <c r="F21447" s="5"/>
      <c r="G21447" s="5"/>
    </row>
    <row r="21448" spans="1:7" ht="58.5" customHeight="1" x14ac:dyDescent="0.25">
      <c r="A21448" s="5" t="str">
        <f>"H0031145"</f>
        <v>H0031145</v>
      </c>
      <c r="B21448" s="5" t="str">
        <f t="shared" si="1070"/>
        <v>LICENCIA DE ANTIVIRUS ESET ENDPOINT POR TRES (3) AÑOS - RENOVACIÓN</v>
      </c>
      <c r="C21448" s="6">
        <v>50000</v>
      </c>
      <c r="D21448" s="5" t="s">
        <v>362</v>
      </c>
      <c r="E21448" s="5" t="str">
        <f t="shared" si="1071"/>
        <v>SISTEMAS-GLOBALTRONIK SAS-SERGIO PATIÑO</v>
      </c>
      <c r="F21448" s="5"/>
      <c r="G21448" s="5"/>
    </row>
    <row r="21449" spans="1:7" ht="58.5" customHeight="1" x14ac:dyDescent="0.25">
      <c r="A21449" s="5" t="str">
        <f>"H0031146"</f>
        <v>H0031146</v>
      </c>
      <c r="B21449" s="5" t="str">
        <f t="shared" si="1070"/>
        <v>LICENCIA DE ANTIVIRUS ESET ENDPOINT POR TRES (3) AÑOS - RENOVACIÓN</v>
      </c>
      <c r="C21449" s="6">
        <v>50000</v>
      </c>
      <c r="D21449" s="5" t="s">
        <v>362</v>
      </c>
      <c r="E21449" s="5" t="str">
        <f t="shared" si="1071"/>
        <v>SISTEMAS-GLOBALTRONIK SAS-SERGIO PATIÑO</v>
      </c>
      <c r="F21449" s="5"/>
      <c r="G21449" s="5"/>
    </row>
    <row r="21450" spans="1:7" ht="58.5" customHeight="1" x14ac:dyDescent="0.25">
      <c r="A21450" s="5" t="str">
        <f>"H0031147"</f>
        <v>H0031147</v>
      </c>
      <c r="B21450" s="5" t="str">
        <f t="shared" si="1070"/>
        <v>LICENCIA DE ANTIVIRUS ESET ENDPOINT POR TRES (3) AÑOS - RENOVACIÓN</v>
      </c>
      <c r="C21450" s="6">
        <v>50000</v>
      </c>
      <c r="D21450" s="5" t="s">
        <v>362</v>
      </c>
      <c r="E21450" s="5" t="str">
        <f t="shared" si="1071"/>
        <v>SISTEMAS-GLOBALTRONIK SAS-SERGIO PATIÑO</v>
      </c>
      <c r="F21450" s="5"/>
      <c r="G21450" s="5"/>
    </row>
    <row r="21451" spans="1:7" ht="58.5" customHeight="1" x14ac:dyDescent="0.25">
      <c r="A21451" s="5" t="str">
        <f>"H0031148"</f>
        <v>H0031148</v>
      </c>
      <c r="B21451" s="5" t="str">
        <f t="shared" si="1070"/>
        <v>LICENCIA DE ANTIVIRUS ESET ENDPOINT POR TRES (3) AÑOS - RENOVACIÓN</v>
      </c>
      <c r="C21451" s="6">
        <v>50000</v>
      </c>
      <c r="D21451" s="5" t="s">
        <v>362</v>
      </c>
      <c r="E21451" s="5" t="str">
        <f t="shared" si="1071"/>
        <v>SISTEMAS-GLOBALTRONIK SAS-SERGIO PATIÑO</v>
      </c>
      <c r="F21451" s="5"/>
      <c r="G21451" s="5"/>
    </row>
    <row r="21452" spans="1:7" ht="58.5" customHeight="1" x14ac:dyDescent="0.25">
      <c r="A21452" s="5" t="str">
        <f>"H0031149"</f>
        <v>H0031149</v>
      </c>
      <c r="B21452" s="5" t="str">
        <f t="shared" si="1070"/>
        <v>LICENCIA DE ANTIVIRUS ESET ENDPOINT POR TRES (3) AÑOS - RENOVACIÓN</v>
      </c>
      <c r="C21452" s="6">
        <v>50000</v>
      </c>
      <c r="D21452" s="5" t="s">
        <v>362</v>
      </c>
      <c r="E21452" s="5" t="str">
        <f t="shared" si="1071"/>
        <v>SISTEMAS-GLOBALTRONIK SAS-SERGIO PATIÑO</v>
      </c>
      <c r="F21452" s="5"/>
      <c r="G21452" s="5"/>
    </row>
    <row r="21453" spans="1:7" ht="58.5" customHeight="1" x14ac:dyDescent="0.25">
      <c r="A21453" s="5" t="str">
        <f>"H0031150"</f>
        <v>H0031150</v>
      </c>
      <c r="B21453" s="5" t="str">
        <f t="shared" si="1070"/>
        <v>LICENCIA DE ANTIVIRUS ESET ENDPOINT POR TRES (3) AÑOS - RENOVACIÓN</v>
      </c>
      <c r="C21453" s="6">
        <v>50000</v>
      </c>
      <c r="D21453" s="5" t="s">
        <v>362</v>
      </c>
      <c r="E21453" s="5" t="str">
        <f t="shared" si="1071"/>
        <v>SISTEMAS-GLOBALTRONIK SAS-SERGIO PATIÑO</v>
      </c>
      <c r="F21453" s="5"/>
      <c r="G21453" s="5"/>
    </row>
    <row r="21454" spans="1:7" ht="58.5" customHeight="1" x14ac:dyDescent="0.25">
      <c r="A21454" s="5" t="str">
        <f>"H0031151"</f>
        <v>H0031151</v>
      </c>
      <c r="B21454" s="5" t="str">
        <f t="shared" si="1070"/>
        <v>LICENCIA DE ANTIVIRUS ESET ENDPOINT POR TRES (3) AÑOS - RENOVACIÓN</v>
      </c>
      <c r="C21454" s="6">
        <v>50000</v>
      </c>
      <c r="D21454" s="5" t="s">
        <v>362</v>
      </c>
      <c r="E21454" s="5" t="str">
        <f t="shared" si="1071"/>
        <v>SISTEMAS-GLOBALTRONIK SAS-SERGIO PATIÑO</v>
      </c>
      <c r="F21454" s="5"/>
      <c r="G21454" s="5"/>
    </row>
    <row r="21455" spans="1:7" ht="58.5" customHeight="1" x14ac:dyDescent="0.25">
      <c r="A21455" s="5" t="str">
        <f>"H0031152"</f>
        <v>H0031152</v>
      </c>
      <c r="B21455" s="5" t="str">
        <f t="shared" si="1070"/>
        <v>LICENCIA DE ANTIVIRUS ESET ENDPOINT POR TRES (3) AÑOS - RENOVACIÓN</v>
      </c>
      <c r="C21455" s="6">
        <v>50000</v>
      </c>
      <c r="D21455" s="5" t="s">
        <v>362</v>
      </c>
      <c r="E21455" s="5" t="str">
        <f t="shared" si="1071"/>
        <v>SISTEMAS-GLOBALTRONIK SAS-SERGIO PATIÑO</v>
      </c>
      <c r="F21455" s="5"/>
      <c r="G21455" s="5"/>
    </row>
    <row r="21456" spans="1:7" ht="58.5" customHeight="1" x14ac:dyDescent="0.25">
      <c r="A21456" s="5" t="str">
        <f>"H0031153"</f>
        <v>H0031153</v>
      </c>
      <c r="B21456" s="5" t="str">
        <f t="shared" si="1070"/>
        <v>LICENCIA DE ANTIVIRUS ESET ENDPOINT POR TRES (3) AÑOS - RENOVACIÓN</v>
      </c>
      <c r="C21456" s="6">
        <v>50000</v>
      </c>
      <c r="D21456" s="5" t="s">
        <v>362</v>
      </c>
      <c r="E21456" s="5" t="str">
        <f t="shared" si="1071"/>
        <v>SISTEMAS-GLOBALTRONIK SAS-SERGIO PATIÑO</v>
      </c>
      <c r="F21456" s="5"/>
      <c r="G21456" s="5"/>
    </row>
    <row r="21457" spans="1:7" ht="58.5" customHeight="1" x14ac:dyDescent="0.25">
      <c r="A21457" s="5" t="str">
        <f>"H0031154"</f>
        <v>H0031154</v>
      </c>
      <c r="B21457" s="5" t="str">
        <f t="shared" si="1070"/>
        <v>LICENCIA DE ANTIVIRUS ESET ENDPOINT POR TRES (3) AÑOS - RENOVACIÓN</v>
      </c>
      <c r="C21457" s="6">
        <v>50000</v>
      </c>
      <c r="D21457" s="5" t="s">
        <v>362</v>
      </c>
      <c r="E21457" s="5" t="str">
        <f t="shared" si="1071"/>
        <v>SISTEMAS-GLOBALTRONIK SAS-SERGIO PATIÑO</v>
      </c>
      <c r="F21457" s="5"/>
      <c r="G21457" s="5"/>
    </row>
    <row r="21458" spans="1:7" ht="58.5" customHeight="1" x14ac:dyDescent="0.25">
      <c r="A21458" s="5" t="str">
        <f>"H0031155"</f>
        <v>H0031155</v>
      </c>
      <c r="B21458" s="5" t="str">
        <f t="shared" si="1070"/>
        <v>LICENCIA DE ANTIVIRUS ESET ENDPOINT POR TRES (3) AÑOS - RENOVACIÓN</v>
      </c>
      <c r="C21458" s="6">
        <v>50000</v>
      </c>
      <c r="D21458" s="5" t="s">
        <v>362</v>
      </c>
      <c r="E21458" s="5" t="str">
        <f t="shared" si="1071"/>
        <v>SISTEMAS-GLOBALTRONIK SAS-SERGIO PATIÑO</v>
      </c>
      <c r="F21458" s="5"/>
      <c r="G21458" s="5"/>
    </row>
    <row r="21459" spans="1:7" ht="58.5" customHeight="1" x14ac:dyDescent="0.25">
      <c r="A21459" s="5" t="str">
        <f>"H0031156"</f>
        <v>H0031156</v>
      </c>
      <c r="B21459" s="5" t="str">
        <f t="shared" si="1070"/>
        <v>LICENCIA DE ANTIVIRUS ESET ENDPOINT POR TRES (3) AÑOS - RENOVACIÓN</v>
      </c>
      <c r="C21459" s="6">
        <v>50000</v>
      </c>
      <c r="D21459" s="5" t="s">
        <v>362</v>
      </c>
      <c r="E21459" s="5" t="str">
        <f t="shared" si="1071"/>
        <v>SISTEMAS-GLOBALTRONIK SAS-SERGIO PATIÑO</v>
      </c>
      <c r="F21459" s="5"/>
      <c r="G21459" s="5"/>
    </row>
    <row r="21460" spans="1:7" ht="58.5" customHeight="1" x14ac:dyDescent="0.25">
      <c r="A21460" s="5" t="str">
        <f>"H0031157"</f>
        <v>H0031157</v>
      </c>
      <c r="B21460" s="5" t="str">
        <f t="shared" si="1070"/>
        <v>LICENCIA DE ANTIVIRUS ESET ENDPOINT POR TRES (3) AÑOS - RENOVACIÓN</v>
      </c>
      <c r="C21460" s="6">
        <v>50000</v>
      </c>
      <c r="D21460" s="5" t="s">
        <v>362</v>
      </c>
      <c r="E21460" s="5" t="str">
        <f t="shared" si="1071"/>
        <v>SISTEMAS-GLOBALTRONIK SAS-SERGIO PATIÑO</v>
      </c>
      <c r="F21460" s="5"/>
      <c r="G21460" s="5"/>
    </row>
    <row r="21461" spans="1:7" ht="58.5" customHeight="1" x14ac:dyDescent="0.25">
      <c r="A21461" s="5" t="str">
        <f>"H0031158"</f>
        <v>H0031158</v>
      </c>
      <c r="B21461" s="5" t="str">
        <f t="shared" si="1070"/>
        <v>LICENCIA DE ANTIVIRUS ESET ENDPOINT POR TRES (3) AÑOS - RENOVACIÓN</v>
      </c>
      <c r="C21461" s="6">
        <v>50000</v>
      </c>
      <c r="D21461" s="5" t="s">
        <v>362</v>
      </c>
      <c r="E21461" s="5" t="str">
        <f t="shared" si="1071"/>
        <v>SISTEMAS-GLOBALTRONIK SAS-SERGIO PATIÑO</v>
      </c>
      <c r="F21461" s="5"/>
      <c r="G21461" s="5"/>
    </row>
    <row r="21462" spans="1:7" ht="58.5" customHeight="1" x14ac:dyDescent="0.25">
      <c r="A21462" s="5" t="str">
        <f>"H0031159"</f>
        <v>H0031159</v>
      </c>
      <c r="B21462" s="5" t="str">
        <f t="shared" si="1070"/>
        <v>LICENCIA DE ANTIVIRUS ESET ENDPOINT POR TRES (3) AÑOS - RENOVACIÓN</v>
      </c>
      <c r="C21462" s="6">
        <v>50000</v>
      </c>
      <c r="D21462" s="5" t="s">
        <v>362</v>
      </c>
      <c r="E21462" s="5" t="str">
        <f t="shared" si="1071"/>
        <v>SISTEMAS-GLOBALTRONIK SAS-SERGIO PATIÑO</v>
      </c>
      <c r="F21462" s="5"/>
      <c r="G21462" s="5"/>
    </row>
    <row r="21463" spans="1:7" ht="58.5" customHeight="1" x14ac:dyDescent="0.25">
      <c r="A21463" s="5" t="str">
        <f>"H0031160"</f>
        <v>H0031160</v>
      </c>
      <c r="B21463" s="5" t="str">
        <f t="shared" si="1070"/>
        <v>LICENCIA DE ANTIVIRUS ESET ENDPOINT POR TRES (3) AÑOS - RENOVACIÓN</v>
      </c>
      <c r="C21463" s="6">
        <v>50000</v>
      </c>
      <c r="D21463" s="5" t="s">
        <v>362</v>
      </c>
      <c r="E21463" s="5" t="str">
        <f t="shared" si="1071"/>
        <v>SISTEMAS-GLOBALTRONIK SAS-SERGIO PATIÑO</v>
      </c>
      <c r="F21463" s="5"/>
      <c r="G21463" s="5"/>
    </row>
    <row r="21464" spans="1:7" ht="58.5" customHeight="1" x14ac:dyDescent="0.25">
      <c r="A21464" s="5" t="str">
        <f>"H0031161"</f>
        <v>H0031161</v>
      </c>
      <c r="B21464" s="5" t="str">
        <f t="shared" si="1070"/>
        <v>LICENCIA DE ANTIVIRUS ESET ENDPOINT POR TRES (3) AÑOS - RENOVACIÓN</v>
      </c>
      <c r="C21464" s="6">
        <v>50000</v>
      </c>
      <c r="D21464" s="5" t="s">
        <v>362</v>
      </c>
      <c r="E21464" s="5" t="str">
        <f t="shared" si="1071"/>
        <v>SISTEMAS-GLOBALTRONIK SAS-SERGIO PATIÑO</v>
      </c>
      <c r="F21464" s="5"/>
      <c r="G21464" s="5"/>
    </row>
    <row r="21465" spans="1:7" ht="58.5" customHeight="1" x14ac:dyDescent="0.25">
      <c r="A21465" s="5" t="str">
        <f>"H0031162"</f>
        <v>H0031162</v>
      </c>
      <c r="B21465" s="5" t="str">
        <f t="shared" si="1070"/>
        <v>LICENCIA DE ANTIVIRUS ESET ENDPOINT POR TRES (3) AÑOS - RENOVACIÓN</v>
      </c>
      <c r="C21465" s="6">
        <v>50000</v>
      </c>
      <c r="D21465" s="5" t="s">
        <v>362</v>
      </c>
      <c r="E21465" s="5" t="str">
        <f t="shared" si="1071"/>
        <v>SISTEMAS-GLOBALTRONIK SAS-SERGIO PATIÑO</v>
      </c>
      <c r="F21465" s="5"/>
      <c r="G21465" s="5"/>
    </row>
    <row r="21466" spans="1:7" ht="58.5" customHeight="1" x14ac:dyDescent="0.25">
      <c r="A21466" s="5" t="str">
        <f>"H0031221"</f>
        <v>H0031221</v>
      </c>
      <c r="B2146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1466" s="6">
        <v>246036.99</v>
      </c>
      <c r="D21466" s="5" t="s">
        <v>103</v>
      </c>
      <c r="E21466" s="5" t="str">
        <f t="shared" si="1071"/>
        <v>SISTEMAS-GLOBALTRONIK SAS-SERGIO PATIÑO</v>
      </c>
      <c r="F21466" s="5"/>
      <c r="G21466" s="5"/>
    </row>
    <row r="21467" spans="1:7" ht="58.5" customHeight="1" x14ac:dyDescent="0.25">
      <c r="A21467" s="5" t="str">
        <f>"H0031226"</f>
        <v>H0031226</v>
      </c>
      <c r="B21467" s="5" t="str">
        <f>"Control Biométrico con Identificación por Huella, Tarjeta o PIN, Teclado Numérico, Pantalla LCD a Color, Anuncios por Voz, Comunicación TCP/IP, Administración por USB"</f>
        <v>Control Biométrico con Identificación por Huella, Tarjeta o PIN, Teclado Numérico, Pantalla LCD a Color, Anuncios por Voz, Comunicación TCP/IP, Administración por USB</v>
      </c>
      <c r="C21467" s="6">
        <v>1011500</v>
      </c>
      <c r="D21467" s="5" t="s">
        <v>884</v>
      </c>
      <c r="E21467" s="5" t="str">
        <f t="shared" si="1071"/>
        <v>SISTEMAS-GLOBALTRONIK SAS-SERGIO PATIÑO</v>
      </c>
      <c r="F21467" s="5"/>
      <c r="G21467" s="5"/>
    </row>
    <row r="21468" spans="1:7" ht="58.5" customHeight="1" x14ac:dyDescent="0.25">
      <c r="A21468" s="5" t="str">
        <f>"H0031227"</f>
        <v>H0031227</v>
      </c>
      <c r="B21468" s="5" t="str">
        <f>"Control Biométrico con Identificación por Huella, Tarjeta o PIN, Teclado Numérico, Pantalla LCD a Color, Anuncios por Voz, Comunicación TCP/IP, Administración por USB"</f>
        <v>Control Biométrico con Identificación por Huella, Tarjeta o PIN, Teclado Numérico, Pantalla LCD a Color, Anuncios por Voz, Comunicación TCP/IP, Administración por USB</v>
      </c>
      <c r="C21468" s="6">
        <v>1011500</v>
      </c>
      <c r="D21468" s="5" t="s">
        <v>103</v>
      </c>
      <c r="E21468" s="5" t="str">
        <f t="shared" si="1071"/>
        <v>SISTEMAS-GLOBALTRONIK SAS-SERGIO PATIÑO</v>
      </c>
      <c r="F21468" s="5"/>
      <c r="G21468" s="5"/>
    </row>
    <row r="21469" spans="1:7" ht="58.5" customHeight="1" x14ac:dyDescent="0.25">
      <c r="A21469" s="5" t="str">
        <f>"H0031320"</f>
        <v>H0031320</v>
      </c>
      <c r="B21469" s="5" t="str">
        <f>"COMPUTADOR TODO EN UNO LENOVO V410Z Ci5 4GBW 10 PRO (CODIGO DONACION)"</f>
        <v>COMPUTADOR TODO EN UNO LENOVO V410Z Ci5 4GBW 10 PRO (CODIGO DONACION)</v>
      </c>
      <c r="C21469" s="6">
        <v>3449215</v>
      </c>
      <c r="D21469" s="5" t="s">
        <v>104</v>
      </c>
      <c r="E21469" s="5" t="str">
        <f t="shared" si="1071"/>
        <v>SISTEMAS-GLOBALTRONIK SAS-SERGIO PATIÑO</v>
      </c>
      <c r="F21469" s="5"/>
      <c r="G21469" s="5"/>
    </row>
    <row r="21470" spans="1:7" ht="58.5" customHeight="1" x14ac:dyDescent="0.25">
      <c r="A21470" s="5" t="str">
        <f>"H0031395"</f>
        <v>H0031395</v>
      </c>
      <c r="B21470"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21470" s="6">
        <v>1178100</v>
      </c>
      <c r="D21470" s="5" t="s">
        <v>473</v>
      </c>
      <c r="E21470" s="5" t="str">
        <f t="shared" si="1071"/>
        <v>SISTEMAS-GLOBALTRONIK SAS-SERGIO PATIÑO</v>
      </c>
      <c r="F21470" s="5"/>
      <c r="G21470" s="5"/>
    </row>
    <row r="21471" spans="1:7" ht="58.5" customHeight="1" x14ac:dyDescent="0.25">
      <c r="A21471" s="5" t="str">
        <f>"H0031396"</f>
        <v>H0031396</v>
      </c>
      <c r="B21471"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21471" s="6">
        <v>1178100</v>
      </c>
      <c r="D21471" s="5" t="s">
        <v>473</v>
      </c>
      <c r="E21471" s="5" t="str">
        <f t="shared" si="1071"/>
        <v>SISTEMAS-GLOBALTRONIK SAS-SERGIO PATIÑO</v>
      </c>
      <c r="F21471" s="5"/>
      <c r="G21471" s="5"/>
    </row>
    <row r="21472" spans="1:7" ht="58.5" customHeight="1" x14ac:dyDescent="0.25">
      <c r="A21472" s="5" t="str">
        <f>"H0031397"</f>
        <v>H0031397</v>
      </c>
      <c r="B21472"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21472" s="6">
        <v>1178100</v>
      </c>
      <c r="D21472" s="5" t="s">
        <v>473</v>
      </c>
      <c r="E21472" s="5" t="str">
        <f t="shared" si="1071"/>
        <v>SISTEMAS-GLOBALTRONIK SAS-SERGIO PATIÑO</v>
      </c>
      <c r="F21472" s="5"/>
      <c r="G21472" s="5"/>
    </row>
    <row r="21473" spans="1:7" ht="58.5" customHeight="1" x14ac:dyDescent="0.25">
      <c r="A21473" s="5" t="str">
        <f>"H0031398"</f>
        <v>H0031398</v>
      </c>
      <c r="B21473"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21473" s="6">
        <v>1178100</v>
      </c>
      <c r="D21473" s="5" t="s">
        <v>473</v>
      </c>
      <c r="E21473" s="5" t="str">
        <f t="shared" si="1071"/>
        <v>SISTEMAS-GLOBALTRONIK SAS-SERGIO PATIÑO</v>
      </c>
      <c r="F21473" s="5"/>
      <c r="G21473" s="5"/>
    </row>
    <row r="21474" spans="1:7" ht="58.5" customHeight="1" x14ac:dyDescent="0.25">
      <c r="A21474" s="5" t="str">
        <f>"H0031401"</f>
        <v>H0031401</v>
      </c>
      <c r="B21474" s="5" t="str">
        <f>"UPS Online 1 KVA Monofásica de 5 Minutos. 110 Vac in 50-60 Hz NEMA 5-15P. 4 Salidas 110 Vac NEMA 5-15R. Display. Alarmas. Tarjeta de Red SNMP."</f>
        <v>UPS Online 1 KVA Monofásica de 5 Minutos. 110 Vac in 50-60 Hz NEMA 5-15P. 4 Salidas 110 Vac NEMA 5-15R. Display. Alarmas. Tarjeta de Red SNMP.</v>
      </c>
      <c r="C21474" s="6">
        <v>1178100</v>
      </c>
      <c r="D21474" s="5" t="s">
        <v>473</v>
      </c>
      <c r="E21474" s="5" t="str">
        <f t="shared" si="1071"/>
        <v>SISTEMAS-GLOBALTRONIK SAS-SERGIO PATIÑO</v>
      </c>
      <c r="F21474" s="5"/>
      <c r="G21474" s="5"/>
    </row>
    <row r="21475" spans="1:7" ht="58.5" customHeight="1" x14ac:dyDescent="0.25">
      <c r="A21475" s="5" t="str">
        <f>"H0031413"</f>
        <v>H0031413</v>
      </c>
      <c r="B21475" s="5" t="str">
        <f>"UPS Online 3 KVA Monofásica de 5 Minutos Para rack (vertical). 110 Vac in 50-60 Hz NEMA 5-30P. 110 Vac out NEMA 5-30R. Display. Alarmas. Tarjeta de Red SNMP."</f>
        <v>UPS Online 3 KVA Monofásica de 5 Minutos Para rack (vertical). 110 Vac in 50-60 Hz NEMA 5-30P. 110 Vac out NEMA 5-30R. Display. Alarmas. Tarjeta de Red SNMP.</v>
      </c>
      <c r="C21475" s="6">
        <v>2481150</v>
      </c>
      <c r="D21475" s="5" t="s">
        <v>473</v>
      </c>
      <c r="E21475" s="5" t="str">
        <f t="shared" si="1071"/>
        <v>SISTEMAS-GLOBALTRONIK SAS-SERGIO PATIÑO</v>
      </c>
      <c r="F21475" s="5"/>
      <c r="G21475" s="5"/>
    </row>
    <row r="21476" spans="1:7" ht="58.5" customHeight="1" x14ac:dyDescent="0.25">
      <c r="A21476" s="5" t="str">
        <f>"H0031415"</f>
        <v>H0031415</v>
      </c>
      <c r="B21476" s="5" t="str">
        <f>"UPS Online 3 KVA Monofásica de 5 Minutos Para rack (vertical). 110 Vac in 50-60 Hz NEMA 5-30P. 110 Vac out NEMA 5-30R. Display. Alarmas. Tarjeta de Red SNMP."</f>
        <v>UPS Online 3 KVA Monofásica de 5 Minutos Para rack (vertical). 110 Vac in 50-60 Hz NEMA 5-30P. 110 Vac out NEMA 5-30R. Display. Alarmas. Tarjeta de Red SNMP.</v>
      </c>
      <c r="C21476" s="6">
        <v>2481150</v>
      </c>
      <c r="D21476" s="5" t="s">
        <v>473</v>
      </c>
      <c r="E21476" s="5" t="str">
        <f t="shared" si="1071"/>
        <v>SISTEMAS-GLOBALTRONIK SAS-SERGIO PATIÑO</v>
      </c>
      <c r="F21476" s="5"/>
      <c r="G21476" s="5"/>
    </row>
    <row r="21477" spans="1:7" ht="58.5" customHeight="1" x14ac:dyDescent="0.25">
      <c r="A21477" s="5" t="str">
        <f>"H0031416"</f>
        <v>H0031416</v>
      </c>
      <c r="B21477" s="5" t="str">
        <f>"UPS Online 6 KVA Bifásica 5 Minutos Para rack (vertical). 208 Vac in 50-60 Hz. 208 Vac out. Display. Alarmas. Tarjeta de Red SNMP."</f>
        <v>UPS Online 6 KVA Bifásica 5 Minutos Para rack (vertical). 208 Vac in 50-60 Hz. 208 Vac out. Display. Alarmas. Tarjeta de Red SNMP.</v>
      </c>
      <c r="C21477" s="6">
        <v>7163800</v>
      </c>
      <c r="D21477" s="5" t="s">
        <v>473</v>
      </c>
      <c r="E21477" s="5" t="str">
        <f t="shared" si="1071"/>
        <v>SISTEMAS-GLOBALTRONIK SAS-SERGIO PATIÑO</v>
      </c>
      <c r="F21477" s="5"/>
      <c r="G21477" s="5"/>
    </row>
    <row r="21478" spans="1:7" ht="58.5" customHeight="1" x14ac:dyDescent="0.25">
      <c r="A21478" s="5" t="str">
        <f>"H0031420"</f>
        <v>H0031420</v>
      </c>
      <c r="B21478" s="5" t="str">
        <f>"UPS Online 10 KVA Trifásica 5 Minutos. 208 Vac in 50-60 Hz. 208 Vac out. Banco de baterías. Display. Alarmas. Tarjeta de Red SNMP."</f>
        <v>UPS Online 10 KVA Trifásica 5 Minutos. 208 Vac in 50-60 Hz. 208 Vac out. Banco de baterías. Display. Alarmas. Tarjeta de Red SNMP.</v>
      </c>
      <c r="C21478" s="6">
        <v>13673100</v>
      </c>
      <c r="D21478" s="5" t="s">
        <v>473</v>
      </c>
      <c r="E21478" s="5" t="str">
        <f t="shared" si="1071"/>
        <v>SISTEMAS-GLOBALTRONIK SAS-SERGIO PATIÑO</v>
      </c>
      <c r="F21478" s="5"/>
      <c r="G21478" s="5"/>
    </row>
    <row r="21479" spans="1:7" ht="58.5" customHeight="1" x14ac:dyDescent="0.25">
      <c r="A21479" s="5" t="str">
        <f>"H0031421"</f>
        <v>H0031421</v>
      </c>
      <c r="B21479" s="5" t="str">
        <f>"UPS Online 10 KVA Trifásica 5 Minutos. 208 Vac in 50-60 Hz. 208 Vac out. Banco de baterías. Display. Alarmas. Tarjeta de Red SNMP."</f>
        <v>UPS Online 10 KVA Trifásica 5 Minutos. 208 Vac in 50-60 Hz. 208 Vac out. Banco de baterías. Display. Alarmas. Tarjeta de Red SNMP.</v>
      </c>
      <c r="C21479" s="6">
        <v>13673100</v>
      </c>
      <c r="D21479" s="5" t="s">
        <v>473</v>
      </c>
      <c r="E21479" s="5" t="str">
        <f t="shared" si="1071"/>
        <v>SISTEMAS-GLOBALTRONIK SAS-SERGIO PATIÑO</v>
      </c>
      <c r="F21479" s="5"/>
      <c r="G21479" s="5"/>
    </row>
    <row r="21480" spans="1:7" ht="58.5" customHeight="1" x14ac:dyDescent="0.25">
      <c r="A21480" s="5" t="str">
        <f>"H0031506"</f>
        <v>H0031506</v>
      </c>
      <c r="B21480" s="5" t="str">
        <f>"Fortigate 300E. 18 puertos RJ45 x 1GB ports, 16 x GE SFP slots, SPU NP6 and CP9 hardware accelerated; 3 años 24x7 FortiCare and FortiGuard Unified (UTM) Protection: 24x7 FortiCare plus Application Control, IPS, AV, Web Filtering and Antispam, FortiSandbox"&amp; " Cloud"</f>
        <v>Fortigate 300E. 18 puertos RJ45 x 1GB ports, 16 x GE SFP slots, SPU NP6 and CP9 hardware accelerated; 3 años 24x7 FortiCare and FortiGuard Unified (UTM) Protection: 24x7 FortiCare plus Application Control, IPS, AV, Web Filtering and Antispam, FortiSandbox Cloud</v>
      </c>
      <c r="C21480" s="6">
        <v>21216407.780000001</v>
      </c>
      <c r="D21480" s="5" t="s">
        <v>16</v>
      </c>
      <c r="E21480" s="5" t="str">
        <f t="shared" si="1071"/>
        <v>SISTEMAS-GLOBALTRONIK SAS-SERGIO PATIÑO</v>
      </c>
      <c r="F21480" s="5"/>
      <c r="G21480" s="5"/>
    </row>
    <row r="21481" spans="1:7" ht="58.5" customHeight="1" x14ac:dyDescent="0.25">
      <c r="A21481" s="5" t="str">
        <f>"H0031507"</f>
        <v>H0031507</v>
      </c>
      <c r="B21481" s="5" t="str">
        <f>"Fortigate 300E. 18 puertos RJ45 x 1GB ports, 16 x GE SFP slots, SPU NP6 and CP9 hardware accelerated; 3 años 24x7 FortiCare and FortiGuard Unified (UTM) Protection: 24x7 FortiCare plus Application Control, IPS, AV, Web Filtering and Antispam, FortiSandbox"&amp; " Cloud"</f>
        <v>Fortigate 300E. 18 puertos RJ45 x 1GB ports, 16 x GE SFP slots, SPU NP6 and CP9 hardware accelerated; 3 años 24x7 FortiCare and FortiGuard Unified (UTM) Protection: 24x7 FortiCare plus Application Control, IPS, AV, Web Filtering and Antispam, FortiSandbox Cloud</v>
      </c>
      <c r="C21481" s="6">
        <v>21216407.780000001</v>
      </c>
      <c r="D21481" s="5" t="s">
        <v>16</v>
      </c>
      <c r="E21481" s="5" t="str">
        <f t="shared" si="1071"/>
        <v>SISTEMAS-GLOBALTRONIK SAS-SERGIO PATIÑO</v>
      </c>
      <c r="F21481" s="5"/>
      <c r="G21481" s="5"/>
    </row>
    <row r="21482" spans="1:7" ht="58.5" customHeight="1" x14ac:dyDescent="0.25">
      <c r="A21482" s="5" t="str">
        <f>"H0031519"</f>
        <v>H0031519</v>
      </c>
      <c r="B21482" s="5" t="s">
        <v>329</v>
      </c>
      <c r="C21482" s="6">
        <v>326041.09999999998</v>
      </c>
      <c r="D21482" s="5" t="s">
        <v>16</v>
      </c>
      <c r="E21482" s="5" t="str">
        <f t="shared" si="1071"/>
        <v>SISTEMAS-GLOBALTRONIK SAS-SERGIO PATIÑO</v>
      </c>
      <c r="F21482" s="5"/>
      <c r="G21482" s="5"/>
    </row>
    <row r="21483" spans="1:7" ht="58.5" customHeight="1" x14ac:dyDescent="0.25">
      <c r="A21483" s="5" t="str">
        <f>"H0031526"</f>
        <v>H0031526</v>
      </c>
      <c r="B21483" s="5" t="s">
        <v>221</v>
      </c>
      <c r="C21483" s="6">
        <v>375382.64</v>
      </c>
      <c r="D21483" s="5" t="s">
        <v>16</v>
      </c>
      <c r="E21483" s="5" t="str">
        <f t="shared" si="1071"/>
        <v>SISTEMAS-GLOBALTRONIK SAS-SERGIO PATIÑO</v>
      </c>
      <c r="F21483" s="5"/>
      <c r="G21483" s="5"/>
    </row>
    <row r="21484" spans="1:7" ht="58.5" customHeight="1" x14ac:dyDescent="0.25">
      <c r="A21484" s="5" t="str">
        <f>"H0031527"</f>
        <v>H0031527</v>
      </c>
      <c r="B21484" s="5" t="s">
        <v>221</v>
      </c>
      <c r="C21484" s="6">
        <v>375382.64</v>
      </c>
      <c r="D21484" s="5" t="s">
        <v>16</v>
      </c>
      <c r="E21484" s="5" t="str">
        <f t="shared" si="1071"/>
        <v>SISTEMAS-GLOBALTRONIK SAS-SERGIO PATIÑO</v>
      </c>
      <c r="F21484" s="5"/>
      <c r="G21484" s="5"/>
    </row>
    <row r="21485" spans="1:7" ht="58.5" customHeight="1" x14ac:dyDescent="0.25">
      <c r="A21485" s="5" t="str">
        <f>"H0031528"</f>
        <v>H0031528</v>
      </c>
      <c r="B21485" s="5" t="s">
        <v>221</v>
      </c>
      <c r="C21485" s="6">
        <v>375382.64</v>
      </c>
      <c r="D21485" s="5" t="s">
        <v>16</v>
      </c>
      <c r="E21485" s="5" t="str">
        <f t="shared" si="1071"/>
        <v>SISTEMAS-GLOBALTRONIK SAS-SERGIO PATIÑO</v>
      </c>
      <c r="F21485" s="5"/>
      <c r="G21485" s="5"/>
    </row>
    <row r="21486" spans="1:7" ht="58.5" customHeight="1" x14ac:dyDescent="0.25">
      <c r="A21486" s="5" t="str">
        <f>"H0031529"</f>
        <v>H0031529</v>
      </c>
      <c r="B21486" s="5" t="s">
        <v>221</v>
      </c>
      <c r="C21486" s="6">
        <v>375382.64</v>
      </c>
      <c r="D21486" s="5" t="s">
        <v>16</v>
      </c>
      <c r="E21486" s="5" t="str">
        <f t="shared" si="1071"/>
        <v>SISTEMAS-GLOBALTRONIK SAS-SERGIO PATIÑO</v>
      </c>
      <c r="F21486" s="5"/>
      <c r="G21486" s="5"/>
    </row>
    <row r="21487" spans="1:7" ht="58.5" customHeight="1" x14ac:dyDescent="0.25">
      <c r="A21487" s="5" t="str">
        <f>"H0031530"</f>
        <v>H0031530</v>
      </c>
      <c r="B21487" s="5" t="s">
        <v>221</v>
      </c>
      <c r="C21487" s="6">
        <v>375382.64</v>
      </c>
      <c r="D21487" s="5" t="s">
        <v>16</v>
      </c>
      <c r="E21487" s="5" t="str">
        <f t="shared" si="1071"/>
        <v>SISTEMAS-GLOBALTRONIK SAS-SERGIO PATIÑO</v>
      </c>
      <c r="F21487" s="5"/>
      <c r="G21487" s="5"/>
    </row>
    <row r="21488" spans="1:7" ht="58.5" customHeight="1" x14ac:dyDescent="0.25">
      <c r="A21488" s="5" t="str">
        <f>"H0031531"</f>
        <v>H0031531</v>
      </c>
      <c r="B21488" s="5" t="s">
        <v>221</v>
      </c>
      <c r="C21488" s="6">
        <v>375382.64</v>
      </c>
      <c r="D21488" s="5" t="s">
        <v>16</v>
      </c>
      <c r="E21488" s="5" t="str">
        <f t="shared" si="1071"/>
        <v>SISTEMAS-GLOBALTRONIK SAS-SERGIO PATIÑO</v>
      </c>
      <c r="F21488" s="5"/>
      <c r="G21488" s="5"/>
    </row>
    <row r="21489" spans="1:7" ht="58.5" customHeight="1" x14ac:dyDescent="0.25">
      <c r="A21489" s="5" t="str">
        <f>"H0031532"</f>
        <v>H0031532</v>
      </c>
      <c r="B21489" s="5" t="s">
        <v>221</v>
      </c>
      <c r="C21489" s="6">
        <v>375382.64</v>
      </c>
      <c r="D21489" s="5" t="s">
        <v>16</v>
      </c>
      <c r="E21489" s="5" t="str">
        <f t="shared" si="1071"/>
        <v>SISTEMAS-GLOBALTRONIK SAS-SERGIO PATIÑO</v>
      </c>
      <c r="F21489" s="5"/>
      <c r="G21489" s="5"/>
    </row>
    <row r="21490" spans="1:7" ht="58.5" customHeight="1" x14ac:dyDescent="0.25">
      <c r="A21490" s="5" t="str">
        <f>"H0031533"</f>
        <v>H0031533</v>
      </c>
      <c r="B21490" s="5" t="s">
        <v>221</v>
      </c>
      <c r="C21490" s="6">
        <v>375382.64</v>
      </c>
      <c r="D21490" s="5" t="s">
        <v>16</v>
      </c>
      <c r="E21490" s="5" t="str">
        <f t="shared" si="1071"/>
        <v>SISTEMAS-GLOBALTRONIK SAS-SERGIO PATIÑO</v>
      </c>
      <c r="F21490" s="5"/>
      <c r="G21490" s="5"/>
    </row>
    <row r="21491" spans="1:7" ht="58.5" customHeight="1" x14ac:dyDescent="0.25">
      <c r="A21491" s="5" t="str">
        <f>"H0031534"</f>
        <v>H0031534</v>
      </c>
      <c r="B21491" s="5" t="s">
        <v>221</v>
      </c>
      <c r="C21491" s="6">
        <v>375382.64</v>
      </c>
      <c r="D21491" s="5" t="s">
        <v>16</v>
      </c>
      <c r="E21491" s="5" t="str">
        <f t="shared" si="1071"/>
        <v>SISTEMAS-GLOBALTRONIK SAS-SERGIO PATIÑO</v>
      </c>
      <c r="F21491" s="5"/>
      <c r="G21491" s="5"/>
    </row>
    <row r="21492" spans="1:7" ht="58.5" customHeight="1" x14ac:dyDescent="0.25">
      <c r="A21492" s="5" t="str">
        <f>"H0031535"</f>
        <v>H0031535</v>
      </c>
      <c r="B21492" s="5" t="s">
        <v>221</v>
      </c>
      <c r="C21492" s="6">
        <v>375382.64</v>
      </c>
      <c r="D21492" s="5" t="s">
        <v>16</v>
      </c>
      <c r="E21492" s="5" t="str">
        <f t="shared" si="1071"/>
        <v>SISTEMAS-GLOBALTRONIK SAS-SERGIO PATIÑO</v>
      </c>
      <c r="F21492" s="5"/>
      <c r="G21492" s="5"/>
    </row>
    <row r="21493" spans="1:7" ht="58.5" customHeight="1" x14ac:dyDescent="0.25">
      <c r="A21493" s="5" t="str">
        <f>"H0031536"</f>
        <v>H0031536</v>
      </c>
      <c r="B21493" s="5" t="s">
        <v>221</v>
      </c>
      <c r="C21493" s="6">
        <v>375382.64</v>
      </c>
      <c r="D21493" s="5" t="s">
        <v>16</v>
      </c>
      <c r="E21493" s="5" t="str">
        <f t="shared" si="1071"/>
        <v>SISTEMAS-GLOBALTRONIK SAS-SERGIO PATIÑO</v>
      </c>
      <c r="F21493" s="5"/>
      <c r="G21493" s="5"/>
    </row>
    <row r="21494" spans="1:7" ht="58.5" customHeight="1" x14ac:dyDescent="0.25">
      <c r="A21494" s="5" t="str">
        <f>"H0031537"</f>
        <v>H0031537</v>
      </c>
      <c r="B21494" s="5" t="s">
        <v>221</v>
      </c>
      <c r="C21494" s="6">
        <v>375382.64</v>
      </c>
      <c r="D21494" s="5" t="s">
        <v>16</v>
      </c>
      <c r="E21494" s="5" t="str">
        <f t="shared" si="1071"/>
        <v>SISTEMAS-GLOBALTRONIK SAS-SERGIO PATIÑO</v>
      </c>
      <c r="F21494" s="5"/>
      <c r="G21494" s="5"/>
    </row>
    <row r="21495" spans="1:7" ht="58.5" customHeight="1" x14ac:dyDescent="0.25">
      <c r="A21495" s="5" t="str">
        <f>"H0031538"</f>
        <v>H0031538</v>
      </c>
      <c r="B21495" s="5" t="s">
        <v>221</v>
      </c>
      <c r="C21495" s="6">
        <v>375382.64</v>
      </c>
      <c r="D21495" s="5" t="s">
        <v>16</v>
      </c>
      <c r="E21495" s="5" t="str">
        <f t="shared" si="1071"/>
        <v>SISTEMAS-GLOBALTRONIK SAS-SERGIO PATIÑO</v>
      </c>
      <c r="F21495" s="5"/>
      <c r="G21495" s="5"/>
    </row>
    <row r="21496" spans="1:7" ht="58.5" customHeight="1" x14ac:dyDescent="0.25">
      <c r="A21496" s="5" t="str">
        <f>"H0031539"</f>
        <v>H0031539</v>
      </c>
      <c r="B21496" s="5" t="s">
        <v>221</v>
      </c>
      <c r="C21496" s="6">
        <v>375382.64</v>
      </c>
      <c r="D21496" s="5" t="s">
        <v>16</v>
      </c>
      <c r="E21496" s="5" t="str">
        <f t="shared" si="1071"/>
        <v>SISTEMAS-GLOBALTRONIK SAS-SERGIO PATIÑO</v>
      </c>
      <c r="F21496" s="5"/>
      <c r="G21496" s="5"/>
    </row>
    <row r="21497" spans="1:7" ht="58.5" customHeight="1" x14ac:dyDescent="0.25">
      <c r="A21497" s="5" t="str">
        <f>"H0031540"</f>
        <v>H0031540</v>
      </c>
      <c r="B21497" s="5" t="s">
        <v>221</v>
      </c>
      <c r="C21497" s="6">
        <v>375382.64</v>
      </c>
      <c r="D21497" s="5" t="s">
        <v>16</v>
      </c>
      <c r="E21497" s="5" t="str">
        <f t="shared" si="1071"/>
        <v>SISTEMAS-GLOBALTRONIK SAS-SERGIO PATIÑO</v>
      </c>
      <c r="F21497" s="5"/>
      <c r="G21497" s="5"/>
    </row>
    <row r="21498" spans="1:7" ht="58.5" customHeight="1" x14ac:dyDescent="0.25">
      <c r="A21498" s="5" t="str">
        <f>"H0031541"</f>
        <v>H0031541</v>
      </c>
      <c r="B21498" s="5" t="s">
        <v>221</v>
      </c>
      <c r="C21498" s="6">
        <v>375382.64</v>
      </c>
      <c r="D21498" s="5" t="s">
        <v>16</v>
      </c>
      <c r="E21498" s="5" t="str">
        <f t="shared" si="1071"/>
        <v>SISTEMAS-GLOBALTRONIK SAS-SERGIO PATIÑO</v>
      </c>
      <c r="F21498" s="5"/>
      <c r="G21498" s="5"/>
    </row>
    <row r="21499" spans="1:7" ht="58.5" customHeight="1" x14ac:dyDescent="0.25">
      <c r="A21499" s="5" t="str">
        <f>"H0031595"</f>
        <v>H0031595</v>
      </c>
      <c r="B21499" s="5" t="s">
        <v>221</v>
      </c>
      <c r="C21499" s="6">
        <v>375382.64</v>
      </c>
      <c r="D21499" s="5" t="s">
        <v>16</v>
      </c>
      <c r="E21499" s="5" t="str">
        <f t="shared" si="1071"/>
        <v>SISTEMAS-GLOBALTRONIK SAS-SERGIO PATIÑO</v>
      </c>
      <c r="F21499" s="5"/>
      <c r="G21499" s="5"/>
    </row>
    <row r="21500" spans="1:7" ht="58.5" customHeight="1" x14ac:dyDescent="0.25">
      <c r="A21500" s="5" t="str">
        <f>"H0031601"</f>
        <v>H0031601</v>
      </c>
      <c r="B21500" s="5" t="str">
        <f>"NVR 32 CANALES CON DISCO DURO DE 4 TB HOMOLOGADOS PARA CCTV MARCA HIKVISION"</f>
        <v>NVR 32 CANALES CON DISCO DURO DE 4 TB HOMOLOGADOS PARA CCTV MARCA HIKVISION</v>
      </c>
      <c r="C21500" s="6">
        <v>2263535.1</v>
      </c>
      <c r="D21500" s="5" t="s">
        <v>16</v>
      </c>
      <c r="E21500" s="5" t="str">
        <f t="shared" si="1071"/>
        <v>SISTEMAS-GLOBALTRONIK SAS-SERGIO PATIÑO</v>
      </c>
      <c r="F21500" s="5"/>
      <c r="G21500" s="5" t="str">
        <f>"DS-7732NI-Q4"</f>
        <v>DS-7732NI-Q4</v>
      </c>
    </row>
    <row r="21501" spans="1:7" ht="58.5" customHeight="1" x14ac:dyDescent="0.25">
      <c r="A21501" s="5" t="str">
        <f>"H0032268"</f>
        <v>H0032268</v>
      </c>
      <c r="B21501"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1501" s="6">
        <v>901008.5</v>
      </c>
      <c r="D21501" s="5" t="s">
        <v>413</v>
      </c>
      <c r="E21501" s="5" t="str">
        <f t="shared" ref="E21501:E21564" si="1072">"SISTEMAS-GLOBALTRONIK SAS-SERGIO PATIÑO"</f>
        <v>SISTEMAS-GLOBALTRONIK SAS-SERGIO PATIÑO</v>
      </c>
      <c r="F21501" s="5"/>
      <c r="G21501" s="5"/>
    </row>
    <row r="21502" spans="1:7" ht="58.5" customHeight="1" x14ac:dyDescent="0.25">
      <c r="A21502" s="5" t="str">
        <f>"H0032269"</f>
        <v>H0032269</v>
      </c>
      <c r="B21502"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1502" s="6">
        <v>901008.5</v>
      </c>
      <c r="D21502" s="5" t="s">
        <v>413</v>
      </c>
      <c r="E21502" s="5" t="str">
        <f t="shared" si="1072"/>
        <v>SISTEMAS-GLOBALTRONIK SAS-SERGIO PATIÑO</v>
      </c>
      <c r="F21502" s="5"/>
      <c r="G21502" s="5"/>
    </row>
    <row r="21503" spans="1:7" ht="58.5" customHeight="1" x14ac:dyDescent="0.25">
      <c r="A21503" s="5" t="str">
        <f>"H0032276"</f>
        <v>H0032276</v>
      </c>
      <c r="B21503"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1503" s="6">
        <v>901008.5</v>
      </c>
      <c r="D21503" s="5" t="s">
        <v>413</v>
      </c>
      <c r="E21503" s="5" t="str">
        <f t="shared" si="1072"/>
        <v>SISTEMAS-GLOBALTRONIK SAS-SERGIO PATIÑO</v>
      </c>
      <c r="F21503" s="5"/>
      <c r="G21503" s="5"/>
    </row>
    <row r="21504" spans="1:7" ht="58.5" customHeight="1" x14ac:dyDescent="0.25">
      <c r="A21504" s="5" t="str">
        <f>"H0032277"</f>
        <v>H0032277</v>
      </c>
      <c r="B21504"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1504" s="6">
        <v>901008.5</v>
      </c>
      <c r="D21504" s="5" t="s">
        <v>413</v>
      </c>
      <c r="E21504" s="5" t="str">
        <f t="shared" si="1072"/>
        <v>SISTEMAS-GLOBALTRONIK SAS-SERGIO PATIÑO</v>
      </c>
      <c r="F21504" s="5"/>
      <c r="G21504" s="5"/>
    </row>
    <row r="21505" spans="1:7" ht="58.5" customHeight="1" x14ac:dyDescent="0.25">
      <c r="A21505" s="5" t="str">
        <f>"H0032278"</f>
        <v>H0032278</v>
      </c>
      <c r="B21505"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1505" s="6">
        <v>901008.5</v>
      </c>
      <c r="D21505" s="5" t="s">
        <v>413</v>
      </c>
      <c r="E21505" s="5" t="str">
        <f t="shared" si="1072"/>
        <v>SISTEMAS-GLOBALTRONIK SAS-SERGIO PATIÑO</v>
      </c>
      <c r="F21505" s="5"/>
      <c r="G21505" s="5"/>
    </row>
    <row r="21506" spans="1:7" ht="58.5" customHeight="1" x14ac:dyDescent="0.25">
      <c r="A21506" s="5" t="str">
        <f>"H0032366"</f>
        <v>H0032366</v>
      </c>
      <c r="B21506" s="5" t="str">
        <f>"EQUIPO LENOVO ALL IN ONE (DONACION)"</f>
        <v>EQUIPO LENOVO ALL IN ONE (DONACION)</v>
      </c>
      <c r="C21506" s="6">
        <v>4375600</v>
      </c>
      <c r="D21506" s="5" t="s">
        <v>110</v>
      </c>
      <c r="E21506" s="5" t="str">
        <f t="shared" si="1072"/>
        <v>SISTEMAS-GLOBALTRONIK SAS-SERGIO PATIÑO</v>
      </c>
      <c r="F21506" s="5"/>
      <c r="G21506" s="5"/>
    </row>
    <row r="21507" spans="1:7" ht="58.5" customHeight="1" x14ac:dyDescent="0.25">
      <c r="A21507" s="5" t="str">
        <f>"H0032428"</f>
        <v>H0032428</v>
      </c>
      <c r="B21507" s="5" t="str">
        <f t="shared" ref="B21507:B21523" si="1073">"SWITCH ADMINISTRABLE capa 2. 48 puertos RJ45 Base 1000. Fuente de Poder con cable. Throughput de 132 Mpps. Capacidad de Switching de 176 Gbps. Buffer de 4 MB. 2 Puertos 10 Gb con Transceiver SFP+ incl"</f>
        <v>SWITCH ADMINISTRABLE capa 2. 48 puertos RJ45 Base 1000. Fuente de Poder con cable. Throughput de 132 Mpps. Capacidad de Switching de 176 Gbps. Buffer de 4 MB. 2 Puertos 10 Gb con Transceiver SFP+ incl</v>
      </c>
      <c r="C21507" s="6">
        <v>5037865</v>
      </c>
      <c r="D21507" s="5" t="s">
        <v>111</v>
      </c>
      <c r="E21507" s="5" t="str">
        <f t="shared" si="1072"/>
        <v>SISTEMAS-GLOBALTRONIK SAS-SERGIO PATIÑO</v>
      </c>
      <c r="F21507" s="5"/>
      <c r="G21507" s="5"/>
    </row>
    <row r="21508" spans="1:7" ht="58.5" customHeight="1" x14ac:dyDescent="0.25">
      <c r="A21508" s="5" t="str">
        <f>"H0032429"</f>
        <v>H0032429</v>
      </c>
      <c r="B21508" s="5" t="str">
        <f t="shared" si="1073"/>
        <v>SWITCH ADMINISTRABLE capa 2. 48 puertos RJ45 Base 1000. Fuente de Poder con cable. Throughput de 132 Mpps. Capacidad de Switching de 176 Gbps. Buffer de 4 MB. 2 Puertos 10 Gb con Transceiver SFP+ incl</v>
      </c>
      <c r="C21508" s="6">
        <v>5037865</v>
      </c>
      <c r="D21508" s="5" t="s">
        <v>111</v>
      </c>
      <c r="E21508" s="5" t="str">
        <f t="shared" si="1072"/>
        <v>SISTEMAS-GLOBALTRONIK SAS-SERGIO PATIÑO</v>
      </c>
      <c r="F21508" s="5"/>
      <c r="G21508" s="5"/>
    </row>
    <row r="21509" spans="1:7" ht="58.5" customHeight="1" x14ac:dyDescent="0.25">
      <c r="A21509" s="5" t="str">
        <f>"H0032430"</f>
        <v>H0032430</v>
      </c>
      <c r="B21509" s="5" t="str">
        <f t="shared" si="1073"/>
        <v>SWITCH ADMINISTRABLE capa 2. 48 puertos RJ45 Base 1000. Fuente de Poder con cable. Throughput de 132 Mpps. Capacidad de Switching de 176 Gbps. Buffer de 4 MB. 2 Puertos 10 Gb con Transceiver SFP+ incl</v>
      </c>
      <c r="C21509" s="6">
        <v>5037865</v>
      </c>
      <c r="D21509" s="5" t="s">
        <v>111</v>
      </c>
      <c r="E21509" s="5" t="str">
        <f t="shared" si="1072"/>
        <v>SISTEMAS-GLOBALTRONIK SAS-SERGIO PATIÑO</v>
      </c>
      <c r="F21509" s="5"/>
      <c r="G21509" s="5"/>
    </row>
    <row r="21510" spans="1:7" ht="58.5" customHeight="1" x14ac:dyDescent="0.25">
      <c r="A21510" s="5" t="str">
        <f>"H0032431"</f>
        <v>H0032431</v>
      </c>
      <c r="B21510" s="5" t="str">
        <f t="shared" si="1073"/>
        <v>SWITCH ADMINISTRABLE capa 2. 48 puertos RJ45 Base 1000. Fuente de Poder con cable. Throughput de 132 Mpps. Capacidad de Switching de 176 Gbps. Buffer de 4 MB. 2 Puertos 10 Gb con Transceiver SFP+ incl</v>
      </c>
      <c r="C21510" s="6">
        <v>5037865</v>
      </c>
      <c r="D21510" s="5" t="s">
        <v>111</v>
      </c>
      <c r="E21510" s="5" t="str">
        <f t="shared" si="1072"/>
        <v>SISTEMAS-GLOBALTRONIK SAS-SERGIO PATIÑO</v>
      </c>
      <c r="F21510" s="5"/>
      <c r="G21510" s="5"/>
    </row>
    <row r="21511" spans="1:7" ht="58.5" customHeight="1" x14ac:dyDescent="0.25">
      <c r="A21511" s="5" t="str">
        <f>"H0032432"</f>
        <v>H0032432</v>
      </c>
      <c r="B21511" s="5" t="str">
        <f t="shared" si="1073"/>
        <v>SWITCH ADMINISTRABLE capa 2. 48 puertos RJ45 Base 1000. Fuente de Poder con cable. Throughput de 132 Mpps. Capacidad de Switching de 176 Gbps. Buffer de 4 MB. 2 Puertos 10 Gb con Transceiver SFP+ incl</v>
      </c>
      <c r="C21511" s="6">
        <v>5037865</v>
      </c>
      <c r="D21511" s="5" t="s">
        <v>111</v>
      </c>
      <c r="E21511" s="5" t="str">
        <f t="shared" si="1072"/>
        <v>SISTEMAS-GLOBALTRONIK SAS-SERGIO PATIÑO</v>
      </c>
      <c r="F21511" s="5"/>
      <c r="G21511" s="5"/>
    </row>
    <row r="21512" spans="1:7" ht="58.5" customHeight="1" x14ac:dyDescent="0.25">
      <c r="A21512" s="5" t="str">
        <f>"H0032433"</f>
        <v>H0032433</v>
      </c>
      <c r="B21512" s="5" t="str">
        <f t="shared" si="1073"/>
        <v>SWITCH ADMINISTRABLE capa 2. 48 puertos RJ45 Base 1000. Fuente de Poder con cable. Throughput de 132 Mpps. Capacidad de Switching de 176 Gbps. Buffer de 4 MB. 2 Puertos 10 Gb con Transceiver SFP+ incl</v>
      </c>
      <c r="C21512" s="6">
        <v>5037865</v>
      </c>
      <c r="D21512" s="5" t="s">
        <v>111</v>
      </c>
      <c r="E21512" s="5" t="str">
        <f t="shared" si="1072"/>
        <v>SISTEMAS-GLOBALTRONIK SAS-SERGIO PATIÑO</v>
      </c>
      <c r="F21512" s="5"/>
      <c r="G21512" s="5"/>
    </row>
    <row r="21513" spans="1:7" ht="58.5" customHeight="1" x14ac:dyDescent="0.25">
      <c r="A21513" s="5" t="str">
        <f>"H0032434"</f>
        <v>H0032434</v>
      </c>
      <c r="B21513" s="5" t="str">
        <f t="shared" si="1073"/>
        <v>SWITCH ADMINISTRABLE capa 2. 48 puertos RJ45 Base 1000. Fuente de Poder con cable. Throughput de 132 Mpps. Capacidad de Switching de 176 Gbps. Buffer de 4 MB. 2 Puertos 10 Gb con Transceiver SFP+ incl</v>
      </c>
      <c r="C21513" s="6">
        <v>5037865</v>
      </c>
      <c r="D21513" s="5" t="s">
        <v>111</v>
      </c>
      <c r="E21513" s="5" t="str">
        <f t="shared" si="1072"/>
        <v>SISTEMAS-GLOBALTRONIK SAS-SERGIO PATIÑO</v>
      </c>
      <c r="F21513" s="5"/>
      <c r="G21513" s="5"/>
    </row>
    <row r="21514" spans="1:7" ht="58.5" customHeight="1" x14ac:dyDescent="0.25">
      <c r="A21514" s="5" t="str">
        <f>"H0032435"</f>
        <v>H0032435</v>
      </c>
      <c r="B21514" s="5" t="str">
        <f t="shared" si="1073"/>
        <v>SWITCH ADMINISTRABLE capa 2. 48 puertos RJ45 Base 1000. Fuente de Poder con cable. Throughput de 132 Mpps. Capacidad de Switching de 176 Gbps. Buffer de 4 MB. 2 Puertos 10 Gb con Transceiver SFP+ incl</v>
      </c>
      <c r="C21514" s="6">
        <v>5037865</v>
      </c>
      <c r="D21514" s="5" t="s">
        <v>111</v>
      </c>
      <c r="E21514" s="5" t="str">
        <f t="shared" si="1072"/>
        <v>SISTEMAS-GLOBALTRONIK SAS-SERGIO PATIÑO</v>
      </c>
      <c r="F21514" s="5"/>
      <c r="G21514" s="5"/>
    </row>
    <row r="21515" spans="1:7" ht="58.5" customHeight="1" x14ac:dyDescent="0.25">
      <c r="A21515" s="5" t="str">
        <f>"H0032436"</f>
        <v>H0032436</v>
      </c>
      <c r="B21515" s="5" t="str">
        <f t="shared" si="1073"/>
        <v>SWITCH ADMINISTRABLE capa 2. 48 puertos RJ45 Base 1000. Fuente de Poder con cable. Throughput de 132 Mpps. Capacidad de Switching de 176 Gbps. Buffer de 4 MB. 2 Puertos 10 Gb con Transceiver SFP+ incl</v>
      </c>
      <c r="C21515" s="6">
        <v>5037865</v>
      </c>
      <c r="D21515" s="5" t="s">
        <v>111</v>
      </c>
      <c r="E21515" s="5" t="str">
        <f t="shared" si="1072"/>
        <v>SISTEMAS-GLOBALTRONIK SAS-SERGIO PATIÑO</v>
      </c>
      <c r="F21515" s="5"/>
      <c r="G21515" s="5"/>
    </row>
    <row r="21516" spans="1:7" ht="58.5" customHeight="1" x14ac:dyDescent="0.25">
      <c r="A21516" s="5" t="str">
        <f>"H0032437"</f>
        <v>H0032437</v>
      </c>
      <c r="B21516" s="5" t="str">
        <f t="shared" si="1073"/>
        <v>SWITCH ADMINISTRABLE capa 2. 48 puertos RJ45 Base 1000. Fuente de Poder con cable. Throughput de 132 Mpps. Capacidad de Switching de 176 Gbps. Buffer de 4 MB. 2 Puertos 10 Gb con Transceiver SFP+ incl</v>
      </c>
      <c r="C21516" s="6">
        <v>5037865</v>
      </c>
      <c r="D21516" s="5" t="s">
        <v>111</v>
      </c>
      <c r="E21516" s="5" t="str">
        <f t="shared" si="1072"/>
        <v>SISTEMAS-GLOBALTRONIK SAS-SERGIO PATIÑO</v>
      </c>
      <c r="F21516" s="5"/>
      <c r="G21516" s="5"/>
    </row>
    <row r="21517" spans="1:7" ht="58.5" customHeight="1" x14ac:dyDescent="0.25">
      <c r="A21517" s="5" t="str">
        <f>"H0032438"</f>
        <v>H0032438</v>
      </c>
      <c r="B21517" s="5" t="str">
        <f t="shared" si="1073"/>
        <v>SWITCH ADMINISTRABLE capa 2. 48 puertos RJ45 Base 1000. Fuente de Poder con cable. Throughput de 132 Mpps. Capacidad de Switching de 176 Gbps. Buffer de 4 MB. 2 Puertos 10 Gb con Transceiver SFP+ incl</v>
      </c>
      <c r="C21517" s="6">
        <v>5037865</v>
      </c>
      <c r="D21517" s="5" t="s">
        <v>111</v>
      </c>
      <c r="E21517" s="5" t="str">
        <f t="shared" si="1072"/>
        <v>SISTEMAS-GLOBALTRONIK SAS-SERGIO PATIÑO</v>
      </c>
      <c r="F21517" s="5"/>
      <c r="G21517" s="5"/>
    </row>
    <row r="21518" spans="1:7" ht="58.5" customHeight="1" x14ac:dyDescent="0.25">
      <c r="A21518" s="5" t="str">
        <f>"H0032439"</f>
        <v>H0032439</v>
      </c>
      <c r="B21518" s="5" t="str">
        <f t="shared" si="1073"/>
        <v>SWITCH ADMINISTRABLE capa 2. 48 puertos RJ45 Base 1000. Fuente de Poder con cable. Throughput de 132 Mpps. Capacidad de Switching de 176 Gbps. Buffer de 4 MB. 2 Puertos 10 Gb con Transceiver SFP+ incl</v>
      </c>
      <c r="C21518" s="6">
        <v>5037865</v>
      </c>
      <c r="D21518" s="5" t="s">
        <v>111</v>
      </c>
      <c r="E21518" s="5" t="str">
        <f t="shared" si="1072"/>
        <v>SISTEMAS-GLOBALTRONIK SAS-SERGIO PATIÑO</v>
      </c>
      <c r="F21518" s="5"/>
      <c r="G21518" s="5"/>
    </row>
    <row r="21519" spans="1:7" ht="58.5" customHeight="1" x14ac:dyDescent="0.25">
      <c r="A21519" s="5" t="str">
        <f>"H0032440"</f>
        <v>H0032440</v>
      </c>
      <c r="B21519" s="5" t="str">
        <f t="shared" si="1073"/>
        <v>SWITCH ADMINISTRABLE capa 2. 48 puertos RJ45 Base 1000. Fuente de Poder con cable. Throughput de 132 Mpps. Capacidad de Switching de 176 Gbps. Buffer de 4 MB. 2 Puertos 10 Gb con Transceiver SFP+ incl</v>
      </c>
      <c r="C21519" s="6">
        <v>5037865</v>
      </c>
      <c r="D21519" s="5" t="s">
        <v>111</v>
      </c>
      <c r="E21519" s="5" t="str">
        <f t="shared" si="1072"/>
        <v>SISTEMAS-GLOBALTRONIK SAS-SERGIO PATIÑO</v>
      </c>
      <c r="F21519" s="5"/>
      <c r="G21519" s="5"/>
    </row>
    <row r="21520" spans="1:7" ht="58.5" customHeight="1" x14ac:dyDescent="0.25">
      <c r="A21520" s="5" t="str">
        <f>"H0032441"</f>
        <v>H0032441</v>
      </c>
      <c r="B21520" s="5" t="str">
        <f t="shared" si="1073"/>
        <v>SWITCH ADMINISTRABLE capa 2. 48 puertos RJ45 Base 1000. Fuente de Poder con cable. Throughput de 132 Mpps. Capacidad de Switching de 176 Gbps. Buffer de 4 MB. 2 Puertos 10 Gb con Transceiver SFP+ incl</v>
      </c>
      <c r="C21520" s="6">
        <v>5037865</v>
      </c>
      <c r="D21520" s="5" t="s">
        <v>111</v>
      </c>
      <c r="E21520" s="5" t="str">
        <f t="shared" si="1072"/>
        <v>SISTEMAS-GLOBALTRONIK SAS-SERGIO PATIÑO</v>
      </c>
      <c r="F21520" s="5"/>
      <c r="G21520" s="5"/>
    </row>
    <row r="21521" spans="1:7" ht="58.5" customHeight="1" x14ac:dyDescent="0.25">
      <c r="A21521" s="5" t="str">
        <f>"H0032442"</f>
        <v>H0032442</v>
      </c>
      <c r="B21521" s="5" t="str">
        <f t="shared" si="1073"/>
        <v>SWITCH ADMINISTRABLE capa 2. 48 puertos RJ45 Base 1000. Fuente de Poder con cable. Throughput de 132 Mpps. Capacidad de Switching de 176 Gbps. Buffer de 4 MB. 2 Puertos 10 Gb con Transceiver SFP+ incl</v>
      </c>
      <c r="C21521" s="6">
        <v>5037865</v>
      </c>
      <c r="D21521" s="5" t="s">
        <v>111</v>
      </c>
      <c r="E21521" s="5" t="str">
        <f t="shared" si="1072"/>
        <v>SISTEMAS-GLOBALTRONIK SAS-SERGIO PATIÑO</v>
      </c>
      <c r="F21521" s="5"/>
      <c r="G21521" s="5"/>
    </row>
    <row r="21522" spans="1:7" ht="58.5" customHeight="1" x14ac:dyDescent="0.25">
      <c r="A21522" s="5" t="str">
        <f>"H0032443"</f>
        <v>H0032443</v>
      </c>
      <c r="B21522" s="5" t="str">
        <f t="shared" si="1073"/>
        <v>SWITCH ADMINISTRABLE capa 2. 48 puertos RJ45 Base 1000. Fuente de Poder con cable. Throughput de 132 Mpps. Capacidad de Switching de 176 Gbps. Buffer de 4 MB. 2 Puertos 10 Gb con Transceiver SFP+ incl</v>
      </c>
      <c r="C21522" s="6">
        <v>5037865</v>
      </c>
      <c r="D21522" s="5" t="s">
        <v>111</v>
      </c>
      <c r="E21522" s="5" t="str">
        <f t="shared" si="1072"/>
        <v>SISTEMAS-GLOBALTRONIK SAS-SERGIO PATIÑO</v>
      </c>
      <c r="F21522" s="5"/>
      <c r="G21522" s="5"/>
    </row>
    <row r="21523" spans="1:7" ht="58.5" customHeight="1" x14ac:dyDescent="0.25">
      <c r="A21523" s="5" t="str">
        <f>"H0032444"</f>
        <v>H0032444</v>
      </c>
      <c r="B21523" s="5" t="str">
        <f t="shared" si="1073"/>
        <v>SWITCH ADMINISTRABLE capa 2. 48 puertos RJ45 Base 1000. Fuente de Poder con cable. Throughput de 132 Mpps. Capacidad de Switching de 176 Gbps. Buffer de 4 MB. 2 Puertos 10 Gb con Transceiver SFP+ incl</v>
      </c>
      <c r="C21523" s="6">
        <v>5037865</v>
      </c>
      <c r="D21523" s="5" t="s">
        <v>111</v>
      </c>
      <c r="E21523" s="5" t="str">
        <f t="shared" si="1072"/>
        <v>SISTEMAS-GLOBALTRONIK SAS-SERGIO PATIÑO</v>
      </c>
      <c r="F21523" s="5"/>
      <c r="G21523" s="5"/>
    </row>
    <row r="21524" spans="1:7" ht="58.5" customHeight="1" x14ac:dyDescent="0.25">
      <c r="A21524" s="5" t="str">
        <f>"H0033645"</f>
        <v>H0033645</v>
      </c>
      <c r="B21524" s="5" t="str">
        <f>"LICENCIA DE ANTIVIRUS ESET ENDPOINT POR TRES (3) AÑOS - RENOVACIÓN"</f>
        <v>LICENCIA DE ANTIVIRUS ESET ENDPOINT POR TRES (3) AÑOS - RENOVACIÓN</v>
      </c>
      <c r="C21524" s="6">
        <v>50000</v>
      </c>
      <c r="D21524" s="5" t="s">
        <v>362</v>
      </c>
      <c r="E21524" s="5" t="str">
        <f t="shared" si="1072"/>
        <v>SISTEMAS-GLOBALTRONIK SAS-SERGIO PATIÑO</v>
      </c>
      <c r="F21524" s="5"/>
      <c r="G21524" s="5"/>
    </row>
    <row r="21525" spans="1:7" ht="58.5" customHeight="1" x14ac:dyDescent="0.25">
      <c r="A21525" s="5" t="str">
        <f>"H0033932"</f>
        <v>H0033932</v>
      </c>
      <c r="B21525" s="5" t="str">
        <f>"LECTOR DE HUELLAS DIGITALES"</f>
        <v>LECTOR DE HUELLAS DIGITALES</v>
      </c>
      <c r="C21525" s="6">
        <v>340340</v>
      </c>
      <c r="D21525" s="5" t="s">
        <v>119</v>
      </c>
      <c r="E21525" s="5" t="str">
        <f t="shared" si="1072"/>
        <v>SISTEMAS-GLOBALTRONIK SAS-SERGIO PATIÑO</v>
      </c>
      <c r="F21525" s="5"/>
      <c r="G21525" s="5"/>
    </row>
    <row r="21526" spans="1:7" ht="58.5" customHeight="1" x14ac:dyDescent="0.25">
      <c r="A21526" s="5" t="str">
        <f>"H0034024"</f>
        <v>H0034024</v>
      </c>
      <c r="B21526" s="5" t="s">
        <v>329</v>
      </c>
      <c r="C21526" s="6">
        <v>258000</v>
      </c>
      <c r="D21526" s="5" t="s">
        <v>122</v>
      </c>
      <c r="E21526" s="5" t="str">
        <f t="shared" si="1072"/>
        <v>SISTEMAS-GLOBALTRONIK SAS-SERGIO PATIÑO</v>
      </c>
      <c r="F21526" s="5"/>
      <c r="G21526" s="5"/>
    </row>
    <row r="21527" spans="1:7" ht="58.5" customHeight="1" x14ac:dyDescent="0.25">
      <c r="A21527" s="5" t="str">
        <f>"H0034031"</f>
        <v>H0034031</v>
      </c>
      <c r="B21527" s="5" t="s">
        <v>329</v>
      </c>
      <c r="C21527" s="6">
        <v>258000</v>
      </c>
      <c r="D21527" s="5" t="s">
        <v>122</v>
      </c>
      <c r="E21527" s="5" t="str">
        <f t="shared" si="1072"/>
        <v>SISTEMAS-GLOBALTRONIK SAS-SERGIO PATIÑO</v>
      </c>
      <c r="F21527" s="5"/>
      <c r="G21527" s="5"/>
    </row>
    <row r="21528" spans="1:7" ht="58.5" customHeight="1" x14ac:dyDescent="0.25">
      <c r="A21528" s="5" t="str">
        <f>"H0034032"</f>
        <v>H0034032</v>
      </c>
      <c r="B21528" s="5" t="s">
        <v>329</v>
      </c>
      <c r="C21528" s="6">
        <v>258000</v>
      </c>
      <c r="D21528" s="5" t="s">
        <v>122</v>
      </c>
      <c r="E21528" s="5" t="str">
        <f t="shared" si="1072"/>
        <v>SISTEMAS-GLOBALTRONIK SAS-SERGIO PATIÑO</v>
      </c>
      <c r="F21528" s="5"/>
      <c r="G21528" s="5"/>
    </row>
    <row r="21529" spans="1:7" ht="58.5" customHeight="1" x14ac:dyDescent="0.25">
      <c r="A21529" s="5" t="str">
        <f>"H0034034"</f>
        <v>H0034034</v>
      </c>
      <c r="B21529" s="5" t="s">
        <v>329</v>
      </c>
      <c r="C21529" s="6">
        <v>258000</v>
      </c>
      <c r="D21529" s="5" t="s">
        <v>122</v>
      </c>
      <c r="E21529" s="5" t="str">
        <f t="shared" si="1072"/>
        <v>SISTEMAS-GLOBALTRONIK SAS-SERGIO PATIÑO</v>
      </c>
      <c r="F21529" s="5"/>
      <c r="G21529" s="5"/>
    </row>
    <row r="21530" spans="1:7" ht="58.5" customHeight="1" x14ac:dyDescent="0.25">
      <c r="A21530" s="5" t="str">
        <f>"H0034037"</f>
        <v>H0034037</v>
      </c>
      <c r="B21530" s="5" t="s">
        <v>329</v>
      </c>
      <c r="C21530" s="6">
        <v>258000</v>
      </c>
      <c r="D21530" s="5" t="s">
        <v>122</v>
      </c>
      <c r="E21530" s="5" t="str">
        <f t="shared" si="1072"/>
        <v>SISTEMAS-GLOBALTRONIK SAS-SERGIO PATIÑO</v>
      </c>
      <c r="F21530" s="5"/>
      <c r="G21530" s="5"/>
    </row>
    <row r="21531" spans="1:7" ht="58.5" customHeight="1" x14ac:dyDescent="0.25">
      <c r="A21531" s="5" t="str">
        <f>"H0034039"</f>
        <v>H0034039</v>
      </c>
      <c r="B21531" s="5" t="s">
        <v>329</v>
      </c>
      <c r="C21531" s="6">
        <v>258000</v>
      </c>
      <c r="D21531" s="5" t="s">
        <v>122</v>
      </c>
      <c r="E21531" s="5" t="str">
        <f t="shared" si="1072"/>
        <v>SISTEMAS-GLOBALTRONIK SAS-SERGIO PATIÑO</v>
      </c>
      <c r="F21531" s="5"/>
      <c r="G21531" s="5"/>
    </row>
    <row r="21532" spans="1:7" ht="58.5" customHeight="1" x14ac:dyDescent="0.25">
      <c r="A21532" s="5" t="str">
        <f>"H0034059"</f>
        <v>H0034059</v>
      </c>
      <c r="B21532" s="5" t="str">
        <f>"Control Biométrico con Identificación por Huella, Tarjeta o PIN, Teclado Numérico, Pantalla LCD a Color, Anuncios por Voz, Comunicación TCP/IP, Administración por USB"</f>
        <v>Control Biométrico con Identificación por Huella, Tarjeta o PIN, Teclado Numérico, Pantalla LCD a Color, Anuncios por Voz, Comunicación TCP/IP, Administración por USB</v>
      </c>
      <c r="C21532" s="6">
        <v>1011500</v>
      </c>
      <c r="D21532" s="5" t="s">
        <v>829</v>
      </c>
      <c r="E21532" s="5" t="str">
        <f t="shared" si="1072"/>
        <v>SISTEMAS-GLOBALTRONIK SAS-SERGIO PATIÑO</v>
      </c>
      <c r="F21532" s="5"/>
      <c r="G21532" s="5"/>
    </row>
    <row r="21533" spans="1:7" ht="58.5" customHeight="1" x14ac:dyDescent="0.25">
      <c r="A21533" s="5" t="str">
        <f>"H0034060"</f>
        <v>H0034060</v>
      </c>
      <c r="B21533" s="5" t="str">
        <f>"Control Biométrico con Identificación por Huella, Tarjeta o PIN, Teclado Numérico, Pantalla LCD a Color, Anuncios por Voz, Comunicación TCP/IP, Administración por USB"</f>
        <v>Control Biométrico con Identificación por Huella, Tarjeta o PIN, Teclado Numérico, Pantalla LCD a Color, Anuncios por Voz, Comunicación TCP/IP, Administración por USB</v>
      </c>
      <c r="C21533" s="6">
        <v>1011500</v>
      </c>
      <c r="D21533" s="5" t="s">
        <v>829</v>
      </c>
      <c r="E21533" s="5" t="str">
        <f t="shared" si="1072"/>
        <v>SISTEMAS-GLOBALTRONIK SAS-SERGIO PATIÑO</v>
      </c>
      <c r="F21533" s="5"/>
      <c r="G21533" s="5"/>
    </row>
    <row r="21534" spans="1:7" ht="58.5" customHeight="1" x14ac:dyDescent="0.25">
      <c r="A21534" s="5" t="str">
        <f>"H0034067"</f>
        <v>H0034067</v>
      </c>
      <c r="B21534" s="5" t="str">
        <f>"NVR 32 CANALES CON DOS DD DE 8 TB HIKVISION"</f>
        <v>NVR 32 CANALES CON DOS DD DE 8 TB HIKVISION</v>
      </c>
      <c r="C21534" s="6">
        <v>1900000</v>
      </c>
      <c r="D21534" s="5" t="s">
        <v>330</v>
      </c>
      <c r="E21534" s="5" t="str">
        <f t="shared" si="1072"/>
        <v>SISTEMAS-GLOBALTRONIK SAS-SERGIO PATIÑO</v>
      </c>
      <c r="F21534" s="5"/>
      <c r="G21534" s="5"/>
    </row>
    <row r="21535" spans="1:7" ht="58.5" customHeight="1" x14ac:dyDescent="0.25">
      <c r="A21535" s="5" t="str">
        <f>"H0034068"</f>
        <v>H0034068</v>
      </c>
      <c r="B21535" s="5" t="str">
        <f>"NVR 32 CANALES CON DOS DD DE 8 TB HIKVISION"</f>
        <v>NVR 32 CANALES CON DOS DD DE 8 TB HIKVISION</v>
      </c>
      <c r="C21535" s="6">
        <v>1900000</v>
      </c>
      <c r="D21535" s="5" t="s">
        <v>330</v>
      </c>
      <c r="E21535" s="5" t="str">
        <f t="shared" si="1072"/>
        <v>SISTEMAS-GLOBALTRONIK SAS-SERGIO PATIÑO</v>
      </c>
      <c r="F21535" s="5"/>
      <c r="G21535" s="5"/>
    </row>
    <row r="21536" spans="1:7" ht="58.5" customHeight="1" x14ac:dyDescent="0.25">
      <c r="A21536" s="5" t="str">
        <f>"H0034069"</f>
        <v>H0034069</v>
      </c>
      <c r="B21536" s="5" t="str">
        <f>"NVR 32 CANALES CON DOS DD DE 8 TB HIKVISION"</f>
        <v>NVR 32 CANALES CON DOS DD DE 8 TB HIKVISION</v>
      </c>
      <c r="C21536" s="6">
        <v>1900000</v>
      </c>
      <c r="D21536" s="5" t="s">
        <v>330</v>
      </c>
      <c r="E21536" s="5" t="str">
        <f t="shared" si="1072"/>
        <v>SISTEMAS-GLOBALTRONIK SAS-SERGIO PATIÑO</v>
      </c>
      <c r="F21536" s="5"/>
      <c r="G21536" s="5"/>
    </row>
    <row r="21537" spans="1:7" ht="58.5" customHeight="1" x14ac:dyDescent="0.25">
      <c r="A21537" s="5" t="str">
        <f>"H0034077"</f>
        <v>H0034077</v>
      </c>
      <c r="B21537" s="5" t="str">
        <f>"COMPUTADOR FORMATO PEQUEÑO MINIMO INTEL I3 8 GB RAM 500 GB DD MOUSE Y TECLADO"</f>
        <v>COMPUTADOR FORMATO PEQUEÑO MINIMO INTEL I3 8 GB RAM 500 GB DD MOUSE Y TECLADO</v>
      </c>
      <c r="C21537" s="6">
        <v>2500000</v>
      </c>
      <c r="D21537" s="5" t="s">
        <v>330</v>
      </c>
      <c r="E21537" s="5" t="str">
        <f t="shared" si="1072"/>
        <v>SISTEMAS-GLOBALTRONIK SAS-SERGIO PATIÑO</v>
      </c>
      <c r="F21537" s="5"/>
      <c r="G21537" s="5"/>
    </row>
    <row r="21538" spans="1:7" ht="58.5" customHeight="1" x14ac:dyDescent="0.25">
      <c r="A21538" s="5" t="str">
        <f>"H0034078"</f>
        <v>H0034078</v>
      </c>
      <c r="B21538" s="5" t="str">
        <f>"COMPUTADOR FORMATO PEQUEÑO MINIMO INTEL I3 8 GB RAM 500 GB DD MOUSE Y TECLADO"</f>
        <v>COMPUTADOR FORMATO PEQUEÑO MINIMO INTEL I3 8 GB RAM 500 GB DD MOUSE Y TECLADO</v>
      </c>
      <c r="C21538" s="6">
        <v>2500000</v>
      </c>
      <c r="D21538" s="5" t="s">
        <v>330</v>
      </c>
      <c r="E21538" s="5" t="str">
        <f t="shared" si="1072"/>
        <v>SISTEMAS-GLOBALTRONIK SAS-SERGIO PATIÑO</v>
      </c>
      <c r="F21538" s="5"/>
      <c r="G21538" s="5"/>
    </row>
    <row r="21539" spans="1:7" ht="58.5" customHeight="1" x14ac:dyDescent="0.25">
      <c r="A21539" s="5" t="str">
        <f>"H0034079"</f>
        <v>H0034079</v>
      </c>
      <c r="B21539" s="5" t="str">
        <f>"COMPUTADOR FORMATO PEQUEÑO MINIMO INTEL I3 8 GB RAM 500 GB DD MOUSE Y TECLADO"</f>
        <v>COMPUTADOR FORMATO PEQUEÑO MINIMO INTEL I3 8 GB RAM 500 GB DD MOUSE Y TECLADO</v>
      </c>
      <c r="C21539" s="6">
        <v>2500000</v>
      </c>
      <c r="D21539" s="5" t="s">
        <v>330</v>
      </c>
      <c r="E21539" s="5" t="str">
        <f t="shared" si="1072"/>
        <v>SISTEMAS-GLOBALTRONIK SAS-SERGIO PATIÑO</v>
      </c>
      <c r="F21539" s="5"/>
      <c r="G21539" s="5"/>
    </row>
    <row r="21540" spans="1:7" ht="58.5" customHeight="1" x14ac:dyDescent="0.25">
      <c r="A21540" s="5" t="str">
        <f>"H0034094"</f>
        <v>H0034094</v>
      </c>
      <c r="B2154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1540" s="6">
        <v>5604900</v>
      </c>
      <c r="D21540" s="5" t="s">
        <v>192</v>
      </c>
      <c r="E21540" s="5" t="str">
        <f t="shared" si="1072"/>
        <v>SISTEMAS-GLOBALTRONIK SAS-SERGIO PATIÑO</v>
      </c>
      <c r="F21540" s="5"/>
      <c r="G21540" s="5"/>
    </row>
    <row r="21541" spans="1:7" ht="58.5" customHeight="1" x14ac:dyDescent="0.25">
      <c r="A21541" s="5" t="str">
        <f>"H0034544"</f>
        <v>H0034544</v>
      </c>
      <c r="B21541" s="5" t="str">
        <f>"IMPRESORA DE BRAZALETES ZEBRA HD510-HC. MAMORIA FLASH 512 MB. INTERFAZ USB Y ETHERNET. RESOLUCIÓN DE 300 PPP.  ALIMENTACIÓN 110 A 240 VAC"</f>
        <v>IMPRESORA DE BRAZALETES ZEBRA HD510-HC. MAMORIA FLASH 512 MB. INTERFAZ USB Y ETHERNET. RESOLUCIÓN DE 300 PPP.  ALIMENTACIÓN 110 A 240 VAC</v>
      </c>
      <c r="C21541" s="6">
        <v>3475990</v>
      </c>
      <c r="D21541" s="5" t="s">
        <v>626</v>
      </c>
      <c r="E21541" s="5" t="str">
        <f t="shared" si="1072"/>
        <v>SISTEMAS-GLOBALTRONIK SAS-SERGIO PATIÑO</v>
      </c>
      <c r="F21541" s="5"/>
      <c r="G21541" s="5"/>
    </row>
    <row r="21542" spans="1:7" ht="58.5" customHeight="1" x14ac:dyDescent="0.25">
      <c r="A21542" s="5" t="str">
        <f>"H0034546"</f>
        <v>H0034546</v>
      </c>
      <c r="B21542" s="5" t="str">
        <f>"IMPRESORA DE BRAZALETES ZEBRA HD510-HC. MAMORIA FLASH 512 MB. INTERFAZ USB Y ETHERNET. RESOLUCIÓN DE 300 PPP.  ALIMENTACIÓN 110 A 240 VAC"</f>
        <v>IMPRESORA DE BRAZALETES ZEBRA HD510-HC. MAMORIA FLASH 512 MB. INTERFAZ USB Y ETHERNET. RESOLUCIÓN DE 300 PPP.  ALIMENTACIÓN 110 A 240 VAC</v>
      </c>
      <c r="C21542" s="6">
        <v>3475990</v>
      </c>
      <c r="D21542" s="5" t="s">
        <v>626</v>
      </c>
      <c r="E21542" s="5" t="str">
        <f t="shared" si="1072"/>
        <v>SISTEMAS-GLOBALTRONIK SAS-SERGIO PATIÑO</v>
      </c>
      <c r="F21542" s="5"/>
      <c r="G21542" s="5"/>
    </row>
    <row r="21543" spans="1:7" ht="58.5" customHeight="1" x14ac:dyDescent="0.25">
      <c r="A21543" s="5" t="str">
        <f>"H0034549"</f>
        <v>H0034549</v>
      </c>
      <c r="B21543" s="5" t="str">
        <f>"IMPRESORA DE TRANSFERENCIA TERMICA ZEBRA ZD220. INTERFAZ USB. RESOLUCIÓN 203 PPP. MEMORIA FLASH 256 MB. ANCHO MÁXIMO DE IMPRESIÓN 104 MM. VELOCIDAD MÁXIMA DE IMPRESIÓN 102 MM. SENSOR DE MARCAS NEGRAS."</f>
        <v>IMPRESORA DE TRANSFERENCIA TERMICA ZEBRA ZD220. INTERFAZ USB. RESOLUCIÓN 203 PPP. MEMORIA FLASH 256 MB. ANCHO MÁXIMO DE IMPRESIÓN 104 MM. VELOCIDAD MÁXIMA DE IMPRESIÓN 102 MM. SENSOR DE MARCAS NEGRAS.</v>
      </c>
      <c r="C21543" s="6">
        <v>1750490</v>
      </c>
      <c r="D21543" s="5" t="s">
        <v>626</v>
      </c>
      <c r="E21543" s="5" t="str">
        <f t="shared" si="1072"/>
        <v>SISTEMAS-GLOBALTRONIK SAS-SERGIO PATIÑO</v>
      </c>
      <c r="F21543" s="5"/>
      <c r="G21543" s="5"/>
    </row>
    <row r="21544" spans="1:7" ht="58.5" customHeight="1" x14ac:dyDescent="0.25">
      <c r="A21544" s="5" t="str">
        <f>"H0034550"</f>
        <v>H0034550</v>
      </c>
      <c r="B21544" s="5" t="str">
        <f>"IMPRESORA TÉRMICA DE LÍNEAS A 200 MM/S. SATKP310LV. PAPEL DE 80MM DE ANCHO. DENSIDAD 203X203 DPI. IMPRIME QR. CORTADOR AUTOMÁTICO. INTERFAZ USB. FUENTE DE PODER INCLUIDO"</f>
        <v>IMPRESORA TÉRMICA DE LÍNEAS A 200 MM/S. SATKP310LV. PAPEL DE 80MM DE ANCHO. DENSIDAD 203X203 DPI. IMPRIME QR. CORTADOR AUTOMÁTICO. INTERFAZ USB. FUENTE DE PODER INCLUIDO</v>
      </c>
      <c r="C21544" s="6">
        <v>1957550</v>
      </c>
      <c r="D21544" s="5" t="s">
        <v>626</v>
      </c>
      <c r="E21544" s="5" t="str">
        <f t="shared" si="1072"/>
        <v>SISTEMAS-GLOBALTRONIK SAS-SERGIO PATIÑO</v>
      </c>
      <c r="F21544" s="5"/>
      <c r="G21544" s="5"/>
    </row>
    <row r="21545" spans="1:7" ht="58.5" customHeight="1" x14ac:dyDescent="0.25">
      <c r="A21545" s="5" t="str">
        <f>"H0034551"</f>
        <v>H0034551</v>
      </c>
      <c r="B21545" s="5" t="str">
        <f>"IMPRESORA TÉRMICA DE LÍNEAS A 200 MM/S. SATKP310LV. PAPEL DE 80MM DE ANCHO. DENSIDAD 203X203 DPI. IMPRIME QR. CORTADOR AUTOMÁTICO. INTERFAZ USB. FUENTE DE PODER INCLUIDO"</f>
        <v>IMPRESORA TÉRMICA DE LÍNEAS A 200 MM/S. SATKP310LV. PAPEL DE 80MM DE ANCHO. DENSIDAD 203X203 DPI. IMPRIME QR. CORTADOR AUTOMÁTICO. INTERFAZ USB. FUENTE DE PODER INCLUIDO</v>
      </c>
      <c r="C21545" s="6">
        <v>1957550</v>
      </c>
      <c r="D21545" s="5" t="s">
        <v>626</v>
      </c>
      <c r="E21545" s="5" t="str">
        <f t="shared" si="1072"/>
        <v>SISTEMAS-GLOBALTRONIK SAS-SERGIO PATIÑO</v>
      </c>
      <c r="F21545" s="5"/>
      <c r="G21545" s="5"/>
    </row>
    <row r="21546" spans="1:7" ht="58.5" customHeight="1" x14ac:dyDescent="0.25">
      <c r="A21546" s="5" t="str">
        <f>"H0034552"</f>
        <v>H0034552</v>
      </c>
      <c r="B21546" s="5" t="str">
        <f>"IMPRESORA TÉRMICA DE LÍNEAS A 200 MM/S. PAPEL DE 80MM DE ANCHO. DENSIDAD 203X203 DPI. IMPRIME QR. CORTADOR AUTOMÁTICO. INTERFAZ ETHERNET Y USB. FUENTE DE PODER INCLUIDO. MTBF: 360,000 H"</f>
        <v>IMPRESORA TÉRMICA DE LÍNEAS A 200 MM/S. PAPEL DE 80MM DE ANCHO. DENSIDAD 203X203 DPI. IMPRIME QR. CORTADOR AUTOMÁTICO. INTERFAZ ETHERNET Y USB. FUENTE DE PODER INCLUIDO. MTBF: 360,000 H</v>
      </c>
      <c r="C21546" s="6">
        <v>1011500</v>
      </c>
      <c r="D21546" s="5" t="s">
        <v>626</v>
      </c>
      <c r="E21546" s="5" t="str">
        <f t="shared" si="1072"/>
        <v>SISTEMAS-GLOBALTRONIK SAS-SERGIO PATIÑO</v>
      </c>
      <c r="F21546" s="5"/>
      <c r="G21546" s="5"/>
    </row>
    <row r="21547" spans="1:7" ht="58.5" customHeight="1" x14ac:dyDescent="0.25">
      <c r="A21547" s="5" t="str">
        <f>"H0034553"</f>
        <v>H0034553</v>
      </c>
      <c r="B21547" s="5" t="str">
        <f>"IMPRESORA TÉRMICA DE LÍNEAS A 200 MM/S. PAPEL DE 80MM DE ANCHO. DENSIDAD 203X203 DPI. IMPRIME QR. CORTADOR AUTOMÁTICO. INTERFAZ ETHERNET Y USB. FUENTE DE PODER INCLUIDO. MTBF: 360,000 H"</f>
        <v>IMPRESORA TÉRMICA DE LÍNEAS A 200 MM/S. PAPEL DE 80MM DE ANCHO. DENSIDAD 203X203 DPI. IMPRIME QR. CORTADOR AUTOMÁTICO. INTERFAZ ETHERNET Y USB. FUENTE DE PODER INCLUIDO. MTBF: 360,000 H</v>
      </c>
      <c r="C21547" s="6">
        <v>1011500</v>
      </c>
      <c r="D21547" s="5" t="s">
        <v>626</v>
      </c>
      <c r="E21547" s="5" t="str">
        <f t="shared" si="1072"/>
        <v>SISTEMAS-GLOBALTRONIK SAS-SERGIO PATIÑO</v>
      </c>
      <c r="F21547" s="5"/>
      <c r="G21547" s="5"/>
    </row>
    <row r="21548" spans="1:7" ht="58.5" customHeight="1" x14ac:dyDescent="0.25">
      <c r="A21548" s="5" t="str">
        <f>"H0034555"</f>
        <v>H0034555</v>
      </c>
      <c r="B21548" s="5" t="str">
        <f>"IMPRESORA TÉRMICA DE LÍNEAS A 200 MM/S. PAPEL DE 80MM DE ANCHO. DENSIDAD 203X203 DPI. IMPRIME QR. CORTADOR AUTOMÁTICO. INTERFAZ ETHERNET Y USB. FUENTE DE PODER INCLUIDO. MTBF: 360,000 H"</f>
        <v>IMPRESORA TÉRMICA DE LÍNEAS A 200 MM/S. PAPEL DE 80MM DE ANCHO. DENSIDAD 203X203 DPI. IMPRIME QR. CORTADOR AUTOMÁTICO. INTERFAZ ETHERNET Y USB. FUENTE DE PODER INCLUIDO. MTBF: 360,000 H</v>
      </c>
      <c r="C21548" s="6">
        <v>1011500</v>
      </c>
      <c r="D21548" s="5" t="s">
        <v>626</v>
      </c>
      <c r="E21548" s="5" t="str">
        <f t="shared" si="1072"/>
        <v>SISTEMAS-GLOBALTRONIK SAS-SERGIO PATIÑO</v>
      </c>
      <c r="F21548" s="5"/>
      <c r="G21548" s="5"/>
    </row>
    <row r="21549" spans="1:7" ht="58.5" customHeight="1" x14ac:dyDescent="0.25">
      <c r="A21549" s="5" t="str">
        <f>"H0034863"</f>
        <v>H0034863</v>
      </c>
      <c r="B21549" s="5" t="str">
        <f>"COMPUTADOR PORTATIL"</f>
        <v>COMPUTADOR PORTATIL</v>
      </c>
      <c r="C21549" s="6">
        <v>5308630.43</v>
      </c>
      <c r="D21549" s="5" t="s">
        <v>24</v>
      </c>
      <c r="E21549" s="5" t="str">
        <f t="shared" si="1072"/>
        <v>SISTEMAS-GLOBALTRONIK SAS-SERGIO PATIÑO</v>
      </c>
      <c r="F21549" s="5"/>
      <c r="G21549" s="5"/>
    </row>
    <row r="21550" spans="1:7" ht="58.5" customHeight="1" x14ac:dyDescent="0.25">
      <c r="A21550" s="5" t="str">
        <f>"H0034864"</f>
        <v>H0034864</v>
      </c>
      <c r="B21550" s="5" t="str">
        <f>"COMPUTADOR PORTATIL"</f>
        <v>COMPUTADOR PORTATIL</v>
      </c>
      <c r="C21550" s="6">
        <v>5308630.43</v>
      </c>
      <c r="D21550" s="5" t="s">
        <v>24</v>
      </c>
      <c r="E21550" s="5" t="str">
        <f t="shared" si="1072"/>
        <v>SISTEMAS-GLOBALTRONIK SAS-SERGIO PATIÑO</v>
      </c>
      <c r="F21550" s="5"/>
      <c r="G21550" s="5"/>
    </row>
    <row r="21551" spans="1:7" ht="58.5" customHeight="1" x14ac:dyDescent="0.25">
      <c r="A21551" s="5" t="str">
        <f>"H0034942"</f>
        <v>H0034942</v>
      </c>
      <c r="B21551" s="5" t="str">
        <f t="shared" ref="B21551:B21559" si="1074">"Access Point Marca Aruba Instant On Modelo AP11 (RW) Access Point, Aruba Instant On 12V Power Adapter, PC-AC-NA (NA) AC Power Cord"</f>
        <v>Access Point Marca Aruba Instant On Modelo AP11 (RW) Access Point, Aruba Instant On 12V Power Adapter, PC-AC-NA (NA) AC Power Cord</v>
      </c>
      <c r="C21551" s="6">
        <v>495000</v>
      </c>
      <c r="D21551" s="5" t="s">
        <v>491</v>
      </c>
      <c r="E21551" s="5" t="str">
        <f t="shared" si="1072"/>
        <v>SISTEMAS-GLOBALTRONIK SAS-SERGIO PATIÑO</v>
      </c>
      <c r="F21551" s="5"/>
      <c r="G21551" s="5"/>
    </row>
    <row r="21552" spans="1:7" ht="58.5" customHeight="1" x14ac:dyDescent="0.25">
      <c r="A21552" s="5" t="str">
        <f>"H0034943"</f>
        <v>H0034943</v>
      </c>
      <c r="B21552" s="5" t="str">
        <f t="shared" si="1074"/>
        <v>Access Point Marca Aruba Instant On Modelo AP11 (RW) Access Point, Aruba Instant On 12V Power Adapter, PC-AC-NA (NA) AC Power Cord</v>
      </c>
      <c r="C21552" s="6">
        <v>495000</v>
      </c>
      <c r="D21552" s="5" t="s">
        <v>491</v>
      </c>
      <c r="E21552" s="5" t="str">
        <f t="shared" si="1072"/>
        <v>SISTEMAS-GLOBALTRONIK SAS-SERGIO PATIÑO</v>
      </c>
      <c r="F21552" s="5"/>
      <c r="G21552" s="5"/>
    </row>
    <row r="21553" spans="1:7" ht="58.5" customHeight="1" x14ac:dyDescent="0.25">
      <c r="A21553" s="5" t="str">
        <f>"H0034944"</f>
        <v>H0034944</v>
      </c>
      <c r="B21553" s="5" t="str">
        <f t="shared" si="1074"/>
        <v>Access Point Marca Aruba Instant On Modelo AP11 (RW) Access Point, Aruba Instant On 12V Power Adapter, PC-AC-NA (NA) AC Power Cord</v>
      </c>
      <c r="C21553" s="6">
        <v>495000</v>
      </c>
      <c r="D21553" s="5" t="s">
        <v>491</v>
      </c>
      <c r="E21553" s="5" t="str">
        <f t="shared" si="1072"/>
        <v>SISTEMAS-GLOBALTRONIK SAS-SERGIO PATIÑO</v>
      </c>
      <c r="F21553" s="5"/>
      <c r="G21553" s="5"/>
    </row>
    <row r="21554" spans="1:7" ht="58.5" customHeight="1" x14ac:dyDescent="0.25">
      <c r="A21554" s="5" t="str">
        <f>"H0034945"</f>
        <v>H0034945</v>
      </c>
      <c r="B21554" s="5" t="str">
        <f t="shared" si="1074"/>
        <v>Access Point Marca Aruba Instant On Modelo AP11 (RW) Access Point, Aruba Instant On 12V Power Adapter, PC-AC-NA (NA) AC Power Cord</v>
      </c>
      <c r="C21554" s="6">
        <v>495000</v>
      </c>
      <c r="D21554" s="5" t="s">
        <v>491</v>
      </c>
      <c r="E21554" s="5" t="str">
        <f t="shared" si="1072"/>
        <v>SISTEMAS-GLOBALTRONIK SAS-SERGIO PATIÑO</v>
      </c>
      <c r="F21554" s="5"/>
      <c r="G21554" s="5"/>
    </row>
    <row r="21555" spans="1:7" ht="58.5" customHeight="1" x14ac:dyDescent="0.25">
      <c r="A21555" s="5" t="str">
        <f>"H0034946"</f>
        <v>H0034946</v>
      </c>
      <c r="B21555" s="5" t="str">
        <f t="shared" si="1074"/>
        <v>Access Point Marca Aruba Instant On Modelo AP11 (RW) Access Point, Aruba Instant On 12V Power Adapter, PC-AC-NA (NA) AC Power Cord</v>
      </c>
      <c r="C21555" s="6">
        <v>495000</v>
      </c>
      <c r="D21555" s="5" t="s">
        <v>491</v>
      </c>
      <c r="E21555" s="5" t="str">
        <f t="shared" si="1072"/>
        <v>SISTEMAS-GLOBALTRONIK SAS-SERGIO PATIÑO</v>
      </c>
      <c r="F21555" s="5"/>
      <c r="G21555" s="5"/>
    </row>
    <row r="21556" spans="1:7" ht="58.5" customHeight="1" x14ac:dyDescent="0.25">
      <c r="A21556" s="5" t="str">
        <f>"H0034947"</f>
        <v>H0034947</v>
      </c>
      <c r="B21556" s="5" t="str">
        <f t="shared" si="1074"/>
        <v>Access Point Marca Aruba Instant On Modelo AP11 (RW) Access Point, Aruba Instant On 12V Power Adapter, PC-AC-NA (NA) AC Power Cord</v>
      </c>
      <c r="C21556" s="6">
        <v>495000</v>
      </c>
      <c r="D21556" s="5" t="s">
        <v>491</v>
      </c>
      <c r="E21556" s="5" t="str">
        <f t="shared" si="1072"/>
        <v>SISTEMAS-GLOBALTRONIK SAS-SERGIO PATIÑO</v>
      </c>
      <c r="F21556" s="5"/>
      <c r="G21556" s="5"/>
    </row>
    <row r="21557" spans="1:7" ht="58.5" customHeight="1" x14ac:dyDescent="0.25">
      <c r="A21557" s="5" t="str">
        <f>"H0034948"</f>
        <v>H0034948</v>
      </c>
      <c r="B21557" s="5" t="str">
        <f t="shared" si="1074"/>
        <v>Access Point Marca Aruba Instant On Modelo AP11 (RW) Access Point, Aruba Instant On 12V Power Adapter, PC-AC-NA (NA) AC Power Cord</v>
      </c>
      <c r="C21557" s="6">
        <v>495000</v>
      </c>
      <c r="D21557" s="5" t="s">
        <v>491</v>
      </c>
      <c r="E21557" s="5" t="str">
        <f t="shared" si="1072"/>
        <v>SISTEMAS-GLOBALTRONIK SAS-SERGIO PATIÑO</v>
      </c>
      <c r="F21557" s="5"/>
      <c r="G21557" s="5"/>
    </row>
    <row r="21558" spans="1:7" ht="58.5" customHeight="1" x14ac:dyDescent="0.25">
      <c r="A21558" s="5" t="str">
        <f>"H0034949"</f>
        <v>H0034949</v>
      </c>
      <c r="B21558" s="5" t="str">
        <f t="shared" si="1074"/>
        <v>Access Point Marca Aruba Instant On Modelo AP11 (RW) Access Point, Aruba Instant On 12V Power Adapter, PC-AC-NA (NA) AC Power Cord</v>
      </c>
      <c r="C21558" s="6">
        <v>495000</v>
      </c>
      <c r="D21558" s="5" t="s">
        <v>491</v>
      </c>
      <c r="E21558" s="5" t="str">
        <f t="shared" si="1072"/>
        <v>SISTEMAS-GLOBALTRONIK SAS-SERGIO PATIÑO</v>
      </c>
      <c r="F21558" s="5"/>
      <c r="G21558" s="5"/>
    </row>
    <row r="21559" spans="1:7" ht="58.5" customHeight="1" x14ac:dyDescent="0.25">
      <c r="A21559" s="5" t="str">
        <f>"H0034950"</f>
        <v>H0034950</v>
      </c>
      <c r="B21559" s="5" t="str">
        <f t="shared" si="1074"/>
        <v>Access Point Marca Aruba Instant On Modelo AP11 (RW) Access Point, Aruba Instant On 12V Power Adapter, PC-AC-NA (NA) AC Power Cord</v>
      </c>
      <c r="C21559" s="6">
        <v>495000</v>
      </c>
      <c r="D21559" s="5" t="s">
        <v>491</v>
      </c>
      <c r="E21559" s="5" t="str">
        <f t="shared" si="1072"/>
        <v>SISTEMAS-GLOBALTRONIK SAS-SERGIO PATIÑO</v>
      </c>
      <c r="F21559" s="5"/>
      <c r="G21559" s="5"/>
    </row>
    <row r="21560" spans="1:7" ht="58.5" customHeight="1" x14ac:dyDescent="0.25">
      <c r="A21560" s="5" t="str">
        <f>"H0034951"</f>
        <v>H0034951</v>
      </c>
      <c r="B21560" s="5" t="str">
        <f t="shared" ref="B21560:B21581" si="1075">"Camara de Video tipo Bala 2 MP POE  REF: DS-2CD1023-I,  Temperatura de operación: -30 a 60 °C, humedad 95%  Alimentacion: 12Vcd / PoE (802.3af) / 5.5 W  Protección: IP67. Dimensiones: 69.1 x"</f>
        <v>Camara de Video tipo Bala 2 MP POE  REF: DS-2CD1023-I,  Temperatura de operación: -30 a 60 °C, humedad 95%  Alimentacion: 12Vcd / PoE (802.3af) / 5.5 W  Protección: IP67. Dimensiones: 69.1 x</v>
      </c>
      <c r="C21560" s="6">
        <v>291550</v>
      </c>
      <c r="D21560" s="5" t="s">
        <v>22</v>
      </c>
      <c r="E21560" s="5" t="str">
        <f t="shared" si="1072"/>
        <v>SISTEMAS-GLOBALTRONIK SAS-SERGIO PATIÑO</v>
      </c>
      <c r="F21560" s="5"/>
      <c r="G21560" s="5"/>
    </row>
    <row r="21561" spans="1:7" ht="58.5" customHeight="1" x14ac:dyDescent="0.25">
      <c r="A21561" s="5" t="str">
        <f>"H0034952"</f>
        <v>H0034952</v>
      </c>
      <c r="B21561" s="5" t="str">
        <f t="shared" si="1075"/>
        <v>Camara de Video tipo Bala 2 MP POE  REF: DS-2CD1023-I,  Temperatura de operación: -30 a 60 °C, humedad 95%  Alimentacion: 12Vcd / PoE (802.3af) / 5.5 W  Protección: IP67. Dimensiones: 69.1 x</v>
      </c>
      <c r="C21561" s="6">
        <v>291550</v>
      </c>
      <c r="D21561" s="5" t="s">
        <v>22</v>
      </c>
      <c r="E21561" s="5" t="str">
        <f t="shared" si="1072"/>
        <v>SISTEMAS-GLOBALTRONIK SAS-SERGIO PATIÑO</v>
      </c>
      <c r="F21561" s="5"/>
      <c r="G21561" s="5"/>
    </row>
    <row r="21562" spans="1:7" ht="58.5" customHeight="1" x14ac:dyDescent="0.25">
      <c r="A21562" s="5" t="str">
        <f>"H0034953"</f>
        <v>H0034953</v>
      </c>
      <c r="B21562" s="5" t="str">
        <f t="shared" si="1075"/>
        <v>Camara de Video tipo Bala 2 MP POE  REF: DS-2CD1023-I,  Temperatura de operación: -30 a 60 °C, humedad 95%  Alimentacion: 12Vcd / PoE (802.3af) / 5.5 W  Protección: IP67. Dimensiones: 69.1 x</v>
      </c>
      <c r="C21562" s="6">
        <v>291550</v>
      </c>
      <c r="D21562" s="5" t="s">
        <v>22</v>
      </c>
      <c r="E21562" s="5" t="str">
        <f t="shared" si="1072"/>
        <v>SISTEMAS-GLOBALTRONIK SAS-SERGIO PATIÑO</v>
      </c>
      <c r="F21562" s="5"/>
      <c r="G21562" s="5"/>
    </row>
    <row r="21563" spans="1:7" ht="58.5" customHeight="1" x14ac:dyDescent="0.25">
      <c r="A21563" s="5" t="str">
        <f>"H0034954"</f>
        <v>H0034954</v>
      </c>
      <c r="B21563" s="5" t="str">
        <f t="shared" si="1075"/>
        <v>Camara de Video tipo Bala 2 MP POE  REF: DS-2CD1023-I,  Temperatura de operación: -30 a 60 °C, humedad 95%  Alimentacion: 12Vcd / PoE (802.3af) / 5.5 W  Protección: IP67. Dimensiones: 69.1 x</v>
      </c>
      <c r="C21563" s="6">
        <v>291550</v>
      </c>
      <c r="D21563" s="5" t="s">
        <v>22</v>
      </c>
      <c r="E21563" s="5" t="str">
        <f t="shared" si="1072"/>
        <v>SISTEMAS-GLOBALTRONIK SAS-SERGIO PATIÑO</v>
      </c>
      <c r="F21563" s="5"/>
      <c r="G21563" s="5"/>
    </row>
    <row r="21564" spans="1:7" ht="58.5" customHeight="1" x14ac:dyDescent="0.25">
      <c r="A21564" s="5" t="str">
        <f>"H0034955"</f>
        <v>H0034955</v>
      </c>
      <c r="B21564" s="5" t="str">
        <f t="shared" si="1075"/>
        <v>Camara de Video tipo Bala 2 MP POE  REF: DS-2CD1023-I,  Temperatura de operación: -30 a 60 °C, humedad 95%  Alimentacion: 12Vcd / PoE (802.3af) / 5.5 W  Protección: IP67. Dimensiones: 69.1 x</v>
      </c>
      <c r="C21564" s="6">
        <v>291550</v>
      </c>
      <c r="D21564" s="5" t="s">
        <v>22</v>
      </c>
      <c r="E21564" s="5" t="str">
        <f t="shared" si="1072"/>
        <v>SISTEMAS-GLOBALTRONIK SAS-SERGIO PATIÑO</v>
      </c>
      <c r="F21564" s="5"/>
      <c r="G21564" s="5"/>
    </row>
    <row r="21565" spans="1:7" ht="58.5" customHeight="1" x14ac:dyDescent="0.25">
      <c r="A21565" s="5" t="str">
        <f>"H0034956"</f>
        <v>H0034956</v>
      </c>
      <c r="B21565" s="5" t="str">
        <f t="shared" si="1075"/>
        <v>Camara de Video tipo Bala 2 MP POE  REF: DS-2CD1023-I,  Temperatura de operación: -30 a 60 °C, humedad 95%  Alimentacion: 12Vcd / PoE (802.3af) / 5.5 W  Protección: IP67. Dimensiones: 69.1 x</v>
      </c>
      <c r="C21565" s="6">
        <v>291550</v>
      </c>
      <c r="D21565" s="5" t="s">
        <v>22</v>
      </c>
      <c r="E21565" s="5" t="str">
        <f t="shared" ref="E21565:E21628" si="1076">"SISTEMAS-GLOBALTRONIK SAS-SERGIO PATIÑO"</f>
        <v>SISTEMAS-GLOBALTRONIK SAS-SERGIO PATIÑO</v>
      </c>
      <c r="F21565" s="5"/>
      <c r="G21565" s="5"/>
    </row>
    <row r="21566" spans="1:7" ht="58.5" customHeight="1" x14ac:dyDescent="0.25">
      <c r="A21566" s="5" t="str">
        <f>"H0034957"</f>
        <v>H0034957</v>
      </c>
      <c r="B21566" s="5" t="str">
        <f t="shared" si="1075"/>
        <v>Camara de Video tipo Bala 2 MP POE  REF: DS-2CD1023-I,  Temperatura de operación: -30 a 60 °C, humedad 95%  Alimentacion: 12Vcd / PoE (802.3af) / 5.5 W  Protección: IP67. Dimensiones: 69.1 x</v>
      </c>
      <c r="C21566" s="6">
        <v>291550</v>
      </c>
      <c r="D21566" s="5" t="s">
        <v>22</v>
      </c>
      <c r="E21566" s="5" t="str">
        <f t="shared" si="1076"/>
        <v>SISTEMAS-GLOBALTRONIK SAS-SERGIO PATIÑO</v>
      </c>
      <c r="F21566" s="5"/>
      <c r="G21566" s="5"/>
    </row>
    <row r="21567" spans="1:7" ht="58.5" customHeight="1" x14ac:dyDescent="0.25">
      <c r="A21567" s="5" t="str">
        <f>"H0034958"</f>
        <v>H0034958</v>
      </c>
      <c r="B21567" s="5" t="str">
        <f t="shared" si="1075"/>
        <v>Camara de Video tipo Bala 2 MP POE  REF: DS-2CD1023-I,  Temperatura de operación: -30 a 60 °C, humedad 95%  Alimentacion: 12Vcd / PoE (802.3af) / 5.5 W  Protección: IP67. Dimensiones: 69.1 x</v>
      </c>
      <c r="C21567" s="6">
        <v>291550</v>
      </c>
      <c r="D21567" s="5" t="s">
        <v>22</v>
      </c>
      <c r="E21567" s="5" t="str">
        <f t="shared" si="1076"/>
        <v>SISTEMAS-GLOBALTRONIK SAS-SERGIO PATIÑO</v>
      </c>
      <c r="F21567" s="5"/>
      <c r="G21567" s="5"/>
    </row>
    <row r="21568" spans="1:7" ht="58.5" customHeight="1" x14ac:dyDescent="0.25">
      <c r="A21568" s="5" t="str">
        <f>"H0034959"</f>
        <v>H0034959</v>
      </c>
      <c r="B21568" s="5" t="str">
        <f t="shared" si="1075"/>
        <v>Camara de Video tipo Bala 2 MP POE  REF: DS-2CD1023-I,  Temperatura de operación: -30 a 60 °C, humedad 95%  Alimentacion: 12Vcd / PoE (802.3af) / 5.5 W  Protección: IP67. Dimensiones: 69.1 x</v>
      </c>
      <c r="C21568" s="6">
        <v>291550</v>
      </c>
      <c r="D21568" s="5" t="s">
        <v>22</v>
      </c>
      <c r="E21568" s="5" t="str">
        <f t="shared" si="1076"/>
        <v>SISTEMAS-GLOBALTRONIK SAS-SERGIO PATIÑO</v>
      </c>
      <c r="F21568" s="5"/>
      <c r="G21568" s="5"/>
    </row>
    <row r="21569" spans="1:7" ht="58.5" customHeight="1" x14ac:dyDescent="0.25">
      <c r="A21569" s="5" t="str">
        <f>"H0034960"</f>
        <v>H0034960</v>
      </c>
      <c r="B21569" s="5" t="str">
        <f t="shared" si="1075"/>
        <v>Camara de Video tipo Bala 2 MP POE  REF: DS-2CD1023-I,  Temperatura de operación: -30 a 60 °C, humedad 95%  Alimentacion: 12Vcd / PoE (802.3af) / 5.5 W  Protección: IP67. Dimensiones: 69.1 x</v>
      </c>
      <c r="C21569" s="6">
        <v>291550</v>
      </c>
      <c r="D21569" s="5" t="s">
        <v>22</v>
      </c>
      <c r="E21569" s="5" t="str">
        <f t="shared" si="1076"/>
        <v>SISTEMAS-GLOBALTRONIK SAS-SERGIO PATIÑO</v>
      </c>
      <c r="F21569" s="5"/>
      <c r="G21569" s="5"/>
    </row>
    <row r="21570" spans="1:7" ht="58.5" customHeight="1" x14ac:dyDescent="0.25">
      <c r="A21570" s="5" t="str">
        <f>"H0034961"</f>
        <v>H0034961</v>
      </c>
      <c r="B21570" s="5" t="str">
        <f t="shared" si="1075"/>
        <v>Camara de Video tipo Bala 2 MP POE  REF: DS-2CD1023-I,  Temperatura de operación: -30 a 60 °C, humedad 95%  Alimentacion: 12Vcd / PoE (802.3af) / 5.5 W  Protección: IP67. Dimensiones: 69.1 x</v>
      </c>
      <c r="C21570" s="6">
        <v>291550</v>
      </c>
      <c r="D21570" s="5" t="s">
        <v>22</v>
      </c>
      <c r="E21570" s="5" t="str">
        <f t="shared" si="1076"/>
        <v>SISTEMAS-GLOBALTRONIK SAS-SERGIO PATIÑO</v>
      </c>
      <c r="F21570" s="5"/>
      <c r="G21570" s="5"/>
    </row>
    <row r="21571" spans="1:7" ht="58.5" customHeight="1" x14ac:dyDescent="0.25">
      <c r="A21571" s="5" t="str">
        <f>"H0034962"</f>
        <v>H0034962</v>
      </c>
      <c r="B21571" s="5" t="str">
        <f t="shared" si="1075"/>
        <v>Camara de Video tipo Bala 2 MP POE  REF: DS-2CD1023-I,  Temperatura de operación: -30 a 60 °C, humedad 95%  Alimentacion: 12Vcd / PoE (802.3af) / 5.5 W  Protección: IP67. Dimensiones: 69.1 x</v>
      </c>
      <c r="C21571" s="6">
        <v>291550</v>
      </c>
      <c r="D21571" s="5" t="s">
        <v>22</v>
      </c>
      <c r="E21571" s="5" t="str">
        <f t="shared" si="1076"/>
        <v>SISTEMAS-GLOBALTRONIK SAS-SERGIO PATIÑO</v>
      </c>
      <c r="F21571" s="5"/>
      <c r="G21571" s="5"/>
    </row>
    <row r="21572" spans="1:7" ht="58.5" customHeight="1" x14ac:dyDescent="0.25">
      <c r="A21572" s="5" t="str">
        <f>"H0034963"</f>
        <v>H0034963</v>
      </c>
      <c r="B21572" s="5" t="str">
        <f t="shared" si="1075"/>
        <v>Camara de Video tipo Bala 2 MP POE  REF: DS-2CD1023-I,  Temperatura de operación: -30 a 60 °C, humedad 95%  Alimentacion: 12Vcd / PoE (802.3af) / 5.5 W  Protección: IP67. Dimensiones: 69.1 x</v>
      </c>
      <c r="C21572" s="6">
        <v>291550</v>
      </c>
      <c r="D21572" s="5" t="s">
        <v>22</v>
      </c>
      <c r="E21572" s="5" t="str">
        <f t="shared" si="1076"/>
        <v>SISTEMAS-GLOBALTRONIK SAS-SERGIO PATIÑO</v>
      </c>
      <c r="F21572" s="5"/>
      <c r="G21572" s="5"/>
    </row>
    <row r="21573" spans="1:7" ht="58.5" customHeight="1" x14ac:dyDescent="0.25">
      <c r="A21573" s="5" t="str">
        <f>"H0034964"</f>
        <v>H0034964</v>
      </c>
      <c r="B21573" s="5" t="str">
        <f t="shared" si="1075"/>
        <v>Camara de Video tipo Bala 2 MP POE  REF: DS-2CD1023-I,  Temperatura de operación: -30 a 60 °C, humedad 95%  Alimentacion: 12Vcd / PoE (802.3af) / 5.5 W  Protección: IP67. Dimensiones: 69.1 x</v>
      </c>
      <c r="C21573" s="6">
        <v>291550</v>
      </c>
      <c r="D21573" s="5" t="s">
        <v>22</v>
      </c>
      <c r="E21573" s="5" t="str">
        <f t="shared" si="1076"/>
        <v>SISTEMAS-GLOBALTRONIK SAS-SERGIO PATIÑO</v>
      </c>
      <c r="F21573" s="5"/>
      <c r="G21573" s="5"/>
    </row>
    <row r="21574" spans="1:7" ht="58.5" customHeight="1" x14ac:dyDescent="0.25">
      <c r="A21574" s="5" t="str">
        <f>"H0034965"</f>
        <v>H0034965</v>
      </c>
      <c r="B21574" s="5" t="str">
        <f t="shared" si="1075"/>
        <v>Camara de Video tipo Bala 2 MP POE  REF: DS-2CD1023-I,  Temperatura de operación: -30 a 60 °C, humedad 95%  Alimentacion: 12Vcd / PoE (802.3af) / 5.5 W  Protección: IP67. Dimensiones: 69.1 x</v>
      </c>
      <c r="C21574" s="6">
        <v>291550</v>
      </c>
      <c r="D21574" s="5" t="s">
        <v>22</v>
      </c>
      <c r="E21574" s="5" t="str">
        <f t="shared" si="1076"/>
        <v>SISTEMAS-GLOBALTRONIK SAS-SERGIO PATIÑO</v>
      </c>
      <c r="F21574" s="5"/>
      <c r="G21574" s="5"/>
    </row>
    <row r="21575" spans="1:7" ht="58.5" customHeight="1" x14ac:dyDescent="0.25">
      <c r="A21575" s="5" t="str">
        <f>"H0034966"</f>
        <v>H0034966</v>
      </c>
      <c r="B21575" s="5" t="str">
        <f t="shared" si="1075"/>
        <v>Camara de Video tipo Bala 2 MP POE  REF: DS-2CD1023-I,  Temperatura de operación: -30 a 60 °C, humedad 95%  Alimentacion: 12Vcd / PoE (802.3af) / 5.5 W  Protección: IP67. Dimensiones: 69.1 x</v>
      </c>
      <c r="C21575" s="6">
        <v>291550</v>
      </c>
      <c r="D21575" s="5" t="s">
        <v>22</v>
      </c>
      <c r="E21575" s="5" t="str">
        <f t="shared" si="1076"/>
        <v>SISTEMAS-GLOBALTRONIK SAS-SERGIO PATIÑO</v>
      </c>
      <c r="F21575" s="5"/>
      <c r="G21575" s="5"/>
    </row>
    <row r="21576" spans="1:7" ht="58.5" customHeight="1" x14ac:dyDescent="0.25">
      <c r="A21576" s="5" t="str">
        <f>"H0034967"</f>
        <v>H0034967</v>
      </c>
      <c r="B21576" s="5" t="str">
        <f t="shared" si="1075"/>
        <v>Camara de Video tipo Bala 2 MP POE  REF: DS-2CD1023-I,  Temperatura de operación: -30 a 60 °C, humedad 95%  Alimentacion: 12Vcd / PoE (802.3af) / 5.5 W  Protección: IP67. Dimensiones: 69.1 x</v>
      </c>
      <c r="C21576" s="6">
        <v>291550</v>
      </c>
      <c r="D21576" s="5" t="s">
        <v>22</v>
      </c>
      <c r="E21576" s="5" t="str">
        <f t="shared" si="1076"/>
        <v>SISTEMAS-GLOBALTRONIK SAS-SERGIO PATIÑO</v>
      </c>
      <c r="F21576" s="5"/>
      <c r="G21576" s="5"/>
    </row>
    <row r="21577" spans="1:7" ht="58.5" customHeight="1" x14ac:dyDescent="0.25">
      <c r="A21577" s="5" t="str">
        <f>"H0034968"</f>
        <v>H0034968</v>
      </c>
      <c r="B21577" s="5" t="str">
        <f t="shared" si="1075"/>
        <v>Camara de Video tipo Bala 2 MP POE  REF: DS-2CD1023-I,  Temperatura de operación: -30 a 60 °C, humedad 95%  Alimentacion: 12Vcd / PoE (802.3af) / 5.5 W  Protección: IP67. Dimensiones: 69.1 x</v>
      </c>
      <c r="C21577" s="6">
        <v>291550</v>
      </c>
      <c r="D21577" s="5" t="s">
        <v>22</v>
      </c>
      <c r="E21577" s="5" t="str">
        <f t="shared" si="1076"/>
        <v>SISTEMAS-GLOBALTRONIK SAS-SERGIO PATIÑO</v>
      </c>
      <c r="F21577" s="5"/>
      <c r="G21577" s="5"/>
    </row>
    <row r="21578" spans="1:7" ht="58.5" customHeight="1" x14ac:dyDescent="0.25">
      <c r="A21578" s="5" t="str">
        <f>"H0034969"</f>
        <v>H0034969</v>
      </c>
      <c r="B21578" s="5" t="str">
        <f t="shared" si="1075"/>
        <v>Camara de Video tipo Bala 2 MP POE  REF: DS-2CD1023-I,  Temperatura de operación: -30 a 60 °C, humedad 95%  Alimentacion: 12Vcd / PoE (802.3af) / 5.5 W  Protección: IP67. Dimensiones: 69.1 x</v>
      </c>
      <c r="C21578" s="6">
        <v>291550</v>
      </c>
      <c r="D21578" s="5" t="s">
        <v>22</v>
      </c>
      <c r="E21578" s="5" t="str">
        <f t="shared" si="1076"/>
        <v>SISTEMAS-GLOBALTRONIK SAS-SERGIO PATIÑO</v>
      </c>
      <c r="F21578" s="5"/>
      <c r="G21578" s="5"/>
    </row>
    <row r="21579" spans="1:7" ht="58.5" customHeight="1" x14ac:dyDescent="0.25">
      <c r="A21579" s="5" t="str">
        <f>"H0034970"</f>
        <v>H0034970</v>
      </c>
      <c r="B21579" s="5" t="str">
        <f t="shared" si="1075"/>
        <v>Camara de Video tipo Bala 2 MP POE  REF: DS-2CD1023-I,  Temperatura de operación: -30 a 60 °C, humedad 95%  Alimentacion: 12Vcd / PoE (802.3af) / 5.5 W  Protección: IP67. Dimensiones: 69.1 x</v>
      </c>
      <c r="C21579" s="6">
        <v>291550</v>
      </c>
      <c r="D21579" s="5" t="s">
        <v>22</v>
      </c>
      <c r="E21579" s="5" t="str">
        <f t="shared" si="1076"/>
        <v>SISTEMAS-GLOBALTRONIK SAS-SERGIO PATIÑO</v>
      </c>
      <c r="F21579" s="5"/>
      <c r="G21579" s="5"/>
    </row>
    <row r="21580" spans="1:7" ht="58.5" customHeight="1" x14ac:dyDescent="0.25">
      <c r="A21580" s="5" t="str">
        <f>"H0034971"</f>
        <v>H0034971</v>
      </c>
      <c r="B21580" s="5" t="str">
        <f t="shared" si="1075"/>
        <v>Camara de Video tipo Bala 2 MP POE  REF: DS-2CD1023-I,  Temperatura de operación: -30 a 60 °C, humedad 95%  Alimentacion: 12Vcd / PoE (802.3af) / 5.5 W  Protección: IP67. Dimensiones: 69.1 x</v>
      </c>
      <c r="C21580" s="6">
        <v>291550</v>
      </c>
      <c r="D21580" s="5" t="s">
        <v>22</v>
      </c>
      <c r="E21580" s="5" t="str">
        <f t="shared" si="1076"/>
        <v>SISTEMAS-GLOBALTRONIK SAS-SERGIO PATIÑO</v>
      </c>
      <c r="F21580" s="5"/>
      <c r="G21580" s="5"/>
    </row>
    <row r="21581" spans="1:7" ht="58.5" customHeight="1" x14ac:dyDescent="0.25">
      <c r="A21581" s="5" t="str">
        <f>"H0034972"</f>
        <v>H0034972</v>
      </c>
      <c r="B21581" s="5" t="str">
        <f t="shared" si="1075"/>
        <v>Camara de Video tipo Bala 2 MP POE  REF: DS-2CD1023-I,  Temperatura de operación: -30 a 60 °C, humedad 95%  Alimentacion: 12Vcd / PoE (802.3af) / 5.5 W  Protección: IP67. Dimensiones: 69.1 x</v>
      </c>
      <c r="C21581" s="6">
        <v>291550</v>
      </c>
      <c r="D21581" s="5" t="s">
        <v>22</v>
      </c>
      <c r="E21581" s="5" t="str">
        <f t="shared" si="1076"/>
        <v>SISTEMAS-GLOBALTRONIK SAS-SERGIO PATIÑO</v>
      </c>
      <c r="F21581" s="5"/>
      <c r="G21581" s="5"/>
    </row>
    <row r="21582" spans="1:7" ht="58.5" customHeight="1" x14ac:dyDescent="0.25">
      <c r="A21582" s="5" t="str">
        <f>"H0034973"</f>
        <v>H0034973</v>
      </c>
      <c r="B21582" s="5" t="str">
        <f t="shared" ref="B21582:B21590" si="1077">"UPS OmniSmart interactivo de 120V, 50Hz /60 Hz, 1500VA 810W, Torre, pantalla LCD, puerto USB, Energy Star V2.0. Corriente especificada de entrada (Carga Máxima) 12A, Voltaje(s) Nominal(es) de Entrada"</f>
        <v>UPS OmniSmart interactivo de 120V, 50Hz /60 Hz, 1500VA 810W, Torre, pantalla LCD, puerto USB, Energy Star V2.0. Corriente especificada de entrada (Carga Máxima) 12A, Voltaje(s) Nominal(es) de Entrada</v>
      </c>
      <c r="C21582" s="6">
        <v>850850</v>
      </c>
      <c r="D21582" s="5" t="s">
        <v>22</v>
      </c>
      <c r="E21582" s="5" t="str">
        <f t="shared" si="1076"/>
        <v>SISTEMAS-GLOBALTRONIK SAS-SERGIO PATIÑO</v>
      </c>
      <c r="F21582" s="5"/>
      <c r="G21582" s="5"/>
    </row>
    <row r="21583" spans="1:7" ht="58.5" customHeight="1" x14ac:dyDescent="0.25">
      <c r="A21583" s="5" t="str">
        <f>"H0034974"</f>
        <v>H0034974</v>
      </c>
      <c r="B21583" s="5" t="str">
        <f t="shared" si="1077"/>
        <v>UPS OmniSmart interactivo de 120V, 50Hz /60 Hz, 1500VA 810W, Torre, pantalla LCD, puerto USB, Energy Star V2.0. Corriente especificada de entrada (Carga Máxima) 12A, Voltaje(s) Nominal(es) de Entrada</v>
      </c>
      <c r="C21583" s="6">
        <v>850850</v>
      </c>
      <c r="D21583" s="5" t="s">
        <v>22</v>
      </c>
      <c r="E21583" s="5" t="str">
        <f t="shared" si="1076"/>
        <v>SISTEMAS-GLOBALTRONIK SAS-SERGIO PATIÑO</v>
      </c>
      <c r="F21583" s="5"/>
      <c r="G21583" s="5"/>
    </row>
    <row r="21584" spans="1:7" ht="58.5" customHeight="1" x14ac:dyDescent="0.25">
      <c r="A21584" s="5" t="str">
        <f>"H0034975"</f>
        <v>H0034975</v>
      </c>
      <c r="B21584" s="5" t="str">
        <f t="shared" si="1077"/>
        <v>UPS OmniSmart interactivo de 120V, 50Hz /60 Hz, 1500VA 810W, Torre, pantalla LCD, puerto USB, Energy Star V2.0. Corriente especificada de entrada (Carga Máxima) 12A, Voltaje(s) Nominal(es) de Entrada</v>
      </c>
      <c r="C21584" s="6">
        <v>850850</v>
      </c>
      <c r="D21584" s="5" t="s">
        <v>22</v>
      </c>
      <c r="E21584" s="5" t="str">
        <f t="shared" si="1076"/>
        <v>SISTEMAS-GLOBALTRONIK SAS-SERGIO PATIÑO</v>
      </c>
      <c r="F21584" s="5"/>
      <c r="G21584" s="5"/>
    </row>
    <row r="21585" spans="1:7" ht="58.5" customHeight="1" x14ac:dyDescent="0.25">
      <c r="A21585" s="5" t="str">
        <f>"H0034976"</f>
        <v>H0034976</v>
      </c>
      <c r="B21585" s="5" t="str">
        <f t="shared" si="1077"/>
        <v>UPS OmniSmart interactivo de 120V, 50Hz /60 Hz, 1500VA 810W, Torre, pantalla LCD, puerto USB, Energy Star V2.0. Corriente especificada de entrada (Carga Máxima) 12A, Voltaje(s) Nominal(es) de Entrada</v>
      </c>
      <c r="C21585" s="6">
        <v>850850</v>
      </c>
      <c r="D21585" s="5" t="s">
        <v>22</v>
      </c>
      <c r="E21585" s="5" t="str">
        <f t="shared" si="1076"/>
        <v>SISTEMAS-GLOBALTRONIK SAS-SERGIO PATIÑO</v>
      </c>
      <c r="F21585" s="5"/>
      <c r="G21585" s="5"/>
    </row>
    <row r="21586" spans="1:7" ht="58.5" customHeight="1" x14ac:dyDescent="0.25">
      <c r="A21586" s="5" t="str">
        <f>"H0034977"</f>
        <v>H0034977</v>
      </c>
      <c r="B21586" s="5" t="str">
        <f t="shared" si="1077"/>
        <v>UPS OmniSmart interactivo de 120V, 50Hz /60 Hz, 1500VA 810W, Torre, pantalla LCD, puerto USB, Energy Star V2.0. Corriente especificada de entrada (Carga Máxima) 12A, Voltaje(s) Nominal(es) de Entrada</v>
      </c>
      <c r="C21586" s="6">
        <v>850850</v>
      </c>
      <c r="D21586" s="5" t="s">
        <v>22</v>
      </c>
      <c r="E21586" s="5" t="str">
        <f t="shared" si="1076"/>
        <v>SISTEMAS-GLOBALTRONIK SAS-SERGIO PATIÑO</v>
      </c>
      <c r="F21586" s="5"/>
      <c r="G21586" s="5"/>
    </row>
    <row r="21587" spans="1:7" ht="58.5" customHeight="1" x14ac:dyDescent="0.25">
      <c r="A21587" s="5" t="str">
        <f>"H0034978"</f>
        <v>H0034978</v>
      </c>
      <c r="B21587" s="5" t="str">
        <f t="shared" si="1077"/>
        <v>UPS OmniSmart interactivo de 120V, 50Hz /60 Hz, 1500VA 810W, Torre, pantalla LCD, puerto USB, Energy Star V2.0. Corriente especificada de entrada (Carga Máxima) 12A, Voltaje(s) Nominal(es) de Entrada</v>
      </c>
      <c r="C21587" s="6">
        <v>850850</v>
      </c>
      <c r="D21587" s="5" t="s">
        <v>22</v>
      </c>
      <c r="E21587" s="5" t="str">
        <f t="shared" si="1076"/>
        <v>SISTEMAS-GLOBALTRONIK SAS-SERGIO PATIÑO</v>
      </c>
      <c r="F21587" s="5"/>
      <c r="G21587" s="5"/>
    </row>
    <row r="21588" spans="1:7" ht="58.5" customHeight="1" x14ac:dyDescent="0.25">
      <c r="A21588" s="5" t="str">
        <f>"H0034979"</f>
        <v>H0034979</v>
      </c>
      <c r="B21588" s="5" t="str">
        <f t="shared" si="1077"/>
        <v>UPS OmniSmart interactivo de 120V, 50Hz /60 Hz, 1500VA 810W, Torre, pantalla LCD, puerto USB, Energy Star V2.0. Corriente especificada de entrada (Carga Máxima) 12A, Voltaje(s) Nominal(es) de Entrada</v>
      </c>
      <c r="C21588" s="6">
        <v>850850</v>
      </c>
      <c r="D21588" s="5" t="s">
        <v>22</v>
      </c>
      <c r="E21588" s="5" t="str">
        <f t="shared" si="1076"/>
        <v>SISTEMAS-GLOBALTRONIK SAS-SERGIO PATIÑO</v>
      </c>
      <c r="F21588" s="5"/>
      <c r="G21588" s="5"/>
    </row>
    <row r="21589" spans="1:7" ht="58.5" customHeight="1" x14ac:dyDescent="0.25">
      <c r="A21589" s="5" t="str">
        <f>"H0034980"</f>
        <v>H0034980</v>
      </c>
      <c r="B21589" s="5" t="str">
        <f t="shared" si="1077"/>
        <v>UPS OmniSmart interactivo de 120V, 50Hz /60 Hz, 1500VA 810W, Torre, pantalla LCD, puerto USB, Energy Star V2.0. Corriente especificada de entrada (Carga Máxima) 12A, Voltaje(s) Nominal(es) de Entrada</v>
      </c>
      <c r="C21589" s="6">
        <v>850850</v>
      </c>
      <c r="D21589" s="5" t="s">
        <v>22</v>
      </c>
      <c r="E21589" s="5" t="str">
        <f t="shared" si="1076"/>
        <v>SISTEMAS-GLOBALTRONIK SAS-SERGIO PATIÑO</v>
      </c>
      <c r="F21589" s="5"/>
      <c r="G21589" s="5"/>
    </row>
    <row r="21590" spans="1:7" ht="58.5" customHeight="1" x14ac:dyDescent="0.25">
      <c r="A21590" s="5" t="str">
        <f>"H0034981"</f>
        <v>H0034981</v>
      </c>
      <c r="B21590" s="5" t="str">
        <f t="shared" si="1077"/>
        <v>UPS OmniSmart interactivo de 120V, 50Hz /60 Hz, 1500VA 810W, Torre, pantalla LCD, puerto USB, Energy Star V2.0. Corriente especificada de entrada (Carga Máxima) 12A, Voltaje(s) Nominal(es) de Entrada</v>
      </c>
      <c r="C21590" s="6">
        <v>850850</v>
      </c>
      <c r="D21590" s="5" t="s">
        <v>22</v>
      </c>
      <c r="E21590" s="5" t="str">
        <f t="shared" si="1076"/>
        <v>SISTEMAS-GLOBALTRONIK SAS-SERGIO PATIÑO</v>
      </c>
      <c r="F21590" s="5"/>
      <c r="G21590" s="5"/>
    </row>
    <row r="21591" spans="1:7" ht="58.5" customHeight="1" x14ac:dyDescent="0.25">
      <c r="A21591" s="5" t="str">
        <f>"H0035000"</f>
        <v>H0035000</v>
      </c>
      <c r="B21591" s="5" t="s">
        <v>277</v>
      </c>
      <c r="C21591" s="6">
        <v>1044820</v>
      </c>
      <c r="D21591" s="5" t="s">
        <v>22</v>
      </c>
      <c r="E21591" s="5" t="str">
        <f t="shared" si="1076"/>
        <v>SISTEMAS-GLOBALTRONIK SAS-SERGIO PATIÑO</v>
      </c>
      <c r="F21591" s="5"/>
      <c r="G21591" s="5"/>
    </row>
    <row r="21592" spans="1:7" ht="58.5" customHeight="1" x14ac:dyDescent="0.25">
      <c r="A21592" s="5" t="str">
        <f>"H0035003"</f>
        <v>H0035003</v>
      </c>
      <c r="B21592" s="5" t="str">
        <f>"Altavoces Estéreo Ac Logitech S120, Control Volumen / 3.5mm"</f>
        <v>Altavoces Estéreo Ac Logitech S120, Control Volumen / 3.5mm</v>
      </c>
      <c r="C21592" s="6">
        <v>83300</v>
      </c>
      <c r="D21592" s="5" t="s">
        <v>22</v>
      </c>
      <c r="E21592" s="5" t="str">
        <f t="shared" si="1076"/>
        <v>SISTEMAS-GLOBALTRONIK SAS-SERGIO PATIÑO</v>
      </c>
      <c r="F21592" s="5"/>
      <c r="G21592" s="5"/>
    </row>
    <row r="21593" spans="1:7" ht="58.5" customHeight="1" x14ac:dyDescent="0.25">
      <c r="A21593" s="5" t="str">
        <f>"H0035004"</f>
        <v>H0035004</v>
      </c>
      <c r="B21593" s="5" t="str">
        <f>"Altavoces Estéreo Ac Logitech S120, Control Volumen / 3.5mm"</f>
        <v>Altavoces Estéreo Ac Logitech S120, Control Volumen / 3.5mm</v>
      </c>
      <c r="C21593" s="6">
        <v>83300</v>
      </c>
      <c r="D21593" s="5" t="s">
        <v>22</v>
      </c>
      <c r="E21593" s="5" t="str">
        <f t="shared" si="1076"/>
        <v>SISTEMAS-GLOBALTRONIK SAS-SERGIO PATIÑO</v>
      </c>
      <c r="F21593" s="5"/>
      <c r="G21593" s="5"/>
    </row>
    <row r="21594" spans="1:7" ht="58.5" customHeight="1" x14ac:dyDescent="0.25">
      <c r="A21594" s="5" t="str">
        <f>"H0035007"</f>
        <v>H0035007</v>
      </c>
      <c r="B21594" s="5" t="str">
        <f>"Altavoces Estéreo Ac Logitech S120, Control Volumen / 3.5mm"</f>
        <v>Altavoces Estéreo Ac Logitech S120, Control Volumen / 3.5mm</v>
      </c>
      <c r="C21594" s="6">
        <v>83300</v>
      </c>
      <c r="D21594" s="5" t="s">
        <v>22</v>
      </c>
      <c r="E21594" s="5" t="str">
        <f t="shared" si="1076"/>
        <v>SISTEMAS-GLOBALTRONIK SAS-SERGIO PATIÑO</v>
      </c>
      <c r="F21594" s="5"/>
      <c r="G21594" s="5"/>
    </row>
    <row r="21595" spans="1:7" ht="58.5" customHeight="1" x14ac:dyDescent="0.25">
      <c r="A21595" s="5" t="str">
        <f>"H0035028"</f>
        <v>H0035028</v>
      </c>
      <c r="B21595"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1595" s="6">
        <v>5289550</v>
      </c>
      <c r="D21595" s="5" t="s">
        <v>22</v>
      </c>
      <c r="E21595" s="5" t="str">
        <f t="shared" si="1076"/>
        <v>SISTEMAS-GLOBALTRONIK SAS-SERGIO PATIÑO</v>
      </c>
      <c r="F21595" s="5"/>
      <c r="G21595" s="5"/>
    </row>
    <row r="21596" spans="1:7" ht="58.5" customHeight="1" x14ac:dyDescent="0.25">
      <c r="A21596" s="5" t="str">
        <f>"H0035057"</f>
        <v>H0035057</v>
      </c>
      <c r="B21596" s="5" t="str">
        <f>"RACK (GABINETE) VERTICAL"</f>
        <v>RACK (GABINETE) VERTICAL</v>
      </c>
      <c r="C21596" s="6">
        <v>1993250</v>
      </c>
      <c r="D21596" s="5" t="s">
        <v>885</v>
      </c>
      <c r="E21596" s="5" t="str">
        <f t="shared" si="1076"/>
        <v>SISTEMAS-GLOBALTRONIK SAS-SERGIO PATIÑO</v>
      </c>
      <c r="F21596" s="5"/>
      <c r="G21596" s="5"/>
    </row>
    <row r="21597" spans="1:7" ht="58.5" customHeight="1" x14ac:dyDescent="0.25">
      <c r="A21597" s="5" t="str">
        <f>"H0035059"</f>
        <v>H0035059</v>
      </c>
      <c r="B21597" s="5" t="str">
        <f>"BANDEJA PARA FIBRA OPTICA"</f>
        <v>BANDEJA PARA FIBRA OPTICA</v>
      </c>
      <c r="C21597" s="6">
        <v>3391500</v>
      </c>
      <c r="D21597" s="5" t="s">
        <v>885</v>
      </c>
      <c r="E21597" s="5" t="str">
        <f t="shared" si="1076"/>
        <v>SISTEMAS-GLOBALTRONIK SAS-SERGIO PATIÑO</v>
      </c>
      <c r="F21597" s="5"/>
      <c r="G21597" s="5"/>
    </row>
    <row r="21598" spans="1:7" ht="58.5" customHeight="1" x14ac:dyDescent="0.25">
      <c r="A21598" s="5" t="str">
        <f>"H0035060"</f>
        <v>H0035060</v>
      </c>
      <c r="B21598" s="5" t="str">
        <f>"BANDEJA PARA FIBRA OPTICA"</f>
        <v>BANDEJA PARA FIBRA OPTICA</v>
      </c>
      <c r="C21598" s="6">
        <v>3391500</v>
      </c>
      <c r="D21598" s="5" t="s">
        <v>885</v>
      </c>
      <c r="E21598" s="5" t="str">
        <f t="shared" si="1076"/>
        <v>SISTEMAS-GLOBALTRONIK SAS-SERGIO PATIÑO</v>
      </c>
      <c r="F21598" s="5"/>
      <c r="G21598" s="5"/>
    </row>
    <row r="21599" spans="1:7" ht="58.5" customHeight="1" x14ac:dyDescent="0.25">
      <c r="A21599" s="5" t="str">
        <f>"H0035061"</f>
        <v>H0035061</v>
      </c>
      <c r="B21599" s="5" t="str">
        <f>"PATCH PANEL 24 PUERTOS"</f>
        <v>PATCH PANEL 24 PUERTOS</v>
      </c>
      <c r="C21599" s="6">
        <v>1135974</v>
      </c>
      <c r="D21599" s="5" t="s">
        <v>885</v>
      </c>
      <c r="E21599" s="5" t="str">
        <f t="shared" si="1076"/>
        <v>SISTEMAS-GLOBALTRONIK SAS-SERGIO PATIÑO</v>
      </c>
      <c r="F21599" s="5"/>
      <c r="G21599" s="5"/>
    </row>
    <row r="21600" spans="1:7" ht="58.5" customHeight="1" x14ac:dyDescent="0.25">
      <c r="A21600" s="5" t="str">
        <f>"H0035062"</f>
        <v>H0035062</v>
      </c>
      <c r="B21600" s="5" t="str">
        <f>"PATCH PANEL 24 PUERTOS"</f>
        <v>PATCH PANEL 24 PUERTOS</v>
      </c>
      <c r="C21600" s="6">
        <v>1135974</v>
      </c>
      <c r="D21600" s="5" t="s">
        <v>885</v>
      </c>
      <c r="E21600" s="5" t="str">
        <f t="shared" si="1076"/>
        <v>SISTEMAS-GLOBALTRONIK SAS-SERGIO PATIÑO</v>
      </c>
      <c r="F21600" s="5"/>
      <c r="G21600" s="5"/>
    </row>
    <row r="21601" spans="1:7" ht="58.5" customHeight="1" x14ac:dyDescent="0.25">
      <c r="A21601" s="5" t="str">
        <f>"H0035063"</f>
        <v>H0035063</v>
      </c>
      <c r="B21601" s="5" t="str">
        <f>"PATCH PANEL 24 PUERTOS"</f>
        <v>PATCH PANEL 24 PUERTOS</v>
      </c>
      <c r="C21601" s="6">
        <v>1135974</v>
      </c>
      <c r="D21601" s="5" t="s">
        <v>885</v>
      </c>
      <c r="E21601" s="5" t="str">
        <f t="shared" si="1076"/>
        <v>SISTEMAS-GLOBALTRONIK SAS-SERGIO PATIÑO</v>
      </c>
      <c r="F21601" s="5"/>
      <c r="G21601" s="5"/>
    </row>
    <row r="21602" spans="1:7" ht="58.5" customHeight="1" x14ac:dyDescent="0.25">
      <c r="A21602" s="5" t="str">
        <f>"H0035064"</f>
        <v>H0035064</v>
      </c>
      <c r="B21602" s="5" t="str">
        <f>"PATCH PANEL 24 PUERTOS"</f>
        <v>PATCH PANEL 24 PUERTOS</v>
      </c>
      <c r="C21602" s="6">
        <v>1135974</v>
      </c>
      <c r="D21602" s="5" t="s">
        <v>886</v>
      </c>
      <c r="E21602" s="5" t="str">
        <f t="shared" si="1076"/>
        <v>SISTEMAS-GLOBALTRONIK SAS-SERGIO PATIÑO</v>
      </c>
      <c r="F21602" s="5"/>
      <c r="G21602" s="5"/>
    </row>
    <row r="21603" spans="1:7" ht="58.5" customHeight="1" x14ac:dyDescent="0.25">
      <c r="A21603" s="5" t="str">
        <f>"H0035189"</f>
        <v>H0035189</v>
      </c>
      <c r="B21603" s="5" t="str">
        <f t="shared" ref="B21603:B21614" si="1078">"LECTOR DE HUELLAS DIGITALES"</f>
        <v>LECTOR DE HUELLAS DIGITALES</v>
      </c>
      <c r="C21603" s="6">
        <v>357666.4</v>
      </c>
      <c r="D21603" s="5" t="s">
        <v>126</v>
      </c>
      <c r="E21603" s="5" t="str">
        <f t="shared" si="1076"/>
        <v>SISTEMAS-GLOBALTRONIK SAS-SERGIO PATIÑO</v>
      </c>
      <c r="F21603" s="5"/>
      <c r="G21603" s="5"/>
    </row>
    <row r="21604" spans="1:7" ht="58.5" customHeight="1" x14ac:dyDescent="0.25">
      <c r="A21604" s="5" t="str">
        <f>"H0035190"</f>
        <v>H0035190</v>
      </c>
      <c r="B21604" s="5" t="str">
        <f t="shared" si="1078"/>
        <v>LECTOR DE HUELLAS DIGITALES</v>
      </c>
      <c r="C21604" s="6">
        <v>357666.4</v>
      </c>
      <c r="D21604" s="5" t="s">
        <v>126</v>
      </c>
      <c r="E21604" s="5" t="str">
        <f t="shared" si="1076"/>
        <v>SISTEMAS-GLOBALTRONIK SAS-SERGIO PATIÑO</v>
      </c>
      <c r="F21604" s="5"/>
      <c r="G21604" s="5"/>
    </row>
    <row r="21605" spans="1:7" ht="58.5" customHeight="1" x14ac:dyDescent="0.25">
      <c r="A21605" s="5" t="str">
        <f>"H0035191"</f>
        <v>H0035191</v>
      </c>
      <c r="B21605" s="5" t="str">
        <f t="shared" si="1078"/>
        <v>LECTOR DE HUELLAS DIGITALES</v>
      </c>
      <c r="C21605" s="6">
        <v>357666.4</v>
      </c>
      <c r="D21605" s="5" t="s">
        <v>126</v>
      </c>
      <c r="E21605" s="5" t="str">
        <f t="shared" si="1076"/>
        <v>SISTEMAS-GLOBALTRONIK SAS-SERGIO PATIÑO</v>
      </c>
      <c r="F21605" s="5"/>
      <c r="G21605" s="5"/>
    </row>
    <row r="21606" spans="1:7" ht="58.5" customHeight="1" x14ac:dyDescent="0.25">
      <c r="A21606" s="5" t="str">
        <f>"H0035192"</f>
        <v>H0035192</v>
      </c>
      <c r="B21606" s="5" t="str">
        <f t="shared" si="1078"/>
        <v>LECTOR DE HUELLAS DIGITALES</v>
      </c>
      <c r="C21606" s="6">
        <v>357666.4</v>
      </c>
      <c r="D21606" s="5" t="s">
        <v>126</v>
      </c>
      <c r="E21606" s="5" t="str">
        <f t="shared" si="1076"/>
        <v>SISTEMAS-GLOBALTRONIK SAS-SERGIO PATIÑO</v>
      </c>
      <c r="F21606" s="5"/>
      <c r="G21606" s="5"/>
    </row>
    <row r="21607" spans="1:7" ht="58.5" customHeight="1" x14ac:dyDescent="0.25">
      <c r="A21607" s="5" t="str">
        <f>"H0035193"</f>
        <v>H0035193</v>
      </c>
      <c r="B21607" s="5" t="str">
        <f t="shared" si="1078"/>
        <v>LECTOR DE HUELLAS DIGITALES</v>
      </c>
      <c r="C21607" s="6">
        <v>357666.4</v>
      </c>
      <c r="D21607" s="5" t="s">
        <v>126</v>
      </c>
      <c r="E21607" s="5" t="str">
        <f t="shared" si="1076"/>
        <v>SISTEMAS-GLOBALTRONIK SAS-SERGIO PATIÑO</v>
      </c>
      <c r="F21607" s="5"/>
      <c r="G21607" s="5"/>
    </row>
    <row r="21608" spans="1:7" ht="58.5" customHeight="1" x14ac:dyDescent="0.25">
      <c r="A21608" s="5" t="str">
        <f>"H0035195"</f>
        <v>H0035195</v>
      </c>
      <c r="B21608" s="5" t="str">
        <f t="shared" si="1078"/>
        <v>LECTOR DE HUELLAS DIGITALES</v>
      </c>
      <c r="C21608" s="6">
        <v>357666.4</v>
      </c>
      <c r="D21608" s="5" t="s">
        <v>126</v>
      </c>
      <c r="E21608" s="5" t="str">
        <f t="shared" si="1076"/>
        <v>SISTEMAS-GLOBALTRONIK SAS-SERGIO PATIÑO</v>
      </c>
      <c r="F21608" s="5"/>
      <c r="G21608" s="5"/>
    </row>
    <row r="21609" spans="1:7" ht="58.5" customHeight="1" x14ac:dyDescent="0.25">
      <c r="A21609" s="5" t="str">
        <f>"H0035207"</f>
        <v>H0035207</v>
      </c>
      <c r="B21609" s="5" t="str">
        <f t="shared" si="1078"/>
        <v>LECTOR DE HUELLAS DIGITALES</v>
      </c>
      <c r="C21609" s="6">
        <v>357666.4</v>
      </c>
      <c r="D21609" s="5" t="s">
        <v>126</v>
      </c>
      <c r="E21609" s="5" t="str">
        <f t="shared" si="1076"/>
        <v>SISTEMAS-GLOBALTRONIK SAS-SERGIO PATIÑO</v>
      </c>
      <c r="F21609" s="5"/>
      <c r="G21609" s="5"/>
    </row>
    <row r="21610" spans="1:7" ht="58.5" customHeight="1" x14ac:dyDescent="0.25">
      <c r="A21610" s="5" t="str">
        <f>"H0035213"</f>
        <v>H0035213</v>
      </c>
      <c r="B21610" s="5" t="str">
        <f t="shared" si="1078"/>
        <v>LECTOR DE HUELLAS DIGITALES</v>
      </c>
      <c r="C21610" s="6">
        <v>357666.4</v>
      </c>
      <c r="D21610" s="5" t="s">
        <v>126</v>
      </c>
      <c r="E21610" s="5" t="str">
        <f t="shared" si="1076"/>
        <v>SISTEMAS-GLOBALTRONIK SAS-SERGIO PATIÑO</v>
      </c>
      <c r="F21610" s="5"/>
      <c r="G21610" s="5"/>
    </row>
    <row r="21611" spans="1:7" ht="58.5" customHeight="1" x14ac:dyDescent="0.25">
      <c r="A21611" s="5" t="str">
        <f>"H0035214"</f>
        <v>H0035214</v>
      </c>
      <c r="B21611" s="5" t="str">
        <f t="shared" si="1078"/>
        <v>LECTOR DE HUELLAS DIGITALES</v>
      </c>
      <c r="C21611" s="6">
        <v>357666.4</v>
      </c>
      <c r="D21611" s="5" t="s">
        <v>126</v>
      </c>
      <c r="E21611" s="5" t="str">
        <f t="shared" si="1076"/>
        <v>SISTEMAS-GLOBALTRONIK SAS-SERGIO PATIÑO</v>
      </c>
      <c r="F21611" s="5"/>
      <c r="G21611" s="5"/>
    </row>
    <row r="21612" spans="1:7" ht="58.5" customHeight="1" x14ac:dyDescent="0.25">
      <c r="A21612" s="5" t="str">
        <f>"H0035216"</f>
        <v>H0035216</v>
      </c>
      <c r="B21612" s="5" t="str">
        <f t="shared" si="1078"/>
        <v>LECTOR DE HUELLAS DIGITALES</v>
      </c>
      <c r="C21612" s="6">
        <v>357666.4</v>
      </c>
      <c r="D21612" s="5" t="s">
        <v>126</v>
      </c>
      <c r="E21612" s="5" t="str">
        <f t="shared" si="1076"/>
        <v>SISTEMAS-GLOBALTRONIK SAS-SERGIO PATIÑO</v>
      </c>
      <c r="F21612" s="5"/>
      <c r="G21612" s="5"/>
    </row>
    <row r="21613" spans="1:7" ht="58.5" customHeight="1" x14ac:dyDescent="0.25">
      <c r="A21613" s="5" t="str">
        <f>"H0035224"</f>
        <v>H0035224</v>
      </c>
      <c r="B21613" s="5" t="str">
        <f t="shared" si="1078"/>
        <v>LECTOR DE HUELLAS DIGITALES</v>
      </c>
      <c r="C21613" s="6">
        <v>357666.4</v>
      </c>
      <c r="D21613" s="5" t="s">
        <v>126</v>
      </c>
      <c r="E21613" s="5" t="str">
        <f t="shared" si="1076"/>
        <v>SISTEMAS-GLOBALTRONIK SAS-SERGIO PATIÑO</v>
      </c>
      <c r="F21613" s="5"/>
      <c r="G21613" s="5"/>
    </row>
    <row r="21614" spans="1:7" ht="58.5" customHeight="1" x14ac:dyDescent="0.25">
      <c r="A21614" s="5" t="str">
        <f>"H0035225"</f>
        <v>H0035225</v>
      </c>
      <c r="B21614" s="5" t="str">
        <f t="shared" si="1078"/>
        <v>LECTOR DE HUELLAS DIGITALES</v>
      </c>
      <c r="C21614" s="6">
        <v>357666.4</v>
      </c>
      <c r="D21614" s="5" t="s">
        <v>126</v>
      </c>
      <c r="E21614" s="5" t="str">
        <f t="shared" si="1076"/>
        <v>SISTEMAS-GLOBALTRONIK SAS-SERGIO PATIÑO</v>
      </c>
      <c r="F21614" s="5"/>
      <c r="G21614" s="5"/>
    </row>
    <row r="21615" spans="1:7" ht="58.5" customHeight="1" x14ac:dyDescent="0.25">
      <c r="A21615" s="5" t="str">
        <f>"H0035230"</f>
        <v>H0035230</v>
      </c>
      <c r="B21615" s="5" t="str">
        <f>"ESCANER DS 870 MARCA EPSON"</f>
        <v>ESCANER DS 870 MARCA EPSON</v>
      </c>
      <c r="C21615" s="6">
        <v>4337550</v>
      </c>
      <c r="D21615" s="5" t="s">
        <v>126</v>
      </c>
      <c r="E21615" s="5" t="str">
        <f t="shared" si="1076"/>
        <v>SISTEMAS-GLOBALTRONIK SAS-SERGIO PATIÑO</v>
      </c>
      <c r="F21615" s="5"/>
      <c r="G21615" s="5"/>
    </row>
    <row r="21616" spans="1:7" ht="58.5" customHeight="1" x14ac:dyDescent="0.25">
      <c r="A21616" s="5" t="str">
        <f>"H0035239"</f>
        <v>H0035239</v>
      </c>
      <c r="B21616" s="5" t="str">
        <f>"IMPRESORA DE TRANSFERENCIA TERMICA MODELO ZD510-HC MARCA ZEBRA"</f>
        <v>IMPRESORA DE TRANSFERENCIA TERMICA MODELO ZD510-HC MARCA ZEBRA</v>
      </c>
      <c r="C21616" s="6">
        <v>3570000</v>
      </c>
      <c r="D21616" s="5" t="s">
        <v>126</v>
      </c>
      <c r="E21616" s="5" t="str">
        <f t="shared" si="1076"/>
        <v>SISTEMAS-GLOBALTRONIK SAS-SERGIO PATIÑO</v>
      </c>
      <c r="F21616" s="5"/>
      <c r="G21616" s="5"/>
    </row>
    <row r="21617" spans="1:7" ht="58.5" customHeight="1" x14ac:dyDescent="0.25">
      <c r="A21617" s="5" t="str">
        <f>"H0035241"</f>
        <v>H0035241</v>
      </c>
      <c r="B21617" s="5" t="str">
        <f t="shared" ref="B21617:B21631" si="1079">"CAMARA WEB"</f>
        <v>CAMARA WEB</v>
      </c>
      <c r="C21617" s="6">
        <v>249900</v>
      </c>
      <c r="D21617" s="5" t="s">
        <v>126</v>
      </c>
      <c r="E21617" s="5" t="str">
        <f t="shared" si="1076"/>
        <v>SISTEMAS-GLOBALTRONIK SAS-SERGIO PATIÑO</v>
      </c>
      <c r="F21617" s="5"/>
      <c r="G21617" s="5"/>
    </row>
    <row r="21618" spans="1:7" ht="58.5" customHeight="1" x14ac:dyDescent="0.25">
      <c r="A21618" s="5" t="str">
        <f>"H0035242"</f>
        <v>H0035242</v>
      </c>
      <c r="B21618" s="5" t="str">
        <f t="shared" si="1079"/>
        <v>CAMARA WEB</v>
      </c>
      <c r="C21618" s="6">
        <v>249900</v>
      </c>
      <c r="D21618" s="5" t="s">
        <v>126</v>
      </c>
      <c r="E21618" s="5" t="str">
        <f t="shared" si="1076"/>
        <v>SISTEMAS-GLOBALTRONIK SAS-SERGIO PATIÑO</v>
      </c>
      <c r="F21618" s="5"/>
      <c r="G21618" s="5"/>
    </row>
    <row r="21619" spans="1:7" ht="58.5" customHeight="1" x14ac:dyDescent="0.25">
      <c r="A21619" s="5" t="str">
        <f>"H0035243"</f>
        <v>H0035243</v>
      </c>
      <c r="B21619" s="5" t="str">
        <f t="shared" si="1079"/>
        <v>CAMARA WEB</v>
      </c>
      <c r="C21619" s="6">
        <v>249900</v>
      </c>
      <c r="D21619" s="5" t="s">
        <v>126</v>
      </c>
      <c r="E21619" s="5" t="str">
        <f t="shared" si="1076"/>
        <v>SISTEMAS-GLOBALTRONIK SAS-SERGIO PATIÑO</v>
      </c>
      <c r="F21619" s="5"/>
      <c r="G21619" s="5"/>
    </row>
    <row r="21620" spans="1:7" ht="58.5" customHeight="1" x14ac:dyDescent="0.25">
      <c r="A21620" s="5" t="str">
        <f>"H0035244"</f>
        <v>H0035244</v>
      </c>
      <c r="B21620" s="5" t="str">
        <f t="shared" si="1079"/>
        <v>CAMARA WEB</v>
      </c>
      <c r="C21620" s="6">
        <v>249900</v>
      </c>
      <c r="D21620" s="5" t="s">
        <v>126</v>
      </c>
      <c r="E21620" s="5" t="str">
        <f t="shared" si="1076"/>
        <v>SISTEMAS-GLOBALTRONIK SAS-SERGIO PATIÑO</v>
      </c>
      <c r="F21620" s="5"/>
      <c r="G21620" s="5"/>
    </row>
    <row r="21621" spans="1:7" ht="58.5" customHeight="1" x14ac:dyDescent="0.25">
      <c r="A21621" s="5" t="str">
        <f>"H0035245"</f>
        <v>H0035245</v>
      </c>
      <c r="B21621" s="5" t="str">
        <f t="shared" si="1079"/>
        <v>CAMARA WEB</v>
      </c>
      <c r="C21621" s="6">
        <v>249900</v>
      </c>
      <c r="D21621" s="5" t="s">
        <v>126</v>
      </c>
      <c r="E21621" s="5" t="str">
        <f t="shared" si="1076"/>
        <v>SISTEMAS-GLOBALTRONIK SAS-SERGIO PATIÑO</v>
      </c>
      <c r="F21621" s="5"/>
      <c r="G21621" s="5"/>
    </row>
    <row r="21622" spans="1:7" ht="58.5" customHeight="1" x14ac:dyDescent="0.25">
      <c r="A21622" s="5" t="str">
        <f>"H0035246"</f>
        <v>H0035246</v>
      </c>
      <c r="B21622" s="5" t="str">
        <f t="shared" si="1079"/>
        <v>CAMARA WEB</v>
      </c>
      <c r="C21622" s="6">
        <v>249900</v>
      </c>
      <c r="D21622" s="5" t="s">
        <v>126</v>
      </c>
      <c r="E21622" s="5" t="str">
        <f t="shared" si="1076"/>
        <v>SISTEMAS-GLOBALTRONIK SAS-SERGIO PATIÑO</v>
      </c>
      <c r="F21622" s="5"/>
      <c r="G21622" s="5"/>
    </row>
    <row r="21623" spans="1:7" ht="58.5" customHeight="1" x14ac:dyDescent="0.25">
      <c r="A21623" s="5" t="str">
        <f>"H0035247"</f>
        <v>H0035247</v>
      </c>
      <c r="B21623" s="5" t="str">
        <f t="shared" si="1079"/>
        <v>CAMARA WEB</v>
      </c>
      <c r="C21623" s="6">
        <v>249900</v>
      </c>
      <c r="D21623" s="5" t="s">
        <v>126</v>
      </c>
      <c r="E21623" s="5" t="str">
        <f t="shared" si="1076"/>
        <v>SISTEMAS-GLOBALTRONIK SAS-SERGIO PATIÑO</v>
      </c>
      <c r="F21623" s="5"/>
      <c r="G21623" s="5"/>
    </row>
    <row r="21624" spans="1:7" ht="58.5" customHeight="1" x14ac:dyDescent="0.25">
      <c r="A21624" s="5" t="str">
        <f>"H0035248"</f>
        <v>H0035248</v>
      </c>
      <c r="B21624" s="5" t="str">
        <f t="shared" si="1079"/>
        <v>CAMARA WEB</v>
      </c>
      <c r="C21624" s="6">
        <v>249900</v>
      </c>
      <c r="D21624" s="5" t="s">
        <v>126</v>
      </c>
      <c r="E21624" s="5" t="str">
        <f t="shared" si="1076"/>
        <v>SISTEMAS-GLOBALTRONIK SAS-SERGIO PATIÑO</v>
      </c>
      <c r="F21624" s="5"/>
      <c r="G21624" s="5"/>
    </row>
    <row r="21625" spans="1:7" ht="58.5" customHeight="1" x14ac:dyDescent="0.25">
      <c r="A21625" s="5" t="str">
        <f>"H0035249"</f>
        <v>H0035249</v>
      </c>
      <c r="B21625" s="5" t="str">
        <f t="shared" si="1079"/>
        <v>CAMARA WEB</v>
      </c>
      <c r="C21625" s="6">
        <v>249900</v>
      </c>
      <c r="D21625" s="5" t="s">
        <v>126</v>
      </c>
      <c r="E21625" s="5" t="str">
        <f t="shared" si="1076"/>
        <v>SISTEMAS-GLOBALTRONIK SAS-SERGIO PATIÑO</v>
      </c>
      <c r="F21625" s="5"/>
      <c r="G21625" s="5"/>
    </row>
    <row r="21626" spans="1:7" ht="58.5" customHeight="1" x14ac:dyDescent="0.25">
      <c r="A21626" s="5" t="str">
        <f>"H0035250"</f>
        <v>H0035250</v>
      </c>
      <c r="B21626" s="5" t="str">
        <f t="shared" si="1079"/>
        <v>CAMARA WEB</v>
      </c>
      <c r="C21626" s="6">
        <v>249900</v>
      </c>
      <c r="D21626" s="5" t="s">
        <v>126</v>
      </c>
      <c r="E21626" s="5" t="str">
        <f t="shared" si="1076"/>
        <v>SISTEMAS-GLOBALTRONIK SAS-SERGIO PATIÑO</v>
      </c>
      <c r="F21626" s="5"/>
      <c r="G21626" s="5"/>
    </row>
    <row r="21627" spans="1:7" ht="58.5" customHeight="1" x14ac:dyDescent="0.25">
      <c r="A21627" s="5" t="str">
        <f>"H0035251"</f>
        <v>H0035251</v>
      </c>
      <c r="B21627" s="5" t="str">
        <f t="shared" si="1079"/>
        <v>CAMARA WEB</v>
      </c>
      <c r="C21627" s="6">
        <v>249900</v>
      </c>
      <c r="D21627" s="5" t="s">
        <v>126</v>
      </c>
      <c r="E21627" s="5" t="str">
        <f t="shared" si="1076"/>
        <v>SISTEMAS-GLOBALTRONIK SAS-SERGIO PATIÑO</v>
      </c>
      <c r="F21627" s="5"/>
      <c r="G21627" s="5"/>
    </row>
    <row r="21628" spans="1:7" ht="58.5" customHeight="1" x14ac:dyDescent="0.25">
      <c r="A21628" s="5" t="str">
        <f>"H0035252"</f>
        <v>H0035252</v>
      </c>
      <c r="B21628" s="5" t="str">
        <f t="shared" si="1079"/>
        <v>CAMARA WEB</v>
      </c>
      <c r="C21628" s="6">
        <v>249900</v>
      </c>
      <c r="D21628" s="5" t="s">
        <v>126</v>
      </c>
      <c r="E21628" s="5" t="str">
        <f t="shared" si="1076"/>
        <v>SISTEMAS-GLOBALTRONIK SAS-SERGIO PATIÑO</v>
      </c>
      <c r="F21628" s="5"/>
      <c r="G21628" s="5"/>
    </row>
    <row r="21629" spans="1:7" ht="58.5" customHeight="1" x14ac:dyDescent="0.25">
      <c r="A21629" s="5" t="str">
        <f>"h0035253"</f>
        <v>h0035253</v>
      </c>
      <c r="B21629" s="5" t="str">
        <f t="shared" si="1079"/>
        <v>CAMARA WEB</v>
      </c>
      <c r="C21629" s="6">
        <v>249900</v>
      </c>
      <c r="D21629" s="5" t="s">
        <v>126</v>
      </c>
      <c r="E21629" s="5" t="str">
        <f t="shared" ref="E21629:E21692" si="1080">"SISTEMAS-GLOBALTRONIK SAS-SERGIO PATIÑO"</f>
        <v>SISTEMAS-GLOBALTRONIK SAS-SERGIO PATIÑO</v>
      </c>
      <c r="F21629" s="5"/>
      <c r="G21629" s="5"/>
    </row>
    <row r="21630" spans="1:7" ht="58.5" customHeight="1" x14ac:dyDescent="0.25">
      <c r="A21630" s="5" t="str">
        <f>"h0035254"</f>
        <v>h0035254</v>
      </c>
      <c r="B21630" s="5" t="str">
        <f t="shared" si="1079"/>
        <v>CAMARA WEB</v>
      </c>
      <c r="C21630" s="6">
        <v>249900</v>
      </c>
      <c r="D21630" s="5" t="s">
        <v>126</v>
      </c>
      <c r="E21630" s="5" t="str">
        <f t="shared" si="1080"/>
        <v>SISTEMAS-GLOBALTRONIK SAS-SERGIO PATIÑO</v>
      </c>
      <c r="F21630" s="5"/>
      <c r="G21630" s="5"/>
    </row>
    <row r="21631" spans="1:7" ht="58.5" customHeight="1" x14ac:dyDescent="0.25">
      <c r="A21631" s="5" t="str">
        <f>"h0035255"</f>
        <v>h0035255</v>
      </c>
      <c r="B21631" s="5" t="str">
        <f t="shared" si="1079"/>
        <v>CAMARA WEB</v>
      </c>
      <c r="C21631" s="6">
        <v>249900</v>
      </c>
      <c r="D21631" s="5" t="s">
        <v>126</v>
      </c>
      <c r="E21631" s="5" t="str">
        <f t="shared" si="1080"/>
        <v>SISTEMAS-GLOBALTRONIK SAS-SERGIO PATIÑO</v>
      </c>
      <c r="F21631" s="5"/>
      <c r="G21631" s="5"/>
    </row>
    <row r="21632" spans="1:7" ht="58.5" customHeight="1" x14ac:dyDescent="0.25">
      <c r="A21632" s="5" t="str">
        <f>"H0035282"</f>
        <v>H0035282</v>
      </c>
      <c r="B21632" s="5" t="s">
        <v>23</v>
      </c>
      <c r="C21632" s="6">
        <v>4403000</v>
      </c>
      <c r="D21632" s="5" t="s">
        <v>127</v>
      </c>
      <c r="E21632" s="5" t="str">
        <f t="shared" si="1080"/>
        <v>SISTEMAS-GLOBALTRONIK SAS-SERGIO PATIÑO</v>
      </c>
      <c r="F21632" s="5"/>
      <c r="G21632" s="5" t="str">
        <f>"HP LASER JET 521"</f>
        <v>HP LASER JET 521</v>
      </c>
    </row>
    <row r="21633" spans="1:7" ht="58.5" customHeight="1" x14ac:dyDescent="0.25">
      <c r="A21633" s="5" t="str">
        <f>"H0035346"</f>
        <v>H0035346</v>
      </c>
      <c r="B21633" s="5" t="s">
        <v>128</v>
      </c>
      <c r="C21633" s="6">
        <v>5462100</v>
      </c>
      <c r="D21633" s="5" t="s">
        <v>127</v>
      </c>
      <c r="E21633" s="5" t="str">
        <f t="shared" si="1080"/>
        <v>SISTEMAS-GLOBALTRONIK SAS-SERGIO PATIÑO</v>
      </c>
      <c r="F21633" s="5"/>
      <c r="G21633" s="5"/>
    </row>
    <row r="21634" spans="1:7" ht="58.5" customHeight="1" x14ac:dyDescent="0.25">
      <c r="A21634" s="5" t="str">
        <f>"H0035348"</f>
        <v>H0035348</v>
      </c>
      <c r="B21634" s="5" t="s">
        <v>128</v>
      </c>
      <c r="C21634" s="6">
        <v>5462100</v>
      </c>
      <c r="D21634" s="5" t="s">
        <v>127</v>
      </c>
      <c r="E21634" s="5" t="str">
        <f t="shared" si="1080"/>
        <v>SISTEMAS-GLOBALTRONIK SAS-SERGIO PATIÑO</v>
      </c>
      <c r="F21634" s="5"/>
      <c r="G21634" s="5"/>
    </row>
    <row r="21635" spans="1:7" ht="58.5" customHeight="1" x14ac:dyDescent="0.25">
      <c r="A21635" s="5" t="str">
        <f>"H0035358"</f>
        <v>H0035358</v>
      </c>
      <c r="B21635" s="5" t="str">
        <f>"Diadema USB para Call center.Cancelación de ruido.Control de volumen.Micrófono gira 180 grados.Plug and play."</f>
        <v>Diadema USB para Call center.Cancelación de ruido.Control de volumen.Micrófono gira 180 grados.Plug and play.</v>
      </c>
      <c r="C21635" s="6">
        <v>291550</v>
      </c>
      <c r="D21635" s="5" t="s">
        <v>127</v>
      </c>
      <c r="E21635" s="5" t="str">
        <f t="shared" si="1080"/>
        <v>SISTEMAS-GLOBALTRONIK SAS-SERGIO PATIÑO</v>
      </c>
      <c r="F21635" s="5"/>
      <c r="G21635" s="5"/>
    </row>
    <row r="21636" spans="1:7" ht="58.5" customHeight="1" x14ac:dyDescent="0.25">
      <c r="A21636" s="5" t="str">
        <f>"H0035503"</f>
        <v>H0035503</v>
      </c>
      <c r="B21636" s="5" t="str">
        <f>"LICENCIA ADOBE CREATIVE CC POR UN AÑO"</f>
        <v>LICENCIA ADOBE CREATIVE CC POR UN AÑO</v>
      </c>
      <c r="C21636" s="6">
        <v>4527600</v>
      </c>
      <c r="D21636" s="5" t="s">
        <v>887</v>
      </c>
      <c r="E21636" s="5" t="str">
        <f t="shared" si="1080"/>
        <v>SISTEMAS-GLOBALTRONIK SAS-SERGIO PATIÑO</v>
      </c>
      <c r="F21636" s="5"/>
      <c r="G21636" s="5"/>
    </row>
    <row r="21637" spans="1:7" ht="58.5" customHeight="1" x14ac:dyDescent="0.25">
      <c r="A21637" s="5" t="str">
        <f>"H0035504"</f>
        <v>H0035504</v>
      </c>
      <c r="B21637" s="5" t="str">
        <f>"LICENCIA ADOBE CREATIVE CC POR UN AÑO"</f>
        <v>LICENCIA ADOBE CREATIVE CC POR UN AÑO</v>
      </c>
      <c r="C21637" s="6">
        <v>4527600</v>
      </c>
      <c r="D21637" s="5" t="s">
        <v>887</v>
      </c>
      <c r="E21637" s="5" t="str">
        <f t="shared" si="1080"/>
        <v>SISTEMAS-GLOBALTRONIK SAS-SERGIO PATIÑO</v>
      </c>
      <c r="F21637" s="5"/>
      <c r="G21637" s="5"/>
    </row>
    <row r="21638" spans="1:7" ht="58.5" customHeight="1" x14ac:dyDescent="0.25">
      <c r="A21638" s="5" t="str">
        <f>"H0035505"</f>
        <v>H0035505</v>
      </c>
      <c r="B21638" s="5" t="str">
        <f>"LICENCIA ADOBE CREATIVE CC POR UN AÑO"</f>
        <v>LICENCIA ADOBE CREATIVE CC POR UN AÑO</v>
      </c>
      <c r="C21638" s="6">
        <v>4527600</v>
      </c>
      <c r="D21638" s="5" t="s">
        <v>887</v>
      </c>
      <c r="E21638" s="5" t="str">
        <f t="shared" si="1080"/>
        <v>SISTEMAS-GLOBALTRONIK SAS-SERGIO PATIÑO</v>
      </c>
      <c r="F21638" s="5"/>
      <c r="G21638" s="5"/>
    </row>
    <row r="21639" spans="1:7" ht="58.5" customHeight="1" x14ac:dyDescent="0.25">
      <c r="A21639" s="5" t="str">
        <f>"H0035506"</f>
        <v>H0035506</v>
      </c>
      <c r="B21639" s="5" t="str">
        <f>"LICENCIA PLESK WEB PRO EDITION"</f>
        <v>LICENCIA PLESK WEB PRO EDITION</v>
      </c>
      <c r="C21639" s="6">
        <v>1206576</v>
      </c>
      <c r="D21639" s="5" t="s">
        <v>887</v>
      </c>
      <c r="E21639" s="5" t="str">
        <f t="shared" si="1080"/>
        <v>SISTEMAS-GLOBALTRONIK SAS-SERGIO PATIÑO</v>
      </c>
      <c r="F21639" s="5"/>
      <c r="G21639" s="5"/>
    </row>
    <row r="21640" spans="1:7" ht="58.5" customHeight="1" x14ac:dyDescent="0.25">
      <c r="A21640" s="5" t="str">
        <f>"H0035550"</f>
        <v>H0035550</v>
      </c>
      <c r="B21640" s="5" t="str">
        <f>"Access Point para EXTERIORES. Montaje en Pared o Techo. 2 puertos 1 Gbps. 3x3 Antenas MIMO 8 dBi. Banda 2.4 GHz a 450 Mbps. Banda 5 GHz a 1300 Mbps. Incluye Inyector POE Original.Para Montaje en Exter"</f>
        <v>Access Point para EXTERIORES. Montaje en Pared o Techo. 2 puertos 1 Gbps. 3x3 Antenas MIMO 8 dBi. Banda 2.4 GHz a 450 Mbps. Banda 5 GHz a 1300 Mbps. Incluye Inyector POE Original.Para Montaje en Exter</v>
      </c>
      <c r="C21640" s="6">
        <v>1773100</v>
      </c>
      <c r="D21640" s="5" t="s">
        <v>515</v>
      </c>
      <c r="E21640" s="5" t="str">
        <f t="shared" si="1080"/>
        <v>SISTEMAS-GLOBALTRONIK SAS-SERGIO PATIÑO</v>
      </c>
      <c r="F21640" s="5"/>
      <c r="G21640" s="5"/>
    </row>
    <row r="21641" spans="1:7" ht="58.5" customHeight="1" x14ac:dyDescent="0.25">
      <c r="A21641" s="5" t="str">
        <f>"H0035551"</f>
        <v>H0035551</v>
      </c>
      <c r="B21641" s="5" t="str">
        <f>"Access Point para EXTERIORES. Montaje en Pared o Techo. 2 puertos 1 Gbps. 3x3 Antenas MIMO 8 dBi. Banda 2.4 GHz a 450 Mbps. Banda 5 GHz a 1300 Mbps. Incluye Inyector POE Original.Para Montaje en Exter"</f>
        <v>Access Point para EXTERIORES. Montaje en Pared o Techo. 2 puertos 1 Gbps. 3x3 Antenas MIMO 8 dBi. Banda 2.4 GHz a 450 Mbps. Banda 5 GHz a 1300 Mbps. Incluye Inyector POE Original.Para Montaje en Exter</v>
      </c>
      <c r="C21641" s="6">
        <v>1773100</v>
      </c>
      <c r="D21641" s="5" t="s">
        <v>515</v>
      </c>
      <c r="E21641" s="5" t="str">
        <f t="shared" si="1080"/>
        <v>SISTEMAS-GLOBALTRONIK SAS-SERGIO PATIÑO</v>
      </c>
      <c r="F21641" s="5"/>
      <c r="G21641" s="5"/>
    </row>
    <row r="21642" spans="1:7" ht="58.5" customHeight="1" x14ac:dyDescent="0.25">
      <c r="A21642" s="5" t="str">
        <f>"H0035718"</f>
        <v>H0035718</v>
      </c>
      <c r="B21642" s="5" t="str">
        <f>"SILLA GERENTE NIZA MEC. BASCULANTE CON BRAZOS."</f>
        <v>SILLA GERENTE NIZA MEC. BASCULANTE CON BRAZOS.</v>
      </c>
      <c r="C21642" s="6">
        <v>639999.86</v>
      </c>
      <c r="D21642" s="5" t="s">
        <v>235</v>
      </c>
      <c r="E21642" s="5" t="str">
        <f t="shared" si="1080"/>
        <v>SISTEMAS-GLOBALTRONIK SAS-SERGIO PATIÑO</v>
      </c>
      <c r="F21642" s="5"/>
      <c r="G21642" s="5"/>
    </row>
    <row r="21643" spans="1:7" ht="58.5" customHeight="1" x14ac:dyDescent="0.25">
      <c r="A21643" s="5" t="str">
        <f>"H0035719"</f>
        <v>H0035719</v>
      </c>
      <c r="B21643" s="5" t="str">
        <f>"SILLA GERENTE NIZA MEC. BASCULANTE CON BRAZOS."</f>
        <v>SILLA GERENTE NIZA MEC. BASCULANTE CON BRAZOS.</v>
      </c>
      <c r="C21643" s="6">
        <v>639999.86</v>
      </c>
      <c r="D21643" s="5" t="s">
        <v>235</v>
      </c>
      <c r="E21643" s="5" t="str">
        <f t="shared" si="1080"/>
        <v>SISTEMAS-GLOBALTRONIK SAS-SERGIO PATIÑO</v>
      </c>
      <c r="F21643" s="5"/>
      <c r="G21643" s="5"/>
    </row>
    <row r="21644" spans="1:7" ht="58.5" customHeight="1" x14ac:dyDescent="0.25">
      <c r="A21644" s="5" t="str">
        <f>"H0035720"</f>
        <v>H0035720</v>
      </c>
      <c r="B21644" s="5" t="str">
        <f>"SILLA GERENTE NIZA MEC. BASCULANTE CON BRAZOS."</f>
        <v>SILLA GERENTE NIZA MEC. BASCULANTE CON BRAZOS.</v>
      </c>
      <c r="C21644" s="6">
        <v>639999.86</v>
      </c>
      <c r="D21644" s="5" t="s">
        <v>235</v>
      </c>
      <c r="E21644" s="5" t="str">
        <f t="shared" si="1080"/>
        <v>SISTEMAS-GLOBALTRONIK SAS-SERGIO PATIÑO</v>
      </c>
      <c r="F21644" s="5"/>
      <c r="G21644" s="5"/>
    </row>
    <row r="21645" spans="1:7" ht="58.5" customHeight="1" x14ac:dyDescent="0.25">
      <c r="A21645" s="5" t="str">
        <f>"H0035863"</f>
        <v>H0035863</v>
      </c>
      <c r="B21645" s="5" t="str">
        <f>"SILLA GERENTE NIZA MEC. BASCULANTE CON BRAZOS."</f>
        <v>SILLA GERENTE NIZA MEC. BASCULANTE CON BRAZOS.</v>
      </c>
      <c r="C21645" s="6">
        <v>639999.86</v>
      </c>
      <c r="D21645" s="5" t="s">
        <v>47</v>
      </c>
      <c r="E21645" s="5" t="str">
        <f t="shared" si="1080"/>
        <v>SISTEMAS-GLOBALTRONIK SAS-SERGIO PATIÑO</v>
      </c>
      <c r="F21645" s="5"/>
      <c r="G21645" s="5"/>
    </row>
    <row r="21646" spans="1:7" ht="58.5" customHeight="1" x14ac:dyDescent="0.25">
      <c r="A21646" s="5" t="str">
        <f>"H0035864"</f>
        <v>H0035864</v>
      </c>
      <c r="B21646" s="5" t="str">
        <f>"SILLA GERENTE NIZA MEC. BASCULANTE CON BRAZOS."</f>
        <v>SILLA GERENTE NIZA MEC. BASCULANTE CON BRAZOS.</v>
      </c>
      <c r="C21646" s="6">
        <v>639999.86</v>
      </c>
      <c r="D21646" s="5" t="s">
        <v>47</v>
      </c>
      <c r="E21646" s="5" t="str">
        <f t="shared" si="1080"/>
        <v>SISTEMAS-GLOBALTRONIK SAS-SERGIO PATIÑO</v>
      </c>
      <c r="F21646" s="5"/>
      <c r="G21646" s="5"/>
    </row>
    <row r="21647" spans="1:7" ht="58.5" customHeight="1" x14ac:dyDescent="0.25">
      <c r="A21647" s="5" t="str">
        <f>"H0036367"</f>
        <v>H0036367</v>
      </c>
      <c r="B21647" s="5" t="str">
        <f>"RACK DE PISO - 28U - 2.10MT"</f>
        <v>RACK DE PISO - 28U - 2.10MT</v>
      </c>
      <c r="C21647" s="6">
        <v>4236400</v>
      </c>
      <c r="D21647" s="5" t="s">
        <v>888</v>
      </c>
      <c r="E21647" s="5" t="str">
        <f t="shared" si="1080"/>
        <v>SISTEMAS-GLOBALTRONIK SAS-SERGIO PATIÑO</v>
      </c>
      <c r="F21647" s="5"/>
      <c r="G21647" s="5"/>
    </row>
    <row r="21648" spans="1:7" ht="58.5" customHeight="1" x14ac:dyDescent="0.25">
      <c r="A21648" s="5" t="str">
        <f>"H0036368"</f>
        <v>H0036368</v>
      </c>
      <c r="B21648" s="5" t="str">
        <f>"UPS 3 KVA"</f>
        <v>UPS 3 KVA</v>
      </c>
      <c r="C21648" s="6">
        <v>4212600</v>
      </c>
      <c r="D21648" s="5" t="s">
        <v>888</v>
      </c>
      <c r="E21648" s="5" t="str">
        <f t="shared" si="1080"/>
        <v>SISTEMAS-GLOBALTRONIK SAS-SERGIO PATIÑO</v>
      </c>
      <c r="F21648" s="5"/>
      <c r="G21648" s="5"/>
    </row>
    <row r="21649" spans="1:7" ht="58.5" customHeight="1" x14ac:dyDescent="0.25">
      <c r="A21649" s="5" t="str">
        <f>"H0036369"</f>
        <v>H0036369</v>
      </c>
      <c r="B21649" s="5" t="str">
        <f>"PATCH PANEL CAT 6A - 24 PUERTOS"</f>
        <v>PATCH PANEL CAT 6A - 24 PUERTOS</v>
      </c>
      <c r="C21649" s="6">
        <v>803250</v>
      </c>
      <c r="D21649" s="5" t="s">
        <v>888</v>
      </c>
      <c r="E21649" s="5" t="str">
        <f t="shared" si="1080"/>
        <v>SISTEMAS-GLOBALTRONIK SAS-SERGIO PATIÑO</v>
      </c>
      <c r="F21649" s="5"/>
      <c r="G21649" s="5"/>
    </row>
    <row r="21650" spans="1:7" ht="58.5" customHeight="1" x14ac:dyDescent="0.25">
      <c r="A21650" s="5" t="str">
        <f>"H0036370"</f>
        <v>H0036370</v>
      </c>
      <c r="B21650" s="5" t="str">
        <f>"PATCH PANEL CAT 6A - 24 PUERTOS"</f>
        <v>PATCH PANEL CAT 6A - 24 PUERTOS</v>
      </c>
      <c r="C21650" s="6">
        <v>803250</v>
      </c>
      <c r="D21650" s="5" t="s">
        <v>888</v>
      </c>
      <c r="E21650" s="5" t="str">
        <f t="shared" si="1080"/>
        <v>SISTEMAS-GLOBALTRONIK SAS-SERGIO PATIÑO</v>
      </c>
      <c r="F21650" s="5"/>
      <c r="G21650" s="5"/>
    </row>
    <row r="21651" spans="1:7" ht="58.5" customHeight="1" x14ac:dyDescent="0.25">
      <c r="A21651" s="5" t="str">
        <f>"H0036371"</f>
        <v>H0036371</v>
      </c>
      <c r="B21651" s="5" t="str">
        <f>"PATCH PANEL CAT 6A - 24 PUERTOS"</f>
        <v>PATCH PANEL CAT 6A - 24 PUERTOS</v>
      </c>
      <c r="C21651" s="6">
        <v>803250</v>
      </c>
      <c r="D21651" s="5" t="s">
        <v>888</v>
      </c>
      <c r="E21651" s="5" t="str">
        <f t="shared" si="1080"/>
        <v>SISTEMAS-GLOBALTRONIK SAS-SERGIO PATIÑO</v>
      </c>
      <c r="F21651" s="5"/>
      <c r="G21651" s="5"/>
    </row>
    <row r="21652" spans="1:7" ht="58.5" customHeight="1" x14ac:dyDescent="0.25">
      <c r="A21652" s="5" t="str">
        <f>"H0036372"</f>
        <v>H0036372</v>
      </c>
      <c r="B21652" s="5" t="str">
        <f>"PATCH PANEL CAT 6A - 24 PUERTOS"</f>
        <v>PATCH PANEL CAT 6A - 24 PUERTOS</v>
      </c>
      <c r="C21652" s="6">
        <v>803250</v>
      </c>
      <c r="D21652" s="5" t="s">
        <v>888</v>
      </c>
      <c r="E21652" s="5" t="str">
        <f t="shared" si="1080"/>
        <v>SISTEMAS-GLOBALTRONIK SAS-SERGIO PATIÑO</v>
      </c>
      <c r="F21652" s="5"/>
      <c r="G21652" s="5"/>
    </row>
    <row r="21653" spans="1:7" ht="58.5" customHeight="1" x14ac:dyDescent="0.25">
      <c r="A21653" s="5" t="str">
        <f>"H0036373"</f>
        <v>H0036373</v>
      </c>
      <c r="B21653" s="5" t="str">
        <f>"SWITCH ADMINISTRABLE - 24 PUERTOS - B/GB"</f>
        <v>SWITCH ADMINISTRABLE - 24 PUERTOS - B/GB</v>
      </c>
      <c r="C21653" s="6">
        <v>3248700</v>
      </c>
      <c r="D21653" s="5" t="s">
        <v>889</v>
      </c>
      <c r="E21653" s="5" t="str">
        <f t="shared" si="1080"/>
        <v>SISTEMAS-GLOBALTRONIK SAS-SERGIO PATIÑO</v>
      </c>
      <c r="F21653" s="5"/>
      <c r="G21653" s="5"/>
    </row>
    <row r="21654" spans="1:7" ht="58.5" customHeight="1" x14ac:dyDescent="0.25">
      <c r="A21654" s="5" t="str">
        <f>"H0036374"</f>
        <v>H0036374</v>
      </c>
      <c r="B21654" s="5" t="str">
        <f>"SWITCH ADMINISTRABLE - 24 PUERTOS - B/GB"</f>
        <v>SWITCH ADMINISTRABLE - 24 PUERTOS - B/GB</v>
      </c>
      <c r="C21654" s="6">
        <v>3248700</v>
      </c>
      <c r="D21654" s="5" t="s">
        <v>888</v>
      </c>
      <c r="E21654" s="5" t="str">
        <f t="shared" si="1080"/>
        <v>SISTEMAS-GLOBALTRONIK SAS-SERGIO PATIÑO</v>
      </c>
      <c r="F21654" s="5"/>
      <c r="G21654" s="5"/>
    </row>
    <row r="21655" spans="1:7" ht="58.5" customHeight="1" x14ac:dyDescent="0.25">
      <c r="A21655" s="5" t="str">
        <f>"H0036375"</f>
        <v>H0036375</v>
      </c>
      <c r="B21655" s="5" t="str">
        <f>"SWITCH ADMINISTRABLE - 24 PUERTOS - B/GB"</f>
        <v>SWITCH ADMINISTRABLE - 24 PUERTOS - B/GB</v>
      </c>
      <c r="C21655" s="6">
        <v>3248700</v>
      </c>
      <c r="D21655" s="5" t="s">
        <v>888</v>
      </c>
      <c r="E21655" s="5" t="str">
        <f t="shared" si="1080"/>
        <v>SISTEMAS-GLOBALTRONIK SAS-SERGIO PATIÑO</v>
      </c>
      <c r="F21655" s="5"/>
      <c r="G21655" s="5"/>
    </row>
    <row r="21656" spans="1:7" ht="58.5" customHeight="1" x14ac:dyDescent="0.25">
      <c r="A21656" s="5" t="str">
        <f>"H0036376"</f>
        <v>H0036376</v>
      </c>
      <c r="B21656" s="5" t="str">
        <f>"SWITCH ADMINISTRABLE - 24 PUERTOS - B/GB"</f>
        <v>SWITCH ADMINISTRABLE - 24 PUERTOS - B/GB</v>
      </c>
      <c r="C21656" s="6">
        <v>3248700</v>
      </c>
      <c r="D21656" s="5" t="s">
        <v>888</v>
      </c>
      <c r="E21656" s="5" t="str">
        <f t="shared" si="1080"/>
        <v>SISTEMAS-GLOBALTRONIK SAS-SERGIO PATIÑO</v>
      </c>
      <c r="F21656" s="5"/>
      <c r="G21656" s="5"/>
    </row>
    <row r="21657" spans="1:7" ht="58.5" customHeight="1" x14ac:dyDescent="0.25">
      <c r="A21657" s="5" t="str">
        <f>"H0036402"</f>
        <v>H0036402</v>
      </c>
      <c r="B21657" s="5" t="str">
        <f>"VENTILADOR DE PEDESTAL"</f>
        <v>VENTILADOR DE PEDESTAL</v>
      </c>
      <c r="C21657" s="6">
        <v>358260</v>
      </c>
      <c r="D21657" s="5" t="s">
        <v>131</v>
      </c>
      <c r="E21657" s="5" t="str">
        <f t="shared" si="1080"/>
        <v>SISTEMAS-GLOBALTRONIK SAS-SERGIO PATIÑO</v>
      </c>
      <c r="F21657" s="5"/>
      <c r="G21657" s="5"/>
    </row>
    <row r="21658" spans="1:7" ht="58.5" customHeight="1" x14ac:dyDescent="0.25">
      <c r="A21658" s="5" t="str">
        <f>"H0036443"</f>
        <v>H0036443</v>
      </c>
      <c r="B21658" s="5" t="str">
        <f>"VENTILADOR DE PARED"</f>
        <v>VENTILADOR DE PARED</v>
      </c>
      <c r="C21658" s="6">
        <v>295260</v>
      </c>
      <c r="D21658" s="5" t="s">
        <v>131</v>
      </c>
      <c r="E21658" s="5" t="str">
        <f t="shared" si="1080"/>
        <v>SISTEMAS-GLOBALTRONIK SAS-SERGIO PATIÑO</v>
      </c>
      <c r="F21658" s="5"/>
      <c r="G21658" s="5"/>
    </row>
    <row r="21659" spans="1:7" ht="58.5" customHeight="1" x14ac:dyDescent="0.25">
      <c r="A21659" s="5" t="str">
        <f>"H0036549"</f>
        <v>H0036549</v>
      </c>
      <c r="B2165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1659" s="6">
        <v>6307000</v>
      </c>
      <c r="D21659" s="5" t="s">
        <v>48</v>
      </c>
      <c r="E21659" s="5" t="str">
        <f t="shared" si="1080"/>
        <v>SISTEMAS-GLOBALTRONIK SAS-SERGIO PATIÑO</v>
      </c>
      <c r="F21659" s="5"/>
      <c r="G21659" s="5" t="str">
        <f>"VZ4680G"</f>
        <v>VZ4680G</v>
      </c>
    </row>
    <row r="21660" spans="1:7" ht="58.5" customHeight="1" x14ac:dyDescent="0.25">
      <c r="A21660" s="5" t="str">
        <f>"H0036596"</f>
        <v>H0036596</v>
      </c>
      <c r="B21660" s="5" t="str">
        <f>"VIDEO PROYECTOR MARCA EPSON MODELO E20. ESPECIFICACIONES TECNICAS : SISTEMA DE PROYECCIÓN: TECNOLOGÍA EPSON 3LCD DE 3 CHIPS, MÉTODO DE PROYECCIÓN: FRONTAL / POSTERIOR / TECHO"</f>
        <v>VIDEO PROYECTOR MARCA EPSON MODELO E20. ESPECIFICACIONES TECNICAS : SISTEMA DE PROYECCIÓN: TECNOLOGÍA EPSON 3LCD DE 3 CHIPS, MÉTODO DE PROYECCIÓN: FRONTAL / POSTERIOR / TECHO</v>
      </c>
      <c r="C21660" s="6">
        <v>3300949.25</v>
      </c>
      <c r="D21660" s="5" t="s">
        <v>134</v>
      </c>
      <c r="E21660" s="5" t="str">
        <f t="shared" si="1080"/>
        <v>SISTEMAS-GLOBALTRONIK SAS-SERGIO PATIÑO</v>
      </c>
      <c r="F21660" s="5"/>
      <c r="G21660" s="5" t="str">
        <f>"E20"</f>
        <v>E20</v>
      </c>
    </row>
    <row r="21661" spans="1:7" ht="58.5" customHeight="1" x14ac:dyDescent="0.25">
      <c r="A21661" s="5" t="str">
        <f>"H0036597"</f>
        <v>H0036597</v>
      </c>
      <c r="B21661" s="5" t="str">
        <f>"VIDEO PROYECTOR MARCA EPSON MODELO E20. ESPECIFICACIONES TECNICAS : SISTEMA DE PROYECCIÓN: TECNOLOGÍA EPSON 3LCD DE 3 CHIPS, MÉTODO DE PROYECCIÓN: FRONTAL / POSTERIOR / TECHO"</f>
        <v>VIDEO PROYECTOR MARCA EPSON MODELO E20. ESPECIFICACIONES TECNICAS : SISTEMA DE PROYECCIÓN: TECNOLOGÍA EPSON 3LCD DE 3 CHIPS, MÉTODO DE PROYECCIÓN: FRONTAL / POSTERIOR / TECHO</v>
      </c>
      <c r="C21661" s="6">
        <v>3300949.25</v>
      </c>
      <c r="D21661" s="5" t="s">
        <v>134</v>
      </c>
      <c r="E21661" s="5" t="str">
        <f t="shared" si="1080"/>
        <v>SISTEMAS-GLOBALTRONIK SAS-SERGIO PATIÑO</v>
      </c>
      <c r="F21661" s="5"/>
      <c r="G21661" s="5" t="str">
        <f>"E20"</f>
        <v>E20</v>
      </c>
    </row>
    <row r="21662" spans="1:7" ht="58.5" customHeight="1" x14ac:dyDescent="0.25">
      <c r="A21662" s="5" t="str">
        <f>"H0036847"</f>
        <v>H0036847</v>
      </c>
      <c r="B21662" s="5" t="str">
        <f>"LICENCIA IQ WEB"</f>
        <v>LICENCIA IQ WEB</v>
      </c>
      <c r="C21662" s="6">
        <v>208250000</v>
      </c>
      <c r="D21662" s="5" t="s">
        <v>890</v>
      </c>
      <c r="E21662" s="5" t="str">
        <f t="shared" si="1080"/>
        <v>SISTEMAS-GLOBALTRONIK SAS-SERGIO PATIÑO</v>
      </c>
      <c r="F21662" s="5"/>
      <c r="G21662" s="5"/>
    </row>
    <row r="21663" spans="1:7" ht="58.5" customHeight="1" x14ac:dyDescent="0.25">
      <c r="A21663" s="5" t="str">
        <f>"H0036848"</f>
        <v>H0036848</v>
      </c>
      <c r="B21663" s="5" t="str">
        <f>"Servidor PACS"</f>
        <v>Servidor PACS</v>
      </c>
      <c r="C21663" s="6">
        <v>80801000</v>
      </c>
      <c r="D21663" s="5" t="s">
        <v>890</v>
      </c>
      <c r="E21663" s="5" t="str">
        <f t="shared" si="1080"/>
        <v>SISTEMAS-GLOBALTRONIK SAS-SERGIO PATIÑO</v>
      </c>
      <c r="F21663" s="5"/>
      <c r="G21663" s="5"/>
    </row>
    <row r="21664" spans="1:7" ht="58.5" customHeight="1" x14ac:dyDescent="0.25">
      <c r="A21664" s="5" t="str">
        <f>"H0036885"</f>
        <v>H0036885</v>
      </c>
      <c r="B21664" s="5" t="str">
        <f>"COMPUTADOR TODO EN UNO  LENOVO CON PROCESADOR INTEL CORE I5-10400T MEMORIA RAM 8GB DDR4 CON DISCO DURO 256GB SSD M.2"</f>
        <v>COMPUTADOR TODO EN UNO  LENOVO CON PROCESADOR INTEL CORE I5-10400T MEMORIA RAM 8GB DDR4 CON DISCO DURO 256GB SSD M.2</v>
      </c>
      <c r="C21664" s="6">
        <v>6307000</v>
      </c>
      <c r="D21664" s="5" t="s">
        <v>135</v>
      </c>
      <c r="E21664" s="5" t="str">
        <f t="shared" si="1080"/>
        <v>SISTEMAS-GLOBALTRONIK SAS-SERGIO PATIÑO</v>
      </c>
      <c r="F21664" s="5"/>
      <c r="G21664" s="5" t="str">
        <f>"V50A"</f>
        <v>V50A</v>
      </c>
    </row>
    <row r="21665" spans="1:7" ht="58.5" customHeight="1" x14ac:dyDescent="0.25">
      <c r="A21665" s="5" t="str">
        <f>"H0036886"</f>
        <v>H0036886</v>
      </c>
      <c r="B21665" s="5" t="str">
        <f>"COMPUTADOR TODO EN UNO  LENOVO CON PROCESADOR INTEL CORE I5-10400T MEMORIA RAM 8GB DDR4 CON DISCO DURO 256GB SSD M.2"</f>
        <v>COMPUTADOR TODO EN UNO  LENOVO CON PROCESADOR INTEL CORE I5-10400T MEMORIA RAM 8GB DDR4 CON DISCO DURO 256GB SSD M.2</v>
      </c>
      <c r="C21665" s="6">
        <v>6307000</v>
      </c>
      <c r="D21665" s="5" t="s">
        <v>135</v>
      </c>
      <c r="E21665" s="5" t="str">
        <f t="shared" si="1080"/>
        <v>SISTEMAS-GLOBALTRONIK SAS-SERGIO PATIÑO</v>
      </c>
      <c r="F21665" s="5"/>
      <c r="G21665" s="5" t="str">
        <f>"V50A"</f>
        <v>V50A</v>
      </c>
    </row>
    <row r="21666" spans="1:7" ht="58.5" customHeight="1" x14ac:dyDescent="0.25">
      <c r="A21666" s="5" t="str">
        <f>"H0036892"</f>
        <v>H0036892</v>
      </c>
      <c r="B21666" s="5" t="str">
        <f>"COMPUTADOR TODO EN UNO  LENOVO CON PROCESADOR INTEL CORE I5-10400T MEMORIA RAM 8GB DDR4 CON DISCO DURO 256GB SSD M.2"</f>
        <v>COMPUTADOR TODO EN UNO  LENOVO CON PROCESADOR INTEL CORE I5-10400T MEMORIA RAM 8GB DDR4 CON DISCO DURO 256GB SSD M.2</v>
      </c>
      <c r="C21666" s="6">
        <v>6307000</v>
      </c>
      <c r="D21666" s="5" t="s">
        <v>135</v>
      </c>
      <c r="E21666" s="5" t="str">
        <f t="shared" si="1080"/>
        <v>SISTEMAS-GLOBALTRONIK SAS-SERGIO PATIÑO</v>
      </c>
      <c r="F21666" s="5"/>
      <c r="G21666" s="5" t="str">
        <f>"V50A"</f>
        <v>V50A</v>
      </c>
    </row>
    <row r="21667" spans="1:7" ht="58.5" customHeight="1" x14ac:dyDescent="0.25">
      <c r="A21667" s="5" t="str">
        <f>"H0036893"</f>
        <v>H0036893</v>
      </c>
      <c r="B21667" s="5" t="str">
        <f>"COMPUTADOR TODO EN UNO  LENOVO CON PROCESADOR INTEL CORE I5-10400T MEMORIA RAM 8GB DDR4 CON DISCO DURO 256GB SSD M.2"</f>
        <v>COMPUTADOR TODO EN UNO  LENOVO CON PROCESADOR INTEL CORE I5-10400T MEMORIA RAM 8GB DDR4 CON DISCO DURO 256GB SSD M.2</v>
      </c>
      <c r="C21667" s="6">
        <v>6307000</v>
      </c>
      <c r="D21667" s="5" t="s">
        <v>135</v>
      </c>
      <c r="E21667" s="5" t="str">
        <f t="shared" si="1080"/>
        <v>SISTEMAS-GLOBALTRONIK SAS-SERGIO PATIÑO</v>
      </c>
      <c r="F21667" s="5"/>
      <c r="G21667" s="5" t="str">
        <f>"V50A"</f>
        <v>V50A</v>
      </c>
    </row>
    <row r="21668" spans="1:7" ht="58.5" customHeight="1" x14ac:dyDescent="0.25">
      <c r="A21668" s="5" t="str">
        <f>"H0036917"</f>
        <v>H0036917</v>
      </c>
      <c r="B21668" s="5" t="str">
        <f>"AIRE ACONDICIONADO DE 24000 BTU CONVENCIONAL R410"</f>
        <v>AIRE ACONDICIONADO DE 24000 BTU CONVENCIONAL R410</v>
      </c>
      <c r="C21668" s="6">
        <v>4950000</v>
      </c>
      <c r="D21668" s="5" t="s">
        <v>28</v>
      </c>
      <c r="E21668" s="5" t="str">
        <f t="shared" si="1080"/>
        <v>SISTEMAS-GLOBALTRONIK SAS-SERGIO PATIÑO</v>
      </c>
      <c r="F21668" s="5"/>
      <c r="G21668" s="5"/>
    </row>
    <row r="21669" spans="1:7" ht="58.5" customHeight="1" x14ac:dyDescent="0.25">
      <c r="A21669" s="5" t="str">
        <f>"H0036931"</f>
        <v>H0036931</v>
      </c>
      <c r="B21669" s="5" t="str">
        <f>"Disco de Estado Solido para Servidor"</f>
        <v>Disco de Estado Solido para Servidor</v>
      </c>
      <c r="C21669" s="6">
        <v>35075250</v>
      </c>
      <c r="D21669" s="5" t="s">
        <v>599</v>
      </c>
      <c r="E21669" s="5" t="str">
        <f t="shared" si="1080"/>
        <v>SISTEMAS-GLOBALTRONIK SAS-SERGIO PATIÑO</v>
      </c>
      <c r="F21669" s="5"/>
      <c r="G21669" s="5"/>
    </row>
    <row r="21670" spans="1:7" ht="58.5" customHeight="1" x14ac:dyDescent="0.25">
      <c r="A21670" s="5" t="str">
        <f>"H0036932"</f>
        <v>H0036932</v>
      </c>
      <c r="B21670" s="5" t="str">
        <f>"Disco de Estado Solido para Servidor"</f>
        <v>Disco de Estado Solido para Servidor</v>
      </c>
      <c r="C21670" s="6">
        <v>35075250</v>
      </c>
      <c r="D21670" s="5" t="s">
        <v>599</v>
      </c>
      <c r="E21670" s="5" t="str">
        <f t="shared" si="1080"/>
        <v>SISTEMAS-GLOBALTRONIK SAS-SERGIO PATIÑO</v>
      </c>
      <c r="F21670" s="5"/>
      <c r="G21670" s="5"/>
    </row>
    <row r="21671" spans="1:7" ht="58.5" customHeight="1" x14ac:dyDescent="0.25">
      <c r="A21671" s="5" t="str">
        <f>"H0036933"</f>
        <v>H0036933</v>
      </c>
      <c r="B21671" s="5" t="str">
        <f>"Disco de Estado Solido para Servidor"</f>
        <v>Disco de Estado Solido para Servidor</v>
      </c>
      <c r="C21671" s="6">
        <v>35075250</v>
      </c>
      <c r="D21671" s="5" t="s">
        <v>599</v>
      </c>
      <c r="E21671" s="5" t="str">
        <f t="shared" si="1080"/>
        <v>SISTEMAS-GLOBALTRONIK SAS-SERGIO PATIÑO</v>
      </c>
      <c r="F21671" s="5"/>
      <c r="G21671" s="5"/>
    </row>
    <row r="21672" spans="1:7" ht="58.5" customHeight="1" x14ac:dyDescent="0.25">
      <c r="A21672" s="5" t="str">
        <f>"H0036934"</f>
        <v>H0036934</v>
      </c>
      <c r="B21672" s="5" t="str">
        <f>"Disco de Estado Solido para Servidor"</f>
        <v>Disco de Estado Solido para Servidor</v>
      </c>
      <c r="C21672" s="6">
        <v>35075250</v>
      </c>
      <c r="D21672" s="5" t="s">
        <v>599</v>
      </c>
      <c r="E21672" s="5" t="str">
        <f t="shared" si="1080"/>
        <v>SISTEMAS-GLOBALTRONIK SAS-SERGIO PATIÑO</v>
      </c>
      <c r="F21672" s="5"/>
      <c r="G21672" s="5"/>
    </row>
    <row r="21673" spans="1:7" ht="58.5" customHeight="1" x14ac:dyDescent="0.25">
      <c r="A21673" s="5" t="str">
        <f>"H0036935"</f>
        <v>H0036935</v>
      </c>
      <c r="B21673" s="5" t="str">
        <f t="shared" ref="B21673:B21682" si="1081">"Switch de 48 puertos, rackeable y administrable.  Nota: Deben ser de marca Dell modelo EMC N1148T-ON por compatibilidad con toda la infra"</f>
        <v>Switch de 48 puertos, rackeable y administrable.  Nota: Deben ser de marca Dell modelo EMC N1148T-ON por compatibilidad con toda la infra</v>
      </c>
      <c r="C21673" s="6">
        <v>11428760</v>
      </c>
      <c r="D21673" s="5" t="s">
        <v>891</v>
      </c>
      <c r="E21673" s="5" t="str">
        <f t="shared" si="1080"/>
        <v>SISTEMAS-GLOBALTRONIK SAS-SERGIO PATIÑO</v>
      </c>
      <c r="F21673" s="5"/>
      <c r="G21673" s="5"/>
    </row>
    <row r="21674" spans="1:7" ht="58.5" customHeight="1" x14ac:dyDescent="0.25">
      <c r="A21674" s="5" t="str">
        <f>"H0036936"</f>
        <v>H0036936</v>
      </c>
      <c r="B21674" s="5" t="str">
        <f t="shared" si="1081"/>
        <v>Switch de 48 puertos, rackeable y administrable.  Nota: Deben ser de marca Dell modelo EMC N1148T-ON por compatibilidad con toda la infra</v>
      </c>
      <c r="C21674" s="6">
        <v>11428760</v>
      </c>
      <c r="D21674" s="5" t="s">
        <v>891</v>
      </c>
      <c r="E21674" s="5" t="str">
        <f t="shared" si="1080"/>
        <v>SISTEMAS-GLOBALTRONIK SAS-SERGIO PATIÑO</v>
      </c>
      <c r="F21674" s="5"/>
      <c r="G21674" s="5"/>
    </row>
    <row r="21675" spans="1:7" ht="58.5" customHeight="1" x14ac:dyDescent="0.25">
      <c r="A21675" s="5" t="str">
        <f>"H0036937"</f>
        <v>H0036937</v>
      </c>
      <c r="B21675" s="5" t="str">
        <f t="shared" si="1081"/>
        <v>Switch de 48 puertos, rackeable y administrable.  Nota: Deben ser de marca Dell modelo EMC N1148T-ON por compatibilidad con toda la infra</v>
      </c>
      <c r="C21675" s="6">
        <v>11428760</v>
      </c>
      <c r="D21675" s="5" t="s">
        <v>891</v>
      </c>
      <c r="E21675" s="5" t="str">
        <f t="shared" si="1080"/>
        <v>SISTEMAS-GLOBALTRONIK SAS-SERGIO PATIÑO</v>
      </c>
      <c r="F21675" s="5"/>
      <c r="G21675" s="5"/>
    </row>
    <row r="21676" spans="1:7" ht="58.5" customHeight="1" x14ac:dyDescent="0.25">
      <c r="A21676" s="5" t="str">
        <f>"H0036938"</f>
        <v>H0036938</v>
      </c>
      <c r="B21676" s="5" t="str">
        <f t="shared" si="1081"/>
        <v>Switch de 48 puertos, rackeable y administrable.  Nota: Deben ser de marca Dell modelo EMC N1148T-ON por compatibilidad con toda la infra</v>
      </c>
      <c r="C21676" s="6">
        <v>11428760</v>
      </c>
      <c r="D21676" s="5" t="s">
        <v>891</v>
      </c>
      <c r="E21676" s="5" t="str">
        <f t="shared" si="1080"/>
        <v>SISTEMAS-GLOBALTRONIK SAS-SERGIO PATIÑO</v>
      </c>
      <c r="F21676" s="5"/>
      <c r="G21676" s="5"/>
    </row>
    <row r="21677" spans="1:7" ht="58.5" customHeight="1" x14ac:dyDescent="0.25">
      <c r="A21677" s="5" t="str">
        <f>"H0036939"</f>
        <v>H0036939</v>
      </c>
      <c r="B21677" s="5" t="str">
        <f t="shared" si="1081"/>
        <v>Switch de 48 puertos, rackeable y administrable.  Nota: Deben ser de marca Dell modelo EMC N1148T-ON por compatibilidad con toda la infra</v>
      </c>
      <c r="C21677" s="6">
        <v>11428760</v>
      </c>
      <c r="D21677" s="5" t="s">
        <v>891</v>
      </c>
      <c r="E21677" s="5" t="str">
        <f t="shared" si="1080"/>
        <v>SISTEMAS-GLOBALTRONIK SAS-SERGIO PATIÑO</v>
      </c>
      <c r="F21677" s="5"/>
      <c r="G21677" s="5"/>
    </row>
    <row r="21678" spans="1:7" ht="58.5" customHeight="1" x14ac:dyDescent="0.25">
      <c r="A21678" s="5" t="str">
        <f>"H0036940"</f>
        <v>H0036940</v>
      </c>
      <c r="B21678" s="5" t="str">
        <f t="shared" si="1081"/>
        <v>Switch de 48 puertos, rackeable y administrable.  Nota: Deben ser de marca Dell modelo EMC N1148T-ON por compatibilidad con toda la infra</v>
      </c>
      <c r="C21678" s="6">
        <v>11428760</v>
      </c>
      <c r="D21678" s="5" t="s">
        <v>891</v>
      </c>
      <c r="E21678" s="5" t="str">
        <f t="shared" si="1080"/>
        <v>SISTEMAS-GLOBALTRONIK SAS-SERGIO PATIÑO</v>
      </c>
      <c r="F21678" s="5"/>
      <c r="G21678" s="5"/>
    </row>
    <row r="21679" spans="1:7" ht="58.5" customHeight="1" x14ac:dyDescent="0.25">
      <c r="A21679" s="5" t="str">
        <f>"H0036941"</f>
        <v>H0036941</v>
      </c>
      <c r="B21679" s="5" t="str">
        <f t="shared" si="1081"/>
        <v>Switch de 48 puertos, rackeable y administrable.  Nota: Deben ser de marca Dell modelo EMC N1148T-ON por compatibilidad con toda la infra</v>
      </c>
      <c r="C21679" s="6">
        <v>11428760</v>
      </c>
      <c r="D21679" s="5" t="s">
        <v>891</v>
      </c>
      <c r="E21679" s="5" t="str">
        <f t="shared" si="1080"/>
        <v>SISTEMAS-GLOBALTRONIK SAS-SERGIO PATIÑO</v>
      </c>
      <c r="F21679" s="5"/>
      <c r="G21679" s="5"/>
    </row>
    <row r="21680" spans="1:7" ht="58.5" customHeight="1" x14ac:dyDescent="0.25">
      <c r="A21680" s="5" t="str">
        <f>"H0036942"</f>
        <v>H0036942</v>
      </c>
      <c r="B21680" s="5" t="str">
        <f t="shared" si="1081"/>
        <v>Switch de 48 puertos, rackeable y administrable.  Nota: Deben ser de marca Dell modelo EMC N1148T-ON por compatibilidad con toda la infra</v>
      </c>
      <c r="C21680" s="6">
        <v>11428760</v>
      </c>
      <c r="D21680" s="5" t="s">
        <v>891</v>
      </c>
      <c r="E21680" s="5" t="str">
        <f t="shared" si="1080"/>
        <v>SISTEMAS-GLOBALTRONIK SAS-SERGIO PATIÑO</v>
      </c>
      <c r="F21680" s="5"/>
      <c r="G21680" s="5"/>
    </row>
    <row r="21681" spans="1:7" ht="58.5" customHeight="1" x14ac:dyDescent="0.25">
      <c r="A21681" s="5" t="str">
        <f>"H0036943"</f>
        <v>H0036943</v>
      </c>
      <c r="B21681" s="5" t="str">
        <f t="shared" si="1081"/>
        <v>Switch de 48 puertos, rackeable y administrable.  Nota: Deben ser de marca Dell modelo EMC N1148T-ON por compatibilidad con toda la infra</v>
      </c>
      <c r="C21681" s="6">
        <v>11428760</v>
      </c>
      <c r="D21681" s="5" t="s">
        <v>891</v>
      </c>
      <c r="E21681" s="5" t="str">
        <f t="shared" si="1080"/>
        <v>SISTEMAS-GLOBALTRONIK SAS-SERGIO PATIÑO</v>
      </c>
      <c r="F21681" s="5"/>
      <c r="G21681" s="5"/>
    </row>
    <row r="21682" spans="1:7" ht="58.5" customHeight="1" x14ac:dyDescent="0.25">
      <c r="A21682" s="5" t="str">
        <f>"H0036944"</f>
        <v>H0036944</v>
      </c>
      <c r="B21682" s="5" t="str">
        <f t="shared" si="1081"/>
        <v>Switch de 48 puertos, rackeable y administrable.  Nota: Deben ser de marca Dell modelo EMC N1148T-ON por compatibilidad con toda la infra</v>
      </c>
      <c r="C21682" s="6">
        <v>11428760</v>
      </c>
      <c r="D21682" s="5" t="s">
        <v>891</v>
      </c>
      <c r="E21682" s="5" t="str">
        <f t="shared" si="1080"/>
        <v>SISTEMAS-GLOBALTRONIK SAS-SERGIO PATIÑO</v>
      </c>
      <c r="F21682" s="5"/>
      <c r="G21682" s="5"/>
    </row>
    <row r="21683" spans="1:7" ht="58.5" customHeight="1" x14ac:dyDescent="0.25">
      <c r="A21683" s="5" t="str">
        <f>"H0036971"</f>
        <v>H0036971</v>
      </c>
      <c r="B21683" s="5" t="str">
        <f>"MONITOR DE 24' (HDMI - DISPLAYPORT)"</f>
        <v>MONITOR DE 24' (HDMI - DISPLAYPORT)</v>
      </c>
      <c r="C21683" s="6">
        <v>1416100</v>
      </c>
      <c r="D21683" s="5" t="s">
        <v>834</v>
      </c>
      <c r="E21683" s="5" t="str">
        <f t="shared" si="1080"/>
        <v>SISTEMAS-GLOBALTRONIK SAS-SERGIO PATIÑO</v>
      </c>
      <c r="F21683" s="5"/>
      <c r="G21683" s="5"/>
    </row>
    <row r="21684" spans="1:7" ht="58.5" customHeight="1" x14ac:dyDescent="0.25">
      <c r="A21684" s="5" t="str">
        <f>"H0036972"</f>
        <v>H0036972</v>
      </c>
      <c r="B21684" s="5" t="str">
        <f>"MONITOR DE 24' (HDMI - DISPLAYPORT)"</f>
        <v>MONITOR DE 24' (HDMI - DISPLAYPORT)</v>
      </c>
      <c r="C21684" s="6">
        <v>1416100</v>
      </c>
      <c r="D21684" s="5" t="s">
        <v>834</v>
      </c>
      <c r="E21684" s="5" t="str">
        <f t="shared" si="1080"/>
        <v>SISTEMAS-GLOBALTRONIK SAS-SERGIO PATIÑO</v>
      </c>
      <c r="F21684" s="5"/>
      <c r="G21684" s="5"/>
    </row>
    <row r="21685" spans="1:7" ht="58.5" customHeight="1" x14ac:dyDescent="0.25">
      <c r="A21685" s="5" t="str">
        <f>"H0036973"</f>
        <v>H0036973</v>
      </c>
      <c r="B21685" s="5" t="str">
        <f>"MONITOR DE 24' (HDMI - DISPLAYPORT)"</f>
        <v>MONITOR DE 24' (HDMI - DISPLAYPORT)</v>
      </c>
      <c r="C21685" s="6">
        <v>1416100</v>
      </c>
      <c r="D21685" s="5" t="s">
        <v>834</v>
      </c>
      <c r="E21685" s="5" t="str">
        <f t="shared" si="1080"/>
        <v>SISTEMAS-GLOBALTRONIK SAS-SERGIO PATIÑO</v>
      </c>
      <c r="F21685" s="5"/>
      <c r="G21685" s="5"/>
    </row>
    <row r="21686" spans="1:7" ht="58.5" customHeight="1" x14ac:dyDescent="0.25">
      <c r="A21686" s="5" t="str">
        <f>"H0036974"</f>
        <v>H0036974</v>
      </c>
      <c r="B21686" s="5" t="str">
        <f>"MONITOR DE 24' (HDMI - DISPLAYPORT)"</f>
        <v>MONITOR DE 24' (HDMI - DISPLAYPORT)</v>
      </c>
      <c r="C21686" s="6">
        <v>1416100</v>
      </c>
      <c r="D21686" s="5" t="s">
        <v>834</v>
      </c>
      <c r="E21686" s="5" t="str">
        <f t="shared" si="1080"/>
        <v>SISTEMAS-GLOBALTRONIK SAS-SERGIO PATIÑO</v>
      </c>
      <c r="F21686" s="5"/>
      <c r="G21686" s="5"/>
    </row>
    <row r="21687" spans="1:7" ht="58.5" customHeight="1" x14ac:dyDescent="0.25">
      <c r="A21687" s="5" t="str">
        <f>"H0036984"</f>
        <v>H0036984</v>
      </c>
      <c r="B21687" s="5" t="str">
        <f>"LICENCIA PLESK WEB PRO EDITION"</f>
        <v>LICENCIA PLESK WEB PRO EDITION</v>
      </c>
      <c r="C21687" s="6">
        <v>1908760</v>
      </c>
      <c r="D21687" s="5" t="s">
        <v>892</v>
      </c>
      <c r="E21687" s="5" t="str">
        <f t="shared" si="1080"/>
        <v>SISTEMAS-GLOBALTRONIK SAS-SERGIO PATIÑO</v>
      </c>
      <c r="F21687" s="5"/>
      <c r="G21687" s="5"/>
    </row>
    <row r="21688" spans="1:7" ht="58.5" customHeight="1" x14ac:dyDescent="0.25">
      <c r="A21688" s="5" t="str">
        <f>"H0036985"</f>
        <v>H0036985</v>
      </c>
      <c r="B21688" s="5" t="str">
        <f>"LICENCIA ADOBE CREATIVE CC POR UN AÑO"</f>
        <v>LICENCIA ADOBE CREATIVE CC POR UN AÑO</v>
      </c>
      <c r="C21688" s="6">
        <v>7800000</v>
      </c>
      <c r="D21688" s="5" t="s">
        <v>892</v>
      </c>
      <c r="E21688" s="5" t="str">
        <f t="shared" si="1080"/>
        <v>SISTEMAS-GLOBALTRONIK SAS-SERGIO PATIÑO</v>
      </c>
      <c r="F21688" s="5"/>
      <c r="G21688" s="5"/>
    </row>
    <row r="21689" spans="1:7" ht="58.5" customHeight="1" x14ac:dyDescent="0.25">
      <c r="A21689" s="5" t="str">
        <f>"H0036986"</f>
        <v>H0036986</v>
      </c>
      <c r="B21689" s="5" t="str">
        <f>"LICENCIA FORTIGATE-300C UTM Bundle (24x7 FortiCare plus NGFW, AV, Web Filtering and Antispam Services) P/N:FC-10-00302-950-02-12"</f>
        <v>LICENCIA FORTIGATE-300C UTM Bundle (24x7 FortiCare plus NGFW, AV, Web Filtering and Antispam Services) P/N:FC-10-00302-950-02-12</v>
      </c>
      <c r="C21689" s="6">
        <v>52717000</v>
      </c>
      <c r="D21689" s="5" t="s">
        <v>892</v>
      </c>
      <c r="E21689" s="5" t="str">
        <f t="shared" si="1080"/>
        <v>SISTEMAS-GLOBALTRONIK SAS-SERGIO PATIÑO</v>
      </c>
      <c r="F21689" s="5"/>
      <c r="G21689" s="5"/>
    </row>
    <row r="21690" spans="1:7" ht="58.5" customHeight="1" x14ac:dyDescent="0.25">
      <c r="A21690" s="5" t="str">
        <f>"H0037220"</f>
        <v>H0037220</v>
      </c>
      <c r="B21690" s="5" t="str">
        <f>"LICENCIA MODULO VENTAILLA UNICA DE RADICACION"</f>
        <v>LICENCIA MODULO VENTAILLA UNICA DE RADICACION</v>
      </c>
      <c r="C21690" s="6">
        <v>47344150</v>
      </c>
      <c r="D21690" s="5" t="s">
        <v>893</v>
      </c>
      <c r="E21690" s="5" t="str">
        <f t="shared" si="1080"/>
        <v>SISTEMAS-GLOBALTRONIK SAS-SERGIO PATIÑO</v>
      </c>
      <c r="F21690" s="5" t="str">
        <f>"PARA 5 USUARIOS"</f>
        <v>PARA 5 USUARIOS</v>
      </c>
      <c r="G21690" s="5"/>
    </row>
    <row r="21691" spans="1:7" ht="58.5" customHeight="1" x14ac:dyDescent="0.25">
      <c r="A21691" s="5" t="str">
        <f>"H0037221"</f>
        <v>H0037221</v>
      </c>
      <c r="B21691" s="5" t="str">
        <f>"LICENCIA MODULO CONTROLDOC_BPMS"</f>
        <v>LICENCIA MODULO CONTROLDOC_BPMS</v>
      </c>
      <c r="C21691" s="6">
        <v>4391100000</v>
      </c>
      <c r="D21691" s="5" t="s">
        <v>893</v>
      </c>
      <c r="E21691" s="5" t="str">
        <f t="shared" si="1080"/>
        <v>SISTEMAS-GLOBALTRONIK SAS-SERGIO PATIÑO</v>
      </c>
      <c r="F21691" s="5" t="str">
        <f>"PARA 900 USUARIOS"</f>
        <v>PARA 900 USUARIOS</v>
      </c>
      <c r="G21691" s="5"/>
    </row>
    <row r="21692" spans="1:7" ht="58.5" customHeight="1" x14ac:dyDescent="0.25">
      <c r="A21692" s="5" t="str">
        <f>"H0037222"</f>
        <v>H0037222</v>
      </c>
      <c r="B21692" s="5" t="str">
        <f>"LICENCIA MODULO PQRSD WEB"</f>
        <v>LICENCIA MODULO PQRSD WEB</v>
      </c>
      <c r="C21692" s="6">
        <v>181594000</v>
      </c>
      <c r="D21692" s="5" t="s">
        <v>893</v>
      </c>
      <c r="E21692" s="5" t="str">
        <f t="shared" si="1080"/>
        <v>SISTEMAS-GLOBALTRONIK SAS-SERGIO PATIÑO</v>
      </c>
      <c r="F21692" s="5"/>
      <c r="G21692" s="5"/>
    </row>
    <row r="21693" spans="1:7" ht="58.5" customHeight="1" x14ac:dyDescent="0.25">
      <c r="A21693" s="5" t="str">
        <f>"H0037229"</f>
        <v>H0037229</v>
      </c>
      <c r="B21693" s="5" t="str">
        <f t="shared" ref="B21693:B21701" si="1082">"SWITCH 48 PUERTOS ADMINISTRABLE"</f>
        <v>SWITCH 48 PUERTOS ADMINISTRABLE</v>
      </c>
      <c r="C21693" s="6">
        <v>23100000</v>
      </c>
      <c r="D21693" s="5" t="s">
        <v>894</v>
      </c>
      <c r="E21693" s="5" t="str">
        <f t="shared" ref="E21693:E21761" si="1083">"SISTEMAS-GLOBALTRONIK SAS-SERGIO PATIÑO"</f>
        <v>SISTEMAS-GLOBALTRONIK SAS-SERGIO PATIÑO</v>
      </c>
      <c r="F21693" s="5"/>
      <c r="G21693" s="5"/>
    </row>
    <row r="21694" spans="1:7" ht="58.5" customHeight="1" x14ac:dyDescent="0.25">
      <c r="A21694" s="5" t="str">
        <f>"H0037230"</f>
        <v>H0037230</v>
      </c>
      <c r="B21694" s="5" t="str">
        <f t="shared" si="1082"/>
        <v>SWITCH 48 PUERTOS ADMINISTRABLE</v>
      </c>
      <c r="C21694" s="6">
        <v>23100000</v>
      </c>
      <c r="D21694" s="5" t="s">
        <v>894</v>
      </c>
      <c r="E21694" s="5" t="str">
        <f t="shared" si="1083"/>
        <v>SISTEMAS-GLOBALTRONIK SAS-SERGIO PATIÑO</v>
      </c>
      <c r="F21694" s="5"/>
      <c r="G21694" s="5"/>
    </row>
    <row r="21695" spans="1:7" ht="58.5" customHeight="1" x14ac:dyDescent="0.25">
      <c r="A21695" s="5" t="str">
        <f>"H0037231"</f>
        <v>H0037231</v>
      </c>
      <c r="B21695" s="5" t="str">
        <f t="shared" si="1082"/>
        <v>SWITCH 48 PUERTOS ADMINISTRABLE</v>
      </c>
      <c r="C21695" s="6">
        <v>23100000</v>
      </c>
      <c r="D21695" s="5" t="s">
        <v>894</v>
      </c>
      <c r="E21695" s="5" t="str">
        <f t="shared" si="1083"/>
        <v>SISTEMAS-GLOBALTRONIK SAS-SERGIO PATIÑO</v>
      </c>
      <c r="F21695" s="5"/>
      <c r="G21695" s="5"/>
    </row>
    <row r="21696" spans="1:7" ht="58.5" customHeight="1" x14ac:dyDescent="0.25">
      <c r="A21696" s="5" t="str">
        <f>"H0037235"</f>
        <v>H0037235</v>
      </c>
      <c r="B21696" s="5" t="str">
        <f t="shared" si="1082"/>
        <v>SWITCH 48 PUERTOS ADMINISTRABLE</v>
      </c>
      <c r="C21696" s="6">
        <v>23100000</v>
      </c>
      <c r="D21696" s="5" t="s">
        <v>649</v>
      </c>
      <c r="E21696" s="5" t="str">
        <f t="shared" si="1083"/>
        <v>SISTEMAS-GLOBALTRONIK SAS-SERGIO PATIÑO</v>
      </c>
      <c r="F21696" s="5"/>
      <c r="G21696" s="5"/>
    </row>
    <row r="21697" spans="1:7" ht="58.5" customHeight="1" x14ac:dyDescent="0.25">
      <c r="A21697" s="5" t="str">
        <f>"H0037236"</f>
        <v>H0037236</v>
      </c>
      <c r="B21697" s="5" t="str">
        <f t="shared" si="1082"/>
        <v>SWITCH 48 PUERTOS ADMINISTRABLE</v>
      </c>
      <c r="C21697" s="6">
        <v>23100000</v>
      </c>
      <c r="D21697" s="5" t="s">
        <v>649</v>
      </c>
      <c r="E21697" s="5" t="str">
        <f t="shared" si="1083"/>
        <v>SISTEMAS-GLOBALTRONIK SAS-SERGIO PATIÑO</v>
      </c>
      <c r="F21697" s="5"/>
      <c r="G21697" s="5"/>
    </row>
    <row r="21698" spans="1:7" ht="58.5" customHeight="1" x14ac:dyDescent="0.25">
      <c r="A21698" s="5" t="str">
        <f>"H0037237"</f>
        <v>H0037237</v>
      </c>
      <c r="B21698" s="5" t="str">
        <f t="shared" si="1082"/>
        <v>SWITCH 48 PUERTOS ADMINISTRABLE</v>
      </c>
      <c r="C21698" s="6">
        <v>23100000</v>
      </c>
      <c r="D21698" s="5" t="s">
        <v>649</v>
      </c>
      <c r="E21698" s="5" t="str">
        <f t="shared" si="1083"/>
        <v>SISTEMAS-GLOBALTRONIK SAS-SERGIO PATIÑO</v>
      </c>
      <c r="F21698" s="5"/>
      <c r="G21698" s="5"/>
    </row>
    <row r="21699" spans="1:7" ht="58.5" customHeight="1" x14ac:dyDescent="0.25">
      <c r="A21699" s="5" t="str">
        <f>"H0037238"</f>
        <v>H0037238</v>
      </c>
      <c r="B21699" s="5" t="str">
        <f t="shared" si="1082"/>
        <v>SWITCH 48 PUERTOS ADMINISTRABLE</v>
      </c>
      <c r="C21699" s="6">
        <v>23100000</v>
      </c>
      <c r="D21699" s="5" t="s">
        <v>649</v>
      </c>
      <c r="E21699" s="5" t="str">
        <f t="shared" si="1083"/>
        <v>SISTEMAS-GLOBALTRONIK SAS-SERGIO PATIÑO</v>
      </c>
      <c r="F21699" s="5"/>
      <c r="G21699" s="5"/>
    </row>
    <row r="21700" spans="1:7" ht="58.5" customHeight="1" x14ac:dyDescent="0.25">
      <c r="A21700" s="5" t="str">
        <f>"H0037247"</f>
        <v>H0037247</v>
      </c>
      <c r="B21700" s="5" t="str">
        <f t="shared" si="1082"/>
        <v>SWITCH 48 PUERTOS ADMINISTRABLE</v>
      </c>
      <c r="C21700" s="6">
        <v>26100000</v>
      </c>
      <c r="D21700" s="5" t="s">
        <v>137</v>
      </c>
      <c r="E21700" s="5" t="str">
        <f t="shared" si="1083"/>
        <v>SISTEMAS-GLOBALTRONIK SAS-SERGIO PATIÑO</v>
      </c>
      <c r="F21700" s="5"/>
      <c r="G21700" s="5"/>
    </row>
    <row r="21701" spans="1:7" ht="58.5" customHeight="1" x14ac:dyDescent="0.25">
      <c r="A21701" s="5" t="str">
        <f>"H0037248"</f>
        <v>H0037248</v>
      </c>
      <c r="B21701" s="5" t="str">
        <f t="shared" si="1082"/>
        <v>SWITCH 48 PUERTOS ADMINISTRABLE</v>
      </c>
      <c r="C21701" s="6">
        <v>26100000</v>
      </c>
      <c r="D21701" s="5" t="s">
        <v>137</v>
      </c>
      <c r="E21701" s="5" t="str">
        <f t="shared" si="1083"/>
        <v>SISTEMAS-GLOBALTRONIK SAS-SERGIO PATIÑO</v>
      </c>
      <c r="F21701" s="5"/>
      <c r="G21701" s="5"/>
    </row>
    <row r="21702" spans="1:7" ht="58.5" customHeight="1" x14ac:dyDescent="0.25">
      <c r="A21702" s="5" t="str">
        <f>"H0037249"</f>
        <v>H0037249</v>
      </c>
      <c r="B21702" s="5" t="str">
        <f t="shared" ref="B21702:B21744" si="1084">"LECTOR DE HUELLAS DIGITALES"</f>
        <v>LECTOR DE HUELLAS DIGITALES</v>
      </c>
      <c r="C21702" s="6">
        <v>580000</v>
      </c>
      <c r="D21702" s="5" t="s">
        <v>137</v>
      </c>
      <c r="E21702" s="5" t="str">
        <f t="shared" si="1083"/>
        <v>SISTEMAS-GLOBALTRONIK SAS-SERGIO PATIÑO</v>
      </c>
      <c r="F21702" s="5"/>
      <c r="G21702" s="5"/>
    </row>
    <row r="21703" spans="1:7" ht="58.5" customHeight="1" x14ac:dyDescent="0.25">
      <c r="A21703" s="5" t="str">
        <f>"H0037250"</f>
        <v>H0037250</v>
      </c>
      <c r="B21703" s="5" t="str">
        <f t="shared" si="1084"/>
        <v>LECTOR DE HUELLAS DIGITALES</v>
      </c>
      <c r="C21703" s="6">
        <v>580000</v>
      </c>
      <c r="D21703" s="5" t="s">
        <v>137</v>
      </c>
      <c r="E21703" s="5" t="str">
        <f t="shared" si="1083"/>
        <v>SISTEMAS-GLOBALTRONIK SAS-SERGIO PATIÑO</v>
      </c>
      <c r="F21703" s="5"/>
      <c r="G21703" s="5"/>
    </row>
    <row r="21704" spans="1:7" ht="58.5" customHeight="1" x14ac:dyDescent="0.25">
      <c r="A21704" s="5" t="str">
        <f>"H0037251"</f>
        <v>H0037251</v>
      </c>
      <c r="B21704" s="5" t="str">
        <f t="shared" si="1084"/>
        <v>LECTOR DE HUELLAS DIGITALES</v>
      </c>
      <c r="C21704" s="6">
        <v>580000</v>
      </c>
      <c r="D21704" s="5" t="s">
        <v>137</v>
      </c>
      <c r="E21704" s="5" t="str">
        <f t="shared" si="1083"/>
        <v>SISTEMAS-GLOBALTRONIK SAS-SERGIO PATIÑO</v>
      </c>
      <c r="F21704" s="5"/>
      <c r="G21704" s="5"/>
    </row>
    <row r="21705" spans="1:7" ht="58.5" customHeight="1" x14ac:dyDescent="0.25">
      <c r="A21705" s="5" t="str">
        <f>"H0037252"</f>
        <v>H0037252</v>
      </c>
      <c r="B21705" s="5" t="str">
        <f t="shared" si="1084"/>
        <v>LECTOR DE HUELLAS DIGITALES</v>
      </c>
      <c r="C21705" s="6">
        <v>580000</v>
      </c>
      <c r="D21705" s="5" t="s">
        <v>137</v>
      </c>
      <c r="E21705" s="5" t="str">
        <f t="shared" si="1083"/>
        <v>SISTEMAS-GLOBALTRONIK SAS-SERGIO PATIÑO</v>
      </c>
      <c r="F21705" s="5"/>
      <c r="G21705" s="5"/>
    </row>
    <row r="21706" spans="1:7" ht="58.5" customHeight="1" x14ac:dyDescent="0.25">
      <c r="A21706" s="5" t="str">
        <f>"H0037253"</f>
        <v>H0037253</v>
      </c>
      <c r="B21706" s="5" t="str">
        <f t="shared" si="1084"/>
        <v>LECTOR DE HUELLAS DIGITALES</v>
      </c>
      <c r="C21706" s="6">
        <v>580000</v>
      </c>
      <c r="D21706" s="5" t="s">
        <v>137</v>
      </c>
      <c r="E21706" s="5" t="str">
        <f t="shared" si="1083"/>
        <v>SISTEMAS-GLOBALTRONIK SAS-SERGIO PATIÑO</v>
      </c>
      <c r="F21706" s="5"/>
      <c r="G21706" s="5"/>
    </row>
    <row r="21707" spans="1:7" ht="58.5" customHeight="1" x14ac:dyDescent="0.25">
      <c r="A21707" s="5" t="str">
        <f>"H0037254"</f>
        <v>H0037254</v>
      </c>
      <c r="B21707" s="5" t="str">
        <f t="shared" si="1084"/>
        <v>LECTOR DE HUELLAS DIGITALES</v>
      </c>
      <c r="C21707" s="6">
        <v>580000</v>
      </c>
      <c r="D21707" s="5" t="s">
        <v>137</v>
      </c>
      <c r="E21707" s="5" t="str">
        <f t="shared" si="1083"/>
        <v>SISTEMAS-GLOBALTRONIK SAS-SERGIO PATIÑO</v>
      </c>
      <c r="F21707" s="5"/>
      <c r="G21707" s="5"/>
    </row>
    <row r="21708" spans="1:7" ht="58.5" customHeight="1" x14ac:dyDescent="0.25">
      <c r="A21708" s="5" t="str">
        <f>"H0037255"</f>
        <v>H0037255</v>
      </c>
      <c r="B21708" s="5" t="str">
        <f t="shared" si="1084"/>
        <v>LECTOR DE HUELLAS DIGITALES</v>
      </c>
      <c r="C21708" s="6">
        <v>580000</v>
      </c>
      <c r="D21708" s="5" t="s">
        <v>137</v>
      </c>
      <c r="E21708" s="5" t="str">
        <f t="shared" si="1083"/>
        <v>SISTEMAS-GLOBALTRONIK SAS-SERGIO PATIÑO</v>
      </c>
      <c r="F21708" s="5"/>
      <c r="G21708" s="5"/>
    </row>
    <row r="21709" spans="1:7" ht="58.5" customHeight="1" x14ac:dyDescent="0.25">
      <c r="A21709" s="5" t="str">
        <f>"H0037256"</f>
        <v>H0037256</v>
      </c>
      <c r="B21709" s="5" t="str">
        <f t="shared" si="1084"/>
        <v>LECTOR DE HUELLAS DIGITALES</v>
      </c>
      <c r="C21709" s="6">
        <v>580000</v>
      </c>
      <c r="D21709" s="5" t="s">
        <v>137</v>
      </c>
      <c r="E21709" s="5" t="str">
        <f t="shared" si="1083"/>
        <v>SISTEMAS-GLOBALTRONIK SAS-SERGIO PATIÑO</v>
      </c>
      <c r="F21709" s="5"/>
      <c r="G21709" s="5"/>
    </row>
    <row r="21710" spans="1:7" ht="58.5" customHeight="1" x14ac:dyDescent="0.25">
      <c r="A21710" s="5" t="str">
        <f>"H0037257"</f>
        <v>H0037257</v>
      </c>
      <c r="B21710" s="5" t="str">
        <f t="shared" si="1084"/>
        <v>LECTOR DE HUELLAS DIGITALES</v>
      </c>
      <c r="C21710" s="6">
        <v>580000</v>
      </c>
      <c r="D21710" s="5" t="s">
        <v>137</v>
      </c>
      <c r="E21710" s="5" t="str">
        <f t="shared" si="1083"/>
        <v>SISTEMAS-GLOBALTRONIK SAS-SERGIO PATIÑO</v>
      </c>
      <c r="F21710" s="5"/>
      <c r="G21710" s="5"/>
    </row>
    <row r="21711" spans="1:7" ht="58.5" customHeight="1" x14ac:dyDescent="0.25">
      <c r="A21711" s="5" t="str">
        <f>"H0037258"</f>
        <v>H0037258</v>
      </c>
      <c r="B21711" s="5" t="str">
        <f t="shared" si="1084"/>
        <v>LECTOR DE HUELLAS DIGITALES</v>
      </c>
      <c r="C21711" s="6">
        <v>580000</v>
      </c>
      <c r="D21711" s="5" t="s">
        <v>137</v>
      </c>
      <c r="E21711" s="5" t="str">
        <f t="shared" si="1083"/>
        <v>SISTEMAS-GLOBALTRONIK SAS-SERGIO PATIÑO</v>
      </c>
      <c r="F21711" s="5"/>
      <c r="G21711" s="5"/>
    </row>
    <row r="21712" spans="1:7" ht="58.5" customHeight="1" x14ac:dyDescent="0.25">
      <c r="A21712" s="5" t="str">
        <f>"H0037259"</f>
        <v>H0037259</v>
      </c>
      <c r="B21712" s="5" t="str">
        <f t="shared" si="1084"/>
        <v>LECTOR DE HUELLAS DIGITALES</v>
      </c>
      <c r="C21712" s="6">
        <v>580000</v>
      </c>
      <c r="D21712" s="5" t="s">
        <v>137</v>
      </c>
      <c r="E21712" s="5" t="str">
        <f t="shared" si="1083"/>
        <v>SISTEMAS-GLOBALTRONIK SAS-SERGIO PATIÑO</v>
      </c>
      <c r="F21712" s="5"/>
      <c r="G21712" s="5"/>
    </row>
    <row r="21713" spans="1:7" ht="58.5" customHeight="1" x14ac:dyDescent="0.25">
      <c r="A21713" s="5" t="str">
        <f>"H0037260"</f>
        <v>H0037260</v>
      </c>
      <c r="B21713" s="5" t="str">
        <f t="shared" si="1084"/>
        <v>LECTOR DE HUELLAS DIGITALES</v>
      </c>
      <c r="C21713" s="6">
        <v>580000</v>
      </c>
      <c r="D21713" s="5" t="s">
        <v>137</v>
      </c>
      <c r="E21713" s="5" t="str">
        <f t="shared" si="1083"/>
        <v>SISTEMAS-GLOBALTRONIK SAS-SERGIO PATIÑO</v>
      </c>
      <c r="F21713" s="5"/>
      <c r="G21713" s="5"/>
    </row>
    <row r="21714" spans="1:7" ht="58.5" customHeight="1" x14ac:dyDescent="0.25">
      <c r="A21714" s="5" t="str">
        <f>"H0037261"</f>
        <v>H0037261</v>
      </c>
      <c r="B21714" s="5" t="str">
        <f t="shared" si="1084"/>
        <v>LECTOR DE HUELLAS DIGITALES</v>
      </c>
      <c r="C21714" s="6">
        <v>580000</v>
      </c>
      <c r="D21714" s="5" t="s">
        <v>137</v>
      </c>
      <c r="E21714" s="5" t="str">
        <f t="shared" si="1083"/>
        <v>SISTEMAS-GLOBALTRONIK SAS-SERGIO PATIÑO</v>
      </c>
      <c r="F21714" s="5"/>
      <c r="G21714" s="5"/>
    </row>
    <row r="21715" spans="1:7" ht="58.5" customHeight="1" x14ac:dyDescent="0.25">
      <c r="A21715" s="5" t="str">
        <f>"H0037262"</f>
        <v>H0037262</v>
      </c>
      <c r="B21715" s="5" t="str">
        <f t="shared" si="1084"/>
        <v>LECTOR DE HUELLAS DIGITALES</v>
      </c>
      <c r="C21715" s="6">
        <v>580000</v>
      </c>
      <c r="D21715" s="5" t="s">
        <v>137</v>
      </c>
      <c r="E21715" s="5" t="str">
        <f t="shared" si="1083"/>
        <v>SISTEMAS-GLOBALTRONIK SAS-SERGIO PATIÑO</v>
      </c>
      <c r="F21715" s="5"/>
      <c r="G21715" s="5"/>
    </row>
    <row r="21716" spans="1:7" ht="58.5" customHeight="1" x14ac:dyDescent="0.25">
      <c r="A21716" s="5" t="str">
        <f>"H0037263"</f>
        <v>H0037263</v>
      </c>
      <c r="B21716" s="5" t="str">
        <f t="shared" si="1084"/>
        <v>LECTOR DE HUELLAS DIGITALES</v>
      </c>
      <c r="C21716" s="6">
        <v>580000</v>
      </c>
      <c r="D21716" s="5" t="s">
        <v>137</v>
      </c>
      <c r="E21716" s="5" t="str">
        <f t="shared" si="1083"/>
        <v>SISTEMAS-GLOBALTRONIK SAS-SERGIO PATIÑO</v>
      </c>
      <c r="F21716" s="5"/>
      <c r="G21716" s="5"/>
    </row>
    <row r="21717" spans="1:7" ht="58.5" customHeight="1" x14ac:dyDescent="0.25">
      <c r="A21717" s="5" t="str">
        <f>"H0037264"</f>
        <v>H0037264</v>
      </c>
      <c r="B21717" s="5" t="str">
        <f t="shared" si="1084"/>
        <v>LECTOR DE HUELLAS DIGITALES</v>
      </c>
      <c r="C21717" s="6">
        <v>580000</v>
      </c>
      <c r="D21717" s="5" t="s">
        <v>137</v>
      </c>
      <c r="E21717" s="5" t="str">
        <f t="shared" si="1083"/>
        <v>SISTEMAS-GLOBALTRONIK SAS-SERGIO PATIÑO</v>
      </c>
      <c r="F21717" s="5"/>
      <c r="G21717" s="5"/>
    </row>
    <row r="21718" spans="1:7" ht="58.5" customHeight="1" x14ac:dyDescent="0.25">
      <c r="A21718" s="5" t="str">
        <f>"H0037265"</f>
        <v>H0037265</v>
      </c>
      <c r="B21718" s="5" t="str">
        <f t="shared" si="1084"/>
        <v>LECTOR DE HUELLAS DIGITALES</v>
      </c>
      <c r="C21718" s="6">
        <v>580000</v>
      </c>
      <c r="D21718" s="5" t="s">
        <v>137</v>
      </c>
      <c r="E21718" s="5" t="str">
        <f t="shared" si="1083"/>
        <v>SISTEMAS-GLOBALTRONIK SAS-SERGIO PATIÑO</v>
      </c>
      <c r="F21718" s="5"/>
      <c r="G21718" s="5"/>
    </row>
    <row r="21719" spans="1:7" ht="58.5" customHeight="1" x14ac:dyDescent="0.25">
      <c r="A21719" s="5" t="str">
        <f>"H0037266"</f>
        <v>H0037266</v>
      </c>
      <c r="B21719" s="5" t="str">
        <f t="shared" si="1084"/>
        <v>LECTOR DE HUELLAS DIGITALES</v>
      </c>
      <c r="C21719" s="6">
        <v>580000</v>
      </c>
      <c r="D21719" s="5" t="s">
        <v>137</v>
      </c>
      <c r="E21719" s="5" t="str">
        <f t="shared" si="1083"/>
        <v>SISTEMAS-GLOBALTRONIK SAS-SERGIO PATIÑO</v>
      </c>
      <c r="F21719" s="5"/>
      <c r="G21719" s="5"/>
    </row>
    <row r="21720" spans="1:7" ht="58.5" customHeight="1" x14ac:dyDescent="0.25">
      <c r="A21720" s="5" t="str">
        <f>"H0037267"</f>
        <v>H0037267</v>
      </c>
      <c r="B21720" s="5" t="str">
        <f t="shared" si="1084"/>
        <v>LECTOR DE HUELLAS DIGITALES</v>
      </c>
      <c r="C21720" s="6">
        <v>580000</v>
      </c>
      <c r="D21720" s="5" t="s">
        <v>137</v>
      </c>
      <c r="E21720" s="5" t="str">
        <f t="shared" si="1083"/>
        <v>SISTEMAS-GLOBALTRONIK SAS-SERGIO PATIÑO</v>
      </c>
      <c r="F21720" s="5"/>
      <c r="G21720" s="5"/>
    </row>
    <row r="21721" spans="1:7" ht="58.5" customHeight="1" x14ac:dyDescent="0.25">
      <c r="A21721" s="5" t="str">
        <f>"H0037268"</f>
        <v>H0037268</v>
      </c>
      <c r="B21721" s="5" t="str">
        <f t="shared" si="1084"/>
        <v>LECTOR DE HUELLAS DIGITALES</v>
      </c>
      <c r="C21721" s="6">
        <v>580000</v>
      </c>
      <c r="D21721" s="5" t="s">
        <v>137</v>
      </c>
      <c r="E21721" s="5" t="str">
        <f t="shared" si="1083"/>
        <v>SISTEMAS-GLOBALTRONIK SAS-SERGIO PATIÑO</v>
      </c>
      <c r="F21721" s="5"/>
      <c r="G21721" s="5"/>
    </row>
    <row r="21722" spans="1:7" ht="58.5" customHeight="1" x14ac:dyDescent="0.25">
      <c r="A21722" s="5" t="str">
        <f>"H0037269"</f>
        <v>H0037269</v>
      </c>
      <c r="B21722" s="5" t="str">
        <f t="shared" si="1084"/>
        <v>LECTOR DE HUELLAS DIGITALES</v>
      </c>
      <c r="C21722" s="6">
        <v>580000</v>
      </c>
      <c r="D21722" s="5" t="s">
        <v>137</v>
      </c>
      <c r="E21722" s="5" t="str">
        <f t="shared" si="1083"/>
        <v>SISTEMAS-GLOBALTRONIK SAS-SERGIO PATIÑO</v>
      </c>
      <c r="F21722" s="5"/>
      <c r="G21722" s="5"/>
    </row>
    <row r="21723" spans="1:7" ht="58.5" customHeight="1" x14ac:dyDescent="0.25">
      <c r="A21723" s="5" t="str">
        <f>"H0037270"</f>
        <v>H0037270</v>
      </c>
      <c r="B21723" s="5" t="str">
        <f t="shared" si="1084"/>
        <v>LECTOR DE HUELLAS DIGITALES</v>
      </c>
      <c r="C21723" s="6">
        <v>580000</v>
      </c>
      <c r="D21723" s="5" t="s">
        <v>137</v>
      </c>
      <c r="E21723" s="5" t="str">
        <f t="shared" si="1083"/>
        <v>SISTEMAS-GLOBALTRONIK SAS-SERGIO PATIÑO</v>
      </c>
      <c r="F21723" s="5"/>
      <c r="G21723" s="5"/>
    </row>
    <row r="21724" spans="1:7" ht="58.5" customHeight="1" x14ac:dyDescent="0.25">
      <c r="A21724" s="5" t="str">
        <f>"H0037271"</f>
        <v>H0037271</v>
      </c>
      <c r="B21724" s="5" t="str">
        <f t="shared" si="1084"/>
        <v>LECTOR DE HUELLAS DIGITALES</v>
      </c>
      <c r="C21724" s="6">
        <v>580000</v>
      </c>
      <c r="D21724" s="5" t="s">
        <v>137</v>
      </c>
      <c r="E21724" s="5" t="str">
        <f t="shared" si="1083"/>
        <v>SISTEMAS-GLOBALTRONIK SAS-SERGIO PATIÑO</v>
      </c>
      <c r="F21724" s="5"/>
      <c r="G21724" s="5"/>
    </row>
    <row r="21725" spans="1:7" ht="58.5" customHeight="1" x14ac:dyDescent="0.25">
      <c r="A21725" s="5" t="str">
        <f>"H0037272"</f>
        <v>H0037272</v>
      </c>
      <c r="B21725" s="5" t="str">
        <f t="shared" si="1084"/>
        <v>LECTOR DE HUELLAS DIGITALES</v>
      </c>
      <c r="C21725" s="6">
        <v>580000</v>
      </c>
      <c r="D21725" s="5" t="s">
        <v>137</v>
      </c>
      <c r="E21725" s="5" t="str">
        <f t="shared" si="1083"/>
        <v>SISTEMAS-GLOBALTRONIK SAS-SERGIO PATIÑO</v>
      </c>
      <c r="F21725" s="5"/>
      <c r="G21725" s="5"/>
    </row>
    <row r="21726" spans="1:7" ht="58.5" customHeight="1" x14ac:dyDescent="0.25">
      <c r="A21726" s="5" t="str">
        <f>"H0037273"</f>
        <v>H0037273</v>
      </c>
      <c r="B21726" s="5" t="str">
        <f t="shared" si="1084"/>
        <v>LECTOR DE HUELLAS DIGITALES</v>
      </c>
      <c r="C21726" s="6">
        <v>580000</v>
      </c>
      <c r="D21726" s="5" t="s">
        <v>137</v>
      </c>
      <c r="E21726" s="5" t="str">
        <f t="shared" si="1083"/>
        <v>SISTEMAS-GLOBALTRONIK SAS-SERGIO PATIÑO</v>
      </c>
      <c r="F21726" s="5"/>
      <c r="G21726" s="5"/>
    </row>
    <row r="21727" spans="1:7" ht="58.5" customHeight="1" x14ac:dyDescent="0.25">
      <c r="A21727" s="5" t="str">
        <f>"H0037274"</f>
        <v>H0037274</v>
      </c>
      <c r="B21727" s="5" t="str">
        <f t="shared" si="1084"/>
        <v>LECTOR DE HUELLAS DIGITALES</v>
      </c>
      <c r="C21727" s="6">
        <v>580000</v>
      </c>
      <c r="D21727" s="5" t="s">
        <v>137</v>
      </c>
      <c r="E21727" s="5" t="str">
        <f t="shared" si="1083"/>
        <v>SISTEMAS-GLOBALTRONIK SAS-SERGIO PATIÑO</v>
      </c>
      <c r="F21727" s="5"/>
      <c r="G21727" s="5"/>
    </row>
    <row r="21728" spans="1:7" ht="58.5" customHeight="1" x14ac:dyDescent="0.25">
      <c r="A21728" s="5" t="str">
        <f>"H0037275"</f>
        <v>H0037275</v>
      </c>
      <c r="B21728" s="5" t="str">
        <f t="shared" si="1084"/>
        <v>LECTOR DE HUELLAS DIGITALES</v>
      </c>
      <c r="C21728" s="6">
        <v>580000</v>
      </c>
      <c r="D21728" s="5" t="s">
        <v>137</v>
      </c>
      <c r="E21728" s="5" t="str">
        <f t="shared" si="1083"/>
        <v>SISTEMAS-GLOBALTRONIK SAS-SERGIO PATIÑO</v>
      </c>
      <c r="F21728" s="5"/>
      <c r="G21728" s="5"/>
    </row>
    <row r="21729" spans="1:7" ht="58.5" customHeight="1" x14ac:dyDescent="0.25">
      <c r="A21729" s="5" t="str">
        <f>"H0037276"</f>
        <v>H0037276</v>
      </c>
      <c r="B21729" s="5" t="str">
        <f t="shared" si="1084"/>
        <v>LECTOR DE HUELLAS DIGITALES</v>
      </c>
      <c r="C21729" s="6">
        <v>580000</v>
      </c>
      <c r="D21729" s="5" t="s">
        <v>137</v>
      </c>
      <c r="E21729" s="5" t="str">
        <f t="shared" si="1083"/>
        <v>SISTEMAS-GLOBALTRONIK SAS-SERGIO PATIÑO</v>
      </c>
      <c r="F21729" s="5"/>
      <c r="G21729" s="5"/>
    </row>
    <row r="21730" spans="1:7" ht="58.5" customHeight="1" x14ac:dyDescent="0.25">
      <c r="A21730" s="5" t="str">
        <f>"H0037277"</f>
        <v>H0037277</v>
      </c>
      <c r="B21730" s="5" t="str">
        <f t="shared" si="1084"/>
        <v>LECTOR DE HUELLAS DIGITALES</v>
      </c>
      <c r="C21730" s="6">
        <v>580000</v>
      </c>
      <c r="D21730" s="5" t="s">
        <v>137</v>
      </c>
      <c r="E21730" s="5" t="str">
        <f t="shared" si="1083"/>
        <v>SISTEMAS-GLOBALTRONIK SAS-SERGIO PATIÑO</v>
      </c>
      <c r="F21730" s="5"/>
      <c r="G21730" s="5"/>
    </row>
    <row r="21731" spans="1:7" ht="58.5" customHeight="1" x14ac:dyDescent="0.25">
      <c r="A21731" s="5" t="str">
        <f>"H0037278"</f>
        <v>H0037278</v>
      </c>
      <c r="B21731" s="5" t="str">
        <f t="shared" si="1084"/>
        <v>LECTOR DE HUELLAS DIGITALES</v>
      </c>
      <c r="C21731" s="6">
        <v>580000</v>
      </c>
      <c r="D21731" s="5" t="s">
        <v>137</v>
      </c>
      <c r="E21731" s="5" t="str">
        <f t="shared" si="1083"/>
        <v>SISTEMAS-GLOBALTRONIK SAS-SERGIO PATIÑO</v>
      </c>
      <c r="F21731" s="5"/>
      <c r="G21731" s="5"/>
    </row>
    <row r="21732" spans="1:7" ht="58.5" customHeight="1" x14ac:dyDescent="0.25">
      <c r="A21732" s="5" t="str">
        <f>"H0037279"</f>
        <v>H0037279</v>
      </c>
      <c r="B21732" s="5" t="str">
        <f t="shared" si="1084"/>
        <v>LECTOR DE HUELLAS DIGITALES</v>
      </c>
      <c r="C21732" s="6">
        <v>580000</v>
      </c>
      <c r="D21732" s="5" t="s">
        <v>137</v>
      </c>
      <c r="E21732" s="5" t="str">
        <f t="shared" si="1083"/>
        <v>SISTEMAS-GLOBALTRONIK SAS-SERGIO PATIÑO</v>
      </c>
      <c r="F21732" s="5"/>
      <c r="G21732" s="5"/>
    </row>
    <row r="21733" spans="1:7" ht="58.5" customHeight="1" x14ac:dyDescent="0.25">
      <c r="A21733" s="5" t="str">
        <f>"H0037280"</f>
        <v>H0037280</v>
      </c>
      <c r="B21733" s="5" t="str">
        <f t="shared" si="1084"/>
        <v>LECTOR DE HUELLAS DIGITALES</v>
      </c>
      <c r="C21733" s="6">
        <v>580000</v>
      </c>
      <c r="D21733" s="5" t="s">
        <v>137</v>
      </c>
      <c r="E21733" s="5" t="str">
        <f t="shared" si="1083"/>
        <v>SISTEMAS-GLOBALTRONIK SAS-SERGIO PATIÑO</v>
      </c>
      <c r="F21733" s="5"/>
      <c r="G21733" s="5"/>
    </row>
    <row r="21734" spans="1:7" ht="58.5" customHeight="1" x14ac:dyDescent="0.25">
      <c r="A21734" s="5" t="str">
        <f>"H0037281"</f>
        <v>H0037281</v>
      </c>
      <c r="B21734" s="5" t="str">
        <f t="shared" si="1084"/>
        <v>LECTOR DE HUELLAS DIGITALES</v>
      </c>
      <c r="C21734" s="6">
        <v>580000</v>
      </c>
      <c r="D21734" s="5" t="s">
        <v>137</v>
      </c>
      <c r="E21734" s="5" t="str">
        <f t="shared" si="1083"/>
        <v>SISTEMAS-GLOBALTRONIK SAS-SERGIO PATIÑO</v>
      </c>
      <c r="F21734" s="5"/>
      <c r="G21734" s="5"/>
    </row>
    <row r="21735" spans="1:7" ht="58.5" customHeight="1" x14ac:dyDescent="0.25">
      <c r="A21735" s="5" t="str">
        <f>"H0037282"</f>
        <v>H0037282</v>
      </c>
      <c r="B21735" s="5" t="str">
        <f t="shared" si="1084"/>
        <v>LECTOR DE HUELLAS DIGITALES</v>
      </c>
      <c r="C21735" s="6">
        <v>580000</v>
      </c>
      <c r="D21735" s="5" t="s">
        <v>137</v>
      </c>
      <c r="E21735" s="5" t="str">
        <f t="shared" si="1083"/>
        <v>SISTEMAS-GLOBALTRONIK SAS-SERGIO PATIÑO</v>
      </c>
      <c r="F21735" s="5"/>
      <c r="G21735" s="5"/>
    </row>
    <row r="21736" spans="1:7" ht="58.5" customHeight="1" x14ac:dyDescent="0.25">
      <c r="A21736" s="5" t="str">
        <f>"H0037285"</f>
        <v>H0037285</v>
      </c>
      <c r="B21736" s="5" t="str">
        <f t="shared" si="1084"/>
        <v>LECTOR DE HUELLAS DIGITALES</v>
      </c>
      <c r="C21736" s="6">
        <v>580000</v>
      </c>
      <c r="D21736" s="5" t="s">
        <v>137</v>
      </c>
      <c r="E21736" s="5" t="str">
        <f t="shared" si="1083"/>
        <v>SISTEMAS-GLOBALTRONIK SAS-SERGIO PATIÑO</v>
      </c>
      <c r="F21736" s="5"/>
      <c r="G21736" s="5"/>
    </row>
    <row r="21737" spans="1:7" ht="58.5" customHeight="1" x14ac:dyDescent="0.25">
      <c r="A21737" s="5" t="str">
        <f>"H0037286"</f>
        <v>H0037286</v>
      </c>
      <c r="B21737" s="5" t="str">
        <f t="shared" si="1084"/>
        <v>LECTOR DE HUELLAS DIGITALES</v>
      </c>
      <c r="C21737" s="6">
        <v>580000</v>
      </c>
      <c r="D21737" s="5" t="s">
        <v>137</v>
      </c>
      <c r="E21737" s="5" t="str">
        <f t="shared" si="1083"/>
        <v>SISTEMAS-GLOBALTRONIK SAS-SERGIO PATIÑO</v>
      </c>
      <c r="F21737" s="5"/>
      <c r="G21737" s="5"/>
    </row>
    <row r="21738" spans="1:7" ht="58.5" customHeight="1" x14ac:dyDescent="0.25">
      <c r="A21738" s="5" t="str">
        <f>"H0037287"</f>
        <v>H0037287</v>
      </c>
      <c r="B21738" s="5" t="str">
        <f t="shared" si="1084"/>
        <v>LECTOR DE HUELLAS DIGITALES</v>
      </c>
      <c r="C21738" s="6">
        <v>580000</v>
      </c>
      <c r="D21738" s="5" t="s">
        <v>137</v>
      </c>
      <c r="E21738" s="5" t="str">
        <f t="shared" si="1083"/>
        <v>SISTEMAS-GLOBALTRONIK SAS-SERGIO PATIÑO</v>
      </c>
      <c r="F21738" s="5"/>
      <c r="G21738" s="5"/>
    </row>
    <row r="21739" spans="1:7" ht="58.5" customHeight="1" x14ac:dyDescent="0.25">
      <c r="A21739" s="5" t="str">
        <f>"H0037288"</f>
        <v>H0037288</v>
      </c>
      <c r="B21739" s="5" t="str">
        <f t="shared" si="1084"/>
        <v>LECTOR DE HUELLAS DIGITALES</v>
      </c>
      <c r="C21739" s="6">
        <v>580000</v>
      </c>
      <c r="D21739" s="5" t="s">
        <v>137</v>
      </c>
      <c r="E21739" s="5" t="str">
        <f t="shared" si="1083"/>
        <v>SISTEMAS-GLOBALTRONIK SAS-SERGIO PATIÑO</v>
      </c>
      <c r="F21739" s="5"/>
      <c r="G21739" s="5"/>
    </row>
    <row r="21740" spans="1:7" ht="58.5" customHeight="1" x14ac:dyDescent="0.25">
      <c r="A21740" s="5" t="str">
        <f>"H0037292"</f>
        <v>H0037292</v>
      </c>
      <c r="B21740" s="5" t="str">
        <f t="shared" si="1084"/>
        <v>LECTOR DE HUELLAS DIGITALES</v>
      </c>
      <c r="C21740" s="6">
        <v>580000</v>
      </c>
      <c r="D21740" s="5" t="s">
        <v>137</v>
      </c>
      <c r="E21740" s="5" t="str">
        <f t="shared" si="1083"/>
        <v>SISTEMAS-GLOBALTRONIK SAS-SERGIO PATIÑO</v>
      </c>
      <c r="F21740" s="5"/>
      <c r="G21740" s="5"/>
    </row>
    <row r="21741" spans="1:7" ht="58.5" customHeight="1" x14ac:dyDescent="0.25">
      <c r="A21741" s="5" t="str">
        <f>"H0037294"</f>
        <v>H0037294</v>
      </c>
      <c r="B21741" s="5" t="str">
        <f t="shared" si="1084"/>
        <v>LECTOR DE HUELLAS DIGITALES</v>
      </c>
      <c r="C21741" s="6">
        <v>580000</v>
      </c>
      <c r="D21741" s="5" t="s">
        <v>137</v>
      </c>
      <c r="E21741" s="5" t="str">
        <f t="shared" si="1083"/>
        <v>SISTEMAS-GLOBALTRONIK SAS-SERGIO PATIÑO</v>
      </c>
      <c r="F21741" s="5"/>
      <c r="G21741" s="5"/>
    </row>
    <row r="21742" spans="1:7" ht="58.5" customHeight="1" x14ac:dyDescent="0.25">
      <c r="A21742" s="5" t="str">
        <f>"H0037295"</f>
        <v>H0037295</v>
      </c>
      <c r="B21742" s="5" t="str">
        <f t="shared" si="1084"/>
        <v>LECTOR DE HUELLAS DIGITALES</v>
      </c>
      <c r="C21742" s="6">
        <v>580000</v>
      </c>
      <c r="D21742" s="5" t="s">
        <v>137</v>
      </c>
      <c r="E21742" s="5" t="str">
        <f t="shared" si="1083"/>
        <v>SISTEMAS-GLOBALTRONIK SAS-SERGIO PATIÑO</v>
      </c>
      <c r="F21742" s="5"/>
      <c r="G21742" s="5"/>
    </row>
    <row r="21743" spans="1:7" ht="58.5" customHeight="1" x14ac:dyDescent="0.25">
      <c r="A21743" s="5" t="str">
        <f>"H0037296"</f>
        <v>H0037296</v>
      </c>
      <c r="B21743" s="5" t="str">
        <f t="shared" si="1084"/>
        <v>LECTOR DE HUELLAS DIGITALES</v>
      </c>
      <c r="C21743" s="6">
        <v>580000</v>
      </c>
      <c r="D21743" s="5" t="s">
        <v>137</v>
      </c>
      <c r="E21743" s="5" t="str">
        <f t="shared" si="1083"/>
        <v>SISTEMAS-GLOBALTRONIK SAS-SERGIO PATIÑO</v>
      </c>
      <c r="F21743" s="5"/>
      <c r="G21743" s="5"/>
    </row>
    <row r="21744" spans="1:7" ht="58.5" customHeight="1" x14ac:dyDescent="0.25">
      <c r="A21744" s="5" t="str">
        <f>"H0037297"</f>
        <v>H0037297</v>
      </c>
      <c r="B21744" s="5" t="str">
        <f t="shared" si="1084"/>
        <v>LECTOR DE HUELLAS DIGITALES</v>
      </c>
      <c r="C21744" s="6">
        <v>580000</v>
      </c>
      <c r="D21744" s="5" t="s">
        <v>137</v>
      </c>
      <c r="E21744" s="5" t="str">
        <f t="shared" si="1083"/>
        <v>SISTEMAS-GLOBALTRONIK SAS-SERGIO PATIÑO</v>
      </c>
      <c r="F21744" s="5"/>
      <c r="G21744" s="5"/>
    </row>
    <row r="21745" spans="1:7" ht="58.5" customHeight="1" x14ac:dyDescent="0.25">
      <c r="A21745" s="5" t="str">
        <f>"H0037437"</f>
        <v>H0037437</v>
      </c>
      <c r="B21745" s="5" t="str">
        <f>"AIRE ACONDICIONADO TIPO MINISPLIT CAPACIDAD 24.000 BTU TECNOLOGIA INVERTER DUAL"</f>
        <v>AIRE ACONDICIONADO TIPO MINISPLIT CAPACIDAD 24.000 BTU TECNOLOGIA INVERTER DUAL</v>
      </c>
      <c r="C21745" s="6">
        <v>5848909.5300000003</v>
      </c>
      <c r="D21745" s="5" t="s">
        <v>202</v>
      </c>
      <c r="E21745" s="5" t="str">
        <f t="shared" si="1083"/>
        <v>SISTEMAS-GLOBALTRONIK SAS-SERGIO PATIÑO</v>
      </c>
      <c r="F21745" s="5"/>
      <c r="G21745" s="5"/>
    </row>
    <row r="21746" spans="1:7" ht="58.5" customHeight="1" x14ac:dyDescent="0.25">
      <c r="A21746" s="5" t="str">
        <f>"H0037534"</f>
        <v>H0037534</v>
      </c>
      <c r="B21746" s="5" t="str">
        <f>"SWITCH 48 PUERTOS ADMINISTRABLE"</f>
        <v>SWITCH 48 PUERTOS ADMINISTRABLE</v>
      </c>
      <c r="C21746" s="6">
        <v>26100000</v>
      </c>
      <c r="D21746" s="5" t="s">
        <v>895</v>
      </c>
      <c r="E21746" s="5" t="str">
        <f t="shared" si="1083"/>
        <v>SISTEMAS-GLOBALTRONIK SAS-SERGIO PATIÑO</v>
      </c>
      <c r="F21746" s="5"/>
      <c r="G21746" s="5"/>
    </row>
    <row r="21747" spans="1:7" ht="58.5" customHeight="1" x14ac:dyDescent="0.25">
      <c r="A21747" s="5" t="str">
        <f>"H0037535"</f>
        <v>H0037535</v>
      </c>
      <c r="B21747" s="5" t="str">
        <f>"SWITCH 48 PUERTOS ADMINISTRABLE"</f>
        <v>SWITCH 48 PUERTOS ADMINISTRABLE</v>
      </c>
      <c r="C21747" s="6">
        <v>26100000</v>
      </c>
      <c r="D21747" s="5" t="s">
        <v>895</v>
      </c>
      <c r="E21747" s="5" t="str">
        <f t="shared" si="1083"/>
        <v>SISTEMAS-GLOBALTRONIK SAS-SERGIO PATIÑO</v>
      </c>
      <c r="F21747" s="5"/>
      <c r="G21747" s="5"/>
    </row>
    <row r="21748" spans="1:7" ht="58.5" customHeight="1" x14ac:dyDescent="0.25">
      <c r="A21748" s="5" t="str">
        <f>"H0037536"</f>
        <v>H0037536</v>
      </c>
      <c r="B21748" s="5" t="str">
        <f>"SWITCH 48 PUERTOS ADMINISTRABLE"</f>
        <v>SWITCH 48 PUERTOS ADMINISTRABLE</v>
      </c>
      <c r="C21748" s="6">
        <v>26100000</v>
      </c>
      <c r="D21748" s="5" t="s">
        <v>895</v>
      </c>
      <c r="E21748" s="5" t="str">
        <f t="shared" si="1083"/>
        <v>SISTEMAS-GLOBALTRONIK SAS-SERGIO PATIÑO</v>
      </c>
      <c r="F21748" s="5"/>
      <c r="G21748" s="5"/>
    </row>
    <row r="21749" spans="1:7" ht="58.5" customHeight="1" x14ac:dyDescent="0.25">
      <c r="A21749" s="5" t="str">
        <f>"H0037854"</f>
        <v>H0037854</v>
      </c>
      <c r="B21749" s="5" t="str">
        <f t="shared" ref="B21749:B21754" si="1085">"SILLA GERENTE NIZA MEC. BASCULANTE CON BRAZOS."</f>
        <v>SILLA GERENTE NIZA MEC. BASCULANTE CON BRAZOS.</v>
      </c>
      <c r="C21749" s="6">
        <v>710000.01</v>
      </c>
      <c r="D21749" s="5" t="s">
        <v>30</v>
      </c>
      <c r="E21749" s="5" t="str">
        <f t="shared" si="1083"/>
        <v>SISTEMAS-GLOBALTRONIK SAS-SERGIO PATIÑO</v>
      </c>
      <c r="F21749" s="5"/>
      <c r="G21749" s="5"/>
    </row>
    <row r="21750" spans="1:7" ht="58.5" customHeight="1" x14ac:dyDescent="0.25">
      <c r="A21750" s="5" t="str">
        <f>"H0037855"</f>
        <v>H0037855</v>
      </c>
      <c r="B21750" s="5" t="str">
        <f t="shared" si="1085"/>
        <v>SILLA GERENTE NIZA MEC. BASCULANTE CON BRAZOS.</v>
      </c>
      <c r="C21750" s="6">
        <v>710000.01</v>
      </c>
      <c r="D21750" s="5" t="s">
        <v>30</v>
      </c>
      <c r="E21750" s="5" t="str">
        <f t="shared" si="1083"/>
        <v>SISTEMAS-GLOBALTRONIK SAS-SERGIO PATIÑO</v>
      </c>
      <c r="F21750" s="5"/>
      <c r="G21750" s="5"/>
    </row>
    <row r="21751" spans="1:7" ht="58.5" customHeight="1" x14ac:dyDescent="0.25">
      <c r="A21751" s="5" t="str">
        <f>"H0037856"</f>
        <v>H0037856</v>
      </c>
      <c r="B21751" s="5" t="str">
        <f t="shared" si="1085"/>
        <v>SILLA GERENTE NIZA MEC. BASCULANTE CON BRAZOS.</v>
      </c>
      <c r="C21751" s="6">
        <v>710000.01</v>
      </c>
      <c r="D21751" s="5" t="s">
        <v>30</v>
      </c>
      <c r="E21751" s="5" t="str">
        <f t="shared" si="1083"/>
        <v>SISTEMAS-GLOBALTRONIK SAS-SERGIO PATIÑO</v>
      </c>
      <c r="F21751" s="5"/>
      <c r="G21751" s="5"/>
    </row>
    <row r="21752" spans="1:7" ht="58.5" customHeight="1" x14ac:dyDescent="0.25">
      <c r="A21752" s="5" t="str">
        <f>"H0037857"</f>
        <v>H0037857</v>
      </c>
      <c r="B21752" s="5" t="str">
        <f t="shared" si="1085"/>
        <v>SILLA GERENTE NIZA MEC. BASCULANTE CON BRAZOS.</v>
      </c>
      <c r="C21752" s="6">
        <v>710000.01</v>
      </c>
      <c r="D21752" s="5" t="s">
        <v>30</v>
      </c>
      <c r="E21752" s="5" t="str">
        <f t="shared" si="1083"/>
        <v>SISTEMAS-GLOBALTRONIK SAS-SERGIO PATIÑO</v>
      </c>
      <c r="F21752" s="5"/>
      <c r="G21752" s="5"/>
    </row>
    <row r="21753" spans="1:7" ht="58.5" customHeight="1" x14ac:dyDescent="0.25">
      <c r="A21753" s="5" t="str">
        <f>"H0037858"</f>
        <v>H0037858</v>
      </c>
      <c r="B21753" s="5" t="str">
        <f t="shared" si="1085"/>
        <v>SILLA GERENTE NIZA MEC. BASCULANTE CON BRAZOS.</v>
      </c>
      <c r="C21753" s="6">
        <v>710000.01</v>
      </c>
      <c r="D21753" s="5" t="s">
        <v>30</v>
      </c>
      <c r="E21753" s="5" t="str">
        <f t="shared" si="1083"/>
        <v>SISTEMAS-GLOBALTRONIK SAS-SERGIO PATIÑO</v>
      </c>
      <c r="F21753" s="5"/>
      <c r="G21753" s="5"/>
    </row>
    <row r="21754" spans="1:7" ht="58.5" customHeight="1" x14ac:dyDescent="0.25">
      <c r="A21754" s="5" t="str">
        <f>"H0037859"</f>
        <v>H0037859</v>
      </c>
      <c r="B21754" s="5" t="str">
        <f t="shared" si="1085"/>
        <v>SILLA GERENTE NIZA MEC. BASCULANTE CON BRAZOS.</v>
      </c>
      <c r="C21754" s="6">
        <v>710000.01</v>
      </c>
      <c r="D21754" s="5" t="s">
        <v>30</v>
      </c>
      <c r="E21754" s="5" t="str">
        <f t="shared" si="1083"/>
        <v>SISTEMAS-GLOBALTRONIK SAS-SERGIO PATIÑO</v>
      </c>
      <c r="F21754" s="5"/>
      <c r="G21754" s="5"/>
    </row>
    <row r="21755" spans="1:7" ht="58.5" customHeight="1" x14ac:dyDescent="0.25">
      <c r="A21755" s="5" t="str">
        <f>"H0038102"</f>
        <v>H0038102</v>
      </c>
      <c r="B21755" s="5" t="str">
        <f>"SERVIDOR"</f>
        <v>SERVIDOR</v>
      </c>
      <c r="C21755" s="6">
        <v>88872332</v>
      </c>
      <c r="D21755" s="5" t="s">
        <v>896</v>
      </c>
      <c r="E21755" s="5" t="str">
        <f t="shared" si="1083"/>
        <v>SISTEMAS-GLOBALTRONIK SAS-SERGIO PATIÑO</v>
      </c>
      <c r="F21755" s="5"/>
      <c r="G21755" s="5"/>
    </row>
    <row r="21756" spans="1:7" ht="58.5" customHeight="1" x14ac:dyDescent="0.25">
      <c r="A21756" s="5" t="str">
        <f>"H0038103"</f>
        <v>H0038103</v>
      </c>
      <c r="B21756" s="5" t="str">
        <f>"SWITCH 48 PUERTOS ADMINISTRABLE"</f>
        <v>SWITCH 48 PUERTOS ADMINISTRABLE</v>
      </c>
      <c r="C21756" s="6">
        <v>26100000</v>
      </c>
      <c r="D21756" s="5" t="s">
        <v>897</v>
      </c>
      <c r="E21756" s="5" t="str">
        <f t="shared" si="1083"/>
        <v>SISTEMAS-GLOBALTRONIK SAS-SERGIO PATIÑO</v>
      </c>
      <c r="F21756" s="5"/>
      <c r="G21756" s="5"/>
    </row>
    <row r="21757" spans="1:7" ht="58.5" customHeight="1" x14ac:dyDescent="0.25">
      <c r="A21757" s="5" t="str">
        <f>"H0038104"</f>
        <v>H0038104</v>
      </c>
      <c r="B21757" s="5" t="str">
        <f>"SWITCH 48 PUERTOS ADMINISTRABLE"</f>
        <v>SWITCH 48 PUERTOS ADMINISTRABLE</v>
      </c>
      <c r="C21757" s="6">
        <v>26100000</v>
      </c>
      <c r="D21757" s="5" t="s">
        <v>897</v>
      </c>
      <c r="E21757" s="5" t="str">
        <f t="shared" si="1083"/>
        <v>SISTEMAS-GLOBALTRONIK SAS-SERGIO PATIÑO</v>
      </c>
      <c r="F21757" s="5"/>
      <c r="G21757" s="5"/>
    </row>
    <row r="21758" spans="1:7" ht="58.5" customHeight="1" x14ac:dyDescent="0.25">
      <c r="A21758" s="5" t="str">
        <f>"H0038136"</f>
        <v>H0038136</v>
      </c>
      <c r="B21758" s="5" t="str">
        <f>"COMPUTADOR TODO EN UNO"</f>
        <v>COMPUTADOR TODO EN UNO</v>
      </c>
      <c r="C21758" s="6">
        <v>7497000</v>
      </c>
      <c r="D21758" s="5" t="s">
        <v>31</v>
      </c>
      <c r="E21758" s="5" t="str">
        <f t="shared" si="1083"/>
        <v>SISTEMAS-GLOBALTRONIK SAS-SERGIO PATIÑO</v>
      </c>
      <c r="F21758" s="5"/>
      <c r="G21758" s="5"/>
    </row>
    <row r="21759" spans="1:7" ht="58.5" customHeight="1" x14ac:dyDescent="0.25">
      <c r="A21759" s="5" t="str">
        <f>"H0038707"</f>
        <v>H0038707</v>
      </c>
      <c r="B21759" s="5" t="str">
        <f>"SWITCH 48 PUERTOS ADMINISTRABLE"</f>
        <v>SWITCH 48 PUERTOS ADMINISTRABLE</v>
      </c>
      <c r="C21759" s="6">
        <v>24486000.329999998</v>
      </c>
      <c r="D21759" s="5" t="s">
        <v>898</v>
      </c>
      <c r="E21759" s="5" t="str">
        <f t="shared" si="1083"/>
        <v>SISTEMAS-GLOBALTRONIK SAS-SERGIO PATIÑO</v>
      </c>
      <c r="F21759" s="5"/>
      <c r="G21759" s="5"/>
    </row>
    <row r="21760" spans="1:7" ht="58.5" customHeight="1" x14ac:dyDescent="0.25">
      <c r="A21760" s="5" t="str">
        <f>"H0038708"</f>
        <v>H0038708</v>
      </c>
      <c r="B21760" s="5" t="str">
        <f>"SWITCH 48 PUERTOS ADMINISTRABLE"</f>
        <v>SWITCH 48 PUERTOS ADMINISTRABLE</v>
      </c>
      <c r="C21760" s="6">
        <v>24486000.329999998</v>
      </c>
      <c r="D21760" s="5" t="s">
        <v>898</v>
      </c>
      <c r="E21760" s="5" t="str">
        <f t="shared" si="1083"/>
        <v>SISTEMAS-GLOBALTRONIK SAS-SERGIO PATIÑO</v>
      </c>
      <c r="F21760" s="5"/>
      <c r="G21760" s="5"/>
    </row>
    <row r="21761" spans="1:7" ht="58.5" customHeight="1" x14ac:dyDescent="0.25">
      <c r="A21761" s="5" t="str">
        <f>"H0038709"</f>
        <v>H0038709</v>
      </c>
      <c r="B21761" s="5" t="str">
        <f>"SWITCH 48 PUERTOS ADMINISTRABLE"</f>
        <v>SWITCH 48 PUERTOS ADMINISTRABLE</v>
      </c>
      <c r="C21761" s="6">
        <v>24486000.329999998</v>
      </c>
      <c r="D21761" s="5" t="s">
        <v>898</v>
      </c>
      <c r="E21761" s="5" t="str">
        <f t="shared" si="1083"/>
        <v>SISTEMAS-GLOBALTRONIK SAS-SERGIO PATIÑO</v>
      </c>
      <c r="F21761" s="5"/>
      <c r="G21761" s="5"/>
    </row>
    <row r="21762" spans="1:7" ht="58.5" customHeight="1" x14ac:dyDescent="0.25">
      <c r="A21762" s="5" t="str">
        <f>"B0000756"</f>
        <v>B0000756</v>
      </c>
      <c r="B21762" s="5" t="str">
        <f t="shared" ref="B21762:B21769" si="1086">"LICENCIA OFFICE HOME AND BUSINEES"</f>
        <v>LICENCIA OFFICE HOME AND BUSINEES</v>
      </c>
      <c r="C21762" s="6">
        <v>440800</v>
      </c>
      <c r="D21762" s="5" t="s">
        <v>1</v>
      </c>
      <c r="E21762" s="5" t="str">
        <f t="shared" ref="E21762:E21793" si="1087">"PLANEACION-DORIS ANGARITA ACOSTA"</f>
        <v>PLANEACION-DORIS ANGARITA ACOSTA</v>
      </c>
      <c r="F21762" s="5" t="str">
        <f>"Descripcion:LICENCIA OFFICE HOME AND BUSIMESS 2013 Estado: Excelente Placa anterior: 000030642 Material:  Color:  Referencia:  Observacion:  Placa padre: H0005366 Tipo adquisicion : Entidad"</f>
        <v>Descripcion:LICENCIA OFFICE HOME AND BUSIMESS 2013 Estado: Excelente Placa anterior: 000030642 Material:  Color:  Referencia:  Observacion:  Placa padre: H0005366 Tipo adquisicion : Entidad</v>
      </c>
      <c r="G21762" s="5"/>
    </row>
    <row r="21763" spans="1:7" ht="58.5" customHeight="1" x14ac:dyDescent="0.25">
      <c r="A21763" s="5" t="str">
        <f>"B0000757"</f>
        <v>B0000757</v>
      </c>
      <c r="B21763" s="5" t="str">
        <f t="shared" si="1086"/>
        <v>LICENCIA OFFICE HOME AND BUSINEES</v>
      </c>
      <c r="C21763" s="6">
        <v>440800</v>
      </c>
      <c r="D21763" s="5" t="s">
        <v>2</v>
      </c>
      <c r="E21763" s="5" t="str">
        <f t="shared" si="1087"/>
        <v>PLANEACION-DORIS ANGARITA ACOSTA</v>
      </c>
      <c r="F21763" s="5" t="str">
        <f>"Descripcion:LICENCIA OFFICE HOME AND BUSIMESS 2013 Estado: Excelente Placa anterior: 000030826 Material:  Color:  Referencia:  Observacion:  Placa padre: H0005383 Tipo adquisicion : Entidad"</f>
        <v>Descripcion:LICENCIA OFFICE HOME AND BUSIMESS 2013 Estado: Excelente Placa anterior: 000030826 Material:  Color:  Referencia:  Observacion:  Placa padre: H0005383 Tipo adquisicion : Entidad</v>
      </c>
      <c r="G21763" s="5"/>
    </row>
    <row r="21764" spans="1:7" ht="58.5" customHeight="1" x14ac:dyDescent="0.25">
      <c r="A21764" s="5" t="str">
        <f>"B0000758"</f>
        <v>B0000758</v>
      </c>
      <c r="B21764" s="5" t="str">
        <f t="shared" si="1086"/>
        <v>LICENCIA OFFICE HOME AND BUSINEES</v>
      </c>
      <c r="C21764" s="6">
        <v>440800</v>
      </c>
      <c r="D21764" s="5" t="s">
        <v>1</v>
      </c>
      <c r="E21764" s="5" t="str">
        <f t="shared" si="1087"/>
        <v>PLANEACION-DORIS ANGARITA ACOSTA</v>
      </c>
      <c r="F21764" s="5" t="str">
        <f>"Descripcion:LICENCIA OFFICE HOME AND BUSIMESS 2013 Estado: Excelente Placa anterior: 000030643 Material:  Color:  Referencia:  Observacion:  Placa padre: H0005398 Tipo adquisicion : Entidad"</f>
        <v>Descripcion:LICENCIA OFFICE HOME AND BUSIMESS 2013 Estado: Excelente Placa anterior: 000030643 Material:  Color:  Referencia:  Observacion:  Placa padre: H0005398 Tipo adquisicion : Entidad</v>
      </c>
      <c r="G21764" s="5"/>
    </row>
    <row r="21765" spans="1:7" ht="58.5" customHeight="1" x14ac:dyDescent="0.25">
      <c r="A21765" s="5" t="str">
        <f>"B0005104"</f>
        <v>B0005104</v>
      </c>
      <c r="B21765" s="5" t="str">
        <f t="shared" si="1086"/>
        <v>LICENCIA OFFICE HOME AND BUSINEES</v>
      </c>
      <c r="C21765" s="6">
        <v>440800</v>
      </c>
      <c r="D21765" s="5" t="s">
        <v>1</v>
      </c>
      <c r="E21765" s="5" t="str">
        <f t="shared" si="1087"/>
        <v>PLANEACION-DORIS ANGARITA ACOSTA</v>
      </c>
      <c r="F21765" s="5" t="str">
        <f>"Descripcion:LICENCIA OFFICE HOME AND BUSIMESS 2013 Estado: Bueno Placa anterior: 000030610 Material:  Color:  Referencia:  Observacion:  Placa padre:  Tipo adquisicion : Entidad"</f>
        <v>Descripcion:LICENCIA OFFICE HOME AND BUSIMESS 2013 Estado: Bueno Placa anterior: 000030610 Material:  Color:  Referencia:  Observacion:  Placa padre:  Tipo adquisicion : Entidad</v>
      </c>
      <c r="G21765" s="5"/>
    </row>
    <row r="21766" spans="1:7" ht="58.5" customHeight="1" x14ac:dyDescent="0.25">
      <c r="A21766" s="5" t="str">
        <f>"B0005105"</f>
        <v>B0005105</v>
      </c>
      <c r="B21766" s="5" t="str">
        <f t="shared" si="1086"/>
        <v>LICENCIA OFFICE HOME AND BUSINEES</v>
      </c>
      <c r="C21766" s="6">
        <v>440800</v>
      </c>
      <c r="D21766" s="5" t="s">
        <v>1</v>
      </c>
      <c r="E21766" s="5" t="str">
        <f t="shared" si="1087"/>
        <v>PLANEACION-DORIS ANGARITA ACOSTA</v>
      </c>
      <c r="F21766" s="5" t="str">
        <f>"Descripcion:LICENCIA OFFICE HOME AND BUSIMESS 2013 Estado: Bueno Placa anterior: 000030611 Material:  Color:  Referencia:  Observacion:  Placa padre:  Tipo adquisicion : Entidad"</f>
        <v>Descripcion:LICENCIA OFFICE HOME AND BUSIMESS 2013 Estado: Bueno Placa anterior: 000030611 Material:  Color:  Referencia:  Observacion:  Placa padre:  Tipo adquisicion : Entidad</v>
      </c>
      <c r="G21766" s="5"/>
    </row>
    <row r="21767" spans="1:7" ht="58.5" customHeight="1" x14ac:dyDescent="0.25">
      <c r="A21767" s="5" t="str">
        <f>"B0005106"</f>
        <v>B0005106</v>
      </c>
      <c r="B21767" s="5" t="str">
        <f t="shared" si="1086"/>
        <v>LICENCIA OFFICE HOME AND BUSINEES</v>
      </c>
      <c r="C21767" s="6">
        <v>440800</v>
      </c>
      <c r="D21767" s="5" t="s">
        <v>1</v>
      </c>
      <c r="E21767" s="5" t="str">
        <f t="shared" si="1087"/>
        <v>PLANEACION-DORIS ANGARITA ACOSTA</v>
      </c>
      <c r="F21767" s="5" t="str">
        <f>"Descripcion:LICENCIA OFFICE HOME AND BUSIMESS 2013 Estado: Bueno Placa anterior: 000030624 Material:  Color:  Referencia:  Observacion:  Placa padre:  Tipo adquisicion : Entidad"</f>
        <v>Descripcion:LICENCIA OFFICE HOME AND BUSIMESS 2013 Estado: Bueno Placa anterior: 000030624 Material:  Color:  Referencia:  Observacion:  Placa padre:  Tipo adquisicion : Entidad</v>
      </c>
      <c r="G21767" s="5"/>
    </row>
    <row r="21768" spans="1:7" ht="58.5" customHeight="1" x14ac:dyDescent="0.25">
      <c r="A21768" s="5" t="str">
        <f>"B0005107"</f>
        <v>B0005107</v>
      </c>
      <c r="B21768" s="5" t="str">
        <f t="shared" si="1086"/>
        <v>LICENCIA OFFICE HOME AND BUSINEES</v>
      </c>
      <c r="C21768" s="6">
        <v>440800</v>
      </c>
      <c r="D21768" s="5" t="s">
        <v>1</v>
      </c>
      <c r="E21768" s="5" t="str">
        <f t="shared" si="1087"/>
        <v>PLANEACION-DORIS ANGARITA ACOSTA</v>
      </c>
      <c r="F21768" s="5" t="str">
        <f>"Descripcion:LICENCIA OFFICE HOME AND BUSIMESS 2013 Estado: Bueno Placa anterior: 000030630 Material:  Color:  Referencia:  Observacion:  Placa padre:  Tipo adquisicion : Entidad"</f>
        <v>Descripcion:LICENCIA OFFICE HOME AND BUSIMESS 2013 Estado: Bueno Placa anterior: 000030630 Material:  Color:  Referencia:  Observacion:  Placa padre:  Tipo adquisicion : Entidad</v>
      </c>
      <c r="G21768" s="5"/>
    </row>
    <row r="21769" spans="1:7" ht="58.5" customHeight="1" x14ac:dyDescent="0.25">
      <c r="A21769" s="5" t="str">
        <f>"B0005117"</f>
        <v>B0005117</v>
      </c>
      <c r="B21769" s="5" t="str">
        <f t="shared" si="1086"/>
        <v>LICENCIA OFFICE HOME AND BUSINEES</v>
      </c>
      <c r="C21769" s="6">
        <v>440800</v>
      </c>
      <c r="D21769" s="5" t="s">
        <v>1</v>
      </c>
      <c r="E21769" s="5" t="str">
        <f t="shared" si="1087"/>
        <v>PLANEACION-DORIS ANGARITA ACOSTA</v>
      </c>
      <c r="F21769" s="5" t="str">
        <f>"Descripcion:LICENCIA OFFICE HOME AND BUSIMESS 2013 Estado: Bueno Placa anterior: 000030601 Material:  Color:  Referencia:  Observacion:  Placa padre:  Tipo adquisicion : Entidad"</f>
        <v>Descripcion:LICENCIA OFFICE HOME AND BUSIMESS 2013 Estado: Bueno Placa anterior: 000030601 Material:  Color:  Referencia:  Observacion:  Placa padre:  Tipo adquisicion : Entidad</v>
      </c>
      <c r="G21769" s="5"/>
    </row>
    <row r="21770" spans="1:7" ht="58.5" customHeight="1" x14ac:dyDescent="0.25">
      <c r="A21770" s="5" t="str">
        <f>"H0002692"</f>
        <v>H0002692</v>
      </c>
      <c r="B21770" s="5" t="str">
        <f>"COMPUTADOR PORTATIL"</f>
        <v>COMPUTADOR PORTATIL</v>
      </c>
      <c r="C21770" s="6">
        <v>2250000</v>
      </c>
      <c r="D21770" s="5"/>
      <c r="E21770" s="5" t="str">
        <f t="shared" si="1087"/>
        <v>PLANEACION-DORIS ANGARITA ACOSTA</v>
      </c>
      <c r="F21770" s="5" t="str">
        <f>"Descripcion:PC PORTATIL CON PROCESADOR 15 500gb DISCO DURO 4GB EN MEMORIA RAM Estado: Excelente Placa anterior: 000037047 Material: PASTA Color: NEGRO Referencia:  Observacion: PANTALLA DE 14 , PROCESADOR INTEL CORE i5, ERROR COD. SERIAL ESTABA REPETIDO C"&amp; "B35842962 Placa padre:  Tipo adquisicion : Entidad"</f>
        <v>Descripcion:PC PORTATIL CON PROCESADOR 15 500gb DISCO DURO 4GB EN MEMORIA RAM Estado: Excelente Placa anterior: 000037047 Material: PASTA Color: NEGRO Referencia:  Observacion: PANTALLA DE 14 , PROCESADOR INTEL CORE i5, ERROR COD. SERIAL ESTABA REPETIDO CB35842962 Placa padre:  Tipo adquisicion : Entidad</v>
      </c>
      <c r="G21770" s="5" t="str">
        <f>"CB0505084E"</f>
        <v>CB0505084E</v>
      </c>
    </row>
    <row r="21771" spans="1:7" ht="58.5" customHeight="1" x14ac:dyDescent="0.25">
      <c r="A21771" s="5" t="str">
        <f>"H0002766"</f>
        <v>H0002766</v>
      </c>
      <c r="B21771" s="5" t="str">
        <f>"MULTIFUNCIONAL DE TINTA"</f>
        <v>MULTIFUNCIONAL DE TINTA</v>
      </c>
      <c r="C21771" s="6">
        <v>1880000</v>
      </c>
      <c r="D21771" s="5"/>
      <c r="E21771" s="5" t="str">
        <f t="shared" si="1087"/>
        <v>PLANEACION-DORIS ANGARITA ACOSTA</v>
      </c>
      <c r="F21771" s="5" t="str">
        <f>"Descripcion:IMPRESORA MULTIFUNCIONAL HP IFFICEJET PRO X 476  Estado: Excelente Placa anterior: 000037233 Material: PASTA Color: NEGRO Referencia: WCWRA-1212 Observacion: CON 1 CABLE DE RED, 1 DE USB Y 2 DE CORRIENTE, INCLUYE CARTUCHOS DE TINTA Placa padre"&amp; ":  Tipo adquisicion : Entidad"</f>
        <v>Descripcion:IMPRESORA MULTIFUNCIONAL HP IFFICEJET PRO X 476  Estado: Excelente Placa anterior: 000037233 Material: PASTA Color: NEGRO Referencia: WCWRA-1212 Observacion: CON 1 CABLE DE RED, 1 DE USB Y 2 DE CORRIENTE, INCLUYE CARTUCHOS DE TINTA Placa padre:  Tipo adquisicion : Entidad</v>
      </c>
      <c r="G21771" s="5" t="str">
        <f>"OFFICEJET PRO X476D"</f>
        <v>OFFICEJET PRO X476D</v>
      </c>
    </row>
    <row r="21772" spans="1:7" ht="58.5" customHeight="1" x14ac:dyDescent="0.25">
      <c r="A21772" s="5" t="str">
        <f>"H0002931"</f>
        <v>H0002931</v>
      </c>
      <c r="B21772" s="5" t="str">
        <f>"NEVERA DE 66 LTS"</f>
        <v>NEVERA DE 66 LTS</v>
      </c>
      <c r="C21772" s="6">
        <v>452400</v>
      </c>
      <c r="D21772" s="5"/>
      <c r="E21772" s="5" t="str">
        <f t="shared" si="1087"/>
        <v>PLANEACION-DORIS ANGARITA ACOSTA</v>
      </c>
      <c r="F21772" s="5" t="str">
        <f>"Descripcion:REFRIGERADORA SAMSUNG SG-12BCSWCN Estado: Bueno Placa anterior: 000022617 Material: METAL Color: BLANCO Referencia:  Observacion: ESTABA EN EL PISO 10 Placa padre:  Tipo adquisicion : Entidad"</f>
        <v>Descripcion:REFRIGERADORA SAMSUNG SG-12BCSWCN Estado: Bueno Placa anterior: 000022617 Material: METAL Color: BLANCO Referencia:  Observacion: ESTABA EN EL PISO 10 Placa padre:  Tipo adquisicion : Entidad</v>
      </c>
      <c r="G21772" s="5" t="str">
        <f>"SG12BCSWCN/SCL"</f>
        <v>SG12BCSWCN/SCL</v>
      </c>
    </row>
    <row r="21773" spans="1:7" ht="58.5" customHeight="1" x14ac:dyDescent="0.25">
      <c r="A21773" s="5" t="str">
        <f>"H0005160"</f>
        <v>H0005160</v>
      </c>
      <c r="B21773" s="5" t="str">
        <f>"COMPUTADOR TODO EN UNO"</f>
        <v>COMPUTADOR TODO EN UNO</v>
      </c>
      <c r="C21773" s="6">
        <v>1200000</v>
      </c>
      <c r="D21773" s="5" t="s">
        <v>2</v>
      </c>
      <c r="E21773" s="5" t="str">
        <f t="shared" si="1087"/>
        <v>PLANEACION-DORIS ANGARITA ACOSTA</v>
      </c>
      <c r="F21773" s="5" t="str">
        <f>"Descripcion: COMPUTADOR TODO EN UNO PROCESADOR: Intel pentiun G645 (2.9 Ghz/3MB/2 nucleos) memoria RAM 4GB DDR3-1600 SODIMM (1X4GB) Disco duro 500GB 7200 RPMSATA-6G Multi DVD/RM Licencia win 8 pro 64 Downgrade to Win 7 pro 64 o supervisor USB Keyboard Usb"&amp; "e Optical, m Estado: Excelente Placa anterior: 000030805 Material: PLASTICO Color: NEGRO Referencia: HP COMPAQ PRO 4300 Observacion:  Placa anterior:, Placa nueva=H0005161, Descripcion:., Serial:BCZZN0BVB4C2HL, Marca:HP, Modelo:KU-1156, Material:PLASTICO,"&amp; " Color:NEGRO,   Referencia:672647-162 LA, Placa anterior:, Placa nueva=H0005162, Descripcion:OPTICO, Serial:674316001, Marca:HP, Modelo:, Material:PLASTICO, Color:NEGRO,   Referencia:672652-001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Excelente Placa anterior: 000030805 Material: PLASTICO Color: NEGRO Referencia: HP COMPAQ PRO 4300 Observacion:  Placa anterior:, Placa nueva=H0005161, Descripcion:., Serial:BCZZN0BVB4C2HL, Marca:HP, Modelo:KU-1156, Material:PLASTICO, Color:NEGRO,   Referencia:672647-162 LA, Placa anterior:, Placa nueva=H0005162, Descripcion:OPTICO, Serial:674316001, Marca:HP, Modelo:, Material:PLASTICO, Color:NEGRO,   Referencia:672652-001 Placa padre: Tipo adquisicion: Entidad</v>
      </c>
      <c r="G21773" s="5" t="str">
        <f>"C9K24LT#ABM"</f>
        <v>C9K24LT#ABM</v>
      </c>
    </row>
    <row r="21774" spans="1:7" ht="58.5" customHeight="1" x14ac:dyDescent="0.25">
      <c r="A21774" s="5" t="str">
        <f>"H0005250"</f>
        <v>H0005250</v>
      </c>
      <c r="B21774" s="5" t="str">
        <f>"PINZA PARA BORDEAR Y PERFORAR CARNE PVC"</f>
        <v>PINZA PARA BORDEAR Y PERFORAR CARNE PVC</v>
      </c>
      <c r="C21774" s="6">
        <v>174000</v>
      </c>
      <c r="D21774" s="5"/>
      <c r="E21774" s="5" t="str">
        <f t="shared" si="1087"/>
        <v>PLANEACION-DORIS ANGARITA ACOSTA</v>
      </c>
      <c r="F21774" s="5" t="str">
        <f>"Descripcion:REBORDADORA Y PERFORADORA PARA CARNETS Estado: Bueno Placa anterior: 000022425 Material: METALICA Color: GRIS Referencia:  Observacion:  Placa padre:  Tipo adquisicion : Entidad"</f>
        <v>Descripcion:REBORDADORA Y PERFORADORA PARA CARNETS Estado: Bueno Placa anterior: 000022425 Material: METALICA Color: GRIS Referencia:  Observacion:  Placa padre:  Tipo adquisicion : Entidad</v>
      </c>
      <c r="G21774" s="5"/>
    </row>
    <row r="21775" spans="1:7" ht="58.5" customHeight="1" x14ac:dyDescent="0.25">
      <c r="A21775" s="5" t="str">
        <f>"H0005263"</f>
        <v>H0005263</v>
      </c>
      <c r="B21775" s="5" t="str">
        <f>"COMPUTADOR PORTATIL"</f>
        <v>COMPUTADOR PORTATIL</v>
      </c>
      <c r="C21775" s="6">
        <v>4022000</v>
      </c>
      <c r="D21775" s="5"/>
      <c r="E21775" s="5" t="str">
        <f t="shared" si="1087"/>
        <v>PLANEACION-DORIS ANGARITA ACOSTA</v>
      </c>
      <c r="F21775" s="5" t="str">
        <f>"Descripcion:COMPUTADOR PORTATIL REF. HP. PAVILION DV8-1288LA: Pantalla 16.1 Bateria 6 celdas, licencias Windons vista Home PremiunCARGADORMALETIN Estado: Bueno Placa anterior: 000033164 Material: PLASTICO Color: NEGRO Referencia:  Observacion:  Placa padr"&amp; "e:  Tipo adquisicion : Entidad"</f>
        <v>Descripcion:COMPUTADOR PORTATIL REF. HP. PAVILION DV8-1288LA: Pantalla 16.1 Bateria 6 celdas, licencias Windons vista Home PremiunCARGADORMALETIN Estado: Bueno Placa anterior: 000033164 Material: PLASTICO Color: NEGRO Referencia:  Observacion:  Placa padre:  Tipo adquisicion : Entidad</v>
      </c>
      <c r="G21775" s="5" t="str">
        <f>"DB6-1288LA"</f>
        <v>DB6-1288LA</v>
      </c>
    </row>
    <row r="21776" spans="1:7" ht="58.5" customHeight="1" x14ac:dyDescent="0.25">
      <c r="A21776" s="5" t="str">
        <f>"H0005266"</f>
        <v>H0005266</v>
      </c>
      <c r="B21776" s="5" t="str">
        <f>"VIDEOBEAM (VIDEO PROYECTOR)"</f>
        <v>VIDEOBEAM (VIDEO PROYECTOR)</v>
      </c>
      <c r="C21776" s="6">
        <v>2137600</v>
      </c>
      <c r="D21776" s="5" t="s">
        <v>6</v>
      </c>
      <c r="E21776" s="5" t="str">
        <f t="shared" si="1087"/>
        <v>PLANEACION-DORIS ANGARITA ACOSTA</v>
      </c>
      <c r="F21776" s="5" t="str">
        <f>"Descripcion:Video Proyector Video Beam Resolución XGA (1024x768) Duración de Lampara 6000 H.Razón de Contraste 10000:1.Salida de Luz de calor 3500 lumniexCON CONTROL Estado: Bueno Placa anterior: 000037049 Material: PLASTICO Color: BLANCO Referencia:  Obs"&amp; "ervacion:  Placa padre:  Tipo adquisicion : Entidad"</f>
        <v>Descripcion:Video Proyector Video Beam Resolución XGA (1024x768) Duración de Lampara 6000 H.Razón de Contraste 10000:1.Salida de Luz de calor 3500 lumniexCON CONTROL Estado: Bueno Placa anterior: 000037049 Material: PLASTICO Color: BLANCO Referencia:  Observacion:  Placa padre:  Tipo adquisicion : Entidad</v>
      </c>
      <c r="G21776" s="5" t="str">
        <f>"H553A"</f>
        <v>H553A</v>
      </c>
    </row>
    <row r="21777" spans="1:7" ht="58.5" customHeight="1" x14ac:dyDescent="0.25">
      <c r="A21777" s="5" t="str">
        <f>"H0005278"</f>
        <v>H0005278</v>
      </c>
      <c r="B21777" s="5" t="str">
        <f>"SILLA GIRATORIA SIN BRAZOS FIJA (NO ERGONOMICA)"</f>
        <v>SILLA GIRATORIA SIN BRAZOS FIJA (NO ERGONOMICA)</v>
      </c>
      <c r="C21777" s="6">
        <v>160000</v>
      </c>
      <c r="D21777" s="5"/>
      <c r="E21777" s="5" t="str">
        <f t="shared" si="1087"/>
        <v>PLANEACION-DORIS ANGARITA ACOSTA</v>
      </c>
      <c r="F21777" s="5" t="str">
        <f>"Descripcion:BASE METALICATAPIZADA EN PAÑO NEGROFIJA Estado: Bueno Placa anterior: 000022453 Material: METALICO Color: NEGRO Referencia:  Observacion:  Placa padre:  Tipo adquisicion : Entidad"</f>
        <v>Descripcion:BASE METALICATAPIZADA EN PAÑO NEGROFIJA Estado: Bueno Placa anterior: 000022453 Material: METALICO Color: NEGRO Referencia:  Observacion:  Placa padre:  Tipo adquisicion : Entidad</v>
      </c>
      <c r="G21777" s="5"/>
    </row>
    <row r="21778" spans="1:7" ht="58.5" customHeight="1" x14ac:dyDescent="0.25">
      <c r="A21778" s="5" t="str">
        <f>"H0005281"</f>
        <v>H0005281</v>
      </c>
      <c r="B21778" s="5" t="str">
        <f>"MAQUINA PARA AGOLLAR (ANILLADORA)"</f>
        <v>MAQUINA PARA AGOLLAR (ANILLADORA)</v>
      </c>
      <c r="C21778" s="6">
        <v>1642560</v>
      </c>
      <c r="D21778" s="5"/>
      <c r="E21778" s="5" t="str">
        <f t="shared" si="1087"/>
        <v>PLANEACION-DORIS ANGARITA ACOSTA</v>
      </c>
      <c r="F21778" s="5" t="str">
        <f>"Descripcion:ARGOLLAR Estado: Bueno Placa anterior: 000026069 Material: METALICO Color: GRIS Referencia: NHI-258 Observacion: EL BIEN TIENE PLACA ANTERIOR  000026067. FUNCIONARIO AUTORIZA SE CONCILIE CON PLACA ANTERIOR No. 26069 MEDIANTE OFICIO 13-224  DE "&amp; "FECHA 07/06/2016 Placa padre:  Tipo adquisicion : Entidad"</f>
        <v>Descripcion:ARGOLLAR Estado: Bueno Placa anterior: 000026069 Material: METALICO Color: GRIS Referencia: NHI-258 Observacion: EL BIEN TIENE PLACA ANTERIOR  000026067. FUNCIONARIO AUTORIZA SE CONCILIE CON PLACA ANTERIOR No. 26069 MEDIANTE OFICIO 13-224  DE FECHA 07/06/2016 Placa padre:  Tipo adquisicion : Entidad</v>
      </c>
      <c r="G21778" s="5" t="str">
        <f>"DOUBLE WIRE BINDING"</f>
        <v>DOUBLE WIRE BINDING</v>
      </c>
    </row>
    <row r="21779" spans="1:7" ht="58.5" customHeight="1" x14ac:dyDescent="0.25">
      <c r="A21779" s="5" t="str">
        <f>"H0005283"</f>
        <v>H0005283</v>
      </c>
      <c r="B21779" s="5" t="str">
        <f>"LAMINADOR (PLASTIFICADORA) TAMAÑO OFICIO"</f>
        <v>LAMINADOR (PLASTIFICADORA) TAMAÑO OFICIO</v>
      </c>
      <c r="C21779" s="6">
        <v>260000</v>
      </c>
      <c r="D21779" s="5"/>
      <c r="E21779" s="5" t="str">
        <f t="shared" si="1087"/>
        <v>PLANEACION-DORIS ANGARITA ACOSTA</v>
      </c>
      <c r="F21779" s="5" t="str">
        <f>"Descripcion:LAMINADOR PAPEL OFICIO Estado: Bueno Placa anterior: 000028882 Material: METALICO Color: BEIGE Referencia:  Observacion:  Placa padre:  Tipo adquisicion : Entidad"</f>
        <v>Descripcion:LAMINADOR PAPEL OFICIO Estado: Bueno Placa anterior: 000028882 Material: METALICO Color: BEIGE Referencia:  Observacion:  Placa padre:  Tipo adquisicion : Entidad</v>
      </c>
      <c r="G21779" s="5" t="str">
        <f>"YD-LM260 LAMINATOR"</f>
        <v>YD-LM260 LAMINATOR</v>
      </c>
    </row>
    <row r="21780" spans="1:7" ht="58.5" customHeight="1" x14ac:dyDescent="0.25">
      <c r="A21780" s="5" t="str">
        <f>"H0005287"</f>
        <v>H0005287</v>
      </c>
      <c r="B21780" s="5" t="str">
        <f>"COMPUTADOR TODO EN UNO"</f>
        <v>COMPUTADOR TODO EN UNO</v>
      </c>
      <c r="C21780" s="6">
        <v>1572000</v>
      </c>
      <c r="D21780" s="5" t="s">
        <v>346</v>
      </c>
      <c r="E21780" s="5" t="str">
        <f t="shared" si="1087"/>
        <v>PLANEACION-DORIS ANGARITA ACOSTA</v>
      </c>
      <c r="F21780" s="5" t="str">
        <f>"Descripcion:EQUIPOS DE COMPUTO TODO EN UNO 20 PULG PROCESADOR CORE 3.0 SUPERIOR CORPORATIVO WINDOWS 8 PRO- OFFICE 2013 SMALL BUSINES, TECNOLOGIA HT DE INTEL GARANTIA EXTENDIDA A 3 AÑOS Estado: Excelente Placa anterior: 000030696 Material: PLASTICO Color: "&amp; "HP Referencia: C9G88LT#ABM Observacion:  Placa anterior:, Placa nueva=H0005290, Descripcion:OPTICO, Serial:FCMHH0CQW6AFM4, Marca:HP, Modelo:SM-2022, Material:PLASTICO, Color:NEGRO,   Referencia:674316-001, Placa anterior:, Placa nueva=H0005289, Descripcio"&amp; "n:., Serial:BDMHE0CHH5VKO9, Marca:HP, Modelo:HP COMPAQ PRO 4300, Material:PLASTICO, Color:NEGRO,   Referencia:KB57211 Placa padre:  Tipo adquisicion : Entidad"</f>
        <v>Descripcion:EQUIPOS DE COMPUTO TODO EN UNO 20 PULG PROCESADOR CORE 3.0 SUPERIOR CORPORATIVO WINDOWS 8 PRO- OFFICE 2013 SMALL BUSINES, TECNOLOGIA HT DE INTEL GARANTIA EXTENDIDA A 3 AÑOS Estado: Excelente Placa anterior: 000030696 Material: PLASTICO Color: HP Referencia: C9G88LT#ABM Observacion:  Placa anterior:, Placa nueva=H0005290, Descripcion:OPTICO, Serial:FCMHH0CQW6AFM4, Marca:HP, Modelo:SM-2022, Material:PLASTICO, Color:NEGRO,   Referencia:674316-001, Placa anterior:, Placa nueva=H0005289, Descripcion:., Serial:BDMHE0CHH5VKO9, Marca:HP, Modelo:HP COMPAQ PRO 4300, Material:PLASTICO, Color:NEGRO,   Referencia:KB57211 Placa padre:  Tipo adquisicion : Entidad</v>
      </c>
      <c r="G21780" s="5"/>
    </row>
    <row r="21781" spans="1:7" ht="58.5" customHeight="1" x14ac:dyDescent="0.25">
      <c r="A21781" s="5" t="str">
        <f>"H0005300"</f>
        <v>H0005300</v>
      </c>
      <c r="B21781" s="5" t="str">
        <f>"COMPUTADOR TODO EN UNO"</f>
        <v>COMPUTADOR TODO EN UNO</v>
      </c>
      <c r="C21781" s="6">
        <v>1572000</v>
      </c>
      <c r="D21781" s="5" t="s">
        <v>346</v>
      </c>
      <c r="E21781" s="5" t="str">
        <f t="shared" si="1087"/>
        <v>PLANEACION-DORIS ANGARITA ACOSTA</v>
      </c>
      <c r="F21781" s="5" t="str">
        <f>"Descripcion:EQUIPOS DE COMPUTO TODO EN UNO 20 PULGADAS PROCESADOR CORE 3.0 SUPERIOR CORPORATIVO WINDOWS 8 PRO- OFFICE 2013 SMALL BUSINES, TECNOLOGIA HT DE INTEL GARANTIA EXTENDIDA A 3 AÑOS Estado: Excelente Placa anterior: 000030697 Material: PLASTICO Col"&amp; "or: NEGRO Referencia: C9GBBLT#ABM Observacion:  Placa anterior:, Placa nueva=H0005302, Descripcion:OPTICO, Serial:FCMHH0CQW6AFLO, Marca:HP, Modelo:SM-2022, Material:PLASTICO, Color:NEGRO,   Referencia:672652-001, Placa anterior:, Placa nueva=H0005301, Des"&amp; "cripcion:., Serial:BDMHE0C5Y5X1E6, Marca:HP, Modelo:KU-1156, Material:PLASTICO, Color:NEGRO,   Referencia:724720-161 Placa padre:  Tipo adquisicion : Entidad"</f>
        <v>Descripcion:EQUIPOS DE COMPUTO TODO EN UNO 20 PULGADAS PROCESADOR CORE 3.0 SUPERIOR CORPORATIVO WINDOWS 8 PRO- OFFICE 2013 SMALL BUSINES, TECNOLOGIA HT DE INTEL GARANTIA EXTENDIDA A 3 AÑOS Estado: Excelente Placa anterior: 000030697 Material: PLASTICO Color: NEGRO Referencia: C9GBBLT#ABM Observacion:  Placa anterior:, Placa nueva=H0005302, Descripcion:OPTICO, Serial:FCMHH0CQW6AFLO, Marca:HP, Modelo:SM-2022, Material:PLASTICO, Color:NEGRO,   Referencia:672652-001, Placa anterior:, Placa nueva=H0005301, Descripcion:., Serial:BDMHE0C5Y5X1E6, Marca:HP, Modelo:KU-1156, Material:PLASTICO, Color:NEGRO,   Referencia:724720-161 Placa padre:  Tipo adquisicion : Entidad</v>
      </c>
      <c r="G21781" s="5" t="str">
        <f>"HP COMPAQ PRO 4300"</f>
        <v>HP COMPAQ PRO 4300</v>
      </c>
    </row>
    <row r="21782" spans="1:7" ht="58.5" customHeight="1" x14ac:dyDescent="0.25">
      <c r="A21782" s="5" t="str">
        <f>"H0005319"</f>
        <v>H0005319</v>
      </c>
      <c r="B21782" s="5" t="str">
        <f>"MESA METALICA AUXILIAR"</f>
        <v>MESA METALICA AUXILIAR</v>
      </c>
      <c r="C21782" s="6">
        <v>6650</v>
      </c>
      <c r="D21782" s="5"/>
      <c r="E21782" s="5" t="str">
        <f t="shared" si="1087"/>
        <v>PLANEACION-DORIS ANGARITA ACOSTA</v>
      </c>
      <c r="F21782" s="5" t="str">
        <f>"Descripcion:MESA TIPO G SIN ALA1 GAVETA74X65X50 Estado: Bueno Placa anterior: 000000752 Material: METALICO Color: GRIS Referencia:  Observacion:  Placa padre:  Tipo adquisicion : Entidad"</f>
        <v>Descripcion:MESA TIPO G SIN ALA1 GAVETA74X65X50 Estado: Bueno Placa anterior: 000000752 Material: METALICO Color: GRIS Referencia:  Observacion:  Placa padre:  Tipo adquisicion : Entidad</v>
      </c>
      <c r="G21782" s="5"/>
    </row>
    <row r="21783" spans="1:7" ht="58.5" customHeight="1" x14ac:dyDescent="0.25">
      <c r="A21783" s="5" t="str">
        <f>"H0005338"</f>
        <v>H0005338</v>
      </c>
      <c r="B21783" s="5" t="str">
        <f>"LIBROS DERECHO CONSTITUCIONAL"</f>
        <v>LIBROS DERECHO CONSTITUCIONAL</v>
      </c>
      <c r="C21783" s="6">
        <v>48500</v>
      </c>
      <c r="D21783" s="5"/>
      <c r="E21783" s="5" t="str">
        <f t="shared" si="1087"/>
        <v>PLANEACION-DORIS ANGARITA ACOSTA</v>
      </c>
      <c r="F21783" s="5" t="str">
        <f>"Descripcion:CONSTITUCION POLITICA DE COLOMBIA (LEGIS) Estado: Bueno Placa anterior: 000000517 Material: PASTA Color: NEGRO Referencia:  Observacion:  Placa padre:  Tipo adquisicion : Entidad"</f>
        <v>Descripcion:CONSTITUCION POLITICA DE COLOMBIA (LEGIS) Estado: Bueno Placa anterior: 000000517 Material: PASTA Color: NEGRO Referencia:  Observacion:  Placa padre:  Tipo adquisicion : Entidad</v>
      </c>
      <c r="G21783" s="5"/>
    </row>
    <row r="21784" spans="1:7" ht="58.5" customHeight="1" x14ac:dyDescent="0.25">
      <c r="A21784" s="5" t="str">
        <f>"H0005339"</f>
        <v>H0005339</v>
      </c>
      <c r="B21784" s="5" t="str">
        <f>"DICCIONARIO JURIDICO"</f>
        <v>DICCIONARIO JURIDICO</v>
      </c>
      <c r="C21784" s="6">
        <v>25000</v>
      </c>
      <c r="D21784" s="5"/>
      <c r="E21784" s="5" t="str">
        <f t="shared" si="1087"/>
        <v>PLANEACION-DORIS ANGARITA ACOSTA</v>
      </c>
      <c r="F21784" s="5" t="str">
        <f>"Descripcion:DICCIONARIO DE CIENCIAS JURIDICAS POLITICAS Y SOCIALES Estado: Bueno Placa anterior: 000000519 Material: PASTA Color: AZUL Referencia:  Observacion:  Placa padre:  Tipo adquisicion : Entidad"</f>
        <v>Descripcion:DICCIONARIO DE CIENCIAS JURIDICAS POLITICAS Y SOCIALES Estado: Bueno Placa anterior: 000000519 Material: PASTA Color: AZUL Referencia:  Observacion:  Placa padre:  Tipo adquisicion : Entidad</v>
      </c>
      <c r="G21784" s="5"/>
    </row>
    <row r="21785" spans="1:7" ht="58.5" customHeight="1" x14ac:dyDescent="0.25">
      <c r="A21785" s="5" t="str">
        <f>"H0005348"</f>
        <v>H0005348</v>
      </c>
      <c r="B21785" s="5" t="str">
        <f>"COMPUTADOR TODO EN UNO"</f>
        <v>COMPUTADOR TODO EN UNO</v>
      </c>
      <c r="C21785" s="6">
        <v>1572000</v>
      </c>
      <c r="D21785" s="5" t="s">
        <v>346</v>
      </c>
      <c r="E21785" s="5" t="str">
        <f t="shared" si="1087"/>
        <v>PLANEACION-DORIS ANGARITA ACOSTA</v>
      </c>
      <c r="F21785" s="5" t="str">
        <f>"Descripcion:EQUIPOS DE COMPUTO TODO EN UNO PROCESADOR CORE 3.0 SUPERIOR CORPORATIVO WINDOWS 8 PRO- OFFICE 2013 SMALL BUSINES, TECNOLOGIA HT DE INTEL GARANTIA EXTENDIDA A 3 AÑOS Estado: Excelente Placa anterior: 000030688 Material: PLASTICO Color: NEGRO Re"&amp; "ferencia: C9G88LT#ABM Observacion:  Placa anterior:, Placa nueva=H0005351, Descripcion:OPTICO, Serial:FCMHH0CQW6AFLV, Marca:HP, Modelo:SM-2022, Material:PLASTICO, Color:NEGRO,   Referencia:672652-001, Placa anterior:, Placa nueva=H0005349, Descripcion:., "&amp; "Serial:BDMHEOC5Y5X1HS, Marca:HP, Modelo:KU-1156, Material:PLASTICO, Color:NEGRO,   Referencia:672647-163LA Placa padre:  Tipo adquisicion : Entidad"</f>
        <v>Descripcion:EQUIPOS DE COMPUTO TODO EN UNO PROCESADOR CORE 3.0 SUPERIOR CORPORATIVO WINDOWS 8 PRO- OFFICE 2013 SMALL BUSINES, TECNOLOGIA HT DE INTEL GARANTIA EXTENDIDA A 3 AÑOS Estado: Excelente Placa anterior: 000030688 Material: PLASTICO Color: NEGRO Referencia: C9G88LT#ABM Observacion:  Placa anterior:, Placa nueva=H0005351, Descripcion:OPTICO, Serial:FCMHH0CQW6AFLV, Marca:HP, Modelo:SM-2022, Material:PLASTICO, Color:NEGRO,   Referencia:672652-001, Placa anterior:, Placa nueva=H0005349, Descripcion:., Serial:BDMHEOC5Y5X1HS, Marca:HP, Modelo:KU-1156, Material:PLASTICO, Color:NEGRO,   Referencia:672647-163LA Placa padre:  Tipo adquisicion : Entidad</v>
      </c>
      <c r="G21785" s="5" t="str">
        <f>"HP COMPAQ PRO 4300"</f>
        <v>HP COMPAQ PRO 4300</v>
      </c>
    </row>
    <row r="21786" spans="1:7" ht="58.5" customHeight="1" x14ac:dyDescent="0.25">
      <c r="A21786" s="5" t="str">
        <f>"H0005373"</f>
        <v>H0005373</v>
      </c>
      <c r="B21786" s="5" t="str">
        <f>"MULTIMUEBLE ENCHAPADO EN FORMICA"</f>
        <v>MULTIMUEBLE ENCHAPADO EN FORMICA</v>
      </c>
      <c r="C21786" s="6">
        <v>798000</v>
      </c>
      <c r="D21786" s="5"/>
      <c r="E21786" s="5" t="str">
        <f t="shared" si="1087"/>
        <v>PLANEACION-DORIS ANGARITA ACOSTA</v>
      </c>
      <c r="F21786" s="5" t="str">
        <f>"Descripcion:MUEBLE 2 PUERTAS 3 GAVETAS80X137X55 Estado: Bueno Placa anterior:  Material: MADEFLEX Color: MARRON Referencia:  Observacion:  Placa padre:  Tipo adquisicion : Entidad"</f>
        <v>Descripcion:MUEBLE 2 PUERTAS 3 GAVETAS80X137X55 Estado: Bueno Placa anterior:  Material: MADEFLEX Color: MARRON Referencia:  Observacion:  Placa padre:  Tipo adquisicion : Entidad</v>
      </c>
      <c r="G21786" s="5"/>
    </row>
    <row r="21787" spans="1:7" ht="58.5" customHeight="1" x14ac:dyDescent="0.25">
      <c r="A21787" s="5" t="str">
        <f>"H0005383"</f>
        <v>H0005383</v>
      </c>
      <c r="B21787" s="5" t="str">
        <f>"COMPUTADOR PORTATIL"</f>
        <v>COMPUTADOR PORTATIL</v>
      </c>
      <c r="C21787" s="6">
        <v>2250000</v>
      </c>
      <c r="D21787" s="5" t="s">
        <v>6</v>
      </c>
      <c r="E21787" s="5" t="str">
        <f t="shared" si="1087"/>
        <v>PLANEACION-DORIS ANGARITA ACOSTA</v>
      </c>
      <c r="F21787" s="5" t="str">
        <f>"Descripcion:PC PORTATIL CON PROCESADOR 15 500gb DISCO DURO 4GB EN MEMORIA RAM14 PULGADAS Estado: Excelente Placa anterior: 000037038 Material: PLASTICO Color: NEGRO Referencia: CB0505084E Observacion:  Placa anterior:000030826, Placa nueva=B0000757, Descr"&amp; "ipcion:LICENCIA OFFICE HOME AND BUSIMESS 2013, Serial:5774, Marca:, Modelo:, Material:, Color:,   Referencia: Placa padre:  Tipo adquisicion : Entidad"</f>
        <v>Descripcion:PC PORTATIL CON PROCESADOR 15 500gb DISCO DURO 4GB EN MEMORIA RAM14 PULGADAS Estado: Excelente Placa anterior: 000037038 Material: PLASTICO Color: NEGRO Referencia: CB0505084E Observacion:  Placa anterior:000030826, Placa nueva=B0000757, Descripcion:LICENCIA OFFICE HOME AND BUSIMESS 2013, Serial:5774, Marca:, Modelo:, Material:, Color:,   Referencia: Placa padre:  Tipo adquisicion : Entidad</v>
      </c>
      <c r="G21787" s="5" t="str">
        <f>"20392"</f>
        <v>20392</v>
      </c>
    </row>
    <row r="21788" spans="1:7" ht="58.5" customHeight="1" x14ac:dyDescent="0.25">
      <c r="A21788" s="5" t="str">
        <f>"H0005398"</f>
        <v>H0005398</v>
      </c>
      <c r="B21788" s="5" t="str">
        <f>"COMPUTADOR TODO EN UNO"</f>
        <v>COMPUTADOR TODO EN UNO</v>
      </c>
      <c r="C21788" s="6">
        <v>2470000</v>
      </c>
      <c r="D21788" s="5" t="s">
        <v>6</v>
      </c>
      <c r="E21788" s="5" t="str">
        <f t="shared" si="1087"/>
        <v>PLANEACION-DORIS ANGARITA ACOSTA</v>
      </c>
      <c r="F21788" s="5" t="str">
        <f>"Descripcion:EQUIPO DE COMPUTO TODO EN UNO CON PROCESADOR INTEL i5 Estado: Excelente Placa anterior: 000036974 Material: PLASTICO Color: NEGRO Referencia: 10BD00FDLS Observacion:  Placa anterior:, Placa nueva=H0005395, Descripcion:OPTICO, Serial:44PC941, M"&amp; "arca:LENOVO, Modelo:MOEUUOA, Material:PLASTICO, Color:NEGRO,   Referencia:SM50F76959, Placa anterior:, Placa nueva=H0005394, Descripcion:., Serial:8279226, Marca:LENOVO, Modelo:KU-0225, Material:PLASTICO, Color:NEGRO,   Referencia:54Y9424, Placa anterior:"&amp; "000030643, Placa nueva=B0000758, Descripcion:LICENCIA OFFICE HOME AND BUSIMESS 2013, Serial:99994785865493, Marca:, Modelo:, Material:, Color:,   Referencia: Placa padre:  Tipo adquisicion : Entidad"</f>
        <v>Descripcion:EQUIPO DE COMPUTO TODO EN UNO CON PROCESADOR INTEL i5 Estado: Excelente Placa anterior: 000036974 Material: PLASTICO Color: NEGRO Referencia: 10BD00FDLS Observacion:  Placa anterior:, Placa nueva=H0005395, Descripcion:OPTICO, Serial:44PC941, Marca:LENOVO, Modelo:MOEUUOA, Material:PLASTICO, Color:NEGRO,   Referencia:SM50F76959, Placa anterior:, Placa nueva=H0005394, Descripcion:., Serial:8279226, Marca:LENOVO, Modelo:KU-0225, Material:PLASTICO, Color:NEGRO,   Referencia:54Y9424, Placa anterior:000030643, Placa nueva=B0000758, Descripcion:LICENCIA OFFICE HOME AND BUSIMESS 2013, Serial:99994785865493, Marca:, Modelo:, Material:, Color:,   Referencia: Placa padre:  Tipo adquisicion : Entidad</v>
      </c>
      <c r="G21788" s="5" t="str">
        <f>"00FDLS"</f>
        <v>00FDLS</v>
      </c>
    </row>
    <row r="21789" spans="1:7" ht="58.5" customHeight="1" x14ac:dyDescent="0.25">
      <c r="A21789" s="5" t="str">
        <f>"H0007116"</f>
        <v>H0007116</v>
      </c>
      <c r="B21789" s="5" t="str">
        <f>"COMPUTADOR TODO EN UNO"</f>
        <v>COMPUTADOR TODO EN UNO</v>
      </c>
      <c r="C21789" s="6">
        <v>1200000</v>
      </c>
      <c r="D21789" s="5" t="s">
        <v>2</v>
      </c>
      <c r="E21789" s="5" t="str">
        <f t="shared" si="1087"/>
        <v>PLANEACION-DORIS ANGARITA ACOSTA</v>
      </c>
      <c r="F21789" s="5" t="str">
        <f>"Descripcion: COMPUTADOR TODO EN UNO PROCESADOR: Intel pentiun G645 (2.9 Ghz/3MB/2 nucleos) memoria RAM 4GB DDR3-1600 SODIMM (1X4GB) Disco duro 500GB 7200 RPMSATA-6G Multi DVD/RM Licencia win 8 pro 64 Downgrade to Win 7 pro 64 o supervisor USB Keyboard Usb"&amp; "e Optical, m Estado: Excelente Placa anterior: 000030795 Material: PLASTICO Color: NEGRO Referencia: C9K24LT#ABM Observacion:  Placa anterior:, Placa nueva=H0007117, Descripcion:., Serial:BCZZN0BVB4C2E7, Marca:HP, Modelo:KU-1156, Material:PLASTICO, Color:"&amp; "NEGRO,  Referencia:622647-162LA, Placa anterior:, Placa nueva=H0007118, Descripcion:OPTICO, Serial:FCMHH0CAU4F921, Marca:HP, Modelo:APOLLO-OU, Material:PLASTICO, Color:NEGRO,  Referencia:672652-001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Excelente Placa anterior: 000030795 Material: PLASTICO Color: NEGRO Referencia: C9K24LT#ABM Observacion:  Placa anterior:, Placa nueva=H0007117, Descripcion:., Serial:BCZZN0BVB4C2E7, Marca:HP, Modelo:KU-1156, Material:PLASTICO, Color:NEGRO,  Referencia:622647-162LA, Placa anterior:, Placa nueva=H0007118, Descripcion:OPTICO, Serial:FCMHH0CAU4F921, Marca:HP, Modelo:APOLLO-OU, Material:PLASTICO, Color:NEGRO,  Referencia:672652-001 Placa padre: Tipo adquisicion: Entidad</v>
      </c>
      <c r="G21789" s="5" t="str">
        <f>"HP COMPAQ PRO 4300"</f>
        <v>HP COMPAQ PRO 4300</v>
      </c>
    </row>
    <row r="21790" spans="1:7" ht="58.5" customHeight="1" x14ac:dyDescent="0.25">
      <c r="A21790" s="5" t="str">
        <f>"H0007330"</f>
        <v>H0007330</v>
      </c>
      <c r="B21790" s="5" t="str">
        <f>"COMPUTADOR TODO EN UNO"</f>
        <v>COMPUTADOR TODO EN UNO</v>
      </c>
      <c r="C21790" s="6">
        <v>2470000</v>
      </c>
      <c r="D21790" s="5" t="s">
        <v>6</v>
      </c>
      <c r="E21790" s="5" t="str">
        <f t="shared" si="1087"/>
        <v>PLANEACION-DORIS ANGARITA ACOSTA</v>
      </c>
      <c r="F21790" s="5" t="str">
        <f>"Descripcion: EQUIPO DE COMPUTO TODO EN UNO CON PROCESADOR INTEL i5 Estado: Bueno Placa anterior: 000036960 Material: PLASTICO Color: NEGRO Referencia:  Observacion:  Placa padre: Tipo adquisicion: Entidad"</f>
        <v>Descripcion: EQUIPO DE COMPUTO TODO EN UNO CON PROCESADOR INTEL i5 Estado: Bueno Placa anterior: 000036960 Material: PLASTICO Color: NEGRO Referencia:  Observacion:  Placa padre: Tipo adquisicion: Entidad</v>
      </c>
      <c r="G21790" s="5" t="str">
        <f>"10BD-00FDLS"</f>
        <v>10BD-00FDLS</v>
      </c>
    </row>
    <row r="21791" spans="1:7" ht="58.5" customHeight="1" x14ac:dyDescent="0.25">
      <c r="A21791" s="5" t="str">
        <f>"H0007342"</f>
        <v>H0007342</v>
      </c>
      <c r="B21791" s="5" t="str">
        <f>"COMPUTADOR TODO EN UNO"</f>
        <v>COMPUTADOR TODO EN UNO</v>
      </c>
      <c r="C21791" s="6">
        <v>1572000</v>
      </c>
      <c r="D21791" s="5" t="s">
        <v>346</v>
      </c>
      <c r="E21791" s="5" t="str">
        <f t="shared" si="1087"/>
        <v>PLANEACION-DORIS ANGARITA ACOSTA</v>
      </c>
      <c r="F21791" s="5" t="str">
        <f>"Descripcion: EQUIPOS DE COMPUTO TODO EN UNO PROCESADOR CORE 3.0 SUPERIOR CORPORATIVO WINDOWS 8 PRO- OFFICE 2013 SMALL BUSINES, TECNOLOGIA HT DE INTEL GARANTIA EXTENDIDA A 3 AÑOS Estado: Bueno Placa anterior: 000030676 Material: PLASTICO Color: NEGRO Refer"&amp; "encia: C9G88LT Observacion:  Placa anterior:, Placa nueva=H0007344, Descripcion:MOUSE USB, Serial:FCMHH0A9WSUS8T, Marca:HP, Modelo:MDFYUO, Material:PLASTICO, Color:NEGRO,   Referencia:, Placa anterior:, Placa nueva=H0007343, Descripcion:TECLADO USB, Seria"&amp; "l:BDMHE0CHUSVKGQ, Marca:HP, Modelo:KB-57211,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000030676 Material: PLASTICO Color: NEGRO Referencia: C9G88LT Observacion:  Placa anterior:, Placa nueva=H0007344, Descripcion:MOUSE USB, Serial:FCMHH0A9WSUS8T, Marca:HP, Modelo:MDFYUO, Material:PLASTICO, Color:NEGRO,   Referencia:, Placa anterior:, Placa nueva=H0007343, Descripcion:TECLADO USB, Serial:BDMHE0CHUSVKGQ, Marca:HP, Modelo:KB-57211, Material:PLASTICO, Color:NEGRO,   Referencia: Placa padre: Tipo adquisicion: Entidad</v>
      </c>
      <c r="G21791" s="5" t="str">
        <f>"COMPAQ 4300"</f>
        <v>COMPAQ 4300</v>
      </c>
    </row>
    <row r="21792" spans="1:7" ht="58.5" customHeight="1" x14ac:dyDescent="0.25">
      <c r="A21792" s="5" t="str">
        <f>"H0016503"</f>
        <v>H0016503</v>
      </c>
      <c r="B21792" s="5" t="str">
        <f>"SILLA INTERLOCUTORA (FIJA) SIN BRAZOS"</f>
        <v>SILLA INTERLOCUTORA (FIJA) SIN BRAZOS</v>
      </c>
      <c r="C21792" s="6">
        <v>190000</v>
      </c>
      <c r="D21792" s="5" t="s">
        <v>35</v>
      </c>
      <c r="E21792" s="5" t="str">
        <f t="shared" si="1087"/>
        <v>PLANEACION-DORIS ANGARITA ACOSTA</v>
      </c>
      <c r="F21792" s="5" t="str">
        <f>"Descripcion: SILLA SPRISMAS INTERLOCUTORAS Estado: Bueno Placa anterior: 000029639 Material: METAICO Color: NEGRO Referencia:  Observacion:  Placa padre: Tipo adquisicion: Entidad"</f>
        <v>Descripcion: SILLA SPRISMAS INTERLOCUTORAS Estado: Bueno Placa anterior: 000029639 Material: METAICO Color: NEGRO Referencia:  Observacion:  Placa padre: Tipo adquisicion: Entidad</v>
      </c>
      <c r="G21792" s="5"/>
    </row>
    <row r="21793" spans="1:7" ht="58.5" customHeight="1" x14ac:dyDescent="0.25">
      <c r="A21793" s="5" t="str">
        <f>"H0016509"</f>
        <v>H0016509</v>
      </c>
      <c r="B21793" s="5" t="str">
        <f>"SILLA INTERLOCUTORA (FIJA) SIN BRAZOS"</f>
        <v>SILLA INTERLOCUTORA (FIJA) SIN BRAZOS</v>
      </c>
      <c r="C21793" s="6">
        <v>190000</v>
      </c>
      <c r="D21793" s="5" t="s">
        <v>35</v>
      </c>
      <c r="E21793" s="5" t="str">
        <f t="shared" si="1087"/>
        <v>PLANEACION-DORIS ANGARITA ACOSTA</v>
      </c>
      <c r="F21793" s="5" t="str">
        <f>"Descripcion: SILLA SPRISMAS INTERLOCUTORAS Estado: Bueno Placa anterior: 000029617 Material: METALICO Color: NEGRO Referencia:  Observacion:  Placa padre: Tipo adquisicion: Entidad"</f>
        <v>Descripcion: SILLA SPRISMAS INTERLOCUTORAS Estado: Bueno Placa anterior: 000029617 Material: METALICO Color: NEGRO Referencia:  Observacion:  Placa padre: Tipo adquisicion: Entidad</v>
      </c>
      <c r="G21793" s="5"/>
    </row>
    <row r="21794" spans="1:7" ht="58.5" customHeight="1" x14ac:dyDescent="0.25">
      <c r="A21794" s="5" t="str">
        <f>"H0016515"</f>
        <v>H0016515</v>
      </c>
      <c r="B21794" s="5" t="str">
        <f>"SILLA INTERLOCUTORA (FIJA) SIN BRAZOS"</f>
        <v>SILLA INTERLOCUTORA (FIJA) SIN BRAZOS</v>
      </c>
      <c r="C21794" s="6">
        <v>190000</v>
      </c>
      <c r="D21794" s="5" t="s">
        <v>35</v>
      </c>
      <c r="E21794" s="5" t="str">
        <f t="shared" ref="E21794:E21825" si="1088">"PLANEACION-DORIS ANGARITA ACOSTA"</f>
        <v>PLANEACION-DORIS ANGARITA ACOSTA</v>
      </c>
      <c r="F21794" s="5" t="str">
        <f>"Descripcion: SILLA SPRISMAS INTERLOCUTORAS Estado: Bueno Placa anterior: 000029633 Material: METALICO Color: NEGRO Referencia:  Observacion:  Placa padre: Tipo adquisicion: Entidad"</f>
        <v>Descripcion: SILLA SPRISMAS INTERLOCUTORAS Estado: Bueno Placa anterior: 000029633 Material: METALICO Color: NEGRO Referencia:  Observacion:  Placa padre: Tipo adquisicion: Entidad</v>
      </c>
      <c r="G21794" s="5"/>
    </row>
    <row r="21795" spans="1:7" ht="58.5" customHeight="1" x14ac:dyDescent="0.25">
      <c r="A21795" s="5" t="str">
        <f>"H0016532"</f>
        <v>H0016532</v>
      </c>
      <c r="B21795" s="5" t="str">
        <f>"SILLA INTERLOCUTORA (FIJA) SIN BRAZOS"</f>
        <v>SILLA INTERLOCUTORA (FIJA) SIN BRAZOS</v>
      </c>
      <c r="C21795" s="6">
        <v>190000</v>
      </c>
      <c r="D21795" s="5" t="s">
        <v>35</v>
      </c>
      <c r="E21795" s="5" t="str">
        <f t="shared" si="1088"/>
        <v>PLANEACION-DORIS ANGARITA ACOSTA</v>
      </c>
      <c r="F21795" s="5" t="str">
        <f>"Descripcion: SILLA SPRISMAS INTERLOCUTORAS Estado: Bueno Placa anterior: 000029624 Material: METALICO Color: NEGRO Referencia:  Observacion:  Placa padre: Tipo adquisicion: Entidad"</f>
        <v>Descripcion: SILLA SPRISMAS INTERLOCUTORAS Estado: Bueno Placa anterior: 000029624 Material: METALICO Color: NEGRO Referencia:  Observacion:  Placa padre: Tipo adquisicion: Entidad</v>
      </c>
      <c r="G21795" s="5"/>
    </row>
    <row r="21796" spans="1:7" ht="58.5" customHeight="1" x14ac:dyDescent="0.25">
      <c r="A21796" s="5" t="str">
        <f>"H0016537"</f>
        <v>H0016537</v>
      </c>
      <c r="B21796" s="5" t="str">
        <f>"SILLA INTERLOCUTORA (FIJA) SIN BRAZOS"</f>
        <v>SILLA INTERLOCUTORA (FIJA) SIN BRAZOS</v>
      </c>
      <c r="C21796" s="6">
        <v>190000</v>
      </c>
      <c r="D21796" s="5" t="s">
        <v>35</v>
      </c>
      <c r="E21796" s="5" t="str">
        <f t="shared" si="1088"/>
        <v>PLANEACION-DORIS ANGARITA ACOSTA</v>
      </c>
      <c r="F21796" s="5" t="str">
        <f>"Descripcion: SILLA SPRISMAS INTERLOCUTORAS Estado: Bueno Placa anterior: 000029619 Material: METALICO Color: NEGRO Referencia:  Observacion:  Placa padre: Tipo adquisicion: Entidad"</f>
        <v>Descripcion: SILLA SPRISMAS INTERLOCUTORAS Estado: Bueno Placa anterior: 000029619 Material: METALICO Color: NEGRO Referencia:  Observacion:  Placa padre: Tipo adquisicion: Entidad</v>
      </c>
      <c r="G21796" s="5"/>
    </row>
    <row r="21797" spans="1:7" ht="58.5" customHeight="1" x14ac:dyDescent="0.25">
      <c r="A21797" s="5" t="str">
        <f>"H0016654"</f>
        <v>H0016654</v>
      </c>
      <c r="B21797" s="5" t="str">
        <f>"COMPUTADOR TODO EN UNO"</f>
        <v>COMPUTADOR TODO EN UNO</v>
      </c>
      <c r="C21797" s="6">
        <v>2470000</v>
      </c>
      <c r="D21797" s="5" t="s">
        <v>6</v>
      </c>
      <c r="E21797" s="5" t="str">
        <f t="shared" si="1088"/>
        <v>PLANEACION-DORIS ANGARITA ACOSTA</v>
      </c>
      <c r="F21797" s="5" t="str">
        <f>"Descripcion:EQUIPO DE COMPUTO TODO EN UNO CON PROCESADOR INTEL i5 Estado: Bueno Placa anterior: 000036969 Material: PLASTICO Color: NEGRO Referencia:  Observacion:  Placa anterior:, Placa nueva=H0016656, Descripcion:MOUSE USB, Serial:44PD031, Marca:LENOVO"&amp; ", Modelo:, Material:PLASTICO, Color:NEGRO,   Referencia:, Placa anterior:, Placa nueva=H0016655, Descripcion:TECLADO USB, Serial:8259060, Marca:LENOVO, Modelo:KU-0225, Material:PLASTICO, Color:NEGRO,   Referencia: Placa padre:  Tipo adquisicion : Entidad"</f>
        <v>Descripcion:EQUIPO DE COMPUTO TODO EN UNO CON PROCESADOR INTEL i5 Estado: Bueno Placa anterior: 000036969 Material: PLASTICO Color: NEGRO Referencia:  Observacion:  Placa anterior:, Placa nueva=H0016656, Descripcion:MOUSE USB, Serial:44PD031, Marca:LENOVO, Modelo:, Material:PLASTICO, Color:NEGRO,   Referencia:, Placa anterior:, Placa nueva=H0016655, Descripcion:TECLADO USB, Serial:8259060, Marca:LENOVO, Modelo:KU-0225, Material:PLASTICO, Color:NEGRO,   Referencia: Placa padre:  Tipo adquisicion : Entidad</v>
      </c>
      <c r="G21797" s="5"/>
    </row>
    <row r="21798" spans="1:7" ht="58.5" customHeight="1" x14ac:dyDescent="0.25">
      <c r="A21798" s="5" t="str">
        <f>"H0017945"</f>
        <v>H0017945</v>
      </c>
      <c r="B21798" s="5" t="str">
        <f>"COMPUTADOR TODO EN UNO"</f>
        <v>COMPUTADOR TODO EN UNO</v>
      </c>
      <c r="C21798" s="6">
        <v>1572000</v>
      </c>
      <c r="D21798" s="5" t="s">
        <v>346</v>
      </c>
      <c r="E21798" s="5" t="str">
        <f t="shared" si="1088"/>
        <v>PLANEACION-DORIS ANGARITA ACOSTA</v>
      </c>
      <c r="F21798" s="5" t="str">
        <f>"Descripcion: EQUIPOS DE COMPUTO TODO EN UNO PROCESADOR CORE 3.0 SUPERIOR CORPORATIVO WINDOWS 8 PRO- OFFICE 2013 SMALL BUSINES, TECNOLOGIA HT DE INTEL GARANTIA EXTENDIDA A 3 AÑOS Estado: Bueno Placa anterior: 000030686 Material:  Color:  Referencia:  Obser"&amp; "vacion:  Placa padre: Tipo adquisicion: Entidad"</f>
        <v>Descripcion: EQUIPOS DE COMPUTO TODO EN UNO PROCESADOR CORE 3.0 SUPERIOR CORPORATIVO WINDOWS 8 PRO- OFFICE 2013 SMALL BUSINES, TECNOLOGIA HT DE INTEL GARANTIA EXTENDIDA A 3 AÑOS Estado: Bueno Placa anterior: 000030686 Material:  Color:  Referencia:  Observacion:  Placa padre: Tipo adquisicion: Entidad</v>
      </c>
      <c r="G21798" s="5"/>
    </row>
    <row r="21799" spans="1:7" ht="58.5" customHeight="1" x14ac:dyDescent="0.25">
      <c r="A21799" s="5" t="str">
        <f>"H0017980"</f>
        <v>H0017980</v>
      </c>
      <c r="B21799" s="5" t="str">
        <f>"SILLA INTERLOCUTORA (FIJA) SIN BRAZOS"</f>
        <v>SILLA INTERLOCUTORA (FIJA) SIN BRAZOS</v>
      </c>
      <c r="C21799" s="6">
        <v>59160</v>
      </c>
      <c r="D21799" s="5"/>
      <c r="E21799" s="5" t="str">
        <f t="shared" si="1088"/>
        <v>PLANEACION-DORIS ANGARITA ACOSTA</v>
      </c>
      <c r="F21799" s="5" t="str">
        <f>"Descripcion: SILLA INTERLOCUTORA SIN BRAZOS Estado: Regular Placa anterior: 000005542 Material: MADERA Y CUERO Color: CAFÉ Y NEGRO Referencia:  Observacion: ESTA PARTIDA LA BASE DEL FRENTE Placa padre: Tipo adquisicion: Entidad"</f>
        <v>Descripcion: SILLA INTERLOCUTORA SIN BRAZOS Estado: Regular Placa anterior: 000005542 Material: MADERA Y CUERO Color: CAFÉ Y NEGRO Referencia:  Observacion: ESTA PARTIDA LA BASE DEL FRENTE Placa padre: Tipo adquisicion: Entidad</v>
      </c>
      <c r="G21799" s="5"/>
    </row>
    <row r="21800" spans="1:7" ht="58.5" customHeight="1" x14ac:dyDescent="0.25">
      <c r="A21800" s="5" t="str">
        <f>"H0018057"</f>
        <v>H0018057</v>
      </c>
      <c r="B21800" s="5" t="str">
        <f>"COMPUTADOR TODO EN UNO"</f>
        <v>COMPUTADOR TODO EN UNO</v>
      </c>
      <c r="C21800" s="6">
        <v>2470000</v>
      </c>
      <c r="D21800" s="5" t="s">
        <v>6</v>
      </c>
      <c r="E21800" s="5" t="str">
        <f t="shared" si="1088"/>
        <v>PLANEACION-DORIS ANGARITA ACOSTA</v>
      </c>
      <c r="F21800" s="5" t="str">
        <f>"Descripcion:COMPUTADOR TODO EN UNO Estado: Bueno Placa anterior: 000037034 Material: PASTA Color: NEGRO Referencia:  Observacion:  Placa anterior:, Placa nueva=H0018059, Descripcion:MOUSE, Serial:44MG141, Marca:LENOVO, Modelo:MOEUUOA, Material:PASTA, Colo"&amp; "r:NEGRO,   Referencia:, Placa anterior:, Placa nueva=H0018058, Descripcion:TECLADO, Serial:8258931, Marca:LENOVO, Modelo:KU-0225, Material:PASTA, Color:NEGRO,   Referencia:, Placa anterior:, Placa nueva=H0018060, Descripcion:ESTABILIZADOR, Serial:76210478"&amp; "9, Marca:NEW LINE, Modelo:IEN-AVR 1005, Material:METALICO, Color:NEGRO,   Referencia: Placa padre:  Tipo adquisicion : Entidad"</f>
        <v>Descripcion:COMPUTADOR TODO EN UNO Estado: Bueno Placa anterior: 000037034 Material: PASTA Color: NEGRO Referencia:  Observacion:  Placa anterior:, Placa nueva=H0018059, Descripcion:MOUSE, Serial:44MG141, Marca:LENOVO, Modelo:MOEUUOA, Material:PASTA, Color:NEGRO,   Referencia:, Placa anterior:, Placa nueva=H0018058, Descripcion:TECLADO, Serial:8258931, Marca:LENOVO, Modelo:KU-0225, Material:PASTA, Color:NEGRO,   Referencia:, Placa anterior:, Placa nueva=H0018060, Descripcion:ESTABILIZADOR, Serial:762104789, Marca:NEW LINE, Modelo:IEN-AVR 1005, Material:METALICO, Color:NEGRO,   Referencia: Placa padre:  Tipo adquisicion : Entidad</v>
      </c>
      <c r="G21800" s="5" t="str">
        <f>"10BD-00FDLS"</f>
        <v>10BD-00FDLS</v>
      </c>
    </row>
    <row r="21801" spans="1:7" ht="58.5" customHeight="1" x14ac:dyDescent="0.25">
      <c r="A21801" s="5" t="str">
        <f>"H0018093"</f>
        <v>H0018093</v>
      </c>
      <c r="B21801" s="5" t="str">
        <f>"COMPUTADOR TODO EN UNO"</f>
        <v>COMPUTADOR TODO EN UNO</v>
      </c>
      <c r="C21801" s="6">
        <v>1572000</v>
      </c>
      <c r="D21801" s="5" t="s">
        <v>346</v>
      </c>
      <c r="E21801" s="5" t="str">
        <f t="shared" si="1088"/>
        <v>PLANEACION-DORIS ANGARITA ACOSTA</v>
      </c>
      <c r="F21801" s="5" t="str">
        <f>"Descripcion:TODO EN UNO Estado: Bueno Placa anterior: 000030680 Material: PASTA Color: NEGRO Referencia:  Observacion:  Placa anterior:, Placa nueva=H0018095, Descripcion:MOUSE, Serial:672652-001, Marca:HP, Modelo:, Material:PASTA, Color:NEGRO,   Referenc"&amp; "ia:, Placa anterior:, Placa nueva=H0018094, Descripcion:TECLADO, Serial:BDMHEOC5Y5X1GJ, Marca:HP, Modelo:KU-1156, Material:PASTA, Color:NEGRO,   Referencia: Placa padre:  Tipo adquisicion : Entidad"</f>
        <v>Descripcion:TODO EN UNO Estado: Bueno Placa anterior: 000030680 Material: PASTA Color: NEGRO Referencia:  Observacion:  Placa anterior:, Placa nueva=H0018095, Descripcion:MOUSE, Serial:672652-001, Marca:HP, Modelo:, Material:PASTA, Color:NEGRO,   Referencia:, Placa anterior:, Placa nueva=H0018094, Descripcion:TECLADO, Serial:BDMHEOC5Y5X1GJ, Marca:HP, Modelo:KU-1156, Material:PASTA, Color:NEGRO,   Referencia: Placa padre:  Tipo adquisicion : Entidad</v>
      </c>
      <c r="G21801" s="5" t="str">
        <f>"COMPAQ PRO-4300"</f>
        <v>COMPAQ PRO-4300</v>
      </c>
    </row>
    <row r="21802" spans="1:7" ht="58.5" customHeight="1" x14ac:dyDescent="0.25">
      <c r="A21802" s="5" t="str">
        <f>"H0022097"</f>
        <v>H0022097</v>
      </c>
      <c r="B2180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1802" s="6">
        <v>241999.99</v>
      </c>
      <c r="D21802" s="5" t="s">
        <v>499</v>
      </c>
      <c r="E21802" s="5" t="str">
        <f t="shared" si="1088"/>
        <v>PLANEACION-DORIS ANGARITA ACOSTA</v>
      </c>
      <c r="F21802" s="5"/>
      <c r="G21802" s="5"/>
    </row>
    <row r="21803" spans="1:7" ht="58.5" customHeight="1" x14ac:dyDescent="0.25">
      <c r="A21803" s="5" t="str">
        <f>"H0022135"</f>
        <v>H0022135</v>
      </c>
      <c r="B2180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1803" s="6">
        <v>241999.99</v>
      </c>
      <c r="D21803" s="5" t="s">
        <v>499</v>
      </c>
      <c r="E21803" s="5" t="str">
        <f t="shared" si="1088"/>
        <v>PLANEACION-DORIS ANGARITA ACOSTA</v>
      </c>
      <c r="F21803" s="5"/>
      <c r="G21803" s="5"/>
    </row>
    <row r="21804" spans="1:7" ht="58.5" customHeight="1" x14ac:dyDescent="0.25">
      <c r="A21804" s="5" t="str">
        <f>"H0022136"</f>
        <v>H0022136</v>
      </c>
      <c r="B2180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1804" s="6">
        <v>241999.99</v>
      </c>
      <c r="D21804" s="5" t="s">
        <v>499</v>
      </c>
      <c r="E21804" s="5" t="str">
        <f t="shared" si="1088"/>
        <v>PLANEACION-DORIS ANGARITA ACOSTA</v>
      </c>
      <c r="F21804" s="5"/>
      <c r="G21804" s="5"/>
    </row>
    <row r="21805" spans="1:7" ht="58.5" customHeight="1" x14ac:dyDescent="0.25">
      <c r="A21805" s="5" t="str">
        <f>"H0022137"</f>
        <v>H0022137</v>
      </c>
      <c r="B2180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1805" s="6">
        <v>241999.99</v>
      </c>
      <c r="D21805" s="5" t="s">
        <v>499</v>
      </c>
      <c r="E21805" s="5" t="str">
        <f t="shared" si="1088"/>
        <v>PLANEACION-DORIS ANGARITA ACOSTA</v>
      </c>
      <c r="F21805" s="5"/>
      <c r="G21805" s="5"/>
    </row>
    <row r="21806" spans="1:7" ht="58.5" customHeight="1" x14ac:dyDescent="0.25">
      <c r="A21806" s="5" t="str">
        <f>"H0024594"</f>
        <v>H0024594</v>
      </c>
      <c r="B2180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1806" s="6">
        <v>2600000</v>
      </c>
      <c r="D21806" s="5" t="s">
        <v>36</v>
      </c>
      <c r="E21806" s="5" t="str">
        <f t="shared" si="1088"/>
        <v>PLANEACION-DORIS ANGARITA ACOSTA</v>
      </c>
      <c r="F21806" s="5"/>
      <c r="G21806" s="5"/>
    </row>
    <row r="21807" spans="1:7" ht="58.5" customHeight="1" x14ac:dyDescent="0.25">
      <c r="A21807" s="5" t="str">
        <f>"H0024600"</f>
        <v>H0024600</v>
      </c>
      <c r="B2180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1807" s="6">
        <v>2600000</v>
      </c>
      <c r="D21807" s="5" t="s">
        <v>36</v>
      </c>
      <c r="E21807" s="5" t="str">
        <f t="shared" si="1088"/>
        <v>PLANEACION-DORIS ANGARITA ACOSTA</v>
      </c>
      <c r="F21807" s="5"/>
      <c r="G21807" s="5"/>
    </row>
    <row r="21808" spans="1:7" ht="58.5" customHeight="1" x14ac:dyDescent="0.25">
      <c r="A21808" s="5" t="str">
        <f>"H0024601"</f>
        <v>H0024601</v>
      </c>
      <c r="B2180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1808" s="6">
        <v>2600000</v>
      </c>
      <c r="D21808" s="5" t="s">
        <v>36</v>
      </c>
      <c r="E21808" s="5" t="str">
        <f t="shared" si="1088"/>
        <v>PLANEACION-DORIS ANGARITA ACOSTA</v>
      </c>
      <c r="F21808" s="5"/>
      <c r="G21808" s="5"/>
    </row>
    <row r="21809" spans="1:7" ht="58.5" customHeight="1" x14ac:dyDescent="0.25">
      <c r="A21809" s="5" t="str">
        <f>"H0024625"</f>
        <v>H0024625</v>
      </c>
      <c r="B21809" s="5" t="str">
        <f>"EQUIPO DE COMPUTO DE ESCRITORIO con Procesador Intel core i7 de sexta generación de 3.0 Ghz o superior. Memoria RAM 16 GB DDR4 o superior. 1 disco duro de 1 TB 7200 rpm o superior. Puerto Ethernet RJ45 base 1000. Fuentes de poder integrada. Pantalla de 21"&amp; "” o superior. Unidad de DVD-RW. Teclado USB de la misma marca distribución Latinoamérica. Mouse Optico USB. 2 Puertos USB 3.0. Salida audífonos 3.5 mm. LICENCIA DE MICROSOFT WINDOWS 10 PROFESIONAL 64 Bits. 3 años de garantía con fabricante"</f>
        <v>EQUIPO DE COMPUTO DE ESCRITORIO con Procesador Intel core i7 de sexta generación de 3.0 Ghz o superior. Memoria RAM 16 GB DDR4 o superior. 1 disco duro de 1 TB 7200 rpm o superior. Puerto Ethernet RJ45 base 1000. Fuentes de poder integrada. Pantalla de 21” o superior. Unidad de DVD-RW. Teclado USB de la misma marca distribución Latinoamérica. Mouse Optico USB. 2 Puertos USB 3.0. Salida audífonos 3.5 mm. LICENCIA DE MICROSOFT WINDOWS 10 PROFESIONAL 64 Bits. 3 años de garantía con fabricante</v>
      </c>
      <c r="C21809" s="6">
        <v>3596000</v>
      </c>
      <c r="D21809" s="5" t="s">
        <v>36</v>
      </c>
      <c r="E21809" s="5" t="str">
        <f t="shared" si="1088"/>
        <v>PLANEACION-DORIS ANGARITA ACOSTA</v>
      </c>
      <c r="F21809" s="5"/>
      <c r="G21809" s="5"/>
    </row>
    <row r="21810" spans="1:7" ht="58.5" customHeight="1" x14ac:dyDescent="0.25">
      <c r="A21810" s="5" t="str">
        <f>"H0025333"</f>
        <v>H0025333</v>
      </c>
      <c r="B2181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1810" s="6">
        <v>312156</v>
      </c>
      <c r="D21810" s="5" t="s">
        <v>10</v>
      </c>
      <c r="E21810" s="5" t="str">
        <f t="shared" si="1088"/>
        <v>PLANEACION-DORIS ANGARITA ACOSTA</v>
      </c>
      <c r="F21810" s="5"/>
      <c r="G21810" s="5"/>
    </row>
    <row r="21811" spans="1:7" ht="58.5" customHeight="1" x14ac:dyDescent="0.25">
      <c r="A21811" s="5" t="str">
        <f>"H0025453"</f>
        <v>H0025453</v>
      </c>
      <c r="B2181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1811" s="6">
        <v>312156</v>
      </c>
      <c r="D21811" s="5" t="s">
        <v>10</v>
      </c>
      <c r="E21811" s="5" t="str">
        <f t="shared" si="1088"/>
        <v>PLANEACION-DORIS ANGARITA ACOSTA</v>
      </c>
      <c r="F21811" s="5"/>
      <c r="G21811" s="5"/>
    </row>
    <row r="21812" spans="1:7" ht="58.5" customHeight="1" x14ac:dyDescent="0.25">
      <c r="A21812" s="5" t="str">
        <f>"H0025669"</f>
        <v>H0025669</v>
      </c>
      <c r="B21812" s="5" t="str">
        <f t="shared" ref="B21812:B21818" si="1089">"ESCRITORIO DE L DE 1.5*1.5*0.6 CON ARCHIVADOR 2X1, SUPERFICIES FABRICADAS EN AGLOMERADO DE 25 MM, RECUBIERTO EN FORMICA, BORDES EN CANTO RÍGIDO TERMOFUNDIDO. PEDESTALES FABRICADOS EN TUBERÍA ELÍPTICA 25X42 CALIBRE 16, CON TAPONES CON NIVELADOR DE 5/16”. F"&amp; "ALDEROS FABRICADOS EN PINTURA EN POLVO POR SISTEMA ELECTROSTÁTICO AL HORNO, COLORES A ESCOGER"</f>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2" s="6">
        <v>773500</v>
      </c>
      <c r="D21812" s="5" t="s">
        <v>899</v>
      </c>
      <c r="E21812" s="5" t="str">
        <f t="shared" si="1088"/>
        <v>PLANEACION-DORIS ANGARITA ACOSTA</v>
      </c>
      <c r="F21812" s="5"/>
      <c r="G21812" s="5"/>
    </row>
    <row r="21813" spans="1:7" ht="58.5" customHeight="1" x14ac:dyDescent="0.25">
      <c r="A21813" s="5" t="str">
        <f>"H0025670"</f>
        <v>H0025670</v>
      </c>
      <c r="B21813"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3" s="6">
        <v>773500</v>
      </c>
      <c r="D21813" s="5" t="s">
        <v>899</v>
      </c>
      <c r="E21813" s="5" t="str">
        <f t="shared" si="1088"/>
        <v>PLANEACION-DORIS ANGARITA ACOSTA</v>
      </c>
      <c r="F21813" s="5"/>
      <c r="G21813" s="5"/>
    </row>
    <row r="21814" spans="1:7" ht="58.5" customHeight="1" x14ac:dyDescent="0.25">
      <c r="A21814" s="5" t="str">
        <f>"H0025671"</f>
        <v>H0025671</v>
      </c>
      <c r="B21814"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4" s="6">
        <v>773500</v>
      </c>
      <c r="D21814" s="5" t="s">
        <v>899</v>
      </c>
      <c r="E21814" s="5" t="str">
        <f t="shared" si="1088"/>
        <v>PLANEACION-DORIS ANGARITA ACOSTA</v>
      </c>
      <c r="F21814" s="5"/>
      <c r="G21814" s="5"/>
    </row>
    <row r="21815" spans="1:7" ht="58.5" customHeight="1" x14ac:dyDescent="0.25">
      <c r="A21815" s="5" t="str">
        <f>"H0025672"</f>
        <v>H0025672</v>
      </c>
      <c r="B21815"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5" s="6">
        <v>773500</v>
      </c>
      <c r="D21815" s="5" t="s">
        <v>899</v>
      </c>
      <c r="E21815" s="5" t="str">
        <f t="shared" si="1088"/>
        <v>PLANEACION-DORIS ANGARITA ACOSTA</v>
      </c>
      <c r="F21815" s="5"/>
      <c r="G21815" s="5"/>
    </row>
    <row r="21816" spans="1:7" ht="58.5" customHeight="1" x14ac:dyDescent="0.25">
      <c r="A21816" s="5" t="str">
        <f>"H0025673"</f>
        <v>H0025673</v>
      </c>
      <c r="B21816"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6" s="6">
        <v>773500</v>
      </c>
      <c r="D21816" s="5" t="s">
        <v>899</v>
      </c>
      <c r="E21816" s="5" t="str">
        <f t="shared" si="1088"/>
        <v>PLANEACION-DORIS ANGARITA ACOSTA</v>
      </c>
      <c r="F21816" s="5"/>
      <c r="G21816" s="5"/>
    </row>
    <row r="21817" spans="1:7" ht="58.5" customHeight="1" x14ac:dyDescent="0.25">
      <c r="A21817" s="5" t="str">
        <f>"H0025674"</f>
        <v>H0025674</v>
      </c>
      <c r="B21817"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7" s="6">
        <v>773500</v>
      </c>
      <c r="D21817" s="5" t="s">
        <v>899</v>
      </c>
      <c r="E21817" s="5" t="str">
        <f t="shared" si="1088"/>
        <v>PLANEACION-DORIS ANGARITA ACOSTA</v>
      </c>
      <c r="F21817" s="5"/>
      <c r="G21817" s="5"/>
    </row>
    <row r="21818" spans="1:7" ht="58.5" customHeight="1" x14ac:dyDescent="0.25">
      <c r="A21818" s="5" t="str">
        <f>"H0025675"</f>
        <v>H0025675</v>
      </c>
      <c r="B21818" s="5" t="str">
        <f t="shared" si="1089"/>
        <v>ESCRITORIO DE L DE 1.5*1.5*0.6 CON ARCHIVADOR 2X1, SUPERFICIES FABRICADAS EN AGLOMERADO DE 25 MM, RECUBIERTO EN FORMICA, BORDES EN CANTO RÍGIDO TERMOFUNDIDO. PEDESTALES FABRICADOS EN TUBERÍA ELÍPTICA 25X42 CALIBRE 16, CON TAPONES CON NIVELADOR DE 5/16”. FALDEROS FABRICADOS EN PINTURA EN POLVO POR SISTEMA ELECTROSTÁTICO AL HORNO, COLORES A ESCOGER</v>
      </c>
      <c r="C21818" s="6">
        <v>773500</v>
      </c>
      <c r="D21818" s="5" t="s">
        <v>899</v>
      </c>
      <c r="E21818" s="5" t="str">
        <f t="shared" si="1088"/>
        <v>PLANEACION-DORIS ANGARITA ACOSTA</v>
      </c>
      <c r="F21818" s="5"/>
      <c r="G21818" s="5"/>
    </row>
    <row r="21819" spans="1:7" ht="58.5" customHeight="1" x14ac:dyDescent="0.25">
      <c r="A21819" s="5" t="str">
        <f>"H0026797"</f>
        <v>H0026797</v>
      </c>
      <c r="B21819"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19" s="6">
        <v>3296300</v>
      </c>
      <c r="D21819" s="5" t="s">
        <v>37</v>
      </c>
      <c r="E21819" s="5" t="str">
        <f t="shared" si="1088"/>
        <v>PLANEACION-DORIS ANGARITA ACOSTA</v>
      </c>
      <c r="F21819" s="5"/>
      <c r="G21819" s="5"/>
    </row>
    <row r="21820" spans="1:7" ht="58.5" customHeight="1" x14ac:dyDescent="0.25">
      <c r="A21820" s="5" t="str">
        <f>"H0027196"</f>
        <v>H0027196</v>
      </c>
      <c r="B21820" s="5" t="str">
        <f t="shared" ref="B21820:B21827" si="1090">"EQUIPO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0" s="6">
        <v>2641800</v>
      </c>
      <c r="D21820" s="5" t="s">
        <v>38</v>
      </c>
      <c r="E21820" s="5" t="str">
        <f t="shared" si="1088"/>
        <v>PLANEACION-DORIS ANGARITA ACOSTA</v>
      </c>
      <c r="F21820" s="5"/>
      <c r="G21820" s="5"/>
    </row>
    <row r="21821" spans="1:7" ht="58.5" customHeight="1" x14ac:dyDescent="0.25">
      <c r="A21821" s="5" t="str">
        <f>"H0027197"</f>
        <v>H0027197</v>
      </c>
      <c r="B21821"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1" s="6">
        <v>2641800</v>
      </c>
      <c r="D21821" s="5" t="s">
        <v>38</v>
      </c>
      <c r="E21821" s="5" t="str">
        <f t="shared" si="1088"/>
        <v>PLANEACION-DORIS ANGARITA ACOSTA</v>
      </c>
      <c r="F21821" s="5"/>
      <c r="G21821" s="5"/>
    </row>
    <row r="21822" spans="1:7" ht="58.5" customHeight="1" x14ac:dyDescent="0.25">
      <c r="A21822" s="5" t="str">
        <f>"H0027201"</f>
        <v>H0027201</v>
      </c>
      <c r="B21822"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2" s="6">
        <v>2641800</v>
      </c>
      <c r="D21822" s="5" t="s">
        <v>38</v>
      </c>
      <c r="E21822" s="5" t="str">
        <f t="shared" si="1088"/>
        <v>PLANEACION-DORIS ANGARITA ACOSTA</v>
      </c>
      <c r="F21822" s="5"/>
      <c r="G21822" s="5"/>
    </row>
    <row r="21823" spans="1:7" ht="58.5" customHeight="1" x14ac:dyDescent="0.25">
      <c r="A21823" s="5" t="str">
        <f>"H0027211"</f>
        <v>H0027211</v>
      </c>
      <c r="B21823"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3" s="6">
        <v>2641800</v>
      </c>
      <c r="D21823" s="5" t="s">
        <v>38</v>
      </c>
      <c r="E21823" s="5" t="str">
        <f t="shared" si="1088"/>
        <v>PLANEACION-DORIS ANGARITA ACOSTA</v>
      </c>
      <c r="F21823" s="5"/>
      <c r="G21823" s="5"/>
    </row>
    <row r="21824" spans="1:7" ht="58.5" customHeight="1" x14ac:dyDescent="0.25">
      <c r="A21824" s="5" t="str">
        <f>"H0027212"</f>
        <v>H0027212</v>
      </c>
      <c r="B21824"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4" s="6">
        <v>2641800</v>
      </c>
      <c r="D21824" s="5" t="s">
        <v>38</v>
      </c>
      <c r="E21824" s="5" t="str">
        <f t="shared" si="1088"/>
        <v>PLANEACION-DORIS ANGARITA ACOSTA</v>
      </c>
      <c r="F21824" s="5"/>
      <c r="G21824" s="5"/>
    </row>
    <row r="21825" spans="1:7" ht="58.5" customHeight="1" x14ac:dyDescent="0.25">
      <c r="A21825" s="5" t="str">
        <f>"H0027250"</f>
        <v>H0027250</v>
      </c>
      <c r="B21825"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5" s="6">
        <v>2641800</v>
      </c>
      <c r="D21825" s="5" t="s">
        <v>38</v>
      </c>
      <c r="E21825" s="5" t="str">
        <f t="shared" si="1088"/>
        <v>PLANEACION-DORIS ANGARITA ACOSTA</v>
      </c>
      <c r="F21825" s="5"/>
      <c r="G21825" s="5"/>
    </row>
    <row r="21826" spans="1:7" ht="58.5" customHeight="1" x14ac:dyDescent="0.25">
      <c r="A21826" s="5" t="str">
        <f>"H0027257"</f>
        <v>H0027257</v>
      </c>
      <c r="B21826"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6" s="6">
        <v>2641800</v>
      </c>
      <c r="D21826" s="5" t="s">
        <v>38</v>
      </c>
      <c r="E21826" s="5" t="str">
        <f t="shared" ref="E21826:E21857" si="1091">"PLANEACION-DORIS ANGARITA ACOSTA"</f>
        <v>PLANEACION-DORIS ANGARITA ACOSTA</v>
      </c>
      <c r="F21826" s="5"/>
      <c r="G21826" s="5"/>
    </row>
    <row r="21827" spans="1:7" ht="58.5" customHeight="1" x14ac:dyDescent="0.25">
      <c r="A21827" s="5" t="str">
        <f>"H0027260"</f>
        <v>H0027260</v>
      </c>
      <c r="B21827" s="5" t="str">
        <f t="shared" si="1090"/>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1827" s="6">
        <v>2641800</v>
      </c>
      <c r="D21827" s="5" t="s">
        <v>38</v>
      </c>
      <c r="E21827" s="5" t="str">
        <f t="shared" si="1091"/>
        <v>PLANEACION-DORIS ANGARITA ACOSTA</v>
      </c>
      <c r="F21827" s="5"/>
      <c r="G21827" s="5"/>
    </row>
    <row r="21828" spans="1:7" ht="58.5" customHeight="1" x14ac:dyDescent="0.25">
      <c r="A21828" s="5" t="str">
        <f>"H0027277"</f>
        <v>H0027277</v>
      </c>
      <c r="B21828" s="5" t="s">
        <v>869</v>
      </c>
      <c r="C21828" s="6">
        <v>3272500</v>
      </c>
      <c r="D21828" s="5" t="s">
        <v>868</v>
      </c>
      <c r="E21828" s="5" t="str">
        <f t="shared" si="1091"/>
        <v>PLANEACION-DORIS ANGARITA ACOSTA</v>
      </c>
      <c r="F21828" s="5"/>
      <c r="G21828" s="5" t="str">
        <f>"D11S"</f>
        <v>D11S</v>
      </c>
    </row>
    <row r="21829" spans="1:7" ht="58.5" customHeight="1" x14ac:dyDescent="0.25">
      <c r="A21829" s="5" t="str">
        <f>"H0027310"</f>
        <v>H0027310</v>
      </c>
      <c r="B21829" s="5" t="str">
        <f>"ESCANER DE ALTA VELOCIDAD 35 PPM"</f>
        <v>ESCANER DE ALTA VELOCIDAD 35 PPM</v>
      </c>
      <c r="C21829" s="6">
        <v>1237171.56</v>
      </c>
      <c r="D21829" s="5" t="s">
        <v>12</v>
      </c>
      <c r="E21829" s="5" t="str">
        <f t="shared" si="1091"/>
        <v>PLANEACION-DORIS ANGARITA ACOSTA</v>
      </c>
      <c r="F21829" s="5"/>
      <c r="G21829" s="5"/>
    </row>
    <row r="21830" spans="1:7" ht="58.5" customHeight="1" x14ac:dyDescent="0.25">
      <c r="A21830" s="5" t="str">
        <f>"H0028749"</f>
        <v>H0028749</v>
      </c>
      <c r="B21830" s="5" t="str">
        <f>"NEVERA MINI BAR DE 93 LT"</f>
        <v>NEVERA MINI BAR DE 93 LT</v>
      </c>
      <c r="C21830" s="6">
        <v>479900.02</v>
      </c>
      <c r="D21830" s="5" t="s">
        <v>39</v>
      </c>
      <c r="E21830" s="5" t="str">
        <f t="shared" si="1091"/>
        <v>PLANEACION-DORIS ANGARITA ACOSTA</v>
      </c>
      <c r="F21830" s="5"/>
      <c r="G21830" s="5"/>
    </row>
    <row r="21831" spans="1:7" ht="58.5" customHeight="1" x14ac:dyDescent="0.25">
      <c r="A21831" s="5" t="str">
        <f>"H0029268"</f>
        <v>H0029268</v>
      </c>
      <c r="B21831" s="5" t="str">
        <f>"SILLA HERGONOMICA CON SISTEMA HIDRAULICO"</f>
        <v>SILLA HERGONOMICA CON SISTEMA HIDRAULICO</v>
      </c>
      <c r="C21831" s="6">
        <v>174900</v>
      </c>
      <c r="D21831" s="5" t="s">
        <v>625</v>
      </c>
      <c r="E21831" s="5" t="str">
        <f t="shared" si="1091"/>
        <v>PLANEACION-DORIS ANGARITA ACOSTA</v>
      </c>
      <c r="F21831" s="5"/>
      <c r="G21831" s="5"/>
    </row>
    <row r="21832" spans="1:7" ht="58.5" customHeight="1" x14ac:dyDescent="0.25">
      <c r="A21832" s="5" t="str">
        <f>"H0029293"</f>
        <v>H0029293</v>
      </c>
      <c r="B21832" s="5" t="str">
        <f>"SILLA HERGONOMICA CON SISTEMA HIDRAULICO"</f>
        <v>SILLA HERGONOMICA CON SISTEMA HIDRAULICO</v>
      </c>
      <c r="C21832" s="6">
        <v>174900</v>
      </c>
      <c r="D21832" s="5" t="s">
        <v>89</v>
      </c>
      <c r="E21832" s="5" t="str">
        <f t="shared" si="1091"/>
        <v>PLANEACION-DORIS ANGARITA ACOSTA</v>
      </c>
      <c r="F21832" s="5"/>
      <c r="G21832" s="5"/>
    </row>
    <row r="21833" spans="1:7" ht="58.5" customHeight="1" x14ac:dyDescent="0.25">
      <c r="A21833" s="5" t="str">
        <f>"H0029329"</f>
        <v>H0029329</v>
      </c>
      <c r="B21833" s="5" t="str">
        <f>"SILLA HERGONOMICA CON SISTEMA HIDRAULICO"</f>
        <v>SILLA HERGONOMICA CON SISTEMA HIDRAULICO</v>
      </c>
      <c r="C21833" s="6">
        <v>174900</v>
      </c>
      <c r="D21833" s="5" t="s">
        <v>89</v>
      </c>
      <c r="E21833" s="5" t="str">
        <f t="shared" si="1091"/>
        <v>PLANEACION-DORIS ANGARITA ACOSTA</v>
      </c>
      <c r="F21833" s="5"/>
      <c r="G21833" s="5"/>
    </row>
    <row r="21834" spans="1:7" ht="58.5" customHeight="1" x14ac:dyDescent="0.25">
      <c r="A21834" s="5" t="str">
        <f>"H0029373"</f>
        <v>H0029373</v>
      </c>
      <c r="B21834" s="5" t="str">
        <f>"SILLA HERGONOMICA CON SISTEMA HIDRAULICO"</f>
        <v>SILLA HERGONOMICA CON SISTEMA HIDRAULICO</v>
      </c>
      <c r="C21834" s="6">
        <v>174900</v>
      </c>
      <c r="D21834" s="5" t="s">
        <v>89</v>
      </c>
      <c r="E21834" s="5" t="str">
        <f t="shared" si="1091"/>
        <v>PLANEACION-DORIS ANGARITA ACOSTA</v>
      </c>
      <c r="F21834" s="5"/>
      <c r="G21834" s="5"/>
    </row>
    <row r="21835" spans="1:7" ht="58.5" customHeight="1" x14ac:dyDescent="0.25">
      <c r="A21835" s="5" t="str">
        <f>"H0029388"</f>
        <v>H0029388</v>
      </c>
      <c r="B21835" s="5" t="str">
        <f>"SILLA HERGONOMICA CON SISTEMA HIDRAULICO"</f>
        <v>SILLA HERGONOMICA CON SISTEMA HIDRAULICO</v>
      </c>
      <c r="C21835" s="6">
        <v>174900</v>
      </c>
      <c r="D21835" s="5" t="s">
        <v>89</v>
      </c>
      <c r="E21835" s="5" t="str">
        <f t="shared" si="1091"/>
        <v>PLANEACION-DORIS ANGARITA ACOSTA</v>
      </c>
      <c r="F21835" s="5"/>
      <c r="G21835" s="5"/>
    </row>
    <row r="21836" spans="1:7" ht="58.5" customHeight="1" x14ac:dyDescent="0.25">
      <c r="A21836" s="5" t="str">
        <f>"H0029789"</f>
        <v>H0029789</v>
      </c>
      <c r="B21836" s="5" t="s">
        <v>96</v>
      </c>
      <c r="C21836" s="6">
        <v>169000.22</v>
      </c>
      <c r="D21836" s="5" t="s">
        <v>93</v>
      </c>
      <c r="E21836" s="5" t="str">
        <f t="shared" si="1091"/>
        <v>PLANEACION-DORIS ANGARITA ACOSTA</v>
      </c>
      <c r="F21836" s="5"/>
      <c r="G21836" s="5"/>
    </row>
    <row r="21837" spans="1:7" ht="58.5" customHeight="1" x14ac:dyDescent="0.25">
      <c r="A21837" s="5" t="str">
        <f>"H0029864"</f>
        <v>H0029864</v>
      </c>
      <c r="B21837" s="5" t="s">
        <v>879</v>
      </c>
      <c r="C21837" s="6">
        <v>2750000</v>
      </c>
      <c r="D21837" s="5" t="s">
        <v>225</v>
      </c>
      <c r="E21837" s="5" t="str">
        <f t="shared" si="1091"/>
        <v>PLANEACION-DORIS ANGARITA ACOSTA</v>
      </c>
      <c r="F21837" s="5"/>
      <c r="G21837" s="5" t="str">
        <f>"HP PAV 570-P002LA"</f>
        <v>HP PAV 570-P002LA</v>
      </c>
    </row>
    <row r="21838" spans="1:7" ht="58.5" customHeight="1" x14ac:dyDescent="0.25">
      <c r="A21838" s="5" t="str">
        <f>"H0031435"</f>
        <v>H0031435</v>
      </c>
      <c r="B2183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1838" s="6">
        <v>3209500</v>
      </c>
      <c r="D21838" s="5" t="s">
        <v>16</v>
      </c>
      <c r="E21838" s="5" t="str">
        <f t="shared" si="1091"/>
        <v>PLANEACION-DORIS ANGARITA ACOSTA</v>
      </c>
      <c r="F21838" s="5"/>
      <c r="G21838" s="5"/>
    </row>
    <row r="21839" spans="1:7" ht="58.5" customHeight="1" x14ac:dyDescent="0.25">
      <c r="A21839" s="5" t="str">
        <f>"H0031436"</f>
        <v>H0031436</v>
      </c>
      <c r="B2183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1839" s="6">
        <v>3209500</v>
      </c>
      <c r="D21839" s="5" t="s">
        <v>16</v>
      </c>
      <c r="E21839" s="5" t="str">
        <f t="shared" si="1091"/>
        <v>PLANEACION-DORIS ANGARITA ACOSTA</v>
      </c>
      <c r="F21839" s="5"/>
      <c r="G21839" s="5"/>
    </row>
    <row r="21840" spans="1:7" ht="58.5" customHeight="1" x14ac:dyDescent="0.25">
      <c r="A21840" s="5" t="str">
        <f>"H0031443"</f>
        <v>H0031443</v>
      </c>
      <c r="B2184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1840" s="6">
        <v>3209500</v>
      </c>
      <c r="D21840" s="5" t="s">
        <v>16</v>
      </c>
      <c r="E21840" s="5" t="str">
        <f t="shared" si="1091"/>
        <v>PLANEACION-DORIS ANGARITA ACOSTA</v>
      </c>
      <c r="F21840" s="5"/>
      <c r="G21840" s="5"/>
    </row>
    <row r="21841" spans="1:7" ht="58.5" customHeight="1" x14ac:dyDescent="0.25">
      <c r="A21841" s="5" t="str">
        <f>"H0031463"</f>
        <v>H0031463</v>
      </c>
      <c r="B2184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1841" s="6">
        <v>3209500</v>
      </c>
      <c r="D21841" s="5" t="s">
        <v>16</v>
      </c>
      <c r="E21841" s="5" t="str">
        <f t="shared" si="1091"/>
        <v>PLANEACION-DORIS ANGARITA ACOSTA</v>
      </c>
      <c r="F21841" s="5"/>
      <c r="G21841" s="5"/>
    </row>
    <row r="21842" spans="1:7" ht="58.5" customHeight="1" x14ac:dyDescent="0.25">
      <c r="A21842" s="5" t="str">
        <f>"H0031503"</f>
        <v>H0031503</v>
      </c>
      <c r="B2184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1842" s="6">
        <v>3209500</v>
      </c>
      <c r="D21842" s="5" t="s">
        <v>16</v>
      </c>
      <c r="E21842" s="5" t="str">
        <f t="shared" si="1091"/>
        <v>PLANEACION-DORIS ANGARITA ACOSTA</v>
      </c>
      <c r="F21842" s="5"/>
      <c r="G21842" s="5"/>
    </row>
    <row r="21843" spans="1:7" ht="58.5" customHeight="1" x14ac:dyDescent="0.25">
      <c r="A21843" s="5" t="str">
        <f>"H0032495"</f>
        <v>H0032495</v>
      </c>
      <c r="B21843"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21843" s="6">
        <v>420090</v>
      </c>
      <c r="D21843" s="5" t="s">
        <v>17</v>
      </c>
      <c r="E21843" s="5" t="str">
        <f t="shared" si="1091"/>
        <v>PLANEACION-DORIS ANGARITA ACOSTA</v>
      </c>
      <c r="F21843" s="5"/>
      <c r="G21843" s="5"/>
    </row>
    <row r="21844" spans="1:7" ht="58.5" customHeight="1" x14ac:dyDescent="0.25">
      <c r="A21844" s="5" t="str">
        <f>"H0032871"</f>
        <v>H0032871</v>
      </c>
      <c r="B21844"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1844" s="6">
        <v>5604900</v>
      </c>
      <c r="D21844" s="5" t="s">
        <v>900</v>
      </c>
      <c r="E21844" s="5" t="str">
        <f t="shared" si="1091"/>
        <v>PLANEACION-DORIS ANGARITA ACOSTA</v>
      </c>
      <c r="F21844" s="5"/>
      <c r="G21844" s="5"/>
    </row>
    <row r="21845" spans="1:7" ht="58.5" customHeight="1" x14ac:dyDescent="0.25">
      <c r="A21845" s="5" t="str">
        <f>"H0034997"</f>
        <v>H0034997</v>
      </c>
      <c r="B21845" s="5" t="s">
        <v>277</v>
      </c>
      <c r="C21845" s="6">
        <v>1044820</v>
      </c>
      <c r="D21845" s="5" t="s">
        <v>22</v>
      </c>
      <c r="E21845" s="5" t="str">
        <f t="shared" si="1091"/>
        <v>PLANEACION-DORIS ANGARITA ACOSTA</v>
      </c>
      <c r="F21845" s="5"/>
      <c r="G21845" s="5"/>
    </row>
    <row r="21846" spans="1:7" ht="58.5" customHeight="1" x14ac:dyDescent="0.25">
      <c r="A21846" s="5" t="str">
        <f>"H0034998"</f>
        <v>H0034998</v>
      </c>
      <c r="B21846" s="5" t="s">
        <v>277</v>
      </c>
      <c r="C21846" s="6">
        <v>1044820</v>
      </c>
      <c r="D21846" s="5" t="s">
        <v>22</v>
      </c>
      <c r="E21846" s="5" t="str">
        <f t="shared" si="1091"/>
        <v>PLANEACION-DORIS ANGARITA ACOSTA</v>
      </c>
      <c r="F21846" s="5"/>
      <c r="G21846" s="5"/>
    </row>
    <row r="21847" spans="1:7" ht="58.5" customHeight="1" x14ac:dyDescent="0.25">
      <c r="A21847" s="5" t="str">
        <f>"H0034999"</f>
        <v>H0034999</v>
      </c>
      <c r="B21847" s="5" t="s">
        <v>277</v>
      </c>
      <c r="C21847" s="6">
        <v>1044820</v>
      </c>
      <c r="D21847" s="5" t="s">
        <v>22</v>
      </c>
      <c r="E21847" s="5" t="str">
        <f t="shared" si="1091"/>
        <v>PLANEACION-DORIS ANGARITA ACOSTA</v>
      </c>
      <c r="F21847" s="5"/>
      <c r="G21847" s="5"/>
    </row>
    <row r="21848" spans="1:7" ht="58.5" customHeight="1" x14ac:dyDescent="0.25">
      <c r="A21848" s="5" t="str">
        <f>"H0035011"</f>
        <v>H0035011</v>
      </c>
      <c r="B21848" s="5" t="str">
        <f>"Altavoces Estéreo Ac Logitech S120, Control Volumen / 3.5mm"</f>
        <v>Altavoces Estéreo Ac Logitech S120, Control Volumen / 3.5mm</v>
      </c>
      <c r="C21848" s="6">
        <v>83300</v>
      </c>
      <c r="D21848" s="5" t="s">
        <v>22</v>
      </c>
      <c r="E21848" s="5" t="str">
        <f t="shared" si="1091"/>
        <v>PLANEACION-DORIS ANGARITA ACOSTA</v>
      </c>
      <c r="F21848" s="5"/>
      <c r="G21848" s="5"/>
    </row>
    <row r="21849" spans="1:7" ht="58.5" customHeight="1" x14ac:dyDescent="0.25">
      <c r="A21849" s="5" t="str">
        <f>"H0035026"</f>
        <v>H0035026</v>
      </c>
      <c r="B21849"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1849" s="6">
        <v>5289550</v>
      </c>
      <c r="D21849" s="5" t="s">
        <v>22</v>
      </c>
      <c r="E21849" s="5" t="str">
        <f t="shared" si="1091"/>
        <v>PLANEACION-DORIS ANGARITA ACOSTA</v>
      </c>
      <c r="F21849" s="5"/>
      <c r="G21849" s="5"/>
    </row>
    <row r="21850" spans="1:7" ht="58.5" customHeight="1" x14ac:dyDescent="0.25">
      <c r="A21850" s="5" t="str">
        <f>"H0035324"</f>
        <v>H0035324</v>
      </c>
      <c r="B21850" s="5" t="s">
        <v>128</v>
      </c>
      <c r="C21850" s="6">
        <v>5462100</v>
      </c>
      <c r="D21850" s="5" t="s">
        <v>127</v>
      </c>
      <c r="E21850" s="5" t="str">
        <f t="shared" si="1091"/>
        <v>PLANEACION-DORIS ANGARITA ACOSTA</v>
      </c>
      <c r="F21850" s="5"/>
      <c r="G21850" s="5" t="str">
        <f>"202G4AIO"</f>
        <v>202G4AIO</v>
      </c>
    </row>
    <row r="21851" spans="1:7" ht="58.5" customHeight="1" x14ac:dyDescent="0.25">
      <c r="A21851" s="5" t="str">
        <f>"H0035721"</f>
        <v>H0035721</v>
      </c>
      <c r="B21851" s="5" t="str">
        <f t="shared" ref="B21851:B21856" si="1092">"SILLA GERENTE NIZA MEC. BASCULANTE CON BRAZOS."</f>
        <v>SILLA GERENTE NIZA MEC. BASCULANTE CON BRAZOS.</v>
      </c>
      <c r="C21851" s="6">
        <v>639999.86</v>
      </c>
      <c r="D21851" s="5" t="s">
        <v>46</v>
      </c>
      <c r="E21851" s="5" t="str">
        <f t="shared" si="1091"/>
        <v>PLANEACION-DORIS ANGARITA ACOSTA</v>
      </c>
      <c r="F21851" s="5"/>
      <c r="G21851" s="5"/>
    </row>
    <row r="21852" spans="1:7" ht="58.5" customHeight="1" x14ac:dyDescent="0.25">
      <c r="A21852" s="5" t="str">
        <f>"H0035722"</f>
        <v>H0035722</v>
      </c>
      <c r="B21852" s="5" t="str">
        <f t="shared" si="1092"/>
        <v>SILLA GERENTE NIZA MEC. BASCULANTE CON BRAZOS.</v>
      </c>
      <c r="C21852" s="6">
        <v>639999.86</v>
      </c>
      <c r="D21852" s="5" t="s">
        <v>46</v>
      </c>
      <c r="E21852" s="5" t="str">
        <f t="shared" si="1091"/>
        <v>PLANEACION-DORIS ANGARITA ACOSTA</v>
      </c>
      <c r="F21852" s="5"/>
      <c r="G21852" s="5"/>
    </row>
    <row r="21853" spans="1:7" ht="58.5" customHeight="1" x14ac:dyDescent="0.25">
      <c r="A21853" s="5" t="str">
        <f>"H0035723"</f>
        <v>H0035723</v>
      </c>
      <c r="B21853" s="5" t="str">
        <f t="shared" si="1092"/>
        <v>SILLA GERENTE NIZA MEC. BASCULANTE CON BRAZOS.</v>
      </c>
      <c r="C21853" s="6">
        <v>639999.86</v>
      </c>
      <c r="D21853" s="5" t="s">
        <v>901</v>
      </c>
      <c r="E21853" s="5" t="str">
        <f t="shared" si="1091"/>
        <v>PLANEACION-DORIS ANGARITA ACOSTA</v>
      </c>
      <c r="F21853" s="5"/>
      <c r="G21853" s="5"/>
    </row>
    <row r="21854" spans="1:7" ht="58.5" customHeight="1" x14ac:dyDescent="0.25">
      <c r="A21854" s="5" t="str">
        <f>"H0035725"</f>
        <v>H0035725</v>
      </c>
      <c r="B21854" s="5" t="str">
        <f t="shared" si="1092"/>
        <v>SILLA GERENTE NIZA MEC. BASCULANTE CON BRAZOS.</v>
      </c>
      <c r="C21854" s="6">
        <v>639999.86</v>
      </c>
      <c r="D21854" s="5" t="s">
        <v>46</v>
      </c>
      <c r="E21854" s="5" t="str">
        <f t="shared" si="1091"/>
        <v>PLANEACION-DORIS ANGARITA ACOSTA</v>
      </c>
      <c r="F21854" s="5"/>
      <c r="G21854" s="5"/>
    </row>
    <row r="21855" spans="1:7" ht="58.5" customHeight="1" x14ac:dyDescent="0.25">
      <c r="A21855" s="5" t="str">
        <f>"H0035750"</f>
        <v>H0035750</v>
      </c>
      <c r="B21855" s="5" t="str">
        <f t="shared" si="1092"/>
        <v>SILLA GERENTE NIZA MEC. BASCULANTE CON BRAZOS.</v>
      </c>
      <c r="C21855" s="6">
        <v>639999.86</v>
      </c>
      <c r="D21855" s="5" t="s">
        <v>46</v>
      </c>
      <c r="E21855" s="5" t="str">
        <f t="shared" si="1091"/>
        <v>PLANEACION-DORIS ANGARITA ACOSTA</v>
      </c>
      <c r="F21855" s="5"/>
      <c r="G21855" s="5"/>
    </row>
    <row r="21856" spans="1:7" ht="58.5" customHeight="1" x14ac:dyDescent="0.25">
      <c r="A21856" s="5" t="str">
        <f>"H0035924"</f>
        <v>H0035924</v>
      </c>
      <c r="B21856" s="5" t="str">
        <f t="shared" si="1092"/>
        <v>SILLA GERENTE NIZA MEC. BASCULANTE CON BRAZOS.</v>
      </c>
      <c r="C21856" s="6">
        <v>639999.86</v>
      </c>
      <c r="D21856" s="5" t="s">
        <v>281</v>
      </c>
      <c r="E21856" s="5" t="str">
        <f t="shared" si="1091"/>
        <v>PLANEACION-DORIS ANGARITA ACOSTA</v>
      </c>
      <c r="F21856" s="5"/>
      <c r="G21856" s="5"/>
    </row>
    <row r="21857" spans="1:7" ht="58.5" customHeight="1" x14ac:dyDescent="0.25">
      <c r="A21857" s="5" t="str">
        <f>"H0036528"</f>
        <v>H0036528</v>
      </c>
      <c r="B21857"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1857" s="6">
        <v>6307000</v>
      </c>
      <c r="D21857" s="5" t="s">
        <v>48</v>
      </c>
      <c r="E21857" s="5" t="str">
        <f t="shared" si="1091"/>
        <v>PLANEACION-DORIS ANGARITA ACOSTA</v>
      </c>
      <c r="F21857" s="5"/>
      <c r="G21857" s="5" t="str">
        <f>"VZ4680G"</f>
        <v>VZ4680G</v>
      </c>
    </row>
    <row r="21858" spans="1:7" ht="58.5" customHeight="1" x14ac:dyDescent="0.25">
      <c r="A21858" s="5" t="str">
        <f>"H0036589"</f>
        <v>H0036589</v>
      </c>
      <c r="B21858" s="5" t="str">
        <f>"ESCANER DE ALTA VELOCIDAD 35 PPM"</f>
        <v>ESCANER DE ALTA VELOCIDAD 35 PPM</v>
      </c>
      <c r="C21858" s="6">
        <v>2401636.36</v>
      </c>
      <c r="D21858" s="5" t="s">
        <v>199</v>
      </c>
      <c r="E21858" s="5" t="str">
        <f t="shared" ref="E21858:E21877" si="1093">"PLANEACION-DORIS ANGARITA ACOSTA"</f>
        <v>PLANEACION-DORIS ANGARITA ACOSTA</v>
      </c>
      <c r="F21858" s="5"/>
      <c r="G21858" s="5"/>
    </row>
    <row r="21859" spans="1:7" ht="58.5" customHeight="1" x14ac:dyDescent="0.25">
      <c r="A21859" s="5" t="str">
        <f>"H0036590"</f>
        <v>H0036590</v>
      </c>
      <c r="B21859" s="5" t="str">
        <f>"ESCANER DE ALTA VELOCIDAD 35 PPM"</f>
        <v>ESCANER DE ALTA VELOCIDAD 35 PPM</v>
      </c>
      <c r="C21859" s="6">
        <v>2401636.36</v>
      </c>
      <c r="D21859" s="5" t="s">
        <v>199</v>
      </c>
      <c r="E21859" s="5" t="str">
        <f t="shared" si="1093"/>
        <v>PLANEACION-DORIS ANGARITA ACOSTA</v>
      </c>
      <c r="F21859" s="5"/>
      <c r="G21859" s="5"/>
    </row>
    <row r="21860" spans="1:7" ht="58.5" customHeight="1" x14ac:dyDescent="0.25">
      <c r="A21860" s="5" t="str">
        <f>"H0037684"</f>
        <v>H0037684</v>
      </c>
      <c r="B21860" s="5" t="str">
        <f t="shared" ref="B21860:B21877" si="1094">"SILLA GERENTE NIZA MEC. BASCULANTE CON BRAZOS."</f>
        <v>SILLA GERENTE NIZA MEC. BASCULANTE CON BRAZOS.</v>
      </c>
      <c r="C21860" s="6">
        <v>710000.01</v>
      </c>
      <c r="D21860" s="5" t="s">
        <v>30</v>
      </c>
      <c r="E21860" s="5" t="str">
        <f t="shared" si="1093"/>
        <v>PLANEACION-DORIS ANGARITA ACOSTA</v>
      </c>
      <c r="F21860" s="5"/>
      <c r="G21860" s="5"/>
    </row>
    <row r="21861" spans="1:7" ht="58.5" customHeight="1" x14ac:dyDescent="0.25">
      <c r="A21861" s="5" t="str">
        <f>"H0037685"</f>
        <v>H0037685</v>
      </c>
      <c r="B21861" s="5" t="str">
        <f t="shared" si="1094"/>
        <v>SILLA GERENTE NIZA MEC. BASCULANTE CON BRAZOS.</v>
      </c>
      <c r="C21861" s="6">
        <v>710000.01</v>
      </c>
      <c r="D21861" s="5" t="s">
        <v>30</v>
      </c>
      <c r="E21861" s="5" t="str">
        <f t="shared" si="1093"/>
        <v>PLANEACION-DORIS ANGARITA ACOSTA</v>
      </c>
      <c r="F21861" s="5"/>
      <c r="G21861" s="5"/>
    </row>
    <row r="21862" spans="1:7" ht="58.5" customHeight="1" x14ac:dyDescent="0.25">
      <c r="A21862" s="5" t="str">
        <f>"H0037686"</f>
        <v>H0037686</v>
      </c>
      <c r="B21862" s="5" t="str">
        <f t="shared" si="1094"/>
        <v>SILLA GERENTE NIZA MEC. BASCULANTE CON BRAZOS.</v>
      </c>
      <c r="C21862" s="6">
        <v>710000.01</v>
      </c>
      <c r="D21862" s="5" t="s">
        <v>30</v>
      </c>
      <c r="E21862" s="5" t="str">
        <f t="shared" si="1093"/>
        <v>PLANEACION-DORIS ANGARITA ACOSTA</v>
      </c>
      <c r="F21862" s="5"/>
      <c r="G21862" s="5"/>
    </row>
    <row r="21863" spans="1:7" ht="58.5" customHeight="1" x14ac:dyDescent="0.25">
      <c r="A21863" s="5" t="str">
        <f>"H0037687"</f>
        <v>H0037687</v>
      </c>
      <c r="B21863" s="5" t="str">
        <f t="shared" si="1094"/>
        <v>SILLA GERENTE NIZA MEC. BASCULANTE CON BRAZOS.</v>
      </c>
      <c r="C21863" s="6">
        <v>710000.01</v>
      </c>
      <c r="D21863" s="5" t="s">
        <v>30</v>
      </c>
      <c r="E21863" s="5" t="str">
        <f t="shared" si="1093"/>
        <v>PLANEACION-DORIS ANGARITA ACOSTA</v>
      </c>
      <c r="F21863" s="5"/>
      <c r="G21863" s="5"/>
    </row>
    <row r="21864" spans="1:7" ht="58.5" customHeight="1" x14ac:dyDescent="0.25">
      <c r="A21864" s="5" t="str">
        <f>"H0037688"</f>
        <v>H0037688</v>
      </c>
      <c r="B21864" s="5" t="str">
        <f t="shared" si="1094"/>
        <v>SILLA GERENTE NIZA MEC. BASCULANTE CON BRAZOS.</v>
      </c>
      <c r="C21864" s="6">
        <v>710000.01</v>
      </c>
      <c r="D21864" s="5" t="s">
        <v>30</v>
      </c>
      <c r="E21864" s="5" t="str">
        <f t="shared" si="1093"/>
        <v>PLANEACION-DORIS ANGARITA ACOSTA</v>
      </c>
      <c r="F21864" s="5"/>
      <c r="G21864" s="5"/>
    </row>
    <row r="21865" spans="1:7" ht="58.5" customHeight="1" x14ac:dyDescent="0.25">
      <c r="A21865" s="5" t="str">
        <f>"H0037689"</f>
        <v>H0037689</v>
      </c>
      <c r="B21865" s="5" t="str">
        <f t="shared" si="1094"/>
        <v>SILLA GERENTE NIZA MEC. BASCULANTE CON BRAZOS.</v>
      </c>
      <c r="C21865" s="6">
        <v>710000.01</v>
      </c>
      <c r="D21865" s="5" t="s">
        <v>30</v>
      </c>
      <c r="E21865" s="5" t="str">
        <f t="shared" si="1093"/>
        <v>PLANEACION-DORIS ANGARITA ACOSTA</v>
      </c>
      <c r="F21865" s="5"/>
      <c r="G21865" s="5"/>
    </row>
    <row r="21866" spans="1:7" ht="58.5" customHeight="1" x14ac:dyDescent="0.25">
      <c r="A21866" s="5" t="str">
        <f>"H0037690"</f>
        <v>H0037690</v>
      </c>
      <c r="B21866" s="5" t="str">
        <f t="shared" si="1094"/>
        <v>SILLA GERENTE NIZA MEC. BASCULANTE CON BRAZOS.</v>
      </c>
      <c r="C21866" s="6">
        <v>710000.01</v>
      </c>
      <c r="D21866" s="5" t="s">
        <v>30</v>
      </c>
      <c r="E21866" s="5" t="str">
        <f t="shared" si="1093"/>
        <v>PLANEACION-DORIS ANGARITA ACOSTA</v>
      </c>
      <c r="F21866" s="5"/>
      <c r="G21866" s="5"/>
    </row>
    <row r="21867" spans="1:7" ht="58.5" customHeight="1" x14ac:dyDescent="0.25">
      <c r="A21867" s="5" t="str">
        <f>"H0037691"</f>
        <v>H0037691</v>
      </c>
      <c r="B21867" s="5" t="str">
        <f t="shared" si="1094"/>
        <v>SILLA GERENTE NIZA MEC. BASCULANTE CON BRAZOS.</v>
      </c>
      <c r="C21867" s="6">
        <v>710000.01</v>
      </c>
      <c r="D21867" s="5" t="s">
        <v>30</v>
      </c>
      <c r="E21867" s="5" t="str">
        <f t="shared" si="1093"/>
        <v>PLANEACION-DORIS ANGARITA ACOSTA</v>
      </c>
      <c r="F21867" s="5"/>
      <c r="G21867" s="5"/>
    </row>
    <row r="21868" spans="1:7" ht="58.5" customHeight="1" x14ac:dyDescent="0.25">
      <c r="A21868" s="5" t="str">
        <f>"H0037692"</f>
        <v>H0037692</v>
      </c>
      <c r="B21868" s="5" t="str">
        <f t="shared" si="1094"/>
        <v>SILLA GERENTE NIZA MEC. BASCULANTE CON BRAZOS.</v>
      </c>
      <c r="C21868" s="6">
        <v>710000.01</v>
      </c>
      <c r="D21868" s="5" t="s">
        <v>30</v>
      </c>
      <c r="E21868" s="5" t="str">
        <f t="shared" si="1093"/>
        <v>PLANEACION-DORIS ANGARITA ACOSTA</v>
      </c>
      <c r="F21868" s="5"/>
      <c r="G21868" s="5"/>
    </row>
    <row r="21869" spans="1:7" ht="58.5" customHeight="1" x14ac:dyDescent="0.25">
      <c r="A21869" s="5" t="str">
        <f>"H0037693"</f>
        <v>H0037693</v>
      </c>
      <c r="B21869" s="5" t="str">
        <f t="shared" si="1094"/>
        <v>SILLA GERENTE NIZA MEC. BASCULANTE CON BRAZOS.</v>
      </c>
      <c r="C21869" s="6">
        <v>710000.01</v>
      </c>
      <c r="D21869" s="5" t="s">
        <v>30</v>
      </c>
      <c r="E21869" s="5" t="str">
        <f t="shared" si="1093"/>
        <v>PLANEACION-DORIS ANGARITA ACOSTA</v>
      </c>
      <c r="F21869" s="5"/>
      <c r="G21869" s="5"/>
    </row>
    <row r="21870" spans="1:7" ht="58.5" customHeight="1" x14ac:dyDescent="0.25">
      <c r="A21870" s="5" t="str">
        <f>"H0037893"</f>
        <v>H0037893</v>
      </c>
      <c r="B21870" s="5" t="str">
        <f t="shared" si="1094"/>
        <v>SILLA GERENTE NIZA MEC. BASCULANTE CON BRAZOS.</v>
      </c>
      <c r="C21870" s="6">
        <v>710000.01</v>
      </c>
      <c r="D21870" s="5" t="s">
        <v>30</v>
      </c>
      <c r="E21870" s="5" t="str">
        <f t="shared" si="1093"/>
        <v>PLANEACION-DORIS ANGARITA ACOSTA</v>
      </c>
      <c r="F21870" s="5"/>
      <c r="G21870" s="5"/>
    </row>
    <row r="21871" spans="1:7" ht="58.5" customHeight="1" x14ac:dyDescent="0.25">
      <c r="A21871" s="5" t="str">
        <f>"H0037894"</f>
        <v>H0037894</v>
      </c>
      <c r="B21871" s="5" t="str">
        <f t="shared" si="1094"/>
        <v>SILLA GERENTE NIZA MEC. BASCULANTE CON BRAZOS.</v>
      </c>
      <c r="C21871" s="6">
        <v>710000.01</v>
      </c>
      <c r="D21871" s="5" t="s">
        <v>30</v>
      </c>
      <c r="E21871" s="5" t="str">
        <f t="shared" si="1093"/>
        <v>PLANEACION-DORIS ANGARITA ACOSTA</v>
      </c>
      <c r="F21871" s="5"/>
      <c r="G21871" s="5"/>
    </row>
    <row r="21872" spans="1:7" ht="58.5" customHeight="1" x14ac:dyDescent="0.25">
      <c r="A21872" s="5" t="str">
        <f>"H0037895"</f>
        <v>H0037895</v>
      </c>
      <c r="B21872" s="5" t="str">
        <f t="shared" si="1094"/>
        <v>SILLA GERENTE NIZA MEC. BASCULANTE CON BRAZOS.</v>
      </c>
      <c r="C21872" s="6">
        <v>710000.01</v>
      </c>
      <c r="D21872" s="5" t="s">
        <v>30</v>
      </c>
      <c r="E21872" s="5" t="str">
        <f t="shared" si="1093"/>
        <v>PLANEACION-DORIS ANGARITA ACOSTA</v>
      </c>
      <c r="F21872" s="5"/>
      <c r="G21872" s="5"/>
    </row>
    <row r="21873" spans="1:7" ht="58.5" customHeight="1" x14ac:dyDescent="0.25">
      <c r="A21873" s="5" t="str">
        <f>"H0037896"</f>
        <v>H0037896</v>
      </c>
      <c r="B21873" s="5" t="str">
        <f t="shared" si="1094"/>
        <v>SILLA GERENTE NIZA MEC. BASCULANTE CON BRAZOS.</v>
      </c>
      <c r="C21873" s="6">
        <v>710000.01</v>
      </c>
      <c r="D21873" s="5" t="s">
        <v>30</v>
      </c>
      <c r="E21873" s="5" t="str">
        <f t="shared" si="1093"/>
        <v>PLANEACION-DORIS ANGARITA ACOSTA</v>
      </c>
      <c r="F21873" s="5"/>
      <c r="G21873" s="5"/>
    </row>
    <row r="21874" spans="1:7" ht="58.5" customHeight="1" x14ac:dyDescent="0.25">
      <c r="A21874" s="5" t="str">
        <f>"H0037897"</f>
        <v>H0037897</v>
      </c>
      <c r="B21874" s="5" t="str">
        <f t="shared" si="1094"/>
        <v>SILLA GERENTE NIZA MEC. BASCULANTE CON BRAZOS.</v>
      </c>
      <c r="C21874" s="6">
        <v>710000.01</v>
      </c>
      <c r="D21874" s="5" t="s">
        <v>30</v>
      </c>
      <c r="E21874" s="5" t="str">
        <f t="shared" si="1093"/>
        <v>PLANEACION-DORIS ANGARITA ACOSTA</v>
      </c>
      <c r="F21874" s="5"/>
      <c r="G21874" s="5"/>
    </row>
    <row r="21875" spans="1:7" ht="58.5" customHeight="1" x14ac:dyDescent="0.25">
      <c r="A21875" s="5" t="str">
        <f>"H0037898"</f>
        <v>H0037898</v>
      </c>
      <c r="B21875" s="5" t="str">
        <f t="shared" si="1094"/>
        <v>SILLA GERENTE NIZA MEC. BASCULANTE CON BRAZOS.</v>
      </c>
      <c r="C21875" s="6">
        <v>710000.01</v>
      </c>
      <c r="D21875" s="5" t="s">
        <v>30</v>
      </c>
      <c r="E21875" s="5" t="str">
        <f t="shared" si="1093"/>
        <v>PLANEACION-DORIS ANGARITA ACOSTA</v>
      </c>
      <c r="F21875" s="5"/>
      <c r="G21875" s="5"/>
    </row>
    <row r="21876" spans="1:7" ht="58.5" customHeight="1" x14ac:dyDescent="0.25">
      <c r="A21876" s="5" t="str">
        <f>"H0037899"</f>
        <v>H0037899</v>
      </c>
      <c r="B21876" s="5" t="str">
        <f t="shared" si="1094"/>
        <v>SILLA GERENTE NIZA MEC. BASCULANTE CON BRAZOS.</v>
      </c>
      <c r="C21876" s="6">
        <v>710000.01</v>
      </c>
      <c r="D21876" s="5" t="s">
        <v>30</v>
      </c>
      <c r="E21876" s="5" t="str">
        <f t="shared" si="1093"/>
        <v>PLANEACION-DORIS ANGARITA ACOSTA</v>
      </c>
      <c r="F21876" s="5"/>
      <c r="G21876" s="5"/>
    </row>
    <row r="21877" spans="1:7" ht="58.5" customHeight="1" x14ac:dyDescent="0.25">
      <c r="A21877" s="5" t="str">
        <f>"H0037900"</f>
        <v>H0037900</v>
      </c>
      <c r="B21877" s="5" t="str">
        <f t="shared" si="1094"/>
        <v>SILLA GERENTE NIZA MEC. BASCULANTE CON BRAZOS.</v>
      </c>
      <c r="C21877" s="6">
        <v>710000.01</v>
      </c>
      <c r="D21877" s="5" t="s">
        <v>30</v>
      </c>
      <c r="E21877" s="5" t="str">
        <f t="shared" si="1093"/>
        <v>PLANEACION-DORIS ANGARITA ACOSTA</v>
      </c>
      <c r="F21877" s="5"/>
      <c r="G21877" s="5"/>
    </row>
    <row r="21878" spans="1:7" ht="58.5" customHeight="1" x14ac:dyDescent="0.25">
      <c r="A21878" s="5" t="str">
        <f>"B0004052"</f>
        <v>B0004052</v>
      </c>
      <c r="B21878" s="5" t="str">
        <f>"LICENCIA OFFICE HOME AND BUSINEES"</f>
        <v>LICENCIA OFFICE HOME AND BUSINEES</v>
      </c>
      <c r="C21878" s="6">
        <v>440800</v>
      </c>
      <c r="D21878" s="5" t="s">
        <v>1</v>
      </c>
      <c r="E21878" s="5" t="str">
        <f t="shared" ref="E21878:E21941" si="1095">"ACTISALUD-ESTADISTICA"</f>
        <v>ACTISALUD-ESTADISTICA</v>
      </c>
      <c r="F21878" s="5" t="str">
        <f>"Descripcion: LICENCIA OFFICE HOME AND BUSIMESS 2013 Estado: Bueno Placa anterior: 000030617 Material:  Color:  Referencia:  Observacion:  Placa padre: H0003795Tipo adquisicion: Entidad"</f>
        <v>Descripcion: LICENCIA OFFICE HOME AND BUSIMESS 2013 Estado: Bueno Placa anterior: 000030617 Material:  Color:  Referencia:  Observacion:  Placa padre: H0003795Tipo adquisicion: Entidad</v>
      </c>
      <c r="G21878" s="5"/>
    </row>
    <row r="21879" spans="1:7" ht="58.5" customHeight="1" x14ac:dyDescent="0.25">
      <c r="A21879" s="5" t="str">
        <f>"B0004053"</f>
        <v>B0004053</v>
      </c>
      <c r="B21879" s="5" t="str">
        <f>"LICENCIA OFFICE HOME AND BUSINEES"</f>
        <v>LICENCIA OFFICE HOME AND BUSINEES</v>
      </c>
      <c r="C21879" s="6">
        <v>440800</v>
      </c>
      <c r="D21879" s="5" t="s">
        <v>2</v>
      </c>
      <c r="E21879" s="5" t="str">
        <f t="shared" si="1095"/>
        <v>ACTISALUD-ESTADISTICA</v>
      </c>
      <c r="F21879" s="5" t="str">
        <f>"Descripcion: LICENCIA OFFICE HOME AND BUSIMESS 2013 Estado: Bueno Placa anterior: 000030819 Material:  Color:  Referencia:  Observacion:  Placa padre: H0003808Tipo adquisicion: Entidad"</f>
        <v>Descripcion: LICENCIA OFFICE HOME AND BUSIMESS 2013 Estado: Bueno Placa anterior: 000030819 Material:  Color:  Referencia:  Observacion:  Placa padre: H0003808Tipo adquisicion: Entidad</v>
      </c>
      <c r="G21879" s="5"/>
    </row>
    <row r="21880" spans="1:7" ht="58.5" customHeight="1" x14ac:dyDescent="0.25">
      <c r="A21880" s="5" t="str">
        <f>"B0004517"</f>
        <v>B0004517</v>
      </c>
      <c r="B21880" s="5" t="str">
        <f>"LICENCIA VISUAL FOX PRO"</f>
        <v>LICENCIA VISUAL FOX PRO</v>
      </c>
      <c r="C21880" s="6">
        <v>1863825</v>
      </c>
      <c r="D21880" s="5"/>
      <c r="E21880" s="5" t="str">
        <f t="shared" si="1095"/>
        <v>ACTISALUD-ESTADISTICA</v>
      </c>
      <c r="F21880" s="5" t="str">
        <f>"Descripcion: LICENCIA VISUAL FOX PRO VERSION 7.0 Estado: Bueno Placa anterior: 000021776 Material:  Color:  Referencia:  Observacion:  Placa padre: Tipo adquisicion: Entidad"</f>
        <v>Descripcion: LICENCIA VISUAL FOX PRO VERSION 7.0 Estado: Bueno Placa anterior: 000021776 Material:  Color:  Referencia:  Observacion:  Placa padre: Tipo adquisicion: Entidad</v>
      </c>
      <c r="G21880" s="5"/>
    </row>
    <row r="21881" spans="1:7" ht="58.5" customHeight="1" x14ac:dyDescent="0.25">
      <c r="A21881" s="5" t="str">
        <f>"B0004522"</f>
        <v>B0004522</v>
      </c>
      <c r="B21881" s="5" t="str">
        <f>"CAL MICROSOT SMALL BUSSINES SE"</f>
        <v>CAL MICROSOT SMALL BUSSINES SE</v>
      </c>
      <c r="C21881" s="6">
        <v>2494000</v>
      </c>
      <c r="D21881" s="5"/>
      <c r="E21881" s="5" t="str">
        <f t="shared" si="1095"/>
        <v>ACTISALUD-ESTADISTICA</v>
      </c>
      <c r="F21881" s="5" t="str">
        <f>"Descripcion: LICENCIA MOLP DE MICROSOFT-WIN SBS SBS CAL SPANISH OLP 5 NL DEVICE CAL Estado: Bueno Placa anterior: 000025613 Material:  Color:  Referencia:  Observacion:  Placa padre: Tipo adquisicion: Entidad"</f>
        <v>Descripcion: LICENCIA MOLP DE MICROSOFT-WIN SBS SBS CAL SPANISH OLP 5 NL DEVICE CAL Estado: Bueno Placa anterior: 000025613 Material:  Color:  Referencia:  Observacion:  Placa padre: Tipo adquisicion: Entidad</v>
      </c>
      <c r="G21881" s="5"/>
    </row>
    <row r="21882" spans="1:7" ht="58.5" customHeight="1" x14ac:dyDescent="0.25">
      <c r="A21882" s="5" t="str">
        <f>"B0004548"</f>
        <v>B0004548</v>
      </c>
      <c r="B21882" s="5" t="str">
        <f>"LICENCIA OFFICE HOME AND BUSINEES"</f>
        <v>LICENCIA OFFICE HOME AND BUSINEES</v>
      </c>
      <c r="C21882" s="6">
        <v>440800</v>
      </c>
      <c r="D21882" s="5" t="s">
        <v>1</v>
      </c>
      <c r="E21882" s="5" t="str">
        <f t="shared" si="1095"/>
        <v>ACTISALUD-ESTADISTICA</v>
      </c>
      <c r="F21882" s="5" t="str">
        <f>"Descripcion: LICENCIA OFFICE HOME AND BUSIMESS 2013 Estado: Bueno Placa anterior: 000030606 Material:  Color:  Referencia:  Observacion:  Placa padre: Tipo adquisicion: Entidad"</f>
        <v>Descripcion: LICENCIA OFFICE HOME AND BUSIMESS 2013 Estado: Bueno Placa anterior: 000030606 Material:  Color:  Referencia:  Observacion:  Placa padre: Tipo adquisicion: Entidad</v>
      </c>
      <c r="G21882" s="5"/>
    </row>
    <row r="21883" spans="1:7" ht="58.5" customHeight="1" x14ac:dyDescent="0.25">
      <c r="A21883" s="5" t="str">
        <f>"H0001476"</f>
        <v>H0001476</v>
      </c>
      <c r="B21883" s="5" t="str">
        <f>"COMPUTADOR TODO EN UNO"</f>
        <v>COMPUTADOR TODO EN UNO</v>
      </c>
      <c r="C21883" s="6">
        <v>1572000</v>
      </c>
      <c r="D21883" s="5" t="s">
        <v>32</v>
      </c>
      <c r="E21883" s="5" t="str">
        <f t="shared" si="1095"/>
        <v>ACTISALUD-ESTADISTICA</v>
      </c>
      <c r="F21883" s="5" t="str">
        <f>"Descripcion: COMPUTADOR TODO EN UNO PROCESADOR CORE 3.0 PANTALLA 21  Estado: Bueno Placa anterior: 000030580 Material:  Color: NEGRO Referencia:  Observacion:  Placa anterior:, Placa nueva=H0001478, Descripcion:MOUSE OPTICO, Serial:672652-001, Marca:HP, M"&amp; "odelo:, Material:, Color:NEGRO,   Referencia:, Placa anterior:, Placa nueva=H0001477, Descripcion:TECLADO, Serial:BDMHE0CVB5L1A5, Marca:HP, Modelo:, Material:, Color:NEGRO,   Referencia: Placa padre: Tipo adquisicion: Entidad"</f>
        <v>Descripcion: COMPUTADOR TODO EN UNO PROCESADOR CORE 3.0 PANTALLA 21  Estado: Bueno Placa anterior: 000030580 Material:  Color: NEGRO Referencia:  Observacion:  Placa anterior:, Placa nueva=H0001478, Descripcion:MOUSE OPTICO, Serial:672652-001, Marca:HP, Modelo:, Material:, Color:NEGRO,   Referencia:, Placa anterior:, Placa nueva=H0001477, Descripcion:TECLADO, Serial:BDMHE0CVB5L1A5, Marca:HP, Modelo:, Material:, Color:NEGRO,   Referencia: Placa padre: Tipo adquisicion: Entidad</v>
      </c>
      <c r="G21883" s="5" t="str">
        <f>"COMPAQ PRO 4300"</f>
        <v>COMPAQ PRO 4300</v>
      </c>
    </row>
    <row r="21884" spans="1:7" ht="58.5" customHeight="1" x14ac:dyDescent="0.25">
      <c r="A21884" s="5" t="str">
        <f>"H0003001"</f>
        <v>H0003001</v>
      </c>
      <c r="B21884" s="5" t="str">
        <f>"MESA DE NOCHE"</f>
        <v>MESA DE NOCHE</v>
      </c>
      <c r="C21884" s="6">
        <v>327586</v>
      </c>
      <c r="D21884" s="5"/>
      <c r="E21884" s="5" t="str">
        <f t="shared" si="1095"/>
        <v>ACTISALUD-ESTADISTICA</v>
      </c>
      <c r="F21884" s="5" t="str">
        <f>"Descripcion: . Estado: Regular Placa anterior: 000033036 Material: ACERO INOXIDABLE Color:  Referencia:  Observacion:  Placa padre: Tipo adquisicion: Entidad"</f>
        <v>Descripcion: . Estado: Regular Placa anterior: 000033036 Material: ACERO INOXIDABLE Color:  Referencia:  Observacion:  Placa padre: Tipo adquisicion: Entidad</v>
      </c>
      <c r="G21884" s="5"/>
    </row>
    <row r="21885" spans="1:7" ht="58.5" customHeight="1" x14ac:dyDescent="0.25">
      <c r="A21885" s="5" t="str">
        <f>"H0003003"</f>
        <v>H0003003</v>
      </c>
      <c r="B21885" s="5" t="str">
        <f>"ESTANTE METALICO 6 ENTREPAÑOS"</f>
        <v>ESTANTE METALICO 6 ENTREPAÑOS</v>
      </c>
      <c r="C21885" s="6">
        <v>31512.47</v>
      </c>
      <c r="D21885" s="5"/>
      <c r="E21885" s="5" t="str">
        <f t="shared" si="1095"/>
        <v>ACTISALUD-ESTADISTICA</v>
      </c>
      <c r="F21885" s="5" t="str">
        <f>"Descripcion: ESTANTE METALICO 6 ENTREPAÑOS  Estado: Bueno Placa anterior: 000026664 Material: METALICO Color: GRIS OSCURO Referencia:  Observacion:  Placa padre: Tipo adquisicion: Entidad"</f>
        <v>Descripcion: ESTANTE METALICO 6 ENTREPAÑOS  Estado: Bueno Placa anterior: 000026664 Material: METALICO Color: GRIS OSCURO Referencia:  Observacion:  Placa padre: Tipo adquisicion: Entidad</v>
      </c>
      <c r="G21885" s="5"/>
    </row>
    <row r="21886" spans="1:7" ht="58.5" customHeight="1" x14ac:dyDescent="0.25">
      <c r="A21886" s="5" t="str">
        <f>"H0003008"</f>
        <v>H0003008</v>
      </c>
      <c r="B21886" s="5" t="str">
        <f>"MESA METALICA PARA COMPUTADOR"</f>
        <v>MESA METALICA PARA COMPUTADOR</v>
      </c>
      <c r="C21886" s="6">
        <v>194717.6</v>
      </c>
      <c r="D21886" s="5"/>
      <c r="E21886" s="5" t="str">
        <f t="shared" si="1095"/>
        <v>ACTISALUD-ESTADISTICA</v>
      </c>
      <c r="F21886" s="5" t="str">
        <f>"Descripcion: SUPERFICIE EN FORMICATIPO HBASE METALICA76X185X83 Estado: Bueno Placa anterior: 000001488 Material: METALICO Color: GRIS Referencia:  Observacion:  Placa padre: Tipo adquisicion: Entidad"</f>
        <v>Descripcion: SUPERFICIE EN FORMICATIPO HBASE METALICA76X185X83 Estado: Bueno Placa anterior: 000001488 Material: METALICO Color: GRIS Referencia:  Observacion:  Placa padre: Tipo adquisicion: Entidad</v>
      </c>
      <c r="G21886" s="5"/>
    </row>
    <row r="21887" spans="1:7" ht="58.5" customHeight="1" x14ac:dyDescent="0.25">
      <c r="A21887" s="5" t="str">
        <f>"H0003009"</f>
        <v>H0003009</v>
      </c>
      <c r="B21887" s="5" t="str">
        <f>"ESTANTE METALICO 7 ENTREPAÑOS"</f>
        <v>ESTANTE METALICO 7 ENTREPAÑOS</v>
      </c>
      <c r="C21887" s="6">
        <v>8840.07</v>
      </c>
      <c r="D21887" s="5"/>
      <c r="E21887" s="5" t="str">
        <f t="shared" si="1095"/>
        <v>ACTISALUD-ESTADISTICA</v>
      </c>
      <c r="F21887" s="5" t="str">
        <f>"Descripcion: CADA ENTREPAÑO CON 3 DIVISIONES200X95X30 Estado: Regular Placa anterior: 000002333 Material: METALICO Color: GRIS OSCURO Referencia:  Observacion:  Placa padre: Tipo adquisicion: Entidad"</f>
        <v>Descripcion: CADA ENTREPAÑO CON 3 DIVISIONES200X95X30 Estado: Regular Placa anterior: 000002333 Material: METALICO Color: GRIS OSCURO Referencia:  Observacion:  Placa padre: Tipo adquisicion: Entidad</v>
      </c>
      <c r="G21887" s="5"/>
    </row>
    <row r="21888" spans="1:7" ht="58.5" customHeight="1" x14ac:dyDescent="0.25">
      <c r="A21888" s="5" t="str">
        <f>"H0003016"</f>
        <v>H0003016</v>
      </c>
      <c r="B21888" s="5" t="str">
        <f>"SILLA INTERLOCUTORA (FIJA) SIN BRAZOS"</f>
        <v>SILLA INTERLOCUTORA (FIJA) SIN BRAZOS</v>
      </c>
      <c r="C21888" s="6">
        <v>6678.36</v>
      </c>
      <c r="D21888" s="5"/>
      <c r="E21888" s="5" t="str">
        <f t="shared" si="1095"/>
        <v>ACTISALUD-ESTADISTICA</v>
      </c>
      <c r="F21888" s="5" t="str">
        <f>"Descripcion: TAPIZADA EN CUERO COLOR GRIS Estado: Bueno Placa anterior: 000027607 Material: METALICO Color: GRIS Referencia:  Observacion:  Placa padre: Tipo adquisicion: Entidad"</f>
        <v>Descripcion: TAPIZADA EN CUERO COLOR GRIS Estado: Bueno Placa anterior: 000027607 Material: METALICO Color: GRIS Referencia:  Observacion:  Placa padre: Tipo adquisicion: Entidad</v>
      </c>
      <c r="G21888" s="5"/>
    </row>
    <row r="21889" spans="1:7" ht="58.5" customHeight="1" x14ac:dyDescent="0.25">
      <c r="A21889" s="5" t="str">
        <f>"H0003020"</f>
        <v>H0003020</v>
      </c>
      <c r="B21889" s="5" t="str">
        <f>"MESA (CARRO) DE CURACIONES"</f>
        <v>MESA (CARRO) DE CURACIONES</v>
      </c>
      <c r="C21889" s="6">
        <v>5100</v>
      </c>
      <c r="D21889" s="5"/>
      <c r="E21889" s="5" t="str">
        <f t="shared" si="1095"/>
        <v>ACTISALUD-ESTADISTICA</v>
      </c>
      <c r="F21889" s="5" t="str">
        <f>"Descripcion: . Estado: Regular Placa anterior: 000001606 Material: ACERO INOXIDABLE Color: GRIS Referencia:  Observacion:  Placa padre: Tipo adquisicion: Entidad"</f>
        <v>Descripcion: . Estado: Regular Placa anterior: 000001606 Material: ACERO INOXIDABLE Color: GRIS Referencia:  Observacion:  Placa padre: Tipo adquisicion: Entidad</v>
      </c>
      <c r="G21889" s="5"/>
    </row>
    <row r="21890" spans="1:7" ht="58.5" customHeight="1" x14ac:dyDescent="0.25">
      <c r="A21890" s="5" t="str">
        <f>"H0003032"</f>
        <v>H0003032</v>
      </c>
      <c r="B21890" s="5" t="str">
        <f>"SILLA ERGONOMICA TIPO SECRETARIA SIN BRAZOS"</f>
        <v>SILLA ERGONOMICA TIPO SECRETARIA SIN BRAZOS</v>
      </c>
      <c r="C21890" s="6">
        <v>121400</v>
      </c>
      <c r="D21890" s="5"/>
      <c r="E21890" s="5" t="str">
        <f t="shared" si="1095"/>
        <v>ACTISALUD-ESTADISTICA</v>
      </c>
      <c r="F21890" s="5" t="str">
        <f>"Descripcion: TAPIZADA EN PAÑO COLOR NEGRO Estado: Malo Placa anterior: 000001704 Material: METALICO Color: NEGRO Referencia:  Observacion:  Placa padre: Tipo adquisicion: Entidad"</f>
        <v>Descripcion: TAPIZADA EN PAÑO COLOR NEGRO Estado: Malo Placa anterior: 000001704 Material: METALICO Color: NEGRO Referencia:  Observacion:  Placa padre: Tipo adquisicion: Entidad</v>
      </c>
      <c r="G21890" s="5"/>
    </row>
    <row r="21891" spans="1:7" ht="58.5" customHeight="1" x14ac:dyDescent="0.25">
      <c r="A21891" s="5" t="str">
        <f>"H0003040"</f>
        <v>H0003040</v>
      </c>
      <c r="B21891" s="5" t="str">
        <f t="shared" ref="B21891:B21903" si="1096">"ESTANTE METALICO 7 ENTREPAÑOS"</f>
        <v>ESTANTE METALICO 7 ENTREPAÑOS</v>
      </c>
      <c r="C21891" s="6">
        <v>29533.23</v>
      </c>
      <c r="D21891" s="5"/>
      <c r="E21891" s="5" t="str">
        <f t="shared" si="1095"/>
        <v>ACTISALUD-ESTADISTICA</v>
      </c>
      <c r="F21891" s="5" t="str">
        <f>"Descripcion:  200X90X30 Estado: Bueno Placa anterior: 000001903 Material: METALICO Color: GRIS Referencia:  Observacion:  Placa padre: Tipo adquisicion: Entidad"</f>
        <v>Descripcion:  200X90X30 Estado: Bueno Placa anterior: 000001903 Material: METALICO Color: GRIS Referencia:  Observacion:  Placa padre: Tipo adquisicion: Entidad</v>
      </c>
      <c r="G21891" s="5"/>
    </row>
    <row r="21892" spans="1:7" ht="58.5" customHeight="1" x14ac:dyDescent="0.25">
      <c r="A21892" s="5" t="str">
        <f>"H0003041"</f>
        <v>H0003041</v>
      </c>
      <c r="B21892" s="5" t="str">
        <f t="shared" si="1096"/>
        <v>ESTANTE METALICO 7 ENTREPAÑOS</v>
      </c>
      <c r="C21892" s="6">
        <v>29533.23</v>
      </c>
      <c r="D21892" s="5"/>
      <c r="E21892" s="5" t="str">
        <f t="shared" si="1095"/>
        <v>ACTISALUD-ESTADISTICA</v>
      </c>
      <c r="F21892" s="5" t="str">
        <f>"Descripcion: 200X90X30 Estado: Bueno Placa anterior: 000001904 Material: METALICO Color: GRIS Referencia:  Observacion:  Placa padre: Tipo adquisicion: Entidad"</f>
        <v>Descripcion: 200X90X30 Estado: Bueno Placa anterior: 000001904 Material: METALICO Color: GRIS Referencia:  Observacion:  Placa padre: Tipo adquisicion: Entidad</v>
      </c>
      <c r="G21892" s="5"/>
    </row>
    <row r="21893" spans="1:7" ht="58.5" customHeight="1" x14ac:dyDescent="0.25">
      <c r="A21893" s="5" t="str">
        <f>"H0003042"</f>
        <v>H0003042</v>
      </c>
      <c r="B21893" s="5" t="str">
        <f t="shared" si="1096"/>
        <v>ESTANTE METALICO 7 ENTREPAÑOS</v>
      </c>
      <c r="C21893" s="6">
        <v>29533.23</v>
      </c>
      <c r="D21893" s="5"/>
      <c r="E21893" s="5" t="str">
        <f t="shared" si="1095"/>
        <v>ACTISALUD-ESTADISTICA</v>
      </c>
      <c r="F21893" s="5" t="str">
        <f>"Descripcion: 200X90X30 Estado: Bueno Placa anterior: 000001905 Material: METALICO Color: GRIS Referencia:  Observacion:  Placa padre: Tipo adquisicion: Entidad"</f>
        <v>Descripcion: 200X90X30 Estado: Bueno Placa anterior: 000001905 Material: METALICO Color: GRIS Referencia:  Observacion:  Placa padre: Tipo adquisicion: Entidad</v>
      </c>
      <c r="G21893" s="5"/>
    </row>
    <row r="21894" spans="1:7" ht="58.5" customHeight="1" x14ac:dyDescent="0.25">
      <c r="A21894" s="5" t="str">
        <f>"H0003043"</f>
        <v>H0003043</v>
      </c>
      <c r="B21894" s="5" t="str">
        <f t="shared" si="1096"/>
        <v>ESTANTE METALICO 7 ENTREPAÑOS</v>
      </c>
      <c r="C21894" s="6">
        <v>29533.23</v>
      </c>
      <c r="D21894" s="5"/>
      <c r="E21894" s="5" t="str">
        <f t="shared" si="1095"/>
        <v>ACTISALUD-ESTADISTICA</v>
      </c>
      <c r="F21894" s="5" t="str">
        <f>"Descripcion: 200X90X30 Estado: Bueno Placa anterior: 000001906 Material: METALICO Color: GRIS Referencia:  Observacion:  Placa padre: Tipo adquisicion: Entidad"</f>
        <v>Descripcion: 200X90X30 Estado: Bueno Placa anterior: 000001906 Material: METALICO Color: GRIS Referencia:  Observacion:  Placa padre: Tipo adquisicion: Entidad</v>
      </c>
      <c r="G21894" s="5"/>
    </row>
    <row r="21895" spans="1:7" ht="58.5" customHeight="1" x14ac:dyDescent="0.25">
      <c r="A21895" s="5" t="str">
        <f>"H0003044"</f>
        <v>H0003044</v>
      </c>
      <c r="B21895" s="5" t="str">
        <f t="shared" si="1096"/>
        <v>ESTANTE METALICO 7 ENTREPAÑOS</v>
      </c>
      <c r="C21895" s="6">
        <v>29533.23</v>
      </c>
      <c r="D21895" s="5"/>
      <c r="E21895" s="5" t="str">
        <f t="shared" si="1095"/>
        <v>ACTISALUD-ESTADISTICA</v>
      </c>
      <c r="F21895" s="5" t="str">
        <f>"Descripcion: 200X90X30 Estado: Bueno Placa anterior: 000001907 Material: METALICO Color: GRIS Referencia:  Observacion:  Placa padre: Tipo adquisicion: Entidad"</f>
        <v>Descripcion: 200X90X30 Estado: Bueno Placa anterior: 000001907 Material: METALICO Color: GRIS Referencia:  Observacion:  Placa padre: Tipo adquisicion: Entidad</v>
      </c>
      <c r="G21895" s="5"/>
    </row>
    <row r="21896" spans="1:7" ht="58.5" customHeight="1" x14ac:dyDescent="0.25">
      <c r="A21896" s="5" t="str">
        <f>"H0003045"</f>
        <v>H0003045</v>
      </c>
      <c r="B21896" s="5" t="str">
        <f t="shared" si="1096"/>
        <v>ESTANTE METALICO 7 ENTREPAÑOS</v>
      </c>
      <c r="C21896" s="6">
        <v>29533.23</v>
      </c>
      <c r="D21896" s="5"/>
      <c r="E21896" s="5" t="str">
        <f t="shared" si="1095"/>
        <v>ACTISALUD-ESTADISTICA</v>
      </c>
      <c r="F21896" s="5" t="str">
        <f>"Descripcion: 200X90X30 Estado: Bueno Placa anterior: 000001908 Material: METALICO Color: GRIS Referencia:  Observacion:  Placa padre: Tipo adquisicion: Entidad"</f>
        <v>Descripcion: 200X90X30 Estado: Bueno Placa anterior: 000001908 Material: METALICO Color: GRIS Referencia:  Observacion:  Placa padre: Tipo adquisicion: Entidad</v>
      </c>
      <c r="G21896" s="5"/>
    </row>
    <row r="21897" spans="1:7" ht="58.5" customHeight="1" x14ac:dyDescent="0.25">
      <c r="A21897" s="5" t="str">
        <f>"H0003046"</f>
        <v>H0003046</v>
      </c>
      <c r="B21897" s="5" t="str">
        <f t="shared" si="1096"/>
        <v>ESTANTE METALICO 7 ENTREPAÑOS</v>
      </c>
      <c r="C21897" s="6">
        <v>29533.23</v>
      </c>
      <c r="D21897" s="5"/>
      <c r="E21897" s="5" t="str">
        <f t="shared" si="1095"/>
        <v>ACTISALUD-ESTADISTICA</v>
      </c>
      <c r="F21897" s="5" t="str">
        <f>"Descripcion: 200x90x30 Estado: Bueno Placa anterior: 000001685 Material: METALICO Color: GRIS Referencia:  Observacion:  Placa padre: Tipo adquisicion: Entidad"</f>
        <v>Descripcion: 200x90x30 Estado: Bueno Placa anterior: 000001685 Material: METALICO Color: GRIS Referencia:  Observacion:  Placa padre: Tipo adquisicion: Entidad</v>
      </c>
      <c r="G21897" s="5"/>
    </row>
    <row r="21898" spans="1:7" ht="58.5" customHeight="1" x14ac:dyDescent="0.25">
      <c r="A21898" s="5" t="str">
        <f>"H0003047"</f>
        <v>H0003047</v>
      </c>
      <c r="B21898" s="5" t="str">
        <f t="shared" si="1096"/>
        <v>ESTANTE METALICO 7 ENTREPAÑOS</v>
      </c>
      <c r="C21898" s="6">
        <v>29533.23</v>
      </c>
      <c r="D21898" s="5"/>
      <c r="E21898" s="5" t="str">
        <f t="shared" si="1095"/>
        <v>ACTISALUD-ESTADISTICA</v>
      </c>
      <c r="F21898" s="5" t="str">
        <f>"Descripcion: 200x90x30 Estado: Bueno Placa anterior: 000001910 Material: METALICO Color: GRIS Referencia:  Observacion:  Placa padre: Tipo adquisicion: Entidad"</f>
        <v>Descripcion: 200x90x30 Estado: Bueno Placa anterior: 000001910 Material: METALICO Color: GRIS Referencia:  Observacion:  Placa padre: Tipo adquisicion: Entidad</v>
      </c>
      <c r="G21898" s="5"/>
    </row>
    <row r="21899" spans="1:7" ht="58.5" customHeight="1" x14ac:dyDescent="0.25">
      <c r="A21899" s="5" t="str">
        <f>"H0003048"</f>
        <v>H0003048</v>
      </c>
      <c r="B21899" s="5" t="str">
        <f t="shared" si="1096"/>
        <v>ESTANTE METALICO 7 ENTREPAÑOS</v>
      </c>
      <c r="C21899" s="6">
        <v>29533.23</v>
      </c>
      <c r="D21899" s="5"/>
      <c r="E21899" s="5" t="str">
        <f t="shared" si="1095"/>
        <v>ACTISALUD-ESTADISTICA</v>
      </c>
      <c r="F21899" s="5" t="str">
        <f>"Descripcion: 200x90x30 Estado: Bueno Placa anterior: 000001911 Material: METALICO Color: GRIS Referencia:  Observacion:  Placa padre: Tipo adquisicion: Entidad"</f>
        <v>Descripcion: 200x90x30 Estado: Bueno Placa anterior: 000001911 Material: METALICO Color: GRIS Referencia:  Observacion:  Placa padre: Tipo adquisicion: Entidad</v>
      </c>
      <c r="G21899" s="5"/>
    </row>
    <row r="21900" spans="1:7" ht="58.5" customHeight="1" x14ac:dyDescent="0.25">
      <c r="A21900" s="5" t="str">
        <f>"H0003049"</f>
        <v>H0003049</v>
      </c>
      <c r="B21900" s="5" t="str">
        <f t="shared" si="1096"/>
        <v>ESTANTE METALICO 7 ENTREPAÑOS</v>
      </c>
      <c r="C21900" s="6">
        <v>29533.23</v>
      </c>
      <c r="D21900" s="5"/>
      <c r="E21900" s="5" t="str">
        <f t="shared" si="1095"/>
        <v>ACTISALUD-ESTADISTICA</v>
      </c>
      <c r="F21900" s="5" t="str">
        <f>"Descripcion: 200x90x30 Estado: Bueno Placa anterior: 000001912 Material: METALICO Color: GRIS Referencia:  Observacion:  Placa padre: Tipo adquisicion: Entidad"</f>
        <v>Descripcion: 200x90x30 Estado: Bueno Placa anterior: 000001912 Material: METALICO Color: GRIS Referencia:  Observacion:  Placa padre: Tipo adquisicion: Entidad</v>
      </c>
      <c r="G21900" s="5"/>
    </row>
    <row r="21901" spans="1:7" ht="58.5" customHeight="1" x14ac:dyDescent="0.25">
      <c r="A21901" s="5" t="str">
        <f>"H0003050"</f>
        <v>H0003050</v>
      </c>
      <c r="B21901" s="5" t="str">
        <f t="shared" si="1096"/>
        <v>ESTANTE METALICO 7 ENTREPAÑOS</v>
      </c>
      <c r="C21901" s="6">
        <v>29533.23</v>
      </c>
      <c r="D21901" s="5"/>
      <c r="E21901" s="5" t="str">
        <f t="shared" si="1095"/>
        <v>ACTISALUD-ESTADISTICA</v>
      </c>
      <c r="F21901" s="5" t="str">
        <f>"Descripcion: 200x90x30 Estado: Bueno Placa anterior: 000001913 Material: METALICO Color: GRIS Referencia:  Observacion:  Placa padre: Tipo adquisicion: Entidad"</f>
        <v>Descripcion: 200x90x30 Estado: Bueno Placa anterior: 000001913 Material: METALICO Color: GRIS Referencia:  Observacion:  Placa padre: Tipo adquisicion: Entidad</v>
      </c>
      <c r="G21901" s="5"/>
    </row>
    <row r="21902" spans="1:7" ht="58.5" customHeight="1" x14ac:dyDescent="0.25">
      <c r="A21902" s="5" t="str">
        <f>"H0003051"</f>
        <v>H0003051</v>
      </c>
      <c r="B21902" s="5" t="str">
        <f t="shared" si="1096"/>
        <v>ESTANTE METALICO 7 ENTREPAÑOS</v>
      </c>
      <c r="C21902" s="6">
        <v>29533.23</v>
      </c>
      <c r="D21902" s="5"/>
      <c r="E21902" s="5" t="str">
        <f t="shared" si="1095"/>
        <v>ACTISALUD-ESTADISTICA</v>
      </c>
      <c r="F21902" s="5" t="str">
        <f>"Descripcion: 200x90x30 Estado: Bueno Placa anterior: 000001914 Material: METALICO  Color: GRIS Referencia:  Observacion:  Placa padre: Tipo adquisicion: Entidad"</f>
        <v>Descripcion: 200x90x30 Estado: Bueno Placa anterior: 000001914 Material: METALICO  Color: GRIS Referencia:  Observacion:  Placa padre: Tipo adquisicion: Entidad</v>
      </c>
      <c r="G21902" s="5"/>
    </row>
    <row r="21903" spans="1:7" ht="58.5" customHeight="1" x14ac:dyDescent="0.25">
      <c r="A21903" s="5" t="str">
        <f>"H0003052"</f>
        <v>H0003052</v>
      </c>
      <c r="B21903" s="5" t="str">
        <f t="shared" si="1096"/>
        <v>ESTANTE METALICO 7 ENTREPAÑOS</v>
      </c>
      <c r="C21903" s="6">
        <v>29533.23</v>
      </c>
      <c r="D21903" s="5"/>
      <c r="E21903" s="5" t="str">
        <f t="shared" si="1095"/>
        <v>ACTISALUD-ESTADISTICA</v>
      </c>
      <c r="F21903" s="5" t="str">
        <f>"Descripcion: 200x90x30 Estado: Bueno Placa anterior: 000001683 Material: METALICO Color: GRIS Referencia:  Observacion:  Placa padre: Tipo adquisicion: Entidad"</f>
        <v>Descripcion: 200x90x30 Estado: Bueno Placa anterior: 000001683 Material: METALICO Color: GRIS Referencia:  Observacion:  Placa padre: Tipo adquisicion: Entidad</v>
      </c>
      <c r="G21903" s="5"/>
    </row>
    <row r="21904" spans="1:7" ht="58.5" customHeight="1" x14ac:dyDescent="0.25">
      <c r="A21904" s="5" t="str">
        <f>"H0003053"</f>
        <v>H0003053</v>
      </c>
      <c r="B21904" s="5" t="str">
        <f>"ESCALERILLA DE 2 PASOS"</f>
        <v>ESCALERILLA DE 2 PASOS</v>
      </c>
      <c r="C21904" s="6">
        <v>8086.23</v>
      </c>
      <c r="D21904" s="5"/>
      <c r="E21904" s="5" t="str">
        <f t="shared" si="1095"/>
        <v>ACTISALUD-ESTADISTICA</v>
      </c>
      <c r="F21904" s="5" t="str">
        <f>"Descripcion: PASOS DE PLASTICO COLOR BLANCO Estado: Bueno Placa anterior: 000027606 Material: METALICO Color: BLANCO Referencia:  Observacion:  Placa padre: Tipo adquisicion: Entidad"</f>
        <v>Descripcion: PASOS DE PLASTICO COLOR BLANCO Estado: Bueno Placa anterior: 000027606 Material: METALICO Color: BLANCO Referencia:  Observacion:  Placa padre: Tipo adquisicion: Entidad</v>
      </c>
      <c r="G21904" s="5"/>
    </row>
    <row r="21905" spans="1:7" ht="58.5" customHeight="1" x14ac:dyDescent="0.25">
      <c r="A21905" s="5" t="str">
        <f>"H0003055"</f>
        <v>H0003055</v>
      </c>
      <c r="B21905" s="5" t="str">
        <f t="shared" ref="B21905:B21943" si="1097">"ESTANTE METALICO 7 ENTREPAÑOS"</f>
        <v>ESTANTE METALICO 7 ENTREPAÑOS</v>
      </c>
      <c r="C21905" s="6">
        <v>29533.23</v>
      </c>
      <c r="D21905" s="5"/>
      <c r="E21905" s="5" t="str">
        <f t="shared" si="1095"/>
        <v>ACTISALUD-ESTADISTICA</v>
      </c>
      <c r="F21905" s="5" t="str">
        <f>"Descripcion: 200x90x30 Estado: Bueno Placa anterior: 000001919 Material: METALICO Color: GRIS Referencia:  Observacion:  Placa padre: Tipo adquisicion: Entidad"</f>
        <v>Descripcion: 200x90x30 Estado: Bueno Placa anterior: 000001919 Material: METALICO Color: GRIS Referencia:  Observacion:  Placa padre: Tipo adquisicion: Entidad</v>
      </c>
      <c r="G21905" s="5"/>
    </row>
    <row r="21906" spans="1:7" ht="58.5" customHeight="1" x14ac:dyDescent="0.25">
      <c r="A21906" s="5" t="str">
        <f>"H0003056"</f>
        <v>H0003056</v>
      </c>
      <c r="B21906" s="5" t="str">
        <f t="shared" si="1097"/>
        <v>ESTANTE METALICO 7 ENTREPAÑOS</v>
      </c>
      <c r="C21906" s="6">
        <v>29533.23</v>
      </c>
      <c r="D21906" s="5"/>
      <c r="E21906" s="5" t="str">
        <f t="shared" si="1095"/>
        <v>ACTISALUD-ESTADISTICA</v>
      </c>
      <c r="F21906" s="5" t="str">
        <f>"Descripcion: 200x90x30 Estado: Bueno Placa anterior: 000001918 Material: METALICO Color: GRIS Referencia:  Observacion:  Placa padre: Tipo adquisicion: Entidad"</f>
        <v>Descripcion: 200x90x30 Estado: Bueno Placa anterior: 000001918 Material: METALICO Color: GRIS Referencia:  Observacion:  Placa padre: Tipo adquisicion: Entidad</v>
      </c>
      <c r="G21906" s="5"/>
    </row>
    <row r="21907" spans="1:7" ht="58.5" customHeight="1" x14ac:dyDescent="0.25">
      <c r="A21907" s="5" t="str">
        <f>"H0003057"</f>
        <v>H0003057</v>
      </c>
      <c r="B21907" s="5" t="str">
        <f t="shared" si="1097"/>
        <v>ESTANTE METALICO 7 ENTREPAÑOS</v>
      </c>
      <c r="C21907" s="6">
        <v>29533.23</v>
      </c>
      <c r="D21907" s="5"/>
      <c r="E21907" s="5" t="str">
        <f t="shared" si="1095"/>
        <v>ACTISALUD-ESTADISTICA</v>
      </c>
      <c r="F21907" s="5" t="str">
        <f>"Descripcion: 200x90x30 Estado: Bueno Placa anterior: 000001917 Material: METALICO Color: GRIS Referencia:  Observacion:  Placa padre: Tipo adquisicion: Entidad"</f>
        <v>Descripcion: 200x90x30 Estado: Bueno Placa anterior: 000001917 Material: METALICO Color: GRIS Referencia:  Observacion:  Placa padre: Tipo adquisicion: Entidad</v>
      </c>
      <c r="G21907" s="5"/>
    </row>
    <row r="21908" spans="1:7" ht="58.5" customHeight="1" x14ac:dyDescent="0.25">
      <c r="A21908" s="5" t="str">
        <f>"H0003058"</f>
        <v>H0003058</v>
      </c>
      <c r="B21908" s="5" t="str">
        <f t="shared" si="1097"/>
        <v>ESTANTE METALICO 7 ENTREPAÑOS</v>
      </c>
      <c r="C21908" s="6">
        <v>29533.23</v>
      </c>
      <c r="D21908" s="5"/>
      <c r="E21908" s="5" t="str">
        <f t="shared" si="1095"/>
        <v>ACTISALUD-ESTADISTICA</v>
      </c>
      <c r="F21908" s="5" t="str">
        <f>"Descripcion: 200x90x30 Estado: Bueno Placa anterior: 000001916 Material: METALICO Color: GRIS Referencia:  Observacion:  Placa padre: Tipo adquisicion: Entidad"</f>
        <v>Descripcion: 200x90x30 Estado: Bueno Placa anterior: 000001916 Material: METALICO Color: GRIS Referencia:  Observacion:  Placa padre: Tipo adquisicion: Entidad</v>
      </c>
      <c r="G21908" s="5"/>
    </row>
    <row r="21909" spans="1:7" ht="58.5" customHeight="1" x14ac:dyDescent="0.25">
      <c r="A21909" s="5" t="str">
        <f>"H0003059"</f>
        <v>H0003059</v>
      </c>
      <c r="B21909" s="5" t="str">
        <f t="shared" si="1097"/>
        <v>ESTANTE METALICO 7 ENTREPAÑOS</v>
      </c>
      <c r="C21909" s="6">
        <v>29533.23</v>
      </c>
      <c r="D21909" s="5"/>
      <c r="E21909" s="5" t="str">
        <f t="shared" si="1095"/>
        <v>ACTISALUD-ESTADISTICA</v>
      </c>
      <c r="F21909" s="5" t="str">
        <f>"Descripcion: 200x90x30 Estado: Bueno Placa anterior: 000001915 Material: METALICO Color: GRIS Referencia:  Observacion:  Placa padre: Tipo adquisicion: Entidad"</f>
        <v>Descripcion: 200x90x30 Estado: Bueno Placa anterior: 000001915 Material: METALICO Color: GRIS Referencia:  Observacion:  Placa padre: Tipo adquisicion: Entidad</v>
      </c>
      <c r="G21909" s="5"/>
    </row>
    <row r="21910" spans="1:7" ht="58.5" customHeight="1" x14ac:dyDescent="0.25">
      <c r="A21910" s="5" t="str">
        <f>"H0003060"</f>
        <v>H0003060</v>
      </c>
      <c r="B21910" s="5" t="str">
        <f t="shared" si="1097"/>
        <v>ESTANTE METALICO 7 ENTREPAÑOS</v>
      </c>
      <c r="C21910" s="6">
        <v>29533.23</v>
      </c>
      <c r="D21910" s="5"/>
      <c r="E21910" s="5" t="str">
        <f t="shared" si="1095"/>
        <v>ACTISALUD-ESTADISTICA</v>
      </c>
      <c r="F21910" s="5" t="str">
        <f>"Descripcion: 200x90x30 Estado: Bueno Placa anterior: 000001924 Material: METALICO Color: GRIS Referencia:  Observacion:  Placa padre: Tipo adquisicion: Entidad"</f>
        <v>Descripcion: 200x90x30 Estado: Bueno Placa anterior: 000001924 Material: METALICO Color: GRIS Referencia:  Observacion:  Placa padre: Tipo adquisicion: Entidad</v>
      </c>
      <c r="G21910" s="5"/>
    </row>
    <row r="21911" spans="1:7" ht="58.5" customHeight="1" x14ac:dyDescent="0.25">
      <c r="A21911" s="5" t="str">
        <f>"H0003061"</f>
        <v>H0003061</v>
      </c>
      <c r="B21911" s="5" t="str">
        <f t="shared" si="1097"/>
        <v>ESTANTE METALICO 7 ENTREPAÑOS</v>
      </c>
      <c r="C21911" s="6">
        <v>29533.23</v>
      </c>
      <c r="D21911" s="5"/>
      <c r="E21911" s="5" t="str">
        <f t="shared" si="1095"/>
        <v>ACTISALUD-ESTADISTICA</v>
      </c>
      <c r="F21911" s="5" t="str">
        <f>"Descripcion: 200x90x30 Estado: Bueno Placa anterior: 000001923 Material: METALICO Color: GRIS Referencia:  Observacion:  Placa padre: Tipo adquisicion: Entidad"</f>
        <v>Descripcion: 200x90x30 Estado: Bueno Placa anterior: 000001923 Material: METALICO Color: GRIS Referencia:  Observacion:  Placa padre: Tipo adquisicion: Entidad</v>
      </c>
      <c r="G21911" s="5"/>
    </row>
    <row r="21912" spans="1:7" ht="58.5" customHeight="1" x14ac:dyDescent="0.25">
      <c r="A21912" s="5" t="str">
        <f>"H0003062"</f>
        <v>H0003062</v>
      </c>
      <c r="B21912" s="5" t="str">
        <f t="shared" si="1097"/>
        <v>ESTANTE METALICO 7 ENTREPAÑOS</v>
      </c>
      <c r="C21912" s="6">
        <v>29533.23</v>
      </c>
      <c r="D21912" s="5"/>
      <c r="E21912" s="5" t="str">
        <f t="shared" si="1095"/>
        <v>ACTISALUD-ESTADISTICA</v>
      </c>
      <c r="F21912" s="5" t="str">
        <f>"Descripcion: 200x90x30 Estado: Bueno Placa anterior: 000001922 Material: METALICO Color: GRIS Referencia:  Observacion:  Placa padre: Tipo adquisicion: Entidad"</f>
        <v>Descripcion: 200x90x30 Estado: Bueno Placa anterior: 000001922 Material: METALICO Color: GRIS Referencia:  Observacion:  Placa padre: Tipo adquisicion: Entidad</v>
      </c>
      <c r="G21912" s="5"/>
    </row>
    <row r="21913" spans="1:7" ht="58.5" customHeight="1" x14ac:dyDescent="0.25">
      <c r="A21913" s="5" t="str">
        <f>"H0003063"</f>
        <v>H0003063</v>
      </c>
      <c r="B21913" s="5" t="str">
        <f t="shared" si="1097"/>
        <v>ESTANTE METALICO 7 ENTREPAÑOS</v>
      </c>
      <c r="C21913" s="6">
        <v>29533.23</v>
      </c>
      <c r="D21913" s="5"/>
      <c r="E21913" s="5" t="str">
        <f t="shared" si="1095"/>
        <v>ACTISALUD-ESTADISTICA</v>
      </c>
      <c r="F21913" s="5" t="str">
        <f>"Descripcion: 200x90x30 Estado: Bueno Placa anterior: 000001921 Material: METALICO Color: GRIS Referencia:  Observacion:  Placa padre: Tipo adquisicion: Entidad"</f>
        <v>Descripcion: 200x90x30 Estado: Bueno Placa anterior: 000001921 Material: METALICO Color: GRIS Referencia:  Observacion:  Placa padre: Tipo adquisicion: Entidad</v>
      </c>
      <c r="G21913" s="5"/>
    </row>
    <row r="21914" spans="1:7" ht="58.5" customHeight="1" x14ac:dyDescent="0.25">
      <c r="A21914" s="5" t="str">
        <f>"H0003064"</f>
        <v>H0003064</v>
      </c>
      <c r="B21914" s="5" t="str">
        <f t="shared" si="1097"/>
        <v>ESTANTE METALICO 7 ENTREPAÑOS</v>
      </c>
      <c r="C21914" s="6">
        <v>29533.23</v>
      </c>
      <c r="D21914" s="5"/>
      <c r="E21914" s="5" t="str">
        <f t="shared" si="1095"/>
        <v>ACTISALUD-ESTADISTICA</v>
      </c>
      <c r="F21914" s="5" t="str">
        <f>"Descripcion: 200x90x30 Estado: Bueno Placa anterior: 000001920 Material: METALICO Color: GRIS Referencia:  Observacion:  Placa padre: Tipo adquisicion: Entidad"</f>
        <v>Descripcion: 200x90x30 Estado: Bueno Placa anterior: 000001920 Material: METALICO Color: GRIS Referencia:  Observacion:  Placa padre: Tipo adquisicion: Entidad</v>
      </c>
      <c r="G21914" s="5"/>
    </row>
    <row r="21915" spans="1:7" ht="58.5" customHeight="1" x14ac:dyDescent="0.25">
      <c r="A21915" s="5" t="str">
        <f>"H0003065"</f>
        <v>H0003065</v>
      </c>
      <c r="B21915" s="5" t="str">
        <f t="shared" si="1097"/>
        <v>ESTANTE METALICO 7 ENTREPAÑOS</v>
      </c>
      <c r="C21915" s="6">
        <v>29533.23</v>
      </c>
      <c r="D21915" s="5"/>
      <c r="E21915" s="5" t="str">
        <f t="shared" si="1095"/>
        <v>ACTISALUD-ESTADISTICA</v>
      </c>
      <c r="F21915" s="5" t="str">
        <f>"Descripcion: 200x90x30 Estado: Bueno Placa anterior: 000001674 Material: METALICO Color: GRIS Referencia:  Observacion:  Placa padre: Tipo adquisicion: Entidad"</f>
        <v>Descripcion: 200x90x30 Estado: Bueno Placa anterior: 000001674 Material: METALICO Color: GRIS Referencia:  Observacion:  Placa padre: Tipo adquisicion: Entidad</v>
      </c>
      <c r="G21915" s="5"/>
    </row>
    <row r="21916" spans="1:7" ht="58.5" customHeight="1" x14ac:dyDescent="0.25">
      <c r="A21916" s="5" t="str">
        <f>"H0003066"</f>
        <v>H0003066</v>
      </c>
      <c r="B21916" s="5" t="str">
        <f t="shared" si="1097"/>
        <v>ESTANTE METALICO 7 ENTREPAÑOS</v>
      </c>
      <c r="C21916" s="6">
        <v>29533.23</v>
      </c>
      <c r="D21916" s="5"/>
      <c r="E21916" s="5" t="str">
        <f t="shared" si="1095"/>
        <v>ACTISALUD-ESTADISTICA</v>
      </c>
      <c r="F21916" s="5" t="str">
        <f>"Descripcion: 200x90x30 Estado: Bueno Placa anterior: 000001929 Material: METALICO Color: GRIS Referencia:  Observacion:  Placa padre: Tipo adquisicion: Entidad"</f>
        <v>Descripcion: 200x90x30 Estado: Bueno Placa anterior: 000001929 Material: METALICO Color: GRIS Referencia:  Observacion:  Placa padre: Tipo adquisicion: Entidad</v>
      </c>
      <c r="G21916" s="5"/>
    </row>
    <row r="21917" spans="1:7" ht="58.5" customHeight="1" x14ac:dyDescent="0.25">
      <c r="A21917" s="5" t="str">
        <f>"H0003067"</f>
        <v>H0003067</v>
      </c>
      <c r="B21917" s="5" t="str">
        <f t="shared" si="1097"/>
        <v>ESTANTE METALICO 7 ENTREPAÑOS</v>
      </c>
      <c r="C21917" s="6">
        <v>29533.23</v>
      </c>
      <c r="D21917" s="5"/>
      <c r="E21917" s="5" t="str">
        <f t="shared" si="1095"/>
        <v>ACTISALUD-ESTADISTICA</v>
      </c>
      <c r="F21917" s="5" t="str">
        <f>"Descripcion: 200x90x30 Estado: Bueno Placa anterior: 000001928 Material: METALICO Color: GRIS Referencia:  Observacion:  Placa padre: Tipo adquisicion: Entidad"</f>
        <v>Descripcion: 200x90x30 Estado: Bueno Placa anterior: 000001928 Material: METALICO Color: GRIS Referencia:  Observacion:  Placa padre: Tipo adquisicion: Entidad</v>
      </c>
      <c r="G21917" s="5"/>
    </row>
    <row r="21918" spans="1:7" ht="58.5" customHeight="1" x14ac:dyDescent="0.25">
      <c r="A21918" s="5" t="str">
        <f>"H0003068"</f>
        <v>H0003068</v>
      </c>
      <c r="B21918" s="5" t="str">
        <f t="shared" si="1097"/>
        <v>ESTANTE METALICO 7 ENTREPAÑOS</v>
      </c>
      <c r="C21918" s="6">
        <v>29533.23</v>
      </c>
      <c r="D21918" s="5"/>
      <c r="E21918" s="5" t="str">
        <f t="shared" si="1095"/>
        <v>ACTISALUD-ESTADISTICA</v>
      </c>
      <c r="F21918" s="5" t="str">
        <f>"Descripcion: 200x90x30 Estado: Bueno Placa anterior: 000001927 Material: METALICO Color: GRIS Referencia:  Observacion:  Placa padre: Tipo adquisicion: Entidad"</f>
        <v>Descripcion: 200x90x30 Estado: Bueno Placa anterior: 000001927 Material: METALICO Color: GRIS Referencia:  Observacion:  Placa padre: Tipo adquisicion: Entidad</v>
      </c>
      <c r="G21918" s="5"/>
    </row>
    <row r="21919" spans="1:7" ht="58.5" customHeight="1" x14ac:dyDescent="0.25">
      <c r="A21919" s="5" t="str">
        <f>"H0003069"</f>
        <v>H0003069</v>
      </c>
      <c r="B21919" s="5" t="str">
        <f t="shared" si="1097"/>
        <v>ESTANTE METALICO 7 ENTREPAÑOS</v>
      </c>
      <c r="C21919" s="6">
        <v>29533.23</v>
      </c>
      <c r="D21919" s="5"/>
      <c r="E21919" s="5" t="str">
        <f t="shared" si="1095"/>
        <v>ACTISALUD-ESTADISTICA</v>
      </c>
      <c r="F21919" s="5" t="str">
        <f>"Descripcion: 200x90x30 Estado: Bueno Placa anterior: 000001925 Material: METALICO Color: GRIS Referencia:  Observacion:  Placa padre: Tipo adquisicion: Entidad"</f>
        <v>Descripcion: 200x90x30 Estado: Bueno Placa anterior: 000001925 Material: METALICO Color: GRIS Referencia:  Observacion:  Placa padre: Tipo adquisicion: Entidad</v>
      </c>
      <c r="G21919" s="5"/>
    </row>
    <row r="21920" spans="1:7" ht="58.5" customHeight="1" x14ac:dyDescent="0.25">
      <c r="A21920" s="5" t="str">
        <f>"H0003070"</f>
        <v>H0003070</v>
      </c>
      <c r="B21920" s="5" t="str">
        <f t="shared" si="1097"/>
        <v>ESTANTE METALICO 7 ENTREPAÑOS</v>
      </c>
      <c r="C21920" s="6">
        <v>29533.23</v>
      </c>
      <c r="D21920" s="5"/>
      <c r="E21920" s="5" t="str">
        <f t="shared" si="1095"/>
        <v>ACTISALUD-ESTADISTICA</v>
      </c>
      <c r="F21920" s="5" t="str">
        <f>"Descripcion: 200x90x30 Estado: Bueno Placa anterior: 000001926 Material: METALICO Color: GRIS Referencia:  Observacion:  Placa padre: Tipo adquisicion: Entidad"</f>
        <v>Descripcion: 200x90x30 Estado: Bueno Placa anterior: 000001926 Material: METALICO Color: GRIS Referencia:  Observacion:  Placa padre: Tipo adquisicion: Entidad</v>
      </c>
      <c r="G21920" s="5"/>
    </row>
    <row r="21921" spans="1:7" ht="58.5" customHeight="1" x14ac:dyDescent="0.25">
      <c r="A21921" s="5" t="str">
        <f>"H0003072"</f>
        <v>H0003072</v>
      </c>
      <c r="B21921" s="5" t="str">
        <f t="shared" si="1097"/>
        <v>ESTANTE METALICO 7 ENTREPAÑOS</v>
      </c>
      <c r="C21921" s="6">
        <v>29533.23</v>
      </c>
      <c r="D21921" s="5"/>
      <c r="E21921" s="5" t="str">
        <f t="shared" si="1095"/>
        <v>ACTISALUD-ESTADISTICA</v>
      </c>
      <c r="F21921" s="5" t="str">
        <f>"Descripcion: 200x90x30 Estado: Bueno Placa anterior: 000001631 Material: METALICO Color: GRIS Referencia:  Observacion:  Placa padre: Tipo adquisicion: Entidad"</f>
        <v>Descripcion: 200x90x30 Estado: Bueno Placa anterior: 000001631 Material: METALICO Color: GRIS Referencia:  Observacion:  Placa padre: Tipo adquisicion: Entidad</v>
      </c>
      <c r="G21921" s="5"/>
    </row>
    <row r="21922" spans="1:7" ht="58.5" customHeight="1" x14ac:dyDescent="0.25">
      <c r="A21922" s="5" t="str">
        <f>"H0003074"</f>
        <v>H0003074</v>
      </c>
      <c r="B21922" s="5" t="str">
        <f t="shared" si="1097"/>
        <v>ESTANTE METALICO 7 ENTREPAÑOS</v>
      </c>
      <c r="C21922" s="6">
        <v>29533.23</v>
      </c>
      <c r="D21922" s="5"/>
      <c r="E21922" s="5" t="str">
        <f t="shared" si="1095"/>
        <v>ACTISALUD-ESTADISTICA</v>
      </c>
      <c r="F21922" s="5" t="str">
        <f>"Descripcion: 200x90x30 Estado: Bueno Placa anterior: 000001797 Material: METALICO Color: GRIS Referencia:  Observacion:  Placa padre: Tipo adquisicion: Entidad"</f>
        <v>Descripcion: 200x90x30 Estado: Bueno Placa anterior: 000001797 Material: METALICO Color: GRIS Referencia:  Observacion:  Placa padre: Tipo adquisicion: Entidad</v>
      </c>
      <c r="G21922" s="5"/>
    </row>
    <row r="21923" spans="1:7" ht="58.5" customHeight="1" x14ac:dyDescent="0.25">
      <c r="A21923" s="5" t="str">
        <f>"H0003075"</f>
        <v>H0003075</v>
      </c>
      <c r="B21923" s="5" t="str">
        <f t="shared" si="1097"/>
        <v>ESTANTE METALICO 7 ENTREPAÑOS</v>
      </c>
      <c r="C21923" s="6">
        <v>29533.23</v>
      </c>
      <c r="D21923" s="5"/>
      <c r="E21923" s="5" t="str">
        <f t="shared" si="1095"/>
        <v>ACTISALUD-ESTADISTICA</v>
      </c>
      <c r="F21923" s="5" t="str">
        <f>"Descripcion: 200x90x30 Estado: Bueno Placa anterior: 000001634 Material: METALICO Color: GRIS Referencia:  Observacion:  Placa padre: Tipo adquisicion: Entidad"</f>
        <v>Descripcion: 200x90x30 Estado: Bueno Placa anterior: 000001634 Material: METALICO Color: GRIS Referencia:  Observacion:  Placa padre: Tipo adquisicion: Entidad</v>
      </c>
      <c r="G21923" s="5"/>
    </row>
    <row r="21924" spans="1:7" ht="58.5" customHeight="1" x14ac:dyDescent="0.25">
      <c r="A21924" s="5" t="str">
        <f>"H0003076"</f>
        <v>H0003076</v>
      </c>
      <c r="B21924" s="5" t="str">
        <f t="shared" si="1097"/>
        <v>ESTANTE METALICO 7 ENTREPAÑOS</v>
      </c>
      <c r="C21924" s="6">
        <v>29533.23</v>
      </c>
      <c r="D21924" s="5"/>
      <c r="E21924" s="5" t="str">
        <f t="shared" si="1095"/>
        <v>ACTISALUD-ESTADISTICA</v>
      </c>
      <c r="F21924" s="5" t="str">
        <f>"Descripcion: 200x90x30 Estado: Bueno Placa anterior: 000001633 Material: METALICO Color: GRIS Referencia:  Observacion:  Placa padre: Tipo adquisicion: Entidad"</f>
        <v>Descripcion: 200x90x30 Estado: Bueno Placa anterior: 000001633 Material: METALICO Color: GRIS Referencia:  Observacion:  Placa padre: Tipo adquisicion: Entidad</v>
      </c>
      <c r="G21924" s="5"/>
    </row>
    <row r="21925" spans="1:7" ht="58.5" customHeight="1" x14ac:dyDescent="0.25">
      <c r="A21925" s="5" t="str">
        <f>"H0003077"</f>
        <v>H0003077</v>
      </c>
      <c r="B21925" s="5" t="str">
        <f t="shared" si="1097"/>
        <v>ESTANTE METALICO 7 ENTREPAÑOS</v>
      </c>
      <c r="C21925" s="6">
        <v>29533.23</v>
      </c>
      <c r="D21925" s="5"/>
      <c r="E21925" s="5" t="str">
        <f t="shared" si="1095"/>
        <v>ACTISALUD-ESTADISTICA</v>
      </c>
      <c r="F21925" s="5" t="str">
        <f>"Descripcion: 200x90x30 Estado: Bueno Placa anterior: 000001632 Material: METALICO Color: GRIS Referencia:  Observacion:  Placa padre: Tipo adquisicion: Entidad"</f>
        <v>Descripcion: 200x90x30 Estado: Bueno Placa anterior: 000001632 Material: METALICO Color: GRIS Referencia:  Observacion:  Placa padre: Tipo adquisicion: Entidad</v>
      </c>
      <c r="G21925" s="5"/>
    </row>
    <row r="21926" spans="1:7" ht="58.5" customHeight="1" x14ac:dyDescent="0.25">
      <c r="A21926" s="5" t="str">
        <f>"H0003078"</f>
        <v>H0003078</v>
      </c>
      <c r="B21926" s="5" t="str">
        <f t="shared" si="1097"/>
        <v>ESTANTE METALICO 7 ENTREPAÑOS</v>
      </c>
      <c r="C21926" s="6">
        <v>29533.23</v>
      </c>
      <c r="D21926" s="5"/>
      <c r="E21926" s="5" t="str">
        <f t="shared" si="1095"/>
        <v>ACTISALUD-ESTADISTICA</v>
      </c>
      <c r="F21926" s="5" t="str">
        <f>"Descripcion: 200x90x30 Estado: Bueno Placa anterior: 000001931 Material: METALICO Color: GRIS Referencia:  Observacion:  Placa padre: Tipo adquisicion: Entidad"</f>
        <v>Descripcion: 200x90x30 Estado: Bueno Placa anterior: 000001931 Material: METALICO Color: GRIS Referencia:  Observacion:  Placa padre: Tipo adquisicion: Entidad</v>
      </c>
      <c r="G21926" s="5"/>
    </row>
    <row r="21927" spans="1:7" ht="58.5" customHeight="1" x14ac:dyDescent="0.25">
      <c r="A21927" s="5" t="str">
        <f>"H0003079"</f>
        <v>H0003079</v>
      </c>
      <c r="B21927" s="5" t="str">
        <f t="shared" si="1097"/>
        <v>ESTANTE METALICO 7 ENTREPAÑOS</v>
      </c>
      <c r="C21927" s="6">
        <v>29533.23</v>
      </c>
      <c r="D21927" s="5"/>
      <c r="E21927" s="5" t="str">
        <f t="shared" si="1095"/>
        <v>ACTISALUD-ESTADISTICA</v>
      </c>
      <c r="F21927" s="5" t="str">
        <f>"Descripcion: 200x90x30 Estado: Bueno Placa anterior: 000001930 Material: METALICO Color: GRIS Referencia:  Observacion:  Placa padre: Tipo adquisicion: Entidad"</f>
        <v>Descripcion: 200x90x30 Estado: Bueno Placa anterior: 000001930 Material: METALICO Color: GRIS Referencia:  Observacion:  Placa padre: Tipo adquisicion: Entidad</v>
      </c>
      <c r="G21927" s="5"/>
    </row>
    <row r="21928" spans="1:7" ht="58.5" customHeight="1" x14ac:dyDescent="0.25">
      <c r="A21928" s="5" t="str">
        <f>"H0003082"</f>
        <v>H0003082</v>
      </c>
      <c r="B21928" s="5" t="str">
        <f t="shared" si="1097"/>
        <v>ESTANTE METALICO 7 ENTREPAÑOS</v>
      </c>
      <c r="C21928" s="6">
        <v>29533.23</v>
      </c>
      <c r="D21928" s="5"/>
      <c r="E21928" s="5" t="str">
        <f t="shared" si="1095"/>
        <v>ACTISALUD-ESTADISTICA</v>
      </c>
      <c r="F21928" s="5" t="str">
        <f>"Descripcion: 200x90x30 Estado: Bueno Placa anterior: 000001935 Material: METALICO Color: GRIS Referencia:  Observacion:  Placa padre: Tipo adquisicion: Entidad"</f>
        <v>Descripcion: 200x90x30 Estado: Bueno Placa anterior: 000001935 Material: METALICO Color: GRIS Referencia:  Observacion:  Placa padre: Tipo adquisicion: Entidad</v>
      </c>
      <c r="G21928" s="5"/>
    </row>
    <row r="21929" spans="1:7" ht="58.5" customHeight="1" x14ac:dyDescent="0.25">
      <c r="A21929" s="5" t="str">
        <f>"H0003083"</f>
        <v>H0003083</v>
      </c>
      <c r="B21929" s="5" t="str">
        <f t="shared" si="1097"/>
        <v>ESTANTE METALICO 7 ENTREPAÑOS</v>
      </c>
      <c r="C21929" s="6">
        <v>29533.23</v>
      </c>
      <c r="D21929" s="5"/>
      <c r="E21929" s="5" t="str">
        <f t="shared" si="1095"/>
        <v>ACTISALUD-ESTADISTICA</v>
      </c>
      <c r="F21929" s="5" t="str">
        <f>"Descripcion: 200x90x30 Estado: Bueno Placa anterior: 000001936 Material: METALICO Color: GRIS Referencia:  Observacion:  Placa padre: Tipo adquisicion: Entidad"</f>
        <v>Descripcion: 200x90x30 Estado: Bueno Placa anterior: 000001936 Material: METALICO Color: GRIS Referencia:  Observacion:  Placa padre: Tipo adquisicion: Entidad</v>
      </c>
      <c r="G21929" s="5"/>
    </row>
    <row r="21930" spans="1:7" ht="58.5" customHeight="1" x14ac:dyDescent="0.25">
      <c r="A21930" s="5" t="str">
        <f>"H0003084"</f>
        <v>H0003084</v>
      </c>
      <c r="B21930" s="5" t="str">
        <f t="shared" si="1097"/>
        <v>ESTANTE METALICO 7 ENTREPAÑOS</v>
      </c>
      <c r="C21930" s="6">
        <v>29533.23</v>
      </c>
      <c r="D21930" s="5"/>
      <c r="E21930" s="5" t="str">
        <f t="shared" si="1095"/>
        <v>ACTISALUD-ESTADISTICA</v>
      </c>
      <c r="F21930" s="5" t="str">
        <f>"Descripcion: 200x90x30 Estado: Bueno Placa anterior: 000001937 Material: METALICO Color: GRIS Referencia:  Observacion:  Placa padre: Tipo adquisicion: Entidad"</f>
        <v>Descripcion: 200x90x30 Estado: Bueno Placa anterior: 000001937 Material: METALICO Color: GRIS Referencia:  Observacion:  Placa padre: Tipo adquisicion: Entidad</v>
      </c>
      <c r="G21930" s="5"/>
    </row>
    <row r="21931" spans="1:7" ht="58.5" customHeight="1" x14ac:dyDescent="0.25">
      <c r="A21931" s="5" t="str">
        <f>"H0003085"</f>
        <v>H0003085</v>
      </c>
      <c r="B21931" s="5" t="str">
        <f t="shared" si="1097"/>
        <v>ESTANTE METALICO 7 ENTREPAÑOS</v>
      </c>
      <c r="C21931" s="6">
        <v>29533.23</v>
      </c>
      <c r="D21931" s="5"/>
      <c r="E21931" s="5" t="str">
        <f t="shared" si="1095"/>
        <v>ACTISALUD-ESTADISTICA</v>
      </c>
      <c r="F21931" s="5" t="str">
        <f>"Descripcion: 200x90x30 Estado: Bueno Placa anterior: 000001938 Material: METALICO Color: GRIS Referencia:  Observacion:  Placa padre: Tipo adquisicion: Entidad"</f>
        <v>Descripcion: 200x90x30 Estado: Bueno Placa anterior: 000001938 Material: METALICO Color: GRIS Referencia:  Observacion:  Placa padre: Tipo adquisicion: Entidad</v>
      </c>
      <c r="G21931" s="5"/>
    </row>
    <row r="21932" spans="1:7" ht="58.5" customHeight="1" x14ac:dyDescent="0.25">
      <c r="A21932" s="5" t="str">
        <f>"H0003086"</f>
        <v>H0003086</v>
      </c>
      <c r="B21932" s="5" t="str">
        <f t="shared" si="1097"/>
        <v>ESTANTE METALICO 7 ENTREPAÑOS</v>
      </c>
      <c r="C21932" s="6">
        <v>29533.23</v>
      </c>
      <c r="D21932" s="5"/>
      <c r="E21932" s="5" t="str">
        <f t="shared" si="1095"/>
        <v>ACTISALUD-ESTADISTICA</v>
      </c>
      <c r="F21932" s="5" t="str">
        <f>"Descripcion: 200x90x30 Estado: Bueno Placa anterior: 000001939 Material: METALICO Color: GRIS Referencia:  Observacion:  Placa padre: Tipo adquisicion: Entidad"</f>
        <v>Descripcion: 200x90x30 Estado: Bueno Placa anterior: 000001939 Material: METALICO Color: GRIS Referencia:  Observacion:  Placa padre: Tipo adquisicion: Entidad</v>
      </c>
      <c r="G21932" s="5"/>
    </row>
    <row r="21933" spans="1:7" ht="58.5" customHeight="1" x14ac:dyDescent="0.25">
      <c r="A21933" s="5" t="str">
        <f>"H0003087"</f>
        <v>H0003087</v>
      </c>
      <c r="B21933" s="5" t="str">
        <f t="shared" si="1097"/>
        <v>ESTANTE METALICO 7 ENTREPAÑOS</v>
      </c>
      <c r="C21933" s="6">
        <v>130000</v>
      </c>
      <c r="D21933" s="5"/>
      <c r="E21933" s="5" t="str">
        <f t="shared" si="1095"/>
        <v>ACTISALUD-ESTADISTICA</v>
      </c>
      <c r="F21933" s="5" t="str">
        <f>"Descripcion: 200x90x30 Estado: Bueno Placa anterior: 000025698 Material: METALICO Color: GRIS Referencia:  Observacion:  Placa padre: Tipo adquisicion: Entidad"</f>
        <v>Descripcion: 200x90x30 Estado: Bueno Placa anterior: 000025698 Material: METALICO Color: GRIS Referencia:  Observacion:  Placa padre: Tipo adquisicion: Entidad</v>
      </c>
      <c r="G21933" s="5"/>
    </row>
    <row r="21934" spans="1:7" ht="58.5" customHeight="1" x14ac:dyDescent="0.25">
      <c r="A21934" s="5" t="str">
        <f>"H0003088"</f>
        <v>H0003088</v>
      </c>
      <c r="B21934" s="5" t="str">
        <f t="shared" si="1097"/>
        <v>ESTANTE METALICO 7 ENTREPAÑOS</v>
      </c>
      <c r="C21934" s="6">
        <v>130000</v>
      </c>
      <c r="D21934" s="5"/>
      <c r="E21934" s="5" t="str">
        <f t="shared" si="1095"/>
        <v>ACTISALUD-ESTADISTICA</v>
      </c>
      <c r="F21934" s="5" t="str">
        <f>"Descripcion: 200x90x30 Estado: Bueno Placa anterior: 000025703 Material: METALICO Color: GRIS Referencia:  Observacion:  Placa padre: Tipo adquisicion: Entidad"</f>
        <v>Descripcion: 200x90x30 Estado: Bueno Placa anterior: 000025703 Material: METALICO Color: GRIS Referencia:  Observacion:  Placa padre: Tipo adquisicion: Entidad</v>
      </c>
      <c r="G21934" s="5"/>
    </row>
    <row r="21935" spans="1:7" ht="58.5" customHeight="1" x14ac:dyDescent="0.25">
      <c r="A21935" s="5" t="str">
        <f>"H0003089"</f>
        <v>H0003089</v>
      </c>
      <c r="B21935" s="5" t="str">
        <f t="shared" si="1097"/>
        <v>ESTANTE METALICO 7 ENTREPAÑOS</v>
      </c>
      <c r="C21935" s="6">
        <v>29533.23</v>
      </c>
      <c r="D21935" s="5"/>
      <c r="E21935" s="5" t="str">
        <f t="shared" si="1095"/>
        <v>ACTISALUD-ESTADISTICA</v>
      </c>
      <c r="F21935" s="5" t="str">
        <f>"Descripcion: 200x90x30 Estado: Bueno Placa anterior: 000001940 Material: METALICO Color: GRIS Referencia:  Observacion:  Placa padre: Tipo adquisicion: Entidad"</f>
        <v>Descripcion: 200x90x30 Estado: Bueno Placa anterior: 000001940 Material: METALICO Color: GRIS Referencia:  Observacion:  Placa padre: Tipo adquisicion: Entidad</v>
      </c>
      <c r="G21935" s="5"/>
    </row>
    <row r="21936" spans="1:7" ht="58.5" customHeight="1" x14ac:dyDescent="0.25">
      <c r="A21936" s="5" t="str">
        <f>"H0003090"</f>
        <v>H0003090</v>
      </c>
      <c r="B21936" s="5" t="str">
        <f t="shared" si="1097"/>
        <v>ESTANTE METALICO 7 ENTREPAÑOS</v>
      </c>
      <c r="C21936" s="6">
        <v>29533.23</v>
      </c>
      <c r="D21936" s="5"/>
      <c r="E21936" s="5" t="str">
        <f t="shared" si="1095"/>
        <v>ACTISALUD-ESTADISTICA</v>
      </c>
      <c r="F21936" s="5" t="str">
        <f>"Descripcion: 200x90x30 Estado: Bueno Placa anterior: 000001941 Material: METALICO Color: GRIS Referencia:  Observacion:  Placa padre: Tipo adquisicion: Entidad"</f>
        <v>Descripcion: 200x90x30 Estado: Bueno Placa anterior: 000001941 Material: METALICO Color: GRIS Referencia:  Observacion:  Placa padre: Tipo adquisicion: Entidad</v>
      </c>
      <c r="G21936" s="5"/>
    </row>
    <row r="21937" spans="1:7" ht="58.5" customHeight="1" x14ac:dyDescent="0.25">
      <c r="A21937" s="5" t="str">
        <f>"H0003091"</f>
        <v>H0003091</v>
      </c>
      <c r="B21937" s="5" t="str">
        <f t="shared" si="1097"/>
        <v>ESTANTE METALICO 7 ENTREPAÑOS</v>
      </c>
      <c r="C21937" s="6">
        <v>29533.23</v>
      </c>
      <c r="D21937" s="5"/>
      <c r="E21937" s="5" t="str">
        <f t="shared" si="1095"/>
        <v>ACTISALUD-ESTADISTICA</v>
      </c>
      <c r="F21937" s="5" t="str">
        <f>"Descripcion: 200x90x30 Estado: Bueno Placa anterior: 000001942 Material: METALICO Color: GRIS Referencia:  Observacion:  Placa padre: Tipo adquisicion: Entidad"</f>
        <v>Descripcion: 200x90x30 Estado: Bueno Placa anterior: 000001942 Material: METALICO Color: GRIS Referencia:  Observacion:  Placa padre: Tipo adquisicion: Entidad</v>
      </c>
      <c r="G21937" s="5"/>
    </row>
    <row r="21938" spans="1:7" ht="58.5" customHeight="1" x14ac:dyDescent="0.25">
      <c r="A21938" s="5" t="str">
        <f>"H0003092"</f>
        <v>H0003092</v>
      </c>
      <c r="B21938" s="5" t="str">
        <f t="shared" si="1097"/>
        <v>ESTANTE METALICO 7 ENTREPAÑOS</v>
      </c>
      <c r="C21938" s="6">
        <v>29533.23</v>
      </c>
      <c r="D21938" s="5"/>
      <c r="E21938" s="5" t="str">
        <f t="shared" si="1095"/>
        <v>ACTISALUD-ESTADISTICA</v>
      </c>
      <c r="F21938" s="5" t="str">
        <f>"Descripcion: 200x90x30 Estado: Bueno Placa anterior: 000001943 Material: METALICO Color: GRIS Referencia:  Observacion:  Placa padre: Tipo adquisicion: Entidad"</f>
        <v>Descripcion: 200x90x30 Estado: Bueno Placa anterior: 000001943 Material: METALICO Color: GRIS Referencia:  Observacion:  Placa padre: Tipo adquisicion: Entidad</v>
      </c>
      <c r="G21938" s="5"/>
    </row>
    <row r="21939" spans="1:7" ht="58.5" customHeight="1" x14ac:dyDescent="0.25">
      <c r="A21939" s="5" t="str">
        <f>"H0003093"</f>
        <v>H0003093</v>
      </c>
      <c r="B21939" s="5" t="str">
        <f t="shared" si="1097"/>
        <v>ESTANTE METALICO 7 ENTREPAÑOS</v>
      </c>
      <c r="C21939" s="6">
        <v>29533.23</v>
      </c>
      <c r="D21939" s="5"/>
      <c r="E21939" s="5" t="str">
        <f t="shared" si="1095"/>
        <v>ACTISALUD-ESTADISTICA</v>
      </c>
      <c r="F21939" s="5" t="str">
        <f>"Descripcion: 200x90x30 Estado: Bueno Placa anterior: 000001948 Material: METALICO Color: GRIS Referencia:  Observacion:  Placa padre: Tipo adquisicion: Entidad"</f>
        <v>Descripcion: 200x90x30 Estado: Bueno Placa anterior: 000001948 Material: METALICO Color: GRIS Referencia:  Observacion:  Placa padre: Tipo adquisicion: Entidad</v>
      </c>
      <c r="G21939" s="5"/>
    </row>
    <row r="21940" spans="1:7" ht="58.5" customHeight="1" x14ac:dyDescent="0.25">
      <c r="A21940" s="5" t="str">
        <f>"H0003094"</f>
        <v>H0003094</v>
      </c>
      <c r="B21940" s="5" t="str">
        <f t="shared" si="1097"/>
        <v>ESTANTE METALICO 7 ENTREPAÑOS</v>
      </c>
      <c r="C21940" s="6">
        <v>29533.23</v>
      </c>
      <c r="D21940" s="5"/>
      <c r="E21940" s="5" t="str">
        <f t="shared" si="1095"/>
        <v>ACTISALUD-ESTADISTICA</v>
      </c>
      <c r="F21940" s="5" t="str">
        <f>"Descripcion: 200x90x30 Estado: Bueno Placa anterior: 000001947 Material: METALICO Color: GRIS Referencia:  Observacion:  Placa padre: Tipo adquisicion: Entidad"</f>
        <v>Descripcion: 200x90x30 Estado: Bueno Placa anterior: 000001947 Material: METALICO Color: GRIS Referencia:  Observacion:  Placa padre: Tipo adquisicion: Entidad</v>
      </c>
      <c r="G21940" s="5"/>
    </row>
    <row r="21941" spans="1:7" ht="58.5" customHeight="1" x14ac:dyDescent="0.25">
      <c r="A21941" s="5" t="str">
        <f>"H0003095"</f>
        <v>H0003095</v>
      </c>
      <c r="B21941" s="5" t="str">
        <f t="shared" si="1097"/>
        <v>ESTANTE METALICO 7 ENTREPAÑOS</v>
      </c>
      <c r="C21941" s="6">
        <v>29533.23</v>
      </c>
      <c r="D21941" s="5"/>
      <c r="E21941" s="5" t="str">
        <f t="shared" si="1095"/>
        <v>ACTISALUD-ESTADISTICA</v>
      </c>
      <c r="F21941" s="5" t="str">
        <f>"Descripcion: 200x90x30 Estado: Bueno Placa anterior: 000001946 Material: METALICO Color: GRIS Referencia:  Observacion:  Placa padre: Tipo adquisicion: Entidad"</f>
        <v>Descripcion: 200x90x30 Estado: Bueno Placa anterior: 000001946 Material: METALICO Color: GRIS Referencia:  Observacion:  Placa padre: Tipo adquisicion: Entidad</v>
      </c>
      <c r="G21941" s="5"/>
    </row>
    <row r="21942" spans="1:7" ht="58.5" customHeight="1" x14ac:dyDescent="0.25">
      <c r="A21942" s="5" t="str">
        <f>"H0003096"</f>
        <v>H0003096</v>
      </c>
      <c r="B21942" s="5" t="str">
        <f t="shared" si="1097"/>
        <v>ESTANTE METALICO 7 ENTREPAÑOS</v>
      </c>
      <c r="C21942" s="6">
        <v>29533.23</v>
      </c>
      <c r="D21942" s="5"/>
      <c r="E21942" s="5" t="str">
        <f t="shared" ref="E21942:E22005" si="1098">"ACTISALUD-ESTADISTICA"</f>
        <v>ACTISALUD-ESTADISTICA</v>
      </c>
      <c r="F21942" s="5" t="str">
        <f>"Descripcion: 200x90x30 Estado: Bueno Placa anterior: 000001945 Material: METALICO Color: GRIS Referencia:  Observacion:  Placa padre: Tipo adquisicion: Entidad"</f>
        <v>Descripcion: 200x90x30 Estado: Bueno Placa anterior: 000001945 Material: METALICO Color: GRIS Referencia:  Observacion:  Placa padre: Tipo adquisicion: Entidad</v>
      </c>
      <c r="G21942" s="5"/>
    </row>
    <row r="21943" spans="1:7" ht="58.5" customHeight="1" x14ac:dyDescent="0.25">
      <c r="A21943" s="5" t="str">
        <f>"H0003097"</f>
        <v>H0003097</v>
      </c>
      <c r="B21943" s="5" t="str">
        <f t="shared" si="1097"/>
        <v>ESTANTE METALICO 7 ENTREPAÑOS</v>
      </c>
      <c r="C21943" s="6">
        <v>29533.23</v>
      </c>
      <c r="D21943" s="5"/>
      <c r="E21943" s="5" t="str">
        <f t="shared" si="1098"/>
        <v>ACTISALUD-ESTADISTICA</v>
      </c>
      <c r="F21943" s="5" t="str">
        <f>"Descripcion: 200x90x30 Estado: Bueno Placa anterior: 000001897 Material: METALICO Color: GRIS Referencia:  Observacion:  Placa padre: Tipo adquisicion: Entidad"</f>
        <v>Descripcion: 200x90x30 Estado: Bueno Placa anterior: 000001897 Material: METALICO Color: GRIS Referencia:  Observacion:  Placa padre: Tipo adquisicion: Entidad</v>
      </c>
      <c r="G21943" s="5"/>
    </row>
    <row r="21944" spans="1:7" ht="58.5" customHeight="1" x14ac:dyDescent="0.25">
      <c r="A21944" s="5" t="str">
        <f>"H0003098"</f>
        <v>H0003098</v>
      </c>
      <c r="B21944" s="5" t="str">
        <f>"EXTINTOR DE AGUA A PRESION ACERO INOXIDABLE DE 2,58"</f>
        <v>EXTINTOR DE AGUA A PRESION ACERO INOXIDABLE DE 2,58</v>
      </c>
      <c r="C21944" s="6">
        <v>118000</v>
      </c>
      <c r="D21944" s="5"/>
      <c r="E21944" s="5" t="str">
        <f t="shared" si="1098"/>
        <v>ACTISALUD-ESTADISTICA</v>
      </c>
      <c r="F21944" s="5" t="str">
        <f>"Descripcion: 2 1/2 GLS Estado: Bueno Placa anterior: 000029463 Material: ACERO INOXIDABLE Color:  Referencia:  Observacion: EL BIEN TIENE PLACA ANTERIOR  0000026  FUNCIONARIA DE PLANEACION, AUTORIZA SE CONCILIE CON BIEN. Placa padre: Tipo adquisicion: Ent"&amp; "idad"</f>
        <v>Descripcion: 2 1/2 GLS Estado: Bueno Placa anterior: 000029463 Material: ACERO INOXIDABLE Color:  Referencia:  Observacion: EL BIEN TIENE PLACA ANTERIOR  0000026  FUNCIONARIA DE PLANEACION, AUTORIZA SE CONCILIE CON BIEN. Placa padre: Tipo adquisicion: Entidad</v>
      </c>
      <c r="G21944" s="5"/>
    </row>
    <row r="21945" spans="1:7" ht="58.5" customHeight="1" x14ac:dyDescent="0.25">
      <c r="A21945" s="5" t="str">
        <f>"H0003102"</f>
        <v>H0003102</v>
      </c>
      <c r="B21945" s="5" t="str">
        <f t="shared" ref="B21945:B21976" si="1099">"ESTANTE METALICO 7 ENTREPAÑOS"</f>
        <v>ESTANTE METALICO 7 ENTREPAÑOS</v>
      </c>
      <c r="C21945" s="6">
        <v>29533.23</v>
      </c>
      <c r="D21945" s="5"/>
      <c r="E21945" s="5" t="str">
        <f t="shared" si="1098"/>
        <v>ACTISALUD-ESTADISTICA</v>
      </c>
      <c r="F21945" s="5" t="str">
        <f>"Descripcion: 200x90x30 Estado: Bueno Placa anterior: 000001900 Material: METALICO Color: GRIS Referencia:  Observacion:  Placa padre: Tipo adquisicion: Entidad"</f>
        <v>Descripcion: 200x90x30 Estado: Bueno Placa anterior: 000001900 Material: METALICO Color: GRIS Referencia:  Observacion:  Placa padre: Tipo adquisicion: Entidad</v>
      </c>
      <c r="G21945" s="5"/>
    </row>
    <row r="21946" spans="1:7" ht="58.5" customHeight="1" x14ac:dyDescent="0.25">
      <c r="A21946" s="5" t="str">
        <f>"H0003103"</f>
        <v>H0003103</v>
      </c>
      <c r="B21946" s="5" t="str">
        <f t="shared" si="1099"/>
        <v>ESTANTE METALICO 7 ENTREPAÑOS</v>
      </c>
      <c r="C21946" s="6">
        <v>29533.23</v>
      </c>
      <c r="D21946" s="5"/>
      <c r="E21946" s="5" t="str">
        <f t="shared" si="1098"/>
        <v>ACTISALUD-ESTADISTICA</v>
      </c>
      <c r="F21946" s="5" t="str">
        <f>"Descripcion: 200x90x30 Estado: Bueno Placa anterior: 000001899 Material: METALICO Color: GRIS Referencia:  Observacion:  Placa padre: Tipo adquisicion: Entidad"</f>
        <v>Descripcion: 200x90x30 Estado: Bueno Placa anterior: 000001899 Material: METALICO Color: GRIS Referencia:  Observacion:  Placa padre: Tipo adquisicion: Entidad</v>
      </c>
      <c r="G21946" s="5"/>
    </row>
    <row r="21947" spans="1:7" ht="58.5" customHeight="1" x14ac:dyDescent="0.25">
      <c r="A21947" s="5" t="str">
        <f>"H0003104"</f>
        <v>H0003104</v>
      </c>
      <c r="B21947" s="5" t="str">
        <f t="shared" si="1099"/>
        <v>ESTANTE METALICO 7 ENTREPAÑOS</v>
      </c>
      <c r="C21947" s="6">
        <v>29533.23</v>
      </c>
      <c r="D21947" s="5"/>
      <c r="E21947" s="5" t="str">
        <f t="shared" si="1098"/>
        <v>ACTISALUD-ESTADISTICA</v>
      </c>
      <c r="F21947" s="5" t="str">
        <f>"Descripcion: 200x90x30 Estado: Bueno Placa anterior: 000001898 Material: METALICO Color: GRIS Referencia:  Observacion:  Placa padre: Tipo adquisicion: Entidad"</f>
        <v>Descripcion: 200x90x30 Estado: Bueno Placa anterior: 000001898 Material: METALICO Color: GRIS Referencia:  Observacion:  Placa padre: Tipo adquisicion: Entidad</v>
      </c>
      <c r="G21947" s="5"/>
    </row>
    <row r="21948" spans="1:7" ht="58.5" customHeight="1" x14ac:dyDescent="0.25">
      <c r="A21948" s="5" t="str">
        <f>"H0003105"</f>
        <v>H0003105</v>
      </c>
      <c r="B21948" s="5" t="str">
        <f t="shared" si="1099"/>
        <v>ESTANTE METALICO 7 ENTREPAÑOS</v>
      </c>
      <c r="C21948" s="6">
        <v>29533.23</v>
      </c>
      <c r="D21948" s="5"/>
      <c r="E21948" s="5" t="str">
        <f t="shared" si="1098"/>
        <v>ACTISALUD-ESTADISTICA</v>
      </c>
      <c r="F21948" s="5" t="str">
        <f>"Descripcion: 200x90x30 Estado: Bueno Placa anterior: 000001932 Material: METALICO Color: GRIS Referencia:  Observacion:  Placa padre: Tipo adquisicion: Entidad"</f>
        <v>Descripcion: 200x90x30 Estado: Bueno Placa anterior: 000001932 Material: METALICO Color: GRIS Referencia:  Observacion:  Placa padre: Tipo adquisicion: Entidad</v>
      </c>
      <c r="G21948" s="5"/>
    </row>
    <row r="21949" spans="1:7" ht="58.5" customHeight="1" x14ac:dyDescent="0.25">
      <c r="A21949" s="5" t="str">
        <f>"H0003106"</f>
        <v>H0003106</v>
      </c>
      <c r="B21949" s="5" t="str">
        <f t="shared" si="1099"/>
        <v>ESTANTE METALICO 7 ENTREPAÑOS</v>
      </c>
      <c r="C21949" s="6">
        <v>29533.23</v>
      </c>
      <c r="D21949" s="5"/>
      <c r="E21949" s="5" t="str">
        <f t="shared" si="1098"/>
        <v>ACTISALUD-ESTADISTICA</v>
      </c>
      <c r="F21949" s="5" t="str">
        <f>"Descripcion: 200x90x30 Estado: Bueno Placa anterior: 000001893 Material: METALICO Color: GRIS Referencia:  Observacion:  Placa padre: Tipo adquisicion: Entidad"</f>
        <v>Descripcion: 200x90x30 Estado: Bueno Placa anterior: 000001893 Material: METALICO Color: GRIS Referencia:  Observacion:  Placa padre: Tipo adquisicion: Entidad</v>
      </c>
      <c r="G21949" s="5"/>
    </row>
    <row r="21950" spans="1:7" ht="58.5" customHeight="1" x14ac:dyDescent="0.25">
      <c r="A21950" s="5" t="str">
        <f>"H0003107"</f>
        <v>H0003107</v>
      </c>
      <c r="B21950" s="5" t="str">
        <f t="shared" si="1099"/>
        <v>ESTANTE METALICO 7 ENTREPAÑOS</v>
      </c>
      <c r="C21950" s="6">
        <v>29533.23</v>
      </c>
      <c r="D21950" s="5"/>
      <c r="E21950" s="5" t="str">
        <f t="shared" si="1098"/>
        <v>ACTISALUD-ESTADISTICA</v>
      </c>
      <c r="F21950" s="5" t="str">
        <f>"Descripcion: 200x90x30 Estado: Bueno Placa anterior: 000001894 Material: METALICO Color: GRIS Referencia:  Observacion:  Placa padre: Tipo adquisicion: Entidad"</f>
        <v>Descripcion: 200x90x30 Estado: Bueno Placa anterior: 000001894 Material: METALICO Color: GRIS Referencia:  Observacion:  Placa padre: Tipo adquisicion: Entidad</v>
      </c>
      <c r="G21950" s="5"/>
    </row>
    <row r="21951" spans="1:7" ht="58.5" customHeight="1" x14ac:dyDescent="0.25">
      <c r="A21951" s="5" t="str">
        <f>"H0003108"</f>
        <v>H0003108</v>
      </c>
      <c r="B21951" s="5" t="str">
        <f t="shared" si="1099"/>
        <v>ESTANTE METALICO 7 ENTREPAÑOS</v>
      </c>
      <c r="C21951" s="6">
        <v>29533.23</v>
      </c>
      <c r="D21951" s="5"/>
      <c r="E21951" s="5" t="str">
        <f t="shared" si="1098"/>
        <v>ACTISALUD-ESTADISTICA</v>
      </c>
      <c r="F21951" s="5" t="str">
        <f>"Descripcion: 200x90x30 Estado: Bueno Placa anterior: 000001895 Material: METALICO Color: GRIS Referencia:  Observacion:  Placa padre: Tipo adquisicion: Entidad"</f>
        <v>Descripcion: 200x90x30 Estado: Bueno Placa anterior: 000001895 Material: METALICO Color: GRIS Referencia:  Observacion:  Placa padre: Tipo adquisicion: Entidad</v>
      </c>
      <c r="G21951" s="5"/>
    </row>
    <row r="21952" spans="1:7" ht="58.5" customHeight="1" x14ac:dyDescent="0.25">
      <c r="A21952" s="5" t="str">
        <f>"H0003109"</f>
        <v>H0003109</v>
      </c>
      <c r="B21952" s="5" t="str">
        <f t="shared" si="1099"/>
        <v>ESTANTE METALICO 7 ENTREPAÑOS</v>
      </c>
      <c r="C21952" s="6">
        <v>29533.23</v>
      </c>
      <c r="D21952" s="5"/>
      <c r="E21952" s="5" t="str">
        <f t="shared" si="1098"/>
        <v>ACTISALUD-ESTADISTICA</v>
      </c>
      <c r="F21952" s="5" t="str">
        <f>"Descripcion: 200x90x30 Estado: Bueno Placa anterior: 000001896 Material: METALICO Color: GRIS Referencia:  Observacion:  Placa padre: Tipo adquisicion: Entidad"</f>
        <v>Descripcion: 200x90x30 Estado: Bueno Placa anterior: 000001896 Material: METALICO Color: GRIS Referencia:  Observacion:  Placa padre: Tipo adquisicion: Entidad</v>
      </c>
      <c r="G21952" s="5"/>
    </row>
    <row r="21953" spans="1:7" ht="58.5" customHeight="1" x14ac:dyDescent="0.25">
      <c r="A21953" s="5" t="str">
        <f>"H0003110"</f>
        <v>H0003110</v>
      </c>
      <c r="B21953" s="5" t="str">
        <f t="shared" si="1099"/>
        <v>ESTANTE METALICO 7 ENTREPAÑOS</v>
      </c>
      <c r="C21953" s="6">
        <v>8840.07</v>
      </c>
      <c r="D21953" s="5"/>
      <c r="E21953" s="5" t="str">
        <f t="shared" si="1098"/>
        <v>ACTISALUD-ESTADISTICA</v>
      </c>
      <c r="F21953" s="5" t="str">
        <f>"Descripcion: 200x90x30 Estado: Bueno Placa anterior: 000002328 Material: METALICO Color: GRIS Referencia:  Observacion:  Placa padre: Tipo adquisicion: Entidad"</f>
        <v>Descripcion: 200x90x30 Estado: Bueno Placa anterior: 000002328 Material: METALICO Color: GRIS Referencia:  Observacion:  Placa padre: Tipo adquisicion: Entidad</v>
      </c>
      <c r="G21953" s="5"/>
    </row>
    <row r="21954" spans="1:7" ht="58.5" customHeight="1" x14ac:dyDescent="0.25">
      <c r="A21954" s="5" t="str">
        <f>"H0003111"</f>
        <v>H0003111</v>
      </c>
      <c r="B21954" s="5" t="str">
        <f t="shared" si="1099"/>
        <v>ESTANTE METALICO 7 ENTREPAÑOS</v>
      </c>
      <c r="C21954" s="6">
        <v>29533.23</v>
      </c>
      <c r="D21954" s="5"/>
      <c r="E21954" s="5" t="str">
        <f t="shared" si="1098"/>
        <v>ACTISALUD-ESTADISTICA</v>
      </c>
      <c r="F21954" s="5" t="str">
        <f>"Descripcion: 200x90x30 Estado: Bueno Placa anterior: 000001892 Material: METALICO Color: GRIS Referencia:  Observacion:  Placa padre: Tipo adquisicion: Entidad"</f>
        <v>Descripcion: 200x90x30 Estado: Bueno Placa anterior: 000001892 Material: METALICO Color: GRIS Referencia:  Observacion:  Placa padre: Tipo adquisicion: Entidad</v>
      </c>
      <c r="G21954" s="5"/>
    </row>
    <row r="21955" spans="1:7" ht="58.5" customHeight="1" x14ac:dyDescent="0.25">
      <c r="A21955" s="5" t="str">
        <f>"H0003112"</f>
        <v>H0003112</v>
      </c>
      <c r="B21955" s="5" t="str">
        <f t="shared" si="1099"/>
        <v>ESTANTE METALICO 7 ENTREPAÑOS</v>
      </c>
      <c r="C21955" s="6">
        <v>29533.23</v>
      </c>
      <c r="D21955" s="5"/>
      <c r="E21955" s="5" t="str">
        <f t="shared" si="1098"/>
        <v>ACTISALUD-ESTADISTICA</v>
      </c>
      <c r="F21955" s="5" t="str">
        <f>"Descripcion: 200x90x30 Estado: Bueno Placa anterior: 000001891 Material: METALICO Color: GRIS Referencia:  Observacion:  Placa padre: Tipo adquisicion: Entidad"</f>
        <v>Descripcion: 200x90x30 Estado: Bueno Placa anterior: 000001891 Material: METALICO Color: GRIS Referencia:  Observacion:  Placa padre: Tipo adquisicion: Entidad</v>
      </c>
      <c r="G21955" s="5"/>
    </row>
    <row r="21956" spans="1:7" ht="58.5" customHeight="1" x14ac:dyDescent="0.25">
      <c r="A21956" s="5" t="str">
        <f>"H0003113"</f>
        <v>H0003113</v>
      </c>
      <c r="B21956" s="5" t="str">
        <f t="shared" si="1099"/>
        <v>ESTANTE METALICO 7 ENTREPAÑOS</v>
      </c>
      <c r="C21956" s="6">
        <v>29533.23</v>
      </c>
      <c r="D21956" s="5"/>
      <c r="E21956" s="5" t="str">
        <f t="shared" si="1098"/>
        <v>ACTISALUD-ESTADISTICA</v>
      </c>
      <c r="F21956" s="5" t="str">
        <f>"Descripcion: 200x90x30 Estado: Bueno Placa anterior: 000001890 Material: METALICO Color: GRIS Referencia:  Observacion:  Placa padre: Tipo adquisicion: Entidad"</f>
        <v>Descripcion: 200x90x30 Estado: Bueno Placa anterior: 000001890 Material: METALICO Color: GRIS Referencia:  Observacion:  Placa padre: Tipo adquisicion: Entidad</v>
      </c>
      <c r="G21956" s="5"/>
    </row>
    <row r="21957" spans="1:7" ht="58.5" customHeight="1" x14ac:dyDescent="0.25">
      <c r="A21957" s="5" t="str">
        <f>"H0003114"</f>
        <v>H0003114</v>
      </c>
      <c r="B21957" s="5" t="str">
        <f t="shared" si="1099"/>
        <v>ESTANTE METALICO 7 ENTREPAÑOS</v>
      </c>
      <c r="C21957" s="6">
        <v>29533.23</v>
      </c>
      <c r="D21957" s="5"/>
      <c r="E21957" s="5" t="str">
        <f t="shared" si="1098"/>
        <v>ACTISALUD-ESTADISTICA</v>
      </c>
      <c r="F21957" s="5" t="str">
        <f>"Descripcion: 200x90x30 Estado: Bueno Placa anterior: 000001889 Material: METALICO Color: GRIS Referencia:  Observacion:  Placa padre: Tipo adquisicion: Entidad"</f>
        <v>Descripcion: 200x90x30 Estado: Bueno Placa anterior: 000001889 Material: METALICO Color: GRIS Referencia:  Observacion:  Placa padre: Tipo adquisicion: Entidad</v>
      </c>
      <c r="G21957" s="5"/>
    </row>
    <row r="21958" spans="1:7" ht="58.5" customHeight="1" x14ac:dyDescent="0.25">
      <c r="A21958" s="5" t="str">
        <f>"H0003115"</f>
        <v>H0003115</v>
      </c>
      <c r="B21958" s="5" t="str">
        <f t="shared" si="1099"/>
        <v>ESTANTE METALICO 7 ENTREPAÑOS</v>
      </c>
      <c r="C21958" s="6">
        <v>29533.23</v>
      </c>
      <c r="D21958" s="5"/>
      <c r="E21958" s="5" t="str">
        <f t="shared" si="1098"/>
        <v>ACTISALUD-ESTADISTICA</v>
      </c>
      <c r="F21958" s="5" t="str">
        <f>"Descripcion: 200x90x30 Estado: Bueno Placa anterior: 000001888 Material: METALICO Color: GRIS Referencia:  Observacion:  Placa padre: Tipo adquisicion: Entidad"</f>
        <v>Descripcion: 200x90x30 Estado: Bueno Placa anterior: 000001888 Material: METALICO Color: GRIS Referencia:  Observacion:  Placa padre: Tipo adquisicion: Entidad</v>
      </c>
      <c r="G21958" s="5"/>
    </row>
    <row r="21959" spans="1:7" ht="58.5" customHeight="1" x14ac:dyDescent="0.25">
      <c r="A21959" s="5" t="str">
        <f>"H0003116"</f>
        <v>H0003116</v>
      </c>
      <c r="B21959" s="5" t="str">
        <f t="shared" si="1099"/>
        <v>ESTANTE METALICO 7 ENTREPAÑOS</v>
      </c>
      <c r="C21959" s="6">
        <v>18479.71</v>
      </c>
      <c r="D21959" s="5"/>
      <c r="E21959" s="5" t="str">
        <f t="shared" si="1098"/>
        <v>ACTISALUD-ESTADISTICA</v>
      </c>
      <c r="F21959" s="5" t="str">
        <f>"Descripcion: 200x90x30 Estado: Bueno Placa anterior: 000008707 Material: METALICO Color: GRIS Referencia:  Observacion:  Placa padre: Tipo adquisicion: Entidad"</f>
        <v>Descripcion: 200x90x30 Estado: Bueno Placa anterior: 000008707 Material: METALICO Color: GRIS Referencia:  Observacion:  Placa padre: Tipo adquisicion: Entidad</v>
      </c>
      <c r="G21959" s="5"/>
    </row>
    <row r="21960" spans="1:7" ht="58.5" customHeight="1" x14ac:dyDescent="0.25">
      <c r="A21960" s="5" t="str">
        <f>"H0003117"</f>
        <v>H0003117</v>
      </c>
      <c r="B21960" s="5" t="str">
        <f t="shared" si="1099"/>
        <v>ESTANTE METALICO 7 ENTREPAÑOS</v>
      </c>
      <c r="C21960" s="6">
        <v>197200</v>
      </c>
      <c r="D21960" s="5"/>
      <c r="E21960" s="5" t="str">
        <f t="shared" si="1098"/>
        <v>ACTISALUD-ESTADISTICA</v>
      </c>
      <c r="F21960" s="5" t="str">
        <f>"Descripcion: 200x90x30 Estado: Bueno Placa anterior: 000024135 Material: METALICO Color: GRIS Referencia:  Observacion:  Placa padre: Tipo adquisicion: Entidad"</f>
        <v>Descripcion: 200x90x30 Estado: Bueno Placa anterior: 000024135 Material: METALICO Color: GRIS Referencia:  Observacion:  Placa padre: Tipo adquisicion: Entidad</v>
      </c>
      <c r="G21960" s="5"/>
    </row>
    <row r="21961" spans="1:7" ht="58.5" customHeight="1" x14ac:dyDescent="0.25">
      <c r="A21961" s="5" t="str">
        <f>"H0003119"</f>
        <v>H0003119</v>
      </c>
      <c r="B21961" s="5" t="str">
        <f t="shared" si="1099"/>
        <v>ESTANTE METALICO 7 ENTREPAÑOS</v>
      </c>
      <c r="C21961" s="6">
        <v>29533.23</v>
      </c>
      <c r="D21961" s="5"/>
      <c r="E21961" s="5" t="str">
        <f t="shared" si="1098"/>
        <v>ACTISALUD-ESTADISTICA</v>
      </c>
      <c r="F21961" s="5" t="str">
        <f>"Descripcion: 200x90x30 Estado: Bueno Placa anterior: 000001887 Material: METALICO Color: GRIS Referencia:  Observacion:  Placa padre: Tipo adquisicion: Entidad"</f>
        <v>Descripcion: 200x90x30 Estado: Bueno Placa anterior: 000001887 Material: METALICO Color: GRIS Referencia:  Observacion:  Placa padre: Tipo adquisicion: Entidad</v>
      </c>
      <c r="G21961" s="5"/>
    </row>
    <row r="21962" spans="1:7" ht="58.5" customHeight="1" x14ac:dyDescent="0.25">
      <c r="A21962" s="5" t="str">
        <f>"H0003120"</f>
        <v>H0003120</v>
      </c>
      <c r="B21962" s="5" t="str">
        <f t="shared" si="1099"/>
        <v>ESTANTE METALICO 7 ENTREPAÑOS</v>
      </c>
      <c r="C21962" s="6">
        <v>29533.23</v>
      </c>
      <c r="D21962" s="5"/>
      <c r="E21962" s="5" t="str">
        <f t="shared" si="1098"/>
        <v>ACTISALUD-ESTADISTICA</v>
      </c>
      <c r="F21962" s="5" t="str">
        <f>"Descripcion: 200x90x30 Estado: Bueno Placa anterior: 000001886 Material: METALICO Color: GRIS Referencia:  Observacion:  Placa padre: Tipo adquisicion: Entidad"</f>
        <v>Descripcion: 200x90x30 Estado: Bueno Placa anterior: 000001886 Material: METALICO Color: GRIS Referencia:  Observacion:  Placa padre: Tipo adquisicion: Entidad</v>
      </c>
      <c r="G21962" s="5"/>
    </row>
    <row r="21963" spans="1:7" ht="58.5" customHeight="1" x14ac:dyDescent="0.25">
      <c r="A21963" s="5" t="str">
        <f>"H0003121"</f>
        <v>H0003121</v>
      </c>
      <c r="B21963" s="5" t="str">
        <f t="shared" si="1099"/>
        <v>ESTANTE METALICO 7 ENTREPAÑOS</v>
      </c>
      <c r="C21963" s="6">
        <v>29533.23</v>
      </c>
      <c r="D21963" s="5"/>
      <c r="E21963" s="5" t="str">
        <f t="shared" si="1098"/>
        <v>ACTISALUD-ESTADISTICA</v>
      </c>
      <c r="F21963" s="5" t="str">
        <f>"Descripcion: 200x90x30 Estado: Bueno Placa anterior: 000001885 Material: METALICO Color: GRIS Referencia:  Observacion:  Placa padre: Tipo adquisicion: Entidad"</f>
        <v>Descripcion: 200x90x30 Estado: Bueno Placa anterior: 000001885 Material: METALICO Color: GRIS Referencia:  Observacion:  Placa padre: Tipo adquisicion: Entidad</v>
      </c>
      <c r="G21963" s="5"/>
    </row>
    <row r="21964" spans="1:7" ht="58.5" customHeight="1" x14ac:dyDescent="0.25">
      <c r="A21964" s="5" t="str">
        <f>"H0003122"</f>
        <v>H0003122</v>
      </c>
      <c r="B21964" s="5" t="str">
        <f t="shared" si="1099"/>
        <v>ESTANTE METALICO 7 ENTREPAÑOS</v>
      </c>
      <c r="C21964" s="6">
        <v>29533.23</v>
      </c>
      <c r="D21964" s="5"/>
      <c r="E21964" s="5" t="str">
        <f t="shared" si="1098"/>
        <v>ACTISALUD-ESTADISTICA</v>
      </c>
      <c r="F21964" s="5" t="str">
        <f>"Descripcion: 200x90x30 Estado: Bueno Placa anterior: 000001884 Material: METALICO Color: GRIS Referencia:  Observacion:  Placa padre: Tipo adquisicion: Entidad"</f>
        <v>Descripcion: 200x90x30 Estado: Bueno Placa anterior: 000001884 Material: METALICO Color: GRIS Referencia:  Observacion:  Placa padre: Tipo adquisicion: Entidad</v>
      </c>
      <c r="G21964" s="5"/>
    </row>
    <row r="21965" spans="1:7" ht="58.5" customHeight="1" x14ac:dyDescent="0.25">
      <c r="A21965" s="5" t="str">
        <f>"H0003123"</f>
        <v>H0003123</v>
      </c>
      <c r="B21965" s="5" t="str">
        <f t="shared" si="1099"/>
        <v>ESTANTE METALICO 7 ENTREPAÑOS</v>
      </c>
      <c r="C21965" s="6">
        <v>29533.23</v>
      </c>
      <c r="D21965" s="5"/>
      <c r="E21965" s="5" t="str">
        <f t="shared" si="1098"/>
        <v>ACTISALUD-ESTADISTICA</v>
      </c>
      <c r="F21965" s="5" t="str">
        <f>"Descripcion: 200x90x30 Estado: Bueno Placa anterior: 000001883 Material: METALICO Color: GRIS Referencia:  Observacion:  Placa padre: Tipo adquisicion: Entidad"</f>
        <v>Descripcion: 200x90x30 Estado: Bueno Placa anterior: 000001883 Material: METALICO Color: GRIS Referencia:  Observacion:  Placa padre: Tipo adquisicion: Entidad</v>
      </c>
      <c r="G21965" s="5"/>
    </row>
    <row r="21966" spans="1:7" ht="58.5" customHeight="1" x14ac:dyDescent="0.25">
      <c r="A21966" s="5" t="str">
        <f>"H0003124"</f>
        <v>H0003124</v>
      </c>
      <c r="B21966" s="5" t="str">
        <f t="shared" si="1099"/>
        <v>ESTANTE METALICO 7 ENTREPAÑOS</v>
      </c>
      <c r="C21966" s="6">
        <v>29533.23</v>
      </c>
      <c r="D21966" s="5"/>
      <c r="E21966" s="5" t="str">
        <f t="shared" si="1098"/>
        <v>ACTISALUD-ESTADISTICA</v>
      </c>
      <c r="F21966" s="5" t="str">
        <f>"Descripcion: 200x90x30 Estado: Bueno Placa anterior: 000001882 Material: METALICO Color: GRIS Referencia:  Observacion:  Placa padre: Tipo adquisicion: Entidad"</f>
        <v>Descripcion: 200x90x30 Estado: Bueno Placa anterior: 000001882 Material: METALICO Color: GRIS Referencia:  Observacion:  Placa padre: Tipo adquisicion: Entidad</v>
      </c>
      <c r="G21966" s="5"/>
    </row>
    <row r="21967" spans="1:7" ht="58.5" customHeight="1" x14ac:dyDescent="0.25">
      <c r="A21967" s="5" t="str">
        <f>"H0003125"</f>
        <v>H0003125</v>
      </c>
      <c r="B21967" s="5" t="str">
        <f t="shared" si="1099"/>
        <v>ESTANTE METALICO 7 ENTREPAÑOS</v>
      </c>
      <c r="C21967" s="6">
        <v>29533.23</v>
      </c>
      <c r="D21967" s="5"/>
      <c r="E21967" s="5" t="str">
        <f t="shared" si="1098"/>
        <v>ACTISALUD-ESTADISTICA</v>
      </c>
      <c r="F21967" s="5" t="str">
        <f>"Descripcion: 200x90x30 Estado: Bueno Placa anterior: 000001881 Material: METALICO Color: GRIS Referencia:  Observacion:  Placa padre: Tipo adquisicion: Entidad"</f>
        <v>Descripcion: 200x90x30 Estado: Bueno Placa anterior: 000001881 Material: METALICO Color: GRIS Referencia:  Observacion:  Placa padre: Tipo adquisicion: Entidad</v>
      </c>
      <c r="G21967" s="5"/>
    </row>
    <row r="21968" spans="1:7" ht="58.5" customHeight="1" x14ac:dyDescent="0.25">
      <c r="A21968" s="5" t="str">
        <f>"H0003126"</f>
        <v>H0003126</v>
      </c>
      <c r="B21968" s="5" t="str">
        <f t="shared" si="1099"/>
        <v>ESTANTE METALICO 7 ENTREPAÑOS</v>
      </c>
      <c r="C21968" s="6">
        <v>29533.23</v>
      </c>
      <c r="D21968" s="5"/>
      <c r="E21968" s="5" t="str">
        <f t="shared" si="1098"/>
        <v>ACTISALUD-ESTADISTICA</v>
      </c>
      <c r="F21968" s="5" t="str">
        <f>"Descripcion: 200x90x30 Estado: Bueno Placa anterior: 000001880 Material: METALICO Color: GRIS Referencia:  Observacion:  Placa padre: Tipo adquisicion: Entidad"</f>
        <v>Descripcion: 200x90x30 Estado: Bueno Placa anterior: 000001880 Material: METALICO Color: GRIS Referencia:  Observacion:  Placa padre: Tipo adquisicion: Entidad</v>
      </c>
      <c r="G21968" s="5"/>
    </row>
    <row r="21969" spans="1:7" ht="58.5" customHeight="1" x14ac:dyDescent="0.25">
      <c r="A21969" s="5" t="str">
        <f>"H0003127"</f>
        <v>H0003127</v>
      </c>
      <c r="B21969" s="5" t="str">
        <f t="shared" si="1099"/>
        <v>ESTANTE METALICO 7 ENTREPAÑOS</v>
      </c>
      <c r="C21969" s="6">
        <v>29533.23</v>
      </c>
      <c r="D21969" s="5"/>
      <c r="E21969" s="5" t="str">
        <f t="shared" si="1098"/>
        <v>ACTISALUD-ESTADISTICA</v>
      </c>
      <c r="F21969" s="5" t="str">
        <f>"Descripcion: 200x90x30 Estado: Bueno Placa anterior: 000001879 Material: METALICO Color: GRIS Referencia:  Observacion:  Placa padre: Tipo adquisicion: Entidad"</f>
        <v>Descripcion: 200x90x30 Estado: Bueno Placa anterior: 000001879 Material: METALICO Color: GRIS Referencia:  Observacion:  Placa padre: Tipo adquisicion: Entidad</v>
      </c>
      <c r="G21969" s="5"/>
    </row>
    <row r="21970" spans="1:7" ht="58.5" customHeight="1" x14ac:dyDescent="0.25">
      <c r="A21970" s="5" t="str">
        <f>"H0003128"</f>
        <v>H0003128</v>
      </c>
      <c r="B21970" s="5" t="str">
        <f t="shared" si="1099"/>
        <v>ESTANTE METALICO 7 ENTREPAÑOS</v>
      </c>
      <c r="C21970" s="6">
        <v>29533.23</v>
      </c>
      <c r="D21970" s="5"/>
      <c r="E21970" s="5" t="str">
        <f t="shared" si="1098"/>
        <v>ACTISALUD-ESTADISTICA</v>
      </c>
      <c r="F21970" s="5" t="str">
        <f>"Descripcion: 200x90x30 Estado: Bueno Placa anterior: 000001878 Material: METALICO Color: GRIS Referencia:  Observacion:  Placa padre: Tipo adquisicion: Entidad"</f>
        <v>Descripcion: 200x90x30 Estado: Bueno Placa anterior: 000001878 Material: METALICO Color: GRIS Referencia:  Observacion:  Placa padre: Tipo adquisicion: Entidad</v>
      </c>
      <c r="G21970" s="5"/>
    </row>
    <row r="21971" spans="1:7" ht="58.5" customHeight="1" x14ac:dyDescent="0.25">
      <c r="A21971" s="5" t="str">
        <f>"H0003129"</f>
        <v>H0003129</v>
      </c>
      <c r="B21971" s="5" t="str">
        <f t="shared" si="1099"/>
        <v>ESTANTE METALICO 7 ENTREPAÑOS</v>
      </c>
      <c r="C21971" s="6">
        <v>29533.23</v>
      </c>
      <c r="D21971" s="5"/>
      <c r="E21971" s="5" t="str">
        <f t="shared" si="1098"/>
        <v>ACTISALUD-ESTADISTICA</v>
      </c>
      <c r="F21971" s="5" t="str">
        <f>"Descripcion: 200x90x30 Estado: Bueno Placa anterior: 000001681 Material: METALICO Color: GRIS Referencia:  Observacion:  Placa padre: Tipo adquisicion: Entidad"</f>
        <v>Descripcion: 200x90x30 Estado: Bueno Placa anterior: 000001681 Material: METALICO Color: GRIS Referencia:  Observacion:  Placa padre: Tipo adquisicion: Entidad</v>
      </c>
      <c r="G21971" s="5"/>
    </row>
    <row r="21972" spans="1:7" ht="58.5" customHeight="1" x14ac:dyDescent="0.25">
      <c r="A21972" s="5" t="str">
        <f>"H0003130"</f>
        <v>H0003130</v>
      </c>
      <c r="B21972" s="5" t="str">
        <f t="shared" si="1099"/>
        <v>ESTANTE METALICO 7 ENTREPAÑOS</v>
      </c>
      <c r="C21972" s="6">
        <v>29533.23</v>
      </c>
      <c r="D21972" s="5"/>
      <c r="E21972" s="5" t="str">
        <f t="shared" si="1098"/>
        <v>ACTISALUD-ESTADISTICA</v>
      </c>
      <c r="F21972" s="5" t="str">
        <f>"Descripcion: 200x90x30 Estado: Bueno Placa anterior: 000001877 Material: METALICO Color: GRIS Referencia:  Observacion:  Placa padre: Tipo adquisicion: Entidad"</f>
        <v>Descripcion: 200x90x30 Estado: Bueno Placa anterior: 000001877 Material: METALICO Color: GRIS Referencia:  Observacion:  Placa padre: Tipo adquisicion: Entidad</v>
      </c>
      <c r="G21972" s="5"/>
    </row>
    <row r="21973" spans="1:7" ht="58.5" customHeight="1" x14ac:dyDescent="0.25">
      <c r="A21973" s="5" t="str">
        <f>"H0003131"</f>
        <v>H0003131</v>
      </c>
      <c r="B21973" s="5" t="str">
        <f t="shared" si="1099"/>
        <v>ESTANTE METALICO 7 ENTREPAÑOS</v>
      </c>
      <c r="C21973" s="6">
        <v>29533.23</v>
      </c>
      <c r="D21973" s="5"/>
      <c r="E21973" s="5" t="str">
        <f t="shared" si="1098"/>
        <v>ACTISALUD-ESTADISTICA</v>
      </c>
      <c r="F21973" s="5" t="str">
        <f>"Descripcion: 200x90x30 Estado: Bueno Placa anterior: 000001876 Material: METALICO Color: GRIS Referencia:  Observacion:  Placa padre: Tipo adquisicion: Entidad"</f>
        <v>Descripcion: 200x90x30 Estado: Bueno Placa anterior: 000001876 Material: METALICO Color: GRIS Referencia:  Observacion:  Placa padre: Tipo adquisicion: Entidad</v>
      </c>
      <c r="G21973" s="5"/>
    </row>
    <row r="21974" spans="1:7" ht="58.5" customHeight="1" x14ac:dyDescent="0.25">
      <c r="A21974" s="5" t="str">
        <f>"H0003133"</f>
        <v>H0003133</v>
      </c>
      <c r="B21974" s="5" t="str">
        <f t="shared" si="1099"/>
        <v>ESTANTE METALICO 7 ENTREPAÑOS</v>
      </c>
      <c r="C21974" s="6">
        <v>29533.23</v>
      </c>
      <c r="D21974" s="5"/>
      <c r="E21974" s="5" t="str">
        <f t="shared" si="1098"/>
        <v>ACTISALUD-ESTADISTICA</v>
      </c>
      <c r="F21974" s="5" t="str">
        <f>"Descripcion: 200x90x30 Estado: Bueno Placa anterior: 000001875 Material: METALICO Color: GRIS Referencia:  Observacion:  Placa padre: Tipo adquisicion: Entidad"</f>
        <v>Descripcion: 200x90x30 Estado: Bueno Placa anterior: 000001875 Material: METALICO Color: GRIS Referencia:  Observacion:  Placa padre: Tipo adquisicion: Entidad</v>
      </c>
      <c r="G21974" s="5"/>
    </row>
    <row r="21975" spans="1:7" ht="58.5" customHeight="1" x14ac:dyDescent="0.25">
      <c r="A21975" s="5" t="str">
        <f>"H0003134"</f>
        <v>H0003134</v>
      </c>
      <c r="B21975" s="5" t="str">
        <f t="shared" si="1099"/>
        <v>ESTANTE METALICO 7 ENTREPAÑOS</v>
      </c>
      <c r="C21975" s="6">
        <v>29533.23</v>
      </c>
      <c r="D21975" s="5"/>
      <c r="E21975" s="5" t="str">
        <f t="shared" si="1098"/>
        <v>ACTISALUD-ESTADISTICA</v>
      </c>
      <c r="F21975" s="5" t="str">
        <f>"Descripcion: 200x90x30 Estado: Bueno Placa anterior: 000001874 Material: METALICO Color: GRIS Referencia:  Observacion:  Placa padre: Tipo adquisicion: Entidad"</f>
        <v>Descripcion: 200x90x30 Estado: Bueno Placa anterior: 000001874 Material: METALICO Color: GRIS Referencia:  Observacion:  Placa padre: Tipo adquisicion: Entidad</v>
      </c>
      <c r="G21975" s="5"/>
    </row>
    <row r="21976" spans="1:7" ht="58.5" customHeight="1" x14ac:dyDescent="0.25">
      <c r="A21976" s="5" t="str">
        <f>"H0003135"</f>
        <v>H0003135</v>
      </c>
      <c r="B21976" s="5" t="str">
        <f t="shared" si="1099"/>
        <v>ESTANTE METALICO 7 ENTREPAÑOS</v>
      </c>
      <c r="C21976" s="6">
        <v>29533.23</v>
      </c>
      <c r="D21976" s="5"/>
      <c r="E21976" s="5" t="str">
        <f t="shared" si="1098"/>
        <v>ACTISALUD-ESTADISTICA</v>
      </c>
      <c r="F21976" s="5" t="str">
        <f>"Descripcion: 200x90x30 Estado: Bueno Placa anterior: 000001873 Material: METALICO Color: GRIS Referencia:  Observacion:  Placa padre: Tipo adquisicion: Entidad"</f>
        <v>Descripcion: 200x90x30 Estado: Bueno Placa anterior: 000001873 Material: METALICO Color: GRIS Referencia:  Observacion:  Placa padre: Tipo adquisicion: Entidad</v>
      </c>
      <c r="G21976" s="5"/>
    </row>
    <row r="21977" spans="1:7" ht="58.5" customHeight="1" x14ac:dyDescent="0.25">
      <c r="A21977" s="5" t="str">
        <f>"H0003136"</f>
        <v>H0003136</v>
      </c>
      <c r="B21977" s="5" t="str">
        <f t="shared" ref="B21977:B22008" si="1100">"ESTANTE METALICO 7 ENTREPAÑOS"</f>
        <v>ESTANTE METALICO 7 ENTREPAÑOS</v>
      </c>
      <c r="C21977" s="6">
        <v>29533.23</v>
      </c>
      <c r="D21977" s="5"/>
      <c r="E21977" s="5" t="str">
        <f t="shared" si="1098"/>
        <v>ACTISALUD-ESTADISTICA</v>
      </c>
      <c r="F21977" s="5" t="str">
        <f>"Descripcion: 200x90x30 Estado: Bueno Placa anterior: 000001872 Material: METALICO Color: GRIS Referencia:  Observacion:  Placa padre: Tipo adquisicion: Entidad"</f>
        <v>Descripcion: 200x90x30 Estado: Bueno Placa anterior: 000001872 Material: METALICO Color: GRIS Referencia:  Observacion:  Placa padre: Tipo adquisicion: Entidad</v>
      </c>
      <c r="G21977" s="5"/>
    </row>
    <row r="21978" spans="1:7" ht="58.5" customHeight="1" x14ac:dyDescent="0.25">
      <c r="A21978" s="5" t="str">
        <f>"H0003137"</f>
        <v>H0003137</v>
      </c>
      <c r="B21978" s="5" t="str">
        <f t="shared" si="1100"/>
        <v>ESTANTE METALICO 7 ENTREPAÑOS</v>
      </c>
      <c r="C21978" s="6">
        <v>29533.23</v>
      </c>
      <c r="D21978" s="5"/>
      <c r="E21978" s="5" t="str">
        <f t="shared" si="1098"/>
        <v>ACTISALUD-ESTADISTICA</v>
      </c>
      <c r="F21978" s="5" t="str">
        <f>"Descripcion: 200x90x30 Estado: Bueno Placa anterior: 000001871 Material: METALICO Color: GRIS Referencia:  Observacion:  Placa padre: Tipo adquisicion: Entidad"</f>
        <v>Descripcion: 200x90x30 Estado: Bueno Placa anterior: 000001871 Material: METALICO Color: GRIS Referencia:  Observacion:  Placa padre: Tipo adquisicion: Entidad</v>
      </c>
      <c r="G21978" s="5"/>
    </row>
    <row r="21979" spans="1:7" ht="58.5" customHeight="1" x14ac:dyDescent="0.25">
      <c r="A21979" s="5" t="str">
        <f>"H0003138"</f>
        <v>H0003138</v>
      </c>
      <c r="B21979" s="5" t="str">
        <f t="shared" si="1100"/>
        <v>ESTANTE METALICO 7 ENTREPAÑOS</v>
      </c>
      <c r="C21979" s="6">
        <v>29533.23</v>
      </c>
      <c r="D21979" s="5"/>
      <c r="E21979" s="5" t="str">
        <f t="shared" si="1098"/>
        <v>ACTISALUD-ESTADISTICA</v>
      </c>
      <c r="F21979" s="5" t="str">
        <f>"Descripcion: 200x90x30 Estado: Bueno Placa anterior: 000001870 Material: METALICO Color: GRIS Referencia:  Observacion:  Placa padre: Tipo adquisicion: Entidad"</f>
        <v>Descripcion: 200x90x30 Estado: Bueno Placa anterior: 000001870 Material: METALICO Color: GRIS Referencia:  Observacion:  Placa padre: Tipo adquisicion: Entidad</v>
      </c>
      <c r="G21979" s="5"/>
    </row>
    <row r="21980" spans="1:7" ht="58.5" customHeight="1" x14ac:dyDescent="0.25">
      <c r="A21980" s="5" t="str">
        <f>"H0003139"</f>
        <v>H0003139</v>
      </c>
      <c r="B21980" s="5" t="str">
        <f t="shared" si="1100"/>
        <v>ESTANTE METALICO 7 ENTREPAÑOS</v>
      </c>
      <c r="C21980" s="6">
        <v>29533.23</v>
      </c>
      <c r="D21980" s="5"/>
      <c r="E21980" s="5" t="str">
        <f t="shared" si="1098"/>
        <v>ACTISALUD-ESTADISTICA</v>
      </c>
      <c r="F21980" s="5" t="str">
        <f>"Descripcion: 200x90x30 Estado: Bueno Placa anterior: 000001869 Material: METALICO Color: GRIS Referencia:  Observacion:  Placa padre: Tipo adquisicion: Entidad"</f>
        <v>Descripcion: 200x90x30 Estado: Bueno Placa anterior: 000001869 Material: METALICO Color: GRIS Referencia:  Observacion:  Placa padre: Tipo adquisicion: Entidad</v>
      </c>
      <c r="G21980" s="5"/>
    </row>
    <row r="21981" spans="1:7" ht="58.5" customHeight="1" x14ac:dyDescent="0.25">
      <c r="A21981" s="5" t="str">
        <f>"H0003140"</f>
        <v>H0003140</v>
      </c>
      <c r="B21981" s="5" t="str">
        <f t="shared" si="1100"/>
        <v>ESTANTE METALICO 7 ENTREPAÑOS</v>
      </c>
      <c r="C21981" s="6">
        <v>29533.23</v>
      </c>
      <c r="D21981" s="5"/>
      <c r="E21981" s="5" t="str">
        <f t="shared" si="1098"/>
        <v>ACTISALUD-ESTADISTICA</v>
      </c>
      <c r="F21981" s="5" t="str">
        <f>"Descripcion: 200x90x30 Estado: Bueno Placa anterior: 000001868 Material: METALICO Color: GRIS Referencia:  Observacion:  Placa padre: Tipo adquisicion: Entidad"</f>
        <v>Descripcion: 200x90x30 Estado: Bueno Placa anterior: 000001868 Material: METALICO Color: GRIS Referencia:  Observacion:  Placa padre: Tipo adquisicion: Entidad</v>
      </c>
      <c r="G21981" s="5"/>
    </row>
    <row r="21982" spans="1:7" ht="58.5" customHeight="1" x14ac:dyDescent="0.25">
      <c r="A21982" s="5" t="str">
        <f>"H0003141"</f>
        <v>H0003141</v>
      </c>
      <c r="B21982" s="5" t="str">
        <f t="shared" si="1100"/>
        <v>ESTANTE METALICO 7 ENTREPAÑOS</v>
      </c>
      <c r="C21982" s="6">
        <v>29533.23</v>
      </c>
      <c r="D21982" s="5"/>
      <c r="E21982" s="5" t="str">
        <f t="shared" si="1098"/>
        <v>ACTISALUD-ESTADISTICA</v>
      </c>
      <c r="F21982" s="5" t="str">
        <f>"Descripcion: 200x90x30 Estado: Bueno Placa anterior: 000001867 Material: METALICO Color: GRIS Referencia:  Observacion:  Placa padre: Tipo adquisicion: Entidad"</f>
        <v>Descripcion: 200x90x30 Estado: Bueno Placa anterior: 000001867 Material: METALICO Color: GRIS Referencia:  Observacion:  Placa padre: Tipo adquisicion: Entidad</v>
      </c>
      <c r="G21982" s="5"/>
    </row>
    <row r="21983" spans="1:7" ht="58.5" customHeight="1" x14ac:dyDescent="0.25">
      <c r="A21983" s="5" t="str">
        <f>"H0003142"</f>
        <v>H0003142</v>
      </c>
      <c r="B21983" s="5" t="str">
        <f t="shared" si="1100"/>
        <v>ESTANTE METALICO 7 ENTREPAÑOS</v>
      </c>
      <c r="C21983" s="6">
        <v>29533.23</v>
      </c>
      <c r="D21983" s="5"/>
      <c r="E21983" s="5" t="str">
        <f t="shared" si="1098"/>
        <v>ACTISALUD-ESTADISTICA</v>
      </c>
      <c r="F21983" s="5" t="str">
        <f>"Descripcion: 200x90x30 Estado: Bueno Placa anterior: 000001667 Material: METALICO Color: GRIS Referencia:  Observacion:  Placa padre: Tipo adquisicion: Entidad"</f>
        <v>Descripcion: 200x90x30 Estado: Bueno Placa anterior: 000001667 Material: METALICO Color: GRIS Referencia:  Observacion:  Placa padre: Tipo adquisicion: Entidad</v>
      </c>
      <c r="G21983" s="5"/>
    </row>
    <row r="21984" spans="1:7" ht="58.5" customHeight="1" x14ac:dyDescent="0.25">
      <c r="A21984" s="5" t="str">
        <f>"H0003143"</f>
        <v>H0003143</v>
      </c>
      <c r="B21984" s="5" t="str">
        <f t="shared" si="1100"/>
        <v>ESTANTE METALICO 7 ENTREPAÑOS</v>
      </c>
      <c r="C21984" s="6">
        <v>29533.23</v>
      </c>
      <c r="D21984" s="5"/>
      <c r="E21984" s="5" t="str">
        <f t="shared" si="1098"/>
        <v>ACTISALUD-ESTADISTICA</v>
      </c>
      <c r="F21984" s="5" t="str">
        <f>"Descripcion: 200x90x30 Estado: Bueno Placa anterior: 000001866 Material: METALICO Color: GRIS Referencia:  Observacion:  Placa padre: Tipo adquisicion: Entidad"</f>
        <v>Descripcion: 200x90x30 Estado: Bueno Placa anterior: 000001866 Material: METALICO Color: GRIS Referencia:  Observacion:  Placa padre: Tipo adquisicion: Entidad</v>
      </c>
      <c r="G21984" s="5"/>
    </row>
    <row r="21985" spans="1:7" ht="58.5" customHeight="1" x14ac:dyDescent="0.25">
      <c r="A21985" s="5" t="str">
        <f>"H0003144"</f>
        <v>H0003144</v>
      </c>
      <c r="B21985" s="5" t="str">
        <f t="shared" si="1100"/>
        <v>ESTANTE METALICO 7 ENTREPAÑOS</v>
      </c>
      <c r="C21985" s="6">
        <v>29533.23</v>
      </c>
      <c r="D21985" s="5"/>
      <c r="E21985" s="5" t="str">
        <f t="shared" si="1098"/>
        <v>ACTISALUD-ESTADISTICA</v>
      </c>
      <c r="F21985" s="5" t="str">
        <f>"Descripcion: 200x90x30 Estado: Bueno Placa anterior: 000001865 Material: METALICO Color: GRIS Referencia:  Observacion:  Placa padre: Tipo adquisicion: Entidad"</f>
        <v>Descripcion: 200x90x30 Estado: Bueno Placa anterior: 000001865 Material: METALICO Color: GRIS Referencia:  Observacion:  Placa padre: Tipo adquisicion: Entidad</v>
      </c>
      <c r="G21985" s="5"/>
    </row>
    <row r="21986" spans="1:7" ht="58.5" customHeight="1" x14ac:dyDescent="0.25">
      <c r="A21986" s="5" t="str">
        <f>"H0003145"</f>
        <v>H0003145</v>
      </c>
      <c r="B21986" s="5" t="str">
        <f t="shared" si="1100"/>
        <v>ESTANTE METALICO 7 ENTREPAÑOS</v>
      </c>
      <c r="C21986" s="6">
        <v>29533.23</v>
      </c>
      <c r="D21986" s="5"/>
      <c r="E21986" s="5" t="str">
        <f t="shared" si="1098"/>
        <v>ACTISALUD-ESTADISTICA</v>
      </c>
      <c r="F21986" s="5" t="str">
        <f>"Descripcion: 200x90x30 Estado: Bueno Placa anterior: 000001864 Material: METALICO Color: GRIS Referencia:  Observacion:  Placa padre: Tipo adquisicion: Entidad"</f>
        <v>Descripcion: 200x90x30 Estado: Bueno Placa anterior: 000001864 Material: METALICO Color: GRIS Referencia:  Observacion:  Placa padre: Tipo adquisicion: Entidad</v>
      </c>
      <c r="G21986" s="5"/>
    </row>
    <row r="21987" spans="1:7" ht="58.5" customHeight="1" x14ac:dyDescent="0.25">
      <c r="A21987" s="5" t="str">
        <f>"H0003146"</f>
        <v>H0003146</v>
      </c>
      <c r="B21987" s="5" t="str">
        <f t="shared" si="1100"/>
        <v>ESTANTE METALICO 7 ENTREPAÑOS</v>
      </c>
      <c r="C21987" s="6">
        <v>29533.23</v>
      </c>
      <c r="D21987" s="5"/>
      <c r="E21987" s="5" t="str">
        <f t="shared" si="1098"/>
        <v>ACTISALUD-ESTADISTICA</v>
      </c>
      <c r="F21987" s="5" t="str">
        <f>"Descripcion: 200x90x30 Estado: Bueno Placa anterior: 000001863 Material: METALICO Color: GRIS Referencia:  Observacion:  Placa padre: Tipo adquisicion: Entidad"</f>
        <v>Descripcion: 200x90x30 Estado: Bueno Placa anterior: 000001863 Material: METALICO Color: GRIS Referencia:  Observacion:  Placa padre: Tipo adquisicion: Entidad</v>
      </c>
      <c r="G21987" s="5"/>
    </row>
    <row r="21988" spans="1:7" ht="58.5" customHeight="1" x14ac:dyDescent="0.25">
      <c r="A21988" s="5" t="str">
        <f>"H0003147"</f>
        <v>H0003147</v>
      </c>
      <c r="B21988" s="5" t="str">
        <f t="shared" si="1100"/>
        <v>ESTANTE METALICO 7 ENTREPAÑOS</v>
      </c>
      <c r="C21988" s="6">
        <v>29533.23</v>
      </c>
      <c r="D21988" s="5"/>
      <c r="E21988" s="5" t="str">
        <f t="shared" si="1098"/>
        <v>ACTISALUD-ESTADISTICA</v>
      </c>
      <c r="F21988" s="5" t="str">
        <f>"Descripcion: 200x90x30 Estado: Bueno Placa anterior: 000001862 Material: METALICO Color: GRIS Referencia:  Observacion:  Placa padre: Tipo adquisicion: Entidad"</f>
        <v>Descripcion: 200x90x30 Estado: Bueno Placa anterior: 000001862 Material: METALICO Color: GRIS Referencia:  Observacion:  Placa padre: Tipo adquisicion: Entidad</v>
      </c>
      <c r="G21988" s="5"/>
    </row>
    <row r="21989" spans="1:7" ht="58.5" customHeight="1" x14ac:dyDescent="0.25">
      <c r="A21989" s="5" t="str">
        <f>"H0003148"</f>
        <v>H0003148</v>
      </c>
      <c r="B21989" s="5" t="str">
        <f t="shared" si="1100"/>
        <v>ESTANTE METALICO 7 ENTREPAÑOS</v>
      </c>
      <c r="C21989" s="6">
        <v>29533.23</v>
      </c>
      <c r="D21989" s="5"/>
      <c r="E21989" s="5" t="str">
        <f t="shared" si="1098"/>
        <v>ACTISALUD-ESTADISTICA</v>
      </c>
      <c r="F21989" s="5" t="str">
        <f>"Descripcion: 200x90x30 Estado: Bueno Placa anterior: 000001861 Material: METALICO Color: GRIS Referencia:  Observacion:  Placa padre: Tipo adquisicion: Entidad"</f>
        <v>Descripcion: 200x90x30 Estado: Bueno Placa anterior: 000001861 Material: METALICO Color: GRIS Referencia:  Observacion:  Placa padre: Tipo adquisicion: Entidad</v>
      </c>
      <c r="G21989" s="5"/>
    </row>
    <row r="21990" spans="1:7" ht="58.5" customHeight="1" x14ac:dyDescent="0.25">
      <c r="A21990" s="5" t="str">
        <f>"H0003149"</f>
        <v>H0003149</v>
      </c>
      <c r="B21990" s="5" t="str">
        <f t="shared" si="1100"/>
        <v>ESTANTE METALICO 7 ENTREPAÑOS</v>
      </c>
      <c r="C21990" s="6">
        <v>29533.23</v>
      </c>
      <c r="D21990" s="5"/>
      <c r="E21990" s="5" t="str">
        <f t="shared" si="1098"/>
        <v>ACTISALUD-ESTADISTICA</v>
      </c>
      <c r="F21990" s="5" t="str">
        <f>"Descripcion: 200x90x30 Estado: Bueno Placa anterior: 000001860 Material: METALICO Color: GRIS Referencia:  Observacion:  Placa padre: Tipo adquisicion: Entidad"</f>
        <v>Descripcion: 200x90x30 Estado: Bueno Placa anterior: 000001860 Material: METALICO Color: GRIS Referencia:  Observacion:  Placa padre: Tipo adquisicion: Entidad</v>
      </c>
      <c r="G21990" s="5"/>
    </row>
    <row r="21991" spans="1:7" ht="58.5" customHeight="1" x14ac:dyDescent="0.25">
      <c r="A21991" s="5" t="str">
        <f>"H0003150"</f>
        <v>H0003150</v>
      </c>
      <c r="B21991" s="5" t="str">
        <f t="shared" si="1100"/>
        <v>ESTANTE METALICO 7 ENTREPAÑOS</v>
      </c>
      <c r="C21991" s="6">
        <v>29533.23</v>
      </c>
      <c r="D21991" s="5"/>
      <c r="E21991" s="5" t="str">
        <f t="shared" si="1098"/>
        <v>ACTISALUD-ESTADISTICA</v>
      </c>
      <c r="F21991" s="5" t="str">
        <f>"Descripcion: 200x90x30 Estado: Bueno Placa anterior: 000001859 Material: METALICO  Color: GRIS Referencia:  Observacion:  Placa padre: Tipo adquisicion: Entidad"</f>
        <v>Descripcion: 200x90x30 Estado: Bueno Placa anterior: 000001859 Material: METALICO  Color: GRIS Referencia:  Observacion:  Placa padre: Tipo adquisicion: Entidad</v>
      </c>
      <c r="G21991" s="5"/>
    </row>
    <row r="21992" spans="1:7" ht="58.5" customHeight="1" x14ac:dyDescent="0.25">
      <c r="A21992" s="5" t="str">
        <f>"H0003151"</f>
        <v>H0003151</v>
      </c>
      <c r="B21992" s="5" t="str">
        <f t="shared" si="1100"/>
        <v>ESTANTE METALICO 7 ENTREPAÑOS</v>
      </c>
      <c r="C21992" s="6">
        <v>29533.23</v>
      </c>
      <c r="D21992" s="5"/>
      <c r="E21992" s="5" t="str">
        <f t="shared" si="1098"/>
        <v>ACTISALUD-ESTADISTICA</v>
      </c>
      <c r="F21992" s="5" t="str">
        <f>"Descripcion: 200x90x30 Estado: Bueno Placa anterior: 000001858 Material: METALICO Color: GRIS Referencia:  Observacion:  Placa padre: Tipo adquisicion: Entidad"</f>
        <v>Descripcion: 200x90x30 Estado: Bueno Placa anterior: 000001858 Material: METALICO Color: GRIS Referencia:  Observacion:  Placa padre: Tipo adquisicion: Entidad</v>
      </c>
      <c r="G21992" s="5"/>
    </row>
    <row r="21993" spans="1:7" ht="58.5" customHeight="1" x14ac:dyDescent="0.25">
      <c r="A21993" s="5" t="str">
        <f>"H0003153"</f>
        <v>H0003153</v>
      </c>
      <c r="B21993" s="5" t="str">
        <f t="shared" si="1100"/>
        <v>ESTANTE METALICO 7 ENTREPAÑOS</v>
      </c>
      <c r="C21993" s="6">
        <v>29533.23</v>
      </c>
      <c r="D21993" s="5"/>
      <c r="E21993" s="5" t="str">
        <f t="shared" si="1098"/>
        <v>ACTISALUD-ESTADISTICA</v>
      </c>
      <c r="F21993" s="5" t="str">
        <f>"Descripcion: 200x90x30 Estado: Bueno Placa anterior: 000001857 Material: METALICO Color: GRIS Referencia:  Observacion:  Placa padre: Tipo adquisicion: Entidad"</f>
        <v>Descripcion: 200x90x30 Estado: Bueno Placa anterior: 000001857 Material: METALICO Color: GRIS Referencia:  Observacion:  Placa padre: Tipo adquisicion: Entidad</v>
      </c>
      <c r="G21993" s="5"/>
    </row>
    <row r="21994" spans="1:7" ht="58.5" customHeight="1" x14ac:dyDescent="0.25">
      <c r="A21994" s="5" t="str">
        <f>"H0003154"</f>
        <v>H0003154</v>
      </c>
      <c r="B21994" s="5" t="str">
        <f t="shared" si="1100"/>
        <v>ESTANTE METALICO 7 ENTREPAÑOS</v>
      </c>
      <c r="C21994" s="6">
        <v>29533.23</v>
      </c>
      <c r="D21994" s="5"/>
      <c r="E21994" s="5" t="str">
        <f t="shared" si="1098"/>
        <v>ACTISALUD-ESTADISTICA</v>
      </c>
      <c r="F21994" s="5" t="str">
        <f>"Descripcion: 200x90x30 Estado: Bueno Placa anterior: 000001856 Material: METALICO Color: GRIS Referencia:  Observacion:  Placa padre: Tipo adquisicion: Entidad"</f>
        <v>Descripcion: 200x90x30 Estado: Bueno Placa anterior: 000001856 Material: METALICO Color: GRIS Referencia:  Observacion:  Placa padre: Tipo adquisicion: Entidad</v>
      </c>
      <c r="G21994" s="5"/>
    </row>
    <row r="21995" spans="1:7" ht="58.5" customHeight="1" x14ac:dyDescent="0.25">
      <c r="A21995" s="5" t="str">
        <f>"H0003155"</f>
        <v>H0003155</v>
      </c>
      <c r="B21995" s="5" t="str">
        <f t="shared" si="1100"/>
        <v>ESTANTE METALICO 7 ENTREPAÑOS</v>
      </c>
      <c r="C21995" s="6">
        <v>29533.23</v>
      </c>
      <c r="D21995" s="5"/>
      <c r="E21995" s="5" t="str">
        <f t="shared" si="1098"/>
        <v>ACTISALUD-ESTADISTICA</v>
      </c>
      <c r="F21995" s="5" t="str">
        <f>"Descripcion: 200x90x30 Estado: Bueno Placa anterior: 000001855 Material: METALICO Color: GRIS Referencia:  Observacion:  Placa padre: Tipo adquisicion: Entidad"</f>
        <v>Descripcion: 200x90x30 Estado: Bueno Placa anterior: 000001855 Material: METALICO Color: GRIS Referencia:  Observacion:  Placa padre: Tipo adquisicion: Entidad</v>
      </c>
      <c r="G21995" s="5"/>
    </row>
    <row r="21996" spans="1:7" ht="58.5" customHeight="1" x14ac:dyDescent="0.25">
      <c r="A21996" s="5" t="str">
        <f>"H0003156"</f>
        <v>H0003156</v>
      </c>
      <c r="B21996" s="5" t="str">
        <f t="shared" si="1100"/>
        <v>ESTANTE METALICO 7 ENTREPAÑOS</v>
      </c>
      <c r="C21996" s="6">
        <v>29533.23</v>
      </c>
      <c r="D21996" s="5"/>
      <c r="E21996" s="5" t="str">
        <f t="shared" si="1098"/>
        <v>ACTISALUD-ESTADISTICA</v>
      </c>
      <c r="F21996" s="5" t="str">
        <f>"Descripcion: 200x90x30 Estado: Bueno Placa anterior: 000001854 Material: METALICO Color: GRIS Referencia:  Observacion:  Placa padre: Tipo adquisicion: Entidad"</f>
        <v>Descripcion: 200x90x30 Estado: Bueno Placa anterior: 000001854 Material: METALICO Color: GRIS Referencia:  Observacion:  Placa padre: Tipo adquisicion: Entidad</v>
      </c>
      <c r="G21996" s="5"/>
    </row>
    <row r="21997" spans="1:7" ht="58.5" customHeight="1" x14ac:dyDescent="0.25">
      <c r="A21997" s="5" t="str">
        <f>"H0003157"</f>
        <v>H0003157</v>
      </c>
      <c r="B21997" s="5" t="str">
        <f t="shared" si="1100"/>
        <v>ESTANTE METALICO 7 ENTREPAÑOS</v>
      </c>
      <c r="C21997" s="6">
        <v>29533.23</v>
      </c>
      <c r="D21997" s="5"/>
      <c r="E21997" s="5" t="str">
        <f t="shared" si="1098"/>
        <v>ACTISALUD-ESTADISTICA</v>
      </c>
      <c r="F21997" s="5" t="str">
        <f>"Descripcion: 200x90x30 Estado: Bueno Placa anterior: 000001853 Material: METALICO Color: GRIS Referencia:  Observacion:  Placa padre: Tipo adquisicion: Entidad"</f>
        <v>Descripcion: 200x90x30 Estado: Bueno Placa anterior: 000001853 Material: METALICO Color: GRIS Referencia:  Observacion:  Placa padre: Tipo adquisicion: Entidad</v>
      </c>
      <c r="G21997" s="5"/>
    </row>
    <row r="21998" spans="1:7" ht="58.5" customHeight="1" x14ac:dyDescent="0.25">
      <c r="A21998" s="5" t="str">
        <f>"H0003158"</f>
        <v>H0003158</v>
      </c>
      <c r="B21998" s="5" t="str">
        <f t="shared" si="1100"/>
        <v>ESTANTE METALICO 7 ENTREPAÑOS</v>
      </c>
      <c r="C21998" s="6">
        <v>29533.23</v>
      </c>
      <c r="D21998" s="5"/>
      <c r="E21998" s="5" t="str">
        <f t="shared" si="1098"/>
        <v>ACTISALUD-ESTADISTICA</v>
      </c>
      <c r="F21998" s="5" t="str">
        <f>"Descripcion: ESTANTERIA PARA HISTORIAS CLINICAS (ALTURA 2 METROS PANEL 90 CMS LARGO X 30 CMS ANCHO DISTANCIA ENTRE PANEL 30 CMS) Estado: Bueno Placa anterior: 000001852 Material: METALICO Color: GRIS Referencia:  Observacion:  Placa padre: Tipo adquisicio"&amp; "n: Entidad"</f>
        <v>Descripcion: ESTANTERIA PARA HISTORIAS CLINICAS (ALTURA 2 METROS PANEL 90 CMS LARGO X 30 CMS ANCHO DISTANCIA ENTRE PANEL 30 CMS) Estado: Bueno Placa anterior: 000001852 Material: METALICO Color: GRIS Referencia:  Observacion:  Placa padre: Tipo adquisicion: Entidad</v>
      </c>
      <c r="G21998" s="5"/>
    </row>
    <row r="21999" spans="1:7" ht="58.5" customHeight="1" x14ac:dyDescent="0.25">
      <c r="A21999" s="5" t="str">
        <f>"H0003159"</f>
        <v>H0003159</v>
      </c>
      <c r="B21999" s="5" t="str">
        <f t="shared" si="1100"/>
        <v>ESTANTE METALICO 7 ENTREPAÑOS</v>
      </c>
      <c r="C21999" s="6">
        <v>29533.23</v>
      </c>
      <c r="D21999" s="5"/>
      <c r="E21999" s="5" t="str">
        <f t="shared" si="1098"/>
        <v>ACTISALUD-ESTADISTICA</v>
      </c>
      <c r="F21999" s="5" t="str">
        <f>"Descripcion: ESTANTERIA PARA HISTORIAS CLINICAS (ALTURA 2 METROS PANEL 90 CMS LARGO X 30 CMS ANCHO DISTANCIA ENTRE PANEL 30 CMS) Estado: Bueno Placa anterior: 000001851 Material: METALICO Color: GRIS Referencia:  Observacion:  Placa padre: Tipo adquisicio"&amp; "n: Entidad"</f>
        <v>Descripcion: ESTANTERIA PARA HISTORIAS CLINICAS (ALTURA 2 METROS PANEL 90 CMS LARGO X 30 CMS ANCHO DISTANCIA ENTRE PANEL 30 CMS) Estado: Bueno Placa anterior: 000001851 Material: METALICO Color: GRIS Referencia:  Observacion:  Placa padre: Tipo adquisicion: Entidad</v>
      </c>
      <c r="G21999" s="5"/>
    </row>
    <row r="22000" spans="1:7" ht="58.5" customHeight="1" x14ac:dyDescent="0.25">
      <c r="A22000" s="5" t="str">
        <f>"H0003160"</f>
        <v>H0003160</v>
      </c>
      <c r="B22000" s="5" t="str">
        <f t="shared" si="1100"/>
        <v>ESTANTE METALICO 7 ENTREPAÑOS</v>
      </c>
      <c r="C22000" s="6">
        <v>29533.23</v>
      </c>
      <c r="D22000" s="5"/>
      <c r="E22000" s="5" t="str">
        <f t="shared" si="1098"/>
        <v>ACTISALUD-ESTADISTICA</v>
      </c>
      <c r="F22000" s="5" t="str">
        <f>"Descripcion: ESTANTERIA PARA HISTORIAS CLINICAS (ALTURA 2 METROS PANEL 90 CMS LARGO X 30 CMS ANCHO DISTANCIA ENTRE PANEL 30 CMS) Estado: Bueno Placa anterior: 000001850 Material: METALICO Color: GRIS Referencia:  Observacion:  Placa padre: Tipo adquisicio"&amp; "n: Entidad"</f>
        <v>Descripcion: ESTANTERIA PARA HISTORIAS CLINICAS (ALTURA 2 METROS PANEL 90 CMS LARGO X 30 CMS ANCHO DISTANCIA ENTRE PANEL 30 CMS) Estado: Bueno Placa anterior: 000001850 Material: METALICO Color: GRIS Referencia:  Observacion:  Placa padre: Tipo adquisicion: Entidad</v>
      </c>
      <c r="G22000" s="5"/>
    </row>
    <row r="22001" spans="1:7" ht="58.5" customHeight="1" x14ac:dyDescent="0.25">
      <c r="A22001" s="5" t="str">
        <f>"H0003161"</f>
        <v>H0003161</v>
      </c>
      <c r="B22001" s="5" t="str">
        <f t="shared" si="1100"/>
        <v>ESTANTE METALICO 7 ENTREPAÑOS</v>
      </c>
      <c r="C22001" s="6">
        <v>29533.23</v>
      </c>
      <c r="D22001" s="5"/>
      <c r="E22001" s="5" t="str">
        <f t="shared" si="1098"/>
        <v>ACTISALUD-ESTADISTICA</v>
      </c>
      <c r="F22001" s="5" t="str">
        <f>"Descripcion: ESTANTERIA PARA HISTORIAS CLINICAS (ALTURA 2 METROS PANEL 90 CMS LARGO X 30 CMS ANCHO DISTANCIA ENTRE PANEL 30 CMS) Estado: Bueno Placa anterior: 000001849 Material: METALICO Color: GRIS Referencia:  Observacion:  Placa padre: Tipo adquisicio"&amp; "n: Entidad"</f>
        <v>Descripcion: ESTANTERIA PARA HISTORIAS CLINICAS (ALTURA 2 METROS PANEL 90 CMS LARGO X 30 CMS ANCHO DISTANCIA ENTRE PANEL 30 CMS) Estado: Bueno Placa anterior: 000001849 Material: METALICO Color: GRIS Referencia:  Observacion:  Placa padre: Tipo adquisicion: Entidad</v>
      </c>
      <c r="G22001" s="5"/>
    </row>
    <row r="22002" spans="1:7" ht="58.5" customHeight="1" x14ac:dyDescent="0.25">
      <c r="A22002" s="5" t="str">
        <f>"H0003162"</f>
        <v>H0003162</v>
      </c>
      <c r="B22002" s="5" t="str">
        <f t="shared" si="1100"/>
        <v>ESTANTE METALICO 7 ENTREPAÑOS</v>
      </c>
      <c r="C22002" s="6">
        <v>29533.23</v>
      </c>
      <c r="D22002" s="5"/>
      <c r="E22002" s="5" t="str">
        <f t="shared" si="1098"/>
        <v>ACTISALUD-ESTADISTICA</v>
      </c>
      <c r="F22002" s="5" t="str">
        <f>"Descripcion: ESTANTERIA PARA HISTORIAS CLINICAS (ALTURA 2 METROS PANEL 90 CMS LARGO X 30 CMS ANCHO DISTANCIA ENTRE PANEL 30 CMS) Estado: Bueno Placa anterior: 000001848 Material: METALICO Color: GRIS Referencia:  Observacion:  Placa padre: Tipo adquisicio"&amp; "n: Entidad"</f>
        <v>Descripcion: ESTANTERIA PARA HISTORIAS CLINICAS (ALTURA 2 METROS PANEL 90 CMS LARGO X 30 CMS ANCHO DISTANCIA ENTRE PANEL 30 CMS) Estado: Bueno Placa anterior: 000001848 Material: METALICO Color: GRIS Referencia:  Observacion:  Placa padre: Tipo adquisicion: Entidad</v>
      </c>
      <c r="G22002" s="5"/>
    </row>
    <row r="22003" spans="1:7" ht="58.5" customHeight="1" x14ac:dyDescent="0.25">
      <c r="A22003" s="5" t="str">
        <f>"H0003163"</f>
        <v>H0003163</v>
      </c>
      <c r="B22003" s="5" t="str">
        <f t="shared" si="1100"/>
        <v>ESTANTE METALICO 7 ENTREPAÑOS</v>
      </c>
      <c r="C22003" s="6">
        <v>29533.23</v>
      </c>
      <c r="D22003" s="5"/>
      <c r="E22003" s="5" t="str">
        <f t="shared" si="1098"/>
        <v>ACTISALUD-ESTADISTICA</v>
      </c>
      <c r="F22003" s="5" t="str">
        <f>"Descripcion: ESTANTERIA PARA HISTORIAS CLINICAS (ALTURA 2 METROS PANEL 90 CMS LARGO X 30 CMS ANCHO DISTANCIA ENTRE PANEL 30 CMS) Estado: Bueno Placa anterior: 000001847 Material: METALICO Color: GRIS Referencia:  Observacion:  Placa padre: Tipo adquisicio"&amp; "n: Entidad"</f>
        <v>Descripcion: ESTANTERIA PARA HISTORIAS CLINICAS (ALTURA 2 METROS PANEL 90 CMS LARGO X 30 CMS ANCHO DISTANCIA ENTRE PANEL 30 CMS) Estado: Bueno Placa anterior: 000001847 Material: METALICO Color: GRIS Referencia:  Observacion:  Placa padre: Tipo adquisicion: Entidad</v>
      </c>
      <c r="G22003" s="5"/>
    </row>
    <row r="22004" spans="1:7" ht="58.5" customHeight="1" x14ac:dyDescent="0.25">
      <c r="A22004" s="5" t="str">
        <f>"H0003164"</f>
        <v>H0003164</v>
      </c>
      <c r="B22004" s="5" t="str">
        <f t="shared" si="1100"/>
        <v>ESTANTE METALICO 7 ENTREPAÑOS</v>
      </c>
      <c r="C22004" s="6">
        <v>29533.23</v>
      </c>
      <c r="D22004" s="5"/>
      <c r="E22004" s="5" t="str">
        <f t="shared" si="1098"/>
        <v>ACTISALUD-ESTADISTICA</v>
      </c>
      <c r="F22004" s="5" t="str">
        <f>"Descripcion: ESTANTERIA PARA HISTORIAS CLINICAS (ALTURA 2 METROS PANEL 90 CMS LARGO X 30 CMS ANCHO DISTANCIA ENTRE PANEL 30 CMS) Estado: Bueno Placa anterior: 000001846 Material: METALICO Color: GRIS Referencia:  Observacion:  Placa padre: Tipo adquisicio"&amp; "n: Entidad"</f>
        <v>Descripcion: ESTANTERIA PARA HISTORIAS CLINICAS (ALTURA 2 METROS PANEL 90 CMS LARGO X 30 CMS ANCHO DISTANCIA ENTRE PANEL 30 CMS) Estado: Bueno Placa anterior: 000001846 Material: METALICO Color: GRIS Referencia:  Observacion:  Placa padre: Tipo adquisicion: Entidad</v>
      </c>
      <c r="G22004" s="5"/>
    </row>
    <row r="22005" spans="1:7" ht="58.5" customHeight="1" x14ac:dyDescent="0.25">
      <c r="A22005" s="5" t="str">
        <f>"H0003165"</f>
        <v>H0003165</v>
      </c>
      <c r="B22005" s="5" t="str">
        <f t="shared" si="1100"/>
        <v>ESTANTE METALICO 7 ENTREPAÑOS</v>
      </c>
      <c r="C22005" s="6">
        <v>29533.23</v>
      </c>
      <c r="D22005" s="5"/>
      <c r="E22005" s="5" t="str">
        <f t="shared" si="1098"/>
        <v>ACTISALUD-ESTADISTICA</v>
      </c>
      <c r="F22005" s="5" t="str">
        <f>"Descripcion: ESTANTERIA PARA HISTORIAS CLINICAS (ALTURA 2 METROS PANEL 90 CMS LARGO X 30 CMS ANCHO DISTANCIA ENTRE PANEL 30 CMS) Estado: Bueno Placa anterior: 000001845 Material: METALICO Color: GRIS Referencia:  Observacion:  Placa padre: Tipo adquisicio"&amp; "n: Entidad"</f>
        <v>Descripcion: ESTANTERIA PARA HISTORIAS CLINICAS (ALTURA 2 METROS PANEL 90 CMS LARGO X 30 CMS ANCHO DISTANCIA ENTRE PANEL 30 CMS) Estado: Bueno Placa anterior: 000001845 Material: METALICO Color: GRIS Referencia:  Observacion:  Placa padre: Tipo adquisicion: Entidad</v>
      </c>
      <c r="G22005" s="5"/>
    </row>
    <row r="22006" spans="1:7" ht="58.5" customHeight="1" x14ac:dyDescent="0.25">
      <c r="A22006" s="5" t="str">
        <f>"H0003166"</f>
        <v>H0003166</v>
      </c>
      <c r="B22006" s="5" t="str">
        <f t="shared" si="1100"/>
        <v>ESTANTE METALICO 7 ENTREPAÑOS</v>
      </c>
      <c r="C22006" s="6">
        <v>29533.23</v>
      </c>
      <c r="D22006" s="5"/>
      <c r="E22006" s="5" t="str">
        <f t="shared" ref="E22006:E22069" si="1101">"ACTISALUD-ESTADISTICA"</f>
        <v>ACTISALUD-ESTADISTICA</v>
      </c>
      <c r="F22006" s="5" t="str">
        <f>"Descripcion: ESTANTERIA PARA HISTORIAS CLINICAS (ALTURA 2 METROS PANEL 90 CMS LARGO X 30 CMS ANCHO DISTANCIA ENTRE PANEL 30 CMS) Estado: Bueno Placa anterior: 000001844 Material: METALICO Color: GRIS Referencia:  Observacion:  Placa padre: Tipo adquisicio"&amp; "n: Entidad"</f>
        <v>Descripcion: ESTANTERIA PARA HISTORIAS CLINICAS (ALTURA 2 METROS PANEL 90 CMS LARGO X 30 CMS ANCHO DISTANCIA ENTRE PANEL 30 CMS) Estado: Bueno Placa anterior: 000001844 Material: METALICO Color: GRIS Referencia:  Observacion:  Placa padre: Tipo adquisicion: Entidad</v>
      </c>
      <c r="G22006" s="5"/>
    </row>
    <row r="22007" spans="1:7" ht="58.5" customHeight="1" x14ac:dyDescent="0.25">
      <c r="A22007" s="5" t="str">
        <f>"H0003167"</f>
        <v>H0003167</v>
      </c>
      <c r="B22007" s="5" t="str">
        <f t="shared" si="1100"/>
        <v>ESTANTE METALICO 7 ENTREPAÑOS</v>
      </c>
      <c r="C22007" s="6">
        <v>29533.23</v>
      </c>
      <c r="D22007" s="5"/>
      <c r="E22007" s="5" t="str">
        <f t="shared" si="1101"/>
        <v>ACTISALUD-ESTADISTICA</v>
      </c>
      <c r="F22007" s="5" t="str">
        <f>"Descripcion: ESTANTERIA PARA HISTORIAS CLINICAS (ALTURA 2 METROS PANEL 90 CMS LARGO X 30 CMS ANCHO DISTANCIA ENTRE PANEL 30 CMS) Estado: Bueno Placa anterior: 000001843 Material: METALICO Color: GRIS Referencia:  Observacion:  Placa padre: Tipo adquisicio"&amp; "n: Entidad"</f>
        <v>Descripcion: ESTANTERIA PARA HISTORIAS CLINICAS (ALTURA 2 METROS PANEL 90 CMS LARGO X 30 CMS ANCHO DISTANCIA ENTRE PANEL 30 CMS) Estado: Bueno Placa anterior: 000001843 Material: METALICO Color: GRIS Referencia:  Observacion:  Placa padre: Tipo adquisicion: Entidad</v>
      </c>
      <c r="G22007" s="5"/>
    </row>
    <row r="22008" spans="1:7" ht="58.5" customHeight="1" x14ac:dyDescent="0.25">
      <c r="A22008" s="5" t="str">
        <f>"H0003168"</f>
        <v>H0003168</v>
      </c>
      <c r="B22008" s="5" t="str">
        <f t="shared" si="1100"/>
        <v>ESTANTE METALICO 7 ENTREPAÑOS</v>
      </c>
      <c r="C22008" s="6">
        <v>29533.23</v>
      </c>
      <c r="D22008" s="5"/>
      <c r="E22008" s="5" t="str">
        <f t="shared" si="1101"/>
        <v>ACTISALUD-ESTADISTICA</v>
      </c>
      <c r="F22008" s="5" t="str">
        <f>"Descripcion: ESTANTERIA PARA HISTORIAS CLINICAS (ALTURA 2 METROS PANEL 90 CMS LARGO X 30 CMS ANCHO DISTANCIA ENTRE PANEL 30 CMS) Estado: Bueno Placa anterior: 000001838 Material: METALICO Color: GRIS Referencia:  Observacion:  Placa padre: Tipo adquisicio"&amp; "n: Entidad"</f>
        <v>Descripcion: ESTANTERIA PARA HISTORIAS CLINICAS (ALTURA 2 METROS PANEL 90 CMS LARGO X 30 CMS ANCHO DISTANCIA ENTRE PANEL 30 CMS) Estado: Bueno Placa anterior: 000001838 Material: METALICO Color: GRIS Referencia:  Observacion:  Placa padre: Tipo adquisicion: Entidad</v>
      </c>
      <c r="G22008" s="5"/>
    </row>
    <row r="22009" spans="1:7" ht="58.5" customHeight="1" x14ac:dyDescent="0.25">
      <c r="A22009" s="5" t="str">
        <f>"H0003169"</f>
        <v>H0003169</v>
      </c>
      <c r="B22009" s="5" t="str">
        <f t="shared" ref="B22009:B22040" si="1102">"ESTANTE METALICO 7 ENTREPAÑOS"</f>
        <v>ESTANTE METALICO 7 ENTREPAÑOS</v>
      </c>
      <c r="C22009" s="6">
        <v>29533.23</v>
      </c>
      <c r="D22009" s="5"/>
      <c r="E22009" s="5" t="str">
        <f t="shared" si="1101"/>
        <v>ACTISALUD-ESTADISTICA</v>
      </c>
      <c r="F22009" s="5" t="str">
        <f>"Descripcion: ESTANTERIA PARA HISTORIAS CLINICAS (ALTURA 2 METROS PANEL 90 CMS LARGO X 30 CMS ANCHO DISTANCIA ENTRE PANEL 30 CMS) Estado: Bueno Placa anterior: 000001839 Material: METALICO Color: GRIS Referencia:  Observacion:  Placa padre: Tipo adquisicio"&amp; "n: Entidad"</f>
        <v>Descripcion: ESTANTERIA PARA HISTORIAS CLINICAS (ALTURA 2 METROS PANEL 90 CMS LARGO X 30 CMS ANCHO DISTANCIA ENTRE PANEL 30 CMS) Estado: Bueno Placa anterior: 000001839 Material: METALICO Color: GRIS Referencia:  Observacion:  Placa padre: Tipo adquisicion: Entidad</v>
      </c>
      <c r="G22009" s="5"/>
    </row>
    <row r="22010" spans="1:7" ht="58.5" customHeight="1" x14ac:dyDescent="0.25">
      <c r="A22010" s="5" t="str">
        <f>"H0003170"</f>
        <v>H0003170</v>
      </c>
      <c r="B22010" s="5" t="str">
        <f t="shared" si="1102"/>
        <v>ESTANTE METALICO 7 ENTREPAÑOS</v>
      </c>
      <c r="C22010" s="6">
        <v>29533.23</v>
      </c>
      <c r="D22010" s="5"/>
      <c r="E22010" s="5" t="str">
        <f t="shared" si="1101"/>
        <v>ACTISALUD-ESTADISTICA</v>
      </c>
      <c r="F22010" s="5" t="str">
        <f>"Descripcion: ESTANTERIA PARA HISTORIAS CLINICAS (ALTURA 2 METROS PANEL 90 CMS LARGO X 30 CMS ANCHO DISTANCIA ENTRE PANEL 30 CMS) Estado: Bueno Placa anterior: 000001840 Material: METALICO Color: GRIS Referencia:  Observacion:  Placa padre: Tipo adquisicio"&amp; "n: Entidad"</f>
        <v>Descripcion: ESTANTERIA PARA HISTORIAS CLINICAS (ALTURA 2 METROS PANEL 90 CMS LARGO X 30 CMS ANCHO DISTANCIA ENTRE PANEL 30 CMS) Estado: Bueno Placa anterior: 000001840 Material: METALICO Color: GRIS Referencia:  Observacion:  Placa padre: Tipo adquisicion: Entidad</v>
      </c>
      <c r="G22010" s="5"/>
    </row>
    <row r="22011" spans="1:7" ht="58.5" customHeight="1" x14ac:dyDescent="0.25">
      <c r="A22011" s="5" t="str">
        <f>"H0003171"</f>
        <v>H0003171</v>
      </c>
      <c r="B22011" s="5" t="str">
        <f t="shared" si="1102"/>
        <v>ESTANTE METALICO 7 ENTREPAÑOS</v>
      </c>
      <c r="C22011" s="6">
        <v>29533.23</v>
      </c>
      <c r="D22011" s="5"/>
      <c r="E22011" s="5" t="str">
        <f t="shared" si="1101"/>
        <v>ACTISALUD-ESTADISTICA</v>
      </c>
      <c r="F22011" s="5" t="str">
        <f>"Descripcion: ESTANTERIA PARA HISTORIAS CLINICAS (ALTURA 2 METROS PANEL 90 CMS LARGO X 30 CMS ANCHO DISTANCIA ENTRE PANEL 30 CMS) Estado: Bueno Placa anterior: 000001841 Material: METALICO Color: GRIS Referencia:  Observacion:  Placa padre: Tipo adquisicio"&amp; "n: Entidad"</f>
        <v>Descripcion: ESTANTERIA PARA HISTORIAS CLINICAS (ALTURA 2 METROS PANEL 90 CMS LARGO X 30 CMS ANCHO DISTANCIA ENTRE PANEL 30 CMS) Estado: Bueno Placa anterior: 000001841 Material: METALICO Color: GRIS Referencia:  Observacion:  Placa padre: Tipo adquisicion: Entidad</v>
      </c>
      <c r="G22011" s="5"/>
    </row>
    <row r="22012" spans="1:7" ht="58.5" customHeight="1" x14ac:dyDescent="0.25">
      <c r="A22012" s="5" t="str">
        <f>"H0003172"</f>
        <v>H0003172</v>
      </c>
      <c r="B22012" s="5" t="str">
        <f t="shared" si="1102"/>
        <v>ESTANTE METALICO 7 ENTREPAÑOS</v>
      </c>
      <c r="C22012" s="6">
        <v>29533.23</v>
      </c>
      <c r="D22012" s="5"/>
      <c r="E22012" s="5" t="str">
        <f t="shared" si="1101"/>
        <v>ACTISALUD-ESTADISTICA</v>
      </c>
      <c r="F22012" s="5" t="str">
        <f>"Descripcion: ESTANTERIA PARA HISTORIAS CLINICAS (ALTURA 2 METROS PANEL 90 CMS LARGO X 30 CMS ANCHO DISTANCIA ENTRE PANEL 30 CMS) Estado: Bueno Placa anterior: 000001842 Material: METALICO Color: GRIS Referencia:  Observacion:  Placa padre: Tipo adquisicio"&amp; "n: Entidad"</f>
        <v>Descripcion: ESTANTERIA PARA HISTORIAS CLINICAS (ALTURA 2 METROS PANEL 90 CMS LARGO X 30 CMS ANCHO DISTANCIA ENTRE PANEL 30 CMS) Estado: Bueno Placa anterior: 000001842 Material: METALICO Color: GRIS Referencia:  Observacion:  Placa padre: Tipo adquisicion: Entidad</v>
      </c>
      <c r="G22012" s="5"/>
    </row>
    <row r="22013" spans="1:7" ht="58.5" customHeight="1" x14ac:dyDescent="0.25">
      <c r="A22013" s="5" t="str">
        <f>"H0003173"</f>
        <v>H0003173</v>
      </c>
      <c r="B22013" s="5" t="str">
        <f t="shared" si="1102"/>
        <v>ESTANTE METALICO 7 ENTREPAÑOS</v>
      </c>
      <c r="C22013" s="6">
        <v>29533.23</v>
      </c>
      <c r="D22013" s="5"/>
      <c r="E22013" s="5" t="str">
        <f t="shared" si="1101"/>
        <v>ACTISALUD-ESTADISTICA</v>
      </c>
      <c r="F22013" s="5" t="str">
        <f>"Descripcion: ESTANTERIA PARA HISTORIAS CLINICAS (ALTURA 2 METROS PANEL 90 CMS LARGO X 30 CMS ANCHO DISTANCIA ENTRE PANEL 30 CMS) Estado: Bueno Placa anterior: 000001833 Material: METALICO Color: GRIS Referencia:  Observacion:  Placa padre: Tipo adquisicio"&amp; "n: Entidad"</f>
        <v>Descripcion: ESTANTERIA PARA HISTORIAS CLINICAS (ALTURA 2 METROS PANEL 90 CMS LARGO X 30 CMS ANCHO DISTANCIA ENTRE PANEL 30 CMS) Estado: Bueno Placa anterior: 000001833 Material: METALICO Color: GRIS Referencia:  Observacion:  Placa padre: Tipo adquisicion: Entidad</v>
      </c>
      <c r="G22013" s="5"/>
    </row>
    <row r="22014" spans="1:7" ht="58.5" customHeight="1" x14ac:dyDescent="0.25">
      <c r="A22014" s="5" t="str">
        <f>"H0003174"</f>
        <v>H0003174</v>
      </c>
      <c r="B22014" s="5" t="str">
        <f t="shared" si="1102"/>
        <v>ESTANTE METALICO 7 ENTREPAÑOS</v>
      </c>
      <c r="C22014" s="6">
        <v>29533.23</v>
      </c>
      <c r="D22014" s="5"/>
      <c r="E22014" s="5" t="str">
        <f t="shared" si="1101"/>
        <v>ACTISALUD-ESTADISTICA</v>
      </c>
      <c r="F22014" s="5" t="str">
        <f>"Descripcion: ESTANTERIA PARA HISTORIAS CLINICAS (ALTURA 2 METROS PANEL 90 CMS LARGO X 30 CMS ANCHO DISTANCIA ENTRE PANEL 30 CMS) Estado: Bueno Placa anterior: 000001834 Material: METALICO Color: GRIS Referencia:  Observacion:  Placa padre: Tipo adquisicio"&amp; "n: Entidad"</f>
        <v>Descripcion: ESTANTERIA PARA HISTORIAS CLINICAS (ALTURA 2 METROS PANEL 90 CMS LARGO X 30 CMS ANCHO DISTANCIA ENTRE PANEL 30 CMS) Estado: Bueno Placa anterior: 000001834 Material: METALICO Color: GRIS Referencia:  Observacion:  Placa padre: Tipo adquisicion: Entidad</v>
      </c>
      <c r="G22014" s="5"/>
    </row>
    <row r="22015" spans="1:7" ht="58.5" customHeight="1" x14ac:dyDescent="0.25">
      <c r="A22015" s="5" t="str">
        <f>"H0003175"</f>
        <v>H0003175</v>
      </c>
      <c r="B22015" s="5" t="str">
        <f t="shared" si="1102"/>
        <v>ESTANTE METALICO 7 ENTREPAÑOS</v>
      </c>
      <c r="C22015" s="6">
        <v>29533.23</v>
      </c>
      <c r="D22015" s="5"/>
      <c r="E22015" s="5" t="str">
        <f t="shared" si="1101"/>
        <v>ACTISALUD-ESTADISTICA</v>
      </c>
      <c r="F22015" s="5" t="str">
        <f>"Descripcion: ESTANTERIA PARA HISTORIAS CLINICAS (ALTURA 2 METROS PANEL 90 CMS LARGO X 30 CMS ANCHO DISTANCIA ENTRE PANEL 30 CMS) Estado: Bueno Placa anterior: 000001835 Material: METALICO Color: GRIS Referencia:  Observacion:  Placa padre: Tipo adquisicio"&amp; "n: Entidad"</f>
        <v>Descripcion: ESTANTERIA PARA HISTORIAS CLINICAS (ALTURA 2 METROS PANEL 90 CMS LARGO X 30 CMS ANCHO DISTANCIA ENTRE PANEL 30 CMS) Estado: Bueno Placa anterior: 000001835 Material: METALICO Color: GRIS Referencia:  Observacion:  Placa padre: Tipo adquisicion: Entidad</v>
      </c>
      <c r="G22015" s="5"/>
    </row>
    <row r="22016" spans="1:7" ht="58.5" customHeight="1" x14ac:dyDescent="0.25">
      <c r="A22016" s="5" t="str">
        <f>"H0003176"</f>
        <v>H0003176</v>
      </c>
      <c r="B22016" s="5" t="str">
        <f t="shared" si="1102"/>
        <v>ESTANTE METALICO 7 ENTREPAÑOS</v>
      </c>
      <c r="C22016" s="6">
        <v>29533.23</v>
      </c>
      <c r="D22016" s="5"/>
      <c r="E22016" s="5" t="str">
        <f t="shared" si="1101"/>
        <v>ACTISALUD-ESTADISTICA</v>
      </c>
      <c r="F22016" s="5" t="str">
        <f>"Descripcion: ESTANTERIA PARA HISTORIAS CLINICAS (ALTURA 2 METROS PANEL 90 CMS LARGO X 30 CMS ANCHO DISTANCIA ENTRE PANEL 30 CMS) Estado: Bueno Placa anterior: 000001836 Material: METALICO Color: GRIS Referencia:  Observacion:  Placa padre: Tipo adquisicio"&amp; "n: Entidad"</f>
        <v>Descripcion: ESTANTERIA PARA HISTORIAS CLINICAS (ALTURA 2 METROS PANEL 90 CMS LARGO X 30 CMS ANCHO DISTANCIA ENTRE PANEL 30 CMS) Estado: Bueno Placa anterior: 000001836 Material: METALICO Color: GRIS Referencia:  Observacion:  Placa padre: Tipo adquisicion: Entidad</v>
      </c>
      <c r="G22016" s="5"/>
    </row>
    <row r="22017" spans="1:7" ht="58.5" customHeight="1" x14ac:dyDescent="0.25">
      <c r="A22017" s="5" t="str">
        <f>"H0003177"</f>
        <v>H0003177</v>
      </c>
      <c r="B22017" s="5" t="str">
        <f t="shared" si="1102"/>
        <v>ESTANTE METALICO 7 ENTREPAÑOS</v>
      </c>
      <c r="C22017" s="6">
        <v>29533.23</v>
      </c>
      <c r="D22017" s="5"/>
      <c r="E22017" s="5" t="str">
        <f t="shared" si="1101"/>
        <v>ACTISALUD-ESTADISTICA</v>
      </c>
      <c r="F22017" s="5" t="str">
        <f>"Descripcion: ESTANTERIA PARA HISTORIAS CLINICAS (ALTURA 2 METROS PANEL 90 CMS LARGO X 30 CMS ANCHO DISTANCIA ENTRE PANEL 30 CMS) Estado: Bueno Placa anterior: 000001837 Material: METALICO Color: GRIS Referencia:  Observacion:  Placa padre: Tipo adquisicio"&amp; "n: Entidad"</f>
        <v>Descripcion: ESTANTERIA PARA HISTORIAS CLINICAS (ALTURA 2 METROS PANEL 90 CMS LARGO X 30 CMS ANCHO DISTANCIA ENTRE PANEL 30 CMS) Estado: Bueno Placa anterior: 000001837 Material: METALICO Color: GRIS Referencia:  Observacion:  Placa padre: Tipo adquisicion: Entidad</v>
      </c>
      <c r="G22017" s="5"/>
    </row>
    <row r="22018" spans="1:7" ht="58.5" customHeight="1" x14ac:dyDescent="0.25">
      <c r="A22018" s="5" t="str">
        <f>"H0003178"</f>
        <v>H0003178</v>
      </c>
      <c r="B22018" s="5" t="str">
        <f t="shared" si="1102"/>
        <v>ESTANTE METALICO 7 ENTREPAÑOS</v>
      </c>
      <c r="C22018" s="6">
        <v>29533.23</v>
      </c>
      <c r="D22018" s="5"/>
      <c r="E22018" s="5" t="str">
        <f t="shared" si="1101"/>
        <v>ACTISALUD-ESTADISTICA</v>
      </c>
      <c r="F22018" s="5" t="str">
        <f>"Descripcion: ESTANTERIA PARA HISTORIAS CLINICAS (ALTURA 2 METROS PANEL 90 CMS LARGO X 30 CMS ANCHO DISTANCIA ENTRE PANEL 30 CMS) Estado: Bueno Placa anterior: 000001832 Material: METALICO Color: GRIS Referencia:  Observacion:  Placa padre: Tipo adquisicio"&amp; "n: Entidad"</f>
        <v>Descripcion: ESTANTERIA PARA HISTORIAS CLINICAS (ALTURA 2 METROS PANEL 90 CMS LARGO X 30 CMS ANCHO DISTANCIA ENTRE PANEL 30 CMS) Estado: Bueno Placa anterior: 000001832 Material: METALICO Color: GRIS Referencia:  Observacion:  Placa padre: Tipo adquisicion: Entidad</v>
      </c>
      <c r="G22018" s="5"/>
    </row>
    <row r="22019" spans="1:7" ht="58.5" customHeight="1" x14ac:dyDescent="0.25">
      <c r="A22019" s="5" t="str">
        <f>"H0003179"</f>
        <v>H0003179</v>
      </c>
      <c r="B22019" s="5" t="str">
        <f t="shared" si="1102"/>
        <v>ESTANTE METALICO 7 ENTREPAÑOS</v>
      </c>
      <c r="C22019" s="6">
        <v>29533.23</v>
      </c>
      <c r="D22019" s="5"/>
      <c r="E22019" s="5" t="str">
        <f t="shared" si="1101"/>
        <v>ACTISALUD-ESTADISTICA</v>
      </c>
      <c r="F22019" s="5" t="str">
        <f>"Descripcion: ESTANTERIA PARA HISTORIAS CLINICAS (ALTURA 2 METROS PANEL 90 CMS LARGO X 30 CMS ANCHO DISTANCIA ENTRE PANEL 30 CMS) Estado: Bueno Placa anterior: 000001831 Material: METALICO Color: GRIS Referencia:  Observacion:  Placa padre: Tipo adquisicio"&amp; "n: Entidad"</f>
        <v>Descripcion: ESTANTERIA PARA HISTORIAS CLINICAS (ALTURA 2 METROS PANEL 90 CMS LARGO X 30 CMS ANCHO DISTANCIA ENTRE PANEL 30 CMS) Estado: Bueno Placa anterior: 000001831 Material: METALICO Color: GRIS Referencia:  Observacion:  Placa padre: Tipo adquisicion: Entidad</v>
      </c>
      <c r="G22019" s="5"/>
    </row>
    <row r="22020" spans="1:7" ht="58.5" customHeight="1" x14ac:dyDescent="0.25">
      <c r="A22020" s="5" t="str">
        <f>"H0003180"</f>
        <v>H0003180</v>
      </c>
      <c r="B22020" s="5" t="str">
        <f t="shared" si="1102"/>
        <v>ESTANTE METALICO 7 ENTREPAÑOS</v>
      </c>
      <c r="C22020" s="6">
        <v>29533.23</v>
      </c>
      <c r="D22020" s="5"/>
      <c r="E22020" s="5" t="str">
        <f t="shared" si="1101"/>
        <v>ACTISALUD-ESTADISTICA</v>
      </c>
      <c r="F22020" s="5" t="str">
        <f>"Descripcion: ESTANTERIA PARA HISTORIAS CLINICAS (ALTURA 2 METROS PANEL 90 CMS LARGO X 30 CMS ANCHO DISTANCIA ENTRE PANEL 30 CMS) Estado: Bueno Placa anterior: 000001830 Material: METALICO Color: GRIS Referencia:  Observacion:  Placa padre: Tipo adquisicio"&amp; "n: Entidad"</f>
        <v>Descripcion: ESTANTERIA PARA HISTORIAS CLINICAS (ALTURA 2 METROS PANEL 90 CMS LARGO X 30 CMS ANCHO DISTANCIA ENTRE PANEL 30 CMS) Estado: Bueno Placa anterior: 000001830 Material: METALICO Color: GRIS Referencia:  Observacion:  Placa padre: Tipo adquisicion: Entidad</v>
      </c>
      <c r="G22020" s="5"/>
    </row>
    <row r="22021" spans="1:7" ht="58.5" customHeight="1" x14ac:dyDescent="0.25">
      <c r="A22021" s="5" t="str">
        <f>"H0003181"</f>
        <v>H0003181</v>
      </c>
      <c r="B22021" s="5" t="str">
        <f t="shared" si="1102"/>
        <v>ESTANTE METALICO 7 ENTREPAÑOS</v>
      </c>
      <c r="C22021" s="6">
        <v>29533.23</v>
      </c>
      <c r="D22021" s="5"/>
      <c r="E22021" s="5" t="str">
        <f t="shared" si="1101"/>
        <v>ACTISALUD-ESTADISTICA</v>
      </c>
      <c r="F22021" s="5" t="str">
        <f>"Descripcion: ESTANTERIA PARA HISTORIAS CLINICAS (ALTURA 2 METROS PANEL 90 CMS LARGO X 30 CMS ANCHO DISTANCIA ENTRE PANEL 30 CMS) Estado: Bueno Placa anterior: 000001829 Material: METALICO Color: GRIS Referencia:  Observacion:  Placa padre: Tipo adquisicio"&amp; "n: Entidad"</f>
        <v>Descripcion: ESTANTERIA PARA HISTORIAS CLINICAS (ALTURA 2 METROS PANEL 90 CMS LARGO X 30 CMS ANCHO DISTANCIA ENTRE PANEL 30 CMS) Estado: Bueno Placa anterior: 000001829 Material: METALICO Color: GRIS Referencia:  Observacion:  Placa padre: Tipo adquisicion: Entidad</v>
      </c>
      <c r="G22021" s="5"/>
    </row>
    <row r="22022" spans="1:7" ht="58.5" customHeight="1" x14ac:dyDescent="0.25">
      <c r="A22022" s="5" t="str">
        <f>"H0003182"</f>
        <v>H0003182</v>
      </c>
      <c r="B22022" s="5" t="str">
        <f t="shared" si="1102"/>
        <v>ESTANTE METALICO 7 ENTREPAÑOS</v>
      </c>
      <c r="C22022" s="6">
        <v>29533.23</v>
      </c>
      <c r="D22022" s="5"/>
      <c r="E22022" s="5" t="str">
        <f t="shared" si="1101"/>
        <v>ACTISALUD-ESTADISTICA</v>
      </c>
      <c r="F22022" s="5" t="str">
        <f>"Descripcion: ESTANTERIA PARA HISTORIAS CLINICAS (ALTURA 2 METROS PANEL 90 CMS LARGO X 30 CMS ANCHO DISTANCIA ENTRE PANEL 30 CMS) Estado: Bueno Placa anterior: 000001828 Material: METALICO Color: GRIS Referencia:  Observacion:  Placa padre: Tipo adquisicio"&amp; "n: Entidad"</f>
        <v>Descripcion: ESTANTERIA PARA HISTORIAS CLINICAS (ALTURA 2 METROS PANEL 90 CMS LARGO X 30 CMS ANCHO DISTANCIA ENTRE PANEL 30 CMS) Estado: Bueno Placa anterior: 000001828 Material: METALICO Color: GRIS Referencia:  Observacion:  Placa padre: Tipo adquisicion: Entidad</v>
      </c>
      <c r="G22022" s="5"/>
    </row>
    <row r="22023" spans="1:7" ht="58.5" customHeight="1" x14ac:dyDescent="0.25">
      <c r="A22023" s="5" t="str">
        <f>"H0003183"</f>
        <v>H0003183</v>
      </c>
      <c r="B22023" s="5" t="str">
        <f t="shared" si="1102"/>
        <v>ESTANTE METALICO 7 ENTREPAÑOS</v>
      </c>
      <c r="C22023" s="6">
        <v>29533.23</v>
      </c>
      <c r="D22023" s="5"/>
      <c r="E22023" s="5" t="str">
        <f t="shared" si="1101"/>
        <v>ACTISALUD-ESTADISTICA</v>
      </c>
      <c r="F22023" s="5" t="str">
        <f>"Descripcion: 200x90x30 Estado: Bueno Placa anterior: 000001666 Material: METALICO Color: GRIS Referencia:  Observacion:  Placa padre: Tipo adquisicion: Entidad"</f>
        <v>Descripcion: 200x90x30 Estado: Bueno Placa anterior: 000001666 Material: METALICO Color: GRIS Referencia:  Observacion:  Placa padre: Tipo adquisicion: Entidad</v>
      </c>
      <c r="G22023" s="5"/>
    </row>
    <row r="22024" spans="1:7" ht="58.5" customHeight="1" x14ac:dyDescent="0.25">
      <c r="A22024" s="5" t="str">
        <f>"H0003184"</f>
        <v>H0003184</v>
      </c>
      <c r="B22024" s="5" t="str">
        <f t="shared" si="1102"/>
        <v>ESTANTE METALICO 7 ENTREPAÑOS</v>
      </c>
      <c r="C22024" s="6">
        <v>197200</v>
      </c>
      <c r="D22024" s="5"/>
      <c r="E22024" s="5" t="str">
        <f t="shared" si="1101"/>
        <v>ACTISALUD-ESTADISTICA</v>
      </c>
      <c r="F22024" s="5" t="str">
        <f>"Descripcion: 200x90x30 Estado: Bueno Placa anterior: 000024137 Material: METALICO Color: GRIS Referencia:  Observacion:  Placa padre: Tipo adquisicion: Entidad"</f>
        <v>Descripcion: 200x90x30 Estado: Bueno Placa anterior: 000024137 Material: METALICO Color: GRIS Referencia:  Observacion:  Placa padre: Tipo adquisicion: Entidad</v>
      </c>
      <c r="G22024" s="5"/>
    </row>
    <row r="22025" spans="1:7" ht="58.5" customHeight="1" x14ac:dyDescent="0.25">
      <c r="A22025" s="5" t="str">
        <f>"H0003185"</f>
        <v>H0003185</v>
      </c>
      <c r="B22025" s="5" t="str">
        <f t="shared" si="1102"/>
        <v>ESTANTE METALICO 7 ENTREPAÑOS</v>
      </c>
      <c r="C22025" s="6">
        <v>197200</v>
      </c>
      <c r="D22025" s="5"/>
      <c r="E22025" s="5" t="str">
        <f t="shared" si="1101"/>
        <v>ACTISALUD-ESTADISTICA</v>
      </c>
      <c r="F22025" s="5" t="str">
        <f>"Descripcion: 200x90x30 Estado: Bueno Placa anterior: 000024154 Material: METALICO Color: GRIS Referencia:  Observacion:  Placa padre: Tipo adquisicion: Entidad"</f>
        <v>Descripcion: 200x90x30 Estado: Bueno Placa anterior: 000024154 Material: METALICO Color: GRIS Referencia:  Observacion:  Placa padre: Tipo adquisicion: Entidad</v>
      </c>
      <c r="G22025" s="5"/>
    </row>
    <row r="22026" spans="1:7" ht="58.5" customHeight="1" x14ac:dyDescent="0.25">
      <c r="A22026" s="5" t="str">
        <f>"H0003186"</f>
        <v>H0003186</v>
      </c>
      <c r="B22026" s="5" t="str">
        <f t="shared" si="1102"/>
        <v>ESTANTE METALICO 7 ENTREPAÑOS</v>
      </c>
      <c r="C22026" s="6">
        <v>197200</v>
      </c>
      <c r="D22026" s="5"/>
      <c r="E22026" s="5" t="str">
        <f t="shared" si="1101"/>
        <v>ACTISALUD-ESTADISTICA</v>
      </c>
      <c r="F22026" s="5" t="str">
        <f>"Descripcion: 200x90x30 Estado: Bueno Placa anterior: 000024156 Material: METALICO Color: GRIS Referencia:  Observacion:  Placa padre: Tipo adquisicion: Entidad"</f>
        <v>Descripcion: 200x90x30 Estado: Bueno Placa anterior: 000024156 Material: METALICO Color: GRIS Referencia:  Observacion:  Placa padre: Tipo adquisicion: Entidad</v>
      </c>
      <c r="G22026" s="5"/>
    </row>
    <row r="22027" spans="1:7" ht="58.5" customHeight="1" x14ac:dyDescent="0.25">
      <c r="A22027" s="5" t="str">
        <f>"H0003187"</f>
        <v>H0003187</v>
      </c>
      <c r="B22027" s="5" t="str">
        <f t="shared" si="1102"/>
        <v>ESTANTE METALICO 7 ENTREPAÑOS</v>
      </c>
      <c r="C22027" s="6">
        <v>197200</v>
      </c>
      <c r="D22027" s="5"/>
      <c r="E22027" s="5" t="str">
        <f t="shared" si="1101"/>
        <v>ACTISALUD-ESTADISTICA</v>
      </c>
      <c r="F22027" s="5" t="str">
        <f>"Descripcion: 200x90x30 Estado: Bueno Placa anterior: 000024161 Material: METALICO Color: GRIS Referencia:  Observacion:  Placa padre: Tipo adquisicion: Entidad"</f>
        <v>Descripcion: 200x90x30 Estado: Bueno Placa anterior: 000024161 Material: METALICO Color: GRIS Referencia:  Observacion:  Placa padre: Tipo adquisicion: Entidad</v>
      </c>
      <c r="G22027" s="5"/>
    </row>
    <row r="22028" spans="1:7" ht="58.5" customHeight="1" x14ac:dyDescent="0.25">
      <c r="A22028" s="5" t="str">
        <f>"H0003188"</f>
        <v>H0003188</v>
      </c>
      <c r="B22028" s="5" t="str">
        <f t="shared" si="1102"/>
        <v>ESTANTE METALICO 7 ENTREPAÑOS</v>
      </c>
      <c r="C22028" s="6">
        <v>197200</v>
      </c>
      <c r="D22028" s="5"/>
      <c r="E22028" s="5" t="str">
        <f t="shared" si="1101"/>
        <v>ACTISALUD-ESTADISTICA</v>
      </c>
      <c r="F22028" s="5" t="str">
        <f>"Descripcion: 200x90x30 Estado: Bueno Placa anterior: 000024164 Material: METALICO Color: GRIS Referencia:  Observacion:  Placa padre: Tipo adquisicion: Entidad"</f>
        <v>Descripcion: 200x90x30 Estado: Bueno Placa anterior: 000024164 Material: METALICO Color: GRIS Referencia:  Observacion:  Placa padre: Tipo adquisicion: Entidad</v>
      </c>
      <c r="G22028" s="5"/>
    </row>
    <row r="22029" spans="1:7" ht="58.5" customHeight="1" x14ac:dyDescent="0.25">
      <c r="A22029" s="5" t="str">
        <f>"H0003189"</f>
        <v>H0003189</v>
      </c>
      <c r="B22029" s="5" t="str">
        <f t="shared" si="1102"/>
        <v>ESTANTE METALICO 7 ENTREPAÑOS</v>
      </c>
      <c r="C22029" s="6">
        <v>197200</v>
      </c>
      <c r="D22029" s="5"/>
      <c r="E22029" s="5" t="str">
        <f t="shared" si="1101"/>
        <v>ACTISALUD-ESTADISTICA</v>
      </c>
      <c r="F22029" s="5" t="str">
        <f>"Descripcion: 200x90x30 Estado: Bueno Placa anterior: 000024168 Material: METALICO Color: GRIS Referencia:  Observacion:  Placa padre: Tipo adquisicion: Entidad"</f>
        <v>Descripcion: 200x90x30 Estado: Bueno Placa anterior: 000024168 Material: METALICO Color: GRIS Referencia:  Observacion:  Placa padre: Tipo adquisicion: Entidad</v>
      </c>
      <c r="G22029" s="5"/>
    </row>
    <row r="22030" spans="1:7" ht="58.5" customHeight="1" x14ac:dyDescent="0.25">
      <c r="A22030" s="5" t="str">
        <f>"H0003190"</f>
        <v>H0003190</v>
      </c>
      <c r="B22030" s="5" t="str">
        <f t="shared" si="1102"/>
        <v>ESTANTE METALICO 7 ENTREPAÑOS</v>
      </c>
      <c r="C22030" s="6">
        <v>197200</v>
      </c>
      <c r="D22030" s="5"/>
      <c r="E22030" s="5" t="str">
        <f t="shared" si="1101"/>
        <v>ACTISALUD-ESTADISTICA</v>
      </c>
      <c r="F22030" s="5" t="str">
        <f>"Descripcion: 200x90x30 Estado: Bueno Placa anterior: 000024172 Material: METALICO Color: GRIS Referencia:  Observacion:  Placa padre: Tipo adquisicion: Entidad"</f>
        <v>Descripcion: 200x90x30 Estado: Bueno Placa anterior: 000024172 Material: METALICO Color: GRIS Referencia:  Observacion:  Placa padre: Tipo adquisicion: Entidad</v>
      </c>
      <c r="G22030" s="5"/>
    </row>
    <row r="22031" spans="1:7" ht="58.5" customHeight="1" x14ac:dyDescent="0.25">
      <c r="A22031" s="5" t="str">
        <f>"H0003191"</f>
        <v>H0003191</v>
      </c>
      <c r="B22031" s="5" t="str">
        <f t="shared" si="1102"/>
        <v>ESTANTE METALICO 7 ENTREPAÑOS</v>
      </c>
      <c r="C22031" s="6">
        <v>29533.23</v>
      </c>
      <c r="D22031" s="5"/>
      <c r="E22031" s="5" t="str">
        <f t="shared" si="1101"/>
        <v>ACTISALUD-ESTADISTICA</v>
      </c>
      <c r="F22031" s="5" t="str">
        <f>"Descripcion: ESTANTERIA PARA HISTORIAS CLINICAS (ALTURA 2 METROS PANEL 90 CMS LARGO X 30 CMS ANCHO DISTANCIA ENTRE PANEL 30 CMS) Estado: Bueno Placa anterior: 000001807 Material: METALICO Color: GRIS Referencia:  Observacion:  Placa padre: Tipo adquisicio"&amp; "n: Entidad"</f>
        <v>Descripcion: ESTANTERIA PARA HISTORIAS CLINICAS (ALTURA 2 METROS PANEL 90 CMS LARGO X 30 CMS ANCHO DISTANCIA ENTRE PANEL 30 CMS) Estado: Bueno Placa anterior: 000001807 Material: METALICO Color: GRIS Referencia:  Observacion:  Placa padre: Tipo adquisicion: Entidad</v>
      </c>
      <c r="G22031" s="5"/>
    </row>
    <row r="22032" spans="1:7" ht="58.5" customHeight="1" x14ac:dyDescent="0.25">
      <c r="A22032" s="5" t="str">
        <f>"H0003192"</f>
        <v>H0003192</v>
      </c>
      <c r="B22032" s="5" t="str">
        <f t="shared" si="1102"/>
        <v>ESTANTE METALICO 7 ENTREPAÑOS</v>
      </c>
      <c r="C22032" s="6">
        <v>29533.23</v>
      </c>
      <c r="D22032" s="5"/>
      <c r="E22032" s="5" t="str">
        <f t="shared" si="1101"/>
        <v>ACTISALUD-ESTADISTICA</v>
      </c>
      <c r="F22032" s="5" t="str">
        <f>"Descripcion: ESTANTERIA PARA HISTORIAS CLINICAS (ALTURA 2 METROS PANEL 90 CMS LARGO X 30 CMS ANCHO DISTANCIA ENTRE PANEL 30 CMS) Estado: Bueno Placa anterior: 000001806 Material: METALICO Color: GRIS Referencia:  Observacion:  Placa padre: Tipo adquisicio"&amp; "n: Entidad"</f>
        <v>Descripcion: ESTANTERIA PARA HISTORIAS CLINICAS (ALTURA 2 METROS PANEL 90 CMS LARGO X 30 CMS ANCHO DISTANCIA ENTRE PANEL 30 CMS) Estado: Bueno Placa anterior: 000001806 Material: METALICO Color: GRIS Referencia:  Observacion:  Placa padre: Tipo adquisicion: Entidad</v>
      </c>
      <c r="G22032" s="5"/>
    </row>
    <row r="22033" spans="1:7" ht="58.5" customHeight="1" x14ac:dyDescent="0.25">
      <c r="A22033" s="5" t="str">
        <f>"H0003193"</f>
        <v>H0003193</v>
      </c>
      <c r="B22033" s="5" t="str">
        <f t="shared" si="1102"/>
        <v>ESTANTE METALICO 7 ENTREPAÑOS</v>
      </c>
      <c r="C22033" s="6">
        <v>29533.23</v>
      </c>
      <c r="D22033" s="5"/>
      <c r="E22033" s="5" t="str">
        <f t="shared" si="1101"/>
        <v>ACTISALUD-ESTADISTICA</v>
      </c>
      <c r="F22033" s="5" t="str">
        <f>"Descripcion: ESTANTERIA PARA HISTORIAS CLINICAS (ALTURA 2 METROS PANEL 90 CMS LARGO X 30 CMS ANCHO DISTANCIA ENTRE PANEL 30 CMS) Estado: Bueno Placa anterior: 000001805 Material: METALICO Color: GRIS Referencia:  Observacion:  Placa padre: Tipo adquisicio"&amp; "n: Entidad"</f>
        <v>Descripcion: ESTANTERIA PARA HISTORIAS CLINICAS (ALTURA 2 METROS PANEL 90 CMS LARGO X 30 CMS ANCHO DISTANCIA ENTRE PANEL 30 CMS) Estado: Bueno Placa anterior: 000001805 Material: METALICO Color: GRIS Referencia:  Observacion:  Placa padre: Tipo adquisicion: Entidad</v>
      </c>
      <c r="G22033" s="5"/>
    </row>
    <row r="22034" spans="1:7" ht="58.5" customHeight="1" x14ac:dyDescent="0.25">
      <c r="A22034" s="5" t="str">
        <f>"H0003194"</f>
        <v>H0003194</v>
      </c>
      <c r="B22034" s="5" t="str">
        <f t="shared" si="1102"/>
        <v>ESTANTE METALICO 7 ENTREPAÑOS</v>
      </c>
      <c r="C22034" s="6">
        <v>29533.23</v>
      </c>
      <c r="D22034" s="5"/>
      <c r="E22034" s="5" t="str">
        <f t="shared" si="1101"/>
        <v>ACTISALUD-ESTADISTICA</v>
      </c>
      <c r="F22034" s="5" t="str">
        <f>"Descripcion: ESTANTERIA PARA HISTORIAS CLINICAS (ALTURA 2 METROS PANEL 90 CMS LARGO X 30 CMS ANCHO DISTANCIA ENTRE PANEL 30 CMS) Estado: Bueno Placa anterior: 000001804 Material: METALICO Color: GRIS Referencia:  Observacion:  Placa padre: Tipo adquisicio"&amp; "n: Entidad"</f>
        <v>Descripcion: ESTANTERIA PARA HISTORIAS CLINICAS (ALTURA 2 METROS PANEL 90 CMS LARGO X 30 CMS ANCHO DISTANCIA ENTRE PANEL 30 CMS) Estado: Bueno Placa anterior: 000001804 Material: METALICO Color: GRIS Referencia:  Observacion:  Placa padre: Tipo adquisicion: Entidad</v>
      </c>
      <c r="G22034" s="5"/>
    </row>
    <row r="22035" spans="1:7" ht="58.5" customHeight="1" x14ac:dyDescent="0.25">
      <c r="A22035" s="5" t="str">
        <f>"H0003195"</f>
        <v>H0003195</v>
      </c>
      <c r="B22035" s="5" t="str">
        <f t="shared" si="1102"/>
        <v>ESTANTE METALICO 7 ENTREPAÑOS</v>
      </c>
      <c r="C22035" s="6">
        <v>197200</v>
      </c>
      <c r="D22035" s="5"/>
      <c r="E22035" s="5" t="str">
        <f t="shared" si="1101"/>
        <v>ACTISALUD-ESTADISTICA</v>
      </c>
      <c r="F22035" s="5" t="str">
        <f>"Descripcion: ESTANTES METALICOS DE 90-30-2.00H 7 BANDEJAS INCLUYE AMARRES ENTRE ESTANTES Y TENSORES CALIBRE DEL PARAL 16 Y DE LA BANDEJA 22 PARAL CON SISTEMA DE UÑA, PINTURA ELECTROSTATICA EN POLVO HORNEABLE Estado: Bueno Placa anterior: 000024139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000024139 Material: METALICO Color: GRIS Referencia:  Observacion:  Placa padre: Tipo adquisicion: Entidad</v>
      </c>
      <c r="G22035" s="5"/>
    </row>
    <row r="22036" spans="1:7" ht="58.5" customHeight="1" x14ac:dyDescent="0.25">
      <c r="A22036" s="5" t="str">
        <f>"H0003196"</f>
        <v>H0003196</v>
      </c>
      <c r="B22036" s="5" t="str">
        <f t="shared" si="1102"/>
        <v>ESTANTE METALICO 7 ENTREPAÑOS</v>
      </c>
      <c r="C22036" s="6">
        <v>197200</v>
      </c>
      <c r="D22036" s="5"/>
      <c r="E22036" s="5" t="str">
        <f t="shared" si="1101"/>
        <v>ACTISALUD-ESTADISTICA</v>
      </c>
      <c r="F22036" s="5" t="str">
        <f>"Descripcion: ESTANTES METALICOS DE 90-30-2.00H 7 BANDEJAS INCLUYE AMARRES ENTRE ESTANTES Y TENSORES CALIBRE DEL PARAL 16 Y DE LA BANDEJA 22 PARAL CON SISTEMA DE UÑA, PINTURA ELECTROSTATICA EN POLVO HORNEABLE Estado: Bueno Placa anterior: 000024163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000024163 Material: METALICO Color: GRIS Referencia:  Observacion:  Placa padre: Tipo adquisicion: Entidad</v>
      </c>
      <c r="G22036" s="5"/>
    </row>
    <row r="22037" spans="1:7" ht="58.5" customHeight="1" x14ac:dyDescent="0.25">
      <c r="A22037" s="5" t="str">
        <f>"H0003197"</f>
        <v>H0003197</v>
      </c>
      <c r="B22037" s="5" t="str">
        <f t="shared" si="1102"/>
        <v>ESTANTE METALICO 7 ENTREPAÑOS</v>
      </c>
      <c r="C22037" s="6">
        <v>37633</v>
      </c>
      <c r="D22037" s="5"/>
      <c r="E22037" s="5" t="str">
        <f t="shared" si="1101"/>
        <v>ACTISALUD-ESTADISTICA</v>
      </c>
      <c r="F22037" s="5" t="str">
        <f>"Descripcion: ESTANTES METALICOS DE 90-30-2.00H 7 BANDEJAS INCLUYE AMARRES ENTRE ESTANTES Y TENSORES CALIBRE DEL PARAL 16 Y DE LA BANDEJA 22 PARAL CON SISTEMA DE UÑA, PINTURA ELECTROSTATICA EN POLVO HORNEABLE Estado: Bueno Placa anterior: 000000931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000000931 Material: METALICO Color: GRIS Referencia:  Observacion:  Placa padre: Tipo adquisicion: Entidad</v>
      </c>
      <c r="G22037" s="5"/>
    </row>
    <row r="22038" spans="1:7" ht="58.5" customHeight="1" x14ac:dyDescent="0.25">
      <c r="A22038" s="5" t="str">
        <f>"H0003198"</f>
        <v>H0003198</v>
      </c>
      <c r="B22038" s="5" t="str">
        <f t="shared" si="1102"/>
        <v>ESTANTE METALICO 7 ENTREPAÑOS</v>
      </c>
      <c r="C22038" s="6">
        <v>29533.23</v>
      </c>
      <c r="D22038" s="5"/>
      <c r="E22038" s="5" t="str">
        <f t="shared" si="1101"/>
        <v>ACTISALUD-ESTADISTICA</v>
      </c>
      <c r="F22038" s="5" t="str">
        <f>"Descripcion: ESTANTERIA PARA HISTORIAS CLINICAS (ALTURA 2 METROS PANEL 90 CMS LARGO X 30 CMS ANCHO DISTANCIA ENTRE PANEL 30 CMS) Estado: Bueno Placa anterior: 000001810 Material: METALICO Color: GRIS Referencia:  Observacion:  Placa padre: Tipo adquisicio"&amp; "n: Entidad"</f>
        <v>Descripcion: ESTANTERIA PARA HISTORIAS CLINICAS (ALTURA 2 METROS PANEL 90 CMS LARGO X 30 CMS ANCHO DISTANCIA ENTRE PANEL 30 CMS) Estado: Bueno Placa anterior: 000001810 Material: METALICO Color: GRIS Referencia:  Observacion:  Placa padre: Tipo adquisicion: Entidad</v>
      </c>
      <c r="G22038" s="5"/>
    </row>
    <row r="22039" spans="1:7" ht="58.5" customHeight="1" x14ac:dyDescent="0.25">
      <c r="A22039" s="5" t="str">
        <f>"H0003199"</f>
        <v>H0003199</v>
      </c>
      <c r="B22039" s="5" t="str">
        <f t="shared" si="1102"/>
        <v>ESTANTE METALICO 7 ENTREPAÑOS</v>
      </c>
      <c r="C22039" s="6">
        <v>29533.23</v>
      </c>
      <c r="D22039" s="5"/>
      <c r="E22039" s="5" t="str">
        <f t="shared" si="1101"/>
        <v>ACTISALUD-ESTADISTICA</v>
      </c>
      <c r="F22039" s="5" t="str">
        <f>"Descripcion: ESTANTERIA PARA HISTORIAS CLINICAS (ALTURA 2 METROS PANEL 90 CMS LARGO X 30 CMS ANCHO DISTANCIA ENTRE PANEL 30 CMS) Estado: Bueno Placa anterior: 000001809 Material: METALICO Color: GRIS Referencia:  Observacion:  Placa padre: Tipo adquisicio"&amp; "n: Entidad"</f>
        <v>Descripcion: ESTANTERIA PARA HISTORIAS CLINICAS (ALTURA 2 METROS PANEL 90 CMS LARGO X 30 CMS ANCHO DISTANCIA ENTRE PANEL 30 CMS) Estado: Bueno Placa anterior: 000001809 Material: METALICO Color: GRIS Referencia:  Observacion:  Placa padre: Tipo adquisicion: Entidad</v>
      </c>
      <c r="G22039" s="5"/>
    </row>
    <row r="22040" spans="1:7" ht="58.5" customHeight="1" x14ac:dyDescent="0.25">
      <c r="A22040" s="5" t="str">
        <f>"H0003200"</f>
        <v>H0003200</v>
      </c>
      <c r="B22040" s="5" t="str">
        <f t="shared" si="1102"/>
        <v>ESTANTE METALICO 7 ENTREPAÑOS</v>
      </c>
      <c r="C22040" s="6">
        <v>29533.23</v>
      </c>
      <c r="D22040" s="5"/>
      <c r="E22040" s="5" t="str">
        <f t="shared" si="1101"/>
        <v>ACTISALUD-ESTADISTICA</v>
      </c>
      <c r="F22040" s="5" t="str">
        <f>"Descripcion: ESTANTERIA PARA HISTORIAS CLINICAS (ALTURA 2 METROS PANEL 90 CMS LARGO X 30 CMS ANCHO DISTANCIA ENTRE PANEL 30 CMS) Estado: Bueno Placa anterior: 000001808 Material: METALICO Color: GRIS Referencia:  Observacion:  Placa padre: Tipo adquisicio"&amp; "n: Entidad"</f>
        <v>Descripcion: ESTANTERIA PARA HISTORIAS CLINICAS (ALTURA 2 METROS PANEL 90 CMS LARGO X 30 CMS ANCHO DISTANCIA ENTRE PANEL 30 CMS) Estado: Bueno Placa anterior: 000001808 Material: METALICO Color: GRIS Referencia:  Observacion:  Placa padre: Tipo adquisicion: Entidad</v>
      </c>
      <c r="G22040" s="5"/>
    </row>
    <row r="22041" spans="1:7" ht="58.5" customHeight="1" x14ac:dyDescent="0.25">
      <c r="A22041" s="5" t="str">
        <f>"H0003201"</f>
        <v>H0003201</v>
      </c>
      <c r="B22041" s="5" t="str">
        <f t="shared" ref="B22041:B22072" si="1103">"ESTANTE METALICO 7 ENTREPAÑOS"</f>
        <v>ESTANTE METALICO 7 ENTREPAÑOS</v>
      </c>
      <c r="C22041" s="6">
        <v>29533.23</v>
      </c>
      <c r="D22041" s="5"/>
      <c r="E22041" s="5" t="str">
        <f t="shared" si="1101"/>
        <v>ACTISALUD-ESTADISTICA</v>
      </c>
      <c r="F22041" s="5" t="str">
        <f>"Descripcion: ESTANTERIA PARA HISTORIAS CLINICAS (ALTURA 2 METROS PANEL 90 CMS LARGO X 30 CMS ANCHO DISTANCIA ENTRE PANEL 30 CMS) Estado: Bueno Placa anterior: 000001820 Material: METALICO Color: GRIS Referencia:  Observacion:  Placa padre: Tipo adquisicio"&amp; "n: Entidad"</f>
        <v>Descripcion: ESTANTERIA PARA HISTORIAS CLINICAS (ALTURA 2 METROS PANEL 90 CMS LARGO X 30 CMS ANCHO DISTANCIA ENTRE PANEL 30 CMS) Estado: Bueno Placa anterior: 000001820 Material: METALICO Color: GRIS Referencia:  Observacion:  Placa padre: Tipo adquisicion: Entidad</v>
      </c>
      <c r="G22041" s="5"/>
    </row>
    <row r="22042" spans="1:7" ht="58.5" customHeight="1" x14ac:dyDescent="0.25">
      <c r="A22042" s="5" t="str">
        <f>"H0003202"</f>
        <v>H0003202</v>
      </c>
      <c r="B22042" s="5" t="str">
        <f t="shared" si="1103"/>
        <v>ESTANTE METALICO 7 ENTREPAÑOS</v>
      </c>
      <c r="C22042" s="6">
        <v>29533.23</v>
      </c>
      <c r="D22042" s="5"/>
      <c r="E22042" s="5" t="str">
        <f t="shared" si="1101"/>
        <v>ACTISALUD-ESTADISTICA</v>
      </c>
      <c r="F22042" s="5" t="str">
        <f>"Descripcion: ESTANTERIA PARA HISTORIAS CLINICAS (ALTURA 2 METROS PANEL 90 CMS LARGO X 30 CMS ANCHO DISTANCIA ENTRE PANEL 30 CMS) Estado: Bueno Placa anterior: 000001821 Material: METALICO Color: GRIS Referencia:  Observacion:  Placa padre: Tipo adquisicio"&amp; "n: Entidad"</f>
        <v>Descripcion: ESTANTERIA PARA HISTORIAS CLINICAS (ALTURA 2 METROS PANEL 90 CMS LARGO X 30 CMS ANCHO DISTANCIA ENTRE PANEL 30 CMS) Estado: Bueno Placa anterior: 000001821 Material: METALICO Color: GRIS Referencia:  Observacion:  Placa padre: Tipo adquisicion: Entidad</v>
      </c>
      <c r="G22042" s="5"/>
    </row>
    <row r="22043" spans="1:7" ht="58.5" customHeight="1" x14ac:dyDescent="0.25">
      <c r="A22043" s="5" t="str">
        <f>"H0003203"</f>
        <v>H0003203</v>
      </c>
      <c r="B22043" s="5" t="str">
        <f t="shared" si="1103"/>
        <v>ESTANTE METALICO 7 ENTREPAÑOS</v>
      </c>
      <c r="C22043" s="6">
        <v>29533.23</v>
      </c>
      <c r="D22043" s="5"/>
      <c r="E22043" s="5" t="str">
        <f t="shared" si="1101"/>
        <v>ACTISALUD-ESTADISTICA</v>
      </c>
      <c r="F22043" s="5" t="str">
        <f>"Descripcion: ESTANTERIA PARA HISTORIAS CLINICAS (ALTURA 2 METROS PANEL 90 CMS LARGO X 30 CMS ANCHO DISTANCIA ENTRE PANEL 30 CMS) Estado: Bueno Placa anterior: 000001822 Material: METALICO Color: GRIS Referencia:  Observacion:  Placa padre: Tipo adquisicio"&amp; "n: Entidad"</f>
        <v>Descripcion: ESTANTERIA PARA HISTORIAS CLINICAS (ALTURA 2 METROS PANEL 90 CMS LARGO X 30 CMS ANCHO DISTANCIA ENTRE PANEL 30 CMS) Estado: Bueno Placa anterior: 000001822 Material: METALICO Color: GRIS Referencia:  Observacion:  Placa padre: Tipo adquisicion: Entidad</v>
      </c>
      <c r="G22043" s="5"/>
    </row>
    <row r="22044" spans="1:7" ht="58.5" customHeight="1" x14ac:dyDescent="0.25">
      <c r="A22044" s="5" t="str">
        <f>"H0003204"</f>
        <v>H0003204</v>
      </c>
      <c r="B22044" s="5" t="str">
        <f t="shared" si="1103"/>
        <v>ESTANTE METALICO 7 ENTREPAÑOS</v>
      </c>
      <c r="C22044" s="6">
        <v>29533.23</v>
      </c>
      <c r="D22044" s="5"/>
      <c r="E22044" s="5" t="str">
        <f t="shared" si="1101"/>
        <v>ACTISALUD-ESTADISTICA</v>
      </c>
      <c r="F22044" s="5" t="str">
        <f>"Descripcion: ESTANTERIA PARA HISTORIAS CLINICAS (ALTURA 2 METROS PANEL 90 CMS LARGO X 30 CMS ANCHO DISTANCIA ENTRE PANEL 30 CMS) Estado: Bueno Placa anterior: 000001823 Material: METALICO Color: GRIS Referencia:  Observacion:  Placa padre: Tipo adquisicio"&amp; "n: Entidad"</f>
        <v>Descripcion: ESTANTERIA PARA HISTORIAS CLINICAS (ALTURA 2 METROS PANEL 90 CMS LARGO X 30 CMS ANCHO DISTANCIA ENTRE PANEL 30 CMS) Estado: Bueno Placa anterior: 000001823 Material: METALICO Color: GRIS Referencia:  Observacion:  Placa padre: Tipo adquisicion: Entidad</v>
      </c>
      <c r="G22044" s="5"/>
    </row>
    <row r="22045" spans="1:7" ht="58.5" customHeight="1" x14ac:dyDescent="0.25">
      <c r="A22045" s="5" t="str">
        <f>"H0003205"</f>
        <v>H0003205</v>
      </c>
      <c r="B22045" s="5" t="str">
        <f t="shared" si="1103"/>
        <v>ESTANTE METALICO 7 ENTREPAÑOS</v>
      </c>
      <c r="C22045" s="6">
        <v>197200</v>
      </c>
      <c r="D22045" s="5"/>
      <c r="E22045" s="5" t="str">
        <f t="shared" si="1101"/>
        <v>ACTISALUD-ESTADISTICA</v>
      </c>
      <c r="F22045" s="5" t="str">
        <f>"Descripcion: ESTANTES METALICOS DE 90-30-2.00H 7 BANDEJAS INCLUYE AMARRES ENTRE ESTANTES Y TENSORES CALIBRE DEL PARAL 16 Y DE LA BANDEJA 22 PARAL CON SISTEMA DE UÑA, PINTURA ELECTROSTATICA EN POLVO HORNEABLE Estado: Bueno Placa anterior: 000024160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000024160 Material: METALICO Color: GRIS Referencia:  Observacion:  Placa padre: Tipo adquisicion: Entidad</v>
      </c>
      <c r="G22045" s="5"/>
    </row>
    <row r="22046" spans="1:7" ht="58.5" customHeight="1" x14ac:dyDescent="0.25">
      <c r="A22046" s="5" t="str">
        <f>"H0003206"</f>
        <v>H0003206</v>
      </c>
      <c r="B22046" s="5" t="str">
        <f t="shared" si="1103"/>
        <v>ESTANTE METALICO 7 ENTREPAÑOS</v>
      </c>
      <c r="C22046" s="6">
        <v>197200</v>
      </c>
      <c r="D22046" s="5"/>
      <c r="E22046" s="5" t="str">
        <f t="shared" si="1101"/>
        <v>ACTISALUD-ESTADISTICA</v>
      </c>
      <c r="F22046" s="5" t="str">
        <f>"Descripcion: ESTANTES METALICOS DE 90-30-2.00H 7 BANDEJAS INCLUYE AMARRES ENTRE ESTANTES Y TENSORES CALIBRE DEL PARAL 16 Y DE LA BANDEJA 22 PARAL CON SISTEMA DE UÑA, PINTURA ELECTROSTATICA EN POLVO HORNEABLE Estado: Bueno Placa anterior: 000024159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000024159 Material: METALICO Color: GRIS Referencia:  Observacion:  Placa padre: Tipo adquisicion: Entidad</v>
      </c>
      <c r="G22046" s="5"/>
    </row>
    <row r="22047" spans="1:7" ht="58.5" customHeight="1" x14ac:dyDescent="0.25">
      <c r="A22047" s="5" t="str">
        <f>"H0003207"</f>
        <v>H0003207</v>
      </c>
      <c r="B22047" s="5" t="str">
        <f t="shared" si="1103"/>
        <v>ESTANTE METALICO 7 ENTREPAÑOS</v>
      </c>
      <c r="C22047" s="6">
        <v>29533.23</v>
      </c>
      <c r="D22047" s="5"/>
      <c r="E22047" s="5" t="str">
        <f t="shared" si="1101"/>
        <v>ACTISALUD-ESTADISTICA</v>
      </c>
      <c r="F22047" s="5" t="str">
        <f>"Descripcion: ESTANTERIA PARA HISTORIAS CLINICAS (ALTURA 2 METROS PANEL 90 CMS LARGO X 30 CMS ANCHO DISTANCIA ENTRE PANEL 30 CMS) Estado: Bueno Placa anterior: 000001827 Material: METALICO Color: GRIS Referencia:  Observacion:  Placa padre: Tipo adquisicio"&amp; "n: Entidad"</f>
        <v>Descripcion: ESTANTERIA PARA HISTORIAS CLINICAS (ALTURA 2 METROS PANEL 90 CMS LARGO X 30 CMS ANCHO DISTANCIA ENTRE PANEL 30 CMS) Estado: Bueno Placa anterior: 000001827 Material: METALICO Color: GRIS Referencia:  Observacion:  Placa padre: Tipo adquisicion: Entidad</v>
      </c>
      <c r="G22047" s="5"/>
    </row>
    <row r="22048" spans="1:7" ht="58.5" customHeight="1" x14ac:dyDescent="0.25">
      <c r="A22048" s="5" t="str">
        <f>"H0003208"</f>
        <v>H0003208</v>
      </c>
      <c r="B22048" s="5" t="str">
        <f t="shared" si="1103"/>
        <v>ESTANTE METALICO 7 ENTREPAÑOS</v>
      </c>
      <c r="C22048" s="6">
        <v>29533.23</v>
      </c>
      <c r="D22048" s="5"/>
      <c r="E22048" s="5" t="str">
        <f t="shared" si="1101"/>
        <v>ACTISALUD-ESTADISTICA</v>
      </c>
      <c r="F22048" s="5" t="str">
        <f>"Descripcion: ESTANTERIA PARA HISTORIAS CLINICAS (ALTURA 2 METROS PANEL 90 CMS LARGO X 30 CMS ANCHO DISTANCIA ENTRE PANEL 30 CMS) Estado: Bueno Placa anterior: 000001826 Material: METALICO Color: GRIS Referencia:  Observacion:  Placa padre: Tipo adquisicio"&amp; "n: Entidad"</f>
        <v>Descripcion: ESTANTERIA PARA HISTORIAS CLINICAS (ALTURA 2 METROS PANEL 90 CMS LARGO X 30 CMS ANCHO DISTANCIA ENTRE PANEL 30 CMS) Estado: Bueno Placa anterior: 000001826 Material: METALICO Color: GRIS Referencia:  Observacion:  Placa padre: Tipo adquisicion: Entidad</v>
      </c>
      <c r="G22048" s="5"/>
    </row>
    <row r="22049" spans="1:7" ht="58.5" customHeight="1" x14ac:dyDescent="0.25">
      <c r="A22049" s="5" t="str">
        <f>"H0003209"</f>
        <v>H0003209</v>
      </c>
      <c r="B22049" s="5" t="str">
        <f t="shared" si="1103"/>
        <v>ESTANTE METALICO 7 ENTREPAÑOS</v>
      </c>
      <c r="C22049" s="6">
        <v>29533.23</v>
      </c>
      <c r="D22049" s="5"/>
      <c r="E22049" s="5" t="str">
        <f t="shared" si="1101"/>
        <v>ACTISALUD-ESTADISTICA</v>
      </c>
      <c r="F22049" s="5" t="str">
        <f>"Descripcion: ESTANTERIA PARA HISTORIAS CLINICAS (ALTURA 2 METROS PANEL 90 CMS LARGO X 30 CMS ANCHO DISTANCIA ENTRE PANEL 30 CMS) Estado: Bueno Placa anterior: 000001825 Material: METALICO Color: GRIS Referencia:  Observacion:  Placa padre: Tipo adquisicio"&amp; "n: Entidad"</f>
        <v>Descripcion: ESTANTERIA PARA HISTORIAS CLINICAS (ALTURA 2 METROS PANEL 90 CMS LARGO X 30 CMS ANCHO DISTANCIA ENTRE PANEL 30 CMS) Estado: Bueno Placa anterior: 000001825 Material: METALICO Color: GRIS Referencia:  Observacion:  Placa padre: Tipo adquisicion: Entidad</v>
      </c>
      <c r="G22049" s="5"/>
    </row>
    <row r="22050" spans="1:7" ht="58.5" customHeight="1" x14ac:dyDescent="0.25">
      <c r="A22050" s="5" t="str">
        <f>"H0003210"</f>
        <v>H0003210</v>
      </c>
      <c r="B22050" s="5" t="str">
        <f t="shared" si="1103"/>
        <v>ESTANTE METALICO 7 ENTREPAÑOS</v>
      </c>
      <c r="C22050" s="6">
        <v>29533.23</v>
      </c>
      <c r="D22050" s="5"/>
      <c r="E22050" s="5" t="str">
        <f t="shared" si="1101"/>
        <v>ACTISALUD-ESTADISTICA</v>
      </c>
      <c r="F22050" s="5" t="str">
        <f>"Descripcion: ESTANTERIA PARA HISTORIAS CLINICAS (ALTURA 2 METROS PANEL 90 CMS LARGO X 30 CMS ANCHO DISTANCIA ENTRE PANEL 30 CMS) Estado: Bueno Placa anterior: 000001824 Material: METALICO Color: GRIS Referencia:  Observacion:  Placa padre: Tipo adquisicio"&amp; "n: Entidad"</f>
        <v>Descripcion: ESTANTERIA PARA HISTORIAS CLINICAS (ALTURA 2 METROS PANEL 90 CMS LARGO X 30 CMS ANCHO DISTANCIA ENTRE PANEL 30 CMS) Estado: Bueno Placa anterior: 000001824 Material: METALICO Color: GRIS Referencia:  Observacion:  Placa padre: Tipo adquisicion: Entidad</v>
      </c>
      <c r="G22050" s="5"/>
    </row>
    <row r="22051" spans="1:7" ht="58.5" customHeight="1" x14ac:dyDescent="0.25">
      <c r="A22051" s="5" t="str">
        <f>"H0003211"</f>
        <v>H0003211</v>
      </c>
      <c r="B22051" s="5" t="str">
        <f t="shared" si="1103"/>
        <v>ESTANTE METALICO 7 ENTREPAÑOS</v>
      </c>
      <c r="C22051" s="6">
        <v>29533.23</v>
      </c>
      <c r="D22051" s="5"/>
      <c r="E22051" s="5" t="str">
        <f t="shared" si="1101"/>
        <v>ACTISALUD-ESTADISTICA</v>
      </c>
      <c r="F22051" s="5" t="str">
        <f>"Descripcion: ESTANTERIA PARA HISTORIAS CLINICAS (ALTURA 2 METROS PANEL 90 CMS LARGO X 30 CMS ANCHO DISTANCIA ENTRE PANEL 30 CMS) Estado: Bueno Placa anterior: 000001819 Material: METALICO Color: GRIS Referencia:  Observacion:  Placa padre: Tipo adquisicio"&amp; "n: Entidad"</f>
        <v>Descripcion: ESTANTERIA PARA HISTORIAS CLINICAS (ALTURA 2 METROS PANEL 90 CMS LARGO X 30 CMS ANCHO DISTANCIA ENTRE PANEL 30 CMS) Estado: Bueno Placa anterior: 000001819 Material: METALICO Color: GRIS Referencia:  Observacion:  Placa padre: Tipo adquisicion: Entidad</v>
      </c>
      <c r="G22051" s="5"/>
    </row>
    <row r="22052" spans="1:7" ht="58.5" customHeight="1" x14ac:dyDescent="0.25">
      <c r="A22052" s="5" t="str">
        <f>"H0003212"</f>
        <v>H0003212</v>
      </c>
      <c r="B22052" s="5" t="str">
        <f t="shared" si="1103"/>
        <v>ESTANTE METALICO 7 ENTREPAÑOS</v>
      </c>
      <c r="C22052" s="6">
        <v>29533.23</v>
      </c>
      <c r="D22052" s="5"/>
      <c r="E22052" s="5" t="str">
        <f t="shared" si="1101"/>
        <v>ACTISALUD-ESTADISTICA</v>
      </c>
      <c r="F22052" s="5" t="str">
        <f>"Descripcion: ESTANTERIA PARA HISTORIAS CLINICAS (ALTURA 2 METROS PANEL 90 CMS LARGO X 30 CMS ANCHO DISTANCIA ENTRE PANEL 30 CMS) Estado: Bueno Placa anterior: 000001818 Material: METALICO Color: GRIS Referencia:  Observacion:  Placa padre: Tipo adquisicio"&amp; "n: Entidad"</f>
        <v>Descripcion: ESTANTERIA PARA HISTORIAS CLINICAS (ALTURA 2 METROS PANEL 90 CMS LARGO X 30 CMS ANCHO DISTANCIA ENTRE PANEL 30 CMS) Estado: Bueno Placa anterior: 000001818 Material: METALICO Color: GRIS Referencia:  Observacion:  Placa padre: Tipo adquisicion: Entidad</v>
      </c>
      <c r="G22052" s="5"/>
    </row>
    <row r="22053" spans="1:7" ht="58.5" customHeight="1" x14ac:dyDescent="0.25">
      <c r="A22053" s="5" t="str">
        <f>"H0003213"</f>
        <v>H0003213</v>
      </c>
      <c r="B22053" s="5" t="str">
        <f t="shared" si="1103"/>
        <v>ESTANTE METALICO 7 ENTREPAÑOS</v>
      </c>
      <c r="C22053" s="6">
        <v>29533.23</v>
      </c>
      <c r="D22053" s="5"/>
      <c r="E22053" s="5" t="str">
        <f t="shared" si="1101"/>
        <v>ACTISALUD-ESTADISTICA</v>
      </c>
      <c r="F22053" s="5" t="str">
        <f>"Descripcion: ESTANTERIA PARA HISTORIAS CLINICAS (ALTURA 2 METROS PANEL 90 CMS LARGO X 30 CMS ANCHO DISTANCIA ENTRE PANEL 30 CMS) Estado: Bueno Placa anterior: 000001817 Material: METALICO Color: GRIS Referencia:  Observacion:  Placa padre: Tipo adquisicio"&amp; "n: Entidad"</f>
        <v>Descripcion: ESTANTERIA PARA HISTORIAS CLINICAS (ALTURA 2 METROS PANEL 90 CMS LARGO X 30 CMS ANCHO DISTANCIA ENTRE PANEL 30 CMS) Estado: Bueno Placa anterior: 000001817 Material: METALICO Color: GRIS Referencia:  Observacion:  Placa padre: Tipo adquisicion: Entidad</v>
      </c>
      <c r="G22053" s="5"/>
    </row>
    <row r="22054" spans="1:7" ht="58.5" customHeight="1" x14ac:dyDescent="0.25">
      <c r="A22054" s="5" t="str">
        <f>"H0003214"</f>
        <v>H0003214</v>
      </c>
      <c r="B22054" s="5" t="str">
        <f t="shared" si="1103"/>
        <v>ESTANTE METALICO 7 ENTREPAÑOS</v>
      </c>
      <c r="C22054" s="6">
        <v>29533.23</v>
      </c>
      <c r="D22054" s="5"/>
      <c r="E22054" s="5" t="str">
        <f t="shared" si="1101"/>
        <v>ACTISALUD-ESTADISTICA</v>
      </c>
      <c r="F22054" s="5" t="str">
        <f>"Descripcion: ESTANTERIA PARA HISTORIAS CLINICAS (ALTURA 2 METROS PANEL 90 CMS LARGO X 30 CMS ANCHO DISTANCIA ENTRE PANEL 30 CMS) Estado: Bueno Placa anterior: 000001816 Material: METALICO Color: GRIS Referencia:  Observacion:  Placa padre: Tipo adquisicio"&amp; "n: Entidad"</f>
        <v>Descripcion: ESTANTERIA PARA HISTORIAS CLINICAS (ALTURA 2 METROS PANEL 90 CMS LARGO X 30 CMS ANCHO DISTANCIA ENTRE PANEL 30 CMS) Estado: Bueno Placa anterior: 000001816 Material: METALICO Color: GRIS Referencia:  Observacion:  Placa padre: Tipo adquisicion: Entidad</v>
      </c>
      <c r="G22054" s="5"/>
    </row>
    <row r="22055" spans="1:7" ht="58.5" customHeight="1" x14ac:dyDescent="0.25">
      <c r="A22055" s="5" t="str">
        <f>"H0003215"</f>
        <v>H0003215</v>
      </c>
      <c r="B22055" s="5" t="str">
        <f t="shared" si="1103"/>
        <v>ESTANTE METALICO 7 ENTREPAÑOS</v>
      </c>
      <c r="C22055" s="6">
        <v>197200</v>
      </c>
      <c r="D22055" s="5"/>
      <c r="E22055" s="5" t="str">
        <f t="shared" si="1101"/>
        <v>ACTISALUD-ESTADISTICA</v>
      </c>
      <c r="F22055" s="5" t="str">
        <f>"Descripcion: ESTANTES METALICOS DE 90-30-2.00H 7 BANDEJAS INCLUYE AMARRES ENTRE ESTANTES Y TENSORES CALIBRE DEL PARAL 16 Y DE LA BANDEJA 22 PARAL CON SISTEMA DE UÑA, PINTURA ELECTROSTATICA EN POLVO HORNEABLE Estado: Bueno Placa anterior: 000024146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000024146 Material: METALICO Color: GRIS Referencia:  Observacion:  Placa padre: Tipo adquisicion: Entidad</v>
      </c>
      <c r="G22055" s="5"/>
    </row>
    <row r="22056" spans="1:7" ht="58.5" customHeight="1" x14ac:dyDescent="0.25">
      <c r="A22056" s="5" t="str">
        <f>"H0003216"</f>
        <v>H0003216</v>
      </c>
      <c r="B22056" s="5" t="str">
        <f t="shared" si="1103"/>
        <v>ESTANTE METALICO 7 ENTREPAÑOS</v>
      </c>
      <c r="C22056" s="6">
        <v>29533.23</v>
      </c>
      <c r="D22056" s="5"/>
      <c r="E22056" s="5" t="str">
        <f t="shared" si="1101"/>
        <v>ACTISALUD-ESTADISTICA</v>
      </c>
      <c r="F22056" s="5" t="str">
        <f>"Descripcion: ESTANTERIA PARA HISTORIAS CLINICAS (ALTURA 2 METROS PANEL 90 CMS LARGO X 30 CMS ANCHO DISTANCIA ENTRE PANEL 30 CMS) Estado: Bueno Placa anterior: 000001815 Material: METALICO Color: GRIS Referencia:  Observacion:  Placa padre: Tipo adquisicio"&amp; "n: Entidad"</f>
        <v>Descripcion: ESTANTERIA PARA HISTORIAS CLINICAS (ALTURA 2 METROS PANEL 90 CMS LARGO X 30 CMS ANCHO DISTANCIA ENTRE PANEL 30 CMS) Estado: Bueno Placa anterior: 000001815 Material: METALICO Color: GRIS Referencia:  Observacion:  Placa padre: Tipo adquisicion: Entidad</v>
      </c>
      <c r="G22056" s="5"/>
    </row>
    <row r="22057" spans="1:7" ht="58.5" customHeight="1" x14ac:dyDescent="0.25">
      <c r="A22057" s="5" t="str">
        <f>"H0003217"</f>
        <v>H0003217</v>
      </c>
      <c r="B22057" s="5" t="str">
        <f t="shared" si="1103"/>
        <v>ESTANTE METALICO 7 ENTREPAÑOS</v>
      </c>
      <c r="C22057" s="6">
        <v>29533.23</v>
      </c>
      <c r="D22057" s="5"/>
      <c r="E22057" s="5" t="str">
        <f t="shared" si="1101"/>
        <v>ACTISALUD-ESTADISTICA</v>
      </c>
      <c r="F22057" s="5" t="str">
        <f>"Descripcion: ESTANTERIA PARA HISTORIAS CLINICAS (ALTURA 2 METROS PANEL 90 CMS LARGO X 30 CMS ANCHO DISTANCIA ENTRE PANEL 30 CMS) Estado: Bueno Placa anterior: 000001814 Material: METALICO Color: GRIS Referencia:  Observacion:  Placa padre: Tipo adquisicio"&amp; "n: Entidad"</f>
        <v>Descripcion: ESTANTERIA PARA HISTORIAS CLINICAS (ALTURA 2 METROS PANEL 90 CMS LARGO X 30 CMS ANCHO DISTANCIA ENTRE PANEL 30 CMS) Estado: Bueno Placa anterior: 000001814 Material: METALICO Color: GRIS Referencia:  Observacion:  Placa padre: Tipo adquisicion: Entidad</v>
      </c>
      <c r="G22057" s="5"/>
    </row>
    <row r="22058" spans="1:7" ht="58.5" customHeight="1" x14ac:dyDescent="0.25">
      <c r="A22058" s="5" t="str">
        <f>"H0003218"</f>
        <v>H0003218</v>
      </c>
      <c r="B22058" s="5" t="str">
        <f t="shared" si="1103"/>
        <v>ESTANTE METALICO 7 ENTREPAÑOS</v>
      </c>
      <c r="C22058" s="6">
        <v>29533.23</v>
      </c>
      <c r="D22058" s="5"/>
      <c r="E22058" s="5" t="str">
        <f t="shared" si="1101"/>
        <v>ACTISALUD-ESTADISTICA</v>
      </c>
      <c r="F22058" s="5" t="str">
        <f>"Descripcion: ESTANTERIA PARA HISTORIAS CLINICAS (ALTURA 2 METROS PANEL 90 CMS LARGO X 30 CMS ANCHO DISTANCIA ENTRE PANEL 30 CMS) Estado: Bueno Placa anterior: 000001813 Material: METALICO Color: GRIS Referencia:  Observacion:  Placa padre: Tipo adquisicio"&amp; "n: Entidad"</f>
        <v>Descripcion: ESTANTERIA PARA HISTORIAS CLINICAS (ALTURA 2 METROS PANEL 90 CMS LARGO X 30 CMS ANCHO DISTANCIA ENTRE PANEL 30 CMS) Estado: Bueno Placa anterior: 000001813 Material: METALICO Color: GRIS Referencia:  Observacion:  Placa padre: Tipo adquisicion: Entidad</v>
      </c>
      <c r="G22058" s="5"/>
    </row>
    <row r="22059" spans="1:7" ht="58.5" customHeight="1" x14ac:dyDescent="0.25">
      <c r="A22059" s="5" t="str">
        <f>"H0003219"</f>
        <v>H0003219</v>
      </c>
      <c r="B22059" s="5" t="str">
        <f t="shared" si="1103"/>
        <v>ESTANTE METALICO 7 ENTREPAÑOS</v>
      </c>
      <c r="C22059" s="6">
        <v>29533.23</v>
      </c>
      <c r="D22059" s="5"/>
      <c r="E22059" s="5" t="str">
        <f t="shared" si="1101"/>
        <v>ACTISALUD-ESTADISTICA</v>
      </c>
      <c r="F22059" s="5" t="str">
        <f>"Descripcion: ESTANTERIA PARA HISTORIAS CLINICAS (ALTURA 2 METROS PANEL 90 CMS LARGO X 30 CMS ANCHO DISTANCIA ENTRE PANEL 30 CMS) Estado: Bueno Placa anterior: 000001812 Material: METALICO Color: GRIS Referencia:  Observacion:  Placa padre: Tipo adquisicio"&amp; "n: Entidad"</f>
        <v>Descripcion: ESTANTERIA PARA HISTORIAS CLINICAS (ALTURA 2 METROS PANEL 90 CMS LARGO X 30 CMS ANCHO DISTANCIA ENTRE PANEL 30 CMS) Estado: Bueno Placa anterior: 000001812 Material: METALICO Color: GRIS Referencia:  Observacion:  Placa padre: Tipo adquisicion: Entidad</v>
      </c>
      <c r="G22059" s="5"/>
    </row>
    <row r="22060" spans="1:7" ht="58.5" customHeight="1" x14ac:dyDescent="0.25">
      <c r="A22060" s="5" t="str">
        <f>"H0003220"</f>
        <v>H0003220</v>
      </c>
      <c r="B22060" s="5" t="str">
        <f t="shared" si="1103"/>
        <v>ESTANTE METALICO 7 ENTREPAÑOS</v>
      </c>
      <c r="C22060" s="6">
        <v>197200</v>
      </c>
      <c r="D22060" s="5"/>
      <c r="E22060" s="5" t="str">
        <f t="shared" si="1101"/>
        <v>ACTISALUD-ESTADISTICA</v>
      </c>
      <c r="F22060" s="5" t="str">
        <f>"Descripcion: ESTANTERIA PARA HISTORIAS CLINICAS (ALTURA 2 METROS PANEL 90 CMS LARGO X 30 CMS ANCHO DISTANCIA ENTRE PANEL 30 CMS) Estado: Bueno Placa anterior: 000024141 Material: METALICO Color: GRIS Referencia:  Observacion:  Placa padre: Tipo adquisicio"&amp; "n: Entidad"</f>
        <v>Descripcion: ESTANTERIA PARA HISTORIAS CLINICAS (ALTURA 2 METROS PANEL 90 CMS LARGO X 30 CMS ANCHO DISTANCIA ENTRE PANEL 30 CMS) Estado: Bueno Placa anterior: 000024141 Material: METALICO Color: GRIS Referencia:  Observacion:  Placa padre: Tipo adquisicion: Entidad</v>
      </c>
      <c r="G22060" s="5"/>
    </row>
    <row r="22061" spans="1:7" ht="58.5" customHeight="1" x14ac:dyDescent="0.25">
      <c r="A22061" s="5" t="str">
        <f>"H0003222"</f>
        <v>H0003222</v>
      </c>
      <c r="B22061" s="5" t="str">
        <f t="shared" si="1103"/>
        <v>ESTANTE METALICO 7 ENTREPAÑOS</v>
      </c>
      <c r="C22061" s="6">
        <v>197200</v>
      </c>
      <c r="D22061" s="5"/>
      <c r="E22061" s="5" t="str">
        <f t="shared" si="1101"/>
        <v>ACTISALUD-ESTADISTICA</v>
      </c>
      <c r="F22061" s="5" t="str">
        <f>"Descripcion: ESTANTES METALICOS DE 90-30-2.00H 7 BANDEJAS INCLUYE AMARRES ENTRE ESTANTES Y TENSORES CALIBRE DEL PARAL 16 Y DE LA BANDEJA 22 PARAL CON SISTEMA DE UÑA, PINTURA ELECTROSTATICA EN POLVO HORNEABLE Estado: Bueno Placa anterior: 000024166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000024166 Material: METALICO Color: GRIS Referencia:  Observacion:  Placa padre: Tipo adquisicion: Entidad</v>
      </c>
      <c r="G22061" s="5"/>
    </row>
    <row r="22062" spans="1:7" ht="58.5" customHeight="1" x14ac:dyDescent="0.25">
      <c r="A22062" s="5" t="str">
        <f>"H0003223"</f>
        <v>H0003223</v>
      </c>
      <c r="B22062" s="5" t="str">
        <f t="shared" si="1103"/>
        <v>ESTANTE METALICO 7 ENTREPAÑOS</v>
      </c>
      <c r="C22062" s="6">
        <v>197200</v>
      </c>
      <c r="D22062" s="5"/>
      <c r="E22062" s="5" t="str">
        <f t="shared" si="1101"/>
        <v>ACTISALUD-ESTADISTICA</v>
      </c>
      <c r="F22062" s="5" t="str">
        <f>"Descripcion: ESTANTES METALICOS DE 90-30-2.00H 7 BANDEJAS INCLUYE AMARRES ENTRE ESTANTES Y TENSORES CALIBRE DEL PARAL 16 Y DE LA BANDEJA 22 PARAL CON SISTEMA DE UÑA, PINTURA ELECTROSTATICA EN POLVO HORNEABLE Estado: Bueno Placa anterior: 000024167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000024167 Material: METALICO Color: GRIS Referencia:  Observacion:  Placa padre: Tipo adquisicion: Entidad</v>
      </c>
      <c r="G22062" s="5"/>
    </row>
    <row r="22063" spans="1:7" ht="58.5" customHeight="1" x14ac:dyDescent="0.25">
      <c r="A22063" s="5" t="str">
        <f>"H0003224"</f>
        <v>H0003224</v>
      </c>
      <c r="B22063" s="5" t="str">
        <f t="shared" si="1103"/>
        <v>ESTANTE METALICO 7 ENTREPAÑOS</v>
      </c>
      <c r="C22063" s="6">
        <v>197200</v>
      </c>
      <c r="D22063" s="5"/>
      <c r="E22063" s="5" t="str">
        <f t="shared" si="1101"/>
        <v>ACTISALUD-ESTADISTICA</v>
      </c>
      <c r="F22063" s="5" t="str">
        <f>"Descripcion: ESTANTES METALICOS DE 90-30-2.00H 7 BANDEJAS INCLUYE AMARRES ENTRE ESTANTES Y TENSORES CALIBRE DEL PARAL 16 Y DE LA BANDEJA 22 PARAL CON SISTEMA DE UÑA, PINTURA ELECTROSTATICA EN POLVO HORNEABLE Estado: Bueno Placa anterior: 000024134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000024134 Material: METALICO Color: GRIS Referencia:  Observacion:  Placa padre: Tipo adquisicion: Entidad</v>
      </c>
      <c r="G22063" s="5"/>
    </row>
    <row r="22064" spans="1:7" ht="58.5" customHeight="1" x14ac:dyDescent="0.25">
      <c r="A22064" s="5" t="str">
        <f>"H0003225"</f>
        <v>H0003225</v>
      </c>
      <c r="B22064" s="5" t="str">
        <f t="shared" si="1103"/>
        <v>ESTANTE METALICO 7 ENTREPAÑOS</v>
      </c>
      <c r="C22064" s="6">
        <v>197200</v>
      </c>
      <c r="D22064" s="5"/>
      <c r="E22064" s="5" t="str">
        <f t="shared" si="1101"/>
        <v>ACTISALUD-ESTADISTICA</v>
      </c>
      <c r="F22064" s="5" t="str">
        <f>"Descripcion: ESTANTES METALICOS DE 90-30-2.00H 7 BANDEJAS INCLUYE AMARRES ENTRE ESTANTES Y TENSORES CALIBRE DEL PARAL 16 Y DE LA BANDEJA 22 PARAL CON SISTEMA DE UÑA, PINTURA ELECTROSTATICA EN POLVO HORNEABLE Estado: Bueno Placa anterior: 000024157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000024157 Material: METALICO Color: GRIS Referencia:  Observacion:  Placa padre: Tipo adquisicion: Entidad</v>
      </c>
      <c r="G22064" s="5"/>
    </row>
    <row r="22065" spans="1:7" ht="58.5" customHeight="1" x14ac:dyDescent="0.25">
      <c r="A22065" s="5" t="str">
        <f>"H0003226"</f>
        <v>H0003226</v>
      </c>
      <c r="B22065" s="5" t="str">
        <f t="shared" si="1103"/>
        <v>ESTANTE METALICO 7 ENTREPAÑOS</v>
      </c>
      <c r="C22065" s="6">
        <v>197200</v>
      </c>
      <c r="D22065" s="5"/>
      <c r="E22065" s="5" t="str">
        <f t="shared" si="1101"/>
        <v>ACTISALUD-ESTADISTICA</v>
      </c>
      <c r="F22065" s="5" t="str">
        <f>"Descripcion: ESTANTES METALICOS DE 90-30-2.00H 7 BANDEJAS INCLUYE AMARRES ENTRE ESTANTES Y TENSORES CALIBRE DEL PARAL 16 Y DE LA BANDEJA 22 PARAL CON SISTEMA DE UÑA, PINTURA ELECTROSTATICA EN POLVO HORNEABLE Estado: Bueno Placa anterior: 000024158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000024158 Material: METALICO Color: GRIS Referencia:  Observacion:  Placa padre: Tipo adquisicion: Entidad</v>
      </c>
      <c r="G22065" s="5"/>
    </row>
    <row r="22066" spans="1:7" ht="58.5" customHeight="1" x14ac:dyDescent="0.25">
      <c r="A22066" s="5" t="str">
        <f>"H0003227"</f>
        <v>H0003227</v>
      </c>
      <c r="B22066" s="5" t="str">
        <f t="shared" si="1103"/>
        <v>ESTANTE METALICO 7 ENTREPAÑOS</v>
      </c>
      <c r="C22066" s="6">
        <v>197200</v>
      </c>
      <c r="D22066" s="5"/>
      <c r="E22066" s="5" t="str">
        <f t="shared" si="1101"/>
        <v>ACTISALUD-ESTADISTICA</v>
      </c>
      <c r="F22066" s="5" t="str">
        <f>"Descripcion: ESTANTES METALICOS DE 90-30-2.00H 7 BANDEJAS INCLUYE AMARRES ENTRE ESTANTES Y TENSORES CALIBRE DEL PARAL 16 Y DE LA BANDEJA 22 PARAL CON SISTEMA DE UÑA, PINTURA ELECTROSTATICA EN POLVO HORNEABLE Estado: Bueno Placa anterior: 000024171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000024171 Material: METALICO Color: GRIS Referencia:  Observacion:  Placa padre: Tipo adquisicion: Entidad</v>
      </c>
      <c r="G22066" s="5"/>
    </row>
    <row r="22067" spans="1:7" ht="58.5" customHeight="1" x14ac:dyDescent="0.25">
      <c r="A22067" s="5" t="str">
        <f>"H0003228"</f>
        <v>H0003228</v>
      </c>
      <c r="B22067" s="5" t="str">
        <f t="shared" si="1103"/>
        <v>ESTANTE METALICO 7 ENTREPAÑOS</v>
      </c>
      <c r="C22067" s="6">
        <v>197200</v>
      </c>
      <c r="D22067" s="5"/>
      <c r="E22067" s="5" t="str">
        <f t="shared" si="1101"/>
        <v>ACTISALUD-ESTADISTICA</v>
      </c>
      <c r="F22067" s="5" t="str">
        <f>"Descripcion: ESTANTES METALICOS DE 90-30-2.00H 7 BANDEJAS INCLUYE AMARRES ENTRE ESTANTES Y TENSORES CALIBRE DEL PARAL 16 Y DE LA BANDEJA 22 PARAL CON SISTEMA DE UÑA, PINTURA ELECTROSTATICA EN POLVO HORNEABLE Estado: Bueno Placa anterior: 000024177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000024177 Material: METALICO Color: GRIS Referencia:  Observacion:  Placa padre: Tipo adquisicion: Entidad</v>
      </c>
      <c r="G22067" s="5"/>
    </row>
    <row r="22068" spans="1:7" ht="58.5" customHeight="1" x14ac:dyDescent="0.25">
      <c r="A22068" s="5" t="str">
        <f>"H0003229"</f>
        <v>H0003229</v>
      </c>
      <c r="B22068" s="5" t="str">
        <f t="shared" si="1103"/>
        <v>ESTANTE METALICO 7 ENTREPAÑOS</v>
      </c>
      <c r="C22068" s="6">
        <v>8840.07</v>
      </c>
      <c r="D22068" s="5"/>
      <c r="E22068" s="5" t="str">
        <f t="shared" si="1101"/>
        <v>ACTISALUD-ESTADISTICA</v>
      </c>
      <c r="F22068" s="5" t="str">
        <f>"Descripcion: ESTANTES METALICOS DE 90-30-2.00H 7 BANDEJAS INCLUYE AMARRES ENTRE ESTANTES Y TENSORES CALIBRE DEL PARAL 16 Y DE LA BANDEJA 22 PARAL CON SISTEMA DE UÑA, PINTURA ELECTROSTATICA EN POLVO HORNEABLE Estado: Bueno Placa anterior: 000002322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000002322 Material: METALICO Color: GRIS Referencia:  Observacion:  Placa padre: Tipo adquisicion: Entidad</v>
      </c>
      <c r="G22068" s="5"/>
    </row>
    <row r="22069" spans="1:7" ht="58.5" customHeight="1" x14ac:dyDescent="0.25">
      <c r="A22069" s="5" t="str">
        <f>"H0003230"</f>
        <v>H0003230</v>
      </c>
      <c r="B22069" s="5" t="str">
        <f t="shared" si="1103"/>
        <v>ESTANTE METALICO 7 ENTREPAÑOS</v>
      </c>
      <c r="C22069" s="6">
        <v>8840.07</v>
      </c>
      <c r="D22069" s="5"/>
      <c r="E22069" s="5" t="str">
        <f t="shared" si="1101"/>
        <v>ACTISALUD-ESTADISTICA</v>
      </c>
      <c r="F22069" s="5" t="str">
        <f>"Descripcion: ESTANTES METALICOS DE 90-30-2.00H 7 BANDEJAS INCLUYE AMARRES ENTRE ESTANTES Y TENSORES CALIBRE DEL PARAL 16 Y DE LA BANDEJA 22 PARAL CON SISTEMA DE UÑA, PINTURA ELECTROSTATICA EN POLVO HORNEABLE Estado: Bueno Placa anterior: 000002323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000002323 Material: METALICO Color: GRIS Referencia:  Observacion:  Placa padre: Tipo adquisicion: Entidad</v>
      </c>
      <c r="G22069" s="5"/>
    </row>
    <row r="22070" spans="1:7" ht="58.5" customHeight="1" x14ac:dyDescent="0.25">
      <c r="A22070" s="5" t="str">
        <f>"H0003231"</f>
        <v>H0003231</v>
      </c>
      <c r="B22070" s="5" t="str">
        <f t="shared" si="1103"/>
        <v>ESTANTE METALICO 7 ENTREPAÑOS</v>
      </c>
      <c r="C22070" s="6">
        <v>8840.07</v>
      </c>
      <c r="D22070" s="5"/>
      <c r="E22070" s="5" t="str">
        <f t="shared" ref="E22070:E22133" si="1104">"ACTISALUD-ESTADISTICA"</f>
        <v>ACTISALUD-ESTADISTICA</v>
      </c>
      <c r="F22070" s="5" t="str">
        <f>"Descripcion: ESTANTES METALICOS DE 90-30-2.00H 7 BANDEJAS INCLUYE AMARRES ENTRE ESTANTES Y TENSORES CALIBRE DEL PARAL 16 Y DE LA BANDEJA 22 PARAL CON SISTEMA DE UÑA, PINTURA ELECTROSTATICA EN POLVO HORNEABLE Estado: Bueno Placa anterior: 000002324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000002324 Material: METALICO Color: GRIS Referencia:  Observacion:  Placa padre: Tipo adquisicion: Entidad</v>
      </c>
      <c r="G22070" s="5"/>
    </row>
    <row r="22071" spans="1:7" ht="58.5" customHeight="1" x14ac:dyDescent="0.25">
      <c r="A22071" s="5" t="str">
        <f>"H0003234"</f>
        <v>H0003234</v>
      </c>
      <c r="B22071" s="5" t="str">
        <f t="shared" si="1103"/>
        <v>ESTANTE METALICO 7 ENTREPAÑOS</v>
      </c>
      <c r="C22071" s="6">
        <v>22189.18</v>
      </c>
      <c r="D22071" s="5"/>
      <c r="E22071" s="5" t="str">
        <f t="shared" si="1104"/>
        <v>ACTISALUD-ESTADISTICA</v>
      </c>
      <c r="F22071" s="5" t="str">
        <f>"Descripcion: ESTANTES METALICOS DE 90-30-2.00H 7 BANDEJAS INCLUYE AMARRES ENTRE ESTANTES Y TENSORES CALIBRE DEL PARAL 16 Y DE LA BANDEJA 22 PARAL CON SISTEMA DE UÑA, PINTURA ELECTROSTATICA EN POLVO HORNEABLE Estado: Bueno Placa anterior: 000004992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000004992 Material: METALICO Color: GRIS Referencia:  Observacion:  Placa padre: Tipo adquisicion: Entidad</v>
      </c>
      <c r="G22071" s="5"/>
    </row>
    <row r="22072" spans="1:7" ht="58.5" customHeight="1" x14ac:dyDescent="0.25">
      <c r="A22072" s="5" t="str">
        <f>"H0003235"</f>
        <v>H0003235</v>
      </c>
      <c r="B22072" s="5" t="str">
        <f t="shared" si="1103"/>
        <v>ESTANTE METALICO 7 ENTREPAÑOS</v>
      </c>
      <c r="C22072" s="6">
        <v>18479.71</v>
      </c>
      <c r="D22072" s="5"/>
      <c r="E22072" s="5" t="str">
        <f t="shared" si="1104"/>
        <v>ACTISALUD-ESTADISTICA</v>
      </c>
      <c r="F22072" s="5" t="str">
        <f>"Descripcion: ESTANTES METALICOS DE 90-30-2.00H 7 BANDEJAS INCLUYE AMARRES ENTRE ESTANTES Y TENSORES CALIBRE DEL PARAL 16 Y DE LA BANDEJA 22 PARAL CON SISTEMA DE UÑA, PINTURA ELECTROSTATICA EN POLVO HORNEABLE Estado: Bueno Placa anterior: 000008708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000008708 Material: METALICO Color: GRIS Referencia:  Observacion:  Placa padre: Tipo adquisicion: Entidad</v>
      </c>
      <c r="G22072" s="5"/>
    </row>
    <row r="22073" spans="1:7" ht="58.5" customHeight="1" x14ac:dyDescent="0.25">
      <c r="A22073" s="5" t="str">
        <f>"H0003236"</f>
        <v>H0003236</v>
      </c>
      <c r="B22073" s="5" t="str">
        <f t="shared" ref="B22073:B22087" si="1105">"ESTANTE METALICO 7 ENTREPAÑOS"</f>
        <v>ESTANTE METALICO 7 ENTREPAÑOS</v>
      </c>
      <c r="C22073" s="6">
        <v>18479.71</v>
      </c>
      <c r="D22073" s="5"/>
      <c r="E22073" s="5" t="str">
        <f t="shared" si="1104"/>
        <v>ACTISALUD-ESTADISTICA</v>
      </c>
      <c r="F22073" s="5" t="str">
        <f>"Descripcion: ESTANTES METALICOS DE 90-30-2.00H 7 BANDEJAS INCLUYE AMARRES ENTRE ESTANTES Y TENSORES CALIBRE DEL PARAL 16 Y DE LA BANDEJA 22 PARAL CON SISTEMA DE UÑA, PINTURA ELECTROSTATICA EN POLVO HORNEABLE Estado: Bueno Placa anterior: 000008713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000008713 Material: METALICO Color: GRIS Referencia:  Observacion:  Placa padre: Tipo adquisicion: Entidad</v>
      </c>
      <c r="G22073" s="5"/>
    </row>
    <row r="22074" spans="1:7" ht="58.5" customHeight="1" x14ac:dyDescent="0.25">
      <c r="A22074" s="5" t="str">
        <f>"H0003237"</f>
        <v>H0003237</v>
      </c>
      <c r="B22074" s="5" t="str">
        <f t="shared" si="1105"/>
        <v>ESTANTE METALICO 7 ENTREPAÑOS</v>
      </c>
      <c r="C22074" s="6">
        <v>18479.71</v>
      </c>
      <c r="D22074" s="5"/>
      <c r="E22074" s="5" t="str">
        <f t="shared" si="1104"/>
        <v>ACTISALUD-ESTADISTICA</v>
      </c>
      <c r="F22074" s="5" t="str">
        <f>"Descripcion: ESTANTES METALICOS DE 90-30-2.00H 7 BANDEJAS INCLUYE AMARRES ENTRE ESTANTES Y TENSORES CALIBRE DEL PARAL 16 Y DE LA BANDEJA 22 PARAL CON SISTEMA DE UÑA, PINTURA ELECTROSTATICA EN POLVO HORNEABLE Estado: Bueno Placa anterior: 000008715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000008715 Material: METALICO Color: GRIS Referencia:  Observacion:  Placa padre: Tipo adquisicion: Entidad</v>
      </c>
      <c r="G22074" s="5"/>
    </row>
    <row r="22075" spans="1:7" ht="58.5" customHeight="1" x14ac:dyDescent="0.25">
      <c r="A22075" s="5" t="str">
        <f>"H0003238"</f>
        <v>H0003238</v>
      </c>
      <c r="B22075" s="5" t="str">
        <f t="shared" si="1105"/>
        <v>ESTANTE METALICO 7 ENTREPAÑOS</v>
      </c>
      <c r="C22075" s="6">
        <v>6307.15</v>
      </c>
      <c r="D22075" s="5"/>
      <c r="E22075" s="5" t="str">
        <f t="shared" si="1104"/>
        <v>ACTISALUD-ESTADISTICA</v>
      </c>
      <c r="F22075" s="5" t="str">
        <f>"Descripcion: ESTANTES METALICOS DE 90-30-2.00H 7 BANDEJAS INCLUYE AMARRES ENTRE ESTANTES Y TENSORES CALIBRE DEL PARAL 16 Y DE LA BANDEJA 22 PARAL CON SISTEMA DE UÑA, PINTURA ELECTROSTATICA EN POLVO HORNEABLE Estado: Bueno Placa anterior: 000013260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000013260 Material: METALICO Color: GRIS Referencia:  Observacion:  Placa padre: Tipo adquisicion: Entidad</v>
      </c>
      <c r="G22075" s="5"/>
    </row>
    <row r="22076" spans="1:7" ht="58.5" customHeight="1" x14ac:dyDescent="0.25">
      <c r="A22076" s="5" t="str">
        <f>"H0003239"</f>
        <v>H0003239</v>
      </c>
      <c r="B22076" s="5" t="str">
        <f t="shared" si="1105"/>
        <v>ESTANTE METALICO 7 ENTREPAÑOS</v>
      </c>
      <c r="C22076" s="6">
        <v>197200</v>
      </c>
      <c r="D22076" s="5"/>
      <c r="E22076" s="5" t="str">
        <f t="shared" si="1104"/>
        <v>ACTISALUD-ESTADISTICA</v>
      </c>
      <c r="F22076" s="5" t="str">
        <f>"Descripcion: ESTANTES METALICOS DE 90-30-2.00H 7 BANDEJAS INCLUYE AMARRES ENTRE ESTANTES Y TENSORES CALIBRE DEL PARAL 16 Y DE LA BANDEJA 22 PARAL CON SISTEMA DE UÑA, PINTURA ELECTROSTATICA EN POLVO HORNEABLE Estado: Bueno Placa anterior: 000024133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000024133 Material: METALICO Color: GRIS Referencia:  Observacion:  Placa padre: Tipo adquisicion: Entidad</v>
      </c>
      <c r="G22076" s="5"/>
    </row>
    <row r="22077" spans="1:7" ht="58.5" customHeight="1" x14ac:dyDescent="0.25">
      <c r="A22077" s="5" t="str">
        <f>"H0003240"</f>
        <v>H0003240</v>
      </c>
      <c r="B22077" s="5" t="str">
        <f t="shared" si="1105"/>
        <v>ESTANTE METALICO 7 ENTREPAÑOS</v>
      </c>
      <c r="C22077" s="6">
        <v>197200</v>
      </c>
      <c r="D22077" s="5"/>
      <c r="E22077" s="5" t="str">
        <f t="shared" si="1104"/>
        <v>ACTISALUD-ESTADISTICA</v>
      </c>
      <c r="F22077" s="5" t="str">
        <f>"Descripcion: ESTANTES METALICOS DE 90-30-2.00H 7 BANDEJAS INCLUYE AMARRES ENTRE ESTANTES Y TENSORES CALIBRE DEL PARAL 16 Y DE LA BANDEJA 22 PARAL CON SISTEMA DE UÑA, PINTURA ELECTROSTATICA EN POLVO HORNEABLE Estado: Bueno Placa anterior: 000024145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000024145 Material: METALICO Color: GRIS Referencia:  Observacion:  Placa padre: Tipo adquisicion: Entidad</v>
      </c>
      <c r="G22077" s="5"/>
    </row>
    <row r="22078" spans="1:7" ht="58.5" customHeight="1" x14ac:dyDescent="0.25">
      <c r="A22078" s="5" t="str">
        <f>"H0003241"</f>
        <v>H0003241</v>
      </c>
      <c r="B22078" s="5" t="str">
        <f t="shared" si="1105"/>
        <v>ESTANTE METALICO 7 ENTREPAÑOS</v>
      </c>
      <c r="C22078" s="6">
        <v>197200</v>
      </c>
      <c r="D22078" s="5"/>
      <c r="E22078" s="5" t="str">
        <f t="shared" si="1104"/>
        <v>ACTISALUD-ESTADISTICA</v>
      </c>
      <c r="F22078" s="5" t="str">
        <f>"Descripcion: ESTANTES METALICOS DE 90-30-2.00H 7 BANDEJAS INCLUYE AMARRES ENTRE ESTANTES Y TENSORES CALIBRE DEL PARAL 16 Y DE LA BANDEJA 22 PARAL CON SISTEMA DE UÑA, PINTURA ELECTROSTATICA EN POLVO HORNEABLE Estado: Bueno Placa anterior: 000024140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000024140 Material: METALICO Color: GRIS Referencia:  Observacion:  Placa padre: Tipo adquisicion: Entidad</v>
      </c>
      <c r="G22078" s="5"/>
    </row>
    <row r="22079" spans="1:7" ht="58.5" customHeight="1" x14ac:dyDescent="0.25">
      <c r="A22079" s="5" t="str">
        <f>"H0003242"</f>
        <v>H0003242</v>
      </c>
      <c r="B22079" s="5" t="str">
        <f t="shared" si="1105"/>
        <v>ESTANTE METALICO 7 ENTREPAÑOS</v>
      </c>
      <c r="C22079" s="6">
        <v>197200</v>
      </c>
      <c r="D22079" s="5"/>
      <c r="E22079" s="5" t="str">
        <f t="shared" si="1104"/>
        <v>ACTISALUD-ESTADISTICA</v>
      </c>
      <c r="F22079" s="5" t="str">
        <f>"Descripcion: ESTANTES METALICOS DE 90-30-2.00H 7 BANDEJAS INCLUYE AMARRES ENTRE ESTANTES Y TENSORES CALIBRE DEL PARAL 16 Y DE LA BANDEJA 22 PARAL CON SISTEMA DE UÑA, PINTURA ELECTROSTATICA EN POLVO HORNEABLE Estado: Bueno Placa anterior: 000024182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000024182 Material: METALICO Color: GRIS Referencia:  Observacion:  Placa padre: Tipo adquisicion: Entidad</v>
      </c>
      <c r="G22079" s="5"/>
    </row>
    <row r="22080" spans="1:7" ht="58.5" customHeight="1" x14ac:dyDescent="0.25">
      <c r="A22080" s="5" t="str">
        <f>"H0003243"</f>
        <v>H0003243</v>
      </c>
      <c r="B22080" s="5" t="str">
        <f t="shared" si="1105"/>
        <v>ESTANTE METALICO 7 ENTREPAÑOS</v>
      </c>
      <c r="C22080" s="6">
        <v>197200</v>
      </c>
      <c r="D22080" s="5"/>
      <c r="E22080" s="5" t="str">
        <f t="shared" si="1104"/>
        <v>ACTISALUD-ESTADISTICA</v>
      </c>
      <c r="F22080" s="5" t="str">
        <f>"Descripcion: ESTANTES METALICOS DE 90-30-2.00H 7 BANDEJAS INCLUYE AMARRES ENTRE ESTANTES Y TENSORES CALIBRE DEL PARAL 16 Y DE LA BANDEJA 22 PARAL CON SISTEMA DE UÑA, PINTURA ELECTROSTATICA EN POLVO HORNEABLE Estado: Bueno Placa anterior: 000024174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000024174 Material: METALICO Color: GRIS Referencia:  Observacion:  Placa padre: Tipo adquisicion: Entidad</v>
      </c>
      <c r="G22080" s="5"/>
    </row>
    <row r="22081" spans="1:7" ht="58.5" customHeight="1" x14ac:dyDescent="0.25">
      <c r="A22081" s="5" t="str">
        <f>"H0003244"</f>
        <v>H0003244</v>
      </c>
      <c r="B22081" s="5" t="str">
        <f t="shared" si="1105"/>
        <v>ESTANTE METALICO 7 ENTREPAÑOS</v>
      </c>
      <c r="C22081" s="6">
        <v>197200</v>
      </c>
      <c r="D22081" s="5"/>
      <c r="E22081" s="5" t="str">
        <f t="shared" si="1104"/>
        <v>ACTISALUD-ESTADISTICA</v>
      </c>
      <c r="F22081" s="5" t="str">
        <f>"Descripcion: ESTANTES METALICOS DE 90-30-2.00H 7 BANDEJAS INCLUYE AMARRES ENTRE ESTANTES Y TENSORES CALIBRE DEL PARAL 16 Y DE LA BANDEJA 22 PARAL CON SISTEMA DE UÑA, PINTURA ELECTROSTATICA EN POLVO HORNEABLE Estado: Bueno Placa anterior: 000024179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000024179 Material: METALICO Color: GRIS Referencia:  Observacion:  Placa padre: Tipo adquisicion: Entidad</v>
      </c>
      <c r="G22081" s="5"/>
    </row>
    <row r="22082" spans="1:7" ht="58.5" customHeight="1" x14ac:dyDescent="0.25">
      <c r="A22082" s="5" t="str">
        <f>"H0003245"</f>
        <v>H0003245</v>
      </c>
      <c r="B22082" s="5" t="str">
        <f t="shared" si="1105"/>
        <v>ESTANTE METALICO 7 ENTREPAÑOS</v>
      </c>
      <c r="C22082" s="6">
        <v>197200</v>
      </c>
      <c r="D22082" s="5"/>
      <c r="E22082" s="5" t="str">
        <f t="shared" si="1104"/>
        <v>ACTISALUD-ESTADISTICA</v>
      </c>
      <c r="F22082" s="5" t="str">
        <f>"Descripcion: ESTANTES METALICOS DE 90-30-2.00H 7 BANDEJAS INCLUYE AMARRES ENTRE ESTANTES Y TENSORES CALIBRE DEL PARAL 16 Y DE LA BANDEJA 22 PARAL CON SISTEMA DE UÑA, PINTURA ELECTROSTATICA EN POLVO HORNEABLE Estado: Bueno Placa anterior: 000024178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000024178 Material: METALICO Color: GRIS Referencia:  Observacion:  Placa padre: Tipo adquisicion: Entidad</v>
      </c>
      <c r="G22082" s="5"/>
    </row>
    <row r="22083" spans="1:7" ht="58.5" customHeight="1" x14ac:dyDescent="0.25">
      <c r="A22083" s="5" t="str">
        <f>"H0003247"</f>
        <v>H0003247</v>
      </c>
      <c r="B22083" s="5" t="str">
        <f t="shared" si="1105"/>
        <v>ESTANTE METALICO 7 ENTREPAÑOS</v>
      </c>
      <c r="C22083" s="6">
        <v>197200</v>
      </c>
      <c r="D22083" s="5"/>
      <c r="E22083" s="5" t="str">
        <f t="shared" si="1104"/>
        <v>ACTISALUD-ESTADISTICA</v>
      </c>
      <c r="F22083" s="5" t="str">
        <f>"Descripcion: ESTANTES METALICOS DE 90-30-2.00H 7 BANDEJAS INCLUYE AMARRES ENTRE ESTANTES Y TENSORES CALIBRE DEL PARAL 16 Y DE LA BANDEJA 22 PARAL CON SISTEMA DE UÑA, PINTURA ELECTROSTATICA EN POLVO HORNEABLE Estado: Bueno Placa anterior: 000024180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000024180 Material: METALICO Color: GRIS Referencia:  Observacion:  Placa padre: Tipo adquisicion: Entidad</v>
      </c>
      <c r="G22083" s="5"/>
    </row>
    <row r="22084" spans="1:7" ht="58.5" customHeight="1" x14ac:dyDescent="0.25">
      <c r="A22084" s="5" t="str">
        <f>"H0003249"</f>
        <v>H0003249</v>
      </c>
      <c r="B22084" s="5" t="str">
        <f t="shared" si="1105"/>
        <v>ESTANTE METALICO 7 ENTREPAÑOS</v>
      </c>
      <c r="C22084" s="6">
        <v>6916.85</v>
      </c>
      <c r="D22084" s="5"/>
      <c r="E22084" s="5" t="str">
        <f t="shared" si="1104"/>
        <v>ACTISALUD-ESTADISTICA</v>
      </c>
      <c r="F22084" s="5" t="str">
        <f>"Descripcion: ESTANTES METALICOS DE 90-30-2.00H 7 BANDEJAS INCLUYE AMARRES ENTRE ESTANTES Y TENSORES CALIBRE DEL PARAL 16 Y DE LA BANDEJA 22 PARAL CON SISTEMA DE UÑA, PINTURA ELECTROSTATICA EN POLVO HORNEABLE Estado: Bueno Placa anterior: 000024411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000024411 Material: METALICO Color: GRIS Referencia:  Observacion:  Placa padre: Tipo adquisicion: Entidad</v>
      </c>
      <c r="G22084" s="5"/>
    </row>
    <row r="22085" spans="1:7" ht="58.5" customHeight="1" x14ac:dyDescent="0.25">
      <c r="A22085" s="5" t="str">
        <f>"H0003250"</f>
        <v>H0003250</v>
      </c>
      <c r="B22085" s="5" t="str">
        <f t="shared" si="1105"/>
        <v>ESTANTE METALICO 7 ENTREPAÑOS</v>
      </c>
      <c r="C22085" s="6">
        <v>6916.85</v>
      </c>
      <c r="D22085" s="5"/>
      <c r="E22085" s="5" t="str">
        <f t="shared" si="1104"/>
        <v>ACTISALUD-ESTADISTICA</v>
      </c>
      <c r="F22085" s="5" t="str">
        <f>"Descripcion: ESTANTES METALICOS DE 90-30-2.00H 7 BANDEJAS INCLUYE AMARRES ENTRE ESTANTES Y TENSORES CALIBRE DEL PARAL 16 Y DE LA BANDEJA 22 PARAL CON SISTEMA DE UÑA, PINTURA ELECTROSTATICA EN POLVO HORNEABLE Estado: Bueno Placa anterior: 000021122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000021122 Material: METALICO Color: GRIS Referencia:  Observacion:  Placa padre: Tipo adquisicion: Entidad</v>
      </c>
      <c r="G22085" s="5"/>
    </row>
    <row r="22086" spans="1:7" ht="58.5" customHeight="1" x14ac:dyDescent="0.25">
      <c r="A22086" s="5" t="str">
        <f>"H0003251"</f>
        <v>H0003251</v>
      </c>
      <c r="B22086" s="5" t="str">
        <f t="shared" si="1105"/>
        <v>ESTANTE METALICO 7 ENTREPAÑOS</v>
      </c>
      <c r="C22086" s="6">
        <v>29533.23</v>
      </c>
      <c r="D22086" s="5"/>
      <c r="E22086" s="5" t="str">
        <f t="shared" si="1104"/>
        <v>ACTISALUD-ESTADISTICA</v>
      </c>
      <c r="F22086" s="5" t="str">
        <f>"Descripcion: ESTANTES METALICOS DE 90-30-2.00H 7 BANDEJAS INCLUYE AMARRES ENTRE ESTANTES Y TENSORES CALIBRE DEL PARAL 16 Y DE LA BANDEJA 22 PARAL CON SISTEMA DE UÑA, PINTURA ELECTROSTATICA EN POLVO HORNEABLE Estado: Bueno Placa anterior: 000001636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000001636 Material: METALICO Color: GRIS Referencia:  Observacion:  Placa padre: Tipo adquisicion: Entidad</v>
      </c>
      <c r="G22086" s="5"/>
    </row>
    <row r="22087" spans="1:7" ht="58.5" customHeight="1" x14ac:dyDescent="0.25">
      <c r="A22087" s="5" t="str">
        <f>"H0003252"</f>
        <v>H0003252</v>
      </c>
      <c r="B22087" s="5" t="str">
        <f t="shared" si="1105"/>
        <v>ESTANTE METALICO 7 ENTREPAÑOS</v>
      </c>
      <c r="C22087" s="6">
        <v>29533.23</v>
      </c>
      <c r="D22087" s="5"/>
      <c r="E22087" s="5" t="str">
        <f t="shared" si="1104"/>
        <v>ACTISALUD-ESTADISTICA</v>
      </c>
      <c r="F22087" s="5" t="str">
        <f>"Descripcion: ESTANTES METALICOS DE 90-30-2.00H 7 BANDEJAS INCLUYE AMARRES ENTRE ESTANTES Y TENSORES CALIBRE DEL PARAL 16 Y DE LA BANDEJA 22 PARAL CON SISTEMA DE UÑA, PINTURA ELECTROSTATICA EN POLVO HORNEABLE Estado: Bueno Placa anterior: 000001639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000001639 Material: METALICO Color: GRIS Referencia:  Observacion:  Placa padre: Tipo adquisicion: Entidad</v>
      </c>
      <c r="G22087" s="5"/>
    </row>
    <row r="22088" spans="1:7" ht="58.5" customHeight="1" x14ac:dyDescent="0.25">
      <c r="A22088" s="5" t="str">
        <f>"H0003260"</f>
        <v>H0003260</v>
      </c>
      <c r="B22088" s="5" t="str">
        <f>"EXTINTOR DE AGUA A PRESION ACERO INOXIDABLE DE 2,58"</f>
        <v>EXTINTOR DE AGUA A PRESION ACERO INOXIDABLE DE 2,58</v>
      </c>
      <c r="C22088" s="6">
        <v>118000</v>
      </c>
      <c r="D22088" s="5"/>
      <c r="E22088" s="5" t="str">
        <f t="shared" si="1104"/>
        <v>ACTISALUD-ESTADISTICA</v>
      </c>
      <c r="F22088" s="5" t="str">
        <f>"Descripcion: 0025 Estado: Bueno Placa anterior: 000029461 Material: METALICO Color:  Referencia:  Observacion: FUNCIONARIA DE PLANEACION, AUTORIZA SE CONCILIE CON BIEN UBICADO EN ARCHIVO. Placa padre: Tipo adquisicion: Entidad"</f>
        <v>Descripcion: 0025 Estado: Bueno Placa anterior: 000029461 Material: METALICO Color:  Referencia:  Observacion: FUNCIONARIA DE PLANEACION, AUTORIZA SE CONCILIE CON BIEN UBICADO EN ARCHIVO. Placa padre: Tipo adquisicion: Entidad</v>
      </c>
      <c r="G22088" s="5"/>
    </row>
    <row r="22089" spans="1:7" ht="58.5" customHeight="1" x14ac:dyDescent="0.25">
      <c r="A22089" s="5" t="str">
        <f>"H0003271"</f>
        <v>H0003271</v>
      </c>
      <c r="B22089" s="5" t="str">
        <f>"ESTANTE METALICO 7 ENTREPAÑOS"</f>
        <v>ESTANTE METALICO 7 ENTREPAÑOS</v>
      </c>
      <c r="C22089" s="6">
        <v>197200</v>
      </c>
      <c r="D22089" s="5"/>
      <c r="E22089" s="5" t="str">
        <f t="shared" si="1104"/>
        <v>ACTISALUD-ESTADISTICA</v>
      </c>
      <c r="F22089" s="5" t="str">
        <f>"Descripcion: 200x90x30 Estado: Bueno Placa anterior: 000024136 Material: METALICO Color: GRIS Referencia:  Observacion:  Placa padre: Tipo adquisicion: Entidad"</f>
        <v>Descripcion: 200x90x30 Estado: Bueno Placa anterior: 000024136 Material: METALICO Color: GRIS Referencia:  Observacion:  Placa padre: Tipo adquisicion: Entidad</v>
      </c>
      <c r="G22089" s="5"/>
    </row>
    <row r="22090" spans="1:7" ht="58.5" customHeight="1" x14ac:dyDescent="0.25">
      <c r="A22090" s="5" t="str">
        <f>"H0003273"</f>
        <v>H0003273</v>
      </c>
      <c r="B22090" s="5" t="str">
        <f>"ESTANTE METALICO 7 ENTREPAÑOS"</f>
        <v>ESTANTE METALICO 7 ENTREPAÑOS</v>
      </c>
      <c r="C22090" s="6">
        <v>197200</v>
      </c>
      <c r="D22090" s="5"/>
      <c r="E22090" s="5" t="str">
        <f t="shared" si="1104"/>
        <v>ACTISALUD-ESTADISTICA</v>
      </c>
      <c r="F22090" s="5" t="str">
        <f>"Descripcion: 200x90x30 Estado: Bueno Placa anterior: 000024153 Material: METALICO Color: GRIS Referencia:  Observacion:  Placa padre: Tipo adquisicion: Entidad"</f>
        <v>Descripcion: 200x90x30 Estado: Bueno Placa anterior: 000024153 Material: METALICO Color: GRIS Referencia:  Observacion:  Placa padre: Tipo adquisicion: Entidad</v>
      </c>
      <c r="G22090" s="5"/>
    </row>
    <row r="22091" spans="1:7" ht="58.5" customHeight="1" x14ac:dyDescent="0.25">
      <c r="A22091" s="5" t="str">
        <f>"H0003274"</f>
        <v>H0003274</v>
      </c>
      <c r="B22091" s="5" t="str">
        <f>"ESTANTE METALICO 6 ENTREPAÑOS"</f>
        <v>ESTANTE METALICO 6 ENTREPAÑOS</v>
      </c>
      <c r="C22091" s="6">
        <v>130000</v>
      </c>
      <c r="D22091" s="5"/>
      <c r="E22091" s="5" t="str">
        <f t="shared" si="1104"/>
        <v>ACTISALUD-ESTADISTICA</v>
      </c>
      <c r="F22091" s="5" t="str">
        <f>"Descripcion: 200x90x30 Estado: Bueno Placa anterior: 000025710 Material: METALICO Color: GRIS Referencia:  Observacion:  Placa padre: Tipo adquisicion: Entidad"</f>
        <v>Descripcion: 200x90x30 Estado: Bueno Placa anterior: 000025710 Material: METALICO Color: GRIS Referencia:  Observacion:  Placa padre: Tipo adquisicion: Entidad</v>
      </c>
      <c r="G22091" s="5"/>
    </row>
    <row r="22092" spans="1:7" ht="58.5" customHeight="1" x14ac:dyDescent="0.25">
      <c r="A22092" s="5" t="str">
        <f>"H0003275"</f>
        <v>H0003275</v>
      </c>
      <c r="B22092" s="5" t="str">
        <f>"ESTANTE METALICO 6 ENTREPAÑOS"</f>
        <v>ESTANTE METALICO 6 ENTREPAÑOS</v>
      </c>
      <c r="C22092" s="6">
        <v>29533.23</v>
      </c>
      <c r="D22092" s="5"/>
      <c r="E22092" s="5" t="str">
        <f t="shared" si="1104"/>
        <v>ACTISALUD-ESTADISTICA</v>
      </c>
      <c r="F22092" s="5" t="str">
        <f>"Descripcion: 200x90x30 Estado: Bueno Placa anterior: 000002009 Material: METALICO Color: GRIS Referencia:  Observacion:  Placa padre: Tipo adquisicion: Entidad"</f>
        <v>Descripcion: 200x90x30 Estado: Bueno Placa anterior: 000002009 Material: METALICO Color: GRIS Referencia:  Observacion:  Placa padre: Tipo adquisicion: Entidad</v>
      </c>
      <c r="G22092" s="5"/>
    </row>
    <row r="22093" spans="1:7" ht="58.5" customHeight="1" x14ac:dyDescent="0.25">
      <c r="A22093" s="5" t="str">
        <f>"H0003276"</f>
        <v>H0003276</v>
      </c>
      <c r="B22093" s="5" t="str">
        <f>"ESTANTE METALICO 7 ENTREPAÑOS"</f>
        <v>ESTANTE METALICO 7 ENTREPAÑOS</v>
      </c>
      <c r="C22093" s="6">
        <v>197200</v>
      </c>
      <c r="D22093" s="5"/>
      <c r="E22093" s="5" t="str">
        <f t="shared" si="1104"/>
        <v>ACTISALUD-ESTADISTICA</v>
      </c>
      <c r="F22093" s="5" t="str">
        <f>"Descripcion: 200x90x30 Estado: Bueno Placa anterior: 000024138 Material: METALICO Color: GRIS Referencia:  Observacion:  Placa padre: Tipo adquisicion: Entidad"</f>
        <v>Descripcion: 200x90x30 Estado: Bueno Placa anterior: 000024138 Material: METALICO Color: GRIS Referencia:  Observacion:  Placa padre: Tipo adquisicion: Entidad</v>
      </c>
      <c r="G22093" s="5"/>
    </row>
    <row r="22094" spans="1:7" ht="58.5" customHeight="1" x14ac:dyDescent="0.25">
      <c r="A22094" s="5" t="str">
        <f>"H0003277"</f>
        <v>H0003277</v>
      </c>
      <c r="B22094" s="5" t="str">
        <f>"ESTANTE METALICO 6 ENTREPAÑOS"</f>
        <v>ESTANTE METALICO 6 ENTREPAÑOS</v>
      </c>
      <c r="C22094" s="6">
        <v>130000</v>
      </c>
      <c r="D22094" s="5"/>
      <c r="E22094" s="5" t="str">
        <f t="shared" si="1104"/>
        <v>ACTISALUD-ESTADISTICA</v>
      </c>
      <c r="F22094" s="5" t="str">
        <f>"Descripcion: 200x90x30 Estado: Bueno Placa anterior: 000025707 Material: METALICO Color: GRIS Referencia:  Observacion:  Placa padre: Tipo adquisicion: Entidad"</f>
        <v>Descripcion: 200x90x30 Estado: Bueno Placa anterior: 000025707 Material: METALICO Color: GRIS Referencia:  Observacion:  Placa padre: Tipo adquisicion: Entidad</v>
      </c>
      <c r="G22094" s="5"/>
    </row>
    <row r="22095" spans="1:7" ht="58.5" customHeight="1" x14ac:dyDescent="0.25">
      <c r="A22095" s="5" t="str">
        <f>"H0003278"</f>
        <v>H0003278</v>
      </c>
      <c r="B22095" s="5" t="str">
        <f>"ESTANTE METALICO 6 ENTREPAÑOS"</f>
        <v>ESTANTE METALICO 6 ENTREPAÑOS</v>
      </c>
      <c r="C22095" s="6">
        <v>130000</v>
      </c>
      <c r="D22095" s="5"/>
      <c r="E22095" s="5" t="str">
        <f t="shared" si="1104"/>
        <v>ACTISALUD-ESTADISTICA</v>
      </c>
      <c r="F22095" s="5" t="str">
        <f>"Descripcion: 200x90x30 Estado: Bueno Placa anterior: 000025705 Material: METALICO Color: GRIS Referencia:  Observacion:  Placa padre: Tipo adquisicion: Entidad"</f>
        <v>Descripcion: 200x90x30 Estado: Bueno Placa anterior: 000025705 Material: METALICO Color: GRIS Referencia:  Observacion:  Placa padre: Tipo adquisicion: Entidad</v>
      </c>
      <c r="G22095" s="5"/>
    </row>
    <row r="22096" spans="1:7" ht="58.5" customHeight="1" x14ac:dyDescent="0.25">
      <c r="A22096" s="5" t="str">
        <f>"H0003279"</f>
        <v>H0003279</v>
      </c>
      <c r="B22096" s="5" t="str">
        <f>"ESTANTE METALICO 6 ENTREPAÑOS"</f>
        <v>ESTANTE METALICO 6 ENTREPAÑOS</v>
      </c>
      <c r="C22096" s="6">
        <v>130000</v>
      </c>
      <c r="D22096" s="5"/>
      <c r="E22096" s="5" t="str">
        <f t="shared" si="1104"/>
        <v>ACTISALUD-ESTADISTICA</v>
      </c>
      <c r="F22096" s="5" t="str">
        <f>"Descripcion: 200x90x30 Estado: Bueno Placa anterior: 000025699 Material: METALICO Color: GRIS Referencia:  Observacion:  Placa padre: Tipo adquisicion: Entidad"</f>
        <v>Descripcion: 200x90x30 Estado: Bueno Placa anterior: 000025699 Material: METALICO Color: GRIS Referencia:  Observacion:  Placa padre: Tipo adquisicion: Entidad</v>
      </c>
      <c r="G22096" s="5"/>
    </row>
    <row r="22097" spans="1:7" ht="58.5" customHeight="1" x14ac:dyDescent="0.25">
      <c r="A22097" s="5" t="str">
        <f>"H0003282"</f>
        <v>H0003282</v>
      </c>
      <c r="B22097" s="5" t="str">
        <f>"ESTANTE METALICO 5 ENTREPAÑOS"</f>
        <v>ESTANTE METALICO 5 ENTREPAÑOS</v>
      </c>
      <c r="C22097" s="6">
        <v>170000</v>
      </c>
      <c r="D22097" s="5"/>
      <c r="E22097" s="5" t="str">
        <f t="shared" si="1104"/>
        <v>ACTISALUD-ESTADISTICA</v>
      </c>
      <c r="F22097" s="5" t="str">
        <f>"Descripcion: 200x90x30 Estado: Bueno Placa anterior: 000022176 Material: METALICO Color: GRIS Referencia:  Observacion:  Placa padre: Tipo adquisicion: Entidad"</f>
        <v>Descripcion: 200x90x30 Estado: Bueno Placa anterior: 000022176 Material: METALICO Color: GRIS Referencia:  Observacion:  Placa padre: Tipo adquisicion: Entidad</v>
      </c>
      <c r="G22097" s="5"/>
    </row>
    <row r="22098" spans="1:7" ht="58.5" customHeight="1" x14ac:dyDescent="0.25">
      <c r="A22098" s="5" t="str">
        <f>"H0003283"</f>
        <v>H0003283</v>
      </c>
      <c r="B22098" s="5" t="str">
        <f t="shared" ref="B22098:B22129" si="1106">"ESTANTE METALICO 7 ENTREPAÑOS"</f>
        <v>ESTANTE METALICO 7 ENTREPAÑOS</v>
      </c>
      <c r="C22098" s="6">
        <v>197200</v>
      </c>
      <c r="D22098" s="5"/>
      <c r="E22098" s="5" t="str">
        <f t="shared" si="1104"/>
        <v>ACTISALUD-ESTADISTICA</v>
      </c>
      <c r="F22098" s="5" t="str">
        <f>"Descripcion: ESTANTES METALICOS DE 90-30-2.00H 7 BANDEJAS INCLUYE AMARRES ENTRE ESTANTES Y TENSORES CALIBRE DEL PARAL 16 Y DE LA BANDEJA 22 PARAL CON SISTEMA DE UÑA, PINTURA ELECTROSTATICA EN POLVO HORNEABLE Estado: Bueno Placa anterior: 000024175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000024175 Material: METALICO Color: GRIS Referencia:  Observacion:  Placa padre: Tipo adquisicion: Entidad</v>
      </c>
      <c r="G22098" s="5"/>
    </row>
    <row r="22099" spans="1:7" ht="58.5" customHeight="1" x14ac:dyDescent="0.25">
      <c r="A22099" s="5" t="str">
        <f>"H0003284"</f>
        <v>H0003284</v>
      </c>
      <c r="B22099" s="5" t="str">
        <f t="shared" si="1106"/>
        <v>ESTANTE METALICO 7 ENTREPAÑOS</v>
      </c>
      <c r="C22099" s="6">
        <v>197200</v>
      </c>
      <c r="D22099" s="5"/>
      <c r="E22099" s="5" t="str">
        <f t="shared" si="1104"/>
        <v>ACTISALUD-ESTADISTICA</v>
      </c>
      <c r="F22099" s="5" t="str">
        <f>"Descripcion: ESTANTES METALICOS DE 90-30-2.00H 7 BANDEJAS INCLUYE AMARRES ENTRE ESTANTES Y TENSORES CALIBRE DEL PARAL 16 Y DE LA BANDEJA 22 PARAL CON SISTEMA DE UÑA, PINTURA ELECTROSTATICA EN POLVO HORNEABLE Estado: Bueno Placa anterior: 000024176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000024176 Material: METALICO Color: GRIS Referencia:  Observacion:  Placa padre: Tipo adquisicion: Entidad</v>
      </c>
      <c r="G22099" s="5"/>
    </row>
    <row r="22100" spans="1:7" ht="58.5" customHeight="1" x14ac:dyDescent="0.25">
      <c r="A22100" s="5" t="str">
        <f>"H0003287"</f>
        <v>H0003287</v>
      </c>
      <c r="B22100" s="5" t="str">
        <f t="shared" si="1106"/>
        <v>ESTANTE METALICO 7 ENTREPAÑOS</v>
      </c>
      <c r="C22100" s="6">
        <v>29533.23</v>
      </c>
      <c r="D22100" s="5"/>
      <c r="E22100" s="5" t="str">
        <f t="shared" si="1104"/>
        <v>ACTISALUD-ESTADISTICA</v>
      </c>
      <c r="F22100" s="5" t="str">
        <f>"Descripcion: 200x90x30 Estado: Bueno Placa anterior: 000001660 Material: METALICO Color: GRIS Referencia:  Observacion:  Placa padre: Tipo adquisicion: Entidad"</f>
        <v>Descripcion: 200x90x30 Estado: Bueno Placa anterior: 000001660 Material: METALICO Color: GRIS Referencia:  Observacion:  Placa padre: Tipo adquisicion: Entidad</v>
      </c>
      <c r="G22100" s="5"/>
    </row>
    <row r="22101" spans="1:7" ht="58.5" customHeight="1" x14ac:dyDescent="0.25">
      <c r="A22101" s="5" t="str">
        <f>"H0003288"</f>
        <v>H0003288</v>
      </c>
      <c r="B22101" s="5" t="str">
        <f t="shared" si="1106"/>
        <v>ESTANTE METALICO 7 ENTREPAÑOS</v>
      </c>
      <c r="C22101" s="6">
        <v>29533.23</v>
      </c>
      <c r="D22101" s="5"/>
      <c r="E22101" s="5" t="str">
        <f t="shared" si="1104"/>
        <v>ACTISALUD-ESTADISTICA</v>
      </c>
      <c r="F22101" s="5" t="str">
        <f>"Descripcion: 200x90x30 Estado: Bueno Placa anterior: 000001656 Material: METALICO Color: GRIS Referencia:  Observacion:  Placa padre: Tipo adquisicion: Entidad"</f>
        <v>Descripcion: 200x90x30 Estado: Bueno Placa anterior: 000001656 Material: METALICO Color: GRIS Referencia:  Observacion:  Placa padre: Tipo adquisicion: Entidad</v>
      </c>
      <c r="G22101" s="5"/>
    </row>
    <row r="22102" spans="1:7" ht="58.5" customHeight="1" x14ac:dyDescent="0.25">
      <c r="A22102" s="5" t="str">
        <f>"H0003289"</f>
        <v>H0003289</v>
      </c>
      <c r="B22102" s="5" t="str">
        <f t="shared" si="1106"/>
        <v>ESTANTE METALICO 7 ENTREPAÑOS</v>
      </c>
      <c r="C22102" s="6">
        <v>29533.23</v>
      </c>
      <c r="D22102" s="5"/>
      <c r="E22102" s="5" t="str">
        <f t="shared" si="1104"/>
        <v>ACTISALUD-ESTADISTICA</v>
      </c>
      <c r="F22102" s="5" t="str">
        <f>"Descripcion: ESTANTERIA PARA HISTORIAS CLINICAS (ALTURA 1.90 METROS PANEL 90 CMS LARGO X 30 CMS ANCHO DISTANCIA ENTRE PANEL 30 CMS) Estado: Bueno Placa anterior: 000001665 Material: METALICO Color: GRIS Referencia:  Observacion:  Placa padre: Tipo adquisi"&amp; "cion: Entidad"</f>
        <v>Descripcion: ESTANTERIA PARA HISTORIAS CLINICAS (ALTURA 1.90 METROS PANEL 90 CMS LARGO X 30 CMS ANCHO DISTANCIA ENTRE PANEL 30 CMS) Estado: Bueno Placa anterior: 000001665 Material: METALICO Color: GRIS Referencia:  Observacion:  Placa padre: Tipo adquisicion: Entidad</v>
      </c>
      <c r="G22102" s="5"/>
    </row>
    <row r="22103" spans="1:7" ht="58.5" customHeight="1" x14ac:dyDescent="0.25">
      <c r="A22103" s="5" t="str">
        <f>"H0003295"</f>
        <v>H0003295</v>
      </c>
      <c r="B22103" s="5" t="str">
        <f t="shared" si="1106"/>
        <v>ESTANTE METALICO 7 ENTREPAÑOS</v>
      </c>
      <c r="C22103" s="6">
        <v>281999</v>
      </c>
      <c r="D22103" s="5" t="s">
        <v>257</v>
      </c>
      <c r="E22103" s="5" t="str">
        <f t="shared" si="1104"/>
        <v>ACTISALUD-ESTADISTICA</v>
      </c>
      <c r="F22103" s="5" t="str">
        <f>"Descripcion: ESTANTES CONSTRUIDOS EN LAMINAS METALICAS SOLIDAS,  DE 0.94 CM DE ANCHO, CON ALTURA DE 2.20 MTS  Estado: Bueno Placa anterior: 000038848 Material: METALICO Color: GRIS Referencia:  Observacion:  Placa padre: Tipo adquisicion: Entidad"</f>
        <v>Descripcion: ESTANTES CONSTRUIDOS EN LAMINAS METALICAS SOLIDAS,  DE 0.94 CM DE ANCHO, CON ALTURA DE 2.20 MTS  Estado: Bueno Placa anterior: 000038848 Material: METALICO Color: GRIS Referencia:  Observacion:  Placa padre: Tipo adquisicion: Entidad</v>
      </c>
      <c r="G22103" s="5"/>
    </row>
    <row r="22104" spans="1:7" ht="58.5" customHeight="1" x14ac:dyDescent="0.25">
      <c r="A22104" s="5" t="str">
        <f>"H0003296"</f>
        <v>H0003296</v>
      </c>
      <c r="B22104" s="5" t="str">
        <f t="shared" si="1106"/>
        <v>ESTANTE METALICO 7 ENTREPAÑOS</v>
      </c>
      <c r="C22104" s="6">
        <v>281999</v>
      </c>
      <c r="D22104" s="5" t="s">
        <v>257</v>
      </c>
      <c r="E22104" s="5" t="str">
        <f t="shared" si="1104"/>
        <v>ACTISALUD-ESTADISTICA</v>
      </c>
      <c r="F22104" s="5" t="str">
        <f>"Descripcion: ESTANTES CONSTRUIDOS EN LAMINAS METALICAS SOLIDAS,  DE 0.94 CM DE ANCHO, CON ALTURA DE 2.20 MTS  Estado: Bueno Placa anterior: 000038849 Material: METALICO Color: GRIS Referencia:  Observacion:  Placa padre: Tipo adquisicion: Entidad"</f>
        <v>Descripcion: ESTANTES CONSTRUIDOS EN LAMINAS METALICAS SOLIDAS,  DE 0.94 CM DE ANCHO, CON ALTURA DE 2.20 MTS  Estado: Bueno Placa anterior: 000038849 Material: METALICO Color: GRIS Referencia:  Observacion:  Placa padre: Tipo adquisicion: Entidad</v>
      </c>
      <c r="G22104" s="5"/>
    </row>
    <row r="22105" spans="1:7" ht="58.5" customHeight="1" x14ac:dyDescent="0.25">
      <c r="A22105" s="5" t="str">
        <f>"H0003297"</f>
        <v>H0003297</v>
      </c>
      <c r="B22105" s="5" t="str">
        <f t="shared" si="1106"/>
        <v>ESTANTE METALICO 7 ENTREPAÑOS</v>
      </c>
      <c r="C22105" s="6">
        <v>281999</v>
      </c>
      <c r="D22105" s="5" t="s">
        <v>257</v>
      </c>
      <c r="E22105" s="5" t="str">
        <f t="shared" si="1104"/>
        <v>ACTISALUD-ESTADISTICA</v>
      </c>
      <c r="F22105" s="5" t="str">
        <f>"Descripcion: ESTANTES CONSTRUIDOS EN LAMINAS METALICAS SOLIDAS,  DE 0.94 CM DE ANCHO, CON ALTURA DE 2.20 MTS  Estado: Bueno Placa anterior: 000038850 Material: METALICO Color: GRIS Referencia:  Observacion:  Placa padre: Tipo adquisicion: Entidad"</f>
        <v>Descripcion: ESTANTES CONSTRUIDOS EN LAMINAS METALICAS SOLIDAS,  DE 0.94 CM DE ANCHO, CON ALTURA DE 2.20 MTS  Estado: Bueno Placa anterior: 000038850 Material: METALICO Color: GRIS Referencia:  Observacion:  Placa padre: Tipo adquisicion: Entidad</v>
      </c>
      <c r="G22105" s="5"/>
    </row>
    <row r="22106" spans="1:7" ht="58.5" customHeight="1" x14ac:dyDescent="0.25">
      <c r="A22106" s="5" t="str">
        <f>"H0003299"</f>
        <v>H0003299</v>
      </c>
      <c r="B22106" s="5" t="str">
        <f t="shared" si="1106"/>
        <v>ESTANTE METALICO 7 ENTREPAÑOS</v>
      </c>
      <c r="C22106" s="6">
        <v>281999</v>
      </c>
      <c r="D22106" s="5" t="s">
        <v>257</v>
      </c>
      <c r="E22106" s="5" t="str">
        <f t="shared" si="1104"/>
        <v>ACTISALUD-ESTADISTICA</v>
      </c>
      <c r="F22106" s="5" t="str">
        <f>"Descripcion: ESTANTES CONSTRUIDOS EN LAMINAS METALICAS SOLIDAS,  DE 0.94 CM DE ANCHO, CON ALTURA DE 2.20 MTS  Estado: Bueno Placa anterior: 000038852 Material: METALICO Color: GRIS Referencia:  Observacion:  Placa padre: Tipo adquisicion: Entidad"</f>
        <v>Descripcion: ESTANTES CONSTRUIDOS EN LAMINAS METALICAS SOLIDAS,  DE 0.94 CM DE ANCHO, CON ALTURA DE 2.20 MTS  Estado: Bueno Placa anterior: 000038852 Material: METALICO Color: GRIS Referencia:  Observacion:  Placa padre: Tipo adquisicion: Entidad</v>
      </c>
      <c r="G22106" s="5"/>
    </row>
    <row r="22107" spans="1:7" ht="58.5" customHeight="1" x14ac:dyDescent="0.25">
      <c r="A22107" s="5" t="str">
        <f>"H0003300"</f>
        <v>H0003300</v>
      </c>
      <c r="B22107" s="5" t="str">
        <f t="shared" si="1106"/>
        <v>ESTANTE METALICO 7 ENTREPAÑOS</v>
      </c>
      <c r="C22107" s="6">
        <v>281999</v>
      </c>
      <c r="D22107" s="5" t="s">
        <v>257</v>
      </c>
      <c r="E22107" s="5" t="str">
        <f t="shared" si="1104"/>
        <v>ACTISALUD-ESTADISTICA</v>
      </c>
      <c r="F22107" s="5" t="str">
        <f>"Descripcion: ESTANTES CONSTRUIDOS EN LAMINAS METALICAS SOLIDAS,  DE 0.94 CM DE ANCHO, CON ALTURA DE 2.20 MTS Estado: Bueno Placa anterior: 000038853 Material: METALICO Color: GRIS Referencia:  Observacion:  Placa padre: Tipo adquisicion: Entidad"</f>
        <v>Descripcion: ESTANTES CONSTRUIDOS EN LAMINAS METALICAS SOLIDAS,  DE 0.94 CM DE ANCHO, CON ALTURA DE 2.20 MTS Estado: Bueno Placa anterior: 000038853 Material: METALICO Color: GRIS Referencia:  Observacion:  Placa padre: Tipo adquisicion: Entidad</v>
      </c>
      <c r="G22107" s="5"/>
    </row>
    <row r="22108" spans="1:7" ht="58.5" customHeight="1" x14ac:dyDescent="0.25">
      <c r="A22108" s="5" t="str">
        <f>"H0003301"</f>
        <v>H0003301</v>
      </c>
      <c r="B22108" s="5" t="str">
        <f t="shared" si="1106"/>
        <v>ESTANTE METALICO 7 ENTREPAÑOS</v>
      </c>
      <c r="C22108" s="6">
        <v>281999</v>
      </c>
      <c r="D22108" s="5" t="s">
        <v>257</v>
      </c>
      <c r="E22108" s="5" t="str">
        <f t="shared" si="1104"/>
        <v>ACTISALUD-ESTADISTICA</v>
      </c>
      <c r="F22108" s="5" t="str">
        <f>"Descripcion: ESTANTES CONSTRUIDOS EN LAMINAS METALICAS SOLIDAS,  DE 0.94 CM DE ANCHO, CON ALTURA DE 2.20 MTS  Estado: Bueno Placa anterior: 000038854 Material: METALICO Color: GRIS Referencia:  Observacion:  Placa padre: Tipo adquisicion: Entidad"</f>
        <v>Descripcion: ESTANTES CONSTRUIDOS EN LAMINAS METALICAS SOLIDAS,  DE 0.94 CM DE ANCHO, CON ALTURA DE 2.20 MTS  Estado: Bueno Placa anterior: 000038854 Material: METALICO Color: GRIS Referencia:  Observacion:  Placa padre: Tipo adquisicion: Entidad</v>
      </c>
      <c r="G22108" s="5"/>
    </row>
    <row r="22109" spans="1:7" ht="58.5" customHeight="1" x14ac:dyDescent="0.25">
      <c r="A22109" s="5" t="str">
        <f>"H0003302"</f>
        <v>H0003302</v>
      </c>
      <c r="B22109" s="5" t="str">
        <f t="shared" si="1106"/>
        <v>ESTANTE METALICO 7 ENTREPAÑOS</v>
      </c>
      <c r="C22109" s="6">
        <v>281999</v>
      </c>
      <c r="D22109" s="5" t="s">
        <v>257</v>
      </c>
      <c r="E22109" s="5" t="str">
        <f t="shared" si="1104"/>
        <v>ACTISALUD-ESTADISTICA</v>
      </c>
      <c r="F22109" s="5" t="str">
        <f>"Descripcion: ESTANTES CONSTRUIDOS EN LAMINAS METALICAS SOLIDAS,  DE 0.94 CM DE ANCHO, CON ALTURA DE 2.20 MTS  Estado: Bueno Placa anterior: 000038855 Material: METALICO Color: GRIS Referencia:  Observacion:  Placa padre: Tipo adquisicion: Entidad"</f>
        <v>Descripcion: ESTANTES CONSTRUIDOS EN LAMINAS METALICAS SOLIDAS,  DE 0.94 CM DE ANCHO, CON ALTURA DE 2.20 MTS  Estado: Bueno Placa anterior: 000038855 Material: METALICO Color: GRIS Referencia:  Observacion:  Placa padre: Tipo adquisicion: Entidad</v>
      </c>
      <c r="G22109" s="5"/>
    </row>
    <row r="22110" spans="1:7" ht="58.5" customHeight="1" x14ac:dyDescent="0.25">
      <c r="A22110" s="5" t="str">
        <f>"H0003303"</f>
        <v>H0003303</v>
      </c>
      <c r="B22110" s="5" t="str">
        <f t="shared" si="1106"/>
        <v>ESTANTE METALICO 7 ENTREPAÑOS</v>
      </c>
      <c r="C22110" s="6">
        <v>281999</v>
      </c>
      <c r="D22110" s="5" t="s">
        <v>257</v>
      </c>
      <c r="E22110" s="5" t="str">
        <f t="shared" si="1104"/>
        <v>ACTISALUD-ESTADISTICA</v>
      </c>
      <c r="F22110" s="5" t="str">
        <f>"Descripcion: ESTANTES CONSTRUIDOS EN LAMINAS METALICAS SOLIDAS,  DE 0.94 CM DE ANCHO, CON ALTURA DE 2.20 MTS  Estado: Bueno Placa anterior: 000038865 Material: METALICO Color: GRIS Referencia:  Observacion:  Placa padre: Tipo adquisicion: Entidad"</f>
        <v>Descripcion: ESTANTES CONSTRUIDOS EN LAMINAS METALICAS SOLIDAS,  DE 0.94 CM DE ANCHO, CON ALTURA DE 2.20 MTS  Estado: Bueno Placa anterior: 000038865 Material: METALICO Color: GRIS Referencia:  Observacion:  Placa padre: Tipo adquisicion: Entidad</v>
      </c>
      <c r="G22110" s="5"/>
    </row>
    <row r="22111" spans="1:7" ht="58.5" customHeight="1" x14ac:dyDescent="0.25">
      <c r="A22111" s="5" t="str">
        <f>"H0003304"</f>
        <v>H0003304</v>
      </c>
      <c r="B22111" s="5" t="str">
        <f t="shared" si="1106"/>
        <v>ESTANTE METALICO 7 ENTREPAÑOS</v>
      </c>
      <c r="C22111" s="6">
        <v>281999</v>
      </c>
      <c r="D22111" s="5" t="s">
        <v>257</v>
      </c>
      <c r="E22111" s="5" t="str">
        <f t="shared" si="1104"/>
        <v>ACTISALUD-ESTADISTICA</v>
      </c>
      <c r="F22111" s="5" t="str">
        <f>"Descripcion: ESTANTES CONSTRUIDOS EN LAMINAS METALICAS SOLIDAS,  DE 0.94 CM DE ANCHO, CON ALTURA DE 2.20 MTS  Estado: Bueno Placa anterior: 000038866 Material: METALICO Color: GRIS Referencia:  Observacion:  Placa padre: Tipo adquisicion: Entidad"</f>
        <v>Descripcion: ESTANTES CONSTRUIDOS EN LAMINAS METALICAS SOLIDAS,  DE 0.94 CM DE ANCHO, CON ALTURA DE 2.20 MTS  Estado: Bueno Placa anterior: 000038866 Material: METALICO Color: GRIS Referencia:  Observacion:  Placa padre: Tipo adquisicion: Entidad</v>
      </c>
      <c r="G22111" s="5"/>
    </row>
    <row r="22112" spans="1:7" ht="58.5" customHeight="1" x14ac:dyDescent="0.25">
      <c r="A22112" s="5" t="str">
        <f>"H0003305"</f>
        <v>H0003305</v>
      </c>
      <c r="B22112" s="5" t="str">
        <f t="shared" si="1106"/>
        <v>ESTANTE METALICO 7 ENTREPAÑOS</v>
      </c>
      <c r="C22112" s="6">
        <v>281999</v>
      </c>
      <c r="D22112" s="5" t="s">
        <v>257</v>
      </c>
      <c r="E22112" s="5" t="str">
        <f t="shared" si="1104"/>
        <v>ACTISALUD-ESTADISTICA</v>
      </c>
      <c r="F22112" s="5" t="str">
        <f>"Descripcion: ESTANTES CONSTRUIDOS EN LAMINAS METALICAS SOLIDAS,  DE 0.94 CM DE ANCHO, CON ALTURA DE 2.20 MTS  Estado: Bueno Placa anterior: 000038867 Material: METALICO Color: GRIS Referencia:  Observacion:  Placa padre: Tipo adquisicion: Entidad"</f>
        <v>Descripcion: ESTANTES CONSTRUIDOS EN LAMINAS METALICAS SOLIDAS,  DE 0.94 CM DE ANCHO, CON ALTURA DE 2.20 MTS  Estado: Bueno Placa anterior: 000038867 Material: METALICO Color: GRIS Referencia:  Observacion:  Placa padre: Tipo adquisicion: Entidad</v>
      </c>
      <c r="G22112" s="5"/>
    </row>
    <row r="22113" spans="1:7" ht="58.5" customHeight="1" x14ac:dyDescent="0.25">
      <c r="A22113" s="5" t="str">
        <f>"H0003306"</f>
        <v>H0003306</v>
      </c>
      <c r="B22113" s="5" t="str">
        <f t="shared" si="1106"/>
        <v>ESTANTE METALICO 7 ENTREPAÑOS</v>
      </c>
      <c r="C22113" s="6">
        <v>281999</v>
      </c>
      <c r="D22113" s="5" t="s">
        <v>257</v>
      </c>
      <c r="E22113" s="5" t="str">
        <f t="shared" si="1104"/>
        <v>ACTISALUD-ESTADISTICA</v>
      </c>
      <c r="F22113" s="5" t="str">
        <f>"Descripcion: ESTANTES CONSTRUIDOS EN LAMINAS METALICAS SOLIDAS,  DE 0.94 CM DE ANCHO, CON ALTURA DE 2.20 MTS  Estado: Bueno Placa anterior: 000038868 Material: METALICO Color: GRIS Referencia:  Observacion:  Placa padre: Tipo adquisicion: Entidad"</f>
        <v>Descripcion: ESTANTES CONSTRUIDOS EN LAMINAS METALICAS SOLIDAS,  DE 0.94 CM DE ANCHO, CON ALTURA DE 2.20 MTS  Estado: Bueno Placa anterior: 000038868 Material: METALICO Color: GRIS Referencia:  Observacion:  Placa padre: Tipo adquisicion: Entidad</v>
      </c>
      <c r="G22113" s="5"/>
    </row>
    <row r="22114" spans="1:7" ht="58.5" customHeight="1" x14ac:dyDescent="0.25">
      <c r="A22114" s="5" t="str">
        <f>"H0003307"</f>
        <v>H0003307</v>
      </c>
      <c r="B22114" s="5" t="str">
        <f t="shared" si="1106"/>
        <v>ESTANTE METALICO 7 ENTREPAÑOS</v>
      </c>
      <c r="C22114" s="6">
        <v>281999</v>
      </c>
      <c r="D22114" s="5" t="s">
        <v>257</v>
      </c>
      <c r="E22114" s="5" t="str">
        <f t="shared" si="1104"/>
        <v>ACTISALUD-ESTADISTICA</v>
      </c>
      <c r="F22114" s="5" t="str">
        <f>"Descripcion: ESTANTES CONSTRUIDOS EN LAMINAS METALICAS SOLIDAS,  DE 0.94 CM DE ANCHO, CON ALTURA DE 2.20 MTS  Estado: Bueno Placa anterior: 000038869 Material: METALICO Color: GRIS Referencia:  Observacion:  Placa padre: Tipo adquisicion: Entidad"</f>
        <v>Descripcion: ESTANTES CONSTRUIDOS EN LAMINAS METALICAS SOLIDAS,  DE 0.94 CM DE ANCHO, CON ALTURA DE 2.20 MTS  Estado: Bueno Placa anterior: 000038869 Material: METALICO Color: GRIS Referencia:  Observacion:  Placa padre: Tipo adquisicion: Entidad</v>
      </c>
      <c r="G22114" s="5"/>
    </row>
    <row r="22115" spans="1:7" ht="58.5" customHeight="1" x14ac:dyDescent="0.25">
      <c r="A22115" s="5" t="str">
        <f>"H0003308"</f>
        <v>H0003308</v>
      </c>
      <c r="B22115" s="5" t="str">
        <f t="shared" si="1106"/>
        <v>ESTANTE METALICO 7 ENTREPAÑOS</v>
      </c>
      <c r="C22115" s="6">
        <v>281999</v>
      </c>
      <c r="D22115" s="5" t="s">
        <v>257</v>
      </c>
      <c r="E22115" s="5" t="str">
        <f t="shared" si="1104"/>
        <v>ACTISALUD-ESTADISTICA</v>
      </c>
      <c r="F22115" s="5" t="str">
        <f>"Descripcion: ESTANTES CONSTRUIDOS EN LAMINAS METALICAS SOLIDAS,  DE 0.94 CM DE ANCHO, CON ALTURA DE 2.20 MTS  Estado: Bueno Placa anterior: 000038870 Material: METALICO Color: GRIS Referencia:  Observacion:  Placa padre: Tipo adquisicion: Entidad"</f>
        <v>Descripcion: ESTANTES CONSTRUIDOS EN LAMINAS METALICAS SOLIDAS,  DE 0.94 CM DE ANCHO, CON ALTURA DE 2.20 MTS  Estado: Bueno Placa anterior: 000038870 Material: METALICO Color: GRIS Referencia:  Observacion:  Placa padre: Tipo adquisicion: Entidad</v>
      </c>
      <c r="G22115" s="5"/>
    </row>
    <row r="22116" spans="1:7" ht="58.5" customHeight="1" x14ac:dyDescent="0.25">
      <c r="A22116" s="5" t="str">
        <f>"H0003309"</f>
        <v>H0003309</v>
      </c>
      <c r="B22116" s="5" t="str">
        <f t="shared" si="1106"/>
        <v>ESTANTE METALICO 7 ENTREPAÑOS</v>
      </c>
      <c r="C22116" s="6">
        <v>281999</v>
      </c>
      <c r="D22116" s="5" t="s">
        <v>257</v>
      </c>
      <c r="E22116" s="5" t="str">
        <f t="shared" si="1104"/>
        <v>ACTISALUD-ESTADISTICA</v>
      </c>
      <c r="F22116" s="5" t="str">
        <f>"Descripcion: ESTANTES CONSTRUIDOS EN LAMINAS METALICAS SOLIDAS,  DE 0.94 CM DE ANCHO, CON ALTURA DE 2.20 MTS  Estado: Bueno Placa anterior: 000038871 Material: METALICO Color: GRIS Referencia:  Observacion:  Placa padre: Tipo adquisicion: Entidad"</f>
        <v>Descripcion: ESTANTES CONSTRUIDOS EN LAMINAS METALICAS SOLIDAS,  DE 0.94 CM DE ANCHO, CON ALTURA DE 2.20 MTS  Estado: Bueno Placa anterior: 000038871 Material: METALICO Color: GRIS Referencia:  Observacion:  Placa padre: Tipo adquisicion: Entidad</v>
      </c>
      <c r="G22116" s="5"/>
    </row>
    <row r="22117" spans="1:7" ht="58.5" customHeight="1" x14ac:dyDescent="0.25">
      <c r="A22117" s="5" t="str">
        <f>"H0003310"</f>
        <v>H0003310</v>
      </c>
      <c r="B22117" s="5" t="str">
        <f t="shared" si="1106"/>
        <v>ESTANTE METALICO 7 ENTREPAÑOS</v>
      </c>
      <c r="C22117" s="6">
        <v>281999</v>
      </c>
      <c r="D22117" s="5" t="s">
        <v>257</v>
      </c>
      <c r="E22117" s="5" t="str">
        <f t="shared" si="1104"/>
        <v>ACTISALUD-ESTADISTICA</v>
      </c>
      <c r="F22117" s="5" t="str">
        <f>"Descripcion: ESTANTES CONSTRUIDOS EN LAMINAS METALICAS SOLIDAS,  DE 0.94 CM DE ANCHO, CON ALTURA DE 2.20 MTS  Estado: Bueno Placa anterior: 000038818 Material: METALICO Color: GRIS Referencia:  Observacion:  Placa padre: Tipo adquisicion: Entidad"</f>
        <v>Descripcion: ESTANTES CONSTRUIDOS EN LAMINAS METALICAS SOLIDAS,  DE 0.94 CM DE ANCHO, CON ALTURA DE 2.20 MTS  Estado: Bueno Placa anterior: 000038818 Material: METALICO Color: GRIS Referencia:  Observacion:  Placa padre: Tipo adquisicion: Entidad</v>
      </c>
      <c r="G22117" s="5"/>
    </row>
    <row r="22118" spans="1:7" ht="58.5" customHeight="1" x14ac:dyDescent="0.25">
      <c r="A22118" s="5" t="str">
        <f>"H0003311"</f>
        <v>H0003311</v>
      </c>
      <c r="B22118" s="5" t="str">
        <f t="shared" si="1106"/>
        <v>ESTANTE METALICO 7 ENTREPAÑOS</v>
      </c>
      <c r="C22118" s="6">
        <v>281999</v>
      </c>
      <c r="D22118" s="5" t="s">
        <v>257</v>
      </c>
      <c r="E22118" s="5" t="str">
        <f t="shared" si="1104"/>
        <v>ACTISALUD-ESTADISTICA</v>
      </c>
      <c r="F22118" s="5" t="str">
        <f>"Descripcion: ESTANTES CONSTRUIDOS EN LAMINAS METALICAS SOLIDAS,  DE 0.94 CM DE ANCHO, CON ALTURA DE 2.20 MTS  Estado: Bueno Placa anterior: 000038817 Material: METALICO Color: GRIS Referencia:  Observacion:  Placa padre: Tipo adquisicion: Entidad"</f>
        <v>Descripcion: ESTANTES CONSTRUIDOS EN LAMINAS METALICAS SOLIDAS,  DE 0.94 CM DE ANCHO, CON ALTURA DE 2.20 MTS  Estado: Bueno Placa anterior: 000038817 Material: METALICO Color: GRIS Referencia:  Observacion:  Placa padre: Tipo adquisicion: Entidad</v>
      </c>
      <c r="G22118" s="5"/>
    </row>
    <row r="22119" spans="1:7" ht="58.5" customHeight="1" x14ac:dyDescent="0.25">
      <c r="A22119" s="5" t="str">
        <f>"H0003312"</f>
        <v>H0003312</v>
      </c>
      <c r="B22119" s="5" t="str">
        <f t="shared" si="1106"/>
        <v>ESTANTE METALICO 7 ENTREPAÑOS</v>
      </c>
      <c r="C22119" s="6">
        <v>281999</v>
      </c>
      <c r="D22119" s="5" t="s">
        <v>257</v>
      </c>
      <c r="E22119" s="5" t="str">
        <f t="shared" si="1104"/>
        <v>ACTISALUD-ESTADISTICA</v>
      </c>
      <c r="F22119" s="5" t="str">
        <f>"Descripcion: ESTANTES CONSTRUIDOS EN LAMINAS METALICAS SOLIDAS,  DE 0.94 CM DE ANCHO, CON ALTURA DE 2.20 MTS  Estado: Bueno Placa anterior: 000038816 Material: METALICO Color: GRIS Referencia:  Observacion:  Placa padre: Tipo adquisicion: Entidad"</f>
        <v>Descripcion: ESTANTES CONSTRUIDOS EN LAMINAS METALICAS SOLIDAS,  DE 0.94 CM DE ANCHO, CON ALTURA DE 2.20 MTS  Estado: Bueno Placa anterior: 000038816 Material: METALICO Color: GRIS Referencia:  Observacion:  Placa padre: Tipo adquisicion: Entidad</v>
      </c>
      <c r="G22119" s="5"/>
    </row>
    <row r="22120" spans="1:7" ht="58.5" customHeight="1" x14ac:dyDescent="0.25">
      <c r="A22120" s="5" t="str">
        <f>"H0003313"</f>
        <v>H0003313</v>
      </c>
      <c r="B22120" s="5" t="str">
        <f t="shared" si="1106"/>
        <v>ESTANTE METALICO 7 ENTREPAÑOS</v>
      </c>
      <c r="C22120" s="6">
        <v>281999</v>
      </c>
      <c r="D22120" s="5" t="s">
        <v>257</v>
      </c>
      <c r="E22120" s="5" t="str">
        <f t="shared" si="1104"/>
        <v>ACTISALUD-ESTADISTICA</v>
      </c>
      <c r="F22120" s="5" t="str">
        <f>"Descripcion: ESTANTES CONSTRUIDOS EN LAMINAS METALICAS SOLIDAS,  DE 0.94 CM DE ANCHO, CON ALTURA DE 2.20 MTS  Estado: Bueno Placa anterior: 000038815 Material: METALICO Color: GRIS Referencia:  Observacion:  Placa padre: Tipo adquisicion: Entidad"</f>
        <v>Descripcion: ESTANTES CONSTRUIDOS EN LAMINAS METALICAS SOLIDAS,  DE 0.94 CM DE ANCHO, CON ALTURA DE 2.20 MTS  Estado: Bueno Placa anterior: 000038815 Material: METALICO Color: GRIS Referencia:  Observacion:  Placa padre: Tipo adquisicion: Entidad</v>
      </c>
      <c r="G22120" s="5"/>
    </row>
    <row r="22121" spans="1:7" ht="58.5" customHeight="1" x14ac:dyDescent="0.25">
      <c r="A22121" s="5" t="str">
        <f>"H0003314"</f>
        <v>H0003314</v>
      </c>
      <c r="B22121" s="5" t="str">
        <f t="shared" si="1106"/>
        <v>ESTANTE METALICO 7 ENTREPAÑOS</v>
      </c>
      <c r="C22121" s="6">
        <v>281999</v>
      </c>
      <c r="D22121" s="5" t="s">
        <v>257</v>
      </c>
      <c r="E22121" s="5" t="str">
        <f t="shared" si="1104"/>
        <v>ACTISALUD-ESTADISTICA</v>
      </c>
      <c r="F22121" s="5" t="str">
        <f>"Descripcion: ESTANTES CONSTRUIDOS EN LAMINAS METALICAS SOLIDAS,  DE 0.94 CM DE ANCHO, CON ALTURA DE 2.20 MTS  Estado: Bueno Placa anterior: 000038814 Material: METALICO Color: GRIS Referencia:  Observacion:  Placa padre: Tipo adquisicion: Entidad"</f>
        <v>Descripcion: ESTANTES CONSTRUIDOS EN LAMINAS METALICAS SOLIDAS,  DE 0.94 CM DE ANCHO, CON ALTURA DE 2.20 MTS  Estado: Bueno Placa anterior: 000038814 Material: METALICO Color: GRIS Referencia:  Observacion:  Placa padre: Tipo adquisicion: Entidad</v>
      </c>
      <c r="G22121" s="5"/>
    </row>
    <row r="22122" spans="1:7" ht="58.5" customHeight="1" x14ac:dyDescent="0.25">
      <c r="A22122" s="5" t="str">
        <f>"H0003315"</f>
        <v>H0003315</v>
      </c>
      <c r="B22122" s="5" t="str">
        <f t="shared" si="1106"/>
        <v>ESTANTE METALICO 7 ENTREPAÑOS</v>
      </c>
      <c r="C22122" s="6">
        <v>281999</v>
      </c>
      <c r="D22122" s="5" t="s">
        <v>257</v>
      </c>
      <c r="E22122" s="5" t="str">
        <f t="shared" si="1104"/>
        <v>ACTISALUD-ESTADISTICA</v>
      </c>
      <c r="F22122"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000038813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000038813 Material: METALICO Color: GRIS Referencia:  Observacion:  Placa padre: Tipo adquisicion: Entidad</v>
      </c>
      <c r="G22122" s="5"/>
    </row>
    <row r="22123" spans="1:7" ht="58.5" customHeight="1" x14ac:dyDescent="0.25">
      <c r="A22123" s="5" t="str">
        <f>"H0003316"</f>
        <v>H0003316</v>
      </c>
      <c r="B22123" s="5" t="str">
        <f t="shared" si="1106"/>
        <v>ESTANTE METALICO 7 ENTREPAÑOS</v>
      </c>
      <c r="C22123" s="6">
        <v>281999</v>
      </c>
      <c r="D22123" s="5" t="s">
        <v>257</v>
      </c>
      <c r="E22123" s="5" t="str">
        <f t="shared" si="1104"/>
        <v>ACTISALUD-ESTADISTICA</v>
      </c>
      <c r="F22123"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000038812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000038812 Material: METALICO Color: GRIS Referencia:  Observacion:  Placa padre: Tipo adquisicion: Entidad</v>
      </c>
      <c r="G22123" s="5"/>
    </row>
    <row r="22124" spans="1:7" ht="58.5" customHeight="1" x14ac:dyDescent="0.25">
      <c r="A22124" s="5" t="str">
        <f>"H0003317"</f>
        <v>H0003317</v>
      </c>
      <c r="B22124" s="5" t="str">
        <f t="shared" si="1106"/>
        <v>ESTANTE METALICO 7 ENTREPAÑOS</v>
      </c>
      <c r="C22124" s="6">
        <v>281999</v>
      </c>
      <c r="D22124" s="5" t="s">
        <v>257</v>
      </c>
      <c r="E22124" s="5" t="str">
        <f t="shared" si="1104"/>
        <v>ACTISALUD-ESTADISTICA</v>
      </c>
      <c r="F2212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000038811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000038811 Material: METALICO Color: GRIS Referencia:  Observacion:  Placa padre: Tipo adquisicion: Entidad</v>
      </c>
      <c r="G22124" s="5"/>
    </row>
    <row r="22125" spans="1:7" ht="58.5" customHeight="1" x14ac:dyDescent="0.25">
      <c r="A22125" s="5" t="str">
        <f>"H0003320"</f>
        <v>H0003320</v>
      </c>
      <c r="B22125" s="5" t="str">
        <f t="shared" si="1106"/>
        <v>ESTANTE METALICO 7 ENTREPAÑOS</v>
      </c>
      <c r="C22125" s="6">
        <v>281999</v>
      </c>
      <c r="D22125" s="5" t="s">
        <v>257</v>
      </c>
      <c r="E22125" s="5" t="str">
        <f t="shared" si="1104"/>
        <v>ACTISALUD-ESTADISTICA</v>
      </c>
      <c r="F2212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000038828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000038828 Material: METALICO Color: GRIS Referencia:  Observacion:  Placa padre: Tipo adquisicion: Entidad</v>
      </c>
      <c r="G22125" s="5"/>
    </row>
    <row r="22126" spans="1:7" ht="58.5" customHeight="1" x14ac:dyDescent="0.25">
      <c r="A22126" s="5" t="str">
        <f>"H0003321"</f>
        <v>H0003321</v>
      </c>
      <c r="B22126" s="5" t="str">
        <f t="shared" si="1106"/>
        <v>ESTANTE METALICO 7 ENTREPAÑOS</v>
      </c>
      <c r="C22126" s="6">
        <v>281999</v>
      </c>
      <c r="D22126" s="5" t="s">
        <v>257</v>
      </c>
      <c r="E22126" s="5" t="str">
        <f t="shared" si="1104"/>
        <v>ACTISALUD-ESTADISTICA</v>
      </c>
      <c r="F22126"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000038829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000038829 Material: METALICO Color: GRIS Referencia:  Observacion:  Placa padre: Tipo adquisicion: Entidad</v>
      </c>
      <c r="G22126" s="5"/>
    </row>
    <row r="22127" spans="1:7" ht="58.5" customHeight="1" x14ac:dyDescent="0.25">
      <c r="A22127" s="5" t="str">
        <f>"H0003322"</f>
        <v>H0003322</v>
      </c>
      <c r="B22127" s="5" t="str">
        <f t="shared" si="1106"/>
        <v>ESTANTE METALICO 7 ENTREPAÑOS</v>
      </c>
      <c r="C22127" s="6">
        <v>281999</v>
      </c>
      <c r="D22127" s="5" t="s">
        <v>257</v>
      </c>
      <c r="E22127" s="5" t="str">
        <f t="shared" si="1104"/>
        <v>ACTISALUD-ESTADISTICA</v>
      </c>
      <c r="F22127"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000038826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000038826 Material: METALICO Color: GRIS Referencia:  Observacion:  Placa padre: Tipo adquisicion: Entidad</v>
      </c>
      <c r="G22127" s="5"/>
    </row>
    <row r="22128" spans="1:7" ht="58.5" customHeight="1" x14ac:dyDescent="0.25">
      <c r="A22128" s="5" t="str">
        <f>"H0003323"</f>
        <v>H0003323</v>
      </c>
      <c r="B22128" s="5" t="str">
        <f t="shared" si="1106"/>
        <v>ESTANTE METALICO 7 ENTREPAÑOS</v>
      </c>
      <c r="C22128" s="6">
        <v>281999</v>
      </c>
      <c r="D22128" s="5" t="s">
        <v>257</v>
      </c>
      <c r="E22128" s="5" t="str">
        <f t="shared" si="1104"/>
        <v>ACTISALUD-ESTADISTICA</v>
      </c>
      <c r="F22128"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000038825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000038825 Material: METALICO Color: GRIS Referencia:  Observacion:  Placa padre: Tipo adquisicion: Entidad</v>
      </c>
      <c r="G22128" s="5"/>
    </row>
    <row r="22129" spans="1:7" ht="58.5" customHeight="1" x14ac:dyDescent="0.25">
      <c r="A22129" s="5" t="str">
        <f>"H0003324"</f>
        <v>H0003324</v>
      </c>
      <c r="B22129" s="5" t="str">
        <f t="shared" si="1106"/>
        <v>ESTANTE METALICO 7 ENTREPAÑOS</v>
      </c>
      <c r="C22129" s="6">
        <v>281999</v>
      </c>
      <c r="D22129" s="5" t="s">
        <v>257</v>
      </c>
      <c r="E22129" s="5" t="str">
        <f t="shared" si="1104"/>
        <v>ACTISALUD-ESTADISTICA</v>
      </c>
      <c r="F22129"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000038824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000038824 Material: METALICO Color: GRIS Referencia:  Observacion:  Placa padre: Tipo adquisicion: Entidad</v>
      </c>
      <c r="G22129" s="5"/>
    </row>
    <row r="22130" spans="1:7" ht="58.5" customHeight="1" x14ac:dyDescent="0.25">
      <c r="A22130" s="5" t="str">
        <f>"H0003325"</f>
        <v>H0003325</v>
      </c>
      <c r="B22130" s="5" t="str">
        <f t="shared" ref="B22130:B22161" si="1107">"ESTANTE METALICO 7 ENTREPAÑOS"</f>
        <v>ESTANTE METALICO 7 ENTREPAÑOS</v>
      </c>
      <c r="C22130" s="6">
        <v>281999</v>
      </c>
      <c r="D22130" s="5" t="s">
        <v>257</v>
      </c>
      <c r="E22130" s="5" t="str">
        <f t="shared" si="1104"/>
        <v>ACTISALUD-ESTADISTICA</v>
      </c>
      <c r="F22130"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000038823 Material: METALICO Color: GRIS Referencia:  Observacion:  Placa padre: Tipo adquisicion: Entidad</v>
      </c>
      <c r="G22130" s="5"/>
    </row>
    <row r="22131" spans="1:7" ht="58.5" customHeight="1" x14ac:dyDescent="0.25">
      <c r="A22131" s="5" t="str">
        <f>"H0003326"</f>
        <v>H0003326</v>
      </c>
      <c r="B22131" s="5" t="str">
        <f t="shared" si="1107"/>
        <v>ESTANTE METALICO 7 ENTREPAÑOS</v>
      </c>
      <c r="C22131" s="6">
        <v>281999</v>
      </c>
      <c r="D22131" s="5" t="s">
        <v>257</v>
      </c>
      <c r="E22131" s="5" t="str">
        <f t="shared" si="1104"/>
        <v>ACTISALUD-ESTADISTICA</v>
      </c>
      <c r="F22131"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000038822 Material: METALICO Color: GRIS Referencia:  Observacion:  Placa padre: Tipo adquisicion: Entidad</v>
      </c>
      <c r="G22131" s="5"/>
    </row>
    <row r="22132" spans="1:7" ht="58.5" customHeight="1" x14ac:dyDescent="0.25">
      <c r="A22132" s="5" t="str">
        <f>"H0003327"</f>
        <v>H0003327</v>
      </c>
      <c r="B22132" s="5" t="str">
        <f t="shared" si="1107"/>
        <v>ESTANTE METALICO 7 ENTREPAÑOS</v>
      </c>
      <c r="C22132" s="6">
        <v>281999</v>
      </c>
      <c r="D22132" s="5" t="s">
        <v>257</v>
      </c>
      <c r="E22132" s="5" t="str">
        <f t="shared" si="1104"/>
        <v>ACTISALUD-ESTADISTICA</v>
      </c>
      <c r="F22132"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000038821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000038821 Material: METALICO Color: GRIS Referencia:  Observacion:  Placa padre: Tipo adquisicion: Entidad</v>
      </c>
      <c r="G22132" s="5"/>
    </row>
    <row r="22133" spans="1:7" ht="58.5" customHeight="1" x14ac:dyDescent="0.25">
      <c r="A22133" s="5" t="str">
        <f>"H0003328"</f>
        <v>H0003328</v>
      </c>
      <c r="B22133" s="5" t="str">
        <f t="shared" si="1107"/>
        <v>ESTANTE METALICO 7 ENTREPAÑOS</v>
      </c>
      <c r="C22133" s="6">
        <v>281999</v>
      </c>
      <c r="D22133" s="5" t="s">
        <v>257</v>
      </c>
      <c r="E22133" s="5" t="str">
        <f t="shared" si="1104"/>
        <v>ACTISALUD-ESTADISTICA</v>
      </c>
      <c r="F22133"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000038820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000038820 Material: METALICO Color: GRIS Referencia:  Observacion:  Placa padre: Tipo adquisicion: Entidad</v>
      </c>
      <c r="G22133" s="5"/>
    </row>
    <row r="22134" spans="1:7" ht="58.5" customHeight="1" x14ac:dyDescent="0.25">
      <c r="A22134" s="5" t="str">
        <f>"H0003329"</f>
        <v>H0003329</v>
      </c>
      <c r="B22134" s="5" t="str">
        <f t="shared" si="1107"/>
        <v>ESTANTE METALICO 7 ENTREPAÑOS</v>
      </c>
      <c r="C22134" s="6">
        <v>281999</v>
      </c>
      <c r="D22134" s="5" t="s">
        <v>257</v>
      </c>
      <c r="E22134" s="5" t="str">
        <f t="shared" ref="E22134:E22197" si="1108">"ACTISALUD-ESTADISTICA"</f>
        <v>ACTISALUD-ESTADISTICA</v>
      </c>
      <c r="F2213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000038819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000038819 Material: METALICO Color: GRIS Referencia:  Observacion:  Placa padre: Tipo adquisicion: Entidad</v>
      </c>
      <c r="G22134" s="5"/>
    </row>
    <row r="22135" spans="1:7" ht="58.5" customHeight="1" x14ac:dyDescent="0.25">
      <c r="A22135" s="5" t="str">
        <f>"H0003331"</f>
        <v>H0003331</v>
      </c>
      <c r="B22135" s="5" t="str">
        <f t="shared" si="1107"/>
        <v>ESTANTE METALICO 7 ENTREPAÑOS</v>
      </c>
      <c r="C22135" s="6">
        <v>281999</v>
      </c>
      <c r="D22135" s="5" t="s">
        <v>257</v>
      </c>
      <c r="E22135" s="5" t="str">
        <f t="shared" si="1108"/>
        <v>ACTISALUD-ESTADISTICA</v>
      </c>
      <c r="F2213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000038872 Material: METALICO Color: GRIS Referencia:  Observacion:  Placa padre: Tipo adquisicion: Entidad</v>
      </c>
      <c r="G22135" s="5"/>
    </row>
    <row r="22136" spans="1:7" ht="58.5" customHeight="1" x14ac:dyDescent="0.25">
      <c r="A22136" s="5" t="str">
        <f>"H0003332"</f>
        <v>H0003332</v>
      </c>
      <c r="B22136" s="5" t="str">
        <f t="shared" si="1107"/>
        <v>ESTANTE METALICO 7 ENTREPAÑOS</v>
      </c>
      <c r="C22136" s="6">
        <v>281999</v>
      </c>
      <c r="D22136" s="5" t="s">
        <v>257</v>
      </c>
      <c r="E22136" s="5" t="str">
        <f t="shared" si="1108"/>
        <v>ACTISALUD-ESTADISTICA</v>
      </c>
      <c r="F22136"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000038873 Material: METALICO Color: GRIS Referencia:  Observacion:  Placa padre: Tipo adquisicion: Entidad</v>
      </c>
      <c r="G22136" s="5"/>
    </row>
    <row r="22137" spans="1:7" ht="58.5" customHeight="1" x14ac:dyDescent="0.25">
      <c r="A22137" s="5" t="str">
        <f>"H0003333"</f>
        <v>H0003333</v>
      </c>
      <c r="B22137" s="5" t="str">
        <f t="shared" si="1107"/>
        <v>ESTANTE METALICO 7 ENTREPAÑOS</v>
      </c>
      <c r="C22137" s="6">
        <v>281999</v>
      </c>
      <c r="D22137" s="5" t="s">
        <v>257</v>
      </c>
      <c r="E22137" s="5" t="str">
        <f t="shared" si="1108"/>
        <v>ACTISALUD-ESTADISTICA</v>
      </c>
      <c r="F22137"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000038874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000038874 Material: METALICO Color: GRIS Referencia:  Observacion:  Placa padre: Tipo adquisicion: Entidad</v>
      </c>
      <c r="G22137" s="5"/>
    </row>
    <row r="22138" spans="1:7" ht="58.5" customHeight="1" x14ac:dyDescent="0.25">
      <c r="A22138" s="5" t="str">
        <f>"H0003335"</f>
        <v>H0003335</v>
      </c>
      <c r="B22138" s="5" t="str">
        <f t="shared" si="1107"/>
        <v>ESTANTE METALICO 7 ENTREPAÑOS</v>
      </c>
      <c r="C22138" s="6">
        <v>281999</v>
      </c>
      <c r="D22138" s="5" t="s">
        <v>257</v>
      </c>
      <c r="E22138" s="5" t="str">
        <f t="shared" si="1108"/>
        <v>ACTISALUD-ESTADISTICA</v>
      </c>
      <c r="F22138"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000038876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000038876 Material: METALICO Color: GRIS Referencia:  Observacion:  Placa padre: Tipo adquisicion: Entidad</v>
      </c>
      <c r="G22138" s="5"/>
    </row>
    <row r="22139" spans="1:7" ht="58.5" customHeight="1" x14ac:dyDescent="0.25">
      <c r="A22139" s="5" t="str">
        <f>"H0003338"</f>
        <v>H0003338</v>
      </c>
      <c r="B22139" s="5" t="str">
        <f t="shared" si="1107"/>
        <v>ESTANTE METALICO 7 ENTREPAÑOS</v>
      </c>
      <c r="C22139" s="6">
        <v>281999</v>
      </c>
      <c r="D22139" s="5" t="s">
        <v>257</v>
      </c>
      <c r="E22139" s="5" t="str">
        <f t="shared" si="1108"/>
        <v>ACTISALUD-ESTADISTICA</v>
      </c>
      <c r="F22139"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000038856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000038856 Material: METALICO Color: GRIS Referencia:  Observacion:  Placa padre: Tipo adquisicion: Entidad</v>
      </c>
      <c r="G22139" s="5"/>
    </row>
    <row r="22140" spans="1:7" ht="58.5" customHeight="1" x14ac:dyDescent="0.25">
      <c r="A22140" s="5" t="str">
        <f>"H0003339"</f>
        <v>H0003339</v>
      </c>
      <c r="B22140" s="5" t="str">
        <f t="shared" si="1107"/>
        <v>ESTANTE METALICO 7 ENTREPAÑOS</v>
      </c>
      <c r="C22140" s="6">
        <v>281999</v>
      </c>
      <c r="D22140" s="5" t="s">
        <v>257</v>
      </c>
      <c r="E22140" s="5" t="str">
        <f t="shared" si="1108"/>
        <v>ACTISALUD-ESTADISTICA</v>
      </c>
      <c r="F22140"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000038857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000038857 Material: METALICO Color: GRIS Referencia:  Observacion:  Placa padre: Tipo adquisicion: Entidad</v>
      </c>
      <c r="G22140" s="5"/>
    </row>
    <row r="22141" spans="1:7" ht="58.5" customHeight="1" x14ac:dyDescent="0.25">
      <c r="A22141" s="5" t="str">
        <f>"H0003340"</f>
        <v>H0003340</v>
      </c>
      <c r="B22141" s="5" t="str">
        <f t="shared" si="1107"/>
        <v>ESTANTE METALICO 7 ENTREPAÑOS</v>
      </c>
      <c r="C22141" s="6">
        <v>281999</v>
      </c>
      <c r="D22141" s="5" t="s">
        <v>257</v>
      </c>
      <c r="E22141" s="5" t="str">
        <f t="shared" si="1108"/>
        <v>ACTISALUD-ESTADISTICA</v>
      </c>
      <c r="F22141"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000038858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000038858 Material: METALICO Color: GRIS Referencia:  Observacion:  Placa padre: Tipo adquisicion: Entidad</v>
      </c>
      <c r="G22141" s="5"/>
    </row>
    <row r="22142" spans="1:7" ht="58.5" customHeight="1" x14ac:dyDescent="0.25">
      <c r="A22142" s="5" t="str">
        <f>"H0003342"</f>
        <v>H0003342</v>
      </c>
      <c r="B22142" s="5" t="str">
        <f t="shared" si="1107"/>
        <v>ESTANTE METALICO 7 ENTREPAÑOS</v>
      </c>
      <c r="C22142" s="6">
        <v>281999</v>
      </c>
      <c r="D22142" s="5" t="s">
        <v>257</v>
      </c>
      <c r="E22142" s="5" t="str">
        <f t="shared" si="1108"/>
        <v>ACTISALUD-ESTADISTICA</v>
      </c>
      <c r="F22142"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000038860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000038860 Material: METALICO Color: GRIS Referencia:  Observacion:  Placa padre: Tipo adquisicion: Entidad</v>
      </c>
      <c r="G22142" s="5"/>
    </row>
    <row r="22143" spans="1:7" ht="58.5" customHeight="1" x14ac:dyDescent="0.25">
      <c r="A22143" s="5" t="str">
        <f>"H0003343"</f>
        <v>H0003343</v>
      </c>
      <c r="B22143" s="5" t="str">
        <f t="shared" si="1107"/>
        <v>ESTANTE METALICO 7 ENTREPAÑOS</v>
      </c>
      <c r="C22143" s="6">
        <v>281999</v>
      </c>
      <c r="D22143" s="5" t="s">
        <v>257</v>
      </c>
      <c r="E22143" s="5" t="str">
        <f t="shared" si="1108"/>
        <v>ACTISALUD-ESTADISTICA</v>
      </c>
      <c r="F22143"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000038861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000038861 Material: METALICO Color: GRIS Referencia:  Observacion:  Placa padre: Tipo adquisicion: Entidad</v>
      </c>
      <c r="G22143" s="5"/>
    </row>
    <row r="22144" spans="1:7" ht="58.5" customHeight="1" x14ac:dyDescent="0.25">
      <c r="A22144" s="5" t="str">
        <f>"H0003344"</f>
        <v>H0003344</v>
      </c>
      <c r="B22144" s="5" t="str">
        <f t="shared" si="1107"/>
        <v>ESTANTE METALICO 7 ENTREPAÑOS</v>
      </c>
      <c r="C22144" s="6">
        <v>281999</v>
      </c>
      <c r="D22144" s="5" t="s">
        <v>257</v>
      </c>
      <c r="E22144" s="5" t="str">
        <f t="shared" si="1108"/>
        <v>ACTISALUD-ESTADISTICA</v>
      </c>
      <c r="F2214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000038862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000038862 Material: METALICO Color: GRIS Referencia:  Observacion:  Placa padre: Tipo adquisicion: Entidad</v>
      </c>
      <c r="G22144" s="5"/>
    </row>
    <row r="22145" spans="1:7" ht="58.5" customHeight="1" x14ac:dyDescent="0.25">
      <c r="A22145" s="5" t="str">
        <f>"H0003345"</f>
        <v>H0003345</v>
      </c>
      <c r="B22145" s="5" t="str">
        <f t="shared" si="1107"/>
        <v>ESTANTE METALICO 7 ENTREPAÑOS</v>
      </c>
      <c r="C22145" s="6">
        <v>281999</v>
      </c>
      <c r="D22145" s="5" t="s">
        <v>257</v>
      </c>
      <c r="E22145" s="5" t="str">
        <f t="shared" si="1108"/>
        <v>ACTISALUD-ESTADISTICA</v>
      </c>
      <c r="F2214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000038863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000038863 Material: METALICO Color: GRIS Referencia:  Observacion:  Placa padre: Tipo adquisicion: Entidad</v>
      </c>
      <c r="G22145" s="5"/>
    </row>
    <row r="22146" spans="1:7" ht="58.5" customHeight="1" x14ac:dyDescent="0.25">
      <c r="A22146" s="5" t="str">
        <f>"H0003346"</f>
        <v>H0003346</v>
      </c>
      <c r="B22146" s="5" t="str">
        <f t="shared" si="1107"/>
        <v>ESTANTE METALICO 7 ENTREPAÑOS</v>
      </c>
      <c r="C22146" s="6">
        <v>8840.07</v>
      </c>
      <c r="D22146" s="5"/>
      <c r="E22146" s="5" t="str">
        <f t="shared" si="1108"/>
        <v>ACTISALUD-ESTADISTICA</v>
      </c>
      <c r="F22146" s="5" t="str">
        <f>"Descripcion: ESTANTE METALICO Estado: Bueno Placa anterior: 000002368 Material: METALICO Color: GRIS Referencia:  Observacion:  Placa padre: Tipo adquisicion: Entidad"</f>
        <v>Descripcion: ESTANTE METALICO Estado: Bueno Placa anterior: 000002368 Material: METALICO Color: GRIS Referencia:  Observacion:  Placa padre: Tipo adquisicion: Entidad</v>
      </c>
      <c r="G22146" s="5"/>
    </row>
    <row r="22147" spans="1:7" ht="58.5" customHeight="1" x14ac:dyDescent="0.25">
      <c r="A22147" s="5" t="str">
        <f>"H0003349"</f>
        <v>H0003349</v>
      </c>
      <c r="B22147" s="5" t="str">
        <f t="shared" si="1107"/>
        <v>ESTANTE METALICO 7 ENTREPAÑOS</v>
      </c>
      <c r="C22147" s="6">
        <v>29533.23</v>
      </c>
      <c r="D22147" s="5"/>
      <c r="E22147" s="5" t="str">
        <f t="shared" si="1108"/>
        <v>ACTISALUD-ESTADISTICA</v>
      </c>
      <c r="F22147" s="5" t="str">
        <f>"Descripcion: ESTANTERIA PARA HISTORIAS CLINICAS (ALTURA 2 METROS PANEL 90 CMS LARGO X 30 CMS ANCHO DISTANCIA ENTRE PANEL 30 CMS) Estado: Bueno Placa anterior: 000002011 Material: METALICO Color: GRIS Referencia:  Observacion:  Placa padre: Tipo adquisicio"&amp; "n: Entidad"</f>
        <v>Descripcion: ESTANTERIA PARA HISTORIAS CLINICAS (ALTURA 2 METROS PANEL 90 CMS LARGO X 30 CMS ANCHO DISTANCIA ENTRE PANEL 30 CMS) Estado: Bueno Placa anterior: 000002011 Material: METALICO Color: GRIS Referencia:  Observacion:  Placa padre: Tipo adquisicion: Entidad</v>
      </c>
      <c r="G22147" s="5"/>
    </row>
    <row r="22148" spans="1:7" ht="58.5" customHeight="1" x14ac:dyDescent="0.25">
      <c r="A22148" s="5" t="str">
        <f>"H0003350"</f>
        <v>H0003350</v>
      </c>
      <c r="B22148" s="5" t="str">
        <f t="shared" si="1107"/>
        <v>ESTANTE METALICO 7 ENTREPAÑOS</v>
      </c>
      <c r="C22148" s="6">
        <v>58000</v>
      </c>
      <c r="D22148" s="5"/>
      <c r="E22148" s="5" t="str">
        <f t="shared" si="1108"/>
        <v>ACTISALUD-ESTADISTICA</v>
      </c>
      <c r="F22148" s="5" t="str">
        <f>"Descripcion: ESTANTERIA PARA HISTORIAS CLINICAS (ALTURA 2 METROS PANEL 90 CMS LARGO X 30 CMS ANCHO DISTANCIA ENTRE PANEL 30 CMS) Estado: Bueno Placa anterior: 000022785 Material: METALICO Color: GRIS Referencia:  Observacion:  Placa padre: Tipo adquisicio"&amp; "n: Entidad"</f>
        <v>Descripcion: ESTANTERIA PARA HISTORIAS CLINICAS (ALTURA 2 METROS PANEL 90 CMS LARGO X 30 CMS ANCHO DISTANCIA ENTRE PANEL 30 CMS) Estado: Bueno Placa anterior: 000022785 Material: METALICO Color: GRIS Referencia:  Observacion:  Placa padre: Tipo adquisicion: Entidad</v>
      </c>
      <c r="G22148" s="5"/>
    </row>
    <row r="22149" spans="1:7" ht="58.5" customHeight="1" x14ac:dyDescent="0.25">
      <c r="A22149" s="5" t="str">
        <f>"H0003351"</f>
        <v>H0003351</v>
      </c>
      <c r="B22149" s="5" t="str">
        <f t="shared" si="1107"/>
        <v>ESTANTE METALICO 7 ENTREPAÑOS</v>
      </c>
      <c r="C22149" s="6">
        <v>29533.23</v>
      </c>
      <c r="D22149" s="5"/>
      <c r="E22149" s="5" t="str">
        <f t="shared" si="1108"/>
        <v>ACTISALUD-ESTADISTICA</v>
      </c>
      <c r="F22149" s="5" t="str">
        <f>"Descripcion: ESTANTERIA PARA HISTORIAS CLINICAS (ALTURA 2 METROS PANEL 90 CMS LARGO X 30 CMS ANCHO DISTANCIA ENTRE PANEL 30 CMS) Estado: Bueno Placa anterior: 000001992 Material: METALICO Color: GRIS Referencia:  Observacion:  Placa padre: Tipo adquisicio"&amp; "n: Entidad"</f>
        <v>Descripcion: ESTANTERIA PARA HISTORIAS CLINICAS (ALTURA 2 METROS PANEL 90 CMS LARGO X 30 CMS ANCHO DISTANCIA ENTRE PANEL 30 CMS) Estado: Bueno Placa anterior: 000001992 Material: METALICO Color: GRIS Referencia:  Observacion:  Placa padre: Tipo adquisicion: Entidad</v>
      </c>
      <c r="G22149" s="5"/>
    </row>
    <row r="22150" spans="1:7" ht="58.5" customHeight="1" x14ac:dyDescent="0.25">
      <c r="A22150" s="5" t="str">
        <f>"H0003354"</f>
        <v>H0003354</v>
      </c>
      <c r="B22150" s="5" t="str">
        <f t="shared" si="1107"/>
        <v>ESTANTE METALICO 7 ENTREPAÑOS</v>
      </c>
      <c r="C22150" s="6">
        <v>22189.18</v>
      </c>
      <c r="D22150" s="5"/>
      <c r="E22150" s="5" t="str">
        <f t="shared" si="1108"/>
        <v>ACTISALUD-ESTADISTICA</v>
      </c>
      <c r="F22150" s="5" t="str">
        <f>"Descripcion: ESTANTE METALICO Estado: Bueno Placa anterior: 000004915 Material: METALICO Color: GRIS Referencia:  Observacion:  Placa padre: Tipo adquisicion: Entidad"</f>
        <v>Descripcion: ESTANTE METALICO Estado: Bueno Placa anterior: 000004915 Material: METALICO Color: GRIS Referencia:  Observacion:  Placa padre: Tipo adquisicion: Entidad</v>
      </c>
      <c r="G22150" s="5"/>
    </row>
    <row r="22151" spans="1:7" ht="58.5" customHeight="1" x14ac:dyDescent="0.25">
      <c r="A22151" s="5" t="str">
        <f>"H0003355"</f>
        <v>H0003355</v>
      </c>
      <c r="B22151" s="5" t="str">
        <f t="shared" si="1107"/>
        <v>ESTANTE METALICO 7 ENTREPAÑOS</v>
      </c>
      <c r="C22151" s="6">
        <v>29533.23</v>
      </c>
      <c r="D22151" s="5"/>
      <c r="E22151" s="5" t="str">
        <f t="shared" si="1108"/>
        <v>ACTISALUD-ESTADISTICA</v>
      </c>
      <c r="F22151" s="5" t="str">
        <f>"Descripcion: ESTANTERIA PARA HISTORIAS CLINICAS (ALTURA 2 METROS PANEL 90 CMS LARGO X 30 CMS ANCHO DISTANCIA ENTRE PANEL 30 CMS) Estado: Bueno Placa anterior: 000001990 Material: METALICO Color: GRIS Referencia:  Observacion:  Placa padre: Tipo adquisicio"&amp; "n: Entidad"</f>
        <v>Descripcion: ESTANTERIA PARA HISTORIAS CLINICAS (ALTURA 2 METROS PANEL 90 CMS LARGO X 30 CMS ANCHO DISTANCIA ENTRE PANEL 30 CMS) Estado: Bueno Placa anterior: 000001990 Material: METALICO Color: GRIS Referencia:  Observacion:  Placa padre: Tipo adquisicion: Entidad</v>
      </c>
      <c r="G22151" s="5"/>
    </row>
    <row r="22152" spans="1:7" ht="58.5" customHeight="1" x14ac:dyDescent="0.25">
      <c r="A22152" s="5" t="str">
        <f>"H0003356"</f>
        <v>H0003356</v>
      </c>
      <c r="B22152" s="5" t="str">
        <f t="shared" si="1107"/>
        <v>ESTANTE METALICO 7 ENTREPAÑOS</v>
      </c>
      <c r="C22152" s="6">
        <v>58000</v>
      </c>
      <c r="D22152" s="5"/>
      <c r="E22152" s="5" t="str">
        <f t="shared" si="1108"/>
        <v>ACTISALUD-ESTADISTICA</v>
      </c>
      <c r="F22152" s="5" t="str">
        <f>"Descripcion: ESTANTERIA PARA HISTORIAS CLINICAS (ALTURA 2 METROS PANEL 90 CMS LARGO X 30 CMS ANCHO DISTANCIA ENTRE PANEL 30 CMS) Estado: Bueno Placa anterior: 000022779 Material: METALICO Color: GRIS Referencia:  Observacion:  Placa padre: Tipo adquisicio"&amp; "n: Entidad"</f>
        <v>Descripcion: ESTANTERIA PARA HISTORIAS CLINICAS (ALTURA 2 METROS PANEL 90 CMS LARGO X 30 CMS ANCHO DISTANCIA ENTRE PANEL 30 CMS) Estado: Bueno Placa anterior: 000022779 Material: METALICO Color: GRIS Referencia:  Observacion:  Placa padre: Tipo adquisicion: Entidad</v>
      </c>
      <c r="G22152" s="5"/>
    </row>
    <row r="22153" spans="1:7" ht="58.5" customHeight="1" x14ac:dyDescent="0.25">
      <c r="A22153" s="5" t="str">
        <f>"H0003360"</f>
        <v>H0003360</v>
      </c>
      <c r="B22153" s="5" t="str">
        <f t="shared" si="1107"/>
        <v>ESTANTE METALICO 7 ENTREPAÑOS</v>
      </c>
      <c r="C22153" s="6">
        <v>197200</v>
      </c>
      <c r="D22153" s="5"/>
      <c r="E22153" s="5" t="str">
        <f t="shared" si="1108"/>
        <v>ACTISALUD-ESTADISTICA</v>
      </c>
      <c r="F22153" s="5" t="str">
        <f>"Descripcion: ESTANTERIA PARA HISTORIAS CLINICAS (ALTURA 2 METROS PANEL 90 CMS LARGO X 30 CMS ANCHO DISTANCIA ENTRE PANEL 30 CMS) Estado: Bueno Placa anterior: 000024169 Material: METALICO Color: GRIS Referencia:  Observacion:  Placa padre: Tipo adquisicio"&amp; "n: Entidad"</f>
        <v>Descripcion: ESTANTERIA PARA HISTORIAS CLINICAS (ALTURA 2 METROS PANEL 90 CMS LARGO X 30 CMS ANCHO DISTANCIA ENTRE PANEL 30 CMS) Estado: Bueno Placa anterior: 000024169 Material: METALICO Color: GRIS Referencia:  Observacion:  Placa padre: Tipo adquisicion: Entidad</v>
      </c>
      <c r="G22153" s="5"/>
    </row>
    <row r="22154" spans="1:7" ht="58.5" customHeight="1" x14ac:dyDescent="0.25">
      <c r="A22154" s="5" t="str">
        <f>"H0003361"</f>
        <v>H0003361</v>
      </c>
      <c r="B22154" s="5" t="str">
        <f t="shared" si="1107"/>
        <v>ESTANTE METALICO 7 ENTREPAÑOS</v>
      </c>
      <c r="C22154" s="6">
        <v>281999</v>
      </c>
      <c r="D22154" s="5" t="s">
        <v>257</v>
      </c>
      <c r="E22154" s="5" t="str">
        <f t="shared" si="1108"/>
        <v>ACTISALUD-ESTADISTICA</v>
      </c>
      <c r="F2215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000038847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000038847 Material: METALICO Color: GRIS Referencia:  Observacion:  Placa padre: Tipo adquisicion: Entidad</v>
      </c>
      <c r="G22154" s="5"/>
    </row>
    <row r="22155" spans="1:7" ht="58.5" customHeight="1" x14ac:dyDescent="0.25">
      <c r="A22155" s="5" t="str">
        <f>"H0003363"</f>
        <v>H0003363</v>
      </c>
      <c r="B22155" s="5" t="str">
        <f t="shared" si="1107"/>
        <v>ESTANTE METALICO 7 ENTREPAÑOS</v>
      </c>
      <c r="C22155" s="6">
        <v>281999</v>
      </c>
      <c r="D22155" s="5" t="s">
        <v>257</v>
      </c>
      <c r="E22155" s="5" t="str">
        <f t="shared" si="1108"/>
        <v>ACTISALUD-ESTADISTICA</v>
      </c>
      <c r="F2215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000038836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000038836 Material: METALICO Color: GRIS Referencia:  Observacion:  Placa padre: Tipo adquisicion: Entidad</v>
      </c>
      <c r="G22155" s="5"/>
    </row>
    <row r="22156" spans="1:7" ht="58.5" customHeight="1" x14ac:dyDescent="0.25">
      <c r="A22156" s="5" t="str">
        <f>"H0003364"</f>
        <v>H0003364</v>
      </c>
      <c r="B22156" s="5" t="str">
        <f t="shared" si="1107"/>
        <v>ESTANTE METALICO 7 ENTREPAÑOS</v>
      </c>
      <c r="C22156" s="6">
        <v>281999</v>
      </c>
      <c r="D22156" s="5" t="s">
        <v>257</v>
      </c>
      <c r="E22156" s="5" t="str">
        <f t="shared" si="1108"/>
        <v>ACTISALUD-ESTADISTICA</v>
      </c>
      <c r="F22156"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000038835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000038835 Material: METALICO Color: GRIS Referencia:  Observacion:  Placa padre: Tipo adquisicion: Entidad</v>
      </c>
      <c r="G22156" s="5"/>
    </row>
    <row r="22157" spans="1:7" ht="58.5" customHeight="1" x14ac:dyDescent="0.25">
      <c r="A22157" s="5" t="str">
        <f>"H0003365"</f>
        <v>H0003365</v>
      </c>
      <c r="B22157" s="5" t="str">
        <f t="shared" si="1107"/>
        <v>ESTANTE METALICO 7 ENTREPAÑOS</v>
      </c>
      <c r="C22157" s="6">
        <v>281999</v>
      </c>
      <c r="D22157" s="5" t="s">
        <v>257</v>
      </c>
      <c r="E22157" s="5" t="str">
        <f t="shared" si="1108"/>
        <v>ACTISALUD-ESTADISTICA</v>
      </c>
      <c r="F22157"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000038834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000038834 Material: METALICO Color: GRIS Referencia:  Observacion:  Placa padre: Tipo adquisicion: Entidad</v>
      </c>
      <c r="G22157" s="5"/>
    </row>
    <row r="22158" spans="1:7" ht="58.5" customHeight="1" x14ac:dyDescent="0.25">
      <c r="A22158" s="5" t="str">
        <f>"H0003367"</f>
        <v>H0003367</v>
      </c>
      <c r="B22158" s="5" t="str">
        <f t="shared" si="1107"/>
        <v>ESTANTE METALICO 7 ENTREPAÑOS</v>
      </c>
      <c r="C22158" s="6">
        <v>281999</v>
      </c>
      <c r="D22158" s="5" t="s">
        <v>257</v>
      </c>
      <c r="E22158" s="5" t="str">
        <f t="shared" si="1108"/>
        <v>ACTISALUD-ESTADISTICA</v>
      </c>
      <c r="F22158"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000038833 Material: METALICO Color: GRIS Referencia:  Observacion:  Placa padre: Tipo adquisicion: Entidad</v>
      </c>
      <c r="G22158" s="5"/>
    </row>
    <row r="22159" spans="1:7" ht="58.5" customHeight="1" x14ac:dyDescent="0.25">
      <c r="A22159" s="5" t="str">
        <f>"H0003368"</f>
        <v>H0003368</v>
      </c>
      <c r="B22159" s="5" t="str">
        <f t="shared" si="1107"/>
        <v>ESTANTE METALICO 7 ENTREPAÑOS</v>
      </c>
      <c r="C22159" s="6">
        <v>281999</v>
      </c>
      <c r="D22159" s="5" t="s">
        <v>257</v>
      </c>
      <c r="E22159" s="5" t="str">
        <f t="shared" si="1108"/>
        <v>ACTISALUD-ESTADISTICA</v>
      </c>
      <c r="F22159"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000038832 Material: METALICO Color: GRIS Referencia:  Observacion:  Placa padre: Tipo adquisicion: Entidad</v>
      </c>
      <c r="G22159" s="5"/>
    </row>
    <row r="22160" spans="1:7" ht="58.5" customHeight="1" x14ac:dyDescent="0.25">
      <c r="A22160" s="5" t="str">
        <f>"H0003369"</f>
        <v>H0003369</v>
      </c>
      <c r="B22160" s="5" t="str">
        <f t="shared" si="1107"/>
        <v>ESTANTE METALICO 7 ENTREPAÑOS</v>
      </c>
      <c r="C22160" s="6">
        <v>281999</v>
      </c>
      <c r="D22160" s="5" t="s">
        <v>257</v>
      </c>
      <c r="E22160" s="5" t="str">
        <f t="shared" si="1108"/>
        <v>ACTISALUD-ESTADISTICA</v>
      </c>
      <c r="F22160"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000038831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000038831 Material: METALICO Color: GRIS Referencia:  Observacion:  Placa padre: Tipo adquisicion: Entidad</v>
      </c>
      <c r="G22160" s="5"/>
    </row>
    <row r="22161" spans="1:7" ht="58.5" customHeight="1" x14ac:dyDescent="0.25">
      <c r="A22161" s="5" t="str">
        <f>"H0003370"</f>
        <v>H0003370</v>
      </c>
      <c r="B22161" s="5" t="str">
        <f t="shared" si="1107"/>
        <v>ESTANTE METALICO 7 ENTREPAÑOS</v>
      </c>
      <c r="C22161" s="6">
        <v>281999</v>
      </c>
      <c r="D22161" s="5" t="s">
        <v>257</v>
      </c>
      <c r="E22161" s="5" t="str">
        <f t="shared" si="1108"/>
        <v>ACTISALUD-ESTADISTICA</v>
      </c>
      <c r="F22161"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000038830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000038830 Material: METALICO Color: GRIS Referencia:  Observacion:  Placa padre: Tipo adquisicion: Entidad</v>
      </c>
      <c r="G22161" s="5"/>
    </row>
    <row r="22162" spans="1:7" ht="58.5" customHeight="1" x14ac:dyDescent="0.25">
      <c r="A22162" s="5" t="str">
        <f>"H0003372"</f>
        <v>H0003372</v>
      </c>
      <c r="B22162" s="5" t="str">
        <f t="shared" ref="B22162:B22193" si="1109">"ESTANTE METALICO 7 ENTREPAÑOS"</f>
        <v>ESTANTE METALICO 7 ENTREPAÑOS</v>
      </c>
      <c r="C22162" s="6">
        <v>281999</v>
      </c>
      <c r="D22162" s="5" t="s">
        <v>257</v>
      </c>
      <c r="E22162" s="5" t="str">
        <f t="shared" si="1108"/>
        <v>ACTISALUD-ESTADISTICA</v>
      </c>
      <c r="F22162"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000038846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000038846 Material: METALICO Color: GRIS Referencia:  Observacion:  Placa padre: Tipo adquisicion: Entidad</v>
      </c>
      <c r="G22162" s="5"/>
    </row>
    <row r="22163" spans="1:7" ht="58.5" customHeight="1" x14ac:dyDescent="0.25">
      <c r="A22163" s="5" t="str">
        <f>"H0003373"</f>
        <v>H0003373</v>
      </c>
      <c r="B22163" s="5" t="str">
        <f t="shared" si="1109"/>
        <v>ESTANTE METALICO 7 ENTREPAÑOS</v>
      </c>
      <c r="C22163" s="6">
        <v>281999</v>
      </c>
      <c r="D22163" s="5" t="s">
        <v>257</v>
      </c>
      <c r="E22163" s="5" t="str">
        <f t="shared" si="1108"/>
        <v>ACTISALUD-ESTADISTICA</v>
      </c>
      <c r="F22163"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000038845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000038845 Material: METALICO Color: GRIS Referencia:  Observacion:  Placa padre: Tipo adquisicion: Entidad</v>
      </c>
      <c r="G22163" s="5"/>
    </row>
    <row r="22164" spans="1:7" ht="58.5" customHeight="1" x14ac:dyDescent="0.25">
      <c r="A22164" s="5" t="str">
        <f>"H0003374"</f>
        <v>H0003374</v>
      </c>
      <c r="B22164" s="5" t="str">
        <f t="shared" si="1109"/>
        <v>ESTANTE METALICO 7 ENTREPAÑOS</v>
      </c>
      <c r="C22164" s="6">
        <v>281999</v>
      </c>
      <c r="D22164" s="5" t="s">
        <v>257</v>
      </c>
      <c r="E22164" s="5" t="str">
        <f t="shared" si="1108"/>
        <v>ACTISALUD-ESTADISTICA</v>
      </c>
      <c r="F22164"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000038844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000038844 Material: METALICO Color: GRIS Referencia:  Observacion:  Placa padre: Tipo adquisicion: Entidad</v>
      </c>
      <c r="G22164" s="5"/>
    </row>
    <row r="22165" spans="1:7" ht="58.5" customHeight="1" x14ac:dyDescent="0.25">
      <c r="A22165" s="5" t="str">
        <f>"H0003375"</f>
        <v>H0003375</v>
      </c>
      <c r="B22165" s="5" t="str">
        <f t="shared" si="1109"/>
        <v>ESTANTE METALICO 7 ENTREPAÑOS</v>
      </c>
      <c r="C22165" s="6">
        <v>281999</v>
      </c>
      <c r="D22165" s="5" t="s">
        <v>257</v>
      </c>
      <c r="E22165" s="5" t="str">
        <f t="shared" si="1108"/>
        <v>ACTISALUD-ESTADISTICA</v>
      </c>
      <c r="F22165"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000038843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000038843 Material: METALICO Color: GRIS Referencia:  Observacion:  Placa padre: Tipo adquisicion: Entidad</v>
      </c>
      <c r="G22165" s="5"/>
    </row>
    <row r="22166" spans="1:7" ht="58.5" customHeight="1" x14ac:dyDescent="0.25">
      <c r="A22166" s="5" t="str">
        <f>"H0003376"</f>
        <v>H0003376</v>
      </c>
      <c r="B22166" s="5" t="str">
        <f t="shared" si="1109"/>
        <v>ESTANTE METALICO 7 ENTREPAÑOS</v>
      </c>
      <c r="C22166" s="6">
        <v>281999</v>
      </c>
      <c r="D22166" s="5" t="s">
        <v>257</v>
      </c>
      <c r="E22166" s="5" t="str">
        <f t="shared" si="1108"/>
        <v>ACTISALUD-ESTADISTICA</v>
      </c>
      <c r="F22166"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000038842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000038842 Material: METALICO Color: GRIS Referencia:  Observacion:  Placa padre: Tipo adquisicion: Entidad</v>
      </c>
      <c r="G22166" s="5"/>
    </row>
    <row r="22167" spans="1:7" ht="58.5" customHeight="1" x14ac:dyDescent="0.25">
      <c r="A22167" s="5" t="str">
        <f>"H0003377"</f>
        <v>H0003377</v>
      </c>
      <c r="B22167" s="5" t="str">
        <f t="shared" si="1109"/>
        <v>ESTANTE METALICO 7 ENTREPAÑOS</v>
      </c>
      <c r="C22167" s="6">
        <v>281999</v>
      </c>
      <c r="D22167" s="5" t="s">
        <v>257</v>
      </c>
      <c r="E22167" s="5" t="str">
        <f t="shared" si="1108"/>
        <v>ACTISALUD-ESTADISTICA</v>
      </c>
      <c r="F22167"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000038841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000038841 Material: METALICO Color: GRIS Referencia:  Observacion:  Placa padre: Tipo adquisicion: Entidad</v>
      </c>
      <c r="G22167" s="5"/>
    </row>
    <row r="22168" spans="1:7" ht="58.5" customHeight="1" x14ac:dyDescent="0.25">
      <c r="A22168" s="5" t="str">
        <f>"H0003379"</f>
        <v>H0003379</v>
      </c>
      <c r="B22168" s="5" t="str">
        <f t="shared" si="1109"/>
        <v>ESTANTE METALICO 7 ENTREPAÑOS</v>
      </c>
      <c r="C22168" s="6">
        <v>281999</v>
      </c>
      <c r="D22168" s="5" t="s">
        <v>257</v>
      </c>
      <c r="E22168" s="5" t="str">
        <f t="shared" si="1108"/>
        <v>ACTISALUD-ESTADISTICA</v>
      </c>
      <c r="F22168"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000038840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000038840 Material: METALICO Color: GRIS Referencia:  Observacion:  Placa padre: Tipo adquisicion: Entidad</v>
      </c>
      <c r="G22168" s="5"/>
    </row>
    <row r="22169" spans="1:7" ht="58.5" customHeight="1" x14ac:dyDescent="0.25">
      <c r="A22169" s="5" t="str">
        <f>"H0003380"</f>
        <v>H0003380</v>
      </c>
      <c r="B22169" s="5" t="str">
        <f t="shared" si="1109"/>
        <v>ESTANTE METALICO 7 ENTREPAÑOS</v>
      </c>
      <c r="C22169" s="6">
        <v>281999</v>
      </c>
      <c r="D22169" s="5" t="s">
        <v>257</v>
      </c>
      <c r="E22169" s="5" t="str">
        <f t="shared" si="1108"/>
        <v>ACTISALUD-ESTADISTICA</v>
      </c>
      <c r="F22169"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000038839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000038839 Material: METALICO Color: GRIS Referencia:  Observacion:  Placa padre: Tipo adquisicion: Entidad</v>
      </c>
      <c r="G22169" s="5"/>
    </row>
    <row r="22170" spans="1:7" ht="58.5" customHeight="1" x14ac:dyDescent="0.25">
      <c r="A22170" s="5" t="str">
        <f>"H0003382"</f>
        <v>H0003382</v>
      </c>
      <c r="B22170" s="5" t="str">
        <f t="shared" si="1109"/>
        <v>ESTANTE METALICO 7 ENTREPAÑOS</v>
      </c>
      <c r="C22170" s="6">
        <v>281999</v>
      </c>
      <c r="D22170" s="5" t="s">
        <v>257</v>
      </c>
      <c r="E22170" s="5" t="str">
        <f t="shared" si="1108"/>
        <v>ACTISALUD-ESTADISTICA</v>
      </c>
      <c r="F22170" s="5" t="str">
        <f>"Descripcion: ESTANTES CONSTRUIDOS EN LAMINAS METALICAS SOLIDAS, RESISTENTES Y ESTABLES CON TRATAMIENTO ANTICORRUSIVO, CON 7 ENTREPAÑOS DE 0.94 CM DE ANCHO, CON ALTURA DE 2.20 MTS Y CADA BANDEJA DEBE SOPORTAR UN PESO DE 100KG/MT LINEAL.SE DEBEN ENTREGAR AR"&amp; "MADOS Y UNID Estado: Bueno Placa anterior: 000038864 Material: METALICO Color: GRIS Referencia:  Observacion:  Placa padre: Tipo adquisicion: Entidad"</f>
        <v>Descripcion: ESTANTES CONSTRUIDOS EN LAMINAS METALICAS SOLIDAS, RESISTENTES Y ESTABLES CON TRATAMIENTO ANTICORRUSIVO, CON 7 ENTREPAÑOS DE 0.94 CM DE ANCHO, CON ALTURA DE 2.20 MTS Y CADA BANDEJA DEBE SOPORTAR UN PESO DE 100KG/MT LINEAL.SE DEBEN ENTREGAR ARMADOS Y UNID Estado: Bueno Placa anterior: 000038864 Material: METALICO Color: GRIS Referencia:  Observacion:  Placa padre: Tipo adquisicion: Entidad</v>
      </c>
      <c r="G22170" s="5"/>
    </row>
    <row r="22171" spans="1:7" ht="58.5" customHeight="1" x14ac:dyDescent="0.25">
      <c r="A22171" s="5" t="str">
        <f>"H0003384"</f>
        <v>H0003384</v>
      </c>
      <c r="B22171" s="5" t="str">
        <f t="shared" si="1109"/>
        <v>ESTANTE METALICO 7 ENTREPAÑOS</v>
      </c>
      <c r="C22171" s="6">
        <v>29533.23</v>
      </c>
      <c r="D22171" s="5"/>
      <c r="E22171" s="5" t="str">
        <f t="shared" si="1108"/>
        <v>ACTISALUD-ESTADISTICA</v>
      </c>
      <c r="F22171" s="5" t="str">
        <f>"Descripcion: ESTANTERIA PARA HISTORIAS CLINICAS (ALTURA 2 METROS PANEL 90 CMS LARGO X 30 CMS ANCHO DISTANCIA ENTRE PANEL 30 CMS) Estado: Bueno Placa anterior: 000002005 Material: METALICO Color: GRIS Referencia:  Observacion:  Placa padre: Tipo adquisicio"&amp; "n: Entidad"</f>
        <v>Descripcion: ESTANTERIA PARA HISTORIAS CLINICAS (ALTURA 2 METROS PANEL 90 CMS LARGO X 30 CMS ANCHO DISTANCIA ENTRE PANEL 30 CMS) Estado: Bueno Placa anterior: 000002005 Material: METALICO Color: GRIS Referencia:  Observacion:  Placa padre: Tipo adquisicion: Entidad</v>
      </c>
      <c r="G22171" s="5"/>
    </row>
    <row r="22172" spans="1:7" ht="58.5" customHeight="1" x14ac:dyDescent="0.25">
      <c r="A22172" s="5" t="str">
        <f>"H0003385"</f>
        <v>H0003385</v>
      </c>
      <c r="B22172" s="5" t="str">
        <f t="shared" si="1109"/>
        <v>ESTANTE METALICO 7 ENTREPAÑOS</v>
      </c>
      <c r="C22172" s="6">
        <v>29533.23</v>
      </c>
      <c r="D22172" s="5"/>
      <c r="E22172" s="5" t="str">
        <f t="shared" si="1108"/>
        <v>ACTISALUD-ESTADISTICA</v>
      </c>
      <c r="F22172" s="5" t="str">
        <f>"Descripcion: ESTANTERIA PARA HISTORIAS CLINICAS (ALTURA 2 METROS PANEL 90 CMS LARGO X 30 CMS ANCHO DISTANCIA ENTRE PANEL 30 CMS) Estado: Bueno Placa anterior: 000001991 Material: METALICO Color: GRIS Referencia:  Observacion:  Placa padre: Tipo adquisicio"&amp; "n: Entidad"</f>
        <v>Descripcion: ESTANTERIA PARA HISTORIAS CLINICAS (ALTURA 2 METROS PANEL 90 CMS LARGO X 30 CMS ANCHO DISTANCIA ENTRE PANEL 30 CMS) Estado: Bueno Placa anterior: 000001991 Material: METALICO Color: GRIS Referencia:  Observacion:  Placa padre: Tipo adquisicion: Entidad</v>
      </c>
      <c r="G22172" s="5"/>
    </row>
    <row r="22173" spans="1:7" ht="58.5" customHeight="1" x14ac:dyDescent="0.25">
      <c r="A22173" s="5" t="str">
        <f>"H0003388"</f>
        <v>H0003388</v>
      </c>
      <c r="B22173" s="5" t="str">
        <f t="shared" si="1109"/>
        <v>ESTANTE METALICO 7 ENTREPAÑOS</v>
      </c>
      <c r="C22173" s="6">
        <v>29533.23</v>
      </c>
      <c r="D22173" s="5"/>
      <c r="E22173" s="5" t="str">
        <f t="shared" si="1108"/>
        <v>ACTISALUD-ESTADISTICA</v>
      </c>
      <c r="F22173" s="5" t="str">
        <f>"Descripcion: ESTANTERIA PARA HISTORIAS CLINICAS (ALTURA 2 METROS PANEL 90 CMS LARGO X 30 CMS ANCHO DISTANCIA ENTRE PANEL 30 CMS) Estado: Bueno Placa anterior: 000001994 Material: METALICO Color: GRIS Referencia:  Observacion:  Placa padre: Tipo adquisicio"&amp; "n: Entidad"</f>
        <v>Descripcion: ESTANTERIA PARA HISTORIAS CLINICAS (ALTURA 2 METROS PANEL 90 CMS LARGO X 30 CMS ANCHO DISTANCIA ENTRE PANEL 30 CMS) Estado: Bueno Placa anterior: 000001994 Material: METALICO Color: GRIS Referencia:  Observacion:  Placa padre: Tipo adquisicion: Entidad</v>
      </c>
      <c r="G22173" s="5"/>
    </row>
    <row r="22174" spans="1:7" ht="58.5" customHeight="1" x14ac:dyDescent="0.25">
      <c r="A22174" s="5" t="str">
        <f>"H0003389"</f>
        <v>H0003389</v>
      </c>
      <c r="B22174" s="5" t="str">
        <f t="shared" si="1109"/>
        <v>ESTANTE METALICO 7 ENTREPAÑOS</v>
      </c>
      <c r="C22174" s="6">
        <v>29533.23</v>
      </c>
      <c r="D22174" s="5"/>
      <c r="E22174" s="5" t="str">
        <f t="shared" si="1108"/>
        <v>ACTISALUD-ESTADISTICA</v>
      </c>
      <c r="F22174" s="5" t="str">
        <f>"Descripcion: ESTANTERIA PARA HISTORIAS CLINICAS (ALTURA 2 METROS PANEL 90 CMS LARGO X 30 CMS ANCHO DISTANCIA ENTRE PANEL 30 CMS) Estado: Bueno Placa anterior: 000002002 Material: METALICO Color: GRIS Referencia:  Observacion:  Placa padre: Tipo adquisicio"&amp; "n: Entidad"</f>
        <v>Descripcion: ESTANTERIA PARA HISTORIAS CLINICAS (ALTURA 2 METROS PANEL 90 CMS LARGO X 30 CMS ANCHO DISTANCIA ENTRE PANEL 30 CMS) Estado: Bueno Placa anterior: 000002002 Material: METALICO Color: GRIS Referencia:  Observacion:  Placa padre: Tipo adquisicion: Entidad</v>
      </c>
      <c r="G22174" s="5"/>
    </row>
    <row r="22175" spans="1:7" ht="58.5" customHeight="1" x14ac:dyDescent="0.25">
      <c r="A22175" s="5" t="str">
        <f>"H0003390"</f>
        <v>H0003390</v>
      </c>
      <c r="B22175" s="5" t="str">
        <f t="shared" si="1109"/>
        <v>ESTANTE METALICO 7 ENTREPAÑOS</v>
      </c>
      <c r="C22175" s="6">
        <v>29533.23</v>
      </c>
      <c r="D22175" s="5"/>
      <c r="E22175" s="5" t="str">
        <f t="shared" si="1108"/>
        <v>ACTISALUD-ESTADISTICA</v>
      </c>
      <c r="F22175" s="5" t="str">
        <f>"Descripcion: ESTANTERIA PARA HISTORIAS CLINICAS (ALTURA 2 METROS PANEL 90 CMS LARGO X 30 CMS ANCHO DISTANCIA ENTRE PANEL 30 CMS) Estado: Bueno Placa anterior: 000001649 Material: METALICO Color: GRIS Referencia:  Observacion:  Placa padre: Tipo adquisicio"&amp; "n: Entidad"</f>
        <v>Descripcion: ESTANTERIA PARA HISTORIAS CLINICAS (ALTURA 2 METROS PANEL 90 CMS LARGO X 30 CMS ANCHO DISTANCIA ENTRE PANEL 30 CMS) Estado: Bueno Placa anterior: 000001649 Material: METALICO Color: GRIS Referencia:  Observacion:  Placa padre: Tipo adquisicion: Entidad</v>
      </c>
      <c r="G22175" s="5"/>
    </row>
    <row r="22176" spans="1:7" ht="58.5" customHeight="1" x14ac:dyDescent="0.25">
      <c r="A22176" s="5" t="str">
        <f>"H0003393"</f>
        <v>H0003393</v>
      </c>
      <c r="B22176" s="5" t="str">
        <f t="shared" si="1109"/>
        <v>ESTANTE METALICO 7 ENTREPAÑOS</v>
      </c>
      <c r="C22176" s="6">
        <v>29533.23</v>
      </c>
      <c r="D22176" s="5"/>
      <c r="E22176" s="5" t="str">
        <f t="shared" si="1108"/>
        <v>ACTISALUD-ESTADISTICA</v>
      </c>
      <c r="F22176" s="5" t="str">
        <f>"Descripcion: ESTANTERIA PARA HISTORIAS CLINICAS (ALTURA 2 METROS PANEL 90 CMS LARGO X 30 CMS ANCHO DISTANCIA ENTRE PANEL 30 CMS) Estado: Bueno Placa anterior: 000002010 Material: METALICO Color: GRIS Referencia:  Observacion:  Placa padre: Tipo adquisicio"&amp; "n: Entidad"</f>
        <v>Descripcion: ESTANTERIA PARA HISTORIAS CLINICAS (ALTURA 2 METROS PANEL 90 CMS LARGO X 30 CMS ANCHO DISTANCIA ENTRE PANEL 30 CMS) Estado: Bueno Placa anterior: 000002010 Material: METALICO Color: GRIS Referencia:  Observacion:  Placa padre: Tipo adquisicion: Entidad</v>
      </c>
      <c r="G22176" s="5"/>
    </row>
    <row r="22177" spans="1:7" ht="58.5" customHeight="1" x14ac:dyDescent="0.25">
      <c r="A22177" s="5" t="str">
        <f>"H0003397"</f>
        <v>H0003397</v>
      </c>
      <c r="B22177" s="5" t="str">
        <f t="shared" si="1109"/>
        <v>ESTANTE METALICO 7 ENTREPAÑOS</v>
      </c>
      <c r="C22177" s="6">
        <v>130000</v>
      </c>
      <c r="D22177" s="5"/>
      <c r="E22177" s="5" t="str">
        <f t="shared" si="1108"/>
        <v>ACTISALUD-ESTADISTICA</v>
      </c>
      <c r="F22177" s="5" t="str">
        <f>"Descripcion: ESTANTE METALICO 6 ENTREPAÑOS 2.000 X0.93X0.40 PARAL CAL. 18, ENTREPAÑOS CAL. 22, ACABADO PINTURA HORNEABLE COLOR GRIS Estado: Bueno Placa anterior: 000025697 Material: METALICO Color: GRIS Referencia:  Observacion:  Placa padre: Tipo adquisi"&amp; "cion: Entidad"</f>
        <v>Descripcion: ESTANTE METALICO 6 ENTREPAÑOS 2.000 X0.93X0.40 PARAL CAL. 18, ENTREPAÑOS CAL. 22, ACABADO PINTURA HORNEABLE COLOR GRIS Estado: Bueno Placa anterior: 000025697 Material: METALICO Color: GRIS Referencia:  Observacion:  Placa padre: Tipo adquisicion: Entidad</v>
      </c>
      <c r="G22177" s="5"/>
    </row>
    <row r="22178" spans="1:7" ht="58.5" customHeight="1" x14ac:dyDescent="0.25">
      <c r="A22178" s="5" t="str">
        <f>"H0003399"</f>
        <v>H0003399</v>
      </c>
      <c r="B22178" s="5" t="str">
        <f t="shared" si="1109"/>
        <v>ESTANTE METALICO 7 ENTREPAÑOS</v>
      </c>
      <c r="C22178" s="6">
        <v>29533.23</v>
      </c>
      <c r="D22178" s="5"/>
      <c r="E22178" s="5" t="str">
        <f t="shared" si="1108"/>
        <v>ACTISALUD-ESTADISTICA</v>
      </c>
      <c r="F22178" s="5" t="str">
        <f>"Descripcion: ESTANTERIA PARA HISTORIAS CLINICAS (ALTURA 2 METROS PANEL 90 CMS LARGO X 30 CMS ANCHO DISTANCIA ENTRE PANEL 30 CMS) Estado: Bueno Placa anterior: 000001985 Material: METALICO Color: GRIS Referencia:  Observacion:  Placa padre: Tipo adquisicio"&amp; "n: Entidad"</f>
        <v>Descripcion: ESTANTERIA PARA HISTORIAS CLINICAS (ALTURA 2 METROS PANEL 90 CMS LARGO X 30 CMS ANCHO DISTANCIA ENTRE PANEL 30 CMS) Estado: Bueno Placa anterior: 000001985 Material: METALICO Color: GRIS Referencia:  Observacion:  Placa padre: Tipo adquisicion: Entidad</v>
      </c>
      <c r="G22178" s="5"/>
    </row>
    <row r="22179" spans="1:7" ht="58.5" customHeight="1" x14ac:dyDescent="0.25">
      <c r="A22179" s="5" t="str">
        <f>"H0003400"</f>
        <v>H0003400</v>
      </c>
      <c r="B22179" s="5" t="str">
        <f t="shared" si="1109"/>
        <v>ESTANTE METALICO 7 ENTREPAÑOS</v>
      </c>
      <c r="C22179" s="6">
        <v>29533.23</v>
      </c>
      <c r="D22179" s="5"/>
      <c r="E22179" s="5" t="str">
        <f t="shared" si="1108"/>
        <v>ACTISALUD-ESTADISTICA</v>
      </c>
      <c r="F22179" s="5" t="str">
        <f>"Descripcion: ESTANTERIA PARA HISTORIAS CLINICAS (ALTURA 2 METROS PANEL 90 CMS LARGO X 30 CMS ANCHO DISTANCIA ENTRE PANEL 30 CMS) Estado: Bueno Placa anterior: 000001989 Material: METALICO Color: GRIS Referencia:  Observacion:  Placa padre: Tipo adquisicio"&amp; "n: Entidad"</f>
        <v>Descripcion: ESTANTERIA PARA HISTORIAS CLINICAS (ALTURA 2 METROS PANEL 90 CMS LARGO X 30 CMS ANCHO DISTANCIA ENTRE PANEL 30 CMS) Estado: Bueno Placa anterior: 000001989 Material: METALICO Color: GRIS Referencia:  Observacion:  Placa padre: Tipo adquisicion: Entidad</v>
      </c>
      <c r="G22179" s="5"/>
    </row>
    <row r="22180" spans="1:7" ht="58.5" customHeight="1" x14ac:dyDescent="0.25">
      <c r="A22180" s="5" t="str">
        <f>"H0003401"</f>
        <v>H0003401</v>
      </c>
      <c r="B22180" s="5" t="str">
        <f t="shared" si="1109"/>
        <v>ESTANTE METALICO 7 ENTREPAÑOS</v>
      </c>
      <c r="C22180" s="6">
        <v>29533.23</v>
      </c>
      <c r="D22180" s="5"/>
      <c r="E22180" s="5" t="str">
        <f t="shared" si="1108"/>
        <v>ACTISALUD-ESTADISTICA</v>
      </c>
      <c r="F22180" s="5" t="str">
        <f>"Descripcion: ESTANTERIA PARA HISTORIAS CLINICAS (ALTURA 2 METROS PANEL 90 CMS LARGO X 30 CMS ANCHO DISTANCIA ENTRE PANEL 30 CMS) Estado: Bueno Placa anterior: 000001986 Material: METALICO Color: GRIS Referencia:  Observacion:  Placa padre: Tipo adquisicio"&amp; "n: Entidad"</f>
        <v>Descripcion: ESTANTERIA PARA HISTORIAS CLINICAS (ALTURA 2 METROS PANEL 90 CMS LARGO X 30 CMS ANCHO DISTANCIA ENTRE PANEL 30 CMS) Estado: Bueno Placa anterior: 000001986 Material: METALICO Color: GRIS Referencia:  Observacion:  Placa padre: Tipo adquisicion: Entidad</v>
      </c>
      <c r="G22180" s="5"/>
    </row>
    <row r="22181" spans="1:7" ht="58.5" customHeight="1" x14ac:dyDescent="0.25">
      <c r="A22181" s="5" t="str">
        <f>"H0003403"</f>
        <v>H0003403</v>
      </c>
      <c r="B22181" s="5" t="str">
        <f t="shared" si="1109"/>
        <v>ESTANTE METALICO 7 ENTREPAÑOS</v>
      </c>
      <c r="C22181" s="6">
        <v>29533.23</v>
      </c>
      <c r="D22181" s="5"/>
      <c r="E22181" s="5" t="str">
        <f t="shared" si="1108"/>
        <v>ACTISALUD-ESTADISTICA</v>
      </c>
      <c r="F22181" s="5" t="str">
        <f>"Descripcion: ESTANTERIA PARA HISTORIAS CLINICAS (ALTURA 2 METROS PANEL 90 CMS LARGO X 30 CMS ANCHO DISTANCIA ENTRE PANEL 30 CMS) Estado: Bueno Placa anterior: 000001981 Material: METALICO Color: GRIS Referencia:  Observacion:  Placa padre: Tipo adquisicio"&amp; "n: Entidad"</f>
        <v>Descripcion: ESTANTERIA PARA HISTORIAS CLINICAS (ALTURA 2 METROS PANEL 90 CMS LARGO X 30 CMS ANCHO DISTANCIA ENTRE PANEL 30 CMS) Estado: Bueno Placa anterior: 000001981 Material: METALICO Color: GRIS Referencia:  Observacion:  Placa padre: Tipo adquisicion: Entidad</v>
      </c>
      <c r="G22181" s="5"/>
    </row>
    <row r="22182" spans="1:7" ht="58.5" customHeight="1" x14ac:dyDescent="0.25">
      <c r="A22182" s="5" t="str">
        <f>"H0003404"</f>
        <v>H0003404</v>
      </c>
      <c r="B22182" s="5" t="str">
        <f t="shared" si="1109"/>
        <v>ESTANTE METALICO 7 ENTREPAÑOS</v>
      </c>
      <c r="C22182" s="6">
        <v>29533.23</v>
      </c>
      <c r="D22182" s="5"/>
      <c r="E22182" s="5" t="str">
        <f t="shared" si="1108"/>
        <v>ACTISALUD-ESTADISTICA</v>
      </c>
      <c r="F22182" s="5" t="str">
        <f>"Descripcion: ESTANTERIA PARA HISTORIAS CLINICAS (ALTURA 2 METROS PANEL 90 CMS LARGO X 30 CMS ANCHO DISTANCIA ENTRE PANEL 30 CMS) Estado: Bueno Placa anterior: 000001987 Material: METALICO Color: GRIS Referencia:  Observacion:  Placa padre: Tipo adquisicio"&amp; "n: Entidad"</f>
        <v>Descripcion: ESTANTERIA PARA HISTORIAS CLINICAS (ALTURA 2 METROS PANEL 90 CMS LARGO X 30 CMS ANCHO DISTANCIA ENTRE PANEL 30 CMS) Estado: Bueno Placa anterior: 000001987 Material: METALICO Color: GRIS Referencia:  Observacion:  Placa padre: Tipo adquisicion: Entidad</v>
      </c>
      <c r="G22182" s="5"/>
    </row>
    <row r="22183" spans="1:7" ht="58.5" customHeight="1" x14ac:dyDescent="0.25">
      <c r="A22183" s="5" t="str">
        <f>"H0003407"</f>
        <v>H0003407</v>
      </c>
      <c r="B22183" s="5" t="str">
        <f t="shared" si="1109"/>
        <v>ESTANTE METALICO 7 ENTREPAÑOS</v>
      </c>
      <c r="C22183" s="6">
        <v>29533.23</v>
      </c>
      <c r="D22183" s="5"/>
      <c r="E22183" s="5" t="str">
        <f t="shared" si="1108"/>
        <v>ACTISALUD-ESTADISTICA</v>
      </c>
      <c r="F22183" s="5" t="str">
        <f>"Descripcion: ESTANTERIA PARA HISTORIAS CLINICAS (ALTURA 2 METROS PANEL 90 CMS LARGO X 30 CMS ANCHO DISTANCIA ENTRE PANEL 30 CMS) Estado: Bueno Placa anterior: 000001974 Material: METALICO Color: GRIS Referencia:  Observacion:  Placa padre: Tipo adquisicio"&amp; "n: Entidad"</f>
        <v>Descripcion: ESTANTERIA PARA HISTORIAS CLINICAS (ALTURA 2 METROS PANEL 90 CMS LARGO X 30 CMS ANCHO DISTANCIA ENTRE PANEL 30 CMS) Estado: Bueno Placa anterior: 000001974 Material: METALICO Color: GRIS Referencia:  Observacion:  Placa padre: Tipo adquisicion: Entidad</v>
      </c>
      <c r="G22183" s="5"/>
    </row>
    <row r="22184" spans="1:7" ht="58.5" customHeight="1" x14ac:dyDescent="0.25">
      <c r="A22184" s="5" t="str">
        <f>"H0003408"</f>
        <v>H0003408</v>
      </c>
      <c r="B22184" s="5" t="str">
        <f t="shared" si="1109"/>
        <v>ESTANTE METALICO 7 ENTREPAÑOS</v>
      </c>
      <c r="C22184" s="6">
        <v>29533.23</v>
      </c>
      <c r="D22184" s="5"/>
      <c r="E22184" s="5" t="str">
        <f t="shared" si="1108"/>
        <v>ACTISALUD-ESTADISTICA</v>
      </c>
      <c r="F22184" s="5" t="str">
        <f>"Descripcion: ESTANTERIA PARA HISTORIAS CLINICAS (ALTURA 2 METROS PANEL 90 CMS LARGO X 30 CMS ANCHO DISTANCIA ENTRE PANEL 30 CMS) Estado: Bueno Placa anterior: 000001973 Material: METALICO Color: GRIS Referencia:  Observacion:  Placa padre: Tipo adquisicio"&amp; "n: Entidad"</f>
        <v>Descripcion: ESTANTERIA PARA HISTORIAS CLINICAS (ALTURA 2 METROS PANEL 90 CMS LARGO X 30 CMS ANCHO DISTANCIA ENTRE PANEL 30 CMS) Estado: Bueno Placa anterior: 000001973 Material: METALICO Color: GRIS Referencia:  Observacion:  Placa padre: Tipo adquisicion: Entidad</v>
      </c>
      <c r="G22184" s="5"/>
    </row>
    <row r="22185" spans="1:7" ht="58.5" customHeight="1" x14ac:dyDescent="0.25">
      <c r="A22185" s="5" t="str">
        <f>"H0003409"</f>
        <v>H0003409</v>
      </c>
      <c r="B22185" s="5" t="str">
        <f t="shared" si="1109"/>
        <v>ESTANTE METALICO 7 ENTREPAÑOS</v>
      </c>
      <c r="C22185" s="6">
        <v>29533.23</v>
      </c>
      <c r="D22185" s="5"/>
      <c r="E22185" s="5" t="str">
        <f t="shared" si="1108"/>
        <v>ACTISALUD-ESTADISTICA</v>
      </c>
      <c r="F22185" s="5" t="str">
        <f>"Descripcion: ESTANTERIA PARA HISTORIAS CLINICAS (ALTURA 2 METROS PANEL 90 CMS LARGO X 30 CMS ANCHO DISTANCIA ENTRE PANEL 30 CMS) Estado: Bueno Placa anterior: 000001979 Material: METALICO Color: GRIS Referencia:  Observacion:  Placa padre: Tipo adquisicio"&amp; "n: Entidad"</f>
        <v>Descripcion: ESTANTERIA PARA HISTORIAS CLINICAS (ALTURA 2 METROS PANEL 90 CMS LARGO X 30 CMS ANCHO DISTANCIA ENTRE PANEL 30 CMS) Estado: Bueno Placa anterior: 000001979 Material: METALICO Color: GRIS Referencia:  Observacion:  Placa padre: Tipo adquisicion: Entidad</v>
      </c>
      <c r="G22185" s="5"/>
    </row>
    <row r="22186" spans="1:7" ht="58.5" customHeight="1" x14ac:dyDescent="0.25">
      <c r="A22186" s="5" t="str">
        <f>"H0003410"</f>
        <v>H0003410</v>
      </c>
      <c r="B22186" s="5" t="str">
        <f t="shared" si="1109"/>
        <v>ESTANTE METALICO 7 ENTREPAÑOS</v>
      </c>
      <c r="C22186" s="6">
        <v>29533.23</v>
      </c>
      <c r="D22186" s="5"/>
      <c r="E22186" s="5" t="str">
        <f t="shared" si="1108"/>
        <v>ACTISALUD-ESTADISTICA</v>
      </c>
      <c r="F22186" s="5" t="str">
        <f>"Descripcion: ESTANTERIA PARA HISTORIAS CLINICAS (ALTURA 2 METROS PANEL 90 CMS LARGO X 30 CMS ANCHO DISTANCIA ENTRE PANEL 30 CMS) Estado: Bueno Placa anterior: 000001972 Material: METALICO Color: GRIS Referencia:  Observacion:  Placa padre: Tipo adquisicio"&amp; "n: Entidad"</f>
        <v>Descripcion: ESTANTERIA PARA HISTORIAS CLINICAS (ALTURA 2 METROS PANEL 90 CMS LARGO X 30 CMS ANCHO DISTANCIA ENTRE PANEL 30 CMS) Estado: Bueno Placa anterior: 000001972 Material: METALICO Color: GRIS Referencia:  Observacion:  Placa padre: Tipo adquisicion: Entidad</v>
      </c>
      <c r="G22186" s="5"/>
    </row>
    <row r="22187" spans="1:7" ht="58.5" customHeight="1" x14ac:dyDescent="0.25">
      <c r="A22187" s="5" t="str">
        <f>"H0003411"</f>
        <v>H0003411</v>
      </c>
      <c r="B22187" s="5" t="str">
        <f t="shared" si="1109"/>
        <v>ESTANTE METALICO 7 ENTREPAÑOS</v>
      </c>
      <c r="C22187" s="6">
        <v>29533.23</v>
      </c>
      <c r="D22187" s="5"/>
      <c r="E22187" s="5" t="str">
        <f t="shared" si="1108"/>
        <v>ACTISALUD-ESTADISTICA</v>
      </c>
      <c r="F22187" s="5" t="str">
        <f>"Descripcion: ESTANTERIA PARA HISTORIAS CLINICAS (ALTURA 2 METROS PANEL 90 CMS LARGO X 30 CMS ANCHO DISTANCIA ENTRE PANEL 30 CMS) Estado: Bueno Placa anterior: 000001971 Material: METALICO Color: GRIS Referencia:  Observacion:  Placa padre: Tipo adquisicio"&amp; "n: Entidad"</f>
        <v>Descripcion: ESTANTERIA PARA HISTORIAS CLINICAS (ALTURA 2 METROS PANEL 90 CMS LARGO X 30 CMS ANCHO DISTANCIA ENTRE PANEL 30 CMS) Estado: Bueno Placa anterior: 000001971 Material: METALICO Color: GRIS Referencia:  Observacion:  Placa padre: Tipo adquisicion: Entidad</v>
      </c>
      <c r="G22187" s="5"/>
    </row>
    <row r="22188" spans="1:7" ht="58.5" customHeight="1" x14ac:dyDescent="0.25">
      <c r="A22188" s="5" t="str">
        <f>"H0003412"</f>
        <v>H0003412</v>
      </c>
      <c r="B22188" s="5" t="str">
        <f t="shared" si="1109"/>
        <v>ESTANTE METALICO 7 ENTREPAÑOS</v>
      </c>
      <c r="C22188" s="6">
        <v>29533.23</v>
      </c>
      <c r="D22188" s="5"/>
      <c r="E22188" s="5" t="str">
        <f t="shared" si="1108"/>
        <v>ACTISALUD-ESTADISTICA</v>
      </c>
      <c r="F22188" s="5" t="str">
        <f>"Descripcion: ESTANTERIA PARA HISTORIAS CLINICAS (ALTURA 2 METROS PANEL 90 CMS LARGO X 30 CMS ANCHO DISTANCIA ENTRE PANEL 30 CMS) Estado: Bueno Placa anterior: 000001963 Material: METALICO Color: GRIS Referencia:  Observacion:  Placa padre: Tipo adquisicio"&amp; "n: Entidad"</f>
        <v>Descripcion: ESTANTERIA PARA HISTORIAS CLINICAS (ALTURA 2 METROS PANEL 90 CMS LARGO X 30 CMS ANCHO DISTANCIA ENTRE PANEL 30 CMS) Estado: Bueno Placa anterior: 000001963 Material: METALICO Color: GRIS Referencia:  Observacion:  Placa padre: Tipo adquisicion: Entidad</v>
      </c>
      <c r="G22188" s="5"/>
    </row>
    <row r="22189" spans="1:7" ht="58.5" customHeight="1" x14ac:dyDescent="0.25">
      <c r="A22189" s="5" t="str">
        <f>"H0003413"</f>
        <v>H0003413</v>
      </c>
      <c r="B22189" s="5" t="str">
        <f t="shared" si="1109"/>
        <v>ESTANTE METALICO 7 ENTREPAÑOS</v>
      </c>
      <c r="C22189" s="6">
        <v>29533.23</v>
      </c>
      <c r="D22189" s="5"/>
      <c r="E22189" s="5" t="str">
        <f t="shared" si="1108"/>
        <v>ACTISALUD-ESTADISTICA</v>
      </c>
      <c r="F22189" s="5" t="str">
        <f>"Descripcion: ESTANTERIA PARA HISTORIAS CLINICAS (ALTURA 2 METROS PANEL 90 CMS LARGO X 30 CMS ANCHO DISTANCIA ENTRE PANEL 30 CMS) Estado: Bueno Placa anterior: 000001964 Material: METALICO Color: GRIS Referencia:  Observacion:  Placa padre: Tipo adquisicio"&amp; "n: Entidad"</f>
        <v>Descripcion: ESTANTERIA PARA HISTORIAS CLINICAS (ALTURA 2 METROS PANEL 90 CMS LARGO X 30 CMS ANCHO DISTANCIA ENTRE PANEL 30 CMS) Estado: Bueno Placa anterior: 000001964 Material: METALICO Color: GRIS Referencia:  Observacion:  Placa padre: Tipo adquisicion: Entidad</v>
      </c>
      <c r="G22189" s="5"/>
    </row>
    <row r="22190" spans="1:7" ht="58.5" customHeight="1" x14ac:dyDescent="0.25">
      <c r="A22190" s="5" t="str">
        <f>"H0003414"</f>
        <v>H0003414</v>
      </c>
      <c r="B22190" s="5" t="str">
        <f t="shared" si="1109"/>
        <v>ESTANTE METALICO 7 ENTREPAÑOS</v>
      </c>
      <c r="C22190" s="6">
        <v>29533.23</v>
      </c>
      <c r="D22190" s="5"/>
      <c r="E22190" s="5" t="str">
        <f t="shared" si="1108"/>
        <v>ACTISALUD-ESTADISTICA</v>
      </c>
      <c r="F22190" s="5" t="str">
        <f>"Descripcion: ESTANTERIA PARA HISTORIAS CLINICAS (ALTURA 2 METROS PANEL 90 CMS LARGO X 30 CMS ANCHO DISTANCIA ENTRE PANEL 30 CMS) Estado: Bueno Placa anterior: 000001967 Material: METALICO Color: GRIS Referencia:  Observacion:  Placa padre: Tipo adquisicio"&amp; "n: Entidad"</f>
        <v>Descripcion: ESTANTERIA PARA HISTORIAS CLINICAS (ALTURA 2 METROS PANEL 90 CMS LARGO X 30 CMS ANCHO DISTANCIA ENTRE PANEL 30 CMS) Estado: Bueno Placa anterior: 000001967 Material: METALICO Color: GRIS Referencia:  Observacion:  Placa padre: Tipo adquisicion: Entidad</v>
      </c>
      <c r="G22190" s="5"/>
    </row>
    <row r="22191" spans="1:7" ht="58.5" customHeight="1" x14ac:dyDescent="0.25">
      <c r="A22191" s="5" t="str">
        <f>"H0003415"</f>
        <v>H0003415</v>
      </c>
      <c r="B22191" s="5" t="str">
        <f t="shared" si="1109"/>
        <v>ESTANTE METALICO 7 ENTREPAÑOS</v>
      </c>
      <c r="C22191" s="6">
        <v>29533.23</v>
      </c>
      <c r="D22191" s="5"/>
      <c r="E22191" s="5" t="str">
        <f t="shared" si="1108"/>
        <v>ACTISALUD-ESTADISTICA</v>
      </c>
      <c r="F22191" s="5" t="str">
        <f>"Descripcion: ESTANTERIA PARA HISTORIAS CLINICAS (ALTURA 2 METROS PANEL 90 CMS LARGO X 30 CMS ANCHO DISTANCIA ENTRE PANEL 30 CMS) Estado: Bueno Placa anterior: 000001966 Material: METALICO Color: GRIS Referencia:  Observacion:  Placa padre: Tipo adquisicio"&amp; "n: Entidad"</f>
        <v>Descripcion: ESTANTERIA PARA HISTORIAS CLINICAS (ALTURA 2 METROS PANEL 90 CMS LARGO X 30 CMS ANCHO DISTANCIA ENTRE PANEL 30 CMS) Estado: Bueno Placa anterior: 000001966 Material: METALICO Color: GRIS Referencia:  Observacion:  Placa padre: Tipo adquisicion: Entidad</v>
      </c>
      <c r="G22191" s="5"/>
    </row>
    <row r="22192" spans="1:7" ht="58.5" customHeight="1" x14ac:dyDescent="0.25">
      <c r="A22192" s="5" t="str">
        <f>"H0003416"</f>
        <v>H0003416</v>
      </c>
      <c r="B22192" s="5" t="str">
        <f t="shared" si="1109"/>
        <v>ESTANTE METALICO 7 ENTREPAÑOS</v>
      </c>
      <c r="C22192" s="6">
        <v>29533.23</v>
      </c>
      <c r="D22192" s="5"/>
      <c r="E22192" s="5" t="str">
        <f t="shared" si="1108"/>
        <v>ACTISALUD-ESTADISTICA</v>
      </c>
      <c r="F22192" s="5" t="str">
        <f>"Descripcion: ESTANTERIA PARA HISTORIAS CLINICAS (ALTURA 2 METROS PANEL 90 CMS LARGO X 30 CMS ANCHO DISTANCIA ENTRE PANEL 30 CMS) Estado: Bueno Placa anterior: 000001960 Material: METALICO Color: GRIS Referencia:  Observacion:  Placa padre: Tipo adquisicio"&amp; "n: Entidad"</f>
        <v>Descripcion: ESTANTERIA PARA HISTORIAS CLINICAS (ALTURA 2 METROS PANEL 90 CMS LARGO X 30 CMS ANCHO DISTANCIA ENTRE PANEL 30 CMS) Estado: Bueno Placa anterior: 000001960 Material: METALICO Color: GRIS Referencia:  Observacion:  Placa padre: Tipo adquisicion: Entidad</v>
      </c>
      <c r="G22192" s="5"/>
    </row>
    <row r="22193" spans="1:7" ht="58.5" customHeight="1" x14ac:dyDescent="0.25">
      <c r="A22193" s="5" t="str">
        <f>"H0003422"</f>
        <v>H0003422</v>
      </c>
      <c r="B22193" s="5" t="str">
        <f t="shared" si="1109"/>
        <v>ESTANTE METALICO 7 ENTREPAÑOS</v>
      </c>
      <c r="C22193" s="6">
        <v>29533.23</v>
      </c>
      <c r="D22193" s="5"/>
      <c r="E22193" s="5" t="str">
        <f t="shared" si="1108"/>
        <v>ACTISALUD-ESTADISTICA</v>
      </c>
      <c r="F22193" s="5" t="str">
        <f>"Descripcion: ESTANTERIA PARA HISTORIAS CLINICAS (ALTURA 2 METROS PANEL 90 CMS LARGO X 30 CMS ANCHO DISTANCIA ENTRE PANEL 30 CMS) Estado: Bueno Placa anterior: 000001955 Material: METALICO Color: GRIS Referencia:  Observacion:  Placa padre: Tipo adquisicio"&amp; "n: Entidad"</f>
        <v>Descripcion: ESTANTERIA PARA HISTORIAS CLINICAS (ALTURA 2 METROS PANEL 90 CMS LARGO X 30 CMS ANCHO DISTANCIA ENTRE PANEL 30 CMS) Estado: Bueno Placa anterior: 000001955 Material: METALICO Color: GRIS Referencia:  Observacion:  Placa padre: Tipo adquisicion: Entidad</v>
      </c>
      <c r="G22193" s="5"/>
    </row>
    <row r="22194" spans="1:7" ht="58.5" customHeight="1" x14ac:dyDescent="0.25">
      <c r="A22194" s="5" t="str">
        <f>"H0003423"</f>
        <v>H0003423</v>
      </c>
      <c r="B22194" s="5" t="str">
        <f t="shared" ref="B22194:B22219" si="1110">"ESTANTE METALICO 7 ENTREPAÑOS"</f>
        <v>ESTANTE METALICO 7 ENTREPAÑOS</v>
      </c>
      <c r="C22194" s="6">
        <v>29533.23</v>
      </c>
      <c r="D22194" s="5"/>
      <c r="E22194" s="5" t="str">
        <f t="shared" si="1108"/>
        <v>ACTISALUD-ESTADISTICA</v>
      </c>
      <c r="F22194" s="5" t="str">
        <f>"Descripcion: ESTANTERIA PARA HISTORIAS CLINICAS (ALTURA 2 METROS PANEL 90 CMS LARGO X 30 CMS ANCHO DISTANCIA ENTRE PANEL 30 CMS) Estado: Bueno Placa anterior: 000001956 Material: METALICO Color: GRIS Referencia:  Observacion:  Placa padre: Tipo adquisicio"&amp; "n: Entidad"</f>
        <v>Descripcion: ESTANTERIA PARA HISTORIAS CLINICAS (ALTURA 2 METROS PANEL 90 CMS LARGO X 30 CMS ANCHO DISTANCIA ENTRE PANEL 30 CMS) Estado: Bueno Placa anterior: 000001956 Material: METALICO Color: GRIS Referencia:  Observacion:  Placa padre: Tipo adquisicion: Entidad</v>
      </c>
      <c r="G22194" s="5"/>
    </row>
    <row r="22195" spans="1:7" ht="58.5" customHeight="1" x14ac:dyDescent="0.25">
      <c r="A22195" s="5" t="str">
        <f>"H0003424"</f>
        <v>H0003424</v>
      </c>
      <c r="B22195" s="5" t="str">
        <f t="shared" si="1110"/>
        <v>ESTANTE METALICO 7 ENTREPAÑOS</v>
      </c>
      <c r="C22195" s="6">
        <v>29533.23</v>
      </c>
      <c r="D22195" s="5"/>
      <c r="E22195" s="5" t="str">
        <f t="shared" si="1108"/>
        <v>ACTISALUD-ESTADISTICA</v>
      </c>
      <c r="F22195" s="5" t="str">
        <f>"Descripcion: ESTANTERIA PARA HISTORIAS CLINICAS (ALTURA 2 METROS PANEL 90 CMS LARGO X 30 CMS ANCHO DISTANCIA ENTRE PANEL 30 CMS) Estado: Bueno Placa anterior: 000001951 Material: METALICO Color: GRIS Referencia:  Observacion:  Placa padre: Tipo adquisicio"&amp; "n: Entidad"</f>
        <v>Descripcion: ESTANTERIA PARA HISTORIAS CLINICAS (ALTURA 2 METROS PANEL 90 CMS LARGO X 30 CMS ANCHO DISTANCIA ENTRE PANEL 30 CMS) Estado: Bueno Placa anterior: 000001951 Material: METALICO Color: GRIS Referencia:  Observacion:  Placa padre: Tipo adquisicion: Entidad</v>
      </c>
      <c r="G22195" s="5"/>
    </row>
    <row r="22196" spans="1:7" ht="58.5" customHeight="1" x14ac:dyDescent="0.25">
      <c r="A22196" s="5" t="str">
        <f>"H0003425"</f>
        <v>H0003425</v>
      </c>
      <c r="B22196" s="5" t="str">
        <f t="shared" si="1110"/>
        <v>ESTANTE METALICO 7 ENTREPAÑOS</v>
      </c>
      <c r="C22196" s="6">
        <v>29533.23</v>
      </c>
      <c r="D22196" s="5"/>
      <c r="E22196" s="5" t="str">
        <f t="shared" si="1108"/>
        <v>ACTISALUD-ESTADISTICA</v>
      </c>
      <c r="F22196" s="5" t="str">
        <f>"Descripcion: ESTANTERIA PARA HISTORIAS CLINICAS (ALTURA 2 METROS PANEL 90 CMS LARGO X 30 CMS ANCHO DISTANCIA ENTRE PANEL 30 CMS) Estado: Bueno Placa anterior: 000001950 Material: METALICO Color: GRIS Referencia:  Observacion:  Placa padre: Tipo adquisicio"&amp; "n: Entidad"</f>
        <v>Descripcion: ESTANTERIA PARA HISTORIAS CLINICAS (ALTURA 2 METROS PANEL 90 CMS LARGO X 30 CMS ANCHO DISTANCIA ENTRE PANEL 30 CMS) Estado: Bueno Placa anterior: 000001950 Material: METALICO Color: GRIS Referencia:  Observacion:  Placa padre: Tipo adquisicion: Entidad</v>
      </c>
      <c r="G22196" s="5"/>
    </row>
    <row r="22197" spans="1:7" ht="58.5" customHeight="1" x14ac:dyDescent="0.25">
      <c r="A22197" s="5" t="str">
        <f>"H0003426"</f>
        <v>H0003426</v>
      </c>
      <c r="B22197" s="5" t="str">
        <f t="shared" si="1110"/>
        <v>ESTANTE METALICO 7 ENTREPAÑOS</v>
      </c>
      <c r="C22197" s="6">
        <v>29533.23</v>
      </c>
      <c r="D22197" s="5"/>
      <c r="E22197" s="5" t="str">
        <f t="shared" si="1108"/>
        <v>ACTISALUD-ESTADISTICA</v>
      </c>
      <c r="F22197" s="5" t="str">
        <f>"Descripcion: ESTANTERIA PARA HISTORIAS CLINICAS (ALTURA 2 METROS PANEL 90 CMS LARGO X 30 CMS ANCHO DISTANCIA ENTRE PANEL 30 CMS) Estado: Bueno Placa anterior: 000001959 Material: METALICO Color: GRIS Referencia:  Observacion:  Placa padre: Tipo adquisicio"&amp; "n: Entidad"</f>
        <v>Descripcion: ESTANTERIA PARA HISTORIAS CLINICAS (ALTURA 2 METROS PANEL 90 CMS LARGO X 30 CMS ANCHO DISTANCIA ENTRE PANEL 30 CMS) Estado: Bueno Placa anterior: 000001959 Material: METALICO Color: GRIS Referencia:  Observacion:  Placa padre: Tipo adquisicion: Entidad</v>
      </c>
      <c r="G22197" s="5"/>
    </row>
    <row r="22198" spans="1:7" ht="58.5" customHeight="1" x14ac:dyDescent="0.25">
      <c r="A22198" s="5" t="str">
        <f>"H0003427"</f>
        <v>H0003427</v>
      </c>
      <c r="B22198" s="5" t="str">
        <f t="shared" si="1110"/>
        <v>ESTANTE METALICO 7 ENTREPAÑOS</v>
      </c>
      <c r="C22198" s="6">
        <v>29533.23</v>
      </c>
      <c r="D22198" s="5"/>
      <c r="E22198" s="5" t="str">
        <f t="shared" ref="E22198:E22261" si="1111">"ACTISALUD-ESTADISTICA"</f>
        <v>ACTISALUD-ESTADISTICA</v>
      </c>
      <c r="F22198" s="5" t="str">
        <f>"Descripcion: ESTANTERIA PARA HISTORIAS CLINICAS (ALTURA 2 METROS PANEL 90 CMS LARGO X 30 CMS ANCHO DISTANCIA ENTRE PANEL 30 CMS) Estado: Bueno Placa anterior: 000001949 Material: METALICO Color: GRIS Referencia:  Observacion:  Placa padre: Tipo adquisicio"&amp; "n: Entidad"</f>
        <v>Descripcion: ESTANTERIA PARA HISTORIAS CLINICAS (ALTURA 2 METROS PANEL 90 CMS LARGO X 30 CMS ANCHO DISTANCIA ENTRE PANEL 30 CMS) Estado: Bueno Placa anterior: 000001949 Material: METALICO Color: GRIS Referencia:  Observacion:  Placa padre: Tipo adquisicion: Entidad</v>
      </c>
      <c r="G22198" s="5"/>
    </row>
    <row r="22199" spans="1:7" ht="58.5" customHeight="1" x14ac:dyDescent="0.25">
      <c r="A22199" s="5" t="str">
        <f>"H0003428"</f>
        <v>H0003428</v>
      </c>
      <c r="B22199" s="5" t="str">
        <f t="shared" si="1110"/>
        <v>ESTANTE METALICO 7 ENTREPAÑOS</v>
      </c>
      <c r="C22199" s="6">
        <v>29533.23</v>
      </c>
      <c r="D22199" s="5"/>
      <c r="E22199" s="5" t="str">
        <f t="shared" si="1111"/>
        <v>ACTISALUD-ESTADISTICA</v>
      </c>
      <c r="F22199" s="5" t="str">
        <f>"Descripcion: ESTANTERIA PARA HISTORIAS CLINICAS (ALTURA 2 METROS PANEL 90 CMS LARGO X 30 CMS ANCHO DISTANCIA ENTRE PANEL 30 CMS) Estado: Bueno Placa anterior: 000001944 Material: METALICO Color: GRIS Referencia:  Observacion:  Placa padre: Tipo adquisicio"&amp; "n: Entidad"</f>
        <v>Descripcion: ESTANTERIA PARA HISTORIAS CLINICAS (ALTURA 2 METROS PANEL 90 CMS LARGO X 30 CMS ANCHO DISTANCIA ENTRE PANEL 30 CMS) Estado: Bueno Placa anterior: 000001944 Material: METALICO Color: GRIS Referencia:  Observacion:  Placa padre: Tipo adquisicion: Entidad</v>
      </c>
      <c r="G22199" s="5"/>
    </row>
    <row r="22200" spans="1:7" ht="58.5" customHeight="1" x14ac:dyDescent="0.25">
      <c r="A22200" s="5" t="str">
        <f>"H0003430"</f>
        <v>H0003430</v>
      </c>
      <c r="B22200" s="5" t="str">
        <f t="shared" si="1110"/>
        <v>ESTANTE METALICO 7 ENTREPAÑOS</v>
      </c>
      <c r="C22200" s="6">
        <v>29533.23</v>
      </c>
      <c r="D22200" s="5"/>
      <c r="E22200" s="5" t="str">
        <f t="shared" si="1111"/>
        <v>ACTISALUD-ESTADISTICA</v>
      </c>
      <c r="F22200" s="5" t="str">
        <f>"Descripcion: ESTANTERIA PARA HISTORIAS CLINICAS (ALTURA 2 METROS PANEL 90 CMS LARGO X 30 CMS ANCHO DISTANCIA ENTRE PANEL 30 CMS) Estado: Bueno Placa anterior: 000001957 Material: METALICO Color: GRIS Referencia:  Observacion:  Placa padre: Tipo adquisicio"&amp; "n: Entidad"</f>
        <v>Descripcion: ESTANTERIA PARA HISTORIAS CLINICAS (ALTURA 2 METROS PANEL 90 CMS LARGO X 30 CMS ANCHO DISTANCIA ENTRE PANEL 30 CMS) Estado: Bueno Placa anterior: 000001957 Material: METALICO Color: GRIS Referencia:  Observacion:  Placa padre: Tipo adquisicion: Entidad</v>
      </c>
      <c r="G22200" s="5"/>
    </row>
    <row r="22201" spans="1:7" ht="58.5" customHeight="1" x14ac:dyDescent="0.25">
      <c r="A22201" s="5" t="str">
        <f>"H0003431"</f>
        <v>H0003431</v>
      </c>
      <c r="B22201" s="5" t="str">
        <f t="shared" si="1110"/>
        <v>ESTANTE METALICO 7 ENTREPAÑOS</v>
      </c>
      <c r="C22201" s="6">
        <v>29533.23</v>
      </c>
      <c r="D22201" s="5"/>
      <c r="E22201" s="5" t="str">
        <f t="shared" si="1111"/>
        <v>ACTISALUD-ESTADISTICA</v>
      </c>
      <c r="F22201" s="5" t="str">
        <f>"Descripcion: ESTANTERIA PARA HISTORIAS CLINICAS (ALTURA 2 METROS PANEL 90 CMS LARGO X 30 CMS ANCHO DISTANCIA ENTRE PANEL 30 CMS) Estado: Bueno Placa anterior: 000001958 Material: METALICO Color: GRIS Referencia:  Observacion:  Placa padre: Tipo adquisicio"&amp; "n: Entidad"</f>
        <v>Descripcion: ESTANTERIA PARA HISTORIAS CLINICAS (ALTURA 2 METROS PANEL 90 CMS LARGO X 30 CMS ANCHO DISTANCIA ENTRE PANEL 30 CMS) Estado: Bueno Placa anterior: 000001958 Material: METALICO Color: GRIS Referencia:  Observacion:  Placa padre: Tipo adquisicion: Entidad</v>
      </c>
      <c r="G22201" s="5"/>
    </row>
    <row r="22202" spans="1:7" ht="58.5" customHeight="1" x14ac:dyDescent="0.25">
      <c r="A22202" s="5" t="str">
        <f>"H0003432"</f>
        <v>H0003432</v>
      </c>
      <c r="B22202" s="5" t="str">
        <f t="shared" si="1110"/>
        <v>ESTANTE METALICO 7 ENTREPAÑOS</v>
      </c>
      <c r="C22202" s="6">
        <v>29533.23</v>
      </c>
      <c r="D22202" s="5"/>
      <c r="E22202" s="5" t="str">
        <f t="shared" si="1111"/>
        <v>ACTISALUD-ESTADISTICA</v>
      </c>
      <c r="F22202" s="5" t="str">
        <f>"Descripcion: ESTANTERIA PARA HISTORIAS CLINICAS (ALTURA 2 METROS PANEL 90 CMS LARGO X 30 CMS ANCHO DISTANCIA ENTRE PANEL 30 CMS) Estado: Bueno Placa anterior: 000001953 Material: METALICO Color: GRIS Referencia:  Observacion:  Placa padre: Tipo adquisicio"&amp; "n: Entidad"</f>
        <v>Descripcion: ESTANTERIA PARA HISTORIAS CLINICAS (ALTURA 2 METROS PANEL 90 CMS LARGO X 30 CMS ANCHO DISTANCIA ENTRE PANEL 30 CMS) Estado: Bueno Placa anterior: 000001953 Material: METALICO Color: GRIS Referencia:  Observacion:  Placa padre: Tipo adquisicion: Entidad</v>
      </c>
      <c r="G22202" s="5"/>
    </row>
    <row r="22203" spans="1:7" ht="58.5" customHeight="1" x14ac:dyDescent="0.25">
      <c r="A22203" s="5" t="str">
        <f>"H0003433"</f>
        <v>H0003433</v>
      </c>
      <c r="B22203" s="5" t="str">
        <f t="shared" si="1110"/>
        <v>ESTANTE METALICO 7 ENTREPAÑOS</v>
      </c>
      <c r="C22203" s="6">
        <v>29533.23</v>
      </c>
      <c r="D22203" s="5"/>
      <c r="E22203" s="5" t="str">
        <f t="shared" si="1111"/>
        <v>ACTISALUD-ESTADISTICA</v>
      </c>
      <c r="F22203" s="5" t="str">
        <f>"Descripcion: ESTANTERIA PARA HISTORIAS CLINICAS (ALTURA 2 METROS PANEL 90 CMS LARGO X 30 CMS ANCHO DISTANCIA ENTRE PANEL 30 CMS) Estado: Bueno Placa anterior: 000001954 Material: METALICO Color: GRIS Referencia:  Observacion:  Placa padre: Tipo adquisicio"&amp; "n: Entidad"</f>
        <v>Descripcion: ESTANTERIA PARA HISTORIAS CLINICAS (ALTURA 2 METROS PANEL 90 CMS LARGO X 30 CMS ANCHO DISTANCIA ENTRE PANEL 30 CMS) Estado: Bueno Placa anterior: 000001954 Material: METALICO Color: GRIS Referencia:  Observacion:  Placa padre: Tipo adquisicion: Entidad</v>
      </c>
      <c r="G22203" s="5"/>
    </row>
    <row r="22204" spans="1:7" ht="58.5" customHeight="1" x14ac:dyDescent="0.25">
      <c r="A22204" s="5" t="str">
        <f>"H0003435"</f>
        <v>H0003435</v>
      </c>
      <c r="B22204" s="5" t="str">
        <f t="shared" si="1110"/>
        <v>ESTANTE METALICO 7 ENTREPAÑOS</v>
      </c>
      <c r="C22204" s="6">
        <v>29533.23</v>
      </c>
      <c r="D22204" s="5"/>
      <c r="E22204" s="5" t="str">
        <f t="shared" si="1111"/>
        <v>ACTISALUD-ESTADISTICA</v>
      </c>
      <c r="F22204" s="5" t="str">
        <f>"Descripcion: ESTANTERIA PARA HISTORIAS CLINICAS (ALTURA 2 METROS PANEL 90 CMS LARGO X 30 CMS ANCHO DISTANCIA ENTRE PANEL 30 CMS) Estado: Bueno Placa anterior: 000001653 Material: METALICO Color: GRIS Referencia:  Observacion:  Placa padre: Tipo adquisicio"&amp; "n: Entidad"</f>
        <v>Descripcion: ESTANTERIA PARA HISTORIAS CLINICAS (ALTURA 2 METROS PANEL 90 CMS LARGO X 30 CMS ANCHO DISTANCIA ENTRE PANEL 30 CMS) Estado: Bueno Placa anterior: 000001653 Material: METALICO Color: GRIS Referencia:  Observacion:  Placa padre: Tipo adquisicion: Entidad</v>
      </c>
      <c r="G22204" s="5"/>
    </row>
    <row r="22205" spans="1:7" ht="58.5" customHeight="1" x14ac:dyDescent="0.25">
      <c r="A22205" s="5" t="str">
        <f>"H0003440"</f>
        <v>H0003440</v>
      </c>
      <c r="B22205" s="5" t="str">
        <f t="shared" si="1110"/>
        <v>ESTANTE METALICO 7 ENTREPAÑOS</v>
      </c>
      <c r="C22205" s="6">
        <v>29533.23</v>
      </c>
      <c r="D22205" s="5"/>
      <c r="E22205" s="5" t="str">
        <f t="shared" si="1111"/>
        <v>ACTISALUD-ESTADISTICA</v>
      </c>
      <c r="F22205" s="5" t="str">
        <f>"Descripcion: ESTANTERIA PARA HISTORIAS CLINICAS (ALTURA 2 METROS PANEL 90 CMS LARGO X 30 CMS ANCHO DISTANCIA ENTRE PANEL 30 CMS) Estado: Bueno Placa anterior: 000001965 Material: METALICO Color: GRIS Referencia:  Observacion:  Placa padre: Tipo adquisicio"&amp; "n: Entidad"</f>
        <v>Descripcion: ESTANTERIA PARA HISTORIAS CLINICAS (ALTURA 2 METROS PANEL 90 CMS LARGO X 30 CMS ANCHO DISTANCIA ENTRE PANEL 30 CMS) Estado: Bueno Placa anterior: 000001965 Material: METALICO Color: GRIS Referencia:  Observacion:  Placa padre: Tipo adquisicion: Entidad</v>
      </c>
      <c r="G22205" s="5"/>
    </row>
    <row r="22206" spans="1:7" ht="58.5" customHeight="1" x14ac:dyDescent="0.25">
      <c r="A22206" s="5" t="str">
        <f>"H0003441"</f>
        <v>H0003441</v>
      </c>
      <c r="B22206" s="5" t="str">
        <f t="shared" si="1110"/>
        <v>ESTANTE METALICO 7 ENTREPAÑOS</v>
      </c>
      <c r="C22206" s="6">
        <v>29533.23</v>
      </c>
      <c r="D22206" s="5"/>
      <c r="E22206" s="5" t="str">
        <f t="shared" si="1111"/>
        <v>ACTISALUD-ESTADISTICA</v>
      </c>
      <c r="F22206" s="5" t="str">
        <f>"Descripcion: ESTANTERIA PARA HISTORIAS CLINICAS (ALTURA 2 METROS PANEL 90 CMS LARGO X 30 CMS ANCHO DISTANCIA ENTRE PANEL 30 CMS) Estado: Bueno Placa anterior: 000001961 Material: METALICO Color: GRIS Referencia:  Observacion:  Placa padre: Tipo adquisicio"&amp; "n: Entidad"</f>
        <v>Descripcion: ESTANTERIA PARA HISTORIAS CLINICAS (ALTURA 2 METROS PANEL 90 CMS LARGO X 30 CMS ANCHO DISTANCIA ENTRE PANEL 30 CMS) Estado: Bueno Placa anterior: 000001961 Material: METALICO Color: GRIS Referencia:  Observacion:  Placa padre: Tipo adquisicion: Entidad</v>
      </c>
      <c r="G22206" s="5"/>
    </row>
    <row r="22207" spans="1:7" ht="58.5" customHeight="1" x14ac:dyDescent="0.25">
      <c r="A22207" s="5" t="str">
        <f>"H0003442"</f>
        <v>H0003442</v>
      </c>
      <c r="B22207" s="5" t="str">
        <f t="shared" si="1110"/>
        <v>ESTANTE METALICO 7 ENTREPAÑOS</v>
      </c>
      <c r="C22207" s="6">
        <v>29533.23</v>
      </c>
      <c r="D22207" s="5"/>
      <c r="E22207" s="5" t="str">
        <f t="shared" si="1111"/>
        <v>ACTISALUD-ESTADISTICA</v>
      </c>
      <c r="F22207" s="5" t="str">
        <f>"Descripcion: ESTANTERIA PARA HISTORIAS CLINICAS (ALTURA 2 METROS PANEL 90 CMS LARGO X 30 CMS ANCHO DISTANCIA ENTRE PANEL 30 CMS) Estado: Bueno Placa anterior: 000001962 Material: METALICO Color: GRIS Referencia:  Observacion:  Placa padre: Tipo adquisicio"&amp; "n: Entidad"</f>
        <v>Descripcion: ESTANTERIA PARA HISTORIAS CLINICAS (ALTURA 2 METROS PANEL 90 CMS LARGO X 30 CMS ANCHO DISTANCIA ENTRE PANEL 30 CMS) Estado: Bueno Placa anterior: 000001962 Material: METALICO Color: GRIS Referencia:  Observacion:  Placa padre: Tipo adquisicion: Entidad</v>
      </c>
      <c r="G22207" s="5"/>
    </row>
    <row r="22208" spans="1:7" ht="58.5" customHeight="1" x14ac:dyDescent="0.25">
      <c r="A22208" s="5" t="str">
        <f>"H0003443"</f>
        <v>H0003443</v>
      </c>
      <c r="B22208" s="5" t="str">
        <f t="shared" si="1110"/>
        <v>ESTANTE METALICO 7 ENTREPAÑOS</v>
      </c>
      <c r="C22208" s="6">
        <v>29533.23</v>
      </c>
      <c r="D22208" s="5"/>
      <c r="E22208" s="5" t="str">
        <f t="shared" si="1111"/>
        <v>ACTISALUD-ESTADISTICA</v>
      </c>
      <c r="F22208" s="5" t="str">
        <f>"Descripcion: ESTANTERIA PARA HISTORIAS CLINICAS (ALTURA 2 METROS PANEL 90 CMS LARGO X 30 CMS ANCHO DISTANCIA ENTRE PANEL 30 CMS) Estado: Bueno Placa anterior: 000001969 Material: METALICO Color: GRIS Referencia:  Observacion:  Placa padre: Tipo adquisicio"&amp; "n: Entidad"</f>
        <v>Descripcion: ESTANTERIA PARA HISTORIAS CLINICAS (ALTURA 2 METROS PANEL 90 CMS LARGO X 30 CMS ANCHO DISTANCIA ENTRE PANEL 30 CMS) Estado: Bueno Placa anterior: 000001969 Material: METALICO Color: GRIS Referencia:  Observacion:  Placa padre: Tipo adquisicion: Entidad</v>
      </c>
      <c r="G22208" s="5"/>
    </row>
    <row r="22209" spans="1:7" ht="58.5" customHeight="1" x14ac:dyDescent="0.25">
      <c r="A22209" s="5" t="str">
        <f>"H0003444"</f>
        <v>H0003444</v>
      </c>
      <c r="B22209" s="5" t="str">
        <f t="shared" si="1110"/>
        <v>ESTANTE METALICO 7 ENTREPAÑOS</v>
      </c>
      <c r="C22209" s="6">
        <v>29533.23</v>
      </c>
      <c r="D22209" s="5"/>
      <c r="E22209" s="5" t="str">
        <f t="shared" si="1111"/>
        <v>ACTISALUD-ESTADISTICA</v>
      </c>
      <c r="F22209" s="5" t="str">
        <f>"Descripcion: ESTANTERIA PARA HISTORIAS CLINICAS (ALTURA 2 METROS PANEL 90 CMS LARGO X 30 CMS ANCHO DISTANCIA ENTRE PANEL 30 CMS) Estado: Bueno Placa anterior: 000001968 Material: METALICO Color: GRIS Referencia:  Observacion:  Placa padre: Tipo adquisicio"&amp; "n: Entidad"</f>
        <v>Descripcion: ESTANTERIA PARA HISTORIAS CLINICAS (ALTURA 2 METROS PANEL 90 CMS LARGO X 30 CMS ANCHO DISTANCIA ENTRE PANEL 30 CMS) Estado: Bueno Placa anterior: 000001968 Material: METALICO Color: GRIS Referencia:  Observacion:  Placa padre: Tipo adquisicion: Entidad</v>
      </c>
      <c r="G22209" s="5"/>
    </row>
    <row r="22210" spans="1:7" ht="58.5" customHeight="1" x14ac:dyDescent="0.25">
      <c r="A22210" s="5" t="str">
        <f>"H0003445"</f>
        <v>H0003445</v>
      </c>
      <c r="B22210" s="5" t="str">
        <f t="shared" si="1110"/>
        <v>ESTANTE METALICO 7 ENTREPAÑOS</v>
      </c>
      <c r="C22210" s="6">
        <v>29533.23</v>
      </c>
      <c r="D22210" s="5"/>
      <c r="E22210" s="5" t="str">
        <f t="shared" si="1111"/>
        <v>ACTISALUD-ESTADISTICA</v>
      </c>
      <c r="F22210" s="5" t="str">
        <f>"Descripcion: ESTANTERIA PARA HISTORIAS CLINICAS (ALTURA 2 METROS PANEL 90 CMS LARGO X 30 CMS ANCHO DISTANCIA ENTRE PANEL 30 CMS) Estado: Bueno Placa anterior: 000001978 Material: METALICO Color: GRIS Referencia:  Observacion:  Placa padre: Tipo adquisicio"&amp; "n: Entidad"</f>
        <v>Descripcion: ESTANTERIA PARA HISTORIAS CLINICAS (ALTURA 2 METROS PANEL 90 CMS LARGO X 30 CMS ANCHO DISTANCIA ENTRE PANEL 30 CMS) Estado: Bueno Placa anterior: 000001978 Material: METALICO Color: GRIS Referencia:  Observacion:  Placa padre: Tipo adquisicion: Entidad</v>
      </c>
      <c r="G22210" s="5"/>
    </row>
    <row r="22211" spans="1:7" ht="58.5" customHeight="1" x14ac:dyDescent="0.25">
      <c r="A22211" s="5" t="str">
        <f>"H0003446"</f>
        <v>H0003446</v>
      </c>
      <c r="B22211" s="5" t="str">
        <f t="shared" si="1110"/>
        <v>ESTANTE METALICO 7 ENTREPAÑOS</v>
      </c>
      <c r="C22211" s="6">
        <v>29533.23</v>
      </c>
      <c r="D22211" s="5"/>
      <c r="E22211" s="5" t="str">
        <f t="shared" si="1111"/>
        <v>ACTISALUD-ESTADISTICA</v>
      </c>
      <c r="F22211" s="5" t="str">
        <f>"Descripcion: ESTANTERIA PARA HISTORIAS CLINICAS (ALTURA 2 METROS PANEL 90 CMS LARGO X 30 CMS ANCHO DISTANCIA ENTRE PANEL 30 CMS) Estado: Bueno Placa anterior: 000001977 Material: METALICO Color: GRIS Referencia:  Observacion:  Placa padre: Tipo adquisicio"&amp; "n: Entidad"</f>
        <v>Descripcion: ESTANTERIA PARA HISTORIAS CLINICAS (ALTURA 2 METROS PANEL 90 CMS LARGO X 30 CMS ANCHO DISTANCIA ENTRE PANEL 30 CMS) Estado: Bueno Placa anterior: 000001977 Material: METALICO Color: GRIS Referencia:  Observacion:  Placa padre: Tipo adquisicion: Entidad</v>
      </c>
      <c r="G22211" s="5"/>
    </row>
    <row r="22212" spans="1:7" ht="58.5" customHeight="1" x14ac:dyDescent="0.25">
      <c r="A22212" s="5" t="str">
        <f>"H0003447"</f>
        <v>H0003447</v>
      </c>
      <c r="B22212" s="5" t="str">
        <f t="shared" si="1110"/>
        <v>ESTANTE METALICO 7 ENTREPAÑOS</v>
      </c>
      <c r="C22212" s="6">
        <v>29533.23</v>
      </c>
      <c r="D22212" s="5"/>
      <c r="E22212" s="5" t="str">
        <f t="shared" si="1111"/>
        <v>ACTISALUD-ESTADISTICA</v>
      </c>
      <c r="F22212" s="5" t="str">
        <f>"Descripcion: ESTANTERIA PARA HISTORIAS CLINICAS (ALTURA 2 METROS PANEL 90 CMS LARGO X 30 CMS ANCHO DISTANCIA ENTRE PANEL 30 CMS) Estado: Bueno Placa anterior: 000001970 Material: METALICO Color: GRIS Referencia:  Observacion:  Placa padre: Tipo adquisicio"&amp; "n: Entidad"</f>
        <v>Descripcion: ESTANTERIA PARA HISTORIAS CLINICAS (ALTURA 2 METROS PANEL 90 CMS LARGO X 30 CMS ANCHO DISTANCIA ENTRE PANEL 30 CMS) Estado: Bueno Placa anterior: 000001970 Material: METALICO Color: GRIS Referencia:  Observacion:  Placa padre: Tipo adquisicion: Entidad</v>
      </c>
      <c r="G22212" s="5"/>
    </row>
    <row r="22213" spans="1:7" ht="58.5" customHeight="1" x14ac:dyDescent="0.25">
      <c r="A22213" s="5" t="str">
        <f>"H0003448"</f>
        <v>H0003448</v>
      </c>
      <c r="B22213" s="5" t="str">
        <f t="shared" si="1110"/>
        <v>ESTANTE METALICO 7 ENTREPAÑOS</v>
      </c>
      <c r="C22213" s="6">
        <v>29533.23</v>
      </c>
      <c r="D22213" s="5"/>
      <c r="E22213" s="5" t="str">
        <f t="shared" si="1111"/>
        <v>ACTISALUD-ESTADISTICA</v>
      </c>
      <c r="F22213" s="5" t="str">
        <f>"Descripcion: ESTANTERIA PARA HISTORIAS CLINICAS (ALTURA 2 METROS PANEL 90 CMS LARGO X 30 CMS ANCHO DISTANCIA ENTRE PANEL 30 CMS) Estado: Bueno Placa anterior: 000001976 Material: METALICO Color: GRIS Referencia:  Observacion:  Placa padre: Tipo adquisicio"&amp; "n: Entidad"</f>
        <v>Descripcion: ESTANTERIA PARA HISTORIAS CLINICAS (ALTURA 2 METROS PANEL 90 CMS LARGO X 30 CMS ANCHO DISTANCIA ENTRE PANEL 30 CMS) Estado: Bueno Placa anterior: 000001976 Material: METALICO Color: GRIS Referencia:  Observacion:  Placa padre: Tipo adquisicion: Entidad</v>
      </c>
      <c r="G22213" s="5"/>
    </row>
    <row r="22214" spans="1:7" ht="58.5" customHeight="1" x14ac:dyDescent="0.25">
      <c r="A22214" s="5" t="str">
        <f>"H0003449"</f>
        <v>H0003449</v>
      </c>
      <c r="B22214" s="5" t="str">
        <f t="shared" si="1110"/>
        <v>ESTANTE METALICO 7 ENTREPAÑOS</v>
      </c>
      <c r="C22214" s="6">
        <v>29533.23</v>
      </c>
      <c r="D22214" s="5"/>
      <c r="E22214" s="5" t="str">
        <f t="shared" si="1111"/>
        <v>ACTISALUD-ESTADISTICA</v>
      </c>
      <c r="F22214" s="5" t="str">
        <f>"Descripcion: ESTANTERIA PARA HISTORIAS CLINICAS (ALTURA 2 METROS PANEL 90 CMS LARGO X 30 CMS ANCHO DISTANCIA ENTRE PANEL 30 CMS) Estado: Bueno Placa anterior: 000001975 Material: METALICO Color: GRIS Referencia:  Observacion:  Placa padre: Tipo adquisicio"&amp; "n: Entidad"</f>
        <v>Descripcion: ESTANTERIA PARA HISTORIAS CLINICAS (ALTURA 2 METROS PANEL 90 CMS LARGO X 30 CMS ANCHO DISTANCIA ENTRE PANEL 30 CMS) Estado: Bueno Placa anterior: 000001975 Material: METALICO Color: GRIS Referencia:  Observacion:  Placa padre: Tipo adquisicion: Entidad</v>
      </c>
      <c r="G22214" s="5"/>
    </row>
    <row r="22215" spans="1:7" ht="58.5" customHeight="1" x14ac:dyDescent="0.25">
      <c r="A22215" s="5" t="str">
        <f>"H0003450"</f>
        <v>H0003450</v>
      </c>
      <c r="B22215" s="5" t="str">
        <f t="shared" si="1110"/>
        <v>ESTANTE METALICO 7 ENTREPAÑOS</v>
      </c>
      <c r="C22215" s="6">
        <v>29533.23</v>
      </c>
      <c r="D22215" s="5"/>
      <c r="E22215" s="5" t="str">
        <f t="shared" si="1111"/>
        <v>ACTISALUD-ESTADISTICA</v>
      </c>
      <c r="F22215" s="5" t="str">
        <f>"Descripcion: ESTANTERIA PARA HISTORIAS CLINICAS (ALTURA 2 METROS PANEL 90 CMS LARGO X 30 CMS ANCHO DISTANCIA ENTRE PANEL 30 CMS) Estado: Bueno Placa anterior: 000001982 Material: METALICO Color: GRIS Referencia:  Observacion:  Placa padre: Tipo adquisicio"&amp; "n: Entidad"</f>
        <v>Descripcion: ESTANTERIA PARA HISTORIAS CLINICAS (ALTURA 2 METROS PANEL 90 CMS LARGO X 30 CMS ANCHO DISTANCIA ENTRE PANEL 30 CMS) Estado: Bueno Placa anterior: 000001982 Material: METALICO Color: GRIS Referencia:  Observacion:  Placa padre: Tipo adquisicion: Entidad</v>
      </c>
      <c r="G22215" s="5"/>
    </row>
    <row r="22216" spans="1:7" ht="58.5" customHeight="1" x14ac:dyDescent="0.25">
      <c r="A22216" s="5" t="str">
        <f>"H0003451"</f>
        <v>H0003451</v>
      </c>
      <c r="B22216" s="5" t="str">
        <f t="shared" si="1110"/>
        <v>ESTANTE METALICO 7 ENTREPAÑOS</v>
      </c>
      <c r="C22216" s="6">
        <v>29533.23</v>
      </c>
      <c r="D22216" s="5"/>
      <c r="E22216" s="5" t="str">
        <f t="shared" si="1111"/>
        <v>ACTISALUD-ESTADISTICA</v>
      </c>
      <c r="F22216" s="5" t="str">
        <f>"Descripcion: ESTANTERIA PARA HISTORIAS CLINICAS (ALTURA 2 METROS PANEL 90 CMS LARGO X 30 CMS ANCHO DISTANCIA ENTRE PANEL 30 CMS) Estado: Bueno Placa anterior: 000001988 Material: METALICO Color: GRIS Referencia:  Observacion:  Placa padre: Tipo adquisicio"&amp; "n: Entidad"</f>
        <v>Descripcion: ESTANTERIA PARA HISTORIAS CLINICAS (ALTURA 2 METROS PANEL 90 CMS LARGO X 30 CMS ANCHO DISTANCIA ENTRE PANEL 30 CMS) Estado: Bueno Placa anterior: 000001988 Material: METALICO Color: GRIS Referencia:  Observacion:  Placa padre: Tipo adquisicion: Entidad</v>
      </c>
      <c r="G22216" s="5"/>
    </row>
    <row r="22217" spans="1:7" ht="58.5" customHeight="1" x14ac:dyDescent="0.25">
      <c r="A22217" s="5" t="str">
        <f>"H0003452"</f>
        <v>H0003452</v>
      </c>
      <c r="B22217" s="5" t="str">
        <f t="shared" si="1110"/>
        <v>ESTANTE METALICO 7 ENTREPAÑOS</v>
      </c>
      <c r="C22217" s="6">
        <v>29533.23</v>
      </c>
      <c r="D22217" s="5"/>
      <c r="E22217" s="5" t="str">
        <f t="shared" si="1111"/>
        <v>ACTISALUD-ESTADISTICA</v>
      </c>
      <c r="F22217" s="5" t="str">
        <f>"Descripcion: ESTANTERIA PARA HISTORIAS CLINICAS (ALTURA 2 METROS PANEL 90 CMS LARGO X 30 CMS ANCHO DISTANCIA ENTRE PANEL 30 CMS) Estado: Bueno Placa anterior: 000001983 Material: METALICO Color: GRIS Referencia:  Observacion:  Placa padre: Tipo adquisicio"&amp; "n: Entidad"</f>
        <v>Descripcion: ESTANTERIA PARA HISTORIAS CLINICAS (ALTURA 2 METROS PANEL 90 CMS LARGO X 30 CMS ANCHO DISTANCIA ENTRE PANEL 30 CMS) Estado: Bueno Placa anterior: 000001983 Material: METALICO Color: GRIS Referencia:  Observacion:  Placa padre: Tipo adquisicion: Entidad</v>
      </c>
      <c r="G22217" s="5"/>
    </row>
    <row r="22218" spans="1:7" ht="58.5" customHeight="1" x14ac:dyDescent="0.25">
      <c r="A22218" s="5" t="str">
        <f>"H0003453"</f>
        <v>H0003453</v>
      </c>
      <c r="B22218" s="5" t="str">
        <f t="shared" si="1110"/>
        <v>ESTANTE METALICO 7 ENTREPAÑOS</v>
      </c>
      <c r="C22218" s="6">
        <v>29533.23</v>
      </c>
      <c r="D22218" s="5"/>
      <c r="E22218" s="5" t="str">
        <f t="shared" si="1111"/>
        <v>ACTISALUD-ESTADISTICA</v>
      </c>
      <c r="F22218" s="5" t="str">
        <f>"Descripcion: ESTANTERIA PARA HISTORIAS CLINICAS (ALTURA 2 METROS PANEL 90 CMS LARGO X 30 CMS ANCHO DISTANCIA ENTRE PANEL 30 CMS) Estado: Bueno Placa anterior: 000001980 Material: METALICO Color: GRIS Referencia:  Observacion:  Placa padre: Tipo adquisicio"&amp; "n: Entidad"</f>
        <v>Descripcion: ESTANTERIA PARA HISTORIAS CLINICAS (ALTURA 2 METROS PANEL 90 CMS LARGO X 30 CMS ANCHO DISTANCIA ENTRE PANEL 30 CMS) Estado: Bueno Placa anterior: 000001980 Material: METALICO Color: GRIS Referencia:  Observacion:  Placa padre: Tipo adquisicion: Entidad</v>
      </c>
      <c r="G22218" s="5"/>
    </row>
    <row r="22219" spans="1:7" ht="58.5" customHeight="1" x14ac:dyDescent="0.25">
      <c r="A22219" s="5" t="str">
        <f>"H0003454"</f>
        <v>H0003454</v>
      </c>
      <c r="B22219" s="5" t="str">
        <f t="shared" si="1110"/>
        <v>ESTANTE METALICO 7 ENTREPAÑOS</v>
      </c>
      <c r="C22219" s="6">
        <v>29533.23</v>
      </c>
      <c r="D22219" s="5"/>
      <c r="E22219" s="5" t="str">
        <f t="shared" si="1111"/>
        <v>ACTISALUD-ESTADISTICA</v>
      </c>
      <c r="F22219" s="5" t="str">
        <f>"Descripcion: ESTANTERIA PARA HISTORIAS CLINICAS (ALTURA 2 METROS PANEL 90 CMS LARGO X 30 CMS ANCHO DISTANCIA ENTRE PANEL 30 CMS) Estado: Bueno Placa anterior: 000001984 Material: METALICO Color: GRIS Referencia:  Observacion:  Placa padre: Tipo adquisicio"&amp; "n: Entidad"</f>
        <v>Descripcion: ESTANTERIA PARA HISTORIAS CLINICAS (ALTURA 2 METROS PANEL 90 CMS LARGO X 30 CMS ANCHO DISTANCIA ENTRE PANEL 30 CMS) Estado: Bueno Placa anterior: 000001984 Material: METALICO Color: GRIS Referencia:  Observacion:  Placa padre: Tipo adquisicion: Entidad</v>
      </c>
      <c r="G22219" s="5"/>
    </row>
    <row r="22220" spans="1:7" ht="58.5" customHeight="1" x14ac:dyDescent="0.25">
      <c r="A22220" s="5" t="str">
        <f>"H0003455"</f>
        <v>H0003455</v>
      </c>
      <c r="B22220" s="5" t="str">
        <f>"ESTANTE METALICO 6 ENTREPAÑOS"</f>
        <v>ESTANTE METALICO 6 ENTREPAÑOS</v>
      </c>
      <c r="C22220" s="6">
        <v>37633</v>
      </c>
      <c r="D22220" s="5"/>
      <c r="E22220" s="5" t="str">
        <f t="shared" si="1111"/>
        <v>ACTISALUD-ESTADISTICA</v>
      </c>
      <c r="F22220" s="5" t="str">
        <f>"Descripcion: ESTANTE METALICO Estado: Bueno Placa anterior: 000000936 Material: METALICO Color: GRIS Referencia:  Observacion:  Placa padre: Tipo adquisicion: Entidad"</f>
        <v>Descripcion: ESTANTE METALICO Estado: Bueno Placa anterior: 000000936 Material: METALICO Color: GRIS Referencia:  Observacion:  Placa padre: Tipo adquisicion: Entidad</v>
      </c>
      <c r="G22220" s="5"/>
    </row>
    <row r="22221" spans="1:7" ht="58.5" customHeight="1" x14ac:dyDescent="0.25">
      <c r="A22221" s="5" t="str">
        <f>"H0003456"</f>
        <v>H0003456</v>
      </c>
      <c r="B22221" s="5" t="str">
        <f t="shared" ref="B22221:B22242" si="1112">"ESTANTE METALICO 7 ENTREPAÑOS"</f>
        <v>ESTANTE METALICO 7 ENTREPAÑOS</v>
      </c>
      <c r="C22221" s="6">
        <v>29533.23</v>
      </c>
      <c r="D22221" s="5"/>
      <c r="E22221" s="5" t="str">
        <f t="shared" si="1111"/>
        <v>ACTISALUD-ESTADISTICA</v>
      </c>
      <c r="F22221" s="5" t="str">
        <f>"Descripcion: ESTANTERIA PARA HISTORIAS CLINICAS (ALTURA 2 METROS PANEL 90 CMS LARGO X 30 CMS ANCHO DISTANCIA ENTRE PANEL 30 CMS) Estado: Bueno Placa anterior: 000001658 Material: METALICO Color: GRIS Referencia:  Observacion:  Placa padre: Tipo adquisicio"&amp; "n: Entidad"</f>
        <v>Descripcion: ESTANTERIA PARA HISTORIAS CLINICAS (ALTURA 2 METROS PANEL 90 CMS LARGO X 30 CMS ANCHO DISTANCIA ENTRE PANEL 30 CMS) Estado: Bueno Placa anterior: 000001658 Material: METALICO Color: GRIS Referencia:  Observacion:  Placa padre: Tipo adquisicion: Entidad</v>
      </c>
      <c r="G22221" s="5"/>
    </row>
    <row r="22222" spans="1:7" ht="58.5" customHeight="1" x14ac:dyDescent="0.25">
      <c r="A22222" s="5" t="str">
        <f>"H0003457"</f>
        <v>H0003457</v>
      </c>
      <c r="B22222" s="5" t="str">
        <f t="shared" si="1112"/>
        <v>ESTANTE METALICO 7 ENTREPAÑOS</v>
      </c>
      <c r="C22222" s="6">
        <v>29533.23</v>
      </c>
      <c r="D22222" s="5"/>
      <c r="E22222" s="5" t="str">
        <f t="shared" si="1111"/>
        <v>ACTISALUD-ESTADISTICA</v>
      </c>
      <c r="F22222" s="5" t="str">
        <f>"Descripcion: ESTANTERIA PARA HISTORIAS CLINICAS (ALTURA 2 METROS PANEL 90 CMS LARGO X 30 CMS ANCHO DISTANCIA ENTRE PANEL 30 CMS) Estado: Bueno Placa anterior: 000001642 Material: METALICO Color: GRIS Referencia:  Observacion:  Placa padre: Tipo adquisicio"&amp; "n: Entidad"</f>
        <v>Descripcion: ESTANTERIA PARA HISTORIAS CLINICAS (ALTURA 2 METROS PANEL 90 CMS LARGO X 30 CMS ANCHO DISTANCIA ENTRE PANEL 30 CMS) Estado: Bueno Placa anterior: 000001642 Material: METALICO Color: GRIS Referencia:  Observacion:  Placa padre: Tipo adquisicion: Entidad</v>
      </c>
      <c r="G22222" s="5"/>
    </row>
    <row r="22223" spans="1:7" ht="58.5" customHeight="1" x14ac:dyDescent="0.25">
      <c r="A22223" s="5" t="str">
        <f>"H0003458"</f>
        <v>H0003458</v>
      </c>
      <c r="B22223" s="5" t="str">
        <f t="shared" si="1112"/>
        <v>ESTANTE METALICO 7 ENTREPAÑOS</v>
      </c>
      <c r="C22223" s="6">
        <v>29533.23</v>
      </c>
      <c r="D22223" s="5"/>
      <c r="E22223" s="5" t="str">
        <f t="shared" si="1111"/>
        <v>ACTISALUD-ESTADISTICA</v>
      </c>
      <c r="F22223" s="5" t="str">
        <f>"Descripcion: ESTANTERIA PARA HISTORIAS CLINICAS (ALTURA 2 METROS PANEL 90 CMS LARGO X 30 CMS ANCHO DISTANCIA ENTRE PANEL 30 CMS) Estado: Bueno Placa anterior: 000001643 Material: METALICO Color: GRIS Referencia:  Observacion:  Placa padre: Tipo adquisicio"&amp; "n: Entidad"</f>
        <v>Descripcion: ESTANTERIA PARA HISTORIAS CLINICAS (ALTURA 2 METROS PANEL 90 CMS LARGO X 30 CMS ANCHO DISTANCIA ENTRE PANEL 30 CMS) Estado: Bueno Placa anterior: 000001643 Material: METALICO Color: GRIS Referencia:  Observacion:  Placa padre: Tipo adquisicion: Entidad</v>
      </c>
      <c r="G22223" s="5"/>
    </row>
    <row r="22224" spans="1:7" ht="58.5" customHeight="1" x14ac:dyDescent="0.25">
      <c r="A22224" s="5" t="str">
        <f>"H0003460"</f>
        <v>H0003460</v>
      </c>
      <c r="B22224" s="5" t="str">
        <f t="shared" si="1112"/>
        <v>ESTANTE METALICO 7 ENTREPAÑOS</v>
      </c>
      <c r="C22224" s="6">
        <v>29533.23</v>
      </c>
      <c r="D22224" s="5"/>
      <c r="E22224" s="5" t="str">
        <f t="shared" si="1111"/>
        <v>ACTISALUD-ESTADISTICA</v>
      </c>
      <c r="F22224" s="5" t="str">
        <f>"Descripcion: ESTANTERIA PARA HISTORIAS CLINICAS (ALTURA 2 METROS PANEL 90 CMS LARGO X 30 CMS ANCHO DISTANCIA ENTRE PANEL 30 CMS) Estado: Bueno Placa anterior: 000001769 Material: METALICO Color: GRIS Referencia:  Observacion:  Placa padre: Tipo adquisicio"&amp; "n: Entidad"</f>
        <v>Descripcion: ESTANTERIA PARA HISTORIAS CLINICAS (ALTURA 2 METROS PANEL 90 CMS LARGO X 30 CMS ANCHO DISTANCIA ENTRE PANEL 30 CMS) Estado: Bueno Placa anterior: 000001769 Material: METALICO Color: GRIS Referencia:  Observacion:  Placa padre: Tipo adquisicion: Entidad</v>
      </c>
      <c r="G22224" s="5"/>
    </row>
    <row r="22225" spans="1:7" ht="58.5" customHeight="1" x14ac:dyDescent="0.25">
      <c r="A22225" s="5" t="str">
        <f>"H0003461"</f>
        <v>H0003461</v>
      </c>
      <c r="B22225" s="5" t="str">
        <f t="shared" si="1112"/>
        <v>ESTANTE METALICO 7 ENTREPAÑOS</v>
      </c>
      <c r="C22225" s="6">
        <v>29533.23</v>
      </c>
      <c r="D22225" s="5"/>
      <c r="E22225" s="5" t="str">
        <f t="shared" si="1111"/>
        <v>ACTISALUD-ESTADISTICA</v>
      </c>
      <c r="F22225" s="5" t="str">
        <f>"Descripcion: ESTANTERIA PARA HISTORIAS CLINICAS (ALTURA 2 METROS PANEL 90 CMS LARGO X 30 CMS ANCHO DISTANCIA ENTRE PANEL 30 CMS) Estado: Bueno Placa anterior: 000001802 Material: METALICO Color: GRIS Referencia:  Observacion:  Placa padre: Tipo adquisicio"&amp; "n: Entidad"</f>
        <v>Descripcion: ESTANTERIA PARA HISTORIAS CLINICAS (ALTURA 2 METROS PANEL 90 CMS LARGO X 30 CMS ANCHO DISTANCIA ENTRE PANEL 30 CMS) Estado: Bueno Placa anterior: 000001802 Material: METALICO Color: GRIS Referencia:  Observacion:  Placa padre: Tipo adquisicion: Entidad</v>
      </c>
      <c r="G22225" s="5"/>
    </row>
    <row r="22226" spans="1:7" ht="58.5" customHeight="1" x14ac:dyDescent="0.25">
      <c r="A22226" s="5" t="str">
        <f>"H0003462"</f>
        <v>H0003462</v>
      </c>
      <c r="B22226" s="5" t="str">
        <f t="shared" si="1112"/>
        <v>ESTANTE METALICO 7 ENTREPAÑOS</v>
      </c>
      <c r="C22226" s="6">
        <v>29533.23</v>
      </c>
      <c r="D22226" s="5"/>
      <c r="E22226" s="5" t="str">
        <f t="shared" si="1111"/>
        <v>ACTISALUD-ESTADISTICA</v>
      </c>
      <c r="F22226" s="5" t="str">
        <f>"Descripcion: ESTANTERIA PARA HISTORIAS CLINICAS (ALTURA 2 METROS PANEL 90 CMS LARGO X 30 CMS ANCHO DISTANCIA ENTRE PANEL 30 CMS) Estado: Bueno Placa anterior: 000001774 Material: METALICO Color: GRIS Referencia:  Observacion:  Placa padre: Tipo adquisicio"&amp; "n: Entidad"</f>
        <v>Descripcion: ESTANTERIA PARA HISTORIAS CLINICAS (ALTURA 2 METROS PANEL 90 CMS LARGO X 30 CMS ANCHO DISTANCIA ENTRE PANEL 30 CMS) Estado: Bueno Placa anterior: 000001774 Material: METALICO Color: GRIS Referencia:  Observacion:  Placa padre: Tipo adquisicion: Entidad</v>
      </c>
      <c r="G22226" s="5"/>
    </row>
    <row r="22227" spans="1:7" ht="58.5" customHeight="1" x14ac:dyDescent="0.25">
      <c r="A22227" s="5" t="str">
        <f>"H0003463"</f>
        <v>H0003463</v>
      </c>
      <c r="B22227" s="5" t="str">
        <f t="shared" si="1112"/>
        <v>ESTANTE METALICO 7 ENTREPAÑOS</v>
      </c>
      <c r="C22227" s="6">
        <v>29533.23</v>
      </c>
      <c r="D22227" s="5"/>
      <c r="E22227" s="5" t="str">
        <f t="shared" si="1111"/>
        <v>ACTISALUD-ESTADISTICA</v>
      </c>
      <c r="F22227" s="5" t="str">
        <f>"Descripcion: ESTANTERIA PARA HISTORIAS CLINICAS (ALTURA 2 METROS PANEL 90 CMS LARGO X 30 CMS ANCHO DISTANCIA ENTRE PANEL 30 CMS) Estado: Bueno Placa anterior: 000001996 Material: METALICO Color: GRIS Referencia:  Observacion:  Placa padre: Tipo adquisicio"&amp; "n: Entidad"</f>
        <v>Descripcion: ESTANTERIA PARA HISTORIAS CLINICAS (ALTURA 2 METROS PANEL 90 CMS LARGO X 30 CMS ANCHO DISTANCIA ENTRE PANEL 30 CMS) Estado: Bueno Placa anterior: 000001996 Material: METALICO Color: GRIS Referencia:  Observacion:  Placa padre: Tipo adquisicion: Entidad</v>
      </c>
      <c r="G22227" s="5"/>
    </row>
    <row r="22228" spans="1:7" ht="58.5" customHeight="1" x14ac:dyDescent="0.25">
      <c r="A22228" s="5" t="str">
        <f>"H0003464"</f>
        <v>H0003464</v>
      </c>
      <c r="B22228" s="5" t="str">
        <f t="shared" si="1112"/>
        <v>ESTANTE METALICO 7 ENTREPAÑOS</v>
      </c>
      <c r="C22228" s="6">
        <v>29533.23</v>
      </c>
      <c r="D22228" s="5"/>
      <c r="E22228" s="5" t="str">
        <f t="shared" si="1111"/>
        <v>ACTISALUD-ESTADISTICA</v>
      </c>
      <c r="F22228" s="5" t="str">
        <f>"Descripcion: ESTANTERIA PARA HISTORIAS CLINICAS (ALTURA 2 METROS PANEL 90 CMS LARGO X 30 CMS ANCHO DISTANCIA ENTRE PANEL 30 CMS) Estado: Bueno Placa anterior: 000001679 Material: METALICO Color: GRIS Referencia:  Observacion:  Placa padre: Tipo adquisicio"&amp; "n: Entidad"</f>
        <v>Descripcion: ESTANTERIA PARA HISTORIAS CLINICAS (ALTURA 2 METROS PANEL 90 CMS LARGO X 30 CMS ANCHO DISTANCIA ENTRE PANEL 30 CMS) Estado: Bueno Placa anterior: 000001679 Material: METALICO Color: GRIS Referencia:  Observacion:  Placa padre: Tipo adquisicion: Entidad</v>
      </c>
      <c r="G22228" s="5"/>
    </row>
    <row r="22229" spans="1:7" ht="58.5" customHeight="1" x14ac:dyDescent="0.25">
      <c r="A22229" s="5" t="str">
        <f>"H0003465"</f>
        <v>H0003465</v>
      </c>
      <c r="B22229" s="5" t="str">
        <f t="shared" si="1112"/>
        <v>ESTANTE METALICO 7 ENTREPAÑOS</v>
      </c>
      <c r="C22229" s="6">
        <v>29533.23</v>
      </c>
      <c r="D22229" s="5"/>
      <c r="E22229" s="5" t="str">
        <f t="shared" si="1111"/>
        <v>ACTISALUD-ESTADISTICA</v>
      </c>
      <c r="F22229" s="5" t="str">
        <f>"Descripcion: ESTANTERIA PARA HISTORIAS CLINICAS (ALTURA 2 METROS PANEL 90 CMS LARGO X 30 CMS ANCHO DISTANCIA ENTRE PANEL 30 CMS) Estado: Bueno Placa anterior: 000001771 Material: METALICO Color: GRIS Referencia:  Observacion:  Placa padre: Tipo adquisicio"&amp; "n: Entidad"</f>
        <v>Descripcion: ESTANTERIA PARA HISTORIAS CLINICAS (ALTURA 2 METROS PANEL 90 CMS LARGO X 30 CMS ANCHO DISTANCIA ENTRE PANEL 30 CMS) Estado: Bueno Placa anterior: 000001771 Material: METALICO Color: GRIS Referencia:  Observacion:  Placa padre: Tipo adquisicion: Entidad</v>
      </c>
      <c r="G22229" s="5"/>
    </row>
    <row r="22230" spans="1:7" ht="58.5" customHeight="1" x14ac:dyDescent="0.25">
      <c r="A22230" s="5" t="str">
        <f>"H0003466"</f>
        <v>H0003466</v>
      </c>
      <c r="B22230" s="5" t="str">
        <f t="shared" si="1112"/>
        <v>ESTANTE METALICO 7 ENTREPAÑOS</v>
      </c>
      <c r="C22230" s="6">
        <v>29533.23</v>
      </c>
      <c r="D22230" s="5"/>
      <c r="E22230" s="5" t="str">
        <f t="shared" si="1111"/>
        <v>ACTISALUD-ESTADISTICA</v>
      </c>
      <c r="F22230" s="5" t="str">
        <f>"Descripcion: ESTANTERIA PARA HISTORIAS CLINICAS (ALTURA 2 METROS PANEL 90 CMS LARGO X 30 CMS ANCHO DISTANCIA ENTRE PANEL 30 CMS) Estado: Bueno Placa anterior: 000001781 Material: METALICO Color: GRIS Referencia:  Observacion:  Placa padre: Tipo adquisicio"&amp; "n: Entidad"</f>
        <v>Descripcion: ESTANTERIA PARA HISTORIAS CLINICAS (ALTURA 2 METROS PANEL 90 CMS LARGO X 30 CMS ANCHO DISTANCIA ENTRE PANEL 30 CMS) Estado: Bueno Placa anterior: 000001781 Material: METALICO Color: GRIS Referencia:  Observacion:  Placa padre: Tipo adquisicion: Entidad</v>
      </c>
      <c r="G22230" s="5"/>
    </row>
    <row r="22231" spans="1:7" ht="58.5" customHeight="1" x14ac:dyDescent="0.25">
      <c r="A22231" s="5" t="str">
        <f>"H0003469"</f>
        <v>H0003469</v>
      </c>
      <c r="B22231" s="5" t="str">
        <f t="shared" si="1112"/>
        <v>ESTANTE METALICO 7 ENTREPAÑOS</v>
      </c>
      <c r="C22231" s="6">
        <v>29533.23</v>
      </c>
      <c r="D22231" s="5"/>
      <c r="E22231" s="5" t="str">
        <f t="shared" si="1111"/>
        <v>ACTISALUD-ESTADISTICA</v>
      </c>
      <c r="F22231" s="5" t="str">
        <f>"Descripcion: ESTANTERIA PARA HISTORIAS CLINICAS (ALTURA 2 METROS PANEL 90 CMS LARGO X 30 CMS ANCHO DISTANCIA ENTRE PANEL 30 CMS) Estado: Bueno Placa anterior: 000001773 Material: METALICO Color: GRIS Referencia:  Observacion:  Placa padre: Tipo adquisicio"&amp; "n: Entidad"</f>
        <v>Descripcion: ESTANTERIA PARA HISTORIAS CLINICAS (ALTURA 2 METROS PANEL 90 CMS LARGO X 30 CMS ANCHO DISTANCIA ENTRE PANEL 30 CMS) Estado: Bueno Placa anterior: 000001773 Material: METALICO Color: GRIS Referencia:  Observacion:  Placa padre: Tipo adquisicion: Entidad</v>
      </c>
      <c r="G22231" s="5"/>
    </row>
    <row r="22232" spans="1:7" ht="58.5" customHeight="1" x14ac:dyDescent="0.25">
      <c r="A22232" s="5" t="str">
        <f>"H0003473"</f>
        <v>H0003473</v>
      </c>
      <c r="B22232" s="5" t="str">
        <f t="shared" si="1112"/>
        <v>ESTANTE METALICO 7 ENTREPAÑOS</v>
      </c>
      <c r="C22232" s="6">
        <v>29533.23</v>
      </c>
      <c r="D22232" s="5"/>
      <c r="E22232" s="5" t="str">
        <f t="shared" si="1111"/>
        <v>ACTISALUD-ESTADISTICA</v>
      </c>
      <c r="F22232" s="5" t="str">
        <f>"Descripcion: ESTANTERIA PARA HISTORIAS CLINICAS (ALTURA 2 METROS PANEL 90 CMS LARGO X 30 CMS ANCHO DISTANCIA ENTRE PANEL 30 CMS) Estado: Bueno Placa anterior: 000001770 Material: METALICO Color: GRIS Referencia:  Observacion:  Placa padre: Tipo adquisicio"&amp; "n: Entidad"</f>
        <v>Descripcion: ESTANTERIA PARA HISTORIAS CLINICAS (ALTURA 2 METROS PANEL 90 CMS LARGO X 30 CMS ANCHO DISTANCIA ENTRE PANEL 30 CMS) Estado: Bueno Placa anterior: 000001770 Material: METALICO Color: GRIS Referencia:  Observacion:  Placa padre: Tipo adquisicion: Entidad</v>
      </c>
      <c r="G22232" s="5"/>
    </row>
    <row r="22233" spans="1:7" ht="58.5" customHeight="1" x14ac:dyDescent="0.25">
      <c r="A22233" s="5" t="str">
        <f>"H0003474"</f>
        <v>H0003474</v>
      </c>
      <c r="B22233" s="5" t="str">
        <f t="shared" si="1112"/>
        <v>ESTANTE METALICO 7 ENTREPAÑOS</v>
      </c>
      <c r="C22233" s="6">
        <v>29533.23</v>
      </c>
      <c r="D22233" s="5"/>
      <c r="E22233" s="5" t="str">
        <f t="shared" si="1111"/>
        <v>ACTISALUD-ESTADISTICA</v>
      </c>
      <c r="F22233" s="5" t="str">
        <f>"Descripcion: ESTANTERIA PARA HISTORIAS CLINICAS (ALTURA 2 METROS PANEL 90 CMS LARGO X 30 CMS ANCHO DISTANCIA ENTRE PANEL 30 CMS) Estado: Bueno Placa anterior: 000001998 Material: METALICO Color: GRIS Referencia:  Observacion:  Placa padre: Tipo adquisicio"&amp; "n: Entidad"</f>
        <v>Descripcion: ESTANTERIA PARA HISTORIAS CLINICAS (ALTURA 2 METROS PANEL 90 CMS LARGO X 30 CMS ANCHO DISTANCIA ENTRE PANEL 30 CMS) Estado: Bueno Placa anterior: 000001998 Material: METALICO Color: GRIS Referencia:  Observacion:  Placa padre: Tipo adquisicion: Entidad</v>
      </c>
      <c r="G22233" s="5"/>
    </row>
    <row r="22234" spans="1:7" ht="58.5" customHeight="1" x14ac:dyDescent="0.25">
      <c r="A22234" s="5" t="str">
        <f>"H0003475"</f>
        <v>H0003475</v>
      </c>
      <c r="B22234" s="5" t="str">
        <f t="shared" si="1112"/>
        <v>ESTANTE METALICO 7 ENTREPAÑOS</v>
      </c>
      <c r="C22234" s="6">
        <v>29533.23</v>
      </c>
      <c r="D22234" s="5"/>
      <c r="E22234" s="5" t="str">
        <f t="shared" si="1111"/>
        <v>ACTISALUD-ESTADISTICA</v>
      </c>
      <c r="F22234" s="5" t="str">
        <f>"Descripcion: ESTANTERIA PARA HISTORIAS CLINICAS (ALTURA 2 METROS PANEL 90 CMS LARGO X 30 CMS ANCHO DISTANCIA ENTRE PANEL 30 CMS) Estado: Bueno Placa anterior: 000001775 Material: METALICO Color: GRIS Referencia:  Observacion:  Placa padre: Tipo adquisicio"&amp; "n: Entidad"</f>
        <v>Descripcion: ESTANTERIA PARA HISTORIAS CLINICAS (ALTURA 2 METROS PANEL 90 CMS LARGO X 30 CMS ANCHO DISTANCIA ENTRE PANEL 30 CMS) Estado: Bueno Placa anterior: 000001775 Material: METALICO Color: GRIS Referencia:  Observacion:  Placa padre: Tipo adquisicion: Entidad</v>
      </c>
      <c r="G22234" s="5"/>
    </row>
    <row r="22235" spans="1:7" ht="58.5" customHeight="1" x14ac:dyDescent="0.25">
      <c r="A22235" s="5" t="str">
        <f>"H0003477"</f>
        <v>H0003477</v>
      </c>
      <c r="B22235" s="5" t="str">
        <f t="shared" si="1112"/>
        <v>ESTANTE METALICO 7 ENTREPAÑOS</v>
      </c>
      <c r="C22235" s="6">
        <v>29533.23</v>
      </c>
      <c r="D22235" s="5"/>
      <c r="E22235" s="5" t="str">
        <f t="shared" si="1111"/>
        <v>ACTISALUD-ESTADISTICA</v>
      </c>
      <c r="F22235" s="5" t="str">
        <f>"Descripcion: ESTANTERIA PARA HISTORIAS CLINICAS (ALTURA 2 METROS PANEL 90 CMS LARGO X 30 CMS ANCHO DISTANCIA ENTRE PANEL 30 CMS) Estado: Bueno Placa anterior: 000001644 Material: METALICO Color: GRIS Referencia:  Observacion:  Placa padre: Tipo adquisicio"&amp; "n: Entidad"</f>
        <v>Descripcion: ESTANTERIA PARA HISTORIAS CLINICAS (ALTURA 2 METROS PANEL 90 CMS LARGO X 30 CMS ANCHO DISTANCIA ENTRE PANEL 30 CMS) Estado: Bueno Placa anterior: 000001644 Material: METALICO Color: GRIS Referencia:  Observacion:  Placa padre: Tipo adquisicion: Entidad</v>
      </c>
      <c r="G22235" s="5"/>
    </row>
    <row r="22236" spans="1:7" ht="58.5" customHeight="1" x14ac:dyDescent="0.25">
      <c r="A22236" s="5" t="str">
        <f>"H0003478"</f>
        <v>H0003478</v>
      </c>
      <c r="B22236" s="5" t="str">
        <f t="shared" si="1112"/>
        <v>ESTANTE METALICO 7 ENTREPAÑOS</v>
      </c>
      <c r="C22236" s="6">
        <v>29533.23</v>
      </c>
      <c r="D22236" s="5"/>
      <c r="E22236" s="5" t="str">
        <f t="shared" si="1111"/>
        <v>ACTISALUD-ESTADISTICA</v>
      </c>
      <c r="F22236" s="5" t="str">
        <f>"Descripcion: ESTANTERIA PARA HISTORIAS CLINICAS (ALTURA 2 METROS PANEL 90 CMS LARGO X 30 CMS ANCHO DISTANCIA ENTRE PANEL 30 CMS) Estado: Bueno Placa anterior: 000001647 Material: METALICO Color: GRIS Referencia:  Observacion:  Placa padre: Tipo adquisicio"&amp; "n: Entidad"</f>
        <v>Descripcion: ESTANTERIA PARA HISTORIAS CLINICAS (ALTURA 2 METROS PANEL 90 CMS LARGO X 30 CMS ANCHO DISTANCIA ENTRE PANEL 30 CMS) Estado: Bueno Placa anterior: 000001647 Material: METALICO Color: GRIS Referencia:  Observacion:  Placa padre: Tipo adquisicion: Entidad</v>
      </c>
      <c r="G22236" s="5"/>
    </row>
    <row r="22237" spans="1:7" ht="58.5" customHeight="1" x14ac:dyDescent="0.25">
      <c r="A22237" s="5" t="str">
        <f>"H0003481"</f>
        <v>H0003481</v>
      </c>
      <c r="B22237" s="5" t="str">
        <f t="shared" si="1112"/>
        <v>ESTANTE METALICO 7 ENTREPAÑOS</v>
      </c>
      <c r="C22237" s="6">
        <v>29533.23</v>
      </c>
      <c r="D22237" s="5"/>
      <c r="E22237" s="5" t="str">
        <f t="shared" si="1111"/>
        <v>ACTISALUD-ESTADISTICA</v>
      </c>
      <c r="F22237" s="5" t="str">
        <f>"Descripcion: ESTANTERIA PARA HISTORIAS CLINICAS (ALTURA 2 METROS PANEL 90 CMS LARGO X 30 CMS ANCHO DISTANCIA ENTRE PANEL 30 CMS) Estado: Bueno Placa anterior: 000001657 Material: METALICO Color: GRIS Referencia:  Observacion:  Placa padre: Tipo adquisicio"&amp; "n: Entidad"</f>
        <v>Descripcion: ESTANTERIA PARA HISTORIAS CLINICAS (ALTURA 2 METROS PANEL 90 CMS LARGO X 30 CMS ANCHO DISTANCIA ENTRE PANEL 30 CMS) Estado: Bueno Placa anterior: 000001657 Material: METALICO Color: GRIS Referencia:  Observacion:  Placa padre: Tipo adquisicion: Entidad</v>
      </c>
      <c r="G22237" s="5"/>
    </row>
    <row r="22238" spans="1:7" ht="58.5" customHeight="1" x14ac:dyDescent="0.25">
      <c r="A22238" s="5" t="str">
        <f>"H0003482"</f>
        <v>H0003482</v>
      </c>
      <c r="B22238" s="5" t="str">
        <f t="shared" si="1112"/>
        <v>ESTANTE METALICO 7 ENTREPAÑOS</v>
      </c>
      <c r="C22238" s="6">
        <v>29533.23</v>
      </c>
      <c r="D22238" s="5"/>
      <c r="E22238" s="5" t="str">
        <f t="shared" si="1111"/>
        <v>ACTISALUD-ESTADISTICA</v>
      </c>
      <c r="F22238" s="5" t="str">
        <f>"Descripcion: ESTANTERIA PARA HISTORIAS CLINICAS (ALTURA 2 METROS PANEL 90 CMS LARGO X 30 CMS ANCHO DISTANCIA ENTRE PANEL 30 CMS) Estado: Bueno Placa anterior: 000001638 Material: METALICO Color: GRIS Referencia:  Observacion:  Placa padre: Tipo adquisicio"&amp; "n: Entidad"</f>
        <v>Descripcion: ESTANTERIA PARA HISTORIAS CLINICAS (ALTURA 2 METROS PANEL 90 CMS LARGO X 30 CMS ANCHO DISTANCIA ENTRE PANEL 30 CMS) Estado: Bueno Placa anterior: 000001638 Material: METALICO Color: GRIS Referencia:  Observacion:  Placa padre: Tipo adquisicion: Entidad</v>
      </c>
      <c r="G22238" s="5"/>
    </row>
    <row r="22239" spans="1:7" ht="58.5" customHeight="1" x14ac:dyDescent="0.25">
      <c r="A22239" s="5" t="str">
        <f>"H0003485"</f>
        <v>H0003485</v>
      </c>
      <c r="B22239" s="5" t="str">
        <f t="shared" si="1112"/>
        <v>ESTANTE METALICO 7 ENTREPAÑOS</v>
      </c>
      <c r="C22239" s="6">
        <v>29533.23</v>
      </c>
      <c r="D22239" s="5"/>
      <c r="E22239" s="5" t="str">
        <f t="shared" si="1111"/>
        <v>ACTISALUD-ESTADISTICA</v>
      </c>
      <c r="F22239" s="5" t="str">
        <f>"Descripcion: ESTANTERIA PARA HISTORIAS CLINICAS (ALTURA 2 METROS PANEL 90 CMS LARGO X 30 CMS ANCHO DISTANCIA ENTRE PANEL 30 CMS) Estado: Bueno Placa anterior: 000001637 Material: METALICO Color: GRIS Referencia:  Observacion:  Placa padre: Tipo adquisicio"&amp; "n: Entidad"</f>
        <v>Descripcion: ESTANTERIA PARA HISTORIAS CLINICAS (ALTURA 2 METROS PANEL 90 CMS LARGO X 30 CMS ANCHO DISTANCIA ENTRE PANEL 30 CMS) Estado: Bueno Placa anterior: 000001637 Material: METALICO Color: GRIS Referencia:  Observacion:  Placa padre: Tipo adquisicion: Entidad</v>
      </c>
      <c r="G22239" s="5"/>
    </row>
    <row r="22240" spans="1:7" ht="58.5" customHeight="1" x14ac:dyDescent="0.25">
      <c r="A22240" s="5" t="str">
        <f>"H0003486"</f>
        <v>H0003486</v>
      </c>
      <c r="B22240" s="5" t="str">
        <f t="shared" si="1112"/>
        <v>ESTANTE METALICO 7 ENTREPAÑOS</v>
      </c>
      <c r="C22240" s="6">
        <v>29533.23</v>
      </c>
      <c r="D22240" s="5"/>
      <c r="E22240" s="5" t="str">
        <f t="shared" si="1111"/>
        <v>ACTISALUD-ESTADISTICA</v>
      </c>
      <c r="F22240" s="5" t="str">
        <f>"Descripcion: ESTANTERIA PARA HISTORIAS CLINICAS (ALTURA 2 METROS PANEL 90 CMS LARGO X 30 CMS ANCHO DISTANCIA ENTRE PANEL 30 CMS) Estado: Bueno Placa anterior: 000001635 Material: METALICO Color: GRIS Referencia:  Observacion:  Placa padre: Tipo adquisicio"&amp; "n: Entidad"</f>
        <v>Descripcion: ESTANTERIA PARA HISTORIAS CLINICAS (ALTURA 2 METROS PANEL 90 CMS LARGO X 30 CMS ANCHO DISTANCIA ENTRE PANEL 30 CMS) Estado: Bueno Placa anterior: 000001635 Material: METALICO Color: GRIS Referencia:  Observacion:  Placa padre: Tipo adquisicion: Entidad</v>
      </c>
      <c r="G22240" s="5"/>
    </row>
    <row r="22241" spans="1:7" ht="58.5" customHeight="1" x14ac:dyDescent="0.25">
      <c r="A22241" s="5" t="str">
        <f>"H0003487"</f>
        <v>H0003487</v>
      </c>
      <c r="B22241" s="5" t="str">
        <f t="shared" si="1112"/>
        <v>ESTANTE METALICO 7 ENTREPAÑOS</v>
      </c>
      <c r="C22241" s="6">
        <v>29533.23</v>
      </c>
      <c r="D22241" s="5"/>
      <c r="E22241" s="5" t="str">
        <f t="shared" si="1111"/>
        <v>ACTISALUD-ESTADISTICA</v>
      </c>
      <c r="F22241" s="5" t="str">
        <f>"Descripcion: ESTANTERIA PARA HISTORIAS CLINICAS (ALTURA 2 METROS PANEL 90 CMS LARGO X 30 CMS ANCHO DISTANCIA ENTRE PANEL 30 CMS) Estado: Bueno Placa anterior: 000001648 Material: METALICO Color: GRIS Referencia:  Observacion:  Placa padre: Tipo adquisicio"&amp; "n: Entidad"</f>
        <v>Descripcion: ESTANTERIA PARA HISTORIAS CLINICAS (ALTURA 2 METROS PANEL 90 CMS LARGO X 30 CMS ANCHO DISTANCIA ENTRE PANEL 30 CMS) Estado: Bueno Placa anterior: 000001648 Material: METALICO Color: GRIS Referencia:  Observacion:  Placa padre: Tipo adquisicion: Entidad</v>
      </c>
      <c r="G22241" s="5"/>
    </row>
    <row r="22242" spans="1:7" ht="58.5" customHeight="1" x14ac:dyDescent="0.25">
      <c r="A22242" s="5" t="str">
        <f>"H0003488"</f>
        <v>H0003488</v>
      </c>
      <c r="B22242" s="5" t="str">
        <f t="shared" si="1112"/>
        <v>ESTANTE METALICO 7 ENTREPAÑOS</v>
      </c>
      <c r="C22242" s="6">
        <v>29533.23</v>
      </c>
      <c r="D22242" s="5"/>
      <c r="E22242" s="5" t="str">
        <f t="shared" si="1111"/>
        <v>ACTISALUD-ESTADISTICA</v>
      </c>
      <c r="F22242" s="5" t="str">
        <f>"Descripcion: ESTANTERIA PARA HISTORIAS CLINICAS (ALTURA 2 METROS PANEL 90 CMS LARGO X 30 CMS ANCHO DISTANCIA ENTRE PANEL 30 CMS) Estado: Bueno Placa anterior: 000001721 Material: METALICO Color: GRIS Referencia:  Observacion:  Placa padre: Tipo adquisicio"&amp; "n: Entidad"</f>
        <v>Descripcion: ESTANTERIA PARA HISTORIAS CLINICAS (ALTURA 2 METROS PANEL 90 CMS LARGO X 30 CMS ANCHO DISTANCIA ENTRE PANEL 30 CMS) Estado: Bueno Placa anterior: 000001721 Material: METALICO Color: GRIS Referencia:  Observacion:  Placa padre: Tipo adquisicion: Entidad</v>
      </c>
      <c r="G22242" s="5"/>
    </row>
    <row r="22243" spans="1:7" ht="58.5" customHeight="1" x14ac:dyDescent="0.25">
      <c r="A22243" s="5" t="str">
        <f>"H0003490"</f>
        <v>H0003490</v>
      </c>
      <c r="B22243" s="5" t="str">
        <f>"ESTANTE METALICO 6 ENTREPAÑOS"</f>
        <v>ESTANTE METALICO 6 ENTREPAÑOS</v>
      </c>
      <c r="C22243" s="6">
        <v>6916.85</v>
      </c>
      <c r="D22243" s="5"/>
      <c r="E22243" s="5" t="str">
        <f t="shared" si="1111"/>
        <v>ACTISALUD-ESTADISTICA</v>
      </c>
      <c r="F22243" s="5" t="str">
        <f>"Descripcion: ESTANTE METALICO Estado: Bueno Placa anterior: 000024412 Material: METALICO Color: GRIS Referencia:  Observacion:  Placa padre: Tipo adquisicion: Entidad"</f>
        <v>Descripcion: ESTANTE METALICO Estado: Bueno Placa anterior: 000024412 Material: METALICO Color: GRIS Referencia:  Observacion:  Placa padre: Tipo adquisicion: Entidad</v>
      </c>
      <c r="G22243" s="5"/>
    </row>
    <row r="22244" spans="1:7" ht="58.5" customHeight="1" x14ac:dyDescent="0.25">
      <c r="A22244" s="5" t="str">
        <f>"H0003497"</f>
        <v>H0003497</v>
      </c>
      <c r="B22244" s="5" t="str">
        <f>"ESCALERILLA DE 2 PASOS"</f>
        <v>ESCALERILLA DE 2 PASOS</v>
      </c>
      <c r="C22244" s="6">
        <v>4455</v>
      </c>
      <c r="D22244" s="5"/>
      <c r="E22244" s="5" t="str">
        <f t="shared" si="1111"/>
        <v>ACTISALUD-ESTADISTICA</v>
      </c>
      <c r="F22244" s="5" t="str">
        <f>"Descripcion: ESCALERA DE DOS PASOS EN MADERAOXIDO Estado: Regular Placa anterior: 000005461 Material: MADERA Color:  Referencia:  Observacion: AUTORIZADO CONCILIAR EN CRUCE GENERAL Placa padre: Tipo adquisicion: Entidad"</f>
        <v>Descripcion: ESCALERA DE DOS PASOS EN MADERAOXIDO Estado: Regular Placa anterior: 000005461 Material: MADERA Color:  Referencia:  Observacion: AUTORIZADO CONCILIAR EN CRUCE GENERAL Placa padre: Tipo adquisicion: Entidad</v>
      </c>
      <c r="G22244" s="5"/>
    </row>
    <row r="22245" spans="1:7" ht="58.5" customHeight="1" x14ac:dyDescent="0.25">
      <c r="A22245" s="5" t="str">
        <f>"H0003498"</f>
        <v>H0003498</v>
      </c>
      <c r="B22245" s="5" t="str">
        <f>"ESCALERILLA DE 2 PASOS"</f>
        <v>ESCALERILLA DE 2 PASOS</v>
      </c>
      <c r="C22245" s="6">
        <v>8086.23</v>
      </c>
      <c r="D22245" s="5"/>
      <c r="E22245" s="5" t="str">
        <f t="shared" si="1111"/>
        <v>ACTISALUD-ESTADISTICA</v>
      </c>
      <c r="F22245" s="5" t="str">
        <f>"Descripcion: ESCALERA DE DOS PASOS EN MADERA1 PASO SE ENCUENTRA DAÑADO Estado: Regular Placa anterior: 000001574 Material: MADERA Color:  Referencia:  Observacion:  Placa padre: Tipo adquisicion: Entidad"</f>
        <v>Descripcion: ESCALERA DE DOS PASOS EN MADERA1 PASO SE ENCUENTRA DAÑADO Estado: Regular Placa anterior: 000001574 Material: MADERA Color:  Referencia:  Observacion:  Placa padre: Tipo adquisicion: Entidad</v>
      </c>
      <c r="G22245" s="5"/>
    </row>
    <row r="22246" spans="1:7" ht="58.5" customHeight="1" x14ac:dyDescent="0.25">
      <c r="A22246" s="5" t="str">
        <f>"H0003499"</f>
        <v>H0003499</v>
      </c>
      <c r="B22246" s="5" t="str">
        <f>"ESCALERILLA DE 2 PASOS"</f>
        <v>ESCALERILLA DE 2 PASOS</v>
      </c>
      <c r="C22246" s="6">
        <v>4455</v>
      </c>
      <c r="D22246" s="5"/>
      <c r="E22246" s="5" t="str">
        <f t="shared" si="1111"/>
        <v>ACTISALUD-ESTADISTICA</v>
      </c>
      <c r="F22246" s="5" t="str">
        <f>"Descripcion: ESCALERA DE DOS PASOS EN MADERA Estado: Regular Placa anterior: 000005433 Material: MADERA Color:  Referencia:  Observacion: AUTORIZADO CONCILIAR EN CRUCE GENERAL Placa padre: Tipo adquisicion: Entidad"</f>
        <v>Descripcion: ESCALERA DE DOS PASOS EN MADERA Estado: Regular Placa anterior: 000005433 Material: MADERA Color:  Referencia:  Observacion: AUTORIZADO CONCILIAR EN CRUCE GENERAL Placa padre: Tipo adquisicion: Entidad</v>
      </c>
      <c r="G22246" s="5"/>
    </row>
    <row r="22247" spans="1:7" ht="58.5" customHeight="1" x14ac:dyDescent="0.25">
      <c r="A22247" s="5" t="str">
        <f>"H0003500"</f>
        <v>H0003500</v>
      </c>
      <c r="B22247" s="5" t="str">
        <f>"ESCALERILLA DE 2 PASOS"</f>
        <v>ESCALERILLA DE 2 PASOS</v>
      </c>
      <c r="C22247" s="6">
        <v>4455</v>
      </c>
      <c r="D22247" s="5"/>
      <c r="E22247" s="5" t="str">
        <f t="shared" si="1111"/>
        <v>ACTISALUD-ESTADISTICA</v>
      </c>
      <c r="F22247" s="5" t="str">
        <f>"Descripcion: ESCALA TIPO B (2 PASOS)PASOS EN MADERAOXIDO Estado: Regular Placa anterior: 000004327 Material: MADERA Color:  Referencia:  Observacion:  Placa padre: Tipo adquisicion: Entidad"</f>
        <v>Descripcion: ESCALA TIPO B (2 PASOS)PASOS EN MADERAOXIDO Estado: Regular Placa anterior: 000004327 Material: MADERA Color:  Referencia:  Observacion:  Placa padre: Tipo adquisicion: Entidad</v>
      </c>
      <c r="G22247" s="5"/>
    </row>
    <row r="22248" spans="1:7" ht="58.5" customHeight="1" x14ac:dyDescent="0.25">
      <c r="A22248" s="5" t="str">
        <f>"H0003508"</f>
        <v>H0003508</v>
      </c>
      <c r="B22248" s="5" t="str">
        <f>"ESTABILIZADOR (REGULADOR) DE ENERGIA 1KW"</f>
        <v>ESTABILIZADOR (REGULADOR) DE ENERGIA 1KW</v>
      </c>
      <c r="C22248" s="6">
        <v>68400</v>
      </c>
      <c r="D22248" s="5"/>
      <c r="E22248" s="5" t="str">
        <f t="shared" si="1111"/>
        <v>ACTISALUD-ESTADISTICA</v>
      </c>
      <c r="F22248" s="5" t="str">
        <f>"Descripcion: 4 PUERTOS Estado: Bueno Placa anterior: 000021119 Material: METALICO Color: NEGRO Referencia:  Observacion:  Placa padre: Tipo adquisicion: Entidad"</f>
        <v>Descripcion: 4 PUERTOS Estado: Bueno Placa anterior: 000021119 Material: METALICO Color: NEGRO Referencia:  Observacion:  Placa padre: Tipo adquisicion: Entidad</v>
      </c>
      <c r="G22248" s="5"/>
    </row>
    <row r="22249" spans="1:7" ht="58.5" customHeight="1" x14ac:dyDescent="0.25">
      <c r="A22249" s="5" t="str">
        <f>"H0003510"</f>
        <v>H0003510</v>
      </c>
      <c r="B22249" s="5" t="str">
        <f>"MESA (SUPERFICIE) MODULAR"</f>
        <v>MESA (SUPERFICIE) MODULAR</v>
      </c>
      <c r="C22249" s="6">
        <v>110432</v>
      </c>
      <c r="D22249" s="5"/>
      <c r="E22249" s="5" t="str">
        <f t="shared" si="1111"/>
        <v>ACTISALUD-ESTADISTICA</v>
      </c>
      <c r="F22249" s="5" t="str">
        <f>"Descripcion: MESA PARA IMPRESORASUPERFICIE EN FORMICA Estado: Bueno Placa anterior: 000001760 Material: MADERA Color: BEIGE Referencia:  Observacion:  Placa padre: Tipo adquisicion: Entidad"</f>
        <v>Descripcion: MESA PARA IMPRESORASUPERFICIE EN FORMICA Estado: Bueno Placa anterior: 000001760 Material: MADERA Color: BEIGE Referencia:  Observacion:  Placa padre: Tipo adquisicion: Entidad</v>
      </c>
      <c r="G22249" s="5"/>
    </row>
    <row r="22250" spans="1:7" ht="58.5" customHeight="1" x14ac:dyDescent="0.25">
      <c r="A22250" s="5" t="str">
        <f>"H0003519"</f>
        <v>H0003519</v>
      </c>
      <c r="B22250" s="5" t="str">
        <f>"COMPUTADOR TODO EN UNO"</f>
        <v>COMPUTADOR TODO EN UNO</v>
      </c>
      <c r="C22250" s="6">
        <v>2470000</v>
      </c>
      <c r="D22250" s="5" t="s">
        <v>6</v>
      </c>
      <c r="E22250" s="5" t="str">
        <f t="shared" si="1111"/>
        <v>ACTISALUD-ESTADISTICA</v>
      </c>
      <c r="F22250" s="5" t="str">
        <f>"Descripcion: EQUIPO DE COMPUTO TODO EN UNO CON PROCESADOR INTEL i5 Estado: Bueno Placa anterior: 000037008 Material: PASTA Color: NEGRO Referencia: 10BD00FDLS Observacion:  Placa anterior:, Placa nueva=H0003521, Descripcion:OPTICO, Serial:44MG175, Marca:L"&amp; "ENOVO, Modelo:, Material:PASTA, Color:NEGRO,   Referencia:SM50F76959, Placa anterior:, Placa nueva=H0003520, Descripcion:., Serial:1S54Y94248258425E, Marca:LENOVO, Modelo:KU-025, Material:PASTA, Color:NEGRO,   Referencia:54Y9424 Placa padre: Tipo adquisic"&amp; "ion: Entidad"</f>
        <v>Descripcion: EQUIPO DE COMPUTO TODO EN UNO CON PROCESADOR INTEL i5 Estado: Bueno Placa anterior: 000037008 Material: PASTA Color: NEGRO Referencia: 10BD00FDLS Observacion:  Placa anterior:, Placa nueva=H0003521, Descripcion:OPTICO, Serial:44MG175, Marca:LENOVO, Modelo:, Material:PASTA, Color:NEGRO,   Referencia:SM50F76959, Placa anterior:, Placa nueva=H0003520, Descripcion:., Serial:1S54Y94248258425E, Marca:LENOVO, Modelo:KU-025, Material:PASTA, Color:NEGRO,   Referencia:54Y9424 Placa padre: Tipo adquisicion: Entidad</v>
      </c>
      <c r="G22250" s="5" t="str">
        <f>"00FDLS"</f>
        <v>00FDLS</v>
      </c>
    </row>
    <row r="22251" spans="1:7" ht="58.5" customHeight="1" x14ac:dyDescent="0.25">
      <c r="A22251" s="5" t="str">
        <f>"H0003527"</f>
        <v>H0003527</v>
      </c>
      <c r="B22251" s="5" t="str">
        <f>"VITRINA DE 2 CUERPOS"</f>
        <v>VITRINA DE 2 CUERPOS</v>
      </c>
      <c r="C22251" s="6">
        <v>182400</v>
      </c>
      <c r="D22251" s="5"/>
      <c r="E22251" s="5" t="str">
        <f t="shared" si="1111"/>
        <v>ACTISALUD-ESTADISTICA</v>
      </c>
      <c r="F22251" s="5" t="str">
        <f>"Descripcion: VITRINA METALICA58X120X43 Estado: Bueno Placa anterior: 000000849 Material: METALICO Color: GRIS Referencia:  Observacion:  Placa padre: Tipo adquisicion: Entidad"</f>
        <v>Descripcion: VITRINA METALICA58X120X43 Estado: Bueno Placa anterior: 000000849 Material: METALICO Color: GRIS Referencia:  Observacion:  Placa padre: Tipo adquisicion: Entidad</v>
      </c>
      <c r="G22251" s="5"/>
    </row>
    <row r="22252" spans="1:7" ht="58.5" customHeight="1" x14ac:dyDescent="0.25">
      <c r="A22252" s="5" t="str">
        <f>"H0003587"</f>
        <v>H0003587</v>
      </c>
      <c r="B22252" s="5" t="str">
        <f>"CAMILLA DE TRASLADO CON BARANDAS"</f>
        <v>CAMILLA DE TRASLADO CON BARANDAS</v>
      </c>
      <c r="C22252" s="6">
        <v>1780000</v>
      </c>
      <c r="D22252" s="5"/>
      <c r="E22252" s="5" t="str">
        <f t="shared" si="1111"/>
        <v>ACTISALUD-ESTADISTICA</v>
      </c>
      <c r="F22252" s="5" t="str">
        <f>"Descripcion: SE ENCUENTRA CON UN  RODACHIN PARTIDO Estado: Obsoleto Placa anterior:  Material: METALICO Color: BEIGE Referencia:  Observacion:  Placa padre: Tipo adquisicion: Entidad"</f>
        <v>Descripcion: SE ENCUENTRA CON UN  RODACHIN PARTIDO Estado: Obsoleto Placa anterior:  Material: METALICO Color: BEIGE Referencia:  Observacion:  Placa padre: Tipo adquisicion: Entidad</v>
      </c>
      <c r="G22252" s="5"/>
    </row>
    <row r="22253" spans="1:7" ht="58.5" customHeight="1" x14ac:dyDescent="0.25">
      <c r="A22253" s="5" t="str">
        <f>"H0003590"</f>
        <v>H0003590</v>
      </c>
      <c r="B22253" s="5" t="str">
        <f>"CAMILLA DE TRASLADO CON BARANDAS"</f>
        <v>CAMILLA DE TRASLADO CON BARANDAS</v>
      </c>
      <c r="C22253" s="6">
        <v>1780000</v>
      </c>
      <c r="D22253" s="5"/>
      <c r="E22253" s="5" t="str">
        <f t="shared" si="1111"/>
        <v>ACTISALUD-ESTADISTICA</v>
      </c>
      <c r="F22253" s="5" t="str">
        <f>"Descripcion: . Estado: Obsoleto Placa anterior:  Material: METALICO Color: BEIGE Referencia:  Observacion:  Placa padre: Tipo adquisicion: Entidad"</f>
        <v>Descripcion: . Estado: Obsoleto Placa anterior:  Material: METALICO Color: BEIGE Referencia:  Observacion:  Placa padre: Tipo adquisicion: Entidad</v>
      </c>
      <c r="G22253" s="5"/>
    </row>
    <row r="22254" spans="1:7" ht="58.5" customHeight="1" x14ac:dyDescent="0.25">
      <c r="A22254" s="5" t="str">
        <f>"H0003597"</f>
        <v>H0003597</v>
      </c>
      <c r="B22254" s="5" t="str">
        <f>"CAMILLA DE TRASLADO CON BARANDAS"</f>
        <v>CAMILLA DE TRASLADO CON BARANDAS</v>
      </c>
      <c r="C22254" s="6">
        <v>1780000</v>
      </c>
      <c r="D22254" s="5"/>
      <c r="E22254" s="5" t="str">
        <f t="shared" si="1111"/>
        <v>ACTISALUD-ESTADISTICA</v>
      </c>
      <c r="F22254" s="5" t="str">
        <f>"Descripcion: OXIDO180X60X80 Estado: Obsoleto Placa anterior:  Material: METALICO Color: BEIGE Referencia:  Observacion:  Placa padre: Tipo adquisicion: Entidad"</f>
        <v>Descripcion: OXIDO180X60X80 Estado: Obsoleto Placa anterior:  Material: METALICO Color: BEIGE Referencia:  Observacion:  Placa padre: Tipo adquisicion: Entidad</v>
      </c>
      <c r="G22254" s="5"/>
    </row>
    <row r="22255" spans="1:7" ht="58.5" customHeight="1" x14ac:dyDescent="0.25">
      <c r="A22255" s="5" t="str">
        <f>"H0003611"</f>
        <v>H0003611</v>
      </c>
      <c r="B22255" s="5" t="str">
        <f>"COMPUTADOR TODO EN UNO"</f>
        <v>COMPUTADOR TODO EN UNO</v>
      </c>
      <c r="C22255" s="6">
        <v>2470000</v>
      </c>
      <c r="D22255" s="5" t="s">
        <v>6</v>
      </c>
      <c r="E22255" s="5" t="str">
        <f t="shared" si="1111"/>
        <v>ACTISALUD-ESTADISTICA</v>
      </c>
      <c r="F22255" s="5" t="str">
        <f>"Descripcion: EQUIPO DE COMPUTO TODO EN UNO CON PROCESADOR INTEL i5 Estado: Bueno Placa anterior: 000037010 Material: PASTA Color: NEGRO Referencia: 00FDLS Observacion:  Placa anterior:, Placa nueva=H0003612, Descripcion:., Serial:1S54Y94248258888E, Marca:"&amp; "LENOVO, Modelo:KU-0225, Material:PASTA, Color:NEGRO,   Referencia:54Y9424, Placa anterior:, Placa nueva=H0003613, Descripcion:OPTICO, Serial:44MG1140515, Marca:LENOVO, Modelo:MOEUUOA, Material:PASTA, Color:NEGRO,   Referencia:45J4889 Placa padre: Tipo adq"&amp; "uisicion: Entidad"</f>
        <v>Descripcion: EQUIPO DE COMPUTO TODO EN UNO CON PROCESADOR INTEL i5 Estado: Bueno Placa anterior: 000037010 Material: PASTA Color: NEGRO Referencia: 00FDLS Observacion:  Placa anterior:, Placa nueva=H0003612, Descripcion:., Serial:1S54Y94248258888E, Marca:LENOVO, Modelo:KU-0225, Material:PASTA, Color:NEGRO,   Referencia:54Y9424, Placa anterior:, Placa nueva=H0003613, Descripcion:OPTICO, Serial:44MG1140515, Marca:LENOVO, Modelo:MOEUUOA, Material:PASTA, Color:NEGRO,   Referencia:45J4889 Placa padre: Tipo adquisicion: Entidad</v>
      </c>
      <c r="G22255" s="5" t="str">
        <f>"THINKCENTRE"</f>
        <v>THINKCENTRE</v>
      </c>
    </row>
    <row r="22256" spans="1:7" ht="58.5" customHeight="1" x14ac:dyDescent="0.25">
      <c r="A22256" s="5" t="str">
        <f>"H0003623"</f>
        <v>H0003623</v>
      </c>
      <c r="B22256" s="5" t="str">
        <f>"ESTANTE METALICO 7 ENTREPAÑOS"</f>
        <v>ESTANTE METALICO 7 ENTREPAÑOS</v>
      </c>
      <c r="C22256" s="6">
        <v>29533.23</v>
      </c>
      <c r="D22256" s="5"/>
      <c r="E22256" s="5" t="str">
        <f t="shared" si="1111"/>
        <v>ACTISALUD-ESTADISTICA</v>
      </c>
      <c r="F22256" s="5" t="str">
        <f>"Descripcion: . Estado: Bueno Placa anterior: 000001652 Material: METALICO Color: GRIS Referencia:  Observacion:  Placa padre: Tipo adquisicion: Entidad"</f>
        <v>Descripcion: . Estado: Bueno Placa anterior: 000001652 Material: METALICO Color: GRIS Referencia:  Observacion:  Placa padre: Tipo adquisicion: Entidad</v>
      </c>
      <c r="G22256" s="5"/>
    </row>
    <row r="22257" spans="1:7" ht="58.5" customHeight="1" x14ac:dyDescent="0.25">
      <c r="A22257" s="5" t="str">
        <f>"H0003624"</f>
        <v>H0003624</v>
      </c>
      <c r="B22257" s="5" t="str">
        <f>"ESTANTE METALICO 7 ENTREPAÑOS"</f>
        <v>ESTANTE METALICO 7 ENTREPAÑOS</v>
      </c>
      <c r="C22257" s="6">
        <v>29533.23</v>
      </c>
      <c r="D22257" s="5"/>
      <c r="E22257" s="5" t="str">
        <f t="shared" si="1111"/>
        <v>ACTISALUD-ESTADISTICA</v>
      </c>
      <c r="F22257" s="5" t="str">
        <f>"Descripcion: . Estado: Bueno Placa anterior: 000001651 Material: METALICO Color: GRIS Referencia:  Observacion:  Placa padre: Tipo adquisicion: Entidad"</f>
        <v>Descripcion: . Estado: Bueno Placa anterior: 000001651 Material: METALICO Color: GRIS Referencia:  Observacion:  Placa padre: Tipo adquisicion: Entidad</v>
      </c>
      <c r="G22257" s="5"/>
    </row>
    <row r="22258" spans="1:7" ht="58.5" customHeight="1" x14ac:dyDescent="0.25">
      <c r="A22258" s="5" t="str">
        <f>"H0003627"</f>
        <v>H0003627</v>
      </c>
      <c r="B22258" s="5" t="str">
        <f>"COMPUTADOR TODO EN UNO"</f>
        <v>COMPUTADOR TODO EN UNO</v>
      </c>
      <c r="C22258" s="6">
        <v>2470000</v>
      </c>
      <c r="D22258" s="5" t="s">
        <v>6</v>
      </c>
      <c r="E22258" s="5" t="str">
        <f t="shared" si="1111"/>
        <v>ACTISALUD-ESTADISTICA</v>
      </c>
      <c r="F22258" s="5" t="str">
        <f>"Descripcion: EQUIPO DE COMPUTO TODO EN UNO CON PROCESADOR INTEL i5 Estado: Bueno Placa anterior: 000037011 Material: PASTA Color: NEGRO Referencia:  Observacion:  Placa anterior:, Placa nueva=H0003629, Descripcion:., Serial:8259009, Marca:LENOVO, Modelo:K"&amp; "U-0225, Material:PASTA, Color:NEGRO,   Referencia:54Y9424, Placa anterior:, Placa nueva=H0003630, Descripcion:OPTICO, Serial:44MG188-0515, Marca:LENOVO, Modelo:, Material:PASTA, Color:NEGRO,   Referencia:SM50F76959 Placa padre: Tipo adquisicion: Entidad"</f>
        <v>Descripcion: EQUIPO DE COMPUTO TODO EN UNO CON PROCESADOR INTEL i5 Estado: Bueno Placa anterior: 000037011 Material: PASTA Color: NEGRO Referencia:  Observacion:  Placa anterior:, Placa nueva=H0003629, Descripcion:., Serial:8259009, Marca:LENOVO, Modelo:KU-0225, Material:PASTA, Color:NEGRO,   Referencia:54Y9424, Placa anterior:, Placa nueva=H0003630, Descripcion:OPTICO, Serial:44MG188-0515, Marca:LENOVO, Modelo:, Material:PASTA, Color:NEGRO,   Referencia:SM50F76959 Placa padre: Tipo adquisicion: Entidad</v>
      </c>
      <c r="G22258" s="5" t="str">
        <f>"00FDLS"</f>
        <v>00FDLS</v>
      </c>
    </row>
    <row r="22259" spans="1:7" ht="58.5" customHeight="1" x14ac:dyDescent="0.25">
      <c r="A22259" s="5" t="str">
        <f>"H0003631"</f>
        <v>H0003631</v>
      </c>
      <c r="B22259" s="5" t="str">
        <f>"ESTABILIZADOR  PARA COMPUTADOR"</f>
        <v>ESTABILIZADOR  PARA COMPUTADOR</v>
      </c>
      <c r="C22259" s="6">
        <v>120000</v>
      </c>
      <c r="D22259" s="5"/>
      <c r="E22259" s="5" t="str">
        <f t="shared" si="1111"/>
        <v>ACTISALUD-ESTADISTICA</v>
      </c>
      <c r="F22259" s="5" t="str">
        <f>"Descripcion: 6 PUERTOSSERIAL ESTA BORROSO Estado: Bueno Placa anterior: 000001755 Material: PASTA Color: NEGRO Referencia:  Observacion:  Placa padre: Tipo adquisicion: Entidad"</f>
        <v>Descripcion: 6 PUERTOSSERIAL ESTA BORROSO Estado: Bueno Placa anterior: 000001755 Material: PASTA Color: NEGRO Referencia:  Observacion:  Placa padre: Tipo adquisicion: Entidad</v>
      </c>
      <c r="G22259" s="5"/>
    </row>
    <row r="22260" spans="1:7" ht="58.5" customHeight="1" x14ac:dyDescent="0.25">
      <c r="A22260" s="5" t="str">
        <f>"H0003634"</f>
        <v>H0003634</v>
      </c>
      <c r="B22260" s="5" t="str">
        <f>"MESA (SUPERFICIE) MODULAR"</f>
        <v>MESA (SUPERFICIE) MODULAR</v>
      </c>
      <c r="C22260" s="6">
        <v>110432</v>
      </c>
      <c r="D22260" s="5"/>
      <c r="E22260" s="5" t="str">
        <f t="shared" si="1111"/>
        <v>ACTISALUD-ESTADISTICA</v>
      </c>
      <c r="F22260" s="5" t="str">
        <f>"Descripcion: MESA PARA IMPRESORA60X60 Estado: Bueno Placa anterior: 000001762 Material: MADERA Color:  Referencia:  Observacion:  Placa padre: Tipo adquisicion: Entidad"</f>
        <v>Descripcion: MESA PARA IMPRESORA60X60 Estado: Bueno Placa anterior: 000001762 Material: MADERA Color:  Referencia:  Observacion:  Placa padre: Tipo adquisicion: Entidad</v>
      </c>
      <c r="G22260" s="5"/>
    </row>
    <row r="22261" spans="1:7" ht="58.5" customHeight="1" x14ac:dyDescent="0.25">
      <c r="A22261" s="5" t="str">
        <f>"H0003644"</f>
        <v>H0003644</v>
      </c>
      <c r="B22261" s="5" t="str">
        <f>"COMPUTADOR TODO EN UNO"</f>
        <v>COMPUTADOR TODO EN UNO</v>
      </c>
      <c r="C22261" s="6">
        <v>2470000</v>
      </c>
      <c r="D22261" s="5" t="s">
        <v>6</v>
      </c>
      <c r="E22261" s="5" t="str">
        <f t="shared" si="1111"/>
        <v>ACTISALUD-ESTADISTICA</v>
      </c>
      <c r="F22261" s="5" t="str">
        <f>"Descripcion: EQUIPO DE COMPUTO TODO EN UNO CON PROCESADOR INTEL i5 Estado: Bueno Placa anterior: 000037006 Material: PASTA Color: NEGRO Referencia:  Observacion:  Placa anterior:, Placa nueva=H0003646, Descripcion:OPTICO, Serial:44MG122, Marca:LENOVO, Mod"&amp; "elo:, Material:PASTA, Color:NEGRO,   Referencia:SM50F76959, Placa anterior:, Placa nueva=H0003645, Descripcion:., Serial:82558518, Marca:LENOVO, Modelo:KU-0225, Material:PASTA, Color:NEGRO,   Referencia:54Y9424 Placa padre: Tipo adquisicion: Entidad"</f>
        <v>Descripcion: EQUIPO DE COMPUTO TODO EN UNO CON PROCESADOR INTEL i5 Estado: Bueno Placa anterior: 000037006 Material: PASTA Color: NEGRO Referencia:  Observacion:  Placa anterior:, Placa nueva=H0003646, Descripcion:OPTICO, Serial:44MG122, Marca:LENOVO, Modelo:, Material:PASTA, Color:NEGRO,   Referencia:SM50F76959, Placa anterior:, Placa nueva=H0003645, Descripcion:., Serial:82558518, Marca:LENOVO, Modelo:KU-0225, Material:PASTA, Color:NEGRO,   Referencia:54Y9424 Placa padre: Tipo adquisicion: Entidad</v>
      </c>
      <c r="G22261" s="5" t="str">
        <f>"00FDLS"</f>
        <v>00FDLS</v>
      </c>
    </row>
    <row r="22262" spans="1:7" ht="58.5" customHeight="1" x14ac:dyDescent="0.25">
      <c r="A22262" s="5" t="str">
        <f>"H0003652"</f>
        <v>H0003652</v>
      </c>
      <c r="B22262" s="5" t="str">
        <f>"COMPUTADOR TODO EN UNO"</f>
        <v>COMPUTADOR TODO EN UNO</v>
      </c>
      <c r="C22262" s="6">
        <v>1200000</v>
      </c>
      <c r="D22262" s="5" t="s">
        <v>2</v>
      </c>
      <c r="E22262" s="5" t="str">
        <f t="shared" ref="E22262:E22325" si="1113">"ACTISALUD-ESTADISTICA"</f>
        <v>ACTISALUD-ESTADISTICA</v>
      </c>
      <c r="F22262"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000030807 Material: PASTA Color: NEGRO Referencia: C9K24LT#ABM Observacion:  Placa anterior:, Placa nueva=H0003654, Descripcion:OPTICO, Serial:FCMH0CAU4F850, Marca:HP, Modelo:, Material:PASTA, Color:NEGRO,   Refe"&amp; "rencia:672652-001, Placa anterior:, Placa nueva=H0003653, Descripcion:., Serial:BCZZN0BVB4C2HN, Marca:HP, Modelo:KU-1156, Material:PASTA, Color:NEGRO,   Referencia:701424-161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000030807 Material: PASTA Color: NEGRO Referencia: C9K24LT#ABM Observacion:  Placa anterior:, Placa nueva=H0003654, Descripcion:OPTICO, Serial:FCMH0CAU4F850, Marca:HP, Modelo:, Material:PASTA, Color:NEGRO,   Referencia:672652-001, Placa anterior:, Placa nueva=H0003653, Descripcion:., Serial:BCZZN0BVB4C2HN, Marca:HP, Modelo:KU-1156, Material:PASTA, Color:NEGRO,   Referencia:701424-161 Placa padre: Tipo adquisicion: Entidad</v>
      </c>
      <c r="G22262" s="5" t="str">
        <f>"HP COMPAQ PRO 4300"</f>
        <v>HP COMPAQ PRO 4300</v>
      </c>
    </row>
    <row r="22263" spans="1:7" ht="58.5" customHeight="1" x14ac:dyDescent="0.25">
      <c r="A22263" s="5" t="str">
        <f>"H0003657"</f>
        <v>H0003657</v>
      </c>
      <c r="B22263" s="5" t="str">
        <f>"ESCRITORIO METALICO 2 GAVETAS"</f>
        <v>ESCRITORIO METALICO 2 GAVETAS</v>
      </c>
      <c r="C22263" s="6">
        <v>18170.900000000001</v>
      </c>
      <c r="D22263" s="5"/>
      <c r="E22263" s="5" t="str">
        <f t="shared" si="1113"/>
        <v>ACTISALUD-ESTADISTICA</v>
      </c>
      <c r="F22263" s="5" t="str">
        <f>"Descripcion: 60X120X76SUPERFICIE CON VIDRIO Estado: Bueno Placa anterior: 000009696 Material: METALICO Color: GRIS Referencia:  Observacion: AUTORIZADO CONCILIAR EN CRUCE GENERAL Placa padre: Tipo adquisicion: Entidad"</f>
        <v>Descripcion: 60X120X76SUPERFICIE CON VIDRIO Estado: Bueno Placa anterior: 000009696 Material: METALICO Color: GRIS Referencia:  Observacion: AUTORIZADO CONCILIAR EN CRUCE GENERAL Placa padre: Tipo adquisicion: Entidad</v>
      </c>
      <c r="G22263" s="5"/>
    </row>
    <row r="22264" spans="1:7" ht="58.5" customHeight="1" x14ac:dyDescent="0.25">
      <c r="A22264" s="5" t="str">
        <f>"H0003658"</f>
        <v>H0003658</v>
      </c>
      <c r="B22264" s="5" t="str">
        <f>"MESA METALICA AUXILIAR"</f>
        <v>MESA METALICA AUXILIAR</v>
      </c>
      <c r="C22264" s="6">
        <v>7335.32</v>
      </c>
      <c r="D22264" s="5"/>
      <c r="E22264" s="5" t="str">
        <f t="shared" si="1113"/>
        <v>ACTISALUD-ESTADISTICA</v>
      </c>
      <c r="F22264" s="5" t="str">
        <f>"Descripcion: MESA MECANOGRAFA CON RODACHINES Estado: Bueno Placa anterior: 000001612 Material: METALICO Color: GRIS Referencia:  Observacion:  Placa padre: Tipo adquisicion: Entidad"</f>
        <v>Descripcion: MESA MECANOGRAFA CON RODACHINES Estado: Bueno Placa anterior: 000001612 Material: METALICO Color: GRIS Referencia:  Observacion:  Placa padre: Tipo adquisicion: Entidad</v>
      </c>
      <c r="G22264" s="5"/>
    </row>
    <row r="22265" spans="1:7" ht="58.5" customHeight="1" x14ac:dyDescent="0.25">
      <c r="A22265" s="5" t="str">
        <f>"H0003659"</f>
        <v>H0003659</v>
      </c>
      <c r="B22265" s="5" t="str">
        <f>"MESA (SUPERFICIE) MODULAR"</f>
        <v>MESA (SUPERFICIE) MODULAR</v>
      </c>
      <c r="C22265" s="6">
        <v>7800</v>
      </c>
      <c r="D22265" s="5"/>
      <c r="E22265" s="5" t="str">
        <f t="shared" si="1113"/>
        <v>ACTISALUD-ESTADISTICA</v>
      </c>
      <c r="F22265" s="5" t="str">
        <f>"Descripcion: MESA AUXILIAR DE MADERA1 ENTREPAÑO61X40X70 Estado: Bueno Placa anterior: 000001609 Material: MADERA Color:  Referencia:  Observacion:  Placa padre: Tipo adquisicion: Entidad"</f>
        <v>Descripcion: MESA AUXILIAR DE MADERA1 ENTREPAÑO61X40X70 Estado: Bueno Placa anterior: 000001609 Material: MADERA Color:  Referencia:  Observacion:  Placa padre: Tipo adquisicion: Entidad</v>
      </c>
      <c r="G22265" s="5"/>
    </row>
    <row r="22266" spans="1:7" ht="58.5" customHeight="1" x14ac:dyDescent="0.25">
      <c r="A22266" s="5" t="str">
        <f>"H0003672"</f>
        <v>H0003672</v>
      </c>
      <c r="B22266" s="5" t="str">
        <f>"ESTANTE METALICO 7 ENTREPAÑOS"</f>
        <v>ESTANTE METALICO 7 ENTREPAÑOS</v>
      </c>
      <c r="C22266" s="6">
        <v>29533.23</v>
      </c>
      <c r="D22266" s="5"/>
      <c r="E22266" s="5" t="str">
        <f t="shared" si="1113"/>
        <v>ACTISALUD-ESTADISTICA</v>
      </c>
      <c r="F22266" s="5" t="str">
        <f>"Descripcion: . Estado: Bueno Placa anterior: 000001676 Material: METALICO Color: GRIS Referencia:  Observacion:  Placa padre: Tipo adquisicion: Entidad"</f>
        <v>Descripcion: . Estado: Bueno Placa anterior: 000001676 Material: METALICO Color: GRIS Referencia:  Observacion:  Placa padre: Tipo adquisicion: Entidad</v>
      </c>
      <c r="G22266" s="5"/>
    </row>
    <row r="22267" spans="1:7" ht="58.5" customHeight="1" x14ac:dyDescent="0.25">
      <c r="A22267" s="5" t="str">
        <f>"H0003675"</f>
        <v>H0003675</v>
      </c>
      <c r="B22267" s="5" t="str">
        <f>"VITRINA DE 1 CUERPO"</f>
        <v>VITRINA DE 1 CUERPO</v>
      </c>
      <c r="C22267" s="6">
        <v>27940</v>
      </c>
      <c r="D22267" s="5"/>
      <c r="E22267" s="5" t="str">
        <f t="shared" si="1113"/>
        <v>ACTISALUD-ESTADISTICA</v>
      </c>
      <c r="F22267" s="5" t="str">
        <f>"Descripcion: VITRINA TIPO A DE UNCUERPO DE 0.50 X 1.50 X 0.30 Estado: Bueno Placa anterior: 000001713 Material: METALICO Color: GRIS Referencia:  Observacion:  Placa padre: Tipo adquisicion: Entidad"</f>
        <v>Descripcion: VITRINA TIPO A DE UNCUERPO DE 0.50 X 1.50 X 0.30 Estado: Bueno Placa anterior: 000001713 Material: METALICO Color: GRIS Referencia:  Observacion:  Placa padre: Tipo adquisicion: Entidad</v>
      </c>
      <c r="G22267" s="5"/>
    </row>
    <row r="22268" spans="1:7" ht="58.5" customHeight="1" x14ac:dyDescent="0.25">
      <c r="A22268" s="5" t="str">
        <f>"H0003681"</f>
        <v>H0003681</v>
      </c>
      <c r="B22268" s="5" t="str">
        <f>"ESTABILIZADOR  PARA COMPUTADOR"</f>
        <v>ESTABILIZADOR  PARA COMPUTADOR</v>
      </c>
      <c r="C22268" s="6">
        <v>120000</v>
      </c>
      <c r="D22268" s="5"/>
      <c r="E22268" s="5" t="str">
        <f t="shared" si="1113"/>
        <v>ACTISALUD-ESTADISTICA</v>
      </c>
      <c r="F22268" s="5" t="str">
        <f>"Descripcion: 6 PUERTOS Estado: Bueno Placa anterior: 000001750 Material: PASTA Color: NEGRO Referencia:  Observacion:  Placa padre: Tipo adquisicion: Entidad"</f>
        <v>Descripcion: 6 PUERTOS Estado: Bueno Placa anterior: 000001750 Material: PASTA Color: NEGRO Referencia:  Observacion:  Placa padre: Tipo adquisicion: Entidad</v>
      </c>
      <c r="G22268" s="5"/>
    </row>
    <row r="22269" spans="1:7" ht="58.5" customHeight="1" x14ac:dyDescent="0.25">
      <c r="A22269" s="5" t="str">
        <f>"H0003684"</f>
        <v>H0003684</v>
      </c>
      <c r="B22269" s="5" t="str">
        <f>"MESA METALICA"</f>
        <v>MESA METALICA</v>
      </c>
      <c r="C22269" s="6">
        <v>17325</v>
      </c>
      <c r="D22269" s="5"/>
      <c r="E22269" s="5" t="str">
        <f t="shared" si="1113"/>
        <v>ACTISALUD-ESTADISTICA</v>
      </c>
      <c r="F22269" s="5" t="str">
        <f>"Descripcion: MESA RECTANGULAR DE 1.50 X 1 MTS Estado: Bueno Placa anterior: 000001604 Material: METALICO Color: GRIS Referencia:  Observacion:  Placa padre: Tipo adquisicion: Entidad"</f>
        <v>Descripcion: MESA RECTANGULAR DE 1.50 X 1 MTS Estado: Bueno Placa anterior: 000001604 Material: METALICO Color: GRIS Referencia:  Observacion:  Placa padre: Tipo adquisicion: Entidad</v>
      </c>
      <c r="G22269" s="5"/>
    </row>
    <row r="22270" spans="1:7" ht="58.5" customHeight="1" x14ac:dyDescent="0.25">
      <c r="A22270" s="5" t="str">
        <f>"H0003690"</f>
        <v>H0003690</v>
      </c>
      <c r="B22270" s="5" t="str">
        <f>"ESTANTE METALICO 7 ENTREPAÑOS"</f>
        <v>ESTANTE METALICO 7 ENTREPAÑOS</v>
      </c>
      <c r="C22270" s="6">
        <v>29533.23</v>
      </c>
      <c r="D22270" s="5"/>
      <c r="E22270" s="5" t="str">
        <f t="shared" si="1113"/>
        <v>ACTISALUD-ESTADISTICA</v>
      </c>
      <c r="F22270" s="5" t="str">
        <f>"Descripcion: ESTANTERIA PARA HISTORIAS CLINICAS (ALTURA 2 METROS PANEL 90 CMS LARGO X 30 CMS ANCHO DISTANCIA ENTRE PANEL 30 CMS) Estado: Bueno Placa anterior: 000001664 Material: METALICO Color: GRIS Referencia:  Observacion:  Placa padre: Tipo adquisicio"&amp; "n: Entidad"</f>
        <v>Descripcion: ESTANTERIA PARA HISTORIAS CLINICAS (ALTURA 2 METROS PANEL 90 CMS LARGO X 30 CMS ANCHO DISTANCIA ENTRE PANEL 30 CMS) Estado: Bueno Placa anterior: 000001664 Material: METALICO Color: GRIS Referencia:  Observacion:  Placa padre: Tipo adquisicion: Entidad</v>
      </c>
      <c r="G22270" s="5"/>
    </row>
    <row r="22271" spans="1:7" ht="58.5" customHeight="1" x14ac:dyDescent="0.25">
      <c r="A22271" s="5" t="str">
        <f>"H0003691"</f>
        <v>H0003691</v>
      </c>
      <c r="B22271" s="5" t="str">
        <f>"ESTANTE METALICO 7 ENTREPAÑOS"</f>
        <v>ESTANTE METALICO 7 ENTREPAÑOS</v>
      </c>
      <c r="C22271" s="6">
        <v>29533.23</v>
      </c>
      <c r="D22271" s="5"/>
      <c r="E22271" s="5" t="str">
        <f t="shared" si="1113"/>
        <v>ACTISALUD-ESTADISTICA</v>
      </c>
      <c r="F22271" s="5" t="str">
        <f>"Descripcion: CADA ENTREPAÑO TIENE DIVISIONES Estado: Bueno Placa anterior: 000001675 Material: METALICO Color: GRIS Referencia:  Observacion:  Placa padre: Tipo adquisicion: Entidad"</f>
        <v>Descripcion: CADA ENTREPAÑO TIENE DIVISIONES Estado: Bueno Placa anterior: 000001675 Material: METALICO Color: GRIS Referencia:  Observacion:  Placa padre: Tipo adquisicion: Entidad</v>
      </c>
      <c r="G22271" s="5"/>
    </row>
    <row r="22272" spans="1:7" ht="58.5" customHeight="1" x14ac:dyDescent="0.25">
      <c r="A22272" s="5" t="str">
        <f>"H0003694"</f>
        <v>H0003694</v>
      </c>
      <c r="B22272" s="5" t="str">
        <f>"CAMILLA DE TRASLADO CON BARANDAS"</f>
        <v>CAMILLA DE TRASLADO CON BARANDAS</v>
      </c>
      <c r="C22272" s="6">
        <v>1780000</v>
      </c>
      <c r="D22272" s="5"/>
      <c r="E22272" s="5" t="str">
        <f t="shared" si="1113"/>
        <v>ACTISALUD-ESTADISTICA</v>
      </c>
      <c r="F22272" s="5" t="str">
        <f>"Descripcion: . Estado: Obsoleto Placa anterior:  Material: METALICO Color: BEIGE Referencia:  Observacion:  Placa padre: Tipo adquisicion: Entidad"</f>
        <v>Descripcion: . Estado: Obsoleto Placa anterior:  Material: METALICO Color: BEIGE Referencia:  Observacion:  Placa padre: Tipo adquisicion: Entidad</v>
      </c>
      <c r="G22272" s="5"/>
    </row>
    <row r="22273" spans="1:7" ht="58.5" customHeight="1" x14ac:dyDescent="0.25">
      <c r="A22273" s="5" t="str">
        <f>"H0003700"</f>
        <v>H0003700</v>
      </c>
      <c r="B22273" s="5" t="str">
        <f>"SILLA ERGONOMICA TIPO SECRETARIA SIN BRAZOS"</f>
        <v>SILLA ERGONOMICA TIPO SECRETARIA SIN BRAZOS</v>
      </c>
      <c r="C22273" s="6">
        <v>211120</v>
      </c>
      <c r="D22273" s="5"/>
      <c r="E22273" s="5" t="str">
        <f t="shared" si="1113"/>
        <v>ACTISALUD-ESTADISTICA</v>
      </c>
      <c r="F22273" s="5" t="str">
        <f>"Descripcion: SILLA ERGONOMICA AT 02 (TA-TELA VINILICA SECRETARIAL)ASIENTO TAPIZADO EN CUERO NEGROESPALDAR  EN PASTA Estado: Bueno Placa anterior: 000025290 Material: PASTA Color: NEGRO Referencia:  Observacion:  Placa padre: Tipo adquisicion: Entidad"</f>
        <v>Descripcion: SILLA ERGONOMICA AT 02 (TA-TELA VINILICA SECRETARIAL)ASIENTO TAPIZADO EN CUERO NEGROESPALDAR  EN PASTA Estado: Bueno Placa anterior: 000025290 Material: PASTA Color: NEGRO Referencia:  Observacion:  Placa padre: Tipo adquisicion: Entidad</v>
      </c>
      <c r="G22273" s="5"/>
    </row>
    <row r="22274" spans="1:7" ht="58.5" customHeight="1" x14ac:dyDescent="0.25">
      <c r="A22274" s="5" t="str">
        <f>"H0003703"</f>
        <v>H0003703</v>
      </c>
      <c r="B22274" s="5" t="str">
        <f>"ESTANTE METALICO 7 ENTREPAÑOS"</f>
        <v>ESTANTE METALICO 7 ENTREPAÑOS</v>
      </c>
      <c r="C22274" s="6">
        <v>29533.23</v>
      </c>
      <c r="D22274" s="5"/>
      <c r="E22274" s="5" t="str">
        <f t="shared" si="1113"/>
        <v>ACTISALUD-ESTADISTICA</v>
      </c>
      <c r="F22274" s="5" t="str">
        <f>"Descripcion: .195X94X31 Estado: Bueno Placa anterior: 000001670 Material: METALICO Color: GRIS Referencia:  Observacion:  Placa padre: Tipo adquisicion: Entidad"</f>
        <v>Descripcion: .195X94X31 Estado: Bueno Placa anterior: 000001670 Material: METALICO Color: GRIS Referencia:  Observacion:  Placa padre: Tipo adquisicion: Entidad</v>
      </c>
      <c r="G22274" s="5"/>
    </row>
    <row r="22275" spans="1:7" ht="58.5" customHeight="1" x14ac:dyDescent="0.25">
      <c r="A22275" s="5" t="str">
        <f>"H0003704"</f>
        <v>H0003704</v>
      </c>
      <c r="B22275" s="5" t="str">
        <f>"ESTANTE METALICO 7 ENTREPAÑOS"</f>
        <v>ESTANTE METALICO 7 ENTREPAÑOS</v>
      </c>
      <c r="C22275" s="6">
        <v>29533.23</v>
      </c>
      <c r="D22275" s="5"/>
      <c r="E22275" s="5" t="str">
        <f t="shared" si="1113"/>
        <v>ACTISALUD-ESTADISTICA</v>
      </c>
      <c r="F22275" s="5" t="str">
        <f>"Descripcion: .195X94X31 Estado: Bueno Placa anterior: 000001646 Material: METALICO Color: GRIS Referencia:  Observacion:  Placa padre: Tipo adquisicion: Entidad"</f>
        <v>Descripcion: .195X94X31 Estado: Bueno Placa anterior: 000001646 Material: METALICO Color: GRIS Referencia:  Observacion:  Placa padre: Tipo adquisicion: Entidad</v>
      </c>
      <c r="G22275" s="5"/>
    </row>
    <row r="22276" spans="1:7" ht="58.5" customHeight="1" x14ac:dyDescent="0.25">
      <c r="A22276" s="5" t="str">
        <f>"H0003705"</f>
        <v>H0003705</v>
      </c>
      <c r="B22276" s="5" t="str">
        <f>"ESTANTE METALICO 7 ENTREPAÑOS"</f>
        <v>ESTANTE METALICO 7 ENTREPAÑOS</v>
      </c>
      <c r="C22276" s="6">
        <v>29533.23</v>
      </c>
      <c r="D22276" s="5"/>
      <c r="E22276" s="5" t="str">
        <f t="shared" si="1113"/>
        <v>ACTISALUD-ESTADISTICA</v>
      </c>
      <c r="F22276" s="5" t="str">
        <f>"Descripcion: ESTANTERIA PARA HISTORIAS CLINICAS (ALTURA 2 METROS PANEL 90 CMS LARGO X 30 CMS ANCHO DISTANCIA ENTRE PANEL 30 CMS) Estado: Bueno Placa anterior: 000001723 Material: METALICO Color: GRIS Referencia:  Observacion:  Placa padre: Tipo adquisicio"&amp; "n: Entidad"</f>
        <v>Descripcion: ESTANTERIA PARA HISTORIAS CLINICAS (ALTURA 2 METROS PANEL 90 CMS LARGO X 30 CMS ANCHO DISTANCIA ENTRE PANEL 30 CMS) Estado: Bueno Placa anterior: 000001723 Material: METALICO Color: GRIS Referencia:  Observacion:  Placa padre: Tipo adquisicion: Entidad</v>
      </c>
      <c r="G22276" s="5"/>
    </row>
    <row r="22277" spans="1:7" ht="58.5" customHeight="1" x14ac:dyDescent="0.25">
      <c r="A22277" s="5" t="str">
        <f>"H0003706"</f>
        <v>H0003706</v>
      </c>
      <c r="B22277" s="5" t="str">
        <f>"ESTANTE METALICO 7 ENTREPAÑOS"</f>
        <v>ESTANTE METALICO 7 ENTREPAÑOS</v>
      </c>
      <c r="C22277" s="6">
        <v>29533.23</v>
      </c>
      <c r="D22277" s="5"/>
      <c r="E22277" s="5" t="str">
        <f t="shared" si="1113"/>
        <v>ACTISALUD-ESTADISTICA</v>
      </c>
      <c r="F22277" s="5" t="str">
        <f>"Descripcion: ESTANTERIA PARA HISTORIAS CLINICAS (ALTURA 2 METROS PANEL 90 CMS LARGO X 30 CMS ANCHO DISTANCIA ENTRE PANEL 30 CMS) Estado: Bueno Placa anterior: 000001725 Material: METALICO Color: GRIS Referencia:  Observacion:  Placa padre: Tipo adquisicio"&amp; "n: Entidad"</f>
        <v>Descripcion: ESTANTERIA PARA HISTORIAS CLINICAS (ALTURA 2 METROS PANEL 90 CMS LARGO X 30 CMS ANCHO DISTANCIA ENTRE PANEL 30 CMS) Estado: Bueno Placa anterior: 000001725 Material: METALICO Color: GRIS Referencia:  Observacion:  Placa padre: Tipo adquisicion: Entidad</v>
      </c>
      <c r="G22277" s="5"/>
    </row>
    <row r="22278" spans="1:7" ht="58.5" customHeight="1" x14ac:dyDescent="0.25">
      <c r="A22278" s="5" t="str">
        <f>"H0003707"</f>
        <v>H0003707</v>
      </c>
      <c r="B22278" s="5" t="str">
        <f>"ESCRITORIO DE MADERA TIPO SECRETARIA 1 GAVETA"</f>
        <v>ESCRITORIO DE MADERA TIPO SECRETARIA 1 GAVETA</v>
      </c>
      <c r="C22278" s="6">
        <v>194717.6</v>
      </c>
      <c r="D22278" s="5"/>
      <c r="E22278" s="5" t="str">
        <f t="shared" si="1113"/>
        <v>ACTISALUD-ESTADISTICA</v>
      </c>
      <c r="F22278" s="5" t="str">
        <f>"Descripcion: MESA PARA COMPUTADOR CON CHAPA109X70X73 Estado: Bueno Placa anterior: 000001486 Material: MADERA Color:  Referencia:  Observacion:  Placa padre: Tipo adquisicion: Entidad"</f>
        <v>Descripcion: MESA PARA COMPUTADOR CON CHAPA109X70X73 Estado: Bueno Placa anterior: 000001486 Material: MADERA Color:  Referencia:  Observacion:  Placa padre: Tipo adquisicion: Entidad</v>
      </c>
      <c r="G22278" s="5"/>
    </row>
    <row r="22279" spans="1:7" ht="58.5" customHeight="1" x14ac:dyDescent="0.25">
      <c r="A22279" s="5" t="str">
        <f>"H0003708"</f>
        <v>H0003708</v>
      </c>
      <c r="B22279" s="5" t="str">
        <f>"COMPUTADOR TODO EN UNO"</f>
        <v>COMPUTADOR TODO EN UNO</v>
      </c>
      <c r="C22279" s="6">
        <v>2470000</v>
      </c>
      <c r="D22279" s="5" t="s">
        <v>6</v>
      </c>
      <c r="E22279" s="5" t="str">
        <f t="shared" si="1113"/>
        <v>ACTISALUD-ESTADISTICA</v>
      </c>
      <c r="F22279" s="5" t="str">
        <f>"Descripcion: EQUIPO DE COMPUTO TODO EN UNO CON PROCESADOR INTEL i5 Estado: Bueno Placa anterior: 000037009 Material: PASTA Color: NEGRO Referencia:  Observacion:  Placa anterior:, Placa nueva=H0003710, Descripcion:OPTICO, Serial:44PD670, Marca:LENOVO, Mod"&amp; "elo:MOEUUOA, Material:PASTA, Color:NEGRO,   Referencia:45J4889 N/P: SM50F76959, Placa anterior:, Placa nueva=H0003709, Descripcion:., Serial:1S54Y9424825900E, Marca:LENOVO, Modelo:KU-0225, Material:PASTA, Color:NEGRO,   Referencia:54Y9424 NUMERO PRODUCTO:"&amp; " 8259000 Placa padre: Tipo adquisicion: Entidad"</f>
        <v>Descripcion: EQUIPO DE COMPUTO TODO EN UNO CON PROCESADOR INTEL i5 Estado: Bueno Placa anterior: 000037009 Material: PASTA Color: NEGRO Referencia:  Observacion:  Placa anterior:, Placa nueva=H0003710, Descripcion:OPTICO, Serial:44PD670, Marca:LENOVO, Modelo:MOEUUOA, Material:PASTA, Color:NEGRO,   Referencia:45J4889 N/P: SM50F76959, Placa anterior:, Placa nueva=H0003709, Descripcion:., Serial:1S54Y9424825900E, Marca:LENOVO, Modelo:KU-0225, Material:PASTA, Color:NEGRO,   Referencia:54Y9424 NUMERO PRODUCTO: 8259000 Placa padre: Tipo adquisicion: Entidad</v>
      </c>
      <c r="G22279" s="5" t="str">
        <f>"10BD"</f>
        <v>10BD</v>
      </c>
    </row>
    <row r="22280" spans="1:7" ht="58.5" customHeight="1" x14ac:dyDescent="0.25">
      <c r="A22280" s="5" t="str">
        <f>"H0003716"</f>
        <v>H0003716</v>
      </c>
      <c r="B22280" s="5" t="str">
        <f>"ESTANTE METALICO 7 ENTREPAÑOS"</f>
        <v>ESTANTE METALICO 7 ENTREPAÑOS</v>
      </c>
      <c r="C22280" s="6">
        <v>29533.23</v>
      </c>
      <c r="D22280" s="5"/>
      <c r="E22280" s="5" t="str">
        <f t="shared" si="1113"/>
        <v>ACTISALUD-ESTADISTICA</v>
      </c>
      <c r="F22280" s="5" t="str">
        <f>"Descripcion: ESTANTERIA PARA HISTORIAS CLINICAS (ALTURA 2 METROS PANEL 90 CMS LARGO X 30 CMS ANCHO DISTANCIA ENTRE PANEL 30 CMS) Estado: Bueno Placa anterior: 000001801 Material: METALICO Color: GRIS Referencia:  Observacion:  Placa padre: Tipo adquisicio"&amp; "n: Entidad"</f>
        <v>Descripcion: ESTANTERIA PARA HISTORIAS CLINICAS (ALTURA 2 METROS PANEL 90 CMS LARGO X 30 CMS ANCHO DISTANCIA ENTRE PANEL 30 CMS) Estado: Bueno Placa anterior: 000001801 Material: METALICO Color: GRIS Referencia:  Observacion:  Placa padre: Tipo adquisicion: Entidad</v>
      </c>
      <c r="G22280" s="5"/>
    </row>
    <row r="22281" spans="1:7" ht="58.5" customHeight="1" x14ac:dyDescent="0.25">
      <c r="A22281" s="5" t="str">
        <f>"H0003728"</f>
        <v>H0003728</v>
      </c>
      <c r="B22281" s="5" t="str">
        <f>"ESTANTE METALICO 7 ENTREPAÑOS"</f>
        <v>ESTANTE METALICO 7 ENTREPAÑOS</v>
      </c>
      <c r="C22281" s="6">
        <v>29533.23</v>
      </c>
      <c r="D22281" s="5"/>
      <c r="E22281" s="5" t="str">
        <f t="shared" si="1113"/>
        <v>ACTISALUD-ESTADISTICA</v>
      </c>
      <c r="F22281" s="5" t="str">
        <f>"Descripcion: ESTANTERIA PARA HISTORIAS CLINICAS (ALTURA 2 METROS PANEL 90 CMS LARGO X 30 CMS ANCHO DISTANCIA ENTRE PANEL 30 CMS) Estado: Bueno Placa anterior: 000001909 Material: METALICO Color: GRIS Referencia:  Observacion:  Placa padre: Tipo adquisicio"&amp; "n: Entidad"</f>
        <v>Descripcion: ESTANTERIA PARA HISTORIAS CLINICAS (ALTURA 2 METROS PANEL 90 CMS LARGO X 30 CMS ANCHO DISTANCIA ENTRE PANEL 30 CMS) Estado: Bueno Placa anterior: 000001909 Material: METALICO Color: GRIS Referencia:  Observacion:  Placa padre: Tipo adquisicion: Entidad</v>
      </c>
      <c r="G22281" s="5"/>
    </row>
    <row r="22282" spans="1:7" ht="58.5" customHeight="1" x14ac:dyDescent="0.25">
      <c r="A22282" s="5" t="str">
        <f>"H0003729"</f>
        <v>H0003729</v>
      </c>
      <c r="B22282" s="5" t="str">
        <f>"MESA METALICA AUXILIAR"</f>
        <v>MESA METALICA AUXILIAR</v>
      </c>
      <c r="C22282" s="6">
        <v>12758.33</v>
      </c>
      <c r="D22282" s="5"/>
      <c r="E22282" s="5" t="str">
        <f t="shared" si="1113"/>
        <v>ACTISALUD-ESTADISTICA</v>
      </c>
      <c r="F22282" s="5" t="str">
        <f>"Descripcion: MESA CUADRADA TIPO J (75 X 75 X 39 CMS) Estado: Bueno Placa anterior: 000001603 Material: METALICO Color: GRIS Referencia:  Observacion:  Placa padre: Tipo adquisicion: Entidad"</f>
        <v>Descripcion: MESA CUADRADA TIPO J (75 X 75 X 39 CMS) Estado: Bueno Placa anterior: 000001603 Material: METALICO Color: GRIS Referencia:  Observacion:  Placa padre: Tipo adquisicion: Entidad</v>
      </c>
      <c r="G22282" s="5"/>
    </row>
    <row r="22283" spans="1:7" ht="58.5" customHeight="1" x14ac:dyDescent="0.25">
      <c r="A22283" s="5" t="str">
        <f>"H0003734"</f>
        <v>H0003734</v>
      </c>
      <c r="B22283" s="5" t="str">
        <f>"ESTANTE METALICO 6 ENTREPAÑOS"</f>
        <v>ESTANTE METALICO 6 ENTREPAÑOS</v>
      </c>
      <c r="C22283" s="6">
        <v>29533.23</v>
      </c>
      <c r="D22283" s="5"/>
      <c r="E22283" s="5" t="str">
        <f t="shared" si="1113"/>
        <v>ACTISALUD-ESTADISTICA</v>
      </c>
      <c r="F22283" s="5" t="str">
        <f>"Descripcion: ESTANTERIA PARA HISTORIAS CLINICAS (ALTURA 2 METROS PANEL 90 CMS LARGO X 30 CMS ANCHO DISTANCIA ENTRE PANEL 30 CMS) Estado: Bueno Placa anterior: 000001792 Material: METALICO Color: GRIS Referencia:  Observacion:  Placa padre: Tipo adquisicio"&amp; "n: Entidad"</f>
        <v>Descripcion: ESTANTERIA PARA HISTORIAS CLINICAS (ALTURA 2 METROS PANEL 90 CMS LARGO X 30 CMS ANCHO DISTANCIA ENTRE PANEL 30 CMS) Estado: Bueno Placa anterior: 000001792 Material: METALICO Color: GRIS Referencia:  Observacion:  Placa padre: Tipo adquisicion: Entidad</v>
      </c>
      <c r="G22283" s="5"/>
    </row>
    <row r="22284" spans="1:7" ht="58.5" customHeight="1" x14ac:dyDescent="0.25">
      <c r="A22284" s="5" t="str">
        <f>"H0003735"</f>
        <v>H0003735</v>
      </c>
      <c r="B22284" s="5" t="str">
        <f t="shared" ref="B22284:B22296" si="1114">"ESTANTE METALICO 7 ENTREPAÑOS"</f>
        <v>ESTANTE METALICO 7 ENTREPAÑOS</v>
      </c>
      <c r="C22284" s="6">
        <v>29533.23</v>
      </c>
      <c r="D22284" s="5"/>
      <c r="E22284" s="5" t="str">
        <f t="shared" si="1113"/>
        <v>ACTISALUD-ESTADISTICA</v>
      </c>
      <c r="F22284" s="5" t="str">
        <f>"Descripcion: ESTANTERIA PARA HISTORIAS CLINICAS (ALTURA 2 METROS PANEL 90 CMS LARGO X 30 CMS ANCHO DISTANCIA ENTRE PANEL 30 CMS) Estado: Bueno Placa anterior: 000001772 Material: METALICO Color: GRIS Referencia:  Observacion:  Placa padre: Tipo adquisicio"&amp; "n: Entidad"</f>
        <v>Descripcion: ESTANTERIA PARA HISTORIAS CLINICAS (ALTURA 2 METROS PANEL 90 CMS LARGO X 30 CMS ANCHO DISTANCIA ENTRE PANEL 30 CMS) Estado: Bueno Placa anterior: 000001772 Material: METALICO Color: GRIS Referencia:  Observacion:  Placa padre: Tipo adquisicion: Entidad</v>
      </c>
      <c r="G22284" s="5"/>
    </row>
    <row r="22285" spans="1:7" ht="58.5" customHeight="1" x14ac:dyDescent="0.25">
      <c r="A22285" s="5" t="str">
        <f>"H0003736"</f>
        <v>H0003736</v>
      </c>
      <c r="B22285" s="5" t="str">
        <f t="shared" si="1114"/>
        <v>ESTANTE METALICO 7 ENTREPAÑOS</v>
      </c>
      <c r="C22285" s="6">
        <v>58000</v>
      </c>
      <c r="D22285" s="5"/>
      <c r="E22285" s="5" t="str">
        <f t="shared" si="1113"/>
        <v>ACTISALUD-ESTADISTICA</v>
      </c>
      <c r="F22285" s="5" t="str">
        <f>"Descripcion: ESTANTERIA PARA HISTORIAS CLINICAS (ALTURA 2 METROS PANEL 90 CMS LARGO X 30 CMS ANCHO DISTANCIA ENTRE PANEL 30 CMS) Estado: Bueno Placa anterior: 000022778 Material: METALICO Color: GRIS Referencia:  Observacion:  Placa padre: Tipo adquisicio"&amp; "n: Entidad"</f>
        <v>Descripcion: ESTANTERIA PARA HISTORIAS CLINICAS (ALTURA 2 METROS PANEL 90 CMS LARGO X 30 CMS ANCHO DISTANCIA ENTRE PANEL 30 CMS) Estado: Bueno Placa anterior: 000022778 Material: METALICO Color: GRIS Referencia:  Observacion:  Placa padre: Tipo adquisicion: Entidad</v>
      </c>
      <c r="G22285" s="5"/>
    </row>
    <row r="22286" spans="1:7" ht="58.5" customHeight="1" x14ac:dyDescent="0.25">
      <c r="A22286" s="5" t="str">
        <f>"H0003737"</f>
        <v>H0003737</v>
      </c>
      <c r="B22286" s="5" t="str">
        <f t="shared" si="1114"/>
        <v>ESTANTE METALICO 7 ENTREPAÑOS</v>
      </c>
      <c r="C22286" s="6">
        <v>58000</v>
      </c>
      <c r="D22286" s="5"/>
      <c r="E22286" s="5" t="str">
        <f t="shared" si="1113"/>
        <v>ACTISALUD-ESTADISTICA</v>
      </c>
      <c r="F22286" s="5" t="str">
        <f>"Descripcion: ESTANTERIA PARA HISTORIAS CLINICAS (ALTURA 2 METROS PANEL 90 CMS LARGO X 30 CMS ANCHO DISTANCIA ENTRE PANEL 30 CMS) Estado: Bueno Placa anterior: 000022777 Material: METALICO Color: GRIS Referencia:  Observacion:  Placa padre: Tipo adquisicio"&amp; "n: Entidad"</f>
        <v>Descripcion: ESTANTERIA PARA HISTORIAS CLINICAS (ALTURA 2 METROS PANEL 90 CMS LARGO X 30 CMS ANCHO DISTANCIA ENTRE PANEL 30 CMS) Estado: Bueno Placa anterior: 000022777 Material: METALICO Color: GRIS Referencia:  Observacion:  Placa padre: Tipo adquisicion: Entidad</v>
      </c>
      <c r="G22286" s="5"/>
    </row>
    <row r="22287" spans="1:7" ht="58.5" customHeight="1" x14ac:dyDescent="0.25">
      <c r="A22287" s="5" t="str">
        <f>"H0003738"</f>
        <v>H0003738</v>
      </c>
      <c r="B22287" s="5" t="str">
        <f t="shared" si="1114"/>
        <v>ESTANTE METALICO 7 ENTREPAÑOS</v>
      </c>
      <c r="C22287" s="6">
        <v>58000</v>
      </c>
      <c r="D22287" s="5"/>
      <c r="E22287" s="5" t="str">
        <f t="shared" si="1113"/>
        <v>ACTISALUD-ESTADISTICA</v>
      </c>
      <c r="F22287" s="5" t="str">
        <f>"Descripcion: ESTANTERIA PARA HISTORIAS CLINICAS (ALTURA 2 METROS PANEL 90 CMS LARGO X 30 CMS ANCHO DISTANCIA ENTRE PANEL 30 CMS) Estado: Bueno Placa anterior: 000022776 Material: METALICO Color: GRIS Referencia:  Observacion:  Placa padre: Tipo adquisicio"&amp; "n: Entidad"</f>
        <v>Descripcion: ESTANTERIA PARA HISTORIAS CLINICAS (ALTURA 2 METROS PANEL 90 CMS LARGO X 30 CMS ANCHO DISTANCIA ENTRE PANEL 30 CMS) Estado: Bueno Placa anterior: 000022776 Material: METALICO Color: GRIS Referencia:  Observacion:  Placa padre: Tipo adquisicion: Entidad</v>
      </c>
      <c r="G22287" s="5"/>
    </row>
    <row r="22288" spans="1:7" ht="58.5" customHeight="1" x14ac:dyDescent="0.25">
      <c r="A22288" s="5" t="str">
        <f>"H0003743"</f>
        <v>H0003743</v>
      </c>
      <c r="B22288" s="5" t="str">
        <f t="shared" si="1114"/>
        <v>ESTANTE METALICO 7 ENTREPAÑOS</v>
      </c>
      <c r="C22288" s="6">
        <v>29533.23</v>
      </c>
      <c r="D22288" s="5"/>
      <c r="E22288" s="5" t="str">
        <f t="shared" si="1113"/>
        <v>ACTISALUD-ESTADISTICA</v>
      </c>
      <c r="F22288" s="5" t="str">
        <f>"Descripcion: ESTANTERIA PARA HISTORIAS CLINICAS (ALTURA 2 METROS PANEL 90 CMS LARGO X 30 CMS ANCHO DISTANCIA ENTRE PANEL 30 CMS) Estado: Bueno Placa anterior: 000001672 Material: METALICO Color: GRIS Referencia:  Observacion:  Placa padre: Tipo adquisicio"&amp; "n: Entidad"</f>
        <v>Descripcion: ESTANTERIA PARA HISTORIAS CLINICAS (ALTURA 2 METROS PANEL 90 CMS LARGO X 30 CMS ANCHO DISTANCIA ENTRE PANEL 30 CMS) Estado: Bueno Placa anterior: 000001672 Material: METALICO Color: GRIS Referencia:  Observacion:  Placa padre: Tipo adquisicion: Entidad</v>
      </c>
      <c r="G22288" s="5"/>
    </row>
    <row r="22289" spans="1:7" ht="58.5" customHeight="1" x14ac:dyDescent="0.25">
      <c r="A22289" s="5" t="str">
        <f>"H0003744"</f>
        <v>H0003744</v>
      </c>
      <c r="B22289" s="5" t="str">
        <f t="shared" si="1114"/>
        <v>ESTANTE METALICO 7 ENTREPAÑOS</v>
      </c>
      <c r="C22289" s="6">
        <v>8840.07</v>
      </c>
      <c r="D22289" s="5"/>
      <c r="E22289" s="5" t="str">
        <f t="shared" si="1113"/>
        <v>ACTISALUD-ESTADISTICA</v>
      </c>
      <c r="F22289" s="5" t="str">
        <f>"Descripcion: ESTANTE METALICO Estado: Bueno Placa anterior: 000002354 Material: METALICO Color: GRIS Referencia:  Observacion:  Placa padre: Tipo adquisicion: Entidad"</f>
        <v>Descripcion: ESTANTE METALICO Estado: Bueno Placa anterior: 000002354 Material: METALICO Color: GRIS Referencia:  Observacion:  Placa padre: Tipo adquisicion: Entidad</v>
      </c>
      <c r="G22289" s="5"/>
    </row>
    <row r="22290" spans="1:7" ht="58.5" customHeight="1" x14ac:dyDescent="0.25">
      <c r="A22290" s="5" t="str">
        <f>"H0003746"</f>
        <v>H0003746</v>
      </c>
      <c r="B22290" s="5" t="str">
        <f t="shared" si="1114"/>
        <v>ESTANTE METALICO 7 ENTREPAÑOS</v>
      </c>
      <c r="C22290" s="6">
        <v>29533.23</v>
      </c>
      <c r="D22290" s="5"/>
      <c r="E22290" s="5" t="str">
        <f t="shared" si="1113"/>
        <v>ACTISALUD-ESTADISTICA</v>
      </c>
      <c r="F22290" s="5" t="str">
        <f>"Descripcion: ESTANTERIA PARA HISTORIAS CLINICAS (ALTURA 2 METROS PANEL 90 CMS LARGO X 30 CMS ANCHO DISTANCIA ENTRE PANEL 30 CMS) Estado: Bueno Placa anterior: 000001783 Material: METALICO Color: GRIS Referencia:  Observacion:  Placa padre: Tipo adquisicio"&amp; "n: Entidad"</f>
        <v>Descripcion: ESTANTERIA PARA HISTORIAS CLINICAS (ALTURA 2 METROS PANEL 90 CMS LARGO X 30 CMS ANCHO DISTANCIA ENTRE PANEL 30 CMS) Estado: Bueno Placa anterior: 000001783 Material: METALICO Color: GRIS Referencia:  Observacion:  Placa padre: Tipo adquisicion: Entidad</v>
      </c>
      <c r="G22290" s="5"/>
    </row>
    <row r="22291" spans="1:7" ht="58.5" customHeight="1" x14ac:dyDescent="0.25">
      <c r="A22291" s="5" t="str">
        <f>"H0003748"</f>
        <v>H0003748</v>
      </c>
      <c r="B22291" s="5" t="str">
        <f t="shared" si="1114"/>
        <v>ESTANTE METALICO 7 ENTREPAÑOS</v>
      </c>
      <c r="C22291" s="6">
        <v>29533.23</v>
      </c>
      <c r="D22291" s="5"/>
      <c r="E22291" s="5" t="str">
        <f t="shared" si="1113"/>
        <v>ACTISALUD-ESTADISTICA</v>
      </c>
      <c r="F22291" s="5" t="str">
        <f>"Descripcion: ESTANTERIA PARA HISTORIAS CLINICAS (ALTURA 2 METROS PANEL 90 CMS LARGO X 30 CMS ANCHO DISTANCIA ENTRE PANEL 30 CMS) Estado: Bueno Placa anterior: 000001716 Material: METALICO Color: GRIS Referencia:  Observacion:  Placa padre: Tipo adquisicio"&amp; "n: Entidad"</f>
        <v>Descripcion: ESTANTERIA PARA HISTORIAS CLINICAS (ALTURA 2 METROS PANEL 90 CMS LARGO X 30 CMS ANCHO DISTANCIA ENTRE PANEL 30 CMS) Estado: Bueno Placa anterior: 000001716 Material: METALICO Color: GRIS Referencia:  Observacion:  Placa padre: Tipo adquisicion: Entidad</v>
      </c>
      <c r="G22291" s="5"/>
    </row>
    <row r="22292" spans="1:7" ht="58.5" customHeight="1" x14ac:dyDescent="0.25">
      <c r="A22292" s="5" t="str">
        <f>"H0003749"</f>
        <v>H0003749</v>
      </c>
      <c r="B22292" s="5" t="str">
        <f t="shared" si="1114"/>
        <v>ESTANTE METALICO 7 ENTREPAÑOS</v>
      </c>
      <c r="C22292" s="6">
        <v>29533.23</v>
      </c>
      <c r="D22292" s="5"/>
      <c r="E22292" s="5" t="str">
        <f t="shared" si="1113"/>
        <v>ACTISALUD-ESTADISTICA</v>
      </c>
      <c r="F22292" s="5" t="str">
        <f>"Descripcion: ESTANTERIA PARA HISTORIAS CLINICAS (ALTURA 2 METROS PANEL 90 CMS LARGO X 30 CMS ANCHO DISTANCIA ENTRE PANEL 30 CMS) Estado: Bueno Placa anterior: 000001778 Material: METALICO Color: GRIS Referencia:  Observacion:  Placa padre: Tipo adquisicio"&amp; "n: Entidad"</f>
        <v>Descripcion: ESTANTERIA PARA HISTORIAS CLINICAS (ALTURA 2 METROS PANEL 90 CMS LARGO X 30 CMS ANCHO DISTANCIA ENTRE PANEL 30 CMS) Estado: Bueno Placa anterior: 000001778 Material: METALICO Color: GRIS Referencia:  Observacion:  Placa padre: Tipo adquisicion: Entidad</v>
      </c>
      <c r="G22292" s="5"/>
    </row>
    <row r="22293" spans="1:7" ht="58.5" customHeight="1" x14ac:dyDescent="0.25">
      <c r="A22293" s="5" t="str">
        <f>"H0003750"</f>
        <v>H0003750</v>
      </c>
      <c r="B22293" s="5" t="str">
        <f t="shared" si="1114"/>
        <v>ESTANTE METALICO 7 ENTREPAÑOS</v>
      </c>
      <c r="C22293" s="6">
        <v>29533.23</v>
      </c>
      <c r="D22293" s="5"/>
      <c r="E22293" s="5" t="str">
        <f t="shared" si="1113"/>
        <v>ACTISALUD-ESTADISTICA</v>
      </c>
      <c r="F22293" s="5" t="str">
        <f>"Descripcion: ESTANTERIA PARA HISTORIAS CLINICAS (ALTURA 2 METROS PANEL 90 CMS LARGO X 30 CMS ANCHO DISTANCIA ENTRE PANEL 30 CMS) Estado: Bueno Placa anterior: 000001722 Material: METALICO Color: GRIS Referencia:  Observacion:  Placa padre: Tipo adquisicio"&amp; "n: Entidad"</f>
        <v>Descripcion: ESTANTERIA PARA HISTORIAS CLINICAS (ALTURA 2 METROS PANEL 90 CMS LARGO X 30 CMS ANCHO DISTANCIA ENTRE PANEL 30 CMS) Estado: Bueno Placa anterior: 000001722 Material: METALICO Color: GRIS Referencia:  Observacion:  Placa padre: Tipo adquisicion: Entidad</v>
      </c>
      <c r="G22293" s="5"/>
    </row>
    <row r="22294" spans="1:7" ht="58.5" customHeight="1" x14ac:dyDescent="0.25">
      <c r="A22294" s="5" t="str">
        <f>"H0003751"</f>
        <v>H0003751</v>
      </c>
      <c r="B22294" s="5" t="str">
        <f t="shared" si="1114"/>
        <v>ESTANTE METALICO 7 ENTREPAÑOS</v>
      </c>
      <c r="C22294" s="6">
        <v>130000</v>
      </c>
      <c r="D22294" s="5"/>
      <c r="E22294" s="5" t="str">
        <f t="shared" si="1113"/>
        <v>ACTISALUD-ESTADISTICA</v>
      </c>
      <c r="F22294" s="5" t="str">
        <f>"Descripcion: ESTANTE METALICO 7 ENTREPAÑOS 2.000 X0.93X0.40 PARAL CAL. 18, ENTREPAÑOS CAL. 22, ACABADO PINTURA HORNEABLE COLOR GRIS Estado: Bueno Placa anterior: 000025704 Material: METALICO Color: GRIS Referencia:  Observacion:  Placa padre: Tipo adquisi"&amp; "cion: Entidad"</f>
        <v>Descripcion: ESTANTE METALICO 7 ENTREPAÑOS 2.000 X0.93X0.40 PARAL CAL. 18, ENTREPAÑOS CAL. 22, ACABADO PINTURA HORNEABLE COLOR GRIS Estado: Bueno Placa anterior: 000025704 Material: METALICO Color: GRIS Referencia:  Observacion:  Placa padre: Tipo adquisicion: Entidad</v>
      </c>
      <c r="G22294" s="5"/>
    </row>
    <row r="22295" spans="1:7" ht="58.5" customHeight="1" x14ac:dyDescent="0.25">
      <c r="A22295" s="5" t="str">
        <f>"H0003752"</f>
        <v>H0003752</v>
      </c>
      <c r="B22295" s="5" t="str">
        <f t="shared" si="1114"/>
        <v>ESTANTE METALICO 7 ENTREPAÑOS</v>
      </c>
      <c r="C22295" s="6">
        <v>29533.23</v>
      </c>
      <c r="D22295" s="5"/>
      <c r="E22295" s="5" t="str">
        <f t="shared" si="1113"/>
        <v>ACTISALUD-ESTADISTICA</v>
      </c>
      <c r="F22295" s="5" t="str">
        <f>"Descripcion: ESTANTERIA PARA HISTORIAS CLINICAS (ALTURA 2 METROS PANEL 90 CMS LARGO X 30 CMS ANCHO DISTANCIA ENTRE PANEL 30 CMS) Estado: Bueno Placa anterior: 000001782 Material: METALICO Color: GRIS Referencia:  Observacion:  Placa padre: Tipo adquisicio"&amp; "n: Entidad"</f>
        <v>Descripcion: ESTANTERIA PARA HISTORIAS CLINICAS (ALTURA 2 METROS PANEL 90 CMS LARGO X 30 CMS ANCHO DISTANCIA ENTRE PANEL 30 CMS) Estado: Bueno Placa anterior: 000001782 Material: METALICO Color: GRIS Referencia:  Observacion:  Placa padre: Tipo adquisicion: Entidad</v>
      </c>
      <c r="G22295" s="5"/>
    </row>
    <row r="22296" spans="1:7" ht="58.5" customHeight="1" x14ac:dyDescent="0.25">
      <c r="A22296" s="5" t="str">
        <f>"H0003753"</f>
        <v>H0003753</v>
      </c>
      <c r="B22296" s="5" t="str">
        <f t="shared" si="1114"/>
        <v>ESTANTE METALICO 7 ENTREPAÑOS</v>
      </c>
      <c r="C22296" s="6">
        <v>29533.23</v>
      </c>
      <c r="D22296" s="5"/>
      <c r="E22296" s="5" t="str">
        <f t="shared" si="1113"/>
        <v>ACTISALUD-ESTADISTICA</v>
      </c>
      <c r="F22296" s="5" t="str">
        <f>"Descripcion: ESTANTERIA PARA HISTORIAS CLINICAS (ALTURA 2 METROS PANEL 90 CMS LARGO X 30 CMS ANCHO DISTANCIA ENTRE PANEL 30 CMS) Estado: Bueno Placa anterior: 000001787 Material: METALICO Color: GRIS Referencia:  Observacion:  Placa padre: Tipo adquisicio"&amp; "n: Entidad"</f>
        <v>Descripcion: ESTANTERIA PARA HISTORIAS CLINICAS (ALTURA 2 METROS PANEL 90 CMS LARGO X 30 CMS ANCHO DISTANCIA ENTRE PANEL 30 CMS) Estado: Bueno Placa anterior: 000001787 Material: METALICO Color: GRIS Referencia:  Observacion:  Placa padre: Tipo adquisicion: Entidad</v>
      </c>
      <c r="G22296" s="5"/>
    </row>
    <row r="22297" spans="1:7" ht="58.5" customHeight="1" x14ac:dyDescent="0.25">
      <c r="A22297" s="5" t="str">
        <f>"H0003754"</f>
        <v>H0003754</v>
      </c>
      <c r="B22297" s="5" t="str">
        <f t="shared" ref="B22297:B22326" si="1115">"ESTANTE METALICO 8 ENTREPAÑOS"</f>
        <v>ESTANTE METALICO 8 ENTREPAÑOS</v>
      </c>
      <c r="C22297" s="6">
        <v>339999</v>
      </c>
      <c r="D22297" s="5" t="s">
        <v>258</v>
      </c>
      <c r="E22297" s="5" t="str">
        <f t="shared" si="1113"/>
        <v>ACTISALUD-ESTADISTICA</v>
      </c>
      <c r="F22297" s="5" t="str">
        <f>"Descripcion: ESTANTE METALICO DE 8 ENTREPAÑOS CALIBRE 20 DE 2.40X041X1.10 DE ANCHO PINTURA ANTICORROSIVA Estado: Bueno Placa anterior: 000030053 Material: METALICO Color: GRIS Referencia:  Observacion:  Placa padre: Tipo adquisicion: Entidad"</f>
        <v>Descripcion: ESTANTE METALICO DE 8 ENTREPAÑOS CALIBRE 20 DE 2.40X041X1.10 DE ANCHO PINTURA ANTICORROSIVA Estado: Bueno Placa anterior: 000030053 Material: METALICO Color: GRIS Referencia:  Observacion:  Placa padre: Tipo adquisicion: Entidad</v>
      </c>
      <c r="G22297" s="5"/>
    </row>
    <row r="22298" spans="1:7" ht="58.5" customHeight="1" x14ac:dyDescent="0.25">
      <c r="A22298" s="5" t="str">
        <f>"H0003755"</f>
        <v>H0003755</v>
      </c>
      <c r="B22298" s="5" t="str">
        <f t="shared" si="1115"/>
        <v>ESTANTE METALICO 8 ENTREPAÑOS</v>
      </c>
      <c r="C22298" s="6">
        <v>339999</v>
      </c>
      <c r="D22298" s="5" t="s">
        <v>258</v>
      </c>
      <c r="E22298" s="5" t="str">
        <f t="shared" si="1113"/>
        <v>ACTISALUD-ESTADISTICA</v>
      </c>
      <c r="F22298" s="5" t="str">
        <f>"Descripcion: ESTANTE METALICO DE 8 ENTREPAÑOS CALIBRE 20 DE 2.40X041X1.10 DE ANCHO PINTURA ANTICORROSIVA Estado: Bueno Placa anterior: 000030055 Material: METALICO Color: GRIS Referencia:  Observacion:  Placa padre: Tipo adquisicion: Entidad"</f>
        <v>Descripcion: ESTANTE METALICO DE 8 ENTREPAÑOS CALIBRE 20 DE 2.40X041X1.10 DE ANCHO PINTURA ANTICORROSIVA Estado: Bueno Placa anterior: 000030055 Material: METALICO Color: GRIS Referencia:  Observacion:  Placa padre: Tipo adquisicion: Entidad</v>
      </c>
      <c r="G22298" s="5"/>
    </row>
    <row r="22299" spans="1:7" ht="58.5" customHeight="1" x14ac:dyDescent="0.25">
      <c r="A22299" s="5" t="str">
        <f>"H0003756"</f>
        <v>H0003756</v>
      </c>
      <c r="B22299" s="5" t="str">
        <f t="shared" si="1115"/>
        <v>ESTANTE METALICO 8 ENTREPAÑOS</v>
      </c>
      <c r="C22299" s="6">
        <v>339999</v>
      </c>
      <c r="D22299" s="5" t="s">
        <v>258</v>
      </c>
      <c r="E22299" s="5" t="str">
        <f t="shared" si="1113"/>
        <v>ACTISALUD-ESTADISTICA</v>
      </c>
      <c r="F22299" s="5" t="str">
        <f>"Descripcion: ESTANTE METALICO DE 8 ENTREPAÑOS CALIBRE 20 DE 2.40X041X1.10 DE ANCHO PINTURA ANTICORROSIVA Estado: Bueno Placa anterior: 000030056 Material: METALICO Color: GRIS Referencia:  Observacion:  Placa padre: Tipo adquisicion: Entidad"</f>
        <v>Descripcion: ESTANTE METALICO DE 8 ENTREPAÑOS CALIBRE 20 DE 2.40X041X1.10 DE ANCHO PINTURA ANTICORROSIVA Estado: Bueno Placa anterior: 000030056 Material: METALICO Color: GRIS Referencia:  Observacion:  Placa padre: Tipo adquisicion: Entidad</v>
      </c>
      <c r="G22299" s="5"/>
    </row>
    <row r="22300" spans="1:7" ht="58.5" customHeight="1" x14ac:dyDescent="0.25">
      <c r="A22300" s="5" t="str">
        <f>"H0003757"</f>
        <v>H0003757</v>
      </c>
      <c r="B22300" s="5" t="str">
        <f t="shared" si="1115"/>
        <v>ESTANTE METALICO 8 ENTREPAÑOS</v>
      </c>
      <c r="C22300" s="6">
        <v>339999</v>
      </c>
      <c r="D22300" s="5" t="s">
        <v>258</v>
      </c>
      <c r="E22300" s="5" t="str">
        <f t="shared" si="1113"/>
        <v>ACTISALUD-ESTADISTICA</v>
      </c>
      <c r="F22300" s="5" t="str">
        <f>"Descripcion: ESTANTE METALICO DE 8 ENTREPAÑOS CALIBRE 20 DE 2.40X041X1.10 DE ANCHO PINTURA ANTICORROSIVA Estado: Bueno Placa anterior: 000030057 Material: METALICO Color: GRIS Referencia:  Observacion:  Placa padre: Tipo adquisicion: Entidad"</f>
        <v>Descripcion: ESTANTE METALICO DE 8 ENTREPAÑOS CALIBRE 20 DE 2.40X041X1.10 DE ANCHO PINTURA ANTICORROSIVA Estado: Bueno Placa anterior: 000030057 Material: METALICO Color: GRIS Referencia:  Observacion:  Placa padre: Tipo adquisicion: Entidad</v>
      </c>
      <c r="G22300" s="5"/>
    </row>
    <row r="22301" spans="1:7" ht="58.5" customHeight="1" x14ac:dyDescent="0.25">
      <c r="A22301" s="5" t="str">
        <f>"H0003758"</f>
        <v>H0003758</v>
      </c>
      <c r="B22301" s="5" t="str">
        <f t="shared" si="1115"/>
        <v>ESTANTE METALICO 8 ENTREPAÑOS</v>
      </c>
      <c r="C22301" s="6">
        <v>339999</v>
      </c>
      <c r="D22301" s="5" t="s">
        <v>258</v>
      </c>
      <c r="E22301" s="5" t="str">
        <f t="shared" si="1113"/>
        <v>ACTISALUD-ESTADISTICA</v>
      </c>
      <c r="F22301" s="5" t="str">
        <f>"Descripcion: ESTANTE METALICO DE 8 ENTREPAÑOS CALIBRE 20 DE 2.40X041X1.10 DE ANCHO PINTURA ANTICORROSIVA Estado: Bueno Placa anterior: 000030058 Material: METALICO Color: GRIS Referencia:  Observacion:  Placa padre: Tipo adquisicion: Entidad"</f>
        <v>Descripcion: ESTANTE METALICO DE 8 ENTREPAÑOS CALIBRE 20 DE 2.40X041X1.10 DE ANCHO PINTURA ANTICORROSIVA Estado: Bueno Placa anterior: 000030058 Material: METALICO Color: GRIS Referencia:  Observacion:  Placa padre: Tipo adquisicion: Entidad</v>
      </c>
      <c r="G22301" s="5"/>
    </row>
    <row r="22302" spans="1:7" ht="58.5" customHeight="1" x14ac:dyDescent="0.25">
      <c r="A22302" s="5" t="str">
        <f>"H0003760"</f>
        <v>H0003760</v>
      </c>
      <c r="B22302" s="5" t="str">
        <f t="shared" si="1115"/>
        <v>ESTANTE METALICO 8 ENTREPAÑOS</v>
      </c>
      <c r="C22302" s="6">
        <v>339999</v>
      </c>
      <c r="D22302" s="5" t="s">
        <v>258</v>
      </c>
      <c r="E22302" s="5" t="str">
        <f t="shared" si="1113"/>
        <v>ACTISALUD-ESTADISTICA</v>
      </c>
      <c r="F22302" s="5" t="str">
        <f>"Descripcion: ESTANTE METALICO DE 8 ENTREPAÑOS CALIBRE 20 DE 2.40X041X1.10 DE ANCHO PINTURA ANTICORROSIVA Estado: Bueno Placa anterior: 000030060 Material: METALICO Color: GRIS Referencia:  Observacion:  Placa padre: Tipo adquisicion: Entidad"</f>
        <v>Descripcion: ESTANTE METALICO DE 8 ENTREPAÑOS CALIBRE 20 DE 2.40X041X1.10 DE ANCHO PINTURA ANTICORROSIVA Estado: Bueno Placa anterior: 000030060 Material: METALICO Color: GRIS Referencia:  Observacion:  Placa padre: Tipo adquisicion: Entidad</v>
      </c>
      <c r="G22302" s="5"/>
    </row>
    <row r="22303" spans="1:7" ht="58.5" customHeight="1" x14ac:dyDescent="0.25">
      <c r="A22303" s="5" t="str">
        <f>"H0003761"</f>
        <v>H0003761</v>
      </c>
      <c r="B22303" s="5" t="str">
        <f t="shared" si="1115"/>
        <v>ESTANTE METALICO 8 ENTREPAÑOS</v>
      </c>
      <c r="C22303" s="6">
        <v>339999</v>
      </c>
      <c r="D22303" s="5" t="s">
        <v>258</v>
      </c>
      <c r="E22303" s="5" t="str">
        <f t="shared" si="1113"/>
        <v>ACTISALUD-ESTADISTICA</v>
      </c>
      <c r="F22303" s="5" t="str">
        <f>"Descripcion: ESTANTE METALICO DE 8 ENTREPAÑOS CALIBRE 20 DE 2.40X041X1.10 DE ANCHO PINTURA ANTICORROSIVA Estado: Bueno Placa anterior: 000030059 Material: METALICO Color: GRIS Referencia:  Observacion:  Placa padre: Tipo adquisicion: Entidad"</f>
        <v>Descripcion: ESTANTE METALICO DE 8 ENTREPAÑOS CALIBRE 20 DE 2.40X041X1.10 DE ANCHO PINTURA ANTICORROSIVA Estado: Bueno Placa anterior: 000030059 Material: METALICO Color: GRIS Referencia:  Observacion:  Placa padre: Tipo adquisicion: Entidad</v>
      </c>
      <c r="G22303" s="5"/>
    </row>
    <row r="22304" spans="1:7" ht="58.5" customHeight="1" x14ac:dyDescent="0.25">
      <c r="A22304" s="5" t="str">
        <f>"H0003762"</f>
        <v>H0003762</v>
      </c>
      <c r="B22304" s="5" t="str">
        <f t="shared" si="1115"/>
        <v>ESTANTE METALICO 8 ENTREPAÑOS</v>
      </c>
      <c r="C22304" s="6">
        <v>339999</v>
      </c>
      <c r="D22304" s="5" t="s">
        <v>258</v>
      </c>
      <c r="E22304" s="5" t="str">
        <f t="shared" si="1113"/>
        <v>ACTISALUD-ESTADISTICA</v>
      </c>
      <c r="F22304" s="5" t="str">
        <f>"Descripcion: ESTANTE METALICO DE 8 ENTREPAÑOS CALIBRE 20 DE 2.40X041X1.10 DE ANCHO PINTURA ANTICORROSIVA Estado: Bueno Placa anterior: 000030061 Material: METALICO Color: GRIS Referencia:  Observacion:  Placa padre: Tipo adquisicion: Entidad"</f>
        <v>Descripcion: ESTANTE METALICO DE 8 ENTREPAÑOS CALIBRE 20 DE 2.40X041X1.10 DE ANCHO PINTURA ANTICORROSIVA Estado: Bueno Placa anterior: 000030061 Material: METALICO Color: GRIS Referencia:  Observacion:  Placa padre: Tipo adquisicion: Entidad</v>
      </c>
      <c r="G22304" s="5"/>
    </row>
    <row r="22305" spans="1:7" ht="58.5" customHeight="1" x14ac:dyDescent="0.25">
      <c r="A22305" s="5" t="str">
        <f>"H0003763"</f>
        <v>H0003763</v>
      </c>
      <c r="B22305" s="5" t="str">
        <f t="shared" si="1115"/>
        <v>ESTANTE METALICO 8 ENTREPAÑOS</v>
      </c>
      <c r="C22305" s="6">
        <v>339999</v>
      </c>
      <c r="D22305" s="5" t="s">
        <v>258</v>
      </c>
      <c r="E22305" s="5" t="str">
        <f t="shared" si="1113"/>
        <v>ACTISALUD-ESTADISTICA</v>
      </c>
      <c r="F22305" s="5" t="str">
        <f>"Descripcion: ESTANTE METALICO DE 8 ENTREPAÑOS CALIBRE 20 DE 2.40X041X1.10 DE ANCHO PINTURA ANTICORROSIVA Estado: Bueno Placa anterior: 000030062 Material: METALICO Color: GRIS Referencia:  Observacion:  Placa padre: Tipo adquisicion: Entidad"</f>
        <v>Descripcion: ESTANTE METALICO DE 8 ENTREPAÑOS CALIBRE 20 DE 2.40X041X1.10 DE ANCHO PINTURA ANTICORROSIVA Estado: Bueno Placa anterior: 000030062 Material: METALICO Color: GRIS Referencia:  Observacion:  Placa padre: Tipo adquisicion: Entidad</v>
      </c>
      <c r="G22305" s="5"/>
    </row>
    <row r="22306" spans="1:7" ht="58.5" customHeight="1" x14ac:dyDescent="0.25">
      <c r="A22306" s="5" t="str">
        <f>"H0003764"</f>
        <v>H0003764</v>
      </c>
      <c r="B22306" s="5" t="str">
        <f t="shared" si="1115"/>
        <v>ESTANTE METALICO 8 ENTREPAÑOS</v>
      </c>
      <c r="C22306" s="6">
        <v>339999</v>
      </c>
      <c r="D22306" s="5" t="s">
        <v>258</v>
      </c>
      <c r="E22306" s="5" t="str">
        <f t="shared" si="1113"/>
        <v>ACTISALUD-ESTADISTICA</v>
      </c>
      <c r="F22306" s="5" t="str">
        <f>"Descripcion: ESTANTE METALICO DE 8 ENTREPAÑOS CALIBRE 20 DE 2.40X041X1.10 DE ANCHO PINTURA ANTICORROSIVA Estado: Bueno Placa anterior: 000030063 Material: METALICO Color: GRIS Referencia:  Observacion:  Placa padre: Tipo adquisicion: Entidad"</f>
        <v>Descripcion: ESTANTE METALICO DE 8 ENTREPAÑOS CALIBRE 20 DE 2.40X041X1.10 DE ANCHO PINTURA ANTICORROSIVA Estado: Bueno Placa anterior: 000030063 Material: METALICO Color: GRIS Referencia:  Observacion:  Placa padre: Tipo adquisicion: Entidad</v>
      </c>
      <c r="G22306" s="5"/>
    </row>
    <row r="22307" spans="1:7" ht="58.5" customHeight="1" x14ac:dyDescent="0.25">
      <c r="A22307" s="5" t="str">
        <f>"H0003765"</f>
        <v>H0003765</v>
      </c>
      <c r="B22307" s="5" t="str">
        <f t="shared" si="1115"/>
        <v>ESTANTE METALICO 8 ENTREPAÑOS</v>
      </c>
      <c r="C22307" s="6">
        <v>26611</v>
      </c>
      <c r="D22307" s="5"/>
      <c r="E22307" s="5" t="str">
        <f t="shared" si="1113"/>
        <v>ACTISALUD-ESTADISTICA</v>
      </c>
      <c r="F22307" s="5" t="str">
        <f>"Descripcion: ESTANTE METALICO DE 8 ENTREPAÑOS CALIBRE 20 DE 2.40X041X1.10 DE ANCHO PINTURA ANTICORROSIVA Estado: Bueno Placa anterior: 000001599 Material: METALICO Color: GRIS Referencia:  Observacion:  Placa padre: Tipo adquisicion: Entidad"</f>
        <v>Descripcion: ESTANTE METALICO DE 8 ENTREPAÑOS CALIBRE 20 DE 2.40X041X1.10 DE ANCHO PINTURA ANTICORROSIVA Estado: Bueno Placa anterior: 000001599 Material: METALICO Color: GRIS Referencia:  Observacion:  Placa padre: Tipo adquisicion: Entidad</v>
      </c>
      <c r="G22307" s="5"/>
    </row>
    <row r="22308" spans="1:7" ht="58.5" customHeight="1" x14ac:dyDescent="0.25">
      <c r="A22308" s="5" t="str">
        <f>"H0003766"</f>
        <v>H0003766</v>
      </c>
      <c r="B22308" s="5" t="str">
        <f t="shared" si="1115"/>
        <v>ESTANTE METALICO 8 ENTREPAÑOS</v>
      </c>
      <c r="C22308" s="6">
        <v>339999</v>
      </c>
      <c r="D22308" s="5" t="s">
        <v>258</v>
      </c>
      <c r="E22308" s="5" t="str">
        <f t="shared" si="1113"/>
        <v>ACTISALUD-ESTADISTICA</v>
      </c>
      <c r="F22308" s="5" t="str">
        <f>"Descripcion: ESTANTE METALICO DE 8 ENTREPAÑOS CALIBRE 20 DE 2.40X041X1.10 DE ANCHO PINTURA ANTICORROSIVA Estado: Bueno Placa anterior: 000030065 Material: METALICO Color: GRIS Referencia:  Observacion:  Placa padre: Tipo adquisicion: Entidad"</f>
        <v>Descripcion: ESTANTE METALICO DE 8 ENTREPAÑOS CALIBRE 20 DE 2.40X041X1.10 DE ANCHO PINTURA ANTICORROSIVA Estado: Bueno Placa anterior: 000030065 Material: METALICO Color: GRIS Referencia:  Observacion:  Placa padre: Tipo adquisicion: Entidad</v>
      </c>
      <c r="G22308" s="5"/>
    </row>
    <row r="22309" spans="1:7" ht="58.5" customHeight="1" x14ac:dyDescent="0.25">
      <c r="A22309" s="5" t="str">
        <f>"H0003767"</f>
        <v>H0003767</v>
      </c>
      <c r="B22309" s="5" t="str">
        <f t="shared" si="1115"/>
        <v>ESTANTE METALICO 8 ENTREPAÑOS</v>
      </c>
      <c r="C22309" s="6">
        <v>339999</v>
      </c>
      <c r="D22309" s="5" t="s">
        <v>258</v>
      </c>
      <c r="E22309" s="5" t="str">
        <f t="shared" si="1113"/>
        <v>ACTISALUD-ESTADISTICA</v>
      </c>
      <c r="F22309" s="5" t="str">
        <f>"Descripcion: ESTANTE METALICO DE 8 ENTREPAÑOS CALIBRE 20 DE 2.40X041X1.10 DE ANCHO PINTURA ANTICORROSIVA Estado: Bueno Placa anterior: 000030066 Material: METALICO Color: GRIS Referencia:  Observacion:  Placa padre: Tipo adquisicion: Entidad"</f>
        <v>Descripcion: ESTANTE METALICO DE 8 ENTREPAÑOS CALIBRE 20 DE 2.40X041X1.10 DE ANCHO PINTURA ANTICORROSIVA Estado: Bueno Placa anterior: 000030066 Material: METALICO Color: GRIS Referencia:  Observacion:  Placa padre: Tipo adquisicion: Entidad</v>
      </c>
      <c r="G22309" s="5"/>
    </row>
    <row r="22310" spans="1:7" ht="58.5" customHeight="1" x14ac:dyDescent="0.25">
      <c r="A22310" s="5" t="str">
        <f>"H0003768"</f>
        <v>H0003768</v>
      </c>
      <c r="B22310" s="5" t="str">
        <f t="shared" si="1115"/>
        <v>ESTANTE METALICO 8 ENTREPAÑOS</v>
      </c>
      <c r="C22310" s="6">
        <v>339999</v>
      </c>
      <c r="D22310" s="5" t="s">
        <v>258</v>
      </c>
      <c r="E22310" s="5" t="str">
        <f t="shared" si="1113"/>
        <v>ACTISALUD-ESTADISTICA</v>
      </c>
      <c r="F22310" s="5" t="str">
        <f>"Descripcion: ESTANTE METALICO DE 8 ENTREPAÑOS CALIBRE 20 DE 2.40X041X1.10 DE ANCHO PINTURA ANTICORROSIVA Estado: Bueno Placa anterior: 000030067 Material: METALICO Color: GRIS Referencia:  Observacion:  Placa padre: Tipo adquisicion: Entidad"</f>
        <v>Descripcion: ESTANTE METALICO DE 8 ENTREPAÑOS CALIBRE 20 DE 2.40X041X1.10 DE ANCHO PINTURA ANTICORROSIVA Estado: Bueno Placa anterior: 000030067 Material: METALICO Color: GRIS Referencia:  Observacion:  Placa padre: Tipo adquisicion: Entidad</v>
      </c>
      <c r="G22310" s="5"/>
    </row>
    <row r="22311" spans="1:7" ht="58.5" customHeight="1" x14ac:dyDescent="0.25">
      <c r="A22311" s="5" t="str">
        <f>"H0003769"</f>
        <v>H0003769</v>
      </c>
      <c r="B22311" s="5" t="str">
        <f t="shared" si="1115"/>
        <v>ESTANTE METALICO 8 ENTREPAÑOS</v>
      </c>
      <c r="C22311" s="6">
        <v>339999</v>
      </c>
      <c r="D22311" s="5" t="s">
        <v>258</v>
      </c>
      <c r="E22311" s="5" t="str">
        <f t="shared" si="1113"/>
        <v>ACTISALUD-ESTADISTICA</v>
      </c>
      <c r="F22311" s="5" t="str">
        <f>"Descripcion: ESTANTE METALICO DE 8 ENTREPAÑOS CALIBRE 20 DE 2.40X041X1.10 DE ANCHO PINTURA ANTICORROSIVA Estado: Bueno Placa anterior: 000030068 Material: METALICO Color: GRIS Referencia:  Observacion:  Placa padre: Tipo adquisicion: Entidad"</f>
        <v>Descripcion: ESTANTE METALICO DE 8 ENTREPAÑOS CALIBRE 20 DE 2.40X041X1.10 DE ANCHO PINTURA ANTICORROSIVA Estado: Bueno Placa anterior: 000030068 Material: METALICO Color: GRIS Referencia:  Observacion:  Placa padre: Tipo adquisicion: Entidad</v>
      </c>
      <c r="G22311" s="5"/>
    </row>
    <row r="22312" spans="1:7" ht="58.5" customHeight="1" x14ac:dyDescent="0.25">
      <c r="A22312" s="5" t="str">
        <f>"H0003770"</f>
        <v>H0003770</v>
      </c>
      <c r="B22312" s="5" t="str">
        <f t="shared" si="1115"/>
        <v>ESTANTE METALICO 8 ENTREPAÑOS</v>
      </c>
      <c r="C22312" s="6">
        <v>6916.85</v>
      </c>
      <c r="D22312" s="5"/>
      <c r="E22312" s="5" t="str">
        <f t="shared" si="1113"/>
        <v>ACTISALUD-ESTADISTICA</v>
      </c>
      <c r="F22312" s="5" t="str">
        <f>"Descripcion: ESTANTE METALICO Estado: Bueno Placa anterior: 000021120 Material: METALICO Color: GRIS Referencia:  Observacion:  Placa padre: Tipo adquisicion: Entidad"</f>
        <v>Descripcion: ESTANTE METALICO Estado: Bueno Placa anterior: 000021120 Material: METALICO Color: GRIS Referencia:  Observacion:  Placa padre: Tipo adquisicion: Entidad</v>
      </c>
      <c r="G22312" s="5"/>
    </row>
    <row r="22313" spans="1:7" ht="58.5" customHeight="1" x14ac:dyDescent="0.25">
      <c r="A22313" s="5" t="str">
        <f>"H0003771"</f>
        <v>H0003771</v>
      </c>
      <c r="B22313" s="5" t="str">
        <f t="shared" si="1115"/>
        <v>ESTANTE METALICO 8 ENTREPAÑOS</v>
      </c>
      <c r="C22313" s="6">
        <v>339999</v>
      </c>
      <c r="D22313" s="5" t="s">
        <v>258</v>
      </c>
      <c r="E22313" s="5" t="str">
        <f t="shared" si="1113"/>
        <v>ACTISALUD-ESTADISTICA</v>
      </c>
      <c r="F22313" s="5" t="str">
        <f>"Descripcion: ESTANTE METALICO DE 8 ENTREPAÑOS CALIBRE 20 DE 2.40X041X1.10 DE ANCHO PINTURA ANTICORROSIVA Estado: Bueno Placa anterior: 000030080 Material: METALICO Color: GRIS Referencia:  Observacion:  Placa padre: Tipo adquisicion: Entidad"</f>
        <v>Descripcion: ESTANTE METALICO DE 8 ENTREPAÑOS CALIBRE 20 DE 2.40X041X1.10 DE ANCHO PINTURA ANTICORROSIVA Estado: Bueno Placa anterior: 000030080 Material: METALICO Color: GRIS Referencia:  Observacion:  Placa padre: Tipo adquisicion: Entidad</v>
      </c>
      <c r="G22313" s="5"/>
    </row>
    <row r="22314" spans="1:7" ht="58.5" customHeight="1" x14ac:dyDescent="0.25">
      <c r="A22314" s="5" t="str">
        <f>"H0003772"</f>
        <v>H0003772</v>
      </c>
      <c r="B22314" s="5" t="str">
        <f t="shared" si="1115"/>
        <v>ESTANTE METALICO 8 ENTREPAÑOS</v>
      </c>
      <c r="C22314" s="6">
        <v>339999</v>
      </c>
      <c r="D22314" s="5" t="s">
        <v>258</v>
      </c>
      <c r="E22314" s="5" t="str">
        <f t="shared" si="1113"/>
        <v>ACTISALUD-ESTADISTICA</v>
      </c>
      <c r="F22314" s="5" t="str">
        <f>"Descripcion: ESTANTE METALICO DE 8 ENTREPAÑOS CALIBRE 20 DE 2.40X041X1.10 DE ANCHO PINTURA ANTICORROSIVA Estado: Bueno Placa anterior: 000030079 Material: METALICO Color: GRIS Referencia:  Observacion:  Placa padre: Tipo adquisicion: Entidad"</f>
        <v>Descripcion: ESTANTE METALICO DE 8 ENTREPAÑOS CALIBRE 20 DE 2.40X041X1.10 DE ANCHO PINTURA ANTICORROSIVA Estado: Bueno Placa anterior: 000030079 Material: METALICO Color: GRIS Referencia:  Observacion:  Placa padre: Tipo adquisicion: Entidad</v>
      </c>
      <c r="G22314" s="5"/>
    </row>
    <row r="22315" spans="1:7" ht="58.5" customHeight="1" x14ac:dyDescent="0.25">
      <c r="A22315" s="5" t="str">
        <f>"H0003774"</f>
        <v>H0003774</v>
      </c>
      <c r="B22315" s="5" t="str">
        <f t="shared" si="1115"/>
        <v>ESTANTE METALICO 8 ENTREPAÑOS</v>
      </c>
      <c r="C22315" s="6">
        <v>339999</v>
      </c>
      <c r="D22315" s="5" t="s">
        <v>258</v>
      </c>
      <c r="E22315" s="5" t="str">
        <f t="shared" si="1113"/>
        <v>ACTISALUD-ESTADISTICA</v>
      </c>
      <c r="F22315" s="5" t="str">
        <f>"Descripcion: ESTANTE METALICO DE 8 ENTREPAÑOS CALIBRE 20 DE 2.40X041X1.10 DE ANCHO PINTURA ANTICORROSIVA Estado: Bueno Placa anterior: 000030077 Material: METALICO Color: GRIS Referencia:  Observacion:  Placa padre: Tipo adquisicion: Entidad"</f>
        <v>Descripcion: ESTANTE METALICO DE 8 ENTREPAÑOS CALIBRE 20 DE 2.40X041X1.10 DE ANCHO PINTURA ANTICORROSIVA Estado: Bueno Placa anterior: 000030077 Material: METALICO Color: GRIS Referencia:  Observacion:  Placa padre: Tipo adquisicion: Entidad</v>
      </c>
      <c r="G22315" s="5"/>
    </row>
    <row r="22316" spans="1:7" ht="58.5" customHeight="1" x14ac:dyDescent="0.25">
      <c r="A22316" s="5" t="str">
        <f>"H0003775"</f>
        <v>H0003775</v>
      </c>
      <c r="B22316" s="5" t="str">
        <f t="shared" si="1115"/>
        <v>ESTANTE METALICO 8 ENTREPAÑOS</v>
      </c>
      <c r="C22316" s="6">
        <v>339999</v>
      </c>
      <c r="D22316" s="5" t="s">
        <v>258</v>
      </c>
      <c r="E22316" s="5" t="str">
        <f t="shared" si="1113"/>
        <v>ACTISALUD-ESTADISTICA</v>
      </c>
      <c r="F22316" s="5" t="str">
        <f>"Descripcion: ESTANTE METALICO DE 8 ENTREPAÑOS CALIBRE 20 DE 2.40X041X1.10 DE ANCHO PINTURA ANTICORROSIVA Estado: Bueno Placa anterior: 000030076 Material: METALICO Color: GRIS Referencia:  Observacion:  Placa padre: Tipo adquisicion: Entidad"</f>
        <v>Descripcion: ESTANTE METALICO DE 8 ENTREPAÑOS CALIBRE 20 DE 2.40X041X1.10 DE ANCHO PINTURA ANTICORROSIVA Estado: Bueno Placa anterior: 000030076 Material: METALICO Color: GRIS Referencia:  Observacion:  Placa padre: Tipo adquisicion: Entidad</v>
      </c>
      <c r="G22316" s="5"/>
    </row>
    <row r="22317" spans="1:7" ht="58.5" customHeight="1" x14ac:dyDescent="0.25">
      <c r="A22317" s="5" t="str">
        <f>"H0003776"</f>
        <v>H0003776</v>
      </c>
      <c r="B22317" s="5" t="str">
        <f t="shared" si="1115"/>
        <v>ESTANTE METALICO 8 ENTREPAÑOS</v>
      </c>
      <c r="C22317" s="6">
        <v>339999</v>
      </c>
      <c r="D22317" s="5" t="s">
        <v>258</v>
      </c>
      <c r="E22317" s="5" t="str">
        <f t="shared" si="1113"/>
        <v>ACTISALUD-ESTADISTICA</v>
      </c>
      <c r="F22317" s="5" t="str">
        <f>"Descripcion: ESTANTE METALICO DE 8 ENTREPAÑOS CALIBRE 20 DE 2.40X041X1.10 DE ANCHO PINTURA ANTICORROSIVA Estado: Bueno Placa anterior: 000030075 Material: METALICO Color: GRIS Referencia:  Observacion:  Placa padre: Tipo adquisicion: Entidad"</f>
        <v>Descripcion: ESTANTE METALICO DE 8 ENTREPAÑOS CALIBRE 20 DE 2.40X041X1.10 DE ANCHO PINTURA ANTICORROSIVA Estado: Bueno Placa anterior: 000030075 Material: METALICO Color: GRIS Referencia:  Observacion:  Placa padre: Tipo adquisicion: Entidad</v>
      </c>
      <c r="G22317" s="5"/>
    </row>
    <row r="22318" spans="1:7" ht="58.5" customHeight="1" x14ac:dyDescent="0.25">
      <c r="A22318" s="5" t="str">
        <f>"H0003777"</f>
        <v>H0003777</v>
      </c>
      <c r="B22318" s="5" t="str">
        <f t="shared" si="1115"/>
        <v>ESTANTE METALICO 8 ENTREPAÑOS</v>
      </c>
      <c r="C22318" s="6">
        <v>339999</v>
      </c>
      <c r="D22318" s="5" t="s">
        <v>258</v>
      </c>
      <c r="E22318" s="5" t="str">
        <f t="shared" si="1113"/>
        <v>ACTISALUD-ESTADISTICA</v>
      </c>
      <c r="F22318" s="5" t="str">
        <f>"Descripcion: ESTANTE METALICO DE 8 ENTREPAÑOS CALIBRE 20 DE 2.40X041X1.10 DE ANCHO PINTURA ANTICORROSIVA Estado: Bueno Placa anterior: 000030074 Material: METALICO Color: GRIS Referencia:  Observacion:  Placa padre: Tipo adquisicion: Entidad"</f>
        <v>Descripcion: ESTANTE METALICO DE 8 ENTREPAÑOS CALIBRE 20 DE 2.40X041X1.10 DE ANCHO PINTURA ANTICORROSIVA Estado: Bueno Placa anterior: 000030074 Material: METALICO Color: GRIS Referencia:  Observacion:  Placa padre: Tipo adquisicion: Entidad</v>
      </c>
      <c r="G22318" s="5"/>
    </row>
    <row r="22319" spans="1:7" ht="58.5" customHeight="1" x14ac:dyDescent="0.25">
      <c r="A22319" s="5" t="str">
        <f>"H0003778"</f>
        <v>H0003778</v>
      </c>
      <c r="B22319" s="5" t="str">
        <f t="shared" si="1115"/>
        <v>ESTANTE METALICO 8 ENTREPAÑOS</v>
      </c>
      <c r="C22319" s="6">
        <v>339999</v>
      </c>
      <c r="D22319" s="5" t="s">
        <v>258</v>
      </c>
      <c r="E22319" s="5" t="str">
        <f t="shared" si="1113"/>
        <v>ACTISALUD-ESTADISTICA</v>
      </c>
      <c r="F22319" s="5" t="str">
        <f>"Descripcion: ESTANTE METALICO DE 8 ENTREPAÑOS CALIBRE 20 DE 2.40X041X1.10 DE ANCHO PINTURA ANTICORROSIVA Estado: Bueno Placa anterior: 000030073 Material: METALICO Color: GRIS Referencia:  Observacion:  Placa padre: Tipo adquisicion: Entidad"</f>
        <v>Descripcion: ESTANTE METALICO DE 8 ENTREPAÑOS CALIBRE 20 DE 2.40X041X1.10 DE ANCHO PINTURA ANTICORROSIVA Estado: Bueno Placa anterior: 000030073 Material: METALICO Color: GRIS Referencia:  Observacion:  Placa padre: Tipo adquisicion: Entidad</v>
      </c>
      <c r="G22319" s="5"/>
    </row>
    <row r="22320" spans="1:7" ht="58.5" customHeight="1" x14ac:dyDescent="0.25">
      <c r="A22320" s="5" t="str">
        <f>"H0003779"</f>
        <v>H0003779</v>
      </c>
      <c r="B22320" s="5" t="str">
        <f t="shared" si="1115"/>
        <v>ESTANTE METALICO 8 ENTREPAÑOS</v>
      </c>
      <c r="C22320" s="6">
        <v>339999</v>
      </c>
      <c r="D22320" s="5" t="s">
        <v>258</v>
      </c>
      <c r="E22320" s="5" t="str">
        <f t="shared" si="1113"/>
        <v>ACTISALUD-ESTADISTICA</v>
      </c>
      <c r="F22320" s="5" t="str">
        <f>"Descripcion: ESTANTE METALICO DE 8 ENTREPAÑOS CALIBRE 20 DE 2.40X041X1.10 DE ANCHO PINTURA ANTICORROSIVA Estado: Bueno Placa anterior: 000030072 Material: METALICO Color: GRIS Referencia:  Observacion:  Placa padre: Tipo adquisicion: Entidad"</f>
        <v>Descripcion: ESTANTE METALICO DE 8 ENTREPAÑOS CALIBRE 20 DE 2.40X041X1.10 DE ANCHO PINTURA ANTICORROSIVA Estado: Bueno Placa anterior: 000030072 Material: METALICO Color: GRIS Referencia:  Observacion:  Placa padre: Tipo adquisicion: Entidad</v>
      </c>
      <c r="G22320" s="5"/>
    </row>
    <row r="22321" spans="1:7" ht="58.5" customHeight="1" x14ac:dyDescent="0.25">
      <c r="A22321" s="5" t="str">
        <f>"H0003780"</f>
        <v>H0003780</v>
      </c>
      <c r="B22321" s="5" t="str">
        <f t="shared" si="1115"/>
        <v>ESTANTE METALICO 8 ENTREPAÑOS</v>
      </c>
      <c r="C22321" s="6">
        <v>339999</v>
      </c>
      <c r="D22321" s="5" t="s">
        <v>258</v>
      </c>
      <c r="E22321" s="5" t="str">
        <f t="shared" si="1113"/>
        <v>ACTISALUD-ESTADISTICA</v>
      </c>
      <c r="F22321" s="5" t="str">
        <f>"Descripcion: ESTANTE METALICO DE 8 ENTREPAÑOS CALIBRE 20 DE 2.40X041X1.10 DE ANCHO PINTURA ANTICORROSIVA Estado: Bueno Placa anterior: 000030071 Material: METALICO Color: GRIS Referencia:  Observacion:  Placa padre: Tipo adquisicion: Entidad"</f>
        <v>Descripcion: ESTANTE METALICO DE 8 ENTREPAÑOS CALIBRE 20 DE 2.40X041X1.10 DE ANCHO PINTURA ANTICORROSIVA Estado: Bueno Placa anterior: 000030071 Material: METALICO Color: GRIS Referencia:  Observacion:  Placa padre: Tipo adquisicion: Entidad</v>
      </c>
      <c r="G22321" s="5"/>
    </row>
    <row r="22322" spans="1:7" ht="58.5" customHeight="1" x14ac:dyDescent="0.25">
      <c r="A22322" s="5" t="str">
        <f>"H0003781"</f>
        <v>H0003781</v>
      </c>
      <c r="B22322" s="5" t="str">
        <f t="shared" si="1115"/>
        <v>ESTANTE METALICO 8 ENTREPAÑOS</v>
      </c>
      <c r="C22322" s="6">
        <v>339999</v>
      </c>
      <c r="D22322" s="5" t="s">
        <v>258</v>
      </c>
      <c r="E22322" s="5" t="str">
        <f t="shared" si="1113"/>
        <v>ACTISALUD-ESTADISTICA</v>
      </c>
      <c r="F22322" s="5" t="str">
        <f>"Descripcion: ESTANTE METALICO DE 8 ENTREPAÑOS CALIBRE 20 DE 2.40X041X1.10 DE ANCHO PINTURA ANTICORROSIVA Estado: Bueno Placa anterior: 000030070 Material: METALICO Color: GRIS Referencia:  Observacion:  Placa padre: Tipo adquisicion: Entidad"</f>
        <v>Descripcion: ESTANTE METALICO DE 8 ENTREPAÑOS CALIBRE 20 DE 2.40X041X1.10 DE ANCHO PINTURA ANTICORROSIVA Estado: Bueno Placa anterior: 000030070 Material: METALICO Color: GRIS Referencia:  Observacion:  Placa padre: Tipo adquisicion: Entidad</v>
      </c>
      <c r="G22322" s="5"/>
    </row>
    <row r="22323" spans="1:7" ht="58.5" customHeight="1" x14ac:dyDescent="0.25">
      <c r="A22323" s="5" t="str">
        <f>"H0003782"</f>
        <v>H0003782</v>
      </c>
      <c r="B22323" s="5" t="str">
        <f t="shared" si="1115"/>
        <v>ESTANTE METALICO 8 ENTREPAÑOS</v>
      </c>
      <c r="C22323" s="6">
        <v>339999</v>
      </c>
      <c r="D22323" s="5" t="s">
        <v>258</v>
      </c>
      <c r="E22323" s="5" t="str">
        <f t="shared" si="1113"/>
        <v>ACTISALUD-ESTADISTICA</v>
      </c>
      <c r="F22323" s="5" t="str">
        <f>"Descripcion: ESTANTE METALICO DE 8 ENTREPAÑOS CALIBRE 20 DE 2.40X041X1.10 DE ANCHO PINTURA ANTICORROSIVA Estado: Bueno Placa anterior: 000030069 Material: METALICO Color: GRIS Referencia:  Observacion:  Placa padre: Tipo adquisicion: Entidad"</f>
        <v>Descripcion: ESTANTE METALICO DE 8 ENTREPAÑOS CALIBRE 20 DE 2.40X041X1.10 DE ANCHO PINTURA ANTICORROSIVA Estado: Bueno Placa anterior: 000030069 Material: METALICO Color: GRIS Referencia:  Observacion:  Placa padre: Tipo adquisicion: Entidad</v>
      </c>
      <c r="G22323" s="5"/>
    </row>
    <row r="22324" spans="1:7" ht="58.5" customHeight="1" x14ac:dyDescent="0.25">
      <c r="A22324" s="5" t="str">
        <f>"H0003783"</f>
        <v>H0003783</v>
      </c>
      <c r="B22324" s="5" t="str">
        <f t="shared" si="1115"/>
        <v>ESTANTE METALICO 8 ENTREPAÑOS</v>
      </c>
      <c r="C22324" s="6">
        <v>339999</v>
      </c>
      <c r="D22324" s="5" t="s">
        <v>258</v>
      </c>
      <c r="E22324" s="5" t="str">
        <f t="shared" si="1113"/>
        <v>ACTISALUD-ESTADISTICA</v>
      </c>
      <c r="F22324" s="5" t="str">
        <f>"Descripcion: ESTANTE METALICO DE 8 ENTREPAÑOS CALIBRE 20 DE 2.40X041X1.10 DE ANCHO PINTURA ANTICORROSIVA Estado: Bueno Placa anterior: 000030052 Material: METALICO Color: GRIS Referencia:  Observacion:  Placa padre: Tipo adquisicion: Entidad"</f>
        <v>Descripcion: ESTANTE METALICO DE 8 ENTREPAÑOS CALIBRE 20 DE 2.40X041X1.10 DE ANCHO PINTURA ANTICORROSIVA Estado: Bueno Placa anterior: 000030052 Material: METALICO Color: GRIS Referencia:  Observacion:  Placa padre: Tipo adquisicion: Entidad</v>
      </c>
      <c r="G22324" s="5"/>
    </row>
    <row r="22325" spans="1:7" ht="58.5" customHeight="1" x14ac:dyDescent="0.25">
      <c r="A22325" s="5" t="str">
        <f>"H0003784"</f>
        <v>H0003784</v>
      </c>
      <c r="B22325" s="5" t="str">
        <f t="shared" si="1115"/>
        <v>ESTANTE METALICO 8 ENTREPAÑOS</v>
      </c>
      <c r="C22325" s="6">
        <v>339999</v>
      </c>
      <c r="D22325" s="5" t="s">
        <v>258</v>
      </c>
      <c r="E22325" s="5" t="str">
        <f t="shared" si="1113"/>
        <v>ACTISALUD-ESTADISTICA</v>
      </c>
      <c r="F22325" s="5" t="str">
        <f>"Descripcion: ESTANTE METALICO DE 8 ENTREPAÑOS CALIBRE 20 DE 2.40X041X1.10 DE ANCHO PINTURA ANTICORROSIVA Estado: Bueno Placa anterior: 000030051 Material: METALICO Color: GRIS Referencia:  Observacion:  Placa padre: Tipo adquisicion: Entidad"</f>
        <v>Descripcion: ESTANTE METALICO DE 8 ENTREPAÑOS CALIBRE 20 DE 2.40X041X1.10 DE ANCHO PINTURA ANTICORROSIVA Estado: Bueno Placa anterior: 000030051 Material: METALICO Color: GRIS Referencia:  Observacion:  Placa padre: Tipo adquisicion: Entidad</v>
      </c>
      <c r="G22325" s="5"/>
    </row>
    <row r="22326" spans="1:7" ht="58.5" customHeight="1" x14ac:dyDescent="0.25">
      <c r="A22326" s="5" t="str">
        <f>"H0003785"</f>
        <v>H0003785</v>
      </c>
      <c r="B22326" s="5" t="str">
        <f t="shared" si="1115"/>
        <v>ESTANTE METALICO 8 ENTREPAÑOS</v>
      </c>
      <c r="C22326" s="6">
        <v>339999</v>
      </c>
      <c r="D22326" s="5" t="s">
        <v>258</v>
      </c>
      <c r="E22326" s="5" t="str">
        <f t="shared" ref="E22326:E22389" si="1116">"ACTISALUD-ESTADISTICA"</f>
        <v>ACTISALUD-ESTADISTICA</v>
      </c>
      <c r="F22326" s="5" t="str">
        <f>"Descripcion: ESTANTE METALICO DE 8 ENTREPAÑOS CALIBRE 20 DE 2.40X041X1.10 DE ANCHO PINTURA ANTICORROSIVA Estado: Bueno Placa anterior: 000030054 Material: METALICO Color: GRIS Referencia:  Observacion:  Placa padre: Tipo adquisicion: Entidad"</f>
        <v>Descripcion: ESTANTE METALICO DE 8 ENTREPAÑOS CALIBRE 20 DE 2.40X041X1.10 DE ANCHO PINTURA ANTICORROSIVA Estado: Bueno Placa anterior: 000030054 Material: METALICO Color: GRIS Referencia:  Observacion:  Placa padre: Tipo adquisicion: Entidad</v>
      </c>
      <c r="G22326" s="5"/>
    </row>
    <row r="22327" spans="1:7" ht="58.5" customHeight="1" x14ac:dyDescent="0.25">
      <c r="A22327" s="5" t="str">
        <f>"H0003786"</f>
        <v>H0003786</v>
      </c>
      <c r="B22327" s="5" t="str">
        <f>"ESTANTE METALICO 6 ENTREPAÑOS"</f>
        <v>ESTANTE METALICO 6 ENTREPAÑOS</v>
      </c>
      <c r="C22327" s="6">
        <v>29533.23</v>
      </c>
      <c r="D22327" s="5"/>
      <c r="E22327" s="5" t="str">
        <f t="shared" si="1116"/>
        <v>ACTISALUD-ESTADISTICA</v>
      </c>
      <c r="F22327" s="5" t="str">
        <f>"Descripcion: ESTANTERIA PARA HISTORIAS CLINICAS (ALTURA 2 METROS PANEL 90 CMS LARGO X 30 CMS ANCHO DISTANCIA ENTRE PANEL 30 CMS) Estado: Bueno Placa anterior: 000001788 Material: METALICO Color: GRIS Referencia:  Observacion:  Placa padre: Tipo adquisicio"&amp; "n: Entidad"</f>
        <v>Descripcion: ESTANTERIA PARA HISTORIAS CLINICAS (ALTURA 2 METROS PANEL 90 CMS LARGO X 30 CMS ANCHO DISTANCIA ENTRE PANEL 30 CMS) Estado: Bueno Placa anterior: 000001788 Material: METALICO Color: GRIS Referencia:  Observacion:  Placa padre: Tipo adquisicion: Entidad</v>
      </c>
      <c r="G22327" s="5"/>
    </row>
    <row r="22328" spans="1:7" ht="58.5" customHeight="1" x14ac:dyDescent="0.25">
      <c r="A22328" s="5" t="str">
        <f>"H0003787"</f>
        <v>H0003787</v>
      </c>
      <c r="B22328" s="5" t="str">
        <f>"ESTANTE METALICO 6 ENTREPAÑOS"</f>
        <v>ESTANTE METALICO 6 ENTREPAÑOS</v>
      </c>
      <c r="C22328" s="6">
        <v>29533.23</v>
      </c>
      <c r="D22328" s="5"/>
      <c r="E22328" s="5" t="str">
        <f t="shared" si="1116"/>
        <v>ACTISALUD-ESTADISTICA</v>
      </c>
      <c r="F22328" s="5" t="str">
        <f>"Descripcion: ESTANTERIA PARA HISTORIAS CLINICAS (ALTURA 2 METROS PANEL 90 CMS LARGO X 30 CMS ANCHO DISTANCIA ENTRE PANEL 30 CMS) Estado: Bueno Placa anterior: 000001786 Material: METALICO Color: GRIS Referencia:  Observacion:  Placa padre: Tipo adquisicio"&amp; "n: Entidad"</f>
        <v>Descripcion: ESTANTERIA PARA HISTORIAS CLINICAS (ALTURA 2 METROS PANEL 90 CMS LARGO X 30 CMS ANCHO DISTANCIA ENTRE PANEL 30 CMS) Estado: Bueno Placa anterior: 000001786 Material: METALICO Color: GRIS Referencia:  Observacion:  Placa padre: Tipo adquisicion: Entidad</v>
      </c>
      <c r="G22328" s="5"/>
    </row>
    <row r="22329" spans="1:7" ht="58.5" customHeight="1" x14ac:dyDescent="0.25">
      <c r="A22329" s="5" t="str">
        <f>"H0003788"</f>
        <v>H0003788</v>
      </c>
      <c r="B22329" s="5" t="str">
        <f>"ESTANTE METALICO 6 ENTREPAÑOS"</f>
        <v>ESTANTE METALICO 6 ENTREPAÑOS</v>
      </c>
      <c r="C22329" s="6">
        <v>130000</v>
      </c>
      <c r="D22329" s="5"/>
      <c r="E22329" s="5" t="str">
        <f t="shared" si="1116"/>
        <v>ACTISALUD-ESTADISTICA</v>
      </c>
      <c r="F22329" s="5" t="str">
        <f>"Descripcion: ESTANTE METALICO 6 ENTREPAÑOS 2.000 X0.93X0.40 PARAL CAL. 18, ENTREPAÑOS CAL. 22, ACABADO PINTURA HORNEABLE COLOR GRIS Estado: Bueno Placa anterior: 000025715 Material: METALICO Color: GRIS Referencia:  Observacion:  Placa padre: Tipo adquisi"&amp; "cion: Entidad"</f>
        <v>Descripcion: ESTANTE METALICO 6 ENTREPAÑOS 2.000 X0.93X0.40 PARAL CAL. 18, ENTREPAÑOS CAL. 22, ACABADO PINTURA HORNEABLE COLOR GRIS Estado: Bueno Placa anterior: 000025715 Material: METALICO Color: GRIS Referencia:  Observacion:  Placa padre: Tipo adquisicion: Entidad</v>
      </c>
      <c r="G22329" s="5"/>
    </row>
    <row r="22330" spans="1:7" ht="58.5" customHeight="1" x14ac:dyDescent="0.25">
      <c r="A22330" s="5" t="str">
        <f>"H0003789"</f>
        <v>H0003789</v>
      </c>
      <c r="B22330" s="5" t="str">
        <f>"ESTANTE METALICO 5 ENTREPAÑOS"</f>
        <v>ESTANTE METALICO 5 ENTREPAÑOS</v>
      </c>
      <c r="C22330" s="6">
        <v>37633</v>
      </c>
      <c r="D22330" s="5"/>
      <c r="E22330" s="5" t="str">
        <f t="shared" si="1116"/>
        <v>ACTISALUD-ESTADISTICA</v>
      </c>
      <c r="F22330" s="5" t="str">
        <f>"Descripcion: ESTANTE METALICO Estado: Bueno Placa anterior: 000000932 Material: METALICO Color: GRIS Referencia:  Observacion:  Placa padre: Tipo adquisicion: Entidad"</f>
        <v>Descripcion: ESTANTE METALICO Estado: Bueno Placa anterior: 000000932 Material: METALICO Color: GRIS Referencia:  Observacion:  Placa padre: Tipo adquisicion: Entidad</v>
      </c>
      <c r="G22330" s="5"/>
    </row>
    <row r="22331" spans="1:7" ht="58.5" customHeight="1" x14ac:dyDescent="0.25">
      <c r="A22331" s="5" t="str">
        <f>"H0003790"</f>
        <v>H0003790</v>
      </c>
      <c r="B22331" s="5" t="str">
        <f>"ESTANTE METALICO 8 ENTREPAÑOS"</f>
        <v>ESTANTE METALICO 8 ENTREPAÑOS</v>
      </c>
      <c r="C22331" s="6">
        <v>19854.5</v>
      </c>
      <c r="D22331" s="5"/>
      <c r="E22331" s="5" t="str">
        <f t="shared" si="1116"/>
        <v>ACTISALUD-ESTADISTICA</v>
      </c>
      <c r="F22331" s="5" t="str">
        <f>"Descripcion: ESTANTE METALICO Estado: Bueno Placa anterior: 000007699 Material: METALICO Color: GRIS Referencia:  Observacion: AUTORIZADO CONCILIAR EN CRUCE GENERAL Placa padre: Tipo adquisicion: Entidad"</f>
        <v>Descripcion: ESTANTE METALICO Estado: Bueno Placa anterior: 000007699 Material: METALICO Color: GRIS Referencia:  Observacion: AUTORIZADO CONCILIAR EN CRUCE GENERAL Placa padre: Tipo adquisicion: Entidad</v>
      </c>
      <c r="G22331" s="5"/>
    </row>
    <row r="22332" spans="1:7" ht="58.5" customHeight="1" x14ac:dyDescent="0.25">
      <c r="A22332" s="5" t="str">
        <f>"H0003791"</f>
        <v>H0003791</v>
      </c>
      <c r="B22332" s="5" t="str">
        <f>"ESTANTE METALICO 8 ENTREPAÑOS"</f>
        <v>ESTANTE METALICO 8 ENTREPAÑOS</v>
      </c>
      <c r="C22332" s="6">
        <v>339999</v>
      </c>
      <c r="D22332" s="5" t="s">
        <v>258</v>
      </c>
      <c r="E22332" s="5" t="str">
        <f t="shared" si="1116"/>
        <v>ACTISALUD-ESTADISTICA</v>
      </c>
      <c r="F22332" s="5" t="str">
        <f>"Descripcion: ESTANTE METALICO DE 8 ENTREPAÑOS CALIBRE 20 DE 2.40X041X1.10 DE ANCHO PINTURA ANTICORROSIVA Estado: Bueno Placa anterior: 000030095 Material: METALICO Color: GRIS Referencia:  Observacion:  Placa padre: Tipo adquisicion: Entidad"</f>
        <v>Descripcion: ESTANTE METALICO DE 8 ENTREPAÑOS CALIBRE 20 DE 2.40X041X1.10 DE ANCHO PINTURA ANTICORROSIVA Estado: Bueno Placa anterior: 000030095 Material: METALICO Color: GRIS Referencia:  Observacion:  Placa padre: Tipo adquisicion: Entidad</v>
      </c>
      <c r="G22332" s="5"/>
    </row>
    <row r="22333" spans="1:7" ht="58.5" customHeight="1" x14ac:dyDescent="0.25">
      <c r="A22333" s="5" t="str">
        <f>"H0003792"</f>
        <v>H0003792</v>
      </c>
      <c r="B22333" s="5" t="str">
        <f>"ESTANTE METALICO 8 ENTREPAÑOS"</f>
        <v>ESTANTE METALICO 8 ENTREPAÑOS</v>
      </c>
      <c r="C22333" s="6">
        <v>339999</v>
      </c>
      <c r="D22333" s="5" t="s">
        <v>258</v>
      </c>
      <c r="E22333" s="5" t="str">
        <f t="shared" si="1116"/>
        <v>ACTISALUD-ESTADISTICA</v>
      </c>
      <c r="F22333" s="5" t="str">
        <f>"Descripcion: ESTANTE METALICO DE 8 ENTREPAÑOS CALIBRE 20 DE 2.40X041X1.10 DE ANCHO PINTURA ANTICORROSIVA Estado: Bueno Placa anterior: 000030094 Material: METALICO Color: GRIS Referencia:  Observacion:  Placa padre: Tipo adquisicion: Entidad"</f>
        <v>Descripcion: ESTANTE METALICO DE 8 ENTREPAÑOS CALIBRE 20 DE 2.40X041X1.10 DE ANCHO PINTURA ANTICORROSIVA Estado: Bueno Placa anterior: 000030094 Material: METALICO Color: GRIS Referencia:  Observacion:  Placa padre: Tipo adquisicion: Entidad</v>
      </c>
      <c r="G22333" s="5"/>
    </row>
    <row r="22334" spans="1:7" ht="58.5" customHeight="1" x14ac:dyDescent="0.25">
      <c r="A22334" s="5" t="str">
        <f>"H0003793"</f>
        <v>H0003793</v>
      </c>
      <c r="B22334" s="5" t="str">
        <f>"ESTANTE METALICO 8 ENTREPAÑOS"</f>
        <v>ESTANTE METALICO 8 ENTREPAÑOS</v>
      </c>
      <c r="C22334" s="6">
        <v>339999</v>
      </c>
      <c r="D22334" s="5" t="s">
        <v>258</v>
      </c>
      <c r="E22334" s="5" t="str">
        <f t="shared" si="1116"/>
        <v>ACTISALUD-ESTADISTICA</v>
      </c>
      <c r="F22334" s="5" t="str">
        <f>"Descripcion: ESTANTE METALICO DE 8 ENTREPAÑOS CALIBRE 20 DE 2.40X041X1.10 DE ANCHO PINTURA ANTICORROSIVA Estado: Bueno Placa anterior: 000030093 Material: METALICO Color: GRIS Referencia:  Observacion:  Placa padre: Tipo adquisicion: Entidad"</f>
        <v>Descripcion: ESTANTE METALICO DE 8 ENTREPAÑOS CALIBRE 20 DE 2.40X041X1.10 DE ANCHO PINTURA ANTICORROSIVA Estado: Bueno Placa anterior: 000030093 Material: METALICO Color: GRIS Referencia:  Observacion:  Placa padre: Tipo adquisicion: Entidad</v>
      </c>
      <c r="G22334" s="5"/>
    </row>
    <row r="22335" spans="1:7" ht="58.5" customHeight="1" x14ac:dyDescent="0.25">
      <c r="A22335" s="5" t="str">
        <f>"H0003794"</f>
        <v>H0003794</v>
      </c>
      <c r="B22335" s="5" t="str">
        <f>"ESTANTE METALICO 8 ENTREPAÑOS"</f>
        <v>ESTANTE METALICO 8 ENTREPAÑOS</v>
      </c>
      <c r="C22335" s="6">
        <v>339999</v>
      </c>
      <c r="D22335" s="5" t="s">
        <v>258</v>
      </c>
      <c r="E22335" s="5" t="str">
        <f t="shared" si="1116"/>
        <v>ACTISALUD-ESTADISTICA</v>
      </c>
      <c r="F22335" s="5" t="str">
        <f>"Descripcion: ESTANTE METALICO DE 8 ENTREPAÑOS CALIBRE 20 DE 2.40X041X1.10 DE ANCHO PINTURA ANTICORROSIVA Estado: Bueno Placa anterior: 000030091 Material: METALICO Color: GRIS Referencia:  Observacion:  Placa padre: Tipo adquisicion: Entidad"</f>
        <v>Descripcion: ESTANTE METALICO DE 8 ENTREPAÑOS CALIBRE 20 DE 2.40X041X1.10 DE ANCHO PINTURA ANTICORROSIVA Estado: Bueno Placa anterior: 000030091 Material: METALICO Color: GRIS Referencia:  Observacion:  Placa padre: Tipo adquisicion: Entidad</v>
      </c>
      <c r="G22335" s="5"/>
    </row>
    <row r="22336" spans="1:7" ht="58.5" customHeight="1" x14ac:dyDescent="0.25">
      <c r="A22336" s="5" t="str">
        <f>"H0003795"</f>
        <v>H0003795</v>
      </c>
      <c r="B22336" s="5" t="str">
        <f>"COMPUTADOR TODO EN UNO"</f>
        <v>COMPUTADOR TODO EN UNO</v>
      </c>
      <c r="C22336" s="6">
        <v>1572000</v>
      </c>
      <c r="D22336" s="5" t="s">
        <v>32</v>
      </c>
      <c r="E22336" s="5" t="str">
        <f t="shared" si="1116"/>
        <v>ACTISALUD-ESTADISTICA</v>
      </c>
      <c r="F22336" s="5" t="str">
        <f>"Descripcion: EQUIPOS DE COMPUTO TODO EN UNO PROCESADOR CORE 3.0 SUPERIOR CORPORATIVO WINDOWS 8 PRO- OFFICE 2013 SMALL BUSINES, TECNOLOGIA HT DE INTEL GARANTIA EXTENDIDA A 3 AÑOS Estado: Bueno Placa anterior: 000030568 Material: PASTA Color: NEGRO Referenc"&amp; "ia: C9G88LT#ABM Observacion:  Placa anterior:, Placa nueva=H0003797, Descripcion:OPTICO, Serial:FCMHH00CJP51153, Marca:HP, Modelo:, Material:PASTA, Color:NEGRO,   Referencia:672662001, Placa anterior:, Placa nueva=H0003796, Descripcion:., Serial:BDMHE0CVB"&amp; "53IN, Marca:HP, Modelo:KU-1156, Material:PASTA, Color:NEGRO,   Referencia:672647-163, Placa anterior:000030617, Placa nueva=B0004052, Descripcion:LICENCIA OFFICE HOME AND BUSIMESS 2013, Serial:99994785863215, Marca:, Modelo:, Material:, Color:,   Referenc"&amp; "ia: Placa padre: Tipo adquisicion: Entidad"</f>
        <v>Descripcion: EQUIPOS DE COMPUTO TODO EN UNO PROCESADOR CORE 3.0 SUPERIOR CORPORATIVO WINDOWS 8 PRO- OFFICE 2013 SMALL BUSINES, TECNOLOGIA HT DE INTEL GARANTIA EXTENDIDA A 3 AÑOS Estado: Bueno Placa anterior: 000030568 Material: PASTA Color: NEGRO Referencia: C9G88LT#ABM Observacion:  Placa anterior:, Placa nueva=H0003797, Descripcion:OPTICO, Serial:FCMHH00CJP51153, Marca:HP, Modelo:, Material:PASTA, Color:NEGRO,   Referencia:672662001, Placa anterior:, Placa nueva=H0003796, Descripcion:., Serial:BDMHE0CVB53IN, Marca:HP, Modelo:KU-1156, Material:PASTA, Color:NEGRO,   Referencia:672647-163, Placa anterior:000030617, Placa nueva=B0004052, Descripcion:LICENCIA OFFICE HOME AND BUSIMESS 2013, Serial:99994785863215, Marca:, Modelo:, Material:, Color:,   Referencia: Placa padre: Tipo adquisicion: Entidad</v>
      </c>
      <c r="G22336" s="5" t="str">
        <f>"HP COMPAQ PRO 4300"</f>
        <v>HP COMPAQ PRO 4300</v>
      </c>
    </row>
    <row r="22337" spans="1:7" ht="58.5" customHeight="1" x14ac:dyDescent="0.25">
      <c r="A22337" s="5" t="str">
        <f>"H0003806"</f>
        <v>H0003806</v>
      </c>
      <c r="B22337" s="5" t="str">
        <f>"VITRINA DE 2 CUERPOS"</f>
        <v>VITRINA DE 2 CUERPOS</v>
      </c>
      <c r="C22337" s="6">
        <v>75412.88</v>
      </c>
      <c r="D22337" s="5"/>
      <c r="E22337" s="5" t="str">
        <f t="shared" si="1116"/>
        <v>ACTISALUD-ESTADISTICA</v>
      </c>
      <c r="F22337" s="5" t="str">
        <f>"Descripcion: 158X74X40 Estado: Bueno Placa anterior: 000001712 Material: METALICO Color: GRIS Referencia:  Observacion:  Placa padre: Tipo adquisicion: Entidad"</f>
        <v>Descripcion: 158X74X40 Estado: Bueno Placa anterior: 000001712 Material: METALICO Color: GRIS Referencia:  Observacion:  Placa padre: Tipo adquisicion: Entidad</v>
      </c>
      <c r="G22337" s="5"/>
    </row>
    <row r="22338" spans="1:7" ht="58.5" customHeight="1" x14ac:dyDescent="0.25">
      <c r="A22338" s="5" t="str">
        <f>"H0003808"</f>
        <v>H0003808</v>
      </c>
      <c r="B22338" s="5" t="str">
        <f>"COMPUTADOR TODO EN UNO"</f>
        <v>COMPUTADOR TODO EN UNO</v>
      </c>
      <c r="C22338" s="6">
        <v>2470000</v>
      </c>
      <c r="D22338" s="5" t="s">
        <v>6</v>
      </c>
      <c r="E22338" s="5" t="str">
        <f t="shared" si="1116"/>
        <v>ACTISALUD-ESTADISTICA</v>
      </c>
      <c r="F22338" s="5" t="str">
        <f>"Descripcion: EQUIPO DE COMPUTO TODO EN UNO CON PROCESADOR INTEL i5 Estado: Bueno Placa anterior: 000036986 Material: PASTA Color: NEGRO Referencia: 1509 Observacion:  Placa anterior:, Placa nueva=H0003809, Descripcion:., Serial:1S54Y94248259046E, Marca:LE"&amp; "NOVO, Modelo:KU-0225, Material:PASTA, Color:NEGRO,   Referencia:54Y9424, Placa anterior:, Placa nueva=H0003810, Descripcion:OPTICO, Serial:44PC946, Marca:LENOVO, Modelo:, Material:PASTA, Color:NEGRO,   Referencia:45J4889, Placa anterior:000030819, Placa n"&amp; "ueva=B0004053, Descripcion:LICENCIA OFFICE HOME AND BUSIMESS 2013, Serial:3779, Marca:, Modelo:, Material:, Color:,   Referencia: Placa padre: Tipo adquisicion: Entidad"</f>
        <v>Descripcion: EQUIPO DE COMPUTO TODO EN UNO CON PROCESADOR INTEL i5 Estado: Bueno Placa anterior: 000036986 Material: PASTA Color: NEGRO Referencia: 1509 Observacion:  Placa anterior:, Placa nueva=H0003809, Descripcion:., Serial:1S54Y94248259046E, Marca:LENOVO, Modelo:KU-0225, Material:PASTA, Color:NEGRO,   Referencia:54Y9424, Placa anterior:, Placa nueva=H0003810, Descripcion:OPTICO, Serial:44PC946, Marca:LENOVO, Modelo:, Material:PASTA, Color:NEGRO,   Referencia:45J4889, Placa anterior:000030819, Placa nueva=B0004053, Descripcion:LICENCIA OFFICE HOME AND BUSIMESS 2013, Serial:3779, Marca:, Modelo:, Material:, Color:,   Referencia: Placa padre: Tipo adquisicion: Entidad</v>
      </c>
      <c r="G22338" s="5" t="str">
        <f>"00FDLS"</f>
        <v>00FDLS</v>
      </c>
    </row>
    <row r="22339" spans="1:7" ht="58.5" customHeight="1" x14ac:dyDescent="0.25">
      <c r="A22339" s="5" t="str">
        <f>"H0003818"</f>
        <v>H0003818</v>
      </c>
      <c r="B22339" s="5" t="str">
        <f t="shared" ref="B22339:B22364" si="1117">"ESTANTE METALICO 8 ENTREPAÑOS"</f>
        <v>ESTANTE METALICO 8 ENTREPAÑOS</v>
      </c>
      <c r="C22339" s="6">
        <v>339999</v>
      </c>
      <c r="D22339" s="5" t="s">
        <v>258</v>
      </c>
      <c r="E22339" s="5" t="str">
        <f t="shared" si="1116"/>
        <v>ACTISALUD-ESTADISTICA</v>
      </c>
      <c r="F22339" s="5" t="str">
        <f>"Descripcion: ESTANTE METALICO DE 8 ENTREPAÑOS CALIBRE 20 DE 2.40X041X1.10 DE ANCHO PINTURA ANTICORROSIVA Estado: Bueno Placa anterior: 000030092 Material: METALICO Color: GRIS Referencia:  Observacion:  Placa padre: Tipo adquisicion: Entidad"</f>
        <v>Descripcion: ESTANTE METALICO DE 8 ENTREPAÑOS CALIBRE 20 DE 2.40X041X1.10 DE ANCHO PINTURA ANTICORROSIVA Estado: Bueno Placa anterior: 000030092 Material: METALICO Color: GRIS Referencia:  Observacion:  Placa padre: Tipo adquisicion: Entidad</v>
      </c>
      <c r="G22339" s="5"/>
    </row>
    <row r="22340" spans="1:7" ht="58.5" customHeight="1" x14ac:dyDescent="0.25">
      <c r="A22340" s="5" t="str">
        <f>"H0003819"</f>
        <v>H0003819</v>
      </c>
      <c r="B22340" s="5" t="str">
        <f t="shared" si="1117"/>
        <v>ESTANTE METALICO 8 ENTREPAÑOS</v>
      </c>
      <c r="C22340" s="6">
        <v>339999</v>
      </c>
      <c r="D22340" s="5" t="s">
        <v>258</v>
      </c>
      <c r="E22340" s="5" t="str">
        <f t="shared" si="1116"/>
        <v>ACTISALUD-ESTADISTICA</v>
      </c>
      <c r="F22340" s="5" t="str">
        <f>"Descripcion: ESTANTE METALICO DE 8 ENTREPAÑOS CALIBRE 20 DE 2.40X041X1.10 DE ANCHO PINTURA ANTICORROSIVA Estado: Bueno Placa anterior: 000030090 Material: METALICO Color: GRIS Referencia:  Observacion:  Placa padre: Tipo adquisicion: Entidad"</f>
        <v>Descripcion: ESTANTE METALICO DE 8 ENTREPAÑOS CALIBRE 20 DE 2.40X041X1.10 DE ANCHO PINTURA ANTICORROSIVA Estado: Bueno Placa anterior: 000030090 Material: METALICO Color: GRIS Referencia:  Observacion:  Placa padre: Tipo adquisicion: Entidad</v>
      </c>
      <c r="G22340" s="5"/>
    </row>
    <row r="22341" spans="1:7" ht="58.5" customHeight="1" x14ac:dyDescent="0.25">
      <c r="A22341" s="5" t="str">
        <f>"H0003820"</f>
        <v>H0003820</v>
      </c>
      <c r="B22341" s="5" t="str">
        <f t="shared" si="1117"/>
        <v>ESTANTE METALICO 8 ENTREPAÑOS</v>
      </c>
      <c r="C22341" s="6">
        <v>339999</v>
      </c>
      <c r="D22341" s="5" t="s">
        <v>258</v>
      </c>
      <c r="E22341" s="5" t="str">
        <f t="shared" si="1116"/>
        <v>ACTISALUD-ESTADISTICA</v>
      </c>
      <c r="F22341" s="5" t="str">
        <f>"Descripcion: ESTANTE METALICO DE 8 ENTREPAÑOS CALIBRE 20 DE 2.40X041X1.10 DE ANCHO PINTURA ANTICORROSIVA Estado: Bueno Placa anterior: 000030089 Material: METALICO Color: GRIS Referencia:  Observacion:  Placa padre: Tipo adquisicion: Entidad"</f>
        <v>Descripcion: ESTANTE METALICO DE 8 ENTREPAÑOS CALIBRE 20 DE 2.40X041X1.10 DE ANCHO PINTURA ANTICORROSIVA Estado: Bueno Placa anterior: 000030089 Material: METALICO Color: GRIS Referencia:  Observacion:  Placa padre: Tipo adquisicion: Entidad</v>
      </c>
      <c r="G22341" s="5"/>
    </row>
    <row r="22342" spans="1:7" ht="58.5" customHeight="1" x14ac:dyDescent="0.25">
      <c r="A22342" s="5" t="str">
        <f>"H0003821"</f>
        <v>H0003821</v>
      </c>
      <c r="B22342" s="5" t="str">
        <f t="shared" si="1117"/>
        <v>ESTANTE METALICO 8 ENTREPAÑOS</v>
      </c>
      <c r="C22342" s="6">
        <v>339999</v>
      </c>
      <c r="D22342" s="5" t="s">
        <v>258</v>
      </c>
      <c r="E22342" s="5" t="str">
        <f t="shared" si="1116"/>
        <v>ACTISALUD-ESTADISTICA</v>
      </c>
      <c r="F22342" s="5" t="str">
        <f>"Descripcion: ESTANTE METALICO DE 8 ENTREPAÑOS CALIBRE 20 DE 2.40X041X1.10 DE ANCHO PINTURA ANTICORROSIVA Estado: Bueno Placa anterior: 000030088 Material: METALICO Color: GRIS Referencia:  Observacion:  Placa padre: Tipo adquisicion: Entidad"</f>
        <v>Descripcion: ESTANTE METALICO DE 8 ENTREPAÑOS CALIBRE 20 DE 2.40X041X1.10 DE ANCHO PINTURA ANTICORROSIVA Estado: Bueno Placa anterior: 000030088 Material: METALICO Color: GRIS Referencia:  Observacion:  Placa padre: Tipo adquisicion: Entidad</v>
      </c>
      <c r="G22342" s="5"/>
    </row>
    <row r="22343" spans="1:7" ht="58.5" customHeight="1" x14ac:dyDescent="0.25">
      <c r="A22343" s="5" t="str">
        <f>"H0003822"</f>
        <v>H0003822</v>
      </c>
      <c r="B22343" s="5" t="str">
        <f t="shared" si="1117"/>
        <v>ESTANTE METALICO 8 ENTREPAÑOS</v>
      </c>
      <c r="C22343" s="6">
        <v>339999</v>
      </c>
      <c r="D22343" s="5" t="s">
        <v>258</v>
      </c>
      <c r="E22343" s="5" t="str">
        <f t="shared" si="1116"/>
        <v>ACTISALUD-ESTADISTICA</v>
      </c>
      <c r="F22343" s="5" t="str">
        <f>"Descripcion: ESTANTE METALICO DE 8 ENTREPAÑOS CALIBRE 20 DE 2.40X041X1.10 DE ANCHO PINTURA ANTICORROSIVA Estado: Bueno Placa anterior: 000030087 Material: METALICO Color: GRIS Referencia:  Observacion:  Placa padre: Tipo adquisicion: Entidad"</f>
        <v>Descripcion: ESTANTE METALICO DE 8 ENTREPAÑOS CALIBRE 20 DE 2.40X041X1.10 DE ANCHO PINTURA ANTICORROSIVA Estado: Bueno Placa anterior: 000030087 Material: METALICO Color: GRIS Referencia:  Observacion:  Placa padre: Tipo adquisicion: Entidad</v>
      </c>
      <c r="G22343" s="5"/>
    </row>
    <row r="22344" spans="1:7" ht="58.5" customHeight="1" x14ac:dyDescent="0.25">
      <c r="A22344" s="5" t="str">
        <f>"H0003823"</f>
        <v>H0003823</v>
      </c>
      <c r="B22344" s="5" t="str">
        <f t="shared" si="1117"/>
        <v>ESTANTE METALICO 8 ENTREPAÑOS</v>
      </c>
      <c r="C22344" s="6">
        <v>339999</v>
      </c>
      <c r="D22344" s="5" t="s">
        <v>258</v>
      </c>
      <c r="E22344" s="5" t="str">
        <f t="shared" si="1116"/>
        <v>ACTISALUD-ESTADISTICA</v>
      </c>
      <c r="F22344" s="5" t="str">
        <f>"Descripcion: ESTANTE METALICO DE 8 ENTREPAÑOS CALIBRE 20 DE 2.40X041X1.10 DE ANCHO PINTURA ANTICORROSIVA Estado: Bueno Placa anterior: 000030086 Material: METALICO Color: GRIS Referencia:  Observacion:  Placa padre: Tipo adquisicion: Entidad"</f>
        <v>Descripcion: ESTANTE METALICO DE 8 ENTREPAÑOS CALIBRE 20 DE 2.40X041X1.10 DE ANCHO PINTURA ANTICORROSIVA Estado: Bueno Placa anterior: 000030086 Material: METALICO Color: GRIS Referencia:  Observacion:  Placa padre: Tipo adquisicion: Entidad</v>
      </c>
      <c r="G22344" s="5"/>
    </row>
    <row r="22345" spans="1:7" ht="58.5" customHeight="1" x14ac:dyDescent="0.25">
      <c r="A22345" s="5" t="str">
        <f>"H0003824"</f>
        <v>H0003824</v>
      </c>
      <c r="B22345" s="5" t="str">
        <f t="shared" si="1117"/>
        <v>ESTANTE METALICO 8 ENTREPAÑOS</v>
      </c>
      <c r="C22345" s="6">
        <v>339999</v>
      </c>
      <c r="D22345" s="5" t="s">
        <v>258</v>
      </c>
      <c r="E22345" s="5" t="str">
        <f t="shared" si="1116"/>
        <v>ACTISALUD-ESTADISTICA</v>
      </c>
      <c r="F22345" s="5" t="str">
        <f>"Descripcion: ESTANTE METALICO DE 8 ENTREPAÑOS CALIBRE 20 DE 2.40X041X1.10 DE ANCHO PINTURA ANTICORROSIVA Estado: Bueno Placa anterior: 000030085 Material: METALICO Color: GRIS Referencia:  Observacion:  Placa padre: Tipo adquisicion: Entidad"</f>
        <v>Descripcion: ESTANTE METALICO DE 8 ENTREPAÑOS CALIBRE 20 DE 2.40X041X1.10 DE ANCHO PINTURA ANTICORROSIVA Estado: Bueno Placa anterior: 000030085 Material: METALICO Color: GRIS Referencia:  Observacion:  Placa padre: Tipo adquisicion: Entidad</v>
      </c>
      <c r="G22345" s="5"/>
    </row>
    <row r="22346" spans="1:7" ht="58.5" customHeight="1" x14ac:dyDescent="0.25">
      <c r="A22346" s="5" t="str">
        <f>"H0003825"</f>
        <v>H0003825</v>
      </c>
      <c r="B22346" s="5" t="str">
        <f t="shared" si="1117"/>
        <v>ESTANTE METALICO 8 ENTREPAÑOS</v>
      </c>
      <c r="C22346" s="6">
        <v>339999</v>
      </c>
      <c r="D22346" s="5" t="s">
        <v>258</v>
      </c>
      <c r="E22346" s="5" t="str">
        <f t="shared" si="1116"/>
        <v>ACTISALUD-ESTADISTICA</v>
      </c>
      <c r="F22346" s="5" t="str">
        <f>"Descripcion: ESTANTE METALICO DE 8 ENTREPAÑOS CALIBRE 20 DE 2.40X041X1.10 DE ANCHO PINTURA ANTICORROSIVA Estado: Bueno Placa anterior: 000030084 Material: METALICO Color: GRIS Referencia:  Observacion:  Placa padre: Tipo adquisicion: Entidad"</f>
        <v>Descripcion: ESTANTE METALICO DE 8 ENTREPAÑOS CALIBRE 20 DE 2.40X041X1.10 DE ANCHO PINTURA ANTICORROSIVA Estado: Bueno Placa anterior: 000030084 Material: METALICO Color: GRIS Referencia:  Observacion:  Placa padre: Tipo adquisicion: Entidad</v>
      </c>
      <c r="G22346" s="5"/>
    </row>
    <row r="22347" spans="1:7" ht="58.5" customHeight="1" x14ac:dyDescent="0.25">
      <c r="A22347" s="5" t="str">
        <f>"H0003826"</f>
        <v>H0003826</v>
      </c>
      <c r="B22347" s="5" t="str">
        <f t="shared" si="1117"/>
        <v>ESTANTE METALICO 8 ENTREPAÑOS</v>
      </c>
      <c r="C22347" s="6">
        <v>339999</v>
      </c>
      <c r="D22347" s="5" t="s">
        <v>258</v>
      </c>
      <c r="E22347" s="5" t="str">
        <f t="shared" si="1116"/>
        <v>ACTISALUD-ESTADISTICA</v>
      </c>
      <c r="F22347" s="5" t="str">
        <f>"Descripcion: ESTANTE METALICO DE 8 ENTREPAÑOS CALIBRE 20 DE 2.40X041X1.10 DE ANCHO PINTURA ANTICORROSIVA Estado: Bueno Placa anterior: 000030083 Material: METALICO Color: GRIS Referencia:  Observacion:  Placa padre: Tipo adquisicion: Entidad"</f>
        <v>Descripcion: ESTANTE METALICO DE 8 ENTREPAÑOS CALIBRE 20 DE 2.40X041X1.10 DE ANCHO PINTURA ANTICORROSIVA Estado: Bueno Placa anterior: 000030083 Material: METALICO Color: GRIS Referencia:  Observacion:  Placa padre: Tipo adquisicion: Entidad</v>
      </c>
      <c r="G22347" s="5"/>
    </row>
    <row r="22348" spans="1:7" ht="58.5" customHeight="1" x14ac:dyDescent="0.25">
      <c r="A22348" s="5" t="str">
        <f>"H0003827"</f>
        <v>H0003827</v>
      </c>
      <c r="B22348" s="5" t="str">
        <f t="shared" si="1117"/>
        <v>ESTANTE METALICO 8 ENTREPAÑOS</v>
      </c>
      <c r="C22348" s="6">
        <v>339999</v>
      </c>
      <c r="D22348" s="5" t="s">
        <v>258</v>
      </c>
      <c r="E22348" s="5" t="str">
        <f t="shared" si="1116"/>
        <v>ACTISALUD-ESTADISTICA</v>
      </c>
      <c r="F22348" s="5" t="str">
        <f>"Descripcion: ESTANTE METALICO DE 8 ENTREPAÑOS CALIBRE 20 DE 2.40X041X1.10 DE ANCHO PINTURA ANTICORROSIVA Estado: Bueno Placa anterior: 000030081 Material: METALICO Color: GRIS Referencia:  Observacion:  Placa padre: Tipo adquisicion: Entidad"</f>
        <v>Descripcion: ESTANTE METALICO DE 8 ENTREPAÑOS CALIBRE 20 DE 2.40X041X1.10 DE ANCHO PINTURA ANTICORROSIVA Estado: Bueno Placa anterior: 000030081 Material: METALICO Color: GRIS Referencia:  Observacion:  Placa padre: Tipo adquisicion: Entidad</v>
      </c>
      <c r="G22348" s="5"/>
    </row>
    <row r="22349" spans="1:7" ht="58.5" customHeight="1" x14ac:dyDescent="0.25">
      <c r="A22349" s="5" t="str">
        <f>"H0003828"</f>
        <v>H0003828</v>
      </c>
      <c r="B22349" s="5" t="str">
        <f t="shared" si="1117"/>
        <v>ESTANTE METALICO 8 ENTREPAÑOS</v>
      </c>
      <c r="C22349" s="6">
        <v>339999</v>
      </c>
      <c r="D22349" s="5" t="s">
        <v>258</v>
      </c>
      <c r="E22349" s="5" t="str">
        <f t="shared" si="1116"/>
        <v>ACTISALUD-ESTADISTICA</v>
      </c>
      <c r="F22349" s="5" t="str">
        <f>"Descripcion: ESTANTE METALICO DE 8 ENTREPAÑOS CALIBRE 20 DE 2.40X041X1.10 DE ANCHO PINTURA ANTICORROSIVA Estado: Bueno Placa anterior: 000030082 Material: METALICO Color: GRIS Referencia:  Observacion:  Placa padre: Tipo adquisicion: Entidad"</f>
        <v>Descripcion: ESTANTE METALICO DE 8 ENTREPAÑOS CALIBRE 20 DE 2.40X041X1.10 DE ANCHO PINTURA ANTICORROSIVA Estado: Bueno Placa anterior: 000030082 Material: METALICO Color: GRIS Referencia:  Observacion:  Placa padre: Tipo adquisicion: Entidad</v>
      </c>
      <c r="G22349" s="5"/>
    </row>
    <row r="22350" spans="1:7" ht="58.5" customHeight="1" x14ac:dyDescent="0.25">
      <c r="A22350" s="5" t="str">
        <f>"H0003829"</f>
        <v>H0003829</v>
      </c>
      <c r="B22350" s="5" t="str">
        <f t="shared" si="1117"/>
        <v>ESTANTE METALICO 8 ENTREPAÑOS</v>
      </c>
      <c r="C22350" s="6">
        <v>339999</v>
      </c>
      <c r="D22350" s="5" t="s">
        <v>258</v>
      </c>
      <c r="E22350" s="5" t="str">
        <f t="shared" si="1116"/>
        <v>ACTISALUD-ESTADISTICA</v>
      </c>
      <c r="F22350" s="5" t="str">
        <f>"Descripcion: ESTANTE METALICO DE 8 ENTREPAÑOS CALIBRE 20 DE 2.40X041X1.10 DE ANCHO PINTURA ANTICORROSIVA Estado: Bueno Placa anterior: 000030110 Material: METALICO Color: GRIS Referencia:  Observacion:  Placa padre: Tipo adquisicion: Entidad"</f>
        <v>Descripcion: ESTANTE METALICO DE 8 ENTREPAÑOS CALIBRE 20 DE 2.40X041X1.10 DE ANCHO PINTURA ANTICORROSIVA Estado: Bueno Placa anterior: 000030110 Material: METALICO Color: GRIS Referencia:  Observacion:  Placa padre: Tipo adquisicion: Entidad</v>
      </c>
      <c r="G22350" s="5"/>
    </row>
    <row r="22351" spans="1:7" ht="58.5" customHeight="1" x14ac:dyDescent="0.25">
      <c r="A22351" s="5" t="str">
        <f>"H0003830"</f>
        <v>H0003830</v>
      </c>
      <c r="B22351" s="5" t="str">
        <f t="shared" si="1117"/>
        <v>ESTANTE METALICO 8 ENTREPAÑOS</v>
      </c>
      <c r="C22351" s="6">
        <v>339999</v>
      </c>
      <c r="D22351" s="5" t="s">
        <v>258</v>
      </c>
      <c r="E22351" s="5" t="str">
        <f t="shared" si="1116"/>
        <v>ACTISALUD-ESTADISTICA</v>
      </c>
      <c r="F22351" s="5" t="str">
        <f>"Descripcion: ESTANTE METALICO DE 8 ENTREPAÑOS CALIBRE 20 DE 2.40X041X1.10 DE ANCHO PINTURA ANTICORROSIVA Estado: Bueno Placa anterior: 000030109 Material: METALICO Color: GRIS Referencia:  Observacion:  Placa padre: Tipo adquisicion: Entidad"</f>
        <v>Descripcion: ESTANTE METALICO DE 8 ENTREPAÑOS CALIBRE 20 DE 2.40X041X1.10 DE ANCHO PINTURA ANTICORROSIVA Estado: Bueno Placa anterior: 000030109 Material: METALICO Color: GRIS Referencia:  Observacion:  Placa padre: Tipo adquisicion: Entidad</v>
      </c>
      <c r="G22351" s="5"/>
    </row>
    <row r="22352" spans="1:7" ht="58.5" customHeight="1" x14ac:dyDescent="0.25">
      <c r="A22352" s="5" t="str">
        <f>"H0003831"</f>
        <v>H0003831</v>
      </c>
      <c r="B22352" s="5" t="str">
        <f t="shared" si="1117"/>
        <v>ESTANTE METALICO 8 ENTREPAÑOS</v>
      </c>
      <c r="C22352" s="6">
        <v>339999</v>
      </c>
      <c r="D22352" s="5" t="s">
        <v>258</v>
      </c>
      <c r="E22352" s="5" t="str">
        <f t="shared" si="1116"/>
        <v>ACTISALUD-ESTADISTICA</v>
      </c>
      <c r="F22352" s="5" t="str">
        <f>"Descripcion: ESTANTE METALICO DE 8 ENTREPAÑOS CALIBRE 20 DE 2.40X041X1.10 DE ANCHO PINTURA ANTICORROSIVA Estado: Bueno Placa anterior: 000030108 Material: METALICO Color: GRIS Referencia:  Observacion:  Placa padre: Tipo adquisicion: Entidad"</f>
        <v>Descripcion: ESTANTE METALICO DE 8 ENTREPAÑOS CALIBRE 20 DE 2.40X041X1.10 DE ANCHO PINTURA ANTICORROSIVA Estado: Bueno Placa anterior: 000030108 Material: METALICO Color: GRIS Referencia:  Observacion:  Placa padre: Tipo adquisicion: Entidad</v>
      </c>
      <c r="G22352" s="5"/>
    </row>
    <row r="22353" spans="1:7" ht="58.5" customHeight="1" x14ac:dyDescent="0.25">
      <c r="A22353" s="5" t="str">
        <f>"H0003832"</f>
        <v>H0003832</v>
      </c>
      <c r="B22353" s="5" t="str">
        <f t="shared" si="1117"/>
        <v>ESTANTE METALICO 8 ENTREPAÑOS</v>
      </c>
      <c r="C22353" s="6">
        <v>339999</v>
      </c>
      <c r="D22353" s="5" t="s">
        <v>258</v>
      </c>
      <c r="E22353" s="5" t="str">
        <f t="shared" si="1116"/>
        <v>ACTISALUD-ESTADISTICA</v>
      </c>
      <c r="F22353" s="5" t="str">
        <f>"Descripcion: ESTANTE METALICO DE 8 ENTREPAÑOS CALIBRE 20 DE 2.40X041X1.10 DE ANCHO PINTURA ANTICORROSIVA Estado: Bueno Placa anterior: 000030107 Material: METALICO Color: GRIS Referencia:  Observacion:  Placa padre: Tipo adquisicion: Entidad"</f>
        <v>Descripcion: ESTANTE METALICO DE 8 ENTREPAÑOS CALIBRE 20 DE 2.40X041X1.10 DE ANCHO PINTURA ANTICORROSIVA Estado: Bueno Placa anterior: 000030107 Material: METALICO Color: GRIS Referencia:  Observacion:  Placa padre: Tipo adquisicion: Entidad</v>
      </c>
      <c r="G22353" s="5"/>
    </row>
    <row r="22354" spans="1:7" ht="58.5" customHeight="1" x14ac:dyDescent="0.25">
      <c r="A22354" s="5" t="str">
        <f>"H0003833"</f>
        <v>H0003833</v>
      </c>
      <c r="B22354" s="5" t="str">
        <f t="shared" si="1117"/>
        <v>ESTANTE METALICO 8 ENTREPAÑOS</v>
      </c>
      <c r="C22354" s="6">
        <v>339999</v>
      </c>
      <c r="D22354" s="5" t="s">
        <v>258</v>
      </c>
      <c r="E22354" s="5" t="str">
        <f t="shared" si="1116"/>
        <v>ACTISALUD-ESTADISTICA</v>
      </c>
      <c r="F22354" s="5" t="str">
        <f>"Descripcion: ESTANTE METALICO DE 8 ENTREPAÑOS CALIBRE 20 DE 2.40X041X1.10 DE ANCHO PINTURA ANTICORROSIVA Estado: Bueno Placa anterior: 000030106 Material: METALICO Color: GRIS Referencia:  Observacion:  Placa padre: Tipo adquisicion: Entidad"</f>
        <v>Descripcion: ESTANTE METALICO DE 8 ENTREPAÑOS CALIBRE 20 DE 2.40X041X1.10 DE ANCHO PINTURA ANTICORROSIVA Estado: Bueno Placa anterior: 000030106 Material: METALICO Color: GRIS Referencia:  Observacion:  Placa padre: Tipo adquisicion: Entidad</v>
      </c>
      <c r="G22354" s="5"/>
    </row>
    <row r="22355" spans="1:7" ht="58.5" customHeight="1" x14ac:dyDescent="0.25">
      <c r="A22355" s="5" t="str">
        <f>"H0003834"</f>
        <v>H0003834</v>
      </c>
      <c r="B22355" s="5" t="str">
        <f t="shared" si="1117"/>
        <v>ESTANTE METALICO 8 ENTREPAÑOS</v>
      </c>
      <c r="C22355" s="6">
        <v>339999</v>
      </c>
      <c r="D22355" s="5" t="s">
        <v>258</v>
      </c>
      <c r="E22355" s="5" t="str">
        <f t="shared" si="1116"/>
        <v>ACTISALUD-ESTADISTICA</v>
      </c>
      <c r="F22355" s="5" t="str">
        <f>"Descripcion: ESTANTE METALICO DE 8 ENTREPAÑOS CALIBRE 20 DE 2.40X041X1.10 DE ANCHO PINTURA ANTICORROSIVA Estado: Bueno Placa anterior: 000030105 Material: METALICO Color: GRIS Referencia:  Observacion:  Placa padre: Tipo adquisicion: Entidad"</f>
        <v>Descripcion: ESTANTE METALICO DE 8 ENTREPAÑOS CALIBRE 20 DE 2.40X041X1.10 DE ANCHO PINTURA ANTICORROSIVA Estado: Bueno Placa anterior: 000030105 Material: METALICO Color: GRIS Referencia:  Observacion:  Placa padre: Tipo adquisicion: Entidad</v>
      </c>
      <c r="G22355" s="5"/>
    </row>
    <row r="22356" spans="1:7" ht="58.5" customHeight="1" x14ac:dyDescent="0.25">
      <c r="A22356" s="5" t="str">
        <f>"H0003835"</f>
        <v>H0003835</v>
      </c>
      <c r="B22356" s="5" t="str">
        <f t="shared" si="1117"/>
        <v>ESTANTE METALICO 8 ENTREPAÑOS</v>
      </c>
      <c r="C22356" s="6">
        <v>339999</v>
      </c>
      <c r="D22356" s="5" t="s">
        <v>258</v>
      </c>
      <c r="E22356" s="5" t="str">
        <f t="shared" si="1116"/>
        <v>ACTISALUD-ESTADISTICA</v>
      </c>
      <c r="F22356" s="5" t="str">
        <f>"Descripcion: ESTANTE METALICO DE 8 ENTREPAÑOS CALIBRE 20 DE 2.40X041X1.10 DE ANCHO PINTURA ANTICORROSIVA Estado: Bueno Placa anterior: 000030104 Material: METALICO Color: GRIS Referencia:  Observacion:  Placa padre: Tipo adquisicion: Entidad"</f>
        <v>Descripcion: ESTANTE METALICO DE 8 ENTREPAÑOS CALIBRE 20 DE 2.40X041X1.10 DE ANCHO PINTURA ANTICORROSIVA Estado: Bueno Placa anterior: 000030104 Material: METALICO Color: GRIS Referencia:  Observacion:  Placa padre: Tipo adquisicion: Entidad</v>
      </c>
      <c r="G22356" s="5"/>
    </row>
    <row r="22357" spans="1:7" ht="58.5" customHeight="1" x14ac:dyDescent="0.25">
      <c r="A22357" s="5" t="str">
        <f>"H0003836"</f>
        <v>H0003836</v>
      </c>
      <c r="B22357" s="5" t="str">
        <f t="shared" si="1117"/>
        <v>ESTANTE METALICO 8 ENTREPAÑOS</v>
      </c>
      <c r="C22357" s="6">
        <v>339999</v>
      </c>
      <c r="D22357" s="5" t="s">
        <v>258</v>
      </c>
      <c r="E22357" s="5" t="str">
        <f t="shared" si="1116"/>
        <v>ACTISALUD-ESTADISTICA</v>
      </c>
      <c r="F22357" s="5" t="str">
        <f>"Descripcion: ESTANTE METALICO DE 8 ENTREPAÑOS CALIBRE 20 DE 2.40X041X1.10 DE ANCHO PINTURA ANTICORROSIVA Estado: Bueno Placa anterior: 000030103 Material: METALICO Color: GRIS Referencia:  Observacion:  Placa padre: Tipo adquisicion: Entidad"</f>
        <v>Descripcion: ESTANTE METALICO DE 8 ENTREPAÑOS CALIBRE 20 DE 2.40X041X1.10 DE ANCHO PINTURA ANTICORROSIVA Estado: Bueno Placa anterior: 000030103 Material: METALICO Color: GRIS Referencia:  Observacion:  Placa padre: Tipo adquisicion: Entidad</v>
      </c>
      <c r="G22357" s="5"/>
    </row>
    <row r="22358" spans="1:7" ht="58.5" customHeight="1" x14ac:dyDescent="0.25">
      <c r="A22358" s="5" t="str">
        <f>"H0003837"</f>
        <v>H0003837</v>
      </c>
      <c r="B22358" s="5" t="str">
        <f t="shared" si="1117"/>
        <v>ESTANTE METALICO 8 ENTREPAÑOS</v>
      </c>
      <c r="C22358" s="6">
        <v>339999</v>
      </c>
      <c r="D22358" s="5" t="s">
        <v>258</v>
      </c>
      <c r="E22358" s="5" t="str">
        <f t="shared" si="1116"/>
        <v>ACTISALUD-ESTADISTICA</v>
      </c>
      <c r="F22358" s="5" t="str">
        <f>"Descripcion: ESTANTE METALICO DE 8 ENTREPAÑOS CALIBRE 20 DE 2.40X041X1.10 DE ANCHO PINTURA ANTICORROSIVA Estado: Bueno Placa anterior: 000030102 Material: METALICO Color: GRIS Referencia:  Observacion:  Placa padre: Tipo adquisicion: Entidad"</f>
        <v>Descripcion: ESTANTE METALICO DE 8 ENTREPAÑOS CALIBRE 20 DE 2.40X041X1.10 DE ANCHO PINTURA ANTICORROSIVA Estado: Bueno Placa anterior: 000030102 Material: METALICO Color: GRIS Referencia:  Observacion:  Placa padre: Tipo adquisicion: Entidad</v>
      </c>
      <c r="G22358" s="5"/>
    </row>
    <row r="22359" spans="1:7" ht="58.5" customHeight="1" x14ac:dyDescent="0.25">
      <c r="A22359" s="5" t="str">
        <f>"H0003838"</f>
        <v>H0003838</v>
      </c>
      <c r="B22359" s="5" t="str">
        <f t="shared" si="1117"/>
        <v>ESTANTE METALICO 8 ENTREPAÑOS</v>
      </c>
      <c r="C22359" s="6">
        <v>339999</v>
      </c>
      <c r="D22359" s="5" t="s">
        <v>258</v>
      </c>
      <c r="E22359" s="5" t="str">
        <f t="shared" si="1116"/>
        <v>ACTISALUD-ESTADISTICA</v>
      </c>
      <c r="F22359" s="5" t="str">
        <f>"Descripcion: ESTANTE METALICO DE 8 ENTREPAÑOS CALIBRE 20 DE 2.40X041X1.10 DE ANCHO PINTURA ANTICORROSIVA Estado: Bueno Placa anterior: 000030101 Material: METALICO Color: GRIS Referencia:  Observacion:  Placa padre: Tipo adquisicion: Entidad"</f>
        <v>Descripcion: ESTANTE METALICO DE 8 ENTREPAÑOS CALIBRE 20 DE 2.40X041X1.10 DE ANCHO PINTURA ANTICORROSIVA Estado: Bueno Placa anterior: 000030101 Material: METALICO Color: GRIS Referencia:  Observacion:  Placa padre: Tipo adquisicion: Entidad</v>
      </c>
      <c r="G22359" s="5"/>
    </row>
    <row r="22360" spans="1:7" ht="58.5" customHeight="1" x14ac:dyDescent="0.25">
      <c r="A22360" s="5" t="str">
        <f>"H0003839"</f>
        <v>H0003839</v>
      </c>
      <c r="B22360" s="5" t="str">
        <f t="shared" si="1117"/>
        <v>ESTANTE METALICO 8 ENTREPAÑOS</v>
      </c>
      <c r="C22360" s="6">
        <v>339999</v>
      </c>
      <c r="D22360" s="5" t="s">
        <v>258</v>
      </c>
      <c r="E22360" s="5" t="str">
        <f t="shared" si="1116"/>
        <v>ACTISALUD-ESTADISTICA</v>
      </c>
      <c r="F22360" s="5" t="str">
        <f>"Descripcion: ESTANTE METALICO DE 8 ENTREPAÑOS CALIBRE 20 DE 2.40X041X1.10 DE ANCHO PINTURA ANTICORROSIVA Estado: Bueno Placa anterior: 000030100 Material: METALICO Color: GRIS Referencia:  Observacion:  Placa padre: Tipo adquisicion: Entidad"</f>
        <v>Descripcion: ESTANTE METALICO DE 8 ENTREPAÑOS CALIBRE 20 DE 2.40X041X1.10 DE ANCHO PINTURA ANTICORROSIVA Estado: Bueno Placa anterior: 000030100 Material: METALICO Color: GRIS Referencia:  Observacion:  Placa padre: Tipo adquisicion: Entidad</v>
      </c>
      <c r="G22360" s="5"/>
    </row>
    <row r="22361" spans="1:7" ht="58.5" customHeight="1" x14ac:dyDescent="0.25">
      <c r="A22361" s="5" t="str">
        <f>"H0003840"</f>
        <v>H0003840</v>
      </c>
      <c r="B22361" s="5" t="str">
        <f t="shared" si="1117"/>
        <v>ESTANTE METALICO 8 ENTREPAÑOS</v>
      </c>
      <c r="C22361" s="6">
        <v>339999</v>
      </c>
      <c r="D22361" s="5" t="s">
        <v>258</v>
      </c>
      <c r="E22361" s="5" t="str">
        <f t="shared" si="1116"/>
        <v>ACTISALUD-ESTADISTICA</v>
      </c>
      <c r="F22361" s="5" t="str">
        <f>"Descripcion: ESTANTE METALICO DE 8 ENTREPAÑOS CALIBRE 20 DE 2.40X041X1.10 DE ANCHO PINTURA ANTICORROSIVA Estado: Bueno Placa anterior: 000030099 Material: METALICO Color: GRIS Referencia:  Observacion:  Placa padre: Tipo adquisicion: Entidad"</f>
        <v>Descripcion: ESTANTE METALICO DE 8 ENTREPAÑOS CALIBRE 20 DE 2.40X041X1.10 DE ANCHO PINTURA ANTICORROSIVA Estado: Bueno Placa anterior: 000030099 Material: METALICO Color: GRIS Referencia:  Observacion:  Placa padre: Tipo adquisicion: Entidad</v>
      </c>
      <c r="G22361" s="5"/>
    </row>
    <row r="22362" spans="1:7" ht="58.5" customHeight="1" x14ac:dyDescent="0.25">
      <c r="A22362" s="5" t="str">
        <f>"H0003841"</f>
        <v>H0003841</v>
      </c>
      <c r="B22362" s="5" t="str">
        <f t="shared" si="1117"/>
        <v>ESTANTE METALICO 8 ENTREPAÑOS</v>
      </c>
      <c r="C22362" s="6">
        <v>339999</v>
      </c>
      <c r="D22362" s="5" t="s">
        <v>258</v>
      </c>
      <c r="E22362" s="5" t="str">
        <f t="shared" si="1116"/>
        <v>ACTISALUD-ESTADISTICA</v>
      </c>
      <c r="F22362" s="5" t="str">
        <f>"Descripcion: ESTANTE METALICO DE 8 ENTREPAÑOS CALIBRE 20 DE 2.40X041X1.10 DE ANCHO PINTURA ANTICORROSIVA Estado: Bueno Placa anterior: 000030097 Material: METALICO Color: GRIS Referencia:  Observacion:  Placa padre: Tipo adquisicion: Entidad"</f>
        <v>Descripcion: ESTANTE METALICO DE 8 ENTREPAÑOS CALIBRE 20 DE 2.40X041X1.10 DE ANCHO PINTURA ANTICORROSIVA Estado: Bueno Placa anterior: 000030097 Material: METALICO Color: GRIS Referencia:  Observacion:  Placa padre: Tipo adquisicion: Entidad</v>
      </c>
      <c r="G22362" s="5"/>
    </row>
    <row r="22363" spans="1:7" ht="58.5" customHeight="1" x14ac:dyDescent="0.25">
      <c r="A22363" s="5" t="str">
        <f>"H0003842"</f>
        <v>H0003842</v>
      </c>
      <c r="B22363" s="5" t="str">
        <f t="shared" si="1117"/>
        <v>ESTANTE METALICO 8 ENTREPAÑOS</v>
      </c>
      <c r="C22363" s="6">
        <v>339999</v>
      </c>
      <c r="D22363" s="5" t="s">
        <v>258</v>
      </c>
      <c r="E22363" s="5" t="str">
        <f t="shared" si="1116"/>
        <v>ACTISALUD-ESTADISTICA</v>
      </c>
      <c r="F22363" s="5" t="str">
        <f>"Descripcion: ESTANTE METALICO DE 8 ENTREPAÑOS CALIBRE 20 DE 2.40X041X1.10 DE ANCHO PINTURA ANTICORROSIVA Estado: Bueno Placa anterior: 000030098 Material: METALICO Color: GRIS Referencia:  Observacion:  Placa padre: Tipo adquisicion: Entidad"</f>
        <v>Descripcion: ESTANTE METALICO DE 8 ENTREPAÑOS CALIBRE 20 DE 2.40X041X1.10 DE ANCHO PINTURA ANTICORROSIVA Estado: Bueno Placa anterior: 000030098 Material: METALICO Color: GRIS Referencia:  Observacion:  Placa padre: Tipo adquisicion: Entidad</v>
      </c>
      <c r="G22363" s="5"/>
    </row>
    <row r="22364" spans="1:7" ht="58.5" customHeight="1" x14ac:dyDescent="0.25">
      <c r="A22364" s="5" t="str">
        <f>"H0003843"</f>
        <v>H0003843</v>
      </c>
      <c r="B22364" s="5" t="str">
        <f t="shared" si="1117"/>
        <v>ESTANTE METALICO 8 ENTREPAÑOS</v>
      </c>
      <c r="C22364" s="6">
        <v>339999</v>
      </c>
      <c r="D22364" s="5" t="s">
        <v>258</v>
      </c>
      <c r="E22364" s="5" t="str">
        <f t="shared" si="1116"/>
        <v>ACTISALUD-ESTADISTICA</v>
      </c>
      <c r="F22364" s="5" t="str">
        <f>"Descripcion: ESTANTE METALICO DE 8 ENTREPAÑOS CALIBRE 20 DE 2.40X041X1.10 DE ANCHO PINTURA ANTICORROSIVA Estado: Bueno Placa anterior: 000030096 Material: METALICO Color: GRIS Referencia:  Observacion:  Placa padre: Tipo adquisicion: Entidad"</f>
        <v>Descripcion: ESTANTE METALICO DE 8 ENTREPAÑOS CALIBRE 20 DE 2.40X041X1.10 DE ANCHO PINTURA ANTICORROSIVA Estado: Bueno Placa anterior: 000030096 Material: METALICO Color: GRIS Referencia:  Observacion:  Placa padre: Tipo adquisicion: Entidad</v>
      </c>
      <c r="G22364" s="5"/>
    </row>
    <row r="22365" spans="1:7" ht="58.5" customHeight="1" x14ac:dyDescent="0.25">
      <c r="A22365" s="5" t="str">
        <f>"H0003848"</f>
        <v>H0003848</v>
      </c>
      <c r="B22365" s="5" t="str">
        <f>"ESTANTE METALICO 5 ENTREPAÑOS"</f>
        <v>ESTANTE METALICO 5 ENTREPAÑOS</v>
      </c>
      <c r="C22365" s="6">
        <v>8840.07</v>
      </c>
      <c r="D22365" s="5"/>
      <c r="E22365" s="5" t="str">
        <f t="shared" si="1116"/>
        <v>ACTISALUD-ESTADISTICA</v>
      </c>
      <c r="F22365" s="5" t="str">
        <f>"Descripcion: ESTANTE METALICO Estado: Bueno Placa anterior: 000002377 Material: METALICO Color: GRIS Referencia:  Observacion:  Placa padre: Tipo adquisicion: Entidad"</f>
        <v>Descripcion: ESTANTE METALICO Estado: Bueno Placa anterior: 000002377 Material: METALICO Color: GRIS Referencia:  Observacion:  Placa padre: Tipo adquisicion: Entidad</v>
      </c>
      <c r="G22365" s="5"/>
    </row>
    <row r="22366" spans="1:7" ht="58.5" customHeight="1" x14ac:dyDescent="0.25">
      <c r="A22366" s="5" t="str">
        <f>"H0003849"</f>
        <v>H0003849</v>
      </c>
      <c r="B22366" s="5" t="str">
        <f>"ESTANTE METALICO 5 ENTREPAÑOS"</f>
        <v>ESTANTE METALICO 5 ENTREPAÑOS</v>
      </c>
      <c r="C22366" s="6">
        <v>27714</v>
      </c>
      <c r="D22366" s="5"/>
      <c r="E22366" s="5" t="str">
        <f t="shared" si="1116"/>
        <v>ACTISALUD-ESTADISTICA</v>
      </c>
      <c r="F22366" s="5" t="str">
        <f>"Descripcion: ESTANTE METALICO Estado: Bueno Placa anterior: 000022232 Material: METALICO Color: GRIS Referencia:  Observacion:  Placa padre: Tipo adquisicion: Entidad"</f>
        <v>Descripcion: ESTANTE METALICO Estado: Bueno Placa anterior: 000022232 Material: METALICO Color: GRIS Referencia:  Observacion:  Placa padre: Tipo adquisicion: Entidad</v>
      </c>
      <c r="G22366" s="5"/>
    </row>
    <row r="22367" spans="1:7" ht="58.5" customHeight="1" x14ac:dyDescent="0.25">
      <c r="A22367" s="5" t="str">
        <f>"H0003852"</f>
        <v>H0003852</v>
      </c>
      <c r="B22367" s="5" t="str">
        <f>"ESTANTE METALICO 6 ENTREPAÑOS"</f>
        <v>ESTANTE METALICO 6 ENTREPAÑOS</v>
      </c>
      <c r="C22367" s="6">
        <v>8840.07</v>
      </c>
      <c r="D22367" s="5"/>
      <c r="E22367" s="5" t="str">
        <f t="shared" si="1116"/>
        <v>ACTISALUD-ESTADISTICA</v>
      </c>
      <c r="F22367" s="5" t="str">
        <f>"Descripcion: ESTANTE METALICO Estado: Bueno Placa anterior: 000002374 Material: METALICO Color: GRIS Referencia:  Observacion: AUTORIZADO CONCILIAR EN CRUCE GENERAL Placa padre: Tipo adquisicion: Entidad"</f>
        <v>Descripcion: ESTANTE METALICO Estado: Bueno Placa anterior: 000002374 Material: METALICO Color: GRIS Referencia:  Observacion: AUTORIZADO CONCILIAR EN CRUCE GENERAL Placa padre: Tipo adquisicion: Entidad</v>
      </c>
      <c r="G22367" s="5"/>
    </row>
    <row r="22368" spans="1:7" ht="58.5" customHeight="1" x14ac:dyDescent="0.25">
      <c r="A22368" s="5" t="str">
        <f>"H0003854"</f>
        <v>H0003854</v>
      </c>
      <c r="B22368" s="5" t="str">
        <f t="shared" ref="B22368:B22387" si="1118">"ESTANTE METALICO 8 ENTREPAÑOS"</f>
        <v>ESTANTE METALICO 8 ENTREPAÑOS</v>
      </c>
      <c r="C22368" s="6">
        <v>339999</v>
      </c>
      <c r="D22368" s="5" t="s">
        <v>258</v>
      </c>
      <c r="E22368" s="5" t="str">
        <f t="shared" si="1116"/>
        <v>ACTISALUD-ESTADISTICA</v>
      </c>
      <c r="F22368" s="5" t="str">
        <f>"Descripcion: ESTANTE METALICO DE 8 ENTREPAÑOS CALIBRE 20 DE 2.40X041X1.10 DE ANCHO PINTURA ANTICORROSIVA Estado: Bueno Placa anterior: 000030120 Material: METALICO Color: GRIS Referencia:  Observacion:  Placa padre: Tipo adquisicion: Entidad"</f>
        <v>Descripcion: ESTANTE METALICO DE 8 ENTREPAÑOS CALIBRE 20 DE 2.40X041X1.10 DE ANCHO PINTURA ANTICORROSIVA Estado: Bueno Placa anterior: 000030120 Material: METALICO Color: GRIS Referencia:  Observacion:  Placa padre: Tipo adquisicion: Entidad</v>
      </c>
      <c r="G22368" s="5"/>
    </row>
    <row r="22369" spans="1:7" ht="58.5" customHeight="1" x14ac:dyDescent="0.25">
      <c r="A22369" s="5" t="str">
        <f>"H0003855"</f>
        <v>H0003855</v>
      </c>
      <c r="B22369" s="5" t="str">
        <f t="shared" si="1118"/>
        <v>ESTANTE METALICO 8 ENTREPAÑOS</v>
      </c>
      <c r="C22369" s="6">
        <v>339999</v>
      </c>
      <c r="D22369" s="5" t="s">
        <v>258</v>
      </c>
      <c r="E22369" s="5" t="str">
        <f t="shared" si="1116"/>
        <v>ACTISALUD-ESTADISTICA</v>
      </c>
      <c r="F22369" s="5" t="str">
        <f>"Descripcion: ESTANTE METALICO DE 8 ENTREPAÑOS CALIBRE 20 DE 2.40X041X1.10 DE ANCHO PINTURA ANTICORROSIVA Estado: Bueno Placa anterior: 000030119 Material: METALICO Color: GRIS Referencia:  Observacion:  Placa padre: Tipo adquisicion: Entidad"</f>
        <v>Descripcion: ESTANTE METALICO DE 8 ENTREPAÑOS CALIBRE 20 DE 2.40X041X1.10 DE ANCHO PINTURA ANTICORROSIVA Estado: Bueno Placa anterior: 000030119 Material: METALICO Color: GRIS Referencia:  Observacion:  Placa padre: Tipo adquisicion: Entidad</v>
      </c>
      <c r="G22369" s="5"/>
    </row>
    <row r="22370" spans="1:7" ht="58.5" customHeight="1" x14ac:dyDescent="0.25">
      <c r="A22370" s="5" t="str">
        <f>"H0003856"</f>
        <v>H0003856</v>
      </c>
      <c r="B22370" s="5" t="str">
        <f t="shared" si="1118"/>
        <v>ESTANTE METALICO 8 ENTREPAÑOS</v>
      </c>
      <c r="C22370" s="6">
        <v>339999</v>
      </c>
      <c r="D22370" s="5" t="s">
        <v>258</v>
      </c>
      <c r="E22370" s="5" t="str">
        <f t="shared" si="1116"/>
        <v>ACTISALUD-ESTADISTICA</v>
      </c>
      <c r="F22370" s="5" t="str">
        <f>"Descripcion: ESTANTE METALICO DE 8 ENTREPAÑOS CALIBRE 20 DE 2.40X041X1.10 DE ANCHO PINTURA ANTICORROSIVA Estado: Bueno Placa anterior: 000030118 Material: METALICO Color: GRIS Referencia:  Observacion:  Placa padre: Tipo adquisicion: Entidad"</f>
        <v>Descripcion: ESTANTE METALICO DE 8 ENTREPAÑOS CALIBRE 20 DE 2.40X041X1.10 DE ANCHO PINTURA ANTICORROSIVA Estado: Bueno Placa anterior: 000030118 Material: METALICO Color: GRIS Referencia:  Observacion:  Placa padre: Tipo adquisicion: Entidad</v>
      </c>
      <c r="G22370" s="5"/>
    </row>
    <row r="22371" spans="1:7" ht="58.5" customHeight="1" x14ac:dyDescent="0.25">
      <c r="A22371" s="5" t="str">
        <f>"H0003857"</f>
        <v>H0003857</v>
      </c>
      <c r="B22371" s="5" t="str">
        <f t="shared" si="1118"/>
        <v>ESTANTE METALICO 8 ENTREPAÑOS</v>
      </c>
      <c r="C22371" s="6">
        <v>339999</v>
      </c>
      <c r="D22371" s="5" t="s">
        <v>258</v>
      </c>
      <c r="E22371" s="5" t="str">
        <f t="shared" si="1116"/>
        <v>ACTISALUD-ESTADISTICA</v>
      </c>
      <c r="F22371" s="5" t="str">
        <f>"Descripcion: ESTANTE METALICO DE 8 ENTREPAÑOS CALIBRE 20 DE 2.40X041X1.10 DE ANCHO PINTURA ANTICORROSIVA Estado: Bueno Placa anterior: 000030117 Material: METALICO Color: GRIS Referencia:  Observacion:  Placa padre: Tipo adquisicion: Entidad"</f>
        <v>Descripcion: ESTANTE METALICO DE 8 ENTREPAÑOS CALIBRE 20 DE 2.40X041X1.10 DE ANCHO PINTURA ANTICORROSIVA Estado: Bueno Placa anterior: 000030117 Material: METALICO Color: GRIS Referencia:  Observacion:  Placa padre: Tipo adquisicion: Entidad</v>
      </c>
      <c r="G22371" s="5"/>
    </row>
    <row r="22372" spans="1:7" ht="58.5" customHeight="1" x14ac:dyDescent="0.25">
      <c r="A22372" s="5" t="str">
        <f>"H0003858"</f>
        <v>H0003858</v>
      </c>
      <c r="B22372" s="5" t="str">
        <f t="shared" si="1118"/>
        <v>ESTANTE METALICO 8 ENTREPAÑOS</v>
      </c>
      <c r="C22372" s="6">
        <v>339999</v>
      </c>
      <c r="D22372" s="5" t="s">
        <v>258</v>
      </c>
      <c r="E22372" s="5" t="str">
        <f t="shared" si="1116"/>
        <v>ACTISALUD-ESTADISTICA</v>
      </c>
      <c r="F22372" s="5" t="str">
        <f>"Descripcion: ESTANTE METALICO DE 8 ENTREPAÑOS CALIBRE 20 DE 2.40X041X1.10 DE ANCHO PINTURA ANTICORROSIVA Estado: Bueno Placa anterior: 000030116 Material: METALICO Color: GRIS Referencia:  Observacion:  Placa padre: Tipo adquisicion: Entidad"</f>
        <v>Descripcion: ESTANTE METALICO DE 8 ENTREPAÑOS CALIBRE 20 DE 2.40X041X1.10 DE ANCHO PINTURA ANTICORROSIVA Estado: Bueno Placa anterior: 000030116 Material: METALICO Color: GRIS Referencia:  Observacion:  Placa padre: Tipo adquisicion: Entidad</v>
      </c>
      <c r="G22372" s="5"/>
    </row>
    <row r="22373" spans="1:7" ht="58.5" customHeight="1" x14ac:dyDescent="0.25">
      <c r="A22373" s="5" t="str">
        <f>"H0003859"</f>
        <v>H0003859</v>
      </c>
      <c r="B22373" s="5" t="str">
        <f t="shared" si="1118"/>
        <v>ESTANTE METALICO 8 ENTREPAÑOS</v>
      </c>
      <c r="C22373" s="6">
        <v>339999</v>
      </c>
      <c r="D22373" s="5" t="s">
        <v>258</v>
      </c>
      <c r="E22373" s="5" t="str">
        <f t="shared" si="1116"/>
        <v>ACTISALUD-ESTADISTICA</v>
      </c>
      <c r="F22373" s="5" t="str">
        <f>"Descripcion: ESTANTE METALICO DE 8 ENTREPAÑOS CALIBRE 20 DE 2.40X041X1.10 DE ANCHO PINTURA ANTICORROSIVA Estado: Bueno Placa anterior: 000030115 Material: METALICO Color: GRIS Referencia:  Observacion:  Placa padre: Tipo adquisicion: Entidad"</f>
        <v>Descripcion: ESTANTE METALICO DE 8 ENTREPAÑOS CALIBRE 20 DE 2.40X041X1.10 DE ANCHO PINTURA ANTICORROSIVA Estado: Bueno Placa anterior: 000030115 Material: METALICO Color: GRIS Referencia:  Observacion:  Placa padre: Tipo adquisicion: Entidad</v>
      </c>
      <c r="G22373" s="5"/>
    </row>
    <row r="22374" spans="1:7" ht="58.5" customHeight="1" x14ac:dyDescent="0.25">
      <c r="A22374" s="5" t="str">
        <f>"H0003860"</f>
        <v>H0003860</v>
      </c>
      <c r="B22374" s="5" t="str">
        <f t="shared" si="1118"/>
        <v>ESTANTE METALICO 8 ENTREPAÑOS</v>
      </c>
      <c r="C22374" s="6">
        <v>339999</v>
      </c>
      <c r="D22374" s="5" t="s">
        <v>258</v>
      </c>
      <c r="E22374" s="5" t="str">
        <f t="shared" si="1116"/>
        <v>ACTISALUD-ESTADISTICA</v>
      </c>
      <c r="F22374" s="5" t="str">
        <f>"Descripcion: ESTANTE METALICO DE 8 ENTREPAÑOS CALIBRE 20 DE 2.40X041X1.10 DE ANCHO PINTURA ANTICORROSIVA Estado: Bueno Placa anterior: 000030114 Material: METALICO Color: GRIS Referencia:  Observacion:  Placa padre: Tipo adquisicion: Entidad"</f>
        <v>Descripcion: ESTANTE METALICO DE 8 ENTREPAÑOS CALIBRE 20 DE 2.40X041X1.10 DE ANCHO PINTURA ANTICORROSIVA Estado: Bueno Placa anterior: 000030114 Material: METALICO Color: GRIS Referencia:  Observacion:  Placa padre: Tipo adquisicion: Entidad</v>
      </c>
      <c r="G22374" s="5"/>
    </row>
    <row r="22375" spans="1:7" ht="58.5" customHeight="1" x14ac:dyDescent="0.25">
      <c r="A22375" s="5" t="str">
        <f>"H0003861"</f>
        <v>H0003861</v>
      </c>
      <c r="B22375" s="5" t="str">
        <f t="shared" si="1118"/>
        <v>ESTANTE METALICO 8 ENTREPAÑOS</v>
      </c>
      <c r="C22375" s="6">
        <v>339999</v>
      </c>
      <c r="D22375" s="5" t="s">
        <v>258</v>
      </c>
      <c r="E22375" s="5" t="str">
        <f t="shared" si="1116"/>
        <v>ACTISALUD-ESTADISTICA</v>
      </c>
      <c r="F22375" s="5" t="str">
        <f>"Descripcion: ESTANTE METALICO DE 8 ENTREPAÑOS CALIBRE 20 DE 2.40X041X1.10 DE ANCHO PINTURA ANTICORROSIVA Estado: Bueno Placa anterior: 000030113 Material: METALICO Color: GRIS Referencia:  Observacion:  Placa padre: Tipo adquisicion: Entidad"</f>
        <v>Descripcion: ESTANTE METALICO DE 8 ENTREPAÑOS CALIBRE 20 DE 2.40X041X1.10 DE ANCHO PINTURA ANTICORROSIVA Estado: Bueno Placa anterior: 000030113 Material: METALICO Color: GRIS Referencia:  Observacion:  Placa padre: Tipo adquisicion: Entidad</v>
      </c>
      <c r="G22375" s="5"/>
    </row>
    <row r="22376" spans="1:7" ht="58.5" customHeight="1" x14ac:dyDescent="0.25">
      <c r="A22376" s="5" t="str">
        <f>"H0003862"</f>
        <v>H0003862</v>
      </c>
      <c r="B22376" s="5" t="str">
        <f t="shared" si="1118"/>
        <v>ESTANTE METALICO 8 ENTREPAÑOS</v>
      </c>
      <c r="C22376" s="6">
        <v>339999</v>
      </c>
      <c r="D22376" s="5" t="s">
        <v>258</v>
      </c>
      <c r="E22376" s="5" t="str">
        <f t="shared" si="1116"/>
        <v>ACTISALUD-ESTADISTICA</v>
      </c>
      <c r="F22376" s="5" t="str">
        <f>"Descripcion: ESTANTE METALICO DE 8 ENTREPAÑOS CALIBRE 20 DE 2.40X041X1.10 DE ANCHO PINTURA ANTICORROSIVA Estado: Bueno Placa anterior: 000030112 Material: METALICO Color: GRIS Referencia:  Observacion:  Placa padre: Tipo adquisicion: Entidad"</f>
        <v>Descripcion: ESTANTE METALICO DE 8 ENTREPAÑOS CALIBRE 20 DE 2.40X041X1.10 DE ANCHO PINTURA ANTICORROSIVA Estado: Bueno Placa anterior: 000030112 Material: METALICO Color: GRIS Referencia:  Observacion:  Placa padre: Tipo adquisicion: Entidad</v>
      </c>
      <c r="G22376" s="5"/>
    </row>
    <row r="22377" spans="1:7" ht="58.5" customHeight="1" x14ac:dyDescent="0.25">
      <c r="A22377" s="5" t="str">
        <f>"H0003863"</f>
        <v>H0003863</v>
      </c>
      <c r="B22377" s="5" t="str">
        <f t="shared" si="1118"/>
        <v>ESTANTE METALICO 8 ENTREPAÑOS</v>
      </c>
      <c r="C22377" s="6">
        <v>339999</v>
      </c>
      <c r="D22377" s="5" t="s">
        <v>258</v>
      </c>
      <c r="E22377" s="5" t="str">
        <f t="shared" si="1116"/>
        <v>ACTISALUD-ESTADISTICA</v>
      </c>
      <c r="F22377" s="5" t="str">
        <f>"Descripcion: ESTANTE METALICO DE 8 ENTREPAÑOS CALIBRE 20 DE 2.40X041X1.10 DE ANCHO PINTURA ANTICORROSIVA Estado: Bueno Placa anterior: 000030111 Material: METALICO Color: GRIS Referencia:  Observacion:  Placa padre: Tipo adquisicion: Entidad"</f>
        <v>Descripcion: ESTANTE METALICO DE 8 ENTREPAÑOS CALIBRE 20 DE 2.40X041X1.10 DE ANCHO PINTURA ANTICORROSIVA Estado: Bueno Placa anterior: 000030111 Material: METALICO Color: GRIS Referencia:  Observacion:  Placa padre: Tipo adquisicion: Entidad</v>
      </c>
      <c r="G22377" s="5"/>
    </row>
    <row r="22378" spans="1:7" ht="58.5" customHeight="1" x14ac:dyDescent="0.25">
      <c r="A22378" s="5" t="str">
        <f>"H0003864"</f>
        <v>H0003864</v>
      </c>
      <c r="B22378" s="5" t="str">
        <f t="shared" si="1118"/>
        <v>ESTANTE METALICO 8 ENTREPAÑOS</v>
      </c>
      <c r="C22378" s="6">
        <v>339999</v>
      </c>
      <c r="D22378" s="5" t="s">
        <v>258</v>
      </c>
      <c r="E22378" s="5" t="str">
        <f t="shared" si="1116"/>
        <v>ACTISALUD-ESTADISTICA</v>
      </c>
      <c r="F22378" s="5" t="str">
        <f>"Descripcion: ESTANTE METALICO DE 8 ENTREPAÑOS CALIBRE 20 DE 2.40X041X1.10 DE ANCHO PINTURA ANTICORROSIVA Estado: Bueno Placa anterior: 000030130 Material: METALICO Color: GRIS Referencia:  Observacion:  Placa padre: Tipo adquisicion: Entidad"</f>
        <v>Descripcion: ESTANTE METALICO DE 8 ENTREPAÑOS CALIBRE 20 DE 2.40X041X1.10 DE ANCHO PINTURA ANTICORROSIVA Estado: Bueno Placa anterior: 000030130 Material: METALICO Color: GRIS Referencia:  Observacion:  Placa padre: Tipo adquisicion: Entidad</v>
      </c>
      <c r="G22378" s="5"/>
    </row>
    <row r="22379" spans="1:7" ht="58.5" customHeight="1" x14ac:dyDescent="0.25">
      <c r="A22379" s="5" t="str">
        <f>"H0003865"</f>
        <v>H0003865</v>
      </c>
      <c r="B22379" s="5" t="str">
        <f t="shared" si="1118"/>
        <v>ESTANTE METALICO 8 ENTREPAÑOS</v>
      </c>
      <c r="C22379" s="6">
        <v>339999</v>
      </c>
      <c r="D22379" s="5" t="s">
        <v>258</v>
      </c>
      <c r="E22379" s="5" t="str">
        <f t="shared" si="1116"/>
        <v>ACTISALUD-ESTADISTICA</v>
      </c>
      <c r="F22379" s="5" t="str">
        <f>"Descripcion: ESTANTE METALICO DE 8 ENTREPAÑOS CALIBRE 20 DE 2.40X041X1.10 DE ANCHO PINTURA ANTICORROSIVA Estado: Bueno Placa anterior: 000030129 Material: METALICO Color: GRIS Referencia:  Observacion:  Placa padre: Tipo adquisicion: Entidad"</f>
        <v>Descripcion: ESTANTE METALICO DE 8 ENTREPAÑOS CALIBRE 20 DE 2.40X041X1.10 DE ANCHO PINTURA ANTICORROSIVA Estado: Bueno Placa anterior: 000030129 Material: METALICO Color: GRIS Referencia:  Observacion:  Placa padre: Tipo adquisicion: Entidad</v>
      </c>
      <c r="G22379" s="5"/>
    </row>
    <row r="22380" spans="1:7" ht="58.5" customHeight="1" x14ac:dyDescent="0.25">
      <c r="A22380" s="5" t="str">
        <f>"H0003866"</f>
        <v>H0003866</v>
      </c>
      <c r="B22380" s="5" t="str">
        <f t="shared" si="1118"/>
        <v>ESTANTE METALICO 8 ENTREPAÑOS</v>
      </c>
      <c r="C22380" s="6">
        <v>339999</v>
      </c>
      <c r="D22380" s="5" t="s">
        <v>258</v>
      </c>
      <c r="E22380" s="5" t="str">
        <f t="shared" si="1116"/>
        <v>ACTISALUD-ESTADISTICA</v>
      </c>
      <c r="F22380" s="5" t="str">
        <f>"Descripcion: ESTANTE METALICO DE 8 ENTREPAÑOS CALIBRE 20 DE 2.40X041X1.10 DE ANCHO PINTURA ANTICORROSIVA Estado: Bueno Placa anterior: 000030128 Material: METALICO Color: GRIS Referencia:  Observacion:  Placa padre: Tipo adquisicion: Entidad"</f>
        <v>Descripcion: ESTANTE METALICO DE 8 ENTREPAÑOS CALIBRE 20 DE 2.40X041X1.10 DE ANCHO PINTURA ANTICORROSIVA Estado: Bueno Placa anterior: 000030128 Material: METALICO Color: GRIS Referencia:  Observacion:  Placa padre: Tipo adquisicion: Entidad</v>
      </c>
      <c r="G22380" s="5"/>
    </row>
    <row r="22381" spans="1:7" ht="58.5" customHeight="1" x14ac:dyDescent="0.25">
      <c r="A22381" s="5" t="str">
        <f>"H0003867"</f>
        <v>H0003867</v>
      </c>
      <c r="B22381" s="5" t="str">
        <f t="shared" si="1118"/>
        <v>ESTANTE METALICO 8 ENTREPAÑOS</v>
      </c>
      <c r="C22381" s="6">
        <v>339999</v>
      </c>
      <c r="D22381" s="5" t="s">
        <v>258</v>
      </c>
      <c r="E22381" s="5" t="str">
        <f t="shared" si="1116"/>
        <v>ACTISALUD-ESTADISTICA</v>
      </c>
      <c r="F22381" s="5" t="str">
        <f>"Descripcion: ESTANTE METALICO DE 8 ENTREPAÑOS CALIBRE 20 DE 2.40X041X1.10 DE ANCHO PINTURA ANTICORROSIVA Estado: Bueno Placa anterior: 000030127 Material: METALICO Color: GRIS Referencia:  Observacion:  Placa padre: Tipo adquisicion: Entidad"</f>
        <v>Descripcion: ESTANTE METALICO DE 8 ENTREPAÑOS CALIBRE 20 DE 2.40X041X1.10 DE ANCHO PINTURA ANTICORROSIVA Estado: Bueno Placa anterior: 000030127 Material: METALICO Color: GRIS Referencia:  Observacion:  Placa padre: Tipo adquisicion: Entidad</v>
      </c>
      <c r="G22381" s="5"/>
    </row>
    <row r="22382" spans="1:7" ht="58.5" customHeight="1" x14ac:dyDescent="0.25">
      <c r="A22382" s="5" t="str">
        <f>"H0003868"</f>
        <v>H0003868</v>
      </c>
      <c r="B22382" s="5" t="str">
        <f t="shared" si="1118"/>
        <v>ESTANTE METALICO 8 ENTREPAÑOS</v>
      </c>
      <c r="C22382" s="6">
        <v>339999</v>
      </c>
      <c r="D22382" s="5" t="s">
        <v>258</v>
      </c>
      <c r="E22382" s="5" t="str">
        <f t="shared" si="1116"/>
        <v>ACTISALUD-ESTADISTICA</v>
      </c>
      <c r="F22382" s="5" t="str">
        <f>"Descripcion: ESTANTE METALICO DE 8 ENTREPAÑOS CALIBRE 20 DE 2.40X041X1.10 DE ANCHO PINTURA ANTICORROSIVA Estado: Bueno Placa anterior: 000030126 Material: METALICO Color: GRIS Referencia:  Observacion:  Placa padre: Tipo adquisicion: Entidad"</f>
        <v>Descripcion: ESTANTE METALICO DE 8 ENTREPAÑOS CALIBRE 20 DE 2.40X041X1.10 DE ANCHO PINTURA ANTICORROSIVA Estado: Bueno Placa anterior: 000030126 Material: METALICO Color: GRIS Referencia:  Observacion:  Placa padre: Tipo adquisicion: Entidad</v>
      </c>
      <c r="G22382" s="5"/>
    </row>
    <row r="22383" spans="1:7" ht="58.5" customHeight="1" x14ac:dyDescent="0.25">
      <c r="A22383" s="5" t="str">
        <f>"H0003869"</f>
        <v>H0003869</v>
      </c>
      <c r="B22383" s="5" t="str">
        <f t="shared" si="1118"/>
        <v>ESTANTE METALICO 8 ENTREPAÑOS</v>
      </c>
      <c r="C22383" s="6">
        <v>339999</v>
      </c>
      <c r="D22383" s="5" t="s">
        <v>258</v>
      </c>
      <c r="E22383" s="5" t="str">
        <f t="shared" si="1116"/>
        <v>ACTISALUD-ESTADISTICA</v>
      </c>
      <c r="F22383" s="5" t="str">
        <f>"Descripcion: ESTANTE METALICO DE 8 ENTREPAÑOS CALIBRE 20 DE 2.40X041X1.10 DE ANCHO PINTURA ANTICORROSIVA Estado: Bueno Placa anterior: 000030125 Material: METALICO Color: GRIS Referencia:  Observacion:  Placa padre: Tipo adquisicion: Entidad"</f>
        <v>Descripcion: ESTANTE METALICO DE 8 ENTREPAÑOS CALIBRE 20 DE 2.40X041X1.10 DE ANCHO PINTURA ANTICORROSIVA Estado: Bueno Placa anterior: 000030125 Material: METALICO Color: GRIS Referencia:  Observacion:  Placa padre: Tipo adquisicion: Entidad</v>
      </c>
      <c r="G22383" s="5"/>
    </row>
    <row r="22384" spans="1:7" ht="58.5" customHeight="1" x14ac:dyDescent="0.25">
      <c r="A22384" s="5" t="str">
        <f>"H0003870"</f>
        <v>H0003870</v>
      </c>
      <c r="B22384" s="5" t="str">
        <f t="shared" si="1118"/>
        <v>ESTANTE METALICO 8 ENTREPAÑOS</v>
      </c>
      <c r="C22384" s="6">
        <v>339999</v>
      </c>
      <c r="D22384" s="5" t="s">
        <v>258</v>
      </c>
      <c r="E22384" s="5" t="str">
        <f t="shared" si="1116"/>
        <v>ACTISALUD-ESTADISTICA</v>
      </c>
      <c r="F22384" s="5" t="str">
        <f>"Descripcion: ESTANTE METALICO DE 8 ENTREPAÑOS CALIBRE 20 DE 2.40X041X1.10 DE ANCHO PINTURA ANTICORROSIVA Estado: Bueno Placa anterior: 000030124 Material: METALICO Color: GRIS Referencia:  Observacion:  Placa padre: Tipo adquisicion: Entidad"</f>
        <v>Descripcion: ESTANTE METALICO DE 8 ENTREPAÑOS CALIBRE 20 DE 2.40X041X1.10 DE ANCHO PINTURA ANTICORROSIVA Estado: Bueno Placa anterior: 000030124 Material: METALICO Color: GRIS Referencia:  Observacion:  Placa padre: Tipo adquisicion: Entidad</v>
      </c>
      <c r="G22384" s="5"/>
    </row>
    <row r="22385" spans="1:7" ht="58.5" customHeight="1" x14ac:dyDescent="0.25">
      <c r="A22385" s="5" t="str">
        <f>"H0003871"</f>
        <v>H0003871</v>
      </c>
      <c r="B22385" s="5" t="str">
        <f t="shared" si="1118"/>
        <v>ESTANTE METALICO 8 ENTREPAÑOS</v>
      </c>
      <c r="C22385" s="6">
        <v>339999</v>
      </c>
      <c r="D22385" s="5" t="s">
        <v>258</v>
      </c>
      <c r="E22385" s="5" t="str">
        <f t="shared" si="1116"/>
        <v>ACTISALUD-ESTADISTICA</v>
      </c>
      <c r="F22385" s="5" t="str">
        <f>"Descripcion: ESTANTE METALICO DE 8 ENTREPAÑOS CALIBRE 20 DE 2.40X041X1.10 DE ANCHO PINTURA ANTICORROSIVA Estado: Bueno Placa anterior: 000030123 Material: METALICO Color: GRIS Referencia:  Observacion:  Placa padre: Tipo adquisicion: Entidad"</f>
        <v>Descripcion: ESTANTE METALICO DE 8 ENTREPAÑOS CALIBRE 20 DE 2.40X041X1.10 DE ANCHO PINTURA ANTICORROSIVA Estado: Bueno Placa anterior: 000030123 Material: METALICO Color: GRIS Referencia:  Observacion:  Placa padre: Tipo adquisicion: Entidad</v>
      </c>
      <c r="G22385" s="5"/>
    </row>
    <row r="22386" spans="1:7" ht="58.5" customHeight="1" x14ac:dyDescent="0.25">
      <c r="A22386" s="5" t="str">
        <f>"H0003872"</f>
        <v>H0003872</v>
      </c>
      <c r="B22386" s="5" t="str">
        <f t="shared" si="1118"/>
        <v>ESTANTE METALICO 8 ENTREPAÑOS</v>
      </c>
      <c r="C22386" s="6">
        <v>339999</v>
      </c>
      <c r="D22386" s="5" t="s">
        <v>258</v>
      </c>
      <c r="E22386" s="5" t="str">
        <f t="shared" si="1116"/>
        <v>ACTISALUD-ESTADISTICA</v>
      </c>
      <c r="F22386" s="5" t="str">
        <f>"Descripcion: ESTANTE METALICO DE 8 ENTREPAÑOS CALIBRE 20 DE 2.40X041X1.10 DE ANCHO PINTURA ANTICORROSIVA Estado: Bueno Placa anterior: 000030122 Material: METALICO Color: GRIS Referencia:  Observacion:  Placa padre: Tipo adquisicion: Entidad"</f>
        <v>Descripcion: ESTANTE METALICO DE 8 ENTREPAÑOS CALIBRE 20 DE 2.40X041X1.10 DE ANCHO PINTURA ANTICORROSIVA Estado: Bueno Placa anterior: 000030122 Material: METALICO Color: GRIS Referencia:  Observacion:  Placa padre: Tipo adquisicion: Entidad</v>
      </c>
      <c r="G22386" s="5"/>
    </row>
    <row r="22387" spans="1:7" ht="58.5" customHeight="1" x14ac:dyDescent="0.25">
      <c r="A22387" s="5" t="str">
        <f>"H0003873"</f>
        <v>H0003873</v>
      </c>
      <c r="B22387" s="5" t="str">
        <f t="shared" si="1118"/>
        <v>ESTANTE METALICO 8 ENTREPAÑOS</v>
      </c>
      <c r="C22387" s="6">
        <v>339999</v>
      </c>
      <c r="D22387" s="5" t="s">
        <v>258</v>
      </c>
      <c r="E22387" s="5" t="str">
        <f t="shared" si="1116"/>
        <v>ACTISALUD-ESTADISTICA</v>
      </c>
      <c r="F22387" s="5" t="str">
        <f>"Descripcion: ESTANTE METALICO DE 8 ENTREPAÑOS CALIBRE 20 DE 2.40X041X1.10 DE ANCHO PINTURA ANTICORROSIVA Estado: Bueno Placa anterior: 000030121 Material: METALICO Color: GRIS Referencia:  Observacion:  Placa padre: Tipo adquisicion: Entidad"</f>
        <v>Descripcion: ESTANTE METALICO DE 8 ENTREPAÑOS CALIBRE 20 DE 2.40X041X1.10 DE ANCHO PINTURA ANTICORROSIVA Estado: Bueno Placa anterior: 000030121 Material: METALICO Color: GRIS Referencia:  Observacion:  Placa padre: Tipo adquisicion: Entidad</v>
      </c>
      <c r="G22387" s="5"/>
    </row>
    <row r="22388" spans="1:7" ht="58.5" customHeight="1" x14ac:dyDescent="0.25">
      <c r="A22388" s="5" t="str">
        <f>"H0003875"</f>
        <v>H0003875</v>
      </c>
      <c r="B22388" s="5" t="str">
        <f>"ESTANTE METALICO 6 ENTREPAÑOS"</f>
        <v>ESTANTE METALICO 6 ENTREPAÑOS</v>
      </c>
      <c r="C22388" s="6">
        <v>15893.5</v>
      </c>
      <c r="D22388" s="5"/>
      <c r="E22388" s="5" t="str">
        <f t="shared" si="1116"/>
        <v>ACTISALUD-ESTADISTICA</v>
      </c>
      <c r="F22388" s="5" t="str">
        <f>"Descripcion: ESTANTE METALICO Estado: Bueno Placa anterior: 000001284 Material: METALICO Color: GRIS Referencia:  Observacion:  Placa padre: Tipo adquisicion: Entidad"</f>
        <v>Descripcion: ESTANTE METALICO Estado: Bueno Placa anterior: 000001284 Material: METALICO Color: GRIS Referencia:  Observacion:  Placa padre: Tipo adquisicion: Entidad</v>
      </c>
      <c r="G22388" s="5"/>
    </row>
    <row r="22389" spans="1:7" ht="58.5" customHeight="1" x14ac:dyDescent="0.25">
      <c r="A22389" s="5" t="str">
        <f>"H0003876"</f>
        <v>H0003876</v>
      </c>
      <c r="B22389" s="5" t="str">
        <f>"ESTANTE METALICO 5 ENTREPAÑOS"</f>
        <v>ESTANTE METALICO 5 ENTREPAÑOS</v>
      </c>
      <c r="C22389" s="6">
        <v>170000</v>
      </c>
      <c r="D22389" s="5"/>
      <c r="E22389" s="5" t="str">
        <f t="shared" si="1116"/>
        <v>ACTISALUD-ESTADISTICA</v>
      </c>
      <c r="F22389" s="5" t="str">
        <f>"Descripcion: . Estado: Bueno Placa anterior: 000022181 Material: METALICO Color: GRIS Referencia:  Observacion:  Placa padre: Tipo adquisicion: Entidad"</f>
        <v>Descripcion: . Estado: Bueno Placa anterior: 000022181 Material: METALICO Color: GRIS Referencia:  Observacion:  Placa padre: Tipo adquisicion: Entidad</v>
      </c>
      <c r="G22389" s="5"/>
    </row>
    <row r="22390" spans="1:7" ht="58.5" customHeight="1" x14ac:dyDescent="0.25">
      <c r="A22390" s="5" t="str">
        <f>"H0003877"</f>
        <v>H0003877</v>
      </c>
      <c r="B22390" s="5" t="str">
        <f>"ESTANTE METALICO 6 ENTREPAÑOS"</f>
        <v>ESTANTE METALICO 6 ENTREPAÑOS</v>
      </c>
      <c r="C22390" s="6">
        <v>8840.07</v>
      </c>
      <c r="D22390" s="5"/>
      <c r="E22390" s="5" t="str">
        <f t="shared" ref="E22390:E22453" si="1119">"ACTISALUD-ESTADISTICA"</f>
        <v>ACTISALUD-ESTADISTICA</v>
      </c>
      <c r="F22390" s="5" t="str">
        <f>"Descripcion: ESTANTE METALICO Estado: Bueno Placa anterior: 000002310 Material: METALICO Color: GRIS Referencia:  Observacion: AUTORIZADO CONCILIAR EN CRUCE GENERAL Placa padre: Tipo adquisicion: Entidad"</f>
        <v>Descripcion: ESTANTE METALICO Estado: Bueno Placa anterior: 000002310 Material: METALICO Color: GRIS Referencia:  Observacion: AUTORIZADO CONCILIAR EN CRUCE GENERAL Placa padre: Tipo adquisicion: Entidad</v>
      </c>
      <c r="G22390" s="5"/>
    </row>
    <row r="22391" spans="1:7" ht="58.5" customHeight="1" x14ac:dyDescent="0.25">
      <c r="A22391" s="5" t="str">
        <f>"H0003878"</f>
        <v>H0003878</v>
      </c>
      <c r="B22391" s="5" t="str">
        <f>"ESTANTE METALICO 6 ENTREPAÑOS"</f>
        <v>ESTANTE METALICO 6 ENTREPAÑOS</v>
      </c>
      <c r="C22391" s="6">
        <v>8840.07</v>
      </c>
      <c r="D22391" s="5"/>
      <c r="E22391" s="5" t="str">
        <f t="shared" si="1119"/>
        <v>ACTISALUD-ESTADISTICA</v>
      </c>
      <c r="F22391" s="5" t="str">
        <f>"Descripcion: ESTANTE METALICO Estado: Bueno Placa anterior: 000002373 Material: METALICO Color: GRIS Referencia:  Observacion: AUTORIZADO CONCILIAR EN CRUCE GENERAL Placa padre: Tipo adquisicion: Entidad"</f>
        <v>Descripcion: ESTANTE METALICO Estado: Bueno Placa anterior: 000002373 Material: METALICO Color: GRIS Referencia:  Observacion: AUTORIZADO CONCILIAR EN CRUCE GENERAL Placa padre: Tipo adquisicion: Entidad</v>
      </c>
      <c r="G22391" s="5"/>
    </row>
    <row r="22392" spans="1:7" ht="58.5" customHeight="1" x14ac:dyDescent="0.25">
      <c r="A22392" s="5" t="str">
        <f>"H0003914"</f>
        <v>H0003914</v>
      </c>
      <c r="B22392" s="5" t="str">
        <f>"SILLA INTERLOCUTORA (FIJA) SIN BRAZOS"</f>
        <v>SILLA INTERLOCUTORA (FIJA) SIN BRAZOS</v>
      </c>
      <c r="C22392" s="6">
        <v>9085.11</v>
      </c>
      <c r="D22392" s="5"/>
      <c r="E22392" s="5" t="str">
        <f t="shared" si="1119"/>
        <v>ACTISALUD-ESTADISTICA</v>
      </c>
      <c r="F22392" s="5" t="str">
        <f>"Descripcion: , Estado: Bueno Placa anterior: 000000319 Material: METALICO Color: MARRON Referencia:  Observacion:  Placa padre: Tipo adquisicion: Entidad"</f>
        <v>Descripcion: , Estado: Bueno Placa anterior: 000000319 Material: METALICO Color: MARRON Referencia:  Observacion:  Placa padre: Tipo adquisicion: Entidad</v>
      </c>
      <c r="G22392" s="5"/>
    </row>
    <row r="22393" spans="1:7" ht="58.5" customHeight="1" x14ac:dyDescent="0.25">
      <c r="A22393" s="5" t="str">
        <f>"H0004079"</f>
        <v>H0004079</v>
      </c>
      <c r="B22393" s="5" t="str">
        <f>"ESTANTE METALICO 6 ENTREPAÑOS"</f>
        <v>ESTANTE METALICO 6 ENTREPAÑOS</v>
      </c>
      <c r="C22393" s="6">
        <v>18479.71</v>
      </c>
      <c r="D22393" s="5"/>
      <c r="E22393" s="5" t="str">
        <f t="shared" si="1119"/>
        <v>ACTISALUD-ESTADISTICA</v>
      </c>
      <c r="F22393" s="5" t="str">
        <f>"Descripcion: MIDE 200X90X31 CM Estado: Bueno Placa anterior: 000008767 Material: METAL Color: GRIS Referencia:  Observacion:  Placa padre: Tipo adquisicion: Entidad"</f>
        <v>Descripcion: MIDE 200X90X31 CM Estado: Bueno Placa anterior: 000008767 Material: METAL Color: GRIS Referencia:  Observacion:  Placa padre: Tipo adquisicion: Entidad</v>
      </c>
      <c r="G22393" s="5"/>
    </row>
    <row r="22394" spans="1:7" ht="58.5" customHeight="1" x14ac:dyDescent="0.25">
      <c r="A22394" s="5" t="str">
        <f>"H0004096"</f>
        <v>H0004096</v>
      </c>
      <c r="B22394" s="5" t="str">
        <f>"ESTANTE METALICO 6 ENTREPAÑOS"</f>
        <v>ESTANTE METALICO 6 ENTREPAÑOS</v>
      </c>
      <c r="C22394" s="6">
        <v>18479.71</v>
      </c>
      <c r="D22394" s="5"/>
      <c r="E22394" s="5" t="str">
        <f t="shared" si="1119"/>
        <v>ACTISALUD-ESTADISTICA</v>
      </c>
      <c r="F22394" s="5" t="str">
        <f>"Descripcion: MIDE 200X90X30 CM Estado: Bueno Placa anterior: 000008765 Material: METAL Color: GRIS Referencia:  Observacion:  Placa padre: Tipo adquisicion: Entidad"</f>
        <v>Descripcion: MIDE 200X90X30 CM Estado: Bueno Placa anterior: 000008765 Material: METAL Color: GRIS Referencia:  Observacion:  Placa padre: Tipo adquisicion: Entidad</v>
      </c>
      <c r="G22394" s="5"/>
    </row>
    <row r="22395" spans="1:7" ht="58.5" customHeight="1" x14ac:dyDescent="0.25">
      <c r="A22395" s="5" t="str">
        <f>"H0005671"</f>
        <v>H0005671</v>
      </c>
      <c r="B22395" s="5" t="str">
        <f>"SILLA INTERLOCUTORA (FIJA) SIN BRAZOS"</f>
        <v>SILLA INTERLOCUTORA (FIJA) SIN BRAZOS</v>
      </c>
      <c r="C22395" s="6">
        <v>5610</v>
      </c>
      <c r="D22395" s="5"/>
      <c r="E22395" s="5" t="str">
        <f t="shared" si="1119"/>
        <v>ACTISALUD-ESTADISTICA</v>
      </c>
      <c r="F22395" s="5" t="str">
        <f>"Descripcion:SILLA FIJA SIN BRAZOS COLOR MARRON, CON TAPIZADO EN CUERINA Estado: Bueno Placa anterior: 000008331 Material: METALICA Y CUERINA Color: GRIS Y MARRON Referencia:  Observacion:  Placa padre:  Tipo adquisicion : Entidad"</f>
        <v>Descripcion:SILLA FIJA SIN BRAZOS COLOR MARRON, CON TAPIZADO EN CUERINA Estado: Bueno Placa anterior: 000008331 Material: METALICA Y CUERINA Color: GRIS Y MARRON Referencia:  Observacion:  Placa padre:  Tipo adquisicion : Entidad</v>
      </c>
      <c r="G22395" s="5"/>
    </row>
    <row r="22396" spans="1:7" ht="58.5" customHeight="1" x14ac:dyDescent="0.25">
      <c r="A22396" s="5" t="str">
        <f>"H0009769"</f>
        <v>H0009769</v>
      </c>
      <c r="B22396" s="5" t="str">
        <f>"COMPUTADOR TODO EN UNO"</f>
        <v>COMPUTADOR TODO EN UNO</v>
      </c>
      <c r="C22396" s="6">
        <v>1572000</v>
      </c>
      <c r="D22396" s="5" t="s">
        <v>346</v>
      </c>
      <c r="E22396" s="5" t="str">
        <f t="shared" si="1119"/>
        <v>ACTISALUD-ESTADISTICA</v>
      </c>
      <c r="F22396" s="5" t="str">
        <f>"Descripcion: EQUIPOS DE COMPUTO TODO EN UNO PROCESADOR CORE 3.0 SUPERIOR CORPORATIVO WINDOWS 8 PRO- OFFICE 2013 SMALL BUSINES, TECNOLOGIA HT DE INTEL GARANTIA EXTENDIDA A 3 AÑOS Estado: Bueno Placa anterior: 000030681 Material: PASTA Color: NEGRO Referenc"&amp; "ia: C9G88LT#ABM Observacion:  Placa anterior:, Placa nueva=H0009771, Descripcion:OPTICO, Serial:FCMHH0CQW6AFLP, Marca:HP, Modelo:SM-2022, Material:PASTA, Color:NEGRO,Referencia:672652-001, Placa anterior:, Placa nueva=H0009770, Descripcion:., Serial:01210"&amp; "791, Marca:LENOVO, Modelo:SK-8825, Material:PASTA, Color:NEGRO,Referencia:41A5312 Placa padre: Tipo adquisicion: Entidad"</f>
        <v>Descripcion: EQUIPOS DE COMPUTO TODO EN UNO PROCESADOR CORE 3.0 SUPERIOR CORPORATIVO WINDOWS 8 PRO- OFFICE 2013 SMALL BUSINES, TECNOLOGIA HT DE INTEL GARANTIA EXTENDIDA A 3 AÑOS Estado: Bueno Placa anterior: 000030681 Material: PASTA Color: NEGRO Referencia: C9G88LT#ABM Observacion:  Placa anterior:, Placa nueva=H0009771, Descripcion:OPTICO, Serial:FCMHH0CQW6AFLP, Marca:HP, Modelo:SM-2022, Material:PASTA, Color:NEGRO,Referencia:672652-001, Placa anterior:, Placa nueva=H0009770, Descripcion:., Serial:01210791, Marca:LENOVO, Modelo:SK-8825, Material:PASTA, Color:NEGRO,Referencia:41A5312 Placa padre: Tipo adquisicion: Entidad</v>
      </c>
      <c r="G22396" s="5" t="str">
        <f>"HP COMPAQ PRO 4300"</f>
        <v>HP COMPAQ PRO 4300</v>
      </c>
    </row>
    <row r="22397" spans="1:7" ht="58.5" customHeight="1" x14ac:dyDescent="0.25">
      <c r="A22397" s="5" t="str">
        <f>"H0010424"</f>
        <v>H0010424</v>
      </c>
      <c r="B22397" s="5" t="str">
        <f>"COMPUTADOR TODO EN UNO"</f>
        <v>COMPUTADOR TODO EN UNO</v>
      </c>
      <c r="C22397" s="6">
        <v>1572000</v>
      </c>
      <c r="D22397" s="5" t="s">
        <v>32</v>
      </c>
      <c r="E22397" s="5" t="str">
        <f t="shared" si="1119"/>
        <v>ACTISALUD-ESTADISTICA</v>
      </c>
      <c r="F22397" s="5" t="str">
        <f>"Descripcion: EQUIPOS DE COMPUTO TODO EN UNO PROCESADOR CORE 3.0 SUPERIOR CORPORATIVO WINDOWS 8 PRO- OFFICE 2013 SMALL BUSINES, TECNOLOGIA HT DE INTEL GARANTIA EXTENDIDA A 3 AÑOS Estado: Bueno Placa anterior: 000030578 Material: PLASTICO Color: NEGRO Refer"&amp; "encia:  Observacion: DE 20  Placa anterior:, Placa nueva=H0010426, Descripcion:MOUSE OPTICO 3 BOTONES, Serial:674316-001, Marca:HP, Modelo:, Material:PLASTICO, Color:NEGRO, Referencia:, Placa anterior:, Placa nueva=H0010425, Descripcion:TECLADO, Serial:67"&amp; "2647-163, Marca:HP, Modelo:KU-1156,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000030578 Material: PLASTICO Color: NEGRO Referencia:  Observacion: DE 20  Placa anterior:, Placa nueva=H0010426, Descripcion:MOUSE OPTICO 3 BOTONES, Serial:674316-001, Marca:HP, Modelo:, Material:PLASTICO, Color:NEGRO, Referencia:, Placa anterior:, Placa nueva=H0010425, Descripcion:TECLADO, Serial:672647-163, Marca:HP, Modelo:KU-1156, Material:PLASTICO, Color:NEGRO, Referencia: Placa padre: Tipo adquisicion: Entidad</v>
      </c>
      <c r="G22397" s="5" t="str">
        <f>"COMPAQ PRO 4300"</f>
        <v>COMPAQ PRO 4300</v>
      </c>
    </row>
    <row r="22398" spans="1:7" ht="58.5" customHeight="1" x14ac:dyDescent="0.25">
      <c r="A22398" s="5" t="str">
        <f>"H0010431"</f>
        <v>H0010431</v>
      </c>
      <c r="B22398" s="5" t="str">
        <f>"COMPUTADOR TODO EN UNO"</f>
        <v>COMPUTADOR TODO EN UNO</v>
      </c>
      <c r="C22398" s="6">
        <v>1572000</v>
      </c>
      <c r="D22398" s="5" t="s">
        <v>32</v>
      </c>
      <c r="E22398" s="5" t="str">
        <f t="shared" si="1119"/>
        <v>ACTISALUD-ESTADISTICA</v>
      </c>
      <c r="F22398" s="5" t="str">
        <f>"Descripcion: EQUIPOS DE COMPUTO TODO EN UNO PROCESADOR CORE 3.0 SUPERIOR CORPORATIVO WINDOWS 8 PRO- OFFICE 2013 SMALL BUSINES, TECNOLOGIA HT DE INTEL GARANTIA EXTENDIDA A 3 AÑOS Estado: Bueno Placa anterior: 000030577 Material: PLASTICO Color: NEGRO Refer"&amp; "encia:  Observacion:  Placa anterior:, Placa nueva=H0010433, Descripcion:MOUSE OPTICO 3 BOTENES, Serial:672652-001, Marca:HP, Modelo:, Material:PLASTICO, Color:NEGRO, Referencia:, Placa anterior:, Placa nueva=H0010432, Descripcion:TECLADO, Serial:BDMHE0CV"&amp; "D516RR, Marca:HP, Modelo:KU-1156,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000030577 Material: PLASTICO Color: NEGRO Referencia:  Observacion:  Placa anterior:, Placa nueva=H0010433, Descripcion:MOUSE OPTICO 3 BOTENES, Serial:672652-001, Marca:HP, Modelo:, Material:PLASTICO, Color:NEGRO, Referencia:, Placa anterior:, Placa nueva=H0010432, Descripcion:TECLADO, Serial:BDMHE0CVD516RR, Marca:HP, Modelo:KU-1156, Material:PLASTICO, Color:NEGRO, Referencia: Placa padre: Tipo adquisicion: Entidad</v>
      </c>
      <c r="G22398" s="5" t="str">
        <f>"COMPAQ PRO 4300"</f>
        <v>COMPAQ PRO 4300</v>
      </c>
    </row>
    <row r="22399" spans="1:7" ht="58.5" customHeight="1" x14ac:dyDescent="0.25">
      <c r="A22399" s="5" t="str">
        <f>"H0015963"</f>
        <v>H0015963</v>
      </c>
      <c r="B22399" s="5" t="str">
        <f>"ESTANTE METALICO 6 ENTREPAÑOS"</f>
        <v>ESTANTE METALICO 6 ENTREPAÑOS</v>
      </c>
      <c r="C22399" s="6">
        <v>5527.03</v>
      </c>
      <c r="D22399" s="5"/>
      <c r="E22399" s="5" t="str">
        <f t="shared" si="1119"/>
        <v>ACTISALUD-ESTADISTICA</v>
      </c>
      <c r="F22399" s="5" t="str">
        <f>"Descripcion: ESTANTE METALICO 6 ENTREPAÑOS Estado: Bueno Placa anterior: 000000348 Material: METALICO Color: BLANCO Referencia:  Observacion:  Placa padre: Tipo adquisicion: Entidad"</f>
        <v>Descripcion: ESTANTE METALICO 6 ENTREPAÑOS Estado: Bueno Placa anterior: 000000348 Material: METALICO Color: BLANCO Referencia:  Observacion:  Placa padre: Tipo adquisicion: Entidad</v>
      </c>
      <c r="G22399" s="5"/>
    </row>
    <row r="22400" spans="1:7" ht="58.5" customHeight="1" x14ac:dyDescent="0.25">
      <c r="A22400" s="5" t="str">
        <f>"H0017393"</f>
        <v>H0017393</v>
      </c>
      <c r="B22400" s="5" t="str">
        <f>"COMPUTADOR TODO EN UNO"</f>
        <v>COMPUTADOR TODO EN UNO</v>
      </c>
      <c r="C22400" s="6">
        <v>1572000</v>
      </c>
      <c r="D22400" s="5" t="s">
        <v>32</v>
      </c>
      <c r="E22400" s="5" t="str">
        <f t="shared" si="1119"/>
        <v>ACTISALUD-ESTADISTICA</v>
      </c>
      <c r="F22400" s="5" t="str">
        <f>"Descripcion: EQUIPOS DE COMPUTO TODO EN UNO PROCESADOR CORE 3.0 SUPERIOR CORPORATIVO WINDOWS 8 PRO- OFFICE 2013 SMALL BUSINES, TECNOLOGIA HT DE INTEL GARANTIA EXTENDIDA A 3 AÑOS Estado: Bueno Placa anterior: 000030559 Material: PASTA Color: NEGRO Referenc"&amp; "ia: C9G88LT#ABM Observacion:  Placa anterior:, Placa nueva=H0017394, Descripcion:., Serial:BDMHE0CVB5I2DX, Marca:HP, Modelo:KU-1156, Material:PASTA, Color:NEGRO,   Referencia:672647163LA, Placa anterior:, Placa nueva=H0017395, Descripcion:OPTICO, Serial:F"&amp; "CMHH0CJP5I13B, Marca:HP, Modelo:SM-2022, Material:PASTA, Color:NEGRO,   Referencia:672652-001 Placa padre: Tipo adquisicion: Entidad"</f>
        <v>Descripcion: EQUIPOS DE COMPUTO TODO EN UNO PROCESADOR CORE 3.0 SUPERIOR CORPORATIVO WINDOWS 8 PRO- OFFICE 2013 SMALL BUSINES, TECNOLOGIA HT DE INTEL GARANTIA EXTENDIDA A 3 AÑOS Estado: Bueno Placa anterior: 000030559 Material: PASTA Color: NEGRO Referencia: C9G88LT#ABM Observacion:  Placa anterior:, Placa nueva=H0017394, Descripcion:., Serial:BDMHE0CVB5I2DX, Marca:HP, Modelo:KU-1156, Material:PASTA, Color:NEGRO,   Referencia:672647163LA, Placa anterior:, Placa nueva=H0017395, Descripcion:OPTICO, Serial:FCMHH0CJP5I13B, Marca:HP, Modelo:SM-2022, Material:PASTA, Color:NEGRO,   Referencia:672652-001 Placa padre: Tipo adquisicion: Entidad</v>
      </c>
      <c r="G22400" s="5" t="str">
        <f>"HP COMPAQ PRO 4300"</f>
        <v>HP COMPAQ PRO 4300</v>
      </c>
    </row>
    <row r="22401" spans="1:7" ht="58.5" customHeight="1" x14ac:dyDescent="0.25">
      <c r="A22401" s="5" t="str">
        <f>"H0017399"</f>
        <v>H0017399</v>
      </c>
      <c r="B22401" s="5" t="str">
        <f>"SILLA ERGONOMICA TIPO SECRETARIA SIN BRAZOS"</f>
        <v>SILLA ERGONOMICA TIPO SECRETARIA SIN BRAZOS</v>
      </c>
      <c r="C22401" s="6">
        <v>147972</v>
      </c>
      <c r="D22401" s="5"/>
      <c r="E22401" s="5" t="str">
        <f t="shared" si="1119"/>
        <v>ACTISALUD-ESTADISTICA</v>
      </c>
      <c r="F22401" s="5" t="str">
        <f>"Descripcion: SILLA GIRATORIA TIPO SECRETARIA SIN BRAZOSTAPIZADA EN PAÑO VERDE Estado: Bueno Placa anterior: 000002068 Material: PASTA METAL  Color: VERDE Referencia:  Observacion:  Placa padre: Tipo adquisicion: Entidad"</f>
        <v>Descripcion: SILLA GIRATORIA TIPO SECRETARIA SIN BRAZOSTAPIZADA EN PAÑO VERDE Estado: Bueno Placa anterior: 000002068 Material: PASTA METAL  Color: VERDE Referencia:  Observacion:  Placa padre: Tipo adquisicion: Entidad</v>
      </c>
      <c r="G22401" s="5"/>
    </row>
    <row r="22402" spans="1:7" ht="58.5" customHeight="1" x14ac:dyDescent="0.25">
      <c r="A22402" s="5" t="str">
        <f>"H0018045"</f>
        <v>H0018045</v>
      </c>
      <c r="B22402" s="5" t="str">
        <f>"COMPUTADOR TODO EN UNO"</f>
        <v>COMPUTADOR TODO EN UNO</v>
      </c>
      <c r="C22402" s="6">
        <v>1572000</v>
      </c>
      <c r="D22402" s="5" t="s">
        <v>32</v>
      </c>
      <c r="E22402" s="5" t="str">
        <f t="shared" si="1119"/>
        <v>ACTISALUD-ESTADISTICA</v>
      </c>
      <c r="F22402" s="5" t="str">
        <f>"Descripcion: EQUIPOS DE COMPUTO TODO EN UNO PROCESADOR CORE 3.0 SUPERIOR CORPORATIVO WINDOWS 8 PRO- OFFICE 2013 SMALL BUSINES, TECNOLOGIA HT DE INTEL GARANTIA EXTENDIDA A 3 AÑOS Estado: Bueno Placa anterior: 000030565 Material: PASTA Color: NEGRO Referenc"&amp; "ia:  Observacion:  Placa padre: Tipo adquisicion: Entidad"</f>
        <v>Descripcion: EQUIPOS DE COMPUTO TODO EN UNO PROCESADOR CORE 3.0 SUPERIOR CORPORATIVO WINDOWS 8 PRO- OFFICE 2013 SMALL BUSINES, TECNOLOGIA HT DE INTEL GARANTIA EXTENDIDA A 3 AÑOS Estado: Bueno Placa anterior: 000030565 Material: PASTA Color: NEGRO Referencia:  Observacion:  Placa padre: Tipo adquisicion: Entidad</v>
      </c>
      <c r="G22402" s="5" t="str">
        <f>"COMPAQ PRO 4300"</f>
        <v>COMPAQ PRO 4300</v>
      </c>
    </row>
    <row r="22403" spans="1:7" ht="58.5" customHeight="1" x14ac:dyDescent="0.25">
      <c r="A22403" s="5" t="str">
        <f>"H0018048"</f>
        <v>H0018048</v>
      </c>
      <c r="B22403" s="5" t="str">
        <f>"MESA METALICA AUXILIAR"</f>
        <v>MESA METALICA AUXILIAR</v>
      </c>
      <c r="C22403" s="6">
        <v>1360</v>
      </c>
      <c r="D22403" s="5"/>
      <c r="E22403" s="5" t="str">
        <f t="shared" si="1119"/>
        <v>ACTISALUD-ESTADISTICA</v>
      </c>
      <c r="F22403" s="5" t="str">
        <f>"Descripcion: MESA AUXILIAR CON UNA GAVETA Y RODACHINES Estado: Bueno Placa anterior: 000001445 Material: METALICA Color: GRIS Y SUPERFICIE FORMICA MARRON Referencia:  Observacion:  Placa padre: Tipo adquisicion: Entidad"</f>
        <v>Descripcion: MESA AUXILIAR CON UNA GAVETA Y RODACHINES Estado: Bueno Placa anterior: 000001445 Material: METALICA Color: GRIS Y SUPERFICIE FORMICA MARRON Referencia:  Observacion:  Placa padre: Tipo adquisicion: Entidad</v>
      </c>
      <c r="G22403" s="5"/>
    </row>
    <row r="22404" spans="1:7" ht="58.5" customHeight="1" x14ac:dyDescent="0.25">
      <c r="A22404" s="5" t="str">
        <f>"H0019002"</f>
        <v>H0019002</v>
      </c>
      <c r="B22404" s="5" t="str">
        <f>"MESA DE MADERA REDONDA"</f>
        <v>MESA DE MADERA REDONDA</v>
      </c>
      <c r="C22404" s="6">
        <v>42000</v>
      </c>
      <c r="D22404" s="5"/>
      <c r="E22404" s="5" t="str">
        <f t="shared" si="1119"/>
        <v>ACTISALUD-ESTADISTICA</v>
      </c>
      <c r="F22404" s="5" t="str">
        <f>"Descripcion: MESA TIPO E (CIRCULAR) Estado: Regular Placa anterior: 000027600 Material: MADERA Color:  Referencia:  Observacion:  Placa padre: Tipo adquisicion: Entidad"</f>
        <v>Descripcion: MESA TIPO E (CIRCULAR) Estado: Regular Placa anterior: 000027600 Material: MADERA Color:  Referencia:  Observacion:  Placa padre: Tipo adquisicion: Entidad</v>
      </c>
      <c r="G22404" s="5"/>
    </row>
    <row r="22405" spans="1:7" ht="58.5" customHeight="1" x14ac:dyDescent="0.25">
      <c r="A22405" s="5" t="str">
        <f>"H0019003"</f>
        <v>H0019003</v>
      </c>
      <c r="B22405" s="5" t="str">
        <f>"MESA METALICA"</f>
        <v>MESA METALICA</v>
      </c>
      <c r="C22405" s="6">
        <v>17325</v>
      </c>
      <c r="D22405" s="5"/>
      <c r="E22405" s="5" t="str">
        <f t="shared" si="1119"/>
        <v>ACTISALUD-ESTADISTICA</v>
      </c>
      <c r="F22405" s="5" t="str">
        <f>"Descripcion: MESA RECTANGULAR DE 1.50 X 1 MTS Estado: Regular Placa anterior: 000001605 Material: METALICO Color: GRIS Referencia:  Observacion:  Placa padre: Tipo adquisicion: Entidad"</f>
        <v>Descripcion: MESA RECTANGULAR DE 1.50 X 1 MTS Estado: Regular Placa anterior: 000001605 Material: METALICO Color: GRIS Referencia:  Observacion:  Placa padre: Tipo adquisicion: Entidad</v>
      </c>
      <c r="G22405" s="5"/>
    </row>
    <row r="22406" spans="1:7" ht="58.5" customHeight="1" x14ac:dyDescent="0.25">
      <c r="A22406" s="5" t="str">
        <f>"H0019007"</f>
        <v>H0019007</v>
      </c>
      <c r="B22406" s="5" t="str">
        <f t="shared" ref="B22406:B22412" si="1120">"TARJETERO METALICO-FICHERO"</f>
        <v>TARJETERO METALICO-FICHERO</v>
      </c>
      <c r="C22406" s="6">
        <v>364800</v>
      </c>
      <c r="D22406" s="5"/>
      <c r="E22406" s="5" t="str">
        <f t="shared" si="1119"/>
        <v>ACTISALUD-ESTADISTICA</v>
      </c>
      <c r="F22406" s="5" t="str">
        <f>"Descripcion: TARJETERO INDICE METALICO5 GAVETAS Estado: Inservible Placa anterior: 000001709 Material: METALICO Color:  Referencia:  Observacion:  Placa padre: Tipo adquisicion: Entidad"</f>
        <v>Descripcion: TARJETERO INDICE METALICO5 GAVETAS Estado: Inservible Placa anterior: 000001709 Material: METALICO Color:  Referencia:  Observacion:  Placa padre: Tipo adquisicion: Entidad</v>
      </c>
      <c r="G22406" s="5"/>
    </row>
    <row r="22407" spans="1:7" ht="58.5" customHeight="1" x14ac:dyDescent="0.25">
      <c r="A22407" s="5" t="str">
        <f>"H0019008"</f>
        <v>H0019008</v>
      </c>
      <c r="B22407" s="5" t="str">
        <f t="shared" si="1120"/>
        <v>TARJETERO METALICO-FICHERO</v>
      </c>
      <c r="C22407" s="6">
        <v>364800</v>
      </c>
      <c r="D22407" s="5"/>
      <c r="E22407" s="5" t="str">
        <f t="shared" si="1119"/>
        <v>ACTISALUD-ESTADISTICA</v>
      </c>
      <c r="F22407" s="5" t="str">
        <f>"Descripcion: TARJETERO INDICE METALICO5 GAVETAS Estado: Inservible Placa anterior: 000001705 Material: METALICO Color:  Referencia:  Observacion:  Placa padre: Tipo adquisicion: Entidad"</f>
        <v>Descripcion: TARJETERO INDICE METALICO5 GAVETAS Estado: Inservible Placa anterior: 000001705 Material: METALICO Color:  Referencia:  Observacion:  Placa padre: Tipo adquisicion: Entidad</v>
      </c>
      <c r="G22407" s="5"/>
    </row>
    <row r="22408" spans="1:7" ht="58.5" customHeight="1" x14ac:dyDescent="0.25">
      <c r="A22408" s="5" t="str">
        <f>"H0019009"</f>
        <v>H0019009</v>
      </c>
      <c r="B22408" s="5" t="str">
        <f t="shared" si="1120"/>
        <v>TARJETERO METALICO-FICHERO</v>
      </c>
      <c r="C22408" s="6">
        <v>364800</v>
      </c>
      <c r="D22408" s="5"/>
      <c r="E22408" s="5" t="str">
        <f t="shared" si="1119"/>
        <v>ACTISALUD-ESTADISTICA</v>
      </c>
      <c r="F22408" s="5" t="str">
        <f>"Descripcion: TARJETERO INDICE METALICO5 GAVETAS Estado: Inservible Placa anterior: 000001708 Material: METALICO Color:  Referencia:  Observacion:  Placa padre: Tipo adquisicion: Entidad"</f>
        <v>Descripcion: TARJETERO INDICE METALICO5 GAVETAS Estado: Inservible Placa anterior: 000001708 Material: METALICO Color:  Referencia:  Observacion:  Placa padre: Tipo adquisicion: Entidad</v>
      </c>
      <c r="G22408" s="5"/>
    </row>
    <row r="22409" spans="1:7" ht="58.5" customHeight="1" x14ac:dyDescent="0.25">
      <c r="A22409" s="5" t="str">
        <f>"H0019013"</f>
        <v>H0019013</v>
      </c>
      <c r="B22409" s="5" t="str">
        <f t="shared" si="1120"/>
        <v>TARJETERO METALICO-FICHERO</v>
      </c>
      <c r="C22409" s="6">
        <v>364800</v>
      </c>
      <c r="D22409" s="5"/>
      <c r="E22409" s="5" t="str">
        <f t="shared" si="1119"/>
        <v>ACTISALUD-ESTADISTICA</v>
      </c>
      <c r="F22409" s="5" t="str">
        <f>"Descripcion: TARJETERO INDICE METALICO5 GAVETAS Estado: Inservible Placa anterior: 000001706 Material: METALICO Color:  Referencia:  Observacion:  Placa padre: Tipo adquisicion: Entidad"</f>
        <v>Descripcion: TARJETERO INDICE METALICO5 GAVETAS Estado: Inservible Placa anterior: 000001706 Material: METALICO Color:  Referencia:  Observacion:  Placa padre: Tipo adquisicion: Entidad</v>
      </c>
      <c r="G22409" s="5"/>
    </row>
    <row r="22410" spans="1:7" ht="58.5" customHeight="1" x14ac:dyDescent="0.25">
      <c r="A22410" s="5" t="str">
        <f>"H0019014"</f>
        <v>H0019014</v>
      </c>
      <c r="B22410" s="5" t="str">
        <f t="shared" si="1120"/>
        <v>TARJETERO METALICO-FICHERO</v>
      </c>
      <c r="C22410" s="6">
        <v>364800</v>
      </c>
      <c r="D22410" s="5"/>
      <c r="E22410" s="5" t="str">
        <f t="shared" si="1119"/>
        <v>ACTISALUD-ESTADISTICA</v>
      </c>
      <c r="F22410" s="5" t="str">
        <f>"Descripcion: TARJETERO INDICE METALICO5 GAVETAS Estado: Inservible Placa anterior: 000001710 Material: METALICO Color:  Referencia:  Observacion:  Placa padre: Tipo adquisicion: Entidad"</f>
        <v>Descripcion: TARJETERO INDICE METALICO5 GAVETAS Estado: Inservible Placa anterior: 000001710 Material: METALICO Color:  Referencia:  Observacion:  Placa padre: Tipo adquisicion: Entidad</v>
      </c>
      <c r="G22410" s="5"/>
    </row>
    <row r="22411" spans="1:7" ht="58.5" customHeight="1" x14ac:dyDescent="0.25">
      <c r="A22411" s="5" t="str">
        <f>"H0019015"</f>
        <v>H0019015</v>
      </c>
      <c r="B22411" s="5" t="str">
        <f t="shared" si="1120"/>
        <v>TARJETERO METALICO-FICHERO</v>
      </c>
      <c r="C22411" s="6">
        <v>364800</v>
      </c>
      <c r="D22411" s="5"/>
      <c r="E22411" s="5" t="str">
        <f t="shared" si="1119"/>
        <v>ACTISALUD-ESTADISTICA</v>
      </c>
      <c r="F22411" s="5" t="str">
        <f>"Descripcion: TARJETERO INDICE METALICO5 GAVETAS Estado: Inservible Placa anterior: 000001711 Material: METALICO Color:  Referencia:  Observacion:  Placa padre: Tipo adquisicion: Entidad"</f>
        <v>Descripcion: TARJETERO INDICE METALICO5 GAVETAS Estado: Inservible Placa anterior: 000001711 Material: METALICO Color:  Referencia:  Observacion:  Placa padre: Tipo adquisicion: Entidad</v>
      </c>
      <c r="G22411" s="5"/>
    </row>
    <row r="22412" spans="1:7" ht="58.5" customHeight="1" x14ac:dyDescent="0.25">
      <c r="A22412" s="5" t="str">
        <f>"H0019016"</f>
        <v>H0019016</v>
      </c>
      <c r="B22412" s="5" t="str">
        <f t="shared" si="1120"/>
        <v>TARJETERO METALICO-FICHERO</v>
      </c>
      <c r="C22412" s="6">
        <v>364800</v>
      </c>
      <c r="D22412" s="5"/>
      <c r="E22412" s="5" t="str">
        <f t="shared" si="1119"/>
        <v>ACTISALUD-ESTADISTICA</v>
      </c>
      <c r="F22412" s="5" t="str">
        <f>"Descripcion: TARJETERO INDICE METALICO5 GAVETAS Estado: Inservible Placa anterior: 000001707 Material: METALICO Color:  Referencia:  Observacion:  Placa padre: Tipo adquisicion: Entidad"</f>
        <v>Descripcion: TARJETERO INDICE METALICO5 GAVETAS Estado: Inservible Placa anterior: 000001707 Material: METALICO Color:  Referencia:  Observacion:  Placa padre: Tipo adquisicion: Entidad</v>
      </c>
      <c r="G22412" s="5"/>
    </row>
    <row r="22413" spans="1:7" ht="58.5" customHeight="1" x14ac:dyDescent="0.25">
      <c r="A22413" s="5" t="str">
        <f>"H0019023"</f>
        <v>H0019023</v>
      </c>
      <c r="B22413" s="5" t="str">
        <f>"ESTANTE METALICO 7 ENTREPAÑOS"</f>
        <v>ESTANTE METALICO 7 ENTREPAÑOS</v>
      </c>
      <c r="C22413" s="6">
        <v>58000</v>
      </c>
      <c r="D22413" s="5"/>
      <c r="E22413" s="5" t="str">
        <f t="shared" si="1119"/>
        <v>ACTISALUD-ESTADISTICA</v>
      </c>
      <c r="F22413" s="5" t="str">
        <f>"Descripcion: ESTANTERIA PARA HISTORIAS CLINICAS (ALTURA 2 METROS PANEL 90 CMS LARGO X 30 CMS ANCHO DISTANCIA ENTRE PANEL 30 CMS) Estado: Bueno Placa anterior: 000022782 Material: METALICO Color: GRIS Referencia:  Observacion:  Placa padre: Tipo adquisicio"&amp; "n: Entidad"</f>
        <v>Descripcion: ESTANTERIA PARA HISTORIAS CLINICAS (ALTURA 2 METROS PANEL 90 CMS LARGO X 30 CMS ANCHO DISTANCIA ENTRE PANEL 30 CMS) Estado: Bueno Placa anterior: 000022782 Material: METALICO Color: GRIS Referencia:  Observacion:  Placa padre: Tipo adquisicion: Entidad</v>
      </c>
      <c r="G22413" s="5"/>
    </row>
    <row r="22414" spans="1:7" ht="58.5" customHeight="1" x14ac:dyDescent="0.25">
      <c r="A22414" s="5" t="str">
        <f>"H0019024"</f>
        <v>H0019024</v>
      </c>
      <c r="B22414" s="5" t="str">
        <f>"ESTANTE METALICO 7 ENTREPAÑOS"</f>
        <v>ESTANTE METALICO 7 ENTREPAÑOS</v>
      </c>
      <c r="C22414" s="6">
        <v>58000</v>
      </c>
      <c r="D22414" s="5"/>
      <c r="E22414" s="5" t="str">
        <f t="shared" si="1119"/>
        <v>ACTISALUD-ESTADISTICA</v>
      </c>
      <c r="F22414" s="5" t="str">
        <f>"Descripcion: ESTANTERIA PARA HISTORIAS CLINICAS (ALTURA 2 METROS PANEL 90 CMS LARGO X 30 CMS ANCHO DISTANCIA ENTRE PANEL 30 CMS) Estado: Bueno Placa anterior: 000022783 Material: METALICO Color: GRIS Referencia:  Observacion:  Placa padre: Tipo adquisicio"&amp; "n: Entidad"</f>
        <v>Descripcion: ESTANTERIA PARA HISTORIAS CLINICAS (ALTURA 2 METROS PANEL 90 CMS LARGO X 30 CMS ANCHO DISTANCIA ENTRE PANEL 30 CMS) Estado: Bueno Placa anterior: 000022783 Material: METALICO Color: GRIS Referencia:  Observacion:  Placa padre: Tipo adquisicion: Entidad</v>
      </c>
      <c r="G22414" s="5"/>
    </row>
    <row r="22415" spans="1:7" ht="58.5" customHeight="1" x14ac:dyDescent="0.25">
      <c r="A22415" s="5" t="str">
        <f>"H0019025"</f>
        <v>H0019025</v>
      </c>
      <c r="B22415" s="5" t="str">
        <f>"ESTANTE METALICO 7 ENTREPAÑOS"</f>
        <v>ESTANTE METALICO 7 ENTREPAÑOS</v>
      </c>
      <c r="C22415" s="6">
        <v>58000</v>
      </c>
      <c r="D22415" s="5"/>
      <c r="E22415" s="5" t="str">
        <f t="shared" si="1119"/>
        <v>ACTISALUD-ESTADISTICA</v>
      </c>
      <c r="F22415" s="5" t="str">
        <f>"Descripcion: ESTANTERIA PARA HISTORIAS CLINICAS (ALTURA 2 METROS PANEL 90 CMS LARGO X 30 CMS ANCHO DISTANCIA ENTRE PANEL 30 CMS) Estado: Bueno Placa anterior: 000022784 Material: METALICO Color: GRIS Referencia:  Observacion:  Placa padre: Tipo adquisicio"&amp; "n: Entidad"</f>
        <v>Descripcion: ESTANTERIA PARA HISTORIAS CLINICAS (ALTURA 2 METROS PANEL 90 CMS LARGO X 30 CMS ANCHO DISTANCIA ENTRE PANEL 30 CMS) Estado: Bueno Placa anterior: 000022784 Material: METALICO Color: GRIS Referencia:  Observacion:  Placa padre: Tipo adquisicion: Entidad</v>
      </c>
      <c r="G22415" s="5"/>
    </row>
    <row r="22416" spans="1:7" ht="58.5" customHeight="1" x14ac:dyDescent="0.25">
      <c r="A22416" s="5" t="str">
        <f>"H0019028"</f>
        <v>H0019028</v>
      </c>
      <c r="B22416" s="5" t="str">
        <f>"ESTANTE METALICO 5 ENTREPAÑOS"</f>
        <v>ESTANTE METALICO 5 ENTREPAÑOS</v>
      </c>
      <c r="C22416" s="6">
        <v>27714</v>
      </c>
      <c r="D22416" s="5"/>
      <c r="E22416" s="5" t="str">
        <f t="shared" si="1119"/>
        <v>ACTISALUD-ESTADISTICA</v>
      </c>
      <c r="F22416" s="5" t="str">
        <f>"Descripcion: ESTANTERIA PARA HISTORIAS CLINICAS (ALTURA 2 METROS PANEL 90 CMS LARGO X 30 CMS ANCHO DISTANCIA ENTRE PANEL 30 CMS) Estado: Bueno Placa anterior: 000022230 Material: METALICO Color: GRIS Referencia:  Observacion:  Placa padre: Tipo adquisicio"&amp; "n: Entidad"</f>
        <v>Descripcion: ESTANTERIA PARA HISTORIAS CLINICAS (ALTURA 2 METROS PANEL 90 CMS LARGO X 30 CMS ANCHO DISTANCIA ENTRE PANEL 30 CMS) Estado: Bueno Placa anterior: 000022230 Material: METALICO Color: GRIS Referencia:  Observacion:  Placa padre: Tipo adquisicion: Entidad</v>
      </c>
      <c r="G22416" s="5"/>
    </row>
    <row r="22417" spans="1:7" ht="58.5" customHeight="1" x14ac:dyDescent="0.25">
      <c r="A22417" s="5" t="str">
        <f>"H0019029"</f>
        <v>H0019029</v>
      </c>
      <c r="B22417" s="5" t="str">
        <f>"ESTANTE METALICO 5 ENTREPAÑOS"</f>
        <v>ESTANTE METALICO 5 ENTREPAÑOS</v>
      </c>
      <c r="C22417" s="6">
        <v>27714</v>
      </c>
      <c r="D22417" s="5"/>
      <c r="E22417" s="5" t="str">
        <f t="shared" si="1119"/>
        <v>ACTISALUD-ESTADISTICA</v>
      </c>
      <c r="F22417" s="5" t="str">
        <f>"Descripcion: ESTANTERIA PARA HISTORIAS CLINICAS (ALTURA 2 METROS PANEL 90 CMS LARGO X 30 CMS ANCHO DISTANCIA ENTRE PANEL 30 CMS) Estado: Bueno Placa anterior: 000022233 Material: METALICO Color: GRIS Referencia:  Observacion:  Placa padre: Tipo adquisicio"&amp; "n: Entidad"</f>
        <v>Descripcion: ESTANTERIA PARA HISTORIAS CLINICAS (ALTURA 2 METROS PANEL 90 CMS LARGO X 30 CMS ANCHO DISTANCIA ENTRE PANEL 30 CMS) Estado: Bueno Placa anterior: 000022233 Material: METALICO Color: GRIS Referencia:  Observacion:  Placa padre: Tipo adquisicion: Entidad</v>
      </c>
      <c r="G22417" s="5"/>
    </row>
    <row r="22418" spans="1:7" ht="58.5" customHeight="1" x14ac:dyDescent="0.25">
      <c r="A22418" s="5" t="str">
        <f>"H0019031"</f>
        <v>H0019031</v>
      </c>
      <c r="B22418" s="5" t="str">
        <f>"ESTANTE METALICO 6 ENTREPAÑOS"</f>
        <v>ESTANTE METALICO 6 ENTREPAÑOS</v>
      </c>
      <c r="C22418" s="6">
        <v>31612</v>
      </c>
      <c r="D22418" s="5"/>
      <c r="E22418" s="5" t="str">
        <f t="shared" si="1119"/>
        <v>ACTISALUD-ESTADISTICA</v>
      </c>
      <c r="F22418" s="5" t="str">
        <f>"Descripcion: ESTANTE METALICO DE 6 ENTREPAÑOS Estado: Bueno Placa anterior: 000000238 Material: METALICO Color: GRIS Referencia:  Observacion:  Placa padre: Tipo adquisicion: Entidad"</f>
        <v>Descripcion: ESTANTE METALICO DE 6 ENTREPAÑOS Estado: Bueno Placa anterior: 000000238 Material: METALICO Color: GRIS Referencia:  Observacion:  Placa padre: Tipo adquisicion: Entidad</v>
      </c>
      <c r="G22418" s="5"/>
    </row>
    <row r="22419" spans="1:7" ht="58.5" customHeight="1" x14ac:dyDescent="0.25">
      <c r="A22419" s="5" t="str">
        <f>"H0019033"</f>
        <v>H0019033</v>
      </c>
      <c r="B22419" s="5" t="str">
        <f>"ESTANTE METALICO 7 ENTREPAÑOS"</f>
        <v>ESTANTE METALICO 7 ENTREPAÑOS</v>
      </c>
      <c r="C22419" s="6">
        <v>29533.23</v>
      </c>
      <c r="D22419" s="5"/>
      <c r="E22419" s="5" t="str">
        <f t="shared" si="1119"/>
        <v>ACTISALUD-ESTADISTICA</v>
      </c>
      <c r="F22419" s="5" t="str">
        <f>"Descripcion: ESTANTERIA PARA HISTORIAS CLINICAS (ALTURA 2 METROS PANEL 90 CMS LARGO X 30 CMS ANCHO DISTANCIA ENTRE PANEL 30 CMS) Estado: Bueno Placa anterior: 000001682 Material: METALICO Color: GRIS Referencia:  Observacion:  Placa padre: Tipo adquisicio"&amp; "n: Entidad"</f>
        <v>Descripcion: ESTANTERIA PARA HISTORIAS CLINICAS (ALTURA 2 METROS PANEL 90 CMS LARGO X 30 CMS ANCHO DISTANCIA ENTRE PANEL 30 CMS) Estado: Bueno Placa anterior: 000001682 Material: METALICO Color: GRIS Referencia:  Observacion:  Placa padre: Tipo adquisicion: Entidad</v>
      </c>
      <c r="G22419" s="5"/>
    </row>
    <row r="22420" spans="1:7" ht="58.5" customHeight="1" x14ac:dyDescent="0.25">
      <c r="A22420" s="5" t="str">
        <f>"H0019036"</f>
        <v>H0019036</v>
      </c>
      <c r="B22420" s="5" t="str">
        <f>"ESTANTE METALICO 7 ENTREPAÑOS"</f>
        <v>ESTANTE METALICO 7 ENTREPAÑOS</v>
      </c>
      <c r="C22420" s="6">
        <v>29533.23</v>
      </c>
      <c r="D22420" s="5"/>
      <c r="E22420" s="5" t="str">
        <f t="shared" si="1119"/>
        <v>ACTISALUD-ESTADISTICA</v>
      </c>
      <c r="F22420" s="5" t="str">
        <f>"Descripcion: ESTANTERIA PARA HISTORIAS CLINICAS (ALTURA 2 METROS PANEL 90 CMS LARGO X 30 CMS ANCHO DISTANCIA ENTRE PANEL 30 CMS) Estado: Bueno Placa anterior: 000001686 Material: METALICO Color: GRIS Referencia:  Observacion:  Placa padre: Tipo adquisicio"&amp; "n: Entidad"</f>
        <v>Descripcion: ESTANTERIA PARA HISTORIAS CLINICAS (ALTURA 2 METROS PANEL 90 CMS LARGO X 30 CMS ANCHO DISTANCIA ENTRE PANEL 30 CMS) Estado: Bueno Placa anterior: 000001686 Material: METALICO Color: GRIS Referencia:  Observacion:  Placa padre: Tipo adquisicion: Entidad</v>
      </c>
      <c r="G22420" s="5"/>
    </row>
    <row r="22421" spans="1:7" ht="58.5" customHeight="1" x14ac:dyDescent="0.25">
      <c r="A22421" s="5" t="str">
        <f>"H0019037"</f>
        <v>H0019037</v>
      </c>
      <c r="B22421" s="5" t="str">
        <f>"ESTANTE METALICO 7 ENTREPAÑOS"</f>
        <v>ESTANTE METALICO 7 ENTREPAÑOS</v>
      </c>
      <c r="C22421" s="6">
        <v>29533.23</v>
      </c>
      <c r="D22421" s="5"/>
      <c r="E22421" s="5" t="str">
        <f t="shared" si="1119"/>
        <v>ACTISALUD-ESTADISTICA</v>
      </c>
      <c r="F22421" s="5" t="str">
        <f>"Descripcion: ESTANTERIA PARA HISTORIAS CLINICAS (ALTURA 2 METROS PANEL 90 CMS LARGO X 30 CMS ANCHO DISTANCIA ENTRE PANEL 30 CMS) Estado: Bueno Placa anterior: 000001715 Material: METALICO Color: GRIS Referencia:  Observacion:  Placa padre: Tipo adquisicio"&amp; "n: Entidad"</f>
        <v>Descripcion: ESTANTERIA PARA HISTORIAS CLINICAS (ALTURA 2 METROS PANEL 90 CMS LARGO X 30 CMS ANCHO DISTANCIA ENTRE PANEL 30 CMS) Estado: Bueno Placa anterior: 000001715 Material: METALICO Color: GRIS Referencia:  Observacion:  Placa padre: Tipo adquisicion: Entidad</v>
      </c>
      <c r="G22421" s="5"/>
    </row>
    <row r="22422" spans="1:7" ht="58.5" customHeight="1" x14ac:dyDescent="0.25">
      <c r="A22422" s="5" t="str">
        <f>"H0019039"</f>
        <v>H0019039</v>
      </c>
      <c r="B22422" s="5" t="str">
        <f>"ESTANTE METALICO 6 ENTREPAÑOS"</f>
        <v>ESTANTE METALICO 6 ENTREPAÑOS</v>
      </c>
      <c r="C22422" s="6">
        <v>29533.23</v>
      </c>
      <c r="D22422" s="5"/>
      <c r="E22422" s="5" t="str">
        <f t="shared" si="1119"/>
        <v>ACTISALUD-ESTADISTICA</v>
      </c>
      <c r="F22422" s="5" t="str">
        <f>"Descripcion: ESTANTERIA PARA HISTORIAS CLINICAS (ALTURA 2 METROS PANEL 90 CMS LARGO X 30 CMS ANCHO DISTANCIA ENTRE PANEL 30 CMS) Estado: Bueno Placa anterior: 000001673 Material: METALICO Color: GRIS Referencia:  Observacion:  Placa padre: Tipo adquisicio"&amp; "n: Entidad"</f>
        <v>Descripcion: ESTANTERIA PARA HISTORIAS CLINICAS (ALTURA 2 METROS PANEL 90 CMS LARGO X 30 CMS ANCHO DISTANCIA ENTRE PANEL 30 CMS) Estado: Bueno Placa anterior: 000001673 Material: METALICO Color: GRIS Referencia:  Observacion:  Placa padre: Tipo adquisicion: Entidad</v>
      </c>
      <c r="G22422" s="5"/>
    </row>
    <row r="22423" spans="1:7" ht="58.5" customHeight="1" x14ac:dyDescent="0.25">
      <c r="A22423" s="5" t="str">
        <f>"H0019040"</f>
        <v>H0019040</v>
      </c>
      <c r="B22423" s="5" t="str">
        <f>"ESTANTE METALICO 7 ENTREPAÑOS"</f>
        <v>ESTANTE METALICO 7 ENTREPAÑOS</v>
      </c>
      <c r="C22423" s="6">
        <v>29533.23</v>
      </c>
      <c r="D22423" s="5"/>
      <c r="E22423" s="5" t="str">
        <f t="shared" si="1119"/>
        <v>ACTISALUD-ESTADISTICA</v>
      </c>
      <c r="F22423" s="5" t="str">
        <f>"Descripcion: ESTANTERIA PARA HISTORIAS CLINICAS (ALTURA 2 METROS PANEL 90 CMS LARGO X 30 CMS ANCHO DISTANCIA ENTRE PANEL 30 CMS) Estado: Bueno Placa anterior: 000001777 Material: METALICO Color: GRIS Referencia:  Observacion:  Placa padre: Tipo adquisicio"&amp; "n: Entidad"</f>
        <v>Descripcion: ESTANTERIA PARA HISTORIAS CLINICAS (ALTURA 2 METROS PANEL 90 CMS LARGO X 30 CMS ANCHO DISTANCIA ENTRE PANEL 30 CMS) Estado: Bueno Placa anterior: 000001777 Material: METALICO Color: GRIS Referencia:  Observacion:  Placa padre: Tipo adquisicion: Entidad</v>
      </c>
      <c r="G22423" s="5"/>
    </row>
    <row r="22424" spans="1:7" ht="58.5" customHeight="1" x14ac:dyDescent="0.25">
      <c r="A22424" s="5" t="str">
        <f>"H0019041"</f>
        <v>H0019041</v>
      </c>
      <c r="B22424" s="5" t="str">
        <f>"ESTANTE METALICO 7 ENTREPAÑOS"</f>
        <v>ESTANTE METALICO 7 ENTREPAÑOS</v>
      </c>
      <c r="C22424" s="6">
        <v>281999</v>
      </c>
      <c r="D22424" s="5" t="s">
        <v>257</v>
      </c>
      <c r="E22424" s="5" t="str">
        <f t="shared" si="1119"/>
        <v>ACTISALUD-ESTADISTICA</v>
      </c>
      <c r="F22424" s="5" t="str">
        <f>"Descripcion: . Estado: Regular Placa anterior: 000038827 Material: METALICO Color: GRIS Referencia:  Observacion:  Placa padre: Tipo adquisicion: Entidad"</f>
        <v>Descripcion: . Estado: Regular Placa anterior: 000038827 Material: METALICO Color: GRIS Referencia:  Observacion:  Placa padre: Tipo adquisicion: Entidad</v>
      </c>
      <c r="G22424" s="5"/>
    </row>
    <row r="22425" spans="1:7" ht="58.5" customHeight="1" x14ac:dyDescent="0.25">
      <c r="A22425" s="5" t="str">
        <f>"H0019042"</f>
        <v>H0019042</v>
      </c>
      <c r="B22425" s="5" t="str">
        <f>"ESTANTE METALICO 5 ENTREPAÑOS"</f>
        <v>ESTANTE METALICO 5 ENTREPAÑOS</v>
      </c>
      <c r="C22425" s="6">
        <v>37633</v>
      </c>
      <c r="D22425" s="5"/>
      <c r="E22425" s="5" t="str">
        <f t="shared" si="1119"/>
        <v>ACTISALUD-ESTADISTICA</v>
      </c>
      <c r="F22425" s="5" t="str">
        <f>"Descripcion: . Estado: Regular Placa anterior: 000000945 Material: METALICO Color: GRIS Referencia:  Observacion:  Placa padre: Tipo adquisicion: Entidad"</f>
        <v>Descripcion: . Estado: Regular Placa anterior: 000000945 Material: METALICO Color: GRIS Referencia:  Observacion:  Placa padre: Tipo adquisicion: Entidad</v>
      </c>
      <c r="G22425" s="5"/>
    </row>
    <row r="22426" spans="1:7" ht="58.5" customHeight="1" x14ac:dyDescent="0.25">
      <c r="A22426" s="5" t="str">
        <f>"H0019043"</f>
        <v>H0019043</v>
      </c>
      <c r="B22426" s="5" t="str">
        <f>"ESTANTE METALICO 5 ENTREPAÑOS"</f>
        <v>ESTANTE METALICO 5 ENTREPAÑOS</v>
      </c>
      <c r="C22426" s="6">
        <v>27714</v>
      </c>
      <c r="D22426" s="5"/>
      <c r="E22426" s="5" t="str">
        <f t="shared" si="1119"/>
        <v>ACTISALUD-ESTADISTICA</v>
      </c>
      <c r="F22426" s="5" t="str">
        <f>"Descripcion: . Estado: Regular Placa anterior: 000022234 Material: METALICO Color: GRIS Referencia:  Observacion:  Placa padre: Tipo adquisicion: Entidad"</f>
        <v>Descripcion: . Estado: Regular Placa anterior: 000022234 Material: METALICO Color: GRIS Referencia:  Observacion:  Placa padre: Tipo adquisicion: Entidad</v>
      </c>
      <c r="G22426" s="5"/>
    </row>
    <row r="22427" spans="1:7" ht="58.5" customHeight="1" x14ac:dyDescent="0.25">
      <c r="A22427" s="5" t="str">
        <f>"H0019044"</f>
        <v>H0019044</v>
      </c>
      <c r="B22427" s="5" t="str">
        <f>"ESTANTE METALICO 6 ENTREPAÑOS"</f>
        <v>ESTANTE METALICO 6 ENTREPAÑOS</v>
      </c>
      <c r="C22427" s="6">
        <v>130000</v>
      </c>
      <c r="D22427" s="5"/>
      <c r="E22427" s="5" t="str">
        <f t="shared" si="1119"/>
        <v>ACTISALUD-ESTADISTICA</v>
      </c>
      <c r="F22427" s="5" t="str">
        <f>"Descripcion: . Estado: Regular Placa anterior: 000025702 Material: METALICO Color: GRIS Referencia:  Observacion:  Placa padre: Tipo adquisicion: Entidad"</f>
        <v>Descripcion: . Estado: Regular Placa anterior: 000025702 Material: METALICO Color: GRIS Referencia:  Observacion:  Placa padre: Tipo adquisicion: Entidad</v>
      </c>
      <c r="G22427" s="5"/>
    </row>
    <row r="22428" spans="1:7" ht="58.5" customHeight="1" x14ac:dyDescent="0.25">
      <c r="A22428" s="5" t="str">
        <f>"H0019045"</f>
        <v>H0019045</v>
      </c>
      <c r="B22428" s="5" t="str">
        <f>"ESTANTE METALICO 6 ENTREPAÑOS"</f>
        <v>ESTANTE METALICO 6 ENTREPAÑOS</v>
      </c>
      <c r="C22428" s="6">
        <v>130000</v>
      </c>
      <c r="D22428" s="5"/>
      <c r="E22428" s="5" t="str">
        <f t="shared" si="1119"/>
        <v>ACTISALUD-ESTADISTICA</v>
      </c>
      <c r="F22428" s="5" t="str">
        <f>"Descripcion: . Estado: Regular Placa anterior: 000025709 Material: METALICO Color: GRIS Referencia:  Observacion:  Placa padre: Tipo adquisicion: Entidad"</f>
        <v>Descripcion: . Estado: Regular Placa anterior: 000025709 Material: METALICO Color: GRIS Referencia:  Observacion:  Placa padre: Tipo adquisicion: Entidad</v>
      </c>
      <c r="G22428" s="5"/>
    </row>
    <row r="22429" spans="1:7" ht="58.5" customHeight="1" x14ac:dyDescent="0.25">
      <c r="A22429" s="5" t="str">
        <f>"H0019046"</f>
        <v>H0019046</v>
      </c>
      <c r="B22429" s="5" t="str">
        <f>"ESTANTE METALICO 7 ENTREPAÑOS"</f>
        <v>ESTANTE METALICO 7 ENTREPAÑOS</v>
      </c>
      <c r="C22429" s="6">
        <v>281999</v>
      </c>
      <c r="D22429" s="5" t="s">
        <v>257</v>
      </c>
      <c r="E22429" s="5" t="str">
        <f t="shared" si="1119"/>
        <v>ACTISALUD-ESTADISTICA</v>
      </c>
      <c r="F22429" s="5" t="str">
        <f>"Descripcion: . Estado: Regular Placa anterior: 000038878 Material: METALICO Color: GRIS Referencia:  Observacion:  Placa padre: Tipo adquisicion: Entidad"</f>
        <v>Descripcion: . Estado: Regular Placa anterior: 000038878 Material: METALICO Color: GRIS Referencia:  Observacion:  Placa padre: Tipo adquisicion: Entidad</v>
      </c>
      <c r="G22429" s="5"/>
    </row>
    <row r="22430" spans="1:7" ht="58.5" customHeight="1" x14ac:dyDescent="0.25">
      <c r="A22430" s="5" t="str">
        <f>"H0019047"</f>
        <v>H0019047</v>
      </c>
      <c r="B22430" s="5" t="str">
        <f>"ESTANTE METALICO 7 ENTREPAÑOS"</f>
        <v>ESTANTE METALICO 7 ENTREPAÑOS</v>
      </c>
      <c r="C22430" s="6">
        <v>197200</v>
      </c>
      <c r="D22430" s="5"/>
      <c r="E22430" s="5" t="str">
        <f t="shared" si="1119"/>
        <v>ACTISALUD-ESTADISTICA</v>
      </c>
      <c r="F22430" s="5" t="str">
        <f>"Descripcion: . Estado: Regular Placa anterior: 000024147 Material: METALICO Color: GRIS Referencia:  Observacion:  Placa padre: Tipo adquisicion: Entidad"</f>
        <v>Descripcion: . Estado: Regular Placa anterior: 000024147 Material: METALICO Color: GRIS Referencia:  Observacion:  Placa padre: Tipo adquisicion: Entidad</v>
      </c>
      <c r="G22430" s="5"/>
    </row>
    <row r="22431" spans="1:7" ht="58.5" customHeight="1" x14ac:dyDescent="0.25">
      <c r="A22431" s="5" t="str">
        <f>"H0019048"</f>
        <v>H0019048</v>
      </c>
      <c r="B22431" s="5" t="str">
        <f>"ESTANTE METALICO 7 ENTREPAÑOS"</f>
        <v>ESTANTE METALICO 7 ENTREPAÑOS</v>
      </c>
      <c r="C22431" s="6">
        <v>197200</v>
      </c>
      <c r="D22431" s="5"/>
      <c r="E22431" s="5" t="str">
        <f t="shared" si="1119"/>
        <v>ACTISALUD-ESTADISTICA</v>
      </c>
      <c r="F22431" s="5" t="str">
        <f>"Descripcion: . Estado: Regular Placa anterior: 000024148 Material: METALICO Color: GRIS Referencia:  Observacion:  Placa padre: Tipo adquisicion: Entidad"</f>
        <v>Descripcion: . Estado: Regular Placa anterior: 000024148 Material: METALICO Color: GRIS Referencia:  Observacion:  Placa padre: Tipo adquisicion: Entidad</v>
      </c>
      <c r="G22431" s="5"/>
    </row>
    <row r="22432" spans="1:7" ht="58.5" customHeight="1" x14ac:dyDescent="0.25">
      <c r="A22432" s="5" t="str">
        <f>"H0019049"</f>
        <v>H0019049</v>
      </c>
      <c r="B22432" s="5" t="str">
        <f>"ESTANTE METALICO 6 ENTREPAÑOS"</f>
        <v>ESTANTE METALICO 6 ENTREPAÑOS</v>
      </c>
      <c r="C22432" s="6">
        <v>6307.15</v>
      </c>
      <c r="D22432" s="5"/>
      <c r="E22432" s="5" t="str">
        <f t="shared" si="1119"/>
        <v>ACTISALUD-ESTADISTICA</v>
      </c>
      <c r="F22432" s="5" t="str">
        <f>"Descripcion: . Estado: Regular Placa anterior: 000013269 Material: METALICO Color: GRIS Referencia:  Observacion:  Placa padre: Tipo adquisicion: Entidad"</f>
        <v>Descripcion: . Estado: Regular Placa anterior: 000013269 Material: METALICO Color: GRIS Referencia:  Observacion:  Placa padre: Tipo adquisicion: Entidad</v>
      </c>
      <c r="G22432" s="5"/>
    </row>
    <row r="22433" spans="1:7" ht="58.5" customHeight="1" x14ac:dyDescent="0.25">
      <c r="A22433" s="5" t="str">
        <f>"H0019050"</f>
        <v>H0019050</v>
      </c>
      <c r="B22433" s="5" t="str">
        <f>"ESTANTE METALICO 6 ENTREPAÑOS"</f>
        <v>ESTANTE METALICO 6 ENTREPAÑOS</v>
      </c>
      <c r="C22433" s="6">
        <v>18479.71</v>
      </c>
      <c r="D22433" s="5"/>
      <c r="E22433" s="5" t="str">
        <f t="shared" si="1119"/>
        <v>ACTISALUD-ESTADISTICA</v>
      </c>
      <c r="F22433" s="5" t="str">
        <f>"Descripcion: . Estado: Regular Placa anterior: 000008714 Material: METALICO Color: GRIS Referencia:  Observacion:  Placa padre: Tipo adquisicion: Entidad"</f>
        <v>Descripcion: . Estado: Regular Placa anterior: 000008714 Material: METALICO Color: GRIS Referencia:  Observacion:  Placa padre: Tipo adquisicion: Entidad</v>
      </c>
      <c r="G22433" s="5"/>
    </row>
    <row r="22434" spans="1:7" ht="58.5" customHeight="1" x14ac:dyDescent="0.25">
      <c r="A22434" s="5" t="str">
        <f>"H0019051"</f>
        <v>H0019051</v>
      </c>
      <c r="B22434" s="5" t="str">
        <f>"ESTANTE METALICO 6 ENTREPAÑOS"</f>
        <v>ESTANTE METALICO 6 ENTREPAÑOS</v>
      </c>
      <c r="C22434" s="6">
        <v>29533.23</v>
      </c>
      <c r="D22434" s="5"/>
      <c r="E22434" s="5" t="str">
        <f t="shared" si="1119"/>
        <v>ACTISALUD-ESTADISTICA</v>
      </c>
      <c r="F22434" s="5" t="str">
        <f>"Descripcion: . Estado: Regular Placa anterior: 000001663 Material: METALICO Color: GRIS Referencia:  Observacion:  Placa padre: Tipo adquisicion: Entidad"</f>
        <v>Descripcion: . Estado: Regular Placa anterior: 000001663 Material: METALICO Color: GRIS Referencia:  Observacion:  Placa padre: Tipo adquisicion: Entidad</v>
      </c>
      <c r="G22434" s="5"/>
    </row>
    <row r="22435" spans="1:7" ht="58.5" customHeight="1" x14ac:dyDescent="0.25">
      <c r="A22435" s="5" t="str">
        <f>"H0019052"</f>
        <v>H0019052</v>
      </c>
      <c r="B22435" s="5" t="str">
        <f>"ESTANTE METALICO 7 ENTREPAÑOS"</f>
        <v>ESTANTE METALICO 7 ENTREPAÑOS</v>
      </c>
      <c r="C22435" s="6">
        <v>197200</v>
      </c>
      <c r="D22435" s="5"/>
      <c r="E22435" s="5" t="str">
        <f t="shared" si="1119"/>
        <v>ACTISALUD-ESTADISTICA</v>
      </c>
      <c r="F22435" s="5" t="str">
        <f>"Descripcion: . Estado: Regular Placa anterior: 000024143 Material: METALICO Color: GRIS Referencia:  Observacion:  Placa padre: Tipo adquisicion: Entidad"</f>
        <v>Descripcion: . Estado: Regular Placa anterior: 000024143 Material: METALICO Color: GRIS Referencia:  Observacion:  Placa padre: Tipo adquisicion: Entidad</v>
      </c>
      <c r="G22435" s="5"/>
    </row>
    <row r="22436" spans="1:7" ht="58.5" customHeight="1" x14ac:dyDescent="0.25">
      <c r="A22436" s="5" t="str">
        <f>"H0019053"</f>
        <v>H0019053</v>
      </c>
      <c r="B22436" s="5" t="str">
        <f>"ESTANTE METALICO 7 ENTREPAÑOS"</f>
        <v>ESTANTE METALICO 7 ENTREPAÑOS</v>
      </c>
      <c r="C22436" s="6">
        <v>29533.23</v>
      </c>
      <c r="D22436" s="5"/>
      <c r="E22436" s="5" t="str">
        <f t="shared" si="1119"/>
        <v>ACTISALUD-ESTADISTICA</v>
      </c>
      <c r="F22436" s="5" t="str">
        <f>"Descripcion: . Estado: Regular Placa anterior: 000001798 Material: METALICO Color: GRIS Referencia:  Observacion:  Placa padre: Tipo adquisicion: Entidad"</f>
        <v>Descripcion: . Estado: Regular Placa anterior: 000001798 Material: METALICO Color: GRIS Referencia:  Observacion:  Placa padre: Tipo adquisicion: Entidad</v>
      </c>
      <c r="G22436" s="5"/>
    </row>
    <row r="22437" spans="1:7" ht="58.5" customHeight="1" x14ac:dyDescent="0.25">
      <c r="A22437" s="5" t="str">
        <f>"H0019054"</f>
        <v>H0019054</v>
      </c>
      <c r="B22437" s="5" t="str">
        <f>"ESTANTE METALICO 7 ENTREPAÑOS"</f>
        <v>ESTANTE METALICO 7 ENTREPAÑOS</v>
      </c>
      <c r="C22437" s="6">
        <v>197200</v>
      </c>
      <c r="D22437" s="5"/>
      <c r="E22437" s="5" t="str">
        <f t="shared" si="1119"/>
        <v>ACTISALUD-ESTADISTICA</v>
      </c>
      <c r="F22437" s="5" t="str">
        <f>"Descripcion: . Estado: Regular Placa anterior: 000024144 Material: METALICO Color: GRIS Referencia:  Observacion:  Placa padre: Tipo adquisicion: Entidad"</f>
        <v>Descripcion: . Estado: Regular Placa anterior: 000024144 Material: METALICO Color: GRIS Referencia:  Observacion:  Placa padre: Tipo adquisicion: Entidad</v>
      </c>
      <c r="G22437" s="5"/>
    </row>
    <row r="22438" spans="1:7" ht="58.5" customHeight="1" x14ac:dyDescent="0.25">
      <c r="A22438" s="5" t="str">
        <f>"H0019055"</f>
        <v>H0019055</v>
      </c>
      <c r="B22438" s="5" t="str">
        <f>"ESTANTE METALICO 7 ENTREPAÑOS"</f>
        <v>ESTANTE METALICO 7 ENTREPAÑOS</v>
      </c>
      <c r="C22438" s="6">
        <v>29533.23</v>
      </c>
      <c r="D22438" s="5"/>
      <c r="E22438" s="5" t="str">
        <f t="shared" si="1119"/>
        <v>ACTISALUD-ESTADISTICA</v>
      </c>
      <c r="F22438" s="5" t="str">
        <f>"Descripcion: . Estado: Regular Placa anterior: 000001799 Material: METALICO Color: GRIS Referencia:  Observacion:  Placa padre: Tipo adquisicion: Entidad"</f>
        <v>Descripcion: . Estado: Regular Placa anterior: 000001799 Material: METALICO Color: GRIS Referencia:  Observacion:  Placa padre: Tipo adquisicion: Entidad</v>
      </c>
      <c r="G22438" s="5"/>
    </row>
    <row r="22439" spans="1:7" ht="58.5" customHeight="1" x14ac:dyDescent="0.25">
      <c r="A22439" s="5" t="str">
        <f>"H0019056"</f>
        <v>H0019056</v>
      </c>
      <c r="B22439" s="5" t="str">
        <f>"ESTANTE METALICO 8 ENTREPAÑOS"</f>
        <v>ESTANTE METALICO 8 ENTREPAÑOS</v>
      </c>
      <c r="C22439" s="6">
        <v>339999</v>
      </c>
      <c r="D22439" s="5" t="s">
        <v>258</v>
      </c>
      <c r="E22439" s="5" t="str">
        <f t="shared" si="1119"/>
        <v>ACTISALUD-ESTADISTICA</v>
      </c>
      <c r="F22439" s="5" t="str">
        <f>"Descripcion: . Estado: Regular Placa anterior: 000030078 Material: METALICO Color: GRIS Referencia:  Observacion:  Placa padre: Tipo adquisicion: Entidad"</f>
        <v>Descripcion: . Estado: Regular Placa anterior: 000030078 Material: METALICO Color: GRIS Referencia:  Observacion:  Placa padre: Tipo adquisicion: Entidad</v>
      </c>
      <c r="G22439" s="5"/>
    </row>
    <row r="22440" spans="1:7" ht="58.5" customHeight="1" x14ac:dyDescent="0.25">
      <c r="A22440" s="5" t="str">
        <f>"H0019057"</f>
        <v>H0019057</v>
      </c>
      <c r="B22440" s="5" t="str">
        <f>"ESTANTE METALICO 7 ENTREPAÑOS"</f>
        <v>ESTANTE METALICO 7 ENTREPAÑOS</v>
      </c>
      <c r="C22440" s="6">
        <v>197200</v>
      </c>
      <c r="D22440" s="5"/>
      <c r="E22440" s="5" t="str">
        <f t="shared" si="1119"/>
        <v>ACTISALUD-ESTADISTICA</v>
      </c>
      <c r="F22440" s="5" t="str">
        <f>"Descripcion: FALTAN ENTREPAÑOS Estado: Malo Placa anterior: 000024149 Material: METALICO Color: GRIS Referencia:  Observacion:  Placa padre: Tipo adquisicion: Entidad"</f>
        <v>Descripcion: FALTAN ENTREPAÑOS Estado: Malo Placa anterior: 000024149 Material: METALICO Color: GRIS Referencia:  Observacion:  Placa padre: Tipo adquisicion: Entidad</v>
      </c>
      <c r="G22440" s="5"/>
    </row>
    <row r="22441" spans="1:7" ht="58.5" customHeight="1" x14ac:dyDescent="0.25">
      <c r="A22441" s="5" t="str">
        <f>"H0019058"</f>
        <v>H0019058</v>
      </c>
      <c r="B22441" s="5" t="str">
        <f>"ESTANTE METALICO 7 ENTREPAÑOS"</f>
        <v>ESTANTE METALICO 7 ENTREPAÑOS</v>
      </c>
      <c r="C22441" s="6">
        <v>27714</v>
      </c>
      <c r="D22441" s="5"/>
      <c r="E22441" s="5" t="str">
        <f t="shared" si="1119"/>
        <v>ACTISALUD-ESTADISTICA</v>
      </c>
      <c r="F22441" s="5" t="str">
        <f>"Descripcion: FALTAN ENTREPAÑOS Estado: Malo Placa anterior: 000022231 Material: METALICO Color: GRIS Referencia:  Observacion:  Placa padre: Tipo adquisicion: Entidad"</f>
        <v>Descripcion: FALTAN ENTREPAÑOS Estado: Malo Placa anterior: 000022231 Material: METALICO Color: GRIS Referencia:  Observacion:  Placa padre: Tipo adquisicion: Entidad</v>
      </c>
      <c r="G22441" s="5"/>
    </row>
    <row r="22442" spans="1:7" ht="58.5" customHeight="1" x14ac:dyDescent="0.25">
      <c r="A22442" s="5" t="str">
        <f>"H0019059"</f>
        <v>H0019059</v>
      </c>
      <c r="B22442" s="5" t="str">
        <f>"ESTANTE METALICO 7 ENTREPAÑOS"</f>
        <v>ESTANTE METALICO 7 ENTREPAÑOS</v>
      </c>
      <c r="C22442" s="6">
        <v>29533.23</v>
      </c>
      <c r="D22442" s="5"/>
      <c r="E22442" s="5" t="str">
        <f t="shared" si="1119"/>
        <v>ACTISALUD-ESTADISTICA</v>
      </c>
      <c r="F22442" s="5" t="str">
        <f>"Descripcion: . Estado: Regular Placa anterior: 000001800 Material: METALICO Color: GRIS Referencia:  Observacion:  Placa padre: Tipo adquisicion: Entidad"</f>
        <v>Descripcion: . Estado: Regular Placa anterior: 000001800 Material: METALICO Color: GRIS Referencia:  Observacion:  Placa padre: Tipo adquisicion: Entidad</v>
      </c>
      <c r="G22442" s="5"/>
    </row>
    <row r="22443" spans="1:7" ht="58.5" customHeight="1" x14ac:dyDescent="0.25">
      <c r="A22443" s="5" t="str">
        <f>"H0019060"</f>
        <v>H0019060</v>
      </c>
      <c r="B22443" s="5" t="str">
        <f>"ESTANTE METALICO 6 ENTREPAÑOS"</f>
        <v>ESTANTE METALICO 6 ENTREPAÑOS</v>
      </c>
      <c r="C22443" s="6">
        <v>29533.23</v>
      </c>
      <c r="D22443" s="5"/>
      <c r="E22443" s="5" t="str">
        <f t="shared" si="1119"/>
        <v>ACTISALUD-ESTADISTICA</v>
      </c>
      <c r="F22443" s="5" t="str">
        <f>"Descripcion: . Estado: Regular Placa anterior: 000001662 Material: METALICO Color: GRIS Referencia:  Observacion:  Placa padre: Tipo adquisicion: Entidad"</f>
        <v>Descripcion: . Estado: Regular Placa anterior: 000001662 Material: METALICO Color: GRIS Referencia:  Observacion:  Placa padre: Tipo adquisicion: Entidad</v>
      </c>
      <c r="G22443" s="5"/>
    </row>
    <row r="22444" spans="1:7" ht="58.5" customHeight="1" x14ac:dyDescent="0.25">
      <c r="A22444" s="5" t="str">
        <f>"H0019061"</f>
        <v>H0019061</v>
      </c>
      <c r="B22444" s="5" t="str">
        <f t="shared" ref="B22444:B22456" si="1121">"ESTANTE METALICO 7 ENTREPAÑOS"</f>
        <v>ESTANTE METALICO 7 ENTREPAÑOS</v>
      </c>
      <c r="C22444" s="6">
        <v>197200</v>
      </c>
      <c r="D22444" s="5"/>
      <c r="E22444" s="5" t="str">
        <f t="shared" si="1119"/>
        <v>ACTISALUD-ESTADISTICA</v>
      </c>
      <c r="F22444" s="5" t="str">
        <f>"Descripcion: . Estado: Regular Placa anterior: 000024151 Material: METALICO Color: GRIS Referencia:  Observacion:  Placa padre: Tipo adquisicion: Entidad"</f>
        <v>Descripcion: . Estado: Regular Placa anterior: 000024151 Material: METALICO Color: GRIS Referencia:  Observacion:  Placa padre: Tipo adquisicion: Entidad</v>
      </c>
      <c r="G22444" s="5"/>
    </row>
    <row r="22445" spans="1:7" ht="58.5" customHeight="1" x14ac:dyDescent="0.25">
      <c r="A22445" s="5" t="str">
        <f>"H0019062"</f>
        <v>H0019062</v>
      </c>
      <c r="B22445" s="5" t="str">
        <f t="shared" si="1121"/>
        <v>ESTANTE METALICO 7 ENTREPAÑOS</v>
      </c>
      <c r="C22445" s="6">
        <v>29533.23</v>
      </c>
      <c r="D22445" s="5"/>
      <c r="E22445" s="5" t="str">
        <f t="shared" si="1119"/>
        <v>ACTISALUD-ESTADISTICA</v>
      </c>
      <c r="F22445" s="5" t="str">
        <f>"Descripcion: . Estado: Regular Placa anterior: 000001811 Material: METALICO Color: GRIS Referencia:  Observacion:  Placa padre: Tipo adquisicion: Entidad"</f>
        <v>Descripcion: . Estado: Regular Placa anterior: 000001811 Material: METALICO Color: GRIS Referencia:  Observacion:  Placa padre: Tipo adquisicion: Entidad</v>
      </c>
      <c r="G22445" s="5"/>
    </row>
    <row r="22446" spans="1:7" ht="58.5" customHeight="1" x14ac:dyDescent="0.25">
      <c r="A22446" s="5" t="str">
        <f>"H0019063"</f>
        <v>H0019063</v>
      </c>
      <c r="B22446" s="5" t="str">
        <f t="shared" si="1121"/>
        <v>ESTANTE METALICO 7 ENTREPAÑOS</v>
      </c>
      <c r="C22446" s="6">
        <v>29533.23</v>
      </c>
      <c r="D22446" s="5"/>
      <c r="E22446" s="5" t="str">
        <f t="shared" si="1119"/>
        <v>ACTISALUD-ESTADISTICA</v>
      </c>
      <c r="F22446" s="5" t="str">
        <f>"Descripcion: . Estado: Regular Placa anterior: 000001933 Material: METALICO Color: GRIS Referencia:  Observacion:  Placa padre: Tipo adquisicion: Entidad"</f>
        <v>Descripcion: . Estado: Regular Placa anterior: 000001933 Material: METALICO Color: GRIS Referencia:  Observacion:  Placa padre: Tipo adquisicion: Entidad</v>
      </c>
      <c r="G22446" s="5"/>
    </row>
    <row r="22447" spans="1:7" ht="58.5" customHeight="1" x14ac:dyDescent="0.25">
      <c r="A22447" s="5" t="str">
        <f>"H0019064"</f>
        <v>H0019064</v>
      </c>
      <c r="B22447" s="5" t="str">
        <f t="shared" si="1121"/>
        <v>ESTANTE METALICO 7 ENTREPAÑOS</v>
      </c>
      <c r="C22447" s="6">
        <v>197200</v>
      </c>
      <c r="D22447" s="5"/>
      <c r="E22447" s="5" t="str">
        <f t="shared" si="1119"/>
        <v>ACTISALUD-ESTADISTICA</v>
      </c>
      <c r="F22447" s="5" t="str">
        <f>"Descripcion: . Estado: Regular Placa anterior: 000024152 Material: METALICO Color: GRIS Referencia:  Observacion:  Placa padre: Tipo adquisicion: Entidad"</f>
        <v>Descripcion: . Estado: Regular Placa anterior: 000024152 Material: METALICO Color: GRIS Referencia:  Observacion:  Placa padre: Tipo adquisicion: Entidad</v>
      </c>
      <c r="G22447" s="5"/>
    </row>
    <row r="22448" spans="1:7" ht="58.5" customHeight="1" x14ac:dyDescent="0.25">
      <c r="A22448" s="5" t="str">
        <f>"H0019065"</f>
        <v>H0019065</v>
      </c>
      <c r="B22448" s="5" t="str">
        <f t="shared" si="1121"/>
        <v>ESTANTE METALICO 7 ENTREPAÑOS</v>
      </c>
      <c r="C22448" s="6">
        <v>29533.23</v>
      </c>
      <c r="D22448" s="5"/>
      <c r="E22448" s="5" t="str">
        <f t="shared" si="1119"/>
        <v>ACTISALUD-ESTADISTICA</v>
      </c>
      <c r="F22448" s="5" t="str">
        <f>"Descripcion: . Estado: Regular Placa anterior: 000002001 Material: METALICO Color: GRIS Referencia:  Observacion:  Placa padre: Tipo adquisicion: Entidad"</f>
        <v>Descripcion: . Estado: Regular Placa anterior: 000002001 Material: METALICO Color: GRIS Referencia:  Observacion:  Placa padre: Tipo adquisicion: Entidad</v>
      </c>
      <c r="G22448" s="5"/>
    </row>
    <row r="22449" spans="1:7" ht="58.5" customHeight="1" x14ac:dyDescent="0.25">
      <c r="A22449" s="5" t="str">
        <f>"H0019066"</f>
        <v>H0019066</v>
      </c>
      <c r="B22449" s="5" t="str">
        <f t="shared" si="1121"/>
        <v>ESTANTE METALICO 7 ENTREPAÑOS</v>
      </c>
      <c r="C22449" s="6">
        <v>29533.23</v>
      </c>
      <c r="D22449" s="5"/>
      <c r="E22449" s="5" t="str">
        <f t="shared" si="1119"/>
        <v>ACTISALUD-ESTADISTICA</v>
      </c>
      <c r="F22449" s="5" t="str">
        <f>"Descripcion: . Estado: Regular Placa anterior: 000002006 Material: METALICO Color: GRIS Referencia:  Observacion:  Placa padre: Tipo adquisicion: Entidad"</f>
        <v>Descripcion: . Estado: Regular Placa anterior: 000002006 Material: METALICO Color: GRIS Referencia:  Observacion:  Placa padre: Tipo adquisicion: Entidad</v>
      </c>
      <c r="G22449" s="5"/>
    </row>
    <row r="22450" spans="1:7" ht="58.5" customHeight="1" x14ac:dyDescent="0.25">
      <c r="A22450" s="5" t="str">
        <f>"H0019067"</f>
        <v>H0019067</v>
      </c>
      <c r="B22450" s="5" t="str">
        <f t="shared" si="1121"/>
        <v>ESTANTE METALICO 7 ENTREPAÑOS</v>
      </c>
      <c r="C22450" s="6">
        <v>197200</v>
      </c>
      <c r="D22450" s="5"/>
      <c r="E22450" s="5" t="str">
        <f t="shared" si="1119"/>
        <v>ACTISALUD-ESTADISTICA</v>
      </c>
      <c r="F22450" s="5" t="str">
        <f>"Descripcion: . Estado: Regular Placa anterior: 000024142 Material: METALICO Color: GRIS Referencia:  Observacion:  Placa padre: Tipo adquisicion: Entidad"</f>
        <v>Descripcion: . Estado: Regular Placa anterior: 000024142 Material: METALICO Color: GRIS Referencia:  Observacion:  Placa padre: Tipo adquisicion: Entidad</v>
      </c>
      <c r="G22450" s="5"/>
    </row>
    <row r="22451" spans="1:7" ht="58.5" customHeight="1" x14ac:dyDescent="0.25">
      <c r="A22451" s="5" t="str">
        <f>"H0019068"</f>
        <v>H0019068</v>
      </c>
      <c r="B22451" s="5" t="str">
        <f t="shared" si="1121"/>
        <v>ESTANTE METALICO 7 ENTREPAÑOS</v>
      </c>
      <c r="C22451" s="6">
        <v>29533.23</v>
      </c>
      <c r="D22451" s="5"/>
      <c r="E22451" s="5" t="str">
        <f t="shared" si="1119"/>
        <v>ACTISALUD-ESTADISTICA</v>
      </c>
      <c r="F22451" s="5" t="str">
        <f>"Descripcion: . Estado: Regular Placa anterior: 000002003 Material: METALICO Color: GRIS Referencia:  Observacion:  Placa padre: Tipo adquisicion: Entidad"</f>
        <v>Descripcion: . Estado: Regular Placa anterior: 000002003 Material: METALICO Color: GRIS Referencia:  Observacion:  Placa padre: Tipo adquisicion: Entidad</v>
      </c>
      <c r="G22451" s="5"/>
    </row>
    <row r="22452" spans="1:7" ht="58.5" customHeight="1" x14ac:dyDescent="0.25">
      <c r="A22452" s="5" t="str">
        <f>"H0019069"</f>
        <v>H0019069</v>
      </c>
      <c r="B22452" s="5" t="str">
        <f t="shared" si="1121"/>
        <v>ESTANTE METALICO 7 ENTREPAÑOS</v>
      </c>
      <c r="C22452" s="6">
        <v>29533.23</v>
      </c>
      <c r="D22452" s="5"/>
      <c r="E22452" s="5" t="str">
        <f t="shared" si="1119"/>
        <v>ACTISALUD-ESTADISTICA</v>
      </c>
      <c r="F22452" s="5" t="str">
        <f>"Descripcion: . Estado: Regular Placa anterior: 000002007 Material: METALICO Color: GRIS Referencia:  Observacion:  Placa padre: Tipo adquisicion: Entidad"</f>
        <v>Descripcion: . Estado: Regular Placa anterior: 000002007 Material: METALICO Color: GRIS Referencia:  Observacion:  Placa padre: Tipo adquisicion: Entidad</v>
      </c>
      <c r="G22452" s="5"/>
    </row>
    <row r="22453" spans="1:7" ht="58.5" customHeight="1" x14ac:dyDescent="0.25">
      <c r="A22453" s="5" t="str">
        <f>"H0019070"</f>
        <v>H0019070</v>
      </c>
      <c r="B22453" s="5" t="str">
        <f t="shared" si="1121"/>
        <v>ESTANTE METALICO 7 ENTREPAÑOS</v>
      </c>
      <c r="C22453" s="6">
        <v>29533.23</v>
      </c>
      <c r="D22453" s="5"/>
      <c r="E22453" s="5" t="str">
        <f t="shared" si="1119"/>
        <v>ACTISALUD-ESTADISTICA</v>
      </c>
      <c r="F22453" s="5" t="str">
        <f>"Descripcion: . Estado: Regular Placa anterior: 000002004 Material: METALICO Color: GRIS Referencia:  Observacion:  Placa padre: Tipo adquisicion: Entidad"</f>
        <v>Descripcion: . Estado: Regular Placa anterior: 000002004 Material: METALICO Color: GRIS Referencia:  Observacion:  Placa padre: Tipo adquisicion: Entidad</v>
      </c>
      <c r="G22453" s="5"/>
    </row>
    <row r="22454" spans="1:7" ht="58.5" customHeight="1" x14ac:dyDescent="0.25">
      <c r="A22454" s="5" t="str">
        <f>"H0019071"</f>
        <v>H0019071</v>
      </c>
      <c r="B22454" s="5" t="str">
        <f t="shared" si="1121"/>
        <v>ESTANTE METALICO 7 ENTREPAÑOS</v>
      </c>
      <c r="C22454" s="6">
        <v>58000</v>
      </c>
      <c r="D22454" s="5"/>
      <c r="E22454" s="5" t="str">
        <f t="shared" ref="E22454:E22517" si="1122">"ACTISALUD-ESTADISTICA"</f>
        <v>ACTISALUD-ESTADISTICA</v>
      </c>
      <c r="F22454" s="5" t="str">
        <f>"Descripcion: . Estado: Regular Placa anterior: 000022780 Material: METALICO Color: GRIS Referencia:  Observacion:  Placa padre: Tipo adquisicion: Entidad"</f>
        <v>Descripcion: . Estado: Regular Placa anterior: 000022780 Material: METALICO Color: GRIS Referencia:  Observacion:  Placa padre: Tipo adquisicion: Entidad</v>
      </c>
      <c r="G22454" s="5"/>
    </row>
    <row r="22455" spans="1:7" ht="58.5" customHeight="1" x14ac:dyDescent="0.25">
      <c r="A22455" s="5" t="str">
        <f>"H0019072"</f>
        <v>H0019072</v>
      </c>
      <c r="B22455" s="5" t="str">
        <f t="shared" si="1121"/>
        <v>ESTANTE METALICO 7 ENTREPAÑOS</v>
      </c>
      <c r="C22455" s="6">
        <v>58000</v>
      </c>
      <c r="D22455" s="5"/>
      <c r="E22455" s="5" t="str">
        <f t="shared" si="1122"/>
        <v>ACTISALUD-ESTADISTICA</v>
      </c>
      <c r="F22455" s="5" t="str">
        <f>"Descripcion: . Estado: Regular Placa anterior: 000022781 Material: METALICO Color: GRIS Referencia:  Observacion:  Placa padre: Tipo adquisicion: Entidad"</f>
        <v>Descripcion: . Estado: Regular Placa anterior: 000022781 Material: METALICO Color: GRIS Referencia:  Observacion:  Placa padre: Tipo adquisicion: Entidad</v>
      </c>
      <c r="G22455" s="5"/>
    </row>
    <row r="22456" spans="1:7" ht="58.5" customHeight="1" x14ac:dyDescent="0.25">
      <c r="A22456" s="5" t="str">
        <f>"H0019073"</f>
        <v>H0019073</v>
      </c>
      <c r="B22456" s="5" t="str">
        <f t="shared" si="1121"/>
        <v>ESTANTE METALICO 7 ENTREPAÑOS</v>
      </c>
      <c r="C22456" s="6">
        <v>29533.23</v>
      </c>
      <c r="D22456" s="5"/>
      <c r="E22456" s="5" t="str">
        <f t="shared" si="1122"/>
        <v>ACTISALUD-ESTADISTICA</v>
      </c>
      <c r="F22456" s="5" t="str">
        <f>"Descripcion: . Estado: Regular Placa anterior: 000001640 Material: METALICO Color: GRIS Referencia:  Observacion:  Placa padre: Tipo adquisicion: Entidad"</f>
        <v>Descripcion: . Estado: Regular Placa anterior: 000001640 Material: METALICO Color: GRIS Referencia:  Observacion:  Placa padre: Tipo adquisicion: Entidad</v>
      </c>
      <c r="G22456" s="5"/>
    </row>
    <row r="22457" spans="1:7" ht="58.5" customHeight="1" x14ac:dyDescent="0.25">
      <c r="A22457" s="5" t="str">
        <f>"H0019074"</f>
        <v>H0019074</v>
      </c>
      <c r="B22457" s="5" t="str">
        <f>"ESTANTE METALICO 8 ENTREPAÑOS"</f>
        <v>ESTANTE METALICO 8 ENTREPAÑOS</v>
      </c>
      <c r="C22457" s="6">
        <v>339999</v>
      </c>
      <c r="D22457" s="5" t="s">
        <v>258</v>
      </c>
      <c r="E22457" s="5" t="str">
        <f t="shared" si="1122"/>
        <v>ACTISALUD-ESTADISTICA</v>
      </c>
      <c r="F22457" s="5" t="str">
        <f>"Descripcion: . Estado: Regular Placa anterior: 000030064 Material: METALICO Color: GRIS Referencia:  Observacion:  Placa padre: Tipo adquisicion: Entidad"</f>
        <v>Descripcion: . Estado: Regular Placa anterior: 000030064 Material: METALICO Color: GRIS Referencia:  Observacion:  Placa padre: Tipo adquisicion: Entidad</v>
      </c>
      <c r="G22457" s="5"/>
    </row>
    <row r="22458" spans="1:7" ht="58.5" customHeight="1" x14ac:dyDescent="0.25">
      <c r="A22458" s="5" t="str">
        <f>"H0019076"</f>
        <v>H0019076</v>
      </c>
      <c r="B22458" s="5" t="str">
        <f t="shared" ref="B22458:B22491" si="1123">"ESTANTE METALICO 7 ENTREPAÑOS"</f>
        <v>ESTANTE METALICO 7 ENTREPAÑOS</v>
      </c>
      <c r="C22458" s="6">
        <v>29533.23</v>
      </c>
      <c r="D22458" s="5"/>
      <c r="E22458" s="5" t="str">
        <f t="shared" si="1122"/>
        <v>ACTISALUD-ESTADISTICA</v>
      </c>
      <c r="F22458" s="5" t="str">
        <f>"Descripcion: . Estado: Regular Placa anterior: 000001650 Material: METALICO Color: GRIS Referencia:  Observacion:  Placa padre: Tipo adquisicion: Entidad"</f>
        <v>Descripcion: . Estado: Regular Placa anterior: 000001650 Material: METALICO Color: GRIS Referencia:  Observacion:  Placa padre: Tipo adquisicion: Entidad</v>
      </c>
      <c r="G22458" s="5"/>
    </row>
    <row r="22459" spans="1:7" ht="58.5" customHeight="1" x14ac:dyDescent="0.25">
      <c r="A22459" s="5" t="str">
        <f>"H0019077"</f>
        <v>H0019077</v>
      </c>
      <c r="B22459" s="5" t="str">
        <f t="shared" si="1123"/>
        <v>ESTANTE METALICO 7 ENTREPAÑOS</v>
      </c>
      <c r="C22459" s="6">
        <v>29533.23</v>
      </c>
      <c r="D22459" s="5"/>
      <c r="E22459" s="5" t="str">
        <f t="shared" si="1122"/>
        <v>ACTISALUD-ESTADISTICA</v>
      </c>
      <c r="F22459" s="5" t="str">
        <f>"Descripcion: ESTANTERIA PARA HISTORIAS CLINICAS (ALTURA 2 METROS PANEL 90 CMS LARGO X 30 CMS ANCHO DISTANCIA ENTRE PANEL 30 CMS) Estado: Regular Placa anterior: 000001654 Material: METALICO Color: GRIS Referencia:  Observacion:  Placa padre: Tipo adquisic"&amp; "ion: Entidad"</f>
        <v>Descripcion: ESTANTERIA PARA HISTORIAS CLINICAS (ALTURA 2 METROS PANEL 90 CMS LARGO X 30 CMS ANCHO DISTANCIA ENTRE PANEL 30 CMS) Estado: Regular Placa anterior: 000001654 Material: METALICO Color: GRIS Referencia:  Observacion:  Placa padre: Tipo adquisicion: Entidad</v>
      </c>
      <c r="G22459" s="5"/>
    </row>
    <row r="22460" spans="1:7" ht="58.5" customHeight="1" x14ac:dyDescent="0.25">
      <c r="A22460" s="5" t="str">
        <f>"H0019078"</f>
        <v>H0019078</v>
      </c>
      <c r="B22460" s="5" t="str">
        <f t="shared" si="1123"/>
        <v>ESTANTE METALICO 7 ENTREPAÑOS</v>
      </c>
      <c r="C22460" s="6">
        <v>29533.23</v>
      </c>
      <c r="D22460" s="5"/>
      <c r="E22460" s="5" t="str">
        <f t="shared" si="1122"/>
        <v>ACTISALUD-ESTADISTICA</v>
      </c>
      <c r="F22460" s="5" t="str">
        <f>"Descripcion: ESTANTERIA PARA HISTORIAS CLINICAS (ALTURA 2 METROS PANEL 90 CMS LARGO X 30 CMS ANCHO DISTANCIA ENTRE PANEL 30 CMS) Estado: Regular Placa anterior: 000001655 Material: METALICO Color: GRIS Referencia:  Observacion:  Placa padre: Tipo adquisic"&amp; "ion: Entidad"</f>
        <v>Descripcion: ESTANTERIA PARA HISTORIAS CLINICAS (ALTURA 2 METROS PANEL 90 CMS LARGO X 30 CMS ANCHO DISTANCIA ENTRE PANEL 30 CMS) Estado: Regular Placa anterior: 000001655 Material: METALICO Color: GRIS Referencia:  Observacion:  Placa padre: Tipo adquisicion: Entidad</v>
      </c>
      <c r="G22460" s="5"/>
    </row>
    <row r="22461" spans="1:7" ht="58.5" customHeight="1" x14ac:dyDescent="0.25">
      <c r="A22461" s="5" t="str">
        <f>"H0019079"</f>
        <v>H0019079</v>
      </c>
      <c r="B22461" s="5" t="str">
        <f t="shared" si="1123"/>
        <v>ESTANTE METALICO 7 ENTREPAÑOS</v>
      </c>
      <c r="C22461" s="6">
        <v>29533.23</v>
      </c>
      <c r="D22461" s="5"/>
      <c r="E22461" s="5" t="str">
        <f t="shared" si="1122"/>
        <v>ACTISALUD-ESTADISTICA</v>
      </c>
      <c r="F22461" s="5" t="str">
        <f>"Descripcion: . Estado: Regular Placa anterior: 000001680 Material: METALICO Color: GRIS Referencia:  Observacion:  Placa padre: Tipo adquisicion: Entidad"</f>
        <v>Descripcion: . Estado: Regular Placa anterior: 000001680 Material: METALICO Color: GRIS Referencia:  Observacion:  Placa padre: Tipo adquisicion: Entidad</v>
      </c>
      <c r="G22461" s="5"/>
    </row>
    <row r="22462" spans="1:7" ht="58.5" customHeight="1" x14ac:dyDescent="0.25">
      <c r="A22462" s="5" t="str">
        <f>"H0019080"</f>
        <v>H0019080</v>
      </c>
      <c r="B22462" s="5" t="str">
        <f t="shared" si="1123"/>
        <v>ESTANTE METALICO 7 ENTREPAÑOS</v>
      </c>
      <c r="C22462" s="6">
        <v>29533.23</v>
      </c>
      <c r="D22462" s="5"/>
      <c r="E22462" s="5" t="str">
        <f t="shared" si="1122"/>
        <v>ACTISALUD-ESTADISTICA</v>
      </c>
      <c r="F22462" s="5" t="str">
        <f>"Descripcion: . Estado: Regular Placa anterior: 000001684 Material: METALICO Color: GRIS Referencia:  Observacion:  Placa padre: Tipo adquisicion: Entidad"</f>
        <v>Descripcion: . Estado: Regular Placa anterior: 000001684 Material: METALICO Color: GRIS Referencia:  Observacion:  Placa padre: Tipo adquisicion: Entidad</v>
      </c>
      <c r="G22462" s="5"/>
    </row>
    <row r="22463" spans="1:7" ht="58.5" customHeight="1" x14ac:dyDescent="0.25">
      <c r="A22463" s="5" t="str">
        <f>"H0019081"</f>
        <v>H0019081</v>
      </c>
      <c r="B22463" s="5" t="str">
        <f t="shared" si="1123"/>
        <v>ESTANTE METALICO 7 ENTREPAÑOS</v>
      </c>
      <c r="C22463" s="6">
        <v>130000</v>
      </c>
      <c r="D22463" s="5"/>
      <c r="E22463" s="5" t="str">
        <f t="shared" si="1122"/>
        <v>ACTISALUD-ESTADISTICA</v>
      </c>
      <c r="F22463" s="5" t="str">
        <f>"Descripcion: ESTANTE METALICO 7 ENTREPAÑOS 2.000 X0.93X0.40 PARAL CAL. 18, ENTREPAÑOS CAL. 22, ACABADO PINTURA HORNEABLE COLOR GRIS Estado: Regular Placa anterior: 000025706 Material: METALICO Color: GRIS Referencia:  Observacion:  Placa padre: Tipo adqui"&amp; "sicion: Entidad"</f>
        <v>Descripcion: ESTANTE METALICO 7 ENTREPAÑOS 2.000 X0.93X0.40 PARAL CAL. 18, ENTREPAÑOS CAL. 22, ACABADO PINTURA HORNEABLE COLOR GRIS Estado: Regular Placa anterior: 000025706 Material: METALICO Color: GRIS Referencia:  Observacion:  Placa padre: Tipo adquisicion: Entidad</v>
      </c>
      <c r="G22463" s="5"/>
    </row>
    <row r="22464" spans="1:7" ht="58.5" customHeight="1" x14ac:dyDescent="0.25">
      <c r="A22464" s="5" t="str">
        <f>"H0019082"</f>
        <v>H0019082</v>
      </c>
      <c r="B22464" s="5" t="str">
        <f t="shared" si="1123"/>
        <v>ESTANTE METALICO 7 ENTREPAÑOS</v>
      </c>
      <c r="C22464" s="6">
        <v>29533.23</v>
      </c>
      <c r="D22464" s="5"/>
      <c r="E22464" s="5" t="str">
        <f t="shared" si="1122"/>
        <v>ACTISALUD-ESTADISTICA</v>
      </c>
      <c r="F22464" s="5" t="str">
        <f>"Descripcion: . Estado: Bueno Placa anterior: 000002000 Material: METALICO Color: GRIS Referencia:  Observacion:  Placa padre: Tipo adquisicion: Entidad"</f>
        <v>Descripcion: . Estado: Bueno Placa anterior: 000002000 Material: METALICO Color: GRIS Referencia:  Observacion:  Placa padre: Tipo adquisicion: Entidad</v>
      </c>
      <c r="G22464" s="5"/>
    </row>
    <row r="22465" spans="1:7" ht="58.5" customHeight="1" x14ac:dyDescent="0.25">
      <c r="A22465" s="5" t="str">
        <f>"H0019083"</f>
        <v>H0019083</v>
      </c>
      <c r="B22465" s="5" t="str">
        <f t="shared" si="1123"/>
        <v>ESTANTE METALICO 7 ENTREPAÑOS</v>
      </c>
      <c r="C22465" s="6">
        <v>130000</v>
      </c>
      <c r="D22465" s="5"/>
      <c r="E22465" s="5" t="str">
        <f t="shared" si="1122"/>
        <v>ACTISALUD-ESTADISTICA</v>
      </c>
      <c r="F22465" s="5" t="str">
        <f>"Descripcion: ESTANTE METALICO 7 ENTREPAÑOS 2.000 X0.93X0.40 PARAL CAL. 18, ENTREPAÑOS CAL. 22, ACABADO PINTURA HORNEABLE COLOR GRIS Estado: Bueno Placa anterior: 000025708 Material: METALICO Color: GRIS Referencia:  Observacion:  Placa padre: Tipo adquisi"&amp; "cion: Entidad"</f>
        <v>Descripcion: ESTANTE METALICO 7 ENTREPAÑOS 2.000 X0.93X0.40 PARAL CAL. 18, ENTREPAÑOS CAL. 22, ACABADO PINTURA HORNEABLE COLOR GRIS Estado: Bueno Placa anterior: 000025708 Material: METALICO Color: GRIS Referencia:  Observacion:  Placa padre: Tipo adquisicion: Entidad</v>
      </c>
      <c r="G22465" s="5"/>
    </row>
    <row r="22466" spans="1:7" ht="58.5" customHeight="1" x14ac:dyDescent="0.25">
      <c r="A22466" s="5" t="str">
        <f>"H0019084"</f>
        <v>H0019084</v>
      </c>
      <c r="B22466" s="5" t="str">
        <f t="shared" si="1123"/>
        <v>ESTANTE METALICO 7 ENTREPAÑOS</v>
      </c>
      <c r="C22466" s="6">
        <v>29533.23</v>
      </c>
      <c r="D22466" s="5"/>
      <c r="E22466" s="5" t="str">
        <f t="shared" si="1122"/>
        <v>ACTISALUD-ESTADISTICA</v>
      </c>
      <c r="F22466" s="5" t="str">
        <f>"Descripcion: . Estado: Bueno Placa anterior: 000001724 Material: METALICO Color: GRIS Referencia:  Observacion:  Placa padre: Tipo adquisicion: Entidad"</f>
        <v>Descripcion: . Estado: Bueno Placa anterior: 000001724 Material: METALICO Color: GRIS Referencia:  Observacion:  Placa padre: Tipo adquisicion: Entidad</v>
      </c>
      <c r="G22466" s="5"/>
    </row>
    <row r="22467" spans="1:7" ht="58.5" customHeight="1" x14ac:dyDescent="0.25">
      <c r="A22467" s="5" t="str">
        <f>"H0019086"</f>
        <v>H0019086</v>
      </c>
      <c r="B22467" s="5" t="str">
        <f t="shared" si="1123"/>
        <v>ESTANTE METALICO 7 ENTREPAÑOS</v>
      </c>
      <c r="C22467" s="6">
        <v>29533.23</v>
      </c>
      <c r="D22467" s="5"/>
      <c r="E22467" s="5" t="str">
        <f t="shared" si="1122"/>
        <v>ACTISALUD-ESTADISTICA</v>
      </c>
      <c r="F22467" s="5" t="str">
        <f>"Descripcion: . Estado: Bueno Placa anterior: 000001779 Material: METALICO Color: GRIS Referencia:  Observacion:  Placa padre: Tipo adquisicion: Entidad"</f>
        <v>Descripcion: . Estado: Bueno Placa anterior: 000001779 Material: METALICO Color: GRIS Referencia:  Observacion:  Placa padre: Tipo adquisicion: Entidad</v>
      </c>
      <c r="G22467" s="5"/>
    </row>
    <row r="22468" spans="1:7" ht="58.5" customHeight="1" x14ac:dyDescent="0.25">
      <c r="A22468" s="5" t="str">
        <f>"H0019087"</f>
        <v>H0019087</v>
      </c>
      <c r="B22468" s="5" t="str">
        <f t="shared" si="1123"/>
        <v>ESTANTE METALICO 7 ENTREPAÑOS</v>
      </c>
      <c r="C22468" s="6">
        <v>29533.23</v>
      </c>
      <c r="D22468" s="5"/>
      <c r="E22468" s="5" t="str">
        <f t="shared" si="1122"/>
        <v>ACTISALUD-ESTADISTICA</v>
      </c>
      <c r="F22468" s="5" t="str">
        <f>"Descripcion: . Estado: Bueno Placa anterior: 000001776 Material: METALICO Color: GRIS Referencia:  Observacion:  Placa padre: Tipo adquisicion: Entidad"</f>
        <v>Descripcion: . Estado: Bueno Placa anterior: 000001776 Material: METALICO Color: GRIS Referencia:  Observacion:  Placa padre: Tipo adquisicion: Entidad</v>
      </c>
      <c r="G22468" s="5"/>
    </row>
    <row r="22469" spans="1:7" ht="58.5" customHeight="1" x14ac:dyDescent="0.25">
      <c r="A22469" s="5" t="str">
        <f>"H0019089"</f>
        <v>H0019089</v>
      </c>
      <c r="B22469" s="5" t="str">
        <f t="shared" si="1123"/>
        <v>ESTANTE METALICO 7 ENTREPAÑOS</v>
      </c>
      <c r="C22469" s="6">
        <v>29533.23</v>
      </c>
      <c r="D22469" s="5"/>
      <c r="E22469" s="5" t="str">
        <f t="shared" si="1122"/>
        <v>ACTISALUD-ESTADISTICA</v>
      </c>
      <c r="F22469" s="5" t="str">
        <f>"Descripcion: . Estado: Bueno Placa anterior: 000001641 Material: METALICO Color: GRIS Referencia:  Observacion:  Placa padre: Tipo adquisicion: Entidad"</f>
        <v>Descripcion: . Estado: Bueno Placa anterior: 000001641 Material: METALICO Color: GRIS Referencia:  Observacion:  Placa padre: Tipo adquisicion: Entidad</v>
      </c>
      <c r="G22469" s="5"/>
    </row>
    <row r="22470" spans="1:7" ht="58.5" customHeight="1" x14ac:dyDescent="0.25">
      <c r="A22470" s="5" t="str">
        <f>"H0019090"</f>
        <v>H0019090</v>
      </c>
      <c r="B22470" s="5" t="str">
        <f t="shared" si="1123"/>
        <v>ESTANTE METALICO 7 ENTREPAÑOS</v>
      </c>
      <c r="C22470" s="6">
        <v>197200</v>
      </c>
      <c r="D22470" s="5"/>
      <c r="E22470" s="5" t="str">
        <f t="shared" si="1122"/>
        <v>ACTISALUD-ESTADISTICA</v>
      </c>
      <c r="F22470" s="5" t="str">
        <f>"Descripcion: ESTANTES METALICOS DE 90-30-2.00H 7 BANDEJAS INCLUYE AMARRES ENTRE ESTANTES Y TENSORES CALIBRE DEL PARAL 16 Y DE LA BANDEJA 22 PARAL CON SISTEMA DE UÑA, PINTURA ELECTROSTATICA EN POLVO HORNEABLE Estado: Bueno Placa anterior: 000024162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000024162 Material: METALICO Color: GRIS Referencia:  Observacion:  Placa padre: Tipo adquisicion: Entidad</v>
      </c>
      <c r="G22470" s="5"/>
    </row>
    <row r="22471" spans="1:7" ht="58.5" customHeight="1" x14ac:dyDescent="0.25">
      <c r="A22471" s="5" t="str">
        <f>"H0019092"</f>
        <v>H0019092</v>
      </c>
      <c r="B22471" s="5" t="str">
        <f t="shared" si="1123"/>
        <v>ESTANTE METALICO 7 ENTREPAÑOS</v>
      </c>
      <c r="C22471" s="6">
        <v>197200</v>
      </c>
      <c r="D22471" s="5"/>
      <c r="E22471" s="5" t="str">
        <f t="shared" si="1122"/>
        <v>ACTISALUD-ESTADISTICA</v>
      </c>
      <c r="F22471" s="5" t="str">
        <f>"Descripcion: ESTANTES METALICOS DE 90-30-2.00H 7 BANDEJAS INCLUYE AMARRES ENTRE ESTANTES Y TENSORES CALIBRE DEL PARAL 16 Y DE LA BANDEJA 22 PARAL CON SISTEMA DE UÑA, PINTURA ELECTROSTATICA EN POLVO HORNEABLE Estado: Bueno Placa anterior: 000024155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000024155 Material: METALICO Color: GRIS Referencia:  Observacion:  Placa padre: Tipo adquisicion: Entidad</v>
      </c>
      <c r="G22471" s="5"/>
    </row>
    <row r="22472" spans="1:7" ht="58.5" customHeight="1" x14ac:dyDescent="0.25">
      <c r="A22472" s="5" t="str">
        <f>"H0019094"</f>
        <v>H0019094</v>
      </c>
      <c r="B22472" s="5" t="str">
        <f t="shared" si="1123"/>
        <v>ESTANTE METALICO 7 ENTREPAÑOS</v>
      </c>
      <c r="C22472" s="6">
        <v>8840.07</v>
      </c>
      <c r="D22472" s="5"/>
      <c r="E22472" s="5" t="str">
        <f t="shared" si="1122"/>
        <v>ACTISALUD-ESTADISTICA</v>
      </c>
      <c r="F22472" s="5" t="str">
        <f>"Descripcion: . Estado: Bueno Placa anterior: 000028672 Material: METALICO Color: GRIS Referencia:  Observacion: AUTORIZADO CONCILIAR EN CRUCE GENERAL Placa padre: Tipo adquisicion: Entidad"</f>
        <v>Descripcion: . Estado: Bueno Placa anterior: 000028672 Material: METALICO Color: GRIS Referencia:  Observacion: AUTORIZADO CONCILIAR EN CRUCE GENERAL Placa padre: Tipo adquisicion: Entidad</v>
      </c>
      <c r="G22472" s="5"/>
    </row>
    <row r="22473" spans="1:7" ht="58.5" customHeight="1" x14ac:dyDescent="0.25">
      <c r="A22473" s="5" t="str">
        <f>"H0019095"</f>
        <v>H0019095</v>
      </c>
      <c r="B22473" s="5" t="str">
        <f t="shared" si="1123"/>
        <v>ESTANTE METALICO 7 ENTREPAÑOS</v>
      </c>
      <c r="C22473" s="6">
        <v>29533.23</v>
      </c>
      <c r="D22473" s="5"/>
      <c r="E22473" s="5" t="str">
        <f t="shared" si="1122"/>
        <v>ACTISALUD-ESTADISTICA</v>
      </c>
      <c r="F22473" s="5" t="str">
        <f>"Descripcion: . Estado: Bueno Placa anterior: 000001997 Material: METALICO Color: GRIS Referencia:  Observacion:  Placa padre: Tipo adquisicion: Entidad"</f>
        <v>Descripcion: . Estado: Bueno Placa anterior: 000001997 Material: METALICO Color: GRIS Referencia:  Observacion:  Placa padre: Tipo adquisicion: Entidad</v>
      </c>
      <c r="G22473" s="5"/>
    </row>
    <row r="22474" spans="1:7" ht="58.5" customHeight="1" x14ac:dyDescent="0.25">
      <c r="A22474" s="5" t="str">
        <f>"H0019096"</f>
        <v>H0019096</v>
      </c>
      <c r="B22474" s="5" t="str">
        <f t="shared" si="1123"/>
        <v>ESTANTE METALICO 7 ENTREPAÑOS</v>
      </c>
      <c r="C22474" s="6">
        <v>8840.07</v>
      </c>
      <c r="D22474" s="5"/>
      <c r="E22474" s="5" t="str">
        <f t="shared" si="1122"/>
        <v>ACTISALUD-ESTADISTICA</v>
      </c>
      <c r="F22474" s="5" t="str">
        <f>"Descripcion: . Estado: Bueno Placa anterior: 000002321 Material: METALICO Color: GRIS Referencia:  Observacion: AUTORIZADO CONCILIAR EN CRUCE GENERAL Placa padre: Tipo adquisicion: Entidad"</f>
        <v>Descripcion: . Estado: Bueno Placa anterior: 000002321 Material: METALICO Color: GRIS Referencia:  Observacion: AUTORIZADO CONCILIAR EN CRUCE GENERAL Placa padre: Tipo adquisicion: Entidad</v>
      </c>
      <c r="G22474" s="5"/>
    </row>
    <row r="22475" spans="1:7" ht="58.5" customHeight="1" x14ac:dyDescent="0.25">
      <c r="A22475" s="5" t="str">
        <f>"H0019097"</f>
        <v>H0019097</v>
      </c>
      <c r="B22475" s="5" t="str">
        <f t="shared" si="1123"/>
        <v>ESTANTE METALICO 7 ENTREPAÑOS</v>
      </c>
      <c r="C22475" s="6">
        <v>197200</v>
      </c>
      <c r="D22475" s="5"/>
      <c r="E22475" s="5" t="str">
        <f t="shared" si="1122"/>
        <v>ACTISALUD-ESTADISTICA</v>
      </c>
      <c r="F22475" s="5" t="str">
        <f>"Descripcion: ESTANTES METALICOS DE 90-30-2.00H 7 BANDEJAS INCLUYE AMARRES ENTRE ESTANTES Y TENSORES CALIBRE DEL PARAL 16 Y DE LA BANDEJA 22 PARAL CON SISTEMA DE UÑA, PINTURA ELECTROSTATICA EN POLVO HORNEABLE Estado: Bueno Placa anterior: 000024150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000024150 Material: METALICO Color: GRIS Referencia:  Observacion:  Placa padre: Tipo adquisicion: Entidad</v>
      </c>
      <c r="G22475" s="5"/>
    </row>
    <row r="22476" spans="1:7" ht="58.5" customHeight="1" x14ac:dyDescent="0.25">
      <c r="A22476" s="5" t="str">
        <f>"H0019098"</f>
        <v>H0019098</v>
      </c>
      <c r="B22476" s="5" t="str">
        <f t="shared" si="1123"/>
        <v>ESTANTE METALICO 7 ENTREPAÑOS</v>
      </c>
      <c r="C22476" s="6">
        <v>8840.07</v>
      </c>
      <c r="D22476" s="5"/>
      <c r="E22476" s="5" t="str">
        <f t="shared" si="1122"/>
        <v>ACTISALUD-ESTADISTICA</v>
      </c>
      <c r="F22476" s="5" t="str">
        <f>"Descripcion: . Estado: Bueno Placa anterior: 000002262 Material: METALICO Color: GRIS Referencia:  Observacion: AUTORIZADO CONCILIAR EN CRUCE GENERAL Placa padre: Tipo adquisicion: Entidad"</f>
        <v>Descripcion: . Estado: Bueno Placa anterior: 000002262 Material: METALICO Color: GRIS Referencia:  Observacion: AUTORIZADO CONCILIAR EN CRUCE GENERAL Placa padre: Tipo adquisicion: Entidad</v>
      </c>
      <c r="G22476" s="5"/>
    </row>
    <row r="22477" spans="1:7" ht="58.5" customHeight="1" x14ac:dyDescent="0.25">
      <c r="A22477" s="5" t="str">
        <f>"H0019099"</f>
        <v>H0019099</v>
      </c>
      <c r="B22477" s="5" t="str">
        <f t="shared" si="1123"/>
        <v>ESTANTE METALICO 7 ENTREPAÑOS</v>
      </c>
      <c r="C22477" s="6">
        <v>29533.23</v>
      </c>
      <c r="D22477" s="5"/>
      <c r="E22477" s="5" t="str">
        <f t="shared" si="1122"/>
        <v>ACTISALUD-ESTADISTICA</v>
      </c>
      <c r="F22477" s="5" t="str">
        <f>"Descripcion: . Estado: Bueno Placa anterior: 000001999 Material: METALICO Color: GRIS Referencia:  Observacion:  Placa padre: Tipo adquisicion: Entidad"</f>
        <v>Descripcion: . Estado: Bueno Placa anterior: 000001999 Material: METALICO Color: GRIS Referencia:  Observacion:  Placa padre: Tipo adquisicion: Entidad</v>
      </c>
      <c r="G22477" s="5"/>
    </row>
    <row r="22478" spans="1:7" ht="58.5" customHeight="1" x14ac:dyDescent="0.25">
      <c r="A22478" s="5" t="str">
        <f>"H0019112"</f>
        <v>H0019112</v>
      </c>
      <c r="B22478" s="5" t="str">
        <f t="shared" si="1123"/>
        <v>ESTANTE METALICO 7 ENTREPAÑOS</v>
      </c>
      <c r="C22478" s="6">
        <v>130000</v>
      </c>
      <c r="D22478" s="5"/>
      <c r="E22478" s="5" t="str">
        <f t="shared" si="1122"/>
        <v>ACTISALUD-ESTADISTICA</v>
      </c>
      <c r="F22478" s="5" t="str">
        <f>"Descripcion: ESTANTE METALICO 7 ENTREPAÑOS 2.000 X0.93X0.40 PARAL CAL. 18, ENTREPAÑOS CAL. 22, ACABADO PINTURA HORNEABLE COLOR GRIS Estado: Bueno Placa anterior: 000025714 Material: METALICO Color: GRIS Referencia:  Observacion:  Placa padre: Tipo adquisi"&amp; "cion: Entidad"</f>
        <v>Descripcion: ESTANTE METALICO 7 ENTREPAÑOS 2.000 X0.93X0.40 PARAL CAL. 18, ENTREPAÑOS CAL. 22, ACABADO PINTURA HORNEABLE COLOR GRIS Estado: Bueno Placa anterior: 000025714 Material: METALICO Color: GRIS Referencia:  Observacion:  Placa padre: Tipo adquisicion: Entidad</v>
      </c>
      <c r="G22478" s="5"/>
    </row>
    <row r="22479" spans="1:7" ht="58.5" customHeight="1" x14ac:dyDescent="0.25">
      <c r="A22479" s="5" t="str">
        <f>"H0019113"</f>
        <v>H0019113</v>
      </c>
      <c r="B22479" s="5" t="str">
        <f t="shared" si="1123"/>
        <v>ESTANTE METALICO 7 ENTREPAÑOS</v>
      </c>
      <c r="C22479" s="6">
        <v>130000</v>
      </c>
      <c r="D22479" s="5"/>
      <c r="E22479" s="5" t="str">
        <f t="shared" si="1122"/>
        <v>ACTISALUD-ESTADISTICA</v>
      </c>
      <c r="F22479" s="5" t="str">
        <f>"Descripcion: ESTANTE METALICO 7 ENTREPAÑOS 2.000 X0.93X0.40 PARAL CAL. 18, ENTREPAÑOS CAL. 22, ACABADO PINTURA HORNEABLE COLOR GRIS Estado: Bueno Placa anterior: 000025712 Material: METALICO Color: GRIS Referencia:  Observacion:  Placa padre: Tipo adquisi"&amp; "cion: Entidad"</f>
        <v>Descripcion: ESTANTE METALICO 7 ENTREPAÑOS 2.000 X0.93X0.40 PARAL CAL. 18, ENTREPAÑOS CAL. 22, ACABADO PINTURA HORNEABLE COLOR GRIS Estado: Bueno Placa anterior: 000025712 Material: METALICO Color: GRIS Referencia:  Observacion:  Placa padre: Tipo adquisicion: Entidad</v>
      </c>
      <c r="G22479" s="5"/>
    </row>
    <row r="22480" spans="1:7" ht="58.5" customHeight="1" x14ac:dyDescent="0.25">
      <c r="A22480" s="5" t="str">
        <f>"H0019115"</f>
        <v>H0019115</v>
      </c>
      <c r="B22480" s="5" t="str">
        <f t="shared" si="1123"/>
        <v>ESTANTE METALICO 7 ENTREPAÑOS</v>
      </c>
      <c r="C22480" s="6">
        <v>130000</v>
      </c>
      <c r="D22480" s="5"/>
      <c r="E22480" s="5" t="str">
        <f t="shared" si="1122"/>
        <v>ACTISALUD-ESTADISTICA</v>
      </c>
      <c r="F22480" s="5" t="str">
        <f>"Descripcion: . Estado: Bueno Placa anterior: 000025716 Material: METALICO Color: GRIS Referencia:  Observacion:  Placa padre: Tipo adquisicion: Entidad"</f>
        <v>Descripcion: . Estado: Bueno Placa anterior: 000025716 Material: METALICO Color: GRIS Referencia:  Observacion:  Placa padre: Tipo adquisicion: Entidad</v>
      </c>
      <c r="G22480" s="5"/>
    </row>
    <row r="22481" spans="1:7" ht="58.5" customHeight="1" x14ac:dyDescent="0.25">
      <c r="A22481" s="5" t="str">
        <f>"H0019116"</f>
        <v>H0019116</v>
      </c>
      <c r="B22481" s="5" t="str">
        <f t="shared" si="1123"/>
        <v>ESTANTE METALICO 7 ENTREPAÑOS</v>
      </c>
      <c r="C22481" s="6">
        <v>130000</v>
      </c>
      <c r="D22481" s="5"/>
      <c r="E22481" s="5" t="str">
        <f t="shared" si="1122"/>
        <v>ACTISALUD-ESTADISTICA</v>
      </c>
      <c r="F22481" s="5" t="str">
        <f>"Descripcion: ESTANTE METALICO 7 ENTREPAÑOS 2.000 X0.93X0.40 PARAL CAL. 18, ENTREPAÑOS CAL. 22, ACABADO PINTURA HORNEABLE COLOR GRIS Estado: Bueno Placa anterior: 000025701 Material: METALICO Color: GRIS Referencia:  Observacion:  Placa padre: Tipo adquisi"&amp; "cion: Entidad"</f>
        <v>Descripcion: ESTANTE METALICO 7 ENTREPAÑOS 2.000 X0.93X0.40 PARAL CAL. 18, ENTREPAÑOS CAL. 22, ACABADO PINTURA HORNEABLE COLOR GRIS Estado: Bueno Placa anterior: 000025701 Material: METALICO Color: GRIS Referencia:  Observacion:  Placa padre: Tipo adquisicion: Entidad</v>
      </c>
      <c r="G22481" s="5"/>
    </row>
    <row r="22482" spans="1:7" ht="58.5" customHeight="1" x14ac:dyDescent="0.25">
      <c r="A22482" s="5" t="str">
        <f>"H0019117"</f>
        <v>H0019117</v>
      </c>
      <c r="B22482" s="5" t="str">
        <f t="shared" si="1123"/>
        <v>ESTANTE METALICO 7 ENTREPAÑOS</v>
      </c>
      <c r="C22482" s="6">
        <v>130000</v>
      </c>
      <c r="D22482" s="5"/>
      <c r="E22482" s="5" t="str">
        <f t="shared" si="1122"/>
        <v>ACTISALUD-ESTADISTICA</v>
      </c>
      <c r="F22482" s="5" t="str">
        <f>"Descripcion: ESTANTE METALICO 7 ENTREPAÑOS 2.000 X0.93X0.40 PARAL CAL. 18, ENTREPAÑOS CAL. 22, ACABADO PINTURA HORNEABLE COLOR GRIS Estado: Bueno Placa anterior: 000025700 Material: METALICO Color: GRIS Referencia:  Observacion:  Placa padre: Tipo adquisi"&amp; "cion: Entidad"</f>
        <v>Descripcion: ESTANTE METALICO 7 ENTREPAÑOS 2.000 X0.93X0.40 PARAL CAL. 18, ENTREPAÑOS CAL. 22, ACABADO PINTURA HORNEABLE COLOR GRIS Estado: Bueno Placa anterior: 000025700 Material: METALICO Color: GRIS Referencia:  Observacion:  Placa padre: Tipo adquisicion: Entidad</v>
      </c>
      <c r="G22482" s="5"/>
    </row>
    <row r="22483" spans="1:7" ht="58.5" customHeight="1" x14ac:dyDescent="0.25">
      <c r="A22483" s="5" t="str">
        <f>"H0019118"</f>
        <v>H0019118</v>
      </c>
      <c r="B22483" s="5" t="str">
        <f t="shared" si="1123"/>
        <v>ESTANTE METALICO 7 ENTREPAÑOS</v>
      </c>
      <c r="C22483" s="6">
        <v>130000</v>
      </c>
      <c r="D22483" s="5"/>
      <c r="E22483" s="5" t="str">
        <f t="shared" si="1122"/>
        <v>ACTISALUD-ESTADISTICA</v>
      </c>
      <c r="F22483" s="5" t="str">
        <f>"Descripcion: ESTANTE METALICO 7 ENTREPAÑOS 2.000 X0.93X0.40 PARAL CAL. 18, ENTREPAÑOS CAL. 22, ACABADO PINTURA HORNEABLE COLOR GRIS Estado: Bueno Placa anterior: 000025713 Material: METALICO Color: GRIS Referencia:  Observacion:  Placa padre: Tipo adquisi"&amp; "cion: Entidad"</f>
        <v>Descripcion: ESTANTE METALICO 7 ENTREPAÑOS 2.000 X0.93X0.40 PARAL CAL. 18, ENTREPAÑOS CAL. 22, ACABADO PINTURA HORNEABLE COLOR GRIS Estado: Bueno Placa anterior: 000025713 Material: METALICO Color: GRIS Referencia:  Observacion:  Placa padre: Tipo adquisicion: Entidad</v>
      </c>
      <c r="G22483" s="5"/>
    </row>
    <row r="22484" spans="1:7" ht="58.5" customHeight="1" x14ac:dyDescent="0.25">
      <c r="A22484" s="5" t="str">
        <f>"H0019119"</f>
        <v>H0019119</v>
      </c>
      <c r="B22484" s="5" t="str">
        <f t="shared" si="1123"/>
        <v>ESTANTE METALICO 7 ENTREPAÑOS</v>
      </c>
      <c r="C22484" s="6">
        <v>130000</v>
      </c>
      <c r="D22484" s="5"/>
      <c r="E22484" s="5" t="str">
        <f t="shared" si="1122"/>
        <v>ACTISALUD-ESTADISTICA</v>
      </c>
      <c r="F22484" s="5" t="str">
        <f>"Descripcion: ESTANTE METALICO 7 ENTREPAÑOS 2.000 X0.93X0.40 PARAL CAL. 18, ENTREPAÑOS CAL. 22, ACABADO PINTURA HORNEABLE COLOR GRIS Estado: Bueno Placa anterior: 000025711 Material: METALICO Color: GRIS Referencia:  Observacion:  Placa padre: Tipo adquisi"&amp; "cion: Entidad"</f>
        <v>Descripcion: ESTANTE METALICO 7 ENTREPAÑOS 2.000 X0.93X0.40 PARAL CAL. 18, ENTREPAÑOS CAL. 22, ACABADO PINTURA HORNEABLE COLOR GRIS Estado: Bueno Placa anterior: 000025711 Material: METALICO Color: GRIS Referencia:  Observacion:  Placa padre: Tipo adquisicion: Entidad</v>
      </c>
      <c r="G22484" s="5"/>
    </row>
    <row r="22485" spans="1:7" ht="58.5" customHeight="1" x14ac:dyDescent="0.25">
      <c r="A22485" s="5" t="str">
        <f>"H0019120"</f>
        <v>H0019120</v>
      </c>
      <c r="B22485" s="5" t="str">
        <f t="shared" si="1123"/>
        <v>ESTANTE METALICO 7 ENTREPAÑOS</v>
      </c>
      <c r="C22485" s="6">
        <v>29533.23</v>
      </c>
      <c r="D22485" s="5"/>
      <c r="E22485" s="5" t="str">
        <f t="shared" si="1122"/>
        <v>ACTISALUD-ESTADISTICA</v>
      </c>
      <c r="F22485" s="5" t="str">
        <f>"Descripcion: ESTANTE METALICO 7 ENTREPAÑOS 2.000 X0.93X0.40 PARAL CAL. 18, ENTREPAÑOS CAL. 22, ACABADO PINTURA HORNEABLE COLOR GRIS Estado: Bueno Placa anterior: 000001995 Material: METALICO Color: GRIS Referencia:  Observacion:  Placa padre: Tipo adquisi"&amp; "cion: Entidad"</f>
        <v>Descripcion: ESTANTE METALICO 7 ENTREPAÑOS 2.000 X0.93X0.40 PARAL CAL. 18, ENTREPAÑOS CAL. 22, ACABADO PINTURA HORNEABLE COLOR GRIS Estado: Bueno Placa anterior: 000001995 Material: METALICO Color: GRIS Referencia:  Observacion:  Placa padre: Tipo adquisicion: Entidad</v>
      </c>
      <c r="G22485" s="5"/>
    </row>
    <row r="22486" spans="1:7" ht="58.5" customHeight="1" x14ac:dyDescent="0.25">
      <c r="A22486" s="5" t="str">
        <f>"H0019121"</f>
        <v>H0019121</v>
      </c>
      <c r="B22486" s="5" t="str">
        <f t="shared" si="1123"/>
        <v>ESTANTE METALICO 7 ENTREPAÑOS</v>
      </c>
      <c r="C22486" s="6">
        <v>29533.23</v>
      </c>
      <c r="D22486" s="5"/>
      <c r="E22486" s="5" t="str">
        <f t="shared" si="1122"/>
        <v>ACTISALUD-ESTADISTICA</v>
      </c>
      <c r="F22486" s="5" t="str">
        <f>"Descripcion: ESTANTE METALICO 7 ENTREPAÑOS 2.000 X0.93X0.40 PARAL CAL. 18, ENTREPAÑOS CAL. 22, ACABADO PINTURA HORNEABLE COLOR GRIS Estado: Bueno Placa anterior: 000001934 Material: METALICO Color: GRIS Referencia:  Observacion:  Placa padre: Tipo adquisi"&amp; "cion: Entidad"</f>
        <v>Descripcion: ESTANTE METALICO 7 ENTREPAÑOS 2.000 X0.93X0.40 PARAL CAL. 18, ENTREPAÑOS CAL. 22, ACABADO PINTURA HORNEABLE COLOR GRIS Estado: Bueno Placa anterior: 000001934 Material: METALICO Color: GRIS Referencia:  Observacion:  Placa padre: Tipo adquisicion: Entidad</v>
      </c>
      <c r="G22486" s="5"/>
    </row>
    <row r="22487" spans="1:7" ht="58.5" customHeight="1" x14ac:dyDescent="0.25">
      <c r="A22487" s="5" t="str">
        <f>"H0019122"</f>
        <v>H0019122</v>
      </c>
      <c r="B22487" s="5" t="str">
        <f t="shared" si="1123"/>
        <v>ESTANTE METALICO 7 ENTREPAÑOS</v>
      </c>
      <c r="C22487" s="6">
        <v>29533.23</v>
      </c>
      <c r="D22487" s="5"/>
      <c r="E22487" s="5" t="str">
        <f t="shared" si="1122"/>
        <v>ACTISALUD-ESTADISTICA</v>
      </c>
      <c r="F22487" s="5" t="str">
        <f>"Descripcion: ESTANTE METALICO 7 ENTREPAÑOS 2.000 X0.93X0.40 PARAL CAL. 18, ENTREPAÑOS CAL. 22, ACABADO PINTURA HORNEABLE COLOR GRIS Estado: Bueno Placa anterior: 000001952 Material: METALICO Color: GRIS Referencia:  Observacion:  Placa padre: Tipo adquisi"&amp; "cion: Entidad"</f>
        <v>Descripcion: ESTANTE METALICO 7 ENTREPAÑOS 2.000 X0.93X0.40 PARAL CAL. 18, ENTREPAÑOS CAL. 22, ACABADO PINTURA HORNEABLE COLOR GRIS Estado: Bueno Placa anterior: 000001952 Material: METALICO Color: GRIS Referencia:  Observacion:  Placa padre: Tipo adquisicion: Entidad</v>
      </c>
      <c r="G22487" s="5"/>
    </row>
    <row r="22488" spans="1:7" ht="58.5" customHeight="1" x14ac:dyDescent="0.25">
      <c r="A22488" s="5" t="str">
        <f>"H0019123"</f>
        <v>H0019123</v>
      </c>
      <c r="B22488" s="5" t="str">
        <f t="shared" si="1123"/>
        <v>ESTANTE METALICO 7 ENTREPAÑOS</v>
      </c>
      <c r="C22488" s="6">
        <v>29533.23</v>
      </c>
      <c r="D22488" s="5"/>
      <c r="E22488" s="5" t="str">
        <f t="shared" si="1122"/>
        <v>ACTISALUD-ESTADISTICA</v>
      </c>
      <c r="F22488" s="5" t="str">
        <f>"Descripcion: . Estado: Bueno Placa anterior: 000001993 Material: METALICO Color: GRIS Referencia:  Observacion:  Placa padre: Tipo adquisicion: Entidad"</f>
        <v>Descripcion: . Estado: Bueno Placa anterior: 000001993 Material: METALICO Color: GRIS Referencia:  Observacion:  Placa padre: Tipo adquisicion: Entidad</v>
      </c>
      <c r="G22488" s="5"/>
    </row>
    <row r="22489" spans="1:7" ht="58.5" customHeight="1" x14ac:dyDescent="0.25">
      <c r="A22489" s="5" t="str">
        <f>"H0019124"</f>
        <v>H0019124</v>
      </c>
      <c r="B22489" s="5" t="str">
        <f t="shared" si="1123"/>
        <v>ESTANTE METALICO 7 ENTREPAÑOS</v>
      </c>
      <c r="C22489" s="6">
        <v>29533.23</v>
      </c>
      <c r="D22489" s="5"/>
      <c r="E22489" s="5" t="str">
        <f t="shared" si="1122"/>
        <v>ACTISALUD-ESTADISTICA</v>
      </c>
      <c r="F22489" s="5" t="str">
        <f>"Descripcion: . Estado: Bueno Placa anterior: 000001784 Material: METALICO Color: GRIS Referencia:  Observacion:  Placa padre: Tipo adquisicion: Entidad"</f>
        <v>Descripcion: . Estado: Bueno Placa anterior: 000001784 Material: METALICO Color: GRIS Referencia:  Observacion:  Placa padre: Tipo adquisicion: Entidad</v>
      </c>
      <c r="G22489" s="5"/>
    </row>
    <row r="22490" spans="1:7" ht="58.5" customHeight="1" x14ac:dyDescent="0.25">
      <c r="A22490" s="5" t="str">
        <f>"H0019125"</f>
        <v>H0019125</v>
      </c>
      <c r="B22490" s="5" t="str">
        <f t="shared" si="1123"/>
        <v>ESTANTE METALICO 7 ENTREPAÑOS</v>
      </c>
      <c r="C22490" s="6">
        <v>29533.23</v>
      </c>
      <c r="D22490" s="5"/>
      <c r="E22490" s="5" t="str">
        <f t="shared" si="1122"/>
        <v>ACTISALUD-ESTADISTICA</v>
      </c>
      <c r="F22490" s="5" t="str">
        <f>"Descripcion: . Estado: Bueno Placa anterior: 000001678 Material: METALICO Color: GRIS Referencia:  Observacion:  Placa padre: Tipo adquisicion: Entidad"</f>
        <v>Descripcion: . Estado: Bueno Placa anterior: 000001678 Material: METALICO Color: GRIS Referencia:  Observacion:  Placa padre: Tipo adquisicion: Entidad</v>
      </c>
      <c r="G22490" s="5"/>
    </row>
    <row r="22491" spans="1:7" ht="58.5" customHeight="1" x14ac:dyDescent="0.25">
      <c r="A22491" s="5" t="str">
        <f>"H0019126"</f>
        <v>H0019126</v>
      </c>
      <c r="B22491" s="5" t="str">
        <f t="shared" si="1123"/>
        <v>ESTANTE METALICO 7 ENTREPAÑOS</v>
      </c>
      <c r="C22491" s="6">
        <v>29533.23</v>
      </c>
      <c r="D22491" s="5"/>
      <c r="E22491" s="5" t="str">
        <f t="shared" si="1122"/>
        <v>ACTISALUD-ESTADISTICA</v>
      </c>
      <c r="F22491" s="5" t="str">
        <f>"Descripcion: . Estado: Bueno Placa anterior: 000001669 Material: METALICO Color: GRIS Referencia:  Observacion:  Placa padre: Tipo adquisicion: Entidad"</f>
        <v>Descripcion: . Estado: Bueno Placa anterior: 000001669 Material: METALICO Color: GRIS Referencia:  Observacion:  Placa padre: Tipo adquisicion: Entidad</v>
      </c>
      <c r="G22491" s="5"/>
    </row>
    <row r="22492" spans="1:7" ht="58.5" customHeight="1" x14ac:dyDescent="0.25">
      <c r="A22492" s="5" t="str">
        <f>"H0019127"</f>
        <v>H0019127</v>
      </c>
      <c r="B22492" s="5" t="str">
        <f>"ESTANTE METALICO 6 ENTREPAÑOS"</f>
        <v>ESTANTE METALICO 6 ENTREPAÑOS</v>
      </c>
      <c r="C22492" s="6">
        <v>29533.23</v>
      </c>
      <c r="D22492" s="5"/>
      <c r="E22492" s="5" t="str">
        <f t="shared" si="1122"/>
        <v>ACTISALUD-ESTADISTICA</v>
      </c>
      <c r="F22492" s="5" t="str">
        <f>"Descripcion: . Estado: Bueno Placa anterior: 000001677 Material: METALICO Color: GRIS Referencia:  Observacion:  Placa padre: Tipo adquisicion: Entidad"</f>
        <v>Descripcion: . Estado: Bueno Placa anterior: 000001677 Material: METALICO Color: GRIS Referencia:  Observacion:  Placa padre: Tipo adquisicion: Entidad</v>
      </c>
      <c r="G22492" s="5"/>
    </row>
    <row r="22493" spans="1:7" ht="58.5" customHeight="1" x14ac:dyDescent="0.25">
      <c r="A22493" s="5" t="str">
        <f>"H0019128"</f>
        <v>H0019128</v>
      </c>
      <c r="B22493" s="5" t="str">
        <f t="shared" ref="B22493:B22498" si="1124">"ESTANTE METALICO 7 ENTREPAÑOS"</f>
        <v>ESTANTE METALICO 7 ENTREPAÑOS</v>
      </c>
      <c r="C22493" s="6">
        <v>29533.23</v>
      </c>
      <c r="D22493" s="5"/>
      <c r="E22493" s="5" t="str">
        <f t="shared" si="1122"/>
        <v>ACTISALUD-ESTADISTICA</v>
      </c>
      <c r="F22493" s="5" t="str">
        <f>"Descripcion: . Estado: Bueno Placa anterior: 000001785 Material: METALICO Color: GRIS Referencia:  Observacion:  Placa padre: Tipo adquisicion: Entidad"</f>
        <v>Descripcion: . Estado: Bueno Placa anterior: 000001785 Material: METALICO Color: GRIS Referencia:  Observacion:  Placa padre: Tipo adquisicion: Entidad</v>
      </c>
      <c r="G22493" s="5"/>
    </row>
    <row r="22494" spans="1:7" ht="58.5" customHeight="1" x14ac:dyDescent="0.25">
      <c r="A22494" s="5" t="str">
        <f>"H0019129"</f>
        <v>H0019129</v>
      </c>
      <c r="B22494" s="5" t="str">
        <f t="shared" si="1124"/>
        <v>ESTANTE METALICO 7 ENTREPAÑOS</v>
      </c>
      <c r="C22494" s="6">
        <v>29533.23</v>
      </c>
      <c r="D22494" s="5"/>
      <c r="E22494" s="5" t="str">
        <f t="shared" si="1122"/>
        <v>ACTISALUD-ESTADISTICA</v>
      </c>
      <c r="F22494" s="5" t="str">
        <f>"Descripcion: . Estado: Bueno Placa anterior: 000001668 Material: METALICO Color: GRIS Referencia:  Observacion:  Placa padre: Tipo adquisicion: Entidad"</f>
        <v>Descripcion: . Estado: Bueno Placa anterior: 000001668 Material: METALICO Color: GRIS Referencia:  Observacion:  Placa padre: Tipo adquisicion: Entidad</v>
      </c>
      <c r="G22494" s="5"/>
    </row>
    <row r="22495" spans="1:7" ht="58.5" customHeight="1" x14ac:dyDescent="0.25">
      <c r="A22495" s="5" t="str">
        <f>"H0019130"</f>
        <v>H0019130</v>
      </c>
      <c r="B22495" s="5" t="str">
        <f t="shared" si="1124"/>
        <v>ESTANTE METALICO 7 ENTREPAÑOS</v>
      </c>
      <c r="C22495" s="6">
        <v>29533.23</v>
      </c>
      <c r="D22495" s="5"/>
      <c r="E22495" s="5" t="str">
        <f t="shared" si="1122"/>
        <v>ACTISALUD-ESTADISTICA</v>
      </c>
      <c r="F22495" s="5" t="str">
        <f>"Descripcion: . Estado: Bueno Placa anterior: 000001793 Material: METALICO Color: GRIS Referencia:  Observacion:  Placa padre: Tipo adquisicion: Entidad"</f>
        <v>Descripcion: . Estado: Bueno Placa anterior: 000001793 Material: METALICO Color: GRIS Referencia:  Observacion:  Placa padre: Tipo adquisicion: Entidad</v>
      </c>
      <c r="G22495" s="5"/>
    </row>
    <row r="22496" spans="1:7" ht="58.5" customHeight="1" x14ac:dyDescent="0.25">
      <c r="A22496" s="5" t="str">
        <f>"H0019131"</f>
        <v>H0019131</v>
      </c>
      <c r="B22496" s="5" t="str">
        <f t="shared" si="1124"/>
        <v>ESTANTE METALICO 7 ENTREPAÑOS</v>
      </c>
      <c r="C22496" s="6">
        <v>29533.23</v>
      </c>
      <c r="D22496" s="5"/>
      <c r="E22496" s="5" t="str">
        <f t="shared" si="1122"/>
        <v>ACTISALUD-ESTADISTICA</v>
      </c>
      <c r="F22496" s="5" t="str">
        <f>"Descripcion: . Estado: Bueno Placa anterior: 000001794 Material: METALICO Color: GRIS Referencia:  Observacion:  Placa padre: Tipo adquisicion: Entidad"</f>
        <v>Descripcion: . Estado: Bueno Placa anterior: 000001794 Material: METALICO Color: GRIS Referencia:  Observacion:  Placa padre: Tipo adquisicion: Entidad</v>
      </c>
      <c r="G22496" s="5"/>
    </row>
    <row r="22497" spans="1:7" ht="58.5" customHeight="1" x14ac:dyDescent="0.25">
      <c r="A22497" s="5" t="str">
        <f>"H0019132"</f>
        <v>H0019132</v>
      </c>
      <c r="B22497" s="5" t="str">
        <f t="shared" si="1124"/>
        <v>ESTANTE METALICO 7 ENTREPAÑOS</v>
      </c>
      <c r="C22497" s="6">
        <v>29533.23</v>
      </c>
      <c r="D22497" s="5"/>
      <c r="E22497" s="5" t="str">
        <f t="shared" si="1122"/>
        <v>ACTISALUD-ESTADISTICA</v>
      </c>
      <c r="F22497" s="5" t="str">
        <f>"Descripcion: . Estado: Bueno Placa anterior: 000001795 Material: METALICO Color: GRIS Referencia:  Observacion:  Placa padre: Tipo adquisicion: Entidad"</f>
        <v>Descripcion: . Estado: Bueno Placa anterior: 000001795 Material: METALICO Color: GRIS Referencia:  Observacion:  Placa padre: Tipo adquisicion: Entidad</v>
      </c>
      <c r="G22497" s="5"/>
    </row>
    <row r="22498" spans="1:7" ht="58.5" customHeight="1" x14ac:dyDescent="0.25">
      <c r="A22498" s="5" t="str">
        <f>"H0019133"</f>
        <v>H0019133</v>
      </c>
      <c r="B22498" s="5" t="str">
        <f t="shared" si="1124"/>
        <v>ESTANTE METALICO 7 ENTREPAÑOS</v>
      </c>
      <c r="C22498" s="6">
        <v>29533.23</v>
      </c>
      <c r="D22498" s="5"/>
      <c r="E22498" s="5" t="str">
        <f t="shared" si="1122"/>
        <v>ACTISALUD-ESTADISTICA</v>
      </c>
      <c r="F22498" s="5" t="str">
        <f>"Descripcion: . Estado: Bueno Placa anterior: 000001796 Material: METALICO Color: GRIS Referencia:  Observacion:  Placa padre: Tipo adquisicion: Entidad"</f>
        <v>Descripcion: . Estado: Bueno Placa anterior: 000001796 Material: METALICO Color: GRIS Referencia:  Observacion:  Placa padre: Tipo adquisicion: Entidad</v>
      </c>
      <c r="G22498" s="5"/>
    </row>
    <row r="22499" spans="1:7" ht="58.5" customHeight="1" x14ac:dyDescent="0.25">
      <c r="A22499" s="5" t="str">
        <f>"H0019303"</f>
        <v>H0019303</v>
      </c>
      <c r="B22499" s="5" t="str">
        <f>"ESCRITORIO METALICO 3 GAVETAS"</f>
        <v>ESCRITORIO METALICO 3 GAVETAS</v>
      </c>
      <c r="C22499" s="6">
        <v>17146.849999999999</v>
      </c>
      <c r="D22499" s="5"/>
      <c r="E22499" s="5" t="str">
        <f t="shared" si="1122"/>
        <v>ACTISALUD-ESTADISTICA</v>
      </c>
      <c r="F22499" s="5" t="str">
        <f>"Descripcion: ESCRITORIO DE 3 GAVETAS Estado: Bueno Placa anterior: 000001494 Material: METALICO CON MESON EN FORMICA Color: GRIS CON MADERA OSCURO Referencia:  Observacion:  Placa padre: Tipo adquisicion: Entidad"</f>
        <v>Descripcion: ESCRITORIO DE 3 GAVETAS Estado: Bueno Placa anterior: 000001494 Material: METALICO CON MESON EN FORMICA Color: GRIS CON MADERA OSCURO Referencia:  Observacion:  Placa padre: Tipo adquisicion: Entidad</v>
      </c>
      <c r="G22499" s="5"/>
    </row>
    <row r="22500" spans="1:7" ht="58.5" customHeight="1" x14ac:dyDescent="0.25">
      <c r="A22500" s="5" t="str">
        <f>"H0020709"</f>
        <v>H0020709</v>
      </c>
      <c r="B22500" s="5" t="str">
        <f>"AIRE ACONDICIONADO CENTRAL (INTEGRAL)"</f>
        <v>AIRE ACONDICIONADO CENTRAL (INTEGRAL)</v>
      </c>
      <c r="C22500" s="6">
        <v>21415000</v>
      </c>
      <c r="D22500" s="5"/>
      <c r="E22500" s="5" t="str">
        <f t="shared" si="1122"/>
        <v>ACTISALUD-ESTADISTICA</v>
      </c>
      <c r="F22500" s="5" t="str">
        <f>"Descripcion:AIRE ACONDICIONADO (PAQUETE MODELO LK C300BC00 MARCA LGA* ARCHIVO CLINICO Y ESTADISTICA Estado: Bueno Placa anterior: 000032765 Material: METALICO Color: BLANCO Referencia:  Observacion:  Placa padre:  Tipo adquisicion : Entidad"</f>
        <v>Descripcion:AIRE ACONDICIONADO (PAQUETE MODELO LK C300BC00 MARCA LGA* ARCHIVO CLINICO Y ESTADISTICA Estado: Bueno Placa anterior: 000032765 Material: METALICO Color: BLANCO Referencia:  Observacion:  Placa padre:  Tipo adquisicion : Entidad</v>
      </c>
      <c r="G22500" s="5" t="str">
        <f>"LK-C300BC00"</f>
        <v>LK-C300BC00</v>
      </c>
    </row>
    <row r="22501" spans="1:7" ht="58.5" customHeight="1" x14ac:dyDescent="0.25">
      <c r="A22501" s="5" t="str">
        <f>"H0022001"</f>
        <v>H0022001</v>
      </c>
      <c r="B22501" s="5" t="str">
        <f t="shared" ref="B22501:B22532" si="1125">"ESTANTE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501" s="6">
        <v>241999.98</v>
      </c>
      <c r="D22501" s="5" t="s">
        <v>499</v>
      </c>
      <c r="E22501" s="5" t="str">
        <f t="shared" si="1122"/>
        <v>ACTISALUD-ESTADISTICA</v>
      </c>
      <c r="F22501" s="5"/>
      <c r="G22501" s="5"/>
    </row>
    <row r="22502" spans="1:7" ht="58.5" customHeight="1" x14ac:dyDescent="0.25">
      <c r="A22502" s="5" t="str">
        <f>"H0022002"</f>
        <v>H0022002</v>
      </c>
      <c r="B22502" s="5" t="str">
        <f t="shared" si="1125"/>
        <v>ESTANTE CONSTRUIDOS EN LAMINAS METÁLICAS SOLIDAS, RESISTENTES Y ESTABLES CON TRATAMIENTO ANTICORROSIVO, CON 7 ENTREPAÑOS, DE 0.94 CMS DE ANCHO, CON ALTURA DE 2.20MTS Y CADA BANDEJA DEBE SOPORTAR UN PESO DE 100KG/MT LINEA</v>
      </c>
      <c r="C22502" s="6">
        <v>241999.98</v>
      </c>
      <c r="D22502" s="5" t="s">
        <v>499</v>
      </c>
      <c r="E22502" s="5" t="str">
        <f t="shared" si="1122"/>
        <v>ACTISALUD-ESTADISTICA</v>
      </c>
      <c r="F22502" s="5"/>
      <c r="G22502" s="5"/>
    </row>
    <row r="22503" spans="1:7" ht="58.5" customHeight="1" x14ac:dyDescent="0.25">
      <c r="A22503" s="5" t="str">
        <f>"H0022004"</f>
        <v>H0022004</v>
      </c>
      <c r="B22503" s="5" t="str">
        <f t="shared" si="1125"/>
        <v>ESTANTE CONSTRUIDOS EN LAMINAS METÁLICAS SOLIDAS, RESISTENTES Y ESTABLES CON TRATAMIENTO ANTICORROSIVO, CON 7 ENTREPAÑOS, DE 0.94 CMS DE ANCHO, CON ALTURA DE 2.20MTS Y CADA BANDEJA DEBE SOPORTAR UN PESO DE 100KG/MT LINEA</v>
      </c>
      <c r="C22503" s="6">
        <v>241999.98</v>
      </c>
      <c r="D22503" s="5" t="s">
        <v>499</v>
      </c>
      <c r="E22503" s="5" t="str">
        <f t="shared" si="1122"/>
        <v>ACTISALUD-ESTADISTICA</v>
      </c>
      <c r="F22503" s="5"/>
      <c r="G22503" s="5"/>
    </row>
    <row r="22504" spans="1:7" ht="58.5" customHeight="1" x14ac:dyDescent="0.25">
      <c r="A22504" s="5" t="str">
        <f>"H0022005"</f>
        <v>H0022005</v>
      </c>
      <c r="B22504" s="5" t="str">
        <f t="shared" si="1125"/>
        <v>ESTANTE CONSTRUIDOS EN LAMINAS METÁLICAS SOLIDAS, RESISTENTES Y ESTABLES CON TRATAMIENTO ANTICORROSIVO, CON 7 ENTREPAÑOS, DE 0.94 CMS DE ANCHO, CON ALTURA DE 2.20MTS Y CADA BANDEJA DEBE SOPORTAR UN PESO DE 100KG/MT LINEA</v>
      </c>
      <c r="C22504" s="6">
        <v>241999.98</v>
      </c>
      <c r="D22504" s="5" t="s">
        <v>499</v>
      </c>
      <c r="E22504" s="5" t="str">
        <f t="shared" si="1122"/>
        <v>ACTISALUD-ESTADISTICA</v>
      </c>
      <c r="F22504" s="5"/>
      <c r="G22504" s="5"/>
    </row>
    <row r="22505" spans="1:7" ht="58.5" customHeight="1" x14ac:dyDescent="0.25">
      <c r="A22505" s="5" t="str">
        <f>"H0022006"</f>
        <v>H0022006</v>
      </c>
      <c r="B22505" s="5" t="str">
        <f t="shared" si="1125"/>
        <v>ESTANTE CONSTRUIDOS EN LAMINAS METÁLICAS SOLIDAS, RESISTENTES Y ESTABLES CON TRATAMIENTO ANTICORROSIVO, CON 7 ENTREPAÑOS, DE 0.94 CMS DE ANCHO, CON ALTURA DE 2.20MTS Y CADA BANDEJA DEBE SOPORTAR UN PESO DE 100KG/MT LINEA</v>
      </c>
      <c r="C22505" s="6">
        <v>241999.98</v>
      </c>
      <c r="D22505" s="5" t="s">
        <v>499</v>
      </c>
      <c r="E22505" s="5" t="str">
        <f t="shared" si="1122"/>
        <v>ACTISALUD-ESTADISTICA</v>
      </c>
      <c r="F22505" s="5"/>
      <c r="G22505" s="5"/>
    </row>
    <row r="22506" spans="1:7" ht="58.5" customHeight="1" x14ac:dyDescent="0.25">
      <c r="A22506" s="5" t="str">
        <f>"H0022007"</f>
        <v>H0022007</v>
      </c>
      <c r="B22506" s="5" t="str">
        <f t="shared" si="1125"/>
        <v>ESTANTE CONSTRUIDOS EN LAMINAS METÁLICAS SOLIDAS, RESISTENTES Y ESTABLES CON TRATAMIENTO ANTICORROSIVO, CON 7 ENTREPAÑOS, DE 0.94 CMS DE ANCHO, CON ALTURA DE 2.20MTS Y CADA BANDEJA DEBE SOPORTAR UN PESO DE 100KG/MT LINEA</v>
      </c>
      <c r="C22506" s="6">
        <v>241999.98</v>
      </c>
      <c r="D22506" s="5" t="s">
        <v>499</v>
      </c>
      <c r="E22506" s="5" t="str">
        <f t="shared" si="1122"/>
        <v>ACTISALUD-ESTADISTICA</v>
      </c>
      <c r="F22506" s="5"/>
      <c r="G22506" s="5"/>
    </row>
    <row r="22507" spans="1:7" ht="58.5" customHeight="1" x14ac:dyDescent="0.25">
      <c r="A22507" s="5" t="str">
        <f>"H0022009"</f>
        <v>H0022009</v>
      </c>
      <c r="B22507" s="5" t="str">
        <f t="shared" si="1125"/>
        <v>ESTANTE CONSTRUIDOS EN LAMINAS METÁLICAS SOLIDAS, RESISTENTES Y ESTABLES CON TRATAMIENTO ANTICORROSIVO, CON 7 ENTREPAÑOS, DE 0.94 CMS DE ANCHO, CON ALTURA DE 2.20MTS Y CADA BANDEJA DEBE SOPORTAR UN PESO DE 100KG/MT LINEA</v>
      </c>
      <c r="C22507" s="6">
        <v>241999.98</v>
      </c>
      <c r="D22507" s="5" t="s">
        <v>499</v>
      </c>
      <c r="E22507" s="5" t="str">
        <f t="shared" si="1122"/>
        <v>ACTISALUD-ESTADISTICA</v>
      </c>
      <c r="F22507" s="5"/>
      <c r="G22507" s="5"/>
    </row>
    <row r="22508" spans="1:7" ht="58.5" customHeight="1" x14ac:dyDescent="0.25">
      <c r="A22508" s="5" t="str">
        <f>"H0022010"</f>
        <v>H0022010</v>
      </c>
      <c r="B22508" s="5" t="str">
        <f t="shared" si="1125"/>
        <v>ESTANTE CONSTRUIDOS EN LAMINAS METÁLICAS SOLIDAS, RESISTENTES Y ESTABLES CON TRATAMIENTO ANTICORROSIVO, CON 7 ENTREPAÑOS, DE 0.94 CMS DE ANCHO, CON ALTURA DE 2.20MTS Y CADA BANDEJA DEBE SOPORTAR UN PESO DE 100KG/MT LINEA</v>
      </c>
      <c r="C22508" s="6">
        <v>241999.98</v>
      </c>
      <c r="D22508" s="5" t="s">
        <v>810</v>
      </c>
      <c r="E22508" s="5" t="str">
        <f t="shared" si="1122"/>
        <v>ACTISALUD-ESTADISTICA</v>
      </c>
      <c r="F22508" s="5"/>
      <c r="G22508" s="5"/>
    </row>
    <row r="22509" spans="1:7" ht="58.5" customHeight="1" x14ac:dyDescent="0.25">
      <c r="A22509" s="5" t="str">
        <f>"H0022011"</f>
        <v>H0022011</v>
      </c>
      <c r="B22509" s="5" t="str">
        <f t="shared" si="1125"/>
        <v>ESTANTE CONSTRUIDOS EN LAMINAS METÁLICAS SOLIDAS, RESISTENTES Y ESTABLES CON TRATAMIENTO ANTICORROSIVO, CON 7 ENTREPAÑOS, DE 0.94 CMS DE ANCHO, CON ALTURA DE 2.20MTS Y CADA BANDEJA DEBE SOPORTAR UN PESO DE 100KG/MT LINEA</v>
      </c>
      <c r="C22509" s="6">
        <v>241999.98</v>
      </c>
      <c r="D22509" s="5" t="s">
        <v>499</v>
      </c>
      <c r="E22509" s="5" t="str">
        <f t="shared" si="1122"/>
        <v>ACTISALUD-ESTADISTICA</v>
      </c>
      <c r="F22509" s="5"/>
      <c r="G22509" s="5"/>
    </row>
    <row r="22510" spans="1:7" ht="58.5" customHeight="1" x14ac:dyDescent="0.25">
      <c r="A22510" s="5" t="str">
        <f>"H0022012"</f>
        <v>H0022012</v>
      </c>
      <c r="B22510" s="5" t="str">
        <f t="shared" si="1125"/>
        <v>ESTANTE CONSTRUIDOS EN LAMINAS METÁLICAS SOLIDAS, RESISTENTES Y ESTABLES CON TRATAMIENTO ANTICORROSIVO, CON 7 ENTREPAÑOS, DE 0.94 CMS DE ANCHO, CON ALTURA DE 2.20MTS Y CADA BANDEJA DEBE SOPORTAR UN PESO DE 100KG/MT LINEA</v>
      </c>
      <c r="C22510" s="6">
        <v>241999.98</v>
      </c>
      <c r="D22510" s="5" t="s">
        <v>499</v>
      </c>
      <c r="E22510" s="5" t="str">
        <f t="shared" si="1122"/>
        <v>ACTISALUD-ESTADISTICA</v>
      </c>
      <c r="F22510" s="5"/>
      <c r="G22510" s="5"/>
    </row>
    <row r="22511" spans="1:7" ht="58.5" customHeight="1" x14ac:dyDescent="0.25">
      <c r="A22511" s="5" t="str">
        <f>"H0022013"</f>
        <v>H0022013</v>
      </c>
      <c r="B22511" s="5" t="str">
        <f t="shared" si="1125"/>
        <v>ESTANTE CONSTRUIDOS EN LAMINAS METÁLICAS SOLIDAS, RESISTENTES Y ESTABLES CON TRATAMIENTO ANTICORROSIVO, CON 7 ENTREPAÑOS, DE 0.94 CMS DE ANCHO, CON ALTURA DE 2.20MTS Y CADA BANDEJA DEBE SOPORTAR UN PESO DE 100KG/MT LINEA</v>
      </c>
      <c r="C22511" s="6">
        <v>241999.98</v>
      </c>
      <c r="D22511" s="5" t="s">
        <v>499</v>
      </c>
      <c r="E22511" s="5" t="str">
        <f t="shared" si="1122"/>
        <v>ACTISALUD-ESTADISTICA</v>
      </c>
      <c r="F22511" s="5"/>
      <c r="G22511" s="5"/>
    </row>
    <row r="22512" spans="1:7" ht="58.5" customHeight="1" x14ac:dyDescent="0.25">
      <c r="A22512" s="5" t="str">
        <f>"H0022014"</f>
        <v>H0022014</v>
      </c>
      <c r="B22512" s="5" t="str">
        <f t="shared" si="1125"/>
        <v>ESTANTE CONSTRUIDOS EN LAMINAS METÁLICAS SOLIDAS, RESISTENTES Y ESTABLES CON TRATAMIENTO ANTICORROSIVO, CON 7 ENTREPAÑOS, DE 0.94 CMS DE ANCHO, CON ALTURA DE 2.20MTS Y CADA BANDEJA DEBE SOPORTAR UN PESO DE 100KG/MT LINEA</v>
      </c>
      <c r="C22512" s="6">
        <v>241999.98</v>
      </c>
      <c r="D22512" s="5" t="s">
        <v>499</v>
      </c>
      <c r="E22512" s="5" t="str">
        <f t="shared" si="1122"/>
        <v>ACTISALUD-ESTADISTICA</v>
      </c>
      <c r="F22512" s="5"/>
      <c r="G22512" s="5"/>
    </row>
    <row r="22513" spans="1:7" ht="58.5" customHeight="1" x14ac:dyDescent="0.25">
      <c r="A22513" s="5" t="str">
        <f>"H0022015"</f>
        <v>H0022015</v>
      </c>
      <c r="B22513" s="5" t="str">
        <f t="shared" si="1125"/>
        <v>ESTANTE CONSTRUIDOS EN LAMINAS METÁLICAS SOLIDAS, RESISTENTES Y ESTABLES CON TRATAMIENTO ANTICORROSIVO, CON 7 ENTREPAÑOS, DE 0.94 CMS DE ANCHO, CON ALTURA DE 2.20MTS Y CADA BANDEJA DEBE SOPORTAR UN PESO DE 100KG/MT LINEA</v>
      </c>
      <c r="C22513" s="6">
        <v>241999.98</v>
      </c>
      <c r="D22513" s="5" t="s">
        <v>499</v>
      </c>
      <c r="E22513" s="5" t="str">
        <f t="shared" si="1122"/>
        <v>ACTISALUD-ESTADISTICA</v>
      </c>
      <c r="F22513" s="5"/>
      <c r="G22513" s="5"/>
    </row>
    <row r="22514" spans="1:7" ht="58.5" customHeight="1" x14ac:dyDescent="0.25">
      <c r="A22514" s="5" t="str">
        <f>"H0022016"</f>
        <v>H0022016</v>
      </c>
      <c r="B22514" s="5" t="str">
        <f t="shared" si="1125"/>
        <v>ESTANTE CONSTRUIDOS EN LAMINAS METÁLICAS SOLIDAS, RESISTENTES Y ESTABLES CON TRATAMIENTO ANTICORROSIVO, CON 7 ENTREPAÑOS, DE 0.94 CMS DE ANCHO, CON ALTURA DE 2.20MTS Y CADA BANDEJA DEBE SOPORTAR UN PESO DE 100KG/MT LINEA</v>
      </c>
      <c r="C22514" s="6">
        <v>241999.98</v>
      </c>
      <c r="D22514" s="5" t="s">
        <v>499</v>
      </c>
      <c r="E22514" s="5" t="str">
        <f t="shared" si="1122"/>
        <v>ACTISALUD-ESTADISTICA</v>
      </c>
      <c r="F22514" s="5"/>
      <c r="G22514" s="5"/>
    </row>
    <row r="22515" spans="1:7" ht="58.5" customHeight="1" x14ac:dyDescent="0.25">
      <c r="A22515" s="5" t="str">
        <f>"H0022017"</f>
        <v>H0022017</v>
      </c>
      <c r="B22515" s="5" t="str">
        <f t="shared" si="1125"/>
        <v>ESTANTE CONSTRUIDOS EN LAMINAS METÁLICAS SOLIDAS, RESISTENTES Y ESTABLES CON TRATAMIENTO ANTICORROSIVO, CON 7 ENTREPAÑOS, DE 0.94 CMS DE ANCHO, CON ALTURA DE 2.20MTS Y CADA BANDEJA DEBE SOPORTAR UN PESO DE 100KG/MT LINEA</v>
      </c>
      <c r="C22515" s="6">
        <v>241999.98</v>
      </c>
      <c r="D22515" s="5" t="s">
        <v>499</v>
      </c>
      <c r="E22515" s="5" t="str">
        <f t="shared" si="1122"/>
        <v>ACTISALUD-ESTADISTICA</v>
      </c>
      <c r="F22515" s="5"/>
      <c r="G22515" s="5"/>
    </row>
    <row r="22516" spans="1:7" ht="58.5" customHeight="1" x14ac:dyDescent="0.25">
      <c r="A22516" s="5" t="str">
        <f>"H0022018"</f>
        <v>H0022018</v>
      </c>
      <c r="B22516" s="5" t="str">
        <f t="shared" si="1125"/>
        <v>ESTANTE CONSTRUIDOS EN LAMINAS METÁLICAS SOLIDAS, RESISTENTES Y ESTABLES CON TRATAMIENTO ANTICORROSIVO, CON 7 ENTREPAÑOS, DE 0.94 CMS DE ANCHO, CON ALTURA DE 2.20MTS Y CADA BANDEJA DEBE SOPORTAR UN PESO DE 100KG/MT LINEA</v>
      </c>
      <c r="C22516" s="6">
        <v>241999.98</v>
      </c>
      <c r="D22516" s="5" t="s">
        <v>499</v>
      </c>
      <c r="E22516" s="5" t="str">
        <f t="shared" si="1122"/>
        <v>ACTISALUD-ESTADISTICA</v>
      </c>
      <c r="F22516" s="5"/>
      <c r="G22516" s="5"/>
    </row>
    <row r="22517" spans="1:7" ht="58.5" customHeight="1" x14ac:dyDescent="0.25">
      <c r="A22517" s="5" t="str">
        <f>"H0022019"</f>
        <v>H0022019</v>
      </c>
      <c r="B22517" s="5" t="str">
        <f t="shared" si="1125"/>
        <v>ESTANTE CONSTRUIDOS EN LAMINAS METÁLICAS SOLIDAS, RESISTENTES Y ESTABLES CON TRATAMIENTO ANTICORROSIVO, CON 7 ENTREPAÑOS, DE 0.94 CMS DE ANCHO, CON ALTURA DE 2.20MTS Y CADA BANDEJA DEBE SOPORTAR UN PESO DE 100KG/MT LINEA</v>
      </c>
      <c r="C22517" s="6">
        <v>241999.98</v>
      </c>
      <c r="D22517" s="5" t="s">
        <v>902</v>
      </c>
      <c r="E22517" s="5" t="str">
        <f t="shared" si="1122"/>
        <v>ACTISALUD-ESTADISTICA</v>
      </c>
      <c r="F22517" s="5"/>
      <c r="G22517" s="5"/>
    </row>
    <row r="22518" spans="1:7" ht="58.5" customHeight="1" x14ac:dyDescent="0.25">
      <c r="A22518" s="5" t="str">
        <f>"H0022020"</f>
        <v>H0022020</v>
      </c>
      <c r="B22518" s="5" t="str">
        <f t="shared" si="1125"/>
        <v>ESTANTE CONSTRUIDOS EN LAMINAS METÁLICAS SOLIDAS, RESISTENTES Y ESTABLES CON TRATAMIENTO ANTICORROSIVO, CON 7 ENTREPAÑOS, DE 0.94 CMS DE ANCHO, CON ALTURA DE 2.20MTS Y CADA BANDEJA DEBE SOPORTAR UN PESO DE 100KG/MT LINEA</v>
      </c>
      <c r="C22518" s="6">
        <v>241999.98</v>
      </c>
      <c r="D22518" s="5" t="s">
        <v>810</v>
      </c>
      <c r="E22518" s="5" t="str">
        <f t="shared" ref="E22518:E22581" si="1126">"ACTISALUD-ESTADISTICA"</f>
        <v>ACTISALUD-ESTADISTICA</v>
      </c>
      <c r="F22518" s="5"/>
      <c r="G22518" s="5"/>
    </row>
    <row r="22519" spans="1:7" ht="58.5" customHeight="1" x14ac:dyDescent="0.25">
      <c r="A22519" s="5" t="str">
        <f>"H0022151"</f>
        <v>H0022151</v>
      </c>
      <c r="B22519" s="5" t="str">
        <f t="shared" si="1125"/>
        <v>ESTANTE CONSTRUIDOS EN LAMINAS METÁLICAS SOLIDAS, RESISTENTES Y ESTABLES CON TRATAMIENTO ANTICORROSIVO, CON 7 ENTREPAÑOS, DE 0.94 CMS DE ANCHO, CON ALTURA DE 2.20MTS Y CADA BANDEJA DEBE SOPORTAR UN PESO DE 100KG/MT LINEA</v>
      </c>
      <c r="C22519" s="6">
        <v>241999.99</v>
      </c>
      <c r="D22519" s="5" t="s">
        <v>902</v>
      </c>
      <c r="E22519" s="5" t="str">
        <f t="shared" si="1126"/>
        <v>ACTISALUD-ESTADISTICA</v>
      </c>
      <c r="F22519" s="5"/>
      <c r="G22519" s="5"/>
    </row>
    <row r="22520" spans="1:7" ht="58.5" customHeight="1" x14ac:dyDescent="0.25">
      <c r="A22520" s="5" t="str">
        <f>"H0022152"</f>
        <v>H0022152</v>
      </c>
      <c r="B22520" s="5" t="str">
        <f t="shared" si="1125"/>
        <v>ESTANTE CONSTRUIDOS EN LAMINAS METÁLICAS SOLIDAS, RESISTENTES Y ESTABLES CON TRATAMIENTO ANTICORROSIVO, CON 7 ENTREPAÑOS, DE 0.94 CMS DE ANCHO, CON ALTURA DE 2.20MTS Y CADA BANDEJA DEBE SOPORTAR UN PESO DE 100KG/MT LINEA</v>
      </c>
      <c r="C22520" s="6">
        <v>241999.99</v>
      </c>
      <c r="D22520" s="5" t="s">
        <v>499</v>
      </c>
      <c r="E22520" s="5" t="str">
        <f t="shared" si="1126"/>
        <v>ACTISALUD-ESTADISTICA</v>
      </c>
      <c r="F22520" s="5"/>
      <c r="G22520" s="5"/>
    </row>
    <row r="22521" spans="1:7" ht="58.5" customHeight="1" x14ac:dyDescent="0.25">
      <c r="A22521" s="5" t="str">
        <f>"H0022153"</f>
        <v>H0022153</v>
      </c>
      <c r="B22521" s="5" t="str">
        <f t="shared" si="1125"/>
        <v>ESTANTE CONSTRUIDOS EN LAMINAS METÁLICAS SOLIDAS, RESISTENTES Y ESTABLES CON TRATAMIENTO ANTICORROSIVO, CON 7 ENTREPAÑOS, DE 0.94 CMS DE ANCHO, CON ALTURA DE 2.20MTS Y CADA BANDEJA DEBE SOPORTAR UN PESO DE 100KG/MT LINEA</v>
      </c>
      <c r="C22521" s="6">
        <v>241999.99</v>
      </c>
      <c r="D22521" s="5" t="s">
        <v>499</v>
      </c>
      <c r="E22521" s="5" t="str">
        <f t="shared" si="1126"/>
        <v>ACTISALUD-ESTADISTICA</v>
      </c>
      <c r="F22521" s="5"/>
      <c r="G22521" s="5"/>
    </row>
    <row r="22522" spans="1:7" ht="58.5" customHeight="1" x14ac:dyDescent="0.25">
      <c r="A22522" s="5" t="str">
        <f>"H0022154"</f>
        <v>H0022154</v>
      </c>
      <c r="B22522" s="5" t="str">
        <f t="shared" si="1125"/>
        <v>ESTANTE CONSTRUIDOS EN LAMINAS METÁLICAS SOLIDAS, RESISTENTES Y ESTABLES CON TRATAMIENTO ANTICORROSIVO, CON 7 ENTREPAÑOS, DE 0.94 CMS DE ANCHO, CON ALTURA DE 2.20MTS Y CADA BANDEJA DEBE SOPORTAR UN PESO DE 100KG/MT LINEA</v>
      </c>
      <c r="C22522" s="6">
        <v>241999.99</v>
      </c>
      <c r="D22522" s="5" t="s">
        <v>499</v>
      </c>
      <c r="E22522" s="5" t="str">
        <f t="shared" si="1126"/>
        <v>ACTISALUD-ESTADISTICA</v>
      </c>
      <c r="F22522" s="5"/>
      <c r="G22522" s="5"/>
    </row>
    <row r="22523" spans="1:7" ht="58.5" customHeight="1" x14ac:dyDescent="0.25">
      <c r="A22523" s="5" t="str">
        <f>"H0022155"</f>
        <v>H0022155</v>
      </c>
      <c r="B22523" s="5" t="str">
        <f t="shared" si="1125"/>
        <v>ESTANTE CONSTRUIDOS EN LAMINAS METÁLICAS SOLIDAS, RESISTENTES Y ESTABLES CON TRATAMIENTO ANTICORROSIVO, CON 7 ENTREPAÑOS, DE 0.94 CMS DE ANCHO, CON ALTURA DE 2.20MTS Y CADA BANDEJA DEBE SOPORTAR UN PESO DE 100KG/MT LINEA</v>
      </c>
      <c r="C22523" s="6">
        <v>241999.99</v>
      </c>
      <c r="D22523" s="5" t="s">
        <v>499</v>
      </c>
      <c r="E22523" s="5" t="str">
        <f t="shared" si="1126"/>
        <v>ACTISALUD-ESTADISTICA</v>
      </c>
      <c r="F22523" s="5"/>
      <c r="G22523" s="5"/>
    </row>
    <row r="22524" spans="1:7" ht="58.5" customHeight="1" x14ac:dyDescent="0.25">
      <c r="A22524" s="5" t="str">
        <f>"H0022156"</f>
        <v>H0022156</v>
      </c>
      <c r="B22524" s="5" t="str">
        <f t="shared" si="1125"/>
        <v>ESTANTE CONSTRUIDOS EN LAMINAS METÁLICAS SOLIDAS, RESISTENTES Y ESTABLES CON TRATAMIENTO ANTICORROSIVO, CON 7 ENTREPAÑOS, DE 0.94 CMS DE ANCHO, CON ALTURA DE 2.20MTS Y CADA BANDEJA DEBE SOPORTAR UN PESO DE 100KG/MT LINEA</v>
      </c>
      <c r="C22524" s="6">
        <v>241999.99</v>
      </c>
      <c r="D22524" s="5" t="s">
        <v>499</v>
      </c>
      <c r="E22524" s="5" t="str">
        <f t="shared" si="1126"/>
        <v>ACTISALUD-ESTADISTICA</v>
      </c>
      <c r="F22524" s="5"/>
      <c r="G22524" s="5"/>
    </row>
    <row r="22525" spans="1:7" ht="58.5" customHeight="1" x14ac:dyDescent="0.25">
      <c r="A22525" s="5" t="str">
        <f>"H0022157"</f>
        <v>H0022157</v>
      </c>
      <c r="B22525" s="5" t="str">
        <f t="shared" si="1125"/>
        <v>ESTANTE CONSTRUIDOS EN LAMINAS METÁLICAS SOLIDAS, RESISTENTES Y ESTABLES CON TRATAMIENTO ANTICORROSIVO, CON 7 ENTREPAÑOS, DE 0.94 CMS DE ANCHO, CON ALTURA DE 2.20MTS Y CADA BANDEJA DEBE SOPORTAR UN PESO DE 100KG/MT LINEA</v>
      </c>
      <c r="C22525" s="6">
        <v>241999.99</v>
      </c>
      <c r="D22525" s="5" t="s">
        <v>499</v>
      </c>
      <c r="E22525" s="5" t="str">
        <f t="shared" si="1126"/>
        <v>ACTISALUD-ESTADISTICA</v>
      </c>
      <c r="F22525" s="5"/>
      <c r="G22525" s="5"/>
    </row>
    <row r="22526" spans="1:7" ht="58.5" customHeight="1" x14ac:dyDescent="0.25">
      <c r="A22526" s="5" t="str">
        <f>"H0022158"</f>
        <v>H0022158</v>
      </c>
      <c r="B22526" s="5" t="str">
        <f t="shared" si="1125"/>
        <v>ESTANTE CONSTRUIDOS EN LAMINAS METÁLICAS SOLIDAS, RESISTENTES Y ESTABLES CON TRATAMIENTO ANTICORROSIVO, CON 7 ENTREPAÑOS, DE 0.94 CMS DE ANCHO, CON ALTURA DE 2.20MTS Y CADA BANDEJA DEBE SOPORTAR UN PESO DE 100KG/MT LINEA</v>
      </c>
      <c r="C22526" s="6">
        <v>241999.99</v>
      </c>
      <c r="D22526" s="5" t="s">
        <v>499</v>
      </c>
      <c r="E22526" s="5" t="str">
        <f t="shared" si="1126"/>
        <v>ACTISALUD-ESTADISTICA</v>
      </c>
      <c r="F22526" s="5"/>
      <c r="G22526" s="5"/>
    </row>
    <row r="22527" spans="1:7" ht="58.5" customHeight="1" x14ac:dyDescent="0.25">
      <c r="A22527" s="5" t="str">
        <f>"H0022159"</f>
        <v>H0022159</v>
      </c>
      <c r="B22527" s="5" t="str">
        <f t="shared" si="1125"/>
        <v>ESTANTE CONSTRUIDOS EN LAMINAS METÁLICAS SOLIDAS, RESISTENTES Y ESTABLES CON TRATAMIENTO ANTICORROSIVO, CON 7 ENTREPAÑOS, DE 0.94 CMS DE ANCHO, CON ALTURA DE 2.20MTS Y CADA BANDEJA DEBE SOPORTAR UN PESO DE 100KG/MT LINEA</v>
      </c>
      <c r="C22527" s="6">
        <v>241999.99</v>
      </c>
      <c r="D22527" s="5" t="s">
        <v>499</v>
      </c>
      <c r="E22527" s="5" t="str">
        <f t="shared" si="1126"/>
        <v>ACTISALUD-ESTADISTICA</v>
      </c>
      <c r="F22527" s="5"/>
      <c r="G22527" s="5"/>
    </row>
    <row r="22528" spans="1:7" ht="58.5" customHeight="1" x14ac:dyDescent="0.25">
      <c r="A22528" s="5" t="str">
        <f>"H0022160"</f>
        <v>H0022160</v>
      </c>
      <c r="B22528" s="5" t="str">
        <f t="shared" si="1125"/>
        <v>ESTANTE CONSTRUIDOS EN LAMINAS METÁLICAS SOLIDAS, RESISTENTES Y ESTABLES CON TRATAMIENTO ANTICORROSIVO, CON 7 ENTREPAÑOS, DE 0.94 CMS DE ANCHO, CON ALTURA DE 2.20MTS Y CADA BANDEJA DEBE SOPORTAR UN PESO DE 100KG/MT LINEA</v>
      </c>
      <c r="C22528" s="6">
        <v>241999.99</v>
      </c>
      <c r="D22528" s="5" t="s">
        <v>499</v>
      </c>
      <c r="E22528" s="5" t="str">
        <f t="shared" si="1126"/>
        <v>ACTISALUD-ESTADISTICA</v>
      </c>
      <c r="F22528" s="5"/>
      <c r="G22528" s="5"/>
    </row>
    <row r="22529" spans="1:7" ht="58.5" customHeight="1" x14ac:dyDescent="0.25">
      <c r="A22529" s="5" t="str">
        <f>"H0022161"</f>
        <v>H0022161</v>
      </c>
      <c r="B22529" s="5" t="str">
        <f t="shared" si="1125"/>
        <v>ESTANTE CONSTRUIDOS EN LAMINAS METÁLICAS SOLIDAS, RESISTENTES Y ESTABLES CON TRATAMIENTO ANTICORROSIVO, CON 7 ENTREPAÑOS, DE 0.94 CMS DE ANCHO, CON ALTURA DE 2.20MTS Y CADA BANDEJA DEBE SOPORTAR UN PESO DE 100KG/MT LINEA</v>
      </c>
      <c r="C22529" s="6">
        <v>241999.99</v>
      </c>
      <c r="D22529" s="5" t="s">
        <v>499</v>
      </c>
      <c r="E22529" s="5" t="str">
        <f t="shared" si="1126"/>
        <v>ACTISALUD-ESTADISTICA</v>
      </c>
      <c r="F22529" s="5"/>
      <c r="G22529" s="5"/>
    </row>
    <row r="22530" spans="1:7" ht="58.5" customHeight="1" x14ac:dyDescent="0.25">
      <c r="A22530" s="5" t="str">
        <f>"H0022162"</f>
        <v>H0022162</v>
      </c>
      <c r="B22530" s="5" t="str">
        <f t="shared" si="1125"/>
        <v>ESTANTE CONSTRUIDOS EN LAMINAS METÁLICAS SOLIDAS, RESISTENTES Y ESTABLES CON TRATAMIENTO ANTICORROSIVO, CON 7 ENTREPAÑOS, DE 0.94 CMS DE ANCHO, CON ALTURA DE 2.20MTS Y CADA BANDEJA DEBE SOPORTAR UN PESO DE 100KG/MT LINEA</v>
      </c>
      <c r="C22530" s="6">
        <v>241999.99</v>
      </c>
      <c r="D22530" s="5" t="s">
        <v>499</v>
      </c>
      <c r="E22530" s="5" t="str">
        <f t="shared" si="1126"/>
        <v>ACTISALUD-ESTADISTICA</v>
      </c>
      <c r="F22530" s="5"/>
      <c r="G22530" s="5"/>
    </row>
    <row r="22531" spans="1:7" ht="58.5" customHeight="1" x14ac:dyDescent="0.25">
      <c r="A22531" s="5" t="str">
        <f>"H0022163"</f>
        <v>H0022163</v>
      </c>
      <c r="B22531" s="5" t="str">
        <f t="shared" si="1125"/>
        <v>ESTANTE CONSTRUIDOS EN LAMINAS METÁLICAS SOLIDAS, RESISTENTES Y ESTABLES CON TRATAMIENTO ANTICORROSIVO, CON 7 ENTREPAÑOS, DE 0.94 CMS DE ANCHO, CON ALTURA DE 2.20MTS Y CADA BANDEJA DEBE SOPORTAR UN PESO DE 100KG/MT LINEA</v>
      </c>
      <c r="C22531" s="6">
        <v>241999.99</v>
      </c>
      <c r="D22531" s="5" t="s">
        <v>499</v>
      </c>
      <c r="E22531" s="5" t="str">
        <f t="shared" si="1126"/>
        <v>ACTISALUD-ESTADISTICA</v>
      </c>
      <c r="F22531" s="5"/>
      <c r="G22531" s="5"/>
    </row>
    <row r="22532" spans="1:7" ht="58.5" customHeight="1" x14ac:dyDescent="0.25">
      <c r="A22532" s="5" t="str">
        <f>"H0022165"</f>
        <v>H0022165</v>
      </c>
      <c r="B22532" s="5" t="str">
        <f t="shared" si="1125"/>
        <v>ESTANTE CONSTRUIDOS EN LAMINAS METÁLICAS SOLIDAS, RESISTENTES Y ESTABLES CON TRATAMIENTO ANTICORROSIVO, CON 7 ENTREPAÑOS, DE 0.94 CMS DE ANCHO, CON ALTURA DE 2.20MTS Y CADA BANDEJA DEBE SOPORTAR UN PESO DE 100KG/MT LINEA</v>
      </c>
      <c r="C22532" s="6">
        <v>241999.99</v>
      </c>
      <c r="D22532" s="5" t="s">
        <v>499</v>
      </c>
      <c r="E22532" s="5" t="str">
        <f t="shared" si="1126"/>
        <v>ACTISALUD-ESTADISTICA</v>
      </c>
      <c r="F22532" s="5"/>
      <c r="G22532" s="5"/>
    </row>
    <row r="22533" spans="1:7" ht="58.5" customHeight="1" x14ac:dyDescent="0.25">
      <c r="A22533" s="5" t="str">
        <f>"H0022166"</f>
        <v>H0022166</v>
      </c>
      <c r="B22533" s="5" t="str">
        <f t="shared" ref="B22533:B22564" si="112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533" s="6">
        <v>241999.99</v>
      </c>
      <c r="D22533" s="5" t="s">
        <v>499</v>
      </c>
      <c r="E22533" s="5" t="str">
        <f t="shared" si="1126"/>
        <v>ACTISALUD-ESTADISTICA</v>
      </c>
      <c r="F22533" s="5"/>
      <c r="G22533" s="5"/>
    </row>
    <row r="22534" spans="1:7" ht="58.5" customHeight="1" x14ac:dyDescent="0.25">
      <c r="A22534" s="5" t="str">
        <f>"H0022167"</f>
        <v>H0022167</v>
      </c>
      <c r="B22534" s="5" t="str">
        <f t="shared" si="1127"/>
        <v>ESTANTE CONSTRUIDOS EN LAMINAS METÁLICAS SOLIDAS, RESISTENTES Y ESTABLES CON TRATAMIENTO ANTICORROSIVO, CON 7 ENTREPAÑOS, DE 0.94 CMS DE ANCHO, CON ALTURA DE 2.20MTS Y CADA BANDEJA DEBE SOPORTAR UN PESO DE 100KG/MT LINEA</v>
      </c>
      <c r="C22534" s="6">
        <v>241999.99</v>
      </c>
      <c r="D22534" s="5" t="s">
        <v>499</v>
      </c>
      <c r="E22534" s="5" t="str">
        <f t="shared" si="1126"/>
        <v>ACTISALUD-ESTADISTICA</v>
      </c>
      <c r="F22534" s="5"/>
      <c r="G22534" s="5"/>
    </row>
    <row r="22535" spans="1:7" ht="58.5" customHeight="1" x14ac:dyDescent="0.25">
      <c r="A22535" s="5" t="str">
        <f>"H0022168"</f>
        <v>H0022168</v>
      </c>
      <c r="B22535" s="5" t="str">
        <f t="shared" si="1127"/>
        <v>ESTANTE CONSTRUIDOS EN LAMINAS METÁLICAS SOLIDAS, RESISTENTES Y ESTABLES CON TRATAMIENTO ANTICORROSIVO, CON 7 ENTREPAÑOS, DE 0.94 CMS DE ANCHO, CON ALTURA DE 2.20MTS Y CADA BANDEJA DEBE SOPORTAR UN PESO DE 100KG/MT LINEA</v>
      </c>
      <c r="C22535" s="6">
        <v>241999.99</v>
      </c>
      <c r="D22535" s="5" t="s">
        <v>499</v>
      </c>
      <c r="E22535" s="5" t="str">
        <f t="shared" si="1126"/>
        <v>ACTISALUD-ESTADISTICA</v>
      </c>
      <c r="F22535" s="5"/>
      <c r="G22535" s="5"/>
    </row>
    <row r="22536" spans="1:7" ht="58.5" customHeight="1" x14ac:dyDescent="0.25">
      <c r="A22536" s="5" t="str">
        <f>"H0022169"</f>
        <v>H0022169</v>
      </c>
      <c r="B22536" s="5" t="str">
        <f t="shared" si="1127"/>
        <v>ESTANTE CONSTRUIDOS EN LAMINAS METÁLICAS SOLIDAS, RESISTENTES Y ESTABLES CON TRATAMIENTO ANTICORROSIVO, CON 7 ENTREPAÑOS, DE 0.94 CMS DE ANCHO, CON ALTURA DE 2.20MTS Y CADA BANDEJA DEBE SOPORTAR UN PESO DE 100KG/MT LINEA</v>
      </c>
      <c r="C22536" s="6">
        <v>241999.99</v>
      </c>
      <c r="D22536" s="5" t="s">
        <v>499</v>
      </c>
      <c r="E22536" s="5" t="str">
        <f t="shared" si="1126"/>
        <v>ACTISALUD-ESTADISTICA</v>
      </c>
      <c r="F22536" s="5"/>
      <c r="G22536" s="5"/>
    </row>
    <row r="22537" spans="1:7" ht="58.5" customHeight="1" x14ac:dyDescent="0.25">
      <c r="A22537" s="5" t="str">
        <f>"H0022172"</f>
        <v>H0022172</v>
      </c>
      <c r="B22537" s="5" t="str">
        <f t="shared" si="1127"/>
        <v>ESTANTE CONSTRUIDOS EN LAMINAS METÁLICAS SOLIDAS, RESISTENTES Y ESTABLES CON TRATAMIENTO ANTICORROSIVO, CON 7 ENTREPAÑOS, DE 0.94 CMS DE ANCHO, CON ALTURA DE 2.20MTS Y CADA BANDEJA DEBE SOPORTAR UN PESO DE 100KG/MT LINEA</v>
      </c>
      <c r="C22537" s="6">
        <v>241999.99</v>
      </c>
      <c r="D22537" s="5" t="s">
        <v>499</v>
      </c>
      <c r="E22537" s="5" t="str">
        <f t="shared" si="1126"/>
        <v>ACTISALUD-ESTADISTICA</v>
      </c>
      <c r="F22537" s="5"/>
      <c r="G22537" s="5"/>
    </row>
    <row r="22538" spans="1:7" ht="58.5" customHeight="1" x14ac:dyDescent="0.25">
      <c r="A22538" s="5" t="str">
        <f>"H0022173"</f>
        <v>H0022173</v>
      </c>
      <c r="B22538" s="5" t="str">
        <f t="shared" si="1127"/>
        <v>ESTANTE CONSTRUIDOS EN LAMINAS METÁLICAS SOLIDAS, RESISTENTES Y ESTABLES CON TRATAMIENTO ANTICORROSIVO, CON 7 ENTREPAÑOS, DE 0.94 CMS DE ANCHO, CON ALTURA DE 2.20MTS Y CADA BANDEJA DEBE SOPORTAR UN PESO DE 100KG/MT LINEA</v>
      </c>
      <c r="C22538" s="6">
        <v>241999.99</v>
      </c>
      <c r="D22538" s="5" t="s">
        <v>499</v>
      </c>
      <c r="E22538" s="5" t="str">
        <f t="shared" si="1126"/>
        <v>ACTISALUD-ESTADISTICA</v>
      </c>
      <c r="F22538" s="5"/>
      <c r="G22538" s="5"/>
    </row>
    <row r="22539" spans="1:7" ht="58.5" customHeight="1" x14ac:dyDescent="0.25">
      <c r="A22539" s="5" t="str">
        <f>"H0022174"</f>
        <v>H0022174</v>
      </c>
      <c r="B22539" s="5" t="str">
        <f t="shared" si="1127"/>
        <v>ESTANTE CONSTRUIDOS EN LAMINAS METÁLICAS SOLIDAS, RESISTENTES Y ESTABLES CON TRATAMIENTO ANTICORROSIVO, CON 7 ENTREPAÑOS, DE 0.94 CMS DE ANCHO, CON ALTURA DE 2.20MTS Y CADA BANDEJA DEBE SOPORTAR UN PESO DE 100KG/MT LINEA</v>
      </c>
      <c r="C22539" s="6">
        <v>241999.99</v>
      </c>
      <c r="D22539" s="5" t="s">
        <v>499</v>
      </c>
      <c r="E22539" s="5" t="str">
        <f t="shared" si="1126"/>
        <v>ACTISALUD-ESTADISTICA</v>
      </c>
      <c r="F22539" s="5"/>
      <c r="G22539" s="5"/>
    </row>
    <row r="22540" spans="1:7" ht="58.5" customHeight="1" x14ac:dyDescent="0.25">
      <c r="A22540" s="5" t="str">
        <f>"H0022176"</f>
        <v>H0022176</v>
      </c>
      <c r="B22540" s="5" t="str">
        <f t="shared" si="1127"/>
        <v>ESTANTE CONSTRUIDOS EN LAMINAS METÁLICAS SOLIDAS, RESISTENTES Y ESTABLES CON TRATAMIENTO ANTICORROSIVO, CON 7 ENTREPAÑOS, DE 0.94 CMS DE ANCHO, CON ALTURA DE 2.20MTS Y CADA BANDEJA DEBE SOPORTAR UN PESO DE 100KG/MT LINEA</v>
      </c>
      <c r="C22540" s="6">
        <v>241999.99</v>
      </c>
      <c r="D22540" s="5" t="s">
        <v>902</v>
      </c>
      <c r="E22540" s="5" t="str">
        <f t="shared" si="1126"/>
        <v>ACTISALUD-ESTADISTICA</v>
      </c>
      <c r="F22540" s="5"/>
      <c r="G22540" s="5"/>
    </row>
    <row r="22541" spans="1:7" ht="58.5" customHeight="1" x14ac:dyDescent="0.25">
      <c r="A22541" s="5" t="str">
        <f>"H0022177"</f>
        <v>H0022177</v>
      </c>
      <c r="B22541" s="5" t="str">
        <f t="shared" si="1127"/>
        <v>ESTANTE CONSTRUIDOS EN LAMINAS METÁLICAS SOLIDAS, RESISTENTES Y ESTABLES CON TRATAMIENTO ANTICORROSIVO, CON 7 ENTREPAÑOS, DE 0.94 CMS DE ANCHO, CON ALTURA DE 2.20MTS Y CADA BANDEJA DEBE SOPORTAR UN PESO DE 100KG/MT LINEA</v>
      </c>
      <c r="C22541" s="6">
        <v>241999.99</v>
      </c>
      <c r="D22541" s="5" t="s">
        <v>810</v>
      </c>
      <c r="E22541" s="5" t="str">
        <f t="shared" si="1126"/>
        <v>ACTISALUD-ESTADISTICA</v>
      </c>
      <c r="F22541" s="5"/>
      <c r="G22541" s="5"/>
    </row>
    <row r="22542" spans="1:7" ht="58.5" customHeight="1" x14ac:dyDescent="0.25">
      <c r="A22542" s="5" t="str">
        <f>"H0022178"</f>
        <v>H0022178</v>
      </c>
      <c r="B22542" s="5" t="str">
        <f t="shared" si="1127"/>
        <v>ESTANTE CONSTRUIDOS EN LAMINAS METÁLICAS SOLIDAS, RESISTENTES Y ESTABLES CON TRATAMIENTO ANTICORROSIVO, CON 7 ENTREPAÑOS, DE 0.94 CMS DE ANCHO, CON ALTURA DE 2.20MTS Y CADA BANDEJA DEBE SOPORTAR UN PESO DE 100KG/MT LINEA</v>
      </c>
      <c r="C22542" s="6">
        <v>241999.99</v>
      </c>
      <c r="D22542" s="5" t="s">
        <v>499</v>
      </c>
      <c r="E22542" s="5" t="str">
        <f t="shared" si="1126"/>
        <v>ACTISALUD-ESTADISTICA</v>
      </c>
      <c r="F22542" s="5"/>
      <c r="G22542" s="5"/>
    </row>
    <row r="22543" spans="1:7" ht="58.5" customHeight="1" x14ac:dyDescent="0.25">
      <c r="A22543" s="5" t="str">
        <f>"H0022179"</f>
        <v>H0022179</v>
      </c>
      <c r="B22543" s="5" t="str">
        <f t="shared" si="1127"/>
        <v>ESTANTE CONSTRUIDOS EN LAMINAS METÁLICAS SOLIDAS, RESISTENTES Y ESTABLES CON TRATAMIENTO ANTICORROSIVO, CON 7 ENTREPAÑOS, DE 0.94 CMS DE ANCHO, CON ALTURA DE 2.20MTS Y CADA BANDEJA DEBE SOPORTAR UN PESO DE 100KG/MT LINEA</v>
      </c>
      <c r="C22543" s="6">
        <v>241999.99</v>
      </c>
      <c r="D22543" s="5" t="s">
        <v>499</v>
      </c>
      <c r="E22543" s="5" t="str">
        <f t="shared" si="1126"/>
        <v>ACTISALUD-ESTADISTICA</v>
      </c>
      <c r="F22543" s="5"/>
      <c r="G22543" s="5"/>
    </row>
    <row r="22544" spans="1:7" ht="58.5" customHeight="1" x14ac:dyDescent="0.25">
      <c r="A22544" s="5" t="str">
        <f>"H0022181"</f>
        <v>H0022181</v>
      </c>
      <c r="B22544" s="5" t="str">
        <f t="shared" si="1127"/>
        <v>ESTANTE CONSTRUIDOS EN LAMINAS METÁLICAS SOLIDAS, RESISTENTES Y ESTABLES CON TRATAMIENTO ANTICORROSIVO, CON 7 ENTREPAÑOS, DE 0.94 CMS DE ANCHO, CON ALTURA DE 2.20MTS Y CADA BANDEJA DEBE SOPORTAR UN PESO DE 100KG/MT LINEA</v>
      </c>
      <c r="C22544" s="6">
        <v>241999.99</v>
      </c>
      <c r="D22544" s="5" t="s">
        <v>499</v>
      </c>
      <c r="E22544" s="5" t="str">
        <f t="shared" si="1126"/>
        <v>ACTISALUD-ESTADISTICA</v>
      </c>
      <c r="F22544" s="5"/>
      <c r="G22544" s="5"/>
    </row>
    <row r="22545" spans="1:7" ht="58.5" customHeight="1" x14ac:dyDescent="0.25">
      <c r="A22545" s="5" t="str">
        <f>"H0022182"</f>
        <v>H0022182</v>
      </c>
      <c r="B22545" s="5" t="str">
        <f t="shared" si="1127"/>
        <v>ESTANTE CONSTRUIDOS EN LAMINAS METÁLICAS SOLIDAS, RESISTENTES Y ESTABLES CON TRATAMIENTO ANTICORROSIVO, CON 7 ENTREPAÑOS, DE 0.94 CMS DE ANCHO, CON ALTURA DE 2.20MTS Y CADA BANDEJA DEBE SOPORTAR UN PESO DE 100KG/MT LINEA</v>
      </c>
      <c r="C22545" s="6">
        <v>241999.99</v>
      </c>
      <c r="D22545" s="5" t="s">
        <v>499</v>
      </c>
      <c r="E22545" s="5" t="str">
        <f t="shared" si="1126"/>
        <v>ACTISALUD-ESTADISTICA</v>
      </c>
      <c r="F22545" s="5"/>
      <c r="G22545" s="5"/>
    </row>
    <row r="22546" spans="1:7" ht="58.5" customHeight="1" x14ac:dyDescent="0.25">
      <c r="A22546" s="5" t="str">
        <f>"H0022183"</f>
        <v>H0022183</v>
      </c>
      <c r="B22546" s="5" t="str">
        <f t="shared" si="1127"/>
        <v>ESTANTE CONSTRUIDOS EN LAMINAS METÁLICAS SOLIDAS, RESISTENTES Y ESTABLES CON TRATAMIENTO ANTICORROSIVO, CON 7 ENTREPAÑOS, DE 0.94 CMS DE ANCHO, CON ALTURA DE 2.20MTS Y CADA BANDEJA DEBE SOPORTAR UN PESO DE 100KG/MT LINEA</v>
      </c>
      <c r="C22546" s="6">
        <v>241999.99</v>
      </c>
      <c r="D22546" s="5" t="s">
        <v>499</v>
      </c>
      <c r="E22546" s="5" t="str">
        <f t="shared" si="1126"/>
        <v>ACTISALUD-ESTADISTICA</v>
      </c>
      <c r="F22546" s="5"/>
      <c r="G22546" s="5"/>
    </row>
    <row r="22547" spans="1:7" ht="58.5" customHeight="1" x14ac:dyDescent="0.25">
      <c r="A22547" s="5" t="str">
        <f>"H0022184"</f>
        <v>H0022184</v>
      </c>
      <c r="B22547" s="5" t="str">
        <f t="shared" si="1127"/>
        <v>ESTANTE CONSTRUIDOS EN LAMINAS METÁLICAS SOLIDAS, RESISTENTES Y ESTABLES CON TRATAMIENTO ANTICORROSIVO, CON 7 ENTREPAÑOS, DE 0.94 CMS DE ANCHO, CON ALTURA DE 2.20MTS Y CADA BANDEJA DEBE SOPORTAR UN PESO DE 100KG/MT LINEA</v>
      </c>
      <c r="C22547" s="6">
        <v>241999.99</v>
      </c>
      <c r="D22547" s="5" t="s">
        <v>499</v>
      </c>
      <c r="E22547" s="5" t="str">
        <f t="shared" si="1126"/>
        <v>ACTISALUD-ESTADISTICA</v>
      </c>
      <c r="F22547" s="5"/>
      <c r="G22547" s="5"/>
    </row>
    <row r="22548" spans="1:7" ht="58.5" customHeight="1" x14ac:dyDescent="0.25">
      <c r="A22548" s="5" t="str">
        <f>"H0022185"</f>
        <v>H0022185</v>
      </c>
      <c r="B22548" s="5" t="str">
        <f t="shared" si="1127"/>
        <v>ESTANTE CONSTRUIDOS EN LAMINAS METÁLICAS SOLIDAS, RESISTENTES Y ESTABLES CON TRATAMIENTO ANTICORROSIVO, CON 7 ENTREPAÑOS, DE 0.94 CMS DE ANCHO, CON ALTURA DE 2.20MTS Y CADA BANDEJA DEBE SOPORTAR UN PESO DE 100KG/MT LINEA</v>
      </c>
      <c r="C22548" s="6">
        <v>241999.99</v>
      </c>
      <c r="D22548" s="5" t="s">
        <v>499</v>
      </c>
      <c r="E22548" s="5" t="str">
        <f t="shared" si="1126"/>
        <v>ACTISALUD-ESTADISTICA</v>
      </c>
      <c r="F22548" s="5"/>
      <c r="G22548" s="5"/>
    </row>
    <row r="22549" spans="1:7" ht="58.5" customHeight="1" x14ac:dyDescent="0.25">
      <c r="A22549" s="5" t="str">
        <f>"H0022186"</f>
        <v>H0022186</v>
      </c>
      <c r="B22549" s="5" t="str">
        <f t="shared" si="1127"/>
        <v>ESTANTE CONSTRUIDOS EN LAMINAS METÁLICAS SOLIDAS, RESISTENTES Y ESTABLES CON TRATAMIENTO ANTICORROSIVO, CON 7 ENTREPAÑOS, DE 0.94 CMS DE ANCHO, CON ALTURA DE 2.20MTS Y CADA BANDEJA DEBE SOPORTAR UN PESO DE 100KG/MT LINEA</v>
      </c>
      <c r="C22549" s="6">
        <v>241999.99</v>
      </c>
      <c r="D22549" s="5" t="s">
        <v>902</v>
      </c>
      <c r="E22549" s="5" t="str">
        <f t="shared" si="1126"/>
        <v>ACTISALUD-ESTADISTICA</v>
      </c>
      <c r="F22549" s="5"/>
      <c r="G22549" s="5"/>
    </row>
    <row r="22550" spans="1:7" ht="58.5" customHeight="1" x14ac:dyDescent="0.25">
      <c r="A22550" s="5" t="str">
        <f>"H0022187"</f>
        <v>H0022187</v>
      </c>
      <c r="B22550" s="5" t="str">
        <f t="shared" si="1127"/>
        <v>ESTANTE CONSTRUIDOS EN LAMINAS METÁLICAS SOLIDAS, RESISTENTES Y ESTABLES CON TRATAMIENTO ANTICORROSIVO, CON 7 ENTREPAÑOS, DE 0.94 CMS DE ANCHO, CON ALTURA DE 2.20MTS Y CADA BANDEJA DEBE SOPORTAR UN PESO DE 100KG/MT LINEA</v>
      </c>
      <c r="C22550" s="6">
        <v>241999.99</v>
      </c>
      <c r="D22550" s="5" t="s">
        <v>499</v>
      </c>
      <c r="E22550" s="5" t="str">
        <f t="shared" si="1126"/>
        <v>ACTISALUD-ESTADISTICA</v>
      </c>
      <c r="F22550" s="5"/>
      <c r="G22550" s="5"/>
    </row>
    <row r="22551" spans="1:7" ht="58.5" customHeight="1" x14ac:dyDescent="0.25">
      <c r="A22551" s="5" t="str">
        <f>"H0022189"</f>
        <v>H0022189</v>
      </c>
      <c r="B22551" s="5" t="str">
        <f t="shared" si="1127"/>
        <v>ESTANTE CONSTRUIDOS EN LAMINAS METÁLICAS SOLIDAS, RESISTENTES Y ESTABLES CON TRATAMIENTO ANTICORROSIVO, CON 7 ENTREPAÑOS, DE 0.94 CMS DE ANCHO, CON ALTURA DE 2.20MTS Y CADA BANDEJA DEBE SOPORTAR UN PESO DE 100KG/MT LINEA</v>
      </c>
      <c r="C22551" s="6">
        <v>241999.99</v>
      </c>
      <c r="D22551" s="5" t="s">
        <v>810</v>
      </c>
      <c r="E22551" s="5" t="str">
        <f t="shared" si="1126"/>
        <v>ACTISALUD-ESTADISTICA</v>
      </c>
      <c r="F22551" s="5"/>
      <c r="G22551" s="5"/>
    </row>
    <row r="22552" spans="1:7" ht="58.5" customHeight="1" x14ac:dyDescent="0.25">
      <c r="A22552" s="5" t="str">
        <f>"H0022190"</f>
        <v>H0022190</v>
      </c>
      <c r="B22552" s="5" t="str">
        <f t="shared" si="1127"/>
        <v>ESTANTE CONSTRUIDOS EN LAMINAS METÁLICAS SOLIDAS, RESISTENTES Y ESTABLES CON TRATAMIENTO ANTICORROSIVO, CON 7 ENTREPAÑOS, DE 0.94 CMS DE ANCHO, CON ALTURA DE 2.20MTS Y CADA BANDEJA DEBE SOPORTAR UN PESO DE 100KG/MT LINEA</v>
      </c>
      <c r="C22552" s="6">
        <v>241999.99</v>
      </c>
      <c r="D22552" s="5" t="s">
        <v>902</v>
      </c>
      <c r="E22552" s="5" t="str">
        <f t="shared" si="1126"/>
        <v>ACTISALUD-ESTADISTICA</v>
      </c>
      <c r="F22552" s="5"/>
      <c r="G22552" s="5"/>
    </row>
    <row r="22553" spans="1:7" ht="58.5" customHeight="1" x14ac:dyDescent="0.25">
      <c r="A22553" s="5" t="str">
        <f>"H0022192"</f>
        <v>H0022192</v>
      </c>
      <c r="B22553" s="5" t="str">
        <f t="shared" si="1127"/>
        <v>ESTANTE CONSTRUIDOS EN LAMINAS METÁLICAS SOLIDAS, RESISTENTES Y ESTABLES CON TRATAMIENTO ANTICORROSIVO, CON 7 ENTREPAÑOS, DE 0.94 CMS DE ANCHO, CON ALTURA DE 2.20MTS Y CADA BANDEJA DEBE SOPORTAR UN PESO DE 100KG/MT LINEA</v>
      </c>
      <c r="C22553" s="6">
        <v>241999.99</v>
      </c>
      <c r="D22553" s="5" t="s">
        <v>499</v>
      </c>
      <c r="E22553" s="5" t="str">
        <f t="shared" si="1126"/>
        <v>ACTISALUD-ESTADISTICA</v>
      </c>
      <c r="F22553" s="5"/>
      <c r="G22553" s="5"/>
    </row>
    <row r="22554" spans="1:7" ht="58.5" customHeight="1" x14ac:dyDescent="0.25">
      <c r="A22554" s="5" t="str">
        <f>"H0022194"</f>
        <v>H0022194</v>
      </c>
      <c r="B22554" s="5" t="str">
        <f t="shared" si="1127"/>
        <v>ESTANTE CONSTRUIDOS EN LAMINAS METÁLICAS SOLIDAS, RESISTENTES Y ESTABLES CON TRATAMIENTO ANTICORROSIVO, CON 7 ENTREPAÑOS, DE 0.94 CMS DE ANCHO, CON ALTURA DE 2.20MTS Y CADA BANDEJA DEBE SOPORTAR UN PESO DE 100KG/MT LINEA</v>
      </c>
      <c r="C22554" s="6">
        <v>241999.99</v>
      </c>
      <c r="D22554" s="5" t="s">
        <v>810</v>
      </c>
      <c r="E22554" s="5" t="str">
        <f t="shared" si="1126"/>
        <v>ACTISALUD-ESTADISTICA</v>
      </c>
      <c r="F22554" s="5"/>
      <c r="G22554" s="5"/>
    </row>
    <row r="22555" spans="1:7" ht="58.5" customHeight="1" x14ac:dyDescent="0.25">
      <c r="A22555" s="5" t="str">
        <f>"H0022195"</f>
        <v>H0022195</v>
      </c>
      <c r="B22555" s="5" t="str">
        <f t="shared" si="1127"/>
        <v>ESTANTE CONSTRUIDOS EN LAMINAS METÁLICAS SOLIDAS, RESISTENTES Y ESTABLES CON TRATAMIENTO ANTICORROSIVO, CON 7 ENTREPAÑOS, DE 0.94 CMS DE ANCHO, CON ALTURA DE 2.20MTS Y CADA BANDEJA DEBE SOPORTAR UN PESO DE 100KG/MT LINEA</v>
      </c>
      <c r="C22555" s="6">
        <v>241999.99</v>
      </c>
      <c r="D22555" s="5" t="s">
        <v>810</v>
      </c>
      <c r="E22555" s="5" t="str">
        <f t="shared" si="1126"/>
        <v>ACTISALUD-ESTADISTICA</v>
      </c>
      <c r="F22555" s="5"/>
      <c r="G22555" s="5"/>
    </row>
    <row r="22556" spans="1:7" ht="58.5" customHeight="1" x14ac:dyDescent="0.25">
      <c r="A22556" s="5" t="str">
        <f>"H0022196"</f>
        <v>H0022196</v>
      </c>
      <c r="B22556" s="5" t="str">
        <f t="shared" si="1127"/>
        <v>ESTANTE CONSTRUIDOS EN LAMINAS METÁLICAS SOLIDAS, RESISTENTES Y ESTABLES CON TRATAMIENTO ANTICORROSIVO, CON 7 ENTREPAÑOS, DE 0.94 CMS DE ANCHO, CON ALTURA DE 2.20MTS Y CADA BANDEJA DEBE SOPORTAR UN PESO DE 100KG/MT LINEA</v>
      </c>
      <c r="C22556" s="6">
        <v>241999.99</v>
      </c>
      <c r="D22556" s="5" t="s">
        <v>499</v>
      </c>
      <c r="E22556" s="5" t="str">
        <f t="shared" si="1126"/>
        <v>ACTISALUD-ESTADISTICA</v>
      </c>
      <c r="F22556" s="5"/>
      <c r="G22556" s="5"/>
    </row>
    <row r="22557" spans="1:7" ht="58.5" customHeight="1" x14ac:dyDescent="0.25">
      <c r="A22557" s="5" t="str">
        <f>"H0022197"</f>
        <v>H0022197</v>
      </c>
      <c r="B22557" s="5" t="str">
        <f t="shared" si="1127"/>
        <v>ESTANTE CONSTRUIDOS EN LAMINAS METÁLICAS SOLIDAS, RESISTENTES Y ESTABLES CON TRATAMIENTO ANTICORROSIVO, CON 7 ENTREPAÑOS, DE 0.94 CMS DE ANCHO, CON ALTURA DE 2.20MTS Y CADA BANDEJA DEBE SOPORTAR UN PESO DE 100KG/MT LINEA</v>
      </c>
      <c r="C22557" s="6">
        <v>241999.99</v>
      </c>
      <c r="D22557" s="5" t="s">
        <v>499</v>
      </c>
      <c r="E22557" s="5" t="str">
        <f t="shared" si="1126"/>
        <v>ACTISALUD-ESTADISTICA</v>
      </c>
      <c r="F22557" s="5"/>
      <c r="G22557" s="5"/>
    </row>
    <row r="22558" spans="1:7" ht="58.5" customHeight="1" x14ac:dyDescent="0.25">
      <c r="A22558" s="5" t="str">
        <f>"H0022198"</f>
        <v>H0022198</v>
      </c>
      <c r="B22558" s="5" t="str">
        <f t="shared" si="1127"/>
        <v>ESTANTE CONSTRUIDOS EN LAMINAS METÁLICAS SOLIDAS, RESISTENTES Y ESTABLES CON TRATAMIENTO ANTICORROSIVO, CON 7 ENTREPAÑOS, DE 0.94 CMS DE ANCHO, CON ALTURA DE 2.20MTS Y CADA BANDEJA DEBE SOPORTAR UN PESO DE 100KG/MT LINEA</v>
      </c>
      <c r="C22558" s="6">
        <v>241999.99</v>
      </c>
      <c r="D22558" s="5" t="s">
        <v>499</v>
      </c>
      <c r="E22558" s="5" t="str">
        <f t="shared" si="1126"/>
        <v>ACTISALUD-ESTADISTICA</v>
      </c>
      <c r="F22558" s="5"/>
      <c r="G22558" s="5"/>
    </row>
    <row r="22559" spans="1:7" ht="58.5" customHeight="1" x14ac:dyDescent="0.25">
      <c r="A22559" s="5" t="str">
        <f>"H0022199"</f>
        <v>H0022199</v>
      </c>
      <c r="B22559" s="5" t="str">
        <f t="shared" si="1127"/>
        <v>ESTANTE CONSTRUIDOS EN LAMINAS METÁLICAS SOLIDAS, RESISTENTES Y ESTABLES CON TRATAMIENTO ANTICORROSIVO, CON 7 ENTREPAÑOS, DE 0.94 CMS DE ANCHO, CON ALTURA DE 2.20MTS Y CADA BANDEJA DEBE SOPORTAR UN PESO DE 100KG/MT LINEA</v>
      </c>
      <c r="C22559" s="6">
        <v>241999.99</v>
      </c>
      <c r="D22559" s="5" t="s">
        <v>499</v>
      </c>
      <c r="E22559" s="5" t="str">
        <f t="shared" si="1126"/>
        <v>ACTISALUD-ESTADISTICA</v>
      </c>
      <c r="F22559" s="5"/>
      <c r="G22559" s="5"/>
    </row>
    <row r="22560" spans="1:7" ht="58.5" customHeight="1" x14ac:dyDescent="0.25">
      <c r="A22560" s="5" t="str">
        <f>"H0022200"</f>
        <v>H0022200</v>
      </c>
      <c r="B22560" s="5" t="str">
        <f t="shared" si="1127"/>
        <v>ESTANTE CONSTRUIDOS EN LAMINAS METÁLICAS SOLIDAS, RESISTENTES Y ESTABLES CON TRATAMIENTO ANTICORROSIVO, CON 7 ENTREPAÑOS, DE 0.94 CMS DE ANCHO, CON ALTURA DE 2.20MTS Y CADA BANDEJA DEBE SOPORTAR UN PESO DE 100KG/MT LINEA</v>
      </c>
      <c r="C22560" s="6">
        <v>241999.99</v>
      </c>
      <c r="D22560" s="5" t="s">
        <v>499</v>
      </c>
      <c r="E22560" s="5" t="str">
        <f t="shared" si="1126"/>
        <v>ACTISALUD-ESTADISTICA</v>
      </c>
      <c r="F22560" s="5"/>
      <c r="G22560" s="5"/>
    </row>
    <row r="22561" spans="1:7" ht="58.5" customHeight="1" x14ac:dyDescent="0.25">
      <c r="A22561" s="5" t="str">
        <f>"H0022201"</f>
        <v>H0022201</v>
      </c>
      <c r="B22561" s="5" t="str">
        <f t="shared" si="1127"/>
        <v>ESTANTE CONSTRUIDOS EN LAMINAS METÁLICAS SOLIDAS, RESISTENTES Y ESTABLES CON TRATAMIENTO ANTICORROSIVO, CON 7 ENTREPAÑOS, DE 0.94 CMS DE ANCHO, CON ALTURA DE 2.20MTS Y CADA BANDEJA DEBE SOPORTAR UN PESO DE 100KG/MT LINEA</v>
      </c>
      <c r="C22561" s="6">
        <v>241999.99</v>
      </c>
      <c r="D22561" s="5" t="s">
        <v>499</v>
      </c>
      <c r="E22561" s="5" t="str">
        <f t="shared" si="1126"/>
        <v>ACTISALUD-ESTADISTICA</v>
      </c>
      <c r="F22561" s="5"/>
      <c r="G22561" s="5"/>
    </row>
    <row r="22562" spans="1:7" ht="58.5" customHeight="1" x14ac:dyDescent="0.25">
      <c r="A22562" s="5" t="str">
        <f>"H0022202"</f>
        <v>H0022202</v>
      </c>
      <c r="B22562" s="5" t="str">
        <f t="shared" si="1127"/>
        <v>ESTANTE CONSTRUIDOS EN LAMINAS METÁLICAS SOLIDAS, RESISTENTES Y ESTABLES CON TRATAMIENTO ANTICORROSIVO, CON 7 ENTREPAÑOS, DE 0.94 CMS DE ANCHO, CON ALTURA DE 2.20MTS Y CADA BANDEJA DEBE SOPORTAR UN PESO DE 100KG/MT LINEA</v>
      </c>
      <c r="C22562" s="6">
        <v>241999.99</v>
      </c>
      <c r="D22562" s="5" t="s">
        <v>499</v>
      </c>
      <c r="E22562" s="5" t="str">
        <f t="shared" si="1126"/>
        <v>ACTISALUD-ESTADISTICA</v>
      </c>
      <c r="F22562" s="5"/>
      <c r="G22562" s="5"/>
    </row>
    <row r="22563" spans="1:7" ht="58.5" customHeight="1" x14ac:dyDescent="0.25">
      <c r="A22563" s="5" t="str">
        <f>"H0022203"</f>
        <v>H0022203</v>
      </c>
      <c r="B22563" s="5" t="str">
        <f t="shared" si="1127"/>
        <v>ESTANTE CONSTRUIDOS EN LAMINAS METÁLICAS SOLIDAS, RESISTENTES Y ESTABLES CON TRATAMIENTO ANTICORROSIVO, CON 7 ENTREPAÑOS, DE 0.94 CMS DE ANCHO, CON ALTURA DE 2.20MTS Y CADA BANDEJA DEBE SOPORTAR UN PESO DE 100KG/MT LINEA</v>
      </c>
      <c r="C22563" s="6">
        <v>241999.99</v>
      </c>
      <c r="D22563" s="5" t="s">
        <v>903</v>
      </c>
      <c r="E22563" s="5" t="str">
        <f t="shared" si="1126"/>
        <v>ACTISALUD-ESTADISTICA</v>
      </c>
      <c r="F22563" s="5"/>
      <c r="G22563" s="5"/>
    </row>
    <row r="22564" spans="1:7" ht="58.5" customHeight="1" x14ac:dyDescent="0.25">
      <c r="A22564" s="5" t="str">
        <f>"H0022204"</f>
        <v>H0022204</v>
      </c>
      <c r="B22564" s="5" t="str">
        <f t="shared" si="1127"/>
        <v>ESTANTE CONSTRUIDOS EN LAMINAS METÁLICAS SOLIDAS, RESISTENTES Y ESTABLES CON TRATAMIENTO ANTICORROSIVO, CON 7 ENTREPAÑOS, DE 0.94 CMS DE ANCHO, CON ALTURA DE 2.20MTS Y CADA BANDEJA DEBE SOPORTAR UN PESO DE 100KG/MT LINEA</v>
      </c>
      <c r="C22564" s="6">
        <v>241999.99</v>
      </c>
      <c r="D22564" s="5" t="s">
        <v>499</v>
      </c>
      <c r="E22564" s="5" t="str">
        <f t="shared" si="1126"/>
        <v>ACTISALUD-ESTADISTICA</v>
      </c>
      <c r="F22564" s="5"/>
      <c r="G22564" s="5"/>
    </row>
    <row r="22565" spans="1:7" ht="58.5" customHeight="1" x14ac:dyDescent="0.25">
      <c r="A22565" s="5" t="str">
        <f>"H0022205"</f>
        <v>H0022205</v>
      </c>
      <c r="B22565" s="5" t="str">
        <f t="shared" ref="B22565:B22596" si="1128">"ESTANTE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565" s="6">
        <v>241999.99</v>
      </c>
      <c r="D22565" s="5" t="s">
        <v>499</v>
      </c>
      <c r="E22565" s="5" t="str">
        <f t="shared" si="1126"/>
        <v>ACTISALUD-ESTADISTICA</v>
      </c>
      <c r="F22565" s="5"/>
      <c r="G22565" s="5"/>
    </row>
    <row r="22566" spans="1:7" ht="58.5" customHeight="1" x14ac:dyDescent="0.25">
      <c r="A22566" s="5" t="str">
        <f>"H0022206"</f>
        <v>H0022206</v>
      </c>
      <c r="B22566" s="5" t="str">
        <f t="shared" si="1128"/>
        <v>ESTANTE CONSTRUIDOS EN LAMINAS METÁLICAS SOLIDAS, RESISTENTES Y ESTABLES CON TRATAMIENTO ANTICORROSIVO, CON 7 ENTREPAÑOS, DE 0.94 CMS DE ANCHO, CON ALTURA DE 2.20MTS Y CADA BANDEJA DEBE SOPORTAR UN PESO DE 100KG/MT LINEA</v>
      </c>
      <c r="C22566" s="6">
        <v>241999.99</v>
      </c>
      <c r="D22566" s="5" t="s">
        <v>810</v>
      </c>
      <c r="E22566" s="5" t="str">
        <f t="shared" si="1126"/>
        <v>ACTISALUD-ESTADISTICA</v>
      </c>
      <c r="F22566" s="5"/>
      <c r="G22566" s="5"/>
    </row>
    <row r="22567" spans="1:7" ht="58.5" customHeight="1" x14ac:dyDescent="0.25">
      <c r="A22567" s="5" t="str">
        <f>"H0022207"</f>
        <v>H0022207</v>
      </c>
      <c r="B22567" s="5" t="str">
        <f t="shared" si="1128"/>
        <v>ESTANTE CONSTRUIDOS EN LAMINAS METÁLICAS SOLIDAS, RESISTENTES Y ESTABLES CON TRATAMIENTO ANTICORROSIVO, CON 7 ENTREPAÑOS, DE 0.94 CMS DE ANCHO, CON ALTURA DE 2.20MTS Y CADA BANDEJA DEBE SOPORTAR UN PESO DE 100KG/MT LINEA</v>
      </c>
      <c r="C22567" s="6">
        <v>241999.99</v>
      </c>
      <c r="D22567" s="5" t="s">
        <v>499</v>
      </c>
      <c r="E22567" s="5" t="str">
        <f t="shared" si="1126"/>
        <v>ACTISALUD-ESTADISTICA</v>
      </c>
      <c r="F22567" s="5"/>
      <c r="G22567" s="5"/>
    </row>
    <row r="22568" spans="1:7" ht="58.5" customHeight="1" x14ac:dyDescent="0.25">
      <c r="A22568" s="5" t="str">
        <f>"H0022208"</f>
        <v>H0022208</v>
      </c>
      <c r="B22568" s="5" t="str">
        <f t="shared" si="1128"/>
        <v>ESTANTE CONSTRUIDOS EN LAMINAS METÁLICAS SOLIDAS, RESISTENTES Y ESTABLES CON TRATAMIENTO ANTICORROSIVO, CON 7 ENTREPAÑOS, DE 0.94 CMS DE ANCHO, CON ALTURA DE 2.20MTS Y CADA BANDEJA DEBE SOPORTAR UN PESO DE 100KG/MT LINEA</v>
      </c>
      <c r="C22568" s="6">
        <v>241999.99</v>
      </c>
      <c r="D22568" s="5" t="s">
        <v>499</v>
      </c>
      <c r="E22568" s="5" t="str">
        <f t="shared" si="1126"/>
        <v>ACTISALUD-ESTADISTICA</v>
      </c>
      <c r="F22568" s="5"/>
      <c r="G22568" s="5"/>
    </row>
    <row r="22569" spans="1:7" ht="58.5" customHeight="1" x14ac:dyDescent="0.25">
      <c r="A22569" s="5" t="str">
        <f>"H0022210"</f>
        <v>H0022210</v>
      </c>
      <c r="B22569" s="5" t="str">
        <f t="shared" si="1128"/>
        <v>ESTANTE CONSTRUIDOS EN LAMINAS METÁLICAS SOLIDAS, RESISTENTES Y ESTABLES CON TRATAMIENTO ANTICORROSIVO, CON 7 ENTREPAÑOS, DE 0.94 CMS DE ANCHO, CON ALTURA DE 2.20MTS Y CADA BANDEJA DEBE SOPORTAR UN PESO DE 100KG/MT LINEA</v>
      </c>
      <c r="C22569" s="6">
        <v>241999.99</v>
      </c>
      <c r="D22569" s="5" t="s">
        <v>499</v>
      </c>
      <c r="E22569" s="5" t="str">
        <f t="shared" si="1126"/>
        <v>ACTISALUD-ESTADISTICA</v>
      </c>
      <c r="F22569" s="5"/>
      <c r="G22569" s="5"/>
    </row>
    <row r="22570" spans="1:7" ht="58.5" customHeight="1" x14ac:dyDescent="0.25">
      <c r="A22570" s="5" t="str">
        <f>"H0022211"</f>
        <v>H0022211</v>
      </c>
      <c r="B22570" s="5" t="str">
        <f t="shared" si="1128"/>
        <v>ESTANTE CONSTRUIDOS EN LAMINAS METÁLICAS SOLIDAS, RESISTENTES Y ESTABLES CON TRATAMIENTO ANTICORROSIVO, CON 7 ENTREPAÑOS, DE 0.94 CMS DE ANCHO, CON ALTURA DE 2.20MTS Y CADA BANDEJA DEBE SOPORTAR UN PESO DE 100KG/MT LINEA</v>
      </c>
      <c r="C22570" s="6">
        <v>241999.99</v>
      </c>
      <c r="D22570" s="5" t="s">
        <v>499</v>
      </c>
      <c r="E22570" s="5" t="str">
        <f t="shared" si="1126"/>
        <v>ACTISALUD-ESTADISTICA</v>
      </c>
      <c r="F22570" s="5"/>
      <c r="G22570" s="5"/>
    </row>
    <row r="22571" spans="1:7" ht="58.5" customHeight="1" x14ac:dyDescent="0.25">
      <c r="A22571" s="5" t="str">
        <f>"H0022212"</f>
        <v>H0022212</v>
      </c>
      <c r="B22571" s="5" t="str">
        <f t="shared" si="1128"/>
        <v>ESTANTE CONSTRUIDOS EN LAMINAS METÁLICAS SOLIDAS, RESISTENTES Y ESTABLES CON TRATAMIENTO ANTICORROSIVO, CON 7 ENTREPAÑOS, DE 0.94 CMS DE ANCHO, CON ALTURA DE 2.20MTS Y CADA BANDEJA DEBE SOPORTAR UN PESO DE 100KG/MT LINEA</v>
      </c>
      <c r="C22571" s="6">
        <v>241999.99</v>
      </c>
      <c r="D22571" s="5" t="s">
        <v>499</v>
      </c>
      <c r="E22571" s="5" t="str">
        <f t="shared" si="1126"/>
        <v>ACTISALUD-ESTADISTICA</v>
      </c>
      <c r="F22571" s="5"/>
      <c r="G22571" s="5"/>
    </row>
    <row r="22572" spans="1:7" ht="58.5" customHeight="1" x14ac:dyDescent="0.25">
      <c r="A22572" s="5" t="str">
        <f>"H0022213"</f>
        <v>H0022213</v>
      </c>
      <c r="B22572" s="5" t="str">
        <f t="shared" si="1128"/>
        <v>ESTANTE CONSTRUIDOS EN LAMINAS METÁLICAS SOLIDAS, RESISTENTES Y ESTABLES CON TRATAMIENTO ANTICORROSIVO, CON 7 ENTREPAÑOS, DE 0.94 CMS DE ANCHO, CON ALTURA DE 2.20MTS Y CADA BANDEJA DEBE SOPORTAR UN PESO DE 100KG/MT LINEA</v>
      </c>
      <c r="C22572" s="6">
        <v>241999.99</v>
      </c>
      <c r="D22572" s="5" t="s">
        <v>499</v>
      </c>
      <c r="E22572" s="5" t="str">
        <f t="shared" si="1126"/>
        <v>ACTISALUD-ESTADISTICA</v>
      </c>
      <c r="F22572" s="5"/>
      <c r="G22572" s="5"/>
    </row>
    <row r="22573" spans="1:7" ht="58.5" customHeight="1" x14ac:dyDescent="0.25">
      <c r="A22573" s="5" t="str">
        <f>"H0022214"</f>
        <v>H0022214</v>
      </c>
      <c r="B22573" s="5" t="str">
        <f t="shared" si="1128"/>
        <v>ESTANTE CONSTRUIDOS EN LAMINAS METÁLICAS SOLIDAS, RESISTENTES Y ESTABLES CON TRATAMIENTO ANTICORROSIVO, CON 7 ENTREPAÑOS, DE 0.94 CMS DE ANCHO, CON ALTURA DE 2.20MTS Y CADA BANDEJA DEBE SOPORTAR UN PESO DE 100KG/MT LINEA</v>
      </c>
      <c r="C22573" s="6">
        <v>241999.99</v>
      </c>
      <c r="D22573" s="5" t="s">
        <v>499</v>
      </c>
      <c r="E22573" s="5" t="str">
        <f t="shared" si="1126"/>
        <v>ACTISALUD-ESTADISTICA</v>
      </c>
      <c r="F22573" s="5"/>
      <c r="G22573" s="5"/>
    </row>
    <row r="22574" spans="1:7" ht="58.5" customHeight="1" x14ac:dyDescent="0.25">
      <c r="A22574" s="5" t="str">
        <f>"H0022215"</f>
        <v>H0022215</v>
      </c>
      <c r="B22574" s="5" t="str">
        <f t="shared" si="1128"/>
        <v>ESTANTE CONSTRUIDOS EN LAMINAS METÁLICAS SOLIDAS, RESISTENTES Y ESTABLES CON TRATAMIENTO ANTICORROSIVO, CON 7 ENTREPAÑOS, DE 0.94 CMS DE ANCHO, CON ALTURA DE 2.20MTS Y CADA BANDEJA DEBE SOPORTAR UN PESO DE 100KG/MT LINEA</v>
      </c>
      <c r="C22574" s="6">
        <v>241999.99</v>
      </c>
      <c r="D22574" s="5" t="s">
        <v>499</v>
      </c>
      <c r="E22574" s="5" t="str">
        <f t="shared" si="1126"/>
        <v>ACTISALUD-ESTADISTICA</v>
      </c>
      <c r="F22574" s="5"/>
      <c r="G22574" s="5"/>
    </row>
    <row r="22575" spans="1:7" ht="58.5" customHeight="1" x14ac:dyDescent="0.25">
      <c r="A22575" s="5" t="str">
        <f>"H0022216"</f>
        <v>H0022216</v>
      </c>
      <c r="B22575" s="5" t="str">
        <f t="shared" si="1128"/>
        <v>ESTANTE CONSTRUIDOS EN LAMINAS METÁLICAS SOLIDAS, RESISTENTES Y ESTABLES CON TRATAMIENTO ANTICORROSIVO, CON 7 ENTREPAÑOS, DE 0.94 CMS DE ANCHO, CON ALTURA DE 2.20MTS Y CADA BANDEJA DEBE SOPORTAR UN PESO DE 100KG/MT LINEA</v>
      </c>
      <c r="C22575" s="6">
        <v>241999.99</v>
      </c>
      <c r="D22575" s="5" t="s">
        <v>499</v>
      </c>
      <c r="E22575" s="5" t="str">
        <f t="shared" si="1126"/>
        <v>ACTISALUD-ESTADISTICA</v>
      </c>
      <c r="F22575" s="5"/>
      <c r="G22575" s="5"/>
    </row>
    <row r="22576" spans="1:7" ht="58.5" customHeight="1" x14ac:dyDescent="0.25">
      <c r="A22576" s="5" t="str">
        <f>"H0022217"</f>
        <v>H0022217</v>
      </c>
      <c r="B22576" s="5" t="str">
        <f t="shared" si="1128"/>
        <v>ESTANTE CONSTRUIDOS EN LAMINAS METÁLICAS SOLIDAS, RESISTENTES Y ESTABLES CON TRATAMIENTO ANTICORROSIVO, CON 7 ENTREPAÑOS, DE 0.94 CMS DE ANCHO, CON ALTURA DE 2.20MTS Y CADA BANDEJA DEBE SOPORTAR UN PESO DE 100KG/MT LINEA</v>
      </c>
      <c r="C22576" s="6">
        <v>241999.99</v>
      </c>
      <c r="D22576" s="5" t="s">
        <v>499</v>
      </c>
      <c r="E22576" s="5" t="str">
        <f t="shared" si="1126"/>
        <v>ACTISALUD-ESTADISTICA</v>
      </c>
      <c r="F22576" s="5"/>
      <c r="G22576" s="5"/>
    </row>
    <row r="22577" spans="1:7" ht="58.5" customHeight="1" x14ac:dyDescent="0.25">
      <c r="A22577" s="5" t="str">
        <f>"H0022218"</f>
        <v>H0022218</v>
      </c>
      <c r="B22577" s="5" t="str">
        <f t="shared" si="1128"/>
        <v>ESTANTE CONSTRUIDOS EN LAMINAS METÁLICAS SOLIDAS, RESISTENTES Y ESTABLES CON TRATAMIENTO ANTICORROSIVO, CON 7 ENTREPAÑOS, DE 0.94 CMS DE ANCHO, CON ALTURA DE 2.20MTS Y CADA BANDEJA DEBE SOPORTAR UN PESO DE 100KG/MT LINEA</v>
      </c>
      <c r="C22577" s="6">
        <v>241999.99</v>
      </c>
      <c r="D22577" s="5" t="s">
        <v>499</v>
      </c>
      <c r="E22577" s="5" t="str">
        <f t="shared" si="1126"/>
        <v>ACTISALUD-ESTADISTICA</v>
      </c>
      <c r="F22577" s="5"/>
      <c r="G22577" s="5"/>
    </row>
    <row r="22578" spans="1:7" ht="58.5" customHeight="1" x14ac:dyDescent="0.25">
      <c r="A22578" s="5" t="str">
        <f>"H0022219"</f>
        <v>H0022219</v>
      </c>
      <c r="B22578" s="5" t="str">
        <f t="shared" si="1128"/>
        <v>ESTANTE CONSTRUIDOS EN LAMINAS METÁLICAS SOLIDAS, RESISTENTES Y ESTABLES CON TRATAMIENTO ANTICORROSIVO, CON 7 ENTREPAÑOS, DE 0.94 CMS DE ANCHO, CON ALTURA DE 2.20MTS Y CADA BANDEJA DEBE SOPORTAR UN PESO DE 100KG/MT LINEA</v>
      </c>
      <c r="C22578" s="6">
        <v>241999.99</v>
      </c>
      <c r="D22578" s="5" t="s">
        <v>499</v>
      </c>
      <c r="E22578" s="5" t="str">
        <f t="shared" si="1126"/>
        <v>ACTISALUD-ESTADISTICA</v>
      </c>
      <c r="F22578" s="5"/>
      <c r="G22578" s="5"/>
    </row>
    <row r="22579" spans="1:7" ht="58.5" customHeight="1" x14ac:dyDescent="0.25">
      <c r="A22579" s="5" t="str">
        <f>"H0022220"</f>
        <v>H0022220</v>
      </c>
      <c r="B22579" s="5" t="str">
        <f t="shared" si="1128"/>
        <v>ESTANTE CONSTRUIDOS EN LAMINAS METÁLICAS SOLIDAS, RESISTENTES Y ESTABLES CON TRATAMIENTO ANTICORROSIVO, CON 7 ENTREPAÑOS, DE 0.94 CMS DE ANCHO, CON ALTURA DE 2.20MTS Y CADA BANDEJA DEBE SOPORTAR UN PESO DE 100KG/MT LINEA</v>
      </c>
      <c r="C22579" s="6">
        <v>241999.99</v>
      </c>
      <c r="D22579" s="5" t="s">
        <v>499</v>
      </c>
      <c r="E22579" s="5" t="str">
        <f t="shared" si="1126"/>
        <v>ACTISALUD-ESTADISTICA</v>
      </c>
      <c r="F22579" s="5"/>
      <c r="G22579" s="5"/>
    </row>
    <row r="22580" spans="1:7" ht="58.5" customHeight="1" x14ac:dyDescent="0.25">
      <c r="A22580" s="5" t="str">
        <f>"H0022221"</f>
        <v>H0022221</v>
      </c>
      <c r="B22580" s="5" t="str">
        <f t="shared" si="1128"/>
        <v>ESTANTE CONSTRUIDOS EN LAMINAS METÁLICAS SOLIDAS, RESISTENTES Y ESTABLES CON TRATAMIENTO ANTICORROSIVO, CON 7 ENTREPAÑOS, DE 0.94 CMS DE ANCHO, CON ALTURA DE 2.20MTS Y CADA BANDEJA DEBE SOPORTAR UN PESO DE 100KG/MT LINEA</v>
      </c>
      <c r="C22580" s="6">
        <v>241999.99</v>
      </c>
      <c r="D22580" s="5" t="s">
        <v>499</v>
      </c>
      <c r="E22580" s="5" t="str">
        <f t="shared" si="1126"/>
        <v>ACTISALUD-ESTADISTICA</v>
      </c>
      <c r="F22580" s="5"/>
      <c r="G22580" s="5"/>
    </row>
    <row r="22581" spans="1:7" ht="58.5" customHeight="1" x14ac:dyDescent="0.25">
      <c r="A22581" s="5" t="str">
        <f>"H0022222"</f>
        <v>H0022222</v>
      </c>
      <c r="B22581" s="5" t="str">
        <f t="shared" si="1128"/>
        <v>ESTANTE CONSTRUIDOS EN LAMINAS METÁLICAS SOLIDAS, RESISTENTES Y ESTABLES CON TRATAMIENTO ANTICORROSIVO, CON 7 ENTREPAÑOS, DE 0.94 CMS DE ANCHO, CON ALTURA DE 2.20MTS Y CADA BANDEJA DEBE SOPORTAR UN PESO DE 100KG/MT LINEA</v>
      </c>
      <c r="C22581" s="6">
        <v>241999.99</v>
      </c>
      <c r="D22581" s="5" t="s">
        <v>499</v>
      </c>
      <c r="E22581" s="5" t="str">
        <f t="shared" si="1126"/>
        <v>ACTISALUD-ESTADISTICA</v>
      </c>
      <c r="F22581" s="5"/>
      <c r="G22581" s="5"/>
    </row>
    <row r="22582" spans="1:7" ht="58.5" customHeight="1" x14ac:dyDescent="0.25">
      <c r="A22582" s="5" t="str">
        <f>"H0022223"</f>
        <v>H0022223</v>
      </c>
      <c r="B22582" s="5" t="str">
        <f t="shared" si="1128"/>
        <v>ESTANTE CONSTRUIDOS EN LAMINAS METÁLICAS SOLIDAS, RESISTENTES Y ESTABLES CON TRATAMIENTO ANTICORROSIVO, CON 7 ENTREPAÑOS, DE 0.94 CMS DE ANCHO, CON ALTURA DE 2.20MTS Y CADA BANDEJA DEBE SOPORTAR UN PESO DE 100KG/MT LINEA</v>
      </c>
      <c r="C22582" s="6">
        <v>241999.99</v>
      </c>
      <c r="D22582" s="5" t="s">
        <v>903</v>
      </c>
      <c r="E22582" s="5" t="str">
        <f t="shared" ref="E22582:E22645" si="1129">"ACTISALUD-ESTADISTICA"</f>
        <v>ACTISALUD-ESTADISTICA</v>
      </c>
      <c r="F22582" s="5"/>
      <c r="G22582" s="5"/>
    </row>
    <row r="22583" spans="1:7" ht="58.5" customHeight="1" x14ac:dyDescent="0.25">
      <c r="A22583" s="5" t="str">
        <f>"H0022224"</f>
        <v>H0022224</v>
      </c>
      <c r="B22583" s="5" t="str">
        <f t="shared" si="1128"/>
        <v>ESTANTE CONSTRUIDOS EN LAMINAS METÁLICAS SOLIDAS, RESISTENTES Y ESTABLES CON TRATAMIENTO ANTICORROSIVO, CON 7 ENTREPAÑOS, DE 0.94 CMS DE ANCHO, CON ALTURA DE 2.20MTS Y CADA BANDEJA DEBE SOPORTAR UN PESO DE 100KG/MT LINEA</v>
      </c>
      <c r="C22583" s="6">
        <v>241999.99</v>
      </c>
      <c r="D22583" s="5" t="s">
        <v>499</v>
      </c>
      <c r="E22583" s="5" t="str">
        <f t="shared" si="1129"/>
        <v>ACTISALUD-ESTADISTICA</v>
      </c>
      <c r="F22583" s="5"/>
      <c r="G22583" s="5"/>
    </row>
    <row r="22584" spans="1:7" ht="58.5" customHeight="1" x14ac:dyDescent="0.25">
      <c r="A22584" s="5" t="str">
        <f>"H0022225"</f>
        <v>H0022225</v>
      </c>
      <c r="B22584" s="5" t="str">
        <f t="shared" si="1128"/>
        <v>ESTANTE CONSTRUIDOS EN LAMINAS METÁLICAS SOLIDAS, RESISTENTES Y ESTABLES CON TRATAMIENTO ANTICORROSIVO, CON 7 ENTREPAÑOS, DE 0.94 CMS DE ANCHO, CON ALTURA DE 2.20MTS Y CADA BANDEJA DEBE SOPORTAR UN PESO DE 100KG/MT LINEA</v>
      </c>
      <c r="C22584" s="6">
        <v>241999.99</v>
      </c>
      <c r="D22584" s="5" t="s">
        <v>902</v>
      </c>
      <c r="E22584" s="5" t="str">
        <f t="shared" si="1129"/>
        <v>ACTISALUD-ESTADISTICA</v>
      </c>
      <c r="F22584" s="5"/>
      <c r="G22584" s="5"/>
    </row>
    <row r="22585" spans="1:7" ht="58.5" customHeight="1" x14ac:dyDescent="0.25">
      <c r="A22585" s="5" t="str">
        <f>"H0022227"</f>
        <v>H0022227</v>
      </c>
      <c r="B22585" s="5" t="str">
        <f t="shared" si="1128"/>
        <v>ESTANTE CONSTRUIDOS EN LAMINAS METÁLICAS SOLIDAS, RESISTENTES Y ESTABLES CON TRATAMIENTO ANTICORROSIVO, CON 7 ENTREPAÑOS, DE 0.94 CMS DE ANCHO, CON ALTURA DE 2.20MTS Y CADA BANDEJA DEBE SOPORTAR UN PESO DE 100KG/MT LINEA</v>
      </c>
      <c r="C22585" s="6">
        <v>241999.99</v>
      </c>
      <c r="D22585" s="5" t="s">
        <v>499</v>
      </c>
      <c r="E22585" s="5" t="str">
        <f t="shared" si="1129"/>
        <v>ACTISALUD-ESTADISTICA</v>
      </c>
      <c r="F22585" s="5"/>
      <c r="G22585" s="5"/>
    </row>
    <row r="22586" spans="1:7" ht="58.5" customHeight="1" x14ac:dyDescent="0.25">
      <c r="A22586" s="5" t="str">
        <f>"H0022228"</f>
        <v>H0022228</v>
      </c>
      <c r="B22586" s="5" t="str">
        <f t="shared" si="1128"/>
        <v>ESTANTE CONSTRUIDOS EN LAMINAS METÁLICAS SOLIDAS, RESISTENTES Y ESTABLES CON TRATAMIENTO ANTICORROSIVO, CON 7 ENTREPAÑOS, DE 0.94 CMS DE ANCHO, CON ALTURA DE 2.20MTS Y CADA BANDEJA DEBE SOPORTAR UN PESO DE 100KG/MT LINEA</v>
      </c>
      <c r="C22586" s="6">
        <v>241999.99</v>
      </c>
      <c r="D22586" s="5" t="s">
        <v>499</v>
      </c>
      <c r="E22586" s="5" t="str">
        <f t="shared" si="1129"/>
        <v>ACTISALUD-ESTADISTICA</v>
      </c>
      <c r="F22586" s="5"/>
      <c r="G22586" s="5"/>
    </row>
    <row r="22587" spans="1:7" ht="58.5" customHeight="1" x14ac:dyDescent="0.25">
      <c r="A22587" s="5" t="str">
        <f>"H0022229"</f>
        <v>H0022229</v>
      </c>
      <c r="B22587" s="5" t="str">
        <f t="shared" si="1128"/>
        <v>ESTANTE CONSTRUIDOS EN LAMINAS METÁLICAS SOLIDAS, RESISTENTES Y ESTABLES CON TRATAMIENTO ANTICORROSIVO, CON 7 ENTREPAÑOS, DE 0.94 CMS DE ANCHO, CON ALTURA DE 2.20MTS Y CADA BANDEJA DEBE SOPORTAR UN PESO DE 100KG/MT LINEA</v>
      </c>
      <c r="C22587" s="6">
        <v>241999.99</v>
      </c>
      <c r="D22587" s="5" t="s">
        <v>499</v>
      </c>
      <c r="E22587" s="5" t="str">
        <f t="shared" si="1129"/>
        <v>ACTISALUD-ESTADISTICA</v>
      </c>
      <c r="F22587" s="5"/>
      <c r="G22587" s="5"/>
    </row>
    <row r="22588" spans="1:7" ht="58.5" customHeight="1" x14ac:dyDescent="0.25">
      <c r="A22588" s="5" t="str">
        <f>"H0022230"</f>
        <v>H0022230</v>
      </c>
      <c r="B22588" s="5" t="str">
        <f t="shared" si="1128"/>
        <v>ESTANTE CONSTRUIDOS EN LAMINAS METÁLICAS SOLIDAS, RESISTENTES Y ESTABLES CON TRATAMIENTO ANTICORROSIVO, CON 7 ENTREPAÑOS, DE 0.94 CMS DE ANCHO, CON ALTURA DE 2.20MTS Y CADA BANDEJA DEBE SOPORTAR UN PESO DE 100KG/MT LINEA</v>
      </c>
      <c r="C22588" s="6">
        <v>241999.99</v>
      </c>
      <c r="D22588" s="5" t="s">
        <v>499</v>
      </c>
      <c r="E22588" s="5" t="str">
        <f t="shared" si="1129"/>
        <v>ACTISALUD-ESTADISTICA</v>
      </c>
      <c r="F22588" s="5"/>
      <c r="G22588" s="5"/>
    </row>
    <row r="22589" spans="1:7" ht="58.5" customHeight="1" x14ac:dyDescent="0.25">
      <c r="A22589" s="5" t="str">
        <f>"H0022231"</f>
        <v>H0022231</v>
      </c>
      <c r="B22589" s="5" t="str">
        <f t="shared" si="1128"/>
        <v>ESTANTE CONSTRUIDOS EN LAMINAS METÁLICAS SOLIDAS, RESISTENTES Y ESTABLES CON TRATAMIENTO ANTICORROSIVO, CON 7 ENTREPAÑOS, DE 0.94 CMS DE ANCHO, CON ALTURA DE 2.20MTS Y CADA BANDEJA DEBE SOPORTAR UN PESO DE 100KG/MT LINEA</v>
      </c>
      <c r="C22589" s="6">
        <v>241999.99</v>
      </c>
      <c r="D22589" s="5" t="s">
        <v>499</v>
      </c>
      <c r="E22589" s="5" t="str">
        <f t="shared" si="1129"/>
        <v>ACTISALUD-ESTADISTICA</v>
      </c>
      <c r="F22589" s="5"/>
      <c r="G22589" s="5"/>
    </row>
    <row r="22590" spans="1:7" ht="58.5" customHeight="1" x14ac:dyDescent="0.25">
      <c r="A22590" s="5" t="str">
        <f>"H0022232"</f>
        <v>H0022232</v>
      </c>
      <c r="B22590" s="5" t="str">
        <f t="shared" si="1128"/>
        <v>ESTANTE CONSTRUIDOS EN LAMINAS METÁLICAS SOLIDAS, RESISTENTES Y ESTABLES CON TRATAMIENTO ANTICORROSIVO, CON 7 ENTREPAÑOS, DE 0.94 CMS DE ANCHO, CON ALTURA DE 2.20MTS Y CADA BANDEJA DEBE SOPORTAR UN PESO DE 100KG/MT LINEA</v>
      </c>
      <c r="C22590" s="6">
        <v>241999.99</v>
      </c>
      <c r="D22590" s="5" t="s">
        <v>499</v>
      </c>
      <c r="E22590" s="5" t="str">
        <f t="shared" si="1129"/>
        <v>ACTISALUD-ESTADISTICA</v>
      </c>
      <c r="F22590" s="5"/>
      <c r="G22590" s="5"/>
    </row>
    <row r="22591" spans="1:7" ht="58.5" customHeight="1" x14ac:dyDescent="0.25">
      <c r="A22591" s="5" t="str">
        <f>"H0022233"</f>
        <v>H0022233</v>
      </c>
      <c r="B22591" s="5" t="str">
        <f t="shared" si="1128"/>
        <v>ESTANTE CONSTRUIDOS EN LAMINAS METÁLICAS SOLIDAS, RESISTENTES Y ESTABLES CON TRATAMIENTO ANTICORROSIVO, CON 7 ENTREPAÑOS, DE 0.94 CMS DE ANCHO, CON ALTURA DE 2.20MTS Y CADA BANDEJA DEBE SOPORTAR UN PESO DE 100KG/MT LINEA</v>
      </c>
      <c r="C22591" s="6">
        <v>241999.99</v>
      </c>
      <c r="D22591" s="5" t="s">
        <v>499</v>
      </c>
      <c r="E22591" s="5" t="str">
        <f t="shared" si="1129"/>
        <v>ACTISALUD-ESTADISTICA</v>
      </c>
      <c r="F22591" s="5"/>
      <c r="G22591" s="5"/>
    </row>
    <row r="22592" spans="1:7" ht="58.5" customHeight="1" x14ac:dyDescent="0.25">
      <c r="A22592" s="5" t="str">
        <f>"H0022234"</f>
        <v>H0022234</v>
      </c>
      <c r="B22592" s="5" t="str">
        <f t="shared" si="1128"/>
        <v>ESTANTE CONSTRUIDOS EN LAMINAS METÁLICAS SOLIDAS, RESISTENTES Y ESTABLES CON TRATAMIENTO ANTICORROSIVO, CON 7 ENTREPAÑOS, DE 0.94 CMS DE ANCHO, CON ALTURA DE 2.20MTS Y CADA BANDEJA DEBE SOPORTAR UN PESO DE 100KG/MT LINEA</v>
      </c>
      <c r="C22592" s="6">
        <v>241999.99</v>
      </c>
      <c r="D22592" s="5" t="s">
        <v>810</v>
      </c>
      <c r="E22592" s="5" t="str">
        <f t="shared" si="1129"/>
        <v>ACTISALUD-ESTADISTICA</v>
      </c>
      <c r="F22592" s="5"/>
      <c r="G22592" s="5"/>
    </row>
    <row r="22593" spans="1:7" ht="58.5" customHeight="1" x14ac:dyDescent="0.25">
      <c r="A22593" s="5" t="str">
        <f>"H0022236"</f>
        <v>H0022236</v>
      </c>
      <c r="B22593" s="5" t="str">
        <f t="shared" si="1128"/>
        <v>ESTANTE CONSTRUIDOS EN LAMINAS METÁLICAS SOLIDAS, RESISTENTES Y ESTABLES CON TRATAMIENTO ANTICORROSIVO, CON 7 ENTREPAÑOS, DE 0.94 CMS DE ANCHO, CON ALTURA DE 2.20MTS Y CADA BANDEJA DEBE SOPORTAR UN PESO DE 100KG/MT LINEA</v>
      </c>
      <c r="C22593" s="6">
        <v>241999.99</v>
      </c>
      <c r="D22593" s="5" t="s">
        <v>499</v>
      </c>
      <c r="E22593" s="5" t="str">
        <f t="shared" si="1129"/>
        <v>ACTISALUD-ESTADISTICA</v>
      </c>
      <c r="F22593" s="5"/>
      <c r="G22593" s="5"/>
    </row>
    <row r="22594" spans="1:7" ht="58.5" customHeight="1" x14ac:dyDescent="0.25">
      <c r="A22594" s="5" t="str">
        <f>"H0022237"</f>
        <v>H0022237</v>
      </c>
      <c r="B22594" s="5" t="str">
        <f t="shared" si="1128"/>
        <v>ESTANTE CONSTRUIDOS EN LAMINAS METÁLICAS SOLIDAS, RESISTENTES Y ESTABLES CON TRATAMIENTO ANTICORROSIVO, CON 7 ENTREPAÑOS, DE 0.94 CMS DE ANCHO, CON ALTURA DE 2.20MTS Y CADA BANDEJA DEBE SOPORTAR UN PESO DE 100KG/MT LINEA</v>
      </c>
      <c r="C22594" s="6">
        <v>241999.99</v>
      </c>
      <c r="D22594" s="5" t="s">
        <v>499</v>
      </c>
      <c r="E22594" s="5" t="str">
        <f t="shared" si="1129"/>
        <v>ACTISALUD-ESTADISTICA</v>
      </c>
      <c r="F22594" s="5"/>
      <c r="G22594" s="5"/>
    </row>
    <row r="22595" spans="1:7" ht="58.5" customHeight="1" x14ac:dyDescent="0.25">
      <c r="A22595" s="5" t="str">
        <f>"H0022238"</f>
        <v>H0022238</v>
      </c>
      <c r="B22595" s="5" t="str">
        <f t="shared" si="1128"/>
        <v>ESTANTE CONSTRUIDOS EN LAMINAS METÁLICAS SOLIDAS, RESISTENTES Y ESTABLES CON TRATAMIENTO ANTICORROSIVO, CON 7 ENTREPAÑOS, DE 0.94 CMS DE ANCHO, CON ALTURA DE 2.20MTS Y CADA BANDEJA DEBE SOPORTAR UN PESO DE 100KG/MT LINEA</v>
      </c>
      <c r="C22595" s="6">
        <v>241999.99</v>
      </c>
      <c r="D22595" s="5" t="s">
        <v>499</v>
      </c>
      <c r="E22595" s="5" t="str">
        <f t="shared" si="1129"/>
        <v>ACTISALUD-ESTADISTICA</v>
      </c>
      <c r="F22595" s="5"/>
      <c r="G22595" s="5"/>
    </row>
    <row r="22596" spans="1:7" ht="58.5" customHeight="1" x14ac:dyDescent="0.25">
      <c r="A22596" s="5" t="str">
        <f>"H0022239"</f>
        <v>H0022239</v>
      </c>
      <c r="B22596" s="5" t="str">
        <f t="shared" si="1128"/>
        <v>ESTANTE CONSTRUIDOS EN LAMINAS METÁLICAS SOLIDAS, RESISTENTES Y ESTABLES CON TRATAMIENTO ANTICORROSIVO, CON 7 ENTREPAÑOS, DE 0.94 CMS DE ANCHO, CON ALTURA DE 2.20MTS Y CADA BANDEJA DEBE SOPORTAR UN PESO DE 100KG/MT LINEA</v>
      </c>
      <c r="C22596" s="6">
        <v>241999.99</v>
      </c>
      <c r="D22596" s="5" t="s">
        <v>499</v>
      </c>
      <c r="E22596" s="5" t="str">
        <f t="shared" si="1129"/>
        <v>ACTISALUD-ESTADISTICA</v>
      </c>
      <c r="F22596" s="5"/>
      <c r="G22596" s="5"/>
    </row>
    <row r="22597" spans="1:7" ht="58.5" customHeight="1" x14ac:dyDescent="0.25">
      <c r="A22597" s="5" t="str">
        <f>"H0022240"</f>
        <v>H0022240</v>
      </c>
      <c r="B22597" s="5" t="str">
        <f t="shared" ref="B22597:B22607" si="1130">"ESTANTE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597" s="6">
        <v>241999.99</v>
      </c>
      <c r="D22597" s="5" t="s">
        <v>499</v>
      </c>
      <c r="E22597" s="5" t="str">
        <f t="shared" si="1129"/>
        <v>ACTISALUD-ESTADISTICA</v>
      </c>
      <c r="F22597" s="5"/>
      <c r="G22597" s="5"/>
    </row>
    <row r="22598" spans="1:7" ht="58.5" customHeight="1" x14ac:dyDescent="0.25">
      <c r="A22598" s="5" t="str">
        <f>"H0022241"</f>
        <v>H0022241</v>
      </c>
      <c r="B22598" s="5" t="str">
        <f t="shared" si="1130"/>
        <v>ESTANTE CONSTRUIDOS EN LAMINAS METÁLICAS SOLIDAS, RESISTENTES Y ESTABLES CON TRATAMIENTO ANTICORROSIVO, CON 7 ENTREPAÑOS, DE 0.94 CMS DE ANCHO, CON ALTURA DE 2.20MTS Y CADA BANDEJA DEBE SOPORTAR UN PESO DE 100KG/MT LINEA</v>
      </c>
      <c r="C22598" s="6">
        <v>241999.99</v>
      </c>
      <c r="D22598" s="5" t="s">
        <v>499</v>
      </c>
      <c r="E22598" s="5" t="str">
        <f t="shared" si="1129"/>
        <v>ACTISALUD-ESTADISTICA</v>
      </c>
      <c r="F22598" s="5"/>
      <c r="G22598" s="5"/>
    </row>
    <row r="22599" spans="1:7" ht="58.5" customHeight="1" x14ac:dyDescent="0.25">
      <c r="A22599" s="5" t="str">
        <f>"H0022242"</f>
        <v>H0022242</v>
      </c>
      <c r="B22599" s="5" t="str">
        <f t="shared" si="1130"/>
        <v>ESTANTE CONSTRUIDOS EN LAMINAS METÁLICAS SOLIDAS, RESISTENTES Y ESTABLES CON TRATAMIENTO ANTICORROSIVO, CON 7 ENTREPAÑOS, DE 0.94 CMS DE ANCHO, CON ALTURA DE 2.20MTS Y CADA BANDEJA DEBE SOPORTAR UN PESO DE 100KG/MT LINEA</v>
      </c>
      <c r="C22599" s="6">
        <v>241999.99</v>
      </c>
      <c r="D22599" s="5" t="s">
        <v>499</v>
      </c>
      <c r="E22599" s="5" t="str">
        <f t="shared" si="1129"/>
        <v>ACTISALUD-ESTADISTICA</v>
      </c>
      <c r="F22599" s="5"/>
      <c r="G22599" s="5"/>
    </row>
    <row r="22600" spans="1:7" ht="58.5" customHeight="1" x14ac:dyDescent="0.25">
      <c r="A22600" s="5" t="str">
        <f>"H0022243"</f>
        <v>H0022243</v>
      </c>
      <c r="B22600" s="5" t="str">
        <f t="shared" si="1130"/>
        <v>ESTANTE CONSTRUIDOS EN LAMINAS METÁLICAS SOLIDAS, RESISTENTES Y ESTABLES CON TRATAMIENTO ANTICORROSIVO, CON 7 ENTREPAÑOS, DE 0.94 CMS DE ANCHO, CON ALTURA DE 2.20MTS Y CADA BANDEJA DEBE SOPORTAR UN PESO DE 100KG/MT LINEA</v>
      </c>
      <c r="C22600" s="6">
        <v>241999.99</v>
      </c>
      <c r="D22600" s="5" t="s">
        <v>499</v>
      </c>
      <c r="E22600" s="5" t="str">
        <f t="shared" si="1129"/>
        <v>ACTISALUD-ESTADISTICA</v>
      </c>
      <c r="F22600" s="5"/>
      <c r="G22600" s="5"/>
    </row>
    <row r="22601" spans="1:7" ht="58.5" customHeight="1" x14ac:dyDescent="0.25">
      <c r="A22601" s="5" t="str">
        <f>"H0022244"</f>
        <v>H0022244</v>
      </c>
      <c r="B22601" s="5" t="str">
        <f t="shared" si="1130"/>
        <v>ESTANTE CONSTRUIDOS EN LAMINAS METÁLICAS SOLIDAS, RESISTENTES Y ESTABLES CON TRATAMIENTO ANTICORROSIVO, CON 7 ENTREPAÑOS, DE 0.94 CMS DE ANCHO, CON ALTURA DE 2.20MTS Y CADA BANDEJA DEBE SOPORTAR UN PESO DE 100KG/MT LINEA</v>
      </c>
      <c r="C22601" s="6">
        <v>241999.99</v>
      </c>
      <c r="D22601" s="5" t="s">
        <v>499</v>
      </c>
      <c r="E22601" s="5" t="str">
        <f t="shared" si="1129"/>
        <v>ACTISALUD-ESTADISTICA</v>
      </c>
      <c r="F22601" s="5"/>
      <c r="G22601" s="5"/>
    </row>
    <row r="22602" spans="1:7" ht="58.5" customHeight="1" x14ac:dyDescent="0.25">
      <c r="A22602" s="5" t="str">
        <f>"H0022245"</f>
        <v>H0022245</v>
      </c>
      <c r="B22602" s="5" t="str">
        <f t="shared" si="1130"/>
        <v>ESTANTE CONSTRUIDOS EN LAMINAS METÁLICAS SOLIDAS, RESISTENTES Y ESTABLES CON TRATAMIENTO ANTICORROSIVO, CON 7 ENTREPAÑOS, DE 0.94 CMS DE ANCHO, CON ALTURA DE 2.20MTS Y CADA BANDEJA DEBE SOPORTAR UN PESO DE 100KG/MT LINEA</v>
      </c>
      <c r="C22602" s="6">
        <v>241999.99</v>
      </c>
      <c r="D22602" s="5" t="s">
        <v>499</v>
      </c>
      <c r="E22602" s="5" t="str">
        <f t="shared" si="1129"/>
        <v>ACTISALUD-ESTADISTICA</v>
      </c>
      <c r="F22602" s="5"/>
      <c r="G22602" s="5"/>
    </row>
    <row r="22603" spans="1:7" ht="58.5" customHeight="1" x14ac:dyDescent="0.25">
      <c r="A22603" s="5" t="str">
        <f>"H0022246"</f>
        <v>H0022246</v>
      </c>
      <c r="B22603" s="5" t="str">
        <f t="shared" si="1130"/>
        <v>ESTANTE CONSTRUIDOS EN LAMINAS METÁLICAS SOLIDAS, RESISTENTES Y ESTABLES CON TRATAMIENTO ANTICORROSIVO, CON 7 ENTREPAÑOS, DE 0.94 CMS DE ANCHO, CON ALTURA DE 2.20MTS Y CADA BANDEJA DEBE SOPORTAR UN PESO DE 100KG/MT LINEA</v>
      </c>
      <c r="C22603" s="6">
        <v>241999.99</v>
      </c>
      <c r="D22603" s="5" t="s">
        <v>499</v>
      </c>
      <c r="E22603" s="5" t="str">
        <f t="shared" si="1129"/>
        <v>ACTISALUD-ESTADISTICA</v>
      </c>
      <c r="F22603" s="5"/>
      <c r="G22603" s="5"/>
    </row>
    <row r="22604" spans="1:7" ht="58.5" customHeight="1" x14ac:dyDescent="0.25">
      <c r="A22604" s="5" t="str">
        <f>"H0022247"</f>
        <v>H0022247</v>
      </c>
      <c r="B22604" s="5" t="str">
        <f t="shared" si="1130"/>
        <v>ESTANTE CONSTRUIDOS EN LAMINAS METÁLICAS SOLIDAS, RESISTENTES Y ESTABLES CON TRATAMIENTO ANTICORROSIVO, CON 7 ENTREPAÑOS, DE 0.94 CMS DE ANCHO, CON ALTURA DE 2.20MTS Y CADA BANDEJA DEBE SOPORTAR UN PESO DE 100KG/MT LINEA</v>
      </c>
      <c r="C22604" s="6">
        <v>241999.99</v>
      </c>
      <c r="D22604" s="5" t="s">
        <v>499</v>
      </c>
      <c r="E22604" s="5" t="str">
        <f t="shared" si="1129"/>
        <v>ACTISALUD-ESTADISTICA</v>
      </c>
      <c r="F22604" s="5"/>
      <c r="G22604" s="5"/>
    </row>
    <row r="22605" spans="1:7" ht="58.5" customHeight="1" x14ac:dyDescent="0.25">
      <c r="A22605" s="5" t="str">
        <f>"H0022248"</f>
        <v>H0022248</v>
      </c>
      <c r="B22605" s="5" t="str">
        <f t="shared" si="1130"/>
        <v>ESTANTE CONSTRUIDOS EN LAMINAS METÁLICAS SOLIDAS, RESISTENTES Y ESTABLES CON TRATAMIENTO ANTICORROSIVO, CON 7 ENTREPAÑOS, DE 0.94 CMS DE ANCHO, CON ALTURA DE 2.20MTS Y CADA BANDEJA DEBE SOPORTAR UN PESO DE 100KG/MT LINEA</v>
      </c>
      <c r="C22605" s="6">
        <v>241999.99</v>
      </c>
      <c r="D22605" s="5" t="s">
        <v>499</v>
      </c>
      <c r="E22605" s="5" t="str">
        <f t="shared" si="1129"/>
        <v>ACTISALUD-ESTADISTICA</v>
      </c>
      <c r="F22605" s="5"/>
      <c r="G22605" s="5"/>
    </row>
    <row r="22606" spans="1:7" ht="58.5" customHeight="1" x14ac:dyDescent="0.25">
      <c r="A22606" s="5" t="str">
        <f>"H0022249"</f>
        <v>H0022249</v>
      </c>
      <c r="B22606" s="5" t="str">
        <f t="shared" si="1130"/>
        <v>ESTANTE CONSTRUIDOS EN LAMINAS METÁLICAS SOLIDAS, RESISTENTES Y ESTABLES CON TRATAMIENTO ANTICORROSIVO, CON 7 ENTREPAÑOS, DE 0.94 CMS DE ANCHO, CON ALTURA DE 2.20MTS Y CADA BANDEJA DEBE SOPORTAR UN PESO DE 100KG/MT LINEA</v>
      </c>
      <c r="C22606" s="6">
        <v>241999.99</v>
      </c>
      <c r="D22606" s="5" t="s">
        <v>499</v>
      </c>
      <c r="E22606" s="5" t="str">
        <f t="shared" si="1129"/>
        <v>ACTISALUD-ESTADISTICA</v>
      </c>
      <c r="F22606" s="5"/>
      <c r="G22606" s="5"/>
    </row>
    <row r="22607" spans="1:7" ht="58.5" customHeight="1" x14ac:dyDescent="0.25">
      <c r="A22607" s="5" t="str">
        <f>"H0022250"</f>
        <v>H0022250</v>
      </c>
      <c r="B22607" s="5" t="str">
        <f t="shared" si="1130"/>
        <v>ESTANTE CONSTRUIDOS EN LAMINAS METÁLICAS SOLIDAS, RESISTENTES Y ESTABLES CON TRATAMIENTO ANTICORROSIVO, CON 7 ENTREPAÑOS, DE 0.94 CMS DE ANCHO, CON ALTURA DE 2.20MTS Y CADA BANDEJA DEBE SOPORTAR UN PESO DE 100KG/MT LINEA</v>
      </c>
      <c r="C22607" s="6">
        <v>241999.99</v>
      </c>
      <c r="D22607" s="5" t="s">
        <v>499</v>
      </c>
      <c r="E22607" s="5" t="str">
        <f t="shared" si="1129"/>
        <v>ACTISALUD-ESTADISTICA</v>
      </c>
      <c r="F22607" s="5"/>
      <c r="G22607" s="5"/>
    </row>
    <row r="22608" spans="1:7" ht="58.5" customHeight="1" x14ac:dyDescent="0.25">
      <c r="A22608" s="5" t="str">
        <f>"H0024132"</f>
        <v>H0024132</v>
      </c>
      <c r="B22608" s="5" t="str">
        <f>"EXTINTOR 2.5 GLS DE AGUA ACERO CARBONO"</f>
        <v>EXTINTOR 2.5 GLS DE AGUA ACERO CARBONO</v>
      </c>
      <c r="C22608" s="6">
        <v>90000</v>
      </c>
      <c r="D22608" s="5" t="s">
        <v>630</v>
      </c>
      <c r="E22608" s="5" t="str">
        <f t="shared" si="1129"/>
        <v>ACTISALUD-ESTADISTICA</v>
      </c>
      <c r="F22608" s="5"/>
      <c r="G22608" s="5"/>
    </row>
    <row r="22609" spans="1:7" ht="58.5" customHeight="1" x14ac:dyDescent="0.25">
      <c r="A22609" s="5" t="str">
        <f>"H0024133"</f>
        <v>H0024133</v>
      </c>
      <c r="B22609" s="5" t="str">
        <f>"EXTINTOR 2.5 GLS DE AGUA ACERO CARBONO"</f>
        <v>EXTINTOR 2.5 GLS DE AGUA ACERO CARBONO</v>
      </c>
      <c r="C22609" s="6">
        <v>90000</v>
      </c>
      <c r="D22609" s="5" t="s">
        <v>458</v>
      </c>
      <c r="E22609" s="5" t="str">
        <f t="shared" si="1129"/>
        <v>ACTISALUD-ESTADISTICA</v>
      </c>
      <c r="F22609" s="5"/>
      <c r="G22609" s="5"/>
    </row>
    <row r="22610" spans="1:7" ht="58.5" customHeight="1" x14ac:dyDescent="0.25">
      <c r="A22610" s="5" t="str">
        <f>"H0024134"</f>
        <v>H0024134</v>
      </c>
      <c r="B22610" s="5" t="str">
        <f>"EXTINTOR 2.5 GLS DE AGUA ACERO CARBONO"</f>
        <v>EXTINTOR 2.5 GLS DE AGUA ACERO CARBONO</v>
      </c>
      <c r="C22610" s="6">
        <v>90000</v>
      </c>
      <c r="D22610" s="5" t="s">
        <v>458</v>
      </c>
      <c r="E22610" s="5" t="str">
        <f t="shared" si="1129"/>
        <v>ACTISALUD-ESTADISTICA</v>
      </c>
      <c r="F22610" s="5"/>
      <c r="G22610" s="5"/>
    </row>
    <row r="22611" spans="1:7" ht="58.5" customHeight="1" x14ac:dyDescent="0.25">
      <c r="A22611" s="5" t="str">
        <f>"H0025389"</f>
        <v>H0025389</v>
      </c>
      <c r="B2261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2611" s="6">
        <v>312156</v>
      </c>
      <c r="D22611" s="5" t="s">
        <v>10</v>
      </c>
      <c r="E22611" s="5" t="str">
        <f t="shared" si="1129"/>
        <v>ACTISALUD-ESTADISTICA</v>
      </c>
      <c r="F22611" s="5"/>
      <c r="G22611" s="5"/>
    </row>
    <row r="22612" spans="1:7" ht="58.5" customHeight="1" x14ac:dyDescent="0.25">
      <c r="A22612" s="5" t="str">
        <f>"H0025432"</f>
        <v>H0025432</v>
      </c>
      <c r="B22612"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2612" s="6">
        <v>312156</v>
      </c>
      <c r="D22612" s="5" t="s">
        <v>10</v>
      </c>
      <c r="E22612" s="5" t="str">
        <f t="shared" si="1129"/>
        <v>ACTISALUD-ESTADISTICA</v>
      </c>
      <c r="F22612" s="5"/>
      <c r="G22612" s="5"/>
    </row>
    <row r="22613" spans="1:7" ht="58.5" customHeight="1" x14ac:dyDescent="0.25">
      <c r="A22613" s="5" t="str">
        <f>"H0025683"</f>
        <v>H0025683</v>
      </c>
      <c r="B22613" s="5" t="str">
        <f>"SILLA GERENCIAL REF. JOB, CUATRO BLOQUEOS, AJUSTE EN RECUESTE DE SILLA CUANDO NO ESTA EN PSICION FIJA, GRADUACIO EN ALTURA DE ASIENTO, BRAZO GRADUABLE EN ALTURA, GIRA Y DESLIZA, ESPALDAR GRADUABLE EN ALTURA, CABECERO GRADUABLE EN ALTURA Y BASCULANTE"</f>
        <v>SILLA GERENCIAL REF. JOB, CUATRO BLOQUEOS, AJUSTE EN RECUESTE DE SILLA CUANDO NO ESTA EN PSICION FIJA, GRADUACIO EN ALTURA DE ASIENTO, BRAZO GRADUABLE EN ALTURA, GIRA Y DESLIZA, ESPALDAR GRADUABLE EN ALTURA, CABECERO GRADUABLE EN ALTURA Y BASCULANTE</v>
      </c>
      <c r="C22613" s="6">
        <v>773500</v>
      </c>
      <c r="D22613" s="5" t="s">
        <v>658</v>
      </c>
      <c r="E22613" s="5" t="str">
        <f t="shared" si="1129"/>
        <v>ACTISALUD-ESTADISTICA</v>
      </c>
      <c r="F22613" s="5"/>
      <c r="G22613" s="5"/>
    </row>
    <row r="22614" spans="1:7" ht="58.5" customHeight="1" x14ac:dyDescent="0.25">
      <c r="A22614" s="5" t="str">
        <f>"H0026064"</f>
        <v>H0026064</v>
      </c>
      <c r="B22614"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22614" s="6">
        <v>68620</v>
      </c>
      <c r="D22614" s="5" t="s">
        <v>220</v>
      </c>
      <c r="E22614" s="5" t="str">
        <f t="shared" si="1129"/>
        <v>ACTISALUD-ESTADISTICA</v>
      </c>
      <c r="F22614" s="5"/>
      <c r="G22614" s="5"/>
    </row>
    <row r="22615" spans="1:7" ht="58.5" customHeight="1" x14ac:dyDescent="0.25">
      <c r="A22615" s="5" t="str">
        <f>"H0026065"</f>
        <v>H0026065</v>
      </c>
      <c r="B22615"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22615" s="6">
        <v>68620</v>
      </c>
      <c r="D22615" s="5" t="s">
        <v>220</v>
      </c>
      <c r="E22615" s="5" t="str">
        <f t="shared" si="1129"/>
        <v>ACTISALUD-ESTADISTICA</v>
      </c>
      <c r="F22615" s="5"/>
      <c r="G22615" s="5"/>
    </row>
    <row r="22616" spans="1:7" ht="58.5" customHeight="1" x14ac:dyDescent="0.25">
      <c r="A22616" s="5" t="str">
        <f>"H0026066"</f>
        <v>H0026066</v>
      </c>
      <c r="B22616"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22616" s="6">
        <v>68620</v>
      </c>
      <c r="D22616" s="5" t="s">
        <v>220</v>
      </c>
      <c r="E22616" s="5" t="str">
        <f t="shared" si="1129"/>
        <v>ACTISALUD-ESTADISTICA</v>
      </c>
      <c r="F22616" s="5"/>
      <c r="G22616" s="5"/>
    </row>
    <row r="22617" spans="1:7" ht="58.5" customHeight="1" x14ac:dyDescent="0.25">
      <c r="A22617" s="5" t="str">
        <f>"H0026067"</f>
        <v>H0026067</v>
      </c>
      <c r="B22617"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22617" s="6">
        <v>68620</v>
      </c>
      <c r="D22617" s="5" t="s">
        <v>220</v>
      </c>
      <c r="E22617" s="5" t="str">
        <f t="shared" si="1129"/>
        <v>ACTISALUD-ESTADISTICA</v>
      </c>
      <c r="F22617" s="5"/>
      <c r="G22617" s="5"/>
    </row>
    <row r="22618" spans="1:7" ht="58.5" customHeight="1" x14ac:dyDescent="0.25">
      <c r="A22618" s="5" t="str">
        <f>"H0026789"</f>
        <v>H0026789</v>
      </c>
      <c r="B22618" s="5" t="str">
        <f>"PUESTO DE TRABAJO DIMENSIONES LARGO 18.20 MTS Y ANCHO 060 MTS"</f>
        <v>PUESTO DE TRABAJO DIMENSIONES LARGO 18.20 MTS Y ANCHO 060 MTS</v>
      </c>
      <c r="C22618" s="6">
        <v>3394054</v>
      </c>
      <c r="D22618" s="5" t="s">
        <v>826</v>
      </c>
      <c r="E22618" s="5" t="str">
        <f t="shared" si="1129"/>
        <v>ACTISALUD-ESTADISTICA</v>
      </c>
      <c r="F22618" s="5"/>
      <c r="G22618" s="5"/>
    </row>
    <row r="22619" spans="1:7" ht="58.5" customHeight="1" x14ac:dyDescent="0.25">
      <c r="A22619" s="5" t="str">
        <f>"H0027190"</f>
        <v>H0027190</v>
      </c>
      <c r="B22619"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2619" s="6">
        <v>2641800</v>
      </c>
      <c r="D22619" s="5" t="s">
        <v>38</v>
      </c>
      <c r="E22619" s="5" t="str">
        <f t="shared" si="1129"/>
        <v>ACTISALUD-ESTADISTICA</v>
      </c>
      <c r="F22619" s="5"/>
      <c r="G22619" s="5"/>
    </row>
    <row r="22620" spans="1:7" ht="58.5" customHeight="1" x14ac:dyDescent="0.25">
      <c r="A22620" s="5" t="str">
        <f>"H0027191"</f>
        <v>H0027191</v>
      </c>
      <c r="B2262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2620" s="6">
        <v>2641800</v>
      </c>
      <c r="D22620" s="5" t="s">
        <v>38</v>
      </c>
      <c r="E22620" s="5" t="str">
        <f t="shared" si="1129"/>
        <v>ACTISALUD-ESTADISTICA</v>
      </c>
      <c r="F22620" s="5"/>
      <c r="G22620" s="5"/>
    </row>
    <row r="22621" spans="1:7" ht="58.5" customHeight="1" x14ac:dyDescent="0.25">
      <c r="A22621" s="5" t="str">
        <f>"H0027192"</f>
        <v>H0027192</v>
      </c>
      <c r="B2262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2621" s="6">
        <v>2641800</v>
      </c>
      <c r="D22621" s="5" t="s">
        <v>386</v>
      </c>
      <c r="E22621" s="5" t="str">
        <f t="shared" si="1129"/>
        <v>ACTISALUD-ESTADISTICA</v>
      </c>
      <c r="F22621" s="5"/>
      <c r="G22621" s="5"/>
    </row>
    <row r="22622" spans="1:7" ht="58.5" customHeight="1" x14ac:dyDescent="0.25">
      <c r="A22622" s="5" t="str">
        <f>"H0027226"</f>
        <v>H0027226</v>
      </c>
      <c r="B2262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2622" s="6">
        <v>2641800</v>
      </c>
      <c r="D22622" s="5" t="s">
        <v>38</v>
      </c>
      <c r="E22622" s="5" t="str">
        <f t="shared" si="1129"/>
        <v>ACTISALUD-ESTADISTICA</v>
      </c>
      <c r="F22622" s="5"/>
      <c r="G22622" s="5"/>
    </row>
    <row r="22623" spans="1:7" ht="58.5" customHeight="1" x14ac:dyDescent="0.25">
      <c r="A22623" s="5" t="str">
        <f>"H0027308"</f>
        <v>H0027308</v>
      </c>
      <c r="B22623" s="5" t="str">
        <f>"ESCANER DE ALTA VELOCIDAD 35 PPM"</f>
        <v>ESCANER DE ALTA VELOCIDAD 35 PPM</v>
      </c>
      <c r="C22623" s="6">
        <v>1237171.56</v>
      </c>
      <c r="D22623" s="5" t="s">
        <v>12</v>
      </c>
      <c r="E22623" s="5" t="str">
        <f t="shared" si="1129"/>
        <v>ACTISALUD-ESTADISTICA</v>
      </c>
      <c r="F22623" s="5"/>
      <c r="G22623" s="5"/>
    </row>
    <row r="22624" spans="1:7" ht="58.5" customHeight="1" x14ac:dyDescent="0.25">
      <c r="A22624" s="5" t="str">
        <f>"H0027315"</f>
        <v>H0027315</v>
      </c>
      <c r="B22624" s="5" t="str">
        <f>"ESCANER DE ALTA VELOCIDAD 35 PPM"</f>
        <v>ESCANER DE ALTA VELOCIDAD 35 PPM</v>
      </c>
      <c r="C22624" s="6">
        <v>1237171.56</v>
      </c>
      <c r="D22624" s="5" t="s">
        <v>12</v>
      </c>
      <c r="E22624" s="5" t="str">
        <f t="shared" si="1129"/>
        <v>ACTISALUD-ESTADISTICA</v>
      </c>
      <c r="F22624" s="5"/>
      <c r="G22624" s="5"/>
    </row>
    <row r="22625" spans="1:7" ht="58.5" customHeight="1" x14ac:dyDescent="0.25">
      <c r="A22625" s="5" t="str">
        <f>"H0028741"</f>
        <v>H0028741</v>
      </c>
      <c r="B22625" s="5" t="str">
        <f t="shared" ref="B22625:B22630" si="1131">"VENTILADOR DE PEDESTAL"</f>
        <v>VENTILADOR DE PEDESTAL</v>
      </c>
      <c r="C22625" s="6">
        <v>99899.96</v>
      </c>
      <c r="D22625" s="5" t="s">
        <v>39</v>
      </c>
      <c r="E22625" s="5" t="str">
        <f t="shared" si="1129"/>
        <v>ACTISALUD-ESTADISTICA</v>
      </c>
      <c r="F22625" s="5"/>
      <c r="G22625" s="5"/>
    </row>
    <row r="22626" spans="1:7" ht="58.5" customHeight="1" x14ac:dyDescent="0.25">
      <c r="A22626" s="5" t="str">
        <f>"H0028742"</f>
        <v>H0028742</v>
      </c>
      <c r="B22626" s="5" t="str">
        <f t="shared" si="1131"/>
        <v>VENTILADOR DE PEDESTAL</v>
      </c>
      <c r="C22626" s="6">
        <v>99899.96</v>
      </c>
      <c r="D22626" s="5" t="s">
        <v>39</v>
      </c>
      <c r="E22626" s="5" t="str">
        <f t="shared" si="1129"/>
        <v>ACTISALUD-ESTADISTICA</v>
      </c>
      <c r="F22626" s="5"/>
      <c r="G22626" s="5"/>
    </row>
    <row r="22627" spans="1:7" ht="58.5" customHeight="1" x14ac:dyDescent="0.25">
      <c r="A22627" s="5" t="str">
        <f>"H0028743"</f>
        <v>H0028743</v>
      </c>
      <c r="B22627" s="5" t="str">
        <f t="shared" si="1131"/>
        <v>VENTILADOR DE PEDESTAL</v>
      </c>
      <c r="C22627" s="6">
        <v>99899.96</v>
      </c>
      <c r="D22627" s="5" t="s">
        <v>39</v>
      </c>
      <c r="E22627" s="5" t="str">
        <f t="shared" si="1129"/>
        <v>ACTISALUD-ESTADISTICA</v>
      </c>
      <c r="F22627" s="5"/>
      <c r="G22627" s="5"/>
    </row>
    <row r="22628" spans="1:7" ht="58.5" customHeight="1" x14ac:dyDescent="0.25">
      <c r="A22628" s="5" t="str">
        <f>"H0028744"</f>
        <v>H0028744</v>
      </c>
      <c r="B22628" s="5" t="str">
        <f t="shared" si="1131"/>
        <v>VENTILADOR DE PEDESTAL</v>
      </c>
      <c r="C22628" s="6">
        <v>99899.96</v>
      </c>
      <c r="D22628" s="5" t="s">
        <v>39</v>
      </c>
      <c r="E22628" s="5" t="str">
        <f t="shared" si="1129"/>
        <v>ACTISALUD-ESTADISTICA</v>
      </c>
      <c r="F22628" s="5"/>
      <c r="G22628" s="5"/>
    </row>
    <row r="22629" spans="1:7" ht="58.5" customHeight="1" x14ac:dyDescent="0.25">
      <c r="A22629" s="5" t="str">
        <f>"H0028745"</f>
        <v>H0028745</v>
      </c>
      <c r="B22629" s="5" t="str">
        <f t="shared" si="1131"/>
        <v>VENTILADOR DE PEDESTAL</v>
      </c>
      <c r="C22629" s="6">
        <v>99899.96</v>
      </c>
      <c r="D22629" s="5" t="s">
        <v>39</v>
      </c>
      <c r="E22629" s="5" t="str">
        <f t="shared" si="1129"/>
        <v>ACTISALUD-ESTADISTICA</v>
      </c>
      <c r="F22629" s="5"/>
      <c r="G22629" s="5"/>
    </row>
    <row r="22630" spans="1:7" ht="58.5" customHeight="1" x14ac:dyDescent="0.25">
      <c r="A22630" s="5" t="str">
        <f>"H0028746"</f>
        <v>H0028746</v>
      </c>
      <c r="B22630" s="5" t="str">
        <f t="shared" si="1131"/>
        <v>VENTILADOR DE PEDESTAL</v>
      </c>
      <c r="C22630" s="6">
        <v>99899.96</v>
      </c>
      <c r="D22630" s="5" t="s">
        <v>39</v>
      </c>
      <c r="E22630" s="5" t="str">
        <f t="shared" si="1129"/>
        <v>ACTISALUD-ESTADISTICA</v>
      </c>
      <c r="F22630" s="5"/>
      <c r="G22630" s="5"/>
    </row>
    <row r="22631" spans="1:7" ht="58.5" customHeight="1" x14ac:dyDescent="0.25">
      <c r="A22631" s="5" t="str">
        <f>"H0029276"</f>
        <v>H0029276</v>
      </c>
      <c r="B22631" s="5" t="str">
        <f>"SILLA HERGONOMICA CON SISTEMA HIDRAULICO"</f>
        <v>SILLA HERGONOMICA CON SISTEMA HIDRAULICO</v>
      </c>
      <c r="C22631" s="6">
        <v>174900</v>
      </c>
      <c r="D22631" s="5" t="s">
        <v>89</v>
      </c>
      <c r="E22631" s="5" t="str">
        <f t="shared" si="1129"/>
        <v>ACTISALUD-ESTADISTICA</v>
      </c>
      <c r="F22631" s="5"/>
      <c r="G22631" s="5"/>
    </row>
    <row r="22632" spans="1:7" ht="58.5" customHeight="1" x14ac:dyDescent="0.25">
      <c r="A22632" s="5" t="str">
        <f>"H0029278"</f>
        <v>H0029278</v>
      </c>
      <c r="B22632" s="5" t="str">
        <f>"SILLA HERGONOMICA CON SISTEMA HIDRAULICO"</f>
        <v>SILLA HERGONOMICA CON SISTEMA HIDRAULICO</v>
      </c>
      <c r="C22632" s="6">
        <v>174900</v>
      </c>
      <c r="D22632" s="5" t="s">
        <v>89</v>
      </c>
      <c r="E22632" s="5" t="str">
        <f t="shared" si="1129"/>
        <v>ACTISALUD-ESTADISTICA</v>
      </c>
      <c r="F22632" s="5"/>
      <c r="G22632" s="5"/>
    </row>
    <row r="22633" spans="1:7" ht="58.5" customHeight="1" x14ac:dyDescent="0.25">
      <c r="A22633" s="5" t="str">
        <f>"H0029284"</f>
        <v>H0029284</v>
      </c>
      <c r="B22633" s="5" t="str">
        <f>"SILLA HERGONOMICA CON SISTEMA HIDRAULICO"</f>
        <v>SILLA HERGONOMICA CON SISTEMA HIDRAULICO</v>
      </c>
      <c r="C22633" s="6">
        <v>174900</v>
      </c>
      <c r="D22633" s="5" t="s">
        <v>89</v>
      </c>
      <c r="E22633" s="5" t="str">
        <f t="shared" si="1129"/>
        <v>ACTISALUD-ESTADISTICA</v>
      </c>
      <c r="F22633" s="5"/>
      <c r="G22633" s="5"/>
    </row>
    <row r="22634" spans="1:7" ht="58.5" customHeight="1" x14ac:dyDescent="0.25">
      <c r="A22634" s="5" t="str">
        <f>"H0029757"</f>
        <v>H0029757</v>
      </c>
      <c r="B22634" s="5" t="s">
        <v>94</v>
      </c>
      <c r="C22634" s="6">
        <v>148999.9</v>
      </c>
      <c r="D22634" s="5" t="s">
        <v>93</v>
      </c>
      <c r="E22634" s="5" t="str">
        <f t="shared" si="1129"/>
        <v>ACTISALUD-ESTADISTICA</v>
      </c>
      <c r="F22634" s="5"/>
      <c r="G22634" s="5"/>
    </row>
    <row r="22635" spans="1:7" ht="58.5" customHeight="1" x14ac:dyDescent="0.25">
      <c r="A22635" s="5" t="str">
        <f>"H0029758"</f>
        <v>H0029758</v>
      </c>
      <c r="B22635" s="5" t="s">
        <v>94</v>
      </c>
      <c r="C22635" s="6">
        <v>148999.9</v>
      </c>
      <c r="D22635" s="5" t="s">
        <v>93</v>
      </c>
      <c r="E22635" s="5" t="str">
        <f t="shared" si="1129"/>
        <v>ACTISALUD-ESTADISTICA</v>
      </c>
      <c r="F22635" s="5"/>
      <c r="G22635" s="5"/>
    </row>
    <row r="22636" spans="1:7" ht="58.5" customHeight="1" x14ac:dyDescent="0.25">
      <c r="A22636" s="5" t="str">
        <f>"H0030559"</f>
        <v>H0030559</v>
      </c>
      <c r="B22636" s="5" t="str">
        <f>"LICENCIA DE ANTIVIRUS ESET ENDPOINT POR TRES (3) AÑOS - RENOVACIÓN"</f>
        <v>LICENCIA DE ANTIVIRUS ESET ENDPOINT POR TRES (3) AÑOS - RENOVACIÓN</v>
      </c>
      <c r="C22636" s="6">
        <v>50000</v>
      </c>
      <c r="D22636" s="5" t="s">
        <v>362</v>
      </c>
      <c r="E22636" s="5" t="str">
        <f t="shared" si="1129"/>
        <v>ACTISALUD-ESTADISTICA</v>
      </c>
      <c r="F22636" s="5"/>
      <c r="G22636" s="5"/>
    </row>
    <row r="22637" spans="1:7" ht="58.5" customHeight="1" x14ac:dyDescent="0.25">
      <c r="A22637" s="5" t="str">
        <f>"H0030573"</f>
        <v>H0030573</v>
      </c>
      <c r="B22637" s="5" t="str">
        <f>"LICENCIA DE ANTIVIRUS ESET ENDPOINT POR TRES (3) AÑOS - RENOVACIÓN"</f>
        <v>LICENCIA DE ANTIVIRUS ESET ENDPOINT POR TRES (3) AÑOS - RENOVACIÓN</v>
      </c>
      <c r="C22637" s="6">
        <v>50000</v>
      </c>
      <c r="D22637" s="5" t="s">
        <v>362</v>
      </c>
      <c r="E22637" s="5" t="str">
        <f t="shared" si="1129"/>
        <v>ACTISALUD-ESTADISTICA</v>
      </c>
      <c r="F22637" s="5"/>
      <c r="G22637" s="5"/>
    </row>
    <row r="22638" spans="1:7" ht="58.5" customHeight="1" x14ac:dyDescent="0.25">
      <c r="A22638" s="5" t="str">
        <f>"H0031442"</f>
        <v>H0031442</v>
      </c>
      <c r="B2263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2638" s="6">
        <v>3209500</v>
      </c>
      <c r="D22638" s="5" t="s">
        <v>16</v>
      </c>
      <c r="E22638" s="5" t="str">
        <f t="shared" si="1129"/>
        <v>ACTISALUD-ESTADISTICA</v>
      </c>
      <c r="F22638" s="5"/>
      <c r="G22638" s="5"/>
    </row>
    <row r="22639" spans="1:7" ht="58.5" customHeight="1" x14ac:dyDescent="0.25">
      <c r="A22639" s="5" t="str">
        <f>"H0031444"</f>
        <v>H0031444</v>
      </c>
      <c r="B2263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2639" s="6">
        <v>3209500</v>
      </c>
      <c r="D22639" s="5" t="s">
        <v>16</v>
      </c>
      <c r="E22639" s="5" t="str">
        <f t="shared" si="1129"/>
        <v>ACTISALUD-ESTADISTICA</v>
      </c>
      <c r="F22639" s="5"/>
      <c r="G22639" s="5"/>
    </row>
    <row r="22640" spans="1:7" ht="58.5" customHeight="1" x14ac:dyDescent="0.25">
      <c r="A22640" s="5" t="str">
        <f>"H0031825"</f>
        <v>H0031825</v>
      </c>
      <c r="B22640" s="5" t="str">
        <f>"SILLA GIRATORIA SIN BRAZOS CON RODACHINES"</f>
        <v>SILLA GIRATORIA SIN BRAZOS CON RODACHINES</v>
      </c>
      <c r="C22640" s="6">
        <v>244999.56</v>
      </c>
      <c r="D22640" s="5" t="s">
        <v>43</v>
      </c>
      <c r="E22640" s="5" t="str">
        <f t="shared" si="1129"/>
        <v>ACTISALUD-ESTADISTICA</v>
      </c>
      <c r="F22640" s="5"/>
      <c r="G22640" s="5"/>
    </row>
    <row r="22641" spans="1:7" ht="58.5" customHeight="1" x14ac:dyDescent="0.25">
      <c r="A22641" s="5" t="str">
        <f>"H0031884"</f>
        <v>H0031884</v>
      </c>
      <c r="B22641"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2641" s="6">
        <v>2647750</v>
      </c>
      <c r="D22641" s="5" t="s">
        <v>44</v>
      </c>
      <c r="E22641" s="5" t="str">
        <f t="shared" si="1129"/>
        <v>ACTISALUD-ESTADISTICA</v>
      </c>
      <c r="F22641" s="5"/>
      <c r="G22641" s="5" t="str">
        <f>"DS-870"</f>
        <v>DS-870</v>
      </c>
    </row>
    <row r="22642" spans="1:7" ht="58.5" customHeight="1" x14ac:dyDescent="0.25">
      <c r="A22642" s="5" t="str">
        <f>"H0031885"</f>
        <v>H0031885</v>
      </c>
      <c r="B22642"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2642" s="6">
        <v>2647750</v>
      </c>
      <c r="D22642" s="5" t="s">
        <v>44</v>
      </c>
      <c r="E22642" s="5" t="str">
        <f t="shared" si="1129"/>
        <v>ACTISALUD-ESTADISTICA</v>
      </c>
      <c r="F22642" s="5"/>
      <c r="G22642" s="5" t="str">
        <f>"DS-870"</f>
        <v>DS-870</v>
      </c>
    </row>
    <row r="22643" spans="1:7" ht="58.5" customHeight="1" x14ac:dyDescent="0.25">
      <c r="A22643" s="5" t="str">
        <f>"H0031886"</f>
        <v>H0031886</v>
      </c>
      <c r="B22643"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2643" s="6">
        <v>2647750</v>
      </c>
      <c r="D22643" s="5" t="s">
        <v>44</v>
      </c>
      <c r="E22643" s="5" t="str">
        <f t="shared" si="1129"/>
        <v>ACTISALUD-ESTADISTICA</v>
      </c>
      <c r="F22643" s="5"/>
      <c r="G22643" s="5" t="str">
        <f>"DS-870"</f>
        <v>DS-870</v>
      </c>
    </row>
    <row r="22644" spans="1:7" ht="58.5" customHeight="1" x14ac:dyDescent="0.25">
      <c r="A22644" s="5" t="str">
        <f>"H0035084"</f>
        <v>H0035084</v>
      </c>
      <c r="B22644" s="5" t="str">
        <f t="shared" ref="B22644:B22655" si="1132">"VENTILADOR DE PARED"</f>
        <v>VENTILADOR DE PARED</v>
      </c>
      <c r="C22644" s="6">
        <v>130000.37</v>
      </c>
      <c r="D22644" s="5" t="s">
        <v>25</v>
      </c>
      <c r="E22644" s="5" t="str">
        <f t="shared" si="1129"/>
        <v>ACTISALUD-ESTADISTICA</v>
      </c>
      <c r="F22644" s="5"/>
      <c r="G22644" s="5"/>
    </row>
    <row r="22645" spans="1:7" ht="58.5" customHeight="1" x14ac:dyDescent="0.25">
      <c r="A22645" s="5" t="str">
        <f>"H0035085"</f>
        <v>H0035085</v>
      </c>
      <c r="B22645" s="5" t="str">
        <f t="shared" si="1132"/>
        <v>VENTILADOR DE PARED</v>
      </c>
      <c r="C22645" s="6">
        <v>130000.37</v>
      </c>
      <c r="D22645" s="5" t="s">
        <v>25</v>
      </c>
      <c r="E22645" s="5" t="str">
        <f t="shared" si="1129"/>
        <v>ACTISALUD-ESTADISTICA</v>
      </c>
      <c r="F22645" s="5"/>
      <c r="G22645" s="5"/>
    </row>
    <row r="22646" spans="1:7" ht="58.5" customHeight="1" x14ac:dyDescent="0.25">
      <c r="A22646" s="5" t="str">
        <f>"H0035086"</f>
        <v>H0035086</v>
      </c>
      <c r="B22646" s="5" t="str">
        <f t="shared" si="1132"/>
        <v>VENTILADOR DE PARED</v>
      </c>
      <c r="C22646" s="6">
        <v>130000.37</v>
      </c>
      <c r="D22646" s="5" t="s">
        <v>25</v>
      </c>
      <c r="E22646" s="5" t="str">
        <f t="shared" ref="E22646:E22709" si="1133">"ACTISALUD-ESTADISTICA"</f>
        <v>ACTISALUD-ESTADISTICA</v>
      </c>
      <c r="F22646" s="5"/>
      <c r="G22646" s="5"/>
    </row>
    <row r="22647" spans="1:7" ht="58.5" customHeight="1" x14ac:dyDescent="0.25">
      <c r="A22647" s="5" t="str">
        <f>"H0035087"</f>
        <v>H0035087</v>
      </c>
      <c r="B22647" s="5" t="str">
        <f t="shared" si="1132"/>
        <v>VENTILADOR DE PARED</v>
      </c>
      <c r="C22647" s="6">
        <v>130000.37</v>
      </c>
      <c r="D22647" s="5" t="s">
        <v>25</v>
      </c>
      <c r="E22647" s="5" t="str">
        <f t="shared" si="1133"/>
        <v>ACTISALUD-ESTADISTICA</v>
      </c>
      <c r="F22647" s="5"/>
      <c r="G22647" s="5"/>
    </row>
    <row r="22648" spans="1:7" ht="58.5" customHeight="1" x14ac:dyDescent="0.25">
      <c r="A22648" s="5" t="str">
        <f>"H0035088"</f>
        <v>H0035088</v>
      </c>
      <c r="B22648" s="5" t="str">
        <f t="shared" si="1132"/>
        <v>VENTILADOR DE PARED</v>
      </c>
      <c r="C22648" s="6">
        <v>130000.37</v>
      </c>
      <c r="D22648" s="5" t="s">
        <v>25</v>
      </c>
      <c r="E22648" s="5" t="str">
        <f t="shared" si="1133"/>
        <v>ACTISALUD-ESTADISTICA</v>
      </c>
      <c r="F22648" s="5"/>
      <c r="G22648" s="5"/>
    </row>
    <row r="22649" spans="1:7" ht="58.5" customHeight="1" x14ac:dyDescent="0.25">
      <c r="A22649" s="5" t="str">
        <f>"H0035089"</f>
        <v>H0035089</v>
      </c>
      <c r="B22649" s="5" t="str">
        <f t="shared" si="1132"/>
        <v>VENTILADOR DE PARED</v>
      </c>
      <c r="C22649" s="6">
        <v>130000.37</v>
      </c>
      <c r="D22649" s="5" t="s">
        <v>25</v>
      </c>
      <c r="E22649" s="5" t="str">
        <f t="shared" si="1133"/>
        <v>ACTISALUD-ESTADISTICA</v>
      </c>
      <c r="F22649" s="5"/>
      <c r="G22649" s="5"/>
    </row>
    <row r="22650" spans="1:7" ht="58.5" customHeight="1" x14ac:dyDescent="0.25">
      <c r="A22650" s="5" t="str">
        <f>"H0035090"</f>
        <v>H0035090</v>
      </c>
      <c r="B22650" s="5" t="str">
        <f t="shared" si="1132"/>
        <v>VENTILADOR DE PARED</v>
      </c>
      <c r="C22650" s="6">
        <v>130000.37</v>
      </c>
      <c r="D22650" s="5" t="s">
        <v>25</v>
      </c>
      <c r="E22650" s="5" t="str">
        <f t="shared" si="1133"/>
        <v>ACTISALUD-ESTADISTICA</v>
      </c>
      <c r="F22650" s="5"/>
      <c r="G22650" s="5"/>
    </row>
    <row r="22651" spans="1:7" ht="58.5" customHeight="1" x14ac:dyDescent="0.25">
      <c r="A22651" s="5" t="str">
        <f>"H0035091"</f>
        <v>H0035091</v>
      </c>
      <c r="B22651" s="5" t="str">
        <f t="shared" si="1132"/>
        <v>VENTILADOR DE PARED</v>
      </c>
      <c r="C22651" s="6">
        <v>130000.37</v>
      </c>
      <c r="D22651" s="5" t="s">
        <v>25</v>
      </c>
      <c r="E22651" s="5" t="str">
        <f t="shared" si="1133"/>
        <v>ACTISALUD-ESTADISTICA</v>
      </c>
      <c r="F22651" s="5"/>
      <c r="G22651" s="5"/>
    </row>
    <row r="22652" spans="1:7" ht="58.5" customHeight="1" x14ac:dyDescent="0.25">
      <c r="A22652" s="5" t="str">
        <f>"H0035092"</f>
        <v>H0035092</v>
      </c>
      <c r="B22652" s="5" t="str">
        <f t="shared" si="1132"/>
        <v>VENTILADOR DE PARED</v>
      </c>
      <c r="C22652" s="6">
        <v>130000.37</v>
      </c>
      <c r="D22652" s="5" t="s">
        <v>25</v>
      </c>
      <c r="E22652" s="5" t="str">
        <f t="shared" si="1133"/>
        <v>ACTISALUD-ESTADISTICA</v>
      </c>
      <c r="F22652" s="5"/>
      <c r="G22652" s="5"/>
    </row>
    <row r="22653" spans="1:7" ht="58.5" customHeight="1" x14ac:dyDescent="0.25">
      <c r="A22653" s="5" t="str">
        <f>"H0035093"</f>
        <v>H0035093</v>
      </c>
      <c r="B22653" s="5" t="str">
        <f t="shared" si="1132"/>
        <v>VENTILADOR DE PARED</v>
      </c>
      <c r="C22653" s="6">
        <v>130000.37</v>
      </c>
      <c r="D22653" s="5" t="s">
        <v>25</v>
      </c>
      <c r="E22653" s="5" t="str">
        <f t="shared" si="1133"/>
        <v>ACTISALUD-ESTADISTICA</v>
      </c>
      <c r="F22653" s="5"/>
      <c r="G22653" s="5"/>
    </row>
    <row r="22654" spans="1:7" ht="58.5" customHeight="1" x14ac:dyDescent="0.25">
      <c r="A22654" s="5" t="str">
        <f>"H0035094"</f>
        <v>H0035094</v>
      </c>
      <c r="B22654" s="5" t="str">
        <f t="shared" si="1132"/>
        <v>VENTILADOR DE PARED</v>
      </c>
      <c r="C22654" s="6">
        <v>130000.37</v>
      </c>
      <c r="D22654" s="5" t="s">
        <v>25</v>
      </c>
      <c r="E22654" s="5" t="str">
        <f t="shared" si="1133"/>
        <v>ACTISALUD-ESTADISTICA</v>
      </c>
      <c r="F22654" s="5"/>
      <c r="G22654" s="5"/>
    </row>
    <row r="22655" spans="1:7" ht="58.5" customHeight="1" x14ac:dyDescent="0.25">
      <c r="A22655" s="5" t="str">
        <f>"H0035095"</f>
        <v>H0035095</v>
      </c>
      <c r="B22655" s="5" t="str">
        <f t="shared" si="1132"/>
        <v>VENTILADOR DE PARED</v>
      </c>
      <c r="C22655" s="6">
        <v>130000.37</v>
      </c>
      <c r="D22655" s="5" t="s">
        <v>25</v>
      </c>
      <c r="E22655" s="5" t="str">
        <f t="shared" si="1133"/>
        <v>ACTISALUD-ESTADISTICA</v>
      </c>
      <c r="F22655" s="5"/>
      <c r="G22655" s="5"/>
    </row>
    <row r="22656" spans="1:7" ht="58.5" customHeight="1" x14ac:dyDescent="0.25">
      <c r="A22656" s="5" t="str">
        <f>"H0035231"</f>
        <v>H0035231</v>
      </c>
      <c r="B22656" s="5" t="str">
        <f>"ESCANER DS 870 MARCA EPSON"</f>
        <v>ESCANER DS 870 MARCA EPSON</v>
      </c>
      <c r="C22656" s="6">
        <v>4337550</v>
      </c>
      <c r="D22656" s="5" t="s">
        <v>126</v>
      </c>
      <c r="E22656" s="5" t="str">
        <f t="shared" si="1133"/>
        <v>ACTISALUD-ESTADISTICA</v>
      </c>
      <c r="F22656" s="5"/>
      <c r="G22656" s="5"/>
    </row>
    <row r="22657" spans="1:7" ht="58.5" customHeight="1" x14ac:dyDescent="0.25">
      <c r="A22657" s="5" t="str">
        <f>"H0035232"</f>
        <v>H0035232</v>
      </c>
      <c r="B22657" s="5" t="str">
        <f>"ESCANER DS 870 MARCA EPSON"</f>
        <v>ESCANER DS 870 MARCA EPSON</v>
      </c>
      <c r="C22657" s="6">
        <v>4337550</v>
      </c>
      <c r="D22657" s="5" t="s">
        <v>126</v>
      </c>
      <c r="E22657" s="5" t="str">
        <f t="shared" si="1133"/>
        <v>ACTISALUD-ESTADISTICA</v>
      </c>
      <c r="F22657" s="5"/>
      <c r="G22657" s="5"/>
    </row>
    <row r="22658" spans="1:7" ht="58.5" customHeight="1" x14ac:dyDescent="0.25">
      <c r="A22658" s="5" t="str">
        <f>"H0035233"</f>
        <v>H0035233</v>
      </c>
      <c r="B22658" s="5" t="str">
        <f>"ESCANER DS 870 MARCA EPSON"</f>
        <v>ESCANER DS 870 MARCA EPSON</v>
      </c>
      <c r="C22658" s="6">
        <v>4337550</v>
      </c>
      <c r="D22658" s="5" t="s">
        <v>126</v>
      </c>
      <c r="E22658" s="5" t="str">
        <f t="shared" si="1133"/>
        <v>ACTISALUD-ESTADISTICA</v>
      </c>
      <c r="F22658" s="5"/>
      <c r="G22658" s="5"/>
    </row>
    <row r="22659" spans="1:7" ht="58.5" customHeight="1" x14ac:dyDescent="0.25">
      <c r="A22659" s="5" t="str">
        <f>"H0035329"</f>
        <v>H0035329</v>
      </c>
      <c r="B22659" s="5" t="s">
        <v>128</v>
      </c>
      <c r="C22659" s="6">
        <v>5462100</v>
      </c>
      <c r="D22659" s="5" t="s">
        <v>127</v>
      </c>
      <c r="E22659" s="5" t="str">
        <f t="shared" si="1133"/>
        <v>ACTISALUD-ESTADISTICA</v>
      </c>
      <c r="F22659" s="5"/>
      <c r="G22659" s="5" t="str">
        <f>"202G4AIO"</f>
        <v>202G4AIO</v>
      </c>
    </row>
    <row r="22660" spans="1:7" ht="58.5" customHeight="1" x14ac:dyDescent="0.25">
      <c r="A22660" s="5" t="str">
        <f>"H0035925"</f>
        <v>H0035925</v>
      </c>
      <c r="B22660" s="5" t="str">
        <f t="shared" ref="B22660:B22667" si="1134">"SILLA GERENTE NIZA MEC. BASCULANTE CON BRAZOS."</f>
        <v>SILLA GERENTE NIZA MEC. BASCULANTE CON BRAZOS.</v>
      </c>
      <c r="C22660" s="6">
        <v>639999.86</v>
      </c>
      <c r="D22660" s="5" t="s">
        <v>281</v>
      </c>
      <c r="E22660" s="5" t="str">
        <f t="shared" si="1133"/>
        <v>ACTISALUD-ESTADISTICA</v>
      </c>
      <c r="F22660" s="5"/>
      <c r="G22660" s="5"/>
    </row>
    <row r="22661" spans="1:7" ht="58.5" customHeight="1" x14ac:dyDescent="0.25">
      <c r="A22661" s="5" t="str">
        <f>"H0035926"</f>
        <v>H0035926</v>
      </c>
      <c r="B22661" s="5" t="str">
        <f t="shared" si="1134"/>
        <v>SILLA GERENTE NIZA MEC. BASCULANTE CON BRAZOS.</v>
      </c>
      <c r="C22661" s="6">
        <v>639999.86</v>
      </c>
      <c r="D22661" s="5" t="s">
        <v>281</v>
      </c>
      <c r="E22661" s="5" t="str">
        <f t="shared" si="1133"/>
        <v>ACTISALUD-ESTADISTICA</v>
      </c>
      <c r="F22661" s="5"/>
      <c r="G22661" s="5"/>
    </row>
    <row r="22662" spans="1:7" ht="58.5" customHeight="1" x14ac:dyDescent="0.25">
      <c r="A22662" s="5" t="str">
        <f>"H0035927"</f>
        <v>H0035927</v>
      </c>
      <c r="B22662" s="5" t="str">
        <f t="shared" si="1134"/>
        <v>SILLA GERENTE NIZA MEC. BASCULANTE CON BRAZOS.</v>
      </c>
      <c r="C22662" s="6">
        <v>639999.86</v>
      </c>
      <c r="D22662" s="5" t="s">
        <v>281</v>
      </c>
      <c r="E22662" s="5" t="str">
        <f t="shared" si="1133"/>
        <v>ACTISALUD-ESTADISTICA</v>
      </c>
      <c r="F22662" s="5"/>
      <c r="G22662" s="5"/>
    </row>
    <row r="22663" spans="1:7" ht="58.5" customHeight="1" x14ac:dyDescent="0.25">
      <c r="A22663" s="5" t="str">
        <f>"H0035928"</f>
        <v>H0035928</v>
      </c>
      <c r="B22663" s="5" t="str">
        <f t="shared" si="1134"/>
        <v>SILLA GERENTE NIZA MEC. BASCULANTE CON BRAZOS.</v>
      </c>
      <c r="C22663" s="6">
        <v>639999.86</v>
      </c>
      <c r="D22663" s="5" t="s">
        <v>281</v>
      </c>
      <c r="E22663" s="5" t="str">
        <f t="shared" si="1133"/>
        <v>ACTISALUD-ESTADISTICA</v>
      </c>
      <c r="F22663" s="5"/>
      <c r="G22663" s="5"/>
    </row>
    <row r="22664" spans="1:7" ht="58.5" customHeight="1" x14ac:dyDescent="0.25">
      <c r="A22664" s="5" t="str">
        <f>"H0035929"</f>
        <v>H0035929</v>
      </c>
      <c r="B22664" s="5" t="str">
        <f t="shared" si="1134"/>
        <v>SILLA GERENTE NIZA MEC. BASCULANTE CON BRAZOS.</v>
      </c>
      <c r="C22664" s="6">
        <v>639999.86</v>
      </c>
      <c r="D22664" s="5" t="s">
        <v>281</v>
      </c>
      <c r="E22664" s="5" t="str">
        <f t="shared" si="1133"/>
        <v>ACTISALUD-ESTADISTICA</v>
      </c>
      <c r="F22664" s="5"/>
      <c r="G22664" s="5"/>
    </row>
    <row r="22665" spans="1:7" ht="58.5" customHeight="1" x14ac:dyDescent="0.25">
      <c r="A22665" s="5" t="str">
        <f>"H0035930"</f>
        <v>H0035930</v>
      </c>
      <c r="B22665" s="5" t="str">
        <f t="shared" si="1134"/>
        <v>SILLA GERENTE NIZA MEC. BASCULANTE CON BRAZOS.</v>
      </c>
      <c r="C22665" s="6">
        <v>639999.86</v>
      </c>
      <c r="D22665" s="5" t="s">
        <v>281</v>
      </c>
      <c r="E22665" s="5" t="str">
        <f t="shared" si="1133"/>
        <v>ACTISALUD-ESTADISTICA</v>
      </c>
      <c r="F22665" s="5"/>
      <c r="G22665" s="5"/>
    </row>
    <row r="22666" spans="1:7" ht="58.5" customHeight="1" x14ac:dyDescent="0.25">
      <c r="A22666" s="5" t="str">
        <f>"H0035937"</f>
        <v>H0035937</v>
      </c>
      <c r="B22666" s="5" t="str">
        <f t="shared" si="1134"/>
        <v>SILLA GERENTE NIZA MEC. BASCULANTE CON BRAZOS.</v>
      </c>
      <c r="C22666" s="6">
        <v>639999.86</v>
      </c>
      <c r="D22666" s="5" t="s">
        <v>281</v>
      </c>
      <c r="E22666" s="5" t="str">
        <f t="shared" si="1133"/>
        <v>ACTISALUD-ESTADISTICA</v>
      </c>
      <c r="F22666" s="5"/>
      <c r="G22666" s="5"/>
    </row>
    <row r="22667" spans="1:7" ht="58.5" customHeight="1" x14ac:dyDescent="0.25">
      <c r="A22667" s="5" t="str">
        <f>"H0035938"</f>
        <v>H0035938</v>
      </c>
      <c r="B22667" s="5" t="str">
        <f t="shared" si="1134"/>
        <v>SILLA GERENTE NIZA MEC. BASCULANTE CON BRAZOS.</v>
      </c>
      <c r="C22667" s="6">
        <v>639999.86</v>
      </c>
      <c r="D22667" s="5" t="s">
        <v>281</v>
      </c>
      <c r="E22667" s="5" t="str">
        <f t="shared" si="1133"/>
        <v>ACTISALUD-ESTADISTICA</v>
      </c>
      <c r="F22667" s="5"/>
      <c r="G22667" s="5"/>
    </row>
    <row r="22668" spans="1:7" ht="58.5" customHeight="1" x14ac:dyDescent="0.25">
      <c r="A22668" s="5" t="str">
        <f>"H0036015"</f>
        <v>H0036015</v>
      </c>
      <c r="B22668" s="5" t="str">
        <f t="shared" ref="B22668:B22731" si="1135">"ESTANTE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668" s="6">
        <v>320095.99</v>
      </c>
      <c r="D22668" s="5" t="s">
        <v>904</v>
      </c>
      <c r="E22668" s="5" t="str">
        <f t="shared" si="1133"/>
        <v>ACTISALUD-ESTADISTICA</v>
      </c>
      <c r="F22668" s="5"/>
      <c r="G22668" s="5"/>
    </row>
    <row r="22669" spans="1:7" ht="58.5" customHeight="1" x14ac:dyDescent="0.25">
      <c r="A22669" s="5" t="str">
        <f>"H0036016"</f>
        <v>H0036016</v>
      </c>
      <c r="B22669" s="5" t="str">
        <f t="shared" si="1135"/>
        <v>ESTANTE CONSTRUIDOS EN LAMINAS METÁLICAS SOLIDAS, RESISTENTES Y ESTABLES CON TRATAMIENTO ANTICORROSIVO, CON 7 ENTREPAÑOS, DE 0.94 CMS DE ANCHO, CON ALTURA DE 2.20MTS Y CADA BANDEJA DEBE SOPORTAR UN PESO DE 100KG/MT LINEA</v>
      </c>
      <c r="C22669" s="6">
        <v>320095.99</v>
      </c>
      <c r="D22669" s="5" t="s">
        <v>905</v>
      </c>
      <c r="E22669" s="5" t="str">
        <f t="shared" si="1133"/>
        <v>ACTISALUD-ESTADISTICA</v>
      </c>
      <c r="F22669" s="5"/>
      <c r="G22669" s="5"/>
    </row>
    <row r="22670" spans="1:7" ht="58.5" customHeight="1" x14ac:dyDescent="0.25">
      <c r="A22670" s="5" t="str">
        <f>"H0036017"</f>
        <v>H0036017</v>
      </c>
      <c r="B22670" s="5" t="str">
        <f t="shared" si="1135"/>
        <v>ESTANTE CONSTRUIDOS EN LAMINAS METÁLICAS SOLIDAS, RESISTENTES Y ESTABLES CON TRATAMIENTO ANTICORROSIVO, CON 7 ENTREPAÑOS, DE 0.94 CMS DE ANCHO, CON ALTURA DE 2.20MTS Y CADA BANDEJA DEBE SOPORTAR UN PESO DE 100KG/MT LINEA</v>
      </c>
      <c r="C22670" s="6">
        <v>320095.99</v>
      </c>
      <c r="D22670" s="5" t="s">
        <v>905</v>
      </c>
      <c r="E22670" s="5" t="str">
        <f t="shared" si="1133"/>
        <v>ACTISALUD-ESTADISTICA</v>
      </c>
      <c r="F22670" s="5"/>
      <c r="G22670" s="5"/>
    </row>
    <row r="22671" spans="1:7" ht="58.5" customHeight="1" x14ac:dyDescent="0.25">
      <c r="A22671" s="5" t="str">
        <f>"H0036018"</f>
        <v>H0036018</v>
      </c>
      <c r="B22671" s="5" t="str">
        <f t="shared" si="1135"/>
        <v>ESTANTE CONSTRUIDOS EN LAMINAS METÁLICAS SOLIDAS, RESISTENTES Y ESTABLES CON TRATAMIENTO ANTICORROSIVO, CON 7 ENTREPAÑOS, DE 0.94 CMS DE ANCHO, CON ALTURA DE 2.20MTS Y CADA BANDEJA DEBE SOPORTAR UN PESO DE 100KG/MT LINEA</v>
      </c>
      <c r="C22671" s="6">
        <v>320095.99</v>
      </c>
      <c r="D22671" s="5" t="s">
        <v>905</v>
      </c>
      <c r="E22671" s="5" t="str">
        <f t="shared" si="1133"/>
        <v>ACTISALUD-ESTADISTICA</v>
      </c>
      <c r="F22671" s="5"/>
      <c r="G22671" s="5"/>
    </row>
    <row r="22672" spans="1:7" ht="58.5" customHeight="1" x14ac:dyDescent="0.25">
      <c r="A22672" s="5" t="str">
        <f>"H0036019"</f>
        <v>H0036019</v>
      </c>
      <c r="B22672" s="5" t="str">
        <f t="shared" si="1135"/>
        <v>ESTANTE CONSTRUIDOS EN LAMINAS METÁLICAS SOLIDAS, RESISTENTES Y ESTABLES CON TRATAMIENTO ANTICORROSIVO, CON 7 ENTREPAÑOS, DE 0.94 CMS DE ANCHO, CON ALTURA DE 2.20MTS Y CADA BANDEJA DEBE SOPORTAR UN PESO DE 100KG/MT LINEA</v>
      </c>
      <c r="C22672" s="6">
        <v>320095.99</v>
      </c>
      <c r="D22672" s="5" t="s">
        <v>904</v>
      </c>
      <c r="E22672" s="5" t="str">
        <f t="shared" si="1133"/>
        <v>ACTISALUD-ESTADISTICA</v>
      </c>
      <c r="F22672" s="5"/>
      <c r="G22672" s="5"/>
    </row>
    <row r="22673" spans="1:7" ht="58.5" customHeight="1" x14ac:dyDescent="0.25">
      <c r="A22673" s="5" t="str">
        <f>"H0036020"</f>
        <v>H0036020</v>
      </c>
      <c r="B22673" s="5" t="str">
        <f t="shared" si="1135"/>
        <v>ESTANTE CONSTRUIDOS EN LAMINAS METÁLICAS SOLIDAS, RESISTENTES Y ESTABLES CON TRATAMIENTO ANTICORROSIVO, CON 7 ENTREPAÑOS, DE 0.94 CMS DE ANCHO, CON ALTURA DE 2.20MTS Y CADA BANDEJA DEBE SOPORTAR UN PESO DE 100KG/MT LINEA</v>
      </c>
      <c r="C22673" s="6">
        <v>320095.99</v>
      </c>
      <c r="D22673" s="5" t="s">
        <v>904</v>
      </c>
      <c r="E22673" s="5" t="str">
        <f t="shared" si="1133"/>
        <v>ACTISALUD-ESTADISTICA</v>
      </c>
      <c r="F22673" s="5"/>
      <c r="G22673" s="5"/>
    </row>
    <row r="22674" spans="1:7" ht="58.5" customHeight="1" x14ac:dyDescent="0.25">
      <c r="A22674" s="5" t="str">
        <f>"H0036021"</f>
        <v>H0036021</v>
      </c>
      <c r="B22674" s="5" t="str">
        <f t="shared" si="1135"/>
        <v>ESTANTE CONSTRUIDOS EN LAMINAS METÁLICAS SOLIDAS, RESISTENTES Y ESTABLES CON TRATAMIENTO ANTICORROSIVO, CON 7 ENTREPAÑOS, DE 0.94 CMS DE ANCHO, CON ALTURA DE 2.20MTS Y CADA BANDEJA DEBE SOPORTAR UN PESO DE 100KG/MT LINEA</v>
      </c>
      <c r="C22674" s="6">
        <v>320095.99</v>
      </c>
      <c r="D22674" s="5" t="s">
        <v>904</v>
      </c>
      <c r="E22674" s="5" t="str">
        <f t="shared" si="1133"/>
        <v>ACTISALUD-ESTADISTICA</v>
      </c>
      <c r="F22674" s="5"/>
      <c r="G22674" s="5"/>
    </row>
    <row r="22675" spans="1:7" ht="58.5" customHeight="1" x14ac:dyDescent="0.25">
      <c r="A22675" s="5" t="str">
        <f>"H0036022"</f>
        <v>H0036022</v>
      </c>
      <c r="B22675" s="5" t="str">
        <f t="shared" si="1135"/>
        <v>ESTANTE CONSTRUIDOS EN LAMINAS METÁLICAS SOLIDAS, RESISTENTES Y ESTABLES CON TRATAMIENTO ANTICORROSIVO, CON 7 ENTREPAÑOS, DE 0.94 CMS DE ANCHO, CON ALTURA DE 2.20MTS Y CADA BANDEJA DEBE SOPORTAR UN PESO DE 100KG/MT LINEA</v>
      </c>
      <c r="C22675" s="6">
        <v>320095.99</v>
      </c>
      <c r="D22675" s="5" t="s">
        <v>904</v>
      </c>
      <c r="E22675" s="5" t="str">
        <f t="shared" si="1133"/>
        <v>ACTISALUD-ESTADISTICA</v>
      </c>
      <c r="F22675" s="5"/>
      <c r="G22675" s="5"/>
    </row>
    <row r="22676" spans="1:7" ht="58.5" customHeight="1" x14ac:dyDescent="0.25">
      <c r="A22676" s="5" t="str">
        <f>"H0036023"</f>
        <v>H0036023</v>
      </c>
      <c r="B22676" s="5" t="str">
        <f t="shared" si="1135"/>
        <v>ESTANTE CONSTRUIDOS EN LAMINAS METÁLICAS SOLIDAS, RESISTENTES Y ESTABLES CON TRATAMIENTO ANTICORROSIVO, CON 7 ENTREPAÑOS, DE 0.94 CMS DE ANCHO, CON ALTURA DE 2.20MTS Y CADA BANDEJA DEBE SOPORTAR UN PESO DE 100KG/MT LINEA</v>
      </c>
      <c r="C22676" s="6">
        <v>320095.99</v>
      </c>
      <c r="D22676" s="5" t="s">
        <v>904</v>
      </c>
      <c r="E22676" s="5" t="str">
        <f t="shared" si="1133"/>
        <v>ACTISALUD-ESTADISTICA</v>
      </c>
      <c r="F22676" s="5"/>
      <c r="G22676" s="5"/>
    </row>
    <row r="22677" spans="1:7" ht="58.5" customHeight="1" x14ac:dyDescent="0.25">
      <c r="A22677" s="5" t="str">
        <f>"H0036024"</f>
        <v>H0036024</v>
      </c>
      <c r="B22677" s="5" t="str">
        <f t="shared" si="1135"/>
        <v>ESTANTE CONSTRUIDOS EN LAMINAS METÁLICAS SOLIDAS, RESISTENTES Y ESTABLES CON TRATAMIENTO ANTICORROSIVO, CON 7 ENTREPAÑOS, DE 0.94 CMS DE ANCHO, CON ALTURA DE 2.20MTS Y CADA BANDEJA DEBE SOPORTAR UN PESO DE 100KG/MT LINEA</v>
      </c>
      <c r="C22677" s="6">
        <v>320095.99</v>
      </c>
      <c r="D22677" s="5" t="s">
        <v>904</v>
      </c>
      <c r="E22677" s="5" t="str">
        <f t="shared" si="1133"/>
        <v>ACTISALUD-ESTADISTICA</v>
      </c>
      <c r="F22677" s="5"/>
      <c r="G22677" s="5"/>
    </row>
    <row r="22678" spans="1:7" ht="58.5" customHeight="1" x14ac:dyDescent="0.25">
      <c r="A22678" s="5" t="str">
        <f>"H0036025"</f>
        <v>H0036025</v>
      </c>
      <c r="B22678" s="5" t="str">
        <f t="shared" si="1135"/>
        <v>ESTANTE CONSTRUIDOS EN LAMINAS METÁLICAS SOLIDAS, RESISTENTES Y ESTABLES CON TRATAMIENTO ANTICORROSIVO, CON 7 ENTREPAÑOS, DE 0.94 CMS DE ANCHO, CON ALTURA DE 2.20MTS Y CADA BANDEJA DEBE SOPORTAR UN PESO DE 100KG/MT LINEA</v>
      </c>
      <c r="C22678" s="6">
        <v>320095.99</v>
      </c>
      <c r="D22678" s="5" t="s">
        <v>904</v>
      </c>
      <c r="E22678" s="5" t="str">
        <f t="shared" si="1133"/>
        <v>ACTISALUD-ESTADISTICA</v>
      </c>
      <c r="F22678" s="5"/>
      <c r="G22678" s="5"/>
    </row>
    <row r="22679" spans="1:7" ht="58.5" customHeight="1" x14ac:dyDescent="0.25">
      <c r="A22679" s="5" t="str">
        <f>"H0036026"</f>
        <v>H0036026</v>
      </c>
      <c r="B22679" s="5" t="str">
        <f t="shared" si="1135"/>
        <v>ESTANTE CONSTRUIDOS EN LAMINAS METÁLICAS SOLIDAS, RESISTENTES Y ESTABLES CON TRATAMIENTO ANTICORROSIVO, CON 7 ENTREPAÑOS, DE 0.94 CMS DE ANCHO, CON ALTURA DE 2.20MTS Y CADA BANDEJA DEBE SOPORTAR UN PESO DE 100KG/MT LINEA</v>
      </c>
      <c r="C22679" s="6">
        <v>320095.99</v>
      </c>
      <c r="D22679" s="5" t="s">
        <v>904</v>
      </c>
      <c r="E22679" s="5" t="str">
        <f t="shared" si="1133"/>
        <v>ACTISALUD-ESTADISTICA</v>
      </c>
      <c r="F22679" s="5"/>
      <c r="G22679" s="5"/>
    </row>
    <row r="22680" spans="1:7" ht="58.5" customHeight="1" x14ac:dyDescent="0.25">
      <c r="A22680" s="5" t="str">
        <f>"H0036027"</f>
        <v>H0036027</v>
      </c>
      <c r="B22680" s="5" t="str">
        <f t="shared" si="1135"/>
        <v>ESTANTE CONSTRUIDOS EN LAMINAS METÁLICAS SOLIDAS, RESISTENTES Y ESTABLES CON TRATAMIENTO ANTICORROSIVO, CON 7 ENTREPAÑOS, DE 0.94 CMS DE ANCHO, CON ALTURA DE 2.20MTS Y CADA BANDEJA DEBE SOPORTAR UN PESO DE 100KG/MT LINEA</v>
      </c>
      <c r="C22680" s="6">
        <v>320095.99</v>
      </c>
      <c r="D22680" s="5" t="s">
        <v>904</v>
      </c>
      <c r="E22680" s="5" t="str">
        <f t="shared" si="1133"/>
        <v>ACTISALUD-ESTADISTICA</v>
      </c>
      <c r="F22680" s="5"/>
      <c r="G22680" s="5"/>
    </row>
    <row r="22681" spans="1:7" ht="58.5" customHeight="1" x14ac:dyDescent="0.25">
      <c r="A22681" s="5" t="str">
        <f>"H0036028"</f>
        <v>H0036028</v>
      </c>
      <c r="B22681" s="5" t="str">
        <f t="shared" si="1135"/>
        <v>ESTANTE CONSTRUIDOS EN LAMINAS METÁLICAS SOLIDAS, RESISTENTES Y ESTABLES CON TRATAMIENTO ANTICORROSIVO, CON 7 ENTREPAÑOS, DE 0.94 CMS DE ANCHO, CON ALTURA DE 2.20MTS Y CADA BANDEJA DEBE SOPORTAR UN PESO DE 100KG/MT LINEA</v>
      </c>
      <c r="C22681" s="6">
        <v>320095.99</v>
      </c>
      <c r="D22681" s="5" t="s">
        <v>904</v>
      </c>
      <c r="E22681" s="5" t="str">
        <f t="shared" si="1133"/>
        <v>ACTISALUD-ESTADISTICA</v>
      </c>
      <c r="F22681" s="5"/>
      <c r="G22681" s="5"/>
    </row>
    <row r="22682" spans="1:7" ht="58.5" customHeight="1" x14ac:dyDescent="0.25">
      <c r="A22682" s="5" t="str">
        <f>"H0036029"</f>
        <v>H0036029</v>
      </c>
      <c r="B22682" s="5" t="str">
        <f t="shared" si="1135"/>
        <v>ESTANTE CONSTRUIDOS EN LAMINAS METÁLICAS SOLIDAS, RESISTENTES Y ESTABLES CON TRATAMIENTO ANTICORROSIVO, CON 7 ENTREPAÑOS, DE 0.94 CMS DE ANCHO, CON ALTURA DE 2.20MTS Y CADA BANDEJA DEBE SOPORTAR UN PESO DE 100KG/MT LINEA</v>
      </c>
      <c r="C22682" s="6">
        <v>320095.99</v>
      </c>
      <c r="D22682" s="5" t="s">
        <v>904</v>
      </c>
      <c r="E22682" s="5" t="str">
        <f t="shared" si="1133"/>
        <v>ACTISALUD-ESTADISTICA</v>
      </c>
      <c r="F22682" s="5"/>
      <c r="G22682" s="5"/>
    </row>
    <row r="22683" spans="1:7" ht="58.5" customHeight="1" x14ac:dyDescent="0.25">
      <c r="A22683" s="5" t="str">
        <f>"H0036030"</f>
        <v>H0036030</v>
      </c>
      <c r="B22683" s="5" t="str">
        <f t="shared" si="1135"/>
        <v>ESTANTE CONSTRUIDOS EN LAMINAS METÁLICAS SOLIDAS, RESISTENTES Y ESTABLES CON TRATAMIENTO ANTICORROSIVO, CON 7 ENTREPAÑOS, DE 0.94 CMS DE ANCHO, CON ALTURA DE 2.20MTS Y CADA BANDEJA DEBE SOPORTAR UN PESO DE 100KG/MT LINEA</v>
      </c>
      <c r="C22683" s="6">
        <v>320095.99</v>
      </c>
      <c r="D22683" s="5" t="s">
        <v>904</v>
      </c>
      <c r="E22683" s="5" t="str">
        <f t="shared" si="1133"/>
        <v>ACTISALUD-ESTADISTICA</v>
      </c>
      <c r="F22683" s="5"/>
      <c r="G22683" s="5"/>
    </row>
    <row r="22684" spans="1:7" ht="58.5" customHeight="1" x14ac:dyDescent="0.25">
      <c r="A22684" s="5" t="str">
        <f>"H0036031"</f>
        <v>H0036031</v>
      </c>
      <c r="B22684" s="5" t="str">
        <f t="shared" si="1135"/>
        <v>ESTANTE CONSTRUIDOS EN LAMINAS METÁLICAS SOLIDAS, RESISTENTES Y ESTABLES CON TRATAMIENTO ANTICORROSIVO, CON 7 ENTREPAÑOS, DE 0.94 CMS DE ANCHO, CON ALTURA DE 2.20MTS Y CADA BANDEJA DEBE SOPORTAR UN PESO DE 100KG/MT LINEA</v>
      </c>
      <c r="C22684" s="6">
        <v>320095.99</v>
      </c>
      <c r="D22684" s="5" t="s">
        <v>904</v>
      </c>
      <c r="E22684" s="5" t="str">
        <f t="shared" si="1133"/>
        <v>ACTISALUD-ESTADISTICA</v>
      </c>
      <c r="F22684" s="5"/>
      <c r="G22684" s="5"/>
    </row>
    <row r="22685" spans="1:7" ht="58.5" customHeight="1" x14ac:dyDescent="0.25">
      <c r="A22685" s="5" t="str">
        <f>"H0036032"</f>
        <v>H0036032</v>
      </c>
      <c r="B22685" s="5" t="str">
        <f t="shared" si="1135"/>
        <v>ESTANTE CONSTRUIDOS EN LAMINAS METÁLICAS SOLIDAS, RESISTENTES Y ESTABLES CON TRATAMIENTO ANTICORROSIVO, CON 7 ENTREPAÑOS, DE 0.94 CMS DE ANCHO, CON ALTURA DE 2.20MTS Y CADA BANDEJA DEBE SOPORTAR UN PESO DE 100KG/MT LINEA</v>
      </c>
      <c r="C22685" s="6">
        <v>320095.99</v>
      </c>
      <c r="D22685" s="5" t="s">
        <v>904</v>
      </c>
      <c r="E22685" s="5" t="str">
        <f t="shared" si="1133"/>
        <v>ACTISALUD-ESTADISTICA</v>
      </c>
      <c r="F22685" s="5"/>
      <c r="G22685" s="5"/>
    </row>
    <row r="22686" spans="1:7" ht="58.5" customHeight="1" x14ac:dyDescent="0.25">
      <c r="A22686" s="5" t="str">
        <f>"H0036033"</f>
        <v>H0036033</v>
      </c>
      <c r="B22686" s="5" t="str">
        <f t="shared" si="1135"/>
        <v>ESTANTE CONSTRUIDOS EN LAMINAS METÁLICAS SOLIDAS, RESISTENTES Y ESTABLES CON TRATAMIENTO ANTICORROSIVO, CON 7 ENTREPAÑOS, DE 0.94 CMS DE ANCHO, CON ALTURA DE 2.20MTS Y CADA BANDEJA DEBE SOPORTAR UN PESO DE 100KG/MT LINEA</v>
      </c>
      <c r="C22686" s="6">
        <v>320095.99</v>
      </c>
      <c r="D22686" s="5" t="s">
        <v>904</v>
      </c>
      <c r="E22686" s="5" t="str">
        <f t="shared" si="1133"/>
        <v>ACTISALUD-ESTADISTICA</v>
      </c>
      <c r="F22686" s="5"/>
      <c r="G22686" s="5"/>
    </row>
    <row r="22687" spans="1:7" ht="58.5" customHeight="1" x14ac:dyDescent="0.25">
      <c r="A22687" s="5" t="str">
        <f>"H0036034"</f>
        <v>H0036034</v>
      </c>
      <c r="B22687" s="5" t="str">
        <f t="shared" si="1135"/>
        <v>ESTANTE CONSTRUIDOS EN LAMINAS METÁLICAS SOLIDAS, RESISTENTES Y ESTABLES CON TRATAMIENTO ANTICORROSIVO, CON 7 ENTREPAÑOS, DE 0.94 CMS DE ANCHO, CON ALTURA DE 2.20MTS Y CADA BANDEJA DEBE SOPORTAR UN PESO DE 100KG/MT LINEA</v>
      </c>
      <c r="C22687" s="6">
        <v>320095.99</v>
      </c>
      <c r="D22687" s="5" t="s">
        <v>904</v>
      </c>
      <c r="E22687" s="5" t="str">
        <f t="shared" si="1133"/>
        <v>ACTISALUD-ESTADISTICA</v>
      </c>
      <c r="F22687" s="5"/>
      <c r="G22687" s="5"/>
    </row>
    <row r="22688" spans="1:7" ht="58.5" customHeight="1" x14ac:dyDescent="0.25">
      <c r="A22688" s="5" t="str">
        <f>"H0036035"</f>
        <v>H0036035</v>
      </c>
      <c r="B22688" s="5" t="str">
        <f t="shared" si="1135"/>
        <v>ESTANTE CONSTRUIDOS EN LAMINAS METÁLICAS SOLIDAS, RESISTENTES Y ESTABLES CON TRATAMIENTO ANTICORROSIVO, CON 7 ENTREPAÑOS, DE 0.94 CMS DE ANCHO, CON ALTURA DE 2.20MTS Y CADA BANDEJA DEBE SOPORTAR UN PESO DE 100KG/MT LINEA</v>
      </c>
      <c r="C22688" s="6">
        <v>320095.99</v>
      </c>
      <c r="D22688" s="5" t="s">
        <v>904</v>
      </c>
      <c r="E22688" s="5" t="str">
        <f t="shared" si="1133"/>
        <v>ACTISALUD-ESTADISTICA</v>
      </c>
      <c r="F22688" s="5"/>
      <c r="G22688" s="5"/>
    </row>
    <row r="22689" spans="1:7" ht="58.5" customHeight="1" x14ac:dyDescent="0.25">
      <c r="A22689" s="5" t="str">
        <f>"H0036036"</f>
        <v>H0036036</v>
      </c>
      <c r="B22689" s="5" t="str">
        <f t="shared" si="1135"/>
        <v>ESTANTE CONSTRUIDOS EN LAMINAS METÁLICAS SOLIDAS, RESISTENTES Y ESTABLES CON TRATAMIENTO ANTICORROSIVO, CON 7 ENTREPAÑOS, DE 0.94 CMS DE ANCHO, CON ALTURA DE 2.20MTS Y CADA BANDEJA DEBE SOPORTAR UN PESO DE 100KG/MT LINEA</v>
      </c>
      <c r="C22689" s="6">
        <v>320095.99</v>
      </c>
      <c r="D22689" s="5" t="s">
        <v>904</v>
      </c>
      <c r="E22689" s="5" t="str">
        <f t="shared" si="1133"/>
        <v>ACTISALUD-ESTADISTICA</v>
      </c>
      <c r="F22689" s="5"/>
      <c r="G22689" s="5"/>
    </row>
    <row r="22690" spans="1:7" ht="58.5" customHeight="1" x14ac:dyDescent="0.25">
      <c r="A22690" s="5" t="str">
        <f>"H0036037"</f>
        <v>H0036037</v>
      </c>
      <c r="B22690" s="5" t="str">
        <f t="shared" si="1135"/>
        <v>ESTANTE CONSTRUIDOS EN LAMINAS METÁLICAS SOLIDAS, RESISTENTES Y ESTABLES CON TRATAMIENTO ANTICORROSIVO, CON 7 ENTREPAÑOS, DE 0.94 CMS DE ANCHO, CON ALTURA DE 2.20MTS Y CADA BANDEJA DEBE SOPORTAR UN PESO DE 100KG/MT LINEA</v>
      </c>
      <c r="C22690" s="6">
        <v>320095.99</v>
      </c>
      <c r="D22690" s="5" t="s">
        <v>904</v>
      </c>
      <c r="E22690" s="5" t="str">
        <f t="shared" si="1133"/>
        <v>ACTISALUD-ESTADISTICA</v>
      </c>
      <c r="F22690" s="5"/>
      <c r="G22690" s="5"/>
    </row>
    <row r="22691" spans="1:7" ht="58.5" customHeight="1" x14ac:dyDescent="0.25">
      <c r="A22691" s="5" t="str">
        <f>"H0036038"</f>
        <v>H0036038</v>
      </c>
      <c r="B22691" s="5" t="str">
        <f t="shared" si="1135"/>
        <v>ESTANTE CONSTRUIDOS EN LAMINAS METÁLICAS SOLIDAS, RESISTENTES Y ESTABLES CON TRATAMIENTO ANTICORROSIVO, CON 7 ENTREPAÑOS, DE 0.94 CMS DE ANCHO, CON ALTURA DE 2.20MTS Y CADA BANDEJA DEBE SOPORTAR UN PESO DE 100KG/MT LINEA</v>
      </c>
      <c r="C22691" s="6">
        <v>320095.99</v>
      </c>
      <c r="D22691" s="5" t="s">
        <v>904</v>
      </c>
      <c r="E22691" s="5" t="str">
        <f t="shared" si="1133"/>
        <v>ACTISALUD-ESTADISTICA</v>
      </c>
      <c r="F22691" s="5"/>
      <c r="G22691" s="5"/>
    </row>
    <row r="22692" spans="1:7" ht="58.5" customHeight="1" x14ac:dyDescent="0.25">
      <c r="A22692" s="5" t="str">
        <f>"H0036039"</f>
        <v>H0036039</v>
      </c>
      <c r="B22692" s="5" t="str">
        <f t="shared" si="1135"/>
        <v>ESTANTE CONSTRUIDOS EN LAMINAS METÁLICAS SOLIDAS, RESISTENTES Y ESTABLES CON TRATAMIENTO ANTICORROSIVO, CON 7 ENTREPAÑOS, DE 0.94 CMS DE ANCHO, CON ALTURA DE 2.20MTS Y CADA BANDEJA DEBE SOPORTAR UN PESO DE 100KG/MT LINEA</v>
      </c>
      <c r="C22692" s="6">
        <v>320095.99</v>
      </c>
      <c r="D22692" s="5" t="s">
        <v>904</v>
      </c>
      <c r="E22692" s="5" t="str">
        <f t="shared" si="1133"/>
        <v>ACTISALUD-ESTADISTICA</v>
      </c>
      <c r="F22692" s="5"/>
      <c r="G22692" s="5"/>
    </row>
    <row r="22693" spans="1:7" ht="58.5" customHeight="1" x14ac:dyDescent="0.25">
      <c r="A22693" s="5" t="str">
        <f>"H0036040"</f>
        <v>H0036040</v>
      </c>
      <c r="B22693" s="5" t="str">
        <f t="shared" si="1135"/>
        <v>ESTANTE CONSTRUIDOS EN LAMINAS METÁLICAS SOLIDAS, RESISTENTES Y ESTABLES CON TRATAMIENTO ANTICORROSIVO, CON 7 ENTREPAÑOS, DE 0.94 CMS DE ANCHO, CON ALTURA DE 2.20MTS Y CADA BANDEJA DEBE SOPORTAR UN PESO DE 100KG/MT LINEA</v>
      </c>
      <c r="C22693" s="6">
        <v>320095.99</v>
      </c>
      <c r="D22693" s="5" t="s">
        <v>904</v>
      </c>
      <c r="E22693" s="5" t="str">
        <f t="shared" si="1133"/>
        <v>ACTISALUD-ESTADISTICA</v>
      </c>
      <c r="F22693" s="5"/>
      <c r="G22693" s="5"/>
    </row>
    <row r="22694" spans="1:7" ht="58.5" customHeight="1" x14ac:dyDescent="0.25">
      <c r="A22694" s="5" t="str">
        <f>"H0036041"</f>
        <v>H0036041</v>
      </c>
      <c r="B22694" s="5" t="str">
        <f t="shared" si="1135"/>
        <v>ESTANTE CONSTRUIDOS EN LAMINAS METÁLICAS SOLIDAS, RESISTENTES Y ESTABLES CON TRATAMIENTO ANTICORROSIVO, CON 7 ENTREPAÑOS, DE 0.94 CMS DE ANCHO, CON ALTURA DE 2.20MTS Y CADA BANDEJA DEBE SOPORTAR UN PESO DE 100KG/MT LINEA</v>
      </c>
      <c r="C22694" s="6">
        <v>320095.99</v>
      </c>
      <c r="D22694" s="5" t="s">
        <v>904</v>
      </c>
      <c r="E22694" s="5" t="str">
        <f t="shared" si="1133"/>
        <v>ACTISALUD-ESTADISTICA</v>
      </c>
      <c r="F22694" s="5"/>
      <c r="G22694" s="5"/>
    </row>
    <row r="22695" spans="1:7" ht="58.5" customHeight="1" x14ac:dyDescent="0.25">
      <c r="A22695" s="5" t="str">
        <f>"H0036042"</f>
        <v>H0036042</v>
      </c>
      <c r="B22695" s="5" t="str">
        <f t="shared" si="1135"/>
        <v>ESTANTE CONSTRUIDOS EN LAMINAS METÁLICAS SOLIDAS, RESISTENTES Y ESTABLES CON TRATAMIENTO ANTICORROSIVO, CON 7 ENTREPAÑOS, DE 0.94 CMS DE ANCHO, CON ALTURA DE 2.20MTS Y CADA BANDEJA DEBE SOPORTAR UN PESO DE 100KG/MT LINEA</v>
      </c>
      <c r="C22695" s="6">
        <v>320095.99</v>
      </c>
      <c r="D22695" s="5" t="s">
        <v>904</v>
      </c>
      <c r="E22695" s="5" t="str">
        <f t="shared" si="1133"/>
        <v>ACTISALUD-ESTADISTICA</v>
      </c>
      <c r="F22695" s="5"/>
      <c r="G22695" s="5"/>
    </row>
    <row r="22696" spans="1:7" ht="58.5" customHeight="1" x14ac:dyDescent="0.25">
      <c r="A22696" s="5" t="str">
        <f>"H0036043"</f>
        <v>H0036043</v>
      </c>
      <c r="B22696" s="5" t="str">
        <f t="shared" si="1135"/>
        <v>ESTANTE CONSTRUIDOS EN LAMINAS METÁLICAS SOLIDAS, RESISTENTES Y ESTABLES CON TRATAMIENTO ANTICORROSIVO, CON 7 ENTREPAÑOS, DE 0.94 CMS DE ANCHO, CON ALTURA DE 2.20MTS Y CADA BANDEJA DEBE SOPORTAR UN PESO DE 100KG/MT LINEA</v>
      </c>
      <c r="C22696" s="6">
        <v>320095.99</v>
      </c>
      <c r="D22696" s="5" t="s">
        <v>904</v>
      </c>
      <c r="E22696" s="5" t="str">
        <f t="shared" si="1133"/>
        <v>ACTISALUD-ESTADISTICA</v>
      </c>
      <c r="F22696" s="5"/>
      <c r="G22696" s="5"/>
    </row>
    <row r="22697" spans="1:7" ht="58.5" customHeight="1" x14ac:dyDescent="0.25">
      <c r="A22697" s="5" t="str">
        <f>"H0036044"</f>
        <v>H0036044</v>
      </c>
      <c r="B22697" s="5" t="str">
        <f t="shared" si="1135"/>
        <v>ESTANTE CONSTRUIDOS EN LAMINAS METÁLICAS SOLIDAS, RESISTENTES Y ESTABLES CON TRATAMIENTO ANTICORROSIVO, CON 7 ENTREPAÑOS, DE 0.94 CMS DE ANCHO, CON ALTURA DE 2.20MTS Y CADA BANDEJA DEBE SOPORTAR UN PESO DE 100KG/MT LINEA</v>
      </c>
      <c r="C22697" s="6">
        <v>320095.99</v>
      </c>
      <c r="D22697" s="5" t="s">
        <v>904</v>
      </c>
      <c r="E22697" s="5" t="str">
        <f t="shared" si="1133"/>
        <v>ACTISALUD-ESTADISTICA</v>
      </c>
      <c r="F22697" s="5"/>
      <c r="G22697" s="5"/>
    </row>
    <row r="22698" spans="1:7" ht="58.5" customHeight="1" x14ac:dyDescent="0.25">
      <c r="A22698" s="5" t="str">
        <f>"H0036045"</f>
        <v>H0036045</v>
      </c>
      <c r="B22698" s="5" t="str">
        <f t="shared" si="1135"/>
        <v>ESTANTE CONSTRUIDOS EN LAMINAS METÁLICAS SOLIDAS, RESISTENTES Y ESTABLES CON TRATAMIENTO ANTICORROSIVO, CON 7 ENTREPAÑOS, DE 0.94 CMS DE ANCHO, CON ALTURA DE 2.20MTS Y CADA BANDEJA DEBE SOPORTAR UN PESO DE 100KG/MT LINEA</v>
      </c>
      <c r="C22698" s="6">
        <v>320095.99</v>
      </c>
      <c r="D22698" s="5" t="s">
        <v>904</v>
      </c>
      <c r="E22698" s="5" t="str">
        <f t="shared" si="1133"/>
        <v>ACTISALUD-ESTADISTICA</v>
      </c>
      <c r="F22698" s="5"/>
      <c r="G22698" s="5"/>
    </row>
    <row r="22699" spans="1:7" ht="58.5" customHeight="1" x14ac:dyDescent="0.25">
      <c r="A22699" s="5" t="str">
        <f>"H0036046"</f>
        <v>H0036046</v>
      </c>
      <c r="B22699" s="5" t="str">
        <f t="shared" si="1135"/>
        <v>ESTANTE CONSTRUIDOS EN LAMINAS METÁLICAS SOLIDAS, RESISTENTES Y ESTABLES CON TRATAMIENTO ANTICORROSIVO, CON 7 ENTREPAÑOS, DE 0.94 CMS DE ANCHO, CON ALTURA DE 2.20MTS Y CADA BANDEJA DEBE SOPORTAR UN PESO DE 100KG/MT LINEA</v>
      </c>
      <c r="C22699" s="6">
        <v>320095.99</v>
      </c>
      <c r="D22699" s="5" t="s">
        <v>904</v>
      </c>
      <c r="E22699" s="5" t="str">
        <f t="shared" si="1133"/>
        <v>ACTISALUD-ESTADISTICA</v>
      </c>
      <c r="F22699" s="5"/>
      <c r="G22699" s="5"/>
    </row>
    <row r="22700" spans="1:7" ht="58.5" customHeight="1" x14ac:dyDescent="0.25">
      <c r="A22700" s="5" t="str">
        <f>"H0036047"</f>
        <v>H0036047</v>
      </c>
      <c r="B22700" s="5" t="str">
        <f t="shared" si="1135"/>
        <v>ESTANTE CONSTRUIDOS EN LAMINAS METÁLICAS SOLIDAS, RESISTENTES Y ESTABLES CON TRATAMIENTO ANTICORROSIVO, CON 7 ENTREPAÑOS, DE 0.94 CMS DE ANCHO, CON ALTURA DE 2.20MTS Y CADA BANDEJA DEBE SOPORTAR UN PESO DE 100KG/MT LINEA</v>
      </c>
      <c r="C22700" s="6">
        <v>320095.99</v>
      </c>
      <c r="D22700" s="5" t="s">
        <v>904</v>
      </c>
      <c r="E22700" s="5" t="str">
        <f t="shared" si="1133"/>
        <v>ACTISALUD-ESTADISTICA</v>
      </c>
      <c r="F22700" s="5"/>
      <c r="G22700" s="5"/>
    </row>
    <row r="22701" spans="1:7" ht="58.5" customHeight="1" x14ac:dyDescent="0.25">
      <c r="A22701" s="5" t="str">
        <f>"H0036048"</f>
        <v>H0036048</v>
      </c>
      <c r="B22701" s="5" t="str">
        <f t="shared" si="1135"/>
        <v>ESTANTE CONSTRUIDOS EN LAMINAS METÁLICAS SOLIDAS, RESISTENTES Y ESTABLES CON TRATAMIENTO ANTICORROSIVO, CON 7 ENTREPAÑOS, DE 0.94 CMS DE ANCHO, CON ALTURA DE 2.20MTS Y CADA BANDEJA DEBE SOPORTAR UN PESO DE 100KG/MT LINEA</v>
      </c>
      <c r="C22701" s="6">
        <v>320095.99</v>
      </c>
      <c r="D22701" s="5" t="s">
        <v>904</v>
      </c>
      <c r="E22701" s="5" t="str">
        <f t="shared" si="1133"/>
        <v>ACTISALUD-ESTADISTICA</v>
      </c>
      <c r="F22701" s="5"/>
      <c r="G22701" s="5"/>
    </row>
    <row r="22702" spans="1:7" ht="58.5" customHeight="1" x14ac:dyDescent="0.25">
      <c r="A22702" s="5" t="str">
        <f>"H0036049"</f>
        <v>H0036049</v>
      </c>
      <c r="B22702" s="5" t="str">
        <f t="shared" si="1135"/>
        <v>ESTANTE CONSTRUIDOS EN LAMINAS METÁLICAS SOLIDAS, RESISTENTES Y ESTABLES CON TRATAMIENTO ANTICORROSIVO, CON 7 ENTREPAÑOS, DE 0.94 CMS DE ANCHO, CON ALTURA DE 2.20MTS Y CADA BANDEJA DEBE SOPORTAR UN PESO DE 100KG/MT LINEA</v>
      </c>
      <c r="C22702" s="6">
        <v>320095.99</v>
      </c>
      <c r="D22702" s="5" t="s">
        <v>904</v>
      </c>
      <c r="E22702" s="5" t="str">
        <f t="shared" si="1133"/>
        <v>ACTISALUD-ESTADISTICA</v>
      </c>
      <c r="F22702" s="5"/>
      <c r="G22702" s="5"/>
    </row>
    <row r="22703" spans="1:7" ht="58.5" customHeight="1" x14ac:dyDescent="0.25">
      <c r="A22703" s="5" t="str">
        <f>"H0036050"</f>
        <v>H0036050</v>
      </c>
      <c r="B22703" s="5" t="str">
        <f t="shared" si="1135"/>
        <v>ESTANTE CONSTRUIDOS EN LAMINAS METÁLICAS SOLIDAS, RESISTENTES Y ESTABLES CON TRATAMIENTO ANTICORROSIVO, CON 7 ENTREPAÑOS, DE 0.94 CMS DE ANCHO, CON ALTURA DE 2.20MTS Y CADA BANDEJA DEBE SOPORTAR UN PESO DE 100KG/MT LINEA</v>
      </c>
      <c r="C22703" s="6">
        <v>320095.99</v>
      </c>
      <c r="D22703" s="5" t="s">
        <v>904</v>
      </c>
      <c r="E22703" s="5" t="str">
        <f t="shared" si="1133"/>
        <v>ACTISALUD-ESTADISTICA</v>
      </c>
      <c r="F22703" s="5"/>
      <c r="G22703" s="5"/>
    </row>
    <row r="22704" spans="1:7" ht="58.5" customHeight="1" x14ac:dyDescent="0.25">
      <c r="A22704" s="5" t="str">
        <f>"H0036051"</f>
        <v>H0036051</v>
      </c>
      <c r="B22704" s="5" t="str">
        <f t="shared" si="1135"/>
        <v>ESTANTE CONSTRUIDOS EN LAMINAS METÁLICAS SOLIDAS, RESISTENTES Y ESTABLES CON TRATAMIENTO ANTICORROSIVO, CON 7 ENTREPAÑOS, DE 0.94 CMS DE ANCHO, CON ALTURA DE 2.20MTS Y CADA BANDEJA DEBE SOPORTAR UN PESO DE 100KG/MT LINEA</v>
      </c>
      <c r="C22704" s="6">
        <v>320095.99</v>
      </c>
      <c r="D22704" s="5" t="s">
        <v>904</v>
      </c>
      <c r="E22704" s="5" t="str">
        <f t="shared" si="1133"/>
        <v>ACTISALUD-ESTADISTICA</v>
      </c>
      <c r="F22704" s="5"/>
      <c r="G22704" s="5"/>
    </row>
    <row r="22705" spans="1:7" ht="58.5" customHeight="1" x14ac:dyDescent="0.25">
      <c r="A22705" s="5" t="str">
        <f>"H0036052"</f>
        <v>H0036052</v>
      </c>
      <c r="B22705" s="5" t="str">
        <f t="shared" si="1135"/>
        <v>ESTANTE CONSTRUIDOS EN LAMINAS METÁLICAS SOLIDAS, RESISTENTES Y ESTABLES CON TRATAMIENTO ANTICORROSIVO, CON 7 ENTREPAÑOS, DE 0.94 CMS DE ANCHO, CON ALTURA DE 2.20MTS Y CADA BANDEJA DEBE SOPORTAR UN PESO DE 100KG/MT LINEA</v>
      </c>
      <c r="C22705" s="6">
        <v>320095.99</v>
      </c>
      <c r="D22705" s="5" t="s">
        <v>904</v>
      </c>
      <c r="E22705" s="5" t="str">
        <f t="shared" si="1133"/>
        <v>ACTISALUD-ESTADISTICA</v>
      </c>
      <c r="F22705" s="5"/>
      <c r="G22705" s="5"/>
    </row>
    <row r="22706" spans="1:7" ht="58.5" customHeight="1" x14ac:dyDescent="0.25">
      <c r="A22706" s="5" t="str">
        <f>"H0036053"</f>
        <v>H0036053</v>
      </c>
      <c r="B22706" s="5" t="str">
        <f t="shared" si="1135"/>
        <v>ESTANTE CONSTRUIDOS EN LAMINAS METÁLICAS SOLIDAS, RESISTENTES Y ESTABLES CON TRATAMIENTO ANTICORROSIVO, CON 7 ENTREPAÑOS, DE 0.94 CMS DE ANCHO, CON ALTURA DE 2.20MTS Y CADA BANDEJA DEBE SOPORTAR UN PESO DE 100KG/MT LINEA</v>
      </c>
      <c r="C22706" s="6">
        <v>320095.99</v>
      </c>
      <c r="D22706" s="5" t="s">
        <v>904</v>
      </c>
      <c r="E22706" s="5" t="str">
        <f t="shared" si="1133"/>
        <v>ACTISALUD-ESTADISTICA</v>
      </c>
      <c r="F22706" s="5"/>
      <c r="G22706" s="5"/>
    </row>
    <row r="22707" spans="1:7" ht="58.5" customHeight="1" x14ac:dyDescent="0.25">
      <c r="A22707" s="5" t="str">
        <f>"H0036054"</f>
        <v>H0036054</v>
      </c>
      <c r="B22707" s="5" t="str">
        <f t="shared" si="1135"/>
        <v>ESTANTE CONSTRUIDOS EN LAMINAS METÁLICAS SOLIDAS, RESISTENTES Y ESTABLES CON TRATAMIENTO ANTICORROSIVO, CON 7 ENTREPAÑOS, DE 0.94 CMS DE ANCHO, CON ALTURA DE 2.20MTS Y CADA BANDEJA DEBE SOPORTAR UN PESO DE 100KG/MT LINEA</v>
      </c>
      <c r="C22707" s="6">
        <v>320095.99</v>
      </c>
      <c r="D22707" s="5" t="s">
        <v>904</v>
      </c>
      <c r="E22707" s="5" t="str">
        <f t="shared" si="1133"/>
        <v>ACTISALUD-ESTADISTICA</v>
      </c>
      <c r="F22707" s="5"/>
      <c r="G22707" s="5"/>
    </row>
    <row r="22708" spans="1:7" ht="58.5" customHeight="1" x14ac:dyDescent="0.25">
      <c r="A22708" s="5" t="str">
        <f>"H0036055"</f>
        <v>H0036055</v>
      </c>
      <c r="B22708" s="5" t="str">
        <f t="shared" si="1135"/>
        <v>ESTANTE CONSTRUIDOS EN LAMINAS METÁLICAS SOLIDAS, RESISTENTES Y ESTABLES CON TRATAMIENTO ANTICORROSIVO, CON 7 ENTREPAÑOS, DE 0.94 CMS DE ANCHO, CON ALTURA DE 2.20MTS Y CADA BANDEJA DEBE SOPORTAR UN PESO DE 100KG/MT LINEA</v>
      </c>
      <c r="C22708" s="6">
        <v>320095.99</v>
      </c>
      <c r="D22708" s="5" t="s">
        <v>904</v>
      </c>
      <c r="E22708" s="5" t="str">
        <f t="shared" si="1133"/>
        <v>ACTISALUD-ESTADISTICA</v>
      </c>
      <c r="F22708" s="5"/>
      <c r="G22708" s="5"/>
    </row>
    <row r="22709" spans="1:7" ht="58.5" customHeight="1" x14ac:dyDescent="0.25">
      <c r="A22709" s="5" t="str">
        <f>"H0036056"</f>
        <v>H0036056</v>
      </c>
      <c r="B22709" s="5" t="str">
        <f t="shared" si="1135"/>
        <v>ESTANTE CONSTRUIDOS EN LAMINAS METÁLICAS SOLIDAS, RESISTENTES Y ESTABLES CON TRATAMIENTO ANTICORROSIVO, CON 7 ENTREPAÑOS, DE 0.94 CMS DE ANCHO, CON ALTURA DE 2.20MTS Y CADA BANDEJA DEBE SOPORTAR UN PESO DE 100KG/MT LINEA</v>
      </c>
      <c r="C22709" s="6">
        <v>320095.99</v>
      </c>
      <c r="D22709" s="5" t="s">
        <v>904</v>
      </c>
      <c r="E22709" s="5" t="str">
        <f t="shared" si="1133"/>
        <v>ACTISALUD-ESTADISTICA</v>
      </c>
      <c r="F22709" s="5"/>
      <c r="G22709" s="5"/>
    </row>
    <row r="22710" spans="1:7" ht="58.5" customHeight="1" x14ac:dyDescent="0.25">
      <c r="A22710" s="5" t="str">
        <f>"H0036057"</f>
        <v>H0036057</v>
      </c>
      <c r="B22710" s="5" t="str">
        <f t="shared" si="1135"/>
        <v>ESTANTE CONSTRUIDOS EN LAMINAS METÁLICAS SOLIDAS, RESISTENTES Y ESTABLES CON TRATAMIENTO ANTICORROSIVO, CON 7 ENTREPAÑOS, DE 0.94 CMS DE ANCHO, CON ALTURA DE 2.20MTS Y CADA BANDEJA DEBE SOPORTAR UN PESO DE 100KG/MT LINEA</v>
      </c>
      <c r="C22710" s="6">
        <v>320095.99</v>
      </c>
      <c r="D22710" s="5" t="s">
        <v>904</v>
      </c>
      <c r="E22710" s="5" t="str">
        <f t="shared" ref="E22710:E22773" si="1136">"ACTISALUD-ESTADISTICA"</f>
        <v>ACTISALUD-ESTADISTICA</v>
      </c>
      <c r="F22710" s="5"/>
      <c r="G22710" s="5"/>
    </row>
    <row r="22711" spans="1:7" ht="58.5" customHeight="1" x14ac:dyDescent="0.25">
      <c r="A22711" s="5" t="str">
        <f>"H0036058"</f>
        <v>H0036058</v>
      </c>
      <c r="B22711" s="5" t="str">
        <f t="shared" si="1135"/>
        <v>ESTANTE CONSTRUIDOS EN LAMINAS METÁLICAS SOLIDAS, RESISTENTES Y ESTABLES CON TRATAMIENTO ANTICORROSIVO, CON 7 ENTREPAÑOS, DE 0.94 CMS DE ANCHO, CON ALTURA DE 2.20MTS Y CADA BANDEJA DEBE SOPORTAR UN PESO DE 100KG/MT LINEA</v>
      </c>
      <c r="C22711" s="6">
        <v>320095.99</v>
      </c>
      <c r="D22711" s="5" t="s">
        <v>904</v>
      </c>
      <c r="E22711" s="5" t="str">
        <f t="shared" si="1136"/>
        <v>ACTISALUD-ESTADISTICA</v>
      </c>
      <c r="F22711" s="5"/>
      <c r="G22711" s="5"/>
    </row>
    <row r="22712" spans="1:7" ht="58.5" customHeight="1" x14ac:dyDescent="0.25">
      <c r="A22712" s="5" t="str">
        <f>"H0036059"</f>
        <v>H0036059</v>
      </c>
      <c r="B22712" s="5" t="str">
        <f t="shared" si="1135"/>
        <v>ESTANTE CONSTRUIDOS EN LAMINAS METÁLICAS SOLIDAS, RESISTENTES Y ESTABLES CON TRATAMIENTO ANTICORROSIVO, CON 7 ENTREPAÑOS, DE 0.94 CMS DE ANCHO, CON ALTURA DE 2.20MTS Y CADA BANDEJA DEBE SOPORTAR UN PESO DE 100KG/MT LINEA</v>
      </c>
      <c r="C22712" s="6">
        <v>320095.99</v>
      </c>
      <c r="D22712" s="5" t="s">
        <v>904</v>
      </c>
      <c r="E22712" s="5" t="str">
        <f t="shared" si="1136"/>
        <v>ACTISALUD-ESTADISTICA</v>
      </c>
      <c r="F22712" s="5"/>
      <c r="G22712" s="5"/>
    </row>
    <row r="22713" spans="1:7" ht="58.5" customHeight="1" x14ac:dyDescent="0.25">
      <c r="A22713" s="5" t="str">
        <f>"H0036060"</f>
        <v>H0036060</v>
      </c>
      <c r="B22713" s="5" t="str">
        <f t="shared" si="1135"/>
        <v>ESTANTE CONSTRUIDOS EN LAMINAS METÁLICAS SOLIDAS, RESISTENTES Y ESTABLES CON TRATAMIENTO ANTICORROSIVO, CON 7 ENTREPAÑOS, DE 0.94 CMS DE ANCHO, CON ALTURA DE 2.20MTS Y CADA BANDEJA DEBE SOPORTAR UN PESO DE 100KG/MT LINEA</v>
      </c>
      <c r="C22713" s="6">
        <v>320095.99</v>
      </c>
      <c r="D22713" s="5" t="s">
        <v>904</v>
      </c>
      <c r="E22713" s="5" t="str">
        <f t="shared" si="1136"/>
        <v>ACTISALUD-ESTADISTICA</v>
      </c>
      <c r="F22713" s="5"/>
      <c r="G22713" s="5"/>
    </row>
    <row r="22714" spans="1:7" ht="58.5" customHeight="1" x14ac:dyDescent="0.25">
      <c r="A22714" s="5" t="str">
        <f>"H0036061"</f>
        <v>H0036061</v>
      </c>
      <c r="B22714" s="5" t="str">
        <f t="shared" si="1135"/>
        <v>ESTANTE CONSTRUIDOS EN LAMINAS METÁLICAS SOLIDAS, RESISTENTES Y ESTABLES CON TRATAMIENTO ANTICORROSIVO, CON 7 ENTREPAÑOS, DE 0.94 CMS DE ANCHO, CON ALTURA DE 2.20MTS Y CADA BANDEJA DEBE SOPORTAR UN PESO DE 100KG/MT LINEA</v>
      </c>
      <c r="C22714" s="6">
        <v>320095.99</v>
      </c>
      <c r="D22714" s="5" t="s">
        <v>904</v>
      </c>
      <c r="E22714" s="5" t="str">
        <f t="shared" si="1136"/>
        <v>ACTISALUD-ESTADISTICA</v>
      </c>
      <c r="F22714" s="5"/>
      <c r="G22714" s="5"/>
    </row>
    <row r="22715" spans="1:7" ht="58.5" customHeight="1" x14ac:dyDescent="0.25">
      <c r="A22715" s="5" t="str">
        <f>"H0036062"</f>
        <v>H0036062</v>
      </c>
      <c r="B22715" s="5" t="str">
        <f t="shared" si="1135"/>
        <v>ESTANTE CONSTRUIDOS EN LAMINAS METÁLICAS SOLIDAS, RESISTENTES Y ESTABLES CON TRATAMIENTO ANTICORROSIVO, CON 7 ENTREPAÑOS, DE 0.94 CMS DE ANCHO, CON ALTURA DE 2.20MTS Y CADA BANDEJA DEBE SOPORTAR UN PESO DE 100KG/MT LINEA</v>
      </c>
      <c r="C22715" s="6">
        <v>320095.99</v>
      </c>
      <c r="D22715" s="5" t="s">
        <v>904</v>
      </c>
      <c r="E22715" s="5" t="str">
        <f t="shared" si="1136"/>
        <v>ACTISALUD-ESTADISTICA</v>
      </c>
      <c r="F22715" s="5"/>
      <c r="G22715" s="5"/>
    </row>
    <row r="22716" spans="1:7" ht="58.5" customHeight="1" x14ac:dyDescent="0.25">
      <c r="A22716" s="5" t="str">
        <f>"H0036063"</f>
        <v>H0036063</v>
      </c>
      <c r="B22716" s="5" t="str">
        <f t="shared" si="1135"/>
        <v>ESTANTE CONSTRUIDOS EN LAMINAS METÁLICAS SOLIDAS, RESISTENTES Y ESTABLES CON TRATAMIENTO ANTICORROSIVO, CON 7 ENTREPAÑOS, DE 0.94 CMS DE ANCHO, CON ALTURA DE 2.20MTS Y CADA BANDEJA DEBE SOPORTAR UN PESO DE 100KG/MT LINEA</v>
      </c>
      <c r="C22716" s="6">
        <v>320095.99</v>
      </c>
      <c r="D22716" s="5" t="s">
        <v>904</v>
      </c>
      <c r="E22716" s="5" t="str">
        <f t="shared" si="1136"/>
        <v>ACTISALUD-ESTADISTICA</v>
      </c>
      <c r="F22716" s="5"/>
      <c r="G22716" s="5"/>
    </row>
    <row r="22717" spans="1:7" ht="58.5" customHeight="1" x14ac:dyDescent="0.25">
      <c r="A22717" s="5" t="str">
        <f>"H0036064"</f>
        <v>H0036064</v>
      </c>
      <c r="B22717" s="5" t="str">
        <f t="shared" si="1135"/>
        <v>ESTANTE CONSTRUIDOS EN LAMINAS METÁLICAS SOLIDAS, RESISTENTES Y ESTABLES CON TRATAMIENTO ANTICORROSIVO, CON 7 ENTREPAÑOS, DE 0.94 CMS DE ANCHO, CON ALTURA DE 2.20MTS Y CADA BANDEJA DEBE SOPORTAR UN PESO DE 100KG/MT LINEA</v>
      </c>
      <c r="C22717" s="6">
        <v>320095.99</v>
      </c>
      <c r="D22717" s="5" t="s">
        <v>904</v>
      </c>
      <c r="E22717" s="5" t="str">
        <f t="shared" si="1136"/>
        <v>ACTISALUD-ESTADISTICA</v>
      </c>
      <c r="F22717" s="5"/>
      <c r="G22717" s="5"/>
    </row>
    <row r="22718" spans="1:7" ht="58.5" customHeight="1" x14ac:dyDescent="0.25">
      <c r="A22718" s="5" t="str">
        <f>"H0036065"</f>
        <v>H0036065</v>
      </c>
      <c r="B22718" s="5" t="str">
        <f t="shared" si="1135"/>
        <v>ESTANTE CONSTRUIDOS EN LAMINAS METÁLICAS SOLIDAS, RESISTENTES Y ESTABLES CON TRATAMIENTO ANTICORROSIVO, CON 7 ENTREPAÑOS, DE 0.94 CMS DE ANCHO, CON ALTURA DE 2.20MTS Y CADA BANDEJA DEBE SOPORTAR UN PESO DE 100KG/MT LINEA</v>
      </c>
      <c r="C22718" s="6">
        <v>320095.99</v>
      </c>
      <c r="D22718" s="5" t="s">
        <v>904</v>
      </c>
      <c r="E22718" s="5" t="str">
        <f t="shared" si="1136"/>
        <v>ACTISALUD-ESTADISTICA</v>
      </c>
      <c r="F22718" s="5"/>
      <c r="G22718" s="5"/>
    </row>
    <row r="22719" spans="1:7" ht="58.5" customHeight="1" x14ac:dyDescent="0.25">
      <c r="A22719" s="5" t="str">
        <f>"H0036066"</f>
        <v>H0036066</v>
      </c>
      <c r="B22719" s="5" t="str">
        <f t="shared" si="1135"/>
        <v>ESTANTE CONSTRUIDOS EN LAMINAS METÁLICAS SOLIDAS, RESISTENTES Y ESTABLES CON TRATAMIENTO ANTICORROSIVO, CON 7 ENTREPAÑOS, DE 0.94 CMS DE ANCHO, CON ALTURA DE 2.20MTS Y CADA BANDEJA DEBE SOPORTAR UN PESO DE 100KG/MT LINEA</v>
      </c>
      <c r="C22719" s="6">
        <v>320095.99</v>
      </c>
      <c r="D22719" s="5" t="s">
        <v>904</v>
      </c>
      <c r="E22719" s="5" t="str">
        <f t="shared" si="1136"/>
        <v>ACTISALUD-ESTADISTICA</v>
      </c>
      <c r="F22719" s="5"/>
      <c r="G22719" s="5"/>
    </row>
    <row r="22720" spans="1:7" ht="58.5" customHeight="1" x14ac:dyDescent="0.25">
      <c r="A22720" s="5" t="str">
        <f>"H0036067"</f>
        <v>H0036067</v>
      </c>
      <c r="B22720" s="5" t="str">
        <f t="shared" si="1135"/>
        <v>ESTANTE CONSTRUIDOS EN LAMINAS METÁLICAS SOLIDAS, RESISTENTES Y ESTABLES CON TRATAMIENTO ANTICORROSIVO, CON 7 ENTREPAÑOS, DE 0.94 CMS DE ANCHO, CON ALTURA DE 2.20MTS Y CADA BANDEJA DEBE SOPORTAR UN PESO DE 100KG/MT LINEA</v>
      </c>
      <c r="C22720" s="6">
        <v>320095.99</v>
      </c>
      <c r="D22720" s="5" t="s">
        <v>904</v>
      </c>
      <c r="E22720" s="5" t="str">
        <f t="shared" si="1136"/>
        <v>ACTISALUD-ESTADISTICA</v>
      </c>
      <c r="F22720" s="5"/>
      <c r="G22720" s="5"/>
    </row>
    <row r="22721" spans="1:7" ht="58.5" customHeight="1" x14ac:dyDescent="0.25">
      <c r="A22721" s="5" t="str">
        <f>"H0036068"</f>
        <v>H0036068</v>
      </c>
      <c r="B22721" s="5" t="str">
        <f t="shared" si="1135"/>
        <v>ESTANTE CONSTRUIDOS EN LAMINAS METÁLICAS SOLIDAS, RESISTENTES Y ESTABLES CON TRATAMIENTO ANTICORROSIVO, CON 7 ENTREPAÑOS, DE 0.94 CMS DE ANCHO, CON ALTURA DE 2.20MTS Y CADA BANDEJA DEBE SOPORTAR UN PESO DE 100KG/MT LINEA</v>
      </c>
      <c r="C22721" s="6">
        <v>320095.99</v>
      </c>
      <c r="D22721" s="5" t="s">
        <v>904</v>
      </c>
      <c r="E22721" s="5" t="str">
        <f t="shared" si="1136"/>
        <v>ACTISALUD-ESTADISTICA</v>
      </c>
      <c r="F22721" s="5"/>
      <c r="G22721" s="5"/>
    </row>
    <row r="22722" spans="1:7" ht="58.5" customHeight="1" x14ac:dyDescent="0.25">
      <c r="A22722" s="5" t="str">
        <f>"H0036069"</f>
        <v>H0036069</v>
      </c>
      <c r="B22722" s="5" t="str">
        <f t="shared" si="1135"/>
        <v>ESTANTE CONSTRUIDOS EN LAMINAS METÁLICAS SOLIDAS, RESISTENTES Y ESTABLES CON TRATAMIENTO ANTICORROSIVO, CON 7 ENTREPAÑOS, DE 0.94 CMS DE ANCHO, CON ALTURA DE 2.20MTS Y CADA BANDEJA DEBE SOPORTAR UN PESO DE 100KG/MT LINEA</v>
      </c>
      <c r="C22722" s="6">
        <v>320095.99</v>
      </c>
      <c r="D22722" s="5" t="s">
        <v>904</v>
      </c>
      <c r="E22722" s="5" t="str">
        <f t="shared" si="1136"/>
        <v>ACTISALUD-ESTADISTICA</v>
      </c>
      <c r="F22722" s="5"/>
      <c r="G22722" s="5"/>
    </row>
    <row r="22723" spans="1:7" ht="58.5" customHeight="1" x14ac:dyDescent="0.25">
      <c r="A22723" s="5" t="str">
        <f>"H0036070"</f>
        <v>H0036070</v>
      </c>
      <c r="B22723" s="5" t="str">
        <f t="shared" si="1135"/>
        <v>ESTANTE CONSTRUIDOS EN LAMINAS METÁLICAS SOLIDAS, RESISTENTES Y ESTABLES CON TRATAMIENTO ANTICORROSIVO, CON 7 ENTREPAÑOS, DE 0.94 CMS DE ANCHO, CON ALTURA DE 2.20MTS Y CADA BANDEJA DEBE SOPORTAR UN PESO DE 100KG/MT LINEA</v>
      </c>
      <c r="C22723" s="6">
        <v>320095.99</v>
      </c>
      <c r="D22723" s="5" t="s">
        <v>904</v>
      </c>
      <c r="E22723" s="5" t="str">
        <f t="shared" si="1136"/>
        <v>ACTISALUD-ESTADISTICA</v>
      </c>
      <c r="F22723" s="5"/>
      <c r="G22723" s="5"/>
    </row>
    <row r="22724" spans="1:7" ht="58.5" customHeight="1" x14ac:dyDescent="0.25">
      <c r="A22724" s="5" t="str">
        <f>"H0036071"</f>
        <v>H0036071</v>
      </c>
      <c r="B22724" s="5" t="str">
        <f t="shared" si="1135"/>
        <v>ESTANTE CONSTRUIDOS EN LAMINAS METÁLICAS SOLIDAS, RESISTENTES Y ESTABLES CON TRATAMIENTO ANTICORROSIVO, CON 7 ENTREPAÑOS, DE 0.94 CMS DE ANCHO, CON ALTURA DE 2.20MTS Y CADA BANDEJA DEBE SOPORTAR UN PESO DE 100KG/MT LINEA</v>
      </c>
      <c r="C22724" s="6">
        <v>320095.99</v>
      </c>
      <c r="D22724" s="5" t="s">
        <v>904</v>
      </c>
      <c r="E22724" s="5" t="str">
        <f t="shared" si="1136"/>
        <v>ACTISALUD-ESTADISTICA</v>
      </c>
      <c r="F22724" s="5"/>
      <c r="G22724" s="5"/>
    </row>
    <row r="22725" spans="1:7" ht="58.5" customHeight="1" x14ac:dyDescent="0.25">
      <c r="A22725" s="5" t="str">
        <f>"H0036072"</f>
        <v>H0036072</v>
      </c>
      <c r="B22725" s="5" t="str">
        <f t="shared" si="1135"/>
        <v>ESTANTE CONSTRUIDOS EN LAMINAS METÁLICAS SOLIDAS, RESISTENTES Y ESTABLES CON TRATAMIENTO ANTICORROSIVO, CON 7 ENTREPAÑOS, DE 0.94 CMS DE ANCHO, CON ALTURA DE 2.20MTS Y CADA BANDEJA DEBE SOPORTAR UN PESO DE 100KG/MT LINEA</v>
      </c>
      <c r="C22725" s="6">
        <v>320095.99</v>
      </c>
      <c r="D22725" s="5" t="s">
        <v>904</v>
      </c>
      <c r="E22725" s="5" t="str">
        <f t="shared" si="1136"/>
        <v>ACTISALUD-ESTADISTICA</v>
      </c>
      <c r="F22725" s="5"/>
      <c r="G22725" s="5"/>
    </row>
    <row r="22726" spans="1:7" ht="58.5" customHeight="1" x14ac:dyDescent="0.25">
      <c r="A22726" s="5" t="str">
        <f>"H0036073"</f>
        <v>H0036073</v>
      </c>
      <c r="B22726" s="5" t="str">
        <f t="shared" si="1135"/>
        <v>ESTANTE CONSTRUIDOS EN LAMINAS METÁLICAS SOLIDAS, RESISTENTES Y ESTABLES CON TRATAMIENTO ANTICORROSIVO, CON 7 ENTREPAÑOS, DE 0.94 CMS DE ANCHO, CON ALTURA DE 2.20MTS Y CADA BANDEJA DEBE SOPORTAR UN PESO DE 100KG/MT LINEA</v>
      </c>
      <c r="C22726" s="6">
        <v>320095.99</v>
      </c>
      <c r="D22726" s="5" t="s">
        <v>904</v>
      </c>
      <c r="E22726" s="5" t="str">
        <f t="shared" si="1136"/>
        <v>ACTISALUD-ESTADISTICA</v>
      </c>
      <c r="F22726" s="5"/>
      <c r="G22726" s="5"/>
    </row>
    <row r="22727" spans="1:7" ht="58.5" customHeight="1" x14ac:dyDescent="0.25">
      <c r="A22727" s="5" t="str">
        <f>"H0036074"</f>
        <v>H0036074</v>
      </c>
      <c r="B22727" s="5" t="str">
        <f t="shared" si="1135"/>
        <v>ESTANTE CONSTRUIDOS EN LAMINAS METÁLICAS SOLIDAS, RESISTENTES Y ESTABLES CON TRATAMIENTO ANTICORROSIVO, CON 7 ENTREPAÑOS, DE 0.94 CMS DE ANCHO, CON ALTURA DE 2.20MTS Y CADA BANDEJA DEBE SOPORTAR UN PESO DE 100KG/MT LINEA</v>
      </c>
      <c r="C22727" s="6">
        <v>320095.99</v>
      </c>
      <c r="D22727" s="5" t="s">
        <v>904</v>
      </c>
      <c r="E22727" s="5" t="str">
        <f t="shared" si="1136"/>
        <v>ACTISALUD-ESTADISTICA</v>
      </c>
      <c r="F22727" s="5"/>
      <c r="G22727" s="5"/>
    </row>
    <row r="22728" spans="1:7" ht="58.5" customHeight="1" x14ac:dyDescent="0.25">
      <c r="A22728" s="5" t="str">
        <f>"H0036075"</f>
        <v>H0036075</v>
      </c>
      <c r="B22728" s="5" t="str">
        <f t="shared" si="1135"/>
        <v>ESTANTE CONSTRUIDOS EN LAMINAS METÁLICAS SOLIDAS, RESISTENTES Y ESTABLES CON TRATAMIENTO ANTICORROSIVO, CON 7 ENTREPAÑOS, DE 0.94 CMS DE ANCHO, CON ALTURA DE 2.20MTS Y CADA BANDEJA DEBE SOPORTAR UN PESO DE 100KG/MT LINEA</v>
      </c>
      <c r="C22728" s="6">
        <v>320095.99</v>
      </c>
      <c r="D22728" s="5" t="s">
        <v>904</v>
      </c>
      <c r="E22728" s="5" t="str">
        <f t="shared" si="1136"/>
        <v>ACTISALUD-ESTADISTICA</v>
      </c>
      <c r="F22728" s="5"/>
      <c r="G22728" s="5"/>
    </row>
    <row r="22729" spans="1:7" ht="58.5" customHeight="1" x14ac:dyDescent="0.25">
      <c r="A22729" s="5" t="str">
        <f>"H0036076"</f>
        <v>H0036076</v>
      </c>
      <c r="B22729" s="5" t="str">
        <f t="shared" si="1135"/>
        <v>ESTANTE CONSTRUIDOS EN LAMINAS METÁLICAS SOLIDAS, RESISTENTES Y ESTABLES CON TRATAMIENTO ANTICORROSIVO, CON 7 ENTREPAÑOS, DE 0.94 CMS DE ANCHO, CON ALTURA DE 2.20MTS Y CADA BANDEJA DEBE SOPORTAR UN PESO DE 100KG/MT LINEA</v>
      </c>
      <c r="C22729" s="6">
        <v>320095.99</v>
      </c>
      <c r="D22729" s="5" t="s">
        <v>904</v>
      </c>
      <c r="E22729" s="5" t="str">
        <f t="shared" si="1136"/>
        <v>ACTISALUD-ESTADISTICA</v>
      </c>
      <c r="F22729" s="5"/>
      <c r="G22729" s="5"/>
    </row>
    <row r="22730" spans="1:7" ht="58.5" customHeight="1" x14ac:dyDescent="0.25">
      <c r="A22730" s="5" t="str">
        <f>"H0036077"</f>
        <v>H0036077</v>
      </c>
      <c r="B22730" s="5" t="str">
        <f t="shared" si="1135"/>
        <v>ESTANTE CONSTRUIDOS EN LAMINAS METÁLICAS SOLIDAS, RESISTENTES Y ESTABLES CON TRATAMIENTO ANTICORROSIVO, CON 7 ENTREPAÑOS, DE 0.94 CMS DE ANCHO, CON ALTURA DE 2.20MTS Y CADA BANDEJA DEBE SOPORTAR UN PESO DE 100KG/MT LINEA</v>
      </c>
      <c r="C22730" s="6">
        <v>320095.99</v>
      </c>
      <c r="D22730" s="5" t="s">
        <v>904</v>
      </c>
      <c r="E22730" s="5" t="str">
        <f t="shared" si="1136"/>
        <v>ACTISALUD-ESTADISTICA</v>
      </c>
      <c r="F22730" s="5"/>
      <c r="G22730" s="5"/>
    </row>
    <row r="22731" spans="1:7" ht="58.5" customHeight="1" x14ac:dyDescent="0.25">
      <c r="A22731" s="5" t="str">
        <f>"H0036078"</f>
        <v>H0036078</v>
      </c>
      <c r="B22731" s="5" t="str">
        <f t="shared" si="1135"/>
        <v>ESTANTE CONSTRUIDOS EN LAMINAS METÁLICAS SOLIDAS, RESISTENTES Y ESTABLES CON TRATAMIENTO ANTICORROSIVO, CON 7 ENTREPAÑOS, DE 0.94 CMS DE ANCHO, CON ALTURA DE 2.20MTS Y CADA BANDEJA DEBE SOPORTAR UN PESO DE 100KG/MT LINEA</v>
      </c>
      <c r="C22731" s="6">
        <v>320095.99</v>
      </c>
      <c r="D22731" s="5" t="s">
        <v>904</v>
      </c>
      <c r="E22731" s="5" t="str">
        <f t="shared" si="1136"/>
        <v>ACTISALUD-ESTADISTICA</v>
      </c>
      <c r="F22731" s="5"/>
      <c r="G22731" s="5"/>
    </row>
    <row r="22732" spans="1:7" ht="58.5" customHeight="1" x14ac:dyDescent="0.25">
      <c r="A22732" s="5" t="str">
        <f>"H0036079"</f>
        <v>H0036079</v>
      </c>
      <c r="B22732" s="5" t="str">
        <f t="shared" ref="B22732:B22795" si="113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732" s="6">
        <v>320095.99</v>
      </c>
      <c r="D22732" s="5" t="s">
        <v>904</v>
      </c>
      <c r="E22732" s="5" t="str">
        <f t="shared" si="1136"/>
        <v>ACTISALUD-ESTADISTICA</v>
      </c>
      <c r="F22732" s="5"/>
      <c r="G22732" s="5"/>
    </row>
    <row r="22733" spans="1:7" ht="58.5" customHeight="1" x14ac:dyDescent="0.25">
      <c r="A22733" s="5" t="str">
        <f>"H0036080"</f>
        <v>H0036080</v>
      </c>
      <c r="B22733" s="5" t="str">
        <f t="shared" si="1137"/>
        <v>ESTANTE CONSTRUIDOS EN LAMINAS METÁLICAS SOLIDAS, RESISTENTES Y ESTABLES CON TRATAMIENTO ANTICORROSIVO, CON 7 ENTREPAÑOS, DE 0.94 CMS DE ANCHO, CON ALTURA DE 2.20MTS Y CADA BANDEJA DEBE SOPORTAR UN PESO DE 100KG/MT LINEA</v>
      </c>
      <c r="C22733" s="6">
        <v>320095.99</v>
      </c>
      <c r="D22733" s="5" t="s">
        <v>904</v>
      </c>
      <c r="E22733" s="5" t="str">
        <f t="shared" si="1136"/>
        <v>ACTISALUD-ESTADISTICA</v>
      </c>
      <c r="F22733" s="5"/>
      <c r="G22733" s="5"/>
    </row>
    <row r="22734" spans="1:7" ht="58.5" customHeight="1" x14ac:dyDescent="0.25">
      <c r="A22734" s="5" t="str">
        <f>"H0036081"</f>
        <v>H0036081</v>
      </c>
      <c r="B22734" s="5" t="str">
        <f t="shared" si="1137"/>
        <v>ESTANTE CONSTRUIDOS EN LAMINAS METÁLICAS SOLIDAS, RESISTENTES Y ESTABLES CON TRATAMIENTO ANTICORROSIVO, CON 7 ENTREPAÑOS, DE 0.94 CMS DE ANCHO, CON ALTURA DE 2.20MTS Y CADA BANDEJA DEBE SOPORTAR UN PESO DE 100KG/MT LINEA</v>
      </c>
      <c r="C22734" s="6">
        <v>320095.99</v>
      </c>
      <c r="D22734" s="5" t="s">
        <v>904</v>
      </c>
      <c r="E22734" s="5" t="str">
        <f t="shared" si="1136"/>
        <v>ACTISALUD-ESTADISTICA</v>
      </c>
      <c r="F22734" s="5"/>
      <c r="G22734" s="5"/>
    </row>
    <row r="22735" spans="1:7" ht="58.5" customHeight="1" x14ac:dyDescent="0.25">
      <c r="A22735" s="5" t="str">
        <f>"H0036082"</f>
        <v>H0036082</v>
      </c>
      <c r="B22735" s="5" t="str">
        <f t="shared" si="1137"/>
        <v>ESTANTE CONSTRUIDOS EN LAMINAS METÁLICAS SOLIDAS, RESISTENTES Y ESTABLES CON TRATAMIENTO ANTICORROSIVO, CON 7 ENTREPAÑOS, DE 0.94 CMS DE ANCHO, CON ALTURA DE 2.20MTS Y CADA BANDEJA DEBE SOPORTAR UN PESO DE 100KG/MT LINEA</v>
      </c>
      <c r="C22735" s="6">
        <v>320095.99</v>
      </c>
      <c r="D22735" s="5" t="s">
        <v>904</v>
      </c>
      <c r="E22735" s="5" t="str">
        <f t="shared" si="1136"/>
        <v>ACTISALUD-ESTADISTICA</v>
      </c>
      <c r="F22735" s="5"/>
      <c r="G22735" s="5"/>
    </row>
    <row r="22736" spans="1:7" ht="58.5" customHeight="1" x14ac:dyDescent="0.25">
      <c r="A22736" s="5" t="str">
        <f>"H0036083"</f>
        <v>H0036083</v>
      </c>
      <c r="B22736" s="5" t="str">
        <f t="shared" si="1137"/>
        <v>ESTANTE CONSTRUIDOS EN LAMINAS METÁLICAS SOLIDAS, RESISTENTES Y ESTABLES CON TRATAMIENTO ANTICORROSIVO, CON 7 ENTREPAÑOS, DE 0.94 CMS DE ANCHO, CON ALTURA DE 2.20MTS Y CADA BANDEJA DEBE SOPORTAR UN PESO DE 100KG/MT LINEA</v>
      </c>
      <c r="C22736" s="6">
        <v>320095.99</v>
      </c>
      <c r="D22736" s="5" t="s">
        <v>904</v>
      </c>
      <c r="E22736" s="5" t="str">
        <f t="shared" si="1136"/>
        <v>ACTISALUD-ESTADISTICA</v>
      </c>
      <c r="F22736" s="5"/>
      <c r="G22736" s="5"/>
    </row>
    <row r="22737" spans="1:7" ht="58.5" customHeight="1" x14ac:dyDescent="0.25">
      <c r="A22737" s="5" t="str">
        <f>"H0036084"</f>
        <v>H0036084</v>
      </c>
      <c r="B22737" s="5" t="str">
        <f t="shared" si="1137"/>
        <v>ESTANTE CONSTRUIDOS EN LAMINAS METÁLICAS SOLIDAS, RESISTENTES Y ESTABLES CON TRATAMIENTO ANTICORROSIVO, CON 7 ENTREPAÑOS, DE 0.94 CMS DE ANCHO, CON ALTURA DE 2.20MTS Y CADA BANDEJA DEBE SOPORTAR UN PESO DE 100KG/MT LINEA</v>
      </c>
      <c r="C22737" s="6">
        <v>320095.99</v>
      </c>
      <c r="D22737" s="5" t="s">
        <v>904</v>
      </c>
      <c r="E22737" s="5" t="str">
        <f t="shared" si="1136"/>
        <v>ACTISALUD-ESTADISTICA</v>
      </c>
      <c r="F22737" s="5"/>
      <c r="G22737" s="5"/>
    </row>
    <row r="22738" spans="1:7" ht="58.5" customHeight="1" x14ac:dyDescent="0.25">
      <c r="A22738" s="5" t="str">
        <f>"H0036085"</f>
        <v>H0036085</v>
      </c>
      <c r="B22738" s="5" t="str">
        <f t="shared" si="1137"/>
        <v>ESTANTE CONSTRUIDOS EN LAMINAS METÁLICAS SOLIDAS, RESISTENTES Y ESTABLES CON TRATAMIENTO ANTICORROSIVO, CON 7 ENTREPAÑOS, DE 0.94 CMS DE ANCHO, CON ALTURA DE 2.20MTS Y CADA BANDEJA DEBE SOPORTAR UN PESO DE 100KG/MT LINEA</v>
      </c>
      <c r="C22738" s="6">
        <v>320095.99</v>
      </c>
      <c r="D22738" s="5" t="s">
        <v>904</v>
      </c>
      <c r="E22738" s="5" t="str">
        <f t="shared" si="1136"/>
        <v>ACTISALUD-ESTADISTICA</v>
      </c>
      <c r="F22738" s="5"/>
      <c r="G22738" s="5"/>
    </row>
    <row r="22739" spans="1:7" ht="58.5" customHeight="1" x14ac:dyDescent="0.25">
      <c r="A22739" s="5" t="str">
        <f>"H0036086"</f>
        <v>H0036086</v>
      </c>
      <c r="B22739" s="5" t="str">
        <f t="shared" si="1137"/>
        <v>ESTANTE CONSTRUIDOS EN LAMINAS METÁLICAS SOLIDAS, RESISTENTES Y ESTABLES CON TRATAMIENTO ANTICORROSIVO, CON 7 ENTREPAÑOS, DE 0.94 CMS DE ANCHO, CON ALTURA DE 2.20MTS Y CADA BANDEJA DEBE SOPORTAR UN PESO DE 100KG/MT LINEA</v>
      </c>
      <c r="C22739" s="6">
        <v>320095.99</v>
      </c>
      <c r="D22739" s="5" t="s">
        <v>904</v>
      </c>
      <c r="E22739" s="5" t="str">
        <f t="shared" si="1136"/>
        <v>ACTISALUD-ESTADISTICA</v>
      </c>
      <c r="F22739" s="5"/>
      <c r="G22739" s="5"/>
    </row>
    <row r="22740" spans="1:7" ht="58.5" customHeight="1" x14ac:dyDescent="0.25">
      <c r="A22740" s="5" t="str">
        <f>"H0036087"</f>
        <v>H0036087</v>
      </c>
      <c r="B22740" s="5" t="str">
        <f t="shared" si="1137"/>
        <v>ESTANTE CONSTRUIDOS EN LAMINAS METÁLICAS SOLIDAS, RESISTENTES Y ESTABLES CON TRATAMIENTO ANTICORROSIVO, CON 7 ENTREPAÑOS, DE 0.94 CMS DE ANCHO, CON ALTURA DE 2.20MTS Y CADA BANDEJA DEBE SOPORTAR UN PESO DE 100KG/MT LINEA</v>
      </c>
      <c r="C22740" s="6">
        <v>320095.99</v>
      </c>
      <c r="D22740" s="5" t="s">
        <v>904</v>
      </c>
      <c r="E22740" s="5" t="str">
        <f t="shared" si="1136"/>
        <v>ACTISALUD-ESTADISTICA</v>
      </c>
      <c r="F22740" s="5"/>
      <c r="G22740" s="5"/>
    </row>
    <row r="22741" spans="1:7" ht="58.5" customHeight="1" x14ac:dyDescent="0.25">
      <c r="A22741" s="5" t="str">
        <f>"H0036088"</f>
        <v>H0036088</v>
      </c>
      <c r="B22741" s="5" t="str">
        <f t="shared" si="1137"/>
        <v>ESTANTE CONSTRUIDOS EN LAMINAS METÁLICAS SOLIDAS, RESISTENTES Y ESTABLES CON TRATAMIENTO ANTICORROSIVO, CON 7 ENTREPAÑOS, DE 0.94 CMS DE ANCHO, CON ALTURA DE 2.20MTS Y CADA BANDEJA DEBE SOPORTAR UN PESO DE 100KG/MT LINEA</v>
      </c>
      <c r="C22741" s="6">
        <v>320095.99</v>
      </c>
      <c r="D22741" s="5" t="s">
        <v>904</v>
      </c>
      <c r="E22741" s="5" t="str">
        <f t="shared" si="1136"/>
        <v>ACTISALUD-ESTADISTICA</v>
      </c>
      <c r="F22741" s="5"/>
      <c r="G22741" s="5"/>
    </row>
    <row r="22742" spans="1:7" ht="58.5" customHeight="1" x14ac:dyDescent="0.25">
      <c r="A22742" s="5" t="str">
        <f>"H0036089"</f>
        <v>H0036089</v>
      </c>
      <c r="B22742" s="5" t="str">
        <f t="shared" si="1137"/>
        <v>ESTANTE CONSTRUIDOS EN LAMINAS METÁLICAS SOLIDAS, RESISTENTES Y ESTABLES CON TRATAMIENTO ANTICORROSIVO, CON 7 ENTREPAÑOS, DE 0.94 CMS DE ANCHO, CON ALTURA DE 2.20MTS Y CADA BANDEJA DEBE SOPORTAR UN PESO DE 100KG/MT LINEA</v>
      </c>
      <c r="C22742" s="6">
        <v>320095.99</v>
      </c>
      <c r="D22742" s="5" t="s">
        <v>904</v>
      </c>
      <c r="E22742" s="5" t="str">
        <f t="shared" si="1136"/>
        <v>ACTISALUD-ESTADISTICA</v>
      </c>
      <c r="F22742" s="5"/>
      <c r="G22742" s="5"/>
    </row>
    <row r="22743" spans="1:7" ht="58.5" customHeight="1" x14ac:dyDescent="0.25">
      <c r="A22743" s="5" t="str">
        <f>"H0036090"</f>
        <v>H0036090</v>
      </c>
      <c r="B22743" s="5" t="str">
        <f t="shared" si="1137"/>
        <v>ESTANTE CONSTRUIDOS EN LAMINAS METÁLICAS SOLIDAS, RESISTENTES Y ESTABLES CON TRATAMIENTO ANTICORROSIVO, CON 7 ENTREPAÑOS, DE 0.94 CMS DE ANCHO, CON ALTURA DE 2.20MTS Y CADA BANDEJA DEBE SOPORTAR UN PESO DE 100KG/MT LINEA</v>
      </c>
      <c r="C22743" s="6">
        <v>320095.99</v>
      </c>
      <c r="D22743" s="5" t="s">
        <v>904</v>
      </c>
      <c r="E22743" s="5" t="str">
        <f t="shared" si="1136"/>
        <v>ACTISALUD-ESTADISTICA</v>
      </c>
      <c r="F22743" s="5"/>
      <c r="G22743" s="5"/>
    </row>
    <row r="22744" spans="1:7" ht="58.5" customHeight="1" x14ac:dyDescent="0.25">
      <c r="A22744" s="5" t="str">
        <f>"H0036091"</f>
        <v>H0036091</v>
      </c>
      <c r="B22744" s="5" t="str">
        <f t="shared" si="1137"/>
        <v>ESTANTE CONSTRUIDOS EN LAMINAS METÁLICAS SOLIDAS, RESISTENTES Y ESTABLES CON TRATAMIENTO ANTICORROSIVO, CON 7 ENTREPAÑOS, DE 0.94 CMS DE ANCHO, CON ALTURA DE 2.20MTS Y CADA BANDEJA DEBE SOPORTAR UN PESO DE 100KG/MT LINEA</v>
      </c>
      <c r="C22744" s="6">
        <v>320095.99</v>
      </c>
      <c r="D22744" s="5" t="s">
        <v>904</v>
      </c>
      <c r="E22744" s="5" t="str">
        <f t="shared" si="1136"/>
        <v>ACTISALUD-ESTADISTICA</v>
      </c>
      <c r="F22744" s="5"/>
      <c r="G22744" s="5"/>
    </row>
    <row r="22745" spans="1:7" ht="58.5" customHeight="1" x14ac:dyDescent="0.25">
      <c r="A22745" s="5" t="str">
        <f>"H0036092"</f>
        <v>H0036092</v>
      </c>
      <c r="B22745" s="5" t="str">
        <f t="shared" si="1137"/>
        <v>ESTANTE CONSTRUIDOS EN LAMINAS METÁLICAS SOLIDAS, RESISTENTES Y ESTABLES CON TRATAMIENTO ANTICORROSIVO, CON 7 ENTREPAÑOS, DE 0.94 CMS DE ANCHO, CON ALTURA DE 2.20MTS Y CADA BANDEJA DEBE SOPORTAR UN PESO DE 100KG/MT LINEA</v>
      </c>
      <c r="C22745" s="6">
        <v>320095.99</v>
      </c>
      <c r="D22745" s="5" t="s">
        <v>904</v>
      </c>
      <c r="E22745" s="5" t="str">
        <f t="shared" si="1136"/>
        <v>ACTISALUD-ESTADISTICA</v>
      </c>
      <c r="F22745" s="5"/>
      <c r="G22745" s="5"/>
    </row>
    <row r="22746" spans="1:7" ht="58.5" customHeight="1" x14ac:dyDescent="0.25">
      <c r="A22746" s="5" t="str">
        <f>"H0036093"</f>
        <v>H0036093</v>
      </c>
      <c r="B22746" s="5" t="str">
        <f t="shared" si="1137"/>
        <v>ESTANTE CONSTRUIDOS EN LAMINAS METÁLICAS SOLIDAS, RESISTENTES Y ESTABLES CON TRATAMIENTO ANTICORROSIVO, CON 7 ENTREPAÑOS, DE 0.94 CMS DE ANCHO, CON ALTURA DE 2.20MTS Y CADA BANDEJA DEBE SOPORTAR UN PESO DE 100KG/MT LINEA</v>
      </c>
      <c r="C22746" s="6">
        <v>320095.99</v>
      </c>
      <c r="D22746" s="5" t="s">
        <v>904</v>
      </c>
      <c r="E22746" s="5" t="str">
        <f t="shared" si="1136"/>
        <v>ACTISALUD-ESTADISTICA</v>
      </c>
      <c r="F22746" s="5"/>
      <c r="G22746" s="5"/>
    </row>
    <row r="22747" spans="1:7" ht="58.5" customHeight="1" x14ac:dyDescent="0.25">
      <c r="A22747" s="5" t="str">
        <f>"H0036094"</f>
        <v>H0036094</v>
      </c>
      <c r="B22747" s="5" t="str">
        <f t="shared" si="1137"/>
        <v>ESTANTE CONSTRUIDOS EN LAMINAS METÁLICAS SOLIDAS, RESISTENTES Y ESTABLES CON TRATAMIENTO ANTICORROSIVO, CON 7 ENTREPAÑOS, DE 0.94 CMS DE ANCHO, CON ALTURA DE 2.20MTS Y CADA BANDEJA DEBE SOPORTAR UN PESO DE 100KG/MT LINEA</v>
      </c>
      <c r="C22747" s="6">
        <v>320095.99</v>
      </c>
      <c r="D22747" s="5" t="s">
        <v>904</v>
      </c>
      <c r="E22747" s="5" t="str">
        <f t="shared" si="1136"/>
        <v>ACTISALUD-ESTADISTICA</v>
      </c>
      <c r="F22747" s="5"/>
      <c r="G22747" s="5"/>
    </row>
    <row r="22748" spans="1:7" ht="58.5" customHeight="1" x14ac:dyDescent="0.25">
      <c r="A22748" s="5" t="str">
        <f>"H0036095"</f>
        <v>H0036095</v>
      </c>
      <c r="B22748" s="5" t="str">
        <f t="shared" si="1137"/>
        <v>ESTANTE CONSTRUIDOS EN LAMINAS METÁLICAS SOLIDAS, RESISTENTES Y ESTABLES CON TRATAMIENTO ANTICORROSIVO, CON 7 ENTREPAÑOS, DE 0.94 CMS DE ANCHO, CON ALTURA DE 2.20MTS Y CADA BANDEJA DEBE SOPORTAR UN PESO DE 100KG/MT LINEA</v>
      </c>
      <c r="C22748" s="6">
        <v>320095.99</v>
      </c>
      <c r="D22748" s="5" t="s">
        <v>904</v>
      </c>
      <c r="E22748" s="5" t="str">
        <f t="shared" si="1136"/>
        <v>ACTISALUD-ESTADISTICA</v>
      </c>
      <c r="F22748" s="5"/>
      <c r="G22748" s="5"/>
    </row>
    <row r="22749" spans="1:7" ht="58.5" customHeight="1" x14ac:dyDescent="0.25">
      <c r="A22749" s="5" t="str">
        <f>"H0036096"</f>
        <v>H0036096</v>
      </c>
      <c r="B22749" s="5" t="str">
        <f t="shared" si="1137"/>
        <v>ESTANTE CONSTRUIDOS EN LAMINAS METÁLICAS SOLIDAS, RESISTENTES Y ESTABLES CON TRATAMIENTO ANTICORROSIVO, CON 7 ENTREPAÑOS, DE 0.94 CMS DE ANCHO, CON ALTURA DE 2.20MTS Y CADA BANDEJA DEBE SOPORTAR UN PESO DE 100KG/MT LINEA</v>
      </c>
      <c r="C22749" s="6">
        <v>320095.99</v>
      </c>
      <c r="D22749" s="5" t="s">
        <v>904</v>
      </c>
      <c r="E22749" s="5" t="str">
        <f t="shared" si="1136"/>
        <v>ACTISALUD-ESTADISTICA</v>
      </c>
      <c r="F22749" s="5"/>
      <c r="G22749" s="5"/>
    </row>
    <row r="22750" spans="1:7" ht="58.5" customHeight="1" x14ac:dyDescent="0.25">
      <c r="A22750" s="5" t="str">
        <f>"H0036097"</f>
        <v>H0036097</v>
      </c>
      <c r="B22750" s="5" t="str">
        <f t="shared" si="1137"/>
        <v>ESTANTE CONSTRUIDOS EN LAMINAS METÁLICAS SOLIDAS, RESISTENTES Y ESTABLES CON TRATAMIENTO ANTICORROSIVO, CON 7 ENTREPAÑOS, DE 0.94 CMS DE ANCHO, CON ALTURA DE 2.20MTS Y CADA BANDEJA DEBE SOPORTAR UN PESO DE 100KG/MT LINEA</v>
      </c>
      <c r="C22750" s="6">
        <v>320095.99</v>
      </c>
      <c r="D22750" s="5" t="s">
        <v>904</v>
      </c>
      <c r="E22750" s="5" t="str">
        <f t="shared" si="1136"/>
        <v>ACTISALUD-ESTADISTICA</v>
      </c>
      <c r="F22750" s="5"/>
      <c r="G22750" s="5"/>
    </row>
    <row r="22751" spans="1:7" ht="58.5" customHeight="1" x14ac:dyDescent="0.25">
      <c r="A22751" s="5" t="str">
        <f>"H0036098"</f>
        <v>H0036098</v>
      </c>
      <c r="B22751" s="5" t="str">
        <f t="shared" si="1137"/>
        <v>ESTANTE CONSTRUIDOS EN LAMINAS METÁLICAS SOLIDAS, RESISTENTES Y ESTABLES CON TRATAMIENTO ANTICORROSIVO, CON 7 ENTREPAÑOS, DE 0.94 CMS DE ANCHO, CON ALTURA DE 2.20MTS Y CADA BANDEJA DEBE SOPORTAR UN PESO DE 100KG/MT LINEA</v>
      </c>
      <c r="C22751" s="6">
        <v>320095.99</v>
      </c>
      <c r="D22751" s="5" t="s">
        <v>904</v>
      </c>
      <c r="E22751" s="5" t="str">
        <f t="shared" si="1136"/>
        <v>ACTISALUD-ESTADISTICA</v>
      </c>
      <c r="F22751" s="5"/>
      <c r="G22751" s="5"/>
    </row>
    <row r="22752" spans="1:7" ht="58.5" customHeight="1" x14ac:dyDescent="0.25">
      <c r="A22752" s="5" t="str">
        <f>"H0036099"</f>
        <v>H0036099</v>
      </c>
      <c r="B22752" s="5" t="str">
        <f t="shared" si="1137"/>
        <v>ESTANTE CONSTRUIDOS EN LAMINAS METÁLICAS SOLIDAS, RESISTENTES Y ESTABLES CON TRATAMIENTO ANTICORROSIVO, CON 7 ENTREPAÑOS, DE 0.94 CMS DE ANCHO, CON ALTURA DE 2.20MTS Y CADA BANDEJA DEBE SOPORTAR UN PESO DE 100KG/MT LINEA</v>
      </c>
      <c r="C22752" s="6">
        <v>320095.99</v>
      </c>
      <c r="D22752" s="5" t="s">
        <v>904</v>
      </c>
      <c r="E22752" s="5" t="str">
        <f t="shared" si="1136"/>
        <v>ACTISALUD-ESTADISTICA</v>
      </c>
      <c r="F22752" s="5"/>
      <c r="G22752" s="5"/>
    </row>
    <row r="22753" spans="1:7" ht="58.5" customHeight="1" x14ac:dyDescent="0.25">
      <c r="A22753" s="5" t="str">
        <f>"H0036100"</f>
        <v>H0036100</v>
      </c>
      <c r="B22753" s="5" t="str">
        <f t="shared" si="1137"/>
        <v>ESTANTE CONSTRUIDOS EN LAMINAS METÁLICAS SOLIDAS, RESISTENTES Y ESTABLES CON TRATAMIENTO ANTICORROSIVO, CON 7 ENTREPAÑOS, DE 0.94 CMS DE ANCHO, CON ALTURA DE 2.20MTS Y CADA BANDEJA DEBE SOPORTAR UN PESO DE 100KG/MT LINEA</v>
      </c>
      <c r="C22753" s="6">
        <v>320095.99</v>
      </c>
      <c r="D22753" s="5" t="s">
        <v>904</v>
      </c>
      <c r="E22753" s="5" t="str">
        <f t="shared" si="1136"/>
        <v>ACTISALUD-ESTADISTICA</v>
      </c>
      <c r="F22753" s="5"/>
      <c r="G22753" s="5"/>
    </row>
    <row r="22754" spans="1:7" ht="58.5" customHeight="1" x14ac:dyDescent="0.25">
      <c r="A22754" s="5" t="str">
        <f>"H0036101"</f>
        <v>H0036101</v>
      </c>
      <c r="B22754" s="5" t="str">
        <f t="shared" si="1137"/>
        <v>ESTANTE CONSTRUIDOS EN LAMINAS METÁLICAS SOLIDAS, RESISTENTES Y ESTABLES CON TRATAMIENTO ANTICORROSIVO, CON 7 ENTREPAÑOS, DE 0.94 CMS DE ANCHO, CON ALTURA DE 2.20MTS Y CADA BANDEJA DEBE SOPORTAR UN PESO DE 100KG/MT LINEA</v>
      </c>
      <c r="C22754" s="6">
        <v>320095.99</v>
      </c>
      <c r="D22754" s="5" t="s">
        <v>904</v>
      </c>
      <c r="E22754" s="5" t="str">
        <f t="shared" si="1136"/>
        <v>ACTISALUD-ESTADISTICA</v>
      </c>
      <c r="F22754" s="5"/>
      <c r="G22754" s="5"/>
    </row>
    <row r="22755" spans="1:7" ht="58.5" customHeight="1" x14ac:dyDescent="0.25">
      <c r="A22755" s="5" t="str">
        <f>"H0036102"</f>
        <v>H0036102</v>
      </c>
      <c r="B22755" s="5" t="str">
        <f t="shared" si="1137"/>
        <v>ESTANTE CONSTRUIDOS EN LAMINAS METÁLICAS SOLIDAS, RESISTENTES Y ESTABLES CON TRATAMIENTO ANTICORROSIVO, CON 7 ENTREPAÑOS, DE 0.94 CMS DE ANCHO, CON ALTURA DE 2.20MTS Y CADA BANDEJA DEBE SOPORTAR UN PESO DE 100KG/MT LINEA</v>
      </c>
      <c r="C22755" s="6">
        <v>320095.99</v>
      </c>
      <c r="D22755" s="5" t="s">
        <v>904</v>
      </c>
      <c r="E22755" s="5" t="str">
        <f t="shared" si="1136"/>
        <v>ACTISALUD-ESTADISTICA</v>
      </c>
      <c r="F22755" s="5"/>
      <c r="G22755" s="5"/>
    </row>
    <row r="22756" spans="1:7" ht="58.5" customHeight="1" x14ac:dyDescent="0.25">
      <c r="A22756" s="5" t="str">
        <f>"H0036103"</f>
        <v>H0036103</v>
      </c>
      <c r="B22756" s="5" t="str">
        <f t="shared" si="1137"/>
        <v>ESTANTE CONSTRUIDOS EN LAMINAS METÁLICAS SOLIDAS, RESISTENTES Y ESTABLES CON TRATAMIENTO ANTICORROSIVO, CON 7 ENTREPAÑOS, DE 0.94 CMS DE ANCHO, CON ALTURA DE 2.20MTS Y CADA BANDEJA DEBE SOPORTAR UN PESO DE 100KG/MT LINEA</v>
      </c>
      <c r="C22756" s="6">
        <v>320095.99</v>
      </c>
      <c r="D22756" s="5" t="s">
        <v>904</v>
      </c>
      <c r="E22756" s="5" t="str">
        <f t="shared" si="1136"/>
        <v>ACTISALUD-ESTADISTICA</v>
      </c>
      <c r="F22756" s="5"/>
      <c r="G22756" s="5"/>
    </row>
    <row r="22757" spans="1:7" ht="58.5" customHeight="1" x14ac:dyDescent="0.25">
      <c r="A22757" s="5" t="str">
        <f>"H0036104"</f>
        <v>H0036104</v>
      </c>
      <c r="B22757" s="5" t="str">
        <f t="shared" si="1137"/>
        <v>ESTANTE CONSTRUIDOS EN LAMINAS METÁLICAS SOLIDAS, RESISTENTES Y ESTABLES CON TRATAMIENTO ANTICORROSIVO, CON 7 ENTREPAÑOS, DE 0.94 CMS DE ANCHO, CON ALTURA DE 2.20MTS Y CADA BANDEJA DEBE SOPORTAR UN PESO DE 100KG/MT LINEA</v>
      </c>
      <c r="C22757" s="6">
        <v>320095.99</v>
      </c>
      <c r="D22757" s="5" t="s">
        <v>904</v>
      </c>
      <c r="E22757" s="5" t="str">
        <f t="shared" si="1136"/>
        <v>ACTISALUD-ESTADISTICA</v>
      </c>
      <c r="F22757" s="5"/>
      <c r="G22757" s="5"/>
    </row>
    <row r="22758" spans="1:7" ht="58.5" customHeight="1" x14ac:dyDescent="0.25">
      <c r="A22758" s="5" t="str">
        <f>"H0036105"</f>
        <v>H0036105</v>
      </c>
      <c r="B22758" s="5" t="str">
        <f t="shared" si="1137"/>
        <v>ESTANTE CONSTRUIDOS EN LAMINAS METÁLICAS SOLIDAS, RESISTENTES Y ESTABLES CON TRATAMIENTO ANTICORROSIVO, CON 7 ENTREPAÑOS, DE 0.94 CMS DE ANCHO, CON ALTURA DE 2.20MTS Y CADA BANDEJA DEBE SOPORTAR UN PESO DE 100KG/MT LINEA</v>
      </c>
      <c r="C22758" s="6">
        <v>320095.99</v>
      </c>
      <c r="D22758" s="5" t="s">
        <v>904</v>
      </c>
      <c r="E22758" s="5" t="str">
        <f t="shared" si="1136"/>
        <v>ACTISALUD-ESTADISTICA</v>
      </c>
      <c r="F22758" s="5"/>
      <c r="G22758" s="5"/>
    </row>
    <row r="22759" spans="1:7" ht="58.5" customHeight="1" x14ac:dyDescent="0.25">
      <c r="A22759" s="5" t="str">
        <f>"H0036106"</f>
        <v>H0036106</v>
      </c>
      <c r="B22759" s="5" t="str">
        <f t="shared" si="1137"/>
        <v>ESTANTE CONSTRUIDOS EN LAMINAS METÁLICAS SOLIDAS, RESISTENTES Y ESTABLES CON TRATAMIENTO ANTICORROSIVO, CON 7 ENTREPAÑOS, DE 0.94 CMS DE ANCHO, CON ALTURA DE 2.20MTS Y CADA BANDEJA DEBE SOPORTAR UN PESO DE 100KG/MT LINEA</v>
      </c>
      <c r="C22759" s="6">
        <v>320095.99</v>
      </c>
      <c r="D22759" s="5" t="s">
        <v>904</v>
      </c>
      <c r="E22759" s="5" t="str">
        <f t="shared" si="1136"/>
        <v>ACTISALUD-ESTADISTICA</v>
      </c>
      <c r="F22759" s="5"/>
      <c r="G22759" s="5"/>
    </row>
    <row r="22760" spans="1:7" ht="58.5" customHeight="1" x14ac:dyDescent="0.25">
      <c r="A22760" s="5" t="str">
        <f>"H0036107"</f>
        <v>H0036107</v>
      </c>
      <c r="B22760" s="5" t="str">
        <f t="shared" si="1137"/>
        <v>ESTANTE CONSTRUIDOS EN LAMINAS METÁLICAS SOLIDAS, RESISTENTES Y ESTABLES CON TRATAMIENTO ANTICORROSIVO, CON 7 ENTREPAÑOS, DE 0.94 CMS DE ANCHO, CON ALTURA DE 2.20MTS Y CADA BANDEJA DEBE SOPORTAR UN PESO DE 100KG/MT LINEA</v>
      </c>
      <c r="C22760" s="6">
        <v>320095.99</v>
      </c>
      <c r="D22760" s="5" t="s">
        <v>904</v>
      </c>
      <c r="E22760" s="5" t="str">
        <f t="shared" si="1136"/>
        <v>ACTISALUD-ESTADISTICA</v>
      </c>
      <c r="F22760" s="5"/>
      <c r="G22760" s="5"/>
    </row>
    <row r="22761" spans="1:7" ht="58.5" customHeight="1" x14ac:dyDescent="0.25">
      <c r="A22761" s="5" t="str">
        <f>"H0036108"</f>
        <v>H0036108</v>
      </c>
      <c r="B22761" s="5" t="str">
        <f t="shared" si="1137"/>
        <v>ESTANTE CONSTRUIDOS EN LAMINAS METÁLICAS SOLIDAS, RESISTENTES Y ESTABLES CON TRATAMIENTO ANTICORROSIVO, CON 7 ENTREPAÑOS, DE 0.94 CMS DE ANCHO, CON ALTURA DE 2.20MTS Y CADA BANDEJA DEBE SOPORTAR UN PESO DE 100KG/MT LINEA</v>
      </c>
      <c r="C22761" s="6">
        <v>320095.99</v>
      </c>
      <c r="D22761" s="5" t="s">
        <v>904</v>
      </c>
      <c r="E22761" s="5" t="str">
        <f t="shared" si="1136"/>
        <v>ACTISALUD-ESTADISTICA</v>
      </c>
      <c r="F22761" s="5"/>
      <c r="G22761" s="5"/>
    </row>
    <row r="22762" spans="1:7" ht="58.5" customHeight="1" x14ac:dyDescent="0.25">
      <c r="A22762" s="5" t="str">
        <f>"H0036109"</f>
        <v>H0036109</v>
      </c>
      <c r="B22762" s="5" t="str">
        <f t="shared" si="1137"/>
        <v>ESTANTE CONSTRUIDOS EN LAMINAS METÁLICAS SOLIDAS, RESISTENTES Y ESTABLES CON TRATAMIENTO ANTICORROSIVO, CON 7 ENTREPAÑOS, DE 0.94 CMS DE ANCHO, CON ALTURA DE 2.20MTS Y CADA BANDEJA DEBE SOPORTAR UN PESO DE 100KG/MT LINEA</v>
      </c>
      <c r="C22762" s="6">
        <v>320095.99</v>
      </c>
      <c r="D22762" s="5" t="s">
        <v>904</v>
      </c>
      <c r="E22762" s="5" t="str">
        <f t="shared" si="1136"/>
        <v>ACTISALUD-ESTADISTICA</v>
      </c>
      <c r="F22762" s="5"/>
      <c r="G22762" s="5"/>
    </row>
    <row r="22763" spans="1:7" ht="58.5" customHeight="1" x14ac:dyDescent="0.25">
      <c r="A22763" s="5" t="str">
        <f>"H0036110"</f>
        <v>H0036110</v>
      </c>
      <c r="B22763" s="5" t="str">
        <f t="shared" si="1137"/>
        <v>ESTANTE CONSTRUIDOS EN LAMINAS METÁLICAS SOLIDAS, RESISTENTES Y ESTABLES CON TRATAMIENTO ANTICORROSIVO, CON 7 ENTREPAÑOS, DE 0.94 CMS DE ANCHO, CON ALTURA DE 2.20MTS Y CADA BANDEJA DEBE SOPORTAR UN PESO DE 100KG/MT LINEA</v>
      </c>
      <c r="C22763" s="6">
        <v>320095.99</v>
      </c>
      <c r="D22763" s="5" t="s">
        <v>904</v>
      </c>
      <c r="E22763" s="5" t="str">
        <f t="shared" si="1136"/>
        <v>ACTISALUD-ESTADISTICA</v>
      </c>
      <c r="F22763" s="5"/>
      <c r="G22763" s="5"/>
    </row>
    <row r="22764" spans="1:7" ht="58.5" customHeight="1" x14ac:dyDescent="0.25">
      <c r="A22764" s="5" t="str">
        <f>"H0036111"</f>
        <v>H0036111</v>
      </c>
      <c r="B22764" s="5" t="str">
        <f t="shared" si="1137"/>
        <v>ESTANTE CONSTRUIDOS EN LAMINAS METÁLICAS SOLIDAS, RESISTENTES Y ESTABLES CON TRATAMIENTO ANTICORROSIVO, CON 7 ENTREPAÑOS, DE 0.94 CMS DE ANCHO, CON ALTURA DE 2.20MTS Y CADA BANDEJA DEBE SOPORTAR UN PESO DE 100KG/MT LINEA</v>
      </c>
      <c r="C22764" s="6">
        <v>320095.99</v>
      </c>
      <c r="D22764" s="5" t="s">
        <v>904</v>
      </c>
      <c r="E22764" s="5" t="str">
        <f t="shared" si="1136"/>
        <v>ACTISALUD-ESTADISTICA</v>
      </c>
      <c r="F22764" s="5"/>
      <c r="G22764" s="5"/>
    </row>
    <row r="22765" spans="1:7" ht="58.5" customHeight="1" x14ac:dyDescent="0.25">
      <c r="A22765" s="5" t="str">
        <f>"H0036112"</f>
        <v>H0036112</v>
      </c>
      <c r="B22765" s="5" t="str">
        <f t="shared" si="1137"/>
        <v>ESTANTE CONSTRUIDOS EN LAMINAS METÁLICAS SOLIDAS, RESISTENTES Y ESTABLES CON TRATAMIENTO ANTICORROSIVO, CON 7 ENTREPAÑOS, DE 0.94 CMS DE ANCHO, CON ALTURA DE 2.20MTS Y CADA BANDEJA DEBE SOPORTAR UN PESO DE 100KG/MT LINEA</v>
      </c>
      <c r="C22765" s="6">
        <v>320095.99</v>
      </c>
      <c r="D22765" s="5" t="s">
        <v>904</v>
      </c>
      <c r="E22765" s="5" t="str">
        <f t="shared" si="1136"/>
        <v>ACTISALUD-ESTADISTICA</v>
      </c>
      <c r="F22765" s="5"/>
      <c r="G22765" s="5"/>
    </row>
    <row r="22766" spans="1:7" ht="58.5" customHeight="1" x14ac:dyDescent="0.25">
      <c r="A22766" s="5" t="str">
        <f>"H0036113"</f>
        <v>H0036113</v>
      </c>
      <c r="B22766" s="5" t="str">
        <f t="shared" si="1137"/>
        <v>ESTANTE CONSTRUIDOS EN LAMINAS METÁLICAS SOLIDAS, RESISTENTES Y ESTABLES CON TRATAMIENTO ANTICORROSIVO, CON 7 ENTREPAÑOS, DE 0.94 CMS DE ANCHO, CON ALTURA DE 2.20MTS Y CADA BANDEJA DEBE SOPORTAR UN PESO DE 100KG/MT LINEA</v>
      </c>
      <c r="C22766" s="6">
        <v>320095.99</v>
      </c>
      <c r="D22766" s="5" t="s">
        <v>904</v>
      </c>
      <c r="E22766" s="5" t="str">
        <f t="shared" si="1136"/>
        <v>ACTISALUD-ESTADISTICA</v>
      </c>
      <c r="F22766" s="5"/>
      <c r="G22766" s="5"/>
    </row>
    <row r="22767" spans="1:7" ht="58.5" customHeight="1" x14ac:dyDescent="0.25">
      <c r="A22767" s="5" t="str">
        <f>"H0036114"</f>
        <v>H0036114</v>
      </c>
      <c r="B22767" s="5" t="str">
        <f t="shared" si="1137"/>
        <v>ESTANTE CONSTRUIDOS EN LAMINAS METÁLICAS SOLIDAS, RESISTENTES Y ESTABLES CON TRATAMIENTO ANTICORROSIVO, CON 7 ENTREPAÑOS, DE 0.94 CMS DE ANCHO, CON ALTURA DE 2.20MTS Y CADA BANDEJA DEBE SOPORTAR UN PESO DE 100KG/MT LINEA</v>
      </c>
      <c r="C22767" s="6">
        <v>320095.99</v>
      </c>
      <c r="D22767" s="5" t="s">
        <v>904</v>
      </c>
      <c r="E22767" s="5" t="str">
        <f t="shared" si="1136"/>
        <v>ACTISALUD-ESTADISTICA</v>
      </c>
      <c r="F22767" s="5"/>
      <c r="G22767" s="5"/>
    </row>
    <row r="22768" spans="1:7" ht="58.5" customHeight="1" x14ac:dyDescent="0.25">
      <c r="A22768" s="5" t="str">
        <f>"H0036115"</f>
        <v>H0036115</v>
      </c>
      <c r="B22768" s="5" t="str">
        <f t="shared" si="1137"/>
        <v>ESTANTE CONSTRUIDOS EN LAMINAS METÁLICAS SOLIDAS, RESISTENTES Y ESTABLES CON TRATAMIENTO ANTICORROSIVO, CON 7 ENTREPAÑOS, DE 0.94 CMS DE ANCHO, CON ALTURA DE 2.20MTS Y CADA BANDEJA DEBE SOPORTAR UN PESO DE 100KG/MT LINEA</v>
      </c>
      <c r="C22768" s="6">
        <v>320095.99</v>
      </c>
      <c r="D22768" s="5" t="s">
        <v>904</v>
      </c>
      <c r="E22768" s="5" t="str">
        <f t="shared" si="1136"/>
        <v>ACTISALUD-ESTADISTICA</v>
      </c>
      <c r="F22768" s="5"/>
      <c r="G22768" s="5"/>
    </row>
    <row r="22769" spans="1:7" ht="58.5" customHeight="1" x14ac:dyDescent="0.25">
      <c r="A22769" s="5" t="str">
        <f>"H0036116"</f>
        <v>H0036116</v>
      </c>
      <c r="B22769" s="5" t="str">
        <f t="shared" si="1137"/>
        <v>ESTANTE CONSTRUIDOS EN LAMINAS METÁLICAS SOLIDAS, RESISTENTES Y ESTABLES CON TRATAMIENTO ANTICORROSIVO, CON 7 ENTREPAÑOS, DE 0.94 CMS DE ANCHO, CON ALTURA DE 2.20MTS Y CADA BANDEJA DEBE SOPORTAR UN PESO DE 100KG/MT LINEA</v>
      </c>
      <c r="C22769" s="6">
        <v>320095.99</v>
      </c>
      <c r="D22769" s="5" t="s">
        <v>904</v>
      </c>
      <c r="E22769" s="5" t="str">
        <f t="shared" si="1136"/>
        <v>ACTISALUD-ESTADISTICA</v>
      </c>
      <c r="F22769" s="5"/>
      <c r="G22769" s="5"/>
    </row>
    <row r="22770" spans="1:7" ht="58.5" customHeight="1" x14ac:dyDescent="0.25">
      <c r="A22770" s="5" t="str">
        <f>"H0036117"</f>
        <v>H0036117</v>
      </c>
      <c r="B22770" s="5" t="str">
        <f t="shared" si="1137"/>
        <v>ESTANTE CONSTRUIDOS EN LAMINAS METÁLICAS SOLIDAS, RESISTENTES Y ESTABLES CON TRATAMIENTO ANTICORROSIVO, CON 7 ENTREPAÑOS, DE 0.94 CMS DE ANCHO, CON ALTURA DE 2.20MTS Y CADA BANDEJA DEBE SOPORTAR UN PESO DE 100KG/MT LINEA</v>
      </c>
      <c r="C22770" s="6">
        <v>320095.99</v>
      </c>
      <c r="D22770" s="5" t="s">
        <v>904</v>
      </c>
      <c r="E22770" s="5" t="str">
        <f t="shared" si="1136"/>
        <v>ACTISALUD-ESTADISTICA</v>
      </c>
      <c r="F22770" s="5"/>
      <c r="G22770" s="5"/>
    </row>
    <row r="22771" spans="1:7" ht="58.5" customHeight="1" x14ac:dyDescent="0.25">
      <c r="A22771" s="5" t="str">
        <f>"H0036118"</f>
        <v>H0036118</v>
      </c>
      <c r="B22771" s="5" t="str">
        <f t="shared" si="1137"/>
        <v>ESTANTE CONSTRUIDOS EN LAMINAS METÁLICAS SOLIDAS, RESISTENTES Y ESTABLES CON TRATAMIENTO ANTICORROSIVO, CON 7 ENTREPAÑOS, DE 0.94 CMS DE ANCHO, CON ALTURA DE 2.20MTS Y CADA BANDEJA DEBE SOPORTAR UN PESO DE 100KG/MT LINEA</v>
      </c>
      <c r="C22771" s="6">
        <v>320095.99</v>
      </c>
      <c r="D22771" s="5" t="s">
        <v>904</v>
      </c>
      <c r="E22771" s="5" t="str">
        <f t="shared" si="1136"/>
        <v>ACTISALUD-ESTADISTICA</v>
      </c>
      <c r="F22771" s="5"/>
      <c r="G22771" s="5"/>
    </row>
    <row r="22772" spans="1:7" ht="58.5" customHeight="1" x14ac:dyDescent="0.25">
      <c r="A22772" s="5" t="str">
        <f>"H0036119"</f>
        <v>H0036119</v>
      </c>
      <c r="B22772" s="5" t="str">
        <f t="shared" si="1137"/>
        <v>ESTANTE CONSTRUIDOS EN LAMINAS METÁLICAS SOLIDAS, RESISTENTES Y ESTABLES CON TRATAMIENTO ANTICORROSIVO, CON 7 ENTREPAÑOS, DE 0.94 CMS DE ANCHO, CON ALTURA DE 2.20MTS Y CADA BANDEJA DEBE SOPORTAR UN PESO DE 100KG/MT LINEA</v>
      </c>
      <c r="C22772" s="6">
        <v>320095.99</v>
      </c>
      <c r="D22772" s="5" t="s">
        <v>904</v>
      </c>
      <c r="E22772" s="5" t="str">
        <f t="shared" si="1136"/>
        <v>ACTISALUD-ESTADISTICA</v>
      </c>
      <c r="F22772" s="5"/>
      <c r="G22772" s="5"/>
    </row>
    <row r="22773" spans="1:7" ht="58.5" customHeight="1" x14ac:dyDescent="0.25">
      <c r="A22773" s="5" t="str">
        <f>"H0036120"</f>
        <v>H0036120</v>
      </c>
      <c r="B22773" s="5" t="str">
        <f t="shared" si="1137"/>
        <v>ESTANTE CONSTRUIDOS EN LAMINAS METÁLICAS SOLIDAS, RESISTENTES Y ESTABLES CON TRATAMIENTO ANTICORROSIVO, CON 7 ENTREPAÑOS, DE 0.94 CMS DE ANCHO, CON ALTURA DE 2.20MTS Y CADA BANDEJA DEBE SOPORTAR UN PESO DE 100KG/MT LINEA</v>
      </c>
      <c r="C22773" s="6">
        <v>320095.99</v>
      </c>
      <c r="D22773" s="5" t="s">
        <v>904</v>
      </c>
      <c r="E22773" s="5" t="str">
        <f t="shared" si="1136"/>
        <v>ACTISALUD-ESTADISTICA</v>
      </c>
      <c r="F22773" s="5"/>
      <c r="G22773" s="5"/>
    </row>
    <row r="22774" spans="1:7" ht="58.5" customHeight="1" x14ac:dyDescent="0.25">
      <c r="A22774" s="5" t="str">
        <f>"H0036121"</f>
        <v>H0036121</v>
      </c>
      <c r="B22774" s="5" t="str">
        <f t="shared" si="1137"/>
        <v>ESTANTE CONSTRUIDOS EN LAMINAS METÁLICAS SOLIDAS, RESISTENTES Y ESTABLES CON TRATAMIENTO ANTICORROSIVO, CON 7 ENTREPAÑOS, DE 0.94 CMS DE ANCHO, CON ALTURA DE 2.20MTS Y CADA BANDEJA DEBE SOPORTAR UN PESO DE 100KG/MT LINEA</v>
      </c>
      <c r="C22774" s="6">
        <v>320095.99</v>
      </c>
      <c r="D22774" s="5" t="s">
        <v>904</v>
      </c>
      <c r="E22774" s="5" t="str">
        <f t="shared" ref="E22774:E22837" si="1138">"ACTISALUD-ESTADISTICA"</f>
        <v>ACTISALUD-ESTADISTICA</v>
      </c>
      <c r="F22774" s="5"/>
      <c r="G22774" s="5"/>
    </row>
    <row r="22775" spans="1:7" ht="58.5" customHeight="1" x14ac:dyDescent="0.25">
      <c r="A22775" s="5" t="str">
        <f>"H0036122"</f>
        <v>H0036122</v>
      </c>
      <c r="B22775" s="5" t="str">
        <f t="shared" si="1137"/>
        <v>ESTANTE CONSTRUIDOS EN LAMINAS METÁLICAS SOLIDAS, RESISTENTES Y ESTABLES CON TRATAMIENTO ANTICORROSIVO, CON 7 ENTREPAÑOS, DE 0.94 CMS DE ANCHO, CON ALTURA DE 2.20MTS Y CADA BANDEJA DEBE SOPORTAR UN PESO DE 100KG/MT LINEA</v>
      </c>
      <c r="C22775" s="6">
        <v>320095.99</v>
      </c>
      <c r="D22775" s="5" t="s">
        <v>904</v>
      </c>
      <c r="E22775" s="5" t="str">
        <f t="shared" si="1138"/>
        <v>ACTISALUD-ESTADISTICA</v>
      </c>
      <c r="F22775" s="5"/>
      <c r="G22775" s="5"/>
    </row>
    <row r="22776" spans="1:7" ht="58.5" customHeight="1" x14ac:dyDescent="0.25">
      <c r="A22776" s="5" t="str">
        <f>"H0036123"</f>
        <v>H0036123</v>
      </c>
      <c r="B22776" s="5" t="str">
        <f t="shared" si="1137"/>
        <v>ESTANTE CONSTRUIDOS EN LAMINAS METÁLICAS SOLIDAS, RESISTENTES Y ESTABLES CON TRATAMIENTO ANTICORROSIVO, CON 7 ENTREPAÑOS, DE 0.94 CMS DE ANCHO, CON ALTURA DE 2.20MTS Y CADA BANDEJA DEBE SOPORTAR UN PESO DE 100KG/MT LINEA</v>
      </c>
      <c r="C22776" s="6">
        <v>320095.99</v>
      </c>
      <c r="D22776" s="5" t="s">
        <v>904</v>
      </c>
      <c r="E22776" s="5" t="str">
        <f t="shared" si="1138"/>
        <v>ACTISALUD-ESTADISTICA</v>
      </c>
      <c r="F22776" s="5"/>
      <c r="G22776" s="5"/>
    </row>
    <row r="22777" spans="1:7" ht="58.5" customHeight="1" x14ac:dyDescent="0.25">
      <c r="A22777" s="5" t="str">
        <f>"H0036124"</f>
        <v>H0036124</v>
      </c>
      <c r="B22777" s="5" t="str">
        <f t="shared" si="1137"/>
        <v>ESTANTE CONSTRUIDOS EN LAMINAS METÁLICAS SOLIDAS, RESISTENTES Y ESTABLES CON TRATAMIENTO ANTICORROSIVO, CON 7 ENTREPAÑOS, DE 0.94 CMS DE ANCHO, CON ALTURA DE 2.20MTS Y CADA BANDEJA DEBE SOPORTAR UN PESO DE 100KG/MT LINEA</v>
      </c>
      <c r="C22777" s="6">
        <v>320095.99</v>
      </c>
      <c r="D22777" s="5" t="s">
        <v>904</v>
      </c>
      <c r="E22777" s="5" t="str">
        <f t="shared" si="1138"/>
        <v>ACTISALUD-ESTADISTICA</v>
      </c>
      <c r="F22777" s="5"/>
      <c r="G22777" s="5"/>
    </row>
    <row r="22778" spans="1:7" ht="58.5" customHeight="1" x14ac:dyDescent="0.25">
      <c r="A22778" s="5" t="str">
        <f>"H0036125"</f>
        <v>H0036125</v>
      </c>
      <c r="B22778" s="5" t="str">
        <f t="shared" si="1137"/>
        <v>ESTANTE CONSTRUIDOS EN LAMINAS METÁLICAS SOLIDAS, RESISTENTES Y ESTABLES CON TRATAMIENTO ANTICORROSIVO, CON 7 ENTREPAÑOS, DE 0.94 CMS DE ANCHO, CON ALTURA DE 2.20MTS Y CADA BANDEJA DEBE SOPORTAR UN PESO DE 100KG/MT LINEA</v>
      </c>
      <c r="C22778" s="6">
        <v>320095.99</v>
      </c>
      <c r="D22778" s="5" t="s">
        <v>904</v>
      </c>
      <c r="E22778" s="5" t="str">
        <f t="shared" si="1138"/>
        <v>ACTISALUD-ESTADISTICA</v>
      </c>
      <c r="F22778" s="5"/>
      <c r="G22778" s="5"/>
    </row>
    <row r="22779" spans="1:7" ht="58.5" customHeight="1" x14ac:dyDescent="0.25">
      <c r="A22779" s="5" t="str">
        <f>"H0036126"</f>
        <v>H0036126</v>
      </c>
      <c r="B22779" s="5" t="str">
        <f t="shared" si="1137"/>
        <v>ESTANTE CONSTRUIDOS EN LAMINAS METÁLICAS SOLIDAS, RESISTENTES Y ESTABLES CON TRATAMIENTO ANTICORROSIVO, CON 7 ENTREPAÑOS, DE 0.94 CMS DE ANCHO, CON ALTURA DE 2.20MTS Y CADA BANDEJA DEBE SOPORTAR UN PESO DE 100KG/MT LINEA</v>
      </c>
      <c r="C22779" s="6">
        <v>320095.99</v>
      </c>
      <c r="D22779" s="5" t="s">
        <v>904</v>
      </c>
      <c r="E22779" s="5" t="str">
        <f t="shared" si="1138"/>
        <v>ACTISALUD-ESTADISTICA</v>
      </c>
      <c r="F22779" s="5"/>
      <c r="G22779" s="5"/>
    </row>
    <row r="22780" spans="1:7" ht="58.5" customHeight="1" x14ac:dyDescent="0.25">
      <c r="A22780" s="5" t="str">
        <f>"H0036127"</f>
        <v>H0036127</v>
      </c>
      <c r="B22780" s="5" t="str">
        <f t="shared" si="1137"/>
        <v>ESTANTE CONSTRUIDOS EN LAMINAS METÁLICAS SOLIDAS, RESISTENTES Y ESTABLES CON TRATAMIENTO ANTICORROSIVO, CON 7 ENTREPAÑOS, DE 0.94 CMS DE ANCHO, CON ALTURA DE 2.20MTS Y CADA BANDEJA DEBE SOPORTAR UN PESO DE 100KG/MT LINEA</v>
      </c>
      <c r="C22780" s="6">
        <v>320095.99</v>
      </c>
      <c r="D22780" s="5" t="s">
        <v>904</v>
      </c>
      <c r="E22780" s="5" t="str">
        <f t="shared" si="1138"/>
        <v>ACTISALUD-ESTADISTICA</v>
      </c>
      <c r="F22780" s="5"/>
      <c r="G22780" s="5"/>
    </row>
    <row r="22781" spans="1:7" ht="58.5" customHeight="1" x14ac:dyDescent="0.25">
      <c r="A22781" s="5" t="str">
        <f>"H0036128"</f>
        <v>H0036128</v>
      </c>
      <c r="B22781" s="5" t="str">
        <f t="shared" si="1137"/>
        <v>ESTANTE CONSTRUIDOS EN LAMINAS METÁLICAS SOLIDAS, RESISTENTES Y ESTABLES CON TRATAMIENTO ANTICORROSIVO, CON 7 ENTREPAÑOS, DE 0.94 CMS DE ANCHO, CON ALTURA DE 2.20MTS Y CADA BANDEJA DEBE SOPORTAR UN PESO DE 100KG/MT LINEA</v>
      </c>
      <c r="C22781" s="6">
        <v>320095.99</v>
      </c>
      <c r="D22781" s="5" t="s">
        <v>904</v>
      </c>
      <c r="E22781" s="5" t="str">
        <f t="shared" si="1138"/>
        <v>ACTISALUD-ESTADISTICA</v>
      </c>
      <c r="F22781" s="5"/>
      <c r="G22781" s="5"/>
    </row>
    <row r="22782" spans="1:7" ht="58.5" customHeight="1" x14ac:dyDescent="0.25">
      <c r="A22782" s="5" t="str">
        <f>"H0036129"</f>
        <v>H0036129</v>
      </c>
      <c r="B22782" s="5" t="str">
        <f t="shared" si="1137"/>
        <v>ESTANTE CONSTRUIDOS EN LAMINAS METÁLICAS SOLIDAS, RESISTENTES Y ESTABLES CON TRATAMIENTO ANTICORROSIVO, CON 7 ENTREPAÑOS, DE 0.94 CMS DE ANCHO, CON ALTURA DE 2.20MTS Y CADA BANDEJA DEBE SOPORTAR UN PESO DE 100KG/MT LINEA</v>
      </c>
      <c r="C22782" s="6">
        <v>320095.99</v>
      </c>
      <c r="D22782" s="5" t="s">
        <v>904</v>
      </c>
      <c r="E22782" s="5" t="str">
        <f t="shared" si="1138"/>
        <v>ACTISALUD-ESTADISTICA</v>
      </c>
      <c r="F22782" s="5"/>
      <c r="G22782" s="5"/>
    </row>
    <row r="22783" spans="1:7" ht="58.5" customHeight="1" x14ac:dyDescent="0.25">
      <c r="A22783" s="5" t="str">
        <f>"H0036130"</f>
        <v>H0036130</v>
      </c>
      <c r="B22783" s="5" t="str">
        <f t="shared" si="1137"/>
        <v>ESTANTE CONSTRUIDOS EN LAMINAS METÁLICAS SOLIDAS, RESISTENTES Y ESTABLES CON TRATAMIENTO ANTICORROSIVO, CON 7 ENTREPAÑOS, DE 0.94 CMS DE ANCHO, CON ALTURA DE 2.20MTS Y CADA BANDEJA DEBE SOPORTAR UN PESO DE 100KG/MT LINEA</v>
      </c>
      <c r="C22783" s="6">
        <v>320095.99</v>
      </c>
      <c r="D22783" s="5" t="s">
        <v>904</v>
      </c>
      <c r="E22783" s="5" t="str">
        <f t="shared" si="1138"/>
        <v>ACTISALUD-ESTADISTICA</v>
      </c>
      <c r="F22783" s="5"/>
      <c r="G22783" s="5"/>
    </row>
    <row r="22784" spans="1:7" ht="58.5" customHeight="1" x14ac:dyDescent="0.25">
      <c r="A22784" s="5" t="str">
        <f>"H0036131"</f>
        <v>H0036131</v>
      </c>
      <c r="B22784" s="5" t="str">
        <f t="shared" si="1137"/>
        <v>ESTANTE CONSTRUIDOS EN LAMINAS METÁLICAS SOLIDAS, RESISTENTES Y ESTABLES CON TRATAMIENTO ANTICORROSIVO, CON 7 ENTREPAÑOS, DE 0.94 CMS DE ANCHO, CON ALTURA DE 2.20MTS Y CADA BANDEJA DEBE SOPORTAR UN PESO DE 100KG/MT LINEA</v>
      </c>
      <c r="C22784" s="6">
        <v>320095.99</v>
      </c>
      <c r="D22784" s="5" t="s">
        <v>904</v>
      </c>
      <c r="E22784" s="5" t="str">
        <f t="shared" si="1138"/>
        <v>ACTISALUD-ESTADISTICA</v>
      </c>
      <c r="F22784" s="5"/>
      <c r="G22784" s="5"/>
    </row>
    <row r="22785" spans="1:7" ht="58.5" customHeight="1" x14ac:dyDescent="0.25">
      <c r="A22785" s="5" t="str">
        <f>"H0036132"</f>
        <v>H0036132</v>
      </c>
      <c r="B22785" s="5" t="str">
        <f t="shared" si="1137"/>
        <v>ESTANTE CONSTRUIDOS EN LAMINAS METÁLICAS SOLIDAS, RESISTENTES Y ESTABLES CON TRATAMIENTO ANTICORROSIVO, CON 7 ENTREPAÑOS, DE 0.94 CMS DE ANCHO, CON ALTURA DE 2.20MTS Y CADA BANDEJA DEBE SOPORTAR UN PESO DE 100KG/MT LINEA</v>
      </c>
      <c r="C22785" s="6">
        <v>320095.99</v>
      </c>
      <c r="D22785" s="5" t="s">
        <v>904</v>
      </c>
      <c r="E22785" s="5" t="str">
        <f t="shared" si="1138"/>
        <v>ACTISALUD-ESTADISTICA</v>
      </c>
      <c r="F22785" s="5"/>
      <c r="G22785" s="5"/>
    </row>
    <row r="22786" spans="1:7" ht="58.5" customHeight="1" x14ac:dyDescent="0.25">
      <c r="A22786" s="5" t="str">
        <f>"H0036133"</f>
        <v>H0036133</v>
      </c>
      <c r="B22786" s="5" t="str">
        <f t="shared" si="1137"/>
        <v>ESTANTE CONSTRUIDOS EN LAMINAS METÁLICAS SOLIDAS, RESISTENTES Y ESTABLES CON TRATAMIENTO ANTICORROSIVO, CON 7 ENTREPAÑOS, DE 0.94 CMS DE ANCHO, CON ALTURA DE 2.20MTS Y CADA BANDEJA DEBE SOPORTAR UN PESO DE 100KG/MT LINEA</v>
      </c>
      <c r="C22786" s="6">
        <v>320095.99</v>
      </c>
      <c r="D22786" s="5" t="s">
        <v>904</v>
      </c>
      <c r="E22786" s="5" t="str">
        <f t="shared" si="1138"/>
        <v>ACTISALUD-ESTADISTICA</v>
      </c>
      <c r="F22786" s="5"/>
      <c r="G22786" s="5"/>
    </row>
    <row r="22787" spans="1:7" ht="58.5" customHeight="1" x14ac:dyDescent="0.25">
      <c r="A22787" s="5" t="str">
        <f>"H0036134"</f>
        <v>H0036134</v>
      </c>
      <c r="B22787" s="5" t="str">
        <f t="shared" si="1137"/>
        <v>ESTANTE CONSTRUIDOS EN LAMINAS METÁLICAS SOLIDAS, RESISTENTES Y ESTABLES CON TRATAMIENTO ANTICORROSIVO, CON 7 ENTREPAÑOS, DE 0.94 CMS DE ANCHO, CON ALTURA DE 2.20MTS Y CADA BANDEJA DEBE SOPORTAR UN PESO DE 100KG/MT LINEA</v>
      </c>
      <c r="C22787" s="6">
        <v>320095.99</v>
      </c>
      <c r="D22787" s="5" t="s">
        <v>904</v>
      </c>
      <c r="E22787" s="5" t="str">
        <f t="shared" si="1138"/>
        <v>ACTISALUD-ESTADISTICA</v>
      </c>
      <c r="F22787" s="5"/>
      <c r="G22787" s="5"/>
    </row>
    <row r="22788" spans="1:7" ht="58.5" customHeight="1" x14ac:dyDescent="0.25">
      <c r="A22788" s="5" t="str">
        <f>"H0036135"</f>
        <v>H0036135</v>
      </c>
      <c r="B22788" s="5" t="str">
        <f t="shared" si="1137"/>
        <v>ESTANTE CONSTRUIDOS EN LAMINAS METÁLICAS SOLIDAS, RESISTENTES Y ESTABLES CON TRATAMIENTO ANTICORROSIVO, CON 7 ENTREPAÑOS, DE 0.94 CMS DE ANCHO, CON ALTURA DE 2.20MTS Y CADA BANDEJA DEBE SOPORTAR UN PESO DE 100KG/MT LINEA</v>
      </c>
      <c r="C22788" s="6">
        <v>320095.99</v>
      </c>
      <c r="D22788" s="5" t="s">
        <v>904</v>
      </c>
      <c r="E22788" s="5" t="str">
        <f t="shared" si="1138"/>
        <v>ACTISALUD-ESTADISTICA</v>
      </c>
      <c r="F22788" s="5"/>
      <c r="G22788" s="5"/>
    </row>
    <row r="22789" spans="1:7" ht="58.5" customHeight="1" x14ac:dyDescent="0.25">
      <c r="A22789" s="5" t="str">
        <f>"H0036136"</f>
        <v>H0036136</v>
      </c>
      <c r="B22789" s="5" t="str">
        <f t="shared" si="1137"/>
        <v>ESTANTE CONSTRUIDOS EN LAMINAS METÁLICAS SOLIDAS, RESISTENTES Y ESTABLES CON TRATAMIENTO ANTICORROSIVO, CON 7 ENTREPAÑOS, DE 0.94 CMS DE ANCHO, CON ALTURA DE 2.20MTS Y CADA BANDEJA DEBE SOPORTAR UN PESO DE 100KG/MT LINEA</v>
      </c>
      <c r="C22789" s="6">
        <v>320095.99</v>
      </c>
      <c r="D22789" s="5" t="s">
        <v>904</v>
      </c>
      <c r="E22789" s="5" t="str">
        <f t="shared" si="1138"/>
        <v>ACTISALUD-ESTADISTICA</v>
      </c>
      <c r="F22789" s="5"/>
      <c r="G22789" s="5"/>
    </row>
    <row r="22790" spans="1:7" ht="58.5" customHeight="1" x14ac:dyDescent="0.25">
      <c r="A22790" s="5" t="str">
        <f>"H0036137"</f>
        <v>H0036137</v>
      </c>
      <c r="B22790" s="5" t="str">
        <f t="shared" si="1137"/>
        <v>ESTANTE CONSTRUIDOS EN LAMINAS METÁLICAS SOLIDAS, RESISTENTES Y ESTABLES CON TRATAMIENTO ANTICORROSIVO, CON 7 ENTREPAÑOS, DE 0.94 CMS DE ANCHO, CON ALTURA DE 2.20MTS Y CADA BANDEJA DEBE SOPORTAR UN PESO DE 100KG/MT LINEA</v>
      </c>
      <c r="C22790" s="6">
        <v>320095.99</v>
      </c>
      <c r="D22790" s="5" t="s">
        <v>904</v>
      </c>
      <c r="E22790" s="5" t="str">
        <f t="shared" si="1138"/>
        <v>ACTISALUD-ESTADISTICA</v>
      </c>
      <c r="F22790" s="5"/>
      <c r="G22790" s="5"/>
    </row>
    <row r="22791" spans="1:7" ht="58.5" customHeight="1" x14ac:dyDescent="0.25">
      <c r="A22791" s="5" t="str">
        <f>"H0036138"</f>
        <v>H0036138</v>
      </c>
      <c r="B22791" s="5" t="str">
        <f t="shared" si="1137"/>
        <v>ESTANTE CONSTRUIDOS EN LAMINAS METÁLICAS SOLIDAS, RESISTENTES Y ESTABLES CON TRATAMIENTO ANTICORROSIVO, CON 7 ENTREPAÑOS, DE 0.94 CMS DE ANCHO, CON ALTURA DE 2.20MTS Y CADA BANDEJA DEBE SOPORTAR UN PESO DE 100KG/MT LINEA</v>
      </c>
      <c r="C22791" s="6">
        <v>320095.99</v>
      </c>
      <c r="D22791" s="5" t="s">
        <v>904</v>
      </c>
      <c r="E22791" s="5" t="str">
        <f t="shared" si="1138"/>
        <v>ACTISALUD-ESTADISTICA</v>
      </c>
      <c r="F22791" s="5"/>
      <c r="G22791" s="5"/>
    </row>
    <row r="22792" spans="1:7" ht="58.5" customHeight="1" x14ac:dyDescent="0.25">
      <c r="A22792" s="5" t="str">
        <f>"H0036139"</f>
        <v>H0036139</v>
      </c>
      <c r="B22792" s="5" t="str">
        <f t="shared" si="1137"/>
        <v>ESTANTE CONSTRUIDOS EN LAMINAS METÁLICAS SOLIDAS, RESISTENTES Y ESTABLES CON TRATAMIENTO ANTICORROSIVO, CON 7 ENTREPAÑOS, DE 0.94 CMS DE ANCHO, CON ALTURA DE 2.20MTS Y CADA BANDEJA DEBE SOPORTAR UN PESO DE 100KG/MT LINEA</v>
      </c>
      <c r="C22792" s="6">
        <v>320095.99</v>
      </c>
      <c r="D22792" s="5" t="s">
        <v>904</v>
      </c>
      <c r="E22792" s="5" t="str">
        <f t="shared" si="1138"/>
        <v>ACTISALUD-ESTADISTICA</v>
      </c>
      <c r="F22792" s="5"/>
      <c r="G22792" s="5"/>
    </row>
    <row r="22793" spans="1:7" ht="58.5" customHeight="1" x14ac:dyDescent="0.25">
      <c r="A22793" s="5" t="str">
        <f>"H0036140"</f>
        <v>H0036140</v>
      </c>
      <c r="B22793" s="5" t="str">
        <f t="shared" si="1137"/>
        <v>ESTANTE CONSTRUIDOS EN LAMINAS METÁLICAS SOLIDAS, RESISTENTES Y ESTABLES CON TRATAMIENTO ANTICORROSIVO, CON 7 ENTREPAÑOS, DE 0.94 CMS DE ANCHO, CON ALTURA DE 2.20MTS Y CADA BANDEJA DEBE SOPORTAR UN PESO DE 100KG/MT LINEA</v>
      </c>
      <c r="C22793" s="6">
        <v>320095.99</v>
      </c>
      <c r="D22793" s="5" t="s">
        <v>904</v>
      </c>
      <c r="E22793" s="5" t="str">
        <f t="shared" si="1138"/>
        <v>ACTISALUD-ESTADISTICA</v>
      </c>
      <c r="F22793" s="5"/>
      <c r="G22793" s="5"/>
    </row>
    <row r="22794" spans="1:7" ht="58.5" customHeight="1" x14ac:dyDescent="0.25">
      <c r="A22794" s="5" t="str">
        <f>"H0036141"</f>
        <v>H0036141</v>
      </c>
      <c r="B22794" s="5" t="str">
        <f t="shared" si="1137"/>
        <v>ESTANTE CONSTRUIDOS EN LAMINAS METÁLICAS SOLIDAS, RESISTENTES Y ESTABLES CON TRATAMIENTO ANTICORROSIVO, CON 7 ENTREPAÑOS, DE 0.94 CMS DE ANCHO, CON ALTURA DE 2.20MTS Y CADA BANDEJA DEBE SOPORTAR UN PESO DE 100KG/MT LINEA</v>
      </c>
      <c r="C22794" s="6">
        <v>320095.99</v>
      </c>
      <c r="D22794" s="5" t="s">
        <v>904</v>
      </c>
      <c r="E22794" s="5" t="str">
        <f t="shared" si="1138"/>
        <v>ACTISALUD-ESTADISTICA</v>
      </c>
      <c r="F22794" s="5"/>
      <c r="G22794" s="5"/>
    </row>
    <row r="22795" spans="1:7" ht="58.5" customHeight="1" x14ac:dyDescent="0.25">
      <c r="A22795" s="5" t="str">
        <f>"H0036142"</f>
        <v>H0036142</v>
      </c>
      <c r="B22795" s="5" t="str">
        <f t="shared" si="1137"/>
        <v>ESTANTE CONSTRUIDOS EN LAMINAS METÁLICAS SOLIDAS, RESISTENTES Y ESTABLES CON TRATAMIENTO ANTICORROSIVO, CON 7 ENTREPAÑOS, DE 0.94 CMS DE ANCHO, CON ALTURA DE 2.20MTS Y CADA BANDEJA DEBE SOPORTAR UN PESO DE 100KG/MT LINEA</v>
      </c>
      <c r="C22795" s="6">
        <v>320095.99</v>
      </c>
      <c r="D22795" s="5" t="s">
        <v>904</v>
      </c>
      <c r="E22795" s="5" t="str">
        <f t="shared" si="1138"/>
        <v>ACTISALUD-ESTADISTICA</v>
      </c>
      <c r="F22795" s="5"/>
      <c r="G22795" s="5"/>
    </row>
    <row r="22796" spans="1:7" ht="58.5" customHeight="1" x14ac:dyDescent="0.25">
      <c r="A22796" s="5" t="str">
        <f>"H0036143"</f>
        <v>H0036143</v>
      </c>
      <c r="B22796" s="5" t="str">
        <f t="shared" ref="B22796:B22859" si="1139">"ESTANTE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796" s="6">
        <v>320095.99</v>
      </c>
      <c r="D22796" s="5" t="s">
        <v>904</v>
      </c>
      <c r="E22796" s="5" t="str">
        <f t="shared" si="1138"/>
        <v>ACTISALUD-ESTADISTICA</v>
      </c>
      <c r="F22796" s="5"/>
      <c r="G22796" s="5"/>
    </row>
    <row r="22797" spans="1:7" ht="58.5" customHeight="1" x14ac:dyDescent="0.25">
      <c r="A22797" s="5" t="str">
        <f>"H0036144"</f>
        <v>H0036144</v>
      </c>
      <c r="B22797" s="5" t="str">
        <f t="shared" si="1139"/>
        <v>ESTANTE CONSTRUIDOS EN LAMINAS METÁLICAS SOLIDAS, RESISTENTES Y ESTABLES CON TRATAMIENTO ANTICORROSIVO, CON 7 ENTREPAÑOS, DE 0.94 CMS DE ANCHO, CON ALTURA DE 2.20MTS Y CADA BANDEJA DEBE SOPORTAR UN PESO DE 100KG/MT LINEA</v>
      </c>
      <c r="C22797" s="6">
        <v>320095.99</v>
      </c>
      <c r="D22797" s="5" t="s">
        <v>904</v>
      </c>
      <c r="E22797" s="5" t="str">
        <f t="shared" si="1138"/>
        <v>ACTISALUD-ESTADISTICA</v>
      </c>
      <c r="F22797" s="5"/>
      <c r="G22797" s="5"/>
    </row>
    <row r="22798" spans="1:7" ht="58.5" customHeight="1" x14ac:dyDescent="0.25">
      <c r="A22798" s="5" t="str">
        <f>"H0036145"</f>
        <v>H0036145</v>
      </c>
      <c r="B22798" s="5" t="str">
        <f t="shared" si="1139"/>
        <v>ESTANTE CONSTRUIDOS EN LAMINAS METÁLICAS SOLIDAS, RESISTENTES Y ESTABLES CON TRATAMIENTO ANTICORROSIVO, CON 7 ENTREPAÑOS, DE 0.94 CMS DE ANCHO, CON ALTURA DE 2.20MTS Y CADA BANDEJA DEBE SOPORTAR UN PESO DE 100KG/MT LINEA</v>
      </c>
      <c r="C22798" s="6">
        <v>320095.99</v>
      </c>
      <c r="D22798" s="5" t="s">
        <v>904</v>
      </c>
      <c r="E22798" s="5" t="str">
        <f t="shared" si="1138"/>
        <v>ACTISALUD-ESTADISTICA</v>
      </c>
      <c r="F22798" s="5"/>
      <c r="G22798" s="5"/>
    </row>
    <row r="22799" spans="1:7" ht="58.5" customHeight="1" x14ac:dyDescent="0.25">
      <c r="A22799" s="5" t="str">
        <f>"H0036146"</f>
        <v>H0036146</v>
      </c>
      <c r="B22799" s="5" t="str">
        <f t="shared" si="1139"/>
        <v>ESTANTE CONSTRUIDOS EN LAMINAS METÁLICAS SOLIDAS, RESISTENTES Y ESTABLES CON TRATAMIENTO ANTICORROSIVO, CON 7 ENTREPAÑOS, DE 0.94 CMS DE ANCHO, CON ALTURA DE 2.20MTS Y CADA BANDEJA DEBE SOPORTAR UN PESO DE 100KG/MT LINEA</v>
      </c>
      <c r="C22799" s="6">
        <v>320095.99</v>
      </c>
      <c r="D22799" s="5" t="s">
        <v>904</v>
      </c>
      <c r="E22799" s="5" t="str">
        <f t="shared" si="1138"/>
        <v>ACTISALUD-ESTADISTICA</v>
      </c>
      <c r="F22799" s="5"/>
      <c r="G22799" s="5"/>
    </row>
    <row r="22800" spans="1:7" ht="58.5" customHeight="1" x14ac:dyDescent="0.25">
      <c r="A22800" s="5" t="str">
        <f>"H0036147"</f>
        <v>H0036147</v>
      </c>
      <c r="B22800" s="5" t="str">
        <f t="shared" si="1139"/>
        <v>ESTANTE CONSTRUIDOS EN LAMINAS METÁLICAS SOLIDAS, RESISTENTES Y ESTABLES CON TRATAMIENTO ANTICORROSIVO, CON 7 ENTREPAÑOS, DE 0.94 CMS DE ANCHO, CON ALTURA DE 2.20MTS Y CADA BANDEJA DEBE SOPORTAR UN PESO DE 100KG/MT LINEA</v>
      </c>
      <c r="C22800" s="6">
        <v>320095.99</v>
      </c>
      <c r="D22800" s="5" t="s">
        <v>904</v>
      </c>
      <c r="E22800" s="5" t="str">
        <f t="shared" si="1138"/>
        <v>ACTISALUD-ESTADISTICA</v>
      </c>
      <c r="F22800" s="5"/>
      <c r="G22800" s="5"/>
    </row>
    <row r="22801" spans="1:7" ht="58.5" customHeight="1" x14ac:dyDescent="0.25">
      <c r="A22801" s="5" t="str">
        <f>"H0036148"</f>
        <v>H0036148</v>
      </c>
      <c r="B22801" s="5" t="str">
        <f t="shared" si="1139"/>
        <v>ESTANTE CONSTRUIDOS EN LAMINAS METÁLICAS SOLIDAS, RESISTENTES Y ESTABLES CON TRATAMIENTO ANTICORROSIVO, CON 7 ENTREPAÑOS, DE 0.94 CMS DE ANCHO, CON ALTURA DE 2.20MTS Y CADA BANDEJA DEBE SOPORTAR UN PESO DE 100KG/MT LINEA</v>
      </c>
      <c r="C22801" s="6">
        <v>320095.99</v>
      </c>
      <c r="D22801" s="5" t="s">
        <v>904</v>
      </c>
      <c r="E22801" s="5" t="str">
        <f t="shared" si="1138"/>
        <v>ACTISALUD-ESTADISTICA</v>
      </c>
      <c r="F22801" s="5"/>
      <c r="G22801" s="5"/>
    </row>
    <row r="22802" spans="1:7" ht="58.5" customHeight="1" x14ac:dyDescent="0.25">
      <c r="A22802" s="5" t="str">
        <f>"H0036149"</f>
        <v>H0036149</v>
      </c>
      <c r="B22802" s="5" t="str">
        <f t="shared" si="1139"/>
        <v>ESTANTE CONSTRUIDOS EN LAMINAS METÁLICAS SOLIDAS, RESISTENTES Y ESTABLES CON TRATAMIENTO ANTICORROSIVO, CON 7 ENTREPAÑOS, DE 0.94 CMS DE ANCHO, CON ALTURA DE 2.20MTS Y CADA BANDEJA DEBE SOPORTAR UN PESO DE 100KG/MT LINEA</v>
      </c>
      <c r="C22802" s="6">
        <v>320095.99</v>
      </c>
      <c r="D22802" s="5" t="s">
        <v>904</v>
      </c>
      <c r="E22802" s="5" t="str">
        <f t="shared" si="1138"/>
        <v>ACTISALUD-ESTADISTICA</v>
      </c>
      <c r="F22802" s="5"/>
      <c r="G22802" s="5"/>
    </row>
    <row r="22803" spans="1:7" ht="58.5" customHeight="1" x14ac:dyDescent="0.25">
      <c r="A22803" s="5" t="str">
        <f>"H0036150"</f>
        <v>H0036150</v>
      </c>
      <c r="B22803" s="5" t="str">
        <f t="shared" si="1139"/>
        <v>ESTANTE CONSTRUIDOS EN LAMINAS METÁLICAS SOLIDAS, RESISTENTES Y ESTABLES CON TRATAMIENTO ANTICORROSIVO, CON 7 ENTREPAÑOS, DE 0.94 CMS DE ANCHO, CON ALTURA DE 2.20MTS Y CADA BANDEJA DEBE SOPORTAR UN PESO DE 100KG/MT LINEA</v>
      </c>
      <c r="C22803" s="6">
        <v>320095.99</v>
      </c>
      <c r="D22803" s="5" t="s">
        <v>904</v>
      </c>
      <c r="E22803" s="5" t="str">
        <f t="shared" si="1138"/>
        <v>ACTISALUD-ESTADISTICA</v>
      </c>
      <c r="F22803" s="5"/>
      <c r="G22803" s="5"/>
    </row>
    <row r="22804" spans="1:7" ht="58.5" customHeight="1" x14ac:dyDescent="0.25">
      <c r="A22804" s="5" t="str">
        <f>"H0036151"</f>
        <v>H0036151</v>
      </c>
      <c r="B22804" s="5" t="str">
        <f t="shared" si="1139"/>
        <v>ESTANTE CONSTRUIDOS EN LAMINAS METÁLICAS SOLIDAS, RESISTENTES Y ESTABLES CON TRATAMIENTO ANTICORROSIVO, CON 7 ENTREPAÑOS, DE 0.94 CMS DE ANCHO, CON ALTURA DE 2.20MTS Y CADA BANDEJA DEBE SOPORTAR UN PESO DE 100KG/MT LINEA</v>
      </c>
      <c r="C22804" s="6">
        <v>320095.99</v>
      </c>
      <c r="D22804" s="5" t="s">
        <v>904</v>
      </c>
      <c r="E22804" s="5" t="str">
        <f t="shared" si="1138"/>
        <v>ACTISALUD-ESTADISTICA</v>
      </c>
      <c r="F22804" s="5"/>
      <c r="G22804" s="5"/>
    </row>
    <row r="22805" spans="1:7" ht="58.5" customHeight="1" x14ac:dyDescent="0.25">
      <c r="A22805" s="5" t="str">
        <f>"H0036152"</f>
        <v>H0036152</v>
      </c>
      <c r="B22805" s="5" t="str">
        <f t="shared" si="1139"/>
        <v>ESTANTE CONSTRUIDOS EN LAMINAS METÁLICAS SOLIDAS, RESISTENTES Y ESTABLES CON TRATAMIENTO ANTICORROSIVO, CON 7 ENTREPAÑOS, DE 0.94 CMS DE ANCHO, CON ALTURA DE 2.20MTS Y CADA BANDEJA DEBE SOPORTAR UN PESO DE 100KG/MT LINEA</v>
      </c>
      <c r="C22805" s="6">
        <v>320095.99</v>
      </c>
      <c r="D22805" s="5" t="s">
        <v>904</v>
      </c>
      <c r="E22805" s="5" t="str">
        <f t="shared" si="1138"/>
        <v>ACTISALUD-ESTADISTICA</v>
      </c>
      <c r="F22805" s="5"/>
      <c r="G22805" s="5"/>
    </row>
    <row r="22806" spans="1:7" ht="58.5" customHeight="1" x14ac:dyDescent="0.25">
      <c r="A22806" s="5" t="str">
        <f>"H0036153"</f>
        <v>H0036153</v>
      </c>
      <c r="B22806" s="5" t="str">
        <f t="shared" si="1139"/>
        <v>ESTANTE CONSTRUIDOS EN LAMINAS METÁLICAS SOLIDAS, RESISTENTES Y ESTABLES CON TRATAMIENTO ANTICORROSIVO, CON 7 ENTREPAÑOS, DE 0.94 CMS DE ANCHO, CON ALTURA DE 2.20MTS Y CADA BANDEJA DEBE SOPORTAR UN PESO DE 100KG/MT LINEA</v>
      </c>
      <c r="C22806" s="6">
        <v>320095.99</v>
      </c>
      <c r="D22806" s="5" t="s">
        <v>904</v>
      </c>
      <c r="E22806" s="5" t="str">
        <f t="shared" si="1138"/>
        <v>ACTISALUD-ESTADISTICA</v>
      </c>
      <c r="F22806" s="5"/>
      <c r="G22806" s="5"/>
    </row>
    <row r="22807" spans="1:7" ht="58.5" customHeight="1" x14ac:dyDescent="0.25">
      <c r="A22807" s="5" t="str">
        <f>"H0036154"</f>
        <v>H0036154</v>
      </c>
      <c r="B22807" s="5" t="str">
        <f t="shared" si="1139"/>
        <v>ESTANTE CONSTRUIDOS EN LAMINAS METÁLICAS SOLIDAS, RESISTENTES Y ESTABLES CON TRATAMIENTO ANTICORROSIVO, CON 7 ENTREPAÑOS, DE 0.94 CMS DE ANCHO, CON ALTURA DE 2.20MTS Y CADA BANDEJA DEBE SOPORTAR UN PESO DE 100KG/MT LINEA</v>
      </c>
      <c r="C22807" s="6">
        <v>320095.99</v>
      </c>
      <c r="D22807" s="5" t="s">
        <v>904</v>
      </c>
      <c r="E22807" s="5" t="str">
        <f t="shared" si="1138"/>
        <v>ACTISALUD-ESTADISTICA</v>
      </c>
      <c r="F22807" s="5"/>
      <c r="G22807" s="5"/>
    </row>
    <row r="22808" spans="1:7" ht="58.5" customHeight="1" x14ac:dyDescent="0.25">
      <c r="A22808" s="5" t="str">
        <f>"H0036155"</f>
        <v>H0036155</v>
      </c>
      <c r="B22808" s="5" t="str">
        <f t="shared" si="1139"/>
        <v>ESTANTE CONSTRUIDOS EN LAMINAS METÁLICAS SOLIDAS, RESISTENTES Y ESTABLES CON TRATAMIENTO ANTICORROSIVO, CON 7 ENTREPAÑOS, DE 0.94 CMS DE ANCHO, CON ALTURA DE 2.20MTS Y CADA BANDEJA DEBE SOPORTAR UN PESO DE 100KG/MT LINEA</v>
      </c>
      <c r="C22808" s="6">
        <v>320095.99</v>
      </c>
      <c r="D22808" s="5" t="s">
        <v>904</v>
      </c>
      <c r="E22808" s="5" t="str">
        <f t="shared" si="1138"/>
        <v>ACTISALUD-ESTADISTICA</v>
      </c>
      <c r="F22808" s="5"/>
      <c r="G22808" s="5"/>
    </row>
    <row r="22809" spans="1:7" ht="58.5" customHeight="1" x14ac:dyDescent="0.25">
      <c r="A22809" s="5" t="str">
        <f>"H0036156"</f>
        <v>H0036156</v>
      </c>
      <c r="B22809" s="5" t="str">
        <f t="shared" si="1139"/>
        <v>ESTANTE CONSTRUIDOS EN LAMINAS METÁLICAS SOLIDAS, RESISTENTES Y ESTABLES CON TRATAMIENTO ANTICORROSIVO, CON 7 ENTREPAÑOS, DE 0.94 CMS DE ANCHO, CON ALTURA DE 2.20MTS Y CADA BANDEJA DEBE SOPORTAR UN PESO DE 100KG/MT LINEA</v>
      </c>
      <c r="C22809" s="6">
        <v>320095.99</v>
      </c>
      <c r="D22809" s="5" t="s">
        <v>904</v>
      </c>
      <c r="E22809" s="5" t="str">
        <f t="shared" si="1138"/>
        <v>ACTISALUD-ESTADISTICA</v>
      </c>
      <c r="F22809" s="5"/>
      <c r="G22809" s="5"/>
    </row>
    <row r="22810" spans="1:7" ht="58.5" customHeight="1" x14ac:dyDescent="0.25">
      <c r="A22810" s="5" t="str">
        <f>"H0036157"</f>
        <v>H0036157</v>
      </c>
      <c r="B22810" s="5" t="str">
        <f t="shared" si="1139"/>
        <v>ESTANTE CONSTRUIDOS EN LAMINAS METÁLICAS SOLIDAS, RESISTENTES Y ESTABLES CON TRATAMIENTO ANTICORROSIVO, CON 7 ENTREPAÑOS, DE 0.94 CMS DE ANCHO, CON ALTURA DE 2.20MTS Y CADA BANDEJA DEBE SOPORTAR UN PESO DE 100KG/MT LINEA</v>
      </c>
      <c r="C22810" s="6">
        <v>320095.99</v>
      </c>
      <c r="D22810" s="5" t="s">
        <v>904</v>
      </c>
      <c r="E22810" s="5" t="str">
        <f t="shared" si="1138"/>
        <v>ACTISALUD-ESTADISTICA</v>
      </c>
      <c r="F22810" s="5"/>
      <c r="G22810" s="5"/>
    </row>
    <row r="22811" spans="1:7" ht="58.5" customHeight="1" x14ac:dyDescent="0.25">
      <c r="A22811" s="5" t="str">
        <f>"H0036158"</f>
        <v>H0036158</v>
      </c>
      <c r="B22811" s="5" t="str">
        <f t="shared" si="1139"/>
        <v>ESTANTE CONSTRUIDOS EN LAMINAS METÁLICAS SOLIDAS, RESISTENTES Y ESTABLES CON TRATAMIENTO ANTICORROSIVO, CON 7 ENTREPAÑOS, DE 0.94 CMS DE ANCHO, CON ALTURA DE 2.20MTS Y CADA BANDEJA DEBE SOPORTAR UN PESO DE 100KG/MT LINEA</v>
      </c>
      <c r="C22811" s="6">
        <v>320095.99</v>
      </c>
      <c r="D22811" s="5" t="s">
        <v>904</v>
      </c>
      <c r="E22811" s="5" t="str">
        <f t="shared" si="1138"/>
        <v>ACTISALUD-ESTADISTICA</v>
      </c>
      <c r="F22811" s="5"/>
      <c r="G22811" s="5"/>
    </row>
    <row r="22812" spans="1:7" ht="58.5" customHeight="1" x14ac:dyDescent="0.25">
      <c r="A22812" s="5" t="str">
        <f>"H0036159"</f>
        <v>H0036159</v>
      </c>
      <c r="B22812" s="5" t="str">
        <f t="shared" si="1139"/>
        <v>ESTANTE CONSTRUIDOS EN LAMINAS METÁLICAS SOLIDAS, RESISTENTES Y ESTABLES CON TRATAMIENTO ANTICORROSIVO, CON 7 ENTREPAÑOS, DE 0.94 CMS DE ANCHO, CON ALTURA DE 2.20MTS Y CADA BANDEJA DEBE SOPORTAR UN PESO DE 100KG/MT LINEA</v>
      </c>
      <c r="C22812" s="6">
        <v>320095.99</v>
      </c>
      <c r="D22812" s="5" t="s">
        <v>904</v>
      </c>
      <c r="E22812" s="5" t="str">
        <f t="shared" si="1138"/>
        <v>ACTISALUD-ESTADISTICA</v>
      </c>
      <c r="F22812" s="5"/>
      <c r="G22812" s="5"/>
    </row>
    <row r="22813" spans="1:7" ht="58.5" customHeight="1" x14ac:dyDescent="0.25">
      <c r="A22813" s="5" t="str">
        <f>"H0036160"</f>
        <v>H0036160</v>
      </c>
      <c r="B22813" s="5" t="str">
        <f t="shared" si="1139"/>
        <v>ESTANTE CONSTRUIDOS EN LAMINAS METÁLICAS SOLIDAS, RESISTENTES Y ESTABLES CON TRATAMIENTO ANTICORROSIVO, CON 7 ENTREPAÑOS, DE 0.94 CMS DE ANCHO, CON ALTURA DE 2.20MTS Y CADA BANDEJA DEBE SOPORTAR UN PESO DE 100KG/MT LINEA</v>
      </c>
      <c r="C22813" s="6">
        <v>320095.99</v>
      </c>
      <c r="D22813" s="5" t="s">
        <v>904</v>
      </c>
      <c r="E22813" s="5" t="str">
        <f t="shared" si="1138"/>
        <v>ACTISALUD-ESTADISTICA</v>
      </c>
      <c r="F22813" s="5"/>
      <c r="G22813" s="5"/>
    </row>
    <row r="22814" spans="1:7" ht="58.5" customHeight="1" x14ac:dyDescent="0.25">
      <c r="A22814" s="5" t="str">
        <f>"H0036161"</f>
        <v>H0036161</v>
      </c>
      <c r="B22814" s="5" t="str">
        <f t="shared" si="1139"/>
        <v>ESTANTE CONSTRUIDOS EN LAMINAS METÁLICAS SOLIDAS, RESISTENTES Y ESTABLES CON TRATAMIENTO ANTICORROSIVO, CON 7 ENTREPAÑOS, DE 0.94 CMS DE ANCHO, CON ALTURA DE 2.20MTS Y CADA BANDEJA DEBE SOPORTAR UN PESO DE 100KG/MT LINEA</v>
      </c>
      <c r="C22814" s="6">
        <v>320095.99</v>
      </c>
      <c r="D22814" s="5" t="s">
        <v>904</v>
      </c>
      <c r="E22814" s="5" t="str">
        <f t="shared" si="1138"/>
        <v>ACTISALUD-ESTADISTICA</v>
      </c>
      <c r="F22814" s="5"/>
      <c r="G22814" s="5"/>
    </row>
    <row r="22815" spans="1:7" ht="58.5" customHeight="1" x14ac:dyDescent="0.25">
      <c r="A22815" s="5" t="str">
        <f>"H0036162"</f>
        <v>H0036162</v>
      </c>
      <c r="B22815" s="5" t="str">
        <f t="shared" si="1139"/>
        <v>ESTANTE CONSTRUIDOS EN LAMINAS METÁLICAS SOLIDAS, RESISTENTES Y ESTABLES CON TRATAMIENTO ANTICORROSIVO, CON 7 ENTREPAÑOS, DE 0.94 CMS DE ANCHO, CON ALTURA DE 2.20MTS Y CADA BANDEJA DEBE SOPORTAR UN PESO DE 100KG/MT LINEA</v>
      </c>
      <c r="C22815" s="6">
        <v>320095.99</v>
      </c>
      <c r="D22815" s="5" t="s">
        <v>904</v>
      </c>
      <c r="E22815" s="5" t="str">
        <f t="shared" si="1138"/>
        <v>ACTISALUD-ESTADISTICA</v>
      </c>
      <c r="F22815" s="5"/>
      <c r="G22815" s="5"/>
    </row>
    <row r="22816" spans="1:7" ht="58.5" customHeight="1" x14ac:dyDescent="0.25">
      <c r="A22816" s="5" t="str">
        <f>"H0036163"</f>
        <v>H0036163</v>
      </c>
      <c r="B22816" s="5" t="str">
        <f t="shared" si="1139"/>
        <v>ESTANTE CONSTRUIDOS EN LAMINAS METÁLICAS SOLIDAS, RESISTENTES Y ESTABLES CON TRATAMIENTO ANTICORROSIVO, CON 7 ENTREPAÑOS, DE 0.94 CMS DE ANCHO, CON ALTURA DE 2.20MTS Y CADA BANDEJA DEBE SOPORTAR UN PESO DE 100KG/MT LINEA</v>
      </c>
      <c r="C22816" s="6">
        <v>320095.99</v>
      </c>
      <c r="D22816" s="5" t="s">
        <v>904</v>
      </c>
      <c r="E22816" s="5" t="str">
        <f t="shared" si="1138"/>
        <v>ACTISALUD-ESTADISTICA</v>
      </c>
      <c r="F22816" s="5"/>
      <c r="G22816" s="5"/>
    </row>
    <row r="22817" spans="1:7" ht="58.5" customHeight="1" x14ac:dyDescent="0.25">
      <c r="A22817" s="5" t="str">
        <f>"H0036164"</f>
        <v>H0036164</v>
      </c>
      <c r="B22817" s="5" t="str">
        <f t="shared" si="1139"/>
        <v>ESTANTE CONSTRUIDOS EN LAMINAS METÁLICAS SOLIDAS, RESISTENTES Y ESTABLES CON TRATAMIENTO ANTICORROSIVO, CON 7 ENTREPAÑOS, DE 0.94 CMS DE ANCHO, CON ALTURA DE 2.20MTS Y CADA BANDEJA DEBE SOPORTAR UN PESO DE 100KG/MT LINEA</v>
      </c>
      <c r="C22817" s="6">
        <v>320095.99</v>
      </c>
      <c r="D22817" s="5" t="s">
        <v>904</v>
      </c>
      <c r="E22817" s="5" t="str">
        <f t="shared" si="1138"/>
        <v>ACTISALUD-ESTADISTICA</v>
      </c>
      <c r="F22817" s="5"/>
      <c r="G22817" s="5"/>
    </row>
    <row r="22818" spans="1:7" ht="58.5" customHeight="1" x14ac:dyDescent="0.25">
      <c r="A22818" s="5" t="str">
        <f>"H0036165"</f>
        <v>H0036165</v>
      </c>
      <c r="B22818" s="5" t="str">
        <f t="shared" si="1139"/>
        <v>ESTANTE CONSTRUIDOS EN LAMINAS METÁLICAS SOLIDAS, RESISTENTES Y ESTABLES CON TRATAMIENTO ANTICORROSIVO, CON 7 ENTREPAÑOS, DE 0.94 CMS DE ANCHO, CON ALTURA DE 2.20MTS Y CADA BANDEJA DEBE SOPORTAR UN PESO DE 100KG/MT LINEA</v>
      </c>
      <c r="C22818" s="6">
        <v>320095.99</v>
      </c>
      <c r="D22818" s="5" t="s">
        <v>904</v>
      </c>
      <c r="E22818" s="5" t="str">
        <f t="shared" si="1138"/>
        <v>ACTISALUD-ESTADISTICA</v>
      </c>
      <c r="F22818" s="5"/>
      <c r="G22818" s="5"/>
    </row>
    <row r="22819" spans="1:7" ht="58.5" customHeight="1" x14ac:dyDescent="0.25">
      <c r="A22819" s="5" t="str">
        <f>"H0036166"</f>
        <v>H0036166</v>
      </c>
      <c r="B22819" s="5" t="str">
        <f t="shared" si="1139"/>
        <v>ESTANTE CONSTRUIDOS EN LAMINAS METÁLICAS SOLIDAS, RESISTENTES Y ESTABLES CON TRATAMIENTO ANTICORROSIVO, CON 7 ENTREPAÑOS, DE 0.94 CMS DE ANCHO, CON ALTURA DE 2.20MTS Y CADA BANDEJA DEBE SOPORTAR UN PESO DE 100KG/MT LINEA</v>
      </c>
      <c r="C22819" s="6">
        <v>320095.99</v>
      </c>
      <c r="D22819" s="5" t="s">
        <v>904</v>
      </c>
      <c r="E22819" s="5" t="str">
        <f t="shared" si="1138"/>
        <v>ACTISALUD-ESTADISTICA</v>
      </c>
      <c r="F22819" s="5"/>
      <c r="G22819" s="5"/>
    </row>
    <row r="22820" spans="1:7" ht="58.5" customHeight="1" x14ac:dyDescent="0.25">
      <c r="A22820" s="5" t="str">
        <f>"H0036167"</f>
        <v>H0036167</v>
      </c>
      <c r="B22820" s="5" t="str">
        <f t="shared" si="1139"/>
        <v>ESTANTE CONSTRUIDOS EN LAMINAS METÁLICAS SOLIDAS, RESISTENTES Y ESTABLES CON TRATAMIENTO ANTICORROSIVO, CON 7 ENTREPAÑOS, DE 0.94 CMS DE ANCHO, CON ALTURA DE 2.20MTS Y CADA BANDEJA DEBE SOPORTAR UN PESO DE 100KG/MT LINEA</v>
      </c>
      <c r="C22820" s="6">
        <v>320095.99</v>
      </c>
      <c r="D22820" s="5" t="s">
        <v>904</v>
      </c>
      <c r="E22820" s="5" t="str">
        <f t="shared" si="1138"/>
        <v>ACTISALUD-ESTADISTICA</v>
      </c>
      <c r="F22820" s="5"/>
      <c r="G22820" s="5"/>
    </row>
    <row r="22821" spans="1:7" ht="58.5" customHeight="1" x14ac:dyDescent="0.25">
      <c r="A22821" s="5" t="str">
        <f>"H0036168"</f>
        <v>H0036168</v>
      </c>
      <c r="B22821" s="5" t="str">
        <f t="shared" si="1139"/>
        <v>ESTANTE CONSTRUIDOS EN LAMINAS METÁLICAS SOLIDAS, RESISTENTES Y ESTABLES CON TRATAMIENTO ANTICORROSIVO, CON 7 ENTREPAÑOS, DE 0.94 CMS DE ANCHO, CON ALTURA DE 2.20MTS Y CADA BANDEJA DEBE SOPORTAR UN PESO DE 100KG/MT LINEA</v>
      </c>
      <c r="C22821" s="6">
        <v>320095.99</v>
      </c>
      <c r="D22821" s="5" t="s">
        <v>904</v>
      </c>
      <c r="E22821" s="5" t="str">
        <f t="shared" si="1138"/>
        <v>ACTISALUD-ESTADISTICA</v>
      </c>
      <c r="F22821" s="5"/>
      <c r="G22821" s="5"/>
    </row>
    <row r="22822" spans="1:7" ht="58.5" customHeight="1" x14ac:dyDescent="0.25">
      <c r="A22822" s="5" t="str">
        <f>"H0036169"</f>
        <v>H0036169</v>
      </c>
      <c r="B22822" s="5" t="str">
        <f t="shared" si="1139"/>
        <v>ESTANTE CONSTRUIDOS EN LAMINAS METÁLICAS SOLIDAS, RESISTENTES Y ESTABLES CON TRATAMIENTO ANTICORROSIVO, CON 7 ENTREPAÑOS, DE 0.94 CMS DE ANCHO, CON ALTURA DE 2.20MTS Y CADA BANDEJA DEBE SOPORTAR UN PESO DE 100KG/MT LINEA</v>
      </c>
      <c r="C22822" s="6">
        <v>320095.99</v>
      </c>
      <c r="D22822" s="5" t="s">
        <v>904</v>
      </c>
      <c r="E22822" s="5" t="str">
        <f t="shared" si="1138"/>
        <v>ACTISALUD-ESTADISTICA</v>
      </c>
      <c r="F22822" s="5"/>
      <c r="G22822" s="5"/>
    </row>
    <row r="22823" spans="1:7" ht="58.5" customHeight="1" x14ac:dyDescent="0.25">
      <c r="A22823" s="5" t="str">
        <f>"H0036170"</f>
        <v>H0036170</v>
      </c>
      <c r="B22823" s="5" t="str">
        <f t="shared" si="1139"/>
        <v>ESTANTE CONSTRUIDOS EN LAMINAS METÁLICAS SOLIDAS, RESISTENTES Y ESTABLES CON TRATAMIENTO ANTICORROSIVO, CON 7 ENTREPAÑOS, DE 0.94 CMS DE ANCHO, CON ALTURA DE 2.20MTS Y CADA BANDEJA DEBE SOPORTAR UN PESO DE 100KG/MT LINEA</v>
      </c>
      <c r="C22823" s="6">
        <v>320095.99</v>
      </c>
      <c r="D22823" s="5" t="s">
        <v>904</v>
      </c>
      <c r="E22823" s="5" t="str">
        <f t="shared" si="1138"/>
        <v>ACTISALUD-ESTADISTICA</v>
      </c>
      <c r="F22823" s="5"/>
      <c r="G22823" s="5"/>
    </row>
    <row r="22824" spans="1:7" ht="58.5" customHeight="1" x14ac:dyDescent="0.25">
      <c r="A22824" s="5" t="str">
        <f>"H0036171"</f>
        <v>H0036171</v>
      </c>
      <c r="B22824" s="5" t="str">
        <f t="shared" si="1139"/>
        <v>ESTANTE CONSTRUIDOS EN LAMINAS METÁLICAS SOLIDAS, RESISTENTES Y ESTABLES CON TRATAMIENTO ANTICORROSIVO, CON 7 ENTREPAÑOS, DE 0.94 CMS DE ANCHO, CON ALTURA DE 2.20MTS Y CADA BANDEJA DEBE SOPORTAR UN PESO DE 100KG/MT LINEA</v>
      </c>
      <c r="C22824" s="6">
        <v>320095.99</v>
      </c>
      <c r="D22824" s="5" t="s">
        <v>904</v>
      </c>
      <c r="E22824" s="5" t="str">
        <f t="shared" si="1138"/>
        <v>ACTISALUD-ESTADISTICA</v>
      </c>
      <c r="F22824" s="5"/>
      <c r="G22824" s="5"/>
    </row>
    <row r="22825" spans="1:7" ht="58.5" customHeight="1" x14ac:dyDescent="0.25">
      <c r="A22825" s="5" t="str">
        <f>"H0036172"</f>
        <v>H0036172</v>
      </c>
      <c r="B22825" s="5" t="str">
        <f t="shared" si="1139"/>
        <v>ESTANTE CONSTRUIDOS EN LAMINAS METÁLICAS SOLIDAS, RESISTENTES Y ESTABLES CON TRATAMIENTO ANTICORROSIVO, CON 7 ENTREPAÑOS, DE 0.94 CMS DE ANCHO, CON ALTURA DE 2.20MTS Y CADA BANDEJA DEBE SOPORTAR UN PESO DE 100KG/MT LINEA</v>
      </c>
      <c r="C22825" s="6">
        <v>320095.99</v>
      </c>
      <c r="D22825" s="5" t="s">
        <v>904</v>
      </c>
      <c r="E22825" s="5" t="str">
        <f t="shared" si="1138"/>
        <v>ACTISALUD-ESTADISTICA</v>
      </c>
      <c r="F22825" s="5"/>
      <c r="G22825" s="5"/>
    </row>
    <row r="22826" spans="1:7" ht="58.5" customHeight="1" x14ac:dyDescent="0.25">
      <c r="A22826" s="5" t="str">
        <f>"H0036173"</f>
        <v>H0036173</v>
      </c>
      <c r="B22826" s="5" t="str">
        <f t="shared" si="1139"/>
        <v>ESTANTE CONSTRUIDOS EN LAMINAS METÁLICAS SOLIDAS, RESISTENTES Y ESTABLES CON TRATAMIENTO ANTICORROSIVO, CON 7 ENTREPAÑOS, DE 0.94 CMS DE ANCHO, CON ALTURA DE 2.20MTS Y CADA BANDEJA DEBE SOPORTAR UN PESO DE 100KG/MT LINEA</v>
      </c>
      <c r="C22826" s="6">
        <v>320095.99</v>
      </c>
      <c r="D22826" s="5" t="s">
        <v>904</v>
      </c>
      <c r="E22826" s="5" t="str">
        <f t="shared" si="1138"/>
        <v>ACTISALUD-ESTADISTICA</v>
      </c>
      <c r="F22826" s="5"/>
      <c r="G22826" s="5"/>
    </row>
    <row r="22827" spans="1:7" ht="58.5" customHeight="1" x14ac:dyDescent="0.25">
      <c r="A22827" s="5" t="str">
        <f>"H0036174"</f>
        <v>H0036174</v>
      </c>
      <c r="B22827" s="5" t="str">
        <f t="shared" si="1139"/>
        <v>ESTANTE CONSTRUIDOS EN LAMINAS METÁLICAS SOLIDAS, RESISTENTES Y ESTABLES CON TRATAMIENTO ANTICORROSIVO, CON 7 ENTREPAÑOS, DE 0.94 CMS DE ANCHO, CON ALTURA DE 2.20MTS Y CADA BANDEJA DEBE SOPORTAR UN PESO DE 100KG/MT LINEA</v>
      </c>
      <c r="C22827" s="6">
        <v>320095.99</v>
      </c>
      <c r="D22827" s="5" t="s">
        <v>904</v>
      </c>
      <c r="E22827" s="5" t="str">
        <f t="shared" si="1138"/>
        <v>ACTISALUD-ESTADISTICA</v>
      </c>
      <c r="F22827" s="5"/>
      <c r="G22827" s="5"/>
    </row>
    <row r="22828" spans="1:7" ht="58.5" customHeight="1" x14ac:dyDescent="0.25">
      <c r="A22828" s="5" t="str">
        <f>"H0036175"</f>
        <v>H0036175</v>
      </c>
      <c r="B22828" s="5" t="str">
        <f t="shared" si="1139"/>
        <v>ESTANTE CONSTRUIDOS EN LAMINAS METÁLICAS SOLIDAS, RESISTENTES Y ESTABLES CON TRATAMIENTO ANTICORROSIVO, CON 7 ENTREPAÑOS, DE 0.94 CMS DE ANCHO, CON ALTURA DE 2.20MTS Y CADA BANDEJA DEBE SOPORTAR UN PESO DE 100KG/MT LINEA</v>
      </c>
      <c r="C22828" s="6">
        <v>320095.99</v>
      </c>
      <c r="D22828" s="5" t="s">
        <v>904</v>
      </c>
      <c r="E22828" s="5" t="str">
        <f t="shared" si="1138"/>
        <v>ACTISALUD-ESTADISTICA</v>
      </c>
      <c r="F22828" s="5"/>
      <c r="G22828" s="5"/>
    </row>
    <row r="22829" spans="1:7" ht="58.5" customHeight="1" x14ac:dyDescent="0.25">
      <c r="A22829" s="5" t="str">
        <f>"H0036176"</f>
        <v>H0036176</v>
      </c>
      <c r="B22829" s="5" t="str">
        <f t="shared" si="1139"/>
        <v>ESTANTE CONSTRUIDOS EN LAMINAS METÁLICAS SOLIDAS, RESISTENTES Y ESTABLES CON TRATAMIENTO ANTICORROSIVO, CON 7 ENTREPAÑOS, DE 0.94 CMS DE ANCHO, CON ALTURA DE 2.20MTS Y CADA BANDEJA DEBE SOPORTAR UN PESO DE 100KG/MT LINEA</v>
      </c>
      <c r="C22829" s="6">
        <v>320095.99</v>
      </c>
      <c r="D22829" s="5" t="s">
        <v>904</v>
      </c>
      <c r="E22829" s="5" t="str">
        <f t="shared" si="1138"/>
        <v>ACTISALUD-ESTADISTICA</v>
      </c>
      <c r="F22829" s="5"/>
      <c r="G22829" s="5"/>
    </row>
    <row r="22830" spans="1:7" ht="58.5" customHeight="1" x14ac:dyDescent="0.25">
      <c r="A22830" s="5" t="str">
        <f>"H0036177"</f>
        <v>H0036177</v>
      </c>
      <c r="B22830" s="5" t="str">
        <f t="shared" si="1139"/>
        <v>ESTANTE CONSTRUIDOS EN LAMINAS METÁLICAS SOLIDAS, RESISTENTES Y ESTABLES CON TRATAMIENTO ANTICORROSIVO, CON 7 ENTREPAÑOS, DE 0.94 CMS DE ANCHO, CON ALTURA DE 2.20MTS Y CADA BANDEJA DEBE SOPORTAR UN PESO DE 100KG/MT LINEA</v>
      </c>
      <c r="C22830" s="6">
        <v>320095.99</v>
      </c>
      <c r="D22830" s="5" t="s">
        <v>904</v>
      </c>
      <c r="E22830" s="5" t="str">
        <f t="shared" si="1138"/>
        <v>ACTISALUD-ESTADISTICA</v>
      </c>
      <c r="F22830" s="5"/>
      <c r="G22830" s="5"/>
    </row>
    <row r="22831" spans="1:7" ht="58.5" customHeight="1" x14ac:dyDescent="0.25">
      <c r="A22831" s="5" t="str">
        <f>"H0036178"</f>
        <v>H0036178</v>
      </c>
      <c r="B22831" s="5" t="str">
        <f t="shared" si="1139"/>
        <v>ESTANTE CONSTRUIDOS EN LAMINAS METÁLICAS SOLIDAS, RESISTENTES Y ESTABLES CON TRATAMIENTO ANTICORROSIVO, CON 7 ENTREPAÑOS, DE 0.94 CMS DE ANCHO, CON ALTURA DE 2.20MTS Y CADA BANDEJA DEBE SOPORTAR UN PESO DE 100KG/MT LINEA</v>
      </c>
      <c r="C22831" s="6">
        <v>320095.99</v>
      </c>
      <c r="D22831" s="5" t="s">
        <v>904</v>
      </c>
      <c r="E22831" s="5" t="str">
        <f t="shared" si="1138"/>
        <v>ACTISALUD-ESTADISTICA</v>
      </c>
      <c r="F22831" s="5"/>
      <c r="G22831" s="5"/>
    </row>
    <row r="22832" spans="1:7" ht="58.5" customHeight="1" x14ac:dyDescent="0.25">
      <c r="A22832" s="5" t="str">
        <f>"H0036179"</f>
        <v>H0036179</v>
      </c>
      <c r="B22832" s="5" t="str">
        <f t="shared" si="1139"/>
        <v>ESTANTE CONSTRUIDOS EN LAMINAS METÁLICAS SOLIDAS, RESISTENTES Y ESTABLES CON TRATAMIENTO ANTICORROSIVO, CON 7 ENTREPAÑOS, DE 0.94 CMS DE ANCHO, CON ALTURA DE 2.20MTS Y CADA BANDEJA DEBE SOPORTAR UN PESO DE 100KG/MT LINEA</v>
      </c>
      <c r="C22832" s="6">
        <v>320095.99</v>
      </c>
      <c r="D22832" s="5" t="s">
        <v>904</v>
      </c>
      <c r="E22832" s="5" t="str">
        <f t="shared" si="1138"/>
        <v>ACTISALUD-ESTADISTICA</v>
      </c>
      <c r="F22832" s="5"/>
      <c r="G22832" s="5"/>
    </row>
    <row r="22833" spans="1:7" ht="58.5" customHeight="1" x14ac:dyDescent="0.25">
      <c r="A22833" s="5" t="str">
        <f>"H0036180"</f>
        <v>H0036180</v>
      </c>
      <c r="B22833" s="5" t="str">
        <f t="shared" si="1139"/>
        <v>ESTANTE CONSTRUIDOS EN LAMINAS METÁLICAS SOLIDAS, RESISTENTES Y ESTABLES CON TRATAMIENTO ANTICORROSIVO, CON 7 ENTREPAÑOS, DE 0.94 CMS DE ANCHO, CON ALTURA DE 2.20MTS Y CADA BANDEJA DEBE SOPORTAR UN PESO DE 100KG/MT LINEA</v>
      </c>
      <c r="C22833" s="6">
        <v>320095.99</v>
      </c>
      <c r="D22833" s="5" t="s">
        <v>904</v>
      </c>
      <c r="E22833" s="5" t="str">
        <f t="shared" si="1138"/>
        <v>ACTISALUD-ESTADISTICA</v>
      </c>
      <c r="F22833" s="5"/>
      <c r="G22833" s="5"/>
    </row>
    <row r="22834" spans="1:7" ht="58.5" customHeight="1" x14ac:dyDescent="0.25">
      <c r="A22834" s="5" t="str">
        <f>"H0036181"</f>
        <v>H0036181</v>
      </c>
      <c r="B22834" s="5" t="str">
        <f t="shared" si="1139"/>
        <v>ESTANTE CONSTRUIDOS EN LAMINAS METÁLICAS SOLIDAS, RESISTENTES Y ESTABLES CON TRATAMIENTO ANTICORROSIVO, CON 7 ENTREPAÑOS, DE 0.94 CMS DE ANCHO, CON ALTURA DE 2.20MTS Y CADA BANDEJA DEBE SOPORTAR UN PESO DE 100KG/MT LINEA</v>
      </c>
      <c r="C22834" s="6">
        <v>320095.99</v>
      </c>
      <c r="D22834" s="5" t="s">
        <v>904</v>
      </c>
      <c r="E22834" s="5" t="str">
        <f t="shared" si="1138"/>
        <v>ACTISALUD-ESTADISTICA</v>
      </c>
      <c r="F22834" s="5"/>
      <c r="G22834" s="5"/>
    </row>
    <row r="22835" spans="1:7" ht="58.5" customHeight="1" x14ac:dyDescent="0.25">
      <c r="A22835" s="5" t="str">
        <f>"H0036182"</f>
        <v>H0036182</v>
      </c>
      <c r="B22835" s="5" t="str">
        <f t="shared" si="1139"/>
        <v>ESTANTE CONSTRUIDOS EN LAMINAS METÁLICAS SOLIDAS, RESISTENTES Y ESTABLES CON TRATAMIENTO ANTICORROSIVO, CON 7 ENTREPAÑOS, DE 0.94 CMS DE ANCHO, CON ALTURA DE 2.20MTS Y CADA BANDEJA DEBE SOPORTAR UN PESO DE 100KG/MT LINEA</v>
      </c>
      <c r="C22835" s="6">
        <v>320095.99</v>
      </c>
      <c r="D22835" s="5" t="s">
        <v>904</v>
      </c>
      <c r="E22835" s="5" t="str">
        <f t="shared" si="1138"/>
        <v>ACTISALUD-ESTADISTICA</v>
      </c>
      <c r="F22835" s="5"/>
      <c r="G22835" s="5"/>
    </row>
    <row r="22836" spans="1:7" ht="58.5" customHeight="1" x14ac:dyDescent="0.25">
      <c r="A22836" s="5" t="str">
        <f>"H0036183"</f>
        <v>H0036183</v>
      </c>
      <c r="B22836" s="5" t="str">
        <f t="shared" si="1139"/>
        <v>ESTANTE CONSTRUIDOS EN LAMINAS METÁLICAS SOLIDAS, RESISTENTES Y ESTABLES CON TRATAMIENTO ANTICORROSIVO, CON 7 ENTREPAÑOS, DE 0.94 CMS DE ANCHO, CON ALTURA DE 2.20MTS Y CADA BANDEJA DEBE SOPORTAR UN PESO DE 100KG/MT LINEA</v>
      </c>
      <c r="C22836" s="6">
        <v>320095.99</v>
      </c>
      <c r="D22836" s="5" t="s">
        <v>904</v>
      </c>
      <c r="E22836" s="5" t="str">
        <f t="shared" si="1138"/>
        <v>ACTISALUD-ESTADISTICA</v>
      </c>
      <c r="F22836" s="5"/>
      <c r="G22836" s="5"/>
    </row>
    <row r="22837" spans="1:7" ht="58.5" customHeight="1" x14ac:dyDescent="0.25">
      <c r="A22837" s="5" t="str">
        <f>"H0036184"</f>
        <v>H0036184</v>
      </c>
      <c r="B22837" s="5" t="str">
        <f t="shared" si="1139"/>
        <v>ESTANTE CONSTRUIDOS EN LAMINAS METÁLICAS SOLIDAS, RESISTENTES Y ESTABLES CON TRATAMIENTO ANTICORROSIVO, CON 7 ENTREPAÑOS, DE 0.94 CMS DE ANCHO, CON ALTURA DE 2.20MTS Y CADA BANDEJA DEBE SOPORTAR UN PESO DE 100KG/MT LINEA</v>
      </c>
      <c r="C22837" s="6">
        <v>320095.99</v>
      </c>
      <c r="D22837" s="5" t="s">
        <v>904</v>
      </c>
      <c r="E22837" s="5" t="str">
        <f t="shared" si="1138"/>
        <v>ACTISALUD-ESTADISTICA</v>
      </c>
      <c r="F22837" s="5"/>
      <c r="G22837" s="5"/>
    </row>
    <row r="22838" spans="1:7" ht="58.5" customHeight="1" x14ac:dyDescent="0.25">
      <c r="A22838" s="5" t="str">
        <f>"H0036185"</f>
        <v>H0036185</v>
      </c>
      <c r="B22838" s="5" t="str">
        <f t="shared" si="1139"/>
        <v>ESTANTE CONSTRUIDOS EN LAMINAS METÁLICAS SOLIDAS, RESISTENTES Y ESTABLES CON TRATAMIENTO ANTICORROSIVO, CON 7 ENTREPAÑOS, DE 0.94 CMS DE ANCHO, CON ALTURA DE 2.20MTS Y CADA BANDEJA DEBE SOPORTAR UN PESO DE 100KG/MT LINEA</v>
      </c>
      <c r="C22838" s="6">
        <v>320095.99</v>
      </c>
      <c r="D22838" s="5" t="s">
        <v>904</v>
      </c>
      <c r="E22838" s="5" t="str">
        <f t="shared" ref="E22838:E22901" si="1140">"ACTISALUD-ESTADISTICA"</f>
        <v>ACTISALUD-ESTADISTICA</v>
      </c>
      <c r="F22838" s="5"/>
      <c r="G22838" s="5"/>
    </row>
    <row r="22839" spans="1:7" ht="58.5" customHeight="1" x14ac:dyDescent="0.25">
      <c r="A22839" s="5" t="str">
        <f>"H0036186"</f>
        <v>H0036186</v>
      </c>
      <c r="B22839" s="5" t="str">
        <f t="shared" si="1139"/>
        <v>ESTANTE CONSTRUIDOS EN LAMINAS METÁLICAS SOLIDAS, RESISTENTES Y ESTABLES CON TRATAMIENTO ANTICORROSIVO, CON 7 ENTREPAÑOS, DE 0.94 CMS DE ANCHO, CON ALTURA DE 2.20MTS Y CADA BANDEJA DEBE SOPORTAR UN PESO DE 100KG/MT LINEA</v>
      </c>
      <c r="C22839" s="6">
        <v>320095.99</v>
      </c>
      <c r="D22839" s="5" t="s">
        <v>904</v>
      </c>
      <c r="E22839" s="5" t="str">
        <f t="shared" si="1140"/>
        <v>ACTISALUD-ESTADISTICA</v>
      </c>
      <c r="F22839" s="5"/>
      <c r="G22839" s="5"/>
    </row>
    <row r="22840" spans="1:7" ht="58.5" customHeight="1" x14ac:dyDescent="0.25">
      <c r="A22840" s="5" t="str">
        <f>"H0036187"</f>
        <v>H0036187</v>
      </c>
      <c r="B22840" s="5" t="str">
        <f t="shared" si="1139"/>
        <v>ESTANTE CONSTRUIDOS EN LAMINAS METÁLICAS SOLIDAS, RESISTENTES Y ESTABLES CON TRATAMIENTO ANTICORROSIVO, CON 7 ENTREPAÑOS, DE 0.94 CMS DE ANCHO, CON ALTURA DE 2.20MTS Y CADA BANDEJA DEBE SOPORTAR UN PESO DE 100KG/MT LINEA</v>
      </c>
      <c r="C22840" s="6">
        <v>320095.99</v>
      </c>
      <c r="D22840" s="5" t="s">
        <v>904</v>
      </c>
      <c r="E22840" s="5" t="str">
        <f t="shared" si="1140"/>
        <v>ACTISALUD-ESTADISTICA</v>
      </c>
      <c r="F22840" s="5"/>
      <c r="G22840" s="5"/>
    </row>
    <row r="22841" spans="1:7" ht="58.5" customHeight="1" x14ac:dyDescent="0.25">
      <c r="A22841" s="5" t="str">
        <f>"H0036188"</f>
        <v>H0036188</v>
      </c>
      <c r="B22841" s="5" t="str">
        <f t="shared" si="1139"/>
        <v>ESTANTE CONSTRUIDOS EN LAMINAS METÁLICAS SOLIDAS, RESISTENTES Y ESTABLES CON TRATAMIENTO ANTICORROSIVO, CON 7 ENTREPAÑOS, DE 0.94 CMS DE ANCHO, CON ALTURA DE 2.20MTS Y CADA BANDEJA DEBE SOPORTAR UN PESO DE 100KG/MT LINEA</v>
      </c>
      <c r="C22841" s="6">
        <v>320095.99</v>
      </c>
      <c r="D22841" s="5" t="s">
        <v>904</v>
      </c>
      <c r="E22841" s="5" t="str">
        <f t="shared" si="1140"/>
        <v>ACTISALUD-ESTADISTICA</v>
      </c>
      <c r="F22841" s="5"/>
      <c r="G22841" s="5"/>
    </row>
    <row r="22842" spans="1:7" ht="58.5" customHeight="1" x14ac:dyDescent="0.25">
      <c r="A22842" s="5" t="str">
        <f>"H0036189"</f>
        <v>H0036189</v>
      </c>
      <c r="B22842" s="5" t="str">
        <f t="shared" si="1139"/>
        <v>ESTANTE CONSTRUIDOS EN LAMINAS METÁLICAS SOLIDAS, RESISTENTES Y ESTABLES CON TRATAMIENTO ANTICORROSIVO, CON 7 ENTREPAÑOS, DE 0.94 CMS DE ANCHO, CON ALTURA DE 2.20MTS Y CADA BANDEJA DEBE SOPORTAR UN PESO DE 100KG/MT LINEA</v>
      </c>
      <c r="C22842" s="6">
        <v>320095.99</v>
      </c>
      <c r="D22842" s="5" t="s">
        <v>904</v>
      </c>
      <c r="E22842" s="5" t="str">
        <f t="shared" si="1140"/>
        <v>ACTISALUD-ESTADISTICA</v>
      </c>
      <c r="F22842" s="5"/>
      <c r="G22842" s="5"/>
    </row>
    <row r="22843" spans="1:7" ht="58.5" customHeight="1" x14ac:dyDescent="0.25">
      <c r="A22843" s="5" t="str">
        <f>"H0036190"</f>
        <v>H0036190</v>
      </c>
      <c r="B22843" s="5" t="str">
        <f t="shared" si="1139"/>
        <v>ESTANTE CONSTRUIDOS EN LAMINAS METÁLICAS SOLIDAS, RESISTENTES Y ESTABLES CON TRATAMIENTO ANTICORROSIVO, CON 7 ENTREPAÑOS, DE 0.94 CMS DE ANCHO, CON ALTURA DE 2.20MTS Y CADA BANDEJA DEBE SOPORTAR UN PESO DE 100KG/MT LINEA</v>
      </c>
      <c r="C22843" s="6">
        <v>320095.99</v>
      </c>
      <c r="D22843" s="5" t="s">
        <v>904</v>
      </c>
      <c r="E22843" s="5" t="str">
        <f t="shared" si="1140"/>
        <v>ACTISALUD-ESTADISTICA</v>
      </c>
      <c r="F22843" s="5"/>
      <c r="G22843" s="5"/>
    </row>
    <row r="22844" spans="1:7" ht="58.5" customHeight="1" x14ac:dyDescent="0.25">
      <c r="A22844" s="5" t="str">
        <f>"H0036191"</f>
        <v>H0036191</v>
      </c>
      <c r="B22844" s="5" t="str">
        <f t="shared" si="1139"/>
        <v>ESTANTE CONSTRUIDOS EN LAMINAS METÁLICAS SOLIDAS, RESISTENTES Y ESTABLES CON TRATAMIENTO ANTICORROSIVO, CON 7 ENTREPAÑOS, DE 0.94 CMS DE ANCHO, CON ALTURA DE 2.20MTS Y CADA BANDEJA DEBE SOPORTAR UN PESO DE 100KG/MT LINEA</v>
      </c>
      <c r="C22844" s="6">
        <v>320095.99</v>
      </c>
      <c r="D22844" s="5" t="s">
        <v>904</v>
      </c>
      <c r="E22844" s="5" t="str">
        <f t="shared" si="1140"/>
        <v>ACTISALUD-ESTADISTICA</v>
      </c>
      <c r="F22844" s="5"/>
      <c r="G22844" s="5"/>
    </row>
    <row r="22845" spans="1:7" ht="58.5" customHeight="1" x14ac:dyDescent="0.25">
      <c r="A22845" s="5" t="str">
        <f>"H0036192"</f>
        <v>H0036192</v>
      </c>
      <c r="B22845" s="5" t="str">
        <f t="shared" si="1139"/>
        <v>ESTANTE CONSTRUIDOS EN LAMINAS METÁLICAS SOLIDAS, RESISTENTES Y ESTABLES CON TRATAMIENTO ANTICORROSIVO, CON 7 ENTREPAÑOS, DE 0.94 CMS DE ANCHO, CON ALTURA DE 2.20MTS Y CADA BANDEJA DEBE SOPORTAR UN PESO DE 100KG/MT LINEA</v>
      </c>
      <c r="C22845" s="6">
        <v>320095.99</v>
      </c>
      <c r="D22845" s="5" t="s">
        <v>904</v>
      </c>
      <c r="E22845" s="5" t="str">
        <f t="shared" si="1140"/>
        <v>ACTISALUD-ESTADISTICA</v>
      </c>
      <c r="F22845" s="5"/>
      <c r="G22845" s="5"/>
    </row>
    <row r="22846" spans="1:7" ht="58.5" customHeight="1" x14ac:dyDescent="0.25">
      <c r="A22846" s="5" t="str">
        <f>"H0036193"</f>
        <v>H0036193</v>
      </c>
      <c r="B22846" s="5" t="str">
        <f t="shared" si="1139"/>
        <v>ESTANTE CONSTRUIDOS EN LAMINAS METÁLICAS SOLIDAS, RESISTENTES Y ESTABLES CON TRATAMIENTO ANTICORROSIVO, CON 7 ENTREPAÑOS, DE 0.94 CMS DE ANCHO, CON ALTURA DE 2.20MTS Y CADA BANDEJA DEBE SOPORTAR UN PESO DE 100KG/MT LINEA</v>
      </c>
      <c r="C22846" s="6">
        <v>320095.99</v>
      </c>
      <c r="D22846" s="5" t="s">
        <v>904</v>
      </c>
      <c r="E22846" s="5" t="str">
        <f t="shared" si="1140"/>
        <v>ACTISALUD-ESTADISTICA</v>
      </c>
      <c r="F22846" s="5"/>
      <c r="G22846" s="5"/>
    </row>
    <row r="22847" spans="1:7" ht="58.5" customHeight="1" x14ac:dyDescent="0.25">
      <c r="A22847" s="5" t="str">
        <f>"H0036194"</f>
        <v>H0036194</v>
      </c>
      <c r="B22847" s="5" t="str">
        <f t="shared" si="1139"/>
        <v>ESTANTE CONSTRUIDOS EN LAMINAS METÁLICAS SOLIDAS, RESISTENTES Y ESTABLES CON TRATAMIENTO ANTICORROSIVO, CON 7 ENTREPAÑOS, DE 0.94 CMS DE ANCHO, CON ALTURA DE 2.20MTS Y CADA BANDEJA DEBE SOPORTAR UN PESO DE 100KG/MT LINEA</v>
      </c>
      <c r="C22847" s="6">
        <v>320095.99</v>
      </c>
      <c r="D22847" s="5" t="s">
        <v>904</v>
      </c>
      <c r="E22847" s="5" t="str">
        <f t="shared" si="1140"/>
        <v>ACTISALUD-ESTADISTICA</v>
      </c>
      <c r="F22847" s="5"/>
      <c r="G22847" s="5"/>
    </row>
    <row r="22848" spans="1:7" ht="58.5" customHeight="1" x14ac:dyDescent="0.25">
      <c r="A22848" s="5" t="str">
        <f>"H0036195"</f>
        <v>H0036195</v>
      </c>
      <c r="B22848" s="5" t="str">
        <f t="shared" si="1139"/>
        <v>ESTANTE CONSTRUIDOS EN LAMINAS METÁLICAS SOLIDAS, RESISTENTES Y ESTABLES CON TRATAMIENTO ANTICORROSIVO, CON 7 ENTREPAÑOS, DE 0.94 CMS DE ANCHO, CON ALTURA DE 2.20MTS Y CADA BANDEJA DEBE SOPORTAR UN PESO DE 100KG/MT LINEA</v>
      </c>
      <c r="C22848" s="6">
        <v>320095.99</v>
      </c>
      <c r="D22848" s="5" t="s">
        <v>904</v>
      </c>
      <c r="E22848" s="5" t="str">
        <f t="shared" si="1140"/>
        <v>ACTISALUD-ESTADISTICA</v>
      </c>
      <c r="F22848" s="5"/>
      <c r="G22848" s="5"/>
    </row>
    <row r="22849" spans="1:7" ht="58.5" customHeight="1" x14ac:dyDescent="0.25">
      <c r="A22849" s="5" t="str">
        <f>"H0036196"</f>
        <v>H0036196</v>
      </c>
      <c r="B22849" s="5" t="str">
        <f t="shared" si="1139"/>
        <v>ESTANTE CONSTRUIDOS EN LAMINAS METÁLICAS SOLIDAS, RESISTENTES Y ESTABLES CON TRATAMIENTO ANTICORROSIVO, CON 7 ENTREPAÑOS, DE 0.94 CMS DE ANCHO, CON ALTURA DE 2.20MTS Y CADA BANDEJA DEBE SOPORTAR UN PESO DE 100KG/MT LINEA</v>
      </c>
      <c r="C22849" s="6">
        <v>320095.99</v>
      </c>
      <c r="D22849" s="5" t="s">
        <v>904</v>
      </c>
      <c r="E22849" s="5" t="str">
        <f t="shared" si="1140"/>
        <v>ACTISALUD-ESTADISTICA</v>
      </c>
      <c r="F22849" s="5"/>
      <c r="G22849" s="5"/>
    </row>
    <row r="22850" spans="1:7" ht="58.5" customHeight="1" x14ac:dyDescent="0.25">
      <c r="A22850" s="5" t="str">
        <f>"H0036197"</f>
        <v>H0036197</v>
      </c>
      <c r="B22850" s="5" t="str">
        <f t="shared" si="1139"/>
        <v>ESTANTE CONSTRUIDOS EN LAMINAS METÁLICAS SOLIDAS, RESISTENTES Y ESTABLES CON TRATAMIENTO ANTICORROSIVO, CON 7 ENTREPAÑOS, DE 0.94 CMS DE ANCHO, CON ALTURA DE 2.20MTS Y CADA BANDEJA DEBE SOPORTAR UN PESO DE 100KG/MT LINEA</v>
      </c>
      <c r="C22850" s="6">
        <v>320095.99</v>
      </c>
      <c r="D22850" s="5" t="s">
        <v>904</v>
      </c>
      <c r="E22850" s="5" t="str">
        <f t="shared" si="1140"/>
        <v>ACTISALUD-ESTADISTICA</v>
      </c>
      <c r="F22850" s="5"/>
      <c r="G22850" s="5"/>
    </row>
    <row r="22851" spans="1:7" ht="58.5" customHeight="1" x14ac:dyDescent="0.25">
      <c r="A22851" s="5" t="str">
        <f>"H0036198"</f>
        <v>H0036198</v>
      </c>
      <c r="B22851" s="5" t="str">
        <f t="shared" si="1139"/>
        <v>ESTANTE CONSTRUIDOS EN LAMINAS METÁLICAS SOLIDAS, RESISTENTES Y ESTABLES CON TRATAMIENTO ANTICORROSIVO, CON 7 ENTREPAÑOS, DE 0.94 CMS DE ANCHO, CON ALTURA DE 2.20MTS Y CADA BANDEJA DEBE SOPORTAR UN PESO DE 100KG/MT LINEA</v>
      </c>
      <c r="C22851" s="6">
        <v>320095.99</v>
      </c>
      <c r="D22851" s="5" t="s">
        <v>904</v>
      </c>
      <c r="E22851" s="5" t="str">
        <f t="shared" si="1140"/>
        <v>ACTISALUD-ESTADISTICA</v>
      </c>
      <c r="F22851" s="5"/>
      <c r="G22851" s="5"/>
    </row>
    <row r="22852" spans="1:7" ht="58.5" customHeight="1" x14ac:dyDescent="0.25">
      <c r="A22852" s="5" t="str">
        <f>"H0036199"</f>
        <v>H0036199</v>
      </c>
      <c r="B22852" s="5" t="str">
        <f t="shared" si="1139"/>
        <v>ESTANTE CONSTRUIDOS EN LAMINAS METÁLICAS SOLIDAS, RESISTENTES Y ESTABLES CON TRATAMIENTO ANTICORROSIVO, CON 7 ENTREPAÑOS, DE 0.94 CMS DE ANCHO, CON ALTURA DE 2.20MTS Y CADA BANDEJA DEBE SOPORTAR UN PESO DE 100KG/MT LINEA</v>
      </c>
      <c r="C22852" s="6">
        <v>320095.99</v>
      </c>
      <c r="D22852" s="5" t="s">
        <v>904</v>
      </c>
      <c r="E22852" s="5" t="str">
        <f t="shared" si="1140"/>
        <v>ACTISALUD-ESTADISTICA</v>
      </c>
      <c r="F22852" s="5"/>
      <c r="G22852" s="5"/>
    </row>
    <row r="22853" spans="1:7" ht="58.5" customHeight="1" x14ac:dyDescent="0.25">
      <c r="A22853" s="5" t="str">
        <f>"H0036200"</f>
        <v>H0036200</v>
      </c>
      <c r="B22853" s="5" t="str">
        <f t="shared" si="1139"/>
        <v>ESTANTE CONSTRUIDOS EN LAMINAS METÁLICAS SOLIDAS, RESISTENTES Y ESTABLES CON TRATAMIENTO ANTICORROSIVO, CON 7 ENTREPAÑOS, DE 0.94 CMS DE ANCHO, CON ALTURA DE 2.20MTS Y CADA BANDEJA DEBE SOPORTAR UN PESO DE 100KG/MT LINEA</v>
      </c>
      <c r="C22853" s="6">
        <v>320095.99</v>
      </c>
      <c r="D22853" s="5" t="s">
        <v>904</v>
      </c>
      <c r="E22853" s="5" t="str">
        <f t="shared" si="1140"/>
        <v>ACTISALUD-ESTADISTICA</v>
      </c>
      <c r="F22853" s="5"/>
      <c r="G22853" s="5"/>
    </row>
    <row r="22854" spans="1:7" ht="58.5" customHeight="1" x14ac:dyDescent="0.25">
      <c r="A22854" s="5" t="str">
        <f>"H0036201"</f>
        <v>H0036201</v>
      </c>
      <c r="B22854" s="5" t="str">
        <f t="shared" si="1139"/>
        <v>ESTANTE CONSTRUIDOS EN LAMINAS METÁLICAS SOLIDAS, RESISTENTES Y ESTABLES CON TRATAMIENTO ANTICORROSIVO, CON 7 ENTREPAÑOS, DE 0.94 CMS DE ANCHO, CON ALTURA DE 2.20MTS Y CADA BANDEJA DEBE SOPORTAR UN PESO DE 100KG/MT LINEA</v>
      </c>
      <c r="C22854" s="6">
        <v>320095.99</v>
      </c>
      <c r="D22854" s="5" t="s">
        <v>904</v>
      </c>
      <c r="E22854" s="5" t="str">
        <f t="shared" si="1140"/>
        <v>ACTISALUD-ESTADISTICA</v>
      </c>
      <c r="F22854" s="5"/>
      <c r="G22854" s="5"/>
    </row>
    <row r="22855" spans="1:7" ht="58.5" customHeight="1" x14ac:dyDescent="0.25">
      <c r="A22855" s="5" t="str">
        <f>"H0036202"</f>
        <v>H0036202</v>
      </c>
      <c r="B22855" s="5" t="str">
        <f t="shared" si="1139"/>
        <v>ESTANTE CONSTRUIDOS EN LAMINAS METÁLICAS SOLIDAS, RESISTENTES Y ESTABLES CON TRATAMIENTO ANTICORROSIVO, CON 7 ENTREPAÑOS, DE 0.94 CMS DE ANCHO, CON ALTURA DE 2.20MTS Y CADA BANDEJA DEBE SOPORTAR UN PESO DE 100KG/MT LINEA</v>
      </c>
      <c r="C22855" s="6">
        <v>320095.99</v>
      </c>
      <c r="D22855" s="5" t="s">
        <v>904</v>
      </c>
      <c r="E22855" s="5" t="str">
        <f t="shared" si="1140"/>
        <v>ACTISALUD-ESTADISTICA</v>
      </c>
      <c r="F22855" s="5"/>
      <c r="G22855" s="5"/>
    </row>
    <row r="22856" spans="1:7" ht="58.5" customHeight="1" x14ac:dyDescent="0.25">
      <c r="A22856" s="5" t="str">
        <f>"H0036203"</f>
        <v>H0036203</v>
      </c>
      <c r="B22856" s="5" t="str">
        <f t="shared" si="1139"/>
        <v>ESTANTE CONSTRUIDOS EN LAMINAS METÁLICAS SOLIDAS, RESISTENTES Y ESTABLES CON TRATAMIENTO ANTICORROSIVO, CON 7 ENTREPAÑOS, DE 0.94 CMS DE ANCHO, CON ALTURA DE 2.20MTS Y CADA BANDEJA DEBE SOPORTAR UN PESO DE 100KG/MT LINEA</v>
      </c>
      <c r="C22856" s="6">
        <v>320095.99</v>
      </c>
      <c r="D22856" s="5" t="s">
        <v>904</v>
      </c>
      <c r="E22856" s="5" t="str">
        <f t="shared" si="1140"/>
        <v>ACTISALUD-ESTADISTICA</v>
      </c>
      <c r="F22856" s="5"/>
      <c r="G22856" s="5"/>
    </row>
    <row r="22857" spans="1:7" ht="58.5" customHeight="1" x14ac:dyDescent="0.25">
      <c r="A22857" s="5" t="str">
        <f>"H0036204"</f>
        <v>H0036204</v>
      </c>
      <c r="B22857" s="5" t="str">
        <f t="shared" si="1139"/>
        <v>ESTANTE CONSTRUIDOS EN LAMINAS METÁLICAS SOLIDAS, RESISTENTES Y ESTABLES CON TRATAMIENTO ANTICORROSIVO, CON 7 ENTREPAÑOS, DE 0.94 CMS DE ANCHO, CON ALTURA DE 2.20MTS Y CADA BANDEJA DEBE SOPORTAR UN PESO DE 100KG/MT LINEA</v>
      </c>
      <c r="C22857" s="6">
        <v>320095.99</v>
      </c>
      <c r="D22857" s="5" t="s">
        <v>904</v>
      </c>
      <c r="E22857" s="5" t="str">
        <f t="shared" si="1140"/>
        <v>ACTISALUD-ESTADISTICA</v>
      </c>
      <c r="F22857" s="5"/>
      <c r="G22857" s="5"/>
    </row>
    <row r="22858" spans="1:7" ht="58.5" customHeight="1" x14ac:dyDescent="0.25">
      <c r="A22858" s="5" t="str">
        <f>"H0036205"</f>
        <v>H0036205</v>
      </c>
      <c r="B22858" s="5" t="str">
        <f t="shared" si="1139"/>
        <v>ESTANTE CONSTRUIDOS EN LAMINAS METÁLICAS SOLIDAS, RESISTENTES Y ESTABLES CON TRATAMIENTO ANTICORROSIVO, CON 7 ENTREPAÑOS, DE 0.94 CMS DE ANCHO, CON ALTURA DE 2.20MTS Y CADA BANDEJA DEBE SOPORTAR UN PESO DE 100KG/MT LINEA</v>
      </c>
      <c r="C22858" s="6">
        <v>320095.99</v>
      </c>
      <c r="D22858" s="5" t="s">
        <v>904</v>
      </c>
      <c r="E22858" s="5" t="str">
        <f t="shared" si="1140"/>
        <v>ACTISALUD-ESTADISTICA</v>
      </c>
      <c r="F22858" s="5"/>
      <c r="G22858" s="5"/>
    </row>
    <row r="22859" spans="1:7" ht="58.5" customHeight="1" x14ac:dyDescent="0.25">
      <c r="A22859" s="5" t="str">
        <f>"H0036206"</f>
        <v>H0036206</v>
      </c>
      <c r="B22859" s="5" t="str">
        <f t="shared" si="1139"/>
        <v>ESTANTE CONSTRUIDOS EN LAMINAS METÁLICAS SOLIDAS, RESISTENTES Y ESTABLES CON TRATAMIENTO ANTICORROSIVO, CON 7 ENTREPAÑOS, DE 0.94 CMS DE ANCHO, CON ALTURA DE 2.20MTS Y CADA BANDEJA DEBE SOPORTAR UN PESO DE 100KG/MT LINEA</v>
      </c>
      <c r="C22859" s="6">
        <v>320095.99</v>
      </c>
      <c r="D22859" s="5" t="s">
        <v>904</v>
      </c>
      <c r="E22859" s="5" t="str">
        <f t="shared" si="1140"/>
        <v>ACTISALUD-ESTADISTICA</v>
      </c>
      <c r="F22859" s="5"/>
      <c r="G22859" s="5"/>
    </row>
    <row r="22860" spans="1:7" ht="58.5" customHeight="1" x14ac:dyDescent="0.25">
      <c r="A22860" s="5" t="str">
        <f>"H0036207"</f>
        <v>H0036207</v>
      </c>
      <c r="B22860" s="5" t="str">
        <f t="shared" ref="B22860:B22923" si="1141">"ESTANTE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860" s="6">
        <v>320095.99</v>
      </c>
      <c r="D22860" s="5" t="s">
        <v>904</v>
      </c>
      <c r="E22860" s="5" t="str">
        <f t="shared" si="1140"/>
        <v>ACTISALUD-ESTADISTICA</v>
      </c>
      <c r="F22860" s="5"/>
      <c r="G22860" s="5"/>
    </row>
    <row r="22861" spans="1:7" ht="58.5" customHeight="1" x14ac:dyDescent="0.25">
      <c r="A22861" s="5" t="str">
        <f>"H0036208"</f>
        <v>H0036208</v>
      </c>
      <c r="B22861" s="5" t="str">
        <f t="shared" si="1141"/>
        <v>ESTANTE CONSTRUIDOS EN LAMINAS METÁLICAS SOLIDAS, RESISTENTES Y ESTABLES CON TRATAMIENTO ANTICORROSIVO, CON 7 ENTREPAÑOS, DE 0.94 CMS DE ANCHO, CON ALTURA DE 2.20MTS Y CADA BANDEJA DEBE SOPORTAR UN PESO DE 100KG/MT LINEA</v>
      </c>
      <c r="C22861" s="6">
        <v>320095.99</v>
      </c>
      <c r="D22861" s="5" t="s">
        <v>904</v>
      </c>
      <c r="E22861" s="5" t="str">
        <f t="shared" si="1140"/>
        <v>ACTISALUD-ESTADISTICA</v>
      </c>
      <c r="F22861" s="5"/>
      <c r="G22861" s="5"/>
    </row>
    <row r="22862" spans="1:7" ht="58.5" customHeight="1" x14ac:dyDescent="0.25">
      <c r="A22862" s="5" t="str">
        <f>"H0036209"</f>
        <v>H0036209</v>
      </c>
      <c r="B22862" s="5" t="str">
        <f t="shared" si="1141"/>
        <v>ESTANTE CONSTRUIDOS EN LAMINAS METÁLICAS SOLIDAS, RESISTENTES Y ESTABLES CON TRATAMIENTO ANTICORROSIVO, CON 7 ENTREPAÑOS, DE 0.94 CMS DE ANCHO, CON ALTURA DE 2.20MTS Y CADA BANDEJA DEBE SOPORTAR UN PESO DE 100KG/MT LINEA</v>
      </c>
      <c r="C22862" s="6">
        <v>320095.99</v>
      </c>
      <c r="D22862" s="5" t="s">
        <v>904</v>
      </c>
      <c r="E22862" s="5" t="str">
        <f t="shared" si="1140"/>
        <v>ACTISALUD-ESTADISTICA</v>
      </c>
      <c r="F22862" s="5"/>
      <c r="G22862" s="5"/>
    </row>
    <row r="22863" spans="1:7" ht="58.5" customHeight="1" x14ac:dyDescent="0.25">
      <c r="A22863" s="5" t="str">
        <f>"H0036210"</f>
        <v>H0036210</v>
      </c>
      <c r="B22863" s="5" t="str">
        <f t="shared" si="1141"/>
        <v>ESTANTE CONSTRUIDOS EN LAMINAS METÁLICAS SOLIDAS, RESISTENTES Y ESTABLES CON TRATAMIENTO ANTICORROSIVO, CON 7 ENTREPAÑOS, DE 0.94 CMS DE ANCHO, CON ALTURA DE 2.20MTS Y CADA BANDEJA DEBE SOPORTAR UN PESO DE 100KG/MT LINEA</v>
      </c>
      <c r="C22863" s="6">
        <v>320095.99</v>
      </c>
      <c r="D22863" s="5" t="s">
        <v>904</v>
      </c>
      <c r="E22863" s="5" t="str">
        <f t="shared" si="1140"/>
        <v>ACTISALUD-ESTADISTICA</v>
      </c>
      <c r="F22863" s="5"/>
      <c r="G22863" s="5"/>
    </row>
    <row r="22864" spans="1:7" ht="58.5" customHeight="1" x14ac:dyDescent="0.25">
      <c r="A22864" s="5" t="str">
        <f>"H0036211"</f>
        <v>H0036211</v>
      </c>
      <c r="B22864" s="5" t="str">
        <f t="shared" si="1141"/>
        <v>ESTANTE CONSTRUIDOS EN LAMINAS METÁLICAS SOLIDAS, RESISTENTES Y ESTABLES CON TRATAMIENTO ANTICORROSIVO, CON 7 ENTREPAÑOS, DE 0.94 CMS DE ANCHO, CON ALTURA DE 2.20MTS Y CADA BANDEJA DEBE SOPORTAR UN PESO DE 100KG/MT LINEA</v>
      </c>
      <c r="C22864" s="6">
        <v>320095.99</v>
      </c>
      <c r="D22864" s="5" t="s">
        <v>904</v>
      </c>
      <c r="E22864" s="5" t="str">
        <f t="shared" si="1140"/>
        <v>ACTISALUD-ESTADISTICA</v>
      </c>
      <c r="F22864" s="5"/>
      <c r="G22864" s="5"/>
    </row>
    <row r="22865" spans="1:7" ht="58.5" customHeight="1" x14ac:dyDescent="0.25">
      <c r="A22865" s="5" t="str">
        <f>"H0036213"</f>
        <v>H0036213</v>
      </c>
      <c r="B22865" s="5" t="str">
        <f t="shared" si="1141"/>
        <v>ESTANTE CONSTRUIDOS EN LAMINAS METÁLICAS SOLIDAS, RESISTENTES Y ESTABLES CON TRATAMIENTO ANTICORROSIVO, CON 7 ENTREPAÑOS, DE 0.94 CMS DE ANCHO, CON ALTURA DE 2.20MTS Y CADA BANDEJA DEBE SOPORTAR UN PESO DE 100KG/MT LINEA</v>
      </c>
      <c r="C22865" s="6">
        <v>320095.99</v>
      </c>
      <c r="D22865" s="5" t="s">
        <v>904</v>
      </c>
      <c r="E22865" s="5" t="str">
        <f t="shared" si="1140"/>
        <v>ACTISALUD-ESTADISTICA</v>
      </c>
      <c r="F22865" s="5"/>
      <c r="G22865" s="5"/>
    </row>
    <row r="22866" spans="1:7" ht="58.5" customHeight="1" x14ac:dyDescent="0.25">
      <c r="A22866" s="5" t="str">
        <f>"H0036214"</f>
        <v>H0036214</v>
      </c>
      <c r="B22866" s="5" t="str">
        <f t="shared" si="1141"/>
        <v>ESTANTE CONSTRUIDOS EN LAMINAS METÁLICAS SOLIDAS, RESISTENTES Y ESTABLES CON TRATAMIENTO ANTICORROSIVO, CON 7 ENTREPAÑOS, DE 0.94 CMS DE ANCHO, CON ALTURA DE 2.20MTS Y CADA BANDEJA DEBE SOPORTAR UN PESO DE 100KG/MT LINEA</v>
      </c>
      <c r="C22866" s="6">
        <v>320095.99</v>
      </c>
      <c r="D22866" s="5" t="s">
        <v>904</v>
      </c>
      <c r="E22866" s="5" t="str">
        <f t="shared" si="1140"/>
        <v>ACTISALUD-ESTADISTICA</v>
      </c>
      <c r="F22866" s="5"/>
      <c r="G22866" s="5"/>
    </row>
    <row r="22867" spans="1:7" ht="58.5" customHeight="1" x14ac:dyDescent="0.25">
      <c r="A22867" s="5" t="str">
        <f>"H0036215"</f>
        <v>H0036215</v>
      </c>
      <c r="B22867" s="5" t="str">
        <f t="shared" si="1141"/>
        <v>ESTANTE CONSTRUIDOS EN LAMINAS METÁLICAS SOLIDAS, RESISTENTES Y ESTABLES CON TRATAMIENTO ANTICORROSIVO, CON 7 ENTREPAÑOS, DE 0.94 CMS DE ANCHO, CON ALTURA DE 2.20MTS Y CADA BANDEJA DEBE SOPORTAR UN PESO DE 100KG/MT LINEA</v>
      </c>
      <c r="C22867" s="6">
        <v>320095.99</v>
      </c>
      <c r="D22867" s="5" t="s">
        <v>904</v>
      </c>
      <c r="E22867" s="5" t="str">
        <f t="shared" si="1140"/>
        <v>ACTISALUD-ESTADISTICA</v>
      </c>
      <c r="F22867" s="5"/>
      <c r="G22867" s="5"/>
    </row>
    <row r="22868" spans="1:7" ht="58.5" customHeight="1" x14ac:dyDescent="0.25">
      <c r="A22868" s="5" t="str">
        <f>"H0036216"</f>
        <v>H0036216</v>
      </c>
      <c r="B22868" s="5" t="str">
        <f t="shared" si="1141"/>
        <v>ESTANTE CONSTRUIDOS EN LAMINAS METÁLICAS SOLIDAS, RESISTENTES Y ESTABLES CON TRATAMIENTO ANTICORROSIVO, CON 7 ENTREPAÑOS, DE 0.94 CMS DE ANCHO, CON ALTURA DE 2.20MTS Y CADA BANDEJA DEBE SOPORTAR UN PESO DE 100KG/MT LINEA</v>
      </c>
      <c r="C22868" s="6">
        <v>320095.99</v>
      </c>
      <c r="D22868" s="5" t="s">
        <v>904</v>
      </c>
      <c r="E22868" s="5" t="str">
        <f t="shared" si="1140"/>
        <v>ACTISALUD-ESTADISTICA</v>
      </c>
      <c r="F22868" s="5"/>
      <c r="G22868" s="5"/>
    </row>
    <row r="22869" spans="1:7" ht="58.5" customHeight="1" x14ac:dyDescent="0.25">
      <c r="A22869" s="5" t="str">
        <f>"H0036217"</f>
        <v>H0036217</v>
      </c>
      <c r="B22869" s="5" t="str">
        <f t="shared" si="1141"/>
        <v>ESTANTE CONSTRUIDOS EN LAMINAS METÁLICAS SOLIDAS, RESISTENTES Y ESTABLES CON TRATAMIENTO ANTICORROSIVO, CON 7 ENTREPAÑOS, DE 0.94 CMS DE ANCHO, CON ALTURA DE 2.20MTS Y CADA BANDEJA DEBE SOPORTAR UN PESO DE 100KG/MT LINEA</v>
      </c>
      <c r="C22869" s="6">
        <v>320095.99</v>
      </c>
      <c r="D22869" s="5" t="s">
        <v>904</v>
      </c>
      <c r="E22869" s="5" t="str">
        <f t="shared" si="1140"/>
        <v>ACTISALUD-ESTADISTICA</v>
      </c>
      <c r="F22869" s="5"/>
      <c r="G22869" s="5"/>
    </row>
    <row r="22870" spans="1:7" ht="58.5" customHeight="1" x14ac:dyDescent="0.25">
      <c r="A22870" s="5" t="str">
        <f>"H0036218"</f>
        <v>H0036218</v>
      </c>
      <c r="B22870" s="5" t="str">
        <f t="shared" si="1141"/>
        <v>ESTANTE CONSTRUIDOS EN LAMINAS METÁLICAS SOLIDAS, RESISTENTES Y ESTABLES CON TRATAMIENTO ANTICORROSIVO, CON 7 ENTREPAÑOS, DE 0.94 CMS DE ANCHO, CON ALTURA DE 2.20MTS Y CADA BANDEJA DEBE SOPORTAR UN PESO DE 100KG/MT LINEA</v>
      </c>
      <c r="C22870" s="6">
        <v>320095.99</v>
      </c>
      <c r="D22870" s="5" t="s">
        <v>904</v>
      </c>
      <c r="E22870" s="5" t="str">
        <f t="shared" si="1140"/>
        <v>ACTISALUD-ESTADISTICA</v>
      </c>
      <c r="F22870" s="5"/>
      <c r="G22870" s="5"/>
    </row>
    <row r="22871" spans="1:7" ht="58.5" customHeight="1" x14ac:dyDescent="0.25">
      <c r="A22871" s="5" t="str">
        <f>"H0036219"</f>
        <v>H0036219</v>
      </c>
      <c r="B22871" s="5" t="str">
        <f t="shared" si="1141"/>
        <v>ESTANTE CONSTRUIDOS EN LAMINAS METÁLICAS SOLIDAS, RESISTENTES Y ESTABLES CON TRATAMIENTO ANTICORROSIVO, CON 7 ENTREPAÑOS, DE 0.94 CMS DE ANCHO, CON ALTURA DE 2.20MTS Y CADA BANDEJA DEBE SOPORTAR UN PESO DE 100KG/MT LINEA</v>
      </c>
      <c r="C22871" s="6">
        <v>320095.99</v>
      </c>
      <c r="D22871" s="5" t="s">
        <v>904</v>
      </c>
      <c r="E22871" s="5" t="str">
        <f t="shared" si="1140"/>
        <v>ACTISALUD-ESTADISTICA</v>
      </c>
      <c r="F22871" s="5"/>
      <c r="G22871" s="5"/>
    </row>
    <row r="22872" spans="1:7" ht="58.5" customHeight="1" x14ac:dyDescent="0.25">
      <c r="A22872" s="5" t="str">
        <f>"H0036220"</f>
        <v>H0036220</v>
      </c>
      <c r="B22872" s="5" t="str">
        <f t="shared" si="1141"/>
        <v>ESTANTE CONSTRUIDOS EN LAMINAS METÁLICAS SOLIDAS, RESISTENTES Y ESTABLES CON TRATAMIENTO ANTICORROSIVO, CON 7 ENTREPAÑOS, DE 0.94 CMS DE ANCHO, CON ALTURA DE 2.20MTS Y CADA BANDEJA DEBE SOPORTAR UN PESO DE 100KG/MT LINEA</v>
      </c>
      <c r="C22872" s="6">
        <v>320095.99</v>
      </c>
      <c r="D22872" s="5" t="s">
        <v>904</v>
      </c>
      <c r="E22872" s="5" t="str">
        <f t="shared" si="1140"/>
        <v>ACTISALUD-ESTADISTICA</v>
      </c>
      <c r="F22872" s="5"/>
      <c r="G22872" s="5"/>
    </row>
    <row r="22873" spans="1:7" ht="58.5" customHeight="1" x14ac:dyDescent="0.25">
      <c r="A22873" s="5" t="str">
        <f>"H0036221"</f>
        <v>H0036221</v>
      </c>
      <c r="B22873" s="5" t="str">
        <f t="shared" si="1141"/>
        <v>ESTANTE CONSTRUIDOS EN LAMINAS METÁLICAS SOLIDAS, RESISTENTES Y ESTABLES CON TRATAMIENTO ANTICORROSIVO, CON 7 ENTREPAÑOS, DE 0.94 CMS DE ANCHO, CON ALTURA DE 2.20MTS Y CADA BANDEJA DEBE SOPORTAR UN PESO DE 100KG/MT LINEA</v>
      </c>
      <c r="C22873" s="6">
        <v>320095.99</v>
      </c>
      <c r="D22873" s="5" t="s">
        <v>904</v>
      </c>
      <c r="E22873" s="5" t="str">
        <f t="shared" si="1140"/>
        <v>ACTISALUD-ESTADISTICA</v>
      </c>
      <c r="F22873" s="5"/>
      <c r="G22873" s="5"/>
    </row>
    <row r="22874" spans="1:7" ht="58.5" customHeight="1" x14ac:dyDescent="0.25">
      <c r="A22874" s="5" t="str">
        <f>"H0036222"</f>
        <v>H0036222</v>
      </c>
      <c r="B22874" s="5" t="str">
        <f t="shared" si="1141"/>
        <v>ESTANTE CONSTRUIDOS EN LAMINAS METÁLICAS SOLIDAS, RESISTENTES Y ESTABLES CON TRATAMIENTO ANTICORROSIVO, CON 7 ENTREPAÑOS, DE 0.94 CMS DE ANCHO, CON ALTURA DE 2.20MTS Y CADA BANDEJA DEBE SOPORTAR UN PESO DE 100KG/MT LINEA</v>
      </c>
      <c r="C22874" s="6">
        <v>320095.99</v>
      </c>
      <c r="D22874" s="5" t="s">
        <v>904</v>
      </c>
      <c r="E22874" s="5" t="str">
        <f t="shared" si="1140"/>
        <v>ACTISALUD-ESTADISTICA</v>
      </c>
      <c r="F22874" s="5"/>
      <c r="G22874" s="5"/>
    </row>
    <row r="22875" spans="1:7" ht="58.5" customHeight="1" x14ac:dyDescent="0.25">
      <c r="A22875" s="5" t="str">
        <f>"H0036223"</f>
        <v>H0036223</v>
      </c>
      <c r="B22875" s="5" t="str">
        <f t="shared" si="1141"/>
        <v>ESTANTE CONSTRUIDOS EN LAMINAS METÁLICAS SOLIDAS, RESISTENTES Y ESTABLES CON TRATAMIENTO ANTICORROSIVO, CON 7 ENTREPAÑOS, DE 0.94 CMS DE ANCHO, CON ALTURA DE 2.20MTS Y CADA BANDEJA DEBE SOPORTAR UN PESO DE 100KG/MT LINEA</v>
      </c>
      <c r="C22875" s="6">
        <v>320095.99</v>
      </c>
      <c r="D22875" s="5" t="s">
        <v>904</v>
      </c>
      <c r="E22875" s="5" t="str">
        <f t="shared" si="1140"/>
        <v>ACTISALUD-ESTADISTICA</v>
      </c>
      <c r="F22875" s="5"/>
      <c r="G22875" s="5"/>
    </row>
    <row r="22876" spans="1:7" ht="58.5" customHeight="1" x14ac:dyDescent="0.25">
      <c r="A22876" s="5" t="str">
        <f>"H0036224"</f>
        <v>H0036224</v>
      </c>
      <c r="B22876" s="5" t="str">
        <f t="shared" si="1141"/>
        <v>ESTANTE CONSTRUIDOS EN LAMINAS METÁLICAS SOLIDAS, RESISTENTES Y ESTABLES CON TRATAMIENTO ANTICORROSIVO, CON 7 ENTREPAÑOS, DE 0.94 CMS DE ANCHO, CON ALTURA DE 2.20MTS Y CADA BANDEJA DEBE SOPORTAR UN PESO DE 100KG/MT LINEA</v>
      </c>
      <c r="C22876" s="6">
        <v>320095.99</v>
      </c>
      <c r="D22876" s="5" t="s">
        <v>904</v>
      </c>
      <c r="E22876" s="5" t="str">
        <f t="shared" si="1140"/>
        <v>ACTISALUD-ESTADISTICA</v>
      </c>
      <c r="F22876" s="5"/>
      <c r="G22876" s="5"/>
    </row>
    <row r="22877" spans="1:7" ht="58.5" customHeight="1" x14ac:dyDescent="0.25">
      <c r="A22877" s="5" t="str">
        <f>"H0036225"</f>
        <v>H0036225</v>
      </c>
      <c r="B22877" s="5" t="str">
        <f t="shared" si="1141"/>
        <v>ESTANTE CONSTRUIDOS EN LAMINAS METÁLICAS SOLIDAS, RESISTENTES Y ESTABLES CON TRATAMIENTO ANTICORROSIVO, CON 7 ENTREPAÑOS, DE 0.94 CMS DE ANCHO, CON ALTURA DE 2.20MTS Y CADA BANDEJA DEBE SOPORTAR UN PESO DE 100KG/MT LINEA</v>
      </c>
      <c r="C22877" s="6">
        <v>320095.99</v>
      </c>
      <c r="D22877" s="5" t="s">
        <v>904</v>
      </c>
      <c r="E22877" s="5" t="str">
        <f t="shared" si="1140"/>
        <v>ACTISALUD-ESTADISTICA</v>
      </c>
      <c r="F22877" s="5"/>
      <c r="G22877" s="5"/>
    </row>
    <row r="22878" spans="1:7" ht="58.5" customHeight="1" x14ac:dyDescent="0.25">
      <c r="A22878" s="5" t="str">
        <f>"H0036226"</f>
        <v>H0036226</v>
      </c>
      <c r="B22878" s="5" t="str">
        <f t="shared" si="1141"/>
        <v>ESTANTE CONSTRUIDOS EN LAMINAS METÁLICAS SOLIDAS, RESISTENTES Y ESTABLES CON TRATAMIENTO ANTICORROSIVO, CON 7 ENTREPAÑOS, DE 0.94 CMS DE ANCHO, CON ALTURA DE 2.20MTS Y CADA BANDEJA DEBE SOPORTAR UN PESO DE 100KG/MT LINEA</v>
      </c>
      <c r="C22878" s="6">
        <v>320095.99</v>
      </c>
      <c r="D22878" s="5" t="s">
        <v>904</v>
      </c>
      <c r="E22878" s="5" t="str">
        <f t="shared" si="1140"/>
        <v>ACTISALUD-ESTADISTICA</v>
      </c>
      <c r="F22878" s="5"/>
      <c r="G22878" s="5"/>
    </row>
    <row r="22879" spans="1:7" ht="58.5" customHeight="1" x14ac:dyDescent="0.25">
      <c r="A22879" s="5" t="str">
        <f>"H0036227"</f>
        <v>H0036227</v>
      </c>
      <c r="B22879" s="5" t="str">
        <f t="shared" si="1141"/>
        <v>ESTANTE CONSTRUIDOS EN LAMINAS METÁLICAS SOLIDAS, RESISTENTES Y ESTABLES CON TRATAMIENTO ANTICORROSIVO, CON 7 ENTREPAÑOS, DE 0.94 CMS DE ANCHO, CON ALTURA DE 2.20MTS Y CADA BANDEJA DEBE SOPORTAR UN PESO DE 100KG/MT LINEA</v>
      </c>
      <c r="C22879" s="6">
        <v>320095.99</v>
      </c>
      <c r="D22879" s="5" t="s">
        <v>904</v>
      </c>
      <c r="E22879" s="5" t="str">
        <f t="shared" si="1140"/>
        <v>ACTISALUD-ESTADISTICA</v>
      </c>
      <c r="F22879" s="5"/>
      <c r="G22879" s="5"/>
    </row>
    <row r="22880" spans="1:7" ht="58.5" customHeight="1" x14ac:dyDescent="0.25">
      <c r="A22880" s="5" t="str">
        <f>"H0036228"</f>
        <v>H0036228</v>
      </c>
      <c r="B22880" s="5" t="str">
        <f t="shared" si="1141"/>
        <v>ESTANTE CONSTRUIDOS EN LAMINAS METÁLICAS SOLIDAS, RESISTENTES Y ESTABLES CON TRATAMIENTO ANTICORROSIVO, CON 7 ENTREPAÑOS, DE 0.94 CMS DE ANCHO, CON ALTURA DE 2.20MTS Y CADA BANDEJA DEBE SOPORTAR UN PESO DE 100KG/MT LINEA</v>
      </c>
      <c r="C22880" s="6">
        <v>320095.99</v>
      </c>
      <c r="D22880" s="5" t="s">
        <v>904</v>
      </c>
      <c r="E22880" s="5" t="str">
        <f t="shared" si="1140"/>
        <v>ACTISALUD-ESTADISTICA</v>
      </c>
      <c r="F22880" s="5"/>
      <c r="G22880" s="5"/>
    </row>
    <row r="22881" spans="1:7" ht="58.5" customHeight="1" x14ac:dyDescent="0.25">
      <c r="A22881" s="5" t="str">
        <f>"H0036229"</f>
        <v>H0036229</v>
      </c>
      <c r="B22881" s="5" t="str">
        <f t="shared" si="1141"/>
        <v>ESTANTE CONSTRUIDOS EN LAMINAS METÁLICAS SOLIDAS, RESISTENTES Y ESTABLES CON TRATAMIENTO ANTICORROSIVO, CON 7 ENTREPAÑOS, DE 0.94 CMS DE ANCHO, CON ALTURA DE 2.20MTS Y CADA BANDEJA DEBE SOPORTAR UN PESO DE 100KG/MT LINEA</v>
      </c>
      <c r="C22881" s="6">
        <v>320095.99</v>
      </c>
      <c r="D22881" s="5" t="s">
        <v>904</v>
      </c>
      <c r="E22881" s="5" t="str">
        <f t="shared" si="1140"/>
        <v>ACTISALUD-ESTADISTICA</v>
      </c>
      <c r="F22881" s="5"/>
      <c r="G22881" s="5"/>
    </row>
    <row r="22882" spans="1:7" ht="58.5" customHeight="1" x14ac:dyDescent="0.25">
      <c r="A22882" s="5" t="str">
        <f>"H0036230"</f>
        <v>H0036230</v>
      </c>
      <c r="B22882" s="5" t="str">
        <f t="shared" si="1141"/>
        <v>ESTANTE CONSTRUIDOS EN LAMINAS METÁLICAS SOLIDAS, RESISTENTES Y ESTABLES CON TRATAMIENTO ANTICORROSIVO, CON 7 ENTREPAÑOS, DE 0.94 CMS DE ANCHO, CON ALTURA DE 2.20MTS Y CADA BANDEJA DEBE SOPORTAR UN PESO DE 100KG/MT LINEA</v>
      </c>
      <c r="C22882" s="6">
        <v>320095.99</v>
      </c>
      <c r="D22882" s="5" t="s">
        <v>904</v>
      </c>
      <c r="E22882" s="5" t="str">
        <f t="shared" si="1140"/>
        <v>ACTISALUD-ESTADISTICA</v>
      </c>
      <c r="F22882" s="5"/>
      <c r="G22882" s="5"/>
    </row>
    <row r="22883" spans="1:7" ht="58.5" customHeight="1" x14ac:dyDescent="0.25">
      <c r="A22883" s="5" t="str">
        <f>"H0036231"</f>
        <v>H0036231</v>
      </c>
      <c r="B22883" s="5" t="str">
        <f t="shared" si="1141"/>
        <v>ESTANTE CONSTRUIDOS EN LAMINAS METÁLICAS SOLIDAS, RESISTENTES Y ESTABLES CON TRATAMIENTO ANTICORROSIVO, CON 7 ENTREPAÑOS, DE 0.94 CMS DE ANCHO, CON ALTURA DE 2.20MTS Y CADA BANDEJA DEBE SOPORTAR UN PESO DE 100KG/MT LINEA</v>
      </c>
      <c r="C22883" s="6">
        <v>320095.99</v>
      </c>
      <c r="D22883" s="5" t="s">
        <v>904</v>
      </c>
      <c r="E22883" s="5" t="str">
        <f t="shared" si="1140"/>
        <v>ACTISALUD-ESTADISTICA</v>
      </c>
      <c r="F22883" s="5"/>
      <c r="G22883" s="5"/>
    </row>
    <row r="22884" spans="1:7" ht="58.5" customHeight="1" x14ac:dyDescent="0.25">
      <c r="A22884" s="5" t="str">
        <f>"H0036232"</f>
        <v>H0036232</v>
      </c>
      <c r="B22884" s="5" t="str">
        <f t="shared" si="1141"/>
        <v>ESTANTE CONSTRUIDOS EN LAMINAS METÁLICAS SOLIDAS, RESISTENTES Y ESTABLES CON TRATAMIENTO ANTICORROSIVO, CON 7 ENTREPAÑOS, DE 0.94 CMS DE ANCHO, CON ALTURA DE 2.20MTS Y CADA BANDEJA DEBE SOPORTAR UN PESO DE 100KG/MT LINEA</v>
      </c>
      <c r="C22884" s="6">
        <v>320095.99</v>
      </c>
      <c r="D22884" s="5" t="s">
        <v>904</v>
      </c>
      <c r="E22884" s="5" t="str">
        <f t="shared" si="1140"/>
        <v>ACTISALUD-ESTADISTICA</v>
      </c>
      <c r="F22884" s="5"/>
      <c r="G22884" s="5"/>
    </row>
    <row r="22885" spans="1:7" ht="58.5" customHeight="1" x14ac:dyDescent="0.25">
      <c r="A22885" s="5" t="str">
        <f>"H0036233"</f>
        <v>H0036233</v>
      </c>
      <c r="B22885" s="5" t="str">
        <f t="shared" si="1141"/>
        <v>ESTANTE CONSTRUIDOS EN LAMINAS METÁLICAS SOLIDAS, RESISTENTES Y ESTABLES CON TRATAMIENTO ANTICORROSIVO, CON 7 ENTREPAÑOS, DE 0.94 CMS DE ANCHO, CON ALTURA DE 2.20MTS Y CADA BANDEJA DEBE SOPORTAR UN PESO DE 100KG/MT LINEA</v>
      </c>
      <c r="C22885" s="6">
        <v>320095.99</v>
      </c>
      <c r="D22885" s="5" t="s">
        <v>906</v>
      </c>
      <c r="E22885" s="5" t="str">
        <f t="shared" si="1140"/>
        <v>ACTISALUD-ESTADISTICA</v>
      </c>
      <c r="F22885" s="5"/>
      <c r="G22885" s="5"/>
    </row>
    <row r="22886" spans="1:7" ht="58.5" customHeight="1" x14ac:dyDescent="0.25">
      <c r="A22886" s="5" t="str">
        <f>"H0036234"</f>
        <v>H0036234</v>
      </c>
      <c r="B22886" s="5" t="str">
        <f t="shared" si="1141"/>
        <v>ESTANTE CONSTRUIDOS EN LAMINAS METÁLICAS SOLIDAS, RESISTENTES Y ESTABLES CON TRATAMIENTO ANTICORROSIVO, CON 7 ENTREPAÑOS, DE 0.94 CMS DE ANCHO, CON ALTURA DE 2.20MTS Y CADA BANDEJA DEBE SOPORTAR UN PESO DE 100KG/MT LINEA</v>
      </c>
      <c r="C22886" s="6">
        <v>320095.99</v>
      </c>
      <c r="D22886" s="5" t="s">
        <v>904</v>
      </c>
      <c r="E22886" s="5" t="str">
        <f t="shared" si="1140"/>
        <v>ACTISALUD-ESTADISTICA</v>
      </c>
      <c r="F22886" s="5"/>
      <c r="G22886" s="5"/>
    </row>
    <row r="22887" spans="1:7" ht="58.5" customHeight="1" x14ac:dyDescent="0.25">
      <c r="A22887" s="5" t="str">
        <f>"H0036235"</f>
        <v>H0036235</v>
      </c>
      <c r="B22887" s="5" t="str">
        <f t="shared" si="1141"/>
        <v>ESTANTE CONSTRUIDOS EN LAMINAS METÁLICAS SOLIDAS, RESISTENTES Y ESTABLES CON TRATAMIENTO ANTICORROSIVO, CON 7 ENTREPAÑOS, DE 0.94 CMS DE ANCHO, CON ALTURA DE 2.20MTS Y CADA BANDEJA DEBE SOPORTAR UN PESO DE 100KG/MT LINEA</v>
      </c>
      <c r="C22887" s="6">
        <v>320095.99</v>
      </c>
      <c r="D22887" s="5" t="s">
        <v>904</v>
      </c>
      <c r="E22887" s="5" t="str">
        <f t="shared" si="1140"/>
        <v>ACTISALUD-ESTADISTICA</v>
      </c>
      <c r="F22887" s="5"/>
      <c r="G22887" s="5"/>
    </row>
    <row r="22888" spans="1:7" ht="58.5" customHeight="1" x14ac:dyDescent="0.25">
      <c r="A22888" s="5" t="str">
        <f>"H0036236"</f>
        <v>H0036236</v>
      </c>
      <c r="B22888" s="5" t="str">
        <f t="shared" si="1141"/>
        <v>ESTANTE CONSTRUIDOS EN LAMINAS METÁLICAS SOLIDAS, RESISTENTES Y ESTABLES CON TRATAMIENTO ANTICORROSIVO, CON 7 ENTREPAÑOS, DE 0.94 CMS DE ANCHO, CON ALTURA DE 2.20MTS Y CADA BANDEJA DEBE SOPORTAR UN PESO DE 100KG/MT LINEA</v>
      </c>
      <c r="C22888" s="6">
        <v>320095.99</v>
      </c>
      <c r="D22888" s="5" t="s">
        <v>904</v>
      </c>
      <c r="E22888" s="5" t="str">
        <f t="shared" si="1140"/>
        <v>ACTISALUD-ESTADISTICA</v>
      </c>
      <c r="F22888" s="5"/>
      <c r="G22888" s="5"/>
    </row>
    <row r="22889" spans="1:7" ht="58.5" customHeight="1" x14ac:dyDescent="0.25">
      <c r="A22889" s="5" t="str">
        <f>"H0036237"</f>
        <v>H0036237</v>
      </c>
      <c r="B22889" s="5" t="str">
        <f t="shared" si="1141"/>
        <v>ESTANTE CONSTRUIDOS EN LAMINAS METÁLICAS SOLIDAS, RESISTENTES Y ESTABLES CON TRATAMIENTO ANTICORROSIVO, CON 7 ENTREPAÑOS, DE 0.94 CMS DE ANCHO, CON ALTURA DE 2.20MTS Y CADA BANDEJA DEBE SOPORTAR UN PESO DE 100KG/MT LINEA</v>
      </c>
      <c r="C22889" s="6">
        <v>320095.99</v>
      </c>
      <c r="D22889" s="5" t="s">
        <v>904</v>
      </c>
      <c r="E22889" s="5" t="str">
        <f t="shared" si="1140"/>
        <v>ACTISALUD-ESTADISTICA</v>
      </c>
      <c r="F22889" s="5"/>
      <c r="G22889" s="5"/>
    </row>
    <row r="22890" spans="1:7" ht="58.5" customHeight="1" x14ac:dyDescent="0.25">
      <c r="A22890" s="5" t="str">
        <f>"H0036238"</f>
        <v>H0036238</v>
      </c>
      <c r="B22890" s="5" t="str">
        <f t="shared" si="1141"/>
        <v>ESTANTE CONSTRUIDOS EN LAMINAS METÁLICAS SOLIDAS, RESISTENTES Y ESTABLES CON TRATAMIENTO ANTICORROSIVO, CON 7 ENTREPAÑOS, DE 0.94 CMS DE ANCHO, CON ALTURA DE 2.20MTS Y CADA BANDEJA DEBE SOPORTAR UN PESO DE 100KG/MT LINEA</v>
      </c>
      <c r="C22890" s="6">
        <v>320095.99</v>
      </c>
      <c r="D22890" s="5" t="s">
        <v>904</v>
      </c>
      <c r="E22890" s="5" t="str">
        <f t="shared" si="1140"/>
        <v>ACTISALUD-ESTADISTICA</v>
      </c>
      <c r="F22890" s="5"/>
      <c r="G22890" s="5"/>
    </row>
    <row r="22891" spans="1:7" ht="58.5" customHeight="1" x14ac:dyDescent="0.25">
      <c r="A22891" s="5" t="str">
        <f>"H0036239"</f>
        <v>H0036239</v>
      </c>
      <c r="B22891" s="5" t="str">
        <f t="shared" si="1141"/>
        <v>ESTANTE CONSTRUIDOS EN LAMINAS METÁLICAS SOLIDAS, RESISTENTES Y ESTABLES CON TRATAMIENTO ANTICORROSIVO, CON 7 ENTREPAÑOS, DE 0.94 CMS DE ANCHO, CON ALTURA DE 2.20MTS Y CADA BANDEJA DEBE SOPORTAR UN PESO DE 100KG/MT LINEA</v>
      </c>
      <c r="C22891" s="6">
        <v>320095.99</v>
      </c>
      <c r="D22891" s="5" t="s">
        <v>904</v>
      </c>
      <c r="E22891" s="5" t="str">
        <f t="shared" si="1140"/>
        <v>ACTISALUD-ESTADISTICA</v>
      </c>
      <c r="F22891" s="5"/>
      <c r="G22891" s="5"/>
    </row>
    <row r="22892" spans="1:7" ht="58.5" customHeight="1" x14ac:dyDescent="0.25">
      <c r="A22892" s="5" t="str">
        <f>"H0036240"</f>
        <v>H0036240</v>
      </c>
      <c r="B22892" s="5" t="str">
        <f t="shared" si="1141"/>
        <v>ESTANTE CONSTRUIDOS EN LAMINAS METÁLICAS SOLIDAS, RESISTENTES Y ESTABLES CON TRATAMIENTO ANTICORROSIVO, CON 7 ENTREPAÑOS, DE 0.94 CMS DE ANCHO, CON ALTURA DE 2.20MTS Y CADA BANDEJA DEBE SOPORTAR UN PESO DE 100KG/MT LINEA</v>
      </c>
      <c r="C22892" s="6">
        <v>320095.99</v>
      </c>
      <c r="D22892" s="5" t="s">
        <v>904</v>
      </c>
      <c r="E22892" s="5" t="str">
        <f t="shared" si="1140"/>
        <v>ACTISALUD-ESTADISTICA</v>
      </c>
      <c r="F22892" s="5"/>
      <c r="G22892" s="5"/>
    </row>
    <row r="22893" spans="1:7" ht="58.5" customHeight="1" x14ac:dyDescent="0.25">
      <c r="A22893" s="5" t="str">
        <f>"H0036241"</f>
        <v>H0036241</v>
      </c>
      <c r="B22893" s="5" t="str">
        <f t="shared" si="1141"/>
        <v>ESTANTE CONSTRUIDOS EN LAMINAS METÁLICAS SOLIDAS, RESISTENTES Y ESTABLES CON TRATAMIENTO ANTICORROSIVO, CON 7 ENTREPAÑOS, DE 0.94 CMS DE ANCHO, CON ALTURA DE 2.20MTS Y CADA BANDEJA DEBE SOPORTAR UN PESO DE 100KG/MT LINEA</v>
      </c>
      <c r="C22893" s="6">
        <v>320095.99</v>
      </c>
      <c r="D22893" s="5" t="s">
        <v>904</v>
      </c>
      <c r="E22893" s="5" t="str">
        <f t="shared" si="1140"/>
        <v>ACTISALUD-ESTADISTICA</v>
      </c>
      <c r="F22893" s="5"/>
      <c r="G22893" s="5"/>
    </row>
    <row r="22894" spans="1:7" ht="58.5" customHeight="1" x14ac:dyDescent="0.25">
      <c r="A22894" s="5" t="str">
        <f>"H0036242"</f>
        <v>H0036242</v>
      </c>
      <c r="B22894" s="5" t="str">
        <f t="shared" si="1141"/>
        <v>ESTANTE CONSTRUIDOS EN LAMINAS METÁLICAS SOLIDAS, RESISTENTES Y ESTABLES CON TRATAMIENTO ANTICORROSIVO, CON 7 ENTREPAÑOS, DE 0.94 CMS DE ANCHO, CON ALTURA DE 2.20MTS Y CADA BANDEJA DEBE SOPORTAR UN PESO DE 100KG/MT LINEA</v>
      </c>
      <c r="C22894" s="6">
        <v>320095.99</v>
      </c>
      <c r="D22894" s="5" t="s">
        <v>904</v>
      </c>
      <c r="E22894" s="5" t="str">
        <f t="shared" si="1140"/>
        <v>ACTISALUD-ESTADISTICA</v>
      </c>
      <c r="F22894" s="5"/>
      <c r="G22894" s="5"/>
    </row>
    <row r="22895" spans="1:7" ht="58.5" customHeight="1" x14ac:dyDescent="0.25">
      <c r="A22895" s="5" t="str">
        <f>"H0036243"</f>
        <v>H0036243</v>
      </c>
      <c r="B22895" s="5" t="str">
        <f t="shared" si="1141"/>
        <v>ESTANTE CONSTRUIDOS EN LAMINAS METÁLICAS SOLIDAS, RESISTENTES Y ESTABLES CON TRATAMIENTO ANTICORROSIVO, CON 7 ENTREPAÑOS, DE 0.94 CMS DE ANCHO, CON ALTURA DE 2.20MTS Y CADA BANDEJA DEBE SOPORTAR UN PESO DE 100KG/MT LINEA</v>
      </c>
      <c r="C22895" s="6">
        <v>320095.99</v>
      </c>
      <c r="D22895" s="5" t="s">
        <v>904</v>
      </c>
      <c r="E22895" s="5" t="str">
        <f t="shared" si="1140"/>
        <v>ACTISALUD-ESTADISTICA</v>
      </c>
      <c r="F22895" s="5"/>
      <c r="G22895" s="5"/>
    </row>
    <row r="22896" spans="1:7" ht="58.5" customHeight="1" x14ac:dyDescent="0.25">
      <c r="A22896" s="5" t="str">
        <f>"H0036244"</f>
        <v>H0036244</v>
      </c>
      <c r="B22896" s="5" t="str">
        <f t="shared" si="1141"/>
        <v>ESTANTE CONSTRUIDOS EN LAMINAS METÁLICAS SOLIDAS, RESISTENTES Y ESTABLES CON TRATAMIENTO ANTICORROSIVO, CON 7 ENTREPAÑOS, DE 0.94 CMS DE ANCHO, CON ALTURA DE 2.20MTS Y CADA BANDEJA DEBE SOPORTAR UN PESO DE 100KG/MT LINEA</v>
      </c>
      <c r="C22896" s="6">
        <v>320095.99</v>
      </c>
      <c r="D22896" s="5" t="s">
        <v>904</v>
      </c>
      <c r="E22896" s="5" t="str">
        <f t="shared" si="1140"/>
        <v>ACTISALUD-ESTADISTICA</v>
      </c>
      <c r="F22896" s="5"/>
      <c r="G22896" s="5"/>
    </row>
    <row r="22897" spans="1:7" ht="58.5" customHeight="1" x14ac:dyDescent="0.25">
      <c r="A22897" s="5" t="str">
        <f>"H0036245"</f>
        <v>H0036245</v>
      </c>
      <c r="B22897" s="5" t="str">
        <f t="shared" si="1141"/>
        <v>ESTANTE CONSTRUIDOS EN LAMINAS METÁLICAS SOLIDAS, RESISTENTES Y ESTABLES CON TRATAMIENTO ANTICORROSIVO, CON 7 ENTREPAÑOS, DE 0.94 CMS DE ANCHO, CON ALTURA DE 2.20MTS Y CADA BANDEJA DEBE SOPORTAR UN PESO DE 100KG/MT LINEA</v>
      </c>
      <c r="C22897" s="6">
        <v>320095.99</v>
      </c>
      <c r="D22897" s="5" t="s">
        <v>904</v>
      </c>
      <c r="E22897" s="5" t="str">
        <f t="shared" si="1140"/>
        <v>ACTISALUD-ESTADISTICA</v>
      </c>
      <c r="F22897" s="5"/>
      <c r="G22897" s="5"/>
    </row>
    <row r="22898" spans="1:7" ht="58.5" customHeight="1" x14ac:dyDescent="0.25">
      <c r="A22898" s="5" t="str">
        <f>"H0036246"</f>
        <v>H0036246</v>
      </c>
      <c r="B22898" s="5" t="str">
        <f t="shared" si="1141"/>
        <v>ESTANTE CONSTRUIDOS EN LAMINAS METÁLICAS SOLIDAS, RESISTENTES Y ESTABLES CON TRATAMIENTO ANTICORROSIVO, CON 7 ENTREPAÑOS, DE 0.94 CMS DE ANCHO, CON ALTURA DE 2.20MTS Y CADA BANDEJA DEBE SOPORTAR UN PESO DE 100KG/MT LINEA</v>
      </c>
      <c r="C22898" s="6">
        <v>320095.99</v>
      </c>
      <c r="D22898" s="5" t="s">
        <v>904</v>
      </c>
      <c r="E22898" s="5" t="str">
        <f t="shared" si="1140"/>
        <v>ACTISALUD-ESTADISTICA</v>
      </c>
      <c r="F22898" s="5"/>
      <c r="G22898" s="5"/>
    </row>
    <row r="22899" spans="1:7" ht="58.5" customHeight="1" x14ac:dyDescent="0.25">
      <c r="A22899" s="5" t="str">
        <f>"H0036247"</f>
        <v>H0036247</v>
      </c>
      <c r="B22899" s="5" t="str">
        <f t="shared" si="1141"/>
        <v>ESTANTE CONSTRUIDOS EN LAMINAS METÁLICAS SOLIDAS, RESISTENTES Y ESTABLES CON TRATAMIENTO ANTICORROSIVO, CON 7 ENTREPAÑOS, DE 0.94 CMS DE ANCHO, CON ALTURA DE 2.20MTS Y CADA BANDEJA DEBE SOPORTAR UN PESO DE 100KG/MT LINEA</v>
      </c>
      <c r="C22899" s="6">
        <v>320095.99</v>
      </c>
      <c r="D22899" s="5" t="s">
        <v>46</v>
      </c>
      <c r="E22899" s="5" t="str">
        <f t="shared" si="1140"/>
        <v>ACTISALUD-ESTADISTICA</v>
      </c>
      <c r="F22899" s="5"/>
      <c r="G22899" s="5"/>
    </row>
    <row r="22900" spans="1:7" ht="58.5" customHeight="1" x14ac:dyDescent="0.25">
      <c r="A22900" s="5" t="str">
        <f>"H0036248"</f>
        <v>H0036248</v>
      </c>
      <c r="B22900" s="5" t="str">
        <f t="shared" si="1141"/>
        <v>ESTANTE CONSTRUIDOS EN LAMINAS METÁLICAS SOLIDAS, RESISTENTES Y ESTABLES CON TRATAMIENTO ANTICORROSIVO, CON 7 ENTREPAÑOS, DE 0.94 CMS DE ANCHO, CON ALTURA DE 2.20MTS Y CADA BANDEJA DEBE SOPORTAR UN PESO DE 100KG/MT LINEA</v>
      </c>
      <c r="C22900" s="6">
        <v>320095.99</v>
      </c>
      <c r="D22900" s="5" t="s">
        <v>904</v>
      </c>
      <c r="E22900" s="5" t="str">
        <f t="shared" si="1140"/>
        <v>ACTISALUD-ESTADISTICA</v>
      </c>
      <c r="F22900" s="5"/>
      <c r="G22900" s="5"/>
    </row>
    <row r="22901" spans="1:7" ht="58.5" customHeight="1" x14ac:dyDescent="0.25">
      <c r="A22901" s="5" t="str">
        <f>"H0036249"</f>
        <v>H0036249</v>
      </c>
      <c r="B22901" s="5" t="str">
        <f t="shared" si="1141"/>
        <v>ESTANTE CONSTRUIDOS EN LAMINAS METÁLICAS SOLIDAS, RESISTENTES Y ESTABLES CON TRATAMIENTO ANTICORROSIVO, CON 7 ENTREPAÑOS, DE 0.94 CMS DE ANCHO, CON ALTURA DE 2.20MTS Y CADA BANDEJA DEBE SOPORTAR UN PESO DE 100KG/MT LINEA</v>
      </c>
      <c r="C22901" s="6">
        <v>320095.99</v>
      </c>
      <c r="D22901" s="5" t="s">
        <v>904</v>
      </c>
      <c r="E22901" s="5" t="str">
        <f t="shared" si="1140"/>
        <v>ACTISALUD-ESTADISTICA</v>
      </c>
      <c r="F22901" s="5"/>
      <c r="G22901" s="5"/>
    </row>
    <row r="22902" spans="1:7" ht="58.5" customHeight="1" x14ac:dyDescent="0.25">
      <c r="A22902" s="5" t="str">
        <f>"H0036250"</f>
        <v>H0036250</v>
      </c>
      <c r="B22902" s="5" t="str">
        <f t="shared" si="1141"/>
        <v>ESTANTE CONSTRUIDOS EN LAMINAS METÁLICAS SOLIDAS, RESISTENTES Y ESTABLES CON TRATAMIENTO ANTICORROSIVO, CON 7 ENTREPAÑOS, DE 0.94 CMS DE ANCHO, CON ALTURA DE 2.20MTS Y CADA BANDEJA DEBE SOPORTAR UN PESO DE 100KG/MT LINEA</v>
      </c>
      <c r="C22902" s="6">
        <v>320095.99</v>
      </c>
      <c r="D22902" s="5" t="s">
        <v>904</v>
      </c>
      <c r="E22902" s="5" t="str">
        <f t="shared" ref="E22902:E22965" si="1142">"ACTISALUD-ESTADISTICA"</f>
        <v>ACTISALUD-ESTADISTICA</v>
      </c>
      <c r="F22902" s="5"/>
      <c r="G22902" s="5"/>
    </row>
    <row r="22903" spans="1:7" ht="58.5" customHeight="1" x14ac:dyDescent="0.25">
      <c r="A22903" s="5" t="str">
        <f>"H0036251"</f>
        <v>H0036251</v>
      </c>
      <c r="B22903" s="5" t="str">
        <f t="shared" si="1141"/>
        <v>ESTANTE CONSTRUIDOS EN LAMINAS METÁLICAS SOLIDAS, RESISTENTES Y ESTABLES CON TRATAMIENTO ANTICORROSIVO, CON 7 ENTREPAÑOS, DE 0.94 CMS DE ANCHO, CON ALTURA DE 2.20MTS Y CADA BANDEJA DEBE SOPORTAR UN PESO DE 100KG/MT LINEA</v>
      </c>
      <c r="C22903" s="6">
        <v>320095.99</v>
      </c>
      <c r="D22903" s="5" t="s">
        <v>904</v>
      </c>
      <c r="E22903" s="5" t="str">
        <f t="shared" si="1142"/>
        <v>ACTISALUD-ESTADISTICA</v>
      </c>
      <c r="F22903" s="5"/>
      <c r="G22903" s="5"/>
    </row>
    <row r="22904" spans="1:7" ht="58.5" customHeight="1" x14ac:dyDescent="0.25">
      <c r="A22904" s="5" t="str">
        <f>"H0036252"</f>
        <v>H0036252</v>
      </c>
      <c r="B22904" s="5" t="str">
        <f t="shared" si="1141"/>
        <v>ESTANTE CONSTRUIDOS EN LAMINAS METÁLICAS SOLIDAS, RESISTENTES Y ESTABLES CON TRATAMIENTO ANTICORROSIVO, CON 7 ENTREPAÑOS, DE 0.94 CMS DE ANCHO, CON ALTURA DE 2.20MTS Y CADA BANDEJA DEBE SOPORTAR UN PESO DE 100KG/MT LINEA</v>
      </c>
      <c r="C22904" s="6">
        <v>320095.99</v>
      </c>
      <c r="D22904" s="5" t="s">
        <v>904</v>
      </c>
      <c r="E22904" s="5" t="str">
        <f t="shared" si="1142"/>
        <v>ACTISALUD-ESTADISTICA</v>
      </c>
      <c r="F22904" s="5"/>
      <c r="G22904" s="5"/>
    </row>
    <row r="22905" spans="1:7" ht="58.5" customHeight="1" x14ac:dyDescent="0.25">
      <c r="A22905" s="5" t="str">
        <f>"H0036253"</f>
        <v>H0036253</v>
      </c>
      <c r="B22905" s="5" t="str">
        <f t="shared" si="1141"/>
        <v>ESTANTE CONSTRUIDOS EN LAMINAS METÁLICAS SOLIDAS, RESISTENTES Y ESTABLES CON TRATAMIENTO ANTICORROSIVO, CON 7 ENTREPAÑOS, DE 0.94 CMS DE ANCHO, CON ALTURA DE 2.20MTS Y CADA BANDEJA DEBE SOPORTAR UN PESO DE 100KG/MT LINEA</v>
      </c>
      <c r="C22905" s="6">
        <v>320095.99</v>
      </c>
      <c r="D22905" s="5" t="s">
        <v>904</v>
      </c>
      <c r="E22905" s="5" t="str">
        <f t="shared" si="1142"/>
        <v>ACTISALUD-ESTADISTICA</v>
      </c>
      <c r="F22905" s="5"/>
      <c r="G22905" s="5"/>
    </row>
    <row r="22906" spans="1:7" ht="58.5" customHeight="1" x14ac:dyDescent="0.25">
      <c r="A22906" s="5" t="str">
        <f>"H0036254"</f>
        <v>H0036254</v>
      </c>
      <c r="B22906" s="5" t="str">
        <f t="shared" si="1141"/>
        <v>ESTANTE CONSTRUIDOS EN LAMINAS METÁLICAS SOLIDAS, RESISTENTES Y ESTABLES CON TRATAMIENTO ANTICORROSIVO, CON 7 ENTREPAÑOS, DE 0.94 CMS DE ANCHO, CON ALTURA DE 2.20MTS Y CADA BANDEJA DEBE SOPORTAR UN PESO DE 100KG/MT LINEA</v>
      </c>
      <c r="C22906" s="6">
        <v>320095.99</v>
      </c>
      <c r="D22906" s="5" t="s">
        <v>904</v>
      </c>
      <c r="E22906" s="5" t="str">
        <f t="shared" si="1142"/>
        <v>ACTISALUD-ESTADISTICA</v>
      </c>
      <c r="F22906" s="5"/>
      <c r="G22906" s="5"/>
    </row>
    <row r="22907" spans="1:7" ht="58.5" customHeight="1" x14ac:dyDescent="0.25">
      <c r="A22907" s="5" t="str">
        <f>"H0036255"</f>
        <v>H0036255</v>
      </c>
      <c r="B22907" s="5" t="str">
        <f t="shared" si="1141"/>
        <v>ESTANTE CONSTRUIDOS EN LAMINAS METÁLICAS SOLIDAS, RESISTENTES Y ESTABLES CON TRATAMIENTO ANTICORROSIVO, CON 7 ENTREPAÑOS, DE 0.94 CMS DE ANCHO, CON ALTURA DE 2.20MTS Y CADA BANDEJA DEBE SOPORTAR UN PESO DE 100KG/MT LINEA</v>
      </c>
      <c r="C22907" s="6">
        <v>320095.99</v>
      </c>
      <c r="D22907" s="5" t="s">
        <v>904</v>
      </c>
      <c r="E22907" s="5" t="str">
        <f t="shared" si="1142"/>
        <v>ACTISALUD-ESTADISTICA</v>
      </c>
      <c r="F22907" s="5"/>
      <c r="G22907" s="5"/>
    </row>
    <row r="22908" spans="1:7" ht="58.5" customHeight="1" x14ac:dyDescent="0.25">
      <c r="A22908" s="5" t="str">
        <f>"H0036256"</f>
        <v>H0036256</v>
      </c>
      <c r="B22908" s="5" t="str">
        <f t="shared" si="1141"/>
        <v>ESTANTE CONSTRUIDOS EN LAMINAS METÁLICAS SOLIDAS, RESISTENTES Y ESTABLES CON TRATAMIENTO ANTICORROSIVO, CON 7 ENTREPAÑOS, DE 0.94 CMS DE ANCHO, CON ALTURA DE 2.20MTS Y CADA BANDEJA DEBE SOPORTAR UN PESO DE 100KG/MT LINEA</v>
      </c>
      <c r="C22908" s="6">
        <v>320095.99</v>
      </c>
      <c r="D22908" s="5" t="s">
        <v>904</v>
      </c>
      <c r="E22908" s="5" t="str">
        <f t="shared" si="1142"/>
        <v>ACTISALUD-ESTADISTICA</v>
      </c>
      <c r="F22908" s="5"/>
      <c r="G22908" s="5"/>
    </row>
    <row r="22909" spans="1:7" ht="58.5" customHeight="1" x14ac:dyDescent="0.25">
      <c r="A22909" s="5" t="str">
        <f>"H0036257"</f>
        <v>H0036257</v>
      </c>
      <c r="B22909" s="5" t="str">
        <f t="shared" si="1141"/>
        <v>ESTANTE CONSTRUIDOS EN LAMINAS METÁLICAS SOLIDAS, RESISTENTES Y ESTABLES CON TRATAMIENTO ANTICORROSIVO, CON 7 ENTREPAÑOS, DE 0.94 CMS DE ANCHO, CON ALTURA DE 2.20MTS Y CADA BANDEJA DEBE SOPORTAR UN PESO DE 100KG/MT LINEA</v>
      </c>
      <c r="C22909" s="6">
        <v>320095.99</v>
      </c>
      <c r="D22909" s="5" t="s">
        <v>904</v>
      </c>
      <c r="E22909" s="5" t="str">
        <f t="shared" si="1142"/>
        <v>ACTISALUD-ESTADISTICA</v>
      </c>
      <c r="F22909" s="5"/>
      <c r="G22909" s="5"/>
    </row>
    <row r="22910" spans="1:7" ht="58.5" customHeight="1" x14ac:dyDescent="0.25">
      <c r="A22910" s="5" t="str">
        <f>"H0036258"</f>
        <v>H0036258</v>
      </c>
      <c r="B22910" s="5" t="str">
        <f t="shared" si="1141"/>
        <v>ESTANTE CONSTRUIDOS EN LAMINAS METÁLICAS SOLIDAS, RESISTENTES Y ESTABLES CON TRATAMIENTO ANTICORROSIVO, CON 7 ENTREPAÑOS, DE 0.94 CMS DE ANCHO, CON ALTURA DE 2.20MTS Y CADA BANDEJA DEBE SOPORTAR UN PESO DE 100KG/MT LINEA</v>
      </c>
      <c r="C22910" s="6">
        <v>320095.99</v>
      </c>
      <c r="D22910" s="5" t="s">
        <v>904</v>
      </c>
      <c r="E22910" s="5" t="str">
        <f t="shared" si="1142"/>
        <v>ACTISALUD-ESTADISTICA</v>
      </c>
      <c r="F22910" s="5"/>
      <c r="G22910" s="5"/>
    </row>
    <row r="22911" spans="1:7" ht="58.5" customHeight="1" x14ac:dyDescent="0.25">
      <c r="A22911" s="5" t="str">
        <f>"H0036259"</f>
        <v>H0036259</v>
      </c>
      <c r="B22911" s="5" t="str">
        <f t="shared" si="1141"/>
        <v>ESTANTE CONSTRUIDOS EN LAMINAS METÁLICAS SOLIDAS, RESISTENTES Y ESTABLES CON TRATAMIENTO ANTICORROSIVO, CON 7 ENTREPAÑOS, DE 0.94 CMS DE ANCHO, CON ALTURA DE 2.20MTS Y CADA BANDEJA DEBE SOPORTAR UN PESO DE 100KG/MT LINEA</v>
      </c>
      <c r="C22911" s="6">
        <v>320095.99</v>
      </c>
      <c r="D22911" s="5" t="s">
        <v>904</v>
      </c>
      <c r="E22911" s="5" t="str">
        <f t="shared" si="1142"/>
        <v>ACTISALUD-ESTADISTICA</v>
      </c>
      <c r="F22911" s="5"/>
      <c r="G22911" s="5"/>
    </row>
    <row r="22912" spans="1:7" ht="58.5" customHeight="1" x14ac:dyDescent="0.25">
      <c r="A22912" s="5" t="str">
        <f>"H0036260"</f>
        <v>H0036260</v>
      </c>
      <c r="B22912" s="5" t="str">
        <f t="shared" si="1141"/>
        <v>ESTANTE CONSTRUIDOS EN LAMINAS METÁLICAS SOLIDAS, RESISTENTES Y ESTABLES CON TRATAMIENTO ANTICORROSIVO, CON 7 ENTREPAÑOS, DE 0.94 CMS DE ANCHO, CON ALTURA DE 2.20MTS Y CADA BANDEJA DEBE SOPORTAR UN PESO DE 100KG/MT LINEA</v>
      </c>
      <c r="C22912" s="6">
        <v>320095.99</v>
      </c>
      <c r="D22912" s="5" t="s">
        <v>904</v>
      </c>
      <c r="E22912" s="5" t="str">
        <f t="shared" si="1142"/>
        <v>ACTISALUD-ESTADISTICA</v>
      </c>
      <c r="F22912" s="5"/>
      <c r="G22912" s="5"/>
    </row>
    <row r="22913" spans="1:7" ht="58.5" customHeight="1" x14ac:dyDescent="0.25">
      <c r="A22913" s="5" t="str">
        <f>"H0036261"</f>
        <v>H0036261</v>
      </c>
      <c r="B22913" s="5" t="str">
        <f t="shared" si="1141"/>
        <v>ESTANTE CONSTRUIDOS EN LAMINAS METÁLICAS SOLIDAS, RESISTENTES Y ESTABLES CON TRATAMIENTO ANTICORROSIVO, CON 7 ENTREPAÑOS, DE 0.94 CMS DE ANCHO, CON ALTURA DE 2.20MTS Y CADA BANDEJA DEBE SOPORTAR UN PESO DE 100KG/MT LINEA</v>
      </c>
      <c r="C22913" s="6">
        <v>320095.99</v>
      </c>
      <c r="D22913" s="5" t="s">
        <v>904</v>
      </c>
      <c r="E22913" s="5" t="str">
        <f t="shared" si="1142"/>
        <v>ACTISALUD-ESTADISTICA</v>
      </c>
      <c r="F22913" s="5"/>
      <c r="G22913" s="5"/>
    </row>
    <row r="22914" spans="1:7" ht="58.5" customHeight="1" x14ac:dyDescent="0.25">
      <c r="A22914" s="5" t="str">
        <f>"H0036262"</f>
        <v>H0036262</v>
      </c>
      <c r="B22914" s="5" t="str">
        <f t="shared" si="1141"/>
        <v>ESTANTE CONSTRUIDOS EN LAMINAS METÁLICAS SOLIDAS, RESISTENTES Y ESTABLES CON TRATAMIENTO ANTICORROSIVO, CON 7 ENTREPAÑOS, DE 0.94 CMS DE ANCHO, CON ALTURA DE 2.20MTS Y CADA BANDEJA DEBE SOPORTAR UN PESO DE 100KG/MT LINEA</v>
      </c>
      <c r="C22914" s="6">
        <v>320095.99</v>
      </c>
      <c r="D22914" s="5" t="s">
        <v>904</v>
      </c>
      <c r="E22914" s="5" t="str">
        <f t="shared" si="1142"/>
        <v>ACTISALUD-ESTADISTICA</v>
      </c>
      <c r="F22914" s="5"/>
      <c r="G22914" s="5"/>
    </row>
    <row r="22915" spans="1:7" ht="58.5" customHeight="1" x14ac:dyDescent="0.25">
      <c r="A22915" s="5" t="str">
        <f>"H0036263"</f>
        <v>H0036263</v>
      </c>
      <c r="B22915" s="5" t="str">
        <f t="shared" si="1141"/>
        <v>ESTANTE CONSTRUIDOS EN LAMINAS METÁLICAS SOLIDAS, RESISTENTES Y ESTABLES CON TRATAMIENTO ANTICORROSIVO, CON 7 ENTREPAÑOS, DE 0.94 CMS DE ANCHO, CON ALTURA DE 2.20MTS Y CADA BANDEJA DEBE SOPORTAR UN PESO DE 100KG/MT LINEA</v>
      </c>
      <c r="C22915" s="6">
        <v>320095.99</v>
      </c>
      <c r="D22915" s="5" t="s">
        <v>904</v>
      </c>
      <c r="E22915" s="5" t="str">
        <f t="shared" si="1142"/>
        <v>ACTISALUD-ESTADISTICA</v>
      </c>
      <c r="F22915" s="5"/>
      <c r="G22915" s="5"/>
    </row>
    <row r="22916" spans="1:7" ht="58.5" customHeight="1" x14ac:dyDescent="0.25">
      <c r="A22916" s="5" t="str">
        <f>"H0036264"</f>
        <v>H0036264</v>
      </c>
      <c r="B22916" s="5" t="str">
        <f t="shared" si="1141"/>
        <v>ESTANTE CONSTRUIDOS EN LAMINAS METÁLICAS SOLIDAS, RESISTENTES Y ESTABLES CON TRATAMIENTO ANTICORROSIVO, CON 7 ENTREPAÑOS, DE 0.94 CMS DE ANCHO, CON ALTURA DE 2.20MTS Y CADA BANDEJA DEBE SOPORTAR UN PESO DE 100KG/MT LINEA</v>
      </c>
      <c r="C22916" s="6">
        <v>320095.99</v>
      </c>
      <c r="D22916" s="5" t="s">
        <v>904</v>
      </c>
      <c r="E22916" s="5" t="str">
        <f t="shared" si="1142"/>
        <v>ACTISALUD-ESTADISTICA</v>
      </c>
      <c r="F22916" s="5"/>
      <c r="G22916" s="5"/>
    </row>
    <row r="22917" spans="1:7" ht="58.5" customHeight="1" x14ac:dyDescent="0.25">
      <c r="A22917" s="5" t="str">
        <f>"H0036265"</f>
        <v>H0036265</v>
      </c>
      <c r="B22917" s="5" t="str">
        <f t="shared" si="1141"/>
        <v>ESTANTE CONSTRUIDOS EN LAMINAS METÁLICAS SOLIDAS, RESISTENTES Y ESTABLES CON TRATAMIENTO ANTICORROSIVO, CON 7 ENTREPAÑOS, DE 0.94 CMS DE ANCHO, CON ALTURA DE 2.20MTS Y CADA BANDEJA DEBE SOPORTAR UN PESO DE 100KG/MT LINEA</v>
      </c>
      <c r="C22917" s="6">
        <v>320095.99</v>
      </c>
      <c r="D22917" s="5" t="s">
        <v>904</v>
      </c>
      <c r="E22917" s="5" t="str">
        <f t="shared" si="1142"/>
        <v>ACTISALUD-ESTADISTICA</v>
      </c>
      <c r="F22917" s="5"/>
      <c r="G22917" s="5"/>
    </row>
    <row r="22918" spans="1:7" ht="58.5" customHeight="1" x14ac:dyDescent="0.25">
      <c r="A22918" s="5" t="str">
        <f>"H0036266"</f>
        <v>H0036266</v>
      </c>
      <c r="B22918" s="5" t="str">
        <f t="shared" si="1141"/>
        <v>ESTANTE CONSTRUIDOS EN LAMINAS METÁLICAS SOLIDAS, RESISTENTES Y ESTABLES CON TRATAMIENTO ANTICORROSIVO, CON 7 ENTREPAÑOS, DE 0.94 CMS DE ANCHO, CON ALTURA DE 2.20MTS Y CADA BANDEJA DEBE SOPORTAR UN PESO DE 100KG/MT LINEA</v>
      </c>
      <c r="C22918" s="6">
        <v>320095.99</v>
      </c>
      <c r="D22918" s="5" t="s">
        <v>904</v>
      </c>
      <c r="E22918" s="5" t="str">
        <f t="shared" si="1142"/>
        <v>ACTISALUD-ESTADISTICA</v>
      </c>
      <c r="F22918" s="5"/>
      <c r="G22918" s="5"/>
    </row>
    <row r="22919" spans="1:7" ht="58.5" customHeight="1" x14ac:dyDescent="0.25">
      <c r="A22919" s="5" t="str">
        <f>"H0036267"</f>
        <v>H0036267</v>
      </c>
      <c r="B22919" s="5" t="str">
        <f t="shared" si="1141"/>
        <v>ESTANTE CONSTRUIDOS EN LAMINAS METÁLICAS SOLIDAS, RESISTENTES Y ESTABLES CON TRATAMIENTO ANTICORROSIVO, CON 7 ENTREPAÑOS, DE 0.94 CMS DE ANCHO, CON ALTURA DE 2.20MTS Y CADA BANDEJA DEBE SOPORTAR UN PESO DE 100KG/MT LINEA</v>
      </c>
      <c r="C22919" s="6">
        <v>320095.99</v>
      </c>
      <c r="D22919" s="5" t="s">
        <v>904</v>
      </c>
      <c r="E22919" s="5" t="str">
        <f t="shared" si="1142"/>
        <v>ACTISALUD-ESTADISTICA</v>
      </c>
      <c r="F22919" s="5"/>
      <c r="G22919" s="5"/>
    </row>
    <row r="22920" spans="1:7" ht="58.5" customHeight="1" x14ac:dyDescent="0.25">
      <c r="A22920" s="5" t="str">
        <f>"H0036268"</f>
        <v>H0036268</v>
      </c>
      <c r="B22920" s="5" t="str">
        <f t="shared" si="1141"/>
        <v>ESTANTE CONSTRUIDOS EN LAMINAS METÁLICAS SOLIDAS, RESISTENTES Y ESTABLES CON TRATAMIENTO ANTICORROSIVO, CON 7 ENTREPAÑOS, DE 0.94 CMS DE ANCHO, CON ALTURA DE 2.20MTS Y CADA BANDEJA DEBE SOPORTAR UN PESO DE 100KG/MT LINEA</v>
      </c>
      <c r="C22920" s="6">
        <v>320095.99</v>
      </c>
      <c r="D22920" s="5" t="s">
        <v>904</v>
      </c>
      <c r="E22920" s="5" t="str">
        <f t="shared" si="1142"/>
        <v>ACTISALUD-ESTADISTICA</v>
      </c>
      <c r="F22920" s="5"/>
      <c r="G22920" s="5"/>
    </row>
    <row r="22921" spans="1:7" ht="58.5" customHeight="1" x14ac:dyDescent="0.25">
      <c r="A22921" s="5" t="str">
        <f>"H0036269"</f>
        <v>H0036269</v>
      </c>
      <c r="B22921" s="5" t="str">
        <f t="shared" si="1141"/>
        <v>ESTANTE CONSTRUIDOS EN LAMINAS METÁLICAS SOLIDAS, RESISTENTES Y ESTABLES CON TRATAMIENTO ANTICORROSIVO, CON 7 ENTREPAÑOS, DE 0.94 CMS DE ANCHO, CON ALTURA DE 2.20MTS Y CADA BANDEJA DEBE SOPORTAR UN PESO DE 100KG/MT LINEA</v>
      </c>
      <c r="C22921" s="6">
        <v>320095.99</v>
      </c>
      <c r="D22921" s="5" t="s">
        <v>904</v>
      </c>
      <c r="E22921" s="5" t="str">
        <f t="shared" si="1142"/>
        <v>ACTISALUD-ESTADISTICA</v>
      </c>
      <c r="F22921" s="5"/>
      <c r="G22921" s="5"/>
    </row>
    <row r="22922" spans="1:7" ht="58.5" customHeight="1" x14ac:dyDescent="0.25">
      <c r="A22922" s="5" t="str">
        <f>"H0036270"</f>
        <v>H0036270</v>
      </c>
      <c r="B22922" s="5" t="str">
        <f t="shared" si="1141"/>
        <v>ESTANTE CONSTRUIDOS EN LAMINAS METÁLICAS SOLIDAS, RESISTENTES Y ESTABLES CON TRATAMIENTO ANTICORROSIVO, CON 7 ENTREPAÑOS, DE 0.94 CMS DE ANCHO, CON ALTURA DE 2.20MTS Y CADA BANDEJA DEBE SOPORTAR UN PESO DE 100KG/MT LINEA</v>
      </c>
      <c r="C22922" s="6">
        <v>320095.99</v>
      </c>
      <c r="D22922" s="5" t="s">
        <v>904</v>
      </c>
      <c r="E22922" s="5" t="str">
        <f t="shared" si="1142"/>
        <v>ACTISALUD-ESTADISTICA</v>
      </c>
      <c r="F22922" s="5"/>
      <c r="G22922" s="5"/>
    </row>
    <row r="22923" spans="1:7" ht="58.5" customHeight="1" x14ac:dyDescent="0.25">
      <c r="A22923" s="5" t="str">
        <f>"H0036271"</f>
        <v>H0036271</v>
      </c>
      <c r="B22923" s="5" t="str">
        <f t="shared" si="1141"/>
        <v>ESTANTE CONSTRUIDOS EN LAMINAS METÁLICAS SOLIDAS, RESISTENTES Y ESTABLES CON TRATAMIENTO ANTICORROSIVO, CON 7 ENTREPAÑOS, DE 0.94 CMS DE ANCHO, CON ALTURA DE 2.20MTS Y CADA BANDEJA DEBE SOPORTAR UN PESO DE 100KG/MT LINEA</v>
      </c>
      <c r="C22923" s="6">
        <v>320095.99</v>
      </c>
      <c r="D22923" s="5" t="s">
        <v>904</v>
      </c>
      <c r="E22923" s="5" t="str">
        <f t="shared" si="1142"/>
        <v>ACTISALUD-ESTADISTICA</v>
      </c>
      <c r="F22923" s="5"/>
      <c r="G22923" s="5"/>
    </row>
    <row r="22924" spans="1:7" ht="58.5" customHeight="1" x14ac:dyDescent="0.25">
      <c r="A22924" s="5" t="str">
        <f>"H0036272"</f>
        <v>H0036272</v>
      </c>
      <c r="B22924" s="5" t="str">
        <f t="shared" ref="B22924:B22967" si="1143">"ESTANTE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2924" s="6">
        <v>320095.99</v>
      </c>
      <c r="D22924" s="5" t="s">
        <v>904</v>
      </c>
      <c r="E22924" s="5" t="str">
        <f t="shared" si="1142"/>
        <v>ACTISALUD-ESTADISTICA</v>
      </c>
      <c r="F22924" s="5"/>
      <c r="G22924" s="5"/>
    </row>
    <row r="22925" spans="1:7" ht="58.5" customHeight="1" x14ac:dyDescent="0.25">
      <c r="A22925" s="5" t="str">
        <f>"H0036273"</f>
        <v>H0036273</v>
      </c>
      <c r="B22925" s="5" t="str">
        <f t="shared" si="1143"/>
        <v>ESTANTE CONSTRUIDOS EN LAMINAS METÁLICAS SOLIDAS, RESISTENTES Y ESTABLES CON TRATAMIENTO ANTICORROSIVO, CON 7 ENTREPAÑOS, DE 0.94 CMS DE ANCHO, CON ALTURA DE 2.20MTS Y CADA BANDEJA DEBE SOPORTAR UN PESO DE 100KG/MT LINEA</v>
      </c>
      <c r="C22925" s="6">
        <v>320095.99</v>
      </c>
      <c r="D22925" s="5" t="s">
        <v>904</v>
      </c>
      <c r="E22925" s="5" t="str">
        <f t="shared" si="1142"/>
        <v>ACTISALUD-ESTADISTICA</v>
      </c>
      <c r="F22925" s="5"/>
      <c r="G22925" s="5"/>
    </row>
    <row r="22926" spans="1:7" ht="58.5" customHeight="1" x14ac:dyDescent="0.25">
      <c r="A22926" s="5" t="str">
        <f>"H0036274"</f>
        <v>H0036274</v>
      </c>
      <c r="B22926" s="5" t="str">
        <f t="shared" si="1143"/>
        <v>ESTANTE CONSTRUIDOS EN LAMINAS METÁLICAS SOLIDAS, RESISTENTES Y ESTABLES CON TRATAMIENTO ANTICORROSIVO, CON 7 ENTREPAÑOS, DE 0.94 CMS DE ANCHO, CON ALTURA DE 2.20MTS Y CADA BANDEJA DEBE SOPORTAR UN PESO DE 100KG/MT LINEA</v>
      </c>
      <c r="C22926" s="6">
        <v>320095.99</v>
      </c>
      <c r="D22926" s="5" t="s">
        <v>904</v>
      </c>
      <c r="E22926" s="5" t="str">
        <f t="shared" si="1142"/>
        <v>ACTISALUD-ESTADISTICA</v>
      </c>
      <c r="F22926" s="5"/>
      <c r="G22926" s="5"/>
    </row>
    <row r="22927" spans="1:7" ht="58.5" customHeight="1" x14ac:dyDescent="0.25">
      <c r="A22927" s="5" t="str">
        <f>"H0036275"</f>
        <v>H0036275</v>
      </c>
      <c r="B22927" s="5" t="str">
        <f t="shared" si="1143"/>
        <v>ESTANTE CONSTRUIDOS EN LAMINAS METÁLICAS SOLIDAS, RESISTENTES Y ESTABLES CON TRATAMIENTO ANTICORROSIVO, CON 7 ENTREPAÑOS, DE 0.94 CMS DE ANCHO, CON ALTURA DE 2.20MTS Y CADA BANDEJA DEBE SOPORTAR UN PESO DE 100KG/MT LINEA</v>
      </c>
      <c r="C22927" s="6">
        <v>320095.99</v>
      </c>
      <c r="D22927" s="5" t="s">
        <v>904</v>
      </c>
      <c r="E22927" s="5" t="str">
        <f t="shared" si="1142"/>
        <v>ACTISALUD-ESTADISTICA</v>
      </c>
      <c r="F22927" s="5"/>
      <c r="G22927" s="5"/>
    </row>
    <row r="22928" spans="1:7" ht="58.5" customHeight="1" x14ac:dyDescent="0.25">
      <c r="A22928" s="5" t="str">
        <f>"H0036276"</f>
        <v>H0036276</v>
      </c>
      <c r="B22928" s="5" t="str">
        <f t="shared" si="1143"/>
        <v>ESTANTE CONSTRUIDOS EN LAMINAS METÁLICAS SOLIDAS, RESISTENTES Y ESTABLES CON TRATAMIENTO ANTICORROSIVO, CON 7 ENTREPAÑOS, DE 0.94 CMS DE ANCHO, CON ALTURA DE 2.20MTS Y CADA BANDEJA DEBE SOPORTAR UN PESO DE 100KG/MT LINEA</v>
      </c>
      <c r="C22928" s="6">
        <v>320095.99</v>
      </c>
      <c r="D22928" s="5" t="s">
        <v>904</v>
      </c>
      <c r="E22928" s="5" t="str">
        <f t="shared" si="1142"/>
        <v>ACTISALUD-ESTADISTICA</v>
      </c>
      <c r="F22928" s="5"/>
      <c r="G22928" s="5"/>
    </row>
    <row r="22929" spans="1:7" ht="58.5" customHeight="1" x14ac:dyDescent="0.25">
      <c r="A22929" s="5" t="str">
        <f>"H0036277"</f>
        <v>H0036277</v>
      </c>
      <c r="B22929" s="5" t="str">
        <f t="shared" si="1143"/>
        <v>ESTANTE CONSTRUIDOS EN LAMINAS METÁLICAS SOLIDAS, RESISTENTES Y ESTABLES CON TRATAMIENTO ANTICORROSIVO, CON 7 ENTREPAÑOS, DE 0.94 CMS DE ANCHO, CON ALTURA DE 2.20MTS Y CADA BANDEJA DEBE SOPORTAR UN PESO DE 100KG/MT LINEA</v>
      </c>
      <c r="C22929" s="6">
        <v>320095.99</v>
      </c>
      <c r="D22929" s="5" t="s">
        <v>904</v>
      </c>
      <c r="E22929" s="5" t="str">
        <f t="shared" si="1142"/>
        <v>ACTISALUD-ESTADISTICA</v>
      </c>
      <c r="F22929" s="5"/>
      <c r="G22929" s="5"/>
    </row>
    <row r="22930" spans="1:7" ht="58.5" customHeight="1" x14ac:dyDescent="0.25">
      <c r="A22930" s="5" t="str">
        <f>"H0036278"</f>
        <v>H0036278</v>
      </c>
      <c r="B22930" s="5" t="str">
        <f t="shared" si="1143"/>
        <v>ESTANTE CONSTRUIDOS EN LAMINAS METÁLICAS SOLIDAS, RESISTENTES Y ESTABLES CON TRATAMIENTO ANTICORROSIVO, CON 7 ENTREPAÑOS, DE 0.94 CMS DE ANCHO, CON ALTURA DE 2.20MTS Y CADA BANDEJA DEBE SOPORTAR UN PESO DE 100KG/MT LINEA</v>
      </c>
      <c r="C22930" s="6">
        <v>320095.99</v>
      </c>
      <c r="D22930" s="5" t="s">
        <v>904</v>
      </c>
      <c r="E22930" s="5" t="str">
        <f t="shared" si="1142"/>
        <v>ACTISALUD-ESTADISTICA</v>
      </c>
      <c r="F22930" s="5"/>
      <c r="G22930" s="5"/>
    </row>
    <row r="22931" spans="1:7" ht="58.5" customHeight="1" x14ac:dyDescent="0.25">
      <c r="A22931" s="5" t="str">
        <f>"H0036279"</f>
        <v>H0036279</v>
      </c>
      <c r="B22931" s="5" t="str">
        <f t="shared" si="1143"/>
        <v>ESTANTE CONSTRUIDOS EN LAMINAS METÁLICAS SOLIDAS, RESISTENTES Y ESTABLES CON TRATAMIENTO ANTICORROSIVO, CON 7 ENTREPAÑOS, DE 0.94 CMS DE ANCHO, CON ALTURA DE 2.20MTS Y CADA BANDEJA DEBE SOPORTAR UN PESO DE 100KG/MT LINEA</v>
      </c>
      <c r="C22931" s="6">
        <v>320095.99</v>
      </c>
      <c r="D22931" s="5" t="s">
        <v>904</v>
      </c>
      <c r="E22931" s="5" t="str">
        <f t="shared" si="1142"/>
        <v>ACTISALUD-ESTADISTICA</v>
      </c>
      <c r="F22931" s="5"/>
      <c r="G22931" s="5"/>
    </row>
    <row r="22932" spans="1:7" ht="58.5" customHeight="1" x14ac:dyDescent="0.25">
      <c r="A22932" s="5" t="str">
        <f>"H0036280"</f>
        <v>H0036280</v>
      </c>
      <c r="B22932" s="5" t="str">
        <f t="shared" si="1143"/>
        <v>ESTANTE CONSTRUIDOS EN LAMINAS METÁLICAS SOLIDAS, RESISTENTES Y ESTABLES CON TRATAMIENTO ANTICORROSIVO, CON 7 ENTREPAÑOS, DE 0.94 CMS DE ANCHO, CON ALTURA DE 2.20MTS Y CADA BANDEJA DEBE SOPORTAR UN PESO DE 100KG/MT LINEA</v>
      </c>
      <c r="C22932" s="6">
        <v>320095.99</v>
      </c>
      <c r="D22932" s="5" t="s">
        <v>904</v>
      </c>
      <c r="E22932" s="5" t="str">
        <f t="shared" si="1142"/>
        <v>ACTISALUD-ESTADISTICA</v>
      </c>
      <c r="F22932" s="5"/>
      <c r="G22932" s="5"/>
    </row>
    <row r="22933" spans="1:7" ht="58.5" customHeight="1" x14ac:dyDescent="0.25">
      <c r="A22933" s="5" t="str">
        <f>"H0036281"</f>
        <v>H0036281</v>
      </c>
      <c r="B22933" s="5" t="str">
        <f t="shared" si="1143"/>
        <v>ESTANTE CONSTRUIDOS EN LAMINAS METÁLICAS SOLIDAS, RESISTENTES Y ESTABLES CON TRATAMIENTO ANTICORROSIVO, CON 7 ENTREPAÑOS, DE 0.94 CMS DE ANCHO, CON ALTURA DE 2.20MTS Y CADA BANDEJA DEBE SOPORTAR UN PESO DE 100KG/MT LINEA</v>
      </c>
      <c r="C22933" s="6">
        <v>320095.99</v>
      </c>
      <c r="D22933" s="5" t="s">
        <v>904</v>
      </c>
      <c r="E22933" s="5" t="str">
        <f t="shared" si="1142"/>
        <v>ACTISALUD-ESTADISTICA</v>
      </c>
      <c r="F22933" s="5"/>
      <c r="G22933" s="5"/>
    </row>
    <row r="22934" spans="1:7" ht="58.5" customHeight="1" x14ac:dyDescent="0.25">
      <c r="A22934" s="5" t="str">
        <f>"H0036282"</f>
        <v>H0036282</v>
      </c>
      <c r="B22934" s="5" t="str">
        <f t="shared" si="1143"/>
        <v>ESTANTE CONSTRUIDOS EN LAMINAS METÁLICAS SOLIDAS, RESISTENTES Y ESTABLES CON TRATAMIENTO ANTICORROSIVO, CON 7 ENTREPAÑOS, DE 0.94 CMS DE ANCHO, CON ALTURA DE 2.20MTS Y CADA BANDEJA DEBE SOPORTAR UN PESO DE 100KG/MT LINEA</v>
      </c>
      <c r="C22934" s="6">
        <v>320095.99</v>
      </c>
      <c r="D22934" s="5" t="s">
        <v>904</v>
      </c>
      <c r="E22934" s="5" t="str">
        <f t="shared" si="1142"/>
        <v>ACTISALUD-ESTADISTICA</v>
      </c>
      <c r="F22934" s="5"/>
      <c r="G22934" s="5"/>
    </row>
    <row r="22935" spans="1:7" ht="58.5" customHeight="1" x14ac:dyDescent="0.25">
      <c r="A22935" s="5" t="str">
        <f>"H0036283"</f>
        <v>H0036283</v>
      </c>
      <c r="B22935" s="5" t="str">
        <f t="shared" si="1143"/>
        <v>ESTANTE CONSTRUIDOS EN LAMINAS METÁLICAS SOLIDAS, RESISTENTES Y ESTABLES CON TRATAMIENTO ANTICORROSIVO, CON 7 ENTREPAÑOS, DE 0.94 CMS DE ANCHO, CON ALTURA DE 2.20MTS Y CADA BANDEJA DEBE SOPORTAR UN PESO DE 100KG/MT LINEA</v>
      </c>
      <c r="C22935" s="6">
        <v>320095.99</v>
      </c>
      <c r="D22935" s="5" t="s">
        <v>904</v>
      </c>
      <c r="E22935" s="5" t="str">
        <f t="shared" si="1142"/>
        <v>ACTISALUD-ESTADISTICA</v>
      </c>
      <c r="F22935" s="5"/>
      <c r="G22935" s="5"/>
    </row>
    <row r="22936" spans="1:7" ht="58.5" customHeight="1" x14ac:dyDescent="0.25">
      <c r="A22936" s="5" t="str">
        <f>"H0036284"</f>
        <v>H0036284</v>
      </c>
      <c r="B22936" s="5" t="str">
        <f t="shared" si="1143"/>
        <v>ESTANTE CONSTRUIDOS EN LAMINAS METÁLICAS SOLIDAS, RESISTENTES Y ESTABLES CON TRATAMIENTO ANTICORROSIVO, CON 7 ENTREPAÑOS, DE 0.94 CMS DE ANCHO, CON ALTURA DE 2.20MTS Y CADA BANDEJA DEBE SOPORTAR UN PESO DE 100KG/MT LINEA</v>
      </c>
      <c r="C22936" s="6">
        <v>320095.99</v>
      </c>
      <c r="D22936" s="5" t="s">
        <v>904</v>
      </c>
      <c r="E22936" s="5" t="str">
        <f t="shared" si="1142"/>
        <v>ACTISALUD-ESTADISTICA</v>
      </c>
      <c r="F22936" s="5"/>
      <c r="G22936" s="5"/>
    </row>
    <row r="22937" spans="1:7" ht="58.5" customHeight="1" x14ac:dyDescent="0.25">
      <c r="A22937" s="5" t="str">
        <f>"H0036285"</f>
        <v>H0036285</v>
      </c>
      <c r="B22937" s="5" t="str">
        <f t="shared" si="1143"/>
        <v>ESTANTE CONSTRUIDOS EN LAMINAS METÁLICAS SOLIDAS, RESISTENTES Y ESTABLES CON TRATAMIENTO ANTICORROSIVO, CON 7 ENTREPAÑOS, DE 0.94 CMS DE ANCHO, CON ALTURA DE 2.20MTS Y CADA BANDEJA DEBE SOPORTAR UN PESO DE 100KG/MT LINEA</v>
      </c>
      <c r="C22937" s="6">
        <v>320095.99</v>
      </c>
      <c r="D22937" s="5" t="s">
        <v>904</v>
      </c>
      <c r="E22937" s="5" t="str">
        <f t="shared" si="1142"/>
        <v>ACTISALUD-ESTADISTICA</v>
      </c>
      <c r="F22937" s="5"/>
      <c r="G22937" s="5"/>
    </row>
    <row r="22938" spans="1:7" ht="58.5" customHeight="1" x14ac:dyDescent="0.25">
      <c r="A22938" s="5" t="str">
        <f>"H0036286"</f>
        <v>H0036286</v>
      </c>
      <c r="B22938" s="5" t="str">
        <f t="shared" si="1143"/>
        <v>ESTANTE CONSTRUIDOS EN LAMINAS METÁLICAS SOLIDAS, RESISTENTES Y ESTABLES CON TRATAMIENTO ANTICORROSIVO, CON 7 ENTREPAÑOS, DE 0.94 CMS DE ANCHO, CON ALTURA DE 2.20MTS Y CADA BANDEJA DEBE SOPORTAR UN PESO DE 100KG/MT LINEA</v>
      </c>
      <c r="C22938" s="6">
        <v>320095.99</v>
      </c>
      <c r="D22938" s="5" t="s">
        <v>904</v>
      </c>
      <c r="E22938" s="5" t="str">
        <f t="shared" si="1142"/>
        <v>ACTISALUD-ESTADISTICA</v>
      </c>
      <c r="F22938" s="5"/>
      <c r="G22938" s="5"/>
    </row>
    <row r="22939" spans="1:7" ht="58.5" customHeight="1" x14ac:dyDescent="0.25">
      <c r="A22939" s="5" t="str">
        <f>"H0036287"</f>
        <v>H0036287</v>
      </c>
      <c r="B22939" s="5" t="str">
        <f t="shared" si="1143"/>
        <v>ESTANTE CONSTRUIDOS EN LAMINAS METÁLICAS SOLIDAS, RESISTENTES Y ESTABLES CON TRATAMIENTO ANTICORROSIVO, CON 7 ENTREPAÑOS, DE 0.94 CMS DE ANCHO, CON ALTURA DE 2.20MTS Y CADA BANDEJA DEBE SOPORTAR UN PESO DE 100KG/MT LINEA</v>
      </c>
      <c r="C22939" s="6">
        <v>320095.99</v>
      </c>
      <c r="D22939" s="5" t="s">
        <v>904</v>
      </c>
      <c r="E22939" s="5" t="str">
        <f t="shared" si="1142"/>
        <v>ACTISALUD-ESTADISTICA</v>
      </c>
      <c r="F22939" s="5"/>
      <c r="G22939" s="5"/>
    </row>
    <row r="22940" spans="1:7" ht="58.5" customHeight="1" x14ac:dyDescent="0.25">
      <c r="A22940" s="5" t="str">
        <f>"H0036288"</f>
        <v>H0036288</v>
      </c>
      <c r="B22940" s="5" t="str">
        <f t="shared" si="1143"/>
        <v>ESTANTE CONSTRUIDOS EN LAMINAS METÁLICAS SOLIDAS, RESISTENTES Y ESTABLES CON TRATAMIENTO ANTICORROSIVO, CON 7 ENTREPAÑOS, DE 0.94 CMS DE ANCHO, CON ALTURA DE 2.20MTS Y CADA BANDEJA DEBE SOPORTAR UN PESO DE 100KG/MT LINEA</v>
      </c>
      <c r="C22940" s="6">
        <v>320095.99</v>
      </c>
      <c r="D22940" s="5" t="s">
        <v>904</v>
      </c>
      <c r="E22940" s="5" t="str">
        <f t="shared" si="1142"/>
        <v>ACTISALUD-ESTADISTICA</v>
      </c>
      <c r="F22940" s="5"/>
      <c r="G22940" s="5"/>
    </row>
    <row r="22941" spans="1:7" ht="58.5" customHeight="1" x14ac:dyDescent="0.25">
      <c r="A22941" s="5" t="str">
        <f>"H0036289"</f>
        <v>H0036289</v>
      </c>
      <c r="B22941" s="5" t="str">
        <f t="shared" si="1143"/>
        <v>ESTANTE CONSTRUIDOS EN LAMINAS METÁLICAS SOLIDAS, RESISTENTES Y ESTABLES CON TRATAMIENTO ANTICORROSIVO, CON 7 ENTREPAÑOS, DE 0.94 CMS DE ANCHO, CON ALTURA DE 2.20MTS Y CADA BANDEJA DEBE SOPORTAR UN PESO DE 100KG/MT LINEA</v>
      </c>
      <c r="C22941" s="6">
        <v>320095.99</v>
      </c>
      <c r="D22941" s="5" t="s">
        <v>904</v>
      </c>
      <c r="E22941" s="5" t="str">
        <f t="shared" si="1142"/>
        <v>ACTISALUD-ESTADISTICA</v>
      </c>
      <c r="F22941" s="5"/>
      <c r="G22941" s="5"/>
    </row>
    <row r="22942" spans="1:7" ht="58.5" customHeight="1" x14ac:dyDescent="0.25">
      <c r="A22942" s="5" t="str">
        <f>"H0036290"</f>
        <v>H0036290</v>
      </c>
      <c r="B22942" s="5" t="str">
        <f t="shared" si="1143"/>
        <v>ESTANTE CONSTRUIDOS EN LAMINAS METÁLICAS SOLIDAS, RESISTENTES Y ESTABLES CON TRATAMIENTO ANTICORROSIVO, CON 7 ENTREPAÑOS, DE 0.94 CMS DE ANCHO, CON ALTURA DE 2.20MTS Y CADA BANDEJA DEBE SOPORTAR UN PESO DE 100KG/MT LINEA</v>
      </c>
      <c r="C22942" s="6">
        <v>320095.99</v>
      </c>
      <c r="D22942" s="5" t="s">
        <v>904</v>
      </c>
      <c r="E22942" s="5" t="str">
        <f t="shared" si="1142"/>
        <v>ACTISALUD-ESTADISTICA</v>
      </c>
      <c r="F22942" s="5"/>
      <c r="G22942" s="5"/>
    </row>
    <row r="22943" spans="1:7" ht="58.5" customHeight="1" x14ac:dyDescent="0.25">
      <c r="A22943" s="5" t="str">
        <f>"H0036291"</f>
        <v>H0036291</v>
      </c>
      <c r="B22943" s="5" t="str">
        <f t="shared" si="1143"/>
        <v>ESTANTE CONSTRUIDOS EN LAMINAS METÁLICAS SOLIDAS, RESISTENTES Y ESTABLES CON TRATAMIENTO ANTICORROSIVO, CON 7 ENTREPAÑOS, DE 0.94 CMS DE ANCHO, CON ALTURA DE 2.20MTS Y CADA BANDEJA DEBE SOPORTAR UN PESO DE 100KG/MT LINEA</v>
      </c>
      <c r="C22943" s="6">
        <v>320095.99</v>
      </c>
      <c r="D22943" s="5" t="s">
        <v>904</v>
      </c>
      <c r="E22943" s="5" t="str">
        <f t="shared" si="1142"/>
        <v>ACTISALUD-ESTADISTICA</v>
      </c>
      <c r="F22943" s="5"/>
      <c r="G22943" s="5"/>
    </row>
    <row r="22944" spans="1:7" ht="58.5" customHeight="1" x14ac:dyDescent="0.25">
      <c r="A22944" s="5" t="str">
        <f>"H0036292"</f>
        <v>H0036292</v>
      </c>
      <c r="B22944" s="5" t="str">
        <f t="shared" si="1143"/>
        <v>ESTANTE CONSTRUIDOS EN LAMINAS METÁLICAS SOLIDAS, RESISTENTES Y ESTABLES CON TRATAMIENTO ANTICORROSIVO, CON 7 ENTREPAÑOS, DE 0.94 CMS DE ANCHO, CON ALTURA DE 2.20MTS Y CADA BANDEJA DEBE SOPORTAR UN PESO DE 100KG/MT LINEA</v>
      </c>
      <c r="C22944" s="6">
        <v>320095.99</v>
      </c>
      <c r="D22944" s="5" t="s">
        <v>904</v>
      </c>
      <c r="E22944" s="5" t="str">
        <f t="shared" si="1142"/>
        <v>ACTISALUD-ESTADISTICA</v>
      </c>
      <c r="F22944" s="5"/>
      <c r="G22944" s="5"/>
    </row>
    <row r="22945" spans="1:7" ht="58.5" customHeight="1" x14ac:dyDescent="0.25">
      <c r="A22945" s="5" t="str">
        <f>"H0036293"</f>
        <v>H0036293</v>
      </c>
      <c r="B22945" s="5" t="str">
        <f t="shared" si="1143"/>
        <v>ESTANTE CONSTRUIDOS EN LAMINAS METÁLICAS SOLIDAS, RESISTENTES Y ESTABLES CON TRATAMIENTO ANTICORROSIVO, CON 7 ENTREPAÑOS, DE 0.94 CMS DE ANCHO, CON ALTURA DE 2.20MTS Y CADA BANDEJA DEBE SOPORTAR UN PESO DE 100KG/MT LINEA</v>
      </c>
      <c r="C22945" s="6">
        <v>320095.99</v>
      </c>
      <c r="D22945" s="5" t="s">
        <v>904</v>
      </c>
      <c r="E22945" s="5" t="str">
        <f t="shared" si="1142"/>
        <v>ACTISALUD-ESTADISTICA</v>
      </c>
      <c r="F22945" s="5"/>
      <c r="G22945" s="5"/>
    </row>
    <row r="22946" spans="1:7" ht="58.5" customHeight="1" x14ac:dyDescent="0.25">
      <c r="A22946" s="5" t="str">
        <f>"H0036294"</f>
        <v>H0036294</v>
      </c>
      <c r="B22946" s="5" t="str">
        <f t="shared" si="1143"/>
        <v>ESTANTE CONSTRUIDOS EN LAMINAS METÁLICAS SOLIDAS, RESISTENTES Y ESTABLES CON TRATAMIENTO ANTICORROSIVO, CON 7 ENTREPAÑOS, DE 0.94 CMS DE ANCHO, CON ALTURA DE 2.20MTS Y CADA BANDEJA DEBE SOPORTAR UN PESO DE 100KG/MT LINEA</v>
      </c>
      <c r="C22946" s="6">
        <v>320095.99</v>
      </c>
      <c r="D22946" s="5" t="s">
        <v>904</v>
      </c>
      <c r="E22946" s="5" t="str">
        <f t="shared" si="1142"/>
        <v>ACTISALUD-ESTADISTICA</v>
      </c>
      <c r="F22946" s="5"/>
      <c r="G22946" s="5"/>
    </row>
    <row r="22947" spans="1:7" ht="58.5" customHeight="1" x14ac:dyDescent="0.25">
      <c r="A22947" s="5" t="str">
        <f>"H0036295"</f>
        <v>H0036295</v>
      </c>
      <c r="B22947" s="5" t="str">
        <f t="shared" si="1143"/>
        <v>ESTANTE CONSTRUIDOS EN LAMINAS METÁLICAS SOLIDAS, RESISTENTES Y ESTABLES CON TRATAMIENTO ANTICORROSIVO, CON 7 ENTREPAÑOS, DE 0.94 CMS DE ANCHO, CON ALTURA DE 2.20MTS Y CADA BANDEJA DEBE SOPORTAR UN PESO DE 100KG/MT LINEA</v>
      </c>
      <c r="C22947" s="6">
        <v>320095.99</v>
      </c>
      <c r="D22947" s="5" t="s">
        <v>904</v>
      </c>
      <c r="E22947" s="5" t="str">
        <f t="shared" si="1142"/>
        <v>ACTISALUD-ESTADISTICA</v>
      </c>
      <c r="F22947" s="5"/>
      <c r="G22947" s="5"/>
    </row>
    <row r="22948" spans="1:7" ht="58.5" customHeight="1" x14ac:dyDescent="0.25">
      <c r="A22948" s="5" t="str">
        <f>"H0036296"</f>
        <v>H0036296</v>
      </c>
      <c r="B22948" s="5" t="str">
        <f t="shared" si="1143"/>
        <v>ESTANTE CONSTRUIDOS EN LAMINAS METÁLICAS SOLIDAS, RESISTENTES Y ESTABLES CON TRATAMIENTO ANTICORROSIVO, CON 7 ENTREPAÑOS, DE 0.94 CMS DE ANCHO, CON ALTURA DE 2.20MTS Y CADA BANDEJA DEBE SOPORTAR UN PESO DE 100KG/MT LINEA</v>
      </c>
      <c r="C22948" s="6">
        <v>320095.99</v>
      </c>
      <c r="D22948" s="5" t="s">
        <v>904</v>
      </c>
      <c r="E22948" s="5" t="str">
        <f t="shared" si="1142"/>
        <v>ACTISALUD-ESTADISTICA</v>
      </c>
      <c r="F22948" s="5"/>
      <c r="G22948" s="5"/>
    </row>
    <row r="22949" spans="1:7" ht="58.5" customHeight="1" x14ac:dyDescent="0.25">
      <c r="A22949" s="5" t="str">
        <f>"H0036297"</f>
        <v>H0036297</v>
      </c>
      <c r="B22949" s="5" t="str">
        <f t="shared" si="1143"/>
        <v>ESTANTE CONSTRUIDOS EN LAMINAS METÁLICAS SOLIDAS, RESISTENTES Y ESTABLES CON TRATAMIENTO ANTICORROSIVO, CON 7 ENTREPAÑOS, DE 0.94 CMS DE ANCHO, CON ALTURA DE 2.20MTS Y CADA BANDEJA DEBE SOPORTAR UN PESO DE 100KG/MT LINEA</v>
      </c>
      <c r="C22949" s="6">
        <v>320095.99</v>
      </c>
      <c r="D22949" s="5" t="s">
        <v>904</v>
      </c>
      <c r="E22949" s="5" t="str">
        <f t="shared" si="1142"/>
        <v>ACTISALUD-ESTADISTICA</v>
      </c>
      <c r="F22949" s="5"/>
      <c r="G22949" s="5"/>
    </row>
    <row r="22950" spans="1:7" ht="58.5" customHeight="1" x14ac:dyDescent="0.25">
      <c r="A22950" s="5" t="str">
        <f>"H0036298"</f>
        <v>H0036298</v>
      </c>
      <c r="B22950" s="5" t="str">
        <f t="shared" si="1143"/>
        <v>ESTANTE CONSTRUIDOS EN LAMINAS METÁLICAS SOLIDAS, RESISTENTES Y ESTABLES CON TRATAMIENTO ANTICORROSIVO, CON 7 ENTREPAÑOS, DE 0.94 CMS DE ANCHO, CON ALTURA DE 2.20MTS Y CADA BANDEJA DEBE SOPORTAR UN PESO DE 100KG/MT LINEA</v>
      </c>
      <c r="C22950" s="6">
        <v>320095.99</v>
      </c>
      <c r="D22950" s="5" t="s">
        <v>904</v>
      </c>
      <c r="E22950" s="5" t="str">
        <f t="shared" si="1142"/>
        <v>ACTISALUD-ESTADISTICA</v>
      </c>
      <c r="F22950" s="5"/>
      <c r="G22950" s="5"/>
    </row>
    <row r="22951" spans="1:7" ht="58.5" customHeight="1" x14ac:dyDescent="0.25">
      <c r="A22951" s="5" t="str">
        <f>"H0036299"</f>
        <v>H0036299</v>
      </c>
      <c r="B22951" s="5" t="str">
        <f t="shared" si="1143"/>
        <v>ESTANTE CONSTRUIDOS EN LAMINAS METÁLICAS SOLIDAS, RESISTENTES Y ESTABLES CON TRATAMIENTO ANTICORROSIVO, CON 7 ENTREPAÑOS, DE 0.94 CMS DE ANCHO, CON ALTURA DE 2.20MTS Y CADA BANDEJA DEBE SOPORTAR UN PESO DE 100KG/MT LINEA</v>
      </c>
      <c r="C22951" s="6">
        <v>320095.99</v>
      </c>
      <c r="D22951" s="5" t="s">
        <v>904</v>
      </c>
      <c r="E22951" s="5" t="str">
        <f t="shared" si="1142"/>
        <v>ACTISALUD-ESTADISTICA</v>
      </c>
      <c r="F22951" s="5"/>
      <c r="G22951" s="5"/>
    </row>
    <row r="22952" spans="1:7" ht="58.5" customHeight="1" x14ac:dyDescent="0.25">
      <c r="A22952" s="5" t="str">
        <f>"H0036300"</f>
        <v>H0036300</v>
      </c>
      <c r="B22952" s="5" t="str">
        <f t="shared" si="1143"/>
        <v>ESTANTE CONSTRUIDOS EN LAMINAS METÁLICAS SOLIDAS, RESISTENTES Y ESTABLES CON TRATAMIENTO ANTICORROSIVO, CON 7 ENTREPAÑOS, DE 0.94 CMS DE ANCHO, CON ALTURA DE 2.20MTS Y CADA BANDEJA DEBE SOPORTAR UN PESO DE 100KG/MT LINEA</v>
      </c>
      <c r="C22952" s="6">
        <v>320095.99</v>
      </c>
      <c r="D22952" s="5" t="s">
        <v>904</v>
      </c>
      <c r="E22952" s="5" t="str">
        <f t="shared" si="1142"/>
        <v>ACTISALUD-ESTADISTICA</v>
      </c>
      <c r="F22952" s="5"/>
      <c r="G22952" s="5"/>
    </row>
    <row r="22953" spans="1:7" ht="58.5" customHeight="1" x14ac:dyDescent="0.25">
      <c r="A22953" s="5" t="str">
        <f>"H0036301"</f>
        <v>H0036301</v>
      </c>
      <c r="B22953" s="5" t="str">
        <f t="shared" si="1143"/>
        <v>ESTANTE CONSTRUIDOS EN LAMINAS METÁLICAS SOLIDAS, RESISTENTES Y ESTABLES CON TRATAMIENTO ANTICORROSIVO, CON 7 ENTREPAÑOS, DE 0.94 CMS DE ANCHO, CON ALTURA DE 2.20MTS Y CADA BANDEJA DEBE SOPORTAR UN PESO DE 100KG/MT LINEA</v>
      </c>
      <c r="C22953" s="6">
        <v>320095.99</v>
      </c>
      <c r="D22953" s="5" t="s">
        <v>904</v>
      </c>
      <c r="E22953" s="5" t="str">
        <f t="shared" si="1142"/>
        <v>ACTISALUD-ESTADISTICA</v>
      </c>
      <c r="F22953" s="5"/>
      <c r="G22953" s="5"/>
    </row>
    <row r="22954" spans="1:7" ht="58.5" customHeight="1" x14ac:dyDescent="0.25">
      <c r="A22954" s="5" t="str">
        <f>"H0036302"</f>
        <v>H0036302</v>
      </c>
      <c r="B22954" s="5" t="str">
        <f t="shared" si="1143"/>
        <v>ESTANTE CONSTRUIDOS EN LAMINAS METÁLICAS SOLIDAS, RESISTENTES Y ESTABLES CON TRATAMIENTO ANTICORROSIVO, CON 7 ENTREPAÑOS, DE 0.94 CMS DE ANCHO, CON ALTURA DE 2.20MTS Y CADA BANDEJA DEBE SOPORTAR UN PESO DE 100KG/MT LINEA</v>
      </c>
      <c r="C22954" s="6">
        <v>320095.99</v>
      </c>
      <c r="D22954" s="5" t="s">
        <v>904</v>
      </c>
      <c r="E22954" s="5" t="str">
        <f t="shared" si="1142"/>
        <v>ACTISALUD-ESTADISTICA</v>
      </c>
      <c r="F22954" s="5"/>
      <c r="G22954" s="5"/>
    </row>
    <row r="22955" spans="1:7" ht="58.5" customHeight="1" x14ac:dyDescent="0.25">
      <c r="A22955" s="5" t="str">
        <f>"H0036303"</f>
        <v>H0036303</v>
      </c>
      <c r="B22955" s="5" t="str">
        <f t="shared" si="1143"/>
        <v>ESTANTE CONSTRUIDOS EN LAMINAS METÁLICAS SOLIDAS, RESISTENTES Y ESTABLES CON TRATAMIENTO ANTICORROSIVO, CON 7 ENTREPAÑOS, DE 0.94 CMS DE ANCHO, CON ALTURA DE 2.20MTS Y CADA BANDEJA DEBE SOPORTAR UN PESO DE 100KG/MT LINEA</v>
      </c>
      <c r="C22955" s="6">
        <v>320095.99</v>
      </c>
      <c r="D22955" s="5" t="s">
        <v>904</v>
      </c>
      <c r="E22955" s="5" t="str">
        <f t="shared" si="1142"/>
        <v>ACTISALUD-ESTADISTICA</v>
      </c>
      <c r="F22955" s="5"/>
      <c r="G22955" s="5"/>
    </row>
    <row r="22956" spans="1:7" ht="58.5" customHeight="1" x14ac:dyDescent="0.25">
      <c r="A22956" s="5" t="str">
        <f>"H0036304"</f>
        <v>H0036304</v>
      </c>
      <c r="B22956" s="5" t="str">
        <f t="shared" si="1143"/>
        <v>ESTANTE CONSTRUIDOS EN LAMINAS METÁLICAS SOLIDAS, RESISTENTES Y ESTABLES CON TRATAMIENTO ANTICORROSIVO, CON 7 ENTREPAÑOS, DE 0.94 CMS DE ANCHO, CON ALTURA DE 2.20MTS Y CADA BANDEJA DEBE SOPORTAR UN PESO DE 100KG/MT LINEA</v>
      </c>
      <c r="C22956" s="6">
        <v>320095.99</v>
      </c>
      <c r="D22956" s="5" t="s">
        <v>904</v>
      </c>
      <c r="E22956" s="5" t="str">
        <f t="shared" si="1142"/>
        <v>ACTISALUD-ESTADISTICA</v>
      </c>
      <c r="F22956" s="5"/>
      <c r="G22956" s="5"/>
    </row>
    <row r="22957" spans="1:7" ht="58.5" customHeight="1" x14ac:dyDescent="0.25">
      <c r="A22957" s="5" t="str">
        <f>"H0036305"</f>
        <v>H0036305</v>
      </c>
      <c r="B22957" s="5" t="str">
        <f t="shared" si="1143"/>
        <v>ESTANTE CONSTRUIDOS EN LAMINAS METÁLICAS SOLIDAS, RESISTENTES Y ESTABLES CON TRATAMIENTO ANTICORROSIVO, CON 7 ENTREPAÑOS, DE 0.94 CMS DE ANCHO, CON ALTURA DE 2.20MTS Y CADA BANDEJA DEBE SOPORTAR UN PESO DE 100KG/MT LINEA</v>
      </c>
      <c r="C22957" s="6">
        <v>320095.99</v>
      </c>
      <c r="D22957" s="5" t="s">
        <v>904</v>
      </c>
      <c r="E22957" s="5" t="str">
        <f t="shared" si="1142"/>
        <v>ACTISALUD-ESTADISTICA</v>
      </c>
      <c r="F22957" s="5"/>
      <c r="G22957" s="5"/>
    </row>
    <row r="22958" spans="1:7" ht="58.5" customHeight="1" x14ac:dyDescent="0.25">
      <c r="A22958" s="5" t="str">
        <f>"H0036306"</f>
        <v>H0036306</v>
      </c>
      <c r="B22958" s="5" t="str">
        <f t="shared" si="1143"/>
        <v>ESTANTE CONSTRUIDOS EN LAMINAS METÁLICAS SOLIDAS, RESISTENTES Y ESTABLES CON TRATAMIENTO ANTICORROSIVO, CON 7 ENTREPAÑOS, DE 0.94 CMS DE ANCHO, CON ALTURA DE 2.20MTS Y CADA BANDEJA DEBE SOPORTAR UN PESO DE 100KG/MT LINEA</v>
      </c>
      <c r="C22958" s="6">
        <v>320095.99</v>
      </c>
      <c r="D22958" s="5" t="s">
        <v>904</v>
      </c>
      <c r="E22958" s="5" t="str">
        <f t="shared" si="1142"/>
        <v>ACTISALUD-ESTADISTICA</v>
      </c>
      <c r="F22958" s="5"/>
      <c r="G22958" s="5"/>
    </row>
    <row r="22959" spans="1:7" ht="58.5" customHeight="1" x14ac:dyDescent="0.25">
      <c r="A22959" s="5" t="str">
        <f>"H0036307"</f>
        <v>H0036307</v>
      </c>
      <c r="B22959" s="5" t="str">
        <f t="shared" si="1143"/>
        <v>ESTANTE CONSTRUIDOS EN LAMINAS METÁLICAS SOLIDAS, RESISTENTES Y ESTABLES CON TRATAMIENTO ANTICORROSIVO, CON 7 ENTREPAÑOS, DE 0.94 CMS DE ANCHO, CON ALTURA DE 2.20MTS Y CADA BANDEJA DEBE SOPORTAR UN PESO DE 100KG/MT LINEA</v>
      </c>
      <c r="C22959" s="6">
        <v>320095.99</v>
      </c>
      <c r="D22959" s="5" t="s">
        <v>904</v>
      </c>
      <c r="E22959" s="5" t="str">
        <f t="shared" si="1142"/>
        <v>ACTISALUD-ESTADISTICA</v>
      </c>
      <c r="F22959" s="5"/>
      <c r="G22959" s="5"/>
    </row>
    <row r="22960" spans="1:7" ht="58.5" customHeight="1" x14ac:dyDescent="0.25">
      <c r="A22960" s="5" t="str">
        <f>"H0036308"</f>
        <v>H0036308</v>
      </c>
      <c r="B22960" s="5" t="str">
        <f t="shared" si="1143"/>
        <v>ESTANTE CONSTRUIDOS EN LAMINAS METÁLICAS SOLIDAS, RESISTENTES Y ESTABLES CON TRATAMIENTO ANTICORROSIVO, CON 7 ENTREPAÑOS, DE 0.94 CMS DE ANCHO, CON ALTURA DE 2.20MTS Y CADA BANDEJA DEBE SOPORTAR UN PESO DE 100KG/MT LINEA</v>
      </c>
      <c r="C22960" s="6">
        <v>320095.99</v>
      </c>
      <c r="D22960" s="5" t="s">
        <v>904</v>
      </c>
      <c r="E22960" s="5" t="str">
        <f t="shared" si="1142"/>
        <v>ACTISALUD-ESTADISTICA</v>
      </c>
      <c r="F22960" s="5"/>
      <c r="G22960" s="5"/>
    </row>
    <row r="22961" spans="1:7" ht="58.5" customHeight="1" x14ac:dyDescent="0.25">
      <c r="A22961" s="5" t="str">
        <f>"H0036309"</f>
        <v>H0036309</v>
      </c>
      <c r="B22961" s="5" t="str">
        <f t="shared" si="1143"/>
        <v>ESTANTE CONSTRUIDOS EN LAMINAS METÁLICAS SOLIDAS, RESISTENTES Y ESTABLES CON TRATAMIENTO ANTICORROSIVO, CON 7 ENTREPAÑOS, DE 0.94 CMS DE ANCHO, CON ALTURA DE 2.20MTS Y CADA BANDEJA DEBE SOPORTAR UN PESO DE 100KG/MT LINEA</v>
      </c>
      <c r="C22961" s="6">
        <v>320095.99</v>
      </c>
      <c r="D22961" s="5" t="s">
        <v>906</v>
      </c>
      <c r="E22961" s="5" t="str">
        <f t="shared" si="1142"/>
        <v>ACTISALUD-ESTADISTICA</v>
      </c>
      <c r="F22961" s="5"/>
      <c r="G22961" s="5"/>
    </row>
    <row r="22962" spans="1:7" ht="58.5" customHeight="1" x14ac:dyDescent="0.25">
      <c r="A22962" s="5" t="str">
        <f>"H0036310"</f>
        <v>H0036310</v>
      </c>
      <c r="B22962" s="5" t="str">
        <f t="shared" si="1143"/>
        <v>ESTANTE CONSTRUIDOS EN LAMINAS METÁLICAS SOLIDAS, RESISTENTES Y ESTABLES CON TRATAMIENTO ANTICORROSIVO, CON 7 ENTREPAÑOS, DE 0.94 CMS DE ANCHO, CON ALTURA DE 2.20MTS Y CADA BANDEJA DEBE SOPORTAR UN PESO DE 100KG/MT LINEA</v>
      </c>
      <c r="C22962" s="6">
        <v>320095.99</v>
      </c>
      <c r="D22962" s="5" t="s">
        <v>904</v>
      </c>
      <c r="E22962" s="5" t="str">
        <f t="shared" si="1142"/>
        <v>ACTISALUD-ESTADISTICA</v>
      </c>
      <c r="F22962" s="5"/>
      <c r="G22962" s="5"/>
    </row>
    <row r="22963" spans="1:7" ht="58.5" customHeight="1" x14ac:dyDescent="0.25">
      <c r="A22963" s="5" t="str">
        <f>"H0036311"</f>
        <v>H0036311</v>
      </c>
      <c r="B22963" s="5" t="str">
        <f t="shared" si="1143"/>
        <v>ESTANTE CONSTRUIDOS EN LAMINAS METÁLICAS SOLIDAS, RESISTENTES Y ESTABLES CON TRATAMIENTO ANTICORROSIVO, CON 7 ENTREPAÑOS, DE 0.94 CMS DE ANCHO, CON ALTURA DE 2.20MTS Y CADA BANDEJA DEBE SOPORTAR UN PESO DE 100KG/MT LINEA</v>
      </c>
      <c r="C22963" s="6">
        <v>320095.99</v>
      </c>
      <c r="D22963" s="5" t="s">
        <v>904</v>
      </c>
      <c r="E22963" s="5" t="str">
        <f t="shared" si="1142"/>
        <v>ACTISALUD-ESTADISTICA</v>
      </c>
      <c r="F22963" s="5"/>
      <c r="G22963" s="5"/>
    </row>
    <row r="22964" spans="1:7" ht="58.5" customHeight="1" x14ac:dyDescent="0.25">
      <c r="A22964" s="5" t="str">
        <f>"H0036312"</f>
        <v>H0036312</v>
      </c>
      <c r="B22964" s="5" t="str">
        <f t="shared" si="1143"/>
        <v>ESTANTE CONSTRUIDOS EN LAMINAS METÁLICAS SOLIDAS, RESISTENTES Y ESTABLES CON TRATAMIENTO ANTICORROSIVO, CON 7 ENTREPAÑOS, DE 0.94 CMS DE ANCHO, CON ALTURA DE 2.20MTS Y CADA BANDEJA DEBE SOPORTAR UN PESO DE 100KG/MT LINEA</v>
      </c>
      <c r="C22964" s="6">
        <v>320095.99</v>
      </c>
      <c r="D22964" s="5" t="s">
        <v>904</v>
      </c>
      <c r="E22964" s="5" t="str">
        <f t="shared" si="1142"/>
        <v>ACTISALUD-ESTADISTICA</v>
      </c>
      <c r="F22964" s="5"/>
      <c r="G22964" s="5"/>
    </row>
    <row r="22965" spans="1:7" ht="58.5" customHeight="1" x14ac:dyDescent="0.25">
      <c r="A22965" s="5" t="str">
        <f>"H0036313"</f>
        <v>H0036313</v>
      </c>
      <c r="B22965" s="5" t="str">
        <f t="shared" si="1143"/>
        <v>ESTANTE CONSTRUIDOS EN LAMINAS METÁLICAS SOLIDAS, RESISTENTES Y ESTABLES CON TRATAMIENTO ANTICORROSIVO, CON 7 ENTREPAÑOS, DE 0.94 CMS DE ANCHO, CON ALTURA DE 2.20MTS Y CADA BANDEJA DEBE SOPORTAR UN PESO DE 100KG/MT LINEA</v>
      </c>
      <c r="C22965" s="6">
        <v>320095.99</v>
      </c>
      <c r="D22965" s="5" t="s">
        <v>904</v>
      </c>
      <c r="E22965" s="5" t="str">
        <f t="shared" si="1142"/>
        <v>ACTISALUD-ESTADISTICA</v>
      </c>
      <c r="F22965" s="5"/>
      <c r="G22965" s="5"/>
    </row>
    <row r="22966" spans="1:7" ht="58.5" customHeight="1" x14ac:dyDescent="0.25">
      <c r="A22966" s="5" t="str">
        <f>"H0036314"</f>
        <v>H0036314</v>
      </c>
      <c r="B22966" s="5" t="str">
        <f t="shared" si="1143"/>
        <v>ESTANTE CONSTRUIDOS EN LAMINAS METÁLICAS SOLIDAS, RESISTENTES Y ESTABLES CON TRATAMIENTO ANTICORROSIVO, CON 7 ENTREPAÑOS, DE 0.94 CMS DE ANCHO, CON ALTURA DE 2.20MTS Y CADA BANDEJA DEBE SOPORTAR UN PESO DE 100KG/MT LINEA</v>
      </c>
      <c r="C22966" s="6">
        <v>320095.99</v>
      </c>
      <c r="D22966" s="5" t="s">
        <v>904</v>
      </c>
      <c r="E22966" s="5" t="str">
        <f t="shared" ref="E22966:E23009" si="1144">"ACTISALUD-ESTADISTICA"</f>
        <v>ACTISALUD-ESTADISTICA</v>
      </c>
      <c r="F22966" s="5"/>
      <c r="G22966" s="5"/>
    </row>
    <row r="22967" spans="1:7" ht="58.5" customHeight="1" x14ac:dyDescent="0.25">
      <c r="A22967" s="5" t="str">
        <f>"H0036315"</f>
        <v>H0036315</v>
      </c>
      <c r="B22967" s="5" t="str">
        <f t="shared" si="1143"/>
        <v>ESTANTE CONSTRUIDOS EN LAMINAS METÁLICAS SOLIDAS, RESISTENTES Y ESTABLES CON TRATAMIENTO ANTICORROSIVO, CON 7 ENTREPAÑOS, DE 0.94 CMS DE ANCHO, CON ALTURA DE 2.20MTS Y CADA BANDEJA DEBE SOPORTAR UN PESO DE 100KG/MT LINEA</v>
      </c>
      <c r="C22967" s="6">
        <v>320095.99</v>
      </c>
      <c r="D22967" s="5" t="s">
        <v>904</v>
      </c>
      <c r="E22967" s="5" t="str">
        <f t="shared" si="1144"/>
        <v>ACTISALUD-ESTADISTICA</v>
      </c>
      <c r="F22967" s="5"/>
      <c r="G22967" s="5"/>
    </row>
    <row r="22968" spans="1:7" ht="58.5" customHeight="1" x14ac:dyDescent="0.25">
      <c r="A22968" s="5" t="str">
        <f>"H0036526"</f>
        <v>H0036526</v>
      </c>
      <c r="B22968"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2968" s="6">
        <v>6307000</v>
      </c>
      <c r="D22968" s="5" t="s">
        <v>48</v>
      </c>
      <c r="E22968" s="5" t="str">
        <f t="shared" si="1144"/>
        <v>ACTISALUD-ESTADISTICA</v>
      </c>
      <c r="F22968" s="5"/>
      <c r="G22968" s="5" t="str">
        <f>"VZ4680G"</f>
        <v>VZ4680G</v>
      </c>
    </row>
    <row r="22969" spans="1:7" ht="58.5" customHeight="1" x14ac:dyDescent="0.25">
      <c r="A22969" s="5" t="str">
        <f>"H0036534"</f>
        <v>H0036534</v>
      </c>
      <c r="B2296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2969" s="6">
        <v>6307000</v>
      </c>
      <c r="D22969" s="5" t="s">
        <v>48</v>
      </c>
      <c r="E22969" s="5" t="str">
        <f t="shared" si="1144"/>
        <v>ACTISALUD-ESTADISTICA</v>
      </c>
      <c r="F22969" s="5"/>
      <c r="G22969" s="5" t="str">
        <f>"VZ4680G"</f>
        <v>VZ4680G</v>
      </c>
    </row>
    <row r="22970" spans="1:7" ht="58.5" customHeight="1" x14ac:dyDescent="0.25">
      <c r="A22970" s="5" t="str">
        <f>"H0036552"</f>
        <v>H0036552</v>
      </c>
      <c r="B22970" s="5" t="str">
        <f>"ESCÁNER  EPSON WORKFORCE DS-870 VERTICAL ESCÁNER EPSON WORKFORCE DS-870 (A4)// TIPO DE ESCÁNER: ALIMENTACIÓN VERTICAL, ESCÁNER DÚPLEX A COLOR"</f>
        <v>ESCÁNER  EPSON WORKFORCE DS-870 VERTICAL ESCÁNER EPSON WORKFORCE DS-870 (A4)// TIPO DE ESCÁNER: ALIMENTACIÓN VERTICAL, ESCÁNER DÚPLEX A COLOR</v>
      </c>
      <c r="C22970" s="6">
        <v>4403000</v>
      </c>
      <c r="D22970" s="5" t="s">
        <v>48</v>
      </c>
      <c r="E22970" s="5" t="str">
        <f t="shared" si="1144"/>
        <v>ACTISALUD-ESTADISTICA</v>
      </c>
      <c r="F22970" s="5"/>
      <c r="G22970" s="5" t="str">
        <f>"DS-870"</f>
        <v>DS-870</v>
      </c>
    </row>
    <row r="22971" spans="1:7" ht="58.5" customHeight="1" x14ac:dyDescent="0.25">
      <c r="A22971" s="5" t="str">
        <f>"H0036580"</f>
        <v>H0036580</v>
      </c>
      <c r="B22971" s="5" t="str">
        <f>"ESCANER DE ALTA VELOCIDAD 35 PPM"</f>
        <v>ESCANER DE ALTA VELOCIDAD 35 PPM</v>
      </c>
      <c r="C22971" s="6">
        <v>2401636.36</v>
      </c>
      <c r="D22971" s="5" t="s">
        <v>199</v>
      </c>
      <c r="E22971" s="5" t="str">
        <f t="shared" si="1144"/>
        <v>ACTISALUD-ESTADISTICA</v>
      </c>
      <c r="F22971" s="5"/>
      <c r="G22971" s="5"/>
    </row>
    <row r="22972" spans="1:7" ht="58.5" customHeight="1" x14ac:dyDescent="0.25">
      <c r="A22972" s="5" t="str">
        <f>"H0036581"</f>
        <v>H0036581</v>
      </c>
      <c r="B22972" s="5" t="str">
        <f>"ESCANER DE ALTA VELOCIDAD 35 PPM"</f>
        <v>ESCANER DE ALTA VELOCIDAD 35 PPM</v>
      </c>
      <c r="C22972" s="6">
        <v>2401636.36</v>
      </c>
      <c r="D22972" s="5" t="s">
        <v>199</v>
      </c>
      <c r="E22972" s="5" t="str">
        <f t="shared" si="1144"/>
        <v>ACTISALUD-ESTADISTICA</v>
      </c>
      <c r="F22972" s="5"/>
      <c r="G22972" s="5"/>
    </row>
    <row r="22973" spans="1:7" ht="58.5" customHeight="1" x14ac:dyDescent="0.25">
      <c r="A22973" s="5" t="str">
        <f>"H0036898"</f>
        <v>H0036898</v>
      </c>
      <c r="B22973" s="5" t="str">
        <f>"AIRE ACONDICIONADO TIPO MINISPLIT CAPACIDAD 18.000 BTU TECNOLOGIA INVERTER DUAL"</f>
        <v>AIRE ACONDICIONADO TIPO MINISPLIT CAPACIDAD 18.000 BTU TECNOLOGIA INVERTER DUAL</v>
      </c>
      <c r="C22973" s="6">
        <v>3900000</v>
      </c>
      <c r="D22973" s="5" t="s">
        <v>28</v>
      </c>
      <c r="E22973" s="5" t="str">
        <f t="shared" si="1144"/>
        <v>ACTISALUD-ESTADISTICA</v>
      </c>
      <c r="F22973" s="5"/>
      <c r="G22973" s="5"/>
    </row>
    <row r="22974" spans="1:7" ht="58.5" customHeight="1" x14ac:dyDescent="0.25">
      <c r="A22974" s="5" t="str">
        <f>"H0036923"</f>
        <v>H0036923</v>
      </c>
      <c r="B22974" s="5" t="str">
        <f>"AIRE ACONDICIONADO DE 24000 BTU CONVENCIONAL R410"</f>
        <v>AIRE ACONDICIONADO DE 24000 BTU CONVENCIONAL R410</v>
      </c>
      <c r="C22974" s="6">
        <v>4950000</v>
      </c>
      <c r="D22974" s="5" t="s">
        <v>28</v>
      </c>
      <c r="E22974" s="5" t="str">
        <f t="shared" si="1144"/>
        <v>ACTISALUD-ESTADISTICA</v>
      </c>
      <c r="F22974" s="5"/>
      <c r="G22974" s="5"/>
    </row>
    <row r="22975" spans="1:7" ht="58.5" customHeight="1" x14ac:dyDescent="0.25">
      <c r="A22975" s="5" t="str">
        <f>"H0037495"</f>
        <v>H0037495</v>
      </c>
      <c r="B22975" s="5" t="str">
        <f>"VENTILADOR DE PARED"</f>
        <v>VENTILADOR DE PARED</v>
      </c>
      <c r="C22975" s="6">
        <v>286671</v>
      </c>
      <c r="D22975" s="5" t="s">
        <v>139</v>
      </c>
      <c r="E22975" s="5" t="str">
        <f t="shared" si="1144"/>
        <v>ACTISALUD-ESTADISTICA</v>
      </c>
      <c r="F22975" s="5"/>
      <c r="G22975" s="5"/>
    </row>
    <row r="22976" spans="1:7" ht="58.5" customHeight="1" x14ac:dyDescent="0.25">
      <c r="A22976" s="5" t="str">
        <f>"H0037545"</f>
        <v>H0037545</v>
      </c>
      <c r="B22976" s="5" t="str">
        <f>"VENTILADOR DE PEDESTAL"</f>
        <v>VENTILADOR DE PEDESTAL</v>
      </c>
      <c r="C22976" s="6">
        <v>305000.55</v>
      </c>
      <c r="D22976" s="5" t="s">
        <v>140</v>
      </c>
      <c r="E22976" s="5" t="str">
        <f t="shared" si="1144"/>
        <v>ACTISALUD-ESTADISTICA</v>
      </c>
      <c r="F22976" s="5"/>
      <c r="G22976" s="5"/>
    </row>
    <row r="22977" spans="1:7" ht="58.5" customHeight="1" x14ac:dyDescent="0.25">
      <c r="A22977" s="5" t="str">
        <f>"H0037546"</f>
        <v>H0037546</v>
      </c>
      <c r="B22977" s="5" t="str">
        <f>"VENTILADOR DE PEDESTAL"</f>
        <v>VENTILADOR DE PEDESTAL</v>
      </c>
      <c r="C22977" s="6">
        <v>305000.55</v>
      </c>
      <c r="D22977" s="5" t="s">
        <v>140</v>
      </c>
      <c r="E22977" s="5" t="str">
        <f t="shared" si="1144"/>
        <v>ACTISALUD-ESTADISTICA</v>
      </c>
      <c r="F22977" s="5"/>
      <c r="G22977" s="5"/>
    </row>
    <row r="22978" spans="1:7" ht="58.5" customHeight="1" x14ac:dyDescent="0.25">
      <c r="A22978" s="5" t="str">
        <f>"H0037964"</f>
        <v>H0037964</v>
      </c>
      <c r="B22978" s="5" t="str">
        <f t="shared" ref="B22978:B22997" si="1145">"SILLA GERENTE NIZA MEC. BASCULANTE CON BRAZOS."</f>
        <v>SILLA GERENTE NIZA MEC. BASCULANTE CON BRAZOS.</v>
      </c>
      <c r="C22978" s="6">
        <v>710000.01</v>
      </c>
      <c r="D22978" s="5" t="s">
        <v>30</v>
      </c>
      <c r="E22978" s="5" t="str">
        <f t="shared" si="1144"/>
        <v>ACTISALUD-ESTADISTICA</v>
      </c>
      <c r="F22978" s="5"/>
      <c r="G22978" s="5"/>
    </row>
    <row r="22979" spans="1:7" ht="58.5" customHeight="1" x14ac:dyDescent="0.25">
      <c r="A22979" s="5" t="str">
        <f>"H0037965"</f>
        <v>H0037965</v>
      </c>
      <c r="B22979" s="5" t="str">
        <f t="shared" si="1145"/>
        <v>SILLA GERENTE NIZA MEC. BASCULANTE CON BRAZOS.</v>
      </c>
      <c r="C22979" s="6">
        <v>710000.01</v>
      </c>
      <c r="D22979" s="5" t="s">
        <v>30</v>
      </c>
      <c r="E22979" s="5" t="str">
        <f t="shared" si="1144"/>
        <v>ACTISALUD-ESTADISTICA</v>
      </c>
      <c r="F22979" s="5"/>
      <c r="G22979" s="5"/>
    </row>
    <row r="22980" spans="1:7" ht="58.5" customHeight="1" x14ac:dyDescent="0.25">
      <c r="A22980" s="5" t="str">
        <f>"H0037966"</f>
        <v>H0037966</v>
      </c>
      <c r="B22980" s="5" t="str">
        <f t="shared" si="1145"/>
        <v>SILLA GERENTE NIZA MEC. BASCULANTE CON BRAZOS.</v>
      </c>
      <c r="C22980" s="6">
        <v>710000.01</v>
      </c>
      <c r="D22980" s="5" t="s">
        <v>30</v>
      </c>
      <c r="E22980" s="5" t="str">
        <f t="shared" si="1144"/>
        <v>ACTISALUD-ESTADISTICA</v>
      </c>
      <c r="F22980" s="5"/>
      <c r="G22980" s="5"/>
    </row>
    <row r="22981" spans="1:7" ht="58.5" customHeight="1" x14ac:dyDescent="0.25">
      <c r="A22981" s="5" t="str">
        <f>"H0037967"</f>
        <v>H0037967</v>
      </c>
      <c r="B22981" s="5" t="str">
        <f t="shared" si="1145"/>
        <v>SILLA GERENTE NIZA MEC. BASCULANTE CON BRAZOS.</v>
      </c>
      <c r="C22981" s="6">
        <v>710000.01</v>
      </c>
      <c r="D22981" s="5" t="s">
        <v>30</v>
      </c>
      <c r="E22981" s="5" t="str">
        <f t="shared" si="1144"/>
        <v>ACTISALUD-ESTADISTICA</v>
      </c>
      <c r="F22981" s="5"/>
      <c r="G22981" s="5"/>
    </row>
    <row r="22982" spans="1:7" ht="58.5" customHeight="1" x14ac:dyDescent="0.25">
      <c r="A22982" s="5" t="str">
        <f>"H0037968"</f>
        <v>H0037968</v>
      </c>
      <c r="B22982" s="5" t="str">
        <f t="shared" si="1145"/>
        <v>SILLA GERENTE NIZA MEC. BASCULANTE CON BRAZOS.</v>
      </c>
      <c r="C22982" s="6">
        <v>710000.01</v>
      </c>
      <c r="D22982" s="5" t="s">
        <v>30</v>
      </c>
      <c r="E22982" s="5" t="str">
        <f t="shared" si="1144"/>
        <v>ACTISALUD-ESTADISTICA</v>
      </c>
      <c r="F22982" s="5"/>
      <c r="G22982" s="5"/>
    </row>
    <row r="22983" spans="1:7" ht="58.5" customHeight="1" x14ac:dyDescent="0.25">
      <c r="A22983" s="5" t="str">
        <f>"H0037969"</f>
        <v>H0037969</v>
      </c>
      <c r="B22983" s="5" t="str">
        <f t="shared" si="1145"/>
        <v>SILLA GERENTE NIZA MEC. BASCULANTE CON BRAZOS.</v>
      </c>
      <c r="C22983" s="6">
        <v>710000.01</v>
      </c>
      <c r="D22983" s="5" t="s">
        <v>30</v>
      </c>
      <c r="E22983" s="5" t="str">
        <f t="shared" si="1144"/>
        <v>ACTISALUD-ESTADISTICA</v>
      </c>
      <c r="F22983" s="5"/>
      <c r="G22983" s="5"/>
    </row>
    <row r="22984" spans="1:7" ht="58.5" customHeight="1" x14ac:dyDescent="0.25">
      <c r="A22984" s="5" t="str">
        <f>"H0037970"</f>
        <v>H0037970</v>
      </c>
      <c r="B22984" s="5" t="str">
        <f t="shared" si="1145"/>
        <v>SILLA GERENTE NIZA MEC. BASCULANTE CON BRAZOS.</v>
      </c>
      <c r="C22984" s="6">
        <v>710000.01</v>
      </c>
      <c r="D22984" s="5" t="s">
        <v>30</v>
      </c>
      <c r="E22984" s="5" t="str">
        <f t="shared" si="1144"/>
        <v>ACTISALUD-ESTADISTICA</v>
      </c>
      <c r="F22984" s="5"/>
      <c r="G22984" s="5"/>
    </row>
    <row r="22985" spans="1:7" ht="58.5" customHeight="1" x14ac:dyDescent="0.25">
      <c r="A22985" s="5" t="str">
        <f>"H0037971"</f>
        <v>H0037971</v>
      </c>
      <c r="B22985" s="5" t="str">
        <f t="shared" si="1145"/>
        <v>SILLA GERENTE NIZA MEC. BASCULANTE CON BRAZOS.</v>
      </c>
      <c r="C22985" s="6">
        <v>710000.01</v>
      </c>
      <c r="D22985" s="5" t="s">
        <v>30</v>
      </c>
      <c r="E22985" s="5" t="str">
        <f t="shared" si="1144"/>
        <v>ACTISALUD-ESTADISTICA</v>
      </c>
      <c r="F22985" s="5"/>
      <c r="G22985" s="5"/>
    </row>
    <row r="22986" spans="1:7" ht="58.5" customHeight="1" x14ac:dyDescent="0.25">
      <c r="A22986" s="5" t="str">
        <f>"H0037972"</f>
        <v>H0037972</v>
      </c>
      <c r="B22986" s="5" t="str">
        <f t="shared" si="1145"/>
        <v>SILLA GERENTE NIZA MEC. BASCULANTE CON BRAZOS.</v>
      </c>
      <c r="C22986" s="6">
        <v>710000.01</v>
      </c>
      <c r="D22986" s="5" t="s">
        <v>30</v>
      </c>
      <c r="E22986" s="5" t="str">
        <f t="shared" si="1144"/>
        <v>ACTISALUD-ESTADISTICA</v>
      </c>
      <c r="F22986" s="5"/>
      <c r="G22986" s="5"/>
    </row>
    <row r="22987" spans="1:7" ht="58.5" customHeight="1" x14ac:dyDescent="0.25">
      <c r="A22987" s="5" t="str">
        <f>"H0037973"</f>
        <v>H0037973</v>
      </c>
      <c r="B22987" s="5" t="str">
        <f t="shared" si="1145"/>
        <v>SILLA GERENTE NIZA MEC. BASCULANTE CON BRAZOS.</v>
      </c>
      <c r="C22987" s="6">
        <v>710000.01</v>
      </c>
      <c r="D22987" s="5" t="s">
        <v>30</v>
      </c>
      <c r="E22987" s="5" t="str">
        <f t="shared" si="1144"/>
        <v>ACTISALUD-ESTADISTICA</v>
      </c>
      <c r="F22987" s="5"/>
      <c r="G22987" s="5"/>
    </row>
    <row r="22988" spans="1:7" ht="58.5" customHeight="1" x14ac:dyDescent="0.25">
      <c r="A22988" s="5" t="str">
        <f>"H0037998"</f>
        <v>H0037998</v>
      </c>
      <c r="B22988" s="5" t="str">
        <f t="shared" si="1145"/>
        <v>SILLA GERENTE NIZA MEC. BASCULANTE CON BRAZOS.</v>
      </c>
      <c r="C22988" s="6">
        <v>710000.01</v>
      </c>
      <c r="D22988" s="5" t="s">
        <v>30</v>
      </c>
      <c r="E22988" s="5" t="str">
        <f t="shared" si="1144"/>
        <v>ACTISALUD-ESTADISTICA</v>
      </c>
      <c r="F22988" s="5"/>
      <c r="G22988" s="5"/>
    </row>
    <row r="22989" spans="1:7" ht="58.5" customHeight="1" x14ac:dyDescent="0.25">
      <c r="A22989" s="5" t="str">
        <f>"H0037999"</f>
        <v>H0037999</v>
      </c>
      <c r="B22989" s="5" t="str">
        <f t="shared" si="1145"/>
        <v>SILLA GERENTE NIZA MEC. BASCULANTE CON BRAZOS.</v>
      </c>
      <c r="C22989" s="6">
        <v>710000.01</v>
      </c>
      <c r="D22989" s="5" t="s">
        <v>30</v>
      </c>
      <c r="E22989" s="5" t="str">
        <f t="shared" si="1144"/>
        <v>ACTISALUD-ESTADISTICA</v>
      </c>
      <c r="F22989" s="5"/>
      <c r="G22989" s="5"/>
    </row>
    <row r="22990" spans="1:7" ht="58.5" customHeight="1" x14ac:dyDescent="0.25">
      <c r="A22990" s="5" t="str">
        <f>"H0038000"</f>
        <v>H0038000</v>
      </c>
      <c r="B22990" s="5" t="str">
        <f t="shared" si="1145"/>
        <v>SILLA GERENTE NIZA MEC. BASCULANTE CON BRAZOS.</v>
      </c>
      <c r="C22990" s="6">
        <v>710000.01</v>
      </c>
      <c r="D22990" s="5" t="s">
        <v>30</v>
      </c>
      <c r="E22990" s="5" t="str">
        <f t="shared" si="1144"/>
        <v>ACTISALUD-ESTADISTICA</v>
      </c>
      <c r="F22990" s="5"/>
      <c r="G22990" s="5"/>
    </row>
    <row r="22991" spans="1:7" ht="58.5" customHeight="1" x14ac:dyDescent="0.25">
      <c r="A22991" s="5" t="str">
        <f>"H0038001"</f>
        <v>H0038001</v>
      </c>
      <c r="B22991" s="5" t="str">
        <f t="shared" si="1145"/>
        <v>SILLA GERENTE NIZA MEC. BASCULANTE CON BRAZOS.</v>
      </c>
      <c r="C22991" s="6">
        <v>710000.01</v>
      </c>
      <c r="D22991" s="5" t="s">
        <v>30</v>
      </c>
      <c r="E22991" s="5" t="str">
        <f t="shared" si="1144"/>
        <v>ACTISALUD-ESTADISTICA</v>
      </c>
      <c r="F22991" s="5"/>
      <c r="G22991" s="5"/>
    </row>
    <row r="22992" spans="1:7" ht="58.5" customHeight="1" x14ac:dyDescent="0.25">
      <c r="A22992" s="5" t="str">
        <f>"H0038002"</f>
        <v>H0038002</v>
      </c>
      <c r="B22992" s="5" t="str">
        <f t="shared" si="1145"/>
        <v>SILLA GERENTE NIZA MEC. BASCULANTE CON BRAZOS.</v>
      </c>
      <c r="C22992" s="6">
        <v>710000.01</v>
      </c>
      <c r="D22992" s="5" t="s">
        <v>30</v>
      </c>
      <c r="E22992" s="5" t="str">
        <f t="shared" si="1144"/>
        <v>ACTISALUD-ESTADISTICA</v>
      </c>
      <c r="F22992" s="5"/>
      <c r="G22992" s="5"/>
    </row>
    <row r="22993" spans="1:7" ht="58.5" customHeight="1" x14ac:dyDescent="0.25">
      <c r="A22993" s="5" t="str">
        <f>"H0038003"</f>
        <v>H0038003</v>
      </c>
      <c r="B22993" s="5" t="str">
        <f t="shared" si="1145"/>
        <v>SILLA GERENTE NIZA MEC. BASCULANTE CON BRAZOS.</v>
      </c>
      <c r="C22993" s="6">
        <v>710000.01</v>
      </c>
      <c r="D22993" s="5" t="s">
        <v>30</v>
      </c>
      <c r="E22993" s="5" t="str">
        <f t="shared" si="1144"/>
        <v>ACTISALUD-ESTADISTICA</v>
      </c>
      <c r="F22993" s="5"/>
      <c r="G22993" s="5"/>
    </row>
    <row r="22994" spans="1:7" ht="58.5" customHeight="1" x14ac:dyDescent="0.25">
      <c r="A22994" s="5" t="str">
        <f>"H0038004"</f>
        <v>H0038004</v>
      </c>
      <c r="B22994" s="5" t="str">
        <f t="shared" si="1145"/>
        <v>SILLA GERENTE NIZA MEC. BASCULANTE CON BRAZOS.</v>
      </c>
      <c r="C22994" s="6">
        <v>710000.01</v>
      </c>
      <c r="D22994" s="5" t="s">
        <v>30</v>
      </c>
      <c r="E22994" s="5" t="str">
        <f t="shared" si="1144"/>
        <v>ACTISALUD-ESTADISTICA</v>
      </c>
      <c r="F22994" s="5"/>
      <c r="G22994" s="5"/>
    </row>
    <row r="22995" spans="1:7" ht="58.5" customHeight="1" x14ac:dyDescent="0.25">
      <c r="A22995" s="5" t="str">
        <f>"H0038005"</f>
        <v>H0038005</v>
      </c>
      <c r="B22995" s="5" t="str">
        <f t="shared" si="1145"/>
        <v>SILLA GERENTE NIZA MEC. BASCULANTE CON BRAZOS.</v>
      </c>
      <c r="C22995" s="6">
        <v>710000.01</v>
      </c>
      <c r="D22995" s="5" t="s">
        <v>30</v>
      </c>
      <c r="E22995" s="5" t="str">
        <f t="shared" si="1144"/>
        <v>ACTISALUD-ESTADISTICA</v>
      </c>
      <c r="F22995" s="5"/>
      <c r="G22995" s="5"/>
    </row>
    <row r="22996" spans="1:7" ht="58.5" customHeight="1" x14ac:dyDescent="0.25">
      <c r="A22996" s="5" t="str">
        <f>"H0038006"</f>
        <v>H0038006</v>
      </c>
      <c r="B22996" s="5" t="str">
        <f t="shared" si="1145"/>
        <v>SILLA GERENTE NIZA MEC. BASCULANTE CON BRAZOS.</v>
      </c>
      <c r="C22996" s="6">
        <v>710000.01</v>
      </c>
      <c r="D22996" s="5" t="s">
        <v>30</v>
      </c>
      <c r="E22996" s="5" t="str">
        <f t="shared" si="1144"/>
        <v>ACTISALUD-ESTADISTICA</v>
      </c>
      <c r="F22996" s="5"/>
      <c r="G22996" s="5"/>
    </row>
    <row r="22997" spans="1:7" ht="58.5" customHeight="1" x14ac:dyDescent="0.25">
      <c r="A22997" s="5" t="str">
        <f>"H0038007"</f>
        <v>H0038007</v>
      </c>
      <c r="B22997" s="5" t="str">
        <f t="shared" si="1145"/>
        <v>SILLA GERENTE NIZA MEC. BASCULANTE CON BRAZOS.</v>
      </c>
      <c r="C22997" s="6">
        <v>710000.01</v>
      </c>
      <c r="D22997" s="5" t="s">
        <v>30</v>
      </c>
      <c r="E22997" s="5" t="str">
        <f t="shared" si="1144"/>
        <v>ACTISALUD-ESTADISTICA</v>
      </c>
      <c r="F22997" s="5"/>
      <c r="G22997" s="5"/>
    </row>
    <row r="22998" spans="1:7" ht="58.5" customHeight="1" x14ac:dyDescent="0.25">
      <c r="A22998" s="5" t="str">
        <f>"H0038112"</f>
        <v>H0038112</v>
      </c>
      <c r="B22998" s="5" t="str">
        <f>"COMPUTADOR TODO EN UNO"</f>
        <v>COMPUTADOR TODO EN UNO</v>
      </c>
      <c r="C22998" s="6">
        <v>7497000</v>
      </c>
      <c r="D22998" s="5" t="s">
        <v>31</v>
      </c>
      <c r="E22998" s="5" t="str">
        <f t="shared" si="1144"/>
        <v>ACTISALUD-ESTADISTICA</v>
      </c>
      <c r="F22998" s="5"/>
      <c r="G22998" s="5"/>
    </row>
    <row r="22999" spans="1:7" ht="58.5" customHeight="1" x14ac:dyDescent="0.25">
      <c r="A22999" s="5" t="str">
        <f>"H0038123"</f>
        <v>H0038123</v>
      </c>
      <c r="B22999" s="5" t="str">
        <f>"COMPUTADOR TODO EN UNO"</f>
        <v>COMPUTADOR TODO EN UNO</v>
      </c>
      <c r="C22999" s="6">
        <v>7497000</v>
      </c>
      <c r="D22999" s="5" t="s">
        <v>31</v>
      </c>
      <c r="E22999" s="5" t="str">
        <f t="shared" si="1144"/>
        <v>ACTISALUD-ESTADISTICA</v>
      </c>
      <c r="F22999" s="5"/>
      <c r="G22999" s="5"/>
    </row>
    <row r="23000" spans="1:7" ht="58.5" customHeight="1" x14ac:dyDescent="0.25">
      <c r="A23000" s="5" t="str">
        <f>"H0038125"</f>
        <v>H0038125</v>
      </c>
      <c r="B23000" s="5" t="str">
        <f>"COMPUTADOR TODO EN UNO"</f>
        <v>COMPUTADOR TODO EN UNO</v>
      </c>
      <c r="C23000" s="6">
        <v>7497000</v>
      </c>
      <c r="D23000" s="5" t="s">
        <v>31</v>
      </c>
      <c r="E23000" s="5" t="str">
        <f t="shared" si="1144"/>
        <v>ACTISALUD-ESTADISTICA</v>
      </c>
      <c r="F23000" s="5"/>
      <c r="G23000" s="5"/>
    </row>
    <row r="23001" spans="1:7" ht="58.5" customHeight="1" x14ac:dyDescent="0.25">
      <c r="A23001" s="5" t="str">
        <f>"H0038138"</f>
        <v>H0038138</v>
      </c>
      <c r="B23001" s="5" t="str">
        <f>"COMPUTADOR TODO EN UNO"</f>
        <v>COMPUTADOR TODO EN UNO</v>
      </c>
      <c r="C23001" s="6">
        <v>7497000</v>
      </c>
      <c r="D23001" s="5" t="s">
        <v>907</v>
      </c>
      <c r="E23001" s="5" t="str">
        <f t="shared" si="1144"/>
        <v>ACTISALUD-ESTADISTICA</v>
      </c>
      <c r="F23001" s="5"/>
      <c r="G23001" s="5"/>
    </row>
    <row r="23002" spans="1:7" ht="58.5" customHeight="1" x14ac:dyDescent="0.25">
      <c r="A23002" s="5" t="str">
        <f>"I0000283"</f>
        <v>I0000283</v>
      </c>
      <c r="B23002" s="5" t="str">
        <f t="shared" ref="B23002:B23009" si="1146">"EXTRACTOR DE AIRE 18''"</f>
        <v>EXTRACTOR DE AIRE 18''</v>
      </c>
      <c r="C23002" s="6">
        <v>1624000</v>
      </c>
      <c r="D23002" s="5" t="s">
        <v>908</v>
      </c>
      <c r="E23002" s="5" t="str">
        <f t="shared" si="1144"/>
        <v>ACTISALUD-ESTADISTICA</v>
      </c>
      <c r="F23002" s="5" t="str">
        <f>"Descripcion: PINZAS ALLIX LARGAS (DIMEDA) Estado: Bueno Placa anterior: 000031697 Material: ACERO INOXIDABLE Color: PLATEADO Referencia:  Observacion:     Placa padre: I0000246Tipo adquisicion: Entidad"</f>
        <v>Descripcion: PINZAS ALLIX LARGAS (DIMEDA) Estado: Bueno Placa anterior: 000031697 Material: ACERO INOXIDABLE Color: PLATEADO Referencia:  Observacion:     Placa padre: I0000246Tipo adquisicion: Entidad</v>
      </c>
      <c r="G23002" s="5"/>
    </row>
    <row r="23003" spans="1:7" ht="58.5" customHeight="1" x14ac:dyDescent="0.25">
      <c r="A23003" s="5" t="str">
        <f>"I0000284"</f>
        <v>I0000284</v>
      </c>
      <c r="B23003" s="5" t="str">
        <f t="shared" si="1146"/>
        <v>EXTRACTOR DE AIRE 18''</v>
      </c>
      <c r="C23003" s="6">
        <v>1624000</v>
      </c>
      <c r="D23003" s="5" t="s">
        <v>908</v>
      </c>
      <c r="E23003" s="5" t="str">
        <f t="shared" si="1144"/>
        <v>ACTISALUD-ESTADISTICA</v>
      </c>
      <c r="F23003" s="5" t="str">
        <f>"Descripcion: PINZAS ALLIX LARGAS (DIMEDA) Estado: Bueno Placa anterior: 000031698 Material: ACERO INOXIDABLE Color: PLATEADO Referencia:  Observacion:     Placa padre: I0000246Tipo adquisicion: Entidad"</f>
        <v>Descripcion: PINZAS ALLIX LARGAS (DIMEDA) Estado: Bueno Placa anterior: 000031698 Material: ACERO INOXIDABLE Color: PLATEADO Referencia:  Observacion:     Placa padre: I0000246Tipo adquisicion: Entidad</v>
      </c>
      <c r="G23003" s="5"/>
    </row>
    <row r="23004" spans="1:7" ht="58.5" customHeight="1" x14ac:dyDescent="0.25">
      <c r="A23004" s="5" t="str">
        <f>"I0000285"</f>
        <v>I0000285</v>
      </c>
      <c r="B23004" s="5" t="str">
        <f t="shared" si="1146"/>
        <v>EXTRACTOR DE AIRE 18''</v>
      </c>
      <c r="C23004" s="6">
        <v>1624000</v>
      </c>
      <c r="D23004" s="5" t="s">
        <v>908</v>
      </c>
      <c r="E23004" s="5" t="str">
        <f t="shared" si="1144"/>
        <v>ACTISALUD-ESTADISTICA</v>
      </c>
      <c r="F23004" s="5" t="str">
        <f>"Descripcion: PINZAS ALLIX LARGAS (DIMEDA) Estado: Bueno Placa anterior: 000031699 Material: ACERO INOXIDABLE Color: PLATEADO Referencia:  Observacion:     Placa padre: I0000246Tipo adquisicion: Entidad"</f>
        <v>Descripcion: PINZAS ALLIX LARGAS (DIMEDA) Estado: Bueno Placa anterior: 000031699 Material: ACERO INOXIDABLE Color: PLATEADO Referencia:  Observacion:     Placa padre: I0000246Tipo adquisicion: Entidad</v>
      </c>
      <c r="G23004" s="5"/>
    </row>
    <row r="23005" spans="1:7" ht="58.5" customHeight="1" x14ac:dyDescent="0.25">
      <c r="A23005" s="5" t="str">
        <f>"I0000286"</f>
        <v>I0000286</v>
      </c>
      <c r="B23005" s="5" t="str">
        <f t="shared" si="1146"/>
        <v>EXTRACTOR DE AIRE 18''</v>
      </c>
      <c r="C23005" s="6">
        <v>1624000</v>
      </c>
      <c r="D23005" s="5" t="s">
        <v>908</v>
      </c>
      <c r="E23005" s="5" t="str">
        <f t="shared" si="1144"/>
        <v>ACTISALUD-ESTADISTICA</v>
      </c>
      <c r="F23005" s="5" t="str">
        <f>"EXTRACTOR DE AIRE 18'' DE 1/2 HP"</f>
        <v>EXTRACTOR DE AIRE 18'' DE 1/2 HP</v>
      </c>
      <c r="G23005" s="5"/>
    </row>
    <row r="23006" spans="1:7" ht="58.5" customHeight="1" x14ac:dyDescent="0.25">
      <c r="A23006" s="5" t="str">
        <f>"I0000287"</f>
        <v>I0000287</v>
      </c>
      <c r="B23006" s="5" t="str">
        <f t="shared" si="1146"/>
        <v>EXTRACTOR DE AIRE 18''</v>
      </c>
      <c r="C23006" s="6">
        <v>1624000</v>
      </c>
      <c r="D23006" s="5" t="s">
        <v>908</v>
      </c>
      <c r="E23006" s="5" t="str">
        <f t="shared" si="1144"/>
        <v>ACTISALUD-ESTADISTICA</v>
      </c>
      <c r="F23006" s="5" t="str">
        <f>"EXTRACTOR DE AIRE 18'' DE 1/2 HP"</f>
        <v>EXTRACTOR DE AIRE 18'' DE 1/2 HP</v>
      </c>
      <c r="G23006" s="5"/>
    </row>
    <row r="23007" spans="1:7" ht="58.5" customHeight="1" x14ac:dyDescent="0.25">
      <c r="A23007" s="5" t="str">
        <f>"I0000288"</f>
        <v>I0000288</v>
      </c>
      <c r="B23007" s="5" t="str">
        <f t="shared" si="1146"/>
        <v>EXTRACTOR DE AIRE 18''</v>
      </c>
      <c r="C23007" s="6">
        <v>1624000</v>
      </c>
      <c r="D23007" s="5" t="s">
        <v>908</v>
      </c>
      <c r="E23007" s="5" t="str">
        <f t="shared" si="1144"/>
        <v>ACTISALUD-ESTADISTICA</v>
      </c>
      <c r="F23007" s="5" t="str">
        <f>"EXTRACTOR DE AIRE 18'' DE 1/2 HP"</f>
        <v>EXTRACTOR DE AIRE 18'' DE 1/2 HP</v>
      </c>
      <c r="G23007" s="5"/>
    </row>
    <row r="23008" spans="1:7" ht="58.5" customHeight="1" x14ac:dyDescent="0.25">
      <c r="A23008" s="5" t="str">
        <f>"I0000289"</f>
        <v>I0000289</v>
      </c>
      <c r="B23008" s="5" t="str">
        <f t="shared" si="1146"/>
        <v>EXTRACTOR DE AIRE 18''</v>
      </c>
      <c r="C23008" s="6">
        <v>1624000</v>
      </c>
      <c r="D23008" s="5" t="s">
        <v>908</v>
      </c>
      <c r="E23008" s="5" t="str">
        <f t="shared" si="1144"/>
        <v>ACTISALUD-ESTADISTICA</v>
      </c>
      <c r="F23008" s="5" t="str">
        <f>"EXTRACTOR DE AIRE 18'' DE 1/2 HP"</f>
        <v>EXTRACTOR DE AIRE 18'' DE 1/2 HP</v>
      </c>
      <c r="G23008" s="5"/>
    </row>
    <row r="23009" spans="1:7" ht="58.5" customHeight="1" x14ac:dyDescent="0.25">
      <c r="A23009" s="5" t="str">
        <f>"I0000290"</f>
        <v>I0000290</v>
      </c>
      <c r="B23009" s="5" t="str">
        <f t="shared" si="1146"/>
        <v>EXTRACTOR DE AIRE 18''</v>
      </c>
      <c r="C23009" s="6">
        <v>1624000</v>
      </c>
      <c r="D23009" s="5" t="s">
        <v>908</v>
      </c>
      <c r="E23009" s="5" t="str">
        <f t="shared" si="1144"/>
        <v>ACTISALUD-ESTADISTICA</v>
      </c>
      <c r="F23009" s="5" t="str">
        <f>"EXTRACTOR DE AIRE 18'' DE 1/2 HP"</f>
        <v>EXTRACTOR DE AIRE 18'' DE 1/2 HP</v>
      </c>
      <c r="G23009" s="5"/>
    </row>
    <row r="23010" spans="1:7" ht="58.5" customHeight="1" x14ac:dyDescent="0.25">
      <c r="A23010" s="5" t="str">
        <f>"H0000440"</f>
        <v>H0000440</v>
      </c>
      <c r="B23010" s="5" t="str">
        <f>"MESA METALICA AUXILIAR"</f>
        <v>MESA METALICA AUXILIAR</v>
      </c>
      <c r="C23010" s="6">
        <v>6952</v>
      </c>
      <c r="D23010" s="5"/>
      <c r="E23010" s="5" t="str">
        <f t="shared" ref="E23010:E23073" si="1147">"ACTISALUD- CEGDOC-JEFETH DIONISETTY PUERTA FIGUEROA"</f>
        <v>ACTISALUD- CEGDOC-JEFETH DIONISETTY PUERTA FIGUEROA</v>
      </c>
      <c r="F23010" s="5" t="str">
        <f>"Descripcion: MESA TIPO H (MECANOGRAFA CON ALA) SOPORTE METALICO PARTE SUPERIOR EN FORMICA CON 1 GAVETA MIDE 74X65X50 CM Y EL ALA 3X27,5X46,5 CMM Estado: Bueno Placa anterior: 000006018 Material: METAL Color: GRIS Referencia:  Observacion:  Placa padre: Ti"&amp; "po adquisicion: Entidad"</f>
        <v>Descripcion: MESA TIPO H (MECANOGRAFA CON ALA) SOPORTE METALICO PARTE SUPERIOR EN FORMICA CON 1 GAVETA MIDE 74X65X50 CM Y EL ALA 3X27,5X46,5 CMM Estado: Bueno Placa anterior: 000006018 Material: METAL Color: GRIS Referencia:  Observacion:  Placa padre: Tipo adquisicion: Entidad</v>
      </c>
      <c r="G23010" s="5"/>
    </row>
    <row r="23011" spans="1:7" ht="58.5" customHeight="1" x14ac:dyDescent="0.25">
      <c r="A23011" s="5" t="str">
        <f>"H0001332"</f>
        <v>H0001332</v>
      </c>
      <c r="B23011" s="5" t="str">
        <f>"UNIDAD ININTERRUMPIDA DE POTENCIA (UPS) 1.5KW"</f>
        <v>UNIDAD ININTERRUMPIDA DE POTENCIA (UPS) 1.5KW</v>
      </c>
      <c r="C23011" s="6">
        <v>1085000</v>
      </c>
      <c r="D23011" s="5"/>
      <c r="E23011" s="5" t="str">
        <f t="shared" si="1147"/>
        <v>ACTISALUD- CEGDOC-JEFETH DIONISETTY PUERTA FIGUEROA</v>
      </c>
      <c r="F23011" s="5" t="str">
        <f>"Descripcion:2807    UNIDAD ININTERRUMPIDA DE POTENCIA (UPS) 1500W Estado: Bueno Placa anterior:  Material: METALICO Color: NEGRO Referencia:  Observacion:  Placa padre:  Tipo adquisicion : Entidad"</f>
        <v>Descripcion:2807    UNIDAD ININTERRUMPIDA DE POTENCIA (UPS) 1500W Estado: Bueno Placa anterior:  Material: METALICO Color: NEGRO Referencia:  Observacion:  Placa padre:  Tipo adquisicion : Entidad</v>
      </c>
      <c r="G23011" s="5"/>
    </row>
    <row r="23012" spans="1:7" ht="58.5" customHeight="1" x14ac:dyDescent="0.25">
      <c r="A23012" s="5" t="str">
        <f>"H0001333"</f>
        <v>H0001333</v>
      </c>
      <c r="B23012" s="5" t="str">
        <f>"FAX (FACSIMIL)"</f>
        <v>FAX (FACSIMIL)</v>
      </c>
      <c r="C23012" s="6">
        <v>354300</v>
      </c>
      <c r="D23012" s="5"/>
      <c r="E23012" s="5" t="str">
        <f t="shared" si="1147"/>
        <v>ACTISALUD- CEGDOC-JEFETH DIONISETTY PUERTA FIGUEROA</v>
      </c>
      <c r="F23012" s="5" t="str">
        <f>"Descripcion:TELEFONO FAX LINEA EXTERNA Estado: Malo Placa anterior: 000029464 Material:  Color: NEGRO Referencia:  Observacion:  Placa padre:  Tipo adquisicion : Entidad"</f>
        <v>Descripcion:TELEFONO FAX LINEA EXTERNA Estado: Malo Placa anterior: 000029464 Material:  Color: NEGRO Referencia:  Observacion:  Placa padre:  Tipo adquisicion : Entidad</v>
      </c>
      <c r="G23012" s="5"/>
    </row>
    <row r="23013" spans="1:7" ht="58.5" customHeight="1" x14ac:dyDescent="0.25">
      <c r="A23013" s="5" t="str">
        <f>"H0001343"</f>
        <v>H0001343</v>
      </c>
      <c r="B23013" s="5" t="str">
        <f>"PERSIANA"</f>
        <v>PERSIANA</v>
      </c>
      <c r="C23013" s="6">
        <v>200000</v>
      </c>
      <c r="D23013" s="5" t="s">
        <v>807</v>
      </c>
      <c r="E23013" s="5" t="str">
        <f t="shared" si="1147"/>
        <v>ACTISALUD- CEGDOC-JEFETH DIONISETTY PUERTA FIGUEROA</v>
      </c>
      <c r="F23013" s="5" t="str">
        <f>"Descripcion:PERSIANA ENROLLABLES TIPO BLACK CUT DE 90X140CM Estado: Bueno Placa anterior: 000029555 Material: LONA Color: BLANCA Referencia:  Observacion:  Placa padre:  Tipo adquisicion : Entidad"</f>
        <v>Descripcion:PERSIANA ENROLLABLES TIPO BLACK CUT DE 90X140CM Estado: Bueno Placa anterior: 000029555 Material: LONA Color: BLANCA Referencia:  Observacion:  Placa padre:  Tipo adquisicion : Entidad</v>
      </c>
      <c r="G23013" s="5"/>
    </row>
    <row r="23014" spans="1:7" ht="58.5" customHeight="1" x14ac:dyDescent="0.25">
      <c r="A23014" s="5" t="str">
        <f>"H0001344"</f>
        <v>H0001344</v>
      </c>
      <c r="B23014" s="5" t="str">
        <f>"PERSIANA"</f>
        <v>PERSIANA</v>
      </c>
      <c r="C23014" s="6">
        <v>200000</v>
      </c>
      <c r="D23014" s="5" t="s">
        <v>807</v>
      </c>
      <c r="E23014" s="5" t="str">
        <f t="shared" si="1147"/>
        <v>ACTISALUD- CEGDOC-JEFETH DIONISETTY PUERTA FIGUEROA</v>
      </c>
      <c r="F23014" s="5" t="str">
        <f>"Descripcion:PERSIANA ENROLLABLES TIPO BLACK CUT DE 90X140CM Estado: Bueno Placa anterior: 000029556 Material: LONA Color: BLANCA Referencia:  Observacion:  Placa padre:  Tipo adquisicion : Entidad"</f>
        <v>Descripcion:PERSIANA ENROLLABLES TIPO BLACK CUT DE 90X140CM Estado: Bueno Placa anterior: 000029556 Material: LONA Color: BLANCA Referencia:  Observacion:  Placa padre:  Tipo adquisicion : Entidad</v>
      </c>
      <c r="G23014" s="5"/>
    </row>
    <row r="23015" spans="1:7" ht="58.5" customHeight="1" x14ac:dyDescent="0.25">
      <c r="A23015" s="5" t="str">
        <f>"H0001352"</f>
        <v>H0001352</v>
      </c>
      <c r="B23015" s="5" t="str">
        <f>"ESCRITORIO DE MADERA 2 GAVETAS"</f>
        <v>ESCRITORIO DE MADERA 2 GAVETAS</v>
      </c>
      <c r="C23015" s="6">
        <v>745053.84</v>
      </c>
      <c r="D23015" s="5"/>
      <c r="E23015" s="5" t="str">
        <f t="shared" si="1147"/>
        <v>ACTISALUD- CEGDOC-JEFETH DIONISETTY PUERTA FIGUEROA</v>
      </c>
      <c r="F23015" s="5" t="str">
        <f>"Descripcion:ESCRITORIO DE MADERA 2 GAVETAS 74X130X74 Estado: Bueno Placa anterior: 000001350 Material: MADERA Color: MARRON OSCURO Referencia:  Observacion:  Placa padre:  Tipo adquisicion : Entidad"</f>
        <v>Descripcion:ESCRITORIO DE MADERA 2 GAVETAS 74X130X74 Estado: Bueno Placa anterior: 000001350 Material: MADERA Color: MARRON OSCURO Referencia:  Observacion:  Placa padre:  Tipo adquisicion : Entidad</v>
      </c>
      <c r="G23015" s="5"/>
    </row>
    <row r="23016" spans="1:7" ht="58.5" customHeight="1" x14ac:dyDescent="0.25">
      <c r="A23016" s="5" t="str">
        <f>"H0001353"</f>
        <v>H0001353</v>
      </c>
      <c r="B23016" s="5" t="str">
        <f>"EXTINTOR POLVO QUIMICO SECO DE 20LBS ABC"</f>
        <v>EXTINTOR POLVO QUIMICO SECO DE 20LBS ABC</v>
      </c>
      <c r="C23016" s="6">
        <v>118000</v>
      </c>
      <c r="D23016" s="5"/>
      <c r="E23016" s="5" t="str">
        <f t="shared" si="1147"/>
        <v>ACTISALUD- CEGDOC-JEFETH DIONISETTY PUERTA FIGUEROA</v>
      </c>
      <c r="F23016" s="5" t="str">
        <f>"Descripcion:  EXTINTOR POLVO QUIMICO SECO DE 20LBS ABC Estado: Bueno Placa anterior: 000029462 Material:  Color: AMARILLO Referencia:  Observacion:  Placa padre:  Tipo adquisicion : Entidad"</f>
        <v>Descripcion:  EXTINTOR POLVO QUIMICO SECO DE 20LBS ABC Estado: Bueno Placa anterior: 000029462 Material:  Color: AMARILLO Referencia:  Observacion:  Placa padre:  Tipo adquisicion : Entidad</v>
      </c>
      <c r="G23016" s="5"/>
    </row>
    <row r="23017" spans="1:7" ht="58.5" customHeight="1" x14ac:dyDescent="0.25">
      <c r="A23017" s="5" t="str">
        <f>"H0001354"</f>
        <v>H0001354</v>
      </c>
      <c r="B23017" s="5" t="str">
        <f>"AIRE ACONDICIONADO TIPO SPLIT 24000 BTU"</f>
        <v>AIRE ACONDICIONADO TIPO SPLIT 24000 BTU</v>
      </c>
      <c r="C23017" s="6">
        <v>4512400</v>
      </c>
      <c r="D23017" s="5" t="s">
        <v>52</v>
      </c>
      <c r="E23017" s="5" t="str">
        <f t="shared" si="1147"/>
        <v>ACTISALUD- CEGDOC-JEFETH DIONISETTY PUERTA FIGUEROA</v>
      </c>
      <c r="F23017" s="5" t="str">
        <f>"Descripcion:AIRE ACONDICIONADO BTU 24000 Estado: Bueno Placa anterior: 000036404 Material:  Color: BLANCO Referencia:  Observacion:  Placa padre:  Tipo adquisicion : Entidad"</f>
        <v>Descripcion:AIRE ACONDICIONADO BTU 24000 Estado: Bueno Placa anterior: 000036404 Material:  Color: BLANCO Referencia:  Observacion:  Placa padre:  Tipo adquisicion : Entidad</v>
      </c>
      <c r="G23017" s="5" t="str">
        <f>"VM12CEN B3"</f>
        <v>VM12CEN B3</v>
      </c>
    </row>
    <row r="23018" spans="1:7" ht="58.5" customHeight="1" x14ac:dyDescent="0.25">
      <c r="A23018" s="5" t="str">
        <f>"H0001355"</f>
        <v>H0001355</v>
      </c>
      <c r="B23018" s="5" t="str">
        <f>"SILLA INTERLOCUTORA (FIJA) SIN BRAZOS"</f>
        <v>SILLA INTERLOCUTORA (FIJA) SIN BRAZOS</v>
      </c>
      <c r="C23018" s="6">
        <v>9085.11</v>
      </c>
      <c r="D23018" s="5"/>
      <c r="E23018" s="5" t="str">
        <f t="shared" si="1147"/>
        <v>ACTISALUD- CEGDOC-JEFETH DIONISETTY PUERTA FIGUEROA</v>
      </c>
      <c r="F23018" s="5" t="str">
        <f>"Descripcion:SILLA FIJA SIN BRAZOS COLOR MARRON Estado: Bueno Placa anterior: 000024090 Material: METALICO CON TAPIZADO EN SEMICUERO Color: MARRON Referencia:  Observacion:  Placa padre:  Tipo adquisicion : Entidad"</f>
        <v>Descripcion:SILLA FIJA SIN BRAZOS COLOR MARRON Estado: Bueno Placa anterior: 000024090 Material: METALICO CON TAPIZADO EN SEMICUERO Color: MARRON Referencia:  Observacion:  Placa padre:  Tipo adquisicion : Entidad</v>
      </c>
      <c r="G23018" s="5"/>
    </row>
    <row r="23019" spans="1:7" ht="58.5" customHeight="1" x14ac:dyDescent="0.25">
      <c r="A23019" s="5" t="str">
        <f>"H0001356"</f>
        <v>H0001356</v>
      </c>
      <c r="B23019" s="5" t="str">
        <f>"COMPUTADOR TODO EN UNO"</f>
        <v>COMPUTADOR TODO EN UNO</v>
      </c>
      <c r="C23019" s="6">
        <v>2470000</v>
      </c>
      <c r="D23019" s="5" t="s">
        <v>6</v>
      </c>
      <c r="E23019" s="5" t="str">
        <f t="shared" si="1147"/>
        <v>ACTISALUD- CEGDOC-JEFETH DIONISETTY PUERTA FIGUEROA</v>
      </c>
      <c r="F23019" s="5" t="str">
        <f>"Descripcion:  COMPUTADOR TODO EN UNO PANTALLA 19  CORE i5  Estado: Bueno Placa anterior: 000037002 Material:  Color: NEGRO Referencia:  Observacion:  Placa anterior:, Placa nueva=H0001357, Descripcion:TECLADO , Serial:8259079, Marca:LENOVO, Modelo:, Mater"&amp; "ial:, Color:NEGRO,   Referencia:, Placa anterior:, Placa nueva=H0001358, Descripcion:MOUSE OPTICO, Serial:44PD596, Marca:LENOVO, Modelo:, Material:, Color:NEGRO,   Referencia: Placa padre:  Tipo adquisicion : Entidad"</f>
        <v>Descripcion:  COMPUTADOR TODO EN UNO PANTALLA 19  CORE i5  Estado: Bueno Placa anterior: 000037002 Material:  Color: NEGRO Referencia:  Observacion:  Placa anterior:, Placa nueva=H0001357, Descripcion:TECLADO , Serial:8259079, Marca:LENOVO, Modelo:, Material:, Color:NEGRO,   Referencia:, Placa anterior:, Placa nueva=H0001358, Descripcion:MOUSE OPTICO, Serial:44PD596, Marca:LENOVO, Modelo:, Material:, Color:NEGRO,   Referencia: Placa padre:  Tipo adquisicion : Entidad</v>
      </c>
      <c r="G23019" s="5"/>
    </row>
    <row r="23020" spans="1:7" ht="58.5" customHeight="1" x14ac:dyDescent="0.25">
      <c r="A23020" s="5" t="str">
        <f>"H0001369"</f>
        <v>H0001369</v>
      </c>
      <c r="B23020" s="5" t="str">
        <f>"IMPRESORA TERMICA"</f>
        <v>IMPRESORA TERMICA</v>
      </c>
      <c r="C23020" s="6">
        <v>1070000</v>
      </c>
      <c r="D23020" s="5" t="s">
        <v>909</v>
      </c>
      <c r="E23020" s="5" t="str">
        <f t="shared" si="1147"/>
        <v>ACTISALUD- CEGDOC-JEFETH DIONISETTY PUERTA FIGUEROA</v>
      </c>
      <c r="F23020" s="5" t="str">
        <f>"Descripcion: IMPRESORA TERMICA DE INFORMACION TIPO ZEBRA Estado: Bueno Placa anterior: 000030545 Material:  Color: BEIGE Referencia:  Observacion:  Placa padre:  Tipo adquisicion : Entidad"</f>
        <v>Descripcion: IMPRESORA TERMICA DE INFORMACION TIPO ZEBRA Estado: Bueno Placa anterior: 000030545 Material:  Color: BEIGE Referencia:  Observacion:  Placa padre:  Tipo adquisicion : Entidad</v>
      </c>
      <c r="G23020" s="5"/>
    </row>
    <row r="23021" spans="1:7" ht="58.5" customHeight="1" x14ac:dyDescent="0.25">
      <c r="A23021" s="5" t="str">
        <f>"H0001371"</f>
        <v>H0001371</v>
      </c>
      <c r="B23021" s="5" t="str">
        <f>"ESCANER DE DOCUMENTOS"</f>
        <v>ESCANER DE DOCUMENTOS</v>
      </c>
      <c r="C23021" s="6">
        <v>44138000</v>
      </c>
      <c r="D23021" s="5" t="s">
        <v>789</v>
      </c>
      <c r="E23021" s="5" t="str">
        <f t="shared" si="1147"/>
        <v>ACTISALUD- CEGDOC-JEFETH DIONISETTY PUERTA FIGUEROA</v>
      </c>
      <c r="F23021" s="5" t="str">
        <f>"Descripcion:ESCANER DE ALTA VELOCIDAD: ESCANEO DE MAS DE 112 HOJAS POR MINUTO. Estado: Bueno Placa anterior: 000030512 Material:  Color: BLANCO CON AZUL Referencia:  Observacion:  Placa padre:  Tipo adquisicion : Entidad"</f>
        <v>Descripcion:ESCANER DE ALTA VELOCIDAD: ESCANEO DE MAS DE 112 HOJAS POR MINUTO. Estado: Bueno Placa anterior: 000030512 Material:  Color: BLANCO CON AZUL Referencia:  Observacion:  Placa padre:  Tipo adquisicion : Entidad</v>
      </c>
      <c r="G23021" s="5" t="str">
        <f>"DOCUMATE 4799"</f>
        <v>DOCUMATE 4799</v>
      </c>
    </row>
    <row r="23022" spans="1:7" ht="58.5" customHeight="1" x14ac:dyDescent="0.25">
      <c r="A23022" s="5" t="str">
        <f>"H0001380"</f>
        <v>H0001380</v>
      </c>
      <c r="B23022" s="5" t="str">
        <f>"COMPUTADOR TODO EN UNO"</f>
        <v>COMPUTADOR TODO EN UNO</v>
      </c>
      <c r="C23022" s="6">
        <v>1572000</v>
      </c>
      <c r="D23022" s="5" t="s">
        <v>32</v>
      </c>
      <c r="E23022" s="5" t="str">
        <f t="shared" si="1147"/>
        <v>ACTISALUD- CEGDOC-JEFETH DIONISETTY PUERTA FIGUEROA</v>
      </c>
      <c r="F23022" s="5" t="str">
        <f>"Descripcion:COMPUTADOR TODO EN UNO PROCESADOR CORE 3.0 PANTALLA 21  Estado: Bueno Placa anterior: 000030583 Material:  Color: NEGRO Referencia:  Observacion:  Placa anterior:, Placa nueva=H0001381, Descripcion:TECLADO , Serial:BDMHE0CCVB5I2YB, Marca:HP, M"&amp; "odelo:, Material:, Color:NEGRO,   Referencia:, Placa anterior:, Placa nueva=H0001382, Descripcion:MOUSE OPTICO, Serial:, Marca:HP, Modelo:, Material:, Color:NEGRO,   Referencia: Placa padre:  Tipo adquisicion : Entidad"</f>
        <v>Descripcion:COMPUTADOR TODO EN UNO PROCESADOR CORE 3.0 PANTALLA 21  Estado: Bueno Placa anterior: 000030583 Material:  Color: NEGRO Referencia:  Observacion:  Placa anterior:, Placa nueva=H0001381, Descripcion:TECLADO , Serial:BDMHE0CCVB5I2YB, Marca:HP, Modelo:, Material:, Color:NEGRO,   Referencia:, Placa anterior:, Placa nueva=H0001382, Descripcion:MOUSE OPTICO, Serial:, Marca:HP, Modelo:, Material:, Color:NEGRO,   Referencia: Placa padre:  Tipo adquisicion : Entidad</v>
      </c>
      <c r="G23022" s="5" t="str">
        <f>"COMPAQ PRO 4300"</f>
        <v>COMPAQ PRO 4300</v>
      </c>
    </row>
    <row r="23023" spans="1:7" ht="58.5" customHeight="1" x14ac:dyDescent="0.25">
      <c r="A23023" s="5" t="str">
        <f>"H0001764"</f>
        <v>H0001764</v>
      </c>
      <c r="B23023" s="5" t="str">
        <f>"NEVERA 3 PIES (84LT)"</f>
        <v>NEVERA 3 PIES (84LT)</v>
      </c>
      <c r="C23023" s="6">
        <v>452400</v>
      </c>
      <c r="D23023" s="5"/>
      <c r="E23023" s="5" t="str">
        <f t="shared" si="1147"/>
        <v>ACTISALUD- CEGDOC-JEFETH DIONISETTY PUERTA FIGUEROA</v>
      </c>
      <c r="F23023" s="5" t="str">
        <f>"Descripcion: REFRIGERADOR DE 3 PIES  Estado: Bueno Placa anterior: 000022616 Material:  Color: BLANCO Referencia:  Observacion:  Placa padre: Tipo adquisicion: Entidad"</f>
        <v>Descripcion: REFRIGERADOR DE 3 PIES  Estado: Bueno Placa anterior: 000022616 Material:  Color: BLANCO Referencia:  Observacion:  Placa padre: Tipo adquisicion: Entidad</v>
      </c>
      <c r="G23023" s="5" t="str">
        <f>"SRG-118"</f>
        <v>SRG-118</v>
      </c>
    </row>
    <row r="23024" spans="1:7" ht="58.5" customHeight="1" x14ac:dyDescent="0.25">
      <c r="A23024" s="5" t="str">
        <f>"H0002672"</f>
        <v>H0002672</v>
      </c>
      <c r="B23024" s="5" t="str">
        <f>"ENRUTADOR (ROUTER) INALAMBRICO (ACCES POINT)"</f>
        <v>ENRUTADOR (ROUTER) INALAMBRICO (ACCES POINT)</v>
      </c>
      <c r="C23024" s="6">
        <v>323640</v>
      </c>
      <c r="D23024" s="5"/>
      <c r="E23024" s="5" t="str">
        <f t="shared" si="1147"/>
        <v>ACTISALUD- CEGDOC-JEFETH DIONISETTY PUERTA FIGUEROA</v>
      </c>
      <c r="F23024" s="5" t="str">
        <f>"Descripcion:INDOOR ACCESS POINT, 3 ANTENAS DE COLOR GRIS, CABLE DE RED, CARGADOR Estado: Excelente Placa anterior: 000037073 Material: PASTA Color: BLANCO Y GRIS Referencia:  Observacion:  Placa padre:  Tipo adquisicion : Entidad"</f>
        <v>Descripcion:INDOOR ACCESS POINT, 3 ANTENAS DE COLOR GRIS, CABLE DE RED, CARGADOR Estado: Excelente Placa anterior: 000037073 Material: PASTA Color: BLANCO Y GRIS Referencia:  Observacion:  Placa padre:  Tipo adquisicion : Entidad</v>
      </c>
      <c r="G23024" s="5" t="str">
        <f>"TL-WA901ND"</f>
        <v>TL-WA901ND</v>
      </c>
    </row>
    <row r="23025" spans="1:7" ht="58.5" customHeight="1" x14ac:dyDescent="0.25">
      <c r="A23025" s="5" t="str">
        <f>"H0002700"</f>
        <v>H0002700</v>
      </c>
      <c r="B23025" s="5" t="str">
        <f>"FUENTE DE PODER"</f>
        <v>FUENTE DE PODER</v>
      </c>
      <c r="C23025" s="6">
        <v>11200</v>
      </c>
      <c r="D23025" s="5"/>
      <c r="E23025" s="5" t="str">
        <f t="shared" si="1147"/>
        <v>ACTISALUD- CEGDOC-JEFETH DIONISETTY PUERTA FIGUEROA</v>
      </c>
      <c r="F23025" s="5" t="str">
        <f>"Descripcion:FUENTE DE PODER 12V 1A Estado: Excelente Placa anterior: 000030757 Material: PASTA Color: NEGRO Referencia:  Observacion:  Placa padre:  Tipo adquisicion : Entidad"</f>
        <v>Descripcion:FUENTE DE PODER 12V 1A Estado: Excelente Placa anterior: 000030757 Material: PASTA Color: NEGRO Referencia:  Observacion:  Placa padre:  Tipo adquisicion : Entidad</v>
      </c>
      <c r="G23025" s="5"/>
    </row>
    <row r="23026" spans="1:7" ht="58.5" customHeight="1" x14ac:dyDescent="0.25">
      <c r="A23026" s="5" t="str">
        <f>"H0002930"</f>
        <v>H0002930</v>
      </c>
      <c r="B23026" s="5" t="str">
        <f>"MESA DE MADERA"</f>
        <v>MESA DE MADERA</v>
      </c>
      <c r="C23026" s="6">
        <v>15200</v>
      </c>
      <c r="D23026" s="5"/>
      <c r="E23026" s="5" t="str">
        <f t="shared" si="1147"/>
        <v>ACTISALUD- CEGDOC-JEFETH DIONISETTY PUERTA FIGUEROA</v>
      </c>
      <c r="F23026" s="5" t="str">
        <f>"Descripcion:MESA DE MADERA, 1 GAVETA  Estado: Bueno Placa anterior: 000002879 Material: MADERA Color: MARRON Referencia:  Observacion: ESTABA EN EL PISO 12 Placa padre:  Tipo adquisicion : Entidad"</f>
        <v>Descripcion:MESA DE MADERA, 1 GAVETA  Estado: Bueno Placa anterior: 000002879 Material: MADERA Color: MARRON Referencia:  Observacion: ESTABA EN EL PISO 12 Placa padre:  Tipo adquisicion : Entidad</v>
      </c>
      <c r="G23026" s="5"/>
    </row>
    <row r="23027" spans="1:7" ht="58.5" customHeight="1" x14ac:dyDescent="0.25">
      <c r="A23027" s="5" t="str">
        <f>"H0005135"</f>
        <v>H0005135</v>
      </c>
      <c r="B23027" s="5" t="str">
        <f>"MESA DE MADERA PARA COMPUTADOR"</f>
        <v>MESA DE MADERA PARA COMPUTADOR</v>
      </c>
      <c r="C23027" s="6">
        <v>194717.6</v>
      </c>
      <c r="D23027" s="5"/>
      <c r="E23027" s="5" t="str">
        <f t="shared" si="1147"/>
        <v>ACTISALUD- CEGDOC-JEFETH DIONISETTY PUERTA FIGUEROA</v>
      </c>
      <c r="F23027" s="5" t="str">
        <f>"Descripcion: MESA PARA COMPUTADOR CON CHAPA Estado: Bueno Placa anterior: 000001484 Material: MADERA Color: BEIGE Referencia:  Observacion:  Placa padre: Tipo adquisicion: Entidad"</f>
        <v>Descripcion: MESA PARA COMPUTADOR CON CHAPA Estado: Bueno Placa anterior: 000001484 Material: MADERA Color: BEIGE Referencia:  Observacion:  Placa padre: Tipo adquisicion: Entidad</v>
      </c>
      <c r="G23027" s="5"/>
    </row>
    <row r="23028" spans="1:7" ht="58.5" customHeight="1" x14ac:dyDescent="0.25">
      <c r="A23028" s="5" t="str">
        <f>"H0005136"</f>
        <v>H0005136</v>
      </c>
      <c r="B23028" s="5" t="str">
        <f>"ESCRITORIO DE MADERA 1 GAVETA"</f>
        <v>ESCRITORIO DE MADERA 1 GAVETA</v>
      </c>
      <c r="C23028" s="6">
        <v>115200</v>
      </c>
      <c r="D23028" s="5"/>
      <c r="E23028" s="5" t="str">
        <f t="shared" si="1147"/>
        <v>ACTISALUD- CEGDOC-JEFETH DIONISETTY PUERTA FIGUEROA</v>
      </c>
      <c r="F23028" s="5" t="str">
        <f>"Descripcion: ESCRITORIO DE MADERA CON VIDRIO Estado: Bueno Placa anterior: 000002221 Material: MADERA Color:  Referencia:  Observacion:  Placa padre: Tipo adquisicion: Entidad"</f>
        <v>Descripcion: ESCRITORIO DE MADERA CON VIDRIO Estado: Bueno Placa anterior: 000002221 Material: MADERA Color:  Referencia:  Observacion:  Placa padre: Tipo adquisicion: Entidad</v>
      </c>
      <c r="G23028" s="5"/>
    </row>
    <row r="23029" spans="1:7" ht="58.5" customHeight="1" x14ac:dyDescent="0.25">
      <c r="A23029" s="5" t="str">
        <f>"H0005327"</f>
        <v>H0005327</v>
      </c>
      <c r="B23029" s="5" t="str">
        <f>"MULTIMUEBLE ENCHAPADO EN FORMICA"</f>
        <v>MULTIMUEBLE ENCHAPADO EN FORMICA</v>
      </c>
      <c r="C23029" s="6">
        <v>798000</v>
      </c>
      <c r="D23029" s="5"/>
      <c r="E23029" s="5" t="str">
        <f t="shared" si="1147"/>
        <v>ACTISALUD- CEGDOC-JEFETH DIONISETTY PUERTA FIGUEROA</v>
      </c>
      <c r="F23029" s="5" t="str">
        <f>"Descripcion:TRES ENTREPAÑOSDOS PUERTASTRES GAVETAS195X135X55 Estado: Bueno Placa anterior:  Material: MADEFLEX Color: MADERA Referencia:  Observacion:  Placa padre:  Tipo adquisicion : Entidad"</f>
        <v>Descripcion:TRES ENTREPAÑOSDOS PUERTASTRES GAVETAS195X135X55 Estado: Bueno Placa anterior:  Material: MADEFLEX Color: MADERA Referencia:  Observacion:  Placa padre:  Tipo adquisicion : Entidad</v>
      </c>
      <c r="G23029" s="5"/>
    </row>
    <row r="23030" spans="1:7" ht="58.5" customHeight="1" x14ac:dyDescent="0.25">
      <c r="A23030" s="5" t="str">
        <f>"H0005375"</f>
        <v>H0005375</v>
      </c>
      <c r="B23030" s="5" t="str">
        <f>"COMPUTADOR TODO EN UNO"</f>
        <v>COMPUTADOR TODO EN UNO</v>
      </c>
      <c r="C23030" s="6">
        <v>1200000</v>
      </c>
      <c r="D23030" s="5" t="s">
        <v>2</v>
      </c>
      <c r="E23030" s="5" t="str">
        <f t="shared" si="1147"/>
        <v>ACTISALUD- CEGDOC-JEFETH DIONISETTY PUERTA FIGUEROA</v>
      </c>
      <c r="F23030" s="5" t="str">
        <f>"Descripcion:COMPUTADOR TODO EN UNO PROCESADOR: Intel pentiun G645 (2.9 Ghz/3MB/2 nucleos) memoria RAM 4GB DDR3-1600 SODIMM (1X4GB) Disco duro 500GB 7200 RPMSATA-6G Multi DVD/RM Licencia win 8 pro 64 Downgrade to Win 7 pro 64 o supervisor USB Keyboard Usbe"&amp; " Optical, m Estado: Excelente Placa anterior: 000030798 Material: PLASTICO Color: NEGRO Referencia: C9K24LT#ABM Observacion:  Placa anterior:, Placa nueva=H0005377, Descripcion:OPTICO, Serial:, Marca:HP, Modelo:APOLLO-OU, Material:PLASTICO, Color:NEGRO,  "&amp; " Referencia:, Placa anterior:, Placa nueva=H0005376, Descripcion:., Serial:BCZZN0BVB4C2HK, Marca:HP, Modelo:KU-1156, Material:PLASTICO, Color:NEGRO,   Referencia:672647-162LA Placa padre:  Tipo adquisicion : Entidad"</f>
        <v>Descripcion:COMPUTADOR TODO EN UNO PROCESADOR: Intel pentiun G645 (2.9 Ghz/3MB/2 nucleos) memoria RAM 4GB DDR3-1600 SODIMM (1X4GB) Disco duro 500GB 7200 RPMSATA-6G Multi DVD/RM Licencia win 8 pro 64 Downgrade to Win 7 pro 64 o supervisor USB Keyboard Usbe Optical, m Estado: Excelente Placa anterior: 000030798 Material: PLASTICO Color: NEGRO Referencia: C9K24LT#ABM Observacion:  Placa anterior:, Placa nueva=H0005377, Descripcion:OPTICO, Serial:, Marca:HP, Modelo:APOLLO-OU, Material:PLASTICO, Color:NEGRO,   Referencia:, Placa anterior:, Placa nueva=H0005376, Descripcion:., Serial:BCZZN0BVB4C2HK, Marca:HP, Modelo:KU-1156, Material:PLASTICO, Color:NEGRO,   Referencia:672647-162LA Placa padre:  Tipo adquisicion : Entidad</v>
      </c>
      <c r="G23030" s="5" t="str">
        <f>"HP COMPAQ PRO 4300"</f>
        <v>HP COMPAQ PRO 4300</v>
      </c>
    </row>
    <row r="23031" spans="1:7" ht="58.5" customHeight="1" x14ac:dyDescent="0.25">
      <c r="A23031" s="5" t="str">
        <f>"H0009849"</f>
        <v>H0009849</v>
      </c>
      <c r="B23031" s="5" t="str">
        <f>"SILLA ERGONOMICA TIPO SECRETARIA SIN BRAZOS"</f>
        <v>SILLA ERGONOMICA TIPO SECRETARIA SIN BRAZOS</v>
      </c>
      <c r="C23031" s="6">
        <v>552306</v>
      </c>
      <c r="D23031" s="5" t="s">
        <v>689</v>
      </c>
      <c r="E23031" s="5" t="str">
        <f t="shared" si="1147"/>
        <v>ACTISALUD- CEGDOC-JEFETH DIONISETTY PUERTA FIGUEROA</v>
      </c>
      <c r="F23031" s="5" t="str">
        <f>"Descripcion: SILLA ERGONOMICA PE M CPA Estado: Bueno Placa anterior: 000037675 Material: METALICO Color: NEGRO Referencia:  Observacion:  Placa padre: Tipo adquisicion: Entidad"</f>
        <v>Descripcion: SILLA ERGONOMICA PE M CPA Estado: Bueno Placa anterior: 000037675 Material: METALICO Color: NEGRO Referencia:  Observacion:  Placa padre: Tipo adquisicion: Entidad</v>
      </c>
      <c r="G23031" s="5"/>
    </row>
    <row r="23032" spans="1:7" ht="58.5" customHeight="1" x14ac:dyDescent="0.25">
      <c r="A23032" s="5" t="str">
        <f>"H0009937"</f>
        <v>H0009937</v>
      </c>
      <c r="B23032" s="5" t="str">
        <f>"SILLA ERGONOMICA TIPO SECRETARIA SIN BRAZOS"</f>
        <v>SILLA ERGONOMICA TIPO SECRETARIA SIN BRAZOS</v>
      </c>
      <c r="C23032" s="6">
        <v>552306</v>
      </c>
      <c r="D23032" s="5" t="s">
        <v>689</v>
      </c>
      <c r="E23032" s="5" t="str">
        <f t="shared" si="1147"/>
        <v>ACTISALUD- CEGDOC-JEFETH DIONISETTY PUERTA FIGUEROA</v>
      </c>
      <c r="F23032" s="5" t="str">
        <f>"Descripcion: SILLA ERGONOMICA PE M CPATAPIZADA EN PAÑO NEGRO Estado: Bueno Placa anterior: 000037674 Material: METALICO Color: NEGRO Referencia:  Observacion:  Placa padre: Tipo adquisicion: Entidad"</f>
        <v>Descripcion: SILLA ERGONOMICA PE M CPATAPIZADA EN PAÑO NEGRO Estado: Bueno Placa anterior: 000037674 Material: METALICO Color: NEGRO Referencia:  Observacion:  Placa padre: Tipo adquisicion: Entidad</v>
      </c>
      <c r="G23032" s="5"/>
    </row>
    <row r="23033" spans="1:7" ht="58.5" customHeight="1" x14ac:dyDescent="0.25">
      <c r="A23033" s="5" t="str">
        <f>"H0010704"</f>
        <v>H0010704</v>
      </c>
      <c r="B23033" s="5" t="str">
        <f>"MESA METALICA"</f>
        <v>MESA METALICA</v>
      </c>
      <c r="C23033" s="6">
        <v>5500</v>
      </c>
      <c r="D23033" s="5"/>
      <c r="E23033" s="5" t="str">
        <f t="shared" si="1147"/>
        <v>ACTISALUD- CEGDOC-JEFETH DIONISETTY PUERTA FIGUEROA</v>
      </c>
      <c r="F23033" s="5" t="str">
        <f>"Descripcion: MESA TIPO G (PEQUEÑA CON RODACHINES - TINTO) Estado: Bueno Placa anterior: 000000463 Material: METAL Color: GRIS Referencia:  Observacion:  Placa padre: Tipo adquisicion: Entidad"</f>
        <v>Descripcion: MESA TIPO G (PEQUEÑA CON RODACHINES - TINTO) Estado: Bueno Placa anterior: 000000463 Material: METAL Color: GRIS Referencia:  Observacion:  Placa padre: Tipo adquisicion: Entidad</v>
      </c>
      <c r="G23033" s="5"/>
    </row>
    <row r="23034" spans="1:7" ht="58.5" customHeight="1" x14ac:dyDescent="0.25">
      <c r="A23034" s="5" t="str">
        <f>"H0015915"</f>
        <v>H0015915</v>
      </c>
      <c r="B23034" s="5" t="str">
        <f>"SILLA ERGONOMICA TIPO SECRETARIA SIN BRAZOS"</f>
        <v>SILLA ERGONOMICA TIPO SECRETARIA SIN BRAZOS</v>
      </c>
      <c r="C23034" s="6">
        <v>552306</v>
      </c>
      <c r="D23034" s="5" t="s">
        <v>689</v>
      </c>
      <c r="E23034" s="5" t="str">
        <f t="shared" si="1147"/>
        <v>ACTISALUD- CEGDOC-JEFETH DIONISETTY PUERTA FIGUEROA</v>
      </c>
      <c r="F23034" s="5" t="str">
        <f>"Descripcion: SILLA ERGONOMICA PE M CPA Estado: Bueno Placa anterior: 000037671 Material: TAPIZADO  Color: NEGRO Referencia:  Observacion:  Placa padre: Tipo adquisicion: Entidad"</f>
        <v>Descripcion: SILLA ERGONOMICA PE M CPA Estado: Bueno Placa anterior: 000037671 Material: TAPIZADO  Color: NEGRO Referencia:  Observacion:  Placa padre: Tipo adquisicion: Entidad</v>
      </c>
      <c r="G23034" s="5"/>
    </row>
    <row r="23035" spans="1:7" ht="58.5" customHeight="1" x14ac:dyDescent="0.25">
      <c r="A23035" s="5" t="str">
        <f>"H0015916"</f>
        <v>H0015916</v>
      </c>
      <c r="B23035" s="5" t="str">
        <f>"SILLA ERGONOMICA TIPO SECRETARIA SIN BRAZOS"</f>
        <v>SILLA ERGONOMICA TIPO SECRETARIA SIN BRAZOS</v>
      </c>
      <c r="C23035" s="6">
        <v>552306</v>
      </c>
      <c r="D23035" s="5" t="s">
        <v>689</v>
      </c>
      <c r="E23035" s="5" t="str">
        <f t="shared" si="1147"/>
        <v>ACTISALUD- CEGDOC-JEFETH DIONISETTY PUERTA FIGUEROA</v>
      </c>
      <c r="F23035" s="5" t="str">
        <f>"Descripcion: SILLA ERGONOMICA PE M CPA Estado: Bueno Placa anterior: 000037676 Material: TAPIZADO Color: NEGRO Referencia:  Observacion:  Placa padre: Tipo adquisicion: Entidad"</f>
        <v>Descripcion: SILLA ERGONOMICA PE M CPA Estado: Bueno Placa anterior: 000037676 Material: TAPIZADO Color: NEGRO Referencia:  Observacion:  Placa padre: Tipo adquisicion: Entidad</v>
      </c>
      <c r="G23035" s="5"/>
    </row>
    <row r="23036" spans="1:7" ht="58.5" customHeight="1" x14ac:dyDescent="0.25">
      <c r="A23036" s="5" t="str">
        <f>"H0015917"</f>
        <v>H0015917</v>
      </c>
      <c r="B23036" s="5" t="str">
        <f>"SILLA ERGONOMICA TIPO SECRETARIA SIN BRAZOS"</f>
        <v>SILLA ERGONOMICA TIPO SECRETARIA SIN BRAZOS</v>
      </c>
      <c r="C23036" s="6">
        <v>552306</v>
      </c>
      <c r="D23036" s="5" t="s">
        <v>689</v>
      </c>
      <c r="E23036" s="5" t="str">
        <f t="shared" si="1147"/>
        <v>ACTISALUD- CEGDOC-JEFETH DIONISETTY PUERTA FIGUEROA</v>
      </c>
      <c r="F23036" s="5" t="str">
        <f>"Descripcion: SILLA ERGONOMICA PE M CPA Estado: Bueno Placa anterior: 000037673 Material: TAPIZADO Color: NEGRO Referencia:  Observacion:  Placa padre: Tipo adquisicion: Entidad"</f>
        <v>Descripcion: SILLA ERGONOMICA PE M CPA Estado: Bueno Placa anterior: 000037673 Material: TAPIZADO Color: NEGRO Referencia:  Observacion:  Placa padre: Tipo adquisicion: Entidad</v>
      </c>
      <c r="G23036" s="5"/>
    </row>
    <row r="23037" spans="1:7" ht="58.5" customHeight="1" x14ac:dyDescent="0.25">
      <c r="A23037" s="5" t="str">
        <f>"H0016030"</f>
        <v>H0016030</v>
      </c>
      <c r="B23037" s="5" t="str">
        <f>"SILLA ERGONOMICA TIPO SECRETARIA SIN BRAZOS"</f>
        <v>SILLA ERGONOMICA TIPO SECRETARIA SIN BRAZOS</v>
      </c>
      <c r="C23037" s="6">
        <v>552306</v>
      </c>
      <c r="D23037" s="5" t="s">
        <v>689</v>
      </c>
      <c r="E23037" s="5" t="str">
        <f t="shared" si="1147"/>
        <v>ACTISALUD- CEGDOC-JEFETH DIONISETTY PUERTA FIGUEROA</v>
      </c>
      <c r="F23037" s="5" t="str">
        <f>"Descripcion: SILLA ERGONOMICA PE M CPATAPIZADA EN PAÑO NEGRO Estado: Bueno Placa anterior: 000037672 Material: PASTA METAL Color: NEGRO Referencia:  Observacion:  Placa padre: Tipo adquisicion: Entidad"</f>
        <v>Descripcion: SILLA ERGONOMICA PE M CPATAPIZADA EN PAÑO NEGRO Estado: Bueno Placa anterior: 000037672 Material: PASTA METAL Color: NEGRO Referencia:  Observacion:  Placa padre: Tipo adquisicion: Entidad</v>
      </c>
      <c r="G23037" s="5"/>
    </row>
    <row r="23038" spans="1:7" ht="58.5" customHeight="1" x14ac:dyDescent="0.25">
      <c r="A23038" s="5" t="str">
        <f>"H0016238"</f>
        <v>H0016238</v>
      </c>
      <c r="B2303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038" s="6">
        <v>196350</v>
      </c>
      <c r="D23038" s="5" t="s">
        <v>77</v>
      </c>
      <c r="E23038" s="5" t="str">
        <f t="shared" si="1147"/>
        <v>ACTISALUD- CEGDOC-JEFETH DIONISETTY PUERTA FIGUEROA</v>
      </c>
      <c r="F23038" s="5"/>
      <c r="G23038" s="5"/>
    </row>
    <row r="23039" spans="1:7" ht="58.5" customHeight="1" x14ac:dyDescent="0.25">
      <c r="A23039" s="5" t="str">
        <f>"H0018783"</f>
        <v>H0018783</v>
      </c>
      <c r="B23039" s="5" t="str">
        <f>"ESTANTE METALICO 4 ENTREPAÑOS"</f>
        <v>ESTANTE METALICO 4 ENTREPAÑOS</v>
      </c>
      <c r="C23039" s="6">
        <v>8840.07</v>
      </c>
      <c r="D23039" s="5"/>
      <c r="E23039" s="5" t="str">
        <f t="shared" si="1147"/>
        <v>ACTISALUD- CEGDOC-JEFETH DIONISETTY PUERTA FIGUEROA</v>
      </c>
      <c r="F23039" s="5" t="str">
        <f>"Descripcion:ESTANTE  Estado: Bueno Placa anterior: 000002304 Material: METALICO Color: GRIS Referencia:  Observacion: AUTORIZADO CONCILIAR EN CRUCE GENERAL Placa padre:  Tipo adquisicion : Entidad"</f>
        <v>Descripcion:ESTANTE  Estado: Bueno Placa anterior: 000002304 Material: METALICO Color: GRIS Referencia:  Observacion: AUTORIZADO CONCILIAR EN CRUCE GENERAL Placa padre:  Tipo adquisicion : Entidad</v>
      </c>
      <c r="G23039" s="5"/>
    </row>
    <row r="23040" spans="1:7" ht="58.5" customHeight="1" x14ac:dyDescent="0.25">
      <c r="A23040" s="5" t="str">
        <f>"H0018785"</f>
        <v>H0018785</v>
      </c>
      <c r="B23040" s="5" t="str">
        <f>"ESTANTE METALICO 5 ENTREPAÑOS"</f>
        <v>ESTANTE METALICO 5 ENTREPAÑOS</v>
      </c>
      <c r="C23040" s="6">
        <v>18479.71</v>
      </c>
      <c r="D23040" s="5"/>
      <c r="E23040" s="5" t="str">
        <f t="shared" si="1147"/>
        <v>ACTISALUD- CEGDOC-JEFETH DIONISETTY PUERTA FIGUEROA</v>
      </c>
      <c r="F23040" s="5" t="str">
        <f>"Descripcion:ESTANTE METALICO Estado: Bueno Placa anterior: 000008709 Material: METALICO Color: GRIS CLARO Referencia:  Observacion:  Placa padre:  Tipo adquisicion : Entidad"</f>
        <v>Descripcion:ESTANTE METALICO Estado: Bueno Placa anterior: 000008709 Material: METALICO Color: GRIS CLARO Referencia:  Observacion:  Placa padre:  Tipo adquisicion : Entidad</v>
      </c>
      <c r="G23040" s="5"/>
    </row>
    <row r="23041" spans="1:7" ht="58.5" customHeight="1" x14ac:dyDescent="0.25">
      <c r="A23041" s="5" t="str">
        <f>"H0020412"</f>
        <v>H0020412</v>
      </c>
      <c r="B23041" s="5" t="str">
        <f>"ESTANTE METALICO 6 ENTREPAÑOS"</f>
        <v>ESTANTE METALICO 6 ENTREPAÑOS</v>
      </c>
      <c r="C23041" s="6">
        <v>27590.38</v>
      </c>
      <c r="D23041" s="5"/>
      <c r="E23041" s="5" t="str">
        <f t="shared" si="1147"/>
        <v>ACTISALUD- CEGDOC-JEFETH DIONISETTY PUERTA FIGUEROA</v>
      </c>
      <c r="F23041" s="5" t="str">
        <f>"Descripcion:ESTANTE METALICO DE 6 ENTREPAÑOS Estado: Bueno Placa anterior: 000021151 Material: METAL Color: GRIS Referencia:  Observacion: FUNCIONARIO AUTORIZA SE CONCILIE CON BIENES DE SEVILLA Placa padre:  Tipo adquisicion : Entidad"</f>
        <v>Descripcion:ESTANTE METALICO DE 6 ENTREPAÑOS Estado: Bueno Placa anterior: 000021151 Material: METAL Color: GRIS Referencia:  Observacion: FUNCIONARIO AUTORIZA SE CONCILIE CON BIENES DE SEVILLA Placa padre:  Tipo adquisicion : Entidad</v>
      </c>
      <c r="G23041" s="5"/>
    </row>
    <row r="23042" spans="1:7" ht="58.5" customHeight="1" x14ac:dyDescent="0.25">
      <c r="A23042" s="5" t="str">
        <f>"H0020413"</f>
        <v>H0020413</v>
      </c>
      <c r="B23042" s="5" t="str">
        <f>"ESTANTE METALICO 6 ENTREPAÑOS"</f>
        <v>ESTANTE METALICO 6 ENTREPAÑOS</v>
      </c>
      <c r="C23042" s="6">
        <v>37633</v>
      </c>
      <c r="D23042" s="5"/>
      <c r="E23042" s="5" t="str">
        <f t="shared" si="1147"/>
        <v>ACTISALUD- CEGDOC-JEFETH DIONISETTY PUERTA FIGUEROA</v>
      </c>
      <c r="F23042" s="5" t="str">
        <f>"Descripcion:ESTANTE METALICO DE 6 ENTREPAÑOS Estado: Bueno Placa anterior: 000000938 Material: METAL Color: GRIS Referencia:  Observacion:  Placa padre:  Tipo adquisicion : Entidad"</f>
        <v>Descripcion:ESTANTE METALICO DE 6 ENTREPAÑOS Estado: Bueno Placa anterior: 000000938 Material: METAL Color: GRIS Referencia:  Observacion:  Placa padre:  Tipo adquisicion : Entidad</v>
      </c>
      <c r="G23042" s="5"/>
    </row>
    <row r="23043" spans="1:7" ht="58.5" customHeight="1" x14ac:dyDescent="0.25">
      <c r="A23043" s="5" t="str">
        <f>"H0020415"</f>
        <v>H0020415</v>
      </c>
      <c r="B23043" s="5" t="str">
        <f>"ESTANTE METALICO 6 ENTREPAÑOS"</f>
        <v>ESTANTE METALICO 6 ENTREPAÑOS</v>
      </c>
      <c r="C23043" s="6">
        <v>18479.71</v>
      </c>
      <c r="D23043" s="5"/>
      <c r="E23043" s="5" t="str">
        <f t="shared" si="1147"/>
        <v>ACTISALUD- CEGDOC-JEFETH DIONISETTY PUERTA FIGUEROA</v>
      </c>
      <c r="F23043" s="5" t="str">
        <f>"Descripcion:ESTANTE METALICO DE 6 ENTREPAÑOS Estado: Bueno Placa anterior: 000008768 Material: METAL Color: GRIS Referencia:  Observacion:  Placa padre:  Tipo adquisicion : Entidad"</f>
        <v>Descripcion:ESTANTE METALICO DE 6 ENTREPAÑOS Estado: Bueno Placa anterior: 000008768 Material: METAL Color: GRIS Referencia:  Observacion:  Placa padre:  Tipo adquisicion : Entidad</v>
      </c>
      <c r="G23043" s="5"/>
    </row>
    <row r="23044" spans="1:7" ht="58.5" customHeight="1" x14ac:dyDescent="0.25">
      <c r="A23044" s="5" t="str">
        <f>"H0020416"</f>
        <v>H0020416</v>
      </c>
      <c r="B23044" s="5" t="str">
        <f>"ESTANTE METALICO 6 ENTREPAÑOS"</f>
        <v>ESTANTE METALICO 6 ENTREPAÑOS</v>
      </c>
      <c r="C23044" s="6">
        <v>27714</v>
      </c>
      <c r="D23044" s="5"/>
      <c r="E23044" s="5" t="str">
        <f t="shared" si="1147"/>
        <v>ACTISALUD- CEGDOC-JEFETH DIONISETTY PUERTA FIGUEROA</v>
      </c>
      <c r="F23044" s="5" t="str">
        <f>"Descripcion:ESTANTE METALICO DE 6 ENTREPAÑOS Estado: Bueno Placa anterior: 000002448 Material: METAL Color: GRIS Referencia:  Observacion:  Placa padre:  Tipo adquisicion : Entidad"</f>
        <v>Descripcion:ESTANTE METALICO DE 6 ENTREPAÑOS Estado: Bueno Placa anterior: 000002448 Material: METAL Color: GRIS Referencia:  Observacion:  Placa padre:  Tipo adquisicion : Entidad</v>
      </c>
      <c r="G23044" s="5"/>
    </row>
    <row r="23045" spans="1:7" ht="58.5" customHeight="1" x14ac:dyDescent="0.25">
      <c r="A23045" s="5" t="str">
        <f>"H0020417"</f>
        <v>H0020417</v>
      </c>
      <c r="B23045" s="5" t="str">
        <f>"ESTANTE METALICO 6 ENTREPAÑOS"</f>
        <v>ESTANTE METALICO 6 ENTREPAÑOS</v>
      </c>
      <c r="C23045" s="6">
        <v>27590.38</v>
      </c>
      <c r="D23045" s="5"/>
      <c r="E23045" s="5" t="str">
        <f t="shared" si="1147"/>
        <v>ACTISALUD- CEGDOC-JEFETH DIONISETTY PUERTA FIGUEROA</v>
      </c>
      <c r="F23045" s="5" t="str">
        <f>"Descripcion:ESTANTE METALICO DE 6 ENTREPAÑOS Estado: Bueno Placa anterior: 000021149 Material: METAL Color: GRIS Referencia:  Observacion: FUNCIONARIO AUTORIZA SE CONCILIE CON BIENES DE SEVILLA Placa padre:  Tipo adquisicion : Entidad"</f>
        <v>Descripcion:ESTANTE METALICO DE 6 ENTREPAÑOS Estado: Bueno Placa anterior: 000021149 Material: METAL Color: GRIS Referencia:  Observacion: FUNCIONARIO AUTORIZA SE CONCILIE CON BIENES DE SEVILLA Placa padre:  Tipo adquisicion : Entidad</v>
      </c>
      <c r="G23045" s="5"/>
    </row>
    <row r="23046" spans="1:7" ht="58.5" customHeight="1" x14ac:dyDescent="0.25">
      <c r="A23046" s="5" t="str">
        <f>"H0020418"</f>
        <v>H0020418</v>
      </c>
      <c r="B23046" s="5" t="str">
        <f>"ESTANTE METALICO 7 ENTREPAÑOS"</f>
        <v>ESTANTE METALICO 7 ENTREPAÑOS</v>
      </c>
      <c r="C23046" s="6">
        <v>29533.23</v>
      </c>
      <c r="D23046" s="5"/>
      <c r="E23046" s="5" t="str">
        <f t="shared" si="1147"/>
        <v>ACTISALUD- CEGDOC-JEFETH DIONISETTY PUERTA FIGUEROA</v>
      </c>
      <c r="F23046" s="5" t="str">
        <f>"Descripcion:ESTANTERIA PARA HISTORIAS CLINICAS (ALTURA 2 METROS PANEL 90 CMS LARGO X 30 CMS ANCHO DISTANCIA ENTRE PANEL 30 CMS) Estado: Bueno Placa anterior: 000001790 Material: METAL Color: GRIS Referencia:  Observacion:  Placa padre:  Tipo adquisicion :"&amp; " Entidad"</f>
        <v>Descripcion:ESTANTERIA PARA HISTORIAS CLINICAS (ALTURA 2 METROS PANEL 90 CMS LARGO X 30 CMS ANCHO DISTANCIA ENTRE PANEL 30 CMS) Estado: Bueno Placa anterior: 000001790 Material: METAL Color: GRIS Referencia:  Observacion:  Placa padre:  Tipo adquisicion : Entidad</v>
      </c>
      <c r="G23046" s="5"/>
    </row>
    <row r="23047" spans="1:7" ht="58.5" customHeight="1" x14ac:dyDescent="0.25">
      <c r="A23047" s="5" t="str">
        <f>"H0020419"</f>
        <v>H0020419</v>
      </c>
      <c r="B23047" s="5" t="str">
        <f>"ESTANTE METALICO 7 ENTREPAÑOS"</f>
        <v>ESTANTE METALICO 7 ENTREPAÑOS</v>
      </c>
      <c r="C23047" s="6">
        <v>29533.23</v>
      </c>
      <c r="D23047" s="5"/>
      <c r="E23047" s="5" t="str">
        <f t="shared" si="1147"/>
        <v>ACTISALUD- CEGDOC-JEFETH DIONISETTY PUERTA FIGUEROA</v>
      </c>
      <c r="F23047" s="5" t="str">
        <f>"Descripcion:ESTANTERIA PARA HISTORIAS CLINICAS (ALTURA 2 METROS PANEL 90 CMS LARGO X 30 CMS ANCHO DISTANCIA ENTRE PANEL 30 CMS) Estado: Bueno Placa anterior: 000001789 Material: METAL Color: GRIS Referencia:  Observacion:  Placa padre:  Tipo adquisicion :"&amp; " Entidad"</f>
        <v>Descripcion:ESTANTERIA PARA HISTORIAS CLINICAS (ALTURA 2 METROS PANEL 90 CMS LARGO X 30 CMS ANCHO DISTANCIA ENTRE PANEL 30 CMS) Estado: Bueno Placa anterior: 000001789 Material: METAL Color: GRIS Referencia:  Observacion:  Placa padre:  Tipo adquisicion : Entidad</v>
      </c>
      <c r="G23047" s="5"/>
    </row>
    <row r="23048" spans="1:7" ht="58.5" customHeight="1" x14ac:dyDescent="0.25">
      <c r="A23048" s="5" t="str">
        <f>"H0020420"</f>
        <v>H0020420</v>
      </c>
      <c r="B23048" s="5" t="str">
        <f t="shared" ref="B23048:B23061" si="1148">"ESTANTE METALICO 6 ENTREPAÑOS"</f>
        <v>ESTANTE METALICO 6 ENTREPAÑOS</v>
      </c>
      <c r="C23048" s="6">
        <v>27590.38</v>
      </c>
      <c r="D23048" s="5"/>
      <c r="E23048" s="5" t="str">
        <f t="shared" si="1147"/>
        <v>ACTISALUD- CEGDOC-JEFETH DIONISETTY PUERTA FIGUEROA</v>
      </c>
      <c r="F23048" s="5" t="str">
        <f>"Descripcion:ESTANTE METALICO DE 6 ENTREPAÑOS Estado: Bueno Placa anterior: 000021157 Material: METAL Color: GRIS Referencia:  Observacion: FUNCIONARIO AUTORIZA SE CONCILIE CON BIENES DE SEVILLA Placa padre:  Tipo adquisicion : Entidad"</f>
        <v>Descripcion:ESTANTE METALICO DE 6 ENTREPAÑOS Estado: Bueno Placa anterior: 000021157 Material: METAL Color: GRIS Referencia:  Observacion: FUNCIONARIO AUTORIZA SE CONCILIE CON BIENES DE SEVILLA Placa padre:  Tipo adquisicion : Entidad</v>
      </c>
      <c r="G23048" s="5"/>
    </row>
    <row r="23049" spans="1:7" ht="58.5" customHeight="1" x14ac:dyDescent="0.25">
      <c r="A23049" s="5" t="str">
        <f>"H0020421"</f>
        <v>H0020421</v>
      </c>
      <c r="B23049" s="5" t="str">
        <f t="shared" si="1148"/>
        <v>ESTANTE METALICO 6 ENTREPAÑOS</v>
      </c>
      <c r="C23049" s="6">
        <v>295800</v>
      </c>
      <c r="D23049" s="5"/>
      <c r="E23049" s="5" t="str">
        <f t="shared" si="1147"/>
        <v>ACTISALUD- CEGDOC-JEFETH DIONISETTY PUERTA FIGUEROA</v>
      </c>
      <c r="F23049" s="5" t="str">
        <f>"Descripcion:ESTANTE EN LAMINA METALICOS DE 2.000X93X40 CON ENTREPAÑOS, COLOR GRIS EN CALIBRE 20 Y PARAL EL CALIBRE 16 Estado: Bueno Placa anterior: 000026325 Material: METAL Color: GRIS Referencia:  Observacion:  Placa padre:  Tipo adquisicion : Entidad"</f>
        <v>Descripcion:ESTANTE EN LAMINA METALICOS DE 2.000X93X40 CON ENTREPAÑOS, COLOR GRIS EN CALIBRE 20 Y PARAL EL CALIBRE 16 Estado: Bueno Placa anterior: 000026325 Material: METAL Color: GRIS Referencia:  Observacion:  Placa padre:  Tipo adquisicion : Entidad</v>
      </c>
      <c r="G23049" s="5"/>
    </row>
    <row r="23050" spans="1:7" ht="58.5" customHeight="1" x14ac:dyDescent="0.25">
      <c r="A23050" s="5" t="str">
        <f>"H0020422"</f>
        <v>H0020422</v>
      </c>
      <c r="B23050" s="5" t="str">
        <f t="shared" si="1148"/>
        <v>ESTANTE METALICO 6 ENTREPAÑOS</v>
      </c>
      <c r="C23050" s="6">
        <v>27590.38</v>
      </c>
      <c r="D23050" s="5"/>
      <c r="E23050" s="5" t="str">
        <f t="shared" si="1147"/>
        <v>ACTISALUD- CEGDOC-JEFETH DIONISETTY PUERTA FIGUEROA</v>
      </c>
      <c r="F23050" s="5" t="str">
        <f>"Descripcion:ESTANTE METALICO DE 6 ENTREPAÑOS Estado: Bueno Placa anterior: 000021155 Material: METAL Color: GRIS Referencia:  Observacion: FUNCIONARIO AUTORIZA SE CONCILIE CON BIENES DE SEVILLA Placa padre:  Tipo adquisicion : Entidad"</f>
        <v>Descripcion:ESTANTE METALICO DE 6 ENTREPAÑOS Estado: Bueno Placa anterior: 000021155 Material: METAL Color: GRIS Referencia:  Observacion: FUNCIONARIO AUTORIZA SE CONCILIE CON BIENES DE SEVILLA Placa padre:  Tipo adquisicion : Entidad</v>
      </c>
      <c r="G23050" s="5"/>
    </row>
    <row r="23051" spans="1:7" ht="58.5" customHeight="1" x14ac:dyDescent="0.25">
      <c r="A23051" s="5" t="str">
        <f>"H0020423"</f>
        <v>H0020423</v>
      </c>
      <c r="B23051" s="5" t="str">
        <f t="shared" si="1148"/>
        <v>ESTANTE METALICO 6 ENTREPAÑOS</v>
      </c>
      <c r="C23051" s="6">
        <v>27590.38</v>
      </c>
      <c r="D23051" s="5"/>
      <c r="E23051" s="5" t="str">
        <f t="shared" si="1147"/>
        <v>ACTISALUD- CEGDOC-JEFETH DIONISETTY PUERTA FIGUEROA</v>
      </c>
      <c r="F23051" s="5" t="str">
        <f>"Descripcion:ESTANTE METALICO DE 6 ENTREPAÑOS Estado: Bueno Placa anterior: 000021156 Material: METAL Color: GRIS Referencia:  Observacion: FUNCIONARIO AUTORIZA SE CONCILIE CON BIENES DE SEVILLA Placa padre:  Tipo adquisicion : Entidad"</f>
        <v>Descripcion:ESTANTE METALICO DE 6 ENTREPAÑOS Estado: Bueno Placa anterior: 000021156 Material: METAL Color: GRIS Referencia:  Observacion: FUNCIONARIO AUTORIZA SE CONCILIE CON BIENES DE SEVILLA Placa padre:  Tipo adquisicion : Entidad</v>
      </c>
      <c r="G23051" s="5"/>
    </row>
    <row r="23052" spans="1:7" ht="58.5" customHeight="1" x14ac:dyDescent="0.25">
      <c r="A23052" s="5" t="str">
        <f>"H0020424"</f>
        <v>H0020424</v>
      </c>
      <c r="B23052" s="5" t="str">
        <f t="shared" si="1148"/>
        <v>ESTANTE METALICO 6 ENTREPAÑOS</v>
      </c>
      <c r="C23052" s="6">
        <v>27590.38</v>
      </c>
      <c r="D23052" s="5"/>
      <c r="E23052" s="5" t="str">
        <f t="shared" si="1147"/>
        <v>ACTISALUD- CEGDOC-JEFETH DIONISETTY PUERTA FIGUEROA</v>
      </c>
      <c r="F23052" s="5" t="str">
        <f>"Descripcion:ESTANTE METALICO DE 6 ENTREPAÑOS Estado: Bueno Placa anterior: 000021150 Material: METAL Color: GRIS Referencia:  Observacion: FUNCIONARIO AUTORIZA SE CONCILIE CON BIENES DE SEVILLA Placa padre:  Tipo adquisicion : Entidad"</f>
        <v>Descripcion:ESTANTE METALICO DE 6 ENTREPAÑOS Estado: Bueno Placa anterior: 000021150 Material: METAL Color: GRIS Referencia:  Observacion: FUNCIONARIO AUTORIZA SE CONCILIE CON BIENES DE SEVILLA Placa padre:  Tipo adquisicion : Entidad</v>
      </c>
      <c r="G23052" s="5"/>
    </row>
    <row r="23053" spans="1:7" ht="58.5" customHeight="1" x14ac:dyDescent="0.25">
      <c r="A23053" s="5" t="str">
        <f>"H0020430"</f>
        <v>H0020430</v>
      </c>
      <c r="B23053" s="5" t="str">
        <f t="shared" si="1148"/>
        <v>ESTANTE METALICO 6 ENTREPAÑOS</v>
      </c>
      <c r="C23053" s="6">
        <v>295800</v>
      </c>
      <c r="D23053" s="5"/>
      <c r="E23053" s="5" t="str">
        <f t="shared" si="1147"/>
        <v>ACTISALUD- CEGDOC-JEFETH DIONISETTY PUERTA FIGUEROA</v>
      </c>
      <c r="F23053" s="5" t="str">
        <f>"Descripcion:ESTANTE EN LAMINA METALICOS DE 2.000X93X40 CON ENTREPAÑOS, COLOR GRIS EN CALIBRE 20 Y PARAL EL CALIBRE 16 Estado: Bueno Placa anterior: 000026322 Material: METAL Color: GRIS Referencia:  Observacion:  Placa padre:  Tipo adquisicion : Entidad"</f>
        <v>Descripcion:ESTANTE EN LAMINA METALICOS DE 2.000X93X40 CON ENTREPAÑOS, COLOR GRIS EN CALIBRE 20 Y PARAL EL CALIBRE 16 Estado: Bueno Placa anterior: 000026322 Material: METAL Color: GRIS Referencia:  Observacion:  Placa padre:  Tipo adquisicion : Entidad</v>
      </c>
      <c r="G23053" s="5"/>
    </row>
    <row r="23054" spans="1:7" ht="58.5" customHeight="1" x14ac:dyDescent="0.25">
      <c r="A23054" s="5" t="str">
        <f>"H0020431"</f>
        <v>H0020431</v>
      </c>
      <c r="B23054" s="5" t="str">
        <f t="shared" si="1148"/>
        <v>ESTANTE METALICO 6 ENTREPAÑOS</v>
      </c>
      <c r="C23054" s="6">
        <v>295800</v>
      </c>
      <c r="D23054" s="5"/>
      <c r="E23054" s="5" t="str">
        <f t="shared" si="1147"/>
        <v>ACTISALUD- CEGDOC-JEFETH DIONISETTY PUERTA FIGUEROA</v>
      </c>
      <c r="F23054" s="5" t="str">
        <f>"Descripcion:ESTANTE METALICO DE 6 ENTREPAÑOS Estado: Bueno Placa anterior: 000026324 Material: METAL Color: GRIS Referencia:  Observacion:  Placa padre:  Tipo adquisicion : Entidad"</f>
        <v>Descripcion:ESTANTE METALICO DE 6 ENTREPAÑOS Estado: Bueno Placa anterior: 000026324 Material: METAL Color: GRIS Referencia:  Observacion:  Placa padre:  Tipo adquisicion : Entidad</v>
      </c>
      <c r="G23054" s="5"/>
    </row>
    <row r="23055" spans="1:7" ht="58.5" customHeight="1" x14ac:dyDescent="0.25">
      <c r="A23055" s="5" t="str">
        <f>"H0020432"</f>
        <v>H0020432</v>
      </c>
      <c r="B23055" s="5" t="str">
        <f t="shared" si="1148"/>
        <v>ESTANTE METALICO 6 ENTREPAÑOS</v>
      </c>
      <c r="C23055" s="6">
        <v>295800</v>
      </c>
      <c r="D23055" s="5"/>
      <c r="E23055" s="5" t="str">
        <f t="shared" si="1147"/>
        <v>ACTISALUD- CEGDOC-JEFETH DIONISETTY PUERTA FIGUEROA</v>
      </c>
      <c r="F23055" s="5" t="str">
        <f>"Descripcion:ESTANTE METALICO DE 6 ENTREPAÑOS Estado: Bueno Placa anterior: 000026326 Material: METAL Color: GRIS Referencia:  Observacion:  Placa padre:  Tipo adquisicion : Entidad"</f>
        <v>Descripcion:ESTANTE METALICO DE 6 ENTREPAÑOS Estado: Bueno Placa anterior: 000026326 Material: METAL Color: GRIS Referencia:  Observacion:  Placa padre:  Tipo adquisicion : Entidad</v>
      </c>
      <c r="G23055" s="5"/>
    </row>
    <row r="23056" spans="1:7" ht="58.5" customHeight="1" x14ac:dyDescent="0.25">
      <c r="A23056" s="5" t="str">
        <f>"H0020433"</f>
        <v>H0020433</v>
      </c>
      <c r="B23056" s="5" t="str">
        <f t="shared" si="1148"/>
        <v>ESTANTE METALICO 6 ENTREPAÑOS</v>
      </c>
      <c r="C23056" s="6">
        <v>295800</v>
      </c>
      <c r="D23056" s="5"/>
      <c r="E23056" s="5" t="str">
        <f t="shared" si="1147"/>
        <v>ACTISALUD- CEGDOC-JEFETH DIONISETTY PUERTA FIGUEROA</v>
      </c>
      <c r="F23056" s="5" t="str">
        <f>"Descripcion:ESTANTE METALICO DE 6 ENTREPAÑOS Estado: Bueno Placa anterior: 000026323 Material: METAL Color: GRIS Referencia:  Observacion:  Placa padre:  Tipo adquisicion : Entidad"</f>
        <v>Descripcion:ESTANTE METALICO DE 6 ENTREPAÑOS Estado: Bueno Placa anterior: 000026323 Material: METAL Color: GRIS Referencia:  Observacion:  Placa padre:  Tipo adquisicion : Entidad</v>
      </c>
      <c r="G23056" s="5"/>
    </row>
    <row r="23057" spans="1:7" ht="58.5" customHeight="1" x14ac:dyDescent="0.25">
      <c r="A23057" s="5" t="str">
        <f>"H0020434"</f>
        <v>H0020434</v>
      </c>
      <c r="B23057" s="5" t="str">
        <f t="shared" si="1148"/>
        <v>ESTANTE METALICO 6 ENTREPAÑOS</v>
      </c>
      <c r="C23057" s="6">
        <v>295800</v>
      </c>
      <c r="D23057" s="5"/>
      <c r="E23057" s="5" t="str">
        <f t="shared" si="1147"/>
        <v>ACTISALUD- CEGDOC-JEFETH DIONISETTY PUERTA FIGUEROA</v>
      </c>
      <c r="F23057" s="5" t="str">
        <f>"Descripcion:ESTANTE METALICO DE 6 ENTREPAÑOS Estado: Bueno Placa anterior: 000026321 Material: METAL Color: GRIS Referencia:  Observacion:  Placa padre:  Tipo adquisicion : Entidad"</f>
        <v>Descripcion:ESTANTE METALICO DE 6 ENTREPAÑOS Estado: Bueno Placa anterior: 000026321 Material: METAL Color: GRIS Referencia:  Observacion:  Placa padre:  Tipo adquisicion : Entidad</v>
      </c>
      <c r="G23057" s="5"/>
    </row>
    <row r="23058" spans="1:7" ht="58.5" customHeight="1" x14ac:dyDescent="0.25">
      <c r="A23058" s="5" t="str">
        <f>"H0020435"</f>
        <v>H0020435</v>
      </c>
      <c r="B23058" s="5" t="str">
        <f t="shared" si="1148"/>
        <v>ESTANTE METALICO 6 ENTREPAÑOS</v>
      </c>
      <c r="C23058" s="6">
        <v>295800</v>
      </c>
      <c r="D23058" s="5"/>
      <c r="E23058" s="5" t="str">
        <f t="shared" si="1147"/>
        <v>ACTISALUD- CEGDOC-JEFETH DIONISETTY PUERTA FIGUEROA</v>
      </c>
      <c r="F23058" s="5" t="str">
        <f>"Descripcion:ESTANTE METALICO DE 6 ENTREPAÑOS Estado: Bueno Placa anterior: 000026327 Material: METAL Color: GRIS Referencia:  Observacion:  Placa padre:  Tipo adquisicion : Entidad"</f>
        <v>Descripcion:ESTANTE METALICO DE 6 ENTREPAÑOS Estado: Bueno Placa anterior: 000026327 Material: METAL Color: GRIS Referencia:  Observacion:  Placa padre:  Tipo adquisicion : Entidad</v>
      </c>
      <c r="G23058" s="5"/>
    </row>
    <row r="23059" spans="1:7" ht="58.5" customHeight="1" x14ac:dyDescent="0.25">
      <c r="A23059" s="5" t="str">
        <f>"H0020462"</f>
        <v>H0020462</v>
      </c>
      <c r="B23059" s="5" t="str">
        <f t="shared" si="1148"/>
        <v>ESTANTE METALICO 6 ENTREPAÑOS</v>
      </c>
      <c r="C23059" s="6">
        <v>37633</v>
      </c>
      <c r="D23059" s="5"/>
      <c r="E23059" s="5" t="str">
        <f t="shared" si="1147"/>
        <v>ACTISALUD- CEGDOC-JEFETH DIONISETTY PUERTA FIGUEROA</v>
      </c>
      <c r="F23059" s="5" t="str">
        <f>"Descripcion:ESTANTE METALICO DE 6 ENTREPAÑOS Estado: Bueno Placa anterior: 000000943 Material: METAL Color: GRIS Referencia:  Observacion:  Placa padre:  Tipo adquisicion : Entidad"</f>
        <v>Descripcion:ESTANTE METALICO DE 6 ENTREPAÑOS Estado: Bueno Placa anterior: 000000943 Material: METAL Color: GRIS Referencia:  Observacion:  Placa padre:  Tipo adquisicion : Entidad</v>
      </c>
      <c r="G23059" s="5"/>
    </row>
    <row r="23060" spans="1:7" ht="58.5" customHeight="1" x14ac:dyDescent="0.25">
      <c r="A23060" s="5" t="str">
        <f>"H0020464"</f>
        <v>H0020464</v>
      </c>
      <c r="B23060" s="5" t="str">
        <f t="shared" si="1148"/>
        <v>ESTANTE METALICO 6 ENTREPAÑOS</v>
      </c>
      <c r="C23060" s="6">
        <v>15893.5</v>
      </c>
      <c r="D23060" s="5"/>
      <c r="E23060" s="5" t="str">
        <f t="shared" si="1147"/>
        <v>ACTISALUD- CEGDOC-JEFETH DIONISETTY PUERTA FIGUEROA</v>
      </c>
      <c r="F23060" s="5" t="str">
        <f>"Descripcion:ESTANTE METALICO DE 6 ENTREPAÑOS Estado: Bueno Placa anterior: 000001277 Material: METAL Color: GRIS Referencia:  Observacion:  Placa padre:  Tipo adquisicion : Entidad"</f>
        <v>Descripcion:ESTANTE METALICO DE 6 ENTREPAÑOS Estado: Bueno Placa anterior: 000001277 Material: METAL Color: GRIS Referencia:  Observacion:  Placa padre:  Tipo adquisicion : Entidad</v>
      </c>
      <c r="G23060" s="5"/>
    </row>
    <row r="23061" spans="1:7" ht="58.5" customHeight="1" x14ac:dyDescent="0.25">
      <c r="A23061" s="5" t="str">
        <f>"H0020496"</f>
        <v>H0020496</v>
      </c>
      <c r="B23061" s="5" t="str">
        <f t="shared" si="1148"/>
        <v>ESTANTE METALICO 6 ENTREPAÑOS</v>
      </c>
      <c r="C23061" s="6">
        <v>31512.47</v>
      </c>
      <c r="D23061" s="5"/>
      <c r="E23061" s="5" t="str">
        <f t="shared" si="1147"/>
        <v>ACTISALUD- CEGDOC-JEFETH DIONISETTY PUERTA FIGUEROA</v>
      </c>
      <c r="F23061" s="5" t="str">
        <f>"Descripcion:ESTANTE METALICO DE 6 ENTREPAÑOSEN ESTE ESTANTE SE ENCUENTRA TAMBIEN ESTA PLACA ANTERIOR  000026664 Estado: Bueno Placa anterior: 000003451 Material: METALICO Color: GRIS Referencia:  Observacion:  Placa padre:  Tipo adquisicion : Entidad"</f>
        <v>Descripcion:ESTANTE METALICO DE 6 ENTREPAÑOSEN ESTE ESTANTE SE ENCUENTRA TAMBIEN ESTA PLACA ANTERIOR  000026664 Estado: Bueno Placa anterior: 000003451 Material: METALICO Color: GRIS Referencia:  Observacion:  Placa padre:  Tipo adquisicion : Entidad</v>
      </c>
      <c r="G23061" s="5"/>
    </row>
    <row r="23062" spans="1:7" ht="58.5" customHeight="1" x14ac:dyDescent="0.25">
      <c r="A23062" s="5" t="str">
        <f>"H0020497"</f>
        <v>H0020497</v>
      </c>
      <c r="B23062" s="5" t="str">
        <f>"ESTANTE METALICO 7 ENTREPAÑOS"</f>
        <v>ESTANTE METALICO 7 ENTREPAÑOS</v>
      </c>
      <c r="C23062" s="6">
        <v>29533.23</v>
      </c>
      <c r="D23062" s="5"/>
      <c r="E23062" s="5" t="str">
        <f t="shared" si="1147"/>
        <v>ACTISALUD- CEGDOC-JEFETH DIONISETTY PUERTA FIGUEROA</v>
      </c>
      <c r="F23062" s="5" t="str">
        <f>"Descripcion:ESTANTERIA PARA HISTORIAS CLINICAS (ALTURA 2 METROS PANEL 90 CMS LARGO X 30 CMS ANCHO DISTANCIA ENTRE PANEL 30 CMS) Estado: Bueno Placa anterior: 000001791 Material: METALICO Color: GRIS Referencia:  Observacion:  Placa padre:  Tipo adquisicio"&amp; "n : Entidad"</f>
        <v>Descripcion:ESTANTERIA PARA HISTORIAS CLINICAS (ALTURA 2 METROS PANEL 90 CMS LARGO X 30 CMS ANCHO DISTANCIA ENTRE PANEL 30 CMS) Estado: Bueno Placa anterior: 000001791 Material: METALICO Color: GRIS Referencia:  Observacion:  Placa padre:  Tipo adquisicion : Entidad</v>
      </c>
      <c r="G23062" s="5"/>
    </row>
    <row r="23063" spans="1:7" ht="58.5" customHeight="1" x14ac:dyDescent="0.25">
      <c r="A23063" s="5" t="str">
        <f>"H0020500"</f>
        <v>H0020500</v>
      </c>
      <c r="B23063" s="5" t="str">
        <f t="shared" ref="B23063:B23068" si="1149">"ESTANTE METALICO 6 ENTREPAÑOS"</f>
        <v>ESTANTE METALICO 6 ENTREPAÑOS</v>
      </c>
      <c r="C23063" s="6">
        <v>37633</v>
      </c>
      <c r="D23063" s="5"/>
      <c r="E23063" s="5" t="str">
        <f t="shared" si="1147"/>
        <v>ACTISALUD- CEGDOC-JEFETH DIONISETTY PUERTA FIGUEROA</v>
      </c>
      <c r="F23063" s="5" t="str">
        <f>"Descripcion:. Estado: Bueno Placa anterior: 000000944 Material: METALICO Color: GRIS Referencia:  Observacion:  Placa padre:  Tipo adquisicion : Entidad"</f>
        <v>Descripcion:. Estado: Bueno Placa anterior: 000000944 Material: METALICO Color: GRIS Referencia:  Observacion:  Placa padre:  Tipo adquisicion : Entidad</v>
      </c>
      <c r="G23063" s="5"/>
    </row>
    <row r="23064" spans="1:7" ht="58.5" customHeight="1" x14ac:dyDescent="0.25">
      <c r="A23064" s="5" t="str">
        <f>"H0020501"</f>
        <v>H0020501</v>
      </c>
      <c r="B23064" s="5" t="str">
        <f t="shared" si="1149"/>
        <v>ESTANTE METALICO 6 ENTREPAÑOS</v>
      </c>
      <c r="C23064" s="6">
        <v>22189.18</v>
      </c>
      <c r="D23064" s="5"/>
      <c r="E23064" s="5" t="str">
        <f t="shared" si="1147"/>
        <v>ACTISALUD- CEGDOC-JEFETH DIONISETTY PUERTA FIGUEROA</v>
      </c>
      <c r="F23064" s="5" t="str">
        <f>"Descripcion:. Estado: Bueno Placa anterior: 000004993 Material: METALICO Color: GRIS Referencia:  Observacion:  Placa padre:  Tipo adquisicion : Entidad"</f>
        <v>Descripcion:. Estado: Bueno Placa anterior: 000004993 Material: METALICO Color: GRIS Referencia:  Observacion:  Placa padre:  Tipo adquisicion : Entidad</v>
      </c>
      <c r="G23064" s="5"/>
    </row>
    <row r="23065" spans="1:7" ht="58.5" customHeight="1" x14ac:dyDescent="0.25">
      <c r="A23065" s="5" t="str">
        <f>"H0020502"</f>
        <v>H0020502</v>
      </c>
      <c r="B23065" s="5" t="str">
        <f t="shared" si="1149"/>
        <v>ESTANTE METALICO 6 ENTREPAÑOS</v>
      </c>
      <c r="C23065" s="6">
        <v>37633</v>
      </c>
      <c r="D23065" s="5"/>
      <c r="E23065" s="5" t="str">
        <f t="shared" si="1147"/>
        <v>ACTISALUD- CEGDOC-JEFETH DIONISETTY PUERTA FIGUEROA</v>
      </c>
      <c r="F23065" s="5" t="str">
        <f>"Descripcion:. Estado: Bueno Placa anterior: 000000934 Material: METALICO Color: GRIS Referencia:  Observacion:  Placa padre:  Tipo adquisicion : Entidad"</f>
        <v>Descripcion:. Estado: Bueno Placa anterior: 000000934 Material: METALICO Color: GRIS Referencia:  Observacion:  Placa padre:  Tipo adquisicion : Entidad</v>
      </c>
      <c r="G23065" s="5"/>
    </row>
    <row r="23066" spans="1:7" ht="58.5" customHeight="1" x14ac:dyDescent="0.25">
      <c r="A23066" s="5" t="str">
        <f>"H0020503"</f>
        <v>H0020503</v>
      </c>
      <c r="B23066" s="5" t="str">
        <f t="shared" si="1149"/>
        <v>ESTANTE METALICO 6 ENTREPAÑOS</v>
      </c>
      <c r="C23066" s="6">
        <v>37633</v>
      </c>
      <c r="D23066" s="5"/>
      <c r="E23066" s="5" t="str">
        <f t="shared" si="1147"/>
        <v>ACTISALUD- CEGDOC-JEFETH DIONISETTY PUERTA FIGUEROA</v>
      </c>
      <c r="F23066" s="5" t="str">
        <f>"Descripcion:. Estado: Bueno Placa anterior: 000000948 Material: METALICO Color: GRIS Referencia:  Observacion:  Placa padre:  Tipo adquisicion : Entidad"</f>
        <v>Descripcion:. Estado: Bueno Placa anterior: 000000948 Material: METALICO Color: GRIS Referencia:  Observacion:  Placa padre:  Tipo adquisicion : Entidad</v>
      </c>
      <c r="G23066" s="5"/>
    </row>
    <row r="23067" spans="1:7" ht="58.5" customHeight="1" x14ac:dyDescent="0.25">
      <c r="A23067" s="5" t="str">
        <f>"H0020511"</f>
        <v>H0020511</v>
      </c>
      <c r="B23067" s="5" t="str">
        <f t="shared" si="1149"/>
        <v>ESTANTE METALICO 6 ENTREPAÑOS</v>
      </c>
      <c r="C23067" s="6">
        <v>27590.38</v>
      </c>
      <c r="D23067" s="5"/>
      <c r="E23067" s="5" t="str">
        <f t="shared" si="1147"/>
        <v>ACTISALUD- CEGDOC-JEFETH DIONISETTY PUERTA FIGUEROA</v>
      </c>
      <c r="F23067" s="5" t="str">
        <f>"Descripcion:ESTANTE METALICO Estado: Bueno Placa anterior: 000001429 Material: METALICO Color: GRIS Referencia:  Observacion:  Placa padre:  Tipo adquisicion : Entidad"</f>
        <v>Descripcion:ESTANTE METALICO Estado: Bueno Placa anterior: 000001429 Material: METALICO Color: GRIS Referencia:  Observacion:  Placa padre:  Tipo adquisicion : Entidad</v>
      </c>
      <c r="G23067" s="5"/>
    </row>
    <row r="23068" spans="1:7" ht="58.5" customHeight="1" x14ac:dyDescent="0.25">
      <c r="A23068" s="5" t="str">
        <f>"H0020512"</f>
        <v>H0020512</v>
      </c>
      <c r="B23068" s="5" t="str">
        <f t="shared" si="1149"/>
        <v>ESTANTE METALICO 6 ENTREPAÑOS</v>
      </c>
      <c r="C23068" s="6">
        <v>197200</v>
      </c>
      <c r="D23068" s="5"/>
      <c r="E23068" s="5" t="str">
        <f t="shared" si="1147"/>
        <v>ACTISALUD- CEGDOC-JEFETH DIONISETTY PUERTA FIGUEROA</v>
      </c>
      <c r="F23068" s="5" t="str">
        <f>"Descripcion:ESTANTES METALICOS DE 90-30-2.00H 6 BANDEJAS INCLUYE AMARRES ENTRE ESTANTES Y TENSORES CALIBRE DEL PARAL 16 Y DE LA BANDEJA 22 PARAL CON SISTEMA DE UÑA, PINTURA ELECTROSTATICA EN POLVO HORNEABLE Estado: Bueno Placa anterior: 000024173 Material"&amp; ": METALICO Color: GRIS Referencia:  Observacion:  Placa padre:  Tipo adquisicion : Entidad"</f>
        <v>Descripcion:ESTANTES METALICOS DE 90-30-2.00H 6 BANDEJAS INCLUYE AMARRES ENTRE ESTANTES Y TENSORES CALIBRE DEL PARAL 16 Y DE LA BANDEJA 22 PARAL CON SISTEMA DE UÑA, PINTURA ELECTROSTATICA EN POLVO HORNEABLE Estado: Bueno Placa anterior: 000024173 Material: METALICO Color: GRIS Referencia:  Observacion:  Placa padre:  Tipo adquisicion : Entidad</v>
      </c>
      <c r="G23068" s="5"/>
    </row>
    <row r="23069" spans="1:7" ht="58.5" customHeight="1" x14ac:dyDescent="0.25">
      <c r="A23069" s="5" t="str">
        <f>"H0020528"</f>
        <v>H0020528</v>
      </c>
      <c r="B23069" s="5" t="str">
        <f>"ESTANTE METALICO 7 ENTREPAÑOS"</f>
        <v>ESTANTE METALICO 7 ENTREPAÑOS</v>
      </c>
      <c r="C23069" s="6">
        <v>197200</v>
      </c>
      <c r="D23069" s="5"/>
      <c r="E23069" s="5" t="str">
        <f t="shared" si="1147"/>
        <v>ACTISALUD- CEGDOC-JEFETH DIONISETTY PUERTA FIGUEROA</v>
      </c>
      <c r="F23069" s="5" t="str">
        <f>"Descripcion:ESTANTES METALICOS DE 90-30-2.00H 7 BANDEJAS INCLUYE AMARRES ENTRE ESTANTES Y TENSORES CALIBRE DEL PARAL 16 Y DE LA BANDEJA 22 PARAL CON SISTEMA DE UÑA, PINTURA ELECTROSTATICA EN POLVO HORNEABLE Estado: Bueno Placa anterior: 000024165 Material"&amp; ": METAL Color: GRIS Referencia:  Observacion:  Placa padre:  Tipo adquisicion : Entidad"</f>
        <v>Descripcion:ESTANTES METALICOS DE 90-30-2.00H 7 BANDEJAS INCLUYE AMARRES ENTRE ESTANTES Y TENSORES CALIBRE DEL PARAL 16 Y DE LA BANDEJA 22 PARAL CON SISTEMA DE UÑA, PINTURA ELECTROSTATICA EN POLVO HORNEABLE Estado: Bueno Placa anterior: 000024165 Material: METAL Color: GRIS Referencia:  Observacion:  Placa padre:  Tipo adquisicion : Entidad</v>
      </c>
      <c r="G23069" s="5"/>
    </row>
    <row r="23070" spans="1:7" ht="58.5" customHeight="1" x14ac:dyDescent="0.25">
      <c r="A23070" s="5" t="str">
        <f>"H0020530"</f>
        <v>H0020530</v>
      </c>
      <c r="B23070" s="5" t="str">
        <f>"ESTANTE METALICO 6 ENTREPAÑOS"</f>
        <v>ESTANTE METALICO 6 ENTREPAÑOS</v>
      </c>
      <c r="C23070" s="6">
        <v>9599.01</v>
      </c>
      <c r="D23070" s="5"/>
      <c r="E23070" s="5" t="str">
        <f t="shared" si="1147"/>
        <v>ACTISALUD- CEGDOC-JEFETH DIONISETTY PUERTA FIGUEROA</v>
      </c>
      <c r="F23070" s="5" t="str">
        <f>"Descripcion:ESTANTE METALICO DE 6 ENTREPAÑOS Estado: Bueno Placa anterior: 000009059 Material: METAL Color: GRIS Referencia:  Observacion:  Placa padre:  Tipo adquisicion : Entidad"</f>
        <v>Descripcion:ESTANTE METALICO DE 6 ENTREPAÑOS Estado: Bueno Placa anterior: 000009059 Material: METAL Color: GRIS Referencia:  Observacion:  Placa padre:  Tipo adquisicion : Entidad</v>
      </c>
      <c r="G23070" s="5"/>
    </row>
    <row r="23071" spans="1:7" ht="58.5" customHeight="1" x14ac:dyDescent="0.25">
      <c r="A23071" s="5" t="str">
        <f>"H0020532"</f>
        <v>H0020532</v>
      </c>
      <c r="B23071" s="5" t="str">
        <f>"ESTANTE METALICO 6 ENTREPAÑOS"</f>
        <v>ESTANTE METALICO 6 ENTREPAÑOS</v>
      </c>
      <c r="C23071" s="6">
        <v>27714</v>
      </c>
      <c r="D23071" s="5"/>
      <c r="E23071" s="5" t="str">
        <f t="shared" si="1147"/>
        <v>ACTISALUD- CEGDOC-JEFETH DIONISETTY PUERTA FIGUEROA</v>
      </c>
      <c r="F23071" s="5" t="str">
        <f>"Descripcion:ESTANTE METALICO 6 ENTREPAÑOS Estado: Bueno Placa anterior: 000022237 Material: METAL Color: GRIS Referencia:  Observacion:  Placa padre:  Tipo adquisicion : Entidad"</f>
        <v>Descripcion:ESTANTE METALICO 6 ENTREPAÑOS Estado: Bueno Placa anterior: 000022237 Material: METAL Color: GRIS Referencia:  Observacion:  Placa padre:  Tipo adquisicion : Entidad</v>
      </c>
      <c r="G23071" s="5"/>
    </row>
    <row r="23072" spans="1:7" ht="58.5" customHeight="1" x14ac:dyDescent="0.25">
      <c r="A23072" s="5" t="str">
        <f>"H0020533"</f>
        <v>H0020533</v>
      </c>
      <c r="B23072" s="5" t="str">
        <f>"ESTANTE METALICO 6 ENTREPAÑOS"</f>
        <v>ESTANTE METALICO 6 ENTREPAÑOS</v>
      </c>
      <c r="C23072" s="6">
        <v>15893.5</v>
      </c>
      <c r="D23072" s="5"/>
      <c r="E23072" s="5" t="str">
        <f t="shared" si="1147"/>
        <v>ACTISALUD- CEGDOC-JEFETH DIONISETTY PUERTA FIGUEROA</v>
      </c>
      <c r="F23072" s="5" t="str">
        <f>"Descripcion:ESTANTE METALICO DE 6 ENTREPAÑOS Estado: Bueno Placa anterior: 000001281 Material: METAL Color: GRIS Referencia:  Observacion:  Placa padre:  Tipo adquisicion : Entidad"</f>
        <v>Descripcion:ESTANTE METALICO DE 6 ENTREPAÑOS Estado: Bueno Placa anterior: 000001281 Material: METAL Color: GRIS Referencia:  Observacion:  Placa padre:  Tipo adquisicion : Entidad</v>
      </c>
      <c r="G23072" s="5"/>
    </row>
    <row r="23073" spans="1:7" ht="58.5" customHeight="1" x14ac:dyDescent="0.25">
      <c r="A23073" s="5" t="str">
        <f>"H0020535"</f>
        <v>H0020535</v>
      </c>
      <c r="B23073" s="5" t="str">
        <f>"ESCRITORIO METALICO 3 GAVETAS"</f>
        <v>ESCRITORIO METALICO 3 GAVETAS</v>
      </c>
      <c r="C23073" s="6">
        <v>399040</v>
      </c>
      <c r="D23073" s="5"/>
      <c r="E23073" s="5" t="str">
        <f t="shared" si="1147"/>
        <v>ACTISALUD- CEGDOC-JEFETH DIONISETTY PUERTA FIGUEROA</v>
      </c>
      <c r="F23073" s="5" t="str">
        <f>"Descripcion:ESCRITORIO TIPO SECRETARIAL CON ARCHIVADOR 2X1 CON PEDESTAL, TAPA FLDA, FORMICA 1.20X70 Estado: Bueno Placa anterior: 000026370 Material: METAL Y FORMICA Color: GRIS Referencia:  Observacion:  Placa padre:  Tipo adquisicion : Entidad"</f>
        <v>Descripcion:ESCRITORIO TIPO SECRETARIAL CON ARCHIVADOR 2X1 CON PEDESTAL, TAPA FLDA, FORMICA 1.20X70 Estado: Bueno Placa anterior: 000026370 Material: METAL Y FORMICA Color: GRIS Referencia:  Observacion:  Placa padre:  Tipo adquisicion : Entidad</v>
      </c>
      <c r="G23073" s="5"/>
    </row>
    <row r="23074" spans="1:7" ht="58.5" customHeight="1" x14ac:dyDescent="0.25">
      <c r="A23074" s="5" t="str">
        <f>"H0020537"</f>
        <v>H0020537</v>
      </c>
      <c r="B23074" s="5" t="str">
        <f>"COMPUTADOR DE MESA"</f>
        <v>COMPUTADOR DE MESA</v>
      </c>
      <c r="C23074" s="6">
        <v>1705200</v>
      </c>
      <c r="D23074" s="5"/>
      <c r="E23074" s="5" t="str">
        <f t="shared" ref="E23074:E23137" si="1150">"ACTISALUD- CEGDOC-JEFETH DIONISETTY PUERTA FIGUEROA"</f>
        <v>ACTISALUD- CEGDOC-JEFETH DIONISETTY PUERTA FIGUEROA</v>
      </c>
      <c r="F23074" s="5" t="str">
        <f>"Descripcion:CPU CON PROCESADOR CORE2 DUO DE 1.8G DD: 80 GB. RAM: 1GB UNIDAD DE DRIVE, TECLADO Y MOUSE, CON LICENCIA OEM PARA WINDOWS VISTA BUSSINES. Estado: Bueno Placa anterior: 000025725 Material: PASTA Color: NEGRO Referencia:  Observacion:  Placa ante"&amp; "rior:, Placa nueva=H0020538, Descripcion:MONITOR LCD 17  , Serial:VNA4D70, Marca:LENOVO, Modelo:THINK VISION, Material:PASTA, Color:NEGRO,   Referencia:5047HB2, Placa anterior:, Placa nueva=H0020539, Descripcion:TECLADO PS2, Serial:62M06992SA0000, Marca:B"&amp; "ENQ, Modelo:L100-P, Material:PASTA, Color:NEGRO,   Referencia:9J.P1MP1.UCS, Placa anterior:, Placa nueva=H0020541, Descripcion:MOUSE OPTICO 3 BOTONES , Serial:144332610837, Marca:GENIUS, Modelo:GM-03022P, Material:PASTA, Color:NEGRO,   Referencia:12041926"&amp; "100-A Placa padre:  Tipo adquisicion : Entidad"</f>
        <v>Descripcion:CPU CON PROCESADOR CORE2 DUO DE 1.8G DD: 80 GB. RAM: 1GB UNIDAD DE DRIVE, TECLADO Y MOUSE, CON LICENCIA OEM PARA WINDOWS VISTA BUSSINES. Estado: Bueno Placa anterior: 000025725 Material: PASTA Color: NEGRO Referencia:  Observacion:  Placa anterior:, Placa nueva=H0020538, Descripcion:MONITOR LCD 17  , Serial:VNA4D70, Marca:LENOVO, Modelo:THINK VISION, Material:PASTA, Color:NEGRO,   Referencia:5047HB2, Placa anterior:, Placa nueva=H0020539, Descripcion:TECLADO PS2, Serial:62M06992SA0000, Marca:BENQ, Modelo:L100-P, Material:PASTA, Color:NEGRO,   Referencia:9J.P1MP1.UCS, Placa anterior:, Placa nueva=H0020541, Descripcion:MOUSE OPTICO 3 BOTONES , Serial:144332610837, Marca:GENIUS, Modelo:GM-03022P, Material:PASTA, Color:NEGRO,   Referencia:12041926100-A Placa padre:  Tipo adquisicion : Entidad</v>
      </c>
      <c r="G23074" s="5"/>
    </row>
    <row r="23075" spans="1:7" ht="58.5" customHeight="1" x14ac:dyDescent="0.25">
      <c r="A23075" s="5" t="str">
        <f>"H0020994"</f>
        <v>H0020994</v>
      </c>
      <c r="B23075" s="5" t="str">
        <f>"CORTADORA DE PAPEL"</f>
        <v>CORTADORA DE PAPEL</v>
      </c>
      <c r="C23075" s="6">
        <v>8062000</v>
      </c>
      <c r="D23075" s="5" t="s">
        <v>603</v>
      </c>
      <c r="E23075" s="5" t="str">
        <f t="shared" si="1150"/>
        <v>ACTISALUD- CEGDOC-JEFETH DIONISETTY PUERTA FIGUEROA</v>
      </c>
      <c r="F23075" s="5"/>
      <c r="G23075" s="5"/>
    </row>
    <row r="23076" spans="1:7" ht="58.5" customHeight="1" x14ac:dyDescent="0.25">
      <c r="A23076" s="5" t="str">
        <f>"H0021190"</f>
        <v>H0021190</v>
      </c>
      <c r="B23076" s="5" t="str">
        <f>"MONITOR LCD"</f>
        <v>MONITOR LCD</v>
      </c>
      <c r="C23076" s="6">
        <v>695000</v>
      </c>
      <c r="D23076" s="5"/>
      <c r="E23076" s="5" t="str">
        <f t="shared" si="1150"/>
        <v>ACTISALUD- CEGDOC-JEFETH DIONISETTY PUERTA FIGUEROA</v>
      </c>
      <c r="F23076" s="5" t="str">
        <f>"Descripcion:MONITOR LCD 17 Estado: Excelente Placa anterior: 000033487 Material: PASTA Color: NEGRO Referencia:  Observacion:  Placa padre:  Tipo adquisicion : Entidad"</f>
        <v>Descripcion:MONITOR LCD 17 Estado: Excelente Placa anterior: 000033487 Material: PASTA Color: NEGRO Referencia:  Observacion:  Placa padre:  Tipo adquisicion : Entidad</v>
      </c>
      <c r="G23076" s="5" t="str">
        <f>"LS19CMYKFNAUZM"</f>
        <v>LS19CMYKFNAUZM</v>
      </c>
    </row>
    <row r="23077" spans="1:7" ht="58.5" customHeight="1" x14ac:dyDescent="0.25">
      <c r="A23077" s="5" t="str">
        <f>"H0022021"</f>
        <v>H0022021</v>
      </c>
      <c r="B23077" s="5" t="str">
        <f t="shared" ref="B23077:B23108" si="1151">"ESTANTE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077" s="6">
        <v>241999.98</v>
      </c>
      <c r="D23077" s="5" t="s">
        <v>499</v>
      </c>
      <c r="E23077" s="5" t="str">
        <f t="shared" si="1150"/>
        <v>ACTISALUD- CEGDOC-JEFETH DIONISETTY PUERTA FIGUEROA</v>
      </c>
      <c r="F23077" s="5"/>
      <c r="G23077" s="5"/>
    </row>
    <row r="23078" spans="1:7" ht="58.5" customHeight="1" x14ac:dyDescent="0.25">
      <c r="A23078" s="5" t="str">
        <f>"H0022022"</f>
        <v>H0022022</v>
      </c>
      <c r="B23078" s="5" t="str">
        <f t="shared" si="1151"/>
        <v>ESTANTE CONSTRUIDOS EN LAMINAS METÁLICAS SOLIDAS, RESISTENTES Y ESTABLES CON TRATAMIENTO ANTICORROSIVO, CON 7 ENTREPAÑOS, DE 0.94 CMS DE ANCHO, CON ALTURA DE 2.20MTS Y CADA BANDEJA DEBE SOPORTAR UN PESO DE 100KG/MT LINEA</v>
      </c>
      <c r="C23078" s="6">
        <v>241999.98</v>
      </c>
      <c r="D23078" s="5" t="s">
        <v>499</v>
      </c>
      <c r="E23078" s="5" t="str">
        <f t="shared" si="1150"/>
        <v>ACTISALUD- CEGDOC-JEFETH DIONISETTY PUERTA FIGUEROA</v>
      </c>
      <c r="F23078" s="5"/>
      <c r="G23078" s="5"/>
    </row>
    <row r="23079" spans="1:7" ht="58.5" customHeight="1" x14ac:dyDescent="0.25">
      <c r="A23079" s="5" t="str">
        <f>"H0022023"</f>
        <v>H0022023</v>
      </c>
      <c r="B23079" s="5" t="str">
        <f t="shared" si="1151"/>
        <v>ESTANTE CONSTRUIDOS EN LAMINAS METÁLICAS SOLIDAS, RESISTENTES Y ESTABLES CON TRATAMIENTO ANTICORROSIVO, CON 7 ENTREPAÑOS, DE 0.94 CMS DE ANCHO, CON ALTURA DE 2.20MTS Y CADA BANDEJA DEBE SOPORTAR UN PESO DE 100KG/MT LINEA</v>
      </c>
      <c r="C23079" s="6">
        <v>241999.98</v>
      </c>
      <c r="D23079" s="5" t="s">
        <v>499</v>
      </c>
      <c r="E23079" s="5" t="str">
        <f t="shared" si="1150"/>
        <v>ACTISALUD- CEGDOC-JEFETH DIONISETTY PUERTA FIGUEROA</v>
      </c>
      <c r="F23079" s="5"/>
      <c r="G23079" s="5"/>
    </row>
    <row r="23080" spans="1:7" ht="58.5" customHeight="1" x14ac:dyDescent="0.25">
      <c r="A23080" s="5" t="str">
        <f>"H0022024"</f>
        <v>H0022024</v>
      </c>
      <c r="B23080" s="5" t="str">
        <f t="shared" si="1151"/>
        <v>ESTANTE CONSTRUIDOS EN LAMINAS METÁLICAS SOLIDAS, RESISTENTES Y ESTABLES CON TRATAMIENTO ANTICORROSIVO, CON 7 ENTREPAÑOS, DE 0.94 CMS DE ANCHO, CON ALTURA DE 2.20MTS Y CADA BANDEJA DEBE SOPORTAR UN PESO DE 100KG/MT LINEA</v>
      </c>
      <c r="C23080" s="6">
        <v>241999.98</v>
      </c>
      <c r="D23080" s="5" t="s">
        <v>810</v>
      </c>
      <c r="E23080" s="5" t="str">
        <f t="shared" si="1150"/>
        <v>ACTISALUD- CEGDOC-JEFETH DIONISETTY PUERTA FIGUEROA</v>
      </c>
      <c r="F23080" s="5"/>
      <c r="G23080" s="5"/>
    </row>
    <row r="23081" spans="1:7" ht="58.5" customHeight="1" x14ac:dyDescent="0.25">
      <c r="A23081" s="5" t="str">
        <f>"H0022025"</f>
        <v>H0022025</v>
      </c>
      <c r="B23081" s="5" t="str">
        <f t="shared" si="1151"/>
        <v>ESTANTE CONSTRUIDOS EN LAMINAS METÁLICAS SOLIDAS, RESISTENTES Y ESTABLES CON TRATAMIENTO ANTICORROSIVO, CON 7 ENTREPAÑOS, DE 0.94 CMS DE ANCHO, CON ALTURA DE 2.20MTS Y CADA BANDEJA DEBE SOPORTAR UN PESO DE 100KG/MT LINEA</v>
      </c>
      <c r="C23081" s="6">
        <v>241999.98</v>
      </c>
      <c r="D23081" s="5" t="s">
        <v>499</v>
      </c>
      <c r="E23081" s="5" t="str">
        <f t="shared" si="1150"/>
        <v>ACTISALUD- CEGDOC-JEFETH DIONISETTY PUERTA FIGUEROA</v>
      </c>
      <c r="F23081" s="5"/>
      <c r="G23081" s="5"/>
    </row>
    <row r="23082" spans="1:7" ht="58.5" customHeight="1" x14ac:dyDescent="0.25">
      <c r="A23082" s="5" t="str">
        <f>"H0022026"</f>
        <v>H0022026</v>
      </c>
      <c r="B23082" s="5" t="str">
        <f t="shared" si="1151"/>
        <v>ESTANTE CONSTRUIDOS EN LAMINAS METÁLICAS SOLIDAS, RESISTENTES Y ESTABLES CON TRATAMIENTO ANTICORROSIVO, CON 7 ENTREPAÑOS, DE 0.94 CMS DE ANCHO, CON ALTURA DE 2.20MTS Y CADA BANDEJA DEBE SOPORTAR UN PESO DE 100KG/MT LINEA</v>
      </c>
      <c r="C23082" s="6">
        <v>241999.98</v>
      </c>
      <c r="D23082" s="5" t="s">
        <v>499</v>
      </c>
      <c r="E23082" s="5" t="str">
        <f t="shared" si="1150"/>
        <v>ACTISALUD- CEGDOC-JEFETH DIONISETTY PUERTA FIGUEROA</v>
      </c>
      <c r="F23082" s="5"/>
      <c r="G23082" s="5"/>
    </row>
    <row r="23083" spans="1:7" ht="58.5" customHeight="1" x14ac:dyDescent="0.25">
      <c r="A23083" s="5" t="str">
        <f>"H0022027"</f>
        <v>H0022027</v>
      </c>
      <c r="B23083" s="5" t="str">
        <f t="shared" si="1151"/>
        <v>ESTANTE CONSTRUIDOS EN LAMINAS METÁLICAS SOLIDAS, RESISTENTES Y ESTABLES CON TRATAMIENTO ANTICORROSIVO, CON 7 ENTREPAÑOS, DE 0.94 CMS DE ANCHO, CON ALTURA DE 2.20MTS Y CADA BANDEJA DEBE SOPORTAR UN PESO DE 100KG/MT LINEA</v>
      </c>
      <c r="C23083" s="6">
        <v>241999.98</v>
      </c>
      <c r="D23083" s="5" t="s">
        <v>499</v>
      </c>
      <c r="E23083" s="5" t="str">
        <f t="shared" si="1150"/>
        <v>ACTISALUD- CEGDOC-JEFETH DIONISETTY PUERTA FIGUEROA</v>
      </c>
      <c r="F23083" s="5"/>
      <c r="G23083" s="5"/>
    </row>
    <row r="23084" spans="1:7" ht="58.5" customHeight="1" x14ac:dyDescent="0.25">
      <c r="A23084" s="5" t="str">
        <f>"H0022028"</f>
        <v>H0022028</v>
      </c>
      <c r="B23084" s="5" t="str">
        <f t="shared" si="1151"/>
        <v>ESTANTE CONSTRUIDOS EN LAMINAS METÁLICAS SOLIDAS, RESISTENTES Y ESTABLES CON TRATAMIENTO ANTICORROSIVO, CON 7 ENTREPAÑOS, DE 0.94 CMS DE ANCHO, CON ALTURA DE 2.20MTS Y CADA BANDEJA DEBE SOPORTAR UN PESO DE 100KG/MT LINEA</v>
      </c>
      <c r="C23084" s="6">
        <v>241999.98</v>
      </c>
      <c r="D23084" s="5" t="s">
        <v>499</v>
      </c>
      <c r="E23084" s="5" t="str">
        <f t="shared" si="1150"/>
        <v>ACTISALUD- CEGDOC-JEFETH DIONISETTY PUERTA FIGUEROA</v>
      </c>
      <c r="F23084" s="5"/>
      <c r="G23084" s="5"/>
    </row>
    <row r="23085" spans="1:7" ht="58.5" customHeight="1" x14ac:dyDescent="0.25">
      <c r="A23085" s="5" t="str">
        <f>"H0022029"</f>
        <v>H0022029</v>
      </c>
      <c r="B23085" s="5" t="str">
        <f t="shared" si="1151"/>
        <v>ESTANTE CONSTRUIDOS EN LAMINAS METÁLICAS SOLIDAS, RESISTENTES Y ESTABLES CON TRATAMIENTO ANTICORROSIVO, CON 7 ENTREPAÑOS, DE 0.94 CMS DE ANCHO, CON ALTURA DE 2.20MTS Y CADA BANDEJA DEBE SOPORTAR UN PESO DE 100KG/MT LINEA</v>
      </c>
      <c r="C23085" s="6">
        <v>241999.98</v>
      </c>
      <c r="D23085" s="5" t="s">
        <v>810</v>
      </c>
      <c r="E23085" s="5" t="str">
        <f t="shared" si="1150"/>
        <v>ACTISALUD- CEGDOC-JEFETH DIONISETTY PUERTA FIGUEROA</v>
      </c>
      <c r="F23085" s="5"/>
      <c r="G23085" s="5"/>
    </row>
    <row r="23086" spans="1:7" ht="58.5" customHeight="1" x14ac:dyDescent="0.25">
      <c r="A23086" s="5" t="str">
        <f>"H0022030"</f>
        <v>H0022030</v>
      </c>
      <c r="B23086" s="5" t="str">
        <f t="shared" si="1151"/>
        <v>ESTANTE CONSTRUIDOS EN LAMINAS METÁLICAS SOLIDAS, RESISTENTES Y ESTABLES CON TRATAMIENTO ANTICORROSIVO, CON 7 ENTREPAÑOS, DE 0.94 CMS DE ANCHO, CON ALTURA DE 2.20MTS Y CADA BANDEJA DEBE SOPORTAR UN PESO DE 100KG/MT LINEA</v>
      </c>
      <c r="C23086" s="6">
        <v>241999.98</v>
      </c>
      <c r="D23086" s="5" t="s">
        <v>499</v>
      </c>
      <c r="E23086" s="5" t="str">
        <f t="shared" si="1150"/>
        <v>ACTISALUD- CEGDOC-JEFETH DIONISETTY PUERTA FIGUEROA</v>
      </c>
      <c r="F23086" s="5"/>
      <c r="G23086" s="5"/>
    </row>
    <row r="23087" spans="1:7" ht="58.5" customHeight="1" x14ac:dyDescent="0.25">
      <c r="A23087" s="5" t="str">
        <f>"H0022031"</f>
        <v>H0022031</v>
      </c>
      <c r="B23087" s="5" t="str">
        <f t="shared" si="1151"/>
        <v>ESTANTE CONSTRUIDOS EN LAMINAS METÁLICAS SOLIDAS, RESISTENTES Y ESTABLES CON TRATAMIENTO ANTICORROSIVO, CON 7 ENTREPAÑOS, DE 0.94 CMS DE ANCHO, CON ALTURA DE 2.20MTS Y CADA BANDEJA DEBE SOPORTAR UN PESO DE 100KG/MT LINEA</v>
      </c>
      <c r="C23087" s="6">
        <v>241999.98</v>
      </c>
      <c r="D23087" s="5" t="s">
        <v>499</v>
      </c>
      <c r="E23087" s="5" t="str">
        <f t="shared" si="1150"/>
        <v>ACTISALUD- CEGDOC-JEFETH DIONISETTY PUERTA FIGUEROA</v>
      </c>
      <c r="F23087" s="5"/>
      <c r="G23087" s="5"/>
    </row>
    <row r="23088" spans="1:7" ht="58.5" customHeight="1" x14ac:dyDescent="0.25">
      <c r="A23088" s="5" t="str">
        <f>"H0022032"</f>
        <v>H0022032</v>
      </c>
      <c r="B23088" s="5" t="str">
        <f t="shared" si="1151"/>
        <v>ESTANTE CONSTRUIDOS EN LAMINAS METÁLICAS SOLIDAS, RESISTENTES Y ESTABLES CON TRATAMIENTO ANTICORROSIVO, CON 7 ENTREPAÑOS, DE 0.94 CMS DE ANCHO, CON ALTURA DE 2.20MTS Y CADA BANDEJA DEBE SOPORTAR UN PESO DE 100KG/MT LINEA</v>
      </c>
      <c r="C23088" s="6">
        <v>241999.98</v>
      </c>
      <c r="D23088" s="5" t="s">
        <v>499</v>
      </c>
      <c r="E23088" s="5" t="str">
        <f t="shared" si="1150"/>
        <v>ACTISALUD- CEGDOC-JEFETH DIONISETTY PUERTA FIGUEROA</v>
      </c>
      <c r="F23088" s="5"/>
      <c r="G23088" s="5"/>
    </row>
    <row r="23089" spans="1:7" ht="58.5" customHeight="1" x14ac:dyDescent="0.25">
      <c r="A23089" s="5" t="str">
        <f>"H0022033"</f>
        <v>H0022033</v>
      </c>
      <c r="B23089" s="5" t="str">
        <f t="shared" si="1151"/>
        <v>ESTANTE CONSTRUIDOS EN LAMINAS METÁLICAS SOLIDAS, RESISTENTES Y ESTABLES CON TRATAMIENTO ANTICORROSIVO, CON 7 ENTREPAÑOS, DE 0.94 CMS DE ANCHO, CON ALTURA DE 2.20MTS Y CADA BANDEJA DEBE SOPORTAR UN PESO DE 100KG/MT LINEA</v>
      </c>
      <c r="C23089" s="6">
        <v>241999.98</v>
      </c>
      <c r="D23089" s="5" t="s">
        <v>499</v>
      </c>
      <c r="E23089" s="5" t="str">
        <f t="shared" si="1150"/>
        <v>ACTISALUD- CEGDOC-JEFETH DIONISETTY PUERTA FIGUEROA</v>
      </c>
      <c r="F23089" s="5"/>
      <c r="G23089" s="5"/>
    </row>
    <row r="23090" spans="1:7" ht="58.5" customHeight="1" x14ac:dyDescent="0.25">
      <c r="A23090" s="5" t="str">
        <f>"H0022034"</f>
        <v>H0022034</v>
      </c>
      <c r="B23090" s="5" t="str">
        <f t="shared" si="1151"/>
        <v>ESTANTE CONSTRUIDOS EN LAMINAS METÁLICAS SOLIDAS, RESISTENTES Y ESTABLES CON TRATAMIENTO ANTICORROSIVO, CON 7 ENTREPAÑOS, DE 0.94 CMS DE ANCHO, CON ALTURA DE 2.20MTS Y CADA BANDEJA DEBE SOPORTAR UN PESO DE 100KG/MT LINEA</v>
      </c>
      <c r="C23090" s="6">
        <v>241999.98</v>
      </c>
      <c r="D23090" s="5" t="s">
        <v>499</v>
      </c>
      <c r="E23090" s="5" t="str">
        <f t="shared" si="1150"/>
        <v>ACTISALUD- CEGDOC-JEFETH DIONISETTY PUERTA FIGUEROA</v>
      </c>
      <c r="F23090" s="5"/>
      <c r="G23090" s="5"/>
    </row>
    <row r="23091" spans="1:7" ht="58.5" customHeight="1" x14ac:dyDescent="0.25">
      <c r="A23091" s="5" t="str">
        <f>"H0022035"</f>
        <v>H0022035</v>
      </c>
      <c r="B23091" s="5" t="str">
        <f t="shared" si="1151"/>
        <v>ESTANTE CONSTRUIDOS EN LAMINAS METÁLICAS SOLIDAS, RESISTENTES Y ESTABLES CON TRATAMIENTO ANTICORROSIVO, CON 7 ENTREPAÑOS, DE 0.94 CMS DE ANCHO, CON ALTURA DE 2.20MTS Y CADA BANDEJA DEBE SOPORTAR UN PESO DE 100KG/MT LINEA</v>
      </c>
      <c r="C23091" s="6">
        <v>241999.98</v>
      </c>
      <c r="D23091" s="5" t="s">
        <v>499</v>
      </c>
      <c r="E23091" s="5" t="str">
        <f t="shared" si="1150"/>
        <v>ACTISALUD- CEGDOC-JEFETH DIONISETTY PUERTA FIGUEROA</v>
      </c>
      <c r="F23091" s="5"/>
      <c r="G23091" s="5"/>
    </row>
    <row r="23092" spans="1:7" ht="58.5" customHeight="1" x14ac:dyDescent="0.25">
      <c r="A23092" s="5" t="str">
        <f>"H0022036"</f>
        <v>H0022036</v>
      </c>
      <c r="B23092" s="5" t="str">
        <f t="shared" si="1151"/>
        <v>ESTANTE CONSTRUIDOS EN LAMINAS METÁLICAS SOLIDAS, RESISTENTES Y ESTABLES CON TRATAMIENTO ANTICORROSIVO, CON 7 ENTREPAÑOS, DE 0.94 CMS DE ANCHO, CON ALTURA DE 2.20MTS Y CADA BANDEJA DEBE SOPORTAR UN PESO DE 100KG/MT LINEA</v>
      </c>
      <c r="C23092" s="6">
        <v>241999.98</v>
      </c>
      <c r="D23092" s="5" t="s">
        <v>499</v>
      </c>
      <c r="E23092" s="5" t="str">
        <f t="shared" si="1150"/>
        <v>ACTISALUD- CEGDOC-JEFETH DIONISETTY PUERTA FIGUEROA</v>
      </c>
      <c r="F23092" s="5"/>
      <c r="G23092" s="5"/>
    </row>
    <row r="23093" spans="1:7" ht="58.5" customHeight="1" x14ac:dyDescent="0.25">
      <c r="A23093" s="5" t="str">
        <f>"H0022037"</f>
        <v>H0022037</v>
      </c>
      <c r="B23093" s="5" t="str">
        <f t="shared" si="1151"/>
        <v>ESTANTE CONSTRUIDOS EN LAMINAS METÁLICAS SOLIDAS, RESISTENTES Y ESTABLES CON TRATAMIENTO ANTICORROSIVO, CON 7 ENTREPAÑOS, DE 0.94 CMS DE ANCHO, CON ALTURA DE 2.20MTS Y CADA BANDEJA DEBE SOPORTAR UN PESO DE 100KG/MT LINEA</v>
      </c>
      <c r="C23093" s="6">
        <v>241999.98</v>
      </c>
      <c r="D23093" s="5" t="s">
        <v>499</v>
      </c>
      <c r="E23093" s="5" t="str">
        <f t="shared" si="1150"/>
        <v>ACTISALUD- CEGDOC-JEFETH DIONISETTY PUERTA FIGUEROA</v>
      </c>
      <c r="F23093" s="5"/>
      <c r="G23093" s="5"/>
    </row>
    <row r="23094" spans="1:7" ht="58.5" customHeight="1" x14ac:dyDescent="0.25">
      <c r="A23094" s="5" t="str">
        <f>"H0022038"</f>
        <v>H0022038</v>
      </c>
      <c r="B23094" s="5" t="str">
        <f t="shared" si="1151"/>
        <v>ESTANTE CONSTRUIDOS EN LAMINAS METÁLICAS SOLIDAS, RESISTENTES Y ESTABLES CON TRATAMIENTO ANTICORROSIVO, CON 7 ENTREPAÑOS, DE 0.94 CMS DE ANCHO, CON ALTURA DE 2.20MTS Y CADA BANDEJA DEBE SOPORTAR UN PESO DE 100KG/MT LINEA</v>
      </c>
      <c r="C23094" s="6">
        <v>241999.98</v>
      </c>
      <c r="D23094" s="5" t="s">
        <v>499</v>
      </c>
      <c r="E23094" s="5" t="str">
        <f t="shared" si="1150"/>
        <v>ACTISALUD- CEGDOC-JEFETH DIONISETTY PUERTA FIGUEROA</v>
      </c>
      <c r="F23094" s="5"/>
      <c r="G23094" s="5"/>
    </row>
    <row r="23095" spans="1:7" ht="58.5" customHeight="1" x14ac:dyDescent="0.25">
      <c r="A23095" s="5" t="str">
        <f>"H0022039"</f>
        <v>H0022039</v>
      </c>
      <c r="B23095" s="5" t="str">
        <f t="shared" si="1151"/>
        <v>ESTANTE CONSTRUIDOS EN LAMINAS METÁLICAS SOLIDAS, RESISTENTES Y ESTABLES CON TRATAMIENTO ANTICORROSIVO, CON 7 ENTREPAÑOS, DE 0.94 CMS DE ANCHO, CON ALTURA DE 2.20MTS Y CADA BANDEJA DEBE SOPORTAR UN PESO DE 100KG/MT LINEA</v>
      </c>
      <c r="C23095" s="6">
        <v>241999.98</v>
      </c>
      <c r="D23095" s="5" t="s">
        <v>499</v>
      </c>
      <c r="E23095" s="5" t="str">
        <f t="shared" si="1150"/>
        <v>ACTISALUD- CEGDOC-JEFETH DIONISETTY PUERTA FIGUEROA</v>
      </c>
      <c r="F23095" s="5"/>
      <c r="G23095" s="5"/>
    </row>
    <row r="23096" spans="1:7" ht="58.5" customHeight="1" x14ac:dyDescent="0.25">
      <c r="A23096" s="5" t="str">
        <f>"H0022040"</f>
        <v>H0022040</v>
      </c>
      <c r="B23096" s="5" t="str">
        <f t="shared" si="1151"/>
        <v>ESTANTE CONSTRUIDOS EN LAMINAS METÁLICAS SOLIDAS, RESISTENTES Y ESTABLES CON TRATAMIENTO ANTICORROSIVO, CON 7 ENTREPAÑOS, DE 0.94 CMS DE ANCHO, CON ALTURA DE 2.20MTS Y CADA BANDEJA DEBE SOPORTAR UN PESO DE 100KG/MT LINEA</v>
      </c>
      <c r="C23096" s="6">
        <v>241999.98</v>
      </c>
      <c r="D23096" s="5" t="s">
        <v>499</v>
      </c>
      <c r="E23096" s="5" t="str">
        <f t="shared" si="1150"/>
        <v>ACTISALUD- CEGDOC-JEFETH DIONISETTY PUERTA FIGUEROA</v>
      </c>
      <c r="F23096" s="5"/>
      <c r="G23096" s="5"/>
    </row>
    <row r="23097" spans="1:7" ht="58.5" customHeight="1" x14ac:dyDescent="0.25">
      <c r="A23097" s="5" t="str">
        <f>"H0022041"</f>
        <v>H0022041</v>
      </c>
      <c r="B23097" s="5" t="str">
        <f t="shared" si="1151"/>
        <v>ESTANTE CONSTRUIDOS EN LAMINAS METÁLICAS SOLIDAS, RESISTENTES Y ESTABLES CON TRATAMIENTO ANTICORROSIVO, CON 7 ENTREPAÑOS, DE 0.94 CMS DE ANCHO, CON ALTURA DE 2.20MTS Y CADA BANDEJA DEBE SOPORTAR UN PESO DE 100KG/MT LINEA</v>
      </c>
      <c r="C23097" s="6">
        <v>241999.98</v>
      </c>
      <c r="D23097" s="5" t="s">
        <v>499</v>
      </c>
      <c r="E23097" s="5" t="str">
        <f t="shared" si="1150"/>
        <v>ACTISALUD- CEGDOC-JEFETH DIONISETTY PUERTA FIGUEROA</v>
      </c>
      <c r="F23097" s="5"/>
      <c r="G23097" s="5"/>
    </row>
    <row r="23098" spans="1:7" ht="58.5" customHeight="1" x14ac:dyDescent="0.25">
      <c r="A23098" s="5" t="str">
        <f>"H0022042"</f>
        <v>H0022042</v>
      </c>
      <c r="B23098" s="5" t="str">
        <f t="shared" si="1151"/>
        <v>ESTANTE CONSTRUIDOS EN LAMINAS METÁLICAS SOLIDAS, RESISTENTES Y ESTABLES CON TRATAMIENTO ANTICORROSIVO, CON 7 ENTREPAÑOS, DE 0.94 CMS DE ANCHO, CON ALTURA DE 2.20MTS Y CADA BANDEJA DEBE SOPORTAR UN PESO DE 100KG/MT LINEA</v>
      </c>
      <c r="C23098" s="6">
        <v>241999.98</v>
      </c>
      <c r="D23098" s="5" t="s">
        <v>499</v>
      </c>
      <c r="E23098" s="5" t="str">
        <f t="shared" si="1150"/>
        <v>ACTISALUD- CEGDOC-JEFETH DIONISETTY PUERTA FIGUEROA</v>
      </c>
      <c r="F23098" s="5"/>
      <c r="G23098" s="5"/>
    </row>
    <row r="23099" spans="1:7" ht="58.5" customHeight="1" x14ac:dyDescent="0.25">
      <c r="A23099" s="5" t="str">
        <f>"H0022043"</f>
        <v>H0022043</v>
      </c>
      <c r="B23099" s="5" t="str">
        <f t="shared" si="1151"/>
        <v>ESTANTE CONSTRUIDOS EN LAMINAS METÁLICAS SOLIDAS, RESISTENTES Y ESTABLES CON TRATAMIENTO ANTICORROSIVO, CON 7 ENTREPAÑOS, DE 0.94 CMS DE ANCHO, CON ALTURA DE 2.20MTS Y CADA BANDEJA DEBE SOPORTAR UN PESO DE 100KG/MT LINEA</v>
      </c>
      <c r="C23099" s="6">
        <v>241999.98</v>
      </c>
      <c r="D23099" s="5" t="s">
        <v>499</v>
      </c>
      <c r="E23099" s="5" t="str">
        <f t="shared" si="1150"/>
        <v>ACTISALUD- CEGDOC-JEFETH DIONISETTY PUERTA FIGUEROA</v>
      </c>
      <c r="F23099" s="5"/>
      <c r="G23099" s="5"/>
    </row>
    <row r="23100" spans="1:7" ht="58.5" customHeight="1" x14ac:dyDescent="0.25">
      <c r="A23100" s="5" t="str">
        <f>"H0022044"</f>
        <v>H0022044</v>
      </c>
      <c r="B23100" s="5" t="str">
        <f t="shared" si="1151"/>
        <v>ESTANTE CONSTRUIDOS EN LAMINAS METÁLICAS SOLIDAS, RESISTENTES Y ESTABLES CON TRATAMIENTO ANTICORROSIVO, CON 7 ENTREPAÑOS, DE 0.94 CMS DE ANCHO, CON ALTURA DE 2.20MTS Y CADA BANDEJA DEBE SOPORTAR UN PESO DE 100KG/MT LINEA</v>
      </c>
      <c r="C23100" s="6">
        <v>241999.98</v>
      </c>
      <c r="D23100" s="5" t="s">
        <v>499</v>
      </c>
      <c r="E23100" s="5" t="str">
        <f t="shared" si="1150"/>
        <v>ACTISALUD- CEGDOC-JEFETH DIONISETTY PUERTA FIGUEROA</v>
      </c>
      <c r="F23100" s="5"/>
      <c r="G23100" s="5"/>
    </row>
    <row r="23101" spans="1:7" ht="58.5" customHeight="1" x14ac:dyDescent="0.25">
      <c r="A23101" s="5" t="str">
        <f>"H0022045"</f>
        <v>H0022045</v>
      </c>
      <c r="B23101" s="5" t="str">
        <f t="shared" si="1151"/>
        <v>ESTANTE CONSTRUIDOS EN LAMINAS METÁLICAS SOLIDAS, RESISTENTES Y ESTABLES CON TRATAMIENTO ANTICORROSIVO, CON 7 ENTREPAÑOS, DE 0.94 CMS DE ANCHO, CON ALTURA DE 2.20MTS Y CADA BANDEJA DEBE SOPORTAR UN PESO DE 100KG/MT LINEA</v>
      </c>
      <c r="C23101" s="6">
        <v>241999.98</v>
      </c>
      <c r="D23101" s="5" t="s">
        <v>499</v>
      </c>
      <c r="E23101" s="5" t="str">
        <f t="shared" si="1150"/>
        <v>ACTISALUD- CEGDOC-JEFETH DIONISETTY PUERTA FIGUEROA</v>
      </c>
      <c r="F23101" s="5"/>
      <c r="G23101" s="5"/>
    </row>
    <row r="23102" spans="1:7" ht="58.5" customHeight="1" x14ac:dyDescent="0.25">
      <c r="A23102" s="5" t="str">
        <f>"H0022046"</f>
        <v>H0022046</v>
      </c>
      <c r="B23102" s="5" t="str">
        <f t="shared" si="1151"/>
        <v>ESTANTE CONSTRUIDOS EN LAMINAS METÁLICAS SOLIDAS, RESISTENTES Y ESTABLES CON TRATAMIENTO ANTICORROSIVO, CON 7 ENTREPAÑOS, DE 0.94 CMS DE ANCHO, CON ALTURA DE 2.20MTS Y CADA BANDEJA DEBE SOPORTAR UN PESO DE 100KG/MT LINEA</v>
      </c>
      <c r="C23102" s="6">
        <v>241999.98</v>
      </c>
      <c r="D23102" s="5" t="s">
        <v>499</v>
      </c>
      <c r="E23102" s="5" t="str">
        <f t="shared" si="1150"/>
        <v>ACTISALUD- CEGDOC-JEFETH DIONISETTY PUERTA FIGUEROA</v>
      </c>
      <c r="F23102" s="5"/>
      <c r="G23102" s="5"/>
    </row>
    <row r="23103" spans="1:7" ht="58.5" customHeight="1" x14ac:dyDescent="0.25">
      <c r="A23103" s="5" t="str">
        <f>"H0022047"</f>
        <v>H0022047</v>
      </c>
      <c r="B23103" s="5" t="str">
        <f t="shared" si="1151"/>
        <v>ESTANTE CONSTRUIDOS EN LAMINAS METÁLICAS SOLIDAS, RESISTENTES Y ESTABLES CON TRATAMIENTO ANTICORROSIVO, CON 7 ENTREPAÑOS, DE 0.94 CMS DE ANCHO, CON ALTURA DE 2.20MTS Y CADA BANDEJA DEBE SOPORTAR UN PESO DE 100KG/MT LINEA</v>
      </c>
      <c r="C23103" s="6">
        <v>241999.98</v>
      </c>
      <c r="D23103" s="5" t="s">
        <v>499</v>
      </c>
      <c r="E23103" s="5" t="str">
        <f t="shared" si="1150"/>
        <v>ACTISALUD- CEGDOC-JEFETH DIONISETTY PUERTA FIGUEROA</v>
      </c>
      <c r="F23103" s="5"/>
      <c r="G23103" s="5"/>
    </row>
    <row r="23104" spans="1:7" ht="58.5" customHeight="1" x14ac:dyDescent="0.25">
      <c r="A23104" s="5" t="str">
        <f>"H0022048"</f>
        <v>H0022048</v>
      </c>
      <c r="B23104" s="5" t="str">
        <f t="shared" si="1151"/>
        <v>ESTANTE CONSTRUIDOS EN LAMINAS METÁLICAS SOLIDAS, RESISTENTES Y ESTABLES CON TRATAMIENTO ANTICORROSIVO, CON 7 ENTREPAÑOS, DE 0.94 CMS DE ANCHO, CON ALTURA DE 2.20MTS Y CADA BANDEJA DEBE SOPORTAR UN PESO DE 100KG/MT LINEA</v>
      </c>
      <c r="C23104" s="6">
        <v>241999.98</v>
      </c>
      <c r="D23104" s="5" t="s">
        <v>499</v>
      </c>
      <c r="E23104" s="5" t="str">
        <f t="shared" si="1150"/>
        <v>ACTISALUD- CEGDOC-JEFETH DIONISETTY PUERTA FIGUEROA</v>
      </c>
      <c r="F23104" s="5"/>
      <c r="G23104" s="5"/>
    </row>
    <row r="23105" spans="1:7" ht="58.5" customHeight="1" x14ac:dyDescent="0.25">
      <c r="A23105" s="5" t="str">
        <f>"H0022049"</f>
        <v>H0022049</v>
      </c>
      <c r="B23105" s="5" t="str">
        <f t="shared" si="1151"/>
        <v>ESTANTE CONSTRUIDOS EN LAMINAS METÁLICAS SOLIDAS, RESISTENTES Y ESTABLES CON TRATAMIENTO ANTICORROSIVO, CON 7 ENTREPAÑOS, DE 0.94 CMS DE ANCHO, CON ALTURA DE 2.20MTS Y CADA BANDEJA DEBE SOPORTAR UN PESO DE 100KG/MT LINEA</v>
      </c>
      <c r="C23105" s="6">
        <v>241999.98</v>
      </c>
      <c r="D23105" s="5" t="s">
        <v>499</v>
      </c>
      <c r="E23105" s="5" t="str">
        <f t="shared" si="1150"/>
        <v>ACTISALUD- CEGDOC-JEFETH DIONISETTY PUERTA FIGUEROA</v>
      </c>
      <c r="F23105" s="5"/>
      <c r="G23105" s="5"/>
    </row>
    <row r="23106" spans="1:7" ht="58.5" customHeight="1" x14ac:dyDescent="0.25">
      <c r="A23106" s="5" t="str">
        <f>"H0022050"</f>
        <v>H0022050</v>
      </c>
      <c r="B23106" s="5" t="str">
        <f t="shared" si="1151"/>
        <v>ESTANTE CONSTRUIDOS EN LAMINAS METÁLICAS SOLIDAS, RESISTENTES Y ESTABLES CON TRATAMIENTO ANTICORROSIVO, CON 7 ENTREPAÑOS, DE 0.94 CMS DE ANCHO, CON ALTURA DE 2.20MTS Y CADA BANDEJA DEBE SOPORTAR UN PESO DE 100KG/MT LINEA</v>
      </c>
      <c r="C23106" s="6">
        <v>241999.98</v>
      </c>
      <c r="D23106" s="5" t="s">
        <v>499</v>
      </c>
      <c r="E23106" s="5" t="str">
        <f t="shared" si="1150"/>
        <v>ACTISALUD- CEGDOC-JEFETH DIONISETTY PUERTA FIGUEROA</v>
      </c>
      <c r="F23106" s="5"/>
      <c r="G23106" s="5"/>
    </row>
    <row r="23107" spans="1:7" ht="58.5" customHeight="1" x14ac:dyDescent="0.25">
      <c r="A23107" s="5" t="str">
        <f>"H0022051"</f>
        <v>H0022051</v>
      </c>
      <c r="B23107" s="5" t="str">
        <f t="shared" si="1151"/>
        <v>ESTANTE CONSTRUIDOS EN LAMINAS METÁLICAS SOLIDAS, RESISTENTES Y ESTABLES CON TRATAMIENTO ANTICORROSIVO, CON 7 ENTREPAÑOS, DE 0.94 CMS DE ANCHO, CON ALTURA DE 2.20MTS Y CADA BANDEJA DEBE SOPORTAR UN PESO DE 100KG/MT LINEA</v>
      </c>
      <c r="C23107" s="6">
        <v>241999.99</v>
      </c>
      <c r="D23107" s="5" t="s">
        <v>499</v>
      </c>
      <c r="E23107" s="5" t="str">
        <f t="shared" si="1150"/>
        <v>ACTISALUD- CEGDOC-JEFETH DIONISETTY PUERTA FIGUEROA</v>
      </c>
      <c r="F23107" s="5"/>
      <c r="G23107" s="5"/>
    </row>
    <row r="23108" spans="1:7" ht="58.5" customHeight="1" x14ac:dyDescent="0.25">
      <c r="A23108" s="5" t="str">
        <f>"H0022052"</f>
        <v>H0022052</v>
      </c>
      <c r="B23108" s="5" t="str">
        <f t="shared" si="1151"/>
        <v>ESTANTE CONSTRUIDOS EN LAMINAS METÁLICAS SOLIDAS, RESISTENTES Y ESTABLES CON TRATAMIENTO ANTICORROSIVO, CON 7 ENTREPAÑOS, DE 0.94 CMS DE ANCHO, CON ALTURA DE 2.20MTS Y CADA BANDEJA DEBE SOPORTAR UN PESO DE 100KG/MT LINEA</v>
      </c>
      <c r="C23108" s="6">
        <v>241999.99</v>
      </c>
      <c r="D23108" s="5" t="s">
        <v>499</v>
      </c>
      <c r="E23108" s="5" t="str">
        <f t="shared" si="1150"/>
        <v>ACTISALUD- CEGDOC-JEFETH DIONISETTY PUERTA FIGUEROA</v>
      </c>
      <c r="F23108" s="5"/>
      <c r="G23108" s="5"/>
    </row>
    <row r="23109" spans="1:7" ht="58.5" customHeight="1" x14ac:dyDescent="0.25">
      <c r="A23109" s="5" t="str">
        <f>"H0022053"</f>
        <v>H0022053</v>
      </c>
      <c r="B23109" s="5" t="str">
        <f t="shared" ref="B23109:B23140" si="1152">"ESTANTE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109" s="6">
        <v>241999.99</v>
      </c>
      <c r="D23109" s="5" t="s">
        <v>499</v>
      </c>
      <c r="E23109" s="5" t="str">
        <f t="shared" si="1150"/>
        <v>ACTISALUD- CEGDOC-JEFETH DIONISETTY PUERTA FIGUEROA</v>
      </c>
      <c r="F23109" s="5"/>
      <c r="G23109" s="5"/>
    </row>
    <row r="23110" spans="1:7" ht="58.5" customHeight="1" x14ac:dyDescent="0.25">
      <c r="A23110" s="5" t="str">
        <f>"H0022054"</f>
        <v>H0022054</v>
      </c>
      <c r="B23110" s="5" t="str">
        <f t="shared" si="1152"/>
        <v>ESTANTE CONSTRUIDOS EN LAMINAS METÁLICAS SOLIDAS, RESISTENTES Y ESTABLES CON TRATAMIENTO ANTICORROSIVO, CON 7 ENTREPAÑOS, DE 0.94 CMS DE ANCHO, CON ALTURA DE 2.20MTS Y CADA BANDEJA DEBE SOPORTAR UN PESO DE 100KG/MT LINEA</v>
      </c>
      <c r="C23110" s="6">
        <v>241999.99</v>
      </c>
      <c r="D23110" s="5" t="s">
        <v>499</v>
      </c>
      <c r="E23110" s="5" t="str">
        <f t="shared" si="1150"/>
        <v>ACTISALUD- CEGDOC-JEFETH DIONISETTY PUERTA FIGUEROA</v>
      </c>
      <c r="F23110" s="5"/>
      <c r="G23110" s="5"/>
    </row>
    <row r="23111" spans="1:7" ht="58.5" customHeight="1" x14ac:dyDescent="0.25">
      <c r="A23111" s="5" t="str">
        <f>"H0022055"</f>
        <v>H0022055</v>
      </c>
      <c r="B23111" s="5" t="str">
        <f t="shared" si="1152"/>
        <v>ESTANTE CONSTRUIDOS EN LAMINAS METÁLICAS SOLIDAS, RESISTENTES Y ESTABLES CON TRATAMIENTO ANTICORROSIVO, CON 7 ENTREPAÑOS, DE 0.94 CMS DE ANCHO, CON ALTURA DE 2.20MTS Y CADA BANDEJA DEBE SOPORTAR UN PESO DE 100KG/MT LINEA</v>
      </c>
      <c r="C23111" s="6">
        <v>241999.99</v>
      </c>
      <c r="D23111" s="5" t="s">
        <v>499</v>
      </c>
      <c r="E23111" s="5" t="str">
        <f t="shared" si="1150"/>
        <v>ACTISALUD- CEGDOC-JEFETH DIONISETTY PUERTA FIGUEROA</v>
      </c>
      <c r="F23111" s="5"/>
      <c r="G23111" s="5"/>
    </row>
    <row r="23112" spans="1:7" ht="58.5" customHeight="1" x14ac:dyDescent="0.25">
      <c r="A23112" s="5" t="str">
        <f>"H0022056"</f>
        <v>H0022056</v>
      </c>
      <c r="B23112" s="5" t="str">
        <f t="shared" si="1152"/>
        <v>ESTANTE CONSTRUIDOS EN LAMINAS METÁLICAS SOLIDAS, RESISTENTES Y ESTABLES CON TRATAMIENTO ANTICORROSIVO, CON 7 ENTREPAÑOS, DE 0.94 CMS DE ANCHO, CON ALTURA DE 2.20MTS Y CADA BANDEJA DEBE SOPORTAR UN PESO DE 100KG/MT LINEA</v>
      </c>
      <c r="C23112" s="6">
        <v>241999.99</v>
      </c>
      <c r="D23112" s="5" t="s">
        <v>810</v>
      </c>
      <c r="E23112" s="5" t="str">
        <f t="shared" si="1150"/>
        <v>ACTISALUD- CEGDOC-JEFETH DIONISETTY PUERTA FIGUEROA</v>
      </c>
      <c r="F23112" s="5"/>
      <c r="G23112" s="5"/>
    </row>
    <row r="23113" spans="1:7" ht="58.5" customHeight="1" x14ac:dyDescent="0.25">
      <c r="A23113" s="5" t="str">
        <f>"H0022057"</f>
        <v>H0022057</v>
      </c>
      <c r="B23113" s="5" t="str">
        <f t="shared" si="1152"/>
        <v>ESTANTE CONSTRUIDOS EN LAMINAS METÁLICAS SOLIDAS, RESISTENTES Y ESTABLES CON TRATAMIENTO ANTICORROSIVO, CON 7 ENTREPAÑOS, DE 0.94 CMS DE ANCHO, CON ALTURA DE 2.20MTS Y CADA BANDEJA DEBE SOPORTAR UN PESO DE 100KG/MT LINEA</v>
      </c>
      <c r="C23113" s="6">
        <v>241999.99</v>
      </c>
      <c r="D23113" s="5" t="s">
        <v>499</v>
      </c>
      <c r="E23113" s="5" t="str">
        <f t="shared" si="1150"/>
        <v>ACTISALUD- CEGDOC-JEFETH DIONISETTY PUERTA FIGUEROA</v>
      </c>
      <c r="F23113" s="5"/>
      <c r="G23113" s="5"/>
    </row>
    <row r="23114" spans="1:7" ht="58.5" customHeight="1" x14ac:dyDescent="0.25">
      <c r="A23114" s="5" t="str">
        <f>"H0022058"</f>
        <v>H0022058</v>
      </c>
      <c r="B23114" s="5" t="str">
        <f t="shared" si="1152"/>
        <v>ESTANTE CONSTRUIDOS EN LAMINAS METÁLICAS SOLIDAS, RESISTENTES Y ESTABLES CON TRATAMIENTO ANTICORROSIVO, CON 7 ENTREPAÑOS, DE 0.94 CMS DE ANCHO, CON ALTURA DE 2.20MTS Y CADA BANDEJA DEBE SOPORTAR UN PESO DE 100KG/MT LINEA</v>
      </c>
      <c r="C23114" s="6">
        <v>241999.99</v>
      </c>
      <c r="D23114" s="5" t="s">
        <v>810</v>
      </c>
      <c r="E23114" s="5" t="str">
        <f t="shared" si="1150"/>
        <v>ACTISALUD- CEGDOC-JEFETH DIONISETTY PUERTA FIGUEROA</v>
      </c>
      <c r="F23114" s="5"/>
      <c r="G23114" s="5"/>
    </row>
    <row r="23115" spans="1:7" ht="58.5" customHeight="1" x14ac:dyDescent="0.25">
      <c r="A23115" s="5" t="str">
        <f>"H0022059"</f>
        <v>H0022059</v>
      </c>
      <c r="B23115" s="5" t="str">
        <f t="shared" si="1152"/>
        <v>ESTANTE CONSTRUIDOS EN LAMINAS METÁLICAS SOLIDAS, RESISTENTES Y ESTABLES CON TRATAMIENTO ANTICORROSIVO, CON 7 ENTREPAÑOS, DE 0.94 CMS DE ANCHO, CON ALTURA DE 2.20MTS Y CADA BANDEJA DEBE SOPORTAR UN PESO DE 100KG/MT LINEA</v>
      </c>
      <c r="C23115" s="6">
        <v>241999.99</v>
      </c>
      <c r="D23115" s="5" t="s">
        <v>810</v>
      </c>
      <c r="E23115" s="5" t="str">
        <f t="shared" si="1150"/>
        <v>ACTISALUD- CEGDOC-JEFETH DIONISETTY PUERTA FIGUEROA</v>
      </c>
      <c r="F23115" s="5"/>
      <c r="G23115" s="5"/>
    </row>
    <row r="23116" spans="1:7" ht="58.5" customHeight="1" x14ac:dyDescent="0.25">
      <c r="A23116" s="5" t="str">
        <f>"H0022060"</f>
        <v>H0022060</v>
      </c>
      <c r="B23116" s="5" t="str">
        <f t="shared" si="1152"/>
        <v>ESTANTE CONSTRUIDOS EN LAMINAS METÁLICAS SOLIDAS, RESISTENTES Y ESTABLES CON TRATAMIENTO ANTICORROSIVO, CON 7 ENTREPAÑOS, DE 0.94 CMS DE ANCHO, CON ALTURA DE 2.20MTS Y CADA BANDEJA DEBE SOPORTAR UN PESO DE 100KG/MT LINEA</v>
      </c>
      <c r="C23116" s="6">
        <v>241999.99</v>
      </c>
      <c r="D23116" s="5" t="s">
        <v>810</v>
      </c>
      <c r="E23116" s="5" t="str">
        <f t="shared" si="1150"/>
        <v>ACTISALUD- CEGDOC-JEFETH DIONISETTY PUERTA FIGUEROA</v>
      </c>
      <c r="F23116" s="5"/>
      <c r="G23116" s="5"/>
    </row>
    <row r="23117" spans="1:7" ht="58.5" customHeight="1" x14ac:dyDescent="0.25">
      <c r="A23117" s="5" t="str">
        <f>"H0022061"</f>
        <v>H0022061</v>
      </c>
      <c r="B23117" s="5" t="str">
        <f t="shared" si="1152"/>
        <v>ESTANTE CONSTRUIDOS EN LAMINAS METÁLICAS SOLIDAS, RESISTENTES Y ESTABLES CON TRATAMIENTO ANTICORROSIVO, CON 7 ENTREPAÑOS, DE 0.94 CMS DE ANCHO, CON ALTURA DE 2.20MTS Y CADA BANDEJA DEBE SOPORTAR UN PESO DE 100KG/MT LINEA</v>
      </c>
      <c r="C23117" s="6">
        <v>241999.99</v>
      </c>
      <c r="D23117" s="5" t="s">
        <v>499</v>
      </c>
      <c r="E23117" s="5" t="str">
        <f t="shared" si="1150"/>
        <v>ACTISALUD- CEGDOC-JEFETH DIONISETTY PUERTA FIGUEROA</v>
      </c>
      <c r="F23117" s="5"/>
      <c r="G23117" s="5"/>
    </row>
    <row r="23118" spans="1:7" ht="58.5" customHeight="1" x14ac:dyDescent="0.25">
      <c r="A23118" s="5" t="str">
        <f>"H0022062"</f>
        <v>H0022062</v>
      </c>
      <c r="B23118" s="5" t="str">
        <f t="shared" si="1152"/>
        <v>ESTANTE CONSTRUIDOS EN LAMINAS METÁLICAS SOLIDAS, RESISTENTES Y ESTABLES CON TRATAMIENTO ANTICORROSIVO, CON 7 ENTREPAÑOS, DE 0.94 CMS DE ANCHO, CON ALTURA DE 2.20MTS Y CADA BANDEJA DEBE SOPORTAR UN PESO DE 100KG/MT LINEA</v>
      </c>
      <c r="C23118" s="6">
        <v>241999.99</v>
      </c>
      <c r="D23118" s="5" t="s">
        <v>499</v>
      </c>
      <c r="E23118" s="5" t="str">
        <f t="shared" si="1150"/>
        <v>ACTISALUD- CEGDOC-JEFETH DIONISETTY PUERTA FIGUEROA</v>
      </c>
      <c r="F23118" s="5"/>
      <c r="G23118" s="5"/>
    </row>
    <row r="23119" spans="1:7" ht="58.5" customHeight="1" x14ac:dyDescent="0.25">
      <c r="A23119" s="5" t="str">
        <f>"H0022063"</f>
        <v>H0022063</v>
      </c>
      <c r="B23119" s="5" t="str">
        <f t="shared" si="1152"/>
        <v>ESTANTE CONSTRUIDOS EN LAMINAS METÁLICAS SOLIDAS, RESISTENTES Y ESTABLES CON TRATAMIENTO ANTICORROSIVO, CON 7 ENTREPAÑOS, DE 0.94 CMS DE ANCHO, CON ALTURA DE 2.20MTS Y CADA BANDEJA DEBE SOPORTAR UN PESO DE 100KG/MT LINEA</v>
      </c>
      <c r="C23119" s="6">
        <v>241999.99</v>
      </c>
      <c r="D23119" s="5" t="s">
        <v>499</v>
      </c>
      <c r="E23119" s="5" t="str">
        <f t="shared" si="1150"/>
        <v>ACTISALUD- CEGDOC-JEFETH DIONISETTY PUERTA FIGUEROA</v>
      </c>
      <c r="F23119" s="5"/>
      <c r="G23119" s="5"/>
    </row>
    <row r="23120" spans="1:7" ht="58.5" customHeight="1" x14ac:dyDescent="0.25">
      <c r="A23120" s="5" t="str">
        <f>"H0022064"</f>
        <v>H0022064</v>
      </c>
      <c r="B23120" s="5" t="str">
        <f t="shared" si="1152"/>
        <v>ESTANTE CONSTRUIDOS EN LAMINAS METÁLICAS SOLIDAS, RESISTENTES Y ESTABLES CON TRATAMIENTO ANTICORROSIVO, CON 7 ENTREPAÑOS, DE 0.94 CMS DE ANCHO, CON ALTURA DE 2.20MTS Y CADA BANDEJA DEBE SOPORTAR UN PESO DE 100KG/MT LINEA</v>
      </c>
      <c r="C23120" s="6">
        <v>241999.99</v>
      </c>
      <c r="D23120" s="5" t="s">
        <v>499</v>
      </c>
      <c r="E23120" s="5" t="str">
        <f t="shared" si="1150"/>
        <v>ACTISALUD- CEGDOC-JEFETH DIONISETTY PUERTA FIGUEROA</v>
      </c>
      <c r="F23120" s="5"/>
      <c r="G23120" s="5"/>
    </row>
    <row r="23121" spans="1:7" ht="58.5" customHeight="1" x14ac:dyDescent="0.25">
      <c r="A23121" s="5" t="str">
        <f>"H0022065"</f>
        <v>H0022065</v>
      </c>
      <c r="B23121" s="5" t="str">
        <f t="shared" si="1152"/>
        <v>ESTANTE CONSTRUIDOS EN LAMINAS METÁLICAS SOLIDAS, RESISTENTES Y ESTABLES CON TRATAMIENTO ANTICORROSIVO, CON 7 ENTREPAÑOS, DE 0.94 CMS DE ANCHO, CON ALTURA DE 2.20MTS Y CADA BANDEJA DEBE SOPORTAR UN PESO DE 100KG/MT LINEA</v>
      </c>
      <c r="C23121" s="6">
        <v>241999.99</v>
      </c>
      <c r="D23121" s="5" t="s">
        <v>499</v>
      </c>
      <c r="E23121" s="5" t="str">
        <f t="shared" si="1150"/>
        <v>ACTISALUD- CEGDOC-JEFETH DIONISETTY PUERTA FIGUEROA</v>
      </c>
      <c r="F23121" s="5"/>
      <c r="G23121" s="5"/>
    </row>
    <row r="23122" spans="1:7" ht="58.5" customHeight="1" x14ac:dyDescent="0.25">
      <c r="A23122" s="5" t="str">
        <f>"H0022066"</f>
        <v>H0022066</v>
      </c>
      <c r="B23122" s="5" t="str">
        <f t="shared" si="1152"/>
        <v>ESTANTE CONSTRUIDOS EN LAMINAS METÁLICAS SOLIDAS, RESISTENTES Y ESTABLES CON TRATAMIENTO ANTICORROSIVO, CON 7 ENTREPAÑOS, DE 0.94 CMS DE ANCHO, CON ALTURA DE 2.20MTS Y CADA BANDEJA DEBE SOPORTAR UN PESO DE 100KG/MT LINEA</v>
      </c>
      <c r="C23122" s="6">
        <v>241999.99</v>
      </c>
      <c r="D23122" s="5" t="s">
        <v>499</v>
      </c>
      <c r="E23122" s="5" t="str">
        <f t="shared" si="1150"/>
        <v>ACTISALUD- CEGDOC-JEFETH DIONISETTY PUERTA FIGUEROA</v>
      </c>
      <c r="F23122" s="5"/>
      <c r="G23122" s="5"/>
    </row>
    <row r="23123" spans="1:7" ht="58.5" customHeight="1" x14ac:dyDescent="0.25">
      <c r="A23123" s="5" t="str">
        <f>"H0022067"</f>
        <v>H0022067</v>
      </c>
      <c r="B23123" s="5" t="str">
        <f t="shared" si="1152"/>
        <v>ESTANTE CONSTRUIDOS EN LAMINAS METÁLICAS SOLIDAS, RESISTENTES Y ESTABLES CON TRATAMIENTO ANTICORROSIVO, CON 7 ENTREPAÑOS, DE 0.94 CMS DE ANCHO, CON ALTURA DE 2.20MTS Y CADA BANDEJA DEBE SOPORTAR UN PESO DE 100KG/MT LINEA</v>
      </c>
      <c r="C23123" s="6">
        <v>241999.99</v>
      </c>
      <c r="D23123" s="5" t="s">
        <v>499</v>
      </c>
      <c r="E23123" s="5" t="str">
        <f t="shared" si="1150"/>
        <v>ACTISALUD- CEGDOC-JEFETH DIONISETTY PUERTA FIGUEROA</v>
      </c>
      <c r="F23123" s="5"/>
      <c r="G23123" s="5"/>
    </row>
    <row r="23124" spans="1:7" ht="58.5" customHeight="1" x14ac:dyDescent="0.25">
      <c r="A23124" s="5" t="str">
        <f>"H0022068"</f>
        <v>H0022068</v>
      </c>
      <c r="B23124" s="5" t="str">
        <f t="shared" si="1152"/>
        <v>ESTANTE CONSTRUIDOS EN LAMINAS METÁLICAS SOLIDAS, RESISTENTES Y ESTABLES CON TRATAMIENTO ANTICORROSIVO, CON 7 ENTREPAÑOS, DE 0.94 CMS DE ANCHO, CON ALTURA DE 2.20MTS Y CADA BANDEJA DEBE SOPORTAR UN PESO DE 100KG/MT LINEA</v>
      </c>
      <c r="C23124" s="6">
        <v>241999.99</v>
      </c>
      <c r="D23124" s="5" t="s">
        <v>903</v>
      </c>
      <c r="E23124" s="5" t="str">
        <f t="shared" si="1150"/>
        <v>ACTISALUD- CEGDOC-JEFETH DIONISETTY PUERTA FIGUEROA</v>
      </c>
      <c r="F23124" s="5"/>
      <c r="G23124" s="5"/>
    </row>
    <row r="23125" spans="1:7" ht="58.5" customHeight="1" x14ac:dyDescent="0.25">
      <c r="A23125" s="5" t="str">
        <f>"H0022069"</f>
        <v>H0022069</v>
      </c>
      <c r="B23125" s="5" t="str">
        <f t="shared" si="1152"/>
        <v>ESTANTE CONSTRUIDOS EN LAMINAS METÁLICAS SOLIDAS, RESISTENTES Y ESTABLES CON TRATAMIENTO ANTICORROSIVO, CON 7 ENTREPAÑOS, DE 0.94 CMS DE ANCHO, CON ALTURA DE 2.20MTS Y CADA BANDEJA DEBE SOPORTAR UN PESO DE 100KG/MT LINEA</v>
      </c>
      <c r="C23125" s="6">
        <v>241999.99</v>
      </c>
      <c r="D23125" s="5" t="s">
        <v>910</v>
      </c>
      <c r="E23125" s="5" t="str">
        <f t="shared" si="1150"/>
        <v>ACTISALUD- CEGDOC-JEFETH DIONISETTY PUERTA FIGUEROA</v>
      </c>
      <c r="F23125" s="5"/>
      <c r="G23125" s="5"/>
    </row>
    <row r="23126" spans="1:7" ht="58.5" customHeight="1" x14ac:dyDescent="0.25">
      <c r="A23126" s="5" t="str">
        <f>"H0022070"</f>
        <v>H0022070</v>
      </c>
      <c r="B23126" s="5" t="str">
        <f t="shared" si="1152"/>
        <v>ESTANTE CONSTRUIDOS EN LAMINAS METÁLICAS SOLIDAS, RESISTENTES Y ESTABLES CON TRATAMIENTO ANTICORROSIVO, CON 7 ENTREPAÑOS, DE 0.94 CMS DE ANCHO, CON ALTURA DE 2.20MTS Y CADA BANDEJA DEBE SOPORTAR UN PESO DE 100KG/MT LINEA</v>
      </c>
      <c r="C23126" s="6">
        <v>241999.99</v>
      </c>
      <c r="D23126" s="5" t="s">
        <v>810</v>
      </c>
      <c r="E23126" s="5" t="str">
        <f t="shared" si="1150"/>
        <v>ACTISALUD- CEGDOC-JEFETH DIONISETTY PUERTA FIGUEROA</v>
      </c>
      <c r="F23126" s="5"/>
      <c r="G23126" s="5"/>
    </row>
    <row r="23127" spans="1:7" ht="58.5" customHeight="1" x14ac:dyDescent="0.25">
      <c r="A23127" s="5" t="str">
        <f>"H0022071"</f>
        <v>H0022071</v>
      </c>
      <c r="B23127" s="5" t="str">
        <f t="shared" si="1152"/>
        <v>ESTANTE CONSTRUIDOS EN LAMINAS METÁLICAS SOLIDAS, RESISTENTES Y ESTABLES CON TRATAMIENTO ANTICORROSIVO, CON 7 ENTREPAÑOS, DE 0.94 CMS DE ANCHO, CON ALTURA DE 2.20MTS Y CADA BANDEJA DEBE SOPORTAR UN PESO DE 100KG/MT LINEA</v>
      </c>
      <c r="C23127" s="6">
        <v>241999.99</v>
      </c>
      <c r="D23127" s="5" t="s">
        <v>499</v>
      </c>
      <c r="E23127" s="5" t="str">
        <f t="shared" si="1150"/>
        <v>ACTISALUD- CEGDOC-JEFETH DIONISETTY PUERTA FIGUEROA</v>
      </c>
      <c r="F23127" s="5"/>
      <c r="G23127" s="5"/>
    </row>
    <row r="23128" spans="1:7" ht="58.5" customHeight="1" x14ac:dyDescent="0.25">
      <c r="A23128" s="5" t="str">
        <f>"H0022072"</f>
        <v>H0022072</v>
      </c>
      <c r="B23128" s="5" t="str">
        <f t="shared" si="1152"/>
        <v>ESTANTE CONSTRUIDOS EN LAMINAS METÁLICAS SOLIDAS, RESISTENTES Y ESTABLES CON TRATAMIENTO ANTICORROSIVO, CON 7 ENTREPAÑOS, DE 0.94 CMS DE ANCHO, CON ALTURA DE 2.20MTS Y CADA BANDEJA DEBE SOPORTAR UN PESO DE 100KG/MT LINEA</v>
      </c>
      <c r="C23128" s="6">
        <v>241999.99</v>
      </c>
      <c r="D23128" s="5" t="s">
        <v>499</v>
      </c>
      <c r="E23128" s="5" t="str">
        <f t="shared" si="1150"/>
        <v>ACTISALUD- CEGDOC-JEFETH DIONISETTY PUERTA FIGUEROA</v>
      </c>
      <c r="F23128" s="5"/>
      <c r="G23128" s="5"/>
    </row>
    <row r="23129" spans="1:7" ht="58.5" customHeight="1" x14ac:dyDescent="0.25">
      <c r="A23129" s="5" t="str">
        <f>"H0022073"</f>
        <v>H0022073</v>
      </c>
      <c r="B23129" s="5" t="str">
        <f t="shared" si="1152"/>
        <v>ESTANTE CONSTRUIDOS EN LAMINAS METÁLICAS SOLIDAS, RESISTENTES Y ESTABLES CON TRATAMIENTO ANTICORROSIVO, CON 7 ENTREPAÑOS, DE 0.94 CMS DE ANCHO, CON ALTURA DE 2.20MTS Y CADA BANDEJA DEBE SOPORTAR UN PESO DE 100KG/MT LINEA</v>
      </c>
      <c r="C23129" s="6">
        <v>241999.99</v>
      </c>
      <c r="D23129" s="5" t="s">
        <v>499</v>
      </c>
      <c r="E23129" s="5" t="str">
        <f t="shared" si="1150"/>
        <v>ACTISALUD- CEGDOC-JEFETH DIONISETTY PUERTA FIGUEROA</v>
      </c>
      <c r="F23129" s="5"/>
      <c r="G23129" s="5"/>
    </row>
    <row r="23130" spans="1:7" ht="58.5" customHeight="1" x14ac:dyDescent="0.25">
      <c r="A23130" s="5" t="str">
        <f>"H0022074"</f>
        <v>H0022074</v>
      </c>
      <c r="B23130" s="5" t="str">
        <f t="shared" si="1152"/>
        <v>ESTANTE CONSTRUIDOS EN LAMINAS METÁLICAS SOLIDAS, RESISTENTES Y ESTABLES CON TRATAMIENTO ANTICORROSIVO, CON 7 ENTREPAÑOS, DE 0.94 CMS DE ANCHO, CON ALTURA DE 2.20MTS Y CADA BANDEJA DEBE SOPORTAR UN PESO DE 100KG/MT LINEA</v>
      </c>
      <c r="C23130" s="6">
        <v>241999.99</v>
      </c>
      <c r="D23130" s="5" t="s">
        <v>499</v>
      </c>
      <c r="E23130" s="5" t="str">
        <f t="shared" si="1150"/>
        <v>ACTISALUD- CEGDOC-JEFETH DIONISETTY PUERTA FIGUEROA</v>
      </c>
      <c r="F23130" s="5"/>
      <c r="G23130" s="5"/>
    </row>
    <row r="23131" spans="1:7" ht="58.5" customHeight="1" x14ac:dyDescent="0.25">
      <c r="A23131" s="5" t="str">
        <f>"H0022075"</f>
        <v>H0022075</v>
      </c>
      <c r="B23131" s="5" t="str">
        <f t="shared" si="1152"/>
        <v>ESTANTE CONSTRUIDOS EN LAMINAS METÁLICAS SOLIDAS, RESISTENTES Y ESTABLES CON TRATAMIENTO ANTICORROSIVO, CON 7 ENTREPAÑOS, DE 0.94 CMS DE ANCHO, CON ALTURA DE 2.20MTS Y CADA BANDEJA DEBE SOPORTAR UN PESO DE 100KG/MT LINEA</v>
      </c>
      <c r="C23131" s="6">
        <v>241999.99</v>
      </c>
      <c r="D23131" s="5" t="s">
        <v>499</v>
      </c>
      <c r="E23131" s="5" t="str">
        <f t="shared" si="1150"/>
        <v>ACTISALUD- CEGDOC-JEFETH DIONISETTY PUERTA FIGUEROA</v>
      </c>
      <c r="F23131" s="5"/>
      <c r="G23131" s="5"/>
    </row>
    <row r="23132" spans="1:7" ht="58.5" customHeight="1" x14ac:dyDescent="0.25">
      <c r="A23132" s="5" t="str">
        <f>"H0022076"</f>
        <v>H0022076</v>
      </c>
      <c r="B23132" s="5" t="str">
        <f t="shared" si="1152"/>
        <v>ESTANTE CONSTRUIDOS EN LAMINAS METÁLICAS SOLIDAS, RESISTENTES Y ESTABLES CON TRATAMIENTO ANTICORROSIVO, CON 7 ENTREPAÑOS, DE 0.94 CMS DE ANCHO, CON ALTURA DE 2.20MTS Y CADA BANDEJA DEBE SOPORTAR UN PESO DE 100KG/MT LINEA</v>
      </c>
      <c r="C23132" s="6">
        <v>241999.99</v>
      </c>
      <c r="D23132" s="5" t="s">
        <v>499</v>
      </c>
      <c r="E23132" s="5" t="str">
        <f t="shared" si="1150"/>
        <v>ACTISALUD- CEGDOC-JEFETH DIONISETTY PUERTA FIGUEROA</v>
      </c>
      <c r="F23132" s="5"/>
      <c r="G23132" s="5"/>
    </row>
    <row r="23133" spans="1:7" ht="58.5" customHeight="1" x14ac:dyDescent="0.25">
      <c r="A23133" s="5" t="str">
        <f>"H0022077"</f>
        <v>H0022077</v>
      </c>
      <c r="B23133" s="5" t="str">
        <f t="shared" si="1152"/>
        <v>ESTANTE CONSTRUIDOS EN LAMINAS METÁLICAS SOLIDAS, RESISTENTES Y ESTABLES CON TRATAMIENTO ANTICORROSIVO, CON 7 ENTREPAÑOS, DE 0.94 CMS DE ANCHO, CON ALTURA DE 2.20MTS Y CADA BANDEJA DEBE SOPORTAR UN PESO DE 100KG/MT LINEA</v>
      </c>
      <c r="C23133" s="6">
        <v>241999.99</v>
      </c>
      <c r="D23133" s="5" t="s">
        <v>810</v>
      </c>
      <c r="E23133" s="5" t="str">
        <f t="shared" si="1150"/>
        <v>ACTISALUD- CEGDOC-JEFETH DIONISETTY PUERTA FIGUEROA</v>
      </c>
      <c r="F23133" s="5"/>
      <c r="G23133" s="5"/>
    </row>
    <row r="23134" spans="1:7" ht="58.5" customHeight="1" x14ac:dyDescent="0.25">
      <c r="A23134" s="5" t="str">
        <f>"H0022078"</f>
        <v>H0022078</v>
      </c>
      <c r="B23134" s="5" t="str">
        <f t="shared" si="1152"/>
        <v>ESTANTE CONSTRUIDOS EN LAMINAS METÁLICAS SOLIDAS, RESISTENTES Y ESTABLES CON TRATAMIENTO ANTICORROSIVO, CON 7 ENTREPAÑOS, DE 0.94 CMS DE ANCHO, CON ALTURA DE 2.20MTS Y CADA BANDEJA DEBE SOPORTAR UN PESO DE 100KG/MT LINEA</v>
      </c>
      <c r="C23134" s="6">
        <v>241999.99</v>
      </c>
      <c r="D23134" s="5" t="s">
        <v>499</v>
      </c>
      <c r="E23134" s="5" t="str">
        <f t="shared" si="1150"/>
        <v>ACTISALUD- CEGDOC-JEFETH DIONISETTY PUERTA FIGUEROA</v>
      </c>
      <c r="F23134" s="5"/>
      <c r="G23134" s="5"/>
    </row>
    <row r="23135" spans="1:7" ht="58.5" customHeight="1" x14ac:dyDescent="0.25">
      <c r="A23135" s="5" t="str">
        <f>"H0022079"</f>
        <v>H0022079</v>
      </c>
      <c r="B23135" s="5" t="str">
        <f t="shared" si="1152"/>
        <v>ESTANTE CONSTRUIDOS EN LAMINAS METÁLICAS SOLIDAS, RESISTENTES Y ESTABLES CON TRATAMIENTO ANTICORROSIVO, CON 7 ENTREPAÑOS, DE 0.94 CMS DE ANCHO, CON ALTURA DE 2.20MTS Y CADA BANDEJA DEBE SOPORTAR UN PESO DE 100KG/MT LINEA</v>
      </c>
      <c r="C23135" s="6">
        <v>241999.99</v>
      </c>
      <c r="D23135" s="5" t="s">
        <v>810</v>
      </c>
      <c r="E23135" s="5" t="str">
        <f t="shared" si="1150"/>
        <v>ACTISALUD- CEGDOC-JEFETH DIONISETTY PUERTA FIGUEROA</v>
      </c>
      <c r="F23135" s="5"/>
      <c r="G23135" s="5"/>
    </row>
    <row r="23136" spans="1:7" ht="58.5" customHeight="1" x14ac:dyDescent="0.25">
      <c r="A23136" s="5" t="str">
        <f>"H0022080"</f>
        <v>H0022080</v>
      </c>
      <c r="B23136" s="5" t="str">
        <f t="shared" si="1152"/>
        <v>ESTANTE CONSTRUIDOS EN LAMINAS METÁLICAS SOLIDAS, RESISTENTES Y ESTABLES CON TRATAMIENTO ANTICORROSIVO, CON 7 ENTREPAÑOS, DE 0.94 CMS DE ANCHO, CON ALTURA DE 2.20MTS Y CADA BANDEJA DEBE SOPORTAR UN PESO DE 100KG/MT LINEA</v>
      </c>
      <c r="C23136" s="6">
        <v>241999.99</v>
      </c>
      <c r="D23136" s="5" t="s">
        <v>499</v>
      </c>
      <c r="E23136" s="5" t="str">
        <f t="shared" si="1150"/>
        <v>ACTISALUD- CEGDOC-JEFETH DIONISETTY PUERTA FIGUEROA</v>
      </c>
      <c r="F23136" s="5"/>
      <c r="G23136" s="5"/>
    </row>
    <row r="23137" spans="1:7" ht="58.5" customHeight="1" x14ac:dyDescent="0.25">
      <c r="A23137" s="5" t="str">
        <f>"H0022081"</f>
        <v>H0022081</v>
      </c>
      <c r="B23137" s="5" t="str">
        <f t="shared" si="1152"/>
        <v>ESTANTE CONSTRUIDOS EN LAMINAS METÁLICAS SOLIDAS, RESISTENTES Y ESTABLES CON TRATAMIENTO ANTICORROSIVO, CON 7 ENTREPAÑOS, DE 0.94 CMS DE ANCHO, CON ALTURA DE 2.20MTS Y CADA BANDEJA DEBE SOPORTAR UN PESO DE 100KG/MT LINEA</v>
      </c>
      <c r="C23137" s="6">
        <v>241999.99</v>
      </c>
      <c r="D23137" s="5" t="s">
        <v>499</v>
      </c>
      <c r="E23137" s="5" t="str">
        <f t="shared" si="1150"/>
        <v>ACTISALUD- CEGDOC-JEFETH DIONISETTY PUERTA FIGUEROA</v>
      </c>
      <c r="F23137" s="5"/>
      <c r="G23137" s="5"/>
    </row>
    <row r="23138" spans="1:7" ht="58.5" customHeight="1" x14ac:dyDescent="0.25">
      <c r="A23138" s="5" t="str">
        <f>"H0022082"</f>
        <v>H0022082</v>
      </c>
      <c r="B23138" s="5" t="str">
        <f t="shared" si="1152"/>
        <v>ESTANTE CONSTRUIDOS EN LAMINAS METÁLICAS SOLIDAS, RESISTENTES Y ESTABLES CON TRATAMIENTO ANTICORROSIVO, CON 7 ENTREPAÑOS, DE 0.94 CMS DE ANCHO, CON ALTURA DE 2.20MTS Y CADA BANDEJA DEBE SOPORTAR UN PESO DE 100KG/MT LINEA</v>
      </c>
      <c r="C23138" s="6">
        <v>241999.99</v>
      </c>
      <c r="D23138" s="5" t="s">
        <v>499</v>
      </c>
      <c r="E23138" s="5" t="str">
        <f t="shared" ref="E23138:E23201" si="1153">"ACTISALUD- CEGDOC-JEFETH DIONISETTY PUERTA FIGUEROA"</f>
        <v>ACTISALUD- CEGDOC-JEFETH DIONISETTY PUERTA FIGUEROA</v>
      </c>
      <c r="F23138" s="5"/>
      <c r="G23138" s="5"/>
    </row>
    <row r="23139" spans="1:7" ht="58.5" customHeight="1" x14ac:dyDescent="0.25">
      <c r="A23139" s="5" t="str">
        <f>"H0022083"</f>
        <v>H0022083</v>
      </c>
      <c r="B23139" s="5" t="str">
        <f t="shared" si="1152"/>
        <v>ESTANTE CONSTRUIDOS EN LAMINAS METÁLICAS SOLIDAS, RESISTENTES Y ESTABLES CON TRATAMIENTO ANTICORROSIVO, CON 7 ENTREPAÑOS, DE 0.94 CMS DE ANCHO, CON ALTURA DE 2.20MTS Y CADA BANDEJA DEBE SOPORTAR UN PESO DE 100KG/MT LINEA</v>
      </c>
      <c r="C23139" s="6">
        <v>241999.99</v>
      </c>
      <c r="D23139" s="5" t="s">
        <v>910</v>
      </c>
      <c r="E23139" s="5" t="str">
        <f t="shared" si="1153"/>
        <v>ACTISALUD- CEGDOC-JEFETH DIONISETTY PUERTA FIGUEROA</v>
      </c>
      <c r="F23139" s="5"/>
      <c r="G23139" s="5"/>
    </row>
    <row r="23140" spans="1:7" ht="58.5" customHeight="1" x14ac:dyDescent="0.25">
      <c r="A23140" s="5" t="str">
        <f>"H0022084"</f>
        <v>H0022084</v>
      </c>
      <c r="B23140" s="5" t="str">
        <f t="shared" si="1152"/>
        <v>ESTANTE CONSTRUIDOS EN LAMINAS METÁLICAS SOLIDAS, RESISTENTES Y ESTABLES CON TRATAMIENTO ANTICORROSIVO, CON 7 ENTREPAÑOS, DE 0.94 CMS DE ANCHO, CON ALTURA DE 2.20MTS Y CADA BANDEJA DEBE SOPORTAR UN PESO DE 100KG/MT LINEA</v>
      </c>
      <c r="C23140" s="6">
        <v>241999.99</v>
      </c>
      <c r="D23140" s="5" t="s">
        <v>499</v>
      </c>
      <c r="E23140" s="5" t="str">
        <f t="shared" si="1153"/>
        <v>ACTISALUD- CEGDOC-JEFETH DIONISETTY PUERTA FIGUEROA</v>
      </c>
      <c r="F23140" s="5"/>
      <c r="G23140" s="5"/>
    </row>
    <row r="23141" spans="1:7" ht="58.5" customHeight="1" x14ac:dyDescent="0.25">
      <c r="A23141" s="5" t="str">
        <f>"H0022085"</f>
        <v>H0022085</v>
      </c>
      <c r="B23141" s="5" t="str">
        <f t="shared" ref="B23141:B23172" si="1154">"ESTANTE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141" s="6">
        <v>241999.99</v>
      </c>
      <c r="D23141" s="5" t="s">
        <v>499</v>
      </c>
      <c r="E23141" s="5" t="str">
        <f t="shared" si="1153"/>
        <v>ACTISALUD- CEGDOC-JEFETH DIONISETTY PUERTA FIGUEROA</v>
      </c>
      <c r="F23141" s="5"/>
      <c r="G23141" s="5"/>
    </row>
    <row r="23142" spans="1:7" ht="58.5" customHeight="1" x14ac:dyDescent="0.25">
      <c r="A23142" s="5" t="str">
        <f>"H0022086"</f>
        <v>H0022086</v>
      </c>
      <c r="B23142" s="5" t="str">
        <f t="shared" si="1154"/>
        <v>ESTANTE CONSTRUIDOS EN LAMINAS METÁLICAS SOLIDAS, RESISTENTES Y ESTABLES CON TRATAMIENTO ANTICORROSIVO, CON 7 ENTREPAÑOS, DE 0.94 CMS DE ANCHO, CON ALTURA DE 2.20MTS Y CADA BANDEJA DEBE SOPORTAR UN PESO DE 100KG/MT LINEA</v>
      </c>
      <c r="C23142" s="6">
        <v>241999.99</v>
      </c>
      <c r="D23142" s="5" t="s">
        <v>810</v>
      </c>
      <c r="E23142" s="5" t="str">
        <f t="shared" si="1153"/>
        <v>ACTISALUD- CEGDOC-JEFETH DIONISETTY PUERTA FIGUEROA</v>
      </c>
      <c r="F23142" s="5"/>
      <c r="G23142" s="5"/>
    </row>
    <row r="23143" spans="1:7" ht="58.5" customHeight="1" x14ac:dyDescent="0.25">
      <c r="A23143" s="5" t="str">
        <f>"H0022087"</f>
        <v>H0022087</v>
      </c>
      <c r="B23143" s="5" t="str">
        <f t="shared" si="1154"/>
        <v>ESTANTE CONSTRUIDOS EN LAMINAS METÁLICAS SOLIDAS, RESISTENTES Y ESTABLES CON TRATAMIENTO ANTICORROSIVO, CON 7 ENTREPAÑOS, DE 0.94 CMS DE ANCHO, CON ALTURA DE 2.20MTS Y CADA BANDEJA DEBE SOPORTAR UN PESO DE 100KG/MT LINEA</v>
      </c>
      <c r="C23143" s="6">
        <v>241999.99</v>
      </c>
      <c r="D23143" s="5" t="s">
        <v>499</v>
      </c>
      <c r="E23143" s="5" t="str">
        <f t="shared" si="1153"/>
        <v>ACTISALUD- CEGDOC-JEFETH DIONISETTY PUERTA FIGUEROA</v>
      </c>
      <c r="F23143" s="5"/>
      <c r="G23143" s="5"/>
    </row>
    <row r="23144" spans="1:7" ht="58.5" customHeight="1" x14ac:dyDescent="0.25">
      <c r="A23144" s="5" t="str">
        <f>"H0022088"</f>
        <v>H0022088</v>
      </c>
      <c r="B23144" s="5" t="str">
        <f t="shared" si="1154"/>
        <v>ESTANTE CONSTRUIDOS EN LAMINAS METÁLICAS SOLIDAS, RESISTENTES Y ESTABLES CON TRATAMIENTO ANTICORROSIVO, CON 7 ENTREPAÑOS, DE 0.94 CMS DE ANCHO, CON ALTURA DE 2.20MTS Y CADA BANDEJA DEBE SOPORTAR UN PESO DE 100KG/MT LINEA</v>
      </c>
      <c r="C23144" s="6">
        <v>241999.99</v>
      </c>
      <c r="D23144" s="5" t="s">
        <v>499</v>
      </c>
      <c r="E23144" s="5" t="str">
        <f t="shared" si="1153"/>
        <v>ACTISALUD- CEGDOC-JEFETH DIONISETTY PUERTA FIGUEROA</v>
      </c>
      <c r="F23144" s="5"/>
      <c r="G23144" s="5"/>
    </row>
    <row r="23145" spans="1:7" ht="58.5" customHeight="1" x14ac:dyDescent="0.25">
      <c r="A23145" s="5" t="str">
        <f>"H0022089"</f>
        <v>H0022089</v>
      </c>
      <c r="B23145" s="5" t="str">
        <f t="shared" si="1154"/>
        <v>ESTANTE CONSTRUIDOS EN LAMINAS METÁLICAS SOLIDAS, RESISTENTES Y ESTABLES CON TRATAMIENTO ANTICORROSIVO, CON 7 ENTREPAÑOS, DE 0.94 CMS DE ANCHO, CON ALTURA DE 2.20MTS Y CADA BANDEJA DEBE SOPORTAR UN PESO DE 100KG/MT LINEA</v>
      </c>
      <c r="C23145" s="6">
        <v>241999.99</v>
      </c>
      <c r="D23145" s="5" t="s">
        <v>810</v>
      </c>
      <c r="E23145" s="5" t="str">
        <f t="shared" si="1153"/>
        <v>ACTISALUD- CEGDOC-JEFETH DIONISETTY PUERTA FIGUEROA</v>
      </c>
      <c r="F23145" s="5"/>
      <c r="G23145" s="5"/>
    </row>
    <row r="23146" spans="1:7" ht="58.5" customHeight="1" x14ac:dyDescent="0.25">
      <c r="A23146" s="5" t="str">
        <f>"H0022090"</f>
        <v>H0022090</v>
      </c>
      <c r="B23146" s="5" t="str">
        <f t="shared" si="1154"/>
        <v>ESTANTE CONSTRUIDOS EN LAMINAS METÁLICAS SOLIDAS, RESISTENTES Y ESTABLES CON TRATAMIENTO ANTICORROSIVO, CON 7 ENTREPAÑOS, DE 0.94 CMS DE ANCHO, CON ALTURA DE 2.20MTS Y CADA BANDEJA DEBE SOPORTAR UN PESO DE 100KG/MT LINEA</v>
      </c>
      <c r="C23146" s="6">
        <v>241999.99</v>
      </c>
      <c r="D23146" s="5" t="s">
        <v>499</v>
      </c>
      <c r="E23146" s="5" t="str">
        <f t="shared" si="1153"/>
        <v>ACTISALUD- CEGDOC-JEFETH DIONISETTY PUERTA FIGUEROA</v>
      </c>
      <c r="F23146" s="5"/>
      <c r="G23146" s="5"/>
    </row>
    <row r="23147" spans="1:7" ht="58.5" customHeight="1" x14ac:dyDescent="0.25">
      <c r="A23147" s="5" t="str">
        <f>"H0022091"</f>
        <v>H0022091</v>
      </c>
      <c r="B23147" s="5" t="str">
        <f t="shared" si="1154"/>
        <v>ESTANTE CONSTRUIDOS EN LAMINAS METÁLICAS SOLIDAS, RESISTENTES Y ESTABLES CON TRATAMIENTO ANTICORROSIVO, CON 7 ENTREPAÑOS, DE 0.94 CMS DE ANCHO, CON ALTURA DE 2.20MTS Y CADA BANDEJA DEBE SOPORTAR UN PESO DE 100KG/MT LINEA</v>
      </c>
      <c r="C23147" s="6">
        <v>241999.99</v>
      </c>
      <c r="D23147" s="5" t="s">
        <v>499</v>
      </c>
      <c r="E23147" s="5" t="str">
        <f t="shared" si="1153"/>
        <v>ACTISALUD- CEGDOC-JEFETH DIONISETTY PUERTA FIGUEROA</v>
      </c>
      <c r="F23147" s="5"/>
      <c r="G23147" s="5"/>
    </row>
    <row r="23148" spans="1:7" ht="58.5" customHeight="1" x14ac:dyDescent="0.25">
      <c r="A23148" s="5" t="str">
        <f>"H0022092"</f>
        <v>H0022092</v>
      </c>
      <c r="B23148" s="5" t="str">
        <f t="shared" si="1154"/>
        <v>ESTANTE CONSTRUIDOS EN LAMINAS METÁLICAS SOLIDAS, RESISTENTES Y ESTABLES CON TRATAMIENTO ANTICORROSIVO, CON 7 ENTREPAÑOS, DE 0.94 CMS DE ANCHO, CON ALTURA DE 2.20MTS Y CADA BANDEJA DEBE SOPORTAR UN PESO DE 100KG/MT LINEA</v>
      </c>
      <c r="C23148" s="6">
        <v>241999.99</v>
      </c>
      <c r="D23148" s="5" t="s">
        <v>499</v>
      </c>
      <c r="E23148" s="5" t="str">
        <f t="shared" si="1153"/>
        <v>ACTISALUD- CEGDOC-JEFETH DIONISETTY PUERTA FIGUEROA</v>
      </c>
      <c r="F23148" s="5"/>
      <c r="G23148" s="5"/>
    </row>
    <row r="23149" spans="1:7" ht="58.5" customHeight="1" x14ac:dyDescent="0.25">
      <c r="A23149" s="5" t="str">
        <f>"H0022093"</f>
        <v>H0022093</v>
      </c>
      <c r="B23149" s="5" t="str">
        <f t="shared" si="1154"/>
        <v>ESTANTE CONSTRUIDOS EN LAMINAS METÁLICAS SOLIDAS, RESISTENTES Y ESTABLES CON TRATAMIENTO ANTICORROSIVO, CON 7 ENTREPAÑOS, DE 0.94 CMS DE ANCHO, CON ALTURA DE 2.20MTS Y CADA BANDEJA DEBE SOPORTAR UN PESO DE 100KG/MT LINEA</v>
      </c>
      <c r="C23149" s="6">
        <v>241999.99</v>
      </c>
      <c r="D23149" s="5" t="s">
        <v>499</v>
      </c>
      <c r="E23149" s="5" t="str">
        <f t="shared" si="1153"/>
        <v>ACTISALUD- CEGDOC-JEFETH DIONISETTY PUERTA FIGUEROA</v>
      </c>
      <c r="F23149" s="5"/>
      <c r="G23149" s="5"/>
    </row>
    <row r="23150" spans="1:7" ht="58.5" customHeight="1" x14ac:dyDescent="0.25">
      <c r="A23150" s="5" t="str">
        <f>"H0022094"</f>
        <v>H0022094</v>
      </c>
      <c r="B23150" s="5" t="str">
        <f t="shared" si="1154"/>
        <v>ESTANTE CONSTRUIDOS EN LAMINAS METÁLICAS SOLIDAS, RESISTENTES Y ESTABLES CON TRATAMIENTO ANTICORROSIVO, CON 7 ENTREPAÑOS, DE 0.94 CMS DE ANCHO, CON ALTURA DE 2.20MTS Y CADA BANDEJA DEBE SOPORTAR UN PESO DE 100KG/MT LINEA</v>
      </c>
      <c r="C23150" s="6">
        <v>241999.99</v>
      </c>
      <c r="D23150" s="5" t="s">
        <v>499</v>
      </c>
      <c r="E23150" s="5" t="str">
        <f t="shared" si="1153"/>
        <v>ACTISALUD- CEGDOC-JEFETH DIONISETTY PUERTA FIGUEROA</v>
      </c>
      <c r="F23150" s="5"/>
      <c r="G23150" s="5"/>
    </row>
    <row r="23151" spans="1:7" ht="58.5" customHeight="1" x14ac:dyDescent="0.25">
      <c r="A23151" s="5" t="str">
        <f>"H0022095"</f>
        <v>H0022095</v>
      </c>
      <c r="B23151" s="5" t="str">
        <f t="shared" si="1154"/>
        <v>ESTANTE CONSTRUIDOS EN LAMINAS METÁLICAS SOLIDAS, RESISTENTES Y ESTABLES CON TRATAMIENTO ANTICORROSIVO, CON 7 ENTREPAÑOS, DE 0.94 CMS DE ANCHO, CON ALTURA DE 2.20MTS Y CADA BANDEJA DEBE SOPORTAR UN PESO DE 100KG/MT LINEA</v>
      </c>
      <c r="C23151" s="6">
        <v>241999.99</v>
      </c>
      <c r="D23151" s="5" t="s">
        <v>499</v>
      </c>
      <c r="E23151" s="5" t="str">
        <f t="shared" si="1153"/>
        <v>ACTISALUD- CEGDOC-JEFETH DIONISETTY PUERTA FIGUEROA</v>
      </c>
      <c r="F23151" s="5"/>
      <c r="G23151" s="5"/>
    </row>
    <row r="23152" spans="1:7" ht="58.5" customHeight="1" x14ac:dyDescent="0.25">
      <c r="A23152" s="5" t="str">
        <f>"H0022096"</f>
        <v>H0022096</v>
      </c>
      <c r="B23152" s="5" t="str">
        <f t="shared" si="1154"/>
        <v>ESTANTE CONSTRUIDOS EN LAMINAS METÁLICAS SOLIDAS, RESISTENTES Y ESTABLES CON TRATAMIENTO ANTICORROSIVO, CON 7 ENTREPAÑOS, DE 0.94 CMS DE ANCHO, CON ALTURA DE 2.20MTS Y CADA BANDEJA DEBE SOPORTAR UN PESO DE 100KG/MT LINEA</v>
      </c>
      <c r="C23152" s="6">
        <v>241999.99</v>
      </c>
      <c r="D23152" s="5" t="s">
        <v>499</v>
      </c>
      <c r="E23152" s="5" t="str">
        <f t="shared" si="1153"/>
        <v>ACTISALUD- CEGDOC-JEFETH DIONISETTY PUERTA FIGUEROA</v>
      </c>
      <c r="F23152" s="5"/>
      <c r="G23152" s="5"/>
    </row>
    <row r="23153" spans="1:7" ht="58.5" customHeight="1" x14ac:dyDescent="0.25">
      <c r="A23153" s="5" t="str">
        <f>"H0022100"</f>
        <v>H0022100</v>
      </c>
      <c r="B23153" s="5" t="str">
        <f t="shared" si="1154"/>
        <v>ESTANTE CONSTRUIDOS EN LAMINAS METÁLICAS SOLIDAS, RESISTENTES Y ESTABLES CON TRATAMIENTO ANTICORROSIVO, CON 7 ENTREPAÑOS, DE 0.94 CMS DE ANCHO, CON ALTURA DE 2.20MTS Y CADA BANDEJA DEBE SOPORTAR UN PESO DE 100KG/MT LINEA</v>
      </c>
      <c r="C23153" s="6">
        <v>241999.99</v>
      </c>
      <c r="D23153" s="5" t="s">
        <v>499</v>
      </c>
      <c r="E23153" s="5" t="str">
        <f t="shared" si="1153"/>
        <v>ACTISALUD- CEGDOC-JEFETH DIONISETTY PUERTA FIGUEROA</v>
      </c>
      <c r="F23153" s="5"/>
      <c r="G23153" s="5"/>
    </row>
    <row r="23154" spans="1:7" ht="58.5" customHeight="1" x14ac:dyDescent="0.25">
      <c r="A23154" s="5" t="str">
        <f>"H0022101"</f>
        <v>H0022101</v>
      </c>
      <c r="B23154" s="5" t="str">
        <f t="shared" si="1154"/>
        <v>ESTANTE CONSTRUIDOS EN LAMINAS METÁLICAS SOLIDAS, RESISTENTES Y ESTABLES CON TRATAMIENTO ANTICORROSIVO, CON 7 ENTREPAÑOS, DE 0.94 CMS DE ANCHO, CON ALTURA DE 2.20MTS Y CADA BANDEJA DEBE SOPORTAR UN PESO DE 100KG/MT LINEA</v>
      </c>
      <c r="C23154" s="6">
        <v>241999.99</v>
      </c>
      <c r="D23154" s="5" t="s">
        <v>499</v>
      </c>
      <c r="E23154" s="5" t="str">
        <f t="shared" si="1153"/>
        <v>ACTISALUD- CEGDOC-JEFETH DIONISETTY PUERTA FIGUEROA</v>
      </c>
      <c r="F23154" s="5"/>
      <c r="G23154" s="5"/>
    </row>
    <row r="23155" spans="1:7" ht="58.5" customHeight="1" x14ac:dyDescent="0.25">
      <c r="A23155" s="5" t="str">
        <f>"H0022102"</f>
        <v>H0022102</v>
      </c>
      <c r="B23155" s="5" t="str">
        <f t="shared" si="1154"/>
        <v>ESTANTE CONSTRUIDOS EN LAMINAS METÁLICAS SOLIDAS, RESISTENTES Y ESTABLES CON TRATAMIENTO ANTICORROSIVO, CON 7 ENTREPAÑOS, DE 0.94 CMS DE ANCHO, CON ALTURA DE 2.20MTS Y CADA BANDEJA DEBE SOPORTAR UN PESO DE 100KG/MT LINEA</v>
      </c>
      <c r="C23155" s="6">
        <v>241999.99</v>
      </c>
      <c r="D23155" s="5" t="s">
        <v>499</v>
      </c>
      <c r="E23155" s="5" t="str">
        <f t="shared" si="1153"/>
        <v>ACTISALUD- CEGDOC-JEFETH DIONISETTY PUERTA FIGUEROA</v>
      </c>
      <c r="F23155" s="5"/>
      <c r="G23155" s="5"/>
    </row>
    <row r="23156" spans="1:7" ht="58.5" customHeight="1" x14ac:dyDescent="0.25">
      <c r="A23156" s="5" t="str">
        <f>"H0022103"</f>
        <v>H0022103</v>
      </c>
      <c r="B23156" s="5" t="str">
        <f t="shared" si="1154"/>
        <v>ESTANTE CONSTRUIDOS EN LAMINAS METÁLICAS SOLIDAS, RESISTENTES Y ESTABLES CON TRATAMIENTO ANTICORROSIVO, CON 7 ENTREPAÑOS, DE 0.94 CMS DE ANCHO, CON ALTURA DE 2.20MTS Y CADA BANDEJA DEBE SOPORTAR UN PESO DE 100KG/MT LINEA</v>
      </c>
      <c r="C23156" s="6">
        <v>241999.99</v>
      </c>
      <c r="D23156" s="5" t="s">
        <v>810</v>
      </c>
      <c r="E23156" s="5" t="str">
        <f t="shared" si="1153"/>
        <v>ACTISALUD- CEGDOC-JEFETH DIONISETTY PUERTA FIGUEROA</v>
      </c>
      <c r="F23156" s="5"/>
      <c r="G23156" s="5"/>
    </row>
    <row r="23157" spans="1:7" ht="58.5" customHeight="1" x14ac:dyDescent="0.25">
      <c r="A23157" s="5" t="str">
        <f>"H0022104"</f>
        <v>H0022104</v>
      </c>
      <c r="B23157" s="5" t="str">
        <f t="shared" si="1154"/>
        <v>ESTANTE CONSTRUIDOS EN LAMINAS METÁLICAS SOLIDAS, RESISTENTES Y ESTABLES CON TRATAMIENTO ANTICORROSIVO, CON 7 ENTREPAÑOS, DE 0.94 CMS DE ANCHO, CON ALTURA DE 2.20MTS Y CADA BANDEJA DEBE SOPORTAR UN PESO DE 100KG/MT LINEA</v>
      </c>
      <c r="C23157" s="6">
        <v>241999.99</v>
      </c>
      <c r="D23157" s="5" t="s">
        <v>499</v>
      </c>
      <c r="E23157" s="5" t="str">
        <f t="shared" si="1153"/>
        <v>ACTISALUD- CEGDOC-JEFETH DIONISETTY PUERTA FIGUEROA</v>
      </c>
      <c r="F23157" s="5"/>
      <c r="G23157" s="5"/>
    </row>
    <row r="23158" spans="1:7" ht="58.5" customHeight="1" x14ac:dyDescent="0.25">
      <c r="A23158" s="5" t="str">
        <f>"H0022105"</f>
        <v>H0022105</v>
      </c>
      <c r="B23158" s="5" t="str">
        <f t="shared" si="1154"/>
        <v>ESTANTE CONSTRUIDOS EN LAMINAS METÁLICAS SOLIDAS, RESISTENTES Y ESTABLES CON TRATAMIENTO ANTICORROSIVO, CON 7 ENTREPAÑOS, DE 0.94 CMS DE ANCHO, CON ALTURA DE 2.20MTS Y CADA BANDEJA DEBE SOPORTAR UN PESO DE 100KG/MT LINEA</v>
      </c>
      <c r="C23158" s="6">
        <v>241999.99</v>
      </c>
      <c r="D23158" s="5" t="s">
        <v>903</v>
      </c>
      <c r="E23158" s="5" t="str">
        <f t="shared" si="1153"/>
        <v>ACTISALUD- CEGDOC-JEFETH DIONISETTY PUERTA FIGUEROA</v>
      </c>
      <c r="F23158" s="5"/>
      <c r="G23158" s="5"/>
    </row>
    <row r="23159" spans="1:7" ht="58.5" customHeight="1" x14ac:dyDescent="0.25">
      <c r="A23159" s="5" t="str">
        <f>"H0022106"</f>
        <v>H0022106</v>
      </c>
      <c r="B23159" s="5" t="str">
        <f t="shared" si="1154"/>
        <v>ESTANTE CONSTRUIDOS EN LAMINAS METÁLICAS SOLIDAS, RESISTENTES Y ESTABLES CON TRATAMIENTO ANTICORROSIVO, CON 7 ENTREPAÑOS, DE 0.94 CMS DE ANCHO, CON ALTURA DE 2.20MTS Y CADA BANDEJA DEBE SOPORTAR UN PESO DE 100KG/MT LINEA</v>
      </c>
      <c r="C23159" s="6">
        <v>241999.99</v>
      </c>
      <c r="D23159" s="5" t="s">
        <v>499</v>
      </c>
      <c r="E23159" s="5" t="str">
        <f t="shared" si="1153"/>
        <v>ACTISALUD- CEGDOC-JEFETH DIONISETTY PUERTA FIGUEROA</v>
      </c>
      <c r="F23159" s="5"/>
      <c r="G23159" s="5"/>
    </row>
    <row r="23160" spans="1:7" ht="58.5" customHeight="1" x14ac:dyDescent="0.25">
      <c r="A23160" s="5" t="str">
        <f>"H0022107"</f>
        <v>H0022107</v>
      </c>
      <c r="B23160" s="5" t="str">
        <f t="shared" si="1154"/>
        <v>ESTANTE CONSTRUIDOS EN LAMINAS METÁLICAS SOLIDAS, RESISTENTES Y ESTABLES CON TRATAMIENTO ANTICORROSIVO, CON 7 ENTREPAÑOS, DE 0.94 CMS DE ANCHO, CON ALTURA DE 2.20MTS Y CADA BANDEJA DEBE SOPORTAR UN PESO DE 100KG/MT LINEA</v>
      </c>
      <c r="C23160" s="6">
        <v>241999.99</v>
      </c>
      <c r="D23160" s="5" t="s">
        <v>499</v>
      </c>
      <c r="E23160" s="5" t="str">
        <f t="shared" si="1153"/>
        <v>ACTISALUD- CEGDOC-JEFETH DIONISETTY PUERTA FIGUEROA</v>
      </c>
      <c r="F23160" s="5"/>
      <c r="G23160" s="5"/>
    </row>
    <row r="23161" spans="1:7" ht="58.5" customHeight="1" x14ac:dyDescent="0.25">
      <c r="A23161" s="5" t="str">
        <f>"H0022108"</f>
        <v>H0022108</v>
      </c>
      <c r="B23161" s="5" t="str">
        <f t="shared" si="1154"/>
        <v>ESTANTE CONSTRUIDOS EN LAMINAS METÁLICAS SOLIDAS, RESISTENTES Y ESTABLES CON TRATAMIENTO ANTICORROSIVO, CON 7 ENTREPAÑOS, DE 0.94 CMS DE ANCHO, CON ALTURA DE 2.20MTS Y CADA BANDEJA DEBE SOPORTAR UN PESO DE 100KG/MT LINEA</v>
      </c>
      <c r="C23161" s="6">
        <v>241999.99</v>
      </c>
      <c r="D23161" s="5" t="s">
        <v>499</v>
      </c>
      <c r="E23161" s="5" t="str">
        <f t="shared" si="1153"/>
        <v>ACTISALUD- CEGDOC-JEFETH DIONISETTY PUERTA FIGUEROA</v>
      </c>
      <c r="F23161" s="5"/>
      <c r="G23161" s="5"/>
    </row>
    <row r="23162" spans="1:7" ht="58.5" customHeight="1" x14ac:dyDescent="0.25">
      <c r="A23162" s="5" t="str">
        <f>"H0022109"</f>
        <v>H0022109</v>
      </c>
      <c r="B23162" s="5" t="str">
        <f t="shared" si="1154"/>
        <v>ESTANTE CONSTRUIDOS EN LAMINAS METÁLICAS SOLIDAS, RESISTENTES Y ESTABLES CON TRATAMIENTO ANTICORROSIVO, CON 7 ENTREPAÑOS, DE 0.94 CMS DE ANCHO, CON ALTURA DE 2.20MTS Y CADA BANDEJA DEBE SOPORTAR UN PESO DE 100KG/MT LINEA</v>
      </c>
      <c r="C23162" s="6">
        <v>241999.99</v>
      </c>
      <c r="D23162" s="5" t="s">
        <v>499</v>
      </c>
      <c r="E23162" s="5" t="str">
        <f t="shared" si="1153"/>
        <v>ACTISALUD- CEGDOC-JEFETH DIONISETTY PUERTA FIGUEROA</v>
      </c>
      <c r="F23162" s="5"/>
      <c r="G23162" s="5"/>
    </row>
    <row r="23163" spans="1:7" ht="58.5" customHeight="1" x14ac:dyDescent="0.25">
      <c r="A23163" s="5" t="str">
        <f>"H0022110"</f>
        <v>H0022110</v>
      </c>
      <c r="B23163" s="5" t="str">
        <f t="shared" si="1154"/>
        <v>ESTANTE CONSTRUIDOS EN LAMINAS METÁLICAS SOLIDAS, RESISTENTES Y ESTABLES CON TRATAMIENTO ANTICORROSIVO, CON 7 ENTREPAÑOS, DE 0.94 CMS DE ANCHO, CON ALTURA DE 2.20MTS Y CADA BANDEJA DEBE SOPORTAR UN PESO DE 100KG/MT LINEA</v>
      </c>
      <c r="C23163" s="6">
        <v>241999.99</v>
      </c>
      <c r="D23163" s="5" t="s">
        <v>499</v>
      </c>
      <c r="E23163" s="5" t="str">
        <f t="shared" si="1153"/>
        <v>ACTISALUD- CEGDOC-JEFETH DIONISETTY PUERTA FIGUEROA</v>
      </c>
      <c r="F23163" s="5"/>
      <c r="G23163" s="5"/>
    </row>
    <row r="23164" spans="1:7" ht="58.5" customHeight="1" x14ac:dyDescent="0.25">
      <c r="A23164" s="5" t="str">
        <f>"H0022111"</f>
        <v>H0022111</v>
      </c>
      <c r="B23164" s="5" t="str">
        <f t="shared" si="1154"/>
        <v>ESTANTE CONSTRUIDOS EN LAMINAS METÁLICAS SOLIDAS, RESISTENTES Y ESTABLES CON TRATAMIENTO ANTICORROSIVO, CON 7 ENTREPAÑOS, DE 0.94 CMS DE ANCHO, CON ALTURA DE 2.20MTS Y CADA BANDEJA DEBE SOPORTAR UN PESO DE 100KG/MT LINEA</v>
      </c>
      <c r="C23164" s="6">
        <v>241999.99</v>
      </c>
      <c r="D23164" s="5" t="s">
        <v>499</v>
      </c>
      <c r="E23164" s="5" t="str">
        <f t="shared" si="1153"/>
        <v>ACTISALUD- CEGDOC-JEFETH DIONISETTY PUERTA FIGUEROA</v>
      </c>
      <c r="F23164" s="5"/>
      <c r="G23164" s="5"/>
    </row>
    <row r="23165" spans="1:7" ht="58.5" customHeight="1" x14ac:dyDescent="0.25">
      <c r="A23165" s="5" t="str">
        <f>"H0022112"</f>
        <v>H0022112</v>
      </c>
      <c r="B23165" s="5" t="str">
        <f t="shared" si="1154"/>
        <v>ESTANTE CONSTRUIDOS EN LAMINAS METÁLICAS SOLIDAS, RESISTENTES Y ESTABLES CON TRATAMIENTO ANTICORROSIVO, CON 7 ENTREPAÑOS, DE 0.94 CMS DE ANCHO, CON ALTURA DE 2.20MTS Y CADA BANDEJA DEBE SOPORTAR UN PESO DE 100KG/MT LINEA</v>
      </c>
      <c r="C23165" s="6">
        <v>241999.99</v>
      </c>
      <c r="D23165" s="5" t="s">
        <v>499</v>
      </c>
      <c r="E23165" s="5" t="str">
        <f t="shared" si="1153"/>
        <v>ACTISALUD- CEGDOC-JEFETH DIONISETTY PUERTA FIGUEROA</v>
      </c>
      <c r="F23165" s="5"/>
      <c r="G23165" s="5"/>
    </row>
    <row r="23166" spans="1:7" ht="58.5" customHeight="1" x14ac:dyDescent="0.25">
      <c r="A23166" s="5" t="str">
        <f>"H0022113"</f>
        <v>H0022113</v>
      </c>
      <c r="B23166" s="5" t="str">
        <f t="shared" si="1154"/>
        <v>ESTANTE CONSTRUIDOS EN LAMINAS METÁLICAS SOLIDAS, RESISTENTES Y ESTABLES CON TRATAMIENTO ANTICORROSIVO, CON 7 ENTREPAÑOS, DE 0.94 CMS DE ANCHO, CON ALTURA DE 2.20MTS Y CADA BANDEJA DEBE SOPORTAR UN PESO DE 100KG/MT LINEA</v>
      </c>
      <c r="C23166" s="6">
        <v>241999.99</v>
      </c>
      <c r="D23166" s="5" t="s">
        <v>499</v>
      </c>
      <c r="E23166" s="5" t="str">
        <f t="shared" si="1153"/>
        <v>ACTISALUD- CEGDOC-JEFETH DIONISETTY PUERTA FIGUEROA</v>
      </c>
      <c r="F23166" s="5"/>
      <c r="G23166" s="5"/>
    </row>
    <row r="23167" spans="1:7" ht="58.5" customHeight="1" x14ac:dyDescent="0.25">
      <c r="A23167" s="5" t="str">
        <f>"H0022114"</f>
        <v>H0022114</v>
      </c>
      <c r="B23167" s="5" t="str">
        <f t="shared" si="1154"/>
        <v>ESTANTE CONSTRUIDOS EN LAMINAS METÁLICAS SOLIDAS, RESISTENTES Y ESTABLES CON TRATAMIENTO ANTICORROSIVO, CON 7 ENTREPAÑOS, DE 0.94 CMS DE ANCHO, CON ALTURA DE 2.20MTS Y CADA BANDEJA DEBE SOPORTAR UN PESO DE 100KG/MT LINEA</v>
      </c>
      <c r="C23167" s="6">
        <v>241999.99</v>
      </c>
      <c r="D23167" s="5" t="s">
        <v>499</v>
      </c>
      <c r="E23167" s="5" t="str">
        <f t="shared" si="1153"/>
        <v>ACTISALUD- CEGDOC-JEFETH DIONISETTY PUERTA FIGUEROA</v>
      </c>
      <c r="F23167" s="5"/>
      <c r="G23167" s="5"/>
    </row>
    <row r="23168" spans="1:7" ht="58.5" customHeight="1" x14ac:dyDescent="0.25">
      <c r="A23168" s="5" t="str">
        <f>"H0022115"</f>
        <v>H0022115</v>
      </c>
      <c r="B23168" s="5" t="str">
        <f t="shared" si="1154"/>
        <v>ESTANTE CONSTRUIDOS EN LAMINAS METÁLICAS SOLIDAS, RESISTENTES Y ESTABLES CON TRATAMIENTO ANTICORROSIVO, CON 7 ENTREPAÑOS, DE 0.94 CMS DE ANCHO, CON ALTURA DE 2.20MTS Y CADA BANDEJA DEBE SOPORTAR UN PESO DE 100KG/MT LINEA</v>
      </c>
      <c r="C23168" s="6">
        <v>241999.99</v>
      </c>
      <c r="D23168" s="5" t="s">
        <v>499</v>
      </c>
      <c r="E23168" s="5" t="str">
        <f t="shared" si="1153"/>
        <v>ACTISALUD- CEGDOC-JEFETH DIONISETTY PUERTA FIGUEROA</v>
      </c>
      <c r="F23168" s="5"/>
      <c r="G23168" s="5"/>
    </row>
    <row r="23169" spans="1:7" ht="58.5" customHeight="1" x14ac:dyDescent="0.25">
      <c r="A23169" s="5" t="str">
        <f>"H0022116"</f>
        <v>H0022116</v>
      </c>
      <c r="B23169" s="5" t="str">
        <f t="shared" si="1154"/>
        <v>ESTANTE CONSTRUIDOS EN LAMINAS METÁLICAS SOLIDAS, RESISTENTES Y ESTABLES CON TRATAMIENTO ANTICORROSIVO, CON 7 ENTREPAÑOS, DE 0.94 CMS DE ANCHO, CON ALTURA DE 2.20MTS Y CADA BANDEJA DEBE SOPORTAR UN PESO DE 100KG/MT LINEA</v>
      </c>
      <c r="C23169" s="6">
        <v>241999.99</v>
      </c>
      <c r="D23169" s="5" t="s">
        <v>499</v>
      </c>
      <c r="E23169" s="5" t="str">
        <f t="shared" si="1153"/>
        <v>ACTISALUD- CEGDOC-JEFETH DIONISETTY PUERTA FIGUEROA</v>
      </c>
      <c r="F23169" s="5"/>
      <c r="G23169" s="5"/>
    </row>
    <row r="23170" spans="1:7" ht="58.5" customHeight="1" x14ac:dyDescent="0.25">
      <c r="A23170" s="5" t="str">
        <f>"H0022117"</f>
        <v>H0022117</v>
      </c>
      <c r="B23170" s="5" t="str">
        <f t="shared" si="1154"/>
        <v>ESTANTE CONSTRUIDOS EN LAMINAS METÁLICAS SOLIDAS, RESISTENTES Y ESTABLES CON TRATAMIENTO ANTICORROSIVO, CON 7 ENTREPAÑOS, DE 0.94 CMS DE ANCHO, CON ALTURA DE 2.20MTS Y CADA BANDEJA DEBE SOPORTAR UN PESO DE 100KG/MT LINEA</v>
      </c>
      <c r="C23170" s="6">
        <v>241999.99</v>
      </c>
      <c r="D23170" s="5" t="s">
        <v>499</v>
      </c>
      <c r="E23170" s="5" t="str">
        <f t="shared" si="1153"/>
        <v>ACTISALUD- CEGDOC-JEFETH DIONISETTY PUERTA FIGUEROA</v>
      </c>
      <c r="F23170" s="5"/>
      <c r="G23170" s="5"/>
    </row>
    <row r="23171" spans="1:7" ht="58.5" customHeight="1" x14ac:dyDescent="0.25">
      <c r="A23171" s="5" t="str">
        <f>"H0022118"</f>
        <v>H0022118</v>
      </c>
      <c r="B23171" s="5" t="str">
        <f t="shared" si="1154"/>
        <v>ESTANTE CONSTRUIDOS EN LAMINAS METÁLICAS SOLIDAS, RESISTENTES Y ESTABLES CON TRATAMIENTO ANTICORROSIVO, CON 7 ENTREPAÑOS, DE 0.94 CMS DE ANCHO, CON ALTURA DE 2.20MTS Y CADA BANDEJA DEBE SOPORTAR UN PESO DE 100KG/MT LINEA</v>
      </c>
      <c r="C23171" s="6">
        <v>241999.99</v>
      </c>
      <c r="D23171" s="5" t="s">
        <v>499</v>
      </c>
      <c r="E23171" s="5" t="str">
        <f t="shared" si="1153"/>
        <v>ACTISALUD- CEGDOC-JEFETH DIONISETTY PUERTA FIGUEROA</v>
      </c>
      <c r="F23171" s="5"/>
      <c r="G23171" s="5"/>
    </row>
    <row r="23172" spans="1:7" ht="58.5" customHeight="1" x14ac:dyDescent="0.25">
      <c r="A23172" s="5" t="str">
        <f>"H0022119"</f>
        <v>H0022119</v>
      </c>
      <c r="B23172" s="5" t="str">
        <f t="shared" si="1154"/>
        <v>ESTANTE CONSTRUIDOS EN LAMINAS METÁLICAS SOLIDAS, RESISTENTES Y ESTABLES CON TRATAMIENTO ANTICORROSIVO, CON 7 ENTREPAÑOS, DE 0.94 CMS DE ANCHO, CON ALTURA DE 2.20MTS Y CADA BANDEJA DEBE SOPORTAR UN PESO DE 100KG/MT LINEA</v>
      </c>
      <c r="C23172" s="6">
        <v>241999.99</v>
      </c>
      <c r="D23172" s="5" t="s">
        <v>499</v>
      </c>
      <c r="E23172" s="5" t="str">
        <f t="shared" si="1153"/>
        <v>ACTISALUD- CEGDOC-JEFETH DIONISETTY PUERTA FIGUEROA</v>
      </c>
      <c r="F23172" s="5"/>
      <c r="G23172" s="5"/>
    </row>
    <row r="23173" spans="1:7" ht="58.5" customHeight="1" x14ac:dyDescent="0.25">
      <c r="A23173" s="5" t="str">
        <f>"H0022120"</f>
        <v>H0022120</v>
      </c>
      <c r="B23173" s="5" t="str">
        <f t="shared" ref="B23173:B23187" si="1155">"ESTANTE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173" s="6">
        <v>241999.99</v>
      </c>
      <c r="D23173" s="5" t="s">
        <v>499</v>
      </c>
      <c r="E23173" s="5" t="str">
        <f t="shared" si="1153"/>
        <v>ACTISALUD- CEGDOC-JEFETH DIONISETTY PUERTA FIGUEROA</v>
      </c>
      <c r="F23173" s="5"/>
      <c r="G23173" s="5"/>
    </row>
    <row r="23174" spans="1:7" ht="58.5" customHeight="1" x14ac:dyDescent="0.25">
      <c r="A23174" s="5" t="str">
        <f>"H0022121"</f>
        <v>H0022121</v>
      </c>
      <c r="B23174" s="5" t="str">
        <f t="shared" si="1155"/>
        <v>ESTANTE CONSTRUIDOS EN LAMINAS METÁLICAS SOLIDAS, RESISTENTES Y ESTABLES CON TRATAMIENTO ANTICORROSIVO, CON 7 ENTREPAÑOS, DE 0.94 CMS DE ANCHO, CON ALTURA DE 2.20MTS Y CADA BANDEJA DEBE SOPORTAR UN PESO DE 100KG/MT LINEA</v>
      </c>
      <c r="C23174" s="6">
        <v>241999.99</v>
      </c>
      <c r="D23174" s="5" t="s">
        <v>499</v>
      </c>
      <c r="E23174" s="5" t="str">
        <f t="shared" si="1153"/>
        <v>ACTISALUD- CEGDOC-JEFETH DIONISETTY PUERTA FIGUEROA</v>
      </c>
      <c r="F23174" s="5"/>
      <c r="G23174" s="5"/>
    </row>
    <row r="23175" spans="1:7" ht="58.5" customHeight="1" x14ac:dyDescent="0.25">
      <c r="A23175" s="5" t="str">
        <f>"H0022122"</f>
        <v>H0022122</v>
      </c>
      <c r="B23175" s="5" t="str">
        <f t="shared" si="1155"/>
        <v>ESTANTE CONSTRUIDOS EN LAMINAS METÁLICAS SOLIDAS, RESISTENTES Y ESTABLES CON TRATAMIENTO ANTICORROSIVO, CON 7 ENTREPAÑOS, DE 0.94 CMS DE ANCHO, CON ALTURA DE 2.20MTS Y CADA BANDEJA DEBE SOPORTAR UN PESO DE 100KG/MT LINEA</v>
      </c>
      <c r="C23175" s="6">
        <v>241999.99</v>
      </c>
      <c r="D23175" s="5" t="s">
        <v>499</v>
      </c>
      <c r="E23175" s="5" t="str">
        <f t="shared" si="1153"/>
        <v>ACTISALUD- CEGDOC-JEFETH DIONISETTY PUERTA FIGUEROA</v>
      </c>
      <c r="F23175" s="5"/>
      <c r="G23175" s="5"/>
    </row>
    <row r="23176" spans="1:7" ht="58.5" customHeight="1" x14ac:dyDescent="0.25">
      <c r="A23176" s="5" t="str">
        <f>"H0022123"</f>
        <v>H0022123</v>
      </c>
      <c r="B23176" s="5" t="str">
        <f t="shared" si="1155"/>
        <v>ESTANTE CONSTRUIDOS EN LAMINAS METÁLICAS SOLIDAS, RESISTENTES Y ESTABLES CON TRATAMIENTO ANTICORROSIVO, CON 7 ENTREPAÑOS, DE 0.94 CMS DE ANCHO, CON ALTURA DE 2.20MTS Y CADA BANDEJA DEBE SOPORTAR UN PESO DE 100KG/MT LINEA</v>
      </c>
      <c r="C23176" s="6">
        <v>241999.99</v>
      </c>
      <c r="D23176" s="5" t="s">
        <v>910</v>
      </c>
      <c r="E23176" s="5" t="str">
        <f t="shared" si="1153"/>
        <v>ACTISALUD- CEGDOC-JEFETH DIONISETTY PUERTA FIGUEROA</v>
      </c>
      <c r="F23176" s="5"/>
      <c r="G23176" s="5"/>
    </row>
    <row r="23177" spans="1:7" ht="58.5" customHeight="1" x14ac:dyDescent="0.25">
      <c r="A23177" s="5" t="str">
        <f>"H0022124"</f>
        <v>H0022124</v>
      </c>
      <c r="B23177" s="5" t="str">
        <f t="shared" si="1155"/>
        <v>ESTANTE CONSTRUIDOS EN LAMINAS METÁLICAS SOLIDAS, RESISTENTES Y ESTABLES CON TRATAMIENTO ANTICORROSIVO, CON 7 ENTREPAÑOS, DE 0.94 CMS DE ANCHO, CON ALTURA DE 2.20MTS Y CADA BANDEJA DEBE SOPORTAR UN PESO DE 100KG/MT LINEA</v>
      </c>
      <c r="C23177" s="6">
        <v>241999.99</v>
      </c>
      <c r="D23177" s="5" t="s">
        <v>499</v>
      </c>
      <c r="E23177" s="5" t="str">
        <f t="shared" si="1153"/>
        <v>ACTISALUD- CEGDOC-JEFETH DIONISETTY PUERTA FIGUEROA</v>
      </c>
      <c r="F23177" s="5"/>
      <c r="G23177" s="5"/>
    </row>
    <row r="23178" spans="1:7" ht="58.5" customHeight="1" x14ac:dyDescent="0.25">
      <c r="A23178" s="5" t="str">
        <f>"H0022125"</f>
        <v>H0022125</v>
      </c>
      <c r="B23178" s="5" t="str">
        <f t="shared" si="1155"/>
        <v>ESTANTE CONSTRUIDOS EN LAMINAS METÁLICAS SOLIDAS, RESISTENTES Y ESTABLES CON TRATAMIENTO ANTICORROSIVO, CON 7 ENTREPAÑOS, DE 0.94 CMS DE ANCHO, CON ALTURA DE 2.20MTS Y CADA BANDEJA DEBE SOPORTAR UN PESO DE 100KG/MT LINEA</v>
      </c>
      <c r="C23178" s="6">
        <v>241999.99</v>
      </c>
      <c r="D23178" s="5" t="s">
        <v>499</v>
      </c>
      <c r="E23178" s="5" t="str">
        <f t="shared" si="1153"/>
        <v>ACTISALUD- CEGDOC-JEFETH DIONISETTY PUERTA FIGUEROA</v>
      </c>
      <c r="F23178" s="5"/>
      <c r="G23178" s="5"/>
    </row>
    <row r="23179" spans="1:7" ht="58.5" customHeight="1" x14ac:dyDescent="0.25">
      <c r="A23179" s="5" t="str">
        <f>"H0022126"</f>
        <v>H0022126</v>
      </c>
      <c r="B23179" s="5" t="str">
        <f t="shared" si="1155"/>
        <v>ESTANTE CONSTRUIDOS EN LAMINAS METÁLICAS SOLIDAS, RESISTENTES Y ESTABLES CON TRATAMIENTO ANTICORROSIVO, CON 7 ENTREPAÑOS, DE 0.94 CMS DE ANCHO, CON ALTURA DE 2.20MTS Y CADA BANDEJA DEBE SOPORTAR UN PESO DE 100KG/MT LINEA</v>
      </c>
      <c r="C23179" s="6">
        <v>241999.99</v>
      </c>
      <c r="D23179" s="5" t="s">
        <v>499</v>
      </c>
      <c r="E23179" s="5" t="str">
        <f t="shared" si="1153"/>
        <v>ACTISALUD- CEGDOC-JEFETH DIONISETTY PUERTA FIGUEROA</v>
      </c>
      <c r="F23179" s="5"/>
      <c r="G23179" s="5"/>
    </row>
    <row r="23180" spans="1:7" ht="58.5" customHeight="1" x14ac:dyDescent="0.25">
      <c r="A23180" s="5" t="str">
        <f>"H0022127"</f>
        <v>H0022127</v>
      </c>
      <c r="B23180" s="5" t="str">
        <f t="shared" si="1155"/>
        <v>ESTANTE CONSTRUIDOS EN LAMINAS METÁLICAS SOLIDAS, RESISTENTES Y ESTABLES CON TRATAMIENTO ANTICORROSIVO, CON 7 ENTREPAÑOS, DE 0.94 CMS DE ANCHO, CON ALTURA DE 2.20MTS Y CADA BANDEJA DEBE SOPORTAR UN PESO DE 100KG/MT LINEA</v>
      </c>
      <c r="C23180" s="6">
        <v>241999.99</v>
      </c>
      <c r="D23180" s="5" t="s">
        <v>499</v>
      </c>
      <c r="E23180" s="5" t="str">
        <f t="shared" si="1153"/>
        <v>ACTISALUD- CEGDOC-JEFETH DIONISETTY PUERTA FIGUEROA</v>
      </c>
      <c r="F23180" s="5"/>
      <c r="G23180" s="5"/>
    </row>
    <row r="23181" spans="1:7" ht="58.5" customHeight="1" x14ac:dyDescent="0.25">
      <c r="A23181" s="5" t="str">
        <f>"H0022128"</f>
        <v>H0022128</v>
      </c>
      <c r="B23181" s="5" t="str">
        <f t="shared" si="1155"/>
        <v>ESTANTE CONSTRUIDOS EN LAMINAS METÁLICAS SOLIDAS, RESISTENTES Y ESTABLES CON TRATAMIENTO ANTICORROSIVO, CON 7 ENTREPAÑOS, DE 0.94 CMS DE ANCHO, CON ALTURA DE 2.20MTS Y CADA BANDEJA DEBE SOPORTAR UN PESO DE 100KG/MT LINEA</v>
      </c>
      <c r="C23181" s="6">
        <v>241999.99</v>
      </c>
      <c r="D23181" s="5" t="s">
        <v>499</v>
      </c>
      <c r="E23181" s="5" t="str">
        <f t="shared" si="1153"/>
        <v>ACTISALUD- CEGDOC-JEFETH DIONISETTY PUERTA FIGUEROA</v>
      </c>
      <c r="F23181" s="5"/>
      <c r="G23181" s="5"/>
    </row>
    <row r="23182" spans="1:7" ht="58.5" customHeight="1" x14ac:dyDescent="0.25">
      <c r="A23182" s="5" t="str">
        <f>"H0022130"</f>
        <v>H0022130</v>
      </c>
      <c r="B23182" s="5" t="str">
        <f t="shared" si="1155"/>
        <v>ESTANTE CONSTRUIDOS EN LAMINAS METÁLICAS SOLIDAS, RESISTENTES Y ESTABLES CON TRATAMIENTO ANTICORROSIVO, CON 7 ENTREPAÑOS, DE 0.94 CMS DE ANCHO, CON ALTURA DE 2.20MTS Y CADA BANDEJA DEBE SOPORTAR UN PESO DE 100KG/MT LINEA</v>
      </c>
      <c r="C23182" s="6">
        <v>241999.99</v>
      </c>
      <c r="D23182" s="5" t="s">
        <v>499</v>
      </c>
      <c r="E23182" s="5" t="str">
        <f t="shared" si="1153"/>
        <v>ACTISALUD- CEGDOC-JEFETH DIONISETTY PUERTA FIGUEROA</v>
      </c>
      <c r="F23182" s="5"/>
      <c r="G23182" s="5"/>
    </row>
    <row r="23183" spans="1:7" ht="58.5" customHeight="1" x14ac:dyDescent="0.25">
      <c r="A23183" s="5" t="str">
        <f>"H0022132"</f>
        <v>H0022132</v>
      </c>
      <c r="B23183" s="5" t="str">
        <f t="shared" si="1155"/>
        <v>ESTANTE CONSTRUIDOS EN LAMINAS METÁLICAS SOLIDAS, RESISTENTES Y ESTABLES CON TRATAMIENTO ANTICORROSIVO, CON 7 ENTREPAÑOS, DE 0.94 CMS DE ANCHO, CON ALTURA DE 2.20MTS Y CADA BANDEJA DEBE SOPORTAR UN PESO DE 100KG/MT LINEA</v>
      </c>
      <c r="C23183" s="6">
        <v>241999.99</v>
      </c>
      <c r="D23183" s="5" t="s">
        <v>499</v>
      </c>
      <c r="E23183" s="5" t="str">
        <f t="shared" si="1153"/>
        <v>ACTISALUD- CEGDOC-JEFETH DIONISETTY PUERTA FIGUEROA</v>
      </c>
      <c r="F23183" s="5"/>
      <c r="G23183" s="5"/>
    </row>
    <row r="23184" spans="1:7" ht="58.5" customHeight="1" x14ac:dyDescent="0.25">
      <c r="A23184" s="5" t="str">
        <f>"H0022133"</f>
        <v>H0022133</v>
      </c>
      <c r="B23184" s="5" t="str">
        <f t="shared" si="1155"/>
        <v>ESTANTE CONSTRUIDOS EN LAMINAS METÁLICAS SOLIDAS, RESISTENTES Y ESTABLES CON TRATAMIENTO ANTICORROSIVO, CON 7 ENTREPAÑOS, DE 0.94 CMS DE ANCHO, CON ALTURA DE 2.20MTS Y CADA BANDEJA DEBE SOPORTAR UN PESO DE 100KG/MT LINEA</v>
      </c>
      <c r="C23184" s="6">
        <v>241999.99</v>
      </c>
      <c r="D23184" s="5" t="s">
        <v>499</v>
      </c>
      <c r="E23184" s="5" t="str">
        <f t="shared" si="1153"/>
        <v>ACTISALUD- CEGDOC-JEFETH DIONISETTY PUERTA FIGUEROA</v>
      </c>
      <c r="F23184" s="5"/>
      <c r="G23184" s="5"/>
    </row>
    <row r="23185" spans="1:7" ht="58.5" customHeight="1" x14ac:dyDescent="0.25">
      <c r="A23185" s="5" t="str">
        <f>"H0022148"</f>
        <v>H0022148</v>
      </c>
      <c r="B23185" s="5" t="str">
        <f t="shared" si="1155"/>
        <v>ESTANTE CONSTRUIDOS EN LAMINAS METÁLICAS SOLIDAS, RESISTENTES Y ESTABLES CON TRATAMIENTO ANTICORROSIVO, CON 7 ENTREPAÑOS, DE 0.94 CMS DE ANCHO, CON ALTURA DE 2.20MTS Y CADA BANDEJA DEBE SOPORTAR UN PESO DE 100KG/MT LINEA</v>
      </c>
      <c r="C23185" s="6">
        <v>241999.99</v>
      </c>
      <c r="D23185" s="5" t="s">
        <v>499</v>
      </c>
      <c r="E23185" s="5" t="str">
        <f t="shared" si="1153"/>
        <v>ACTISALUD- CEGDOC-JEFETH DIONISETTY PUERTA FIGUEROA</v>
      </c>
      <c r="F23185" s="5"/>
      <c r="G23185" s="5"/>
    </row>
    <row r="23186" spans="1:7" ht="58.5" customHeight="1" x14ac:dyDescent="0.25">
      <c r="A23186" s="5" t="str">
        <f>"H0022149"</f>
        <v>H0022149</v>
      </c>
      <c r="B23186" s="5" t="str">
        <f t="shared" si="1155"/>
        <v>ESTANTE CONSTRUIDOS EN LAMINAS METÁLICAS SOLIDAS, RESISTENTES Y ESTABLES CON TRATAMIENTO ANTICORROSIVO, CON 7 ENTREPAÑOS, DE 0.94 CMS DE ANCHO, CON ALTURA DE 2.20MTS Y CADA BANDEJA DEBE SOPORTAR UN PESO DE 100KG/MT LINEA</v>
      </c>
      <c r="C23186" s="6">
        <v>241999.99</v>
      </c>
      <c r="D23186" s="5" t="s">
        <v>499</v>
      </c>
      <c r="E23186" s="5" t="str">
        <f t="shared" si="1153"/>
        <v>ACTISALUD- CEGDOC-JEFETH DIONISETTY PUERTA FIGUEROA</v>
      </c>
      <c r="F23186" s="5"/>
      <c r="G23186" s="5"/>
    </row>
    <row r="23187" spans="1:7" ht="58.5" customHeight="1" x14ac:dyDescent="0.25">
      <c r="A23187" s="5" t="str">
        <f>"H0022150"</f>
        <v>H0022150</v>
      </c>
      <c r="B23187" s="5" t="str">
        <f t="shared" si="1155"/>
        <v>ESTANTE CONSTRUIDOS EN LAMINAS METÁLICAS SOLIDAS, RESISTENTES Y ESTABLES CON TRATAMIENTO ANTICORROSIVO, CON 7 ENTREPAÑOS, DE 0.94 CMS DE ANCHO, CON ALTURA DE 2.20MTS Y CADA BANDEJA DEBE SOPORTAR UN PESO DE 100KG/MT LINEA</v>
      </c>
      <c r="C23187" s="6">
        <v>241999.99</v>
      </c>
      <c r="D23187" s="5" t="s">
        <v>499</v>
      </c>
      <c r="E23187" s="5" t="str">
        <f t="shared" si="1153"/>
        <v>ACTISALUD- CEGDOC-JEFETH DIONISETTY PUERTA FIGUEROA</v>
      </c>
      <c r="F23187" s="5"/>
      <c r="G23187" s="5"/>
    </row>
    <row r="23188" spans="1:7" ht="58.5" customHeight="1" x14ac:dyDescent="0.25">
      <c r="A23188" s="5" t="str">
        <f>"H0024135"</f>
        <v>H0024135</v>
      </c>
      <c r="B23188" s="5" t="str">
        <f>"EXTINTOR 2.5 GLS DE AGUA ACERO CARBONO"</f>
        <v>EXTINTOR 2.5 GLS DE AGUA ACERO CARBONO</v>
      </c>
      <c r="C23188" s="6">
        <v>90000</v>
      </c>
      <c r="D23188" s="5" t="s">
        <v>458</v>
      </c>
      <c r="E23188" s="5" t="str">
        <f t="shared" si="1153"/>
        <v>ACTISALUD- CEGDOC-JEFETH DIONISETTY PUERTA FIGUEROA</v>
      </c>
      <c r="F23188" s="5"/>
      <c r="G23188" s="5"/>
    </row>
    <row r="23189" spans="1:7" ht="58.5" customHeight="1" x14ac:dyDescent="0.25">
      <c r="A23189" s="5" t="str">
        <f>"H0024136"</f>
        <v>H0024136</v>
      </c>
      <c r="B23189" s="5" t="str">
        <f>"EXTINTOR 2.5 GLS DE AGUA ACERO CARBONO"</f>
        <v>EXTINTOR 2.5 GLS DE AGUA ACERO CARBONO</v>
      </c>
      <c r="C23189" s="6">
        <v>90000</v>
      </c>
      <c r="D23189" s="5" t="s">
        <v>458</v>
      </c>
      <c r="E23189" s="5" t="str">
        <f t="shared" si="1153"/>
        <v>ACTISALUD- CEGDOC-JEFETH DIONISETTY PUERTA FIGUEROA</v>
      </c>
      <c r="F23189" s="5"/>
      <c r="G23189" s="5"/>
    </row>
    <row r="23190" spans="1:7" ht="58.5" customHeight="1" x14ac:dyDescent="0.25">
      <c r="A23190" s="5" t="str">
        <f>"H0024245"</f>
        <v>H0024245</v>
      </c>
      <c r="B23190" s="5" t="str">
        <f>"ESCANER ALTA VELOCIDAD 40 PPM"</f>
        <v>ESCANER ALTA VELOCIDAD 40 PPM</v>
      </c>
      <c r="C23190" s="6">
        <v>3092700</v>
      </c>
      <c r="D23190" s="5" t="s">
        <v>216</v>
      </c>
      <c r="E23190" s="5" t="str">
        <f t="shared" si="1153"/>
        <v>ACTISALUD- CEGDOC-JEFETH DIONISETTY PUERTA FIGUEROA</v>
      </c>
      <c r="F23190" s="5"/>
      <c r="G23190" s="5"/>
    </row>
    <row r="23191" spans="1:7" ht="58.5" customHeight="1" x14ac:dyDescent="0.25">
      <c r="A23191" s="5" t="str">
        <f>"H0025420"</f>
        <v>H0025420</v>
      </c>
      <c r="B2319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191" s="6">
        <v>312156</v>
      </c>
      <c r="D23191" s="5" t="s">
        <v>10</v>
      </c>
      <c r="E23191" s="5" t="str">
        <f t="shared" si="1153"/>
        <v>ACTISALUD- CEGDOC-JEFETH DIONISETTY PUERTA FIGUEROA</v>
      </c>
      <c r="F23191" s="5"/>
      <c r="G23191" s="5"/>
    </row>
    <row r="23192" spans="1:7" ht="58.5" customHeight="1" x14ac:dyDescent="0.25">
      <c r="A23192" s="5" t="str">
        <f>"H0025733"</f>
        <v>H0025733</v>
      </c>
      <c r="B23192" s="5" t="str">
        <f>"ESCANER DE ALTA VELOCIDAD 35 PPM"</f>
        <v>ESCANER DE ALTA VELOCIDAD 35 PPM</v>
      </c>
      <c r="C23192" s="6">
        <v>1666000</v>
      </c>
      <c r="D23192" s="5" t="s">
        <v>822</v>
      </c>
      <c r="E23192" s="5" t="str">
        <f t="shared" si="1153"/>
        <v>ACTISALUD- CEGDOC-JEFETH DIONISETTY PUERTA FIGUEROA</v>
      </c>
      <c r="F23192" s="5"/>
      <c r="G23192" s="5"/>
    </row>
    <row r="23193" spans="1:7" ht="58.5" customHeight="1" x14ac:dyDescent="0.25">
      <c r="A23193" s="5" t="str">
        <f>"H0026092"</f>
        <v>H0026092</v>
      </c>
      <c r="B23193" s="5" t="str">
        <f t="shared" ref="B23193:B23256" si="1156">"ESTANTE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193" s="6">
        <v>196350</v>
      </c>
      <c r="D23193" s="5" t="s">
        <v>77</v>
      </c>
      <c r="E23193" s="5" t="str">
        <f t="shared" si="1153"/>
        <v>ACTISALUD- CEGDOC-JEFETH DIONISETTY PUERTA FIGUEROA</v>
      </c>
      <c r="F23193" s="5"/>
      <c r="G23193" s="5"/>
    </row>
    <row r="23194" spans="1:7" ht="58.5" customHeight="1" x14ac:dyDescent="0.25">
      <c r="A23194" s="5" t="str">
        <f>"H0026093"</f>
        <v>H0026093</v>
      </c>
      <c r="B23194" s="5" t="str">
        <f t="shared" si="1156"/>
        <v>ESTANTE CONSTRUIDOS EN LAMINAS METÁLICAS SOLIDAS, RESISTENTES Y ESTABLES CON TRATAMIENTO ANTICORROSIVO, CON 7 ENTREPAÑOS, DE 0.94 CMS DE ANCHO, CON ALTURA DE 2.20MTS Y CADA BANDEJA DEBE SOPORTAR UN PESO DE 100KG/MT LINEA</v>
      </c>
      <c r="C23194" s="6">
        <v>196350</v>
      </c>
      <c r="D23194" s="5" t="s">
        <v>911</v>
      </c>
      <c r="E23194" s="5" t="str">
        <f t="shared" si="1153"/>
        <v>ACTISALUD- CEGDOC-JEFETH DIONISETTY PUERTA FIGUEROA</v>
      </c>
      <c r="F23194" s="5"/>
      <c r="G23194" s="5"/>
    </row>
    <row r="23195" spans="1:7" ht="58.5" customHeight="1" x14ac:dyDescent="0.25">
      <c r="A23195" s="5" t="str">
        <f>"H0026094"</f>
        <v>H0026094</v>
      </c>
      <c r="B23195" s="5" t="str">
        <f t="shared" si="1156"/>
        <v>ESTANTE CONSTRUIDOS EN LAMINAS METÁLICAS SOLIDAS, RESISTENTES Y ESTABLES CON TRATAMIENTO ANTICORROSIVO, CON 7 ENTREPAÑOS, DE 0.94 CMS DE ANCHO, CON ALTURA DE 2.20MTS Y CADA BANDEJA DEBE SOPORTAR UN PESO DE 100KG/MT LINEA</v>
      </c>
      <c r="C23195" s="6">
        <v>196350</v>
      </c>
      <c r="D23195" s="5" t="s">
        <v>77</v>
      </c>
      <c r="E23195" s="5" t="str">
        <f t="shared" si="1153"/>
        <v>ACTISALUD- CEGDOC-JEFETH DIONISETTY PUERTA FIGUEROA</v>
      </c>
      <c r="F23195" s="5"/>
      <c r="G23195" s="5"/>
    </row>
    <row r="23196" spans="1:7" ht="58.5" customHeight="1" x14ac:dyDescent="0.25">
      <c r="A23196" s="5" t="str">
        <f>"H0026095"</f>
        <v>H0026095</v>
      </c>
      <c r="B23196" s="5" t="str">
        <f t="shared" si="1156"/>
        <v>ESTANTE CONSTRUIDOS EN LAMINAS METÁLICAS SOLIDAS, RESISTENTES Y ESTABLES CON TRATAMIENTO ANTICORROSIVO, CON 7 ENTREPAÑOS, DE 0.94 CMS DE ANCHO, CON ALTURA DE 2.20MTS Y CADA BANDEJA DEBE SOPORTAR UN PESO DE 100KG/MT LINEA</v>
      </c>
      <c r="C23196" s="6">
        <v>196350</v>
      </c>
      <c r="D23196" s="5" t="s">
        <v>77</v>
      </c>
      <c r="E23196" s="5" t="str">
        <f t="shared" si="1153"/>
        <v>ACTISALUD- CEGDOC-JEFETH DIONISETTY PUERTA FIGUEROA</v>
      </c>
      <c r="F23196" s="5"/>
      <c r="G23196" s="5"/>
    </row>
    <row r="23197" spans="1:7" ht="58.5" customHeight="1" x14ac:dyDescent="0.25">
      <c r="A23197" s="5" t="str">
        <f>"H0026096"</f>
        <v>H0026096</v>
      </c>
      <c r="B23197" s="5" t="str">
        <f t="shared" si="1156"/>
        <v>ESTANTE CONSTRUIDOS EN LAMINAS METÁLICAS SOLIDAS, RESISTENTES Y ESTABLES CON TRATAMIENTO ANTICORROSIVO, CON 7 ENTREPAÑOS, DE 0.94 CMS DE ANCHO, CON ALTURA DE 2.20MTS Y CADA BANDEJA DEBE SOPORTAR UN PESO DE 100KG/MT LINEA</v>
      </c>
      <c r="C23197" s="6">
        <v>196350</v>
      </c>
      <c r="D23197" s="5" t="s">
        <v>77</v>
      </c>
      <c r="E23197" s="5" t="str">
        <f t="shared" si="1153"/>
        <v>ACTISALUD- CEGDOC-JEFETH DIONISETTY PUERTA FIGUEROA</v>
      </c>
      <c r="F23197" s="5"/>
      <c r="G23197" s="5"/>
    </row>
    <row r="23198" spans="1:7" ht="58.5" customHeight="1" x14ac:dyDescent="0.25">
      <c r="A23198" s="5" t="str">
        <f>"H0026097"</f>
        <v>H0026097</v>
      </c>
      <c r="B23198" s="5" t="str">
        <f t="shared" si="1156"/>
        <v>ESTANTE CONSTRUIDOS EN LAMINAS METÁLICAS SOLIDAS, RESISTENTES Y ESTABLES CON TRATAMIENTO ANTICORROSIVO, CON 7 ENTREPAÑOS, DE 0.94 CMS DE ANCHO, CON ALTURA DE 2.20MTS Y CADA BANDEJA DEBE SOPORTAR UN PESO DE 100KG/MT LINEA</v>
      </c>
      <c r="C23198" s="6">
        <v>196350</v>
      </c>
      <c r="D23198" s="5" t="s">
        <v>77</v>
      </c>
      <c r="E23198" s="5" t="str">
        <f t="shared" si="1153"/>
        <v>ACTISALUD- CEGDOC-JEFETH DIONISETTY PUERTA FIGUEROA</v>
      </c>
      <c r="F23198" s="5"/>
      <c r="G23198" s="5"/>
    </row>
    <row r="23199" spans="1:7" ht="58.5" customHeight="1" x14ac:dyDescent="0.25">
      <c r="A23199" s="5" t="str">
        <f>"H0026098"</f>
        <v>H0026098</v>
      </c>
      <c r="B23199" s="5" t="str">
        <f t="shared" si="1156"/>
        <v>ESTANTE CONSTRUIDOS EN LAMINAS METÁLICAS SOLIDAS, RESISTENTES Y ESTABLES CON TRATAMIENTO ANTICORROSIVO, CON 7 ENTREPAÑOS, DE 0.94 CMS DE ANCHO, CON ALTURA DE 2.20MTS Y CADA BANDEJA DEBE SOPORTAR UN PESO DE 100KG/MT LINEA</v>
      </c>
      <c r="C23199" s="6">
        <v>196350</v>
      </c>
      <c r="D23199" s="5" t="s">
        <v>583</v>
      </c>
      <c r="E23199" s="5" t="str">
        <f t="shared" si="1153"/>
        <v>ACTISALUD- CEGDOC-JEFETH DIONISETTY PUERTA FIGUEROA</v>
      </c>
      <c r="F23199" s="5"/>
      <c r="G23199" s="5"/>
    </row>
    <row r="23200" spans="1:7" ht="58.5" customHeight="1" x14ac:dyDescent="0.25">
      <c r="A23200" s="5" t="str">
        <f>"H0026099"</f>
        <v>H0026099</v>
      </c>
      <c r="B23200" s="5" t="str">
        <f t="shared" si="1156"/>
        <v>ESTANTE CONSTRUIDOS EN LAMINAS METÁLICAS SOLIDAS, RESISTENTES Y ESTABLES CON TRATAMIENTO ANTICORROSIVO, CON 7 ENTREPAÑOS, DE 0.94 CMS DE ANCHO, CON ALTURA DE 2.20MTS Y CADA BANDEJA DEBE SOPORTAR UN PESO DE 100KG/MT LINEA</v>
      </c>
      <c r="C23200" s="6">
        <v>196350</v>
      </c>
      <c r="D23200" s="5" t="s">
        <v>77</v>
      </c>
      <c r="E23200" s="5" t="str">
        <f t="shared" si="1153"/>
        <v>ACTISALUD- CEGDOC-JEFETH DIONISETTY PUERTA FIGUEROA</v>
      </c>
      <c r="F23200" s="5"/>
      <c r="G23200" s="5"/>
    </row>
    <row r="23201" spans="1:7" ht="58.5" customHeight="1" x14ac:dyDescent="0.25">
      <c r="A23201" s="5" t="str">
        <f>"H0026100"</f>
        <v>H0026100</v>
      </c>
      <c r="B23201" s="5" t="str">
        <f t="shared" si="1156"/>
        <v>ESTANTE CONSTRUIDOS EN LAMINAS METÁLICAS SOLIDAS, RESISTENTES Y ESTABLES CON TRATAMIENTO ANTICORROSIVO, CON 7 ENTREPAÑOS, DE 0.94 CMS DE ANCHO, CON ALTURA DE 2.20MTS Y CADA BANDEJA DEBE SOPORTAR UN PESO DE 100KG/MT LINEA</v>
      </c>
      <c r="C23201" s="6">
        <v>196350</v>
      </c>
      <c r="D23201" s="5" t="s">
        <v>77</v>
      </c>
      <c r="E23201" s="5" t="str">
        <f t="shared" si="1153"/>
        <v>ACTISALUD- CEGDOC-JEFETH DIONISETTY PUERTA FIGUEROA</v>
      </c>
      <c r="F23201" s="5"/>
      <c r="G23201" s="5"/>
    </row>
    <row r="23202" spans="1:7" ht="58.5" customHeight="1" x14ac:dyDescent="0.25">
      <c r="A23202" s="5" t="str">
        <f>"H0026101"</f>
        <v>H0026101</v>
      </c>
      <c r="B23202" s="5" t="str">
        <f t="shared" si="1156"/>
        <v>ESTANTE CONSTRUIDOS EN LAMINAS METÁLICAS SOLIDAS, RESISTENTES Y ESTABLES CON TRATAMIENTO ANTICORROSIVO, CON 7 ENTREPAÑOS, DE 0.94 CMS DE ANCHO, CON ALTURA DE 2.20MTS Y CADA BANDEJA DEBE SOPORTAR UN PESO DE 100KG/MT LINEA</v>
      </c>
      <c r="C23202" s="6">
        <v>196350</v>
      </c>
      <c r="D23202" s="5" t="s">
        <v>77</v>
      </c>
      <c r="E23202" s="5" t="str">
        <f t="shared" ref="E23202:E23265" si="1157">"ACTISALUD- CEGDOC-JEFETH DIONISETTY PUERTA FIGUEROA"</f>
        <v>ACTISALUD- CEGDOC-JEFETH DIONISETTY PUERTA FIGUEROA</v>
      </c>
      <c r="F23202" s="5"/>
      <c r="G23202" s="5"/>
    </row>
    <row r="23203" spans="1:7" ht="58.5" customHeight="1" x14ac:dyDescent="0.25">
      <c r="A23203" s="5" t="str">
        <f>"H0026102"</f>
        <v>H0026102</v>
      </c>
      <c r="B23203" s="5" t="str">
        <f t="shared" si="1156"/>
        <v>ESTANTE CONSTRUIDOS EN LAMINAS METÁLICAS SOLIDAS, RESISTENTES Y ESTABLES CON TRATAMIENTO ANTICORROSIVO, CON 7 ENTREPAÑOS, DE 0.94 CMS DE ANCHO, CON ALTURA DE 2.20MTS Y CADA BANDEJA DEBE SOPORTAR UN PESO DE 100KG/MT LINEA</v>
      </c>
      <c r="C23203" s="6">
        <v>196350</v>
      </c>
      <c r="D23203" s="5" t="s">
        <v>583</v>
      </c>
      <c r="E23203" s="5" t="str">
        <f t="shared" si="1157"/>
        <v>ACTISALUD- CEGDOC-JEFETH DIONISETTY PUERTA FIGUEROA</v>
      </c>
      <c r="F23203" s="5"/>
      <c r="G23203" s="5"/>
    </row>
    <row r="23204" spans="1:7" ht="58.5" customHeight="1" x14ac:dyDescent="0.25">
      <c r="A23204" s="5" t="str">
        <f>"H0026103"</f>
        <v>H0026103</v>
      </c>
      <c r="B23204" s="5" t="str">
        <f t="shared" si="1156"/>
        <v>ESTANTE CONSTRUIDOS EN LAMINAS METÁLICAS SOLIDAS, RESISTENTES Y ESTABLES CON TRATAMIENTO ANTICORROSIVO, CON 7 ENTREPAÑOS, DE 0.94 CMS DE ANCHO, CON ALTURA DE 2.20MTS Y CADA BANDEJA DEBE SOPORTAR UN PESO DE 100KG/MT LINEA</v>
      </c>
      <c r="C23204" s="6">
        <v>196350</v>
      </c>
      <c r="D23204" s="5" t="s">
        <v>77</v>
      </c>
      <c r="E23204" s="5" t="str">
        <f t="shared" si="1157"/>
        <v>ACTISALUD- CEGDOC-JEFETH DIONISETTY PUERTA FIGUEROA</v>
      </c>
      <c r="F23204" s="5"/>
      <c r="G23204" s="5"/>
    </row>
    <row r="23205" spans="1:7" ht="58.5" customHeight="1" x14ac:dyDescent="0.25">
      <c r="A23205" s="5" t="str">
        <f>"H0026104"</f>
        <v>H0026104</v>
      </c>
      <c r="B23205" s="5" t="str">
        <f t="shared" si="1156"/>
        <v>ESTANTE CONSTRUIDOS EN LAMINAS METÁLICAS SOLIDAS, RESISTENTES Y ESTABLES CON TRATAMIENTO ANTICORROSIVO, CON 7 ENTREPAÑOS, DE 0.94 CMS DE ANCHO, CON ALTURA DE 2.20MTS Y CADA BANDEJA DEBE SOPORTAR UN PESO DE 100KG/MT LINEA</v>
      </c>
      <c r="C23205" s="6">
        <v>196350</v>
      </c>
      <c r="D23205" s="5" t="s">
        <v>77</v>
      </c>
      <c r="E23205" s="5" t="str">
        <f t="shared" si="1157"/>
        <v>ACTISALUD- CEGDOC-JEFETH DIONISETTY PUERTA FIGUEROA</v>
      </c>
      <c r="F23205" s="5"/>
      <c r="G23205" s="5"/>
    </row>
    <row r="23206" spans="1:7" ht="58.5" customHeight="1" x14ac:dyDescent="0.25">
      <c r="A23206" s="5" t="str">
        <f>"H0026105"</f>
        <v>H0026105</v>
      </c>
      <c r="B23206" s="5" t="str">
        <f t="shared" si="1156"/>
        <v>ESTANTE CONSTRUIDOS EN LAMINAS METÁLICAS SOLIDAS, RESISTENTES Y ESTABLES CON TRATAMIENTO ANTICORROSIVO, CON 7 ENTREPAÑOS, DE 0.94 CMS DE ANCHO, CON ALTURA DE 2.20MTS Y CADA BANDEJA DEBE SOPORTAR UN PESO DE 100KG/MT LINEA</v>
      </c>
      <c r="C23206" s="6">
        <v>196350</v>
      </c>
      <c r="D23206" s="5" t="s">
        <v>77</v>
      </c>
      <c r="E23206" s="5" t="str">
        <f t="shared" si="1157"/>
        <v>ACTISALUD- CEGDOC-JEFETH DIONISETTY PUERTA FIGUEROA</v>
      </c>
      <c r="F23206" s="5"/>
      <c r="G23206" s="5"/>
    </row>
    <row r="23207" spans="1:7" ht="58.5" customHeight="1" x14ac:dyDescent="0.25">
      <c r="A23207" s="5" t="str">
        <f>"H0026106"</f>
        <v>H0026106</v>
      </c>
      <c r="B23207" s="5" t="str">
        <f t="shared" si="1156"/>
        <v>ESTANTE CONSTRUIDOS EN LAMINAS METÁLICAS SOLIDAS, RESISTENTES Y ESTABLES CON TRATAMIENTO ANTICORROSIVO, CON 7 ENTREPAÑOS, DE 0.94 CMS DE ANCHO, CON ALTURA DE 2.20MTS Y CADA BANDEJA DEBE SOPORTAR UN PESO DE 100KG/MT LINEA</v>
      </c>
      <c r="C23207" s="6">
        <v>196350</v>
      </c>
      <c r="D23207" s="5" t="s">
        <v>77</v>
      </c>
      <c r="E23207" s="5" t="str">
        <f t="shared" si="1157"/>
        <v>ACTISALUD- CEGDOC-JEFETH DIONISETTY PUERTA FIGUEROA</v>
      </c>
      <c r="F23207" s="5"/>
      <c r="G23207" s="5"/>
    </row>
    <row r="23208" spans="1:7" ht="58.5" customHeight="1" x14ac:dyDescent="0.25">
      <c r="A23208" s="5" t="str">
        <f>"H0026107"</f>
        <v>H0026107</v>
      </c>
      <c r="B23208" s="5" t="str">
        <f t="shared" si="1156"/>
        <v>ESTANTE CONSTRUIDOS EN LAMINAS METÁLICAS SOLIDAS, RESISTENTES Y ESTABLES CON TRATAMIENTO ANTICORROSIVO, CON 7 ENTREPAÑOS, DE 0.94 CMS DE ANCHO, CON ALTURA DE 2.20MTS Y CADA BANDEJA DEBE SOPORTAR UN PESO DE 100KG/MT LINEA</v>
      </c>
      <c r="C23208" s="6">
        <v>196350</v>
      </c>
      <c r="D23208" s="5" t="s">
        <v>77</v>
      </c>
      <c r="E23208" s="5" t="str">
        <f t="shared" si="1157"/>
        <v>ACTISALUD- CEGDOC-JEFETH DIONISETTY PUERTA FIGUEROA</v>
      </c>
      <c r="F23208" s="5"/>
      <c r="G23208" s="5"/>
    </row>
    <row r="23209" spans="1:7" ht="58.5" customHeight="1" x14ac:dyDescent="0.25">
      <c r="A23209" s="5" t="str">
        <f>"H0026108"</f>
        <v>H0026108</v>
      </c>
      <c r="B23209" s="5" t="str">
        <f t="shared" si="1156"/>
        <v>ESTANTE CONSTRUIDOS EN LAMINAS METÁLICAS SOLIDAS, RESISTENTES Y ESTABLES CON TRATAMIENTO ANTICORROSIVO, CON 7 ENTREPAÑOS, DE 0.94 CMS DE ANCHO, CON ALTURA DE 2.20MTS Y CADA BANDEJA DEBE SOPORTAR UN PESO DE 100KG/MT LINEA</v>
      </c>
      <c r="C23209" s="6">
        <v>196350</v>
      </c>
      <c r="D23209" s="5" t="s">
        <v>77</v>
      </c>
      <c r="E23209" s="5" t="str">
        <f t="shared" si="1157"/>
        <v>ACTISALUD- CEGDOC-JEFETH DIONISETTY PUERTA FIGUEROA</v>
      </c>
      <c r="F23209" s="5"/>
      <c r="G23209" s="5"/>
    </row>
    <row r="23210" spans="1:7" ht="58.5" customHeight="1" x14ac:dyDescent="0.25">
      <c r="A23210" s="5" t="str">
        <f>"H0026109"</f>
        <v>H0026109</v>
      </c>
      <c r="B23210" s="5" t="str">
        <f t="shared" si="1156"/>
        <v>ESTANTE CONSTRUIDOS EN LAMINAS METÁLICAS SOLIDAS, RESISTENTES Y ESTABLES CON TRATAMIENTO ANTICORROSIVO, CON 7 ENTREPAÑOS, DE 0.94 CMS DE ANCHO, CON ALTURA DE 2.20MTS Y CADA BANDEJA DEBE SOPORTAR UN PESO DE 100KG/MT LINEA</v>
      </c>
      <c r="C23210" s="6">
        <v>196350</v>
      </c>
      <c r="D23210" s="5" t="s">
        <v>77</v>
      </c>
      <c r="E23210" s="5" t="str">
        <f t="shared" si="1157"/>
        <v>ACTISALUD- CEGDOC-JEFETH DIONISETTY PUERTA FIGUEROA</v>
      </c>
      <c r="F23210" s="5"/>
      <c r="G23210" s="5"/>
    </row>
    <row r="23211" spans="1:7" ht="58.5" customHeight="1" x14ac:dyDescent="0.25">
      <c r="A23211" s="5" t="str">
        <f>"H0026110"</f>
        <v>H0026110</v>
      </c>
      <c r="B23211" s="5" t="str">
        <f t="shared" si="1156"/>
        <v>ESTANTE CONSTRUIDOS EN LAMINAS METÁLICAS SOLIDAS, RESISTENTES Y ESTABLES CON TRATAMIENTO ANTICORROSIVO, CON 7 ENTREPAÑOS, DE 0.94 CMS DE ANCHO, CON ALTURA DE 2.20MTS Y CADA BANDEJA DEBE SOPORTAR UN PESO DE 100KG/MT LINEA</v>
      </c>
      <c r="C23211" s="6">
        <v>196350</v>
      </c>
      <c r="D23211" s="5" t="s">
        <v>77</v>
      </c>
      <c r="E23211" s="5" t="str">
        <f t="shared" si="1157"/>
        <v>ACTISALUD- CEGDOC-JEFETH DIONISETTY PUERTA FIGUEROA</v>
      </c>
      <c r="F23211" s="5"/>
      <c r="G23211" s="5"/>
    </row>
    <row r="23212" spans="1:7" ht="58.5" customHeight="1" x14ac:dyDescent="0.25">
      <c r="A23212" s="5" t="str">
        <f>"H0026111"</f>
        <v>H0026111</v>
      </c>
      <c r="B23212" s="5" t="str">
        <f t="shared" si="1156"/>
        <v>ESTANTE CONSTRUIDOS EN LAMINAS METÁLICAS SOLIDAS, RESISTENTES Y ESTABLES CON TRATAMIENTO ANTICORROSIVO, CON 7 ENTREPAÑOS, DE 0.94 CMS DE ANCHO, CON ALTURA DE 2.20MTS Y CADA BANDEJA DEBE SOPORTAR UN PESO DE 100KG/MT LINEA</v>
      </c>
      <c r="C23212" s="6">
        <v>196350</v>
      </c>
      <c r="D23212" s="5" t="s">
        <v>77</v>
      </c>
      <c r="E23212" s="5" t="str">
        <f t="shared" si="1157"/>
        <v>ACTISALUD- CEGDOC-JEFETH DIONISETTY PUERTA FIGUEROA</v>
      </c>
      <c r="F23212" s="5"/>
      <c r="G23212" s="5"/>
    </row>
    <row r="23213" spans="1:7" ht="58.5" customHeight="1" x14ac:dyDescent="0.25">
      <c r="A23213" s="5" t="str">
        <f>"H0026112"</f>
        <v>H0026112</v>
      </c>
      <c r="B23213" s="5" t="str">
        <f t="shared" si="1156"/>
        <v>ESTANTE CONSTRUIDOS EN LAMINAS METÁLICAS SOLIDAS, RESISTENTES Y ESTABLES CON TRATAMIENTO ANTICORROSIVO, CON 7 ENTREPAÑOS, DE 0.94 CMS DE ANCHO, CON ALTURA DE 2.20MTS Y CADA BANDEJA DEBE SOPORTAR UN PESO DE 100KG/MT LINEA</v>
      </c>
      <c r="C23213" s="6">
        <v>196350</v>
      </c>
      <c r="D23213" s="5" t="s">
        <v>77</v>
      </c>
      <c r="E23213" s="5" t="str">
        <f t="shared" si="1157"/>
        <v>ACTISALUD- CEGDOC-JEFETH DIONISETTY PUERTA FIGUEROA</v>
      </c>
      <c r="F23213" s="5"/>
      <c r="G23213" s="5"/>
    </row>
    <row r="23214" spans="1:7" ht="58.5" customHeight="1" x14ac:dyDescent="0.25">
      <c r="A23214" s="5" t="str">
        <f>"H0026113"</f>
        <v>H0026113</v>
      </c>
      <c r="B23214" s="5" t="str">
        <f t="shared" si="1156"/>
        <v>ESTANTE CONSTRUIDOS EN LAMINAS METÁLICAS SOLIDAS, RESISTENTES Y ESTABLES CON TRATAMIENTO ANTICORROSIVO, CON 7 ENTREPAÑOS, DE 0.94 CMS DE ANCHO, CON ALTURA DE 2.20MTS Y CADA BANDEJA DEBE SOPORTAR UN PESO DE 100KG/MT LINEA</v>
      </c>
      <c r="C23214" s="6">
        <v>196350</v>
      </c>
      <c r="D23214" s="5" t="s">
        <v>77</v>
      </c>
      <c r="E23214" s="5" t="str">
        <f t="shared" si="1157"/>
        <v>ACTISALUD- CEGDOC-JEFETH DIONISETTY PUERTA FIGUEROA</v>
      </c>
      <c r="F23214" s="5"/>
      <c r="G23214" s="5"/>
    </row>
    <row r="23215" spans="1:7" ht="58.5" customHeight="1" x14ac:dyDescent="0.25">
      <c r="A23215" s="5" t="str">
        <f>"H0026114"</f>
        <v>H0026114</v>
      </c>
      <c r="B23215" s="5" t="str">
        <f t="shared" si="1156"/>
        <v>ESTANTE CONSTRUIDOS EN LAMINAS METÁLICAS SOLIDAS, RESISTENTES Y ESTABLES CON TRATAMIENTO ANTICORROSIVO, CON 7 ENTREPAÑOS, DE 0.94 CMS DE ANCHO, CON ALTURA DE 2.20MTS Y CADA BANDEJA DEBE SOPORTAR UN PESO DE 100KG/MT LINEA</v>
      </c>
      <c r="C23215" s="6">
        <v>196350</v>
      </c>
      <c r="D23215" s="5" t="s">
        <v>77</v>
      </c>
      <c r="E23215" s="5" t="str">
        <f t="shared" si="1157"/>
        <v>ACTISALUD- CEGDOC-JEFETH DIONISETTY PUERTA FIGUEROA</v>
      </c>
      <c r="F23215" s="5"/>
      <c r="G23215" s="5"/>
    </row>
    <row r="23216" spans="1:7" ht="58.5" customHeight="1" x14ac:dyDescent="0.25">
      <c r="A23216" s="5" t="str">
        <f>"H0026115"</f>
        <v>H0026115</v>
      </c>
      <c r="B23216" s="5" t="str">
        <f t="shared" si="1156"/>
        <v>ESTANTE CONSTRUIDOS EN LAMINAS METÁLICAS SOLIDAS, RESISTENTES Y ESTABLES CON TRATAMIENTO ANTICORROSIVO, CON 7 ENTREPAÑOS, DE 0.94 CMS DE ANCHO, CON ALTURA DE 2.20MTS Y CADA BANDEJA DEBE SOPORTAR UN PESO DE 100KG/MT LINEA</v>
      </c>
      <c r="C23216" s="6">
        <v>196350</v>
      </c>
      <c r="D23216" s="5" t="s">
        <v>77</v>
      </c>
      <c r="E23216" s="5" t="str">
        <f t="shared" si="1157"/>
        <v>ACTISALUD- CEGDOC-JEFETH DIONISETTY PUERTA FIGUEROA</v>
      </c>
      <c r="F23216" s="5"/>
      <c r="G23216" s="5"/>
    </row>
    <row r="23217" spans="1:7" ht="58.5" customHeight="1" x14ac:dyDescent="0.25">
      <c r="A23217" s="5" t="str">
        <f>"H0026116"</f>
        <v>H0026116</v>
      </c>
      <c r="B23217" s="5" t="str">
        <f t="shared" si="1156"/>
        <v>ESTANTE CONSTRUIDOS EN LAMINAS METÁLICAS SOLIDAS, RESISTENTES Y ESTABLES CON TRATAMIENTO ANTICORROSIVO, CON 7 ENTREPAÑOS, DE 0.94 CMS DE ANCHO, CON ALTURA DE 2.20MTS Y CADA BANDEJA DEBE SOPORTAR UN PESO DE 100KG/MT LINEA</v>
      </c>
      <c r="C23217" s="6">
        <v>196350</v>
      </c>
      <c r="D23217" s="5" t="s">
        <v>77</v>
      </c>
      <c r="E23217" s="5" t="str">
        <f t="shared" si="1157"/>
        <v>ACTISALUD- CEGDOC-JEFETH DIONISETTY PUERTA FIGUEROA</v>
      </c>
      <c r="F23217" s="5"/>
      <c r="G23217" s="5"/>
    </row>
    <row r="23218" spans="1:7" ht="58.5" customHeight="1" x14ac:dyDescent="0.25">
      <c r="A23218" s="5" t="str">
        <f>"H0026117"</f>
        <v>H0026117</v>
      </c>
      <c r="B23218" s="5" t="str">
        <f t="shared" si="1156"/>
        <v>ESTANTE CONSTRUIDOS EN LAMINAS METÁLICAS SOLIDAS, RESISTENTES Y ESTABLES CON TRATAMIENTO ANTICORROSIVO, CON 7 ENTREPAÑOS, DE 0.94 CMS DE ANCHO, CON ALTURA DE 2.20MTS Y CADA BANDEJA DEBE SOPORTAR UN PESO DE 100KG/MT LINEA</v>
      </c>
      <c r="C23218" s="6">
        <v>196350</v>
      </c>
      <c r="D23218" s="5" t="s">
        <v>77</v>
      </c>
      <c r="E23218" s="5" t="str">
        <f t="shared" si="1157"/>
        <v>ACTISALUD- CEGDOC-JEFETH DIONISETTY PUERTA FIGUEROA</v>
      </c>
      <c r="F23218" s="5"/>
      <c r="G23218" s="5"/>
    </row>
    <row r="23219" spans="1:7" ht="58.5" customHeight="1" x14ac:dyDescent="0.25">
      <c r="A23219" s="5" t="str">
        <f>"H0026118"</f>
        <v>H0026118</v>
      </c>
      <c r="B23219" s="5" t="str">
        <f t="shared" si="1156"/>
        <v>ESTANTE CONSTRUIDOS EN LAMINAS METÁLICAS SOLIDAS, RESISTENTES Y ESTABLES CON TRATAMIENTO ANTICORROSIVO, CON 7 ENTREPAÑOS, DE 0.94 CMS DE ANCHO, CON ALTURA DE 2.20MTS Y CADA BANDEJA DEBE SOPORTAR UN PESO DE 100KG/MT LINEA</v>
      </c>
      <c r="C23219" s="6">
        <v>196350</v>
      </c>
      <c r="D23219" s="5" t="s">
        <v>388</v>
      </c>
      <c r="E23219" s="5" t="str">
        <f t="shared" si="1157"/>
        <v>ACTISALUD- CEGDOC-JEFETH DIONISETTY PUERTA FIGUEROA</v>
      </c>
      <c r="F23219" s="5"/>
      <c r="G23219" s="5"/>
    </row>
    <row r="23220" spans="1:7" ht="58.5" customHeight="1" x14ac:dyDescent="0.25">
      <c r="A23220" s="5" t="str">
        <f>"H0026119"</f>
        <v>H0026119</v>
      </c>
      <c r="B23220" s="5" t="str">
        <f t="shared" si="1156"/>
        <v>ESTANTE CONSTRUIDOS EN LAMINAS METÁLICAS SOLIDAS, RESISTENTES Y ESTABLES CON TRATAMIENTO ANTICORROSIVO, CON 7 ENTREPAÑOS, DE 0.94 CMS DE ANCHO, CON ALTURA DE 2.20MTS Y CADA BANDEJA DEBE SOPORTAR UN PESO DE 100KG/MT LINEA</v>
      </c>
      <c r="C23220" s="6">
        <v>196350</v>
      </c>
      <c r="D23220" s="5" t="s">
        <v>77</v>
      </c>
      <c r="E23220" s="5" t="str">
        <f t="shared" si="1157"/>
        <v>ACTISALUD- CEGDOC-JEFETH DIONISETTY PUERTA FIGUEROA</v>
      </c>
      <c r="F23220" s="5"/>
      <c r="G23220" s="5"/>
    </row>
    <row r="23221" spans="1:7" ht="58.5" customHeight="1" x14ac:dyDescent="0.25">
      <c r="A23221" s="5" t="str">
        <f>"H0026120"</f>
        <v>H0026120</v>
      </c>
      <c r="B23221" s="5" t="str">
        <f t="shared" si="1156"/>
        <v>ESTANTE CONSTRUIDOS EN LAMINAS METÁLICAS SOLIDAS, RESISTENTES Y ESTABLES CON TRATAMIENTO ANTICORROSIVO, CON 7 ENTREPAÑOS, DE 0.94 CMS DE ANCHO, CON ALTURA DE 2.20MTS Y CADA BANDEJA DEBE SOPORTAR UN PESO DE 100KG/MT LINEA</v>
      </c>
      <c r="C23221" s="6">
        <v>196350</v>
      </c>
      <c r="D23221" s="5" t="s">
        <v>77</v>
      </c>
      <c r="E23221" s="5" t="str">
        <f t="shared" si="1157"/>
        <v>ACTISALUD- CEGDOC-JEFETH DIONISETTY PUERTA FIGUEROA</v>
      </c>
      <c r="F23221" s="5"/>
      <c r="G23221" s="5"/>
    </row>
    <row r="23222" spans="1:7" ht="58.5" customHeight="1" x14ac:dyDescent="0.25">
      <c r="A23222" s="5" t="str">
        <f>"H0026121"</f>
        <v>H0026121</v>
      </c>
      <c r="B23222" s="5" t="str">
        <f t="shared" si="1156"/>
        <v>ESTANTE CONSTRUIDOS EN LAMINAS METÁLICAS SOLIDAS, RESISTENTES Y ESTABLES CON TRATAMIENTO ANTICORROSIVO, CON 7 ENTREPAÑOS, DE 0.94 CMS DE ANCHO, CON ALTURA DE 2.20MTS Y CADA BANDEJA DEBE SOPORTAR UN PESO DE 100KG/MT LINEA</v>
      </c>
      <c r="C23222" s="6">
        <v>196350</v>
      </c>
      <c r="D23222" s="5" t="s">
        <v>77</v>
      </c>
      <c r="E23222" s="5" t="str">
        <f t="shared" si="1157"/>
        <v>ACTISALUD- CEGDOC-JEFETH DIONISETTY PUERTA FIGUEROA</v>
      </c>
      <c r="F23222" s="5"/>
      <c r="G23222" s="5"/>
    </row>
    <row r="23223" spans="1:7" ht="58.5" customHeight="1" x14ac:dyDescent="0.25">
      <c r="A23223" s="5" t="str">
        <f>"H0026122"</f>
        <v>H0026122</v>
      </c>
      <c r="B23223" s="5" t="str">
        <f t="shared" si="1156"/>
        <v>ESTANTE CONSTRUIDOS EN LAMINAS METÁLICAS SOLIDAS, RESISTENTES Y ESTABLES CON TRATAMIENTO ANTICORROSIVO, CON 7 ENTREPAÑOS, DE 0.94 CMS DE ANCHO, CON ALTURA DE 2.20MTS Y CADA BANDEJA DEBE SOPORTAR UN PESO DE 100KG/MT LINEA</v>
      </c>
      <c r="C23223" s="6">
        <v>196350</v>
      </c>
      <c r="D23223" s="5" t="s">
        <v>77</v>
      </c>
      <c r="E23223" s="5" t="str">
        <f t="shared" si="1157"/>
        <v>ACTISALUD- CEGDOC-JEFETH DIONISETTY PUERTA FIGUEROA</v>
      </c>
      <c r="F23223" s="5"/>
      <c r="G23223" s="5"/>
    </row>
    <row r="23224" spans="1:7" ht="58.5" customHeight="1" x14ac:dyDescent="0.25">
      <c r="A23224" s="5" t="str">
        <f>"H0026123"</f>
        <v>H0026123</v>
      </c>
      <c r="B23224" s="5" t="str">
        <f t="shared" si="1156"/>
        <v>ESTANTE CONSTRUIDOS EN LAMINAS METÁLICAS SOLIDAS, RESISTENTES Y ESTABLES CON TRATAMIENTO ANTICORROSIVO, CON 7 ENTREPAÑOS, DE 0.94 CMS DE ANCHO, CON ALTURA DE 2.20MTS Y CADA BANDEJA DEBE SOPORTAR UN PESO DE 100KG/MT LINEA</v>
      </c>
      <c r="C23224" s="6">
        <v>196350</v>
      </c>
      <c r="D23224" s="5" t="s">
        <v>77</v>
      </c>
      <c r="E23224" s="5" t="str">
        <f t="shared" si="1157"/>
        <v>ACTISALUD- CEGDOC-JEFETH DIONISETTY PUERTA FIGUEROA</v>
      </c>
      <c r="F23224" s="5"/>
      <c r="G23224" s="5"/>
    </row>
    <row r="23225" spans="1:7" ht="58.5" customHeight="1" x14ac:dyDescent="0.25">
      <c r="A23225" s="5" t="str">
        <f>"H0026124"</f>
        <v>H0026124</v>
      </c>
      <c r="B23225" s="5" t="str">
        <f t="shared" si="1156"/>
        <v>ESTANTE CONSTRUIDOS EN LAMINAS METÁLICAS SOLIDAS, RESISTENTES Y ESTABLES CON TRATAMIENTO ANTICORROSIVO, CON 7 ENTREPAÑOS, DE 0.94 CMS DE ANCHO, CON ALTURA DE 2.20MTS Y CADA BANDEJA DEBE SOPORTAR UN PESO DE 100KG/MT LINEA</v>
      </c>
      <c r="C23225" s="6">
        <v>196350</v>
      </c>
      <c r="D23225" s="5" t="s">
        <v>77</v>
      </c>
      <c r="E23225" s="5" t="str">
        <f t="shared" si="1157"/>
        <v>ACTISALUD- CEGDOC-JEFETH DIONISETTY PUERTA FIGUEROA</v>
      </c>
      <c r="F23225" s="5"/>
      <c r="G23225" s="5"/>
    </row>
    <row r="23226" spans="1:7" ht="58.5" customHeight="1" x14ac:dyDescent="0.25">
      <c r="A23226" s="5" t="str">
        <f>"H0026125"</f>
        <v>H0026125</v>
      </c>
      <c r="B23226" s="5" t="str">
        <f t="shared" si="1156"/>
        <v>ESTANTE CONSTRUIDOS EN LAMINAS METÁLICAS SOLIDAS, RESISTENTES Y ESTABLES CON TRATAMIENTO ANTICORROSIVO, CON 7 ENTREPAÑOS, DE 0.94 CMS DE ANCHO, CON ALTURA DE 2.20MTS Y CADA BANDEJA DEBE SOPORTAR UN PESO DE 100KG/MT LINEA</v>
      </c>
      <c r="C23226" s="6">
        <v>196350</v>
      </c>
      <c r="D23226" s="5" t="s">
        <v>77</v>
      </c>
      <c r="E23226" s="5" t="str">
        <f t="shared" si="1157"/>
        <v>ACTISALUD- CEGDOC-JEFETH DIONISETTY PUERTA FIGUEROA</v>
      </c>
      <c r="F23226" s="5"/>
      <c r="G23226" s="5"/>
    </row>
    <row r="23227" spans="1:7" ht="58.5" customHeight="1" x14ac:dyDescent="0.25">
      <c r="A23227" s="5" t="str">
        <f>"H0026126"</f>
        <v>H0026126</v>
      </c>
      <c r="B23227" s="5" t="str">
        <f t="shared" si="1156"/>
        <v>ESTANTE CONSTRUIDOS EN LAMINAS METÁLICAS SOLIDAS, RESISTENTES Y ESTABLES CON TRATAMIENTO ANTICORROSIVO, CON 7 ENTREPAÑOS, DE 0.94 CMS DE ANCHO, CON ALTURA DE 2.20MTS Y CADA BANDEJA DEBE SOPORTAR UN PESO DE 100KG/MT LINEA</v>
      </c>
      <c r="C23227" s="6">
        <v>196350</v>
      </c>
      <c r="D23227" s="5" t="s">
        <v>77</v>
      </c>
      <c r="E23227" s="5" t="str">
        <f t="shared" si="1157"/>
        <v>ACTISALUD- CEGDOC-JEFETH DIONISETTY PUERTA FIGUEROA</v>
      </c>
      <c r="F23227" s="5"/>
      <c r="G23227" s="5"/>
    </row>
    <row r="23228" spans="1:7" ht="58.5" customHeight="1" x14ac:dyDescent="0.25">
      <c r="A23228" s="5" t="str">
        <f>"H0026127"</f>
        <v>H0026127</v>
      </c>
      <c r="B23228" s="5" t="str">
        <f t="shared" si="1156"/>
        <v>ESTANTE CONSTRUIDOS EN LAMINAS METÁLICAS SOLIDAS, RESISTENTES Y ESTABLES CON TRATAMIENTO ANTICORROSIVO, CON 7 ENTREPAÑOS, DE 0.94 CMS DE ANCHO, CON ALTURA DE 2.20MTS Y CADA BANDEJA DEBE SOPORTAR UN PESO DE 100KG/MT LINEA</v>
      </c>
      <c r="C23228" s="6">
        <v>196350</v>
      </c>
      <c r="D23228" s="5" t="s">
        <v>77</v>
      </c>
      <c r="E23228" s="5" t="str">
        <f t="shared" si="1157"/>
        <v>ACTISALUD- CEGDOC-JEFETH DIONISETTY PUERTA FIGUEROA</v>
      </c>
      <c r="F23228" s="5"/>
      <c r="G23228" s="5"/>
    </row>
    <row r="23229" spans="1:7" ht="58.5" customHeight="1" x14ac:dyDescent="0.25">
      <c r="A23229" s="5" t="str">
        <f>"H0026128"</f>
        <v>H0026128</v>
      </c>
      <c r="B23229" s="5" t="str">
        <f t="shared" si="1156"/>
        <v>ESTANTE CONSTRUIDOS EN LAMINAS METÁLICAS SOLIDAS, RESISTENTES Y ESTABLES CON TRATAMIENTO ANTICORROSIVO, CON 7 ENTREPAÑOS, DE 0.94 CMS DE ANCHO, CON ALTURA DE 2.20MTS Y CADA BANDEJA DEBE SOPORTAR UN PESO DE 100KG/MT LINEA</v>
      </c>
      <c r="C23229" s="6">
        <v>196350</v>
      </c>
      <c r="D23229" s="5" t="s">
        <v>77</v>
      </c>
      <c r="E23229" s="5" t="str">
        <f t="shared" si="1157"/>
        <v>ACTISALUD- CEGDOC-JEFETH DIONISETTY PUERTA FIGUEROA</v>
      </c>
      <c r="F23229" s="5"/>
      <c r="G23229" s="5"/>
    </row>
    <row r="23230" spans="1:7" ht="58.5" customHeight="1" x14ac:dyDescent="0.25">
      <c r="A23230" s="5" t="str">
        <f>"H0026129"</f>
        <v>H0026129</v>
      </c>
      <c r="B23230" s="5" t="str">
        <f t="shared" si="1156"/>
        <v>ESTANTE CONSTRUIDOS EN LAMINAS METÁLICAS SOLIDAS, RESISTENTES Y ESTABLES CON TRATAMIENTO ANTICORROSIVO, CON 7 ENTREPAÑOS, DE 0.94 CMS DE ANCHO, CON ALTURA DE 2.20MTS Y CADA BANDEJA DEBE SOPORTAR UN PESO DE 100KG/MT LINEA</v>
      </c>
      <c r="C23230" s="6">
        <v>196350</v>
      </c>
      <c r="D23230" s="5" t="s">
        <v>912</v>
      </c>
      <c r="E23230" s="5" t="str">
        <f t="shared" si="1157"/>
        <v>ACTISALUD- CEGDOC-JEFETH DIONISETTY PUERTA FIGUEROA</v>
      </c>
      <c r="F23230" s="5"/>
      <c r="G23230" s="5"/>
    </row>
    <row r="23231" spans="1:7" ht="58.5" customHeight="1" x14ac:dyDescent="0.25">
      <c r="A23231" s="5" t="str">
        <f>"H0026130"</f>
        <v>H0026130</v>
      </c>
      <c r="B23231" s="5" t="str">
        <f t="shared" si="1156"/>
        <v>ESTANTE CONSTRUIDOS EN LAMINAS METÁLICAS SOLIDAS, RESISTENTES Y ESTABLES CON TRATAMIENTO ANTICORROSIVO, CON 7 ENTREPAÑOS, DE 0.94 CMS DE ANCHO, CON ALTURA DE 2.20MTS Y CADA BANDEJA DEBE SOPORTAR UN PESO DE 100KG/MT LINEA</v>
      </c>
      <c r="C23231" s="6">
        <v>196350</v>
      </c>
      <c r="D23231" s="5" t="s">
        <v>77</v>
      </c>
      <c r="E23231" s="5" t="str">
        <f t="shared" si="1157"/>
        <v>ACTISALUD- CEGDOC-JEFETH DIONISETTY PUERTA FIGUEROA</v>
      </c>
      <c r="F23231" s="5"/>
      <c r="G23231" s="5"/>
    </row>
    <row r="23232" spans="1:7" ht="58.5" customHeight="1" x14ac:dyDescent="0.25">
      <c r="A23232" s="5" t="str">
        <f>"H0026131"</f>
        <v>H0026131</v>
      </c>
      <c r="B23232" s="5" t="str">
        <f t="shared" si="1156"/>
        <v>ESTANTE CONSTRUIDOS EN LAMINAS METÁLICAS SOLIDAS, RESISTENTES Y ESTABLES CON TRATAMIENTO ANTICORROSIVO, CON 7 ENTREPAÑOS, DE 0.94 CMS DE ANCHO, CON ALTURA DE 2.20MTS Y CADA BANDEJA DEBE SOPORTAR UN PESO DE 100KG/MT LINEA</v>
      </c>
      <c r="C23232" s="6">
        <v>196350</v>
      </c>
      <c r="D23232" s="5" t="s">
        <v>913</v>
      </c>
      <c r="E23232" s="5" t="str">
        <f t="shared" si="1157"/>
        <v>ACTISALUD- CEGDOC-JEFETH DIONISETTY PUERTA FIGUEROA</v>
      </c>
      <c r="F23232" s="5"/>
      <c r="G23232" s="5"/>
    </row>
    <row r="23233" spans="1:7" ht="58.5" customHeight="1" x14ac:dyDescent="0.25">
      <c r="A23233" s="5" t="str">
        <f>"H0026132"</f>
        <v>H0026132</v>
      </c>
      <c r="B23233" s="5" t="str">
        <f t="shared" si="1156"/>
        <v>ESTANTE CONSTRUIDOS EN LAMINAS METÁLICAS SOLIDAS, RESISTENTES Y ESTABLES CON TRATAMIENTO ANTICORROSIVO, CON 7 ENTREPAÑOS, DE 0.94 CMS DE ANCHO, CON ALTURA DE 2.20MTS Y CADA BANDEJA DEBE SOPORTAR UN PESO DE 100KG/MT LINEA</v>
      </c>
      <c r="C23233" s="6">
        <v>196350</v>
      </c>
      <c r="D23233" s="5" t="s">
        <v>583</v>
      </c>
      <c r="E23233" s="5" t="str">
        <f t="shared" si="1157"/>
        <v>ACTISALUD- CEGDOC-JEFETH DIONISETTY PUERTA FIGUEROA</v>
      </c>
      <c r="F23233" s="5"/>
      <c r="G23233" s="5"/>
    </row>
    <row r="23234" spans="1:7" ht="58.5" customHeight="1" x14ac:dyDescent="0.25">
      <c r="A23234" s="5" t="str">
        <f>"H0026133"</f>
        <v>H0026133</v>
      </c>
      <c r="B23234" s="5" t="str">
        <f t="shared" si="1156"/>
        <v>ESTANTE CONSTRUIDOS EN LAMINAS METÁLICAS SOLIDAS, RESISTENTES Y ESTABLES CON TRATAMIENTO ANTICORROSIVO, CON 7 ENTREPAÑOS, DE 0.94 CMS DE ANCHO, CON ALTURA DE 2.20MTS Y CADA BANDEJA DEBE SOPORTAR UN PESO DE 100KG/MT LINEA</v>
      </c>
      <c r="C23234" s="6">
        <v>196350</v>
      </c>
      <c r="D23234" s="5" t="s">
        <v>583</v>
      </c>
      <c r="E23234" s="5" t="str">
        <f t="shared" si="1157"/>
        <v>ACTISALUD- CEGDOC-JEFETH DIONISETTY PUERTA FIGUEROA</v>
      </c>
      <c r="F23234" s="5"/>
      <c r="G23234" s="5"/>
    </row>
    <row r="23235" spans="1:7" ht="58.5" customHeight="1" x14ac:dyDescent="0.25">
      <c r="A23235" s="5" t="str">
        <f>"H0026134"</f>
        <v>H0026134</v>
      </c>
      <c r="B23235" s="5" t="str">
        <f t="shared" si="1156"/>
        <v>ESTANTE CONSTRUIDOS EN LAMINAS METÁLICAS SOLIDAS, RESISTENTES Y ESTABLES CON TRATAMIENTO ANTICORROSIVO, CON 7 ENTREPAÑOS, DE 0.94 CMS DE ANCHO, CON ALTURA DE 2.20MTS Y CADA BANDEJA DEBE SOPORTAR UN PESO DE 100KG/MT LINEA</v>
      </c>
      <c r="C23235" s="6">
        <v>196350</v>
      </c>
      <c r="D23235" s="5" t="s">
        <v>77</v>
      </c>
      <c r="E23235" s="5" t="str">
        <f t="shared" si="1157"/>
        <v>ACTISALUD- CEGDOC-JEFETH DIONISETTY PUERTA FIGUEROA</v>
      </c>
      <c r="F23235" s="5"/>
      <c r="G23235" s="5"/>
    </row>
    <row r="23236" spans="1:7" ht="58.5" customHeight="1" x14ac:dyDescent="0.25">
      <c r="A23236" s="5" t="str">
        <f>"H0026135"</f>
        <v>H0026135</v>
      </c>
      <c r="B23236" s="5" t="str">
        <f t="shared" si="1156"/>
        <v>ESTANTE CONSTRUIDOS EN LAMINAS METÁLICAS SOLIDAS, RESISTENTES Y ESTABLES CON TRATAMIENTO ANTICORROSIVO, CON 7 ENTREPAÑOS, DE 0.94 CMS DE ANCHO, CON ALTURA DE 2.20MTS Y CADA BANDEJA DEBE SOPORTAR UN PESO DE 100KG/MT LINEA</v>
      </c>
      <c r="C23236" s="6">
        <v>196350</v>
      </c>
      <c r="D23236" s="5" t="s">
        <v>77</v>
      </c>
      <c r="E23236" s="5" t="str">
        <f t="shared" si="1157"/>
        <v>ACTISALUD- CEGDOC-JEFETH DIONISETTY PUERTA FIGUEROA</v>
      </c>
      <c r="F23236" s="5"/>
      <c r="G23236" s="5"/>
    </row>
    <row r="23237" spans="1:7" ht="58.5" customHeight="1" x14ac:dyDescent="0.25">
      <c r="A23237" s="5" t="str">
        <f>"H0026136"</f>
        <v>H0026136</v>
      </c>
      <c r="B23237" s="5" t="str">
        <f t="shared" si="1156"/>
        <v>ESTANTE CONSTRUIDOS EN LAMINAS METÁLICAS SOLIDAS, RESISTENTES Y ESTABLES CON TRATAMIENTO ANTICORROSIVO, CON 7 ENTREPAÑOS, DE 0.94 CMS DE ANCHO, CON ALTURA DE 2.20MTS Y CADA BANDEJA DEBE SOPORTAR UN PESO DE 100KG/MT LINEA</v>
      </c>
      <c r="C23237" s="6">
        <v>196350</v>
      </c>
      <c r="D23237" s="5" t="s">
        <v>914</v>
      </c>
      <c r="E23237" s="5" t="str">
        <f t="shared" si="1157"/>
        <v>ACTISALUD- CEGDOC-JEFETH DIONISETTY PUERTA FIGUEROA</v>
      </c>
      <c r="F23237" s="5"/>
      <c r="G23237" s="5"/>
    </row>
    <row r="23238" spans="1:7" ht="58.5" customHeight="1" x14ac:dyDescent="0.25">
      <c r="A23238" s="5" t="str">
        <f>"H0026137"</f>
        <v>H0026137</v>
      </c>
      <c r="B23238" s="5" t="str">
        <f t="shared" si="1156"/>
        <v>ESTANTE CONSTRUIDOS EN LAMINAS METÁLICAS SOLIDAS, RESISTENTES Y ESTABLES CON TRATAMIENTO ANTICORROSIVO, CON 7 ENTREPAÑOS, DE 0.94 CMS DE ANCHO, CON ALTURA DE 2.20MTS Y CADA BANDEJA DEBE SOPORTAR UN PESO DE 100KG/MT LINEA</v>
      </c>
      <c r="C23238" s="6">
        <v>196350</v>
      </c>
      <c r="D23238" s="5" t="s">
        <v>583</v>
      </c>
      <c r="E23238" s="5" t="str">
        <f t="shared" si="1157"/>
        <v>ACTISALUD- CEGDOC-JEFETH DIONISETTY PUERTA FIGUEROA</v>
      </c>
      <c r="F23238" s="5"/>
      <c r="G23238" s="5"/>
    </row>
    <row r="23239" spans="1:7" ht="58.5" customHeight="1" x14ac:dyDescent="0.25">
      <c r="A23239" s="5" t="str">
        <f>"H0026138"</f>
        <v>H0026138</v>
      </c>
      <c r="B23239" s="5" t="str">
        <f t="shared" si="1156"/>
        <v>ESTANTE CONSTRUIDOS EN LAMINAS METÁLICAS SOLIDAS, RESISTENTES Y ESTABLES CON TRATAMIENTO ANTICORROSIVO, CON 7 ENTREPAÑOS, DE 0.94 CMS DE ANCHO, CON ALTURA DE 2.20MTS Y CADA BANDEJA DEBE SOPORTAR UN PESO DE 100KG/MT LINEA</v>
      </c>
      <c r="C23239" s="6">
        <v>196350</v>
      </c>
      <c r="D23239" s="5" t="s">
        <v>583</v>
      </c>
      <c r="E23239" s="5" t="str">
        <f t="shared" si="1157"/>
        <v>ACTISALUD- CEGDOC-JEFETH DIONISETTY PUERTA FIGUEROA</v>
      </c>
      <c r="F23239" s="5"/>
      <c r="G23239" s="5"/>
    </row>
    <row r="23240" spans="1:7" ht="58.5" customHeight="1" x14ac:dyDescent="0.25">
      <c r="A23240" s="5" t="str">
        <f>"H0026139"</f>
        <v>H0026139</v>
      </c>
      <c r="B23240" s="5" t="str">
        <f t="shared" si="1156"/>
        <v>ESTANTE CONSTRUIDOS EN LAMINAS METÁLICAS SOLIDAS, RESISTENTES Y ESTABLES CON TRATAMIENTO ANTICORROSIVO, CON 7 ENTREPAÑOS, DE 0.94 CMS DE ANCHO, CON ALTURA DE 2.20MTS Y CADA BANDEJA DEBE SOPORTAR UN PESO DE 100KG/MT LINEA</v>
      </c>
      <c r="C23240" s="6">
        <v>196350</v>
      </c>
      <c r="D23240" s="5" t="s">
        <v>77</v>
      </c>
      <c r="E23240" s="5" t="str">
        <f t="shared" si="1157"/>
        <v>ACTISALUD- CEGDOC-JEFETH DIONISETTY PUERTA FIGUEROA</v>
      </c>
      <c r="F23240" s="5"/>
      <c r="G23240" s="5"/>
    </row>
    <row r="23241" spans="1:7" ht="58.5" customHeight="1" x14ac:dyDescent="0.25">
      <c r="A23241" s="5" t="str">
        <f>"H0026140"</f>
        <v>H0026140</v>
      </c>
      <c r="B23241" s="5" t="str">
        <f t="shared" si="1156"/>
        <v>ESTANTE CONSTRUIDOS EN LAMINAS METÁLICAS SOLIDAS, RESISTENTES Y ESTABLES CON TRATAMIENTO ANTICORROSIVO, CON 7 ENTREPAÑOS, DE 0.94 CMS DE ANCHO, CON ALTURA DE 2.20MTS Y CADA BANDEJA DEBE SOPORTAR UN PESO DE 100KG/MT LINEA</v>
      </c>
      <c r="C23241" s="6">
        <v>196350</v>
      </c>
      <c r="D23241" s="5" t="s">
        <v>915</v>
      </c>
      <c r="E23241" s="5" t="str">
        <f t="shared" si="1157"/>
        <v>ACTISALUD- CEGDOC-JEFETH DIONISETTY PUERTA FIGUEROA</v>
      </c>
      <c r="F23241" s="5"/>
      <c r="G23241" s="5"/>
    </row>
    <row r="23242" spans="1:7" ht="58.5" customHeight="1" x14ac:dyDescent="0.25">
      <c r="A23242" s="5" t="str">
        <f>"H0026141"</f>
        <v>H0026141</v>
      </c>
      <c r="B23242" s="5" t="str">
        <f t="shared" si="1156"/>
        <v>ESTANTE CONSTRUIDOS EN LAMINAS METÁLICAS SOLIDAS, RESISTENTES Y ESTABLES CON TRATAMIENTO ANTICORROSIVO, CON 7 ENTREPAÑOS, DE 0.94 CMS DE ANCHO, CON ALTURA DE 2.20MTS Y CADA BANDEJA DEBE SOPORTAR UN PESO DE 100KG/MT LINEA</v>
      </c>
      <c r="C23242" s="6">
        <v>196350</v>
      </c>
      <c r="D23242" s="5" t="s">
        <v>77</v>
      </c>
      <c r="E23242" s="5" t="str">
        <f t="shared" si="1157"/>
        <v>ACTISALUD- CEGDOC-JEFETH DIONISETTY PUERTA FIGUEROA</v>
      </c>
      <c r="F23242" s="5"/>
      <c r="G23242" s="5"/>
    </row>
    <row r="23243" spans="1:7" ht="58.5" customHeight="1" x14ac:dyDescent="0.25">
      <c r="A23243" s="5" t="str">
        <f>"H0026142"</f>
        <v>H0026142</v>
      </c>
      <c r="B23243" s="5" t="str">
        <f t="shared" si="1156"/>
        <v>ESTANTE CONSTRUIDOS EN LAMINAS METÁLICAS SOLIDAS, RESISTENTES Y ESTABLES CON TRATAMIENTO ANTICORROSIVO, CON 7 ENTREPAÑOS, DE 0.94 CMS DE ANCHO, CON ALTURA DE 2.20MTS Y CADA BANDEJA DEBE SOPORTAR UN PESO DE 100KG/MT LINEA</v>
      </c>
      <c r="C23243" s="6">
        <v>196350</v>
      </c>
      <c r="D23243" s="5" t="s">
        <v>77</v>
      </c>
      <c r="E23243" s="5" t="str">
        <f t="shared" si="1157"/>
        <v>ACTISALUD- CEGDOC-JEFETH DIONISETTY PUERTA FIGUEROA</v>
      </c>
      <c r="F23243" s="5"/>
      <c r="G23243" s="5"/>
    </row>
    <row r="23244" spans="1:7" ht="58.5" customHeight="1" x14ac:dyDescent="0.25">
      <c r="A23244" s="5" t="str">
        <f>"H0026143"</f>
        <v>H0026143</v>
      </c>
      <c r="B23244" s="5" t="str">
        <f t="shared" si="1156"/>
        <v>ESTANTE CONSTRUIDOS EN LAMINAS METÁLICAS SOLIDAS, RESISTENTES Y ESTABLES CON TRATAMIENTO ANTICORROSIVO, CON 7 ENTREPAÑOS, DE 0.94 CMS DE ANCHO, CON ALTURA DE 2.20MTS Y CADA BANDEJA DEBE SOPORTAR UN PESO DE 100KG/MT LINEA</v>
      </c>
      <c r="C23244" s="6">
        <v>196350</v>
      </c>
      <c r="D23244" s="5" t="s">
        <v>77</v>
      </c>
      <c r="E23244" s="5" t="str">
        <f t="shared" si="1157"/>
        <v>ACTISALUD- CEGDOC-JEFETH DIONISETTY PUERTA FIGUEROA</v>
      </c>
      <c r="F23244" s="5"/>
      <c r="G23244" s="5"/>
    </row>
    <row r="23245" spans="1:7" ht="58.5" customHeight="1" x14ac:dyDescent="0.25">
      <c r="A23245" s="5" t="str">
        <f>"H0026144"</f>
        <v>H0026144</v>
      </c>
      <c r="B23245" s="5" t="str">
        <f t="shared" si="1156"/>
        <v>ESTANTE CONSTRUIDOS EN LAMINAS METÁLICAS SOLIDAS, RESISTENTES Y ESTABLES CON TRATAMIENTO ANTICORROSIVO, CON 7 ENTREPAÑOS, DE 0.94 CMS DE ANCHO, CON ALTURA DE 2.20MTS Y CADA BANDEJA DEBE SOPORTAR UN PESO DE 100KG/MT LINEA</v>
      </c>
      <c r="C23245" s="6">
        <v>196350</v>
      </c>
      <c r="D23245" s="5" t="s">
        <v>77</v>
      </c>
      <c r="E23245" s="5" t="str">
        <f t="shared" si="1157"/>
        <v>ACTISALUD- CEGDOC-JEFETH DIONISETTY PUERTA FIGUEROA</v>
      </c>
      <c r="F23245" s="5"/>
      <c r="G23245" s="5"/>
    </row>
    <row r="23246" spans="1:7" ht="58.5" customHeight="1" x14ac:dyDescent="0.25">
      <c r="A23246" s="5" t="str">
        <f>"H0026145"</f>
        <v>H0026145</v>
      </c>
      <c r="B23246" s="5" t="str">
        <f t="shared" si="1156"/>
        <v>ESTANTE CONSTRUIDOS EN LAMINAS METÁLICAS SOLIDAS, RESISTENTES Y ESTABLES CON TRATAMIENTO ANTICORROSIVO, CON 7 ENTREPAÑOS, DE 0.94 CMS DE ANCHO, CON ALTURA DE 2.20MTS Y CADA BANDEJA DEBE SOPORTAR UN PESO DE 100KG/MT LINEA</v>
      </c>
      <c r="C23246" s="6">
        <v>196350</v>
      </c>
      <c r="D23246" s="5" t="s">
        <v>77</v>
      </c>
      <c r="E23246" s="5" t="str">
        <f t="shared" si="1157"/>
        <v>ACTISALUD- CEGDOC-JEFETH DIONISETTY PUERTA FIGUEROA</v>
      </c>
      <c r="F23246" s="5"/>
      <c r="G23246" s="5"/>
    </row>
    <row r="23247" spans="1:7" ht="58.5" customHeight="1" x14ac:dyDescent="0.25">
      <c r="A23247" s="5" t="str">
        <f>"H0026146"</f>
        <v>H0026146</v>
      </c>
      <c r="B23247" s="5" t="str">
        <f t="shared" si="1156"/>
        <v>ESTANTE CONSTRUIDOS EN LAMINAS METÁLICAS SOLIDAS, RESISTENTES Y ESTABLES CON TRATAMIENTO ANTICORROSIVO, CON 7 ENTREPAÑOS, DE 0.94 CMS DE ANCHO, CON ALTURA DE 2.20MTS Y CADA BANDEJA DEBE SOPORTAR UN PESO DE 100KG/MT LINEA</v>
      </c>
      <c r="C23247" s="6">
        <v>196350</v>
      </c>
      <c r="D23247" s="5" t="s">
        <v>77</v>
      </c>
      <c r="E23247" s="5" t="str">
        <f t="shared" si="1157"/>
        <v>ACTISALUD- CEGDOC-JEFETH DIONISETTY PUERTA FIGUEROA</v>
      </c>
      <c r="F23247" s="5"/>
      <c r="G23247" s="5"/>
    </row>
    <row r="23248" spans="1:7" ht="58.5" customHeight="1" x14ac:dyDescent="0.25">
      <c r="A23248" s="5" t="str">
        <f>"H0026147"</f>
        <v>H0026147</v>
      </c>
      <c r="B23248" s="5" t="str">
        <f t="shared" si="1156"/>
        <v>ESTANTE CONSTRUIDOS EN LAMINAS METÁLICAS SOLIDAS, RESISTENTES Y ESTABLES CON TRATAMIENTO ANTICORROSIVO, CON 7 ENTREPAÑOS, DE 0.94 CMS DE ANCHO, CON ALTURA DE 2.20MTS Y CADA BANDEJA DEBE SOPORTAR UN PESO DE 100KG/MT LINEA</v>
      </c>
      <c r="C23248" s="6">
        <v>196350</v>
      </c>
      <c r="D23248" s="5" t="s">
        <v>77</v>
      </c>
      <c r="E23248" s="5" t="str">
        <f t="shared" si="1157"/>
        <v>ACTISALUD- CEGDOC-JEFETH DIONISETTY PUERTA FIGUEROA</v>
      </c>
      <c r="F23248" s="5"/>
      <c r="G23248" s="5"/>
    </row>
    <row r="23249" spans="1:7" ht="58.5" customHeight="1" x14ac:dyDescent="0.25">
      <c r="A23249" s="5" t="str">
        <f>"H0026148"</f>
        <v>H0026148</v>
      </c>
      <c r="B23249" s="5" t="str">
        <f t="shared" si="1156"/>
        <v>ESTANTE CONSTRUIDOS EN LAMINAS METÁLICAS SOLIDAS, RESISTENTES Y ESTABLES CON TRATAMIENTO ANTICORROSIVO, CON 7 ENTREPAÑOS, DE 0.94 CMS DE ANCHO, CON ALTURA DE 2.20MTS Y CADA BANDEJA DEBE SOPORTAR UN PESO DE 100KG/MT LINEA</v>
      </c>
      <c r="C23249" s="6">
        <v>196350</v>
      </c>
      <c r="D23249" s="5" t="s">
        <v>77</v>
      </c>
      <c r="E23249" s="5" t="str">
        <f t="shared" si="1157"/>
        <v>ACTISALUD- CEGDOC-JEFETH DIONISETTY PUERTA FIGUEROA</v>
      </c>
      <c r="F23249" s="5"/>
      <c r="G23249" s="5"/>
    </row>
    <row r="23250" spans="1:7" ht="58.5" customHeight="1" x14ac:dyDescent="0.25">
      <c r="A23250" s="5" t="str">
        <f>"H0026149"</f>
        <v>H0026149</v>
      </c>
      <c r="B23250" s="5" t="str">
        <f t="shared" si="1156"/>
        <v>ESTANTE CONSTRUIDOS EN LAMINAS METÁLICAS SOLIDAS, RESISTENTES Y ESTABLES CON TRATAMIENTO ANTICORROSIVO, CON 7 ENTREPAÑOS, DE 0.94 CMS DE ANCHO, CON ALTURA DE 2.20MTS Y CADA BANDEJA DEBE SOPORTAR UN PESO DE 100KG/MT LINEA</v>
      </c>
      <c r="C23250" s="6">
        <v>196350</v>
      </c>
      <c r="D23250" s="5" t="s">
        <v>77</v>
      </c>
      <c r="E23250" s="5" t="str">
        <f t="shared" si="1157"/>
        <v>ACTISALUD- CEGDOC-JEFETH DIONISETTY PUERTA FIGUEROA</v>
      </c>
      <c r="F23250" s="5"/>
      <c r="G23250" s="5"/>
    </row>
    <row r="23251" spans="1:7" ht="58.5" customHeight="1" x14ac:dyDescent="0.25">
      <c r="A23251" s="5" t="str">
        <f>"H0026150"</f>
        <v>H0026150</v>
      </c>
      <c r="B23251" s="5" t="str">
        <f t="shared" si="1156"/>
        <v>ESTANTE CONSTRUIDOS EN LAMINAS METÁLICAS SOLIDAS, RESISTENTES Y ESTABLES CON TRATAMIENTO ANTICORROSIVO, CON 7 ENTREPAÑOS, DE 0.94 CMS DE ANCHO, CON ALTURA DE 2.20MTS Y CADA BANDEJA DEBE SOPORTAR UN PESO DE 100KG/MT LINEA</v>
      </c>
      <c r="C23251" s="6">
        <v>196350</v>
      </c>
      <c r="D23251" s="5" t="s">
        <v>77</v>
      </c>
      <c r="E23251" s="5" t="str">
        <f t="shared" si="1157"/>
        <v>ACTISALUD- CEGDOC-JEFETH DIONISETTY PUERTA FIGUEROA</v>
      </c>
      <c r="F23251" s="5"/>
      <c r="G23251" s="5"/>
    </row>
    <row r="23252" spans="1:7" ht="58.5" customHeight="1" x14ac:dyDescent="0.25">
      <c r="A23252" s="5" t="str">
        <f>"H0026151"</f>
        <v>H0026151</v>
      </c>
      <c r="B23252" s="5" t="str">
        <f t="shared" si="1156"/>
        <v>ESTANTE CONSTRUIDOS EN LAMINAS METÁLICAS SOLIDAS, RESISTENTES Y ESTABLES CON TRATAMIENTO ANTICORROSIVO, CON 7 ENTREPAÑOS, DE 0.94 CMS DE ANCHO, CON ALTURA DE 2.20MTS Y CADA BANDEJA DEBE SOPORTAR UN PESO DE 100KG/MT LINEA</v>
      </c>
      <c r="C23252" s="6">
        <v>196350</v>
      </c>
      <c r="D23252" s="5" t="s">
        <v>77</v>
      </c>
      <c r="E23252" s="5" t="str">
        <f t="shared" si="1157"/>
        <v>ACTISALUD- CEGDOC-JEFETH DIONISETTY PUERTA FIGUEROA</v>
      </c>
      <c r="F23252" s="5"/>
      <c r="G23252" s="5"/>
    </row>
    <row r="23253" spans="1:7" ht="58.5" customHeight="1" x14ac:dyDescent="0.25">
      <c r="A23253" s="5" t="str">
        <f>"H0026152"</f>
        <v>H0026152</v>
      </c>
      <c r="B23253" s="5" t="str">
        <f t="shared" si="1156"/>
        <v>ESTANTE CONSTRUIDOS EN LAMINAS METÁLICAS SOLIDAS, RESISTENTES Y ESTABLES CON TRATAMIENTO ANTICORROSIVO, CON 7 ENTREPAÑOS, DE 0.94 CMS DE ANCHO, CON ALTURA DE 2.20MTS Y CADA BANDEJA DEBE SOPORTAR UN PESO DE 100KG/MT LINEA</v>
      </c>
      <c r="C23253" s="6">
        <v>196350</v>
      </c>
      <c r="D23253" s="5" t="s">
        <v>77</v>
      </c>
      <c r="E23253" s="5" t="str">
        <f t="shared" si="1157"/>
        <v>ACTISALUD- CEGDOC-JEFETH DIONISETTY PUERTA FIGUEROA</v>
      </c>
      <c r="F23253" s="5"/>
      <c r="G23253" s="5"/>
    </row>
    <row r="23254" spans="1:7" ht="58.5" customHeight="1" x14ac:dyDescent="0.25">
      <c r="A23254" s="5" t="str">
        <f>"H0026155"</f>
        <v>H0026155</v>
      </c>
      <c r="B23254" s="5" t="str">
        <f t="shared" si="1156"/>
        <v>ESTANTE CONSTRUIDOS EN LAMINAS METÁLICAS SOLIDAS, RESISTENTES Y ESTABLES CON TRATAMIENTO ANTICORROSIVO, CON 7 ENTREPAÑOS, DE 0.94 CMS DE ANCHO, CON ALTURA DE 2.20MTS Y CADA BANDEJA DEBE SOPORTAR UN PESO DE 100KG/MT LINEA</v>
      </c>
      <c r="C23254" s="6">
        <v>196350</v>
      </c>
      <c r="D23254" s="5" t="s">
        <v>77</v>
      </c>
      <c r="E23254" s="5" t="str">
        <f t="shared" si="1157"/>
        <v>ACTISALUD- CEGDOC-JEFETH DIONISETTY PUERTA FIGUEROA</v>
      </c>
      <c r="F23254" s="5"/>
      <c r="G23254" s="5"/>
    </row>
    <row r="23255" spans="1:7" ht="58.5" customHeight="1" x14ac:dyDescent="0.25">
      <c r="A23255" s="5" t="str">
        <f>"H0026156"</f>
        <v>H0026156</v>
      </c>
      <c r="B23255" s="5" t="str">
        <f t="shared" si="1156"/>
        <v>ESTANTE CONSTRUIDOS EN LAMINAS METÁLICAS SOLIDAS, RESISTENTES Y ESTABLES CON TRATAMIENTO ANTICORROSIVO, CON 7 ENTREPAÑOS, DE 0.94 CMS DE ANCHO, CON ALTURA DE 2.20MTS Y CADA BANDEJA DEBE SOPORTAR UN PESO DE 100KG/MT LINEA</v>
      </c>
      <c r="C23255" s="6">
        <v>196350</v>
      </c>
      <c r="D23255" s="5" t="s">
        <v>77</v>
      </c>
      <c r="E23255" s="5" t="str">
        <f t="shared" si="1157"/>
        <v>ACTISALUD- CEGDOC-JEFETH DIONISETTY PUERTA FIGUEROA</v>
      </c>
      <c r="F23255" s="5"/>
      <c r="G23255" s="5"/>
    </row>
    <row r="23256" spans="1:7" ht="58.5" customHeight="1" x14ac:dyDescent="0.25">
      <c r="A23256" s="5" t="str">
        <f>"H0026158"</f>
        <v>H0026158</v>
      </c>
      <c r="B23256" s="5" t="str">
        <f t="shared" si="1156"/>
        <v>ESTANTE CONSTRUIDOS EN LAMINAS METÁLICAS SOLIDAS, RESISTENTES Y ESTABLES CON TRATAMIENTO ANTICORROSIVO, CON 7 ENTREPAÑOS, DE 0.94 CMS DE ANCHO, CON ALTURA DE 2.20MTS Y CADA BANDEJA DEBE SOPORTAR UN PESO DE 100KG/MT LINEA</v>
      </c>
      <c r="C23256" s="6">
        <v>196350</v>
      </c>
      <c r="D23256" s="5" t="s">
        <v>77</v>
      </c>
      <c r="E23256" s="5" t="str">
        <f t="shared" si="1157"/>
        <v>ACTISALUD- CEGDOC-JEFETH DIONISETTY PUERTA FIGUEROA</v>
      </c>
      <c r="F23256" s="5"/>
      <c r="G23256" s="5"/>
    </row>
    <row r="23257" spans="1:7" ht="58.5" customHeight="1" x14ac:dyDescent="0.25">
      <c r="A23257" s="5" t="str">
        <f>"H0026159"</f>
        <v>H0026159</v>
      </c>
      <c r="B23257" s="5" t="str">
        <f t="shared" ref="B23257:B23320" si="1158">"ESTANTE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257" s="6">
        <v>196350</v>
      </c>
      <c r="D23257" s="5" t="s">
        <v>77</v>
      </c>
      <c r="E23257" s="5" t="str">
        <f t="shared" si="1157"/>
        <v>ACTISALUD- CEGDOC-JEFETH DIONISETTY PUERTA FIGUEROA</v>
      </c>
      <c r="F23257" s="5"/>
      <c r="G23257" s="5"/>
    </row>
    <row r="23258" spans="1:7" ht="58.5" customHeight="1" x14ac:dyDescent="0.25">
      <c r="A23258" s="5" t="str">
        <f>"H0026160"</f>
        <v>H0026160</v>
      </c>
      <c r="B23258" s="5" t="str">
        <f t="shared" si="1158"/>
        <v>ESTANTE CONSTRUIDOS EN LAMINAS METÁLICAS SOLIDAS, RESISTENTES Y ESTABLES CON TRATAMIENTO ANTICORROSIVO, CON 7 ENTREPAÑOS, DE 0.94 CMS DE ANCHO, CON ALTURA DE 2.20MTS Y CADA BANDEJA DEBE SOPORTAR UN PESO DE 100KG/MT LINEA</v>
      </c>
      <c r="C23258" s="6">
        <v>196350</v>
      </c>
      <c r="D23258" s="5" t="s">
        <v>77</v>
      </c>
      <c r="E23258" s="5" t="str">
        <f t="shared" si="1157"/>
        <v>ACTISALUD- CEGDOC-JEFETH DIONISETTY PUERTA FIGUEROA</v>
      </c>
      <c r="F23258" s="5"/>
      <c r="G23258" s="5"/>
    </row>
    <row r="23259" spans="1:7" ht="58.5" customHeight="1" x14ac:dyDescent="0.25">
      <c r="A23259" s="5" t="str">
        <f>"H0026161"</f>
        <v>H0026161</v>
      </c>
      <c r="B23259" s="5" t="str">
        <f t="shared" si="1158"/>
        <v>ESTANTE CONSTRUIDOS EN LAMINAS METÁLICAS SOLIDAS, RESISTENTES Y ESTABLES CON TRATAMIENTO ANTICORROSIVO, CON 7 ENTREPAÑOS, DE 0.94 CMS DE ANCHO, CON ALTURA DE 2.20MTS Y CADA BANDEJA DEBE SOPORTAR UN PESO DE 100KG/MT LINEA</v>
      </c>
      <c r="C23259" s="6">
        <v>196350</v>
      </c>
      <c r="D23259" s="5" t="s">
        <v>77</v>
      </c>
      <c r="E23259" s="5" t="str">
        <f t="shared" si="1157"/>
        <v>ACTISALUD- CEGDOC-JEFETH DIONISETTY PUERTA FIGUEROA</v>
      </c>
      <c r="F23259" s="5"/>
      <c r="G23259" s="5"/>
    </row>
    <row r="23260" spans="1:7" ht="58.5" customHeight="1" x14ac:dyDescent="0.25">
      <c r="A23260" s="5" t="str">
        <f>"H0026162"</f>
        <v>H0026162</v>
      </c>
      <c r="B23260" s="5" t="str">
        <f t="shared" si="1158"/>
        <v>ESTANTE CONSTRUIDOS EN LAMINAS METÁLICAS SOLIDAS, RESISTENTES Y ESTABLES CON TRATAMIENTO ANTICORROSIVO, CON 7 ENTREPAÑOS, DE 0.94 CMS DE ANCHO, CON ALTURA DE 2.20MTS Y CADA BANDEJA DEBE SOPORTAR UN PESO DE 100KG/MT LINEA</v>
      </c>
      <c r="C23260" s="6">
        <v>196350</v>
      </c>
      <c r="D23260" s="5" t="s">
        <v>77</v>
      </c>
      <c r="E23260" s="5" t="str">
        <f t="shared" si="1157"/>
        <v>ACTISALUD- CEGDOC-JEFETH DIONISETTY PUERTA FIGUEROA</v>
      </c>
      <c r="F23260" s="5"/>
      <c r="G23260" s="5"/>
    </row>
    <row r="23261" spans="1:7" ht="58.5" customHeight="1" x14ac:dyDescent="0.25">
      <c r="A23261" s="5" t="str">
        <f>"H0026163"</f>
        <v>H0026163</v>
      </c>
      <c r="B23261" s="5" t="str">
        <f t="shared" si="1158"/>
        <v>ESTANTE CONSTRUIDOS EN LAMINAS METÁLICAS SOLIDAS, RESISTENTES Y ESTABLES CON TRATAMIENTO ANTICORROSIVO, CON 7 ENTREPAÑOS, DE 0.94 CMS DE ANCHO, CON ALTURA DE 2.20MTS Y CADA BANDEJA DEBE SOPORTAR UN PESO DE 100KG/MT LINEA</v>
      </c>
      <c r="C23261" s="6">
        <v>196350</v>
      </c>
      <c r="D23261" s="5" t="s">
        <v>77</v>
      </c>
      <c r="E23261" s="5" t="str">
        <f t="shared" si="1157"/>
        <v>ACTISALUD- CEGDOC-JEFETH DIONISETTY PUERTA FIGUEROA</v>
      </c>
      <c r="F23261" s="5"/>
      <c r="G23261" s="5"/>
    </row>
    <row r="23262" spans="1:7" ht="58.5" customHeight="1" x14ac:dyDescent="0.25">
      <c r="A23262" s="5" t="str">
        <f>"H0026164"</f>
        <v>H0026164</v>
      </c>
      <c r="B23262" s="5" t="str">
        <f t="shared" si="1158"/>
        <v>ESTANTE CONSTRUIDOS EN LAMINAS METÁLICAS SOLIDAS, RESISTENTES Y ESTABLES CON TRATAMIENTO ANTICORROSIVO, CON 7 ENTREPAÑOS, DE 0.94 CMS DE ANCHO, CON ALTURA DE 2.20MTS Y CADA BANDEJA DEBE SOPORTAR UN PESO DE 100KG/MT LINEA</v>
      </c>
      <c r="C23262" s="6">
        <v>196350</v>
      </c>
      <c r="D23262" s="5" t="s">
        <v>77</v>
      </c>
      <c r="E23262" s="5" t="str">
        <f t="shared" si="1157"/>
        <v>ACTISALUD- CEGDOC-JEFETH DIONISETTY PUERTA FIGUEROA</v>
      </c>
      <c r="F23262" s="5"/>
      <c r="G23262" s="5"/>
    </row>
    <row r="23263" spans="1:7" ht="58.5" customHeight="1" x14ac:dyDescent="0.25">
      <c r="A23263" s="5" t="str">
        <f>"H0026165"</f>
        <v>H0026165</v>
      </c>
      <c r="B23263" s="5" t="str">
        <f t="shared" si="1158"/>
        <v>ESTANTE CONSTRUIDOS EN LAMINAS METÁLICAS SOLIDAS, RESISTENTES Y ESTABLES CON TRATAMIENTO ANTICORROSIVO, CON 7 ENTREPAÑOS, DE 0.94 CMS DE ANCHO, CON ALTURA DE 2.20MTS Y CADA BANDEJA DEBE SOPORTAR UN PESO DE 100KG/MT LINEA</v>
      </c>
      <c r="C23263" s="6">
        <v>196350</v>
      </c>
      <c r="D23263" s="5" t="s">
        <v>77</v>
      </c>
      <c r="E23263" s="5" t="str">
        <f t="shared" si="1157"/>
        <v>ACTISALUD- CEGDOC-JEFETH DIONISETTY PUERTA FIGUEROA</v>
      </c>
      <c r="F23263" s="5"/>
      <c r="G23263" s="5"/>
    </row>
    <row r="23264" spans="1:7" ht="58.5" customHeight="1" x14ac:dyDescent="0.25">
      <c r="A23264" s="5" t="str">
        <f>"H0026166"</f>
        <v>H0026166</v>
      </c>
      <c r="B23264" s="5" t="str">
        <f t="shared" si="1158"/>
        <v>ESTANTE CONSTRUIDOS EN LAMINAS METÁLICAS SOLIDAS, RESISTENTES Y ESTABLES CON TRATAMIENTO ANTICORROSIVO, CON 7 ENTREPAÑOS, DE 0.94 CMS DE ANCHO, CON ALTURA DE 2.20MTS Y CADA BANDEJA DEBE SOPORTAR UN PESO DE 100KG/MT LINEA</v>
      </c>
      <c r="C23264" s="6">
        <v>196350</v>
      </c>
      <c r="D23264" s="5" t="s">
        <v>77</v>
      </c>
      <c r="E23264" s="5" t="str">
        <f t="shared" si="1157"/>
        <v>ACTISALUD- CEGDOC-JEFETH DIONISETTY PUERTA FIGUEROA</v>
      </c>
      <c r="F23264" s="5"/>
      <c r="G23264" s="5"/>
    </row>
    <row r="23265" spans="1:7" ht="58.5" customHeight="1" x14ac:dyDescent="0.25">
      <c r="A23265" s="5" t="str">
        <f>"H0026167"</f>
        <v>H0026167</v>
      </c>
      <c r="B23265" s="5" t="str">
        <f t="shared" si="1158"/>
        <v>ESTANTE CONSTRUIDOS EN LAMINAS METÁLICAS SOLIDAS, RESISTENTES Y ESTABLES CON TRATAMIENTO ANTICORROSIVO, CON 7 ENTREPAÑOS, DE 0.94 CMS DE ANCHO, CON ALTURA DE 2.20MTS Y CADA BANDEJA DEBE SOPORTAR UN PESO DE 100KG/MT LINEA</v>
      </c>
      <c r="C23265" s="6">
        <v>196350</v>
      </c>
      <c r="D23265" s="5" t="s">
        <v>77</v>
      </c>
      <c r="E23265" s="5" t="str">
        <f t="shared" si="1157"/>
        <v>ACTISALUD- CEGDOC-JEFETH DIONISETTY PUERTA FIGUEROA</v>
      </c>
      <c r="F23265" s="5"/>
      <c r="G23265" s="5"/>
    </row>
    <row r="23266" spans="1:7" ht="58.5" customHeight="1" x14ac:dyDescent="0.25">
      <c r="A23266" s="5" t="str">
        <f>"H0026169"</f>
        <v>H0026169</v>
      </c>
      <c r="B23266" s="5" t="str">
        <f t="shared" si="1158"/>
        <v>ESTANTE CONSTRUIDOS EN LAMINAS METÁLICAS SOLIDAS, RESISTENTES Y ESTABLES CON TRATAMIENTO ANTICORROSIVO, CON 7 ENTREPAÑOS, DE 0.94 CMS DE ANCHO, CON ALTURA DE 2.20MTS Y CADA BANDEJA DEBE SOPORTAR UN PESO DE 100KG/MT LINEA</v>
      </c>
      <c r="C23266" s="6">
        <v>196350</v>
      </c>
      <c r="D23266" s="5" t="s">
        <v>77</v>
      </c>
      <c r="E23266" s="5" t="str">
        <f t="shared" ref="E23266:E23329" si="1159">"ACTISALUD- CEGDOC-JEFETH DIONISETTY PUERTA FIGUEROA"</f>
        <v>ACTISALUD- CEGDOC-JEFETH DIONISETTY PUERTA FIGUEROA</v>
      </c>
      <c r="F23266" s="5"/>
      <c r="G23266" s="5"/>
    </row>
    <row r="23267" spans="1:7" ht="58.5" customHeight="1" x14ac:dyDescent="0.25">
      <c r="A23267" s="5" t="str">
        <f>"H0026170"</f>
        <v>H0026170</v>
      </c>
      <c r="B23267" s="5" t="str">
        <f t="shared" si="1158"/>
        <v>ESTANTE CONSTRUIDOS EN LAMINAS METÁLICAS SOLIDAS, RESISTENTES Y ESTABLES CON TRATAMIENTO ANTICORROSIVO, CON 7 ENTREPAÑOS, DE 0.94 CMS DE ANCHO, CON ALTURA DE 2.20MTS Y CADA BANDEJA DEBE SOPORTAR UN PESO DE 100KG/MT LINEA</v>
      </c>
      <c r="C23267" s="6">
        <v>196350</v>
      </c>
      <c r="D23267" s="5" t="s">
        <v>77</v>
      </c>
      <c r="E23267" s="5" t="str">
        <f t="shared" si="1159"/>
        <v>ACTISALUD- CEGDOC-JEFETH DIONISETTY PUERTA FIGUEROA</v>
      </c>
      <c r="F23267" s="5"/>
      <c r="G23267" s="5"/>
    </row>
    <row r="23268" spans="1:7" ht="58.5" customHeight="1" x14ac:dyDescent="0.25">
      <c r="A23268" s="5" t="str">
        <f>"H0026171"</f>
        <v>H0026171</v>
      </c>
      <c r="B23268" s="5" t="str">
        <f t="shared" si="1158"/>
        <v>ESTANTE CONSTRUIDOS EN LAMINAS METÁLICAS SOLIDAS, RESISTENTES Y ESTABLES CON TRATAMIENTO ANTICORROSIVO, CON 7 ENTREPAÑOS, DE 0.94 CMS DE ANCHO, CON ALTURA DE 2.20MTS Y CADA BANDEJA DEBE SOPORTAR UN PESO DE 100KG/MT LINEA</v>
      </c>
      <c r="C23268" s="6">
        <v>196350</v>
      </c>
      <c r="D23268" s="5" t="s">
        <v>77</v>
      </c>
      <c r="E23268" s="5" t="str">
        <f t="shared" si="1159"/>
        <v>ACTISALUD- CEGDOC-JEFETH DIONISETTY PUERTA FIGUEROA</v>
      </c>
      <c r="F23268" s="5"/>
      <c r="G23268" s="5"/>
    </row>
    <row r="23269" spans="1:7" ht="58.5" customHeight="1" x14ac:dyDescent="0.25">
      <c r="A23269" s="5" t="str">
        <f>"H0026172"</f>
        <v>H0026172</v>
      </c>
      <c r="B23269" s="5" t="str">
        <f t="shared" si="1158"/>
        <v>ESTANTE CONSTRUIDOS EN LAMINAS METÁLICAS SOLIDAS, RESISTENTES Y ESTABLES CON TRATAMIENTO ANTICORROSIVO, CON 7 ENTREPAÑOS, DE 0.94 CMS DE ANCHO, CON ALTURA DE 2.20MTS Y CADA BANDEJA DEBE SOPORTAR UN PESO DE 100KG/MT LINEA</v>
      </c>
      <c r="C23269" s="6">
        <v>196350</v>
      </c>
      <c r="D23269" s="5" t="s">
        <v>77</v>
      </c>
      <c r="E23269" s="5" t="str">
        <f t="shared" si="1159"/>
        <v>ACTISALUD- CEGDOC-JEFETH DIONISETTY PUERTA FIGUEROA</v>
      </c>
      <c r="F23269" s="5"/>
      <c r="G23269" s="5"/>
    </row>
    <row r="23270" spans="1:7" ht="58.5" customHeight="1" x14ac:dyDescent="0.25">
      <c r="A23270" s="5" t="str">
        <f>"H0026173"</f>
        <v>H0026173</v>
      </c>
      <c r="B23270" s="5" t="str">
        <f t="shared" si="1158"/>
        <v>ESTANTE CONSTRUIDOS EN LAMINAS METÁLICAS SOLIDAS, RESISTENTES Y ESTABLES CON TRATAMIENTO ANTICORROSIVO, CON 7 ENTREPAÑOS, DE 0.94 CMS DE ANCHO, CON ALTURA DE 2.20MTS Y CADA BANDEJA DEBE SOPORTAR UN PESO DE 100KG/MT LINEA</v>
      </c>
      <c r="C23270" s="6">
        <v>196350</v>
      </c>
      <c r="D23270" s="5" t="s">
        <v>77</v>
      </c>
      <c r="E23270" s="5" t="str">
        <f t="shared" si="1159"/>
        <v>ACTISALUD- CEGDOC-JEFETH DIONISETTY PUERTA FIGUEROA</v>
      </c>
      <c r="F23270" s="5"/>
      <c r="G23270" s="5"/>
    </row>
    <row r="23271" spans="1:7" ht="58.5" customHeight="1" x14ac:dyDescent="0.25">
      <c r="A23271" s="5" t="str">
        <f>"H0026175"</f>
        <v>H0026175</v>
      </c>
      <c r="B23271" s="5" t="str">
        <f t="shared" si="1158"/>
        <v>ESTANTE CONSTRUIDOS EN LAMINAS METÁLICAS SOLIDAS, RESISTENTES Y ESTABLES CON TRATAMIENTO ANTICORROSIVO, CON 7 ENTREPAÑOS, DE 0.94 CMS DE ANCHO, CON ALTURA DE 2.20MTS Y CADA BANDEJA DEBE SOPORTAR UN PESO DE 100KG/MT LINEA</v>
      </c>
      <c r="C23271" s="6">
        <v>196350</v>
      </c>
      <c r="D23271" s="5" t="s">
        <v>77</v>
      </c>
      <c r="E23271" s="5" t="str">
        <f t="shared" si="1159"/>
        <v>ACTISALUD- CEGDOC-JEFETH DIONISETTY PUERTA FIGUEROA</v>
      </c>
      <c r="F23271" s="5"/>
      <c r="G23271" s="5"/>
    </row>
    <row r="23272" spans="1:7" ht="58.5" customHeight="1" x14ac:dyDescent="0.25">
      <c r="A23272" s="5" t="str">
        <f>"H0026176"</f>
        <v>H0026176</v>
      </c>
      <c r="B23272" s="5" t="str">
        <f t="shared" si="1158"/>
        <v>ESTANTE CONSTRUIDOS EN LAMINAS METÁLICAS SOLIDAS, RESISTENTES Y ESTABLES CON TRATAMIENTO ANTICORROSIVO, CON 7 ENTREPAÑOS, DE 0.94 CMS DE ANCHO, CON ALTURA DE 2.20MTS Y CADA BANDEJA DEBE SOPORTAR UN PESO DE 100KG/MT LINEA</v>
      </c>
      <c r="C23272" s="6">
        <v>196350</v>
      </c>
      <c r="D23272" s="5" t="s">
        <v>77</v>
      </c>
      <c r="E23272" s="5" t="str">
        <f t="shared" si="1159"/>
        <v>ACTISALUD- CEGDOC-JEFETH DIONISETTY PUERTA FIGUEROA</v>
      </c>
      <c r="F23272" s="5"/>
      <c r="G23272" s="5"/>
    </row>
    <row r="23273" spans="1:7" ht="58.5" customHeight="1" x14ac:dyDescent="0.25">
      <c r="A23273" s="5" t="str">
        <f>"H0026190"</f>
        <v>H0026190</v>
      </c>
      <c r="B23273" s="5" t="str">
        <f t="shared" si="1158"/>
        <v>ESTANTE CONSTRUIDOS EN LAMINAS METÁLICAS SOLIDAS, RESISTENTES Y ESTABLES CON TRATAMIENTO ANTICORROSIVO, CON 7 ENTREPAÑOS, DE 0.94 CMS DE ANCHO, CON ALTURA DE 2.20MTS Y CADA BANDEJA DEBE SOPORTAR UN PESO DE 100KG/MT LINEA</v>
      </c>
      <c r="C23273" s="6">
        <v>196350</v>
      </c>
      <c r="D23273" s="5" t="s">
        <v>77</v>
      </c>
      <c r="E23273" s="5" t="str">
        <f t="shared" si="1159"/>
        <v>ACTISALUD- CEGDOC-JEFETH DIONISETTY PUERTA FIGUEROA</v>
      </c>
      <c r="F23273" s="5"/>
      <c r="G23273" s="5"/>
    </row>
    <row r="23274" spans="1:7" ht="58.5" customHeight="1" x14ac:dyDescent="0.25">
      <c r="A23274" s="5" t="str">
        <f>"H0026198"</f>
        <v>H0026198</v>
      </c>
      <c r="B23274" s="5" t="str">
        <f t="shared" si="1158"/>
        <v>ESTANTE CONSTRUIDOS EN LAMINAS METÁLICAS SOLIDAS, RESISTENTES Y ESTABLES CON TRATAMIENTO ANTICORROSIVO, CON 7 ENTREPAÑOS, DE 0.94 CMS DE ANCHO, CON ALTURA DE 2.20MTS Y CADA BANDEJA DEBE SOPORTAR UN PESO DE 100KG/MT LINEA</v>
      </c>
      <c r="C23274" s="6">
        <v>196350</v>
      </c>
      <c r="D23274" s="5" t="s">
        <v>77</v>
      </c>
      <c r="E23274" s="5" t="str">
        <f t="shared" si="1159"/>
        <v>ACTISALUD- CEGDOC-JEFETH DIONISETTY PUERTA FIGUEROA</v>
      </c>
      <c r="F23274" s="5"/>
      <c r="G23274" s="5"/>
    </row>
    <row r="23275" spans="1:7" ht="58.5" customHeight="1" x14ac:dyDescent="0.25">
      <c r="A23275" s="5" t="str">
        <f>"H0026199"</f>
        <v>H0026199</v>
      </c>
      <c r="B23275" s="5" t="str">
        <f t="shared" si="1158"/>
        <v>ESTANTE CONSTRUIDOS EN LAMINAS METÁLICAS SOLIDAS, RESISTENTES Y ESTABLES CON TRATAMIENTO ANTICORROSIVO, CON 7 ENTREPAÑOS, DE 0.94 CMS DE ANCHO, CON ALTURA DE 2.20MTS Y CADA BANDEJA DEBE SOPORTAR UN PESO DE 100KG/MT LINEA</v>
      </c>
      <c r="C23275" s="6">
        <v>196350</v>
      </c>
      <c r="D23275" s="5" t="s">
        <v>77</v>
      </c>
      <c r="E23275" s="5" t="str">
        <f t="shared" si="1159"/>
        <v>ACTISALUD- CEGDOC-JEFETH DIONISETTY PUERTA FIGUEROA</v>
      </c>
      <c r="F23275" s="5"/>
      <c r="G23275" s="5"/>
    </row>
    <row r="23276" spans="1:7" ht="58.5" customHeight="1" x14ac:dyDescent="0.25">
      <c r="A23276" s="5" t="str">
        <f>"H0026202"</f>
        <v>H0026202</v>
      </c>
      <c r="B23276" s="5" t="str">
        <f t="shared" si="1158"/>
        <v>ESTANTE CONSTRUIDOS EN LAMINAS METÁLICAS SOLIDAS, RESISTENTES Y ESTABLES CON TRATAMIENTO ANTICORROSIVO, CON 7 ENTREPAÑOS, DE 0.94 CMS DE ANCHO, CON ALTURA DE 2.20MTS Y CADA BANDEJA DEBE SOPORTAR UN PESO DE 100KG/MT LINEA</v>
      </c>
      <c r="C23276" s="6">
        <v>196350</v>
      </c>
      <c r="D23276" s="5" t="s">
        <v>77</v>
      </c>
      <c r="E23276" s="5" t="str">
        <f t="shared" si="1159"/>
        <v>ACTISALUD- CEGDOC-JEFETH DIONISETTY PUERTA FIGUEROA</v>
      </c>
      <c r="F23276" s="5"/>
      <c r="G23276" s="5"/>
    </row>
    <row r="23277" spans="1:7" ht="58.5" customHeight="1" x14ac:dyDescent="0.25">
      <c r="A23277" s="5" t="str">
        <f>"H0026205"</f>
        <v>H0026205</v>
      </c>
      <c r="B23277" s="5" t="str">
        <f t="shared" si="1158"/>
        <v>ESTANTE CONSTRUIDOS EN LAMINAS METÁLICAS SOLIDAS, RESISTENTES Y ESTABLES CON TRATAMIENTO ANTICORROSIVO, CON 7 ENTREPAÑOS, DE 0.94 CMS DE ANCHO, CON ALTURA DE 2.20MTS Y CADA BANDEJA DEBE SOPORTAR UN PESO DE 100KG/MT LINEA</v>
      </c>
      <c r="C23277" s="6">
        <v>196350</v>
      </c>
      <c r="D23277" s="5" t="s">
        <v>77</v>
      </c>
      <c r="E23277" s="5" t="str">
        <f t="shared" si="1159"/>
        <v>ACTISALUD- CEGDOC-JEFETH DIONISETTY PUERTA FIGUEROA</v>
      </c>
      <c r="F23277" s="5"/>
      <c r="G23277" s="5"/>
    </row>
    <row r="23278" spans="1:7" ht="58.5" customHeight="1" x14ac:dyDescent="0.25">
      <c r="A23278" s="5" t="str">
        <f>"H0026210"</f>
        <v>H0026210</v>
      </c>
      <c r="B23278" s="5" t="str">
        <f t="shared" si="1158"/>
        <v>ESTANTE CONSTRUIDOS EN LAMINAS METÁLICAS SOLIDAS, RESISTENTES Y ESTABLES CON TRATAMIENTO ANTICORROSIVO, CON 7 ENTREPAÑOS, DE 0.94 CMS DE ANCHO, CON ALTURA DE 2.20MTS Y CADA BANDEJA DEBE SOPORTAR UN PESO DE 100KG/MT LINEA</v>
      </c>
      <c r="C23278" s="6">
        <v>196350</v>
      </c>
      <c r="D23278" s="5" t="s">
        <v>77</v>
      </c>
      <c r="E23278" s="5" t="str">
        <f t="shared" si="1159"/>
        <v>ACTISALUD- CEGDOC-JEFETH DIONISETTY PUERTA FIGUEROA</v>
      </c>
      <c r="F23278" s="5"/>
      <c r="G23278" s="5"/>
    </row>
    <row r="23279" spans="1:7" ht="58.5" customHeight="1" x14ac:dyDescent="0.25">
      <c r="A23279" s="5" t="str">
        <f>"H0026211"</f>
        <v>H0026211</v>
      </c>
      <c r="B23279" s="5" t="str">
        <f t="shared" si="1158"/>
        <v>ESTANTE CONSTRUIDOS EN LAMINAS METÁLICAS SOLIDAS, RESISTENTES Y ESTABLES CON TRATAMIENTO ANTICORROSIVO, CON 7 ENTREPAÑOS, DE 0.94 CMS DE ANCHO, CON ALTURA DE 2.20MTS Y CADA BANDEJA DEBE SOPORTAR UN PESO DE 100KG/MT LINEA</v>
      </c>
      <c r="C23279" s="6">
        <v>196350</v>
      </c>
      <c r="D23279" s="5" t="s">
        <v>77</v>
      </c>
      <c r="E23279" s="5" t="str">
        <f t="shared" si="1159"/>
        <v>ACTISALUD- CEGDOC-JEFETH DIONISETTY PUERTA FIGUEROA</v>
      </c>
      <c r="F23279" s="5"/>
      <c r="G23279" s="5"/>
    </row>
    <row r="23280" spans="1:7" ht="58.5" customHeight="1" x14ac:dyDescent="0.25">
      <c r="A23280" s="5" t="str">
        <f>"H0026212"</f>
        <v>H0026212</v>
      </c>
      <c r="B23280" s="5" t="str">
        <f t="shared" si="1158"/>
        <v>ESTANTE CONSTRUIDOS EN LAMINAS METÁLICAS SOLIDAS, RESISTENTES Y ESTABLES CON TRATAMIENTO ANTICORROSIVO, CON 7 ENTREPAÑOS, DE 0.94 CMS DE ANCHO, CON ALTURA DE 2.20MTS Y CADA BANDEJA DEBE SOPORTAR UN PESO DE 100KG/MT LINEA</v>
      </c>
      <c r="C23280" s="6">
        <v>196350</v>
      </c>
      <c r="D23280" s="5" t="s">
        <v>77</v>
      </c>
      <c r="E23280" s="5" t="str">
        <f t="shared" si="1159"/>
        <v>ACTISALUD- CEGDOC-JEFETH DIONISETTY PUERTA FIGUEROA</v>
      </c>
      <c r="F23280" s="5"/>
      <c r="G23280" s="5"/>
    </row>
    <row r="23281" spans="1:7" ht="58.5" customHeight="1" x14ac:dyDescent="0.25">
      <c r="A23281" s="5" t="str">
        <f>"H0026213"</f>
        <v>H0026213</v>
      </c>
      <c r="B23281" s="5" t="str">
        <f t="shared" si="1158"/>
        <v>ESTANTE CONSTRUIDOS EN LAMINAS METÁLICAS SOLIDAS, RESISTENTES Y ESTABLES CON TRATAMIENTO ANTICORROSIVO, CON 7 ENTREPAÑOS, DE 0.94 CMS DE ANCHO, CON ALTURA DE 2.20MTS Y CADA BANDEJA DEBE SOPORTAR UN PESO DE 100KG/MT LINEA</v>
      </c>
      <c r="C23281" s="6">
        <v>196350</v>
      </c>
      <c r="D23281" s="5" t="s">
        <v>77</v>
      </c>
      <c r="E23281" s="5" t="str">
        <f t="shared" si="1159"/>
        <v>ACTISALUD- CEGDOC-JEFETH DIONISETTY PUERTA FIGUEROA</v>
      </c>
      <c r="F23281" s="5"/>
      <c r="G23281" s="5"/>
    </row>
    <row r="23282" spans="1:7" ht="58.5" customHeight="1" x14ac:dyDescent="0.25">
      <c r="A23282" s="5" t="str">
        <f>"H0026214"</f>
        <v>H0026214</v>
      </c>
      <c r="B23282" s="5" t="str">
        <f t="shared" si="1158"/>
        <v>ESTANTE CONSTRUIDOS EN LAMINAS METÁLICAS SOLIDAS, RESISTENTES Y ESTABLES CON TRATAMIENTO ANTICORROSIVO, CON 7 ENTREPAÑOS, DE 0.94 CMS DE ANCHO, CON ALTURA DE 2.20MTS Y CADA BANDEJA DEBE SOPORTAR UN PESO DE 100KG/MT LINEA</v>
      </c>
      <c r="C23282" s="6">
        <v>196350</v>
      </c>
      <c r="D23282" s="5" t="s">
        <v>77</v>
      </c>
      <c r="E23282" s="5" t="str">
        <f t="shared" si="1159"/>
        <v>ACTISALUD- CEGDOC-JEFETH DIONISETTY PUERTA FIGUEROA</v>
      </c>
      <c r="F23282" s="5"/>
      <c r="G23282" s="5"/>
    </row>
    <row r="23283" spans="1:7" ht="58.5" customHeight="1" x14ac:dyDescent="0.25">
      <c r="A23283" s="5" t="str">
        <f>"H0026215"</f>
        <v>H0026215</v>
      </c>
      <c r="B23283" s="5" t="str">
        <f t="shared" si="1158"/>
        <v>ESTANTE CONSTRUIDOS EN LAMINAS METÁLICAS SOLIDAS, RESISTENTES Y ESTABLES CON TRATAMIENTO ANTICORROSIVO, CON 7 ENTREPAÑOS, DE 0.94 CMS DE ANCHO, CON ALTURA DE 2.20MTS Y CADA BANDEJA DEBE SOPORTAR UN PESO DE 100KG/MT LINEA</v>
      </c>
      <c r="C23283" s="6">
        <v>196350</v>
      </c>
      <c r="D23283" s="5" t="s">
        <v>77</v>
      </c>
      <c r="E23283" s="5" t="str">
        <f t="shared" si="1159"/>
        <v>ACTISALUD- CEGDOC-JEFETH DIONISETTY PUERTA FIGUEROA</v>
      </c>
      <c r="F23283" s="5"/>
      <c r="G23283" s="5"/>
    </row>
    <row r="23284" spans="1:7" ht="58.5" customHeight="1" x14ac:dyDescent="0.25">
      <c r="A23284" s="5" t="str">
        <f>"H0026216"</f>
        <v>H0026216</v>
      </c>
      <c r="B23284" s="5" t="str">
        <f t="shared" si="1158"/>
        <v>ESTANTE CONSTRUIDOS EN LAMINAS METÁLICAS SOLIDAS, RESISTENTES Y ESTABLES CON TRATAMIENTO ANTICORROSIVO, CON 7 ENTREPAÑOS, DE 0.94 CMS DE ANCHO, CON ALTURA DE 2.20MTS Y CADA BANDEJA DEBE SOPORTAR UN PESO DE 100KG/MT LINEA</v>
      </c>
      <c r="C23284" s="6">
        <v>196350</v>
      </c>
      <c r="D23284" s="5" t="s">
        <v>77</v>
      </c>
      <c r="E23284" s="5" t="str">
        <f t="shared" si="1159"/>
        <v>ACTISALUD- CEGDOC-JEFETH DIONISETTY PUERTA FIGUEROA</v>
      </c>
      <c r="F23284" s="5"/>
      <c r="G23284" s="5"/>
    </row>
    <row r="23285" spans="1:7" ht="58.5" customHeight="1" x14ac:dyDescent="0.25">
      <c r="A23285" s="5" t="str">
        <f>"H0026217"</f>
        <v>H0026217</v>
      </c>
      <c r="B23285" s="5" t="str">
        <f t="shared" si="1158"/>
        <v>ESTANTE CONSTRUIDOS EN LAMINAS METÁLICAS SOLIDAS, RESISTENTES Y ESTABLES CON TRATAMIENTO ANTICORROSIVO, CON 7 ENTREPAÑOS, DE 0.94 CMS DE ANCHO, CON ALTURA DE 2.20MTS Y CADA BANDEJA DEBE SOPORTAR UN PESO DE 100KG/MT LINEA</v>
      </c>
      <c r="C23285" s="6">
        <v>196350</v>
      </c>
      <c r="D23285" s="5" t="s">
        <v>77</v>
      </c>
      <c r="E23285" s="5" t="str">
        <f t="shared" si="1159"/>
        <v>ACTISALUD- CEGDOC-JEFETH DIONISETTY PUERTA FIGUEROA</v>
      </c>
      <c r="F23285" s="5"/>
      <c r="G23285" s="5"/>
    </row>
    <row r="23286" spans="1:7" ht="58.5" customHeight="1" x14ac:dyDescent="0.25">
      <c r="A23286" s="5" t="str">
        <f>"H0026218"</f>
        <v>H0026218</v>
      </c>
      <c r="B23286" s="5" t="str">
        <f t="shared" si="1158"/>
        <v>ESTANTE CONSTRUIDOS EN LAMINAS METÁLICAS SOLIDAS, RESISTENTES Y ESTABLES CON TRATAMIENTO ANTICORROSIVO, CON 7 ENTREPAÑOS, DE 0.94 CMS DE ANCHO, CON ALTURA DE 2.20MTS Y CADA BANDEJA DEBE SOPORTAR UN PESO DE 100KG/MT LINEA</v>
      </c>
      <c r="C23286" s="6">
        <v>196350</v>
      </c>
      <c r="D23286" s="5" t="s">
        <v>77</v>
      </c>
      <c r="E23286" s="5" t="str">
        <f t="shared" si="1159"/>
        <v>ACTISALUD- CEGDOC-JEFETH DIONISETTY PUERTA FIGUEROA</v>
      </c>
      <c r="F23286" s="5"/>
      <c r="G23286" s="5"/>
    </row>
    <row r="23287" spans="1:7" ht="58.5" customHeight="1" x14ac:dyDescent="0.25">
      <c r="A23287" s="5" t="str">
        <f>"H0026219"</f>
        <v>H0026219</v>
      </c>
      <c r="B23287" s="5" t="str">
        <f t="shared" si="1158"/>
        <v>ESTANTE CONSTRUIDOS EN LAMINAS METÁLICAS SOLIDAS, RESISTENTES Y ESTABLES CON TRATAMIENTO ANTICORROSIVO, CON 7 ENTREPAÑOS, DE 0.94 CMS DE ANCHO, CON ALTURA DE 2.20MTS Y CADA BANDEJA DEBE SOPORTAR UN PESO DE 100KG/MT LINEA</v>
      </c>
      <c r="C23287" s="6">
        <v>196350</v>
      </c>
      <c r="D23287" s="5" t="s">
        <v>77</v>
      </c>
      <c r="E23287" s="5" t="str">
        <f t="shared" si="1159"/>
        <v>ACTISALUD- CEGDOC-JEFETH DIONISETTY PUERTA FIGUEROA</v>
      </c>
      <c r="F23287" s="5"/>
      <c r="G23287" s="5"/>
    </row>
    <row r="23288" spans="1:7" ht="58.5" customHeight="1" x14ac:dyDescent="0.25">
      <c r="A23288" s="5" t="str">
        <f>"H0026220"</f>
        <v>H0026220</v>
      </c>
      <c r="B23288" s="5" t="str">
        <f t="shared" si="1158"/>
        <v>ESTANTE CONSTRUIDOS EN LAMINAS METÁLICAS SOLIDAS, RESISTENTES Y ESTABLES CON TRATAMIENTO ANTICORROSIVO, CON 7 ENTREPAÑOS, DE 0.94 CMS DE ANCHO, CON ALTURA DE 2.20MTS Y CADA BANDEJA DEBE SOPORTAR UN PESO DE 100KG/MT LINEA</v>
      </c>
      <c r="C23288" s="6">
        <v>196350</v>
      </c>
      <c r="D23288" s="5" t="s">
        <v>77</v>
      </c>
      <c r="E23288" s="5" t="str">
        <f t="shared" si="1159"/>
        <v>ACTISALUD- CEGDOC-JEFETH DIONISETTY PUERTA FIGUEROA</v>
      </c>
      <c r="F23288" s="5"/>
      <c r="G23288" s="5"/>
    </row>
    <row r="23289" spans="1:7" ht="58.5" customHeight="1" x14ac:dyDescent="0.25">
      <c r="A23289" s="5" t="str">
        <f>"H0026221"</f>
        <v>H0026221</v>
      </c>
      <c r="B23289" s="5" t="str">
        <f t="shared" si="1158"/>
        <v>ESTANTE CONSTRUIDOS EN LAMINAS METÁLICAS SOLIDAS, RESISTENTES Y ESTABLES CON TRATAMIENTO ANTICORROSIVO, CON 7 ENTREPAÑOS, DE 0.94 CMS DE ANCHO, CON ALTURA DE 2.20MTS Y CADA BANDEJA DEBE SOPORTAR UN PESO DE 100KG/MT LINEA</v>
      </c>
      <c r="C23289" s="6">
        <v>196350</v>
      </c>
      <c r="D23289" s="5" t="s">
        <v>77</v>
      </c>
      <c r="E23289" s="5" t="str">
        <f t="shared" si="1159"/>
        <v>ACTISALUD- CEGDOC-JEFETH DIONISETTY PUERTA FIGUEROA</v>
      </c>
      <c r="F23289" s="5"/>
      <c r="G23289" s="5"/>
    </row>
    <row r="23290" spans="1:7" ht="58.5" customHeight="1" x14ac:dyDescent="0.25">
      <c r="A23290" s="5" t="str">
        <f>"H0026222"</f>
        <v>H0026222</v>
      </c>
      <c r="B23290" s="5" t="str">
        <f t="shared" si="1158"/>
        <v>ESTANTE CONSTRUIDOS EN LAMINAS METÁLICAS SOLIDAS, RESISTENTES Y ESTABLES CON TRATAMIENTO ANTICORROSIVO, CON 7 ENTREPAÑOS, DE 0.94 CMS DE ANCHO, CON ALTURA DE 2.20MTS Y CADA BANDEJA DEBE SOPORTAR UN PESO DE 100KG/MT LINEA</v>
      </c>
      <c r="C23290" s="6">
        <v>196350</v>
      </c>
      <c r="D23290" s="5" t="s">
        <v>77</v>
      </c>
      <c r="E23290" s="5" t="str">
        <f t="shared" si="1159"/>
        <v>ACTISALUD- CEGDOC-JEFETH DIONISETTY PUERTA FIGUEROA</v>
      </c>
      <c r="F23290" s="5"/>
      <c r="G23290" s="5"/>
    </row>
    <row r="23291" spans="1:7" ht="58.5" customHeight="1" x14ac:dyDescent="0.25">
      <c r="A23291" s="5" t="str">
        <f>"H0026223"</f>
        <v>H0026223</v>
      </c>
      <c r="B23291" s="5" t="str">
        <f t="shared" si="1158"/>
        <v>ESTANTE CONSTRUIDOS EN LAMINAS METÁLICAS SOLIDAS, RESISTENTES Y ESTABLES CON TRATAMIENTO ANTICORROSIVO, CON 7 ENTREPAÑOS, DE 0.94 CMS DE ANCHO, CON ALTURA DE 2.20MTS Y CADA BANDEJA DEBE SOPORTAR UN PESO DE 100KG/MT LINEA</v>
      </c>
      <c r="C23291" s="6">
        <v>196350</v>
      </c>
      <c r="D23291" s="5" t="s">
        <v>77</v>
      </c>
      <c r="E23291" s="5" t="str">
        <f t="shared" si="1159"/>
        <v>ACTISALUD- CEGDOC-JEFETH DIONISETTY PUERTA FIGUEROA</v>
      </c>
      <c r="F23291" s="5"/>
      <c r="G23291" s="5"/>
    </row>
    <row r="23292" spans="1:7" ht="58.5" customHeight="1" x14ac:dyDescent="0.25">
      <c r="A23292" s="5" t="str">
        <f>"H0026224"</f>
        <v>H0026224</v>
      </c>
      <c r="B23292" s="5" t="str">
        <f t="shared" si="1158"/>
        <v>ESTANTE CONSTRUIDOS EN LAMINAS METÁLICAS SOLIDAS, RESISTENTES Y ESTABLES CON TRATAMIENTO ANTICORROSIVO, CON 7 ENTREPAÑOS, DE 0.94 CMS DE ANCHO, CON ALTURA DE 2.20MTS Y CADA BANDEJA DEBE SOPORTAR UN PESO DE 100KG/MT LINEA</v>
      </c>
      <c r="C23292" s="6">
        <v>196350</v>
      </c>
      <c r="D23292" s="5" t="s">
        <v>583</v>
      </c>
      <c r="E23292" s="5" t="str">
        <f t="shared" si="1159"/>
        <v>ACTISALUD- CEGDOC-JEFETH DIONISETTY PUERTA FIGUEROA</v>
      </c>
      <c r="F23292" s="5"/>
      <c r="G23292" s="5"/>
    </row>
    <row r="23293" spans="1:7" ht="58.5" customHeight="1" x14ac:dyDescent="0.25">
      <c r="A23293" s="5" t="str">
        <f>"H0026225"</f>
        <v>H0026225</v>
      </c>
      <c r="B23293" s="5" t="str">
        <f t="shared" si="1158"/>
        <v>ESTANTE CONSTRUIDOS EN LAMINAS METÁLICAS SOLIDAS, RESISTENTES Y ESTABLES CON TRATAMIENTO ANTICORROSIVO, CON 7 ENTREPAÑOS, DE 0.94 CMS DE ANCHO, CON ALTURA DE 2.20MTS Y CADA BANDEJA DEBE SOPORTAR UN PESO DE 100KG/MT LINEA</v>
      </c>
      <c r="C23293" s="6">
        <v>196350</v>
      </c>
      <c r="D23293" s="5" t="s">
        <v>77</v>
      </c>
      <c r="E23293" s="5" t="str">
        <f t="shared" si="1159"/>
        <v>ACTISALUD- CEGDOC-JEFETH DIONISETTY PUERTA FIGUEROA</v>
      </c>
      <c r="F23293" s="5"/>
      <c r="G23293" s="5"/>
    </row>
    <row r="23294" spans="1:7" ht="58.5" customHeight="1" x14ac:dyDescent="0.25">
      <c r="A23294" s="5" t="str">
        <f>"H0026226"</f>
        <v>H0026226</v>
      </c>
      <c r="B23294" s="5" t="str">
        <f t="shared" si="1158"/>
        <v>ESTANTE CONSTRUIDOS EN LAMINAS METÁLICAS SOLIDAS, RESISTENTES Y ESTABLES CON TRATAMIENTO ANTICORROSIVO, CON 7 ENTREPAÑOS, DE 0.94 CMS DE ANCHO, CON ALTURA DE 2.20MTS Y CADA BANDEJA DEBE SOPORTAR UN PESO DE 100KG/MT LINEA</v>
      </c>
      <c r="C23294" s="6">
        <v>196350</v>
      </c>
      <c r="D23294" s="5" t="s">
        <v>77</v>
      </c>
      <c r="E23294" s="5" t="str">
        <f t="shared" si="1159"/>
        <v>ACTISALUD- CEGDOC-JEFETH DIONISETTY PUERTA FIGUEROA</v>
      </c>
      <c r="F23294" s="5"/>
      <c r="G23294" s="5"/>
    </row>
    <row r="23295" spans="1:7" ht="58.5" customHeight="1" x14ac:dyDescent="0.25">
      <c r="A23295" s="5" t="str">
        <f>"H0026227"</f>
        <v>H0026227</v>
      </c>
      <c r="B23295" s="5" t="str">
        <f t="shared" si="1158"/>
        <v>ESTANTE CONSTRUIDOS EN LAMINAS METÁLICAS SOLIDAS, RESISTENTES Y ESTABLES CON TRATAMIENTO ANTICORROSIVO, CON 7 ENTREPAÑOS, DE 0.94 CMS DE ANCHO, CON ALTURA DE 2.20MTS Y CADA BANDEJA DEBE SOPORTAR UN PESO DE 100KG/MT LINEA</v>
      </c>
      <c r="C23295" s="6">
        <v>196350</v>
      </c>
      <c r="D23295" s="5" t="s">
        <v>77</v>
      </c>
      <c r="E23295" s="5" t="str">
        <f t="shared" si="1159"/>
        <v>ACTISALUD- CEGDOC-JEFETH DIONISETTY PUERTA FIGUEROA</v>
      </c>
      <c r="F23295" s="5"/>
      <c r="G23295" s="5"/>
    </row>
    <row r="23296" spans="1:7" ht="58.5" customHeight="1" x14ac:dyDescent="0.25">
      <c r="A23296" s="5" t="str">
        <f>"H0026228"</f>
        <v>H0026228</v>
      </c>
      <c r="B23296" s="5" t="str">
        <f t="shared" si="1158"/>
        <v>ESTANTE CONSTRUIDOS EN LAMINAS METÁLICAS SOLIDAS, RESISTENTES Y ESTABLES CON TRATAMIENTO ANTICORROSIVO, CON 7 ENTREPAÑOS, DE 0.94 CMS DE ANCHO, CON ALTURA DE 2.20MTS Y CADA BANDEJA DEBE SOPORTAR UN PESO DE 100KG/MT LINEA</v>
      </c>
      <c r="C23296" s="6">
        <v>196350</v>
      </c>
      <c r="D23296" s="5" t="s">
        <v>77</v>
      </c>
      <c r="E23296" s="5" t="str">
        <f t="shared" si="1159"/>
        <v>ACTISALUD- CEGDOC-JEFETH DIONISETTY PUERTA FIGUEROA</v>
      </c>
      <c r="F23296" s="5"/>
      <c r="G23296" s="5"/>
    </row>
    <row r="23297" spans="1:7" ht="58.5" customHeight="1" x14ac:dyDescent="0.25">
      <c r="A23297" s="5" t="str">
        <f>"H0026229"</f>
        <v>H0026229</v>
      </c>
      <c r="B23297" s="5" t="str">
        <f t="shared" si="1158"/>
        <v>ESTANTE CONSTRUIDOS EN LAMINAS METÁLICAS SOLIDAS, RESISTENTES Y ESTABLES CON TRATAMIENTO ANTICORROSIVO, CON 7 ENTREPAÑOS, DE 0.94 CMS DE ANCHO, CON ALTURA DE 2.20MTS Y CADA BANDEJA DEBE SOPORTAR UN PESO DE 100KG/MT LINEA</v>
      </c>
      <c r="C23297" s="6">
        <v>196350</v>
      </c>
      <c r="D23297" s="5" t="s">
        <v>77</v>
      </c>
      <c r="E23297" s="5" t="str">
        <f t="shared" si="1159"/>
        <v>ACTISALUD- CEGDOC-JEFETH DIONISETTY PUERTA FIGUEROA</v>
      </c>
      <c r="F23297" s="5"/>
      <c r="G23297" s="5"/>
    </row>
    <row r="23298" spans="1:7" ht="58.5" customHeight="1" x14ac:dyDescent="0.25">
      <c r="A23298" s="5" t="str">
        <f>"H0026230"</f>
        <v>H0026230</v>
      </c>
      <c r="B23298" s="5" t="str">
        <f t="shared" si="1158"/>
        <v>ESTANTE CONSTRUIDOS EN LAMINAS METÁLICAS SOLIDAS, RESISTENTES Y ESTABLES CON TRATAMIENTO ANTICORROSIVO, CON 7 ENTREPAÑOS, DE 0.94 CMS DE ANCHO, CON ALTURA DE 2.20MTS Y CADA BANDEJA DEBE SOPORTAR UN PESO DE 100KG/MT LINEA</v>
      </c>
      <c r="C23298" s="6">
        <v>196350</v>
      </c>
      <c r="D23298" s="5" t="s">
        <v>77</v>
      </c>
      <c r="E23298" s="5" t="str">
        <f t="shared" si="1159"/>
        <v>ACTISALUD- CEGDOC-JEFETH DIONISETTY PUERTA FIGUEROA</v>
      </c>
      <c r="F23298" s="5"/>
      <c r="G23298" s="5"/>
    </row>
    <row r="23299" spans="1:7" ht="58.5" customHeight="1" x14ac:dyDescent="0.25">
      <c r="A23299" s="5" t="str">
        <f>"H0026231"</f>
        <v>H0026231</v>
      </c>
      <c r="B23299" s="5" t="str">
        <f t="shared" si="1158"/>
        <v>ESTANTE CONSTRUIDOS EN LAMINAS METÁLICAS SOLIDAS, RESISTENTES Y ESTABLES CON TRATAMIENTO ANTICORROSIVO, CON 7 ENTREPAÑOS, DE 0.94 CMS DE ANCHO, CON ALTURA DE 2.20MTS Y CADA BANDEJA DEBE SOPORTAR UN PESO DE 100KG/MT LINEA</v>
      </c>
      <c r="C23299" s="6">
        <v>196350</v>
      </c>
      <c r="D23299" s="5" t="s">
        <v>77</v>
      </c>
      <c r="E23299" s="5" t="str">
        <f t="shared" si="1159"/>
        <v>ACTISALUD- CEGDOC-JEFETH DIONISETTY PUERTA FIGUEROA</v>
      </c>
      <c r="F23299" s="5"/>
      <c r="G23299" s="5"/>
    </row>
    <row r="23300" spans="1:7" ht="58.5" customHeight="1" x14ac:dyDescent="0.25">
      <c r="A23300" s="5" t="str">
        <f>"H0026232"</f>
        <v>H0026232</v>
      </c>
      <c r="B23300" s="5" t="str">
        <f t="shared" si="1158"/>
        <v>ESTANTE CONSTRUIDOS EN LAMINAS METÁLICAS SOLIDAS, RESISTENTES Y ESTABLES CON TRATAMIENTO ANTICORROSIVO, CON 7 ENTREPAÑOS, DE 0.94 CMS DE ANCHO, CON ALTURA DE 2.20MTS Y CADA BANDEJA DEBE SOPORTAR UN PESO DE 100KG/MT LINEA</v>
      </c>
      <c r="C23300" s="6">
        <v>196350</v>
      </c>
      <c r="D23300" s="5" t="s">
        <v>77</v>
      </c>
      <c r="E23300" s="5" t="str">
        <f t="shared" si="1159"/>
        <v>ACTISALUD- CEGDOC-JEFETH DIONISETTY PUERTA FIGUEROA</v>
      </c>
      <c r="F23300" s="5"/>
      <c r="G23300" s="5"/>
    </row>
    <row r="23301" spans="1:7" ht="58.5" customHeight="1" x14ac:dyDescent="0.25">
      <c r="A23301" s="5" t="str">
        <f>"H0026233"</f>
        <v>H0026233</v>
      </c>
      <c r="B23301" s="5" t="str">
        <f t="shared" si="1158"/>
        <v>ESTANTE CONSTRUIDOS EN LAMINAS METÁLICAS SOLIDAS, RESISTENTES Y ESTABLES CON TRATAMIENTO ANTICORROSIVO, CON 7 ENTREPAÑOS, DE 0.94 CMS DE ANCHO, CON ALTURA DE 2.20MTS Y CADA BANDEJA DEBE SOPORTAR UN PESO DE 100KG/MT LINEA</v>
      </c>
      <c r="C23301" s="6">
        <v>196350</v>
      </c>
      <c r="D23301" s="5" t="s">
        <v>77</v>
      </c>
      <c r="E23301" s="5" t="str">
        <f t="shared" si="1159"/>
        <v>ACTISALUD- CEGDOC-JEFETH DIONISETTY PUERTA FIGUEROA</v>
      </c>
      <c r="F23301" s="5"/>
      <c r="G23301" s="5"/>
    </row>
    <row r="23302" spans="1:7" ht="58.5" customHeight="1" x14ac:dyDescent="0.25">
      <c r="A23302" s="5" t="str">
        <f>"H0026234"</f>
        <v>H0026234</v>
      </c>
      <c r="B23302" s="5" t="str">
        <f t="shared" si="1158"/>
        <v>ESTANTE CONSTRUIDOS EN LAMINAS METÁLICAS SOLIDAS, RESISTENTES Y ESTABLES CON TRATAMIENTO ANTICORROSIVO, CON 7 ENTREPAÑOS, DE 0.94 CMS DE ANCHO, CON ALTURA DE 2.20MTS Y CADA BANDEJA DEBE SOPORTAR UN PESO DE 100KG/MT LINEA</v>
      </c>
      <c r="C23302" s="6">
        <v>196350</v>
      </c>
      <c r="D23302" s="5" t="s">
        <v>77</v>
      </c>
      <c r="E23302" s="5" t="str">
        <f t="shared" si="1159"/>
        <v>ACTISALUD- CEGDOC-JEFETH DIONISETTY PUERTA FIGUEROA</v>
      </c>
      <c r="F23302" s="5"/>
      <c r="G23302" s="5"/>
    </row>
    <row r="23303" spans="1:7" ht="58.5" customHeight="1" x14ac:dyDescent="0.25">
      <c r="A23303" s="5" t="str">
        <f>"H0026235"</f>
        <v>H0026235</v>
      </c>
      <c r="B23303" s="5" t="str">
        <f t="shared" si="1158"/>
        <v>ESTANTE CONSTRUIDOS EN LAMINAS METÁLICAS SOLIDAS, RESISTENTES Y ESTABLES CON TRATAMIENTO ANTICORROSIVO, CON 7 ENTREPAÑOS, DE 0.94 CMS DE ANCHO, CON ALTURA DE 2.20MTS Y CADA BANDEJA DEBE SOPORTAR UN PESO DE 100KG/MT LINEA</v>
      </c>
      <c r="C23303" s="6">
        <v>196350</v>
      </c>
      <c r="D23303" s="5" t="s">
        <v>77</v>
      </c>
      <c r="E23303" s="5" t="str">
        <f t="shared" si="1159"/>
        <v>ACTISALUD- CEGDOC-JEFETH DIONISETTY PUERTA FIGUEROA</v>
      </c>
      <c r="F23303" s="5"/>
      <c r="G23303" s="5"/>
    </row>
    <row r="23304" spans="1:7" ht="58.5" customHeight="1" x14ac:dyDescent="0.25">
      <c r="A23304" s="5" t="str">
        <f>"H0026236"</f>
        <v>H0026236</v>
      </c>
      <c r="B23304" s="5" t="str">
        <f t="shared" si="1158"/>
        <v>ESTANTE CONSTRUIDOS EN LAMINAS METÁLICAS SOLIDAS, RESISTENTES Y ESTABLES CON TRATAMIENTO ANTICORROSIVO, CON 7 ENTREPAÑOS, DE 0.94 CMS DE ANCHO, CON ALTURA DE 2.20MTS Y CADA BANDEJA DEBE SOPORTAR UN PESO DE 100KG/MT LINEA</v>
      </c>
      <c r="C23304" s="6">
        <v>196350</v>
      </c>
      <c r="D23304" s="5" t="s">
        <v>77</v>
      </c>
      <c r="E23304" s="5" t="str">
        <f t="shared" si="1159"/>
        <v>ACTISALUD- CEGDOC-JEFETH DIONISETTY PUERTA FIGUEROA</v>
      </c>
      <c r="F23304" s="5"/>
      <c r="G23304" s="5"/>
    </row>
    <row r="23305" spans="1:7" ht="58.5" customHeight="1" x14ac:dyDescent="0.25">
      <c r="A23305" s="5" t="str">
        <f>"H0026237"</f>
        <v>H0026237</v>
      </c>
      <c r="B23305" s="5" t="str">
        <f t="shared" si="1158"/>
        <v>ESTANTE CONSTRUIDOS EN LAMINAS METÁLICAS SOLIDAS, RESISTENTES Y ESTABLES CON TRATAMIENTO ANTICORROSIVO, CON 7 ENTREPAÑOS, DE 0.94 CMS DE ANCHO, CON ALTURA DE 2.20MTS Y CADA BANDEJA DEBE SOPORTAR UN PESO DE 100KG/MT LINEA</v>
      </c>
      <c r="C23305" s="6">
        <v>196350</v>
      </c>
      <c r="D23305" s="5" t="s">
        <v>77</v>
      </c>
      <c r="E23305" s="5" t="str">
        <f t="shared" si="1159"/>
        <v>ACTISALUD- CEGDOC-JEFETH DIONISETTY PUERTA FIGUEROA</v>
      </c>
      <c r="F23305" s="5"/>
      <c r="G23305" s="5"/>
    </row>
    <row r="23306" spans="1:7" ht="58.5" customHeight="1" x14ac:dyDescent="0.25">
      <c r="A23306" s="5" t="str">
        <f>"H0026239"</f>
        <v>H0026239</v>
      </c>
      <c r="B23306" s="5" t="str">
        <f t="shared" si="1158"/>
        <v>ESTANTE CONSTRUIDOS EN LAMINAS METÁLICAS SOLIDAS, RESISTENTES Y ESTABLES CON TRATAMIENTO ANTICORROSIVO, CON 7 ENTREPAÑOS, DE 0.94 CMS DE ANCHO, CON ALTURA DE 2.20MTS Y CADA BANDEJA DEBE SOPORTAR UN PESO DE 100KG/MT LINEA</v>
      </c>
      <c r="C23306" s="6">
        <v>196350</v>
      </c>
      <c r="D23306" s="5" t="s">
        <v>77</v>
      </c>
      <c r="E23306" s="5" t="str">
        <f t="shared" si="1159"/>
        <v>ACTISALUD- CEGDOC-JEFETH DIONISETTY PUERTA FIGUEROA</v>
      </c>
      <c r="F23306" s="5"/>
      <c r="G23306" s="5"/>
    </row>
    <row r="23307" spans="1:7" ht="58.5" customHeight="1" x14ac:dyDescent="0.25">
      <c r="A23307" s="5" t="str">
        <f>"H0026240"</f>
        <v>H0026240</v>
      </c>
      <c r="B23307" s="5" t="str">
        <f t="shared" si="1158"/>
        <v>ESTANTE CONSTRUIDOS EN LAMINAS METÁLICAS SOLIDAS, RESISTENTES Y ESTABLES CON TRATAMIENTO ANTICORROSIVO, CON 7 ENTREPAÑOS, DE 0.94 CMS DE ANCHO, CON ALTURA DE 2.20MTS Y CADA BANDEJA DEBE SOPORTAR UN PESO DE 100KG/MT LINEA</v>
      </c>
      <c r="C23307" s="6">
        <v>196350</v>
      </c>
      <c r="D23307" s="5" t="s">
        <v>77</v>
      </c>
      <c r="E23307" s="5" t="str">
        <f t="shared" si="1159"/>
        <v>ACTISALUD- CEGDOC-JEFETH DIONISETTY PUERTA FIGUEROA</v>
      </c>
      <c r="F23307" s="5"/>
      <c r="G23307" s="5"/>
    </row>
    <row r="23308" spans="1:7" ht="58.5" customHeight="1" x14ac:dyDescent="0.25">
      <c r="A23308" s="5" t="str">
        <f>"H0026241"</f>
        <v>H0026241</v>
      </c>
      <c r="B23308" s="5" t="str">
        <f t="shared" si="1158"/>
        <v>ESTANTE CONSTRUIDOS EN LAMINAS METÁLICAS SOLIDAS, RESISTENTES Y ESTABLES CON TRATAMIENTO ANTICORROSIVO, CON 7 ENTREPAÑOS, DE 0.94 CMS DE ANCHO, CON ALTURA DE 2.20MTS Y CADA BANDEJA DEBE SOPORTAR UN PESO DE 100KG/MT LINEA</v>
      </c>
      <c r="C23308" s="6">
        <v>196350</v>
      </c>
      <c r="D23308" s="5" t="s">
        <v>77</v>
      </c>
      <c r="E23308" s="5" t="str">
        <f t="shared" si="1159"/>
        <v>ACTISALUD- CEGDOC-JEFETH DIONISETTY PUERTA FIGUEROA</v>
      </c>
      <c r="F23308" s="5"/>
      <c r="G23308" s="5"/>
    </row>
    <row r="23309" spans="1:7" ht="58.5" customHeight="1" x14ac:dyDescent="0.25">
      <c r="A23309" s="5" t="str">
        <f>"H0026242"</f>
        <v>H0026242</v>
      </c>
      <c r="B23309" s="5" t="str">
        <f t="shared" si="1158"/>
        <v>ESTANTE CONSTRUIDOS EN LAMINAS METÁLICAS SOLIDAS, RESISTENTES Y ESTABLES CON TRATAMIENTO ANTICORROSIVO, CON 7 ENTREPAÑOS, DE 0.94 CMS DE ANCHO, CON ALTURA DE 2.20MTS Y CADA BANDEJA DEBE SOPORTAR UN PESO DE 100KG/MT LINEA</v>
      </c>
      <c r="C23309" s="6">
        <v>196350</v>
      </c>
      <c r="D23309" s="5" t="s">
        <v>77</v>
      </c>
      <c r="E23309" s="5" t="str">
        <f t="shared" si="1159"/>
        <v>ACTISALUD- CEGDOC-JEFETH DIONISETTY PUERTA FIGUEROA</v>
      </c>
      <c r="F23309" s="5"/>
      <c r="G23309" s="5"/>
    </row>
    <row r="23310" spans="1:7" ht="58.5" customHeight="1" x14ac:dyDescent="0.25">
      <c r="A23310" s="5" t="str">
        <f>"H0026243"</f>
        <v>H0026243</v>
      </c>
      <c r="B23310" s="5" t="str">
        <f t="shared" si="1158"/>
        <v>ESTANTE CONSTRUIDOS EN LAMINAS METÁLICAS SOLIDAS, RESISTENTES Y ESTABLES CON TRATAMIENTO ANTICORROSIVO, CON 7 ENTREPAÑOS, DE 0.94 CMS DE ANCHO, CON ALTURA DE 2.20MTS Y CADA BANDEJA DEBE SOPORTAR UN PESO DE 100KG/MT LINEA</v>
      </c>
      <c r="C23310" s="6">
        <v>196350</v>
      </c>
      <c r="D23310" s="5" t="s">
        <v>77</v>
      </c>
      <c r="E23310" s="5" t="str">
        <f t="shared" si="1159"/>
        <v>ACTISALUD- CEGDOC-JEFETH DIONISETTY PUERTA FIGUEROA</v>
      </c>
      <c r="F23310" s="5"/>
      <c r="G23310" s="5"/>
    </row>
    <row r="23311" spans="1:7" ht="58.5" customHeight="1" x14ac:dyDescent="0.25">
      <c r="A23311" s="5" t="str">
        <f>"H0026244"</f>
        <v>H0026244</v>
      </c>
      <c r="B23311" s="5" t="str">
        <f t="shared" si="1158"/>
        <v>ESTANTE CONSTRUIDOS EN LAMINAS METÁLICAS SOLIDAS, RESISTENTES Y ESTABLES CON TRATAMIENTO ANTICORROSIVO, CON 7 ENTREPAÑOS, DE 0.94 CMS DE ANCHO, CON ALTURA DE 2.20MTS Y CADA BANDEJA DEBE SOPORTAR UN PESO DE 100KG/MT LINEA</v>
      </c>
      <c r="C23311" s="6">
        <v>196350</v>
      </c>
      <c r="D23311" s="5" t="s">
        <v>77</v>
      </c>
      <c r="E23311" s="5" t="str">
        <f t="shared" si="1159"/>
        <v>ACTISALUD- CEGDOC-JEFETH DIONISETTY PUERTA FIGUEROA</v>
      </c>
      <c r="F23311" s="5"/>
      <c r="G23311" s="5"/>
    </row>
    <row r="23312" spans="1:7" ht="58.5" customHeight="1" x14ac:dyDescent="0.25">
      <c r="A23312" s="5" t="str">
        <f>"H0026245"</f>
        <v>H0026245</v>
      </c>
      <c r="B23312" s="5" t="str">
        <f t="shared" si="1158"/>
        <v>ESTANTE CONSTRUIDOS EN LAMINAS METÁLICAS SOLIDAS, RESISTENTES Y ESTABLES CON TRATAMIENTO ANTICORROSIVO, CON 7 ENTREPAÑOS, DE 0.94 CMS DE ANCHO, CON ALTURA DE 2.20MTS Y CADA BANDEJA DEBE SOPORTAR UN PESO DE 100KG/MT LINEA</v>
      </c>
      <c r="C23312" s="6">
        <v>196350</v>
      </c>
      <c r="D23312" s="5" t="s">
        <v>77</v>
      </c>
      <c r="E23312" s="5" t="str">
        <f t="shared" si="1159"/>
        <v>ACTISALUD- CEGDOC-JEFETH DIONISETTY PUERTA FIGUEROA</v>
      </c>
      <c r="F23312" s="5"/>
      <c r="G23312" s="5"/>
    </row>
    <row r="23313" spans="1:7" ht="58.5" customHeight="1" x14ac:dyDescent="0.25">
      <c r="A23313" s="5" t="str">
        <f>"H0026246"</f>
        <v>H0026246</v>
      </c>
      <c r="B23313" s="5" t="str">
        <f t="shared" si="1158"/>
        <v>ESTANTE CONSTRUIDOS EN LAMINAS METÁLICAS SOLIDAS, RESISTENTES Y ESTABLES CON TRATAMIENTO ANTICORROSIVO, CON 7 ENTREPAÑOS, DE 0.94 CMS DE ANCHO, CON ALTURA DE 2.20MTS Y CADA BANDEJA DEBE SOPORTAR UN PESO DE 100KG/MT LINEA</v>
      </c>
      <c r="C23313" s="6">
        <v>196350</v>
      </c>
      <c r="D23313" s="5" t="s">
        <v>77</v>
      </c>
      <c r="E23313" s="5" t="str">
        <f t="shared" si="1159"/>
        <v>ACTISALUD- CEGDOC-JEFETH DIONISETTY PUERTA FIGUEROA</v>
      </c>
      <c r="F23313" s="5"/>
      <c r="G23313" s="5"/>
    </row>
    <row r="23314" spans="1:7" ht="58.5" customHeight="1" x14ac:dyDescent="0.25">
      <c r="A23314" s="5" t="str">
        <f>"H0026247"</f>
        <v>H0026247</v>
      </c>
      <c r="B23314" s="5" t="str">
        <f t="shared" si="1158"/>
        <v>ESTANTE CONSTRUIDOS EN LAMINAS METÁLICAS SOLIDAS, RESISTENTES Y ESTABLES CON TRATAMIENTO ANTICORROSIVO, CON 7 ENTREPAÑOS, DE 0.94 CMS DE ANCHO, CON ALTURA DE 2.20MTS Y CADA BANDEJA DEBE SOPORTAR UN PESO DE 100KG/MT LINEA</v>
      </c>
      <c r="C23314" s="6">
        <v>196350</v>
      </c>
      <c r="D23314" s="5" t="s">
        <v>77</v>
      </c>
      <c r="E23314" s="5" t="str">
        <f t="shared" si="1159"/>
        <v>ACTISALUD- CEGDOC-JEFETH DIONISETTY PUERTA FIGUEROA</v>
      </c>
      <c r="F23314" s="5"/>
      <c r="G23314" s="5"/>
    </row>
    <row r="23315" spans="1:7" ht="58.5" customHeight="1" x14ac:dyDescent="0.25">
      <c r="A23315" s="5" t="str">
        <f>"H0026248"</f>
        <v>H0026248</v>
      </c>
      <c r="B23315" s="5" t="str">
        <f t="shared" si="1158"/>
        <v>ESTANTE CONSTRUIDOS EN LAMINAS METÁLICAS SOLIDAS, RESISTENTES Y ESTABLES CON TRATAMIENTO ANTICORROSIVO, CON 7 ENTREPAÑOS, DE 0.94 CMS DE ANCHO, CON ALTURA DE 2.20MTS Y CADA BANDEJA DEBE SOPORTAR UN PESO DE 100KG/MT LINEA</v>
      </c>
      <c r="C23315" s="6">
        <v>196350</v>
      </c>
      <c r="D23315" s="5" t="s">
        <v>77</v>
      </c>
      <c r="E23315" s="5" t="str">
        <f t="shared" si="1159"/>
        <v>ACTISALUD- CEGDOC-JEFETH DIONISETTY PUERTA FIGUEROA</v>
      </c>
      <c r="F23315" s="5"/>
      <c r="G23315" s="5"/>
    </row>
    <row r="23316" spans="1:7" ht="58.5" customHeight="1" x14ac:dyDescent="0.25">
      <c r="A23316" s="5" t="str">
        <f>"H0026249"</f>
        <v>H0026249</v>
      </c>
      <c r="B23316" s="5" t="str">
        <f t="shared" si="1158"/>
        <v>ESTANTE CONSTRUIDOS EN LAMINAS METÁLICAS SOLIDAS, RESISTENTES Y ESTABLES CON TRATAMIENTO ANTICORROSIVO, CON 7 ENTREPAÑOS, DE 0.94 CMS DE ANCHO, CON ALTURA DE 2.20MTS Y CADA BANDEJA DEBE SOPORTAR UN PESO DE 100KG/MT LINEA</v>
      </c>
      <c r="C23316" s="6">
        <v>196350</v>
      </c>
      <c r="D23316" s="5" t="s">
        <v>77</v>
      </c>
      <c r="E23316" s="5" t="str">
        <f t="shared" si="1159"/>
        <v>ACTISALUD- CEGDOC-JEFETH DIONISETTY PUERTA FIGUEROA</v>
      </c>
      <c r="F23316" s="5"/>
      <c r="G23316" s="5"/>
    </row>
    <row r="23317" spans="1:7" ht="58.5" customHeight="1" x14ac:dyDescent="0.25">
      <c r="A23317" s="5" t="str">
        <f>"H0026250"</f>
        <v>H0026250</v>
      </c>
      <c r="B23317" s="5" t="str">
        <f t="shared" si="1158"/>
        <v>ESTANTE CONSTRUIDOS EN LAMINAS METÁLICAS SOLIDAS, RESISTENTES Y ESTABLES CON TRATAMIENTO ANTICORROSIVO, CON 7 ENTREPAÑOS, DE 0.94 CMS DE ANCHO, CON ALTURA DE 2.20MTS Y CADA BANDEJA DEBE SOPORTAR UN PESO DE 100KG/MT LINEA</v>
      </c>
      <c r="C23317" s="6">
        <v>196350</v>
      </c>
      <c r="D23317" s="5" t="s">
        <v>77</v>
      </c>
      <c r="E23317" s="5" t="str">
        <f t="shared" si="1159"/>
        <v>ACTISALUD- CEGDOC-JEFETH DIONISETTY PUERTA FIGUEROA</v>
      </c>
      <c r="F23317" s="5"/>
      <c r="G23317" s="5"/>
    </row>
    <row r="23318" spans="1:7" ht="58.5" customHeight="1" x14ac:dyDescent="0.25">
      <c r="A23318" s="5" t="str">
        <f>"H0026251"</f>
        <v>H0026251</v>
      </c>
      <c r="B23318" s="5" t="str">
        <f t="shared" si="1158"/>
        <v>ESTANTE CONSTRUIDOS EN LAMINAS METÁLICAS SOLIDAS, RESISTENTES Y ESTABLES CON TRATAMIENTO ANTICORROSIVO, CON 7 ENTREPAÑOS, DE 0.94 CMS DE ANCHO, CON ALTURA DE 2.20MTS Y CADA BANDEJA DEBE SOPORTAR UN PESO DE 100KG/MT LINEA</v>
      </c>
      <c r="C23318" s="6">
        <v>196350</v>
      </c>
      <c r="D23318" s="5" t="s">
        <v>77</v>
      </c>
      <c r="E23318" s="5" t="str">
        <f t="shared" si="1159"/>
        <v>ACTISALUD- CEGDOC-JEFETH DIONISETTY PUERTA FIGUEROA</v>
      </c>
      <c r="F23318" s="5"/>
      <c r="G23318" s="5"/>
    </row>
    <row r="23319" spans="1:7" ht="58.5" customHeight="1" x14ac:dyDescent="0.25">
      <c r="A23319" s="5" t="str">
        <f>"H0026252"</f>
        <v>H0026252</v>
      </c>
      <c r="B23319" s="5" t="str">
        <f t="shared" si="1158"/>
        <v>ESTANTE CONSTRUIDOS EN LAMINAS METÁLICAS SOLIDAS, RESISTENTES Y ESTABLES CON TRATAMIENTO ANTICORROSIVO, CON 7 ENTREPAÑOS, DE 0.94 CMS DE ANCHO, CON ALTURA DE 2.20MTS Y CADA BANDEJA DEBE SOPORTAR UN PESO DE 100KG/MT LINEA</v>
      </c>
      <c r="C23319" s="6">
        <v>196350</v>
      </c>
      <c r="D23319" s="5" t="s">
        <v>77</v>
      </c>
      <c r="E23319" s="5" t="str">
        <f t="shared" si="1159"/>
        <v>ACTISALUD- CEGDOC-JEFETH DIONISETTY PUERTA FIGUEROA</v>
      </c>
      <c r="F23319" s="5"/>
      <c r="G23319" s="5"/>
    </row>
    <row r="23320" spans="1:7" ht="58.5" customHeight="1" x14ac:dyDescent="0.25">
      <c r="A23320" s="5" t="str">
        <f>"H0026253"</f>
        <v>H0026253</v>
      </c>
      <c r="B23320" s="5" t="str">
        <f t="shared" si="1158"/>
        <v>ESTANTE CONSTRUIDOS EN LAMINAS METÁLICAS SOLIDAS, RESISTENTES Y ESTABLES CON TRATAMIENTO ANTICORROSIVO, CON 7 ENTREPAÑOS, DE 0.94 CMS DE ANCHO, CON ALTURA DE 2.20MTS Y CADA BANDEJA DEBE SOPORTAR UN PESO DE 100KG/MT LINEA</v>
      </c>
      <c r="C23320" s="6">
        <v>196350</v>
      </c>
      <c r="D23320" s="5" t="s">
        <v>77</v>
      </c>
      <c r="E23320" s="5" t="str">
        <f t="shared" si="1159"/>
        <v>ACTISALUD- CEGDOC-JEFETH DIONISETTY PUERTA FIGUEROA</v>
      </c>
      <c r="F23320" s="5"/>
      <c r="G23320" s="5"/>
    </row>
    <row r="23321" spans="1:7" ht="58.5" customHeight="1" x14ac:dyDescent="0.25">
      <c r="A23321" s="5" t="str">
        <f>"H0026254"</f>
        <v>H0026254</v>
      </c>
      <c r="B23321" s="5" t="str">
        <f t="shared" ref="B23321:B23384" si="1160">"ESTANTE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321" s="6">
        <v>196350</v>
      </c>
      <c r="D23321" s="5" t="s">
        <v>77</v>
      </c>
      <c r="E23321" s="5" t="str">
        <f t="shared" si="1159"/>
        <v>ACTISALUD- CEGDOC-JEFETH DIONISETTY PUERTA FIGUEROA</v>
      </c>
      <c r="F23321" s="5"/>
      <c r="G23321" s="5"/>
    </row>
    <row r="23322" spans="1:7" ht="58.5" customHeight="1" x14ac:dyDescent="0.25">
      <c r="A23322" s="5" t="str">
        <f>"H0026255"</f>
        <v>H0026255</v>
      </c>
      <c r="B23322" s="5" t="str">
        <f t="shared" si="1160"/>
        <v>ESTANTE CONSTRUIDOS EN LAMINAS METÁLICAS SOLIDAS, RESISTENTES Y ESTABLES CON TRATAMIENTO ANTICORROSIVO, CON 7 ENTREPAÑOS, DE 0.94 CMS DE ANCHO, CON ALTURA DE 2.20MTS Y CADA BANDEJA DEBE SOPORTAR UN PESO DE 100KG/MT LINEA</v>
      </c>
      <c r="C23322" s="6">
        <v>196350</v>
      </c>
      <c r="D23322" s="5" t="s">
        <v>77</v>
      </c>
      <c r="E23322" s="5" t="str">
        <f t="shared" si="1159"/>
        <v>ACTISALUD- CEGDOC-JEFETH DIONISETTY PUERTA FIGUEROA</v>
      </c>
      <c r="F23322" s="5"/>
      <c r="G23322" s="5"/>
    </row>
    <row r="23323" spans="1:7" ht="58.5" customHeight="1" x14ac:dyDescent="0.25">
      <c r="A23323" s="5" t="str">
        <f>"H0026256"</f>
        <v>H0026256</v>
      </c>
      <c r="B23323" s="5" t="str">
        <f t="shared" si="1160"/>
        <v>ESTANTE CONSTRUIDOS EN LAMINAS METÁLICAS SOLIDAS, RESISTENTES Y ESTABLES CON TRATAMIENTO ANTICORROSIVO, CON 7 ENTREPAÑOS, DE 0.94 CMS DE ANCHO, CON ALTURA DE 2.20MTS Y CADA BANDEJA DEBE SOPORTAR UN PESO DE 100KG/MT LINEA</v>
      </c>
      <c r="C23323" s="6">
        <v>196350</v>
      </c>
      <c r="D23323" s="5" t="s">
        <v>77</v>
      </c>
      <c r="E23323" s="5" t="str">
        <f t="shared" si="1159"/>
        <v>ACTISALUD- CEGDOC-JEFETH DIONISETTY PUERTA FIGUEROA</v>
      </c>
      <c r="F23323" s="5"/>
      <c r="G23323" s="5"/>
    </row>
    <row r="23324" spans="1:7" ht="58.5" customHeight="1" x14ac:dyDescent="0.25">
      <c r="A23324" s="5" t="str">
        <f>"H0026257"</f>
        <v>H0026257</v>
      </c>
      <c r="B23324" s="5" t="str">
        <f t="shared" si="1160"/>
        <v>ESTANTE CONSTRUIDOS EN LAMINAS METÁLICAS SOLIDAS, RESISTENTES Y ESTABLES CON TRATAMIENTO ANTICORROSIVO, CON 7 ENTREPAÑOS, DE 0.94 CMS DE ANCHO, CON ALTURA DE 2.20MTS Y CADA BANDEJA DEBE SOPORTAR UN PESO DE 100KG/MT LINEA</v>
      </c>
      <c r="C23324" s="6">
        <v>196350</v>
      </c>
      <c r="D23324" s="5" t="s">
        <v>77</v>
      </c>
      <c r="E23324" s="5" t="str">
        <f t="shared" si="1159"/>
        <v>ACTISALUD- CEGDOC-JEFETH DIONISETTY PUERTA FIGUEROA</v>
      </c>
      <c r="F23324" s="5"/>
      <c r="G23324" s="5"/>
    </row>
    <row r="23325" spans="1:7" ht="58.5" customHeight="1" x14ac:dyDescent="0.25">
      <c r="A23325" s="5" t="str">
        <f>"H0026258"</f>
        <v>H0026258</v>
      </c>
      <c r="B23325" s="5" t="str">
        <f t="shared" si="1160"/>
        <v>ESTANTE CONSTRUIDOS EN LAMINAS METÁLICAS SOLIDAS, RESISTENTES Y ESTABLES CON TRATAMIENTO ANTICORROSIVO, CON 7 ENTREPAÑOS, DE 0.94 CMS DE ANCHO, CON ALTURA DE 2.20MTS Y CADA BANDEJA DEBE SOPORTAR UN PESO DE 100KG/MT LINEA</v>
      </c>
      <c r="C23325" s="6">
        <v>196350</v>
      </c>
      <c r="D23325" s="5" t="s">
        <v>77</v>
      </c>
      <c r="E23325" s="5" t="str">
        <f t="shared" si="1159"/>
        <v>ACTISALUD- CEGDOC-JEFETH DIONISETTY PUERTA FIGUEROA</v>
      </c>
      <c r="F23325" s="5"/>
      <c r="G23325" s="5"/>
    </row>
    <row r="23326" spans="1:7" ht="58.5" customHeight="1" x14ac:dyDescent="0.25">
      <c r="A23326" s="5" t="str">
        <f>"H0026259"</f>
        <v>H0026259</v>
      </c>
      <c r="B23326" s="5" t="str">
        <f t="shared" si="1160"/>
        <v>ESTANTE CONSTRUIDOS EN LAMINAS METÁLICAS SOLIDAS, RESISTENTES Y ESTABLES CON TRATAMIENTO ANTICORROSIVO, CON 7 ENTREPAÑOS, DE 0.94 CMS DE ANCHO, CON ALTURA DE 2.20MTS Y CADA BANDEJA DEBE SOPORTAR UN PESO DE 100KG/MT LINEA</v>
      </c>
      <c r="C23326" s="6">
        <v>196350</v>
      </c>
      <c r="D23326" s="5" t="s">
        <v>583</v>
      </c>
      <c r="E23326" s="5" t="str">
        <f t="shared" si="1159"/>
        <v>ACTISALUD- CEGDOC-JEFETH DIONISETTY PUERTA FIGUEROA</v>
      </c>
      <c r="F23326" s="5"/>
      <c r="G23326" s="5"/>
    </row>
    <row r="23327" spans="1:7" ht="58.5" customHeight="1" x14ac:dyDescent="0.25">
      <c r="A23327" s="5" t="str">
        <f>"H0026260"</f>
        <v>H0026260</v>
      </c>
      <c r="B23327" s="5" t="str">
        <f t="shared" si="1160"/>
        <v>ESTANTE CONSTRUIDOS EN LAMINAS METÁLICAS SOLIDAS, RESISTENTES Y ESTABLES CON TRATAMIENTO ANTICORROSIVO, CON 7 ENTREPAÑOS, DE 0.94 CMS DE ANCHO, CON ALTURA DE 2.20MTS Y CADA BANDEJA DEBE SOPORTAR UN PESO DE 100KG/MT LINEA</v>
      </c>
      <c r="C23327" s="6">
        <v>196350</v>
      </c>
      <c r="D23327" s="5" t="s">
        <v>77</v>
      </c>
      <c r="E23327" s="5" t="str">
        <f t="shared" si="1159"/>
        <v>ACTISALUD- CEGDOC-JEFETH DIONISETTY PUERTA FIGUEROA</v>
      </c>
      <c r="F23327" s="5"/>
      <c r="G23327" s="5"/>
    </row>
    <row r="23328" spans="1:7" ht="58.5" customHeight="1" x14ac:dyDescent="0.25">
      <c r="A23328" s="5" t="str">
        <f>"H0026261"</f>
        <v>H0026261</v>
      </c>
      <c r="B23328" s="5" t="str">
        <f t="shared" si="1160"/>
        <v>ESTANTE CONSTRUIDOS EN LAMINAS METÁLICAS SOLIDAS, RESISTENTES Y ESTABLES CON TRATAMIENTO ANTICORROSIVO, CON 7 ENTREPAÑOS, DE 0.94 CMS DE ANCHO, CON ALTURA DE 2.20MTS Y CADA BANDEJA DEBE SOPORTAR UN PESO DE 100KG/MT LINEA</v>
      </c>
      <c r="C23328" s="6">
        <v>196350</v>
      </c>
      <c r="D23328" s="5" t="s">
        <v>77</v>
      </c>
      <c r="E23328" s="5" t="str">
        <f t="shared" si="1159"/>
        <v>ACTISALUD- CEGDOC-JEFETH DIONISETTY PUERTA FIGUEROA</v>
      </c>
      <c r="F23328" s="5"/>
      <c r="G23328" s="5"/>
    </row>
    <row r="23329" spans="1:7" ht="58.5" customHeight="1" x14ac:dyDescent="0.25">
      <c r="A23329" s="5" t="str">
        <f>"H0026262"</f>
        <v>H0026262</v>
      </c>
      <c r="B23329" s="5" t="str">
        <f t="shared" si="1160"/>
        <v>ESTANTE CONSTRUIDOS EN LAMINAS METÁLICAS SOLIDAS, RESISTENTES Y ESTABLES CON TRATAMIENTO ANTICORROSIVO, CON 7 ENTREPAÑOS, DE 0.94 CMS DE ANCHO, CON ALTURA DE 2.20MTS Y CADA BANDEJA DEBE SOPORTAR UN PESO DE 100KG/MT LINEA</v>
      </c>
      <c r="C23329" s="6">
        <v>196350</v>
      </c>
      <c r="D23329" s="5" t="s">
        <v>77</v>
      </c>
      <c r="E23329" s="5" t="str">
        <f t="shared" si="1159"/>
        <v>ACTISALUD- CEGDOC-JEFETH DIONISETTY PUERTA FIGUEROA</v>
      </c>
      <c r="F23329" s="5"/>
      <c r="G23329" s="5"/>
    </row>
    <row r="23330" spans="1:7" ht="58.5" customHeight="1" x14ac:dyDescent="0.25">
      <c r="A23330" s="5" t="str">
        <f>"H0026263"</f>
        <v>H0026263</v>
      </c>
      <c r="B23330" s="5" t="str">
        <f t="shared" si="1160"/>
        <v>ESTANTE CONSTRUIDOS EN LAMINAS METÁLICAS SOLIDAS, RESISTENTES Y ESTABLES CON TRATAMIENTO ANTICORROSIVO, CON 7 ENTREPAÑOS, DE 0.94 CMS DE ANCHO, CON ALTURA DE 2.20MTS Y CADA BANDEJA DEBE SOPORTAR UN PESO DE 100KG/MT LINEA</v>
      </c>
      <c r="C23330" s="6">
        <v>196350</v>
      </c>
      <c r="D23330" s="5" t="s">
        <v>77</v>
      </c>
      <c r="E23330" s="5" t="str">
        <f t="shared" ref="E23330:E23393" si="1161">"ACTISALUD- CEGDOC-JEFETH DIONISETTY PUERTA FIGUEROA"</f>
        <v>ACTISALUD- CEGDOC-JEFETH DIONISETTY PUERTA FIGUEROA</v>
      </c>
      <c r="F23330" s="5"/>
      <c r="G23330" s="5"/>
    </row>
    <row r="23331" spans="1:7" ht="58.5" customHeight="1" x14ac:dyDescent="0.25">
      <c r="A23331" s="5" t="str">
        <f>"H0026264"</f>
        <v>H0026264</v>
      </c>
      <c r="B23331" s="5" t="str">
        <f t="shared" si="1160"/>
        <v>ESTANTE CONSTRUIDOS EN LAMINAS METÁLICAS SOLIDAS, RESISTENTES Y ESTABLES CON TRATAMIENTO ANTICORROSIVO, CON 7 ENTREPAÑOS, DE 0.94 CMS DE ANCHO, CON ALTURA DE 2.20MTS Y CADA BANDEJA DEBE SOPORTAR UN PESO DE 100KG/MT LINEA</v>
      </c>
      <c r="C23331" s="6">
        <v>196350</v>
      </c>
      <c r="D23331" s="5" t="s">
        <v>77</v>
      </c>
      <c r="E23331" s="5" t="str">
        <f t="shared" si="1161"/>
        <v>ACTISALUD- CEGDOC-JEFETH DIONISETTY PUERTA FIGUEROA</v>
      </c>
      <c r="F23331" s="5"/>
      <c r="G23331" s="5"/>
    </row>
    <row r="23332" spans="1:7" ht="58.5" customHeight="1" x14ac:dyDescent="0.25">
      <c r="A23332" s="5" t="str">
        <f>"H0026265"</f>
        <v>H0026265</v>
      </c>
      <c r="B23332" s="5" t="str">
        <f t="shared" si="1160"/>
        <v>ESTANTE CONSTRUIDOS EN LAMINAS METÁLICAS SOLIDAS, RESISTENTES Y ESTABLES CON TRATAMIENTO ANTICORROSIVO, CON 7 ENTREPAÑOS, DE 0.94 CMS DE ANCHO, CON ALTURA DE 2.20MTS Y CADA BANDEJA DEBE SOPORTAR UN PESO DE 100KG/MT LINEA</v>
      </c>
      <c r="C23332" s="6">
        <v>196350</v>
      </c>
      <c r="D23332" s="5" t="s">
        <v>77</v>
      </c>
      <c r="E23332" s="5" t="str">
        <f t="shared" si="1161"/>
        <v>ACTISALUD- CEGDOC-JEFETH DIONISETTY PUERTA FIGUEROA</v>
      </c>
      <c r="F23332" s="5"/>
      <c r="G23332" s="5"/>
    </row>
    <row r="23333" spans="1:7" ht="58.5" customHeight="1" x14ac:dyDescent="0.25">
      <c r="A23333" s="5" t="str">
        <f>"H0026266"</f>
        <v>H0026266</v>
      </c>
      <c r="B23333" s="5" t="str">
        <f t="shared" si="1160"/>
        <v>ESTANTE CONSTRUIDOS EN LAMINAS METÁLICAS SOLIDAS, RESISTENTES Y ESTABLES CON TRATAMIENTO ANTICORROSIVO, CON 7 ENTREPAÑOS, DE 0.94 CMS DE ANCHO, CON ALTURA DE 2.20MTS Y CADA BANDEJA DEBE SOPORTAR UN PESO DE 100KG/MT LINEA</v>
      </c>
      <c r="C23333" s="6">
        <v>196350</v>
      </c>
      <c r="D23333" s="5" t="s">
        <v>77</v>
      </c>
      <c r="E23333" s="5" t="str">
        <f t="shared" si="1161"/>
        <v>ACTISALUD- CEGDOC-JEFETH DIONISETTY PUERTA FIGUEROA</v>
      </c>
      <c r="F23333" s="5"/>
      <c r="G23333" s="5"/>
    </row>
    <row r="23334" spans="1:7" ht="58.5" customHeight="1" x14ac:dyDescent="0.25">
      <c r="A23334" s="5" t="str">
        <f>"H0026267"</f>
        <v>H0026267</v>
      </c>
      <c r="B23334" s="5" t="str">
        <f t="shared" si="1160"/>
        <v>ESTANTE CONSTRUIDOS EN LAMINAS METÁLICAS SOLIDAS, RESISTENTES Y ESTABLES CON TRATAMIENTO ANTICORROSIVO, CON 7 ENTREPAÑOS, DE 0.94 CMS DE ANCHO, CON ALTURA DE 2.20MTS Y CADA BANDEJA DEBE SOPORTAR UN PESO DE 100KG/MT LINEA</v>
      </c>
      <c r="C23334" s="6">
        <v>196350</v>
      </c>
      <c r="D23334" s="5" t="s">
        <v>77</v>
      </c>
      <c r="E23334" s="5" t="str">
        <f t="shared" si="1161"/>
        <v>ACTISALUD- CEGDOC-JEFETH DIONISETTY PUERTA FIGUEROA</v>
      </c>
      <c r="F23334" s="5"/>
      <c r="G23334" s="5"/>
    </row>
    <row r="23335" spans="1:7" ht="58.5" customHeight="1" x14ac:dyDescent="0.25">
      <c r="A23335" s="5" t="str">
        <f>"H0026268"</f>
        <v>H0026268</v>
      </c>
      <c r="B23335" s="5" t="str">
        <f t="shared" si="1160"/>
        <v>ESTANTE CONSTRUIDOS EN LAMINAS METÁLICAS SOLIDAS, RESISTENTES Y ESTABLES CON TRATAMIENTO ANTICORROSIVO, CON 7 ENTREPAÑOS, DE 0.94 CMS DE ANCHO, CON ALTURA DE 2.20MTS Y CADA BANDEJA DEBE SOPORTAR UN PESO DE 100KG/MT LINEA</v>
      </c>
      <c r="C23335" s="6">
        <v>196350</v>
      </c>
      <c r="D23335" s="5" t="s">
        <v>77</v>
      </c>
      <c r="E23335" s="5" t="str">
        <f t="shared" si="1161"/>
        <v>ACTISALUD- CEGDOC-JEFETH DIONISETTY PUERTA FIGUEROA</v>
      </c>
      <c r="F23335" s="5"/>
      <c r="G23335" s="5"/>
    </row>
    <row r="23336" spans="1:7" ht="58.5" customHeight="1" x14ac:dyDescent="0.25">
      <c r="A23336" s="5" t="str">
        <f>"H0026269"</f>
        <v>H0026269</v>
      </c>
      <c r="B23336" s="5" t="str">
        <f t="shared" si="1160"/>
        <v>ESTANTE CONSTRUIDOS EN LAMINAS METÁLICAS SOLIDAS, RESISTENTES Y ESTABLES CON TRATAMIENTO ANTICORROSIVO, CON 7 ENTREPAÑOS, DE 0.94 CMS DE ANCHO, CON ALTURA DE 2.20MTS Y CADA BANDEJA DEBE SOPORTAR UN PESO DE 100KG/MT LINEA</v>
      </c>
      <c r="C23336" s="6">
        <v>196350</v>
      </c>
      <c r="D23336" s="5" t="s">
        <v>583</v>
      </c>
      <c r="E23336" s="5" t="str">
        <f t="shared" si="1161"/>
        <v>ACTISALUD- CEGDOC-JEFETH DIONISETTY PUERTA FIGUEROA</v>
      </c>
      <c r="F23336" s="5"/>
      <c r="G23336" s="5"/>
    </row>
    <row r="23337" spans="1:7" ht="58.5" customHeight="1" x14ac:dyDescent="0.25">
      <c r="A23337" s="5" t="str">
        <f>"H0026270"</f>
        <v>H0026270</v>
      </c>
      <c r="B23337" s="5" t="str">
        <f t="shared" si="1160"/>
        <v>ESTANTE CONSTRUIDOS EN LAMINAS METÁLICAS SOLIDAS, RESISTENTES Y ESTABLES CON TRATAMIENTO ANTICORROSIVO, CON 7 ENTREPAÑOS, DE 0.94 CMS DE ANCHO, CON ALTURA DE 2.20MTS Y CADA BANDEJA DEBE SOPORTAR UN PESO DE 100KG/MT LINEA</v>
      </c>
      <c r="C23337" s="6">
        <v>196350</v>
      </c>
      <c r="D23337" s="5" t="s">
        <v>77</v>
      </c>
      <c r="E23337" s="5" t="str">
        <f t="shared" si="1161"/>
        <v>ACTISALUD- CEGDOC-JEFETH DIONISETTY PUERTA FIGUEROA</v>
      </c>
      <c r="F23337" s="5"/>
      <c r="G23337" s="5"/>
    </row>
    <row r="23338" spans="1:7" ht="58.5" customHeight="1" x14ac:dyDescent="0.25">
      <c r="A23338" s="5" t="str">
        <f>"H0026271"</f>
        <v>H0026271</v>
      </c>
      <c r="B23338" s="5" t="str">
        <f t="shared" si="1160"/>
        <v>ESTANTE CONSTRUIDOS EN LAMINAS METÁLICAS SOLIDAS, RESISTENTES Y ESTABLES CON TRATAMIENTO ANTICORROSIVO, CON 7 ENTREPAÑOS, DE 0.94 CMS DE ANCHO, CON ALTURA DE 2.20MTS Y CADA BANDEJA DEBE SOPORTAR UN PESO DE 100KG/MT LINEA</v>
      </c>
      <c r="C23338" s="6">
        <v>196350</v>
      </c>
      <c r="D23338" s="5" t="s">
        <v>583</v>
      </c>
      <c r="E23338" s="5" t="str">
        <f t="shared" si="1161"/>
        <v>ACTISALUD- CEGDOC-JEFETH DIONISETTY PUERTA FIGUEROA</v>
      </c>
      <c r="F23338" s="5"/>
      <c r="G23338" s="5"/>
    </row>
    <row r="23339" spans="1:7" ht="58.5" customHeight="1" x14ac:dyDescent="0.25">
      <c r="A23339" s="5" t="str">
        <f>"H0026272"</f>
        <v>H0026272</v>
      </c>
      <c r="B23339" s="5" t="str">
        <f t="shared" si="1160"/>
        <v>ESTANTE CONSTRUIDOS EN LAMINAS METÁLICAS SOLIDAS, RESISTENTES Y ESTABLES CON TRATAMIENTO ANTICORROSIVO, CON 7 ENTREPAÑOS, DE 0.94 CMS DE ANCHO, CON ALTURA DE 2.20MTS Y CADA BANDEJA DEBE SOPORTAR UN PESO DE 100KG/MT LINEA</v>
      </c>
      <c r="C23339" s="6">
        <v>196350</v>
      </c>
      <c r="D23339" s="5" t="s">
        <v>77</v>
      </c>
      <c r="E23339" s="5" t="str">
        <f t="shared" si="1161"/>
        <v>ACTISALUD- CEGDOC-JEFETH DIONISETTY PUERTA FIGUEROA</v>
      </c>
      <c r="F23339" s="5"/>
      <c r="G23339" s="5"/>
    </row>
    <row r="23340" spans="1:7" ht="58.5" customHeight="1" x14ac:dyDescent="0.25">
      <c r="A23340" s="5" t="str">
        <f>"H0026273"</f>
        <v>H0026273</v>
      </c>
      <c r="B23340" s="5" t="str">
        <f t="shared" si="1160"/>
        <v>ESTANTE CONSTRUIDOS EN LAMINAS METÁLICAS SOLIDAS, RESISTENTES Y ESTABLES CON TRATAMIENTO ANTICORROSIVO, CON 7 ENTREPAÑOS, DE 0.94 CMS DE ANCHO, CON ALTURA DE 2.20MTS Y CADA BANDEJA DEBE SOPORTAR UN PESO DE 100KG/MT LINEA</v>
      </c>
      <c r="C23340" s="6">
        <v>196350</v>
      </c>
      <c r="D23340" s="5" t="s">
        <v>77</v>
      </c>
      <c r="E23340" s="5" t="str">
        <f t="shared" si="1161"/>
        <v>ACTISALUD- CEGDOC-JEFETH DIONISETTY PUERTA FIGUEROA</v>
      </c>
      <c r="F23340" s="5"/>
      <c r="G23340" s="5"/>
    </row>
    <row r="23341" spans="1:7" ht="58.5" customHeight="1" x14ac:dyDescent="0.25">
      <c r="A23341" s="5" t="str">
        <f>"H0026274"</f>
        <v>H0026274</v>
      </c>
      <c r="B23341" s="5" t="str">
        <f t="shared" si="1160"/>
        <v>ESTANTE CONSTRUIDOS EN LAMINAS METÁLICAS SOLIDAS, RESISTENTES Y ESTABLES CON TRATAMIENTO ANTICORROSIVO, CON 7 ENTREPAÑOS, DE 0.94 CMS DE ANCHO, CON ALTURA DE 2.20MTS Y CADA BANDEJA DEBE SOPORTAR UN PESO DE 100KG/MT LINEA</v>
      </c>
      <c r="C23341" s="6">
        <v>196350</v>
      </c>
      <c r="D23341" s="5" t="s">
        <v>77</v>
      </c>
      <c r="E23341" s="5" t="str">
        <f t="shared" si="1161"/>
        <v>ACTISALUD- CEGDOC-JEFETH DIONISETTY PUERTA FIGUEROA</v>
      </c>
      <c r="F23341" s="5"/>
      <c r="G23341" s="5"/>
    </row>
    <row r="23342" spans="1:7" ht="58.5" customHeight="1" x14ac:dyDescent="0.25">
      <c r="A23342" s="5" t="str">
        <f>"H0026275"</f>
        <v>H0026275</v>
      </c>
      <c r="B23342" s="5" t="str">
        <f t="shared" si="1160"/>
        <v>ESTANTE CONSTRUIDOS EN LAMINAS METÁLICAS SOLIDAS, RESISTENTES Y ESTABLES CON TRATAMIENTO ANTICORROSIVO, CON 7 ENTREPAÑOS, DE 0.94 CMS DE ANCHO, CON ALTURA DE 2.20MTS Y CADA BANDEJA DEBE SOPORTAR UN PESO DE 100KG/MT LINEA</v>
      </c>
      <c r="C23342" s="6">
        <v>196350</v>
      </c>
      <c r="D23342" s="5" t="s">
        <v>916</v>
      </c>
      <c r="E23342" s="5" t="str">
        <f t="shared" si="1161"/>
        <v>ACTISALUD- CEGDOC-JEFETH DIONISETTY PUERTA FIGUEROA</v>
      </c>
      <c r="F23342" s="5"/>
      <c r="G23342" s="5"/>
    </row>
    <row r="23343" spans="1:7" ht="58.5" customHeight="1" x14ac:dyDescent="0.25">
      <c r="A23343" s="5" t="str">
        <f>"H0026276"</f>
        <v>H0026276</v>
      </c>
      <c r="B23343" s="5" t="str">
        <f t="shared" si="1160"/>
        <v>ESTANTE CONSTRUIDOS EN LAMINAS METÁLICAS SOLIDAS, RESISTENTES Y ESTABLES CON TRATAMIENTO ANTICORROSIVO, CON 7 ENTREPAÑOS, DE 0.94 CMS DE ANCHO, CON ALTURA DE 2.20MTS Y CADA BANDEJA DEBE SOPORTAR UN PESO DE 100KG/MT LINEA</v>
      </c>
      <c r="C23343" s="6">
        <v>196350</v>
      </c>
      <c r="D23343" s="5" t="s">
        <v>77</v>
      </c>
      <c r="E23343" s="5" t="str">
        <f t="shared" si="1161"/>
        <v>ACTISALUD- CEGDOC-JEFETH DIONISETTY PUERTA FIGUEROA</v>
      </c>
      <c r="F23343" s="5"/>
      <c r="G23343" s="5"/>
    </row>
    <row r="23344" spans="1:7" ht="58.5" customHeight="1" x14ac:dyDescent="0.25">
      <c r="A23344" s="5" t="str">
        <f>"H0026277"</f>
        <v>H0026277</v>
      </c>
      <c r="B23344" s="5" t="str">
        <f t="shared" si="1160"/>
        <v>ESTANTE CONSTRUIDOS EN LAMINAS METÁLICAS SOLIDAS, RESISTENTES Y ESTABLES CON TRATAMIENTO ANTICORROSIVO, CON 7 ENTREPAÑOS, DE 0.94 CMS DE ANCHO, CON ALTURA DE 2.20MTS Y CADA BANDEJA DEBE SOPORTAR UN PESO DE 100KG/MT LINEA</v>
      </c>
      <c r="C23344" s="6">
        <v>196350</v>
      </c>
      <c r="D23344" s="5" t="s">
        <v>77</v>
      </c>
      <c r="E23344" s="5" t="str">
        <f t="shared" si="1161"/>
        <v>ACTISALUD- CEGDOC-JEFETH DIONISETTY PUERTA FIGUEROA</v>
      </c>
      <c r="F23344" s="5"/>
      <c r="G23344" s="5"/>
    </row>
    <row r="23345" spans="1:7" ht="58.5" customHeight="1" x14ac:dyDescent="0.25">
      <c r="A23345" s="5" t="str">
        <f>"H0026278"</f>
        <v>H0026278</v>
      </c>
      <c r="B23345" s="5" t="str">
        <f t="shared" si="1160"/>
        <v>ESTANTE CONSTRUIDOS EN LAMINAS METÁLICAS SOLIDAS, RESISTENTES Y ESTABLES CON TRATAMIENTO ANTICORROSIVO, CON 7 ENTREPAÑOS, DE 0.94 CMS DE ANCHO, CON ALTURA DE 2.20MTS Y CADA BANDEJA DEBE SOPORTAR UN PESO DE 100KG/MT LINEA</v>
      </c>
      <c r="C23345" s="6">
        <v>196350</v>
      </c>
      <c r="D23345" s="5" t="s">
        <v>77</v>
      </c>
      <c r="E23345" s="5" t="str">
        <f t="shared" si="1161"/>
        <v>ACTISALUD- CEGDOC-JEFETH DIONISETTY PUERTA FIGUEROA</v>
      </c>
      <c r="F23345" s="5"/>
      <c r="G23345" s="5"/>
    </row>
    <row r="23346" spans="1:7" ht="58.5" customHeight="1" x14ac:dyDescent="0.25">
      <c r="A23346" s="5" t="str">
        <f>"H0026279"</f>
        <v>H0026279</v>
      </c>
      <c r="B23346" s="5" t="str">
        <f t="shared" si="1160"/>
        <v>ESTANTE CONSTRUIDOS EN LAMINAS METÁLICAS SOLIDAS, RESISTENTES Y ESTABLES CON TRATAMIENTO ANTICORROSIVO, CON 7 ENTREPAÑOS, DE 0.94 CMS DE ANCHO, CON ALTURA DE 2.20MTS Y CADA BANDEJA DEBE SOPORTAR UN PESO DE 100KG/MT LINEA</v>
      </c>
      <c r="C23346" s="6">
        <v>196350</v>
      </c>
      <c r="D23346" s="5" t="s">
        <v>77</v>
      </c>
      <c r="E23346" s="5" t="str">
        <f t="shared" si="1161"/>
        <v>ACTISALUD- CEGDOC-JEFETH DIONISETTY PUERTA FIGUEROA</v>
      </c>
      <c r="F23346" s="5"/>
      <c r="G23346" s="5"/>
    </row>
    <row r="23347" spans="1:7" ht="58.5" customHeight="1" x14ac:dyDescent="0.25">
      <c r="A23347" s="5" t="str">
        <f>"H0026280"</f>
        <v>H0026280</v>
      </c>
      <c r="B23347" s="5" t="str">
        <f t="shared" si="1160"/>
        <v>ESTANTE CONSTRUIDOS EN LAMINAS METÁLICAS SOLIDAS, RESISTENTES Y ESTABLES CON TRATAMIENTO ANTICORROSIVO, CON 7 ENTREPAÑOS, DE 0.94 CMS DE ANCHO, CON ALTURA DE 2.20MTS Y CADA BANDEJA DEBE SOPORTAR UN PESO DE 100KG/MT LINEA</v>
      </c>
      <c r="C23347" s="6">
        <v>196350</v>
      </c>
      <c r="D23347" s="5" t="s">
        <v>77</v>
      </c>
      <c r="E23347" s="5" t="str">
        <f t="shared" si="1161"/>
        <v>ACTISALUD- CEGDOC-JEFETH DIONISETTY PUERTA FIGUEROA</v>
      </c>
      <c r="F23347" s="5"/>
      <c r="G23347" s="5"/>
    </row>
    <row r="23348" spans="1:7" ht="58.5" customHeight="1" x14ac:dyDescent="0.25">
      <c r="A23348" s="5" t="str">
        <f>"H0026281"</f>
        <v>H0026281</v>
      </c>
      <c r="B23348" s="5" t="str">
        <f t="shared" si="1160"/>
        <v>ESTANTE CONSTRUIDOS EN LAMINAS METÁLICAS SOLIDAS, RESISTENTES Y ESTABLES CON TRATAMIENTO ANTICORROSIVO, CON 7 ENTREPAÑOS, DE 0.94 CMS DE ANCHO, CON ALTURA DE 2.20MTS Y CADA BANDEJA DEBE SOPORTAR UN PESO DE 100KG/MT LINEA</v>
      </c>
      <c r="C23348" s="6">
        <v>196350</v>
      </c>
      <c r="D23348" s="5" t="s">
        <v>77</v>
      </c>
      <c r="E23348" s="5" t="str">
        <f t="shared" si="1161"/>
        <v>ACTISALUD- CEGDOC-JEFETH DIONISETTY PUERTA FIGUEROA</v>
      </c>
      <c r="F23348" s="5"/>
      <c r="G23348" s="5"/>
    </row>
    <row r="23349" spans="1:7" ht="58.5" customHeight="1" x14ac:dyDescent="0.25">
      <c r="A23349" s="5" t="str">
        <f>"H0026282"</f>
        <v>H0026282</v>
      </c>
      <c r="B23349" s="5" t="str">
        <f t="shared" si="1160"/>
        <v>ESTANTE CONSTRUIDOS EN LAMINAS METÁLICAS SOLIDAS, RESISTENTES Y ESTABLES CON TRATAMIENTO ANTICORROSIVO, CON 7 ENTREPAÑOS, DE 0.94 CMS DE ANCHO, CON ALTURA DE 2.20MTS Y CADA BANDEJA DEBE SOPORTAR UN PESO DE 100KG/MT LINEA</v>
      </c>
      <c r="C23349" s="6">
        <v>196350</v>
      </c>
      <c r="D23349" s="5" t="s">
        <v>77</v>
      </c>
      <c r="E23349" s="5" t="str">
        <f t="shared" si="1161"/>
        <v>ACTISALUD- CEGDOC-JEFETH DIONISETTY PUERTA FIGUEROA</v>
      </c>
      <c r="F23349" s="5"/>
      <c r="G23349" s="5"/>
    </row>
    <row r="23350" spans="1:7" ht="58.5" customHeight="1" x14ac:dyDescent="0.25">
      <c r="A23350" s="5" t="str">
        <f>"H0026283"</f>
        <v>H0026283</v>
      </c>
      <c r="B23350" s="5" t="str">
        <f t="shared" si="1160"/>
        <v>ESTANTE CONSTRUIDOS EN LAMINAS METÁLICAS SOLIDAS, RESISTENTES Y ESTABLES CON TRATAMIENTO ANTICORROSIVO, CON 7 ENTREPAÑOS, DE 0.94 CMS DE ANCHO, CON ALTURA DE 2.20MTS Y CADA BANDEJA DEBE SOPORTAR UN PESO DE 100KG/MT LINEA</v>
      </c>
      <c r="C23350" s="6">
        <v>196350</v>
      </c>
      <c r="D23350" s="5" t="s">
        <v>77</v>
      </c>
      <c r="E23350" s="5" t="str">
        <f t="shared" si="1161"/>
        <v>ACTISALUD- CEGDOC-JEFETH DIONISETTY PUERTA FIGUEROA</v>
      </c>
      <c r="F23350" s="5"/>
      <c r="G23350" s="5"/>
    </row>
    <row r="23351" spans="1:7" ht="58.5" customHeight="1" x14ac:dyDescent="0.25">
      <c r="A23351" s="5" t="str">
        <f>"H0026284"</f>
        <v>H0026284</v>
      </c>
      <c r="B23351" s="5" t="str">
        <f t="shared" si="1160"/>
        <v>ESTANTE CONSTRUIDOS EN LAMINAS METÁLICAS SOLIDAS, RESISTENTES Y ESTABLES CON TRATAMIENTO ANTICORROSIVO, CON 7 ENTREPAÑOS, DE 0.94 CMS DE ANCHO, CON ALTURA DE 2.20MTS Y CADA BANDEJA DEBE SOPORTAR UN PESO DE 100KG/MT LINEA</v>
      </c>
      <c r="C23351" s="6">
        <v>196350</v>
      </c>
      <c r="D23351" s="5" t="s">
        <v>77</v>
      </c>
      <c r="E23351" s="5" t="str">
        <f t="shared" si="1161"/>
        <v>ACTISALUD- CEGDOC-JEFETH DIONISETTY PUERTA FIGUEROA</v>
      </c>
      <c r="F23351" s="5"/>
      <c r="G23351" s="5"/>
    </row>
    <row r="23352" spans="1:7" ht="58.5" customHeight="1" x14ac:dyDescent="0.25">
      <c r="A23352" s="5" t="str">
        <f>"H0026285"</f>
        <v>H0026285</v>
      </c>
      <c r="B23352" s="5" t="str">
        <f t="shared" si="1160"/>
        <v>ESTANTE CONSTRUIDOS EN LAMINAS METÁLICAS SOLIDAS, RESISTENTES Y ESTABLES CON TRATAMIENTO ANTICORROSIVO, CON 7 ENTREPAÑOS, DE 0.94 CMS DE ANCHO, CON ALTURA DE 2.20MTS Y CADA BANDEJA DEBE SOPORTAR UN PESO DE 100KG/MT LINEA</v>
      </c>
      <c r="C23352" s="6">
        <v>196350</v>
      </c>
      <c r="D23352" s="5" t="s">
        <v>77</v>
      </c>
      <c r="E23352" s="5" t="str">
        <f t="shared" si="1161"/>
        <v>ACTISALUD- CEGDOC-JEFETH DIONISETTY PUERTA FIGUEROA</v>
      </c>
      <c r="F23352" s="5"/>
      <c r="G23352" s="5"/>
    </row>
    <row r="23353" spans="1:7" ht="58.5" customHeight="1" x14ac:dyDescent="0.25">
      <c r="A23353" s="5" t="str">
        <f>"H0026286"</f>
        <v>H0026286</v>
      </c>
      <c r="B23353" s="5" t="str">
        <f t="shared" si="1160"/>
        <v>ESTANTE CONSTRUIDOS EN LAMINAS METÁLICAS SOLIDAS, RESISTENTES Y ESTABLES CON TRATAMIENTO ANTICORROSIVO, CON 7 ENTREPAÑOS, DE 0.94 CMS DE ANCHO, CON ALTURA DE 2.20MTS Y CADA BANDEJA DEBE SOPORTAR UN PESO DE 100KG/MT LINEA</v>
      </c>
      <c r="C23353" s="6">
        <v>196350</v>
      </c>
      <c r="D23353" s="5" t="s">
        <v>77</v>
      </c>
      <c r="E23353" s="5" t="str">
        <f t="shared" si="1161"/>
        <v>ACTISALUD- CEGDOC-JEFETH DIONISETTY PUERTA FIGUEROA</v>
      </c>
      <c r="F23353" s="5"/>
      <c r="G23353" s="5"/>
    </row>
    <row r="23354" spans="1:7" ht="58.5" customHeight="1" x14ac:dyDescent="0.25">
      <c r="A23354" s="5" t="str">
        <f>"H0026287"</f>
        <v>H0026287</v>
      </c>
      <c r="B23354" s="5" t="str">
        <f t="shared" si="1160"/>
        <v>ESTANTE CONSTRUIDOS EN LAMINAS METÁLICAS SOLIDAS, RESISTENTES Y ESTABLES CON TRATAMIENTO ANTICORROSIVO, CON 7 ENTREPAÑOS, DE 0.94 CMS DE ANCHO, CON ALTURA DE 2.20MTS Y CADA BANDEJA DEBE SOPORTAR UN PESO DE 100KG/MT LINEA</v>
      </c>
      <c r="C23354" s="6">
        <v>196350</v>
      </c>
      <c r="D23354" s="5" t="s">
        <v>77</v>
      </c>
      <c r="E23354" s="5" t="str">
        <f t="shared" si="1161"/>
        <v>ACTISALUD- CEGDOC-JEFETH DIONISETTY PUERTA FIGUEROA</v>
      </c>
      <c r="F23354" s="5"/>
      <c r="G23354" s="5"/>
    </row>
    <row r="23355" spans="1:7" ht="58.5" customHeight="1" x14ac:dyDescent="0.25">
      <c r="A23355" s="5" t="str">
        <f>"H0026288"</f>
        <v>H0026288</v>
      </c>
      <c r="B23355" s="5" t="str">
        <f t="shared" si="1160"/>
        <v>ESTANTE CONSTRUIDOS EN LAMINAS METÁLICAS SOLIDAS, RESISTENTES Y ESTABLES CON TRATAMIENTO ANTICORROSIVO, CON 7 ENTREPAÑOS, DE 0.94 CMS DE ANCHO, CON ALTURA DE 2.20MTS Y CADA BANDEJA DEBE SOPORTAR UN PESO DE 100KG/MT LINEA</v>
      </c>
      <c r="C23355" s="6">
        <v>196350</v>
      </c>
      <c r="D23355" s="5" t="s">
        <v>77</v>
      </c>
      <c r="E23355" s="5" t="str">
        <f t="shared" si="1161"/>
        <v>ACTISALUD- CEGDOC-JEFETH DIONISETTY PUERTA FIGUEROA</v>
      </c>
      <c r="F23355" s="5"/>
      <c r="G23355" s="5"/>
    </row>
    <row r="23356" spans="1:7" ht="58.5" customHeight="1" x14ac:dyDescent="0.25">
      <c r="A23356" s="5" t="str">
        <f>"H0026289"</f>
        <v>H0026289</v>
      </c>
      <c r="B23356" s="5" t="str">
        <f t="shared" si="1160"/>
        <v>ESTANTE CONSTRUIDOS EN LAMINAS METÁLICAS SOLIDAS, RESISTENTES Y ESTABLES CON TRATAMIENTO ANTICORROSIVO, CON 7 ENTREPAÑOS, DE 0.94 CMS DE ANCHO, CON ALTURA DE 2.20MTS Y CADA BANDEJA DEBE SOPORTAR UN PESO DE 100KG/MT LINEA</v>
      </c>
      <c r="C23356" s="6">
        <v>196350</v>
      </c>
      <c r="D23356" s="5" t="s">
        <v>77</v>
      </c>
      <c r="E23356" s="5" t="str">
        <f t="shared" si="1161"/>
        <v>ACTISALUD- CEGDOC-JEFETH DIONISETTY PUERTA FIGUEROA</v>
      </c>
      <c r="F23356" s="5"/>
      <c r="G23356" s="5"/>
    </row>
    <row r="23357" spans="1:7" ht="58.5" customHeight="1" x14ac:dyDescent="0.25">
      <c r="A23357" s="5" t="str">
        <f>"H0026290"</f>
        <v>H0026290</v>
      </c>
      <c r="B23357" s="5" t="str">
        <f t="shared" si="1160"/>
        <v>ESTANTE CONSTRUIDOS EN LAMINAS METÁLICAS SOLIDAS, RESISTENTES Y ESTABLES CON TRATAMIENTO ANTICORROSIVO, CON 7 ENTREPAÑOS, DE 0.94 CMS DE ANCHO, CON ALTURA DE 2.20MTS Y CADA BANDEJA DEBE SOPORTAR UN PESO DE 100KG/MT LINEA</v>
      </c>
      <c r="C23357" s="6">
        <v>196350</v>
      </c>
      <c r="D23357" s="5" t="s">
        <v>77</v>
      </c>
      <c r="E23357" s="5" t="str">
        <f t="shared" si="1161"/>
        <v>ACTISALUD- CEGDOC-JEFETH DIONISETTY PUERTA FIGUEROA</v>
      </c>
      <c r="F23357" s="5"/>
      <c r="G23357" s="5"/>
    </row>
    <row r="23358" spans="1:7" ht="58.5" customHeight="1" x14ac:dyDescent="0.25">
      <c r="A23358" s="5" t="str">
        <f>"H0026291"</f>
        <v>H0026291</v>
      </c>
      <c r="B23358" s="5" t="str">
        <f t="shared" si="1160"/>
        <v>ESTANTE CONSTRUIDOS EN LAMINAS METÁLICAS SOLIDAS, RESISTENTES Y ESTABLES CON TRATAMIENTO ANTICORROSIVO, CON 7 ENTREPAÑOS, DE 0.94 CMS DE ANCHO, CON ALTURA DE 2.20MTS Y CADA BANDEJA DEBE SOPORTAR UN PESO DE 100KG/MT LINEA</v>
      </c>
      <c r="C23358" s="6">
        <v>196350</v>
      </c>
      <c r="D23358" s="5" t="s">
        <v>77</v>
      </c>
      <c r="E23358" s="5" t="str">
        <f t="shared" si="1161"/>
        <v>ACTISALUD- CEGDOC-JEFETH DIONISETTY PUERTA FIGUEROA</v>
      </c>
      <c r="F23358" s="5"/>
      <c r="G23358" s="5"/>
    </row>
    <row r="23359" spans="1:7" ht="58.5" customHeight="1" x14ac:dyDescent="0.25">
      <c r="A23359" s="5" t="str">
        <f>"H0026292"</f>
        <v>H0026292</v>
      </c>
      <c r="B23359" s="5" t="str">
        <f t="shared" si="1160"/>
        <v>ESTANTE CONSTRUIDOS EN LAMINAS METÁLICAS SOLIDAS, RESISTENTES Y ESTABLES CON TRATAMIENTO ANTICORROSIVO, CON 7 ENTREPAÑOS, DE 0.94 CMS DE ANCHO, CON ALTURA DE 2.20MTS Y CADA BANDEJA DEBE SOPORTAR UN PESO DE 100KG/MT LINEA</v>
      </c>
      <c r="C23359" s="6">
        <v>196350</v>
      </c>
      <c r="D23359" s="5" t="s">
        <v>77</v>
      </c>
      <c r="E23359" s="5" t="str">
        <f t="shared" si="1161"/>
        <v>ACTISALUD- CEGDOC-JEFETH DIONISETTY PUERTA FIGUEROA</v>
      </c>
      <c r="F23359" s="5"/>
      <c r="G23359" s="5"/>
    </row>
    <row r="23360" spans="1:7" ht="58.5" customHeight="1" x14ac:dyDescent="0.25">
      <c r="A23360" s="5" t="str">
        <f>"H0026293"</f>
        <v>H0026293</v>
      </c>
      <c r="B23360" s="5" t="str">
        <f t="shared" si="1160"/>
        <v>ESTANTE CONSTRUIDOS EN LAMINAS METÁLICAS SOLIDAS, RESISTENTES Y ESTABLES CON TRATAMIENTO ANTICORROSIVO, CON 7 ENTREPAÑOS, DE 0.94 CMS DE ANCHO, CON ALTURA DE 2.20MTS Y CADA BANDEJA DEBE SOPORTAR UN PESO DE 100KG/MT LINEA</v>
      </c>
      <c r="C23360" s="6">
        <v>196350</v>
      </c>
      <c r="D23360" s="5" t="s">
        <v>77</v>
      </c>
      <c r="E23360" s="5" t="str">
        <f t="shared" si="1161"/>
        <v>ACTISALUD- CEGDOC-JEFETH DIONISETTY PUERTA FIGUEROA</v>
      </c>
      <c r="F23360" s="5"/>
      <c r="G23360" s="5"/>
    </row>
    <row r="23361" spans="1:7" ht="58.5" customHeight="1" x14ac:dyDescent="0.25">
      <c r="A23361" s="5" t="str">
        <f>"H0026294"</f>
        <v>H0026294</v>
      </c>
      <c r="B23361" s="5" t="str">
        <f t="shared" si="1160"/>
        <v>ESTANTE CONSTRUIDOS EN LAMINAS METÁLICAS SOLIDAS, RESISTENTES Y ESTABLES CON TRATAMIENTO ANTICORROSIVO, CON 7 ENTREPAÑOS, DE 0.94 CMS DE ANCHO, CON ALTURA DE 2.20MTS Y CADA BANDEJA DEBE SOPORTAR UN PESO DE 100KG/MT LINEA</v>
      </c>
      <c r="C23361" s="6">
        <v>196350</v>
      </c>
      <c r="D23361" s="5" t="s">
        <v>583</v>
      </c>
      <c r="E23361" s="5" t="str">
        <f t="shared" si="1161"/>
        <v>ACTISALUD- CEGDOC-JEFETH DIONISETTY PUERTA FIGUEROA</v>
      </c>
      <c r="F23361" s="5"/>
      <c r="G23361" s="5"/>
    </row>
    <row r="23362" spans="1:7" ht="58.5" customHeight="1" x14ac:dyDescent="0.25">
      <c r="A23362" s="5" t="str">
        <f>"H0026295"</f>
        <v>H0026295</v>
      </c>
      <c r="B23362" s="5" t="str">
        <f t="shared" si="1160"/>
        <v>ESTANTE CONSTRUIDOS EN LAMINAS METÁLICAS SOLIDAS, RESISTENTES Y ESTABLES CON TRATAMIENTO ANTICORROSIVO, CON 7 ENTREPAÑOS, DE 0.94 CMS DE ANCHO, CON ALTURA DE 2.20MTS Y CADA BANDEJA DEBE SOPORTAR UN PESO DE 100KG/MT LINEA</v>
      </c>
      <c r="C23362" s="6">
        <v>196350</v>
      </c>
      <c r="D23362" s="5" t="s">
        <v>77</v>
      </c>
      <c r="E23362" s="5" t="str">
        <f t="shared" si="1161"/>
        <v>ACTISALUD- CEGDOC-JEFETH DIONISETTY PUERTA FIGUEROA</v>
      </c>
      <c r="F23362" s="5"/>
      <c r="G23362" s="5"/>
    </row>
    <row r="23363" spans="1:7" ht="58.5" customHeight="1" x14ac:dyDescent="0.25">
      <c r="A23363" s="5" t="str">
        <f>"H0026296"</f>
        <v>H0026296</v>
      </c>
      <c r="B23363" s="5" t="str">
        <f t="shared" si="1160"/>
        <v>ESTANTE CONSTRUIDOS EN LAMINAS METÁLICAS SOLIDAS, RESISTENTES Y ESTABLES CON TRATAMIENTO ANTICORROSIVO, CON 7 ENTREPAÑOS, DE 0.94 CMS DE ANCHO, CON ALTURA DE 2.20MTS Y CADA BANDEJA DEBE SOPORTAR UN PESO DE 100KG/MT LINEA</v>
      </c>
      <c r="C23363" s="6">
        <v>196350</v>
      </c>
      <c r="D23363" s="5" t="s">
        <v>77</v>
      </c>
      <c r="E23363" s="5" t="str">
        <f t="shared" si="1161"/>
        <v>ACTISALUD- CEGDOC-JEFETH DIONISETTY PUERTA FIGUEROA</v>
      </c>
      <c r="F23363" s="5"/>
      <c r="G23363" s="5"/>
    </row>
    <row r="23364" spans="1:7" ht="58.5" customHeight="1" x14ac:dyDescent="0.25">
      <c r="A23364" s="5" t="str">
        <f>"H0026297"</f>
        <v>H0026297</v>
      </c>
      <c r="B23364" s="5" t="str">
        <f t="shared" si="1160"/>
        <v>ESTANTE CONSTRUIDOS EN LAMINAS METÁLICAS SOLIDAS, RESISTENTES Y ESTABLES CON TRATAMIENTO ANTICORROSIVO, CON 7 ENTREPAÑOS, DE 0.94 CMS DE ANCHO, CON ALTURA DE 2.20MTS Y CADA BANDEJA DEBE SOPORTAR UN PESO DE 100KG/MT LINEA</v>
      </c>
      <c r="C23364" s="6">
        <v>196350</v>
      </c>
      <c r="D23364" s="5" t="s">
        <v>583</v>
      </c>
      <c r="E23364" s="5" t="str">
        <f t="shared" si="1161"/>
        <v>ACTISALUD- CEGDOC-JEFETH DIONISETTY PUERTA FIGUEROA</v>
      </c>
      <c r="F23364" s="5"/>
      <c r="G23364" s="5"/>
    </row>
    <row r="23365" spans="1:7" ht="58.5" customHeight="1" x14ac:dyDescent="0.25">
      <c r="A23365" s="5" t="str">
        <f>"H0026298"</f>
        <v>H0026298</v>
      </c>
      <c r="B23365" s="5" t="str">
        <f t="shared" si="1160"/>
        <v>ESTANTE CONSTRUIDOS EN LAMINAS METÁLICAS SOLIDAS, RESISTENTES Y ESTABLES CON TRATAMIENTO ANTICORROSIVO, CON 7 ENTREPAÑOS, DE 0.94 CMS DE ANCHO, CON ALTURA DE 2.20MTS Y CADA BANDEJA DEBE SOPORTAR UN PESO DE 100KG/MT LINEA</v>
      </c>
      <c r="C23365" s="6">
        <v>196350</v>
      </c>
      <c r="D23365" s="5" t="s">
        <v>77</v>
      </c>
      <c r="E23365" s="5" t="str">
        <f t="shared" si="1161"/>
        <v>ACTISALUD- CEGDOC-JEFETH DIONISETTY PUERTA FIGUEROA</v>
      </c>
      <c r="F23365" s="5"/>
      <c r="G23365" s="5"/>
    </row>
    <row r="23366" spans="1:7" ht="58.5" customHeight="1" x14ac:dyDescent="0.25">
      <c r="A23366" s="5" t="str">
        <f>"H0026299"</f>
        <v>H0026299</v>
      </c>
      <c r="B23366" s="5" t="str">
        <f t="shared" si="1160"/>
        <v>ESTANTE CONSTRUIDOS EN LAMINAS METÁLICAS SOLIDAS, RESISTENTES Y ESTABLES CON TRATAMIENTO ANTICORROSIVO, CON 7 ENTREPAÑOS, DE 0.94 CMS DE ANCHO, CON ALTURA DE 2.20MTS Y CADA BANDEJA DEBE SOPORTAR UN PESO DE 100KG/MT LINEA</v>
      </c>
      <c r="C23366" s="6">
        <v>196350</v>
      </c>
      <c r="D23366" s="5" t="s">
        <v>77</v>
      </c>
      <c r="E23366" s="5" t="str">
        <f t="shared" si="1161"/>
        <v>ACTISALUD- CEGDOC-JEFETH DIONISETTY PUERTA FIGUEROA</v>
      </c>
      <c r="F23366" s="5"/>
      <c r="G23366" s="5"/>
    </row>
    <row r="23367" spans="1:7" ht="58.5" customHeight="1" x14ac:dyDescent="0.25">
      <c r="A23367" s="5" t="str">
        <f>"H0026300"</f>
        <v>H0026300</v>
      </c>
      <c r="B23367" s="5" t="str">
        <f t="shared" si="1160"/>
        <v>ESTANTE CONSTRUIDOS EN LAMINAS METÁLICAS SOLIDAS, RESISTENTES Y ESTABLES CON TRATAMIENTO ANTICORROSIVO, CON 7 ENTREPAÑOS, DE 0.94 CMS DE ANCHO, CON ALTURA DE 2.20MTS Y CADA BANDEJA DEBE SOPORTAR UN PESO DE 100KG/MT LINEA</v>
      </c>
      <c r="C23367" s="6">
        <v>196350</v>
      </c>
      <c r="D23367" s="5" t="s">
        <v>77</v>
      </c>
      <c r="E23367" s="5" t="str">
        <f t="shared" si="1161"/>
        <v>ACTISALUD- CEGDOC-JEFETH DIONISETTY PUERTA FIGUEROA</v>
      </c>
      <c r="F23367" s="5"/>
      <c r="G23367" s="5"/>
    </row>
    <row r="23368" spans="1:7" ht="58.5" customHeight="1" x14ac:dyDescent="0.25">
      <c r="A23368" s="5" t="str">
        <f>"H0026301"</f>
        <v>H0026301</v>
      </c>
      <c r="B23368" s="5" t="str">
        <f t="shared" si="1160"/>
        <v>ESTANTE CONSTRUIDOS EN LAMINAS METÁLICAS SOLIDAS, RESISTENTES Y ESTABLES CON TRATAMIENTO ANTICORROSIVO, CON 7 ENTREPAÑOS, DE 0.94 CMS DE ANCHO, CON ALTURA DE 2.20MTS Y CADA BANDEJA DEBE SOPORTAR UN PESO DE 100KG/MT LINEA</v>
      </c>
      <c r="C23368" s="6">
        <v>196350</v>
      </c>
      <c r="D23368" s="5" t="s">
        <v>77</v>
      </c>
      <c r="E23368" s="5" t="str">
        <f t="shared" si="1161"/>
        <v>ACTISALUD- CEGDOC-JEFETH DIONISETTY PUERTA FIGUEROA</v>
      </c>
      <c r="F23368" s="5"/>
      <c r="G23368" s="5"/>
    </row>
    <row r="23369" spans="1:7" ht="58.5" customHeight="1" x14ac:dyDescent="0.25">
      <c r="A23369" s="5" t="str">
        <f>"H0026302"</f>
        <v>H0026302</v>
      </c>
      <c r="B23369" s="5" t="str">
        <f t="shared" si="1160"/>
        <v>ESTANTE CONSTRUIDOS EN LAMINAS METÁLICAS SOLIDAS, RESISTENTES Y ESTABLES CON TRATAMIENTO ANTICORROSIVO, CON 7 ENTREPAÑOS, DE 0.94 CMS DE ANCHO, CON ALTURA DE 2.20MTS Y CADA BANDEJA DEBE SOPORTAR UN PESO DE 100KG/MT LINEA</v>
      </c>
      <c r="C23369" s="6">
        <v>196350</v>
      </c>
      <c r="D23369" s="5" t="s">
        <v>77</v>
      </c>
      <c r="E23369" s="5" t="str">
        <f t="shared" si="1161"/>
        <v>ACTISALUD- CEGDOC-JEFETH DIONISETTY PUERTA FIGUEROA</v>
      </c>
      <c r="F23369" s="5"/>
      <c r="G23369" s="5"/>
    </row>
    <row r="23370" spans="1:7" ht="58.5" customHeight="1" x14ac:dyDescent="0.25">
      <c r="A23370" s="5" t="str">
        <f>"H0026303"</f>
        <v>H0026303</v>
      </c>
      <c r="B23370" s="5" t="str">
        <f t="shared" si="1160"/>
        <v>ESTANTE CONSTRUIDOS EN LAMINAS METÁLICAS SOLIDAS, RESISTENTES Y ESTABLES CON TRATAMIENTO ANTICORROSIVO, CON 7 ENTREPAÑOS, DE 0.94 CMS DE ANCHO, CON ALTURA DE 2.20MTS Y CADA BANDEJA DEBE SOPORTAR UN PESO DE 100KG/MT LINEA</v>
      </c>
      <c r="C23370" s="6">
        <v>196350</v>
      </c>
      <c r="D23370" s="5" t="s">
        <v>77</v>
      </c>
      <c r="E23370" s="5" t="str">
        <f t="shared" si="1161"/>
        <v>ACTISALUD- CEGDOC-JEFETH DIONISETTY PUERTA FIGUEROA</v>
      </c>
      <c r="F23370" s="5"/>
      <c r="G23370" s="5"/>
    </row>
    <row r="23371" spans="1:7" ht="58.5" customHeight="1" x14ac:dyDescent="0.25">
      <c r="A23371" s="5" t="str">
        <f>"H0026304"</f>
        <v>H0026304</v>
      </c>
      <c r="B23371" s="5" t="str">
        <f t="shared" si="1160"/>
        <v>ESTANTE CONSTRUIDOS EN LAMINAS METÁLICAS SOLIDAS, RESISTENTES Y ESTABLES CON TRATAMIENTO ANTICORROSIVO, CON 7 ENTREPAÑOS, DE 0.94 CMS DE ANCHO, CON ALTURA DE 2.20MTS Y CADA BANDEJA DEBE SOPORTAR UN PESO DE 100KG/MT LINEA</v>
      </c>
      <c r="C23371" s="6">
        <v>196350</v>
      </c>
      <c r="D23371" s="5" t="s">
        <v>77</v>
      </c>
      <c r="E23371" s="5" t="str">
        <f t="shared" si="1161"/>
        <v>ACTISALUD- CEGDOC-JEFETH DIONISETTY PUERTA FIGUEROA</v>
      </c>
      <c r="F23371" s="5"/>
      <c r="G23371" s="5"/>
    </row>
    <row r="23372" spans="1:7" ht="58.5" customHeight="1" x14ac:dyDescent="0.25">
      <c r="A23372" s="5" t="str">
        <f>"H0026305"</f>
        <v>H0026305</v>
      </c>
      <c r="B23372" s="5" t="str">
        <f t="shared" si="1160"/>
        <v>ESTANTE CONSTRUIDOS EN LAMINAS METÁLICAS SOLIDAS, RESISTENTES Y ESTABLES CON TRATAMIENTO ANTICORROSIVO, CON 7 ENTREPAÑOS, DE 0.94 CMS DE ANCHO, CON ALTURA DE 2.20MTS Y CADA BANDEJA DEBE SOPORTAR UN PESO DE 100KG/MT LINEA</v>
      </c>
      <c r="C23372" s="6">
        <v>196350</v>
      </c>
      <c r="D23372" s="5" t="s">
        <v>77</v>
      </c>
      <c r="E23372" s="5" t="str">
        <f t="shared" si="1161"/>
        <v>ACTISALUD- CEGDOC-JEFETH DIONISETTY PUERTA FIGUEROA</v>
      </c>
      <c r="F23372" s="5"/>
      <c r="G23372" s="5"/>
    </row>
    <row r="23373" spans="1:7" ht="58.5" customHeight="1" x14ac:dyDescent="0.25">
      <c r="A23373" s="5" t="str">
        <f>"H0026306"</f>
        <v>H0026306</v>
      </c>
      <c r="B23373" s="5" t="str">
        <f t="shared" si="1160"/>
        <v>ESTANTE CONSTRUIDOS EN LAMINAS METÁLICAS SOLIDAS, RESISTENTES Y ESTABLES CON TRATAMIENTO ANTICORROSIVO, CON 7 ENTREPAÑOS, DE 0.94 CMS DE ANCHO, CON ALTURA DE 2.20MTS Y CADA BANDEJA DEBE SOPORTAR UN PESO DE 100KG/MT LINEA</v>
      </c>
      <c r="C23373" s="6">
        <v>196350</v>
      </c>
      <c r="D23373" s="5" t="s">
        <v>77</v>
      </c>
      <c r="E23373" s="5" t="str">
        <f t="shared" si="1161"/>
        <v>ACTISALUD- CEGDOC-JEFETH DIONISETTY PUERTA FIGUEROA</v>
      </c>
      <c r="F23373" s="5"/>
      <c r="G23373" s="5"/>
    </row>
    <row r="23374" spans="1:7" ht="58.5" customHeight="1" x14ac:dyDescent="0.25">
      <c r="A23374" s="5" t="str">
        <f>"H0026307"</f>
        <v>H0026307</v>
      </c>
      <c r="B23374" s="5" t="str">
        <f t="shared" si="1160"/>
        <v>ESTANTE CONSTRUIDOS EN LAMINAS METÁLICAS SOLIDAS, RESISTENTES Y ESTABLES CON TRATAMIENTO ANTICORROSIVO, CON 7 ENTREPAÑOS, DE 0.94 CMS DE ANCHO, CON ALTURA DE 2.20MTS Y CADA BANDEJA DEBE SOPORTAR UN PESO DE 100KG/MT LINEA</v>
      </c>
      <c r="C23374" s="6">
        <v>196350</v>
      </c>
      <c r="D23374" s="5" t="s">
        <v>77</v>
      </c>
      <c r="E23374" s="5" t="str">
        <f t="shared" si="1161"/>
        <v>ACTISALUD- CEGDOC-JEFETH DIONISETTY PUERTA FIGUEROA</v>
      </c>
      <c r="F23374" s="5"/>
      <c r="G23374" s="5"/>
    </row>
    <row r="23375" spans="1:7" ht="58.5" customHeight="1" x14ac:dyDescent="0.25">
      <c r="A23375" s="5" t="str">
        <f>"H0026308"</f>
        <v>H0026308</v>
      </c>
      <c r="B23375" s="5" t="str">
        <f t="shared" si="1160"/>
        <v>ESTANTE CONSTRUIDOS EN LAMINAS METÁLICAS SOLIDAS, RESISTENTES Y ESTABLES CON TRATAMIENTO ANTICORROSIVO, CON 7 ENTREPAÑOS, DE 0.94 CMS DE ANCHO, CON ALTURA DE 2.20MTS Y CADA BANDEJA DEBE SOPORTAR UN PESO DE 100KG/MT LINEA</v>
      </c>
      <c r="C23375" s="6">
        <v>196350</v>
      </c>
      <c r="D23375" s="5" t="s">
        <v>77</v>
      </c>
      <c r="E23375" s="5" t="str">
        <f t="shared" si="1161"/>
        <v>ACTISALUD- CEGDOC-JEFETH DIONISETTY PUERTA FIGUEROA</v>
      </c>
      <c r="F23375" s="5"/>
      <c r="G23375" s="5"/>
    </row>
    <row r="23376" spans="1:7" ht="58.5" customHeight="1" x14ac:dyDescent="0.25">
      <c r="A23376" s="5" t="str">
        <f>"H0026309"</f>
        <v>H0026309</v>
      </c>
      <c r="B23376" s="5" t="str">
        <f t="shared" si="1160"/>
        <v>ESTANTE CONSTRUIDOS EN LAMINAS METÁLICAS SOLIDAS, RESISTENTES Y ESTABLES CON TRATAMIENTO ANTICORROSIVO, CON 7 ENTREPAÑOS, DE 0.94 CMS DE ANCHO, CON ALTURA DE 2.20MTS Y CADA BANDEJA DEBE SOPORTAR UN PESO DE 100KG/MT LINEA</v>
      </c>
      <c r="C23376" s="6">
        <v>196350</v>
      </c>
      <c r="D23376" s="5" t="s">
        <v>77</v>
      </c>
      <c r="E23376" s="5" t="str">
        <f t="shared" si="1161"/>
        <v>ACTISALUD- CEGDOC-JEFETH DIONISETTY PUERTA FIGUEROA</v>
      </c>
      <c r="F23376" s="5"/>
      <c r="G23376" s="5"/>
    </row>
    <row r="23377" spans="1:7" ht="58.5" customHeight="1" x14ac:dyDescent="0.25">
      <c r="A23377" s="5" t="str">
        <f>"H0026310"</f>
        <v>H0026310</v>
      </c>
      <c r="B23377" s="5" t="str">
        <f t="shared" si="1160"/>
        <v>ESTANTE CONSTRUIDOS EN LAMINAS METÁLICAS SOLIDAS, RESISTENTES Y ESTABLES CON TRATAMIENTO ANTICORROSIVO, CON 7 ENTREPAÑOS, DE 0.94 CMS DE ANCHO, CON ALTURA DE 2.20MTS Y CADA BANDEJA DEBE SOPORTAR UN PESO DE 100KG/MT LINEA</v>
      </c>
      <c r="C23377" s="6">
        <v>196350</v>
      </c>
      <c r="D23377" s="5" t="s">
        <v>77</v>
      </c>
      <c r="E23377" s="5" t="str">
        <f t="shared" si="1161"/>
        <v>ACTISALUD- CEGDOC-JEFETH DIONISETTY PUERTA FIGUEROA</v>
      </c>
      <c r="F23377" s="5"/>
      <c r="G23377" s="5"/>
    </row>
    <row r="23378" spans="1:7" ht="58.5" customHeight="1" x14ac:dyDescent="0.25">
      <c r="A23378" s="5" t="str">
        <f>"H0026311"</f>
        <v>H0026311</v>
      </c>
      <c r="B23378" s="5" t="str">
        <f t="shared" si="1160"/>
        <v>ESTANTE CONSTRUIDOS EN LAMINAS METÁLICAS SOLIDAS, RESISTENTES Y ESTABLES CON TRATAMIENTO ANTICORROSIVO, CON 7 ENTREPAÑOS, DE 0.94 CMS DE ANCHO, CON ALTURA DE 2.20MTS Y CADA BANDEJA DEBE SOPORTAR UN PESO DE 100KG/MT LINEA</v>
      </c>
      <c r="C23378" s="6">
        <v>196350</v>
      </c>
      <c r="D23378" s="5" t="s">
        <v>77</v>
      </c>
      <c r="E23378" s="5" t="str">
        <f t="shared" si="1161"/>
        <v>ACTISALUD- CEGDOC-JEFETH DIONISETTY PUERTA FIGUEROA</v>
      </c>
      <c r="F23378" s="5"/>
      <c r="G23378" s="5"/>
    </row>
    <row r="23379" spans="1:7" ht="58.5" customHeight="1" x14ac:dyDescent="0.25">
      <c r="A23379" s="5" t="str">
        <f>"H0026312"</f>
        <v>H0026312</v>
      </c>
      <c r="B23379" s="5" t="str">
        <f t="shared" si="1160"/>
        <v>ESTANTE CONSTRUIDOS EN LAMINAS METÁLICAS SOLIDAS, RESISTENTES Y ESTABLES CON TRATAMIENTO ANTICORROSIVO, CON 7 ENTREPAÑOS, DE 0.94 CMS DE ANCHO, CON ALTURA DE 2.20MTS Y CADA BANDEJA DEBE SOPORTAR UN PESO DE 100KG/MT LINEA</v>
      </c>
      <c r="C23379" s="6">
        <v>196350</v>
      </c>
      <c r="D23379" s="5" t="s">
        <v>77</v>
      </c>
      <c r="E23379" s="5" t="str">
        <f t="shared" si="1161"/>
        <v>ACTISALUD- CEGDOC-JEFETH DIONISETTY PUERTA FIGUEROA</v>
      </c>
      <c r="F23379" s="5"/>
      <c r="G23379" s="5"/>
    </row>
    <row r="23380" spans="1:7" ht="58.5" customHeight="1" x14ac:dyDescent="0.25">
      <c r="A23380" s="5" t="str">
        <f>"H0026313"</f>
        <v>H0026313</v>
      </c>
      <c r="B23380" s="5" t="str">
        <f t="shared" si="1160"/>
        <v>ESTANTE CONSTRUIDOS EN LAMINAS METÁLICAS SOLIDAS, RESISTENTES Y ESTABLES CON TRATAMIENTO ANTICORROSIVO, CON 7 ENTREPAÑOS, DE 0.94 CMS DE ANCHO, CON ALTURA DE 2.20MTS Y CADA BANDEJA DEBE SOPORTAR UN PESO DE 100KG/MT LINEA</v>
      </c>
      <c r="C23380" s="6">
        <v>196350</v>
      </c>
      <c r="D23380" s="5" t="s">
        <v>77</v>
      </c>
      <c r="E23380" s="5" t="str">
        <f t="shared" si="1161"/>
        <v>ACTISALUD- CEGDOC-JEFETH DIONISETTY PUERTA FIGUEROA</v>
      </c>
      <c r="F23380" s="5"/>
      <c r="G23380" s="5"/>
    </row>
    <row r="23381" spans="1:7" ht="58.5" customHeight="1" x14ac:dyDescent="0.25">
      <c r="A23381" s="5" t="str">
        <f>"H0026314"</f>
        <v>H0026314</v>
      </c>
      <c r="B23381" s="5" t="str">
        <f t="shared" si="1160"/>
        <v>ESTANTE CONSTRUIDOS EN LAMINAS METÁLICAS SOLIDAS, RESISTENTES Y ESTABLES CON TRATAMIENTO ANTICORROSIVO, CON 7 ENTREPAÑOS, DE 0.94 CMS DE ANCHO, CON ALTURA DE 2.20MTS Y CADA BANDEJA DEBE SOPORTAR UN PESO DE 100KG/MT LINEA</v>
      </c>
      <c r="C23381" s="6">
        <v>196350</v>
      </c>
      <c r="D23381" s="5" t="s">
        <v>77</v>
      </c>
      <c r="E23381" s="5" t="str">
        <f t="shared" si="1161"/>
        <v>ACTISALUD- CEGDOC-JEFETH DIONISETTY PUERTA FIGUEROA</v>
      </c>
      <c r="F23381" s="5"/>
      <c r="G23381" s="5"/>
    </row>
    <row r="23382" spans="1:7" ht="58.5" customHeight="1" x14ac:dyDescent="0.25">
      <c r="A23382" s="5" t="str">
        <f>"H0026315"</f>
        <v>H0026315</v>
      </c>
      <c r="B23382" s="5" t="str">
        <f t="shared" si="1160"/>
        <v>ESTANTE CONSTRUIDOS EN LAMINAS METÁLICAS SOLIDAS, RESISTENTES Y ESTABLES CON TRATAMIENTO ANTICORROSIVO, CON 7 ENTREPAÑOS, DE 0.94 CMS DE ANCHO, CON ALTURA DE 2.20MTS Y CADA BANDEJA DEBE SOPORTAR UN PESO DE 100KG/MT LINEA</v>
      </c>
      <c r="C23382" s="6">
        <v>196350</v>
      </c>
      <c r="D23382" s="5" t="s">
        <v>914</v>
      </c>
      <c r="E23382" s="5" t="str">
        <f t="shared" si="1161"/>
        <v>ACTISALUD- CEGDOC-JEFETH DIONISETTY PUERTA FIGUEROA</v>
      </c>
      <c r="F23382" s="5"/>
      <c r="G23382" s="5"/>
    </row>
    <row r="23383" spans="1:7" ht="58.5" customHeight="1" x14ac:dyDescent="0.25">
      <c r="A23383" s="5" t="str">
        <f>"H0026316"</f>
        <v>H0026316</v>
      </c>
      <c r="B23383" s="5" t="str">
        <f t="shared" si="1160"/>
        <v>ESTANTE CONSTRUIDOS EN LAMINAS METÁLICAS SOLIDAS, RESISTENTES Y ESTABLES CON TRATAMIENTO ANTICORROSIVO, CON 7 ENTREPAÑOS, DE 0.94 CMS DE ANCHO, CON ALTURA DE 2.20MTS Y CADA BANDEJA DEBE SOPORTAR UN PESO DE 100KG/MT LINEA</v>
      </c>
      <c r="C23383" s="6">
        <v>196350</v>
      </c>
      <c r="D23383" s="5" t="s">
        <v>77</v>
      </c>
      <c r="E23383" s="5" t="str">
        <f t="shared" si="1161"/>
        <v>ACTISALUD- CEGDOC-JEFETH DIONISETTY PUERTA FIGUEROA</v>
      </c>
      <c r="F23383" s="5"/>
      <c r="G23383" s="5"/>
    </row>
    <row r="23384" spans="1:7" ht="58.5" customHeight="1" x14ac:dyDescent="0.25">
      <c r="A23384" s="5" t="str">
        <f>"H0026317"</f>
        <v>H0026317</v>
      </c>
      <c r="B23384" s="5" t="str">
        <f t="shared" si="1160"/>
        <v>ESTANTE CONSTRUIDOS EN LAMINAS METÁLICAS SOLIDAS, RESISTENTES Y ESTABLES CON TRATAMIENTO ANTICORROSIVO, CON 7 ENTREPAÑOS, DE 0.94 CMS DE ANCHO, CON ALTURA DE 2.20MTS Y CADA BANDEJA DEBE SOPORTAR UN PESO DE 100KG/MT LINEA</v>
      </c>
      <c r="C23384" s="6">
        <v>196350</v>
      </c>
      <c r="D23384" s="5" t="s">
        <v>77</v>
      </c>
      <c r="E23384" s="5" t="str">
        <f t="shared" si="1161"/>
        <v>ACTISALUD- CEGDOC-JEFETH DIONISETTY PUERTA FIGUEROA</v>
      </c>
      <c r="F23384" s="5"/>
      <c r="G23384" s="5"/>
    </row>
    <row r="23385" spans="1:7" ht="58.5" customHeight="1" x14ac:dyDescent="0.25">
      <c r="A23385" s="5" t="str">
        <f>"H0026318"</f>
        <v>H0026318</v>
      </c>
      <c r="B23385" s="5" t="str">
        <f t="shared" ref="B23385:B23408" si="1162">"ESTANTE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385" s="6">
        <v>196350</v>
      </c>
      <c r="D23385" s="5" t="s">
        <v>77</v>
      </c>
      <c r="E23385" s="5" t="str">
        <f t="shared" si="1161"/>
        <v>ACTISALUD- CEGDOC-JEFETH DIONISETTY PUERTA FIGUEROA</v>
      </c>
      <c r="F23385" s="5"/>
      <c r="G23385" s="5"/>
    </row>
    <row r="23386" spans="1:7" ht="58.5" customHeight="1" x14ac:dyDescent="0.25">
      <c r="A23386" s="5" t="str">
        <f>"H0026319"</f>
        <v>H0026319</v>
      </c>
      <c r="B23386" s="5" t="str">
        <f t="shared" si="1162"/>
        <v>ESTANTE CONSTRUIDOS EN LAMINAS METÁLICAS SOLIDAS, RESISTENTES Y ESTABLES CON TRATAMIENTO ANTICORROSIVO, CON 7 ENTREPAÑOS, DE 0.94 CMS DE ANCHO, CON ALTURA DE 2.20MTS Y CADA BANDEJA DEBE SOPORTAR UN PESO DE 100KG/MT LINEA</v>
      </c>
      <c r="C23386" s="6">
        <v>196350</v>
      </c>
      <c r="D23386" s="5" t="s">
        <v>77</v>
      </c>
      <c r="E23386" s="5" t="str">
        <f t="shared" si="1161"/>
        <v>ACTISALUD- CEGDOC-JEFETH DIONISETTY PUERTA FIGUEROA</v>
      </c>
      <c r="F23386" s="5"/>
      <c r="G23386" s="5"/>
    </row>
    <row r="23387" spans="1:7" ht="58.5" customHeight="1" x14ac:dyDescent="0.25">
      <c r="A23387" s="5" t="str">
        <f>"H0026320"</f>
        <v>H0026320</v>
      </c>
      <c r="B23387" s="5" t="str">
        <f t="shared" si="1162"/>
        <v>ESTANTE CONSTRUIDOS EN LAMINAS METÁLICAS SOLIDAS, RESISTENTES Y ESTABLES CON TRATAMIENTO ANTICORROSIVO, CON 7 ENTREPAÑOS, DE 0.94 CMS DE ANCHO, CON ALTURA DE 2.20MTS Y CADA BANDEJA DEBE SOPORTAR UN PESO DE 100KG/MT LINEA</v>
      </c>
      <c r="C23387" s="6">
        <v>196350</v>
      </c>
      <c r="D23387" s="5" t="s">
        <v>77</v>
      </c>
      <c r="E23387" s="5" t="str">
        <f t="shared" si="1161"/>
        <v>ACTISALUD- CEGDOC-JEFETH DIONISETTY PUERTA FIGUEROA</v>
      </c>
      <c r="F23387" s="5"/>
      <c r="G23387" s="5"/>
    </row>
    <row r="23388" spans="1:7" ht="58.5" customHeight="1" x14ac:dyDescent="0.25">
      <c r="A23388" s="5" t="str">
        <f>"H0026321"</f>
        <v>H0026321</v>
      </c>
      <c r="B23388" s="5" t="str">
        <f t="shared" si="1162"/>
        <v>ESTANTE CONSTRUIDOS EN LAMINAS METÁLICAS SOLIDAS, RESISTENTES Y ESTABLES CON TRATAMIENTO ANTICORROSIVO, CON 7 ENTREPAÑOS, DE 0.94 CMS DE ANCHO, CON ALTURA DE 2.20MTS Y CADA BANDEJA DEBE SOPORTAR UN PESO DE 100KG/MT LINEA</v>
      </c>
      <c r="C23388" s="6">
        <v>196350</v>
      </c>
      <c r="D23388" s="5" t="s">
        <v>77</v>
      </c>
      <c r="E23388" s="5" t="str">
        <f t="shared" si="1161"/>
        <v>ACTISALUD- CEGDOC-JEFETH DIONISETTY PUERTA FIGUEROA</v>
      </c>
      <c r="F23388" s="5"/>
      <c r="G23388" s="5"/>
    </row>
    <row r="23389" spans="1:7" ht="58.5" customHeight="1" x14ac:dyDescent="0.25">
      <c r="A23389" s="5" t="str">
        <f>"H0026322"</f>
        <v>H0026322</v>
      </c>
      <c r="B23389" s="5" t="str">
        <f t="shared" si="1162"/>
        <v>ESTANTE CONSTRUIDOS EN LAMINAS METÁLICAS SOLIDAS, RESISTENTES Y ESTABLES CON TRATAMIENTO ANTICORROSIVO, CON 7 ENTREPAÑOS, DE 0.94 CMS DE ANCHO, CON ALTURA DE 2.20MTS Y CADA BANDEJA DEBE SOPORTAR UN PESO DE 100KG/MT LINEA</v>
      </c>
      <c r="C23389" s="6">
        <v>196350</v>
      </c>
      <c r="D23389" s="5" t="s">
        <v>77</v>
      </c>
      <c r="E23389" s="5" t="str">
        <f t="shared" si="1161"/>
        <v>ACTISALUD- CEGDOC-JEFETH DIONISETTY PUERTA FIGUEROA</v>
      </c>
      <c r="F23389" s="5"/>
      <c r="G23389" s="5"/>
    </row>
    <row r="23390" spans="1:7" ht="58.5" customHeight="1" x14ac:dyDescent="0.25">
      <c r="A23390" s="5" t="str">
        <f>"H0026323"</f>
        <v>H0026323</v>
      </c>
      <c r="B23390" s="5" t="str">
        <f t="shared" si="1162"/>
        <v>ESTANTE CONSTRUIDOS EN LAMINAS METÁLICAS SOLIDAS, RESISTENTES Y ESTABLES CON TRATAMIENTO ANTICORROSIVO, CON 7 ENTREPAÑOS, DE 0.94 CMS DE ANCHO, CON ALTURA DE 2.20MTS Y CADA BANDEJA DEBE SOPORTAR UN PESO DE 100KG/MT LINEA</v>
      </c>
      <c r="C23390" s="6">
        <v>196350</v>
      </c>
      <c r="D23390" s="5" t="s">
        <v>583</v>
      </c>
      <c r="E23390" s="5" t="str">
        <f t="shared" si="1161"/>
        <v>ACTISALUD- CEGDOC-JEFETH DIONISETTY PUERTA FIGUEROA</v>
      </c>
      <c r="F23390" s="5"/>
      <c r="G23390" s="5"/>
    </row>
    <row r="23391" spans="1:7" ht="58.5" customHeight="1" x14ac:dyDescent="0.25">
      <c r="A23391" s="5" t="str">
        <f>"H0026324"</f>
        <v>H0026324</v>
      </c>
      <c r="B23391" s="5" t="str">
        <f t="shared" si="1162"/>
        <v>ESTANTE CONSTRUIDOS EN LAMINAS METÁLICAS SOLIDAS, RESISTENTES Y ESTABLES CON TRATAMIENTO ANTICORROSIVO, CON 7 ENTREPAÑOS, DE 0.94 CMS DE ANCHO, CON ALTURA DE 2.20MTS Y CADA BANDEJA DEBE SOPORTAR UN PESO DE 100KG/MT LINEA</v>
      </c>
      <c r="C23391" s="6">
        <v>196350</v>
      </c>
      <c r="D23391" s="5" t="s">
        <v>77</v>
      </c>
      <c r="E23391" s="5" t="str">
        <f t="shared" si="1161"/>
        <v>ACTISALUD- CEGDOC-JEFETH DIONISETTY PUERTA FIGUEROA</v>
      </c>
      <c r="F23391" s="5"/>
      <c r="G23391" s="5"/>
    </row>
    <row r="23392" spans="1:7" ht="58.5" customHeight="1" x14ac:dyDescent="0.25">
      <c r="A23392" s="5" t="str">
        <f>"H0026325"</f>
        <v>H0026325</v>
      </c>
      <c r="B23392" s="5" t="str">
        <f t="shared" si="1162"/>
        <v>ESTANTE CONSTRUIDOS EN LAMINAS METÁLICAS SOLIDAS, RESISTENTES Y ESTABLES CON TRATAMIENTO ANTICORROSIVO, CON 7 ENTREPAÑOS, DE 0.94 CMS DE ANCHO, CON ALTURA DE 2.20MTS Y CADA BANDEJA DEBE SOPORTAR UN PESO DE 100KG/MT LINEA</v>
      </c>
      <c r="C23392" s="6">
        <v>196350</v>
      </c>
      <c r="D23392" s="5" t="s">
        <v>583</v>
      </c>
      <c r="E23392" s="5" t="str">
        <f t="shared" si="1161"/>
        <v>ACTISALUD- CEGDOC-JEFETH DIONISETTY PUERTA FIGUEROA</v>
      </c>
      <c r="F23392" s="5"/>
      <c r="G23392" s="5"/>
    </row>
    <row r="23393" spans="1:7" ht="58.5" customHeight="1" x14ac:dyDescent="0.25">
      <c r="A23393" s="5" t="str">
        <f>"H0026326"</f>
        <v>H0026326</v>
      </c>
      <c r="B23393" s="5" t="str">
        <f t="shared" si="1162"/>
        <v>ESTANTE CONSTRUIDOS EN LAMINAS METÁLICAS SOLIDAS, RESISTENTES Y ESTABLES CON TRATAMIENTO ANTICORROSIVO, CON 7 ENTREPAÑOS, DE 0.94 CMS DE ANCHO, CON ALTURA DE 2.20MTS Y CADA BANDEJA DEBE SOPORTAR UN PESO DE 100KG/MT LINEA</v>
      </c>
      <c r="C23393" s="6">
        <v>196350</v>
      </c>
      <c r="D23393" s="5" t="s">
        <v>77</v>
      </c>
      <c r="E23393" s="5" t="str">
        <f t="shared" si="1161"/>
        <v>ACTISALUD- CEGDOC-JEFETH DIONISETTY PUERTA FIGUEROA</v>
      </c>
      <c r="F23393" s="5"/>
      <c r="G23393" s="5"/>
    </row>
    <row r="23394" spans="1:7" ht="58.5" customHeight="1" x14ac:dyDescent="0.25">
      <c r="A23394" s="5" t="str">
        <f>"H0026327"</f>
        <v>H0026327</v>
      </c>
      <c r="B23394" s="5" t="str">
        <f t="shared" si="1162"/>
        <v>ESTANTE CONSTRUIDOS EN LAMINAS METÁLICAS SOLIDAS, RESISTENTES Y ESTABLES CON TRATAMIENTO ANTICORROSIVO, CON 7 ENTREPAÑOS, DE 0.94 CMS DE ANCHO, CON ALTURA DE 2.20MTS Y CADA BANDEJA DEBE SOPORTAR UN PESO DE 100KG/MT LINEA</v>
      </c>
      <c r="C23394" s="6">
        <v>196350</v>
      </c>
      <c r="D23394" s="5" t="s">
        <v>77</v>
      </c>
      <c r="E23394" s="5" t="str">
        <f t="shared" ref="E23394:E23457" si="1163">"ACTISALUD- CEGDOC-JEFETH DIONISETTY PUERTA FIGUEROA"</f>
        <v>ACTISALUD- CEGDOC-JEFETH DIONISETTY PUERTA FIGUEROA</v>
      </c>
      <c r="F23394" s="5"/>
      <c r="G23394" s="5"/>
    </row>
    <row r="23395" spans="1:7" ht="58.5" customHeight="1" x14ac:dyDescent="0.25">
      <c r="A23395" s="5" t="str">
        <f>"H0026328"</f>
        <v>H0026328</v>
      </c>
      <c r="B23395" s="5" t="str">
        <f t="shared" si="1162"/>
        <v>ESTANTE CONSTRUIDOS EN LAMINAS METÁLICAS SOLIDAS, RESISTENTES Y ESTABLES CON TRATAMIENTO ANTICORROSIVO, CON 7 ENTREPAÑOS, DE 0.94 CMS DE ANCHO, CON ALTURA DE 2.20MTS Y CADA BANDEJA DEBE SOPORTAR UN PESO DE 100KG/MT LINEA</v>
      </c>
      <c r="C23395" s="6">
        <v>196350</v>
      </c>
      <c r="D23395" s="5" t="s">
        <v>583</v>
      </c>
      <c r="E23395" s="5" t="str">
        <f t="shared" si="1163"/>
        <v>ACTISALUD- CEGDOC-JEFETH DIONISETTY PUERTA FIGUEROA</v>
      </c>
      <c r="F23395" s="5"/>
      <c r="G23395" s="5"/>
    </row>
    <row r="23396" spans="1:7" ht="58.5" customHeight="1" x14ac:dyDescent="0.25">
      <c r="A23396" s="5" t="str">
        <f>"H0026329"</f>
        <v>H0026329</v>
      </c>
      <c r="B23396" s="5" t="str">
        <f t="shared" si="1162"/>
        <v>ESTANTE CONSTRUIDOS EN LAMINAS METÁLICAS SOLIDAS, RESISTENTES Y ESTABLES CON TRATAMIENTO ANTICORROSIVO, CON 7 ENTREPAÑOS, DE 0.94 CMS DE ANCHO, CON ALTURA DE 2.20MTS Y CADA BANDEJA DEBE SOPORTAR UN PESO DE 100KG/MT LINEA</v>
      </c>
      <c r="C23396" s="6">
        <v>196350</v>
      </c>
      <c r="D23396" s="5" t="s">
        <v>77</v>
      </c>
      <c r="E23396" s="5" t="str">
        <f t="shared" si="1163"/>
        <v>ACTISALUD- CEGDOC-JEFETH DIONISETTY PUERTA FIGUEROA</v>
      </c>
      <c r="F23396" s="5"/>
      <c r="G23396" s="5"/>
    </row>
    <row r="23397" spans="1:7" ht="58.5" customHeight="1" x14ac:dyDescent="0.25">
      <c r="A23397" s="5" t="str">
        <f>"H0026330"</f>
        <v>H0026330</v>
      </c>
      <c r="B23397" s="5" t="str">
        <f t="shared" si="1162"/>
        <v>ESTANTE CONSTRUIDOS EN LAMINAS METÁLICAS SOLIDAS, RESISTENTES Y ESTABLES CON TRATAMIENTO ANTICORROSIVO, CON 7 ENTREPAÑOS, DE 0.94 CMS DE ANCHO, CON ALTURA DE 2.20MTS Y CADA BANDEJA DEBE SOPORTAR UN PESO DE 100KG/MT LINEA</v>
      </c>
      <c r="C23397" s="6">
        <v>196350</v>
      </c>
      <c r="D23397" s="5" t="s">
        <v>77</v>
      </c>
      <c r="E23397" s="5" t="str">
        <f t="shared" si="1163"/>
        <v>ACTISALUD- CEGDOC-JEFETH DIONISETTY PUERTA FIGUEROA</v>
      </c>
      <c r="F23397" s="5"/>
      <c r="G23397" s="5"/>
    </row>
    <row r="23398" spans="1:7" ht="58.5" customHeight="1" x14ac:dyDescent="0.25">
      <c r="A23398" s="5" t="str">
        <f>"H0026331"</f>
        <v>H0026331</v>
      </c>
      <c r="B23398" s="5" t="str">
        <f t="shared" si="1162"/>
        <v>ESTANTE CONSTRUIDOS EN LAMINAS METÁLICAS SOLIDAS, RESISTENTES Y ESTABLES CON TRATAMIENTO ANTICORROSIVO, CON 7 ENTREPAÑOS, DE 0.94 CMS DE ANCHO, CON ALTURA DE 2.20MTS Y CADA BANDEJA DEBE SOPORTAR UN PESO DE 100KG/MT LINEA</v>
      </c>
      <c r="C23398" s="6">
        <v>196350</v>
      </c>
      <c r="D23398" s="5" t="s">
        <v>77</v>
      </c>
      <c r="E23398" s="5" t="str">
        <f t="shared" si="1163"/>
        <v>ACTISALUD- CEGDOC-JEFETH DIONISETTY PUERTA FIGUEROA</v>
      </c>
      <c r="F23398" s="5"/>
      <c r="G23398" s="5"/>
    </row>
    <row r="23399" spans="1:7" ht="58.5" customHeight="1" x14ac:dyDescent="0.25">
      <c r="A23399" s="5" t="str">
        <f>"H0026332"</f>
        <v>H0026332</v>
      </c>
      <c r="B23399" s="5" t="str">
        <f t="shared" si="1162"/>
        <v>ESTANTE CONSTRUIDOS EN LAMINAS METÁLICAS SOLIDAS, RESISTENTES Y ESTABLES CON TRATAMIENTO ANTICORROSIVO, CON 7 ENTREPAÑOS, DE 0.94 CMS DE ANCHO, CON ALTURA DE 2.20MTS Y CADA BANDEJA DEBE SOPORTAR UN PESO DE 100KG/MT LINEA</v>
      </c>
      <c r="C23399" s="6">
        <v>196350</v>
      </c>
      <c r="D23399" s="5" t="s">
        <v>77</v>
      </c>
      <c r="E23399" s="5" t="str">
        <f t="shared" si="1163"/>
        <v>ACTISALUD- CEGDOC-JEFETH DIONISETTY PUERTA FIGUEROA</v>
      </c>
      <c r="F23399" s="5"/>
      <c r="G23399" s="5"/>
    </row>
    <row r="23400" spans="1:7" ht="58.5" customHeight="1" x14ac:dyDescent="0.25">
      <c r="A23400" s="5" t="str">
        <f>"H0026333"</f>
        <v>H0026333</v>
      </c>
      <c r="B23400" s="5" t="str">
        <f t="shared" si="1162"/>
        <v>ESTANTE CONSTRUIDOS EN LAMINAS METÁLICAS SOLIDAS, RESISTENTES Y ESTABLES CON TRATAMIENTO ANTICORROSIVO, CON 7 ENTREPAÑOS, DE 0.94 CMS DE ANCHO, CON ALTURA DE 2.20MTS Y CADA BANDEJA DEBE SOPORTAR UN PESO DE 100KG/MT LINEA</v>
      </c>
      <c r="C23400" s="6">
        <v>196350</v>
      </c>
      <c r="D23400" s="5" t="s">
        <v>77</v>
      </c>
      <c r="E23400" s="5" t="str">
        <f t="shared" si="1163"/>
        <v>ACTISALUD- CEGDOC-JEFETH DIONISETTY PUERTA FIGUEROA</v>
      </c>
      <c r="F23400" s="5"/>
      <c r="G23400" s="5"/>
    </row>
    <row r="23401" spans="1:7" ht="58.5" customHeight="1" x14ac:dyDescent="0.25">
      <c r="A23401" s="5" t="str">
        <f>"H0026334"</f>
        <v>H0026334</v>
      </c>
      <c r="B23401" s="5" t="str">
        <f t="shared" si="1162"/>
        <v>ESTANTE CONSTRUIDOS EN LAMINAS METÁLICAS SOLIDAS, RESISTENTES Y ESTABLES CON TRATAMIENTO ANTICORROSIVO, CON 7 ENTREPAÑOS, DE 0.94 CMS DE ANCHO, CON ALTURA DE 2.20MTS Y CADA BANDEJA DEBE SOPORTAR UN PESO DE 100KG/MT LINEA</v>
      </c>
      <c r="C23401" s="6">
        <v>196350</v>
      </c>
      <c r="D23401" s="5" t="s">
        <v>77</v>
      </c>
      <c r="E23401" s="5" t="str">
        <f t="shared" si="1163"/>
        <v>ACTISALUD- CEGDOC-JEFETH DIONISETTY PUERTA FIGUEROA</v>
      </c>
      <c r="F23401" s="5"/>
      <c r="G23401" s="5"/>
    </row>
    <row r="23402" spans="1:7" ht="58.5" customHeight="1" x14ac:dyDescent="0.25">
      <c r="A23402" s="5" t="str">
        <f>"H0026335"</f>
        <v>H0026335</v>
      </c>
      <c r="B23402" s="5" t="str">
        <f t="shared" si="1162"/>
        <v>ESTANTE CONSTRUIDOS EN LAMINAS METÁLICAS SOLIDAS, RESISTENTES Y ESTABLES CON TRATAMIENTO ANTICORROSIVO, CON 7 ENTREPAÑOS, DE 0.94 CMS DE ANCHO, CON ALTURA DE 2.20MTS Y CADA BANDEJA DEBE SOPORTAR UN PESO DE 100KG/MT LINEA</v>
      </c>
      <c r="C23402" s="6">
        <v>196350</v>
      </c>
      <c r="D23402" s="5" t="s">
        <v>77</v>
      </c>
      <c r="E23402" s="5" t="str">
        <f t="shared" si="1163"/>
        <v>ACTISALUD- CEGDOC-JEFETH DIONISETTY PUERTA FIGUEROA</v>
      </c>
      <c r="F23402" s="5"/>
      <c r="G23402" s="5"/>
    </row>
    <row r="23403" spans="1:7" ht="58.5" customHeight="1" x14ac:dyDescent="0.25">
      <c r="A23403" s="5" t="str">
        <f>"H0026336"</f>
        <v>H0026336</v>
      </c>
      <c r="B23403" s="5" t="str">
        <f t="shared" si="1162"/>
        <v>ESTANTE CONSTRUIDOS EN LAMINAS METÁLICAS SOLIDAS, RESISTENTES Y ESTABLES CON TRATAMIENTO ANTICORROSIVO, CON 7 ENTREPAÑOS, DE 0.94 CMS DE ANCHO, CON ALTURA DE 2.20MTS Y CADA BANDEJA DEBE SOPORTAR UN PESO DE 100KG/MT LINEA</v>
      </c>
      <c r="C23403" s="6">
        <v>196350</v>
      </c>
      <c r="D23403" s="5" t="s">
        <v>77</v>
      </c>
      <c r="E23403" s="5" t="str">
        <f t="shared" si="1163"/>
        <v>ACTISALUD- CEGDOC-JEFETH DIONISETTY PUERTA FIGUEROA</v>
      </c>
      <c r="F23403" s="5"/>
      <c r="G23403" s="5"/>
    </row>
    <row r="23404" spans="1:7" ht="58.5" customHeight="1" x14ac:dyDescent="0.25">
      <c r="A23404" s="5" t="str">
        <f>"H0026337"</f>
        <v>H0026337</v>
      </c>
      <c r="B23404" s="5" t="str">
        <f t="shared" si="1162"/>
        <v>ESTANTE CONSTRUIDOS EN LAMINAS METÁLICAS SOLIDAS, RESISTENTES Y ESTABLES CON TRATAMIENTO ANTICORROSIVO, CON 7 ENTREPAÑOS, DE 0.94 CMS DE ANCHO, CON ALTURA DE 2.20MTS Y CADA BANDEJA DEBE SOPORTAR UN PESO DE 100KG/MT LINEA</v>
      </c>
      <c r="C23404" s="6">
        <v>196350</v>
      </c>
      <c r="D23404" s="5" t="s">
        <v>77</v>
      </c>
      <c r="E23404" s="5" t="str">
        <f t="shared" si="1163"/>
        <v>ACTISALUD- CEGDOC-JEFETH DIONISETTY PUERTA FIGUEROA</v>
      </c>
      <c r="F23404" s="5"/>
      <c r="G23404" s="5"/>
    </row>
    <row r="23405" spans="1:7" ht="58.5" customHeight="1" x14ac:dyDescent="0.25">
      <c r="A23405" s="5" t="str">
        <f>"H0026338"</f>
        <v>H0026338</v>
      </c>
      <c r="B23405" s="5" t="str">
        <f t="shared" si="1162"/>
        <v>ESTANTE CONSTRUIDOS EN LAMINAS METÁLICAS SOLIDAS, RESISTENTES Y ESTABLES CON TRATAMIENTO ANTICORROSIVO, CON 7 ENTREPAÑOS, DE 0.94 CMS DE ANCHO, CON ALTURA DE 2.20MTS Y CADA BANDEJA DEBE SOPORTAR UN PESO DE 100KG/MT LINEA</v>
      </c>
      <c r="C23405" s="6">
        <v>196350</v>
      </c>
      <c r="D23405" s="5" t="s">
        <v>77</v>
      </c>
      <c r="E23405" s="5" t="str">
        <f t="shared" si="1163"/>
        <v>ACTISALUD- CEGDOC-JEFETH DIONISETTY PUERTA FIGUEROA</v>
      </c>
      <c r="F23405" s="5"/>
      <c r="G23405" s="5"/>
    </row>
    <row r="23406" spans="1:7" ht="58.5" customHeight="1" x14ac:dyDescent="0.25">
      <c r="A23406" s="5" t="str">
        <f>"H0026339"</f>
        <v>H0026339</v>
      </c>
      <c r="B23406" s="5" t="str">
        <f t="shared" si="1162"/>
        <v>ESTANTE CONSTRUIDOS EN LAMINAS METÁLICAS SOLIDAS, RESISTENTES Y ESTABLES CON TRATAMIENTO ANTICORROSIVO, CON 7 ENTREPAÑOS, DE 0.94 CMS DE ANCHO, CON ALTURA DE 2.20MTS Y CADA BANDEJA DEBE SOPORTAR UN PESO DE 100KG/MT LINEA</v>
      </c>
      <c r="C23406" s="6">
        <v>196350</v>
      </c>
      <c r="D23406" s="5" t="s">
        <v>77</v>
      </c>
      <c r="E23406" s="5" t="str">
        <f t="shared" si="1163"/>
        <v>ACTISALUD- CEGDOC-JEFETH DIONISETTY PUERTA FIGUEROA</v>
      </c>
      <c r="F23406" s="5"/>
      <c r="G23406" s="5"/>
    </row>
    <row r="23407" spans="1:7" ht="58.5" customHeight="1" x14ac:dyDescent="0.25">
      <c r="A23407" s="5" t="str">
        <f>"H0026340"</f>
        <v>H0026340</v>
      </c>
      <c r="B23407" s="5" t="str">
        <f t="shared" si="1162"/>
        <v>ESTANTE CONSTRUIDOS EN LAMINAS METÁLICAS SOLIDAS, RESISTENTES Y ESTABLES CON TRATAMIENTO ANTICORROSIVO, CON 7 ENTREPAÑOS, DE 0.94 CMS DE ANCHO, CON ALTURA DE 2.20MTS Y CADA BANDEJA DEBE SOPORTAR UN PESO DE 100KG/MT LINEA</v>
      </c>
      <c r="C23407" s="6">
        <v>196350</v>
      </c>
      <c r="D23407" s="5" t="s">
        <v>77</v>
      </c>
      <c r="E23407" s="5" t="str">
        <f t="shared" si="1163"/>
        <v>ACTISALUD- CEGDOC-JEFETH DIONISETTY PUERTA FIGUEROA</v>
      </c>
      <c r="F23407" s="5"/>
      <c r="G23407" s="5"/>
    </row>
    <row r="23408" spans="1:7" ht="58.5" customHeight="1" x14ac:dyDescent="0.25">
      <c r="A23408" s="5" t="str">
        <f>"H0026341"</f>
        <v>H0026341</v>
      </c>
      <c r="B23408" s="5" t="str">
        <f t="shared" si="1162"/>
        <v>ESTANTE CONSTRUIDOS EN LAMINAS METÁLICAS SOLIDAS, RESISTENTES Y ESTABLES CON TRATAMIENTO ANTICORROSIVO, CON 7 ENTREPAÑOS, DE 0.94 CMS DE ANCHO, CON ALTURA DE 2.20MTS Y CADA BANDEJA DEBE SOPORTAR UN PESO DE 100KG/MT LINEA</v>
      </c>
      <c r="C23408" s="6">
        <v>196350</v>
      </c>
      <c r="D23408" s="5" t="s">
        <v>77</v>
      </c>
      <c r="E23408" s="5" t="str">
        <f t="shared" si="1163"/>
        <v>ACTISALUD- CEGDOC-JEFETH DIONISETTY PUERTA FIGUEROA</v>
      </c>
      <c r="F23408" s="5"/>
      <c r="G23408" s="5"/>
    </row>
    <row r="23409" spans="1:7" ht="58.5" customHeight="1" x14ac:dyDescent="0.25">
      <c r="A23409" s="5" t="str">
        <f>"H0026790"</f>
        <v>H0026790</v>
      </c>
      <c r="B23409" s="5" t="str">
        <f>"EQUIPO DE COMPUTO TODO EN UNO LENOVO - Procesador Intel core i5 de sexta generación de 3.2 Ghz o superior. - Memoria RAM 8 GBx1 DDR4-2133. - 1 disco duro de 500 GB 7200 rpm o superior. - Puerto Ethernet RJ45 Base 1000. - Tarjeta inalámbrica compatible 802"&amp; ".11ac. - Pantalla de 19” en adelante - Unidad de DVD-RW - Teclado USB de la misma marca distribución Latinoamérica - Mouse Optico USB - Cámara Web HD con micrófono o superior - 2 Puertos USB 3.0 - Salida audífonos y microfono 3.5 mm - Lector de tarjetas S"&amp; "D - Altura máxima 35 cm desde la base hasta la parte superior de la pantalla - Fuentes de poder integrada en case o externa - LICENCIA DE MICROSOFT WINDOWS 10 PROFESIONAL 64 Bits - 3 años de garantía con fabricante"</f>
        <v>EQUIPO DE COMPUTO TODO EN UNO LENOVO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409" s="6">
        <v>3296300</v>
      </c>
      <c r="D23409" s="5" t="s">
        <v>37</v>
      </c>
      <c r="E23409" s="5" t="str">
        <f t="shared" si="1163"/>
        <v>ACTISALUD- CEGDOC-JEFETH DIONISETTY PUERTA FIGUEROA</v>
      </c>
      <c r="F23409" s="5"/>
      <c r="G23409" s="5"/>
    </row>
    <row r="23410" spans="1:7" ht="58.5" customHeight="1" x14ac:dyDescent="0.25">
      <c r="A23410" s="5" t="str">
        <f>"H0027268"</f>
        <v>H0027268</v>
      </c>
      <c r="B23410"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410" s="6">
        <v>2641800</v>
      </c>
      <c r="D23410" s="5" t="s">
        <v>38</v>
      </c>
      <c r="E23410" s="5" t="str">
        <f t="shared" si="1163"/>
        <v>ACTISALUD- CEGDOC-JEFETH DIONISETTY PUERTA FIGUEROA</v>
      </c>
      <c r="F23410" s="5"/>
      <c r="G23410" s="5"/>
    </row>
    <row r="23411" spans="1:7" ht="58.5" customHeight="1" x14ac:dyDescent="0.25">
      <c r="A23411" s="5" t="str">
        <f>"H0027269"</f>
        <v>H0027269</v>
      </c>
      <c r="B23411"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411" s="6">
        <v>2641800</v>
      </c>
      <c r="D23411" s="5" t="s">
        <v>38</v>
      </c>
      <c r="E23411" s="5" t="str">
        <f t="shared" si="1163"/>
        <v>ACTISALUD- CEGDOC-JEFETH DIONISETTY PUERTA FIGUEROA</v>
      </c>
      <c r="F23411" s="5"/>
      <c r="G23411" s="5"/>
    </row>
    <row r="23412" spans="1:7" ht="58.5" customHeight="1" x14ac:dyDescent="0.25">
      <c r="A23412" s="5" t="str">
        <f>"H0027270"</f>
        <v>H0027270</v>
      </c>
      <c r="B2341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412" s="6">
        <v>2641800</v>
      </c>
      <c r="D23412" s="5" t="s">
        <v>38</v>
      </c>
      <c r="E23412" s="5" t="str">
        <f t="shared" si="1163"/>
        <v>ACTISALUD- CEGDOC-JEFETH DIONISETTY PUERTA FIGUEROA</v>
      </c>
      <c r="F23412" s="5"/>
      <c r="G23412" s="5"/>
    </row>
    <row r="23413" spans="1:7" ht="58.5" customHeight="1" x14ac:dyDescent="0.25">
      <c r="A23413" s="5" t="str">
        <f>"H0027311"</f>
        <v>H0027311</v>
      </c>
      <c r="B23413" s="5" t="str">
        <f>"ESCANER DE ALTA VELOCIDAD 35 PPM"</f>
        <v>ESCANER DE ALTA VELOCIDAD 35 PPM</v>
      </c>
      <c r="C23413" s="6">
        <v>1237171.56</v>
      </c>
      <c r="D23413" s="5" t="s">
        <v>12</v>
      </c>
      <c r="E23413" s="5" t="str">
        <f t="shared" si="1163"/>
        <v>ACTISALUD- CEGDOC-JEFETH DIONISETTY PUERTA FIGUEROA</v>
      </c>
      <c r="F23413" s="5"/>
      <c r="G23413" s="5"/>
    </row>
    <row r="23414" spans="1:7" ht="58.5" customHeight="1" x14ac:dyDescent="0.25">
      <c r="A23414" s="5" t="str">
        <f>"H0028442"</f>
        <v>H0028442</v>
      </c>
      <c r="B23414" s="5" t="str">
        <f>"SILLA ERGONOMICA TIPO SECRETARIA SIN BRAZOS"</f>
        <v>SILLA ERGONOMICA TIPO SECRETARIA SIN BRAZOS</v>
      </c>
      <c r="C23414" s="6">
        <v>333200</v>
      </c>
      <c r="D23414" s="5" t="s">
        <v>917</v>
      </c>
      <c r="E23414" s="5" t="str">
        <f t="shared" si="1163"/>
        <v>ACTISALUD- CEGDOC-JEFETH DIONISETTY PUERTA FIGUEROA</v>
      </c>
      <c r="F23414" s="5"/>
      <c r="G23414" s="5"/>
    </row>
    <row r="23415" spans="1:7" ht="58.5" customHeight="1" x14ac:dyDescent="0.25">
      <c r="A23415" s="5" t="str">
        <f>"H0028446"</f>
        <v>H0028446</v>
      </c>
      <c r="B23415" s="5" t="str">
        <f t="shared" ref="B23415:B23426" si="1164">"CÁMARA TURBO HD 1080 DOMO 2MP CMOS Image Sensor Effective Pixels 1930(H)*1088(V) Min. illumination 0.01 Lux @ (F1.2,AGC ON),0 Lux with IR lente de 2.8mm. INCLUYE FUENTE DE VOLTAJE DE 110 V"</f>
        <v>CÁMARA TURBO HD 1080 DOMO 2MP CMOS Image Sensor Effective Pixels 1930(H)*1088(V) Min. illumination 0.01 Lux @ (F1.2,AGC ON),0 Lux with IR lente de 2.8mm. INCLUYE FUENTE DE VOLTAJE DE 110 V</v>
      </c>
      <c r="C23415" s="6">
        <v>89250</v>
      </c>
      <c r="D23415" s="5" t="s">
        <v>563</v>
      </c>
      <c r="E23415" s="5" t="str">
        <f t="shared" si="1163"/>
        <v>ACTISALUD- CEGDOC-JEFETH DIONISETTY PUERTA FIGUEROA</v>
      </c>
      <c r="F23415" s="5"/>
      <c r="G23415" s="5"/>
    </row>
    <row r="23416" spans="1:7" ht="58.5" customHeight="1" x14ac:dyDescent="0.25">
      <c r="A23416" s="5" t="str">
        <f>"H0028447"</f>
        <v>H0028447</v>
      </c>
      <c r="B23416" s="5" t="str">
        <f t="shared" si="1164"/>
        <v>CÁMARA TURBO HD 1080 DOMO 2MP CMOS Image Sensor Effective Pixels 1930(H)*1088(V) Min. illumination 0.01 Lux @ (F1.2,AGC ON),0 Lux with IR lente de 2.8mm. INCLUYE FUENTE DE VOLTAJE DE 110 V</v>
      </c>
      <c r="C23416" s="6">
        <v>89250</v>
      </c>
      <c r="D23416" s="5" t="s">
        <v>563</v>
      </c>
      <c r="E23416" s="5" t="str">
        <f t="shared" si="1163"/>
        <v>ACTISALUD- CEGDOC-JEFETH DIONISETTY PUERTA FIGUEROA</v>
      </c>
      <c r="F23416" s="5"/>
      <c r="G23416" s="5"/>
    </row>
    <row r="23417" spans="1:7" ht="58.5" customHeight="1" x14ac:dyDescent="0.25">
      <c r="A23417" s="5" t="str">
        <f>"H0028448"</f>
        <v>H0028448</v>
      </c>
      <c r="B23417" s="5" t="str">
        <f t="shared" si="1164"/>
        <v>CÁMARA TURBO HD 1080 DOMO 2MP CMOS Image Sensor Effective Pixels 1930(H)*1088(V) Min. illumination 0.01 Lux @ (F1.2,AGC ON),0 Lux with IR lente de 2.8mm. INCLUYE FUENTE DE VOLTAJE DE 110 V</v>
      </c>
      <c r="C23417" s="6">
        <v>89250</v>
      </c>
      <c r="D23417" s="5" t="s">
        <v>563</v>
      </c>
      <c r="E23417" s="5" t="str">
        <f t="shared" si="1163"/>
        <v>ACTISALUD- CEGDOC-JEFETH DIONISETTY PUERTA FIGUEROA</v>
      </c>
      <c r="F23417" s="5"/>
      <c r="G23417" s="5"/>
    </row>
    <row r="23418" spans="1:7" ht="58.5" customHeight="1" x14ac:dyDescent="0.25">
      <c r="A23418" s="5" t="str">
        <f>"H0028449"</f>
        <v>H0028449</v>
      </c>
      <c r="B23418" s="5" t="str">
        <f t="shared" si="1164"/>
        <v>CÁMARA TURBO HD 1080 DOMO 2MP CMOS Image Sensor Effective Pixels 1930(H)*1088(V) Min. illumination 0.01 Lux @ (F1.2,AGC ON),0 Lux with IR lente de 2.8mm. INCLUYE FUENTE DE VOLTAJE DE 110 V</v>
      </c>
      <c r="C23418" s="6">
        <v>89250</v>
      </c>
      <c r="D23418" s="5" t="s">
        <v>563</v>
      </c>
      <c r="E23418" s="5" t="str">
        <f t="shared" si="1163"/>
        <v>ACTISALUD- CEGDOC-JEFETH DIONISETTY PUERTA FIGUEROA</v>
      </c>
      <c r="F23418" s="5"/>
      <c r="G23418" s="5"/>
    </row>
    <row r="23419" spans="1:7" ht="58.5" customHeight="1" x14ac:dyDescent="0.25">
      <c r="A23419" s="5" t="str">
        <f>"H0028450"</f>
        <v>H0028450</v>
      </c>
      <c r="B23419" s="5" t="str">
        <f t="shared" si="1164"/>
        <v>CÁMARA TURBO HD 1080 DOMO 2MP CMOS Image Sensor Effective Pixels 1930(H)*1088(V) Min. illumination 0.01 Lux @ (F1.2,AGC ON),0 Lux with IR lente de 2.8mm. INCLUYE FUENTE DE VOLTAJE DE 110 V</v>
      </c>
      <c r="C23419" s="6">
        <v>89250</v>
      </c>
      <c r="D23419" s="5" t="s">
        <v>563</v>
      </c>
      <c r="E23419" s="5" t="str">
        <f t="shared" si="1163"/>
        <v>ACTISALUD- CEGDOC-JEFETH DIONISETTY PUERTA FIGUEROA</v>
      </c>
      <c r="F23419" s="5"/>
      <c r="G23419" s="5"/>
    </row>
    <row r="23420" spans="1:7" ht="58.5" customHeight="1" x14ac:dyDescent="0.25">
      <c r="A23420" s="5" t="str">
        <f>"H0028451"</f>
        <v>H0028451</v>
      </c>
      <c r="B23420" s="5" t="str">
        <f t="shared" si="1164"/>
        <v>CÁMARA TURBO HD 1080 DOMO 2MP CMOS Image Sensor Effective Pixels 1930(H)*1088(V) Min. illumination 0.01 Lux @ (F1.2,AGC ON),0 Lux with IR lente de 2.8mm. INCLUYE FUENTE DE VOLTAJE DE 110 V</v>
      </c>
      <c r="C23420" s="6">
        <v>89250</v>
      </c>
      <c r="D23420" s="5" t="s">
        <v>563</v>
      </c>
      <c r="E23420" s="5" t="str">
        <f t="shared" si="1163"/>
        <v>ACTISALUD- CEGDOC-JEFETH DIONISETTY PUERTA FIGUEROA</v>
      </c>
      <c r="F23420" s="5"/>
      <c r="G23420" s="5"/>
    </row>
    <row r="23421" spans="1:7" ht="58.5" customHeight="1" x14ac:dyDescent="0.25">
      <c r="A23421" s="5" t="str">
        <f>"H0028452"</f>
        <v>H0028452</v>
      </c>
      <c r="B23421" s="5" t="str">
        <f t="shared" si="1164"/>
        <v>CÁMARA TURBO HD 1080 DOMO 2MP CMOS Image Sensor Effective Pixels 1930(H)*1088(V) Min. illumination 0.01 Lux @ (F1.2,AGC ON),0 Lux with IR lente de 2.8mm. INCLUYE FUENTE DE VOLTAJE DE 110 V</v>
      </c>
      <c r="C23421" s="6">
        <v>89250</v>
      </c>
      <c r="D23421" s="5" t="s">
        <v>563</v>
      </c>
      <c r="E23421" s="5" t="str">
        <f t="shared" si="1163"/>
        <v>ACTISALUD- CEGDOC-JEFETH DIONISETTY PUERTA FIGUEROA</v>
      </c>
      <c r="F23421" s="5"/>
      <c r="G23421" s="5"/>
    </row>
    <row r="23422" spans="1:7" ht="58.5" customHeight="1" x14ac:dyDescent="0.25">
      <c r="A23422" s="5" t="str">
        <f>"H0028453"</f>
        <v>H0028453</v>
      </c>
      <c r="B23422" s="5" t="str">
        <f t="shared" si="1164"/>
        <v>CÁMARA TURBO HD 1080 DOMO 2MP CMOS Image Sensor Effective Pixels 1930(H)*1088(V) Min. illumination 0.01 Lux @ (F1.2,AGC ON),0 Lux with IR lente de 2.8mm. INCLUYE FUENTE DE VOLTAJE DE 110 V</v>
      </c>
      <c r="C23422" s="6">
        <v>89250</v>
      </c>
      <c r="D23422" s="5" t="s">
        <v>563</v>
      </c>
      <c r="E23422" s="5" t="str">
        <f t="shared" si="1163"/>
        <v>ACTISALUD- CEGDOC-JEFETH DIONISETTY PUERTA FIGUEROA</v>
      </c>
      <c r="F23422" s="5"/>
      <c r="G23422" s="5"/>
    </row>
    <row r="23423" spans="1:7" ht="58.5" customHeight="1" x14ac:dyDescent="0.25">
      <c r="A23423" s="5" t="str">
        <f>"H0028454"</f>
        <v>H0028454</v>
      </c>
      <c r="B23423" s="5" t="str">
        <f t="shared" si="1164"/>
        <v>CÁMARA TURBO HD 1080 DOMO 2MP CMOS Image Sensor Effective Pixels 1930(H)*1088(V) Min. illumination 0.01 Lux @ (F1.2,AGC ON),0 Lux with IR lente de 2.8mm. INCLUYE FUENTE DE VOLTAJE DE 110 V</v>
      </c>
      <c r="C23423" s="6">
        <v>89250</v>
      </c>
      <c r="D23423" s="5" t="s">
        <v>563</v>
      </c>
      <c r="E23423" s="5" t="str">
        <f t="shared" si="1163"/>
        <v>ACTISALUD- CEGDOC-JEFETH DIONISETTY PUERTA FIGUEROA</v>
      </c>
      <c r="F23423" s="5"/>
      <c r="G23423" s="5"/>
    </row>
    <row r="23424" spans="1:7" ht="58.5" customHeight="1" x14ac:dyDescent="0.25">
      <c r="A23424" s="5" t="str">
        <f>"H0028455"</f>
        <v>H0028455</v>
      </c>
      <c r="B23424" s="5" t="str">
        <f t="shared" si="1164"/>
        <v>CÁMARA TURBO HD 1080 DOMO 2MP CMOS Image Sensor Effective Pixels 1930(H)*1088(V) Min. illumination 0.01 Lux @ (F1.2,AGC ON),0 Lux with IR lente de 2.8mm. INCLUYE FUENTE DE VOLTAJE DE 110 V</v>
      </c>
      <c r="C23424" s="6">
        <v>89250</v>
      </c>
      <c r="D23424" s="5" t="s">
        <v>563</v>
      </c>
      <c r="E23424" s="5" t="str">
        <f t="shared" si="1163"/>
        <v>ACTISALUD- CEGDOC-JEFETH DIONISETTY PUERTA FIGUEROA</v>
      </c>
      <c r="F23424" s="5"/>
      <c r="G23424" s="5"/>
    </row>
    <row r="23425" spans="1:7" ht="58.5" customHeight="1" x14ac:dyDescent="0.25">
      <c r="A23425" s="5" t="str">
        <f>"H0028456"</f>
        <v>H0028456</v>
      </c>
      <c r="B23425" s="5" t="str">
        <f t="shared" si="1164"/>
        <v>CÁMARA TURBO HD 1080 DOMO 2MP CMOS Image Sensor Effective Pixels 1930(H)*1088(V) Min. illumination 0.01 Lux @ (F1.2,AGC ON),0 Lux with IR lente de 2.8mm. INCLUYE FUENTE DE VOLTAJE DE 110 V</v>
      </c>
      <c r="C23425" s="6">
        <v>89250</v>
      </c>
      <c r="D23425" s="5" t="s">
        <v>563</v>
      </c>
      <c r="E23425" s="5" t="str">
        <f t="shared" si="1163"/>
        <v>ACTISALUD- CEGDOC-JEFETH DIONISETTY PUERTA FIGUEROA</v>
      </c>
      <c r="F23425" s="5"/>
      <c r="G23425" s="5"/>
    </row>
    <row r="23426" spans="1:7" ht="58.5" customHeight="1" x14ac:dyDescent="0.25">
      <c r="A23426" s="5" t="str">
        <f>"H0028457"</f>
        <v>H0028457</v>
      </c>
      <c r="B23426" s="5" t="str">
        <f t="shared" si="1164"/>
        <v>CÁMARA TURBO HD 1080 DOMO 2MP CMOS Image Sensor Effective Pixels 1930(H)*1088(V) Min. illumination 0.01 Lux @ (F1.2,AGC ON),0 Lux with IR lente de 2.8mm. INCLUYE FUENTE DE VOLTAJE DE 110 V</v>
      </c>
      <c r="C23426" s="6">
        <v>89250</v>
      </c>
      <c r="D23426" s="5" t="s">
        <v>563</v>
      </c>
      <c r="E23426" s="5" t="str">
        <f t="shared" si="1163"/>
        <v>ACTISALUD- CEGDOC-JEFETH DIONISETTY PUERTA FIGUEROA</v>
      </c>
      <c r="F23426" s="5"/>
      <c r="G23426" s="5"/>
    </row>
    <row r="23427" spans="1:7" ht="58.5" customHeight="1" x14ac:dyDescent="0.25">
      <c r="A23427" s="5" t="str">
        <f>"H0028458"</f>
        <v>H0028458</v>
      </c>
      <c r="B23427" s="5" t="str">
        <f>"DVR TURBO HD 1080 16 CANALES, TURBO 1080. INCLUYE UN (1) DISCO DURO DE 6 TB HOMOLOGADO PARA CCTV. 110 V"</f>
        <v>DVR TURBO HD 1080 16 CANALES, TURBO 1080. INCLUYE UN (1) DISCO DURO DE 6 TB HOMOLOGADO PARA CCTV. 110 V</v>
      </c>
      <c r="C23427" s="6">
        <v>1689800</v>
      </c>
      <c r="D23427" s="5" t="s">
        <v>563</v>
      </c>
      <c r="E23427" s="5" t="str">
        <f t="shared" si="1163"/>
        <v>ACTISALUD- CEGDOC-JEFETH DIONISETTY PUERTA FIGUEROA</v>
      </c>
      <c r="F23427" s="5"/>
      <c r="G23427" s="5"/>
    </row>
    <row r="23428" spans="1:7" ht="58.5" customHeight="1" x14ac:dyDescent="0.25">
      <c r="A23428" s="5" t="str">
        <f>"H0028937"</f>
        <v>H0028937</v>
      </c>
      <c r="B23428" s="5" t="str">
        <f t="shared" ref="B23428:B23435" si="1165">"SILLA HERGONOMICA CON SISTEMA HIDRAULICO"</f>
        <v>SILLA HERGONOMICA CON SISTEMA HIDRAULICO</v>
      </c>
      <c r="C23428" s="6">
        <v>174900</v>
      </c>
      <c r="D23428" s="5" t="s">
        <v>40</v>
      </c>
      <c r="E23428" s="5" t="str">
        <f t="shared" si="1163"/>
        <v>ACTISALUD- CEGDOC-JEFETH DIONISETTY PUERTA FIGUEROA</v>
      </c>
      <c r="F23428" s="5"/>
      <c r="G23428" s="5"/>
    </row>
    <row r="23429" spans="1:7" ht="58.5" customHeight="1" x14ac:dyDescent="0.25">
      <c r="A23429" s="5" t="str">
        <f>"H0028957"</f>
        <v>H0028957</v>
      </c>
      <c r="B23429" s="5" t="str">
        <f t="shared" si="1165"/>
        <v>SILLA HERGONOMICA CON SISTEMA HIDRAULICO</v>
      </c>
      <c r="C23429" s="6">
        <v>174900</v>
      </c>
      <c r="D23429" s="5" t="s">
        <v>40</v>
      </c>
      <c r="E23429" s="5" t="str">
        <f t="shared" si="1163"/>
        <v>ACTISALUD- CEGDOC-JEFETH DIONISETTY PUERTA FIGUEROA</v>
      </c>
      <c r="F23429" s="5"/>
      <c r="G23429" s="5"/>
    </row>
    <row r="23430" spans="1:7" ht="58.5" customHeight="1" x14ac:dyDescent="0.25">
      <c r="A23430" s="5" t="str">
        <f>"H0029339"</f>
        <v>H0029339</v>
      </c>
      <c r="B23430" s="5" t="str">
        <f t="shared" si="1165"/>
        <v>SILLA HERGONOMICA CON SISTEMA HIDRAULICO</v>
      </c>
      <c r="C23430" s="6">
        <v>174900</v>
      </c>
      <c r="D23430" s="5" t="s">
        <v>89</v>
      </c>
      <c r="E23430" s="5" t="str">
        <f t="shared" si="1163"/>
        <v>ACTISALUD- CEGDOC-JEFETH DIONISETTY PUERTA FIGUEROA</v>
      </c>
      <c r="F23430" s="5"/>
      <c r="G23430" s="5"/>
    </row>
    <row r="23431" spans="1:7" ht="58.5" customHeight="1" x14ac:dyDescent="0.25">
      <c r="A23431" s="5" t="str">
        <f>"H0029340"</f>
        <v>H0029340</v>
      </c>
      <c r="B23431" s="5" t="str">
        <f t="shared" si="1165"/>
        <v>SILLA HERGONOMICA CON SISTEMA HIDRAULICO</v>
      </c>
      <c r="C23431" s="6">
        <v>174900</v>
      </c>
      <c r="D23431" s="5" t="s">
        <v>89</v>
      </c>
      <c r="E23431" s="5" t="str">
        <f t="shared" si="1163"/>
        <v>ACTISALUD- CEGDOC-JEFETH DIONISETTY PUERTA FIGUEROA</v>
      </c>
      <c r="F23431" s="5"/>
      <c r="G23431" s="5"/>
    </row>
    <row r="23432" spans="1:7" ht="58.5" customHeight="1" x14ac:dyDescent="0.25">
      <c r="A23432" s="5" t="str">
        <f>"H0029341"</f>
        <v>H0029341</v>
      </c>
      <c r="B23432" s="5" t="str">
        <f t="shared" si="1165"/>
        <v>SILLA HERGONOMICA CON SISTEMA HIDRAULICO</v>
      </c>
      <c r="C23432" s="6">
        <v>174900</v>
      </c>
      <c r="D23432" s="5" t="s">
        <v>89</v>
      </c>
      <c r="E23432" s="5" t="str">
        <f t="shared" si="1163"/>
        <v>ACTISALUD- CEGDOC-JEFETH DIONISETTY PUERTA FIGUEROA</v>
      </c>
      <c r="F23432" s="5"/>
      <c r="G23432" s="5"/>
    </row>
    <row r="23433" spans="1:7" ht="58.5" customHeight="1" x14ac:dyDescent="0.25">
      <c r="A23433" s="5" t="str">
        <f>"H0029342"</f>
        <v>H0029342</v>
      </c>
      <c r="B23433" s="5" t="str">
        <f t="shared" si="1165"/>
        <v>SILLA HERGONOMICA CON SISTEMA HIDRAULICO</v>
      </c>
      <c r="C23433" s="6">
        <v>174900</v>
      </c>
      <c r="D23433" s="5" t="s">
        <v>89</v>
      </c>
      <c r="E23433" s="5" t="str">
        <f t="shared" si="1163"/>
        <v>ACTISALUD- CEGDOC-JEFETH DIONISETTY PUERTA FIGUEROA</v>
      </c>
      <c r="F23433" s="5"/>
      <c r="G23433" s="5"/>
    </row>
    <row r="23434" spans="1:7" ht="58.5" customHeight="1" x14ac:dyDescent="0.25">
      <c r="A23434" s="5" t="str">
        <f>"H0029345"</f>
        <v>H0029345</v>
      </c>
      <c r="B23434" s="5" t="str">
        <f t="shared" si="1165"/>
        <v>SILLA HERGONOMICA CON SISTEMA HIDRAULICO</v>
      </c>
      <c r="C23434" s="6">
        <v>174900</v>
      </c>
      <c r="D23434" s="5" t="s">
        <v>89</v>
      </c>
      <c r="E23434" s="5" t="str">
        <f t="shared" si="1163"/>
        <v>ACTISALUD- CEGDOC-JEFETH DIONISETTY PUERTA FIGUEROA</v>
      </c>
      <c r="F23434" s="5"/>
      <c r="G23434" s="5"/>
    </row>
    <row r="23435" spans="1:7" ht="58.5" customHeight="1" x14ac:dyDescent="0.25">
      <c r="A23435" s="5" t="str">
        <f>"H0029386"</f>
        <v>H0029386</v>
      </c>
      <c r="B23435" s="5" t="str">
        <f t="shared" si="1165"/>
        <v>SILLA HERGONOMICA CON SISTEMA HIDRAULICO</v>
      </c>
      <c r="C23435" s="6">
        <v>174900</v>
      </c>
      <c r="D23435" s="5" t="s">
        <v>89</v>
      </c>
      <c r="E23435" s="5" t="str">
        <f t="shared" si="1163"/>
        <v>ACTISALUD- CEGDOC-JEFETH DIONISETTY PUERTA FIGUEROA</v>
      </c>
      <c r="F23435" s="5"/>
      <c r="G23435" s="5"/>
    </row>
    <row r="23436" spans="1:7" ht="58.5" customHeight="1" x14ac:dyDescent="0.25">
      <c r="A23436" s="5" t="str">
        <f>"H0029783"</f>
        <v>H0029783</v>
      </c>
      <c r="B23436" s="5" t="s">
        <v>96</v>
      </c>
      <c r="C23436" s="6">
        <v>169000.22</v>
      </c>
      <c r="D23436" s="5" t="s">
        <v>93</v>
      </c>
      <c r="E23436" s="5" t="str">
        <f t="shared" si="1163"/>
        <v>ACTISALUD- CEGDOC-JEFETH DIONISETTY PUERTA FIGUEROA</v>
      </c>
      <c r="F23436" s="5"/>
      <c r="G23436" s="5"/>
    </row>
    <row r="23437" spans="1:7" ht="58.5" customHeight="1" x14ac:dyDescent="0.25">
      <c r="A23437" s="5" t="str">
        <f>"H0029784"</f>
        <v>H0029784</v>
      </c>
      <c r="B23437" s="5" t="s">
        <v>96</v>
      </c>
      <c r="C23437" s="6">
        <v>169000.22</v>
      </c>
      <c r="D23437" s="5" t="s">
        <v>93</v>
      </c>
      <c r="E23437" s="5" t="str">
        <f t="shared" si="1163"/>
        <v>ACTISALUD- CEGDOC-JEFETH DIONISETTY PUERTA FIGUEROA</v>
      </c>
      <c r="F23437" s="5"/>
      <c r="G23437" s="5"/>
    </row>
    <row r="23438" spans="1:7" ht="58.5" customHeight="1" x14ac:dyDescent="0.25">
      <c r="A23438" s="5" t="str">
        <f>"H0029785"</f>
        <v>H0029785</v>
      </c>
      <c r="B23438" s="5" t="s">
        <v>96</v>
      </c>
      <c r="C23438" s="6">
        <v>169000.22</v>
      </c>
      <c r="D23438" s="5" t="s">
        <v>93</v>
      </c>
      <c r="E23438" s="5" t="str">
        <f t="shared" si="1163"/>
        <v>ACTISALUD- CEGDOC-JEFETH DIONISETTY PUERTA FIGUEROA</v>
      </c>
      <c r="F23438" s="5"/>
      <c r="G23438" s="5"/>
    </row>
    <row r="23439" spans="1:7" ht="58.5" customHeight="1" x14ac:dyDescent="0.25">
      <c r="A23439" s="5" t="str">
        <f>"H0029786"</f>
        <v>H0029786</v>
      </c>
      <c r="B23439" s="5" t="s">
        <v>96</v>
      </c>
      <c r="C23439" s="6">
        <v>169000.22</v>
      </c>
      <c r="D23439" s="5" t="s">
        <v>93</v>
      </c>
      <c r="E23439" s="5" t="str">
        <f t="shared" si="1163"/>
        <v>ACTISALUD- CEGDOC-JEFETH DIONISETTY PUERTA FIGUEROA</v>
      </c>
      <c r="F23439" s="5"/>
      <c r="G23439" s="5"/>
    </row>
    <row r="23440" spans="1:7" ht="58.5" customHeight="1" x14ac:dyDescent="0.25">
      <c r="A23440" s="5" t="str">
        <f>"H0029787"</f>
        <v>H0029787</v>
      </c>
      <c r="B23440" s="5" t="s">
        <v>96</v>
      </c>
      <c r="C23440" s="6">
        <v>169000.22</v>
      </c>
      <c r="D23440" s="5" t="s">
        <v>93</v>
      </c>
      <c r="E23440" s="5" t="str">
        <f t="shared" si="1163"/>
        <v>ACTISALUD- CEGDOC-JEFETH DIONISETTY PUERTA FIGUEROA</v>
      </c>
      <c r="F23440" s="5"/>
      <c r="G23440" s="5"/>
    </row>
    <row r="23441" spans="1:7" ht="58.5" customHeight="1" x14ac:dyDescent="0.25">
      <c r="A23441" s="5" t="str">
        <f>"H0029831"</f>
        <v>H0029831</v>
      </c>
      <c r="B23441" s="5" t="str">
        <f>"AIRE ACONDICIONADO DE 36.000 BTU CONVENSIONAL"</f>
        <v>AIRE ACONDICIONADO DE 36.000 BTU CONVENSIONAL</v>
      </c>
      <c r="C23441" s="6">
        <v>3900000</v>
      </c>
      <c r="D23441" s="5" t="s">
        <v>565</v>
      </c>
      <c r="E23441" s="5" t="str">
        <f t="shared" si="1163"/>
        <v>ACTISALUD- CEGDOC-JEFETH DIONISETTY PUERTA FIGUEROA</v>
      </c>
      <c r="F23441" s="5"/>
      <c r="G23441" s="5" t="str">
        <f>"JAA0GBJC213766000676"</f>
        <v>JAA0GBJC213766000676</v>
      </c>
    </row>
    <row r="23442" spans="1:7" ht="58.5" customHeight="1" x14ac:dyDescent="0.25">
      <c r="A23442" s="5" t="str">
        <f>"H0030147"</f>
        <v>H0030147</v>
      </c>
      <c r="B23442" s="5" t="str">
        <f t="shared" ref="B23442:B23452" si="1166">"ESTANTE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442" s="6">
        <v>252400</v>
      </c>
      <c r="D23442" s="5" t="s">
        <v>190</v>
      </c>
      <c r="E23442" s="5" t="str">
        <f t="shared" si="1163"/>
        <v>ACTISALUD- CEGDOC-JEFETH DIONISETTY PUERTA FIGUEROA</v>
      </c>
      <c r="F23442" s="5"/>
      <c r="G23442" s="5"/>
    </row>
    <row r="23443" spans="1:7" ht="58.5" customHeight="1" x14ac:dyDescent="0.25">
      <c r="A23443" s="5" t="str">
        <f>"H0030148"</f>
        <v>H0030148</v>
      </c>
      <c r="B23443" s="5" t="str">
        <f t="shared" si="1166"/>
        <v>ESTANTE CONSTRUIDOS EN LAMINAS METÁLICAS SOLIDAS, RESISTENTES Y ESTABLES CON TRATAMIENTO ANTICORROSIVO, CON 7 ENTREPAÑOS, DE 0.94 CMS DE ANCHO, CON ALTURA DE 2.20MTS Y CADA BANDEJA DEBE SOPORTAR UN PESO DE 100KG/MT LINEA</v>
      </c>
      <c r="C23443" s="6">
        <v>252400</v>
      </c>
      <c r="D23443" s="5" t="s">
        <v>190</v>
      </c>
      <c r="E23443" s="5" t="str">
        <f t="shared" si="1163"/>
        <v>ACTISALUD- CEGDOC-JEFETH DIONISETTY PUERTA FIGUEROA</v>
      </c>
      <c r="F23443" s="5"/>
      <c r="G23443" s="5"/>
    </row>
    <row r="23444" spans="1:7" ht="58.5" customHeight="1" x14ac:dyDescent="0.25">
      <c r="A23444" s="5" t="str">
        <f>"H0030149"</f>
        <v>H0030149</v>
      </c>
      <c r="B23444" s="5" t="str">
        <f t="shared" si="1166"/>
        <v>ESTANTE CONSTRUIDOS EN LAMINAS METÁLICAS SOLIDAS, RESISTENTES Y ESTABLES CON TRATAMIENTO ANTICORROSIVO, CON 7 ENTREPAÑOS, DE 0.94 CMS DE ANCHO, CON ALTURA DE 2.20MTS Y CADA BANDEJA DEBE SOPORTAR UN PESO DE 100KG/MT LINEA</v>
      </c>
      <c r="C23444" s="6">
        <v>252400</v>
      </c>
      <c r="D23444" s="5" t="s">
        <v>190</v>
      </c>
      <c r="E23444" s="5" t="str">
        <f t="shared" si="1163"/>
        <v>ACTISALUD- CEGDOC-JEFETH DIONISETTY PUERTA FIGUEROA</v>
      </c>
      <c r="F23444" s="5"/>
      <c r="G23444" s="5"/>
    </row>
    <row r="23445" spans="1:7" ht="58.5" customHeight="1" x14ac:dyDescent="0.25">
      <c r="A23445" s="5" t="str">
        <f>"H0030150"</f>
        <v>H0030150</v>
      </c>
      <c r="B23445" s="5" t="str">
        <f t="shared" si="1166"/>
        <v>ESTANTE CONSTRUIDOS EN LAMINAS METÁLICAS SOLIDAS, RESISTENTES Y ESTABLES CON TRATAMIENTO ANTICORROSIVO, CON 7 ENTREPAÑOS, DE 0.94 CMS DE ANCHO, CON ALTURA DE 2.20MTS Y CADA BANDEJA DEBE SOPORTAR UN PESO DE 100KG/MT LINEA</v>
      </c>
      <c r="C23445" s="6">
        <v>252400</v>
      </c>
      <c r="D23445" s="5" t="s">
        <v>190</v>
      </c>
      <c r="E23445" s="5" t="str">
        <f t="shared" si="1163"/>
        <v>ACTISALUD- CEGDOC-JEFETH DIONISETTY PUERTA FIGUEROA</v>
      </c>
      <c r="F23445" s="5"/>
      <c r="G23445" s="5"/>
    </row>
    <row r="23446" spans="1:7" ht="58.5" customHeight="1" x14ac:dyDescent="0.25">
      <c r="A23446" s="5" t="str">
        <f>"H0030151"</f>
        <v>H0030151</v>
      </c>
      <c r="B23446" s="5" t="str">
        <f t="shared" si="1166"/>
        <v>ESTANTE CONSTRUIDOS EN LAMINAS METÁLICAS SOLIDAS, RESISTENTES Y ESTABLES CON TRATAMIENTO ANTICORROSIVO, CON 7 ENTREPAÑOS, DE 0.94 CMS DE ANCHO, CON ALTURA DE 2.20MTS Y CADA BANDEJA DEBE SOPORTAR UN PESO DE 100KG/MT LINEA</v>
      </c>
      <c r="C23446" s="6">
        <v>252400</v>
      </c>
      <c r="D23446" s="5" t="s">
        <v>190</v>
      </c>
      <c r="E23446" s="5" t="str">
        <f t="shared" si="1163"/>
        <v>ACTISALUD- CEGDOC-JEFETH DIONISETTY PUERTA FIGUEROA</v>
      </c>
      <c r="F23446" s="5"/>
      <c r="G23446" s="5"/>
    </row>
    <row r="23447" spans="1:7" ht="58.5" customHeight="1" x14ac:dyDescent="0.25">
      <c r="A23447" s="5" t="str">
        <f>"H0030153"</f>
        <v>H0030153</v>
      </c>
      <c r="B23447" s="5" t="str">
        <f t="shared" si="1166"/>
        <v>ESTANTE CONSTRUIDOS EN LAMINAS METÁLICAS SOLIDAS, RESISTENTES Y ESTABLES CON TRATAMIENTO ANTICORROSIVO, CON 7 ENTREPAÑOS, DE 0.94 CMS DE ANCHO, CON ALTURA DE 2.20MTS Y CADA BANDEJA DEBE SOPORTAR UN PESO DE 100KG/MT LINEA</v>
      </c>
      <c r="C23447" s="6">
        <v>252400</v>
      </c>
      <c r="D23447" s="5" t="s">
        <v>190</v>
      </c>
      <c r="E23447" s="5" t="str">
        <f t="shared" si="1163"/>
        <v>ACTISALUD- CEGDOC-JEFETH DIONISETTY PUERTA FIGUEROA</v>
      </c>
      <c r="F23447" s="5"/>
      <c r="G23447" s="5"/>
    </row>
    <row r="23448" spans="1:7" ht="58.5" customHeight="1" x14ac:dyDescent="0.25">
      <c r="A23448" s="5" t="str">
        <f>"H0030167"</f>
        <v>H0030167</v>
      </c>
      <c r="B23448" s="5" t="str">
        <f t="shared" si="1166"/>
        <v>ESTANTE CONSTRUIDOS EN LAMINAS METÁLICAS SOLIDAS, RESISTENTES Y ESTABLES CON TRATAMIENTO ANTICORROSIVO, CON 7 ENTREPAÑOS, DE 0.94 CMS DE ANCHO, CON ALTURA DE 2.20MTS Y CADA BANDEJA DEBE SOPORTAR UN PESO DE 100KG/MT LINEA</v>
      </c>
      <c r="C23448" s="6">
        <v>252400</v>
      </c>
      <c r="D23448" s="5" t="s">
        <v>190</v>
      </c>
      <c r="E23448" s="5" t="str">
        <f t="shared" si="1163"/>
        <v>ACTISALUD- CEGDOC-JEFETH DIONISETTY PUERTA FIGUEROA</v>
      </c>
      <c r="F23448" s="5"/>
      <c r="G23448" s="5"/>
    </row>
    <row r="23449" spans="1:7" ht="58.5" customHeight="1" x14ac:dyDescent="0.25">
      <c r="A23449" s="5" t="str">
        <f>"H0030168"</f>
        <v>H0030168</v>
      </c>
      <c r="B23449" s="5" t="str">
        <f t="shared" si="1166"/>
        <v>ESTANTE CONSTRUIDOS EN LAMINAS METÁLICAS SOLIDAS, RESISTENTES Y ESTABLES CON TRATAMIENTO ANTICORROSIVO, CON 7 ENTREPAÑOS, DE 0.94 CMS DE ANCHO, CON ALTURA DE 2.20MTS Y CADA BANDEJA DEBE SOPORTAR UN PESO DE 100KG/MT LINEA</v>
      </c>
      <c r="C23449" s="6">
        <v>252400</v>
      </c>
      <c r="D23449" s="5" t="s">
        <v>190</v>
      </c>
      <c r="E23449" s="5" t="str">
        <f t="shared" si="1163"/>
        <v>ACTISALUD- CEGDOC-JEFETH DIONISETTY PUERTA FIGUEROA</v>
      </c>
      <c r="F23449" s="5"/>
      <c r="G23449" s="5"/>
    </row>
    <row r="23450" spans="1:7" ht="58.5" customHeight="1" x14ac:dyDescent="0.25">
      <c r="A23450" s="5" t="str">
        <f>"H0030169"</f>
        <v>H0030169</v>
      </c>
      <c r="B23450" s="5" t="str">
        <f t="shared" si="1166"/>
        <v>ESTANTE CONSTRUIDOS EN LAMINAS METÁLICAS SOLIDAS, RESISTENTES Y ESTABLES CON TRATAMIENTO ANTICORROSIVO, CON 7 ENTREPAÑOS, DE 0.94 CMS DE ANCHO, CON ALTURA DE 2.20MTS Y CADA BANDEJA DEBE SOPORTAR UN PESO DE 100KG/MT LINEA</v>
      </c>
      <c r="C23450" s="6">
        <v>252400</v>
      </c>
      <c r="D23450" s="5" t="s">
        <v>190</v>
      </c>
      <c r="E23450" s="5" t="str">
        <f t="shared" si="1163"/>
        <v>ACTISALUD- CEGDOC-JEFETH DIONISETTY PUERTA FIGUEROA</v>
      </c>
      <c r="F23450" s="5"/>
      <c r="G23450" s="5"/>
    </row>
    <row r="23451" spans="1:7" ht="58.5" customHeight="1" x14ac:dyDescent="0.25">
      <c r="A23451" s="5" t="str">
        <f>"H0030170"</f>
        <v>H0030170</v>
      </c>
      <c r="B23451" s="5" t="str">
        <f t="shared" si="1166"/>
        <v>ESTANTE CONSTRUIDOS EN LAMINAS METÁLICAS SOLIDAS, RESISTENTES Y ESTABLES CON TRATAMIENTO ANTICORROSIVO, CON 7 ENTREPAÑOS, DE 0.94 CMS DE ANCHO, CON ALTURA DE 2.20MTS Y CADA BANDEJA DEBE SOPORTAR UN PESO DE 100KG/MT LINEA</v>
      </c>
      <c r="C23451" s="6">
        <v>252400</v>
      </c>
      <c r="D23451" s="5" t="s">
        <v>190</v>
      </c>
      <c r="E23451" s="5" t="str">
        <f t="shared" si="1163"/>
        <v>ACTISALUD- CEGDOC-JEFETH DIONISETTY PUERTA FIGUEROA</v>
      </c>
      <c r="F23451" s="5"/>
      <c r="G23451" s="5"/>
    </row>
    <row r="23452" spans="1:7" ht="58.5" customHeight="1" x14ac:dyDescent="0.25">
      <c r="A23452" s="5" t="str">
        <f>"H0030171"</f>
        <v>H0030171</v>
      </c>
      <c r="B23452" s="5" t="str">
        <f t="shared" si="1166"/>
        <v>ESTANTE CONSTRUIDOS EN LAMINAS METÁLICAS SOLIDAS, RESISTENTES Y ESTABLES CON TRATAMIENTO ANTICORROSIVO, CON 7 ENTREPAÑOS, DE 0.94 CMS DE ANCHO, CON ALTURA DE 2.20MTS Y CADA BANDEJA DEBE SOPORTAR UN PESO DE 100KG/MT LINEA</v>
      </c>
      <c r="C23452" s="6">
        <v>252400</v>
      </c>
      <c r="D23452" s="5" t="s">
        <v>190</v>
      </c>
      <c r="E23452" s="5" t="str">
        <f t="shared" si="1163"/>
        <v>ACTISALUD- CEGDOC-JEFETH DIONISETTY PUERTA FIGUEROA</v>
      </c>
      <c r="F23452" s="5"/>
      <c r="G23452" s="5"/>
    </row>
    <row r="23453" spans="1:7" ht="58.5" customHeight="1" x14ac:dyDescent="0.25">
      <c r="A23453" s="5" t="str">
        <f>"H0031516"</f>
        <v>H0031516</v>
      </c>
      <c r="B23453" s="5" t="s">
        <v>329</v>
      </c>
      <c r="C23453" s="6">
        <v>326041.09999999998</v>
      </c>
      <c r="D23453" s="5" t="s">
        <v>16</v>
      </c>
      <c r="E23453" s="5" t="str">
        <f t="shared" si="1163"/>
        <v>ACTISALUD- CEGDOC-JEFETH DIONISETTY PUERTA FIGUEROA</v>
      </c>
      <c r="F23453" s="5"/>
      <c r="G23453" s="5"/>
    </row>
    <row r="23454" spans="1:7" ht="58.5" customHeight="1" x14ac:dyDescent="0.25">
      <c r="A23454" s="5" t="str">
        <f>"H0031826"</f>
        <v>H0031826</v>
      </c>
      <c r="B23454" s="5" t="str">
        <f>"SILLA GIRATORIA SIN BRAZOS CON RODACHINES"</f>
        <v>SILLA GIRATORIA SIN BRAZOS CON RODACHINES</v>
      </c>
      <c r="C23454" s="6">
        <v>244999.56</v>
      </c>
      <c r="D23454" s="5" t="s">
        <v>43</v>
      </c>
      <c r="E23454" s="5" t="str">
        <f t="shared" si="1163"/>
        <v>ACTISALUD- CEGDOC-JEFETH DIONISETTY PUERTA FIGUEROA</v>
      </c>
      <c r="F23454" s="5"/>
      <c r="G23454" s="5"/>
    </row>
    <row r="23455" spans="1:7" ht="58.5" customHeight="1" x14ac:dyDescent="0.25">
      <c r="A23455" s="5" t="str">
        <f>"H0031891"</f>
        <v>H0031891</v>
      </c>
      <c r="B23455"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3455" s="6">
        <v>2647750</v>
      </c>
      <c r="D23455" s="5" t="s">
        <v>44</v>
      </c>
      <c r="E23455" s="5" t="str">
        <f t="shared" si="1163"/>
        <v>ACTISALUD- CEGDOC-JEFETH DIONISETTY PUERTA FIGUEROA</v>
      </c>
      <c r="F23455" s="5"/>
      <c r="G23455" s="5" t="str">
        <f>"DS-870"</f>
        <v>DS-870</v>
      </c>
    </row>
    <row r="23456" spans="1:7" ht="58.5" customHeight="1" x14ac:dyDescent="0.25">
      <c r="A23456" s="5" t="str">
        <f>"H0032062"</f>
        <v>H0032062</v>
      </c>
      <c r="B23456" s="5" t="str">
        <f t="shared" ref="B23456:B23487" si="116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456" s="6">
        <v>226100</v>
      </c>
      <c r="D23456" s="5" t="s">
        <v>523</v>
      </c>
      <c r="E23456" s="5" t="str">
        <f t="shared" si="1163"/>
        <v>ACTISALUD- CEGDOC-JEFETH DIONISETTY PUERTA FIGUEROA</v>
      </c>
      <c r="F23456" s="5"/>
      <c r="G23456" s="5"/>
    </row>
    <row r="23457" spans="1:7" ht="58.5" customHeight="1" x14ac:dyDescent="0.25">
      <c r="A23457" s="5" t="str">
        <f>"H0032063"</f>
        <v>H0032063</v>
      </c>
      <c r="B23457" s="5" t="str">
        <f t="shared" si="1167"/>
        <v>ESTANTE CONSTRUIDOS EN LAMINAS METÁLICAS SOLIDAS, RESISTENTES Y ESTABLES CON TRATAMIENTO ANTICORROSIVO, CON 7 ENTREPAÑOS, DE 0.94 CMS DE ANCHO, CON ALTURA DE 2.20MTS Y CADA BANDEJA DEBE SOPORTAR UN PESO DE 100KG/MT LINEA</v>
      </c>
      <c r="C23457" s="6">
        <v>226100</v>
      </c>
      <c r="D23457" s="5" t="s">
        <v>523</v>
      </c>
      <c r="E23457" s="5" t="str">
        <f t="shared" si="1163"/>
        <v>ACTISALUD- CEGDOC-JEFETH DIONISETTY PUERTA FIGUEROA</v>
      </c>
      <c r="F23457" s="5"/>
      <c r="G23457" s="5"/>
    </row>
    <row r="23458" spans="1:7" ht="58.5" customHeight="1" x14ac:dyDescent="0.25">
      <c r="A23458" s="5" t="str">
        <f>"H0032064"</f>
        <v>H0032064</v>
      </c>
      <c r="B23458" s="5" t="str">
        <f t="shared" si="1167"/>
        <v>ESTANTE CONSTRUIDOS EN LAMINAS METÁLICAS SOLIDAS, RESISTENTES Y ESTABLES CON TRATAMIENTO ANTICORROSIVO, CON 7 ENTREPAÑOS, DE 0.94 CMS DE ANCHO, CON ALTURA DE 2.20MTS Y CADA BANDEJA DEBE SOPORTAR UN PESO DE 100KG/MT LINEA</v>
      </c>
      <c r="C23458" s="6">
        <v>226100</v>
      </c>
      <c r="D23458" s="5" t="s">
        <v>523</v>
      </c>
      <c r="E23458" s="5" t="str">
        <f t="shared" ref="E23458:E23520" si="1168">"ACTISALUD- CEGDOC-JEFETH DIONISETTY PUERTA FIGUEROA"</f>
        <v>ACTISALUD- CEGDOC-JEFETH DIONISETTY PUERTA FIGUEROA</v>
      </c>
      <c r="F23458" s="5"/>
      <c r="G23458" s="5"/>
    </row>
    <row r="23459" spans="1:7" ht="58.5" customHeight="1" x14ac:dyDescent="0.25">
      <c r="A23459" s="5" t="str">
        <f>"H0032065"</f>
        <v>H0032065</v>
      </c>
      <c r="B23459" s="5" t="str">
        <f t="shared" si="1167"/>
        <v>ESTANTE CONSTRUIDOS EN LAMINAS METÁLICAS SOLIDAS, RESISTENTES Y ESTABLES CON TRATAMIENTO ANTICORROSIVO, CON 7 ENTREPAÑOS, DE 0.94 CMS DE ANCHO, CON ALTURA DE 2.20MTS Y CADA BANDEJA DEBE SOPORTAR UN PESO DE 100KG/MT LINEA</v>
      </c>
      <c r="C23459" s="6">
        <v>226100</v>
      </c>
      <c r="D23459" s="5" t="s">
        <v>523</v>
      </c>
      <c r="E23459" s="5" t="str">
        <f t="shared" si="1168"/>
        <v>ACTISALUD- CEGDOC-JEFETH DIONISETTY PUERTA FIGUEROA</v>
      </c>
      <c r="F23459" s="5"/>
      <c r="G23459" s="5"/>
    </row>
    <row r="23460" spans="1:7" ht="58.5" customHeight="1" x14ac:dyDescent="0.25">
      <c r="A23460" s="5" t="str">
        <f>"H0032066"</f>
        <v>H0032066</v>
      </c>
      <c r="B23460" s="5" t="str">
        <f t="shared" si="1167"/>
        <v>ESTANTE CONSTRUIDOS EN LAMINAS METÁLICAS SOLIDAS, RESISTENTES Y ESTABLES CON TRATAMIENTO ANTICORROSIVO, CON 7 ENTREPAÑOS, DE 0.94 CMS DE ANCHO, CON ALTURA DE 2.20MTS Y CADA BANDEJA DEBE SOPORTAR UN PESO DE 100KG/MT LINEA</v>
      </c>
      <c r="C23460" s="6">
        <v>226100</v>
      </c>
      <c r="D23460" s="5" t="s">
        <v>523</v>
      </c>
      <c r="E23460" s="5" t="str">
        <f t="shared" si="1168"/>
        <v>ACTISALUD- CEGDOC-JEFETH DIONISETTY PUERTA FIGUEROA</v>
      </c>
      <c r="F23460" s="5"/>
      <c r="G23460" s="5"/>
    </row>
    <row r="23461" spans="1:7" ht="58.5" customHeight="1" x14ac:dyDescent="0.25">
      <c r="A23461" s="5" t="str">
        <f>"H0032067"</f>
        <v>H0032067</v>
      </c>
      <c r="B23461" s="5" t="str">
        <f t="shared" si="1167"/>
        <v>ESTANTE CONSTRUIDOS EN LAMINAS METÁLICAS SOLIDAS, RESISTENTES Y ESTABLES CON TRATAMIENTO ANTICORROSIVO, CON 7 ENTREPAÑOS, DE 0.94 CMS DE ANCHO, CON ALTURA DE 2.20MTS Y CADA BANDEJA DEBE SOPORTAR UN PESO DE 100KG/MT LINEA</v>
      </c>
      <c r="C23461" s="6">
        <v>226100</v>
      </c>
      <c r="D23461" s="5" t="s">
        <v>523</v>
      </c>
      <c r="E23461" s="5" t="str">
        <f t="shared" si="1168"/>
        <v>ACTISALUD- CEGDOC-JEFETH DIONISETTY PUERTA FIGUEROA</v>
      </c>
      <c r="F23461" s="5"/>
      <c r="G23461" s="5"/>
    </row>
    <row r="23462" spans="1:7" ht="58.5" customHeight="1" x14ac:dyDescent="0.25">
      <c r="A23462" s="5" t="str">
        <f>"H0032068"</f>
        <v>H0032068</v>
      </c>
      <c r="B23462" s="5" t="str">
        <f t="shared" si="1167"/>
        <v>ESTANTE CONSTRUIDOS EN LAMINAS METÁLICAS SOLIDAS, RESISTENTES Y ESTABLES CON TRATAMIENTO ANTICORROSIVO, CON 7 ENTREPAÑOS, DE 0.94 CMS DE ANCHO, CON ALTURA DE 2.20MTS Y CADA BANDEJA DEBE SOPORTAR UN PESO DE 100KG/MT LINEA</v>
      </c>
      <c r="C23462" s="6">
        <v>226100</v>
      </c>
      <c r="D23462" s="5" t="s">
        <v>523</v>
      </c>
      <c r="E23462" s="5" t="str">
        <f t="shared" si="1168"/>
        <v>ACTISALUD- CEGDOC-JEFETH DIONISETTY PUERTA FIGUEROA</v>
      </c>
      <c r="F23462" s="5"/>
      <c r="G23462" s="5"/>
    </row>
    <row r="23463" spans="1:7" ht="58.5" customHeight="1" x14ac:dyDescent="0.25">
      <c r="A23463" s="5" t="str">
        <f>"H0032069"</f>
        <v>H0032069</v>
      </c>
      <c r="B23463" s="5" t="str">
        <f t="shared" si="1167"/>
        <v>ESTANTE CONSTRUIDOS EN LAMINAS METÁLICAS SOLIDAS, RESISTENTES Y ESTABLES CON TRATAMIENTO ANTICORROSIVO, CON 7 ENTREPAÑOS, DE 0.94 CMS DE ANCHO, CON ALTURA DE 2.20MTS Y CADA BANDEJA DEBE SOPORTAR UN PESO DE 100KG/MT LINEA</v>
      </c>
      <c r="C23463" s="6">
        <v>226100</v>
      </c>
      <c r="D23463" s="5" t="s">
        <v>523</v>
      </c>
      <c r="E23463" s="5" t="str">
        <f t="shared" si="1168"/>
        <v>ACTISALUD- CEGDOC-JEFETH DIONISETTY PUERTA FIGUEROA</v>
      </c>
      <c r="F23463" s="5"/>
      <c r="G23463" s="5"/>
    </row>
    <row r="23464" spans="1:7" ht="58.5" customHeight="1" x14ac:dyDescent="0.25">
      <c r="A23464" s="5" t="str">
        <f>"H0032070"</f>
        <v>H0032070</v>
      </c>
      <c r="B23464" s="5" t="str">
        <f t="shared" si="1167"/>
        <v>ESTANTE CONSTRUIDOS EN LAMINAS METÁLICAS SOLIDAS, RESISTENTES Y ESTABLES CON TRATAMIENTO ANTICORROSIVO, CON 7 ENTREPAÑOS, DE 0.94 CMS DE ANCHO, CON ALTURA DE 2.20MTS Y CADA BANDEJA DEBE SOPORTAR UN PESO DE 100KG/MT LINEA</v>
      </c>
      <c r="C23464" s="6">
        <v>226100</v>
      </c>
      <c r="D23464" s="5" t="s">
        <v>523</v>
      </c>
      <c r="E23464" s="5" t="str">
        <f t="shared" si="1168"/>
        <v>ACTISALUD- CEGDOC-JEFETH DIONISETTY PUERTA FIGUEROA</v>
      </c>
      <c r="F23464" s="5"/>
      <c r="G23464" s="5"/>
    </row>
    <row r="23465" spans="1:7" ht="58.5" customHeight="1" x14ac:dyDescent="0.25">
      <c r="A23465" s="5" t="str">
        <f>"H0032071"</f>
        <v>H0032071</v>
      </c>
      <c r="B23465" s="5" t="str">
        <f t="shared" si="1167"/>
        <v>ESTANTE CONSTRUIDOS EN LAMINAS METÁLICAS SOLIDAS, RESISTENTES Y ESTABLES CON TRATAMIENTO ANTICORROSIVO, CON 7 ENTREPAÑOS, DE 0.94 CMS DE ANCHO, CON ALTURA DE 2.20MTS Y CADA BANDEJA DEBE SOPORTAR UN PESO DE 100KG/MT LINEA</v>
      </c>
      <c r="C23465" s="6">
        <v>226100</v>
      </c>
      <c r="D23465" s="5" t="s">
        <v>523</v>
      </c>
      <c r="E23465" s="5" t="str">
        <f t="shared" si="1168"/>
        <v>ACTISALUD- CEGDOC-JEFETH DIONISETTY PUERTA FIGUEROA</v>
      </c>
      <c r="F23465" s="5"/>
      <c r="G23465" s="5"/>
    </row>
    <row r="23466" spans="1:7" ht="58.5" customHeight="1" x14ac:dyDescent="0.25">
      <c r="A23466" s="5" t="str">
        <f>"H0032072"</f>
        <v>H0032072</v>
      </c>
      <c r="B23466" s="5" t="str">
        <f t="shared" si="1167"/>
        <v>ESTANTE CONSTRUIDOS EN LAMINAS METÁLICAS SOLIDAS, RESISTENTES Y ESTABLES CON TRATAMIENTO ANTICORROSIVO, CON 7 ENTREPAÑOS, DE 0.94 CMS DE ANCHO, CON ALTURA DE 2.20MTS Y CADA BANDEJA DEBE SOPORTAR UN PESO DE 100KG/MT LINEA</v>
      </c>
      <c r="C23466" s="6">
        <v>226100</v>
      </c>
      <c r="D23466" s="5" t="s">
        <v>523</v>
      </c>
      <c r="E23466" s="5" t="str">
        <f t="shared" si="1168"/>
        <v>ACTISALUD- CEGDOC-JEFETH DIONISETTY PUERTA FIGUEROA</v>
      </c>
      <c r="F23466" s="5"/>
      <c r="G23466" s="5"/>
    </row>
    <row r="23467" spans="1:7" ht="58.5" customHeight="1" x14ac:dyDescent="0.25">
      <c r="A23467" s="5" t="str">
        <f>"H0032073"</f>
        <v>H0032073</v>
      </c>
      <c r="B23467" s="5" t="str">
        <f t="shared" si="1167"/>
        <v>ESTANTE CONSTRUIDOS EN LAMINAS METÁLICAS SOLIDAS, RESISTENTES Y ESTABLES CON TRATAMIENTO ANTICORROSIVO, CON 7 ENTREPAÑOS, DE 0.94 CMS DE ANCHO, CON ALTURA DE 2.20MTS Y CADA BANDEJA DEBE SOPORTAR UN PESO DE 100KG/MT LINEA</v>
      </c>
      <c r="C23467" s="6">
        <v>226100</v>
      </c>
      <c r="D23467" s="5" t="s">
        <v>918</v>
      </c>
      <c r="E23467" s="5" t="str">
        <f t="shared" si="1168"/>
        <v>ACTISALUD- CEGDOC-JEFETH DIONISETTY PUERTA FIGUEROA</v>
      </c>
      <c r="F23467" s="5"/>
      <c r="G23467" s="5"/>
    </row>
    <row r="23468" spans="1:7" ht="58.5" customHeight="1" x14ac:dyDescent="0.25">
      <c r="A23468" s="5" t="str">
        <f>"H0032074"</f>
        <v>H0032074</v>
      </c>
      <c r="B23468" s="5" t="str">
        <f t="shared" si="1167"/>
        <v>ESTANTE CONSTRUIDOS EN LAMINAS METÁLICAS SOLIDAS, RESISTENTES Y ESTABLES CON TRATAMIENTO ANTICORROSIVO, CON 7 ENTREPAÑOS, DE 0.94 CMS DE ANCHO, CON ALTURA DE 2.20MTS Y CADA BANDEJA DEBE SOPORTAR UN PESO DE 100KG/MT LINEA</v>
      </c>
      <c r="C23468" s="6">
        <v>226100</v>
      </c>
      <c r="D23468" s="5" t="s">
        <v>523</v>
      </c>
      <c r="E23468" s="5" t="str">
        <f t="shared" si="1168"/>
        <v>ACTISALUD- CEGDOC-JEFETH DIONISETTY PUERTA FIGUEROA</v>
      </c>
      <c r="F23468" s="5"/>
      <c r="G23468" s="5"/>
    </row>
    <row r="23469" spans="1:7" ht="58.5" customHeight="1" x14ac:dyDescent="0.25">
      <c r="A23469" s="5" t="str">
        <f>"H0032075"</f>
        <v>H0032075</v>
      </c>
      <c r="B23469" s="5" t="str">
        <f t="shared" si="1167"/>
        <v>ESTANTE CONSTRUIDOS EN LAMINAS METÁLICAS SOLIDAS, RESISTENTES Y ESTABLES CON TRATAMIENTO ANTICORROSIVO, CON 7 ENTREPAÑOS, DE 0.94 CMS DE ANCHO, CON ALTURA DE 2.20MTS Y CADA BANDEJA DEBE SOPORTAR UN PESO DE 100KG/MT LINEA</v>
      </c>
      <c r="C23469" s="6">
        <v>226100</v>
      </c>
      <c r="D23469" s="5" t="s">
        <v>523</v>
      </c>
      <c r="E23469" s="5" t="str">
        <f t="shared" si="1168"/>
        <v>ACTISALUD- CEGDOC-JEFETH DIONISETTY PUERTA FIGUEROA</v>
      </c>
      <c r="F23469" s="5"/>
      <c r="G23469" s="5"/>
    </row>
    <row r="23470" spans="1:7" ht="58.5" customHeight="1" x14ac:dyDescent="0.25">
      <c r="A23470" s="5" t="str">
        <f>"H0032076"</f>
        <v>H0032076</v>
      </c>
      <c r="B23470" s="5" t="str">
        <f t="shared" si="1167"/>
        <v>ESTANTE CONSTRUIDOS EN LAMINAS METÁLICAS SOLIDAS, RESISTENTES Y ESTABLES CON TRATAMIENTO ANTICORROSIVO, CON 7 ENTREPAÑOS, DE 0.94 CMS DE ANCHO, CON ALTURA DE 2.20MTS Y CADA BANDEJA DEBE SOPORTAR UN PESO DE 100KG/MT LINEA</v>
      </c>
      <c r="C23470" s="6">
        <v>226100</v>
      </c>
      <c r="D23470" s="5" t="s">
        <v>523</v>
      </c>
      <c r="E23470" s="5" t="str">
        <f t="shared" si="1168"/>
        <v>ACTISALUD- CEGDOC-JEFETH DIONISETTY PUERTA FIGUEROA</v>
      </c>
      <c r="F23470" s="5"/>
      <c r="G23470" s="5"/>
    </row>
    <row r="23471" spans="1:7" ht="58.5" customHeight="1" x14ac:dyDescent="0.25">
      <c r="A23471" s="5" t="str">
        <f>"H0032077"</f>
        <v>H0032077</v>
      </c>
      <c r="B23471" s="5" t="str">
        <f t="shared" si="1167"/>
        <v>ESTANTE CONSTRUIDOS EN LAMINAS METÁLICAS SOLIDAS, RESISTENTES Y ESTABLES CON TRATAMIENTO ANTICORROSIVO, CON 7 ENTREPAÑOS, DE 0.94 CMS DE ANCHO, CON ALTURA DE 2.20MTS Y CADA BANDEJA DEBE SOPORTAR UN PESO DE 100KG/MT LINEA</v>
      </c>
      <c r="C23471" s="6">
        <v>226100</v>
      </c>
      <c r="D23471" s="5" t="s">
        <v>523</v>
      </c>
      <c r="E23471" s="5" t="str">
        <f t="shared" si="1168"/>
        <v>ACTISALUD- CEGDOC-JEFETH DIONISETTY PUERTA FIGUEROA</v>
      </c>
      <c r="F23471" s="5"/>
      <c r="G23471" s="5"/>
    </row>
    <row r="23472" spans="1:7" ht="58.5" customHeight="1" x14ac:dyDescent="0.25">
      <c r="A23472" s="5" t="str">
        <f>"H0032078"</f>
        <v>H0032078</v>
      </c>
      <c r="B23472" s="5" t="str">
        <f t="shared" si="1167"/>
        <v>ESTANTE CONSTRUIDOS EN LAMINAS METÁLICAS SOLIDAS, RESISTENTES Y ESTABLES CON TRATAMIENTO ANTICORROSIVO, CON 7 ENTREPAÑOS, DE 0.94 CMS DE ANCHO, CON ALTURA DE 2.20MTS Y CADA BANDEJA DEBE SOPORTAR UN PESO DE 100KG/MT LINEA</v>
      </c>
      <c r="C23472" s="6">
        <v>226100</v>
      </c>
      <c r="D23472" s="5" t="s">
        <v>523</v>
      </c>
      <c r="E23472" s="5" t="str">
        <f t="shared" si="1168"/>
        <v>ACTISALUD- CEGDOC-JEFETH DIONISETTY PUERTA FIGUEROA</v>
      </c>
      <c r="F23472" s="5"/>
      <c r="G23472" s="5"/>
    </row>
    <row r="23473" spans="1:7" ht="58.5" customHeight="1" x14ac:dyDescent="0.25">
      <c r="A23473" s="5" t="str">
        <f>"H0032079"</f>
        <v>H0032079</v>
      </c>
      <c r="B23473" s="5" t="str">
        <f t="shared" si="1167"/>
        <v>ESTANTE CONSTRUIDOS EN LAMINAS METÁLICAS SOLIDAS, RESISTENTES Y ESTABLES CON TRATAMIENTO ANTICORROSIVO, CON 7 ENTREPAÑOS, DE 0.94 CMS DE ANCHO, CON ALTURA DE 2.20MTS Y CADA BANDEJA DEBE SOPORTAR UN PESO DE 100KG/MT LINEA</v>
      </c>
      <c r="C23473" s="6">
        <v>226100</v>
      </c>
      <c r="D23473" s="5" t="s">
        <v>523</v>
      </c>
      <c r="E23473" s="5" t="str">
        <f t="shared" si="1168"/>
        <v>ACTISALUD- CEGDOC-JEFETH DIONISETTY PUERTA FIGUEROA</v>
      </c>
      <c r="F23473" s="5"/>
      <c r="G23473" s="5"/>
    </row>
    <row r="23474" spans="1:7" ht="58.5" customHeight="1" x14ac:dyDescent="0.25">
      <c r="A23474" s="5" t="str">
        <f>"H0032080"</f>
        <v>H0032080</v>
      </c>
      <c r="B23474" s="5" t="str">
        <f t="shared" si="1167"/>
        <v>ESTANTE CONSTRUIDOS EN LAMINAS METÁLICAS SOLIDAS, RESISTENTES Y ESTABLES CON TRATAMIENTO ANTICORROSIVO, CON 7 ENTREPAÑOS, DE 0.94 CMS DE ANCHO, CON ALTURA DE 2.20MTS Y CADA BANDEJA DEBE SOPORTAR UN PESO DE 100KG/MT LINEA</v>
      </c>
      <c r="C23474" s="6">
        <v>226100</v>
      </c>
      <c r="D23474" s="5" t="s">
        <v>523</v>
      </c>
      <c r="E23474" s="5" t="str">
        <f t="shared" si="1168"/>
        <v>ACTISALUD- CEGDOC-JEFETH DIONISETTY PUERTA FIGUEROA</v>
      </c>
      <c r="F23474" s="5"/>
      <c r="G23474" s="5"/>
    </row>
    <row r="23475" spans="1:7" ht="58.5" customHeight="1" x14ac:dyDescent="0.25">
      <c r="A23475" s="5" t="str">
        <f>"H0032081"</f>
        <v>H0032081</v>
      </c>
      <c r="B23475" s="5" t="str">
        <f t="shared" si="1167"/>
        <v>ESTANTE CONSTRUIDOS EN LAMINAS METÁLICAS SOLIDAS, RESISTENTES Y ESTABLES CON TRATAMIENTO ANTICORROSIVO, CON 7 ENTREPAÑOS, DE 0.94 CMS DE ANCHO, CON ALTURA DE 2.20MTS Y CADA BANDEJA DEBE SOPORTAR UN PESO DE 100KG/MT LINEA</v>
      </c>
      <c r="C23475" s="6">
        <v>226100</v>
      </c>
      <c r="D23475" s="5" t="s">
        <v>523</v>
      </c>
      <c r="E23475" s="5" t="str">
        <f t="shared" si="1168"/>
        <v>ACTISALUD- CEGDOC-JEFETH DIONISETTY PUERTA FIGUEROA</v>
      </c>
      <c r="F23475" s="5"/>
      <c r="G23475" s="5"/>
    </row>
    <row r="23476" spans="1:7" ht="58.5" customHeight="1" x14ac:dyDescent="0.25">
      <c r="A23476" s="5" t="str">
        <f>"H0032082"</f>
        <v>H0032082</v>
      </c>
      <c r="B23476" s="5" t="str">
        <f t="shared" si="1167"/>
        <v>ESTANTE CONSTRUIDOS EN LAMINAS METÁLICAS SOLIDAS, RESISTENTES Y ESTABLES CON TRATAMIENTO ANTICORROSIVO, CON 7 ENTREPAÑOS, DE 0.94 CMS DE ANCHO, CON ALTURA DE 2.20MTS Y CADA BANDEJA DEBE SOPORTAR UN PESO DE 100KG/MT LINEA</v>
      </c>
      <c r="C23476" s="6">
        <v>226100</v>
      </c>
      <c r="D23476" s="5" t="s">
        <v>523</v>
      </c>
      <c r="E23476" s="5" t="str">
        <f t="shared" si="1168"/>
        <v>ACTISALUD- CEGDOC-JEFETH DIONISETTY PUERTA FIGUEROA</v>
      </c>
      <c r="F23476" s="5"/>
      <c r="G23476" s="5"/>
    </row>
    <row r="23477" spans="1:7" ht="58.5" customHeight="1" x14ac:dyDescent="0.25">
      <c r="A23477" s="5" t="str">
        <f>"H0032083"</f>
        <v>H0032083</v>
      </c>
      <c r="B23477" s="5" t="str">
        <f t="shared" si="1167"/>
        <v>ESTANTE CONSTRUIDOS EN LAMINAS METÁLICAS SOLIDAS, RESISTENTES Y ESTABLES CON TRATAMIENTO ANTICORROSIVO, CON 7 ENTREPAÑOS, DE 0.94 CMS DE ANCHO, CON ALTURA DE 2.20MTS Y CADA BANDEJA DEBE SOPORTAR UN PESO DE 100KG/MT LINEA</v>
      </c>
      <c r="C23477" s="6">
        <v>226100</v>
      </c>
      <c r="D23477" s="5" t="s">
        <v>523</v>
      </c>
      <c r="E23477" s="5" t="str">
        <f t="shared" si="1168"/>
        <v>ACTISALUD- CEGDOC-JEFETH DIONISETTY PUERTA FIGUEROA</v>
      </c>
      <c r="F23477" s="5"/>
      <c r="G23477" s="5"/>
    </row>
    <row r="23478" spans="1:7" ht="58.5" customHeight="1" x14ac:dyDescent="0.25">
      <c r="A23478" s="5" t="str">
        <f>"H0032084"</f>
        <v>H0032084</v>
      </c>
      <c r="B23478" s="5" t="str">
        <f t="shared" si="1167"/>
        <v>ESTANTE CONSTRUIDOS EN LAMINAS METÁLICAS SOLIDAS, RESISTENTES Y ESTABLES CON TRATAMIENTO ANTICORROSIVO, CON 7 ENTREPAÑOS, DE 0.94 CMS DE ANCHO, CON ALTURA DE 2.20MTS Y CADA BANDEJA DEBE SOPORTAR UN PESO DE 100KG/MT LINEA</v>
      </c>
      <c r="C23478" s="6">
        <v>226100</v>
      </c>
      <c r="D23478" s="5" t="s">
        <v>523</v>
      </c>
      <c r="E23478" s="5" t="str">
        <f t="shared" si="1168"/>
        <v>ACTISALUD- CEGDOC-JEFETH DIONISETTY PUERTA FIGUEROA</v>
      </c>
      <c r="F23478" s="5"/>
      <c r="G23478" s="5"/>
    </row>
    <row r="23479" spans="1:7" ht="58.5" customHeight="1" x14ac:dyDescent="0.25">
      <c r="A23479" s="5" t="str">
        <f>"H0032085"</f>
        <v>H0032085</v>
      </c>
      <c r="B23479" s="5" t="str">
        <f t="shared" si="1167"/>
        <v>ESTANTE CONSTRUIDOS EN LAMINAS METÁLICAS SOLIDAS, RESISTENTES Y ESTABLES CON TRATAMIENTO ANTICORROSIVO, CON 7 ENTREPAÑOS, DE 0.94 CMS DE ANCHO, CON ALTURA DE 2.20MTS Y CADA BANDEJA DEBE SOPORTAR UN PESO DE 100KG/MT LINEA</v>
      </c>
      <c r="C23479" s="6">
        <v>226100</v>
      </c>
      <c r="D23479" s="5" t="s">
        <v>523</v>
      </c>
      <c r="E23479" s="5" t="str">
        <f t="shared" si="1168"/>
        <v>ACTISALUD- CEGDOC-JEFETH DIONISETTY PUERTA FIGUEROA</v>
      </c>
      <c r="F23479" s="5"/>
      <c r="G23479" s="5"/>
    </row>
    <row r="23480" spans="1:7" ht="58.5" customHeight="1" x14ac:dyDescent="0.25">
      <c r="A23480" s="5" t="str">
        <f>"H0032086"</f>
        <v>H0032086</v>
      </c>
      <c r="B23480" s="5" t="str">
        <f t="shared" si="1167"/>
        <v>ESTANTE CONSTRUIDOS EN LAMINAS METÁLICAS SOLIDAS, RESISTENTES Y ESTABLES CON TRATAMIENTO ANTICORROSIVO, CON 7 ENTREPAÑOS, DE 0.94 CMS DE ANCHO, CON ALTURA DE 2.20MTS Y CADA BANDEJA DEBE SOPORTAR UN PESO DE 100KG/MT LINEA</v>
      </c>
      <c r="C23480" s="6">
        <v>226100</v>
      </c>
      <c r="D23480" s="5" t="s">
        <v>523</v>
      </c>
      <c r="E23480" s="5" t="str">
        <f t="shared" si="1168"/>
        <v>ACTISALUD- CEGDOC-JEFETH DIONISETTY PUERTA FIGUEROA</v>
      </c>
      <c r="F23480" s="5"/>
      <c r="G23480" s="5"/>
    </row>
    <row r="23481" spans="1:7" ht="58.5" customHeight="1" x14ac:dyDescent="0.25">
      <c r="A23481" s="5" t="str">
        <f>"H0032087"</f>
        <v>H0032087</v>
      </c>
      <c r="B23481" s="5" t="str">
        <f t="shared" si="1167"/>
        <v>ESTANTE CONSTRUIDOS EN LAMINAS METÁLICAS SOLIDAS, RESISTENTES Y ESTABLES CON TRATAMIENTO ANTICORROSIVO, CON 7 ENTREPAÑOS, DE 0.94 CMS DE ANCHO, CON ALTURA DE 2.20MTS Y CADA BANDEJA DEBE SOPORTAR UN PESO DE 100KG/MT LINEA</v>
      </c>
      <c r="C23481" s="6">
        <v>226100</v>
      </c>
      <c r="D23481" s="5" t="s">
        <v>523</v>
      </c>
      <c r="E23481" s="5" t="str">
        <f t="shared" si="1168"/>
        <v>ACTISALUD- CEGDOC-JEFETH DIONISETTY PUERTA FIGUEROA</v>
      </c>
      <c r="F23481" s="5"/>
      <c r="G23481" s="5"/>
    </row>
    <row r="23482" spans="1:7" ht="58.5" customHeight="1" x14ac:dyDescent="0.25">
      <c r="A23482" s="5" t="str">
        <f>"H0032088"</f>
        <v>H0032088</v>
      </c>
      <c r="B23482" s="5" t="str">
        <f t="shared" si="1167"/>
        <v>ESTANTE CONSTRUIDOS EN LAMINAS METÁLICAS SOLIDAS, RESISTENTES Y ESTABLES CON TRATAMIENTO ANTICORROSIVO, CON 7 ENTREPAÑOS, DE 0.94 CMS DE ANCHO, CON ALTURA DE 2.20MTS Y CADA BANDEJA DEBE SOPORTAR UN PESO DE 100KG/MT LINEA</v>
      </c>
      <c r="C23482" s="6">
        <v>226100</v>
      </c>
      <c r="D23482" s="5" t="s">
        <v>523</v>
      </c>
      <c r="E23482" s="5" t="str">
        <f t="shared" si="1168"/>
        <v>ACTISALUD- CEGDOC-JEFETH DIONISETTY PUERTA FIGUEROA</v>
      </c>
      <c r="F23482" s="5"/>
      <c r="G23482" s="5"/>
    </row>
    <row r="23483" spans="1:7" ht="58.5" customHeight="1" x14ac:dyDescent="0.25">
      <c r="A23483" s="5" t="str">
        <f>"H0032089"</f>
        <v>H0032089</v>
      </c>
      <c r="B23483" s="5" t="str">
        <f t="shared" si="1167"/>
        <v>ESTANTE CONSTRUIDOS EN LAMINAS METÁLICAS SOLIDAS, RESISTENTES Y ESTABLES CON TRATAMIENTO ANTICORROSIVO, CON 7 ENTREPAÑOS, DE 0.94 CMS DE ANCHO, CON ALTURA DE 2.20MTS Y CADA BANDEJA DEBE SOPORTAR UN PESO DE 100KG/MT LINEA</v>
      </c>
      <c r="C23483" s="6">
        <v>226100</v>
      </c>
      <c r="D23483" s="5" t="s">
        <v>523</v>
      </c>
      <c r="E23483" s="5" t="str">
        <f t="shared" si="1168"/>
        <v>ACTISALUD- CEGDOC-JEFETH DIONISETTY PUERTA FIGUEROA</v>
      </c>
      <c r="F23483" s="5"/>
      <c r="G23483" s="5"/>
    </row>
    <row r="23484" spans="1:7" ht="58.5" customHeight="1" x14ac:dyDescent="0.25">
      <c r="A23484" s="5" t="str">
        <f>"H0032090"</f>
        <v>H0032090</v>
      </c>
      <c r="B23484" s="5" t="str">
        <f t="shared" si="1167"/>
        <v>ESTANTE CONSTRUIDOS EN LAMINAS METÁLICAS SOLIDAS, RESISTENTES Y ESTABLES CON TRATAMIENTO ANTICORROSIVO, CON 7 ENTREPAÑOS, DE 0.94 CMS DE ANCHO, CON ALTURA DE 2.20MTS Y CADA BANDEJA DEBE SOPORTAR UN PESO DE 100KG/MT LINEA</v>
      </c>
      <c r="C23484" s="6">
        <v>226100</v>
      </c>
      <c r="D23484" s="5" t="s">
        <v>523</v>
      </c>
      <c r="E23484" s="5" t="str">
        <f t="shared" si="1168"/>
        <v>ACTISALUD- CEGDOC-JEFETH DIONISETTY PUERTA FIGUEROA</v>
      </c>
      <c r="F23484" s="5"/>
      <c r="G23484" s="5"/>
    </row>
    <row r="23485" spans="1:7" ht="58.5" customHeight="1" x14ac:dyDescent="0.25">
      <c r="A23485" s="5" t="str">
        <f>"H0032091"</f>
        <v>H0032091</v>
      </c>
      <c r="B23485" s="5" t="str">
        <f t="shared" si="1167"/>
        <v>ESTANTE CONSTRUIDOS EN LAMINAS METÁLICAS SOLIDAS, RESISTENTES Y ESTABLES CON TRATAMIENTO ANTICORROSIVO, CON 7 ENTREPAÑOS, DE 0.94 CMS DE ANCHO, CON ALTURA DE 2.20MTS Y CADA BANDEJA DEBE SOPORTAR UN PESO DE 100KG/MT LINEA</v>
      </c>
      <c r="C23485" s="6">
        <v>226100</v>
      </c>
      <c r="D23485" s="5" t="s">
        <v>523</v>
      </c>
      <c r="E23485" s="5" t="str">
        <f t="shared" si="1168"/>
        <v>ACTISALUD- CEGDOC-JEFETH DIONISETTY PUERTA FIGUEROA</v>
      </c>
      <c r="F23485" s="5"/>
      <c r="G23485" s="5"/>
    </row>
    <row r="23486" spans="1:7" ht="58.5" customHeight="1" x14ac:dyDescent="0.25">
      <c r="A23486" s="5" t="str">
        <f>"H0032092"</f>
        <v>H0032092</v>
      </c>
      <c r="B23486" s="5" t="str">
        <f t="shared" si="1167"/>
        <v>ESTANTE CONSTRUIDOS EN LAMINAS METÁLICAS SOLIDAS, RESISTENTES Y ESTABLES CON TRATAMIENTO ANTICORROSIVO, CON 7 ENTREPAÑOS, DE 0.94 CMS DE ANCHO, CON ALTURA DE 2.20MTS Y CADA BANDEJA DEBE SOPORTAR UN PESO DE 100KG/MT LINEA</v>
      </c>
      <c r="C23486" s="6">
        <v>226100</v>
      </c>
      <c r="D23486" s="5" t="s">
        <v>523</v>
      </c>
      <c r="E23486" s="5" t="str">
        <f t="shared" si="1168"/>
        <v>ACTISALUD- CEGDOC-JEFETH DIONISETTY PUERTA FIGUEROA</v>
      </c>
      <c r="F23486" s="5"/>
      <c r="G23486" s="5"/>
    </row>
    <row r="23487" spans="1:7" ht="58.5" customHeight="1" x14ac:dyDescent="0.25">
      <c r="A23487" s="5" t="str">
        <f>"H0032093"</f>
        <v>H0032093</v>
      </c>
      <c r="B23487" s="5" t="str">
        <f t="shared" si="1167"/>
        <v>ESTANTE CONSTRUIDOS EN LAMINAS METÁLICAS SOLIDAS, RESISTENTES Y ESTABLES CON TRATAMIENTO ANTICORROSIVO, CON 7 ENTREPAÑOS, DE 0.94 CMS DE ANCHO, CON ALTURA DE 2.20MTS Y CADA BANDEJA DEBE SOPORTAR UN PESO DE 100KG/MT LINEA</v>
      </c>
      <c r="C23487" s="6">
        <v>226100</v>
      </c>
      <c r="D23487" s="5" t="s">
        <v>523</v>
      </c>
      <c r="E23487" s="5" t="str">
        <f t="shared" si="1168"/>
        <v>ACTISALUD- CEGDOC-JEFETH DIONISETTY PUERTA FIGUEROA</v>
      </c>
      <c r="F23487" s="5"/>
      <c r="G23487" s="5"/>
    </row>
    <row r="23488" spans="1:7" ht="58.5" customHeight="1" x14ac:dyDescent="0.25">
      <c r="A23488" s="5" t="str">
        <f>"H0032094"</f>
        <v>H0032094</v>
      </c>
      <c r="B23488" s="5" t="str">
        <f t="shared" ref="B23488:B23505" si="1169">"ESTANTE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488" s="6">
        <v>226100</v>
      </c>
      <c r="D23488" s="5" t="s">
        <v>523</v>
      </c>
      <c r="E23488" s="5" t="str">
        <f t="shared" si="1168"/>
        <v>ACTISALUD- CEGDOC-JEFETH DIONISETTY PUERTA FIGUEROA</v>
      </c>
      <c r="F23488" s="5"/>
      <c r="G23488" s="5"/>
    </row>
    <row r="23489" spans="1:7" ht="58.5" customHeight="1" x14ac:dyDescent="0.25">
      <c r="A23489" s="5" t="str">
        <f>"H0032095"</f>
        <v>H0032095</v>
      </c>
      <c r="B23489" s="5" t="str">
        <f t="shared" si="1169"/>
        <v>ESTANTE CONSTRUIDOS EN LAMINAS METÁLICAS SOLIDAS, RESISTENTES Y ESTABLES CON TRATAMIENTO ANTICORROSIVO, CON 7 ENTREPAÑOS, DE 0.94 CMS DE ANCHO, CON ALTURA DE 2.20MTS Y CADA BANDEJA DEBE SOPORTAR UN PESO DE 100KG/MT LINEA</v>
      </c>
      <c r="C23489" s="6">
        <v>226100</v>
      </c>
      <c r="D23489" s="5" t="s">
        <v>523</v>
      </c>
      <c r="E23489" s="5" t="str">
        <f t="shared" si="1168"/>
        <v>ACTISALUD- CEGDOC-JEFETH DIONISETTY PUERTA FIGUEROA</v>
      </c>
      <c r="F23489" s="5"/>
      <c r="G23489" s="5"/>
    </row>
    <row r="23490" spans="1:7" ht="58.5" customHeight="1" x14ac:dyDescent="0.25">
      <c r="A23490" s="5" t="str">
        <f>"H0032096"</f>
        <v>H0032096</v>
      </c>
      <c r="B23490" s="5" t="str">
        <f t="shared" si="1169"/>
        <v>ESTANTE CONSTRUIDOS EN LAMINAS METÁLICAS SOLIDAS, RESISTENTES Y ESTABLES CON TRATAMIENTO ANTICORROSIVO, CON 7 ENTREPAÑOS, DE 0.94 CMS DE ANCHO, CON ALTURA DE 2.20MTS Y CADA BANDEJA DEBE SOPORTAR UN PESO DE 100KG/MT LINEA</v>
      </c>
      <c r="C23490" s="6">
        <v>226100</v>
      </c>
      <c r="D23490" s="5" t="s">
        <v>523</v>
      </c>
      <c r="E23490" s="5" t="str">
        <f t="shared" si="1168"/>
        <v>ACTISALUD- CEGDOC-JEFETH DIONISETTY PUERTA FIGUEROA</v>
      </c>
      <c r="F23490" s="5"/>
      <c r="G23490" s="5"/>
    </row>
    <row r="23491" spans="1:7" ht="58.5" customHeight="1" x14ac:dyDescent="0.25">
      <c r="A23491" s="5" t="str">
        <f>"H0032097"</f>
        <v>H0032097</v>
      </c>
      <c r="B23491" s="5" t="str">
        <f t="shared" si="1169"/>
        <v>ESTANTE CONSTRUIDOS EN LAMINAS METÁLICAS SOLIDAS, RESISTENTES Y ESTABLES CON TRATAMIENTO ANTICORROSIVO, CON 7 ENTREPAÑOS, DE 0.94 CMS DE ANCHO, CON ALTURA DE 2.20MTS Y CADA BANDEJA DEBE SOPORTAR UN PESO DE 100KG/MT LINEA</v>
      </c>
      <c r="C23491" s="6">
        <v>226100</v>
      </c>
      <c r="D23491" s="5" t="s">
        <v>523</v>
      </c>
      <c r="E23491" s="5" t="str">
        <f t="shared" si="1168"/>
        <v>ACTISALUD- CEGDOC-JEFETH DIONISETTY PUERTA FIGUEROA</v>
      </c>
      <c r="F23491" s="5"/>
      <c r="G23491" s="5"/>
    </row>
    <row r="23492" spans="1:7" ht="58.5" customHeight="1" x14ac:dyDescent="0.25">
      <c r="A23492" s="5" t="str">
        <f>"H0032098"</f>
        <v>H0032098</v>
      </c>
      <c r="B23492" s="5" t="str">
        <f t="shared" si="1169"/>
        <v>ESTANTE CONSTRUIDOS EN LAMINAS METÁLICAS SOLIDAS, RESISTENTES Y ESTABLES CON TRATAMIENTO ANTICORROSIVO, CON 7 ENTREPAÑOS, DE 0.94 CMS DE ANCHO, CON ALTURA DE 2.20MTS Y CADA BANDEJA DEBE SOPORTAR UN PESO DE 100KG/MT LINEA</v>
      </c>
      <c r="C23492" s="6">
        <v>226100</v>
      </c>
      <c r="D23492" s="5" t="s">
        <v>523</v>
      </c>
      <c r="E23492" s="5" t="str">
        <f t="shared" si="1168"/>
        <v>ACTISALUD- CEGDOC-JEFETH DIONISETTY PUERTA FIGUEROA</v>
      </c>
      <c r="F23492" s="5"/>
      <c r="G23492" s="5"/>
    </row>
    <row r="23493" spans="1:7" ht="58.5" customHeight="1" x14ac:dyDescent="0.25">
      <c r="A23493" s="5" t="str">
        <f>"H0032099"</f>
        <v>H0032099</v>
      </c>
      <c r="B23493" s="5" t="str">
        <f t="shared" si="1169"/>
        <v>ESTANTE CONSTRUIDOS EN LAMINAS METÁLICAS SOLIDAS, RESISTENTES Y ESTABLES CON TRATAMIENTO ANTICORROSIVO, CON 7 ENTREPAÑOS, DE 0.94 CMS DE ANCHO, CON ALTURA DE 2.20MTS Y CADA BANDEJA DEBE SOPORTAR UN PESO DE 100KG/MT LINEA</v>
      </c>
      <c r="C23493" s="6">
        <v>226100</v>
      </c>
      <c r="D23493" s="5" t="s">
        <v>523</v>
      </c>
      <c r="E23493" s="5" t="str">
        <f t="shared" si="1168"/>
        <v>ACTISALUD- CEGDOC-JEFETH DIONISETTY PUERTA FIGUEROA</v>
      </c>
      <c r="F23493" s="5"/>
      <c r="G23493" s="5"/>
    </row>
    <row r="23494" spans="1:7" ht="58.5" customHeight="1" x14ac:dyDescent="0.25">
      <c r="A23494" s="5" t="str">
        <f>"H0032100"</f>
        <v>H0032100</v>
      </c>
      <c r="B23494" s="5" t="str">
        <f t="shared" si="1169"/>
        <v>ESTANTE CONSTRUIDOS EN LAMINAS METÁLICAS SOLIDAS, RESISTENTES Y ESTABLES CON TRATAMIENTO ANTICORROSIVO, CON 7 ENTREPAÑOS, DE 0.94 CMS DE ANCHO, CON ALTURA DE 2.20MTS Y CADA BANDEJA DEBE SOPORTAR UN PESO DE 100KG/MT LINEA</v>
      </c>
      <c r="C23494" s="6">
        <v>226100</v>
      </c>
      <c r="D23494" s="5" t="s">
        <v>523</v>
      </c>
      <c r="E23494" s="5" t="str">
        <f t="shared" si="1168"/>
        <v>ACTISALUD- CEGDOC-JEFETH DIONISETTY PUERTA FIGUEROA</v>
      </c>
      <c r="F23494" s="5"/>
      <c r="G23494" s="5"/>
    </row>
    <row r="23495" spans="1:7" ht="58.5" customHeight="1" x14ac:dyDescent="0.25">
      <c r="A23495" s="5" t="str">
        <f>"H0032101"</f>
        <v>H0032101</v>
      </c>
      <c r="B23495" s="5" t="str">
        <f t="shared" si="1169"/>
        <v>ESTANTE CONSTRUIDOS EN LAMINAS METÁLICAS SOLIDAS, RESISTENTES Y ESTABLES CON TRATAMIENTO ANTICORROSIVO, CON 7 ENTREPAÑOS, DE 0.94 CMS DE ANCHO, CON ALTURA DE 2.20MTS Y CADA BANDEJA DEBE SOPORTAR UN PESO DE 100KG/MT LINEA</v>
      </c>
      <c r="C23495" s="6">
        <v>226100</v>
      </c>
      <c r="D23495" s="5" t="s">
        <v>523</v>
      </c>
      <c r="E23495" s="5" t="str">
        <f t="shared" si="1168"/>
        <v>ACTISALUD- CEGDOC-JEFETH DIONISETTY PUERTA FIGUEROA</v>
      </c>
      <c r="F23495" s="5"/>
      <c r="G23495" s="5"/>
    </row>
    <row r="23496" spans="1:7" ht="58.5" customHeight="1" x14ac:dyDescent="0.25">
      <c r="A23496" s="5" t="str">
        <f>"H0032102"</f>
        <v>H0032102</v>
      </c>
      <c r="B23496" s="5" t="str">
        <f t="shared" si="1169"/>
        <v>ESTANTE CONSTRUIDOS EN LAMINAS METÁLICAS SOLIDAS, RESISTENTES Y ESTABLES CON TRATAMIENTO ANTICORROSIVO, CON 7 ENTREPAÑOS, DE 0.94 CMS DE ANCHO, CON ALTURA DE 2.20MTS Y CADA BANDEJA DEBE SOPORTAR UN PESO DE 100KG/MT LINEA</v>
      </c>
      <c r="C23496" s="6">
        <v>226100</v>
      </c>
      <c r="D23496" s="5" t="s">
        <v>523</v>
      </c>
      <c r="E23496" s="5" t="str">
        <f t="shared" si="1168"/>
        <v>ACTISALUD- CEGDOC-JEFETH DIONISETTY PUERTA FIGUEROA</v>
      </c>
      <c r="F23496" s="5"/>
      <c r="G23496" s="5"/>
    </row>
    <row r="23497" spans="1:7" ht="58.5" customHeight="1" x14ac:dyDescent="0.25">
      <c r="A23497" s="5" t="str">
        <f>"H0032103"</f>
        <v>H0032103</v>
      </c>
      <c r="B23497" s="5" t="str">
        <f t="shared" si="1169"/>
        <v>ESTANTE CONSTRUIDOS EN LAMINAS METÁLICAS SOLIDAS, RESISTENTES Y ESTABLES CON TRATAMIENTO ANTICORROSIVO, CON 7 ENTREPAÑOS, DE 0.94 CMS DE ANCHO, CON ALTURA DE 2.20MTS Y CADA BANDEJA DEBE SOPORTAR UN PESO DE 100KG/MT LINEA</v>
      </c>
      <c r="C23497" s="6">
        <v>226100</v>
      </c>
      <c r="D23497" s="5" t="s">
        <v>523</v>
      </c>
      <c r="E23497" s="5" t="str">
        <f t="shared" si="1168"/>
        <v>ACTISALUD- CEGDOC-JEFETH DIONISETTY PUERTA FIGUEROA</v>
      </c>
      <c r="F23497" s="5"/>
      <c r="G23497" s="5"/>
    </row>
    <row r="23498" spans="1:7" ht="58.5" customHeight="1" x14ac:dyDescent="0.25">
      <c r="A23498" s="5" t="str">
        <f>"H0032104"</f>
        <v>H0032104</v>
      </c>
      <c r="B23498" s="5" t="str">
        <f t="shared" si="1169"/>
        <v>ESTANTE CONSTRUIDOS EN LAMINAS METÁLICAS SOLIDAS, RESISTENTES Y ESTABLES CON TRATAMIENTO ANTICORROSIVO, CON 7 ENTREPAÑOS, DE 0.94 CMS DE ANCHO, CON ALTURA DE 2.20MTS Y CADA BANDEJA DEBE SOPORTAR UN PESO DE 100KG/MT LINEA</v>
      </c>
      <c r="C23498" s="6">
        <v>226100</v>
      </c>
      <c r="D23498" s="5" t="s">
        <v>523</v>
      </c>
      <c r="E23498" s="5" t="str">
        <f t="shared" si="1168"/>
        <v>ACTISALUD- CEGDOC-JEFETH DIONISETTY PUERTA FIGUEROA</v>
      </c>
      <c r="F23498" s="5"/>
      <c r="G23498" s="5"/>
    </row>
    <row r="23499" spans="1:7" ht="58.5" customHeight="1" x14ac:dyDescent="0.25">
      <c r="A23499" s="5" t="str">
        <f>"H0032105"</f>
        <v>H0032105</v>
      </c>
      <c r="B23499" s="5" t="str">
        <f t="shared" si="1169"/>
        <v>ESTANTE CONSTRUIDOS EN LAMINAS METÁLICAS SOLIDAS, RESISTENTES Y ESTABLES CON TRATAMIENTO ANTICORROSIVO, CON 7 ENTREPAÑOS, DE 0.94 CMS DE ANCHO, CON ALTURA DE 2.20MTS Y CADA BANDEJA DEBE SOPORTAR UN PESO DE 100KG/MT LINEA</v>
      </c>
      <c r="C23499" s="6">
        <v>226100</v>
      </c>
      <c r="D23499" s="5" t="s">
        <v>523</v>
      </c>
      <c r="E23499" s="5" t="str">
        <f t="shared" si="1168"/>
        <v>ACTISALUD- CEGDOC-JEFETH DIONISETTY PUERTA FIGUEROA</v>
      </c>
      <c r="F23499" s="5"/>
      <c r="G23499" s="5"/>
    </row>
    <row r="23500" spans="1:7" ht="58.5" customHeight="1" x14ac:dyDescent="0.25">
      <c r="A23500" s="5" t="str">
        <f>"H0032106"</f>
        <v>H0032106</v>
      </c>
      <c r="B23500" s="5" t="str">
        <f t="shared" si="1169"/>
        <v>ESTANTE CONSTRUIDOS EN LAMINAS METÁLICAS SOLIDAS, RESISTENTES Y ESTABLES CON TRATAMIENTO ANTICORROSIVO, CON 7 ENTREPAÑOS, DE 0.94 CMS DE ANCHO, CON ALTURA DE 2.20MTS Y CADA BANDEJA DEBE SOPORTAR UN PESO DE 100KG/MT LINEA</v>
      </c>
      <c r="C23500" s="6">
        <v>226100</v>
      </c>
      <c r="D23500" s="5" t="s">
        <v>523</v>
      </c>
      <c r="E23500" s="5" t="str">
        <f t="shared" si="1168"/>
        <v>ACTISALUD- CEGDOC-JEFETH DIONISETTY PUERTA FIGUEROA</v>
      </c>
      <c r="F23500" s="5"/>
      <c r="G23500" s="5"/>
    </row>
    <row r="23501" spans="1:7" ht="58.5" customHeight="1" x14ac:dyDescent="0.25">
      <c r="A23501" s="5" t="str">
        <f>"H0032107"</f>
        <v>H0032107</v>
      </c>
      <c r="B23501" s="5" t="str">
        <f t="shared" si="1169"/>
        <v>ESTANTE CONSTRUIDOS EN LAMINAS METÁLICAS SOLIDAS, RESISTENTES Y ESTABLES CON TRATAMIENTO ANTICORROSIVO, CON 7 ENTREPAÑOS, DE 0.94 CMS DE ANCHO, CON ALTURA DE 2.20MTS Y CADA BANDEJA DEBE SOPORTAR UN PESO DE 100KG/MT LINEA</v>
      </c>
      <c r="C23501" s="6">
        <v>226100</v>
      </c>
      <c r="D23501" s="5" t="s">
        <v>523</v>
      </c>
      <c r="E23501" s="5" t="str">
        <f t="shared" si="1168"/>
        <v>ACTISALUD- CEGDOC-JEFETH DIONISETTY PUERTA FIGUEROA</v>
      </c>
      <c r="F23501" s="5"/>
      <c r="G23501" s="5"/>
    </row>
    <row r="23502" spans="1:7" ht="58.5" customHeight="1" x14ac:dyDescent="0.25">
      <c r="A23502" s="5" t="str">
        <f>"H0032108"</f>
        <v>H0032108</v>
      </c>
      <c r="B23502" s="5" t="str">
        <f t="shared" si="1169"/>
        <v>ESTANTE CONSTRUIDOS EN LAMINAS METÁLICAS SOLIDAS, RESISTENTES Y ESTABLES CON TRATAMIENTO ANTICORROSIVO, CON 7 ENTREPAÑOS, DE 0.94 CMS DE ANCHO, CON ALTURA DE 2.20MTS Y CADA BANDEJA DEBE SOPORTAR UN PESO DE 100KG/MT LINEA</v>
      </c>
      <c r="C23502" s="6">
        <v>226100</v>
      </c>
      <c r="D23502" s="5" t="s">
        <v>523</v>
      </c>
      <c r="E23502" s="5" t="str">
        <f t="shared" si="1168"/>
        <v>ACTISALUD- CEGDOC-JEFETH DIONISETTY PUERTA FIGUEROA</v>
      </c>
      <c r="F23502" s="5"/>
      <c r="G23502" s="5"/>
    </row>
    <row r="23503" spans="1:7" ht="58.5" customHeight="1" x14ac:dyDescent="0.25">
      <c r="A23503" s="5" t="str">
        <f>"H0032109"</f>
        <v>H0032109</v>
      </c>
      <c r="B23503" s="5" t="str">
        <f t="shared" si="1169"/>
        <v>ESTANTE CONSTRUIDOS EN LAMINAS METÁLICAS SOLIDAS, RESISTENTES Y ESTABLES CON TRATAMIENTO ANTICORROSIVO, CON 7 ENTREPAÑOS, DE 0.94 CMS DE ANCHO, CON ALTURA DE 2.20MTS Y CADA BANDEJA DEBE SOPORTAR UN PESO DE 100KG/MT LINEA</v>
      </c>
      <c r="C23503" s="6">
        <v>226100</v>
      </c>
      <c r="D23503" s="5" t="s">
        <v>523</v>
      </c>
      <c r="E23503" s="5" t="str">
        <f t="shared" si="1168"/>
        <v>ACTISALUD- CEGDOC-JEFETH DIONISETTY PUERTA FIGUEROA</v>
      </c>
      <c r="F23503" s="5"/>
      <c r="G23503" s="5"/>
    </row>
    <row r="23504" spans="1:7" ht="58.5" customHeight="1" x14ac:dyDescent="0.25">
      <c r="A23504" s="5" t="str">
        <f>"H0032110"</f>
        <v>H0032110</v>
      </c>
      <c r="B23504" s="5" t="str">
        <f t="shared" si="1169"/>
        <v>ESTANTE CONSTRUIDOS EN LAMINAS METÁLICAS SOLIDAS, RESISTENTES Y ESTABLES CON TRATAMIENTO ANTICORROSIVO, CON 7 ENTREPAÑOS, DE 0.94 CMS DE ANCHO, CON ALTURA DE 2.20MTS Y CADA BANDEJA DEBE SOPORTAR UN PESO DE 100KG/MT LINEA</v>
      </c>
      <c r="C23504" s="6">
        <v>226100</v>
      </c>
      <c r="D23504" s="5" t="s">
        <v>523</v>
      </c>
      <c r="E23504" s="5" t="str">
        <f t="shared" si="1168"/>
        <v>ACTISALUD- CEGDOC-JEFETH DIONISETTY PUERTA FIGUEROA</v>
      </c>
      <c r="F23504" s="5"/>
      <c r="G23504" s="5"/>
    </row>
    <row r="23505" spans="1:7" ht="58.5" customHeight="1" x14ac:dyDescent="0.25">
      <c r="A23505" s="5" t="str">
        <f>"H0032111"</f>
        <v>H0032111</v>
      </c>
      <c r="B23505" s="5" t="str">
        <f t="shared" si="1169"/>
        <v>ESTANTE CONSTRUIDOS EN LAMINAS METÁLICAS SOLIDAS, RESISTENTES Y ESTABLES CON TRATAMIENTO ANTICORROSIVO, CON 7 ENTREPAÑOS, DE 0.94 CMS DE ANCHO, CON ALTURA DE 2.20MTS Y CADA BANDEJA DEBE SOPORTAR UN PESO DE 100KG/MT LINEA</v>
      </c>
      <c r="C23505" s="6">
        <v>226100</v>
      </c>
      <c r="D23505" s="5" t="s">
        <v>523</v>
      </c>
      <c r="E23505" s="5" t="str">
        <f t="shared" si="1168"/>
        <v>ACTISALUD- CEGDOC-JEFETH DIONISETTY PUERTA FIGUEROA</v>
      </c>
      <c r="F23505" s="5"/>
      <c r="G23505" s="5"/>
    </row>
    <row r="23506" spans="1:7" ht="58.5" customHeight="1" x14ac:dyDescent="0.25">
      <c r="A23506" s="5" t="str">
        <f>"H0034548"</f>
        <v>H0034548</v>
      </c>
      <c r="B23506" s="5" t="str">
        <f>"IMPRESORA DE TRANSFERENCIA TERMICA ZEBRA ZD220. INTERFAZ USB. RESOLUCIÓN 203 PPP. MEMORIA FLASH 256 MB. ANCHO MÁXIMO DE IMPRESIÓN 104 MM. VELOCIDAD MÁXIMA DE IMPRESIÓN 102 MM. SENSOR DE MARCAS NEGRAS."</f>
        <v>IMPRESORA DE TRANSFERENCIA TERMICA ZEBRA ZD220. INTERFAZ USB. RESOLUCIÓN 203 PPP. MEMORIA FLASH 256 MB. ANCHO MÁXIMO DE IMPRESIÓN 104 MM. VELOCIDAD MÁXIMA DE IMPRESIÓN 102 MM. SENSOR DE MARCAS NEGRAS.</v>
      </c>
      <c r="C23506" s="6">
        <v>1750490</v>
      </c>
      <c r="D23506" s="5" t="s">
        <v>626</v>
      </c>
      <c r="E23506" s="5" t="str">
        <f t="shared" si="1168"/>
        <v>ACTISALUD- CEGDOC-JEFETH DIONISETTY PUERTA FIGUEROA</v>
      </c>
      <c r="F23506" s="5"/>
      <c r="G23506" s="5"/>
    </row>
    <row r="23507" spans="1:7" ht="58.5" customHeight="1" x14ac:dyDescent="0.25">
      <c r="A23507" s="5" t="str">
        <f>"H0035235"</f>
        <v>H0035235</v>
      </c>
      <c r="B23507" s="5" t="str">
        <f>"IMPRESORA DE TRANSFERENCIA TERMICA ZEBRA ZD220. INTERFAZ USB. RESOLUCIÓN 203 PPP. MEMORIA FLASH 256 MB. ANCHO MÁXIMO DE IMPRESIÓN 104 MM. VELOCIDAD MÁXIMA DE IMPRESIÓN 102 MM. SENSOR DE MARCAS NEGRAS."</f>
        <v>IMPRESORA DE TRANSFERENCIA TERMICA ZEBRA ZD220. INTERFAZ USB. RESOLUCIÓN 203 PPP. MEMORIA FLASH 256 MB. ANCHO MÁXIMO DE IMPRESIÓN 104 MM. VELOCIDAD MÁXIMA DE IMPRESIÓN 102 MM. SENSOR DE MARCAS NEGRAS.</v>
      </c>
      <c r="C23507" s="6">
        <v>1803004.5</v>
      </c>
      <c r="D23507" s="5" t="s">
        <v>126</v>
      </c>
      <c r="E23507" s="5" t="str">
        <f t="shared" si="1168"/>
        <v>ACTISALUD- CEGDOC-JEFETH DIONISETTY PUERTA FIGUEROA</v>
      </c>
      <c r="F23507" s="5"/>
      <c r="G23507" s="5"/>
    </row>
    <row r="23508" spans="1:7" ht="58.5" customHeight="1" x14ac:dyDescent="0.25">
      <c r="A23508" s="5" t="str">
        <f>"H0035236"</f>
        <v>H0035236</v>
      </c>
      <c r="B23508" s="5" t="str">
        <f>"IMPRESORA DE TRANSFERENCIA TERMICA ZEBRA ZD220. INTERFAZ USB. RESOLUCIÓN 203 PPP. MEMORIA FLASH 256 MB. ANCHO MÁXIMO DE IMPRESIÓN 104 MM. VELOCIDAD MÁXIMA DE IMPRESIÓN 102 MM. SENSOR DE MARCAS NEGRAS."</f>
        <v>IMPRESORA DE TRANSFERENCIA TERMICA ZEBRA ZD220. INTERFAZ USB. RESOLUCIÓN 203 PPP. MEMORIA FLASH 256 MB. ANCHO MÁXIMO DE IMPRESIÓN 104 MM. VELOCIDAD MÁXIMA DE IMPRESIÓN 102 MM. SENSOR DE MARCAS NEGRAS.</v>
      </c>
      <c r="C23508" s="6">
        <v>1803004.5</v>
      </c>
      <c r="D23508" s="5" t="s">
        <v>126</v>
      </c>
      <c r="E23508" s="5" t="str">
        <f t="shared" si="1168"/>
        <v>ACTISALUD- CEGDOC-JEFETH DIONISETTY PUERTA FIGUEROA</v>
      </c>
      <c r="F23508" s="5"/>
      <c r="G23508" s="5"/>
    </row>
    <row r="23509" spans="1:7" ht="58.5" customHeight="1" x14ac:dyDescent="0.25">
      <c r="A23509" s="5" t="str">
        <f>"H0035428"</f>
        <v>H0035428</v>
      </c>
      <c r="B23509" s="5" t="str">
        <f>"COMPUTADOR TODO EN UNO HP  200 G4 CORPORATIVO  21.5  Intel® Core™ i5-10210U 10ma generación), Disco Duro 1TB"</f>
        <v>COMPUTADOR TODO EN UNO HP  200 G4 CORPORATIVO  21.5  Intel® Core™ i5-10210U 10ma generación), Disco Duro 1TB</v>
      </c>
      <c r="C23509" s="6">
        <v>5343100</v>
      </c>
      <c r="D23509" s="5" t="s">
        <v>197</v>
      </c>
      <c r="E23509" s="5" t="str">
        <f t="shared" si="1168"/>
        <v>ACTISALUD- CEGDOC-JEFETH DIONISETTY PUERTA FIGUEROA</v>
      </c>
      <c r="F23509" s="5"/>
      <c r="G23509" s="5"/>
    </row>
    <row r="23510" spans="1:7" ht="58.5" customHeight="1" x14ac:dyDescent="0.25">
      <c r="A23510" s="5" t="str">
        <f>"H0035671"</f>
        <v>H0035671</v>
      </c>
      <c r="B23510" s="5" t="str">
        <f>"SILLA GERENTE NIZA MEC. BASCULANTE CON BRAZOS."</f>
        <v>SILLA GERENTE NIZA MEC. BASCULANTE CON BRAZOS.</v>
      </c>
      <c r="C23510" s="6">
        <v>639999.86</v>
      </c>
      <c r="D23510" s="5" t="s">
        <v>235</v>
      </c>
      <c r="E23510" s="5" t="str">
        <f t="shared" si="1168"/>
        <v>ACTISALUD- CEGDOC-JEFETH DIONISETTY PUERTA FIGUEROA</v>
      </c>
      <c r="F23510" s="5"/>
      <c r="G23510" s="5"/>
    </row>
    <row r="23511" spans="1:7" ht="58.5" customHeight="1" x14ac:dyDescent="0.25">
      <c r="A23511" s="5" t="str">
        <f>"H0035958"</f>
        <v>H0035958</v>
      </c>
      <c r="B23511" s="5" t="str">
        <f>"SILLA GERENTE NIZA MEC. BASCULANTE CON BRAZOS."</f>
        <v>SILLA GERENTE NIZA MEC. BASCULANTE CON BRAZOS.</v>
      </c>
      <c r="C23511" s="6">
        <v>639999.86</v>
      </c>
      <c r="D23511" s="5" t="s">
        <v>281</v>
      </c>
      <c r="E23511" s="5" t="str">
        <f t="shared" si="1168"/>
        <v>ACTISALUD- CEGDOC-JEFETH DIONISETTY PUERTA FIGUEROA</v>
      </c>
      <c r="F23511" s="5"/>
      <c r="G23511" s="5"/>
    </row>
    <row r="23512" spans="1:7" ht="58.5" customHeight="1" x14ac:dyDescent="0.25">
      <c r="A23512" s="5" t="str">
        <f>"H0035959"</f>
        <v>H0035959</v>
      </c>
      <c r="B23512" s="5" t="str">
        <f>"SILLA GERENTE NIZA MEC. BASCULANTE CON BRAZOS."</f>
        <v>SILLA GERENTE NIZA MEC. BASCULANTE CON BRAZOS.</v>
      </c>
      <c r="C23512" s="6">
        <v>639999.86</v>
      </c>
      <c r="D23512" s="5" t="s">
        <v>281</v>
      </c>
      <c r="E23512" s="5" t="str">
        <f t="shared" si="1168"/>
        <v>ACTISALUD- CEGDOC-JEFETH DIONISETTY PUERTA FIGUEROA</v>
      </c>
      <c r="F23512" s="5"/>
      <c r="G23512" s="5"/>
    </row>
    <row r="23513" spans="1:7" ht="58.5" customHeight="1" x14ac:dyDescent="0.25">
      <c r="A23513" s="5" t="str">
        <f>"H0035960"</f>
        <v>H0035960</v>
      </c>
      <c r="B23513" s="5" t="str">
        <f>"SILLA GERENTE NIZA MEC. BASCULANTE CON BRAZOS."</f>
        <v>SILLA GERENTE NIZA MEC. BASCULANTE CON BRAZOS.</v>
      </c>
      <c r="C23513" s="6">
        <v>639999.86</v>
      </c>
      <c r="D23513" s="5" t="s">
        <v>281</v>
      </c>
      <c r="E23513" s="5" t="str">
        <f t="shared" si="1168"/>
        <v>ACTISALUD- CEGDOC-JEFETH DIONISETTY PUERTA FIGUEROA</v>
      </c>
      <c r="F23513" s="5"/>
      <c r="G23513" s="5"/>
    </row>
    <row r="23514" spans="1:7" ht="58.5" customHeight="1" x14ac:dyDescent="0.25">
      <c r="A23514" s="5" t="str">
        <f>"H0036572"</f>
        <v>H0036572</v>
      </c>
      <c r="B23514" s="5" t="str">
        <f>"ESCANER DE ALTA VELOCIDAD 35 PPM"</f>
        <v>ESCANER DE ALTA VELOCIDAD 35 PPM</v>
      </c>
      <c r="C23514" s="6">
        <v>2401636.36</v>
      </c>
      <c r="D23514" s="5" t="s">
        <v>199</v>
      </c>
      <c r="E23514" s="5" t="str">
        <f t="shared" si="1168"/>
        <v>ACTISALUD- CEGDOC-JEFETH DIONISETTY PUERTA FIGUEROA</v>
      </c>
      <c r="F23514" s="5"/>
      <c r="G23514" s="5"/>
    </row>
    <row r="23515" spans="1:7" ht="58.5" customHeight="1" x14ac:dyDescent="0.25">
      <c r="A23515" s="5" t="str">
        <f>"H0036579"</f>
        <v>H0036579</v>
      </c>
      <c r="B23515" s="5" t="str">
        <f>"ESCANER DE ALTA VELOCIDAD 35 PPM"</f>
        <v>ESCANER DE ALTA VELOCIDAD 35 PPM</v>
      </c>
      <c r="C23515" s="6">
        <v>2401636.36</v>
      </c>
      <c r="D23515" s="5" t="s">
        <v>199</v>
      </c>
      <c r="E23515" s="5" t="str">
        <f t="shared" si="1168"/>
        <v>ACTISALUD- CEGDOC-JEFETH DIONISETTY PUERTA FIGUEROA</v>
      </c>
      <c r="F23515" s="5"/>
      <c r="G23515" s="5"/>
    </row>
    <row r="23516" spans="1:7" ht="58.5" customHeight="1" x14ac:dyDescent="0.25">
      <c r="A23516" s="5" t="str">
        <f>"H0036587"</f>
        <v>H0036587</v>
      </c>
      <c r="B23516" s="5" t="str">
        <f>"ESCANER DE ALTA VELOCIDAD 35 PPM"</f>
        <v>ESCANER DE ALTA VELOCIDAD 35 PPM</v>
      </c>
      <c r="C23516" s="6">
        <v>2401636.36</v>
      </c>
      <c r="D23516" s="5" t="s">
        <v>199</v>
      </c>
      <c r="E23516" s="5" t="str">
        <f t="shared" si="1168"/>
        <v>ACTISALUD- CEGDOC-JEFETH DIONISETTY PUERTA FIGUEROA</v>
      </c>
      <c r="F23516" s="5"/>
      <c r="G23516" s="5"/>
    </row>
    <row r="23517" spans="1:7" ht="58.5" customHeight="1" x14ac:dyDescent="0.25">
      <c r="A23517" s="5" t="str">
        <f>"H0036894"</f>
        <v>H0036894</v>
      </c>
      <c r="B23517" s="5" t="str">
        <f>"AIRE ACONDICIONADO TIPO MINISPLIT CAPACIDAD 12.000 BTU TECNOLOGIA INVERTER DUAL"</f>
        <v>AIRE ACONDICIONADO TIPO MINISPLIT CAPACIDAD 12.000 BTU TECNOLOGIA INVERTER DUAL</v>
      </c>
      <c r="C23517" s="6">
        <v>2800000</v>
      </c>
      <c r="D23517" s="5" t="s">
        <v>28</v>
      </c>
      <c r="E23517" s="5" t="str">
        <f t="shared" si="1168"/>
        <v>ACTISALUD- CEGDOC-JEFETH DIONISETTY PUERTA FIGUEROA</v>
      </c>
      <c r="F23517" s="5"/>
      <c r="G23517" s="5"/>
    </row>
    <row r="23518" spans="1:7" ht="58.5" customHeight="1" x14ac:dyDescent="0.25">
      <c r="A23518" s="5" t="str">
        <f>"H0037834"</f>
        <v>H0037834</v>
      </c>
      <c r="B23518" s="5" t="str">
        <f>"SILLA GERENTE NIZA MEC. BASCULANTE CON BRAZOS."</f>
        <v>SILLA GERENTE NIZA MEC. BASCULANTE CON BRAZOS.</v>
      </c>
      <c r="C23518" s="6">
        <v>710000.01</v>
      </c>
      <c r="D23518" s="5" t="s">
        <v>30</v>
      </c>
      <c r="E23518" s="5" t="str">
        <f t="shared" si="1168"/>
        <v>ACTISALUD- CEGDOC-JEFETH DIONISETTY PUERTA FIGUEROA</v>
      </c>
      <c r="F23518" s="5"/>
      <c r="G23518" s="5"/>
    </row>
    <row r="23519" spans="1:7" ht="58.5" customHeight="1" x14ac:dyDescent="0.25">
      <c r="A23519" s="5" t="str">
        <f>"H0037835"</f>
        <v>H0037835</v>
      </c>
      <c r="B23519" s="5" t="str">
        <f>"SILLA GERENTE NIZA MEC. BASCULANTE CON BRAZOS."</f>
        <v>SILLA GERENTE NIZA MEC. BASCULANTE CON BRAZOS.</v>
      </c>
      <c r="C23519" s="6">
        <v>710000.01</v>
      </c>
      <c r="D23519" s="5" t="s">
        <v>30</v>
      </c>
      <c r="E23519" s="5" t="str">
        <f t="shared" si="1168"/>
        <v>ACTISALUD- CEGDOC-JEFETH DIONISETTY PUERTA FIGUEROA</v>
      </c>
      <c r="F23519" s="5"/>
      <c r="G23519" s="5"/>
    </row>
    <row r="23520" spans="1:7" ht="58.5" customHeight="1" x14ac:dyDescent="0.25">
      <c r="A23520" s="5" t="str">
        <f>"H0037836"</f>
        <v>H0037836</v>
      </c>
      <c r="B23520" s="5" t="str">
        <f>"SILLA GERENTE NIZA MEC. BASCULANTE CON BRAZOS."</f>
        <v>SILLA GERENTE NIZA MEC. BASCULANTE CON BRAZOS.</v>
      </c>
      <c r="C23520" s="6">
        <v>710000.01</v>
      </c>
      <c r="D23520" s="5" t="s">
        <v>30</v>
      </c>
      <c r="E23520" s="5" t="str">
        <f t="shared" si="1168"/>
        <v>ACTISALUD- CEGDOC-JEFETH DIONISETTY PUERTA FIGUEROA</v>
      </c>
      <c r="F23520" s="5"/>
      <c r="G23520" s="5"/>
    </row>
    <row r="23521" spans="1:7" ht="58.5" customHeight="1" x14ac:dyDescent="0.25">
      <c r="A23521" s="5" t="str">
        <f>"H0007133"</f>
        <v>H0007133</v>
      </c>
      <c r="B23521" s="5" t="str">
        <f>"AIRE ACONDICIONADO TIPO SPLIT 22000 BTU"</f>
        <v>AIRE ACONDICIONADO TIPO SPLIT 22000 BTU</v>
      </c>
      <c r="C23521" s="6">
        <v>3009040</v>
      </c>
      <c r="D23521" s="5" t="s">
        <v>52</v>
      </c>
      <c r="E23521" s="5" t="str">
        <f t="shared" ref="E23521:E23554" si="1170">"CONTROL INTERNO-MARTIN EDUARDO HERRERA LEÓN"</f>
        <v>CONTROL INTERNO-MARTIN EDUARDO HERRERA LEÓN</v>
      </c>
      <c r="F23521" s="5" t="str">
        <f>"Descripcion: EQUIPO AIRE ACONDICIONADO BTU 22000 Estado: Excelente Placa anterior: 000036402 Material: PLASTICO Color: BLANCO Referencia:  Observacion:  Placa padre: Tipo adquisicion: Entidad"</f>
        <v>Descripcion: EQUIPO AIRE ACONDICIONADO BTU 22000 Estado: Excelente Placa anterior: 000036402 Material: PLASTICO Color: BLANCO Referencia:  Observacion:  Placa padre: Tipo adquisicion: Entidad</v>
      </c>
      <c r="G23521" s="5" t="str">
        <f>"VM242CENC2"</f>
        <v>VM242CENC2</v>
      </c>
    </row>
    <row r="23522" spans="1:7" ht="58.5" customHeight="1" x14ac:dyDescent="0.25">
      <c r="A23522" s="5" t="str">
        <f>"H0007136"</f>
        <v>H0007136</v>
      </c>
      <c r="B23522" s="5" t="str">
        <f>"MULTIMUEBLE DE MADERA"</f>
        <v>MULTIMUEBLE DE MADERA</v>
      </c>
      <c r="C23522" s="6">
        <v>1276000</v>
      </c>
      <c r="D23522" s="5" t="s">
        <v>285</v>
      </c>
      <c r="E23522" s="5" t="str">
        <f t="shared" si="1170"/>
        <v>CONTROL INTERNO-MARTIN EDUARDO HERRERA LEÓN</v>
      </c>
      <c r="F23522" s="5" t="str">
        <f>"Descripcion: BIBLIOTECA MODULAR 2 CUERPOS C/ ENTREPAÑOS Estado: Excelente Placa anterior: 000030153 Material: FORMICA Color: NEGRO Referencia:  Observacion:  Placa padre: Tipo adquisicion: Entidad"</f>
        <v>Descripcion: BIBLIOTECA MODULAR 2 CUERPOS C/ ENTREPAÑOS Estado: Excelente Placa anterior: 000030153 Material: FORMICA Color: NEGRO Referencia:  Observacion:  Placa padre: Tipo adquisicion: Entidad</v>
      </c>
      <c r="G23522" s="5"/>
    </row>
    <row r="23523" spans="1:7" ht="58.5" customHeight="1" x14ac:dyDescent="0.25">
      <c r="A23523" s="5" t="str">
        <f>"H0007138"</f>
        <v>H0007138</v>
      </c>
      <c r="B23523" s="5" t="str">
        <f>"SILLA ERGONOMICA TIPO SECRETARIA CON BRAZOS"</f>
        <v>SILLA ERGONOMICA TIPO SECRETARIA CON BRAZOS</v>
      </c>
      <c r="C23523" s="6">
        <v>580000</v>
      </c>
      <c r="D23523" s="5" t="s">
        <v>285</v>
      </c>
      <c r="E23523" s="5" t="str">
        <f t="shared" si="1170"/>
        <v>CONTROL INTERNO-MARTIN EDUARDO HERRERA LEÓN</v>
      </c>
      <c r="F23523" s="5" t="str">
        <f>"Descripcion: SILLA EJECUTIVA CON BRAZOS TAPIZADA EN PAÑO AZUL Estado: Bueno Placa anterior: 000030154 Material: METALICO Color: AZUL Referencia:  Observacion:  Placa padre: Tipo adquisicion: Entidad"</f>
        <v>Descripcion: SILLA EJECUTIVA CON BRAZOS TAPIZADA EN PAÑO AZUL Estado: Bueno Placa anterior: 000030154 Material: METALICO Color: AZUL Referencia:  Observacion:  Placa padre: Tipo adquisicion: Entidad</v>
      </c>
      <c r="G23523" s="5"/>
    </row>
    <row r="23524" spans="1:7" ht="58.5" customHeight="1" x14ac:dyDescent="0.25">
      <c r="A23524" s="5" t="str">
        <f>"H0007147"</f>
        <v>H0007147</v>
      </c>
      <c r="B23524" s="5" t="str">
        <f>"SILLA INTERLOCUTORA (FIJA) SIN BRAZOS"</f>
        <v>SILLA INTERLOCUTORA (FIJA) SIN BRAZOS</v>
      </c>
      <c r="C23524" s="6">
        <v>237800</v>
      </c>
      <c r="D23524" s="5" t="s">
        <v>285</v>
      </c>
      <c r="E23524" s="5" t="str">
        <f t="shared" si="1170"/>
        <v>CONTROL INTERNO-MARTIN EDUARDO HERRERA LEÓN</v>
      </c>
      <c r="F23524" s="5" t="str">
        <f>"Descripcion: SILLA INTERLOCUTORA FIJA TAPIZADA PAÑO AZUL Estado: Bueno Placa anterior: 000030159 Material: METALICO Color: AZUL Referencia:  Observacion: EL BIEN TIENE PLACA ANTERIOR  000033778  FUNCIONARIO AUTORIZA SE CONCILIE CON PLACA 000030159 Placa p"&amp; "adre: Tipo adquisicion: Entidad"</f>
        <v>Descripcion: SILLA INTERLOCUTORA FIJA TAPIZADA PAÑO AZUL Estado: Bueno Placa anterior: 000030159 Material: METALICO Color: AZUL Referencia:  Observacion: EL BIEN TIENE PLACA ANTERIOR  000033778  FUNCIONARIO AUTORIZA SE CONCILIE CON PLACA 000030159 Placa padre: Tipo adquisicion: Entidad</v>
      </c>
      <c r="G23524" s="5"/>
    </row>
    <row r="23525" spans="1:7" ht="58.5" customHeight="1" x14ac:dyDescent="0.25">
      <c r="A23525" s="5" t="str">
        <f>"H0007148"</f>
        <v>H0007148</v>
      </c>
      <c r="B23525" s="5" t="str">
        <f>"SILLA INTERLOCUTORA (FIJA) SIN BRAZOS"</f>
        <v>SILLA INTERLOCUTORA (FIJA) SIN BRAZOS</v>
      </c>
      <c r="C23525" s="6">
        <v>237800</v>
      </c>
      <c r="D23525" s="5" t="s">
        <v>285</v>
      </c>
      <c r="E23525" s="5" t="str">
        <f t="shared" si="1170"/>
        <v>CONTROL INTERNO-MARTIN EDUARDO HERRERA LEÓN</v>
      </c>
      <c r="F23525" s="5" t="str">
        <f>"Descripcion: SILLA INTERLOCUTORA FIJA TAPIZADA PAÑO AZUL Estado: Bueno Placa anterior: 000030162 Material: METALICO Color: AZUL Referencia:  Observacion: EL BIEN TIENE PLACA ANTERIOR  000033773  FUNCIONARIO AUTORIZA SE CONCILIE CON PLACA 000030162 Placa p"&amp; "adre: Tipo adquisicion: Entidad"</f>
        <v>Descripcion: SILLA INTERLOCUTORA FIJA TAPIZADA PAÑO AZUL Estado: Bueno Placa anterior: 000030162 Material: METALICO Color: AZUL Referencia:  Observacion: EL BIEN TIENE PLACA ANTERIOR  000033773  FUNCIONARIO AUTORIZA SE CONCILIE CON PLACA 000030162 Placa padre: Tipo adquisicion: Entidad</v>
      </c>
      <c r="G23525" s="5"/>
    </row>
    <row r="23526" spans="1:7" ht="58.5" customHeight="1" x14ac:dyDescent="0.25">
      <c r="A23526" s="5" t="str">
        <f>"H0007153"</f>
        <v>H0007153</v>
      </c>
      <c r="B23526" s="5" t="str">
        <f>"ENCICLOPEDIA"</f>
        <v>ENCICLOPEDIA</v>
      </c>
      <c r="C23526" s="6">
        <v>177000</v>
      </c>
      <c r="D23526" s="5"/>
      <c r="E23526" s="5" t="str">
        <f t="shared" si="1170"/>
        <v>CONTROL INTERNO-MARTIN EDUARDO HERRERA LEÓN</v>
      </c>
      <c r="F23526" s="5" t="str">
        <f>"Descripcion: ENCICLOPEDIA DE AUDITORIA 3 TOMOS  DESARROLLO Y METODOLOGIA DE LA AUDITORIAEMPASTADO COLOR VERDE Estado: Bueno Placa anterior: 000000586 Material:  Color:  Referencia:  Observacion:  Placa padre: H0007152Tipo adquisicion: Entidad"</f>
        <v>Descripcion: ENCICLOPEDIA DE AUDITORIA 3 TOMOS  DESARROLLO Y METODOLOGIA DE LA AUDITORIAEMPASTADO COLOR VERDE Estado: Bueno Placa anterior: 000000586 Material:  Color:  Referencia:  Observacion:  Placa padre: H0007152Tipo adquisicion: Entidad</v>
      </c>
      <c r="G23526" s="5"/>
    </row>
    <row r="23527" spans="1:7" ht="58.5" customHeight="1" x14ac:dyDescent="0.25">
      <c r="A23527" s="5" t="str">
        <f>"H0007164"</f>
        <v>H0007164</v>
      </c>
      <c r="B23527" s="5" t="str">
        <f>"ESTABILIZADOR  PARA COMPUTADOR"</f>
        <v>ESTABILIZADOR  PARA COMPUTADOR</v>
      </c>
      <c r="C23527" s="6">
        <v>78500</v>
      </c>
      <c r="D23527" s="5"/>
      <c r="E23527" s="5" t="str">
        <f t="shared" si="1170"/>
        <v>CONTROL INTERNO-MARTIN EDUARDO HERRERA LEÓN</v>
      </c>
      <c r="F23527" s="5" t="str">
        <f>"Descripcion: ESTABILIZADOR DE VOLTAGE MAGON 1000W4 PUERTOS Estado: Bueno Placa anterior: 000000599 Material: METALICO Color: BLANCO Referencia:  Observacion:  Placa padre: Tipo adquisicion: Entidad"</f>
        <v>Descripcion: ESTABILIZADOR DE VOLTAGE MAGON 1000W4 PUERTOS Estado: Bueno Placa anterior: 000000599 Material: METALICO Color: BLANCO Referencia:  Observacion:  Placa padre: Tipo adquisicion: Entidad</v>
      </c>
      <c r="G23527" s="5"/>
    </row>
    <row r="23528" spans="1:7" ht="58.5" customHeight="1" x14ac:dyDescent="0.25">
      <c r="A23528" s="5" t="str">
        <f>"H0007180"</f>
        <v>H0007180</v>
      </c>
      <c r="B23528" s="5" t="str">
        <f>"COMPUTADOR TODO EN UNO"</f>
        <v>COMPUTADOR TODO EN UNO</v>
      </c>
      <c r="C23528" s="6">
        <v>1572000</v>
      </c>
      <c r="D23528" s="5" t="s">
        <v>346</v>
      </c>
      <c r="E23528" s="5" t="str">
        <f t="shared" si="1170"/>
        <v>CONTROL INTERNO-MARTIN EDUARDO HERRERA LEÓN</v>
      </c>
      <c r="F23528" s="5" t="str">
        <f>"Descripcion: EQUIPOS DE COMPUTO TODO EN UNO PROCESADOR CORE 3.0 SUPERIOR CORPORATIVO WINDOWS 8 PRO- OFFICE 2013 SMALL BUSINES, TECNOLOGIA HT DE INTEL GARANTIA EXTENDIDA A 3 AÑOS Estado: Excelente Placa anterior: 000030701 Material: PLASTICO Color: NEGRO R"&amp; "eferencia: C9G88LT Observacion:  Placa anterior:, Placa nueva=H0007181, Descripcion:., Serial:BDMHE0C5Y5X1GO, Marca:HP, Modelo:KU-1156, Material:PLASTICO, Color:NEGRO,   Referencia:, Placa anterior:, Placa nueva=H0007182, Descripcion:OPTICO, Serial:FCMHH0"&amp; "CQW6AFNL, Marca:HP, Modelo:SM-2022, Material:PLASTICO, Color:NEGRO,   Referencia: Placa padre: Tipo adquisicion: Entidad"</f>
        <v>Descripcion: EQUIPOS DE COMPUTO TODO EN UNO PROCESADOR CORE 3.0 SUPERIOR CORPORATIVO WINDOWS 8 PRO- OFFICE 2013 SMALL BUSINES, TECNOLOGIA HT DE INTEL GARANTIA EXTENDIDA A 3 AÑOS Estado: Excelente Placa anterior: 000030701 Material: PLASTICO Color: NEGRO Referencia: C9G88LT Observacion:  Placa anterior:, Placa nueva=H0007181, Descripcion:., Serial:BDMHE0C5Y5X1GO, Marca:HP, Modelo:KU-1156, Material:PLASTICO, Color:NEGRO,   Referencia:, Placa anterior:, Placa nueva=H0007182, Descripcion:OPTICO, Serial:FCMHH0CQW6AFNL, Marca:HP, Modelo:SM-2022, Material:PLASTICO, Color:NEGRO,   Referencia: Placa padre: Tipo adquisicion: Entidad</v>
      </c>
      <c r="G23528" s="5" t="str">
        <f>"HP COMPAQ PRO 4300"</f>
        <v>HP COMPAQ PRO 4300</v>
      </c>
    </row>
    <row r="23529" spans="1:7" ht="58.5" customHeight="1" x14ac:dyDescent="0.25">
      <c r="A23529" s="5" t="str">
        <f>"H0007190"</f>
        <v>H0007190</v>
      </c>
      <c r="B23529" s="5" t="str">
        <f>"ESTABILIZADOR (REGULADOR) DE ENERGIA 1KW"</f>
        <v>ESTABILIZADOR (REGULADOR) DE ENERGIA 1KW</v>
      </c>
      <c r="C23529" s="6">
        <v>76500</v>
      </c>
      <c r="D23529" s="5"/>
      <c r="E23529" s="5" t="str">
        <f t="shared" si="1170"/>
        <v>CONTROL INTERNO-MARTIN EDUARDO HERRERA LEÓN</v>
      </c>
      <c r="F23529" s="5" t="str">
        <f>"Descripcion: ESTABILIZADOR MCA.PRO PC 1000V4 PUERTOS Estado: Bueno Placa anterior: 000000600 Material: METALICO Color: BLANCO Referencia:  Observacion:  Placa padre: Tipo adquisicion: Entidad"</f>
        <v>Descripcion: ESTABILIZADOR MCA.PRO PC 1000V4 PUERTOS Estado: Bueno Placa anterior: 000000600 Material: METALICO Color: BLANCO Referencia:  Observacion:  Placa padre: Tipo adquisicion: Entidad</v>
      </c>
      <c r="G23529" s="5"/>
    </row>
    <row r="23530" spans="1:7" ht="58.5" customHeight="1" x14ac:dyDescent="0.25">
      <c r="A23530" s="5" t="str">
        <f>"H0007193"</f>
        <v>H0007193</v>
      </c>
      <c r="B23530" s="5" t="str">
        <f>"MUEBLE (ARCHIVADOR) AEREO (GABINETE DE PARED)"</f>
        <v>MUEBLE (ARCHIVADOR) AEREO (GABINETE DE PARED)</v>
      </c>
      <c r="C23530" s="6">
        <v>220000</v>
      </c>
      <c r="D23530" s="5"/>
      <c r="E23530" s="5" t="str">
        <f t="shared" si="1170"/>
        <v>CONTROL INTERNO-MARTIN EDUARDO HERRERA LEÓN</v>
      </c>
      <c r="F23530" s="5" t="str">
        <f>"Descripcion: . Estado: Bueno Placa anterior: 000033263 Material: FORMICA Color: MARRON Referencia:  Observacion: EL BIEN TIENE PLACA ANTERIOR  000033777  AUTORIZADO CONCILIAR EN CRUCE GENERAL Placa padre: Tipo adquisicion: Entidad"</f>
        <v>Descripcion: . Estado: Bueno Placa anterior: 000033263 Material: FORMICA Color: MARRON Referencia:  Observacion: EL BIEN TIENE PLACA ANTERIOR  000033777  AUTORIZADO CONCILIAR EN CRUCE GENERAL Placa padre: Tipo adquisicion: Entidad</v>
      </c>
      <c r="G23530" s="5"/>
    </row>
    <row r="23531" spans="1:7" ht="58.5" customHeight="1" x14ac:dyDescent="0.25">
      <c r="A23531" s="5" t="str">
        <f>"H0018723"</f>
        <v>H0018723</v>
      </c>
      <c r="B23531" s="5" t="str">
        <f>"ESTABILIZADOR (REGULADOR) DE ENERGIA 1KW"</f>
        <v>ESTABILIZADOR (REGULADOR) DE ENERGIA 1KW</v>
      </c>
      <c r="C23531" s="6">
        <v>200100</v>
      </c>
      <c r="D23531" s="5"/>
      <c r="E23531" s="5" t="str">
        <f t="shared" si="1170"/>
        <v>CONTROL INTERNO-MARTIN EDUARDO HERRERA LEÓN</v>
      </c>
      <c r="F23531" s="5" t="str">
        <f>"Descripcion: ESTABILIZADOR 1000 5 TOMAS Estado: Bueno Placa anterior: 000031246 Material: METALICO Color: NEGRO Referencia:  Observacion: FUNCIONARIO AUTORIZA SE CONCILIE CON PLACA 000031246 Placa padre: Tipo adquisicion: Entidad"</f>
        <v>Descripcion: ESTABILIZADOR 1000 5 TOMAS Estado: Bueno Placa anterior: 000031246 Material: METALICO Color: NEGRO Referencia:  Observacion: FUNCIONARIO AUTORIZA SE CONCILIE CON PLACA 000031246 Placa padre: Tipo adquisicion: Entidad</v>
      </c>
      <c r="G23531" s="5"/>
    </row>
    <row r="23532" spans="1:7" ht="58.5" customHeight="1" x14ac:dyDescent="0.25">
      <c r="A23532" s="5" t="str">
        <f>"H0020520"</f>
        <v>H0020520</v>
      </c>
      <c r="B23532" s="5" t="str">
        <f>"BASE PARA CPU (PORTACPU)"</f>
        <v>BASE PARA CPU (PORTACPU)</v>
      </c>
      <c r="C23532" s="6">
        <v>69600</v>
      </c>
      <c r="D23532" s="5"/>
      <c r="E23532" s="5" t="str">
        <f t="shared" si="1170"/>
        <v>CONTROL INTERNO-MARTIN EDUARDO HERRERA LEÓN</v>
      </c>
      <c r="F23532" s="5" t="str">
        <f>"Descripcion: PASACABLES Y BASE CPU Estado: Bueno Placa anterior: 000030147 Material: MADERA Color: BEIGE Referencia:  Observacion:  Placa padre: Tipo adquisicion: Entidad"</f>
        <v>Descripcion: PASACABLES Y BASE CPU Estado: Bueno Placa anterior: 000030147 Material: MADERA Color: BEIGE Referencia:  Observacion:  Placa padre: Tipo adquisicion: Entidad</v>
      </c>
      <c r="G23532" s="5"/>
    </row>
    <row r="23533" spans="1:7" ht="58.5" customHeight="1" x14ac:dyDescent="0.25">
      <c r="A23533" s="5" t="str">
        <f>"H0027166"</f>
        <v>H0027166</v>
      </c>
      <c r="B2353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533" s="6">
        <v>2641800</v>
      </c>
      <c r="D23533" s="5" t="s">
        <v>38</v>
      </c>
      <c r="E23533" s="5" t="str">
        <f t="shared" si="1170"/>
        <v>CONTROL INTERNO-MARTIN EDUARDO HERRERA LEÓN</v>
      </c>
      <c r="F23533" s="5"/>
      <c r="G23533" s="5"/>
    </row>
    <row r="23534" spans="1:7" ht="58.5" customHeight="1" x14ac:dyDescent="0.25">
      <c r="A23534" s="5" t="str">
        <f>"H0027247"</f>
        <v>H0027247</v>
      </c>
      <c r="B2353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534" s="6">
        <v>2641800</v>
      </c>
      <c r="D23534" s="5" t="s">
        <v>919</v>
      </c>
      <c r="E23534" s="5" t="str">
        <f t="shared" si="1170"/>
        <v>CONTROL INTERNO-MARTIN EDUARDO HERRERA LEÓN</v>
      </c>
      <c r="F23534" s="5"/>
      <c r="G23534" s="5"/>
    </row>
    <row r="23535" spans="1:7" ht="58.5" customHeight="1" x14ac:dyDescent="0.25">
      <c r="A23535" s="5" t="str">
        <f>"H0027248"</f>
        <v>H0027248</v>
      </c>
      <c r="B2353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535" s="6">
        <v>2641800</v>
      </c>
      <c r="D23535" s="5" t="s">
        <v>38</v>
      </c>
      <c r="E23535" s="5" t="str">
        <f t="shared" si="1170"/>
        <v>CONTROL INTERNO-MARTIN EDUARDO HERRERA LEÓN</v>
      </c>
      <c r="F23535" s="5"/>
      <c r="G23535" s="5"/>
    </row>
    <row r="23536" spans="1:7" ht="58.5" customHeight="1" x14ac:dyDescent="0.25">
      <c r="A23536" s="5" t="str">
        <f>"H0027249"</f>
        <v>H0027249</v>
      </c>
      <c r="B2353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536" s="6">
        <v>2641800</v>
      </c>
      <c r="D23536" s="5" t="s">
        <v>38</v>
      </c>
      <c r="E23536" s="5" t="str">
        <f t="shared" si="1170"/>
        <v>CONTROL INTERNO-MARTIN EDUARDO HERRERA LEÓN</v>
      </c>
      <c r="F23536" s="5"/>
      <c r="G23536" s="5"/>
    </row>
    <row r="23537" spans="1:7" ht="58.5" customHeight="1" x14ac:dyDescent="0.25">
      <c r="A23537" s="5" t="str">
        <f>"H0027622"</f>
        <v>H0027622</v>
      </c>
      <c r="B23537"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3537" s="6">
        <v>2580000</v>
      </c>
      <c r="D23537" s="5" t="s">
        <v>85</v>
      </c>
      <c r="E23537" s="5" t="str">
        <f t="shared" si="1170"/>
        <v>CONTROL INTERNO-MARTIN EDUARDO HERRERA LEÓN</v>
      </c>
      <c r="F23537" s="5"/>
      <c r="G23537" s="5"/>
    </row>
    <row r="23538" spans="1:7" ht="58.5" customHeight="1" x14ac:dyDescent="0.25">
      <c r="A23538" s="5" t="str">
        <f>"H0028931"</f>
        <v>H0028931</v>
      </c>
      <c r="B23538" s="5" t="str">
        <f>"SILLA HERGONOMICA CON SISTEMA HIDRAULICO"</f>
        <v>SILLA HERGONOMICA CON SISTEMA HIDRAULICO</v>
      </c>
      <c r="C23538" s="6">
        <v>174900</v>
      </c>
      <c r="D23538" s="5" t="s">
        <v>40</v>
      </c>
      <c r="E23538" s="5" t="str">
        <f t="shared" si="1170"/>
        <v>CONTROL INTERNO-MARTIN EDUARDO HERRERA LEÓN</v>
      </c>
      <c r="F23538" s="5"/>
      <c r="G23538" s="5"/>
    </row>
    <row r="23539" spans="1:7" ht="58.5" customHeight="1" x14ac:dyDescent="0.25">
      <c r="A23539" s="5" t="str">
        <f>"H0029314"</f>
        <v>H0029314</v>
      </c>
      <c r="B23539" s="5" t="str">
        <f>"SILLA HERGONOMICA CON SISTEMA HIDRAULICO"</f>
        <v>SILLA HERGONOMICA CON SISTEMA HIDRAULICO</v>
      </c>
      <c r="C23539" s="6">
        <v>174900</v>
      </c>
      <c r="D23539" s="5" t="s">
        <v>89</v>
      </c>
      <c r="E23539" s="5" t="str">
        <f t="shared" si="1170"/>
        <v>CONTROL INTERNO-MARTIN EDUARDO HERRERA LEÓN</v>
      </c>
      <c r="F23539" s="5"/>
      <c r="G23539" s="5"/>
    </row>
    <row r="23540" spans="1:7" ht="58.5" customHeight="1" x14ac:dyDescent="0.25">
      <c r="A23540" s="5" t="str">
        <f>"H0029811"</f>
        <v>H0029811</v>
      </c>
      <c r="B2354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540" s="6">
        <v>252399.97</v>
      </c>
      <c r="D23540" s="5" t="s">
        <v>189</v>
      </c>
      <c r="E23540" s="5" t="str">
        <f t="shared" si="1170"/>
        <v>CONTROL INTERNO-MARTIN EDUARDO HERRERA LEÓN</v>
      </c>
      <c r="F23540" s="5"/>
      <c r="G23540" s="5"/>
    </row>
    <row r="23541" spans="1:7" ht="58.5" customHeight="1" x14ac:dyDescent="0.25">
      <c r="A23541" s="5" t="str">
        <f>"H0031439"</f>
        <v>H0031439</v>
      </c>
      <c r="B23541"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541" s="6">
        <v>3209500</v>
      </c>
      <c r="D23541" s="5" t="s">
        <v>16</v>
      </c>
      <c r="E23541" s="5" t="str">
        <f t="shared" si="1170"/>
        <v>CONTROL INTERNO-MARTIN EDUARDO HERRERA LEÓN</v>
      </c>
      <c r="F23541" s="5"/>
      <c r="G23541" s="5"/>
    </row>
    <row r="23542" spans="1:7" ht="58.5" customHeight="1" x14ac:dyDescent="0.25">
      <c r="A23542" s="5" t="str">
        <f>"H0031496"</f>
        <v>H0031496</v>
      </c>
      <c r="B2354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542" s="6">
        <v>3209500</v>
      </c>
      <c r="D23542" s="5" t="s">
        <v>16</v>
      </c>
      <c r="E23542" s="5" t="str">
        <f t="shared" si="1170"/>
        <v>CONTROL INTERNO-MARTIN EDUARDO HERRERA LEÓN</v>
      </c>
      <c r="F23542" s="5"/>
      <c r="G23542" s="5"/>
    </row>
    <row r="23543" spans="1:7" ht="58.5" customHeight="1" x14ac:dyDescent="0.25">
      <c r="A23543" s="5" t="str">
        <f>"H0031894"</f>
        <v>H0031894</v>
      </c>
      <c r="B23543"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3543" s="6">
        <v>2647750</v>
      </c>
      <c r="D23543" s="5" t="s">
        <v>44</v>
      </c>
      <c r="E23543" s="5" t="str">
        <f t="shared" si="1170"/>
        <v>CONTROL INTERNO-MARTIN EDUARDO HERRERA LEÓN</v>
      </c>
      <c r="F23543" s="5"/>
      <c r="G23543" s="5" t="str">
        <f>"DS-870"</f>
        <v>DS-870</v>
      </c>
    </row>
    <row r="23544" spans="1:7" ht="58.5" customHeight="1" x14ac:dyDescent="0.25">
      <c r="A23544" s="5" t="str">
        <f>"H0032274"</f>
        <v>H0032274</v>
      </c>
      <c r="B23544"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3544" s="6">
        <v>901008.5</v>
      </c>
      <c r="D23544" s="5" t="s">
        <v>413</v>
      </c>
      <c r="E23544" s="5" t="str">
        <f t="shared" si="1170"/>
        <v>CONTROL INTERNO-MARTIN EDUARDO HERRERA LEÓN</v>
      </c>
      <c r="F23544" s="5"/>
      <c r="G23544" s="5"/>
    </row>
    <row r="23545" spans="1:7" ht="58.5" customHeight="1" x14ac:dyDescent="0.25">
      <c r="A23545" s="5" t="str">
        <f>"H0034839"</f>
        <v>H0034839</v>
      </c>
      <c r="B23545" s="5" t="s">
        <v>23</v>
      </c>
      <c r="C23545" s="6">
        <v>4403000</v>
      </c>
      <c r="D23545" s="5" t="s">
        <v>22</v>
      </c>
      <c r="E23545" s="5" t="str">
        <f t="shared" si="1170"/>
        <v>CONTROL INTERNO-MARTIN EDUARDO HERRERA LEÓN</v>
      </c>
      <c r="F23545" s="5"/>
      <c r="G23545" s="5"/>
    </row>
    <row r="23546" spans="1:7" ht="58.5" customHeight="1" x14ac:dyDescent="0.25">
      <c r="A23546" s="5" t="str">
        <f>"H0035964"</f>
        <v>H0035964</v>
      </c>
      <c r="B23546" s="5" t="str">
        <f>"SILLA GERENTE NIZA MEC. BASCULANTE CON BRAZOS."</f>
        <v>SILLA GERENTE NIZA MEC. BASCULANTE CON BRAZOS.</v>
      </c>
      <c r="C23546" s="6">
        <v>639999.86</v>
      </c>
      <c r="D23546" s="5" t="s">
        <v>281</v>
      </c>
      <c r="E23546" s="5" t="str">
        <f t="shared" si="1170"/>
        <v>CONTROL INTERNO-MARTIN EDUARDO HERRERA LEÓN</v>
      </c>
      <c r="F23546" s="5"/>
      <c r="G23546" s="5"/>
    </row>
    <row r="23547" spans="1:7" ht="58.5" customHeight="1" x14ac:dyDescent="0.25">
      <c r="A23547" s="5" t="str">
        <f>"H0035965"</f>
        <v>H0035965</v>
      </c>
      <c r="B23547" s="5" t="str">
        <f>"SILLA GERENTE NIZA MEC. BASCULANTE CON BRAZOS."</f>
        <v>SILLA GERENTE NIZA MEC. BASCULANTE CON BRAZOS.</v>
      </c>
      <c r="C23547" s="6">
        <v>639999.86</v>
      </c>
      <c r="D23547" s="5" t="s">
        <v>281</v>
      </c>
      <c r="E23547" s="5" t="str">
        <f t="shared" si="1170"/>
        <v>CONTROL INTERNO-MARTIN EDUARDO HERRERA LEÓN</v>
      </c>
      <c r="F23547" s="5"/>
      <c r="G23547" s="5"/>
    </row>
    <row r="23548" spans="1:7" ht="58.5" customHeight="1" x14ac:dyDescent="0.25">
      <c r="A23548" s="5" t="str">
        <f>"H0035966"</f>
        <v>H0035966</v>
      </c>
      <c r="B23548" s="5" t="str">
        <f>"SILLA GERENTE NIZA MEC. BASCULANTE CON BRAZOS."</f>
        <v>SILLA GERENTE NIZA MEC. BASCULANTE CON BRAZOS.</v>
      </c>
      <c r="C23548" s="6">
        <v>639999.86</v>
      </c>
      <c r="D23548" s="5" t="s">
        <v>281</v>
      </c>
      <c r="E23548" s="5" t="str">
        <f t="shared" si="1170"/>
        <v>CONTROL INTERNO-MARTIN EDUARDO HERRERA LEÓN</v>
      </c>
      <c r="F23548" s="5"/>
      <c r="G23548" s="5"/>
    </row>
    <row r="23549" spans="1:7" ht="58.5" customHeight="1" x14ac:dyDescent="0.25">
      <c r="A23549" s="5" t="str">
        <f>"H0036543"</f>
        <v>H0036543</v>
      </c>
      <c r="B23549"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3549" s="6">
        <v>6307000</v>
      </c>
      <c r="D23549" s="5" t="s">
        <v>48</v>
      </c>
      <c r="E23549" s="5" t="str">
        <f t="shared" si="1170"/>
        <v>CONTROL INTERNO-MARTIN EDUARDO HERRERA LEÓN</v>
      </c>
      <c r="F23549" s="5"/>
      <c r="G23549" s="5" t="str">
        <f>"VZ4680G"</f>
        <v>VZ4680G</v>
      </c>
    </row>
    <row r="23550" spans="1:7" ht="58.5" customHeight="1" x14ac:dyDescent="0.25">
      <c r="A23550" s="5" t="str">
        <f>"H0036576"</f>
        <v>H0036576</v>
      </c>
      <c r="B23550" s="5" t="str">
        <f>"ESCANER DE ALTA VELOCIDAD 35 PPM"</f>
        <v>ESCANER DE ALTA VELOCIDAD 35 PPM</v>
      </c>
      <c r="C23550" s="6">
        <v>2401636.36</v>
      </c>
      <c r="D23550" s="5" t="s">
        <v>199</v>
      </c>
      <c r="E23550" s="5" t="str">
        <f t="shared" si="1170"/>
        <v>CONTROL INTERNO-MARTIN EDUARDO HERRERA LEÓN</v>
      </c>
      <c r="F23550" s="5"/>
      <c r="G23550" s="5"/>
    </row>
    <row r="23551" spans="1:7" ht="58.5" customHeight="1" x14ac:dyDescent="0.25">
      <c r="A23551" s="5" t="str">
        <f>"H0036598"</f>
        <v>H0036598</v>
      </c>
      <c r="B23551" s="5" t="str">
        <f>"VIDEO PROYECTOR MARCA EPSON MODELO E20. ESPECIFICACIONES TECNICAS : SISTEMA DE PROYECCIÓN: TECNOLOGÍA EPSON 3LCD DE 3 CHIPS, MÉTODO DE PROYECCIÓN: FRONTAL / POSTERIOR / TECHO"</f>
        <v>VIDEO PROYECTOR MARCA EPSON MODELO E20. ESPECIFICACIONES TECNICAS : SISTEMA DE PROYECCIÓN: TECNOLOGÍA EPSON 3LCD DE 3 CHIPS, MÉTODO DE PROYECCIÓN: FRONTAL / POSTERIOR / TECHO</v>
      </c>
      <c r="C23551" s="6">
        <v>3300949.25</v>
      </c>
      <c r="D23551" s="5" t="s">
        <v>134</v>
      </c>
      <c r="E23551" s="5" t="str">
        <f t="shared" si="1170"/>
        <v>CONTROL INTERNO-MARTIN EDUARDO HERRERA LEÓN</v>
      </c>
      <c r="F23551" s="5"/>
      <c r="G23551" s="5" t="str">
        <f>"E20"</f>
        <v>E20</v>
      </c>
    </row>
    <row r="23552" spans="1:7" ht="58.5" customHeight="1" x14ac:dyDescent="0.25">
      <c r="A23552" s="5" t="str">
        <f>"H0036912"</f>
        <v>H0036912</v>
      </c>
      <c r="B23552" s="5" t="str">
        <f>"AIRE ACONDICIONADO DE 24000 BTU CONVENCIONAL R410"</f>
        <v>AIRE ACONDICIONADO DE 24000 BTU CONVENCIONAL R410</v>
      </c>
      <c r="C23552" s="6">
        <v>4950000</v>
      </c>
      <c r="D23552" s="5" t="s">
        <v>28</v>
      </c>
      <c r="E23552" s="5" t="str">
        <f t="shared" si="1170"/>
        <v>CONTROL INTERNO-MARTIN EDUARDO HERRERA LEÓN</v>
      </c>
      <c r="F23552" s="5"/>
      <c r="G23552" s="5"/>
    </row>
    <row r="23553" spans="1:7" ht="58.5" customHeight="1" x14ac:dyDescent="0.25">
      <c r="A23553" s="5" t="str">
        <f>"H0038008"</f>
        <v>H0038008</v>
      </c>
      <c r="B23553" s="5" t="str">
        <f>"SILLA GERENTE NIZA MEC. BASCULANTE CON BRAZOS."</f>
        <v>SILLA GERENTE NIZA MEC. BASCULANTE CON BRAZOS.</v>
      </c>
      <c r="C23553" s="6">
        <v>710000.01</v>
      </c>
      <c r="D23553" s="5" t="s">
        <v>30</v>
      </c>
      <c r="E23553" s="5" t="str">
        <f t="shared" si="1170"/>
        <v>CONTROL INTERNO-MARTIN EDUARDO HERRERA LEÓN</v>
      </c>
      <c r="F23553" s="5"/>
      <c r="G23553" s="5"/>
    </row>
    <row r="23554" spans="1:7" ht="58.5" customHeight="1" x14ac:dyDescent="0.25">
      <c r="A23554" s="5" t="str">
        <f>"H0038009"</f>
        <v>H0038009</v>
      </c>
      <c r="B23554" s="5" t="str">
        <f>"SILLA GERENTE NIZA MEC. BASCULANTE CON BRAZOS."</f>
        <v>SILLA GERENTE NIZA MEC. BASCULANTE CON BRAZOS.</v>
      </c>
      <c r="C23554" s="6">
        <v>710000.01</v>
      </c>
      <c r="D23554" s="5" t="s">
        <v>30</v>
      </c>
      <c r="E23554" s="5" t="str">
        <f t="shared" si="1170"/>
        <v>CONTROL INTERNO-MARTIN EDUARDO HERRERA LEÓN</v>
      </c>
      <c r="F23554" s="5"/>
      <c r="G23554" s="5"/>
    </row>
    <row r="23555" spans="1:7" ht="58.5" customHeight="1" x14ac:dyDescent="0.25">
      <c r="A23555" s="5" t="str">
        <f>"B0005015"</f>
        <v>B0005015</v>
      </c>
      <c r="B23555" s="5" t="str">
        <f>"LICENCIA OFFICE HOME AND BUSINEES"</f>
        <v>LICENCIA OFFICE HOME AND BUSINEES</v>
      </c>
      <c r="C23555" s="6">
        <v>440800</v>
      </c>
      <c r="D23555" s="5" t="s">
        <v>1</v>
      </c>
      <c r="E23555" s="5" t="str">
        <f t="shared" ref="E23555:E23586" si="1171">"ASESOR JURIDICO-LABORAL-ELEONORA CONTRERAS"</f>
        <v>ASESOR JURIDICO-LABORAL-ELEONORA CONTRERAS</v>
      </c>
      <c r="F23555" s="5" t="str">
        <f>"Descripcion: LICENCIA OFFICE HOME AND BUSIMESS 2013 Estado: Bueno Placa anterior: 000030588 Material:  Color:  Referencia:  Observacion:  Placa padre: Tipo adquisicion: Entidad"</f>
        <v>Descripcion: LICENCIA OFFICE HOME AND BUSIMESS 2013 Estado: Bueno Placa anterior: 000030588 Material:  Color:  Referencia:  Observacion:  Placa padre: Tipo adquisicion: Entidad</v>
      </c>
      <c r="G23555" s="5"/>
    </row>
    <row r="23556" spans="1:7" ht="58.5" customHeight="1" x14ac:dyDescent="0.25">
      <c r="A23556" s="5" t="str">
        <f>"B0005016"</f>
        <v>B0005016</v>
      </c>
      <c r="B23556" s="5" t="str">
        <f>"LICENCIA OFFICE HOME AND BUSINEES"</f>
        <v>LICENCIA OFFICE HOME AND BUSINEES</v>
      </c>
      <c r="C23556" s="6">
        <v>440800</v>
      </c>
      <c r="D23556" s="5" t="s">
        <v>1</v>
      </c>
      <c r="E23556" s="5" t="str">
        <f t="shared" si="1171"/>
        <v>ASESOR JURIDICO-LABORAL-ELEONORA CONTRERAS</v>
      </c>
      <c r="F23556" s="5" t="str">
        <f>"Descripcion: LICENCIA OFFICE HOME AND BUSIMESS 2013 Estado: Bueno Placa anterior: 000030589 Material:  Color:  Referencia:  Observacion:  Placa padre: Tipo adquisicion: Entidad"</f>
        <v>Descripcion: LICENCIA OFFICE HOME AND BUSIMESS 2013 Estado: Bueno Placa anterior: 000030589 Material:  Color:  Referencia:  Observacion:  Placa padre: Tipo adquisicion: Entidad</v>
      </c>
      <c r="G23556" s="5"/>
    </row>
    <row r="23557" spans="1:7" ht="58.5" customHeight="1" x14ac:dyDescent="0.25">
      <c r="A23557" s="5" t="str">
        <f>"H0017391"</f>
        <v>H0017391</v>
      </c>
      <c r="B23557" s="5" t="str">
        <f>"SILLA INTERLOCUTORA (FIJA) SIN BRAZOS"</f>
        <v>SILLA INTERLOCUTORA (FIJA) SIN BRAZOS</v>
      </c>
      <c r="C23557" s="6">
        <v>5610</v>
      </c>
      <c r="D23557" s="5"/>
      <c r="E23557" s="5" t="str">
        <f t="shared" si="1171"/>
        <v>ASESOR JURIDICO-LABORAL-ELEONORA CONTRERAS</v>
      </c>
      <c r="F23557" s="5" t="str">
        <f>"Descripcion: SILLA FIJA SIN BRAZOS COLOR NEGRA Estado: Bueno Placa anterior: 000002055 Material: METALICO Color: NEGRA Referencia:  Observacion:  Placa padre: Tipo adquisicion: Entidad"</f>
        <v>Descripcion: SILLA FIJA SIN BRAZOS COLOR NEGRA Estado: Bueno Placa anterior: 000002055 Material: METALICO Color: NEGRA Referencia:  Observacion:  Placa padre: Tipo adquisicion: Entidad</v>
      </c>
      <c r="G23557" s="5"/>
    </row>
    <row r="23558" spans="1:7" ht="58.5" customHeight="1" x14ac:dyDescent="0.25">
      <c r="A23558" s="5" t="str">
        <f>"H0017392"</f>
        <v>H0017392</v>
      </c>
      <c r="B23558" s="5" t="str">
        <f>"SILLA INTERLOCUTORA (FIJA) SIN BRAZOS"</f>
        <v>SILLA INTERLOCUTORA (FIJA) SIN BRAZOS</v>
      </c>
      <c r="C23558" s="6">
        <v>5610</v>
      </c>
      <c r="D23558" s="5"/>
      <c r="E23558" s="5" t="str">
        <f t="shared" si="1171"/>
        <v>ASESOR JURIDICO-LABORAL-ELEONORA CONTRERAS</v>
      </c>
      <c r="F23558" s="5" t="str">
        <f>"Descripcion: SILLA FIJA SIN BRAZOS COLOR NEGRA Estado: Regular Placa anterior: 000002054 Material: METALICO Color: NEGRA Referencia:  Observacion:  Placa padre: Tipo adquisicion: Entidad"</f>
        <v>Descripcion: SILLA FIJA SIN BRAZOS COLOR NEGRA Estado: Regular Placa anterior: 000002054 Material: METALICO Color: NEGRA Referencia:  Observacion:  Placa padre: Tipo adquisicion: Entidad</v>
      </c>
      <c r="G23558" s="5"/>
    </row>
    <row r="23559" spans="1:7" ht="58.5" customHeight="1" x14ac:dyDescent="0.25">
      <c r="A23559" s="5" t="str">
        <f>"H0017397"</f>
        <v>H0017397</v>
      </c>
      <c r="B23559" s="5" t="str">
        <f>"ESCANER DE DOCUMENTOS"</f>
        <v>ESCANER DE DOCUMENTOS</v>
      </c>
      <c r="C23559" s="6">
        <v>3600000</v>
      </c>
      <c r="D23559" s="5" t="s">
        <v>744</v>
      </c>
      <c r="E23559" s="5" t="str">
        <f t="shared" si="1171"/>
        <v>ASESOR JURIDICO-LABORAL-ELEONORA CONTRERAS</v>
      </c>
      <c r="F23559" s="5" t="str">
        <f>"Descripcion: SCANNER SJ 7000 S2-45ppm. El equipo debe cimplir como minimo con las siguientes caracteristicas: La velocidad del escaneo debe ser como minimo de 45 ppm/90 ipm Tamaño de escaneo aproximado de 8.5 x 122 in ADF. Debe cumplir como minimo con un "&amp; "ciclo de tra Estado: Bueno Placa anterior: 000038171 Material: PASTA Color: GRIS Referencia: L2730-64003 Observacion:  Placa padre: Tipo adquisicion: Entidad"</f>
        <v>Descripcion: SCANNER SJ 7000 S2-45ppm. El equipo debe cimplir como minimo con las siguientes caracteristicas: La velocidad del escaneo debe ser como minimo de 45 ppm/90 ipm Tamaño de escaneo aproximado de 8.5 x 122 in ADF. Debe cumplir como minimo con un ciclo de tra Estado: Bueno Placa anterior: 000038171 Material: PASTA Color: GRIS Referencia: L2730-64003 Observacion:  Placa padre: Tipo adquisicion: Entidad</v>
      </c>
      <c r="G23559" s="5" t="str">
        <f>"HP SCANJET ENTERPRI"</f>
        <v>HP SCANJET ENTERPRI</v>
      </c>
    </row>
    <row r="23560" spans="1:7" ht="58.5" customHeight="1" x14ac:dyDescent="0.25">
      <c r="A23560" s="5" t="str">
        <f>"H0017401"</f>
        <v>H0017401</v>
      </c>
      <c r="B23560" s="5" t="str">
        <f>"COSEDORA GRANDE CAPACIDAD MAYOR 140 HOJAS"</f>
        <v>COSEDORA GRANDE CAPACIDAD MAYOR 140 HOJAS</v>
      </c>
      <c r="C23560" s="6">
        <v>39750</v>
      </c>
      <c r="D23560" s="5"/>
      <c r="E23560" s="5" t="str">
        <f t="shared" si="1171"/>
        <v>ASESOR JURIDICO-LABORAL-ELEONORA CONTRERAS</v>
      </c>
      <c r="F23560" s="5" t="str">
        <f>"Descripcion: COSEDORA INDUSTRIAL Estado: Bueno Placa anterior: 000002066 Material: METALICO Color: BEIGE Referencia:  Observacion:  Placa padre: Tipo adquisicion: Entidad"</f>
        <v>Descripcion: COSEDORA INDUSTRIAL Estado: Bueno Placa anterior: 000002066 Material: METALICO Color: BEIGE Referencia:  Observacion:  Placa padre: Tipo adquisicion: Entidad</v>
      </c>
      <c r="G23560" s="5"/>
    </row>
    <row r="23561" spans="1:7" ht="58.5" customHeight="1" x14ac:dyDescent="0.25">
      <c r="A23561" s="5" t="str">
        <f>"H0017403"</f>
        <v>H0017403</v>
      </c>
      <c r="B23561" s="5" t="str">
        <f>"CALCULADORA ELECTRICA DE 12 DIGITOS"</f>
        <v>CALCULADORA ELECTRICA DE 12 DIGITOS</v>
      </c>
      <c r="C23561" s="6">
        <v>220000.17</v>
      </c>
      <c r="D23561" s="5" t="s">
        <v>920</v>
      </c>
      <c r="E23561" s="5" t="str">
        <f t="shared" si="1171"/>
        <v>ASESOR JURIDICO-LABORAL-ELEONORA CONTRERAS</v>
      </c>
      <c r="F23561" s="5" t="str">
        <f>"Descripcion: CALCULADORA C ASIO DE DR120 DIGITOS Estado: Bueno Placa anterior: 000036465 Material: PASTA Color: NEGRO Referencia:  Observacion:  Placa padre: Tipo adquisicion: Entidad"</f>
        <v>Descripcion: CALCULADORA C ASIO DE DR120 DIGITOS Estado: Bueno Placa anterior: 000036465 Material: PASTA Color: NEGRO Referencia:  Observacion:  Placa padre: Tipo adquisicion: Entidad</v>
      </c>
      <c r="G23561" s="5" t="str">
        <f>"DR-120TM"</f>
        <v>DR-120TM</v>
      </c>
    </row>
    <row r="23562" spans="1:7" ht="58.5" customHeight="1" x14ac:dyDescent="0.25">
      <c r="A23562" s="5" t="str">
        <f>"H0017405"</f>
        <v>H0017405</v>
      </c>
      <c r="B23562" s="5" t="str">
        <f>"LIBROS DE LABORAL"</f>
        <v>LIBROS DE LABORAL</v>
      </c>
      <c r="C23562" s="6">
        <v>9000</v>
      </c>
      <c r="D23562" s="5"/>
      <c r="E23562" s="5" t="str">
        <f t="shared" si="1171"/>
        <v>ASESOR JURIDICO-LABORAL-ELEONORA CONTRERAS</v>
      </c>
      <c r="F23562" s="5" t="str">
        <f>"Descripcion: EL PROCESO DE FUERO SINDICAL LAGOS Estado: Bueno Placa anterior: 000002132 Material:  Color:  Referencia:  Observacion:  Placa padre: Tipo adquisicion: Entidad"</f>
        <v>Descripcion: EL PROCESO DE FUERO SINDICAL LAGOS Estado: Bueno Placa anterior: 000002132 Material:  Color:  Referencia:  Observacion:  Placa padre: Tipo adquisicion: Entidad</v>
      </c>
      <c r="G23562" s="5"/>
    </row>
    <row r="23563" spans="1:7" ht="58.5" customHeight="1" x14ac:dyDescent="0.25">
      <c r="A23563" s="5" t="str">
        <f>"H0017407"</f>
        <v>H0017407</v>
      </c>
      <c r="B23563" s="5" t="str">
        <f>"LIBROS DE SEGURIDAD SOCIAL"</f>
        <v>LIBROS DE SEGURIDAD SOCIAL</v>
      </c>
      <c r="C23563" s="6">
        <v>9800</v>
      </c>
      <c r="D23563" s="5"/>
      <c r="E23563" s="5" t="str">
        <f t="shared" si="1171"/>
        <v>ASESOR JURIDICO-LABORAL-ELEONORA CONTRERAS</v>
      </c>
      <c r="F23563" s="5" t="str">
        <f>"Descripcion: LA SEGURIDAD SOCIAL EN COLOMBIA. RENGIFO Estado: Bueno Placa anterior: 000002134 Material:  Color:  Referencia:  Observacion:  Placa padre: Tipo adquisicion: Entidad"</f>
        <v>Descripcion: LA SEGURIDAD SOCIAL EN COLOMBIA. RENGIFO Estado: Bueno Placa anterior: 000002134 Material:  Color:  Referencia:  Observacion:  Placa padre: Tipo adquisicion: Entidad</v>
      </c>
      <c r="G23563" s="5"/>
    </row>
    <row r="23564" spans="1:7" ht="58.5" customHeight="1" x14ac:dyDescent="0.25">
      <c r="A23564" s="5" t="str">
        <f>"H0017408"</f>
        <v>H0017408</v>
      </c>
      <c r="B23564" s="5" t="str">
        <f>"LIBROS DE TRIBUTARIA"</f>
        <v>LIBROS DE TRIBUTARIA</v>
      </c>
      <c r="C23564" s="6">
        <v>16000</v>
      </c>
      <c r="D23564" s="5"/>
      <c r="E23564" s="5" t="str">
        <f t="shared" si="1171"/>
        <v>ASESOR JURIDICO-LABORAL-ELEONORA CONTRERAS</v>
      </c>
      <c r="F23564" s="5" t="str">
        <f>"Descripcion: LAS PENSIONES EN EL SECTOR OFICIAL. PATIÑO Estado: Bueno Placa anterior: 000002135 Material:  Color:  Referencia:  Observacion:  Placa padre: Tipo adquisicion: Entidad"</f>
        <v>Descripcion: LAS PENSIONES EN EL SECTOR OFICIAL. PATIÑO Estado: Bueno Placa anterior: 000002135 Material:  Color:  Referencia:  Observacion:  Placa padre: Tipo adquisicion: Entidad</v>
      </c>
      <c r="G23564" s="5"/>
    </row>
    <row r="23565" spans="1:7" ht="58.5" customHeight="1" x14ac:dyDescent="0.25">
      <c r="A23565" s="5" t="str">
        <f>"H0017409"</f>
        <v>H0017409</v>
      </c>
      <c r="B23565" s="5" t="str">
        <f>"LIBROS DE LABORAL"</f>
        <v>LIBROS DE LABORAL</v>
      </c>
      <c r="C23565" s="6">
        <v>17000</v>
      </c>
      <c r="D23565" s="5"/>
      <c r="E23565" s="5" t="str">
        <f t="shared" si="1171"/>
        <v>ASESOR JURIDICO-LABORAL-ELEONORA CONTRERAS</v>
      </c>
      <c r="F23565" s="5" t="str">
        <f>"Descripcion: MANUAL COBRO PRESTACIONES SOCIALES. SATIZABAL Estado: Bueno Placa anterior: 000002136 Material:  Color:  Referencia:  Observacion:  Placa padre: Tipo adquisicion: Entidad"</f>
        <v>Descripcion: MANUAL COBRO PRESTACIONES SOCIALES. SATIZABAL Estado: Bueno Placa anterior: 000002136 Material:  Color:  Referencia:  Observacion:  Placa padre: Tipo adquisicion: Entidad</v>
      </c>
      <c r="G23565" s="5"/>
    </row>
    <row r="23566" spans="1:7" ht="58.5" customHeight="1" x14ac:dyDescent="0.25">
      <c r="A23566" s="5" t="str">
        <f>"H0017410"</f>
        <v>H0017410</v>
      </c>
      <c r="B23566" s="5" t="str">
        <f>"MANUALES (LIBRO GUIA)"</f>
        <v>MANUALES (LIBRO GUIA)</v>
      </c>
      <c r="C23566" s="6">
        <v>11000</v>
      </c>
      <c r="D23566" s="5"/>
      <c r="E23566" s="5" t="str">
        <f t="shared" si="1171"/>
        <v>ASESOR JURIDICO-LABORAL-ELEONORA CONTRERAS</v>
      </c>
      <c r="F23566" s="5" t="str">
        <f>"Descripcion: MANUAL DE DERECHO PROBATORIO. PARRA Estado: Bueno Placa anterior: 000002137 Material:  Color:  Referencia:  Observacion:  Placa padre: Tipo adquisicion: Entidad"</f>
        <v>Descripcion: MANUAL DE DERECHO PROBATORIO. PARRA Estado: Bueno Placa anterior: 000002137 Material:  Color:  Referencia:  Observacion:  Placa padre: Tipo adquisicion: Entidad</v>
      </c>
      <c r="G23566" s="5"/>
    </row>
    <row r="23567" spans="1:7" ht="58.5" customHeight="1" x14ac:dyDescent="0.25">
      <c r="A23567" s="5" t="str">
        <f>"H0017413"</f>
        <v>H0017413</v>
      </c>
      <c r="B23567" s="5" t="str">
        <f>"LIBROS DE DERECHO ADMINISTRATIVO"</f>
        <v>LIBROS DE DERECHO ADMINISTRATIVO</v>
      </c>
      <c r="C23567" s="6">
        <v>11500</v>
      </c>
      <c r="D23567" s="5"/>
      <c r="E23567" s="5" t="str">
        <f t="shared" si="1171"/>
        <v>ASESOR JURIDICO-LABORAL-ELEONORA CONTRERAS</v>
      </c>
      <c r="F23567" s="5" t="str">
        <f>"Descripcion: PRACTICA ADMINISTRATIVA. TOMO 11 LAMPREA. SOLANO Estado: Bueno Placa anterior: 000002140 Material:  Color:  Referencia:  Observacion:  Placa padre: Tipo adquisicion: Entidad"</f>
        <v>Descripcion: PRACTICA ADMINISTRATIVA. TOMO 11 LAMPREA. SOLANO Estado: Bueno Placa anterior: 000002140 Material:  Color:  Referencia:  Observacion:  Placa padre: Tipo adquisicion: Entidad</v>
      </c>
      <c r="G23567" s="5"/>
    </row>
    <row r="23568" spans="1:7" ht="58.5" customHeight="1" x14ac:dyDescent="0.25">
      <c r="A23568" s="5" t="str">
        <f>"H0017414"</f>
        <v>H0017414</v>
      </c>
      <c r="B23568" s="5" t="str">
        <f>"LIBROS DE DERECHO ADMINISTRATIVO"</f>
        <v>LIBROS DE DERECHO ADMINISTRATIVO</v>
      </c>
      <c r="C23568" s="6">
        <v>11500</v>
      </c>
      <c r="D23568" s="5"/>
      <c r="E23568" s="5" t="str">
        <f t="shared" si="1171"/>
        <v>ASESOR JURIDICO-LABORAL-ELEONORA CONTRERAS</v>
      </c>
      <c r="F23568" s="5" t="str">
        <f>"Descripcion: PRACTICA ADMINISTRATIVA. TOMO 11 LAMPREA. SOLANO Estado: Bueno Placa anterior: 000002141 Material:  Color:  Referencia:  Observacion:  Placa padre: Tipo adquisicion: Entidad"</f>
        <v>Descripcion: PRACTICA ADMINISTRATIVA. TOMO 11 LAMPREA. SOLANO Estado: Bueno Placa anterior: 000002141 Material:  Color:  Referencia:  Observacion:  Placa padre: Tipo adquisicion: Entidad</v>
      </c>
      <c r="G23568" s="5"/>
    </row>
    <row r="23569" spans="1:7" ht="58.5" customHeight="1" x14ac:dyDescent="0.25">
      <c r="A23569" s="5" t="str">
        <f>"H0017415"</f>
        <v>H0017415</v>
      </c>
      <c r="B23569" s="5" t="str">
        <f>"LIBROS DE LABORAL"</f>
        <v>LIBROS DE LABORAL</v>
      </c>
      <c r="C23569" s="6">
        <v>6000</v>
      </c>
      <c r="D23569" s="5"/>
      <c r="E23569" s="5" t="str">
        <f t="shared" si="1171"/>
        <v>ASESOR JURIDICO-LABORAL-ELEONORA CONTRERAS</v>
      </c>
      <c r="F23569" s="5" t="str">
        <f>"Descripcion: REGIMEN JUDIRICO DE LOS EMPLEADOS OFICIALES Estado: Bueno Placa anterior: 000002142 Material:  Color:  Referencia:  Observacion:  Placa padre: Tipo adquisicion: Entidad"</f>
        <v>Descripcion: REGIMEN JUDIRICO DE LOS EMPLEADOS OFICIALES Estado: Bueno Placa anterior: 000002142 Material:  Color:  Referencia:  Observacion:  Placa padre: Tipo adquisicion: Entidad</v>
      </c>
      <c r="G23569" s="5"/>
    </row>
    <row r="23570" spans="1:7" ht="58.5" customHeight="1" x14ac:dyDescent="0.25">
      <c r="A23570" s="5" t="str">
        <f>"H0017421"</f>
        <v>H0017421</v>
      </c>
      <c r="B23570" s="5" t="str">
        <f>"LIBROS DE DERECHO EN GENERAL"</f>
        <v>LIBROS DE DERECHO EN GENERAL</v>
      </c>
      <c r="C23570" s="6">
        <v>32000</v>
      </c>
      <c r="D23570" s="5"/>
      <c r="E23570" s="5" t="str">
        <f t="shared" si="1171"/>
        <v>ASESOR JURIDICO-LABORAL-ELEONORA CONTRERAS</v>
      </c>
      <c r="F23570" s="5" t="str">
        <f>"Descripcion: TEORIA GENERAL DE LA PRUEBA JUDICIAL. DEVIS. 2 TOMOS Estado: Bueno Placa anterior: 000002145 Material:  Color:  Referencia:  Observacion:  Placa padre: Tipo adquisicion: Entidad"</f>
        <v>Descripcion: TEORIA GENERAL DE LA PRUEBA JUDICIAL. DEVIS. 2 TOMOS Estado: Bueno Placa anterior: 000002145 Material:  Color:  Referencia:  Observacion:  Placa padre: Tipo adquisicion: Entidad</v>
      </c>
      <c r="G23570" s="5"/>
    </row>
    <row r="23571" spans="1:7" ht="58.5" customHeight="1" x14ac:dyDescent="0.25">
      <c r="A23571" s="5" t="str">
        <f>"H0017422"</f>
        <v>H0017422</v>
      </c>
      <c r="B23571" s="5" t="str">
        <f>"LIBROS DE DERECHO EN GENERAL"</f>
        <v>LIBROS DE DERECHO EN GENERAL</v>
      </c>
      <c r="C23571" s="6">
        <v>32000</v>
      </c>
      <c r="D23571" s="5"/>
      <c r="E23571" s="5" t="str">
        <f t="shared" si="1171"/>
        <v>ASESOR JURIDICO-LABORAL-ELEONORA CONTRERAS</v>
      </c>
      <c r="F23571" s="5" t="str">
        <f>"Descripcion: TEORIA GENERAL DE LA PRUEBA JUDICIAL. DEVIS. 2 TOMOS Estado: Bueno Placa anterior: 000002144 Material:  Color:  Referencia:  Observacion:  Placa padre: Tipo adquisicion: Entidad"</f>
        <v>Descripcion: TEORIA GENERAL DE LA PRUEBA JUDICIAL. DEVIS. 2 TOMOS Estado: Bueno Placa anterior: 000002144 Material:  Color:  Referencia:  Observacion:  Placa padre: Tipo adquisicion: Entidad</v>
      </c>
      <c r="G23571" s="5"/>
    </row>
    <row r="23572" spans="1:7" ht="58.5" customHeight="1" x14ac:dyDescent="0.25">
      <c r="A23572" s="5" t="str">
        <f>"H0017423"</f>
        <v>H0017423</v>
      </c>
      <c r="B23572" s="5" t="str">
        <f>"LIBROS DE LABORAL"</f>
        <v>LIBROS DE LABORAL</v>
      </c>
      <c r="C23572" s="6">
        <v>130000</v>
      </c>
      <c r="D23572" s="5"/>
      <c r="E23572" s="5" t="str">
        <f t="shared" si="1171"/>
        <v>ASESOR JURIDICO-LABORAL-ELEONORA CONTRERAS</v>
      </c>
      <c r="F23572" s="5" t="str">
        <f>"Descripcion: LA RESPONSABILIDAD DE LOS SERVIDORES PUBLICOS (AUTOR AYALA) Estado: Bueno Placa anterior: 000024902 Material:  Color:  Referencia:  Observacion:  Placa padre: Tipo adquisicion: Entidad"</f>
        <v>Descripcion: LA RESPONSABILIDAD DE LOS SERVIDORES PUBLICOS (AUTOR AYALA) Estado: Bueno Placa anterior: 000024902 Material:  Color:  Referencia:  Observacion:  Placa padre: Tipo adquisicion: Entidad</v>
      </c>
      <c r="G23572" s="5"/>
    </row>
    <row r="23573" spans="1:7" ht="58.5" customHeight="1" x14ac:dyDescent="0.25">
      <c r="A23573" s="5" t="str">
        <f>"H0017424"</f>
        <v>H0017424</v>
      </c>
      <c r="B23573" s="5" t="str">
        <f>"LIBRO DE CONTRATACION"</f>
        <v>LIBRO DE CONTRATACION</v>
      </c>
      <c r="C23573" s="6">
        <v>90000</v>
      </c>
      <c r="D23573" s="5"/>
      <c r="E23573" s="5" t="str">
        <f t="shared" si="1171"/>
        <v>ASESOR JURIDICO-LABORAL-ELEONORA CONTRERAS</v>
      </c>
      <c r="F23573" s="5" t="str">
        <f>"Descripcion: EL REGIMEN JURIDICO DE LOS CONTRATOS ESTATALES Estado: Bueno Placa anterior: 000024903 Material:  Color:  Referencia:  Observacion:  Placa padre: Tipo adquisicion: Entidad"</f>
        <v>Descripcion: EL REGIMEN JURIDICO DE LOS CONTRATOS ESTATALES Estado: Bueno Placa anterior: 000024903 Material:  Color:  Referencia:  Observacion:  Placa padre: Tipo adquisicion: Entidad</v>
      </c>
      <c r="G23573" s="5"/>
    </row>
    <row r="23574" spans="1:7" ht="58.5" customHeight="1" x14ac:dyDescent="0.25">
      <c r="A23574" s="5" t="str">
        <f>"H0017425"</f>
        <v>H0017425</v>
      </c>
      <c r="B23574" s="5" t="str">
        <f>"MANUALES (LIBRO GUIA)"</f>
        <v>MANUALES (LIBRO GUIA)</v>
      </c>
      <c r="C23574" s="6">
        <v>45000</v>
      </c>
      <c r="D23574" s="5"/>
      <c r="E23574" s="5" t="str">
        <f t="shared" si="1171"/>
        <v>ASESOR JURIDICO-LABORAL-ELEONORA CONTRERAS</v>
      </c>
      <c r="F23574" s="5" t="str">
        <f>"Descripcion: GUIA PRACTICA DE LA ADMINISTRACION PUBLICA Estado: Bueno Placa anterior: 000024904 Material:  Color:  Referencia:  Observacion:  Placa padre: Tipo adquisicion: Entidad"</f>
        <v>Descripcion: GUIA PRACTICA DE LA ADMINISTRACION PUBLICA Estado: Bueno Placa anterior: 000024904 Material:  Color:  Referencia:  Observacion:  Placa padre: Tipo adquisicion: Entidad</v>
      </c>
      <c r="G23574" s="5"/>
    </row>
    <row r="23575" spans="1:7" ht="58.5" customHeight="1" x14ac:dyDescent="0.25">
      <c r="A23575" s="5" t="str">
        <f>"H0017428"</f>
        <v>H0017428</v>
      </c>
      <c r="B23575" s="5" t="str">
        <f>"LIBROS DE LABORAL"</f>
        <v>LIBROS DE LABORAL</v>
      </c>
      <c r="C23575" s="6">
        <v>18000</v>
      </c>
      <c r="D23575" s="5"/>
      <c r="E23575" s="5" t="str">
        <f t="shared" si="1171"/>
        <v>ASESOR JURIDICO-LABORAL-ELEONORA CONTRERAS</v>
      </c>
      <c r="F23575" s="5" t="str">
        <f>"Descripcion: DERECHO COLECTIVO - 2 TOMOS. GONZALEZ Estado: Bueno Placa anterior: 000002121 Material:  Color:  Referencia:  Observacion:  Placa padre: Tipo adquisicion: Entidad"</f>
        <v>Descripcion: DERECHO COLECTIVO - 2 TOMOS. GONZALEZ Estado: Bueno Placa anterior: 000002121 Material:  Color:  Referencia:  Observacion:  Placa padre: Tipo adquisicion: Entidad</v>
      </c>
      <c r="G23575" s="5"/>
    </row>
    <row r="23576" spans="1:7" ht="58.5" customHeight="1" x14ac:dyDescent="0.25">
      <c r="A23576" s="5" t="str">
        <f>"H0017429"</f>
        <v>H0017429</v>
      </c>
      <c r="B23576" s="5" t="str">
        <f>"LIBROS DE LABORAL"</f>
        <v>LIBROS DE LABORAL</v>
      </c>
      <c r="C23576" s="6">
        <v>18000</v>
      </c>
      <c r="D23576" s="5"/>
      <c r="E23576" s="5" t="str">
        <f t="shared" si="1171"/>
        <v>ASESOR JURIDICO-LABORAL-ELEONORA CONTRERAS</v>
      </c>
      <c r="F23576" s="5" t="str">
        <f>"Descripcion: DERECHO COLECTIVO - 2 TOMOS. GONZALEZ Estado: Bueno Placa anterior: 000002120 Material:  Color:  Referencia:  Observacion:  Placa padre: Tipo adquisicion: Entidad"</f>
        <v>Descripcion: DERECHO COLECTIVO - 2 TOMOS. GONZALEZ Estado: Bueno Placa anterior: 000002120 Material:  Color:  Referencia:  Observacion:  Placa padre: Tipo adquisicion: Entidad</v>
      </c>
      <c r="G23576" s="5"/>
    </row>
    <row r="23577" spans="1:7" ht="58.5" customHeight="1" x14ac:dyDescent="0.25">
      <c r="A23577" s="5" t="str">
        <f>"H0017431"</f>
        <v>H0017431</v>
      </c>
      <c r="B23577" s="5" t="str">
        <f>"LIBROS DE LABORAL"</f>
        <v>LIBROS DE LABORAL</v>
      </c>
      <c r="C23577" s="6">
        <v>5500</v>
      </c>
      <c r="D23577" s="5"/>
      <c r="E23577" s="5" t="str">
        <f t="shared" si="1171"/>
        <v>ASESOR JURIDICO-LABORAL-ELEONORA CONTRERAS</v>
      </c>
      <c r="F23577" s="5" t="str">
        <f>"Descripcion: CURSO DE DERECHO PROCESAL LABORAL. RODRIGUEZ Estado: Bueno Placa anterior: 000002118 Material:  Color:  Referencia:  Observacion:  Placa padre: Tipo adquisicion: Entidad"</f>
        <v>Descripcion: CURSO DE DERECHO PROCESAL LABORAL. RODRIGUEZ Estado: Bueno Placa anterior: 000002118 Material:  Color:  Referencia:  Observacion:  Placa padre: Tipo adquisicion: Entidad</v>
      </c>
      <c r="G23577" s="5"/>
    </row>
    <row r="23578" spans="1:7" ht="58.5" customHeight="1" x14ac:dyDescent="0.25">
      <c r="A23578" s="5" t="str">
        <f>"H0017433"</f>
        <v>H0017433</v>
      </c>
      <c r="B23578" s="5" t="str">
        <f>"LIBROS DE LABORAL"</f>
        <v>LIBROS DE LABORAL</v>
      </c>
      <c r="C23578" s="6">
        <v>5000</v>
      </c>
      <c r="D23578" s="5"/>
      <c r="E23578" s="5" t="str">
        <f t="shared" si="1171"/>
        <v>ASESOR JURIDICO-LABORAL-ELEONORA CONTRERAS</v>
      </c>
      <c r="F23578" s="5" t="str">
        <f>"Descripcion: CURSO DE DERECHO COLECTIVO DEL TRABAJO. ESCUDERO Estado: Bueno Placa anterior: 000002116 Material:  Color:  Referencia:  Observacion:  Placa padre: Tipo adquisicion: Entidad"</f>
        <v>Descripcion: CURSO DE DERECHO COLECTIVO DEL TRABAJO. ESCUDERO Estado: Bueno Placa anterior: 000002116 Material:  Color:  Referencia:  Observacion:  Placa padre: Tipo adquisicion: Entidad</v>
      </c>
      <c r="G23578" s="5"/>
    </row>
    <row r="23579" spans="1:7" ht="58.5" customHeight="1" x14ac:dyDescent="0.25">
      <c r="A23579" s="5" t="str">
        <f>"H0017435"</f>
        <v>H0017435</v>
      </c>
      <c r="B23579" s="5" t="str">
        <f>"LIBROS DERECHO CONSTITUCIONAL"</f>
        <v>LIBROS DERECHO CONSTITUCIONAL</v>
      </c>
      <c r="C23579" s="6">
        <v>11000</v>
      </c>
      <c r="D23579" s="5"/>
      <c r="E23579" s="5" t="str">
        <f t="shared" si="1171"/>
        <v>ASESOR JURIDICO-LABORAL-ELEONORA CONTRERAS</v>
      </c>
      <c r="F23579" s="5" t="str">
        <f>"Descripcion: CONSTITUYENTE Y CONSTITUCION DEL 91 R. BALLEN Estado: Bueno Placa anterior: 000002114 Material:  Color:  Referencia:  Observacion:  Placa padre: Tipo adquisicion: Entidad"</f>
        <v>Descripcion: CONSTITUYENTE Y CONSTITUCION DEL 91 R. BALLEN Estado: Bueno Placa anterior: 000002114 Material:  Color:  Referencia:  Observacion:  Placa padre: Tipo adquisicion: Entidad</v>
      </c>
      <c r="G23579" s="5"/>
    </row>
    <row r="23580" spans="1:7" ht="58.5" customHeight="1" x14ac:dyDescent="0.25">
      <c r="A23580" s="5" t="str">
        <f>"H0017439"</f>
        <v>H0017439</v>
      </c>
      <c r="B23580" s="5" t="str">
        <f>"LIBROS DE DERECHO ADMINISTRATIVO"</f>
        <v>LIBROS DE DERECHO ADMINISTRATIVO</v>
      </c>
      <c r="C23580" s="6">
        <v>3000</v>
      </c>
      <c r="D23580" s="5"/>
      <c r="E23580" s="5" t="str">
        <f t="shared" si="1171"/>
        <v>ASESOR JURIDICO-LABORAL-ELEONORA CONTRERAS</v>
      </c>
      <c r="F23580" s="5" t="str">
        <f>"Descripcion: CAUSALES DE ANULACION DE LOS ACTOS ADMINISTRA. Estado: Bueno Placa anterior: 000002102 Material:  Color:  Referencia:  Observacion:  Placa padre: Tipo adquisicion: Entidad"</f>
        <v>Descripcion: CAUSALES DE ANULACION DE LOS ACTOS ADMINISTRA. Estado: Bueno Placa anterior: 000002102 Material:  Color:  Referencia:  Observacion:  Placa padre: Tipo adquisicion: Entidad</v>
      </c>
      <c r="G23580" s="5"/>
    </row>
    <row r="23581" spans="1:7" ht="58.5" customHeight="1" x14ac:dyDescent="0.25">
      <c r="A23581" s="5" t="str">
        <f>"H0017440"</f>
        <v>H0017440</v>
      </c>
      <c r="B23581" s="5" t="str">
        <f>"LIBROS DE DERECHO ADMINISTRATIVO"</f>
        <v>LIBROS DE DERECHO ADMINISTRATIVO</v>
      </c>
      <c r="C23581" s="6">
        <v>9000</v>
      </c>
      <c r="D23581" s="5"/>
      <c r="E23581" s="5" t="str">
        <f t="shared" si="1171"/>
        <v>ASESOR JURIDICO-LABORAL-ELEONORA CONTRERAS</v>
      </c>
      <c r="F23581" s="5" t="str">
        <f>"Descripcion: ARBITRARIEDAD POLITICA CAUSA NULIDAD ACTOS ADM. PENAGOS Estado: Bueno Placa anterior: 000002101 Material:  Color:  Referencia:  Observacion:  Placa padre: Tipo adquisicion: Entidad"</f>
        <v>Descripcion: ARBITRARIEDAD POLITICA CAUSA NULIDAD ACTOS ADM. PENAGOS Estado: Bueno Placa anterior: 000002101 Material:  Color:  Referencia:  Observacion:  Placa padre: Tipo adquisicion: Entidad</v>
      </c>
      <c r="G23581" s="5"/>
    </row>
    <row r="23582" spans="1:7" ht="58.5" customHeight="1" x14ac:dyDescent="0.25">
      <c r="A23582" s="5" t="str">
        <f>"H0017451"</f>
        <v>H0017451</v>
      </c>
      <c r="B23582" s="5" t="str">
        <f t="shared" ref="B23582:B23589" si="1172">"DICCIONARIO JURIDICO"</f>
        <v>DICCIONARIO JURIDICO</v>
      </c>
      <c r="C23582" s="6">
        <v>712000</v>
      </c>
      <c r="D23582" s="5"/>
      <c r="E23582" s="5" t="str">
        <f t="shared" si="1171"/>
        <v>ASESOR JURIDICO-LABORAL-ELEONORA CONTRERAS</v>
      </c>
      <c r="F23582" s="5" t="str">
        <f>"Descripcion: DICCIONARIO DE DERECHO USUAL., AUTOR CABANELLAS 8 TOMOSI TOMO Estado: Bueno Placa anterior: 000002131 Material:  Color:  Referencia:  Observacion:  Placa padre: Tipo adquisicion: Entidad"</f>
        <v>Descripcion: DICCIONARIO DE DERECHO USUAL., AUTOR CABANELLAS 8 TOMOSI TOMO Estado: Bueno Placa anterior: 000002131 Material:  Color:  Referencia:  Observacion:  Placa padre: Tipo adquisicion: Entidad</v>
      </c>
      <c r="G23582" s="5"/>
    </row>
    <row r="23583" spans="1:7" ht="58.5" customHeight="1" x14ac:dyDescent="0.25">
      <c r="A23583" s="5" t="str">
        <f>"H0017452"</f>
        <v>H0017452</v>
      </c>
      <c r="B23583" s="5" t="str">
        <f t="shared" si="1172"/>
        <v>DICCIONARIO JURIDICO</v>
      </c>
      <c r="C23583" s="6">
        <v>712000</v>
      </c>
      <c r="D23583" s="5"/>
      <c r="E23583" s="5" t="str">
        <f t="shared" si="1171"/>
        <v>ASESOR JURIDICO-LABORAL-ELEONORA CONTRERAS</v>
      </c>
      <c r="F23583" s="5" t="str">
        <f>"Descripcion: DICCIONARIO DE DERECHO USUAL., AUTOR CABANELLAS 8 TOMOSII TOMO Estado: Bueno Placa anterior: 000002130 Material:  Color:  Referencia:  Observacion:  Placa padre: Tipo adquisicion: Entidad"</f>
        <v>Descripcion: DICCIONARIO DE DERECHO USUAL., AUTOR CABANELLAS 8 TOMOSII TOMO Estado: Bueno Placa anterior: 000002130 Material:  Color:  Referencia:  Observacion:  Placa padre: Tipo adquisicion: Entidad</v>
      </c>
      <c r="G23583" s="5"/>
    </row>
    <row r="23584" spans="1:7" ht="58.5" customHeight="1" x14ac:dyDescent="0.25">
      <c r="A23584" s="5" t="str">
        <f>"H0017453"</f>
        <v>H0017453</v>
      </c>
      <c r="B23584" s="5" t="str">
        <f t="shared" si="1172"/>
        <v>DICCIONARIO JURIDICO</v>
      </c>
      <c r="C23584" s="6">
        <v>712000</v>
      </c>
      <c r="D23584" s="5"/>
      <c r="E23584" s="5" t="str">
        <f t="shared" si="1171"/>
        <v>ASESOR JURIDICO-LABORAL-ELEONORA CONTRERAS</v>
      </c>
      <c r="F23584" s="5" t="str">
        <f>"Descripcion: DICCIONARIO DE DERECHO USUAL., AUTOR CABANELLAS 8 TOMOSIII TOMO Estado: Bueno Placa anterior: 000002129 Material:  Color:  Referencia:  Observacion:  Placa padre: Tipo adquisicion: Entidad"</f>
        <v>Descripcion: DICCIONARIO DE DERECHO USUAL., AUTOR CABANELLAS 8 TOMOSIII TOMO Estado: Bueno Placa anterior: 000002129 Material:  Color:  Referencia:  Observacion:  Placa padre: Tipo adquisicion: Entidad</v>
      </c>
      <c r="G23584" s="5"/>
    </row>
    <row r="23585" spans="1:7" ht="58.5" customHeight="1" x14ac:dyDescent="0.25">
      <c r="A23585" s="5" t="str">
        <f>"H0017454"</f>
        <v>H0017454</v>
      </c>
      <c r="B23585" s="5" t="str">
        <f t="shared" si="1172"/>
        <v>DICCIONARIO JURIDICO</v>
      </c>
      <c r="C23585" s="6">
        <v>712000</v>
      </c>
      <c r="D23585" s="5"/>
      <c r="E23585" s="5" t="str">
        <f t="shared" si="1171"/>
        <v>ASESOR JURIDICO-LABORAL-ELEONORA CONTRERAS</v>
      </c>
      <c r="F23585" s="5" t="str">
        <f>"Descripcion: DICCIONARIO DE DERECHO USUAL., AUTOR CABANELLAS 8 TOMOSIV TOMO Estado: Bueno Placa anterior: 000002128 Material:  Color:  Referencia:  Observacion:  Placa padre: Tipo adquisicion: Entidad"</f>
        <v>Descripcion: DICCIONARIO DE DERECHO USUAL., AUTOR CABANELLAS 8 TOMOSIV TOMO Estado: Bueno Placa anterior: 000002128 Material:  Color:  Referencia:  Observacion:  Placa padre: Tipo adquisicion: Entidad</v>
      </c>
      <c r="G23585" s="5"/>
    </row>
    <row r="23586" spans="1:7" ht="58.5" customHeight="1" x14ac:dyDescent="0.25">
      <c r="A23586" s="5" t="str">
        <f>"H0017455"</f>
        <v>H0017455</v>
      </c>
      <c r="B23586" s="5" t="str">
        <f t="shared" si="1172"/>
        <v>DICCIONARIO JURIDICO</v>
      </c>
      <c r="C23586" s="6">
        <v>712000</v>
      </c>
      <c r="D23586" s="5"/>
      <c r="E23586" s="5" t="str">
        <f t="shared" si="1171"/>
        <v>ASESOR JURIDICO-LABORAL-ELEONORA CONTRERAS</v>
      </c>
      <c r="F23586" s="5" t="str">
        <f>"Descripcion: DICCIONARIO DE DERECHO USUAL., AUTOR CABANELLAS 8 TOMOSV TOMO Estado: Bueno Placa anterior: 000002127 Material:  Color:  Referencia:  Observacion:  Placa padre: Tipo adquisicion: Entidad"</f>
        <v>Descripcion: DICCIONARIO DE DERECHO USUAL., AUTOR CABANELLAS 8 TOMOSV TOMO Estado: Bueno Placa anterior: 000002127 Material:  Color:  Referencia:  Observacion:  Placa padre: Tipo adquisicion: Entidad</v>
      </c>
      <c r="G23586" s="5"/>
    </row>
    <row r="23587" spans="1:7" ht="58.5" customHeight="1" x14ac:dyDescent="0.25">
      <c r="A23587" s="5" t="str">
        <f>"H0017456"</f>
        <v>H0017456</v>
      </c>
      <c r="B23587" s="5" t="str">
        <f t="shared" si="1172"/>
        <v>DICCIONARIO JURIDICO</v>
      </c>
      <c r="C23587" s="6">
        <v>712000</v>
      </c>
      <c r="D23587" s="5"/>
      <c r="E23587" s="5" t="str">
        <f t="shared" ref="E23587:E23604" si="1173">"ASESOR JURIDICO-LABORAL-ELEONORA CONTRERAS"</f>
        <v>ASESOR JURIDICO-LABORAL-ELEONORA CONTRERAS</v>
      </c>
      <c r="F23587" s="5" t="str">
        <f>"Descripcion: DICCIONARIO DE DERECHO USUAL., AUTOR CABANELLAS 8 TOMOSVI TOMO Estado: Bueno Placa anterior: 000002126 Material:  Color:  Referencia:  Observacion:  Placa padre: Tipo adquisicion: Entidad"</f>
        <v>Descripcion: DICCIONARIO DE DERECHO USUAL., AUTOR CABANELLAS 8 TOMOSVI TOMO Estado: Bueno Placa anterior: 000002126 Material:  Color:  Referencia:  Observacion:  Placa padre: Tipo adquisicion: Entidad</v>
      </c>
      <c r="G23587" s="5"/>
    </row>
    <row r="23588" spans="1:7" ht="58.5" customHeight="1" x14ac:dyDescent="0.25">
      <c r="A23588" s="5" t="str">
        <f>"H0017457"</f>
        <v>H0017457</v>
      </c>
      <c r="B23588" s="5" t="str">
        <f t="shared" si="1172"/>
        <v>DICCIONARIO JURIDICO</v>
      </c>
      <c r="C23588" s="6">
        <v>712000</v>
      </c>
      <c r="D23588" s="5"/>
      <c r="E23588" s="5" t="str">
        <f t="shared" si="1173"/>
        <v>ASESOR JURIDICO-LABORAL-ELEONORA CONTRERAS</v>
      </c>
      <c r="F23588" s="5" t="str">
        <f>"Descripcion: DICCIONARIO DE DERECHO USUAL., AUTOR CABANELLAS 8 TOMOSVII TOMO Estado: Bueno Placa anterior: 000002125 Material:  Color:  Referencia:  Observacion:  Placa padre: Tipo adquisicion: Entidad"</f>
        <v>Descripcion: DICCIONARIO DE DERECHO USUAL., AUTOR CABANELLAS 8 TOMOSVII TOMO Estado: Bueno Placa anterior: 000002125 Material:  Color:  Referencia:  Observacion:  Placa padre: Tipo adquisicion: Entidad</v>
      </c>
      <c r="G23588" s="5"/>
    </row>
    <row r="23589" spans="1:7" ht="58.5" customHeight="1" x14ac:dyDescent="0.25">
      <c r="A23589" s="5" t="str">
        <f>"H0017458"</f>
        <v>H0017458</v>
      </c>
      <c r="B23589" s="5" t="str">
        <f t="shared" si="1172"/>
        <v>DICCIONARIO JURIDICO</v>
      </c>
      <c r="C23589" s="6">
        <v>712000</v>
      </c>
      <c r="D23589" s="5"/>
      <c r="E23589" s="5" t="str">
        <f t="shared" si="1173"/>
        <v>ASESOR JURIDICO-LABORAL-ELEONORA CONTRERAS</v>
      </c>
      <c r="F23589" s="5" t="str">
        <f>"Descripcion: DICCIONARIO DE DERECHO USUAL., AUTOR CABANELLAS 8 TOMOSVIII TOMO Estado: Bueno Placa anterior: 000002124 Material:  Color:  Referencia:  Observacion:  Placa padre: Tipo adquisicion: Entidad"</f>
        <v>Descripcion: DICCIONARIO DE DERECHO USUAL., AUTOR CABANELLAS 8 TOMOSVIII TOMO Estado: Bueno Placa anterior: 000002124 Material:  Color:  Referencia:  Observacion:  Placa padre: Tipo adquisicion: Entidad</v>
      </c>
      <c r="G23589" s="5"/>
    </row>
    <row r="23590" spans="1:7" ht="58.5" customHeight="1" x14ac:dyDescent="0.25">
      <c r="A23590" s="5" t="str">
        <f>"H0017459"</f>
        <v>H0017459</v>
      </c>
      <c r="B23590" s="5" t="str">
        <f>"ALBUM FOTOGRAFICO"</f>
        <v>ALBUM FOTOGRAFICO</v>
      </c>
      <c r="C23590" s="6">
        <v>4900</v>
      </c>
      <c r="D23590" s="5"/>
      <c r="E23590" s="5" t="str">
        <f t="shared" si="1173"/>
        <v>ASESOR JURIDICO-LABORAL-ELEONORA CONTRERAS</v>
      </c>
      <c r="F23590" s="5" t="str">
        <f>"Descripcion: ALBUM FOTOGRAFIAS ANTIGUAS DEL HUEMPARA DACAR DEL INVENTARIO Estado: DELICADO Placa anterior: 000002148 Material:  Color:  Referencia:  Observacion:  Placa padre: Tipo adquisicion: Entidad"</f>
        <v>Descripcion: ALBUM FOTOGRAFIAS ANTIGUAS DEL HUEMPARA DACAR DEL INVENTARIO Estado: DELICADO Placa anterior: 000002148 Material:  Color:  Referencia:  Observacion:  Placa padre: Tipo adquisicion: Entidad</v>
      </c>
      <c r="G23590" s="5"/>
    </row>
    <row r="23591" spans="1:7" ht="58.5" customHeight="1" x14ac:dyDescent="0.25">
      <c r="A23591" s="5" t="str">
        <f>"H0017460"</f>
        <v>H0017460</v>
      </c>
      <c r="B23591" s="5" t="str">
        <f>"MANUALES (LIBRO GUIA)"</f>
        <v>MANUALES (LIBRO GUIA)</v>
      </c>
      <c r="C23591" s="6">
        <v>45000</v>
      </c>
      <c r="D23591" s="5"/>
      <c r="E23591" s="5" t="str">
        <f t="shared" si="1173"/>
        <v>ASESOR JURIDICO-LABORAL-ELEONORA CONTRERAS</v>
      </c>
      <c r="F23591" s="5" t="str">
        <f>"Descripcion: MANUAL DEL PROCESO ORDINARIO CONTENCIOSO ADMINISTRATIVO Estado: Bueno Placa anterior: 000024905 Material:  Color:  Referencia:  Observacion:  Placa padre: Tipo adquisicion: Entidad"</f>
        <v>Descripcion: MANUAL DEL PROCESO ORDINARIO CONTENCIOSO ADMINISTRATIVO Estado: Bueno Placa anterior: 000024905 Material:  Color:  Referencia:  Observacion:  Placa padre: Tipo adquisicion: Entidad</v>
      </c>
      <c r="G23591" s="5"/>
    </row>
    <row r="23592" spans="1:7" ht="58.5" customHeight="1" x14ac:dyDescent="0.25">
      <c r="A23592" s="5" t="str">
        <f>"H0018607"</f>
        <v>H0018607</v>
      </c>
      <c r="B23592" s="5" t="str">
        <f>"ARCHIVADOR DE MADERA 2 GAVETAS"</f>
        <v>ARCHIVADOR DE MADERA 2 GAVETAS</v>
      </c>
      <c r="C23592" s="6">
        <v>19899</v>
      </c>
      <c r="D23592" s="5"/>
      <c r="E23592" s="5" t="str">
        <f t="shared" si="1173"/>
        <v>ASESOR JURIDICO-LABORAL-ELEONORA CONTRERAS</v>
      </c>
      <c r="F23592" s="5" t="str">
        <f>"Descripcion: ARCHIVADOR DE MADERA 2 GAVETAS Estado: Bueno Placa anterior: 000002064 Material: MADERA Color:  Referencia:  Observacion:  Placa padre: Tipo adquisicion: Entidad"</f>
        <v>Descripcion: ARCHIVADOR DE MADERA 2 GAVETAS Estado: Bueno Placa anterior: 000002064 Material: MADERA Color:  Referencia:  Observacion:  Placa padre: Tipo adquisicion: Entidad</v>
      </c>
      <c r="G23592" s="5"/>
    </row>
    <row r="23593" spans="1:7" ht="58.5" customHeight="1" x14ac:dyDescent="0.25">
      <c r="A23593" s="5" t="str">
        <f>"H0018609"</f>
        <v>H0018609</v>
      </c>
      <c r="B23593" s="5" t="str">
        <f>"AIRE ACONDICIONADO 18000 BTU"</f>
        <v>AIRE ACONDICIONADO 18000 BTU</v>
      </c>
      <c r="C23593" s="6">
        <v>3009040</v>
      </c>
      <c r="D23593" s="5" t="s">
        <v>146</v>
      </c>
      <c r="E23593" s="5" t="str">
        <f t="shared" si="1173"/>
        <v>ASESOR JURIDICO-LABORAL-ELEONORA CONTRERAS</v>
      </c>
      <c r="F23593" s="5" t="str">
        <f>"Descripcion: AIRE ACONDICIONADO CAPACIDAD 18000 BTU. Equipo tipo mini Split, consola de lujo, con control remoto y uso refrigerante ecologico.sistema inverter.Debe incluir display para ser monitoreado por sistema central Estado: Bueno Placa anterior: 0000"&amp; "36370 Material: PASTA Color: BLANCO Referencia: 401S014R050R Observacion:  Placa padre: Tipo adquisicion: Entidad"</f>
        <v>Descripcion: AIRE ACONDICIONADO CAPACIDAD 18000 BTU. Equipo tipo mini Split, consola de lujo, con control remoto y uso refrigerante ecologico.sistema inverter.Debe incluir display para ser monitoreado por sistema central Estado: Bueno Placa anterior: 000036370 Material: PASTA Color: BLANCO Referencia: 401S014R050R Observacion:  Placa padre: Tipo adquisicion: Entidad</v>
      </c>
      <c r="G23593" s="5" t="str">
        <f>"VM122CENB3"</f>
        <v>VM122CENB3</v>
      </c>
    </row>
    <row r="23594" spans="1:7" ht="58.5" customHeight="1" x14ac:dyDescent="0.25">
      <c r="A23594" s="5" t="str">
        <f>"H0018613"</f>
        <v>H0018613</v>
      </c>
      <c r="B23594" s="5" t="str">
        <f>"CAMA DESCANSO (SOFACAMA)"</f>
        <v>CAMA DESCANSO (SOFACAMA)</v>
      </c>
      <c r="C23594" s="6">
        <v>73150</v>
      </c>
      <c r="D23594" s="5"/>
      <c r="E23594" s="5" t="str">
        <f t="shared" si="1173"/>
        <v>ASESOR JURIDICO-LABORAL-ELEONORA CONTRERAS</v>
      </c>
      <c r="F23594" s="5" t="str">
        <f>"Descripcion: SOFA CAMATAPIZADO CUERO NEGRO Estado: Bueno Placa anterior: 000002061 Material: MADERA Color: NEGRO Referencia:  Observacion:  Placa padre: Tipo adquisicion: Entidad"</f>
        <v>Descripcion: SOFA CAMATAPIZADO CUERO NEGRO Estado: Bueno Placa anterior: 000002061 Material: MADERA Color: NEGRO Referencia:  Observacion:  Placa padre: Tipo adquisicion: Entidad</v>
      </c>
      <c r="G23594" s="5"/>
    </row>
    <row r="23595" spans="1:7" ht="58.5" customHeight="1" x14ac:dyDescent="0.25">
      <c r="A23595" s="5" t="str">
        <f>"H0025407"</f>
        <v>H0025407</v>
      </c>
      <c r="B23595"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595" s="6">
        <v>312156</v>
      </c>
      <c r="D23595" s="5" t="s">
        <v>10</v>
      </c>
      <c r="E23595" s="5" t="str">
        <f t="shared" si="1173"/>
        <v>ASESOR JURIDICO-LABORAL-ELEONORA CONTRERAS</v>
      </c>
      <c r="F23595" s="5"/>
      <c r="G23595" s="5"/>
    </row>
    <row r="23596" spans="1:7" ht="58.5" customHeight="1" x14ac:dyDescent="0.25">
      <c r="A23596" s="5" t="str">
        <f>"H0029347"</f>
        <v>H0029347</v>
      </c>
      <c r="B23596" s="5" t="str">
        <f>"SILLA HERGONOMICA CON SISTEMA HIDRAULICO"</f>
        <v>SILLA HERGONOMICA CON SISTEMA HIDRAULICO</v>
      </c>
      <c r="C23596" s="6">
        <v>174900</v>
      </c>
      <c r="D23596" s="5" t="s">
        <v>89</v>
      </c>
      <c r="E23596" s="5" t="str">
        <f t="shared" si="1173"/>
        <v>ASESOR JURIDICO-LABORAL-ELEONORA CONTRERAS</v>
      </c>
      <c r="F23596" s="5"/>
      <c r="G23596" s="5"/>
    </row>
    <row r="23597" spans="1:7" ht="58.5" customHeight="1" x14ac:dyDescent="0.25">
      <c r="A23597" s="5" t="str">
        <f>"H0029530"</f>
        <v>H0029530</v>
      </c>
      <c r="B23597" s="5" t="s">
        <v>878</v>
      </c>
      <c r="C23597" s="6">
        <v>398650</v>
      </c>
      <c r="D23597" s="5" t="s">
        <v>14</v>
      </c>
      <c r="E23597" s="5" t="str">
        <f t="shared" si="1173"/>
        <v>ASESOR JURIDICO-LABORAL-ELEONORA CONTRERAS</v>
      </c>
      <c r="F23597" s="5"/>
      <c r="G23597" s="5"/>
    </row>
    <row r="23598" spans="1:7" ht="58.5" customHeight="1" x14ac:dyDescent="0.25">
      <c r="A23598" s="5" t="str">
        <f>"H0029595"</f>
        <v>H0029595</v>
      </c>
      <c r="B2359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598" s="6">
        <v>252400.18</v>
      </c>
      <c r="D23598" s="5" t="s">
        <v>15</v>
      </c>
      <c r="E23598" s="5" t="str">
        <f t="shared" si="1173"/>
        <v>ASESOR JURIDICO-LABORAL-ELEONORA CONTRERAS</v>
      </c>
      <c r="F23598" s="5"/>
      <c r="G23598" s="5"/>
    </row>
    <row r="23599" spans="1:7" ht="58.5" customHeight="1" x14ac:dyDescent="0.25">
      <c r="A23599" s="5" t="str">
        <f>"H0029597"</f>
        <v>H0029597</v>
      </c>
      <c r="B2359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599" s="6">
        <v>252400.18</v>
      </c>
      <c r="D23599" s="5" t="s">
        <v>15</v>
      </c>
      <c r="E23599" s="5" t="str">
        <f t="shared" si="1173"/>
        <v>ASESOR JURIDICO-LABORAL-ELEONORA CONTRERAS</v>
      </c>
      <c r="F23599" s="5"/>
      <c r="G23599" s="5"/>
    </row>
    <row r="23600" spans="1:7" ht="58.5" customHeight="1" x14ac:dyDescent="0.25">
      <c r="A23600" s="5" t="str">
        <f>"H0029599"</f>
        <v>H0029599</v>
      </c>
      <c r="B2360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00" s="6">
        <v>252400.18</v>
      </c>
      <c r="D23600" s="5" t="s">
        <v>15</v>
      </c>
      <c r="E23600" s="5" t="str">
        <f t="shared" si="1173"/>
        <v>ASESOR JURIDICO-LABORAL-ELEONORA CONTRERAS</v>
      </c>
      <c r="F23600" s="5"/>
      <c r="G23600" s="5"/>
    </row>
    <row r="23601" spans="1:7" ht="58.5" customHeight="1" x14ac:dyDescent="0.25">
      <c r="A23601" s="5" t="str">
        <f>"H0029600"</f>
        <v>H0029600</v>
      </c>
      <c r="B2360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01" s="6">
        <v>252400.18</v>
      </c>
      <c r="D23601" s="5" t="s">
        <v>15</v>
      </c>
      <c r="E23601" s="5" t="str">
        <f t="shared" si="1173"/>
        <v>ASESOR JURIDICO-LABORAL-ELEONORA CONTRERAS</v>
      </c>
      <c r="F23601" s="5"/>
      <c r="G23601" s="5"/>
    </row>
    <row r="23602" spans="1:7" ht="58.5" customHeight="1" x14ac:dyDescent="0.25">
      <c r="A23602" s="5" t="str">
        <f>"H0035956"</f>
        <v>H0035956</v>
      </c>
      <c r="B23602" s="5" t="str">
        <f>"SILLA GERENTE NIZA MEC. BASCULANTE CON BRAZOS."</f>
        <v>SILLA GERENTE NIZA MEC. BASCULANTE CON BRAZOS.</v>
      </c>
      <c r="C23602" s="6">
        <v>639999.86</v>
      </c>
      <c r="D23602" s="5" t="s">
        <v>281</v>
      </c>
      <c r="E23602" s="5" t="str">
        <f t="shared" si="1173"/>
        <v>ASESOR JURIDICO-LABORAL-ELEONORA CONTRERAS</v>
      </c>
      <c r="F23602" s="5"/>
      <c r="G23602" s="5"/>
    </row>
    <row r="23603" spans="1:7" ht="58.5" customHeight="1" x14ac:dyDescent="0.25">
      <c r="A23603" s="5" t="str">
        <f>"H0036547"</f>
        <v>H0036547</v>
      </c>
      <c r="B23603"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3603" s="6">
        <v>6307000</v>
      </c>
      <c r="D23603" s="5" t="s">
        <v>48</v>
      </c>
      <c r="E23603" s="5" t="str">
        <f t="shared" si="1173"/>
        <v>ASESOR JURIDICO-LABORAL-ELEONORA CONTRERAS</v>
      </c>
      <c r="F23603" s="5"/>
      <c r="G23603" s="5" t="str">
        <f>"VZ4680G"</f>
        <v>VZ4680G</v>
      </c>
    </row>
    <row r="23604" spans="1:7" ht="58.5" customHeight="1" x14ac:dyDescent="0.25">
      <c r="A23604" s="5" t="str">
        <f>"H0037851"</f>
        <v>H0037851</v>
      </c>
      <c r="B23604" s="5" t="str">
        <f>"SILLA GERENTE NIZA MEC. BASCULANTE CON BRAZOS."</f>
        <v>SILLA GERENTE NIZA MEC. BASCULANTE CON BRAZOS.</v>
      </c>
      <c r="C23604" s="6">
        <v>710000.01</v>
      </c>
      <c r="D23604" s="5" t="s">
        <v>30</v>
      </c>
      <c r="E23604" s="5" t="str">
        <f t="shared" si="1173"/>
        <v>ASESOR JURIDICO-LABORAL-ELEONORA CONTRERAS</v>
      </c>
      <c r="F23604" s="5"/>
      <c r="G23604" s="5"/>
    </row>
    <row r="23605" spans="1:7" ht="58.5" customHeight="1" x14ac:dyDescent="0.25">
      <c r="A23605" s="5" t="str">
        <f>"B0000755"</f>
        <v>B0000755</v>
      </c>
      <c r="B23605" s="5" t="str">
        <f>"LICENCIA OFFICE HOME AND BUSINEES"</f>
        <v>LICENCIA OFFICE HOME AND BUSINEES</v>
      </c>
      <c r="C23605" s="6">
        <v>440800</v>
      </c>
      <c r="D23605" s="5" t="s">
        <v>1</v>
      </c>
      <c r="E23605" s="5" t="str">
        <f t="shared" ref="E23605:E23636" si="1174">"ACTISALUD-CONTRATACION BIENES Y SERVICIOS-JORGE DAVILA LUNA"</f>
        <v>ACTISALUD-CONTRATACION BIENES Y SERVICIOS-JORGE DAVILA LUNA</v>
      </c>
      <c r="F23605" s="5" t="str">
        <f>"Descripcion: LICENCIA OFFICE HOME AND BUSIMESS 2013 Estado: Excelente Placa anterior: 000030644 Material:  Color:  Referencia:  Observacion:  Placa padre: H0005439Tipo adquisicion: Entidad"</f>
        <v>Descripcion: LICENCIA OFFICE HOME AND BUSIMESS 2013 Estado: Excelente Placa anterior: 000030644 Material:  Color:  Referencia:  Observacion:  Placa padre: H0005439Tipo adquisicion: Entidad</v>
      </c>
      <c r="G23605" s="5"/>
    </row>
    <row r="23606" spans="1:7" ht="58.5" customHeight="1" x14ac:dyDescent="0.25">
      <c r="A23606" s="5" t="str">
        <f>"H0002676"</f>
        <v>H0002676</v>
      </c>
      <c r="B23606" s="5" t="str">
        <f>"ENRUTADOR (ROUTER) INALAMBRICO (ACCES POINT)"</f>
        <v>ENRUTADOR (ROUTER) INALAMBRICO (ACCES POINT)</v>
      </c>
      <c r="C23606" s="6">
        <v>323640</v>
      </c>
      <c r="D23606" s="5"/>
      <c r="E23606" s="5" t="str">
        <f t="shared" si="1174"/>
        <v>ACTISALUD-CONTRATACION BIENES Y SERVICIOS-JORGE DAVILA LUNA</v>
      </c>
      <c r="F23606" s="5" t="str">
        <f>"Descripcion:INDOOR ACCESS POINT, 3 ANTENAS DE COLOR GRIS, CABLE DE RED, CARGADOR Estado: Excelente Placa anterior: 000037077 Material: PASTA Color: BLANCO Y GRIS Referencia:  Observacion:  Placa padre:  Tipo adquisicion : Entidad"</f>
        <v>Descripcion:INDOOR ACCESS POINT, 3 ANTENAS DE COLOR GRIS, CABLE DE RED, CARGADOR Estado: Excelente Placa anterior: 000037077 Material: PASTA Color: BLANCO Y GRIS Referencia:  Observacion:  Placa padre:  Tipo adquisicion : Entidad</v>
      </c>
      <c r="G23606" s="5" t="str">
        <f>"TL-WA901ND"</f>
        <v>TL-WA901ND</v>
      </c>
    </row>
    <row r="23607" spans="1:7" ht="58.5" customHeight="1" x14ac:dyDescent="0.25">
      <c r="A23607" s="5" t="str">
        <f>"H0003298"</f>
        <v>H0003298</v>
      </c>
      <c r="B23607" s="5" t="str">
        <f>"ESTANTE METALICO 7 ENTREPAÑOS"</f>
        <v>ESTANTE METALICO 7 ENTREPAÑOS</v>
      </c>
      <c r="C23607" s="6">
        <v>281999</v>
      </c>
      <c r="D23607" s="5" t="s">
        <v>257</v>
      </c>
      <c r="E23607" s="5" t="str">
        <f t="shared" si="1174"/>
        <v>ACTISALUD-CONTRATACION BIENES Y SERVICIOS-JORGE DAVILA LUNA</v>
      </c>
      <c r="F23607" s="5" t="str">
        <f>"Descripcion: ESTANTES CONSTRUIDOS EN LAMINAS METALICAS SOLIDAS,  DE 0.94 CM DE ANCHO, CON ALTURA DE 2.20 MTS  Estado: Bueno Placa anterior: 000038851 Material: METALICO Color: GRIS Referencia:  Observacion:  Placa padre: Tipo adquisicion: Entidad"</f>
        <v>Descripcion: ESTANTES CONSTRUIDOS EN LAMINAS METALICAS SOLIDAS,  DE 0.94 CM DE ANCHO, CON ALTURA DE 2.20 MTS  Estado: Bueno Placa anterior: 000038851 Material: METALICO Color: GRIS Referencia:  Observacion:  Placa padre: Tipo adquisicion: Entidad</v>
      </c>
      <c r="G23607" s="5"/>
    </row>
    <row r="23608" spans="1:7" ht="58.5" customHeight="1" x14ac:dyDescent="0.25">
      <c r="A23608" s="5" t="str">
        <f>"H0003492"</f>
        <v>H0003492</v>
      </c>
      <c r="B23608" s="5" t="str">
        <f>"ESTANTE METALICO 6 ENTREPAÑOS"</f>
        <v>ESTANTE METALICO 6 ENTREPAÑOS</v>
      </c>
      <c r="C23608" s="6">
        <v>8840.07</v>
      </c>
      <c r="D23608" s="5"/>
      <c r="E23608" s="5" t="str">
        <f t="shared" si="1174"/>
        <v>ACTISALUD-CONTRATACION BIENES Y SERVICIOS-JORGE DAVILA LUNA</v>
      </c>
      <c r="F23608" s="5" t="str">
        <f>"Descripcion: ESTANTE METALICO Estado: Bueno Placa anterior: 000002372 Material: METALICO Color: GRIS Referencia:  Observacion: EL BIEN TIENE PLACA ANTERIOR  000001642, AUTORIZADO CONCILIAR EN CRUCE GENERAL Placa padre: Tipo adquisicion: Entidad"</f>
        <v>Descripcion: ESTANTE METALICO Estado: Bueno Placa anterior: 000002372 Material: METALICO Color: GRIS Referencia:  Observacion: EL BIEN TIENE PLACA ANTERIOR  000001642, AUTORIZADO CONCILIAR EN CRUCE GENERAL Placa padre: Tipo adquisicion: Entidad</v>
      </c>
      <c r="G23608" s="5"/>
    </row>
    <row r="23609" spans="1:7" ht="58.5" customHeight="1" x14ac:dyDescent="0.25">
      <c r="A23609" s="5" t="str">
        <f>"H0005174"</f>
        <v>H0005174</v>
      </c>
      <c r="B23609" s="5" t="str">
        <f>"SILLA INTERLOCUTORA (FIJA) SIN BRAZOS"</f>
        <v>SILLA INTERLOCUTORA (FIJA) SIN BRAZOS</v>
      </c>
      <c r="C23609" s="6">
        <v>71340</v>
      </c>
      <c r="D23609" s="5"/>
      <c r="E23609" s="5" t="str">
        <f t="shared" si="1174"/>
        <v>ACTISALUD-CONTRATACION BIENES Y SERVICIOS-JORGE DAVILA LUNA</v>
      </c>
      <c r="F23609" s="5" t="str">
        <f>"Descripcion: SILLA INTERLOCUTORA COSMOS SI-33, ESTRUCTURA EN TUBO REDONDO DE 1 CAL. 18 TAPIZADA EN PAÑO Estado: Bueno Placa anterior: 000022788 Material: METALICO Color: AZUL Referencia:  Observacion:  Placa padre: Tipo adquisicion: Entidad"</f>
        <v>Descripcion: SILLA INTERLOCUTORA COSMOS SI-33, ESTRUCTURA EN TUBO REDONDO DE 1 CAL. 18 TAPIZADA EN PAÑO Estado: Bueno Placa anterior: 000022788 Material: METALICO Color: AZUL Referencia:  Observacion:  Placa padre: Tipo adquisicion: Entidad</v>
      </c>
      <c r="G23609" s="5"/>
    </row>
    <row r="23610" spans="1:7" ht="58.5" customHeight="1" x14ac:dyDescent="0.25">
      <c r="A23610" s="5" t="str">
        <f>"H0005182"</f>
        <v>H0005182</v>
      </c>
      <c r="B23610" s="5" t="str">
        <f>"MESA METALICA AUXILIAR"</f>
        <v>MESA METALICA AUXILIAR</v>
      </c>
      <c r="C23610" s="6">
        <v>5200</v>
      </c>
      <c r="D23610" s="5"/>
      <c r="E23610" s="5" t="str">
        <f t="shared" si="1174"/>
        <v>ACTISALUD-CONTRATACION BIENES Y SERVICIOS-JORGE DAVILA LUNA</v>
      </c>
      <c r="F23610" s="5" t="str">
        <f>"Descripcion: 79X51X34FIJA Estado: Bueno Placa anterior: 000000722 Material: ACERO INOXIDABLE Color:  Referencia:  Observacion:  Placa padre: Tipo adquisicion: Entidad"</f>
        <v>Descripcion: 79X51X34FIJA Estado: Bueno Placa anterior: 000000722 Material: ACERO INOXIDABLE Color:  Referencia:  Observacion:  Placa padre: Tipo adquisicion: Entidad</v>
      </c>
      <c r="G23610" s="5"/>
    </row>
    <row r="23611" spans="1:7" ht="58.5" customHeight="1" x14ac:dyDescent="0.25">
      <c r="A23611" s="5" t="str">
        <f>"H0005190"</f>
        <v>H0005190</v>
      </c>
      <c r="B23611" s="5" t="str">
        <f>"MESA (SUPERFICIE) MODULAR"</f>
        <v>MESA (SUPERFICIE) MODULAR</v>
      </c>
      <c r="C23611" s="6">
        <v>77520</v>
      </c>
      <c r="D23611" s="5"/>
      <c r="E23611" s="5" t="str">
        <f t="shared" si="1174"/>
        <v>ACTISALUD-CONTRATACION BIENES Y SERVICIOS-JORGE DAVILA LUNA</v>
      </c>
      <c r="F23611" s="5" t="str">
        <f>"Descripcion: MESA PARA IMPRESORA Estado: Bueno Placa anterior: 000001369 Material: MADERA Color: BEIGE Referencia:  Observacion:  Placa padre: Tipo adquisicion: Entidad"</f>
        <v>Descripcion: MESA PARA IMPRESORA Estado: Bueno Placa anterior: 000001369 Material: MADERA Color: BEIGE Referencia:  Observacion:  Placa padre: Tipo adquisicion: Entidad</v>
      </c>
      <c r="G23611" s="5"/>
    </row>
    <row r="23612" spans="1:7" ht="58.5" customHeight="1" x14ac:dyDescent="0.25">
      <c r="A23612" s="5" t="str">
        <f>"H0005192"</f>
        <v>H0005192</v>
      </c>
      <c r="B23612" s="5" t="str">
        <f>"MULTIMUEBLE DE MADERA"</f>
        <v>MULTIMUEBLE DE MADERA</v>
      </c>
      <c r="C23612" s="6">
        <v>387931</v>
      </c>
      <c r="D23612" s="5"/>
      <c r="E23612" s="5" t="str">
        <f t="shared" si="1174"/>
        <v>ACTISALUD-CONTRATACION BIENES Y SERVICIOS-JORGE DAVILA LUNA</v>
      </c>
      <c r="F23612" s="5" t="str">
        <f>"Descripcion: BIBLIOTECA ESPECIAL 2 MTS X 1.20 MTS FONDO 30 CMS, ENTREPAÑOS SEPARADOS PARA AZ TAMAÑO OFICIO, COLOR NEGRO Estado: Excelente Placa anterior: 000032762 Material: MADERA Color:  Referencia:  Observacion:  Placa padre: Tipo adquisicion: Entidad"</f>
        <v>Descripcion: BIBLIOTECA ESPECIAL 2 MTS X 1.20 MTS FONDO 30 CMS, ENTREPAÑOS SEPARADOS PARA AZ TAMAÑO OFICIO, COLOR NEGRO Estado: Excelente Placa anterior: 000032762 Material: MADERA Color:  Referencia:  Observacion:  Placa padre: Tipo adquisicion: Entidad</v>
      </c>
      <c r="G23612" s="5"/>
    </row>
    <row r="23613" spans="1:7" ht="58.5" customHeight="1" x14ac:dyDescent="0.25">
      <c r="A23613" s="5" t="str">
        <f>"H0005193"</f>
        <v>H0005193</v>
      </c>
      <c r="B23613" s="5" t="str">
        <f>"MULTIMUEBLE DE MADERA"</f>
        <v>MULTIMUEBLE DE MADERA</v>
      </c>
      <c r="C23613" s="6">
        <v>387931</v>
      </c>
      <c r="D23613" s="5"/>
      <c r="E23613" s="5" t="str">
        <f t="shared" si="1174"/>
        <v>ACTISALUD-CONTRATACION BIENES Y SERVICIOS-JORGE DAVILA LUNA</v>
      </c>
      <c r="F23613" s="5" t="str">
        <f>"Descripcion: BIBLIOTECA ESPECIAL 2 MTS X 1.20 MTS FONDO 30 CMS, ENTREPAÑOS SEPARADOS PARA AZ TAMAÑO OFICIO, COLOR NEGRO Estado: Excelente Placa anterior: 000032699 Material: MADERA Color:  Referencia:  Observacion:  Placa padre: Tipo adquisicion: Entidad"</f>
        <v>Descripcion: BIBLIOTECA ESPECIAL 2 MTS X 1.20 MTS FONDO 30 CMS, ENTREPAÑOS SEPARADOS PARA AZ TAMAÑO OFICIO, COLOR NEGRO Estado: Excelente Placa anterior: 000032699 Material: MADERA Color:  Referencia:  Observacion:  Placa padre: Tipo adquisicion: Entidad</v>
      </c>
      <c r="G23613" s="5"/>
    </row>
    <row r="23614" spans="1:7" ht="58.5" customHeight="1" x14ac:dyDescent="0.25">
      <c r="A23614" s="5" t="str">
        <f>"H0005439"</f>
        <v>H0005439</v>
      </c>
      <c r="B23614" s="5" t="str">
        <f>"COMPUTADOR TODO EN UNO"</f>
        <v>COMPUTADOR TODO EN UNO</v>
      </c>
      <c r="C23614" s="6">
        <v>2470000</v>
      </c>
      <c r="D23614" s="5" t="s">
        <v>6</v>
      </c>
      <c r="E23614" s="5" t="str">
        <f t="shared" si="1174"/>
        <v>ACTISALUD-CONTRATACION BIENES Y SERVICIOS-JORGE DAVILA LUNA</v>
      </c>
      <c r="F23614" s="5" t="str">
        <f>"Descripcion: EQUIPO DE COMPUTO TODO EN UNO CON PROCESADOR INTEL i5 Estado: Excelente Placa anterior: 000036975 Material: PLASTICO Color: NEGRO Referencia: 10BD00FDLS Observacion:  Placa anterior:, Placa nueva=H0005440, Descripcion:., Serial:8259083, Marca"&amp; ":LENOVO, Modelo:KU-0225, Material:PLASTICO, Color:NEGRO,   Referencia:54Y9424, Placa anterior:, Placa nueva=H0005441, Descripcion:OPTICO, Serial:44PD016, Marca:LENOVO, Modelo:MOEUUOA, Material:PLASTICO, Color:NEGRO,   Referencia:SM50F76959, Placa anterior"&amp; ":000030644, Placa nueva=B0000755, Descripcion:LICENCIA OFFICE HOME AND BUSIMESS 2013, Serial:99994785865494, Marca:, Modelo:, Material:, Color:,   Referencia: Placa padre: Tipo adquisicion: Entidad"</f>
        <v>Descripcion: EQUIPO DE COMPUTO TODO EN UNO CON PROCESADOR INTEL i5 Estado: Excelente Placa anterior: 000036975 Material: PLASTICO Color: NEGRO Referencia: 10BD00FDLS Observacion:  Placa anterior:, Placa nueva=H0005440, Descripcion:., Serial:8259083, Marca:LENOVO, Modelo:KU-0225, Material:PLASTICO, Color:NEGRO,   Referencia:54Y9424, Placa anterior:, Placa nueva=H0005441, Descripcion:OPTICO, Serial:44PD016, Marca:LENOVO, Modelo:MOEUUOA, Material:PLASTICO, Color:NEGRO,   Referencia:SM50F76959, Placa anterior:000030644, Placa nueva=B0000755, Descripcion:LICENCIA OFFICE HOME AND BUSIMESS 2013, Serial:99994785865494, Marca:, Modelo:, Material:, Color:,   Referencia: Placa padre: Tipo adquisicion: Entidad</v>
      </c>
      <c r="G23614" s="5" t="str">
        <f>"00FDLS"</f>
        <v>00FDLS</v>
      </c>
    </row>
    <row r="23615" spans="1:7" ht="58.5" customHeight="1" x14ac:dyDescent="0.25">
      <c r="A23615" s="5" t="str">
        <f>"H0006079"</f>
        <v>H0006079</v>
      </c>
      <c r="B23615" s="5" t="str">
        <f>"MUEBLE METALICO"</f>
        <v>MUEBLE METALICO</v>
      </c>
      <c r="C23615" s="6">
        <v>21466.67</v>
      </c>
      <c r="D23615" s="5"/>
      <c r="E23615" s="5" t="str">
        <f t="shared" si="1174"/>
        <v>ACTISALUD-CONTRATACION BIENES Y SERVICIOS-JORGE DAVILA LUNA</v>
      </c>
      <c r="F23615" s="5" t="str">
        <f>"Descripcion: MESA PARA TELEVISOR Y BETAMAX, METALICA CON MESON EN FORMICA Estado: Bueno Placa anterior: 000000187 Material: METALICA CON MESON EN FORMICA Color: MADERA CLARO, CROMADO Referencia:  Observacion:  Placa padre: Tipo adquisicion: Entidad"</f>
        <v>Descripcion: MESA PARA TELEVISOR Y BETAMAX, METALICA CON MESON EN FORMICA Estado: Bueno Placa anterior: 000000187 Material: METALICA CON MESON EN FORMICA Color: MADERA CLARO, CROMADO Referencia:  Observacion:  Placa padre: Tipo adquisicion: Entidad</v>
      </c>
      <c r="G23615" s="5"/>
    </row>
    <row r="23616" spans="1:7" ht="58.5" customHeight="1" x14ac:dyDescent="0.25">
      <c r="A23616" s="5" t="str">
        <f>"H0007121"</f>
        <v>H0007121</v>
      </c>
      <c r="B23616" s="5" t="str">
        <f>"SILLA INTERLOCUTORA (FIJA) SIN BRAZOS"</f>
        <v>SILLA INTERLOCUTORA (FIJA) SIN BRAZOS</v>
      </c>
      <c r="C23616" s="6">
        <v>220400</v>
      </c>
      <c r="D23616" s="5" t="s">
        <v>5</v>
      </c>
      <c r="E23616" s="5" t="str">
        <f t="shared" si="1174"/>
        <v>ACTISALUD-CONTRATACION BIENES Y SERVICIOS-JORGE DAVILA LUNA</v>
      </c>
      <c r="F23616" s="5" t="str">
        <f>"Descripcion: SILLAS INTERLOCUTORAS TAPIZADO DE ALTA DENSIDAD EN ASIENTO Y ESPALDAR PAÑO AZUL Estado: Bueno Placa anterior: 000029522 Material: METALICO Color: AZUL Referencia:  Observacion:  Placa padre: Tipo adquisicion: Entidad"</f>
        <v>Descripcion: SILLAS INTERLOCUTORAS TAPIZADO DE ALTA DENSIDAD EN ASIENTO Y ESPALDAR PAÑO AZUL Estado: Bueno Placa anterior: 000029522 Material: METALICO Color: AZUL Referencia:  Observacion:  Placa padre: Tipo adquisicion: Entidad</v>
      </c>
      <c r="G23616" s="5"/>
    </row>
    <row r="23617" spans="1:7" ht="58.5" customHeight="1" x14ac:dyDescent="0.25">
      <c r="A23617" s="5" t="str">
        <f>"H0010355"</f>
        <v>H0010355</v>
      </c>
      <c r="B23617" s="5" t="str">
        <f>"ESCALERILLA DE 2 PASOS"</f>
        <v>ESCALERILLA DE 2 PASOS</v>
      </c>
      <c r="C23617" s="6">
        <v>100000</v>
      </c>
      <c r="D23617" s="5" t="s">
        <v>49</v>
      </c>
      <c r="E23617" s="5" t="str">
        <f t="shared" si="1174"/>
        <v>ACTISALUD-CONTRATACION BIENES Y SERVICIOS-JORGE DAVILA LUNA</v>
      </c>
      <c r="F23617" s="5" t="str">
        <f>"Descripcion: ESCALERILLA DE DOS PASO EN TUBO REDONDO Estado: Bueno Placa anterior: 000029851 Material: METALICO Y FORMICA Color: GRIS Y BLANCO Referencia:  Observacion:  Placa padre: Tipo adquisicion: Entidad"</f>
        <v>Descripcion: ESCALERILLA DE DOS PASO EN TUBO REDONDO Estado: Bueno Placa anterior: 000029851 Material: METALICO Y FORMICA Color: GRIS Y BLANCO Referencia:  Observacion:  Placa padre: Tipo adquisicion: Entidad</v>
      </c>
      <c r="G23617" s="5"/>
    </row>
    <row r="23618" spans="1:7" ht="58.5" customHeight="1" x14ac:dyDescent="0.25">
      <c r="A23618" s="5" t="str">
        <f>"H0010958"</f>
        <v>H0010958</v>
      </c>
      <c r="B23618" s="5" t="str">
        <f>"COMPUTADOR TODO EN UNO"</f>
        <v>COMPUTADOR TODO EN UNO</v>
      </c>
      <c r="C23618" s="6">
        <v>2470000</v>
      </c>
      <c r="D23618" s="5" t="s">
        <v>6</v>
      </c>
      <c r="E23618" s="5" t="str">
        <f t="shared" si="1174"/>
        <v>ACTISALUD-CONTRATACION BIENES Y SERVICIOS-JORGE DAVILA LUNA</v>
      </c>
      <c r="F23618" s="5" t="str">
        <f>"Descripcion:EQUIPO DE COMPUTO TODO EN UNO CON PROCESADOR INTEL i5 Estado: Bueno Placa anterior: 000037033 Material: PASTA Color: NEGRO Referencia:  Observacion:  Placa anterior:, Placa nueva=H0010960, Descripcion:MOUSE 3 BOTONES OPTICO, Serial:44MG078, Ma"&amp; "rca:LENOVO, Modelo:, Material:PASTA, Color:NEGRO,   Referencia:, Placa anterior:, Placa nueva=H0010959, Descripcion:TECLADO USB PARA COMPUTADOR, Serial:8258929, Marca:LENOVO, Modelo:KU-0225, Material:PASTA, Color:NEGRO,   Referencia: Placa padre:  Tipo ad"&amp; "quisicion : Entidad"</f>
        <v>Descripcion:EQUIPO DE COMPUTO TODO EN UNO CON PROCESADOR INTEL i5 Estado: Bueno Placa anterior: 000037033 Material: PASTA Color: NEGRO Referencia:  Observacion:  Placa anterior:, Placa nueva=H0010960, Descripcion:MOUSE 3 BOTONES OPTICO, Serial:44MG078, Marca:LENOVO, Modelo:, Material:PASTA, Color:NEGRO,   Referencia:, Placa anterior:, Placa nueva=H0010959, Descripcion:TECLADO USB PARA COMPUTADOR, Serial:8258929, Marca:LENOVO, Modelo:KU-0225, Material:PASTA, Color:NEGRO,   Referencia: Placa padre:  Tipo adquisicion : Entidad</v>
      </c>
      <c r="G23618" s="5" t="str">
        <f>"1020-00FDLS"</f>
        <v>1020-00FDLS</v>
      </c>
    </row>
    <row r="23619" spans="1:7" ht="58.5" customHeight="1" x14ac:dyDescent="0.25">
      <c r="A23619" s="5" t="str">
        <f>"H0016158"</f>
        <v>H0016158</v>
      </c>
      <c r="B23619" s="5" t="str">
        <f>"SILLA INTERLOCUTORA (FIJA) SIN BRAZOS"</f>
        <v>SILLA INTERLOCUTORA (FIJA) SIN BRAZOS</v>
      </c>
      <c r="C23619" s="6">
        <v>220400</v>
      </c>
      <c r="D23619" s="5" t="s">
        <v>5</v>
      </c>
      <c r="E23619" s="5" t="str">
        <f t="shared" si="1174"/>
        <v>ACTISALUD-CONTRATACION BIENES Y SERVICIOS-JORGE DAVILA LUNA</v>
      </c>
      <c r="F23619" s="5" t="str">
        <f>"Descripcion:SILLA INTERLOCUTORA TAPIZADA ASIENTO Y ESPALDAR HERRAJE PINTURA ELETROSTATICA Estado: Bueno Placa anterior: 000028668 Material: PLASTICA Color: AZUL Referencia:  Observacion:  Placa padre:  Tipo adquisicion : Entidad"</f>
        <v>Descripcion:SILLA INTERLOCUTORA TAPIZADA ASIENTO Y ESPALDAR HERRAJE PINTURA ELETROSTATICA Estado: Bueno Placa anterior: 000028668 Material: PLASTICA Color: AZUL Referencia:  Observacion:  Placa padre:  Tipo adquisicion : Entidad</v>
      </c>
      <c r="G23619" s="5"/>
    </row>
    <row r="23620" spans="1:7" ht="58.5" customHeight="1" x14ac:dyDescent="0.25">
      <c r="A23620" s="5" t="str">
        <f>"H0016486"</f>
        <v>H0016486</v>
      </c>
      <c r="B23620" s="5" t="str">
        <f>"SILLA INTERLOCUTORA (FIJA) SIN BRAZOS"</f>
        <v>SILLA INTERLOCUTORA (FIJA) SIN BRAZOS</v>
      </c>
      <c r="C23620" s="6">
        <v>89552</v>
      </c>
      <c r="D23620" s="5"/>
      <c r="E23620" s="5" t="str">
        <f t="shared" si="1174"/>
        <v>ACTISALUD-CONTRATACION BIENES Y SERVICIOS-JORGE DAVILA LUNA</v>
      </c>
      <c r="F23620" s="5" t="str">
        <f>"Descripcion: SILLA FIJA TAPIZADA EN LONA Estado: Bueno Placa anterior: 000022556 Material: METALICA, PASTA Y LONA Color: NEGRO Y VERDE Referencia:  Observacion:  Placa padre: Tipo adquisicion: Entidad"</f>
        <v>Descripcion: SILLA FIJA TAPIZADA EN LONA Estado: Bueno Placa anterior: 000022556 Material: METALICA, PASTA Y LONA Color: NEGRO Y VERDE Referencia:  Observacion:  Placa padre: Tipo adquisicion: Entidad</v>
      </c>
      <c r="G23620" s="5"/>
    </row>
    <row r="23621" spans="1:7" ht="58.5" customHeight="1" x14ac:dyDescent="0.25">
      <c r="A23621" s="5" t="str">
        <f>"H0016747"</f>
        <v>H0016747</v>
      </c>
      <c r="B23621" s="5" t="str">
        <f>"MULTIMUEBLE ENCHAPADO EN FORMICA"</f>
        <v>MULTIMUEBLE ENCHAPADO EN FORMICA</v>
      </c>
      <c r="C23621" s="6">
        <v>600000</v>
      </c>
      <c r="D23621" s="5"/>
      <c r="E23621" s="5" t="str">
        <f t="shared" si="1174"/>
        <v>ACTISALUD-CONTRATACION BIENES Y SERVICIOS-JORGE DAVILA LUNA</v>
      </c>
      <c r="F23621" s="5" t="str">
        <f>"Descripcion: MUEBLE ARCHIVO AZ VERTICALES Estado: Bueno Placa anterior: 000033461 Material: MADEFLEX Color:  BEIGS Y MARCO EN NEGRO Referencia:  Observacion: MUEBLE CON CUATRO ENTREPAÑOS Y DOS COMPARTIMIENTOS Placa padre: Tipo adquisicion: Entidad"</f>
        <v>Descripcion: MUEBLE ARCHIVO AZ VERTICALES Estado: Bueno Placa anterior: 000033461 Material: MADEFLEX Color:  BEIGS Y MARCO EN NEGRO Referencia:  Observacion: MUEBLE CON CUATRO ENTREPAÑOS Y DOS COMPARTIMIENTOS Placa padre: Tipo adquisicion: Entidad</v>
      </c>
      <c r="G23621" s="5"/>
    </row>
    <row r="23622" spans="1:7" ht="58.5" customHeight="1" x14ac:dyDescent="0.25">
      <c r="A23622" s="5" t="str">
        <f>"H0022003"</f>
        <v>H0022003</v>
      </c>
      <c r="B2362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22" s="6">
        <v>241999.98</v>
      </c>
      <c r="D23622" s="5" t="s">
        <v>499</v>
      </c>
      <c r="E23622" s="5" t="str">
        <f t="shared" si="1174"/>
        <v>ACTISALUD-CONTRATACION BIENES Y SERVICIOS-JORGE DAVILA LUNA</v>
      </c>
      <c r="F23622" s="5"/>
      <c r="G23622" s="5"/>
    </row>
    <row r="23623" spans="1:7" ht="58.5" customHeight="1" x14ac:dyDescent="0.25">
      <c r="A23623" s="5" t="str">
        <f>"H0022171"</f>
        <v>H0022171</v>
      </c>
      <c r="B2362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23" s="6">
        <v>241999.99</v>
      </c>
      <c r="D23623" s="5" t="s">
        <v>810</v>
      </c>
      <c r="E23623" s="5" t="str">
        <f t="shared" si="1174"/>
        <v>ACTISALUD-CONTRATACION BIENES Y SERVICIOS-JORGE DAVILA LUNA</v>
      </c>
      <c r="F23623" s="5"/>
      <c r="G23623" s="5"/>
    </row>
    <row r="23624" spans="1:7" ht="58.5" customHeight="1" x14ac:dyDescent="0.25">
      <c r="A23624" s="5" t="str">
        <f>"H0022188"</f>
        <v>H0022188</v>
      </c>
      <c r="B2362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24" s="6">
        <v>241999.99</v>
      </c>
      <c r="D23624" s="5" t="s">
        <v>499</v>
      </c>
      <c r="E23624" s="5" t="str">
        <f t="shared" si="1174"/>
        <v>ACTISALUD-CONTRATACION BIENES Y SERVICIOS-JORGE DAVILA LUNA</v>
      </c>
      <c r="F23624" s="5"/>
      <c r="G23624" s="5"/>
    </row>
    <row r="23625" spans="1:7" ht="58.5" customHeight="1" x14ac:dyDescent="0.25">
      <c r="A23625" s="5" t="str">
        <f>"H0022191"</f>
        <v>H0022191</v>
      </c>
      <c r="B2362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25" s="6">
        <v>241999.99</v>
      </c>
      <c r="D23625" s="5" t="s">
        <v>499</v>
      </c>
      <c r="E23625" s="5" t="str">
        <f t="shared" si="1174"/>
        <v>ACTISALUD-CONTRATACION BIENES Y SERVICIOS-JORGE DAVILA LUNA</v>
      </c>
      <c r="F23625" s="5"/>
      <c r="G23625" s="5"/>
    </row>
    <row r="23626" spans="1:7" ht="58.5" customHeight="1" x14ac:dyDescent="0.25">
      <c r="A23626" s="5" t="str">
        <f>"H0022235"</f>
        <v>H0022235</v>
      </c>
      <c r="B23626"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26" s="6">
        <v>241999.99</v>
      </c>
      <c r="D23626" s="5" t="s">
        <v>499</v>
      </c>
      <c r="E23626" s="5" t="str">
        <f t="shared" si="1174"/>
        <v>ACTISALUD-CONTRATACION BIENES Y SERVICIOS-JORGE DAVILA LUNA</v>
      </c>
      <c r="F23626" s="5"/>
      <c r="G23626" s="5"/>
    </row>
    <row r="23627" spans="1:7" ht="58.5" customHeight="1" x14ac:dyDescent="0.25">
      <c r="A23627" s="5" t="str">
        <f>"H0024520"</f>
        <v>H0024520</v>
      </c>
      <c r="B2362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3627" s="6">
        <v>2600000</v>
      </c>
      <c r="D23627" s="5" t="s">
        <v>36</v>
      </c>
      <c r="E23627" s="5" t="str">
        <f t="shared" si="1174"/>
        <v>ACTISALUD-CONTRATACION BIENES Y SERVICIOS-JORGE DAVILA LUNA</v>
      </c>
      <c r="F23627" s="5"/>
      <c r="G23627" s="5"/>
    </row>
    <row r="23628" spans="1:7" ht="58.5" customHeight="1" x14ac:dyDescent="0.25">
      <c r="A23628" s="5" t="str">
        <f>"H0024585"</f>
        <v>H0024585</v>
      </c>
      <c r="B2362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3628" s="6">
        <v>2600000</v>
      </c>
      <c r="D23628" s="5" t="s">
        <v>36</v>
      </c>
      <c r="E23628" s="5" t="str">
        <f t="shared" si="1174"/>
        <v>ACTISALUD-CONTRATACION BIENES Y SERVICIOS-JORGE DAVILA LUNA</v>
      </c>
      <c r="F23628" s="5"/>
      <c r="G23628" s="5"/>
    </row>
    <row r="23629" spans="1:7" ht="58.5" customHeight="1" x14ac:dyDescent="0.25">
      <c r="A23629" s="5" t="str">
        <f>"H0025062"</f>
        <v>H0025062</v>
      </c>
      <c r="B23629"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3629" s="6">
        <v>742400</v>
      </c>
      <c r="D23629" s="5" t="s">
        <v>578</v>
      </c>
      <c r="E23629" s="5" t="str">
        <f t="shared" si="1174"/>
        <v>ACTISALUD-CONTRATACION BIENES Y SERVICIOS-JORGE DAVILA LUNA</v>
      </c>
      <c r="F23629" s="5"/>
      <c r="G23629" s="5"/>
    </row>
    <row r="23630" spans="1:7" ht="58.5" customHeight="1" x14ac:dyDescent="0.25">
      <c r="A23630" s="5" t="str">
        <f>"H0025435"</f>
        <v>H0025435</v>
      </c>
      <c r="B23630"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630" s="6">
        <v>312156</v>
      </c>
      <c r="D23630" s="5" t="s">
        <v>10</v>
      </c>
      <c r="E23630" s="5" t="str">
        <f t="shared" si="1174"/>
        <v>ACTISALUD-CONTRATACION BIENES Y SERVICIOS-JORGE DAVILA LUNA</v>
      </c>
      <c r="F23630" s="5"/>
      <c r="G23630" s="5"/>
    </row>
    <row r="23631" spans="1:7" ht="58.5" customHeight="1" x14ac:dyDescent="0.25">
      <c r="A23631" s="5" t="str">
        <f>"H0025684"</f>
        <v>H0025684</v>
      </c>
      <c r="B23631" s="5" t="str">
        <f t="shared" ref="B23631:B23637" si="1175">"SILLA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23631" s="6">
        <v>666400</v>
      </c>
      <c r="D23631" s="5" t="s">
        <v>658</v>
      </c>
      <c r="E23631" s="5" t="str">
        <f t="shared" si="1174"/>
        <v>ACTISALUD-CONTRATACION BIENES Y SERVICIOS-JORGE DAVILA LUNA</v>
      </c>
      <c r="F23631" s="5"/>
      <c r="G23631" s="5"/>
    </row>
    <row r="23632" spans="1:7" ht="58.5" customHeight="1" x14ac:dyDescent="0.25">
      <c r="A23632" s="5" t="str">
        <f>"H0025686"</f>
        <v>H0025686</v>
      </c>
      <c r="B23632" s="5" t="str">
        <f t="shared" si="1175"/>
        <v>SILLA REF. JOB ESPALDA ALTA, BASE NEGRA, CUATRO BLOQUEOS, AJUSTE EN RECUESTE DE SILLA CUANDO NO ESTA EN POSICION FIJA, GRADUACION EN ALTURA DE ASIENTO , BRAZO GRADUABLE EN ALTURA, GIRA Y DESLIZA, ESPALDAR GRADUABLE EN ALTURA</v>
      </c>
      <c r="C23632" s="6">
        <v>666400</v>
      </c>
      <c r="D23632" s="5" t="s">
        <v>658</v>
      </c>
      <c r="E23632" s="5" t="str">
        <f t="shared" si="1174"/>
        <v>ACTISALUD-CONTRATACION BIENES Y SERVICIOS-JORGE DAVILA LUNA</v>
      </c>
      <c r="F23632" s="5"/>
      <c r="G23632" s="5"/>
    </row>
    <row r="23633" spans="1:7" ht="58.5" customHeight="1" x14ac:dyDescent="0.25">
      <c r="A23633" s="5" t="str">
        <f>"H0025688"</f>
        <v>H0025688</v>
      </c>
      <c r="B23633" s="5" t="str">
        <f t="shared" si="1175"/>
        <v>SILLA REF. JOB ESPALDA ALTA, BASE NEGRA, CUATRO BLOQUEOS, AJUSTE EN RECUESTE DE SILLA CUANDO NO ESTA EN POSICION FIJA, GRADUACION EN ALTURA DE ASIENTO , BRAZO GRADUABLE EN ALTURA, GIRA Y DESLIZA, ESPALDAR GRADUABLE EN ALTURA</v>
      </c>
      <c r="C23633" s="6">
        <v>666400</v>
      </c>
      <c r="D23633" s="5" t="s">
        <v>658</v>
      </c>
      <c r="E23633" s="5" t="str">
        <f t="shared" si="1174"/>
        <v>ACTISALUD-CONTRATACION BIENES Y SERVICIOS-JORGE DAVILA LUNA</v>
      </c>
      <c r="F23633" s="5"/>
      <c r="G23633" s="5"/>
    </row>
    <row r="23634" spans="1:7" ht="58.5" customHeight="1" x14ac:dyDescent="0.25">
      <c r="A23634" s="5" t="str">
        <f>"H0025689"</f>
        <v>H0025689</v>
      </c>
      <c r="B23634" s="5" t="str">
        <f t="shared" si="1175"/>
        <v>SILLA REF. JOB ESPALDA ALTA, BASE NEGRA, CUATRO BLOQUEOS, AJUSTE EN RECUESTE DE SILLA CUANDO NO ESTA EN POSICION FIJA, GRADUACION EN ALTURA DE ASIENTO , BRAZO GRADUABLE EN ALTURA, GIRA Y DESLIZA, ESPALDAR GRADUABLE EN ALTURA</v>
      </c>
      <c r="C23634" s="6">
        <v>666400</v>
      </c>
      <c r="D23634" s="5" t="s">
        <v>658</v>
      </c>
      <c r="E23634" s="5" t="str">
        <f t="shared" si="1174"/>
        <v>ACTISALUD-CONTRATACION BIENES Y SERVICIOS-JORGE DAVILA LUNA</v>
      </c>
      <c r="F23634" s="5"/>
      <c r="G23634" s="5"/>
    </row>
    <row r="23635" spans="1:7" ht="58.5" customHeight="1" x14ac:dyDescent="0.25">
      <c r="A23635" s="5" t="str">
        <f>"H0025691"</f>
        <v>H0025691</v>
      </c>
      <c r="B23635" s="5" t="str">
        <f t="shared" si="1175"/>
        <v>SILLA REF. JOB ESPALDA ALTA, BASE NEGRA, CUATRO BLOQUEOS, AJUSTE EN RECUESTE DE SILLA CUANDO NO ESTA EN POSICION FIJA, GRADUACION EN ALTURA DE ASIENTO , BRAZO GRADUABLE EN ALTURA, GIRA Y DESLIZA, ESPALDAR GRADUABLE EN ALTURA</v>
      </c>
      <c r="C23635" s="6">
        <v>666400</v>
      </c>
      <c r="D23635" s="5" t="s">
        <v>658</v>
      </c>
      <c r="E23635" s="5" t="str">
        <f t="shared" si="1174"/>
        <v>ACTISALUD-CONTRATACION BIENES Y SERVICIOS-JORGE DAVILA LUNA</v>
      </c>
      <c r="F23635" s="5"/>
      <c r="G23635" s="5"/>
    </row>
    <row r="23636" spans="1:7" ht="58.5" customHeight="1" x14ac:dyDescent="0.25">
      <c r="A23636" s="5" t="str">
        <f>"H0025692"</f>
        <v>H0025692</v>
      </c>
      <c r="B23636" s="5" t="str">
        <f t="shared" si="1175"/>
        <v>SILLA REF. JOB ESPALDA ALTA, BASE NEGRA, CUATRO BLOQUEOS, AJUSTE EN RECUESTE DE SILLA CUANDO NO ESTA EN POSICION FIJA, GRADUACION EN ALTURA DE ASIENTO , BRAZO GRADUABLE EN ALTURA, GIRA Y DESLIZA, ESPALDAR GRADUABLE EN ALTURA</v>
      </c>
      <c r="C23636" s="6">
        <v>666400</v>
      </c>
      <c r="D23636" s="5" t="s">
        <v>658</v>
      </c>
      <c r="E23636" s="5" t="str">
        <f t="shared" si="1174"/>
        <v>ACTISALUD-CONTRATACION BIENES Y SERVICIOS-JORGE DAVILA LUNA</v>
      </c>
      <c r="F23636" s="5"/>
      <c r="G23636" s="5"/>
    </row>
    <row r="23637" spans="1:7" ht="58.5" customHeight="1" x14ac:dyDescent="0.25">
      <c r="A23637" s="5" t="str">
        <f>"H0025693"</f>
        <v>H0025693</v>
      </c>
      <c r="B23637" s="5" t="str">
        <f t="shared" si="1175"/>
        <v>SILLA REF. JOB ESPALDA ALTA, BASE NEGRA, CUATRO BLOQUEOS, AJUSTE EN RECUESTE DE SILLA CUANDO NO ESTA EN POSICION FIJA, GRADUACION EN ALTURA DE ASIENTO , BRAZO GRADUABLE EN ALTURA, GIRA Y DESLIZA, ESPALDAR GRADUABLE EN ALTURA</v>
      </c>
      <c r="C23637" s="6">
        <v>666400</v>
      </c>
      <c r="D23637" s="5" t="s">
        <v>658</v>
      </c>
      <c r="E23637" s="5" t="str">
        <f t="shared" ref="E23637:E23668" si="1176">"ACTISALUD-CONTRATACION BIENES Y SERVICIOS-JORGE DAVILA LUNA"</f>
        <v>ACTISALUD-CONTRATACION BIENES Y SERVICIOS-JORGE DAVILA LUNA</v>
      </c>
      <c r="F23637" s="5"/>
      <c r="G23637" s="5"/>
    </row>
    <row r="23638" spans="1:7" ht="58.5" customHeight="1" x14ac:dyDescent="0.25">
      <c r="A23638" s="5" t="str">
        <f>"H0025728"</f>
        <v>H0025728</v>
      </c>
      <c r="B23638" s="5" t="str">
        <f>"ESCANER DE ALTA VELOCIDAD 35 PPM"</f>
        <v>ESCANER DE ALTA VELOCIDAD 35 PPM</v>
      </c>
      <c r="C23638" s="6">
        <v>1666000</v>
      </c>
      <c r="D23638" s="5" t="s">
        <v>822</v>
      </c>
      <c r="E23638" s="5" t="str">
        <f t="shared" si="1176"/>
        <v>ACTISALUD-CONTRATACION BIENES Y SERVICIOS-JORGE DAVILA LUNA</v>
      </c>
      <c r="F23638" s="5"/>
      <c r="G23638" s="5"/>
    </row>
    <row r="23639" spans="1:7" ht="58.5" customHeight="1" x14ac:dyDescent="0.25">
      <c r="A23639" s="5" t="str">
        <f>"H0025729"</f>
        <v>H0025729</v>
      </c>
      <c r="B23639" s="5" t="str">
        <f>"ESCANER DE ALTA VELOCIDAD 35 PPM"</f>
        <v>ESCANER DE ALTA VELOCIDAD 35 PPM</v>
      </c>
      <c r="C23639" s="6">
        <v>1666000</v>
      </c>
      <c r="D23639" s="5" t="s">
        <v>822</v>
      </c>
      <c r="E23639" s="5" t="str">
        <f t="shared" si="1176"/>
        <v>ACTISALUD-CONTRATACION BIENES Y SERVICIOS-JORGE DAVILA LUNA</v>
      </c>
      <c r="F23639" s="5"/>
      <c r="G23639" s="5"/>
    </row>
    <row r="23640" spans="1:7" ht="58.5" customHeight="1" x14ac:dyDescent="0.25">
      <c r="A23640" s="5" t="str">
        <f>"H0025730"</f>
        <v>H0025730</v>
      </c>
      <c r="B23640" s="5" t="str">
        <f>"ESCANER DE ALTA VELOCIDAD 35 PPM"</f>
        <v>ESCANER DE ALTA VELOCIDAD 35 PPM</v>
      </c>
      <c r="C23640" s="6">
        <v>1666000</v>
      </c>
      <c r="D23640" s="5" t="s">
        <v>822</v>
      </c>
      <c r="E23640" s="5" t="str">
        <f t="shared" si="1176"/>
        <v>ACTISALUD-CONTRATACION BIENES Y SERVICIOS-JORGE DAVILA LUNA</v>
      </c>
      <c r="F23640" s="5"/>
      <c r="G23640" s="5"/>
    </row>
    <row r="23641" spans="1:7" ht="58.5" customHeight="1" x14ac:dyDescent="0.25">
      <c r="A23641" s="5" t="str">
        <f>"H0025731"</f>
        <v>H0025731</v>
      </c>
      <c r="B23641" s="5" t="str">
        <f>"ESCANER DE ALTA VELOCIDAD 35 PPM"</f>
        <v>ESCANER DE ALTA VELOCIDAD 35 PPM</v>
      </c>
      <c r="C23641" s="6">
        <v>1666000</v>
      </c>
      <c r="D23641" s="5" t="s">
        <v>822</v>
      </c>
      <c r="E23641" s="5" t="str">
        <f t="shared" si="1176"/>
        <v>ACTISALUD-CONTRATACION BIENES Y SERVICIOS-JORGE DAVILA LUNA</v>
      </c>
      <c r="F23641" s="5"/>
      <c r="G23641" s="5"/>
    </row>
    <row r="23642" spans="1:7" ht="58.5" customHeight="1" x14ac:dyDescent="0.25">
      <c r="A23642" s="5" t="str">
        <f>"H0027234"</f>
        <v>H0027234</v>
      </c>
      <c r="B23642"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642" s="6">
        <v>2641800</v>
      </c>
      <c r="D23642" s="5" t="s">
        <v>38</v>
      </c>
      <c r="E23642" s="5" t="str">
        <f t="shared" si="1176"/>
        <v>ACTISALUD-CONTRATACION BIENES Y SERVICIOS-JORGE DAVILA LUNA</v>
      </c>
      <c r="F23642" s="5"/>
      <c r="G23642" s="5"/>
    </row>
    <row r="23643" spans="1:7" ht="58.5" customHeight="1" x14ac:dyDescent="0.25">
      <c r="A23643" s="5" t="str">
        <f>"H0027235"</f>
        <v>H0027235</v>
      </c>
      <c r="B23643"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643" s="6">
        <v>2641800</v>
      </c>
      <c r="D23643" s="5" t="s">
        <v>38</v>
      </c>
      <c r="E23643" s="5" t="str">
        <f t="shared" si="1176"/>
        <v>ACTISALUD-CONTRATACION BIENES Y SERVICIOS-JORGE DAVILA LUNA</v>
      </c>
      <c r="F23643" s="5"/>
      <c r="G23643" s="5"/>
    </row>
    <row r="23644" spans="1:7" ht="58.5" customHeight="1" x14ac:dyDescent="0.25">
      <c r="A23644" s="5" t="str">
        <f>"H0027265"</f>
        <v>H0027265</v>
      </c>
      <c r="B23644"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644" s="6">
        <v>2641800</v>
      </c>
      <c r="D23644" s="5" t="s">
        <v>38</v>
      </c>
      <c r="E23644" s="5" t="str">
        <f t="shared" si="1176"/>
        <v>ACTISALUD-CONTRATACION BIENES Y SERVICIOS-JORGE DAVILA LUNA</v>
      </c>
      <c r="F23644" s="5"/>
      <c r="G23644" s="5"/>
    </row>
    <row r="23645" spans="1:7" ht="58.5" customHeight="1" x14ac:dyDescent="0.25">
      <c r="A23645" s="5" t="str">
        <f>"H0029152"</f>
        <v>H0029152</v>
      </c>
      <c r="B2364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3645" s="6">
        <v>2902000</v>
      </c>
      <c r="D23645" s="5" t="s">
        <v>13</v>
      </c>
      <c r="E23645" s="5" t="str">
        <f t="shared" si="1176"/>
        <v>ACTISALUD-CONTRATACION BIENES Y SERVICIOS-JORGE DAVILA LUNA</v>
      </c>
      <c r="F23645" s="5"/>
      <c r="G23645" s="5"/>
    </row>
    <row r="23646" spans="1:7" ht="58.5" customHeight="1" x14ac:dyDescent="0.25">
      <c r="A23646" s="5" t="str">
        <f>"H0029348"</f>
        <v>H0029348</v>
      </c>
      <c r="B23646" s="5" t="str">
        <f>"SILLA HERGONOMICA CON SISTEMA HIDRAULICO"</f>
        <v>SILLA HERGONOMICA CON SISTEMA HIDRAULICO</v>
      </c>
      <c r="C23646" s="6">
        <v>174900</v>
      </c>
      <c r="D23646" s="5" t="s">
        <v>89</v>
      </c>
      <c r="E23646" s="5" t="str">
        <f t="shared" si="1176"/>
        <v>ACTISALUD-CONTRATACION BIENES Y SERVICIOS-JORGE DAVILA LUNA</v>
      </c>
      <c r="F23646" s="5"/>
      <c r="G23646" s="5"/>
    </row>
    <row r="23647" spans="1:7" ht="58.5" customHeight="1" x14ac:dyDescent="0.25">
      <c r="A23647" s="5" t="str">
        <f>"H0029424"</f>
        <v>H0029424</v>
      </c>
      <c r="B2364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3647" s="6">
        <v>2600000</v>
      </c>
      <c r="D23647" s="5" t="s">
        <v>921</v>
      </c>
      <c r="E23647" s="5" t="str">
        <f t="shared" si="1176"/>
        <v>ACTISALUD-CONTRATACION BIENES Y SERVICIOS-JORGE DAVILA LUNA</v>
      </c>
      <c r="F23647" s="5"/>
      <c r="G23647" s="5"/>
    </row>
    <row r="23648" spans="1:7" ht="58.5" customHeight="1" x14ac:dyDescent="0.25">
      <c r="A23648" s="5" t="str">
        <f>"H0029500"</f>
        <v>H0029500</v>
      </c>
      <c r="B2364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648" s="6">
        <v>257040</v>
      </c>
      <c r="D23648" s="5" t="s">
        <v>14</v>
      </c>
      <c r="E23648" s="5" t="str">
        <f t="shared" si="1176"/>
        <v>ACTISALUD-CONTRATACION BIENES Y SERVICIOS-JORGE DAVILA LUNA</v>
      </c>
      <c r="F23648" s="5"/>
      <c r="G23648" s="5"/>
    </row>
    <row r="23649" spans="1:7" ht="58.5" customHeight="1" x14ac:dyDescent="0.25">
      <c r="A23649" s="5" t="str">
        <f>"H0029560"</f>
        <v>H0029560</v>
      </c>
      <c r="B23649" s="5" t="str">
        <f t="shared" ref="B23649:B23658" si="1177">"ESTANTE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49" s="6">
        <v>252400.18</v>
      </c>
      <c r="D23649" s="5" t="s">
        <v>15</v>
      </c>
      <c r="E23649" s="5" t="str">
        <f t="shared" si="1176"/>
        <v>ACTISALUD-CONTRATACION BIENES Y SERVICIOS-JORGE DAVILA LUNA</v>
      </c>
      <c r="F23649" s="5"/>
      <c r="G23649" s="5"/>
    </row>
    <row r="23650" spans="1:7" ht="58.5" customHeight="1" x14ac:dyDescent="0.25">
      <c r="A23650" s="5" t="str">
        <f>"H0029561"</f>
        <v>H0029561</v>
      </c>
      <c r="B23650" s="5" t="str">
        <f t="shared" si="1177"/>
        <v>ESTANTE CONSTRUIDOS EN LAMINAS METÁLICAS SOLIDAS, RESISTENTES Y ESTABLES CON TRATAMIENTO ANTICORROSIVO, CON 7 ENTREPAÑOS, DE 0.94 CMS DE ANCHO, CON ALTURA DE 2.20MTS Y CADA BANDEJA DEBE SOPORTAR UN PESO DE 100KG/MT LINEA</v>
      </c>
      <c r="C23650" s="6">
        <v>252400.18</v>
      </c>
      <c r="D23650" s="5" t="s">
        <v>15</v>
      </c>
      <c r="E23650" s="5" t="str">
        <f t="shared" si="1176"/>
        <v>ACTISALUD-CONTRATACION BIENES Y SERVICIOS-JORGE DAVILA LUNA</v>
      </c>
      <c r="F23650" s="5"/>
      <c r="G23650" s="5"/>
    </row>
    <row r="23651" spans="1:7" ht="58.5" customHeight="1" x14ac:dyDescent="0.25">
      <c r="A23651" s="5" t="str">
        <f>"H0029562"</f>
        <v>H0029562</v>
      </c>
      <c r="B23651" s="5" t="str">
        <f t="shared" si="1177"/>
        <v>ESTANTE CONSTRUIDOS EN LAMINAS METÁLICAS SOLIDAS, RESISTENTES Y ESTABLES CON TRATAMIENTO ANTICORROSIVO, CON 7 ENTREPAÑOS, DE 0.94 CMS DE ANCHO, CON ALTURA DE 2.20MTS Y CADA BANDEJA DEBE SOPORTAR UN PESO DE 100KG/MT LINEA</v>
      </c>
      <c r="C23651" s="6">
        <v>252400.18</v>
      </c>
      <c r="D23651" s="5" t="s">
        <v>15</v>
      </c>
      <c r="E23651" s="5" t="str">
        <f t="shared" si="1176"/>
        <v>ACTISALUD-CONTRATACION BIENES Y SERVICIOS-JORGE DAVILA LUNA</v>
      </c>
      <c r="F23651" s="5"/>
      <c r="G23651" s="5"/>
    </row>
    <row r="23652" spans="1:7" ht="58.5" customHeight="1" x14ac:dyDescent="0.25">
      <c r="A23652" s="5" t="str">
        <f>"H0029563"</f>
        <v>H0029563</v>
      </c>
      <c r="B23652" s="5" t="str">
        <f t="shared" si="1177"/>
        <v>ESTANTE CONSTRUIDOS EN LAMINAS METÁLICAS SOLIDAS, RESISTENTES Y ESTABLES CON TRATAMIENTO ANTICORROSIVO, CON 7 ENTREPAÑOS, DE 0.94 CMS DE ANCHO, CON ALTURA DE 2.20MTS Y CADA BANDEJA DEBE SOPORTAR UN PESO DE 100KG/MT LINEA</v>
      </c>
      <c r="C23652" s="6">
        <v>252400.18</v>
      </c>
      <c r="D23652" s="5" t="s">
        <v>15</v>
      </c>
      <c r="E23652" s="5" t="str">
        <f t="shared" si="1176"/>
        <v>ACTISALUD-CONTRATACION BIENES Y SERVICIOS-JORGE DAVILA LUNA</v>
      </c>
      <c r="F23652" s="5"/>
      <c r="G23652" s="5"/>
    </row>
    <row r="23653" spans="1:7" ht="58.5" customHeight="1" x14ac:dyDescent="0.25">
      <c r="A23653" s="5" t="str">
        <f>"H0029564"</f>
        <v>H0029564</v>
      </c>
      <c r="B23653" s="5" t="str">
        <f t="shared" si="1177"/>
        <v>ESTANTE CONSTRUIDOS EN LAMINAS METÁLICAS SOLIDAS, RESISTENTES Y ESTABLES CON TRATAMIENTO ANTICORROSIVO, CON 7 ENTREPAÑOS, DE 0.94 CMS DE ANCHO, CON ALTURA DE 2.20MTS Y CADA BANDEJA DEBE SOPORTAR UN PESO DE 100KG/MT LINEA</v>
      </c>
      <c r="C23653" s="6">
        <v>252400.18</v>
      </c>
      <c r="D23653" s="5" t="s">
        <v>15</v>
      </c>
      <c r="E23653" s="5" t="str">
        <f t="shared" si="1176"/>
        <v>ACTISALUD-CONTRATACION BIENES Y SERVICIOS-JORGE DAVILA LUNA</v>
      </c>
      <c r="F23653" s="5"/>
      <c r="G23653" s="5"/>
    </row>
    <row r="23654" spans="1:7" ht="58.5" customHeight="1" x14ac:dyDescent="0.25">
      <c r="A23654" s="5" t="str">
        <f>"H0029565"</f>
        <v>H0029565</v>
      </c>
      <c r="B23654" s="5" t="str">
        <f t="shared" si="1177"/>
        <v>ESTANTE CONSTRUIDOS EN LAMINAS METÁLICAS SOLIDAS, RESISTENTES Y ESTABLES CON TRATAMIENTO ANTICORROSIVO, CON 7 ENTREPAÑOS, DE 0.94 CMS DE ANCHO, CON ALTURA DE 2.20MTS Y CADA BANDEJA DEBE SOPORTAR UN PESO DE 100KG/MT LINEA</v>
      </c>
      <c r="C23654" s="6">
        <v>252400.18</v>
      </c>
      <c r="D23654" s="5" t="s">
        <v>15</v>
      </c>
      <c r="E23654" s="5" t="str">
        <f t="shared" si="1176"/>
        <v>ACTISALUD-CONTRATACION BIENES Y SERVICIOS-JORGE DAVILA LUNA</v>
      </c>
      <c r="F23654" s="5"/>
      <c r="G23654" s="5"/>
    </row>
    <row r="23655" spans="1:7" ht="58.5" customHeight="1" x14ac:dyDescent="0.25">
      <c r="A23655" s="5" t="str">
        <f>"H0029566"</f>
        <v>H0029566</v>
      </c>
      <c r="B23655" s="5" t="str">
        <f t="shared" si="1177"/>
        <v>ESTANTE CONSTRUIDOS EN LAMINAS METÁLICAS SOLIDAS, RESISTENTES Y ESTABLES CON TRATAMIENTO ANTICORROSIVO, CON 7 ENTREPAÑOS, DE 0.94 CMS DE ANCHO, CON ALTURA DE 2.20MTS Y CADA BANDEJA DEBE SOPORTAR UN PESO DE 100KG/MT LINEA</v>
      </c>
      <c r="C23655" s="6">
        <v>252400.18</v>
      </c>
      <c r="D23655" s="5" t="s">
        <v>15</v>
      </c>
      <c r="E23655" s="5" t="str">
        <f t="shared" si="1176"/>
        <v>ACTISALUD-CONTRATACION BIENES Y SERVICIOS-JORGE DAVILA LUNA</v>
      </c>
      <c r="F23655" s="5"/>
      <c r="G23655" s="5"/>
    </row>
    <row r="23656" spans="1:7" ht="58.5" customHeight="1" x14ac:dyDescent="0.25">
      <c r="A23656" s="5" t="str">
        <f>"H0029567"</f>
        <v>H0029567</v>
      </c>
      <c r="B23656" s="5" t="str">
        <f t="shared" si="1177"/>
        <v>ESTANTE CONSTRUIDOS EN LAMINAS METÁLICAS SOLIDAS, RESISTENTES Y ESTABLES CON TRATAMIENTO ANTICORROSIVO, CON 7 ENTREPAÑOS, DE 0.94 CMS DE ANCHO, CON ALTURA DE 2.20MTS Y CADA BANDEJA DEBE SOPORTAR UN PESO DE 100KG/MT LINEA</v>
      </c>
      <c r="C23656" s="6">
        <v>252400.18</v>
      </c>
      <c r="D23656" s="5" t="s">
        <v>15</v>
      </c>
      <c r="E23656" s="5" t="str">
        <f t="shared" si="1176"/>
        <v>ACTISALUD-CONTRATACION BIENES Y SERVICIOS-JORGE DAVILA LUNA</v>
      </c>
      <c r="F23656" s="5"/>
      <c r="G23656" s="5"/>
    </row>
    <row r="23657" spans="1:7" ht="58.5" customHeight="1" x14ac:dyDescent="0.25">
      <c r="A23657" s="5" t="str">
        <f>"H0029568"</f>
        <v>H0029568</v>
      </c>
      <c r="B23657" s="5" t="str">
        <f t="shared" si="1177"/>
        <v>ESTANTE CONSTRUIDOS EN LAMINAS METÁLICAS SOLIDAS, RESISTENTES Y ESTABLES CON TRATAMIENTO ANTICORROSIVO, CON 7 ENTREPAÑOS, DE 0.94 CMS DE ANCHO, CON ALTURA DE 2.20MTS Y CADA BANDEJA DEBE SOPORTAR UN PESO DE 100KG/MT LINEA</v>
      </c>
      <c r="C23657" s="6">
        <v>252400.18</v>
      </c>
      <c r="D23657" s="5" t="s">
        <v>15</v>
      </c>
      <c r="E23657" s="5" t="str">
        <f t="shared" si="1176"/>
        <v>ACTISALUD-CONTRATACION BIENES Y SERVICIOS-JORGE DAVILA LUNA</v>
      </c>
      <c r="F23657" s="5"/>
      <c r="G23657" s="5"/>
    </row>
    <row r="23658" spans="1:7" ht="58.5" customHeight="1" x14ac:dyDescent="0.25">
      <c r="A23658" s="5" t="str">
        <f>"H0029569"</f>
        <v>H0029569</v>
      </c>
      <c r="B23658" s="5" t="str">
        <f t="shared" si="1177"/>
        <v>ESTANTE CONSTRUIDOS EN LAMINAS METÁLICAS SOLIDAS, RESISTENTES Y ESTABLES CON TRATAMIENTO ANTICORROSIVO, CON 7 ENTREPAÑOS, DE 0.94 CMS DE ANCHO, CON ALTURA DE 2.20MTS Y CADA BANDEJA DEBE SOPORTAR UN PESO DE 100KG/MT LINEA</v>
      </c>
      <c r="C23658" s="6">
        <v>252400.18</v>
      </c>
      <c r="D23658" s="5" t="s">
        <v>15</v>
      </c>
      <c r="E23658" s="5" t="str">
        <f t="shared" si="1176"/>
        <v>ACTISALUD-CONTRATACION BIENES Y SERVICIOS-JORGE DAVILA LUNA</v>
      </c>
      <c r="F23658" s="5"/>
      <c r="G23658" s="5"/>
    </row>
    <row r="23659" spans="1:7" ht="58.5" customHeight="1" x14ac:dyDescent="0.25">
      <c r="A23659" s="5" t="str">
        <f>"H0029681"</f>
        <v>H0029681</v>
      </c>
      <c r="B23659" s="5" t="s">
        <v>94</v>
      </c>
      <c r="C23659" s="6">
        <v>148999.9</v>
      </c>
      <c r="D23659" s="5" t="s">
        <v>93</v>
      </c>
      <c r="E23659" s="5" t="str">
        <f t="shared" si="1176"/>
        <v>ACTISALUD-CONTRATACION BIENES Y SERVICIOS-JORGE DAVILA LUNA</v>
      </c>
      <c r="F23659" s="5"/>
      <c r="G23659" s="5"/>
    </row>
    <row r="23660" spans="1:7" ht="58.5" customHeight="1" x14ac:dyDescent="0.25">
      <c r="A23660" s="5" t="str">
        <f>"H0030156"</f>
        <v>H0030156</v>
      </c>
      <c r="B2366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60" s="6">
        <v>252400</v>
      </c>
      <c r="D23660" s="5" t="s">
        <v>190</v>
      </c>
      <c r="E23660" s="5" t="str">
        <f t="shared" si="1176"/>
        <v>ACTISALUD-CONTRATACION BIENES Y SERVICIOS-JORGE DAVILA LUNA</v>
      </c>
      <c r="F23660" s="5"/>
      <c r="G23660" s="5"/>
    </row>
    <row r="23661" spans="1:7" ht="58.5" customHeight="1" x14ac:dyDescent="0.25">
      <c r="A23661" s="5" t="str">
        <f>"H0031192"</f>
        <v>H0031192</v>
      </c>
      <c r="B23661"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61" s="6">
        <v>246036.99</v>
      </c>
      <c r="D23661" s="5" t="s">
        <v>103</v>
      </c>
      <c r="E23661" s="5" t="str">
        <f t="shared" si="1176"/>
        <v>ACTISALUD-CONTRATACION BIENES Y SERVICIOS-JORGE DAVILA LUNA</v>
      </c>
      <c r="F23661" s="5"/>
      <c r="G23661" s="5"/>
    </row>
    <row r="23662" spans="1:7" ht="58.5" customHeight="1" x14ac:dyDescent="0.25">
      <c r="A23662" s="5" t="str">
        <f>"H0031432"</f>
        <v>H0031432</v>
      </c>
      <c r="B23662"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62" s="6">
        <v>3209500</v>
      </c>
      <c r="D23662" s="5" t="s">
        <v>16</v>
      </c>
      <c r="E23662" s="5" t="str">
        <f t="shared" si="1176"/>
        <v>ACTISALUD-CONTRATACION BIENES Y SERVICIOS-JORGE DAVILA LUNA</v>
      </c>
      <c r="F23662" s="5"/>
      <c r="G23662" s="5"/>
    </row>
    <row r="23663" spans="1:7" ht="58.5" customHeight="1" x14ac:dyDescent="0.25">
      <c r="A23663" s="5" t="str">
        <f>"H0031433"</f>
        <v>H0031433</v>
      </c>
      <c r="B23663"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63" s="6">
        <v>3209500</v>
      </c>
      <c r="D23663" s="5" t="s">
        <v>16</v>
      </c>
      <c r="E23663" s="5" t="str">
        <f t="shared" si="1176"/>
        <v>ACTISALUD-CONTRATACION BIENES Y SERVICIOS-JORGE DAVILA LUNA</v>
      </c>
      <c r="F23663" s="5"/>
      <c r="G23663" s="5"/>
    </row>
    <row r="23664" spans="1:7" ht="58.5" customHeight="1" x14ac:dyDescent="0.25">
      <c r="A23664" s="5" t="str">
        <f>"H0031497"</f>
        <v>H0031497</v>
      </c>
      <c r="B23664"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64" s="6">
        <v>3209500</v>
      </c>
      <c r="D23664" s="5" t="s">
        <v>16</v>
      </c>
      <c r="E23664" s="5" t="str">
        <f t="shared" si="1176"/>
        <v>ACTISALUD-CONTRATACION BIENES Y SERVICIOS-JORGE DAVILA LUNA</v>
      </c>
      <c r="F23664" s="5"/>
      <c r="G23664" s="5"/>
    </row>
    <row r="23665" spans="1:7" ht="58.5" customHeight="1" x14ac:dyDescent="0.25">
      <c r="A23665" s="5" t="str">
        <f>"H0031890"</f>
        <v>H0031890</v>
      </c>
      <c r="B23665"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3665" s="6">
        <v>2647750</v>
      </c>
      <c r="D23665" s="5" t="s">
        <v>44</v>
      </c>
      <c r="E23665" s="5" t="str">
        <f t="shared" si="1176"/>
        <v>ACTISALUD-CONTRATACION BIENES Y SERVICIOS-JORGE DAVILA LUNA</v>
      </c>
      <c r="F23665" s="5"/>
      <c r="G23665" s="5" t="str">
        <f>"DS-870"</f>
        <v>DS-870</v>
      </c>
    </row>
    <row r="23666" spans="1:7" ht="58.5" customHeight="1" x14ac:dyDescent="0.25">
      <c r="A23666" s="5" t="str">
        <f>"H0032488"</f>
        <v>H0032488</v>
      </c>
      <c r="B23666"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23666" s="6">
        <v>420090</v>
      </c>
      <c r="D23666" s="5" t="s">
        <v>17</v>
      </c>
      <c r="E23666" s="5" t="str">
        <f t="shared" si="1176"/>
        <v>ACTISALUD-CONTRATACION BIENES Y SERVICIOS-JORGE DAVILA LUNA</v>
      </c>
      <c r="F23666" s="5"/>
      <c r="G23666" s="5"/>
    </row>
    <row r="23667" spans="1:7" ht="58.5" customHeight="1" x14ac:dyDescent="0.25">
      <c r="A23667" s="5" t="str">
        <f>"H0032497"</f>
        <v>H0032497</v>
      </c>
      <c r="B23667"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23667" s="6">
        <v>420090</v>
      </c>
      <c r="D23667" s="5" t="s">
        <v>17</v>
      </c>
      <c r="E23667" s="5" t="str">
        <f t="shared" si="1176"/>
        <v>ACTISALUD-CONTRATACION BIENES Y SERVICIOS-JORGE DAVILA LUNA</v>
      </c>
      <c r="F23667" s="5"/>
      <c r="G23667" s="5"/>
    </row>
    <row r="23668" spans="1:7" ht="58.5" customHeight="1" x14ac:dyDescent="0.25">
      <c r="A23668" s="5" t="str">
        <f>"H0034838"</f>
        <v>H0034838</v>
      </c>
      <c r="B23668"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3668" s="6">
        <v>5289550</v>
      </c>
      <c r="D23668" s="5" t="s">
        <v>22</v>
      </c>
      <c r="E23668" s="5" t="str">
        <f t="shared" si="1176"/>
        <v>ACTISALUD-CONTRATACION BIENES Y SERVICIOS-JORGE DAVILA LUNA</v>
      </c>
      <c r="F23668" s="5"/>
      <c r="G23668" s="5"/>
    </row>
    <row r="23669" spans="1:7" ht="58.5" customHeight="1" x14ac:dyDescent="0.25">
      <c r="A23669" s="5" t="str">
        <f>"H0035953"</f>
        <v>H0035953</v>
      </c>
      <c r="B23669" s="5" t="str">
        <f>"SILLA GERENTE NIZA MEC. BASCULANTE CON BRAZOS."</f>
        <v>SILLA GERENTE NIZA MEC. BASCULANTE CON BRAZOS.</v>
      </c>
      <c r="C23669" s="6">
        <v>639999.86</v>
      </c>
      <c r="D23669" s="5" t="s">
        <v>281</v>
      </c>
      <c r="E23669" s="5" t="str">
        <f t="shared" ref="E23669:E23675" si="1178">"ACTISALUD-CONTRATACION BIENES Y SERVICIOS-JORGE DAVILA LUNA"</f>
        <v>ACTISALUD-CONTRATACION BIENES Y SERVICIOS-JORGE DAVILA LUNA</v>
      </c>
      <c r="F23669" s="5"/>
      <c r="G23669" s="5"/>
    </row>
    <row r="23670" spans="1:7" ht="58.5" customHeight="1" x14ac:dyDescent="0.25">
      <c r="A23670" s="5" t="str">
        <f>"H0035977"</f>
        <v>H0035977</v>
      </c>
      <c r="B23670" s="5" t="str">
        <f>"SILLA GERENTE NIZA MEC. BASCULANTE SIN BRAZOS"</f>
        <v>SILLA GERENTE NIZA MEC. BASCULANTE SIN BRAZOS</v>
      </c>
      <c r="C23670" s="6">
        <v>654999.78</v>
      </c>
      <c r="D23670" s="5" t="s">
        <v>27</v>
      </c>
      <c r="E23670" s="5" t="str">
        <f t="shared" si="1178"/>
        <v>ACTISALUD-CONTRATACION BIENES Y SERVICIOS-JORGE DAVILA LUNA</v>
      </c>
      <c r="F23670" s="5"/>
      <c r="G23670" s="5"/>
    </row>
    <row r="23671" spans="1:7" ht="58.5" customHeight="1" x14ac:dyDescent="0.25">
      <c r="A23671" s="5" t="str">
        <f>"H0035978"</f>
        <v>H0035978</v>
      </c>
      <c r="B23671" s="5" t="str">
        <f>"SILLA GERENTE NIZA MEC. BASCULANTE SIN BRAZOS"</f>
        <v>SILLA GERENTE NIZA MEC. BASCULANTE SIN BRAZOS</v>
      </c>
      <c r="C23671" s="6">
        <v>654999.78</v>
      </c>
      <c r="D23671" s="5" t="s">
        <v>27</v>
      </c>
      <c r="E23671" s="5" t="str">
        <f t="shared" si="1178"/>
        <v>ACTISALUD-CONTRATACION BIENES Y SERVICIOS-JORGE DAVILA LUNA</v>
      </c>
      <c r="F23671" s="5"/>
      <c r="G23671" s="5"/>
    </row>
    <row r="23672" spans="1:7" ht="58.5" customHeight="1" x14ac:dyDescent="0.25">
      <c r="A23672" s="5" t="str">
        <f>"H0035979"</f>
        <v>H0035979</v>
      </c>
      <c r="B23672" s="5" t="str">
        <f>"SILLA GERENTE NIZA MEC. BASCULANTE SIN BRAZOS"</f>
        <v>SILLA GERENTE NIZA MEC. BASCULANTE SIN BRAZOS</v>
      </c>
      <c r="C23672" s="6">
        <v>654999.78</v>
      </c>
      <c r="D23672" s="5" t="s">
        <v>27</v>
      </c>
      <c r="E23672" s="5" t="str">
        <f t="shared" si="1178"/>
        <v>ACTISALUD-CONTRATACION BIENES Y SERVICIOS-JORGE DAVILA LUNA</v>
      </c>
      <c r="F23672" s="5"/>
      <c r="G23672" s="5"/>
    </row>
    <row r="23673" spans="1:7" ht="58.5" customHeight="1" x14ac:dyDescent="0.25">
      <c r="A23673" s="5" t="str">
        <f>"H0035980"</f>
        <v>H0035980</v>
      </c>
      <c r="B23673" s="5" t="str">
        <f>"SILLA GERENTE NIZA MEC. BASCULANTE SIN BRAZOS"</f>
        <v>SILLA GERENTE NIZA MEC. BASCULANTE SIN BRAZOS</v>
      </c>
      <c r="C23673" s="6">
        <v>654999.78</v>
      </c>
      <c r="D23673" s="5" t="s">
        <v>27</v>
      </c>
      <c r="E23673" s="5" t="str">
        <f t="shared" si="1178"/>
        <v>ACTISALUD-CONTRATACION BIENES Y SERVICIOS-JORGE DAVILA LUNA</v>
      </c>
      <c r="F23673" s="5"/>
      <c r="G23673" s="5"/>
    </row>
    <row r="23674" spans="1:7" ht="58.5" customHeight="1" x14ac:dyDescent="0.25">
      <c r="A23674" s="5" t="str">
        <f>"H0037927"</f>
        <v>H0037927</v>
      </c>
      <c r="B23674" s="5" t="str">
        <f>"SILLA GERENTE NIZA MEC. BASCULANTE CON BRAZOS."</f>
        <v>SILLA GERENTE NIZA MEC. BASCULANTE CON BRAZOS.</v>
      </c>
      <c r="C23674" s="6">
        <v>710000.01</v>
      </c>
      <c r="D23674" s="5" t="s">
        <v>30</v>
      </c>
      <c r="E23674" s="5" t="str">
        <f t="shared" si="1178"/>
        <v>ACTISALUD-CONTRATACION BIENES Y SERVICIOS-JORGE DAVILA LUNA</v>
      </c>
      <c r="F23674" s="5"/>
      <c r="G23674" s="5"/>
    </row>
    <row r="23675" spans="1:7" ht="58.5" customHeight="1" x14ac:dyDescent="0.25">
      <c r="A23675" s="5" t="str">
        <f>"H0037929"</f>
        <v>H0037929</v>
      </c>
      <c r="B23675" s="5" t="str">
        <f>"SILLA GERENTE NIZA MEC. BASCULANTE CON BRAZOS."</f>
        <v>SILLA GERENTE NIZA MEC. BASCULANTE CON BRAZOS.</v>
      </c>
      <c r="C23675" s="6">
        <v>710000.01</v>
      </c>
      <c r="D23675" s="5" t="s">
        <v>30</v>
      </c>
      <c r="E23675" s="5" t="str">
        <f t="shared" si="1178"/>
        <v>ACTISALUD-CONTRATACION BIENES Y SERVICIOS-JORGE DAVILA LUNA</v>
      </c>
      <c r="F23675" s="5"/>
      <c r="G23675" s="5"/>
    </row>
    <row r="23676" spans="1:7" ht="58.5" customHeight="1" x14ac:dyDescent="0.25">
      <c r="A23676" s="5" t="str">
        <f>"H0005103"</f>
        <v>H0005103</v>
      </c>
      <c r="B23676" s="5" t="str">
        <f>"SILLA INTERLOCUTORA (FIJA) SIN BRAZOS"</f>
        <v>SILLA INTERLOCUTORA (FIJA) SIN BRAZOS</v>
      </c>
      <c r="C23676" s="6">
        <v>81200</v>
      </c>
      <c r="D23676" s="5" t="s">
        <v>34</v>
      </c>
      <c r="E23676" s="5" t="str">
        <f t="shared" ref="E23676:E23708" si="1179">"ASESOR JURIDICO ADMINISTRATIVO-ONEIDA BOTELLO"</f>
        <v>ASESOR JURIDICO ADMINISTRATIVO-ONEIDA BOTELLO</v>
      </c>
      <c r="F23676" s="5" t="str">
        <f>"Descripcion: TAPIZADA PAÑO NEGRO Estado: Bueno Placa anterior: 000030393 Material: METALICO Color: NEGRO Referencia:  Observacion:  Placa padre: Tipo adquisicion: Entidad"</f>
        <v>Descripcion: TAPIZADA PAÑO NEGRO Estado: Bueno Placa anterior: 000030393 Material: METALICO Color: NEGRO Referencia:  Observacion:  Placa padre: Tipo adquisicion: Entidad</v>
      </c>
      <c r="G23676" s="5"/>
    </row>
    <row r="23677" spans="1:7" ht="58.5" customHeight="1" x14ac:dyDescent="0.25">
      <c r="A23677" s="5" t="str">
        <f>"H0007048"</f>
        <v>H0007048</v>
      </c>
      <c r="B23677" s="5" t="str">
        <f>"SILLA INTERLOCUTORA (FIJA) SIN BRAZOS"</f>
        <v>SILLA INTERLOCUTORA (FIJA) SIN BRAZOS</v>
      </c>
      <c r="C23677" s="6">
        <v>220400</v>
      </c>
      <c r="D23677" s="5" t="s">
        <v>5</v>
      </c>
      <c r="E23677" s="5" t="str">
        <f t="shared" si="1179"/>
        <v>ASESOR JURIDICO ADMINISTRATIVO-ONEIDA BOTELLO</v>
      </c>
      <c r="F23677" s="5" t="str">
        <f>"Descripcion: SILLAS INTERLOCUTORAS TAPIZADO DE ALTA DENSIDAD EN ASIENTO Y ESPALDAR PAÑO AZUL Estado: Bueno Placa anterior: 000029518 Material: METALICO Color: AZUL Referencia:  Observacion:  Placa padre: Tipo adquisicion: Entidad"</f>
        <v>Descripcion: SILLAS INTERLOCUTORAS TAPIZADO DE ALTA DENSIDAD EN ASIENTO Y ESPALDAR PAÑO AZUL Estado: Bueno Placa anterior: 000029518 Material: METALICO Color: AZUL Referencia:  Observacion:  Placa padre: Tipo adquisicion: Entidad</v>
      </c>
      <c r="G23677" s="5"/>
    </row>
    <row r="23678" spans="1:7" ht="58.5" customHeight="1" x14ac:dyDescent="0.25">
      <c r="A23678" s="5" t="str">
        <f>"H0016456"</f>
        <v>H0016456</v>
      </c>
      <c r="B23678" s="5" t="str">
        <f>"SILLA INTERLOCUTORA (FIJA) SIN BRAZOS"</f>
        <v>SILLA INTERLOCUTORA (FIJA) SIN BRAZOS</v>
      </c>
      <c r="C23678" s="6">
        <v>89552</v>
      </c>
      <c r="D23678" s="5"/>
      <c r="E23678" s="5" t="str">
        <f t="shared" si="1179"/>
        <v>ASESOR JURIDICO ADMINISTRATIVO-ONEIDA BOTELLO</v>
      </c>
      <c r="F23678" s="5" t="str">
        <f>"Descripcion: SILLAS FIJA TAPIZADA EN LONA  Estado: Bueno Placa anterior: 000022558 Material: METALICO, PASTA Y LONA Color: NEGRO Y VERDE Referencia:  Observacion:  Placa padre: Tipo adquisicion: Entidad"</f>
        <v>Descripcion: SILLAS FIJA TAPIZADA EN LONA  Estado: Bueno Placa anterior: 000022558 Material: METALICO, PASTA Y LONA Color: NEGRO Y VERDE Referencia:  Observacion:  Placa padre: Tipo adquisicion: Entidad</v>
      </c>
      <c r="G23678" s="5"/>
    </row>
    <row r="23679" spans="1:7" ht="58.5" customHeight="1" x14ac:dyDescent="0.25">
      <c r="A23679" s="5" t="str">
        <f>"H0017344"</f>
        <v>H0017344</v>
      </c>
      <c r="B23679" s="5" t="str">
        <f>"MULTIMUEBLE DE MADERA"</f>
        <v>MULTIMUEBLE DE MADERA</v>
      </c>
      <c r="C23679" s="6">
        <v>1200000</v>
      </c>
      <c r="D23679" s="5" t="s">
        <v>208</v>
      </c>
      <c r="E23679" s="5" t="str">
        <f t="shared" si="1179"/>
        <v>ASESOR JURIDICO ADMINISTRATIVO-ONEIDA BOTELLO</v>
      </c>
      <c r="F23679" s="5" t="str">
        <f>"Descripcion: ARCHIVADOR Y BIBLIOTECA EN MADERA6 COMPARTIMIENTOS2 ENTREPAÑOS270X50X106 Estado: Bueno Placa anterior: 000036536 Material: MADERA Color:  Referencia:  Observacion:  Placa padre: Tipo adquisicion: Donacion"</f>
        <v>Descripcion: ARCHIVADOR Y BIBLIOTECA EN MADERA6 COMPARTIMIENTOS2 ENTREPAÑOS270X50X106 Estado: Bueno Placa anterior: 000036536 Material: MADERA Color:  Referencia:  Observacion:  Placa padre: Tipo adquisicion: Donacion</v>
      </c>
      <c r="G23679" s="5"/>
    </row>
    <row r="23680" spans="1:7" ht="58.5" customHeight="1" x14ac:dyDescent="0.25">
      <c r="A23680" s="5" t="str">
        <f>"H0017356"</f>
        <v>H0017356</v>
      </c>
      <c r="B23680" s="5" t="str">
        <f>"COMPUTADOR TODO EN UNO"</f>
        <v>COMPUTADOR TODO EN UNO</v>
      </c>
      <c r="C23680" s="6">
        <v>2470000</v>
      </c>
      <c r="D23680" s="5" t="s">
        <v>6</v>
      </c>
      <c r="E23680" s="5" t="str">
        <f t="shared" si="1179"/>
        <v>ASESOR JURIDICO ADMINISTRATIVO-ONEIDA BOTELLO</v>
      </c>
      <c r="F23680" s="5" t="str">
        <f>"Descripcion: EQUIPO DE COMPUTO TODO EN UNO CON PROCESADOR INTEL i5 Estado: Bueno Placa anterior: 000037022 Material: PASTA Color: NEGRO Referencia: 10BD-00FDLS Observacion:  Placa anterior:, Placa nueva=H0017358, Descripcion:OPTICO, Serial:44MG1700515, Ma"&amp; "rca:LENOVO, Modelo:MOEUUOA, Material:PASTA, Color:NEGRO,   Referencia:SM50F76959, Placa anterior:, Placa nueva=H0017357, Descripcion:., Serial:8258517, Marca:LENOVO, Modelo:KU-0225, Material:PASTA, Color:NEGRO,   Referencia:54Y9424 Placa padre: Tipo adqui"&amp; "sicion: Entidad"</f>
        <v>Descripcion: EQUIPO DE COMPUTO TODO EN UNO CON PROCESADOR INTEL i5 Estado: Bueno Placa anterior: 000037022 Material: PASTA Color: NEGRO Referencia: 10BD-00FDLS Observacion:  Placa anterior:, Placa nueva=H0017358, Descripcion:OPTICO, Serial:44MG1700515, Marca:LENOVO, Modelo:MOEUUOA, Material:PASTA, Color:NEGRO,   Referencia:SM50F76959, Placa anterior:, Placa nueva=H0017357, Descripcion:., Serial:8258517, Marca:LENOVO, Modelo:KU-0225, Material:PASTA, Color:NEGRO,   Referencia:54Y9424 Placa padre: Tipo adquisicion: Entidad</v>
      </c>
      <c r="G23680" s="5" t="str">
        <f>"THINK CENTRE"</f>
        <v>THINK CENTRE</v>
      </c>
    </row>
    <row r="23681" spans="1:7" ht="58.5" customHeight="1" x14ac:dyDescent="0.25">
      <c r="A23681" s="5" t="str">
        <f>"H0017359"</f>
        <v>H0017359</v>
      </c>
      <c r="B23681" s="5" t="str">
        <f>"RELOJ DE PARED"</f>
        <v>RELOJ DE PARED</v>
      </c>
      <c r="C23681" s="6">
        <v>8190</v>
      </c>
      <c r="D23681" s="5"/>
      <c r="E23681" s="5" t="str">
        <f t="shared" si="1179"/>
        <v>ASESOR JURIDICO ADMINISTRATIVO-ONEIDA BOTELLO</v>
      </c>
      <c r="F23681" s="5" t="str">
        <f>"Descripcion: RELOJ DE PARED MCA. JAWACO Estado: Inservible Placa anterior: 000002034 Material: PASTA Color: NEGRO Referencia:  Observacion:  Placa padre: Tipo adquisicion: Entidad"</f>
        <v>Descripcion: RELOJ DE PARED MCA. JAWACO Estado: Inservible Placa anterior: 000002034 Material: PASTA Color: NEGRO Referencia:  Observacion:  Placa padre: Tipo adquisicion: Entidad</v>
      </c>
      <c r="G23681" s="5"/>
    </row>
    <row r="23682" spans="1:7" ht="58.5" customHeight="1" x14ac:dyDescent="0.25">
      <c r="A23682" s="5" t="str">
        <f>"H0017368"</f>
        <v>H0017368</v>
      </c>
      <c r="B23682" s="5" t="str">
        <f>"NEVERA DE 66 LTS"</f>
        <v>NEVERA DE 66 LTS</v>
      </c>
      <c r="C23682" s="6">
        <v>700000</v>
      </c>
      <c r="D23682" s="5" t="s">
        <v>452</v>
      </c>
      <c r="E23682" s="5" t="str">
        <f t="shared" si="1179"/>
        <v>ASESOR JURIDICO ADMINISTRATIVO-ONEIDA BOTELLO</v>
      </c>
      <c r="F23682" s="5" t="str">
        <f>"Descripcion: NEVERA TIPO EJECUTIVA32X18X18 PULGADAS Estado: Bueno Placa anterior: 000029207 Material: METALICO Color: BLANCO Referencia:  Observacion:  Placa padre: Tipo adquisicion: Entidad"</f>
        <v>Descripcion: NEVERA TIPO EJECUTIVA32X18X18 PULGADAS Estado: Bueno Placa anterior: 000029207 Material: METALICO Color: BLANCO Referencia:  Observacion:  Placa padre: Tipo adquisicion: Entidad</v>
      </c>
      <c r="G23682" s="5" t="str">
        <f>"GC-1315"</f>
        <v>GC-1315</v>
      </c>
    </row>
    <row r="23683" spans="1:7" ht="58.5" customHeight="1" x14ac:dyDescent="0.25">
      <c r="A23683" s="5" t="str">
        <f>"H0017375"</f>
        <v>H0017375</v>
      </c>
      <c r="B23683" s="5" t="str">
        <f>"LIBRO DE CONTRATACION"</f>
        <v>LIBRO DE CONTRATACION</v>
      </c>
      <c r="C23683" s="6">
        <v>315000</v>
      </c>
      <c r="D23683" s="5"/>
      <c r="E23683" s="5" t="str">
        <f t="shared" si="1179"/>
        <v>ASESOR JURIDICO ADMINISTRATIVO-ONEIDA BOTELLO</v>
      </c>
      <c r="F23683" s="5" t="str">
        <f>"Descripcion: ESTATUTO GENERAL DE CONTRATACION DE LA ADMINISTRACION PUBLICA Estado: Bueno Placa anterior: 000028926 Material:  Color: NARANJA NEGRO Referencia:  Observacion:  Placa padre: Tipo adquisicion: Entidad"</f>
        <v>Descripcion: ESTATUTO GENERAL DE CONTRATACION DE LA ADMINISTRACION PUBLICA Estado: Bueno Placa anterior: 000028926 Material:  Color: NARANJA NEGRO Referencia:  Observacion:  Placa padre: Tipo adquisicion: Entidad</v>
      </c>
      <c r="G23683" s="5"/>
    </row>
    <row r="23684" spans="1:7" ht="58.5" customHeight="1" x14ac:dyDescent="0.25">
      <c r="A23684" s="5" t="str">
        <f>"H0017378"</f>
        <v>H0017378</v>
      </c>
      <c r="B23684" s="5" t="str">
        <f>"IMPRESORA LASER"</f>
        <v>IMPRESORA LASER</v>
      </c>
      <c r="C23684" s="6">
        <v>2470000</v>
      </c>
      <c r="D23684" s="5"/>
      <c r="E23684" s="5" t="str">
        <f t="shared" si="1179"/>
        <v>ASESOR JURIDICO ADMINISTRATIVO-ONEIDA BOTELLO</v>
      </c>
      <c r="F23684" s="5" t="str">
        <f>"Descripcion: IMPRESORA MARCA HP LASERJET 3015 DN: Monocromatica, Laser der ed, 40 PPM, PCL, Ethernet GARANTIA 1 AÑO Estado: Bueno Placa anterior: 000029211 Material: PASTA Color: GRIS Referencia: CE528A Observacion:  Placa padre: Tipo adquisicion: Entidad"&amp; ""</f>
        <v>Descripcion: IMPRESORA MARCA HP LASERJET 3015 DN: Monocromatica, Laser der ed, 40 PPM, PCL, Ethernet GARANTIA 1 AÑO Estado: Bueno Placa anterior: 000029211 Material: PASTA Color: GRIS Referencia: CE528A Observacion:  Placa padre: Tipo adquisicion: Entidad</v>
      </c>
      <c r="G23684" s="5" t="str">
        <f>"HP LASERJET  P3015"</f>
        <v>HP LASERJET  P3015</v>
      </c>
    </row>
    <row r="23685" spans="1:7" ht="58.5" customHeight="1" x14ac:dyDescent="0.25">
      <c r="A23685" s="5" t="str">
        <f>"H0017380"</f>
        <v>H0017380</v>
      </c>
      <c r="B23685" s="5" t="str">
        <f>"COMPUTADOR TODO EN UNO"</f>
        <v>COMPUTADOR TODO EN UNO</v>
      </c>
      <c r="C23685" s="6">
        <v>1572000</v>
      </c>
      <c r="D23685" s="5" t="s">
        <v>32</v>
      </c>
      <c r="E23685" s="5" t="str">
        <f t="shared" si="1179"/>
        <v>ASESOR JURIDICO ADMINISTRATIVO-ONEIDA BOTELLO</v>
      </c>
      <c r="F23685" s="5" t="str">
        <f>"Descripcion: EQUIPOS DE COMPUTO TODO EN UNO PROCESADOR CORE 3.0 SUPERIOR CORPORATIVO WINDOWS 8 PRO- OFFICE 2013 SMALL BUSINES, TECNOLOGIA HT DE INTEL GARANTIA EXTENDIDA A 3 AÑOS Estado: Bueno Placa anterior: 000030560 Material: PASTA Color: NEGRO Referenc"&amp; "ia: C9G88LT#ABM Observacion:  Placa anterior:, Placa nueva=H0017382, Descripcion:OPTICO, Serial:FCMHH0CQW5LCXM, Marca:HP, Modelo:SM-2022, Material:PASTA, Color:NEGRO,   Referencia:672652-001, Placa anterior:, Placa nueva=H0017381, Descripcion:., Serial:BD"&amp; "MHE0CVB5I1BD, Marca:HP, Modelo:KU-1156, Material:PASTA, Color:NEGRO,   Referencia:672647-163LA Placa padre: Tipo adquisicion: Entidad"</f>
        <v>Descripcion: EQUIPOS DE COMPUTO TODO EN UNO PROCESADOR CORE 3.0 SUPERIOR CORPORATIVO WINDOWS 8 PRO- OFFICE 2013 SMALL BUSINES, TECNOLOGIA HT DE INTEL GARANTIA EXTENDIDA A 3 AÑOS Estado: Bueno Placa anterior: 000030560 Material: PASTA Color: NEGRO Referencia: C9G88LT#ABM Observacion:  Placa anterior:, Placa nueva=H0017382, Descripcion:OPTICO, Serial:FCMHH0CQW5LCXM, Marca:HP, Modelo:SM-2022, Material:PASTA, Color:NEGRO,   Referencia:672652-001, Placa anterior:, Placa nueva=H0017381, Descripcion:., Serial:BDMHE0CVB5I1BD, Marca:HP, Modelo:KU-1156, Material:PASTA, Color:NEGRO,   Referencia:672647-163LA Placa padre: Tipo adquisicion: Entidad</v>
      </c>
      <c r="G23685" s="5" t="str">
        <f>"HP COMPAQ PRO 4300"</f>
        <v>HP COMPAQ PRO 4300</v>
      </c>
    </row>
    <row r="23686" spans="1:7" ht="58.5" customHeight="1" x14ac:dyDescent="0.25">
      <c r="A23686" s="5" t="str">
        <f>"H0017933"</f>
        <v>H0017933</v>
      </c>
      <c r="B23686" s="5" t="str">
        <f>"MULTIFUNCIONAL DE LASER"</f>
        <v>MULTIFUNCIONAL DE LASER</v>
      </c>
      <c r="C23686" s="6">
        <v>657102</v>
      </c>
      <c r="D23686" s="5" t="s">
        <v>240</v>
      </c>
      <c r="E23686" s="5" t="str">
        <f t="shared" si="1179"/>
        <v>ASESOR JURIDICO ADMINISTRATIVO-ONEIDA BOTELLO</v>
      </c>
      <c r="F23686" s="5" t="str">
        <f>"Descripcion: IMPRESORA MULTIFUNCIONAL Estado: Bueno Placa anterior: 000030006 Material: PASTA Color: NEGRO Referencia:  Observacion:  Placa padre: Tipo adquisicion: Entidad"</f>
        <v>Descripcion: IMPRESORA MULTIFUNCIONAL Estado: Bueno Placa anterior: 000030006 Material: PASTA Color: NEGRO Referencia:  Observacion:  Placa padre: Tipo adquisicion: Entidad</v>
      </c>
      <c r="G23686" s="5" t="str">
        <f>"LASERJET P1606DN"</f>
        <v>LASERJET P1606DN</v>
      </c>
    </row>
    <row r="23687" spans="1:7" ht="58.5" customHeight="1" x14ac:dyDescent="0.25">
      <c r="A23687" s="5" t="str">
        <f>"H0022138"</f>
        <v>H0022138</v>
      </c>
      <c r="B23687"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87" s="6">
        <v>241999.99</v>
      </c>
      <c r="D23687" s="5" t="s">
        <v>499</v>
      </c>
      <c r="E23687" s="5" t="str">
        <f t="shared" si="1179"/>
        <v>ASESOR JURIDICO ADMINISTRATIVO-ONEIDA BOTELLO</v>
      </c>
      <c r="F23687" s="5"/>
      <c r="G23687" s="5"/>
    </row>
    <row r="23688" spans="1:7" ht="58.5" customHeight="1" x14ac:dyDescent="0.25">
      <c r="A23688" s="5" t="str">
        <f>"H0022139"</f>
        <v>H0022139</v>
      </c>
      <c r="B23688"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88" s="6">
        <v>241999.99</v>
      </c>
      <c r="D23688" s="5" t="s">
        <v>499</v>
      </c>
      <c r="E23688" s="5" t="str">
        <f t="shared" si="1179"/>
        <v>ASESOR JURIDICO ADMINISTRATIVO-ONEIDA BOTELLO</v>
      </c>
      <c r="F23688" s="5"/>
      <c r="G23688" s="5"/>
    </row>
    <row r="23689" spans="1:7" ht="58.5" customHeight="1" x14ac:dyDescent="0.25">
      <c r="A23689" s="5" t="str">
        <f>"H0022140"</f>
        <v>H0022140</v>
      </c>
      <c r="B23689"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89" s="6">
        <v>241999.99</v>
      </c>
      <c r="D23689" s="5" t="s">
        <v>499</v>
      </c>
      <c r="E23689" s="5" t="str">
        <f t="shared" si="1179"/>
        <v>ASESOR JURIDICO ADMINISTRATIVO-ONEIDA BOTELLO</v>
      </c>
      <c r="F23689" s="5"/>
      <c r="G23689" s="5"/>
    </row>
    <row r="23690" spans="1:7" ht="58.5" customHeight="1" x14ac:dyDescent="0.25">
      <c r="A23690" s="5" t="str">
        <f>"H0022141"</f>
        <v>H0022141</v>
      </c>
      <c r="B2369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90" s="6">
        <v>241999.99</v>
      </c>
      <c r="D23690" s="5" t="s">
        <v>499</v>
      </c>
      <c r="E23690" s="5" t="str">
        <f t="shared" si="1179"/>
        <v>ASESOR JURIDICO ADMINISTRATIVO-ONEIDA BOTELLO</v>
      </c>
      <c r="F23690" s="5"/>
      <c r="G23690" s="5"/>
    </row>
    <row r="23691" spans="1:7" ht="58.5" customHeight="1" x14ac:dyDescent="0.25">
      <c r="A23691" s="5" t="str">
        <f>"H0025402"</f>
        <v>H0025402</v>
      </c>
      <c r="B23691"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691" s="6">
        <v>312156</v>
      </c>
      <c r="D23691" s="5" t="s">
        <v>10</v>
      </c>
      <c r="E23691" s="5" t="str">
        <f t="shared" si="1179"/>
        <v>ASESOR JURIDICO ADMINISTRATIVO-ONEIDA BOTELLO</v>
      </c>
      <c r="F23691" s="5"/>
      <c r="G23691" s="5"/>
    </row>
    <row r="23692" spans="1:7" ht="58.5" customHeight="1" x14ac:dyDescent="0.25">
      <c r="A23692" s="5" t="str">
        <f>"H0027313"</f>
        <v>H0027313</v>
      </c>
      <c r="B23692" s="5" t="str">
        <f>"ESCANER DE ALTA VELOCIDAD 35 PPM"</f>
        <v>ESCANER DE ALTA VELOCIDAD 35 PPM</v>
      </c>
      <c r="C23692" s="6">
        <v>1237171.56</v>
      </c>
      <c r="D23692" s="5" t="s">
        <v>12</v>
      </c>
      <c r="E23692" s="5" t="str">
        <f t="shared" si="1179"/>
        <v>ASESOR JURIDICO ADMINISTRATIVO-ONEIDA BOTELLO</v>
      </c>
      <c r="F23692" s="5"/>
      <c r="G23692" s="5"/>
    </row>
    <row r="23693" spans="1:7" ht="58.5" customHeight="1" x14ac:dyDescent="0.25">
      <c r="A23693" s="5" t="str">
        <f>"H0029598"</f>
        <v>H0029598</v>
      </c>
      <c r="B2369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693" s="6">
        <v>252400.18</v>
      </c>
      <c r="D23693" s="5" t="s">
        <v>15</v>
      </c>
      <c r="E23693" s="5" t="str">
        <f t="shared" si="1179"/>
        <v>ASESOR JURIDICO ADMINISTRATIVO-ONEIDA BOTELLO</v>
      </c>
      <c r="F23693" s="5"/>
      <c r="G23693" s="5"/>
    </row>
    <row r="23694" spans="1:7" ht="58.5" customHeight="1" x14ac:dyDescent="0.25">
      <c r="A23694" s="5" t="str">
        <f>"H0031480"</f>
        <v>H0031480</v>
      </c>
      <c r="B23694"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94" s="6">
        <v>3209500</v>
      </c>
      <c r="D23694" s="5" t="s">
        <v>16</v>
      </c>
      <c r="E23694" s="5" t="str">
        <f t="shared" si="1179"/>
        <v>ASESOR JURIDICO ADMINISTRATIVO-ONEIDA BOTELLO</v>
      </c>
      <c r="F23694" s="5"/>
      <c r="G23694" s="5"/>
    </row>
    <row r="23695" spans="1:7" ht="58.5" customHeight="1" x14ac:dyDescent="0.25">
      <c r="A23695" s="5" t="str">
        <f>"H0031492"</f>
        <v>H0031492</v>
      </c>
      <c r="B23695"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95" s="6">
        <v>3209500</v>
      </c>
      <c r="D23695" s="5" t="s">
        <v>16</v>
      </c>
      <c r="E23695" s="5" t="str">
        <f t="shared" si="1179"/>
        <v>ASESOR JURIDICO ADMINISTRATIVO-ONEIDA BOTELLO</v>
      </c>
      <c r="F23695" s="5"/>
      <c r="G23695" s="5"/>
    </row>
    <row r="23696" spans="1:7" ht="58.5" customHeight="1" x14ac:dyDescent="0.25">
      <c r="A23696" s="5" t="str">
        <f>"H0031889"</f>
        <v>H0031889</v>
      </c>
      <c r="B23696" s="5" t="str">
        <f>"ESCANER DE ALTA VELOCIDAD CON ALIMENTACIÓN VERTICAL DE 100 HOJAS. VELOCIDAD TRABAJO DE 65 PPM. CICLO DE TRABAJO DE 7500 HOJAS DIARIAS. RESOLUCIÓN DE HASTA 600 DPI. OCR. ESCANEO DOBLE CARA SIMULTÁNEO. DETECCIÓN PAGINAS EN BLANCO. ANCHO DE ESCANEO ENTRE 50 "&amp; "Y 216 mm. CONEXIÓN USB 2.0 DE ALTA VELOCIDAD. VOLTAJE DE ALIMENTACIÓN 100 A 240 V"</f>
        <v>ESCANER DE ALTA VELOCIDAD CON ALIMENTACIÓN VERTICAL DE 100 HOJAS. VELOCIDAD TRABAJO DE 65 PPM. CICLO DE TRABAJO DE 7500 HOJAS DIARIAS. RESOLUCIÓN DE HASTA 600 DPI. OCR. ESCANEO DOBLE CARA SIMULTÁNEO. DETECCIÓN PAGINAS EN BLANCO. ANCHO DE ESCANEO ENTRE 50 Y 216 mm. CONEXIÓN USB 2.0 DE ALTA VELOCIDAD. VOLTAJE DE ALIMENTACIÓN 100 A 240 V</v>
      </c>
      <c r="C23696" s="6">
        <v>2647750</v>
      </c>
      <c r="D23696" s="5" t="s">
        <v>44</v>
      </c>
      <c r="E23696" s="5" t="str">
        <f t="shared" si="1179"/>
        <v>ASESOR JURIDICO ADMINISTRATIVO-ONEIDA BOTELLO</v>
      </c>
      <c r="F23696" s="5"/>
      <c r="G23696" s="5" t="str">
        <f>"DS-870"</f>
        <v>DS-870</v>
      </c>
    </row>
    <row r="23697" spans="1:7" ht="58.5" customHeight="1" x14ac:dyDescent="0.25">
      <c r="A23697" s="5" t="str">
        <f>"H0034455"</f>
        <v>H0034455</v>
      </c>
      <c r="B2369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3697" s="6">
        <v>4289950</v>
      </c>
      <c r="D23697" s="5" t="s">
        <v>732</v>
      </c>
      <c r="E23697" s="5" t="str">
        <f t="shared" si="1179"/>
        <v>ASESOR JURIDICO ADMINISTRATIVO-ONEIDA BOTELLO</v>
      </c>
      <c r="F23697" s="5"/>
      <c r="G23697" s="5"/>
    </row>
    <row r="23698" spans="1:7" ht="58.5" customHeight="1" x14ac:dyDescent="0.25">
      <c r="A23698" s="5" t="str">
        <f>"H0035301"</f>
        <v>H0035301</v>
      </c>
      <c r="B23698" s="5" t="str">
        <f>"AIRE ACONDICIONADO DUAL INVERTER DE 24.000 BTU MARCA LG CON KIT DE TUBERIA DE 3 METROS"</f>
        <v>AIRE ACONDICIONADO DUAL INVERTER DE 24.000 BTU MARCA LG CON KIT DE TUBERIA DE 3 METROS</v>
      </c>
      <c r="C23698" s="6">
        <v>3554530</v>
      </c>
      <c r="D23698" s="5" t="s">
        <v>922</v>
      </c>
      <c r="E23698" s="5" t="str">
        <f t="shared" si="1179"/>
        <v>ASESOR JURIDICO ADMINISTRATIVO-ONEIDA BOTELLO</v>
      </c>
      <c r="F23698" s="5"/>
      <c r="G23698" s="5" t="str">
        <f>"011TADREJ362"</f>
        <v>011TADREJ362</v>
      </c>
    </row>
    <row r="23699" spans="1:7" ht="58.5" customHeight="1" x14ac:dyDescent="0.25">
      <c r="A23699" s="5" t="str">
        <f>"H0035327"</f>
        <v>H0035327</v>
      </c>
      <c r="B23699" s="5" t="s">
        <v>128</v>
      </c>
      <c r="C23699" s="6">
        <v>5462100</v>
      </c>
      <c r="D23699" s="5" t="s">
        <v>127</v>
      </c>
      <c r="E23699" s="5" t="str">
        <f t="shared" si="1179"/>
        <v>ASESOR JURIDICO ADMINISTRATIVO-ONEIDA BOTELLO</v>
      </c>
      <c r="F23699" s="5"/>
      <c r="G23699" s="5" t="str">
        <f>"202G4AIO"</f>
        <v>202G4AIO</v>
      </c>
    </row>
    <row r="23700" spans="1:7" ht="58.5" customHeight="1" x14ac:dyDescent="0.25">
      <c r="A23700" s="5" t="str">
        <f>"H0035865"</f>
        <v>H0035865</v>
      </c>
      <c r="B23700" s="5" t="str">
        <f>"SILLA GERENTE NIZA MEC. BASCULANTE CON BRAZOS."</f>
        <v>SILLA GERENTE NIZA MEC. BASCULANTE CON BRAZOS.</v>
      </c>
      <c r="C23700" s="6">
        <v>639999.86</v>
      </c>
      <c r="D23700" s="5" t="s">
        <v>47</v>
      </c>
      <c r="E23700" s="5" t="str">
        <f t="shared" si="1179"/>
        <v>ASESOR JURIDICO ADMINISTRATIVO-ONEIDA BOTELLO</v>
      </c>
      <c r="F23700" s="5"/>
      <c r="G23700" s="5"/>
    </row>
    <row r="23701" spans="1:7" ht="58.5" customHeight="1" x14ac:dyDescent="0.25">
      <c r="A23701" s="5" t="str">
        <f>"H0035866"</f>
        <v>H0035866</v>
      </c>
      <c r="B23701" s="5" t="str">
        <f>"SILLA GERENTE NIZA MEC. BASCULANTE CON BRAZOS."</f>
        <v>SILLA GERENTE NIZA MEC. BASCULANTE CON BRAZOS.</v>
      </c>
      <c r="C23701" s="6">
        <v>639999.86</v>
      </c>
      <c r="D23701" s="5" t="s">
        <v>47</v>
      </c>
      <c r="E23701" s="5" t="str">
        <f t="shared" si="1179"/>
        <v>ASESOR JURIDICO ADMINISTRATIVO-ONEIDA BOTELLO</v>
      </c>
      <c r="F23701" s="5"/>
      <c r="G23701" s="5"/>
    </row>
    <row r="23702" spans="1:7" ht="58.5" customHeight="1" x14ac:dyDescent="0.25">
      <c r="A23702" s="5" t="str">
        <f>"H0035867"</f>
        <v>H0035867</v>
      </c>
      <c r="B23702" s="5" t="str">
        <f>"SILLA GERENTE NIZA MEC. BASCULANTE CON BRAZOS."</f>
        <v>SILLA GERENTE NIZA MEC. BASCULANTE CON BRAZOS.</v>
      </c>
      <c r="C23702" s="6">
        <v>639999.86</v>
      </c>
      <c r="D23702" s="5" t="s">
        <v>47</v>
      </c>
      <c r="E23702" s="5" t="str">
        <f t="shared" si="1179"/>
        <v>ASESOR JURIDICO ADMINISTRATIVO-ONEIDA BOTELLO</v>
      </c>
      <c r="F23702" s="5"/>
      <c r="G23702" s="5"/>
    </row>
    <row r="23703" spans="1:7" ht="58.5" customHeight="1" x14ac:dyDescent="0.25">
      <c r="A23703" s="5" t="str">
        <f>"H0035868"</f>
        <v>H0035868</v>
      </c>
      <c r="B23703" s="5" t="str">
        <f>"SILLA GERENTE NIZA MEC. BASCULANTE CON BRAZOS."</f>
        <v>SILLA GERENTE NIZA MEC. BASCULANTE CON BRAZOS.</v>
      </c>
      <c r="C23703" s="6">
        <v>639999.86</v>
      </c>
      <c r="D23703" s="5" t="s">
        <v>47</v>
      </c>
      <c r="E23703" s="5" t="str">
        <f t="shared" si="1179"/>
        <v>ASESOR JURIDICO ADMINISTRATIVO-ONEIDA BOTELLO</v>
      </c>
      <c r="F23703" s="5"/>
      <c r="G23703" s="5"/>
    </row>
    <row r="23704" spans="1:7" ht="58.5" customHeight="1" x14ac:dyDescent="0.25">
      <c r="A23704" s="5" t="str">
        <f>"H0036007"</f>
        <v>H0036007</v>
      </c>
      <c r="B23704" s="5" t="str">
        <f>"SILLA GERENTE NIZA MEC. BASCULANTE CON BRAZOS."</f>
        <v>SILLA GERENTE NIZA MEC. BASCULANTE CON BRAZOS.</v>
      </c>
      <c r="C23704" s="6">
        <v>639999.75</v>
      </c>
      <c r="D23704" s="5" t="s">
        <v>594</v>
      </c>
      <c r="E23704" s="5" t="str">
        <f t="shared" si="1179"/>
        <v>ASESOR JURIDICO ADMINISTRATIVO-ONEIDA BOTELLO</v>
      </c>
      <c r="F23704" s="5"/>
      <c r="G23704" s="5"/>
    </row>
    <row r="23705" spans="1:7" ht="58.5" customHeight="1" x14ac:dyDescent="0.25">
      <c r="A23705" s="5" t="str">
        <f>"H0036525"</f>
        <v>H0036525</v>
      </c>
      <c r="B23705"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3705" s="6">
        <v>6307000</v>
      </c>
      <c r="D23705" s="5" t="s">
        <v>48</v>
      </c>
      <c r="E23705" s="5" t="str">
        <f t="shared" si="1179"/>
        <v>ASESOR JURIDICO ADMINISTRATIVO-ONEIDA BOTELLO</v>
      </c>
      <c r="F23705" s="5"/>
      <c r="G23705" s="5" t="str">
        <f>"VZ4680G"</f>
        <v>VZ4680G</v>
      </c>
    </row>
    <row r="23706" spans="1:7" ht="58.5" customHeight="1" x14ac:dyDescent="0.25">
      <c r="A23706" s="5" t="str">
        <f>"H0037434"</f>
        <v>H0037434</v>
      </c>
      <c r="B23706" s="5" t="str">
        <f>"AIRE ACONDICIONADO TIPO MINISPLIT CAPACIDAD 18.000 BTU TECNOLOGIA INVERTER DUAL"</f>
        <v>AIRE ACONDICIONADO TIPO MINISPLIT CAPACIDAD 18.000 BTU TECNOLOGIA INVERTER DUAL</v>
      </c>
      <c r="C23706" s="6">
        <v>4542706</v>
      </c>
      <c r="D23706" s="5" t="s">
        <v>202</v>
      </c>
      <c r="E23706" s="5" t="str">
        <f t="shared" si="1179"/>
        <v>ASESOR JURIDICO ADMINISTRATIVO-ONEIDA BOTELLO</v>
      </c>
      <c r="F23706" s="5"/>
      <c r="G23706" s="5"/>
    </row>
    <row r="23707" spans="1:7" ht="58.5" customHeight="1" x14ac:dyDescent="0.25">
      <c r="A23707" s="5" t="str">
        <f>"H0037852"</f>
        <v>H0037852</v>
      </c>
      <c r="B23707" s="5" t="str">
        <f>"SILLA GERENTE NIZA MEC. BASCULANTE CON BRAZOS."</f>
        <v>SILLA GERENTE NIZA MEC. BASCULANTE CON BRAZOS.</v>
      </c>
      <c r="C23707" s="6">
        <v>710000.01</v>
      </c>
      <c r="D23707" s="5" t="s">
        <v>30</v>
      </c>
      <c r="E23707" s="5" t="str">
        <f t="shared" si="1179"/>
        <v>ASESOR JURIDICO ADMINISTRATIVO-ONEIDA BOTELLO</v>
      </c>
      <c r="F23707" s="5"/>
      <c r="G23707" s="5"/>
    </row>
    <row r="23708" spans="1:7" ht="58.5" customHeight="1" x14ac:dyDescent="0.25">
      <c r="A23708" s="5" t="str">
        <f>"H0037853"</f>
        <v>H0037853</v>
      </c>
      <c r="B23708" s="5" t="str">
        <f>"SILLA GERENTE NIZA MEC. BASCULANTE CON BRAZOS."</f>
        <v>SILLA GERENTE NIZA MEC. BASCULANTE CON BRAZOS.</v>
      </c>
      <c r="C23708" s="6">
        <v>710000.01</v>
      </c>
      <c r="D23708" s="5" t="s">
        <v>30</v>
      </c>
      <c r="E23708" s="5" t="str">
        <f t="shared" si="1179"/>
        <v>ASESOR JURIDICO ADMINISTRATIVO-ONEIDA BOTELLO</v>
      </c>
      <c r="F23708" s="5"/>
      <c r="G23708" s="5"/>
    </row>
    <row r="23709" spans="1:7" ht="58.5" customHeight="1" x14ac:dyDescent="0.25">
      <c r="A23709" s="5" t="str">
        <f>"H0000604"</f>
        <v>H0000604</v>
      </c>
      <c r="B23709" s="5" t="str">
        <f>"SILLA INTERLOCUTORA (FIJA) SIN BRAZOS"</f>
        <v>SILLA INTERLOCUTORA (FIJA) SIN BRAZOS</v>
      </c>
      <c r="C23709" s="6">
        <v>6949.64</v>
      </c>
      <c r="D23709" s="5"/>
      <c r="E23709" s="5" t="str">
        <f t="shared" ref="E23709:E23716" si="1180">"REVISOR FISCAL-JAIME GONZALEZ SILVA"</f>
        <v>REVISOR FISCAL-JAIME GONZALEZ SILVA</v>
      </c>
      <c r="F23709" s="5" t="str">
        <f>"Descripcion: SILLA FIJA SIN BRAZOS TAPIZADA EN CUERO COLOR MARRON Estado: Bueno Placa anterior: 000006145 Material: METALICO, CUERO Color: GRIS,MARRON Referencia:  Observacion:  Placa padre: Tipo adquisicion: Entidad"</f>
        <v>Descripcion: SILLA FIJA SIN BRAZOS TAPIZADA EN CUERO COLOR MARRON Estado: Bueno Placa anterior: 000006145 Material: METALICO, CUERO Color: GRIS,MARRON Referencia:  Observacion:  Placa padre: Tipo adquisicion: Entidad</v>
      </c>
      <c r="G23709" s="5"/>
    </row>
    <row r="23710" spans="1:7" ht="58.5" customHeight="1" x14ac:dyDescent="0.25">
      <c r="A23710" s="5" t="str">
        <f>"H0000843"</f>
        <v>H0000843</v>
      </c>
      <c r="B23710" s="5" t="str">
        <f>"SILLA INTERLOCUTORA (FIJA) SIN BRAZOS"</f>
        <v>SILLA INTERLOCUTORA (FIJA) SIN BRAZOS</v>
      </c>
      <c r="C23710" s="6">
        <v>9679.7000000000007</v>
      </c>
      <c r="D23710" s="5"/>
      <c r="E23710" s="5" t="str">
        <f t="shared" si="1180"/>
        <v>REVISOR FISCAL-JAIME GONZALEZ SILVA</v>
      </c>
      <c r="F23710" s="5" t="str">
        <f>"Descripcion: SILLA FIJA TIPO A COLOR MARRON Estado: Bueno Placa anterior: 000025366 Material: METALICA CON TAPIZADO EN SEMICUERO Color: MARRON Referencia:  Observacion:  Placa padre: Tipo adquisicion: Entidad"</f>
        <v>Descripcion: SILLA FIJA TIPO A COLOR MARRON Estado: Bueno Placa anterior: 000025366 Material: METALICA CON TAPIZADO EN SEMICUERO Color: MARRON Referencia:  Observacion:  Placa padre: Tipo adquisicion: Entidad</v>
      </c>
      <c r="G23710" s="5"/>
    </row>
    <row r="23711" spans="1:7" ht="58.5" customHeight="1" x14ac:dyDescent="0.25">
      <c r="A23711" s="5" t="str">
        <f>"H0005154"</f>
        <v>H0005154</v>
      </c>
      <c r="B23711" s="5" t="str">
        <f>"MESA METALICA PARA COMPUTADOR"</f>
        <v>MESA METALICA PARA COMPUTADOR</v>
      </c>
      <c r="C23711" s="6">
        <v>100108</v>
      </c>
      <c r="D23711" s="5"/>
      <c r="E23711" s="5" t="str">
        <f t="shared" si="1180"/>
        <v>REVISOR FISCAL-JAIME GONZALEZ SILVA</v>
      </c>
      <c r="F23711" s="5" t="str">
        <f>"Descripcion: SUPERFICIE EN MADEFLEXPORTATECLADO DAÑADO Estado: Bueno Placa anterior: 000023715 Material: MADEFLEX Color: GRIS Referencia:  Observacion:  Placa padre: Tipo adquisicion: Entidad"</f>
        <v>Descripcion: SUPERFICIE EN MADEFLEXPORTATECLADO DAÑADO Estado: Bueno Placa anterior: 000023715 Material: MADEFLEX Color: GRIS Referencia:  Observacion:  Placa padre: Tipo adquisicion: Entidad</v>
      </c>
      <c r="G23711" s="5"/>
    </row>
    <row r="23712" spans="1:7" ht="58.5" customHeight="1" x14ac:dyDescent="0.25">
      <c r="A23712" s="5" t="str">
        <f>"H0024607"</f>
        <v>H0024607</v>
      </c>
      <c r="B23712"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3712" s="6">
        <v>2600000</v>
      </c>
      <c r="D23712" s="5" t="s">
        <v>36</v>
      </c>
      <c r="E23712" s="5" t="str">
        <f t="shared" si="1180"/>
        <v>REVISOR FISCAL-JAIME GONZALEZ SILVA</v>
      </c>
      <c r="F23712" s="5"/>
      <c r="G23712" s="5"/>
    </row>
    <row r="23713" spans="1:7" ht="58.5" customHeight="1" x14ac:dyDescent="0.25">
      <c r="A23713" s="5" t="str">
        <f>"H0025327"</f>
        <v>H0025327</v>
      </c>
      <c r="B23713"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713" s="6">
        <v>312156</v>
      </c>
      <c r="D23713" s="5" t="s">
        <v>10</v>
      </c>
      <c r="E23713" s="5" t="str">
        <f t="shared" si="1180"/>
        <v>REVISOR FISCAL-JAIME GONZALEZ SILVA</v>
      </c>
      <c r="F23713" s="5"/>
      <c r="G23713" s="5"/>
    </row>
    <row r="23714" spans="1:7" ht="58.5" customHeight="1" x14ac:dyDescent="0.25">
      <c r="A23714" s="5" t="str">
        <f>"H0035724"</f>
        <v>H0035724</v>
      </c>
      <c r="B23714" s="5" t="str">
        <f>"SILLA GERENTE NIZA MEC. BASCULANTE CON BRAZOS."</f>
        <v>SILLA GERENTE NIZA MEC. BASCULANTE CON BRAZOS.</v>
      </c>
      <c r="C23714" s="6">
        <v>639999.86</v>
      </c>
      <c r="D23714" s="5" t="s">
        <v>46</v>
      </c>
      <c r="E23714" s="5" t="str">
        <f t="shared" si="1180"/>
        <v>REVISOR FISCAL-JAIME GONZALEZ SILVA</v>
      </c>
      <c r="F23714" s="5"/>
      <c r="G23714" s="5"/>
    </row>
    <row r="23715" spans="1:7" ht="58.5" customHeight="1" x14ac:dyDescent="0.25">
      <c r="A23715" s="5" t="str">
        <f>"H0035845"</f>
        <v>H0035845</v>
      </c>
      <c r="B23715" s="5" t="str">
        <f>"SILLA GERENTE NIZA MEC. BASCULANTE CON BRAZOS."</f>
        <v>SILLA GERENTE NIZA MEC. BASCULANTE CON BRAZOS.</v>
      </c>
      <c r="C23715" s="6">
        <v>639999.86</v>
      </c>
      <c r="D23715" s="5" t="s">
        <v>47</v>
      </c>
      <c r="E23715" s="5" t="str">
        <f t="shared" si="1180"/>
        <v>REVISOR FISCAL-JAIME GONZALEZ SILVA</v>
      </c>
      <c r="F23715" s="5"/>
      <c r="G23715" s="5"/>
    </row>
    <row r="23716" spans="1:7" ht="58.5" customHeight="1" x14ac:dyDescent="0.25">
      <c r="A23716" s="5" t="str">
        <f>"H0037430"</f>
        <v>H0037430</v>
      </c>
      <c r="B23716" s="5" t="str">
        <f>"AIRE ACONDICIONADO TIPO MINISPLIT CAPACIDAD 12.000 BTU TECNOLOGIA INVERTER DUAL"</f>
        <v>AIRE ACONDICIONADO TIPO MINISPLIT CAPACIDAD 12.000 BTU TECNOLOGIA INVERTER DUAL</v>
      </c>
      <c r="C23716" s="6">
        <v>3261552</v>
      </c>
      <c r="D23716" s="5" t="s">
        <v>202</v>
      </c>
      <c r="E23716" s="5" t="str">
        <f t="shared" si="1180"/>
        <v>REVISOR FISCAL-JAIME GONZALEZ SILVA</v>
      </c>
      <c r="F23716" s="5"/>
      <c r="G23716" s="5"/>
    </row>
    <row r="23717" spans="1:7" ht="58.5" customHeight="1" x14ac:dyDescent="0.25">
      <c r="A23717" s="5" t="str">
        <f>"H0006246"</f>
        <v>H0006246</v>
      </c>
      <c r="B23717" s="5" t="str">
        <f>"ATRIL PORTASUERO MOVIL"</f>
        <v>ATRIL PORTASUERO MOVIL</v>
      </c>
      <c r="C23717" s="6">
        <v>145000</v>
      </c>
      <c r="D23717" s="5" t="s">
        <v>166</v>
      </c>
      <c r="E23717" s="5" t="str">
        <f t="shared" ref="E23717:E23780" si="1181">"CUIDADOS INTERMEDIOS URGENCIAS -YENNY PEÑA"</f>
        <v>CUIDADOS INTERMEDIOS URGENCIAS -YENNY PEÑA</v>
      </c>
      <c r="F23717" s="5" t="str">
        <f>"Descripcion: ATRIL. Aatril portasuero en pintura electrostatica, debe contar con sistema portasuero minimo para dos bolsas de 50ml con varilla graduable,con rodachines Estado: Bueno Placa anterior: 000031445 Material: METALICA Color: PLATEADO Referencia: "&amp; " Observacion:  Placa padre: Tipo adquisicion: Entidad"</f>
        <v>Descripcion: ATRIL. Aatril portasuero en pintura electrostatica, debe contar con sistema portasuero minimo para dos bolsas de 50ml con varilla graduable,con rodachines Estado: Bueno Placa anterior: 000031445 Material: METALICA Color: PLATEADO Referencia:  Observacion:  Placa padre: Tipo adquisicion: Entidad</v>
      </c>
      <c r="G23717" s="5" t="str">
        <f>"121-01"</f>
        <v>121-01</v>
      </c>
    </row>
    <row r="23718" spans="1:7" ht="58.5" customHeight="1" x14ac:dyDescent="0.25">
      <c r="A23718" s="5" t="str">
        <f>"H0006249"</f>
        <v>H0006249</v>
      </c>
      <c r="B23718" s="5" t="str">
        <f>"TENSIOMETRO ANEROIDE DE PEDESTAL (PIE) PARA ADULTO"</f>
        <v>TENSIOMETRO ANEROIDE DE PEDESTAL (PIE) PARA ADULTO</v>
      </c>
      <c r="C23718" s="6">
        <v>66562.16</v>
      </c>
      <c r="D23718" s="5"/>
      <c r="E23718" s="5" t="str">
        <f t="shared" si="1181"/>
        <v>CUIDADOS INTERMEDIOS URGENCIAS -YENNY PEÑA</v>
      </c>
      <c r="F23718" s="5" t="str">
        <f>"Descripcion: TENSIOMETRO ANALOGO, CON BASEY RODACHINES  Estado: Bueno Placa anterior: 000004572 Material: METAL Color: NEGRO CON PLATEADO Referencia:  Observacion:  Placa padre: Tipo adquisicion: Entidad"</f>
        <v>Descripcion: TENSIOMETRO ANALOGO, CON BASEY RODACHINES  Estado: Bueno Placa anterior: 000004572 Material: METAL Color: NEGRO CON PLATEADO Referencia:  Observacion:  Placa padre: Tipo adquisicion: Entidad</v>
      </c>
      <c r="G23718" s="5"/>
    </row>
    <row r="23719" spans="1:7" ht="58.5" customHeight="1" x14ac:dyDescent="0.25">
      <c r="A23719" s="5" t="str">
        <f>"H0006296"</f>
        <v>H0006296</v>
      </c>
      <c r="B23719" s="5" t="str">
        <f>"ATRIL PORTASUERO MOVIL"</f>
        <v>ATRIL PORTASUERO MOVIL</v>
      </c>
      <c r="C23719" s="6">
        <v>210000</v>
      </c>
      <c r="D23719" s="5" t="s">
        <v>50</v>
      </c>
      <c r="E23719" s="5" t="str">
        <f t="shared" si="1181"/>
        <v>CUIDADOS INTERMEDIOS URGENCIAS -YENNY PEÑA</v>
      </c>
      <c r="F23719" s="5" t="str">
        <f>"Descripcion: ATRIL PORTASUERO CON RODACHINAS Estado: Bueno Placa anterior: 000029700 Material: METALICA Color: PLATEADO Referencia:  Observacion:  Placa padre: Tipo adquisicion: Entidad"</f>
        <v>Descripcion: ATRIL PORTASUERO CON RODACHINAS Estado: Bueno Placa anterior: 000029700 Material: METALICA Color: PLATEADO Referencia:  Observacion:  Placa padre: Tipo adquisicion: Entidad</v>
      </c>
      <c r="G23719" s="5"/>
    </row>
    <row r="23720" spans="1:7" ht="58.5" customHeight="1" x14ac:dyDescent="0.25">
      <c r="A23720" s="5" t="str">
        <f>"H0006303"</f>
        <v>H0006303</v>
      </c>
      <c r="B23720" s="5" t="str">
        <f>"CUBETA DE ACERO INOXIDABLE CON TAPA PEQUEÑA"</f>
        <v>CUBETA DE ACERO INOXIDABLE CON TAPA PEQUEÑA</v>
      </c>
      <c r="C23720" s="6">
        <v>22335</v>
      </c>
      <c r="D23720" s="5"/>
      <c r="E23720" s="5" t="str">
        <f t="shared" si="1181"/>
        <v>CUIDADOS INTERMEDIOS URGENCIAS -YENNY PEÑA</v>
      </c>
      <c r="F23720" s="5" t="str">
        <f>"Descripcion: CUBETA EN ACERO INOXIDABLE PEQUEÑA Estado: Bueno Placa anterior: 000019716 Material: ACERO Color: PLATEADO Referencia:  Observacion:  Placa padre: Tipo adquisicion: Entidad"</f>
        <v>Descripcion: CUBETA EN ACERO INOXIDABLE PEQUEÑA Estado: Bueno Placa anterior: 000019716 Material: ACERO Color: PLATEADO Referencia:  Observacion:  Placa padre: Tipo adquisicion: Entidad</v>
      </c>
      <c r="G23720" s="5"/>
    </row>
    <row r="23721" spans="1:7" ht="58.5" customHeight="1" x14ac:dyDescent="0.25">
      <c r="A23721" s="5" t="str">
        <f>"H0006314"</f>
        <v>H0006314</v>
      </c>
      <c r="B23721" s="5" t="str">
        <f>"CAMILLA DE TRASLADO DE 2 PLANOS"</f>
        <v>CAMILLA DE TRASLADO DE 2 PLANOS</v>
      </c>
      <c r="C23721" s="6">
        <v>1845000</v>
      </c>
      <c r="D23721" s="5" t="s">
        <v>447</v>
      </c>
      <c r="E23721" s="5" t="str">
        <f t="shared" si="1181"/>
        <v>CUIDADOS INTERMEDIOS URGENCIAS -YENNY PEÑA</v>
      </c>
      <c r="F23721" s="5" t="str">
        <f>"Descripcion: CAMILLA DE TRASLADO DE 2 PLANOS, RODACHINAS Y VARANDAS Estado: Bueno Placa anterior: 000029043 Material: METAL Color: BEIGE Referencia:  Observacion: EL BIEN TIENE PLACA ANTERIOR  000043809  Placa padre: Tipo adquisicion: Entidad"</f>
        <v>Descripcion: CAMILLA DE TRASLADO DE 2 PLANOS, RODACHINAS Y VARANDAS Estado: Bueno Placa anterior: 000029043 Material: METAL Color: BEIGE Referencia:  Observacion: EL BIEN TIENE PLACA ANTERIOR  000043809  Placa padre: Tipo adquisicion: Entidad</v>
      </c>
      <c r="G23721" s="5"/>
    </row>
    <row r="23722" spans="1:7" ht="58.5" customHeight="1" x14ac:dyDescent="0.25">
      <c r="A23722" s="5" t="str">
        <f>"H0006315"</f>
        <v>H0006315</v>
      </c>
      <c r="B23722" s="5" t="str">
        <f>"ATRIL PORTASUERO MOVIL"</f>
        <v>ATRIL PORTASUERO MOVIL</v>
      </c>
      <c r="C23722" s="6">
        <v>210000</v>
      </c>
      <c r="D23722" s="5" t="s">
        <v>50</v>
      </c>
      <c r="E23722" s="5" t="str">
        <f t="shared" si="1181"/>
        <v>CUIDADOS INTERMEDIOS URGENCIAS -YENNY PEÑA</v>
      </c>
      <c r="F23722" s="5" t="str">
        <f>"Descripcion: ATRIL PORTASUERO MOVIL CON RODACHINAS Estado: Bueno Placa anterior: 000029701 Material: CROMADO Color: PLATEADO Referencia:  Observacion:  Placa padre: Tipo adquisicion: Entidad"</f>
        <v>Descripcion: ATRIL PORTASUERO MOVIL CON RODACHINAS Estado: Bueno Placa anterior: 000029701 Material: CROMADO Color: PLATEADO Referencia:  Observacion:  Placa padre: Tipo adquisicion: Entidad</v>
      </c>
      <c r="G23722" s="5"/>
    </row>
    <row r="23723" spans="1:7" ht="58.5" customHeight="1" x14ac:dyDescent="0.25">
      <c r="A23723" s="5" t="str">
        <f>"H0006324"</f>
        <v>H0006324</v>
      </c>
      <c r="B23723" s="5" t="str">
        <f>"ATRIL PORTASUERO MOVIL"</f>
        <v>ATRIL PORTASUERO MOVIL</v>
      </c>
      <c r="C23723" s="6">
        <v>210000</v>
      </c>
      <c r="D23723" s="5" t="s">
        <v>50</v>
      </c>
      <c r="E23723" s="5" t="str">
        <f t="shared" si="1181"/>
        <v>CUIDADOS INTERMEDIOS URGENCIAS -YENNY PEÑA</v>
      </c>
      <c r="F23723" s="5" t="str">
        <f>"Descripcion: ATRIL PORTASUERO MOVIL GRADUABLE Estado: Bueno Placa anterior: 000029704 Material: METAL Color: GRIS Referencia:  Observacion:  Placa padre: Tipo adquisicion: Entidad"</f>
        <v>Descripcion: ATRIL PORTASUERO MOVIL GRADUABLE Estado: Bueno Placa anterior: 000029704 Material: METAL Color: GRIS Referencia:  Observacion:  Placa padre: Tipo adquisicion: Entidad</v>
      </c>
      <c r="G23723" s="5"/>
    </row>
    <row r="23724" spans="1:7" ht="58.5" customHeight="1" x14ac:dyDescent="0.25">
      <c r="A23724" s="5" t="str">
        <f>"H0006405"</f>
        <v>H0006405</v>
      </c>
      <c r="B23724" s="5" t="str">
        <f>"FONENDOSCOPIO (ESTETOSCOPIO) PARA ADULTO"</f>
        <v>FONENDOSCOPIO (ESTETOSCOPIO) PARA ADULTO</v>
      </c>
      <c r="C23724" s="6">
        <v>61597.18</v>
      </c>
      <c r="D23724" s="5"/>
      <c r="E23724" s="5" t="str">
        <f t="shared" si="1181"/>
        <v>CUIDADOS INTERMEDIOS URGENCIAS -YENNY PEÑA</v>
      </c>
      <c r="F23724" s="5" t="str">
        <f>"Descripcion: FONENDOSCOPIO (ESTETOSCOPIO) PARA ADULTO Estado: Bueno Placa anterior: 000019284 Material: METAL Y CAUCHO Color:  Referencia:  Observacion: DIAFRAGMA DAÑADO Placa padre: Tipo adquisicion: Entidad"</f>
        <v>Descripcion: FONENDOSCOPIO (ESTETOSCOPIO) PARA ADULTO Estado: Bueno Placa anterior: 000019284 Material: METAL Y CAUCHO Color:  Referencia:  Observacion: DIAFRAGMA DAÑADO Placa padre: Tipo adquisicion: Entidad</v>
      </c>
      <c r="G23724" s="5"/>
    </row>
    <row r="23725" spans="1:7" ht="58.5" customHeight="1" x14ac:dyDescent="0.25">
      <c r="A23725" s="5" t="str">
        <f>"H0006407"</f>
        <v>H0006407</v>
      </c>
      <c r="B23725" s="5" t="str">
        <f>"FONENDOSCOPIO (ESTETOSCOPIO) DE 2 SERVICIOS"</f>
        <v>FONENDOSCOPIO (ESTETOSCOPIO) DE 2 SERVICIOS</v>
      </c>
      <c r="C23725" s="6">
        <v>301600</v>
      </c>
      <c r="D23725" s="5"/>
      <c r="E23725" s="5" t="str">
        <f t="shared" si="1181"/>
        <v>CUIDADOS INTERMEDIOS URGENCIAS -YENNY PEÑA</v>
      </c>
      <c r="F23725" s="5" t="str">
        <f>"Descripcion: FONENDOSCOPIO (ESTETOSCOPIO) DE 2 SERVICIOS Estado: Bueno Placa anterior: 000031142 Material: METAL Y CAUCHO Color:  Referencia:  Observacion:  Placa padre: Tipo adquisicion: Entidad"</f>
        <v>Descripcion: FONENDOSCOPIO (ESTETOSCOPIO) DE 2 SERVICIOS Estado: Bueno Placa anterior: 000031142 Material: METAL Y CAUCHO Color:  Referencia:  Observacion:  Placa padre: Tipo adquisicion: Entidad</v>
      </c>
      <c r="G23725" s="5"/>
    </row>
    <row r="23726" spans="1:7" ht="58.5" customHeight="1" x14ac:dyDescent="0.25">
      <c r="A23726" s="5" t="str">
        <f>"H0006422"</f>
        <v>H0006422</v>
      </c>
      <c r="B23726" s="5" t="str">
        <f>"ATRIL PORTASUERO MOVIL"</f>
        <v>ATRIL PORTASUERO MOVIL</v>
      </c>
      <c r="C23726" s="6">
        <v>210000</v>
      </c>
      <c r="D23726" s="5" t="s">
        <v>50</v>
      </c>
      <c r="E23726" s="5" t="str">
        <f t="shared" si="1181"/>
        <v>CUIDADOS INTERMEDIOS URGENCIAS -YENNY PEÑA</v>
      </c>
      <c r="F23726" s="5" t="str">
        <f>"Descripcion: ATRIL PORTASUERO MOVIL CON RODACHINAS Estado: Bueno Placa anterior: 000029719 Material: METAL Color: PLATEADO Referencia:  Observacion:  Placa padre: Tipo adquisicion: Entidad"</f>
        <v>Descripcion: ATRIL PORTASUERO MOVIL CON RODACHINAS Estado: Bueno Placa anterior: 000029719 Material: METAL Color: PLATEADO Referencia:  Observacion:  Placa padre: Tipo adquisicion: Entidad</v>
      </c>
      <c r="G23726" s="5"/>
    </row>
    <row r="23727" spans="1:7" ht="58.5" customHeight="1" x14ac:dyDescent="0.25">
      <c r="A23727" s="5" t="str">
        <f>"H0006429"</f>
        <v>H0006429</v>
      </c>
      <c r="B23727" s="5" t="str">
        <f>"PATO (COPROLOGICO) MUJER"</f>
        <v>PATO (COPROLOGICO) MUJER</v>
      </c>
      <c r="C23727" s="6">
        <v>47823</v>
      </c>
      <c r="D23727" s="5"/>
      <c r="E23727" s="5" t="str">
        <f t="shared" si="1181"/>
        <v>CUIDADOS INTERMEDIOS URGENCIAS -YENNY PEÑA</v>
      </c>
      <c r="F23727" s="5" t="str">
        <f>"Descripcion: PATO (COPROLOGICO) MUJER EN ACERO INOXIDABLE Estado: Bueno Placa anterior: 000019597 Material: ACERO Color: PLATEADO Referencia:  Observacion:  Placa padre: Tipo adquisicion: Entidad"</f>
        <v>Descripcion: PATO (COPROLOGICO) MUJER EN ACERO INOXIDABLE Estado: Bueno Placa anterior: 000019597 Material: ACERO Color: PLATEADO Referencia:  Observacion:  Placa padre: Tipo adquisicion: Entidad</v>
      </c>
      <c r="G23727" s="5"/>
    </row>
    <row r="23728" spans="1:7" ht="58.5" customHeight="1" x14ac:dyDescent="0.25">
      <c r="A23728" s="5" t="str">
        <f>"H0006986"</f>
        <v>H0006986</v>
      </c>
      <c r="B23728" s="5" t="str">
        <f>"ELECTROCARDIOGRAFO"</f>
        <v>ELECTROCARDIOGRAFO</v>
      </c>
      <c r="C23728" s="6">
        <v>5600000</v>
      </c>
      <c r="D23728" s="5"/>
      <c r="E23728" s="5" t="str">
        <f t="shared" si="1181"/>
        <v>CUIDADOS INTERMEDIOS URGENCIAS -YENNY PEÑA</v>
      </c>
      <c r="F23728" s="5" t="str">
        <f>"Descripcion: ELECTROCARDIOGRAFO DIGITAL CON DISPONIBILIDAD DE PAPEL UNIVERSAL Y NACIONAL Estado: Bueno Placa anterior: 000027795 Material: PASTA Color: BLANCO Referencia:  Observacion:  Placa padre: Tipo adquisicion: Entidad"</f>
        <v>Descripcion: ELECTROCARDIOGRAFO DIGITAL CON DISPONIBILIDAD DE PAPEL UNIVERSAL Y NACIONAL Estado: Bueno Placa anterior: 000027795 Material: PASTA Color: BLANCO Referencia:  Observacion:  Placa padre: Tipo adquisicion: Entidad</v>
      </c>
      <c r="G23728" s="5" t="str">
        <f>"CE-1"</f>
        <v>CE-1</v>
      </c>
    </row>
    <row r="23729" spans="1:7" ht="58.5" customHeight="1" x14ac:dyDescent="0.25">
      <c r="A23729" s="5" t="str">
        <f>"H0006988"</f>
        <v>H0006988</v>
      </c>
      <c r="B23729" s="5" t="str">
        <f>"CARRO DE PARO"</f>
        <v>CARRO DE PARO</v>
      </c>
      <c r="C23729" s="6">
        <v>719200</v>
      </c>
      <c r="D23729" s="5"/>
      <c r="E23729" s="5" t="str">
        <f t="shared" si="1181"/>
        <v>CUIDADOS INTERMEDIOS URGENCIAS -YENNY PEÑA</v>
      </c>
      <c r="F23729" s="5" t="str">
        <f>"Descripcion: CARRO DE PARO Estado: Bueno Placa anterior:  Material: ACERO Color: GRIS Referencia:  Observacion: BUEN ESTADO Placa padre: Tipo adquisicion: Entidad"</f>
        <v>Descripcion: CARRO DE PARO Estado: Bueno Placa anterior:  Material: ACERO Color: GRIS Referencia:  Observacion: BUEN ESTADO Placa padre: Tipo adquisicion: Entidad</v>
      </c>
      <c r="G23729" s="5"/>
    </row>
    <row r="23730" spans="1:7" ht="58.5" customHeight="1" x14ac:dyDescent="0.25">
      <c r="A23730" s="5" t="str">
        <f>"H0006990"</f>
        <v>H0006990</v>
      </c>
      <c r="B23730" s="5" t="str">
        <f>"MESA (CARRO) DE CURACIONES"</f>
        <v>MESA (CARRO) DE CURACIONES</v>
      </c>
      <c r="C23730" s="6">
        <v>27500</v>
      </c>
      <c r="D23730" s="5"/>
      <c r="E23730" s="5" t="str">
        <f t="shared" si="1181"/>
        <v>CUIDADOS INTERMEDIOS URGENCIAS -YENNY PEÑA</v>
      </c>
      <c r="F23730" s="5" t="str">
        <f>"Descripcion: CARRO DE CURACIONES Estado: Bueno Placa anterior: 000027337 Material: METAL CON ACERO Color: VERDE MARINA Referencia:  Observacion:  Placa padre: Tipo adquisicion: Entidad"</f>
        <v>Descripcion: CARRO DE CURACIONES Estado: Bueno Placa anterior: 000027337 Material: METAL CON ACERO Color: VERDE MARINA Referencia:  Observacion:  Placa padre: Tipo adquisicion: Entidad</v>
      </c>
      <c r="G23730" s="5"/>
    </row>
    <row r="23731" spans="1:7" ht="58.5" customHeight="1" x14ac:dyDescent="0.25">
      <c r="A23731" s="5" t="str">
        <f>"H0006998"</f>
        <v>H0006998</v>
      </c>
      <c r="B23731" s="5" t="str">
        <f>"MESA (CARRO) DE CURACIONES"</f>
        <v>MESA (CARRO) DE CURACIONES</v>
      </c>
      <c r="C23731" s="6">
        <v>27500</v>
      </c>
      <c r="D23731" s="5"/>
      <c r="E23731" s="5" t="str">
        <f t="shared" si="1181"/>
        <v>CUIDADOS INTERMEDIOS URGENCIAS -YENNY PEÑA</v>
      </c>
      <c r="F23731" s="5" t="str">
        <f>"Descripcion: CARRO DE CURACIONES CON RUEDAS MEDIO DE TRANSPORTE Estado: Bueno Placa anterior: 000019764 Material: ACERO Color: GRIS Referencia:  Observacion:  Placa padre: Tipo adquisicion: Entidad"</f>
        <v>Descripcion: CARRO DE CURACIONES CON RUEDAS MEDIO DE TRANSPORTE Estado: Bueno Placa anterior: 000019764 Material: ACERO Color: GRIS Referencia:  Observacion:  Placa padre: Tipo adquisicion: Entidad</v>
      </c>
      <c r="G23731" s="5"/>
    </row>
    <row r="23732" spans="1:7" ht="58.5" customHeight="1" x14ac:dyDescent="0.25">
      <c r="A23732" s="5" t="str">
        <f>"H0007000"</f>
        <v>H0007000</v>
      </c>
      <c r="B23732" s="5" t="str">
        <f>"CAMILLA DE TRASLADO DE 2 PLANOS"</f>
        <v>CAMILLA DE TRASLADO DE 2 PLANOS</v>
      </c>
      <c r="C23732" s="6">
        <v>1780000</v>
      </c>
      <c r="D23732" s="5" t="s">
        <v>63</v>
      </c>
      <c r="E23732" s="5" t="str">
        <f t="shared" si="1181"/>
        <v>CUIDADOS INTERMEDIOS URGENCIAS -YENNY PEÑA</v>
      </c>
      <c r="F23732" s="5" t="str">
        <f>"Descripcion: CAMILLA MECANICA DOS PLANOS Estado: Excelente Placa anterior: 000037764 Material: METAL Color: GRIS CLARO Referencia:  Observacion:  Placa padre: Tipo adquisicion: Entidad"</f>
        <v>Descripcion: CAMILLA MECANICA DOS PLANOS Estado: Excelente Placa anterior: 000037764 Material: METAL Color: GRIS CLARO Referencia:  Observacion:  Placa padre: Tipo adquisicion: Entidad</v>
      </c>
      <c r="G23732" s="5"/>
    </row>
    <row r="23733" spans="1:7" ht="58.5" customHeight="1" x14ac:dyDescent="0.25">
      <c r="A23733" s="5" t="str">
        <f>"H0007241"</f>
        <v>H0007241</v>
      </c>
      <c r="B23733" s="5" t="str">
        <f>"CAMILLA DE TRASLADO DE 2 PLANOS"</f>
        <v>CAMILLA DE TRASLADO DE 2 PLANOS</v>
      </c>
      <c r="C23733" s="6">
        <v>1780000</v>
      </c>
      <c r="D23733" s="5" t="s">
        <v>63</v>
      </c>
      <c r="E23733" s="5" t="str">
        <f t="shared" si="1181"/>
        <v>CUIDADOS INTERMEDIOS URGENCIAS -YENNY PEÑA</v>
      </c>
      <c r="F23733" s="5" t="str">
        <f>"Descripcion: CAMILLA MECANICA DOS PLANOS Estado: Bueno Placa anterior: 000037750 Material: METALICO Color: BEIGE Referencia:  Observacion:  Placa padre: Tipo adquisicion: Entidad"</f>
        <v>Descripcion: CAMILLA MECANICA DOS PLANOS Estado: Bueno Placa anterior: 000037750 Material: METALICO Color: BEIGE Referencia:  Observacion:  Placa padre: Tipo adquisicion: Entidad</v>
      </c>
      <c r="G23733" s="5"/>
    </row>
    <row r="23734" spans="1:7" ht="58.5" customHeight="1" x14ac:dyDescent="0.25">
      <c r="A23734" s="5" t="str">
        <f>"H0007244"</f>
        <v>H0007244</v>
      </c>
      <c r="B23734" s="5" t="str">
        <f>"ATRIL PORTASUERO MOVIL"</f>
        <v>ATRIL PORTASUERO MOVIL</v>
      </c>
      <c r="C23734" s="6">
        <v>210000</v>
      </c>
      <c r="D23734" s="5" t="s">
        <v>50</v>
      </c>
      <c r="E23734" s="5" t="str">
        <f t="shared" si="1181"/>
        <v>CUIDADOS INTERMEDIOS URGENCIAS -YENNY PEÑA</v>
      </c>
      <c r="F23734" s="5" t="str">
        <f>"Descripcion: ATRIL MOVIL Estado: Bueno Placa anterior: 000029722 Material: ACERO INOXIDABLE Color: BEIGE Referencia:  Observacion:  Placa padre: Tipo adquisicion: Entidad"</f>
        <v>Descripcion: ATRIL MOVIL Estado: Bueno Placa anterior: 000029722 Material: ACERO INOXIDABLE Color: BEIGE Referencia:  Observacion:  Placa padre: Tipo adquisicion: Entidad</v>
      </c>
      <c r="G23734" s="5"/>
    </row>
    <row r="23735" spans="1:7" ht="58.5" customHeight="1" x14ac:dyDescent="0.25">
      <c r="A23735" s="5" t="str">
        <f>"H0007249"</f>
        <v>H0007249</v>
      </c>
      <c r="B23735" s="5" t="str">
        <f>"ATRIL PORTASUERO MOVIL"</f>
        <v>ATRIL PORTASUERO MOVIL</v>
      </c>
      <c r="C23735" s="6">
        <v>5489</v>
      </c>
      <c r="D23735" s="5"/>
      <c r="E23735" s="5" t="str">
        <f t="shared" si="1181"/>
        <v>CUIDADOS INTERMEDIOS URGENCIAS -YENNY PEÑA</v>
      </c>
      <c r="F23735" s="5" t="str">
        <f>"Descripcion: ATRIL MOVIL. Estado: Bueno Placa anterior: 000022047 Material: ACERO INOXIDABLE Color:  Referencia:  Observacion:  Placa padre: Tipo adquisicion: Entidad"</f>
        <v>Descripcion: ATRIL MOVIL. Estado: Bueno Placa anterior: 000022047 Material: ACERO INOXIDABLE Color:  Referencia:  Observacion:  Placa padre: Tipo adquisicion: Entidad</v>
      </c>
      <c r="G23735" s="5"/>
    </row>
    <row r="23736" spans="1:7" ht="58.5" customHeight="1" x14ac:dyDescent="0.25">
      <c r="A23736" s="5" t="str">
        <f>"H0007263"</f>
        <v>H0007263</v>
      </c>
      <c r="B23736" s="5" t="str">
        <f>"ATRIL PORTASUERO MOVIL"</f>
        <v>ATRIL PORTASUERO MOVIL</v>
      </c>
      <c r="C23736" s="6">
        <v>145000</v>
      </c>
      <c r="D23736" s="5" t="s">
        <v>166</v>
      </c>
      <c r="E23736" s="5" t="str">
        <f t="shared" si="1181"/>
        <v>CUIDADOS INTERMEDIOS URGENCIAS -YENNY PEÑA</v>
      </c>
      <c r="F23736" s="5" t="str">
        <f>"Descripcion: ATRIL MOVIL. Estado: Bueno Placa anterior: 000031427 Material: METALICO Color: BEIGE Referencia:  Observacion:  Placa padre: Tipo adquisicion: Entidad"</f>
        <v>Descripcion: ATRIL MOVIL. Estado: Bueno Placa anterior: 000031427 Material: METALICO Color: BEIGE Referencia:  Observacion:  Placa padre: Tipo adquisicion: Entidad</v>
      </c>
      <c r="G23736" s="5"/>
    </row>
    <row r="23737" spans="1:7" ht="58.5" customHeight="1" x14ac:dyDescent="0.25">
      <c r="A23737" s="5" t="str">
        <f>"H0007297"</f>
        <v>H0007297</v>
      </c>
      <c r="B23737" s="5" t="str">
        <f>"CUBETA DE ACERO INOXIDABLE CON TAPA GRANDE"</f>
        <v>CUBETA DE ACERO INOXIDABLE CON TAPA GRANDE</v>
      </c>
      <c r="C23737" s="6">
        <v>22335</v>
      </c>
      <c r="D23737" s="5"/>
      <c r="E23737" s="5" t="str">
        <f t="shared" si="1181"/>
        <v>CUIDADOS INTERMEDIOS URGENCIAS -YENNY PEÑA</v>
      </c>
      <c r="F23737" s="5" t="str">
        <f>"Descripcion: CUBETA EN ACERO INOXIDABLE SIN TAPA Estado: Bueno Placa anterior: 000019953 Material: ACERO INOXIDABLE Color:  Referencia:  Observacion:  Placa padre: Tipo adquisicion: Entidad"</f>
        <v>Descripcion: CUBETA EN ACERO INOXIDABLE SIN TAPA Estado: Bueno Placa anterior: 000019953 Material: ACERO INOXIDABLE Color:  Referencia:  Observacion:  Placa padre: Tipo adquisicion: Entidad</v>
      </c>
      <c r="G23737" s="5"/>
    </row>
    <row r="23738" spans="1:7" ht="58.5" customHeight="1" x14ac:dyDescent="0.25">
      <c r="A23738" s="5" t="str">
        <f>"H0009091"</f>
        <v>H0009091</v>
      </c>
      <c r="B23738" s="5" t="str">
        <f>"ATRIL PORTASUERO MOVIL"</f>
        <v>ATRIL PORTASUERO MOVIL</v>
      </c>
      <c r="C23738" s="6">
        <v>145000</v>
      </c>
      <c r="D23738" s="5" t="s">
        <v>166</v>
      </c>
      <c r="E23738" s="5" t="str">
        <f t="shared" si="1181"/>
        <v>CUIDADOS INTERMEDIOS URGENCIAS -YENNY PEÑA</v>
      </c>
      <c r="F23738" s="5" t="str">
        <f>"Descripcion: ATRIL PORTASUERO CAPACIDAD 2 POTES Estado: Bueno Placa anterior: 000031433 Material: ACERO INOXIDABLE Color: PLATEADO Referencia:  Observacion:  Placa padre: Tipo adquisicion: Entidad"</f>
        <v>Descripcion: ATRIL PORTASUERO CAPACIDAD 2 POTES Estado: Bueno Placa anterior: 000031433 Material: ACERO INOXIDABLE Color: PLATEADO Referencia:  Observacion:  Placa padre: Tipo adquisicion: Entidad</v>
      </c>
      <c r="G23738" s="5"/>
    </row>
    <row r="23739" spans="1:7" ht="58.5" customHeight="1" x14ac:dyDescent="0.25">
      <c r="A23739" s="5" t="str">
        <f>"H0009092"</f>
        <v>H0009092</v>
      </c>
      <c r="B23739" s="5" t="str">
        <f>"ATRIL PORTASUERO MOVIL"</f>
        <v>ATRIL PORTASUERO MOVIL</v>
      </c>
      <c r="C23739" s="6">
        <v>145000</v>
      </c>
      <c r="D23739" s="5" t="s">
        <v>166</v>
      </c>
      <c r="E23739" s="5" t="str">
        <f t="shared" si="1181"/>
        <v>CUIDADOS INTERMEDIOS URGENCIAS -YENNY PEÑA</v>
      </c>
      <c r="F23739" s="5" t="str">
        <f>"Descripcion: ATRIL PORTASUERO CAPACIDAD 2 POTES Estado: Bueno Placa anterior: 000031434 Material: ACERO INOXIDABLE Color: PLATEADO Referencia:  Observacion:  Placa padre: Tipo adquisicion: Entidad"</f>
        <v>Descripcion: ATRIL PORTASUERO CAPACIDAD 2 POTES Estado: Bueno Placa anterior: 000031434 Material: ACERO INOXIDABLE Color: PLATEADO Referencia:  Observacion:  Placa padre: Tipo adquisicion: Entidad</v>
      </c>
      <c r="G23739" s="5"/>
    </row>
    <row r="23740" spans="1:7" ht="58.5" customHeight="1" x14ac:dyDescent="0.25">
      <c r="A23740" s="5" t="str">
        <f>"H0009094"</f>
        <v>H0009094</v>
      </c>
      <c r="B23740" s="5" t="str">
        <f>"SILLA DE RUEDAS"</f>
        <v>SILLA DE RUEDAS</v>
      </c>
      <c r="C23740" s="6">
        <v>650000</v>
      </c>
      <c r="D23740" s="5"/>
      <c r="E23740" s="5" t="str">
        <f t="shared" si="1181"/>
        <v>CUIDADOS INTERMEDIOS URGENCIAS -YENNY PEÑA</v>
      </c>
      <c r="F23740" s="5" t="str">
        <f>"Descripcion: SILLA DE RUEDA ADULTO ESTANDAR CON BRAZOS Y DESCANSAPIES DESMONTABLES CON MARCO PLEGABLE CALIBRE 18 DE 7/8 Estado: Bueno Placa anterior: 000026211 Material: ACERO METALICO CUERINA Color: PLATEADO  AZUL Referencia:  Observacion:  Placa padre: "&amp; "Tipo adquisicion: Entidad"</f>
        <v>Descripcion: SILLA DE RUEDA ADULTO ESTANDAR CON BRAZOS Y DESCANSAPIES DESMONTABLES CON MARCO PLEGABLE CALIBRE 18 DE 7/8 Estado: Bueno Placa anterior: 000026211 Material: ACERO METALICO CUERINA Color: PLATEADO  AZUL Referencia:  Observacion:  Placa padre: Tipo adquisicion: Entidad</v>
      </c>
      <c r="G23740" s="5"/>
    </row>
    <row r="23741" spans="1:7" ht="58.5" customHeight="1" x14ac:dyDescent="0.25">
      <c r="A23741" s="5" t="str">
        <f>"H0009157"</f>
        <v>H0009157</v>
      </c>
      <c r="B23741" s="5" t="str">
        <f>"RIÑONERA HOSPITALARIA EN ACERO INOXIDABLE"</f>
        <v>RIÑONERA HOSPITALARIA EN ACERO INOXIDABLE</v>
      </c>
      <c r="C23741" s="6">
        <v>3783.04</v>
      </c>
      <c r="D23741" s="5"/>
      <c r="E23741" s="5" t="str">
        <f t="shared" si="1181"/>
        <v>CUIDADOS INTERMEDIOS URGENCIAS -YENNY PEÑA</v>
      </c>
      <c r="F23741" s="5" t="str">
        <f>"Descripcion: RIÑONERA HOSPITALARIA DE ACERO INOXIDABLE  Estado: Bueno Placa anterior: 000019868 Material: ACERO INOXIDABLE Color: PLATIADO Referencia:  Observacion: BUEN ESTADO Placa padre: Tipo adquisicion: Entidad"</f>
        <v>Descripcion: RIÑONERA HOSPITALARIA DE ACERO INOXIDABLE  Estado: Bueno Placa anterior: 000019868 Material: ACERO INOXIDABLE Color: PLATIADO Referencia:  Observacion: BUEN ESTADO Placa padre: Tipo adquisicion: Entidad</v>
      </c>
      <c r="G23741" s="5"/>
    </row>
    <row r="23742" spans="1:7" ht="58.5" customHeight="1" x14ac:dyDescent="0.25">
      <c r="A23742" s="5" t="str">
        <f>"H0009188"</f>
        <v>H0009188</v>
      </c>
      <c r="B23742" s="5" t="str">
        <f>"BIOMBO METALICO DE 3 CUERPOS"</f>
        <v>BIOMBO METALICO DE 3 CUERPOS</v>
      </c>
      <c r="C23742" s="6">
        <v>307400</v>
      </c>
      <c r="D23742" s="5" t="s">
        <v>166</v>
      </c>
      <c r="E23742" s="5" t="str">
        <f t="shared" si="1181"/>
        <v>CUIDADOS INTERMEDIOS URGENCIAS -YENNY PEÑA</v>
      </c>
      <c r="F23742" s="5" t="str">
        <f>"Descripcion: BIOMBOS. Debe contenero como minimo 3 cuerpos en material lavable -antifluido, fabricado en tubo redondo de 1.25x1.80 de altura con 5 patas y tapones de caucho Estado: Bueno Placa anterior: 000031482 Material: METAL Y PLASTICO Color: BLANCO R"&amp; "eferencia:  Observacion: BUEN ESTADO Placa padre: Tipo adquisicion: Entidad"</f>
        <v>Descripcion: BIOMBOS. Debe contenero como minimo 3 cuerpos en material lavable -antifluido, fabricado en tubo redondo de 1.25x1.80 de altura con 5 patas y tapones de caucho Estado: Bueno Placa anterior: 000031482 Material: METAL Y PLASTICO Color: BLANCO Referencia:  Observacion: BUEN ESTADO Placa padre: Tipo adquisicion: Entidad</v>
      </c>
      <c r="G23742" s="5" t="str">
        <f>"101-13"</f>
        <v>101-13</v>
      </c>
    </row>
    <row r="23743" spans="1:7" ht="58.5" customHeight="1" x14ac:dyDescent="0.25">
      <c r="A23743" s="5" t="str">
        <f>"H0009194"</f>
        <v>H0009194</v>
      </c>
      <c r="B23743" s="5" t="str">
        <f>"CUBETA DE ACERO INOXIDABLE CON TAPA MEDIANA"</f>
        <v>CUBETA DE ACERO INOXIDABLE CON TAPA MEDIANA</v>
      </c>
      <c r="C23743" s="6">
        <v>22335</v>
      </c>
      <c r="D23743" s="5"/>
      <c r="E23743" s="5" t="str">
        <f t="shared" si="1181"/>
        <v>CUIDADOS INTERMEDIOS URGENCIAS -YENNY PEÑA</v>
      </c>
      <c r="F23743" s="5" t="str">
        <f>"Descripcion: BANDEJA CUBETA DE ACERO 24 ANCHO * 14 FONDO* 5 CM ALTO Estado: Bueno Placa anterior: 000019637 Material: ACERO INOXIDABLE Color: PLATEADO Referencia:  Observacion: BUEN ESTADO Placa padre: Tipo adquisicion: Entidad"</f>
        <v>Descripcion: BANDEJA CUBETA DE ACERO 24 ANCHO * 14 FONDO* 5 CM ALTO Estado: Bueno Placa anterior: 000019637 Material: ACERO INOXIDABLE Color: PLATEADO Referencia:  Observacion: BUEN ESTADO Placa padre: Tipo adquisicion: Entidad</v>
      </c>
      <c r="G23743" s="5"/>
    </row>
    <row r="23744" spans="1:7" ht="58.5" customHeight="1" x14ac:dyDescent="0.25">
      <c r="A23744" s="5" t="str">
        <f>"H0009205"</f>
        <v>H0009205</v>
      </c>
      <c r="B23744" s="5" t="str">
        <f>"MESA (CARRO) DE CURACIONES"</f>
        <v>MESA (CARRO) DE CURACIONES</v>
      </c>
      <c r="C23744" s="6">
        <v>11880</v>
      </c>
      <c r="D23744" s="5"/>
      <c r="E23744" s="5" t="str">
        <f t="shared" si="1181"/>
        <v>CUIDADOS INTERMEDIOS URGENCIAS -YENNY PEÑA</v>
      </c>
      <c r="F23744" s="5" t="str">
        <f>"Descripcion: MESA DE CURACIONES 2 NIVELES Estado: Bueno Placa anterior: 000019799 Material: ACERO INOX. Color: PLATEADO Referencia:  Observacion:  Placa padre: Tipo adquisicion: Entidad"</f>
        <v>Descripcion: MESA DE CURACIONES 2 NIVELES Estado: Bueno Placa anterior: 000019799 Material: ACERO INOX. Color: PLATEADO Referencia:  Observacion:  Placa padre: Tipo adquisicion: Entidad</v>
      </c>
      <c r="G23744" s="5"/>
    </row>
    <row r="23745" spans="1:7" ht="58.5" customHeight="1" x14ac:dyDescent="0.25">
      <c r="A23745" s="5" t="str">
        <f>"H0010002"</f>
        <v>H0010002</v>
      </c>
      <c r="B23745" s="5" t="str">
        <f>"ESCALERILLA DE 2 PASOS"</f>
        <v>ESCALERILLA DE 2 PASOS</v>
      </c>
      <c r="C23745" s="6">
        <v>100000</v>
      </c>
      <c r="D23745" s="5" t="s">
        <v>49</v>
      </c>
      <c r="E23745" s="5" t="str">
        <f t="shared" si="1181"/>
        <v>CUIDADOS INTERMEDIOS URGENCIAS -YENNY PEÑA</v>
      </c>
      <c r="F23745" s="5" t="str">
        <f>"Descripcion: ESCALERILLA DE DOS PASOS Estado: Bueno Placa anterior: 000029833 Material: METAL CON PASTA Color: BLANCA Referencia:  Observacion:  Placa padre: Tipo adquisicion: Entidad"</f>
        <v>Descripcion: ESCALERILLA DE DOS PASOS Estado: Bueno Placa anterior: 000029833 Material: METAL CON PASTA Color: BLANCA Referencia:  Observacion:  Placa padre: Tipo adquisicion: Entidad</v>
      </c>
      <c r="G23745" s="5"/>
    </row>
    <row r="23746" spans="1:7" ht="58.5" customHeight="1" x14ac:dyDescent="0.25">
      <c r="A23746" s="5" t="str">
        <f>"H0010003"</f>
        <v>H0010003</v>
      </c>
      <c r="B23746" s="5" t="str">
        <f>"BIOMBO METALICO DE 3 CUERPOS"</f>
        <v>BIOMBO METALICO DE 3 CUERPOS</v>
      </c>
      <c r="C23746" s="6">
        <v>307400</v>
      </c>
      <c r="D23746" s="5" t="s">
        <v>166</v>
      </c>
      <c r="E23746" s="5" t="str">
        <f t="shared" si="1181"/>
        <v>CUIDADOS INTERMEDIOS URGENCIAS -YENNY PEÑA</v>
      </c>
      <c r="F23746" s="5" t="str">
        <f>"Descripcion: BIOMBOS. Debe contenero como minimo 3 cuerpos en material lavable -antifluido, fabricado en tubo redondo de 1.25x1.80 de altura con 5 patas y tapones de caucho Estado: Bueno Placa anterior: 000031483 Material: METAL Color: BEIGE Referencia:  "&amp; "Observacion:  Placa padre: Tipo adquisicion: Entidad"</f>
        <v>Descripcion: BIOMBOS. Debe contenero como minimo 3 cuerpos en material lavable -antifluido, fabricado en tubo redondo de 1.25x1.80 de altura con 5 patas y tapones de caucho Estado: Bueno Placa anterior: 000031483 Material: METAL Color: BEIGE Referencia:  Observacion:  Placa padre: Tipo adquisicion: Entidad</v>
      </c>
      <c r="G23746" s="5" t="str">
        <f>"101-13"</f>
        <v>101-13</v>
      </c>
    </row>
    <row r="23747" spans="1:7" ht="58.5" customHeight="1" x14ac:dyDescent="0.25">
      <c r="A23747" s="5" t="str">
        <f>"H0010007"</f>
        <v>H0010007</v>
      </c>
      <c r="B23747" s="5" t="str">
        <f>"ATRIL PORTASUERO MOVIL"</f>
        <v>ATRIL PORTASUERO MOVIL</v>
      </c>
      <c r="C23747" s="6">
        <v>210000</v>
      </c>
      <c r="D23747" s="5" t="s">
        <v>50</v>
      </c>
      <c r="E23747" s="5" t="str">
        <f t="shared" si="1181"/>
        <v>CUIDADOS INTERMEDIOS URGENCIAS -YENNY PEÑA</v>
      </c>
      <c r="F23747" s="5" t="str">
        <f>"Descripcion: ATRIL EN ACERO INOXIDABLE QUIRURGICO ANTIMAGNETICO Estado: Bueno Placa anterior: 000029721 Material: ACERO Color: GRIS Referencia:  Observacion:  Placa padre: Tipo adquisicion: Entidad"</f>
        <v>Descripcion: ATRIL EN ACERO INOXIDABLE QUIRURGICO ANTIMAGNETICO Estado: Bueno Placa anterior: 000029721 Material: ACERO Color: GRIS Referencia:  Observacion:  Placa padre: Tipo adquisicion: Entidad</v>
      </c>
      <c r="G23747" s="5"/>
    </row>
    <row r="23748" spans="1:7" ht="58.5" customHeight="1" x14ac:dyDescent="0.25">
      <c r="A23748" s="5" t="str">
        <f>"H0010008"</f>
        <v>H0010008</v>
      </c>
      <c r="B23748" s="5" t="str">
        <f>"ATRIL PORTASUERO MOVIL"</f>
        <v>ATRIL PORTASUERO MOVIL</v>
      </c>
      <c r="C23748" s="6">
        <v>145000</v>
      </c>
      <c r="D23748" s="5" t="s">
        <v>166</v>
      </c>
      <c r="E23748" s="5" t="str">
        <f t="shared" si="1181"/>
        <v>CUIDADOS INTERMEDIOS URGENCIAS -YENNY PEÑA</v>
      </c>
      <c r="F23748" s="5" t="str">
        <f>"Descripcion: ATRIL EN ACERO INOXIDABLE QUIRURGICO ANTIMAGNETICO Estado: Bueno Placa anterior: 000031447 Material: ACERO Color: GRIS Referencia:  Observacion:  Placa padre: Tipo adquisicion: Entidad"</f>
        <v>Descripcion: ATRIL EN ACERO INOXIDABLE QUIRURGICO ANTIMAGNETICO Estado: Bueno Placa anterior: 000031447 Material: ACERO Color: GRIS Referencia:  Observacion:  Placa padre: Tipo adquisicion: Entidad</v>
      </c>
      <c r="G23748" s="5"/>
    </row>
    <row r="23749" spans="1:7" ht="58.5" customHeight="1" x14ac:dyDescent="0.25">
      <c r="A23749" s="5" t="str">
        <f>"H0010009"</f>
        <v>H0010009</v>
      </c>
      <c r="B23749" s="5" t="str">
        <f>"ATRIL PORTASUERO MOVIL"</f>
        <v>ATRIL PORTASUERO MOVIL</v>
      </c>
      <c r="C23749" s="6">
        <v>145000</v>
      </c>
      <c r="D23749" s="5" t="s">
        <v>166</v>
      </c>
      <c r="E23749" s="5" t="str">
        <f t="shared" si="1181"/>
        <v>CUIDADOS INTERMEDIOS URGENCIAS -YENNY PEÑA</v>
      </c>
      <c r="F23749" s="5" t="str">
        <f>"Descripcion: ATRIL EN ACERO INOXIDABLE QUIRURGICO ANTIMAGNETICO Estado: Bueno Placa anterior: 000031449 Material: ACERO Color: GRIS Referencia:  Observacion:  Placa padre: Tipo adquisicion: Entidad"</f>
        <v>Descripcion: ATRIL EN ACERO INOXIDABLE QUIRURGICO ANTIMAGNETICO Estado: Bueno Placa anterior: 000031449 Material: ACERO Color: GRIS Referencia:  Observacion:  Placa padre: Tipo adquisicion: Entidad</v>
      </c>
      <c r="G23749" s="5"/>
    </row>
    <row r="23750" spans="1:7" ht="58.5" customHeight="1" x14ac:dyDescent="0.25">
      <c r="A23750" s="5" t="str">
        <f>"H0010010"</f>
        <v>H0010010</v>
      </c>
      <c r="B23750" s="5" t="str">
        <f>"CAMA HOSPITALARIA 2 PLANOS"</f>
        <v>CAMA HOSPITALARIA 2 PLANOS</v>
      </c>
      <c r="C23750" s="6">
        <v>6774400</v>
      </c>
      <c r="D23750" s="5" t="s">
        <v>166</v>
      </c>
      <c r="E23750" s="5" t="str">
        <f t="shared" si="1181"/>
        <v>CUIDADOS INTERMEDIOS URGENCIAS -YENNY PEÑA</v>
      </c>
      <c r="F23750"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000031495 Material: METAL Color: GRIS Referencia: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000031495 Material: METAL Color: GRIS Referencia:  Observacion:  Placa padre: Tipo adquisicion: Entidad</v>
      </c>
      <c r="G23750" s="5" t="str">
        <f>"144-04/02"</f>
        <v>144-04/02</v>
      </c>
    </row>
    <row r="23751" spans="1:7" ht="58.5" customHeight="1" x14ac:dyDescent="0.25">
      <c r="A23751" s="5" t="str">
        <f>"H0010012"</f>
        <v>H0010012</v>
      </c>
      <c r="B23751" s="5" t="str">
        <f>"MESA METALICA AUXILIAR"</f>
        <v>MESA METALICA AUXILIAR</v>
      </c>
      <c r="C23751" s="6">
        <v>250000</v>
      </c>
      <c r="D23751" s="5" t="s">
        <v>63</v>
      </c>
      <c r="E23751" s="5" t="str">
        <f t="shared" si="1181"/>
        <v>CUIDADOS INTERMEDIOS URGENCIAS -YENNY PEÑA</v>
      </c>
      <c r="F23751" s="5" t="str">
        <f>"Descripcion: MESA METALICA DOS GAVETAS  Estado: Bueno Placa anterior: 000037820 Material: ACERO INOXIDABLE Color: GRIS Referencia:  Observacion: AUTORIZADO CONCILIAR EN CRUCE GENERAL Placa padre: Tipo adquisicion: Entidad"</f>
        <v>Descripcion: MESA METALICA DOS GAVETAS  Estado: Bueno Placa anterior: 000037820 Material: ACERO INOXIDABLE Color: GRIS Referencia:  Observacion: AUTORIZADO CONCILIAR EN CRUCE GENERAL Placa padre: Tipo adquisicion: Entidad</v>
      </c>
      <c r="G23751" s="5"/>
    </row>
    <row r="23752" spans="1:7" ht="58.5" customHeight="1" x14ac:dyDescent="0.25">
      <c r="A23752" s="5" t="str">
        <f>"H0010013"</f>
        <v>H0010013</v>
      </c>
      <c r="B23752" s="5" t="str">
        <f>"CAMA HOSPITALARIA 2 PLANOS"</f>
        <v>CAMA HOSPITALARIA 2 PLANOS</v>
      </c>
      <c r="C23752" s="6">
        <v>1845000</v>
      </c>
      <c r="D23752" s="5" t="s">
        <v>447</v>
      </c>
      <c r="E23752" s="5" t="str">
        <f t="shared" si="1181"/>
        <v>CUIDADOS INTERMEDIOS URGENCIAS -YENNY PEÑA</v>
      </c>
      <c r="F23752"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000029040 Material: METAL Color: GRIS Referencia: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000029040 Material: METAL Color: GRIS Referencia:  Observacion:  Placa padre: Tipo adquisicion: Entidad</v>
      </c>
      <c r="G23752" s="5" t="str">
        <f>"144-04/02"</f>
        <v>144-04/02</v>
      </c>
    </row>
    <row r="23753" spans="1:7" ht="58.5" customHeight="1" x14ac:dyDescent="0.25">
      <c r="A23753" s="5" t="str">
        <f>"H0010014"</f>
        <v>H0010014</v>
      </c>
      <c r="B23753" s="5" t="str">
        <f>"ATRIL PORTASUERO MOVIL"</f>
        <v>ATRIL PORTASUERO MOVIL</v>
      </c>
      <c r="C23753" s="6">
        <v>145000</v>
      </c>
      <c r="D23753" s="5" t="s">
        <v>166</v>
      </c>
      <c r="E23753" s="5" t="str">
        <f t="shared" si="1181"/>
        <v>CUIDADOS INTERMEDIOS URGENCIAS -YENNY PEÑA</v>
      </c>
      <c r="F23753" s="5" t="str">
        <f>"Descripcion: ATRIL EN ACERO INOXIDABLE QUIRURGICO ANTIMAGNETICO Estado: Bueno Placa anterior: 000031450 Material: ACERO Color: GRIS Referencia:  Observacion:  Placa padre: Tipo adquisicion: Entidad"</f>
        <v>Descripcion: ATRIL EN ACERO INOXIDABLE QUIRURGICO ANTIMAGNETICO Estado: Bueno Placa anterior: 000031450 Material: ACERO Color: GRIS Referencia:  Observacion:  Placa padre: Tipo adquisicion: Entidad</v>
      </c>
      <c r="G23753" s="5"/>
    </row>
    <row r="23754" spans="1:7" ht="58.5" customHeight="1" x14ac:dyDescent="0.25">
      <c r="A23754" s="5" t="str">
        <f>"H0010022"</f>
        <v>H0010022</v>
      </c>
      <c r="B23754" s="5" t="str">
        <f>"MESA (CARRO) DE CURACIONES"</f>
        <v>MESA (CARRO) DE CURACIONES</v>
      </c>
      <c r="C23754" s="6">
        <v>11880</v>
      </c>
      <c r="D23754" s="5"/>
      <c r="E23754" s="5" t="str">
        <f t="shared" si="1181"/>
        <v>CUIDADOS INTERMEDIOS URGENCIAS -YENNY PEÑA</v>
      </c>
      <c r="F23754" s="5" t="str">
        <f>"Descripcion: CARRO DE CURACIONES Estado: Bueno Placa anterior: 000027339 Material: METAL CON ACERO Color: GRIS Referencia:  Observacion:  Placa padre: Tipo adquisicion: Entidad"</f>
        <v>Descripcion: CARRO DE CURACIONES Estado: Bueno Placa anterior: 000027339 Material: METAL CON ACERO Color: GRIS Referencia:  Observacion:  Placa padre: Tipo adquisicion: Entidad</v>
      </c>
      <c r="G23754" s="5"/>
    </row>
    <row r="23755" spans="1:7" ht="58.5" customHeight="1" x14ac:dyDescent="0.25">
      <c r="A23755" s="5" t="str">
        <f>"H0010023"</f>
        <v>H0010023</v>
      </c>
      <c r="B23755" s="5" t="str">
        <f>"POTE (TARRO) ACERO INXODABLE CON TAPA PEQUEÑO"</f>
        <v>POTE (TARRO) ACERO INXODABLE CON TAPA PEQUEÑO</v>
      </c>
      <c r="C23755" s="6">
        <v>75400</v>
      </c>
      <c r="D23755" s="5"/>
      <c r="E23755" s="5" t="str">
        <f t="shared" si="1181"/>
        <v>CUIDADOS INTERMEDIOS URGENCIAS -YENNY PEÑA</v>
      </c>
      <c r="F23755" s="5" t="str">
        <f>"Descripcion: TARRO ACERO INOXIDABLE Estado: Bueno Placa anterior: 000033253 Material: ACERO Color: PLATEADO Referencia:  Observacion:  Placa padre: Tipo adquisicion: Donacion"</f>
        <v>Descripcion: TARRO ACERO INOXIDABLE Estado: Bueno Placa anterior: 000033253 Material: ACERO Color: PLATEADO Referencia:  Observacion:  Placa padre: Tipo adquisicion: Donacion</v>
      </c>
      <c r="G23755" s="5"/>
    </row>
    <row r="23756" spans="1:7" ht="58.5" customHeight="1" x14ac:dyDescent="0.25">
      <c r="A23756" s="5" t="str">
        <f>"H0010024"</f>
        <v>H0010024</v>
      </c>
      <c r="B23756" s="5" t="str">
        <f>"POTE (TARRO) ACERO INXODABLE CON TAPA MEDIANO"</f>
        <v>POTE (TARRO) ACERO INXODABLE CON TAPA MEDIANO</v>
      </c>
      <c r="C23756" s="6">
        <v>19173.189999999999</v>
      </c>
      <c r="D23756" s="5"/>
      <c r="E23756" s="5" t="str">
        <f t="shared" si="1181"/>
        <v>CUIDADOS INTERMEDIOS URGENCIAS -YENNY PEÑA</v>
      </c>
      <c r="F23756" s="5" t="str">
        <f>"Descripcion: TARRO EN ACERO INOXIDABLE MEDIANO Estado: Bueno Placa anterior: 000019794 Material: ACERO Color: PLATEADO Referencia:  Observacion:  Placa padre: Tipo adquisicion: Entidad"</f>
        <v>Descripcion: TARRO EN ACERO INOXIDABLE MEDIANO Estado: Bueno Placa anterior: 000019794 Material: ACERO Color: PLATEADO Referencia:  Observacion:  Placa padre: Tipo adquisicion: Entidad</v>
      </c>
      <c r="G23756" s="5"/>
    </row>
    <row r="23757" spans="1:7" ht="58.5" customHeight="1" x14ac:dyDescent="0.25">
      <c r="A23757" s="5" t="str">
        <f>"H0010025"</f>
        <v>H0010025</v>
      </c>
      <c r="B23757" s="5" t="str">
        <f>"POTE (TARRO) ACERO INXODABLE CON TAPA MEDIANO"</f>
        <v>POTE (TARRO) ACERO INXODABLE CON TAPA MEDIANO</v>
      </c>
      <c r="C23757" s="6">
        <v>21799.02</v>
      </c>
      <c r="D23757" s="5"/>
      <c r="E23757" s="5" t="str">
        <f t="shared" si="1181"/>
        <v>CUIDADOS INTERMEDIOS URGENCIAS -YENNY PEÑA</v>
      </c>
      <c r="F23757" s="5" t="str">
        <f>"Descripcion: TARRO EN ACERO INOXIDABLE MEDIANO Estado: Bueno Placa anterior: 000018636 Material: ACERO Color: PLATEADO Referencia:  Observacion:  Placa padre: Tipo adquisicion: Entidad"</f>
        <v>Descripcion: TARRO EN ACERO INOXIDABLE MEDIANO Estado: Bueno Placa anterior: 000018636 Material: ACERO Color: PLATEADO Referencia:  Observacion:  Placa padre: Tipo adquisicion: Entidad</v>
      </c>
      <c r="G23757" s="5"/>
    </row>
    <row r="23758" spans="1:7" ht="58.5" customHeight="1" x14ac:dyDescent="0.25">
      <c r="A23758" s="5" t="str">
        <f>"H0010028"</f>
        <v>H0010028</v>
      </c>
      <c r="B23758" s="5" t="str">
        <f>"ATRIL PORTASUERO MOVIL"</f>
        <v>ATRIL PORTASUERO MOVIL</v>
      </c>
      <c r="C23758" s="6">
        <v>145000</v>
      </c>
      <c r="D23758" s="5" t="s">
        <v>166</v>
      </c>
      <c r="E23758" s="5" t="str">
        <f t="shared" si="1181"/>
        <v>CUIDADOS INTERMEDIOS URGENCIAS -YENNY PEÑA</v>
      </c>
      <c r="F23758" s="5" t="str">
        <f>"Descripcion: ATRIL. Aatril portasuero en pintura electrostatica, debe contar con sistema portasuero minimo para dos bolsas de 50ml con varilla graduable,con rodachines Estado: Bueno Placa anterior: 000031441 Material: ACERO  Color: PLATEADO Referencia:  O"&amp; "bservacion:  Placa padre: Tipo adquisicion: Entidad"</f>
        <v>Descripcion: ATRIL. Aatril portasuero en pintura electrostatica, debe contar con sistema portasuero minimo para dos bolsas de 50ml con varilla graduable,con rodachines Estado: Bueno Placa anterior: 000031441 Material: ACERO  Color: PLATEADO Referencia:  Observacion:  Placa padre: Tipo adquisicion: Entidad</v>
      </c>
      <c r="G23758" s="5" t="str">
        <f>"121-01"</f>
        <v>121-01</v>
      </c>
    </row>
    <row r="23759" spans="1:7" ht="58.5" customHeight="1" x14ac:dyDescent="0.25">
      <c r="A23759" s="5" t="str">
        <f>"H0010029"</f>
        <v>H0010029</v>
      </c>
      <c r="B23759" s="5" t="str">
        <f>"SILLA DE RUEDAS"</f>
        <v>SILLA DE RUEDAS</v>
      </c>
      <c r="C23759" s="6">
        <v>60000</v>
      </c>
      <c r="D23759" s="5" t="s">
        <v>55</v>
      </c>
      <c r="E23759" s="5" t="str">
        <f t="shared" si="1181"/>
        <v>CUIDADOS INTERMEDIOS URGENCIAS -YENNY PEÑA</v>
      </c>
      <c r="F23759" s="5" t="str">
        <f>"Descripcion: SILLA DE RUEDAS Estado: Bueno Placa anterior: 000030298 Material: METAL CON PASTA Color: AZUL Referencia:  Observacion:  Placa padre: Tipo adquisicion: Donacion"</f>
        <v>Descripcion: SILLA DE RUEDAS Estado: Bueno Placa anterior: 000030298 Material: METAL CON PASTA Color: AZUL Referencia:  Observacion:  Placa padre: Tipo adquisicion: Donacion</v>
      </c>
      <c r="G23759" s="5"/>
    </row>
    <row r="23760" spans="1:7" ht="58.5" customHeight="1" x14ac:dyDescent="0.25">
      <c r="A23760" s="5" t="str">
        <f>"H0010030"</f>
        <v>H0010030</v>
      </c>
      <c r="B23760" s="5" t="str">
        <f>"CUBETA DE ACERO INOXIDABLE CON TAPA MEDIANA"</f>
        <v>CUBETA DE ACERO INOXIDABLE CON TAPA MEDIANA</v>
      </c>
      <c r="C23760" s="6">
        <v>22335</v>
      </c>
      <c r="D23760" s="5"/>
      <c r="E23760" s="5" t="str">
        <f t="shared" si="1181"/>
        <v>CUIDADOS INTERMEDIOS URGENCIAS -YENNY PEÑA</v>
      </c>
      <c r="F23760" s="5" t="str">
        <f>"Descripcion: CUBETA EN ACERO INOXIDABLE MEDIANA Estado: Bueno Placa anterior: 000019949 Material: ACERO Color: PLATEADO Referencia:  Observacion:  Placa padre: Tipo adquisicion: Entidad"</f>
        <v>Descripcion: CUBETA EN ACERO INOXIDABLE MEDIANA Estado: Bueno Placa anterior: 000019949 Material: ACERO Color: PLATEADO Referencia:  Observacion:  Placa padre: Tipo adquisicion: Entidad</v>
      </c>
      <c r="G23760" s="5"/>
    </row>
    <row r="23761" spans="1:7" ht="58.5" customHeight="1" x14ac:dyDescent="0.25">
      <c r="A23761" s="5" t="str">
        <f>"H0010031"</f>
        <v>H0010031</v>
      </c>
      <c r="B23761" s="5" t="str">
        <f>"CUBETA DE ACERO INOXIDABLE CON TAPA GRANDE"</f>
        <v>CUBETA DE ACERO INOXIDABLE CON TAPA GRANDE</v>
      </c>
      <c r="C23761" s="6">
        <v>29125.48</v>
      </c>
      <c r="D23761" s="5"/>
      <c r="E23761" s="5" t="str">
        <f t="shared" si="1181"/>
        <v>CUIDADOS INTERMEDIOS URGENCIAS -YENNY PEÑA</v>
      </c>
      <c r="F23761" s="5" t="str">
        <f>"Descripcion: CUBETA EN ACERO INOXIDABLE Estado: Bueno Placa anterior: 000018523 Material: ACERO Color: PLATEADO Referencia:  Observacion:  Placa padre: Tipo adquisicion: Entidad"</f>
        <v>Descripcion: CUBETA EN ACERO INOXIDABLE Estado: Bueno Placa anterior: 000018523 Material: ACERO Color: PLATEADO Referencia:  Observacion:  Placa padre: Tipo adquisicion: Entidad</v>
      </c>
      <c r="G23761" s="5"/>
    </row>
    <row r="23762" spans="1:7" ht="58.5" customHeight="1" x14ac:dyDescent="0.25">
      <c r="A23762" s="5" t="str">
        <f>"H0010032"</f>
        <v>H0010032</v>
      </c>
      <c r="B23762" s="5" t="str">
        <f>"CUBETA DE ACERO INOXIDABLE CON TAPA PEQUEÑA"</f>
        <v>CUBETA DE ACERO INOXIDABLE CON TAPA PEQUEÑA</v>
      </c>
      <c r="C23762" s="6">
        <v>22335</v>
      </c>
      <c r="D23762" s="5"/>
      <c r="E23762" s="5" t="str">
        <f t="shared" si="1181"/>
        <v>CUIDADOS INTERMEDIOS URGENCIAS -YENNY PEÑA</v>
      </c>
      <c r="F23762" s="5" t="str">
        <f>"Descripcion: CUBETA PEQUEÑA EN ACERO INOXIDABLE Estado: Bueno Placa anterior: 000019943 Material: ACERO Color: PLATEADO Referencia:  Observacion:  Placa padre: Tipo adquisicion: Entidad"</f>
        <v>Descripcion: CUBETA PEQUEÑA EN ACERO INOXIDABLE Estado: Bueno Placa anterior: 000019943 Material: ACERO Color: PLATEADO Referencia:  Observacion:  Placa padre: Tipo adquisicion: Entidad</v>
      </c>
      <c r="G23762" s="5"/>
    </row>
    <row r="23763" spans="1:7" ht="58.5" customHeight="1" x14ac:dyDescent="0.25">
      <c r="A23763" s="5" t="str">
        <f>"H0010033"</f>
        <v>H0010033</v>
      </c>
      <c r="B23763" s="5" t="str">
        <f>"CUBETA DE ACERO INOXIDABLE CON TAPA PEQUEÑA"</f>
        <v>CUBETA DE ACERO INOXIDABLE CON TAPA PEQUEÑA</v>
      </c>
      <c r="C23763" s="6">
        <v>22335</v>
      </c>
      <c r="D23763" s="5"/>
      <c r="E23763" s="5" t="str">
        <f t="shared" si="1181"/>
        <v>CUIDADOS INTERMEDIOS URGENCIAS -YENNY PEÑA</v>
      </c>
      <c r="F23763" s="5" t="str">
        <f>"Descripcion: CUBETA PEQUEÑA EN ACERO INOXIDABLE Estado: Bueno Placa anterior: 000019944 Material: ACERO Color: PLATEADO Referencia:  Observacion:  Placa padre: Tipo adquisicion: Entidad"</f>
        <v>Descripcion: CUBETA PEQUEÑA EN ACERO INOXIDABLE Estado: Bueno Placa anterior: 000019944 Material: ACERO Color: PLATEADO Referencia:  Observacion:  Placa padre: Tipo adquisicion: Entidad</v>
      </c>
      <c r="G23763" s="5"/>
    </row>
    <row r="23764" spans="1:7" ht="58.5" customHeight="1" x14ac:dyDescent="0.25">
      <c r="A23764" s="5" t="str">
        <f>"H0010034"</f>
        <v>H0010034</v>
      </c>
      <c r="B23764" s="5" t="str">
        <f>"PLATON NIQUELADO – INOXIDABLE"</f>
        <v>PLATON NIQUELADO – INOXIDABLE</v>
      </c>
      <c r="C23764" s="6">
        <v>7638.4</v>
      </c>
      <c r="D23764" s="5"/>
      <c r="E23764" s="5" t="str">
        <f t="shared" si="1181"/>
        <v>CUIDADOS INTERMEDIOS URGENCIAS -YENNY PEÑA</v>
      </c>
      <c r="F23764" s="5" t="str">
        <f>"Descripcion: PLATON NIQUELADO MEDIANO Estado: Bueno Placa anterior: 000019970 Material: ACERO Color: GRIS Referencia:  Observacion:  Placa padre: Tipo adquisicion: Entidad"</f>
        <v>Descripcion: PLATON NIQUELADO MEDIANO Estado: Bueno Placa anterior: 000019970 Material: ACERO Color: GRIS Referencia:  Observacion:  Placa padre: Tipo adquisicion: Entidad</v>
      </c>
      <c r="G23764" s="5"/>
    </row>
    <row r="23765" spans="1:7" ht="58.5" customHeight="1" x14ac:dyDescent="0.25">
      <c r="A23765" s="5" t="str">
        <f>"H0010035"</f>
        <v>H0010035</v>
      </c>
      <c r="B23765" s="5" t="str">
        <f>"PLATON NIQUELADO – INOXIDABLE"</f>
        <v>PLATON NIQUELADO – INOXIDABLE</v>
      </c>
      <c r="C23765" s="6">
        <v>630.6</v>
      </c>
      <c r="D23765" s="5"/>
      <c r="E23765" s="5" t="str">
        <f t="shared" si="1181"/>
        <v>CUIDADOS INTERMEDIOS URGENCIAS -YENNY PEÑA</v>
      </c>
      <c r="F23765" s="5" t="str">
        <f>"Descripcion: PLATON NIQUELADO MEDIANO Estado: Bueno Placa anterior: 000019958 Material: ACERO Color: GRIS Referencia:  Observacion:  Placa padre: Tipo adquisicion: Entidad"</f>
        <v>Descripcion: PLATON NIQUELADO MEDIANO Estado: Bueno Placa anterior: 000019958 Material: ACERO Color: GRIS Referencia:  Observacion:  Placa padre: Tipo adquisicion: Entidad</v>
      </c>
      <c r="G23765" s="5"/>
    </row>
    <row r="23766" spans="1:7" ht="58.5" customHeight="1" x14ac:dyDescent="0.25">
      <c r="A23766" s="5" t="str">
        <f>"H0010036"</f>
        <v>H0010036</v>
      </c>
      <c r="B23766" s="5" t="str">
        <f>"RIÑONERA HOSPITALARIA EN ACERO INOXIDABLE"</f>
        <v>RIÑONERA HOSPITALARIA EN ACERO INOXIDABLE</v>
      </c>
      <c r="C23766" s="6">
        <v>3783.04</v>
      </c>
      <c r="D23766" s="5"/>
      <c r="E23766" s="5" t="str">
        <f t="shared" si="1181"/>
        <v>CUIDADOS INTERMEDIOS URGENCIAS -YENNY PEÑA</v>
      </c>
      <c r="F23766" s="5" t="str">
        <f>"Descripcion: RIÑONERAS MEDIANA EN ACERO INOXIDABLE Estado: Bueno Placa anterior: 000019869 Material: ACERO Color: GRIS Referencia:  Observacion:  Placa padre: Tipo adquisicion: Entidad"</f>
        <v>Descripcion: RIÑONERAS MEDIANA EN ACERO INOXIDABLE Estado: Bueno Placa anterior: 000019869 Material: ACERO Color: GRIS Referencia:  Observacion:  Placa padre: Tipo adquisicion: Entidad</v>
      </c>
      <c r="G23766" s="5"/>
    </row>
    <row r="23767" spans="1:7" ht="58.5" customHeight="1" x14ac:dyDescent="0.25">
      <c r="A23767" s="5" t="str">
        <f>"H0010037"</f>
        <v>H0010037</v>
      </c>
      <c r="B23767" s="5" t="str">
        <f>"RIÑONERA HOSPITALARIA EN ACERO INOXIDABLE"</f>
        <v>RIÑONERA HOSPITALARIA EN ACERO INOXIDABLE</v>
      </c>
      <c r="C23767" s="6">
        <v>3783.04</v>
      </c>
      <c r="D23767" s="5"/>
      <c r="E23767" s="5" t="str">
        <f t="shared" si="1181"/>
        <v>CUIDADOS INTERMEDIOS URGENCIAS -YENNY PEÑA</v>
      </c>
      <c r="F23767" s="5" t="str">
        <f>"Descripcion: RIÑONERAS MEDIANA EN ACERO INOXIDABLE Estado: Bueno Placa anterior: 000019957 Material: ACERO Color: GRIS Referencia:  Observacion:  Placa padre: Tipo adquisicion: Entidad"</f>
        <v>Descripcion: RIÑONERAS MEDIANA EN ACERO INOXIDABLE Estado: Bueno Placa anterior: 000019957 Material: ACERO Color: GRIS Referencia:  Observacion:  Placa padre: Tipo adquisicion: Entidad</v>
      </c>
      <c r="G23767" s="5"/>
    </row>
    <row r="23768" spans="1:7" ht="58.5" customHeight="1" x14ac:dyDescent="0.25">
      <c r="A23768" s="5" t="str">
        <f>"H0010038"</f>
        <v>H0010038</v>
      </c>
      <c r="B23768" s="5" t="str">
        <f>"RIÑONERA HOSPITALARIA EN ACERO INOXIDABLE"</f>
        <v>RIÑONERA HOSPITALARIA EN ACERO INOXIDABLE</v>
      </c>
      <c r="C23768" s="6">
        <v>52200</v>
      </c>
      <c r="D23768" s="5"/>
      <c r="E23768" s="5" t="str">
        <f t="shared" si="1181"/>
        <v>CUIDADOS INTERMEDIOS URGENCIAS -YENNY PEÑA</v>
      </c>
      <c r="F23768" s="5" t="str">
        <f>"Descripcion: RIÑONERAS MEDIANA EN ACERO INOXIDABLE Estado: Bueno Placa anterior: 000033246 Material: ACERO Color: GRIS Referencia:  Observacion:  Placa padre: Tipo adquisicion: Entidad"</f>
        <v>Descripcion: RIÑONERAS MEDIANA EN ACERO INOXIDABLE Estado: Bueno Placa anterior: 000033246 Material: ACERO Color: GRIS Referencia:  Observacion:  Placa padre: Tipo adquisicion: Entidad</v>
      </c>
      <c r="G23768" s="5"/>
    </row>
    <row r="23769" spans="1:7" ht="58.5" customHeight="1" x14ac:dyDescent="0.25">
      <c r="A23769" s="5" t="str">
        <f>"H0010042"</f>
        <v>H0010042</v>
      </c>
      <c r="B23769" s="5" t="str">
        <f>"PATO (COPROLOGICO) MUJER"</f>
        <v>PATO (COPROLOGICO) MUJER</v>
      </c>
      <c r="C23769" s="6">
        <v>114260</v>
      </c>
      <c r="D23769" s="5"/>
      <c r="E23769" s="5" t="str">
        <f t="shared" si="1181"/>
        <v>CUIDADOS INTERMEDIOS URGENCIAS -YENNY PEÑA</v>
      </c>
      <c r="F23769" s="5" t="str">
        <f>"Descripcion: PATO EN ACERO INOXIDABLE  Estado: Bueno Placa anterior: 000024392 Material: ACERO Color: PLATEADO Referencia:  Observacion:  Placa padre: Tipo adquisicion: Entidad"</f>
        <v>Descripcion: PATO EN ACERO INOXIDABLE  Estado: Bueno Placa anterior: 000024392 Material: ACERO Color: PLATEADO Referencia:  Observacion:  Placa padre: Tipo adquisicion: Entidad</v>
      </c>
      <c r="G23769" s="5"/>
    </row>
    <row r="23770" spans="1:7" ht="58.5" customHeight="1" x14ac:dyDescent="0.25">
      <c r="A23770" s="5" t="str">
        <f>"H0010043"</f>
        <v>H0010043</v>
      </c>
      <c r="B23770" s="5" t="str">
        <f>"PATO (COPROLOGICO) MUJER"</f>
        <v>PATO (COPROLOGICO) MUJER</v>
      </c>
      <c r="C23770" s="6">
        <v>114260</v>
      </c>
      <c r="D23770" s="5"/>
      <c r="E23770" s="5" t="str">
        <f t="shared" si="1181"/>
        <v>CUIDADOS INTERMEDIOS URGENCIAS -YENNY PEÑA</v>
      </c>
      <c r="F23770" s="5" t="str">
        <f>"Descripcion: PATO EN ACERO INOXIDABLE  Estado: Bueno Placa anterior: 000024393 Material: ACERO Color: PLATEADO Referencia:  Observacion:  Placa padre: Tipo adquisicion: Entidad"</f>
        <v>Descripcion: PATO EN ACERO INOXIDABLE  Estado: Bueno Placa anterior: 000024393 Material: ACERO Color: PLATEADO Referencia:  Observacion:  Placa padre: Tipo adquisicion: Entidad</v>
      </c>
      <c r="G23770" s="5"/>
    </row>
    <row r="23771" spans="1:7" ht="58.5" customHeight="1" x14ac:dyDescent="0.25">
      <c r="A23771" s="5" t="str">
        <f>"H0010044"</f>
        <v>H0010044</v>
      </c>
      <c r="B23771" s="5" t="str">
        <f>"PATO (COPROLOGICO) MUJER"</f>
        <v>PATO (COPROLOGICO) MUJER</v>
      </c>
      <c r="C23771" s="6">
        <v>114260</v>
      </c>
      <c r="D23771" s="5"/>
      <c r="E23771" s="5" t="str">
        <f t="shared" si="1181"/>
        <v>CUIDADOS INTERMEDIOS URGENCIAS -YENNY PEÑA</v>
      </c>
      <c r="F23771" s="5" t="str">
        <f>"Descripcion: PATO EN ACERO INOXIDABLE  Estado: Bueno Placa anterior: 000024391 Material: ACERO Color: PLATEADO Referencia:  Observacion:  Placa padre: Tipo adquisicion: Entidad"</f>
        <v>Descripcion: PATO EN ACERO INOXIDABLE  Estado: Bueno Placa anterior: 000024391 Material: ACERO Color: PLATEADO Referencia:  Observacion:  Placa padre: Tipo adquisicion: Entidad</v>
      </c>
      <c r="G23771" s="5"/>
    </row>
    <row r="23772" spans="1:7" ht="58.5" customHeight="1" x14ac:dyDescent="0.25">
      <c r="A23772" s="5" t="str">
        <f>"H0010045"</f>
        <v>H0010045</v>
      </c>
      <c r="B23772" s="5" t="str">
        <f>"PATO (PISINGO) HOMBRE"</f>
        <v>PATO (PISINGO) HOMBRE</v>
      </c>
      <c r="C23772" s="6">
        <v>75400</v>
      </c>
      <c r="D23772" s="5"/>
      <c r="E23772" s="5" t="str">
        <f t="shared" si="1181"/>
        <v>CUIDADOS INTERMEDIOS URGENCIAS -YENNY PEÑA</v>
      </c>
      <c r="F23772" s="5" t="str">
        <f>"Descripcion: PATO PISINJO HOMBRE Estado: Bueno Placa anterior: 000024406 Material: ACERO Color: PLATEADO Referencia:  Observacion:  Placa padre: Tipo adquisicion: Entidad"</f>
        <v>Descripcion: PATO PISINJO HOMBRE Estado: Bueno Placa anterior: 000024406 Material: ACERO Color: PLATEADO Referencia:  Observacion:  Placa padre: Tipo adquisicion: Entidad</v>
      </c>
      <c r="G23772" s="5"/>
    </row>
    <row r="23773" spans="1:7" ht="58.5" customHeight="1" x14ac:dyDescent="0.25">
      <c r="A23773" s="5" t="str">
        <f>"H0010049"</f>
        <v>H0010049</v>
      </c>
      <c r="B23773" s="5" t="str">
        <f>"NEGATOSCOPIO"</f>
        <v>NEGATOSCOPIO</v>
      </c>
      <c r="C23773" s="6">
        <v>51373.33</v>
      </c>
      <c r="D23773" s="5"/>
      <c r="E23773" s="5" t="str">
        <f t="shared" si="1181"/>
        <v>CUIDADOS INTERMEDIOS URGENCIAS -YENNY PEÑA</v>
      </c>
      <c r="F23773" s="5" t="str">
        <f>"Descripcion: NEGATOSCOPIO  Estado: Bueno Placa anterior: 000019736 Material: METAL Color: BLANCO Referencia:  Observacion:  Placa padre: Tipo adquisicion: Entidad"</f>
        <v>Descripcion: NEGATOSCOPIO  Estado: Bueno Placa anterior: 000019736 Material: METAL Color: BLANCO Referencia:  Observacion:  Placa padre: Tipo adquisicion: Entidad</v>
      </c>
      <c r="G23773" s="5"/>
    </row>
    <row r="23774" spans="1:7" ht="58.5" customHeight="1" x14ac:dyDescent="0.25">
      <c r="A23774" s="5" t="str">
        <f>"H0010050"</f>
        <v>H0010050</v>
      </c>
      <c r="B23774" s="5" t="str">
        <f>"COMPUTADOR TODO EN UNO"</f>
        <v>COMPUTADOR TODO EN UNO</v>
      </c>
      <c r="C23774" s="6">
        <v>1572000</v>
      </c>
      <c r="D23774" s="5" t="s">
        <v>32</v>
      </c>
      <c r="E23774" s="5" t="str">
        <f t="shared" si="1181"/>
        <v>CUIDADOS INTERMEDIOS URGENCIAS -YENNY PEÑA</v>
      </c>
      <c r="F23774" s="5" t="str">
        <f>"Descripcion: EQUIPOS DE COMPUTO TODO EN UNO PROCESADOR CORE 3.0 SUPERIOR CORPORATIVO WINDOWS 8 PRO- OFFICE 2013 SMALL BUSINES, TECNOLOGIA HT DE INTEL GARANTIA EXTENDIDA A 3 AÑOS Estado: Excelente Placa anterior: 000030566 Material: PASTA Color: NEGRO Refe"&amp; "rencia:  Observacion:  Placa anterior:, Placa nueva=H0010051, Descripcion:TECLADO, Serial:BDME0CRB5I1E8, Marca:HP, Modelo:KU-1156, Material:PASTA, Color:NEGRO,   Referencia:, Placa anterior:, Placa nueva=H0010052, Descripcion:MOUSE, Serial:FCMHH0CJP6I4WY,"&amp; " Marca:HP, Modelo:672552-0001, Material:PASTA, Color:NEGRO,   Referencia: Placa padre: Tipo adquisicion: Entidad"</f>
        <v>Descripcion: EQUIPOS DE COMPUTO TODO EN UNO PROCESADOR CORE 3.0 SUPERIOR CORPORATIVO WINDOWS 8 PRO- OFFICE 2013 SMALL BUSINES, TECNOLOGIA HT DE INTEL GARANTIA EXTENDIDA A 3 AÑOS Estado: Excelente Placa anterior: 000030566 Material: PASTA Color: NEGRO Referencia:  Observacion:  Placa anterior:, Placa nueva=H0010051, Descripcion:TECLADO, Serial:BDME0CRB5I1E8, Marca:HP, Modelo:KU-1156, Material:PASTA, Color:NEGRO,   Referencia:, Placa anterior:, Placa nueva=H0010052, Descripcion:MOUSE, Serial:FCMHH0CJP6I4WY, Marca:HP, Modelo:672552-0001, Material:PASTA, Color:NEGRO,   Referencia: Placa padre: Tipo adquisicion: Entidad</v>
      </c>
      <c r="G23774" s="5" t="str">
        <f>"20 PULGADAS"</f>
        <v>20 PULGADAS</v>
      </c>
    </row>
    <row r="23775" spans="1:7" ht="58.5" customHeight="1" x14ac:dyDescent="0.25">
      <c r="A23775" s="5" t="str">
        <f>"H0010054"</f>
        <v>H0010054</v>
      </c>
      <c r="B23775" s="5" t="str">
        <f>"MESA DE NOCHE"</f>
        <v>MESA DE NOCHE</v>
      </c>
      <c r="C23775" s="6">
        <v>2437.62</v>
      </c>
      <c r="D23775" s="5"/>
      <c r="E23775" s="5" t="str">
        <f t="shared" si="1181"/>
        <v>CUIDADOS INTERMEDIOS URGENCIAS -YENNY PEÑA</v>
      </c>
      <c r="F23775" s="5" t="str">
        <f>"Descripcion: MESA DE NOCHE 2 GAVETAS  Estado: Bueno Placa anterior: 000019445 Material: ACERO Color: GRIS Referencia:  Observacion:  Placa padre: Tipo adquisicion: Entidad"</f>
        <v>Descripcion: MESA DE NOCHE 2 GAVETAS  Estado: Bueno Placa anterior: 000019445 Material: ACERO Color: GRIS Referencia:  Observacion:  Placa padre: Tipo adquisicion: Entidad</v>
      </c>
      <c r="G23775" s="5"/>
    </row>
    <row r="23776" spans="1:7" ht="58.5" customHeight="1" x14ac:dyDescent="0.25">
      <c r="A23776" s="5" t="str">
        <f>"H0010055"</f>
        <v>H0010055</v>
      </c>
      <c r="B23776" s="5" t="str">
        <f>"MESA (CARRO) DE CURACIONES"</f>
        <v>MESA (CARRO) DE CURACIONES</v>
      </c>
      <c r="C23776" s="6">
        <v>406000</v>
      </c>
      <c r="D23776" s="5" t="s">
        <v>161</v>
      </c>
      <c r="E23776" s="5" t="str">
        <f t="shared" si="1181"/>
        <v>CUIDADOS INTERMEDIOS URGENCIAS -YENNY PEÑA</v>
      </c>
      <c r="F23776" s="5" t="str">
        <f>"Descripcion: CARRITO DE CURACIONES, EN ACERO INOXIDABLE Estado: Bueno Placa anterior: 000031567 Material: ACERO Color: PLATEADO Referencia:  Observacion:  Placa padre: Tipo adquisicion: Entidad"</f>
        <v>Descripcion: CARRITO DE CURACIONES, EN ACERO INOXIDABLE Estado: Bueno Placa anterior: 000031567 Material: ACERO Color: PLATEADO Referencia:  Observacion:  Placa padre: Tipo adquisicion: Entidad</v>
      </c>
      <c r="G23776" s="5"/>
    </row>
    <row r="23777" spans="1:7" ht="58.5" customHeight="1" x14ac:dyDescent="0.25">
      <c r="A23777" s="5" t="str">
        <f>"H0010056"</f>
        <v>H0010056</v>
      </c>
      <c r="B23777" s="5" t="str">
        <f>"CARRO MANUAL PARA TRANSPORTE OBJETOS"</f>
        <v>CARRO MANUAL PARA TRANSPORTE OBJETOS</v>
      </c>
      <c r="C23777" s="6">
        <v>859560</v>
      </c>
      <c r="D23777" s="5" t="s">
        <v>345</v>
      </c>
      <c r="E23777" s="5" t="str">
        <f t="shared" si="1181"/>
        <v>CUIDADOS INTERMEDIOS URGENCIAS -YENNY PEÑA</v>
      </c>
      <c r="F23777" s="5" t="str">
        <f>"Descripcion: CARRO DE RUEDAS CON PLATAFORMA METAL Estado: Bueno Placa anterior: 000030028 Material: METAL Color: BEIGE Referencia:  Observacion:  CON UNA GAVETA  AUTORIZADO CONCILIAR EN CRUCE GENERAL Placa padre: Tipo adquisicion: Entidad"</f>
        <v>Descripcion: CARRO DE RUEDAS CON PLATAFORMA METAL Estado: Bueno Placa anterior: 000030028 Material: METAL Color: BEIGE Referencia:  Observacion:  CON UNA GAVETA  AUTORIZADO CONCILIAR EN CRUCE GENERAL Placa padre: Tipo adquisicion: Entidad</v>
      </c>
      <c r="G23777" s="5"/>
    </row>
    <row r="23778" spans="1:7" ht="58.5" customHeight="1" x14ac:dyDescent="0.25">
      <c r="A23778" s="5" t="str">
        <f>"H0010058"</f>
        <v>H0010058</v>
      </c>
      <c r="B23778" s="5" t="str">
        <f>"ARCHIVADOR DE MADERA 3 GAVETAS"</f>
        <v>ARCHIVADOR DE MADERA 3 GAVETAS</v>
      </c>
      <c r="C23778" s="6">
        <v>36445</v>
      </c>
      <c r="D23778" s="5"/>
      <c r="E23778" s="5" t="str">
        <f t="shared" si="1181"/>
        <v>CUIDADOS INTERMEDIOS URGENCIAS -YENNY PEÑA</v>
      </c>
      <c r="F23778" s="5" t="str">
        <f>"Descripcion: ARCHIVADOR 3 GAVETAS EN 1 SOLO CUERPO Estado: Bueno Placa anterior: 000006219 Material: METAL Color: MARRON Referencia:  Observacion:  Placa padre: Tipo adquisicion: Entidad"</f>
        <v>Descripcion: ARCHIVADOR 3 GAVETAS EN 1 SOLO CUERPO Estado: Bueno Placa anterior: 000006219 Material: METAL Color: MARRON Referencia:  Observacion:  Placa padre: Tipo adquisicion: Entidad</v>
      </c>
      <c r="G23778" s="5"/>
    </row>
    <row r="23779" spans="1:7" ht="58.5" customHeight="1" x14ac:dyDescent="0.25">
      <c r="A23779" s="5" t="str">
        <f>"H0010061"</f>
        <v>H0010061</v>
      </c>
      <c r="B23779" s="5" t="str">
        <f>"MESA DE NOCHE"</f>
        <v>MESA DE NOCHE</v>
      </c>
      <c r="C23779" s="6">
        <v>327586</v>
      </c>
      <c r="D23779" s="5"/>
      <c r="E23779" s="5" t="str">
        <f t="shared" si="1181"/>
        <v>CUIDADOS INTERMEDIOS URGENCIAS -YENNY PEÑA</v>
      </c>
      <c r="F23779" s="5" t="str">
        <f>"Descripcion: MESA DE NOCHE EN ACERO Estado: Bueno Placa anterior: 000033045 Material: METAL Color: BEIGE Referencia:  Observacion:  Placa padre: Tipo adquisicion: Entidad"</f>
        <v>Descripcion: MESA DE NOCHE EN ACERO Estado: Bueno Placa anterior: 000033045 Material: METAL Color: BEIGE Referencia:  Observacion:  Placa padre: Tipo adquisicion: Entidad</v>
      </c>
      <c r="G23779" s="5"/>
    </row>
    <row r="23780" spans="1:7" ht="58.5" customHeight="1" x14ac:dyDescent="0.25">
      <c r="A23780" s="5" t="str">
        <f>"H0010062"</f>
        <v>H0010062</v>
      </c>
      <c r="B23780" s="5" t="str">
        <f>"MESA DE NOCHE"</f>
        <v>MESA DE NOCHE</v>
      </c>
      <c r="C23780" s="6">
        <v>8389.33</v>
      </c>
      <c r="D23780" s="5"/>
      <c r="E23780" s="5" t="str">
        <f t="shared" si="1181"/>
        <v>CUIDADOS INTERMEDIOS URGENCIAS -YENNY PEÑA</v>
      </c>
      <c r="F23780" s="5" t="str">
        <f>"Descripcion: MESA DE NOCHE EN ACERO Estado: Bueno Placa anterior: 000019423 Material: METAL Color: BEIGE Referencia:  Observacion:  Placa padre: Tipo adquisicion: Entidad"</f>
        <v>Descripcion: MESA DE NOCHE EN ACERO Estado: Bueno Placa anterior: 000019423 Material: METAL Color: BEIGE Referencia:  Observacion:  Placa padre: Tipo adquisicion: Entidad</v>
      </c>
      <c r="G23780" s="5"/>
    </row>
    <row r="23781" spans="1:7" ht="58.5" customHeight="1" x14ac:dyDescent="0.25">
      <c r="A23781" s="5" t="str">
        <f>"H0010064"</f>
        <v>H0010064</v>
      </c>
      <c r="B23781" s="5" t="str">
        <f>"SILLA DE RUEDAS"</f>
        <v>SILLA DE RUEDAS</v>
      </c>
      <c r="C23781" s="6">
        <v>650000</v>
      </c>
      <c r="D23781" s="5"/>
      <c r="E23781" s="5" t="str">
        <f t="shared" ref="E23781:E23844" si="1182">"CUIDADOS INTERMEDIOS URGENCIAS -YENNY PEÑA"</f>
        <v>CUIDADOS INTERMEDIOS URGENCIAS -YENNY PEÑA</v>
      </c>
      <c r="F23781" s="5" t="str">
        <f>"Descripcion: SILLA DE RUEDAS COLOR PLATEADO CON AZUL EN METAL Estado: Bueno Placa anterior: 000026189 Material: METAL EN PASTA Color: AZUM CON PLATEADO Referencia:  Observacion:  Placa padre: Tipo adquisicion: Entidad"</f>
        <v>Descripcion: SILLA DE RUEDAS COLOR PLATEADO CON AZUL EN METAL Estado: Bueno Placa anterior: 000026189 Material: METAL EN PASTA Color: AZUM CON PLATEADO Referencia:  Observacion:  Placa padre: Tipo adquisicion: Entidad</v>
      </c>
      <c r="G23781" s="5"/>
    </row>
    <row r="23782" spans="1:7" ht="58.5" customHeight="1" x14ac:dyDescent="0.25">
      <c r="A23782" s="5" t="str">
        <f>"H0010068"</f>
        <v>H0010068</v>
      </c>
      <c r="B23782" s="5" t="str">
        <f>"MESA DE MADERA PARA COMPUTADOR"</f>
        <v>MESA DE MADERA PARA COMPUTADOR</v>
      </c>
      <c r="C23782" s="6">
        <v>398000</v>
      </c>
      <c r="D23782" s="5"/>
      <c r="E23782" s="5" t="str">
        <f t="shared" si="1182"/>
        <v>CUIDADOS INTERMEDIOS URGENCIAS -YENNY PEÑA</v>
      </c>
      <c r="F23782" s="5" t="str">
        <f>"Descripcion: MESA PARA COMPUTADOR LINEA 2000 EN MADERA 1.20X62 COLOR NATURAL. CON UNA GAVETA, PORTA CPU Estado: Bueno Placa anterior: 000032775 Material: MADERA Color: MADERA Referencia:  Observacion:  Placa padre: Tipo adquisicion: Entidad"</f>
        <v>Descripcion: MESA PARA COMPUTADOR LINEA 2000 EN MADERA 1.20X62 COLOR NATURAL. CON UNA GAVETA, PORTA CPU Estado: Bueno Placa anterior: 000032775 Material: MADERA Color: MADERA Referencia:  Observacion:  Placa padre: Tipo adquisicion: Entidad</v>
      </c>
      <c r="G23782" s="5"/>
    </row>
    <row r="23783" spans="1:7" ht="58.5" customHeight="1" x14ac:dyDescent="0.25">
      <c r="A23783" s="5" t="str">
        <f>"H0010083"</f>
        <v>H0010083</v>
      </c>
      <c r="B23783" s="5" t="str">
        <f>"CAMA HOSPITALARIA 1 PLANO"</f>
        <v>CAMA HOSPITALARIA 1 PLANO</v>
      </c>
      <c r="C23783" s="6">
        <v>6774400</v>
      </c>
      <c r="D23783" s="5" t="s">
        <v>166</v>
      </c>
      <c r="E23783" s="5" t="str">
        <f t="shared" si="1182"/>
        <v>CUIDADOS INTERMEDIOS URGENCIAS -YENNY PEÑA</v>
      </c>
      <c r="F23783" s="5" t="str">
        <f>"Descripcion: CAMILLAS DE RECUPERACION Y TRANSPORTE. Camilla de recuperacion y transporte de altura variable por accionamiento hidraulico.Posiciones basicas:Horizontal, semisentado,tradelenburg y tradelenburg inverso de accionamiento electrico hidraulico y"&amp; "/oneumatico. Estado: Bueno Placa anterior: 000031493 Material: METAL Color: BEIGE Referencia:  Observacion:  Placa padre: Tipo adquisicion: Entidad"</f>
        <v>Descripcion: CAMILLAS DE RECUPERACION Y TRANSPORTE. Camilla de recuperacion y transporte de altura variable por accionamiento hidraulico.Posiciones basicas:Horizontal, semisentado,tradelenburg y tradelenburg inverso de accionamiento electrico hidraulico y/oneumatico. Estado: Bueno Placa anterior: 000031493 Material: METAL Color: BEIGE Referencia:  Observacion:  Placa padre: Tipo adquisicion: Entidad</v>
      </c>
      <c r="G23783" s="5"/>
    </row>
    <row r="23784" spans="1:7" ht="58.5" customHeight="1" x14ac:dyDescent="0.25">
      <c r="A23784" s="5" t="str">
        <f>"H0010086"</f>
        <v>H0010086</v>
      </c>
      <c r="B23784" s="5" t="str">
        <f>"CARRO DE PARO"</f>
        <v>CARRO DE PARO</v>
      </c>
      <c r="C23784" s="6">
        <v>2552000</v>
      </c>
      <c r="D23784" s="5"/>
      <c r="E23784" s="5" t="str">
        <f t="shared" si="1182"/>
        <v>CUIDADOS INTERMEDIOS URGENCIAS -YENNY PEÑA</v>
      </c>
      <c r="F23784" s="5" t="str">
        <f>"Descripcion: CARRO DE PARO Estado: Bueno Placa anterior: 000026124 Material: ACERO  Color: GRIS Referencia:  Observacion:  Placa padre: Tipo adquisicion: Entidad"</f>
        <v>Descripcion: CARRO DE PARO Estado: Bueno Placa anterior: 000026124 Material: ACERO  Color: GRIS Referencia:  Observacion:  Placa padre: Tipo adquisicion: Entidad</v>
      </c>
      <c r="G23784" s="5"/>
    </row>
    <row r="23785" spans="1:7" ht="58.5" customHeight="1" x14ac:dyDescent="0.25">
      <c r="A23785" s="5" t="str">
        <f>"H0010087"</f>
        <v>H0010087</v>
      </c>
      <c r="B23785" s="5" t="str">
        <f>"AIRE ACONDICIONADO DE 36000 BTU PISO TECHO"</f>
        <v>AIRE ACONDICIONADO DE 36000 BTU PISO TECHO</v>
      </c>
      <c r="C23785" s="6">
        <v>3000000</v>
      </c>
      <c r="D23785" s="5" t="s">
        <v>923</v>
      </c>
      <c r="E23785" s="5" t="str">
        <f t="shared" si="1182"/>
        <v>CUIDADOS INTERMEDIOS URGENCIAS -YENNY PEÑA</v>
      </c>
      <c r="F23785" s="5" t="str">
        <f>"Descripcion: AIRE ACONDICIONADO DE 36000 BTU SPLIT Estado: Bueno Placa anterior: 000030506 Material: PASTA Color: BLANCO Referencia:  Observacion:  Placa anterior:, Placa nueva=H0020704, Descripcion:CONDENSADORA DEL AIRE ACONDICIONADO DE LA UCI PEDIATRICA"&amp; " CON PLACA NUEVA N° H0010087 Y PLACA ANTERIOR No 000030506., Serial:C13111109402, Marca:STARLIGHT, Modelo:CV410-036-1, Material:METALICO, Color:GRIS,   Referencia: Placa padre: Tipo adquisicion: Entidad"</f>
        <v>Descripcion: AIRE ACONDICIONADO DE 36000 BTU SPLIT Estado: Bueno Placa anterior: 000030506 Material: PASTA Color: BLANCO Referencia:  Observacion:  Placa anterior:, Placa nueva=H0020704, Descripcion:CONDENSADORA DEL AIRE ACONDICIONADO DE LA UCI PEDIATRICA CON PLACA NUEVA N° H0010087 Y PLACA ANTERIOR No 000030506., Serial:C13111109402, Marca:STARLIGHT, Modelo:CV410-036-1, Material:METALICO, Color:GRIS,   Referencia: Placa padre: Tipo adquisicion: Entidad</v>
      </c>
      <c r="G23785" s="5" t="str">
        <f>"STARLINGT"</f>
        <v>STARLINGT</v>
      </c>
    </row>
    <row r="23786" spans="1:7" ht="58.5" customHeight="1" x14ac:dyDescent="0.25">
      <c r="A23786" s="5" t="str">
        <f>"H0010089"</f>
        <v>H0010089</v>
      </c>
      <c r="B23786" s="5" t="str">
        <f>"CAMA HOSPITALARIA 1 PLANO"</f>
        <v>CAMA HOSPITALARIA 1 PLANO</v>
      </c>
      <c r="C23786" s="6">
        <v>31017.14</v>
      </c>
      <c r="D23786" s="5"/>
      <c r="E23786" s="5" t="str">
        <f t="shared" si="1182"/>
        <v>CUIDADOS INTERMEDIOS URGENCIAS -YENNY PEÑA</v>
      </c>
      <c r="F23786" s="5" t="str">
        <f>"Descripcion: CAMA HOSPITALITARIA DE UN SOLO PLANO Estado: Bueno Placa anterior: 000023115 Material: METAL Color: GRIS Referencia:  Observacion:  Placa padre: Tipo adquisicion: Entidad"</f>
        <v>Descripcion: CAMA HOSPITALITARIA DE UN SOLO PLANO Estado: Bueno Placa anterior: 000023115 Material: METAL Color: GRIS Referencia:  Observacion:  Placa padre: Tipo adquisicion: Entidad</v>
      </c>
      <c r="G23786" s="5" t="str">
        <f>"LOS PINOS"</f>
        <v>LOS PINOS</v>
      </c>
    </row>
    <row r="23787" spans="1:7" ht="58.5" customHeight="1" x14ac:dyDescent="0.25">
      <c r="A23787" s="5" t="str">
        <f>"H0010091"</f>
        <v>H0010091</v>
      </c>
      <c r="B23787" s="5" t="str">
        <f>"ATRIL PORTASUERO MOVIL"</f>
        <v>ATRIL PORTASUERO MOVIL</v>
      </c>
      <c r="C23787" s="6">
        <v>145000</v>
      </c>
      <c r="D23787" s="5" t="s">
        <v>166</v>
      </c>
      <c r="E23787" s="5" t="str">
        <f t="shared" si="1182"/>
        <v>CUIDADOS INTERMEDIOS URGENCIAS -YENNY PEÑA</v>
      </c>
      <c r="F23787" s="5" t="str">
        <f>"Descripcion: ATRIL CON RUEDAS MOVILIZANDO Estado: Bueno Placa anterior: 000031451 Material: ACERO Color: GRIS Referencia:  Observacion:  Placa padre: Tipo adquisicion: Entidad"</f>
        <v>Descripcion: ATRIL CON RUEDAS MOVILIZANDO Estado: Bueno Placa anterior: 000031451 Material: ACERO Color: GRIS Referencia:  Observacion:  Placa padre: Tipo adquisicion: Entidad</v>
      </c>
      <c r="G23787" s="5"/>
    </row>
    <row r="23788" spans="1:7" ht="58.5" customHeight="1" x14ac:dyDescent="0.25">
      <c r="A23788" s="5" t="str">
        <f>"H0010092"</f>
        <v>H0010092</v>
      </c>
      <c r="B23788" s="5" t="str">
        <f>"ATRIL PORTASUERO MOVIL"</f>
        <v>ATRIL PORTASUERO MOVIL</v>
      </c>
      <c r="C23788" s="6">
        <v>210000</v>
      </c>
      <c r="D23788" s="5" t="s">
        <v>50</v>
      </c>
      <c r="E23788" s="5" t="str">
        <f t="shared" si="1182"/>
        <v>CUIDADOS INTERMEDIOS URGENCIAS -YENNY PEÑA</v>
      </c>
      <c r="F23788" s="5" t="str">
        <f>"Descripcion: ATRIL CON RUEDAS MOVILIZANDO Estado: Bueno Placa anterior: 000029688 Material: ACERO Color: GRIS Referencia:  Observacion:  Placa padre: Tipo adquisicion: Entidad"</f>
        <v>Descripcion: ATRIL CON RUEDAS MOVILIZANDO Estado: Bueno Placa anterior: 000029688 Material: ACERO Color: GRIS Referencia:  Observacion:  Placa padre: Tipo adquisicion: Entidad</v>
      </c>
      <c r="G23788" s="5"/>
    </row>
    <row r="23789" spans="1:7" ht="58.5" customHeight="1" x14ac:dyDescent="0.25">
      <c r="A23789" s="5" t="str">
        <f>"H0010097"</f>
        <v>H0010097</v>
      </c>
      <c r="B23789" s="5" t="str">
        <f>"MESA DE NOCHE"</f>
        <v>MESA DE NOCHE</v>
      </c>
      <c r="C23789" s="6">
        <v>327586</v>
      </c>
      <c r="D23789" s="5"/>
      <c r="E23789" s="5" t="str">
        <f t="shared" si="1182"/>
        <v>CUIDADOS INTERMEDIOS URGENCIAS -YENNY PEÑA</v>
      </c>
      <c r="F23789" s="5" t="str">
        <f>"Descripcion: MESA DE NOCHE EN ACERO Estado: Bueno Placa anterior: 000033027 Material: ACERO Color: PLARTEADO Referencia:  Observacion:  Placa padre: Tipo adquisicion: Entidad"</f>
        <v>Descripcion: MESA DE NOCHE EN ACERO Estado: Bueno Placa anterior: 000033027 Material: ACERO Color: PLARTEADO Referencia:  Observacion:  Placa padre: Tipo adquisicion: Entidad</v>
      </c>
      <c r="G23789" s="5"/>
    </row>
    <row r="23790" spans="1:7" ht="58.5" customHeight="1" x14ac:dyDescent="0.25">
      <c r="A23790" s="5" t="str">
        <f>"H0010098"</f>
        <v>H0010098</v>
      </c>
      <c r="B23790" s="5" t="str">
        <f>"ATRIL PORTASUERO MOVIL"</f>
        <v>ATRIL PORTASUERO MOVIL</v>
      </c>
      <c r="C23790" s="6">
        <v>145000</v>
      </c>
      <c r="D23790" s="5" t="s">
        <v>166</v>
      </c>
      <c r="E23790" s="5" t="str">
        <f t="shared" si="1182"/>
        <v>CUIDADOS INTERMEDIOS URGENCIAS -YENNY PEÑA</v>
      </c>
      <c r="F23790" s="5" t="str">
        <f>"Descripcion: ATRIL PORTASUERO CON RUEDAS NO ES FIJO  Estado: Bueno Placa anterior: 000031426 Material: ACERO Color: PLATEADO Referencia:  Observacion:  Placa padre: Tipo adquisicion: Entidad"</f>
        <v>Descripcion: ATRIL PORTASUERO CON RUEDAS NO ES FIJO  Estado: Bueno Placa anterior: 000031426 Material: ACERO Color: PLATEADO Referencia:  Observacion:  Placa padre: Tipo adquisicion: Entidad</v>
      </c>
      <c r="G23790" s="5"/>
    </row>
    <row r="23791" spans="1:7" ht="58.5" customHeight="1" x14ac:dyDescent="0.25">
      <c r="A23791" s="5" t="str">
        <f>"H0010099"</f>
        <v>H0010099</v>
      </c>
      <c r="B23791" s="5" t="str">
        <f>"ATRIL PORTASUERO MOVIL"</f>
        <v>ATRIL PORTASUERO MOVIL</v>
      </c>
      <c r="C23791" s="6">
        <v>210000</v>
      </c>
      <c r="D23791" s="5" t="s">
        <v>50</v>
      </c>
      <c r="E23791" s="5" t="str">
        <f t="shared" si="1182"/>
        <v>CUIDADOS INTERMEDIOS URGENCIAS -YENNY PEÑA</v>
      </c>
      <c r="F23791" s="5" t="str">
        <f>"Descripcion: ATRIL EN ACERO INOXIDABLE QUIRURGICO ANTIMAGNETICO Estado: Bueno Placa anterior: 000029724 Material: ACERO Color: PLATEADO Referencia:  Observacion:  Placa padre: Tipo adquisicion: Entidad"</f>
        <v>Descripcion: ATRIL EN ACERO INOXIDABLE QUIRURGICO ANTIMAGNETICO Estado: Bueno Placa anterior: 000029724 Material: ACERO Color: PLATEADO Referencia:  Observacion:  Placa padre: Tipo adquisicion: Entidad</v>
      </c>
      <c r="G23791" s="5"/>
    </row>
    <row r="23792" spans="1:7" ht="58.5" customHeight="1" x14ac:dyDescent="0.25">
      <c r="A23792" s="5" t="str">
        <f>"H0010101"</f>
        <v>H0010101</v>
      </c>
      <c r="B23792" s="5" t="str">
        <f>"CAMA HOSPITALARIA 1 PLANO"</f>
        <v>CAMA HOSPITALARIA 1 PLANO</v>
      </c>
      <c r="C23792" s="6">
        <v>2509480</v>
      </c>
      <c r="D23792" s="5"/>
      <c r="E23792" s="5" t="str">
        <f t="shared" si="1182"/>
        <v>CUIDADOS INTERMEDIOS URGENCIAS -YENNY PEÑA</v>
      </c>
      <c r="F23792" s="5" t="str">
        <f>"Descripcion: CAMA HOSPITALITARIA PRIMER PLANO CON RUEDAS Estado: Bueno Placa anterior: 000033381 Material: METAL Color: GRIS Referencia:  Observacion:  Placa padre: Tipo adquisicion: Entidad"</f>
        <v>Descripcion: CAMA HOSPITALITARIA PRIMER PLANO CON RUEDAS Estado: Bueno Placa anterior: 000033381 Material: METAL Color: GRIS Referencia:  Observacion:  Placa padre: Tipo adquisicion: Entidad</v>
      </c>
      <c r="G23792" s="5"/>
    </row>
    <row r="23793" spans="1:7" ht="58.5" customHeight="1" x14ac:dyDescent="0.25">
      <c r="A23793" s="5" t="str">
        <f>"H0010102"</f>
        <v>H0010102</v>
      </c>
      <c r="B23793" s="5" t="str">
        <f>"MESA DE NOCHE"</f>
        <v>MESA DE NOCHE</v>
      </c>
      <c r="C23793" s="6">
        <v>327586</v>
      </c>
      <c r="D23793" s="5"/>
      <c r="E23793" s="5" t="str">
        <f t="shared" si="1182"/>
        <v>CUIDADOS INTERMEDIOS URGENCIAS -YENNY PEÑA</v>
      </c>
      <c r="F23793" s="5" t="str">
        <f>"Descripcion: MESA DE NOCHE EN ACERO DOS CAJONES Estado: Bueno Placa anterior: 000033040 Material: METAL Color: GRIS Referencia:  Observacion:  Placa padre: Tipo adquisicion: Entidad"</f>
        <v>Descripcion: MESA DE NOCHE EN ACERO DOS CAJONES Estado: Bueno Placa anterior: 000033040 Material: METAL Color: GRIS Referencia:  Observacion:  Placa padre: Tipo adquisicion: Entidad</v>
      </c>
      <c r="G23793" s="5"/>
    </row>
    <row r="23794" spans="1:7" ht="58.5" customHeight="1" x14ac:dyDescent="0.25">
      <c r="A23794" s="5" t="str">
        <f>"H0010104"</f>
        <v>H0010104</v>
      </c>
      <c r="B23794" s="5" t="str">
        <f>"AIRE ACONDICIONADO DE 36000 BTU PISO TECHO"</f>
        <v>AIRE ACONDICIONADO DE 36000 BTU PISO TECHO</v>
      </c>
      <c r="C23794" s="6">
        <v>3000000</v>
      </c>
      <c r="D23794" s="5" t="s">
        <v>923</v>
      </c>
      <c r="E23794" s="5" t="str">
        <f t="shared" si="1182"/>
        <v>CUIDADOS INTERMEDIOS URGENCIAS -YENNY PEÑA</v>
      </c>
      <c r="F23794" s="5" t="str">
        <f>"Descripcion: AIRE ACONDICIONADO DE 36000 BTU SPLIT Estado: Bueno Placa anterior: 000030505 Material: PASTA Color: BLANCO Referencia: 0202052380413-2160046 Observacion:  Placa anterior:, Placa nueva=H0020705, Descripcion:CONDENSADORA DEL AIRE ACONDICIONADO"&amp; " DE LA UCI PEDIATRICA CON PLACA NUEVA N° H0010104 Y PLACA ANTERIOR No 000030505, Serial:C13111109401, Marca:STARLIGHT, Modelo:CV410-036-1, Material:METALICO, Color:GRIS,   Referencia: Placa padre: Tipo adquisicion: Entidad"</f>
        <v>Descripcion: AIRE ACONDICIONADO DE 36000 BTU SPLIT Estado: Bueno Placa anterior: 000030505 Material: PASTA Color: BLANCO Referencia: 0202052380413-2160046 Observacion:  Placa anterior:, Placa nueva=H0020705, Descripcion:CONDENSADORA DEL AIRE ACONDICIONADO DE LA UCI PEDIATRICA CON PLACA NUEVA N° H0010104 Y PLACA ANTERIOR No 000030505, Serial:C13111109401, Marca:STARLIGHT, Modelo:CV410-036-1, Material:METALICO, Color:GRIS,   Referencia: Placa padre: Tipo adquisicion: Entidad</v>
      </c>
      <c r="G23794" s="5"/>
    </row>
    <row r="23795" spans="1:7" ht="58.5" customHeight="1" x14ac:dyDescent="0.25">
      <c r="A23795" s="5" t="str">
        <f>"H0010112"</f>
        <v>H0010112</v>
      </c>
      <c r="B23795" s="5" t="str">
        <f>"ESCRITORIO DE MADERA 2 GAVETAS"</f>
        <v>ESCRITORIO DE MADERA 2 GAVETAS</v>
      </c>
      <c r="C23795" s="6">
        <v>15686.33</v>
      </c>
      <c r="D23795" s="5"/>
      <c r="E23795" s="5" t="str">
        <f t="shared" si="1182"/>
        <v>CUIDADOS INTERMEDIOS URGENCIAS -YENNY PEÑA</v>
      </c>
      <c r="F23795" s="5" t="str">
        <f>"Descripcion: ESCRITORIO DOS GAVETAS METAL EN FORMICA Estado: Regular Placa anterior: 000019620 Material: METAL CON FORMICA Color: GRIS Y MARRON Referencia:  Observacion:  Placa padre: Tipo adquisicion: Entidad"</f>
        <v>Descripcion: ESCRITORIO DOS GAVETAS METAL EN FORMICA Estado: Regular Placa anterior: 000019620 Material: METAL CON FORMICA Color: GRIS Y MARRON Referencia:  Observacion:  Placa padre: Tipo adquisicion: Entidad</v>
      </c>
      <c r="G23795" s="5"/>
    </row>
    <row r="23796" spans="1:7" ht="58.5" customHeight="1" x14ac:dyDescent="0.25">
      <c r="A23796" s="5" t="str">
        <f>"H0010120"</f>
        <v>H0010120</v>
      </c>
      <c r="B23796" s="5" t="str">
        <f>"SUCCIONADOR (ASPIRADOR) DE FLUIDOS QUIRURGICO"</f>
        <v>SUCCIONADOR (ASPIRADOR) DE FLUIDOS QUIRURGICO</v>
      </c>
      <c r="C23796" s="6">
        <v>1050000</v>
      </c>
      <c r="D23796" s="5"/>
      <c r="E23796" s="5" t="str">
        <f t="shared" si="1182"/>
        <v>CUIDADOS INTERMEDIOS URGENCIAS -YENNY PEÑA</v>
      </c>
      <c r="F23796" s="5" t="str">
        <f>"Descripcion: SUCCIONADOR (ASPIRADOR PORTATIL) MARCA THOMAS MODELO 1630 Estado: Malo Placa anterior: 000033178 Material: HIERRO Color: BEIGE Referencia: MEDI-PUMP Observacion:  Placa padre: Tipo adquisicion: Entidad"</f>
        <v>Descripcion: SUCCIONADOR (ASPIRADOR PORTATIL) MARCA THOMAS MODELO 1630 Estado: Malo Placa anterior: 000033178 Material: HIERRO Color: BEIGE Referencia: MEDI-PUMP Observacion:  Placa padre: Tipo adquisicion: Entidad</v>
      </c>
      <c r="G23796" s="5" t="str">
        <f>"1630"</f>
        <v>1630</v>
      </c>
    </row>
    <row r="23797" spans="1:7" ht="58.5" customHeight="1" x14ac:dyDescent="0.25">
      <c r="A23797" s="5" t="str">
        <f>"H0010122"</f>
        <v>H0010122</v>
      </c>
      <c r="B23797" s="5" t="str">
        <f>"POTE (TARRO) ACERO INXODABLE CON TAPA MEDIANO"</f>
        <v>POTE (TARRO) ACERO INXODABLE CON TAPA MEDIANO</v>
      </c>
      <c r="C23797" s="6">
        <v>5498.01</v>
      </c>
      <c r="D23797" s="5"/>
      <c r="E23797" s="5" t="str">
        <f t="shared" si="1182"/>
        <v>CUIDADOS INTERMEDIOS URGENCIAS -YENNY PEÑA</v>
      </c>
      <c r="F23797" s="5" t="str">
        <f>"Descripcion: TARRO NIQUELADO Estado: Bueno Placa anterior: 000019760 Material: ACERO INOXIDABLE Color: GRIS Referencia:  Observacion:  Placa padre: Tipo adquisicion: Entidad"</f>
        <v>Descripcion: TARRO NIQUELADO Estado: Bueno Placa anterior: 000019760 Material: ACERO INOXIDABLE Color: GRIS Referencia:  Observacion:  Placa padre: Tipo adquisicion: Entidad</v>
      </c>
      <c r="G23797" s="5"/>
    </row>
    <row r="23798" spans="1:7" ht="58.5" customHeight="1" x14ac:dyDescent="0.25">
      <c r="A23798" s="5" t="str">
        <f>"H0010123"</f>
        <v>H0010123</v>
      </c>
      <c r="B23798" s="5" t="str">
        <f>"POTE (TARRO) ACERO INXODABLE CON TAPA MEDIANO"</f>
        <v>POTE (TARRO) ACERO INXODABLE CON TAPA MEDIANO</v>
      </c>
      <c r="C23798" s="6">
        <v>75400</v>
      </c>
      <c r="D23798" s="5"/>
      <c r="E23798" s="5" t="str">
        <f t="shared" si="1182"/>
        <v>CUIDADOS INTERMEDIOS URGENCIAS -YENNY PEÑA</v>
      </c>
      <c r="F23798" s="5" t="str">
        <f>"Descripcion: TARRO ACERO INOXIDABLE Estado: Bueno Placa anterior: 000033252 Material: ACERO INOXIDABLE Color: GRIS Referencia:  Observacion:  Placa padre: Tipo adquisicion: Donacion"</f>
        <v>Descripcion: TARRO ACERO INOXIDABLE Estado: Bueno Placa anterior: 000033252 Material: ACERO INOXIDABLE Color: GRIS Referencia:  Observacion:  Placa padre: Tipo adquisicion: Donacion</v>
      </c>
      <c r="G23798" s="5"/>
    </row>
    <row r="23799" spans="1:7" ht="58.5" customHeight="1" x14ac:dyDescent="0.25">
      <c r="A23799" s="5" t="str">
        <f>"H0010124"</f>
        <v>H0010124</v>
      </c>
      <c r="B23799" s="5" t="str">
        <f>"POTE (TARRO) ACERO INXODABLE CON TAPA MEDIANO"</f>
        <v>POTE (TARRO) ACERO INXODABLE CON TAPA MEDIANO</v>
      </c>
      <c r="C23799" s="6">
        <v>5498.01</v>
      </c>
      <c r="D23799" s="5"/>
      <c r="E23799" s="5" t="str">
        <f t="shared" si="1182"/>
        <v>CUIDADOS INTERMEDIOS URGENCIAS -YENNY PEÑA</v>
      </c>
      <c r="F23799" s="5" t="str">
        <f>"Descripcion: TARRO NIQUELADO Estado: Bueno Placa anterior: 000019742 Material: ACERO INOXIDABLE Color: GRIS Referencia:  Observacion:  Placa padre: Tipo adquisicion: Entidad"</f>
        <v>Descripcion: TARRO NIQUELADO Estado: Bueno Placa anterior: 000019742 Material: ACERO INOXIDABLE Color: GRIS Referencia:  Observacion:  Placa padre: Tipo adquisicion: Entidad</v>
      </c>
      <c r="G23799" s="5"/>
    </row>
    <row r="23800" spans="1:7" ht="58.5" customHeight="1" x14ac:dyDescent="0.25">
      <c r="A23800" s="5" t="str">
        <f>"H0010128"</f>
        <v>H0010128</v>
      </c>
      <c r="B23800" s="5" t="str">
        <f>"CUBETA DE ACERO INOXIDABLE PEQUEÑA"</f>
        <v>CUBETA DE ACERO INOXIDABLE PEQUEÑA</v>
      </c>
      <c r="C23800" s="6">
        <v>29125.48</v>
      </c>
      <c r="D23800" s="5"/>
      <c r="E23800" s="5" t="str">
        <f t="shared" si="1182"/>
        <v>CUIDADOS INTERMEDIOS URGENCIAS -YENNY PEÑA</v>
      </c>
      <c r="F23800" s="5" t="str">
        <f>"Descripcion: BANDEJA O CUBETA  SIN TAPAS, PEQUEÑA Estado: Bueno Placa anterior: 000018645 Material: ACERO INOXIDABLE Color: GRIS Referencia:  Observacion: EL BIEN TIENE PLACA ANTERIOR  000018658, ESTA PLACA PERTENECE A UNA RIÑONERA  CUBETA EN ACERO INOXID"&amp; "ABLE Placa padre: Tipo adquisicion: Entidad"</f>
        <v>Descripcion: BANDEJA O CUBETA  SIN TAPAS, PEQUEÑA Estado: Bueno Placa anterior: 000018645 Material: ACERO INOXIDABLE Color: GRIS Referencia:  Observacion: EL BIEN TIENE PLACA ANTERIOR  000018658, ESTA PLACA PERTENECE A UNA RIÑONERA  CUBETA EN ACERO INOXIDABLE Placa padre: Tipo adquisicion: Entidad</v>
      </c>
      <c r="G23800" s="5"/>
    </row>
    <row r="23801" spans="1:7" ht="58.5" customHeight="1" x14ac:dyDescent="0.25">
      <c r="A23801" s="5" t="str">
        <f>"H0010129"</f>
        <v>H0010129</v>
      </c>
      <c r="B23801" s="5" t="str">
        <f>"CUBETA DE ACERO INOXIDABLE PEQUEÑA"</f>
        <v>CUBETA DE ACERO INOXIDABLE PEQUEÑA</v>
      </c>
      <c r="C23801" s="6">
        <v>22335</v>
      </c>
      <c r="D23801" s="5"/>
      <c r="E23801" s="5" t="str">
        <f t="shared" si="1182"/>
        <v>CUIDADOS INTERMEDIOS URGENCIAS -YENNY PEÑA</v>
      </c>
      <c r="F23801" s="5" t="str">
        <f>"Descripcion: BANDEJA O CUBETA SIN TAPAS, PEQUEÑA Estado: Bueno Placa anterior: 000019945 Material: ACERO INOXIDABLE Color: GRIS Referencia:  Observacion:  Placa padre: Tipo adquisicion: Entidad"</f>
        <v>Descripcion: BANDEJA O CUBETA SIN TAPAS, PEQUEÑA Estado: Bueno Placa anterior: 000019945 Material: ACERO INOXIDABLE Color: GRIS Referencia:  Observacion:  Placa padre: Tipo adquisicion: Entidad</v>
      </c>
      <c r="G23801" s="5"/>
    </row>
    <row r="23802" spans="1:7" ht="58.5" customHeight="1" x14ac:dyDescent="0.25">
      <c r="A23802" s="5" t="str">
        <f>"H0010132"</f>
        <v>H0010132</v>
      </c>
      <c r="B23802" s="5" t="str">
        <f>"ATRIL PORTASUERO MOVIL"</f>
        <v>ATRIL PORTASUERO MOVIL</v>
      </c>
      <c r="C23802" s="6">
        <v>210000</v>
      </c>
      <c r="D23802" s="5" t="s">
        <v>50</v>
      </c>
      <c r="E23802" s="5" t="str">
        <f t="shared" si="1182"/>
        <v>CUIDADOS INTERMEDIOS URGENCIAS -YENNY PEÑA</v>
      </c>
      <c r="F23802" s="5" t="str">
        <f>"Descripcion: ATRIL EN ACERO INOXIDABLE QUIRURGICO ANTIMAGNETICO Estado: Bueno Placa anterior: 000029723 Material: ACERO INOXIDABLE Color: GRIS Referencia:  Observacion:  Placa padre: Tipo adquisicion: Entidad"</f>
        <v>Descripcion: ATRIL EN ACERO INOXIDABLE QUIRURGICO ANTIMAGNETICO Estado: Bueno Placa anterior: 000029723 Material: ACERO INOXIDABLE Color: GRIS Referencia:  Observacion:  Placa padre: Tipo adquisicion: Entidad</v>
      </c>
      <c r="G23802" s="5"/>
    </row>
    <row r="23803" spans="1:7" ht="58.5" customHeight="1" x14ac:dyDescent="0.25">
      <c r="A23803" s="5" t="str">
        <f>"H0010133"</f>
        <v>H0010133</v>
      </c>
      <c r="B23803" s="5" t="str">
        <f>"ATRIL PORTASUERO MOVIL"</f>
        <v>ATRIL PORTASUERO MOVIL</v>
      </c>
      <c r="C23803" s="6">
        <v>145000</v>
      </c>
      <c r="D23803" s="5" t="s">
        <v>166</v>
      </c>
      <c r="E23803" s="5" t="str">
        <f t="shared" si="1182"/>
        <v>CUIDADOS INTERMEDIOS URGENCIAS -YENNY PEÑA</v>
      </c>
      <c r="F23803" s="5" t="str">
        <f>"Descripcion: ATRIL. Aatril portasuero en pintura electrostatica, debe contar con sistema portasuero minimo para dos bolsas de 50ml con varilla graduable,con rodachines Estado: Bueno Placa anterior: 000031442 Material: ACERO INOXIDABLE Color: GRIS Referenc"&amp; "ia:  Observacion:  Placa padre: Tipo adquisicion: Entidad"</f>
        <v>Descripcion: ATRIL. Aatril portasuero en pintura electrostatica, debe contar con sistema portasuero minimo para dos bolsas de 50ml con varilla graduable,con rodachines Estado: Bueno Placa anterior: 000031442 Material: ACERO INOXIDABLE Color: GRIS Referencia:  Observacion:  Placa padre: Tipo adquisicion: Entidad</v>
      </c>
      <c r="G23803" s="5" t="str">
        <f>"121-01"</f>
        <v>121-01</v>
      </c>
    </row>
    <row r="23804" spans="1:7" ht="58.5" customHeight="1" x14ac:dyDescent="0.25">
      <c r="A23804" s="5" t="str">
        <f>"H0010134"</f>
        <v>H0010134</v>
      </c>
      <c r="B23804" s="5" t="str">
        <f>"CAMA HOSPITALARIA 2 PLANOS"</f>
        <v>CAMA HOSPITALARIA 2 PLANOS</v>
      </c>
      <c r="C23804" s="6">
        <v>2509480</v>
      </c>
      <c r="D23804" s="5"/>
      <c r="E23804" s="5" t="str">
        <f t="shared" si="1182"/>
        <v>CUIDADOS INTERMEDIOS URGENCIAS -YENNY PEÑA</v>
      </c>
      <c r="F23804" s="5" t="str">
        <f>"Descripcion: CAMA 2 PLANOS CON BARANDAS CON RUEDAS Estado: Bueno Placa anterior: 000033382 Material: METAL Y PASTA Color: GRIS Referencia:  Observacion:  Placa padre: Tipo adquisicion: Entidad"</f>
        <v>Descripcion: CAMA 2 PLANOS CON BARANDAS CON RUEDAS Estado: Bueno Placa anterior: 000033382 Material: METAL Y PASTA Color: GRIS Referencia:  Observacion:  Placa padre: Tipo adquisicion: Entidad</v>
      </c>
      <c r="G23804" s="5"/>
    </row>
    <row r="23805" spans="1:7" ht="58.5" customHeight="1" x14ac:dyDescent="0.25">
      <c r="A23805" s="5" t="str">
        <f>"H0010135"</f>
        <v>H0010135</v>
      </c>
      <c r="B23805" s="5" t="str">
        <f>"MESA DE NOCHE"</f>
        <v>MESA DE NOCHE</v>
      </c>
      <c r="C23805" s="6">
        <v>327586</v>
      </c>
      <c r="D23805" s="5"/>
      <c r="E23805" s="5" t="str">
        <f t="shared" si="1182"/>
        <v>CUIDADOS INTERMEDIOS URGENCIAS -YENNY PEÑA</v>
      </c>
      <c r="F23805" s="5" t="str">
        <f>"Descripcion: MESA DE NOCHE EN ACERO CON 2 GABETAS Estado: Bueno Placa anterior: 000033028 Material: ACERO INOXIDABLE Color: PLATEADO Referencia:  Observacion:  Placa padre: Tipo adquisicion: Entidad"</f>
        <v>Descripcion: MESA DE NOCHE EN ACERO CON 2 GABETAS Estado: Bueno Placa anterior: 000033028 Material: ACERO INOXIDABLE Color: PLATEADO Referencia:  Observacion:  Placa padre: Tipo adquisicion: Entidad</v>
      </c>
      <c r="G23805" s="5"/>
    </row>
    <row r="23806" spans="1:7" ht="58.5" customHeight="1" x14ac:dyDescent="0.25">
      <c r="A23806" s="5" t="str">
        <f>"H0010142"</f>
        <v>H0010142</v>
      </c>
      <c r="B23806" s="5" t="str">
        <f>"MESA DE NOCHE"</f>
        <v>MESA DE NOCHE</v>
      </c>
      <c r="C23806" s="6">
        <v>327586</v>
      </c>
      <c r="D23806" s="5"/>
      <c r="E23806" s="5" t="str">
        <f t="shared" si="1182"/>
        <v>CUIDADOS INTERMEDIOS URGENCIAS -YENNY PEÑA</v>
      </c>
      <c r="F23806" s="5" t="str">
        <f>"Descripcion: MESA DE NOCHE EN ACERO Estado: Bueno Placa anterior: 000033023 Material: ACERO INOXIDABLE Color: PLATEADO Referencia:  Observacion:  Placa padre: Tipo adquisicion: Entidad"</f>
        <v>Descripcion: MESA DE NOCHE EN ACERO Estado: Bueno Placa anterior: 000033023 Material: ACERO INOXIDABLE Color: PLATEADO Referencia:  Observacion:  Placa padre: Tipo adquisicion: Entidad</v>
      </c>
      <c r="G23806" s="5"/>
    </row>
    <row r="23807" spans="1:7" ht="58.5" customHeight="1" x14ac:dyDescent="0.25">
      <c r="A23807" s="5" t="str">
        <f>"H0010151"</f>
        <v>H0010151</v>
      </c>
      <c r="B23807" s="5" t="str">
        <f>"CAMA HOSPITALARIA 2 PLANOS"</f>
        <v>CAMA HOSPITALARIA 2 PLANOS</v>
      </c>
      <c r="C23807" s="6">
        <v>1780000</v>
      </c>
      <c r="D23807" s="5" t="s">
        <v>63</v>
      </c>
      <c r="E23807" s="5" t="str">
        <f t="shared" si="1182"/>
        <v>CUIDADOS INTERMEDIOS URGENCIAS -YENNY PEÑA</v>
      </c>
      <c r="F23807" s="5" t="str">
        <f>"Descripcion: CAMA 2 PLANOS CON BARANDAS CON RUEDAS Estado: Bueno Placa anterior: 000037783 Material: METAL Y PASTA Color: GRIS Referencia:  Observacion: CAMILLA MECANICA DOS PLANOS   Placa padre: Tipo adquisicion: Entidad"</f>
        <v>Descripcion: CAMA 2 PLANOS CON BARANDAS CON RUEDAS Estado: Bueno Placa anterior: 000037783 Material: METAL Y PASTA Color: GRIS Referencia:  Observacion: CAMILLA MECANICA DOS PLANOS   Placa padre: Tipo adquisicion: Entidad</v>
      </c>
      <c r="G23807" s="5"/>
    </row>
    <row r="23808" spans="1:7" ht="58.5" customHeight="1" x14ac:dyDescent="0.25">
      <c r="A23808" s="5" t="str">
        <f>"H0010152"</f>
        <v>H0010152</v>
      </c>
      <c r="B23808" s="5" t="str">
        <f>"MESA DE NOCHE"</f>
        <v>MESA DE NOCHE</v>
      </c>
      <c r="C23808" s="6">
        <v>327586</v>
      </c>
      <c r="D23808" s="5"/>
      <c r="E23808" s="5" t="str">
        <f t="shared" si="1182"/>
        <v>CUIDADOS INTERMEDIOS URGENCIAS -YENNY PEÑA</v>
      </c>
      <c r="F23808" s="5" t="str">
        <f>"Descripcion: MESA DE NOCHE EN ACERO 2 GABETAS Estado: Bueno Placa anterior: 000033017 Material: ACERO INOXIDABLE Color: PLATEADO Referencia:  Observacion:  Placa padre: Tipo adquisicion: Entidad"</f>
        <v>Descripcion: MESA DE NOCHE EN ACERO 2 GABETAS Estado: Bueno Placa anterior: 000033017 Material: ACERO INOXIDABLE Color: PLATEADO Referencia:  Observacion:  Placa padre: Tipo adquisicion: Entidad</v>
      </c>
      <c r="G23808" s="5"/>
    </row>
    <row r="23809" spans="1:7" ht="58.5" customHeight="1" x14ac:dyDescent="0.25">
      <c r="A23809" s="5" t="str">
        <f>"H0010153"</f>
        <v>H0010153</v>
      </c>
      <c r="B23809" s="5" t="str">
        <f>"PATO (PISINGO) HOMBRE"</f>
        <v>PATO (PISINGO) HOMBRE</v>
      </c>
      <c r="C23809" s="6">
        <v>15556.52</v>
      </c>
      <c r="D23809" s="5"/>
      <c r="E23809" s="5" t="str">
        <f t="shared" si="1182"/>
        <v>CUIDADOS INTERMEDIOS URGENCIAS -YENNY PEÑA</v>
      </c>
      <c r="F23809" s="5" t="str">
        <f>"Descripcion: PISINGO Estado: Bueno Placa anterior: 000019414 Material: ACERO INOXIDABLE Color: PLATEADO Referencia:  Observacion:  Placa padre: Tipo adquisicion: Entidad"</f>
        <v>Descripcion: PISINGO Estado: Bueno Placa anterior: 000019414 Material: ACERO INOXIDABLE Color: PLATEADO Referencia:  Observacion:  Placa padre: Tipo adquisicion: Entidad</v>
      </c>
      <c r="G23809" s="5"/>
    </row>
    <row r="23810" spans="1:7" ht="58.5" customHeight="1" x14ac:dyDescent="0.25">
      <c r="A23810" s="5" t="str">
        <f>"H0010154"</f>
        <v>H0010154</v>
      </c>
      <c r="B23810" s="5" t="str">
        <f>"BIOMBO METALICO DE 3 CUERPOS"</f>
        <v>BIOMBO METALICO DE 3 CUERPOS</v>
      </c>
      <c r="C23810" s="6">
        <v>307400</v>
      </c>
      <c r="D23810" s="5" t="s">
        <v>166</v>
      </c>
      <c r="E23810" s="5" t="str">
        <f t="shared" si="1182"/>
        <v>CUIDADOS INTERMEDIOS URGENCIAS -YENNY PEÑA</v>
      </c>
      <c r="F23810" s="5" t="str">
        <f>"Descripcion: BIOMBOS. Debe contenero como minimo 3 cuerpos en material lavable -antifluido, fabricado en tubo redondo de 1.25x1.80 de altura con 5 patas y tapones de caucho Estado: Bueno Placa anterior: 000031481 Material: METAL Y PLASTICO Color: BLANCO R"&amp; "eferencia:  Observacion:  Placa padre: Tipo adquisicion: Entidad"</f>
        <v>Descripcion: BIOMBOS. Debe contenero como minimo 3 cuerpos en material lavable -antifluido, fabricado en tubo redondo de 1.25x1.80 de altura con 5 patas y tapones de caucho Estado: Bueno Placa anterior: 000031481 Material: METAL Y PLASTICO Color: BLANCO Referencia:  Observacion:  Placa padre: Tipo adquisicion: Entidad</v>
      </c>
      <c r="G23810" s="5" t="str">
        <f>"101-13"</f>
        <v>101-13</v>
      </c>
    </row>
    <row r="23811" spans="1:7" ht="58.5" customHeight="1" x14ac:dyDescent="0.25">
      <c r="A23811" s="5" t="str">
        <f>"H0010155"</f>
        <v>H0010155</v>
      </c>
      <c r="B23811" s="5" t="str">
        <f>"MESA (CARRO) DE CURACIONES"</f>
        <v>MESA (CARRO) DE CURACIONES</v>
      </c>
      <c r="C23811" s="6">
        <v>336400</v>
      </c>
      <c r="D23811" s="5" t="s">
        <v>161</v>
      </c>
      <c r="E23811" s="5" t="str">
        <f t="shared" si="1182"/>
        <v>CUIDADOS INTERMEDIOS URGENCIAS -YENNY PEÑA</v>
      </c>
      <c r="F23811" s="5" t="str">
        <f>"Descripcion: CARROS AUXILIARES(MESA AUXILIAR RODANTE)CON RODACHINES. Estructura fabricada en tuberia de acero, plato superior e inferior para transporte de materiales e implementos, plato superior en acero inoxidable, barandillas de seguridad en acero ino"&amp; "xidable.Dime Estado: Bueno Placa anterior: 000031551 Material: ACERO INOXIDABLE Color: BEIGE Referencia:  Observacion:  Placa padre: Tipo adquisicion: Entidad"</f>
        <v>Descripcion: CARROS AUXILIARES(MESA AUXILIAR RODANTE)CON RODACHINES. Estructura fabricada en tuberia de acero, plato superior e inferior para transporte de materiales e implementos, plato superior en acero inoxidable, barandillas de seguridad en acero inoxidable.Dime Estado: Bueno Placa anterior: 000031551 Material: ACERO INOXIDABLE Color: BEIGE Referencia:  Observacion:  Placa padre: Tipo adquisicion: Entidad</v>
      </c>
      <c r="G23811" s="5" t="str">
        <f>"181-22"</f>
        <v>181-22</v>
      </c>
    </row>
    <row r="23812" spans="1:7" ht="58.5" customHeight="1" x14ac:dyDescent="0.25">
      <c r="A23812" s="5" t="str">
        <f>"H0010158"</f>
        <v>H0010158</v>
      </c>
      <c r="B23812" s="5" t="str">
        <f>"CARRO DE PARO"</f>
        <v>CARRO DE PARO</v>
      </c>
      <c r="C23812" s="6">
        <v>3364000</v>
      </c>
      <c r="D23812" s="5" t="s">
        <v>161</v>
      </c>
      <c r="E23812" s="5" t="str">
        <f t="shared" si="1182"/>
        <v>CUIDADOS INTERMEDIOS URGENCIAS -YENNY PEÑA</v>
      </c>
      <c r="F23812" s="5" t="str">
        <f>"Descripcion: CARRO DE PARO. debe contar como minimo con: 1 bandeja giratoria 360ª para desfribilador. 1 Atril portasuero. 1.bandeja para succionador. 1Bandeja lateral replegable 1 bandeja con divisiones con medicamentos 1 superficie en PVC abs etiquetas e"&amp; "n cajones. 1 Estado: Bueno Placa anterior: 000031509 Material: METAL Color: BEIGE Referencia:  Observacion:  Placa padre: Tipo adquisicion: Entidad"</f>
        <v>Descripcion: CARRO DE PARO. debe contar como minimo con: 1 bandeja giratoria 360ª para desfribilador. 1 Atril portasuero. 1.bandeja para succionador. 1Bandeja lateral replegable 1 bandeja con divisiones con medicamentos 1 superficie en PVC abs etiquetas en cajones. 1 Estado: Bueno Placa anterior: 000031509 Material: METAL Color: BEIGE Referencia:  Observacion:  Placa padre: Tipo adquisicion: Entidad</v>
      </c>
      <c r="G23812" s="5" t="str">
        <f>"181-34"</f>
        <v>181-34</v>
      </c>
    </row>
    <row r="23813" spans="1:7" ht="58.5" customHeight="1" x14ac:dyDescent="0.25">
      <c r="A23813" s="5" t="str">
        <f>"H0010160"</f>
        <v>H0010160</v>
      </c>
      <c r="B23813" s="5" t="str">
        <f>"RIÑONERA HOSPITALARIA EN ACERO INOXIDABLE"</f>
        <v>RIÑONERA HOSPITALARIA EN ACERO INOXIDABLE</v>
      </c>
      <c r="C23813" s="6">
        <v>52200</v>
      </c>
      <c r="D23813" s="5"/>
      <c r="E23813" s="5" t="str">
        <f t="shared" si="1182"/>
        <v>CUIDADOS INTERMEDIOS URGENCIAS -YENNY PEÑA</v>
      </c>
      <c r="F23813" s="5" t="str">
        <f>"Descripcion: RIÑONERA Estado: Bueno Placa anterior: 000033247 Material: ACERO INOXIDABLE Color: PLATEADO Referencia:  Observacion:  Placa padre: Tipo adquisicion: Entidad"</f>
        <v>Descripcion: RIÑONERA Estado: Bueno Placa anterior: 000033247 Material: ACERO INOXIDABLE Color: PLATEADO Referencia:  Observacion:  Placa padre: Tipo adquisicion: Entidad</v>
      </c>
      <c r="G23813" s="5"/>
    </row>
    <row r="23814" spans="1:7" ht="58.5" customHeight="1" x14ac:dyDescent="0.25">
      <c r="A23814" s="5" t="str">
        <f>"H0010162"</f>
        <v>H0010162</v>
      </c>
      <c r="B23814" s="5" t="str">
        <f>"PATO (PISINGO) HOMBRE"</f>
        <v>PATO (PISINGO) HOMBRE</v>
      </c>
      <c r="C23814" s="6">
        <v>11033.66</v>
      </c>
      <c r="D23814" s="5"/>
      <c r="E23814" s="5" t="str">
        <f t="shared" si="1182"/>
        <v>CUIDADOS INTERMEDIOS URGENCIAS -YENNY PEÑA</v>
      </c>
      <c r="F23814" s="5" t="str">
        <f>"Descripcion: PISINGO Estado: Bueno Placa anterior: 000019415 Material: ACERO INOXIDABLE Color: PLATEADO Referencia:  Observacion:  Placa padre: Tipo adquisicion: Entidad"</f>
        <v>Descripcion: PISINGO Estado: Bueno Placa anterior: 000019415 Material: ACERO INOXIDABLE Color: PLATEADO Referencia:  Observacion:  Placa padre: Tipo adquisicion: Entidad</v>
      </c>
      <c r="G23814" s="5"/>
    </row>
    <row r="23815" spans="1:7" ht="58.5" customHeight="1" x14ac:dyDescent="0.25">
      <c r="A23815" s="5" t="str">
        <f>"H0010163"</f>
        <v>H0010163</v>
      </c>
      <c r="B23815" s="5" t="str">
        <f>"ESCALERILLA DE 2 PASOS"</f>
        <v>ESCALERILLA DE 2 PASOS</v>
      </c>
      <c r="C23815" s="6">
        <v>100000</v>
      </c>
      <c r="D23815" s="5" t="s">
        <v>49</v>
      </c>
      <c r="E23815" s="5" t="str">
        <f t="shared" si="1182"/>
        <v>CUIDADOS INTERMEDIOS URGENCIAS -YENNY PEÑA</v>
      </c>
      <c r="F23815" s="5" t="str">
        <f>"Descripcion: ESCALERILLA DE DOS PASO EN TUBO REDONDO Estado: Regular Placa anterior: 000029796 Material: METAL Y FORMICA Color: BLANCO Referencia:  Observacion:  Placa padre: Tipo adquisicion: Entidad"</f>
        <v>Descripcion: ESCALERILLA DE DOS PASO EN TUBO REDONDO Estado: Regular Placa anterior: 000029796 Material: METAL Y FORMICA Color: BLANCO Referencia:  Observacion:  Placa padre: Tipo adquisicion: Entidad</v>
      </c>
      <c r="G23815" s="5"/>
    </row>
    <row r="23816" spans="1:7" ht="58.5" customHeight="1" x14ac:dyDescent="0.25">
      <c r="A23816" s="5" t="str">
        <f>"H0010164"</f>
        <v>H0010164</v>
      </c>
      <c r="B23816" s="5" t="str">
        <f>"LAVAMANOS QUIRURGICO 1 PUESTO"</f>
        <v>LAVAMANOS QUIRURGICO 1 PUESTO</v>
      </c>
      <c r="C23816" s="6">
        <v>100000</v>
      </c>
      <c r="D23816" s="5"/>
      <c r="E23816" s="5" t="str">
        <f t="shared" si="1182"/>
        <v>CUIDADOS INTERMEDIOS URGENCIAS -YENNY PEÑA</v>
      </c>
      <c r="F23816" s="5" t="str">
        <f>"Descripcion: LAVAMANO EN ACERO INOXIDABLE Estado: Bueno Placa anterior: 000019897 Material: ACERO INOXIDABLE Color: PLATEADO Referencia:  Observacion:  Placa padre: Tipo adquisicion: Entidad"</f>
        <v>Descripcion: LAVAMANO EN ACERO INOXIDABLE Estado: Bueno Placa anterior: 000019897 Material: ACERO INOXIDABLE Color: PLATEADO Referencia:  Observacion:  Placa padre: Tipo adquisicion: Entidad</v>
      </c>
      <c r="G23816" s="5"/>
    </row>
    <row r="23817" spans="1:7" ht="58.5" customHeight="1" x14ac:dyDescent="0.25">
      <c r="A23817" s="5" t="str">
        <f>"H0010165"</f>
        <v>H0010165</v>
      </c>
      <c r="B23817" s="5" t="str">
        <f>"LAVAMANOS QUIRURGICO 1 PUESTO"</f>
        <v>LAVAMANOS QUIRURGICO 1 PUESTO</v>
      </c>
      <c r="C23817" s="6">
        <v>100000</v>
      </c>
      <c r="D23817" s="5"/>
      <c r="E23817" s="5" t="str">
        <f t="shared" si="1182"/>
        <v>CUIDADOS INTERMEDIOS URGENCIAS -YENNY PEÑA</v>
      </c>
      <c r="F23817" s="5" t="str">
        <f>"Descripcion: LAVAMANO EN ACERO INOXIDABLE Estado: Bueno Placa anterior: 000019896 Material: ACERO INOXIDABLE Color: PLATEADO Referencia:  Observacion:  Placa padre: Tipo adquisicion: Entidad"</f>
        <v>Descripcion: LAVAMANO EN ACERO INOXIDABLE Estado: Bueno Placa anterior: 000019896 Material: ACERO INOXIDABLE Color: PLATEADO Referencia:  Observacion:  Placa padre: Tipo adquisicion: Entidad</v>
      </c>
      <c r="G23817" s="5"/>
    </row>
    <row r="23818" spans="1:7" ht="58.5" customHeight="1" x14ac:dyDescent="0.25">
      <c r="A23818" s="5" t="str">
        <f>"H0010167"</f>
        <v>H0010167</v>
      </c>
      <c r="B23818" s="5" t="str">
        <f>"VITRINA DE 2 CUERPOS"</f>
        <v>VITRINA DE 2 CUERPOS</v>
      </c>
      <c r="C23818" s="6">
        <v>133013</v>
      </c>
      <c r="D23818" s="5"/>
      <c r="E23818" s="5" t="str">
        <f t="shared" si="1182"/>
        <v>CUIDADOS INTERMEDIOS URGENCIAS -YENNY PEÑA</v>
      </c>
      <c r="F23818" s="5" t="str">
        <f>"Descripcion: VITRINA DE 2 CUERPOS 2 CUERPOS CON 4 GAVETAS, EN LA PARTE SUPERIRO CON UN ENTREPAÑO Y PUERTA EN VIDRIO Estado: Bueno Placa anterior: 000006302 Material: METALICO Color: GRIS Referencia:  Observacion:  Placa padre: Tipo adquisicion: Entidad"</f>
        <v>Descripcion: VITRINA DE 2 CUERPOS 2 CUERPOS CON 4 GAVETAS, EN LA PARTE SUPERIRO CON UN ENTREPAÑO Y PUERTA EN VIDRIO Estado: Bueno Placa anterior: 000006302 Material: METALICO Color: GRIS Referencia:  Observacion:  Placa padre: Tipo adquisicion: Entidad</v>
      </c>
      <c r="G23818" s="5"/>
    </row>
    <row r="23819" spans="1:7" ht="58.5" customHeight="1" x14ac:dyDescent="0.25">
      <c r="A23819" s="5" t="str">
        <f>"H0010220"</f>
        <v>H0010220</v>
      </c>
      <c r="B23819" s="5" t="str">
        <f>"FLUJOMETRO DOBLE"</f>
        <v>FLUJOMETRO DOBLE</v>
      </c>
      <c r="C23819" s="6">
        <v>365400</v>
      </c>
      <c r="D23819" s="5" t="s">
        <v>56</v>
      </c>
      <c r="E23819" s="5" t="str">
        <f t="shared" si="1182"/>
        <v>CUIDADOS INTERMEDIOS URGENCIAS -YENNY PEÑA</v>
      </c>
      <c r="F23819" s="5" t="str">
        <f>"Descripcion: FLUJOMETRO DOBLE Estado: Bueno Placa anterior: 000031116 Material: PASTA Y ACERO Color: VERDE Referencia:  Observacion:  Placa padre: Tipo adquisicion: Entidad"</f>
        <v>Descripcion: FLUJOMETRO DOBLE Estado: Bueno Placa anterior: 000031116 Material: PASTA Y ACERO Color: VERDE Referencia:  Observacion:  Placa padre: Tipo adquisicion: Entidad</v>
      </c>
      <c r="G23819" s="5"/>
    </row>
    <row r="23820" spans="1:7" ht="58.5" customHeight="1" x14ac:dyDescent="0.25">
      <c r="A23820" s="5" t="str">
        <f>"H0010534"</f>
        <v>H0010534</v>
      </c>
      <c r="B23820" s="5" t="str">
        <f>"BUTACO GIRATORIO CON RUEDAS"</f>
        <v>BUTACO GIRATORIO CON RUEDAS</v>
      </c>
      <c r="C23820" s="6">
        <v>9350</v>
      </c>
      <c r="D23820" s="5"/>
      <c r="E23820" s="5" t="str">
        <f t="shared" si="1182"/>
        <v>CUIDADOS INTERMEDIOS URGENCIAS -YENNY PEÑA</v>
      </c>
      <c r="F23820" s="5" t="str">
        <f>"Descripcion: BUTACOS CON RODACHINES,  Estado: Bueno Placa anterior: 000019617 Material: METAL Color: MARRON Referencia:  Observacion:  Placa padre: Tipo adquisicion: Entidad"</f>
        <v>Descripcion: BUTACOS CON RODACHINES,  Estado: Bueno Placa anterior: 000019617 Material: METAL Color: MARRON Referencia:  Observacion:  Placa padre: Tipo adquisicion: Entidad</v>
      </c>
      <c r="G23820" s="5"/>
    </row>
    <row r="23821" spans="1:7" ht="58.5" customHeight="1" x14ac:dyDescent="0.25">
      <c r="A23821" s="5" t="str">
        <f>"H0022255"</f>
        <v>H0022255</v>
      </c>
      <c r="B23821" s="5" t="str">
        <f>"CARRO UNIDOSIS PARA MEDICAMENTOS"</f>
        <v>CARRO UNIDOSIS PARA MEDICAMENTOS</v>
      </c>
      <c r="C23821" s="6">
        <v>4060000</v>
      </c>
      <c r="D23821" s="5" t="s">
        <v>61</v>
      </c>
      <c r="E23821" s="5" t="str">
        <f t="shared" si="1182"/>
        <v>CUIDADOS INTERMEDIOS URGENCIAS -YENNY PEÑA</v>
      </c>
      <c r="F23821" s="5"/>
      <c r="G23821" s="5"/>
    </row>
    <row r="23822" spans="1:7" ht="58.5" customHeight="1" x14ac:dyDescent="0.25">
      <c r="A23822" s="5" t="str">
        <f>"H0022744"</f>
        <v>H0022744</v>
      </c>
      <c r="B23822" s="5" t="str">
        <f>"EQUIPO ORGANOS DE LOS SENTIDOS PORTATIL"</f>
        <v>EQUIPO ORGANOS DE LOS SENTIDOS PORTATIL</v>
      </c>
      <c r="C23822" s="6">
        <v>1113600</v>
      </c>
      <c r="D23822" s="5" t="s">
        <v>56</v>
      </c>
      <c r="E23822" s="5" t="str">
        <f t="shared" si="1182"/>
        <v>CUIDADOS INTERMEDIOS URGENCIAS -YENNY PEÑA</v>
      </c>
      <c r="F23822" s="5" t="str">
        <f>"Descripcion: EQUIPO DE ORGANOS DE LOS SENTIDOS WELCH ALLYN Estado: Bueno Placa anterior: 000031180 Material:  Color:  Referencia:  Observacion: AUTORIZADO CONCILIAR EN CRUCE GENERAL Placa padre: Tipo adquisicion: Entidad"</f>
        <v>Descripcion: EQUIPO DE ORGANOS DE LOS SENTIDOS WELCH ALLYN Estado: Bueno Placa anterior: 000031180 Material:  Color:  Referencia:  Observacion: AUTORIZADO CONCILIAR EN CRUCE GENERAL Placa padre: Tipo adquisicion: Entidad</v>
      </c>
      <c r="G23822" s="5"/>
    </row>
    <row r="23823" spans="1:7" ht="58.5" customHeight="1" x14ac:dyDescent="0.25">
      <c r="A23823" s="5" t="str">
        <f>"H0024645"</f>
        <v>H0024645</v>
      </c>
      <c r="B23823" s="5" t="str">
        <f>"SUCCIONADOR (DONACION)"</f>
        <v>SUCCIONADOR (DONACION)</v>
      </c>
      <c r="C23823" s="6">
        <v>406000</v>
      </c>
      <c r="D23823" s="5" t="s">
        <v>64</v>
      </c>
      <c r="E23823" s="5" t="str">
        <f t="shared" si="1182"/>
        <v>CUIDADOS INTERMEDIOS URGENCIAS -YENNY PEÑA</v>
      </c>
      <c r="F23823" s="5"/>
      <c r="G23823" s="5"/>
    </row>
    <row r="23824" spans="1:7" ht="58.5" customHeight="1" x14ac:dyDescent="0.25">
      <c r="A23824" s="5" t="str">
        <f>"H0025340"</f>
        <v>H0025340</v>
      </c>
      <c r="B23824"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3824" s="6">
        <v>312156</v>
      </c>
      <c r="D23824" s="5" t="s">
        <v>10</v>
      </c>
      <c r="E23824" s="5" t="str">
        <f t="shared" si="1182"/>
        <v>CUIDADOS INTERMEDIOS URGENCIAS -YENNY PEÑA</v>
      </c>
      <c r="F23824" s="5"/>
      <c r="G23824" s="5"/>
    </row>
    <row r="23825" spans="1:7" ht="58.5" customHeight="1" x14ac:dyDescent="0.25">
      <c r="A23825" s="5" t="str">
        <f>"H0025706"</f>
        <v>H0025706</v>
      </c>
      <c r="B23825" s="5" t="str">
        <f>"VENTILADOR PULMONAR"</f>
        <v>VENTILADOR PULMONAR</v>
      </c>
      <c r="C23825" s="6">
        <v>36152200</v>
      </c>
      <c r="D23825" s="5" t="s">
        <v>758</v>
      </c>
      <c r="E23825" s="5" t="str">
        <f t="shared" si="1182"/>
        <v>CUIDADOS INTERMEDIOS URGENCIAS -YENNY PEÑA</v>
      </c>
      <c r="F23825" s="5"/>
      <c r="G23825" s="5"/>
    </row>
    <row r="23826" spans="1:7" ht="58.5" customHeight="1" x14ac:dyDescent="0.25">
      <c r="A23826" s="5" t="str">
        <f>"H0025725"</f>
        <v>H0025725</v>
      </c>
      <c r="B23826" s="5" t="str">
        <f>"MONITOR DE SIGNOS VITALES"</f>
        <v>MONITOR DE SIGNOS VITALES</v>
      </c>
      <c r="C23826" s="6">
        <v>3686300</v>
      </c>
      <c r="D23826" s="5" t="s">
        <v>265</v>
      </c>
      <c r="E23826" s="5" t="str">
        <f t="shared" si="1182"/>
        <v>CUIDADOS INTERMEDIOS URGENCIAS -YENNY PEÑA</v>
      </c>
      <c r="F23826" s="5"/>
      <c r="G23826" s="5"/>
    </row>
    <row r="23827" spans="1:7" ht="58.5" customHeight="1" x14ac:dyDescent="0.25">
      <c r="A23827" s="5" t="str">
        <f>"H0026905"</f>
        <v>H0026905</v>
      </c>
      <c r="B23827" s="5" t="str">
        <f>"BOMBA DE INFUSION"</f>
        <v>BOMBA DE INFUSION</v>
      </c>
      <c r="C23827" s="6">
        <v>1200000</v>
      </c>
      <c r="D23827" s="5" t="s">
        <v>924</v>
      </c>
      <c r="E23827" s="5" t="str">
        <f t="shared" si="1182"/>
        <v>CUIDADOS INTERMEDIOS URGENCIAS -YENNY PEÑA</v>
      </c>
      <c r="F23827" s="5"/>
      <c r="G23827" s="5"/>
    </row>
    <row r="23828" spans="1:7" ht="58.5" customHeight="1" x14ac:dyDescent="0.25">
      <c r="A23828" s="5" t="str">
        <f>"H0027138"</f>
        <v>H0027138</v>
      </c>
      <c r="B23828" s="5" t="str">
        <f>"MONITOR DE SIGNOS VITALES"</f>
        <v>MONITOR DE SIGNOS VITALES</v>
      </c>
      <c r="C23828" s="6">
        <v>3680000.05</v>
      </c>
      <c r="D23828" s="5" t="s">
        <v>82</v>
      </c>
      <c r="E23828" s="5" t="str">
        <f t="shared" si="1182"/>
        <v>CUIDADOS INTERMEDIOS URGENCIAS -YENNY PEÑA</v>
      </c>
      <c r="F23828" s="5"/>
      <c r="G23828" s="5" t="str">
        <f>"IM 12"</f>
        <v>IM 12</v>
      </c>
    </row>
    <row r="23829" spans="1:7" ht="58.5" customHeight="1" x14ac:dyDescent="0.25">
      <c r="A23829" s="5" t="str">
        <f>"H0027150"</f>
        <v>H0027150</v>
      </c>
      <c r="B23829" s="5" t="str">
        <f>"MONITOR DE SIGNOS VITALES"</f>
        <v>MONITOR DE SIGNOS VITALES</v>
      </c>
      <c r="C23829" s="6">
        <v>3680000.05</v>
      </c>
      <c r="D23829" s="5" t="s">
        <v>82</v>
      </c>
      <c r="E23829" s="5" t="str">
        <f t="shared" si="1182"/>
        <v>CUIDADOS INTERMEDIOS URGENCIAS -YENNY PEÑA</v>
      </c>
      <c r="F23829" s="5"/>
      <c r="G23829" s="5" t="str">
        <f>"IM 12"</f>
        <v>IM 12</v>
      </c>
    </row>
    <row r="23830" spans="1:7" ht="58.5" customHeight="1" x14ac:dyDescent="0.25">
      <c r="A23830" s="5" t="str">
        <f>"H0027541"</f>
        <v>H0027541</v>
      </c>
      <c r="B23830" s="5" t="str">
        <f>"LECTOR DE HUELLAS DIGITALES"</f>
        <v>LECTOR DE HUELLAS DIGITALES</v>
      </c>
      <c r="C23830" s="6">
        <v>234000.41</v>
      </c>
      <c r="D23830" s="5" t="s">
        <v>83</v>
      </c>
      <c r="E23830" s="5" t="str">
        <f t="shared" si="1182"/>
        <v>CUIDADOS INTERMEDIOS URGENCIAS -YENNY PEÑA</v>
      </c>
      <c r="F23830" s="5"/>
      <c r="G23830" s="5"/>
    </row>
    <row r="23831" spans="1:7" ht="58.5" customHeight="1" x14ac:dyDescent="0.25">
      <c r="A23831" s="5" t="str">
        <f>"H0027542"</f>
        <v>H0027542</v>
      </c>
      <c r="B23831" s="5" t="str">
        <f>"LECTOR DE HUELLAS DIGITALES"</f>
        <v>LECTOR DE HUELLAS DIGITALES</v>
      </c>
      <c r="C23831" s="6">
        <v>234000.41</v>
      </c>
      <c r="D23831" s="5" t="s">
        <v>83</v>
      </c>
      <c r="E23831" s="5" t="str">
        <f t="shared" si="1182"/>
        <v>CUIDADOS INTERMEDIOS URGENCIAS -YENNY PEÑA</v>
      </c>
      <c r="F23831" s="5"/>
      <c r="G23831" s="5"/>
    </row>
    <row r="23832" spans="1:7" ht="58.5" customHeight="1" x14ac:dyDescent="0.25">
      <c r="A23832" s="5" t="str">
        <f>"H0027543"</f>
        <v>H0027543</v>
      </c>
      <c r="B23832" s="5" t="str">
        <f>"LECTOR DE HUELLAS DIGITALES"</f>
        <v>LECTOR DE HUELLAS DIGITALES</v>
      </c>
      <c r="C23832" s="6">
        <v>234000.41</v>
      </c>
      <c r="D23832" s="5" t="s">
        <v>83</v>
      </c>
      <c r="E23832" s="5" t="str">
        <f t="shared" si="1182"/>
        <v>CUIDADOS INTERMEDIOS URGENCIAS -YENNY PEÑA</v>
      </c>
      <c r="F23832" s="5"/>
      <c r="G23832" s="5"/>
    </row>
    <row r="23833" spans="1:7" ht="58.5" customHeight="1" x14ac:dyDescent="0.25">
      <c r="A23833" s="5" t="str">
        <f>"H0027564"</f>
        <v>H0027564</v>
      </c>
      <c r="B23833" s="5" t="str">
        <f>"LECTOR DE HUELLAS DIGITALES"</f>
        <v>LECTOR DE HUELLAS DIGITALES</v>
      </c>
      <c r="C23833" s="6">
        <v>234000.41</v>
      </c>
      <c r="D23833" s="5" t="s">
        <v>83</v>
      </c>
      <c r="E23833" s="5" t="str">
        <f t="shared" si="1182"/>
        <v>CUIDADOS INTERMEDIOS URGENCIAS -YENNY PEÑA</v>
      </c>
      <c r="F23833" s="5"/>
      <c r="G23833" s="5"/>
    </row>
    <row r="23834" spans="1:7" ht="58.5" customHeight="1" x14ac:dyDescent="0.25">
      <c r="A23834" s="5" t="str">
        <f>"H0027588"</f>
        <v>H0027588</v>
      </c>
      <c r="B23834" s="5" t="str">
        <f>"LARINGOSCOPIO ADULTO"</f>
        <v>LARINGOSCOPIO ADULTO</v>
      </c>
      <c r="C23834" s="6">
        <v>913920</v>
      </c>
      <c r="D23834" s="5" t="s">
        <v>84</v>
      </c>
      <c r="E23834" s="5" t="str">
        <f t="shared" si="1182"/>
        <v>CUIDADOS INTERMEDIOS URGENCIAS -YENNY PEÑA</v>
      </c>
      <c r="F23834" s="5"/>
      <c r="G23834" s="5"/>
    </row>
    <row r="23835" spans="1:7" ht="58.5" customHeight="1" x14ac:dyDescent="0.25">
      <c r="A23835" s="5" t="str">
        <f>"H0027589"</f>
        <v>H0027589</v>
      </c>
      <c r="B23835" s="5" t="str">
        <f>"LARINGOSCOPIO ADULTO"</f>
        <v>LARINGOSCOPIO ADULTO</v>
      </c>
      <c r="C23835" s="6">
        <v>913920</v>
      </c>
      <c r="D23835" s="5" t="s">
        <v>84</v>
      </c>
      <c r="E23835" s="5" t="str">
        <f t="shared" si="1182"/>
        <v>CUIDADOS INTERMEDIOS URGENCIAS -YENNY PEÑA</v>
      </c>
      <c r="F23835" s="5"/>
      <c r="G23835" s="5"/>
    </row>
    <row r="23836" spans="1:7" ht="58.5" customHeight="1" x14ac:dyDescent="0.25">
      <c r="A23836" s="5" t="str">
        <f>"H0028393"</f>
        <v>H0028393</v>
      </c>
      <c r="B23836" s="5" t="str">
        <f>"SILLA RECLINOMATICA"</f>
        <v>SILLA RECLINOMATICA</v>
      </c>
      <c r="C23836" s="6">
        <v>899999.53</v>
      </c>
      <c r="D23836" s="5" t="s">
        <v>925</v>
      </c>
      <c r="E23836" s="5" t="str">
        <f t="shared" si="1182"/>
        <v>CUIDADOS INTERMEDIOS URGENCIAS -YENNY PEÑA</v>
      </c>
      <c r="F23836" s="5"/>
      <c r="G23836" s="5"/>
    </row>
    <row r="23837" spans="1:7" ht="58.5" customHeight="1" x14ac:dyDescent="0.25">
      <c r="A23837" s="5" t="str">
        <f>"H0028596"</f>
        <v>H0028596</v>
      </c>
      <c r="B23837" s="5" t="str">
        <f>"MESA METALICA PARA COMPUTADOR"</f>
        <v>MESA METALICA PARA COMPUTADOR</v>
      </c>
      <c r="C23837" s="6">
        <v>447261.5</v>
      </c>
      <c r="D23837" s="5" t="s">
        <v>248</v>
      </c>
      <c r="E23837" s="5" t="str">
        <f t="shared" si="1182"/>
        <v>CUIDADOS INTERMEDIOS URGENCIAS -YENNY PEÑA</v>
      </c>
      <c r="F23837" s="5"/>
      <c r="G23837" s="5"/>
    </row>
    <row r="23838" spans="1:7" ht="58.5" customHeight="1" x14ac:dyDescent="0.25">
      <c r="A23838" s="5" t="str">
        <f>"H0029189"</f>
        <v>H0029189</v>
      </c>
      <c r="B23838" s="5" t="str">
        <f>"MONITOR DE SIGNOS VITALES"</f>
        <v>MONITOR DE SIGNOS VITALES</v>
      </c>
      <c r="C23838" s="6">
        <v>5950000</v>
      </c>
      <c r="D23838" s="5" t="s">
        <v>13</v>
      </c>
      <c r="E23838" s="5" t="str">
        <f t="shared" si="1182"/>
        <v>CUIDADOS INTERMEDIOS URGENCIAS -YENNY PEÑA</v>
      </c>
      <c r="F23838" s="5"/>
      <c r="G23838" s="5"/>
    </row>
    <row r="23839" spans="1:7" ht="58.5" customHeight="1" x14ac:dyDescent="0.25">
      <c r="A23839" s="5" t="str">
        <f>"H0029197"</f>
        <v>H0029197</v>
      </c>
      <c r="B23839" s="5" t="str">
        <f>"MONITOR DE SIGNOS VITALES"</f>
        <v>MONITOR DE SIGNOS VITALES</v>
      </c>
      <c r="C23839" s="6">
        <v>5950000</v>
      </c>
      <c r="D23839" s="5" t="s">
        <v>926</v>
      </c>
      <c r="E23839" s="5" t="str">
        <f t="shared" si="1182"/>
        <v>CUIDADOS INTERMEDIOS URGENCIAS -YENNY PEÑA</v>
      </c>
      <c r="F23839" s="5"/>
      <c r="G23839" s="5"/>
    </row>
    <row r="23840" spans="1:7" ht="58.5" customHeight="1" x14ac:dyDescent="0.25">
      <c r="A23840" s="5" t="str">
        <f>"H0029484"</f>
        <v>H0029484</v>
      </c>
      <c r="B23840" s="5" t="str">
        <f>"LECTOR DE HUELLAS DIGITALES"</f>
        <v>LECTOR DE HUELLAS DIGITALES</v>
      </c>
      <c r="C23840" s="6">
        <v>309400</v>
      </c>
      <c r="D23840" s="5" t="s">
        <v>14</v>
      </c>
      <c r="E23840" s="5" t="str">
        <f t="shared" si="1182"/>
        <v>CUIDADOS INTERMEDIOS URGENCIAS -YENNY PEÑA</v>
      </c>
      <c r="F23840" s="5"/>
      <c r="G23840" s="5"/>
    </row>
    <row r="23841" spans="1:7" ht="58.5" customHeight="1" x14ac:dyDescent="0.25">
      <c r="A23841" s="5" t="str">
        <f>"H0029485"</f>
        <v>H0029485</v>
      </c>
      <c r="B23841" s="5" t="str">
        <f>"LECTOR DE HUELLAS DIGITALES"</f>
        <v>LECTOR DE HUELLAS DIGITALES</v>
      </c>
      <c r="C23841" s="6">
        <v>309400</v>
      </c>
      <c r="D23841" s="5" t="s">
        <v>14</v>
      </c>
      <c r="E23841" s="5" t="str">
        <f t="shared" si="1182"/>
        <v>CUIDADOS INTERMEDIOS URGENCIAS -YENNY PEÑA</v>
      </c>
      <c r="F23841" s="5"/>
      <c r="G23841" s="5"/>
    </row>
    <row r="23842" spans="1:7" ht="58.5" customHeight="1" x14ac:dyDescent="0.25">
      <c r="A23842" s="5" t="str">
        <f>"H0031200"</f>
        <v>H0031200</v>
      </c>
      <c r="B2384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3842" s="6">
        <v>246036.99</v>
      </c>
      <c r="D23842" s="5" t="s">
        <v>103</v>
      </c>
      <c r="E23842" s="5" t="str">
        <f t="shared" si="1182"/>
        <v>CUIDADOS INTERMEDIOS URGENCIAS -YENNY PEÑA</v>
      </c>
      <c r="F23842" s="5"/>
      <c r="G23842" s="5"/>
    </row>
    <row r="23843" spans="1:7" ht="58.5" customHeight="1" x14ac:dyDescent="0.25">
      <c r="A23843" s="5" t="str">
        <f>"H0031422"</f>
        <v>H0031422</v>
      </c>
      <c r="B23843" s="5" t="str">
        <f>"GENERADOR DE MARCAPASOS BICAMERAL"</f>
        <v>GENERADOR DE MARCAPASOS BICAMERAL</v>
      </c>
      <c r="C23843" s="6">
        <v>10700000</v>
      </c>
      <c r="D23843" s="5" t="s">
        <v>927</v>
      </c>
      <c r="E23843" s="5" t="str">
        <f t="shared" si="1182"/>
        <v>CUIDADOS INTERMEDIOS URGENCIAS -YENNY PEÑA</v>
      </c>
      <c r="F23843" s="5"/>
      <c r="G23843" s="5"/>
    </row>
    <row r="23844" spans="1:7" ht="58.5" customHeight="1" x14ac:dyDescent="0.25">
      <c r="A23844" s="5" t="str">
        <f>"H0031648"</f>
        <v>H0031648</v>
      </c>
      <c r="B23844" s="5" t="str">
        <f>"SUCCIONADOR (ASPIRADOR) DE FLUIDOS QUIRURGICO"</f>
        <v>SUCCIONADOR (ASPIRADOR) DE FLUIDOS QUIRURGICO</v>
      </c>
      <c r="C23844" s="6">
        <v>3841379.6</v>
      </c>
      <c r="D23844" s="5" t="s">
        <v>317</v>
      </c>
      <c r="E23844" s="5" t="str">
        <f t="shared" si="1182"/>
        <v>CUIDADOS INTERMEDIOS URGENCIAS -YENNY PEÑA</v>
      </c>
      <c r="F23844" s="5"/>
      <c r="G23844" s="5"/>
    </row>
    <row r="23845" spans="1:7" ht="58.5" customHeight="1" x14ac:dyDescent="0.25">
      <c r="A23845" s="5" t="str">
        <f>"H0031649"</f>
        <v>H0031649</v>
      </c>
      <c r="B23845" s="5" t="str">
        <f>"SUCCIONADOR (ASPIRADOR) DE FLUIDOS QUIRURGICO"</f>
        <v>SUCCIONADOR (ASPIRADOR) DE FLUIDOS QUIRURGICO</v>
      </c>
      <c r="C23845" s="6">
        <v>3841379.6</v>
      </c>
      <c r="D23845" s="5" t="s">
        <v>317</v>
      </c>
      <c r="E23845" s="5" t="str">
        <f t="shared" ref="E23845:E23908" si="1183">"CUIDADOS INTERMEDIOS URGENCIAS -YENNY PEÑA"</f>
        <v>CUIDADOS INTERMEDIOS URGENCIAS -YENNY PEÑA</v>
      </c>
      <c r="F23845" s="5"/>
      <c r="G23845" s="5"/>
    </row>
    <row r="23846" spans="1:7" ht="58.5" customHeight="1" x14ac:dyDescent="0.25">
      <c r="A23846" s="5" t="str">
        <f>"H0031719"</f>
        <v>H0031719</v>
      </c>
      <c r="B23846" s="5" t="str">
        <f t="shared" ref="B23846:B23852" si="1184">"BASE PARA MONITOR DE SIGNOS VITALES"</f>
        <v>BASE PARA MONITOR DE SIGNOS VITALES</v>
      </c>
      <c r="C23846" s="6">
        <v>809200</v>
      </c>
      <c r="D23846" s="5" t="s">
        <v>156</v>
      </c>
      <c r="E23846" s="5" t="str">
        <f t="shared" si="1183"/>
        <v>CUIDADOS INTERMEDIOS URGENCIAS -YENNY PEÑA</v>
      </c>
      <c r="F23846" s="5"/>
      <c r="G23846" s="5"/>
    </row>
    <row r="23847" spans="1:7" ht="58.5" customHeight="1" x14ac:dyDescent="0.25">
      <c r="A23847" s="5" t="str">
        <f>"H0031720"</f>
        <v>H0031720</v>
      </c>
      <c r="B23847" s="5" t="str">
        <f t="shared" si="1184"/>
        <v>BASE PARA MONITOR DE SIGNOS VITALES</v>
      </c>
      <c r="C23847" s="6">
        <v>809200</v>
      </c>
      <c r="D23847" s="5" t="s">
        <v>156</v>
      </c>
      <c r="E23847" s="5" t="str">
        <f t="shared" si="1183"/>
        <v>CUIDADOS INTERMEDIOS URGENCIAS -YENNY PEÑA</v>
      </c>
      <c r="F23847" s="5"/>
      <c r="G23847" s="5"/>
    </row>
    <row r="23848" spans="1:7" ht="58.5" customHeight="1" x14ac:dyDescent="0.25">
      <c r="A23848" s="5" t="str">
        <f>"H0031721"</f>
        <v>H0031721</v>
      </c>
      <c r="B23848" s="5" t="str">
        <f t="shared" si="1184"/>
        <v>BASE PARA MONITOR DE SIGNOS VITALES</v>
      </c>
      <c r="C23848" s="6">
        <v>809200</v>
      </c>
      <c r="D23848" s="5" t="s">
        <v>156</v>
      </c>
      <c r="E23848" s="5" t="str">
        <f t="shared" si="1183"/>
        <v>CUIDADOS INTERMEDIOS URGENCIAS -YENNY PEÑA</v>
      </c>
      <c r="F23848" s="5"/>
      <c r="G23848" s="5"/>
    </row>
    <row r="23849" spans="1:7" ht="58.5" customHeight="1" x14ac:dyDescent="0.25">
      <c r="A23849" s="5" t="str">
        <f>"H0031722"</f>
        <v>H0031722</v>
      </c>
      <c r="B23849" s="5" t="str">
        <f t="shared" si="1184"/>
        <v>BASE PARA MONITOR DE SIGNOS VITALES</v>
      </c>
      <c r="C23849" s="6">
        <v>809200</v>
      </c>
      <c r="D23849" s="5" t="s">
        <v>156</v>
      </c>
      <c r="E23849" s="5" t="str">
        <f t="shared" si="1183"/>
        <v>CUIDADOS INTERMEDIOS URGENCIAS -YENNY PEÑA</v>
      </c>
      <c r="F23849" s="5"/>
      <c r="G23849" s="5"/>
    </row>
    <row r="23850" spans="1:7" ht="58.5" customHeight="1" x14ac:dyDescent="0.25">
      <c r="A23850" s="5" t="str">
        <f>"H0031723"</f>
        <v>H0031723</v>
      </c>
      <c r="B23850" s="5" t="str">
        <f t="shared" si="1184"/>
        <v>BASE PARA MONITOR DE SIGNOS VITALES</v>
      </c>
      <c r="C23850" s="6">
        <v>809200</v>
      </c>
      <c r="D23850" s="5" t="s">
        <v>156</v>
      </c>
      <c r="E23850" s="5" t="str">
        <f t="shared" si="1183"/>
        <v>CUIDADOS INTERMEDIOS URGENCIAS -YENNY PEÑA</v>
      </c>
      <c r="F23850" s="5"/>
      <c r="G23850" s="5"/>
    </row>
    <row r="23851" spans="1:7" ht="58.5" customHeight="1" x14ac:dyDescent="0.25">
      <c r="A23851" s="5" t="str">
        <f>"H0031724"</f>
        <v>H0031724</v>
      </c>
      <c r="B23851" s="5" t="str">
        <f t="shared" si="1184"/>
        <v>BASE PARA MONITOR DE SIGNOS VITALES</v>
      </c>
      <c r="C23851" s="6">
        <v>809200</v>
      </c>
      <c r="D23851" s="5" t="s">
        <v>156</v>
      </c>
      <c r="E23851" s="5" t="str">
        <f t="shared" si="1183"/>
        <v>CUIDADOS INTERMEDIOS URGENCIAS -YENNY PEÑA</v>
      </c>
      <c r="F23851" s="5"/>
      <c r="G23851" s="5"/>
    </row>
    <row r="23852" spans="1:7" ht="58.5" customHeight="1" x14ac:dyDescent="0.25">
      <c r="A23852" s="5" t="str">
        <f>"H0031725"</f>
        <v>H0031725</v>
      </c>
      <c r="B23852" s="5" t="str">
        <f t="shared" si="1184"/>
        <v>BASE PARA MONITOR DE SIGNOS VITALES</v>
      </c>
      <c r="C23852" s="6">
        <v>809200</v>
      </c>
      <c r="D23852" s="5" t="s">
        <v>156</v>
      </c>
      <c r="E23852" s="5" t="str">
        <f t="shared" si="1183"/>
        <v>CUIDADOS INTERMEDIOS URGENCIAS -YENNY PEÑA</v>
      </c>
      <c r="F23852" s="5"/>
      <c r="G23852" s="5"/>
    </row>
    <row r="23853" spans="1:7" ht="58.5" customHeight="1" x14ac:dyDescent="0.25">
      <c r="A23853" s="5" t="str">
        <f>"H0031854"</f>
        <v>H0031854</v>
      </c>
      <c r="B23853" s="5" t="str">
        <f>"BOMBA DE INFUSION"</f>
        <v>BOMBA DE INFUSION</v>
      </c>
      <c r="C23853" s="6">
        <v>2714300</v>
      </c>
      <c r="D23853" s="5" t="s">
        <v>320</v>
      </c>
      <c r="E23853" s="5" t="str">
        <f t="shared" si="1183"/>
        <v>CUIDADOS INTERMEDIOS URGENCIAS -YENNY PEÑA</v>
      </c>
      <c r="F23853" s="5"/>
      <c r="G23853" s="5"/>
    </row>
    <row r="23854" spans="1:7" ht="58.5" customHeight="1" x14ac:dyDescent="0.25">
      <c r="A23854" s="5" t="str">
        <f>"H0031941"</f>
        <v>H0031941</v>
      </c>
      <c r="B23854" s="5" t="str">
        <f>"BOMBA DE INFUSION"</f>
        <v>BOMBA DE INFUSION</v>
      </c>
      <c r="C23854" s="6">
        <v>1900000</v>
      </c>
      <c r="D23854" s="5" t="s">
        <v>107</v>
      </c>
      <c r="E23854" s="5" t="str">
        <f t="shared" si="1183"/>
        <v>CUIDADOS INTERMEDIOS URGENCIAS -YENNY PEÑA</v>
      </c>
      <c r="F23854" s="5"/>
      <c r="G23854" s="5"/>
    </row>
    <row r="23855" spans="1:7" ht="58.5" customHeight="1" x14ac:dyDescent="0.25">
      <c r="A23855" s="5" t="str">
        <f>"H0031995"</f>
        <v>H0031995</v>
      </c>
      <c r="B23855" s="5" t="str">
        <f>"medidor de llenado-control de presion para balon neumotaponador (donacion )"</f>
        <v>medidor de llenado-control de presion para balon neumotaponador (donacion )</v>
      </c>
      <c r="C23855" s="6">
        <v>2225465</v>
      </c>
      <c r="D23855" s="5" t="s">
        <v>480</v>
      </c>
      <c r="E23855" s="5" t="str">
        <f t="shared" si="1183"/>
        <v>CUIDADOS INTERMEDIOS URGENCIAS -YENNY PEÑA</v>
      </c>
      <c r="F23855" s="5"/>
      <c r="G23855" s="5"/>
    </row>
    <row r="23856" spans="1:7" ht="58.5" customHeight="1" x14ac:dyDescent="0.25">
      <c r="A23856" s="5" t="str">
        <f>"H0032041"</f>
        <v>H0032041</v>
      </c>
      <c r="B23856" s="5" t="str">
        <f>"FONENDOSCOPIO (ESTETOSCOPIO) DE 2 SERVICIOS"</f>
        <v>FONENDOSCOPIO (ESTETOSCOPIO) DE 2 SERVICIOS</v>
      </c>
      <c r="C23856" s="6">
        <v>28500</v>
      </c>
      <c r="D23856" s="5" t="s">
        <v>322</v>
      </c>
      <c r="E23856" s="5" t="str">
        <f t="shared" si="1183"/>
        <v>CUIDADOS INTERMEDIOS URGENCIAS -YENNY PEÑA</v>
      </c>
      <c r="F23856" s="5"/>
      <c r="G23856" s="5"/>
    </row>
    <row r="23857" spans="1:7" ht="58.5" customHeight="1" x14ac:dyDescent="0.25">
      <c r="A23857" s="5" t="str">
        <f>"H0032042"</f>
        <v>H0032042</v>
      </c>
      <c r="B23857" s="5" t="str">
        <f>"FONENDOSCOPIO (ESTETOSCOPIO) DE 2 SERVICIOS"</f>
        <v>FONENDOSCOPIO (ESTETOSCOPIO) DE 2 SERVICIOS</v>
      </c>
      <c r="C23857" s="6">
        <v>28500</v>
      </c>
      <c r="D23857" s="5" t="s">
        <v>322</v>
      </c>
      <c r="E23857" s="5" t="str">
        <f t="shared" si="1183"/>
        <v>CUIDADOS INTERMEDIOS URGENCIAS -YENNY PEÑA</v>
      </c>
      <c r="F23857" s="5"/>
      <c r="G23857" s="5"/>
    </row>
    <row r="23858" spans="1:7" ht="58.5" customHeight="1" x14ac:dyDescent="0.25">
      <c r="A23858" s="5" t="str">
        <f>"H0032043"</f>
        <v>H0032043</v>
      </c>
      <c r="B23858" s="5" t="str">
        <f>"FONENDOSCOPIO (ESTETOSCOPIO) DE 2 SERVICIOS"</f>
        <v>FONENDOSCOPIO (ESTETOSCOPIO) DE 2 SERVICIOS</v>
      </c>
      <c r="C23858" s="6">
        <v>28500</v>
      </c>
      <c r="D23858" s="5" t="s">
        <v>322</v>
      </c>
      <c r="E23858" s="5" t="str">
        <f t="shared" si="1183"/>
        <v>CUIDADOS INTERMEDIOS URGENCIAS -YENNY PEÑA</v>
      </c>
      <c r="F23858" s="5"/>
      <c r="G23858" s="5"/>
    </row>
    <row r="23859" spans="1:7" ht="58.5" customHeight="1" x14ac:dyDescent="0.25">
      <c r="A23859" s="5" t="str">
        <f>"H0032044"</f>
        <v>H0032044</v>
      </c>
      <c r="B23859" s="5" t="str">
        <f>"FONENDOSCOPIO (ESTETOSCOPIO) DE 2 SERVICIOS"</f>
        <v>FONENDOSCOPIO (ESTETOSCOPIO) DE 2 SERVICIOS</v>
      </c>
      <c r="C23859" s="6">
        <v>28500</v>
      </c>
      <c r="D23859" s="5" t="s">
        <v>322</v>
      </c>
      <c r="E23859" s="5" t="str">
        <f t="shared" si="1183"/>
        <v>CUIDADOS INTERMEDIOS URGENCIAS -YENNY PEÑA</v>
      </c>
      <c r="F23859" s="5"/>
      <c r="G23859" s="5"/>
    </row>
    <row r="23860" spans="1:7" ht="58.5" customHeight="1" x14ac:dyDescent="0.25">
      <c r="A23860" s="5" t="str">
        <f>"H0032045"</f>
        <v>H0032045</v>
      </c>
      <c r="B23860" s="5" t="str">
        <f>"FONENDOSCOPIO (ESTETOSCOPIO) DE 2 SERVICIOS"</f>
        <v>FONENDOSCOPIO (ESTETOSCOPIO) DE 2 SERVICIOS</v>
      </c>
      <c r="C23860" s="6">
        <v>28500</v>
      </c>
      <c r="D23860" s="5" t="s">
        <v>322</v>
      </c>
      <c r="E23860" s="5" t="str">
        <f t="shared" si="1183"/>
        <v>CUIDADOS INTERMEDIOS URGENCIAS -YENNY PEÑA</v>
      </c>
      <c r="F23860" s="5"/>
      <c r="G23860" s="5"/>
    </row>
    <row r="23861" spans="1:7" ht="58.5" customHeight="1" x14ac:dyDescent="0.25">
      <c r="A23861" s="5" t="str">
        <f>"H0032261"</f>
        <v>H0032261</v>
      </c>
      <c r="B23861" s="5" t="str">
        <f>"SUCCIONADOR (DONACION)"</f>
        <v>SUCCIONADOR (DONACION)</v>
      </c>
      <c r="C23861" s="6">
        <v>950000</v>
      </c>
      <c r="D23861" s="5" t="s">
        <v>323</v>
      </c>
      <c r="E23861" s="5" t="str">
        <f t="shared" si="1183"/>
        <v>CUIDADOS INTERMEDIOS URGENCIAS -YENNY PEÑA</v>
      </c>
      <c r="F23861" s="5"/>
      <c r="G23861" s="5" t="str">
        <f>"350"</f>
        <v>350</v>
      </c>
    </row>
    <row r="23862" spans="1:7" ht="58.5" customHeight="1" x14ac:dyDescent="0.25">
      <c r="A23862" s="5" t="str">
        <f>"H0032342"</f>
        <v>H0032342</v>
      </c>
      <c r="B23862" s="5" t="str">
        <f>"ventilador de transporte  (DONACION)"</f>
        <v>ventilador de transporte  (DONACION)</v>
      </c>
      <c r="C23862" s="6">
        <v>33406900</v>
      </c>
      <c r="D23862" s="5" t="s">
        <v>484</v>
      </c>
      <c r="E23862" s="5" t="str">
        <f t="shared" si="1183"/>
        <v>CUIDADOS INTERMEDIOS URGENCIAS -YENNY PEÑA</v>
      </c>
      <c r="F23862" s="5"/>
      <c r="G23862" s="5" t="str">
        <f>"MTV1000"</f>
        <v>MTV1000</v>
      </c>
    </row>
    <row r="23863" spans="1:7" ht="58.5" customHeight="1" x14ac:dyDescent="0.25">
      <c r="A23863" s="5" t="str">
        <f>"H0032379"</f>
        <v>H0032379</v>
      </c>
      <c r="B23863" s="5" t="str">
        <f>"succionador (DONACION)"</f>
        <v>succionador (DONACION)</v>
      </c>
      <c r="C23863" s="6">
        <v>649750</v>
      </c>
      <c r="D23863" s="5" t="s">
        <v>110</v>
      </c>
      <c r="E23863" s="5" t="str">
        <f t="shared" si="1183"/>
        <v>CUIDADOS INTERMEDIOS URGENCIAS -YENNY PEÑA</v>
      </c>
      <c r="F23863" s="5"/>
      <c r="G23863" s="5"/>
    </row>
    <row r="23864" spans="1:7" ht="58.5" customHeight="1" x14ac:dyDescent="0.25">
      <c r="A23864" s="5" t="str">
        <f>"H0033039"</f>
        <v>H0033039</v>
      </c>
      <c r="B23864" s="5" t="str">
        <f>"MONITOR DE SIGNOS VITALES"</f>
        <v>MONITOR DE SIGNOS VITALES</v>
      </c>
      <c r="C23864" s="6">
        <v>9470000</v>
      </c>
      <c r="D23864" s="5" t="s">
        <v>119</v>
      </c>
      <c r="E23864" s="5" t="str">
        <f t="shared" si="1183"/>
        <v>CUIDADOS INTERMEDIOS URGENCIAS -YENNY PEÑA</v>
      </c>
      <c r="F23864" s="5"/>
      <c r="G23864" s="5"/>
    </row>
    <row r="23865" spans="1:7" ht="58.5" customHeight="1" x14ac:dyDescent="0.25">
      <c r="A23865" s="5" t="str">
        <f>"H0033045"</f>
        <v>H0033045</v>
      </c>
      <c r="B23865" s="5" t="str">
        <f>"MONITOR DE SIGNOS VITALES"</f>
        <v>MONITOR DE SIGNOS VITALES</v>
      </c>
      <c r="C23865" s="6">
        <v>9470000</v>
      </c>
      <c r="D23865" s="5" t="s">
        <v>119</v>
      </c>
      <c r="E23865" s="5" t="str">
        <f t="shared" si="1183"/>
        <v>CUIDADOS INTERMEDIOS URGENCIAS -YENNY PEÑA</v>
      </c>
      <c r="F23865" s="5"/>
      <c r="G23865" s="5"/>
    </row>
    <row r="23866" spans="1:7" ht="58.5" customHeight="1" x14ac:dyDescent="0.25">
      <c r="A23866" s="5" t="str">
        <f>"H0033061"</f>
        <v>H0033061</v>
      </c>
      <c r="B23866" s="5" t="str">
        <f>"MONITOR DE SIGNOS VITALES"</f>
        <v>MONITOR DE SIGNOS VITALES</v>
      </c>
      <c r="C23866" s="6">
        <v>9470000</v>
      </c>
      <c r="D23866" s="5" t="s">
        <v>119</v>
      </c>
      <c r="E23866" s="5" t="str">
        <f t="shared" si="1183"/>
        <v>CUIDADOS INTERMEDIOS URGENCIAS -YENNY PEÑA</v>
      </c>
      <c r="F23866" s="5"/>
      <c r="G23866" s="5"/>
    </row>
    <row r="23867" spans="1:7" ht="58.5" customHeight="1" x14ac:dyDescent="0.25">
      <c r="A23867" s="5" t="str">
        <f>"H0033063"</f>
        <v>H0033063</v>
      </c>
      <c r="B23867" s="5" t="str">
        <f>"MONITOR DE SIGNOS VITALES"</f>
        <v>MONITOR DE SIGNOS VITALES</v>
      </c>
      <c r="C23867" s="6">
        <v>9470000</v>
      </c>
      <c r="D23867" s="5" t="s">
        <v>119</v>
      </c>
      <c r="E23867" s="5" t="str">
        <f t="shared" si="1183"/>
        <v>CUIDADOS INTERMEDIOS URGENCIAS -YENNY PEÑA</v>
      </c>
      <c r="F23867" s="5"/>
      <c r="G23867" s="5"/>
    </row>
    <row r="23868" spans="1:7" ht="58.5" customHeight="1" x14ac:dyDescent="0.25">
      <c r="A23868" s="5" t="str">
        <f>"H0033072"</f>
        <v>H0033072</v>
      </c>
      <c r="B23868" s="5" t="str">
        <f>"MONITOR DE SIGNOS VITALES"</f>
        <v>MONITOR DE SIGNOS VITALES</v>
      </c>
      <c r="C23868" s="6">
        <v>9470000</v>
      </c>
      <c r="D23868" s="5" t="s">
        <v>119</v>
      </c>
      <c r="E23868" s="5" t="str">
        <f t="shared" si="1183"/>
        <v>CUIDADOS INTERMEDIOS URGENCIAS -YENNY PEÑA</v>
      </c>
      <c r="F23868" s="5"/>
      <c r="G23868" s="5"/>
    </row>
    <row r="23869" spans="1:7" ht="58.5" customHeight="1" x14ac:dyDescent="0.25">
      <c r="A23869" s="5" t="str">
        <f>"H0033083"</f>
        <v>H0033083</v>
      </c>
      <c r="B23869" s="5" t="str">
        <f>"TORRES DE APILAMIENTO DE BOMBAS DE INFUSION"</f>
        <v>TORRES DE APILAMIENTO DE BOMBAS DE INFUSION</v>
      </c>
      <c r="C23869" s="6">
        <v>1404200</v>
      </c>
      <c r="D23869" s="5" t="s">
        <v>157</v>
      </c>
      <c r="E23869" s="5" t="str">
        <f t="shared" si="1183"/>
        <v>CUIDADOS INTERMEDIOS URGENCIAS -YENNY PEÑA</v>
      </c>
      <c r="F23869" s="5"/>
      <c r="G23869" s="5"/>
    </row>
    <row r="23870" spans="1:7" ht="58.5" customHeight="1" x14ac:dyDescent="0.25">
      <c r="A23870" s="5" t="str">
        <f>"H0033084"</f>
        <v>H0033084</v>
      </c>
      <c r="B23870" s="5" t="str">
        <f>"TORRES DE APILAMIENTO DE BOMBAS DE INFUSION"</f>
        <v>TORRES DE APILAMIENTO DE BOMBAS DE INFUSION</v>
      </c>
      <c r="C23870" s="6">
        <v>1404200</v>
      </c>
      <c r="D23870" s="5" t="s">
        <v>157</v>
      </c>
      <c r="E23870" s="5" t="str">
        <f t="shared" si="1183"/>
        <v>CUIDADOS INTERMEDIOS URGENCIAS -YENNY PEÑA</v>
      </c>
      <c r="F23870" s="5"/>
      <c r="G23870" s="5"/>
    </row>
    <row r="23871" spans="1:7" ht="58.5" customHeight="1" x14ac:dyDescent="0.25">
      <c r="A23871" s="5" t="str">
        <f>"H0033085"</f>
        <v>H0033085</v>
      </c>
      <c r="B23871" s="5" t="str">
        <f>"TORRES DE APILAMIENTO DE BOMBAS DE INFUSION"</f>
        <v>TORRES DE APILAMIENTO DE BOMBAS DE INFUSION</v>
      </c>
      <c r="C23871" s="6">
        <v>1404200</v>
      </c>
      <c r="D23871" s="5" t="s">
        <v>157</v>
      </c>
      <c r="E23871" s="5" t="str">
        <f t="shared" si="1183"/>
        <v>CUIDADOS INTERMEDIOS URGENCIAS -YENNY PEÑA</v>
      </c>
      <c r="F23871" s="5"/>
      <c r="G23871" s="5"/>
    </row>
    <row r="23872" spans="1:7" ht="58.5" customHeight="1" x14ac:dyDescent="0.25">
      <c r="A23872" s="5" t="str">
        <f>"H0033094"</f>
        <v>H0033094</v>
      </c>
      <c r="B23872" s="5" t="str">
        <f>"MONITOR DE SIGNOS VITALES"</f>
        <v>MONITOR DE SIGNOS VITALES</v>
      </c>
      <c r="C23872" s="6">
        <v>9470000</v>
      </c>
      <c r="D23872" s="5" t="s">
        <v>119</v>
      </c>
      <c r="E23872" s="5" t="str">
        <f t="shared" si="1183"/>
        <v>CUIDADOS INTERMEDIOS URGENCIAS -YENNY PEÑA</v>
      </c>
      <c r="F23872" s="5"/>
      <c r="G23872" s="5"/>
    </row>
    <row r="23873" spans="1:7" ht="58.5" customHeight="1" x14ac:dyDescent="0.25">
      <c r="A23873" s="5" t="str">
        <f>"H0033128"</f>
        <v>H0033128</v>
      </c>
      <c r="B23873" s="5" t="str">
        <f t="shared" ref="B23873:B23879" si="1185">"BOMBA DE NUTRICION. 1 mL/h a 600 mL/h. 1 mL/h a 5 mL/h incr. ± 7% a 125 mL/h. Cumple 60601-2-24."</f>
        <v>BOMBA DE NUTRICION. 1 mL/h a 600 mL/h. 1 mL/h a 5 mL/h incr. ± 7% a 125 mL/h. Cumple 60601-2-24.</v>
      </c>
      <c r="C23873" s="6">
        <v>3066667</v>
      </c>
      <c r="D23873" s="5" t="s">
        <v>119</v>
      </c>
      <c r="E23873" s="5" t="str">
        <f t="shared" si="1183"/>
        <v>CUIDADOS INTERMEDIOS URGENCIAS -YENNY PEÑA</v>
      </c>
      <c r="F23873" s="5"/>
      <c r="G23873" s="5"/>
    </row>
    <row r="23874" spans="1:7" ht="58.5" customHeight="1" x14ac:dyDescent="0.25">
      <c r="A23874" s="5" t="str">
        <f>"H0033129"</f>
        <v>H0033129</v>
      </c>
      <c r="B23874" s="5" t="str">
        <f t="shared" si="1185"/>
        <v>BOMBA DE NUTRICION. 1 mL/h a 600 mL/h. 1 mL/h a 5 mL/h incr. ± 7% a 125 mL/h. Cumple 60601-2-24.</v>
      </c>
      <c r="C23874" s="6">
        <v>3066667</v>
      </c>
      <c r="D23874" s="5" t="s">
        <v>119</v>
      </c>
      <c r="E23874" s="5" t="str">
        <f t="shared" si="1183"/>
        <v>CUIDADOS INTERMEDIOS URGENCIAS -YENNY PEÑA</v>
      </c>
      <c r="F23874" s="5"/>
      <c r="G23874" s="5"/>
    </row>
    <row r="23875" spans="1:7" ht="58.5" customHeight="1" x14ac:dyDescent="0.25">
      <c r="A23875" s="5" t="str">
        <f>"H0033130"</f>
        <v>H0033130</v>
      </c>
      <c r="B23875" s="5" t="str">
        <f t="shared" si="1185"/>
        <v>BOMBA DE NUTRICION. 1 mL/h a 600 mL/h. 1 mL/h a 5 mL/h incr. ± 7% a 125 mL/h. Cumple 60601-2-24.</v>
      </c>
      <c r="C23875" s="6">
        <v>3066667</v>
      </c>
      <c r="D23875" s="5" t="s">
        <v>119</v>
      </c>
      <c r="E23875" s="5" t="str">
        <f t="shared" si="1183"/>
        <v>CUIDADOS INTERMEDIOS URGENCIAS -YENNY PEÑA</v>
      </c>
      <c r="F23875" s="5"/>
      <c r="G23875" s="5"/>
    </row>
    <row r="23876" spans="1:7" ht="58.5" customHeight="1" x14ac:dyDescent="0.25">
      <c r="A23876" s="5" t="str">
        <f>"H0033138"</f>
        <v>H0033138</v>
      </c>
      <c r="B23876" s="5" t="str">
        <f t="shared" si="1185"/>
        <v>BOMBA DE NUTRICION. 1 mL/h a 600 mL/h. 1 mL/h a 5 mL/h incr. ± 7% a 125 mL/h. Cumple 60601-2-24.</v>
      </c>
      <c r="C23876" s="6">
        <v>3066667</v>
      </c>
      <c r="D23876" s="5" t="s">
        <v>119</v>
      </c>
      <c r="E23876" s="5" t="str">
        <f t="shared" si="1183"/>
        <v>CUIDADOS INTERMEDIOS URGENCIAS -YENNY PEÑA</v>
      </c>
      <c r="F23876" s="5"/>
      <c r="G23876" s="5"/>
    </row>
    <row r="23877" spans="1:7" ht="58.5" customHeight="1" x14ac:dyDescent="0.25">
      <c r="A23877" s="5" t="str">
        <f>"H0033139"</f>
        <v>H0033139</v>
      </c>
      <c r="B23877" s="5" t="str">
        <f t="shared" si="1185"/>
        <v>BOMBA DE NUTRICION. 1 mL/h a 600 mL/h. 1 mL/h a 5 mL/h incr. ± 7% a 125 mL/h. Cumple 60601-2-24.</v>
      </c>
      <c r="C23877" s="6">
        <v>3066667</v>
      </c>
      <c r="D23877" s="5" t="s">
        <v>119</v>
      </c>
      <c r="E23877" s="5" t="str">
        <f t="shared" si="1183"/>
        <v>CUIDADOS INTERMEDIOS URGENCIAS -YENNY PEÑA</v>
      </c>
      <c r="F23877" s="5"/>
      <c r="G23877" s="5"/>
    </row>
    <row r="23878" spans="1:7" ht="58.5" customHeight="1" x14ac:dyDescent="0.25">
      <c r="A23878" s="5" t="str">
        <f>"H0033140"</f>
        <v>H0033140</v>
      </c>
      <c r="B23878" s="5" t="str">
        <f t="shared" si="1185"/>
        <v>BOMBA DE NUTRICION. 1 mL/h a 600 mL/h. 1 mL/h a 5 mL/h incr. ± 7% a 125 mL/h. Cumple 60601-2-24.</v>
      </c>
      <c r="C23878" s="6">
        <v>3066667</v>
      </c>
      <c r="D23878" s="5" t="s">
        <v>928</v>
      </c>
      <c r="E23878" s="5" t="str">
        <f t="shared" si="1183"/>
        <v>CUIDADOS INTERMEDIOS URGENCIAS -YENNY PEÑA</v>
      </c>
      <c r="F23878" s="5"/>
      <c r="G23878" s="5"/>
    </row>
    <row r="23879" spans="1:7" ht="58.5" customHeight="1" x14ac:dyDescent="0.25">
      <c r="A23879" s="5" t="str">
        <f>"H0033141"</f>
        <v>H0033141</v>
      </c>
      <c r="B23879" s="5" t="str">
        <f t="shared" si="1185"/>
        <v>BOMBA DE NUTRICION. 1 mL/h a 600 mL/h. 1 mL/h a 5 mL/h incr. ± 7% a 125 mL/h. Cumple 60601-2-24.</v>
      </c>
      <c r="C23879" s="6">
        <v>3066667</v>
      </c>
      <c r="D23879" s="5" t="s">
        <v>119</v>
      </c>
      <c r="E23879" s="5" t="str">
        <f t="shared" si="1183"/>
        <v>CUIDADOS INTERMEDIOS URGENCIAS -YENNY PEÑA</v>
      </c>
      <c r="F23879" s="5"/>
      <c r="G23879" s="5"/>
    </row>
    <row r="23880" spans="1:7" ht="58.5" customHeight="1" x14ac:dyDescent="0.25">
      <c r="A23880" s="5" t="str">
        <f>"H0033156"</f>
        <v>H0033156</v>
      </c>
      <c r="B23880"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880" s="6">
        <v>2533333</v>
      </c>
      <c r="D23880" s="5" t="s">
        <v>157</v>
      </c>
      <c r="E23880" s="5" t="str">
        <f t="shared" si="1183"/>
        <v>CUIDADOS INTERMEDIOS URGENCIAS -YENNY PEÑA</v>
      </c>
      <c r="F23880" s="5"/>
      <c r="G23880" s="5"/>
    </row>
    <row r="23881" spans="1:7" ht="58.5" customHeight="1" x14ac:dyDescent="0.25">
      <c r="A23881" s="5" t="str">
        <f>"H0033177"</f>
        <v>H0033177</v>
      </c>
      <c r="B23881"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881" s="6">
        <v>2533333</v>
      </c>
      <c r="D23881" s="5" t="s">
        <v>157</v>
      </c>
      <c r="E23881" s="5" t="str">
        <f t="shared" si="1183"/>
        <v>CUIDADOS INTERMEDIOS URGENCIAS -YENNY PEÑA</v>
      </c>
      <c r="F23881" s="5"/>
      <c r="G23881" s="5"/>
    </row>
    <row r="23882" spans="1:7" ht="58.5" customHeight="1" x14ac:dyDescent="0.25">
      <c r="A23882" s="5" t="str">
        <f>"H0033238"</f>
        <v>H0033238</v>
      </c>
      <c r="B23882"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882" s="6">
        <v>2533333</v>
      </c>
      <c r="D23882" s="5" t="s">
        <v>157</v>
      </c>
      <c r="E23882" s="5" t="str">
        <f t="shared" si="1183"/>
        <v>CUIDADOS INTERMEDIOS URGENCIAS -YENNY PEÑA</v>
      </c>
      <c r="F23882" s="5"/>
      <c r="G23882" s="5"/>
    </row>
    <row r="23883" spans="1:7" ht="58.5" customHeight="1" x14ac:dyDescent="0.25">
      <c r="A23883" s="5" t="str">
        <f>"H0033246"</f>
        <v>H0033246</v>
      </c>
      <c r="B23883"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883" s="6">
        <v>2533333</v>
      </c>
      <c r="D23883" s="5" t="s">
        <v>120</v>
      </c>
      <c r="E23883" s="5" t="str">
        <f t="shared" si="1183"/>
        <v>CUIDADOS INTERMEDIOS URGENCIAS -YENNY PEÑA</v>
      </c>
      <c r="F23883" s="5"/>
      <c r="G23883" s="5"/>
    </row>
    <row r="23884" spans="1:7" ht="58.5" customHeight="1" x14ac:dyDescent="0.25">
      <c r="A23884" s="5" t="str">
        <f>"H0033274"</f>
        <v>H0033274</v>
      </c>
      <c r="B23884" s="5" t="str">
        <f>"ELECTROCARDIOGRAFO. 110V 60Hz. Bateria 2 h. Impresora térmica. 100 ECG Record. Muestreo &gt;=1000 muestras/segundo/canal. Res. &gt;= a 1µv. Imp. &gt;50 MOhm. Rango 30 a 300lpm. Pantalla Touch. Cumple UL60601"</f>
        <v>ELECTROCARDIOGRAFO. 110V 60Hz. Bateria 2 h. Impresora térmica. 100 ECG Record. Muestreo &gt;=1000 muestras/segundo/canal. Res. &gt;= a 1µv. Imp. &gt;50 MOhm. Rango 30 a 300lpm. Pantalla Touch. Cumple UL60601</v>
      </c>
      <c r="C23884" s="6">
        <v>3460000</v>
      </c>
      <c r="D23884" s="5" t="s">
        <v>119</v>
      </c>
      <c r="E23884" s="5" t="str">
        <f t="shared" si="1183"/>
        <v>CUIDADOS INTERMEDIOS URGENCIAS -YENNY PEÑA</v>
      </c>
      <c r="F23884" s="5"/>
      <c r="G23884" s="5"/>
    </row>
    <row r="23885" spans="1:7" ht="58.5" customHeight="1" x14ac:dyDescent="0.25">
      <c r="A23885" s="5" t="str">
        <f>"H0033275"</f>
        <v>H0033275</v>
      </c>
      <c r="B23885" s="5" t="str">
        <f t="shared" ref="B23885:B23911" si="1186">"BOMBA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885" s="6">
        <v>2533333</v>
      </c>
      <c r="D23885" s="5" t="s">
        <v>120</v>
      </c>
      <c r="E23885" s="5" t="str">
        <f t="shared" si="1183"/>
        <v>CUIDADOS INTERMEDIOS URGENCIAS -YENNY PEÑA</v>
      </c>
      <c r="F23885" s="5"/>
      <c r="G23885" s="5"/>
    </row>
    <row r="23886" spans="1:7" ht="58.5" customHeight="1" x14ac:dyDescent="0.25">
      <c r="A23886" s="5" t="str">
        <f>"H0033276"</f>
        <v>H0033276</v>
      </c>
      <c r="B23886" s="5" t="str">
        <f t="shared" si="1186"/>
        <v>BOMBA DE INFUSION. Apilables.5 modos. 01-1200 ml/h. 0.1 ml incr. Compatible con set de infusión genérico. anti-bolo. Detección de aire. Alarmas visuales audibles. Bitacora 1.000 reg. Batería de litio</v>
      </c>
      <c r="C23886" s="6">
        <v>2533333</v>
      </c>
      <c r="D23886" s="5" t="s">
        <v>120</v>
      </c>
      <c r="E23886" s="5" t="str">
        <f t="shared" si="1183"/>
        <v>CUIDADOS INTERMEDIOS URGENCIAS -YENNY PEÑA</v>
      </c>
      <c r="F23886" s="5"/>
      <c r="G23886" s="5"/>
    </row>
    <row r="23887" spans="1:7" ht="58.5" customHeight="1" x14ac:dyDescent="0.25">
      <c r="A23887" s="5" t="str">
        <f>"H0033279"</f>
        <v>H0033279</v>
      </c>
      <c r="B23887" s="5" t="str">
        <f t="shared" si="1186"/>
        <v>BOMBA DE INFUSION. Apilables.5 modos. 01-1200 ml/h. 0.1 ml incr. Compatible con set de infusión genérico. anti-bolo. Detección de aire. Alarmas visuales audibles. Bitacora 1.000 reg. Batería de litio</v>
      </c>
      <c r="C23887" s="6">
        <v>2533333</v>
      </c>
      <c r="D23887" s="5" t="s">
        <v>120</v>
      </c>
      <c r="E23887" s="5" t="str">
        <f t="shared" si="1183"/>
        <v>CUIDADOS INTERMEDIOS URGENCIAS -YENNY PEÑA</v>
      </c>
      <c r="F23887" s="5"/>
      <c r="G23887" s="5"/>
    </row>
    <row r="23888" spans="1:7" ht="58.5" customHeight="1" x14ac:dyDescent="0.25">
      <c r="A23888" s="5" t="str">
        <f>"H0033281"</f>
        <v>H0033281</v>
      </c>
      <c r="B23888" s="5" t="str">
        <f t="shared" si="1186"/>
        <v>BOMBA DE INFUSION. Apilables.5 modos. 01-1200 ml/h. 0.1 ml incr. Compatible con set de infusión genérico. anti-bolo. Detección de aire. Alarmas visuales audibles. Bitacora 1.000 reg. Batería de litio</v>
      </c>
      <c r="C23888" s="6">
        <v>2533333</v>
      </c>
      <c r="D23888" s="5" t="s">
        <v>120</v>
      </c>
      <c r="E23888" s="5" t="str">
        <f t="shared" si="1183"/>
        <v>CUIDADOS INTERMEDIOS URGENCIAS -YENNY PEÑA</v>
      </c>
      <c r="F23888" s="5"/>
      <c r="G23888" s="5"/>
    </row>
    <row r="23889" spans="1:7" ht="58.5" customHeight="1" x14ac:dyDescent="0.25">
      <c r="A23889" s="5" t="str">
        <f>"H0033282"</f>
        <v>H0033282</v>
      </c>
      <c r="B23889" s="5" t="str">
        <f t="shared" si="1186"/>
        <v>BOMBA DE INFUSION. Apilables.5 modos. 01-1200 ml/h. 0.1 ml incr. Compatible con set de infusión genérico. anti-bolo. Detección de aire. Alarmas visuales audibles. Bitacora 1.000 reg. Batería de litio</v>
      </c>
      <c r="C23889" s="6">
        <v>2533333</v>
      </c>
      <c r="D23889" s="5" t="s">
        <v>120</v>
      </c>
      <c r="E23889" s="5" t="str">
        <f t="shared" si="1183"/>
        <v>CUIDADOS INTERMEDIOS URGENCIAS -YENNY PEÑA</v>
      </c>
      <c r="F23889" s="5"/>
      <c r="G23889" s="5"/>
    </row>
    <row r="23890" spans="1:7" ht="58.5" customHeight="1" x14ac:dyDescent="0.25">
      <c r="A23890" s="5" t="str">
        <f>"H0033285"</f>
        <v>H0033285</v>
      </c>
      <c r="B23890" s="5" t="str">
        <f t="shared" si="1186"/>
        <v>BOMBA DE INFUSION. Apilables.5 modos. 01-1200 ml/h. 0.1 ml incr. Compatible con set de infusión genérico. anti-bolo. Detección de aire. Alarmas visuales audibles. Bitacora 1.000 reg. Batería de litio</v>
      </c>
      <c r="C23890" s="6">
        <v>2533333</v>
      </c>
      <c r="D23890" s="5" t="s">
        <v>120</v>
      </c>
      <c r="E23890" s="5" t="str">
        <f t="shared" si="1183"/>
        <v>CUIDADOS INTERMEDIOS URGENCIAS -YENNY PEÑA</v>
      </c>
      <c r="F23890" s="5"/>
      <c r="G23890" s="5"/>
    </row>
    <row r="23891" spans="1:7" ht="58.5" customHeight="1" x14ac:dyDescent="0.25">
      <c r="A23891" s="5" t="str">
        <f>"H0033314"</f>
        <v>H0033314</v>
      </c>
      <c r="B23891" s="5" t="str">
        <f t="shared" si="1186"/>
        <v>BOMBA DE INFUSION. Apilables.5 modos. 01-1200 ml/h. 0.1 ml incr. Compatible con set de infusión genérico. anti-bolo. Detección de aire. Alarmas visuales audibles. Bitacora 1.000 reg. Batería de litio</v>
      </c>
      <c r="C23891" s="6">
        <v>2533333</v>
      </c>
      <c r="D23891" s="5" t="s">
        <v>120</v>
      </c>
      <c r="E23891" s="5" t="str">
        <f t="shared" si="1183"/>
        <v>CUIDADOS INTERMEDIOS URGENCIAS -YENNY PEÑA</v>
      </c>
      <c r="F23891" s="5"/>
      <c r="G23891" s="5"/>
    </row>
    <row r="23892" spans="1:7" ht="58.5" customHeight="1" x14ac:dyDescent="0.25">
      <c r="A23892" s="5" t="str">
        <f>"H0033319"</f>
        <v>H0033319</v>
      </c>
      <c r="B23892" s="5" t="str">
        <f t="shared" si="1186"/>
        <v>BOMBA DE INFUSION. Apilables.5 modos. 01-1200 ml/h. 0.1 ml incr. Compatible con set de infusión genérico. anti-bolo. Detección de aire. Alarmas visuales audibles. Bitacora 1.000 reg. Batería de litio</v>
      </c>
      <c r="C23892" s="6">
        <v>2533333</v>
      </c>
      <c r="D23892" s="5" t="s">
        <v>120</v>
      </c>
      <c r="E23892" s="5" t="str">
        <f t="shared" si="1183"/>
        <v>CUIDADOS INTERMEDIOS URGENCIAS -YENNY PEÑA</v>
      </c>
      <c r="F23892" s="5"/>
      <c r="G23892" s="5"/>
    </row>
    <row r="23893" spans="1:7" ht="58.5" customHeight="1" x14ac:dyDescent="0.25">
      <c r="A23893" s="5" t="str">
        <f>"H0033339"</f>
        <v>H0033339</v>
      </c>
      <c r="B23893" s="5" t="str">
        <f t="shared" si="1186"/>
        <v>BOMBA DE INFUSION. Apilables.5 modos. 01-1200 ml/h. 0.1 ml incr. Compatible con set de infusión genérico. anti-bolo. Detección de aire. Alarmas visuales audibles. Bitacora 1.000 reg. Batería de litio</v>
      </c>
      <c r="C23893" s="6">
        <v>2533333</v>
      </c>
      <c r="D23893" s="5" t="s">
        <v>120</v>
      </c>
      <c r="E23893" s="5" t="str">
        <f t="shared" si="1183"/>
        <v>CUIDADOS INTERMEDIOS URGENCIAS -YENNY PEÑA</v>
      </c>
      <c r="F23893" s="5"/>
      <c r="G23893" s="5"/>
    </row>
    <row r="23894" spans="1:7" ht="58.5" customHeight="1" x14ac:dyDescent="0.25">
      <c r="A23894" s="5" t="str">
        <f>"H0033346"</f>
        <v>H0033346</v>
      </c>
      <c r="B23894" s="5" t="str">
        <f t="shared" si="1186"/>
        <v>BOMBA DE INFUSION. Apilables.5 modos. 01-1200 ml/h. 0.1 ml incr. Compatible con set de infusión genérico. anti-bolo. Detección de aire. Alarmas visuales audibles. Bitacora 1.000 reg. Batería de litio</v>
      </c>
      <c r="C23894" s="6">
        <v>2533333</v>
      </c>
      <c r="D23894" s="5" t="s">
        <v>120</v>
      </c>
      <c r="E23894" s="5" t="str">
        <f t="shared" si="1183"/>
        <v>CUIDADOS INTERMEDIOS URGENCIAS -YENNY PEÑA</v>
      </c>
      <c r="F23894" s="5"/>
      <c r="G23894" s="5"/>
    </row>
    <row r="23895" spans="1:7" ht="58.5" customHeight="1" x14ac:dyDescent="0.25">
      <c r="A23895" s="5" t="str">
        <f>"H0033347"</f>
        <v>H0033347</v>
      </c>
      <c r="B23895" s="5" t="str">
        <f t="shared" si="1186"/>
        <v>BOMBA DE INFUSION. Apilables.5 modos. 01-1200 ml/h. 0.1 ml incr. Compatible con set de infusión genérico. anti-bolo. Detección de aire. Alarmas visuales audibles. Bitacora 1.000 reg. Batería de litio</v>
      </c>
      <c r="C23895" s="6">
        <v>2533333</v>
      </c>
      <c r="D23895" s="5" t="s">
        <v>120</v>
      </c>
      <c r="E23895" s="5" t="str">
        <f t="shared" si="1183"/>
        <v>CUIDADOS INTERMEDIOS URGENCIAS -YENNY PEÑA</v>
      </c>
      <c r="F23895" s="5"/>
      <c r="G23895" s="5"/>
    </row>
    <row r="23896" spans="1:7" ht="58.5" customHeight="1" x14ac:dyDescent="0.25">
      <c r="A23896" s="5" t="str">
        <f>"H0033350"</f>
        <v>H0033350</v>
      </c>
      <c r="B23896" s="5" t="str">
        <f t="shared" si="1186"/>
        <v>BOMBA DE INFUSION. Apilables.5 modos. 01-1200 ml/h. 0.1 ml incr. Compatible con set de infusión genérico. anti-bolo. Detección de aire. Alarmas visuales audibles. Bitacora 1.000 reg. Batería de litio</v>
      </c>
      <c r="C23896" s="6">
        <v>2533333</v>
      </c>
      <c r="D23896" s="5" t="s">
        <v>120</v>
      </c>
      <c r="E23896" s="5" t="str">
        <f t="shared" si="1183"/>
        <v>CUIDADOS INTERMEDIOS URGENCIAS -YENNY PEÑA</v>
      </c>
      <c r="F23896" s="5"/>
      <c r="G23896" s="5"/>
    </row>
    <row r="23897" spans="1:7" ht="58.5" customHeight="1" x14ac:dyDescent="0.25">
      <c r="A23897" s="5" t="str">
        <f>"H0033352"</f>
        <v>H0033352</v>
      </c>
      <c r="B23897" s="5" t="str">
        <f t="shared" si="1186"/>
        <v>BOMBA DE INFUSION. Apilables.5 modos. 01-1200 ml/h. 0.1 ml incr. Compatible con set de infusión genérico. anti-bolo. Detección de aire. Alarmas visuales audibles. Bitacora 1.000 reg. Batería de litio</v>
      </c>
      <c r="C23897" s="6">
        <v>2533333</v>
      </c>
      <c r="D23897" s="5" t="s">
        <v>120</v>
      </c>
      <c r="E23897" s="5" t="str">
        <f t="shared" si="1183"/>
        <v>CUIDADOS INTERMEDIOS URGENCIAS -YENNY PEÑA</v>
      </c>
      <c r="F23897" s="5"/>
      <c r="G23897" s="5"/>
    </row>
    <row r="23898" spans="1:7" ht="58.5" customHeight="1" x14ac:dyDescent="0.25">
      <c r="A23898" s="5" t="str">
        <f>"H0033355"</f>
        <v>H0033355</v>
      </c>
      <c r="B23898" s="5" t="str">
        <f t="shared" si="1186"/>
        <v>BOMBA DE INFUSION. Apilables.5 modos. 01-1200 ml/h. 0.1 ml incr. Compatible con set de infusión genérico. anti-bolo. Detección de aire. Alarmas visuales audibles. Bitacora 1.000 reg. Batería de litio</v>
      </c>
      <c r="C23898" s="6">
        <v>2533333</v>
      </c>
      <c r="D23898" s="5" t="s">
        <v>120</v>
      </c>
      <c r="E23898" s="5" t="str">
        <f t="shared" si="1183"/>
        <v>CUIDADOS INTERMEDIOS URGENCIAS -YENNY PEÑA</v>
      </c>
      <c r="F23898" s="5"/>
      <c r="G23898" s="5"/>
    </row>
    <row r="23899" spans="1:7" ht="58.5" customHeight="1" x14ac:dyDescent="0.25">
      <c r="A23899" s="5" t="str">
        <f>"H0033358"</f>
        <v>H0033358</v>
      </c>
      <c r="B23899" s="5" t="str">
        <f t="shared" si="1186"/>
        <v>BOMBA DE INFUSION. Apilables.5 modos. 01-1200 ml/h. 0.1 ml incr. Compatible con set de infusión genérico. anti-bolo. Detección de aire. Alarmas visuales audibles. Bitacora 1.000 reg. Batería de litio</v>
      </c>
      <c r="C23899" s="6">
        <v>2533333</v>
      </c>
      <c r="D23899" s="5" t="s">
        <v>120</v>
      </c>
      <c r="E23899" s="5" t="str">
        <f t="shared" si="1183"/>
        <v>CUIDADOS INTERMEDIOS URGENCIAS -YENNY PEÑA</v>
      </c>
      <c r="F23899" s="5"/>
      <c r="G23899" s="5"/>
    </row>
    <row r="23900" spans="1:7" ht="58.5" customHeight="1" x14ac:dyDescent="0.25">
      <c r="A23900" s="5" t="str">
        <f>"H0033365"</f>
        <v>H0033365</v>
      </c>
      <c r="B23900" s="5" t="str">
        <f t="shared" si="1186"/>
        <v>BOMBA DE INFUSION. Apilables.5 modos. 01-1200 ml/h. 0.1 ml incr. Compatible con set de infusión genérico. anti-bolo. Detección de aire. Alarmas visuales audibles. Bitacora 1.000 reg. Batería de litio</v>
      </c>
      <c r="C23900" s="6">
        <v>2533333</v>
      </c>
      <c r="D23900" s="5" t="s">
        <v>120</v>
      </c>
      <c r="E23900" s="5" t="str">
        <f t="shared" si="1183"/>
        <v>CUIDADOS INTERMEDIOS URGENCIAS -YENNY PEÑA</v>
      </c>
      <c r="F23900" s="5"/>
      <c r="G23900" s="5"/>
    </row>
    <row r="23901" spans="1:7" ht="58.5" customHeight="1" x14ac:dyDescent="0.25">
      <c r="A23901" s="5" t="str">
        <f>"H0033369"</f>
        <v>H0033369</v>
      </c>
      <c r="B23901" s="5" t="str">
        <f t="shared" si="1186"/>
        <v>BOMBA DE INFUSION. Apilables.5 modos. 01-1200 ml/h. 0.1 ml incr. Compatible con set de infusión genérico. anti-bolo. Detección de aire. Alarmas visuales audibles. Bitacora 1.000 reg. Batería de litio</v>
      </c>
      <c r="C23901" s="6">
        <v>2533333</v>
      </c>
      <c r="D23901" s="5" t="s">
        <v>120</v>
      </c>
      <c r="E23901" s="5" t="str">
        <f t="shared" si="1183"/>
        <v>CUIDADOS INTERMEDIOS URGENCIAS -YENNY PEÑA</v>
      </c>
      <c r="F23901" s="5"/>
      <c r="G23901" s="5"/>
    </row>
    <row r="23902" spans="1:7" ht="58.5" customHeight="1" x14ac:dyDescent="0.25">
      <c r="A23902" s="5" t="str">
        <f>"H0033378"</f>
        <v>H0033378</v>
      </c>
      <c r="B23902" s="5" t="str">
        <f t="shared" si="1186"/>
        <v>BOMBA DE INFUSION. Apilables.5 modos. 01-1200 ml/h. 0.1 ml incr. Compatible con set de infusión genérico. anti-bolo. Detección de aire. Alarmas visuales audibles. Bitacora 1.000 reg. Batería de litio</v>
      </c>
      <c r="C23902" s="6">
        <v>2533333</v>
      </c>
      <c r="D23902" s="5" t="s">
        <v>120</v>
      </c>
      <c r="E23902" s="5" t="str">
        <f t="shared" si="1183"/>
        <v>CUIDADOS INTERMEDIOS URGENCIAS -YENNY PEÑA</v>
      </c>
      <c r="F23902" s="5"/>
      <c r="G23902" s="5"/>
    </row>
    <row r="23903" spans="1:7" ht="58.5" customHeight="1" x14ac:dyDescent="0.25">
      <c r="A23903" s="5" t="str">
        <f>"H0033381"</f>
        <v>H0033381</v>
      </c>
      <c r="B23903" s="5" t="str">
        <f t="shared" si="1186"/>
        <v>BOMBA DE INFUSION. Apilables.5 modos. 01-1200 ml/h. 0.1 ml incr. Compatible con set de infusión genérico. anti-bolo. Detección de aire. Alarmas visuales audibles. Bitacora 1.000 reg. Batería de litio</v>
      </c>
      <c r="C23903" s="6">
        <v>2533333</v>
      </c>
      <c r="D23903" s="5" t="s">
        <v>120</v>
      </c>
      <c r="E23903" s="5" t="str">
        <f t="shared" si="1183"/>
        <v>CUIDADOS INTERMEDIOS URGENCIAS -YENNY PEÑA</v>
      </c>
      <c r="F23903" s="5"/>
      <c r="G23903" s="5"/>
    </row>
    <row r="23904" spans="1:7" ht="58.5" customHeight="1" x14ac:dyDescent="0.25">
      <c r="A23904" s="5" t="str">
        <f>"H0033382"</f>
        <v>H0033382</v>
      </c>
      <c r="B23904" s="5" t="str">
        <f t="shared" si="1186"/>
        <v>BOMBA DE INFUSION. Apilables.5 modos. 01-1200 ml/h. 0.1 ml incr. Compatible con set de infusión genérico. anti-bolo. Detección de aire. Alarmas visuales audibles. Bitacora 1.000 reg. Batería de litio</v>
      </c>
      <c r="C23904" s="6">
        <v>2533333</v>
      </c>
      <c r="D23904" s="5" t="s">
        <v>120</v>
      </c>
      <c r="E23904" s="5" t="str">
        <f t="shared" si="1183"/>
        <v>CUIDADOS INTERMEDIOS URGENCIAS -YENNY PEÑA</v>
      </c>
      <c r="F23904" s="5"/>
      <c r="G23904" s="5"/>
    </row>
    <row r="23905" spans="1:7" ht="58.5" customHeight="1" x14ac:dyDescent="0.25">
      <c r="A23905" s="5" t="str">
        <f>"H0033390"</f>
        <v>H0033390</v>
      </c>
      <c r="B23905" s="5" t="str">
        <f t="shared" si="1186"/>
        <v>BOMBA DE INFUSION. Apilables.5 modos. 01-1200 ml/h. 0.1 ml incr. Compatible con set de infusión genérico. anti-bolo. Detección de aire. Alarmas visuales audibles. Bitacora 1.000 reg. Batería de litio</v>
      </c>
      <c r="C23905" s="6">
        <v>2533333</v>
      </c>
      <c r="D23905" s="5" t="s">
        <v>120</v>
      </c>
      <c r="E23905" s="5" t="str">
        <f t="shared" si="1183"/>
        <v>CUIDADOS INTERMEDIOS URGENCIAS -YENNY PEÑA</v>
      </c>
      <c r="F23905" s="5"/>
      <c r="G23905" s="5"/>
    </row>
    <row r="23906" spans="1:7" ht="58.5" customHeight="1" x14ac:dyDescent="0.25">
      <c r="A23906" s="5" t="str">
        <f>"H0033391"</f>
        <v>H0033391</v>
      </c>
      <c r="B23906" s="5" t="str">
        <f t="shared" si="1186"/>
        <v>BOMBA DE INFUSION. Apilables.5 modos. 01-1200 ml/h. 0.1 ml incr. Compatible con set de infusión genérico. anti-bolo. Detección de aire. Alarmas visuales audibles. Bitacora 1.000 reg. Batería de litio</v>
      </c>
      <c r="C23906" s="6">
        <v>2533333</v>
      </c>
      <c r="D23906" s="5" t="s">
        <v>120</v>
      </c>
      <c r="E23906" s="5" t="str">
        <f t="shared" si="1183"/>
        <v>CUIDADOS INTERMEDIOS URGENCIAS -YENNY PEÑA</v>
      </c>
      <c r="F23906" s="5"/>
      <c r="G23906" s="5"/>
    </row>
    <row r="23907" spans="1:7" ht="58.5" customHeight="1" x14ac:dyDescent="0.25">
      <c r="A23907" s="5" t="str">
        <f>"H0033395"</f>
        <v>H0033395</v>
      </c>
      <c r="B23907" s="5" t="str">
        <f t="shared" si="1186"/>
        <v>BOMBA DE INFUSION. Apilables.5 modos. 01-1200 ml/h. 0.1 ml incr. Compatible con set de infusión genérico. anti-bolo. Detección de aire. Alarmas visuales audibles. Bitacora 1.000 reg. Batería de litio</v>
      </c>
      <c r="C23907" s="6">
        <v>2533333</v>
      </c>
      <c r="D23907" s="5" t="s">
        <v>120</v>
      </c>
      <c r="E23907" s="5" t="str">
        <f t="shared" si="1183"/>
        <v>CUIDADOS INTERMEDIOS URGENCIAS -YENNY PEÑA</v>
      </c>
      <c r="F23907" s="5"/>
      <c r="G23907" s="5"/>
    </row>
    <row r="23908" spans="1:7" ht="58.5" customHeight="1" x14ac:dyDescent="0.25">
      <c r="A23908" s="5" t="str">
        <f>"H0033398"</f>
        <v>H0033398</v>
      </c>
      <c r="B23908" s="5" t="str">
        <f t="shared" si="1186"/>
        <v>BOMBA DE INFUSION. Apilables.5 modos. 01-1200 ml/h. 0.1 ml incr. Compatible con set de infusión genérico. anti-bolo. Detección de aire. Alarmas visuales audibles. Bitacora 1.000 reg. Batería de litio</v>
      </c>
      <c r="C23908" s="6">
        <v>2533333</v>
      </c>
      <c r="D23908" s="5" t="s">
        <v>120</v>
      </c>
      <c r="E23908" s="5" t="str">
        <f t="shared" si="1183"/>
        <v>CUIDADOS INTERMEDIOS URGENCIAS -YENNY PEÑA</v>
      </c>
      <c r="F23908" s="5"/>
      <c r="G23908" s="5"/>
    </row>
    <row r="23909" spans="1:7" ht="58.5" customHeight="1" x14ac:dyDescent="0.25">
      <c r="A23909" s="5" t="str">
        <f>"H0033423"</f>
        <v>H0033423</v>
      </c>
      <c r="B23909" s="5" t="str">
        <f t="shared" si="1186"/>
        <v>BOMBA DE INFUSION. Apilables.5 modos. 01-1200 ml/h. 0.1 ml incr. Compatible con set de infusión genérico. anti-bolo. Detección de aire. Alarmas visuales audibles. Bitacora 1.000 reg. Batería de litio</v>
      </c>
      <c r="C23909" s="6">
        <v>2533333</v>
      </c>
      <c r="D23909" s="5" t="s">
        <v>120</v>
      </c>
      <c r="E23909" s="5" t="str">
        <f t="shared" ref="E23909:E23972" si="1187">"CUIDADOS INTERMEDIOS URGENCIAS -YENNY PEÑA"</f>
        <v>CUIDADOS INTERMEDIOS URGENCIAS -YENNY PEÑA</v>
      </c>
      <c r="F23909" s="5"/>
      <c r="G23909" s="5"/>
    </row>
    <row r="23910" spans="1:7" ht="58.5" customHeight="1" x14ac:dyDescent="0.25">
      <c r="A23910" s="5" t="str">
        <f>"H0033426"</f>
        <v>H0033426</v>
      </c>
      <c r="B23910" s="5" t="str">
        <f t="shared" si="1186"/>
        <v>BOMBA DE INFUSION. Apilables.5 modos. 01-1200 ml/h. 0.1 ml incr. Compatible con set de infusión genérico. anti-bolo. Detección de aire. Alarmas visuales audibles. Bitacora 1.000 reg. Batería de litio</v>
      </c>
      <c r="C23910" s="6">
        <v>2533333</v>
      </c>
      <c r="D23910" s="5" t="s">
        <v>120</v>
      </c>
      <c r="E23910" s="5" t="str">
        <f t="shared" si="1187"/>
        <v>CUIDADOS INTERMEDIOS URGENCIAS -YENNY PEÑA</v>
      </c>
      <c r="F23910" s="5"/>
      <c r="G23910" s="5"/>
    </row>
    <row r="23911" spans="1:7" ht="58.5" customHeight="1" x14ac:dyDescent="0.25">
      <c r="A23911" s="5" t="str">
        <f>"H0033429"</f>
        <v>H0033429</v>
      </c>
      <c r="B23911" s="5" t="str">
        <f t="shared" si="1186"/>
        <v>BOMBA DE INFUSION. Apilables.5 modos. 01-1200 ml/h. 0.1 ml incr. Compatible con set de infusión genérico. anti-bolo. Detección de aire. Alarmas visuales audibles. Bitacora 1.000 reg. Batería de litio</v>
      </c>
      <c r="C23911" s="6">
        <v>2533333</v>
      </c>
      <c r="D23911" s="5" t="s">
        <v>120</v>
      </c>
      <c r="E23911" s="5" t="str">
        <f t="shared" si="1187"/>
        <v>CUIDADOS INTERMEDIOS URGENCIAS -YENNY PEÑA</v>
      </c>
      <c r="F23911" s="5"/>
      <c r="G23911" s="5"/>
    </row>
    <row r="23912" spans="1:7" ht="58.5" customHeight="1" x14ac:dyDescent="0.25">
      <c r="A23912" s="5" t="str">
        <f>"H0033430"</f>
        <v>H0033430</v>
      </c>
      <c r="B23912" s="5" t="str">
        <f>"BOMBA DE NUTRICION. 1 mL/h a 600 mL/h. 1 mL/h a 5 mL/h incr. ± 7% a 125 mL/h. Cumple 60601-2-24."</f>
        <v>BOMBA DE NUTRICION. 1 mL/h a 600 mL/h. 1 mL/h a 5 mL/h incr. ± 7% a 125 mL/h. Cumple 60601-2-24.</v>
      </c>
      <c r="C23912" s="6">
        <v>3066667</v>
      </c>
      <c r="D23912" s="5" t="s">
        <v>120</v>
      </c>
      <c r="E23912" s="5" t="str">
        <f t="shared" si="1187"/>
        <v>CUIDADOS INTERMEDIOS URGENCIAS -YENNY PEÑA</v>
      </c>
      <c r="F23912" s="5"/>
      <c r="G23912" s="5"/>
    </row>
    <row r="23913" spans="1:7" ht="58.5" customHeight="1" x14ac:dyDescent="0.25">
      <c r="A23913" s="5" t="str">
        <f>"H0033551"</f>
        <v>H0033551</v>
      </c>
      <c r="B23913" s="5" t="str">
        <f t="shared" ref="B23913:B23935" si="1188">"BOMBA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3913" s="6">
        <v>2533333</v>
      </c>
      <c r="D23913" s="5" t="s">
        <v>120</v>
      </c>
      <c r="E23913" s="5" t="str">
        <f t="shared" si="1187"/>
        <v>CUIDADOS INTERMEDIOS URGENCIAS -YENNY PEÑA</v>
      </c>
      <c r="F23913" s="5"/>
      <c r="G23913" s="5"/>
    </row>
    <row r="23914" spans="1:7" ht="58.5" customHeight="1" x14ac:dyDescent="0.25">
      <c r="A23914" s="5" t="str">
        <f>"H0033553"</f>
        <v>H0033553</v>
      </c>
      <c r="B23914" s="5" t="str">
        <f t="shared" si="1188"/>
        <v>BOMBA DE INFUSION. Apilables.5 modos. 01-1200 ml/h. 0.1 ml incr. Compatible con set de infusión genérico. anti-bolo. Detección de aire. Alarmas visuales audibles. Bitacora 1.000 reg. Batería de litio</v>
      </c>
      <c r="C23914" s="6">
        <v>2533333</v>
      </c>
      <c r="D23914" s="5" t="s">
        <v>487</v>
      </c>
      <c r="E23914" s="5" t="str">
        <f t="shared" si="1187"/>
        <v>CUIDADOS INTERMEDIOS URGENCIAS -YENNY PEÑA</v>
      </c>
      <c r="F23914" s="5"/>
      <c r="G23914" s="5"/>
    </row>
    <row r="23915" spans="1:7" ht="58.5" customHeight="1" x14ac:dyDescent="0.25">
      <c r="A23915" s="5" t="str">
        <f>"H0033670"</f>
        <v>H0033670</v>
      </c>
      <c r="B23915" s="5" t="str">
        <f t="shared" si="1188"/>
        <v>BOMBA DE INFUSION. Apilables.5 modos. 01-1200 ml/h. 0.1 ml incr. Compatible con set de infusión genérico. anti-bolo. Detección de aire. Alarmas visuales audibles. Bitacora 1.000 reg. Batería de litio</v>
      </c>
      <c r="C23915" s="6">
        <v>2533333</v>
      </c>
      <c r="D23915" s="5" t="s">
        <v>120</v>
      </c>
      <c r="E23915" s="5" t="str">
        <f t="shared" si="1187"/>
        <v>CUIDADOS INTERMEDIOS URGENCIAS -YENNY PEÑA</v>
      </c>
      <c r="F23915" s="5"/>
      <c r="G23915" s="5"/>
    </row>
    <row r="23916" spans="1:7" ht="58.5" customHeight="1" x14ac:dyDescent="0.25">
      <c r="A23916" s="5" t="str">
        <f>"H0033676"</f>
        <v>H0033676</v>
      </c>
      <c r="B23916" s="5" t="str">
        <f t="shared" si="1188"/>
        <v>BOMBA DE INFUSION. Apilables.5 modos. 01-1200 ml/h. 0.1 ml incr. Compatible con set de infusión genérico. anti-bolo. Detección de aire. Alarmas visuales audibles. Bitacora 1.000 reg. Batería de litio</v>
      </c>
      <c r="C23916" s="6">
        <v>2533333</v>
      </c>
      <c r="D23916" s="5" t="s">
        <v>120</v>
      </c>
      <c r="E23916" s="5" t="str">
        <f t="shared" si="1187"/>
        <v>CUIDADOS INTERMEDIOS URGENCIAS -YENNY PEÑA</v>
      </c>
      <c r="F23916" s="5"/>
      <c r="G23916" s="5"/>
    </row>
    <row r="23917" spans="1:7" ht="58.5" customHeight="1" x14ac:dyDescent="0.25">
      <c r="A23917" s="5" t="str">
        <f>"H0033677"</f>
        <v>H0033677</v>
      </c>
      <c r="B23917" s="5" t="str">
        <f t="shared" si="1188"/>
        <v>BOMBA DE INFUSION. Apilables.5 modos. 01-1200 ml/h. 0.1 ml incr. Compatible con set de infusión genérico. anti-bolo. Detección de aire. Alarmas visuales audibles. Bitacora 1.000 reg. Batería de litio</v>
      </c>
      <c r="C23917" s="6">
        <v>2533333</v>
      </c>
      <c r="D23917" s="5" t="s">
        <v>120</v>
      </c>
      <c r="E23917" s="5" t="str">
        <f t="shared" si="1187"/>
        <v>CUIDADOS INTERMEDIOS URGENCIAS -YENNY PEÑA</v>
      </c>
      <c r="F23917" s="5"/>
      <c r="G23917" s="5"/>
    </row>
    <row r="23918" spans="1:7" ht="58.5" customHeight="1" x14ac:dyDescent="0.25">
      <c r="A23918" s="5" t="str">
        <f>"H0033693"</f>
        <v>H0033693</v>
      </c>
      <c r="B23918" s="5" t="str">
        <f t="shared" si="1188"/>
        <v>BOMBA DE INFUSION. Apilables.5 modos. 01-1200 ml/h. 0.1 ml incr. Compatible con set de infusión genérico. anti-bolo. Detección de aire. Alarmas visuales audibles. Bitacora 1.000 reg. Batería de litio</v>
      </c>
      <c r="C23918" s="6">
        <v>2533333</v>
      </c>
      <c r="D23918" s="5" t="s">
        <v>120</v>
      </c>
      <c r="E23918" s="5" t="str">
        <f t="shared" si="1187"/>
        <v>CUIDADOS INTERMEDIOS URGENCIAS -YENNY PEÑA</v>
      </c>
      <c r="F23918" s="5"/>
      <c r="G23918" s="5"/>
    </row>
    <row r="23919" spans="1:7" ht="58.5" customHeight="1" x14ac:dyDescent="0.25">
      <c r="A23919" s="5" t="str">
        <f>"H0033694"</f>
        <v>H0033694</v>
      </c>
      <c r="B23919" s="5" t="str">
        <f t="shared" si="1188"/>
        <v>BOMBA DE INFUSION. Apilables.5 modos. 01-1200 ml/h. 0.1 ml incr. Compatible con set de infusión genérico. anti-bolo. Detección de aire. Alarmas visuales audibles. Bitacora 1.000 reg. Batería de litio</v>
      </c>
      <c r="C23919" s="6">
        <v>2533333</v>
      </c>
      <c r="D23919" s="5" t="s">
        <v>120</v>
      </c>
      <c r="E23919" s="5" t="str">
        <f t="shared" si="1187"/>
        <v>CUIDADOS INTERMEDIOS URGENCIAS -YENNY PEÑA</v>
      </c>
      <c r="F23919" s="5"/>
      <c r="G23919" s="5"/>
    </row>
    <row r="23920" spans="1:7" ht="58.5" customHeight="1" x14ac:dyDescent="0.25">
      <c r="A23920" s="5" t="str">
        <f>"H0033695"</f>
        <v>H0033695</v>
      </c>
      <c r="B23920" s="5" t="str">
        <f t="shared" si="1188"/>
        <v>BOMBA DE INFUSION. Apilables.5 modos. 01-1200 ml/h. 0.1 ml incr. Compatible con set de infusión genérico. anti-bolo. Detección de aire. Alarmas visuales audibles. Bitacora 1.000 reg. Batería de litio</v>
      </c>
      <c r="C23920" s="6">
        <v>2533333</v>
      </c>
      <c r="D23920" s="5" t="s">
        <v>120</v>
      </c>
      <c r="E23920" s="5" t="str">
        <f t="shared" si="1187"/>
        <v>CUIDADOS INTERMEDIOS URGENCIAS -YENNY PEÑA</v>
      </c>
      <c r="F23920" s="5"/>
      <c r="G23920" s="5"/>
    </row>
    <row r="23921" spans="1:7" ht="58.5" customHeight="1" x14ac:dyDescent="0.25">
      <c r="A23921" s="5" t="str">
        <f>"H0033696"</f>
        <v>H0033696</v>
      </c>
      <c r="B23921" s="5" t="str">
        <f t="shared" si="1188"/>
        <v>BOMBA DE INFUSION. Apilables.5 modos. 01-1200 ml/h. 0.1 ml incr. Compatible con set de infusión genérico. anti-bolo. Detección de aire. Alarmas visuales audibles. Bitacora 1.000 reg. Batería de litio</v>
      </c>
      <c r="C23921" s="6">
        <v>2533333</v>
      </c>
      <c r="D23921" s="5" t="s">
        <v>120</v>
      </c>
      <c r="E23921" s="5" t="str">
        <f t="shared" si="1187"/>
        <v>CUIDADOS INTERMEDIOS URGENCIAS -YENNY PEÑA</v>
      </c>
      <c r="F23921" s="5"/>
      <c r="G23921" s="5"/>
    </row>
    <row r="23922" spans="1:7" ht="58.5" customHeight="1" x14ac:dyDescent="0.25">
      <c r="A23922" s="5" t="str">
        <f>"H0033697"</f>
        <v>H0033697</v>
      </c>
      <c r="B23922" s="5" t="str">
        <f t="shared" si="1188"/>
        <v>BOMBA DE INFUSION. Apilables.5 modos. 01-1200 ml/h. 0.1 ml incr. Compatible con set de infusión genérico. anti-bolo. Detección de aire. Alarmas visuales audibles. Bitacora 1.000 reg. Batería de litio</v>
      </c>
      <c r="C23922" s="6">
        <v>2533333</v>
      </c>
      <c r="D23922" s="5" t="s">
        <v>120</v>
      </c>
      <c r="E23922" s="5" t="str">
        <f t="shared" si="1187"/>
        <v>CUIDADOS INTERMEDIOS URGENCIAS -YENNY PEÑA</v>
      </c>
      <c r="F23922" s="5"/>
      <c r="G23922" s="5"/>
    </row>
    <row r="23923" spans="1:7" ht="58.5" customHeight="1" x14ac:dyDescent="0.25">
      <c r="A23923" s="5" t="str">
        <f>"H0033698"</f>
        <v>H0033698</v>
      </c>
      <c r="B23923" s="5" t="str">
        <f t="shared" si="1188"/>
        <v>BOMBA DE INFUSION. Apilables.5 modos. 01-1200 ml/h. 0.1 ml incr. Compatible con set de infusión genérico. anti-bolo. Detección de aire. Alarmas visuales audibles. Bitacora 1.000 reg. Batería de litio</v>
      </c>
      <c r="C23923" s="6">
        <v>2533333</v>
      </c>
      <c r="D23923" s="5" t="s">
        <v>120</v>
      </c>
      <c r="E23923" s="5" t="str">
        <f t="shared" si="1187"/>
        <v>CUIDADOS INTERMEDIOS URGENCIAS -YENNY PEÑA</v>
      </c>
      <c r="F23923" s="5"/>
      <c r="G23923" s="5"/>
    </row>
    <row r="23924" spans="1:7" ht="58.5" customHeight="1" x14ac:dyDescent="0.25">
      <c r="A23924" s="5" t="str">
        <f>"H0033700"</f>
        <v>H0033700</v>
      </c>
      <c r="B23924" s="5" t="str">
        <f t="shared" si="1188"/>
        <v>BOMBA DE INFUSION. Apilables.5 modos. 01-1200 ml/h. 0.1 ml incr. Compatible con set de infusión genérico. anti-bolo. Detección de aire. Alarmas visuales audibles. Bitacora 1.000 reg. Batería de litio</v>
      </c>
      <c r="C23924" s="6">
        <v>2533333</v>
      </c>
      <c r="D23924" s="5" t="s">
        <v>120</v>
      </c>
      <c r="E23924" s="5" t="str">
        <f t="shared" si="1187"/>
        <v>CUIDADOS INTERMEDIOS URGENCIAS -YENNY PEÑA</v>
      </c>
      <c r="F23924" s="5"/>
      <c r="G23924" s="5"/>
    </row>
    <row r="23925" spans="1:7" ht="58.5" customHeight="1" x14ac:dyDescent="0.25">
      <c r="A23925" s="5" t="str">
        <f>"H0033701"</f>
        <v>H0033701</v>
      </c>
      <c r="B23925" s="5" t="str">
        <f t="shared" si="1188"/>
        <v>BOMBA DE INFUSION. Apilables.5 modos. 01-1200 ml/h. 0.1 ml incr. Compatible con set de infusión genérico. anti-bolo. Detección de aire. Alarmas visuales audibles. Bitacora 1.000 reg. Batería de litio</v>
      </c>
      <c r="C23925" s="6">
        <v>2533333</v>
      </c>
      <c r="D23925" s="5" t="s">
        <v>120</v>
      </c>
      <c r="E23925" s="5" t="str">
        <f t="shared" si="1187"/>
        <v>CUIDADOS INTERMEDIOS URGENCIAS -YENNY PEÑA</v>
      </c>
      <c r="F23925" s="5"/>
      <c r="G23925" s="5"/>
    </row>
    <row r="23926" spans="1:7" ht="58.5" customHeight="1" x14ac:dyDescent="0.25">
      <c r="A23926" s="5" t="str">
        <f>"H0033703"</f>
        <v>H0033703</v>
      </c>
      <c r="B23926" s="5" t="str">
        <f t="shared" si="1188"/>
        <v>BOMBA DE INFUSION. Apilables.5 modos. 01-1200 ml/h. 0.1 ml incr. Compatible con set de infusión genérico. anti-bolo. Detección de aire. Alarmas visuales audibles. Bitacora 1.000 reg. Batería de litio</v>
      </c>
      <c r="C23926" s="6">
        <v>2533333</v>
      </c>
      <c r="D23926" s="5" t="s">
        <v>120</v>
      </c>
      <c r="E23926" s="5" t="str">
        <f t="shared" si="1187"/>
        <v>CUIDADOS INTERMEDIOS URGENCIAS -YENNY PEÑA</v>
      </c>
      <c r="F23926" s="5"/>
      <c r="G23926" s="5"/>
    </row>
    <row r="23927" spans="1:7" ht="58.5" customHeight="1" x14ac:dyDescent="0.25">
      <c r="A23927" s="5" t="str">
        <f>"H0033704"</f>
        <v>H0033704</v>
      </c>
      <c r="B23927" s="5" t="str">
        <f t="shared" si="1188"/>
        <v>BOMBA DE INFUSION. Apilables.5 modos. 01-1200 ml/h. 0.1 ml incr. Compatible con set de infusión genérico. anti-bolo. Detección de aire. Alarmas visuales audibles. Bitacora 1.000 reg. Batería de litio</v>
      </c>
      <c r="C23927" s="6">
        <v>2533333</v>
      </c>
      <c r="D23927" s="5" t="s">
        <v>120</v>
      </c>
      <c r="E23927" s="5" t="str">
        <f t="shared" si="1187"/>
        <v>CUIDADOS INTERMEDIOS URGENCIAS -YENNY PEÑA</v>
      </c>
      <c r="F23927" s="5"/>
      <c r="G23927" s="5"/>
    </row>
    <row r="23928" spans="1:7" ht="58.5" customHeight="1" x14ac:dyDescent="0.25">
      <c r="A23928" s="5" t="str">
        <f>"H0033814"</f>
        <v>H0033814</v>
      </c>
      <c r="B23928" s="5" t="str">
        <f t="shared" si="1188"/>
        <v>BOMBA DE INFUSION. Apilables.5 modos. 01-1200 ml/h. 0.1 ml incr. Compatible con set de infusión genérico. anti-bolo. Detección de aire. Alarmas visuales audibles. Bitacora 1.000 reg. Batería de litio</v>
      </c>
      <c r="C23928" s="6">
        <v>2533333</v>
      </c>
      <c r="D23928" s="5" t="s">
        <v>120</v>
      </c>
      <c r="E23928" s="5" t="str">
        <f t="shared" si="1187"/>
        <v>CUIDADOS INTERMEDIOS URGENCIAS -YENNY PEÑA</v>
      </c>
      <c r="F23928" s="5"/>
      <c r="G23928" s="5"/>
    </row>
    <row r="23929" spans="1:7" ht="58.5" customHeight="1" x14ac:dyDescent="0.25">
      <c r="A23929" s="5" t="str">
        <f>"H0033857"</f>
        <v>H0033857</v>
      </c>
      <c r="B23929" s="5" t="str">
        <f t="shared" si="1188"/>
        <v>BOMBA DE INFUSION. Apilables.5 modos. 01-1200 ml/h. 0.1 ml incr. Compatible con set de infusión genérico. anti-bolo. Detección de aire. Alarmas visuales audibles. Bitacora 1.000 reg. Batería de litio</v>
      </c>
      <c r="C23929" s="6">
        <v>2533333</v>
      </c>
      <c r="D23929" s="5" t="s">
        <v>120</v>
      </c>
      <c r="E23929" s="5" t="str">
        <f t="shared" si="1187"/>
        <v>CUIDADOS INTERMEDIOS URGENCIAS -YENNY PEÑA</v>
      </c>
      <c r="F23929" s="5"/>
      <c r="G23929" s="5"/>
    </row>
    <row r="23930" spans="1:7" ht="58.5" customHeight="1" x14ac:dyDescent="0.25">
      <c r="A23930" s="5" t="str">
        <f>"H0033861"</f>
        <v>H0033861</v>
      </c>
      <c r="B23930" s="5" t="str">
        <f t="shared" si="1188"/>
        <v>BOMBA DE INFUSION. Apilables.5 modos. 01-1200 ml/h. 0.1 ml incr. Compatible con set de infusión genérico. anti-bolo. Detección de aire. Alarmas visuales audibles. Bitacora 1.000 reg. Batería de litio</v>
      </c>
      <c r="C23930" s="6">
        <v>2533333</v>
      </c>
      <c r="D23930" s="5" t="s">
        <v>120</v>
      </c>
      <c r="E23930" s="5" t="str">
        <f t="shared" si="1187"/>
        <v>CUIDADOS INTERMEDIOS URGENCIAS -YENNY PEÑA</v>
      </c>
      <c r="F23930" s="5"/>
      <c r="G23930" s="5"/>
    </row>
    <row r="23931" spans="1:7" ht="58.5" customHeight="1" x14ac:dyDescent="0.25">
      <c r="A23931" s="5" t="str">
        <f>"H0033862"</f>
        <v>H0033862</v>
      </c>
      <c r="B23931" s="5" t="str">
        <f t="shared" si="1188"/>
        <v>BOMBA DE INFUSION. Apilables.5 modos. 01-1200 ml/h. 0.1 ml incr. Compatible con set de infusión genérico. anti-bolo. Detección de aire. Alarmas visuales audibles. Bitacora 1.000 reg. Batería de litio</v>
      </c>
      <c r="C23931" s="6">
        <v>2533333</v>
      </c>
      <c r="D23931" s="5" t="s">
        <v>120</v>
      </c>
      <c r="E23931" s="5" t="str">
        <f t="shared" si="1187"/>
        <v>CUIDADOS INTERMEDIOS URGENCIAS -YENNY PEÑA</v>
      </c>
      <c r="F23931" s="5"/>
      <c r="G23931" s="5"/>
    </row>
    <row r="23932" spans="1:7" ht="58.5" customHeight="1" x14ac:dyDescent="0.25">
      <c r="A23932" s="5" t="str">
        <f>"H0033865"</f>
        <v>H0033865</v>
      </c>
      <c r="B23932" s="5" t="str">
        <f t="shared" si="1188"/>
        <v>BOMBA DE INFUSION. Apilables.5 modos. 01-1200 ml/h. 0.1 ml incr. Compatible con set de infusión genérico. anti-bolo. Detección de aire. Alarmas visuales audibles. Bitacora 1.000 reg. Batería de litio</v>
      </c>
      <c r="C23932" s="6">
        <v>2533333</v>
      </c>
      <c r="D23932" s="5" t="s">
        <v>120</v>
      </c>
      <c r="E23932" s="5" t="str">
        <f t="shared" si="1187"/>
        <v>CUIDADOS INTERMEDIOS URGENCIAS -YENNY PEÑA</v>
      </c>
      <c r="F23932" s="5"/>
      <c r="G23932" s="5"/>
    </row>
    <row r="23933" spans="1:7" ht="58.5" customHeight="1" x14ac:dyDescent="0.25">
      <c r="A23933" s="5" t="str">
        <f>"H0033868"</f>
        <v>H0033868</v>
      </c>
      <c r="B23933" s="5" t="str">
        <f t="shared" si="1188"/>
        <v>BOMBA DE INFUSION. Apilables.5 modos. 01-1200 ml/h. 0.1 ml incr. Compatible con set de infusión genérico. anti-bolo. Detección de aire. Alarmas visuales audibles. Bitacora 1.000 reg. Batería de litio</v>
      </c>
      <c r="C23933" s="6">
        <v>2533333</v>
      </c>
      <c r="D23933" s="5" t="s">
        <v>120</v>
      </c>
      <c r="E23933" s="5" t="str">
        <f t="shared" si="1187"/>
        <v>CUIDADOS INTERMEDIOS URGENCIAS -YENNY PEÑA</v>
      </c>
      <c r="F23933" s="5"/>
      <c r="G23933" s="5"/>
    </row>
    <row r="23934" spans="1:7" ht="58.5" customHeight="1" x14ac:dyDescent="0.25">
      <c r="A23934" s="5" t="str">
        <f>"H0033872"</f>
        <v>H0033872</v>
      </c>
      <c r="B23934" s="5" t="str">
        <f t="shared" si="1188"/>
        <v>BOMBA DE INFUSION. Apilables.5 modos. 01-1200 ml/h. 0.1 ml incr. Compatible con set de infusión genérico. anti-bolo. Detección de aire. Alarmas visuales audibles. Bitacora 1.000 reg. Batería de litio</v>
      </c>
      <c r="C23934" s="6">
        <v>2533333</v>
      </c>
      <c r="D23934" s="5" t="s">
        <v>120</v>
      </c>
      <c r="E23934" s="5" t="str">
        <f t="shared" si="1187"/>
        <v>CUIDADOS INTERMEDIOS URGENCIAS -YENNY PEÑA</v>
      </c>
      <c r="F23934" s="5"/>
      <c r="G23934" s="5"/>
    </row>
    <row r="23935" spans="1:7" ht="58.5" customHeight="1" x14ac:dyDescent="0.25">
      <c r="A23935" s="5" t="str">
        <f>"H0033873"</f>
        <v>H0033873</v>
      </c>
      <c r="B23935" s="5" t="str">
        <f t="shared" si="1188"/>
        <v>BOMBA DE INFUSION. Apilables.5 modos. 01-1200 ml/h. 0.1 ml incr. Compatible con set de infusión genérico. anti-bolo. Detección de aire. Alarmas visuales audibles. Bitacora 1.000 reg. Batería de litio</v>
      </c>
      <c r="C23935" s="6">
        <v>2533333</v>
      </c>
      <c r="D23935" s="5" t="s">
        <v>120</v>
      </c>
      <c r="E23935" s="5" t="str">
        <f t="shared" si="1187"/>
        <v>CUIDADOS INTERMEDIOS URGENCIAS -YENNY PEÑA</v>
      </c>
      <c r="F23935" s="5"/>
      <c r="G23935" s="5"/>
    </row>
    <row r="23936" spans="1:7" ht="58.5" customHeight="1" x14ac:dyDescent="0.25">
      <c r="A23936" s="5" t="str">
        <f>"H0033888"</f>
        <v>H0033888</v>
      </c>
      <c r="B23936" s="5" t="str">
        <f>"BOMBA DE NUTRICION. 1 mL/h a 600 mL/h. 1 mL/h a 5 mL/h incr. ± 7% a 125 mL/h. Cumple 60601-2-24."</f>
        <v>BOMBA DE NUTRICION. 1 mL/h a 600 mL/h. 1 mL/h a 5 mL/h incr. ± 7% a 125 mL/h. Cumple 60601-2-24.</v>
      </c>
      <c r="C23936" s="6">
        <v>3066667</v>
      </c>
      <c r="D23936" s="5" t="s">
        <v>120</v>
      </c>
      <c r="E23936" s="5" t="str">
        <f t="shared" si="1187"/>
        <v>CUIDADOS INTERMEDIOS URGENCIAS -YENNY PEÑA</v>
      </c>
      <c r="F23936" s="5"/>
      <c r="G23936" s="5"/>
    </row>
    <row r="23937" spans="1:7" ht="58.5" customHeight="1" x14ac:dyDescent="0.25">
      <c r="A23937" s="5" t="str">
        <f>"H0033890"</f>
        <v>H0033890</v>
      </c>
      <c r="B23937" s="5" t="str">
        <f>"BOMBA DE NUTRICION. 1 mL/h a 600 mL/h. 1 mL/h a 5 mL/h incr. ± 7% a 125 mL/h. Cumple 60601-2-24."</f>
        <v>BOMBA DE NUTRICION. 1 mL/h a 600 mL/h. 1 mL/h a 5 mL/h incr. ± 7% a 125 mL/h. Cumple 60601-2-24.</v>
      </c>
      <c r="C23937" s="6">
        <v>3066667</v>
      </c>
      <c r="D23937" s="5" t="s">
        <v>120</v>
      </c>
      <c r="E23937" s="5" t="str">
        <f t="shared" si="1187"/>
        <v>CUIDADOS INTERMEDIOS URGENCIAS -YENNY PEÑA</v>
      </c>
      <c r="F23937" s="5"/>
      <c r="G23937" s="5"/>
    </row>
    <row r="23938" spans="1:7" ht="58.5" customHeight="1" x14ac:dyDescent="0.25">
      <c r="A23938" s="5" t="str">
        <f>"H0033891"</f>
        <v>H0033891</v>
      </c>
      <c r="B23938" s="5" t="str">
        <f>"BOMBA DE NUTRICION. 1 mL/h a 600 mL/h. 1 mL/h a 5 mL/h incr. ± 7% a 125 mL/h. Cumple 60601-2-24."</f>
        <v>BOMBA DE NUTRICION. 1 mL/h a 600 mL/h. 1 mL/h a 5 mL/h incr. ± 7% a 125 mL/h. Cumple 60601-2-24.</v>
      </c>
      <c r="C23938" s="6">
        <v>3066667</v>
      </c>
      <c r="D23938" s="5" t="s">
        <v>120</v>
      </c>
      <c r="E23938" s="5" t="str">
        <f t="shared" si="1187"/>
        <v>CUIDADOS INTERMEDIOS URGENCIAS -YENNY PEÑA</v>
      </c>
      <c r="F23938" s="5"/>
      <c r="G23938" s="5"/>
    </row>
    <row r="23939" spans="1:7" ht="58.5" customHeight="1" x14ac:dyDescent="0.25">
      <c r="A23939" s="5" t="str">
        <f>"H0033892"</f>
        <v>H0033892</v>
      </c>
      <c r="B23939" s="5" t="str">
        <f>"BOMBA DE NUTRICION. 1 mL/h a 600 mL/h. 1 mL/h a 5 mL/h incr. ± 7% a 125 mL/h. Cumple 60601-2-24."</f>
        <v>BOMBA DE NUTRICION. 1 mL/h a 600 mL/h. 1 mL/h a 5 mL/h incr. ± 7% a 125 mL/h. Cumple 60601-2-24.</v>
      </c>
      <c r="C23939" s="6">
        <v>3066667</v>
      </c>
      <c r="D23939" s="5" t="s">
        <v>120</v>
      </c>
      <c r="E23939" s="5" t="str">
        <f t="shared" si="1187"/>
        <v>CUIDADOS INTERMEDIOS URGENCIAS -YENNY PEÑA</v>
      </c>
      <c r="F23939" s="5"/>
      <c r="G23939" s="5"/>
    </row>
    <row r="23940" spans="1:7" ht="58.5" customHeight="1" x14ac:dyDescent="0.25">
      <c r="A23940" s="5" t="str">
        <f>"H0034140"</f>
        <v>H0034140</v>
      </c>
      <c r="B23940" s="5" t="str">
        <f>"termometro infrarrojo (DONACION)"</f>
        <v>termometro infrarrojo (DONACION)</v>
      </c>
      <c r="C23940" s="6">
        <v>150000</v>
      </c>
      <c r="D23940" s="5" t="s">
        <v>489</v>
      </c>
      <c r="E23940" s="5" t="str">
        <f t="shared" si="1187"/>
        <v>CUIDADOS INTERMEDIOS URGENCIAS -YENNY PEÑA</v>
      </c>
      <c r="F23940" s="5"/>
      <c r="G23940" s="5"/>
    </row>
    <row r="23941" spans="1:7" ht="58.5" customHeight="1" x14ac:dyDescent="0.25">
      <c r="A23941" s="5" t="str">
        <f>"H0034341"</f>
        <v>H0034341</v>
      </c>
      <c r="B23941" s="5" t="str">
        <f t="shared" ref="B23941:B23946" si="1189">"INFUSOR DE LIQUIDOS. Soporta soluciones o bolsas de sangre. Capacidad 1000 mL. Manómetro escala mmHg. Pera bombeo"</f>
        <v>INFUSOR DE LIQUIDOS. Soporta soluciones o bolsas de sangre. Capacidad 1000 mL. Manómetro escala mmHg. Pera bombeo</v>
      </c>
      <c r="C23941" s="6">
        <v>343367</v>
      </c>
      <c r="D23941" s="5" t="s">
        <v>193</v>
      </c>
      <c r="E23941" s="5" t="str">
        <f t="shared" si="1187"/>
        <v>CUIDADOS INTERMEDIOS URGENCIAS -YENNY PEÑA</v>
      </c>
      <c r="F23941" s="5"/>
      <c r="G23941" s="5"/>
    </row>
    <row r="23942" spans="1:7" ht="58.5" customHeight="1" x14ac:dyDescent="0.25">
      <c r="A23942" s="5" t="str">
        <f>"H0034348"</f>
        <v>H0034348</v>
      </c>
      <c r="B23942" s="5" t="str">
        <f t="shared" si="1189"/>
        <v>INFUSOR DE LIQUIDOS. Soporta soluciones o bolsas de sangre. Capacidad 1000 mL. Manómetro escala mmHg. Pera bombeo</v>
      </c>
      <c r="C23942" s="6">
        <v>343367</v>
      </c>
      <c r="D23942" s="5" t="s">
        <v>193</v>
      </c>
      <c r="E23942" s="5" t="str">
        <f t="shared" si="1187"/>
        <v>CUIDADOS INTERMEDIOS URGENCIAS -YENNY PEÑA</v>
      </c>
      <c r="F23942" s="5"/>
      <c r="G23942" s="5"/>
    </row>
    <row r="23943" spans="1:7" ht="58.5" customHeight="1" x14ac:dyDescent="0.25">
      <c r="A23943" s="5" t="str">
        <f>"H0034359"</f>
        <v>H0034359</v>
      </c>
      <c r="B23943" s="5" t="str">
        <f t="shared" si="1189"/>
        <v>INFUSOR DE LIQUIDOS. Soporta soluciones o bolsas de sangre. Capacidad 1000 mL. Manómetro escala mmHg. Pera bombeo</v>
      </c>
      <c r="C23943" s="6">
        <v>343367</v>
      </c>
      <c r="D23943" s="5" t="s">
        <v>193</v>
      </c>
      <c r="E23943" s="5" t="str">
        <f t="shared" si="1187"/>
        <v>CUIDADOS INTERMEDIOS URGENCIAS -YENNY PEÑA</v>
      </c>
      <c r="F23943" s="5"/>
      <c r="G23943" s="5"/>
    </row>
    <row r="23944" spans="1:7" ht="58.5" customHeight="1" x14ac:dyDescent="0.25">
      <c r="A23944" s="5" t="str">
        <f>"H0034388"</f>
        <v>H0034388</v>
      </c>
      <c r="B23944" s="5" t="str">
        <f t="shared" si="1189"/>
        <v>INFUSOR DE LIQUIDOS. Soporta soluciones o bolsas de sangre. Capacidad 1000 mL. Manómetro escala mmHg. Pera bombeo</v>
      </c>
      <c r="C23944" s="6">
        <v>343367</v>
      </c>
      <c r="D23944" s="5" t="s">
        <v>193</v>
      </c>
      <c r="E23944" s="5" t="str">
        <f t="shared" si="1187"/>
        <v>CUIDADOS INTERMEDIOS URGENCIAS -YENNY PEÑA</v>
      </c>
      <c r="F23944" s="5"/>
      <c r="G23944" s="5"/>
    </row>
    <row r="23945" spans="1:7" ht="58.5" customHeight="1" x14ac:dyDescent="0.25">
      <c r="A23945" s="5" t="str">
        <f>"H0034389"</f>
        <v>H0034389</v>
      </c>
      <c r="B23945" s="5" t="str">
        <f t="shared" si="1189"/>
        <v>INFUSOR DE LIQUIDOS. Soporta soluciones o bolsas de sangre. Capacidad 1000 mL. Manómetro escala mmHg. Pera bombeo</v>
      </c>
      <c r="C23945" s="6">
        <v>343367</v>
      </c>
      <c r="D23945" s="5" t="s">
        <v>193</v>
      </c>
      <c r="E23945" s="5" t="str">
        <f t="shared" si="1187"/>
        <v>CUIDADOS INTERMEDIOS URGENCIAS -YENNY PEÑA</v>
      </c>
      <c r="F23945" s="5"/>
      <c r="G23945" s="5"/>
    </row>
    <row r="23946" spans="1:7" ht="58.5" customHeight="1" x14ac:dyDescent="0.25">
      <c r="A23946" s="5" t="str">
        <f>"H0034413"</f>
        <v>H0034413</v>
      </c>
      <c r="B23946" s="5" t="str">
        <f t="shared" si="1189"/>
        <v>INFUSOR DE LIQUIDOS. Soporta soluciones o bolsas de sangre. Capacidad 1000 mL. Manómetro escala mmHg. Pera bombeo</v>
      </c>
      <c r="C23946" s="6">
        <v>343367</v>
      </c>
      <c r="D23946" s="5" t="s">
        <v>193</v>
      </c>
      <c r="E23946" s="5" t="str">
        <f t="shared" si="1187"/>
        <v>CUIDADOS INTERMEDIOS URGENCIAS -YENNY PEÑA</v>
      </c>
      <c r="F23946" s="5"/>
      <c r="G23946" s="5"/>
    </row>
    <row r="23947" spans="1:7" ht="58.5" customHeight="1" x14ac:dyDescent="0.25">
      <c r="A23947" s="5" t="str">
        <f>"H0034434"</f>
        <v>H0034434</v>
      </c>
      <c r="B23947" s="5" t="str">
        <f t="shared" ref="B23947:B23953" si="1190">"VENTILADOR MECANICO (DONACION)"</f>
        <v>VENTILADOR MECANICO (DONACION)</v>
      </c>
      <c r="C23947" s="6">
        <v>59622774</v>
      </c>
      <c r="D23947" s="5" t="s">
        <v>129</v>
      </c>
      <c r="E23947" s="5" t="str">
        <f t="shared" si="1187"/>
        <v>CUIDADOS INTERMEDIOS URGENCIAS -YENNY PEÑA</v>
      </c>
      <c r="F23947" s="5"/>
      <c r="G23947" s="5" t="str">
        <f t="shared" ref="G23947:G23953" si="1191">"VG70"</f>
        <v>VG70</v>
      </c>
    </row>
    <row r="23948" spans="1:7" ht="58.5" customHeight="1" x14ac:dyDescent="0.25">
      <c r="A23948" s="5" t="str">
        <f>"H0034436"</f>
        <v>H0034436</v>
      </c>
      <c r="B23948" s="5" t="str">
        <f t="shared" si="1190"/>
        <v>VENTILADOR MECANICO (DONACION)</v>
      </c>
      <c r="C23948" s="6">
        <v>59622774</v>
      </c>
      <c r="D23948" s="5" t="s">
        <v>129</v>
      </c>
      <c r="E23948" s="5" t="str">
        <f t="shared" si="1187"/>
        <v>CUIDADOS INTERMEDIOS URGENCIAS -YENNY PEÑA</v>
      </c>
      <c r="F23948" s="5"/>
      <c r="G23948" s="5" t="str">
        <f t="shared" si="1191"/>
        <v>VG70</v>
      </c>
    </row>
    <row r="23949" spans="1:7" ht="58.5" customHeight="1" x14ac:dyDescent="0.25">
      <c r="A23949" s="5" t="str">
        <f>"H0034440"</f>
        <v>H0034440</v>
      </c>
      <c r="B23949" s="5" t="str">
        <f t="shared" si="1190"/>
        <v>VENTILADOR MECANICO (DONACION)</v>
      </c>
      <c r="C23949" s="6">
        <v>59622774</v>
      </c>
      <c r="D23949" s="5" t="s">
        <v>129</v>
      </c>
      <c r="E23949" s="5" t="str">
        <f t="shared" si="1187"/>
        <v>CUIDADOS INTERMEDIOS URGENCIAS -YENNY PEÑA</v>
      </c>
      <c r="F23949" s="5"/>
      <c r="G23949" s="5" t="str">
        <f t="shared" si="1191"/>
        <v>VG70</v>
      </c>
    </row>
    <row r="23950" spans="1:7" ht="58.5" customHeight="1" x14ac:dyDescent="0.25">
      <c r="A23950" s="5" t="str">
        <f>"H0034441"</f>
        <v>H0034441</v>
      </c>
      <c r="B23950" s="5" t="str">
        <f t="shared" si="1190"/>
        <v>VENTILADOR MECANICO (DONACION)</v>
      </c>
      <c r="C23950" s="6">
        <v>59622774</v>
      </c>
      <c r="D23950" s="5" t="s">
        <v>129</v>
      </c>
      <c r="E23950" s="5" t="str">
        <f t="shared" si="1187"/>
        <v>CUIDADOS INTERMEDIOS URGENCIAS -YENNY PEÑA</v>
      </c>
      <c r="F23950" s="5"/>
      <c r="G23950" s="5" t="str">
        <f t="shared" si="1191"/>
        <v>VG70</v>
      </c>
    </row>
    <row r="23951" spans="1:7" ht="58.5" customHeight="1" x14ac:dyDescent="0.25">
      <c r="A23951" s="5" t="str">
        <f>"H0034442"</f>
        <v>H0034442</v>
      </c>
      <c r="B23951" s="5" t="str">
        <f t="shared" si="1190"/>
        <v>VENTILADOR MECANICO (DONACION)</v>
      </c>
      <c r="C23951" s="6">
        <v>59622774</v>
      </c>
      <c r="D23951" s="5" t="s">
        <v>129</v>
      </c>
      <c r="E23951" s="5" t="str">
        <f t="shared" si="1187"/>
        <v>CUIDADOS INTERMEDIOS URGENCIAS -YENNY PEÑA</v>
      </c>
      <c r="F23951" s="5"/>
      <c r="G23951" s="5" t="str">
        <f t="shared" si="1191"/>
        <v>VG70</v>
      </c>
    </row>
    <row r="23952" spans="1:7" ht="58.5" customHeight="1" x14ac:dyDescent="0.25">
      <c r="A23952" s="5" t="str">
        <f>"H0034449"</f>
        <v>H0034449</v>
      </c>
      <c r="B23952" s="5" t="str">
        <f t="shared" si="1190"/>
        <v>VENTILADOR MECANICO (DONACION)</v>
      </c>
      <c r="C23952" s="6">
        <v>59622774</v>
      </c>
      <c r="D23952" s="5" t="s">
        <v>129</v>
      </c>
      <c r="E23952" s="5" t="str">
        <f t="shared" si="1187"/>
        <v>CUIDADOS INTERMEDIOS URGENCIAS -YENNY PEÑA</v>
      </c>
      <c r="F23952" s="5"/>
      <c r="G23952" s="5" t="str">
        <f t="shared" si="1191"/>
        <v>VG70</v>
      </c>
    </row>
    <row r="23953" spans="1:7" ht="58.5" customHeight="1" x14ac:dyDescent="0.25">
      <c r="A23953" s="5" t="str">
        <f>"H0034451"</f>
        <v>H0034451</v>
      </c>
      <c r="B23953" s="5" t="str">
        <f t="shared" si="1190"/>
        <v>VENTILADOR MECANICO (DONACION)</v>
      </c>
      <c r="C23953" s="6">
        <v>59622774</v>
      </c>
      <c r="D23953" s="5" t="s">
        <v>129</v>
      </c>
      <c r="E23953" s="5" t="str">
        <f t="shared" si="1187"/>
        <v>CUIDADOS INTERMEDIOS URGENCIAS -YENNY PEÑA</v>
      </c>
      <c r="F23953" s="5"/>
      <c r="G23953" s="5" t="str">
        <f t="shared" si="1191"/>
        <v>VG70</v>
      </c>
    </row>
    <row r="23954" spans="1:7" ht="58.5" customHeight="1" x14ac:dyDescent="0.25">
      <c r="A23954" s="5" t="str">
        <f>"H0034600"</f>
        <v>H0034600</v>
      </c>
      <c r="B23954" s="5" t="str">
        <f>"BALANZA (PESO) DIGITAL (GRAMERA)"</f>
        <v>BALANZA (PESO) DIGITAL (GRAMERA)</v>
      </c>
      <c r="C23954" s="6">
        <v>120000.01</v>
      </c>
      <c r="D23954" s="5" t="s">
        <v>234</v>
      </c>
      <c r="E23954" s="5" t="str">
        <f t="shared" si="1187"/>
        <v>CUIDADOS INTERMEDIOS URGENCIAS -YENNY PEÑA</v>
      </c>
      <c r="F23954" s="5"/>
      <c r="G23954" s="5"/>
    </row>
    <row r="23955" spans="1:7" ht="58.5" customHeight="1" x14ac:dyDescent="0.25">
      <c r="A23955" s="5" t="str">
        <f>"H0034610"</f>
        <v>H0034610</v>
      </c>
      <c r="B23955" s="5" t="str">
        <f>"succionador (DONACION)"</f>
        <v>succionador (DONACION)</v>
      </c>
      <c r="C23955" s="6">
        <v>6216000</v>
      </c>
      <c r="D23955" s="5" t="s">
        <v>123</v>
      </c>
      <c r="E23955" s="5" t="str">
        <f t="shared" si="1187"/>
        <v>CUIDADOS INTERMEDIOS URGENCIAS -YENNY PEÑA</v>
      </c>
      <c r="F23955" s="5"/>
      <c r="G23955" s="5"/>
    </row>
    <row r="23956" spans="1:7" ht="58.5" customHeight="1" x14ac:dyDescent="0.25">
      <c r="A23956" s="5" t="str">
        <f>"H0034618"</f>
        <v>H0034618</v>
      </c>
      <c r="B23956" s="5" t="str">
        <f>"SUCCIONADOR YX930D (DONACION)"</f>
        <v>SUCCIONADOR YX930D (DONACION)</v>
      </c>
      <c r="C23956" s="6">
        <v>2471000</v>
      </c>
      <c r="D23956" s="5" t="s">
        <v>333</v>
      </c>
      <c r="E23956" s="5" t="str">
        <f t="shared" si="1187"/>
        <v>CUIDADOS INTERMEDIOS URGENCIAS -YENNY PEÑA</v>
      </c>
      <c r="F23956" s="5"/>
      <c r="G23956" s="5"/>
    </row>
    <row r="23957" spans="1:7" ht="58.5" customHeight="1" x14ac:dyDescent="0.25">
      <c r="A23957" s="5" t="str">
        <f>"H0034619"</f>
        <v>H0034619</v>
      </c>
      <c r="B23957" s="5" t="str">
        <f>"SUCCIONADOR YX930D (DONACION)"</f>
        <v>SUCCIONADOR YX930D (DONACION)</v>
      </c>
      <c r="C23957" s="6">
        <v>2471000</v>
      </c>
      <c r="D23957" s="5" t="s">
        <v>333</v>
      </c>
      <c r="E23957" s="5" t="str">
        <f t="shared" si="1187"/>
        <v>CUIDADOS INTERMEDIOS URGENCIAS -YENNY PEÑA</v>
      </c>
      <c r="F23957" s="5"/>
      <c r="G23957" s="5"/>
    </row>
    <row r="23958" spans="1:7" ht="58.5" customHeight="1" x14ac:dyDescent="0.25">
      <c r="A23958" s="5" t="str">
        <f>"H0034669"</f>
        <v>H0034669</v>
      </c>
      <c r="B23958" s="5" t="str">
        <f t="shared" ref="B23958:B23965" si="1192">"bomba de infusion (DONACION)"</f>
        <v>bomba de infusion (DONACION)</v>
      </c>
      <c r="C23958" s="6">
        <v>7049854</v>
      </c>
      <c r="D23958" s="5" t="s">
        <v>124</v>
      </c>
      <c r="E23958" s="5" t="str">
        <f t="shared" si="1187"/>
        <v>CUIDADOS INTERMEDIOS URGENCIAS -YENNY PEÑA</v>
      </c>
      <c r="F23958" s="5"/>
      <c r="G23958" s="5"/>
    </row>
    <row r="23959" spans="1:7" ht="58.5" customHeight="1" x14ac:dyDescent="0.25">
      <c r="A23959" s="5" t="str">
        <f>"H0034678"</f>
        <v>H0034678</v>
      </c>
      <c r="B23959" s="5" t="str">
        <f t="shared" si="1192"/>
        <v>bomba de infusion (DONACION)</v>
      </c>
      <c r="C23959" s="6">
        <v>7049854</v>
      </c>
      <c r="D23959" s="5" t="s">
        <v>124</v>
      </c>
      <c r="E23959" s="5" t="str">
        <f t="shared" si="1187"/>
        <v>CUIDADOS INTERMEDIOS URGENCIAS -YENNY PEÑA</v>
      </c>
      <c r="F23959" s="5"/>
      <c r="G23959" s="5"/>
    </row>
    <row r="23960" spans="1:7" ht="58.5" customHeight="1" x14ac:dyDescent="0.25">
      <c r="A23960" s="5" t="str">
        <f>"H0034681"</f>
        <v>H0034681</v>
      </c>
      <c r="B23960" s="5" t="str">
        <f t="shared" si="1192"/>
        <v>bomba de infusion (DONACION)</v>
      </c>
      <c r="C23960" s="6">
        <v>7049854</v>
      </c>
      <c r="D23960" s="5" t="s">
        <v>124</v>
      </c>
      <c r="E23960" s="5" t="str">
        <f t="shared" si="1187"/>
        <v>CUIDADOS INTERMEDIOS URGENCIAS -YENNY PEÑA</v>
      </c>
      <c r="F23960" s="5"/>
      <c r="G23960" s="5"/>
    </row>
    <row r="23961" spans="1:7" ht="58.5" customHeight="1" x14ac:dyDescent="0.25">
      <c r="A23961" s="5" t="str">
        <f>"H0034682"</f>
        <v>H0034682</v>
      </c>
      <c r="B23961" s="5" t="str">
        <f t="shared" si="1192"/>
        <v>bomba de infusion (DONACION)</v>
      </c>
      <c r="C23961" s="6">
        <v>7049854</v>
      </c>
      <c r="D23961" s="5" t="s">
        <v>124</v>
      </c>
      <c r="E23961" s="5" t="str">
        <f t="shared" si="1187"/>
        <v>CUIDADOS INTERMEDIOS URGENCIAS -YENNY PEÑA</v>
      </c>
      <c r="F23961" s="5"/>
      <c r="G23961" s="5"/>
    </row>
    <row r="23962" spans="1:7" ht="58.5" customHeight="1" x14ac:dyDescent="0.25">
      <c r="A23962" s="5" t="str">
        <f>"H0034685"</f>
        <v>H0034685</v>
      </c>
      <c r="B23962" s="5" t="str">
        <f t="shared" si="1192"/>
        <v>bomba de infusion (DONACION)</v>
      </c>
      <c r="C23962" s="6">
        <v>7049854</v>
      </c>
      <c r="D23962" s="5" t="s">
        <v>124</v>
      </c>
      <c r="E23962" s="5" t="str">
        <f t="shared" si="1187"/>
        <v>CUIDADOS INTERMEDIOS URGENCIAS -YENNY PEÑA</v>
      </c>
      <c r="F23962" s="5"/>
      <c r="G23962" s="5"/>
    </row>
    <row r="23963" spans="1:7" ht="58.5" customHeight="1" x14ac:dyDescent="0.25">
      <c r="A23963" s="5" t="str">
        <f>"H0034686"</f>
        <v>H0034686</v>
      </c>
      <c r="B23963" s="5" t="str">
        <f t="shared" si="1192"/>
        <v>bomba de infusion (DONACION)</v>
      </c>
      <c r="C23963" s="6">
        <v>7049854</v>
      </c>
      <c r="D23963" s="5" t="s">
        <v>124</v>
      </c>
      <c r="E23963" s="5" t="str">
        <f t="shared" si="1187"/>
        <v>CUIDADOS INTERMEDIOS URGENCIAS -YENNY PEÑA</v>
      </c>
      <c r="F23963" s="5"/>
      <c r="G23963" s="5"/>
    </row>
    <row r="23964" spans="1:7" ht="58.5" customHeight="1" x14ac:dyDescent="0.25">
      <c r="A23964" s="5" t="str">
        <f>"H0034688"</f>
        <v>H0034688</v>
      </c>
      <c r="B23964" s="5" t="str">
        <f t="shared" si="1192"/>
        <v>bomba de infusion (DONACION)</v>
      </c>
      <c r="C23964" s="6">
        <v>7049854</v>
      </c>
      <c r="D23964" s="5" t="s">
        <v>124</v>
      </c>
      <c r="E23964" s="5" t="str">
        <f t="shared" si="1187"/>
        <v>CUIDADOS INTERMEDIOS URGENCIAS -YENNY PEÑA</v>
      </c>
      <c r="F23964" s="5"/>
      <c r="G23964" s="5"/>
    </row>
    <row r="23965" spans="1:7" ht="58.5" customHeight="1" x14ac:dyDescent="0.25">
      <c r="A23965" s="5" t="str">
        <f>"H0034690"</f>
        <v>H0034690</v>
      </c>
      <c r="B23965" s="5" t="str">
        <f t="shared" si="1192"/>
        <v>bomba de infusion (DONACION)</v>
      </c>
      <c r="C23965" s="6">
        <v>7049854</v>
      </c>
      <c r="D23965" s="5" t="s">
        <v>124</v>
      </c>
      <c r="E23965" s="5" t="str">
        <f t="shared" si="1187"/>
        <v>CUIDADOS INTERMEDIOS URGENCIAS -YENNY PEÑA</v>
      </c>
      <c r="F23965" s="5"/>
      <c r="G23965" s="5"/>
    </row>
    <row r="23966" spans="1:7" ht="58.5" customHeight="1" x14ac:dyDescent="0.25">
      <c r="A23966" s="5" t="str">
        <f>"H0034705"</f>
        <v>H0034705</v>
      </c>
      <c r="B23966" s="5" t="str">
        <f t="shared" ref="B23966:B23974" si="1193">"BOMBA DE NUTRICION (DONACION)"</f>
        <v>BOMBA DE NUTRICION (DONACION)</v>
      </c>
      <c r="C23966" s="6">
        <v>5850000</v>
      </c>
      <c r="D23966" s="5" t="s">
        <v>124</v>
      </c>
      <c r="E23966" s="5" t="str">
        <f t="shared" si="1187"/>
        <v>CUIDADOS INTERMEDIOS URGENCIAS -YENNY PEÑA</v>
      </c>
      <c r="F23966" s="5"/>
      <c r="G23966" s="5" t="str">
        <f t="shared" ref="G23966:G23974" si="1194">"ENTEROPORT PLUS"</f>
        <v>ENTEROPORT PLUS</v>
      </c>
    </row>
    <row r="23967" spans="1:7" ht="58.5" customHeight="1" x14ac:dyDescent="0.25">
      <c r="A23967" s="5" t="str">
        <f>"H0034707"</f>
        <v>H0034707</v>
      </c>
      <c r="B23967" s="5" t="str">
        <f t="shared" si="1193"/>
        <v>BOMBA DE NUTRICION (DONACION)</v>
      </c>
      <c r="C23967" s="6">
        <v>5850000</v>
      </c>
      <c r="D23967" s="5" t="s">
        <v>124</v>
      </c>
      <c r="E23967" s="5" t="str">
        <f t="shared" si="1187"/>
        <v>CUIDADOS INTERMEDIOS URGENCIAS -YENNY PEÑA</v>
      </c>
      <c r="F23967" s="5"/>
      <c r="G23967" s="5" t="str">
        <f t="shared" si="1194"/>
        <v>ENTEROPORT PLUS</v>
      </c>
    </row>
    <row r="23968" spans="1:7" ht="58.5" customHeight="1" x14ac:dyDescent="0.25">
      <c r="A23968" s="5" t="str">
        <f>"H0034723"</f>
        <v>H0034723</v>
      </c>
      <c r="B23968" s="5" t="str">
        <f t="shared" si="1193"/>
        <v>BOMBA DE NUTRICION (DONACION)</v>
      </c>
      <c r="C23968" s="6">
        <v>5850000</v>
      </c>
      <c r="D23968" s="5" t="s">
        <v>124</v>
      </c>
      <c r="E23968" s="5" t="str">
        <f t="shared" si="1187"/>
        <v>CUIDADOS INTERMEDIOS URGENCIAS -YENNY PEÑA</v>
      </c>
      <c r="F23968" s="5"/>
      <c r="G23968" s="5" t="str">
        <f t="shared" si="1194"/>
        <v>ENTEROPORT PLUS</v>
      </c>
    </row>
    <row r="23969" spans="1:7" ht="58.5" customHeight="1" x14ac:dyDescent="0.25">
      <c r="A23969" s="5" t="str">
        <f>"H0034728"</f>
        <v>H0034728</v>
      </c>
      <c r="B23969" s="5" t="str">
        <f t="shared" si="1193"/>
        <v>BOMBA DE NUTRICION (DONACION)</v>
      </c>
      <c r="C23969" s="6">
        <v>5850000</v>
      </c>
      <c r="D23969" s="5" t="s">
        <v>124</v>
      </c>
      <c r="E23969" s="5" t="str">
        <f t="shared" si="1187"/>
        <v>CUIDADOS INTERMEDIOS URGENCIAS -YENNY PEÑA</v>
      </c>
      <c r="F23969" s="5"/>
      <c r="G23969" s="5" t="str">
        <f t="shared" si="1194"/>
        <v>ENTEROPORT PLUS</v>
      </c>
    </row>
    <row r="23970" spans="1:7" ht="58.5" customHeight="1" x14ac:dyDescent="0.25">
      <c r="A23970" s="5" t="str">
        <f>"H0034729"</f>
        <v>H0034729</v>
      </c>
      <c r="B23970" s="5" t="str">
        <f t="shared" si="1193"/>
        <v>BOMBA DE NUTRICION (DONACION)</v>
      </c>
      <c r="C23970" s="6">
        <v>5850000</v>
      </c>
      <c r="D23970" s="5" t="s">
        <v>124</v>
      </c>
      <c r="E23970" s="5" t="str">
        <f t="shared" si="1187"/>
        <v>CUIDADOS INTERMEDIOS URGENCIAS -YENNY PEÑA</v>
      </c>
      <c r="F23970" s="5"/>
      <c r="G23970" s="5" t="str">
        <f t="shared" si="1194"/>
        <v>ENTEROPORT PLUS</v>
      </c>
    </row>
    <row r="23971" spans="1:7" ht="58.5" customHeight="1" x14ac:dyDescent="0.25">
      <c r="A23971" s="5" t="str">
        <f>"H0034730"</f>
        <v>H0034730</v>
      </c>
      <c r="B23971" s="5" t="str">
        <f t="shared" si="1193"/>
        <v>BOMBA DE NUTRICION (DONACION)</v>
      </c>
      <c r="C23971" s="6">
        <v>5850000</v>
      </c>
      <c r="D23971" s="5" t="s">
        <v>124</v>
      </c>
      <c r="E23971" s="5" t="str">
        <f t="shared" si="1187"/>
        <v>CUIDADOS INTERMEDIOS URGENCIAS -YENNY PEÑA</v>
      </c>
      <c r="F23971" s="5"/>
      <c r="G23971" s="5" t="str">
        <f t="shared" si="1194"/>
        <v>ENTEROPORT PLUS</v>
      </c>
    </row>
    <row r="23972" spans="1:7" ht="58.5" customHeight="1" x14ac:dyDescent="0.25">
      <c r="A23972" s="5" t="str">
        <f>"H0034733"</f>
        <v>H0034733</v>
      </c>
      <c r="B23972" s="5" t="str">
        <f t="shared" si="1193"/>
        <v>BOMBA DE NUTRICION (DONACION)</v>
      </c>
      <c r="C23972" s="6">
        <v>5850000</v>
      </c>
      <c r="D23972" s="5" t="s">
        <v>124</v>
      </c>
      <c r="E23972" s="5" t="str">
        <f t="shared" si="1187"/>
        <v>CUIDADOS INTERMEDIOS URGENCIAS -YENNY PEÑA</v>
      </c>
      <c r="F23972" s="5"/>
      <c r="G23972" s="5" t="str">
        <f t="shared" si="1194"/>
        <v>ENTEROPORT PLUS</v>
      </c>
    </row>
    <row r="23973" spans="1:7" ht="58.5" customHeight="1" x14ac:dyDescent="0.25">
      <c r="A23973" s="5" t="str">
        <f>"H0034734"</f>
        <v>H0034734</v>
      </c>
      <c r="B23973" s="5" t="str">
        <f t="shared" si="1193"/>
        <v>BOMBA DE NUTRICION (DONACION)</v>
      </c>
      <c r="C23973" s="6">
        <v>5850000</v>
      </c>
      <c r="D23973" s="5" t="s">
        <v>124</v>
      </c>
      <c r="E23973" s="5" t="str">
        <f t="shared" ref="E23973:E24007" si="1195">"CUIDADOS INTERMEDIOS URGENCIAS -YENNY PEÑA"</f>
        <v>CUIDADOS INTERMEDIOS URGENCIAS -YENNY PEÑA</v>
      </c>
      <c r="F23973" s="5"/>
      <c r="G23973" s="5" t="str">
        <f t="shared" si="1194"/>
        <v>ENTEROPORT PLUS</v>
      </c>
    </row>
    <row r="23974" spans="1:7" ht="58.5" customHeight="1" x14ac:dyDescent="0.25">
      <c r="A23974" s="5" t="str">
        <f>"H0034736"</f>
        <v>H0034736</v>
      </c>
      <c r="B23974" s="5" t="str">
        <f t="shared" si="1193"/>
        <v>BOMBA DE NUTRICION (DONACION)</v>
      </c>
      <c r="C23974" s="6">
        <v>5850000</v>
      </c>
      <c r="D23974" s="5" t="s">
        <v>124</v>
      </c>
      <c r="E23974" s="5" t="str">
        <f t="shared" si="1195"/>
        <v>CUIDADOS INTERMEDIOS URGENCIAS -YENNY PEÑA</v>
      </c>
      <c r="F23974" s="5"/>
      <c r="G23974" s="5" t="str">
        <f t="shared" si="1194"/>
        <v>ENTEROPORT PLUS</v>
      </c>
    </row>
    <row r="23975" spans="1:7" ht="58.5" customHeight="1" x14ac:dyDescent="0.25">
      <c r="A23975" s="5" t="str">
        <f>"H0034797"</f>
        <v>H0034797</v>
      </c>
      <c r="B23975" s="5" t="str">
        <f t="shared" ref="B23975:B23982" si="1196">"succionador (DONACION)"</f>
        <v>succionador (DONACION)</v>
      </c>
      <c r="C23975" s="6">
        <v>6216000</v>
      </c>
      <c r="D23975" s="5" t="s">
        <v>123</v>
      </c>
      <c r="E23975" s="5" t="str">
        <f t="shared" si="1195"/>
        <v>CUIDADOS INTERMEDIOS URGENCIAS -YENNY PEÑA</v>
      </c>
      <c r="F23975" s="5"/>
      <c r="G23975" s="5"/>
    </row>
    <row r="23976" spans="1:7" ht="58.5" customHeight="1" x14ac:dyDescent="0.25">
      <c r="A23976" s="5" t="str">
        <f>"H0034800"</f>
        <v>H0034800</v>
      </c>
      <c r="B23976" s="5" t="str">
        <f t="shared" si="1196"/>
        <v>succionador (DONACION)</v>
      </c>
      <c r="C23976" s="6">
        <v>6216000</v>
      </c>
      <c r="D23976" s="5" t="s">
        <v>123</v>
      </c>
      <c r="E23976" s="5" t="str">
        <f t="shared" si="1195"/>
        <v>CUIDADOS INTERMEDIOS URGENCIAS -YENNY PEÑA</v>
      </c>
      <c r="F23976" s="5"/>
      <c r="G23976" s="5"/>
    </row>
    <row r="23977" spans="1:7" ht="58.5" customHeight="1" x14ac:dyDescent="0.25">
      <c r="A23977" s="5" t="str">
        <f>"H0034801"</f>
        <v>H0034801</v>
      </c>
      <c r="B23977" s="5" t="str">
        <f t="shared" si="1196"/>
        <v>succionador (DONACION)</v>
      </c>
      <c r="C23977" s="6">
        <v>6216000</v>
      </c>
      <c r="D23977" s="5" t="s">
        <v>123</v>
      </c>
      <c r="E23977" s="5" t="str">
        <f t="shared" si="1195"/>
        <v>CUIDADOS INTERMEDIOS URGENCIAS -YENNY PEÑA</v>
      </c>
      <c r="F23977" s="5"/>
      <c r="G23977" s="5"/>
    </row>
    <row r="23978" spans="1:7" ht="58.5" customHeight="1" x14ac:dyDescent="0.25">
      <c r="A23978" s="5" t="str">
        <f>"H0034806"</f>
        <v>H0034806</v>
      </c>
      <c r="B23978" s="5" t="str">
        <f t="shared" si="1196"/>
        <v>succionador (DONACION)</v>
      </c>
      <c r="C23978" s="6">
        <v>6216000</v>
      </c>
      <c r="D23978" s="5" t="s">
        <v>123</v>
      </c>
      <c r="E23978" s="5" t="str">
        <f t="shared" si="1195"/>
        <v>CUIDADOS INTERMEDIOS URGENCIAS -YENNY PEÑA</v>
      </c>
      <c r="F23978" s="5"/>
      <c r="G23978" s="5"/>
    </row>
    <row r="23979" spans="1:7" ht="58.5" customHeight="1" x14ac:dyDescent="0.25">
      <c r="A23979" s="5" t="str">
        <f>"H0034809"</f>
        <v>H0034809</v>
      </c>
      <c r="B23979" s="5" t="str">
        <f t="shared" si="1196"/>
        <v>succionador (DONACION)</v>
      </c>
      <c r="C23979" s="6">
        <v>6216000</v>
      </c>
      <c r="D23979" s="5" t="s">
        <v>123</v>
      </c>
      <c r="E23979" s="5" t="str">
        <f t="shared" si="1195"/>
        <v>CUIDADOS INTERMEDIOS URGENCIAS -YENNY PEÑA</v>
      </c>
      <c r="F23979" s="5"/>
      <c r="G23979" s="5"/>
    </row>
    <row r="23980" spans="1:7" ht="58.5" customHeight="1" x14ac:dyDescent="0.25">
      <c r="A23980" s="5" t="str">
        <f>"H0034810"</f>
        <v>H0034810</v>
      </c>
      <c r="B23980" s="5" t="str">
        <f t="shared" si="1196"/>
        <v>succionador (DONACION)</v>
      </c>
      <c r="C23980" s="6">
        <v>6216000</v>
      </c>
      <c r="D23980" s="5" t="s">
        <v>123</v>
      </c>
      <c r="E23980" s="5" t="str">
        <f t="shared" si="1195"/>
        <v>CUIDADOS INTERMEDIOS URGENCIAS -YENNY PEÑA</v>
      </c>
      <c r="F23980" s="5"/>
      <c r="G23980" s="5"/>
    </row>
    <row r="23981" spans="1:7" ht="58.5" customHeight="1" x14ac:dyDescent="0.25">
      <c r="A23981" s="5" t="str">
        <f>"H0034811"</f>
        <v>H0034811</v>
      </c>
      <c r="B23981" s="5" t="str">
        <f t="shared" si="1196"/>
        <v>succionador (DONACION)</v>
      </c>
      <c r="C23981" s="6">
        <v>6216000</v>
      </c>
      <c r="D23981" s="5" t="s">
        <v>123</v>
      </c>
      <c r="E23981" s="5" t="str">
        <f t="shared" si="1195"/>
        <v>CUIDADOS INTERMEDIOS URGENCIAS -YENNY PEÑA</v>
      </c>
      <c r="F23981" s="5"/>
      <c r="G23981" s="5"/>
    </row>
    <row r="23982" spans="1:7" ht="58.5" customHeight="1" x14ac:dyDescent="0.25">
      <c r="A23982" s="5" t="str">
        <f>"H0034813"</f>
        <v>H0034813</v>
      </c>
      <c r="B23982" s="5" t="str">
        <f t="shared" si="1196"/>
        <v>succionador (DONACION)</v>
      </c>
      <c r="C23982" s="6">
        <v>6216000</v>
      </c>
      <c r="D23982" s="5" t="s">
        <v>123</v>
      </c>
      <c r="E23982" s="5" t="str">
        <f t="shared" si="1195"/>
        <v>CUIDADOS INTERMEDIOS URGENCIAS -YENNY PEÑA</v>
      </c>
      <c r="F23982" s="5"/>
      <c r="G23982" s="5"/>
    </row>
    <row r="23983" spans="1:7" ht="58.5" customHeight="1" x14ac:dyDescent="0.25">
      <c r="A23983" s="5" t="str">
        <f>"H0034847"</f>
        <v>H0034847</v>
      </c>
      <c r="B23983" s="5" t="str">
        <f>"VENTILADOR MECANICO (DONACION)"</f>
        <v>VENTILADOR MECANICO (DONACION)</v>
      </c>
      <c r="C23983" s="6">
        <v>78000000</v>
      </c>
      <c r="D23983" s="5" t="s">
        <v>490</v>
      </c>
      <c r="E23983" s="5" t="str">
        <f t="shared" si="1195"/>
        <v>CUIDADOS INTERMEDIOS URGENCIAS -YENNY PEÑA</v>
      </c>
      <c r="F23983" s="5"/>
      <c r="G23983" s="5"/>
    </row>
    <row r="23984" spans="1:7" ht="58.5" customHeight="1" x14ac:dyDescent="0.25">
      <c r="A23984" s="5" t="str">
        <f>"H0034848"</f>
        <v>H0034848</v>
      </c>
      <c r="B23984" s="5" t="str">
        <f>"VENTILADOR MECANICO (DONACION)"</f>
        <v>VENTILADOR MECANICO (DONACION)</v>
      </c>
      <c r="C23984" s="6">
        <v>78000000</v>
      </c>
      <c r="D23984" s="5" t="s">
        <v>490</v>
      </c>
      <c r="E23984" s="5" t="str">
        <f t="shared" si="1195"/>
        <v>CUIDADOS INTERMEDIOS URGENCIAS -YENNY PEÑA</v>
      </c>
      <c r="F23984" s="5"/>
      <c r="G23984" s="5"/>
    </row>
    <row r="23985" spans="1:7" ht="58.5" customHeight="1" x14ac:dyDescent="0.25">
      <c r="A23985" s="5" t="str">
        <f>"H0035030"</f>
        <v>H0035030</v>
      </c>
      <c r="B23985"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3985" s="6">
        <v>5289550</v>
      </c>
      <c r="D23985" s="5" t="s">
        <v>22</v>
      </c>
      <c r="E23985" s="5" t="str">
        <f t="shared" si="1195"/>
        <v>CUIDADOS INTERMEDIOS URGENCIAS -YENNY PEÑA</v>
      </c>
      <c r="F23985" s="5"/>
      <c r="G23985" s="5"/>
    </row>
    <row r="23986" spans="1:7" ht="58.5" customHeight="1" x14ac:dyDescent="0.25">
      <c r="A23986" s="5" t="str">
        <f>"H0035032"</f>
        <v>H0035032</v>
      </c>
      <c r="B23986" s="5" t="str">
        <f>"Computador Corporativo AIO ACER Veriton VZ4660G-OD513; Intel Core i5 9400 (caché de 9 M, hasta 4.00 GHz) 21,5""FHD PANTALLA AJUSTABLE/Panel de bisagra inclinable de -5° a 30°, RAM 8GB (1x4GB) 2666MHz"</f>
        <v>Computador Corporativo AIO ACER Veriton VZ4660G-OD513; Intel Core i5 9400 (caché de 9 M, hasta 4.00 GHz) 21,5"FHD PANTALLA AJUSTABLE/Panel de bisagra inclinable de -5° a 30°, RAM 8GB (1x4GB) 2666MHz</v>
      </c>
      <c r="C23986" s="6">
        <v>5289550</v>
      </c>
      <c r="D23986" s="5" t="s">
        <v>22</v>
      </c>
      <c r="E23986" s="5" t="str">
        <f t="shared" si="1195"/>
        <v>CUIDADOS INTERMEDIOS URGENCIAS -YENNY PEÑA</v>
      </c>
      <c r="F23986" s="5"/>
      <c r="G23986" s="5"/>
    </row>
    <row r="23987" spans="1:7" ht="58.5" customHeight="1" x14ac:dyDescent="0.25">
      <c r="A23987" s="5" t="str">
        <f>"H0035459"</f>
        <v>H0035459</v>
      </c>
      <c r="B23987" s="5" t="str">
        <f t="shared" ref="B23987:B23996" si="1197">"CAMA HOSPITALARIA (DONACION)"</f>
        <v>CAMA HOSPITALARIA (DONACION)</v>
      </c>
      <c r="C23987" s="6">
        <v>7594755</v>
      </c>
      <c r="D23987" s="5" t="s">
        <v>130</v>
      </c>
      <c r="E23987" s="5" t="str">
        <f t="shared" si="1195"/>
        <v>CUIDADOS INTERMEDIOS URGENCIAS -YENNY PEÑA</v>
      </c>
      <c r="F23987" s="5"/>
      <c r="G23987" s="5"/>
    </row>
    <row r="23988" spans="1:7" ht="58.5" customHeight="1" x14ac:dyDescent="0.25">
      <c r="A23988" s="5" t="str">
        <f>"H0035563"</f>
        <v>H0035563</v>
      </c>
      <c r="B23988" s="5" t="str">
        <f t="shared" si="1197"/>
        <v>CAMA HOSPITALARIA (DONACION)</v>
      </c>
      <c r="C23988" s="6">
        <v>6390000</v>
      </c>
      <c r="D23988" s="5" t="s">
        <v>492</v>
      </c>
      <c r="E23988" s="5" t="str">
        <f t="shared" si="1195"/>
        <v>CUIDADOS INTERMEDIOS URGENCIAS -YENNY PEÑA</v>
      </c>
      <c r="F23988" s="5"/>
      <c r="G23988" s="5"/>
    </row>
    <row r="23989" spans="1:7" ht="58.5" customHeight="1" x14ac:dyDescent="0.25">
      <c r="A23989" s="5" t="str">
        <f>"H0035565"</f>
        <v>H0035565</v>
      </c>
      <c r="B23989" s="5" t="str">
        <f t="shared" si="1197"/>
        <v>CAMA HOSPITALARIA (DONACION)</v>
      </c>
      <c r="C23989" s="6">
        <v>6390000</v>
      </c>
      <c r="D23989" s="5" t="s">
        <v>492</v>
      </c>
      <c r="E23989" s="5" t="str">
        <f t="shared" si="1195"/>
        <v>CUIDADOS INTERMEDIOS URGENCIAS -YENNY PEÑA</v>
      </c>
      <c r="F23989" s="5"/>
      <c r="G23989" s="5"/>
    </row>
    <row r="23990" spans="1:7" ht="58.5" customHeight="1" x14ac:dyDescent="0.25">
      <c r="A23990" s="5" t="str">
        <f>"H0035566"</f>
        <v>H0035566</v>
      </c>
      <c r="B23990" s="5" t="str">
        <f t="shared" si="1197"/>
        <v>CAMA HOSPITALARIA (DONACION)</v>
      </c>
      <c r="C23990" s="6">
        <v>6390000</v>
      </c>
      <c r="D23990" s="5" t="s">
        <v>492</v>
      </c>
      <c r="E23990" s="5" t="str">
        <f t="shared" si="1195"/>
        <v>CUIDADOS INTERMEDIOS URGENCIAS -YENNY PEÑA</v>
      </c>
      <c r="F23990" s="5"/>
      <c r="G23990" s="5"/>
    </row>
    <row r="23991" spans="1:7" ht="58.5" customHeight="1" x14ac:dyDescent="0.25">
      <c r="A23991" s="5" t="str">
        <f>"H0035567"</f>
        <v>H0035567</v>
      </c>
      <c r="B23991" s="5" t="str">
        <f t="shared" si="1197"/>
        <v>CAMA HOSPITALARIA (DONACION)</v>
      </c>
      <c r="C23991" s="6">
        <v>6390000</v>
      </c>
      <c r="D23991" s="5" t="s">
        <v>280</v>
      </c>
      <c r="E23991" s="5" t="str">
        <f t="shared" si="1195"/>
        <v>CUIDADOS INTERMEDIOS URGENCIAS -YENNY PEÑA</v>
      </c>
      <c r="F23991" s="5"/>
      <c r="G23991" s="5"/>
    </row>
    <row r="23992" spans="1:7" ht="58.5" customHeight="1" x14ac:dyDescent="0.25">
      <c r="A23992" s="5" t="str">
        <f>"H0035568"</f>
        <v>H0035568</v>
      </c>
      <c r="B23992" s="5" t="str">
        <f t="shared" si="1197"/>
        <v>CAMA HOSPITALARIA (DONACION)</v>
      </c>
      <c r="C23992" s="6">
        <v>6390000</v>
      </c>
      <c r="D23992" s="5" t="s">
        <v>492</v>
      </c>
      <c r="E23992" s="5" t="str">
        <f t="shared" si="1195"/>
        <v>CUIDADOS INTERMEDIOS URGENCIAS -YENNY PEÑA</v>
      </c>
      <c r="F23992" s="5"/>
      <c r="G23992" s="5"/>
    </row>
    <row r="23993" spans="1:7" ht="58.5" customHeight="1" x14ac:dyDescent="0.25">
      <c r="A23993" s="5" t="str">
        <f>"H0035571"</f>
        <v>H0035571</v>
      </c>
      <c r="B23993" s="5" t="str">
        <f t="shared" si="1197"/>
        <v>CAMA HOSPITALARIA (DONACION)</v>
      </c>
      <c r="C23993" s="6">
        <v>6390000</v>
      </c>
      <c r="D23993" s="5" t="s">
        <v>492</v>
      </c>
      <c r="E23993" s="5" t="str">
        <f t="shared" si="1195"/>
        <v>CUIDADOS INTERMEDIOS URGENCIAS -YENNY PEÑA</v>
      </c>
      <c r="F23993" s="5"/>
      <c r="G23993" s="5"/>
    </row>
    <row r="23994" spans="1:7" ht="58.5" customHeight="1" x14ac:dyDescent="0.25">
      <c r="A23994" s="5" t="str">
        <f>"H0035573"</f>
        <v>H0035573</v>
      </c>
      <c r="B23994" s="5" t="str">
        <f t="shared" si="1197"/>
        <v>CAMA HOSPITALARIA (DONACION)</v>
      </c>
      <c r="C23994" s="6">
        <v>6390000</v>
      </c>
      <c r="D23994" s="5" t="s">
        <v>492</v>
      </c>
      <c r="E23994" s="5" t="str">
        <f t="shared" si="1195"/>
        <v>CUIDADOS INTERMEDIOS URGENCIAS -YENNY PEÑA</v>
      </c>
      <c r="F23994" s="5"/>
      <c r="G23994" s="5"/>
    </row>
    <row r="23995" spans="1:7" ht="58.5" customHeight="1" x14ac:dyDescent="0.25">
      <c r="A23995" s="5" t="str">
        <f>"H0035575"</f>
        <v>H0035575</v>
      </c>
      <c r="B23995" s="5" t="str">
        <f t="shared" si="1197"/>
        <v>CAMA HOSPITALARIA (DONACION)</v>
      </c>
      <c r="C23995" s="6">
        <v>6390000</v>
      </c>
      <c r="D23995" s="5" t="s">
        <v>492</v>
      </c>
      <c r="E23995" s="5" t="str">
        <f t="shared" si="1195"/>
        <v>CUIDADOS INTERMEDIOS URGENCIAS -YENNY PEÑA</v>
      </c>
      <c r="F23995" s="5"/>
      <c r="G23995" s="5"/>
    </row>
    <row r="23996" spans="1:7" ht="58.5" customHeight="1" x14ac:dyDescent="0.25">
      <c r="A23996" s="5" t="str">
        <f>"H0035577"</f>
        <v>H0035577</v>
      </c>
      <c r="B23996" s="5" t="str">
        <f t="shared" si="1197"/>
        <v>CAMA HOSPITALARIA (DONACION)</v>
      </c>
      <c r="C23996" s="6">
        <v>6390000</v>
      </c>
      <c r="D23996" s="5" t="s">
        <v>492</v>
      </c>
      <c r="E23996" s="5" t="str">
        <f t="shared" si="1195"/>
        <v>CUIDADOS INTERMEDIOS URGENCIAS -YENNY PEÑA</v>
      </c>
      <c r="F23996" s="5"/>
      <c r="G23996" s="5"/>
    </row>
    <row r="23997" spans="1:7" ht="58.5" customHeight="1" x14ac:dyDescent="0.25">
      <c r="A23997" s="5" t="str">
        <f>"H0036557"</f>
        <v>H0036557</v>
      </c>
      <c r="B23997" s="5" t="str">
        <f>"DESFIBRILADOR (DONACION)"</f>
        <v>DESFIBRILADOR (DONACION)</v>
      </c>
      <c r="C23997" s="6">
        <v>19285000</v>
      </c>
      <c r="D23997" s="5" t="s">
        <v>133</v>
      </c>
      <c r="E23997" s="5" t="str">
        <f t="shared" si="1195"/>
        <v>CUIDADOS INTERMEDIOS URGENCIAS -YENNY PEÑA</v>
      </c>
      <c r="F23997" s="5"/>
      <c r="G23997" s="5" t="str">
        <f>"BENEHEART-D3"</f>
        <v>BENEHEART-D3</v>
      </c>
    </row>
    <row r="23998" spans="1:7" ht="58.5" customHeight="1" x14ac:dyDescent="0.25">
      <c r="A23998" s="5" t="str">
        <f>"H0037147"</f>
        <v>H0037147</v>
      </c>
      <c r="B23998" s="5" t="str">
        <f>"TALLIMETRO CAPACIDAD 20-205 CM (DONACION)"</f>
        <v>TALLIMETRO CAPACIDAD 20-205 CM (DONACION)</v>
      </c>
      <c r="C23998" s="6">
        <v>1254705.99</v>
      </c>
      <c r="D23998" s="5" t="s">
        <v>136</v>
      </c>
      <c r="E23998" s="5" t="str">
        <f t="shared" si="1195"/>
        <v>CUIDADOS INTERMEDIOS URGENCIAS -YENNY PEÑA</v>
      </c>
      <c r="F23998" s="5"/>
      <c r="G23998" s="5"/>
    </row>
    <row r="23999" spans="1:7" ht="58.5" customHeight="1" x14ac:dyDescent="0.25">
      <c r="A23999" s="5" t="str">
        <f>"H0037165"</f>
        <v>H0037165</v>
      </c>
      <c r="B23999" s="5" t="str">
        <f>"BASCULA ADULTO"</f>
        <v>BASCULA ADULTO</v>
      </c>
      <c r="C23999" s="6">
        <v>3588385.98</v>
      </c>
      <c r="D23999" s="5" t="s">
        <v>136</v>
      </c>
      <c r="E23999" s="5" t="str">
        <f t="shared" si="1195"/>
        <v>CUIDADOS INTERMEDIOS URGENCIAS -YENNY PEÑA</v>
      </c>
      <c r="F23999" s="5"/>
      <c r="G23999" s="5"/>
    </row>
    <row r="24000" spans="1:7" ht="58.5" customHeight="1" x14ac:dyDescent="0.25">
      <c r="A24000" s="5" t="str">
        <f>"H0038041"</f>
        <v>H0038041</v>
      </c>
      <c r="B24000" s="5" t="str">
        <f t="shared" ref="B24000:B24007" si="1198">"SILLA GERENTE NIZA MEC. BASCULANTE CON BRAZOS."</f>
        <v>SILLA GERENTE NIZA MEC. BASCULANTE CON BRAZOS.</v>
      </c>
      <c r="C24000" s="6">
        <v>710000.01</v>
      </c>
      <c r="D24000" s="5" t="s">
        <v>30</v>
      </c>
      <c r="E24000" s="5" t="str">
        <f t="shared" si="1195"/>
        <v>CUIDADOS INTERMEDIOS URGENCIAS -YENNY PEÑA</v>
      </c>
      <c r="F24000" s="5"/>
      <c r="G24000" s="5"/>
    </row>
    <row r="24001" spans="1:7" ht="58.5" customHeight="1" x14ac:dyDescent="0.25">
      <c r="A24001" s="5" t="str">
        <f>"H0038042"</f>
        <v>H0038042</v>
      </c>
      <c r="B24001" s="5" t="str">
        <f t="shared" si="1198"/>
        <v>SILLA GERENTE NIZA MEC. BASCULANTE CON BRAZOS.</v>
      </c>
      <c r="C24001" s="6">
        <v>710000.01</v>
      </c>
      <c r="D24001" s="5" t="s">
        <v>30</v>
      </c>
      <c r="E24001" s="5" t="str">
        <f t="shared" si="1195"/>
        <v>CUIDADOS INTERMEDIOS URGENCIAS -YENNY PEÑA</v>
      </c>
      <c r="F24001" s="5"/>
      <c r="G24001" s="5"/>
    </row>
    <row r="24002" spans="1:7" ht="58.5" customHeight="1" x14ac:dyDescent="0.25">
      <c r="A24002" s="5" t="str">
        <f>"H0038043"</f>
        <v>H0038043</v>
      </c>
      <c r="B24002" s="5" t="str">
        <f t="shared" si="1198"/>
        <v>SILLA GERENTE NIZA MEC. BASCULANTE CON BRAZOS.</v>
      </c>
      <c r="C24002" s="6">
        <v>710000.01</v>
      </c>
      <c r="D24002" s="5" t="s">
        <v>30</v>
      </c>
      <c r="E24002" s="5" t="str">
        <f t="shared" si="1195"/>
        <v>CUIDADOS INTERMEDIOS URGENCIAS -YENNY PEÑA</v>
      </c>
      <c r="F24002" s="5"/>
      <c r="G24002" s="5"/>
    </row>
    <row r="24003" spans="1:7" ht="58.5" customHeight="1" x14ac:dyDescent="0.25">
      <c r="A24003" s="5" t="str">
        <f>"H0038044"</f>
        <v>H0038044</v>
      </c>
      <c r="B24003" s="5" t="str">
        <f t="shared" si="1198"/>
        <v>SILLA GERENTE NIZA MEC. BASCULANTE CON BRAZOS.</v>
      </c>
      <c r="C24003" s="6">
        <v>710000.01</v>
      </c>
      <c r="D24003" s="5" t="s">
        <v>30</v>
      </c>
      <c r="E24003" s="5" t="str">
        <f t="shared" si="1195"/>
        <v>CUIDADOS INTERMEDIOS URGENCIAS -YENNY PEÑA</v>
      </c>
      <c r="F24003" s="5"/>
      <c r="G24003" s="5"/>
    </row>
    <row r="24004" spans="1:7" ht="58.5" customHeight="1" x14ac:dyDescent="0.25">
      <c r="A24004" s="5" t="str">
        <f>"H0038045"</f>
        <v>H0038045</v>
      </c>
      <c r="B24004" s="5" t="str">
        <f t="shared" si="1198"/>
        <v>SILLA GERENTE NIZA MEC. BASCULANTE CON BRAZOS.</v>
      </c>
      <c r="C24004" s="6">
        <v>710000.01</v>
      </c>
      <c r="D24004" s="5" t="s">
        <v>30</v>
      </c>
      <c r="E24004" s="5" t="str">
        <f t="shared" si="1195"/>
        <v>CUIDADOS INTERMEDIOS URGENCIAS -YENNY PEÑA</v>
      </c>
      <c r="F24004" s="5"/>
      <c r="G24004" s="5"/>
    </row>
    <row r="24005" spans="1:7" ht="58.5" customHeight="1" x14ac:dyDescent="0.25">
      <c r="A24005" s="5" t="str">
        <f>"H0038046"</f>
        <v>H0038046</v>
      </c>
      <c r="B24005" s="5" t="str">
        <f t="shared" si="1198"/>
        <v>SILLA GERENTE NIZA MEC. BASCULANTE CON BRAZOS.</v>
      </c>
      <c r="C24005" s="6">
        <v>710000.01</v>
      </c>
      <c r="D24005" s="5" t="s">
        <v>30</v>
      </c>
      <c r="E24005" s="5" t="str">
        <f t="shared" si="1195"/>
        <v>CUIDADOS INTERMEDIOS URGENCIAS -YENNY PEÑA</v>
      </c>
      <c r="F24005" s="5"/>
      <c r="G24005" s="5"/>
    </row>
    <row r="24006" spans="1:7" ht="58.5" customHeight="1" x14ac:dyDescent="0.25">
      <c r="A24006" s="5" t="str">
        <f>"H0038047"</f>
        <v>H0038047</v>
      </c>
      <c r="B24006" s="5" t="str">
        <f t="shared" si="1198"/>
        <v>SILLA GERENTE NIZA MEC. BASCULANTE CON BRAZOS.</v>
      </c>
      <c r="C24006" s="6">
        <v>710000.01</v>
      </c>
      <c r="D24006" s="5" t="s">
        <v>30</v>
      </c>
      <c r="E24006" s="5" t="str">
        <f t="shared" si="1195"/>
        <v>CUIDADOS INTERMEDIOS URGENCIAS -YENNY PEÑA</v>
      </c>
      <c r="F24006" s="5"/>
      <c r="G24006" s="5"/>
    </row>
    <row r="24007" spans="1:7" ht="58.5" customHeight="1" x14ac:dyDescent="0.25">
      <c r="A24007" s="5" t="str">
        <f>"H0038048"</f>
        <v>H0038048</v>
      </c>
      <c r="B24007" s="5" t="str">
        <f t="shared" si="1198"/>
        <v>SILLA GERENTE NIZA MEC. BASCULANTE CON BRAZOS.</v>
      </c>
      <c r="C24007" s="6">
        <v>710000.01</v>
      </c>
      <c r="D24007" s="5" t="s">
        <v>30</v>
      </c>
      <c r="E24007" s="5" t="str">
        <f t="shared" si="1195"/>
        <v>CUIDADOS INTERMEDIOS URGENCIAS -YENNY PEÑA</v>
      </c>
      <c r="F24007" s="5"/>
      <c r="G24007" s="5"/>
    </row>
    <row r="24008" spans="1:7" ht="58.5" customHeight="1" x14ac:dyDescent="0.25">
      <c r="A24008" s="5" t="str">
        <f>"H0020221"</f>
        <v>H0020221</v>
      </c>
      <c r="B24008" s="5" t="str">
        <f>"AIRE ACONDICIONADO CENTRAL (INTEGRAL)"</f>
        <v>AIRE ACONDICIONADO CENTRAL (INTEGRAL)</v>
      </c>
      <c r="C24008" s="6">
        <v>986000</v>
      </c>
      <c r="D24008" s="5"/>
      <c r="E24008" s="5" t="str">
        <f t="shared" ref="E24008:E24015" si="1199">"UCIS DE COLOMBIA- ADULTO-NORBERTO GARCIA ROMERO"</f>
        <v>UCIS DE COLOMBIA- ADULTO-NORBERTO GARCIA ROMERO</v>
      </c>
      <c r="F24008" s="5" t="str">
        <f>"Descripcion: EQUIPO PAQUETE CONDENSADO POR AIRE DE 90000 BTU Estado: Bueno Placa anterior:  Material: METALICO Color: BEIGE Referencia:  Observacion: ESTA SOBRE EL TECHO DE NUTRICION Placa padre: Tipo adquisicion: Entidad"</f>
        <v>Descripcion: EQUIPO PAQUETE CONDENSADO POR AIRE DE 90000 BTU Estado: Bueno Placa anterior:  Material: METALICO Color: BEIGE Referencia:  Observacion: ESTA SOBRE EL TECHO DE NUTRICION Placa padre: Tipo adquisicion: Entidad</v>
      </c>
      <c r="G24008" s="5" t="str">
        <f>"LK-C090BC00"</f>
        <v>LK-C090BC00</v>
      </c>
    </row>
    <row r="24009" spans="1:7" ht="58.5" customHeight="1" x14ac:dyDescent="0.25">
      <c r="A24009" s="5" t="str">
        <f>"H0020222"</f>
        <v>H0020222</v>
      </c>
      <c r="B24009" s="5" t="str">
        <f>"AIRE ACONDICIONADO CENTRAL (INTEGRAL)"</f>
        <v>AIRE ACONDICIONADO CENTRAL (INTEGRAL)</v>
      </c>
      <c r="C24009" s="6">
        <v>21483925</v>
      </c>
      <c r="D24009" s="5"/>
      <c r="E24009" s="5" t="str">
        <f t="shared" si="1199"/>
        <v>UCIS DE COLOMBIA- ADULTO-NORBERTO GARCIA ROMERO</v>
      </c>
      <c r="F24009" s="5" t="str">
        <f>"Descripcion: EQUIPO PAQUETE CONDENSADO POR AIRE DE 90000 BTU Estado: Bueno Placa anterior: 000024257 Material: METALICO Color: BEIGE Referencia:  Observacion: ESTA SOBRE EL TECHO DE NUTRICION. NO  SE DISTINGUE EL SERIAL. AUTORIZADO CONCILIAR EN CRUCE GENE"&amp; "RAL Placa padre: Tipo adquisicion: Entidad"</f>
        <v>Descripcion: EQUIPO PAQUETE CONDENSADO POR AIRE DE 90000 BTU Estado: Bueno Placa anterior: 000024257 Material: METALICO Color: BEIGE Referencia:  Observacion: ESTA SOBRE EL TECHO DE NUTRICION. NO  SE DISTINGUE EL SERIAL. AUTORIZADO CONCILIAR EN CRUCE GENERAL Placa padre: Tipo adquisicion: Entidad</v>
      </c>
      <c r="G24009" s="5" t="str">
        <f>"LK-C090BC00"</f>
        <v>LK-C090BC00</v>
      </c>
    </row>
    <row r="24010" spans="1:7" ht="58.5" customHeight="1" x14ac:dyDescent="0.25">
      <c r="A24010" s="5" t="str">
        <f>"H0020223"</f>
        <v>H0020223</v>
      </c>
      <c r="B24010" s="5" t="str">
        <f>"AIRE ACONDICIONADO CENTRAL (INTEGRAL)"</f>
        <v>AIRE ACONDICIONADO CENTRAL (INTEGRAL)</v>
      </c>
      <c r="C24010" s="6">
        <v>2030000</v>
      </c>
      <c r="D24010" s="5"/>
      <c r="E24010" s="5" t="str">
        <f t="shared" si="1199"/>
        <v>UCIS DE COLOMBIA- ADULTO-NORBERTO GARCIA ROMERO</v>
      </c>
      <c r="F24010" s="5" t="str">
        <f>"Descripcion: EQUIPO PAQUETE CONDENSADO POR AIRE DE 118000 BTU Estado: Bueno Placa anterior:  Material: METALICO Color: BEIGE Referencia:  Observacion: ESTA SOBRE EL TECHO DE NUTRICION Placa padre: Tipo adquisicion: Entidad"</f>
        <v>Descripcion: EQUIPO PAQUETE CONDENSADO POR AIRE DE 118000 BTU Estado: Bueno Placa anterior:  Material: METALICO Color: BEIGE Referencia:  Observacion: ESTA SOBRE EL TECHO DE NUTRICION Placa padre: Tipo adquisicion: Entidad</v>
      </c>
      <c r="G24010" s="5" t="str">
        <f>"LK-C120BC00"</f>
        <v>LK-C120BC00</v>
      </c>
    </row>
    <row r="24011" spans="1:7" ht="58.5" customHeight="1" x14ac:dyDescent="0.25">
      <c r="A24011" s="5" t="str">
        <f>"H0027472"</f>
        <v>H0027472</v>
      </c>
      <c r="B24011" s="5" t="str">
        <f>"LECTOR DE HUELLAS DIGITALES"</f>
        <v>LECTOR DE HUELLAS DIGITALES</v>
      </c>
      <c r="C24011" s="6">
        <v>234000.41</v>
      </c>
      <c r="D24011" s="5" t="s">
        <v>83</v>
      </c>
      <c r="E24011" s="5" t="str">
        <f t="shared" si="1199"/>
        <v>UCIS DE COLOMBIA- ADULTO-NORBERTO GARCIA ROMERO</v>
      </c>
      <c r="F24011" s="5"/>
      <c r="G24011" s="5"/>
    </row>
    <row r="24012" spans="1:7" ht="58.5" customHeight="1" x14ac:dyDescent="0.25">
      <c r="A24012" s="5" t="str">
        <f>"H0027620"</f>
        <v>H0027620</v>
      </c>
      <c r="B24012" s="5" t="str">
        <f>"COMPRESOR SCROLL 10 TR"</f>
        <v>COMPRESOR SCROLL 10 TR</v>
      </c>
      <c r="C24012" s="6">
        <v>6963001</v>
      </c>
      <c r="D24012" s="5" t="s">
        <v>304</v>
      </c>
      <c r="E24012" s="5" t="str">
        <f t="shared" si="1199"/>
        <v>UCIS DE COLOMBIA- ADULTO-NORBERTO GARCIA ROMERO</v>
      </c>
      <c r="F24012" s="5"/>
      <c r="G24012" s="5"/>
    </row>
    <row r="24013" spans="1:7" ht="58.5" customHeight="1" x14ac:dyDescent="0.25">
      <c r="A24013" s="5" t="str">
        <f>"H0028657"</f>
        <v>H0028657</v>
      </c>
      <c r="B24013" s="5" t="str">
        <f>"BOTÓN DE EMERGENCIA PÁNICO SOS FIJO WIRELESS"</f>
        <v>BOTÓN DE EMERGENCIA PÁNICO SOS FIJO WIRELESS</v>
      </c>
      <c r="C24013" s="6">
        <v>297500</v>
      </c>
      <c r="D24013" s="5" t="s">
        <v>87</v>
      </c>
      <c r="E24013" s="5" t="str">
        <f t="shared" si="1199"/>
        <v>UCIS DE COLOMBIA- ADULTO-NORBERTO GARCIA ROMERO</v>
      </c>
      <c r="F24013" s="5"/>
      <c r="G24013" s="5"/>
    </row>
    <row r="24014" spans="1:7" ht="58.5" customHeight="1" x14ac:dyDescent="0.25">
      <c r="A24014" s="5" t="str">
        <f>"H0028683"</f>
        <v>H0028683</v>
      </c>
      <c r="B24014" s="5" t="str">
        <f>"BOTÓN DE EMERGENCIA PÁNICO SOS MÓVIL WIRELESS"</f>
        <v>BOTÓN DE EMERGENCIA PÁNICO SOS MÓVIL WIRELESS</v>
      </c>
      <c r="C24014" s="6">
        <v>47600</v>
      </c>
      <c r="D24014" s="5" t="s">
        <v>87</v>
      </c>
      <c r="E24014" s="5" t="str">
        <f t="shared" si="1199"/>
        <v>UCIS DE COLOMBIA- ADULTO-NORBERTO GARCIA ROMERO</v>
      </c>
      <c r="F24014" s="5"/>
      <c r="G24014" s="5"/>
    </row>
    <row r="24015" spans="1:7" ht="58.5" customHeight="1" x14ac:dyDescent="0.25">
      <c r="A24015" s="5" t="str">
        <f>"H0034625"</f>
        <v>H0034625</v>
      </c>
      <c r="B24015" s="5" t="str">
        <f>"Sistema Medicinal de Aire Comprimido de Scroll, Exento de Aceite, Quadruplex 7.5 HP (60Hz), 4 X 7.5 HP (60Hz)"</f>
        <v>Sistema Medicinal de Aire Comprimido de Scroll, Exento de Aceite, Quadruplex 7.5 HP (60Hz), 4 X 7.5 HP (60Hz)</v>
      </c>
      <c r="C24015" s="6">
        <v>357250000</v>
      </c>
      <c r="D24015" s="5" t="s">
        <v>234</v>
      </c>
      <c r="E24015" s="5" t="str">
        <f t="shared" si="1199"/>
        <v>UCIS DE COLOMBIA- ADULTO-NORBERTO GARCIA ROMERO</v>
      </c>
      <c r="F24015" s="5"/>
      <c r="G24015" s="5"/>
    </row>
    <row r="24016" spans="1:7" ht="58.5" customHeight="1" x14ac:dyDescent="0.25">
      <c r="A24016" s="5" t="str">
        <f>"H0028656"</f>
        <v>H0028656</v>
      </c>
      <c r="B24016" s="5" t="str">
        <f>"BOTÓN DE EMERGENCIA PÁNICO SOS FIJO WIRELESS"</f>
        <v>BOTÓN DE EMERGENCIA PÁNICO SOS FIJO WIRELESS</v>
      </c>
      <c r="C24016" s="6">
        <v>297500</v>
      </c>
      <c r="D24016" s="5" t="s">
        <v>87</v>
      </c>
      <c r="E24016" s="5" t="str">
        <f>"UCIS DE COLOMBIA- PEDIATRICA Y NEONATAL-NORBERTO GARCIA ROMERO"</f>
        <v>UCIS DE COLOMBIA- PEDIATRICA Y NEONATAL-NORBERTO GARCIA ROMERO</v>
      </c>
      <c r="F24016" s="5"/>
      <c r="G24016" s="5"/>
    </row>
    <row r="24017" spans="1:7" ht="58.5" customHeight="1" x14ac:dyDescent="0.25">
      <c r="A24017" s="5" t="str">
        <f>"H0028682"</f>
        <v>H0028682</v>
      </c>
      <c r="B24017" s="5" t="str">
        <f>"BOTÓN DE EMERGENCIA PÁNICO SOS MÓVIL WIRELESS"</f>
        <v>BOTÓN DE EMERGENCIA PÁNICO SOS MÓVIL WIRELESS</v>
      </c>
      <c r="C24017" s="6">
        <v>47600</v>
      </c>
      <c r="D24017" s="5" t="s">
        <v>87</v>
      </c>
      <c r="E24017" s="5" t="str">
        <f>"UCIS DE COLOMBIA- PEDIATRICA Y NEONATAL-NORBERTO GARCIA ROMERO"</f>
        <v>UCIS DE COLOMBIA- PEDIATRICA Y NEONATAL-NORBERTO GARCIA ROMERO</v>
      </c>
      <c r="F24017" s="5"/>
      <c r="G24017" s="5"/>
    </row>
    <row r="24018" spans="1:7" ht="58.5" customHeight="1" x14ac:dyDescent="0.25">
      <c r="A24018" s="5" t="str">
        <f>"H0028727"</f>
        <v>H0028727</v>
      </c>
      <c r="B24018" s="5" t="str">
        <f>"LÁMPARA RECARGABLE DE EMERGENCIA 60 BOMBILLOS LED LUZ BLANCA"</f>
        <v>LÁMPARA RECARGABLE DE EMERGENCIA 60 BOMBILLOS LED LUZ BLANCA</v>
      </c>
      <c r="C24018" s="6">
        <v>255850</v>
      </c>
      <c r="D24018" s="5" t="s">
        <v>87</v>
      </c>
      <c r="E24018" s="5" t="str">
        <f>"UCIS DE COLOMBIA- PEDIATRICA Y NEONATAL-NORBERTO GARCIA ROMERO"</f>
        <v>UCIS DE COLOMBIA- PEDIATRICA Y NEONATAL-NORBERTO GARCIA ROMERO</v>
      </c>
      <c r="F24018" s="5"/>
      <c r="G24018" s="5"/>
    </row>
    <row r="24019" spans="1:7" ht="58.5" customHeight="1" x14ac:dyDescent="0.25">
      <c r="A24019" s="5" t="str">
        <f>"H0028728"</f>
        <v>H0028728</v>
      </c>
      <c r="B24019" s="5" t="str">
        <f>"LÁMPARA RECARGABLE DE EMERGENCIA 60 BOMBILLOS LED LUZ BLANCA"</f>
        <v>LÁMPARA RECARGABLE DE EMERGENCIA 60 BOMBILLOS LED LUZ BLANCA</v>
      </c>
      <c r="C24019" s="6">
        <v>255850</v>
      </c>
      <c r="D24019" s="5" t="s">
        <v>87</v>
      </c>
      <c r="E24019" s="5" t="str">
        <f>"UCIS DE COLOMBIA- PEDIATRICA Y NEONATAL-NORBERTO GARCIA ROMERO"</f>
        <v>UCIS DE COLOMBIA- PEDIATRICA Y NEONATAL-NORBERTO GARCIA ROMERO</v>
      </c>
      <c r="F24019" s="5"/>
      <c r="G24019" s="5"/>
    </row>
    <row r="24020" spans="1:7" ht="58.5" customHeight="1" x14ac:dyDescent="0.25">
      <c r="A24020" s="5" t="str">
        <f>"H0019653"</f>
        <v>H0019653</v>
      </c>
      <c r="B24020" s="5" t="str">
        <f>"COMPUTADOR TODO EN UNO"</f>
        <v>COMPUTADOR TODO EN UNO</v>
      </c>
      <c r="C24020" s="6">
        <v>2470000</v>
      </c>
      <c r="D24020" s="5" t="s">
        <v>6</v>
      </c>
      <c r="E24020" s="5" t="str">
        <f>"MANTENIMIENTO -JESUS ELIAS ALVAREZ ARCE"</f>
        <v>MANTENIMIENTO -JESUS ELIAS ALVAREZ ARCE</v>
      </c>
      <c r="F24020" s="5" t="str">
        <f>"Descripcion:EQUIPO DE COMPUTO TODO EN UNO CON PROCESADOR INTEL i5 Estado: Bueno Placa anterior: 000037001 Material: PLASTICO DE POLIPROPILENO Color: NEGRO Referencia:  Observacion:  Placa anterior:, Placa nueva=H0019659, Descripcion:TECLADO, Serial:827919"&amp; "6, Marca:LENOVO, Modelo:KU-0225, Material:PLASTICO DE POLIPROPILENO, Color:NEGRO,   Referencia:, Placa anterior:, Placa nueva=H0019660, Descripcion:MOUSE, Serial:44PD082, Marca:LENOVO, Modelo:MOEUUOA, Material:PLASTICO DE POLIPROPILENO, Color:NEGRO,   Ref"&amp; "erencia: Placa padre:  Tipo adquisicion : Entidad"</f>
        <v>Descripcion:EQUIPO DE COMPUTO TODO EN UNO CON PROCESADOR INTEL i5 Estado: Bueno Placa anterior: 000037001 Material: PLASTICO DE POLIPROPILENO Color: NEGRO Referencia:  Observacion:  Placa anterior:, Placa nueva=H0019659, Descripcion:TECLADO, Serial:8279196, Marca:LENOVO, Modelo:KU-0225, Material:PLASTICO DE POLIPROPILENO, Color:NEGRO,   Referencia:, Placa anterior:, Placa nueva=H0019660, Descripcion:MOUSE, Serial:44PD082, Marca:LENOVO, Modelo:MOEUUOA, Material:PLASTICO DE POLIPROPILENO, Color:NEGRO,   Referencia: Placa padre:  Tipo adquisicion : Entidad</v>
      </c>
      <c r="G24020" s="5" t="str">
        <f>"THINKCENTRE"</f>
        <v>THINKCENTRE</v>
      </c>
    </row>
    <row r="24021" spans="1:7" ht="58.5" customHeight="1" x14ac:dyDescent="0.25">
      <c r="A24021" s="5" t="str">
        <f>"H0027616"</f>
        <v>H0027616</v>
      </c>
      <c r="B24021" s="5" t="str">
        <f>"TALADRO  1/2 DEWALL"</f>
        <v>TALADRO  1/2 DEWALL</v>
      </c>
      <c r="C24021" s="6">
        <v>916500.07</v>
      </c>
      <c r="D24021" s="5" t="s">
        <v>747</v>
      </c>
      <c r="E24021" s="5" t="str">
        <f>"MANTENIMIENTO -JESUS ELIAS ALVAREZ ARCE"</f>
        <v>MANTENIMIENTO -JESUS ELIAS ALVAREZ ARCE</v>
      </c>
      <c r="F24021" s="5"/>
      <c r="G24021" s="5"/>
    </row>
    <row r="24022" spans="1:7" ht="58.5" customHeight="1" x14ac:dyDescent="0.25">
      <c r="A24022" s="5" t="str">
        <f>"H0020393"</f>
        <v>H0020393</v>
      </c>
      <c r="B24022" s="5" t="str">
        <f>"ESTANTE METALICO 6 ENTREPAÑOS"</f>
        <v>ESTANTE METALICO 6 ENTREPAÑOS</v>
      </c>
      <c r="C24022" s="6">
        <v>37673</v>
      </c>
      <c r="D24022" s="5"/>
      <c r="E24022" s="5" t="str">
        <f t="shared" ref="E24022:E24033" si="1200">"ACTISALUD- MANTENIMIENTO PLOMERIA-CIRO RIOS"</f>
        <v>ACTISALUD- MANTENIMIENTO PLOMERIA-CIRO RIOS</v>
      </c>
      <c r="F24022" s="5" t="str">
        <f>"Descripcion:ESTANTE METALICO DE 6 ENTREPAÑOS Estado: Bueno Placa anterior: 000000864 Material: METALICO Color: GRIS Referencia:  Observacion: EL BIEN TIENE PLACA ANTERIOR 000000861 Placa padre:  Tipo adquisicion : Entidad"</f>
        <v>Descripcion:ESTANTE METALICO DE 6 ENTREPAÑOS Estado: Bueno Placa anterior: 000000864 Material: METALICO Color: GRIS Referencia:  Observacion: EL BIEN TIENE PLACA ANTERIOR 000000861 Placa padre:  Tipo adquisicion : Entidad</v>
      </c>
      <c r="G24022" s="5"/>
    </row>
    <row r="24023" spans="1:7" ht="58.5" customHeight="1" x14ac:dyDescent="0.25">
      <c r="A24023" s="5" t="str">
        <f>"H0020397"</f>
        <v>H0020397</v>
      </c>
      <c r="B24023" s="5" t="str">
        <f>"ESTANTE METALICO 5 ENTREPAÑOS"</f>
        <v>ESTANTE METALICO 5 ENTREPAÑOS</v>
      </c>
      <c r="C24023" s="6">
        <v>6916.85</v>
      </c>
      <c r="D24023" s="5"/>
      <c r="E24023" s="5" t="str">
        <f t="shared" si="1200"/>
        <v>ACTISALUD- MANTENIMIENTO PLOMERIA-CIRO RIOS</v>
      </c>
      <c r="F24023" s="5" t="str">
        <f>"Descripcion:ESTANTE METALICO DE 5 ENTREPAÑOS Estado: Bueno Placa anterior: 000012578 Material: METALICO Color: GRIS Referencia:  Observacion:  Placa padre:  Tipo adquisicion : Entidad"</f>
        <v>Descripcion:ESTANTE METALICO DE 5 ENTREPAÑOS Estado: Bueno Placa anterior: 000012578 Material: METALICO Color: GRIS Referencia:  Observacion:  Placa padre:  Tipo adquisicion : Entidad</v>
      </c>
      <c r="G24023" s="5"/>
    </row>
    <row r="24024" spans="1:7" ht="58.5" customHeight="1" x14ac:dyDescent="0.25">
      <c r="A24024" s="5" t="str">
        <f>"H0020398"</f>
        <v>H0020398</v>
      </c>
      <c r="B24024" s="5" t="str">
        <f>"ESTANTE METALICO 5 ENTREPAÑOS"</f>
        <v>ESTANTE METALICO 5 ENTREPAÑOS</v>
      </c>
      <c r="C24024" s="6">
        <v>22189.18</v>
      </c>
      <c r="D24024" s="5"/>
      <c r="E24024" s="5" t="str">
        <f t="shared" si="1200"/>
        <v>ACTISALUD- MANTENIMIENTO PLOMERIA-CIRO RIOS</v>
      </c>
      <c r="F24024" s="5" t="str">
        <f>"Descripcion:ESTANTE METALICO DE 5 ENTREPAÑOS Estado: Inservible Placa anterior: 000004991 Material: METALICO Color: GRIS Referencia:  Observacion: EL BIEN TIENE PLACA ANTERIOR 000008706  AUTORIZADO CONCILIAR EN CRUCE GENERAL Placa padre:  Tipo adquisicion"&amp; " : Entidad"</f>
        <v>Descripcion:ESTANTE METALICO DE 5 ENTREPAÑOS Estado: Inservible Placa anterior: 000004991 Material: METALICO Color: GRIS Referencia:  Observacion: EL BIEN TIENE PLACA ANTERIOR 000008706  AUTORIZADO CONCILIAR EN CRUCE GENERAL Placa padre:  Tipo adquisicion : Entidad</v>
      </c>
      <c r="G24024" s="5"/>
    </row>
    <row r="24025" spans="1:7" ht="58.5" customHeight="1" x14ac:dyDescent="0.25">
      <c r="A24025" s="5" t="str">
        <f>"H0020401"</f>
        <v>H0020401</v>
      </c>
      <c r="B24025" s="5" t="str">
        <f>"PROBADOR DE BILLETES"</f>
        <v>PROBADOR DE BILLETES</v>
      </c>
      <c r="C24025" s="6">
        <v>38000</v>
      </c>
      <c r="D24025" s="5"/>
      <c r="E24025" s="5" t="str">
        <f t="shared" si="1200"/>
        <v>ACTISALUD- MANTENIMIENTO PLOMERIA-CIRO RIOS</v>
      </c>
      <c r="F24025" s="5" t="str">
        <f>"Descripcion:PROBADOR DE BILLETES Estado: Bueno Placa anterior: 000009659 Material: METALICO Color: AZUL Referencia:  Observacion:  Placa padre:  Tipo adquisicion : Entidad"</f>
        <v>Descripcion:PROBADOR DE BILLETES Estado: Bueno Placa anterior: 000009659 Material: METALICO Color: AZUL Referencia:  Observacion:  Placa padre:  Tipo adquisicion : Entidad</v>
      </c>
      <c r="G24025" s="5"/>
    </row>
    <row r="24026" spans="1:7" ht="58.5" customHeight="1" x14ac:dyDescent="0.25">
      <c r="A24026" s="5" t="str">
        <f>"H0020402"</f>
        <v>H0020402</v>
      </c>
      <c r="B24026" s="5" t="str">
        <f>"CARRO TRANSPORTE DE MEDICAMENTOS"</f>
        <v>CARRO TRANSPORTE DE MEDICAMENTOS</v>
      </c>
      <c r="C24026" s="6">
        <v>16300</v>
      </c>
      <c r="D24026" s="5"/>
      <c r="E24026" s="5" t="str">
        <f t="shared" si="1200"/>
        <v>ACTISALUD- MANTENIMIENTO PLOMERIA-CIRO RIOS</v>
      </c>
      <c r="F24026" s="5" t="str">
        <f>"Descripcion:CARRO DE TRANSPORTE DE MEDICAMENTOS UTILIZADO PARA GUARDAR TORNILLOS Estado: Bueno Placa anterior: 000018976 Material: ACERO INOXIDABLE Color: METAL Referencia:  Observacion:  Placa padre:  Tipo adquisicion : Entidad"</f>
        <v>Descripcion:CARRO DE TRANSPORTE DE MEDICAMENTOS UTILIZADO PARA GUARDAR TORNILLOS Estado: Bueno Placa anterior: 000018976 Material: ACERO INOXIDABLE Color: METAL Referencia:  Observacion:  Placa padre:  Tipo adquisicion : Entidad</v>
      </c>
      <c r="G24026" s="5"/>
    </row>
    <row r="24027" spans="1:7" ht="58.5" customHeight="1" x14ac:dyDescent="0.25">
      <c r="A24027" s="5" t="str">
        <f>"H0020403"</f>
        <v>H0020403</v>
      </c>
      <c r="B24027" s="5" t="str">
        <f>"LOCKER DE 3 COMPARTIMIENTOS"</f>
        <v>LOCKER DE 3 COMPARTIMIENTOS</v>
      </c>
      <c r="C24027" s="6">
        <v>9130</v>
      </c>
      <c r="D24027" s="5"/>
      <c r="E24027" s="5" t="str">
        <f t="shared" si="1200"/>
        <v>ACTISALUD- MANTENIMIENTO PLOMERIA-CIRO RIOS</v>
      </c>
      <c r="F24027" s="5" t="str">
        <f>"Descripcion:LOCKER TIPO B (3 PUESTOS) Estado: Bueno Placa anterior: 000019186 Material: METALICO Color: GRIS Referencia:  Observacion:  Placa padre:  Tipo adquisicion : Entidad"</f>
        <v>Descripcion:LOCKER TIPO B (3 PUESTOS) Estado: Bueno Placa anterior: 000019186 Material: METALICO Color: GRIS Referencia:  Observacion:  Placa padre:  Tipo adquisicion : Entidad</v>
      </c>
      <c r="G24027" s="5"/>
    </row>
    <row r="24028" spans="1:7" ht="58.5" customHeight="1" x14ac:dyDescent="0.25">
      <c r="A24028" s="5" t="str">
        <f>"H0020406"</f>
        <v>H0020406</v>
      </c>
      <c r="B24028" s="5" t="str">
        <f>"ESTANTE METALICO 3 ENTREPAÑOS"</f>
        <v>ESTANTE METALICO 3 ENTREPAÑOS</v>
      </c>
      <c r="C24028" s="6">
        <v>37633</v>
      </c>
      <c r="D24028" s="5"/>
      <c r="E24028" s="5" t="str">
        <f t="shared" si="1200"/>
        <v>ACTISALUD- MANTENIMIENTO PLOMERIA-CIRO RIOS</v>
      </c>
      <c r="F24028" s="5" t="str">
        <f>"Descripcion:ESTANTE DE ALUMINIO DE 3 ENTREPAÑOS Estado: Bueno Placa anterior: 000000941 Material: ALUMINIO Color: METAL Referencia:  Observacion: EL BIEN TIENE PLACA ANTERIOR 000006761 Placa padre:  Tipo adquisicion : Entidad"</f>
        <v>Descripcion:ESTANTE DE ALUMINIO DE 3 ENTREPAÑOS Estado: Bueno Placa anterior: 000000941 Material: ALUMINIO Color: METAL Referencia:  Observacion: EL BIEN TIENE PLACA ANTERIOR 000006761 Placa padre:  Tipo adquisicion : Entidad</v>
      </c>
      <c r="G24028" s="5"/>
    </row>
    <row r="24029" spans="1:7" ht="58.5" customHeight="1" x14ac:dyDescent="0.25">
      <c r="A24029" s="5" t="str">
        <f>"H0020407"</f>
        <v>H0020407</v>
      </c>
      <c r="B24029" s="5" t="str">
        <f>"MESA (CARRO) DE CURACIONES"</f>
        <v>MESA (CARRO) DE CURACIONES</v>
      </c>
      <c r="C24029" s="6">
        <v>37276</v>
      </c>
      <c r="D24029" s="5"/>
      <c r="E24029" s="5" t="str">
        <f t="shared" si="1200"/>
        <v>ACTISALUD- MANTENIMIENTO PLOMERIA-CIRO RIOS</v>
      </c>
      <c r="F24029" s="5" t="str">
        <f>"Descripcion:MESA METALICA CON RODACHINES Estado: Bueno Placa anterior: 000027682 Material: METALICO Color:  Referencia:  Observacion:  Placa padre:  Tipo adquisicion : Entidad"</f>
        <v>Descripcion:MESA METALICA CON RODACHINES Estado: Bueno Placa anterior: 000027682 Material: METALICO Color:  Referencia:  Observacion:  Placa padre:  Tipo adquisicion : Entidad</v>
      </c>
      <c r="G24029" s="5"/>
    </row>
    <row r="24030" spans="1:7" ht="58.5" customHeight="1" x14ac:dyDescent="0.25">
      <c r="A24030" s="5" t="str">
        <f>"H0022319"</f>
        <v>H0022319</v>
      </c>
      <c r="B24030" s="5" t="str">
        <f>"TALADRO ATORNILLADOR INALAMBRICO"</f>
        <v>TALADRO ATORNILLADOR INALAMBRICO</v>
      </c>
      <c r="C24030" s="6">
        <v>359600</v>
      </c>
      <c r="D24030" s="5" t="s">
        <v>393</v>
      </c>
      <c r="E24030" s="5" t="str">
        <f t="shared" si="1200"/>
        <v>ACTISALUD- MANTENIMIENTO PLOMERIA-CIRO RIOS</v>
      </c>
      <c r="F24030" s="5"/>
      <c r="G24030" s="5"/>
    </row>
    <row r="24031" spans="1:7" ht="58.5" customHeight="1" x14ac:dyDescent="0.25">
      <c r="A24031" s="5" t="str">
        <f>"H0022320"</f>
        <v>H0022320</v>
      </c>
      <c r="B24031" s="5" t="str">
        <f>"PULIDORA 4. ½"</f>
        <v>PULIDORA 4. ½</v>
      </c>
      <c r="C24031" s="6">
        <v>348000</v>
      </c>
      <c r="D24031" s="5" t="s">
        <v>740</v>
      </c>
      <c r="E24031" s="5" t="str">
        <f t="shared" si="1200"/>
        <v>ACTISALUD- MANTENIMIENTO PLOMERIA-CIRO RIOS</v>
      </c>
      <c r="F24031" s="5"/>
      <c r="G24031" s="5"/>
    </row>
    <row r="24032" spans="1:7" ht="58.5" customHeight="1" x14ac:dyDescent="0.25">
      <c r="A24032" s="5" t="str">
        <f>"H0030047"</f>
        <v>H0030047</v>
      </c>
      <c r="B24032" s="5" t="str">
        <f>"TALADRO PERCUT. 12V INALAMBRICO"</f>
        <v>TALADRO PERCUT. 12V INALAMBRICO</v>
      </c>
      <c r="C24032" s="6">
        <v>560000.23</v>
      </c>
      <c r="D24032" s="5" t="s">
        <v>929</v>
      </c>
      <c r="E24032" s="5" t="str">
        <f t="shared" si="1200"/>
        <v>ACTISALUD- MANTENIMIENTO PLOMERIA-CIRO RIOS</v>
      </c>
      <c r="F24032" s="5"/>
      <c r="G24032" s="5"/>
    </row>
    <row r="24033" spans="1:7" ht="58.5" customHeight="1" x14ac:dyDescent="0.25">
      <c r="A24033" s="5" t="str">
        <f>"H0031810"</f>
        <v>H0031810</v>
      </c>
      <c r="B24033" s="5" t="str">
        <f>"SILLA ERGONOMICAS PARA COMPUTADOR"</f>
        <v>SILLA ERGONOMICAS PARA COMPUTADOR</v>
      </c>
      <c r="C24033" s="6">
        <v>264999.90000000002</v>
      </c>
      <c r="D24033" s="5" t="s">
        <v>43</v>
      </c>
      <c r="E24033" s="5" t="str">
        <f t="shared" si="1200"/>
        <v>ACTISALUD- MANTENIMIENTO PLOMERIA-CIRO RIOS</v>
      </c>
      <c r="F24033" s="5"/>
      <c r="G24033" s="5"/>
    </row>
    <row r="24034" spans="1:7" ht="58.5" customHeight="1" x14ac:dyDescent="0.25">
      <c r="A24034" s="5" t="str">
        <f>"H0027280"</f>
        <v>H0027280</v>
      </c>
      <c r="B24034" s="5" t="str">
        <f>"TALADRO PERCUTOR DE 1/2 18V 115NM"</f>
        <v>TALADRO PERCUTOR DE 1/2 18V 115NM</v>
      </c>
      <c r="C24034" s="6">
        <v>499900.03</v>
      </c>
      <c r="D24034" s="5" t="s">
        <v>759</v>
      </c>
      <c r="E24034" s="5" t="str">
        <f>"ACTISALUD - MANTENIMIENTO ELEMENTOS"</f>
        <v>ACTISALUD - MANTENIMIENTO ELEMENTOS</v>
      </c>
      <c r="F24034" s="5"/>
      <c r="G24034" s="5"/>
    </row>
    <row r="24035" spans="1:7" ht="58.5" customHeight="1" x14ac:dyDescent="0.25">
      <c r="A24035" s="5" t="str">
        <f>"H0000102"</f>
        <v>H0000102</v>
      </c>
      <c r="B24035" s="5" t="str">
        <f>"VITRINA DE 1 CUERPO"</f>
        <v>VITRINA DE 1 CUERPO</v>
      </c>
      <c r="C24035" s="6">
        <v>20208.78</v>
      </c>
      <c r="D24035" s="5"/>
      <c r="E24035" s="5" t="str">
        <f t="shared" ref="E24035:E24066" si="1201">"DOCENCIA E INVESTIGACION-FRANCY ARCHILA"</f>
        <v>DOCENCIA E INVESTIGACION-FRANCY ARCHILA</v>
      </c>
      <c r="F24035" s="5" t="str">
        <f>"Descripcion: VITRINA DE UN CUERPO, 2 PUERTAS, 1 GABETA MEDIDAS: 160.5X50X30CM Estado: Bueno Placa anterior: 000005786 Material: METALICA Color: BEIGE Referencia:  Observacion:  Placa padre: Tipo adquisicion: Entidad"</f>
        <v>Descripcion: VITRINA DE UN CUERPO, 2 PUERTAS, 1 GABETA MEDIDAS: 160.5X50X30CM Estado: Bueno Placa anterior: 000005786 Material: METALICA Color: BEIGE Referencia:  Observacion:  Placa padre: Tipo adquisicion: Entidad</v>
      </c>
      <c r="G24035" s="5"/>
    </row>
    <row r="24036" spans="1:7" ht="58.5" customHeight="1" x14ac:dyDescent="0.25">
      <c r="A24036" s="5" t="str">
        <f>"H0000224"</f>
        <v>H0000224</v>
      </c>
      <c r="B24036" s="5" t="str">
        <f>"NEVERA 8 PIES (226LT)"</f>
        <v>NEVERA 8 PIES (226LT)</v>
      </c>
      <c r="C24036" s="6">
        <v>264999.64</v>
      </c>
      <c r="D24036" s="5"/>
      <c r="E24036" s="5" t="str">
        <f t="shared" si="1201"/>
        <v>DOCENCIA E INVESTIGACION-FRANCY ARCHILA</v>
      </c>
      <c r="F24036" s="5" t="str">
        <f>"Descripcion: NEVERA PHILIPS DE 8 PIES, COLOR BEIGE DE 1 PUERTA Estado: Bueno Placa anterior: 000005840 Material: METALICO Color: BEIGE Referencia:  Observacion:  Placa padre: Tipo adquisicion: Entidad"</f>
        <v>Descripcion: NEVERA PHILIPS DE 8 PIES, COLOR BEIGE DE 1 PUERTA Estado: Bueno Placa anterior: 000005840 Material: METALICO Color: BEIGE Referencia:  Observacion:  Placa padre: Tipo adquisicion: Entidad</v>
      </c>
      <c r="G24036" s="5" t="str">
        <f>"ST-908"</f>
        <v>ST-908</v>
      </c>
    </row>
    <row r="24037" spans="1:7" ht="58.5" customHeight="1" x14ac:dyDescent="0.25">
      <c r="A24037" s="5" t="str">
        <f>"H0000794"</f>
        <v>H0000794</v>
      </c>
      <c r="B24037" s="5" t="str">
        <f>"ESCRITORIO DE MADERA 3 GAVETAS"</f>
        <v>ESCRITORIO DE MADERA 3 GAVETAS</v>
      </c>
      <c r="C24037" s="6">
        <v>25412</v>
      </c>
      <c r="D24037" s="5"/>
      <c r="E24037" s="5" t="str">
        <f t="shared" si="1201"/>
        <v>DOCENCIA E INVESTIGACION-FRANCY ARCHILA</v>
      </c>
      <c r="F24037" s="5" t="str">
        <f>"Descripcion: ESCRITORIO MADERA 3 GAVETAS MEDIDAS 75X120X60CM Estado: Bueno Placa anterior: 000002434 Material: MADERA Color: NEGRO CON BLANCO Referencia:  Observacion:  Placa padre: Tipo adquisicion: Entidad"</f>
        <v>Descripcion: ESCRITORIO MADERA 3 GAVETAS MEDIDAS 75X120X60CM Estado: Bueno Placa anterior: 000002434 Material: MADERA Color: NEGRO CON BLANCO Referencia:  Observacion:  Placa padre: Tipo adquisicion: Entidad</v>
      </c>
      <c r="G24037" s="5"/>
    </row>
    <row r="24038" spans="1:7" ht="58.5" customHeight="1" x14ac:dyDescent="0.25">
      <c r="A24038" s="5" t="str">
        <f>"H0000805"</f>
        <v>H0000805</v>
      </c>
      <c r="B24038" s="5" t="str">
        <f>"IMPRESORA LASER"</f>
        <v>IMPRESORA LASER</v>
      </c>
      <c r="C24038" s="6">
        <v>657102</v>
      </c>
      <c r="D24038" s="5" t="s">
        <v>240</v>
      </c>
      <c r="E24038" s="5" t="str">
        <f t="shared" si="1201"/>
        <v>DOCENCIA E INVESTIGACION-FRANCY ARCHILA</v>
      </c>
      <c r="F24038" s="5" t="str">
        <f>"Descripcion: IMPRESORA LASER EN BLANCO Y NEGRO CON CAPACIDAD DE IMPRESION A DOBLE CARA AUTOMATICA, COMPATIBLE CON WINDOWS XP Y WINDOWS 7 RECOMENDADA (HP1006) Estado: Bueno Placa anterior: 000030016 Material:  Color: NEGRO Referencia:  Observacion:  Placa "&amp; "padre: Tipo adquisicion: Entidad"</f>
        <v>Descripcion: IMPRESORA LASER EN BLANCO Y NEGRO CON CAPACIDAD DE IMPRESION A DOBLE CARA AUTOMATICA, COMPATIBLE CON WINDOWS XP Y WINDOWS 7 RECOMENDADA (HP1006) Estado: Bueno Placa anterior: 000030016 Material:  Color: NEGRO Referencia:  Observacion:  Placa padre: Tipo adquisicion: Entidad</v>
      </c>
      <c r="G24038" s="5" t="str">
        <f>"HP LASERJET P1606DN"</f>
        <v>HP LASERJET P1606DN</v>
      </c>
    </row>
    <row r="24039" spans="1:7" ht="58.5" customHeight="1" x14ac:dyDescent="0.25">
      <c r="A24039" s="5" t="str">
        <f>"H0000821"</f>
        <v>H0000821</v>
      </c>
      <c r="B24039" s="5" t="str">
        <f>"LOCKER DE 3 COMPARTIMIENTOS"</f>
        <v>LOCKER DE 3 COMPARTIMIENTOS</v>
      </c>
      <c r="C24039" s="6">
        <v>17000</v>
      </c>
      <c r="D24039" s="5"/>
      <c r="E24039" s="5" t="str">
        <f t="shared" si="1201"/>
        <v>DOCENCIA E INVESTIGACION-FRANCY ARCHILA</v>
      </c>
      <c r="F24039" s="5" t="str">
        <f>"Descripcion: LOCKER TIPO B (3 PUESTOS) Estado: Bueno Placa anterior: 000005926 Material: METALICO Color: BEIGE Referencia:  Observacion:  Placa padre: Tipo adquisicion: Entidad"</f>
        <v>Descripcion: LOCKER TIPO B (3 PUESTOS) Estado: Bueno Placa anterior: 000005926 Material: METALICO Color: BEIGE Referencia:  Observacion:  Placa padre: Tipo adquisicion: Entidad</v>
      </c>
      <c r="G24039" s="5" t="str">
        <f>"3 COMPARTIMIENTOS"</f>
        <v>3 COMPARTIMIENTOS</v>
      </c>
    </row>
    <row r="24040" spans="1:7" ht="58.5" customHeight="1" x14ac:dyDescent="0.25">
      <c r="A24040" s="5" t="str">
        <f>"H0001067"</f>
        <v>H0001067</v>
      </c>
      <c r="B24040" s="5" t="str">
        <f>"MESA METALICA"</f>
        <v>MESA METALICA</v>
      </c>
      <c r="C24040" s="6">
        <v>417600</v>
      </c>
      <c r="D24040" s="5" t="s">
        <v>34</v>
      </c>
      <c r="E24040" s="5" t="str">
        <f t="shared" si="1201"/>
        <v>DOCENCIA E INVESTIGACION-FRANCY ARCHILA</v>
      </c>
      <c r="F24040" s="5" t="str">
        <f>"Descripcion: MESA METALICA CUADRADA BASE FORMICA MEDIDAS: 41X75X75CM Estado: Bueno Placa anterior: 000030386 Material: METALICO CON MESON FORMICA Color: FRIS CON MADERA OSCURO Referencia:  Observacion:  Placa padre: Tipo adquisicion: Entidad"</f>
        <v>Descripcion: MESA METALICA CUADRADA BASE FORMICA MEDIDAS: 41X75X75CM Estado: Bueno Placa anterior: 000030386 Material: METALICO CON MESON FORMICA Color: FRIS CON MADERA OSCURO Referencia:  Observacion:  Placa padre: Tipo adquisicion: Entidad</v>
      </c>
      <c r="G24040" s="5"/>
    </row>
    <row r="24041" spans="1:7" ht="58.5" customHeight="1" x14ac:dyDescent="0.25">
      <c r="A24041" s="5" t="str">
        <f>"H0001070"</f>
        <v>H0001070</v>
      </c>
      <c r="B24041" s="5" t="str">
        <f>"SILLA INTERLOCUTORA (FIJA) SIN BRAZOS"</f>
        <v>SILLA INTERLOCUTORA (FIJA) SIN BRAZOS</v>
      </c>
      <c r="C24041" s="6">
        <v>81200</v>
      </c>
      <c r="D24041" s="5" t="s">
        <v>34</v>
      </c>
      <c r="E24041" s="5" t="str">
        <f t="shared" si="1201"/>
        <v>DOCENCIA E INVESTIGACION-FRANCY ARCHILA</v>
      </c>
      <c r="F24041" s="5" t="str">
        <f>"Descripcion: SILLA INTERLOCUTORA FIJA, METALICA COLOR NEGRO Estado: Bueno Placa anterior: 000030424 Material: TAPIZADO EN SEMICUERO Color: NEGRO Referencia:  Observacion:  Placa padre: Tipo adquisicion: Entidad"</f>
        <v>Descripcion: SILLA INTERLOCUTORA FIJA, METALICA COLOR NEGRO Estado: Bueno Placa anterior: 000030424 Material: TAPIZADO EN SEMICUERO Color: NEGRO Referencia:  Observacion:  Placa padre: Tipo adquisicion: Entidad</v>
      </c>
      <c r="G24041" s="5"/>
    </row>
    <row r="24042" spans="1:7" ht="58.5" customHeight="1" x14ac:dyDescent="0.25">
      <c r="A24042" s="5" t="str">
        <f>"H0001071"</f>
        <v>H0001071</v>
      </c>
      <c r="B24042" s="5" t="str">
        <f>"ESCRITORIO METALICO 3 GAVETAS"</f>
        <v>ESCRITORIO METALICO 3 GAVETAS</v>
      </c>
      <c r="C24042" s="6">
        <v>37975.519999999997</v>
      </c>
      <c r="D24042" s="5"/>
      <c r="E24042" s="5" t="str">
        <f t="shared" si="1201"/>
        <v>DOCENCIA E INVESTIGACION-FRANCY ARCHILA</v>
      </c>
      <c r="F24042" s="5" t="str">
        <f>"Descripcion: ESCRITORIO DE 3 GAVETAS METALICO MEDIDAS: 75.5X100X45CM Estado: Bueno Placa anterior: 000001343 Material: METALICO CON MESON EN FORMICA Color: GRIS CON MADERA OSCURO Referencia:  Observacion:  Placa padre: Tipo adquisicion: Entidad"</f>
        <v>Descripcion: ESCRITORIO DE 3 GAVETAS METALICO MEDIDAS: 75.5X100X45CM Estado: Bueno Placa anterior: 000001343 Material: METALICO CON MESON EN FORMICA Color: GRIS CON MADERA OSCURO Referencia:  Observacion:  Placa padre: Tipo adquisicion: Entidad</v>
      </c>
      <c r="G24042" s="5"/>
    </row>
    <row r="24043" spans="1:7" ht="58.5" customHeight="1" x14ac:dyDescent="0.25">
      <c r="A24043" s="5" t="str">
        <f>"H0001074"</f>
        <v>H0001074</v>
      </c>
      <c r="B24043" s="5" t="str">
        <f>"MESA METALICA"</f>
        <v>MESA METALICA</v>
      </c>
      <c r="C24043" s="6">
        <v>100108</v>
      </c>
      <c r="D24043" s="5"/>
      <c r="E24043" s="5" t="str">
        <f t="shared" si="1201"/>
        <v>DOCENCIA E INVESTIGACION-FRANCY ARCHILA</v>
      </c>
      <c r="F24043" s="5" t="str">
        <f>"Descripcion: MESA METALICA CUADRADA, MEDIDAS 74X65X50CM Estado: Bueno Placa anterior: 000023703 Material: METALICO CON MESON EN FORMICA Color: BEIGE CON MADERA OSCURO Referencia:  Observacion:  Placa padre: Tipo adquisicion: Entidad"</f>
        <v>Descripcion: MESA METALICA CUADRADA, MEDIDAS 74X65X50CM Estado: Bueno Placa anterior: 000023703 Material: METALICO CON MESON EN FORMICA Color: BEIGE CON MADERA OSCURO Referencia:  Observacion:  Placa padre: Tipo adquisicion: Entidad</v>
      </c>
      <c r="G24043" s="5"/>
    </row>
    <row r="24044" spans="1:7" ht="58.5" customHeight="1" x14ac:dyDescent="0.25">
      <c r="A24044" s="5" t="str">
        <f>"H0001079"</f>
        <v>H0001079</v>
      </c>
      <c r="B24044" s="5" t="str">
        <f>"SILLA INTERLOCUTORA (FIJA) SIN BRAZOS"</f>
        <v>SILLA INTERLOCUTORA (FIJA) SIN BRAZOS</v>
      </c>
      <c r="C24044" s="6">
        <v>7480</v>
      </c>
      <c r="D24044" s="5"/>
      <c r="E24044" s="5" t="str">
        <f t="shared" si="1201"/>
        <v>DOCENCIA E INVESTIGACION-FRANCY ARCHILA</v>
      </c>
      <c r="F24044" s="5" t="str">
        <f>"Descripcion: SILLA FIJA TIPO A COLOR MARRON Estado: Bueno Placa anterior: 000023119 Material: TAPIZADO EN SEMICUERO Color: MARRON Referencia:  Observacion:  Placa padre: Tipo adquisicion: Entidad"</f>
        <v>Descripcion: SILLA FIJA TIPO A COLOR MARRON Estado: Bueno Placa anterior: 000023119 Material: TAPIZADO EN SEMICUERO Color: MARRON Referencia:  Observacion:  Placa padre: Tipo adquisicion: Entidad</v>
      </c>
      <c r="G24044" s="5"/>
    </row>
    <row r="24045" spans="1:7" ht="58.5" customHeight="1" x14ac:dyDescent="0.25">
      <c r="A24045" s="5" t="str">
        <f>"H0001080"</f>
        <v>H0001080</v>
      </c>
      <c r="B24045" s="5" t="str">
        <f>"CAMA HOSPITALARIA 1 PLANO"</f>
        <v>CAMA HOSPITALARIA 1 PLANO</v>
      </c>
      <c r="C24045" s="6">
        <v>31017.14</v>
      </c>
      <c r="D24045" s="5"/>
      <c r="E24045" s="5" t="str">
        <f t="shared" si="1201"/>
        <v>DOCENCIA E INVESTIGACION-FRANCY ARCHILA</v>
      </c>
      <c r="F24045" s="5" t="str">
        <f>"Descripcion: CAMA HOSPITALIZACION CON BARANDAS  Estado: Bueno Placa anterior: 000027994 Material: METALICO CON CABECERA EN FORMICA Color: GRIS Referencia:  Observacion: AUTORIZADO CONCILIAR EN CRUCE GENERAL Placa padre: Tipo adquisicion: Entidad"</f>
        <v>Descripcion: CAMA HOSPITALIZACION CON BARANDAS  Estado: Bueno Placa anterior: 000027994 Material: METALICO CON CABECERA EN FORMICA Color: GRIS Referencia:  Observacion: AUTORIZADO CONCILIAR EN CRUCE GENERAL Placa padre: Tipo adquisicion: Entidad</v>
      </c>
      <c r="G24045" s="5"/>
    </row>
    <row r="24046" spans="1:7" ht="58.5" customHeight="1" x14ac:dyDescent="0.25">
      <c r="A24046" s="5" t="str">
        <f>"H0001086"</f>
        <v>H0001086</v>
      </c>
      <c r="B24046" s="5" t="str">
        <f>"SILLA INTERLOCUTORA (FIJA) SIN BRAZOS"</f>
        <v>SILLA INTERLOCUTORA (FIJA) SIN BRAZOS</v>
      </c>
      <c r="C24046" s="6">
        <v>81200</v>
      </c>
      <c r="D24046" s="5" t="s">
        <v>34</v>
      </c>
      <c r="E24046" s="5" t="str">
        <f t="shared" si="1201"/>
        <v>DOCENCIA E INVESTIGACION-FRANCY ARCHILA</v>
      </c>
      <c r="F24046" s="5" t="str">
        <f>"Descripcion: SILLA INTERLOCUTORA FIJA METALICA MARRON Estado: Bueno Placa anterior: 000030425 Material: TAPIZADA EN SEMICUERO Color: MARRON Referencia:  Observacion:  Placa padre: Tipo adquisicion: Entidad"</f>
        <v>Descripcion: SILLA INTERLOCUTORA FIJA METALICA MARRON Estado: Bueno Placa anterior: 000030425 Material: TAPIZADA EN SEMICUERO Color: MARRON Referencia:  Observacion:  Placa padre: Tipo adquisicion: Entidad</v>
      </c>
      <c r="G24046" s="5"/>
    </row>
    <row r="24047" spans="1:7" ht="58.5" customHeight="1" x14ac:dyDescent="0.25">
      <c r="A24047" s="5" t="str">
        <f>"H0001087"</f>
        <v>H0001087</v>
      </c>
      <c r="B24047" s="5" t="str">
        <f>"ESCRITORIO METALICO 2 GAVETAS"</f>
        <v>ESCRITORIO METALICO 2 GAVETAS</v>
      </c>
      <c r="C24047" s="6">
        <v>22166</v>
      </c>
      <c r="D24047" s="5"/>
      <c r="E24047" s="5" t="str">
        <f t="shared" si="1201"/>
        <v>DOCENCIA E INVESTIGACION-FRANCY ARCHILA</v>
      </c>
      <c r="F24047" s="5" t="str">
        <f>"Descripcion: ESCRITORIO METALICO DE 2 GAVETAS MEDIDAS: 74X147X64 Estado: Bueno Placa anterior: 000002747 Material: METALICA CON MESON EN FORMICA Color: GRIS CON BEIGE Referencia:  Observacion:  Placa padre: Tipo adquisicion: Entidad"</f>
        <v>Descripcion: ESCRITORIO METALICO DE 2 GAVETAS MEDIDAS: 74X147X64 Estado: Bueno Placa anterior: 000002747 Material: METALICA CON MESON EN FORMICA Color: GRIS CON BEIGE Referencia:  Observacion:  Placa padre: Tipo adquisicion: Entidad</v>
      </c>
      <c r="G24047" s="5"/>
    </row>
    <row r="24048" spans="1:7" ht="58.5" customHeight="1" x14ac:dyDescent="0.25">
      <c r="A24048" s="5" t="str">
        <f>"H0001090"</f>
        <v>H0001090</v>
      </c>
      <c r="B24048" s="5" t="str">
        <f>"ESCRITORIO METALICO 3 GAVETAS"</f>
        <v>ESCRITORIO METALICO 3 GAVETAS</v>
      </c>
      <c r="C24048" s="6">
        <v>37975.519999999997</v>
      </c>
      <c r="D24048" s="5"/>
      <c r="E24048" s="5" t="str">
        <f t="shared" si="1201"/>
        <v>DOCENCIA E INVESTIGACION-FRANCY ARCHILA</v>
      </c>
      <c r="F24048" s="5" t="str">
        <f>"Descripcion: ESCRITORIO METALICO 3 GAVETAS MEDIDAS 75X100X45CM Estado: Bueno Placa anterior: 000001342 Material: METAL CON MESON EN FORMICA Color: GRIS CON MADERA OSCURO Referencia:  Observacion:  Placa padre: Tipo adquisicion: Entidad"</f>
        <v>Descripcion: ESCRITORIO METALICO 3 GAVETAS MEDIDAS 75X100X45CM Estado: Bueno Placa anterior: 000001342 Material: METAL CON MESON EN FORMICA Color: GRIS CON MADERA OSCURO Referencia:  Observacion:  Placa padre: Tipo adquisicion: Entidad</v>
      </c>
      <c r="G24048" s="5"/>
    </row>
    <row r="24049" spans="1:7" ht="58.5" customHeight="1" x14ac:dyDescent="0.25">
      <c r="A24049" s="5" t="str">
        <f>"H0001091"</f>
        <v>H0001091</v>
      </c>
      <c r="B24049" s="5" t="str">
        <f>"SILLA INTERLOCUTORA (FIJA) SIN BRAZOS"</f>
        <v>SILLA INTERLOCUTORA (FIJA) SIN BRAZOS</v>
      </c>
      <c r="C24049" s="6">
        <v>81200</v>
      </c>
      <c r="D24049" s="5" t="s">
        <v>34</v>
      </c>
      <c r="E24049" s="5" t="str">
        <f t="shared" si="1201"/>
        <v>DOCENCIA E INVESTIGACION-FRANCY ARCHILA</v>
      </c>
      <c r="F24049" s="5" t="str">
        <f>"Descripcion: SILLA INTERLOCUTORA FIJA METALICA MARRON Estado: Bueno Placa anterior: 000030426 Material: TAPIZADO EN SEMICUERO Color: MARRON Referencia:  Observacion:  Placa padre: Tipo adquisicion: Entidad"</f>
        <v>Descripcion: SILLA INTERLOCUTORA FIJA METALICA MARRON Estado: Bueno Placa anterior: 000030426 Material: TAPIZADO EN SEMICUERO Color: MARRON Referencia:  Observacion:  Placa padre: Tipo adquisicion: Entidad</v>
      </c>
      <c r="G24049" s="5"/>
    </row>
    <row r="24050" spans="1:7" ht="58.5" customHeight="1" x14ac:dyDescent="0.25">
      <c r="A24050" s="5" t="str">
        <f>"H0001093"</f>
        <v>H0001093</v>
      </c>
      <c r="B24050" s="5" t="str">
        <f>"AIRE ACONDICIONADO TIPO VENTANA 12000 BTU"</f>
        <v>AIRE ACONDICIONADO TIPO VENTANA 12000 BTU</v>
      </c>
      <c r="C24050" s="6">
        <v>910000</v>
      </c>
      <c r="D24050" s="5"/>
      <c r="E24050" s="5" t="str">
        <f t="shared" si="1201"/>
        <v>DOCENCIA E INVESTIGACION-FRANCY ARCHILA</v>
      </c>
      <c r="F24050" s="5" t="str">
        <f>"Descripcion:    AIRE ACONDICIONADO TIPO VENTANA 12000 BTU Estado: Bueno Placa anterior: 000023368 Material:  Color: BLANCO Referencia:  Observacion: AUTORIZADO CONCILIAR EN CRUCE GENERAL  Placa padre: Tipo adquisicion: Entidad"</f>
        <v>Descripcion:    AIRE ACONDICIONADO TIPO VENTANA 12000 BTU Estado: Bueno Placa anterior: 000023368 Material:  Color: BLANCO Referencia:  Observacion: AUTORIZADO CONCILIAR EN CRUCE GENERAL  Placa padre: Tipo adquisicion: Entidad</v>
      </c>
      <c r="G24050" s="5" t="str">
        <f>"GOLD"</f>
        <v>GOLD</v>
      </c>
    </row>
    <row r="24051" spans="1:7" ht="58.5" customHeight="1" x14ac:dyDescent="0.25">
      <c r="A24051" s="5" t="str">
        <f>"H0001397"</f>
        <v>H0001397</v>
      </c>
      <c r="B24051" s="5" t="str">
        <f>"CAMA HOSPITALARIA 1 PLANO"</f>
        <v>CAMA HOSPITALARIA 1 PLANO</v>
      </c>
      <c r="C24051" s="6">
        <v>41726.67</v>
      </c>
      <c r="D24051" s="5"/>
      <c r="E24051" s="5" t="str">
        <f t="shared" si="1201"/>
        <v>DOCENCIA E INVESTIGACION-FRANCY ARCHILA</v>
      </c>
      <c r="F24051" s="5" t="str">
        <f>"Descripcion: CAMA HOSPITALARIA 4 PLANOS SIN BARANDA Estado: Bueno Placa anterior: 000033756 Material: METALICO Color: GRIS Referencia:  Observacion: AUTORIZADO CONCILIAR EN CRUCE GENERAL Placa padre: Tipo adquisicion: Entidad"</f>
        <v>Descripcion: CAMA HOSPITALARIA 4 PLANOS SIN BARANDA Estado: Bueno Placa anterior: 000033756 Material: METALICO Color: GRIS Referencia:  Observacion: AUTORIZADO CONCILIAR EN CRUCE GENERAL Placa padre: Tipo adquisicion: Entidad</v>
      </c>
      <c r="G24051" s="5"/>
    </row>
    <row r="24052" spans="1:7" ht="58.5" customHeight="1" x14ac:dyDescent="0.25">
      <c r="A24052" s="5" t="str">
        <f>"H0001398"</f>
        <v>H0001398</v>
      </c>
      <c r="B24052" s="5" t="str">
        <f>"CAMA HOSPITALARIA 4 PLANOS CON BARANDA"</f>
        <v>CAMA HOSPITALARIA 4 PLANOS CON BARANDA</v>
      </c>
      <c r="C24052" s="6">
        <v>31017.14</v>
      </c>
      <c r="D24052" s="5"/>
      <c r="E24052" s="5" t="str">
        <f t="shared" si="1201"/>
        <v>DOCENCIA E INVESTIGACION-FRANCY ARCHILA</v>
      </c>
      <c r="F24052" s="5" t="str">
        <f>"Descripcion: CAMA HOSPITALARIA 4 PLANOS CON BARANDA Estado: Bueno Placa anterior: 000027998 Material: METALICO  Color: GRIS Referencia:  Observacion: AUTORIZADO CONCILIAR EN CRUCE GENERAL Placa padre: Tipo adquisicion: Entidad"</f>
        <v>Descripcion: CAMA HOSPITALARIA 4 PLANOS CON BARANDA Estado: Bueno Placa anterior: 000027998 Material: METALICO  Color: GRIS Referencia:  Observacion: AUTORIZADO CONCILIAR EN CRUCE GENERAL Placa padre: Tipo adquisicion: Entidad</v>
      </c>
      <c r="G24052" s="5"/>
    </row>
    <row r="24053" spans="1:7" ht="58.5" customHeight="1" x14ac:dyDescent="0.25">
      <c r="A24053" s="5" t="str">
        <f>"H0001402"</f>
        <v>H0001402</v>
      </c>
      <c r="B24053" s="5" t="str">
        <f>"LOCKER DE 3 COMPARTIMIENTOS"</f>
        <v>LOCKER DE 3 COMPARTIMIENTOS</v>
      </c>
      <c r="C24053" s="6">
        <v>7304</v>
      </c>
      <c r="D24053" s="5"/>
      <c r="E24053" s="5" t="str">
        <f t="shared" si="1201"/>
        <v>DOCENCIA E INVESTIGACION-FRANCY ARCHILA</v>
      </c>
      <c r="F24053" s="5" t="str">
        <f>"Descripcion: LOCKER DE 3 COMPARTIMIENTO Estado: Bueno Placa anterior: 000019400 Material: METALICO Color: GRIS Referencia:  Observacion: PLACA ANTERIOR NO ENCONTRADA 000002565 , AUTORIZADO CONCILIAR EN CRUCE GENERAL Placa padre: Tipo adquisicion: Entidad"</f>
        <v>Descripcion: LOCKER DE 3 COMPARTIMIENTO Estado: Bueno Placa anterior: 000019400 Material: METALICO Color: GRIS Referencia:  Observacion: PLACA ANTERIOR NO ENCONTRADA 000002565 , AUTORIZADO CONCILIAR EN CRUCE GENERAL Placa padre: Tipo adquisicion: Entidad</v>
      </c>
      <c r="G24053" s="5"/>
    </row>
    <row r="24054" spans="1:7" ht="58.5" customHeight="1" x14ac:dyDescent="0.25">
      <c r="A24054" s="5" t="str">
        <f>"H0001407"</f>
        <v>H0001407</v>
      </c>
      <c r="B24054" s="5" t="str">
        <f>"ESCRITORIO METALICO 3 GAVETAS"</f>
        <v>ESCRITORIO METALICO 3 GAVETAS</v>
      </c>
      <c r="C24054" s="6">
        <v>26843.55</v>
      </c>
      <c r="D24054" s="5"/>
      <c r="E24054" s="5" t="str">
        <f t="shared" si="1201"/>
        <v>DOCENCIA E INVESTIGACION-FRANCY ARCHILA</v>
      </c>
      <c r="F24054" s="5" t="str">
        <f>"Descripcion: ESCRITORIO METALICO 3 GAVETAS CON MESON EN FORMICA. MEDIDAS 75.5X100X45CM Estado: Bueno Placa anterior: 000014091 Material: METALICO Color: GRIS CON MARRON Referencia:  Observacion: BIEN TIENE PLACA ANTERIOR  000021241 FUNCIONARIO AUTORIZA SE"&amp; " CONCILIE CON PLACA 000014091 Placa padre: Tipo adquisicion: Entidad"</f>
        <v>Descripcion: ESCRITORIO METALICO 3 GAVETAS CON MESON EN FORMICA. MEDIDAS 75.5X100X45CM Estado: Bueno Placa anterior: 000014091 Material: METALICO Color: GRIS CON MARRON Referencia:  Observacion: BIEN TIENE PLACA ANTERIOR  000021241 FUNCIONARIO AUTORIZA SE CONCILIE CON PLACA 000014091 Placa padre: Tipo adquisicion: Entidad</v>
      </c>
      <c r="G24054" s="5"/>
    </row>
    <row r="24055" spans="1:7" ht="58.5" customHeight="1" x14ac:dyDescent="0.25">
      <c r="A24055" s="5" t="str">
        <f>"H0001413"</f>
        <v>H0001413</v>
      </c>
      <c r="B24055" s="5" t="str">
        <f>"CAMA HOSPITALARIA 2 PLANOS"</f>
        <v>CAMA HOSPITALARIA 2 PLANOS</v>
      </c>
      <c r="C24055" s="6">
        <v>16005</v>
      </c>
      <c r="D24055" s="5"/>
      <c r="E24055" s="5" t="str">
        <f t="shared" si="1201"/>
        <v>DOCENCIA E INVESTIGACION-FRANCY ARCHILA</v>
      </c>
      <c r="F24055" s="5" t="str">
        <f>"Descripcion: CAMA HOSPITALARIA  Estado: Bueno Placa anterior: 000028620 Material: METALICO Color: GRIS Referencia:  Observacion: PLACA ANTERIOR NO ENCONTRADA 000019180 AUTORIZADO CONCILIAR EN CRUCE GENERAL Placa padre: Tipo adquisicion: Entidad"</f>
        <v>Descripcion: CAMA HOSPITALARIA  Estado: Bueno Placa anterior: 000028620 Material: METALICO Color: GRIS Referencia:  Observacion: PLACA ANTERIOR NO ENCONTRADA 000019180 AUTORIZADO CONCILIAR EN CRUCE GENERAL Placa padre: Tipo adquisicion: Entidad</v>
      </c>
      <c r="G24055" s="5"/>
    </row>
    <row r="24056" spans="1:7" ht="58.5" customHeight="1" x14ac:dyDescent="0.25">
      <c r="A24056" s="5" t="str">
        <f>"H0001414"</f>
        <v>H0001414</v>
      </c>
      <c r="B24056" s="5" t="str">
        <f>"AIRE ACONDICIONADO TIPO SPLIT 24000 BTU"</f>
        <v>AIRE ACONDICIONADO TIPO SPLIT 24000 BTU</v>
      </c>
      <c r="C24056" s="6">
        <v>1210000</v>
      </c>
      <c r="D24056" s="5" t="s">
        <v>835</v>
      </c>
      <c r="E24056" s="5" t="str">
        <f t="shared" si="1201"/>
        <v>DOCENCIA E INVESTIGACION-FRANCY ARCHILA</v>
      </c>
      <c r="F24056" s="5" t="str">
        <f>"Descripcion: AIRE ACONDICIONADO MINIPLITS JET COOL 24000 BTU UNIT OUTDOOR (NO FUNCIONA) Estado: Malo Placa anterior: 000030362 Material: PLASTICO Color: BLANCO Referencia:  Observacion:  Placa padre: Tipo adquisicion: Donacion"</f>
        <v>Descripcion: AIRE ACONDICIONADO MINIPLITS JET COOL 24000 BTU UNIT OUTDOOR (NO FUNCIONA) Estado: Malo Placa anterior: 000030362 Material: PLASTICO Color: BLANCO Referencia:  Observacion:  Placa padre: Tipo adquisicion: Donacion</v>
      </c>
      <c r="G24056" s="5"/>
    </row>
    <row r="24057" spans="1:7" ht="58.5" customHeight="1" x14ac:dyDescent="0.25">
      <c r="A24057" s="5" t="str">
        <f>"H0001420"</f>
        <v>H0001420</v>
      </c>
      <c r="B24057" s="5" t="str">
        <f>"LOCKER DE 9 COMPARTIMIENTOS"</f>
        <v>LOCKER DE 9 COMPARTIMIENTOS</v>
      </c>
      <c r="C24057" s="6">
        <v>374680</v>
      </c>
      <c r="D24057" s="5"/>
      <c r="E24057" s="5" t="str">
        <f t="shared" si="1201"/>
        <v>DOCENCIA E INVESTIGACION-FRANCY ARCHILA</v>
      </c>
      <c r="F24057" s="5" t="str">
        <f>"Descripcion: LOCKER DE 9 COMPARTIMIENTOS. 3 CUERPOS MEDIDAS: 181X91X30CM Estado: Bueno Placa anterior: 000022721 Material: METALICO  Color: BEIGE Referencia:  Observacion:  Placa padre: Tipo adquisicion: Entidad"</f>
        <v>Descripcion: LOCKER DE 9 COMPARTIMIENTOS. 3 CUERPOS MEDIDAS: 181X91X30CM Estado: Bueno Placa anterior: 000022721 Material: METALICO  Color: BEIGE Referencia:  Observacion:  Placa padre: Tipo adquisicion: Entidad</v>
      </c>
      <c r="G24057" s="5"/>
    </row>
    <row r="24058" spans="1:7" ht="58.5" customHeight="1" x14ac:dyDescent="0.25">
      <c r="A24058" s="5" t="str">
        <f>"H0001429"</f>
        <v>H0001429</v>
      </c>
      <c r="B24058" s="5" t="str">
        <f>"AIRE ACONDICIONADO 18000 BTU"</f>
        <v>AIRE ACONDICIONADO 18000 BTU</v>
      </c>
      <c r="C24058" s="6">
        <v>935000</v>
      </c>
      <c r="D24058" s="5" t="s">
        <v>930</v>
      </c>
      <c r="E24058" s="5" t="str">
        <f t="shared" si="1201"/>
        <v>DOCENCIA E INVESTIGACION-FRANCY ARCHILA</v>
      </c>
      <c r="F24058" s="5" t="str">
        <f>"Descripcion: AIRE ACONDICIONADO 18000 BTU MARCA LG Estado: Bueno Placa anterior: 000030466 Material: PLASTICO Color: BLANCO Referencia:  Observacion:  Placa padre: Tipo adquisicion: Donacion"</f>
        <v>Descripcion: AIRE ACONDICIONADO 18000 BTU MARCA LG Estado: Bueno Placa anterior: 000030466 Material: PLASTICO Color: BLANCO Referencia:  Observacion:  Placa padre: Tipo adquisicion: Donacion</v>
      </c>
      <c r="G24058" s="5"/>
    </row>
    <row r="24059" spans="1:7" ht="58.5" customHeight="1" x14ac:dyDescent="0.25">
      <c r="A24059" s="5" t="str">
        <f>"H0001430"</f>
        <v>H0001430</v>
      </c>
      <c r="B24059" s="5" t="str">
        <f>"LOCKER DE 3 COMPARTIMIENTOS"</f>
        <v>LOCKER DE 3 COMPARTIMIENTOS</v>
      </c>
      <c r="C24059" s="6">
        <v>7304</v>
      </c>
      <c r="D24059" s="5"/>
      <c r="E24059" s="5" t="str">
        <f t="shared" si="1201"/>
        <v>DOCENCIA E INVESTIGACION-FRANCY ARCHILA</v>
      </c>
      <c r="F24059" s="5" t="str">
        <f>"Descripcion: LOCKER DE 3 COMPARTIMIENTOS MEDIDAS:171X40.5X50CM Estado: Bueno Placa anterior: 000019373 Material: METALICO Color: GRIS Referencia:  Observacion: AUTORIZADO CONCILIAR EN CRUCE GENERAL Placa padre: Tipo adquisicion: Entidad"</f>
        <v>Descripcion: LOCKER DE 3 COMPARTIMIENTOS MEDIDAS:171X40.5X50CM Estado: Bueno Placa anterior: 000019373 Material: METALICO Color: GRIS Referencia:  Observacion: AUTORIZADO CONCILIAR EN CRUCE GENERAL Placa padre: Tipo adquisicion: Entidad</v>
      </c>
      <c r="G24059" s="5"/>
    </row>
    <row r="24060" spans="1:7" ht="58.5" customHeight="1" x14ac:dyDescent="0.25">
      <c r="A24060" s="5" t="str">
        <f>"H0001434"</f>
        <v>H0001434</v>
      </c>
      <c r="B24060" s="5" t="str">
        <f>"ARCHIVADOR METALICO 3 GAVETAS"</f>
        <v>ARCHIVADOR METALICO 3 GAVETAS</v>
      </c>
      <c r="C24060" s="6">
        <v>26843.5</v>
      </c>
      <c r="D24060" s="5"/>
      <c r="E24060" s="5" t="str">
        <f t="shared" si="1201"/>
        <v>DOCENCIA E INVESTIGACION-FRANCY ARCHILA</v>
      </c>
      <c r="F24060" s="5" t="str">
        <f>"Descripcion: ARCHIVADOR METALICO 3 GAVETAS MEDIDAS: 103X46X70CM Estado: Bueno Placa anterior: 000001225 Material: METALICO Color: AZUL Referencia:  Observacion: AUTORIZADO CONCILIAR EN CRUCE GENERAL Placa padre: Tipo adquisicion: Entidad"</f>
        <v>Descripcion: ARCHIVADOR METALICO 3 GAVETAS MEDIDAS: 103X46X70CM Estado: Bueno Placa anterior: 000001225 Material: METALICO Color: AZUL Referencia:  Observacion: AUTORIZADO CONCILIAR EN CRUCE GENERAL Placa padre: Tipo adquisicion: Entidad</v>
      </c>
      <c r="G24060" s="5"/>
    </row>
    <row r="24061" spans="1:7" ht="58.5" customHeight="1" x14ac:dyDescent="0.25">
      <c r="A24061" s="5" t="str">
        <f>"H0001440"</f>
        <v>H0001440</v>
      </c>
      <c r="B24061" s="5" t="str">
        <f>"AIRE ACONDICIONADO TIPO VENTANA 12000 BTU"</f>
        <v>AIRE ACONDICIONADO TIPO VENTANA 12000 BTU</v>
      </c>
      <c r="C24061" s="6">
        <v>910000</v>
      </c>
      <c r="D24061" s="5"/>
      <c r="E24061" s="5" t="str">
        <f t="shared" si="1201"/>
        <v>DOCENCIA E INVESTIGACION-FRANCY ARCHILA</v>
      </c>
      <c r="F24061" s="5" t="str">
        <f>"Descripcion: AIRE VENTANA PANASONIC 12000BTU Estado: Bueno Placa anterior:  Material: PLASTICO Color: BEIGE Referencia:  Observacion:  Placa padre: Tipo adquisicion: Entidad"</f>
        <v>Descripcion: AIRE VENTANA PANASONIC 12000BTU Estado: Bueno Placa anterior:  Material: PLASTICO Color: BEIGE Referencia:  Observacion:  Placa padre: Tipo adquisicion: Entidad</v>
      </c>
      <c r="G24061" s="5"/>
    </row>
    <row r="24062" spans="1:7" ht="58.5" customHeight="1" x14ac:dyDescent="0.25">
      <c r="A24062" s="5" t="str">
        <f>"H0001441"</f>
        <v>H0001441</v>
      </c>
      <c r="B24062" s="5" t="str">
        <f>"CAMA HOSPITALARIA 4 PLANOS CON BARANDA"</f>
        <v>CAMA HOSPITALARIA 4 PLANOS CON BARANDA</v>
      </c>
      <c r="C24062" s="6">
        <v>52800</v>
      </c>
      <c r="D24062" s="5"/>
      <c r="E24062" s="5" t="str">
        <f t="shared" si="1201"/>
        <v>DOCENCIA E INVESTIGACION-FRANCY ARCHILA</v>
      </c>
      <c r="F24062" s="5" t="str">
        <f>"Descripcion: CAMA HOSPITALARIA 4 PLANOS CON BARANDA Estado: Bueno Placa anterior: 000018408 Material: METALICO Color: GRIS Referencia:  Observacion: PLACA ANTERIOR NO ENCONTRADA 00002532 AUTORIZADO CONCILIAR EN CRUCE GENERAL Placa padre: Tipo adquisicion:"&amp; " Entidad"</f>
        <v>Descripcion: CAMA HOSPITALARIA 4 PLANOS CON BARANDA Estado: Bueno Placa anterior: 000018408 Material: METALICO Color: GRIS Referencia:  Observacion: PLACA ANTERIOR NO ENCONTRADA 00002532 AUTORIZADO CONCILIAR EN CRUCE GENERAL Placa padre: Tipo adquisicion: Entidad</v>
      </c>
      <c r="G24062" s="5"/>
    </row>
    <row r="24063" spans="1:7" ht="58.5" customHeight="1" x14ac:dyDescent="0.25">
      <c r="A24063" s="5" t="str">
        <f>"H0001452"</f>
        <v>H0001452</v>
      </c>
      <c r="B24063" s="5" t="str">
        <f>"MUEBLE DE MADERA"</f>
        <v>MUEBLE DE MADERA</v>
      </c>
      <c r="C24063" s="6">
        <v>417600</v>
      </c>
      <c r="D24063" s="5" t="s">
        <v>34</v>
      </c>
      <c r="E24063" s="5" t="str">
        <f t="shared" si="1201"/>
        <v>DOCENCIA E INVESTIGACION-FRANCY ARCHILA</v>
      </c>
      <c r="F24063" s="5" t="str">
        <f>"Descripcion: MUEBLE DE MADERA EN FORMICA 2 GAVETA  2 PUERTAS Estado: Bueno Placa anterior: 000030383 Material: MADERA EN FORMICA Color: MADERA CLARO Referencia:  Observacion:  Placa padre: Tipo adquisicion: Entidad"</f>
        <v>Descripcion: MUEBLE DE MADERA EN FORMICA 2 GAVETA  2 PUERTAS Estado: Bueno Placa anterior: 000030383 Material: MADERA EN FORMICA Color: MADERA CLARO Referencia:  Observacion:  Placa padre: Tipo adquisicion: Entidad</v>
      </c>
      <c r="G24063" s="5"/>
    </row>
    <row r="24064" spans="1:7" ht="58.5" customHeight="1" x14ac:dyDescent="0.25">
      <c r="A24064" s="5" t="str">
        <f>"H0001455"</f>
        <v>H0001455</v>
      </c>
      <c r="B24064" s="5" t="str">
        <f>"MESA DE NOCHE"</f>
        <v>MESA DE NOCHE</v>
      </c>
      <c r="C24064" s="6">
        <v>327586</v>
      </c>
      <c r="D24064" s="5"/>
      <c r="E24064" s="5" t="str">
        <f t="shared" si="1201"/>
        <v>DOCENCIA E INVESTIGACION-FRANCY ARCHILA</v>
      </c>
      <c r="F24064" s="5" t="str">
        <f>"Descripcion: MESA DE NOCHE METALICA 1 GAVETA 1 PUERTA Estado: Bueno Placa anterior: 000033033 Material: METALICA Color: PLATEADO Referencia:  Observacion: PLACA ANTERIOR NO ENCONTRADA 000002527, AUTORIZADO CONCILIAR EN CRUCE GENERAL Placa padre: Tipo adqu"&amp; "isicion: Entidad"</f>
        <v>Descripcion: MESA DE NOCHE METALICA 1 GAVETA 1 PUERTA Estado: Bueno Placa anterior: 000033033 Material: METALICA Color: PLATEADO Referencia:  Observacion: PLACA ANTERIOR NO ENCONTRADA 000002527, AUTORIZADO CONCILIAR EN CRUCE GENERAL Placa padre: Tipo adquisicion: Entidad</v>
      </c>
      <c r="G24064" s="5"/>
    </row>
    <row r="24065" spans="1:7" ht="58.5" customHeight="1" x14ac:dyDescent="0.25">
      <c r="A24065" s="5" t="str">
        <f>"H0001463"</f>
        <v>H0001463</v>
      </c>
      <c r="B24065" s="5" t="str">
        <f>"GABINETE CONTRA INCENDIO"</f>
        <v>GABINETE CONTRA INCENDIO</v>
      </c>
      <c r="C24065" s="6">
        <v>171000</v>
      </c>
      <c r="D24065" s="5"/>
      <c r="E24065" s="5" t="str">
        <f t="shared" si="1201"/>
        <v>DOCENCIA E INVESTIGACION-FRANCY ARCHILA</v>
      </c>
      <c r="F24065" s="5" t="str">
        <f>"Descripcion: GABINETE CONTRAINCENDIO CONTIENE: EXTINTOR ABC AMARILLO Y MANGUETA Estado: Bueno Placa anterior: 000019073 Material: METALICO Color: MARCO ROJO Referencia:  Observacion:  Placa padre: Tipo adquisicion: Entidad"</f>
        <v>Descripcion: GABINETE CONTRAINCENDIO CONTIENE: EXTINTOR ABC AMARILLO Y MANGUETA Estado: Bueno Placa anterior: 000019073 Material: METALICO Color: MARCO ROJO Referencia:  Observacion:  Placa padre: Tipo adquisicion: Entidad</v>
      </c>
      <c r="G24065" s="5"/>
    </row>
    <row r="24066" spans="1:7" ht="58.5" customHeight="1" x14ac:dyDescent="0.25">
      <c r="A24066" s="5" t="str">
        <f>"H0001465"</f>
        <v>H0001465</v>
      </c>
      <c r="B24066" s="5" t="str">
        <f>"AIRE ACONDICIONADO TIPO SPLIT 12000 BTU"</f>
        <v>AIRE ACONDICIONADO TIPO SPLIT 12000 BTU</v>
      </c>
      <c r="C24066" s="6">
        <v>810000</v>
      </c>
      <c r="D24066" s="5" t="s">
        <v>835</v>
      </c>
      <c r="E24066" s="5" t="str">
        <f t="shared" si="1201"/>
        <v>DOCENCIA E INVESTIGACION-FRANCY ARCHILA</v>
      </c>
      <c r="F24066" s="5" t="str">
        <f>"Descripcion: AIRE ACONDICIONADO DE 12000 BTU UNIT OUTDOOR Estado: Bueno Placa anterior: 000030363 Material: PLASTICO Color: BLANCO Referencia:  Observacion:  Placa padre: Tipo adquisicion: Donacion"</f>
        <v>Descripcion: AIRE ACONDICIONADO DE 12000 BTU UNIT OUTDOOR Estado: Bueno Placa anterior: 000030363 Material: PLASTICO Color: BLANCO Referencia:  Observacion:  Placa padre: Tipo adquisicion: Donacion</v>
      </c>
      <c r="G24066" s="5"/>
    </row>
    <row r="24067" spans="1:7" ht="58.5" customHeight="1" x14ac:dyDescent="0.25">
      <c r="A24067" s="5" t="str">
        <f>"H0001466"</f>
        <v>H0001466</v>
      </c>
      <c r="B24067" s="5" t="str">
        <f>"CAMA"</f>
        <v>CAMA</v>
      </c>
      <c r="C24067" s="6">
        <v>156600</v>
      </c>
      <c r="D24067" s="5"/>
      <c r="E24067" s="5" t="str">
        <f t="shared" ref="E24067:E24098" si="1202">"DOCENCIA E INVESTIGACION-FRANCY ARCHILA"</f>
        <v>DOCENCIA E INVESTIGACION-FRANCY ARCHILA</v>
      </c>
      <c r="F24067" s="5" t="str">
        <f>"Descripcion: CAMA SENCILLA EN TUBO Estado: Bueno Placa anterior: 000022931 Material: METALICA Color: AZUL Referencia:  Observacion:  Placa padre: Tipo adquisicion: Entidad"</f>
        <v>Descripcion: CAMA SENCILLA EN TUBO Estado: Bueno Placa anterior: 000022931 Material: METALICA Color: AZUL Referencia:  Observacion:  Placa padre: Tipo adquisicion: Entidad</v>
      </c>
      <c r="G24067" s="5"/>
    </row>
    <row r="24068" spans="1:7" ht="58.5" customHeight="1" x14ac:dyDescent="0.25">
      <c r="A24068" s="5" t="str">
        <f>"H0001467"</f>
        <v>H0001467</v>
      </c>
      <c r="B24068" s="5" t="str">
        <f>"DISPENSADOR DE AGUA"</f>
        <v>DISPENSADOR DE AGUA</v>
      </c>
      <c r="C24068" s="6">
        <v>520000</v>
      </c>
      <c r="D24068" s="5" t="s">
        <v>835</v>
      </c>
      <c r="E24068" s="5" t="str">
        <f t="shared" si="1202"/>
        <v>DOCENCIA E INVESTIGACION-FRANCY ARCHILA</v>
      </c>
      <c r="F24068" s="5" t="str">
        <f>"Descripcion: DISPENSADOR DE AGUA TIPO NEVERA Estado: Bueno Placa anterior: 000030361 Material: PLASTICO Color: BLANCO Referencia:  Observacion:  Placa padre: Tipo adquisicion: Donacion"</f>
        <v>Descripcion: DISPENSADOR DE AGUA TIPO NEVERA Estado: Bueno Placa anterior: 000030361 Material: PLASTICO Color: BLANCO Referencia:  Observacion:  Placa padre: Tipo adquisicion: Donacion</v>
      </c>
      <c r="G24068" s="5"/>
    </row>
    <row r="24069" spans="1:7" ht="58.5" customHeight="1" x14ac:dyDescent="0.25">
      <c r="A24069" s="5" t="str">
        <f>"H0002397"</f>
        <v>H0002397</v>
      </c>
      <c r="B24069" s="5" t="str">
        <f>"COMPUTADOR TODO EN UNO"</f>
        <v>COMPUTADOR TODO EN UNO</v>
      </c>
      <c r="C24069" s="6">
        <v>2470000</v>
      </c>
      <c r="D24069" s="5"/>
      <c r="E24069" s="5" t="str">
        <f t="shared" si="1202"/>
        <v>DOCENCIA E INVESTIGACION-FRANCY ARCHILA</v>
      </c>
      <c r="F24069" s="5" t="str">
        <f>"Descripcion:EQUIPO DE COMPUTO TODO EN UNO CON PROCESADOR INTEL i5 Estado: Excelente Placa anterior: 000037264 Material: PASTA Color: NEGRO Referencia: 10BDFDLS Observacion:  Placa anterior:, Placa nueva=H0002399, Descripcion:MOUSE USB  3 BOTONES, Serial:4"&amp; "4PE609, Marca:LENOVO, Modelo:45J4889, Material:PASTA, Color:NEGRO,   Referencia:, Placa anterior:, Placa nueva=H0002398, Descripcion:TECLADO USB LENOVO, Serial:8259915, Marca:LENOVO, Modelo:KU-0225, Material:PASTA, Color:NEGRO,   Referencia:54Y9424 Placa "&amp; "padre:  Tipo adquisicion : Entidad"</f>
        <v>Descripcion:EQUIPO DE COMPUTO TODO EN UNO CON PROCESADOR INTEL i5 Estado: Excelente Placa anterior: 000037264 Material: PASTA Color: NEGRO Referencia: 10BDFDLS Observacion:  Placa anterior:, Placa nueva=H0002399, Descripcion:MOUSE USB  3 BOTONES, Serial:44PE609, Marca:LENOVO, Modelo:45J4889, Material:PASTA, Color:NEGRO,   Referencia:, Placa anterior:, Placa nueva=H0002398, Descripcion:TECLADO USB LENOVO, Serial:8259915, Marca:LENOVO, Modelo:KU-0225, Material:PASTA, Color:NEGRO,   Referencia:54Y9424 Placa padre:  Tipo adquisicion : Entidad</v>
      </c>
      <c r="G24069" s="5" t="str">
        <f>"00FDLS"</f>
        <v>00FDLS</v>
      </c>
    </row>
    <row r="24070" spans="1:7" ht="58.5" customHeight="1" x14ac:dyDescent="0.25">
      <c r="A24070" s="5" t="str">
        <f>"H0003516"</f>
        <v>H0003516</v>
      </c>
      <c r="B24070" s="5" t="str">
        <f>"MESA METALICA AUXILIAR"</f>
        <v>MESA METALICA AUXILIAR</v>
      </c>
      <c r="C24070" s="6">
        <v>18975</v>
      </c>
      <c r="D24070" s="5"/>
      <c r="E24070" s="5" t="str">
        <f t="shared" si="1202"/>
        <v>DOCENCIA E INVESTIGACION-FRANCY ARCHILA</v>
      </c>
      <c r="F24070" s="5" t="str">
        <f>"Descripcion: MESA AUXILIAR SIN ALA CON RODACHINES75X65X501 GAVETA1 ENTREPAÑO EN VIDRIO Estado: Bueno Placa anterior: 000001607 Material: METALICO Color:  Referencia:  Observacion:  Placa padre: Tipo adquisicion: Entidad"</f>
        <v>Descripcion: MESA AUXILIAR SIN ALA CON RODACHINES75X65X501 GAVETA1 ENTREPAÑO EN VIDRIO Estado: Bueno Placa anterior: 000001607 Material: METALICO Color:  Referencia:  Observacion:  Placa padre: Tipo adquisicion: Entidad</v>
      </c>
      <c r="G24070" s="5"/>
    </row>
    <row r="24071" spans="1:7" ht="58.5" customHeight="1" x14ac:dyDescent="0.25">
      <c r="A24071" s="5" t="str">
        <f>"H0005065"</f>
        <v>H0005065</v>
      </c>
      <c r="B24071" s="5" t="str">
        <f>"ESTANTE METALICO 6 ENTREPAÑOS"</f>
        <v>ESTANTE METALICO 6 ENTREPAÑOS</v>
      </c>
      <c r="C24071" s="6">
        <v>28333</v>
      </c>
      <c r="D24071" s="5"/>
      <c r="E24071" s="5" t="str">
        <f t="shared" si="1202"/>
        <v>DOCENCIA E INVESTIGACION-FRANCY ARCHILA</v>
      </c>
      <c r="F24071" s="5" t="str">
        <f>"Descripcion: . Estado: Bueno Placa anterior: 000006295 Material: METALICO Color: GRIS Referencia:  Observacion:  Placa padre: Tipo adquisicion: Entidad"</f>
        <v>Descripcion: . Estado: Bueno Placa anterior: 000006295 Material: METALICO Color: GRIS Referencia:  Observacion:  Placa padre: Tipo adquisicion: Entidad</v>
      </c>
      <c r="G24071" s="5"/>
    </row>
    <row r="24072" spans="1:7" ht="58.5" customHeight="1" x14ac:dyDescent="0.25">
      <c r="A24072" s="5" t="str">
        <f>"H0005066"</f>
        <v>H0005066</v>
      </c>
      <c r="B24072" s="5" t="str">
        <f>"ESTANTE METALICO 6 ENTREPAÑOS"</f>
        <v>ESTANTE METALICO 6 ENTREPAÑOS</v>
      </c>
      <c r="C24072" s="6">
        <v>8840.07</v>
      </c>
      <c r="D24072" s="5"/>
      <c r="E24072" s="5" t="str">
        <f t="shared" si="1202"/>
        <v>DOCENCIA E INVESTIGACION-FRANCY ARCHILA</v>
      </c>
      <c r="F24072" s="5" t="str">
        <f>"Descripcion: . Estado: Bueno Placa anterior: 000002334 Material: METALICO Color: GRIS Referencia:  Observacion:  Placa padre: Tipo adquisicion: Entidad"</f>
        <v>Descripcion: . Estado: Bueno Placa anterior: 000002334 Material: METALICO Color: GRIS Referencia:  Observacion:  Placa padre: Tipo adquisicion: Entidad</v>
      </c>
      <c r="G24072" s="5"/>
    </row>
    <row r="24073" spans="1:7" ht="58.5" customHeight="1" x14ac:dyDescent="0.25">
      <c r="A24073" s="5" t="str">
        <f>"H0005067"</f>
        <v>H0005067</v>
      </c>
      <c r="B24073" s="5" t="str">
        <f>"MUEBLE (ARCHIVADOR) AEREO (GABINETE DE PARED)"</f>
        <v>MUEBLE (ARCHIVADOR) AEREO (GABINETE DE PARED)</v>
      </c>
      <c r="C24073" s="6">
        <v>600000</v>
      </c>
      <c r="D24073" s="5"/>
      <c r="E24073" s="5" t="str">
        <f t="shared" si="1202"/>
        <v>DOCENCIA E INVESTIGACION-FRANCY ARCHILA</v>
      </c>
      <c r="F24073" s="5" t="str">
        <f>"Descripcion: ARCHIVADOR 2X1 EN MODF. FORMICA Y CHAPA DE SEGURIDAD77X40X45 Estado: Bueno Placa anterior: 000033118 Material: MADEFLEX Color: BEIGE Referencia:  Observacion:  Placa padre: Tipo adquisicion: Entidad"</f>
        <v>Descripcion: ARCHIVADOR 2X1 EN MODF. FORMICA Y CHAPA DE SEGURIDAD77X40X45 Estado: Bueno Placa anterior: 000033118 Material: MADEFLEX Color: BEIGE Referencia:  Observacion:  Placa padre: Tipo adquisicion: Entidad</v>
      </c>
      <c r="G24073" s="5"/>
    </row>
    <row r="24074" spans="1:7" ht="58.5" customHeight="1" x14ac:dyDescent="0.25">
      <c r="A24074" s="5" t="str">
        <f>"H0005070"</f>
        <v>H0005070</v>
      </c>
      <c r="B24074" s="5" t="str">
        <f>"FOLDERAMA METALICO"</f>
        <v>FOLDERAMA METALICO</v>
      </c>
      <c r="C24074" s="6">
        <v>321320</v>
      </c>
      <c r="D24074" s="5"/>
      <c r="E24074" s="5" t="str">
        <f t="shared" si="1202"/>
        <v>DOCENCIA E INVESTIGACION-FRANCY ARCHILA</v>
      </c>
      <c r="F24074" s="5" t="str">
        <f>"Descripcion: FOLDERAMA METALICO ENTREPAÑOS 15 DIVISIONES 1.58X1.05X0.48 Estado: Bueno Placa anterior: 000006732 Material: METALICO Color: GRIS Referencia:  Observacion:  Placa padre: Tipo adquisicion: Entidad"</f>
        <v>Descripcion: FOLDERAMA METALICO ENTREPAÑOS 15 DIVISIONES 1.58X1.05X0.48 Estado: Bueno Placa anterior: 000006732 Material: METALICO Color: GRIS Referencia:  Observacion:  Placa padre: Tipo adquisicion: Entidad</v>
      </c>
      <c r="G24074" s="5"/>
    </row>
    <row r="24075" spans="1:7" ht="58.5" customHeight="1" x14ac:dyDescent="0.25">
      <c r="A24075" s="5" t="str">
        <f>"H0005072"</f>
        <v>H0005072</v>
      </c>
      <c r="B24075" s="5" t="str">
        <f>"MUEBLE (ARCHIVADOR) AEREO (GABINETE DE PARED)"</f>
        <v>MUEBLE (ARCHIVADOR) AEREO (GABINETE DE PARED)</v>
      </c>
      <c r="C24075" s="6">
        <v>600000</v>
      </c>
      <c r="D24075" s="5"/>
      <c r="E24075" s="5" t="str">
        <f t="shared" si="1202"/>
        <v>DOCENCIA E INVESTIGACION-FRANCY ARCHILA</v>
      </c>
      <c r="F24075" s="5" t="str">
        <f>"Descripcion: ARCHIVADOR 2X1 EN MODF. FORMICA Y CHAPA DE SEGURIDAD77X40X45 Estado: Bueno Placa anterior: 000033104 Material: MADEFLEX Color: BEIGE Referencia:  Observacion:  Placa padre: Tipo adquisicion: Entidad"</f>
        <v>Descripcion: ARCHIVADOR 2X1 EN MODF. FORMICA Y CHAPA DE SEGURIDAD77X40X45 Estado: Bueno Placa anterior: 000033104 Material: MADEFLEX Color: BEIGE Referencia:  Observacion:  Placa padre: Tipo adquisicion: Entidad</v>
      </c>
      <c r="G24075" s="5"/>
    </row>
    <row r="24076" spans="1:7" ht="58.5" customHeight="1" x14ac:dyDescent="0.25">
      <c r="A24076" s="5" t="str">
        <f>"H0005073"</f>
        <v>H0005073</v>
      </c>
      <c r="B24076" s="5" t="str">
        <f>"MESA METALICA PARA COMPUTADOR"</f>
        <v>MESA METALICA PARA COMPUTADOR</v>
      </c>
      <c r="C24076" s="6">
        <v>100108</v>
      </c>
      <c r="D24076" s="5"/>
      <c r="E24076" s="5" t="str">
        <f t="shared" si="1202"/>
        <v>DOCENCIA E INVESTIGACION-FRANCY ARCHILA</v>
      </c>
      <c r="F24076" s="5" t="str">
        <f>"Descripcion: MESA EN FORMICA PARA COMPUTADOR Estado: Bueno Placa anterior: 000023717 Material: METALICA Color: BEIGE Referencia:  Observacion:  Placa padre: Tipo adquisicion: Entidad"</f>
        <v>Descripcion: MESA EN FORMICA PARA COMPUTADOR Estado: Bueno Placa anterior: 000023717 Material: METALICA Color: BEIGE Referencia:  Observacion:  Placa padre: Tipo adquisicion: Entidad</v>
      </c>
      <c r="G24076" s="5"/>
    </row>
    <row r="24077" spans="1:7" ht="58.5" customHeight="1" x14ac:dyDescent="0.25">
      <c r="A24077" s="5" t="str">
        <f>"H0005079"</f>
        <v>H0005079</v>
      </c>
      <c r="B24077" s="5" t="str">
        <f>"TELEFONO DE SOBREMESA"</f>
        <v>TELEFONO DE SOBREMESA</v>
      </c>
      <c r="C24077" s="6">
        <v>71850</v>
      </c>
      <c r="D24077" s="5"/>
      <c r="E24077" s="5" t="str">
        <f t="shared" si="1202"/>
        <v>DOCENCIA E INVESTIGACION-FRANCY ARCHILA</v>
      </c>
      <c r="F24077" s="5" t="str">
        <f>"Descripcion: TELEFONO PANASONIC MOD. TS-3 SENCILLO Estado: Bueno Placa anterior: 000022149 Material: PLASTICO Color: BLANCO Referencia:  Observacion:  Placa padre: Tipo adquisicion: Entidad"</f>
        <v>Descripcion: TELEFONO PANASONIC MOD. TS-3 SENCILLO Estado: Bueno Placa anterior: 000022149 Material: PLASTICO Color: BLANCO Referencia:  Observacion:  Placa padre: Tipo adquisicion: Entidad</v>
      </c>
      <c r="G24077" s="5"/>
    </row>
    <row r="24078" spans="1:7" ht="58.5" customHeight="1" x14ac:dyDescent="0.25">
      <c r="A24078" s="5" t="str">
        <f>"H0005082"</f>
        <v>H0005082</v>
      </c>
      <c r="B24078" s="5" t="str">
        <f>"MANEJADORA (AIRE ACONDICIONADO)"</f>
        <v>MANEJADORA (AIRE ACONDICIONADO)</v>
      </c>
      <c r="C24078" s="6">
        <v>1435000</v>
      </c>
      <c r="D24078" s="5" t="s">
        <v>453</v>
      </c>
      <c r="E24078" s="5" t="str">
        <f t="shared" si="1202"/>
        <v>DOCENCIA E INVESTIGACION-FRANCY ARCHILA</v>
      </c>
      <c r="F24078" s="5" t="str">
        <f>"Descripcion: AIRE ACONDICIONADO TIPO TECHO12000 BTU Estado: Bueno Placa anterior: 000033525 Material: PLASTICO Color: BLANCO Referencia: CUSHI0 Observacion: AUTORIZADO CONCILIAR EN CRUCE GENERAL Placa padre: Tipo adquisicion: Entidad"</f>
        <v>Descripcion: AIRE ACONDICIONADO TIPO TECHO12000 BTU Estado: Bueno Placa anterior: 000033525 Material: PLASTICO Color: BLANCO Referencia: CUSHI0 Observacion: AUTORIZADO CONCILIAR EN CRUCE GENERAL Placa padre: Tipo adquisicion: Entidad</v>
      </c>
      <c r="G24078" s="5" t="str">
        <f>"AVXC1H032CA"</f>
        <v>AVXC1H032CA</v>
      </c>
    </row>
    <row r="24079" spans="1:7" ht="58.5" customHeight="1" x14ac:dyDescent="0.25">
      <c r="A24079" s="5" t="str">
        <f>"H0005083"</f>
        <v>H0005083</v>
      </c>
      <c r="B24079" s="5" t="str">
        <f>"MULTIFUNCIONAL DE LASER"</f>
        <v>MULTIFUNCIONAL DE LASER</v>
      </c>
      <c r="C24079" s="6">
        <v>767441</v>
      </c>
      <c r="D24079" s="5"/>
      <c r="E24079" s="5" t="str">
        <f t="shared" si="1202"/>
        <v>DOCENCIA E INVESTIGACION-FRANCY ARCHILA</v>
      </c>
      <c r="F24079" s="5" t="str">
        <f>"Descripcion: IMPRESORA HP CE749A BGJ HP IMP 1606DN SUPLEX RED 10/100 Estado: Bueno Placa anterior: 000029529 Material: PLASTICO Color: NEGRO Referencia: CE749A Observacion:  Placa padre: Tipo adquisicion: Entidad"</f>
        <v>Descripcion: IMPRESORA HP CE749A BGJ HP IMP 1606DN SUPLEX RED 10/100 Estado: Bueno Placa anterior: 000029529 Material: PLASTICO Color: NEGRO Referencia: CE749A Observacion:  Placa padre: Tipo adquisicion: Entidad</v>
      </c>
      <c r="G24079" s="5" t="str">
        <f>"HP LASER JET P1606D"</f>
        <v>HP LASER JET P1606D</v>
      </c>
    </row>
    <row r="24080" spans="1:7" ht="58.5" customHeight="1" x14ac:dyDescent="0.25">
      <c r="A24080" s="5" t="str">
        <f>"H0005085"</f>
        <v>H0005085</v>
      </c>
      <c r="B24080" s="5" t="str">
        <f>"DIVISION (PANEL) MODULAR"</f>
        <v>DIVISION (PANEL) MODULAR</v>
      </c>
      <c r="C24080" s="6">
        <v>980000</v>
      </c>
      <c r="D24080" s="5" t="s">
        <v>3</v>
      </c>
      <c r="E24080" s="5" t="str">
        <f t="shared" si="1202"/>
        <v>DOCENCIA E INVESTIGACION-FRANCY ARCHILA</v>
      </c>
      <c r="F24080" s="5" t="str">
        <f>"Descripcion: PAÑO AZUL CON GRISPUERTA CON VIDRIO200X325 Estado: Bueno Placa anterior:  Material: METALICO Color: AZUL Referencia:  Observacion:  Placa padre: Tipo adquisicion: Entidad"</f>
        <v>Descripcion: PAÑO AZUL CON GRISPUERTA CON VIDRIO200X325 Estado: Bueno Placa anterior:  Material: METALICO Color: AZUL Referencia:  Observacion:  Placa padre: Tipo adquisicion: Entidad</v>
      </c>
      <c r="G24080" s="5"/>
    </row>
    <row r="24081" spans="1:7" ht="58.5" customHeight="1" x14ac:dyDescent="0.25">
      <c r="A24081" s="5" t="str">
        <f>"H0005089"</f>
        <v>H0005089</v>
      </c>
      <c r="B24081" s="5" t="str">
        <f t="shared" ref="B24081:B24087" si="1203">"SILLA INTERLOCUTORA (FIJA) SIN BRAZOS"</f>
        <v>SILLA INTERLOCUTORA (FIJA) SIN BRAZOS</v>
      </c>
      <c r="C24081" s="6">
        <v>190000</v>
      </c>
      <c r="D24081" s="5" t="s">
        <v>35</v>
      </c>
      <c r="E24081" s="5" t="str">
        <f t="shared" si="1202"/>
        <v>DOCENCIA E INVESTIGACION-FRANCY ARCHILA</v>
      </c>
      <c r="F24081" s="5" t="str">
        <f>"Descripcion: SILLA SPRISMAS INTERLOCUTORASTAPIZADA CUERO NEGRO ESPALDAR Estado: Bueno Placa anterior: 000029638 Material: METALICO Color: NEGRO Referencia:  Observacion:  Placa padre: Tipo adquisicion: Entidad"</f>
        <v>Descripcion: SILLA SPRISMAS INTERLOCUTORASTAPIZADA CUERO NEGRO ESPALDAR Estado: Bueno Placa anterior: 000029638 Material: METALICO Color: NEGRO Referencia:  Observacion:  Placa padre: Tipo adquisicion: Entidad</v>
      </c>
      <c r="G24081" s="5"/>
    </row>
    <row r="24082" spans="1:7" ht="58.5" customHeight="1" x14ac:dyDescent="0.25">
      <c r="A24082" s="5" t="str">
        <f>"H0005090"</f>
        <v>H0005090</v>
      </c>
      <c r="B24082" s="5" t="str">
        <f t="shared" si="1203"/>
        <v>SILLA INTERLOCUTORA (FIJA) SIN BRAZOS</v>
      </c>
      <c r="C24082" s="6">
        <v>81200</v>
      </c>
      <c r="D24082" s="5" t="s">
        <v>34</v>
      </c>
      <c r="E24082" s="5" t="str">
        <f t="shared" si="1202"/>
        <v>DOCENCIA E INVESTIGACION-FRANCY ARCHILA</v>
      </c>
      <c r="F24082" s="5" t="str">
        <f>"Descripcion: SILLA SPRISMAS INTERLOCUTORASTAPIZADA CUERO NEGRO ESPALDAR Estado: Bueno Placa anterior: 000030390 Material: METALICO Color: NEGRO Referencia:  Observacion:  Placa padre: Tipo adquisicion: Entidad"</f>
        <v>Descripcion: SILLA SPRISMAS INTERLOCUTORASTAPIZADA CUERO NEGRO ESPALDAR Estado: Bueno Placa anterior: 000030390 Material: METALICO Color: NEGRO Referencia:  Observacion:  Placa padre: Tipo adquisicion: Entidad</v>
      </c>
      <c r="G24082" s="5"/>
    </row>
    <row r="24083" spans="1:7" ht="58.5" customHeight="1" x14ac:dyDescent="0.25">
      <c r="A24083" s="5" t="str">
        <f>"H0005091"</f>
        <v>H0005091</v>
      </c>
      <c r="B24083" s="5" t="str">
        <f t="shared" si="1203"/>
        <v>SILLA INTERLOCUTORA (FIJA) SIN BRAZOS</v>
      </c>
      <c r="C24083" s="6">
        <v>190000</v>
      </c>
      <c r="D24083" s="5" t="s">
        <v>35</v>
      </c>
      <c r="E24083" s="5" t="str">
        <f t="shared" si="1202"/>
        <v>DOCENCIA E INVESTIGACION-FRANCY ARCHILA</v>
      </c>
      <c r="F24083" s="5" t="str">
        <f>"Descripcion: SILLA SPRISMAS INTERLOCUTORASTAPIZADA CUERO NEGRO ESPALDAR Estado: Bueno Placa anterior: 000029634 Material: METALICO Color: NEGRO Referencia:  Observacion:  Placa padre: Tipo adquisicion: Entidad"</f>
        <v>Descripcion: SILLA SPRISMAS INTERLOCUTORASTAPIZADA CUERO NEGRO ESPALDAR Estado: Bueno Placa anterior: 000029634 Material: METALICO Color: NEGRO Referencia:  Observacion:  Placa padre: Tipo adquisicion: Entidad</v>
      </c>
      <c r="G24083" s="5"/>
    </row>
    <row r="24084" spans="1:7" ht="58.5" customHeight="1" x14ac:dyDescent="0.25">
      <c r="A24084" s="5" t="str">
        <f>"H0005092"</f>
        <v>H0005092</v>
      </c>
      <c r="B24084" s="5" t="str">
        <f t="shared" si="1203"/>
        <v>SILLA INTERLOCUTORA (FIJA) SIN BRAZOS</v>
      </c>
      <c r="C24084" s="6">
        <v>190000</v>
      </c>
      <c r="D24084" s="5" t="s">
        <v>35</v>
      </c>
      <c r="E24084" s="5" t="str">
        <f t="shared" si="1202"/>
        <v>DOCENCIA E INVESTIGACION-FRANCY ARCHILA</v>
      </c>
      <c r="F24084" s="5" t="str">
        <f>"Descripcion: SILLA SPRISMAS INTERLOCUTORASTAPIZADA CUERO NEGRO ESPALDAR Estado: Bueno Placa anterior: 000029635 Material: METALICO Color: NEGRO Referencia:  Observacion:  Placa padre: Tipo adquisicion: Entidad"</f>
        <v>Descripcion: SILLA SPRISMAS INTERLOCUTORASTAPIZADA CUERO NEGRO ESPALDAR Estado: Bueno Placa anterior: 000029635 Material: METALICO Color: NEGRO Referencia:  Observacion:  Placa padre: Tipo adquisicion: Entidad</v>
      </c>
      <c r="G24084" s="5"/>
    </row>
    <row r="24085" spans="1:7" ht="58.5" customHeight="1" x14ac:dyDescent="0.25">
      <c r="A24085" s="5" t="str">
        <f>"H0005093"</f>
        <v>H0005093</v>
      </c>
      <c r="B24085" s="5" t="str">
        <f t="shared" si="1203"/>
        <v>SILLA INTERLOCUTORA (FIJA) SIN BRAZOS</v>
      </c>
      <c r="C24085" s="6">
        <v>190000</v>
      </c>
      <c r="D24085" s="5" t="s">
        <v>35</v>
      </c>
      <c r="E24085" s="5" t="str">
        <f t="shared" si="1202"/>
        <v>DOCENCIA E INVESTIGACION-FRANCY ARCHILA</v>
      </c>
      <c r="F24085" s="5" t="str">
        <f>"Descripcion: SILLA SPRISMAS INTERLOCUTORASTAPIZADA CUERO NEGRO ESPALDAR Estado: Bueno Placa anterior: 000029621 Material: METALICO Color: NEGRO Referencia:  Observacion:  Placa padre: Tipo adquisicion: Entidad"</f>
        <v>Descripcion: SILLA SPRISMAS INTERLOCUTORASTAPIZADA CUERO NEGRO ESPALDAR Estado: Bueno Placa anterior: 000029621 Material: METALICO Color: NEGRO Referencia:  Observacion:  Placa padre: Tipo adquisicion: Entidad</v>
      </c>
      <c r="G24085" s="5"/>
    </row>
    <row r="24086" spans="1:7" ht="58.5" customHeight="1" x14ac:dyDescent="0.25">
      <c r="A24086" s="5" t="str">
        <f>"H0005095"</f>
        <v>H0005095</v>
      </c>
      <c r="B24086" s="5" t="str">
        <f t="shared" si="1203"/>
        <v>SILLA INTERLOCUTORA (FIJA) SIN BRAZOS</v>
      </c>
      <c r="C24086" s="6">
        <v>190000</v>
      </c>
      <c r="D24086" s="5" t="s">
        <v>35</v>
      </c>
      <c r="E24086" s="5" t="str">
        <f t="shared" si="1202"/>
        <v>DOCENCIA E INVESTIGACION-FRANCY ARCHILA</v>
      </c>
      <c r="F24086" s="5" t="str">
        <f>"Descripcion: SILLA SPRISMAS INTERLOCUTORASTAPIZADA CUERO NEGRO ESPALDAR Estado: Bueno Placa anterior: 000029629 Material: METALICO Color: NEGRO Referencia:  Observacion:  Placa padre: Tipo adquisicion: Entidad"</f>
        <v>Descripcion: SILLA SPRISMAS INTERLOCUTORASTAPIZADA CUERO NEGRO ESPALDAR Estado: Bueno Placa anterior: 000029629 Material: METALICO Color: NEGRO Referencia:  Observacion:  Placa padre: Tipo adquisicion: Entidad</v>
      </c>
      <c r="G24086" s="5"/>
    </row>
    <row r="24087" spans="1:7" ht="58.5" customHeight="1" x14ac:dyDescent="0.25">
      <c r="A24087" s="5" t="str">
        <f>"H0005096"</f>
        <v>H0005096</v>
      </c>
      <c r="B24087" s="5" t="str">
        <f t="shared" si="1203"/>
        <v>SILLA INTERLOCUTORA (FIJA) SIN BRAZOS</v>
      </c>
      <c r="C24087" s="6">
        <v>81200</v>
      </c>
      <c r="D24087" s="5" t="s">
        <v>34</v>
      </c>
      <c r="E24087" s="5" t="str">
        <f t="shared" si="1202"/>
        <v>DOCENCIA E INVESTIGACION-FRANCY ARCHILA</v>
      </c>
      <c r="F24087" s="5" t="str">
        <f>"Descripcion: SILLA SPRISMAS INTERLOCUTORASTAPIZADA CUERO NEGRO ESPALDAR Estado: Bueno Placa anterior: 000030415 Material: METALICO Color: NEGRO Referencia:  Observacion: EL BIEN TIENE PLACA ANTERIOR 00002963 Placa padre: Tipo adquisicion: Entidad"</f>
        <v>Descripcion: SILLA SPRISMAS INTERLOCUTORASTAPIZADA CUERO NEGRO ESPALDAR Estado: Bueno Placa anterior: 000030415 Material: METALICO Color: NEGRO Referencia:  Observacion: EL BIEN TIENE PLACA ANTERIOR 00002963 Placa padre: Tipo adquisicion: Entidad</v>
      </c>
      <c r="G24087" s="5"/>
    </row>
    <row r="24088" spans="1:7" ht="58.5" customHeight="1" x14ac:dyDescent="0.25">
      <c r="A24088" s="5" t="str">
        <f>"H0005098"</f>
        <v>H0005098</v>
      </c>
      <c r="B24088" s="5" t="str">
        <f>"DISPENSADOR DE AGUA"</f>
        <v>DISPENSADOR DE AGUA</v>
      </c>
      <c r="C24088" s="6">
        <v>715000</v>
      </c>
      <c r="D24088" s="5" t="s">
        <v>931</v>
      </c>
      <c r="E24088" s="5" t="str">
        <f t="shared" si="1202"/>
        <v>DOCENCIA E INVESTIGACION-FRANCY ARCHILA</v>
      </c>
      <c r="F24088" s="5" t="str">
        <f>"Descripcion: DISPENSADOR DE AGUA ABBA DA 0701 PUERTA NEVERA96X70X37 Estado: Excelente Placa anterior: 000030369 Material: METALICO Color: BLANCO Referencia:  Observacion: UNIVERSIDAD AUTONOMA DE BUCARAMANGA Placa padre: Tipo adquisicion: Donacion"</f>
        <v>Descripcion: DISPENSADOR DE AGUA ABBA DA 0701 PUERTA NEVERA96X70X37 Estado: Excelente Placa anterior: 000030369 Material: METALICO Color: BLANCO Referencia:  Observacion: UNIVERSIDAD AUTONOMA DE BUCARAMANGA Placa padre: Tipo adquisicion: Donacion</v>
      </c>
      <c r="G24088" s="5" t="str">
        <f>"DA-70B"</f>
        <v>DA-70B</v>
      </c>
    </row>
    <row r="24089" spans="1:7" ht="58.5" customHeight="1" x14ac:dyDescent="0.25">
      <c r="A24089" s="5" t="str">
        <f>"H0005100"</f>
        <v>H0005100</v>
      </c>
      <c r="B24089" s="5" t="str">
        <f>"MONITOR LCD"</f>
        <v>MONITOR LCD</v>
      </c>
      <c r="C24089" s="6">
        <v>760000</v>
      </c>
      <c r="D24089" s="5"/>
      <c r="E24089" s="5" t="str">
        <f t="shared" si="1202"/>
        <v>DOCENCIA E INVESTIGACION-FRANCY ARCHILA</v>
      </c>
      <c r="F24089" s="5" t="str">
        <f>"Descripcion: MONITOR LG DE 18.5 LCD Estado: Bueno Placa anterior: 000033536 Material: PLASTICO Color: NEGRO Referencia: FLATRON W1943SB Observacion:  Placa padre: Tipo adquisicion: Entidad"</f>
        <v>Descripcion: MONITOR LG DE 18.5 LCD Estado: Bueno Placa anterior: 000033536 Material: PLASTICO Color: NEGRO Referencia: FLATRON W1943SB Observacion:  Placa padre: Tipo adquisicion: Entidad</v>
      </c>
      <c r="G24089" s="5" t="str">
        <f>"W1943SI"</f>
        <v>W1943SI</v>
      </c>
    </row>
    <row r="24090" spans="1:7" ht="58.5" customHeight="1" x14ac:dyDescent="0.25">
      <c r="A24090" s="5" t="str">
        <f>"H0005101"</f>
        <v>H0005101</v>
      </c>
      <c r="B24090" s="5" t="str">
        <f>"VIDEOBEAM (VIDEO PROYECTOR)"</f>
        <v>VIDEOBEAM (VIDEO PROYECTOR)</v>
      </c>
      <c r="C24090" s="6">
        <v>3287440</v>
      </c>
      <c r="D24090" s="5" t="s">
        <v>256</v>
      </c>
      <c r="E24090" s="5" t="str">
        <f t="shared" si="1202"/>
        <v>DOCENCIA E INVESTIGACION-FRANCY ARCHILA</v>
      </c>
      <c r="F24090" s="5" t="str">
        <f>"Descripcion: VIDEO BEAM EPSON POWER LITE S 10 Estado: Bueno Placa anterior: 000029410 Material: PLASTICO Color: NEGRO Referencia: KR85 Observacion:  Placa padre: Tipo adquisicion: Entidad"</f>
        <v>Descripcion: VIDEO BEAM EPSON POWER LITE S 10 Estado: Bueno Placa anterior: 000029410 Material: PLASTICO Color: NEGRO Referencia: KR85 Observacion:  Placa padre: Tipo adquisicion: Entidad</v>
      </c>
      <c r="G24090" s="5" t="str">
        <f>"H369A"</f>
        <v>H369A</v>
      </c>
    </row>
    <row r="24091" spans="1:7" ht="58.5" customHeight="1" x14ac:dyDescent="0.25">
      <c r="A24091" s="5" t="str">
        <f>"H0005102"</f>
        <v>H0005102</v>
      </c>
      <c r="B24091" s="5" t="str">
        <f>"SILLA INTERLOCUTORA (FIJA) SIN BRAZOS"</f>
        <v>SILLA INTERLOCUTORA (FIJA) SIN BRAZOS</v>
      </c>
      <c r="C24091" s="6">
        <v>81200</v>
      </c>
      <c r="D24091" s="5" t="s">
        <v>34</v>
      </c>
      <c r="E24091" s="5" t="str">
        <f t="shared" si="1202"/>
        <v>DOCENCIA E INVESTIGACION-FRANCY ARCHILA</v>
      </c>
      <c r="F24091" s="5" t="str">
        <f>"Descripcion: TAPIZADA PAÑO AZUL Estado: Bueno Placa anterior: 000030392 Material: METALICO Color: AZUL Referencia:  Observacion:  Placa padre: Tipo adquisicion: Entidad"</f>
        <v>Descripcion: TAPIZADA PAÑO AZUL Estado: Bueno Placa anterior: 000030392 Material: METALICO Color: AZUL Referencia:  Observacion:  Placa padre: Tipo adquisicion: Entidad</v>
      </c>
      <c r="G24091" s="5"/>
    </row>
    <row r="24092" spans="1:7" ht="58.5" customHeight="1" x14ac:dyDescent="0.25">
      <c r="A24092" s="5" t="str">
        <f>"H0005105"</f>
        <v>H0005105</v>
      </c>
      <c r="B24092" s="5" t="str">
        <f>"ESCRITORIO METALICO 3 GAVETAS"</f>
        <v>ESCRITORIO METALICO 3 GAVETAS</v>
      </c>
      <c r="C24092" s="6">
        <v>945000</v>
      </c>
      <c r="D24092" s="5" t="s">
        <v>3</v>
      </c>
      <c r="E24092" s="5" t="str">
        <f t="shared" si="1202"/>
        <v>DOCENCIA E INVESTIGACION-FRANCY ARCHILA</v>
      </c>
      <c r="F24092" s="5" t="str">
        <f>"Descripcion: EN LPORTATECLADOSUPERFICIE EN MADEFLEX Estado: Bueno Placa anterior: 000029319 Material: METALICO Color: GRIS Referencia:  Observacion: FUNCIONARIO AUTORIZA SE CONCILIE CON PLACA  000029319 Placa padre: Tipo adquisicion: Entidad"</f>
        <v>Descripcion: EN LPORTATECLADOSUPERFICIE EN MADEFLEX Estado: Bueno Placa anterior: 000029319 Material: METALICO Color: GRIS Referencia:  Observacion: FUNCIONARIO AUTORIZA SE CONCILIE CON PLACA  000029319 Placa padre: Tipo adquisicion: Entidad</v>
      </c>
      <c r="G24092" s="5"/>
    </row>
    <row r="24093" spans="1:7" ht="58.5" customHeight="1" x14ac:dyDescent="0.25">
      <c r="A24093" s="5" t="str">
        <f>"H0005106"</f>
        <v>H0005106</v>
      </c>
      <c r="B24093" s="5" t="str">
        <f>"COMPUTADOR TODO EN UNO"</f>
        <v>COMPUTADOR TODO EN UNO</v>
      </c>
      <c r="C24093" s="6">
        <v>1200000</v>
      </c>
      <c r="D24093" s="5" t="s">
        <v>2</v>
      </c>
      <c r="E24093" s="5" t="str">
        <f t="shared" si="1202"/>
        <v>DOCENCIA E INVESTIGACION-FRANCY ARCHILA</v>
      </c>
      <c r="F24093" s="5" t="str">
        <f>"Descripcion: Intel pentiun G645 (2.9 Ghz/3MB/2 nucleos) memoria RAM 4GB DDR3-1600 SODIMM (1X4GB) Disco duro 500GB 7200 RPMSATA-6G Multi DVD/RM Licencia win 8 pro 64 Downgrade to Win 7 pro 64  Estado: Bueno Placa anterior: 000030790 Material: PLASTICO Colo"&amp; "r: NEGRO Referencia: HP COMPAQ 4300 Observacion:  Placa anterior:, Placa nueva=H0005107, Descripcion:., Serial:BCZZN0BVB4C343, Marca:HP, Modelo:KU-1156, Material:PLASTICO, Color:NEGRO,   Referencia:6726447-162LA, Placa anterior:, Placa nueva=H0005108, Des"&amp; "cripcion:OPTICO, Serial:FCMHH0CAU4F8QY, Marca:HP, Modelo:672652-01, Material:PLASTICO, Color:NEGRO,   Referencia:774316-001 Placa padre: Tipo adquisicion: Entidad"</f>
        <v>Descripcion: Intel pentiun G645 (2.9 Ghz/3MB/2 nucleos) memoria RAM 4GB DDR3-1600 SODIMM (1X4GB) Disco duro 500GB 7200 RPMSATA-6G Multi DVD/RM Licencia win 8 pro 64 Downgrade to Win 7 pro 64  Estado: Bueno Placa anterior: 000030790 Material: PLASTICO Color: NEGRO Referencia: HP COMPAQ 4300 Observacion:  Placa anterior:, Placa nueva=H0005107, Descripcion:., Serial:BCZZN0BVB4C343, Marca:HP, Modelo:KU-1156, Material:PLASTICO, Color:NEGRO,   Referencia:6726447-162LA, Placa anterior:, Placa nueva=H0005108, Descripcion:OPTICO, Serial:FCMHH0CAU4F8QY, Marca:HP, Modelo:672652-01, Material:PLASTICO, Color:NEGRO,   Referencia:774316-001 Placa padre: Tipo adquisicion: Entidad</v>
      </c>
      <c r="G24093" s="5" t="str">
        <f>"C9K24LT#ABM"</f>
        <v>C9K24LT#ABM</v>
      </c>
    </row>
    <row r="24094" spans="1:7" ht="58.5" customHeight="1" x14ac:dyDescent="0.25">
      <c r="A24094" s="5" t="str">
        <f>"H0005110"</f>
        <v>H0005110</v>
      </c>
      <c r="B24094" s="5" t="str">
        <f>"MANEJADORA (AIRE ACONDICIONADO)"</f>
        <v>MANEJADORA (AIRE ACONDICIONADO)</v>
      </c>
      <c r="C24094" s="6">
        <v>1435000</v>
      </c>
      <c r="D24094" s="5" t="s">
        <v>453</v>
      </c>
      <c r="E24094" s="5" t="str">
        <f t="shared" si="1202"/>
        <v>DOCENCIA E INVESTIGACION-FRANCY ARCHILA</v>
      </c>
      <c r="F24094" s="5" t="str">
        <f>"Descripcion: AIRE ACONDICIONADO TIPO TECHO12000 BTU Estado: Bueno Placa anterior: 000033526 Material: PLASTICO Color: BLANCO Referencia: CUSHI0 Observacion: AUTORIZADO CONCILIAR EN CRUCE GENERAL Placa padre: Tipo adquisicion: Entidad"</f>
        <v>Descripcion: AIRE ACONDICIONADO TIPO TECHO12000 BTU Estado: Bueno Placa anterior: 000033526 Material: PLASTICO Color: BLANCO Referencia: CUSHI0 Observacion: AUTORIZADO CONCILIAR EN CRUCE GENERAL Placa padre: Tipo adquisicion: Entidad</v>
      </c>
      <c r="G24094" s="5"/>
    </row>
    <row r="24095" spans="1:7" ht="58.5" customHeight="1" x14ac:dyDescent="0.25">
      <c r="A24095" s="5" t="str">
        <f>"H0005114"</f>
        <v>H0005114</v>
      </c>
      <c r="B24095" s="5" t="str">
        <f>"PERSIANA ALUMINIO"</f>
        <v>PERSIANA ALUMINIO</v>
      </c>
      <c r="C24095" s="6">
        <v>600000</v>
      </c>
      <c r="D24095" s="5" t="s">
        <v>807</v>
      </c>
      <c r="E24095" s="5" t="str">
        <f t="shared" si="1202"/>
        <v>DOCENCIA E INVESTIGACION-FRANCY ARCHILA</v>
      </c>
      <c r="F24095" s="5" t="str">
        <f>"Descripcion: 140X230 Estado: Regular Placa anterior: 000029558 Material: METALICO Color:  Referencia:  Observacion: FUNCIONARIO AUTORIZA SE CONCILIE CON PLACA    000029558.  Juego de Persianas con Placas H0005111,H0005112, H0005113 Y H0005114 Placa padre:"&amp; " Tipo adquisicion: Entidad"</f>
        <v>Descripcion: 140X230 Estado: Regular Placa anterior: 000029558 Material: METALICO Color:  Referencia:  Observacion: FUNCIONARIO AUTORIZA SE CONCILIE CON PLACA    000029558.  Juego de Persianas con Placas H0005111,H0005112, H0005113 Y H0005114 Placa padre: Tipo adquisicion: Entidad</v>
      </c>
      <c r="G24095" s="5"/>
    </row>
    <row r="24096" spans="1:7" ht="58.5" customHeight="1" x14ac:dyDescent="0.25">
      <c r="A24096" s="5" t="str">
        <f>"H0007043"</f>
        <v>H0007043</v>
      </c>
      <c r="B24096" s="5" t="str">
        <f>"SILLA INTERLOCUTORA (FIJA) SIN BRAZOS"</f>
        <v>SILLA INTERLOCUTORA (FIJA) SIN BRAZOS</v>
      </c>
      <c r="C24096" s="6">
        <v>220400</v>
      </c>
      <c r="D24096" s="5" t="s">
        <v>5</v>
      </c>
      <c r="E24096" s="5" t="str">
        <f t="shared" si="1202"/>
        <v>DOCENCIA E INVESTIGACION-FRANCY ARCHILA</v>
      </c>
      <c r="F24096" s="5" t="str">
        <f>"Descripcion: SILLAS INTERLOCUTORAS TAPIZADO DE ALTA DENSIDAD EN ASIENTO Y ESPALDAR EN PAÑO AZUL Estado: Bueno Placa anterior: 000029513 Material: METALICO Color: AZUL Referencia:  Observacion:  Placa padre: Tipo adquisicion: Entidad"</f>
        <v>Descripcion: SILLAS INTERLOCUTORAS TAPIZADO DE ALTA DENSIDAD EN ASIENTO Y ESPALDAR EN PAÑO AZUL Estado: Bueno Placa anterior: 000029513 Material: METALICO Color: AZUL Referencia:  Observacion:  Placa padre: Tipo adquisicion: Entidad</v>
      </c>
      <c r="G24096" s="5"/>
    </row>
    <row r="24097" spans="1:7" ht="58.5" customHeight="1" x14ac:dyDescent="0.25">
      <c r="A24097" s="5" t="str">
        <f>"H0007091"</f>
        <v>H0007091</v>
      </c>
      <c r="B24097" s="5" t="str">
        <f>"SILLA INTERLOCUTORA (FIJA) SIN BRAZOS"</f>
        <v>SILLA INTERLOCUTORA (FIJA) SIN BRAZOS</v>
      </c>
      <c r="C24097" s="6">
        <v>71340</v>
      </c>
      <c r="D24097" s="5"/>
      <c r="E24097" s="5" t="str">
        <f t="shared" si="1202"/>
        <v>DOCENCIA E INVESTIGACION-FRANCY ARCHILA</v>
      </c>
      <c r="F24097" s="5" t="str">
        <f>"Descripcion: SILLA INTERLOCUTORA COSMOS SI-33, ESTRUCTURA EN TUBO REDONDO DE 1 CAL. 18 TAPIZADA EN PAÑO AZUL Estado: Bueno Placa anterior: 000022787 Material: METALICO Color: AZUL Referencia:  Observacion:  Placa padre: Tipo adquisicion: Entidad"</f>
        <v>Descripcion: SILLA INTERLOCUTORA COSMOS SI-33, ESTRUCTURA EN TUBO REDONDO DE 1 CAL. 18 TAPIZADA EN PAÑO AZUL Estado: Bueno Placa anterior: 000022787 Material: METALICO Color: AZUL Referencia:  Observacion:  Placa padre: Tipo adquisicion: Entidad</v>
      </c>
      <c r="G24097" s="5"/>
    </row>
    <row r="24098" spans="1:7" ht="58.5" customHeight="1" x14ac:dyDescent="0.25">
      <c r="A24098" s="5" t="str">
        <f>"H0009806"</f>
        <v>H0009806</v>
      </c>
      <c r="B24098" s="5" t="str">
        <f>"BUTACO GIRATORIO SIN RUEDAS"</f>
        <v>BUTACO GIRATORIO SIN RUEDAS</v>
      </c>
      <c r="C24098" s="6">
        <v>220400</v>
      </c>
      <c r="D24098" s="5"/>
      <c r="E24098" s="5" t="str">
        <f t="shared" si="1202"/>
        <v>DOCENCIA E INVESTIGACION-FRANCY ARCHILA</v>
      </c>
      <c r="F24098" s="5" t="str">
        <f>"Descripcion: SILLA ERGONOMICA BP 03 COLM (CAJERO ALTO)BUTACO GIRATORIO EN PASTA COLOR NEGRO Estado: Bueno Placa anterior: 000025323 Material: PASTA Color: NEGRO Referencia:  Observacion:  Placa padre: Tipo adquisicion: Entidad"</f>
        <v>Descripcion: SILLA ERGONOMICA BP 03 COLM (CAJERO ALTO)BUTACO GIRATORIO EN PASTA COLOR NEGRO Estado: Bueno Placa anterior: 000025323 Material: PASTA Color: NEGRO Referencia:  Observacion:  Placa padre: Tipo adquisicion: Entidad</v>
      </c>
      <c r="G24098" s="5"/>
    </row>
    <row r="24099" spans="1:7" ht="58.5" customHeight="1" x14ac:dyDescent="0.25">
      <c r="A24099" s="5" t="str">
        <f>"H0010753"</f>
        <v>H0010753</v>
      </c>
      <c r="B24099" s="5" t="str">
        <f>"LOCKER DE 3 COMPARTIMIENTOS"</f>
        <v>LOCKER DE 3 COMPARTIMIENTOS</v>
      </c>
      <c r="C24099" s="6">
        <v>9130</v>
      </c>
      <c r="D24099" s="5"/>
      <c r="E24099" s="5" t="str">
        <f t="shared" ref="E24099:E24130" si="1204">"DOCENCIA E INVESTIGACION-FRANCY ARCHILA"</f>
        <v>DOCENCIA E INVESTIGACION-FRANCY ARCHILA</v>
      </c>
      <c r="F24099" s="5" t="str">
        <f>"Descripcion:LOCKER TIPO B (3 PUESTOS) Estado: Bueno Placa anterior: 000003573 Material: METALICO Color: GRIS Referencia:  Observacion:  Placa padre:  Tipo adquisicion : Entidad"</f>
        <v>Descripcion:LOCKER TIPO B (3 PUESTOS) Estado: Bueno Placa anterior: 000003573 Material: METALICO Color: GRIS Referencia:  Observacion:  Placa padre:  Tipo adquisicion : Entidad</v>
      </c>
      <c r="G24099" s="5"/>
    </row>
    <row r="24100" spans="1:7" ht="58.5" customHeight="1" x14ac:dyDescent="0.25">
      <c r="A24100" s="5" t="str">
        <f>"H0011679"</f>
        <v>H0011679</v>
      </c>
      <c r="B24100" s="5" t="str">
        <f>"SILLON (SOFA)"</f>
        <v>SILLON (SOFA)</v>
      </c>
      <c r="C24100" s="6">
        <v>21400</v>
      </c>
      <c r="D24100" s="5"/>
      <c r="E24100" s="5" t="str">
        <f t="shared" si="1204"/>
        <v>DOCENCIA E INVESTIGACION-FRANCY ARCHILA</v>
      </c>
      <c r="F24100" s="5" t="str">
        <f>"Descripcion: SOFA MADERA DE 3 PUESTOS COLOR NEGRO Estado: Malo Placa anterior: 000027563 Material: MADERA, TAPIZADO  Color: NEGRO Referencia:  Observacion:  Placa padre: Tipo adquisicion: Entidad"</f>
        <v>Descripcion: SOFA MADERA DE 3 PUESTOS COLOR NEGRO Estado: Malo Placa anterior: 000027563 Material: MADERA, TAPIZADO  Color: NEGRO Referencia:  Observacion:  Placa padre: Tipo adquisicion: Entidad</v>
      </c>
      <c r="G24100" s="5"/>
    </row>
    <row r="24101" spans="1:7" ht="58.5" customHeight="1" x14ac:dyDescent="0.25">
      <c r="A24101" s="5" t="str">
        <f>"H0013274"</f>
        <v>H0013274</v>
      </c>
      <c r="B24101" s="5" t="str">
        <f>"AIRE ACONDICIONADO TIPO VENTANA 18000 BTU"</f>
        <v>AIRE ACONDICIONADO TIPO VENTANA 18000 BTU</v>
      </c>
      <c r="C24101" s="6">
        <v>1282759</v>
      </c>
      <c r="D24101" s="5"/>
      <c r="E24101" s="5" t="str">
        <f t="shared" si="1204"/>
        <v>DOCENCIA E INVESTIGACION-FRANCY ARCHILA</v>
      </c>
      <c r="F24101" s="5" t="str">
        <f>"Descripcion: AIRE ACONDICIONADO TIPO VENTANA 18000 BTU Estado: Bueno Placa anterior: 000033087 Material: PLASTICO Color: BLANCO Referencia:  Observacion: AUTORIZADO CONCILIAR EN CRUCE GENERAL Placa padre: Tipo adquisicion: Entidad"</f>
        <v>Descripcion: AIRE ACONDICIONADO TIPO VENTANA 18000 BTU Estado: Bueno Placa anterior: 000033087 Material: PLASTICO Color: BLANCO Referencia:  Observacion: AUTORIZADO CONCILIAR EN CRUCE GENERAL Placa padre: Tipo adquisicion: Entidad</v>
      </c>
      <c r="G24101" s="5" t="str">
        <f>"GOLD"</f>
        <v>GOLD</v>
      </c>
    </row>
    <row r="24102" spans="1:7" ht="58.5" customHeight="1" x14ac:dyDescent="0.25">
      <c r="A24102" s="5" t="str">
        <f>"H0013282"</f>
        <v>H0013282</v>
      </c>
      <c r="B24102" s="5" t="str">
        <f>"COMPUTADOR TODO EN UNO"</f>
        <v>COMPUTADOR TODO EN UNO</v>
      </c>
      <c r="C24102" s="6">
        <v>1572000</v>
      </c>
      <c r="D24102" s="5" t="s">
        <v>346</v>
      </c>
      <c r="E24102" s="5" t="str">
        <f t="shared" si="1204"/>
        <v>DOCENCIA E INVESTIGACION-FRANCY ARCHILA</v>
      </c>
      <c r="F24102" s="5" t="str">
        <f>"Descripcion: EQUIPOS DE COMPUTO TODO EN UNO PROCESADOR CORE 3.0 SUPERIOR CORPORATIVO WINDOWS 8 PRO- OFFICE 2013 SMALL BUSINES, TECNOLOGIA HT DE INTEL GARANTIA EXTENDIDA A 3 AÑOS Estado: Bueno Placa anterior: 000030695 Material: PLASTICO Color: NEGRO Refer"&amp; "encia: C9G88LT Observacion:  Placa anterior:, Placa nueva=H0013281, Descripcion:TECLADO, Serial:BDMHE0C5Y5X1GW, Marca:HP, Modelo:, Material:PLASTICO, Color:NEGRO,   Referencia:, Placa anterior:, Placa nueva=H0013283, Descripcion:MOUSE, Serial:672552-001, "&amp; "Marca:, Modelo:, Material:PLASTICO, Color:NEGRO,   Referencia: Placa padre: Tipo adquisicion: Entidad"</f>
        <v>Descripcion: EQUIPOS DE COMPUTO TODO EN UNO PROCESADOR CORE 3.0 SUPERIOR CORPORATIVO WINDOWS 8 PRO- OFFICE 2013 SMALL BUSINES, TECNOLOGIA HT DE INTEL GARANTIA EXTENDIDA A 3 AÑOS Estado: Bueno Placa anterior: 000030695 Material: PLASTICO Color: NEGRO Referencia: C9G88LT Observacion:  Placa anterior:, Placa nueva=H0013281, Descripcion:TECLADO, Serial:BDMHE0C5Y5X1GW, Marca:HP, Modelo:, Material:PLASTICO, Color:NEGRO,   Referencia:, Placa anterior:, Placa nueva=H0013283, Descripcion:MOUSE, Serial:672552-001, Marca:, Modelo:, Material:PLASTICO, Color:NEGRO,   Referencia: Placa padre: Tipo adquisicion: Entidad</v>
      </c>
      <c r="G24102" s="5" t="str">
        <f>"HP COMPAQ PRO 4300"</f>
        <v>HP COMPAQ PRO 4300</v>
      </c>
    </row>
    <row r="24103" spans="1:7" ht="58.5" customHeight="1" x14ac:dyDescent="0.25">
      <c r="A24103" s="5" t="str">
        <f>"H0015641"</f>
        <v>H0015641</v>
      </c>
      <c r="B24103" s="5" t="str">
        <f>"MESA METALICA AUXILIAR"</f>
        <v>MESA METALICA AUXILIAR</v>
      </c>
      <c r="C24103" s="6">
        <v>21620</v>
      </c>
      <c r="D24103" s="5"/>
      <c r="E24103" s="5" t="str">
        <f t="shared" si="1204"/>
        <v>DOCENCIA E INVESTIGACION-FRANCY ARCHILA</v>
      </c>
      <c r="F24103" s="5" t="str">
        <f>"Descripcion:MESA METALICA AUXILIAR CON TAPA DE ALA Estado: Bueno Placa anterior: 000002400 Material: METALICO Color: GRIS CLARO Y OSCURO Referencia:  Observacion: EL BIEN TIENE PLACA ANTERIOR 000000705  AUTORIZADO CONCILIAR EN CRUCE GENERAL Placa padre:  "&amp; "Tipo adquisicion : Entidad"</f>
        <v>Descripcion:MESA METALICA AUXILIAR CON TAPA DE ALA Estado: Bueno Placa anterior: 000002400 Material: METALICO Color: GRIS CLARO Y OSCURO Referencia:  Observacion: EL BIEN TIENE PLACA ANTERIOR 000000705  AUTORIZADO CONCILIAR EN CRUCE GENERAL Placa padre:  Tipo adquisicion : Entidad</v>
      </c>
      <c r="G24103" s="5"/>
    </row>
    <row r="24104" spans="1:7" ht="58.5" customHeight="1" x14ac:dyDescent="0.25">
      <c r="A24104" s="5" t="str">
        <f>"H0016283"</f>
        <v>H0016283</v>
      </c>
      <c r="B24104" s="5" t="str">
        <f>"PUESTO DE TRABAJO EN L"</f>
        <v>PUESTO DE TRABAJO EN L</v>
      </c>
      <c r="C24104" s="6">
        <v>199900</v>
      </c>
      <c r="D24104" s="5" t="s">
        <v>932</v>
      </c>
      <c r="E24104" s="5" t="str">
        <f t="shared" si="1204"/>
        <v>DOCENCIA E INVESTIGACION-FRANCY ARCHILA</v>
      </c>
      <c r="F24104" s="5" t="str">
        <f>"Descripcion: ESCRITORIO EN L (CENTRO DE TRABAJO) CON CAJON DE 74X122X42 CMS CEDRO COD. 201368 Estado: Bueno Placa anterior: 000030231 Material: FORMICA Color: NEGRO Referencia:  Observacion: ESCRITORIO EN L CON UNA GAVETA Y DOS COMPARTIMIENTOS Placa padre"&amp; ": Tipo adquisicion: Entidad"</f>
        <v>Descripcion: ESCRITORIO EN L (CENTRO DE TRABAJO) CON CAJON DE 74X122X42 CMS CEDRO COD. 201368 Estado: Bueno Placa anterior: 000030231 Material: FORMICA Color: NEGRO Referencia:  Observacion: ESCRITORIO EN L CON UNA GAVETA Y DOS COMPARTIMIENTOS Placa padre: Tipo adquisicion: Entidad</v>
      </c>
      <c r="G24104" s="5"/>
    </row>
    <row r="24105" spans="1:7" ht="58.5" customHeight="1" x14ac:dyDescent="0.25">
      <c r="A24105" s="5" t="str">
        <f>"H0017222"</f>
        <v>H0017222</v>
      </c>
      <c r="B24105" s="5" t="str">
        <f>"SILLA ERGONOMICA TIPO SECRETARIA SIN BRAZOS"</f>
        <v>SILLA ERGONOMICA TIPO SECRETARIA SIN BRAZOS</v>
      </c>
      <c r="C24105" s="6">
        <v>323640</v>
      </c>
      <c r="D24105" s="5"/>
      <c r="E24105" s="5" t="str">
        <f t="shared" si="1204"/>
        <v>DOCENCIA E INVESTIGACION-FRANCY ARCHILA</v>
      </c>
      <c r="F24105" s="5" t="str">
        <f>"Descripcion: SILLA ERGONOMICA AT 03 COLUM (CAJERO ALTO TA) Estado: Regular Placa anterior: 000025237 Material: PASTA Color: NEGRO Referencia:  Observacion:  Placa padre: Tipo adquisicion: Entidad"</f>
        <v>Descripcion: SILLA ERGONOMICA AT 03 COLUM (CAJERO ALTO TA) Estado: Regular Placa anterior: 000025237 Material: PASTA Color: NEGRO Referencia:  Observacion:  Placa padre: Tipo adquisicion: Entidad</v>
      </c>
      <c r="G24105" s="5"/>
    </row>
    <row r="24106" spans="1:7" ht="58.5" customHeight="1" x14ac:dyDescent="0.25">
      <c r="A24106" s="5" t="str">
        <f>"H0018136"</f>
        <v>H0018136</v>
      </c>
      <c r="B24106" s="5" t="str">
        <f>"SILLA TANDEM DE 4 PUESTOS"</f>
        <v>SILLA TANDEM DE 4 PUESTOS</v>
      </c>
      <c r="C24106" s="6">
        <v>740000</v>
      </c>
      <c r="D24106" s="5" t="s">
        <v>529</v>
      </c>
      <c r="E24106" s="5" t="str">
        <f t="shared" si="1204"/>
        <v>DOCENCIA E INVESTIGACION-FRANCY ARCHILA</v>
      </c>
      <c r="F24106" s="5" t="str">
        <f>"Descripcion: SILLA TANDEM DE 4 PUESTOS Estado: Bueno Placa anterior:  Material: METALICO, ASIENTO PLASTICO Color: AZUL Referencia:  Observacion:  Placa padre: Tipo adquisicion: Donacion"</f>
        <v>Descripcion: SILLA TANDEM DE 4 PUESTOS Estado: Bueno Placa anterior:  Material: METALICO, ASIENTO PLASTICO Color: AZUL Referencia:  Observacion:  Placa padre: Tipo adquisicion: Donacion</v>
      </c>
      <c r="G24106" s="5"/>
    </row>
    <row r="24107" spans="1:7" ht="58.5" customHeight="1" x14ac:dyDescent="0.25">
      <c r="A24107" s="5" t="str">
        <f>"H0018142"</f>
        <v>H0018142</v>
      </c>
      <c r="B24107" s="5" t="str">
        <f>"SILLA TANDEM DE 4 PUESTOS"</f>
        <v>SILLA TANDEM DE 4 PUESTOS</v>
      </c>
      <c r="C24107" s="6">
        <v>740000</v>
      </c>
      <c r="D24107" s="5" t="s">
        <v>529</v>
      </c>
      <c r="E24107" s="5" t="str">
        <f t="shared" si="1204"/>
        <v>DOCENCIA E INVESTIGACION-FRANCY ARCHILA</v>
      </c>
      <c r="F24107" s="5" t="str">
        <f>"Descripcion: SILLA TANDEM DE 4 PUESTOS Estado: Bueno Placa anterior:  Material: METALICO, ASIENTO PLASTICO Color: AZUL Referencia:  Observacion:  Placa padre: Tipo adquisicion: Donacion"</f>
        <v>Descripcion: SILLA TANDEM DE 4 PUESTOS Estado: Bueno Placa anterior:  Material: METALICO, ASIENTO PLASTICO Color: AZUL Referencia:  Observacion:  Placa padre: Tipo adquisicion: Donacion</v>
      </c>
      <c r="G24107" s="5"/>
    </row>
    <row r="24108" spans="1:7" ht="58.5" customHeight="1" x14ac:dyDescent="0.25">
      <c r="A24108" s="5" t="str">
        <f>"H0018143"</f>
        <v>H0018143</v>
      </c>
      <c r="B24108" s="5" t="str">
        <f>"SILLA TANDEM DE 4 PUESTOS"</f>
        <v>SILLA TANDEM DE 4 PUESTOS</v>
      </c>
      <c r="C24108" s="6">
        <v>740000</v>
      </c>
      <c r="D24108" s="5" t="s">
        <v>529</v>
      </c>
      <c r="E24108" s="5" t="str">
        <f t="shared" si="1204"/>
        <v>DOCENCIA E INVESTIGACION-FRANCY ARCHILA</v>
      </c>
      <c r="F24108" s="5" t="str">
        <f>"Descripcion: SILLA TANDEM DE 4 PUESTOS Estado: Bueno Placa anterior:  Material: METALICO, ASIENTO PLASTICO Color: AZUL Referencia:  Observacion:  Placa padre: Tipo adquisicion: Donacion"</f>
        <v>Descripcion: SILLA TANDEM DE 4 PUESTOS Estado: Bueno Placa anterior:  Material: METALICO, ASIENTO PLASTICO Color: AZUL Referencia:  Observacion:  Placa padre: Tipo adquisicion: Donacion</v>
      </c>
      <c r="G24108" s="5"/>
    </row>
    <row r="24109" spans="1:7" ht="58.5" customHeight="1" x14ac:dyDescent="0.25">
      <c r="A24109" s="5" t="str">
        <f>"H0018148"</f>
        <v>H0018148</v>
      </c>
      <c r="B24109" s="5" t="str">
        <f>"CAMILLA FIJA (TIPO DIVAN)"</f>
        <v>CAMILLA FIJA (TIPO DIVAN)</v>
      </c>
      <c r="C24109" s="6">
        <v>381930</v>
      </c>
      <c r="D24109" s="5"/>
      <c r="E24109" s="5" t="str">
        <f t="shared" si="1204"/>
        <v>DOCENCIA E INVESTIGACION-FRANCY ARCHILA</v>
      </c>
      <c r="F24109" s="5" t="str">
        <f>"Descripcion: CAMILLA FIJA TIPO DIVAN Estado: Bueno Placa anterior: 000019422 Material: METALICO Color: GRIS CON NEGRO Referencia:  Observacion: AUTORIZADO CONCILIAR EN CRUCE GENERAL Placa padre: Tipo adquisicion: Entidad"</f>
        <v>Descripcion: CAMILLA FIJA TIPO DIVAN Estado: Bueno Placa anterior: 000019422 Material: METALICO Color: GRIS CON NEGRO Referencia:  Observacion: AUTORIZADO CONCILIAR EN CRUCE GENERAL Placa padre: Tipo adquisicion: Entidad</v>
      </c>
      <c r="G24109" s="5"/>
    </row>
    <row r="24110" spans="1:7" ht="58.5" customHeight="1" x14ac:dyDescent="0.25">
      <c r="A24110" s="5" t="str">
        <f>"H0018151"</f>
        <v>H0018151</v>
      </c>
      <c r="B24110" s="5" t="str">
        <f>"LOCKER DE 6 COMPARTIMIENTOS"</f>
        <v>LOCKER DE 6 COMPARTIMIENTOS</v>
      </c>
      <c r="C24110" s="6">
        <v>603200</v>
      </c>
      <c r="D24110" s="5"/>
      <c r="E24110" s="5" t="str">
        <f t="shared" si="1204"/>
        <v>DOCENCIA E INVESTIGACION-FRANCY ARCHILA</v>
      </c>
      <c r="F24110" s="5" t="str">
        <f>"Descripcion: LOCKER DE 6 COMPARTIMIENTOS 2 CUERPOS Estado: Bueno Placa anterior: 000026374 Material: METALICO Color: NEGRO Referencia:  Observacion: AUTORIZADO CONCILIAR EN CRUCE GENERAL Placa padre: Tipo adquisicion: Entidad"</f>
        <v>Descripcion: LOCKER DE 6 COMPARTIMIENTOS 2 CUERPOS Estado: Bueno Placa anterior: 000026374 Material: METALICO Color: NEGRO Referencia:  Observacion: AUTORIZADO CONCILIAR EN CRUCE GENERAL Placa padre: Tipo adquisicion: Entidad</v>
      </c>
      <c r="G24110" s="5"/>
    </row>
    <row r="24111" spans="1:7" ht="58.5" customHeight="1" x14ac:dyDescent="0.25">
      <c r="A24111" s="5" t="str">
        <f>"H0018154"</f>
        <v>H0018154</v>
      </c>
      <c r="B24111" s="5" t="str">
        <f>"ESTANTE METALICO 5 ENTREPAÑOS"</f>
        <v>ESTANTE METALICO 5 ENTREPAÑOS</v>
      </c>
      <c r="C24111" s="6">
        <v>37975.519999999997</v>
      </c>
      <c r="D24111" s="5"/>
      <c r="E24111" s="5" t="str">
        <f t="shared" si="1204"/>
        <v>DOCENCIA E INVESTIGACION-FRANCY ARCHILA</v>
      </c>
      <c r="F24111" s="5" t="str">
        <f>"Descripcion: ESTANTE METALICO 5 ENTREPAÑOS Estado: Malo Placa anterior: 000001344 Material: METALICO Color: GRIS Referencia:  Observacion:  Placa padre: Tipo adquisicion: Donacion"</f>
        <v>Descripcion: ESTANTE METALICO 5 ENTREPAÑOS Estado: Malo Placa anterior: 000001344 Material: METALICO Color: GRIS Referencia:  Observacion:  Placa padre: Tipo adquisicion: Donacion</v>
      </c>
      <c r="G24111" s="5"/>
    </row>
    <row r="24112" spans="1:7" ht="58.5" customHeight="1" x14ac:dyDescent="0.25">
      <c r="A24112" s="5" t="str">
        <f>"H0018160"</f>
        <v>H0018160</v>
      </c>
      <c r="B24112" s="5" t="str">
        <f>"SILLA INTERLOCUTORA (FIJA) SIN BRAZOS"</f>
        <v>SILLA INTERLOCUTORA (FIJA) SIN BRAZOS</v>
      </c>
      <c r="C24112" s="6">
        <v>81200</v>
      </c>
      <c r="D24112" s="5" t="s">
        <v>34</v>
      </c>
      <c r="E24112" s="5" t="str">
        <f t="shared" si="1204"/>
        <v>DOCENCIA E INVESTIGACION-FRANCY ARCHILA</v>
      </c>
      <c r="F24112" s="5" t="str">
        <f>"Descripcion: SILLA INTERLOCUTORA SIN BRAZOS TAPIZADO Estado: Bueno Placa anterior: 000030407 Material: METALICO, TAPIZADO EN PAÑO Color: VINOTINTO Referencia:  Observacion:  Placa padre: Tipo adquisicion: Donacion"</f>
        <v>Descripcion: SILLA INTERLOCUTORA SIN BRAZOS TAPIZADO Estado: Bueno Placa anterior: 000030407 Material: METALICO, TAPIZADO EN PAÑO Color: VINOTINTO Referencia:  Observacion:  Placa padre: Tipo adquisicion: Donacion</v>
      </c>
      <c r="G24112" s="5"/>
    </row>
    <row r="24113" spans="1:7" ht="58.5" customHeight="1" x14ac:dyDescent="0.25">
      <c r="A24113" s="5" t="str">
        <f>"H0018161"</f>
        <v>H0018161</v>
      </c>
      <c r="B24113" s="5" t="str">
        <f>"SILLA TANDEM DE 4 PUESTOS"</f>
        <v>SILLA TANDEM DE 4 PUESTOS</v>
      </c>
      <c r="C24113" s="6">
        <v>740000</v>
      </c>
      <c r="D24113" s="5" t="s">
        <v>529</v>
      </c>
      <c r="E24113" s="5" t="str">
        <f t="shared" si="1204"/>
        <v>DOCENCIA E INVESTIGACION-FRANCY ARCHILA</v>
      </c>
      <c r="F24113" s="5" t="str">
        <f>"Descripcion: SILLA TANDEM DE 4 PUESTOS Estado: Bueno Placa anterior:  Material: METALICO, ASIENTO PLASTICO Color: AZUL Referencia:  Observacion:  Placa padre: Tipo adquisicion: Donacion"</f>
        <v>Descripcion: SILLA TANDEM DE 4 PUESTOS Estado: Bueno Placa anterior:  Material: METALICO, ASIENTO PLASTICO Color: AZUL Referencia:  Observacion:  Placa padre: Tipo adquisicion: Donacion</v>
      </c>
      <c r="G24113" s="5"/>
    </row>
    <row r="24114" spans="1:7" ht="58.5" customHeight="1" x14ac:dyDescent="0.25">
      <c r="A24114" s="5" t="str">
        <f>"H0018841"</f>
        <v>H0018841</v>
      </c>
      <c r="B24114" s="5" t="str">
        <f>"ESTANTE METALICO 6 ENTREPAÑOS"</f>
        <v>ESTANTE METALICO 6 ENTREPAÑOS</v>
      </c>
      <c r="C24114" s="6">
        <v>24714.18</v>
      </c>
      <c r="D24114" s="5"/>
      <c r="E24114" s="5" t="str">
        <f t="shared" si="1204"/>
        <v>DOCENCIA E INVESTIGACION-FRANCY ARCHILA</v>
      </c>
      <c r="F24114" s="5" t="str">
        <f>"Descripcion:ESTANTE METALICO DE 6 ENTREPAÑOS Estado: Bueno Placa anterior: 000021234 Material: METALICO Color: GRIS Referencia:  Observacion:  Placa padre:  Tipo adquisicion : Entidad"</f>
        <v>Descripcion:ESTANTE METALICO DE 6 ENTREPAÑOS Estado: Bueno Placa anterior: 000021234 Material: METALICO Color: GRIS Referencia:  Observacion:  Placa padre:  Tipo adquisicion : Entidad</v>
      </c>
      <c r="G24114" s="5"/>
    </row>
    <row r="24115" spans="1:7" ht="58.5" customHeight="1" x14ac:dyDescent="0.25">
      <c r="A24115" s="5" t="str">
        <f>"H0018842"</f>
        <v>H0018842</v>
      </c>
      <c r="B24115" s="5" t="str">
        <f>"ESTANTE METALICO 6 ENTREPAÑOS"</f>
        <v>ESTANTE METALICO 6 ENTREPAÑOS</v>
      </c>
      <c r="C24115" s="6">
        <v>37633</v>
      </c>
      <c r="D24115" s="5"/>
      <c r="E24115" s="5" t="str">
        <f t="shared" si="1204"/>
        <v>DOCENCIA E INVESTIGACION-FRANCY ARCHILA</v>
      </c>
      <c r="F24115" s="5" t="str">
        <f>"Descripcion:ESTANTE METALICO DE 6 ENTREPAÑOS Estado: Bueno Placa anterior: 000000946 Material: METALICO Color: GRIS Referencia:  Observacion:  Placa padre:  Tipo adquisicion : Entidad"</f>
        <v>Descripcion:ESTANTE METALICO DE 6 ENTREPAÑOS Estado: Bueno Placa anterior: 000000946 Material: METALICO Color: GRIS Referencia:  Observacion:  Placa padre:  Tipo adquisicion : Entidad</v>
      </c>
      <c r="G24115" s="5"/>
    </row>
    <row r="24116" spans="1:7" ht="58.5" customHeight="1" x14ac:dyDescent="0.25">
      <c r="A24116" s="5" t="str">
        <f>"H0019352"</f>
        <v>H0019352</v>
      </c>
      <c r="B24116" s="5" t="str">
        <f>"TELEVISOR LCD 32"</f>
        <v>TELEVISOR LCD 32</v>
      </c>
      <c r="C24116" s="6">
        <v>678000</v>
      </c>
      <c r="D24116" s="5" t="s">
        <v>835</v>
      </c>
      <c r="E24116" s="5" t="str">
        <f t="shared" si="1204"/>
        <v>DOCENCIA E INVESTIGACION-FRANCY ARCHILA</v>
      </c>
      <c r="F24116" s="5" t="str">
        <f>"Descripcion: TELEVISOR LCD 32  Estado: Bueno Placa anterior: 000030359 Material: PLASTICO Color: NEGRO Referencia:  Observacion:  Placa padre: Tipo adquisicion: Donacion"</f>
        <v>Descripcion: TELEVISOR LCD 32  Estado: Bueno Placa anterior: 000030359 Material: PLASTICO Color: NEGRO Referencia:  Observacion:  Placa padre: Tipo adquisicion: Donacion</v>
      </c>
      <c r="G24116" s="5"/>
    </row>
    <row r="24117" spans="1:7" ht="58.5" customHeight="1" x14ac:dyDescent="0.25">
      <c r="A24117" s="5" t="str">
        <f>"H0019353"</f>
        <v>H0019353</v>
      </c>
      <c r="B24117" s="5" t="str">
        <f>"CAMA"</f>
        <v>CAMA</v>
      </c>
      <c r="C24117" s="6">
        <v>21091.14</v>
      </c>
      <c r="D24117" s="5"/>
      <c r="E24117" s="5" t="str">
        <f t="shared" si="1204"/>
        <v>DOCENCIA E INVESTIGACION-FRANCY ARCHILA</v>
      </c>
      <c r="F24117" s="5" t="str">
        <f>"Descripcion: CAMA SENCILLA EN MADERA Estado: Bueno Placa anterior: 000002495 Material: MADERA Color: MADERA CLARO Referencia:  Observacion: FORMA PARTE DE UN CAMAROTE, CON PLACA H0019354 Placa padre: Tipo adquisicion: Donacion"</f>
        <v>Descripcion: CAMA SENCILLA EN MADERA Estado: Bueno Placa anterior: 000002495 Material: MADERA Color: MADERA CLARO Referencia:  Observacion: FORMA PARTE DE UN CAMAROTE, CON PLACA H0019354 Placa padre: Tipo adquisicion: Donacion</v>
      </c>
      <c r="G24117" s="5"/>
    </row>
    <row r="24118" spans="1:7" ht="58.5" customHeight="1" x14ac:dyDescent="0.25">
      <c r="A24118" s="5" t="str">
        <f>"H0020987"</f>
        <v>H0020987</v>
      </c>
      <c r="B24118" s="5" t="s">
        <v>933</v>
      </c>
      <c r="C24118" s="6">
        <v>800000</v>
      </c>
      <c r="D24118" s="5" t="s">
        <v>603</v>
      </c>
      <c r="E24118" s="5" t="str">
        <f t="shared" si="1204"/>
        <v>DOCENCIA E INVESTIGACION-FRANCY ARCHILA</v>
      </c>
      <c r="F24118" s="5"/>
      <c r="G24118" s="5"/>
    </row>
    <row r="24119" spans="1:7" ht="58.5" customHeight="1" x14ac:dyDescent="0.25">
      <c r="A24119" s="5" t="str">
        <f>"H0020989"</f>
        <v>H0020989</v>
      </c>
      <c r="B24119" s="5" t="s">
        <v>933</v>
      </c>
      <c r="C24119" s="6">
        <v>800000</v>
      </c>
      <c r="D24119" s="5" t="s">
        <v>603</v>
      </c>
      <c r="E24119" s="5" t="str">
        <f t="shared" si="1204"/>
        <v>DOCENCIA E INVESTIGACION-FRANCY ARCHILA</v>
      </c>
      <c r="F24119" s="5"/>
      <c r="G24119" s="5"/>
    </row>
    <row r="24120" spans="1:7" ht="58.5" customHeight="1" x14ac:dyDescent="0.25">
      <c r="A24120" s="5" t="str">
        <f>"H0022134"</f>
        <v>H0022134</v>
      </c>
      <c r="B24120"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4120" s="6">
        <v>241999.99</v>
      </c>
      <c r="D24120" s="5" t="s">
        <v>499</v>
      </c>
      <c r="E24120" s="5" t="str">
        <f t="shared" si="1204"/>
        <v>DOCENCIA E INVESTIGACION-FRANCY ARCHILA</v>
      </c>
      <c r="F24120" s="5"/>
      <c r="G24120" s="5"/>
    </row>
    <row r="24121" spans="1:7" ht="58.5" customHeight="1" x14ac:dyDescent="0.25">
      <c r="A24121" s="5" t="str">
        <f>"H0022763"</f>
        <v>H0022763</v>
      </c>
      <c r="B24121" s="5" t="str">
        <f t="shared" ref="B24121:B24137" si="1205">"SILLA INTERLOCUTORA (FIJA) SIN BRAZOS"</f>
        <v>SILLA INTERLOCUTORA (FIJA) SIN BRAZOS</v>
      </c>
      <c r="C24121" s="6">
        <v>81200</v>
      </c>
      <c r="D24121" s="5" t="s">
        <v>34</v>
      </c>
      <c r="E24121" s="5" t="str">
        <f t="shared" si="1204"/>
        <v>DOCENCIA E INVESTIGACION-FRANCY ARCHILA</v>
      </c>
      <c r="F24121" s="5" t="str">
        <f>"Descripcion: SILLA PRISMA Estado: Bueno Placa anterior: 000030411 Material: METALICO Y PAÑO Color: NEGRO Referencia:  Observacion:  Placa padre: Tipo adquisicion: Entidad"</f>
        <v>Descripcion: SILLA PRISMA Estado: Bueno Placa anterior: 000030411 Material: METALICO Y PAÑO Color: NEGRO Referencia:  Observacion:  Placa padre: Tipo adquisicion: Entidad</v>
      </c>
      <c r="G24121" s="5"/>
    </row>
    <row r="24122" spans="1:7" ht="58.5" customHeight="1" x14ac:dyDescent="0.25">
      <c r="A24122" s="5" t="str">
        <f>"H0022764"</f>
        <v>H0022764</v>
      </c>
      <c r="B24122" s="5" t="str">
        <f t="shared" si="1205"/>
        <v>SILLA INTERLOCUTORA (FIJA) SIN BRAZOS</v>
      </c>
      <c r="C24122" s="6">
        <v>81200</v>
      </c>
      <c r="D24122" s="5" t="s">
        <v>34</v>
      </c>
      <c r="E24122" s="5" t="str">
        <f t="shared" si="1204"/>
        <v>DOCENCIA E INVESTIGACION-FRANCY ARCHILA</v>
      </c>
      <c r="F24122" s="5" t="str">
        <f>"Descripcion: SILLA PRISMA Estado: Bueno Placa anterior: 000030402 Material: METALICO Y PAÑO Color: NEGRO Referencia:  Observacion:  Placa padre: Tipo adquisicion: Entidad"</f>
        <v>Descripcion: SILLA PRISMA Estado: Bueno Placa anterior: 000030402 Material: METALICO Y PAÑO Color: NEGRO Referencia:  Observacion:  Placa padre: Tipo adquisicion: Entidad</v>
      </c>
      <c r="G24122" s="5"/>
    </row>
    <row r="24123" spans="1:7" ht="58.5" customHeight="1" x14ac:dyDescent="0.25">
      <c r="A24123" s="5" t="str">
        <f>"H0022765"</f>
        <v>H0022765</v>
      </c>
      <c r="B24123" s="5" t="str">
        <f t="shared" si="1205"/>
        <v>SILLA INTERLOCUTORA (FIJA) SIN BRAZOS</v>
      </c>
      <c r="C24123" s="6">
        <v>81200</v>
      </c>
      <c r="D24123" s="5" t="s">
        <v>34</v>
      </c>
      <c r="E24123" s="5" t="str">
        <f t="shared" si="1204"/>
        <v>DOCENCIA E INVESTIGACION-FRANCY ARCHILA</v>
      </c>
      <c r="F24123" s="5" t="str">
        <f>"Descripcion: SILLA PRISMA Estado: Bueno Placa anterior: 000030404 Material: METALICO Y PAÑO Color: NEGRO Referencia:  Observacion:  Placa padre: Tipo adquisicion: Entidad"</f>
        <v>Descripcion: SILLA PRISMA Estado: Bueno Placa anterior: 000030404 Material: METALICO Y PAÑO Color: NEGRO Referencia:  Observacion:  Placa padre: Tipo adquisicion: Entidad</v>
      </c>
      <c r="G24123" s="5"/>
    </row>
    <row r="24124" spans="1:7" ht="58.5" customHeight="1" x14ac:dyDescent="0.25">
      <c r="A24124" s="5" t="str">
        <f>"H0022766"</f>
        <v>H0022766</v>
      </c>
      <c r="B24124" s="5" t="str">
        <f t="shared" si="1205"/>
        <v>SILLA INTERLOCUTORA (FIJA) SIN BRAZOS</v>
      </c>
      <c r="C24124" s="6">
        <v>81200</v>
      </c>
      <c r="D24124" s="5" t="s">
        <v>34</v>
      </c>
      <c r="E24124" s="5" t="str">
        <f t="shared" si="1204"/>
        <v>DOCENCIA E INVESTIGACION-FRANCY ARCHILA</v>
      </c>
      <c r="F24124" s="5" t="str">
        <f>"Descripcion: SILLA PRISMA Estado: Bueno Placa anterior: 000030400 Material: METALICO Y PAÑO Color: NEGRO Referencia:  Observacion:  Placa padre: Tipo adquisicion: Entidad"</f>
        <v>Descripcion: SILLA PRISMA Estado: Bueno Placa anterior: 000030400 Material: METALICO Y PAÑO Color: NEGRO Referencia:  Observacion:  Placa padre: Tipo adquisicion: Entidad</v>
      </c>
      <c r="G24124" s="5"/>
    </row>
    <row r="24125" spans="1:7" ht="58.5" customHeight="1" x14ac:dyDescent="0.25">
      <c r="A24125" s="5" t="str">
        <f>"H0022767"</f>
        <v>H0022767</v>
      </c>
      <c r="B24125" s="5" t="str">
        <f t="shared" si="1205"/>
        <v>SILLA INTERLOCUTORA (FIJA) SIN BRAZOS</v>
      </c>
      <c r="C24125" s="6">
        <v>81200</v>
      </c>
      <c r="D24125" s="5" t="s">
        <v>34</v>
      </c>
      <c r="E24125" s="5" t="str">
        <f t="shared" si="1204"/>
        <v>DOCENCIA E INVESTIGACION-FRANCY ARCHILA</v>
      </c>
      <c r="F24125" s="5" t="str">
        <f>"Descripcion: SILLA PRISMA Estado: Bueno Placa anterior: 000030399 Material: METALICO Y PAÑO Color: NEGRO Referencia:  Observacion:  Placa padre: Tipo adquisicion: Entidad"</f>
        <v>Descripcion: SILLA PRISMA Estado: Bueno Placa anterior: 000030399 Material: METALICO Y PAÑO Color: NEGRO Referencia:  Observacion:  Placa padre: Tipo adquisicion: Entidad</v>
      </c>
      <c r="G24125" s="5"/>
    </row>
    <row r="24126" spans="1:7" ht="58.5" customHeight="1" x14ac:dyDescent="0.25">
      <c r="A24126" s="5" t="str">
        <f>"H0022768"</f>
        <v>H0022768</v>
      </c>
      <c r="B24126" s="5" t="str">
        <f t="shared" si="1205"/>
        <v>SILLA INTERLOCUTORA (FIJA) SIN BRAZOS</v>
      </c>
      <c r="C24126" s="6">
        <v>81200</v>
      </c>
      <c r="D24126" s="5" t="s">
        <v>34</v>
      </c>
      <c r="E24126" s="5" t="str">
        <f t="shared" si="1204"/>
        <v>DOCENCIA E INVESTIGACION-FRANCY ARCHILA</v>
      </c>
      <c r="F24126" s="5" t="str">
        <f>"Descripcion: SILLA PRISMA Estado: Bueno Placa anterior: 000030406 Material: METALICO Y PAÑO Color: NEGRO Referencia:  Observacion:  Placa padre: Tipo adquisicion: Entidad"</f>
        <v>Descripcion: SILLA PRISMA Estado: Bueno Placa anterior: 000030406 Material: METALICO Y PAÑO Color: NEGRO Referencia:  Observacion:  Placa padre: Tipo adquisicion: Entidad</v>
      </c>
      <c r="G24126" s="5"/>
    </row>
    <row r="24127" spans="1:7" ht="58.5" customHeight="1" x14ac:dyDescent="0.25">
      <c r="A24127" s="5" t="str">
        <f>"H0022769"</f>
        <v>H0022769</v>
      </c>
      <c r="B24127" s="5" t="str">
        <f t="shared" si="1205"/>
        <v>SILLA INTERLOCUTORA (FIJA) SIN BRAZOS</v>
      </c>
      <c r="C24127" s="6">
        <v>81200</v>
      </c>
      <c r="D24127" s="5" t="s">
        <v>34</v>
      </c>
      <c r="E24127" s="5" t="str">
        <f t="shared" si="1204"/>
        <v>DOCENCIA E INVESTIGACION-FRANCY ARCHILA</v>
      </c>
      <c r="F24127" s="5" t="str">
        <f>"Descripcion: SILLA PRISMA Estado: Bueno Placa anterior: 000030408 Material: METALICO Y PAÑO Color: NEGRO Referencia:  Observacion:  Placa padre: Tipo adquisicion: Entidad"</f>
        <v>Descripcion: SILLA PRISMA Estado: Bueno Placa anterior: 000030408 Material: METALICO Y PAÑO Color: NEGRO Referencia:  Observacion:  Placa padre: Tipo adquisicion: Entidad</v>
      </c>
      <c r="G24127" s="5"/>
    </row>
    <row r="24128" spans="1:7" ht="58.5" customHeight="1" x14ac:dyDescent="0.25">
      <c r="A24128" s="5" t="str">
        <f>"H0022770"</f>
        <v>H0022770</v>
      </c>
      <c r="B24128" s="5" t="str">
        <f t="shared" si="1205"/>
        <v>SILLA INTERLOCUTORA (FIJA) SIN BRAZOS</v>
      </c>
      <c r="C24128" s="6">
        <v>81200</v>
      </c>
      <c r="D24128" s="5" t="s">
        <v>34</v>
      </c>
      <c r="E24128" s="5" t="str">
        <f t="shared" si="1204"/>
        <v>DOCENCIA E INVESTIGACION-FRANCY ARCHILA</v>
      </c>
      <c r="F24128" s="5" t="str">
        <f>"Descripcion: SILLA PRISMA Estado: Bueno Placa anterior: 000030413 Material: METALICO Y PAÑO Color: NEGRO Referencia:  Observacion:  Placa padre: Tipo adquisicion: Entidad"</f>
        <v>Descripcion: SILLA PRISMA Estado: Bueno Placa anterior: 000030413 Material: METALICO Y PAÑO Color: NEGRO Referencia:  Observacion:  Placa padre: Tipo adquisicion: Entidad</v>
      </c>
      <c r="G24128" s="5"/>
    </row>
    <row r="24129" spans="1:7" ht="58.5" customHeight="1" x14ac:dyDescent="0.25">
      <c r="A24129" s="5" t="str">
        <f>"H0022771"</f>
        <v>H0022771</v>
      </c>
      <c r="B24129" s="5" t="str">
        <f t="shared" si="1205"/>
        <v>SILLA INTERLOCUTORA (FIJA) SIN BRAZOS</v>
      </c>
      <c r="C24129" s="6">
        <v>81200</v>
      </c>
      <c r="D24129" s="5" t="s">
        <v>34</v>
      </c>
      <c r="E24129" s="5" t="str">
        <f t="shared" si="1204"/>
        <v>DOCENCIA E INVESTIGACION-FRANCY ARCHILA</v>
      </c>
      <c r="F24129" s="5" t="str">
        <f>"Descripcion: SILLA PRISMA Estado: Bueno Placa anterior: 000030410 Material: METALICO Y PAÑO Color: NEGRO Referencia:  Observacion:  Placa padre: Tipo adquisicion: Entidad"</f>
        <v>Descripcion: SILLA PRISMA Estado: Bueno Placa anterior: 000030410 Material: METALICO Y PAÑO Color: NEGRO Referencia:  Observacion:  Placa padre: Tipo adquisicion: Entidad</v>
      </c>
      <c r="G24129" s="5"/>
    </row>
    <row r="24130" spans="1:7" ht="58.5" customHeight="1" x14ac:dyDescent="0.25">
      <c r="A24130" s="5" t="str">
        <f>"H0022772"</f>
        <v>H0022772</v>
      </c>
      <c r="B24130" s="5" t="str">
        <f t="shared" si="1205"/>
        <v>SILLA INTERLOCUTORA (FIJA) SIN BRAZOS</v>
      </c>
      <c r="C24130" s="6">
        <v>81200</v>
      </c>
      <c r="D24130" s="5" t="s">
        <v>34</v>
      </c>
      <c r="E24130" s="5" t="str">
        <f t="shared" si="1204"/>
        <v>DOCENCIA E INVESTIGACION-FRANCY ARCHILA</v>
      </c>
      <c r="F24130" s="5" t="str">
        <f>"Descripcion: SILLA PRISMA Estado: Bueno Placa anterior: 000030409 Material: METALICO Y PAÑO Color: NEGRO Referencia:  Observacion:  Placa padre: Tipo adquisicion: Entidad"</f>
        <v>Descripcion: SILLA PRISMA Estado: Bueno Placa anterior: 000030409 Material: METALICO Y PAÑO Color: NEGRO Referencia:  Observacion:  Placa padre: Tipo adquisicion: Entidad</v>
      </c>
      <c r="G24130" s="5"/>
    </row>
    <row r="24131" spans="1:7" ht="58.5" customHeight="1" x14ac:dyDescent="0.25">
      <c r="A24131" s="5" t="str">
        <f>"H0022773"</f>
        <v>H0022773</v>
      </c>
      <c r="B24131" s="5" t="str">
        <f t="shared" si="1205"/>
        <v>SILLA INTERLOCUTORA (FIJA) SIN BRAZOS</v>
      </c>
      <c r="C24131" s="6">
        <v>81200</v>
      </c>
      <c r="D24131" s="5" t="s">
        <v>34</v>
      </c>
      <c r="E24131" s="5" t="str">
        <f t="shared" ref="E24131:E24162" si="1206">"DOCENCIA E INVESTIGACION-FRANCY ARCHILA"</f>
        <v>DOCENCIA E INVESTIGACION-FRANCY ARCHILA</v>
      </c>
      <c r="F24131" s="5" t="str">
        <f>"Descripcion: SILLA PRISMA Estado: Bueno Placa anterior: 000030416 Material: METALICO Y PAÑO Color: NEGRO Referencia:  Observacion:  Placa padre: Tipo adquisicion: Entidad"</f>
        <v>Descripcion: SILLA PRISMA Estado: Bueno Placa anterior: 000030416 Material: METALICO Y PAÑO Color: NEGRO Referencia:  Observacion:  Placa padre: Tipo adquisicion: Entidad</v>
      </c>
      <c r="G24131" s="5"/>
    </row>
    <row r="24132" spans="1:7" ht="58.5" customHeight="1" x14ac:dyDescent="0.25">
      <c r="A24132" s="5" t="str">
        <f>"H0022774"</f>
        <v>H0022774</v>
      </c>
      <c r="B24132" s="5" t="str">
        <f t="shared" si="1205"/>
        <v>SILLA INTERLOCUTORA (FIJA) SIN BRAZOS</v>
      </c>
      <c r="C24132" s="6">
        <v>81200</v>
      </c>
      <c r="D24132" s="5" t="s">
        <v>34</v>
      </c>
      <c r="E24132" s="5" t="str">
        <f t="shared" si="1206"/>
        <v>DOCENCIA E INVESTIGACION-FRANCY ARCHILA</v>
      </c>
      <c r="F24132" s="5" t="str">
        <f>"Descripcion: SILLA PRISMA Estado: Bueno Placa anterior: 000030418 Material: METALICO Y PAÑO Color: NEGRO Referencia:  Observacion:  Placa padre: Tipo adquisicion: Entidad"</f>
        <v>Descripcion: SILLA PRISMA Estado: Bueno Placa anterior: 000030418 Material: METALICO Y PAÑO Color: NEGRO Referencia:  Observacion:  Placa padre: Tipo adquisicion: Entidad</v>
      </c>
      <c r="G24132" s="5"/>
    </row>
    <row r="24133" spans="1:7" ht="58.5" customHeight="1" x14ac:dyDescent="0.25">
      <c r="A24133" s="5" t="str">
        <f>"H0022775"</f>
        <v>H0022775</v>
      </c>
      <c r="B24133" s="5" t="str">
        <f t="shared" si="1205"/>
        <v>SILLA INTERLOCUTORA (FIJA) SIN BRAZOS</v>
      </c>
      <c r="C24133" s="6">
        <v>81200</v>
      </c>
      <c r="D24133" s="5" t="s">
        <v>34</v>
      </c>
      <c r="E24133" s="5" t="str">
        <f t="shared" si="1206"/>
        <v>DOCENCIA E INVESTIGACION-FRANCY ARCHILA</v>
      </c>
      <c r="F24133" s="5" t="str">
        <f>"Descripcion: SILLA PRISMA Estado: Bueno Placa anterior: 000030403 Material: METALICO Y PAÑO Color: NEGRO Referencia:  Observacion:  Placa padre: Tipo adquisicion: Entidad"</f>
        <v>Descripcion: SILLA PRISMA Estado: Bueno Placa anterior: 000030403 Material: METALICO Y PAÑO Color: NEGRO Referencia:  Observacion:  Placa padre: Tipo adquisicion: Entidad</v>
      </c>
      <c r="G24133" s="5"/>
    </row>
    <row r="24134" spans="1:7" ht="58.5" customHeight="1" x14ac:dyDescent="0.25">
      <c r="A24134" s="5" t="str">
        <f>"H0022776"</f>
        <v>H0022776</v>
      </c>
      <c r="B24134" s="5" t="str">
        <f t="shared" si="1205"/>
        <v>SILLA INTERLOCUTORA (FIJA) SIN BRAZOS</v>
      </c>
      <c r="C24134" s="6">
        <v>81200</v>
      </c>
      <c r="D24134" s="5" t="s">
        <v>34</v>
      </c>
      <c r="E24134" s="5" t="str">
        <f t="shared" si="1206"/>
        <v>DOCENCIA E INVESTIGACION-FRANCY ARCHILA</v>
      </c>
      <c r="F24134" s="5" t="str">
        <f>"Descripcion: SILLA PRISMA Estado: Bueno Placa anterior: 000030420 Material: METALICO  Y PAÑO Color: NEGRO Referencia:  Observacion:  Placa padre: Tipo adquisicion: Entidad"</f>
        <v>Descripcion: SILLA PRISMA Estado: Bueno Placa anterior: 000030420 Material: METALICO  Y PAÑO Color: NEGRO Referencia:  Observacion:  Placa padre: Tipo adquisicion: Entidad</v>
      </c>
      <c r="G24134" s="5"/>
    </row>
    <row r="24135" spans="1:7" ht="58.5" customHeight="1" x14ac:dyDescent="0.25">
      <c r="A24135" s="5" t="str">
        <f>"H0022779"</f>
        <v>H0022779</v>
      </c>
      <c r="B24135" s="5" t="str">
        <f t="shared" si="1205"/>
        <v>SILLA INTERLOCUTORA (FIJA) SIN BRAZOS</v>
      </c>
      <c r="C24135" s="6">
        <v>81200</v>
      </c>
      <c r="D24135" s="5" t="s">
        <v>34</v>
      </c>
      <c r="E24135" s="5" t="str">
        <f t="shared" si="1206"/>
        <v>DOCENCIA E INVESTIGACION-FRANCY ARCHILA</v>
      </c>
      <c r="F24135" s="5" t="str">
        <f>"Descripcion: SILLA PRISMA Estado: Bueno Placa anterior: 000030412 Material: METALICO Y PAÑO Color: NEGRO Referencia:  Observacion:  Placa padre: Tipo adquisicion: Entidad"</f>
        <v>Descripcion: SILLA PRISMA Estado: Bueno Placa anterior: 000030412 Material: METALICO Y PAÑO Color: NEGRO Referencia:  Observacion:  Placa padre: Tipo adquisicion: Entidad</v>
      </c>
      <c r="G24135" s="5"/>
    </row>
    <row r="24136" spans="1:7" ht="58.5" customHeight="1" x14ac:dyDescent="0.25">
      <c r="A24136" s="5" t="str">
        <f>"H0022780"</f>
        <v>H0022780</v>
      </c>
      <c r="B24136" s="5" t="str">
        <f t="shared" si="1205"/>
        <v>SILLA INTERLOCUTORA (FIJA) SIN BRAZOS</v>
      </c>
      <c r="C24136" s="6">
        <v>81200</v>
      </c>
      <c r="D24136" s="5" t="s">
        <v>34</v>
      </c>
      <c r="E24136" s="5" t="str">
        <f t="shared" si="1206"/>
        <v>DOCENCIA E INVESTIGACION-FRANCY ARCHILA</v>
      </c>
      <c r="F24136" s="5" t="str">
        <f>"Descripcion: SILLA PRISMA Estado: Bueno Placa anterior: 000030401 Material: METALICO Y PAÑO Color: NEGRO Referencia:  Observacion:  Placa padre: Tipo adquisicion: Entidad"</f>
        <v>Descripcion: SILLA PRISMA Estado: Bueno Placa anterior: 000030401 Material: METALICO Y PAÑO Color: NEGRO Referencia:  Observacion:  Placa padre: Tipo adquisicion: Entidad</v>
      </c>
      <c r="G24136" s="5"/>
    </row>
    <row r="24137" spans="1:7" ht="58.5" customHeight="1" x14ac:dyDescent="0.25">
      <c r="A24137" s="5" t="str">
        <f>"H0022781"</f>
        <v>H0022781</v>
      </c>
      <c r="B24137" s="5" t="str">
        <f t="shared" si="1205"/>
        <v>SILLA INTERLOCUTORA (FIJA) SIN BRAZOS</v>
      </c>
      <c r="C24137" s="6">
        <v>81200</v>
      </c>
      <c r="D24137" s="5" t="s">
        <v>34</v>
      </c>
      <c r="E24137" s="5" t="str">
        <f t="shared" si="1206"/>
        <v>DOCENCIA E INVESTIGACION-FRANCY ARCHILA</v>
      </c>
      <c r="F24137" s="5" t="str">
        <f>"Descripcion: SILLA PRISMA Estado: Bueno Placa anterior: 000030398 Material: METALICO Y PAÑO Color: NEGRO Referencia:  Observacion:  Placa padre: Tipo adquisicion: Entidad"</f>
        <v>Descripcion: SILLA PRISMA Estado: Bueno Placa anterior: 000030398 Material: METALICO Y PAÑO Color: NEGRO Referencia:  Observacion:  Placa padre: Tipo adquisicion: Entidad</v>
      </c>
      <c r="G24137" s="5"/>
    </row>
    <row r="24138" spans="1:7" ht="58.5" customHeight="1" x14ac:dyDescent="0.25">
      <c r="A24138" s="5" t="str">
        <f>"H0025452"</f>
        <v>H0025452</v>
      </c>
      <c r="B2413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4138" s="6">
        <v>312156</v>
      </c>
      <c r="D24138" s="5" t="s">
        <v>10</v>
      </c>
      <c r="E24138" s="5" t="str">
        <f t="shared" si="1206"/>
        <v>DOCENCIA E INVESTIGACION-FRANCY ARCHILA</v>
      </c>
      <c r="F24138" s="5"/>
      <c r="G24138" s="5"/>
    </row>
    <row r="24139" spans="1:7" ht="58.5" customHeight="1" x14ac:dyDescent="0.25">
      <c r="A24139" s="5" t="str">
        <f>"H0025484"</f>
        <v>H0025484</v>
      </c>
      <c r="B24139" s="5" t="str">
        <f>"COMPUTADOR MARCA LENOVO THINKCENTRE"</f>
        <v>COMPUTADOR MARCA LENOVO THINKCENTRE</v>
      </c>
      <c r="C24139" s="6">
        <v>3597718</v>
      </c>
      <c r="D24139" s="5" t="s">
        <v>9</v>
      </c>
      <c r="E24139" s="5" t="str">
        <f t="shared" si="1206"/>
        <v>DOCENCIA E INVESTIGACION-FRANCY ARCHILA</v>
      </c>
      <c r="F24139" s="5"/>
      <c r="G24139" s="5"/>
    </row>
    <row r="24140" spans="1:7" ht="58.5" customHeight="1" x14ac:dyDescent="0.25">
      <c r="A24140" s="5" t="str">
        <f>"H0025485"</f>
        <v>H0025485</v>
      </c>
      <c r="B24140" s="5" t="str">
        <f>"COMPUTADOR MARCA LENOVO THINKCENTRE"</f>
        <v>COMPUTADOR MARCA LENOVO THINKCENTRE</v>
      </c>
      <c r="C24140" s="6">
        <v>3597718</v>
      </c>
      <c r="D24140" s="5" t="s">
        <v>9</v>
      </c>
      <c r="E24140" s="5" t="str">
        <f t="shared" si="1206"/>
        <v>DOCENCIA E INVESTIGACION-FRANCY ARCHILA</v>
      </c>
      <c r="F24140" s="5"/>
      <c r="G24140" s="5"/>
    </row>
    <row r="24141" spans="1:7" ht="58.5" customHeight="1" x14ac:dyDescent="0.25">
      <c r="A24141" s="5" t="str">
        <f>"H0025486"</f>
        <v>H0025486</v>
      </c>
      <c r="B24141" s="5" t="str">
        <f>"COMPUTADOR MARCA LENOVO THINKCENTRE"</f>
        <v>COMPUTADOR MARCA LENOVO THINKCENTRE</v>
      </c>
      <c r="C24141" s="6">
        <v>3597718</v>
      </c>
      <c r="D24141" s="5" t="s">
        <v>9</v>
      </c>
      <c r="E24141" s="5" t="str">
        <f t="shared" si="1206"/>
        <v>DOCENCIA E INVESTIGACION-FRANCY ARCHILA</v>
      </c>
      <c r="F24141" s="5"/>
      <c r="G24141" s="5"/>
    </row>
    <row r="24142" spans="1:7" ht="58.5" customHeight="1" x14ac:dyDescent="0.25">
      <c r="A24142" s="5" t="str">
        <f>"H0025488"</f>
        <v>H0025488</v>
      </c>
      <c r="B24142" s="5" t="str">
        <f>"IMPRESORA LASERT (Donación)"</f>
        <v>IMPRESORA LASERT (Donación)</v>
      </c>
      <c r="C24142" s="6">
        <v>297000</v>
      </c>
      <c r="D24142" s="5" t="s">
        <v>9</v>
      </c>
      <c r="E24142" s="5" t="str">
        <f t="shared" si="1206"/>
        <v>DOCENCIA E INVESTIGACION-FRANCY ARCHILA</v>
      </c>
      <c r="F24142" s="5"/>
      <c r="G24142" s="5"/>
    </row>
    <row r="24143" spans="1:7" ht="58.5" customHeight="1" x14ac:dyDescent="0.25">
      <c r="A24143" s="5" t="str">
        <f>"H0025489"</f>
        <v>H0025489</v>
      </c>
      <c r="B24143" s="5" t="str">
        <f>"ESCRITORIO MODULAR (Donación UDES)"</f>
        <v>ESCRITORIO MODULAR (Donación UDES)</v>
      </c>
      <c r="C24143" s="6">
        <v>540000</v>
      </c>
      <c r="D24143" s="5" t="s">
        <v>9</v>
      </c>
      <c r="E24143" s="5" t="str">
        <f t="shared" si="1206"/>
        <v>DOCENCIA E INVESTIGACION-FRANCY ARCHILA</v>
      </c>
      <c r="F24143" s="5"/>
      <c r="G24143" s="5"/>
    </row>
    <row r="24144" spans="1:7" ht="58.5" customHeight="1" x14ac:dyDescent="0.25">
      <c r="A24144" s="5" t="str">
        <f>"H0025490"</f>
        <v>H0025490</v>
      </c>
      <c r="B24144" s="5" t="str">
        <f>"SILLA GIRATORIA CON RODACHINES (Donación UDES)"</f>
        <v>SILLA GIRATORIA CON RODACHINES (Donación UDES)</v>
      </c>
      <c r="C24144" s="6">
        <v>416000</v>
      </c>
      <c r="D24144" s="5" t="s">
        <v>9</v>
      </c>
      <c r="E24144" s="5" t="str">
        <f t="shared" si="1206"/>
        <v>DOCENCIA E INVESTIGACION-FRANCY ARCHILA</v>
      </c>
      <c r="F24144" s="5"/>
      <c r="G24144" s="5"/>
    </row>
    <row r="24145" spans="1:7" ht="58.5" customHeight="1" x14ac:dyDescent="0.25">
      <c r="A24145" s="5" t="str">
        <f>"H0025491"</f>
        <v>H0025491</v>
      </c>
      <c r="B24145" s="5" t="str">
        <f>"ARCHIVADOR METALICO 4 GAVETAS"</f>
        <v>ARCHIVADOR METALICO 4 GAVETAS</v>
      </c>
      <c r="C24145" s="6">
        <v>480208</v>
      </c>
      <c r="D24145" s="5" t="s">
        <v>9</v>
      </c>
      <c r="E24145" s="5" t="str">
        <f t="shared" si="1206"/>
        <v>DOCENCIA E INVESTIGACION-FRANCY ARCHILA</v>
      </c>
      <c r="F24145" s="5"/>
      <c r="G24145" s="5"/>
    </row>
    <row r="24146" spans="1:7" ht="58.5" customHeight="1" x14ac:dyDescent="0.25">
      <c r="A24146" s="5" t="str">
        <f>"H0025492"</f>
        <v>H0025492</v>
      </c>
      <c r="B24146" s="5" t="s">
        <v>934</v>
      </c>
      <c r="C24146" s="6">
        <v>1064000</v>
      </c>
      <c r="D24146" s="5" t="s">
        <v>9</v>
      </c>
      <c r="E24146" s="5" t="str">
        <f t="shared" si="1206"/>
        <v>DOCENCIA E INVESTIGACION-FRANCY ARCHILA</v>
      </c>
      <c r="F24146" s="5"/>
      <c r="G24146" s="5"/>
    </row>
    <row r="24147" spans="1:7" ht="58.5" customHeight="1" x14ac:dyDescent="0.25">
      <c r="A24147" s="5" t="str">
        <f>"H0025493"</f>
        <v>H0025493</v>
      </c>
      <c r="B24147" s="5" t="str">
        <f>"TABLERO EXPOGRAFO DE PARED (Donacion UDES)"</f>
        <v>TABLERO EXPOGRAFO DE PARED (Donacion UDES)</v>
      </c>
      <c r="C24147" s="6">
        <v>185000</v>
      </c>
      <c r="D24147" s="5" t="s">
        <v>9</v>
      </c>
      <c r="E24147" s="5" t="str">
        <f t="shared" si="1206"/>
        <v>DOCENCIA E INVESTIGACION-FRANCY ARCHILA</v>
      </c>
      <c r="F24147" s="5"/>
      <c r="G24147" s="5"/>
    </row>
    <row r="24148" spans="1:7" ht="58.5" customHeight="1" x14ac:dyDescent="0.25">
      <c r="A24148" s="5" t="str">
        <f>"H0025494"</f>
        <v>H0025494</v>
      </c>
      <c r="B24148" s="5" t="str">
        <f>"SILLA ESCRITORIO VARIAS (Donación ACTISALUD)"</f>
        <v>SILLA ESCRITORIO VARIAS (Donación ACTISALUD)</v>
      </c>
      <c r="C24148" s="6">
        <v>113266.66</v>
      </c>
      <c r="D24148" s="5" t="s">
        <v>9</v>
      </c>
      <c r="E24148" s="5" t="str">
        <f t="shared" si="1206"/>
        <v>DOCENCIA E INVESTIGACION-FRANCY ARCHILA</v>
      </c>
      <c r="F24148" s="5"/>
      <c r="G24148" s="5"/>
    </row>
    <row r="24149" spans="1:7" ht="58.5" customHeight="1" x14ac:dyDescent="0.25">
      <c r="A24149" s="5" t="str">
        <f>"H0025495"</f>
        <v>H0025495</v>
      </c>
      <c r="B24149" s="5" t="str">
        <f>"SILLA ESCRITORIO VARIAS (Donación ACTISALUD)"</f>
        <v>SILLA ESCRITORIO VARIAS (Donación ACTISALUD)</v>
      </c>
      <c r="C24149" s="6">
        <v>113266.66</v>
      </c>
      <c r="D24149" s="5" t="s">
        <v>9</v>
      </c>
      <c r="E24149" s="5" t="str">
        <f t="shared" si="1206"/>
        <v>DOCENCIA E INVESTIGACION-FRANCY ARCHILA</v>
      </c>
      <c r="F24149" s="5"/>
      <c r="G24149" s="5"/>
    </row>
    <row r="24150" spans="1:7" ht="58.5" customHeight="1" x14ac:dyDescent="0.25">
      <c r="A24150" s="5" t="str">
        <f>"H0025505"</f>
        <v>H0025505</v>
      </c>
      <c r="B24150" s="5" t="str">
        <f>"SILLA EJECUTIVA S/BRAZOS (Donación ACTISALUD)"</f>
        <v>SILLA EJECUTIVA S/BRAZOS (Donación ACTISALUD)</v>
      </c>
      <c r="C24150" s="6">
        <v>139900</v>
      </c>
      <c r="D24150" s="5" t="s">
        <v>9</v>
      </c>
      <c r="E24150" s="5" t="str">
        <f t="shared" si="1206"/>
        <v>DOCENCIA E INVESTIGACION-FRANCY ARCHILA</v>
      </c>
      <c r="F24150" s="5"/>
      <c r="G24150" s="5"/>
    </row>
    <row r="24151" spans="1:7" ht="58.5" customHeight="1" x14ac:dyDescent="0.25">
      <c r="A24151" s="5" t="str">
        <f>"H0025685"</f>
        <v>H0025685</v>
      </c>
      <c r="B24151" s="5"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24151" s="6">
        <v>666400</v>
      </c>
      <c r="D24151" s="5" t="s">
        <v>658</v>
      </c>
      <c r="E24151" s="5" t="str">
        <f t="shared" si="1206"/>
        <v>DOCENCIA E INVESTIGACION-FRANCY ARCHILA</v>
      </c>
      <c r="F24151" s="5"/>
      <c r="G24151" s="5"/>
    </row>
    <row r="24152" spans="1:7" ht="58.5" customHeight="1" x14ac:dyDescent="0.25">
      <c r="A24152" s="5" t="str">
        <f>"H0025830"</f>
        <v>H0025830</v>
      </c>
      <c r="B24152" s="5" t="str">
        <f>"CAMA SENCILLA (DONACIÓN)"</f>
        <v>CAMA SENCILLA (DONACIÓN)</v>
      </c>
      <c r="C24152" s="6">
        <v>300000</v>
      </c>
      <c r="D24152" s="5" t="s">
        <v>78</v>
      </c>
      <c r="E24152" s="5" t="str">
        <f t="shared" si="1206"/>
        <v>DOCENCIA E INVESTIGACION-FRANCY ARCHILA</v>
      </c>
      <c r="F24152" s="5"/>
      <c r="G24152" s="5"/>
    </row>
    <row r="24153" spans="1:7" ht="58.5" customHeight="1" x14ac:dyDescent="0.25">
      <c r="A24153" s="5" t="str">
        <f>"H0025906"</f>
        <v>H0025906</v>
      </c>
      <c r="B24153" s="5" t="str">
        <f>"AIRE ACONDICIONADO MINI SPLITH (Donación UDES)"</f>
        <v>AIRE ACONDICIONADO MINI SPLITH (Donación UDES)</v>
      </c>
      <c r="C24153" s="6">
        <v>1857515</v>
      </c>
      <c r="D24153" s="5" t="s">
        <v>242</v>
      </c>
      <c r="E24153" s="5" t="str">
        <f t="shared" si="1206"/>
        <v>DOCENCIA E INVESTIGACION-FRANCY ARCHILA</v>
      </c>
      <c r="F24153" s="5"/>
      <c r="G24153" s="5"/>
    </row>
    <row r="24154" spans="1:7" ht="58.5" customHeight="1" x14ac:dyDescent="0.25">
      <c r="A24154" s="5" t="str">
        <f>"H0025907"</f>
        <v>H0025907</v>
      </c>
      <c r="B24154" s="5" t="s">
        <v>935</v>
      </c>
      <c r="C24154" s="6">
        <v>2199999</v>
      </c>
      <c r="D24154" s="5" t="s">
        <v>242</v>
      </c>
      <c r="E24154" s="5" t="str">
        <f t="shared" si="1206"/>
        <v>DOCENCIA E INVESTIGACION-FRANCY ARCHILA</v>
      </c>
      <c r="F24154" s="5"/>
      <c r="G24154" s="5"/>
    </row>
    <row r="24155" spans="1:7" ht="58.5" customHeight="1" x14ac:dyDescent="0.25">
      <c r="A24155" s="5" t="str">
        <f>"H0025908"</f>
        <v>H0025908</v>
      </c>
      <c r="B24155" s="5" t="s">
        <v>935</v>
      </c>
      <c r="C24155" s="6">
        <v>2199999</v>
      </c>
      <c r="D24155" s="5" t="s">
        <v>242</v>
      </c>
      <c r="E24155" s="5" t="str">
        <f t="shared" si="1206"/>
        <v>DOCENCIA E INVESTIGACION-FRANCY ARCHILA</v>
      </c>
      <c r="F24155" s="5"/>
      <c r="G24155" s="5"/>
    </row>
    <row r="24156" spans="1:7" ht="58.5" customHeight="1" x14ac:dyDescent="0.25">
      <c r="A24156" s="5" t="str">
        <f>"H0027193"</f>
        <v>H0027193</v>
      </c>
      <c r="B24156"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4156" s="6">
        <v>2641800</v>
      </c>
      <c r="D24156" s="5" t="s">
        <v>38</v>
      </c>
      <c r="E24156" s="5" t="str">
        <f t="shared" si="1206"/>
        <v>DOCENCIA E INVESTIGACION-FRANCY ARCHILA</v>
      </c>
      <c r="F24156" s="5"/>
      <c r="G24156" s="5"/>
    </row>
    <row r="24157" spans="1:7" ht="58.5" customHeight="1" x14ac:dyDescent="0.25">
      <c r="A24157" s="5" t="str">
        <f>"H0027244"</f>
        <v>H0027244</v>
      </c>
      <c r="B24157"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4157" s="6">
        <v>2641800</v>
      </c>
      <c r="D24157" s="5" t="s">
        <v>38</v>
      </c>
      <c r="E24157" s="5" t="str">
        <f t="shared" si="1206"/>
        <v>DOCENCIA E INVESTIGACION-FRANCY ARCHILA</v>
      </c>
      <c r="F24157" s="5"/>
      <c r="G24157" s="5"/>
    </row>
    <row r="24158" spans="1:7" ht="58.5" customHeight="1" x14ac:dyDescent="0.25">
      <c r="A24158" s="5" t="str">
        <f>"H0027510"</f>
        <v>H0027510</v>
      </c>
      <c r="B24158" s="5" t="str">
        <f>"LECTOR DE HUELLAS DIGITALES"</f>
        <v>LECTOR DE HUELLAS DIGITALES</v>
      </c>
      <c r="C24158" s="6">
        <v>234000.41</v>
      </c>
      <c r="D24158" s="5" t="s">
        <v>83</v>
      </c>
      <c r="E24158" s="5" t="str">
        <f t="shared" si="1206"/>
        <v>DOCENCIA E INVESTIGACION-FRANCY ARCHILA</v>
      </c>
      <c r="F24158" s="5"/>
      <c r="G24158" s="5"/>
    </row>
    <row r="24159" spans="1:7" ht="58.5" customHeight="1" x14ac:dyDescent="0.25">
      <c r="A24159" s="5" t="str">
        <f>"H0028689"</f>
        <v>H0028689</v>
      </c>
      <c r="B24159" s="5" t="str">
        <f>"LÁMPARA RECARGABLE DE EMERGENCIA 60 BOMBILLOS LED LUZ BLANCA"</f>
        <v>LÁMPARA RECARGABLE DE EMERGENCIA 60 BOMBILLOS LED LUZ BLANCA</v>
      </c>
      <c r="C24159" s="6">
        <v>255850</v>
      </c>
      <c r="D24159" s="5" t="s">
        <v>87</v>
      </c>
      <c r="E24159" s="5" t="str">
        <f t="shared" si="1206"/>
        <v>DOCENCIA E INVESTIGACION-FRANCY ARCHILA</v>
      </c>
      <c r="F24159" s="5"/>
      <c r="G24159" s="5"/>
    </row>
    <row r="24160" spans="1:7" ht="58.5" customHeight="1" x14ac:dyDescent="0.25">
      <c r="A24160" s="5" t="str">
        <f>"H0028690"</f>
        <v>H0028690</v>
      </c>
      <c r="B24160" s="5" t="str">
        <f>"LÁMPARA RECARGABLE DE EMERGENCIA 60 BOMBILLOS LED LUZ BLANCA"</f>
        <v>LÁMPARA RECARGABLE DE EMERGENCIA 60 BOMBILLOS LED LUZ BLANCA</v>
      </c>
      <c r="C24160" s="6">
        <v>255850</v>
      </c>
      <c r="D24160" s="5" t="s">
        <v>87</v>
      </c>
      <c r="E24160" s="5" t="str">
        <f t="shared" si="1206"/>
        <v>DOCENCIA E INVESTIGACION-FRANCY ARCHILA</v>
      </c>
      <c r="F24160" s="5"/>
      <c r="G24160" s="5"/>
    </row>
    <row r="24161" spans="1:7" ht="58.5" customHeight="1" x14ac:dyDescent="0.25">
      <c r="A24161" s="5" t="str">
        <f>"H0029321"</f>
        <v>H0029321</v>
      </c>
      <c r="B24161" s="5" t="str">
        <f>"SILLA HERGONOMICA CON SISTEMA HIDRAULICO"</f>
        <v>SILLA HERGONOMICA CON SISTEMA HIDRAULICO</v>
      </c>
      <c r="C24161" s="6">
        <v>174900</v>
      </c>
      <c r="D24161" s="5" t="s">
        <v>89</v>
      </c>
      <c r="E24161" s="5" t="str">
        <f t="shared" si="1206"/>
        <v>DOCENCIA E INVESTIGACION-FRANCY ARCHILA</v>
      </c>
      <c r="F24161" s="5"/>
      <c r="G24161" s="5"/>
    </row>
    <row r="24162" spans="1:7" ht="58.5" customHeight="1" x14ac:dyDescent="0.25">
      <c r="A24162" s="5" t="str">
        <f>"H0029579"</f>
        <v>H0029579</v>
      </c>
      <c r="B24162"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4162" s="6">
        <v>252400.18</v>
      </c>
      <c r="D24162" s="5" t="s">
        <v>15</v>
      </c>
      <c r="E24162" s="5" t="str">
        <f t="shared" si="1206"/>
        <v>DOCENCIA E INVESTIGACION-FRANCY ARCHILA</v>
      </c>
      <c r="F24162" s="5"/>
      <c r="G24162" s="5"/>
    </row>
    <row r="24163" spans="1:7" ht="58.5" customHeight="1" x14ac:dyDescent="0.25">
      <c r="A24163" s="5" t="str">
        <f>"H0029580"</f>
        <v>H0029580</v>
      </c>
      <c r="B24163"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4163" s="6">
        <v>252400.18</v>
      </c>
      <c r="D24163" s="5" t="s">
        <v>15</v>
      </c>
      <c r="E24163" s="5" t="str">
        <f t="shared" ref="E24163:E24194" si="1207">"DOCENCIA E INVESTIGACION-FRANCY ARCHILA"</f>
        <v>DOCENCIA E INVESTIGACION-FRANCY ARCHILA</v>
      </c>
      <c r="F24163" s="5"/>
      <c r="G24163" s="5"/>
    </row>
    <row r="24164" spans="1:7" ht="58.5" customHeight="1" x14ac:dyDescent="0.25">
      <c r="A24164" s="5" t="str">
        <f>"H0029581"</f>
        <v>H0029581</v>
      </c>
      <c r="B24164"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4164" s="6">
        <v>252400.18</v>
      </c>
      <c r="D24164" s="5" t="s">
        <v>15</v>
      </c>
      <c r="E24164" s="5" t="str">
        <f t="shared" si="1207"/>
        <v>DOCENCIA E INVESTIGACION-FRANCY ARCHILA</v>
      </c>
      <c r="F24164" s="5"/>
      <c r="G24164" s="5"/>
    </row>
    <row r="24165" spans="1:7" ht="58.5" customHeight="1" x14ac:dyDescent="0.25">
      <c r="A24165" s="5" t="str">
        <f>"H0029582"</f>
        <v>H0029582</v>
      </c>
      <c r="B24165" s="5" t="str">
        <f>"ESTANTE CONSTRUIDOS EN LAMINAS METÁLICAS SOLIDAS, RESISTENTES Y ESTABLES CON TRATAMIENTO ANTICORROSIVO, CON 7 ENTREPAÑOS, DE 0.94 CMS DE ANCHO, CON ALTURA DE 2.20MTS Y CADA BANDEJA DEBE SOPORTAR UN PESO DE 100KG/MT LINEA"</f>
        <v>ESTANTE CONSTRUIDOS EN LAMINAS METÁLICAS SOLIDAS, RESISTENTES Y ESTABLES CON TRATAMIENTO ANTICORROSIVO, CON 7 ENTREPAÑOS, DE 0.94 CMS DE ANCHO, CON ALTURA DE 2.20MTS Y CADA BANDEJA DEBE SOPORTAR UN PESO DE 100KG/MT LINEA</v>
      </c>
      <c r="C24165" s="6">
        <v>252400.18</v>
      </c>
      <c r="D24165" s="5" t="s">
        <v>15</v>
      </c>
      <c r="E24165" s="5" t="str">
        <f t="shared" si="1207"/>
        <v>DOCENCIA E INVESTIGACION-FRANCY ARCHILA</v>
      </c>
      <c r="F24165" s="5"/>
      <c r="G24165" s="5"/>
    </row>
    <row r="24166" spans="1:7" ht="58.5" customHeight="1" x14ac:dyDescent="0.25">
      <c r="A24166" s="5" t="str">
        <f>"H0029777"</f>
        <v>H0029777</v>
      </c>
      <c r="B24166" s="5" t="s">
        <v>96</v>
      </c>
      <c r="C24166" s="6">
        <v>169000.22</v>
      </c>
      <c r="D24166" s="5" t="s">
        <v>93</v>
      </c>
      <c r="E24166" s="5" t="str">
        <f t="shared" si="1207"/>
        <v>DOCENCIA E INVESTIGACION-FRANCY ARCHILA</v>
      </c>
      <c r="F24166" s="5"/>
      <c r="G24166" s="5"/>
    </row>
    <row r="24167" spans="1:7" ht="58.5" customHeight="1" x14ac:dyDescent="0.25">
      <c r="A24167" s="5" t="str">
        <f>"H0031441"</f>
        <v>H0031441</v>
      </c>
      <c r="B2416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167" s="6">
        <v>3209500</v>
      </c>
      <c r="D24167" s="5" t="s">
        <v>16</v>
      </c>
      <c r="E24167" s="5" t="str">
        <f t="shared" si="1207"/>
        <v>DOCENCIA E INVESTIGACION-FRANCY ARCHILA</v>
      </c>
      <c r="F24167" s="5"/>
      <c r="G24167" s="5"/>
    </row>
    <row r="24168" spans="1:7" ht="58.5" customHeight="1" x14ac:dyDescent="0.25">
      <c r="A24168" s="5" t="str">
        <f>"H0031487"</f>
        <v>H0031487</v>
      </c>
      <c r="B2416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168" s="6">
        <v>3209500</v>
      </c>
      <c r="D24168" s="5" t="s">
        <v>16</v>
      </c>
      <c r="E24168" s="5" t="str">
        <f t="shared" si="1207"/>
        <v>DOCENCIA E INVESTIGACION-FRANCY ARCHILA</v>
      </c>
      <c r="F24168" s="5"/>
      <c r="G24168" s="5"/>
    </row>
    <row r="24169" spans="1:7" ht="58.5" customHeight="1" x14ac:dyDescent="0.25">
      <c r="A24169" s="5" t="str">
        <f>"H0031488"</f>
        <v>H0031488</v>
      </c>
      <c r="B24169"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169" s="6">
        <v>3209500</v>
      </c>
      <c r="D24169" s="5" t="s">
        <v>16</v>
      </c>
      <c r="E24169" s="5" t="str">
        <f t="shared" si="1207"/>
        <v>DOCENCIA E INVESTIGACION-FRANCY ARCHILA</v>
      </c>
      <c r="F24169" s="5"/>
      <c r="G24169" s="5"/>
    </row>
    <row r="24170" spans="1:7" ht="58.5" customHeight="1" x14ac:dyDescent="0.25">
      <c r="A24170" s="5" t="str">
        <f>"H0031495"</f>
        <v>H0031495</v>
      </c>
      <c r="B24170"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170" s="6">
        <v>3209500</v>
      </c>
      <c r="D24170" s="5" t="s">
        <v>16</v>
      </c>
      <c r="E24170" s="5" t="str">
        <f t="shared" si="1207"/>
        <v>DOCENCIA E INVESTIGACION-FRANCY ARCHILA</v>
      </c>
      <c r="F24170" s="5"/>
      <c r="G24170" s="5"/>
    </row>
    <row r="24171" spans="1:7" ht="58.5" customHeight="1" x14ac:dyDescent="0.25">
      <c r="A24171" s="5" t="str">
        <f>"H0031607"</f>
        <v>H0031607</v>
      </c>
      <c r="B24171" s="5" t="str">
        <f>"ESCRITORIO EN L MULTIFUNCION MATERIAL MELAMINA RH. MEDIDAS LARGO 1.9 MTS * 1.30 MTS *0.60 MTS DE ANCHO"</f>
        <v>ESCRITORIO EN L MULTIFUNCION MATERIAL MELAMINA RH. MEDIDAS LARGO 1.9 MTS * 1.30 MTS *0.60 MTS DE ANCHO</v>
      </c>
      <c r="C24171" s="6">
        <v>1200000</v>
      </c>
      <c r="D24171" s="5" t="s">
        <v>42</v>
      </c>
      <c r="E24171" s="5" t="str">
        <f t="shared" si="1207"/>
        <v>DOCENCIA E INVESTIGACION-FRANCY ARCHILA</v>
      </c>
      <c r="F24171" s="5"/>
      <c r="G24171" s="5"/>
    </row>
    <row r="24172" spans="1:7" ht="58.5" customHeight="1" x14ac:dyDescent="0.25">
      <c r="A24172" s="5" t="str">
        <f>"H0032270"</f>
        <v>H0032270</v>
      </c>
      <c r="B24172" s="5" t="str">
        <f>"Access Point Montaje en Pared o Techo. 2 puertos 1 Gbps. 3x3 Antenas MIMO 8 dBi. Banda 2.4 GHz a 450 Mbps. Banda 5 GHz a 1300 Mbps. Incluye Inyector POE Original."</f>
        <v>Access Point Montaje en Pared o Techo. 2 puertos 1 Gbps. 3x3 Antenas MIMO 8 dBi. Banda 2.4 GHz a 450 Mbps. Banda 5 GHz a 1300 Mbps. Incluye Inyector POE Original.</v>
      </c>
      <c r="C24172" s="6">
        <v>901008.5</v>
      </c>
      <c r="D24172" s="5" t="s">
        <v>413</v>
      </c>
      <c r="E24172" s="5" t="str">
        <f t="shared" si="1207"/>
        <v>DOCENCIA E INVESTIGACION-FRANCY ARCHILA</v>
      </c>
      <c r="F24172" s="5"/>
      <c r="G24172" s="5"/>
    </row>
    <row r="24173" spans="1:7" ht="58.5" customHeight="1" x14ac:dyDescent="0.25">
      <c r="A24173" s="5" t="str">
        <f>"H0032294"</f>
        <v>H0032294</v>
      </c>
      <c r="B24173" s="5" t="str">
        <f>"PROCESADOR DIGTAL DE AUDIO. 2 IN XLR. 6 OUT XLR. Módulos EQ, COMP, DELAY, CROSSOVER, LIMIT. Perillas y botones de configuración Local. Configuración Inalambrica APP. Conexión LAN. Rack 1U"</f>
        <v>PROCESADOR DIGTAL DE AUDIO. 2 IN XLR. 6 OUT XLR. Módulos EQ, COMP, DELAY, CROSSOVER, LIMIT. Perillas y botones de configuración Local. Configuración Inalambrica APP. Conexión LAN. Rack 1U</v>
      </c>
      <c r="C24173" s="6">
        <v>1200000.3700000001</v>
      </c>
      <c r="D24173" s="5" t="s">
        <v>936</v>
      </c>
      <c r="E24173" s="5" t="str">
        <f t="shared" si="1207"/>
        <v>DOCENCIA E INVESTIGACION-FRANCY ARCHILA</v>
      </c>
      <c r="F24173" s="5"/>
      <c r="G24173" s="5" t="str">
        <f>"C2402"</f>
        <v>C2402</v>
      </c>
    </row>
    <row r="24174" spans="1:7" ht="58.5" customHeight="1" x14ac:dyDescent="0.25">
      <c r="A24174" s="5" t="str">
        <f>"H0032295"</f>
        <v>H0032295</v>
      </c>
      <c r="B24174" s="5" t="s">
        <v>937</v>
      </c>
      <c r="C24174" s="6">
        <v>5299999.5199999996</v>
      </c>
      <c r="D24174" s="5" t="s">
        <v>936</v>
      </c>
      <c r="E24174" s="5" t="str">
        <f t="shared" si="1207"/>
        <v>DOCENCIA E INVESTIGACION-FRANCY ARCHILA</v>
      </c>
      <c r="F24174" s="5"/>
      <c r="G24174" s="5" t="str">
        <f>"X32 COMPAC"</f>
        <v>X32 COMPAC</v>
      </c>
    </row>
    <row r="24175" spans="1:7" ht="58.5" customHeight="1" x14ac:dyDescent="0.25">
      <c r="A24175" s="5" t="str">
        <f>"H0032296"</f>
        <v>H0032296</v>
      </c>
      <c r="B24175" s="5" t="str">
        <f>"KIT MICROFONO INALAMBRICO MANO. 2 tx INALAMBRICOS. Cápsula SM58. 1 RX. 2 OUT XLR. QUICK SCAN F. 45Hz-15KHz. Incl Baterías y Cargador para Transmisores y Adaptador de Energía para Receptor"</f>
        <v>KIT MICROFONO INALAMBRICO MANO. 2 tx INALAMBRICOS. Cápsula SM58. 1 RX. 2 OUT XLR. QUICK SCAN F. 45Hz-15KHz. Incl Baterías y Cargador para Transmisores y Adaptador de Energía para Receptor</v>
      </c>
      <c r="C24175" s="6">
        <v>2800000.18</v>
      </c>
      <c r="D24175" s="5" t="s">
        <v>936</v>
      </c>
      <c r="E24175" s="5" t="str">
        <f t="shared" si="1207"/>
        <v>DOCENCIA E INVESTIGACION-FRANCY ARCHILA</v>
      </c>
      <c r="F24175" s="5"/>
      <c r="G24175" s="5" t="str">
        <f>"BLX288-J10"</f>
        <v>BLX288-J10</v>
      </c>
    </row>
    <row r="24176" spans="1:7" ht="58.5" customHeight="1" x14ac:dyDescent="0.25">
      <c r="A24176" s="5" t="str">
        <f>"H0032297"</f>
        <v>H0032297</v>
      </c>
      <c r="B24176" s="5" t="str">
        <f>"KIT MICROFONO INALAMBRICO MANO. 2 tx INALAMBRICOS. Cápsula SM58. 1 RX. 2 OUT XLR. QUICK SCAN F. 45Hz-15KHz. Incl Baterías y Cargador para Transmisores y Adaptador de Energía para Receptor"</f>
        <v>KIT MICROFONO INALAMBRICO MANO. 2 tx INALAMBRICOS. Cápsula SM58. 1 RX. 2 OUT XLR. QUICK SCAN F. 45Hz-15KHz. Incl Baterías y Cargador para Transmisores y Adaptador de Energía para Receptor</v>
      </c>
      <c r="C24176" s="6">
        <v>2800000.18</v>
      </c>
      <c r="D24176" s="5" t="s">
        <v>936</v>
      </c>
      <c r="E24176" s="5" t="str">
        <f t="shared" si="1207"/>
        <v>DOCENCIA E INVESTIGACION-FRANCY ARCHILA</v>
      </c>
      <c r="F24176" s="5"/>
      <c r="G24176" s="5" t="str">
        <f>"BLX288-J10"</f>
        <v>BLX288-J10</v>
      </c>
    </row>
    <row r="24177" spans="1:7" ht="58.5" customHeight="1" x14ac:dyDescent="0.25">
      <c r="A24177" s="5" t="str">
        <f>"H0032298"</f>
        <v>H0032298</v>
      </c>
      <c r="B24177" s="5" t="str">
        <f>"KIT MICRÓFONO INALAMBRICO DIADEMA. 1 TX PGA31. 1 RX. 1 OUT XLR. QUICK SCAN F. Condensador. Cardioide. 60Hz–20 kHz. Incluye Baterías y Cargador para Transmisor Y Adaptador de Energía para Receptor"</f>
        <v>KIT MICRÓFONO INALAMBRICO DIADEMA. 1 TX PGA31. 1 RX. 1 OUT XLR. QUICK SCAN F. Condensador. Cardioide. 60Hz–20 kHz. Incluye Baterías y Cargador para Transmisor Y Adaptador de Energía para Receptor</v>
      </c>
      <c r="C24177" s="6">
        <v>1319999.7</v>
      </c>
      <c r="D24177" s="5" t="s">
        <v>936</v>
      </c>
      <c r="E24177" s="5" t="str">
        <f t="shared" si="1207"/>
        <v>DOCENCIA E INVESTIGACION-FRANCY ARCHILA</v>
      </c>
      <c r="F24177" s="5"/>
      <c r="G24177" s="5" t="str">
        <f>"BLX14-J10"</f>
        <v>BLX14-J10</v>
      </c>
    </row>
    <row r="24178" spans="1:7" ht="58.5" customHeight="1" x14ac:dyDescent="0.25">
      <c r="A24178" s="5" t="str">
        <f>"H0032299"</f>
        <v>H0032299</v>
      </c>
      <c r="B24178" s="5" t="str">
        <f>"BASE (ATRIL) DE MESA PARA MICROFONO"</f>
        <v>BASE (ATRIL) DE MESA PARA MICROFONO</v>
      </c>
      <c r="C24178" s="6">
        <v>39999.949999999997</v>
      </c>
      <c r="D24178" s="5" t="s">
        <v>936</v>
      </c>
      <c r="E24178" s="5" t="str">
        <f t="shared" si="1207"/>
        <v>DOCENCIA E INVESTIGACION-FRANCY ARCHILA</v>
      </c>
      <c r="F24178" s="5"/>
      <c r="G24178" s="5"/>
    </row>
    <row r="24179" spans="1:7" ht="58.5" customHeight="1" x14ac:dyDescent="0.25">
      <c r="A24179" s="5" t="str">
        <f>"H0032300"</f>
        <v>H0032300</v>
      </c>
      <c r="B24179" s="5" t="str">
        <f>"BASE (ATRIL) DE MESA PARA MICROFONO"</f>
        <v>BASE (ATRIL) DE MESA PARA MICROFONO</v>
      </c>
      <c r="C24179" s="6">
        <v>39999.949999999997</v>
      </c>
      <c r="D24179" s="5" t="s">
        <v>936</v>
      </c>
      <c r="E24179" s="5" t="str">
        <f t="shared" si="1207"/>
        <v>DOCENCIA E INVESTIGACION-FRANCY ARCHILA</v>
      </c>
      <c r="F24179" s="5"/>
      <c r="G24179" s="5"/>
    </row>
    <row r="24180" spans="1:7" ht="58.5" customHeight="1" x14ac:dyDescent="0.25">
      <c r="A24180" s="5" t="str">
        <f>"H0032301"</f>
        <v>H0032301</v>
      </c>
      <c r="B24180" s="5" t="str">
        <f>"BASE (ATRIL) DE MESA PARA MICROFONO"</f>
        <v>BASE (ATRIL) DE MESA PARA MICROFONO</v>
      </c>
      <c r="C24180" s="6">
        <v>39999.949999999997</v>
      </c>
      <c r="D24180" s="5" t="s">
        <v>936</v>
      </c>
      <c r="E24180" s="5" t="str">
        <f t="shared" si="1207"/>
        <v>DOCENCIA E INVESTIGACION-FRANCY ARCHILA</v>
      </c>
      <c r="F24180" s="5"/>
      <c r="G24180" s="5"/>
    </row>
    <row r="24181" spans="1:7" ht="58.5" customHeight="1" x14ac:dyDescent="0.25">
      <c r="A24181" s="5" t="str">
        <f>"H0032302"</f>
        <v>H0032302</v>
      </c>
      <c r="B24181" s="5" t="str">
        <f>"BASE (ATRIL) DE MESA PARA MICROFONO"</f>
        <v>BASE (ATRIL) DE MESA PARA MICROFONO</v>
      </c>
      <c r="C24181" s="6">
        <v>39999.949999999997</v>
      </c>
      <c r="D24181" s="5" t="s">
        <v>936</v>
      </c>
      <c r="E24181" s="5" t="str">
        <f t="shared" si="1207"/>
        <v>DOCENCIA E INVESTIGACION-FRANCY ARCHILA</v>
      </c>
      <c r="F24181" s="5"/>
      <c r="G24181" s="5"/>
    </row>
    <row r="24182" spans="1:7" ht="58.5" customHeight="1" x14ac:dyDescent="0.25">
      <c r="A24182" s="5" t="str">
        <f>"H0032303"</f>
        <v>H0032303</v>
      </c>
      <c r="B24182" s="5" t="s">
        <v>938</v>
      </c>
      <c r="C24182" s="6">
        <v>420000.01</v>
      </c>
      <c r="D24182" s="5" t="s">
        <v>936</v>
      </c>
      <c r="E24182" s="5" t="str">
        <f t="shared" si="1207"/>
        <v>DOCENCIA E INVESTIGACION-FRANCY ARCHILA</v>
      </c>
      <c r="F24182" s="5"/>
      <c r="G24182" s="5" t="str">
        <f t="shared" ref="G24182:G24187" si="1208">"N8"</f>
        <v>N8</v>
      </c>
    </row>
    <row r="24183" spans="1:7" ht="58.5" customHeight="1" x14ac:dyDescent="0.25">
      <c r="A24183" s="5" t="str">
        <f>"H0032304"</f>
        <v>H0032304</v>
      </c>
      <c r="B24183" s="5" t="s">
        <v>938</v>
      </c>
      <c r="C24183" s="6">
        <v>420000.01</v>
      </c>
      <c r="D24183" s="5" t="s">
        <v>936</v>
      </c>
      <c r="E24183" s="5" t="str">
        <f t="shared" si="1207"/>
        <v>DOCENCIA E INVESTIGACION-FRANCY ARCHILA</v>
      </c>
      <c r="F24183" s="5"/>
      <c r="G24183" s="5" t="str">
        <f t="shared" si="1208"/>
        <v>N8</v>
      </c>
    </row>
    <row r="24184" spans="1:7" ht="58.5" customHeight="1" x14ac:dyDescent="0.25">
      <c r="A24184" s="5" t="str">
        <f>"H0032305"</f>
        <v>H0032305</v>
      </c>
      <c r="B24184" s="5" t="s">
        <v>938</v>
      </c>
      <c r="C24184" s="6">
        <v>420000.01</v>
      </c>
      <c r="D24184" s="5" t="s">
        <v>936</v>
      </c>
      <c r="E24184" s="5" t="str">
        <f t="shared" si="1207"/>
        <v>DOCENCIA E INVESTIGACION-FRANCY ARCHILA</v>
      </c>
      <c r="F24184" s="5"/>
      <c r="G24184" s="5" t="str">
        <f t="shared" si="1208"/>
        <v>N8</v>
      </c>
    </row>
    <row r="24185" spans="1:7" ht="58.5" customHeight="1" x14ac:dyDescent="0.25">
      <c r="A24185" s="5" t="str">
        <f>"H0032306"</f>
        <v>H0032306</v>
      </c>
      <c r="B24185" s="5" t="s">
        <v>938</v>
      </c>
      <c r="C24185" s="6">
        <v>420000.01</v>
      </c>
      <c r="D24185" s="5" t="s">
        <v>936</v>
      </c>
      <c r="E24185" s="5" t="str">
        <f t="shared" si="1207"/>
        <v>DOCENCIA E INVESTIGACION-FRANCY ARCHILA</v>
      </c>
      <c r="F24185" s="5"/>
      <c r="G24185" s="5" t="str">
        <f t="shared" si="1208"/>
        <v>N8</v>
      </c>
    </row>
    <row r="24186" spans="1:7" ht="58.5" customHeight="1" x14ac:dyDescent="0.25">
      <c r="A24186" s="5" t="str">
        <f>"H0032307"</f>
        <v>H0032307</v>
      </c>
      <c r="B24186" s="5" t="s">
        <v>938</v>
      </c>
      <c r="C24186" s="6">
        <v>420000.01</v>
      </c>
      <c r="D24186" s="5" t="s">
        <v>936</v>
      </c>
      <c r="E24186" s="5" t="str">
        <f t="shared" si="1207"/>
        <v>DOCENCIA E INVESTIGACION-FRANCY ARCHILA</v>
      </c>
      <c r="F24186" s="5"/>
      <c r="G24186" s="5" t="str">
        <f t="shared" si="1208"/>
        <v>N8</v>
      </c>
    </row>
    <row r="24187" spans="1:7" ht="58.5" customHeight="1" x14ac:dyDescent="0.25">
      <c r="A24187" s="5" t="str">
        <f>"H0032308"</f>
        <v>H0032308</v>
      </c>
      <c r="B24187" s="5" t="s">
        <v>938</v>
      </c>
      <c r="C24187" s="6">
        <v>420000.01</v>
      </c>
      <c r="D24187" s="5" t="s">
        <v>936</v>
      </c>
      <c r="E24187" s="5" t="str">
        <f t="shared" si="1207"/>
        <v>DOCENCIA E INVESTIGACION-FRANCY ARCHILA</v>
      </c>
      <c r="F24187" s="5"/>
      <c r="G24187" s="5" t="str">
        <f t="shared" si="1208"/>
        <v>N8</v>
      </c>
    </row>
    <row r="24188" spans="1:7" ht="58.5" customHeight="1" x14ac:dyDescent="0.25">
      <c r="A24188" s="5" t="str">
        <f>"H0032309"</f>
        <v>H0032309</v>
      </c>
      <c r="B24188" s="5" t="s">
        <v>939</v>
      </c>
      <c r="C24188" s="6">
        <v>579999.96</v>
      </c>
      <c r="D24188" s="5" t="s">
        <v>936</v>
      </c>
      <c r="E24188" s="5" t="str">
        <f t="shared" si="1207"/>
        <v>DOCENCIA E INVESTIGACION-FRANCY ARCHILA</v>
      </c>
      <c r="F24188" s="5"/>
      <c r="G24188" s="5" t="str">
        <f>"STUDIO 50USB"</f>
        <v>STUDIO 50USB</v>
      </c>
    </row>
    <row r="24189" spans="1:7" ht="58.5" customHeight="1" x14ac:dyDescent="0.25">
      <c r="A24189" s="5" t="str">
        <f>"H0032310"</f>
        <v>H0032310</v>
      </c>
      <c r="B24189" s="5" t="s">
        <v>940</v>
      </c>
      <c r="C24189" s="6">
        <v>1299999.98</v>
      </c>
      <c r="D24189" s="5" t="s">
        <v>936</v>
      </c>
      <c r="E24189" s="5" t="str">
        <f t="shared" si="1207"/>
        <v>DOCENCIA E INVESTIGACION-FRANCY ARCHILA</v>
      </c>
      <c r="F24189" s="5"/>
      <c r="G24189" s="5" t="str">
        <f>"MU12BA"</f>
        <v>MU12BA</v>
      </c>
    </row>
    <row r="24190" spans="1:7" ht="58.5" customHeight="1" x14ac:dyDescent="0.25">
      <c r="A24190" s="5" t="str">
        <f>"H0032311"</f>
        <v>H0032311</v>
      </c>
      <c r="B24190" s="5" t="str">
        <f>"AMPLIFICADOR DE AUDIO CLASE H. 4 Canales de Salida. 600W Canal a 8 Ohm. Perilla de Volumen independiente por Canal. Display LCD a Color"</f>
        <v>AMPLIFICADOR DE AUDIO CLASE H. 4 Canales de Salida. 600W Canal a 8 Ohm. Perilla de Volumen independiente por Canal. Display LCD a Color</v>
      </c>
      <c r="C24190" s="6">
        <v>1554999.69</v>
      </c>
      <c r="D24190" s="5" t="s">
        <v>936</v>
      </c>
      <c r="E24190" s="5" t="str">
        <f t="shared" si="1207"/>
        <v>DOCENCIA E INVESTIGACION-FRANCY ARCHILA</v>
      </c>
      <c r="F24190" s="5"/>
      <c r="G24190" s="5" t="str">
        <f>"PVP8.4"</f>
        <v>PVP8.4</v>
      </c>
    </row>
    <row r="24191" spans="1:7" ht="58.5" customHeight="1" x14ac:dyDescent="0.25">
      <c r="A24191" s="5" t="str">
        <f>"H0032447"</f>
        <v>H0032447</v>
      </c>
      <c r="B24191" s="5" t="str">
        <f>"AIRE ACONDICIONADO  12000 BTU (CODIGO DONACION)"</f>
        <v>AIRE ACONDICIONADO  12000 BTU (CODIGO DONACION)</v>
      </c>
      <c r="C24191" s="6">
        <v>2886554</v>
      </c>
      <c r="D24191" s="5" t="s">
        <v>485</v>
      </c>
      <c r="E24191" s="5" t="str">
        <f t="shared" si="1207"/>
        <v>DOCENCIA E INVESTIGACION-FRANCY ARCHILA</v>
      </c>
      <c r="F24191" s="5"/>
      <c r="G24191" s="5"/>
    </row>
    <row r="24192" spans="1:7" ht="58.5" customHeight="1" x14ac:dyDescent="0.25">
      <c r="A24192" s="5" t="str">
        <f>"H0032529"</f>
        <v>H0032529</v>
      </c>
      <c r="B24192" s="5" t="str">
        <f>"AIRE ACONDICIONADO 18000 BTU (DONACION)"</f>
        <v>AIRE ACONDICIONADO 18000 BTU (DONACION)</v>
      </c>
      <c r="C24192" s="6">
        <v>2199905</v>
      </c>
      <c r="D24192" s="5" t="s">
        <v>503</v>
      </c>
      <c r="E24192" s="5" t="str">
        <f t="shared" si="1207"/>
        <v>DOCENCIA E INVESTIGACION-FRANCY ARCHILA</v>
      </c>
      <c r="F24192" s="5"/>
      <c r="G24192" s="5"/>
    </row>
    <row r="24193" spans="1:7" ht="58.5" customHeight="1" x14ac:dyDescent="0.25">
      <c r="A24193" s="5" t="str">
        <f>"H0033926"</f>
        <v>H0033926</v>
      </c>
      <c r="B24193" s="5" t="str">
        <f>"LECTOR DE HUELLAS DIGITALES"</f>
        <v>LECTOR DE HUELLAS DIGITALES</v>
      </c>
      <c r="C24193" s="6">
        <v>340340</v>
      </c>
      <c r="D24193" s="5" t="s">
        <v>119</v>
      </c>
      <c r="E24193" s="5" t="str">
        <f t="shared" si="1207"/>
        <v>DOCENCIA E INVESTIGACION-FRANCY ARCHILA</v>
      </c>
      <c r="F24193" s="5"/>
      <c r="G24193" s="5"/>
    </row>
    <row r="24194" spans="1:7" ht="58.5" customHeight="1" x14ac:dyDescent="0.25">
      <c r="A24194" s="5" t="str">
        <f>"H0033957"</f>
        <v>H0033957</v>
      </c>
      <c r="B24194" s="5" t="str">
        <f>"PERSIANA TIPO BLACK OUT 2.6 X 1.3"</f>
        <v>PERSIANA TIPO BLACK OUT 2.6 X 1.3</v>
      </c>
      <c r="C24194" s="6">
        <v>400000</v>
      </c>
      <c r="D24194" s="5" t="s">
        <v>819</v>
      </c>
      <c r="E24194" s="5" t="str">
        <f t="shared" si="1207"/>
        <v>DOCENCIA E INVESTIGACION-FRANCY ARCHILA</v>
      </c>
      <c r="F24194" s="5"/>
      <c r="G24194" s="5"/>
    </row>
    <row r="24195" spans="1:7" ht="58.5" customHeight="1" x14ac:dyDescent="0.25">
      <c r="A24195" s="5" t="str">
        <f>"H0033958"</f>
        <v>H0033958</v>
      </c>
      <c r="B24195" s="5" t="str">
        <f>"PERSIANA TIPO BLACK OUT 2.4 X 1.3"</f>
        <v>PERSIANA TIPO BLACK OUT 2.4 X 1.3</v>
      </c>
      <c r="C24195" s="6">
        <v>515000</v>
      </c>
      <c r="D24195" s="5" t="s">
        <v>819</v>
      </c>
      <c r="E24195" s="5" t="str">
        <f t="shared" ref="E24195:E24223" si="1209">"DOCENCIA E INVESTIGACION-FRANCY ARCHILA"</f>
        <v>DOCENCIA E INVESTIGACION-FRANCY ARCHILA</v>
      </c>
      <c r="F24195" s="5"/>
      <c r="G24195" s="5"/>
    </row>
    <row r="24196" spans="1:7" ht="58.5" customHeight="1" x14ac:dyDescent="0.25">
      <c r="A24196" s="5" t="str">
        <f>"H0034047"</f>
        <v>H0034047</v>
      </c>
      <c r="B24196" s="5" t="s">
        <v>329</v>
      </c>
      <c r="C24196" s="6">
        <v>258000</v>
      </c>
      <c r="D24196" s="5" t="s">
        <v>122</v>
      </c>
      <c r="E24196" s="5" t="str">
        <f t="shared" si="1209"/>
        <v>DOCENCIA E INVESTIGACION-FRANCY ARCHILA</v>
      </c>
      <c r="F24196" s="5"/>
      <c r="G24196" s="5"/>
    </row>
    <row r="24197" spans="1:7" ht="58.5" customHeight="1" x14ac:dyDescent="0.25">
      <c r="A24197" s="5" t="str">
        <f>"H0034048"</f>
        <v>H0034048</v>
      </c>
      <c r="B24197" s="5" t="s">
        <v>329</v>
      </c>
      <c r="C24197" s="6">
        <v>258000</v>
      </c>
      <c r="D24197" s="5" t="s">
        <v>122</v>
      </c>
      <c r="E24197" s="5" t="str">
        <f t="shared" si="1209"/>
        <v>DOCENCIA E INVESTIGACION-FRANCY ARCHILA</v>
      </c>
      <c r="F24197" s="5"/>
      <c r="G24197" s="5"/>
    </row>
    <row r="24198" spans="1:7" ht="58.5" customHeight="1" x14ac:dyDescent="0.25">
      <c r="A24198" s="5" t="str">
        <f>"H0034063"</f>
        <v>H0034063</v>
      </c>
      <c r="B24198" s="5" t="str">
        <f>"VIDEOBEAM (VIDEO PROYECTOR)"</f>
        <v>VIDEOBEAM (VIDEO PROYECTOR)</v>
      </c>
      <c r="C24198" s="6">
        <v>10200000.5</v>
      </c>
      <c r="D24198" s="5" t="s">
        <v>941</v>
      </c>
      <c r="E24198" s="5" t="str">
        <f t="shared" si="1209"/>
        <v>DOCENCIA E INVESTIGACION-FRANCY ARCHILA</v>
      </c>
      <c r="F24198" s="5"/>
      <c r="G24198" s="5"/>
    </row>
    <row r="24199" spans="1:7" ht="58.5" customHeight="1" x14ac:dyDescent="0.25">
      <c r="A24199" s="5" t="str">
        <f>"H0034064"</f>
        <v>H0034064</v>
      </c>
      <c r="B24199" s="5" t="str">
        <f>"VIDEOBEAM (VIDEO PROYECTOR)"</f>
        <v>VIDEOBEAM (VIDEO PROYECTOR)</v>
      </c>
      <c r="C24199" s="6">
        <v>10200000.5</v>
      </c>
      <c r="D24199" s="5" t="s">
        <v>942</v>
      </c>
      <c r="E24199" s="5" t="str">
        <f t="shared" si="1209"/>
        <v>DOCENCIA E INVESTIGACION-FRANCY ARCHILA</v>
      </c>
      <c r="F24199" s="5"/>
      <c r="G24199" s="5"/>
    </row>
    <row r="24200" spans="1:7" ht="58.5" customHeight="1" x14ac:dyDescent="0.25">
      <c r="A24200" s="5" t="str">
        <f>"H0035058"</f>
        <v>H0035058</v>
      </c>
      <c r="B24200" s="5" t="s">
        <v>943</v>
      </c>
      <c r="C24200" s="6">
        <v>2177700</v>
      </c>
      <c r="D24200" s="5" t="s">
        <v>885</v>
      </c>
      <c r="E24200" s="5" t="str">
        <f t="shared" si="1209"/>
        <v>DOCENCIA E INVESTIGACION-FRANCY ARCHILA</v>
      </c>
      <c r="F24200" s="5"/>
      <c r="G24200" s="5"/>
    </row>
    <row r="24201" spans="1:7" ht="58.5" customHeight="1" x14ac:dyDescent="0.25">
      <c r="A24201" s="5" t="str">
        <f>"H0035949"</f>
        <v>H0035949</v>
      </c>
      <c r="B24201" s="5" t="str">
        <f>"SILLA GERENTE NIZA MEC. BASCULANTE CON BRAZOS."</f>
        <v>SILLA GERENTE NIZA MEC. BASCULANTE CON BRAZOS.</v>
      </c>
      <c r="C24201" s="6">
        <v>639999.86</v>
      </c>
      <c r="D24201" s="5" t="s">
        <v>281</v>
      </c>
      <c r="E24201" s="5" t="str">
        <f t="shared" si="1209"/>
        <v>DOCENCIA E INVESTIGACION-FRANCY ARCHILA</v>
      </c>
      <c r="F24201" s="5"/>
      <c r="G24201" s="5"/>
    </row>
    <row r="24202" spans="1:7" ht="58.5" customHeight="1" x14ac:dyDescent="0.25">
      <c r="A24202" s="5" t="str">
        <f>"H0035950"</f>
        <v>H0035950</v>
      </c>
      <c r="B24202" s="5" t="str">
        <f>"SILLA GERENTE NIZA MEC. BASCULANTE CON BRAZOS."</f>
        <v>SILLA GERENTE NIZA MEC. BASCULANTE CON BRAZOS.</v>
      </c>
      <c r="C24202" s="6">
        <v>639999.86</v>
      </c>
      <c r="D24202" s="5" t="s">
        <v>281</v>
      </c>
      <c r="E24202" s="5" t="str">
        <f t="shared" si="1209"/>
        <v>DOCENCIA E INVESTIGACION-FRANCY ARCHILA</v>
      </c>
      <c r="F24202" s="5"/>
      <c r="G24202" s="5"/>
    </row>
    <row r="24203" spans="1:7" ht="58.5" customHeight="1" x14ac:dyDescent="0.25">
      <c r="A24203" s="5" t="str">
        <f>"H0035951"</f>
        <v>H0035951</v>
      </c>
      <c r="B24203" s="5" t="str">
        <f>"SILLA GERENTE NIZA MEC. BASCULANTE CON BRAZOS."</f>
        <v>SILLA GERENTE NIZA MEC. BASCULANTE CON BRAZOS.</v>
      </c>
      <c r="C24203" s="6">
        <v>639999.86</v>
      </c>
      <c r="D24203" s="5" t="s">
        <v>281</v>
      </c>
      <c r="E24203" s="5" t="str">
        <f t="shared" si="1209"/>
        <v>DOCENCIA E INVESTIGACION-FRANCY ARCHILA</v>
      </c>
      <c r="F24203" s="5"/>
      <c r="G24203" s="5"/>
    </row>
    <row r="24204" spans="1:7" ht="58.5" customHeight="1" x14ac:dyDescent="0.25">
      <c r="A24204" s="5" t="str">
        <f>"H0036484"</f>
        <v>H0036484</v>
      </c>
      <c r="B24204" s="5" t="str">
        <f>"VENTILADOR DE PEDESTAL"</f>
        <v>VENTILADOR DE PEDESTAL</v>
      </c>
      <c r="C24204" s="6">
        <v>160000</v>
      </c>
      <c r="D24204" s="5" t="s">
        <v>944</v>
      </c>
      <c r="E24204" s="5" t="str">
        <f t="shared" si="1209"/>
        <v>DOCENCIA E INVESTIGACION-FRANCY ARCHILA</v>
      </c>
      <c r="F24204" s="5"/>
      <c r="G24204" s="5"/>
    </row>
    <row r="24205" spans="1:7" ht="58.5" customHeight="1" x14ac:dyDescent="0.25">
      <c r="A24205" s="5" t="str">
        <f>"H0036906"</f>
        <v>H0036906</v>
      </c>
      <c r="B24205" s="5" t="str">
        <f>"AIRE ACONDICIONADO DE 24000 BTU CONVENCIONAL R410"</f>
        <v>AIRE ACONDICIONADO DE 24000 BTU CONVENCIONAL R410</v>
      </c>
      <c r="C24205" s="6">
        <v>4950000</v>
      </c>
      <c r="D24205" s="5" t="s">
        <v>28</v>
      </c>
      <c r="E24205" s="5" t="str">
        <f t="shared" si="1209"/>
        <v>DOCENCIA E INVESTIGACION-FRANCY ARCHILA</v>
      </c>
      <c r="F24205" s="5"/>
      <c r="G24205" s="5"/>
    </row>
    <row r="24206" spans="1:7" ht="58.5" customHeight="1" x14ac:dyDescent="0.25">
      <c r="A24206" s="5" t="str">
        <f>"H0036907"</f>
        <v>H0036907</v>
      </c>
      <c r="B24206" s="5" t="str">
        <f>"AIRE ACONDICIONADO DE 24000 BTU CONVENCIONAL R410"</f>
        <v>AIRE ACONDICIONADO DE 24000 BTU CONVENCIONAL R410</v>
      </c>
      <c r="C24206" s="6">
        <v>4950000</v>
      </c>
      <c r="D24206" s="5" t="s">
        <v>28</v>
      </c>
      <c r="E24206" s="5" t="str">
        <f t="shared" si="1209"/>
        <v>DOCENCIA E INVESTIGACION-FRANCY ARCHILA</v>
      </c>
      <c r="F24206" s="5"/>
      <c r="G24206" s="5"/>
    </row>
    <row r="24207" spans="1:7" ht="58.5" customHeight="1" x14ac:dyDescent="0.25">
      <c r="A24207" s="5" t="str">
        <f>"H0036927"</f>
        <v>H0036927</v>
      </c>
      <c r="B24207" s="5" t="str">
        <f>"AIRE ACONDICIONADO 24000 BTU (DONACION)"</f>
        <v>AIRE ACONDICIONADO 24000 BTU (DONACION)</v>
      </c>
      <c r="C24207" s="6">
        <v>2500000</v>
      </c>
      <c r="D24207" s="5" t="s">
        <v>945</v>
      </c>
      <c r="E24207" s="5" t="str">
        <f t="shared" si="1209"/>
        <v>DOCENCIA E INVESTIGACION-FRANCY ARCHILA</v>
      </c>
      <c r="F24207" s="5"/>
      <c r="G24207" s="5"/>
    </row>
    <row r="24208" spans="1:7" ht="58.5" customHeight="1" x14ac:dyDescent="0.25">
      <c r="A24208" s="5" t="str">
        <f>"H0036928"</f>
        <v>H0036928</v>
      </c>
      <c r="B24208" s="5" t="str">
        <f>"AIRE ACONDICIONADO 18000 BTU (DONACION)"</f>
        <v>AIRE ACONDICIONADO 18000 BTU (DONACION)</v>
      </c>
      <c r="C24208" s="6">
        <v>2000000</v>
      </c>
      <c r="D24208" s="5" t="s">
        <v>945</v>
      </c>
      <c r="E24208" s="5" t="str">
        <f t="shared" si="1209"/>
        <v>DOCENCIA E INVESTIGACION-FRANCY ARCHILA</v>
      </c>
      <c r="F24208" s="5"/>
      <c r="G24208" s="5"/>
    </row>
    <row r="24209" spans="1:7" ht="58.5" customHeight="1" x14ac:dyDescent="0.25">
      <c r="A24209" s="5" t="str">
        <f>"H0037452"</f>
        <v>H0037452</v>
      </c>
      <c r="B24209" s="5" t="str">
        <f>"AIRE ACONDICIONADO TIPO MINISPLIT CAPACIDAD 24.000 BTU TECNOLOGIA INVERTER DUAL"</f>
        <v>AIRE ACONDICIONADO TIPO MINISPLIT CAPACIDAD 24.000 BTU TECNOLOGIA INVERTER DUAL</v>
      </c>
      <c r="C24209" s="6">
        <v>5848909.5300000003</v>
      </c>
      <c r="D24209" s="5" t="s">
        <v>202</v>
      </c>
      <c r="E24209" s="5" t="str">
        <f t="shared" si="1209"/>
        <v>DOCENCIA E INVESTIGACION-FRANCY ARCHILA</v>
      </c>
      <c r="F24209" s="5"/>
      <c r="G24209" s="5"/>
    </row>
    <row r="24210" spans="1:7" ht="58.5" customHeight="1" x14ac:dyDescent="0.25">
      <c r="A24210" s="5" t="str">
        <f>"H0037722"</f>
        <v>H0037722</v>
      </c>
      <c r="B24210" s="5" t="str">
        <f>"SILLA GERENTE NIZA MEC. BASCULANTE CON BRAZOS."</f>
        <v>SILLA GERENTE NIZA MEC. BASCULANTE CON BRAZOS.</v>
      </c>
      <c r="C24210" s="6">
        <v>710000.01</v>
      </c>
      <c r="D24210" s="5" t="s">
        <v>30</v>
      </c>
      <c r="E24210" s="5" t="str">
        <f t="shared" si="1209"/>
        <v>DOCENCIA E INVESTIGACION-FRANCY ARCHILA</v>
      </c>
      <c r="F24210" s="5"/>
      <c r="G24210" s="5"/>
    </row>
    <row r="24211" spans="1:7" ht="58.5" customHeight="1" x14ac:dyDescent="0.25">
      <c r="A24211" s="5" t="str">
        <f>"H0037723"</f>
        <v>H0037723</v>
      </c>
      <c r="B24211" s="5" t="str">
        <f>"SILLA GERENTE NIZA MEC. BASCULANTE CON BRAZOS."</f>
        <v>SILLA GERENTE NIZA MEC. BASCULANTE CON BRAZOS.</v>
      </c>
      <c r="C24211" s="6">
        <v>710000.01</v>
      </c>
      <c r="D24211" s="5" t="s">
        <v>30</v>
      </c>
      <c r="E24211" s="5" t="str">
        <f t="shared" si="1209"/>
        <v>DOCENCIA E INVESTIGACION-FRANCY ARCHILA</v>
      </c>
      <c r="F24211" s="5"/>
      <c r="G24211" s="5"/>
    </row>
    <row r="24212" spans="1:7" ht="58.5" customHeight="1" x14ac:dyDescent="0.25">
      <c r="A24212" s="5" t="str">
        <f>"H0037724"</f>
        <v>H0037724</v>
      </c>
      <c r="B24212" s="5" t="str">
        <f>"SILLA GERENTE NIZA MEC. BASCULANTE CON BRAZOS."</f>
        <v>SILLA GERENTE NIZA MEC. BASCULANTE CON BRAZOS.</v>
      </c>
      <c r="C24212" s="6">
        <v>710000.01</v>
      </c>
      <c r="D24212" s="5" t="s">
        <v>30</v>
      </c>
      <c r="E24212" s="5" t="str">
        <f t="shared" si="1209"/>
        <v>DOCENCIA E INVESTIGACION-FRANCY ARCHILA</v>
      </c>
      <c r="F24212" s="5"/>
      <c r="G24212" s="5"/>
    </row>
    <row r="24213" spans="1:7" ht="58.5" customHeight="1" x14ac:dyDescent="0.25">
      <c r="A24213" s="5" t="str">
        <f>"H0037922"</f>
        <v>H0037922</v>
      </c>
      <c r="B24213" s="5" t="str">
        <f>"SILLA GERENTE NIZA MEC. BASCULANTE CON BRAZOS."</f>
        <v>SILLA GERENTE NIZA MEC. BASCULANTE CON BRAZOS.</v>
      </c>
      <c r="C24213" s="6">
        <v>710000.01</v>
      </c>
      <c r="D24213" s="5" t="s">
        <v>30</v>
      </c>
      <c r="E24213" s="5" t="str">
        <f t="shared" si="1209"/>
        <v>DOCENCIA E INVESTIGACION-FRANCY ARCHILA</v>
      </c>
      <c r="F24213" s="5"/>
      <c r="G24213" s="5"/>
    </row>
    <row r="24214" spans="1:7" ht="58.5" customHeight="1" x14ac:dyDescent="0.25">
      <c r="A24214" s="5" t="str">
        <f>"H0038049"</f>
        <v>H0038049</v>
      </c>
      <c r="B24214" s="5" t="str">
        <f>"SILLA GERENTE NIZA MEC. BASCULANTE CON BRAZOS."</f>
        <v>SILLA GERENTE NIZA MEC. BASCULANTE CON BRAZOS.</v>
      </c>
      <c r="C24214" s="6">
        <v>710000.01</v>
      </c>
      <c r="D24214" s="5" t="s">
        <v>30</v>
      </c>
      <c r="E24214" s="5" t="str">
        <f t="shared" si="1209"/>
        <v>DOCENCIA E INVESTIGACION-FRANCY ARCHILA</v>
      </c>
      <c r="F24214" s="5"/>
      <c r="G24214" s="5"/>
    </row>
    <row r="24215" spans="1:7" ht="58.5" customHeight="1" x14ac:dyDescent="0.25">
      <c r="A24215" s="5" t="str">
        <f>"H0038132"</f>
        <v>H0038132</v>
      </c>
      <c r="B24215" s="5" t="str">
        <f>"COMPUTADOR TODO EN UNO"</f>
        <v>COMPUTADOR TODO EN UNO</v>
      </c>
      <c r="C24215" s="6">
        <v>7497000</v>
      </c>
      <c r="D24215" s="5" t="s">
        <v>31</v>
      </c>
      <c r="E24215" s="5" t="str">
        <f t="shared" si="1209"/>
        <v>DOCENCIA E INVESTIGACION-FRANCY ARCHILA</v>
      </c>
      <c r="F24215" s="5"/>
      <c r="G24215" s="5"/>
    </row>
    <row r="24216" spans="1:7" ht="58.5" customHeight="1" x14ac:dyDescent="0.25">
      <c r="A24216" s="5" t="str">
        <f>"H0038175"</f>
        <v>H0038175</v>
      </c>
      <c r="B24216" s="5" t="str">
        <f>"MODELO ANATOMICO APARATO REPRODUCTOR MOD046 (DONACION)"</f>
        <v>MODELO ANATOMICO APARATO REPRODUCTOR MOD046 (DONACION)</v>
      </c>
      <c r="C24216" s="6">
        <v>202300</v>
      </c>
      <c r="D24216" s="5" t="s">
        <v>142</v>
      </c>
      <c r="E24216" s="5" t="str">
        <f t="shared" si="1209"/>
        <v>DOCENCIA E INVESTIGACION-FRANCY ARCHILA</v>
      </c>
      <c r="F24216" s="5"/>
      <c r="G24216" s="5"/>
    </row>
    <row r="24217" spans="1:7" ht="58.5" customHeight="1" x14ac:dyDescent="0.25">
      <c r="A24217" s="5" t="str">
        <f>"H0038176"</f>
        <v>H0038176</v>
      </c>
      <c r="B24217" s="5" t="str">
        <f>"MODELO ANATOMICO APARATO REPRODUCTOR MOD047 (DONACION)"</f>
        <v>MODELO ANATOMICO APARATO REPRODUCTOR MOD047 (DONACION)</v>
      </c>
      <c r="C24217" s="6">
        <v>476000</v>
      </c>
      <c r="D24217" s="5" t="s">
        <v>142</v>
      </c>
      <c r="E24217" s="5" t="str">
        <f t="shared" si="1209"/>
        <v>DOCENCIA E INVESTIGACION-FRANCY ARCHILA</v>
      </c>
      <c r="F24217" s="5"/>
      <c r="G24217" s="5"/>
    </row>
    <row r="24218" spans="1:7" ht="58.5" customHeight="1" x14ac:dyDescent="0.25">
      <c r="A24218" s="5" t="str">
        <f>"H0038177"</f>
        <v>H0038177</v>
      </c>
      <c r="B24218" s="5" t="str">
        <f>"MODELO ANATOMICO APARATO REPRODUCTOR MOD047 (DONACION)"</f>
        <v>MODELO ANATOMICO APARATO REPRODUCTOR MOD047 (DONACION)</v>
      </c>
      <c r="C24218" s="6">
        <v>476000</v>
      </c>
      <c r="D24218" s="5" t="s">
        <v>142</v>
      </c>
      <c r="E24218" s="5" t="str">
        <f t="shared" si="1209"/>
        <v>DOCENCIA E INVESTIGACION-FRANCY ARCHILA</v>
      </c>
      <c r="F24218" s="5"/>
      <c r="G24218" s="5"/>
    </row>
    <row r="24219" spans="1:7" ht="58.5" customHeight="1" x14ac:dyDescent="0.25">
      <c r="A24219" s="5" t="str">
        <f>"H0038190"</f>
        <v>H0038190</v>
      </c>
      <c r="B24219" s="5" t="str">
        <f>"ENTRENADOR DE SVA ADULTO"</f>
        <v>ENTRENADOR DE SVA ADULTO</v>
      </c>
      <c r="C24219" s="6">
        <v>26177179</v>
      </c>
      <c r="D24219" s="5" t="s">
        <v>591</v>
      </c>
      <c r="E24219" s="5" t="str">
        <f t="shared" si="1209"/>
        <v>DOCENCIA E INVESTIGACION-FRANCY ARCHILA</v>
      </c>
      <c r="F24219" s="5"/>
      <c r="G24219" s="5"/>
    </row>
    <row r="24220" spans="1:7" ht="58.5" customHeight="1" x14ac:dyDescent="0.25">
      <c r="A24220" s="5" t="str">
        <f>"H0038639"</f>
        <v>H0038639</v>
      </c>
      <c r="B24220" s="5" t="str">
        <f>"SIMULADOR BRAZO CANALIZAR"</f>
        <v>SIMULADOR BRAZO CANALIZAR</v>
      </c>
      <c r="C24220" s="6">
        <v>1400000.09</v>
      </c>
      <c r="D24220" s="5" t="s">
        <v>145</v>
      </c>
      <c r="E24220" s="5" t="str">
        <f t="shared" si="1209"/>
        <v>DOCENCIA E INVESTIGACION-FRANCY ARCHILA</v>
      </c>
      <c r="F24220" s="5"/>
      <c r="G24220" s="5"/>
    </row>
    <row r="24221" spans="1:7" ht="58.5" customHeight="1" x14ac:dyDescent="0.25">
      <c r="A24221" s="5" t="str">
        <f>"H0038640"</f>
        <v>H0038640</v>
      </c>
      <c r="B24221" s="5" t="str">
        <f>"SIMULADOR BRAZO CANALIZAR"</f>
        <v>SIMULADOR BRAZO CANALIZAR</v>
      </c>
      <c r="C24221" s="6">
        <v>1400000.09</v>
      </c>
      <c r="D24221" s="5" t="s">
        <v>145</v>
      </c>
      <c r="E24221" s="5" t="str">
        <f t="shared" si="1209"/>
        <v>DOCENCIA E INVESTIGACION-FRANCY ARCHILA</v>
      </c>
      <c r="F24221" s="5"/>
      <c r="G24221" s="5"/>
    </row>
    <row r="24222" spans="1:7" ht="58.5" customHeight="1" x14ac:dyDescent="0.25">
      <c r="A24222" s="5" t="str">
        <f>"H0038641"</f>
        <v>H0038641</v>
      </c>
      <c r="B24222" s="5" t="str">
        <f>"SIMULADOR BRAZO CANALIZAR"</f>
        <v>SIMULADOR BRAZO CANALIZAR</v>
      </c>
      <c r="C24222" s="6">
        <v>1400000.09</v>
      </c>
      <c r="D24222" s="5" t="s">
        <v>145</v>
      </c>
      <c r="E24222" s="5" t="str">
        <f t="shared" si="1209"/>
        <v>DOCENCIA E INVESTIGACION-FRANCY ARCHILA</v>
      </c>
      <c r="F24222" s="5"/>
      <c r="G24222" s="5"/>
    </row>
    <row r="24223" spans="1:7" ht="58.5" customHeight="1" x14ac:dyDescent="0.25">
      <c r="A24223" s="5" t="str">
        <f>"H0038642"</f>
        <v>H0038642</v>
      </c>
      <c r="B24223" s="5" t="str">
        <f>"SIMULADOR BRAZO CANALIZAR"</f>
        <v>SIMULADOR BRAZO CANALIZAR</v>
      </c>
      <c r="C24223" s="6">
        <v>1400000.09</v>
      </c>
      <c r="D24223" s="5" t="s">
        <v>145</v>
      </c>
      <c r="E24223" s="5" t="str">
        <f t="shared" si="1209"/>
        <v>DOCENCIA E INVESTIGACION-FRANCY ARCHILA</v>
      </c>
      <c r="F24223" s="5"/>
      <c r="G24223" s="5"/>
    </row>
    <row r="24224" spans="1:7" ht="58.5" customHeight="1" x14ac:dyDescent="0.25">
      <c r="A24224" s="5" t="str">
        <f>"B0005497"</f>
        <v>B0005497</v>
      </c>
      <c r="B24224" s="5" t="str">
        <f>"ALICATE**"</f>
        <v>ALICATE**</v>
      </c>
      <c r="C24224" s="6">
        <v>3080</v>
      </c>
      <c r="D24224" s="5"/>
      <c r="E24224" s="5" t="str">
        <f t="shared" ref="E24224:E24255" si="1210">"ACTISALUD - TAPICERIA"</f>
        <v>ACTISALUD - TAPICERIA</v>
      </c>
      <c r="F24224" s="5" t="str">
        <f>"Descripcion:ALICATE FIR 8 ALEMAN Estado: Regular Placa anterior: 000008575 Material: HIERRO Color: MARRON Referencia:  Observacion: ESTA OXIDADO Placa padre:  Tipo adquisicion : Entidad"</f>
        <v>Descripcion:ALICATE FIR 8 ALEMAN Estado: Regular Placa anterior: 000008575 Material: HIERRO Color: MARRON Referencia:  Observacion: ESTA OXIDADO Placa padre:  Tipo adquisicion : Entidad</v>
      </c>
      <c r="G24224" s="5"/>
    </row>
    <row r="24225" spans="1:7" ht="58.5" customHeight="1" x14ac:dyDescent="0.25">
      <c r="A24225" s="5" t="str">
        <f>"B0005522"</f>
        <v>B0005522</v>
      </c>
      <c r="B24225" s="5" t="str">
        <f>"COLCHONETA FORRADA"</f>
        <v>COLCHONETA FORRADA</v>
      </c>
      <c r="C24225" s="6">
        <v>31000</v>
      </c>
      <c r="D24225" s="5"/>
      <c r="E24225" s="5" t="str">
        <f t="shared" si="1210"/>
        <v>ACTISALUD - TAPICERIA</v>
      </c>
      <c r="F24225" s="5" t="str">
        <f>"Descripcion:COLCHONETA 2X1.50X10 Estado: Regular Placa anterior: 000008473 Material: PLASTICO Color: NEGRO Referencia:  Observacion:  Placa padre:  Tipo adquisicion : Entidad"</f>
        <v>Descripcion:COLCHONETA 2X1.50X10 Estado: Regular Placa anterior: 000008473 Material: PLASTICO Color: NEGRO Referencia:  Observacion:  Placa padre:  Tipo adquisicion : Entidad</v>
      </c>
      <c r="G24225" s="5"/>
    </row>
    <row r="24226" spans="1:7" ht="58.5" customHeight="1" x14ac:dyDescent="0.25">
      <c r="A24226" s="5" t="str">
        <f>"B0005524"</f>
        <v>B0005524</v>
      </c>
      <c r="B24226" s="5" t="str">
        <f>"KIT DE DESTORNILLADORES"</f>
        <v>KIT DE DESTORNILLADORES</v>
      </c>
      <c r="C24226" s="6">
        <v>3410</v>
      </c>
      <c r="D24226" s="5"/>
      <c r="E24226" s="5" t="str">
        <f t="shared" si="1210"/>
        <v>ACTISALUD - TAPICERIA</v>
      </c>
      <c r="F24226" s="5" t="str">
        <f>"Descripcion:DESTORNILLADOR ATILA X 6 PIEZAS Estado: Regular Placa anterior: 000008577 Material: HIERRO Color:  Referencia:  Observacion: SE ENCUENTRA OXIDADO Placa padre:  Tipo adquisicion : Entidad"</f>
        <v>Descripcion:DESTORNILLADOR ATILA X 6 PIEZAS Estado: Regular Placa anterior: 000008577 Material: HIERRO Color:  Referencia:  Observacion: SE ENCUENTRA OXIDADO Placa padre:  Tipo adquisicion : Entidad</v>
      </c>
      <c r="G24226" s="5"/>
    </row>
    <row r="24227" spans="1:7" ht="58.5" customHeight="1" x14ac:dyDescent="0.25">
      <c r="A24227" s="5" t="str">
        <f>"B0005525"</f>
        <v>B0005525</v>
      </c>
      <c r="B24227" s="5" t="str">
        <f>"DESTORNILLADOR (ATORNILLADOR)"</f>
        <v>DESTORNILLADOR (ATORNILLADOR)</v>
      </c>
      <c r="C24227" s="6">
        <v>459.56</v>
      </c>
      <c r="D24227" s="5"/>
      <c r="E24227" s="5" t="str">
        <f t="shared" si="1210"/>
        <v>ACTISALUD - TAPICERIA</v>
      </c>
      <c r="F24227" s="5" t="str">
        <f>"Descripcion:DESTORNILLADOR DE PALA Estado: Regular Placa anterior: 000008578 Material: HIERRO Color:  Referencia:  Observacion: SE ENCUENTRA OXIDADO Placa padre:  Tipo adquisicion : Entidad"</f>
        <v>Descripcion:DESTORNILLADOR DE PALA Estado: Regular Placa anterior: 000008578 Material: HIERRO Color:  Referencia:  Observacion: SE ENCUENTRA OXIDADO Placa padre:  Tipo adquisicion : Entidad</v>
      </c>
      <c r="G24227" s="5"/>
    </row>
    <row r="24228" spans="1:7" ht="58.5" customHeight="1" x14ac:dyDescent="0.25">
      <c r="A24228" s="5" t="str">
        <f>"B0005526"</f>
        <v>B0005526</v>
      </c>
      <c r="B24228" s="5" t="str">
        <f>"DESTORNILLADOR (ATORNILLADOR)"</f>
        <v>DESTORNILLADOR (ATORNILLADOR)</v>
      </c>
      <c r="C24228" s="6">
        <v>459.56</v>
      </c>
      <c r="D24228" s="5"/>
      <c r="E24228" s="5" t="str">
        <f t="shared" si="1210"/>
        <v>ACTISALUD - TAPICERIA</v>
      </c>
      <c r="F24228" s="5" t="str">
        <f>"Descripcion:DESTORNILLADOR DE PALA Estado: Regular Placa anterior: 000008579 Material: HIERRO Color:  Referencia:  Observacion: SE ENCUENTRA OXIDADO Placa padre:  Tipo adquisicion : Entidad"</f>
        <v>Descripcion:DESTORNILLADOR DE PALA Estado: Regular Placa anterior: 000008579 Material: HIERRO Color:  Referencia:  Observacion: SE ENCUENTRA OXIDADO Placa padre:  Tipo adquisicion : Entidad</v>
      </c>
      <c r="G24228" s="5"/>
    </row>
    <row r="24229" spans="1:7" ht="58.5" customHeight="1" x14ac:dyDescent="0.25">
      <c r="A24229" s="5" t="str">
        <f>"B0005527"</f>
        <v>B0005527</v>
      </c>
      <c r="B24229" s="5" t="str">
        <f>"DESTORNILLADOR (ATORNILLADOR)"</f>
        <v>DESTORNILLADOR (ATORNILLADOR)</v>
      </c>
      <c r="C24229" s="6">
        <v>459.56</v>
      </c>
      <c r="D24229" s="5"/>
      <c r="E24229" s="5" t="str">
        <f t="shared" si="1210"/>
        <v>ACTISALUD - TAPICERIA</v>
      </c>
      <c r="F24229" s="5" t="str">
        <f>"Descripcion:DESTORNILLADOR DE PALA Estado: Regular Placa anterior: 000008580 Material: HIERRO Color:  Referencia:  Observacion: SE ENCUENTRA OXIDADO Placa padre:  Tipo adquisicion : Entidad"</f>
        <v>Descripcion:DESTORNILLADOR DE PALA Estado: Regular Placa anterior: 000008580 Material: HIERRO Color:  Referencia:  Observacion: SE ENCUENTRA OXIDADO Placa padre:  Tipo adquisicion : Entidad</v>
      </c>
      <c r="G24229" s="5"/>
    </row>
    <row r="24230" spans="1:7" ht="58.5" customHeight="1" x14ac:dyDescent="0.25">
      <c r="A24230" s="5" t="str">
        <f>"B0005528"</f>
        <v>B0005528</v>
      </c>
      <c r="B24230" s="5" t="str">
        <f>"DESTORNILLADOR (ATORNILLADOR)"</f>
        <v>DESTORNILLADOR (ATORNILLADOR)</v>
      </c>
      <c r="C24230" s="6">
        <v>459.56</v>
      </c>
      <c r="D24230" s="5"/>
      <c r="E24230" s="5" t="str">
        <f t="shared" si="1210"/>
        <v>ACTISALUD - TAPICERIA</v>
      </c>
      <c r="F24230" s="5" t="str">
        <f>"Descripcion:DESTORNILLADOR DE PALA Estado: Regular Placa anterior: 000008581 Material: HIERRO Color:  Referencia:  Observacion: SE ENCUENTRA OXIDADO Placa padre:  Tipo adquisicion : Entidad"</f>
        <v>Descripcion:DESTORNILLADOR DE PALA Estado: Regular Placa anterior: 000008581 Material: HIERRO Color:  Referencia:  Observacion: SE ENCUENTRA OXIDADO Placa padre:  Tipo adquisicion : Entidad</v>
      </c>
      <c r="G24230" s="5"/>
    </row>
    <row r="24231" spans="1:7" ht="58.5" customHeight="1" x14ac:dyDescent="0.25">
      <c r="A24231" s="5" t="str">
        <f>"B0005544"</f>
        <v>B0005544</v>
      </c>
      <c r="B24231" s="5" t="str">
        <f>"LIMA"</f>
        <v>LIMA</v>
      </c>
      <c r="C24231" s="6">
        <v>3420</v>
      </c>
      <c r="D24231" s="5"/>
      <c r="E24231" s="5" t="str">
        <f t="shared" si="1210"/>
        <v>ACTISALUD - TAPICERIA</v>
      </c>
      <c r="F24231" s="5" t="str">
        <f>"Descripcion:LIMA DE HIERRO GRANDE REDONDA Y PLANA Estado: Regular Placa anterior: 000008584 Material: METALICO Color: MARRON Referencia:  Observacion:  Placa padre:  Tipo adquisicion : Entidad"</f>
        <v>Descripcion:LIMA DE HIERRO GRANDE REDONDA Y PLANA Estado: Regular Placa anterior: 000008584 Material: METALICO Color: MARRON Referencia:  Observacion:  Placa padre:  Tipo adquisicion : Entidad</v>
      </c>
      <c r="G24231" s="5"/>
    </row>
    <row r="24232" spans="1:7" ht="58.5" customHeight="1" x14ac:dyDescent="0.25">
      <c r="A24232" s="5" t="str">
        <f>"B0005545"</f>
        <v>B0005545</v>
      </c>
      <c r="B24232" s="5" t="str">
        <f>"LIMA"</f>
        <v>LIMA</v>
      </c>
      <c r="C24232" s="6">
        <v>300</v>
      </c>
      <c r="D24232" s="5"/>
      <c r="E24232" s="5" t="str">
        <f t="shared" si="1210"/>
        <v>ACTISALUD - TAPICERIA</v>
      </c>
      <c r="F24232" s="5" t="str">
        <f>"Descripcion:LIMA PEQUEÑA REDONDA Estado: Regular Placa anterior: 000008588 Material: METALICO Color: MARRON Referencia:  Observacion:  Placa padre:  Tipo adquisicion : Entidad"</f>
        <v>Descripcion:LIMA PEQUEÑA REDONDA Estado: Regular Placa anterior: 000008588 Material: METALICO Color: MARRON Referencia:  Observacion:  Placa padre:  Tipo adquisicion : Entidad</v>
      </c>
      <c r="G24232" s="5"/>
    </row>
    <row r="24233" spans="1:7" ht="58.5" customHeight="1" x14ac:dyDescent="0.25">
      <c r="A24233" s="5" t="str">
        <f>"B0005546"</f>
        <v>B0005546</v>
      </c>
      <c r="B24233" s="5" t="str">
        <f>"MARTILLO PATA DE CABRA"</f>
        <v>MARTILLO PATA DE CABRA</v>
      </c>
      <c r="C24233" s="6">
        <v>350</v>
      </c>
      <c r="D24233" s="5"/>
      <c r="E24233" s="5" t="str">
        <f t="shared" si="1210"/>
        <v>ACTISALUD - TAPICERIA</v>
      </c>
      <c r="F24233" s="5" t="str">
        <f>"Descripcion:MARTILLO PATECABRA Estado: Regular Placa anterior: 000008593 Material:  Color:  Referencia:  Observacion:  Placa padre:  Tipo adquisicion : Entidad"</f>
        <v>Descripcion:MARTILLO PATECABRA Estado: Regular Placa anterior: 000008593 Material:  Color:  Referencia:  Observacion:  Placa padre:  Tipo adquisicion : Entidad</v>
      </c>
      <c r="G24233" s="5"/>
    </row>
    <row r="24234" spans="1:7" ht="58.5" customHeight="1" x14ac:dyDescent="0.25">
      <c r="A24234" s="5" t="str">
        <f>"B0005570"</f>
        <v>B0005570</v>
      </c>
      <c r="B24234" s="5" t="str">
        <f>"TALADRO"</f>
        <v>TALADRO</v>
      </c>
      <c r="C24234" s="6">
        <v>46825</v>
      </c>
      <c r="D24234" s="5"/>
      <c r="E24234" s="5" t="str">
        <f t="shared" si="1210"/>
        <v>ACTISALUD - TAPICERIA</v>
      </c>
      <c r="F24234" s="5" t="str">
        <f>"Descripcion:TALADRO BLACK DECKER Estado: Bueno Placa anterior: 000008438 Material: METALICO Color: AMARILLO Referencia:  Observacion:  Placa padre:  Tipo adquisicion : Entidad"</f>
        <v>Descripcion:TALADRO BLACK DECKER Estado: Bueno Placa anterior: 000008438 Material: METALICO Color: AMARILLO Referencia:  Observacion:  Placa padre:  Tipo adquisicion : Entidad</v>
      </c>
      <c r="G24234" s="5"/>
    </row>
    <row r="24235" spans="1:7" ht="58.5" customHeight="1" x14ac:dyDescent="0.25">
      <c r="A24235" s="5" t="str">
        <f>"B0005571"</f>
        <v>B0005571</v>
      </c>
      <c r="B24235" s="5" t="str">
        <f>"TIJERA"</f>
        <v>TIJERA</v>
      </c>
      <c r="C24235" s="6">
        <v>35588</v>
      </c>
      <c r="D24235" s="5"/>
      <c r="E24235" s="5" t="str">
        <f t="shared" si="1210"/>
        <v>ACTISALUD - TAPICERIA</v>
      </c>
      <c r="F24235" s="5" t="str">
        <f>"Descripcion:TIJERA DE 10 PULGADAS MCA.CORNETA Estado: Regular Placa anterior: 000008600 Material: HIERRO Color: MARRON Referencia:  Observacion:  Placa padre:  Tipo adquisicion : Entidad"</f>
        <v>Descripcion:TIJERA DE 10 PULGADAS MCA.CORNETA Estado: Regular Placa anterior: 000008600 Material: HIERRO Color: MARRON Referencia:  Observacion:  Placa padre:  Tipo adquisicion : Entidad</v>
      </c>
      <c r="G24235" s="5"/>
    </row>
    <row r="24236" spans="1:7" ht="58.5" customHeight="1" x14ac:dyDescent="0.25">
      <c r="A24236" s="5" t="str">
        <f>"B0005572"</f>
        <v>B0005572</v>
      </c>
      <c r="B24236" s="5" t="str">
        <f>"TIJERA"</f>
        <v>TIJERA</v>
      </c>
      <c r="C24236" s="6">
        <v>35588</v>
      </c>
      <c r="D24236" s="5"/>
      <c r="E24236" s="5" t="str">
        <f t="shared" si="1210"/>
        <v>ACTISALUD - TAPICERIA</v>
      </c>
      <c r="F24236" s="5" t="str">
        <f>"Descripcion:TIJERA DE 10 PULGADAS MCA.CORNETA Estado: Regular Placa anterior: 000008599 Material: HIERRO Color: MARRON Referencia:  Observacion:  Placa padre:  Tipo adquisicion : Entidad"</f>
        <v>Descripcion:TIJERA DE 10 PULGADAS MCA.CORNETA Estado: Regular Placa anterior: 000008599 Material: HIERRO Color: MARRON Referencia:  Observacion:  Placa padre:  Tipo adquisicion : Entidad</v>
      </c>
      <c r="G24236" s="5"/>
    </row>
    <row r="24237" spans="1:7" ht="58.5" customHeight="1" x14ac:dyDescent="0.25">
      <c r="A24237" s="5" t="str">
        <f>"H0000226"</f>
        <v>H0000226</v>
      </c>
      <c r="B24237" s="5" t="str">
        <f>"SILLA TIPO MUEBLE (POLTRONA)"</f>
        <v>SILLA TIPO MUEBLE (POLTRONA)</v>
      </c>
      <c r="C24237" s="6">
        <v>85000</v>
      </c>
      <c r="D24237" s="5"/>
      <c r="E24237" s="5" t="str">
        <f t="shared" si="1210"/>
        <v>ACTISALUD - TAPICERIA</v>
      </c>
      <c r="F24237" s="5" t="str">
        <f>"Descripcion: SILLA RECIBIDORA CORDOBAN COLOR DE MADERA Y TAPIZADO NEGRO C/BRAZOS Estado: Bueno Placa anterior: 000027472 Material: MADERA Y ESPALDAR Y ASIENTO EN CUERINA Color: NEGRO Referencia:  Observacion:  Placa padre: Tipo adquisicion: Entidad"</f>
        <v>Descripcion: SILLA RECIBIDORA CORDOBAN COLOR DE MADERA Y TAPIZADO NEGRO C/BRAZOS Estado: Bueno Placa anterior: 000027472 Material: MADERA Y ESPALDAR Y ASIENTO EN CUERINA Color: NEGRO Referencia:  Observacion:  Placa padre: Tipo adquisicion: Entidad</v>
      </c>
      <c r="G24237" s="5"/>
    </row>
    <row r="24238" spans="1:7" ht="58.5" customHeight="1" x14ac:dyDescent="0.25">
      <c r="A24238" s="5" t="str">
        <f>"H0000353"</f>
        <v>H0000353</v>
      </c>
      <c r="B24238" s="5" t="str">
        <f>"SILLA INTERLOCUTORA (FIJA) CON BRAZOS"</f>
        <v>SILLA INTERLOCUTORA (FIJA) CON BRAZOS</v>
      </c>
      <c r="C24238" s="6">
        <v>10898.12</v>
      </c>
      <c r="D24238" s="5"/>
      <c r="E24238" s="5" t="str">
        <f t="shared" si="1210"/>
        <v>ACTISALUD - TAPICERIA</v>
      </c>
      <c r="F24238" s="5" t="str">
        <f>"Descripcion: SILLA INTERLOCUTORA FIJA Estado: Malo Placa anterior: 000005813 Material: TUBO REDONDO Y CUERINA Color: BEIGE Y MARRON Referencia:  Observacion: TAPIZADO DEL ASIENTO Y ESPALDAR ROTO Y BRAZO DAÑADO, SE ENCUENTRA EN EL CONSULTORIO 18 Placa padr"&amp; "e: Tipo adquisicion: Entidad"</f>
        <v>Descripcion: SILLA INTERLOCUTORA FIJA Estado: Malo Placa anterior: 000005813 Material: TUBO REDONDO Y CUERINA Color: BEIGE Y MARRON Referencia:  Observacion: TAPIZADO DEL ASIENTO Y ESPALDAR ROTO Y BRAZO DAÑADO, SE ENCUENTRA EN EL CONSULTORIO 18 Placa padre: Tipo adquisicion: Entidad</v>
      </c>
      <c r="G24238" s="5"/>
    </row>
    <row r="24239" spans="1:7" ht="58.5" customHeight="1" x14ac:dyDescent="0.25">
      <c r="A24239" s="5" t="str">
        <f>"H0000361"</f>
        <v>H0000361</v>
      </c>
      <c r="B24239" s="5" t="str">
        <f>"SILLA INTERLOCUTORA (FIJA) SIN BRAZOS"</f>
        <v>SILLA INTERLOCUTORA (FIJA) SIN BRAZOS</v>
      </c>
      <c r="C24239" s="6">
        <v>6919.69</v>
      </c>
      <c r="D24239" s="5"/>
      <c r="E24239" s="5" t="str">
        <f t="shared" si="1210"/>
        <v>ACTISALUD - TAPICERIA</v>
      </c>
      <c r="F24239" s="5" t="str">
        <f>"Descripcion: SILLA INTERLOCUTORA SIN BRAZOS Estado: Malo Placa anterior: 000005897 Material: TUBO REDONDO Y CUERINA  Color: MARRON Referencia:  Observacion: TAPIZADO DEL ASIENTO ROTO Placa padre: Tipo adquisicion: Entidad"</f>
        <v>Descripcion: SILLA INTERLOCUTORA SIN BRAZOS Estado: Malo Placa anterior: 000005897 Material: TUBO REDONDO Y CUERINA  Color: MARRON Referencia:  Observacion: TAPIZADO DEL ASIENTO ROTO Placa padre: Tipo adquisicion: Entidad</v>
      </c>
      <c r="G24239" s="5"/>
    </row>
    <row r="24240" spans="1:7" ht="58.5" customHeight="1" x14ac:dyDescent="0.25">
      <c r="A24240" s="5" t="str">
        <f>"H0000882"</f>
        <v>H0000882</v>
      </c>
      <c r="B24240" s="5" t="str">
        <f>"SILLA INTERLOCUTORA (FIJA) SIN BRAZOS"</f>
        <v>SILLA INTERLOCUTORA (FIJA) SIN BRAZOS</v>
      </c>
      <c r="C24240" s="6">
        <v>6949.64</v>
      </c>
      <c r="D24240" s="5"/>
      <c r="E24240" s="5" t="str">
        <f t="shared" si="1210"/>
        <v>ACTISALUD - TAPICERIA</v>
      </c>
      <c r="F24240" s="5" t="str">
        <f>"Descripcion: SILLA FIJA TIPO A COLOR GRIS Estado: Bueno Placa anterior: 000005810 Material: METALICA CON TAPIZADO EN SEMICUERO Color: GRIS Referencia:  Observacion:  Placa padre: Tipo adquisicion: Entidad"</f>
        <v>Descripcion: SILLA FIJA TIPO A COLOR GRIS Estado: Bueno Placa anterior: 000005810 Material: METALICA CON TAPIZADO EN SEMICUERO Color: GRIS Referencia:  Observacion:  Placa padre: Tipo adquisicion: Entidad</v>
      </c>
      <c r="G24240" s="5"/>
    </row>
    <row r="24241" spans="1:7" ht="58.5" customHeight="1" x14ac:dyDescent="0.25">
      <c r="A24241" s="5" t="str">
        <f>"H0000889"</f>
        <v>H0000889</v>
      </c>
      <c r="B24241" s="5" t="str">
        <f>"BUTACO GIRATORIO SIN RUEDAS"</f>
        <v>BUTACO GIRATORIO SIN RUEDAS</v>
      </c>
      <c r="C24241" s="6">
        <v>10395</v>
      </c>
      <c r="D24241" s="5"/>
      <c r="E24241" s="5" t="str">
        <f t="shared" si="1210"/>
        <v>ACTISALUD - TAPICERIA</v>
      </c>
      <c r="F24241" s="5" t="str">
        <f>"Descripcion: BUTACO GIRATORIO SIN ESPALDAR Estado: Bueno Placa anterior: 000005174 Material: METALICO CON TAPIZADO EN SEMICUERO Color: TAPIZADO NEGRO Referencia:  Observacion: Se encuentra en consultorio 18 Placa padre: Tipo adquisicion: Entidad"</f>
        <v>Descripcion: BUTACO GIRATORIO SIN ESPALDAR Estado: Bueno Placa anterior: 000005174 Material: METALICO CON TAPIZADO EN SEMICUERO Color: TAPIZADO NEGRO Referencia:  Observacion: Se encuentra en consultorio 18 Placa padre: Tipo adquisicion: Entidad</v>
      </c>
      <c r="G24241" s="5"/>
    </row>
    <row r="24242" spans="1:7" ht="58.5" customHeight="1" x14ac:dyDescent="0.25">
      <c r="A24242" s="5" t="str">
        <f>"H0001500"</f>
        <v>H0001500</v>
      </c>
      <c r="B24242" s="5" t="str">
        <f>"SILLA ERGONOMICA TIPO GERENTE SIN BRAZOS"</f>
        <v>SILLA ERGONOMICA TIPO GERENTE SIN BRAZOS</v>
      </c>
      <c r="C24242" s="6">
        <v>285592</v>
      </c>
      <c r="D24242" s="5"/>
      <c r="E24242" s="5" t="str">
        <f t="shared" si="1210"/>
        <v>ACTISALUD - TAPICERIA</v>
      </c>
      <c r="F24242" s="5" t="str">
        <f>"Descripcion:   SILLA ERGONOMICA TIPO GERENTE SIN BRAZOSTAPZIADO EN NEGRO Estado: Bueno Placa anterior: 000025301 Material: TAPIZADO EN SEMICUERO Color: NEGRO Referencia:  Observacion:  Placa padre:  Tipo adquisicion : Entidad"</f>
        <v>Descripcion:   SILLA ERGONOMICA TIPO GERENTE SIN BRAZOSTAPZIADO EN NEGRO Estado: Bueno Placa anterior: 000025301 Material: TAPIZADO EN SEMICUERO Color: NEGRO Referencia:  Observacion:  Placa padre:  Tipo adquisicion : Entidad</v>
      </c>
      <c r="G24242" s="5"/>
    </row>
    <row r="24243" spans="1:7" ht="58.5" customHeight="1" x14ac:dyDescent="0.25">
      <c r="A24243" s="5" t="str">
        <f>"H0002747"</f>
        <v>H0002747</v>
      </c>
      <c r="B24243" s="5" t="str">
        <f>"VITRINA DE 1 CUERPO"</f>
        <v>VITRINA DE 1 CUERPO</v>
      </c>
      <c r="C24243" s="6">
        <v>75000</v>
      </c>
      <c r="D24243" s="5" t="s">
        <v>687</v>
      </c>
      <c r="E24243" s="5" t="str">
        <f t="shared" si="1210"/>
        <v>ACTISALUD - TAPICERIA</v>
      </c>
      <c r="F24243" s="5" t="str">
        <f>"Descripcion:VITRINA DE 1 CUERPO - 2 GAVETAS Estado: Bueno Placa anterior: 000037056 Material: METALICA Y VIDRIO Color: BEIGE Referencia:  Observacion: ESTA UBICADA EN EL PASILLO BOD. 2 Placa padre:  Tipo adquisicion : Donacion"</f>
        <v>Descripcion:VITRINA DE 1 CUERPO - 2 GAVETAS Estado: Bueno Placa anterior: 000037056 Material: METALICA Y VIDRIO Color: BEIGE Referencia:  Observacion: ESTA UBICADA EN EL PASILLO BOD. 2 Placa padre:  Tipo adquisicion : Donacion</v>
      </c>
      <c r="G24243" s="5"/>
    </row>
    <row r="24244" spans="1:7" ht="58.5" customHeight="1" x14ac:dyDescent="0.25">
      <c r="A24244" s="5" t="str">
        <f>"H0002957"</f>
        <v>H0002957</v>
      </c>
      <c r="B24244" s="5" t="str">
        <f>"SILLON (SOFA)"</f>
        <v>SILLON (SOFA)</v>
      </c>
      <c r="C24244" s="6">
        <v>21400</v>
      </c>
      <c r="D24244" s="5"/>
      <c r="E24244" s="5" t="str">
        <f t="shared" si="1210"/>
        <v>ACTISALUD - TAPICERIA</v>
      </c>
      <c r="F24244" s="5" t="str">
        <f>"Descripcion: SOFA LIZZY - 3 PUESTOS Estado: Bueno Placa anterior: 000003948 Material: MADERA Y CUERINA Color: NEGRO Y MADERA Referencia:  Observacion:  Placa padre: Tipo adquisicion: Entidad"</f>
        <v>Descripcion: SOFA LIZZY - 3 PUESTOS Estado: Bueno Placa anterior: 000003948 Material: MADERA Y CUERINA Color: NEGRO Y MADERA Referencia:  Observacion:  Placa padre: Tipo adquisicion: Entidad</v>
      </c>
      <c r="G24244" s="5"/>
    </row>
    <row r="24245" spans="1:7" ht="58.5" customHeight="1" x14ac:dyDescent="0.25">
      <c r="A24245" s="5" t="str">
        <f>"H0005432"</f>
        <v>H0005432</v>
      </c>
      <c r="B24245" s="5" t="str">
        <f>"SILLA ERGONOMICA TIPO SECRETARIA SIN BRAZOS"</f>
        <v>SILLA ERGONOMICA TIPO SECRETARIA SIN BRAZOS</v>
      </c>
      <c r="C24245" s="6">
        <v>160000</v>
      </c>
      <c r="D24245" s="5"/>
      <c r="E24245" s="5" t="str">
        <f t="shared" si="1210"/>
        <v>ACTISALUD - TAPICERIA</v>
      </c>
      <c r="F24245" s="5" t="str">
        <f>"Descripcion: SILLA GIRATORIA TIPO SECRETARIA SIN BRAZOSTAPIZADA EN PAÑO AZUL Estado: Regular Placa anterior: 000022452 Material: METALICO Color: AZUL Referencia:  Observacion:  Placa padre: Tipo adquisicion: Entidad"</f>
        <v>Descripcion: SILLA GIRATORIA TIPO SECRETARIA SIN BRAZOSTAPIZADA EN PAÑO AZUL Estado: Regular Placa anterior: 000022452 Material: METALICO Color: AZUL Referencia:  Observacion:  Placa padre: Tipo adquisicion: Entidad</v>
      </c>
      <c r="G24245" s="5"/>
    </row>
    <row r="24246" spans="1:7" ht="58.5" customHeight="1" x14ac:dyDescent="0.25">
      <c r="A24246" s="5" t="str">
        <f>"H0005557"</f>
        <v>H0005557</v>
      </c>
      <c r="B24246" s="5" t="str">
        <f>"SILLA INTERLOCUTORA (FIJA) SIN BRAZOS"</f>
        <v>SILLA INTERLOCUTORA (FIJA) SIN BRAZOS</v>
      </c>
      <c r="C24246" s="6">
        <v>5610</v>
      </c>
      <c r="D24246" s="5"/>
      <c r="E24246" s="5" t="str">
        <f t="shared" si="1210"/>
        <v>ACTISALUD - TAPICERIA</v>
      </c>
      <c r="F24246" s="5" t="str">
        <f>"Descripcion:SILLA FIJA SIN BRAZO. TAPIZADA EN CUERINA Estado: Bueno Placa anterior: 000008270 Material: METALICO Y CUERINA Color: GRIS Referencia:  Observacion:  Placa padre:  Tipo adquisicion : Entidad"</f>
        <v>Descripcion:SILLA FIJA SIN BRAZO. TAPIZADA EN CUERINA Estado: Bueno Placa anterior: 000008270 Material: METALICO Y CUERINA Color: GRIS Referencia:  Observacion:  Placa padre:  Tipo adquisicion : Entidad</v>
      </c>
      <c r="G24246" s="5"/>
    </row>
    <row r="24247" spans="1:7" ht="58.5" customHeight="1" x14ac:dyDescent="0.25">
      <c r="A24247" s="5" t="str">
        <f>"H0005561"</f>
        <v>H0005561</v>
      </c>
      <c r="B24247" s="5" t="str">
        <f>"SILLA INTERLOCUTORA (FIJA) SIN BRAZOS"</f>
        <v>SILLA INTERLOCUTORA (FIJA) SIN BRAZOS</v>
      </c>
      <c r="C24247" s="6">
        <v>5610</v>
      </c>
      <c r="D24247" s="5"/>
      <c r="E24247" s="5" t="str">
        <f t="shared" si="1210"/>
        <v>ACTISALUD - TAPICERIA</v>
      </c>
      <c r="F24247" s="5" t="str">
        <f>"Descripcion:SILLA FIJA SIN BRAZOS COLOR MARRON. SILLA TAPIZADA EN CUERINA Estado: Bueno Placa anterior: 000008281 Material: METALICO Y CUERINA Color: GRIS Y MARRON Referencia:  Observacion:  Placa padre:  Tipo adquisicion : Entidad"</f>
        <v>Descripcion:SILLA FIJA SIN BRAZOS COLOR MARRON. SILLA TAPIZADA EN CUERINA Estado: Bueno Placa anterior: 000008281 Material: METALICO Y CUERINA Color: GRIS Y MARRON Referencia:  Observacion:  Placa padre:  Tipo adquisicion : Entidad</v>
      </c>
      <c r="G24247" s="5"/>
    </row>
    <row r="24248" spans="1:7" ht="58.5" customHeight="1" x14ac:dyDescent="0.25">
      <c r="A24248" s="5" t="str">
        <f>"H0005562"</f>
        <v>H0005562</v>
      </c>
      <c r="B24248" s="5" t="str">
        <f>"SILLA INTERLOCUTORA (FIJA) SIN BRAZOS"</f>
        <v>SILLA INTERLOCUTORA (FIJA) SIN BRAZOS</v>
      </c>
      <c r="C24248" s="6">
        <v>5610</v>
      </c>
      <c r="D24248" s="5"/>
      <c r="E24248" s="5" t="str">
        <f t="shared" si="1210"/>
        <v>ACTISALUD - TAPICERIA</v>
      </c>
      <c r="F24248" s="5" t="str">
        <f>"Descripcion:SILLA FIJA SIN BRAZOS COLOR MARRON. SILLA TAPIZADA EN CUERINA Estado: Bueno Placa anterior: 000008302 Material: METALICO Y CUERINA Color: GRIS Y MARRON Referencia:  Observacion:  Placa padre:  Tipo adquisicion : Entidad"</f>
        <v>Descripcion:SILLA FIJA SIN BRAZOS COLOR MARRON. SILLA TAPIZADA EN CUERINA Estado: Bueno Placa anterior: 000008302 Material: METALICO Y CUERINA Color: GRIS Y MARRON Referencia:  Observacion:  Placa padre:  Tipo adquisicion : Entidad</v>
      </c>
      <c r="G24248" s="5"/>
    </row>
    <row r="24249" spans="1:7" ht="58.5" customHeight="1" x14ac:dyDescent="0.25">
      <c r="A24249" s="5" t="str">
        <f>"H0005690"</f>
        <v>H0005690</v>
      </c>
      <c r="B24249" s="5" t="str">
        <f>"SILLA INTERLOCUTORA (FIJA) CON BRAZOS"</f>
        <v>SILLA INTERLOCUTORA (FIJA) CON BRAZOS</v>
      </c>
      <c r="C24249" s="6">
        <v>10120</v>
      </c>
      <c r="D24249" s="5"/>
      <c r="E24249" s="5" t="str">
        <f t="shared" si="1210"/>
        <v>ACTISALUD - TAPICERIA</v>
      </c>
      <c r="F24249" s="5" t="str">
        <f>"Descripcion:SILLA TIPO D (FIJA CON BRAZOS). SILLA TAPIZADA EN CUERINA Estado: Regular Placa anterior: 000008297 Material: METALICO Y CUERINA Color: GRIS Y MARRON Referencia:  Observacion: NO PRESENTA UN BRAZO LA SILLA Placa padre:  Tipo adquisicion : Enti"&amp; "dad"</f>
        <v>Descripcion:SILLA TIPO D (FIJA CON BRAZOS). SILLA TAPIZADA EN CUERINA Estado: Regular Placa anterior: 000008297 Material: METALICO Y CUERINA Color: GRIS Y MARRON Referencia:  Observacion: NO PRESENTA UN BRAZO LA SILLA Placa padre:  Tipo adquisicion : Entidad</v>
      </c>
      <c r="G24249" s="5"/>
    </row>
    <row r="24250" spans="1:7" ht="58.5" customHeight="1" x14ac:dyDescent="0.25">
      <c r="A24250" s="5" t="str">
        <f>"H0006876"</f>
        <v>H0006876</v>
      </c>
      <c r="B24250" s="5" t="str">
        <f>"SILLA INTERLOCUTORA (FIJA) SIN BRAZOS"</f>
        <v>SILLA INTERLOCUTORA (FIJA) SIN BRAZOS</v>
      </c>
      <c r="C24250" s="6">
        <v>5610</v>
      </c>
      <c r="D24250" s="5"/>
      <c r="E24250" s="5" t="str">
        <f t="shared" si="1210"/>
        <v>ACTISALUD - TAPICERIA</v>
      </c>
      <c r="F24250" s="5" t="str">
        <f>"Descripcion:SILLA FIJA SIN BRAZOS. TAPIZADA EN CUERINA Estado: Bueno Placa anterior: 000008353 Material: METALICO Y CUERINA Color: GRI Referencia:  Observacion:  Placa padre:  Tipo adquisicion : Entidad"</f>
        <v>Descripcion:SILLA FIJA SIN BRAZOS. TAPIZADA EN CUERINA Estado: Bueno Placa anterior: 000008353 Material: METALICO Y CUERINA Color: GRI Referencia:  Observacion:  Placa padre:  Tipo adquisicion : Entidad</v>
      </c>
      <c r="G24250" s="5"/>
    </row>
    <row r="24251" spans="1:7" ht="58.5" customHeight="1" x14ac:dyDescent="0.25">
      <c r="A24251" s="5" t="str">
        <f>"H0006878"</f>
        <v>H0006878</v>
      </c>
      <c r="B24251" s="5" t="str">
        <f>"SILLA INTERLOCUTORA (FIJA) SIN BRAZOS"</f>
        <v>SILLA INTERLOCUTORA (FIJA) SIN BRAZOS</v>
      </c>
      <c r="C24251" s="6">
        <v>5610</v>
      </c>
      <c r="D24251" s="5"/>
      <c r="E24251" s="5" t="str">
        <f t="shared" si="1210"/>
        <v>ACTISALUD - TAPICERIA</v>
      </c>
      <c r="F24251" s="5" t="str">
        <f>"Descripcion:SILLA FIJA SIN BRAZOS. TAPIZADO EN CUERINA Estado: Bueno Placa anterior: 000008385 Material: METALICO Y CUERINA Color: GRIS Referencia:  Observacion:  Placa padre:  Tipo adquisicion : Entidad"</f>
        <v>Descripcion:SILLA FIJA SIN BRAZOS. TAPIZADO EN CUERINA Estado: Bueno Placa anterior: 000008385 Material: METALICO Y CUERINA Color: GRIS Referencia:  Observacion:  Placa padre:  Tipo adquisicion : Entidad</v>
      </c>
      <c r="G24251" s="5"/>
    </row>
    <row r="24252" spans="1:7" ht="58.5" customHeight="1" x14ac:dyDescent="0.25">
      <c r="A24252" s="5" t="str">
        <f>"H0006881"</f>
        <v>H0006881</v>
      </c>
      <c r="B24252" s="5" t="str">
        <f>"SILLA INTERLOCUTORA (FIJA) SIN BRAZOS"</f>
        <v>SILLA INTERLOCUTORA (FIJA) SIN BRAZOS</v>
      </c>
      <c r="C24252" s="6">
        <v>5610</v>
      </c>
      <c r="D24252" s="5"/>
      <c r="E24252" s="5" t="str">
        <f t="shared" si="1210"/>
        <v>ACTISALUD - TAPICERIA</v>
      </c>
      <c r="F24252" s="5" t="str">
        <f>"Descripcion:SILLA FIJA SIN BRAZOS. TAPIZADO EN CUERINA Estado: Bueno Placa anterior: 000008301 Material: METALICA Y CUERINA Color: GRIS Referencia:  Observacion:  Placa padre:  Tipo adquisicion : Entidad"</f>
        <v>Descripcion:SILLA FIJA SIN BRAZOS. TAPIZADO EN CUERINA Estado: Bueno Placa anterior: 000008301 Material: METALICA Y CUERINA Color: GRIS Referencia:  Observacion:  Placa padre:  Tipo adquisicion : Entidad</v>
      </c>
      <c r="G24252" s="5"/>
    </row>
    <row r="24253" spans="1:7" ht="58.5" customHeight="1" x14ac:dyDescent="0.25">
      <c r="A24253" s="5" t="str">
        <f>"H0007286"</f>
        <v>H0007286</v>
      </c>
      <c r="B24253" s="5" t="str">
        <f>"SILLA TANDEM DE 3 PUESTOS"</f>
        <v>SILLA TANDEM DE 3 PUESTOS</v>
      </c>
      <c r="C24253" s="6">
        <v>122850</v>
      </c>
      <c r="D24253" s="5"/>
      <c r="E24253" s="5" t="str">
        <f t="shared" si="1210"/>
        <v>ACTISALUD - TAPICERIA</v>
      </c>
      <c r="F24253" s="5" t="str">
        <f>"Descripcion: TANDEM 3 PUESTOS Estado: Bueno Placa anterior: 000016764 Material: PASTA Color: VERDE Referencia:  Observacion: AUTORIZADO CONCILIAR EN CRUCE GENERAL Placa padre: Tipo adquisicion: Entidad"</f>
        <v>Descripcion: TANDEM 3 PUESTOS Estado: Bueno Placa anterior: 000016764 Material: PASTA Color: VERDE Referencia:  Observacion: AUTORIZADO CONCILIAR EN CRUCE GENERAL Placa padre: Tipo adquisicion: Entidad</v>
      </c>
      <c r="G24253" s="5"/>
    </row>
    <row r="24254" spans="1:7" ht="58.5" customHeight="1" x14ac:dyDescent="0.25">
      <c r="A24254" s="5" t="str">
        <f>"H0007797"</f>
        <v>H0007797</v>
      </c>
      <c r="B24254" s="5" t="str">
        <f>"SILLA DE RUEDAS"</f>
        <v>SILLA DE RUEDAS</v>
      </c>
      <c r="C24254" s="6">
        <v>60000</v>
      </c>
      <c r="D24254" s="5" t="s">
        <v>55</v>
      </c>
      <c r="E24254" s="5" t="str">
        <f t="shared" si="1210"/>
        <v>ACTISALUD - TAPICERIA</v>
      </c>
      <c r="F24254" s="5" t="str">
        <f>"Descripcion: SILLA DE RUEDAS Estado: Bueno Placa anterior: 000030299 Material: METAL DE PASTA  Color: NEGRO Referencia:  Observacion: BUEN ESTADO Y FUNCIONAMIENTO  Placa padre: Tipo adquisicion: Donacion"</f>
        <v>Descripcion: SILLA DE RUEDAS Estado: Bueno Placa anterior: 000030299 Material: METAL DE PASTA  Color: NEGRO Referencia:  Observacion: BUEN ESTADO Y FUNCIONAMIENTO  Placa padre: Tipo adquisicion: Donacion</v>
      </c>
      <c r="G24254" s="5"/>
    </row>
    <row r="24255" spans="1:7" ht="58.5" customHeight="1" x14ac:dyDescent="0.25">
      <c r="A24255" s="5" t="str">
        <f>"H0008004"</f>
        <v>H0008004</v>
      </c>
      <c r="B24255" s="5" t="str">
        <f>"SILLON (SOFA)"</f>
        <v>SILLON (SOFA)</v>
      </c>
      <c r="C24255" s="6">
        <v>21400</v>
      </c>
      <c r="D24255" s="5"/>
      <c r="E24255" s="5" t="str">
        <f t="shared" si="1210"/>
        <v>ACTISALUD - TAPICERIA</v>
      </c>
      <c r="F24255" s="5" t="str">
        <f>"Descripcion: SOFA DE 3 CUERPOS TAPIZADO Estado: Regular Placa anterior: 000024318 Material: TAPIZADO EN TELA Color: BEIGE Referencia:  Observacion: SOFA DE 3 PUESTOS COLOR MARRON   Placa padre: Tipo adquisicion: Entidad"</f>
        <v>Descripcion: SOFA DE 3 CUERPOS TAPIZADO Estado: Regular Placa anterior: 000024318 Material: TAPIZADO EN TELA Color: BEIGE Referencia:  Observacion: SOFA DE 3 PUESTOS COLOR MARRON   Placa padre: Tipo adquisicion: Entidad</v>
      </c>
      <c r="G24255" s="5"/>
    </row>
    <row r="24256" spans="1:7" ht="58.5" customHeight="1" x14ac:dyDescent="0.25">
      <c r="A24256" s="5" t="str">
        <f>"H0008919"</f>
        <v>H0008919</v>
      </c>
      <c r="B24256" s="5" t="str">
        <f>"SILLON (SOFA)"</f>
        <v>SILLON (SOFA)</v>
      </c>
      <c r="C24256" s="6">
        <v>3280.57</v>
      </c>
      <c r="D24256" s="5"/>
      <c r="E24256" s="5" t="str">
        <f t="shared" ref="E24256:E24279" si="1211">"ACTISALUD - TAPICERIA"</f>
        <v>ACTISALUD - TAPICERIA</v>
      </c>
      <c r="F24256" s="5" t="str">
        <f>"Descripcion: SOFA DE 3 PUESTOS COLOR NEGRO Estado: Regular Placa anterior: 000007682 Material: TAPIZADO EN SEMICUERO Color: NEGRO Referencia:  Observacion:  Placa padre: Tipo adquisicion: Entidad"</f>
        <v>Descripcion: SOFA DE 3 PUESTOS COLOR NEGRO Estado: Regular Placa anterior: 000007682 Material: TAPIZADO EN SEMICUERO Color: NEGRO Referencia:  Observacion:  Placa padre: Tipo adquisicion: Entidad</v>
      </c>
      <c r="G24256" s="5"/>
    </row>
    <row r="24257" spans="1:7" ht="58.5" customHeight="1" x14ac:dyDescent="0.25">
      <c r="A24257" s="5" t="str">
        <f>"H0009210"</f>
        <v>H0009210</v>
      </c>
      <c r="B24257" s="5" t="str">
        <f>"SILLA INTERLOCUTORA (FIJA) CON BRAZOS"</f>
        <v>SILLA INTERLOCUTORA (FIJA) CON BRAZOS</v>
      </c>
      <c r="C24257" s="6">
        <v>10120</v>
      </c>
      <c r="D24257" s="5"/>
      <c r="E24257" s="5" t="str">
        <f t="shared" si="1211"/>
        <v>ACTISALUD - TAPICERIA</v>
      </c>
      <c r="F24257" s="5" t="str">
        <f>"Descripcion: SILLA TIPO D (FIJA CON BRAZOS) Estado: Regular Placa anterior: 000006881 Material: METAL Y CUERINA Color: GRIS Y MARRON Referencia:  Observacion: ESTA SILLA SE ENCUENTRA EN REGULAR ESTADO SEGUN LO OBSERVADO Placa padre: Tipo adquisicion: Enti"&amp; "dad"</f>
        <v>Descripcion: SILLA TIPO D (FIJA CON BRAZOS) Estado: Regular Placa anterior: 000006881 Material: METAL Y CUERINA Color: GRIS Y MARRON Referencia:  Observacion: ESTA SILLA SE ENCUENTRA EN REGULAR ESTADO SEGUN LO OBSERVADO Placa padre: Tipo adquisicion: Entidad</v>
      </c>
      <c r="G24257" s="5"/>
    </row>
    <row r="24258" spans="1:7" ht="58.5" customHeight="1" x14ac:dyDescent="0.25">
      <c r="A24258" s="5" t="str">
        <f>"H0009701"</f>
        <v>H0009701</v>
      </c>
      <c r="B24258" s="5" t="str">
        <f>"SILLA GIRATORIA SIN BRAZOS CON RODACHINES"</f>
        <v>SILLA GIRATORIA SIN BRAZOS CON RODACHINES</v>
      </c>
      <c r="C24258" s="6">
        <v>111940</v>
      </c>
      <c r="D24258" s="5"/>
      <c r="E24258" s="5" t="str">
        <f t="shared" si="1211"/>
        <v>ACTISALUD - TAPICERIA</v>
      </c>
      <c r="F24258" s="5" t="str">
        <f>"Descripcion: SILLA ERGONOMICA GIRATORIA Estado: Malo Placa anterior: 000031250 Material: PASTA Y PAÑO Color: NEGRO Referencia:  Observacion: AMORTIGUADOR DAÑADO Placa padre: Tipo adquisicion: Entidad"</f>
        <v>Descripcion: SILLA ERGONOMICA GIRATORIA Estado: Malo Placa anterior: 000031250 Material: PASTA Y PAÑO Color: NEGRO Referencia:  Observacion: AMORTIGUADOR DAÑADO Placa padre: Tipo adquisicion: Entidad</v>
      </c>
      <c r="G24258" s="5"/>
    </row>
    <row r="24259" spans="1:7" ht="58.5" customHeight="1" x14ac:dyDescent="0.25">
      <c r="A24259" s="5" t="str">
        <f>"H0009750"</f>
        <v>H0009750</v>
      </c>
      <c r="B24259" s="5" t="str">
        <f>"SILLON (SOFA)"</f>
        <v>SILLON (SOFA)</v>
      </c>
      <c r="C24259" s="6">
        <v>21400</v>
      </c>
      <c r="D24259" s="5"/>
      <c r="E24259" s="5" t="str">
        <f t="shared" si="1211"/>
        <v>ACTISALUD - TAPICERIA</v>
      </c>
      <c r="F24259" s="5" t="str">
        <f>"Descripcion: SOFA LIZZYTAIZADO EN CUERO NEGRO, ESTA ROTO Estado: Regular Placa anterior: 000005204 Material: MADERA Color: NEGRO Referencia:  Observacion:  Placa padre: Tipo adquisicion: Entidad"</f>
        <v>Descripcion: SOFA LIZZYTAIZADO EN CUERO NEGRO, ESTA ROTO Estado: Regular Placa anterior: 000005204 Material: MADERA Color: NEGRO Referencia:  Observacion:  Placa padre: Tipo adquisicion: Entidad</v>
      </c>
      <c r="G24259" s="5"/>
    </row>
    <row r="24260" spans="1:7" ht="58.5" customHeight="1" x14ac:dyDescent="0.25">
      <c r="A24260" s="5" t="str">
        <f>"H0009751"</f>
        <v>H0009751</v>
      </c>
      <c r="B24260" s="5" t="str">
        <f>"SILLON (SOFA)"</f>
        <v>SILLON (SOFA)</v>
      </c>
      <c r="C24260" s="6">
        <v>21400</v>
      </c>
      <c r="D24260" s="5"/>
      <c r="E24260" s="5" t="str">
        <f t="shared" si="1211"/>
        <v>ACTISALUD - TAPICERIA</v>
      </c>
      <c r="F24260" s="5" t="str">
        <f>"Descripcion: SOFA LIZZYTAIZADO EN CUERO NEGRO, ESTA ROTO Estado: Regular Placa anterior: 000004940 Material: MADERA Color: NEGRO Referencia:  Observacion: PASAR A TOCOCIRUGIA Placa padre: Tipo adquisicion: Entidad"</f>
        <v>Descripcion: SOFA LIZZYTAIZADO EN CUERO NEGRO, ESTA ROTO Estado: Regular Placa anterior: 000004940 Material: MADERA Color: NEGRO Referencia:  Observacion: PASAR A TOCOCIRUGIA Placa padre: Tipo adquisicion: Entidad</v>
      </c>
      <c r="G24260" s="5"/>
    </row>
    <row r="24261" spans="1:7" ht="58.5" customHeight="1" x14ac:dyDescent="0.25">
      <c r="A24261" s="5" t="str">
        <f>"H0009992"</f>
        <v>H0009992</v>
      </c>
      <c r="B24261" s="5" t="str">
        <f>"SILLA ERGONOMICA TIPO SECRETARIA SIN BRAZOS"</f>
        <v>SILLA ERGONOMICA TIPO SECRETARIA SIN BRAZOS</v>
      </c>
      <c r="C24261" s="6">
        <v>211120</v>
      </c>
      <c r="D24261" s="5"/>
      <c r="E24261" s="5" t="str">
        <f t="shared" si="1211"/>
        <v>ACTISALUD - TAPICERIA</v>
      </c>
      <c r="F24261" s="5" t="str">
        <f>"Descripcion: SILLA ERGONÓMICA GIRATORIA TIPO SECRETARIA SIN BRAZOS Estado: Bueno Placa anterior: 000025296 Material: PASTA TELA Color: NEGRO Referencia:  Observacion:  Placa padre: Tipo adquisicion: Entidad"</f>
        <v>Descripcion: SILLA ERGONÓMICA GIRATORIA TIPO SECRETARIA SIN BRAZOS Estado: Bueno Placa anterior: 000025296 Material: PASTA TELA Color: NEGRO Referencia:  Observacion:  Placa padre: Tipo adquisicion: Entidad</v>
      </c>
      <c r="G24261" s="5"/>
    </row>
    <row r="24262" spans="1:7" ht="58.5" customHeight="1" x14ac:dyDescent="0.25">
      <c r="A24262" s="5" t="str">
        <f>"H0010520"</f>
        <v>H0010520</v>
      </c>
      <c r="B24262" s="5" t="str">
        <f>"SILLON (SOFA)"</f>
        <v>SILLON (SOFA)</v>
      </c>
      <c r="C24262" s="6">
        <v>21400</v>
      </c>
      <c r="D24262" s="5"/>
      <c r="E24262" s="5" t="str">
        <f t="shared" si="1211"/>
        <v>ACTISALUD - TAPICERIA</v>
      </c>
      <c r="F24262" s="5" t="str">
        <f>"Descripcion: SOFA DE 4 PUESTO EN MADERA Y TAPIZADO EN CUERINA MARRON Estado: Regular Placa anterior: 000021490 Material: MADERA Y CUERINA Color: MARRON Referencia:  Observacion:  Placa padre: Tipo adquisicion: Entidad"</f>
        <v>Descripcion: SOFA DE 4 PUESTO EN MADERA Y TAPIZADO EN CUERINA MARRON Estado: Regular Placa anterior: 000021490 Material: MADERA Y CUERINA Color: MARRON Referencia:  Observacion:  Placa padre: Tipo adquisicion: Entidad</v>
      </c>
      <c r="G24262" s="5"/>
    </row>
    <row r="24263" spans="1:7" ht="58.5" customHeight="1" x14ac:dyDescent="0.25">
      <c r="A24263" s="5" t="str">
        <f>"H0010908"</f>
        <v>H0010908</v>
      </c>
      <c r="B24263" s="5" t="str">
        <f>"SILLA GIRATORIA SIN BRAZOS CON RODACHINES"</f>
        <v>SILLA GIRATORIA SIN BRAZOS CON RODACHINES</v>
      </c>
      <c r="C24263" s="6">
        <v>211120</v>
      </c>
      <c r="D24263" s="5"/>
      <c r="E24263" s="5" t="str">
        <f t="shared" si="1211"/>
        <v>ACTISALUD - TAPICERIA</v>
      </c>
      <c r="F24263" s="5" t="str">
        <f>"Descripcion: SILLA ERGONOMICA AT 02 (TA-TELA VINILICA SECRETARIAL) Estado: Regular Placa anterior: 000025291 Material: PASTA Y CUERINA Color: NEGRO Referencia:  Observacion:  Placa padre: Tipo adquisicion: Entidad"</f>
        <v>Descripcion: SILLA ERGONOMICA AT 02 (TA-TELA VINILICA SECRETARIAL) Estado: Regular Placa anterior: 000025291 Material: PASTA Y CUERINA Color: NEGRO Referencia:  Observacion:  Placa padre: Tipo adquisicion: Entidad</v>
      </c>
      <c r="G24263" s="5"/>
    </row>
    <row r="24264" spans="1:7" ht="58.5" customHeight="1" x14ac:dyDescent="0.25">
      <c r="A24264" s="5" t="str">
        <f>"H0012762"</f>
        <v>H0012762</v>
      </c>
      <c r="B24264" s="5" t="str">
        <f>"LOCKER DE 2 COMPARTIMIENTOS"</f>
        <v>LOCKER DE 2 COMPARTIMIENTOS</v>
      </c>
      <c r="C24264" s="6">
        <v>10384</v>
      </c>
      <c r="D24264" s="5"/>
      <c r="E24264" s="5" t="str">
        <f t="shared" si="1211"/>
        <v>ACTISALUD - TAPICERIA</v>
      </c>
      <c r="F24264" s="5" t="str">
        <f>"Descripcion: LOCKER TIPO C DE 2 COMPARTIMIENTOS Y UN CUERPO Estado: Bueno Placa anterior: 000008915 Material: METAL Color: GRIS Referencia:  Observacion:  Placa padre: Tipo adquisicion: Entidad"</f>
        <v>Descripcion: LOCKER TIPO C DE 2 COMPARTIMIENTOS Y UN CUERPO Estado: Bueno Placa anterior: 000008915 Material: METAL Color: GRIS Referencia:  Observacion:  Placa padre: Tipo adquisicion: Entidad</v>
      </c>
      <c r="G24264" s="5"/>
    </row>
    <row r="24265" spans="1:7" ht="58.5" customHeight="1" x14ac:dyDescent="0.25">
      <c r="A24265" s="5" t="str">
        <f>"H0016831"</f>
        <v>H0016831</v>
      </c>
      <c r="B24265" s="5" t="str">
        <f>"SILLA ERGONOMICA TIPO SECRETARIA CON BRAZOS"</f>
        <v>SILLA ERGONOMICA TIPO SECRETARIA CON BRAZOS</v>
      </c>
      <c r="C24265" s="6">
        <v>211120</v>
      </c>
      <c r="D24265" s="5"/>
      <c r="E24265" s="5" t="str">
        <f t="shared" si="1211"/>
        <v>ACTISALUD - TAPICERIA</v>
      </c>
      <c r="F24265" s="5" t="str">
        <f>"Descripcion: SILLA ERGONOMICA TIPO SECRETARIA SIN BRAZOS Estado: Bueno Placa anterior: 000025276 Material: PASTA Y CUERO Color: NEGRO Referencia:  Observacion:  Placa padre: Tipo adquisicion: Entidad"</f>
        <v>Descripcion: SILLA ERGONOMICA TIPO SECRETARIA SIN BRAZOS Estado: Bueno Placa anterior: 000025276 Material: PASTA Y CUERO Color: NEGRO Referencia:  Observacion:  Placa padre: Tipo adquisicion: Entidad</v>
      </c>
      <c r="G24265" s="5"/>
    </row>
    <row r="24266" spans="1:7" ht="58.5" customHeight="1" x14ac:dyDescent="0.25">
      <c r="A24266" s="5" t="str">
        <f>"H0018539"</f>
        <v>H0018539</v>
      </c>
      <c r="B24266" s="5" t="str">
        <f>"MAQUINA DE COSER"</f>
        <v>MAQUINA DE COSER</v>
      </c>
      <c r="C24266" s="6">
        <v>198257</v>
      </c>
      <c r="D24266" s="5"/>
      <c r="E24266" s="5" t="str">
        <f t="shared" si="1211"/>
        <v>ACTISALUD - TAPICERIA</v>
      </c>
      <c r="F24266" s="5" t="str">
        <f>"Descripcion:MAQUINA DE COSER MCA.PFAFF Estado: Bueno Placa anterior: 000009532 Material: METALICO Color: BEIGE Referencia:  Observacion:  Placa padre:  Tipo adquisicion : Entidad"</f>
        <v>Descripcion:MAQUINA DE COSER MCA.PFAFF Estado: Bueno Placa anterior: 000009532 Material: METALICO Color: BEIGE Referencia:  Observacion:  Placa padre:  Tipo adquisicion : Entidad</v>
      </c>
      <c r="G24266" s="5" t="str">
        <f>"463"</f>
        <v>463</v>
      </c>
    </row>
    <row r="24267" spans="1:7" ht="58.5" customHeight="1" x14ac:dyDescent="0.25">
      <c r="A24267" s="5" t="str">
        <f>"H0020341"</f>
        <v>H0020341</v>
      </c>
      <c r="B24267" s="5" t="str">
        <f>"SILLA INTERLOCUTORA (FIJA) CON BRAZOS"</f>
        <v>SILLA INTERLOCUTORA (FIJA) CON BRAZOS</v>
      </c>
      <c r="C24267" s="6">
        <v>10089.879999999999</v>
      </c>
      <c r="D24267" s="5"/>
      <c r="E24267" s="5" t="str">
        <f t="shared" si="1211"/>
        <v>ACTISALUD - TAPICERIA</v>
      </c>
      <c r="F24267" s="5" t="str">
        <f>"Descripcion:SILLA TAPIZADA EN CUERINA LE FALTA UN BRAZO Estado: Regular Placa anterior: 000021446 Material: METALICA Y CUERINA Color: MARRON Referencia:  Observacion: LA CUERINA ESTA DAÑADA  AUTORIZADO CONCILIAR EN CRUCE GENERAL Placa padre:  Tipo adquisi"&amp; "cion : Entidad"</f>
        <v>Descripcion:SILLA TAPIZADA EN CUERINA LE FALTA UN BRAZO Estado: Regular Placa anterior: 000021446 Material: METALICA Y CUERINA Color: MARRON Referencia:  Observacion: LA CUERINA ESTA DAÑADA  AUTORIZADO CONCILIAR EN CRUCE GENERAL Placa padre:  Tipo adquisicion : Entidad</v>
      </c>
      <c r="G24267" s="5"/>
    </row>
    <row r="24268" spans="1:7" ht="58.5" customHeight="1" x14ac:dyDescent="0.25">
      <c r="A24268" s="5" t="str">
        <f>"H0020727"</f>
        <v>H0020727</v>
      </c>
      <c r="B24268" s="5" t="str">
        <f>"SILLA INTERLOCUTORA (FIJA) SIN BRAZOS"</f>
        <v>SILLA INTERLOCUTORA (FIJA) SIN BRAZOS</v>
      </c>
      <c r="C24268" s="6">
        <v>7480</v>
      </c>
      <c r="D24268" s="5"/>
      <c r="E24268" s="5" t="str">
        <f t="shared" si="1211"/>
        <v>ACTISALUD - TAPICERIA</v>
      </c>
      <c r="F24268" s="5" t="str">
        <f>"Descripcion:TAPIZADA EN PAÑO CUERO NEGROREPOSABRAZOS EN MADERAEL ASIENTO SE ENCUNETRA DAÑADO*OXIDOSE LA LLEVARON PARA MANTENIMIENTO Y REPARACION Estado: Malo Placa anterior: 000021060 Material: METAL-CUERO Color: NEGRO Referencia:  Observacion: AUTORIZADO"&amp; " CONCILIAR EN CRUCE GENERAL Placa padre:  Tipo adquisicion : Entidad"</f>
        <v>Descripcion:TAPIZADA EN PAÑO CUERO NEGROREPOSABRAZOS EN MADERAEL ASIENTO SE ENCUNETRA DAÑADO*OXIDOSE LA LLEVARON PARA MANTENIMIENTO Y REPARACION Estado: Malo Placa anterior: 000021060 Material: METAL-CUERO Color: NEGRO Referencia:  Observacion: AUTORIZADO CONCILIAR EN CRUCE GENERAL Placa padre:  Tipo adquisicion : Entidad</v>
      </c>
      <c r="G24268" s="5"/>
    </row>
    <row r="24269" spans="1:7" ht="58.5" customHeight="1" x14ac:dyDescent="0.25">
      <c r="A24269" s="5" t="str">
        <f>"H0020744"</f>
        <v>H0020744</v>
      </c>
      <c r="B24269" s="5" t="str">
        <f>"SILLA ERGONOMICA TIPO SECRETARIA SIN BRAZOS"</f>
        <v>SILLA ERGONOMICA TIPO SECRETARIA SIN BRAZOS</v>
      </c>
      <c r="C24269" s="6">
        <v>192483.62</v>
      </c>
      <c r="D24269" s="5"/>
      <c r="E24269" s="5" t="str">
        <f t="shared" si="1211"/>
        <v>ACTISALUD - TAPICERIA</v>
      </c>
      <c r="F24269" s="5" t="str">
        <f>"Descripcion:TAPIZADA EN PAÑO NEGRO Estado: Malo Placa anterior: 000008685 Material: PASTA Color: NEGRO Referencia:  Observacion: AUTORIZADO CONCILIAR EN CRUCE GENERAL Placa padre:  Tipo adquisicion : Entidad"</f>
        <v>Descripcion:TAPIZADA EN PAÑO NEGRO Estado: Malo Placa anterior: 000008685 Material: PASTA Color: NEGRO Referencia:  Observacion: AUTORIZADO CONCILIAR EN CRUCE GENERAL Placa padre:  Tipo adquisicion : Entidad</v>
      </c>
      <c r="G24269" s="5"/>
    </row>
    <row r="24270" spans="1:7" ht="58.5" customHeight="1" x14ac:dyDescent="0.25">
      <c r="A24270" s="5" t="str">
        <f>"H0020887"</f>
        <v>H0020887</v>
      </c>
      <c r="B24270" s="5" t="str">
        <f>"SILLON (SOFA)"</f>
        <v>SILLON (SOFA)</v>
      </c>
      <c r="C24270" s="6">
        <v>73150</v>
      </c>
      <c r="D24270" s="5"/>
      <c r="E24270" s="5" t="str">
        <f t="shared" si="1211"/>
        <v>ACTISALUD - TAPICERIA</v>
      </c>
      <c r="F24270" s="5" t="str">
        <f>"Descripcion:ESTRUCTURA EN MADERANO TIENE COJINES Estado: Malo Placa anterior: 000015801 Material: MADERA Color:  Referencia:  Observacion:  Placa padre:  Tipo adquisicion : Entidad"</f>
        <v>Descripcion:ESTRUCTURA EN MADERANO TIENE COJINES Estado: Malo Placa anterior: 000015801 Material: MADERA Color:  Referencia:  Observacion:  Placa padre:  Tipo adquisicion : Entidad</v>
      </c>
      <c r="G24270" s="5"/>
    </row>
    <row r="24271" spans="1:7" ht="58.5" customHeight="1" x14ac:dyDescent="0.25">
      <c r="A24271" s="5" t="str">
        <f>"H0020936"</f>
        <v>H0020936</v>
      </c>
      <c r="B24271" s="5" t="str">
        <f>"SILLON (SOFA)"</f>
        <v>SILLON (SOFA)</v>
      </c>
      <c r="C24271" s="6">
        <v>73150</v>
      </c>
      <c r="D24271" s="5"/>
      <c r="E24271" s="5" t="str">
        <f t="shared" si="1211"/>
        <v>ACTISALUD - TAPICERIA</v>
      </c>
      <c r="F24271" s="5" t="str">
        <f>"Descripcion:*ESTRUCTURA EN MADERA* FALTA LOS REPOSABRAZOS Estado: Malo Placa anterior: 000007916 Material: MADERA Color:  Referencia:  Observacion:  Placa padre:  Tipo adquisicion : Entidad"</f>
        <v>Descripcion:*ESTRUCTURA EN MADERA* FALTA LOS REPOSABRAZOS Estado: Malo Placa anterior: 000007916 Material: MADERA Color:  Referencia:  Observacion:  Placa padre:  Tipo adquisicion : Entidad</v>
      </c>
      <c r="G24271" s="5"/>
    </row>
    <row r="24272" spans="1:7" ht="58.5" customHeight="1" x14ac:dyDescent="0.25">
      <c r="A24272" s="5" t="str">
        <f>"H0020938"</f>
        <v>H0020938</v>
      </c>
      <c r="B24272" s="5" t="str">
        <f>"SILLON (SOFA)"</f>
        <v>SILLON (SOFA)</v>
      </c>
      <c r="C24272" s="6">
        <v>21400</v>
      </c>
      <c r="D24272" s="5"/>
      <c r="E24272" s="5" t="str">
        <f t="shared" si="1211"/>
        <v>ACTISALUD - TAPICERIA</v>
      </c>
      <c r="F24272" s="5" t="str">
        <f>"Descripcion:SOFA LIZZY* ESTRUCTURA EN MADERA EN MAL ESTADO*TAPIZADA EN CUERO NEGRO Estado: Malo Placa anterior: 000021597 Material: MADERA - CUERO Color: NEGRO Referencia:  Observacion:  Placa padre:  Tipo adquisicion : Entidad"</f>
        <v>Descripcion:SOFA LIZZY* ESTRUCTURA EN MADERA EN MAL ESTADO*TAPIZADA EN CUERO NEGRO Estado: Malo Placa anterior: 000021597 Material: MADERA - CUERO Color: NEGRO Referencia:  Observacion:  Placa padre:  Tipo adquisicion : Entidad</v>
      </c>
      <c r="G24272" s="5"/>
    </row>
    <row r="24273" spans="1:7" ht="58.5" customHeight="1" x14ac:dyDescent="0.25">
      <c r="A24273" s="5" t="str">
        <f>"H0020950"</f>
        <v>H0020950</v>
      </c>
      <c r="B24273" s="5" t="str">
        <f>"COMPRESOR DE AIRE"</f>
        <v>COMPRESOR DE AIRE</v>
      </c>
      <c r="C24273" s="6">
        <v>436000.07</v>
      </c>
      <c r="D24273" s="5" t="s">
        <v>946</v>
      </c>
      <c r="E24273" s="5" t="str">
        <f t="shared" si="1211"/>
        <v>ACTISALUD - TAPICERIA</v>
      </c>
      <c r="F24273" s="5"/>
      <c r="G24273" s="5" t="str">
        <f>"ADC50D"</f>
        <v>ADC50D</v>
      </c>
    </row>
    <row r="24274" spans="1:7" ht="58.5" customHeight="1" x14ac:dyDescent="0.25">
      <c r="A24274" s="5" t="str">
        <f>"H0021602"</f>
        <v>H0021602</v>
      </c>
      <c r="B24274" s="5" t="str">
        <f>"SILLA ERGONOMICA TIPO SECRETARIA SIN BRAZOS"</f>
        <v>SILLA ERGONOMICA TIPO SECRETARIA SIN BRAZOS</v>
      </c>
      <c r="C24274" s="6">
        <v>347130</v>
      </c>
      <c r="D24274" s="5"/>
      <c r="E24274" s="5" t="str">
        <f t="shared" si="1211"/>
        <v>ACTISALUD - TAPICERIA</v>
      </c>
      <c r="F24274" s="5" t="str">
        <f>"Descripcion:SILLA ERGONOMICA SIN BRAZOS Estado: Inservible Placa anterior: 000008786 Material: PASTA Y PAÑO Color: CAFE Referencia:  Observacion: BIEN TIENE PLACA ANTERIOR 000000536  AUTORIZADO CONCILIAR EN CRUCE GENERAL Placa padre:  Tipo adquisicion : E"&amp; "ntidad"</f>
        <v>Descripcion:SILLA ERGONOMICA SIN BRAZOS Estado: Inservible Placa anterior: 000008786 Material: PASTA Y PAÑO Color: CAFE Referencia:  Observacion: BIEN TIENE PLACA ANTERIOR 000000536  AUTORIZADO CONCILIAR EN CRUCE GENERAL Placa padre:  Tipo adquisicion : Entidad</v>
      </c>
      <c r="G24274" s="5"/>
    </row>
    <row r="24275" spans="1:7" ht="58.5" customHeight="1" x14ac:dyDescent="0.25">
      <c r="A24275" s="5" t="str">
        <f>"H0022322"</f>
        <v>H0022322</v>
      </c>
      <c r="B24275" s="5" t="str">
        <f>"TALADRO"</f>
        <v>TALADRO</v>
      </c>
      <c r="C24275" s="6">
        <v>359600</v>
      </c>
      <c r="D24275" s="5" t="s">
        <v>740</v>
      </c>
      <c r="E24275" s="5" t="str">
        <f t="shared" si="1211"/>
        <v>ACTISALUD - TAPICERIA</v>
      </c>
      <c r="F24275" s="5"/>
      <c r="G24275" s="5"/>
    </row>
    <row r="24276" spans="1:7" ht="58.5" customHeight="1" x14ac:dyDescent="0.25">
      <c r="A24276" s="5" t="str">
        <f>"H0024219"</f>
        <v>H0024219</v>
      </c>
      <c r="B24276" s="5" t="str">
        <f>"SILLON RECLINABLE CON MECANISMO PARA RECLINAR"</f>
        <v>SILLON RECLINABLE CON MECANISMO PARA RECLINAR</v>
      </c>
      <c r="C24276" s="6">
        <v>720360</v>
      </c>
      <c r="D24276" s="5" t="s">
        <v>216</v>
      </c>
      <c r="E24276" s="5" t="str">
        <f t="shared" si="1211"/>
        <v>ACTISALUD - TAPICERIA</v>
      </c>
      <c r="F24276" s="5"/>
      <c r="G24276" s="5"/>
    </row>
    <row r="24277" spans="1:7" ht="58.5" customHeight="1" x14ac:dyDescent="0.25">
      <c r="A24277" s="5" t="str">
        <f>"H0027617"</f>
        <v>H0027617</v>
      </c>
      <c r="B24277" s="5" t="str">
        <f>"TALADRO  1/2 DEWALL"</f>
        <v>TALADRO  1/2 DEWALL</v>
      </c>
      <c r="C24277" s="6">
        <v>916500.07</v>
      </c>
      <c r="D24277" s="5" t="s">
        <v>747</v>
      </c>
      <c r="E24277" s="5" t="str">
        <f t="shared" si="1211"/>
        <v>ACTISALUD - TAPICERIA</v>
      </c>
      <c r="F24277" s="5"/>
      <c r="G24277" s="5"/>
    </row>
    <row r="24278" spans="1:7" ht="58.5" customHeight="1" x14ac:dyDescent="0.25">
      <c r="A24278" s="5" t="str">
        <f>"H0027618"</f>
        <v>H0027618</v>
      </c>
      <c r="B24278" s="5" t="str">
        <f>"LIJADORA ORBITAL 225W 1/4 DEWALT"</f>
        <v>LIJADORA ORBITAL 225W 1/4 DEWALT</v>
      </c>
      <c r="C24278" s="6">
        <v>279900.08</v>
      </c>
      <c r="D24278" s="5" t="s">
        <v>747</v>
      </c>
      <c r="E24278" s="5" t="str">
        <f t="shared" si="1211"/>
        <v>ACTISALUD - TAPICERIA</v>
      </c>
      <c r="F24278" s="5"/>
      <c r="G24278" s="5"/>
    </row>
    <row r="24279" spans="1:7" ht="58.5" customHeight="1" x14ac:dyDescent="0.25">
      <c r="A24279" s="5" t="str">
        <f>"H0032493"</f>
        <v>H0032493</v>
      </c>
      <c r="B24279" s="5" t="str">
        <f>"Silla ergonómica tipo Zeit con brazos fijos; cubierta externa en polipropileno color negro; base de 5 aspas, asiento en espuma laminada; base cromada, rueda nylon"</f>
        <v>Silla ergonómica tipo Zeit con brazos fijos; cubierta externa en polipropileno color negro; base de 5 aspas, asiento en espuma laminada; base cromada, rueda nylon</v>
      </c>
      <c r="C24279" s="6">
        <v>420090</v>
      </c>
      <c r="D24279" s="5" t="s">
        <v>17</v>
      </c>
      <c r="E24279" s="5" t="str">
        <f t="shared" si="1211"/>
        <v>ACTISALUD - TAPICERIA</v>
      </c>
      <c r="F24279" s="5"/>
      <c r="G24279" s="5"/>
    </row>
    <row r="24280" spans="1:7" ht="58.5" customHeight="1" x14ac:dyDescent="0.25">
      <c r="A24280" s="5" t="str">
        <f>"H0005088"</f>
        <v>H0005088</v>
      </c>
      <c r="B24280" s="5" t="str">
        <f>"SILLA INTERLOCUTORA (FIJA) SIN BRAZOS"</f>
        <v>SILLA INTERLOCUTORA (FIJA) SIN BRAZOS</v>
      </c>
      <c r="C24280" s="6">
        <v>81200</v>
      </c>
      <c r="D24280" s="5" t="s">
        <v>34</v>
      </c>
      <c r="E24280" s="5" t="str">
        <f>"ACTISALUD - SUPERVISORES"</f>
        <v>ACTISALUD - SUPERVISORES</v>
      </c>
      <c r="F24280" s="5" t="str">
        <f>"Descripcion: SILLA SPRISMAS INTERLOCUTORASTAPIZADA CUERO NEGRO ESPALDAR Estado: Bueno Placa anterior: 000030389 Material: METALICO Color: NEGRO Referencia:  Observacion:  Placa padre: Tipo adquisicion: Entidad"</f>
        <v>Descripcion: SILLA SPRISMAS INTERLOCUTORASTAPIZADA CUERO NEGRO ESPALDAR Estado: Bueno Placa anterior: 000030389 Material: METALICO Color: NEGRO Referencia:  Observacion:  Placa padre: Tipo adquisicion: Entidad</v>
      </c>
      <c r="G24280" s="5"/>
    </row>
    <row r="24281" spans="1:7" ht="58.5" customHeight="1" x14ac:dyDescent="0.25">
      <c r="A24281" s="5" t="str">
        <f>"H0011294"</f>
        <v>H0011294</v>
      </c>
      <c r="B24281" s="5" t="str">
        <f>"AIRE ACONDICIONADO TIPO VENTANA 12000 BTU"</f>
        <v>AIRE ACONDICIONADO TIPO VENTANA 12000 BTU</v>
      </c>
      <c r="C24281" s="6">
        <v>910000</v>
      </c>
      <c r="D24281" s="5"/>
      <c r="E24281" s="5" t="str">
        <f>"ACTISALUD - SUPERVISORES"</f>
        <v>ACTISALUD - SUPERVISORES</v>
      </c>
      <c r="F24281" s="5" t="str">
        <f>"Descripcion: NO SE PUEDE OBSERVAR SERIAL, REFERENCIAS, PLACA ANTERIOR Estado: Bueno Placa anterior:  Material: PASTA Color: BLANCO Referencia:  Observacion:  Placa padre: Tipo adquisicion: Entidad"</f>
        <v>Descripcion: NO SE PUEDE OBSERVAR SERIAL, REFERENCIAS, PLACA ANTERIOR Estado: Bueno Placa anterior:  Material: PASTA Color: BLANCO Referencia:  Observacion:  Placa padre: Tipo adquisicion: Entidad</v>
      </c>
      <c r="G24281" s="5" t="str">
        <f>"GOLD"</f>
        <v>GOLD</v>
      </c>
    </row>
    <row r="24282" spans="1:7" ht="58.5" customHeight="1" x14ac:dyDescent="0.25">
      <c r="A24282" s="5" t="str">
        <f>"H0019609"</f>
        <v>H0019609</v>
      </c>
      <c r="B24282" s="5" t="str">
        <f>"ESCRITORIO METALICO 3 GAVETAS"</f>
        <v>ESCRITORIO METALICO 3 GAVETAS</v>
      </c>
      <c r="C24282" s="6">
        <v>18170</v>
      </c>
      <c r="D24282" s="5"/>
      <c r="E24282" s="5" t="str">
        <f>"ACTISALUD - SUPERVISORES"</f>
        <v>ACTISALUD - SUPERVISORES</v>
      </c>
      <c r="F24282" s="5" t="str">
        <f>"Descripcion:ESCRITORIO DE 3 GAVETAS CON FORMICA Estado: Bueno Placa anterior: 000010612 Material: METALICO Y FORMICA Color: GRIS Y MARRON Referencia:  Observacion:  Placa padre:  Tipo adquisicion : Entidad"</f>
        <v>Descripcion:ESCRITORIO DE 3 GAVETAS CON FORMICA Estado: Bueno Placa anterior: 000010612 Material: METALICO Y FORMICA Color: GRIS Y MARRON Referencia:  Observacion:  Placa padre:  Tipo adquisicion : Entidad</v>
      </c>
      <c r="G24282" s="5"/>
    </row>
    <row r="24283" spans="1:7" ht="58.5" customHeight="1" x14ac:dyDescent="0.25">
      <c r="A24283" s="5" t="str">
        <f>"H0020655"</f>
        <v>H0020655</v>
      </c>
      <c r="B24283" s="5" t="str">
        <f>"ESCRITORIO METALICO 2 GAVETAS"</f>
        <v>ESCRITORIO METALICO 2 GAVETAS</v>
      </c>
      <c r="C24283" s="6">
        <v>15068.43</v>
      </c>
      <c r="D24283" s="5"/>
      <c r="E24283" s="5" t="str">
        <f>"ACTISALUD - SUPERVISORES"</f>
        <v>ACTISALUD - SUPERVISORES</v>
      </c>
      <c r="F24283" s="5" t="str">
        <f>"Descripcion: ESCRITORIO METALICO 2 GAVETAS Estado: Bueno Placa anterior: 000009357 Material: METALICO Color: GRIS Referencia:  Observacion:  Placa padre: Tipo adquisicion: Entidad"</f>
        <v>Descripcion: ESCRITORIO METALICO 2 GAVETAS Estado: Bueno Placa anterior: 000009357 Material: METALICO Color: GRIS Referencia:  Observacion:  Placa padre: Tipo adquisicion: Entidad</v>
      </c>
      <c r="G24283" s="5"/>
    </row>
    <row r="24284" spans="1:7" ht="58.5" customHeight="1" x14ac:dyDescent="0.25">
      <c r="A24284" s="5" t="str">
        <f>"H0000961"</f>
        <v>H0000961</v>
      </c>
      <c r="B24284" s="5" t="str">
        <f>"SILLA RECLINOMATICA"</f>
        <v>SILLA RECLINOMATICA</v>
      </c>
      <c r="C24284" s="6">
        <v>1220000</v>
      </c>
      <c r="D24284" s="5" t="s">
        <v>63</v>
      </c>
      <c r="E24284" s="5" t="str">
        <f t="shared" ref="E24284:E24347" si="1212">"ACTISALUD-CIRUGIA PEDIATRIA-MARIA AUXILIADORA PERTUZ"</f>
        <v>ACTISALUD-CIRUGIA PEDIATRIA-MARIA AUXILIADORA PERTUZ</v>
      </c>
      <c r="F24284" s="5" t="str">
        <f>"Descripcion: SILLA PARA ACOMPAÑANTE  RECLINABLE Estado: Excelente Placa anterior: 000037919 Material: TAPIZADO Color: AZUL OSCURO Referencia:  Observacion: FUNCIONARIO AUTORIZA SE CONCILIE SOBRANTE PISO 4 CON FALTANTE PISO 3 Placa padre: Tipo adquisicion:"&amp; " Entidad"</f>
        <v>Descripcion: SILLA PARA ACOMPAÑANTE  RECLINABLE Estado: Excelente Placa anterior: 000037919 Material: TAPIZADO Color: AZUL OSCURO Referencia:  Observacion: FUNCIONARIO AUTORIZA SE CONCILIE SOBRANTE PISO 4 CON FALTANTE PISO 3 Placa padre: Tipo adquisicion: Entidad</v>
      </c>
      <c r="G24284" s="5"/>
    </row>
    <row r="24285" spans="1:7" ht="58.5" customHeight="1" x14ac:dyDescent="0.25">
      <c r="A24285" s="5" t="str">
        <f>"H0000966"</f>
        <v>H0000966</v>
      </c>
      <c r="B24285" s="5" t="str">
        <f>"SILLA RECLINOMATICA"</f>
        <v>SILLA RECLINOMATICA</v>
      </c>
      <c r="C24285" s="6">
        <v>1220000</v>
      </c>
      <c r="D24285" s="5" t="s">
        <v>63</v>
      </c>
      <c r="E24285" s="5" t="str">
        <f t="shared" si="1212"/>
        <v>ACTISALUD-CIRUGIA PEDIATRIA-MARIA AUXILIADORA PERTUZ</v>
      </c>
      <c r="F24285" s="5" t="str">
        <f>"Descripcion: SILLA PARA ACOMPAÑANTE  RECLINABLE Estado: Excelente Placa anterior: 000037923 Material: TAPIZADO Color: AZUL OSCURO Referencia:  Observacion: FUNCIONARIO AUTORIZA SE CONCILIE SOBRANTE PISO 4 CON FALTANTE PISO 3 Placa padre: Tipo adquisicion:"&amp; " Entidad"</f>
        <v>Descripcion: SILLA PARA ACOMPAÑANTE  RECLINABLE Estado: Excelente Placa anterior: 000037923 Material: TAPIZADO Color: AZUL OSCURO Referencia:  Observacion: FUNCIONARIO AUTORIZA SE CONCILIE SOBRANTE PISO 4 CON FALTANTE PISO 3 Placa padre: Tipo adquisicion: Entidad</v>
      </c>
      <c r="G24285" s="5"/>
    </row>
    <row r="24286" spans="1:7" ht="58.5" customHeight="1" x14ac:dyDescent="0.25">
      <c r="A24286" s="5" t="str">
        <f>"H0000968"</f>
        <v>H0000968</v>
      </c>
      <c r="B24286" s="5" t="str">
        <f>"MESA PUENTE (ALIMENTACION) (INSTRUMENTAL)"</f>
        <v>MESA PUENTE (ALIMENTACION) (INSTRUMENTAL)</v>
      </c>
      <c r="C24286" s="6">
        <v>300000</v>
      </c>
      <c r="D24286" s="5" t="s">
        <v>63</v>
      </c>
      <c r="E24286" s="5" t="str">
        <f t="shared" si="1212"/>
        <v>ACTISALUD-CIRUGIA PEDIATRIA-MARIA AUXILIADORA PERTUZ</v>
      </c>
      <c r="F24286" s="5" t="str">
        <f>"Descripcion: MESA PUENTE PARA ALIMENTACION  METALICA CON MESON EN FORMICA Estado: Bueno Placa anterior: 000037863 Material: METALICO CON MESON EN FORMICA Color: MADERA CLARO, ESTRUCTURA BEIGE Referencia:  Observacion: FUNCIONARIO AUTORIZA SE CONCILIE CON "&amp; "PLACA  00037863 Placa padre: Tipo adquisicion: Entidad"</f>
        <v>Descripcion: MESA PUENTE PARA ALIMENTACION  METALICA CON MESON EN FORMICA Estado: Bueno Placa anterior: 000037863 Material: METALICO CON MESON EN FORMICA Color: MADERA CLARO, ESTRUCTURA BEIGE Referencia:  Observacion: FUNCIONARIO AUTORIZA SE CONCILIE CON PLACA  00037863 Placa padre: Tipo adquisicion: Entidad</v>
      </c>
      <c r="G24286" s="5"/>
    </row>
    <row r="24287" spans="1:7" ht="58.5" customHeight="1" x14ac:dyDescent="0.25">
      <c r="A24287" s="5" t="str">
        <f>"H0000981"</f>
        <v>H0000981</v>
      </c>
      <c r="B24287" s="5" t="str">
        <f t="shared" ref="B24287:B24293" si="1213">"SILLA RECLINOMATICA"</f>
        <v>SILLA RECLINOMATICA</v>
      </c>
      <c r="C24287" s="6">
        <v>1220000</v>
      </c>
      <c r="D24287" s="5" t="s">
        <v>63</v>
      </c>
      <c r="E24287" s="5" t="str">
        <f t="shared" si="1212"/>
        <v>ACTISALUD-CIRUGIA PEDIATRIA-MARIA AUXILIADORA PERTUZ</v>
      </c>
      <c r="F24287" s="5" t="str">
        <f>"Descripcion: SILLA PARA ACOMPAÑANTE RECLINABLE Estado: Excelente Placa anterior: 000037943 Material: TAPIZADO Color: AZUL OSCURO Referencia:  Observacion: FUNCIONARIO AUTORIZA SE CONCILIE SOBRANTE PISO 4 CON FALTANTE PISO 3 Placa padre: Tipo adquisicion: "&amp; "Entidad"</f>
        <v>Descripcion: SILLA PARA ACOMPAÑANTE RECLINABLE Estado: Excelente Placa anterior: 000037943 Material: TAPIZADO Color: AZUL OSCURO Referencia:  Observacion: FUNCIONARIO AUTORIZA SE CONCILIE SOBRANTE PISO 4 CON FALTANTE PISO 3 Placa padre: Tipo adquisicion: Entidad</v>
      </c>
      <c r="G24287" s="5"/>
    </row>
    <row r="24288" spans="1:7" ht="58.5" customHeight="1" x14ac:dyDescent="0.25">
      <c r="A24288" s="5" t="str">
        <f>"H0000985"</f>
        <v>H0000985</v>
      </c>
      <c r="B24288" s="5" t="str">
        <f t="shared" si="1213"/>
        <v>SILLA RECLINOMATICA</v>
      </c>
      <c r="C24288" s="6">
        <v>1220000</v>
      </c>
      <c r="D24288" s="5" t="s">
        <v>63</v>
      </c>
      <c r="E24288" s="5" t="str">
        <f t="shared" si="1212"/>
        <v>ACTISALUD-CIRUGIA PEDIATRIA-MARIA AUXILIADORA PERTUZ</v>
      </c>
      <c r="F24288" s="5" t="str">
        <f>"Descripcion: SILLA PARA ACOMPAÑANTE RECLINABLE Estado: Excelente Placa anterior: 000037941 Material: TAPIZADO Color: AZUL OSCURO Referencia:  Observacion: FUNCIONARIO AUTORIZA SE CONCILIE SOBRANTE PISO 4 CON FALTANTE PISO 3 Placa padre: Tipo adquisicion: "&amp; "Entidad"</f>
        <v>Descripcion: SILLA PARA ACOMPAÑANTE RECLINABLE Estado: Excelente Placa anterior: 000037941 Material: TAPIZADO Color: AZUL OSCURO Referencia:  Observacion: FUNCIONARIO AUTORIZA SE CONCILIE SOBRANTE PISO 4 CON FALTANTE PISO 3 Placa padre: Tipo adquisicion: Entidad</v>
      </c>
      <c r="G24288" s="5"/>
    </row>
    <row r="24289" spans="1:7" ht="58.5" customHeight="1" x14ac:dyDescent="0.25">
      <c r="A24289" s="5" t="str">
        <f>"H0000988"</f>
        <v>H0000988</v>
      </c>
      <c r="B24289" s="5" t="str">
        <f t="shared" si="1213"/>
        <v>SILLA RECLINOMATICA</v>
      </c>
      <c r="C24289" s="6">
        <v>1220000</v>
      </c>
      <c r="D24289" s="5" t="s">
        <v>63</v>
      </c>
      <c r="E24289" s="5" t="str">
        <f t="shared" si="1212"/>
        <v>ACTISALUD-CIRUGIA PEDIATRIA-MARIA AUXILIADORA PERTUZ</v>
      </c>
      <c r="F24289" s="5" t="str">
        <f>"Descripcion: SILLA PARA VISITANTE RECLINABLE  Estado: Excelente Placa anterior: 000037938 Material: TAPIZADO Color: AZUL OSCURO Referencia:  Observacion: FUNCIONARIO AUTORIZA SE CONCILIE SOBRANTE PISO 4 CON FALTANTE PISO 3 Placa padre: Tipo adquisicion: E"&amp; "ntidad"</f>
        <v>Descripcion: SILLA PARA VISITANTE RECLINABLE  Estado: Excelente Placa anterior: 000037938 Material: TAPIZADO Color: AZUL OSCURO Referencia:  Observacion: FUNCIONARIO AUTORIZA SE CONCILIE SOBRANTE PISO 4 CON FALTANTE PISO 3 Placa padre: Tipo adquisicion: Entidad</v>
      </c>
      <c r="G24289" s="5"/>
    </row>
    <row r="24290" spans="1:7" ht="58.5" customHeight="1" x14ac:dyDescent="0.25">
      <c r="A24290" s="5" t="str">
        <f>"H0000992"</f>
        <v>H0000992</v>
      </c>
      <c r="B24290" s="5" t="str">
        <f t="shared" si="1213"/>
        <v>SILLA RECLINOMATICA</v>
      </c>
      <c r="C24290" s="6">
        <v>1220000</v>
      </c>
      <c r="D24290" s="5" t="s">
        <v>63</v>
      </c>
      <c r="E24290" s="5" t="str">
        <f t="shared" si="1212"/>
        <v>ACTISALUD-CIRUGIA PEDIATRIA-MARIA AUXILIADORA PERTUZ</v>
      </c>
      <c r="F24290" s="5" t="str">
        <f>"Descripcion: SILLON PARA VISITANTE RECLINABLE  Estado: Excelente Placa anterior: 000037939 Material: TAPIZADO Color: AZUL OSCURO Referencia:  Observacion: FUNCIONARIO AUTORIZA SE CONCILIE SOBRANTE PISO 4 CON FALTANTE PISO 3 Placa padre: Tipo adquisicion: "&amp; "Entidad"</f>
        <v>Descripcion: SILLON PARA VISITANTE RECLINABLE  Estado: Excelente Placa anterior: 000037939 Material: TAPIZADO Color: AZUL OSCURO Referencia:  Observacion: FUNCIONARIO AUTORIZA SE CONCILIE SOBRANTE PISO 4 CON FALTANTE PISO 3 Placa padre: Tipo adquisicion: Entidad</v>
      </c>
      <c r="G24290" s="5"/>
    </row>
    <row r="24291" spans="1:7" ht="58.5" customHeight="1" x14ac:dyDescent="0.25">
      <c r="A24291" s="5" t="str">
        <f>"H0000995"</f>
        <v>H0000995</v>
      </c>
      <c r="B24291" s="5" t="str">
        <f t="shared" si="1213"/>
        <v>SILLA RECLINOMATICA</v>
      </c>
      <c r="C24291" s="6">
        <v>1220000</v>
      </c>
      <c r="D24291" s="5" t="s">
        <v>63</v>
      </c>
      <c r="E24291" s="5" t="str">
        <f t="shared" si="1212"/>
        <v>ACTISALUD-CIRUGIA PEDIATRIA-MARIA AUXILIADORA PERTUZ</v>
      </c>
      <c r="F24291" s="5" t="str">
        <f>"Descripcion: SILLON PARA VISITANTE RECLINABLE  Estado: Excelente Placa anterior: 000037942 Material: TAPIZADO Color: AZUL OSCURO Referencia:  Observacion: FUNCIONARIO AUTORIZA SE CONCILIE SOBRANTE PISO 4 CON FALTANTE PISO 3 Placa padre: Tipo adquisicion: "&amp; "Entidad"</f>
        <v>Descripcion: SILLON PARA VISITANTE RECLINABLE  Estado: Excelente Placa anterior: 000037942 Material: TAPIZADO Color: AZUL OSCURO Referencia:  Observacion: FUNCIONARIO AUTORIZA SE CONCILIE SOBRANTE PISO 4 CON FALTANTE PISO 3 Placa padre: Tipo adquisicion: Entidad</v>
      </c>
      <c r="G24291" s="5"/>
    </row>
    <row r="24292" spans="1:7" ht="58.5" customHeight="1" x14ac:dyDescent="0.25">
      <c r="A24292" s="5" t="str">
        <f>"H0000999"</f>
        <v>H0000999</v>
      </c>
      <c r="B24292" s="5" t="str">
        <f t="shared" si="1213"/>
        <v>SILLA RECLINOMATICA</v>
      </c>
      <c r="C24292" s="6">
        <v>1220000</v>
      </c>
      <c r="D24292" s="5" t="s">
        <v>63</v>
      </c>
      <c r="E24292" s="5" t="str">
        <f t="shared" si="1212"/>
        <v>ACTISALUD-CIRUGIA PEDIATRIA-MARIA AUXILIADORA PERTUZ</v>
      </c>
      <c r="F24292" s="5" t="str">
        <f>"Descripcion: SILLON PARA VISITANTE RECLINABLE Estado: Excelente Placa anterior: 000037925 Material: TAPIZADO Color: AZUL OSCURO Referencia:  Observacion: FUNCIONARIO AUTORIZA SE CONCILIE SOBRANTE PISO 4 CON FALTANTE PISO 3 Placa padre: Tipo adquisicion: E"&amp; "ntidad"</f>
        <v>Descripcion: SILLON PARA VISITANTE RECLINABLE Estado: Excelente Placa anterior: 000037925 Material: TAPIZADO Color: AZUL OSCURO Referencia:  Observacion: FUNCIONARIO AUTORIZA SE CONCILIE SOBRANTE PISO 4 CON FALTANTE PISO 3 Placa padre: Tipo adquisicion: Entidad</v>
      </c>
      <c r="G24292" s="5"/>
    </row>
    <row r="24293" spans="1:7" ht="58.5" customHeight="1" x14ac:dyDescent="0.25">
      <c r="A24293" s="5" t="str">
        <f>"H0001002"</f>
        <v>H0001002</v>
      </c>
      <c r="B24293" s="5" t="str">
        <f t="shared" si="1213"/>
        <v>SILLA RECLINOMATICA</v>
      </c>
      <c r="C24293" s="6">
        <v>1220000</v>
      </c>
      <c r="D24293" s="5" t="s">
        <v>63</v>
      </c>
      <c r="E24293" s="5" t="str">
        <f t="shared" si="1212"/>
        <v>ACTISALUD-CIRUGIA PEDIATRIA-MARIA AUXILIADORA PERTUZ</v>
      </c>
      <c r="F24293" s="5" t="str">
        <f>"Descripcion: SILLON PARA VISITANTE RECLINABLE Estado: Bueno Placa anterior: 000037924 Material: PLASTICO LAVABLE Color: AZUL OSCURO Referencia:  Observacion: FUNCIONARIO AUTORIZA SE CONCILIE SOBRANTE PISO 4 CON FALTANTE PISO 3 Placa padre: Tipo adquisicio"&amp; "n: Entidad"</f>
        <v>Descripcion: SILLON PARA VISITANTE RECLINABLE Estado: Bueno Placa anterior: 000037924 Material: PLASTICO LAVABLE Color: AZUL OSCURO Referencia:  Observacion: FUNCIONARIO AUTORIZA SE CONCILIE SOBRANTE PISO 4 CON FALTANTE PISO 3 Placa padre: Tipo adquisicion: Entidad</v>
      </c>
      <c r="G24293" s="5"/>
    </row>
    <row r="24294" spans="1:7" ht="58.5" customHeight="1" x14ac:dyDescent="0.25">
      <c r="A24294" s="5" t="str">
        <f>"H0001005"</f>
        <v>H0001005</v>
      </c>
      <c r="B24294" s="5" t="str">
        <f>"TELEVISOR LCD 42''"</f>
        <v>TELEVISOR LCD 42''</v>
      </c>
      <c r="C24294" s="6">
        <v>615000</v>
      </c>
      <c r="D24294" s="5" t="s">
        <v>449</v>
      </c>
      <c r="E24294" s="5" t="str">
        <f t="shared" si="1212"/>
        <v>ACTISALUD-CIRUGIA PEDIATRIA-MARIA AUXILIADORA PERTUZ</v>
      </c>
      <c r="F24294" s="5" t="str">
        <f>"Descripcion: TELEVISOR LCD 42   Estado: Bueno Placa anterior: 000030549 Material: SAMSUNG Color: NEGRO Referencia:  Observacion: FUNCIONARIO AUTORIZA SE CONCILIE CON PLACA 000030549   Placa padre: Tipo adquisicion: Entidad"</f>
        <v>Descripcion: TELEVISOR LCD 42   Estado: Bueno Placa anterior: 000030549 Material: SAMSUNG Color: NEGRO Referencia:  Observacion: FUNCIONARIO AUTORIZA SE CONCILIE CON PLACA 000030549   Placa padre: Tipo adquisicion: Entidad</v>
      </c>
      <c r="G24294" s="5"/>
    </row>
    <row r="24295" spans="1:7" ht="58.5" customHeight="1" x14ac:dyDescent="0.25">
      <c r="A24295" s="5" t="str">
        <f>"H0001010"</f>
        <v>H0001010</v>
      </c>
      <c r="B24295" s="5" t="str">
        <f t="shared" ref="B24295:B24300" si="1214">"SILLA RECLINOMATICA"</f>
        <v>SILLA RECLINOMATICA</v>
      </c>
      <c r="C24295" s="6">
        <v>1220000</v>
      </c>
      <c r="D24295" s="5" t="s">
        <v>63</v>
      </c>
      <c r="E24295" s="5" t="str">
        <f t="shared" si="1212"/>
        <v>ACTISALUD-CIRUGIA PEDIATRIA-MARIA AUXILIADORA PERTUZ</v>
      </c>
      <c r="F24295" s="5" t="str">
        <f>"Descripcion: SILLON PARA VISITANTE RECLINABLE Estado: Excelente Placa anterior: 000037940 Material: TAPIZADO Color: AZUL OSCURO Referencia:  Observacion: FUNCIONARIO AUTORIZA SE CONCILIE SOBRANTE PISO 4 CON FALTANTE PISO 3 Placa padre: Tipo adquisicion: E"&amp; "ntidad"</f>
        <v>Descripcion: SILLON PARA VISITANTE RECLINABLE Estado: Excelente Placa anterior: 000037940 Material: TAPIZADO Color: AZUL OSCURO Referencia:  Observacion: FUNCIONARIO AUTORIZA SE CONCILIE SOBRANTE PISO 4 CON FALTANTE PISO 3 Placa padre: Tipo adquisicion: Entidad</v>
      </c>
      <c r="G24295" s="5"/>
    </row>
    <row r="24296" spans="1:7" ht="58.5" customHeight="1" x14ac:dyDescent="0.25">
      <c r="A24296" s="5" t="str">
        <f>"H0001015"</f>
        <v>H0001015</v>
      </c>
      <c r="B24296" s="5" t="str">
        <f t="shared" si="1214"/>
        <v>SILLA RECLINOMATICA</v>
      </c>
      <c r="C24296" s="6">
        <v>1220000</v>
      </c>
      <c r="D24296" s="5" t="s">
        <v>63</v>
      </c>
      <c r="E24296" s="5" t="str">
        <f t="shared" si="1212"/>
        <v>ACTISALUD-CIRUGIA PEDIATRIA-MARIA AUXILIADORA PERTUZ</v>
      </c>
      <c r="F24296" s="5" t="str">
        <f>"Descripcion: SILLON PARA VISITANTE RECLINABLE Estado: Excelente Placa anterior: 000037933 Material: TAPIZADO Color: AZUL OSCURO Referencia:  Observacion: FUNCIONARIO AUTORIZA SE CONCILIE SOBRANTE PISO 4 CON FALTANTE PISO 3 Placa padre: Tipo adquisicion: E"&amp; "ntidad"</f>
        <v>Descripcion: SILLON PARA VISITANTE RECLINABLE Estado: Excelente Placa anterior: 000037933 Material: TAPIZADO Color: AZUL OSCURO Referencia:  Observacion: FUNCIONARIO AUTORIZA SE CONCILIE SOBRANTE PISO 4 CON FALTANTE PISO 3 Placa padre: Tipo adquisicion: Entidad</v>
      </c>
      <c r="G24296" s="5"/>
    </row>
    <row r="24297" spans="1:7" ht="58.5" customHeight="1" x14ac:dyDescent="0.25">
      <c r="A24297" s="5" t="str">
        <f>"H0001017"</f>
        <v>H0001017</v>
      </c>
      <c r="B24297" s="5" t="str">
        <f t="shared" si="1214"/>
        <v>SILLA RECLINOMATICA</v>
      </c>
      <c r="C24297" s="6">
        <v>1220000</v>
      </c>
      <c r="D24297" s="5" t="s">
        <v>63</v>
      </c>
      <c r="E24297" s="5" t="str">
        <f t="shared" si="1212"/>
        <v>ACTISALUD-CIRUGIA PEDIATRIA-MARIA AUXILIADORA PERTUZ</v>
      </c>
      <c r="F24297" s="5" t="str">
        <f>"Descripcion: SILLON PARA VISITANTE RECLINABLE Estado: Excelente Placa anterior: 000037927 Material: TAPIZADO Color: AZUL OSCURO Referencia:  Observacion: FUNCIONARIO AUTORIZA SE CONCILIE SOBRANTE PISO 4 CON FALTANTE PISO 3 Placa padre: Tipo adquisicion: E"&amp; "ntidad"</f>
        <v>Descripcion: SILLON PARA VISITANTE RECLINABLE Estado: Excelente Placa anterior: 000037927 Material: TAPIZADO Color: AZUL OSCURO Referencia:  Observacion: FUNCIONARIO AUTORIZA SE CONCILIE SOBRANTE PISO 4 CON FALTANTE PISO 3 Placa padre: Tipo adquisicion: Entidad</v>
      </c>
      <c r="G24297" s="5"/>
    </row>
    <row r="24298" spans="1:7" ht="58.5" customHeight="1" x14ac:dyDescent="0.25">
      <c r="A24298" s="5" t="str">
        <f>"H0001019"</f>
        <v>H0001019</v>
      </c>
      <c r="B24298" s="5" t="str">
        <f t="shared" si="1214"/>
        <v>SILLA RECLINOMATICA</v>
      </c>
      <c r="C24298" s="6">
        <v>1220000</v>
      </c>
      <c r="D24298" s="5" t="s">
        <v>63</v>
      </c>
      <c r="E24298" s="5" t="str">
        <f t="shared" si="1212"/>
        <v>ACTISALUD-CIRUGIA PEDIATRIA-MARIA AUXILIADORA PERTUZ</v>
      </c>
      <c r="F24298" s="5" t="str">
        <f>"Descripcion: SILLON PARA VISITANTE RECLINABLE Estado: Excelente Placa anterior: 000037928 Material: TAPIZADO Color: AZUL OSCURO Referencia:  Observacion: FUNCIONARIO AUTORIZA SE CONCILIE SOBRANTE PISO 4 CON FALTANTE PISO 3 Placa padre: Tipo adquisicion: E"&amp; "ntidad"</f>
        <v>Descripcion: SILLON PARA VISITANTE RECLINABLE Estado: Excelente Placa anterior: 000037928 Material: TAPIZADO Color: AZUL OSCURO Referencia:  Observacion: FUNCIONARIO AUTORIZA SE CONCILIE SOBRANTE PISO 4 CON FALTANTE PISO 3 Placa padre: Tipo adquisicion: Entidad</v>
      </c>
      <c r="G24298" s="5"/>
    </row>
    <row r="24299" spans="1:7" ht="58.5" customHeight="1" x14ac:dyDescent="0.25">
      <c r="A24299" s="5" t="str">
        <f>"H0001029"</f>
        <v>H0001029</v>
      </c>
      <c r="B24299" s="5" t="str">
        <f t="shared" si="1214"/>
        <v>SILLA RECLINOMATICA</v>
      </c>
      <c r="C24299" s="6">
        <v>1220000</v>
      </c>
      <c r="D24299" s="5" t="s">
        <v>63</v>
      </c>
      <c r="E24299" s="5" t="str">
        <f t="shared" si="1212"/>
        <v>ACTISALUD-CIRUGIA PEDIATRIA-MARIA AUXILIADORA PERTUZ</v>
      </c>
      <c r="F24299" s="5" t="str">
        <f>"Descripcion: SILLON PARA VISITANTE RECLINABLE Estado: Excelente Placa anterior: 000037932 Material: TAPIZADO Color: AZUL OSCURO Referencia:  Observacion: FUNCIONARIO AUTORIZA SE CONCILIE SOBRANTE PISO 4 CON FALTANTE PISO 3 Placa padre: Tipo adquisicion: E"&amp; "ntidad"</f>
        <v>Descripcion: SILLON PARA VISITANTE RECLINABLE Estado: Excelente Placa anterior: 000037932 Material: TAPIZADO Color: AZUL OSCURO Referencia:  Observacion: FUNCIONARIO AUTORIZA SE CONCILIE SOBRANTE PISO 4 CON FALTANTE PISO 3 Placa padre: Tipo adquisicion: Entidad</v>
      </c>
      <c r="G24299" s="5"/>
    </row>
    <row r="24300" spans="1:7" ht="58.5" customHeight="1" x14ac:dyDescent="0.25">
      <c r="A24300" s="5" t="str">
        <f>"H0001034"</f>
        <v>H0001034</v>
      </c>
      <c r="B24300" s="5" t="str">
        <f t="shared" si="1214"/>
        <v>SILLA RECLINOMATICA</v>
      </c>
      <c r="C24300" s="6">
        <v>1220000</v>
      </c>
      <c r="D24300" s="5" t="s">
        <v>63</v>
      </c>
      <c r="E24300" s="5" t="str">
        <f t="shared" si="1212"/>
        <v>ACTISALUD-CIRUGIA PEDIATRIA-MARIA AUXILIADORA PERTUZ</v>
      </c>
      <c r="F24300" s="5" t="str">
        <f>"Descripcion: SILLON PARA VISITANTE RECLINABLE Estado: Excelente Placa anterior: 000037931 Material: TAPIZADO Color: AZUL OSCURO Referencia:  Observacion: FUNCIONARIO AUTORIZA SE CONCILIE SOBRANTE PISO 4 CON FALTANTE PISO 3 Placa padre: Tipo adquisicion: E"&amp; "ntidad"</f>
        <v>Descripcion: SILLON PARA VISITANTE RECLINABLE Estado: Excelente Placa anterior: 000037931 Material: TAPIZADO Color: AZUL OSCURO Referencia:  Observacion: FUNCIONARIO AUTORIZA SE CONCILIE SOBRANTE PISO 4 CON FALTANTE PISO 3 Placa padre: Tipo adquisicion: Entidad</v>
      </c>
      <c r="G24300" s="5"/>
    </row>
    <row r="24301" spans="1:7" ht="58.5" customHeight="1" x14ac:dyDescent="0.25">
      <c r="A24301" s="5" t="str">
        <f>"H0001043"</f>
        <v>H0001043</v>
      </c>
      <c r="B24301" s="5" t="str">
        <f>"MESA PUENTE (ALIMENTACION) (INSTRUMENTAL)"</f>
        <v>MESA PUENTE (ALIMENTACION) (INSTRUMENTAL)</v>
      </c>
      <c r="C24301" s="6">
        <v>300000</v>
      </c>
      <c r="D24301" s="5" t="s">
        <v>63</v>
      </c>
      <c r="E24301" s="5" t="str">
        <f t="shared" si="1212"/>
        <v>ACTISALUD-CIRUGIA PEDIATRIA-MARIA AUXILIADORA PERTUZ</v>
      </c>
      <c r="F24301" s="5" t="str">
        <f>"Descripcion: MESA PUENTE (ALIMENTACION)  METALICA CON MESON EN FORMICA Estado: Excelente Placa anterior: 000037866 Material: METALICA CON MESON EN FORMICA Color: BEIGE CON MADERA CLARO Referencia:  Observacion: FUNCIONARIO AUTORIZA SE CONCILIE CON PLACA 0"&amp; "00037866   Placa padre: Tipo adquisicion: Entidad"</f>
        <v>Descripcion: MESA PUENTE (ALIMENTACION)  METALICA CON MESON EN FORMICA Estado: Excelente Placa anterior: 000037866 Material: METALICA CON MESON EN FORMICA Color: BEIGE CON MADERA CLARO Referencia:  Observacion: FUNCIONARIO AUTORIZA SE CONCILIE CON PLACA 000037866   Placa padre: Tipo adquisicion: Entidad</v>
      </c>
      <c r="G24301" s="5"/>
    </row>
    <row r="24302" spans="1:7" ht="58.5" customHeight="1" x14ac:dyDescent="0.25">
      <c r="A24302" s="5" t="str">
        <f>"H0001045"</f>
        <v>H0001045</v>
      </c>
      <c r="B24302" s="5" t="str">
        <f t="shared" ref="B24302:B24308" si="1215">"SILLA RECLINOMATICA"</f>
        <v>SILLA RECLINOMATICA</v>
      </c>
      <c r="C24302" s="6">
        <v>1220000</v>
      </c>
      <c r="D24302" s="5" t="s">
        <v>63</v>
      </c>
      <c r="E24302" s="5" t="str">
        <f t="shared" si="1212"/>
        <v>ACTISALUD-CIRUGIA PEDIATRIA-MARIA AUXILIADORA PERTUZ</v>
      </c>
      <c r="F24302" s="5" t="str">
        <f>"Descripcion: SILLON PARA VISITANTE RECLINABLE Estado: Excelente Placa anterior: 000037936 Material: TAPIZADA Color: AZUL OSCURO Referencia:  Observacion: FUNCIONARIO AUTORIZA SE CONCILIE SOBRANTE PISO 4 CON FALTANTE PISO 3 Placa padre: Tipo adquisicion: E"&amp; "ntidad"</f>
        <v>Descripcion: SILLON PARA VISITANTE RECLINABLE Estado: Excelente Placa anterior: 000037936 Material: TAPIZADA Color: AZUL OSCURO Referencia:  Observacion: FUNCIONARIO AUTORIZA SE CONCILIE SOBRANTE PISO 4 CON FALTANTE PISO 3 Placa padre: Tipo adquisicion: Entidad</v>
      </c>
      <c r="G24302" s="5"/>
    </row>
    <row r="24303" spans="1:7" ht="58.5" customHeight="1" x14ac:dyDescent="0.25">
      <c r="A24303" s="5" t="str">
        <f>"H0001051"</f>
        <v>H0001051</v>
      </c>
      <c r="B24303" s="5" t="str">
        <f t="shared" si="1215"/>
        <v>SILLA RECLINOMATICA</v>
      </c>
      <c r="C24303" s="6">
        <v>1220000</v>
      </c>
      <c r="D24303" s="5" t="s">
        <v>63</v>
      </c>
      <c r="E24303" s="5" t="str">
        <f t="shared" si="1212"/>
        <v>ACTISALUD-CIRUGIA PEDIATRIA-MARIA AUXILIADORA PERTUZ</v>
      </c>
      <c r="F24303" s="5" t="str">
        <f>"Descripcion: SILLA RECLINABLE PARA VISITANTE Estado: Excelente Placa anterior: 000037922 Material: TAPIZADO Color: AZUL OSCURO Referencia:  Observacion: FUNCIONARIO AUTORIZA SE CONCILIE SOBRANTE PISO 4 CON FALTANTE PISO 3 Placa padre: Tipo adquisicion: En"&amp; "tidad"</f>
        <v>Descripcion: SILLA RECLINABLE PARA VISITANTE Estado: Excelente Placa anterior: 000037922 Material: TAPIZADO Color: AZUL OSCURO Referencia:  Observacion: FUNCIONARIO AUTORIZA SE CONCILIE SOBRANTE PISO 4 CON FALTANTE PISO 3 Placa padre: Tipo adquisicion: Entidad</v>
      </c>
      <c r="G24303" s="5"/>
    </row>
    <row r="24304" spans="1:7" ht="58.5" customHeight="1" x14ac:dyDescent="0.25">
      <c r="A24304" s="5" t="str">
        <f>"H0001059"</f>
        <v>H0001059</v>
      </c>
      <c r="B24304" s="5" t="str">
        <f t="shared" si="1215"/>
        <v>SILLA RECLINOMATICA</v>
      </c>
      <c r="C24304" s="6">
        <v>1220000</v>
      </c>
      <c r="D24304" s="5" t="s">
        <v>63</v>
      </c>
      <c r="E24304" s="5" t="str">
        <f t="shared" si="1212"/>
        <v>ACTISALUD-CIRUGIA PEDIATRIA-MARIA AUXILIADORA PERTUZ</v>
      </c>
      <c r="F24304" s="5" t="str">
        <f>"Descripcion: SILLA RECLINABLE PARA VISITANTE Estado: Bueno Placa anterior: 000037920 Material: TAPIZADO Color: AZUL OSCURO Referencia:  Observacion: FUNCIONARIO AUTORIZA SE CONCILIE SOBRANTE PISO 4 CON FALTANTE PISO 3 Placa padre: Tipo adquisicion: Entida"&amp; "d"</f>
        <v>Descripcion: SILLA RECLINABLE PARA VISITANTE Estado: Bueno Placa anterior: 000037920 Material: TAPIZADO Color: AZUL OSCURO Referencia:  Observacion: FUNCIONARIO AUTORIZA SE CONCILIE SOBRANTE PISO 4 CON FALTANTE PISO 3 Placa padre: Tipo adquisicion: Entidad</v>
      </c>
      <c r="G24304" s="5"/>
    </row>
    <row r="24305" spans="1:7" ht="58.5" customHeight="1" x14ac:dyDescent="0.25">
      <c r="A24305" s="5" t="str">
        <f>"H0001062"</f>
        <v>H0001062</v>
      </c>
      <c r="B24305" s="5" t="str">
        <f t="shared" si="1215"/>
        <v>SILLA RECLINOMATICA</v>
      </c>
      <c r="C24305" s="6">
        <v>1220000</v>
      </c>
      <c r="D24305" s="5" t="s">
        <v>63</v>
      </c>
      <c r="E24305" s="5" t="str">
        <f t="shared" si="1212"/>
        <v>ACTISALUD-CIRUGIA PEDIATRIA-MARIA AUXILIADORA PERTUZ</v>
      </c>
      <c r="F24305" s="5" t="str">
        <f>"Descripcion: SILLA RECLINABLE PARA VISITANTE Estado: Excelente Placa anterior: 000037930 Material: TAPIZADO Color: AZUL OSCURO Referencia:  Observacion: FUNCIONARIO AUTORIZA SE CONCILIE SOBRANTE PISO 4 CON FALTANTE PISO 3 Placa padre: Tipo adquisicion: En"&amp; "tidad"</f>
        <v>Descripcion: SILLA RECLINABLE PARA VISITANTE Estado: Excelente Placa anterior: 000037930 Material: TAPIZADO Color: AZUL OSCURO Referencia:  Observacion: FUNCIONARIO AUTORIZA SE CONCILIE SOBRANTE PISO 4 CON FALTANTE PISO 3 Placa padre: Tipo adquisicion: Entidad</v>
      </c>
      <c r="G24305" s="5"/>
    </row>
    <row r="24306" spans="1:7" ht="58.5" customHeight="1" x14ac:dyDescent="0.25">
      <c r="A24306" s="5" t="str">
        <f>"H0001134"</f>
        <v>H0001134</v>
      </c>
      <c r="B24306" s="5" t="str">
        <f t="shared" si="1215"/>
        <v>SILLA RECLINOMATICA</v>
      </c>
      <c r="C24306" s="6">
        <v>1220000</v>
      </c>
      <c r="D24306" s="5" t="s">
        <v>63</v>
      </c>
      <c r="E24306" s="5" t="str">
        <f t="shared" si="1212"/>
        <v>ACTISALUD-CIRUGIA PEDIATRIA-MARIA AUXILIADORA PERTUZ</v>
      </c>
      <c r="F24306" s="5" t="str">
        <f>"Descripcion: SILLON PARA VISITANTE RECLINABLE Estado: Excelente Placa anterior: 000037935 Material: TAPIZADO Color: AZUL OSCURO Referencia:  Observacion: FUNCIONARIO AUTORIZA SE CONCILIE SOBRANTE PISO 4 CON FALTANTE PISO 3 Placa padre: Tipo adquisicion: E"&amp; "ntidad"</f>
        <v>Descripcion: SILLON PARA VISITANTE RECLINABLE Estado: Excelente Placa anterior: 000037935 Material: TAPIZADO Color: AZUL OSCURO Referencia:  Observacion: FUNCIONARIO AUTORIZA SE CONCILIE SOBRANTE PISO 4 CON FALTANTE PISO 3 Placa padre: Tipo adquisicion: Entidad</v>
      </c>
      <c r="G24306" s="5"/>
    </row>
    <row r="24307" spans="1:7" ht="58.5" customHeight="1" x14ac:dyDescent="0.25">
      <c r="A24307" s="5" t="str">
        <f>"H0001138"</f>
        <v>H0001138</v>
      </c>
      <c r="B24307" s="5" t="str">
        <f t="shared" si="1215"/>
        <v>SILLA RECLINOMATICA</v>
      </c>
      <c r="C24307" s="6">
        <v>1220000</v>
      </c>
      <c r="D24307" s="5" t="s">
        <v>63</v>
      </c>
      <c r="E24307" s="5" t="str">
        <f t="shared" si="1212"/>
        <v>ACTISALUD-CIRUGIA PEDIATRIA-MARIA AUXILIADORA PERTUZ</v>
      </c>
      <c r="F24307" s="5" t="str">
        <f>"Descripcion: SILLON PARA VISITANTE RECLINABLE Estado: Excelente Placa anterior: 000037937 Material: TAPIZADO Color: AZUL OSCURO Referencia:  Observacion: FUNCIONARIO AUTORIZA SE CONCILIE SOBRANTE PISO 4 CON FALTANTE PISO 3 Placa padre: Tipo adquisicion: E"&amp; "ntidad"</f>
        <v>Descripcion: SILLON PARA VISITANTE RECLINABLE Estado: Excelente Placa anterior: 000037937 Material: TAPIZADO Color: AZUL OSCURO Referencia:  Observacion: FUNCIONARIO AUTORIZA SE CONCILIE SOBRANTE PISO 4 CON FALTANTE PISO 3 Placa padre: Tipo adquisicion: Entidad</v>
      </c>
      <c r="G24307" s="5"/>
    </row>
    <row r="24308" spans="1:7" ht="58.5" customHeight="1" x14ac:dyDescent="0.25">
      <c r="A24308" s="5" t="str">
        <f>"H0001141"</f>
        <v>H0001141</v>
      </c>
      <c r="B24308" s="5" t="str">
        <f t="shared" si="1215"/>
        <v>SILLA RECLINOMATICA</v>
      </c>
      <c r="C24308" s="6">
        <v>1220000</v>
      </c>
      <c r="D24308" s="5" t="s">
        <v>63</v>
      </c>
      <c r="E24308" s="5" t="str">
        <f t="shared" si="1212"/>
        <v>ACTISALUD-CIRUGIA PEDIATRIA-MARIA AUXILIADORA PERTUZ</v>
      </c>
      <c r="F24308" s="5" t="str">
        <f>"Descripcion: SILLON PARA VISITANTE RECLINABLE Estado: Excelente Placa anterior: 000037934 Material: TAPIZADO  Color: AZUL OSCURO Referencia:  Observacion: FUNCIONARIO AUTORIZA SE CONCILIE SOBRANTE PISO 4 CON FALTANTE PISO 3 Placa padre: Tipo adquisicion: "&amp; "Entidad"</f>
        <v>Descripcion: SILLON PARA VISITANTE RECLINABLE Estado: Excelente Placa anterior: 000037934 Material: TAPIZADO  Color: AZUL OSCURO Referencia:  Observacion: FUNCIONARIO AUTORIZA SE CONCILIE SOBRANTE PISO 4 CON FALTANTE PISO 3 Placa padre: Tipo adquisicion: Entidad</v>
      </c>
      <c r="G24308" s="5"/>
    </row>
    <row r="24309" spans="1:7" ht="58.5" customHeight="1" x14ac:dyDescent="0.25">
      <c r="A24309" s="5" t="str">
        <f>"H0001147"</f>
        <v>H0001147</v>
      </c>
      <c r="B24309" s="5" t="str">
        <f>"MESA PUENTE (ALIMENTACION) (INSTRUMENTAL)"</f>
        <v>MESA PUENTE (ALIMENTACION) (INSTRUMENTAL)</v>
      </c>
      <c r="C24309" s="6">
        <v>300000</v>
      </c>
      <c r="D24309" s="5" t="s">
        <v>63</v>
      </c>
      <c r="E24309" s="5" t="str">
        <f t="shared" si="1212"/>
        <v>ACTISALUD-CIRUGIA PEDIATRIA-MARIA AUXILIADORA PERTUZ</v>
      </c>
      <c r="F24309" s="5" t="str">
        <f>"Descripcion: MESA PUENTE PARA ALIMENTACION  METALICA CON MESON EN FORMICA Estado: Excelente Placa anterior: 000037865 Material: METALICO, MESON EN FORMICA Color: BEIGE CON MADERA CLARO Referencia:  Observacion: FUNCIONARIO AUTORIZA SE CONCILIE CON PLACA 0"&amp; "00037865    Placa padre: Tipo adquisicion: Entidad"</f>
        <v>Descripcion: MESA PUENTE PARA ALIMENTACION  METALICA CON MESON EN FORMICA Estado: Excelente Placa anterior: 000037865 Material: METALICO, MESON EN FORMICA Color: BEIGE CON MADERA CLARO Referencia:  Observacion: FUNCIONARIO AUTORIZA SE CONCILIE CON PLACA 000037865    Placa padre: Tipo adquisicion: Entidad</v>
      </c>
      <c r="G24309" s="5"/>
    </row>
    <row r="24310" spans="1:7" ht="58.5" customHeight="1" x14ac:dyDescent="0.25">
      <c r="A24310" s="5" t="str">
        <f>"H0001154"</f>
        <v>H0001154</v>
      </c>
      <c r="B24310" s="5" t="str">
        <f>"SILLA RECLINOMATICA"</f>
        <v>SILLA RECLINOMATICA</v>
      </c>
      <c r="C24310" s="6">
        <v>1220000</v>
      </c>
      <c r="D24310" s="5" t="s">
        <v>63</v>
      </c>
      <c r="E24310" s="5" t="str">
        <f t="shared" si="1212"/>
        <v>ACTISALUD-CIRUGIA PEDIATRIA-MARIA AUXILIADORA PERTUZ</v>
      </c>
      <c r="F24310" s="5" t="str">
        <f>"Descripcion: SILLON RECLINATORIO PARA VISITANTE Estado: Excelente Placa anterior: 000037929 Material: TAPIZADO Color: AZUL OSCURO Referencia:  Observacion: FUNCIONARIO AUTORIZA SE CONCILIE SOBRANTE PISO 4 CON FALTANTE PISO 3 Placa padre: Tipo adquisicion:"&amp; " Entidad"</f>
        <v>Descripcion: SILLON RECLINATORIO PARA VISITANTE Estado: Excelente Placa anterior: 000037929 Material: TAPIZADO Color: AZUL OSCURO Referencia:  Observacion: FUNCIONARIO AUTORIZA SE CONCILIE SOBRANTE PISO 4 CON FALTANTE PISO 3 Placa padre: Tipo adquisicion: Entidad</v>
      </c>
      <c r="G24310" s="5"/>
    </row>
    <row r="24311" spans="1:7" ht="58.5" customHeight="1" x14ac:dyDescent="0.25">
      <c r="A24311" s="5" t="str">
        <f>"H0001165"</f>
        <v>H0001165</v>
      </c>
      <c r="B24311" s="5" t="str">
        <f>"POTE (TARRO) ACERO INXODABLE CON TAPA MEDIANO"</f>
        <v>POTE (TARRO) ACERO INXODABLE CON TAPA MEDIANO</v>
      </c>
      <c r="C24311" s="6">
        <v>21799.02</v>
      </c>
      <c r="D24311" s="5"/>
      <c r="E24311" s="5" t="str">
        <f t="shared" si="1212"/>
        <v>ACTISALUD-CIRUGIA PEDIATRIA-MARIA AUXILIADORA PERTUZ</v>
      </c>
      <c r="F24311" s="5" t="str">
        <f>"Descripcion: TARRO EN ACERO INOXIDABLE Estado: Bueno Placa anterior: 000018537 Material: ACERO INOXIDABLE Color:  Referencia:  Observacion:  Placa padre: Tipo adquisicion: Entidad"</f>
        <v>Descripcion: TARRO EN ACERO INOXIDABLE Estado: Bueno Placa anterior: 000018537 Material: ACERO INOXIDABLE Color:  Referencia:  Observacion:  Placa padre: Tipo adquisicion: Entidad</v>
      </c>
      <c r="G24311" s="5"/>
    </row>
    <row r="24312" spans="1:7" ht="58.5" customHeight="1" x14ac:dyDescent="0.25">
      <c r="A24312" s="5" t="str">
        <f>"H0001166"</f>
        <v>H0001166</v>
      </c>
      <c r="B24312" s="5" t="str">
        <f>"POTE (TARRO) ACERO INXODABLE CON TAPA MEDIANO"</f>
        <v>POTE (TARRO) ACERO INXODABLE CON TAPA MEDIANO</v>
      </c>
      <c r="C24312" s="6">
        <v>21799.02</v>
      </c>
      <c r="D24312" s="5"/>
      <c r="E24312" s="5" t="str">
        <f t="shared" si="1212"/>
        <v>ACTISALUD-CIRUGIA PEDIATRIA-MARIA AUXILIADORA PERTUZ</v>
      </c>
      <c r="F24312" s="5" t="str">
        <f>"Descripcion: TARRO EN ACERO INOXIDABLE Estado: Bueno Placa anterior: 000018497 Material: ACERO INOXIDABLE Color:  Referencia:  Observacion:  Placa padre: Tipo adquisicion: Entidad"</f>
        <v>Descripcion: TARRO EN ACERO INOXIDABLE Estado: Bueno Placa anterior: 000018497 Material: ACERO INOXIDABLE Color:  Referencia:  Observacion:  Placa padre: Tipo adquisicion: Entidad</v>
      </c>
      <c r="G24312" s="5"/>
    </row>
    <row r="24313" spans="1:7" ht="58.5" customHeight="1" x14ac:dyDescent="0.25">
      <c r="A24313" s="5" t="str">
        <f>"H0001167"</f>
        <v>H0001167</v>
      </c>
      <c r="B24313" s="5" t="str">
        <f>"POTE (TARRO) ACERO INXODABLE CON TAPA MEDIANO"</f>
        <v>POTE (TARRO) ACERO INXODABLE CON TAPA MEDIANO</v>
      </c>
      <c r="C24313" s="6">
        <v>21799.02</v>
      </c>
      <c r="D24313" s="5"/>
      <c r="E24313" s="5" t="str">
        <f t="shared" si="1212"/>
        <v>ACTISALUD-CIRUGIA PEDIATRIA-MARIA AUXILIADORA PERTUZ</v>
      </c>
      <c r="F24313" s="5" t="str">
        <f>"Descripcion: TARRO EN ACERO INOXIDABLE Estado: Bueno Placa anterior: 000018433 Material: ACERO INOXIDABLE Color:  Referencia:  Observacion:  Placa padre: Tipo adquisicion: Entidad"</f>
        <v>Descripcion: TARRO EN ACERO INOXIDABLE Estado: Bueno Placa anterior: 000018433 Material: ACERO INOXIDABLE Color:  Referencia:  Observacion:  Placa padre: Tipo adquisicion: Entidad</v>
      </c>
      <c r="G24313" s="5"/>
    </row>
    <row r="24314" spans="1:7" ht="58.5" customHeight="1" x14ac:dyDescent="0.25">
      <c r="A24314" s="5" t="str">
        <f>"H0001168"</f>
        <v>H0001168</v>
      </c>
      <c r="B24314" s="5" t="str">
        <f>"POTE (TARRO) ACERO INXODABLE CON TAPA MEDIANO"</f>
        <v>POTE (TARRO) ACERO INXODABLE CON TAPA MEDIANO</v>
      </c>
      <c r="C24314" s="6">
        <v>21799.02</v>
      </c>
      <c r="D24314" s="5"/>
      <c r="E24314" s="5" t="str">
        <f t="shared" si="1212"/>
        <v>ACTISALUD-CIRUGIA PEDIATRIA-MARIA AUXILIADORA PERTUZ</v>
      </c>
      <c r="F24314" s="5" t="str">
        <f>"Descripcion: TARRO EN ACERO INOXIDABLE Estado: Bueno Placa anterior: 000018494 Material: ACERO INOXIDABLE Color:  Referencia:  Observacion:  Placa padre: Tipo adquisicion: Entidad"</f>
        <v>Descripcion: TARRO EN ACERO INOXIDABLE Estado: Bueno Placa anterior: 000018494 Material: ACERO INOXIDABLE Color:  Referencia:  Observacion:  Placa padre: Tipo adquisicion: Entidad</v>
      </c>
      <c r="G24314" s="5"/>
    </row>
    <row r="24315" spans="1:7" ht="58.5" customHeight="1" x14ac:dyDescent="0.25">
      <c r="A24315" s="5" t="str">
        <f>"H0001170"</f>
        <v>H0001170</v>
      </c>
      <c r="B24315" s="5" t="str">
        <f>"RIÑONERA HOSPITALARIA EN ACERO INOXIDABLE"</f>
        <v>RIÑONERA HOSPITALARIA EN ACERO INOXIDABLE</v>
      </c>
      <c r="C24315" s="6">
        <v>7405.69</v>
      </c>
      <c r="D24315" s="5"/>
      <c r="E24315" s="5" t="str">
        <f t="shared" si="1212"/>
        <v>ACTISALUD-CIRUGIA PEDIATRIA-MARIA AUXILIADORA PERTUZ</v>
      </c>
      <c r="F24315" s="5" t="str">
        <f>"Descripcion: RIÑONERA HOSPITALARIA Estado: Bueno Placa anterior: 000018661 Material: ACERO INOXIDABLE Color:  Referencia:  Observacion: AUTORIZADO CONCILIAR EN CRUCE GENERAL Placa padre: Tipo adquisicion: Entidad"</f>
        <v>Descripcion: RIÑONERA HOSPITALARIA Estado: Bueno Placa anterior: 000018661 Material: ACERO INOXIDABLE Color:  Referencia:  Observacion: AUTORIZADO CONCILIAR EN CRUCE GENERAL Placa padre: Tipo adquisicion: Entidad</v>
      </c>
      <c r="G24315" s="5"/>
    </row>
    <row r="24316" spans="1:7" ht="58.5" customHeight="1" x14ac:dyDescent="0.25">
      <c r="A24316" s="5" t="str">
        <f>"H0001179"</f>
        <v>H0001179</v>
      </c>
      <c r="B24316" s="5" t="str">
        <f>"NEBULIZADOR PORTATIL"</f>
        <v>NEBULIZADOR PORTATIL</v>
      </c>
      <c r="C24316" s="6">
        <v>1204197</v>
      </c>
      <c r="D24316" s="5" t="s">
        <v>55</v>
      </c>
      <c r="E24316" s="5" t="str">
        <f t="shared" si="1212"/>
        <v>ACTISALUD-CIRUGIA PEDIATRIA-MARIA AUXILIADORA PERTUZ</v>
      </c>
      <c r="F24316" s="5" t="str">
        <f>"Descripcion: NEBULIZADOR 1145 THOMAS  Estado: Bueno Placa anterior: 000030328 Material: METALICO Color: GRIS Referencia:  Observacion:  Placa padre: Tipo adquisicion: Donacion"</f>
        <v>Descripcion: NEBULIZADOR 1145 THOMAS  Estado: Bueno Placa anterior: 000030328 Material: METALICO Color: GRIS Referencia:  Observacion:  Placa padre: Tipo adquisicion: Donacion</v>
      </c>
      <c r="G24316" s="5" t="str">
        <f>"1145"</f>
        <v>1145</v>
      </c>
    </row>
    <row r="24317" spans="1:7" ht="58.5" customHeight="1" x14ac:dyDescent="0.25">
      <c r="A24317" s="5" t="str">
        <f>"H0001184"</f>
        <v>H0001184</v>
      </c>
      <c r="B24317" s="5" t="str">
        <f>"RIÑONERA HOSPITALARIA EN ACERO INOXIDABLE"</f>
        <v>RIÑONERA HOSPITALARIA EN ACERO INOXIDABLE</v>
      </c>
      <c r="C24317" s="6">
        <v>7405.69</v>
      </c>
      <c r="D24317" s="5"/>
      <c r="E24317" s="5" t="str">
        <f t="shared" si="1212"/>
        <v>ACTISALUD-CIRUGIA PEDIATRIA-MARIA AUXILIADORA PERTUZ</v>
      </c>
      <c r="F24317" s="5" t="str">
        <f>"Descripcion: RIÑONERA HOSPITALARIA Estado: Bueno Placa anterior: 000018658 Material: ACERO INOXIDABLE Color:  Referencia:  Observacion: AUTORIZADO CONCILIAR EN CRUCE GENERAL Placa padre: Tipo adquisicion: Entidad"</f>
        <v>Descripcion: RIÑONERA HOSPITALARIA Estado: Bueno Placa anterior: 000018658 Material: ACERO INOXIDABLE Color:  Referencia:  Observacion: AUTORIZADO CONCILIAR EN CRUCE GENERAL Placa padre: Tipo adquisicion: Entidad</v>
      </c>
      <c r="G24317" s="5"/>
    </row>
    <row r="24318" spans="1:7" ht="58.5" customHeight="1" x14ac:dyDescent="0.25">
      <c r="A24318" s="5" t="str">
        <f>"H0001185"</f>
        <v>H0001185</v>
      </c>
      <c r="B24318" s="5" t="str">
        <f>"CUBETA DE ACERO INOXIDABLE CON TAPA GRANDE"</f>
        <v>CUBETA DE ACERO INOXIDABLE CON TAPA GRANDE</v>
      </c>
      <c r="C24318" s="6">
        <v>29125.48</v>
      </c>
      <c r="D24318" s="5"/>
      <c r="E24318" s="5" t="str">
        <f t="shared" si="1212"/>
        <v>ACTISALUD-CIRUGIA PEDIATRIA-MARIA AUXILIADORA PERTUZ</v>
      </c>
      <c r="F24318" s="5" t="str">
        <f>"Descripcion: CUBETA CON TAPA GRANDE Estado: Bueno Placa anterior: 000018499 Material: ACERO INOXIDABLE Color:  Referencia:  Observacion: FUNCIONARIO AUTORIZA SE CONCILIE CON PLACA 000018499    Placa padre: Tipo adquisicion: Entidad"</f>
        <v>Descripcion: CUBETA CON TAPA GRANDE Estado: Bueno Placa anterior: 000018499 Material: ACERO INOXIDABLE Color:  Referencia:  Observacion: FUNCIONARIO AUTORIZA SE CONCILIE CON PLACA 000018499    Placa padre: Tipo adquisicion: Entidad</v>
      </c>
      <c r="G24318" s="5"/>
    </row>
    <row r="24319" spans="1:7" ht="58.5" customHeight="1" x14ac:dyDescent="0.25">
      <c r="A24319" s="5" t="str">
        <f>"H0001186"</f>
        <v>H0001186</v>
      </c>
      <c r="B24319" s="5" t="str">
        <f>"CUBETA DE ACERO INOXIDABLE CON TAPA PEQUEÑA"</f>
        <v>CUBETA DE ACERO INOXIDABLE CON TAPA PEQUEÑA</v>
      </c>
      <c r="C24319" s="6">
        <v>29125.48</v>
      </c>
      <c r="D24319" s="5"/>
      <c r="E24319" s="5" t="str">
        <f t="shared" si="1212"/>
        <v>ACTISALUD-CIRUGIA PEDIATRIA-MARIA AUXILIADORA PERTUZ</v>
      </c>
      <c r="F24319" s="5" t="str">
        <f>"Descripcion: CUBETA CON TAPA PEQUEÑA Estado: Bueno Placa anterior: 000018500 Material: ACERO INOXIDABLE Color:  Referencia:  Observacion:  Placa padre: Tipo adquisicion: Entidad"</f>
        <v>Descripcion: CUBETA CON TAPA PEQUEÑA Estado: Bueno Placa anterior: 000018500 Material: ACERO INOXIDABLE Color:  Referencia:  Observacion:  Placa padre: Tipo adquisicion: Entidad</v>
      </c>
      <c r="G24319" s="5"/>
    </row>
    <row r="24320" spans="1:7" ht="58.5" customHeight="1" x14ac:dyDescent="0.25">
      <c r="A24320" s="5" t="str">
        <f>"H0001193"</f>
        <v>H0001193</v>
      </c>
      <c r="B24320" s="5" t="str">
        <f>"SILLA DE RUEDAS"</f>
        <v>SILLA DE RUEDAS</v>
      </c>
      <c r="C24320" s="6">
        <v>650000</v>
      </c>
      <c r="D24320" s="5"/>
      <c r="E24320" s="5" t="str">
        <f t="shared" si="1212"/>
        <v>ACTISALUD-CIRUGIA PEDIATRIA-MARIA AUXILIADORA PERTUZ</v>
      </c>
      <c r="F24320" s="5" t="str">
        <f>"Descripcion: SILLA DE RUEDAS ADULTO Estado: Bueno Placa anterior: 000026182 Material: METALICO Color:  Referencia:  Observacion: AUTORIZADO CONCILIAR EN CRUCE GENERAL Placa padre: Tipo adquisicion: Entidad"</f>
        <v>Descripcion: SILLA DE RUEDAS ADULTO Estado: Bueno Placa anterior: 000026182 Material: METALICO Color:  Referencia:  Observacion: AUTORIZADO CONCILIAR EN CRUCE GENERAL Placa padre: Tipo adquisicion: Entidad</v>
      </c>
      <c r="G24320" s="5"/>
    </row>
    <row r="24321" spans="1:7" ht="58.5" customHeight="1" x14ac:dyDescent="0.25">
      <c r="A24321" s="5" t="str">
        <f>"H0001195"</f>
        <v>H0001195</v>
      </c>
      <c r="B24321" s="5" t="str">
        <f>"SILLA DE RUEDAS"</f>
        <v>SILLA DE RUEDAS</v>
      </c>
      <c r="C24321" s="6">
        <v>550000</v>
      </c>
      <c r="D24321" s="5" t="s">
        <v>532</v>
      </c>
      <c r="E24321" s="5" t="str">
        <f t="shared" si="1212"/>
        <v>ACTISALUD-CIRUGIA PEDIATRIA-MARIA AUXILIADORA PERTUZ</v>
      </c>
      <c r="F24321" s="5" t="str">
        <f>"Descripcion: SILLA DE RUEDAS PEDIATRICA Estado: Bueno Placa anterior: 000029253 Material: METALICO Color:  Referencia:  Observacion: AUTORIZADO CONCILIAR EN CRUCE GENERAL Placa padre: Tipo adquisicion: Entidad"</f>
        <v>Descripcion: SILLA DE RUEDAS PEDIATRICA Estado: Bueno Placa anterior: 000029253 Material: METALICO Color:  Referencia:  Observacion: AUTORIZADO CONCILIAR EN CRUCE GENERAL Placa padre: Tipo adquisicion: Entidad</v>
      </c>
      <c r="G24321" s="5"/>
    </row>
    <row r="24322" spans="1:7" ht="58.5" customHeight="1" x14ac:dyDescent="0.25">
      <c r="A24322" s="5" t="str">
        <f>"H0001481"</f>
        <v>H0001481</v>
      </c>
      <c r="B24322" s="5" t="str">
        <f>"CUBETA DE ACERO INOXIDABLE CON TAPA MEDIANA"</f>
        <v>CUBETA DE ACERO INOXIDABLE CON TAPA MEDIANA</v>
      </c>
      <c r="C24322" s="6">
        <v>29125.48</v>
      </c>
      <c r="D24322" s="5"/>
      <c r="E24322" s="5" t="str">
        <f t="shared" si="1212"/>
        <v>ACTISALUD-CIRUGIA PEDIATRIA-MARIA AUXILIADORA PERTUZ</v>
      </c>
      <c r="F24322" s="5" t="str">
        <f>"Descripcion: CUBETA MEDIANA ACERO INOXIDABLE Estado: Bueno Placa anterior: 000018522 Material: ACERO INOXIDABLE Color:  Referencia:  Observacion:  Placa padre: Tipo adquisicion: Entidad"</f>
        <v>Descripcion: CUBETA MEDIANA ACERO INOXIDABLE Estado: Bueno Placa anterior: 000018522 Material: ACERO INOXIDABLE Color:  Referencia:  Observacion:  Placa padre: Tipo adquisicion: Entidad</v>
      </c>
      <c r="G24322" s="5"/>
    </row>
    <row r="24323" spans="1:7" ht="58.5" customHeight="1" x14ac:dyDescent="0.25">
      <c r="A24323" s="5" t="str">
        <f>"H0006485"</f>
        <v>H0006485</v>
      </c>
      <c r="B24323" s="5" t="str">
        <f>"NEVERA DE 66 LTS"</f>
        <v>NEVERA DE 66 LTS</v>
      </c>
      <c r="C24323" s="6">
        <v>534482</v>
      </c>
      <c r="D24323" s="5"/>
      <c r="E24323" s="5" t="str">
        <f t="shared" si="1212"/>
        <v>ACTISALUD-CIRUGIA PEDIATRIA-MARIA AUXILIADORA PERTUZ</v>
      </c>
      <c r="F24323" s="5" t="str">
        <f>"Descripcion: NEVERA MODELO WN-80 WONDER DE OFICINA Estado: Bueno Placa anterior: 000033618 Material: METALICO Color: BLANCO Referencia:  Observacion:  Placa padre: Tipo adquisicion: Entidad"</f>
        <v>Descripcion: NEVERA MODELO WN-80 WONDER DE OFICINA Estado: Bueno Placa anterior: 000033618 Material: METALICO Color: BLANCO Referencia:  Observacion:  Placa padre: Tipo adquisicion: Entidad</v>
      </c>
      <c r="G24323" s="5" t="str">
        <f>"WN-80"</f>
        <v>WN-80</v>
      </c>
    </row>
    <row r="24324" spans="1:7" ht="58.5" customHeight="1" x14ac:dyDescent="0.25">
      <c r="A24324" s="5" t="str">
        <f>"H0007640"</f>
        <v>H0007640</v>
      </c>
      <c r="B24324" s="5" t="str">
        <f>"SILLA DE RUEDAS"</f>
        <v>SILLA DE RUEDAS</v>
      </c>
      <c r="C24324" s="6">
        <v>60000</v>
      </c>
      <c r="D24324" s="5" t="s">
        <v>55</v>
      </c>
      <c r="E24324" s="5" t="str">
        <f t="shared" si="1212"/>
        <v>ACTISALUD-CIRUGIA PEDIATRIA-MARIA AUXILIADORA PERTUZ</v>
      </c>
      <c r="F24324" s="5" t="str">
        <f>"Descripcion: PEDIATRICACUERO AZUL1 BRAZO EN MAL ESTADO Estado: Regular Placa anterior: 000030300 Material: METALICO Color: AZUL Referencia:  Observacion:  Placa padre: Tipo adquisicion: Entidad"</f>
        <v>Descripcion: PEDIATRICACUERO AZUL1 BRAZO EN MAL ESTADO Estado: Regular Placa anterior: 000030300 Material: METALICO Color: AZUL Referencia:  Observacion:  Placa padre: Tipo adquisicion: Entidad</v>
      </c>
      <c r="G24324" s="5"/>
    </row>
    <row r="24325" spans="1:7" ht="58.5" customHeight="1" x14ac:dyDescent="0.25">
      <c r="A24325" s="5" t="str">
        <f>"H0007773"</f>
        <v>H0007773</v>
      </c>
      <c r="B24325" s="5" t="str">
        <f>"SILLA PLASTICA CON BRAZOS"</f>
        <v>SILLA PLASTICA CON BRAZOS</v>
      </c>
      <c r="C24325" s="6">
        <v>19900</v>
      </c>
      <c r="D24325" s="5" t="s">
        <v>165</v>
      </c>
      <c r="E24325" s="5" t="str">
        <f t="shared" si="1212"/>
        <v>ACTISALUD-CIRUGIA PEDIATRIA-MARIA AUXILIADORA PERTUZ</v>
      </c>
      <c r="F24325" s="5" t="str">
        <f>"Descripcion: SILLA PLASTICA CON BRAZOS,  Estado: Bueno Placa anterior: 000032540 Material: PASTA Color: BLANCO Referencia:  Observacion: BUEN ESTADO Placa padre: Tipo adquisicion: Entidad"</f>
        <v>Descripcion: SILLA PLASTICA CON BRAZOS,  Estado: Bueno Placa anterior: 000032540 Material: PASTA Color: BLANCO Referencia:  Observacion: BUEN ESTADO Placa padre: Tipo adquisicion: Entidad</v>
      </c>
      <c r="G24325" s="5"/>
    </row>
    <row r="24326" spans="1:7" ht="58.5" customHeight="1" x14ac:dyDescent="0.25">
      <c r="A24326" s="5" t="str">
        <f>"H0008008"</f>
        <v>H0008008</v>
      </c>
      <c r="B24326" s="5" t="str">
        <f>"SILLA PLASTICA CON BRAZOS"</f>
        <v>SILLA PLASTICA CON BRAZOS</v>
      </c>
      <c r="C24326" s="6">
        <v>19900</v>
      </c>
      <c r="D24326" s="5" t="s">
        <v>165</v>
      </c>
      <c r="E24326" s="5" t="str">
        <f t="shared" si="1212"/>
        <v>ACTISALUD-CIRUGIA PEDIATRIA-MARIA AUXILIADORA PERTUZ</v>
      </c>
      <c r="F24326" s="5" t="str">
        <f>"Descripcion: SILLA PLASTICA CON BRAZOS Estado: Bueno Placa anterior: 000032539 Material: PLASTICO Color: AZUL Referencia:  Observacion:  Placa padre: Tipo adquisicion: Entidad"</f>
        <v>Descripcion: SILLA PLASTICA CON BRAZOS Estado: Bueno Placa anterior: 000032539 Material: PLASTICO Color: AZUL Referencia:  Observacion:  Placa padre: Tipo adquisicion: Entidad</v>
      </c>
      <c r="G24326" s="5"/>
    </row>
    <row r="24327" spans="1:7" ht="58.5" customHeight="1" x14ac:dyDescent="0.25">
      <c r="A24327" s="5" t="str">
        <f>"H0008882"</f>
        <v>H0008882</v>
      </c>
      <c r="B24327" s="5" t="str">
        <f>"AIRE ACONDICIONADO TIPO SPLIT 12000 BTU"</f>
        <v>AIRE ACONDICIONADO TIPO SPLIT 12000 BTU</v>
      </c>
      <c r="C24327" s="6">
        <v>1836280</v>
      </c>
      <c r="D24327" s="5" t="s">
        <v>146</v>
      </c>
      <c r="E24327" s="5" t="str">
        <f t="shared" si="1212"/>
        <v>ACTISALUD-CIRUGIA PEDIATRIA-MARIA AUXILIADORA PERTUZ</v>
      </c>
      <c r="F24327" s="5" t="str">
        <f>"Descripcion: AIRE ACONDICIONADO CAPACIDAD 22.000 BTU Equipo tipo mini split consola de lujo con control remoto y uso refrigerante ecologico Sistema inverter Debe incluir display para ser monitoreado por sistema central Estado: Excelente Placa anterior: 00"&amp; "0036361 Material: PLASTICO Color: BLANCO Referencia:  Observacion:  Placa padre: Tipo adquisicion: Entidad"</f>
        <v>Descripcion: AIRE ACONDICIONADO CAPACIDAD 22.000 BTU Equipo tipo mini split consola de lujo con control remoto y uso refrigerante ecologico Sistema inverter Debe incluir display para ser monitoreado por sistema central Estado: Excelente Placa anterior: 000036361 Material: PLASTICO Color: BLANCO Referencia:  Observacion:  Placa padre: Tipo adquisicion: Entidad</v>
      </c>
      <c r="G24327" s="5" t="str">
        <f>"VM12CEN B3"</f>
        <v>VM12CEN B3</v>
      </c>
    </row>
    <row r="24328" spans="1:7" ht="58.5" customHeight="1" x14ac:dyDescent="0.25">
      <c r="A24328" s="5" t="str">
        <f>"H0008934"</f>
        <v>H0008934</v>
      </c>
      <c r="B24328" s="5" t="str">
        <f>"FONENDOSCOPIO (ESTETOSCOPIO) PEDIATRICO"</f>
        <v>FONENDOSCOPIO (ESTETOSCOPIO) PEDIATRICO</v>
      </c>
      <c r="C24328" s="6">
        <v>226187.4</v>
      </c>
      <c r="D24328" s="5"/>
      <c r="E24328" s="5" t="str">
        <f t="shared" si="1212"/>
        <v>ACTISALUD-CIRUGIA PEDIATRIA-MARIA AUXILIADORA PERTUZ</v>
      </c>
      <c r="F24328" s="5" t="str">
        <f>"Descripcion: FONENDOSCOPIO PEDIATRICO Estado: Excelente Placa anterior: 000018687 Material:  Color: NEGRO Referencia:  Observacion:  Placa padre: Tipo adquisicion: Entidad"</f>
        <v>Descripcion: FONENDOSCOPIO PEDIATRICO Estado: Excelente Placa anterior: 000018687 Material:  Color: NEGRO Referencia:  Observacion:  Placa padre: Tipo adquisicion: Entidad</v>
      </c>
      <c r="G24328" s="5"/>
    </row>
    <row r="24329" spans="1:7" ht="58.5" customHeight="1" x14ac:dyDescent="0.25">
      <c r="A24329" s="5" t="str">
        <f>"H0009399"</f>
        <v>H0009399</v>
      </c>
      <c r="B24329" s="5" t="str">
        <f>"POTE (TARRO) ACERO INXODABLE CON TAPA MEDIANO"</f>
        <v>POTE (TARRO) ACERO INXODABLE CON TAPA MEDIANO</v>
      </c>
      <c r="C24329" s="6">
        <v>10312.86</v>
      </c>
      <c r="D24329" s="5"/>
      <c r="E24329" s="5" t="str">
        <f t="shared" si="1212"/>
        <v>ACTISALUD-CIRUGIA PEDIATRIA-MARIA AUXILIADORA PERTUZ</v>
      </c>
      <c r="F24329" s="5" t="str">
        <f>"Descripcion: PORTE EN ACERO INOXIDABLE Estado: Bueno Placa anterior: 000007529 Material: ACERO INOXIDABLE Color: PLATEADO Referencia:  Observacion:  Placa padre: Tipo adquisicion: Entidad"</f>
        <v>Descripcion: PORTE EN ACERO INOXIDABLE Estado: Bueno Placa anterior: 000007529 Material: ACERO INOXIDABLE Color: PLATEADO Referencia:  Observacion:  Placa padre: Tipo adquisicion: Entidad</v>
      </c>
      <c r="G24329" s="5"/>
    </row>
    <row r="24330" spans="1:7" ht="58.5" customHeight="1" x14ac:dyDescent="0.25">
      <c r="A24330" s="5" t="str">
        <f>"H0009417"</f>
        <v>H0009417</v>
      </c>
      <c r="B24330" s="5" t="str">
        <f>"SILLON (SOFA)"</f>
        <v>SILLON (SOFA)</v>
      </c>
      <c r="C24330" s="6">
        <v>21400</v>
      </c>
      <c r="D24330" s="5"/>
      <c r="E24330" s="5" t="str">
        <f t="shared" si="1212"/>
        <v>ACTISALUD-CIRUGIA PEDIATRIA-MARIA AUXILIADORA PERTUZ</v>
      </c>
      <c r="F24330" s="5" t="str">
        <f>"Descripcion: SILLON SOFA Estado: Regular Placa anterior: 000008454 Material: MADERA Y TAPIZADO EN CUERINA Color: NEGRO Y MARRON Referencia:  Observacion: TAPIZADO DETERIORADO Placa padre: Tipo adquisicion: Entidad"</f>
        <v>Descripcion: SILLON SOFA Estado: Regular Placa anterior: 000008454 Material: MADERA Y TAPIZADO EN CUERINA Color: NEGRO Y MARRON Referencia:  Observacion: TAPIZADO DETERIORADO Placa padre: Tipo adquisicion: Entidad</v>
      </c>
      <c r="G24330" s="5"/>
    </row>
    <row r="24331" spans="1:7" ht="58.5" customHeight="1" x14ac:dyDescent="0.25">
      <c r="A24331" s="5" t="str">
        <f>"H0009486"</f>
        <v>H0009486</v>
      </c>
      <c r="B24331" s="5" t="str">
        <f>"POTE (TARRO) ACERO INXODABLE CON TAPA GRANDE"</f>
        <v>POTE (TARRO) ACERO INXODABLE CON TAPA GRANDE</v>
      </c>
      <c r="C24331" s="6">
        <v>10312.86</v>
      </c>
      <c r="D24331" s="5"/>
      <c r="E24331" s="5" t="str">
        <f t="shared" si="1212"/>
        <v>ACTISALUD-CIRUGIA PEDIATRIA-MARIA AUXILIADORA PERTUZ</v>
      </c>
      <c r="F24331" s="5" t="str">
        <f>"Descripcion: POTE EN ACERO INOX. CON TAPA GRANDE Estado: Bueno Placa anterior: 000007284 Material: ACERO INOX. Color: PLATEADO Referencia:  Observacion:  Placa padre: Tipo adquisicion: Entidad"</f>
        <v>Descripcion: POTE EN ACERO INOX. CON TAPA GRANDE Estado: Bueno Placa anterior: 000007284 Material: ACERO INOX. Color: PLATEADO Referencia:  Observacion:  Placa padre: Tipo adquisicion: Entidad</v>
      </c>
      <c r="G24331" s="5"/>
    </row>
    <row r="24332" spans="1:7" ht="58.5" customHeight="1" x14ac:dyDescent="0.25">
      <c r="A24332" s="5" t="str">
        <f>"H0009487"</f>
        <v>H0009487</v>
      </c>
      <c r="B24332" s="5" t="str">
        <f>"POTE (TARRO) ACERO INXODABLE CON TAPA GRANDE"</f>
        <v>POTE (TARRO) ACERO INXODABLE CON TAPA GRANDE</v>
      </c>
      <c r="C24332" s="6">
        <v>10312.86</v>
      </c>
      <c r="D24332" s="5"/>
      <c r="E24332" s="5" t="str">
        <f t="shared" si="1212"/>
        <v>ACTISALUD-CIRUGIA PEDIATRIA-MARIA AUXILIADORA PERTUZ</v>
      </c>
      <c r="F24332" s="5" t="str">
        <f>"Descripcion: POTE EN ACERO INOX. CON TAPA GRANDE Estado: Bueno Placa anterior: 000007285 Material: ACERO INOX. Color: PLATEADO Referencia:  Observacion:  Placa padre: Tipo adquisicion: Entidad"</f>
        <v>Descripcion: POTE EN ACERO INOX. CON TAPA GRANDE Estado: Bueno Placa anterior: 000007285 Material: ACERO INOX. Color: PLATEADO Referencia:  Observacion:  Placa padre: Tipo adquisicion: Entidad</v>
      </c>
      <c r="G24332" s="5"/>
    </row>
    <row r="24333" spans="1:7" ht="58.5" customHeight="1" x14ac:dyDescent="0.25">
      <c r="A24333" s="5" t="str">
        <f>"H0009489"</f>
        <v>H0009489</v>
      </c>
      <c r="B24333" s="5" t="str">
        <f>"POTE (TARRO) ACERO INXODABLE CON TAPA GRANDE"</f>
        <v>POTE (TARRO) ACERO INXODABLE CON TAPA GRANDE</v>
      </c>
      <c r="C24333" s="6">
        <v>10312.86</v>
      </c>
      <c r="D24333" s="5"/>
      <c r="E24333" s="5" t="str">
        <f t="shared" si="1212"/>
        <v>ACTISALUD-CIRUGIA PEDIATRIA-MARIA AUXILIADORA PERTUZ</v>
      </c>
      <c r="F24333" s="5" t="str">
        <f>"Descripcion: POTE EN ACERO INOX. CON TAPA GRANDE Estado: Bueno Placa anterior: 000007462 Material: ACERO INOX. Color: PLATEADO Referencia:  Observacion:  Placa padre: Tipo adquisicion: Entidad"</f>
        <v>Descripcion: POTE EN ACERO INOX. CON TAPA GRANDE Estado: Bueno Placa anterior: 000007462 Material: ACERO INOX. Color: PLATEADO Referencia:  Observacion:  Placa padre: Tipo adquisicion: Entidad</v>
      </c>
      <c r="G24333" s="5"/>
    </row>
    <row r="24334" spans="1:7" ht="58.5" customHeight="1" x14ac:dyDescent="0.25">
      <c r="A24334" s="5" t="str">
        <f>"H0009490"</f>
        <v>H0009490</v>
      </c>
      <c r="B24334" s="5" t="str">
        <f>"POTE (TARRO) ACERO INXODABLE CON TAPA GRANDE"</f>
        <v>POTE (TARRO) ACERO INXODABLE CON TAPA GRANDE</v>
      </c>
      <c r="C24334" s="6">
        <v>10312.86</v>
      </c>
      <c r="D24334" s="5"/>
      <c r="E24334" s="5" t="str">
        <f t="shared" si="1212"/>
        <v>ACTISALUD-CIRUGIA PEDIATRIA-MARIA AUXILIADORA PERTUZ</v>
      </c>
      <c r="F24334" s="5" t="str">
        <f>"Descripcion: POTE EN ACERO INOX. CON TAPA GRANDE Estado: Bueno Placa anterior: 000007465 Material: ACERO INOX. Color: PLATEADO Referencia:  Observacion:  Placa padre: Tipo adquisicion: Entidad"</f>
        <v>Descripcion: POTE EN ACERO INOX. CON TAPA GRANDE Estado: Bueno Placa anterior: 000007465 Material: ACERO INOX. Color: PLATEADO Referencia:  Observacion:  Placa padre: Tipo adquisicion: Entidad</v>
      </c>
      <c r="G24334" s="5"/>
    </row>
    <row r="24335" spans="1:7" ht="58.5" customHeight="1" x14ac:dyDescent="0.25">
      <c r="A24335" s="5" t="str">
        <f>"H0009491"</f>
        <v>H0009491</v>
      </c>
      <c r="B24335" s="5" t="str">
        <f>"POTE (TARRO) ACERO INXODABLE CON TAPA GRANDE"</f>
        <v>POTE (TARRO) ACERO INXODABLE CON TAPA GRANDE</v>
      </c>
      <c r="C24335" s="6">
        <v>10312.86</v>
      </c>
      <c r="D24335" s="5"/>
      <c r="E24335" s="5" t="str">
        <f t="shared" si="1212"/>
        <v>ACTISALUD-CIRUGIA PEDIATRIA-MARIA AUXILIADORA PERTUZ</v>
      </c>
      <c r="F24335" s="5" t="str">
        <f>"Descripcion: POTE EN ACERO INOX. CON TAPA GRANDE Estado: Bueno Placa anterior: 000007466 Material: ACERO INOX. Color: PLATEADO Referencia:  Observacion:  Placa padre: Tipo adquisicion: Entidad"</f>
        <v>Descripcion: POTE EN ACERO INOX. CON TAPA GRANDE Estado: Bueno Placa anterior: 000007466 Material: ACERO INOX. Color: PLATEADO Referencia:  Observacion:  Placa padre: Tipo adquisicion: Entidad</v>
      </c>
      <c r="G24335" s="5"/>
    </row>
    <row r="24336" spans="1:7" ht="58.5" customHeight="1" x14ac:dyDescent="0.25">
      <c r="A24336" s="5" t="str">
        <f>"H0010418"</f>
        <v>H0010418</v>
      </c>
      <c r="B24336" s="5" t="str">
        <f>"ASPIRADOR DE SECRECIONES"</f>
        <v>ASPIRADOR DE SECRECIONES</v>
      </c>
      <c r="C24336" s="6">
        <v>1322400</v>
      </c>
      <c r="D24336" s="5" t="s">
        <v>693</v>
      </c>
      <c r="E24336" s="5" t="str">
        <f t="shared" si="1212"/>
        <v>ACTISALUD-CIRUGIA PEDIATRIA-MARIA AUXILIADORA PERTUZ</v>
      </c>
      <c r="F24336" s="5" t="str">
        <f>"Descripcion: ASPIRADOR RODABLE.De succion continua de flujo regulado,alto,vacio,con presion de 0a 680 mmHg con filtro antibacterial de dos frascos de 2500 ml cada uno.Opcional con intercambiador,con pedal.Con conexion electrica a 120 vac y frecuencia de 6"&amp; "0 HZ para us Estado: Bueno Placa anterior: 000030041 Material: METALICO Color: BEIS Referencia:  Observacion:  Placa padre: Tipo adquisicion: Entidad"</f>
        <v>Descripcion: ASPIRADOR RODABLE.De succion continua de flujo regulado,alto,vacio,con presion de 0a 680 mmHg con filtro antibacterial de dos frascos de 2500 ml cada uno.Opcional con intercambiador,con pedal.Con conexion electrica a 120 vac y frecuencia de 60 HZ para us Estado: Bueno Placa anterior: 000030041 Material: METALICO Color: BEIS Referencia:  Observacion:  Placa padre: Tipo adquisicion: Entidad</v>
      </c>
      <c r="G24336" s="5" t="str">
        <f>"1630"</f>
        <v>1630</v>
      </c>
    </row>
    <row r="24337" spans="1:7" ht="58.5" customHeight="1" x14ac:dyDescent="0.25">
      <c r="A24337" s="5" t="str">
        <f>"H0021172"</f>
        <v>H0021172</v>
      </c>
      <c r="B24337" s="5" t="str">
        <f>"GABINETE CONTRA INCENDIO"</f>
        <v>GABINETE CONTRA INCENDIO</v>
      </c>
      <c r="C24337" s="6">
        <v>171000</v>
      </c>
      <c r="D24337" s="5"/>
      <c r="E24337" s="5" t="str">
        <f t="shared" si="1212"/>
        <v>ACTISALUD-CIRUGIA PEDIATRIA-MARIA AUXILIADORA PERTUZ</v>
      </c>
      <c r="F24337" s="5" t="str">
        <f>"Descripcion: . Estado: Bueno Placa anterior: 000019095 Material:  Color:  Referencia:  Observacion:  Placa padre: Tipo adquisicion: Entidad"</f>
        <v>Descripcion: . Estado: Bueno Placa anterior: 000019095 Material:  Color:  Referencia:  Observacion:  Placa padre: Tipo adquisicion: Entidad</v>
      </c>
      <c r="G24337" s="5"/>
    </row>
    <row r="24338" spans="1:7" ht="58.5" customHeight="1" x14ac:dyDescent="0.25">
      <c r="A24338" s="5" t="str">
        <f>"H0021348"</f>
        <v>H0021348</v>
      </c>
      <c r="B24338" s="5" t="str">
        <f>"EQUIPO ORGANOS DE LOS SENTIDOS PORTATIL"</f>
        <v>EQUIPO ORGANOS DE LOS SENTIDOS PORTATIL</v>
      </c>
      <c r="C24338" s="6">
        <v>458200</v>
      </c>
      <c r="D24338" s="5"/>
      <c r="E24338" s="5" t="str">
        <f t="shared" si="1212"/>
        <v>ACTISALUD-CIRUGIA PEDIATRIA-MARIA AUXILIADORA PERTUZ</v>
      </c>
      <c r="F24338" s="5" t="str">
        <f>"Descripcion: EQUIPO DE ORGANOS MCA. WELLCH ALLYN, * OTOSCOPIO Y OFTALMOSCOPIO, * ESTUCHE NEGRO Estado: Bueno Placa anterior: 000018679 Material:  Color: GRIS Referencia:  Observacion:  Placa padre: Tipo adquisicion: Entidad"</f>
        <v>Descripcion: EQUIPO DE ORGANOS MCA. WELLCH ALLYN, * OTOSCOPIO Y OFTALMOSCOPIO, * ESTUCHE NEGRO Estado: Bueno Placa anterior: 000018679 Material:  Color: GRIS Referencia:  Observacion:  Placa padre: Tipo adquisicion: Entidad</v>
      </c>
      <c r="G24338" s="5"/>
    </row>
    <row r="24339" spans="1:7" ht="58.5" customHeight="1" x14ac:dyDescent="0.25">
      <c r="A24339" s="5" t="str">
        <f>"H0021461"</f>
        <v>H0021461</v>
      </c>
      <c r="B24339" s="5" t="str">
        <f>"PLANTA DOMESTICA A BASE DE OZONO"</f>
        <v>PLANTA DOMESTICA A BASE DE OZONO</v>
      </c>
      <c r="C24339" s="6">
        <v>275000</v>
      </c>
      <c r="D24339" s="5" t="s">
        <v>62</v>
      </c>
      <c r="E24339" s="5" t="str">
        <f t="shared" si="1212"/>
        <v>ACTISALUD-CIRUGIA PEDIATRIA-MARIA AUXILIADORA PERTUZ</v>
      </c>
      <c r="F24339" s="5"/>
      <c r="G24339" s="5"/>
    </row>
    <row r="24340" spans="1:7" ht="58.5" customHeight="1" x14ac:dyDescent="0.25">
      <c r="A24340" s="5" t="str">
        <f>"H0022281"</f>
        <v>H0022281</v>
      </c>
      <c r="B24340" s="5" t="str">
        <f>"MONITOR DE PRESIÓN NO INVASIVA CON PULSOXIMETRIA"</f>
        <v>MONITOR DE PRESIÓN NO INVASIVA CON PULSOXIMETRIA</v>
      </c>
      <c r="C24340" s="6">
        <v>3828000</v>
      </c>
      <c r="D24340" s="5" t="s">
        <v>262</v>
      </c>
      <c r="E24340" s="5" t="str">
        <f t="shared" si="1212"/>
        <v>ACTISALUD-CIRUGIA PEDIATRIA-MARIA AUXILIADORA PERTUZ</v>
      </c>
      <c r="F24340" s="5"/>
      <c r="G24340" s="5"/>
    </row>
    <row r="24341" spans="1:7" ht="58.5" customHeight="1" x14ac:dyDescent="0.25">
      <c r="A24341" s="5" t="str">
        <f>"H0022360"</f>
        <v>H0022360</v>
      </c>
      <c r="B24341" s="5" t="str">
        <f>"NEGATOSCOPIO METALICO DE UN CUERPO"</f>
        <v>NEGATOSCOPIO METALICO DE UN CUERPO</v>
      </c>
      <c r="C24341" s="6">
        <v>213379.28</v>
      </c>
      <c r="D24341" s="5" t="s">
        <v>721</v>
      </c>
      <c r="E24341" s="5" t="str">
        <f t="shared" si="1212"/>
        <v>ACTISALUD-CIRUGIA PEDIATRIA-MARIA AUXILIADORA PERTUZ</v>
      </c>
      <c r="F24341" s="5"/>
      <c r="G24341" s="5"/>
    </row>
    <row r="24342" spans="1:7" ht="58.5" customHeight="1" x14ac:dyDescent="0.25">
      <c r="A24342" s="5" t="str">
        <f>"H0024176"</f>
        <v>H0024176</v>
      </c>
      <c r="B24342" s="5" t="str">
        <f>"CAMA ELECTRICA ADULTOS"</f>
        <v>CAMA ELECTRICA ADULTOS</v>
      </c>
      <c r="C24342" s="6">
        <v>5746930</v>
      </c>
      <c r="D24342" s="5" t="s">
        <v>36</v>
      </c>
      <c r="E24342" s="5" t="str">
        <f t="shared" si="1212"/>
        <v>ACTISALUD-CIRUGIA PEDIATRIA-MARIA AUXILIADORA PERTUZ</v>
      </c>
      <c r="F24342" s="5"/>
      <c r="G24342" s="5"/>
    </row>
    <row r="24343" spans="1:7" ht="58.5" customHeight="1" x14ac:dyDescent="0.25">
      <c r="A24343" s="5" t="str">
        <f>"H0024194"</f>
        <v>H0024194</v>
      </c>
      <c r="B24343" s="5" t="str">
        <f>"CAMA ELECTRICA ADULTOS"</f>
        <v>CAMA ELECTRICA ADULTOS</v>
      </c>
      <c r="C24343" s="6">
        <v>5746930</v>
      </c>
      <c r="D24343" s="5" t="s">
        <v>36</v>
      </c>
      <c r="E24343" s="5" t="str">
        <f t="shared" si="1212"/>
        <v>ACTISALUD-CIRUGIA PEDIATRIA-MARIA AUXILIADORA PERTUZ</v>
      </c>
      <c r="F24343" s="5"/>
      <c r="G24343" s="5"/>
    </row>
    <row r="24344" spans="1:7" ht="58.5" customHeight="1" x14ac:dyDescent="0.25">
      <c r="A24344" s="5" t="str">
        <f>"H0024451"</f>
        <v>H0024451</v>
      </c>
      <c r="B24344" s="5" t="str">
        <f t="shared" ref="B24344:B24349" si="1216">"CUNA PEDIATRICA TAMAÑO JUNIOR"</f>
        <v>CUNA PEDIATRICA TAMAÑO JUNIOR</v>
      </c>
      <c r="C24344" s="6">
        <v>6685196</v>
      </c>
      <c r="D24344" s="5" t="s">
        <v>36</v>
      </c>
      <c r="E24344" s="5" t="str">
        <f t="shared" si="1212"/>
        <v>ACTISALUD-CIRUGIA PEDIATRIA-MARIA AUXILIADORA PERTUZ</v>
      </c>
      <c r="F24344" s="5"/>
      <c r="G24344" s="5"/>
    </row>
    <row r="24345" spans="1:7" ht="58.5" customHeight="1" x14ac:dyDescent="0.25">
      <c r="A24345" s="5" t="str">
        <f>"H0024452"</f>
        <v>H0024452</v>
      </c>
      <c r="B24345" s="5" t="str">
        <f t="shared" si="1216"/>
        <v>CUNA PEDIATRICA TAMAÑO JUNIOR</v>
      </c>
      <c r="C24345" s="6">
        <v>6685196</v>
      </c>
      <c r="D24345" s="5" t="s">
        <v>36</v>
      </c>
      <c r="E24345" s="5" t="str">
        <f t="shared" si="1212"/>
        <v>ACTISALUD-CIRUGIA PEDIATRIA-MARIA AUXILIADORA PERTUZ</v>
      </c>
      <c r="F24345" s="5"/>
      <c r="G24345" s="5"/>
    </row>
    <row r="24346" spans="1:7" ht="58.5" customHeight="1" x14ac:dyDescent="0.25">
      <c r="A24346" s="5" t="str">
        <f>"H0024453"</f>
        <v>H0024453</v>
      </c>
      <c r="B24346" s="5" t="str">
        <f t="shared" si="1216"/>
        <v>CUNA PEDIATRICA TAMAÑO JUNIOR</v>
      </c>
      <c r="C24346" s="6">
        <v>6685196</v>
      </c>
      <c r="D24346" s="5" t="s">
        <v>36</v>
      </c>
      <c r="E24346" s="5" t="str">
        <f t="shared" si="1212"/>
        <v>ACTISALUD-CIRUGIA PEDIATRIA-MARIA AUXILIADORA PERTUZ</v>
      </c>
      <c r="F24346" s="5"/>
      <c r="G24346" s="5"/>
    </row>
    <row r="24347" spans="1:7" ht="58.5" customHeight="1" x14ac:dyDescent="0.25">
      <c r="A24347" s="5" t="str">
        <f>"H0024454"</f>
        <v>H0024454</v>
      </c>
      <c r="B24347" s="5" t="str">
        <f t="shared" si="1216"/>
        <v>CUNA PEDIATRICA TAMAÑO JUNIOR</v>
      </c>
      <c r="C24347" s="6">
        <v>6685196</v>
      </c>
      <c r="D24347" s="5" t="s">
        <v>36</v>
      </c>
      <c r="E24347" s="5" t="str">
        <f t="shared" si="1212"/>
        <v>ACTISALUD-CIRUGIA PEDIATRIA-MARIA AUXILIADORA PERTUZ</v>
      </c>
      <c r="F24347" s="5"/>
      <c r="G24347" s="5"/>
    </row>
    <row r="24348" spans="1:7" ht="58.5" customHeight="1" x14ac:dyDescent="0.25">
      <c r="A24348" s="5" t="str">
        <f>"H0024455"</f>
        <v>H0024455</v>
      </c>
      <c r="B24348" s="5" t="str">
        <f t="shared" si="1216"/>
        <v>CUNA PEDIATRICA TAMAÑO JUNIOR</v>
      </c>
      <c r="C24348" s="6">
        <v>6685196</v>
      </c>
      <c r="D24348" s="5" t="s">
        <v>36</v>
      </c>
      <c r="E24348" s="5" t="str">
        <f t="shared" ref="E24348:E24411" si="1217">"ACTISALUD-CIRUGIA PEDIATRIA-MARIA AUXILIADORA PERTUZ"</f>
        <v>ACTISALUD-CIRUGIA PEDIATRIA-MARIA AUXILIADORA PERTUZ</v>
      </c>
      <c r="F24348" s="5"/>
      <c r="G24348" s="5"/>
    </row>
    <row r="24349" spans="1:7" ht="58.5" customHeight="1" x14ac:dyDescent="0.25">
      <c r="A24349" s="5" t="str">
        <f>"H0024456"</f>
        <v>H0024456</v>
      </c>
      <c r="B24349" s="5" t="str">
        <f t="shared" si="1216"/>
        <v>CUNA PEDIATRICA TAMAÑO JUNIOR</v>
      </c>
      <c r="C24349" s="6">
        <v>6685196</v>
      </c>
      <c r="D24349" s="5" t="s">
        <v>36</v>
      </c>
      <c r="E24349" s="5" t="str">
        <f t="shared" si="1217"/>
        <v>ACTISALUD-CIRUGIA PEDIATRIA-MARIA AUXILIADORA PERTUZ</v>
      </c>
      <c r="F24349" s="5"/>
      <c r="G24349" s="5"/>
    </row>
    <row r="24350" spans="1:7" ht="58.5" customHeight="1" x14ac:dyDescent="0.25">
      <c r="A24350" s="5" t="str">
        <f>"H0024478"</f>
        <v>H0024478</v>
      </c>
      <c r="B24350" s="5" t="str">
        <f t="shared" ref="B24350:B24365" si="1218">"CAMA ELECTRICA ADULTOS"</f>
        <v>CAMA ELECTRICA ADULTOS</v>
      </c>
      <c r="C24350" s="6">
        <v>5746930</v>
      </c>
      <c r="D24350" s="5" t="s">
        <v>36</v>
      </c>
      <c r="E24350" s="5" t="str">
        <f t="shared" si="1217"/>
        <v>ACTISALUD-CIRUGIA PEDIATRIA-MARIA AUXILIADORA PERTUZ</v>
      </c>
      <c r="F24350" s="5"/>
      <c r="G24350" s="5"/>
    </row>
    <row r="24351" spans="1:7" ht="58.5" customHeight="1" x14ac:dyDescent="0.25">
      <c r="A24351" s="5" t="str">
        <f>"H0024479"</f>
        <v>H0024479</v>
      </c>
      <c r="B24351" s="5" t="str">
        <f t="shared" si="1218"/>
        <v>CAMA ELECTRICA ADULTOS</v>
      </c>
      <c r="C24351" s="6">
        <v>5746930</v>
      </c>
      <c r="D24351" s="5" t="s">
        <v>36</v>
      </c>
      <c r="E24351" s="5" t="str">
        <f t="shared" si="1217"/>
        <v>ACTISALUD-CIRUGIA PEDIATRIA-MARIA AUXILIADORA PERTUZ</v>
      </c>
      <c r="F24351" s="5"/>
      <c r="G24351" s="5"/>
    </row>
    <row r="24352" spans="1:7" ht="58.5" customHeight="1" x14ac:dyDescent="0.25">
      <c r="A24352" s="5" t="str">
        <f>"H0024480"</f>
        <v>H0024480</v>
      </c>
      <c r="B24352" s="5" t="str">
        <f t="shared" si="1218"/>
        <v>CAMA ELECTRICA ADULTOS</v>
      </c>
      <c r="C24352" s="6">
        <v>5746930</v>
      </c>
      <c r="D24352" s="5" t="s">
        <v>36</v>
      </c>
      <c r="E24352" s="5" t="str">
        <f t="shared" si="1217"/>
        <v>ACTISALUD-CIRUGIA PEDIATRIA-MARIA AUXILIADORA PERTUZ</v>
      </c>
      <c r="F24352" s="5"/>
      <c r="G24352" s="5"/>
    </row>
    <row r="24353" spans="1:7" ht="58.5" customHeight="1" x14ac:dyDescent="0.25">
      <c r="A24353" s="5" t="str">
        <f>"H0024481"</f>
        <v>H0024481</v>
      </c>
      <c r="B24353" s="5" t="str">
        <f t="shared" si="1218"/>
        <v>CAMA ELECTRICA ADULTOS</v>
      </c>
      <c r="C24353" s="6">
        <v>5746930</v>
      </c>
      <c r="D24353" s="5" t="s">
        <v>36</v>
      </c>
      <c r="E24353" s="5" t="str">
        <f t="shared" si="1217"/>
        <v>ACTISALUD-CIRUGIA PEDIATRIA-MARIA AUXILIADORA PERTUZ</v>
      </c>
      <c r="F24353" s="5"/>
      <c r="G24353" s="5"/>
    </row>
    <row r="24354" spans="1:7" ht="58.5" customHeight="1" x14ac:dyDescent="0.25">
      <c r="A24354" s="5" t="str">
        <f>"H0024482"</f>
        <v>H0024482</v>
      </c>
      <c r="B24354" s="5" t="str">
        <f t="shared" si="1218"/>
        <v>CAMA ELECTRICA ADULTOS</v>
      </c>
      <c r="C24354" s="6">
        <v>5746930</v>
      </c>
      <c r="D24354" s="5" t="s">
        <v>36</v>
      </c>
      <c r="E24354" s="5" t="str">
        <f t="shared" si="1217"/>
        <v>ACTISALUD-CIRUGIA PEDIATRIA-MARIA AUXILIADORA PERTUZ</v>
      </c>
      <c r="F24354" s="5"/>
      <c r="G24354" s="5"/>
    </row>
    <row r="24355" spans="1:7" ht="58.5" customHeight="1" x14ac:dyDescent="0.25">
      <c r="A24355" s="5" t="str">
        <f>"H0024483"</f>
        <v>H0024483</v>
      </c>
      <c r="B24355" s="5" t="str">
        <f t="shared" si="1218"/>
        <v>CAMA ELECTRICA ADULTOS</v>
      </c>
      <c r="C24355" s="6">
        <v>5746930</v>
      </c>
      <c r="D24355" s="5" t="s">
        <v>36</v>
      </c>
      <c r="E24355" s="5" t="str">
        <f t="shared" si="1217"/>
        <v>ACTISALUD-CIRUGIA PEDIATRIA-MARIA AUXILIADORA PERTUZ</v>
      </c>
      <c r="F24355" s="5"/>
      <c r="G24355" s="5"/>
    </row>
    <row r="24356" spans="1:7" ht="58.5" customHeight="1" x14ac:dyDescent="0.25">
      <c r="A24356" s="5" t="str">
        <f>"H0024484"</f>
        <v>H0024484</v>
      </c>
      <c r="B24356" s="5" t="str">
        <f t="shared" si="1218"/>
        <v>CAMA ELECTRICA ADULTOS</v>
      </c>
      <c r="C24356" s="6">
        <v>5746930</v>
      </c>
      <c r="D24356" s="5" t="s">
        <v>36</v>
      </c>
      <c r="E24356" s="5" t="str">
        <f t="shared" si="1217"/>
        <v>ACTISALUD-CIRUGIA PEDIATRIA-MARIA AUXILIADORA PERTUZ</v>
      </c>
      <c r="F24356" s="5"/>
      <c r="G24356" s="5"/>
    </row>
    <row r="24357" spans="1:7" ht="58.5" customHeight="1" x14ac:dyDescent="0.25">
      <c r="A24357" s="5" t="str">
        <f>"H0024485"</f>
        <v>H0024485</v>
      </c>
      <c r="B24357" s="5" t="str">
        <f t="shared" si="1218"/>
        <v>CAMA ELECTRICA ADULTOS</v>
      </c>
      <c r="C24357" s="6">
        <v>5746930</v>
      </c>
      <c r="D24357" s="5" t="s">
        <v>36</v>
      </c>
      <c r="E24357" s="5" t="str">
        <f t="shared" si="1217"/>
        <v>ACTISALUD-CIRUGIA PEDIATRIA-MARIA AUXILIADORA PERTUZ</v>
      </c>
      <c r="F24357" s="5"/>
      <c r="G24357" s="5"/>
    </row>
    <row r="24358" spans="1:7" ht="58.5" customHeight="1" x14ac:dyDescent="0.25">
      <c r="A24358" s="5" t="str">
        <f>"H0024487"</f>
        <v>H0024487</v>
      </c>
      <c r="B24358" s="5" t="str">
        <f t="shared" si="1218"/>
        <v>CAMA ELECTRICA ADULTOS</v>
      </c>
      <c r="C24358" s="6">
        <v>5746930</v>
      </c>
      <c r="D24358" s="5" t="s">
        <v>36</v>
      </c>
      <c r="E24358" s="5" t="str">
        <f t="shared" si="1217"/>
        <v>ACTISALUD-CIRUGIA PEDIATRIA-MARIA AUXILIADORA PERTUZ</v>
      </c>
      <c r="F24358" s="5"/>
      <c r="G24358" s="5"/>
    </row>
    <row r="24359" spans="1:7" ht="58.5" customHeight="1" x14ac:dyDescent="0.25">
      <c r="A24359" s="5" t="str">
        <f>"H0024488"</f>
        <v>H0024488</v>
      </c>
      <c r="B24359" s="5" t="str">
        <f t="shared" si="1218"/>
        <v>CAMA ELECTRICA ADULTOS</v>
      </c>
      <c r="C24359" s="6">
        <v>5746930</v>
      </c>
      <c r="D24359" s="5" t="s">
        <v>36</v>
      </c>
      <c r="E24359" s="5" t="str">
        <f t="shared" si="1217"/>
        <v>ACTISALUD-CIRUGIA PEDIATRIA-MARIA AUXILIADORA PERTUZ</v>
      </c>
      <c r="F24359" s="5"/>
      <c r="G24359" s="5"/>
    </row>
    <row r="24360" spans="1:7" ht="58.5" customHeight="1" x14ac:dyDescent="0.25">
      <c r="A24360" s="5" t="str">
        <f>"H0024489"</f>
        <v>H0024489</v>
      </c>
      <c r="B24360" s="5" t="str">
        <f t="shared" si="1218"/>
        <v>CAMA ELECTRICA ADULTOS</v>
      </c>
      <c r="C24360" s="6">
        <v>5746930</v>
      </c>
      <c r="D24360" s="5" t="s">
        <v>36</v>
      </c>
      <c r="E24360" s="5" t="str">
        <f t="shared" si="1217"/>
        <v>ACTISALUD-CIRUGIA PEDIATRIA-MARIA AUXILIADORA PERTUZ</v>
      </c>
      <c r="F24360" s="5"/>
      <c r="G24360" s="5"/>
    </row>
    <row r="24361" spans="1:7" ht="58.5" customHeight="1" x14ac:dyDescent="0.25">
      <c r="A24361" s="5" t="str">
        <f>"H0024490"</f>
        <v>H0024490</v>
      </c>
      <c r="B24361" s="5" t="str">
        <f t="shared" si="1218"/>
        <v>CAMA ELECTRICA ADULTOS</v>
      </c>
      <c r="C24361" s="6">
        <v>5746930</v>
      </c>
      <c r="D24361" s="5" t="s">
        <v>36</v>
      </c>
      <c r="E24361" s="5" t="str">
        <f t="shared" si="1217"/>
        <v>ACTISALUD-CIRUGIA PEDIATRIA-MARIA AUXILIADORA PERTUZ</v>
      </c>
      <c r="F24361" s="5"/>
      <c r="G24361" s="5"/>
    </row>
    <row r="24362" spans="1:7" ht="58.5" customHeight="1" x14ac:dyDescent="0.25">
      <c r="A24362" s="5" t="str">
        <f>"H0024491"</f>
        <v>H0024491</v>
      </c>
      <c r="B24362" s="5" t="str">
        <f t="shared" si="1218"/>
        <v>CAMA ELECTRICA ADULTOS</v>
      </c>
      <c r="C24362" s="6">
        <v>5746930</v>
      </c>
      <c r="D24362" s="5" t="s">
        <v>36</v>
      </c>
      <c r="E24362" s="5" t="str">
        <f t="shared" si="1217"/>
        <v>ACTISALUD-CIRUGIA PEDIATRIA-MARIA AUXILIADORA PERTUZ</v>
      </c>
      <c r="F24362" s="5"/>
      <c r="G24362" s="5"/>
    </row>
    <row r="24363" spans="1:7" ht="58.5" customHeight="1" x14ac:dyDescent="0.25">
      <c r="A24363" s="5" t="str">
        <f>"H0024492"</f>
        <v>H0024492</v>
      </c>
      <c r="B24363" s="5" t="str">
        <f t="shared" si="1218"/>
        <v>CAMA ELECTRICA ADULTOS</v>
      </c>
      <c r="C24363" s="6">
        <v>5746930</v>
      </c>
      <c r="D24363" s="5" t="s">
        <v>36</v>
      </c>
      <c r="E24363" s="5" t="str">
        <f t="shared" si="1217"/>
        <v>ACTISALUD-CIRUGIA PEDIATRIA-MARIA AUXILIADORA PERTUZ</v>
      </c>
      <c r="F24363" s="5"/>
      <c r="G24363" s="5"/>
    </row>
    <row r="24364" spans="1:7" ht="58.5" customHeight="1" x14ac:dyDescent="0.25">
      <c r="A24364" s="5" t="str">
        <f>"H0024493"</f>
        <v>H0024493</v>
      </c>
      <c r="B24364" s="5" t="str">
        <f t="shared" si="1218"/>
        <v>CAMA ELECTRICA ADULTOS</v>
      </c>
      <c r="C24364" s="6">
        <v>5746930</v>
      </c>
      <c r="D24364" s="5" t="s">
        <v>36</v>
      </c>
      <c r="E24364" s="5" t="str">
        <f t="shared" si="1217"/>
        <v>ACTISALUD-CIRUGIA PEDIATRIA-MARIA AUXILIADORA PERTUZ</v>
      </c>
      <c r="F24364" s="5"/>
      <c r="G24364" s="5"/>
    </row>
    <row r="24365" spans="1:7" ht="58.5" customHeight="1" x14ac:dyDescent="0.25">
      <c r="A24365" s="5" t="str">
        <f>"H0024497"</f>
        <v>H0024497</v>
      </c>
      <c r="B24365" s="5" t="str">
        <f t="shared" si="1218"/>
        <v>CAMA ELECTRICA ADULTOS</v>
      </c>
      <c r="C24365" s="6">
        <v>5746930</v>
      </c>
      <c r="D24365" s="5" t="s">
        <v>36</v>
      </c>
      <c r="E24365" s="5" t="str">
        <f t="shared" si="1217"/>
        <v>ACTISALUD-CIRUGIA PEDIATRIA-MARIA AUXILIADORA PERTUZ</v>
      </c>
      <c r="F24365" s="5"/>
      <c r="G24365" s="5"/>
    </row>
    <row r="24366" spans="1:7" ht="58.5" customHeight="1" x14ac:dyDescent="0.25">
      <c r="A24366" s="5" t="str">
        <f>"H0024502"</f>
        <v>H0024502</v>
      </c>
      <c r="B24366"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4366" s="6">
        <v>2600000</v>
      </c>
      <c r="D24366" s="5" t="s">
        <v>36</v>
      </c>
      <c r="E24366" s="5" t="str">
        <f t="shared" si="1217"/>
        <v>ACTISALUD-CIRUGIA PEDIATRIA-MARIA AUXILIADORA PERTUZ</v>
      </c>
      <c r="F24366" s="5"/>
      <c r="G24366" s="5"/>
    </row>
    <row r="24367" spans="1:7" ht="58.5" customHeight="1" x14ac:dyDescent="0.25">
      <c r="A24367" s="5" t="str">
        <f>"H0024584"</f>
        <v>H0024584</v>
      </c>
      <c r="B24367"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4367" s="6">
        <v>2600000</v>
      </c>
      <c r="D24367" s="5" t="s">
        <v>36</v>
      </c>
      <c r="E24367" s="5" t="str">
        <f t="shared" si="1217"/>
        <v>ACTISALUD-CIRUGIA PEDIATRIA-MARIA AUXILIADORA PERTUZ</v>
      </c>
      <c r="F24367" s="5"/>
      <c r="G24367" s="5"/>
    </row>
    <row r="24368" spans="1:7" ht="58.5" customHeight="1" x14ac:dyDescent="0.25">
      <c r="A24368" s="5" t="str">
        <f>"H0025404"</f>
        <v>H0025404</v>
      </c>
      <c r="B24368"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4368" s="6">
        <v>312156</v>
      </c>
      <c r="D24368" s="5" t="s">
        <v>10</v>
      </c>
      <c r="E24368" s="5" t="str">
        <f t="shared" si="1217"/>
        <v>ACTISALUD-CIRUGIA PEDIATRIA-MARIA AUXILIADORA PERTUZ</v>
      </c>
      <c r="F24368" s="5"/>
      <c r="G24368" s="5"/>
    </row>
    <row r="24369" spans="1:7" ht="58.5" customHeight="1" x14ac:dyDescent="0.25">
      <c r="A24369" s="5" t="str">
        <f>"H0025680"</f>
        <v>H0025680</v>
      </c>
      <c r="B24369" s="5" t="str">
        <f>"T.V 32' LED MARCA CHALLENGER"</f>
        <v>T.V 32' LED MARCA CHALLENGER</v>
      </c>
      <c r="C24369" s="6">
        <v>675800</v>
      </c>
      <c r="D24369" s="5" t="s">
        <v>72</v>
      </c>
      <c r="E24369" s="5" t="str">
        <f t="shared" si="1217"/>
        <v>ACTISALUD-CIRUGIA PEDIATRIA-MARIA AUXILIADORA PERTUZ</v>
      </c>
      <c r="F24369" s="5"/>
      <c r="G24369" s="5"/>
    </row>
    <row r="24370" spans="1:7" ht="58.5" customHeight="1" x14ac:dyDescent="0.25">
      <c r="A24370" s="5" t="str">
        <f>"H0025959"</f>
        <v>H0025959</v>
      </c>
      <c r="B24370" s="5" t="s">
        <v>184</v>
      </c>
      <c r="C24370" s="6">
        <v>549900</v>
      </c>
      <c r="D24370" s="5" t="s">
        <v>183</v>
      </c>
      <c r="E24370" s="5" t="str">
        <f t="shared" si="1217"/>
        <v>ACTISALUD-CIRUGIA PEDIATRIA-MARIA AUXILIADORA PERTUZ</v>
      </c>
      <c r="F24370" s="5"/>
      <c r="G24370" s="5"/>
    </row>
    <row r="24371" spans="1:7" ht="58.5" customHeight="1" x14ac:dyDescent="0.25">
      <c r="A24371" s="5" t="str">
        <f>"H0025983"</f>
        <v>H0025983</v>
      </c>
      <c r="B24371" s="5" t="str">
        <f>"SILLA DE RUEDAS"</f>
        <v>SILLA DE RUEDAS</v>
      </c>
      <c r="C24371" s="6">
        <v>280000</v>
      </c>
      <c r="D24371" s="5" t="s">
        <v>77</v>
      </c>
      <c r="E24371" s="5" t="str">
        <f t="shared" si="1217"/>
        <v>ACTISALUD-CIRUGIA PEDIATRIA-MARIA AUXILIADORA PERTUZ</v>
      </c>
      <c r="F24371" s="5"/>
      <c r="G24371" s="5"/>
    </row>
    <row r="24372" spans="1:7" ht="58.5" customHeight="1" x14ac:dyDescent="0.25">
      <c r="A24372" s="5" t="str">
        <f>"H0026988"</f>
        <v>H0026988</v>
      </c>
      <c r="B24372" s="5" t="str">
        <f>"POLTRONA 6 PUESTOS BASE MADERA/EPS NARANJA PRANA"</f>
        <v>POLTRONA 6 PUESTOS BASE MADERA/EPS NARANJA PRANA</v>
      </c>
      <c r="C24372" s="6">
        <v>3094000</v>
      </c>
      <c r="D24372" s="5" t="s">
        <v>655</v>
      </c>
      <c r="E24372" s="5" t="str">
        <f t="shared" si="1217"/>
        <v>ACTISALUD-CIRUGIA PEDIATRIA-MARIA AUXILIADORA PERTUZ</v>
      </c>
      <c r="F24372" s="5"/>
      <c r="G24372" s="5"/>
    </row>
    <row r="24373" spans="1:7" ht="58.5" customHeight="1" x14ac:dyDescent="0.25">
      <c r="A24373" s="5" t="str">
        <f>"H0026989"</f>
        <v>H0026989</v>
      </c>
      <c r="B24373" s="5" t="str">
        <f>"POLTRONA 3 PUESTOS BASE MADERA/EPS NARANJA PRANA"</f>
        <v>POLTRONA 3 PUESTOS BASE MADERA/EPS NARANJA PRANA</v>
      </c>
      <c r="C24373" s="6">
        <v>1547000</v>
      </c>
      <c r="D24373" s="5" t="s">
        <v>655</v>
      </c>
      <c r="E24373" s="5" t="str">
        <f t="shared" si="1217"/>
        <v>ACTISALUD-CIRUGIA PEDIATRIA-MARIA AUXILIADORA PERTUZ</v>
      </c>
      <c r="F24373" s="5"/>
      <c r="G24373" s="5"/>
    </row>
    <row r="24374" spans="1:7" ht="58.5" customHeight="1" x14ac:dyDescent="0.25">
      <c r="A24374" s="5" t="str">
        <f>"H0026990"</f>
        <v>H0026990</v>
      </c>
      <c r="B24374" s="5" t="str">
        <f>"POLTRONA 2 PUESTOS BASE MADERA/EPS NARANJA PRANA"</f>
        <v>POLTRONA 2 PUESTOS BASE MADERA/EPS NARANJA PRANA</v>
      </c>
      <c r="C24374" s="6">
        <v>1030540</v>
      </c>
      <c r="D24374" s="5" t="s">
        <v>655</v>
      </c>
      <c r="E24374" s="5" t="str">
        <f t="shared" si="1217"/>
        <v>ACTISALUD-CIRUGIA PEDIATRIA-MARIA AUXILIADORA PERTUZ</v>
      </c>
      <c r="F24374" s="5"/>
      <c r="G24374" s="5"/>
    </row>
    <row r="24375" spans="1:7" ht="58.5" customHeight="1" x14ac:dyDescent="0.25">
      <c r="A24375" s="5" t="str">
        <f>"H0026991"</f>
        <v>H0026991</v>
      </c>
      <c r="B24375" s="5" t="str">
        <f>"POLTRONA EN L SEGÚN DISEÑO - ESP NARANJA PRANA - TELA PRANA/BASE M"</f>
        <v>POLTRONA EN L SEGÚN DISEÑO - ESP NARANJA PRANA - TELA PRANA/BASE M</v>
      </c>
      <c r="C24375" s="6">
        <v>4343500</v>
      </c>
      <c r="D24375" s="5" t="s">
        <v>655</v>
      </c>
      <c r="E24375" s="5" t="str">
        <f t="shared" si="1217"/>
        <v>ACTISALUD-CIRUGIA PEDIATRIA-MARIA AUXILIADORA PERTUZ</v>
      </c>
      <c r="F24375" s="5"/>
      <c r="G24375" s="5"/>
    </row>
    <row r="24376" spans="1:7" ht="58.5" customHeight="1" x14ac:dyDescent="0.25">
      <c r="A24376" s="5" t="str">
        <f>"H0026992"</f>
        <v>H0026992</v>
      </c>
      <c r="B24376" s="5" t="str">
        <f>"MESA DE CENTRO"</f>
        <v>MESA DE CENTRO</v>
      </c>
      <c r="C24376" s="6">
        <v>236215</v>
      </c>
      <c r="D24376" s="5" t="s">
        <v>655</v>
      </c>
      <c r="E24376" s="5" t="str">
        <f t="shared" si="1217"/>
        <v>ACTISALUD-CIRUGIA PEDIATRIA-MARIA AUXILIADORA PERTUZ</v>
      </c>
      <c r="F24376" s="5"/>
      <c r="G24376" s="5"/>
    </row>
    <row r="24377" spans="1:7" ht="58.5" customHeight="1" x14ac:dyDescent="0.25">
      <c r="A24377" s="5" t="str">
        <f>"H0026996"</f>
        <v>H0026996</v>
      </c>
      <c r="B24377" s="5" t="str">
        <f>"MUEBLE REPISERO FORMICA 0,70"</f>
        <v>MUEBLE REPISERO FORMICA 0,70</v>
      </c>
      <c r="C24377" s="6">
        <v>236215</v>
      </c>
      <c r="D24377" s="5" t="s">
        <v>655</v>
      </c>
      <c r="E24377" s="5" t="str">
        <f t="shared" si="1217"/>
        <v>ACTISALUD-CIRUGIA PEDIATRIA-MARIA AUXILIADORA PERTUZ</v>
      </c>
      <c r="F24377" s="5"/>
      <c r="G24377" s="5"/>
    </row>
    <row r="24378" spans="1:7" ht="58.5" customHeight="1" x14ac:dyDescent="0.25">
      <c r="A24378" s="5" t="str">
        <f>"H0026997"</f>
        <v>H0026997</v>
      </c>
      <c r="B24378" s="5" t="str">
        <f>"MUEBLE REPISERO FORMICA 0,70"</f>
        <v>MUEBLE REPISERO FORMICA 0,70</v>
      </c>
      <c r="C24378" s="6">
        <v>236215</v>
      </c>
      <c r="D24378" s="5" t="s">
        <v>655</v>
      </c>
      <c r="E24378" s="5" t="str">
        <f t="shared" si="1217"/>
        <v>ACTISALUD-CIRUGIA PEDIATRIA-MARIA AUXILIADORA PERTUZ</v>
      </c>
      <c r="F24378" s="5"/>
      <c r="G24378" s="5"/>
    </row>
    <row r="24379" spans="1:7" ht="58.5" customHeight="1" x14ac:dyDescent="0.25">
      <c r="A24379" s="5" t="str">
        <f>"H0026998"</f>
        <v>H0026998</v>
      </c>
      <c r="B24379" s="5" t="str">
        <f>"MUEBLE REPISERO FORMICA 0,70"</f>
        <v>MUEBLE REPISERO FORMICA 0,70</v>
      </c>
      <c r="C24379" s="6">
        <v>236215</v>
      </c>
      <c r="D24379" s="5" t="s">
        <v>655</v>
      </c>
      <c r="E24379" s="5" t="str">
        <f t="shared" si="1217"/>
        <v>ACTISALUD-CIRUGIA PEDIATRIA-MARIA AUXILIADORA PERTUZ</v>
      </c>
      <c r="F24379" s="5"/>
      <c r="G24379" s="5"/>
    </row>
    <row r="24380" spans="1:7" ht="58.5" customHeight="1" x14ac:dyDescent="0.25">
      <c r="A24380" s="5" t="str">
        <f>"H0026999"</f>
        <v>H0026999</v>
      </c>
      <c r="B24380" s="5" t="str">
        <f>"MUEBLE REPISERO FORMICA 0,70"</f>
        <v>MUEBLE REPISERO FORMICA 0,70</v>
      </c>
      <c r="C24380" s="6">
        <v>236215</v>
      </c>
      <c r="D24380" s="5" t="s">
        <v>655</v>
      </c>
      <c r="E24380" s="5" t="str">
        <f t="shared" si="1217"/>
        <v>ACTISALUD-CIRUGIA PEDIATRIA-MARIA AUXILIADORA PERTUZ</v>
      </c>
      <c r="F24380" s="5"/>
      <c r="G24380" s="5"/>
    </row>
    <row r="24381" spans="1:7" ht="58.5" customHeight="1" x14ac:dyDescent="0.25">
      <c r="A24381" s="5" t="str">
        <f>"H0027394"</f>
        <v>H0027394</v>
      </c>
      <c r="B24381" s="5" t="str">
        <f>"BASCULA MECANICA DE TRABAJO 180 KG"</f>
        <v>BASCULA MECANICA DE TRABAJO 180 KG</v>
      </c>
      <c r="C24381" s="6">
        <v>146667</v>
      </c>
      <c r="D24381" s="5" t="s">
        <v>947</v>
      </c>
      <c r="E24381" s="5" t="str">
        <f t="shared" si="1217"/>
        <v>ACTISALUD-CIRUGIA PEDIATRIA-MARIA AUXILIADORA PERTUZ</v>
      </c>
      <c r="F24381" s="5"/>
      <c r="G24381" s="5"/>
    </row>
    <row r="24382" spans="1:7" ht="58.5" customHeight="1" x14ac:dyDescent="0.25">
      <c r="A24382" s="5" t="str">
        <f>"H0027455"</f>
        <v>H0027455</v>
      </c>
      <c r="B24382" s="5" t="str">
        <f>"LECTOR DE HUELLAS DIGITALES"</f>
        <v>LECTOR DE HUELLAS DIGITALES</v>
      </c>
      <c r="C24382" s="6">
        <v>234000.41</v>
      </c>
      <c r="D24382" s="5" t="s">
        <v>83</v>
      </c>
      <c r="E24382" s="5" t="str">
        <f t="shared" si="1217"/>
        <v>ACTISALUD-CIRUGIA PEDIATRIA-MARIA AUXILIADORA PERTUZ</v>
      </c>
      <c r="F24382" s="5"/>
      <c r="G24382" s="5"/>
    </row>
    <row r="24383" spans="1:7" ht="58.5" customHeight="1" x14ac:dyDescent="0.25">
      <c r="A24383" s="5" t="str">
        <f>"H0027457"</f>
        <v>H0027457</v>
      </c>
      <c r="B24383" s="5" t="str">
        <f>"LECTOR DE HUELLAS DIGITALES"</f>
        <v>LECTOR DE HUELLAS DIGITALES</v>
      </c>
      <c r="C24383" s="6">
        <v>234000.41</v>
      </c>
      <c r="D24383" s="5" t="s">
        <v>83</v>
      </c>
      <c r="E24383" s="5" t="str">
        <f t="shared" si="1217"/>
        <v>ACTISALUD-CIRUGIA PEDIATRIA-MARIA AUXILIADORA PERTUZ</v>
      </c>
      <c r="F24383" s="5"/>
      <c r="G24383" s="5"/>
    </row>
    <row r="24384" spans="1:7" ht="58.5" customHeight="1" x14ac:dyDescent="0.25">
      <c r="A24384" s="5" t="str">
        <f>"H0027458"</f>
        <v>H0027458</v>
      </c>
      <c r="B24384" s="5" t="str">
        <f>"LECTOR DE HUELLAS DIGITALES"</f>
        <v>LECTOR DE HUELLAS DIGITALES</v>
      </c>
      <c r="C24384" s="6">
        <v>234000.41</v>
      </c>
      <c r="D24384" s="5" t="s">
        <v>83</v>
      </c>
      <c r="E24384" s="5" t="str">
        <f t="shared" si="1217"/>
        <v>ACTISALUD-CIRUGIA PEDIATRIA-MARIA AUXILIADORA PERTUZ</v>
      </c>
      <c r="F24384" s="5"/>
      <c r="G24384" s="5"/>
    </row>
    <row r="24385" spans="1:7" ht="58.5" customHeight="1" x14ac:dyDescent="0.25">
      <c r="A24385" s="5" t="str">
        <f>"H0027459"</f>
        <v>H0027459</v>
      </c>
      <c r="B24385" s="5" t="str">
        <f>"LECTOR DE HUELLAS DIGITALES"</f>
        <v>LECTOR DE HUELLAS DIGITALES</v>
      </c>
      <c r="C24385" s="6">
        <v>234000.41</v>
      </c>
      <c r="D24385" s="5" t="s">
        <v>83</v>
      </c>
      <c r="E24385" s="5" t="str">
        <f t="shared" si="1217"/>
        <v>ACTISALUD-CIRUGIA PEDIATRIA-MARIA AUXILIADORA PERTUZ</v>
      </c>
      <c r="F24385" s="5"/>
      <c r="G24385" s="5"/>
    </row>
    <row r="24386" spans="1:7" ht="58.5" customHeight="1" x14ac:dyDescent="0.25">
      <c r="A24386" s="5" t="str">
        <f>"H0027603"</f>
        <v>H0027603</v>
      </c>
      <c r="B24386" s="5" t="str">
        <f>"LARINGOSCOPIO ADULTO"</f>
        <v>LARINGOSCOPIO ADULTO</v>
      </c>
      <c r="C24386" s="6">
        <v>913920</v>
      </c>
      <c r="D24386" s="5" t="s">
        <v>84</v>
      </c>
      <c r="E24386" s="5" t="str">
        <f t="shared" si="1217"/>
        <v>ACTISALUD-CIRUGIA PEDIATRIA-MARIA AUXILIADORA PERTUZ</v>
      </c>
      <c r="F24386" s="5"/>
      <c r="G24386" s="5"/>
    </row>
    <row r="24387" spans="1:7" ht="58.5" customHeight="1" x14ac:dyDescent="0.25">
      <c r="A24387" s="5" t="str">
        <f>"H0028610"</f>
        <v>H0028610</v>
      </c>
      <c r="B24387" s="5" t="str">
        <f>"MÓDULO WIRELESS (CON 1 SIRENA 45W Y BATERÍA)"</f>
        <v>MÓDULO WIRELESS (CON 1 SIRENA 45W Y BATERÍA)</v>
      </c>
      <c r="C24387" s="6">
        <v>728280</v>
      </c>
      <c r="D24387" s="5" t="s">
        <v>87</v>
      </c>
      <c r="E24387" s="5" t="str">
        <f t="shared" si="1217"/>
        <v>ACTISALUD-CIRUGIA PEDIATRIA-MARIA AUXILIADORA PERTUZ</v>
      </c>
      <c r="F24387" s="5"/>
      <c r="G24387" s="5"/>
    </row>
    <row r="24388" spans="1:7" ht="58.5" customHeight="1" x14ac:dyDescent="0.25">
      <c r="A24388" s="5" t="str">
        <f>"H0028622"</f>
        <v>H0028622</v>
      </c>
      <c r="B24388" s="5" t="str">
        <f>"BALIZA ROTATIVA WIRELESS LUZ EMERGENCIA"</f>
        <v>BALIZA ROTATIVA WIRELESS LUZ EMERGENCIA</v>
      </c>
      <c r="C24388" s="6">
        <v>238000</v>
      </c>
      <c r="D24388" s="5" t="s">
        <v>87</v>
      </c>
      <c r="E24388" s="5" t="str">
        <f t="shared" si="1217"/>
        <v>ACTISALUD-CIRUGIA PEDIATRIA-MARIA AUXILIADORA PERTUZ</v>
      </c>
      <c r="F24388" s="5"/>
      <c r="G24388" s="5"/>
    </row>
    <row r="24389" spans="1:7" ht="58.5" customHeight="1" x14ac:dyDescent="0.25">
      <c r="A24389" s="5" t="str">
        <f>"H0028651"</f>
        <v>H0028651</v>
      </c>
      <c r="B24389" s="5" t="str">
        <f>"BOTÓN DE EMERGENCIA PÁNICO SOS FIJO WIRELESS"</f>
        <v>BOTÓN DE EMERGENCIA PÁNICO SOS FIJO WIRELESS</v>
      </c>
      <c r="C24389" s="6">
        <v>297500</v>
      </c>
      <c r="D24389" s="5" t="s">
        <v>87</v>
      </c>
      <c r="E24389" s="5" t="str">
        <f t="shared" si="1217"/>
        <v>ACTISALUD-CIRUGIA PEDIATRIA-MARIA AUXILIADORA PERTUZ</v>
      </c>
      <c r="F24389" s="5"/>
      <c r="G24389" s="5"/>
    </row>
    <row r="24390" spans="1:7" ht="58.5" customHeight="1" x14ac:dyDescent="0.25">
      <c r="A24390" s="5" t="str">
        <f>"H0028652"</f>
        <v>H0028652</v>
      </c>
      <c r="B24390" s="5" t="str">
        <f>"BOTÓN DE EMERGENCIA PÁNICO SOS FIJO WIRELESS"</f>
        <v>BOTÓN DE EMERGENCIA PÁNICO SOS FIJO WIRELESS</v>
      </c>
      <c r="C24390" s="6">
        <v>297500</v>
      </c>
      <c r="D24390" s="5" t="s">
        <v>87</v>
      </c>
      <c r="E24390" s="5" t="str">
        <f t="shared" si="1217"/>
        <v>ACTISALUD-CIRUGIA PEDIATRIA-MARIA AUXILIADORA PERTUZ</v>
      </c>
      <c r="F24390" s="5"/>
      <c r="G24390" s="5"/>
    </row>
    <row r="24391" spans="1:7" ht="58.5" customHeight="1" x14ac:dyDescent="0.25">
      <c r="A24391" s="5" t="str">
        <f>"H0028678"</f>
        <v>H0028678</v>
      </c>
      <c r="B24391" s="5" t="str">
        <f>"BOTÓN DE EMERGENCIA PÁNICO SOS MÓVIL WIRELESS"</f>
        <v>BOTÓN DE EMERGENCIA PÁNICO SOS MÓVIL WIRELESS</v>
      </c>
      <c r="C24391" s="6">
        <v>47600</v>
      </c>
      <c r="D24391" s="5" t="s">
        <v>87</v>
      </c>
      <c r="E24391" s="5" t="str">
        <f t="shared" si="1217"/>
        <v>ACTISALUD-CIRUGIA PEDIATRIA-MARIA AUXILIADORA PERTUZ</v>
      </c>
      <c r="F24391" s="5"/>
      <c r="G24391" s="5"/>
    </row>
    <row r="24392" spans="1:7" ht="58.5" customHeight="1" x14ac:dyDescent="0.25">
      <c r="A24392" s="5" t="str">
        <f>"H0028679"</f>
        <v>H0028679</v>
      </c>
      <c r="B24392" s="5" t="str">
        <f>"BOTÓN DE EMERGENCIA PÁNICO SOS MÓVIL WIRELESS"</f>
        <v>BOTÓN DE EMERGENCIA PÁNICO SOS MÓVIL WIRELESS</v>
      </c>
      <c r="C24392" s="6">
        <v>47600</v>
      </c>
      <c r="D24392" s="5" t="s">
        <v>87</v>
      </c>
      <c r="E24392" s="5" t="str">
        <f t="shared" si="1217"/>
        <v>ACTISALUD-CIRUGIA PEDIATRIA-MARIA AUXILIADORA PERTUZ</v>
      </c>
      <c r="F24392" s="5"/>
      <c r="G24392" s="5"/>
    </row>
    <row r="24393" spans="1:7" ht="58.5" customHeight="1" x14ac:dyDescent="0.25">
      <c r="A24393" s="5" t="str">
        <f>"H0028719"</f>
        <v>H0028719</v>
      </c>
      <c r="B24393" s="5" t="str">
        <f>"LÁMPARA RECARGABLE DE EMERGENCIA 60 BOMBILLOS LED LUZ BLANCA"</f>
        <v>LÁMPARA RECARGABLE DE EMERGENCIA 60 BOMBILLOS LED LUZ BLANCA</v>
      </c>
      <c r="C24393" s="6">
        <v>255850</v>
      </c>
      <c r="D24393" s="5" t="s">
        <v>87</v>
      </c>
      <c r="E24393" s="5" t="str">
        <f t="shared" si="1217"/>
        <v>ACTISALUD-CIRUGIA PEDIATRIA-MARIA AUXILIADORA PERTUZ</v>
      </c>
      <c r="F24393" s="5"/>
      <c r="G24393" s="5"/>
    </row>
    <row r="24394" spans="1:7" ht="58.5" customHeight="1" x14ac:dyDescent="0.25">
      <c r="A24394" s="5" t="str">
        <f>"H0028720"</f>
        <v>H0028720</v>
      </c>
      <c r="B24394" s="5" t="str">
        <f>"LÁMPARA RECARGABLE DE EMERGENCIA 60 BOMBILLOS LED LUZ BLANCA"</f>
        <v>LÁMPARA RECARGABLE DE EMERGENCIA 60 BOMBILLOS LED LUZ BLANCA</v>
      </c>
      <c r="C24394" s="6">
        <v>255850</v>
      </c>
      <c r="D24394" s="5" t="s">
        <v>87</v>
      </c>
      <c r="E24394" s="5" t="str">
        <f t="shared" si="1217"/>
        <v>ACTISALUD-CIRUGIA PEDIATRIA-MARIA AUXILIADORA PERTUZ</v>
      </c>
      <c r="F24394" s="5"/>
      <c r="G24394" s="5"/>
    </row>
    <row r="24395" spans="1:7" ht="58.5" customHeight="1" x14ac:dyDescent="0.25">
      <c r="A24395" s="5" t="str">
        <f>"H0029719"</f>
        <v>H0029719</v>
      </c>
      <c r="B24395" s="5" t="s">
        <v>94</v>
      </c>
      <c r="C24395" s="6">
        <v>148999.9</v>
      </c>
      <c r="D24395" s="5" t="s">
        <v>93</v>
      </c>
      <c r="E24395" s="5" t="str">
        <f t="shared" si="1217"/>
        <v>ACTISALUD-CIRUGIA PEDIATRIA-MARIA AUXILIADORA PERTUZ</v>
      </c>
      <c r="F24395" s="5"/>
      <c r="G24395" s="5"/>
    </row>
    <row r="24396" spans="1:7" ht="58.5" customHeight="1" x14ac:dyDescent="0.25">
      <c r="A24396" s="5" t="str">
        <f>"H0030226"</f>
        <v>H0030226</v>
      </c>
      <c r="B24396"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4396" s="6">
        <v>773500</v>
      </c>
      <c r="D24396" s="5" t="s">
        <v>154</v>
      </c>
      <c r="E24396" s="5" t="str">
        <f t="shared" si="1217"/>
        <v>ACTISALUD-CIRUGIA PEDIATRIA-MARIA AUXILIADORA PERTUZ</v>
      </c>
      <c r="F24396" s="5"/>
      <c r="G24396" s="5"/>
    </row>
    <row r="24397" spans="1:7" ht="58.5" customHeight="1" x14ac:dyDescent="0.25">
      <c r="A24397" s="5" t="str">
        <f>"H0030227"</f>
        <v>H0030227</v>
      </c>
      <c r="B24397" s="5" t="str">
        <f>"LOCKER DE 4 CUERPOS 12 PUERTAS, MEDIDAS DE 1,80 DE ALTO *1,20 DE ANCHO*0,35 DE FONDO, 4 CUERPOS Y 3 PUERTAS POR CUERPO, CON PORTACANDADO Y ORIFICIOS PARA VENTILACIÓN. FABRICADO EN LAMINA COLD ROLLED CALIBRE 22 CON ACABADOS PINTURA EN POLVO POR SISTEMAS EL"&amp; "ECTROSTÁTICO, COLOR BLANCO."</f>
        <v>LOCKER DE 4 CUERPOS 12 PUERTAS, MEDIDAS DE 1,80 DE ALTO *1,20 DE ANCHO*0,35 DE FONDO, 4 CUERPOS Y 3 PUERTAS POR CUERPO, CON PORTACANDADO Y ORIFICIOS PARA VENTILACIÓN. FABRICADO EN LAMINA COLD ROLLED CALIBRE 22 CON ACABADOS PINTURA EN POLVO POR SISTEMAS ELECTROSTÁTICO, COLOR BLANCO.</v>
      </c>
      <c r="C24397" s="6">
        <v>773500</v>
      </c>
      <c r="D24397" s="5" t="s">
        <v>154</v>
      </c>
      <c r="E24397" s="5" t="str">
        <f t="shared" si="1217"/>
        <v>ACTISALUD-CIRUGIA PEDIATRIA-MARIA AUXILIADORA PERTUZ</v>
      </c>
      <c r="F24397" s="5"/>
      <c r="G24397" s="5"/>
    </row>
    <row r="24398" spans="1:7" ht="58.5" customHeight="1" x14ac:dyDescent="0.25">
      <c r="A24398" s="5" t="str">
        <f>"H0032358"</f>
        <v>H0032358</v>
      </c>
      <c r="B24398" s="5" t="str">
        <f>"BOMBA JERINGA (DONACION)"</f>
        <v>BOMBA JERINGA (DONACION)</v>
      </c>
      <c r="C24398" s="6">
        <v>2300000</v>
      </c>
      <c r="D24398" s="5" t="s">
        <v>191</v>
      </c>
      <c r="E24398" s="5" t="str">
        <f t="shared" si="1217"/>
        <v>ACTISALUD-CIRUGIA PEDIATRIA-MARIA AUXILIADORA PERTUZ</v>
      </c>
      <c r="F24398" s="5"/>
      <c r="G24398" s="5"/>
    </row>
    <row r="24399" spans="1:7" ht="58.5" customHeight="1" x14ac:dyDescent="0.25">
      <c r="A24399" s="5" t="str">
        <f>"H0032359"</f>
        <v>H0032359</v>
      </c>
      <c r="B24399" s="5" t="str">
        <f>"BOMBA JERINGA (DONACION)"</f>
        <v>BOMBA JERINGA (DONACION)</v>
      </c>
      <c r="C24399" s="6">
        <v>2300000</v>
      </c>
      <c r="D24399" s="5" t="s">
        <v>191</v>
      </c>
      <c r="E24399" s="5" t="str">
        <f t="shared" si="1217"/>
        <v>ACTISALUD-CIRUGIA PEDIATRIA-MARIA AUXILIADORA PERTUZ</v>
      </c>
      <c r="F24399" s="5"/>
      <c r="G24399" s="5"/>
    </row>
    <row r="24400" spans="1:7" ht="58.5" customHeight="1" x14ac:dyDescent="0.25">
      <c r="A24400" s="5" t="str">
        <f>"H0032361"</f>
        <v>H0032361</v>
      </c>
      <c r="B24400" s="5" t="str">
        <f>"BOMBA JERINGA (DONACION)"</f>
        <v>BOMBA JERINGA (DONACION)</v>
      </c>
      <c r="C24400" s="6">
        <v>2300000</v>
      </c>
      <c r="D24400" s="5" t="s">
        <v>191</v>
      </c>
      <c r="E24400" s="5" t="str">
        <f t="shared" si="1217"/>
        <v>ACTISALUD-CIRUGIA PEDIATRIA-MARIA AUXILIADORA PERTUZ</v>
      </c>
      <c r="F24400" s="5"/>
      <c r="G24400" s="5"/>
    </row>
    <row r="24401" spans="1:7" ht="58.5" customHeight="1" x14ac:dyDescent="0.25">
      <c r="A24401" s="5" t="str">
        <f>"H0032646"</f>
        <v>H0032646</v>
      </c>
      <c r="B24401" s="5" t="str">
        <f>"DESFIBRILADOR (DONACION)"</f>
        <v>DESFIBRILADOR (DONACION)</v>
      </c>
      <c r="C24401" s="6">
        <v>1</v>
      </c>
      <c r="D24401" s="5" t="s">
        <v>114</v>
      </c>
      <c r="E24401" s="5" t="str">
        <f t="shared" si="1217"/>
        <v>ACTISALUD-CIRUGIA PEDIATRIA-MARIA AUXILIADORA PERTUZ</v>
      </c>
      <c r="F24401" s="5"/>
      <c r="G24401" s="5" t="str">
        <f>"BENEHEART03"</f>
        <v>BENEHEART03</v>
      </c>
    </row>
    <row r="24402" spans="1:7" ht="58.5" customHeight="1" x14ac:dyDescent="0.25">
      <c r="A24402" s="5" t="str">
        <f>"H0032679"</f>
        <v>H0032679</v>
      </c>
      <c r="B24402" s="5" t="str">
        <f>"CARRO DE PARO (DONACION)"</f>
        <v>CARRO DE PARO (DONACION)</v>
      </c>
      <c r="C24402" s="6">
        <v>1480000</v>
      </c>
      <c r="D24402" s="5" t="s">
        <v>115</v>
      </c>
      <c r="E24402" s="5" t="str">
        <f t="shared" si="1217"/>
        <v>ACTISALUD-CIRUGIA PEDIATRIA-MARIA AUXILIADORA PERTUZ</v>
      </c>
      <c r="F24402" s="5"/>
      <c r="G24402" s="5"/>
    </row>
    <row r="24403" spans="1:7" ht="58.5" customHeight="1" x14ac:dyDescent="0.25">
      <c r="A24403" s="5" t="str">
        <f>"H0033071"</f>
        <v>H0033071</v>
      </c>
      <c r="B24403" s="5" t="str">
        <f>"MONITOR DE SIGNOS VITALES"</f>
        <v>MONITOR DE SIGNOS VITALES</v>
      </c>
      <c r="C24403" s="6">
        <v>9470000</v>
      </c>
      <c r="D24403" s="5" t="s">
        <v>119</v>
      </c>
      <c r="E24403" s="5" t="str">
        <f t="shared" si="1217"/>
        <v>ACTISALUD-CIRUGIA PEDIATRIA-MARIA AUXILIADORA PERTUZ</v>
      </c>
      <c r="F24403" s="5"/>
      <c r="G24403" s="5"/>
    </row>
    <row r="24404" spans="1:7" ht="58.5" customHeight="1" x14ac:dyDescent="0.25">
      <c r="A24404" s="5" t="str">
        <f>"H0033257"</f>
        <v>H0033257</v>
      </c>
      <c r="B24404" s="5" t="str">
        <f>"MONITOR DE SIGNOS VITALES"</f>
        <v>MONITOR DE SIGNOS VITALES</v>
      </c>
      <c r="C24404" s="6">
        <v>9470000</v>
      </c>
      <c r="D24404" s="5" t="s">
        <v>119</v>
      </c>
      <c r="E24404" s="5" t="str">
        <f t="shared" si="1217"/>
        <v>ACTISALUD-CIRUGIA PEDIATRIA-MARIA AUXILIADORA PERTUZ</v>
      </c>
      <c r="F24404" s="5"/>
      <c r="G24404" s="5"/>
    </row>
    <row r="24405" spans="1:7" ht="58.5" customHeight="1" x14ac:dyDescent="0.25">
      <c r="A24405" s="5" t="str">
        <f>"H0033835"</f>
        <v>H0033835</v>
      </c>
      <c r="B24405" s="5" t="str">
        <f t="shared" ref="B24405:B24411" si="1219">"BOMBA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405" s="6">
        <v>2533333</v>
      </c>
      <c r="D24405" s="5" t="s">
        <v>120</v>
      </c>
      <c r="E24405" s="5" t="str">
        <f t="shared" si="1217"/>
        <v>ACTISALUD-CIRUGIA PEDIATRIA-MARIA AUXILIADORA PERTUZ</v>
      </c>
      <c r="F24405" s="5"/>
      <c r="G24405" s="5"/>
    </row>
    <row r="24406" spans="1:7" ht="58.5" customHeight="1" x14ac:dyDescent="0.25">
      <c r="A24406" s="5" t="str">
        <f>"H0033836"</f>
        <v>H0033836</v>
      </c>
      <c r="B24406" s="5" t="str">
        <f t="shared" si="1219"/>
        <v>BOMBA DE INFUSION. Apilables.5 modos. 01-1200 ml/h. 0.1 ml incr. Compatible con set de infusión genérico. anti-bolo. Detección de aire. Alarmas visuales audibles. Bitacora 1.000 reg. Batería de litio</v>
      </c>
      <c r="C24406" s="6">
        <v>2533333</v>
      </c>
      <c r="D24406" s="5" t="s">
        <v>120</v>
      </c>
      <c r="E24406" s="5" t="str">
        <f t="shared" si="1217"/>
        <v>ACTISALUD-CIRUGIA PEDIATRIA-MARIA AUXILIADORA PERTUZ</v>
      </c>
      <c r="F24406" s="5"/>
      <c r="G24406" s="5"/>
    </row>
    <row r="24407" spans="1:7" ht="58.5" customHeight="1" x14ac:dyDescent="0.25">
      <c r="A24407" s="5" t="str">
        <f>"H0033838"</f>
        <v>H0033838</v>
      </c>
      <c r="B24407" s="5" t="str">
        <f t="shared" si="1219"/>
        <v>BOMBA DE INFUSION. Apilables.5 modos. 01-1200 ml/h. 0.1 ml incr. Compatible con set de infusión genérico. anti-bolo. Detección de aire. Alarmas visuales audibles. Bitacora 1.000 reg. Batería de litio</v>
      </c>
      <c r="C24407" s="6">
        <v>2533333</v>
      </c>
      <c r="D24407" s="5" t="s">
        <v>120</v>
      </c>
      <c r="E24407" s="5" t="str">
        <f t="shared" si="1217"/>
        <v>ACTISALUD-CIRUGIA PEDIATRIA-MARIA AUXILIADORA PERTUZ</v>
      </c>
      <c r="F24407" s="5"/>
      <c r="G24407" s="5"/>
    </row>
    <row r="24408" spans="1:7" ht="58.5" customHeight="1" x14ac:dyDescent="0.25">
      <c r="A24408" s="5" t="str">
        <f>"H0033839"</f>
        <v>H0033839</v>
      </c>
      <c r="B24408" s="5" t="str">
        <f t="shared" si="1219"/>
        <v>BOMBA DE INFUSION. Apilables.5 modos. 01-1200 ml/h. 0.1 ml incr. Compatible con set de infusión genérico. anti-bolo. Detección de aire. Alarmas visuales audibles. Bitacora 1.000 reg. Batería de litio</v>
      </c>
      <c r="C24408" s="6">
        <v>2533333</v>
      </c>
      <c r="D24408" s="5" t="s">
        <v>120</v>
      </c>
      <c r="E24408" s="5" t="str">
        <f t="shared" si="1217"/>
        <v>ACTISALUD-CIRUGIA PEDIATRIA-MARIA AUXILIADORA PERTUZ</v>
      </c>
      <c r="F24408" s="5"/>
      <c r="G24408" s="5"/>
    </row>
    <row r="24409" spans="1:7" ht="58.5" customHeight="1" x14ac:dyDescent="0.25">
      <c r="A24409" s="5" t="str">
        <f>"H0033840"</f>
        <v>H0033840</v>
      </c>
      <c r="B24409" s="5" t="str">
        <f t="shared" si="1219"/>
        <v>BOMBA DE INFUSION. Apilables.5 modos. 01-1200 ml/h. 0.1 ml incr. Compatible con set de infusión genérico. anti-bolo. Detección de aire. Alarmas visuales audibles. Bitacora 1.000 reg. Batería de litio</v>
      </c>
      <c r="C24409" s="6">
        <v>2533333</v>
      </c>
      <c r="D24409" s="5" t="s">
        <v>120</v>
      </c>
      <c r="E24409" s="5" t="str">
        <f t="shared" si="1217"/>
        <v>ACTISALUD-CIRUGIA PEDIATRIA-MARIA AUXILIADORA PERTUZ</v>
      </c>
      <c r="F24409" s="5"/>
      <c r="G24409" s="5"/>
    </row>
    <row r="24410" spans="1:7" ht="58.5" customHeight="1" x14ac:dyDescent="0.25">
      <c r="A24410" s="5" t="str">
        <f>"H0033843"</f>
        <v>H0033843</v>
      </c>
      <c r="B24410" s="5" t="str">
        <f t="shared" si="1219"/>
        <v>BOMBA DE INFUSION. Apilables.5 modos. 01-1200 ml/h. 0.1 ml incr. Compatible con set de infusión genérico. anti-bolo. Detección de aire. Alarmas visuales audibles. Bitacora 1.000 reg. Batería de litio</v>
      </c>
      <c r="C24410" s="6">
        <v>2533333</v>
      </c>
      <c r="D24410" s="5" t="s">
        <v>120</v>
      </c>
      <c r="E24410" s="5" t="str">
        <f t="shared" si="1217"/>
        <v>ACTISALUD-CIRUGIA PEDIATRIA-MARIA AUXILIADORA PERTUZ</v>
      </c>
      <c r="F24410" s="5"/>
      <c r="G24410" s="5"/>
    </row>
    <row r="24411" spans="1:7" ht="58.5" customHeight="1" x14ac:dyDescent="0.25">
      <c r="A24411" s="5" t="str">
        <f>"H0033844"</f>
        <v>H0033844</v>
      </c>
      <c r="B24411" s="5" t="str">
        <f t="shared" si="1219"/>
        <v>BOMBA DE INFUSION. Apilables.5 modos. 01-1200 ml/h. 0.1 ml incr. Compatible con set de infusión genérico. anti-bolo. Detección de aire. Alarmas visuales audibles. Bitacora 1.000 reg. Batería de litio</v>
      </c>
      <c r="C24411" s="6">
        <v>2533333</v>
      </c>
      <c r="D24411" s="5" t="s">
        <v>120</v>
      </c>
      <c r="E24411" s="5" t="str">
        <f t="shared" si="1217"/>
        <v>ACTISALUD-CIRUGIA PEDIATRIA-MARIA AUXILIADORA PERTUZ</v>
      </c>
      <c r="F24411" s="5"/>
      <c r="G24411" s="5"/>
    </row>
    <row r="24412" spans="1:7" ht="58.5" customHeight="1" x14ac:dyDescent="0.25">
      <c r="A24412" s="5" t="str">
        <f>"H0034594"</f>
        <v>H0034594</v>
      </c>
      <c r="B24412" s="5" t="str">
        <f>"BALANZA (PESO) DIGITAL (GRAMERA)"</f>
        <v>BALANZA (PESO) DIGITAL (GRAMERA)</v>
      </c>
      <c r="C24412" s="6">
        <v>120000.01</v>
      </c>
      <c r="D24412" s="5" t="s">
        <v>234</v>
      </c>
      <c r="E24412" s="5" t="str">
        <f t="shared" ref="E24412:E24475" si="1220">"ACTISALUD-CIRUGIA PEDIATRIA-MARIA AUXILIADORA PERTUZ"</f>
        <v>ACTISALUD-CIRUGIA PEDIATRIA-MARIA AUXILIADORA PERTUZ</v>
      </c>
      <c r="F24412" s="5"/>
      <c r="G24412" s="5"/>
    </row>
    <row r="24413" spans="1:7" ht="58.5" customHeight="1" x14ac:dyDescent="0.25">
      <c r="A24413" s="5" t="str">
        <f>"H0035098"</f>
        <v>H0035098</v>
      </c>
      <c r="B24413" s="5" t="str">
        <f t="shared" ref="B24413:B24419" si="1221">"VENTILADOR DE PARED"</f>
        <v>VENTILADOR DE PARED</v>
      </c>
      <c r="C24413" s="6">
        <v>130000.37</v>
      </c>
      <c r="D24413" s="5" t="s">
        <v>25</v>
      </c>
      <c r="E24413" s="5" t="str">
        <f t="shared" si="1220"/>
        <v>ACTISALUD-CIRUGIA PEDIATRIA-MARIA AUXILIADORA PERTUZ</v>
      </c>
      <c r="F24413" s="5"/>
      <c r="G24413" s="5"/>
    </row>
    <row r="24414" spans="1:7" ht="58.5" customHeight="1" x14ac:dyDescent="0.25">
      <c r="A24414" s="5" t="str">
        <f>"H0035099"</f>
        <v>H0035099</v>
      </c>
      <c r="B24414" s="5" t="str">
        <f t="shared" si="1221"/>
        <v>VENTILADOR DE PARED</v>
      </c>
      <c r="C24414" s="6">
        <v>130000.37</v>
      </c>
      <c r="D24414" s="5" t="s">
        <v>25</v>
      </c>
      <c r="E24414" s="5" t="str">
        <f t="shared" si="1220"/>
        <v>ACTISALUD-CIRUGIA PEDIATRIA-MARIA AUXILIADORA PERTUZ</v>
      </c>
      <c r="F24414" s="5"/>
      <c r="G24414" s="5"/>
    </row>
    <row r="24415" spans="1:7" ht="58.5" customHeight="1" x14ac:dyDescent="0.25">
      <c r="A24415" s="5" t="str">
        <f>"H0036394"</f>
        <v>H0036394</v>
      </c>
      <c r="B24415" s="5" t="str">
        <f t="shared" si="1221"/>
        <v>VENTILADOR DE PARED</v>
      </c>
      <c r="C24415" s="6">
        <v>295260</v>
      </c>
      <c r="D24415" s="5" t="s">
        <v>131</v>
      </c>
      <c r="E24415" s="5" t="str">
        <f t="shared" si="1220"/>
        <v>ACTISALUD-CIRUGIA PEDIATRIA-MARIA AUXILIADORA PERTUZ</v>
      </c>
      <c r="F24415" s="5"/>
      <c r="G24415" s="5"/>
    </row>
    <row r="24416" spans="1:7" ht="58.5" customHeight="1" x14ac:dyDescent="0.25">
      <c r="A24416" s="5" t="str">
        <f>"H0036395"</f>
        <v>H0036395</v>
      </c>
      <c r="B24416" s="5" t="str">
        <f t="shared" si="1221"/>
        <v>VENTILADOR DE PARED</v>
      </c>
      <c r="C24416" s="6">
        <v>295260</v>
      </c>
      <c r="D24416" s="5" t="s">
        <v>131</v>
      </c>
      <c r="E24416" s="5" t="str">
        <f t="shared" si="1220"/>
        <v>ACTISALUD-CIRUGIA PEDIATRIA-MARIA AUXILIADORA PERTUZ</v>
      </c>
      <c r="F24416" s="5"/>
      <c r="G24416" s="5"/>
    </row>
    <row r="24417" spans="1:7" ht="58.5" customHeight="1" x14ac:dyDescent="0.25">
      <c r="A24417" s="5" t="str">
        <f>"H0036396"</f>
        <v>H0036396</v>
      </c>
      <c r="B24417" s="5" t="str">
        <f t="shared" si="1221"/>
        <v>VENTILADOR DE PARED</v>
      </c>
      <c r="C24417" s="6">
        <v>295260</v>
      </c>
      <c r="D24417" s="5" t="s">
        <v>131</v>
      </c>
      <c r="E24417" s="5" t="str">
        <f t="shared" si="1220"/>
        <v>ACTISALUD-CIRUGIA PEDIATRIA-MARIA AUXILIADORA PERTUZ</v>
      </c>
      <c r="F24417" s="5"/>
      <c r="G24417" s="5"/>
    </row>
    <row r="24418" spans="1:7" ht="58.5" customHeight="1" x14ac:dyDescent="0.25">
      <c r="A24418" s="5" t="str">
        <f>"H0036397"</f>
        <v>H0036397</v>
      </c>
      <c r="B24418" s="5" t="str">
        <f t="shared" si="1221"/>
        <v>VENTILADOR DE PARED</v>
      </c>
      <c r="C24418" s="6">
        <v>295260</v>
      </c>
      <c r="D24418" s="5" t="s">
        <v>131</v>
      </c>
      <c r="E24418" s="5" t="str">
        <f t="shared" si="1220"/>
        <v>ACTISALUD-CIRUGIA PEDIATRIA-MARIA AUXILIADORA PERTUZ</v>
      </c>
      <c r="F24418" s="5"/>
      <c r="G24418" s="5"/>
    </row>
    <row r="24419" spans="1:7" ht="58.5" customHeight="1" x14ac:dyDescent="0.25">
      <c r="A24419" s="5" t="str">
        <f>"H0036398"</f>
        <v>H0036398</v>
      </c>
      <c r="B24419" s="5" t="str">
        <f t="shared" si="1221"/>
        <v>VENTILADOR DE PARED</v>
      </c>
      <c r="C24419" s="6">
        <v>295260</v>
      </c>
      <c r="D24419" s="5" t="s">
        <v>131</v>
      </c>
      <c r="E24419" s="5" t="str">
        <f t="shared" si="1220"/>
        <v>ACTISALUD-CIRUGIA PEDIATRIA-MARIA AUXILIADORA PERTUZ</v>
      </c>
      <c r="F24419" s="5"/>
      <c r="G24419" s="5"/>
    </row>
    <row r="24420" spans="1:7" ht="58.5" customHeight="1" x14ac:dyDescent="0.25">
      <c r="A24420" s="5" t="str">
        <f>"H0036403"</f>
        <v>H0036403</v>
      </c>
      <c r="B24420" s="5" t="str">
        <f>"VENTILADOR DE PEDESTAL"</f>
        <v>VENTILADOR DE PEDESTAL</v>
      </c>
      <c r="C24420" s="6">
        <v>358260</v>
      </c>
      <c r="D24420" s="5" t="s">
        <v>131</v>
      </c>
      <c r="E24420" s="5" t="str">
        <f t="shared" si="1220"/>
        <v>ACTISALUD-CIRUGIA PEDIATRIA-MARIA AUXILIADORA PERTUZ</v>
      </c>
      <c r="F24420" s="5"/>
      <c r="G24420" s="5"/>
    </row>
    <row r="24421" spans="1:7" ht="58.5" customHeight="1" x14ac:dyDescent="0.25">
      <c r="A24421" s="5" t="str">
        <f>"H0036432"</f>
        <v>H0036432</v>
      </c>
      <c r="B24421" s="5" t="str">
        <f>"VENTILADOR DE PARED"</f>
        <v>VENTILADOR DE PARED</v>
      </c>
      <c r="C24421" s="6">
        <v>295260</v>
      </c>
      <c r="D24421" s="5" t="s">
        <v>131</v>
      </c>
      <c r="E24421" s="5" t="str">
        <f t="shared" si="1220"/>
        <v>ACTISALUD-CIRUGIA PEDIATRIA-MARIA AUXILIADORA PERTUZ</v>
      </c>
      <c r="F24421" s="5"/>
      <c r="G24421" s="5"/>
    </row>
    <row r="24422" spans="1:7" ht="58.5" customHeight="1" x14ac:dyDescent="0.25">
      <c r="A24422" s="5" t="str">
        <f>"H0036436"</f>
        <v>H0036436</v>
      </c>
      <c r="B24422" s="5" t="str">
        <f>"VENTILADOR DE PARED"</f>
        <v>VENTILADOR DE PARED</v>
      </c>
      <c r="C24422" s="6">
        <v>295260</v>
      </c>
      <c r="D24422" s="5" t="s">
        <v>131</v>
      </c>
      <c r="E24422" s="5" t="str">
        <f t="shared" si="1220"/>
        <v>ACTISALUD-CIRUGIA PEDIATRIA-MARIA AUXILIADORA PERTUZ</v>
      </c>
      <c r="F24422" s="5"/>
      <c r="G24422" s="5"/>
    </row>
    <row r="24423" spans="1:7" ht="58.5" customHeight="1" x14ac:dyDescent="0.25">
      <c r="A24423" s="5" t="str">
        <f>"H0036482"</f>
        <v>H0036482</v>
      </c>
      <c r="B24423" s="5" t="str">
        <f>"BASCULA"</f>
        <v>BASCULA</v>
      </c>
      <c r="C24423" s="6">
        <v>980000</v>
      </c>
      <c r="D24423" s="5" t="s">
        <v>616</v>
      </c>
      <c r="E24423" s="5" t="str">
        <f t="shared" si="1220"/>
        <v>ACTISALUD-CIRUGIA PEDIATRIA-MARIA AUXILIADORA PERTUZ</v>
      </c>
      <c r="F24423" s="5"/>
      <c r="G24423" s="5"/>
    </row>
    <row r="24424" spans="1:7" ht="58.5" customHeight="1" x14ac:dyDescent="0.25">
      <c r="A24424" s="5" t="str">
        <f>"H0036505"</f>
        <v>H0036505</v>
      </c>
      <c r="B24424" s="5" t="str">
        <f>"ASPIRADOR DE SECRECIONES"</f>
        <v>ASPIRADOR DE SECRECIONES</v>
      </c>
      <c r="C24424" s="6">
        <v>645000</v>
      </c>
      <c r="D24424" s="5" t="s">
        <v>132</v>
      </c>
      <c r="E24424" s="5" t="str">
        <f t="shared" si="1220"/>
        <v>ACTISALUD-CIRUGIA PEDIATRIA-MARIA AUXILIADORA PERTUZ</v>
      </c>
      <c r="F24424" s="5"/>
      <c r="G24424" s="5"/>
    </row>
    <row r="24425" spans="1:7" ht="58.5" customHeight="1" x14ac:dyDescent="0.25">
      <c r="A24425" s="5" t="str">
        <f>"H0036548"</f>
        <v>H0036548</v>
      </c>
      <c r="B24425"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4425" s="6">
        <v>6307000</v>
      </c>
      <c r="D24425" s="5" t="s">
        <v>48</v>
      </c>
      <c r="E24425" s="5" t="str">
        <f t="shared" si="1220"/>
        <v>ACTISALUD-CIRUGIA PEDIATRIA-MARIA AUXILIADORA PERTUZ</v>
      </c>
      <c r="F24425" s="5"/>
      <c r="G24425" s="5" t="str">
        <f>"VZ4680G"</f>
        <v>VZ4680G</v>
      </c>
    </row>
    <row r="24426" spans="1:7" ht="58.5" customHeight="1" x14ac:dyDescent="0.25">
      <c r="A24426" s="5" t="str">
        <f>"H0037096"</f>
        <v>H0037096</v>
      </c>
      <c r="B24426" s="5" t="str">
        <f>"INFANTOMETRO"</f>
        <v>INFANTOMETRO</v>
      </c>
      <c r="C24426" s="6">
        <v>1191337.03</v>
      </c>
      <c r="D24426" s="5" t="s">
        <v>136</v>
      </c>
      <c r="E24426" s="5" t="str">
        <f t="shared" si="1220"/>
        <v>ACTISALUD-CIRUGIA PEDIATRIA-MARIA AUXILIADORA PERTUZ</v>
      </c>
      <c r="F24426" s="5"/>
      <c r="G24426" s="5"/>
    </row>
    <row r="24427" spans="1:7" ht="58.5" customHeight="1" x14ac:dyDescent="0.25">
      <c r="A24427" s="5" t="str">
        <f>"H0037109"</f>
        <v>H0037109</v>
      </c>
      <c r="B24427" s="5" t="str">
        <f>"BASCULA PESA BEBE MARCA SECA MODELO 374"</f>
        <v>BASCULA PESA BEBE MARCA SECA MODELO 374</v>
      </c>
      <c r="C24427" s="6">
        <v>3971069.02</v>
      </c>
      <c r="D24427" s="5" t="s">
        <v>136</v>
      </c>
      <c r="E24427" s="5" t="str">
        <f t="shared" si="1220"/>
        <v>ACTISALUD-CIRUGIA PEDIATRIA-MARIA AUXILIADORA PERTUZ</v>
      </c>
      <c r="F24427" s="5"/>
      <c r="G24427" s="5"/>
    </row>
    <row r="24428" spans="1:7" ht="58.5" customHeight="1" x14ac:dyDescent="0.25">
      <c r="A24428" s="5" t="str">
        <f>"H0037151"</f>
        <v>H0037151</v>
      </c>
      <c r="B24428" s="5" t="str">
        <f>"TALLIMETRO CAPACIDAD 20-205 CM (DONACION)"</f>
        <v>TALLIMETRO CAPACIDAD 20-205 CM (DONACION)</v>
      </c>
      <c r="C24428" s="6">
        <v>1254705.99</v>
      </c>
      <c r="D24428" s="5" t="s">
        <v>136</v>
      </c>
      <c r="E24428" s="5" t="str">
        <f t="shared" si="1220"/>
        <v>ACTISALUD-CIRUGIA PEDIATRIA-MARIA AUXILIADORA PERTUZ</v>
      </c>
      <c r="F24428" s="5"/>
      <c r="G24428" s="5"/>
    </row>
    <row r="24429" spans="1:7" ht="58.5" customHeight="1" x14ac:dyDescent="0.25">
      <c r="A24429" s="5" t="str">
        <f>"H0037171"</f>
        <v>H0037171</v>
      </c>
      <c r="B24429" s="5" t="str">
        <f>"BASCULA ADULTO"</f>
        <v>BASCULA ADULTO</v>
      </c>
      <c r="C24429" s="6">
        <v>3588385.98</v>
      </c>
      <c r="D24429" s="5" t="s">
        <v>136</v>
      </c>
      <c r="E24429" s="5" t="str">
        <f t="shared" si="1220"/>
        <v>ACTISALUD-CIRUGIA PEDIATRIA-MARIA AUXILIADORA PERTUZ</v>
      </c>
      <c r="F24429" s="5"/>
      <c r="G24429" s="5"/>
    </row>
    <row r="24430" spans="1:7" ht="58.5" customHeight="1" x14ac:dyDescent="0.25">
      <c r="A24430" s="5" t="str">
        <f>"H0037377"</f>
        <v>H0037377</v>
      </c>
      <c r="B24430" s="5" t="str">
        <f t="shared" ref="B24430:B24442" si="1222">"VENTILADOR DE PARED"</f>
        <v>VENTILADOR DE PARED</v>
      </c>
      <c r="C24430" s="6">
        <v>286671</v>
      </c>
      <c r="D24430" s="5" t="s">
        <v>138</v>
      </c>
      <c r="E24430" s="5" t="str">
        <f t="shared" si="1220"/>
        <v>ACTISALUD-CIRUGIA PEDIATRIA-MARIA AUXILIADORA PERTUZ</v>
      </c>
      <c r="F24430" s="5"/>
      <c r="G24430" s="5"/>
    </row>
    <row r="24431" spans="1:7" ht="58.5" customHeight="1" x14ac:dyDescent="0.25">
      <c r="A24431" s="5" t="str">
        <f>"H0037378"</f>
        <v>H0037378</v>
      </c>
      <c r="B24431" s="5" t="str">
        <f t="shared" si="1222"/>
        <v>VENTILADOR DE PARED</v>
      </c>
      <c r="C24431" s="6">
        <v>286671</v>
      </c>
      <c r="D24431" s="5" t="s">
        <v>138</v>
      </c>
      <c r="E24431" s="5" t="str">
        <f t="shared" si="1220"/>
        <v>ACTISALUD-CIRUGIA PEDIATRIA-MARIA AUXILIADORA PERTUZ</v>
      </c>
      <c r="F24431" s="5"/>
      <c r="G24431" s="5"/>
    </row>
    <row r="24432" spans="1:7" ht="58.5" customHeight="1" x14ac:dyDescent="0.25">
      <c r="A24432" s="5" t="str">
        <f>"H0037379"</f>
        <v>H0037379</v>
      </c>
      <c r="B24432" s="5" t="str">
        <f t="shared" si="1222"/>
        <v>VENTILADOR DE PARED</v>
      </c>
      <c r="C24432" s="6">
        <v>286671</v>
      </c>
      <c r="D24432" s="5" t="s">
        <v>138</v>
      </c>
      <c r="E24432" s="5" t="str">
        <f t="shared" si="1220"/>
        <v>ACTISALUD-CIRUGIA PEDIATRIA-MARIA AUXILIADORA PERTUZ</v>
      </c>
      <c r="F24432" s="5"/>
      <c r="G24432" s="5"/>
    </row>
    <row r="24433" spans="1:7" ht="58.5" customHeight="1" x14ac:dyDescent="0.25">
      <c r="A24433" s="5" t="str">
        <f>"H0037380"</f>
        <v>H0037380</v>
      </c>
      <c r="B24433" s="5" t="str">
        <f t="shared" si="1222"/>
        <v>VENTILADOR DE PARED</v>
      </c>
      <c r="C24433" s="6">
        <v>286671</v>
      </c>
      <c r="D24433" s="5" t="s">
        <v>138</v>
      </c>
      <c r="E24433" s="5" t="str">
        <f t="shared" si="1220"/>
        <v>ACTISALUD-CIRUGIA PEDIATRIA-MARIA AUXILIADORA PERTUZ</v>
      </c>
      <c r="F24433" s="5"/>
      <c r="G24433" s="5"/>
    </row>
    <row r="24434" spans="1:7" ht="58.5" customHeight="1" x14ac:dyDescent="0.25">
      <c r="A24434" s="5" t="str">
        <f>"H0037381"</f>
        <v>H0037381</v>
      </c>
      <c r="B24434" s="5" t="str">
        <f t="shared" si="1222"/>
        <v>VENTILADOR DE PARED</v>
      </c>
      <c r="C24434" s="6">
        <v>286671</v>
      </c>
      <c r="D24434" s="5" t="s">
        <v>138</v>
      </c>
      <c r="E24434" s="5" t="str">
        <f t="shared" si="1220"/>
        <v>ACTISALUD-CIRUGIA PEDIATRIA-MARIA AUXILIADORA PERTUZ</v>
      </c>
      <c r="F24434" s="5"/>
      <c r="G24434" s="5"/>
    </row>
    <row r="24435" spans="1:7" ht="58.5" customHeight="1" x14ac:dyDescent="0.25">
      <c r="A24435" s="5" t="str">
        <f>"H0037382"</f>
        <v>H0037382</v>
      </c>
      <c r="B24435" s="5" t="str">
        <f t="shared" si="1222"/>
        <v>VENTILADOR DE PARED</v>
      </c>
      <c r="C24435" s="6">
        <v>286671</v>
      </c>
      <c r="D24435" s="5" t="s">
        <v>138</v>
      </c>
      <c r="E24435" s="5" t="str">
        <f t="shared" si="1220"/>
        <v>ACTISALUD-CIRUGIA PEDIATRIA-MARIA AUXILIADORA PERTUZ</v>
      </c>
      <c r="F24435" s="5"/>
      <c r="G24435" s="5"/>
    </row>
    <row r="24436" spans="1:7" ht="58.5" customHeight="1" x14ac:dyDescent="0.25">
      <c r="A24436" s="5" t="str">
        <f>"H0037384"</f>
        <v>H0037384</v>
      </c>
      <c r="B24436" s="5" t="str">
        <f t="shared" si="1222"/>
        <v>VENTILADOR DE PARED</v>
      </c>
      <c r="C24436" s="6">
        <v>286671</v>
      </c>
      <c r="D24436" s="5" t="s">
        <v>138</v>
      </c>
      <c r="E24436" s="5" t="str">
        <f t="shared" si="1220"/>
        <v>ACTISALUD-CIRUGIA PEDIATRIA-MARIA AUXILIADORA PERTUZ</v>
      </c>
      <c r="F24436" s="5"/>
      <c r="G24436" s="5"/>
    </row>
    <row r="24437" spans="1:7" ht="58.5" customHeight="1" x14ac:dyDescent="0.25">
      <c r="A24437" s="5" t="str">
        <f>"H0037385"</f>
        <v>H0037385</v>
      </c>
      <c r="B24437" s="5" t="str">
        <f t="shared" si="1222"/>
        <v>VENTILADOR DE PARED</v>
      </c>
      <c r="C24437" s="6">
        <v>286671</v>
      </c>
      <c r="D24437" s="5" t="s">
        <v>138</v>
      </c>
      <c r="E24437" s="5" t="str">
        <f t="shared" si="1220"/>
        <v>ACTISALUD-CIRUGIA PEDIATRIA-MARIA AUXILIADORA PERTUZ</v>
      </c>
      <c r="F24437" s="5"/>
      <c r="G24437" s="5"/>
    </row>
    <row r="24438" spans="1:7" ht="58.5" customHeight="1" x14ac:dyDescent="0.25">
      <c r="A24438" s="5" t="str">
        <f>"H0037386"</f>
        <v>H0037386</v>
      </c>
      <c r="B24438" s="5" t="str">
        <f t="shared" si="1222"/>
        <v>VENTILADOR DE PARED</v>
      </c>
      <c r="C24438" s="6">
        <v>286671</v>
      </c>
      <c r="D24438" s="5" t="s">
        <v>138</v>
      </c>
      <c r="E24438" s="5" t="str">
        <f t="shared" si="1220"/>
        <v>ACTISALUD-CIRUGIA PEDIATRIA-MARIA AUXILIADORA PERTUZ</v>
      </c>
      <c r="F24438" s="5"/>
      <c r="G24438" s="5"/>
    </row>
    <row r="24439" spans="1:7" ht="58.5" customHeight="1" x14ac:dyDescent="0.25">
      <c r="A24439" s="5" t="str">
        <f>"H0037387"</f>
        <v>H0037387</v>
      </c>
      <c r="B24439" s="5" t="str">
        <f t="shared" si="1222"/>
        <v>VENTILADOR DE PARED</v>
      </c>
      <c r="C24439" s="6">
        <v>286671</v>
      </c>
      <c r="D24439" s="5" t="s">
        <v>138</v>
      </c>
      <c r="E24439" s="5" t="str">
        <f t="shared" si="1220"/>
        <v>ACTISALUD-CIRUGIA PEDIATRIA-MARIA AUXILIADORA PERTUZ</v>
      </c>
      <c r="F24439" s="5"/>
      <c r="G24439" s="5"/>
    </row>
    <row r="24440" spans="1:7" ht="58.5" customHeight="1" x14ac:dyDescent="0.25">
      <c r="A24440" s="5" t="str">
        <f>"H0037388"</f>
        <v>H0037388</v>
      </c>
      <c r="B24440" s="5" t="str">
        <f t="shared" si="1222"/>
        <v>VENTILADOR DE PARED</v>
      </c>
      <c r="C24440" s="6">
        <v>286671</v>
      </c>
      <c r="D24440" s="5" t="s">
        <v>138</v>
      </c>
      <c r="E24440" s="5" t="str">
        <f t="shared" si="1220"/>
        <v>ACTISALUD-CIRUGIA PEDIATRIA-MARIA AUXILIADORA PERTUZ</v>
      </c>
      <c r="F24440" s="5"/>
      <c r="G24440" s="5"/>
    </row>
    <row r="24441" spans="1:7" ht="58.5" customHeight="1" x14ac:dyDescent="0.25">
      <c r="A24441" s="5" t="str">
        <f>"H0037511"</f>
        <v>H0037511</v>
      </c>
      <c r="B24441" s="5" t="str">
        <f t="shared" si="1222"/>
        <v>VENTILADOR DE PARED</v>
      </c>
      <c r="C24441" s="6">
        <v>286671</v>
      </c>
      <c r="D24441" s="5" t="s">
        <v>139</v>
      </c>
      <c r="E24441" s="5" t="str">
        <f t="shared" si="1220"/>
        <v>ACTISALUD-CIRUGIA PEDIATRIA-MARIA AUXILIADORA PERTUZ</v>
      </c>
      <c r="F24441" s="5"/>
      <c r="G24441" s="5"/>
    </row>
    <row r="24442" spans="1:7" ht="58.5" customHeight="1" x14ac:dyDescent="0.25">
      <c r="A24442" s="5" t="str">
        <f>"H0037512"</f>
        <v>H0037512</v>
      </c>
      <c r="B24442" s="5" t="str">
        <f t="shared" si="1222"/>
        <v>VENTILADOR DE PARED</v>
      </c>
      <c r="C24442" s="6">
        <v>286671</v>
      </c>
      <c r="D24442" s="5" t="s">
        <v>139</v>
      </c>
      <c r="E24442" s="5" t="str">
        <f t="shared" si="1220"/>
        <v>ACTISALUD-CIRUGIA PEDIATRIA-MARIA AUXILIADORA PERTUZ</v>
      </c>
      <c r="F24442" s="5"/>
      <c r="G24442" s="5"/>
    </row>
    <row r="24443" spans="1:7" ht="58.5" customHeight="1" x14ac:dyDescent="0.25">
      <c r="A24443" s="5" t="str">
        <f>"H0037811"</f>
        <v>H0037811</v>
      </c>
      <c r="B24443" s="5" t="str">
        <f>"SILLA GERENTE NIZA MEC. BASCULANTE CON BRAZOS."</f>
        <v>SILLA GERENTE NIZA MEC. BASCULANTE CON BRAZOS.</v>
      </c>
      <c r="C24443" s="6">
        <v>710000.01</v>
      </c>
      <c r="D24443" s="5" t="s">
        <v>30</v>
      </c>
      <c r="E24443" s="5" t="str">
        <f t="shared" si="1220"/>
        <v>ACTISALUD-CIRUGIA PEDIATRIA-MARIA AUXILIADORA PERTUZ</v>
      </c>
      <c r="F24443" s="5"/>
      <c r="G24443" s="5"/>
    </row>
    <row r="24444" spans="1:7" ht="58.5" customHeight="1" x14ac:dyDescent="0.25">
      <c r="A24444" s="5" t="str">
        <f>"H0037812"</f>
        <v>H0037812</v>
      </c>
      <c r="B24444" s="5" t="str">
        <f>"SILLA GERENTE NIZA MEC. BASCULANTE CON BRAZOS."</f>
        <v>SILLA GERENTE NIZA MEC. BASCULANTE CON BRAZOS.</v>
      </c>
      <c r="C24444" s="6">
        <v>710000.01</v>
      </c>
      <c r="D24444" s="5" t="s">
        <v>30</v>
      </c>
      <c r="E24444" s="5" t="str">
        <f t="shared" si="1220"/>
        <v>ACTISALUD-CIRUGIA PEDIATRIA-MARIA AUXILIADORA PERTUZ</v>
      </c>
      <c r="F24444" s="5"/>
      <c r="G24444" s="5"/>
    </row>
    <row r="24445" spans="1:7" ht="58.5" customHeight="1" x14ac:dyDescent="0.25">
      <c r="A24445" s="5" t="str">
        <f>"H0037813"</f>
        <v>H0037813</v>
      </c>
      <c r="B24445" s="5" t="str">
        <f>"SILLA GERENTE NIZA MEC. BASCULANTE CON BRAZOS."</f>
        <v>SILLA GERENTE NIZA MEC. BASCULANTE CON BRAZOS.</v>
      </c>
      <c r="C24445" s="6">
        <v>710000.01</v>
      </c>
      <c r="D24445" s="5" t="s">
        <v>30</v>
      </c>
      <c r="E24445" s="5" t="str">
        <f t="shared" si="1220"/>
        <v>ACTISALUD-CIRUGIA PEDIATRIA-MARIA AUXILIADORA PERTUZ</v>
      </c>
      <c r="F24445" s="5"/>
      <c r="G24445" s="5"/>
    </row>
    <row r="24446" spans="1:7" ht="58.5" customHeight="1" x14ac:dyDescent="0.25">
      <c r="A24446" s="5" t="str">
        <f>"H0037814"</f>
        <v>H0037814</v>
      </c>
      <c r="B24446" s="5" t="str">
        <f>"SILLA GERENTE NIZA MEC. BASCULANTE CON BRAZOS."</f>
        <v>SILLA GERENTE NIZA MEC. BASCULANTE CON BRAZOS.</v>
      </c>
      <c r="C24446" s="6">
        <v>710000.01</v>
      </c>
      <c r="D24446" s="5" t="s">
        <v>30</v>
      </c>
      <c r="E24446" s="5" t="str">
        <f t="shared" si="1220"/>
        <v>ACTISALUD-CIRUGIA PEDIATRIA-MARIA AUXILIADORA PERTUZ</v>
      </c>
      <c r="F24446" s="5"/>
      <c r="G24446" s="5"/>
    </row>
    <row r="24447" spans="1:7" ht="58.5" customHeight="1" x14ac:dyDescent="0.25">
      <c r="A24447" s="5" t="str">
        <f>"H0037815"</f>
        <v>H0037815</v>
      </c>
      <c r="B24447" s="5" t="str">
        <f>"SILLA GERENTE NIZA MEC. BASCULANTE CON BRAZOS."</f>
        <v>SILLA GERENTE NIZA MEC. BASCULANTE CON BRAZOS.</v>
      </c>
      <c r="C24447" s="6">
        <v>710000.01</v>
      </c>
      <c r="D24447" s="5" t="s">
        <v>30</v>
      </c>
      <c r="E24447" s="5" t="str">
        <f t="shared" si="1220"/>
        <v>ACTISALUD-CIRUGIA PEDIATRIA-MARIA AUXILIADORA PERTUZ</v>
      </c>
      <c r="F24447" s="5"/>
      <c r="G24447" s="5"/>
    </row>
    <row r="24448" spans="1:7" ht="58.5" customHeight="1" x14ac:dyDescent="0.25">
      <c r="A24448" s="5" t="str">
        <f>"H0038231"</f>
        <v>H0038231</v>
      </c>
      <c r="B24448" s="5" t="str">
        <f>"PANTALLA RECEPTORA DE LLAMADO DE ENFERMERIA"</f>
        <v>PANTALLA RECEPTORA DE LLAMADO DE ENFERMERIA</v>
      </c>
      <c r="C24448" s="6">
        <v>4570038</v>
      </c>
      <c r="D24448" s="5" t="s">
        <v>143</v>
      </c>
      <c r="E24448" s="5" t="str">
        <f t="shared" si="1220"/>
        <v>ACTISALUD-CIRUGIA PEDIATRIA-MARIA AUXILIADORA PERTUZ</v>
      </c>
      <c r="F24448" s="5"/>
      <c r="G24448" s="5"/>
    </row>
    <row r="24449" spans="1:7" ht="58.5" customHeight="1" x14ac:dyDescent="0.25">
      <c r="A24449" s="5" t="str">
        <f>"H0038246"</f>
        <v>H0038246</v>
      </c>
      <c r="B24449" s="5" t="str">
        <f t="shared" ref="B24449:B24454" si="1223">"UNIDAD DE LLAMADO DE ENFERMERIA PARA BAÑO CON CORDON TIRADOR. RESISTENTE A SALPICADURAS DE AGUA Y LUZ INDICADORA DE PULSACIÓN"</f>
        <v>UNIDAD DE LLAMADO DE ENFERMERIA PARA BAÑO CON CORDON TIRADOR. RESISTENTE A SALPICADURAS DE AGUA Y LUZ INDICADORA DE PULSACIÓN</v>
      </c>
      <c r="C24449" s="6">
        <v>529400</v>
      </c>
      <c r="D24449" s="5" t="s">
        <v>143</v>
      </c>
      <c r="E24449" s="5" t="str">
        <f t="shared" si="1220"/>
        <v>ACTISALUD-CIRUGIA PEDIATRIA-MARIA AUXILIADORA PERTUZ</v>
      </c>
      <c r="F24449" s="5"/>
      <c r="G24449" s="5"/>
    </row>
    <row r="24450" spans="1:7" ht="58.5" customHeight="1" x14ac:dyDescent="0.25">
      <c r="A24450" s="5" t="str">
        <f>"H0038247"</f>
        <v>H0038247</v>
      </c>
      <c r="B24450" s="5" t="str">
        <f t="shared" si="1223"/>
        <v>UNIDAD DE LLAMADO DE ENFERMERIA PARA BAÑO CON CORDON TIRADOR. RESISTENTE A SALPICADURAS DE AGUA Y LUZ INDICADORA DE PULSACIÓN</v>
      </c>
      <c r="C24450" s="6">
        <v>529400</v>
      </c>
      <c r="D24450" s="5" t="s">
        <v>143</v>
      </c>
      <c r="E24450" s="5" t="str">
        <f t="shared" si="1220"/>
        <v>ACTISALUD-CIRUGIA PEDIATRIA-MARIA AUXILIADORA PERTUZ</v>
      </c>
      <c r="F24450" s="5"/>
      <c r="G24450" s="5"/>
    </row>
    <row r="24451" spans="1:7" ht="58.5" customHeight="1" x14ac:dyDescent="0.25">
      <c r="A24451" s="5" t="str">
        <f>"H0038248"</f>
        <v>H0038248</v>
      </c>
      <c r="B24451" s="5" t="str">
        <f t="shared" si="1223"/>
        <v>UNIDAD DE LLAMADO DE ENFERMERIA PARA BAÑO CON CORDON TIRADOR. RESISTENTE A SALPICADURAS DE AGUA Y LUZ INDICADORA DE PULSACIÓN</v>
      </c>
      <c r="C24451" s="6">
        <v>529400</v>
      </c>
      <c r="D24451" s="5" t="s">
        <v>143</v>
      </c>
      <c r="E24451" s="5" t="str">
        <f t="shared" si="1220"/>
        <v>ACTISALUD-CIRUGIA PEDIATRIA-MARIA AUXILIADORA PERTUZ</v>
      </c>
      <c r="F24451" s="5"/>
      <c r="G24451" s="5"/>
    </row>
    <row r="24452" spans="1:7" ht="58.5" customHeight="1" x14ac:dyDescent="0.25">
      <c r="A24452" s="5" t="str">
        <f>"H0038249"</f>
        <v>H0038249</v>
      </c>
      <c r="B24452" s="5" t="str">
        <f t="shared" si="1223"/>
        <v>UNIDAD DE LLAMADO DE ENFERMERIA PARA BAÑO CON CORDON TIRADOR. RESISTENTE A SALPICADURAS DE AGUA Y LUZ INDICADORA DE PULSACIÓN</v>
      </c>
      <c r="C24452" s="6">
        <v>529400</v>
      </c>
      <c r="D24452" s="5" t="s">
        <v>143</v>
      </c>
      <c r="E24452" s="5" t="str">
        <f t="shared" si="1220"/>
        <v>ACTISALUD-CIRUGIA PEDIATRIA-MARIA AUXILIADORA PERTUZ</v>
      </c>
      <c r="F24452" s="5"/>
      <c r="G24452" s="5"/>
    </row>
    <row r="24453" spans="1:7" ht="58.5" customHeight="1" x14ac:dyDescent="0.25">
      <c r="A24453" s="5" t="str">
        <f>"H0038250"</f>
        <v>H0038250</v>
      </c>
      <c r="B24453" s="5" t="str">
        <f t="shared" si="1223"/>
        <v>UNIDAD DE LLAMADO DE ENFERMERIA PARA BAÑO CON CORDON TIRADOR. RESISTENTE A SALPICADURAS DE AGUA Y LUZ INDICADORA DE PULSACIÓN</v>
      </c>
      <c r="C24453" s="6">
        <v>529400</v>
      </c>
      <c r="D24453" s="5" t="s">
        <v>143</v>
      </c>
      <c r="E24453" s="5" t="str">
        <f t="shared" si="1220"/>
        <v>ACTISALUD-CIRUGIA PEDIATRIA-MARIA AUXILIADORA PERTUZ</v>
      </c>
      <c r="F24453" s="5"/>
      <c r="G24453" s="5"/>
    </row>
    <row r="24454" spans="1:7" ht="58.5" customHeight="1" x14ac:dyDescent="0.25">
      <c r="A24454" s="5" t="str">
        <f>"H0038251"</f>
        <v>H0038251</v>
      </c>
      <c r="B24454" s="5" t="str">
        <f t="shared" si="1223"/>
        <v>UNIDAD DE LLAMADO DE ENFERMERIA PARA BAÑO CON CORDON TIRADOR. RESISTENTE A SALPICADURAS DE AGUA Y LUZ INDICADORA DE PULSACIÓN</v>
      </c>
      <c r="C24454" s="6">
        <v>529400</v>
      </c>
      <c r="D24454" s="5" t="s">
        <v>143</v>
      </c>
      <c r="E24454" s="5" t="str">
        <f t="shared" si="1220"/>
        <v>ACTISALUD-CIRUGIA PEDIATRIA-MARIA AUXILIADORA PERTUZ</v>
      </c>
      <c r="F24454" s="5"/>
      <c r="G24454" s="5"/>
    </row>
    <row r="24455" spans="1:7" ht="58.5" customHeight="1" x14ac:dyDescent="0.25">
      <c r="A24455" s="5" t="str">
        <f>"H0038366"</f>
        <v>H0038366</v>
      </c>
      <c r="B24455" s="5" t="str">
        <f t="shared" ref="B24455:B24480" si="1224">"UNIDAD DE LLAMADO DE ENFERMERIA PARA CAMA O BAÑO"</f>
        <v>UNIDAD DE LLAMADO DE ENFERMERIA PARA CAMA O BAÑO</v>
      </c>
      <c r="C24455" s="6">
        <v>532900</v>
      </c>
      <c r="D24455" s="5" t="s">
        <v>143</v>
      </c>
      <c r="E24455" s="5" t="str">
        <f t="shared" si="1220"/>
        <v>ACTISALUD-CIRUGIA PEDIATRIA-MARIA AUXILIADORA PERTUZ</v>
      </c>
      <c r="F24455" s="5"/>
      <c r="G24455" s="5"/>
    </row>
    <row r="24456" spans="1:7" ht="58.5" customHeight="1" x14ac:dyDescent="0.25">
      <c r="A24456" s="5" t="str">
        <f>"H0038367"</f>
        <v>H0038367</v>
      </c>
      <c r="B24456" s="5" t="str">
        <f t="shared" si="1224"/>
        <v>UNIDAD DE LLAMADO DE ENFERMERIA PARA CAMA O BAÑO</v>
      </c>
      <c r="C24456" s="6">
        <v>532900</v>
      </c>
      <c r="D24456" s="5" t="s">
        <v>143</v>
      </c>
      <c r="E24456" s="5" t="str">
        <f t="shared" si="1220"/>
        <v>ACTISALUD-CIRUGIA PEDIATRIA-MARIA AUXILIADORA PERTUZ</v>
      </c>
      <c r="F24456" s="5"/>
      <c r="G24456" s="5"/>
    </row>
    <row r="24457" spans="1:7" ht="58.5" customHeight="1" x14ac:dyDescent="0.25">
      <c r="A24457" s="5" t="str">
        <f>"H0038368"</f>
        <v>H0038368</v>
      </c>
      <c r="B24457" s="5" t="str">
        <f t="shared" si="1224"/>
        <v>UNIDAD DE LLAMADO DE ENFERMERIA PARA CAMA O BAÑO</v>
      </c>
      <c r="C24457" s="6">
        <v>532900</v>
      </c>
      <c r="D24457" s="5" t="s">
        <v>143</v>
      </c>
      <c r="E24457" s="5" t="str">
        <f t="shared" si="1220"/>
        <v>ACTISALUD-CIRUGIA PEDIATRIA-MARIA AUXILIADORA PERTUZ</v>
      </c>
      <c r="F24457" s="5"/>
      <c r="G24457" s="5"/>
    </row>
    <row r="24458" spans="1:7" ht="58.5" customHeight="1" x14ac:dyDescent="0.25">
      <c r="A24458" s="5" t="str">
        <f>"H0038369"</f>
        <v>H0038369</v>
      </c>
      <c r="B24458" s="5" t="str">
        <f t="shared" si="1224"/>
        <v>UNIDAD DE LLAMADO DE ENFERMERIA PARA CAMA O BAÑO</v>
      </c>
      <c r="C24458" s="6">
        <v>532900</v>
      </c>
      <c r="D24458" s="5" t="s">
        <v>143</v>
      </c>
      <c r="E24458" s="5" t="str">
        <f t="shared" si="1220"/>
        <v>ACTISALUD-CIRUGIA PEDIATRIA-MARIA AUXILIADORA PERTUZ</v>
      </c>
      <c r="F24458" s="5"/>
      <c r="G24458" s="5"/>
    </row>
    <row r="24459" spans="1:7" ht="58.5" customHeight="1" x14ac:dyDescent="0.25">
      <c r="A24459" s="5" t="str">
        <f>"H0038370"</f>
        <v>H0038370</v>
      </c>
      <c r="B24459" s="5" t="str">
        <f t="shared" si="1224"/>
        <v>UNIDAD DE LLAMADO DE ENFERMERIA PARA CAMA O BAÑO</v>
      </c>
      <c r="C24459" s="6">
        <v>532900</v>
      </c>
      <c r="D24459" s="5" t="s">
        <v>143</v>
      </c>
      <c r="E24459" s="5" t="str">
        <f t="shared" si="1220"/>
        <v>ACTISALUD-CIRUGIA PEDIATRIA-MARIA AUXILIADORA PERTUZ</v>
      </c>
      <c r="F24459" s="5"/>
      <c r="G24459" s="5"/>
    </row>
    <row r="24460" spans="1:7" ht="58.5" customHeight="1" x14ac:dyDescent="0.25">
      <c r="A24460" s="5" t="str">
        <f>"H0038371"</f>
        <v>H0038371</v>
      </c>
      <c r="B24460" s="5" t="str">
        <f t="shared" si="1224"/>
        <v>UNIDAD DE LLAMADO DE ENFERMERIA PARA CAMA O BAÑO</v>
      </c>
      <c r="C24460" s="6">
        <v>532900</v>
      </c>
      <c r="D24460" s="5" t="s">
        <v>143</v>
      </c>
      <c r="E24460" s="5" t="str">
        <f t="shared" si="1220"/>
        <v>ACTISALUD-CIRUGIA PEDIATRIA-MARIA AUXILIADORA PERTUZ</v>
      </c>
      <c r="F24460" s="5"/>
      <c r="G24460" s="5"/>
    </row>
    <row r="24461" spans="1:7" ht="58.5" customHeight="1" x14ac:dyDescent="0.25">
      <c r="A24461" s="5" t="str">
        <f>"H0038372"</f>
        <v>H0038372</v>
      </c>
      <c r="B24461" s="5" t="str">
        <f t="shared" si="1224"/>
        <v>UNIDAD DE LLAMADO DE ENFERMERIA PARA CAMA O BAÑO</v>
      </c>
      <c r="C24461" s="6">
        <v>532900</v>
      </c>
      <c r="D24461" s="5" t="s">
        <v>143</v>
      </c>
      <c r="E24461" s="5" t="str">
        <f t="shared" si="1220"/>
        <v>ACTISALUD-CIRUGIA PEDIATRIA-MARIA AUXILIADORA PERTUZ</v>
      </c>
      <c r="F24461" s="5"/>
      <c r="G24461" s="5"/>
    </row>
    <row r="24462" spans="1:7" ht="58.5" customHeight="1" x14ac:dyDescent="0.25">
      <c r="A24462" s="5" t="str">
        <f>"H0038373"</f>
        <v>H0038373</v>
      </c>
      <c r="B24462" s="5" t="str">
        <f t="shared" si="1224"/>
        <v>UNIDAD DE LLAMADO DE ENFERMERIA PARA CAMA O BAÑO</v>
      </c>
      <c r="C24462" s="6">
        <v>532900</v>
      </c>
      <c r="D24462" s="5" t="s">
        <v>143</v>
      </c>
      <c r="E24462" s="5" t="str">
        <f t="shared" si="1220"/>
        <v>ACTISALUD-CIRUGIA PEDIATRIA-MARIA AUXILIADORA PERTUZ</v>
      </c>
      <c r="F24462" s="5"/>
      <c r="G24462" s="5"/>
    </row>
    <row r="24463" spans="1:7" ht="58.5" customHeight="1" x14ac:dyDescent="0.25">
      <c r="A24463" s="5" t="str">
        <f>"H0038374"</f>
        <v>H0038374</v>
      </c>
      <c r="B24463" s="5" t="str">
        <f t="shared" si="1224"/>
        <v>UNIDAD DE LLAMADO DE ENFERMERIA PARA CAMA O BAÑO</v>
      </c>
      <c r="C24463" s="6">
        <v>532900</v>
      </c>
      <c r="D24463" s="5" t="s">
        <v>143</v>
      </c>
      <c r="E24463" s="5" t="str">
        <f t="shared" si="1220"/>
        <v>ACTISALUD-CIRUGIA PEDIATRIA-MARIA AUXILIADORA PERTUZ</v>
      </c>
      <c r="F24463" s="5"/>
      <c r="G24463" s="5"/>
    </row>
    <row r="24464" spans="1:7" ht="58.5" customHeight="1" x14ac:dyDescent="0.25">
      <c r="A24464" s="5" t="str">
        <f>"H0038375"</f>
        <v>H0038375</v>
      </c>
      <c r="B24464" s="5" t="str">
        <f t="shared" si="1224"/>
        <v>UNIDAD DE LLAMADO DE ENFERMERIA PARA CAMA O BAÑO</v>
      </c>
      <c r="C24464" s="6">
        <v>532900</v>
      </c>
      <c r="D24464" s="5" t="s">
        <v>143</v>
      </c>
      <c r="E24464" s="5" t="str">
        <f t="shared" si="1220"/>
        <v>ACTISALUD-CIRUGIA PEDIATRIA-MARIA AUXILIADORA PERTUZ</v>
      </c>
      <c r="F24464" s="5"/>
      <c r="G24464" s="5"/>
    </row>
    <row r="24465" spans="1:7" ht="58.5" customHeight="1" x14ac:dyDescent="0.25">
      <c r="A24465" s="5" t="str">
        <f>"H0038376"</f>
        <v>H0038376</v>
      </c>
      <c r="B24465" s="5" t="str">
        <f t="shared" si="1224"/>
        <v>UNIDAD DE LLAMADO DE ENFERMERIA PARA CAMA O BAÑO</v>
      </c>
      <c r="C24465" s="6">
        <v>532900</v>
      </c>
      <c r="D24465" s="5" t="s">
        <v>143</v>
      </c>
      <c r="E24465" s="5" t="str">
        <f t="shared" si="1220"/>
        <v>ACTISALUD-CIRUGIA PEDIATRIA-MARIA AUXILIADORA PERTUZ</v>
      </c>
      <c r="F24465" s="5"/>
      <c r="G24465" s="5"/>
    </row>
    <row r="24466" spans="1:7" ht="58.5" customHeight="1" x14ac:dyDescent="0.25">
      <c r="A24466" s="5" t="str">
        <f>"H0038377"</f>
        <v>H0038377</v>
      </c>
      <c r="B24466" s="5" t="str">
        <f t="shared" si="1224"/>
        <v>UNIDAD DE LLAMADO DE ENFERMERIA PARA CAMA O BAÑO</v>
      </c>
      <c r="C24466" s="6">
        <v>532900</v>
      </c>
      <c r="D24466" s="5" t="s">
        <v>143</v>
      </c>
      <c r="E24466" s="5" t="str">
        <f t="shared" si="1220"/>
        <v>ACTISALUD-CIRUGIA PEDIATRIA-MARIA AUXILIADORA PERTUZ</v>
      </c>
      <c r="F24466" s="5"/>
      <c r="G24466" s="5"/>
    </row>
    <row r="24467" spans="1:7" ht="58.5" customHeight="1" x14ac:dyDescent="0.25">
      <c r="A24467" s="5" t="str">
        <f>"H0038378"</f>
        <v>H0038378</v>
      </c>
      <c r="B24467" s="5" t="str">
        <f t="shared" si="1224"/>
        <v>UNIDAD DE LLAMADO DE ENFERMERIA PARA CAMA O BAÑO</v>
      </c>
      <c r="C24467" s="6">
        <v>532900</v>
      </c>
      <c r="D24467" s="5" t="s">
        <v>143</v>
      </c>
      <c r="E24467" s="5" t="str">
        <f t="shared" si="1220"/>
        <v>ACTISALUD-CIRUGIA PEDIATRIA-MARIA AUXILIADORA PERTUZ</v>
      </c>
      <c r="F24467" s="5"/>
      <c r="G24467" s="5"/>
    </row>
    <row r="24468" spans="1:7" ht="58.5" customHeight="1" x14ac:dyDescent="0.25">
      <c r="A24468" s="5" t="str">
        <f>"H0038379"</f>
        <v>H0038379</v>
      </c>
      <c r="B24468" s="5" t="str">
        <f t="shared" si="1224"/>
        <v>UNIDAD DE LLAMADO DE ENFERMERIA PARA CAMA O BAÑO</v>
      </c>
      <c r="C24468" s="6">
        <v>532900</v>
      </c>
      <c r="D24468" s="5" t="s">
        <v>143</v>
      </c>
      <c r="E24468" s="5" t="str">
        <f t="shared" si="1220"/>
        <v>ACTISALUD-CIRUGIA PEDIATRIA-MARIA AUXILIADORA PERTUZ</v>
      </c>
      <c r="F24468" s="5"/>
      <c r="G24468" s="5"/>
    </row>
    <row r="24469" spans="1:7" ht="58.5" customHeight="1" x14ac:dyDescent="0.25">
      <c r="A24469" s="5" t="str">
        <f>"H0038380"</f>
        <v>H0038380</v>
      </c>
      <c r="B24469" s="5" t="str">
        <f t="shared" si="1224"/>
        <v>UNIDAD DE LLAMADO DE ENFERMERIA PARA CAMA O BAÑO</v>
      </c>
      <c r="C24469" s="6">
        <v>532900</v>
      </c>
      <c r="D24469" s="5" t="s">
        <v>143</v>
      </c>
      <c r="E24469" s="5" t="str">
        <f t="shared" si="1220"/>
        <v>ACTISALUD-CIRUGIA PEDIATRIA-MARIA AUXILIADORA PERTUZ</v>
      </c>
      <c r="F24469" s="5"/>
      <c r="G24469" s="5"/>
    </row>
    <row r="24470" spans="1:7" ht="58.5" customHeight="1" x14ac:dyDescent="0.25">
      <c r="A24470" s="5" t="str">
        <f>"H0038381"</f>
        <v>H0038381</v>
      </c>
      <c r="B24470" s="5" t="str">
        <f t="shared" si="1224"/>
        <v>UNIDAD DE LLAMADO DE ENFERMERIA PARA CAMA O BAÑO</v>
      </c>
      <c r="C24470" s="6">
        <v>532900</v>
      </c>
      <c r="D24470" s="5" t="s">
        <v>143</v>
      </c>
      <c r="E24470" s="5" t="str">
        <f t="shared" si="1220"/>
        <v>ACTISALUD-CIRUGIA PEDIATRIA-MARIA AUXILIADORA PERTUZ</v>
      </c>
      <c r="F24470" s="5"/>
      <c r="G24470" s="5"/>
    </row>
    <row r="24471" spans="1:7" ht="58.5" customHeight="1" x14ac:dyDescent="0.25">
      <c r="A24471" s="5" t="str">
        <f>"H0038382"</f>
        <v>H0038382</v>
      </c>
      <c r="B24471" s="5" t="str">
        <f t="shared" si="1224"/>
        <v>UNIDAD DE LLAMADO DE ENFERMERIA PARA CAMA O BAÑO</v>
      </c>
      <c r="C24471" s="6">
        <v>532900</v>
      </c>
      <c r="D24471" s="5" t="s">
        <v>143</v>
      </c>
      <c r="E24471" s="5" t="str">
        <f t="shared" si="1220"/>
        <v>ACTISALUD-CIRUGIA PEDIATRIA-MARIA AUXILIADORA PERTUZ</v>
      </c>
      <c r="F24471" s="5"/>
      <c r="G24471" s="5"/>
    </row>
    <row r="24472" spans="1:7" ht="58.5" customHeight="1" x14ac:dyDescent="0.25">
      <c r="A24472" s="5" t="str">
        <f>"H0038383"</f>
        <v>H0038383</v>
      </c>
      <c r="B24472" s="5" t="str">
        <f t="shared" si="1224"/>
        <v>UNIDAD DE LLAMADO DE ENFERMERIA PARA CAMA O BAÑO</v>
      </c>
      <c r="C24472" s="6">
        <v>532900</v>
      </c>
      <c r="D24472" s="5" t="s">
        <v>143</v>
      </c>
      <c r="E24472" s="5" t="str">
        <f t="shared" si="1220"/>
        <v>ACTISALUD-CIRUGIA PEDIATRIA-MARIA AUXILIADORA PERTUZ</v>
      </c>
      <c r="F24472" s="5"/>
      <c r="G24472" s="5"/>
    </row>
    <row r="24473" spans="1:7" ht="58.5" customHeight="1" x14ac:dyDescent="0.25">
      <c r="A24473" s="5" t="str">
        <f>"H0038384"</f>
        <v>H0038384</v>
      </c>
      <c r="B24473" s="5" t="str">
        <f t="shared" si="1224"/>
        <v>UNIDAD DE LLAMADO DE ENFERMERIA PARA CAMA O BAÑO</v>
      </c>
      <c r="C24473" s="6">
        <v>532900</v>
      </c>
      <c r="D24473" s="5" t="s">
        <v>143</v>
      </c>
      <c r="E24473" s="5" t="str">
        <f t="shared" si="1220"/>
        <v>ACTISALUD-CIRUGIA PEDIATRIA-MARIA AUXILIADORA PERTUZ</v>
      </c>
      <c r="F24473" s="5"/>
      <c r="G24473" s="5"/>
    </row>
    <row r="24474" spans="1:7" ht="58.5" customHeight="1" x14ac:dyDescent="0.25">
      <c r="A24474" s="5" t="str">
        <f>"H0038385"</f>
        <v>H0038385</v>
      </c>
      <c r="B24474" s="5" t="str">
        <f t="shared" si="1224"/>
        <v>UNIDAD DE LLAMADO DE ENFERMERIA PARA CAMA O BAÑO</v>
      </c>
      <c r="C24474" s="6">
        <v>532900</v>
      </c>
      <c r="D24474" s="5" t="s">
        <v>143</v>
      </c>
      <c r="E24474" s="5" t="str">
        <f t="shared" si="1220"/>
        <v>ACTISALUD-CIRUGIA PEDIATRIA-MARIA AUXILIADORA PERTUZ</v>
      </c>
      <c r="F24474" s="5"/>
      <c r="G24474" s="5"/>
    </row>
    <row r="24475" spans="1:7" ht="58.5" customHeight="1" x14ac:dyDescent="0.25">
      <c r="A24475" s="5" t="str">
        <f>"H0038386"</f>
        <v>H0038386</v>
      </c>
      <c r="B24475" s="5" t="str">
        <f t="shared" si="1224"/>
        <v>UNIDAD DE LLAMADO DE ENFERMERIA PARA CAMA O BAÑO</v>
      </c>
      <c r="C24475" s="6">
        <v>532900</v>
      </c>
      <c r="D24475" s="5" t="s">
        <v>143</v>
      </c>
      <c r="E24475" s="5" t="str">
        <f t="shared" si="1220"/>
        <v>ACTISALUD-CIRUGIA PEDIATRIA-MARIA AUXILIADORA PERTUZ</v>
      </c>
      <c r="F24475" s="5"/>
      <c r="G24475" s="5"/>
    </row>
    <row r="24476" spans="1:7" ht="58.5" customHeight="1" x14ac:dyDescent="0.25">
      <c r="A24476" s="5" t="str">
        <f>"H0038387"</f>
        <v>H0038387</v>
      </c>
      <c r="B24476" s="5" t="str">
        <f t="shared" si="1224"/>
        <v>UNIDAD DE LLAMADO DE ENFERMERIA PARA CAMA O BAÑO</v>
      </c>
      <c r="C24476" s="6">
        <v>532900</v>
      </c>
      <c r="D24476" s="5" t="s">
        <v>143</v>
      </c>
      <c r="E24476" s="5" t="str">
        <f t="shared" ref="E24476:E24486" si="1225">"ACTISALUD-CIRUGIA PEDIATRIA-MARIA AUXILIADORA PERTUZ"</f>
        <v>ACTISALUD-CIRUGIA PEDIATRIA-MARIA AUXILIADORA PERTUZ</v>
      </c>
      <c r="F24476" s="5"/>
      <c r="G24476" s="5"/>
    </row>
    <row r="24477" spans="1:7" ht="58.5" customHeight="1" x14ac:dyDescent="0.25">
      <c r="A24477" s="5" t="str">
        <f>"H0038388"</f>
        <v>H0038388</v>
      </c>
      <c r="B24477" s="5" t="str">
        <f t="shared" si="1224"/>
        <v>UNIDAD DE LLAMADO DE ENFERMERIA PARA CAMA O BAÑO</v>
      </c>
      <c r="C24477" s="6">
        <v>532900</v>
      </c>
      <c r="D24477" s="5" t="s">
        <v>143</v>
      </c>
      <c r="E24477" s="5" t="str">
        <f t="shared" si="1225"/>
        <v>ACTISALUD-CIRUGIA PEDIATRIA-MARIA AUXILIADORA PERTUZ</v>
      </c>
      <c r="F24477" s="5"/>
      <c r="G24477" s="5"/>
    </row>
    <row r="24478" spans="1:7" ht="58.5" customHeight="1" x14ac:dyDescent="0.25">
      <c r="A24478" s="5" t="str">
        <f>"H0038389"</f>
        <v>H0038389</v>
      </c>
      <c r="B24478" s="5" t="str">
        <f t="shared" si="1224"/>
        <v>UNIDAD DE LLAMADO DE ENFERMERIA PARA CAMA O BAÑO</v>
      </c>
      <c r="C24478" s="6">
        <v>532900</v>
      </c>
      <c r="D24478" s="5" t="s">
        <v>143</v>
      </c>
      <c r="E24478" s="5" t="str">
        <f t="shared" si="1225"/>
        <v>ACTISALUD-CIRUGIA PEDIATRIA-MARIA AUXILIADORA PERTUZ</v>
      </c>
      <c r="F24478" s="5"/>
      <c r="G24478" s="5"/>
    </row>
    <row r="24479" spans="1:7" ht="58.5" customHeight="1" x14ac:dyDescent="0.25">
      <c r="A24479" s="5" t="str">
        <f>"H0038390"</f>
        <v>H0038390</v>
      </c>
      <c r="B24479" s="5" t="str">
        <f t="shared" si="1224"/>
        <v>UNIDAD DE LLAMADO DE ENFERMERIA PARA CAMA O BAÑO</v>
      </c>
      <c r="C24479" s="6">
        <v>532900</v>
      </c>
      <c r="D24479" s="5" t="s">
        <v>143</v>
      </c>
      <c r="E24479" s="5" t="str">
        <f t="shared" si="1225"/>
        <v>ACTISALUD-CIRUGIA PEDIATRIA-MARIA AUXILIADORA PERTUZ</v>
      </c>
      <c r="F24479" s="5"/>
      <c r="G24479" s="5"/>
    </row>
    <row r="24480" spans="1:7" ht="58.5" customHeight="1" x14ac:dyDescent="0.25">
      <c r="A24480" s="5" t="str">
        <f>"H0038391"</f>
        <v>H0038391</v>
      </c>
      <c r="B24480" s="5" t="str">
        <f t="shared" si="1224"/>
        <v>UNIDAD DE LLAMADO DE ENFERMERIA PARA CAMA O BAÑO</v>
      </c>
      <c r="C24480" s="6">
        <v>532900</v>
      </c>
      <c r="D24480" s="5" t="s">
        <v>143</v>
      </c>
      <c r="E24480" s="5" t="str">
        <f t="shared" si="1225"/>
        <v>ACTISALUD-CIRUGIA PEDIATRIA-MARIA AUXILIADORA PERTUZ</v>
      </c>
      <c r="F24480" s="5"/>
      <c r="G24480" s="5"/>
    </row>
    <row r="24481" spans="1:7" ht="58.5" customHeight="1" x14ac:dyDescent="0.25">
      <c r="A24481" s="5" t="str">
        <f>"H0038567"</f>
        <v>H0038567</v>
      </c>
      <c r="B24481" s="5" t="str">
        <f t="shared" ref="B24481:B24486" si="1226">"LAMPARA DE PASILLO DE LLAMADO DE ENFERMERIA"</f>
        <v>LAMPARA DE PASILLO DE LLAMADO DE ENFERMERIA</v>
      </c>
      <c r="C24481" s="6">
        <v>854790</v>
      </c>
      <c r="D24481" s="5" t="s">
        <v>143</v>
      </c>
      <c r="E24481" s="5" t="str">
        <f t="shared" si="1225"/>
        <v>ACTISALUD-CIRUGIA PEDIATRIA-MARIA AUXILIADORA PERTUZ</v>
      </c>
      <c r="F24481" s="5"/>
      <c r="G24481" s="5"/>
    </row>
    <row r="24482" spans="1:7" ht="58.5" customHeight="1" x14ac:dyDescent="0.25">
      <c r="A24482" s="5" t="str">
        <f>"H0038568"</f>
        <v>H0038568</v>
      </c>
      <c r="B24482" s="5" t="str">
        <f t="shared" si="1226"/>
        <v>LAMPARA DE PASILLO DE LLAMADO DE ENFERMERIA</v>
      </c>
      <c r="C24482" s="6">
        <v>854790</v>
      </c>
      <c r="D24482" s="5" t="s">
        <v>143</v>
      </c>
      <c r="E24482" s="5" t="str">
        <f t="shared" si="1225"/>
        <v>ACTISALUD-CIRUGIA PEDIATRIA-MARIA AUXILIADORA PERTUZ</v>
      </c>
      <c r="F24482" s="5"/>
      <c r="G24482" s="5"/>
    </row>
    <row r="24483" spans="1:7" ht="58.5" customHeight="1" x14ac:dyDescent="0.25">
      <c r="A24483" s="5" t="str">
        <f>"H0038569"</f>
        <v>H0038569</v>
      </c>
      <c r="B24483" s="5" t="str">
        <f t="shared" si="1226"/>
        <v>LAMPARA DE PASILLO DE LLAMADO DE ENFERMERIA</v>
      </c>
      <c r="C24483" s="6">
        <v>854790</v>
      </c>
      <c r="D24483" s="5" t="s">
        <v>143</v>
      </c>
      <c r="E24483" s="5" t="str">
        <f t="shared" si="1225"/>
        <v>ACTISALUD-CIRUGIA PEDIATRIA-MARIA AUXILIADORA PERTUZ</v>
      </c>
      <c r="F24483" s="5"/>
      <c r="G24483" s="5"/>
    </row>
    <row r="24484" spans="1:7" ht="58.5" customHeight="1" x14ac:dyDescent="0.25">
      <c r="A24484" s="5" t="str">
        <f>"H0038570"</f>
        <v>H0038570</v>
      </c>
      <c r="B24484" s="5" t="str">
        <f t="shared" si="1226"/>
        <v>LAMPARA DE PASILLO DE LLAMADO DE ENFERMERIA</v>
      </c>
      <c r="C24484" s="6">
        <v>854790</v>
      </c>
      <c r="D24484" s="5" t="s">
        <v>143</v>
      </c>
      <c r="E24484" s="5" t="str">
        <f t="shared" si="1225"/>
        <v>ACTISALUD-CIRUGIA PEDIATRIA-MARIA AUXILIADORA PERTUZ</v>
      </c>
      <c r="F24484" s="5"/>
      <c r="G24484" s="5"/>
    </row>
    <row r="24485" spans="1:7" ht="58.5" customHeight="1" x14ac:dyDescent="0.25">
      <c r="A24485" s="5" t="str">
        <f>"H0038571"</f>
        <v>H0038571</v>
      </c>
      <c r="B24485" s="5" t="str">
        <f t="shared" si="1226"/>
        <v>LAMPARA DE PASILLO DE LLAMADO DE ENFERMERIA</v>
      </c>
      <c r="C24485" s="6">
        <v>854790</v>
      </c>
      <c r="D24485" s="5" t="s">
        <v>143</v>
      </c>
      <c r="E24485" s="5" t="str">
        <f t="shared" si="1225"/>
        <v>ACTISALUD-CIRUGIA PEDIATRIA-MARIA AUXILIADORA PERTUZ</v>
      </c>
      <c r="F24485" s="5"/>
      <c r="G24485" s="5"/>
    </row>
    <row r="24486" spans="1:7" ht="58.5" customHeight="1" x14ac:dyDescent="0.25">
      <c r="A24486" s="5" t="str">
        <f>"H0038572"</f>
        <v>H0038572</v>
      </c>
      <c r="B24486" s="5" t="str">
        <f t="shared" si="1226"/>
        <v>LAMPARA DE PASILLO DE LLAMADO DE ENFERMERIA</v>
      </c>
      <c r="C24486" s="6">
        <v>854790</v>
      </c>
      <c r="D24486" s="5" t="s">
        <v>143</v>
      </c>
      <c r="E24486" s="5" t="str">
        <f t="shared" si="1225"/>
        <v>ACTISALUD-CIRUGIA PEDIATRIA-MARIA AUXILIADORA PERTUZ</v>
      </c>
      <c r="F24486" s="5"/>
      <c r="G24486" s="5"/>
    </row>
    <row r="24487" spans="1:7" ht="58.5" customHeight="1" x14ac:dyDescent="0.25">
      <c r="A24487" s="5" t="str">
        <f>"H0002329"</f>
        <v>H0002329</v>
      </c>
      <c r="B24487" s="5" t="str">
        <f>"CAMARA DE VIDEOVIGILANCIA"</f>
        <v>CAMARA DE VIDEOVIGILANCIA</v>
      </c>
      <c r="C24487" s="6">
        <v>371000</v>
      </c>
      <c r="D24487" s="5"/>
      <c r="E24487" s="5" t="str">
        <f t="shared" ref="E24487:E24518" si="1227">"INGENIERIA BIOMEDICA-OFICINA ADMINISTRATIVA"</f>
        <v>INGENIERIA BIOMEDICA-OFICINA ADMINISTRATIVA</v>
      </c>
      <c r="F24487" s="5" t="str">
        <f>"Descripcion:CAMARA IP TIPO DOMO 2 MPX LENTE DE 2.8 mm PoE 1/3 (WI-FI) Estado: Excelente Placa anterior: 000038237 Material: PASTA Y VIDRIO Color: BLANCO Referencia:  Observacion:  Placa padre:  Tipo adquisicion : Entidad"</f>
        <v>Descripcion:CAMARA IP TIPO DOMO 2 MPX LENTE DE 2.8 mm PoE 1/3 (WI-FI) Estado: Excelente Placa anterior: 000038237 Material: PASTA Y VIDRIO Color: BLANCO Referencia:  Observacion:  Placa padre:  Tipo adquisicion : Entidad</v>
      </c>
      <c r="G24487" s="5"/>
    </row>
    <row r="24488" spans="1:7" ht="58.5" customHeight="1" x14ac:dyDescent="0.25">
      <c r="A24488" s="5" t="str">
        <f>"H0002467"</f>
        <v>H0002467</v>
      </c>
      <c r="B24488" s="5" t="str">
        <f>"COMPUTADOR TODO EN UNO"</f>
        <v>COMPUTADOR TODO EN UNO</v>
      </c>
      <c r="C24488" s="6">
        <v>2470000</v>
      </c>
      <c r="D24488" s="5"/>
      <c r="E24488" s="5" t="str">
        <f t="shared" si="1227"/>
        <v>INGENIERIA BIOMEDICA-OFICINA ADMINISTRATIVA</v>
      </c>
      <c r="F24488" s="5" t="str">
        <f>"Descripcion:EQUIPO DE COMPUTO TODO EN UNO CON PROCESADOR INTEL i5 Estado: Excelente Placa anterior: 000037267 Material: PASTA Color: NEGRO Referencia: 10BDFDLS Observacion:  Placa anterior:, Placa nueva=H0002469, Descripcion:MOUSE USB  3 BOTONES, Serial:4"&amp; "4MG401, Marca:LENOVO, Modelo:45J4889, Material:PASTA, Color:NEGRO,   Referencia:, Placa anterior:, Placa nueva=H0002468, Descripcion:TECLADO USB LENOVO, Serial:8260045, Marca:LENOVO, Modelo:KU-0225, Material:PASTA, Color:NEGRO,   Referencia:54Y9424 Placa "&amp; "padre:  Tipo adquisicion : Entidad"</f>
        <v>Descripcion:EQUIPO DE COMPUTO TODO EN UNO CON PROCESADOR INTEL i5 Estado: Excelente Placa anterior: 000037267 Material: PASTA Color: NEGRO Referencia: 10BDFDLS Observacion:  Placa anterior:, Placa nueva=H0002469, Descripcion:MOUSE USB  3 BOTONES, Serial:44MG401, Marca:LENOVO, Modelo:45J4889, Material:PASTA, Color:NEGRO,   Referencia:, Placa anterior:, Placa nueva=H0002468, Descripcion:TECLADO USB LENOVO, Serial:8260045, Marca:LENOVO, Modelo:KU-0225, Material:PASTA, Color:NEGRO,   Referencia:54Y9424 Placa padre:  Tipo adquisicion : Entidad</v>
      </c>
      <c r="G24488" s="5" t="str">
        <f>"00FDLS"</f>
        <v>00FDLS</v>
      </c>
    </row>
    <row r="24489" spans="1:7" ht="58.5" customHeight="1" x14ac:dyDescent="0.25">
      <c r="A24489" s="5" t="str">
        <f>"H0002724"</f>
        <v>H0002724</v>
      </c>
      <c r="B24489" s="5" t="str">
        <f>"FUENTE DE PODER"</f>
        <v>FUENTE DE PODER</v>
      </c>
      <c r="C24489" s="6">
        <v>11200</v>
      </c>
      <c r="D24489" s="5"/>
      <c r="E24489" s="5" t="str">
        <f t="shared" si="1227"/>
        <v>INGENIERIA BIOMEDICA-OFICINA ADMINISTRATIVA</v>
      </c>
      <c r="F24489" s="5" t="str">
        <f>"Descripcion:FUENTE DE PODER 12V 1A Estado: Excelente Placa anterior: 000030782 Material: PASTA Color:  Referencia:  Observacion:  Placa padre:  Tipo adquisicion : Entidad"</f>
        <v>Descripcion:FUENTE DE PODER 12V 1A Estado: Excelente Placa anterior: 000030782 Material: PASTA Color:  Referencia:  Observacion:  Placa padre:  Tipo adquisicion : Entidad</v>
      </c>
      <c r="G24489" s="5" t="str">
        <f>"TRANS 12V15"</f>
        <v>TRANS 12V15</v>
      </c>
    </row>
    <row r="24490" spans="1:7" ht="58.5" customHeight="1" x14ac:dyDescent="0.25">
      <c r="A24490" s="5" t="str">
        <f>"H0004652"</f>
        <v>H0004652</v>
      </c>
      <c r="B24490" s="5" t="str">
        <f>"MESA (SUPERFICIE) MODULAR"</f>
        <v>MESA (SUPERFICIE) MODULAR</v>
      </c>
      <c r="C24490" s="6">
        <v>77520</v>
      </c>
      <c r="D24490" s="5"/>
      <c r="E24490" s="5" t="str">
        <f t="shared" si="1227"/>
        <v>INGENIERIA BIOMEDICA-OFICINA ADMINISTRATIVA</v>
      </c>
      <c r="F24490" s="5" t="str">
        <f>"Descripcion:MESA PARA IMPRESORA, AUXILIAR, 74X60X60 CM, DOS DIVISIONES Estado: Regular Placa anterior: 000011911 Material: MADERA Color: NEGRO, BEIS, MARRON Referencia:  Observacion:  Placa padre:  Tipo adquisicion : Entidad"</f>
        <v>Descripcion:MESA PARA IMPRESORA, AUXILIAR, 74X60X60 CM, DOS DIVISIONES Estado: Regular Placa anterior: 000011911 Material: MADERA Color: NEGRO, BEIS, MARRON Referencia:  Observacion:  Placa padre:  Tipo adquisicion : Entidad</v>
      </c>
      <c r="G24490" s="5"/>
    </row>
    <row r="24491" spans="1:7" ht="58.5" customHeight="1" x14ac:dyDescent="0.25">
      <c r="A24491" s="5" t="str">
        <f>"H0005199"</f>
        <v>H0005199</v>
      </c>
      <c r="B24491" s="5" t="str">
        <f>"COMPUTADOR TODO EN UNO"</f>
        <v>COMPUTADOR TODO EN UNO</v>
      </c>
      <c r="C24491" s="6">
        <v>1572000</v>
      </c>
      <c r="D24491" s="5" t="s">
        <v>346</v>
      </c>
      <c r="E24491" s="5" t="str">
        <f t="shared" si="1227"/>
        <v>INGENIERIA BIOMEDICA-OFICINA ADMINISTRATIVA</v>
      </c>
      <c r="F24491" s="5" t="str">
        <f>"Descripcion: EQUIPOS DE COMPUTO TODO EN UNO PROCESADOR CORE 3.0 SUPERIOR CORPORATIVO WINDOWS 8 PRO- OFFICE 2013 SMALL BUSINES, TECNOLOGIA HT DE INTEL GARANTIA EXTENDIDA A 3 AÑOS Estado: Bueno Placa anterior: 000030698 Material:  Color: NEGRO Referencia:  "&amp; "Observacion:  Placa anterior:, Placa nueva=H0005201, Descripcion:MOUSE OPTICO, Serial:, Marca:, Modelo:, Material:PLASTICO, Color:NEGRO,   Referencia:, Placa anterior:, Placa nueva=H0005200, Descripcion:TECLADO, Serial:, Marca:, Modelo:, Material:PLASTICO"&amp; ", Color:NEGRO,   Referencia: Placa padre: Tipo adquisicion: Entidad"</f>
        <v>Descripcion: EQUIPOS DE COMPUTO TODO EN UNO PROCESADOR CORE 3.0 SUPERIOR CORPORATIVO WINDOWS 8 PRO- OFFICE 2013 SMALL BUSINES, TECNOLOGIA HT DE INTEL GARANTIA EXTENDIDA A 3 AÑOS Estado: Bueno Placa anterior: 000030698 Material:  Color: NEGRO Referencia:  Observacion:  Placa anterior:, Placa nueva=H0005201, Descripcion:MOUSE OPTICO, Serial:, Marca:, Modelo:, Material:PLASTICO, Color:NEGRO,   Referencia:, Placa anterior:, Placa nueva=H0005200, Descripcion:TECLADO, Serial:, Marca:, Modelo:, Material:PLASTICO, Color:NEGRO,   Referencia: Placa padre: Tipo adquisicion: Entidad</v>
      </c>
      <c r="G24491" s="5"/>
    </row>
    <row r="24492" spans="1:7" ht="58.5" customHeight="1" x14ac:dyDescent="0.25">
      <c r="A24492" s="5" t="str">
        <f>"H0005366"</f>
        <v>H0005366</v>
      </c>
      <c r="B24492" s="5" t="str">
        <f>"COMPUTADOR TODO EN UNO"</f>
        <v>COMPUTADOR TODO EN UNO</v>
      </c>
      <c r="C24492" s="6">
        <v>2470000</v>
      </c>
      <c r="D24492" s="5" t="s">
        <v>6</v>
      </c>
      <c r="E24492" s="5" t="str">
        <f t="shared" si="1227"/>
        <v>INGENIERIA BIOMEDICA-OFICINA ADMINISTRATIVA</v>
      </c>
      <c r="F24492" s="5" t="str">
        <f>"Descripcion:EQUIPO DE COMPUTO TODO EN UNO CON PROCESADOR INTEL i5 Estado: Excelente Placa anterior: 000036973 Material: PLASTICO Color: NEGRO Referencia: 10BD00FDLS Observacion:  Placa anterior:, Placa nueva=H0005368, Descripcion:OPTICO, Serial:44PC965, M"&amp; "arca:LENOVO, Modelo:MOEUUOA, Material:PLASTICO, Color:NEGRO,   Referencia:SM50F76959, Placa anterior:, Placa nueva=H0005367, Descripcion:., Serial:8259054, Marca:LENOVO, Modelo:KU-0225, Material:PLASTICO, Color:NEGRO,   Referencia:54Y9424, Placa anterior:"&amp; "000030642, Placa nueva=B0000756, Descripcion:LICENCIA OFFICE HOME AND BUSIMESS 2013, Serial:99994785865492, Marca:, Modelo:, Material:, Color:,   Referencia: Placa padre:  Tipo adquisicion : Entidad"</f>
        <v>Descripcion:EQUIPO DE COMPUTO TODO EN UNO CON PROCESADOR INTEL i5 Estado: Excelente Placa anterior: 000036973 Material: PLASTICO Color: NEGRO Referencia: 10BD00FDLS Observacion:  Placa anterior:, Placa nueva=H0005368, Descripcion:OPTICO, Serial:44PC965, Marca:LENOVO, Modelo:MOEUUOA, Material:PLASTICO, Color:NEGRO,   Referencia:SM50F76959, Placa anterior:, Placa nueva=H0005367, Descripcion:., Serial:8259054, Marca:LENOVO, Modelo:KU-0225, Material:PLASTICO, Color:NEGRO,   Referencia:54Y9424, Placa anterior:000030642, Placa nueva=B0000756, Descripcion:LICENCIA OFFICE HOME AND BUSIMESS 2013, Serial:99994785865492, Marca:, Modelo:, Material:, Color:,   Referencia: Placa padre:  Tipo adquisicion : Entidad</v>
      </c>
      <c r="G24492" s="5" t="str">
        <f>"THINKCENTRE"</f>
        <v>THINKCENTRE</v>
      </c>
    </row>
    <row r="24493" spans="1:7" ht="58.5" customHeight="1" x14ac:dyDescent="0.25">
      <c r="A24493" s="5" t="str">
        <f>"H0006067"</f>
        <v>H0006067</v>
      </c>
      <c r="B24493" s="5" t="str">
        <f>"COMPUTADOR TODO EN UNO"</f>
        <v>COMPUTADOR TODO EN UNO</v>
      </c>
      <c r="C24493" s="6">
        <v>1200000</v>
      </c>
      <c r="D24493" s="5" t="s">
        <v>2</v>
      </c>
      <c r="E24493" s="5" t="str">
        <f t="shared" si="1227"/>
        <v>INGENIERIA BIOMEDICA-OFICINA ADMINISTRATIVA</v>
      </c>
      <c r="F24493" s="5" t="str">
        <f>"Descripcion: COMPUTADOR TODO EN UNO PROCESADOR: Intel pentiun G645 (2.9 Ghz/3MB/2 nucleos) memoria RAM 4GB DDR3-1600 SODIMM (1X4GB) Disco duro 500GB 7200 RPMSATA-6G Multi DVD/RM Licencia win 8 pro 64 Downgrade to Win 7 pro 64 o supervisor USB Keyboard Usb"&amp; "e Optical, m Estado: Bueno Placa anterior: 000030784 Material:  Color: NEGRO Referencia:  Observacion:  Placa anterior:, Placa nueva=H0006068, Descripcion:TECLADO, Serial:BCZZN0BVB4C214, Marca:HP, Modelo:, Material:, Color:NEGRO,   Referencia:, Placa ante"&amp; "rior:, Placa nueva=H0006069, Descripcion:MOUSE OPTICO, Serial:674316001, Marca:HP, Modelo:, Material:, Color:NEGRO,   Referencia: Placa padre: Tipo adquisicion: Entidad"</f>
        <v>Descripcion: COMPUTADOR TODO EN UNO PROCESADOR: Intel pentiun G645 (2.9 Ghz/3MB/2 nucleos) memoria RAM 4GB DDR3-1600 SODIMM (1X4GB) Disco duro 500GB 7200 RPMSATA-6G Multi DVD/RM Licencia win 8 pro 64 Downgrade to Win 7 pro 64 o supervisor USB Keyboard Usbe Optical, m Estado: Bueno Placa anterior: 000030784 Material:  Color: NEGRO Referencia:  Observacion:  Placa anterior:, Placa nueva=H0006068, Descripcion:TECLADO, Serial:BCZZN0BVB4C214, Marca:HP, Modelo:, Material:, Color:NEGRO,   Referencia:, Placa anterior:, Placa nueva=H0006069, Descripcion:MOUSE OPTICO, Serial:674316001, Marca:HP, Modelo:, Material:, Color:NEGRO,   Referencia: Placa padre: Tipo adquisicion: Entidad</v>
      </c>
      <c r="G24493" s="5" t="str">
        <f>"COMPAQ PRO 4300"</f>
        <v>COMPAQ PRO 4300</v>
      </c>
    </row>
    <row r="24494" spans="1:7" ht="58.5" customHeight="1" x14ac:dyDescent="0.25">
      <c r="A24494" s="5" t="str">
        <f>"H0009395"</f>
        <v>H0009395</v>
      </c>
      <c r="B24494" s="5" t="str">
        <f>"NEVERA DE 66 LTS"</f>
        <v>NEVERA DE 66 LTS</v>
      </c>
      <c r="C24494" s="6">
        <v>379310</v>
      </c>
      <c r="D24494" s="5" t="s">
        <v>845</v>
      </c>
      <c r="E24494" s="5" t="str">
        <f t="shared" si="1227"/>
        <v>INGENIERIA BIOMEDICA-OFICINA ADMINISTRATIVA</v>
      </c>
      <c r="F24494" s="5" t="str">
        <f>"Descripcion: NEVERA Estado: Bueno Placa anterior: 000030333 Material: METAL Color: BEIGE Referencia:  Observacion: PERTENECE A OTRO PISO , EL BIEN TIENE LA PLACA ANTERIOR Placa padre: Tipo adquisicion: Entidad"</f>
        <v>Descripcion: NEVERA Estado: Bueno Placa anterior: 000030333 Material: METAL Color: BEIGE Referencia:  Observacion: PERTENECE A OTRO PISO , EL BIEN TIENE LA PLACA ANTERIOR Placa padre: Tipo adquisicion: Entidad</v>
      </c>
      <c r="G24494" s="5"/>
    </row>
    <row r="24495" spans="1:7" ht="58.5" customHeight="1" x14ac:dyDescent="0.25">
      <c r="A24495" s="5" t="str">
        <f>"H0015979"</f>
        <v>H0015979</v>
      </c>
      <c r="B24495" s="5" t="str">
        <f>"ESTANTE METALICO 6 ENTREPAÑOS"</f>
        <v>ESTANTE METALICO 6 ENTREPAÑOS</v>
      </c>
      <c r="C24495" s="6">
        <v>27590.38</v>
      </c>
      <c r="D24495" s="5"/>
      <c r="E24495" s="5" t="str">
        <f t="shared" si="1227"/>
        <v>INGENIERIA BIOMEDICA-OFICINA ADMINISTRATIVA</v>
      </c>
      <c r="F24495" s="5" t="str">
        <f>"Descripcion: ESTANTE METALICO 6 ENTREPAÑOS Estado: Bueno Placa anterior: 000001384 Material: METALICO Color: GRIS Referencia:  Observacion:  Placa padre: Tipo adquisicion: Entidad"</f>
        <v>Descripcion: ESTANTE METALICO 6 ENTREPAÑOS Estado: Bueno Placa anterior: 000001384 Material: METALICO Color: GRIS Referencia:  Observacion:  Placa padre: Tipo adquisicion: Entidad</v>
      </c>
      <c r="G24495" s="5"/>
    </row>
    <row r="24496" spans="1:7" ht="58.5" customHeight="1" x14ac:dyDescent="0.25">
      <c r="A24496" s="5" t="str">
        <f>"H0017597"</f>
        <v>H0017597</v>
      </c>
      <c r="B24496" s="5" t="str">
        <f>"AIRE ACONDICIONADO TIPO SPLIT 60000 BTU (5 TON)"</f>
        <v>AIRE ACONDICIONADO TIPO SPLIT 60000 BTU (5 TON)</v>
      </c>
      <c r="C24496" s="6">
        <v>4200000</v>
      </c>
      <c r="D24496" s="5" t="s">
        <v>805</v>
      </c>
      <c r="E24496" s="5" t="str">
        <f t="shared" si="1227"/>
        <v>INGENIERIA BIOMEDICA-OFICINA ADMINISTRATIVA</v>
      </c>
      <c r="F24496" s="5" t="str">
        <f>"Descripcion: AIRE ACONDICIONADO DE 60000 BTU Estado: Bueno Placa anterior: 000030711 Material: PASTA Color: BEIGE Referencia: D20215789051   3C20160040 Observacion: AIRE ACONDICIONADO TIPO TECHO DE 60000 BTU CON CONTROL REMOTO Placa padre: Tipo adquisicio"&amp; "n: Entidad"</f>
        <v>Descripcion: AIRE ACONDICIONADO DE 60000 BTU Estado: Bueno Placa anterior: 000030711 Material: PASTA Color: BEIGE Referencia: D20215789051   3C20160040 Observacion: AIRE ACONDICIONADO TIPO TECHO DE 60000 BTU CON CONTROL REMOTO Placa padre: Tipo adquisicion: Entidad</v>
      </c>
      <c r="G24496" s="5"/>
    </row>
    <row r="24497" spans="1:7" ht="58.5" customHeight="1" x14ac:dyDescent="0.25">
      <c r="A24497" s="5" t="str">
        <f>"H0019601"</f>
        <v>H0019601</v>
      </c>
      <c r="B24497" s="5" t="str">
        <f>"COMPUTADOR TODO EN UNO"</f>
        <v>COMPUTADOR TODO EN UNO</v>
      </c>
      <c r="C24497" s="6">
        <v>2470000</v>
      </c>
      <c r="D24497" s="5" t="s">
        <v>6</v>
      </c>
      <c r="E24497" s="5" t="str">
        <f t="shared" si="1227"/>
        <v>INGENIERIA BIOMEDICA-OFICINA ADMINISTRATIVA</v>
      </c>
      <c r="F24497" s="5" t="str">
        <f>"Descripcion:EQUIPO DE COMPUTO TODO EN UNO CON PROCESADOR INTEL i5 Estado: Bueno Placa anterior: 000036981 Material: PLASTICO DE POLIPROPILENO Color: NEGRO Referencia:  Observacion:  Placa anterior:, Placa nueva=H0019603, Descripcion:TECLADO, Serial:827918"&amp; "4, Marca:LENOVO, Modelo:KU-0225, Material:PLASTICO DE POLIPROPILENO, Color:NEGRO,   Referencia:PN: 54Y9424, Placa anterior:, Placa nueva=H0019604, Descripcion:MOUSE OPTICO, Serial:44PD138   0515, Marca:LENOVO, Modelo:MOEUUOA, Material:PLASTICO DE POLIPROP"&amp; "ILENO, Color:NEGRO,   Referencia:P/N: 45J4889, Placa anterior:000030813, Placa nueva=H0019602, Descripcion:LICENCIA OFFICE HOME AND BUSIMESS 2013, Serial:8653, Marca:, Modelo:, Material:, Color:,   Referencia: Placa padre:  Tipo adquisicion : Entidad"</f>
        <v>Descripcion:EQUIPO DE COMPUTO TODO EN UNO CON PROCESADOR INTEL i5 Estado: Bueno Placa anterior: 000036981 Material: PLASTICO DE POLIPROPILENO Color: NEGRO Referencia:  Observacion:  Placa anterior:, Placa nueva=H0019603, Descripcion:TECLADO, Serial:8279184, Marca:LENOVO, Modelo:KU-0225, Material:PLASTICO DE POLIPROPILENO, Color:NEGRO,   Referencia:PN: 54Y9424, Placa anterior:, Placa nueva=H0019604, Descripcion:MOUSE OPTICO, Serial:44PD138   0515, Marca:LENOVO, Modelo:MOEUUOA, Material:PLASTICO DE POLIPROPILENO, Color:NEGRO,   Referencia:P/N: 45J4889, Placa anterior:000030813, Placa nueva=H0019602, Descripcion:LICENCIA OFFICE HOME AND BUSIMESS 2013, Serial:8653, Marca:, Modelo:, Material:, Color:,   Referencia: Placa padre:  Tipo adquisicion : Entidad</v>
      </c>
      <c r="G24497" s="5" t="str">
        <f>"THINKCENTRE"</f>
        <v>THINKCENTRE</v>
      </c>
    </row>
    <row r="24498" spans="1:7" ht="58.5" customHeight="1" x14ac:dyDescent="0.25">
      <c r="A24498" s="5" t="str">
        <f>"H0019607"</f>
        <v>H0019607</v>
      </c>
      <c r="B24498" s="5" t="str">
        <f>"VENTILADOR DE PARED"</f>
        <v>VENTILADOR DE PARED</v>
      </c>
      <c r="C24498" s="6">
        <v>26181.3</v>
      </c>
      <c r="D24498" s="5"/>
      <c r="E24498" s="5" t="str">
        <f t="shared" si="1227"/>
        <v>INGENIERIA BIOMEDICA-OFICINA ADMINISTRATIVA</v>
      </c>
      <c r="F24498" s="5" t="str">
        <f>"Descripcion:VENTILADOR DE PARED Estado: Bueno Placa anterior: 000010638 Material: PLASTICO DE POLIPROPILENO Color: BLANCO  Referencia:  Observacion: EL FUNCIONARIO MANIFIESTA QUE EL VENTILADOR DE PIE LO CONVIRTIERON EN VENTILADOR DE PARED Y AUTORIZA SE CO"&amp; "NCILIE CON PLACA No. 10638 Placa padre:  Tipo adquisicion : Entidad"</f>
        <v>Descripcion:VENTILADOR DE PARED Estado: Bueno Placa anterior: 000010638 Material: PLASTICO DE POLIPROPILENO Color: BLANCO  Referencia:  Observacion: EL FUNCIONARIO MANIFIESTA QUE EL VENTILADOR DE PIE LO CONVIRTIERON EN VENTILADOR DE PARED Y AUTORIZA SE CONCILIE CON PLACA No. 10638 Placa padre:  Tipo adquisicion : Entidad</v>
      </c>
      <c r="G24498" s="5" t="str">
        <f>"NEW MAX AIR"</f>
        <v>NEW MAX AIR</v>
      </c>
    </row>
    <row r="24499" spans="1:7" ht="58.5" customHeight="1" x14ac:dyDescent="0.25">
      <c r="A24499" s="5" t="str">
        <f>"H0019632"</f>
        <v>H0019632</v>
      </c>
      <c r="B24499" s="5" t="str">
        <f>"BANCO DE PRUEBA"</f>
        <v>BANCO DE PRUEBA</v>
      </c>
      <c r="C24499" s="6">
        <v>300000</v>
      </c>
      <c r="D24499" s="5"/>
      <c r="E24499" s="5" t="str">
        <f t="shared" si="1227"/>
        <v>INGENIERIA BIOMEDICA-OFICINA ADMINISTRATIVA</v>
      </c>
      <c r="F24499" s="5" t="str">
        <f>"Descripcion:BANCO DE PRUEBA CON TABLERO CON UNA BASE DE DOS LAMPARA Estado: Bueno Placa anterior: 000010609 Material: METALICO Color: GRIS Y NEGRO Referencia:  Observacion:  Placa padre:  Tipo adquisicion : Entidad"</f>
        <v>Descripcion:BANCO DE PRUEBA CON TABLERO CON UNA BASE DE DOS LAMPARA Estado: Bueno Placa anterior: 000010609 Material: METALICO Color: GRIS Y NEGRO Referencia:  Observacion:  Placa padre:  Tipo adquisicion : Entidad</v>
      </c>
      <c r="G24499" s="5"/>
    </row>
    <row r="24500" spans="1:7" ht="58.5" customHeight="1" x14ac:dyDescent="0.25">
      <c r="A24500" s="5" t="str">
        <f>"H0019633"</f>
        <v>H0019633</v>
      </c>
      <c r="B24500" s="5" t="str">
        <f>"GENERADOR DE FUNCIONES"</f>
        <v>GENERADOR DE FUNCIONES</v>
      </c>
      <c r="C24500" s="6">
        <v>954546.5</v>
      </c>
      <c r="D24500" s="5"/>
      <c r="E24500" s="5" t="str">
        <f t="shared" si="1227"/>
        <v>INGENIERIA BIOMEDICA-OFICINA ADMINISTRATIVA</v>
      </c>
      <c r="F24500" s="5" t="str">
        <f>"Descripcion:GENERADOR DE FUNCIONES Estado: Bueno Placa anterior: 000010629 Material: METALICO Color: BLANCO Referencia:  Observacion:  Placa padre:  Tipo adquisicion : Entidad"</f>
        <v>Descripcion:GENERADOR DE FUNCIONES Estado: Bueno Placa anterior: 000010629 Material: METALICO Color: BLANCO Referencia:  Observacion:  Placa padre:  Tipo adquisicion : Entidad</v>
      </c>
      <c r="G24500" s="5"/>
    </row>
    <row r="24501" spans="1:7" ht="58.5" customHeight="1" x14ac:dyDescent="0.25">
      <c r="A24501" s="5" t="str">
        <f>"H0019634"</f>
        <v>H0019634</v>
      </c>
      <c r="B24501" s="5" t="str">
        <f>"FUENTE DE PODER"</f>
        <v>FUENTE DE PODER</v>
      </c>
      <c r="C24501" s="6">
        <v>537680</v>
      </c>
      <c r="D24501" s="5"/>
      <c r="E24501" s="5" t="str">
        <f t="shared" si="1227"/>
        <v>INGENIERIA BIOMEDICA-OFICINA ADMINISTRATIVA</v>
      </c>
      <c r="F24501" s="5" t="str">
        <f>"Descripcion:FUENTE REGULADORA DE POTENCIA Estado: Bueno Placa anterior: 000010628 Material: METALICO Color: BLANCO Referencia:  Observacion:  Placa padre:  Tipo adquisicion : Entidad"</f>
        <v>Descripcion:FUENTE REGULADORA DE POTENCIA Estado: Bueno Placa anterior: 000010628 Material: METALICO Color: BLANCO Referencia:  Observacion:  Placa padre:  Tipo adquisicion : Entidad</v>
      </c>
      <c r="G24501" s="5"/>
    </row>
    <row r="24502" spans="1:7" ht="58.5" customHeight="1" x14ac:dyDescent="0.25">
      <c r="A24502" s="5" t="str">
        <f>"H0019650"</f>
        <v>H0019650</v>
      </c>
      <c r="B24502" s="5" t="str">
        <f>"MULTIMUEBLE DE MADERA"</f>
        <v>MULTIMUEBLE DE MADERA</v>
      </c>
      <c r="C24502" s="6">
        <v>12895</v>
      </c>
      <c r="D24502" s="5"/>
      <c r="E24502" s="5" t="str">
        <f t="shared" si="1227"/>
        <v>INGENIERIA BIOMEDICA-OFICINA ADMINISTRATIVA</v>
      </c>
      <c r="F24502" s="5" t="str">
        <f>"Descripcion:BIBLIOTECA METALICA 2 CUERPOS 3 ENTREPAÑOS PUERTAS CORREDIZAS Estado: Bueno Placa anterior: 000010618 Material: METALICA Y VIDRIO Color: GRIS Referencia:  Observacion:  Placa padre:  Tipo adquisicion : Entidad"</f>
        <v>Descripcion:BIBLIOTECA METALICA 2 CUERPOS 3 ENTREPAÑOS PUERTAS CORREDIZAS Estado: Bueno Placa anterior: 000010618 Material: METALICA Y VIDRIO Color: GRIS Referencia:  Observacion:  Placa padre:  Tipo adquisicion : Entidad</v>
      </c>
      <c r="G24502" s="5"/>
    </row>
    <row r="24503" spans="1:7" ht="58.5" customHeight="1" x14ac:dyDescent="0.25">
      <c r="A24503" s="5" t="str">
        <f>"H0019656"</f>
        <v>H0019656</v>
      </c>
      <c r="B24503" s="5" t="str">
        <f>"ARCHIVADOR METALICO 1 GAVETA"</f>
        <v>ARCHIVADOR METALICO 1 GAVETA</v>
      </c>
      <c r="C24503" s="6">
        <v>2189</v>
      </c>
      <c r="D24503" s="5"/>
      <c r="E24503" s="5" t="str">
        <f t="shared" si="1227"/>
        <v>INGENIERIA BIOMEDICA-OFICINA ADMINISTRATIVA</v>
      </c>
      <c r="F24503" s="5" t="str">
        <f>"Descripcion:ARCHIVADOR  Estado: Bueno Placa anterior: 000015064 Material: METALICO Color: BLANCO Referencia:  Observacion: EL FUNCIONARIO AUTORIZA SE CONCILIE CON LA PLACA NO. 15064 Placa padre:  Tipo adquisicion : Entidad"</f>
        <v>Descripcion:ARCHIVADOR  Estado: Bueno Placa anterior: 000015064 Material: METALICO Color: BLANCO Referencia:  Observacion: EL FUNCIONARIO AUTORIZA SE CONCILIE CON LA PLACA NO. 15064 Placa padre:  Tipo adquisicion : Entidad</v>
      </c>
      <c r="G24503" s="5"/>
    </row>
    <row r="24504" spans="1:7" ht="58.5" customHeight="1" x14ac:dyDescent="0.25">
      <c r="A24504" s="5" t="str">
        <f>"H0024142"</f>
        <v>H0024142</v>
      </c>
      <c r="B24504" s="5" t="str">
        <f>"EXTINTORES 3700 grs DE AGENTE LIMPIO"</f>
        <v>EXTINTORES 3700 grs DE AGENTE LIMPIO</v>
      </c>
      <c r="C24504" s="6">
        <v>330000.01</v>
      </c>
      <c r="D24504" s="5" t="s">
        <v>458</v>
      </c>
      <c r="E24504" s="5" t="str">
        <f t="shared" si="1227"/>
        <v>INGENIERIA BIOMEDICA-OFICINA ADMINISTRATIVA</v>
      </c>
      <c r="F24504" s="5"/>
      <c r="G24504" s="5"/>
    </row>
    <row r="24505" spans="1:7" ht="58.5" customHeight="1" x14ac:dyDescent="0.25">
      <c r="A24505" s="5" t="str">
        <f>"H0024304"</f>
        <v>H0024304</v>
      </c>
      <c r="B24505" s="5" t="str">
        <f>"TERMÓMETRO PATRÓN VERIFICADOR CON TERMOCUPLA TIPO K EN CROMO ALUMINIO TIPO AMPOLLA. MEDICIÓN DE TEMPERATURA DE -40 A 260 °C. PRECISIÓN ± 1.1 °C"</f>
        <v>TERMÓMETRO PATRÓN VERIFICADOR CON TERMOCUPLA TIPO K EN CROMO ALUMINIO TIPO AMPOLLA. MEDICIÓN DE TEMPERATURA DE -40 A 260 °C. PRECISIÓN ± 1.1 °C</v>
      </c>
      <c r="C24505" s="6">
        <v>1705200</v>
      </c>
      <c r="D24505" s="5" t="s">
        <v>376</v>
      </c>
      <c r="E24505" s="5" t="str">
        <f t="shared" si="1227"/>
        <v>INGENIERIA BIOMEDICA-OFICINA ADMINISTRATIVA</v>
      </c>
      <c r="F24505" s="5"/>
      <c r="G24505" s="5"/>
    </row>
    <row r="24506" spans="1:7" ht="58.5" customHeight="1" x14ac:dyDescent="0.25">
      <c r="A24506" s="5" t="str">
        <f>"H0024305"</f>
        <v>H0024305</v>
      </c>
      <c r="B24506" s="5" t="str">
        <f>"VOLTAJE DC RESOLUCIÓN 0.1 mV, PRECISIÓN ±(0.09% + 2), MAX 1000 VDC. VOLTAJE AC RESOLUCIÓN 0.1 mV y precisión ±(1.0% + 3) Max 1000 VAC. CORRIENTE DC RESOLUCIÓN 0.01 mA, PRECISIÓN ±(1.0% + 3), MAX 10 A. CORRIENTE AC RESOLUCIÓN 0.1 mA, PRECISIÓN ±(1.5% + 3),"&amp; " MAX 10 A. RESISTENCIA RESOLUCIÓN 0.1 mOHM, PRECISIÓN ±(0.9% + 1), MAX 50 OHM. CAPACITANCIA RESOLUCIÓN 1 nF, PRECISIÓN ±(1.2% + 2), MAX 10000 uF. FRECUENCIA RESOLUCIÓN 0.01 Hz, PRECISIÓN ±(0.1% + 1), MAX 100 kHz. TEMPERATURA RESOLUCIÓN 0.1 °C, PRECISIÓN ±"&amp; "(1.0% + 10), RANGO -40 A 400 °C"</f>
        <v>VOLTAJE DC RESOLUCIÓN 0.1 mV, PRECISIÓN ±(0.09% + 2), MAX 1000 VDC. VOLTAJE AC RESOLUCIÓN 0.1 mV y precisión ±(1.0% + 3) Max 1000 VAC. CORRIENTE DC RESOLUCIÓN 0.01 mA, PRECISIÓN ±(1.0% + 3), MAX 10 A. CORRIENTE AC RESOLUCIÓN 0.1 mA, PRECISIÓN ±(1.5% + 3), MAX 10 A. RESISTENCIA RESOLUCIÓN 0.1 mOHM, PRECISIÓN ±(0.9% + 1), MAX 50 OHM. CAPACITANCIA RESOLUCIÓN 1 nF, PRECISIÓN ±(1.2% + 2), MAX 10000 uF. FRECUENCIA RESOLUCIÓN 0.01 Hz, PRECISIÓN ±(0.1% + 1), MAX 100 kHz. TEMPERATURA RESOLUCIÓN 0.1 °C, PRECISIÓN ±(1.0% + 10), RANGO -40 A 400 °C</v>
      </c>
      <c r="C24506" s="6">
        <v>1885371</v>
      </c>
      <c r="D24506" s="5" t="s">
        <v>948</v>
      </c>
      <c r="E24506" s="5" t="str">
        <f t="shared" si="1227"/>
        <v>INGENIERIA BIOMEDICA-OFICINA ADMINISTRATIVA</v>
      </c>
      <c r="F24506" s="5"/>
      <c r="G24506" s="5"/>
    </row>
    <row r="24507" spans="1:7" ht="58.5" customHeight="1" x14ac:dyDescent="0.25">
      <c r="A24507" s="5" t="str">
        <f>"H0024325"</f>
        <v>H0024325</v>
      </c>
      <c r="B24507" s="5" t="str">
        <f>"SIMULADOR DE SIGNOS VITALES CON SIMULACION DE ECG, ARRITMIAS, RESPIRACION,NIBP,,SALIDA CARDIACA, MEDICON DE PRESION, MEDICION MULTIPARAMETRO,, SECUENCIAS Y OPCION EN ESPAÑOL.DEBE INCLUIR.VALVULA DE INSUFLACION,MANUAL KIT DE ADAPTADORES PARA BRAZALETES NIB"&amp; "P, BATERIA Y MANUALES DE USUARIO."</f>
        <v>SIMULADOR DE SIGNOS VITALES CON SIMULACION DE ECG, ARRITMIAS, RESPIRACION,NIBP,,SALIDA CARDIACA, MEDICON DE PRESION, MEDICION MULTIPARAMETRO,, SECUENCIAS Y OPCION EN ESPAÑOL.DEBE INCLUIR.VALVULA DE INSUFLACION,MANUAL KIT DE ADAPTADORES PARA BRAZALETES NIBP, BATERIA Y MANUALES DE USUARIO.</v>
      </c>
      <c r="C24507" s="6">
        <v>35316606</v>
      </c>
      <c r="D24507" s="5" t="s">
        <v>376</v>
      </c>
      <c r="E24507" s="5" t="str">
        <f t="shared" si="1227"/>
        <v>INGENIERIA BIOMEDICA-OFICINA ADMINISTRATIVA</v>
      </c>
      <c r="F24507" s="5"/>
      <c r="G24507" s="5"/>
    </row>
    <row r="24508" spans="1:7" ht="58.5" customHeight="1" x14ac:dyDescent="0.25">
      <c r="A24508" s="5" t="str">
        <f>"H0024565"</f>
        <v>H0024565</v>
      </c>
      <c r="B24508"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4508" s="6">
        <v>2600000</v>
      </c>
      <c r="D24508" s="5" t="s">
        <v>36</v>
      </c>
      <c r="E24508" s="5" t="str">
        <f t="shared" si="1227"/>
        <v>INGENIERIA BIOMEDICA-OFICINA ADMINISTRATIVA</v>
      </c>
      <c r="F24508" s="5"/>
      <c r="G24508" s="5"/>
    </row>
    <row r="24509" spans="1:7" ht="58.5" customHeight="1" x14ac:dyDescent="0.25">
      <c r="A24509" s="5" t="str">
        <f>"H0024566"</f>
        <v>H0024566</v>
      </c>
      <c r="B24509" s="5" t="str">
        <f>"EQUIPO DE COMPUTO TODO EN UNO con Procesador Intel core i5 de quinta generación de 2.2 Ghz o superior. Memoria RAM 4 GB DDR3 o DDR4 o superior. 1 disco duro de 500 GB 7200 rpm o superior. Puerto Ether"</f>
        <v>EQUIPO DE COMPUTO TODO EN UNO con Procesador Intel core i5 de quinta generación de 2.2 Ghz o superior. Memoria RAM 4 GB DDR3 o DDR4 o superior. 1 disco duro de 500 GB 7200 rpm o superior. Puerto Ether</v>
      </c>
      <c r="C24509" s="6">
        <v>2600000</v>
      </c>
      <c r="D24509" s="5" t="s">
        <v>36</v>
      </c>
      <c r="E24509" s="5" t="str">
        <f t="shared" si="1227"/>
        <v>INGENIERIA BIOMEDICA-OFICINA ADMINISTRATIVA</v>
      </c>
      <c r="F24509" s="5"/>
      <c r="G24509" s="5"/>
    </row>
    <row r="24510" spans="1:7" ht="58.5" customHeight="1" x14ac:dyDescent="0.25">
      <c r="A24510" s="5" t="str">
        <f>"H0024626"</f>
        <v>H0024626</v>
      </c>
      <c r="B24510" s="5" t="str">
        <f>"ESTANTE  METÁLICO CONSTA DE 7 ENTREPAÑOS HORIZONTALES DIMENSIONES 0,90 ANCHO X 0,40 FONDO X 2,00 ALTO MTS"</f>
        <v>ESTANTE  METÁLICO CONSTA DE 7 ENTREPAÑOS HORIZONTALES DIMENSIONES 0,90 ANCHO X 0,40 FONDO X 2,00 ALTO MTS</v>
      </c>
      <c r="C24510" s="6">
        <v>290000</v>
      </c>
      <c r="D24510" s="5" t="s">
        <v>36</v>
      </c>
      <c r="E24510" s="5" t="str">
        <f t="shared" si="1227"/>
        <v>INGENIERIA BIOMEDICA-OFICINA ADMINISTRATIVA</v>
      </c>
      <c r="F24510" s="5"/>
      <c r="G24510" s="5"/>
    </row>
    <row r="24511" spans="1:7" ht="58.5" customHeight="1" x14ac:dyDescent="0.25">
      <c r="A24511" s="5" t="str">
        <f>"H0024627"</f>
        <v>H0024627</v>
      </c>
      <c r="B24511" s="5" t="str">
        <f>"ESTANTE  METÁLICO CONSTA DE 7 ENTREPAÑOS HORIZONTALES DIMENSIONES 0,90 ANCHO X 0,40 FONDO X 2,00 ALTO MTS"</f>
        <v>ESTANTE  METÁLICO CONSTA DE 7 ENTREPAÑOS HORIZONTALES DIMENSIONES 0,90 ANCHO X 0,40 FONDO X 2,00 ALTO MTS</v>
      </c>
      <c r="C24511" s="6">
        <v>290000</v>
      </c>
      <c r="D24511" s="5" t="s">
        <v>36</v>
      </c>
      <c r="E24511" s="5" t="str">
        <f t="shared" si="1227"/>
        <v>INGENIERIA BIOMEDICA-OFICINA ADMINISTRATIVA</v>
      </c>
      <c r="F24511" s="5"/>
      <c r="G24511" s="5"/>
    </row>
    <row r="24512" spans="1:7" ht="58.5" customHeight="1" x14ac:dyDescent="0.25">
      <c r="A24512" s="5" t="str">
        <f>"H0024628"</f>
        <v>H0024628</v>
      </c>
      <c r="B24512" s="5" t="str">
        <f>"ESTANTE  METÁLICO CONSTA DE 7 ENTREPAÑOS HORIZONTALES DIMENSIONES 0,90 ANCHO X 0,40 FONDO X 2,00 ALTO MTS"</f>
        <v>ESTANTE  METÁLICO CONSTA DE 7 ENTREPAÑOS HORIZONTALES DIMENSIONES 0,90 ANCHO X 0,40 FONDO X 2,00 ALTO MTS</v>
      </c>
      <c r="C24512" s="6">
        <v>290000</v>
      </c>
      <c r="D24512" s="5" t="s">
        <v>36</v>
      </c>
      <c r="E24512" s="5" t="str">
        <f t="shared" si="1227"/>
        <v>INGENIERIA BIOMEDICA-OFICINA ADMINISTRATIVA</v>
      </c>
      <c r="F24512" s="5"/>
      <c r="G24512" s="5"/>
    </row>
    <row r="24513" spans="1:7" ht="58.5" customHeight="1" x14ac:dyDescent="0.25">
      <c r="A24513" s="5" t="str">
        <f>"H0024631"</f>
        <v>H0024631</v>
      </c>
      <c r="B24513"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24513" s="6">
        <v>121800</v>
      </c>
      <c r="D24513" s="5" t="s">
        <v>709</v>
      </c>
      <c r="E24513" s="5" t="str">
        <f t="shared" si="1227"/>
        <v>INGENIERIA BIOMEDICA-OFICINA ADMINISTRATIVA</v>
      </c>
      <c r="F24513" s="5"/>
      <c r="G24513" s="5"/>
    </row>
    <row r="24514" spans="1:7" ht="58.5" customHeight="1" x14ac:dyDescent="0.25">
      <c r="A24514" s="5" t="str">
        <f>"H0024632"</f>
        <v>H0024632</v>
      </c>
      <c r="B24514"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24514" s="6">
        <v>121800</v>
      </c>
      <c r="D24514" s="5" t="s">
        <v>36</v>
      </c>
      <c r="E24514" s="5" t="str">
        <f t="shared" si="1227"/>
        <v>INGENIERIA BIOMEDICA-OFICINA ADMINISTRATIVA</v>
      </c>
      <c r="F24514" s="5"/>
      <c r="G24514" s="5"/>
    </row>
    <row r="24515" spans="1:7" ht="58.5" customHeight="1" x14ac:dyDescent="0.25">
      <c r="A24515" s="5" t="str">
        <f>"H0024633"</f>
        <v>H0024633</v>
      </c>
      <c r="B24515"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24515" s="6">
        <v>121800</v>
      </c>
      <c r="D24515" s="5" t="s">
        <v>36</v>
      </c>
      <c r="E24515" s="5" t="str">
        <f t="shared" si="1227"/>
        <v>INGENIERIA BIOMEDICA-OFICINA ADMINISTRATIVA</v>
      </c>
      <c r="F24515" s="5"/>
      <c r="G24515" s="5"/>
    </row>
    <row r="24516" spans="1:7" ht="58.5" customHeight="1" x14ac:dyDescent="0.25">
      <c r="A24516" s="5" t="str">
        <f>"H0024634"</f>
        <v>H0024634</v>
      </c>
      <c r="B24516" s="5" t="str">
        <f>"SILLA FIJA ESPALDAR Y ASIENTO EN ESPUMA DE ALTA DENSIDAD, TAPIZADA EN PAÑO ESTRUCTURA METÁLICA EN TUBO OVAL CAL. 18 CON ACABADO DE PINTURA ELECTROESTÁTICA EN POLVO"</f>
        <v>SILLA FIJA ESPALDAR Y ASIENTO EN ESPUMA DE ALTA DENSIDAD, TAPIZADA EN PAÑO ESTRUCTURA METÁLICA EN TUBO OVAL CAL. 18 CON ACABADO DE PINTURA ELECTROESTÁTICA EN POLVO</v>
      </c>
      <c r="C24516" s="6">
        <v>121800</v>
      </c>
      <c r="D24516" s="5" t="s">
        <v>36</v>
      </c>
      <c r="E24516" s="5" t="str">
        <f t="shared" si="1227"/>
        <v>INGENIERIA BIOMEDICA-OFICINA ADMINISTRATIVA</v>
      </c>
      <c r="F24516" s="5"/>
      <c r="G24516" s="5"/>
    </row>
    <row r="24517" spans="1:7" ht="58.5" customHeight="1" x14ac:dyDescent="0.25">
      <c r="A24517" s="5" t="str">
        <f>"H0024973"</f>
        <v>H0024973</v>
      </c>
      <c r="B24517" s="5" t="str">
        <f>"SILLA EJECUTIVA ESPALDAR ALTO EN MALLA ANTI TRANSPIRANTE Y CORDOBAN ASIENTO EN ESPUMA LAMINADA TAPIZADA EN TELA BASE GIRATORIA METÁLICA CON ACABADO CROMADO, RODACHINES EN NYLON, INCLUYE BRAZOS EN POLIPROPILENO FIJOS SISTEMA DE ELEVACIÓN NEUMÁTICO Y ASJUST"&amp; "E PARA RECUESTE DE SILLA CUANDO NO ES EN POSICIÓN FIJA"</f>
        <v>SILLA EJECUTIVA ESPALDAR ALTO EN MALLA ANTI TRANSPIRANTE Y CORDOBAN ASIENTO EN ESPUMA LAMINADA TAPIZADA EN TELA BASE GIRATORIA METÁLICA CON ACABADO CROMADO, RODACHINES EN NYLON, INCLUYE BRAZOS EN POLIPROPILENO FIJOS SISTEMA DE ELEVACIÓN NEUMÁTICO Y ASJUSTE PARA RECUESTE DE SILLA CUANDO NO ES EN POSICIÓN FIJA</v>
      </c>
      <c r="C24517" s="6">
        <v>322480</v>
      </c>
      <c r="D24517" s="5" t="s">
        <v>644</v>
      </c>
      <c r="E24517" s="5" t="str">
        <f t="shared" si="1227"/>
        <v>INGENIERIA BIOMEDICA-OFICINA ADMINISTRATIVA</v>
      </c>
      <c r="F24517" s="5"/>
      <c r="G24517" s="5"/>
    </row>
    <row r="24518" spans="1:7" ht="58.5" customHeight="1" x14ac:dyDescent="0.25">
      <c r="A24518" s="5" t="str">
        <f>"H0024976"</f>
        <v>H0024976</v>
      </c>
      <c r="B24518" s="5" t="str">
        <f>"SILLA OPERATIVA, ESPALDAR MEDIO Y ASIENTO EN ESPUMA DE ALTA DENSIDAD, TAPIZADO EN PAÑO BASE EN POLIPROPILENO CON CINCO RODACHINES EN NYLON INCLUYE SISTEMA DE ELEVACIÓN NEUMÁTICA Y MECANISMOS DE PLATINA CON FUELLE NO INCLUYE BRAZOS"</f>
        <v>SILLA OPERATIVA, ESPALDAR MEDIO Y ASIENTO EN ESPUMA DE ALTA DENSIDAD, TAPIZADO EN PAÑO BASE EN POLIPROPILENO CON CINCO RODACHINES EN NYLON INCLUYE SISTEMA DE ELEVACIÓN NEUMÁTICA Y MECANISMOS DE PLATINA CON FUELLE NO INCLUYE BRAZOS</v>
      </c>
      <c r="C24518" s="6">
        <v>261000</v>
      </c>
      <c r="D24518" s="5" t="s">
        <v>644</v>
      </c>
      <c r="E24518" s="5" t="str">
        <f t="shared" si="1227"/>
        <v>INGENIERIA BIOMEDICA-OFICINA ADMINISTRATIVA</v>
      </c>
      <c r="F24518" s="5"/>
      <c r="G24518" s="5"/>
    </row>
    <row r="24519" spans="1:7" ht="58.5" customHeight="1" x14ac:dyDescent="0.25">
      <c r="A24519" s="5" t="str">
        <f>"H0024989"</f>
        <v>H0024989</v>
      </c>
      <c r="B24519"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4519" s="6">
        <v>614800</v>
      </c>
      <c r="D24519" s="5" t="s">
        <v>578</v>
      </c>
      <c r="E24519" s="5" t="str">
        <f t="shared" ref="E24519:E24550" si="1228">"INGENIERIA BIOMEDICA-OFICINA ADMINISTRATIVA"</f>
        <v>INGENIERIA BIOMEDICA-OFICINA ADMINISTRATIVA</v>
      </c>
      <c r="F24519" s="5"/>
      <c r="G24519" s="5"/>
    </row>
    <row r="24520" spans="1:7" ht="58.5" customHeight="1" x14ac:dyDescent="0.25">
      <c r="A24520" s="5" t="str">
        <f>"H0024990"</f>
        <v>H0024990</v>
      </c>
      <c r="B24520"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4520" s="6">
        <v>614800</v>
      </c>
      <c r="D24520" s="5" t="s">
        <v>578</v>
      </c>
      <c r="E24520" s="5" t="str">
        <f t="shared" si="1228"/>
        <v>INGENIERIA BIOMEDICA-OFICINA ADMINISTRATIVA</v>
      </c>
      <c r="F24520" s="5"/>
      <c r="G24520" s="5"/>
    </row>
    <row r="24521" spans="1:7" ht="58.5" customHeight="1" x14ac:dyDescent="0.25">
      <c r="A24521" s="5" t="str">
        <f>"H0024991"</f>
        <v>H0024991</v>
      </c>
      <c r="B24521"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4521" s="6">
        <v>614800</v>
      </c>
      <c r="D24521" s="5" t="s">
        <v>578</v>
      </c>
      <c r="E24521" s="5" t="str">
        <f t="shared" si="1228"/>
        <v>INGENIERIA BIOMEDICA-OFICINA ADMINISTRATIVA</v>
      </c>
      <c r="F24521" s="5"/>
      <c r="G24521" s="5"/>
    </row>
    <row r="24522" spans="1:7" ht="58.5" customHeight="1" x14ac:dyDescent="0.25">
      <c r="A24522" s="5" t="str">
        <f>"H0024992"</f>
        <v>H0024992</v>
      </c>
      <c r="B24522"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4522" s="6">
        <v>614800</v>
      </c>
      <c r="D24522" s="5" t="s">
        <v>578</v>
      </c>
      <c r="E24522" s="5" t="str">
        <f t="shared" si="1228"/>
        <v>INGENIERIA BIOMEDICA-OFICINA ADMINISTRATIVA</v>
      </c>
      <c r="F24522" s="5"/>
      <c r="G24522" s="5"/>
    </row>
    <row r="24523" spans="1:7" ht="58.5" customHeight="1" x14ac:dyDescent="0.25">
      <c r="A24523" s="5" t="str">
        <f>"H0024993"</f>
        <v>H0024993</v>
      </c>
      <c r="B24523" s="5" t="str">
        <f>"ESCRITORIO EJECUTIVO, SUPERFICIE EN AGLOMERADO ENCHAPADA EN GENERICA CON BORDES EN PVC, ESTRUCTURA METÁLICA DE (2) PEDESTALES EN H, ACABADO EN PINTURA ELECTROESTÁTICA, INCLUYE ARCHIVADOR 2X1 METÁLICO CON GAVETAS Y SISTEMA DE CIERRE DIMENSIONES: 1,23 FRENT"&amp; "E X 1,56 FONDO X 0,74 ALTO"</f>
        <v>ESCRITORIO EJECUTIVO, SUPERFICIE EN AGLOMERADO ENCHAPADA EN GENERICA CON BORDES EN PVC, ESTRUCTURA METÁLICA DE (2) PEDESTALES EN H, ACABADO EN PINTURA ELECTROESTÁTICA, INCLUYE ARCHIVADOR 2X1 METÁLICO CON GAVETAS Y SISTEMA DE CIERRE DIMENSIONES: 1,23 FRENTE X 1,56 FONDO X 0,74 ALTO</v>
      </c>
      <c r="C24523" s="6">
        <v>614800</v>
      </c>
      <c r="D24523" s="5" t="s">
        <v>578</v>
      </c>
      <c r="E24523" s="5" t="str">
        <f t="shared" si="1228"/>
        <v>INGENIERIA BIOMEDICA-OFICINA ADMINISTRATIVA</v>
      </c>
      <c r="F24523" s="5"/>
      <c r="G24523" s="5"/>
    </row>
    <row r="24524" spans="1:7" ht="58.5" customHeight="1" x14ac:dyDescent="0.25">
      <c r="A24524" s="5" t="str">
        <f>"H0024994"</f>
        <v>H0024994</v>
      </c>
      <c r="B24524" s="5" t="str">
        <f>"ESCRITORIO EJECUTIVO, SUPERFICIE EN AGLOMERADO ENCHAPADA EN GENERICA CON BORDES EN PVC, ESTRUCTURA METÁLICA DE (2) PEDESTALES EN H. Y FALDON EN LÁMINA PERFORADA, ACABADO Y PINTURA ELECTROESTÁTICA. INCLUYE ARCHIVADOR 2X1 METALICO CON GAVETAS Y SISTEMA DE C"&amp; "IERRE GENERAL. DIMENSIONES: 1,50  FRENTE X 1,50 FONDO X 0,74 ALTO"</f>
        <v>ESCRITORIO EJECUTIVO, SUPERFICIE EN AGLOMERADO ENCHAPADA EN GENERICA CON BORDES EN PVC, ESTRUCTURA METÁLICA DE (2) PEDESTALES EN H. Y FALDON EN LÁMINA PERFORADA, ACABADO Y PINTURA ELECTROESTÁTICA. INCLUYE ARCHIVADOR 2X1 METALICO CON GAVETAS Y SISTEMA DE CIERRE GENERAL. DIMENSIONES: 1,50  FRENTE X 1,50 FONDO X 0,74 ALTO</v>
      </c>
      <c r="C24524" s="6">
        <v>719200</v>
      </c>
      <c r="D24524" s="5" t="s">
        <v>578</v>
      </c>
      <c r="E24524" s="5" t="str">
        <f t="shared" si="1228"/>
        <v>INGENIERIA BIOMEDICA-OFICINA ADMINISTRATIVA</v>
      </c>
      <c r="F24524" s="5"/>
      <c r="G24524" s="5"/>
    </row>
    <row r="24525" spans="1:7" ht="58.5" customHeight="1" x14ac:dyDescent="0.25">
      <c r="A24525" s="5" t="str">
        <f>"H0024995"</f>
        <v>H0024995</v>
      </c>
      <c r="B24525" s="5" t="str">
        <f>"MESA DE JUNTAS REDONDA, SUPERFICIE EN MADERA AGLOMERADA ENCHAPADA EN GENERICA CON BORDES EN PVC ESTRUCTURA EN METÁLICA EN TUBO OVAL EN ACABADO DE PINTURA ELECTROESTÁTICA EN POLVO DIMENSIONES: 0,80 DIÁMETRO X 0,74 MTS DE ALTO"</f>
        <v>MESA DE JUNTAS REDONDA, SUPERFICIE EN MADERA AGLOMERADA ENCHAPADA EN GENERICA CON BORDES EN PVC ESTRUCTURA EN METÁLICA EN TUBO OVAL EN ACABADO DE PINTURA ELECTROESTÁTICA EN POLVO DIMENSIONES: 0,80 DIÁMETRO X 0,74 MTS DE ALTO</v>
      </c>
      <c r="C24525" s="6">
        <v>481400</v>
      </c>
      <c r="D24525" s="5" t="s">
        <v>578</v>
      </c>
      <c r="E24525" s="5" t="str">
        <f t="shared" si="1228"/>
        <v>INGENIERIA BIOMEDICA-OFICINA ADMINISTRATIVA</v>
      </c>
      <c r="F24525" s="5"/>
      <c r="G24525" s="5"/>
    </row>
    <row r="24526" spans="1:7" ht="58.5" customHeight="1" x14ac:dyDescent="0.25">
      <c r="A24526" s="5" t="str">
        <f>"H0025439"</f>
        <v>H0025439</v>
      </c>
      <c r="B2452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4526" s="6">
        <v>312156</v>
      </c>
      <c r="D24526" s="5" t="s">
        <v>10</v>
      </c>
      <c r="E24526" s="5" t="str">
        <f t="shared" si="1228"/>
        <v>INGENIERIA BIOMEDICA-OFICINA ADMINISTRATIVA</v>
      </c>
      <c r="F24526" s="5"/>
      <c r="G24526" s="5"/>
    </row>
    <row r="24527" spans="1:7" ht="58.5" customHeight="1" x14ac:dyDescent="0.25">
      <c r="A24527" s="5" t="str">
        <f>"H0025630"</f>
        <v>H0025630</v>
      </c>
      <c r="B24527" s="5" t="str">
        <f>"ANALIZADOR DE TERMPERATURA CON BASE Y CERTIFICADO DE CALIBRACIÓN"</f>
        <v>ANALIZADOR DE TERMPERATURA CON BASE Y CERTIFICADO DE CALIBRACIÓN</v>
      </c>
      <c r="C24527" s="6">
        <v>4165000</v>
      </c>
      <c r="D24527" s="5" t="s">
        <v>206</v>
      </c>
      <c r="E24527" s="5" t="str">
        <f t="shared" si="1228"/>
        <v>INGENIERIA BIOMEDICA-OFICINA ADMINISTRATIVA</v>
      </c>
      <c r="F24527" s="5"/>
      <c r="G24527" s="5"/>
    </row>
    <row r="24528" spans="1:7" ht="58.5" customHeight="1" x14ac:dyDescent="0.25">
      <c r="A24528" s="5" t="str">
        <f>"H0025631"</f>
        <v>H0025631</v>
      </c>
      <c r="B24528" s="5" t="str">
        <f>"ANALIZADOR DE TERMPERATURA CON BASE Y CERTIFICADO DE CALIBRACIÓN"</f>
        <v>ANALIZADOR DE TERMPERATURA CON BASE Y CERTIFICADO DE CALIBRACIÓN</v>
      </c>
      <c r="C24528" s="6">
        <v>4165000</v>
      </c>
      <c r="D24528" s="5" t="s">
        <v>206</v>
      </c>
      <c r="E24528" s="5" t="str">
        <f t="shared" si="1228"/>
        <v>INGENIERIA BIOMEDICA-OFICINA ADMINISTRATIVA</v>
      </c>
      <c r="F24528" s="5"/>
      <c r="G24528" s="5"/>
    </row>
    <row r="24529" spans="1:7" ht="58.5" customHeight="1" x14ac:dyDescent="0.25">
      <c r="A24529" s="5" t="str">
        <f>"H0025632"</f>
        <v>H0025632</v>
      </c>
      <c r="B24529" s="5" t="str">
        <f>"TACOMETRO LAZER PARA VERIFICACIÓN DE EQUIPOS ROTATIVOS"</f>
        <v>TACOMETRO LAZER PARA VERIFICACIÓN DE EQUIPOS ROTATIVOS</v>
      </c>
      <c r="C24529" s="6">
        <v>1785000</v>
      </c>
      <c r="D24529" s="5" t="s">
        <v>206</v>
      </c>
      <c r="E24529" s="5" t="str">
        <f t="shared" si="1228"/>
        <v>INGENIERIA BIOMEDICA-OFICINA ADMINISTRATIVA</v>
      </c>
      <c r="F24529" s="5"/>
      <c r="G24529" s="5"/>
    </row>
    <row r="24530" spans="1:7" ht="58.5" customHeight="1" x14ac:dyDescent="0.25">
      <c r="A24530" s="5" t="str">
        <f>"H0025633"</f>
        <v>H0025633</v>
      </c>
      <c r="B24530" s="5" t="str">
        <f>"MASA PATRON DE 20 KG CON CERTIFICADO DE CALIBRACIÓN"</f>
        <v>MASA PATRON DE 20 KG CON CERTIFICADO DE CALIBRACIÓN</v>
      </c>
      <c r="C24530" s="6">
        <v>285600</v>
      </c>
      <c r="D24530" s="5" t="s">
        <v>206</v>
      </c>
      <c r="E24530" s="5" t="str">
        <f t="shared" si="1228"/>
        <v>INGENIERIA BIOMEDICA-OFICINA ADMINISTRATIVA</v>
      </c>
      <c r="F24530" s="5"/>
      <c r="G24530" s="5"/>
    </row>
    <row r="24531" spans="1:7" ht="58.5" customHeight="1" x14ac:dyDescent="0.25">
      <c r="A24531" s="5" t="str">
        <f>"H0025637"</f>
        <v>H0025637</v>
      </c>
      <c r="B24531" s="5" t="str">
        <f>"MASA PATRON DE 20 KG CON CERTIFICADO DE CALIBRACIÓN"</f>
        <v>MASA PATRON DE 20 KG CON CERTIFICADO DE CALIBRACIÓN</v>
      </c>
      <c r="C24531" s="6">
        <v>285600</v>
      </c>
      <c r="D24531" s="5" t="s">
        <v>206</v>
      </c>
      <c r="E24531" s="5" t="str">
        <f t="shared" si="1228"/>
        <v>INGENIERIA BIOMEDICA-OFICINA ADMINISTRATIVA</v>
      </c>
      <c r="F24531" s="5"/>
      <c r="G24531" s="5"/>
    </row>
    <row r="24532" spans="1:7" ht="58.5" customHeight="1" x14ac:dyDescent="0.25">
      <c r="A24532" s="5" t="str">
        <f>"H0025639"</f>
        <v>H0025639</v>
      </c>
      <c r="B24532" s="5" t="str">
        <f>"MASA PATRON DE 20 KG CON CERTIFICADO DE CALIBRACIÓN"</f>
        <v>MASA PATRON DE 20 KG CON CERTIFICADO DE CALIBRACIÓN</v>
      </c>
      <c r="C24532" s="6">
        <v>285600</v>
      </c>
      <c r="D24532" s="5" t="s">
        <v>206</v>
      </c>
      <c r="E24532" s="5" t="str">
        <f t="shared" si="1228"/>
        <v>INGENIERIA BIOMEDICA-OFICINA ADMINISTRATIVA</v>
      </c>
      <c r="F24532" s="5"/>
      <c r="G24532" s="5"/>
    </row>
    <row r="24533" spans="1:7" ht="58.5" customHeight="1" x14ac:dyDescent="0.25">
      <c r="A24533" s="5" t="str">
        <f>"H0025640"</f>
        <v>H0025640</v>
      </c>
      <c r="B24533" s="5" t="str">
        <f>"MASA PATRON DE 10KG CON CERTIFICADO DE CALIBRACIÓN"</f>
        <v>MASA PATRON DE 10KG CON CERTIFICADO DE CALIBRACIÓN</v>
      </c>
      <c r="C24533" s="6">
        <v>238000</v>
      </c>
      <c r="D24533" s="5" t="s">
        <v>206</v>
      </c>
      <c r="E24533" s="5" t="str">
        <f t="shared" si="1228"/>
        <v>INGENIERIA BIOMEDICA-OFICINA ADMINISTRATIVA</v>
      </c>
      <c r="F24533" s="5"/>
      <c r="G24533" s="5"/>
    </row>
    <row r="24534" spans="1:7" ht="58.5" customHeight="1" x14ac:dyDescent="0.25">
      <c r="A24534" s="5" t="str">
        <f>"H0026060"</f>
        <v>H0026060</v>
      </c>
      <c r="B24534" s="5" t="str">
        <f>"CAMARA ANALOGA 720"</f>
        <v>CAMARA ANALOGA 720</v>
      </c>
      <c r="C24534" s="6">
        <v>49199</v>
      </c>
      <c r="D24534" s="5" t="s">
        <v>220</v>
      </c>
      <c r="E24534" s="5" t="str">
        <f t="shared" si="1228"/>
        <v>INGENIERIA BIOMEDICA-OFICINA ADMINISTRATIVA</v>
      </c>
      <c r="F24534" s="5"/>
      <c r="G24534" s="5" t="str">
        <f>"DS2CE56COT"</f>
        <v>DS2CE56COT</v>
      </c>
    </row>
    <row r="24535" spans="1:7" ht="58.5" customHeight="1" x14ac:dyDescent="0.25">
      <c r="A24535" s="5" t="str">
        <f>"H0026061"</f>
        <v>H0026061</v>
      </c>
      <c r="B24535" s="5" t="str">
        <f>"CAMARA TURBO 1080 2MP CMOS IMAGE SENSOR EFFECTIVE PIXELS 1.930 (H)*1088(V)MIN.ILLUMINATION 0.01 LUZ (F1.2, AGC ON),0 LUX WITH IR LENTE DE 3.6 mm"</f>
        <v>CAMARA TURBO 1080 2MP CMOS IMAGE SENSOR EFFECTIVE PIXELS 1.930 (H)*1088(V)MIN.ILLUMINATION 0.01 LUZ (F1.2, AGC ON),0 LUX WITH IR LENTE DE 3.6 mm</v>
      </c>
      <c r="C24535" s="6">
        <v>68620</v>
      </c>
      <c r="D24535" s="5" t="s">
        <v>220</v>
      </c>
      <c r="E24535" s="5" t="str">
        <f t="shared" si="1228"/>
        <v>INGENIERIA BIOMEDICA-OFICINA ADMINISTRATIVA</v>
      </c>
      <c r="F24535" s="5"/>
      <c r="G24535" s="5"/>
    </row>
    <row r="24536" spans="1:7" ht="58.5" customHeight="1" x14ac:dyDescent="0.25">
      <c r="A24536" s="5" t="str">
        <f>"H0026069"</f>
        <v>H0026069</v>
      </c>
      <c r="B24536" s="5" t="str">
        <f>"DVR TURBO HD 1080 CANALES, CON DISCO DURO DE 3TB HOMOLADO PARA CCTV"</f>
        <v>DVR TURBO HD 1080 CANALES, CON DISCO DURO DE 3TB HOMOLADO PARA CCTV</v>
      </c>
      <c r="C24536" s="6">
        <v>1066526</v>
      </c>
      <c r="D24536" s="5" t="s">
        <v>220</v>
      </c>
      <c r="E24536" s="5" t="str">
        <f t="shared" si="1228"/>
        <v>INGENIERIA BIOMEDICA-OFICINA ADMINISTRATIVA</v>
      </c>
      <c r="F24536" s="5"/>
      <c r="G24536" s="5" t="str">
        <f>"XVR5116HD"</f>
        <v>XVR5116HD</v>
      </c>
    </row>
    <row r="24537" spans="1:7" ht="58.5" customHeight="1" x14ac:dyDescent="0.25">
      <c r="A24537" s="5" t="str">
        <f>"H0027000"</f>
        <v>H0027000</v>
      </c>
      <c r="B24537" s="5" t="str">
        <f>"ANALIZADOR DE FIO2"</f>
        <v>ANALIZADOR DE FIO2</v>
      </c>
      <c r="C24537" s="6">
        <v>2345000</v>
      </c>
      <c r="D24537" s="5" t="s">
        <v>949</v>
      </c>
      <c r="E24537" s="5" t="str">
        <f t="shared" si="1228"/>
        <v>INGENIERIA BIOMEDICA-OFICINA ADMINISTRATIVA</v>
      </c>
      <c r="F24537" s="5"/>
      <c r="G24537" s="5"/>
    </row>
    <row r="24538" spans="1:7" ht="58.5" customHeight="1" x14ac:dyDescent="0.25">
      <c r="A24538" s="5" t="str">
        <f>"H0029132"</f>
        <v>H0029132</v>
      </c>
      <c r="B24538" s="5" t="str">
        <f>"ANALIZADOR DE FLUJO DE GASES VT650"</f>
        <v>ANALIZADOR DE FLUJO DE GASES VT650</v>
      </c>
      <c r="C24538" s="6">
        <v>30166500</v>
      </c>
      <c r="D24538" s="5" t="s">
        <v>223</v>
      </c>
      <c r="E24538" s="5" t="str">
        <f t="shared" si="1228"/>
        <v>INGENIERIA BIOMEDICA-OFICINA ADMINISTRATIVA</v>
      </c>
      <c r="F24538" s="5"/>
      <c r="G24538" s="5"/>
    </row>
    <row r="24539" spans="1:7" ht="58.5" customHeight="1" x14ac:dyDescent="0.25">
      <c r="A24539" s="5" t="str">
        <f>"H0029133"</f>
        <v>H0029133</v>
      </c>
      <c r="B24539" s="5" t="str">
        <f>"KIT DE MASAS GRAMERAS"</f>
        <v>KIT DE MASAS GRAMERAS</v>
      </c>
      <c r="C24539" s="6">
        <v>7111440</v>
      </c>
      <c r="D24539" s="5" t="s">
        <v>223</v>
      </c>
      <c r="E24539" s="5" t="str">
        <f t="shared" si="1228"/>
        <v>INGENIERIA BIOMEDICA-OFICINA ADMINISTRATIVA</v>
      </c>
      <c r="F24539" s="5"/>
      <c r="G24539" s="5"/>
    </row>
    <row r="24540" spans="1:7" ht="58.5" customHeight="1" x14ac:dyDescent="0.25">
      <c r="A24540" s="5" t="str">
        <f>"H0029162"</f>
        <v>H0029162</v>
      </c>
      <c r="B24540"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4540" s="6">
        <v>2425000</v>
      </c>
      <c r="D24540" s="5" t="s">
        <v>950</v>
      </c>
      <c r="E24540" s="5" t="str">
        <f t="shared" si="1228"/>
        <v>INGENIERIA BIOMEDICA-OFICINA ADMINISTRATIVA</v>
      </c>
      <c r="F24540" s="5"/>
      <c r="G24540" s="5"/>
    </row>
    <row r="24541" spans="1:7" ht="58.5" customHeight="1" x14ac:dyDescent="0.25">
      <c r="A24541" s="5" t="str">
        <f>"H0029318"</f>
        <v>H0029318</v>
      </c>
      <c r="B24541" s="5" t="str">
        <f>"SILLA HERGONOMICA CON SISTEMA HIDRAULICO"</f>
        <v>SILLA HERGONOMICA CON SISTEMA HIDRAULICO</v>
      </c>
      <c r="C24541" s="6">
        <v>174900</v>
      </c>
      <c r="D24541" s="5" t="s">
        <v>89</v>
      </c>
      <c r="E24541" s="5" t="str">
        <f t="shared" si="1228"/>
        <v>INGENIERIA BIOMEDICA-OFICINA ADMINISTRATIVA</v>
      </c>
      <c r="F24541" s="5"/>
      <c r="G24541" s="5"/>
    </row>
    <row r="24542" spans="1:7" ht="58.5" customHeight="1" x14ac:dyDescent="0.25">
      <c r="A24542" s="5" t="str">
        <f>"H0029319"</f>
        <v>H0029319</v>
      </c>
      <c r="B24542" s="5" t="str">
        <f>"SILLA HERGONOMICA CON SISTEMA HIDRAULICO"</f>
        <v>SILLA HERGONOMICA CON SISTEMA HIDRAULICO</v>
      </c>
      <c r="C24542" s="6">
        <v>174900</v>
      </c>
      <c r="D24542" s="5" t="s">
        <v>89</v>
      </c>
      <c r="E24542" s="5" t="str">
        <f t="shared" si="1228"/>
        <v>INGENIERIA BIOMEDICA-OFICINA ADMINISTRATIVA</v>
      </c>
      <c r="F24542" s="5"/>
      <c r="G24542" s="5"/>
    </row>
    <row r="24543" spans="1:7" ht="58.5" customHeight="1" x14ac:dyDescent="0.25">
      <c r="A24543" s="5" t="str">
        <f>"H0029320"</f>
        <v>H0029320</v>
      </c>
      <c r="B24543" s="5" t="str">
        <f>"SILLA HERGONOMICA CON SISTEMA HIDRAULICO"</f>
        <v>SILLA HERGONOMICA CON SISTEMA HIDRAULICO</v>
      </c>
      <c r="C24543" s="6">
        <v>174900</v>
      </c>
      <c r="D24543" s="5" t="s">
        <v>89</v>
      </c>
      <c r="E24543" s="5" t="str">
        <f t="shared" si="1228"/>
        <v>INGENIERIA BIOMEDICA-OFICINA ADMINISTRATIVA</v>
      </c>
      <c r="F24543" s="5"/>
      <c r="G24543" s="5"/>
    </row>
    <row r="24544" spans="1:7" ht="58.5" customHeight="1" x14ac:dyDescent="0.25">
      <c r="A24544" s="5" t="str">
        <f>"H0030213"</f>
        <v>H0030213</v>
      </c>
      <c r="B24544" s="5" t="str">
        <f>"AIRE ACONDICIONADO DE 24000 BTU CONVENCIONAL R410"</f>
        <v>AIRE ACONDICIONADO DE 24000 BTU CONVENCIONAL R410</v>
      </c>
      <c r="C24544" s="6">
        <v>2800000</v>
      </c>
      <c r="D24544" s="5" t="s">
        <v>717</v>
      </c>
      <c r="E24544" s="5" t="str">
        <f t="shared" si="1228"/>
        <v>INGENIERIA BIOMEDICA-OFICINA ADMINISTRATIVA</v>
      </c>
      <c r="F24544" s="5"/>
      <c r="G24544" s="5"/>
    </row>
    <row r="24545" spans="1:7" ht="58.5" customHeight="1" x14ac:dyDescent="0.25">
      <c r="A24545" s="5" t="str">
        <f>"H0036570"</f>
        <v>H0036570</v>
      </c>
      <c r="B24545" s="5" t="str">
        <f>"ESCANER DE ALTA VELOCIDAD 35 PPM"</f>
        <v>ESCANER DE ALTA VELOCIDAD 35 PPM</v>
      </c>
      <c r="C24545" s="6">
        <v>2401636.36</v>
      </c>
      <c r="D24545" s="5" t="s">
        <v>199</v>
      </c>
      <c r="E24545" s="5" t="str">
        <f t="shared" si="1228"/>
        <v>INGENIERIA BIOMEDICA-OFICINA ADMINISTRATIVA</v>
      </c>
      <c r="F24545" s="5"/>
      <c r="G24545" s="5"/>
    </row>
    <row r="24546" spans="1:7" ht="58.5" customHeight="1" x14ac:dyDescent="0.25">
      <c r="A24546" s="5" t="str">
        <f>"H0038054"</f>
        <v>H0038054</v>
      </c>
      <c r="B24546" s="5" t="str">
        <f>"SILLA GERENTE NIZA MEC. BASCULANTE CON BRAZOS."</f>
        <v>SILLA GERENTE NIZA MEC. BASCULANTE CON BRAZOS.</v>
      </c>
      <c r="C24546" s="6">
        <v>710000.01</v>
      </c>
      <c r="D24546" s="5" t="s">
        <v>30</v>
      </c>
      <c r="E24546" s="5" t="str">
        <f t="shared" si="1228"/>
        <v>INGENIERIA BIOMEDICA-OFICINA ADMINISTRATIVA</v>
      </c>
      <c r="F24546" s="5"/>
      <c r="G24546" s="5"/>
    </row>
    <row r="24547" spans="1:7" ht="58.5" customHeight="1" x14ac:dyDescent="0.25">
      <c r="A24547" s="5" t="str">
        <f>"H0038055"</f>
        <v>H0038055</v>
      </c>
      <c r="B24547" s="5" t="str">
        <f>"SILLA GERENTE NIZA MEC. BASCULANTE CON BRAZOS."</f>
        <v>SILLA GERENTE NIZA MEC. BASCULANTE CON BRAZOS.</v>
      </c>
      <c r="C24547" s="6">
        <v>710000.01</v>
      </c>
      <c r="D24547" s="5" t="s">
        <v>30</v>
      </c>
      <c r="E24547" s="5" t="str">
        <f t="shared" si="1228"/>
        <v>INGENIERIA BIOMEDICA-OFICINA ADMINISTRATIVA</v>
      </c>
      <c r="F24547" s="5"/>
      <c r="G24547" s="5"/>
    </row>
    <row r="24548" spans="1:7" ht="58.5" customHeight="1" x14ac:dyDescent="0.25">
      <c r="A24548" s="5" t="str">
        <f>"H0038056"</f>
        <v>H0038056</v>
      </c>
      <c r="B24548" s="5" t="str">
        <f>"SILLA GERENTE NIZA MEC. BASCULANTE CON BRAZOS."</f>
        <v>SILLA GERENTE NIZA MEC. BASCULANTE CON BRAZOS.</v>
      </c>
      <c r="C24548" s="6">
        <v>710000.01</v>
      </c>
      <c r="D24548" s="5" t="s">
        <v>30</v>
      </c>
      <c r="E24548" s="5" t="str">
        <f t="shared" si="1228"/>
        <v>INGENIERIA BIOMEDICA-OFICINA ADMINISTRATIVA</v>
      </c>
      <c r="F24548" s="5"/>
      <c r="G24548" s="5"/>
    </row>
    <row r="24549" spans="1:7" ht="58.5" customHeight="1" x14ac:dyDescent="0.25">
      <c r="A24549" s="5" t="str">
        <f>"H0038057"</f>
        <v>H0038057</v>
      </c>
      <c r="B24549" s="5" t="str">
        <f>"SILLA GERENTE NIZA MEC. BASCULANTE CON BRAZOS."</f>
        <v>SILLA GERENTE NIZA MEC. BASCULANTE CON BRAZOS.</v>
      </c>
      <c r="C24549" s="6">
        <v>710000.01</v>
      </c>
      <c r="D24549" s="5" t="s">
        <v>30</v>
      </c>
      <c r="E24549" s="5" t="str">
        <f t="shared" si="1228"/>
        <v>INGENIERIA BIOMEDICA-OFICINA ADMINISTRATIVA</v>
      </c>
      <c r="F24549" s="5"/>
      <c r="G24549" s="5"/>
    </row>
    <row r="24550" spans="1:7" ht="58.5" customHeight="1" x14ac:dyDescent="0.25">
      <c r="A24550" s="5" t="str">
        <f>"N0038188"</f>
        <v>N0038188</v>
      </c>
      <c r="B24550" s="5" t="str">
        <f>"IMPRESORA 3D"</f>
        <v>IMPRESORA 3D</v>
      </c>
      <c r="C24550" s="6">
        <v>19603644</v>
      </c>
      <c r="D24550" s="5" t="s">
        <v>591</v>
      </c>
      <c r="E24550" s="5" t="str">
        <f t="shared" si="1228"/>
        <v>INGENIERIA BIOMEDICA-OFICINA ADMINISTRATIVA</v>
      </c>
      <c r="F24550" s="5"/>
      <c r="G24550" s="5"/>
    </row>
    <row r="24551" spans="1:7" ht="58.5" customHeight="1" x14ac:dyDescent="0.25">
      <c r="A24551" s="5" t="str">
        <f>"H0002089"</f>
        <v>H0002089</v>
      </c>
      <c r="B24551" s="5" t="str">
        <f>"VENTILADOR PULMONAR"</f>
        <v>VENTILADOR PULMONAR</v>
      </c>
      <c r="C24551" s="6">
        <v>34220000</v>
      </c>
      <c r="D24551" s="5" t="s">
        <v>803</v>
      </c>
      <c r="E24551" s="5" t="str">
        <f t="shared" ref="E24551:E24575" si="1229">"MANTENIMIENTO-INGENIERIA BIOMEDICA-VHM INGENIERIA"</f>
        <v>MANTENIMIENTO-INGENIERIA BIOMEDICA-VHM INGENIERIA</v>
      </c>
      <c r="F24551" s="5" t="str">
        <f>"VENTILADOR SAVINA SYSTEM"</f>
        <v>VENTILADOR SAVINA SYSTEM</v>
      </c>
      <c r="G24551" s="5" t="str">
        <f>"8414000-31"</f>
        <v>8414000-31</v>
      </c>
    </row>
    <row r="24552" spans="1:7" ht="58.5" customHeight="1" x14ac:dyDescent="0.25">
      <c r="A24552" s="5" t="str">
        <f>"H0022286"</f>
        <v>H0022286</v>
      </c>
      <c r="B24552" s="5" t="str">
        <f>"MONITOR DE PRESIÓN NO INVASIVA CON PULSOXIMETRIA"</f>
        <v>MONITOR DE PRESIÓN NO INVASIVA CON PULSOXIMETRIA</v>
      </c>
      <c r="C24552" s="6">
        <v>3828000</v>
      </c>
      <c r="D24552" s="5" t="s">
        <v>951</v>
      </c>
      <c r="E24552" s="5" t="str">
        <f t="shared" si="1229"/>
        <v>MANTENIMIENTO-INGENIERIA BIOMEDICA-VHM INGENIERIA</v>
      </c>
      <c r="F24552" s="5"/>
      <c r="G24552" s="5" t="str">
        <f>"M50"</f>
        <v>M50</v>
      </c>
    </row>
    <row r="24553" spans="1:7" ht="58.5" customHeight="1" x14ac:dyDescent="0.25">
      <c r="A24553" s="5" t="str">
        <f>"H0024647"</f>
        <v>H0024647</v>
      </c>
      <c r="B24553" s="5" t="str">
        <f>"SUCCIONADOR (DONACION)"</f>
        <v>SUCCIONADOR (DONACION)</v>
      </c>
      <c r="C24553" s="6">
        <v>406000</v>
      </c>
      <c r="D24553" s="5" t="s">
        <v>64</v>
      </c>
      <c r="E24553" s="5" t="str">
        <f t="shared" si="1229"/>
        <v>MANTENIMIENTO-INGENIERIA BIOMEDICA-VHM INGENIERIA</v>
      </c>
      <c r="F24553" s="5"/>
      <c r="G24553" s="5"/>
    </row>
    <row r="24554" spans="1:7" ht="58.5" customHeight="1" x14ac:dyDescent="0.25">
      <c r="A24554" s="5" t="str">
        <f>"H0027047"</f>
        <v>H0027047</v>
      </c>
      <c r="B24554" s="5" t="str">
        <f>"BOMBA DE INFUSION"</f>
        <v>BOMBA DE INFUSION</v>
      </c>
      <c r="C24554" s="6">
        <v>1200000</v>
      </c>
      <c r="D24554" s="5" t="s">
        <v>952</v>
      </c>
      <c r="E24554" s="5" t="str">
        <f t="shared" si="1229"/>
        <v>MANTENIMIENTO-INGENIERIA BIOMEDICA-VHM INGENIERIA</v>
      </c>
      <c r="F24554" s="5"/>
      <c r="G24554" s="5"/>
    </row>
    <row r="24555" spans="1:7" ht="58.5" customHeight="1" x14ac:dyDescent="0.25">
      <c r="A24555" s="5" t="str">
        <f>"H0027646"</f>
        <v>H0027646</v>
      </c>
      <c r="B24555" s="5" t="s">
        <v>358</v>
      </c>
      <c r="C24555" s="6">
        <v>10370850</v>
      </c>
      <c r="D24555" s="5" t="s">
        <v>356</v>
      </c>
      <c r="E24555" s="5" t="str">
        <f t="shared" si="1229"/>
        <v>MANTENIMIENTO-INGENIERIA BIOMEDICA-VHM INGENIERIA</v>
      </c>
      <c r="F24555" s="5"/>
      <c r="G24555" s="5"/>
    </row>
    <row r="24556" spans="1:7" ht="58.5" customHeight="1" x14ac:dyDescent="0.25">
      <c r="A24556" s="5" t="str">
        <f>"H0032258"</f>
        <v>H0032258</v>
      </c>
      <c r="B24556" s="5" t="str">
        <f>"SUCCIONADOR (DONACION)"</f>
        <v>SUCCIONADOR (DONACION)</v>
      </c>
      <c r="C24556" s="6">
        <v>950000</v>
      </c>
      <c r="D24556" s="5" t="s">
        <v>323</v>
      </c>
      <c r="E24556" s="5" t="str">
        <f t="shared" si="1229"/>
        <v>MANTENIMIENTO-INGENIERIA BIOMEDICA-VHM INGENIERIA</v>
      </c>
      <c r="F24556" s="5"/>
      <c r="G24556" s="5" t="str">
        <f>"NEW ASPIRET"</f>
        <v>NEW ASPIRET</v>
      </c>
    </row>
    <row r="24557" spans="1:7" ht="58.5" customHeight="1" x14ac:dyDescent="0.25">
      <c r="A24557" s="5" t="str">
        <f>"H0032339"</f>
        <v>H0032339</v>
      </c>
      <c r="B24557" s="5" t="str">
        <f>"ventilador de transporte  (DONACION)"</f>
        <v>ventilador de transporte  (DONACION)</v>
      </c>
      <c r="C24557" s="6">
        <v>33406900</v>
      </c>
      <c r="D24557" s="5" t="s">
        <v>484</v>
      </c>
      <c r="E24557" s="5" t="str">
        <f t="shared" si="1229"/>
        <v>MANTENIMIENTO-INGENIERIA BIOMEDICA-VHM INGENIERIA</v>
      </c>
      <c r="F24557" s="5"/>
      <c r="G24557" s="5" t="str">
        <f>"MTV1000"</f>
        <v>MTV1000</v>
      </c>
    </row>
    <row r="24558" spans="1:7" ht="58.5" customHeight="1" x14ac:dyDescent="0.25">
      <c r="A24558" s="5" t="str">
        <f>"H0032386"</f>
        <v>H0032386</v>
      </c>
      <c r="B24558" s="5" t="str">
        <f>"succionador (DONACION)"</f>
        <v>succionador (DONACION)</v>
      </c>
      <c r="C24558" s="6">
        <v>649750</v>
      </c>
      <c r="D24558" s="5" t="s">
        <v>110</v>
      </c>
      <c r="E24558" s="5" t="str">
        <f t="shared" si="1229"/>
        <v>MANTENIMIENTO-INGENIERIA BIOMEDICA-VHM INGENIERIA</v>
      </c>
      <c r="F24558" s="5"/>
      <c r="G24558" s="5"/>
    </row>
    <row r="24559" spans="1:7" ht="58.5" customHeight="1" x14ac:dyDescent="0.25">
      <c r="A24559" s="5" t="str">
        <f>"H0032547"</f>
        <v>H0032547</v>
      </c>
      <c r="B24559" s="5" t="str">
        <f>"bomba de infusion (DONACION)"</f>
        <v>bomba de infusion (DONACION)</v>
      </c>
      <c r="C24559" s="6">
        <v>4860000</v>
      </c>
      <c r="D24559" s="5" t="s">
        <v>113</v>
      </c>
      <c r="E24559" s="5" t="str">
        <f t="shared" si="1229"/>
        <v>MANTENIMIENTO-INGENIERIA BIOMEDICA-VHM INGENIERIA</v>
      </c>
      <c r="F24559" s="5"/>
      <c r="G24559" s="5"/>
    </row>
    <row r="24560" spans="1:7" ht="58.5" customHeight="1" x14ac:dyDescent="0.25">
      <c r="A24560" s="5" t="str">
        <f>"H0032847"</f>
        <v>H0032847</v>
      </c>
      <c r="B24560"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560" s="6">
        <v>2533333</v>
      </c>
      <c r="D24560" s="5" t="s">
        <v>503</v>
      </c>
      <c r="E24560" s="5" t="str">
        <f t="shared" si="1229"/>
        <v>MANTENIMIENTO-INGENIERIA BIOMEDICA-VHM INGENIERIA</v>
      </c>
      <c r="F24560" s="5"/>
      <c r="G24560" s="5"/>
    </row>
    <row r="24561" spans="1:7" ht="58.5" customHeight="1" x14ac:dyDescent="0.25">
      <c r="A24561" s="5" t="str">
        <f>"H0032851"</f>
        <v>H0032851</v>
      </c>
      <c r="B24561" s="5" t="str">
        <f>"BOMBA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561" s="6">
        <v>2533333</v>
      </c>
      <c r="D24561" s="5" t="s">
        <v>503</v>
      </c>
      <c r="E24561" s="5" t="str">
        <f t="shared" si="1229"/>
        <v>MANTENIMIENTO-INGENIERIA BIOMEDICA-VHM INGENIERIA</v>
      </c>
      <c r="F24561" s="5"/>
      <c r="G24561" s="5"/>
    </row>
    <row r="24562" spans="1:7" ht="58.5" customHeight="1" x14ac:dyDescent="0.25">
      <c r="A24562" s="5" t="str">
        <f>"H0033133"</f>
        <v>H0033133</v>
      </c>
      <c r="B24562" s="5" t="str">
        <f>"BOMBA DE NUTRICION. 1 mL/h a 600 mL/h. 1 mL/h a 5 mL/h incr. ± 7% a 125 mL/h. Cumple 60601-2-24."</f>
        <v>BOMBA DE NUTRICION. 1 mL/h a 600 mL/h. 1 mL/h a 5 mL/h incr. ± 7% a 125 mL/h. Cumple 60601-2-24.</v>
      </c>
      <c r="C24562" s="6">
        <v>3066667</v>
      </c>
      <c r="D24562" s="5" t="s">
        <v>119</v>
      </c>
      <c r="E24562" s="5" t="str">
        <f t="shared" si="1229"/>
        <v>MANTENIMIENTO-INGENIERIA BIOMEDICA-VHM INGENIERIA</v>
      </c>
      <c r="F24562" s="5"/>
      <c r="G24562" s="5"/>
    </row>
    <row r="24563" spans="1:7" ht="58.5" customHeight="1" x14ac:dyDescent="0.25">
      <c r="A24563" s="5" t="str">
        <f>"H0033297"</f>
        <v>H0033297</v>
      </c>
      <c r="B24563" s="5" t="str">
        <f t="shared" ref="B24563:B24568" si="1230">"BOMBA DE INFUSION. Apilables.5 modos. 01-1200 ml/h. 0.1 ml incr. Compatible con set de infusión genérico. anti-bolo. Detección de aire. Alarmas visuales audibles. Bitacora 1.000 reg. Batería de litio"</f>
        <v>BOMBA DE INFUSION. Apilables.5 modos. 01-1200 ml/h. 0.1 ml incr. Compatible con set de infusión genérico. anti-bolo. Detección de aire. Alarmas visuales audibles. Bitacora 1.000 reg. Batería de litio</v>
      </c>
      <c r="C24563" s="6">
        <v>2533333</v>
      </c>
      <c r="D24563" s="5" t="s">
        <v>120</v>
      </c>
      <c r="E24563" s="5" t="str">
        <f t="shared" si="1229"/>
        <v>MANTENIMIENTO-INGENIERIA BIOMEDICA-VHM INGENIERIA</v>
      </c>
      <c r="F24563" s="5"/>
      <c r="G24563" s="5"/>
    </row>
    <row r="24564" spans="1:7" ht="58.5" customHeight="1" x14ac:dyDescent="0.25">
      <c r="A24564" s="5" t="str">
        <f>"H0033335"</f>
        <v>H0033335</v>
      </c>
      <c r="B24564" s="5" t="str">
        <f t="shared" si="1230"/>
        <v>BOMBA DE INFUSION. Apilables.5 modos. 01-1200 ml/h. 0.1 ml incr. Compatible con set de infusión genérico. anti-bolo. Detección de aire. Alarmas visuales audibles. Bitacora 1.000 reg. Batería de litio</v>
      </c>
      <c r="C24564" s="6">
        <v>2533333</v>
      </c>
      <c r="D24564" s="5" t="s">
        <v>120</v>
      </c>
      <c r="E24564" s="5" t="str">
        <f t="shared" si="1229"/>
        <v>MANTENIMIENTO-INGENIERIA BIOMEDICA-VHM INGENIERIA</v>
      </c>
      <c r="F24564" s="5"/>
      <c r="G24564" s="5"/>
    </row>
    <row r="24565" spans="1:7" ht="58.5" customHeight="1" x14ac:dyDescent="0.25">
      <c r="A24565" s="5" t="str">
        <f>"H0033338"</f>
        <v>H0033338</v>
      </c>
      <c r="B24565" s="5" t="str">
        <f t="shared" si="1230"/>
        <v>BOMBA DE INFUSION. Apilables.5 modos. 01-1200 ml/h. 0.1 ml incr. Compatible con set de infusión genérico. anti-bolo. Detección de aire. Alarmas visuales audibles. Bitacora 1.000 reg. Batería de litio</v>
      </c>
      <c r="C24565" s="6">
        <v>2533333</v>
      </c>
      <c r="D24565" s="5" t="s">
        <v>120</v>
      </c>
      <c r="E24565" s="5" t="str">
        <f t="shared" si="1229"/>
        <v>MANTENIMIENTO-INGENIERIA BIOMEDICA-VHM INGENIERIA</v>
      </c>
      <c r="F24565" s="5"/>
      <c r="G24565" s="5"/>
    </row>
    <row r="24566" spans="1:7" ht="58.5" customHeight="1" x14ac:dyDescent="0.25">
      <c r="A24566" s="5" t="str">
        <f>"H0033622"</f>
        <v>H0033622</v>
      </c>
      <c r="B24566" s="5" t="str">
        <f t="shared" si="1230"/>
        <v>BOMBA DE INFUSION. Apilables.5 modos. 01-1200 ml/h. 0.1 ml incr. Compatible con set de infusión genérico. anti-bolo. Detección de aire. Alarmas visuales audibles. Bitacora 1.000 reg. Batería de litio</v>
      </c>
      <c r="C24566" s="6">
        <v>2533333</v>
      </c>
      <c r="D24566" s="5" t="s">
        <v>120</v>
      </c>
      <c r="E24566" s="5" t="str">
        <f t="shared" si="1229"/>
        <v>MANTENIMIENTO-INGENIERIA BIOMEDICA-VHM INGENIERIA</v>
      </c>
      <c r="F24566" s="5"/>
      <c r="G24566" s="5"/>
    </row>
    <row r="24567" spans="1:7" ht="58.5" customHeight="1" x14ac:dyDescent="0.25">
      <c r="A24567" s="5" t="str">
        <f>"H0033681"</f>
        <v>H0033681</v>
      </c>
      <c r="B24567" s="5" t="str">
        <f t="shared" si="1230"/>
        <v>BOMBA DE INFUSION. Apilables.5 modos. 01-1200 ml/h. 0.1 ml incr. Compatible con set de infusión genérico. anti-bolo. Detección de aire. Alarmas visuales audibles. Bitacora 1.000 reg. Batería de litio</v>
      </c>
      <c r="C24567" s="6">
        <v>2533333</v>
      </c>
      <c r="D24567" s="5" t="s">
        <v>120</v>
      </c>
      <c r="E24567" s="5" t="str">
        <f t="shared" si="1229"/>
        <v>MANTENIMIENTO-INGENIERIA BIOMEDICA-VHM INGENIERIA</v>
      </c>
      <c r="F24567" s="5"/>
      <c r="G24567" s="5"/>
    </row>
    <row r="24568" spans="1:7" ht="58.5" customHeight="1" x14ac:dyDescent="0.25">
      <c r="A24568" s="5" t="str">
        <f>"H0033734"</f>
        <v>H0033734</v>
      </c>
      <c r="B24568" s="5" t="str">
        <f t="shared" si="1230"/>
        <v>BOMBA DE INFUSION. Apilables.5 modos. 01-1200 ml/h. 0.1 ml incr. Compatible con set de infusión genérico. anti-bolo. Detección de aire. Alarmas visuales audibles. Bitacora 1.000 reg. Batería de litio</v>
      </c>
      <c r="C24568" s="6">
        <v>2533333</v>
      </c>
      <c r="D24568" s="5" t="s">
        <v>120</v>
      </c>
      <c r="E24568" s="5" t="str">
        <f t="shared" si="1229"/>
        <v>MANTENIMIENTO-INGENIERIA BIOMEDICA-VHM INGENIERIA</v>
      </c>
      <c r="F24568" s="5"/>
      <c r="G24568" s="5"/>
    </row>
    <row r="24569" spans="1:7" ht="58.5" customHeight="1" x14ac:dyDescent="0.25">
      <c r="A24569" s="5" t="str">
        <f>"H0033886"</f>
        <v>H0033886</v>
      </c>
      <c r="B24569" s="5" t="str">
        <f>"BOMBA DE NUTRICION. 1 mL/h a 600 mL/h. 1 mL/h a 5 mL/h incr. ± 7% a 125 mL/h. Cumple 60601-2-24."</f>
        <v>BOMBA DE NUTRICION. 1 mL/h a 600 mL/h. 1 mL/h a 5 mL/h incr. ± 7% a 125 mL/h. Cumple 60601-2-24.</v>
      </c>
      <c r="C24569" s="6">
        <v>3066667</v>
      </c>
      <c r="D24569" s="5" t="s">
        <v>120</v>
      </c>
      <c r="E24569" s="5" t="str">
        <f t="shared" si="1229"/>
        <v>MANTENIMIENTO-INGENIERIA BIOMEDICA-VHM INGENIERIA</v>
      </c>
      <c r="F24569" s="5"/>
      <c r="G24569" s="5"/>
    </row>
    <row r="24570" spans="1:7" ht="58.5" customHeight="1" x14ac:dyDescent="0.25">
      <c r="A24570" s="5" t="str">
        <f>"H0034445"</f>
        <v>H0034445</v>
      </c>
      <c r="B24570" s="5" t="str">
        <f>"VENTILADOR MECANICO (DONACION)"</f>
        <v>VENTILADOR MECANICO (DONACION)</v>
      </c>
      <c r="C24570" s="6">
        <v>59622774</v>
      </c>
      <c r="D24570" s="5" t="s">
        <v>129</v>
      </c>
      <c r="E24570" s="5" t="str">
        <f t="shared" si="1229"/>
        <v>MANTENIMIENTO-INGENIERIA BIOMEDICA-VHM INGENIERIA</v>
      </c>
      <c r="F24570" s="5"/>
      <c r="G24570" s="5" t="str">
        <f>"VG70"</f>
        <v>VG70</v>
      </c>
    </row>
    <row r="24571" spans="1:7" ht="58.5" customHeight="1" x14ac:dyDescent="0.25">
      <c r="A24571" s="5" t="str">
        <f>"H0034739"</f>
        <v>H0034739</v>
      </c>
      <c r="B24571" s="5" t="str">
        <f>"BOMBA DE NUTRICION (DONACION)"</f>
        <v>BOMBA DE NUTRICION (DONACION)</v>
      </c>
      <c r="C24571" s="6">
        <v>5850000</v>
      </c>
      <c r="D24571" s="5" t="s">
        <v>124</v>
      </c>
      <c r="E24571" s="5" t="str">
        <f t="shared" si="1229"/>
        <v>MANTENIMIENTO-INGENIERIA BIOMEDICA-VHM INGENIERIA</v>
      </c>
      <c r="F24571" s="5"/>
      <c r="G24571" s="5" t="str">
        <f>"ENTEROPORT PLUS"</f>
        <v>ENTEROPORT PLUS</v>
      </c>
    </row>
    <row r="24572" spans="1:7" ht="58.5" customHeight="1" x14ac:dyDescent="0.25">
      <c r="A24572" s="5" t="str">
        <f>"H0034741"</f>
        <v>H0034741</v>
      </c>
      <c r="B24572" s="5" t="str">
        <f>"DESFIBRILADOR (DONACION)"</f>
        <v>DESFIBRILADOR (DONACION)</v>
      </c>
      <c r="C24572" s="6">
        <v>25000000</v>
      </c>
      <c r="D24572" s="5" t="s">
        <v>123</v>
      </c>
      <c r="E24572" s="5" t="str">
        <f t="shared" si="1229"/>
        <v>MANTENIMIENTO-INGENIERIA BIOMEDICA-VHM INGENIERIA</v>
      </c>
      <c r="F24572" s="5"/>
      <c r="G24572" s="5"/>
    </row>
    <row r="24573" spans="1:7" ht="58.5" customHeight="1" x14ac:dyDescent="0.25">
      <c r="A24573" s="5" t="str">
        <f>"H0034742"</f>
        <v>H0034742</v>
      </c>
      <c r="B24573" s="5" t="str">
        <f>"DESFIBRILADOR (DONACION)"</f>
        <v>DESFIBRILADOR (DONACION)</v>
      </c>
      <c r="C24573" s="6">
        <v>25000000</v>
      </c>
      <c r="D24573" s="5" t="s">
        <v>123</v>
      </c>
      <c r="E24573" s="5" t="str">
        <f t="shared" si="1229"/>
        <v>MANTENIMIENTO-INGENIERIA BIOMEDICA-VHM INGENIERIA</v>
      </c>
      <c r="F24573" s="5"/>
      <c r="G24573" s="5"/>
    </row>
    <row r="24574" spans="1:7" ht="58.5" customHeight="1" x14ac:dyDescent="0.25">
      <c r="A24574" s="5" t="str">
        <f>"H0035406"</f>
        <v>H0035406</v>
      </c>
      <c r="B24574" s="5" t="str">
        <f>"MONITOR DE SIGNOS VITALES (DONACION)"</f>
        <v>MONITOR DE SIGNOS VITALES (DONACION)</v>
      </c>
      <c r="C24574" s="6">
        <v>11471250</v>
      </c>
      <c r="D24574" s="5" t="s">
        <v>129</v>
      </c>
      <c r="E24574" s="5" t="str">
        <f t="shared" si="1229"/>
        <v>MANTENIMIENTO-INGENIERIA BIOMEDICA-VHM INGENIERIA</v>
      </c>
      <c r="F24574" s="5"/>
      <c r="G24574" s="5" t="str">
        <f>"PM200M"</f>
        <v>PM200M</v>
      </c>
    </row>
    <row r="24575" spans="1:7" ht="58.5" customHeight="1" x14ac:dyDescent="0.25">
      <c r="A24575" s="5" t="str">
        <f>"H0037174"</f>
        <v>H0037174</v>
      </c>
      <c r="B24575" s="5" t="str">
        <f>"BASCULA ADULTO"</f>
        <v>BASCULA ADULTO</v>
      </c>
      <c r="C24575" s="6">
        <v>3588385.98</v>
      </c>
      <c r="D24575" s="5" t="s">
        <v>136</v>
      </c>
      <c r="E24575" s="5" t="str">
        <f t="shared" si="1229"/>
        <v>MANTENIMIENTO-INGENIERIA BIOMEDICA-VHM INGENIERIA</v>
      </c>
      <c r="F24575" s="5"/>
      <c r="G24575" s="5"/>
    </row>
    <row r="24576" spans="1:7" ht="58.5" customHeight="1" x14ac:dyDescent="0.25">
      <c r="A24576" s="5" t="str">
        <f>"H0002954"</f>
        <v>H0002954</v>
      </c>
      <c r="B24576" s="5" t="str">
        <f>"AIRE ACONDICIONADO 18000 BTU"</f>
        <v>AIRE ACONDICIONADO 18000 BTU</v>
      </c>
      <c r="C24576" s="6">
        <v>3009040</v>
      </c>
      <c r="D24576" s="5" t="s">
        <v>52</v>
      </c>
      <c r="E24576" s="5" t="str">
        <f t="shared" ref="E24576:E24616" si="1231">"SERVICIOS HOSPITALARIOS-MARIA DEL PILAR MEDINA SUAREZ (E)"</f>
        <v>SERVICIOS HOSPITALARIOS-MARIA DEL PILAR MEDINA SUAREZ (E)</v>
      </c>
      <c r="F24576" s="5" t="str">
        <f>"Descripcion: EQUIPO AIRE ACONDICIONADO BTU 18000 Estado: Bueno Placa anterior: 000036399 Material: PASTA Color: BLANCO Referencia:  Observacion: SE CAMBIO EL SERIAL VM12CEN B3 POR EL BW182CE-C3 Placa padre: Tipo adquisicion: Entidad"</f>
        <v>Descripcion: EQUIPO AIRE ACONDICIONADO BTU 18000 Estado: Bueno Placa anterior: 000036399 Material: PASTA Color: BLANCO Referencia:  Observacion: SE CAMBIO EL SERIAL VM12CEN B3 POR EL BW182CE-C3 Placa padre: Tipo adquisicion: Entidad</v>
      </c>
      <c r="G24576" s="5" t="str">
        <f>"BW182CE-C3"</f>
        <v>BW182CE-C3</v>
      </c>
    </row>
    <row r="24577" spans="1:7" ht="58.5" customHeight="1" x14ac:dyDescent="0.25">
      <c r="A24577" s="5" t="str">
        <f>"H0003221"</f>
        <v>H0003221</v>
      </c>
      <c r="B24577" s="5" t="str">
        <f>"ESTANTE METALICO 7 ENTREPAÑOS"</f>
        <v>ESTANTE METALICO 7 ENTREPAÑOS</v>
      </c>
      <c r="C24577" s="6">
        <v>197200</v>
      </c>
      <c r="D24577" s="5"/>
      <c r="E24577" s="5" t="str">
        <f t="shared" si="1231"/>
        <v>SERVICIOS HOSPITALARIOS-MARIA DEL PILAR MEDINA SUAREZ (E)</v>
      </c>
      <c r="F24577" s="5" t="str">
        <f>"Descripcion: ESTANTES METALICOS DE 90-30-2.00H 7 BANDEJAS INCLUYE AMARRES ENTRE ESTANTES Y TENSORES CALIBRE DEL PARAL 16 Y DE LA BANDEJA 22 PARAL CON SISTEMA DE UÑA, PINTURA ELECTROSTATICA EN POLVO HORNEABLE Estado: Bueno Placa anterior: 000024170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000024170 Material: METALICO Color: GRIS Referencia:  Observacion:  Placa padre: Tipo adquisicion: Entidad</v>
      </c>
      <c r="G24577" s="5"/>
    </row>
    <row r="24578" spans="1:7" ht="58.5" customHeight="1" x14ac:dyDescent="0.25">
      <c r="A24578" s="5" t="str">
        <f>"H0003248"</f>
        <v>H0003248</v>
      </c>
      <c r="B24578" s="5" t="str">
        <f>"ESTANTE METALICO 7 ENTREPAÑOS"</f>
        <v>ESTANTE METALICO 7 ENTREPAÑOS</v>
      </c>
      <c r="C24578" s="6">
        <v>197200</v>
      </c>
      <c r="D24578" s="5"/>
      <c r="E24578" s="5" t="str">
        <f t="shared" si="1231"/>
        <v>SERVICIOS HOSPITALARIOS-MARIA DEL PILAR MEDINA SUAREZ (E)</v>
      </c>
      <c r="F24578" s="5" t="str">
        <f>"Descripcion: ESTANTES METALICOS DE 90-30-2.00H 7 BANDEJAS INCLUYE AMARRES ENTRE ESTANTES Y TENSORES CALIBRE DEL PARAL 16 Y DE LA BANDEJA 22 PARAL CON SISTEMA DE UÑA, PINTURA ELECTROSTATICA EN POLVO HORNEABLE Estado: Bueno Placa anterior: 000024181 Materia"&amp; "l: METALICO Color: GRIS Referencia:  Observacion:  Placa padre: Tipo adquisicion: Entidad"</f>
        <v>Descripcion: ESTANTES METALICOS DE 90-30-2.00H 7 BANDEJAS INCLUYE AMARRES ENTRE ESTANTES Y TENSORES CALIBRE DEL PARAL 16 Y DE LA BANDEJA 22 PARAL CON SISTEMA DE UÑA, PINTURA ELECTROSTATICA EN POLVO HORNEABLE Estado: Bueno Placa anterior: 000024181 Material: METALICO Color: GRIS Referencia:  Observacion:  Placa padre: Tipo adquisicion: Entidad</v>
      </c>
      <c r="G24578" s="5"/>
    </row>
    <row r="24579" spans="1:7" ht="58.5" customHeight="1" x14ac:dyDescent="0.25">
      <c r="A24579" s="5" t="str">
        <f>"H0004465"</f>
        <v>H0004465</v>
      </c>
      <c r="B24579" s="5" t="str">
        <f>"MESA DE MADERA PARA COMPUTADOR"</f>
        <v>MESA DE MADERA PARA COMPUTADOR</v>
      </c>
      <c r="C24579" s="6">
        <v>210000</v>
      </c>
      <c r="D24579" s="5"/>
      <c r="E24579" s="5" t="str">
        <f t="shared" si="1231"/>
        <v>SERVICIOS HOSPITALARIOS-MARIA DEL PILAR MEDINA SUAREZ (E)</v>
      </c>
      <c r="F24579" s="5" t="str">
        <f>"Descripcion: MIDE 74X 110 X70 CM Estado: Bueno Placa anterior: 000023436 Material: MADERA Color: NEGRO MARRON Y BEIS Referencia:  Observacion:  Placa padre: Tipo adquisicion: Entidad"</f>
        <v>Descripcion: MIDE 74X 110 X70 CM Estado: Bueno Placa anterior: 000023436 Material: MADERA Color: NEGRO MARRON Y BEIS Referencia:  Observacion:  Placa padre: Tipo adquisicion: Entidad</v>
      </c>
      <c r="G24579" s="5"/>
    </row>
    <row r="24580" spans="1:7" ht="58.5" customHeight="1" x14ac:dyDescent="0.25">
      <c r="A24580" s="5" t="str">
        <f>"H0005321"</f>
        <v>H0005321</v>
      </c>
      <c r="B24580" s="5" t="str">
        <f>"COMPUTADOR TODO EN UNO"</f>
        <v>COMPUTADOR TODO EN UNO</v>
      </c>
      <c r="C24580" s="6">
        <v>1572000</v>
      </c>
      <c r="D24580" s="5" t="s">
        <v>32</v>
      </c>
      <c r="E24580" s="5" t="str">
        <f t="shared" si="1231"/>
        <v>SERVICIOS HOSPITALARIOS-MARIA DEL PILAR MEDINA SUAREZ (E)</v>
      </c>
      <c r="F24580" s="5" t="str">
        <f>"Descripcion:EQUIPOS DE COMPUTO TODO EN UNO PROCESADOR CORE 3.0 SUPERIOR CORPORATIVO WINDOWS 8 PRO- OFFICE 2013 SMALL BUSINES, TECNOLOGIA HT DE INTEL GARANTIA EXTENDIDA A 3 AÑOS Estado: Excelente Placa anterior: 000030570 Material: PLASTICO Color: NEGRO Re"&amp; "ferencia: C9G88LT#ABM Observacion:  Placa anterior:, Placa nueva=H0005323, Descripcion:OPTICO, Serial:588485-001, Marca:HP, Modelo:MC9856, Material:PLASTICO, Color:NEGRO,   Referencia:C-7353, Placa anterior:, Placa nueva=H0005322, Descripcion:., Serial:, "&amp; "Marca:MANHATTAN, Modelo:EKB-1, Material:PLASTICO, Color:NEGRO,   Referencia:155113 Placa padre:  Tipo adquisicion : Entidad"</f>
        <v>Descripcion:EQUIPOS DE COMPUTO TODO EN UNO PROCESADOR CORE 3.0 SUPERIOR CORPORATIVO WINDOWS 8 PRO- OFFICE 2013 SMALL BUSINES, TECNOLOGIA HT DE INTEL GARANTIA EXTENDIDA A 3 AÑOS Estado: Excelente Placa anterior: 000030570 Material: PLASTICO Color: NEGRO Referencia: C9G88LT#ABM Observacion:  Placa anterior:, Placa nueva=H0005323, Descripcion:OPTICO, Serial:588485-001, Marca:HP, Modelo:MC9856, Material:PLASTICO, Color:NEGRO,   Referencia:C-7353, Placa anterior:, Placa nueva=H0005322, Descripcion:., Serial:, Marca:MANHATTAN, Modelo:EKB-1, Material:PLASTICO, Color:NEGRO,   Referencia:155113 Placa padre:  Tipo adquisicion : Entidad</v>
      </c>
      <c r="G24580" s="5"/>
    </row>
    <row r="24581" spans="1:7" ht="58.5" customHeight="1" x14ac:dyDescent="0.25">
      <c r="A24581" s="5" t="str">
        <f>"H0006045"</f>
        <v>H0006045</v>
      </c>
      <c r="B24581" s="5" t="str">
        <f>"SILLA ERGONOMICA TIPO GERENTE CON BRAZOS"</f>
        <v>SILLA ERGONOMICA TIPO GERENTE CON BRAZOS</v>
      </c>
      <c r="C24581" s="6">
        <v>693000</v>
      </c>
      <c r="D24581" s="5"/>
      <c r="E24581" s="5" t="str">
        <f t="shared" si="1231"/>
        <v>SERVICIOS HOSPITALARIOS-MARIA DEL PILAR MEDINA SUAREZ (E)</v>
      </c>
      <c r="F24581" s="5" t="str">
        <f>"Descripcion: SILLA PRESIDENTE EN CUERO CON BRAZOS Estado: Bueno Placa anterior: 000022672 Material: TAPIZADO EN CUERO Color: NEGRO Referencia:  Observacion:  Placa padre: Tipo adquisicion: Entidad"</f>
        <v>Descripcion: SILLA PRESIDENTE EN CUERO CON BRAZOS Estado: Bueno Placa anterior: 000022672 Material: TAPIZADO EN CUERO Color: NEGRO Referencia:  Observacion:  Placa padre: Tipo adquisicion: Entidad</v>
      </c>
      <c r="G24581" s="5"/>
    </row>
    <row r="24582" spans="1:7" ht="58.5" customHeight="1" x14ac:dyDescent="0.25">
      <c r="A24582" s="5" t="str">
        <f>"H0016267"</f>
        <v>H0016267</v>
      </c>
      <c r="B24582" s="5" t="str">
        <f>"PUESTO DE TRABAJO EN L CON 3 GAVETAS"</f>
        <v>PUESTO DE TRABAJO EN L CON 3 GAVETAS</v>
      </c>
      <c r="C24582" s="6">
        <v>610000</v>
      </c>
      <c r="D24582" s="5"/>
      <c r="E24582" s="5" t="str">
        <f t="shared" si="1231"/>
        <v>SERVICIOS HOSPITALARIOS-MARIA DEL PILAR MEDINA SUAREZ (E)</v>
      </c>
      <c r="F24582" s="5" t="str">
        <f>"Descripcion:ESCRITORIO EWJECUTIVO EN L MODULAR DE 1.50X1.50X0.60X0.73 Estado: Bueno Placa anterior: 000033150 Material: MADERA Color: BEIGE CLARO Referencia:  Observacion:  Placa padre:  Tipo adquisicion : Entidad"</f>
        <v>Descripcion:ESCRITORIO EWJECUTIVO EN L MODULAR DE 1.50X1.50X0.60X0.73 Estado: Bueno Placa anterior: 000033150 Material: MADERA Color: BEIGE CLARO Referencia:  Observacion:  Placa padre:  Tipo adquisicion : Entidad</v>
      </c>
      <c r="G24582" s="5"/>
    </row>
    <row r="24583" spans="1:7" ht="58.5" customHeight="1" x14ac:dyDescent="0.25">
      <c r="A24583" s="5" t="str">
        <f>"H0016636"</f>
        <v>H0016636</v>
      </c>
      <c r="B24583" s="5" t="str">
        <f>"PUESTO DE TRABAJO EN L CON 3 GAVETAS"</f>
        <v>PUESTO DE TRABAJO EN L CON 3 GAVETAS</v>
      </c>
      <c r="C24583" s="6">
        <v>610000</v>
      </c>
      <c r="D24583" s="5"/>
      <c r="E24583" s="5" t="str">
        <f t="shared" si="1231"/>
        <v>SERVICIOS HOSPITALARIOS-MARIA DEL PILAR MEDINA SUAREZ (E)</v>
      </c>
      <c r="F24583" s="5" t="str">
        <f>"Descripcion:ESCRITORIO EWJECUTIVO EN L MODULAR DE 1.50X1.50X0.60X0.73 Estado: Bueno Placa anterior: 000033137 Material: MADERA Color: BEIGE CLARO Referencia:  Observacion:  Placa padre:  Tipo adquisicion : Entidad"</f>
        <v>Descripcion:ESCRITORIO EWJECUTIVO EN L MODULAR DE 1.50X1.50X0.60X0.73 Estado: Bueno Placa anterior: 000033137 Material: MADERA Color: BEIGE CLARO Referencia:  Observacion:  Placa padre:  Tipo adquisicion : Entidad</v>
      </c>
      <c r="G24583" s="5"/>
    </row>
    <row r="24584" spans="1:7" ht="58.5" customHeight="1" x14ac:dyDescent="0.25">
      <c r="A24584" s="5" t="str">
        <f>"H0018091"</f>
        <v>H0018091</v>
      </c>
      <c r="B24584" s="5" t="str">
        <f>"MESA DE MADERA PARA COMPUTADOR"</f>
        <v>MESA DE MADERA PARA COMPUTADOR</v>
      </c>
      <c r="C24584" s="6">
        <v>139832.56</v>
      </c>
      <c r="D24584" s="5"/>
      <c r="E24584" s="5" t="str">
        <f t="shared" si="1231"/>
        <v>SERVICIOS HOSPITALARIOS-MARIA DEL PILAR MEDINA SUAREZ (E)</v>
      </c>
      <c r="F24584" s="5" t="str">
        <f>"Descripcion:MESA PARA COMPUTADOR CON PORTACPU Y UNA GAVETA, SUPERFICIE ENCHAPADA EN FORMICA Y BASE EN MADERA COLOR NEGRO Estado: Bueno Placa anterior: 000006715 Material: MADERA Color:  BEIS Y NEGRO Referencia:  Observacion:  Placa padre:  Tipo adquisicio"&amp; "n : Entidad"</f>
        <v>Descripcion:MESA PARA COMPUTADOR CON PORTACPU Y UNA GAVETA, SUPERFICIE ENCHAPADA EN FORMICA Y BASE EN MADERA COLOR NEGRO Estado: Bueno Placa anterior: 000006715 Material: MADERA Color:  BEIS Y NEGRO Referencia:  Observacion:  Placa padre:  Tipo adquisicion : Entidad</v>
      </c>
      <c r="G24584" s="5"/>
    </row>
    <row r="24585" spans="1:7" ht="58.5" customHeight="1" x14ac:dyDescent="0.25">
      <c r="A24585" s="5" t="str">
        <f>"H0018133"</f>
        <v>H0018133</v>
      </c>
      <c r="B24585" s="5" t="str">
        <f>"MESA DE MADERA REDONDA"</f>
        <v>MESA DE MADERA REDONDA</v>
      </c>
      <c r="C24585" s="6">
        <v>1508000</v>
      </c>
      <c r="D24585" s="5"/>
      <c r="E24585" s="5" t="str">
        <f t="shared" si="1231"/>
        <v>SERVICIOS HOSPITALARIOS-MARIA DEL PILAR MEDINA SUAREZ (E)</v>
      </c>
      <c r="F24585" s="5" t="str">
        <f>"Descripcion: MESA DE MADERA REDONDA CON ESTRUCTURA METALICA DIAMETRO 120CM Estado: Bueno Placa anterior: 000025563 Material: METALICO, FORMICA Color: GRIS CON MARRON  Referencia:  Observacion:  Placa padre: Tipo adquisicion: Entidad"</f>
        <v>Descripcion: MESA DE MADERA REDONDA CON ESTRUCTURA METALICA DIAMETRO 120CM Estado: Bueno Placa anterior: 000025563 Material: METALICO, FORMICA Color: GRIS CON MARRON  Referencia:  Observacion:  Placa padre: Tipo adquisicion: Entidad</v>
      </c>
      <c r="G24585" s="5"/>
    </row>
    <row r="24586" spans="1:7" ht="58.5" customHeight="1" x14ac:dyDescent="0.25">
      <c r="A24586" s="5" t="str">
        <f>"H0025418"</f>
        <v>H0025418</v>
      </c>
      <c r="B24586" s="5" t="str">
        <f>"TELÉFONO IP DE MESA CON. DOBLE INTERFAZ DE RED 10/100/1000 MBPS CON PoE INTEGRADO. PANTALLA INTEGRADA LCD CON LUZ DE FONDO. ALTAVOZ. QoS. FUENTE DE ALIMENTACIÓN. FUNCIONES DE RETENCIÓN, TRANSFERENCIA, REENVÍO, CONFERENCIA, LLAMADA EN ESPERA, HISTORIAL DE "&amp; "LLAMADAS. MULTILENGUAJE. CONECTOR DE AUDÍFONOS."</f>
        <v>TELÉFONO IP DE MESA CON. DOBLE INTERFAZ DE RED 10/100/1000 MBPS CON PoE INTEGRADO. PANTALLA INTEGRADA LCD CON LUZ DE FONDO. ALTAVOZ. QoS. FUENTE DE ALIMENTACIÓN. FUNCIONES DE RETENCIÓN, TRANSFERENCIA, REENVÍO, CONFERENCIA, LLAMADA EN ESPERA, HISTORIAL DE LLAMADAS. MULTILENGUAJE. CONECTOR DE AUDÍFONOS.</v>
      </c>
      <c r="C24586" s="6">
        <v>312156</v>
      </c>
      <c r="D24586" s="5" t="s">
        <v>10</v>
      </c>
      <c r="E24586" s="5" t="str">
        <f t="shared" si="1231"/>
        <v>SERVICIOS HOSPITALARIOS-MARIA DEL PILAR MEDINA SUAREZ (E)</v>
      </c>
      <c r="F24586" s="5"/>
      <c r="G24586" s="5"/>
    </row>
    <row r="24587" spans="1:7" ht="58.5" customHeight="1" x14ac:dyDescent="0.25">
      <c r="A24587" s="5" t="str">
        <f>"H0025523"</f>
        <v>H0025523</v>
      </c>
      <c r="B24587" s="5" t="str">
        <f>"SILLAS AVI/T FORRADAS EN CORDOBÁN COLOR GRIS"</f>
        <v>SILLAS AVI/T FORRADAS EN CORDOBÁN COLOR GRIS</v>
      </c>
      <c r="C24587" s="6">
        <v>154700</v>
      </c>
      <c r="D24587" s="5" t="s">
        <v>66</v>
      </c>
      <c r="E24587" s="5" t="str">
        <f t="shared" si="1231"/>
        <v>SERVICIOS HOSPITALARIOS-MARIA DEL PILAR MEDINA SUAREZ (E)</v>
      </c>
      <c r="F24587" s="5"/>
      <c r="G24587" s="5"/>
    </row>
    <row r="24588" spans="1:7" ht="58.5" customHeight="1" x14ac:dyDescent="0.25">
      <c r="A24588" s="5" t="str">
        <f>"H0025524"</f>
        <v>H0025524</v>
      </c>
      <c r="B24588" s="5" t="str">
        <f>"SILLAS AVI/T FORRADAS EN CORDOBÁN COLOR GRIS"</f>
        <v>SILLAS AVI/T FORRADAS EN CORDOBÁN COLOR GRIS</v>
      </c>
      <c r="C24588" s="6">
        <v>154700</v>
      </c>
      <c r="D24588" s="5" t="s">
        <v>66</v>
      </c>
      <c r="E24588" s="5" t="str">
        <f t="shared" si="1231"/>
        <v>SERVICIOS HOSPITALARIOS-MARIA DEL PILAR MEDINA SUAREZ (E)</v>
      </c>
      <c r="F24588" s="5"/>
      <c r="G24588" s="5"/>
    </row>
    <row r="24589" spans="1:7" ht="58.5" customHeight="1" x14ac:dyDescent="0.25">
      <c r="A24589" s="5" t="str">
        <f>"H0025527"</f>
        <v>H0025527</v>
      </c>
      <c r="B24589" s="5" t="str">
        <f>"SILLAS AVI/T FORRADAS EN CORDOBÁN COLOR GRIS"</f>
        <v>SILLAS AVI/T FORRADAS EN CORDOBÁN COLOR GRIS</v>
      </c>
      <c r="C24589" s="6">
        <v>154700</v>
      </c>
      <c r="D24589" s="5" t="s">
        <v>66</v>
      </c>
      <c r="E24589" s="5" t="str">
        <f t="shared" si="1231"/>
        <v>SERVICIOS HOSPITALARIOS-MARIA DEL PILAR MEDINA SUAREZ (E)</v>
      </c>
      <c r="F24589" s="5"/>
      <c r="G24589" s="5"/>
    </row>
    <row r="24590" spans="1:7" ht="58.5" customHeight="1" x14ac:dyDescent="0.25">
      <c r="A24590" s="5" t="str">
        <f>"H0025532"</f>
        <v>H0025532</v>
      </c>
      <c r="B24590" s="5" t="str">
        <f>"SILLAS AVI/T FORRADAS EN CORDOBÁN COLOR NARANJA"</f>
        <v>SILLAS AVI/T FORRADAS EN CORDOBÁN COLOR NARANJA</v>
      </c>
      <c r="C24590" s="6">
        <v>154700</v>
      </c>
      <c r="D24590" s="5" t="s">
        <v>66</v>
      </c>
      <c r="E24590" s="5" t="str">
        <f t="shared" si="1231"/>
        <v>SERVICIOS HOSPITALARIOS-MARIA DEL PILAR MEDINA SUAREZ (E)</v>
      </c>
      <c r="F24590" s="5"/>
      <c r="G24590" s="5"/>
    </row>
    <row r="24591" spans="1:7" ht="58.5" customHeight="1" x14ac:dyDescent="0.25">
      <c r="A24591" s="5" t="str">
        <f>"H0025539"</f>
        <v>H0025539</v>
      </c>
      <c r="B24591" s="5" t="str">
        <f>"SILLAS AVI/T FORRADAS EN CORDOBÁN COLOR NARANJA"</f>
        <v>SILLAS AVI/T FORRADAS EN CORDOBÁN COLOR NARANJA</v>
      </c>
      <c r="C24591" s="6">
        <v>154700</v>
      </c>
      <c r="D24591" s="5" t="s">
        <v>66</v>
      </c>
      <c r="E24591" s="5" t="str">
        <f t="shared" si="1231"/>
        <v>SERVICIOS HOSPITALARIOS-MARIA DEL PILAR MEDINA SUAREZ (E)</v>
      </c>
      <c r="F24591" s="5"/>
      <c r="G24591" s="5"/>
    </row>
    <row r="24592" spans="1:7" ht="58.5" customHeight="1" x14ac:dyDescent="0.25">
      <c r="A24592" s="5" t="str">
        <f>"H0025542"</f>
        <v>H0025542</v>
      </c>
      <c r="B24592" s="5" t="str">
        <f>"SILLAS AVI/T FORRADAS EN CORDOBÁN COLOR NARANJA"</f>
        <v>SILLAS AVI/T FORRADAS EN CORDOBÁN COLOR NARANJA</v>
      </c>
      <c r="C24592" s="6">
        <v>154700</v>
      </c>
      <c r="D24592" s="5" t="s">
        <v>66</v>
      </c>
      <c r="E24592" s="5" t="str">
        <f t="shared" si="1231"/>
        <v>SERVICIOS HOSPITALARIOS-MARIA DEL PILAR MEDINA SUAREZ (E)</v>
      </c>
      <c r="F24592" s="5"/>
      <c r="G24592" s="5"/>
    </row>
    <row r="24593" spans="1:7" ht="58.5" customHeight="1" x14ac:dyDescent="0.25">
      <c r="A24593" s="5" t="str">
        <f>"H0025544"</f>
        <v>H0025544</v>
      </c>
      <c r="B24593" s="5" t="str">
        <f>"SILLAS AVI/T FORRADAS EN CORDOBÁN COLOR NARANJA"</f>
        <v>SILLAS AVI/T FORRADAS EN CORDOBÁN COLOR NARANJA</v>
      </c>
      <c r="C24593" s="6">
        <v>154700</v>
      </c>
      <c r="D24593" s="5" t="s">
        <v>66</v>
      </c>
      <c r="E24593" s="5" t="str">
        <f t="shared" si="1231"/>
        <v>SERVICIOS HOSPITALARIOS-MARIA DEL PILAR MEDINA SUAREZ (E)</v>
      </c>
      <c r="F24593" s="5"/>
      <c r="G24593" s="5"/>
    </row>
    <row r="24594" spans="1:7" ht="58.5" customHeight="1" x14ac:dyDescent="0.25">
      <c r="A24594" s="5" t="str">
        <f>"H0025546"</f>
        <v>H0025546</v>
      </c>
      <c r="B24594" s="5" t="str">
        <f>"MESA REDONDA DE JUNTAS PARA 6 PERSONAS ENCHAPADA EN FORMICA COLOR GRIS"</f>
        <v>MESA REDONDA DE JUNTAS PARA 6 PERSONAS ENCHAPADA EN FORMICA COLOR GRIS</v>
      </c>
      <c r="C24594" s="6">
        <v>690200</v>
      </c>
      <c r="D24594" s="5" t="s">
        <v>66</v>
      </c>
      <c r="E24594" s="5" t="str">
        <f t="shared" si="1231"/>
        <v>SERVICIOS HOSPITALARIOS-MARIA DEL PILAR MEDINA SUAREZ (E)</v>
      </c>
      <c r="F24594" s="5"/>
      <c r="G24594" s="5"/>
    </row>
    <row r="24595" spans="1:7" ht="58.5" customHeight="1" x14ac:dyDescent="0.25">
      <c r="A24595" s="5" t="str">
        <f>"H0027177"</f>
        <v>H0027177</v>
      </c>
      <c r="B24595" s="5" t="str">
        <f>"EQUIPO DE COMPUTO TODO EN UNO con - Procesador Intel core i5 de sexta generación de 3.2 Ghz o superior. - Memoria RAM 8 GBx1 DDR4-2133. - 1 disco duro de 500 GB 7200 rpm o superior. - Puerto Ethernet RJ45 Base 1000. - Tarjeta inalámbrica compatible 802.11"&amp; "ac. - Pantalla de 19” en adelante - Unidad de DVD-RW - Teclado USB de la misma marca distribución Latinoamérica - Mouse Optico USB - Cámara Web HD con micrófono o superior - 2 Puertos USB 3.0 - Salida audífonos y microfono 3.5 mm - Lector de tarjetas SD -"&amp; " Altura máxima 35 cm desde la base hasta la parte superior de la pantalla - Fuentes de poder integrada en case o externa - LICENCIA DE MICROSOFT WINDOWS 10 PROFESIONAL 64 Bits - 3 años de garantía con fabricante"</f>
        <v>EQUIPO DE COMPUTO TODO EN UNO con - Procesador Intel core i5 de sexta generación de 3.2 Ghz o superior. - Memoria RAM 8 GBx1 DDR4-2133. - 1 disco duro de 500 GB 7200 rpm o superior. - Puerto Ethernet RJ45 Base 1000. - Tarjeta inalámbrica compatible 802.11ac. - Pantalla de 19” en adelante - Unidad de DVD-RW - Teclado USB de la misma marca distribución Latinoamérica - Mouse Optico USB - Cámara Web HD con micrófono o superior - 2 Puertos USB 3.0 - Salida audífonos y microfono 3.5 mm - Lector de tarjetas SD - Altura máxima 35 cm desde la base hasta la parte superior de la pantalla - Fuentes de poder integrada en case o externa - LICENCIA DE MICROSOFT WINDOWS 10 PROFESIONAL 64 Bits - 3 años de garantía con fabricante</v>
      </c>
      <c r="C24595" s="6">
        <v>2641800</v>
      </c>
      <c r="D24595" s="5" t="s">
        <v>38</v>
      </c>
      <c r="E24595" s="5" t="str">
        <f t="shared" si="1231"/>
        <v>SERVICIOS HOSPITALARIOS-MARIA DEL PILAR MEDINA SUAREZ (E)</v>
      </c>
      <c r="F24595" s="5"/>
      <c r="G24595" s="5"/>
    </row>
    <row r="24596" spans="1:7" ht="58.5" customHeight="1" x14ac:dyDescent="0.25">
      <c r="A24596" s="5" t="str">
        <f>"H0029974"</f>
        <v>H0029974</v>
      </c>
      <c r="B24596" s="5" t="s">
        <v>273</v>
      </c>
      <c r="C24596" s="6">
        <v>1955894</v>
      </c>
      <c r="D24596" s="5" t="s">
        <v>225</v>
      </c>
      <c r="E24596" s="5" t="str">
        <f t="shared" si="1231"/>
        <v>SERVICIOS HOSPITALARIOS-MARIA DEL PILAR MEDINA SUAREZ (E)</v>
      </c>
      <c r="F24596" s="5"/>
      <c r="G24596" s="5"/>
    </row>
    <row r="24597" spans="1:7" ht="58.5" customHeight="1" x14ac:dyDescent="0.25">
      <c r="A24597" s="5" t="str">
        <f>"H0031455"</f>
        <v>H0031455</v>
      </c>
      <c r="B24597"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597" s="6">
        <v>3209500</v>
      </c>
      <c r="D24597" s="5" t="s">
        <v>16</v>
      </c>
      <c r="E24597" s="5" t="str">
        <f t="shared" si="1231"/>
        <v>SERVICIOS HOSPITALARIOS-MARIA DEL PILAR MEDINA SUAREZ (E)</v>
      </c>
      <c r="F24597" s="5"/>
      <c r="G24597" s="5"/>
    </row>
    <row r="24598" spans="1:7" ht="58.5" customHeight="1" x14ac:dyDescent="0.25">
      <c r="A24598" s="5" t="str">
        <f>"H0031494"</f>
        <v>H0031494</v>
      </c>
      <c r="B24598" s="5" t="str">
        <f>"EQUIPO DE COMPUTO TODO EN UNO con Procesador 4 núcleos 3.2 GHz. RAM 8 GBx1 DDR4-2666. DD 256 GB SSD. RJ45 Base 1000. WLAN 802.11ac (2x2). 19”. Unidad de DVD-RW. Teclado USB. Mouse. Cámara Web"</f>
        <v>EQUIPO DE COMPUTO TODO EN UNO con Procesador 4 núcleos 3.2 GHz. RAM 8 GBx1 DDR4-2666. DD 256 GB SSD. RJ45 Base 1000. WLAN 802.11ac (2x2). 19”. Unidad de DVD-RW. Teclado USB. Mouse. Cámara Web</v>
      </c>
      <c r="C24598" s="6">
        <v>3209500</v>
      </c>
      <c r="D24598" s="5" t="s">
        <v>16</v>
      </c>
      <c r="E24598" s="5" t="str">
        <f t="shared" si="1231"/>
        <v>SERVICIOS HOSPITALARIOS-MARIA DEL PILAR MEDINA SUAREZ (E)</v>
      </c>
      <c r="F24598" s="5"/>
      <c r="G24598" s="5"/>
    </row>
    <row r="24599" spans="1:7" ht="58.5" customHeight="1" x14ac:dyDescent="0.25">
      <c r="A24599" s="5" t="str">
        <f>"H0031768"</f>
        <v>H0031768</v>
      </c>
      <c r="B24599" s="5" t="str">
        <f t="shared" ref="B24599:B24605" si="1232">"SILLA EJECUTIVA CON BRAZO"</f>
        <v>SILLA EJECUTIVA CON BRAZO</v>
      </c>
      <c r="C24599" s="6">
        <v>199900</v>
      </c>
      <c r="D24599" s="5" t="s">
        <v>814</v>
      </c>
      <c r="E24599" s="5" t="str">
        <f t="shared" si="1231"/>
        <v>SERVICIOS HOSPITALARIOS-MARIA DEL PILAR MEDINA SUAREZ (E)</v>
      </c>
      <c r="F24599" s="5"/>
      <c r="G24599" s="5"/>
    </row>
    <row r="24600" spans="1:7" ht="58.5" customHeight="1" x14ac:dyDescent="0.25">
      <c r="A24600" s="5" t="str">
        <f>"H0031770"</f>
        <v>H0031770</v>
      </c>
      <c r="B24600" s="5" t="str">
        <f t="shared" si="1232"/>
        <v>SILLA EJECUTIVA CON BRAZO</v>
      </c>
      <c r="C24600" s="6">
        <v>199900</v>
      </c>
      <c r="D24600" s="5" t="s">
        <v>814</v>
      </c>
      <c r="E24600" s="5" t="str">
        <f t="shared" si="1231"/>
        <v>SERVICIOS HOSPITALARIOS-MARIA DEL PILAR MEDINA SUAREZ (E)</v>
      </c>
      <c r="F24600" s="5"/>
      <c r="G24600" s="5"/>
    </row>
    <row r="24601" spans="1:7" ht="58.5" customHeight="1" x14ac:dyDescent="0.25">
      <c r="A24601" s="5" t="str">
        <f>"H0031771"</f>
        <v>H0031771</v>
      </c>
      <c r="B24601" s="5" t="str">
        <f t="shared" si="1232"/>
        <v>SILLA EJECUTIVA CON BRAZO</v>
      </c>
      <c r="C24601" s="6">
        <v>199900</v>
      </c>
      <c r="D24601" s="5" t="s">
        <v>814</v>
      </c>
      <c r="E24601" s="5" t="str">
        <f t="shared" si="1231"/>
        <v>SERVICIOS HOSPITALARIOS-MARIA DEL PILAR MEDINA SUAREZ (E)</v>
      </c>
      <c r="F24601" s="5"/>
      <c r="G24601" s="5"/>
    </row>
    <row r="24602" spans="1:7" ht="58.5" customHeight="1" x14ac:dyDescent="0.25">
      <c r="A24602" s="5" t="str">
        <f>"H0031775"</f>
        <v>H0031775</v>
      </c>
      <c r="B24602" s="5" t="str">
        <f t="shared" si="1232"/>
        <v>SILLA EJECUTIVA CON BRAZO</v>
      </c>
      <c r="C24602" s="6">
        <v>199900</v>
      </c>
      <c r="D24602" s="5" t="s">
        <v>814</v>
      </c>
      <c r="E24602" s="5" t="str">
        <f t="shared" si="1231"/>
        <v>SERVICIOS HOSPITALARIOS-MARIA DEL PILAR MEDINA SUAREZ (E)</v>
      </c>
      <c r="F24602" s="5"/>
      <c r="G24602" s="5"/>
    </row>
    <row r="24603" spans="1:7" ht="58.5" customHeight="1" x14ac:dyDescent="0.25">
      <c r="A24603" s="5" t="str">
        <f>"H0031779"</f>
        <v>H0031779</v>
      </c>
      <c r="B24603" s="5" t="str">
        <f t="shared" si="1232"/>
        <v>SILLA EJECUTIVA CON BRAZO</v>
      </c>
      <c r="C24603" s="6">
        <v>199900</v>
      </c>
      <c r="D24603" s="5" t="s">
        <v>814</v>
      </c>
      <c r="E24603" s="5" t="str">
        <f t="shared" si="1231"/>
        <v>SERVICIOS HOSPITALARIOS-MARIA DEL PILAR MEDINA SUAREZ (E)</v>
      </c>
      <c r="F24603" s="5"/>
      <c r="G24603" s="5"/>
    </row>
    <row r="24604" spans="1:7" ht="58.5" customHeight="1" x14ac:dyDescent="0.25">
      <c r="A24604" s="5" t="str">
        <f>"H0031780"</f>
        <v>H0031780</v>
      </c>
      <c r="B24604" s="5" t="str">
        <f t="shared" si="1232"/>
        <v>SILLA EJECUTIVA CON BRAZO</v>
      </c>
      <c r="C24604" s="6">
        <v>199900</v>
      </c>
      <c r="D24604" s="5" t="s">
        <v>814</v>
      </c>
      <c r="E24604" s="5" t="str">
        <f t="shared" si="1231"/>
        <v>SERVICIOS HOSPITALARIOS-MARIA DEL PILAR MEDINA SUAREZ (E)</v>
      </c>
      <c r="F24604" s="5"/>
      <c r="G24604" s="5"/>
    </row>
    <row r="24605" spans="1:7" ht="58.5" customHeight="1" x14ac:dyDescent="0.25">
      <c r="A24605" s="5" t="str">
        <f>"H0031783"</f>
        <v>H0031783</v>
      </c>
      <c r="B24605" s="5" t="str">
        <f t="shared" si="1232"/>
        <v>SILLA EJECUTIVA CON BRAZO</v>
      </c>
      <c r="C24605" s="6">
        <v>199900</v>
      </c>
      <c r="D24605" s="5" t="s">
        <v>814</v>
      </c>
      <c r="E24605" s="5" t="str">
        <f t="shared" si="1231"/>
        <v>SERVICIOS HOSPITALARIOS-MARIA DEL PILAR MEDINA SUAREZ (E)</v>
      </c>
      <c r="F24605" s="5"/>
      <c r="G24605" s="5"/>
    </row>
    <row r="24606" spans="1:7" ht="58.5" customHeight="1" x14ac:dyDescent="0.25">
      <c r="A24606" s="5" t="str">
        <f>"H0033939"</f>
        <v>H0033939</v>
      </c>
      <c r="B24606" s="5" t="str">
        <f>"LECTOR DE HUELLAS DIGITALES"</f>
        <v>LECTOR DE HUELLAS DIGITALES</v>
      </c>
      <c r="C24606" s="6">
        <v>340340</v>
      </c>
      <c r="D24606" s="5" t="s">
        <v>119</v>
      </c>
      <c r="E24606" s="5" t="str">
        <f t="shared" si="1231"/>
        <v>SERVICIOS HOSPITALARIOS-MARIA DEL PILAR MEDINA SUAREZ (E)</v>
      </c>
      <c r="F24606" s="5"/>
      <c r="G24606" s="5"/>
    </row>
    <row r="24607" spans="1:7" ht="58.5" customHeight="1" x14ac:dyDescent="0.25">
      <c r="A24607" s="5" t="str">
        <f>"H0034090"</f>
        <v>H0034090</v>
      </c>
      <c r="B24607" s="5" t="str">
        <f>"EQUIPO PORTÁTIL CON Procesador Intel Core i5-7200U, Memoria Ram 8 GB DDR4. Disco Duro de 500 GB 7200 RPM SATA3. Pantalla 14” HD (1366x768), Cámara 720 HD, Lector de Memorias, Lector biométrico, RED Base 1 GB, Wifi Intel 8265AC+ BT 2x2, Batería de 6 celdas"&amp; " en Litio (47 Wh), Windows 10 Pro 64 Bits, Unidad externa de DVD-RW, Garantía 5 años en sitio"</f>
        <v>EQUIPO PORTÁTIL CON Procesador Intel Core i5-7200U, Memoria Ram 8 GB DDR4. Disco Duro de 500 GB 7200 RPM SATA3. Pantalla 14” HD (1366x768), Cámara 720 HD, Lector de Memorias, Lector biométrico, RED Base 1 GB, Wifi Intel 8265AC+ BT 2x2, Batería de 6 celdas en Litio (47 Wh), Windows 10 Pro 64 Bits, Unidad externa de DVD-RW, Garantía 5 años en sitio</v>
      </c>
      <c r="C24607" s="6">
        <v>5604900</v>
      </c>
      <c r="D24607" s="5" t="s">
        <v>192</v>
      </c>
      <c r="E24607" s="5" t="str">
        <f t="shared" si="1231"/>
        <v>SERVICIOS HOSPITALARIOS-MARIA DEL PILAR MEDINA SUAREZ (E)</v>
      </c>
      <c r="F24607" s="5"/>
      <c r="G24607" s="5"/>
    </row>
    <row r="24608" spans="1:7" ht="58.5" customHeight="1" x14ac:dyDescent="0.25">
      <c r="A24608" s="5" t="str">
        <f>"H0035144"</f>
        <v>H0035144</v>
      </c>
      <c r="B24608" s="5" t="str">
        <f>"NEVERA DE 66 LTS"</f>
        <v>NEVERA DE 66 LTS</v>
      </c>
      <c r="C24608" s="6">
        <v>544999.71</v>
      </c>
      <c r="D24608" s="5" t="s">
        <v>25</v>
      </c>
      <c r="E24608" s="5" t="str">
        <f t="shared" si="1231"/>
        <v>SERVICIOS HOSPITALARIOS-MARIA DEL PILAR MEDINA SUAREZ (E)</v>
      </c>
      <c r="F24608" s="5"/>
      <c r="G24608" s="5"/>
    </row>
    <row r="24609" spans="1:7" ht="58.5" customHeight="1" x14ac:dyDescent="0.25">
      <c r="A24609" s="5" t="str">
        <f>"H0035194"</f>
        <v>H0035194</v>
      </c>
      <c r="B24609" s="5" t="str">
        <f>"LECTOR DE HUELLAS DIGITALES"</f>
        <v>LECTOR DE HUELLAS DIGITALES</v>
      </c>
      <c r="C24609" s="6">
        <v>357666.4</v>
      </c>
      <c r="D24609" s="5" t="s">
        <v>126</v>
      </c>
      <c r="E24609" s="5" t="str">
        <f t="shared" si="1231"/>
        <v>SERVICIOS HOSPITALARIOS-MARIA DEL PILAR MEDINA SUAREZ (E)</v>
      </c>
      <c r="F24609" s="5"/>
      <c r="G24609" s="5"/>
    </row>
    <row r="24610" spans="1:7" ht="58.5" customHeight="1" x14ac:dyDescent="0.25">
      <c r="A24610" s="5" t="str">
        <f>"H0035293"</f>
        <v>H0035293</v>
      </c>
      <c r="B24610" s="5" t="str">
        <f>"AIRE ACONDICIONADO DUAL INVERTER DE 18.000 BTU MARCA LG CON KIT DE TUBERIA DE 3 METROS"</f>
        <v>AIRE ACONDICIONADO DUAL INVERTER DE 18.000 BTU MARCA LG CON KIT DE TUBERIA DE 3 METROS</v>
      </c>
      <c r="C24610" s="6">
        <v>3094000</v>
      </c>
      <c r="D24610" s="5" t="s">
        <v>158</v>
      </c>
      <c r="E24610" s="5" t="str">
        <f t="shared" si="1231"/>
        <v>SERVICIOS HOSPITALARIOS-MARIA DEL PILAR MEDINA SUAREZ (E)</v>
      </c>
      <c r="F24610" s="5"/>
      <c r="G24610" s="5" t="str">
        <f>"VM182C7"</f>
        <v>VM182C7</v>
      </c>
    </row>
    <row r="24611" spans="1:7" ht="58.5" customHeight="1" x14ac:dyDescent="0.25">
      <c r="A24611" s="5" t="str">
        <f>"H0035326"</f>
        <v>H0035326</v>
      </c>
      <c r="B24611" s="5" t="s">
        <v>128</v>
      </c>
      <c r="C24611" s="6">
        <v>5462100</v>
      </c>
      <c r="D24611" s="5" t="s">
        <v>127</v>
      </c>
      <c r="E24611" s="5" t="str">
        <f t="shared" si="1231"/>
        <v>SERVICIOS HOSPITALARIOS-MARIA DEL PILAR MEDINA SUAREZ (E)</v>
      </c>
      <c r="F24611" s="5"/>
      <c r="G24611" s="5" t="str">
        <f>"202G4AIO"</f>
        <v>202G4AIO</v>
      </c>
    </row>
    <row r="24612" spans="1:7" ht="58.5" customHeight="1" x14ac:dyDescent="0.25">
      <c r="A24612" s="5" t="str">
        <f>"H0035331"</f>
        <v>H0035331</v>
      </c>
      <c r="B24612" s="5" t="s">
        <v>128</v>
      </c>
      <c r="C24612" s="6">
        <v>5462100</v>
      </c>
      <c r="D24612" s="5" t="s">
        <v>127</v>
      </c>
      <c r="E24612" s="5" t="str">
        <f t="shared" si="1231"/>
        <v>SERVICIOS HOSPITALARIOS-MARIA DEL PILAR MEDINA SUAREZ (E)</v>
      </c>
      <c r="F24612" s="5"/>
      <c r="G24612" s="5"/>
    </row>
    <row r="24613" spans="1:7" ht="58.5" customHeight="1" x14ac:dyDescent="0.25">
      <c r="A24613" s="5" t="str">
        <f>"H0035802"</f>
        <v>H0035802</v>
      </c>
      <c r="B24613" s="5" t="str">
        <f>"SILLA GERENTE NIZA MEC. BASCULANTE CON BRAZOS."</f>
        <v>SILLA GERENTE NIZA MEC. BASCULANTE CON BRAZOS.</v>
      </c>
      <c r="C24613" s="6">
        <v>640002.24</v>
      </c>
      <c r="D24613" s="5" t="s">
        <v>47</v>
      </c>
      <c r="E24613" s="5" t="str">
        <f t="shared" si="1231"/>
        <v>SERVICIOS HOSPITALARIOS-MARIA DEL PILAR MEDINA SUAREZ (E)</v>
      </c>
      <c r="F24613" s="5"/>
      <c r="G24613" s="5"/>
    </row>
    <row r="24614" spans="1:7" ht="58.5" customHeight="1" x14ac:dyDescent="0.25">
      <c r="A24614" s="5" t="str">
        <f>"H0036535"</f>
        <v>H0036535</v>
      </c>
      <c r="B24614" s="5" t="str">
        <f>"AIO ACER VERITON  Z4680G-OD510 DE  21.5"" FHD RATIO 16:9 - AJUSTABLE - CAMARA RETRACTIL, INTEL CORE I5 11400 11 AVA GENERACIÓN,,MEMORIA  RAM 8GB (1X8GB) 2666MHZ DDR4 CRECE HASTA 32GB,  DISCO DURO SSD"</f>
        <v>AIO ACER VERITON  Z4680G-OD510 DE  21.5" FHD RATIO 16:9 - AJUSTABLE - CAMARA RETRACTIL, INTEL CORE I5 11400 11 AVA GENERACIÓN,,MEMORIA  RAM 8GB (1X8GB) 2666MHZ DDR4 CRECE HASTA 32GB,  DISCO DURO SSD</v>
      </c>
      <c r="C24614" s="6">
        <v>6307000</v>
      </c>
      <c r="D24614" s="5" t="s">
        <v>48</v>
      </c>
      <c r="E24614" s="5" t="str">
        <f t="shared" si="1231"/>
        <v>SERVICIOS HOSPITALARIOS-MARIA DEL PILAR MEDINA SUAREZ (E)</v>
      </c>
      <c r="F24614" s="5"/>
      <c r="G24614" s="5" t="str">
        <f>"VZ4680G"</f>
        <v>VZ4680G</v>
      </c>
    </row>
    <row r="24615" spans="1:7" ht="58.5" customHeight="1" x14ac:dyDescent="0.25">
      <c r="A24615" s="5" t="str">
        <f>"H0037576"</f>
        <v>H0037576</v>
      </c>
      <c r="B24615" s="5" t="str">
        <f>"- RADIO PORTÁTIL DEP 250, BATERIA DE LITIO DE 1500 MAH, CARGADOR DE BATERIA CLIP, ANTENA TIPO HELIFEX, COMUNICACIÓN DE VOZ ANALOGICAS/DIGITALES, MODULACION DIGITAL 4FSK Y ANALOGA 11KOF3E, ESPACIAMIENT"</f>
        <v>- RADIO PORTÁTIL DEP 250, BATERIA DE LITIO DE 1500 MAH, CARGADOR DE BATERIA CLIP, ANTENA TIPO HELIFEX, COMUNICACIÓN DE VOZ ANALOGICAS/DIGITALES, MODULACION DIGITAL 4FSK Y ANALOGA 11KOF3E, ESPACIAMIENT</v>
      </c>
      <c r="C24615" s="6">
        <v>1837598</v>
      </c>
      <c r="D24615" s="5" t="s">
        <v>29</v>
      </c>
      <c r="E24615" s="5" t="str">
        <f t="shared" si="1231"/>
        <v>SERVICIOS HOSPITALARIOS-MARIA DEL PILAR MEDINA SUAREZ (E)</v>
      </c>
      <c r="F24615" s="5"/>
      <c r="G24615" s="5"/>
    </row>
    <row r="24616" spans="1:7" ht="58.5" customHeight="1" x14ac:dyDescent="0.25">
      <c r="A24616" s="5" t="str">
        <f>"H0037921"</f>
        <v>H0037921</v>
      </c>
      <c r="B24616" s="5" t="str">
        <f>"SILLA GERENTE NIZA MEC. BASCULANTE CON BRAZOS."</f>
        <v>SILLA GERENTE NIZA MEC. BASCULANTE CON BRAZOS.</v>
      </c>
      <c r="C24616" s="6">
        <v>710000.01</v>
      </c>
      <c r="D24616" s="5" t="s">
        <v>30</v>
      </c>
      <c r="E24616" s="5" t="str">
        <f t="shared" si="1231"/>
        <v>SERVICIOS HOSPITALARIOS-MARIA DEL PILAR MEDINA SUAREZ (E)</v>
      </c>
      <c r="F24616" s="5"/>
      <c r="G24616" s="5"/>
    </row>
    <row r="24617" spans="1:7" ht="58.5" customHeight="1" x14ac:dyDescent="0.25">
      <c r="A24617" s="5" t="str">
        <f>"H0004642"</f>
        <v>H0004642</v>
      </c>
      <c r="B24617" s="5" t="str">
        <f>"COMPUTADOR TODO EN UNO"</f>
        <v>COMPUTADOR TODO EN UNO</v>
      </c>
      <c r="C24617" s="6">
        <v>1572000</v>
      </c>
      <c r="D24617" s="5" t="s">
        <v>346</v>
      </c>
      <c r="E24617" s="5" t="str">
        <f t="shared" ref="E24617:E24625" si="1233">"COORDINACIÓN JURIDICA"</f>
        <v>COORDINACIÓN JURIDICA</v>
      </c>
      <c r="F24617" s="5" t="str">
        <f>"Descripcion:EQUIPOS DE COMPUTO TODO EN UNO PROCESADOR CORE 3.0 SUPERIOR CORPORATIVO WINDOWS 8 PRO- OFFICE 2013 SMALL BUSINES, TECNOLOGIA HT DE INTEL GARANTIA EXTENDIDA A 3 AÑOS Estado: Bueno Placa anterior: 000030689 Material: PLASTICO DE POLIPROPILENO Co"&amp; "lor: NEGRO Referencia: COMPAQ PRO 4300 Observacion:  Placa anterior:, Placa nueva=H0004644, Descripcion:MOUSE OPTICO, Serial:672662-001, Marca:HP, Modelo:, Material:PLASTICO, Color:NEGRO,   Referencia:, Placa anterior:, Placa nueva=H0004643, Descripcion:T"&amp; "ACLADO, Serial:BDMHEOC5Y5X135, Marca:HP, Modelo:KU-1156, Material:PLASTICO DE POLIPROPILENO, Color:NEGRO,   Referencia: Placa padre:  Tipo adquisicion : Entidad"</f>
        <v>Descripcion:EQUIPOS DE COMPUTO TODO EN UNO PROCESADOR CORE 3.0 SUPERIOR CORPORATIVO WINDOWS 8 PRO- OFFICE 2013 SMALL BUSINES, TECNOLOGIA HT DE INTEL GARANTIA EXTENDIDA A 3 AÑOS Estado: Bueno Placa anterior: 000030689 Material: PLASTICO DE POLIPROPILENO Color: NEGRO Referencia: COMPAQ PRO 4300 Observacion:  Placa anterior:, Placa nueva=H0004644, Descripcion:MOUSE OPTICO, Serial:672662-001, Marca:HP, Modelo:, Material:PLASTICO, Color:NEGRO,   Referencia:, Placa anterior:, Placa nueva=H0004643, Descripcion:TACLADO, Serial:BDMHEOC5Y5X135, Marca:HP, Modelo:KU-1156, Material:PLASTICO DE POLIPROPILENO, Color:NEGRO,   Referencia: Placa padre:  Tipo adquisicion : Entidad</v>
      </c>
      <c r="G24617" s="5"/>
    </row>
    <row r="24618" spans="1:7" ht="58.5" customHeight="1" x14ac:dyDescent="0.25">
      <c r="A24618" s="5" t="str">
        <f>"H0005471"</f>
        <v>H0005471</v>
      </c>
      <c r="B24618" s="5" t="str">
        <f>"ARCHIVADOR DE MADERA 3 GAVETAS"</f>
        <v>ARCHIVADOR DE MADERA 3 GAVETAS</v>
      </c>
      <c r="C24618" s="6">
        <v>380000</v>
      </c>
      <c r="D24618" s="5" t="s">
        <v>807</v>
      </c>
      <c r="E24618" s="5" t="str">
        <f t="shared" si="1233"/>
        <v>COORDINACIÓN JURIDICA</v>
      </c>
      <c r="F24618" s="5" t="str">
        <f>"Descripcion: ARCHIVADOR 2X1 CON CHAPA Y MANIJAS LINEAS NEXUM Estado: Bueno Placa anterior: 000029557 Material: FORMICA Color: NEGRO Referencia:  Observacion:  Placa padre: Tipo adquisicion: Entidad"</f>
        <v>Descripcion: ARCHIVADOR 2X1 CON CHAPA Y MANIJAS LINEAS NEXUM Estado: Bueno Placa anterior: 000029557 Material: FORMICA Color: NEGRO Referencia:  Observacion:  Placa padre: Tipo adquisicion: Entidad</v>
      </c>
      <c r="G24618" s="5"/>
    </row>
    <row r="24619" spans="1:7" ht="58.5" customHeight="1" x14ac:dyDescent="0.25">
      <c r="A24619" s="5" t="str">
        <f>"H0007014"</f>
        <v>H0007014</v>
      </c>
      <c r="B24619" s="5" t="str">
        <f>"COMPUTADOR TODO EN UNO"</f>
        <v>COMPUTADOR TODO EN UNO</v>
      </c>
      <c r="C24619" s="6">
        <v>2470000</v>
      </c>
      <c r="D24619" s="5" t="s">
        <v>684</v>
      </c>
      <c r="E24619" s="5" t="str">
        <f t="shared" si="1233"/>
        <v>COORDINACIÓN JURIDICA</v>
      </c>
      <c r="F24619" s="5" t="str">
        <f>"Descripcion: EQUIPO DE COMPUTO TODO EN UNO CON PROCESADOR INTEL i5 Estado: Excelente Placa anterior: 000037257 Material: PLASTICO Color: NEGRO Referencia: 10BD-00FDLS Observacion:  Placa anterior:, Placa nueva=H0007015, Descripcion:., Serial:8259163, Marc"&amp; "a:LENOVO, Modelo:KU-0225, Material:PLASTICO, Color:NEGRO,   Referencia:54Y9424, Placa anterior:, Placa nueva=H0007016, Descripcion:OPTICO, Serial:44PD040, Marca:LENOVO, Modelo:MOEUUOA, Material:PLASTICO, Color:NEGRO,   Referencia:SM50F76959 Placa padre: T"&amp; "ipo adquisicion: Entidad"</f>
        <v>Descripcion: EQUIPO DE COMPUTO TODO EN UNO CON PROCESADOR INTEL i5 Estado: Excelente Placa anterior: 000037257 Material: PLASTICO Color: NEGRO Referencia: 10BD-00FDLS Observacion:  Placa anterior:, Placa nueva=H0007015, Descripcion:., Serial:8259163, Marca:LENOVO, Modelo:KU-0225, Material:PLASTICO, Color:NEGRO,   Referencia:54Y9424, Placa anterior:, Placa nueva=H0007016, Descripcion:OPTICO, Serial:44PD040, Marca:LENOVO, Modelo:MOEUUOA, Material:PLASTICO, Color:NEGRO,   Referencia:SM50F76959 Placa padre: Tipo adquisicion: Entidad</v>
      </c>
      <c r="G24619" s="5" t="str">
        <f>"THINK CENTRE"</f>
        <v>THINK CENTRE</v>
      </c>
    </row>
    <row r="24620" spans="1:7" ht="58.5" customHeight="1" x14ac:dyDescent="0.25">
      <c r="A24620" s="5" t="str">
        <f>"H0018766"</f>
        <v>H0018766</v>
      </c>
      <c r="B24620" s="5" t="str">
        <f>"PUESTO DE TRABAJO EN L CON 3 GAVETAS"</f>
        <v>PUESTO DE TRABAJO EN L CON 3 GAVETAS</v>
      </c>
      <c r="C24620" s="6">
        <v>1334000</v>
      </c>
      <c r="D24620" s="5" t="s">
        <v>517</v>
      </c>
      <c r="E24620" s="5" t="str">
        <f t="shared" si="1233"/>
        <v>COORDINACIÓN JURIDICA</v>
      </c>
      <c r="F24620" s="5" t="str">
        <f>"Descripcion:PUESTO DE TRABAJO EN L CON 3 GABETAS Estado: Bueno Placa anterior: 000028989 Material: METALICO Color: NEGRO Y MADERA Referencia:  Observacion:  Placa padre:  Tipo adquisicion : Entidad"</f>
        <v>Descripcion:PUESTO DE TRABAJO EN L CON 3 GABETAS Estado: Bueno Placa anterior: 000028989 Material: METALICO Color: NEGRO Y MADERA Referencia:  Observacion:  Placa padre:  Tipo adquisicion : Entidad</v>
      </c>
      <c r="G24620" s="5"/>
    </row>
    <row r="24621" spans="1:7" ht="58.5" customHeight="1" x14ac:dyDescent="0.25">
      <c r="A24621" s="5" t="str">
        <f>"H0021428"</f>
        <v>H0021428</v>
      </c>
      <c r="B24621" s="5" t="str">
        <f>"AIRE ACONDICIONADO 18000 BTU"</f>
        <v>AIRE ACONDICIONADO 18000 BTU</v>
      </c>
      <c r="C24621" s="6">
        <v>1960400</v>
      </c>
      <c r="D24621" s="5" t="s">
        <v>176</v>
      </c>
      <c r="E24621" s="5" t="str">
        <f t="shared" si="1233"/>
        <v>COORDINACIÓN JURIDICA</v>
      </c>
      <c r="F24621" s="5"/>
      <c r="G24621" s="5" t="str">
        <f>"VM182CE"</f>
        <v>VM182CE</v>
      </c>
    </row>
    <row r="24622" spans="1:7" ht="58.5" customHeight="1" x14ac:dyDescent="0.25">
      <c r="A24622" s="5" t="str">
        <f>"H0025690"</f>
        <v>H0025690</v>
      </c>
      <c r="B24622" s="5" t="str">
        <f>"SILLA REF. JOB ESPALDA ALTA, BASE NEGRA, CUATRO BLOQUEOS, AJUSTE EN RECUESTE DE SILLA CUANDO NO ESTA EN POSICION FIJA, GRADUACION EN ALTURA DE ASIENTO , BRAZO GRADUABLE EN ALTURA, GIRA Y DESLIZA, ESPALDAR GRADUABLE EN ALTURA"</f>
        <v>SILLA REF. JOB ESPALDA ALTA, BASE NEGRA, CUATRO BLOQUEOS, AJUSTE EN RECUESTE DE SILLA CUANDO NO ESTA EN POSICION FIJA, GRADUACION EN ALTURA DE ASIENTO , BRAZO GRADUABLE EN ALTURA, GIRA Y DESLIZA, ESPALDAR GRADUABLE EN ALTURA</v>
      </c>
      <c r="C24622" s="6">
        <v>666400</v>
      </c>
      <c r="D24622" s="5" t="s">
        <v>658</v>
      </c>
      <c r="E24622" s="5" t="str">
        <f t="shared" si="1233"/>
        <v>COORDINACIÓN JURIDICA</v>
      </c>
      <c r="F24622" s="5"/>
      <c r="G24622" s="5"/>
    </row>
    <row r="24623" spans="1:7" ht="58.5" customHeight="1" x14ac:dyDescent="0.25">
      <c r="A24623" s="5" t="str">
        <f>"H0037788"</f>
        <v>H0037788</v>
      </c>
      <c r="B24623" s="5" t="str">
        <f>"SILLA GERENTE NIZA MEC. BASCULANTE CON BRAZOS."</f>
        <v>SILLA GERENTE NIZA MEC. BASCULANTE CON BRAZOS.</v>
      </c>
      <c r="C24623" s="6">
        <v>710000.01</v>
      </c>
      <c r="D24623" s="5" t="s">
        <v>30</v>
      </c>
      <c r="E24623" s="5" t="str">
        <f t="shared" si="1233"/>
        <v>COORDINACIÓN JURIDICA</v>
      </c>
      <c r="F24623" s="5"/>
      <c r="G24623" s="5"/>
    </row>
    <row r="24624" spans="1:7" ht="58.5" customHeight="1" x14ac:dyDescent="0.25">
      <c r="A24624" s="5" t="str">
        <f>"H0037789"</f>
        <v>H0037789</v>
      </c>
      <c r="B24624" s="5" t="str">
        <f>"SILLA GERENTE NIZA MEC. BASCULANTE CON BRAZOS."</f>
        <v>SILLA GERENTE NIZA MEC. BASCULANTE CON BRAZOS.</v>
      </c>
      <c r="C24624" s="6">
        <v>710000.01</v>
      </c>
      <c r="D24624" s="5" t="s">
        <v>30</v>
      </c>
      <c r="E24624" s="5" t="str">
        <f t="shared" si="1233"/>
        <v>COORDINACIÓN JURIDICA</v>
      </c>
      <c r="F24624" s="5"/>
      <c r="G24624" s="5"/>
    </row>
    <row r="24625" spans="1:7" ht="58.5" customHeight="1" x14ac:dyDescent="0.25">
      <c r="A24625" s="5" t="str">
        <f>"H0037790"</f>
        <v>H0037790</v>
      </c>
      <c r="B24625" s="5" t="str">
        <f>"SILLA GERENTE NIZA MEC. BASCULANTE CON BRAZOS."</f>
        <v>SILLA GERENTE NIZA MEC. BASCULANTE CON BRAZOS.</v>
      </c>
      <c r="C24625" s="6">
        <v>710000.01</v>
      </c>
      <c r="D24625" s="5" t="s">
        <v>30</v>
      </c>
      <c r="E24625" s="5" t="str">
        <f t="shared" si="1233"/>
        <v>COORDINACIÓN JURIDICA</v>
      </c>
      <c r="F24625" s="5"/>
      <c r="G24625" s="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ACTIVOS FIJOS2024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ALMACEN7</dc:creator>
  <cp:lastModifiedBy>CONTRATABYS7</cp:lastModifiedBy>
  <dcterms:created xsi:type="dcterms:W3CDTF">2024-05-03T13:26:22Z</dcterms:created>
  <dcterms:modified xsi:type="dcterms:W3CDTF">2024-05-06T15:35:09Z</dcterms:modified>
</cp:coreProperties>
</file>